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Daily_Report" sheetId="2" state="visible" r:id="rId2"/>
    <sheet name="Dashboard" sheetId="3" state="visible" r:id="rId3"/>
    <sheet name="Monthly_Summary" sheetId="4" state="visible" r:id="rId4"/>
    <sheet name="Plant" sheetId="5" state="visible" r:id="rId5"/>
    <sheet name="Mining_Movements" sheetId="6" state="visible" r:id="rId6"/>
    <sheet name="Mining_Daily" sheetId="7" state="visible" r:id="rId7"/>
    <sheet name="Fleet" sheetId="8" state="visible" r:id="rId8"/>
    <sheet name="Safety" sheetId="9" state="visible" r:id="rId9"/>
    <sheet name="Gold" sheetId="10" state="visible" r:id="rId10"/>
    <sheet name="Budget" sheetId="11" state="visible" r:id="rId11"/>
    <sheet name="Commentary" sheetId="12" state="visible" r:id="rId12"/>
    <sheet name="Config" sheetId="13" state="visible" r:id="rId13"/>
    <sheet name="Lists" sheetId="14" state="visible" r:id="rId14"/>
    <sheet name="Calc_Daily" sheetId="15" state="visible" r:id="rId15"/>
    <sheet name="Chart_Data" sheetId="16" state="visible" r:id="rId16"/>
    <sheet name="Data_Dictionary" sheetId="17" state="visible" r:id="rId17"/>
  </sheets>
  <definedNames>
    <definedName name="lst_Shift">Lists!$A$6:INDEX(Lists!$A:$A,COUNTA(Lists!$A:$A))</definedName>
    <definedName name="lst_Material">Lists!$C$6:INDEX(Lists!$C:$C,COUNTA(Lists!$C:$C))</definedName>
    <definedName name="lst_Area">Lists!$E$6:INDEX(Lists!$E:$E,COUNTA(Lists!$E:$E))</definedName>
    <definedName name="lst_Equipment_Class">Lists!$G$6:INDEX(Lists!$G:$G,COUNTA(Lists!$G:$G))</definedName>
    <definedName name="lst_Gold_Movement_Type">Lists!$I$6:INDEX(Lists!$I:$I,COUNTA(Lists!$I:$I))</definedName>
    <definedName name="lst_Yes_No">Lists!$K$6:INDEX(Lists!$K:$K,COUNTA(Lists!$K:$K))</definedName>
    <definedName name="lst_Source_Type">Lists!$M$6:INDEX(Lists!$M:$M,COUNTA(Lists!$M:$M))</definedName>
    <definedName name="lst_Destination_Type">Lists!$O$6:INDEX(Lists!$O:$O,COUNTA(Lists!$O:$O))</definedName>
    <definedName name="lst_Source">Lists!$R$6:INDEX(Lists!$R:$R,COUNTA(Lists!$R:$R))</definedName>
    <definedName name="lst_Destination">Lists!$U$6:INDEX(Lists!$U:$U,COUNTA(Lists!$U:$U))</definedName>
    <definedName name="cfg_Site">Config!$B$5</definedName>
    <definedName name="cfg_Company">Config!$B$6</definedName>
    <definedName name="cfg_Year">Config!$B$7</definedName>
    <definedName name="cfg_YearStart">Config!$B$8</definedName>
    <definedName name="cfg_YearEnd">Config!$B$9</definedName>
    <definedName name="cfg_TroyOz">Config!$B$10</definedName>
    <definedName name="cfg_PriorLTIDate">Config!$B$11</definedName>
    <definedName name="cfg_LastDataDate">Config!$B$12</definedName>
    <definedName name="cfg_ReportTitle">Config!$B$13</definedName>
    <definedName name="cd_Date">Calc_Daily!$A$2:$A$366</definedName>
    <definedName name="cd_Month">Calc_Daily!$B$2:$B$366</definedName>
    <definedName name="cd_Day">Calc_Daily!$C$2:$C$366</definedName>
    <definedName name="cd_Days_In_Month">Calc_Daily!$D$2:$D$366</definedName>
    <definedName name="cd_Month_Start">Calc_Daily!$E$2:$E$366</definedName>
    <definedName name="cd_Ore_Mined_t">Calc_Daily!$F$2:$F$366</definedName>
    <definedName name="cd_Ore_Mined_t_MTD">Calc_Daily!$G$2:$G$366</definedName>
    <definedName name="cd_Ore_Mined_t_YTD">Calc_Daily!$H$2:$H$366</definedName>
    <definedName name="cd_Ore_Mined_oz">Calc_Daily!$I$2:$I$366</definedName>
    <definedName name="cd_Ore_Mined_oz_MTD">Calc_Daily!$J$2:$J$366</definedName>
    <definedName name="cd_Ore_Mined_oz_YTD">Calc_Daily!$K$2:$K$366</definedName>
    <definedName name="cd_Ore_Grade_gpt">Calc_Daily!$L$2:$L$366</definedName>
    <definedName name="cd_Ore_Grade_gpt_MTD">Calc_Daily!$M$2:$M$366</definedName>
    <definedName name="cd_Ore_Grade_gpt_YTD">Calc_Daily!$N$2:$N$366</definedName>
    <definedName name="cd_Waste_t">Calc_Daily!$O$2:$O$366</definedName>
    <definedName name="cd_Waste_t_MTD">Calc_Daily!$P$2:$P$366</definedName>
    <definedName name="cd_Waste_t_YTD">Calc_Daily!$Q$2:$Q$366</definedName>
    <definedName name="cd_TMM_t">Calc_Daily!$R$2:$R$366</definedName>
    <definedName name="cd_TMM_t_MTD">Calc_Daily!$S$2:$S$366</definedName>
    <definedName name="cd_TMM_t_YTD">Calc_Daily!$T$2:$T$366</definedName>
    <definedName name="cd_Strip_Ratio">Calc_Daily!$U$2:$U$366</definedName>
    <definedName name="cd_Strip_Ratio_MTD">Calc_Daily!$V$2:$V$366</definedName>
    <definedName name="cd_Strip_Ratio_YTD">Calc_Daily!$W$2:$W$366</definedName>
    <definedName name="cd_Rehandle_t">Calc_Daily!$X$2:$X$366</definedName>
    <definedName name="cd_Rehandle_t_MTD">Calc_Daily!$Y$2:$Y$366</definedName>
    <definedName name="cd_Rehandle_t_YTD">Calc_Daily!$Z$2:$Z$366</definedName>
    <definedName name="cd_Drill_m">Calc_Daily!$AA$2:$AA$366</definedName>
    <definedName name="cd_Drill_m_MTD">Calc_Daily!$AB$2:$AB$366</definedName>
    <definedName name="cd_Drill_m_YTD">Calc_Daily!$AC$2:$AC$366</definedName>
    <definedName name="cd_Blast_t">Calc_Daily!$AD$2:$AD$366</definedName>
    <definedName name="cd_Blast_t_MTD">Calc_Daily!$AE$2:$AE$366</definedName>
    <definedName name="cd_Blast_t_YTD">Calc_Daily!$AF$2:$AF$366</definedName>
    <definedName name="cd_Explosives_kg">Calc_Daily!$AG$2:$AG$366</definedName>
    <definedName name="cd_Explosives_kg_MTD">Calc_Daily!$AH$2:$AH$366</definedName>
    <definedName name="cd_Explosives_kg_YTD">Calc_Daily!$AI$2:$AI$366</definedName>
    <definedName name="cd_Powder_Factor_kgpt">Calc_Daily!$AJ$2:$AJ$366</definedName>
    <definedName name="cd_Powder_Factor_kgpt_MTD">Calc_Daily!$AK$2:$AK$366</definedName>
    <definedName name="cd_Powder_Factor_kgpt_YTD">Calc_Daily!$AL$2:$AL$366</definedName>
    <definedName name="cd_Diesel_Mining_L">Calc_Daily!$AM$2:$AM$366</definedName>
    <definedName name="cd_Diesel_Mining_L_MTD">Calc_Daily!$AN$2:$AN$366</definedName>
    <definedName name="cd_Diesel_Mining_L_YTD">Calc_Daily!$AO$2:$AO$366</definedName>
    <definedName name="cd_Dewatering_m3">Calc_Daily!$AP$2:$AP$366</definedName>
    <definedName name="cd_Dewatering_m3_MTD">Calc_Daily!$AQ$2:$AQ$366</definedName>
    <definedName name="cd_Dewatering_m3_YTD">Calc_Daily!$AR$2:$AR$366</definedName>
    <definedName name="cd_Exc_Calendar_h">Calc_Daily!$AS$2:$AS$366</definedName>
    <definedName name="cd_Exc_Calendar_h_MTD">Calc_Daily!$AT$2:$AT$366</definedName>
    <definedName name="cd_Exc_Calendar_h_YTD">Calc_Daily!$AU$2:$AU$366</definedName>
    <definedName name="cd_Exc_Available_h">Calc_Daily!$AV$2:$AV$366</definedName>
    <definedName name="cd_Exc_Available_h_MTD">Calc_Daily!$AW$2:$AW$366</definedName>
    <definedName name="cd_Exc_Available_h_YTD">Calc_Daily!$AX$2:$AX$366</definedName>
    <definedName name="cd_Exc_Operating_h">Calc_Daily!$AY$2:$AY$366</definedName>
    <definedName name="cd_Exc_Operating_h_MTD">Calc_Daily!$AZ$2:$AZ$366</definedName>
    <definedName name="cd_Exc_Operating_h_YTD">Calc_Daily!$BA$2:$BA$366</definedName>
    <definedName name="cd_Exc_Availability_pct">Calc_Daily!$BB$2:$BB$366</definedName>
    <definedName name="cd_Exc_Availability_pct_MTD">Calc_Daily!$BC$2:$BC$366</definedName>
    <definedName name="cd_Exc_Availability_pct_YTD">Calc_Daily!$BD$2:$BD$366</definedName>
    <definedName name="cd_Exc_Utilisation_pct">Calc_Daily!$BE$2:$BE$366</definedName>
    <definedName name="cd_Exc_Utilisation_pct_MTD">Calc_Daily!$BF$2:$BF$366</definedName>
    <definedName name="cd_Exc_Utilisation_pct_YTD">Calc_Daily!$BG$2:$BG$366</definedName>
    <definedName name="cd_Trk_Calendar_h">Calc_Daily!$BH$2:$BH$366</definedName>
    <definedName name="cd_Trk_Calendar_h_MTD">Calc_Daily!$BI$2:$BI$366</definedName>
    <definedName name="cd_Trk_Calendar_h_YTD">Calc_Daily!$BJ$2:$BJ$366</definedName>
    <definedName name="cd_Trk_Available_h">Calc_Daily!$BK$2:$BK$366</definedName>
    <definedName name="cd_Trk_Available_h_MTD">Calc_Daily!$BL$2:$BL$366</definedName>
    <definedName name="cd_Trk_Available_h_YTD">Calc_Daily!$BM$2:$BM$366</definedName>
    <definedName name="cd_Trk_Operating_h">Calc_Daily!$BN$2:$BN$366</definedName>
    <definedName name="cd_Trk_Operating_h_MTD">Calc_Daily!$BO$2:$BO$366</definedName>
    <definedName name="cd_Trk_Operating_h_YTD">Calc_Daily!$BP$2:$BP$366</definedName>
    <definedName name="cd_Trk_Availability_pct">Calc_Daily!$BQ$2:$BQ$366</definedName>
    <definedName name="cd_Trk_Availability_pct_MTD">Calc_Daily!$BR$2:$BR$366</definedName>
    <definedName name="cd_Trk_Availability_pct_YTD">Calc_Daily!$BS$2:$BS$366</definedName>
    <definedName name="cd_Trk_Utilisation_pct">Calc_Daily!$BT$2:$BT$366</definedName>
    <definedName name="cd_Trk_Utilisation_pct_MTD">Calc_Daily!$BU$2:$BU$366</definedName>
    <definedName name="cd_Trk_Utilisation_pct_YTD">Calc_Daily!$BV$2:$BV$366</definedName>
    <definedName name="cd_Crushed_t">Calc_Daily!$BW$2:$BW$366</definedName>
    <definedName name="cd_Crushed_t_MTD">Calc_Daily!$BX$2:$BX$366</definedName>
    <definedName name="cd_Crushed_t_YTD">Calc_Daily!$BY$2:$BY$366</definedName>
    <definedName name="cd_Milled_t">Calc_Daily!$BZ$2:$BZ$366</definedName>
    <definedName name="cd_Milled_t_MTD">Calc_Daily!$CA$2:$CA$366</definedName>
    <definedName name="cd_Milled_t_YTD">Calc_Daily!$CB$2:$CB$366</definedName>
    <definedName name="cd_Feed_oz">Calc_Daily!$CC$2:$CC$366</definedName>
    <definedName name="cd_Feed_oz_MTD">Calc_Daily!$CD$2:$CD$366</definedName>
    <definedName name="cd_Feed_oz_YTD">Calc_Daily!$CE$2:$CE$366</definedName>
    <definedName name="cd_Tails_oz">Calc_Daily!$CF$2:$CF$366</definedName>
    <definedName name="cd_Tails_oz_MTD">Calc_Daily!$CG$2:$CG$366</definedName>
    <definedName name="cd_Tails_oz_YTD">Calc_Daily!$CH$2:$CH$366</definedName>
    <definedName name="cd_Recovered_oz">Calc_Daily!$CI$2:$CI$366</definedName>
    <definedName name="cd_Recovered_oz_MTD">Calc_Daily!$CJ$2:$CJ$366</definedName>
    <definedName name="cd_Recovered_oz_YTD">Calc_Daily!$CK$2:$CK$366</definedName>
    <definedName name="cd_Head_Grade_gpt">Calc_Daily!$CL$2:$CL$366</definedName>
    <definedName name="cd_Head_Grade_gpt_MTD">Calc_Daily!$CM$2:$CM$366</definedName>
    <definedName name="cd_Head_Grade_gpt_YTD">Calc_Daily!$CN$2:$CN$366</definedName>
    <definedName name="cd_Tails_Grade_gpt">Calc_Daily!$CO$2:$CO$366</definedName>
    <definedName name="cd_Tails_Grade_gpt_MTD">Calc_Daily!$CP$2:$CP$366</definedName>
    <definedName name="cd_Tails_Grade_gpt_YTD">Calc_Daily!$CQ$2:$CQ$366</definedName>
    <definedName name="cd_Recovery_pct">Calc_Daily!$CR$2:$CR$366</definedName>
    <definedName name="cd_Recovery_pct_MTD">Calc_Daily!$CS$2:$CS$366</definedName>
    <definedName name="cd_Recovery_pct_YTD">Calc_Daily!$CT$2:$CT$366</definedName>
    <definedName name="cd_Gravity_Gold_oz">Calc_Daily!$CU$2:$CU$366</definedName>
    <definedName name="cd_Gravity_Gold_oz_MTD">Calc_Daily!$CV$2:$CV$366</definedName>
    <definedName name="cd_Gravity_Gold_oz_YTD">Calc_Daily!$CW$2:$CW$366</definedName>
    <definedName name="cd_Gold_Poured_oz">Calc_Daily!$CX$2:$CX$366</definedName>
    <definedName name="cd_Gold_Poured_oz_MTD">Calc_Daily!$CY$2:$CY$366</definedName>
    <definedName name="cd_Gold_Poured_oz_YTD">Calc_Daily!$CZ$2:$CZ$366</definedName>
    <definedName name="cd_Mill_Run_h">Calc_Daily!$DA$2:$DA$366</definedName>
    <definedName name="cd_Mill_Run_h_MTD">Calc_Daily!$DB$2:$DB$366</definedName>
    <definedName name="cd_Mill_Run_h_YTD">Calc_Daily!$DC$2:$DC$366</definedName>
    <definedName name="cd_Mill_Planned_Maint_h">Calc_Daily!$DD$2:$DD$366</definedName>
    <definedName name="cd_Mill_Planned_Maint_h_MTD">Calc_Daily!$DE$2:$DE$366</definedName>
    <definedName name="cd_Mill_Planned_Maint_h_YTD">Calc_Daily!$DF$2:$DF$366</definedName>
    <definedName name="cd_Mill_Unplanned_Down_h">Calc_Daily!$DG$2:$DG$366</definedName>
    <definedName name="cd_Mill_Unplanned_Down_h_MTD">Calc_Daily!$DH$2:$DH$366</definedName>
    <definedName name="cd_Mill_Unplanned_Down_h_YTD">Calc_Daily!$DI$2:$DI$366</definedName>
    <definedName name="cd_Mill_Calendar_h">Calc_Daily!$DJ$2:$DJ$366</definedName>
    <definedName name="cd_Mill_Calendar_h_MTD">Calc_Daily!$DK$2:$DK$366</definedName>
    <definedName name="cd_Mill_Calendar_h_YTD">Calc_Daily!$DL$2:$DL$366</definedName>
    <definedName name="cd_Crusher_Run_h">Calc_Daily!$DM$2:$DM$366</definedName>
    <definedName name="cd_Crusher_Run_h_MTD">Calc_Daily!$DN$2:$DN$366</definedName>
    <definedName name="cd_Crusher_Run_h_YTD">Calc_Daily!$DO$2:$DO$366</definedName>
    <definedName name="cd_Throughput_tph">Calc_Daily!$DP$2:$DP$366</definedName>
    <definedName name="cd_Throughput_tph_MTD">Calc_Daily!$DQ$2:$DQ$366</definedName>
    <definedName name="cd_Throughput_tph_YTD">Calc_Daily!$DR$2:$DR$366</definedName>
    <definedName name="cd_Mill_Availability_pct">Calc_Daily!$DS$2:$DS$366</definedName>
    <definedName name="cd_Mill_Availability_pct_MTD">Calc_Daily!$DT$2:$DT$366</definedName>
    <definedName name="cd_Mill_Availability_pct_YTD">Calc_Daily!$DU$2:$DU$366</definedName>
    <definedName name="cd_Mill_Utilisation_pct">Calc_Daily!$DV$2:$DV$366</definedName>
    <definedName name="cd_Mill_Utilisation_pct_MTD">Calc_Daily!$DW$2:$DW$366</definedName>
    <definedName name="cd_Mill_Utilisation_pct_YTD">Calc_Daily!$DX$2:$DX$366</definedName>
    <definedName name="cd_Cyanide_kg">Calc_Daily!$DY$2:$DY$366</definedName>
    <definedName name="cd_Cyanide_kg_MTD">Calc_Daily!$DZ$2:$DZ$366</definedName>
    <definedName name="cd_Cyanide_kg_YTD">Calc_Daily!$EA$2:$EA$366</definedName>
    <definedName name="cd_Lime_kg">Calc_Daily!$EB$2:$EB$366</definedName>
    <definedName name="cd_Lime_kg_MTD">Calc_Daily!$EC$2:$EC$366</definedName>
    <definedName name="cd_Lime_kg_YTD">Calc_Daily!$ED$2:$ED$366</definedName>
    <definedName name="cd_Grinding_Media_kg">Calc_Daily!$EE$2:$EE$366</definedName>
    <definedName name="cd_Grinding_Media_kg_MTD">Calc_Daily!$EF$2:$EF$366</definedName>
    <definedName name="cd_Grinding_Media_kg_YTD">Calc_Daily!$EG$2:$EG$366</definedName>
    <definedName name="cd_Power_kWh">Calc_Daily!$EH$2:$EH$366</definedName>
    <definedName name="cd_Power_kWh_MTD">Calc_Daily!$EI$2:$EI$366</definedName>
    <definedName name="cd_Power_kWh_YTD">Calc_Daily!$EJ$2:$EJ$366</definedName>
    <definedName name="cd_Raw_Water_m3">Calc_Daily!$EK$2:$EK$366</definedName>
    <definedName name="cd_Raw_Water_m3_MTD">Calc_Daily!$EL$2:$EL$366</definedName>
    <definedName name="cd_Raw_Water_m3_YTD">Calc_Daily!$EM$2:$EM$366</definedName>
    <definedName name="cd_Cyanide_kgpt">Calc_Daily!$EN$2:$EN$366</definedName>
    <definedName name="cd_Cyanide_kgpt_MTD">Calc_Daily!$EO$2:$EO$366</definedName>
    <definedName name="cd_Cyanide_kgpt_YTD">Calc_Daily!$EP$2:$EP$366</definedName>
    <definedName name="cd_Lime_kgpt">Calc_Daily!$EQ$2:$EQ$366</definedName>
    <definedName name="cd_Lime_kgpt_MTD">Calc_Daily!$ER$2:$ER$366</definedName>
    <definedName name="cd_Lime_kgpt_YTD">Calc_Daily!$ES$2:$ES$366</definedName>
    <definedName name="cd_Media_kgpt">Calc_Daily!$ET$2:$ET$366</definedName>
    <definedName name="cd_Media_kgpt_MTD">Calc_Daily!$EU$2:$EU$366</definedName>
    <definedName name="cd_Media_kgpt_YTD">Calc_Daily!$EV$2:$EV$366</definedName>
    <definedName name="cd_Power_kWhpt">Calc_Daily!$EW$2:$EW$366</definedName>
    <definedName name="cd_Power_kWhpt_MTD">Calc_Daily!$EX$2:$EX$366</definedName>
    <definedName name="cd_Power_kWhpt_YTD">Calc_Daily!$EY$2:$EY$366</definedName>
    <definedName name="cd_Water_m3pt">Calc_Daily!$EZ$2:$EZ$366</definedName>
    <definedName name="cd_Water_m3pt_MTD">Calc_Daily!$FA$2:$FA$366</definedName>
    <definedName name="cd_Water_m3pt_YTD">Calc_Daily!$FB$2:$FB$366</definedName>
    <definedName name="cd_GIC_oz">Calc_Daily!$FC$2:$FC$366</definedName>
    <definedName name="cd_Gold_Shipped_oz">Calc_Daily!$FD$2:$FD$366</definedName>
    <definedName name="cd_Gold_Shipped_oz_MTD">Calc_Daily!$FE$2:$FE$366</definedName>
    <definedName name="cd_Gold_Shipped_oz_YTD">Calc_Daily!$FF$2:$FF$366</definedName>
    <definedName name="cd_Gold_Sold_oz">Calc_Daily!$FG$2:$FG$366</definedName>
    <definedName name="cd_Gold_Sold_oz_MTD">Calc_Daily!$FH$2:$FH$366</definedName>
    <definedName name="cd_Gold_Sold_oz_YTD">Calc_Daily!$FI$2:$FI$366</definedName>
    <definedName name="cd_Dore_Shipped_kg">Calc_Daily!$FJ$2:$FJ$366</definedName>
    <definedName name="cd_Dore_Shipped_kg_MTD">Calc_Daily!$FK$2:$FK$366</definedName>
    <definedName name="cd_Dore_Shipped_kg_YTD">Calc_Daily!$FL$2:$FL$366</definedName>
    <definedName name="cd_Hours_Worked">Calc_Daily!$FM$2:$FM$366</definedName>
    <definedName name="cd_Hours_Worked_MTD">Calc_Daily!$FN$2:$FN$366</definedName>
    <definedName name="cd_Hours_Worked_YTD">Calc_Daily!$FO$2:$FO$366</definedName>
    <definedName name="cd_Fatality">Calc_Daily!$FP$2:$FP$366</definedName>
    <definedName name="cd_Fatality_MTD">Calc_Daily!$FQ$2:$FQ$366</definedName>
    <definedName name="cd_Fatality_YTD">Calc_Daily!$FR$2:$FR$366</definedName>
    <definedName name="cd_LTI">Calc_Daily!$FS$2:$FS$366</definedName>
    <definedName name="cd_LTI_MTD">Calc_Daily!$FT$2:$FT$366</definedName>
    <definedName name="cd_LTI_YTD">Calc_Daily!$FU$2:$FU$366</definedName>
    <definedName name="cd_RWI">Calc_Daily!$FV$2:$FV$366</definedName>
    <definedName name="cd_RWI_MTD">Calc_Daily!$FW$2:$FW$366</definedName>
    <definedName name="cd_RWI_YTD">Calc_Daily!$FX$2:$FX$366</definedName>
    <definedName name="cd_MTI">Calc_Daily!$FY$2:$FY$366</definedName>
    <definedName name="cd_MTI_MTD">Calc_Daily!$FZ$2:$FZ$366</definedName>
    <definedName name="cd_MTI_YTD">Calc_Daily!$GA$2:$GA$366</definedName>
    <definedName name="cd_FAI">Calc_Daily!$GB$2:$GB$366</definedName>
    <definedName name="cd_FAI_MTD">Calc_Daily!$GC$2:$GC$366</definedName>
    <definedName name="cd_FAI_YTD">Calc_Daily!$GD$2:$GD$366</definedName>
    <definedName name="cd_Recordables">Calc_Daily!$GE$2:$GE$366</definedName>
    <definedName name="cd_Recordables_MTD">Calc_Daily!$GF$2:$GF$366</definedName>
    <definedName name="cd_Recordables_YTD">Calc_Daily!$GG$2:$GG$366</definedName>
    <definedName name="cd_Near_Miss">Calc_Daily!$GH$2:$GH$366</definedName>
    <definedName name="cd_Near_Miss_MTD">Calc_Daily!$GI$2:$GI$366</definedName>
    <definedName name="cd_Near_Miss_YTD">Calc_Daily!$GJ$2:$GJ$366</definedName>
    <definedName name="cd_Hazard_Reports">Calc_Daily!$GK$2:$GK$366</definedName>
    <definedName name="cd_Hazard_Reports_MTD">Calc_Daily!$GL$2:$GL$366</definedName>
    <definedName name="cd_Hazard_Reports_YTD">Calc_Daily!$GM$2:$GM$366</definedName>
    <definedName name="cd_HPI">Calc_Daily!$GN$2:$GN$366</definedName>
    <definedName name="cd_HPI_MTD">Calc_Daily!$GO$2:$GO$366</definedName>
    <definedName name="cd_HPI_YTD">Calc_Daily!$GP$2:$GP$366</definedName>
    <definedName name="cd_Env_Incidents">Calc_Daily!$GQ$2:$GQ$366</definedName>
    <definedName name="cd_Env_Incidents_MTD">Calc_Daily!$GR$2:$GR$366</definedName>
    <definedName name="cd_Env_Incidents_YTD">Calc_Daily!$GS$2:$GS$366</definedName>
    <definedName name="cd_Community_Incidents">Calc_Daily!$GT$2:$GT$366</definedName>
    <definedName name="cd_Community_Incidents_MTD">Calc_Daily!$GU$2:$GU$366</definedName>
    <definedName name="cd_Community_Incidents_YTD">Calc_Daily!$GV$2:$GV$366</definedName>
    <definedName name="cd_Vehicle_Incidents">Calc_Daily!$GW$2:$GW$366</definedName>
    <definedName name="cd_Vehicle_Incidents_MTD">Calc_Daily!$GX$2:$GX$366</definedName>
    <definedName name="cd_Vehicle_Incidents_YTD">Calc_Daily!$GY$2:$GY$366</definedName>
    <definedName name="cd_Toolbox_Talks">Calc_Daily!$GZ$2:$GZ$366</definedName>
    <definedName name="cd_Toolbox_Talks_MTD">Calc_Daily!$HA$2:$HA$366</definedName>
    <definedName name="cd_Toolbox_Talks_YTD">Calc_Daily!$HB$2:$HB$366</definedName>
    <definedName name="cd_Inspections">Calc_Daily!$HC$2:$HC$366</definedName>
    <definedName name="cd_Inspections_MTD">Calc_Daily!$HD$2:$HD$366</definedName>
    <definedName name="cd_Inspections_YTD">Calc_Daily!$HE$2:$HE$366</definedName>
    <definedName name="cd_TRIFR_12m">Calc_Daily!$HF$2:$HF$366</definedName>
    <definedName name="cd_LTIFR_12m">Calc_Daily!$HG$2:$HG$366</definedName>
    <definedName name="cd_Days_Since_LTI">Calc_Daily!$HH$2:$HH$366</definedName>
    <definedName name="cd_Bud_Ore_Mined_t_Month">Calc_Daily!$HI$2:$HI$366</definedName>
    <definedName name="cd_Bud_Ore_Mined_t_MTD">Calc_Daily!$HJ$2:$HJ$366</definedName>
    <definedName name="cd_Bud_Ore_Mined_t_YTD">Calc_Daily!$HK$2:$HK$366</definedName>
    <definedName name="cd_Bud_Ore_Mined_oz_Month">Calc_Daily!$HL$2:$HL$366</definedName>
    <definedName name="cd_Bud_Ore_Mined_oz_MTD">Calc_Daily!$HM$2:$HM$366</definedName>
    <definedName name="cd_Bud_Ore_Mined_oz_YTD">Calc_Daily!$HN$2:$HN$366</definedName>
    <definedName name="cd_Bud_Ore_Grade_gpt_Month">Calc_Daily!$HO$2:$HO$366</definedName>
    <definedName name="cd_Bud_Ore_Grade_gpt_MTD">Calc_Daily!$HP$2:$HP$366</definedName>
    <definedName name="cd_Bud_Ore_Grade_gpt_YTD">Calc_Daily!$HQ$2:$HQ$366</definedName>
    <definedName name="cd_Bud_Waste_t_Month">Calc_Daily!$HR$2:$HR$366</definedName>
    <definedName name="cd_Bud_Waste_t_MTD">Calc_Daily!$HS$2:$HS$366</definedName>
    <definedName name="cd_Bud_Waste_t_YTD">Calc_Daily!$HT$2:$HT$366</definedName>
    <definedName name="cd_Bud_TMM_t_Month">Calc_Daily!$HU$2:$HU$366</definedName>
    <definedName name="cd_Bud_TMM_t_MTD">Calc_Daily!$HV$2:$HV$366</definedName>
    <definedName name="cd_Bud_TMM_t_YTD">Calc_Daily!$HW$2:$HW$366</definedName>
    <definedName name="cd_Bud_Strip_Ratio_Month">Calc_Daily!$HX$2:$HX$366</definedName>
    <definedName name="cd_Bud_Strip_Ratio_MTD">Calc_Daily!$HY$2:$HY$366</definedName>
    <definedName name="cd_Bud_Strip_Ratio_YTD">Calc_Daily!$HZ$2:$HZ$366</definedName>
    <definedName name="cd_Bud_Drill_m_Month">Calc_Daily!$IA$2:$IA$366</definedName>
    <definedName name="cd_Bud_Drill_m_MTD">Calc_Daily!$IB$2:$IB$366</definedName>
    <definedName name="cd_Bud_Drill_m_YTD">Calc_Daily!$IC$2:$IC$366</definedName>
    <definedName name="cd_Bud_Diesel_Mining_L_Month">Calc_Daily!$ID$2:$ID$366</definedName>
    <definedName name="cd_Bud_Diesel_Mining_L_MTD">Calc_Daily!$IE$2:$IE$366</definedName>
    <definedName name="cd_Bud_Diesel_Mining_L_YTD">Calc_Daily!$IF$2:$IF$366</definedName>
    <definedName name="cd_Bud_Milled_t_Month">Calc_Daily!$IG$2:$IG$366</definedName>
    <definedName name="cd_Bud_Milled_t_MTD">Calc_Daily!$IH$2:$IH$366</definedName>
    <definedName name="cd_Bud_Milled_t_YTD">Calc_Daily!$II$2:$II$366</definedName>
    <definedName name="cd_Bud_Feed_oz_Month">Calc_Daily!$IJ$2:$IJ$366</definedName>
    <definedName name="cd_Bud_Feed_oz_MTD">Calc_Daily!$IK$2:$IK$366</definedName>
    <definedName name="cd_Bud_Feed_oz_YTD">Calc_Daily!$IL$2:$IL$366</definedName>
    <definedName name="cd_Bud_Recovered_oz_Month">Calc_Daily!$IM$2:$IM$366</definedName>
    <definedName name="cd_Bud_Recovered_oz_MTD">Calc_Daily!$IN$2:$IN$366</definedName>
    <definedName name="cd_Bud_Recovered_oz_YTD">Calc_Daily!$IO$2:$IO$366</definedName>
    <definedName name="cd_Bud_Head_Grade_gpt_Month">Calc_Daily!$IP$2:$IP$366</definedName>
    <definedName name="cd_Bud_Head_Grade_gpt_MTD">Calc_Daily!$IQ$2:$IQ$366</definedName>
    <definedName name="cd_Bud_Head_Grade_gpt_YTD">Calc_Daily!$IR$2:$IR$366</definedName>
    <definedName name="cd_Bud_Recovery_pct_Month">Calc_Daily!$IS$2:$IS$366</definedName>
    <definedName name="cd_Bud_Recovery_pct_MTD">Calc_Daily!$IT$2:$IT$366</definedName>
    <definedName name="cd_Bud_Recovery_pct_YTD">Calc_Daily!$IU$2:$IU$366</definedName>
    <definedName name="cd_Bud_Gold_Poured_oz_Month">Calc_Daily!$IV$2:$IV$366</definedName>
    <definedName name="cd_Bud_Gold_Poured_oz_MTD">Calc_Daily!$IW$2:$IW$366</definedName>
    <definedName name="cd_Bud_Gold_Poured_oz_YTD">Calc_Daily!$IX$2:$IX$366</definedName>
    <definedName name="cd_Bud_Hours_Worked_Month">Calc_Daily!$IY$2:$IY$366</definedName>
    <definedName name="cd_Bud_Hours_Worked_MTD">Calc_Daily!$IZ$2:$IZ$366</definedName>
    <definedName name="cd_Bud_Hours_Worked_YTD">Calc_Daily!$JA$2:$JA$366</definedName>
    <definedName name="rpt_Date">Daily_Report!$C$5</definedName>
    <definedName name="rpt_Row">Daily_Report!$L$5</definedName>
    <definedName name="_xlnm.Print_Area" localSheetId="1">'Daily_Report'!$B$2:$J$89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-mmm-yyyy"/>
    <numFmt numFmtId="165" formatCode="0.0000"/>
    <numFmt numFmtId="166" formatCode="yyyy-mm-dd"/>
    <numFmt numFmtId="167" formatCode="#,##0.0"/>
    <numFmt numFmtId="168" formatCode="0.0%"/>
    <numFmt numFmtId="169" formatCode="0.0"/>
    <numFmt numFmtId="170" formatCode="ddd dd-mmm-yyyy"/>
    <numFmt numFmtId="171" formatCode="+0.0%;-0.0%;0.0%"/>
    <numFmt numFmtId="172" formatCode="mmm"/>
  </numFmts>
  <fonts count="2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1F3864"/>
      <sz val="10"/>
    </font>
    <font>
      <name val="Calibri"/>
      <color rgb="007F7F7F"/>
      <sz val="9"/>
    </font>
    <font>
      <name val="Calibri"/>
      <color rgb="00595959"/>
      <sz val="10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b val="1"/>
      <color rgb="001F3864"/>
      <sz val="16"/>
    </font>
    <font>
      <name val="Calibri"/>
      <i val="1"/>
      <color rgb="007F7F7F"/>
      <sz val="9"/>
    </font>
    <font>
      <name val="Calibri"/>
      <color rgb="00BFBFBF"/>
      <sz val="8"/>
    </font>
    <font>
      <name val="Calibri"/>
      <color rgb="00595959"/>
      <sz val="9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7F7F7F"/>
      <sz val="8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1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170" fontId="9" fillId="5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2" fillId="0" borderId="0" pivotButton="0" quotePrefix="0" xfId="0"/>
    <xf numFmtId="0" fontId="14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15" fillId="0" borderId="1" pivotButton="0" quotePrefix="0" xfId="0"/>
    <xf numFmtId="0" fontId="7" fillId="0" borderId="1" pivotButton="0" quotePrefix="0" xfId="0"/>
    <xf numFmtId="167" fontId="0" fillId="0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3" fillId="0" borderId="0" pivotButton="0" quotePrefix="0" xfId="0"/>
    <xf numFmtId="172" fontId="4" fillId="3" borderId="0" applyAlignment="1" pivotButton="0" quotePrefix="0" xfId="0">
      <alignment horizontal="center"/>
    </xf>
    <xf numFmtId="0" fontId="7" fillId="0" borderId="0" pivotButton="0" quotePrefix="0" xfId="0"/>
    <xf numFmtId="167" fontId="0" fillId="0" borderId="1" pivotButton="0" quotePrefix="0" xfId="0"/>
    <xf numFmtId="167" fontId="5" fillId="0" borderId="1" pivotButton="0" quotePrefix="0" xfId="0"/>
    <xf numFmtId="0" fontId="15" fillId="0" borderId="0" pivotButton="0" quotePrefix="0" xfId="0"/>
    <xf numFmtId="171" fontId="14" fillId="0" borderId="1" pivotButton="0" quotePrefix="0" xfId="0"/>
    <xf numFmtId="171" fontId="5" fillId="0" borderId="1" pivotButton="0" quotePrefix="0" xfId="0"/>
    <xf numFmtId="1" fontId="0" fillId="0" borderId="1" pivotButton="0" quotePrefix="0" xfId="0"/>
    <xf numFmtId="1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168" fontId="0" fillId="0" borderId="1" pivotButton="0" quotePrefix="0" xfId="0"/>
    <xf numFmtId="168" fontId="5" fillId="0" borderId="1" pivotButton="0" quotePrefix="0" xfId="0"/>
    <xf numFmtId="169" fontId="0" fillId="0" borderId="1" pivotButton="0" quotePrefix="0" xfId="0"/>
    <xf numFmtId="169" fontId="5" fillId="0" borderId="1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3" fontId="8" fillId="0" borderId="0" pivotButton="0" quotePrefix="0" xfId="0"/>
    <xf numFmtId="168" fontId="8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49" fontId="8" fillId="0" borderId="0" pivotButton="0" quotePrefix="0" xfId="0"/>
    <xf numFmtId="1" fontId="8" fillId="0" borderId="0" pivotButton="0" quotePrefix="0" xfId="0"/>
    <xf numFmtId="2" fontId="8" fillId="0" borderId="0" pivotButton="0" quotePrefix="0" xfId="0"/>
    <xf numFmtId="167" fontId="8" fillId="0" borderId="0" pivotButton="0" quotePrefix="0" xfId="0"/>
    <xf numFmtId="168" fontId="0" fillId="0" borderId="0" pivotButton="0" quotePrefix="0" xfId="0"/>
    <xf numFmtId="0" fontId="9" fillId="0" borderId="0" pivotButton="0" quotePrefix="0" xfId="0"/>
    <xf numFmtId="49" fontId="6" fillId="0" borderId="1" pivotButton="0" quotePrefix="0" xfId="0"/>
    <xf numFmtId="1" fontId="6" fillId="0" borderId="1" pivotButton="0" quotePrefix="0" xfId="0"/>
    <xf numFmtId="164" fontId="8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0" fontId="10" fillId="3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169" fontId="0" fillId="0" borderId="0" pivotButton="0" quotePrefix="0" xfId="0"/>
    <xf numFmtId="0" fontId="10" fillId="3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Gold poured, year to date (oz)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'Chart_Data'!$D$2:$D$366</f>
            </numRef>
          </val>
        </ser>
        <ser>
          <idx val="1"/>
          <order val="1"/>
          <tx>
            <strRef>
              <f>'Chart_Data'!E1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'Chart_Data'!$E$2:$E$366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Milled tonnes per day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'Chart_Data'!$B$2:$B$366</f>
            </numRef>
          </val>
        </ser>
        <gapWidth val="30"/>
        <axId val="10"/>
        <axId val="100"/>
      </barChart>
      <lineChart>
        <grouping val="standard"/>
        <ser>
          <idx val="1"/>
          <order val="1"/>
          <tx>
            <strRef>
              <f>'Chart_Data'!C1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'Chart_Data'!$C$2:$C$366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Ore and waste mined per day (t)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'Chart_Data'!F1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'Chart_Data'!$F$2:$F$366</f>
            </numRef>
          </val>
        </ser>
        <ser>
          <idx val="1"/>
          <order val="1"/>
          <tx>
            <strRef>
              <f>'Chart_Data'!G1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'Chart_Data'!$G$2:$G$366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Recovery, month to date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'Chart_Data'!$H$2:$H$366</f>
            </numRef>
          </val>
        </ser>
        <ser>
          <idx val="1"/>
          <order val="1"/>
          <tx>
            <strRef>
              <f>'Chart_Data'!K1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'Chart_Data'!$K$2:$K$366</f>
            </numRef>
          </val>
        </ser>
        <axId val="500"/>
        <axId val="100"/>
      </lineChart>
      <lineChart>
        <grouping val="standard"/>
        <ser>
          <idx val="2"/>
          <order val="2"/>
          <tx>
            <strRef>
              <f>'Chart_Data'!I1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'Chart_Data'!$I$2:$I$366</f>
            </numRef>
          </val>
        </ser>
        <axId val="10"/>
        <axId val="2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g/t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TRIFR, rolling 12 months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'Chart_Data'!$J$2:$J$366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 million hours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</row>
      <rowOff>0</rowOff>
    </from>
    <ext cx="86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86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23</row>
      <rowOff>0</rowOff>
    </from>
    <ext cx="86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42</row>
      <rowOff>0</rowOff>
    </from>
    <ext cx="86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lant" displayName="tblPlant" ref="A5:Y370" headerRowCount="1">
  <autoFilter ref="A5:Y370"/>
  <tableColumns count="25">
    <tableColumn id="1" name="Date"/>
    <tableColumn id="2" name="Crushed_t"/>
    <tableColumn id="3" name="Milled_t"/>
    <tableColumn id="4" name="Head_Grade_gpt"/>
    <tableColumn id="5" name="Tails_Grade_gpt"/>
    <tableColumn id="6" name="Gravity_Gold_oz"/>
    <tableColumn id="7" name="Gold_Poured_oz"/>
    <tableColumn id="8" name="Mill_Run_h"/>
    <tableColumn id="9" name="Mill_Planned_Maint_h"/>
    <tableColumn id="10" name="Mill_Unplanned_Down_h"/>
    <tableColumn id="11" name="Crusher_Run_h"/>
    <tableColumn id="12" name="Cyanide_kg"/>
    <tableColumn id="13" name="Lime_kg"/>
    <tableColumn id="14" name="Grinding_Media_kg"/>
    <tableColumn id="15" name="Power_kWh"/>
    <tableColumn id="16" name="Raw_Water_m3"/>
    <tableColumn id="17" name="GIC_oz"/>
    <tableColumn id="18" name="Comments"/>
    <tableColumn id="19" name="Feed_oz">
      <calculatedColumnFormula>IF(tblPlant[[#This Row],[Milled_t]]="","",tblPlant[[#This Row],[Milled_t]]*tblPlant[[#This Row],[Head_Grade_gpt]]/cfg_TroyOz)</calculatedColumnFormula>
    </tableColumn>
    <tableColumn id="20" name="Tails_oz">
      <calculatedColumnFormula>IF(tblPlant[[#This Row],[Milled_t]]="","",tblPlant[[#This Row],[Milled_t]]*tblPlant[[#This Row],[Tails_Grade_gpt]]/cfg_TroyOz)</calculatedColumnFormula>
    </tableColumn>
    <tableColumn id="21" name="Recovered_oz">
      <calculatedColumnFormula>IF(tblPlant[[#This Row],[Milled_t]]="","",tblPlant[[#This Row],[Feed_oz]]-tblPlant[[#This Row],[Tails_oz]])</calculatedColumnFormula>
    </tableColumn>
    <tableColumn id="22" name="Recovery_pct">
      <calculatedColumnFormula>IF(AND(tblPlant[[#This Row],[Milled_t]]&lt;&gt;"",tblPlant[[#This Row],[Feed_oz]]&gt;0),tblPlant[[#This Row],[Recovered_oz]]/tblPlant[[#This Row],[Feed_oz]],"")</calculatedColumnFormula>
    </tableColumn>
    <tableColumn id="23" name="Throughput_tph">
      <calculatedColumnFormula>IF(AND(tblPlant[[#This Row],[Milled_t]]&lt;&gt;"",tblPlant[[#This Row],[Mill_Run_h]]&gt;0),tblPlant[[#This Row],[Milled_t]]/tblPlant[[#This Row],[Mill_Run_h]],"")</calculatedColumnFormula>
    </tableColumn>
    <tableColumn id="24" name="Availability_pct">
      <calculatedColumnFormula>IF(tblPlant[[#This Row],[Mill_Run_h]]="","",(24-tblPlant[[#This Row],[Mill_Planned_Maint_h]]-tblPlant[[#This Row],[Mill_Unplanned_Down_h]])/24)</calculatedColumnFormula>
    </tableColumn>
    <tableColumn id="25" name="Utilisation_pct">
      <calculatedColumnFormula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vement" displayName="tblMovement" ref="A5:O5005" headerRowCount="1">
  <autoFilter ref="A5:O5005"/>
  <tableColumns count="15">
    <tableColumn id="1" name="Date"/>
    <tableColumn id="2" name="Shift"/>
    <tableColumn id="3" name="Source"/>
    <tableColumn id="4" name="Material"/>
    <tableColumn id="5" name="Destination"/>
    <tableColumn id="6" name="Tonnes_t"/>
    <tableColumn id="7" name="Grade_gpt"/>
    <tableColumn id="8" name="BCM"/>
    <tableColumn id="9" name="Loads"/>
    <tableColumn id="10" name="Comments"/>
    <tableColumn id="11" name="Source_Type">
      <calculatedColumnFormula>IF(tblMovement[[#This Row],[Source]]="","",IFERROR(INDEX(tblSources[Type],MATCH(tblMovement[[#This Row],[Source]],tblSources[Source],0)),"?"))</calculatedColumnFormula>
    </tableColumn>
    <tableColumn id="12" name="Dest_Type">
      <calculatedColumnFormula>IF(tblMovement[[#This Row],[Destination]]="","",IFERROR(INDEX(tblDestinations[Type],MATCH(tblMovement[[#This Row],[Destination]],tblDestinations[Destination],0)),"?"))</calculatedColumnFormula>
    </tableColumn>
    <tableColumn id="13" name="Is_Ore">
      <calculatedColumnFormula>IF(tblMovement[[#This Row],[Material]]="","",IF(LEFT(tblMovement[[#This Row],[Material]],3)="Ore",1,0))</calculatedColumnFormula>
    </tableColumn>
    <tableColumn id="14" name="Contained_oz">
      <calculatedColumnFormula>IF(OR(tblMovement[[#This Row],[Tonnes_t]]="",tblMovement[[#This Row],[Grade_gpt]]=""),0,tblMovement[[#This Row],[Tonnes_t]]*tblMovement[[#This Row],[Grade_gpt]]/cfg_TroyOz)</calculatedColumnFormula>
    </tableColumn>
    <tableColumn id="15" name="Ore_oz">
      <calculatedColumnFormula>IF(tblMovement[[#This Row],[Is_Ore]]=1,tblMovement[[#This Row],[Contained_oz]],0)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iningDaily" displayName="tblMiningDaily" ref="A5:H370" headerRowCount="1">
  <autoFilter ref="A5:H370"/>
  <tableColumns count="8">
    <tableColumn id="1" name="Date"/>
    <tableColumn id="2" name="Drill_m"/>
    <tableColumn id="3" name="Blast_t"/>
    <tableColumn id="4" name="Explosives_kg"/>
    <tableColumn id="5" name="Diesel_L"/>
    <tableColumn id="6" name="Dewatering_m3"/>
    <tableColumn id="7" name="Comments"/>
    <tableColumn id="8" name="Powder_Factor_kgpt">
      <calculatedColumnFormula>IF(AND(tblMiningDaily[[#This Row],[Blast_t]]&lt;&gt;"",tblMiningDaily[[#This Row],[Blast_t]]&gt;0),tblMiningDaily[[#This Row],[Explosives_kg]]/tblMiningDaily[[#This Row],[Blast_t]],"")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leet" displayName="tblFleet" ref="A5:J3005" headerRowCount="1">
  <autoFilter ref="A5:J3005"/>
  <tableColumns count="10">
    <tableColumn id="1" name="Date"/>
    <tableColumn id="2" name="Equipment_Class"/>
    <tableColumn id="3" name="Units"/>
    <tableColumn id="4" name="Down_h"/>
    <tableColumn id="5" name="Operating_h"/>
    <tableColumn id="6" name="Comments"/>
    <tableColumn id="7" name="Calendar_h">
      <calculatedColumnFormula>IF(tblFleet[[#This Row],[Units]]="","",tblFleet[[#This Row],[Units]]*24)</calculatedColumnFormula>
    </tableColumn>
    <tableColumn id="8" name="Available_h">
      <calculatedColumnFormula>IF(tblFleet[[#This Row],[Units]]="","",tblFleet[[#This Row],[Calendar_h]]-tblFleet[[#This Row],[Down_h]])</calculatedColumnFormula>
    </tableColumn>
    <tableColumn id="9" name="Availability_pct">
      <calculatedColumnFormula>IF(AND(tblFleet[[#This Row],[Units]]&lt;&gt;"",tblFleet[[#This Row],[Calendar_h]]&gt;0),tblFleet[[#This Row],[Available_h]]/tblFleet[[#This Row],[Calendar_h]],"")</calculatedColumnFormula>
    </tableColumn>
    <tableColumn id="10" name="Utilisation_pct">
      <calculatedColumnFormula>IF(AND(tblFleet[[#This Row],[Units]]&lt;&gt;"",tblFleet[[#This Row],[Available_h]]&gt;0),tblFleet[[#This Row],[Operating_h]]/tblFleet[[#This Row],[Available_h]],"")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afety" displayName="tblSafety" ref="A5:S370" headerRowCount="1">
  <autoFilter ref="A5:S370"/>
  <tableColumns count="19">
    <tableColumn id="1" name="Date"/>
    <tableColumn id="2" name="Hours_Employees"/>
    <tableColumn id="3" name="Hours_Contractors"/>
    <tableColumn id="4" name="Fatality"/>
    <tableColumn id="5" name="LTI"/>
    <tableColumn id="6" name="RWI"/>
    <tableColumn id="7" name="MTI"/>
    <tableColumn id="8" name="FAI"/>
    <tableColumn id="9" name="Near_Miss"/>
    <tableColumn id="10" name="Hazard_Reports"/>
    <tableColumn id="11" name="HPI"/>
    <tableColumn id="12" name="Env_Incidents"/>
    <tableColumn id="13" name="Community_Incidents"/>
    <tableColumn id="14" name="Vehicle_Incidents"/>
    <tableColumn id="15" name="Toolbox_Talks"/>
    <tableColumn id="16" name="Inspections"/>
    <tableColumn id="17" name="Comments"/>
    <tableColumn id="18" name="Hours_Total">
      <calculatedColumnFormula>IF(AND(tblSafety[[#This Row],[Hours_Employees]]="",tblSafety[[#This Row],[Hours_Contractors]]=""),"",N(tblSafety[[#This Row],[Hours_Employees]])+N(tblSafety[[#This Row],[Hours_Contractors]]))</calculatedColumnFormula>
    </tableColumn>
    <tableColumn id="19" name="Recordables">
      <calculatedColumnFormula>N(tblSafety[[#This Row],[Fatality]])+N(tblSafety[[#This Row],[LTI]])+N(tblSafety[[#This Row],[RWI]])+N(tblSafety[[#This Row],[MTI]])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Gold" displayName="tblGold" ref="A5:G405" headerRowCount="1">
  <autoFilter ref="A5:G405"/>
  <tableColumns count="7">
    <tableColumn id="1" name="Date"/>
    <tableColumn id="2" name="Type"/>
    <tableColumn id="3" name="Dore_kg"/>
    <tableColumn id="4" name="Gold_oz"/>
    <tableColumn id="5" name="Silver_oz"/>
    <tableColumn id="6" name="Reference"/>
    <tableColumn id="7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udget" displayName="tblBudget" ref="A5:P17" headerRowCount="1">
  <autoFilter ref="A5:P17"/>
  <tableColumns count="16">
    <tableColumn id="1" name="Month"/>
    <tableColumn id="2" name="Ore_Mined_t"/>
    <tableColumn id="3" name="Ore_Grade_gpt"/>
    <tableColumn id="4" name="Waste_t"/>
    <tableColumn id="5" name="Milled_t"/>
    <tableColumn id="6" name="Head_Grade_gpt"/>
    <tableColumn id="7" name="Recovery_pct"/>
    <tableColumn id="8" name="Gold_Poured_oz"/>
    <tableColumn id="9" name="Hours_Worked"/>
    <tableColumn id="10" name="Drill_m"/>
    <tableColumn id="11" name="Diesel_L"/>
    <tableColumn id="12" name="Days">
      <calculatedColumnFormula>DAY(EOMONTH(tblBudget[[#This Row],[Month]],0))</calculatedColumnFormula>
    </tableColumn>
    <tableColumn id="13" name="Ore_oz">
      <calculatedColumnFormula>N(tblBudget[[#This Row],[Ore_Mined_t]])*N(tblBudget[[#This Row],[Ore_Grade_gpt]])/cfg_TroyOz</calculatedColumnFormula>
    </tableColumn>
    <tableColumn id="14" name="TMM_t">
      <calculatedColumnFormula>N(tblBudget[[#This Row],[Ore_Mined_t]])+N(tblBudget[[#This Row],[Waste_t]])</calculatedColumnFormula>
    </tableColumn>
    <tableColumn id="15" name="Feed_oz">
      <calculatedColumnFormula>N(tblBudget[[#This Row],[Milled_t]])*N(tblBudget[[#This Row],[Head_Grade_gpt]])/cfg_TroyOz</calculatedColumnFormula>
    </tableColumn>
    <tableColumn id="16" name="Recovered_oz">
      <calculatedColumnFormula>tblBudget[[#This Row],[Feed_oz]]*N(tblBudget[[#This Row],[Recovery_pct]])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ommentary" displayName="tblCommentary" ref="A5:F3005" headerRowCount="1">
  <autoFilter ref="A5:F3005"/>
  <tableColumns count="6">
    <tableColumn id="1" name="Date"/>
    <tableColumn id="2" name="Area"/>
    <tableColumn id="3" name="Comment"/>
    <tableColumn id="4" name="Author"/>
    <tableColumn id="5" name="Seq_Day">
      <calculatedColumnFormula>IF(tblCommentary[[#This Row],[Date]]="","",COUNTIFS(INDEX(tblCommentary[Date],1):tblCommentary[[#This Row],[Date]],tblCommentary[[#This Row],[Date]]))</calculatedColumnFormula>
    </tableColumn>
    <tableColumn id="6" name="Key_Day">
      <calculatedColumnFormula>IF(tblCommentary[[#This Row],[Date]]="","",tblCommentary[[#This Row],[Date]]&amp;"|"&amp;tblCommentary[[#This Row],[Seq_Day]])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tockpiles" displayName="tblStockpiles" ref="E5:I10" headerRowCount="1">
  <autoFilter ref="E5:I10"/>
  <tableColumns count="5">
    <tableColumn id="5" name="Stockpile"/>
    <tableColumn id="6" name="Opening_t"/>
    <tableColumn id="7" name="Opening_gpt"/>
    <tableColumn id="8" name="Plant_Feed"/>
    <tableColumn id="9" name="Survey_Da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SafetyHistory" displayName="tblSafetyHistory" ref="K5:N17" headerRowCount="1">
  <autoFilter ref="K5:N17"/>
  <tableColumns count="4">
    <tableColumn id="11" name="Month"/>
    <tableColumn id="12" name="Hours_Total"/>
    <tableColumn id="13" name="Recordables"/>
    <tableColumn id="14" name="LTI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List_Shift" displayName="tblList_Shift" ref="A5:A7" headerRowCount="1">
  <autoFilter ref="A5:A7"/>
  <tableColumns count="1">
    <tableColumn id="1" name="Shif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List_Material" displayName="tblList_Material" ref="C5:C11" headerRowCount="1">
  <autoFilter ref="C5:C11"/>
  <tableColumns count="1">
    <tableColumn id="3" name="Materi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List_Area" displayName="tblList_Area" ref="E5:E16" headerRowCount="1">
  <autoFilter ref="E5:E16"/>
  <tableColumns count="1">
    <tableColumn id="5" name="Are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List_Equipment_Class" displayName="tblList_Equipment_Class" ref="G5:G13" headerRowCount="1">
  <autoFilter ref="G5:G13"/>
  <tableColumns count="1">
    <tableColumn id="7" name="Equipment_Clas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List_Gold_Movement_Type" displayName="tblList_Gold_Movement_Type" ref="I5:I7" headerRowCount="1">
  <autoFilter ref="I5:I7"/>
  <tableColumns count="1">
    <tableColumn id="9" name="Gold_Movement_Typ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List_Yes_No" displayName="tblList_Yes_No" ref="K5:K7" headerRowCount="1">
  <autoFilter ref="K5:K7"/>
  <tableColumns count="1">
    <tableColumn id="11" name="Yes_N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List_Source_Type" displayName="tblList_Source_Type" ref="M5:M7" headerRowCount="1">
  <autoFilter ref="M5:M7"/>
  <tableColumns count="1">
    <tableColumn id="13" name="Source_Typ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blList_Destination_Type" displayName="tblList_Destination_Type" ref="O5:O8" headerRowCount="1">
  <autoFilter ref="O5:O8"/>
  <tableColumns count="1">
    <tableColumn id="15" name="Destination_Typ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blSources" displayName="tblSources" ref="R5:S12" headerRowCount="1">
  <autoFilter ref="R5:S12"/>
  <tableColumns count="2">
    <tableColumn id="18" name="Source"/>
    <tableColumn id="19" name="Typ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blDestinations" displayName="tblDestinations" ref="U5:V14" headerRowCount="1">
  <autoFilter ref="U5:V14"/>
  <tableColumns count="2">
    <tableColumn id="21" name="Destination"/>
    <tableColumn id="22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Relationship Type="http://schemas.openxmlformats.org/officeDocument/2006/relationships/table" Target="/xl/tables/table16.xml" Id="rId6" /><Relationship Type="http://schemas.openxmlformats.org/officeDocument/2006/relationships/table" Target="/xl/tables/table17.xml" Id="rId7" /><Relationship Type="http://schemas.openxmlformats.org/officeDocument/2006/relationships/table" Target="/xl/tables/table18.xml" Id="rId8" /><Relationship Type="http://schemas.openxmlformats.org/officeDocument/2006/relationships/table" Target="/xl/tables/table19.xml" Id="rId9" /><Relationship Type="http://schemas.openxmlformats.org/officeDocument/2006/relationships/table" Target="/xl/tables/table20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Mako Gold Mine Production System, 2026</t>
        </is>
      </c>
    </row>
    <row r="3">
      <c r="B3" s="2" t="inlineStr">
        <is>
          <t>Petowal Mining Company S.A.. Version 0.1.0. Generated workbook: do not restructure by hand; change the schema and regenerate.</t>
        </is>
      </c>
    </row>
    <row r="4">
      <c r="B4" s="3" t="inlineStr"/>
    </row>
    <row r="5">
      <c r="B5" s="4" t="inlineStr">
        <is>
          <t>How the workbook works</t>
        </is>
      </c>
    </row>
    <row r="6" ht="30" customHeight="1">
      <c r="B6" s="3" t="inlineStr">
        <is>
          <t>1. Inputs are the green tabs: Plant, Mining_Movements, Mining_Daily, Fleet, Safety, Gold, Commentary, Budget. Each is an Excel table. Type in the blue-headed columns only; grey-headed columns are formulas that fill automatically.</t>
        </is>
      </c>
    </row>
    <row r="7" ht="30" customHeight="1">
      <c r="B7" s="3" t="inlineStr">
        <is>
          <t>2. Calc_Daily rebuilds every KPI per day from the tables (day, month to date, year to date, budget). Daily_Report, Monthly_Summary and Dashboard read only from Calc_Daily.</t>
        </is>
      </c>
    </row>
    <row r="8" ht="15" customHeight="1">
      <c r="B8" s="3" t="inlineStr">
        <is>
          <t>3. There are no links to other workbooks and no macros. Copying the file anywhere keeps it working.</t>
        </is>
      </c>
    </row>
    <row r="9" ht="30" customHeight="1">
      <c r="B9" s="3" t="inlineStr">
        <is>
          <t>4. Lists holds every drop-down. Add a new pit, stockpile or equipment class there; do not type free text into list columns.</t>
        </is>
      </c>
    </row>
    <row r="10" ht="30" customHeight="1">
      <c r="B10" s="3" t="inlineStr">
        <is>
          <t>5. Config holds the year, the stockpile opening balances (survey at 1 January) and the prior-year safety history used for rolling 12-month rates.</t>
        </is>
      </c>
    </row>
    <row r="11">
      <c r="B11" s="3" t="inlineStr"/>
    </row>
    <row r="12">
      <c r="B12" s="4" t="inlineStr">
        <is>
          <t>Daily routine</t>
        </is>
      </c>
    </row>
    <row r="13" ht="45" customHeight="1">
      <c r="B13" s="3" t="inlineStr">
        <is>
          <t>Plant: enter the row for the day (dates are pre-filled). Mining: add one movement row per source, material and destination; add the Mining_Daily row and one Fleet row per equipment class. HSE: enter the Safety row. Everyone: one Commentary row per topic. Then open Daily_Report, check the date in C5, and print or export to PDF.</t>
        </is>
      </c>
    </row>
    <row r="14">
      <c r="B14" s="3" t="inlineStr"/>
    </row>
    <row r="15">
      <c r="B15" s="4" t="inlineStr">
        <is>
          <t>Rules</t>
        </is>
      </c>
    </row>
    <row r="16" ht="30" customHeight="1">
      <c r="B16" s="3" t="inlineStr">
        <is>
          <t>Do not insert columns inside tables, rename headers or move sheets. Add rows at the bottom of a table only. Blank means not reported; zero means reported as zero. Grades in g/t, tonnes dry metric, gold in troy ounces (31.1035 g).</t>
        </is>
      </c>
    </row>
    <row r="17" ht="30" customHeight="1">
      <c r="B17" s="3" t="inlineStr">
        <is>
          <t>Ore versus waste follows the Material list: anything starting with Ore counts as ore. Ex-pit movements (Source type Pit) count to TMM and strip ratio; movements from stockpiles are rehandle.</t>
        </is>
      </c>
    </row>
    <row r="18" ht="45" customHeight="1">
      <c r="B18" s="3" t="inlineStr">
        <is>
          <t>Recovery is calculated from head and tails grades (1 minus tails over head). Gold recovered is milled tonnes x (head minus tails) / 31.1035. Monthly metallurgical accounting adjustments are handled outside this workbook until the web system takes over.</t>
        </is>
      </c>
    </row>
    <row r="19" ht="30" customHeight="1">
      <c r="B19" s="3" t="inlineStr">
        <is>
          <t>TRIFR and LTIFR are per million hours over the last 12 calendar months plus the current month to date, using the Config history for months before this year.</t>
        </is>
      </c>
    </row>
    <row r="20">
      <c r="B20" s="3" t="inlineStr"/>
    </row>
    <row r="21">
      <c r="B21" s="4" t="inlineStr">
        <is>
          <t>Support</t>
        </is>
      </c>
    </row>
    <row r="22" ht="30" customHeight="1">
      <c r="B22" s="3" t="inlineStr">
        <is>
          <t>Schema and generator: mps_schema.json and build_workbook.py in the MPS tools folder. Report issues to the Director, Operations and Projects.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2:L8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8" customWidth="1" min="3" max="3"/>
    <col width="13" customWidth="1" min="4" max="4"/>
    <col width="13" customWidth="1" min="5" max="5"/>
    <col width="13" customWidth="1" min="6" max="6"/>
    <col width="9" customWidth="1" min="7" max="7"/>
    <col width="13" customWidth="1" min="8" max="8"/>
    <col width="13" customWidth="1" min="9" max="9"/>
    <col width="9" customWidth="1" min="10" max="10"/>
    <col width="2" customWidth="1" min="11" max="11"/>
    <col width="10" customWidth="1" min="12" max="12"/>
  </cols>
  <sheetData>
    <row r="2">
      <c r="B2" s="5">
        <f>cfg_ReportTitle</f>
        <v/>
      </c>
    </row>
    <row r="3">
      <c r="B3" s="6">
        <f>cfg_Company&amp;" | "&amp;cfg_Site</f>
        <v/>
      </c>
    </row>
    <row r="4">
      <c r="L4" s="7" t="inlineStr">
        <is>
          <t>row</t>
        </is>
      </c>
    </row>
    <row r="5">
      <c r="B5" s="8" t="inlineStr">
        <is>
          <t>Report date</t>
        </is>
      </c>
      <c r="C5" s="9">
        <f>MAX(cfg_YearStart,MIN(TODAY()-1,cfg_YearEnd,IF(N(cfg_LastDataDate)&gt;0,cfg_LastDataDate,cfg_YearEnd)))</f>
        <v/>
      </c>
      <c r="D5" s="10" t="n"/>
      <c r="E5" s="11" t="n"/>
      <c r="F5" s="12" t="inlineStr">
        <is>
          <t>Type a date to change the report day. To restore the default enter =MIN(TODAY()-1,cfg_LastDataDate)</t>
        </is>
      </c>
      <c r="L5" s="7">
        <f>IFERROR(MATCH($C$5,cd_Date,0),NA())</f>
        <v/>
      </c>
    </row>
    <row r="6">
      <c r="B6" s="13">
        <f>"Data to "&amp;IF(N(cfg_LastDataDate)&gt;0,TEXT(cfg_LastDataDate,"dd mmm yyyy"),"(no plant data yet)")&amp;"  |  Week "&amp;_xlfn.ISOWEEKNUM($C$5)&amp;"  |  Day "&amp;DAY($C$5)&amp;" of "&amp;DAY(EOMONTH($C$5,0))</f>
        <v/>
      </c>
    </row>
    <row r="8">
      <c r="B8" s="14" t="inlineStr">
        <is>
          <t>SAFETY</t>
        </is>
      </c>
      <c r="C8" s="15" t="inlineStr">
        <is>
          <t>Unit</t>
        </is>
      </c>
      <c r="D8" s="15" t="inlineStr">
        <is>
          <t>Day</t>
        </is>
      </c>
      <c r="E8" s="15" t="inlineStr">
        <is>
          <t>MTD</t>
        </is>
      </c>
      <c r="F8" s="15" t="inlineStr">
        <is>
          <t>MTD budget</t>
        </is>
      </c>
      <c r="G8" s="15" t="inlineStr">
        <is>
          <t>Var %</t>
        </is>
      </c>
      <c r="H8" s="15" t="inlineStr">
        <is>
          <t>YTD</t>
        </is>
      </c>
      <c r="I8" s="15" t="inlineStr">
        <is>
          <t>YTD budget</t>
        </is>
      </c>
      <c r="J8" s="15" t="inlineStr">
        <is>
          <t>Var %</t>
        </is>
      </c>
    </row>
    <row r="9">
      <c r="B9" s="16" t="inlineStr">
        <is>
          <t>Hours worked</t>
        </is>
      </c>
      <c r="C9" s="17" t="inlineStr">
        <is>
          <t>h</t>
        </is>
      </c>
      <c r="D9" s="18">
        <f>IFERROR(INDEX(cd_Hours_Worked,rpt_Row),"")</f>
        <v/>
      </c>
      <c r="E9" s="18">
        <f>IFERROR(INDEX(cd_Hours_Worked_MTD,rpt_Row),"")</f>
        <v/>
      </c>
      <c r="F9" s="18">
        <f>IFERROR(INDEX(cd_Bud_Hours_Worked_MTD,rpt_Row),"")</f>
        <v/>
      </c>
      <c r="G9" s="19">
        <f>IF(AND(ISNUMBER(F9),ISNUMBER(E9),F9&lt;&gt;0),E9/F9-1,"")</f>
        <v/>
      </c>
      <c r="H9" s="18">
        <f>IFERROR(INDEX(cd_Hours_Worked_YTD,rpt_Row),"")</f>
        <v/>
      </c>
      <c r="I9" s="18">
        <f>IFERROR(INDEX(cd_Bud_Hours_Worked_YTD,rpt_Row),"")</f>
        <v/>
      </c>
      <c r="J9" s="19">
        <f>IF(AND(ISNUMBER(I9),ISNUMBER(H9),I9&lt;&gt;0),H9/I9-1,"")</f>
        <v/>
      </c>
    </row>
    <row r="10">
      <c r="B10" s="16" t="inlineStr">
        <is>
          <t>Recordable injuries</t>
        </is>
      </c>
      <c r="C10" s="17" t="inlineStr"/>
      <c r="D10" s="20">
        <f>IFERROR(INDEX(cd_Recordables,rpt_Row),"")</f>
        <v/>
      </c>
      <c r="E10" s="20">
        <f>IFERROR(INDEX(cd_Recordables_MTD,rpt_Row),"")</f>
        <v/>
      </c>
      <c r="F10" s="21" t="n"/>
      <c r="G10" s="21" t="n"/>
      <c r="H10" s="20">
        <f>IFERROR(INDEX(cd_Recordables_YTD,rpt_Row),"")</f>
        <v/>
      </c>
      <c r="I10" s="21" t="n"/>
      <c r="J10" s="21" t="n"/>
    </row>
    <row r="11">
      <c r="B11" s="16" t="inlineStr">
        <is>
          <t>Lost time injuries</t>
        </is>
      </c>
      <c r="C11" s="17" t="inlineStr"/>
      <c r="D11" s="20">
        <f>IFERROR(INDEX(cd_LTI,rpt_Row),"")</f>
        <v/>
      </c>
      <c r="E11" s="20">
        <f>IFERROR(INDEX(cd_LTI_MTD,rpt_Row),"")</f>
        <v/>
      </c>
      <c r="F11" s="21" t="n"/>
      <c r="G11" s="21" t="n"/>
      <c r="H11" s="20">
        <f>IFERROR(INDEX(cd_LTI_YTD,rpt_Row),"")</f>
        <v/>
      </c>
      <c r="I11" s="21" t="n"/>
      <c r="J11" s="21" t="n"/>
    </row>
    <row r="12">
      <c r="B12" s="16" t="inlineStr">
        <is>
          <t>Restricted work injuries</t>
        </is>
      </c>
      <c r="C12" s="17" t="inlineStr"/>
      <c r="D12" s="20">
        <f>IFERROR(INDEX(cd_RWI,rpt_Row),"")</f>
        <v/>
      </c>
      <c r="E12" s="20">
        <f>IFERROR(INDEX(cd_RWI_MTD,rpt_Row),"")</f>
        <v/>
      </c>
      <c r="F12" s="21" t="n"/>
      <c r="G12" s="21" t="n"/>
      <c r="H12" s="20">
        <f>IFERROR(INDEX(cd_RWI_YTD,rpt_Row),"")</f>
        <v/>
      </c>
      <c r="I12" s="21" t="n"/>
      <c r="J12" s="21" t="n"/>
    </row>
    <row r="13">
      <c r="B13" s="16" t="inlineStr">
        <is>
          <t>Medical treatment injuries</t>
        </is>
      </c>
      <c r="C13" s="17" t="inlineStr"/>
      <c r="D13" s="20">
        <f>IFERROR(INDEX(cd_MTI,rpt_Row),"")</f>
        <v/>
      </c>
      <c r="E13" s="20">
        <f>IFERROR(INDEX(cd_MTI_MTD,rpt_Row),"")</f>
        <v/>
      </c>
      <c r="F13" s="21" t="n"/>
      <c r="G13" s="21" t="n"/>
      <c r="H13" s="20">
        <f>IFERROR(INDEX(cd_MTI_YTD,rpt_Row),"")</f>
        <v/>
      </c>
      <c r="I13" s="21" t="n"/>
      <c r="J13" s="21" t="n"/>
    </row>
    <row r="14">
      <c r="B14" s="16" t="inlineStr">
        <is>
          <t>First aid injuries</t>
        </is>
      </c>
      <c r="C14" s="17" t="inlineStr"/>
      <c r="D14" s="20">
        <f>IFERROR(INDEX(cd_FAI,rpt_Row),"")</f>
        <v/>
      </c>
      <c r="E14" s="20">
        <f>IFERROR(INDEX(cd_FAI_MTD,rpt_Row),"")</f>
        <v/>
      </c>
      <c r="F14" s="21" t="n"/>
      <c r="G14" s="21" t="n"/>
      <c r="H14" s="20">
        <f>IFERROR(INDEX(cd_FAI_YTD,rpt_Row),"")</f>
        <v/>
      </c>
      <c r="I14" s="21" t="n"/>
      <c r="J14" s="21" t="n"/>
    </row>
    <row r="15">
      <c r="B15" s="16" t="inlineStr">
        <is>
          <t>Near misses</t>
        </is>
      </c>
      <c r="C15" s="17" t="inlineStr"/>
      <c r="D15" s="20">
        <f>IFERROR(INDEX(cd_Near_Miss,rpt_Row),"")</f>
        <v/>
      </c>
      <c r="E15" s="20">
        <f>IFERROR(INDEX(cd_Near_Miss_MTD,rpt_Row),"")</f>
        <v/>
      </c>
      <c r="F15" s="21" t="n"/>
      <c r="G15" s="21" t="n"/>
      <c r="H15" s="20">
        <f>IFERROR(INDEX(cd_Near_Miss_YTD,rpt_Row),"")</f>
        <v/>
      </c>
      <c r="I15" s="21" t="n"/>
      <c r="J15" s="21" t="n"/>
    </row>
    <row r="16">
      <c r="B16" s="16" t="inlineStr">
        <is>
          <t>Hazard reports</t>
        </is>
      </c>
      <c r="C16" s="17" t="inlineStr"/>
      <c r="D16" s="20">
        <f>IFERROR(INDEX(cd_Hazard_Reports,rpt_Row),"")</f>
        <v/>
      </c>
      <c r="E16" s="20">
        <f>IFERROR(INDEX(cd_Hazard_Reports_MTD,rpt_Row),"")</f>
        <v/>
      </c>
      <c r="F16" s="21" t="n"/>
      <c r="G16" s="21" t="n"/>
      <c r="H16" s="20">
        <f>IFERROR(INDEX(cd_Hazard_Reports_YTD,rpt_Row),"")</f>
        <v/>
      </c>
      <c r="I16" s="21" t="n"/>
      <c r="J16" s="21" t="n"/>
    </row>
    <row r="17">
      <c r="B17" s="16" t="inlineStr">
        <is>
          <t>High potential incidents</t>
        </is>
      </c>
      <c r="C17" s="17" t="inlineStr"/>
      <c r="D17" s="20">
        <f>IFERROR(INDEX(cd_HPI,rpt_Row),"")</f>
        <v/>
      </c>
      <c r="E17" s="20">
        <f>IFERROR(INDEX(cd_HPI_MTD,rpt_Row),"")</f>
        <v/>
      </c>
      <c r="F17" s="21" t="n"/>
      <c r="G17" s="21" t="n"/>
      <c r="H17" s="20">
        <f>IFERROR(INDEX(cd_HPI_YTD,rpt_Row),"")</f>
        <v/>
      </c>
      <c r="I17" s="21" t="n"/>
      <c r="J17" s="21" t="n"/>
    </row>
    <row r="18">
      <c r="B18" s="16" t="inlineStr">
        <is>
          <t>Environmental incidents</t>
        </is>
      </c>
      <c r="C18" s="17" t="inlineStr"/>
      <c r="D18" s="20">
        <f>IFERROR(INDEX(cd_Env_Incidents,rpt_Row),"")</f>
        <v/>
      </c>
      <c r="E18" s="20">
        <f>IFERROR(INDEX(cd_Env_Incidents_MTD,rpt_Row),"")</f>
        <v/>
      </c>
      <c r="F18" s="21" t="n"/>
      <c r="G18" s="21" t="n"/>
      <c r="H18" s="20">
        <f>IFERROR(INDEX(cd_Env_Incidents_YTD,rpt_Row),"")</f>
        <v/>
      </c>
      <c r="I18" s="21" t="n"/>
      <c r="J18" s="21" t="n"/>
    </row>
    <row r="19">
      <c r="B19" s="16" t="inlineStr">
        <is>
          <t>Community incidents</t>
        </is>
      </c>
      <c r="C19" s="17" t="inlineStr"/>
      <c r="D19" s="20">
        <f>IFERROR(INDEX(cd_Community_Incidents,rpt_Row),"")</f>
        <v/>
      </c>
      <c r="E19" s="20">
        <f>IFERROR(INDEX(cd_Community_Incidents_MTD,rpt_Row),"")</f>
        <v/>
      </c>
      <c r="F19" s="21" t="n"/>
      <c r="G19" s="21" t="n"/>
      <c r="H19" s="20">
        <f>IFERROR(INDEX(cd_Community_Incidents_YTD,rpt_Row),"")</f>
        <v/>
      </c>
      <c r="I19" s="21" t="n"/>
      <c r="J19" s="21" t="n"/>
    </row>
    <row r="20">
      <c r="B20" s="16" t="inlineStr">
        <is>
          <t>Vehicle incidents</t>
        </is>
      </c>
      <c r="C20" s="17" t="inlineStr"/>
      <c r="D20" s="20">
        <f>IFERROR(INDEX(cd_Vehicle_Incidents,rpt_Row),"")</f>
        <v/>
      </c>
      <c r="E20" s="20">
        <f>IFERROR(INDEX(cd_Vehicle_Incidents_MTD,rpt_Row),"")</f>
        <v/>
      </c>
      <c r="F20" s="21" t="n"/>
      <c r="G20" s="21" t="n"/>
      <c r="H20" s="20">
        <f>IFERROR(INDEX(cd_Vehicle_Incidents_YTD,rpt_Row),"")</f>
        <v/>
      </c>
      <c r="I20" s="21" t="n"/>
      <c r="J20" s="21" t="n"/>
    </row>
    <row r="21">
      <c r="B21" s="16" t="inlineStr">
        <is>
          <t>TRIFR, rolling 12 months + MTD</t>
        </is>
      </c>
      <c r="C21" s="17" t="inlineStr"/>
      <c r="D21" s="22">
        <f>IFERROR(INDEX(cd_TRIFR_12m,rpt_Row),"")</f>
        <v/>
      </c>
      <c r="E21" s="21" t="n"/>
      <c r="F21" s="21" t="n"/>
      <c r="G21" s="21" t="n"/>
      <c r="H21" s="21" t="n"/>
      <c r="I21" s="21" t="n"/>
      <c r="J21" s="21" t="n"/>
    </row>
    <row r="22">
      <c r="B22" s="16" t="inlineStr">
        <is>
          <t>LTIFR, rolling 12 months + MTD</t>
        </is>
      </c>
      <c r="C22" s="17" t="inlineStr"/>
      <c r="D22" s="22">
        <f>IFERROR(INDEX(cd_LTIFR_12m,rpt_Row),"")</f>
        <v/>
      </c>
      <c r="E22" s="21" t="n"/>
      <c r="F22" s="21" t="n"/>
      <c r="G22" s="21" t="n"/>
      <c r="H22" s="21" t="n"/>
      <c r="I22" s="21" t="n"/>
      <c r="J22" s="21" t="n"/>
    </row>
    <row r="23">
      <c r="B23" s="16" t="inlineStr">
        <is>
          <t>Days since last LTI</t>
        </is>
      </c>
      <c r="C23" s="17" t="inlineStr"/>
      <c r="D23" s="20">
        <f>IFERROR(INDEX(cd_Days_Since_LTI,rpt_Row),"")</f>
        <v/>
      </c>
      <c r="E23" s="21" t="n"/>
      <c r="F23" s="21" t="n"/>
      <c r="G23" s="21" t="n"/>
      <c r="H23" s="21" t="n"/>
      <c r="I23" s="21" t="n"/>
      <c r="J23" s="21" t="n"/>
    </row>
    <row r="25">
      <c r="B25" s="14" t="inlineStr">
        <is>
          <t>MINING</t>
        </is>
      </c>
      <c r="C25" s="15" t="inlineStr">
        <is>
          <t>Unit</t>
        </is>
      </c>
      <c r="D25" s="15" t="inlineStr">
        <is>
          <t>Day</t>
        </is>
      </c>
      <c r="E25" s="15" t="inlineStr">
        <is>
          <t>MTD</t>
        </is>
      </c>
      <c r="F25" s="15" t="inlineStr">
        <is>
          <t>MTD budget</t>
        </is>
      </c>
      <c r="G25" s="15" t="inlineStr">
        <is>
          <t>Var %</t>
        </is>
      </c>
      <c r="H25" s="15" t="inlineStr">
        <is>
          <t>YTD</t>
        </is>
      </c>
      <c r="I25" s="15" t="inlineStr">
        <is>
          <t>YTD budget</t>
        </is>
      </c>
      <c r="J25" s="15" t="inlineStr">
        <is>
          <t>Var %</t>
        </is>
      </c>
    </row>
    <row r="26">
      <c r="B26" s="16" t="inlineStr">
        <is>
          <t>Ore mined (ex-pit)</t>
        </is>
      </c>
      <c r="C26" s="17" t="inlineStr">
        <is>
          <t>t</t>
        </is>
      </c>
      <c r="D26" s="23">
        <f>IFERROR(INDEX(cd_Ore_Mined_t,rpt_Row),"")</f>
        <v/>
      </c>
      <c r="E26" s="23">
        <f>IFERROR(INDEX(cd_Ore_Mined_t_MTD,rpt_Row),"")</f>
        <v/>
      </c>
      <c r="F26" s="23">
        <f>IFERROR(INDEX(cd_Bud_Ore_Mined_t_MTD,rpt_Row),"")</f>
        <v/>
      </c>
      <c r="G26" s="19">
        <f>IF(AND(ISNUMBER(F26),ISNUMBER(E26),F26&lt;&gt;0),E26/F26-1,"")</f>
        <v/>
      </c>
      <c r="H26" s="23">
        <f>IFERROR(INDEX(cd_Ore_Mined_t_YTD,rpt_Row),"")</f>
        <v/>
      </c>
      <c r="I26" s="23">
        <f>IFERROR(INDEX(cd_Bud_Ore_Mined_t_YTD,rpt_Row),"")</f>
        <v/>
      </c>
      <c r="J26" s="19">
        <f>IF(AND(ISNUMBER(I26),ISNUMBER(H26),I26&lt;&gt;0),H26/I26-1,"")</f>
        <v/>
      </c>
    </row>
    <row r="27">
      <c r="B27" s="16" t="inlineStr">
        <is>
          <t>Ore grade mined</t>
        </is>
      </c>
      <c r="C27" s="17" t="inlineStr">
        <is>
          <t>g/t</t>
        </is>
      </c>
      <c r="D27" s="22">
        <f>IFERROR(INDEX(cd_Ore_Grade_gpt,rpt_Row),"")</f>
        <v/>
      </c>
      <c r="E27" s="22">
        <f>IFERROR(INDEX(cd_Ore_Grade_gpt_MTD,rpt_Row),"")</f>
        <v/>
      </c>
      <c r="F27" s="22">
        <f>IFERROR(INDEX(cd_Bud_Ore_Grade_gpt_MTD,rpt_Row),"")</f>
        <v/>
      </c>
      <c r="G27" s="19">
        <f>IF(AND(ISNUMBER(F27),ISNUMBER(E27),F27&lt;&gt;0),E27/F27-1,"")</f>
        <v/>
      </c>
      <c r="H27" s="22">
        <f>IFERROR(INDEX(cd_Ore_Grade_gpt_YTD,rpt_Row),"")</f>
        <v/>
      </c>
      <c r="I27" s="22">
        <f>IFERROR(INDEX(cd_Bud_Ore_Grade_gpt_YTD,rpt_Row),"")</f>
        <v/>
      </c>
      <c r="J27" s="19">
        <f>IF(AND(ISNUMBER(I27),ISNUMBER(H27),I27&lt;&gt;0),H27/I27-1,"")</f>
        <v/>
      </c>
    </row>
    <row r="28">
      <c r="B28" s="16" t="inlineStr">
        <is>
          <t>Contained gold mined</t>
        </is>
      </c>
      <c r="C28" s="17" t="inlineStr">
        <is>
          <t>oz</t>
        </is>
      </c>
      <c r="D28" s="23">
        <f>IFERROR(INDEX(cd_Ore_Mined_oz,rpt_Row),"")</f>
        <v/>
      </c>
      <c r="E28" s="23">
        <f>IFERROR(INDEX(cd_Ore_Mined_oz_MTD,rpt_Row),"")</f>
        <v/>
      </c>
      <c r="F28" s="23">
        <f>IFERROR(INDEX(cd_Bud_Ore_Mined_oz_MTD,rpt_Row),"")</f>
        <v/>
      </c>
      <c r="G28" s="19">
        <f>IF(AND(ISNUMBER(F28),ISNUMBER(E28),F28&lt;&gt;0),E28/F28-1,"")</f>
        <v/>
      </c>
      <c r="H28" s="23">
        <f>IFERROR(INDEX(cd_Ore_Mined_oz_YTD,rpt_Row),"")</f>
        <v/>
      </c>
      <c r="I28" s="23">
        <f>IFERROR(INDEX(cd_Bud_Ore_Mined_oz_YTD,rpt_Row),"")</f>
        <v/>
      </c>
      <c r="J28" s="19">
        <f>IF(AND(ISNUMBER(I28),ISNUMBER(H28),I28&lt;&gt;0),H28/I28-1,"")</f>
        <v/>
      </c>
    </row>
    <row r="29">
      <c r="B29" s="16" t="inlineStr">
        <is>
          <t>Waste mined</t>
        </is>
      </c>
      <c r="C29" s="17" t="inlineStr">
        <is>
          <t>t</t>
        </is>
      </c>
      <c r="D29" s="23">
        <f>IFERROR(INDEX(cd_Waste_t,rpt_Row),"")</f>
        <v/>
      </c>
      <c r="E29" s="23">
        <f>IFERROR(INDEX(cd_Waste_t_MTD,rpt_Row),"")</f>
        <v/>
      </c>
      <c r="F29" s="23">
        <f>IFERROR(INDEX(cd_Bud_Waste_t_MTD,rpt_Row),"")</f>
        <v/>
      </c>
      <c r="G29" s="19">
        <f>IF(AND(ISNUMBER(F29),ISNUMBER(E29),F29&lt;&gt;0),E29/F29-1,"")</f>
        <v/>
      </c>
      <c r="H29" s="23">
        <f>IFERROR(INDEX(cd_Waste_t_YTD,rpt_Row),"")</f>
        <v/>
      </c>
      <c r="I29" s="23">
        <f>IFERROR(INDEX(cd_Bud_Waste_t_YTD,rpt_Row),"")</f>
        <v/>
      </c>
      <c r="J29" s="19">
        <f>IF(AND(ISNUMBER(I29),ISNUMBER(H29),I29&lt;&gt;0),H29/I29-1,"")</f>
        <v/>
      </c>
    </row>
    <row r="30">
      <c r="B30" s="16" t="inlineStr">
        <is>
          <t>Total material moved</t>
        </is>
      </c>
      <c r="C30" s="17" t="inlineStr">
        <is>
          <t>t</t>
        </is>
      </c>
      <c r="D30" s="23">
        <f>IFERROR(INDEX(cd_TMM_t,rpt_Row),"")</f>
        <v/>
      </c>
      <c r="E30" s="23">
        <f>IFERROR(INDEX(cd_TMM_t_MTD,rpt_Row),"")</f>
        <v/>
      </c>
      <c r="F30" s="23">
        <f>IFERROR(INDEX(cd_Bud_TMM_t_MTD,rpt_Row),"")</f>
        <v/>
      </c>
      <c r="G30" s="19">
        <f>IF(AND(ISNUMBER(F30),ISNUMBER(E30),F30&lt;&gt;0),E30/F30-1,"")</f>
        <v/>
      </c>
      <c r="H30" s="23">
        <f>IFERROR(INDEX(cd_TMM_t_YTD,rpt_Row),"")</f>
        <v/>
      </c>
      <c r="I30" s="23">
        <f>IFERROR(INDEX(cd_Bud_TMM_t_YTD,rpt_Row),"")</f>
        <v/>
      </c>
      <c r="J30" s="19">
        <f>IF(AND(ISNUMBER(I30),ISNUMBER(H30),I30&lt;&gt;0),H30/I30-1,"")</f>
        <v/>
      </c>
    </row>
    <row r="31">
      <c r="B31" s="16" t="inlineStr">
        <is>
          <t>Strip ratio (waste : ore)</t>
        </is>
      </c>
      <c r="C31" s="17" t="inlineStr"/>
      <c r="D31" s="22">
        <f>IFERROR(INDEX(cd_Strip_Ratio,rpt_Row),"")</f>
        <v/>
      </c>
      <c r="E31" s="22">
        <f>IFERROR(INDEX(cd_Strip_Ratio_MTD,rpt_Row),"")</f>
        <v/>
      </c>
      <c r="F31" s="22">
        <f>IFERROR(INDEX(cd_Bud_Strip_Ratio_MTD,rpt_Row),"")</f>
        <v/>
      </c>
      <c r="G31" s="19">
        <f>IF(AND(ISNUMBER(F31),ISNUMBER(E31),F31&lt;&gt;0),E31/F31-1,"")</f>
        <v/>
      </c>
      <c r="H31" s="22">
        <f>IFERROR(INDEX(cd_Strip_Ratio_YTD,rpt_Row),"")</f>
        <v/>
      </c>
      <c r="I31" s="22">
        <f>IFERROR(INDEX(cd_Bud_Strip_Ratio_YTD,rpt_Row),"")</f>
        <v/>
      </c>
      <c r="J31" s="19">
        <f>IF(AND(ISNUMBER(I31),ISNUMBER(H31),I31&lt;&gt;0),H31/I31-1,"")</f>
        <v/>
      </c>
    </row>
    <row r="32">
      <c r="B32" s="16" t="inlineStr">
        <is>
          <t>Rehandle from stockpiles</t>
        </is>
      </c>
      <c r="C32" s="17" t="inlineStr">
        <is>
          <t>t</t>
        </is>
      </c>
      <c r="D32" s="23">
        <f>IFERROR(INDEX(cd_Rehandle_t,rpt_Row),"")</f>
        <v/>
      </c>
      <c r="E32" s="23">
        <f>IFERROR(INDEX(cd_Rehandle_t_MTD,rpt_Row),"")</f>
        <v/>
      </c>
      <c r="F32" s="21" t="n"/>
      <c r="G32" s="21" t="n"/>
      <c r="H32" s="23">
        <f>IFERROR(INDEX(cd_Rehandle_t_YTD,rpt_Row),"")</f>
        <v/>
      </c>
      <c r="I32" s="21" t="n"/>
      <c r="J32" s="21" t="n"/>
    </row>
    <row r="33">
      <c r="B33" s="16" t="inlineStr">
        <is>
          <t>Drilled</t>
        </is>
      </c>
      <c r="C33" s="17" t="inlineStr">
        <is>
          <t>m</t>
        </is>
      </c>
      <c r="D33" s="23">
        <f>IFERROR(INDEX(cd_Drill_m,rpt_Row),"")</f>
        <v/>
      </c>
      <c r="E33" s="23">
        <f>IFERROR(INDEX(cd_Drill_m_MTD,rpt_Row),"")</f>
        <v/>
      </c>
      <c r="F33" s="23">
        <f>IFERROR(INDEX(cd_Bud_Drill_m_MTD,rpt_Row),"")</f>
        <v/>
      </c>
      <c r="G33" s="19">
        <f>IF(AND(ISNUMBER(F33),ISNUMBER(E33),F33&lt;&gt;0),E33/F33-1,"")</f>
        <v/>
      </c>
      <c r="H33" s="23">
        <f>IFERROR(INDEX(cd_Drill_m_YTD,rpt_Row),"")</f>
        <v/>
      </c>
      <c r="I33" s="23">
        <f>IFERROR(INDEX(cd_Bud_Drill_m_YTD,rpt_Row),"")</f>
        <v/>
      </c>
      <c r="J33" s="19">
        <f>IF(AND(ISNUMBER(I33),ISNUMBER(H33),I33&lt;&gt;0),H33/I33-1,"")</f>
        <v/>
      </c>
    </row>
    <row r="34">
      <c r="B34" s="16" t="inlineStr">
        <is>
          <t>Blasted</t>
        </is>
      </c>
      <c r="C34" s="17" t="inlineStr">
        <is>
          <t>t</t>
        </is>
      </c>
      <c r="D34" s="23">
        <f>IFERROR(INDEX(cd_Blast_t,rpt_Row),"")</f>
        <v/>
      </c>
      <c r="E34" s="23">
        <f>IFERROR(INDEX(cd_Blast_t_MTD,rpt_Row),"")</f>
        <v/>
      </c>
      <c r="F34" s="21" t="n"/>
      <c r="G34" s="21" t="n"/>
      <c r="H34" s="23">
        <f>IFERROR(INDEX(cd_Blast_t_YTD,rpt_Row),"")</f>
        <v/>
      </c>
      <c r="I34" s="21" t="n"/>
      <c r="J34" s="21" t="n"/>
    </row>
    <row r="35">
      <c r="B35" s="16" t="inlineStr">
        <is>
          <t>Powder factor</t>
        </is>
      </c>
      <c r="C35" s="17" t="inlineStr">
        <is>
          <t>kg/t</t>
        </is>
      </c>
      <c r="D35" s="22">
        <f>IFERROR(INDEX(cd_Powder_Factor_kgpt,rpt_Row),"")</f>
        <v/>
      </c>
      <c r="E35" s="22">
        <f>IFERROR(INDEX(cd_Powder_Factor_kgpt_MTD,rpt_Row),"")</f>
        <v/>
      </c>
      <c r="F35" s="21" t="n"/>
      <c r="G35" s="21" t="n"/>
      <c r="H35" s="22">
        <f>IFERROR(INDEX(cd_Powder_Factor_kgpt_YTD,rpt_Row),"")</f>
        <v/>
      </c>
      <c r="I35" s="21" t="n"/>
      <c r="J35" s="21" t="n"/>
    </row>
    <row r="36">
      <c r="B36" s="16" t="inlineStr">
        <is>
          <t>Mining diesel</t>
        </is>
      </c>
      <c r="C36" s="17" t="inlineStr">
        <is>
          <t>L</t>
        </is>
      </c>
      <c r="D36" s="23">
        <f>IFERROR(INDEX(cd_Diesel_Mining_L,rpt_Row),"")</f>
        <v/>
      </c>
      <c r="E36" s="23">
        <f>IFERROR(INDEX(cd_Diesel_Mining_L_MTD,rpt_Row),"")</f>
        <v/>
      </c>
      <c r="F36" s="23">
        <f>IFERROR(INDEX(cd_Bud_Diesel_Mining_L_MTD,rpt_Row),"")</f>
        <v/>
      </c>
      <c r="G36" s="19">
        <f>IF(AND(ISNUMBER(F36),ISNUMBER(E36),F36&lt;&gt;0),E36/F36-1,"")</f>
        <v/>
      </c>
      <c r="H36" s="23">
        <f>IFERROR(INDEX(cd_Diesel_Mining_L_YTD,rpt_Row),"")</f>
        <v/>
      </c>
      <c r="I36" s="23">
        <f>IFERROR(INDEX(cd_Bud_Diesel_Mining_L_YTD,rpt_Row),"")</f>
        <v/>
      </c>
      <c r="J36" s="19">
        <f>IF(AND(ISNUMBER(I36),ISNUMBER(H36),I36&lt;&gt;0),H36/I36-1,"")</f>
        <v/>
      </c>
    </row>
    <row r="37">
      <c r="B37" s="16" t="inlineStr">
        <is>
          <t>Excavator availability</t>
        </is>
      </c>
      <c r="C37" s="17" t="inlineStr">
        <is>
          <t>%</t>
        </is>
      </c>
      <c r="D37" s="24">
        <f>IFERROR(INDEX(cd_Exc_Availability_pct,rpt_Row),"")</f>
        <v/>
      </c>
      <c r="E37" s="24">
        <f>IFERROR(INDEX(cd_Exc_Availability_pct_MTD,rpt_Row),"")</f>
        <v/>
      </c>
      <c r="F37" s="21" t="n"/>
      <c r="G37" s="21" t="n"/>
      <c r="H37" s="24">
        <f>IFERROR(INDEX(cd_Exc_Availability_pct_YTD,rpt_Row),"")</f>
        <v/>
      </c>
      <c r="I37" s="21" t="n"/>
      <c r="J37" s="21" t="n"/>
    </row>
    <row r="38">
      <c r="B38" s="16" t="inlineStr">
        <is>
          <t>Excavator utilisation</t>
        </is>
      </c>
      <c r="C38" s="17" t="inlineStr">
        <is>
          <t>%</t>
        </is>
      </c>
      <c r="D38" s="24">
        <f>IFERROR(INDEX(cd_Exc_Utilisation_pct,rpt_Row),"")</f>
        <v/>
      </c>
      <c r="E38" s="24">
        <f>IFERROR(INDEX(cd_Exc_Utilisation_pct_MTD,rpt_Row),"")</f>
        <v/>
      </c>
      <c r="F38" s="21" t="n"/>
      <c r="G38" s="21" t="n"/>
      <c r="H38" s="24">
        <f>IFERROR(INDEX(cd_Exc_Utilisation_pct_YTD,rpt_Row),"")</f>
        <v/>
      </c>
      <c r="I38" s="21" t="n"/>
      <c r="J38" s="21" t="n"/>
    </row>
    <row r="39">
      <c r="B39" s="16" t="inlineStr">
        <is>
          <t>Truck availability</t>
        </is>
      </c>
      <c r="C39" s="17" t="inlineStr">
        <is>
          <t>%</t>
        </is>
      </c>
      <c r="D39" s="24">
        <f>IFERROR(INDEX(cd_Trk_Availability_pct,rpt_Row),"")</f>
        <v/>
      </c>
      <c r="E39" s="24">
        <f>IFERROR(INDEX(cd_Trk_Availability_pct_MTD,rpt_Row),"")</f>
        <v/>
      </c>
      <c r="F39" s="21" t="n"/>
      <c r="G39" s="21" t="n"/>
      <c r="H39" s="24">
        <f>IFERROR(INDEX(cd_Trk_Availability_pct_YTD,rpt_Row),"")</f>
        <v/>
      </c>
      <c r="I39" s="21" t="n"/>
      <c r="J39" s="21" t="n"/>
    </row>
    <row r="40">
      <c r="B40" s="16" t="inlineStr">
        <is>
          <t>Truck utilisation</t>
        </is>
      </c>
      <c r="C40" s="17" t="inlineStr">
        <is>
          <t>%</t>
        </is>
      </c>
      <c r="D40" s="24">
        <f>IFERROR(INDEX(cd_Trk_Utilisation_pct,rpt_Row),"")</f>
        <v/>
      </c>
      <c r="E40" s="24">
        <f>IFERROR(INDEX(cd_Trk_Utilisation_pct_MTD,rpt_Row),"")</f>
        <v/>
      </c>
      <c r="F40" s="21" t="n"/>
      <c r="G40" s="21" t="n"/>
      <c r="H40" s="24">
        <f>IFERROR(INDEX(cd_Trk_Utilisation_pct_YTD,rpt_Row),"")</f>
        <v/>
      </c>
      <c r="I40" s="21" t="n"/>
      <c r="J40" s="21" t="n"/>
    </row>
    <row r="42">
      <c r="B42" s="14" t="inlineStr">
        <is>
          <t>PROCESSING</t>
        </is>
      </c>
      <c r="C42" s="15" t="inlineStr">
        <is>
          <t>Unit</t>
        </is>
      </c>
      <c r="D42" s="15" t="inlineStr">
        <is>
          <t>Day</t>
        </is>
      </c>
      <c r="E42" s="15" t="inlineStr">
        <is>
          <t>MTD</t>
        </is>
      </c>
      <c r="F42" s="15" t="inlineStr">
        <is>
          <t>MTD budget</t>
        </is>
      </c>
      <c r="G42" s="15" t="inlineStr">
        <is>
          <t>Var %</t>
        </is>
      </c>
      <c r="H42" s="15" t="inlineStr">
        <is>
          <t>YTD</t>
        </is>
      </c>
      <c r="I42" s="15" t="inlineStr">
        <is>
          <t>YTD budget</t>
        </is>
      </c>
      <c r="J42" s="15" t="inlineStr">
        <is>
          <t>Var %</t>
        </is>
      </c>
    </row>
    <row r="43">
      <c r="B43" s="16" t="inlineStr">
        <is>
          <t>Crushed</t>
        </is>
      </c>
      <c r="C43" s="17" t="inlineStr">
        <is>
          <t>t</t>
        </is>
      </c>
      <c r="D43" s="23">
        <f>IFERROR(INDEX(cd_Crushed_t,rpt_Row),"")</f>
        <v/>
      </c>
      <c r="E43" s="23">
        <f>IFERROR(INDEX(cd_Crushed_t_MTD,rpt_Row),"")</f>
        <v/>
      </c>
      <c r="F43" s="21" t="n"/>
      <c r="G43" s="21" t="n"/>
      <c r="H43" s="23">
        <f>IFERROR(INDEX(cd_Crushed_t_YTD,rpt_Row),"")</f>
        <v/>
      </c>
      <c r="I43" s="21" t="n"/>
      <c r="J43" s="21" t="n"/>
    </row>
    <row r="44">
      <c r="B44" s="16" t="inlineStr">
        <is>
          <t>Milled</t>
        </is>
      </c>
      <c r="C44" s="17" t="inlineStr">
        <is>
          <t>t</t>
        </is>
      </c>
      <c r="D44" s="23">
        <f>IFERROR(INDEX(cd_Milled_t,rpt_Row),"")</f>
        <v/>
      </c>
      <c r="E44" s="23">
        <f>IFERROR(INDEX(cd_Milled_t_MTD,rpt_Row),"")</f>
        <v/>
      </c>
      <c r="F44" s="23">
        <f>IFERROR(INDEX(cd_Bud_Milled_t_MTD,rpt_Row),"")</f>
        <v/>
      </c>
      <c r="G44" s="19">
        <f>IF(AND(ISNUMBER(F44),ISNUMBER(E44),F44&lt;&gt;0),E44/F44-1,"")</f>
        <v/>
      </c>
      <c r="H44" s="23">
        <f>IFERROR(INDEX(cd_Milled_t_YTD,rpt_Row),"")</f>
        <v/>
      </c>
      <c r="I44" s="23">
        <f>IFERROR(INDEX(cd_Bud_Milled_t_YTD,rpt_Row),"")</f>
        <v/>
      </c>
      <c r="J44" s="19">
        <f>IF(AND(ISNUMBER(I44),ISNUMBER(H44),I44&lt;&gt;0),H44/I44-1,"")</f>
        <v/>
      </c>
    </row>
    <row r="45">
      <c r="B45" s="16" t="inlineStr">
        <is>
          <t>Head grade</t>
        </is>
      </c>
      <c r="C45" s="17" t="inlineStr">
        <is>
          <t>g/t</t>
        </is>
      </c>
      <c r="D45" s="22">
        <f>IFERROR(INDEX(cd_Head_Grade_gpt,rpt_Row),"")</f>
        <v/>
      </c>
      <c r="E45" s="22">
        <f>IFERROR(INDEX(cd_Head_Grade_gpt_MTD,rpt_Row),"")</f>
        <v/>
      </c>
      <c r="F45" s="22">
        <f>IFERROR(INDEX(cd_Bud_Head_Grade_gpt_MTD,rpt_Row),"")</f>
        <v/>
      </c>
      <c r="G45" s="19">
        <f>IF(AND(ISNUMBER(F45),ISNUMBER(E45),F45&lt;&gt;0),E45/F45-1,"")</f>
        <v/>
      </c>
      <c r="H45" s="22">
        <f>IFERROR(INDEX(cd_Head_Grade_gpt_YTD,rpt_Row),"")</f>
        <v/>
      </c>
      <c r="I45" s="22">
        <f>IFERROR(INDEX(cd_Bud_Head_Grade_gpt_YTD,rpt_Row),"")</f>
        <v/>
      </c>
      <c r="J45" s="19">
        <f>IF(AND(ISNUMBER(I45),ISNUMBER(H45),I45&lt;&gt;0),H45/I45-1,"")</f>
        <v/>
      </c>
    </row>
    <row r="46">
      <c r="B46" s="16" t="inlineStr">
        <is>
          <t>Contained gold in feed</t>
        </is>
      </c>
      <c r="C46" s="17" t="inlineStr">
        <is>
          <t>oz</t>
        </is>
      </c>
      <c r="D46" s="23">
        <f>IFERROR(INDEX(cd_Feed_oz,rpt_Row),"")</f>
        <v/>
      </c>
      <c r="E46" s="23">
        <f>IFERROR(INDEX(cd_Feed_oz_MTD,rpt_Row),"")</f>
        <v/>
      </c>
      <c r="F46" s="23">
        <f>IFERROR(INDEX(cd_Bud_Feed_oz_MTD,rpt_Row),"")</f>
        <v/>
      </c>
      <c r="G46" s="19">
        <f>IF(AND(ISNUMBER(F46),ISNUMBER(E46),F46&lt;&gt;0),E46/F46-1,"")</f>
        <v/>
      </c>
      <c r="H46" s="23">
        <f>IFERROR(INDEX(cd_Feed_oz_YTD,rpt_Row),"")</f>
        <v/>
      </c>
      <c r="I46" s="23">
        <f>IFERROR(INDEX(cd_Bud_Feed_oz_YTD,rpt_Row),"")</f>
        <v/>
      </c>
      <c r="J46" s="19">
        <f>IF(AND(ISNUMBER(I46),ISNUMBER(H46),I46&lt;&gt;0),H46/I46-1,"")</f>
        <v/>
      </c>
    </row>
    <row r="47">
      <c r="B47" s="16" t="inlineStr">
        <is>
          <t>Recovery</t>
        </is>
      </c>
      <c r="C47" s="17" t="inlineStr">
        <is>
          <t>%</t>
        </is>
      </c>
      <c r="D47" s="24">
        <f>IFERROR(INDEX(cd_Recovery_pct,rpt_Row),"")</f>
        <v/>
      </c>
      <c r="E47" s="24">
        <f>IFERROR(INDEX(cd_Recovery_pct_MTD,rpt_Row),"")</f>
        <v/>
      </c>
      <c r="F47" s="24">
        <f>IFERROR(INDEX(cd_Bud_Recovery_pct_MTD,rpt_Row),"")</f>
        <v/>
      </c>
      <c r="G47" s="19">
        <f>IF(AND(ISNUMBER(F47),ISNUMBER(E47),F47&lt;&gt;0),E47/F47-1,"")</f>
        <v/>
      </c>
      <c r="H47" s="24">
        <f>IFERROR(INDEX(cd_Recovery_pct_YTD,rpt_Row),"")</f>
        <v/>
      </c>
      <c r="I47" s="24">
        <f>IFERROR(INDEX(cd_Bud_Recovery_pct_YTD,rpt_Row),"")</f>
        <v/>
      </c>
      <c r="J47" s="19">
        <f>IF(AND(ISNUMBER(I47),ISNUMBER(H47),I47&lt;&gt;0),H47/I47-1,"")</f>
        <v/>
      </c>
    </row>
    <row r="48">
      <c r="B48" s="16" t="inlineStr">
        <is>
          <t>Gold recovered</t>
        </is>
      </c>
      <c r="C48" s="17" t="inlineStr">
        <is>
          <t>oz</t>
        </is>
      </c>
      <c r="D48" s="23">
        <f>IFERROR(INDEX(cd_Recovered_oz,rpt_Row),"")</f>
        <v/>
      </c>
      <c r="E48" s="23">
        <f>IFERROR(INDEX(cd_Recovered_oz_MTD,rpt_Row),"")</f>
        <v/>
      </c>
      <c r="F48" s="23">
        <f>IFERROR(INDEX(cd_Bud_Recovered_oz_MTD,rpt_Row),"")</f>
        <v/>
      </c>
      <c r="G48" s="19">
        <f>IF(AND(ISNUMBER(F48),ISNUMBER(E48),F48&lt;&gt;0),E48/F48-1,"")</f>
        <v/>
      </c>
      <c r="H48" s="23">
        <f>IFERROR(INDEX(cd_Recovered_oz_YTD,rpt_Row),"")</f>
        <v/>
      </c>
      <c r="I48" s="23">
        <f>IFERROR(INDEX(cd_Bud_Recovered_oz_YTD,rpt_Row),"")</f>
        <v/>
      </c>
      <c r="J48" s="19">
        <f>IF(AND(ISNUMBER(I48),ISNUMBER(H48),I48&lt;&gt;0),H48/I48-1,"")</f>
        <v/>
      </c>
    </row>
    <row r="49">
      <c r="B49" s="16" t="inlineStr">
        <is>
          <t>Gravity gold</t>
        </is>
      </c>
      <c r="C49" s="17" t="inlineStr">
        <is>
          <t>oz</t>
        </is>
      </c>
      <c r="D49" s="23">
        <f>IFERROR(INDEX(cd_Gravity_Gold_oz,rpt_Row),"")</f>
        <v/>
      </c>
      <c r="E49" s="23">
        <f>IFERROR(INDEX(cd_Gravity_Gold_oz_MTD,rpt_Row),"")</f>
        <v/>
      </c>
      <c r="F49" s="21" t="n"/>
      <c r="G49" s="21" t="n"/>
      <c r="H49" s="23">
        <f>IFERROR(INDEX(cd_Gravity_Gold_oz_YTD,rpt_Row),"")</f>
        <v/>
      </c>
      <c r="I49" s="21" t="n"/>
      <c r="J49" s="21" t="n"/>
    </row>
    <row r="50">
      <c r="B50" s="16" t="inlineStr">
        <is>
          <t>Gold poured</t>
        </is>
      </c>
      <c r="C50" s="17" t="inlineStr">
        <is>
          <t>oz</t>
        </is>
      </c>
      <c r="D50" s="23">
        <f>IFERROR(INDEX(cd_Gold_Poured_oz,rpt_Row),"")</f>
        <v/>
      </c>
      <c r="E50" s="23">
        <f>IFERROR(INDEX(cd_Gold_Poured_oz_MTD,rpt_Row),"")</f>
        <v/>
      </c>
      <c r="F50" s="23">
        <f>IFERROR(INDEX(cd_Bud_Gold_Poured_oz_MTD,rpt_Row),"")</f>
        <v/>
      </c>
      <c r="G50" s="19">
        <f>IF(AND(ISNUMBER(F50),ISNUMBER(E50),F50&lt;&gt;0),E50/F50-1,"")</f>
        <v/>
      </c>
      <c r="H50" s="23">
        <f>IFERROR(INDEX(cd_Gold_Poured_oz_YTD,rpt_Row),"")</f>
        <v/>
      </c>
      <c r="I50" s="23">
        <f>IFERROR(INDEX(cd_Bud_Gold_Poured_oz_YTD,rpt_Row),"")</f>
        <v/>
      </c>
      <c r="J50" s="19">
        <f>IF(AND(ISNUMBER(I50),ISNUMBER(H50),I50&lt;&gt;0),H50/I50-1,"")</f>
        <v/>
      </c>
    </row>
    <row r="51">
      <c r="B51" s="16" t="inlineStr">
        <is>
          <t>Mill throughput</t>
        </is>
      </c>
      <c r="C51" s="17" t="inlineStr">
        <is>
          <t>t/h</t>
        </is>
      </c>
      <c r="D51" s="23">
        <f>IFERROR(INDEX(cd_Throughput_tph,rpt_Row),"")</f>
        <v/>
      </c>
      <c r="E51" s="23">
        <f>IFERROR(INDEX(cd_Throughput_tph_MTD,rpt_Row),"")</f>
        <v/>
      </c>
      <c r="F51" s="21" t="n"/>
      <c r="G51" s="21" t="n"/>
      <c r="H51" s="23">
        <f>IFERROR(INDEX(cd_Throughput_tph_YTD,rpt_Row),"")</f>
        <v/>
      </c>
      <c r="I51" s="21" t="n"/>
      <c r="J51" s="21" t="n"/>
    </row>
    <row r="52">
      <c r="B52" s="16" t="inlineStr">
        <is>
          <t>Mill run hours</t>
        </is>
      </c>
      <c r="C52" s="17" t="inlineStr">
        <is>
          <t>h</t>
        </is>
      </c>
      <c r="D52" s="18">
        <f>IFERROR(INDEX(cd_Mill_Run_h,rpt_Row),"")</f>
        <v/>
      </c>
      <c r="E52" s="18">
        <f>IFERROR(INDEX(cd_Mill_Run_h_MTD,rpt_Row),"")</f>
        <v/>
      </c>
      <c r="F52" s="21" t="n"/>
      <c r="G52" s="21" t="n"/>
      <c r="H52" s="18">
        <f>IFERROR(INDEX(cd_Mill_Run_h_YTD,rpt_Row),"")</f>
        <v/>
      </c>
      <c r="I52" s="21" t="n"/>
      <c r="J52" s="21" t="n"/>
    </row>
    <row r="53">
      <c r="B53" s="16" t="inlineStr">
        <is>
          <t>Mill availability</t>
        </is>
      </c>
      <c r="C53" s="17" t="inlineStr">
        <is>
          <t>%</t>
        </is>
      </c>
      <c r="D53" s="24">
        <f>IFERROR(INDEX(cd_Mill_Availability_pct,rpt_Row),"")</f>
        <v/>
      </c>
      <c r="E53" s="24">
        <f>IFERROR(INDEX(cd_Mill_Availability_pct_MTD,rpt_Row),"")</f>
        <v/>
      </c>
      <c r="F53" s="21" t="n"/>
      <c r="G53" s="21" t="n"/>
      <c r="H53" s="24">
        <f>IFERROR(INDEX(cd_Mill_Availability_pct_YTD,rpt_Row),"")</f>
        <v/>
      </c>
      <c r="I53" s="21" t="n"/>
      <c r="J53" s="21" t="n"/>
    </row>
    <row r="54">
      <c r="B54" s="16" t="inlineStr">
        <is>
          <t>Mill utilisation</t>
        </is>
      </c>
      <c r="C54" s="17" t="inlineStr">
        <is>
          <t>%</t>
        </is>
      </c>
      <c r="D54" s="24">
        <f>IFERROR(INDEX(cd_Mill_Utilisation_pct,rpt_Row),"")</f>
        <v/>
      </c>
      <c r="E54" s="24">
        <f>IFERROR(INDEX(cd_Mill_Utilisation_pct_MTD,rpt_Row),"")</f>
        <v/>
      </c>
      <c r="F54" s="21" t="n"/>
      <c r="G54" s="21" t="n"/>
      <c r="H54" s="24">
        <f>IFERROR(INDEX(cd_Mill_Utilisation_pct_YTD,rpt_Row),"")</f>
        <v/>
      </c>
      <c r="I54" s="21" t="n"/>
      <c r="J54" s="21" t="n"/>
    </row>
    <row r="55">
      <c r="B55" s="16" t="inlineStr">
        <is>
          <t>Cyanide consumption</t>
        </is>
      </c>
      <c r="C55" s="17" t="inlineStr">
        <is>
          <t>kg/t</t>
        </is>
      </c>
      <c r="D55" s="22">
        <f>IFERROR(INDEX(cd_Cyanide_kgpt,rpt_Row),"")</f>
        <v/>
      </c>
      <c r="E55" s="22">
        <f>IFERROR(INDEX(cd_Cyanide_kgpt_MTD,rpt_Row),"")</f>
        <v/>
      </c>
      <c r="F55" s="21" t="n"/>
      <c r="G55" s="21" t="n"/>
      <c r="H55" s="22">
        <f>IFERROR(INDEX(cd_Cyanide_kgpt_YTD,rpt_Row),"")</f>
        <v/>
      </c>
      <c r="I55" s="21" t="n"/>
      <c r="J55" s="21" t="n"/>
    </row>
    <row r="56">
      <c r="B56" s="16" t="inlineStr">
        <is>
          <t>Lime consumption</t>
        </is>
      </c>
      <c r="C56" s="17" t="inlineStr">
        <is>
          <t>kg/t</t>
        </is>
      </c>
      <c r="D56" s="22">
        <f>IFERROR(INDEX(cd_Lime_kgpt,rpt_Row),"")</f>
        <v/>
      </c>
      <c r="E56" s="22">
        <f>IFERROR(INDEX(cd_Lime_kgpt_MTD,rpt_Row),"")</f>
        <v/>
      </c>
      <c r="F56" s="21" t="n"/>
      <c r="G56" s="21" t="n"/>
      <c r="H56" s="22">
        <f>IFERROR(INDEX(cd_Lime_kgpt_YTD,rpt_Row),"")</f>
        <v/>
      </c>
      <c r="I56" s="21" t="n"/>
      <c r="J56" s="21" t="n"/>
    </row>
    <row r="57">
      <c r="B57" s="16" t="inlineStr">
        <is>
          <t>Power consumption</t>
        </is>
      </c>
      <c r="C57" s="17" t="inlineStr">
        <is>
          <t>kWh/t</t>
        </is>
      </c>
      <c r="D57" s="25">
        <f>IFERROR(INDEX(cd_Power_kWhpt,rpt_Row),"")</f>
        <v/>
      </c>
      <c r="E57" s="25">
        <f>IFERROR(INDEX(cd_Power_kWhpt_MTD,rpt_Row),"")</f>
        <v/>
      </c>
      <c r="F57" s="21" t="n"/>
      <c r="G57" s="21" t="n"/>
      <c r="H57" s="25">
        <f>IFERROR(INDEX(cd_Power_kWhpt_YTD,rpt_Row),"")</f>
        <v/>
      </c>
      <c r="I57" s="21" t="n"/>
      <c r="J57" s="21" t="n"/>
    </row>
    <row r="58">
      <c r="B58" s="16" t="inlineStr">
        <is>
          <t>Gold in circuit (end of day)</t>
        </is>
      </c>
      <c r="C58" s="17" t="inlineStr">
        <is>
          <t>oz</t>
        </is>
      </c>
      <c r="D58" s="23">
        <f>IFERROR(INDEX(cd_GIC_oz,rpt_Row),"")</f>
        <v/>
      </c>
      <c r="E58" s="21" t="n"/>
      <c r="F58" s="21" t="n"/>
      <c r="G58" s="21" t="n"/>
      <c r="H58" s="21" t="n"/>
      <c r="I58" s="21" t="n"/>
      <c r="J58" s="21" t="n"/>
    </row>
    <row r="60">
      <c r="B60" s="14" t="inlineStr">
        <is>
          <t>GOLD</t>
        </is>
      </c>
      <c r="C60" s="15" t="inlineStr">
        <is>
          <t>Unit</t>
        </is>
      </c>
      <c r="D60" s="15" t="inlineStr">
        <is>
          <t>Day</t>
        </is>
      </c>
      <c r="E60" s="15" t="inlineStr">
        <is>
          <t>MTD</t>
        </is>
      </c>
      <c r="F60" s="15" t="inlineStr">
        <is>
          <t>MTD budget</t>
        </is>
      </c>
      <c r="G60" s="15" t="inlineStr">
        <is>
          <t>Var %</t>
        </is>
      </c>
      <c r="H60" s="15" t="inlineStr">
        <is>
          <t>YTD</t>
        </is>
      </c>
      <c r="I60" s="15" t="inlineStr">
        <is>
          <t>YTD budget</t>
        </is>
      </c>
      <c r="J60" s="15" t="inlineStr">
        <is>
          <t>Var %</t>
        </is>
      </c>
    </row>
    <row r="61">
      <c r="B61" s="16" t="inlineStr">
        <is>
          <t>Gold shipped</t>
        </is>
      </c>
      <c r="C61" s="17" t="inlineStr">
        <is>
          <t>oz</t>
        </is>
      </c>
      <c r="D61" s="23">
        <f>IFERROR(INDEX(cd_Gold_Shipped_oz,rpt_Row),"")</f>
        <v/>
      </c>
      <c r="E61" s="23">
        <f>IFERROR(INDEX(cd_Gold_Shipped_oz_MTD,rpt_Row),"")</f>
        <v/>
      </c>
      <c r="F61" s="21" t="n"/>
      <c r="G61" s="21" t="n"/>
      <c r="H61" s="23">
        <f>IFERROR(INDEX(cd_Gold_Shipped_oz_YTD,rpt_Row),"")</f>
        <v/>
      </c>
      <c r="I61" s="21" t="n"/>
      <c r="J61" s="21" t="n"/>
    </row>
    <row r="62">
      <c r="B62" s="16" t="inlineStr">
        <is>
          <t>Gold sold</t>
        </is>
      </c>
      <c r="C62" s="17" t="inlineStr">
        <is>
          <t>oz</t>
        </is>
      </c>
      <c r="D62" s="23">
        <f>IFERROR(INDEX(cd_Gold_Sold_oz,rpt_Row),"")</f>
        <v/>
      </c>
      <c r="E62" s="23">
        <f>IFERROR(INDEX(cd_Gold_Sold_oz_MTD,rpt_Row),"")</f>
        <v/>
      </c>
      <c r="F62" s="21" t="n"/>
      <c r="G62" s="21" t="n"/>
      <c r="H62" s="23">
        <f>IFERROR(INDEX(cd_Gold_Sold_oz_YTD,rpt_Row),"")</f>
        <v/>
      </c>
      <c r="I62" s="21" t="n"/>
      <c r="J62" s="21" t="n"/>
    </row>
    <row r="63">
      <c r="B63" s="16" t="inlineStr">
        <is>
          <t>Dore shipped</t>
        </is>
      </c>
      <c r="C63" s="17" t="inlineStr">
        <is>
          <t>kg</t>
        </is>
      </c>
      <c r="D63" s="23">
        <f>IFERROR(INDEX(cd_Dore_Shipped_kg,rpt_Row),"")</f>
        <v/>
      </c>
      <c r="E63" s="23">
        <f>IFERROR(INDEX(cd_Dore_Shipped_kg_MTD,rpt_Row),"")</f>
        <v/>
      </c>
      <c r="F63" s="21" t="n"/>
      <c r="G63" s="21" t="n"/>
      <c r="H63" s="23">
        <f>IFERROR(INDEX(cd_Dore_Shipped_kg_YTD,rpt_Row),"")</f>
        <v/>
      </c>
      <c r="I63" s="21" t="n"/>
      <c r="J63" s="21" t="n"/>
    </row>
    <row r="65">
      <c r="B65" s="14" t="inlineStr">
        <is>
          <t>STOCKPILES (to report date)</t>
        </is>
      </c>
      <c r="C65" s="15" t="inlineStr"/>
      <c r="D65" s="15" t="inlineStr">
        <is>
          <t>Opening t</t>
        </is>
      </c>
      <c r="E65" s="15" t="inlineStr">
        <is>
          <t>Opening g/t</t>
        </is>
      </c>
      <c r="F65" s="15" t="inlineStr">
        <is>
          <t>In t</t>
        </is>
      </c>
      <c r="G65" s="15" t="inlineStr">
        <is>
          <t>Out t</t>
        </is>
      </c>
      <c r="H65" s="15" t="inlineStr">
        <is>
          <t>Plant feed t</t>
        </is>
      </c>
      <c r="I65" s="15" t="inlineStr">
        <is>
          <t>Balance t</t>
        </is>
      </c>
      <c r="J65" s="15" t="inlineStr">
        <is>
          <t>Balance g/t</t>
        </is>
      </c>
    </row>
    <row r="66">
      <c r="B66" s="26">
        <f>INDEX(tblStockpiles[Stockpile],1)</f>
        <v/>
      </c>
      <c r="C66" s="26" t="n"/>
      <c r="D66" s="27">
        <f>INDEX(tblStockpiles[Opening_t],1)</f>
        <v/>
      </c>
      <c r="E66" s="28">
        <f>INDEX(tblStockpiles[Opening_gpt],1)</f>
        <v/>
      </c>
      <c r="F66" s="27">
        <f>SUMIFS(tblMovement[Tonnes_t],tblMovement[Destination],INDEX(tblStockpiles[Stockpile],1),tblMovement[Date],"&lt;="&amp;rpt_Date)</f>
        <v/>
      </c>
      <c r="G66" s="27">
        <f>SUMIFS(tblMovement[Tonnes_t],tblMovement[Source],INDEX(tblStockpiles[Stockpile],1),tblMovement[Date],"&lt;="&amp;rpt_Date)</f>
        <v/>
      </c>
      <c r="H66" s="27">
        <f>IF(INDEX(tblStockpiles[Plant_Feed],1)="Y",SUMIFS(tblPlant[Milled_t],tblPlant[Date],"&lt;="&amp;rpt_Date)-SUMIFS(tblMovement[Tonnes_t],tblMovement[Dest_Type],"Plant",tblMovement[Date],"&lt;="&amp;rpt_Date),0)</f>
        <v/>
      </c>
      <c r="I66" s="27">
        <f>D66+F66-G66-H66</f>
        <v/>
      </c>
      <c r="J66" s="28">
        <f>IFERROR(IF(I66&gt;0,(D66*E66/cfg_TroyOz+SUMIFS(tblMovement[Contained_oz],tblMovement[Destination],INDEX(tblStockpiles[Stockpile],1),tblMovement[Date],"&lt;="&amp;rpt_Date)-SUMIFS(tblMovement[Contained_oz],tblMovement[Source],INDEX(tblStockpiles[Stockpile],1),tblMovement[Date],"&lt;="&amp;rpt_Date)-IF(INDEX(tblStockpiles[Plant_Feed],1)="Y",SUMIFS(tblPlant[Feed_oz],tblPlant[Date],"&lt;="&amp;rpt_Date)-SUMIFS(tblMovement[Contained_oz],tblMovement[Dest_Type],"Plant",tblMovement[Date],"&lt;="&amp;rpt_Date),0))*cfg_TroyOz/I66,""),"")</f>
        <v/>
      </c>
    </row>
    <row r="67">
      <c r="B67" s="26">
        <f>INDEX(tblStockpiles[Stockpile],2)</f>
        <v/>
      </c>
      <c r="C67" s="26" t="n"/>
      <c r="D67" s="27">
        <f>INDEX(tblStockpiles[Opening_t],2)</f>
        <v/>
      </c>
      <c r="E67" s="28">
        <f>INDEX(tblStockpiles[Opening_gpt],2)</f>
        <v/>
      </c>
      <c r="F67" s="27">
        <f>SUMIFS(tblMovement[Tonnes_t],tblMovement[Destination],INDEX(tblStockpiles[Stockpile],2),tblMovement[Date],"&lt;="&amp;rpt_Date)</f>
        <v/>
      </c>
      <c r="G67" s="27">
        <f>SUMIFS(tblMovement[Tonnes_t],tblMovement[Source],INDEX(tblStockpiles[Stockpile],2),tblMovement[Date],"&lt;="&amp;rpt_Date)</f>
        <v/>
      </c>
      <c r="H67" s="27">
        <f>IF(INDEX(tblStockpiles[Plant_Feed],2)="Y",SUMIFS(tblPlant[Milled_t],tblPlant[Date],"&lt;="&amp;rpt_Date)-SUMIFS(tblMovement[Tonnes_t],tblMovement[Dest_Type],"Plant",tblMovement[Date],"&lt;="&amp;rpt_Date),0)</f>
        <v/>
      </c>
      <c r="I67" s="27">
        <f>D67+F67-G67-H67</f>
        <v/>
      </c>
      <c r="J67" s="28">
        <f>IFERROR(IF(I67&gt;0,(D67*E67/cfg_TroyOz+SUMIFS(tblMovement[Contained_oz],tblMovement[Destination],INDEX(tblStockpiles[Stockpile],2),tblMovement[Date],"&lt;="&amp;rpt_Date)-SUMIFS(tblMovement[Contained_oz],tblMovement[Source],INDEX(tblStockpiles[Stockpile],2),tblMovement[Date],"&lt;="&amp;rpt_Date)-IF(INDEX(tblStockpiles[Plant_Feed],2)="Y",SUMIFS(tblPlant[Feed_oz],tblPlant[Date],"&lt;="&amp;rpt_Date)-SUMIFS(tblMovement[Contained_oz],tblMovement[Dest_Type],"Plant",tblMovement[Date],"&lt;="&amp;rpt_Date),0))*cfg_TroyOz/I67,""),"")</f>
        <v/>
      </c>
    </row>
    <row r="68">
      <c r="B68" s="26">
        <f>INDEX(tblStockpiles[Stockpile],3)</f>
        <v/>
      </c>
      <c r="C68" s="26" t="n"/>
      <c r="D68" s="27">
        <f>INDEX(tblStockpiles[Opening_t],3)</f>
        <v/>
      </c>
      <c r="E68" s="28">
        <f>INDEX(tblStockpiles[Opening_gpt],3)</f>
        <v/>
      </c>
      <c r="F68" s="27">
        <f>SUMIFS(tblMovement[Tonnes_t],tblMovement[Destination],INDEX(tblStockpiles[Stockpile],3),tblMovement[Date],"&lt;="&amp;rpt_Date)</f>
        <v/>
      </c>
      <c r="G68" s="27">
        <f>SUMIFS(tblMovement[Tonnes_t],tblMovement[Source],INDEX(tblStockpiles[Stockpile],3),tblMovement[Date],"&lt;="&amp;rpt_Date)</f>
        <v/>
      </c>
      <c r="H68" s="27">
        <f>IF(INDEX(tblStockpiles[Plant_Feed],3)="Y",SUMIFS(tblPlant[Milled_t],tblPlant[Date],"&lt;="&amp;rpt_Date)-SUMIFS(tblMovement[Tonnes_t],tblMovement[Dest_Type],"Plant",tblMovement[Date],"&lt;="&amp;rpt_Date),0)</f>
        <v/>
      </c>
      <c r="I68" s="27">
        <f>D68+F68-G68-H68</f>
        <v/>
      </c>
      <c r="J68" s="28">
        <f>IFERROR(IF(I68&gt;0,(D68*E68/cfg_TroyOz+SUMIFS(tblMovement[Contained_oz],tblMovement[Destination],INDEX(tblStockpiles[Stockpile],3),tblMovement[Date],"&lt;="&amp;rpt_Date)-SUMIFS(tblMovement[Contained_oz],tblMovement[Source],INDEX(tblStockpiles[Stockpile],3),tblMovement[Date],"&lt;="&amp;rpt_Date)-IF(INDEX(tblStockpiles[Plant_Feed],3)="Y",SUMIFS(tblPlant[Feed_oz],tblPlant[Date],"&lt;="&amp;rpt_Date)-SUMIFS(tblMovement[Contained_oz],tblMovement[Dest_Type],"Plant",tblMovement[Date],"&lt;="&amp;rpt_Date),0))*cfg_TroyOz/I68,""),"")</f>
        <v/>
      </c>
    </row>
    <row r="69">
      <c r="B69" s="26">
        <f>INDEX(tblStockpiles[Stockpile],4)</f>
        <v/>
      </c>
      <c r="C69" s="26" t="n"/>
      <c r="D69" s="27">
        <f>INDEX(tblStockpiles[Opening_t],4)</f>
        <v/>
      </c>
      <c r="E69" s="28">
        <f>INDEX(tblStockpiles[Opening_gpt],4)</f>
        <v/>
      </c>
      <c r="F69" s="27">
        <f>SUMIFS(tblMovement[Tonnes_t],tblMovement[Destination],INDEX(tblStockpiles[Stockpile],4),tblMovement[Date],"&lt;="&amp;rpt_Date)</f>
        <v/>
      </c>
      <c r="G69" s="27">
        <f>SUMIFS(tblMovement[Tonnes_t],tblMovement[Source],INDEX(tblStockpiles[Stockpile],4),tblMovement[Date],"&lt;="&amp;rpt_Date)</f>
        <v/>
      </c>
      <c r="H69" s="27">
        <f>IF(INDEX(tblStockpiles[Plant_Feed],4)="Y",SUMIFS(tblPlant[Milled_t],tblPlant[Date],"&lt;="&amp;rpt_Date)-SUMIFS(tblMovement[Tonnes_t],tblMovement[Dest_Type],"Plant",tblMovement[Date],"&lt;="&amp;rpt_Date),0)</f>
        <v/>
      </c>
      <c r="I69" s="27">
        <f>D69+F69-G69-H69</f>
        <v/>
      </c>
      <c r="J69" s="28">
        <f>IFERROR(IF(I69&gt;0,(D69*E69/cfg_TroyOz+SUMIFS(tblMovement[Contained_oz],tblMovement[Destination],INDEX(tblStockpiles[Stockpile],4),tblMovement[Date],"&lt;="&amp;rpt_Date)-SUMIFS(tblMovement[Contained_oz],tblMovement[Source],INDEX(tblStockpiles[Stockpile],4),tblMovement[Date],"&lt;="&amp;rpt_Date)-IF(INDEX(tblStockpiles[Plant_Feed],4)="Y",SUMIFS(tblPlant[Feed_oz],tblPlant[Date],"&lt;="&amp;rpt_Date)-SUMIFS(tblMovement[Contained_oz],tblMovement[Dest_Type],"Plant",tblMovement[Date],"&lt;="&amp;rpt_Date),0))*cfg_TroyOz/I69,""),"")</f>
        <v/>
      </c>
    </row>
    <row r="70">
      <c r="B70" s="26">
        <f>INDEX(tblStockpiles[Stockpile],5)</f>
        <v/>
      </c>
      <c r="C70" s="26" t="n"/>
      <c r="D70" s="27">
        <f>INDEX(tblStockpiles[Opening_t],5)</f>
        <v/>
      </c>
      <c r="E70" s="28">
        <f>INDEX(tblStockpiles[Opening_gpt],5)</f>
        <v/>
      </c>
      <c r="F70" s="27">
        <f>SUMIFS(tblMovement[Tonnes_t],tblMovement[Destination],INDEX(tblStockpiles[Stockpile],5),tblMovement[Date],"&lt;="&amp;rpt_Date)</f>
        <v/>
      </c>
      <c r="G70" s="27">
        <f>SUMIFS(tblMovement[Tonnes_t],tblMovement[Source],INDEX(tblStockpiles[Stockpile],5),tblMovement[Date],"&lt;="&amp;rpt_Date)</f>
        <v/>
      </c>
      <c r="H70" s="27">
        <f>IF(INDEX(tblStockpiles[Plant_Feed],5)="Y",SUMIFS(tblPlant[Milled_t],tblPlant[Date],"&lt;="&amp;rpt_Date)-SUMIFS(tblMovement[Tonnes_t],tblMovement[Dest_Type],"Plant",tblMovement[Date],"&lt;="&amp;rpt_Date),0)</f>
        <v/>
      </c>
      <c r="I70" s="27">
        <f>D70+F70-G70-H70</f>
        <v/>
      </c>
      <c r="J70" s="28">
        <f>IFERROR(IF(I70&gt;0,(D70*E70/cfg_TroyOz+SUMIFS(tblMovement[Contained_oz],tblMovement[Destination],INDEX(tblStockpiles[Stockpile],5),tblMovement[Date],"&lt;="&amp;rpt_Date)-SUMIFS(tblMovement[Contained_oz],tblMovement[Source],INDEX(tblStockpiles[Stockpile],5),tblMovement[Date],"&lt;="&amp;rpt_Date)-IF(INDEX(tblStockpiles[Plant_Feed],5)="Y",SUMIFS(tblPlant[Feed_oz],tblPlant[Date],"&lt;="&amp;rpt_Date)-SUMIFS(tblMovement[Contained_oz],tblMovement[Dest_Type],"Plant",tblMovement[Date],"&lt;="&amp;rpt_Date),0))*cfg_TroyOz/I70,""),"")</f>
        <v/>
      </c>
    </row>
    <row r="72">
      <c r="B72" s="29" t="inlineStr">
        <is>
          <t>COMMENTARY</t>
        </is>
      </c>
      <c r="C72" s="29" t="inlineStr">
        <is>
          <t>Area</t>
        </is>
      </c>
      <c r="D72" s="30" t="n"/>
      <c r="E72" s="30" t="n"/>
      <c r="F72" s="30" t="n"/>
      <c r="G72" s="30" t="n"/>
      <c r="H72" s="30" t="n"/>
      <c r="I72" s="30" t="n"/>
      <c r="J72" s="30" t="n"/>
    </row>
    <row r="73" ht="24" customHeight="1">
      <c r="B73" s="31">
        <f>IFERROR(INDEX(tblCommentary[Area],MATCH(rpt_Date&amp;"|"&amp;1,tblCommentary[Key_Day],0)),"")</f>
        <v/>
      </c>
      <c r="C73" s="32">
        <f>IFERROR(INDEX(tblCommentary[Comment],MATCH(rpt_Date&amp;"|"&amp;1,tblCommentary[Key_Day],0)),"")</f>
        <v/>
      </c>
    </row>
    <row r="74" ht="24" customHeight="1">
      <c r="B74" s="31">
        <f>IFERROR(INDEX(tblCommentary[Area],MATCH(rpt_Date&amp;"|"&amp;2,tblCommentary[Key_Day],0)),"")</f>
        <v/>
      </c>
      <c r="C74" s="32">
        <f>IFERROR(INDEX(tblCommentary[Comment],MATCH(rpt_Date&amp;"|"&amp;2,tblCommentary[Key_Day],0)),"")</f>
        <v/>
      </c>
    </row>
    <row r="75" ht="24" customHeight="1">
      <c r="B75" s="31">
        <f>IFERROR(INDEX(tblCommentary[Area],MATCH(rpt_Date&amp;"|"&amp;3,tblCommentary[Key_Day],0)),"")</f>
        <v/>
      </c>
      <c r="C75" s="32">
        <f>IFERROR(INDEX(tblCommentary[Comment],MATCH(rpt_Date&amp;"|"&amp;3,tblCommentary[Key_Day],0)),"")</f>
        <v/>
      </c>
    </row>
    <row r="76" ht="24" customHeight="1">
      <c r="B76" s="31">
        <f>IFERROR(INDEX(tblCommentary[Area],MATCH(rpt_Date&amp;"|"&amp;4,tblCommentary[Key_Day],0)),"")</f>
        <v/>
      </c>
      <c r="C76" s="32">
        <f>IFERROR(INDEX(tblCommentary[Comment],MATCH(rpt_Date&amp;"|"&amp;4,tblCommentary[Key_Day],0)),"")</f>
        <v/>
      </c>
    </row>
    <row r="77" ht="24" customHeight="1">
      <c r="B77" s="31">
        <f>IFERROR(INDEX(tblCommentary[Area],MATCH(rpt_Date&amp;"|"&amp;5,tblCommentary[Key_Day],0)),"")</f>
        <v/>
      </c>
      <c r="C77" s="32">
        <f>IFERROR(INDEX(tblCommentary[Comment],MATCH(rpt_Date&amp;"|"&amp;5,tblCommentary[Key_Day],0)),"")</f>
        <v/>
      </c>
    </row>
    <row r="78" ht="24" customHeight="1">
      <c r="B78" s="31">
        <f>IFERROR(INDEX(tblCommentary[Area],MATCH(rpt_Date&amp;"|"&amp;6,tblCommentary[Key_Day],0)),"")</f>
        <v/>
      </c>
      <c r="C78" s="32">
        <f>IFERROR(INDEX(tblCommentary[Comment],MATCH(rpt_Date&amp;"|"&amp;6,tblCommentary[Key_Day],0)),"")</f>
        <v/>
      </c>
    </row>
    <row r="79" ht="24" customHeight="1">
      <c r="B79" s="31">
        <f>IFERROR(INDEX(tblCommentary[Area],MATCH(rpt_Date&amp;"|"&amp;7,tblCommentary[Key_Day],0)),"")</f>
        <v/>
      </c>
      <c r="C79" s="32">
        <f>IFERROR(INDEX(tblCommentary[Comment],MATCH(rpt_Date&amp;"|"&amp;7,tblCommentary[Key_Day],0)),"")</f>
        <v/>
      </c>
    </row>
    <row r="80" ht="24" customHeight="1">
      <c r="B80" s="31">
        <f>IFERROR(INDEX(tblCommentary[Area],MATCH(rpt_Date&amp;"|"&amp;8,tblCommentary[Key_Day],0)),"")</f>
        <v/>
      </c>
      <c r="C80" s="32">
        <f>IFERROR(INDEX(tblCommentary[Comment],MATCH(rpt_Date&amp;"|"&amp;8,tblCommentary[Key_Day],0)),"")</f>
        <v/>
      </c>
    </row>
    <row r="81" ht="24" customHeight="1">
      <c r="B81" s="31">
        <f>IFERROR(INDEX(tblCommentary[Area],MATCH(rpt_Date&amp;"|"&amp;9,tblCommentary[Key_Day],0)),"")</f>
        <v/>
      </c>
      <c r="C81" s="32">
        <f>IFERROR(INDEX(tblCommentary[Comment],MATCH(rpt_Date&amp;"|"&amp;9,tblCommentary[Key_Day],0)),"")</f>
        <v/>
      </c>
    </row>
    <row r="82" ht="24" customHeight="1">
      <c r="B82" s="31">
        <f>IFERROR(INDEX(tblCommentary[Area],MATCH(rpt_Date&amp;"|"&amp;10,tblCommentary[Key_Day],0)),"")</f>
        <v/>
      </c>
      <c r="C82" s="32">
        <f>IFERROR(INDEX(tblCommentary[Comment],MATCH(rpt_Date&amp;"|"&amp;10,tblCommentary[Key_Day],0)),"")</f>
        <v/>
      </c>
    </row>
    <row r="83" ht="24" customHeight="1">
      <c r="B83" s="31">
        <f>IFERROR(INDEX(tblCommentary[Area],MATCH(rpt_Date&amp;"|"&amp;11,tblCommentary[Key_Day],0)),"")</f>
        <v/>
      </c>
      <c r="C83" s="32">
        <f>IFERROR(INDEX(tblCommentary[Comment],MATCH(rpt_Date&amp;"|"&amp;11,tblCommentary[Key_Day],0)),"")</f>
        <v/>
      </c>
    </row>
    <row r="84" ht="24" customHeight="1">
      <c r="B84" s="31">
        <f>IFERROR(INDEX(tblCommentary[Area],MATCH(rpt_Date&amp;"|"&amp;12,tblCommentary[Key_Day],0)),"")</f>
        <v/>
      </c>
      <c r="C84" s="32">
        <f>IFERROR(INDEX(tblCommentary[Comment],MATCH(rpt_Date&amp;"|"&amp;12,tblCommentary[Key_Day],0)),"")</f>
        <v/>
      </c>
    </row>
    <row r="85" ht="24" customHeight="1">
      <c r="B85" s="31">
        <f>IFERROR(INDEX(tblCommentary[Area],MATCH(rpt_Date&amp;"|"&amp;13,tblCommentary[Key_Day],0)),"")</f>
        <v/>
      </c>
      <c r="C85" s="32">
        <f>IFERROR(INDEX(tblCommentary[Comment],MATCH(rpt_Date&amp;"|"&amp;13,tblCommentary[Key_Day],0)),"")</f>
        <v/>
      </c>
    </row>
    <row r="86" ht="24" customHeight="1">
      <c r="B86" s="31">
        <f>IFERROR(INDEX(tblCommentary[Area],MATCH(rpt_Date&amp;"|"&amp;14,tblCommentary[Key_Day],0)),"")</f>
        <v/>
      </c>
      <c r="C86" s="32">
        <f>IFERROR(INDEX(tblCommentary[Comment],MATCH(rpt_Date&amp;"|"&amp;14,tblCommentary[Key_Day],0)),"")</f>
        <v/>
      </c>
    </row>
    <row r="87" ht="24" customHeight="1">
      <c r="B87" s="31">
        <f>IFERROR(INDEX(tblCommentary[Area],MATCH(rpt_Date&amp;"|"&amp;15,tblCommentary[Key_Day],0)),"")</f>
        <v/>
      </c>
      <c r="C87" s="32">
        <f>IFERROR(INDEX(tblCommentary[Comment],MATCH(rpt_Date&amp;"|"&amp;15,tblCommentary[Key_Day],0)),"")</f>
        <v/>
      </c>
    </row>
    <row r="89">
      <c r="B89" s="33">
        <f>"Generated by the Mako Production System workbook. Printed "&amp;TEXT(NOW(),"dd mmm yyyy hh:mm")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6">
    <mergeCell ref="C78:J78"/>
    <mergeCell ref="C87:J87"/>
    <mergeCell ref="C86:J86"/>
    <mergeCell ref="C5:E5"/>
    <mergeCell ref="C77:J77"/>
    <mergeCell ref="C82:J82"/>
    <mergeCell ref="C83:J83"/>
    <mergeCell ref="C81:J81"/>
    <mergeCell ref="C85:J85"/>
    <mergeCell ref="C84:J84"/>
    <mergeCell ref="C76:J76"/>
    <mergeCell ref="C74:J74"/>
    <mergeCell ref="C80:J80"/>
    <mergeCell ref="C75:J75"/>
    <mergeCell ref="C79:J79"/>
    <mergeCell ref="C73:J73"/>
  </mergeCell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sheetData>
    <row r="2">
      <c r="B2" s="5">
        <f>cfg_Site&amp;" dashboard "&amp;cfg_Year</f>
        <v/>
      </c>
    </row>
    <row r="3">
      <c r="B3" s="34">
        <f>"Data to "&amp;IF(N(cfg_LastDataDate)&gt;0,TEXT(cfg_LastDataDate,"dd mmm yyyy"),"(no plant data yet)")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2:P6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B2" s="5">
        <f>cfg_Site&amp;" monthly summary "&amp;cfg_Year</f>
        <v/>
      </c>
    </row>
    <row r="3">
      <c r="B3" s="34">
        <f>"Actuals to "&amp;IF(N(cfg_LastDataDate)&gt;0,TEXT(cfg_LastDataDate,"dd mmm yyyy"),"(no plant data yet)")&amp;". Budget from the Budget sheet. Ratios are month values, not averages of days."</f>
        <v/>
      </c>
    </row>
    <row r="5">
      <c r="B5" s="29" t="inlineStr">
        <is>
          <t>KPI</t>
        </is>
      </c>
      <c r="C5" s="30" t="inlineStr"/>
      <c r="D5" s="35" t="n">
        <v>46023</v>
      </c>
      <c r="E5" s="35" t="n">
        <v>46054</v>
      </c>
      <c r="F5" s="35" t="n">
        <v>46082</v>
      </c>
      <c r="G5" s="35" t="n">
        <v>46113</v>
      </c>
      <c r="H5" s="35" t="n">
        <v>46143</v>
      </c>
      <c r="I5" s="35" t="n">
        <v>46174</v>
      </c>
      <c r="J5" s="35" t="n">
        <v>46204</v>
      </c>
      <c r="K5" s="35" t="n">
        <v>46235</v>
      </c>
      <c r="L5" s="35" t="n">
        <v>46266</v>
      </c>
      <c r="M5" s="35" t="n">
        <v>46296</v>
      </c>
      <c r="N5" s="35" t="n">
        <v>46327</v>
      </c>
      <c r="O5" s="35" t="n">
        <v>46357</v>
      </c>
      <c r="P5" s="15" t="inlineStr">
        <is>
          <t>Year</t>
        </is>
      </c>
    </row>
    <row r="6">
      <c r="B6" s="8" t="inlineStr">
        <is>
          <t>Hours worked</t>
        </is>
      </c>
      <c r="C6" s="36" t="inlineStr">
        <is>
          <t>Actual</t>
        </is>
      </c>
      <c r="D6" s="37">
        <f>IF(DATE(cfg_Year,1,1)&gt;cfg_LastDataDate,"",IFERROR(INDEX(cd_Hours_Worked_MTD,MATCH(MIN(EOMONTH(DATE(cfg_Year,1,1),0),cfg_LastDataDate),cd_Date,0)),""))</f>
        <v/>
      </c>
      <c r="E6" s="37">
        <f>IF(DATE(cfg_Year,2,1)&gt;cfg_LastDataDate,"",IFERROR(INDEX(cd_Hours_Worked_MTD,MATCH(MIN(EOMONTH(DATE(cfg_Year,2,1),0),cfg_LastDataDate),cd_Date,0)),""))</f>
        <v/>
      </c>
      <c r="F6" s="37">
        <f>IF(DATE(cfg_Year,3,1)&gt;cfg_LastDataDate,"",IFERROR(INDEX(cd_Hours_Worked_MTD,MATCH(MIN(EOMONTH(DATE(cfg_Year,3,1),0),cfg_LastDataDate),cd_Date,0)),""))</f>
        <v/>
      </c>
      <c r="G6" s="37">
        <f>IF(DATE(cfg_Year,4,1)&gt;cfg_LastDataDate,"",IFERROR(INDEX(cd_Hours_Worked_MTD,MATCH(MIN(EOMONTH(DATE(cfg_Year,4,1),0),cfg_LastDataDate),cd_Date,0)),""))</f>
        <v/>
      </c>
      <c r="H6" s="37">
        <f>IF(DATE(cfg_Year,5,1)&gt;cfg_LastDataDate,"",IFERROR(INDEX(cd_Hours_Worked_MTD,MATCH(MIN(EOMONTH(DATE(cfg_Year,5,1),0),cfg_LastDataDate),cd_Date,0)),""))</f>
        <v/>
      </c>
      <c r="I6" s="37">
        <f>IF(DATE(cfg_Year,6,1)&gt;cfg_LastDataDate,"",IFERROR(INDEX(cd_Hours_Worked_MTD,MATCH(MIN(EOMONTH(DATE(cfg_Year,6,1),0),cfg_LastDataDate),cd_Date,0)),""))</f>
        <v/>
      </c>
      <c r="J6" s="37">
        <f>IF(DATE(cfg_Year,7,1)&gt;cfg_LastDataDate,"",IFERROR(INDEX(cd_Hours_Worked_MTD,MATCH(MIN(EOMONTH(DATE(cfg_Year,7,1),0),cfg_LastDataDate),cd_Date,0)),""))</f>
        <v/>
      </c>
      <c r="K6" s="37">
        <f>IF(DATE(cfg_Year,8,1)&gt;cfg_LastDataDate,"",IFERROR(INDEX(cd_Hours_Worked_MTD,MATCH(MIN(EOMONTH(DATE(cfg_Year,8,1),0),cfg_LastDataDate),cd_Date,0)),""))</f>
        <v/>
      </c>
      <c r="L6" s="37">
        <f>IF(DATE(cfg_Year,9,1)&gt;cfg_LastDataDate,"",IFERROR(INDEX(cd_Hours_Worked_MTD,MATCH(MIN(EOMONTH(DATE(cfg_Year,9,1),0),cfg_LastDataDate),cd_Date,0)),""))</f>
        <v/>
      </c>
      <c r="M6" s="37">
        <f>IF(DATE(cfg_Year,10,1)&gt;cfg_LastDataDate,"",IFERROR(INDEX(cd_Hours_Worked_MTD,MATCH(MIN(EOMONTH(DATE(cfg_Year,10,1),0),cfg_LastDataDate),cd_Date,0)),""))</f>
        <v/>
      </c>
      <c r="N6" s="37">
        <f>IF(DATE(cfg_Year,11,1)&gt;cfg_LastDataDate,"",IFERROR(INDEX(cd_Hours_Worked_MTD,MATCH(MIN(EOMONTH(DATE(cfg_Year,11,1),0),cfg_LastDataDate),cd_Date,0)),""))</f>
        <v/>
      </c>
      <c r="O6" s="37">
        <f>IF(DATE(cfg_Year,12,1)&gt;cfg_LastDataDate,"",IFERROR(INDEX(cd_Hours_Worked_MTD,MATCH(MIN(EOMONTH(DATE(cfg_Year,12,1),0),cfg_LastDataDate),cd_Date,0)),""))</f>
        <v/>
      </c>
      <c r="P6" s="38">
        <f>IFERROR(INDEX(cd_Hours_Worked_YTD,MATCH(MIN(cfg_YearEnd,cfg_LastDataDate),cd_Date,0)),"")</f>
        <v/>
      </c>
    </row>
    <row r="7">
      <c r="B7" s="39" t="inlineStr"/>
      <c r="C7" s="36" t="inlineStr">
        <is>
          <t>Budget</t>
        </is>
      </c>
      <c r="D7" s="37">
        <f>IFERROR(INDEX(cd_Bud_Hours_Worked_Month,MATCH(DATE(cfg_Year,1,1),cd_Date,0)),"")</f>
        <v/>
      </c>
      <c r="E7" s="37">
        <f>IFERROR(INDEX(cd_Bud_Hours_Worked_Month,MATCH(DATE(cfg_Year,2,1),cd_Date,0)),"")</f>
        <v/>
      </c>
      <c r="F7" s="37">
        <f>IFERROR(INDEX(cd_Bud_Hours_Worked_Month,MATCH(DATE(cfg_Year,3,1),cd_Date,0)),"")</f>
        <v/>
      </c>
      <c r="G7" s="37">
        <f>IFERROR(INDEX(cd_Bud_Hours_Worked_Month,MATCH(DATE(cfg_Year,4,1),cd_Date,0)),"")</f>
        <v/>
      </c>
      <c r="H7" s="37">
        <f>IFERROR(INDEX(cd_Bud_Hours_Worked_Month,MATCH(DATE(cfg_Year,5,1),cd_Date,0)),"")</f>
        <v/>
      </c>
      <c r="I7" s="37">
        <f>IFERROR(INDEX(cd_Bud_Hours_Worked_Month,MATCH(DATE(cfg_Year,6,1),cd_Date,0)),"")</f>
        <v/>
      </c>
      <c r="J7" s="37">
        <f>IFERROR(INDEX(cd_Bud_Hours_Worked_Month,MATCH(DATE(cfg_Year,7,1),cd_Date,0)),"")</f>
        <v/>
      </c>
      <c r="K7" s="37">
        <f>IFERROR(INDEX(cd_Bud_Hours_Worked_Month,MATCH(DATE(cfg_Year,8,1),cd_Date,0)),"")</f>
        <v/>
      </c>
      <c r="L7" s="37">
        <f>IFERROR(INDEX(cd_Bud_Hours_Worked_Month,MATCH(DATE(cfg_Year,9,1),cd_Date,0)),"")</f>
        <v/>
      </c>
      <c r="M7" s="37">
        <f>IFERROR(INDEX(cd_Bud_Hours_Worked_Month,MATCH(DATE(cfg_Year,10,1),cd_Date,0)),"")</f>
        <v/>
      </c>
      <c r="N7" s="37">
        <f>IFERROR(INDEX(cd_Bud_Hours_Worked_Month,MATCH(DATE(cfg_Year,11,1),cd_Date,0)),"")</f>
        <v/>
      </c>
      <c r="O7" s="37">
        <f>IFERROR(INDEX(cd_Bud_Hours_Worked_Month,MATCH(DATE(cfg_Year,12,1),cd_Date,0)),"")</f>
        <v/>
      </c>
      <c r="P7" s="38">
        <f>IFERROR(INDEX(cd_Bud_Hours_Worked_YTD,MATCH(cfg_YearEnd,cd_Date,0)),"")</f>
        <v/>
      </c>
    </row>
    <row r="8">
      <c r="B8" s="39" t="inlineStr"/>
      <c r="C8" s="36" t="inlineStr">
        <is>
          <t>Variance</t>
        </is>
      </c>
      <c r="D8" s="40">
        <f>IF(AND(ISNUMBER(D6),ISNUMBER(D7),D7&lt;&gt;0),D6/D7-1,"")</f>
        <v/>
      </c>
      <c r="E8" s="40">
        <f>IF(AND(ISNUMBER(E6),ISNUMBER(E7),E7&lt;&gt;0),E6/E7-1,"")</f>
        <v/>
      </c>
      <c r="F8" s="40">
        <f>IF(AND(ISNUMBER(F6),ISNUMBER(F7),F7&lt;&gt;0),F6/F7-1,"")</f>
        <v/>
      </c>
      <c r="G8" s="40">
        <f>IF(AND(ISNUMBER(G6),ISNUMBER(G7),G7&lt;&gt;0),G6/G7-1,"")</f>
        <v/>
      </c>
      <c r="H8" s="40">
        <f>IF(AND(ISNUMBER(H6),ISNUMBER(H7),H7&lt;&gt;0),H6/H7-1,"")</f>
        <v/>
      </c>
      <c r="I8" s="40">
        <f>IF(AND(ISNUMBER(I6),ISNUMBER(I7),I7&lt;&gt;0),I6/I7-1,"")</f>
        <v/>
      </c>
      <c r="J8" s="40">
        <f>IF(AND(ISNUMBER(J6),ISNUMBER(J7),J7&lt;&gt;0),J6/J7-1,"")</f>
        <v/>
      </c>
      <c r="K8" s="40">
        <f>IF(AND(ISNUMBER(K6),ISNUMBER(K7),K7&lt;&gt;0),K6/K7-1,"")</f>
        <v/>
      </c>
      <c r="L8" s="40">
        <f>IF(AND(ISNUMBER(L6),ISNUMBER(L7),L7&lt;&gt;0),L6/L7-1,"")</f>
        <v/>
      </c>
      <c r="M8" s="40">
        <f>IF(AND(ISNUMBER(M6),ISNUMBER(M7),M7&lt;&gt;0),M6/M7-1,"")</f>
        <v/>
      </c>
      <c r="N8" s="40">
        <f>IF(AND(ISNUMBER(N6),ISNUMBER(N7),N7&lt;&gt;0),N6/N7-1,"")</f>
        <v/>
      </c>
      <c r="O8" s="40">
        <f>IF(AND(ISNUMBER(O6),ISNUMBER(O7),O7&lt;&gt;0),O6/O7-1,"")</f>
        <v/>
      </c>
      <c r="P8" s="41">
        <f>IF(AND(ISNUMBER(P6),ISNUMBER(P7),P7&lt;&gt;0),P6/P7-1,"")</f>
        <v/>
      </c>
    </row>
    <row r="10">
      <c r="B10" s="8" t="inlineStr">
        <is>
          <t>Recordable injuries</t>
        </is>
      </c>
      <c r="C10" s="36" t="inlineStr">
        <is>
          <t>Actual</t>
        </is>
      </c>
      <c r="D10" s="42">
        <f>IF(DATE(cfg_Year,1,1)&gt;cfg_LastDataDate,"",IFERROR(INDEX(cd_Recordables_MTD,MATCH(MIN(EOMONTH(DATE(cfg_Year,1,1),0),cfg_LastDataDate),cd_Date,0)),""))</f>
        <v/>
      </c>
      <c r="E10" s="42">
        <f>IF(DATE(cfg_Year,2,1)&gt;cfg_LastDataDate,"",IFERROR(INDEX(cd_Recordables_MTD,MATCH(MIN(EOMONTH(DATE(cfg_Year,2,1),0),cfg_LastDataDate),cd_Date,0)),""))</f>
        <v/>
      </c>
      <c r="F10" s="42">
        <f>IF(DATE(cfg_Year,3,1)&gt;cfg_LastDataDate,"",IFERROR(INDEX(cd_Recordables_MTD,MATCH(MIN(EOMONTH(DATE(cfg_Year,3,1),0),cfg_LastDataDate),cd_Date,0)),""))</f>
        <v/>
      </c>
      <c r="G10" s="42">
        <f>IF(DATE(cfg_Year,4,1)&gt;cfg_LastDataDate,"",IFERROR(INDEX(cd_Recordables_MTD,MATCH(MIN(EOMONTH(DATE(cfg_Year,4,1),0),cfg_LastDataDate),cd_Date,0)),""))</f>
        <v/>
      </c>
      <c r="H10" s="42">
        <f>IF(DATE(cfg_Year,5,1)&gt;cfg_LastDataDate,"",IFERROR(INDEX(cd_Recordables_MTD,MATCH(MIN(EOMONTH(DATE(cfg_Year,5,1),0),cfg_LastDataDate),cd_Date,0)),""))</f>
        <v/>
      </c>
      <c r="I10" s="42">
        <f>IF(DATE(cfg_Year,6,1)&gt;cfg_LastDataDate,"",IFERROR(INDEX(cd_Recordables_MTD,MATCH(MIN(EOMONTH(DATE(cfg_Year,6,1),0),cfg_LastDataDate),cd_Date,0)),""))</f>
        <v/>
      </c>
      <c r="J10" s="42">
        <f>IF(DATE(cfg_Year,7,1)&gt;cfg_LastDataDate,"",IFERROR(INDEX(cd_Recordables_MTD,MATCH(MIN(EOMONTH(DATE(cfg_Year,7,1),0),cfg_LastDataDate),cd_Date,0)),""))</f>
        <v/>
      </c>
      <c r="K10" s="42">
        <f>IF(DATE(cfg_Year,8,1)&gt;cfg_LastDataDate,"",IFERROR(INDEX(cd_Recordables_MTD,MATCH(MIN(EOMONTH(DATE(cfg_Year,8,1),0),cfg_LastDataDate),cd_Date,0)),""))</f>
        <v/>
      </c>
      <c r="L10" s="42">
        <f>IF(DATE(cfg_Year,9,1)&gt;cfg_LastDataDate,"",IFERROR(INDEX(cd_Recordables_MTD,MATCH(MIN(EOMONTH(DATE(cfg_Year,9,1),0),cfg_LastDataDate),cd_Date,0)),""))</f>
        <v/>
      </c>
      <c r="M10" s="42">
        <f>IF(DATE(cfg_Year,10,1)&gt;cfg_LastDataDate,"",IFERROR(INDEX(cd_Recordables_MTD,MATCH(MIN(EOMONTH(DATE(cfg_Year,10,1),0),cfg_LastDataDate),cd_Date,0)),""))</f>
        <v/>
      </c>
      <c r="N10" s="42">
        <f>IF(DATE(cfg_Year,11,1)&gt;cfg_LastDataDate,"",IFERROR(INDEX(cd_Recordables_MTD,MATCH(MIN(EOMONTH(DATE(cfg_Year,11,1),0),cfg_LastDataDate),cd_Date,0)),""))</f>
        <v/>
      </c>
      <c r="O10" s="42">
        <f>IF(DATE(cfg_Year,12,1)&gt;cfg_LastDataDate,"",IFERROR(INDEX(cd_Recordables_MTD,MATCH(MIN(EOMONTH(DATE(cfg_Year,12,1),0),cfg_LastDataDate),cd_Date,0)),""))</f>
        <v/>
      </c>
      <c r="P10" s="43">
        <f>IFERROR(INDEX(cd_Recordables_YTD,MATCH(MIN(cfg_YearEnd,cfg_LastDataDate),cd_Date,0)),"")</f>
        <v/>
      </c>
    </row>
    <row r="11">
      <c r="B11" s="8" t="inlineStr">
        <is>
          <t>Lost time injuries</t>
        </is>
      </c>
      <c r="C11" s="36" t="inlineStr">
        <is>
          <t>Actual</t>
        </is>
      </c>
      <c r="D11" s="42">
        <f>IF(DATE(cfg_Year,1,1)&gt;cfg_LastDataDate,"",IFERROR(INDEX(cd_LTI_MTD,MATCH(MIN(EOMONTH(DATE(cfg_Year,1,1),0),cfg_LastDataDate),cd_Date,0)),""))</f>
        <v/>
      </c>
      <c r="E11" s="42">
        <f>IF(DATE(cfg_Year,2,1)&gt;cfg_LastDataDate,"",IFERROR(INDEX(cd_LTI_MTD,MATCH(MIN(EOMONTH(DATE(cfg_Year,2,1),0),cfg_LastDataDate),cd_Date,0)),""))</f>
        <v/>
      </c>
      <c r="F11" s="42">
        <f>IF(DATE(cfg_Year,3,1)&gt;cfg_LastDataDate,"",IFERROR(INDEX(cd_LTI_MTD,MATCH(MIN(EOMONTH(DATE(cfg_Year,3,1),0),cfg_LastDataDate),cd_Date,0)),""))</f>
        <v/>
      </c>
      <c r="G11" s="42">
        <f>IF(DATE(cfg_Year,4,1)&gt;cfg_LastDataDate,"",IFERROR(INDEX(cd_LTI_MTD,MATCH(MIN(EOMONTH(DATE(cfg_Year,4,1),0),cfg_LastDataDate),cd_Date,0)),""))</f>
        <v/>
      </c>
      <c r="H11" s="42">
        <f>IF(DATE(cfg_Year,5,1)&gt;cfg_LastDataDate,"",IFERROR(INDEX(cd_LTI_MTD,MATCH(MIN(EOMONTH(DATE(cfg_Year,5,1),0),cfg_LastDataDate),cd_Date,0)),""))</f>
        <v/>
      </c>
      <c r="I11" s="42">
        <f>IF(DATE(cfg_Year,6,1)&gt;cfg_LastDataDate,"",IFERROR(INDEX(cd_LTI_MTD,MATCH(MIN(EOMONTH(DATE(cfg_Year,6,1),0),cfg_LastDataDate),cd_Date,0)),""))</f>
        <v/>
      </c>
      <c r="J11" s="42">
        <f>IF(DATE(cfg_Year,7,1)&gt;cfg_LastDataDate,"",IFERROR(INDEX(cd_LTI_MTD,MATCH(MIN(EOMONTH(DATE(cfg_Year,7,1),0),cfg_LastDataDate),cd_Date,0)),""))</f>
        <v/>
      </c>
      <c r="K11" s="42">
        <f>IF(DATE(cfg_Year,8,1)&gt;cfg_LastDataDate,"",IFERROR(INDEX(cd_LTI_MTD,MATCH(MIN(EOMONTH(DATE(cfg_Year,8,1),0),cfg_LastDataDate),cd_Date,0)),""))</f>
        <v/>
      </c>
      <c r="L11" s="42">
        <f>IF(DATE(cfg_Year,9,1)&gt;cfg_LastDataDate,"",IFERROR(INDEX(cd_LTI_MTD,MATCH(MIN(EOMONTH(DATE(cfg_Year,9,1),0),cfg_LastDataDate),cd_Date,0)),""))</f>
        <v/>
      </c>
      <c r="M11" s="42">
        <f>IF(DATE(cfg_Year,10,1)&gt;cfg_LastDataDate,"",IFERROR(INDEX(cd_LTI_MTD,MATCH(MIN(EOMONTH(DATE(cfg_Year,10,1),0),cfg_LastDataDate),cd_Date,0)),""))</f>
        <v/>
      </c>
      <c r="N11" s="42">
        <f>IF(DATE(cfg_Year,11,1)&gt;cfg_LastDataDate,"",IFERROR(INDEX(cd_LTI_MTD,MATCH(MIN(EOMONTH(DATE(cfg_Year,11,1),0),cfg_LastDataDate),cd_Date,0)),""))</f>
        <v/>
      </c>
      <c r="O11" s="42">
        <f>IF(DATE(cfg_Year,12,1)&gt;cfg_LastDataDate,"",IFERROR(INDEX(cd_LTI_MTD,MATCH(MIN(EOMONTH(DATE(cfg_Year,12,1),0),cfg_LastDataDate),cd_Date,0)),""))</f>
        <v/>
      </c>
      <c r="P11" s="43">
        <f>IFERROR(INDEX(cd_LTI_YTD,MATCH(MIN(cfg_YearEnd,cfg_LastDataDate),cd_Date,0)),"")</f>
        <v/>
      </c>
    </row>
    <row r="12">
      <c r="B12" s="8" t="inlineStr">
        <is>
          <t>TRIFR, rolling 12 months + MTD</t>
        </is>
      </c>
      <c r="C12" s="36" t="inlineStr">
        <is>
          <t>Actual</t>
        </is>
      </c>
      <c r="D12" s="28">
        <f>IF(DATE(cfg_Year,1,1)&gt;cfg_LastDataDate,"",IFERROR(INDEX(cd_TRIFR_12m,MATCH(MIN(EOMONTH(DATE(cfg_Year,1,1),0),cfg_LastDataDate),cd_Date,0)),""))</f>
        <v/>
      </c>
      <c r="E12" s="28">
        <f>IF(DATE(cfg_Year,2,1)&gt;cfg_LastDataDate,"",IFERROR(INDEX(cd_TRIFR_12m,MATCH(MIN(EOMONTH(DATE(cfg_Year,2,1),0),cfg_LastDataDate),cd_Date,0)),""))</f>
        <v/>
      </c>
      <c r="F12" s="28">
        <f>IF(DATE(cfg_Year,3,1)&gt;cfg_LastDataDate,"",IFERROR(INDEX(cd_TRIFR_12m,MATCH(MIN(EOMONTH(DATE(cfg_Year,3,1),0),cfg_LastDataDate),cd_Date,0)),""))</f>
        <v/>
      </c>
      <c r="G12" s="28">
        <f>IF(DATE(cfg_Year,4,1)&gt;cfg_LastDataDate,"",IFERROR(INDEX(cd_TRIFR_12m,MATCH(MIN(EOMONTH(DATE(cfg_Year,4,1),0),cfg_LastDataDate),cd_Date,0)),""))</f>
        <v/>
      </c>
      <c r="H12" s="28">
        <f>IF(DATE(cfg_Year,5,1)&gt;cfg_LastDataDate,"",IFERROR(INDEX(cd_TRIFR_12m,MATCH(MIN(EOMONTH(DATE(cfg_Year,5,1),0),cfg_LastDataDate),cd_Date,0)),""))</f>
        <v/>
      </c>
      <c r="I12" s="28">
        <f>IF(DATE(cfg_Year,6,1)&gt;cfg_LastDataDate,"",IFERROR(INDEX(cd_TRIFR_12m,MATCH(MIN(EOMONTH(DATE(cfg_Year,6,1),0),cfg_LastDataDate),cd_Date,0)),""))</f>
        <v/>
      </c>
      <c r="J12" s="28">
        <f>IF(DATE(cfg_Year,7,1)&gt;cfg_LastDataDate,"",IFERROR(INDEX(cd_TRIFR_12m,MATCH(MIN(EOMONTH(DATE(cfg_Year,7,1),0),cfg_LastDataDate),cd_Date,0)),""))</f>
        <v/>
      </c>
      <c r="K12" s="28">
        <f>IF(DATE(cfg_Year,8,1)&gt;cfg_LastDataDate,"",IFERROR(INDEX(cd_TRIFR_12m,MATCH(MIN(EOMONTH(DATE(cfg_Year,8,1),0),cfg_LastDataDate),cd_Date,0)),""))</f>
        <v/>
      </c>
      <c r="L12" s="28">
        <f>IF(DATE(cfg_Year,9,1)&gt;cfg_LastDataDate,"",IFERROR(INDEX(cd_TRIFR_12m,MATCH(MIN(EOMONTH(DATE(cfg_Year,9,1),0),cfg_LastDataDate),cd_Date,0)),""))</f>
        <v/>
      </c>
      <c r="M12" s="28">
        <f>IF(DATE(cfg_Year,10,1)&gt;cfg_LastDataDate,"",IFERROR(INDEX(cd_TRIFR_12m,MATCH(MIN(EOMONTH(DATE(cfg_Year,10,1),0),cfg_LastDataDate),cd_Date,0)),""))</f>
        <v/>
      </c>
      <c r="N12" s="28">
        <f>IF(DATE(cfg_Year,11,1)&gt;cfg_LastDataDate,"",IFERROR(INDEX(cd_TRIFR_12m,MATCH(MIN(EOMONTH(DATE(cfg_Year,11,1),0),cfg_LastDataDate),cd_Date,0)),""))</f>
        <v/>
      </c>
      <c r="O12" s="28">
        <f>IF(DATE(cfg_Year,12,1)&gt;cfg_LastDataDate,"",IFERROR(INDEX(cd_TRIFR_12m,MATCH(MIN(EOMONTH(DATE(cfg_Year,12,1),0),cfg_LastDataDate),cd_Date,0)),""))</f>
        <v/>
      </c>
      <c r="P12" s="44">
        <f>IFERROR(INDEX(cd_TRIFR_12m,MATCH(MIN(cfg_YearEnd,cfg_LastDataDate),cd_Date,0)),"")</f>
        <v/>
      </c>
    </row>
    <row r="13">
      <c r="B13" s="8" t="inlineStr">
        <is>
          <t>Ore mined (ex-pit)</t>
        </is>
      </c>
      <c r="C13" s="36" t="inlineStr">
        <is>
          <t>Actual</t>
        </is>
      </c>
      <c r="D13" s="27">
        <f>IF(DATE(cfg_Year,1,1)&gt;cfg_LastDataDate,"",IFERROR(INDEX(cd_Ore_Mined_t_MTD,MATCH(MIN(EOMONTH(DATE(cfg_Year,1,1),0),cfg_LastDataDate),cd_Date,0)),""))</f>
        <v/>
      </c>
      <c r="E13" s="27">
        <f>IF(DATE(cfg_Year,2,1)&gt;cfg_LastDataDate,"",IFERROR(INDEX(cd_Ore_Mined_t_MTD,MATCH(MIN(EOMONTH(DATE(cfg_Year,2,1),0),cfg_LastDataDate),cd_Date,0)),""))</f>
        <v/>
      </c>
      <c r="F13" s="27">
        <f>IF(DATE(cfg_Year,3,1)&gt;cfg_LastDataDate,"",IFERROR(INDEX(cd_Ore_Mined_t_MTD,MATCH(MIN(EOMONTH(DATE(cfg_Year,3,1),0),cfg_LastDataDate),cd_Date,0)),""))</f>
        <v/>
      </c>
      <c r="G13" s="27">
        <f>IF(DATE(cfg_Year,4,1)&gt;cfg_LastDataDate,"",IFERROR(INDEX(cd_Ore_Mined_t_MTD,MATCH(MIN(EOMONTH(DATE(cfg_Year,4,1),0),cfg_LastDataDate),cd_Date,0)),""))</f>
        <v/>
      </c>
      <c r="H13" s="27">
        <f>IF(DATE(cfg_Year,5,1)&gt;cfg_LastDataDate,"",IFERROR(INDEX(cd_Ore_Mined_t_MTD,MATCH(MIN(EOMONTH(DATE(cfg_Year,5,1),0),cfg_LastDataDate),cd_Date,0)),""))</f>
        <v/>
      </c>
      <c r="I13" s="27">
        <f>IF(DATE(cfg_Year,6,1)&gt;cfg_LastDataDate,"",IFERROR(INDEX(cd_Ore_Mined_t_MTD,MATCH(MIN(EOMONTH(DATE(cfg_Year,6,1),0),cfg_LastDataDate),cd_Date,0)),""))</f>
        <v/>
      </c>
      <c r="J13" s="27">
        <f>IF(DATE(cfg_Year,7,1)&gt;cfg_LastDataDate,"",IFERROR(INDEX(cd_Ore_Mined_t_MTD,MATCH(MIN(EOMONTH(DATE(cfg_Year,7,1),0),cfg_LastDataDate),cd_Date,0)),""))</f>
        <v/>
      </c>
      <c r="K13" s="27">
        <f>IF(DATE(cfg_Year,8,1)&gt;cfg_LastDataDate,"",IFERROR(INDEX(cd_Ore_Mined_t_MTD,MATCH(MIN(EOMONTH(DATE(cfg_Year,8,1),0),cfg_LastDataDate),cd_Date,0)),""))</f>
        <v/>
      </c>
      <c r="L13" s="27">
        <f>IF(DATE(cfg_Year,9,1)&gt;cfg_LastDataDate,"",IFERROR(INDEX(cd_Ore_Mined_t_MTD,MATCH(MIN(EOMONTH(DATE(cfg_Year,9,1),0),cfg_LastDataDate),cd_Date,0)),""))</f>
        <v/>
      </c>
      <c r="M13" s="27">
        <f>IF(DATE(cfg_Year,10,1)&gt;cfg_LastDataDate,"",IFERROR(INDEX(cd_Ore_Mined_t_MTD,MATCH(MIN(EOMONTH(DATE(cfg_Year,10,1),0),cfg_LastDataDate),cd_Date,0)),""))</f>
        <v/>
      </c>
      <c r="N13" s="27">
        <f>IF(DATE(cfg_Year,11,1)&gt;cfg_LastDataDate,"",IFERROR(INDEX(cd_Ore_Mined_t_MTD,MATCH(MIN(EOMONTH(DATE(cfg_Year,11,1),0),cfg_LastDataDate),cd_Date,0)),""))</f>
        <v/>
      </c>
      <c r="O13" s="27">
        <f>IF(DATE(cfg_Year,12,1)&gt;cfg_LastDataDate,"",IFERROR(INDEX(cd_Ore_Mined_t_MTD,MATCH(MIN(EOMONTH(DATE(cfg_Year,12,1),0),cfg_LastDataDate),cd_Date,0)),""))</f>
        <v/>
      </c>
      <c r="P13" s="45">
        <f>IFERROR(INDEX(cd_Ore_Mined_t_YTD,MATCH(MIN(cfg_YearEnd,cfg_LastDataDate),cd_Date,0)),"")</f>
        <v/>
      </c>
    </row>
    <row r="14">
      <c r="B14" s="39" t="inlineStr"/>
      <c r="C14" s="36" t="inlineStr">
        <is>
          <t>Budget</t>
        </is>
      </c>
      <c r="D14" s="27">
        <f>IFERROR(INDEX(cd_Bud_Ore_Mined_t_Month,MATCH(DATE(cfg_Year,1,1),cd_Date,0)),"")</f>
        <v/>
      </c>
      <c r="E14" s="27">
        <f>IFERROR(INDEX(cd_Bud_Ore_Mined_t_Month,MATCH(DATE(cfg_Year,2,1),cd_Date,0)),"")</f>
        <v/>
      </c>
      <c r="F14" s="27">
        <f>IFERROR(INDEX(cd_Bud_Ore_Mined_t_Month,MATCH(DATE(cfg_Year,3,1),cd_Date,0)),"")</f>
        <v/>
      </c>
      <c r="G14" s="27">
        <f>IFERROR(INDEX(cd_Bud_Ore_Mined_t_Month,MATCH(DATE(cfg_Year,4,1),cd_Date,0)),"")</f>
        <v/>
      </c>
      <c r="H14" s="27">
        <f>IFERROR(INDEX(cd_Bud_Ore_Mined_t_Month,MATCH(DATE(cfg_Year,5,1),cd_Date,0)),"")</f>
        <v/>
      </c>
      <c r="I14" s="27">
        <f>IFERROR(INDEX(cd_Bud_Ore_Mined_t_Month,MATCH(DATE(cfg_Year,6,1),cd_Date,0)),"")</f>
        <v/>
      </c>
      <c r="J14" s="27">
        <f>IFERROR(INDEX(cd_Bud_Ore_Mined_t_Month,MATCH(DATE(cfg_Year,7,1),cd_Date,0)),"")</f>
        <v/>
      </c>
      <c r="K14" s="27">
        <f>IFERROR(INDEX(cd_Bud_Ore_Mined_t_Month,MATCH(DATE(cfg_Year,8,1),cd_Date,0)),"")</f>
        <v/>
      </c>
      <c r="L14" s="27">
        <f>IFERROR(INDEX(cd_Bud_Ore_Mined_t_Month,MATCH(DATE(cfg_Year,9,1),cd_Date,0)),"")</f>
        <v/>
      </c>
      <c r="M14" s="27">
        <f>IFERROR(INDEX(cd_Bud_Ore_Mined_t_Month,MATCH(DATE(cfg_Year,10,1),cd_Date,0)),"")</f>
        <v/>
      </c>
      <c r="N14" s="27">
        <f>IFERROR(INDEX(cd_Bud_Ore_Mined_t_Month,MATCH(DATE(cfg_Year,11,1),cd_Date,0)),"")</f>
        <v/>
      </c>
      <c r="O14" s="27">
        <f>IFERROR(INDEX(cd_Bud_Ore_Mined_t_Month,MATCH(DATE(cfg_Year,12,1),cd_Date,0)),"")</f>
        <v/>
      </c>
      <c r="P14" s="45">
        <f>IFERROR(INDEX(cd_Bud_Ore_Mined_t_YTD,MATCH(cfg_YearEnd,cd_Date,0)),"")</f>
        <v/>
      </c>
    </row>
    <row r="15">
      <c r="B15" s="39" t="inlineStr"/>
      <c r="C15" s="36" t="inlineStr">
        <is>
          <t>Variance</t>
        </is>
      </c>
      <c r="D15" s="40">
        <f>IF(AND(ISNUMBER(D13),ISNUMBER(D14),D14&lt;&gt;0),D13/D14-1,"")</f>
        <v/>
      </c>
      <c r="E15" s="40">
        <f>IF(AND(ISNUMBER(E13),ISNUMBER(E14),E14&lt;&gt;0),E13/E14-1,"")</f>
        <v/>
      </c>
      <c r="F15" s="40">
        <f>IF(AND(ISNUMBER(F13),ISNUMBER(F14),F14&lt;&gt;0),F13/F14-1,"")</f>
        <v/>
      </c>
      <c r="G15" s="40">
        <f>IF(AND(ISNUMBER(G13),ISNUMBER(G14),G14&lt;&gt;0),G13/G14-1,"")</f>
        <v/>
      </c>
      <c r="H15" s="40">
        <f>IF(AND(ISNUMBER(H13),ISNUMBER(H14),H14&lt;&gt;0),H13/H14-1,"")</f>
        <v/>
      </c>
      <c r="I15" s="40">
        <f>IF(AND(ISNUMBER(I13),ISNUMBER(I14),I14&lt;&gt;0),I13/I14-1,"")</f>
        <v/>
      </c>
      <c r="J15" s="40">
        <f>IF(AND(ISNUMBER(J13),ISNUMBER(J14),J14&lt;&gt;0),J13/J14-1,"")</f>
        <v/>
      </c>
      <c r="K15" s="40">
        <f>IF(AND(ISNUMBER(K13),ISNUMBER(K14),K14&lt;&gt;0),K13/K14-1,"")</f>
        <v/>
      </c>
      <c r="L15" s="40">
        <f>IF(AND(ISNUMBER(L13),ISNUMBER(L14),L14&lt;&gt;0),L13/L14-1,"")</f>
        <v/>
      </c>
      <c r="M15" s="40">
        <f>IF(AND(ISNUMBER(M13),ISNUMBER(M14),M14&lt;&gt;0),M13/M14-1,"")</f>
        <v/>
      </c>
      <c r="N15" s="40">
        <f>IF(AND(ISNUMBER(N13),ISNUMBER(N14),N14&lt;&gt;0),N13/N14-1,"")</f>
        <v/>
      </c>
      <c r="O15" s="40">
        <f>IF(AND(ISNUMBER(O13),ISNUMBER(O14),O14&lt;&gt;0),O13/O14-1,"")</f>
        <v/>
      </c>
      <c r="P15" s="41">
        <f>IF(AND(ISNUMBER(P13),ISNUMBER(P14),P14&lt;&gt;0),P13/P14-1,"")</f>
        <v/>
      </c>
    </row>
    <row r="17">
      <c r="B17" s="8" t="inlineStr">
        <is>
          <t>Ore grade mined</t>
        </is>
      </c>
      <c r="C17" s="36" t="inlineStr">
        <is>
          <t>Actual</t>
        </is>
      </c>
      <c r="D17" s="28">
        <f>IF(DATE(cfg_Year,1,1)&gt;cfg_LastDataDate,"",IFERROR(INDEX(cd_Ore_Grade_gpt_MTD,MATCH(MIN(EOMONTH(DATE(cfg_Year,1,1),0),cfg_LastDataDate),cd_Date,0)),""))</f>
        <v/>
      </c>
      <c r="E17" s="28">
        <f>IF(DATE(cfg_Year,2,1)&gt;cfg_LastDataDate,"",IFERROR(INDEX(cd_Ore_Grade_gpt_MTD,MATCH(MIN(EOMONTH(DATE(cfg_Year,2,1),0),cfg_LastDataDate),cd_Date,0)),""))</f>
        <v/>
      </c>
      <c r="F17" s="28">
        <f>IF(DATE(cfg_Year,3,1)&gt;cfg_LastDataDate,"",IFERROR(INDEX(cd_Ore_Grade_gpt_MTD,MATCH(MIN(EOMONTH(DATE(cfg_Year,3,1),0),cfg_LastDataDate),cd_Date,0)),""))</f>
        <v/>
      </c>
      <c r="G17" s="28">
        <f>IF(DATE(cfg_Year,4,1)&gt;cfg_LastDataDate,"",IFERROR(INDEX(cd_Ore_Grade_gpt_MTD,MATCH(MIN(EOMONTH(DATE(cfg_Year,4,1),0),cfg_LastDataDate),cd_Date,0)),""))</f>
        <v/>
      </c>
      <c r="H17" s="28">
        <f>IF(DATE(cfg_Year,5,1)&gt;cfg_LastDataDate,"",IFERROR(INDEX(cd_Ore_Grade_gpt_MTD,MATCH(MIN(EOMONTH(DATE(cfg_Year,5,1),0),cfg_LastDataDate),cd_Date,0)),""))</f>
        <v/>
      </c>
      <c r="I17" s="28">
        <f>IF(DATE(cfg_Year,6,1)&gt;cfg_LastDataDate,"",IFERROR(INDEX(cd_Ore_Grade_gpt_MTD,MATCH(MIN(EOMONTH(DATE(cfg_Year,6,1),0),cfg_LastDataDate),cd_Date,0)),""))</f>
        <v/>
      </c>
      <c r="J17" s="28">
        <f>IF(DATE(cfg_Year,7,1)&gt;cfg_LastDataDate,"",IFERROR(INDEX(cd_Ore_Grade_gpt_MTD,MATCH(MIN(EOMONTH(DATE(cfg_Year,7,1),0),cfg_LastDataDate),cd_Date,0)),""))</f>
        <v/>
      </c>
      <c r="K17" s="28">
        <f>IF(DATE(cfg_Year,8,1)&gt;cfg_LastDataDate,"",IFERROR(INDEX(cd_Ore_Grade_gpt_MTD,MATCH(MIN(EOMONTH(DATE(cfg_Year,8,1),0),cfg_LastDataDate),cd_Date,0)),""))</f>
        <v/>
      </c>
      <c r="L17" s="28">
        <f>IF(DATE(cfg_Year,9,1)&gt;cfg_LastDataDate,"",IFERROR(INDEX(cd_Ore_Grade_gpt_MTD,MATCH(MIN(EOMONTH(DATE(cfg_Year,9,1),0),cfg_LastDataDate),cd_Date,0)),""))</f>
        <v/>
      </c>
      <c r="M17" s="28">
        <f>IF(DATE(cfg_Year,10,1)&gt;cfg_LastDataDate,"",IFERROR(INDEX(cd_Ore_Grade_gpt_MTD,MATCH(MIN(EOMONTH(DATE(cfg_Year,10,1),0),cfg_LastDataDate),cd_Date,0)),""))</f>
        <v/>
      </c>
      <c r="N17" s="28">
        <f>IF(DATE(cfg_Year,11,1)&gt;cfg_LastDataDate,"",IFERROR(INDEX(cd_Ore_Grade_gpt_MTD,MATCH(MIN(EOMONTH(DATE(cfg_Year,11,1),0),cfg_LastDataDate),cd_Date,0)),""))</f>
        <v/>
      </c>
      <c r="O17" s="28">
        <f>IF(DATE(cfg_Year,12,1)&gt;cfg_LastDataDate,"",IFERROR(INDEX(cd_Ore_Grade_gpt_MTD,MATCH(MIN(EOMONTH(DATE(cfg_Year,12,1),0),cfg_LastDataDate),cd_Date,0)),""))</f>
        <v/>
      </c>
      <c r="P17" s="44">
        <f>IFERROR(INDEX(cd_Ore_Grade_gpt_YTD,MATCH(MIN(cfg_YearEnd,cfg_LastDataDate),cd_Date,0)),"")</f>
        <v/>
      </c>
    </row>
    <row r="18">
      <c r="B18" s="39" t="inlineStr"/>
      <c r="C18" s="36" t="inlineStr">
        <is>
          <t>Budget</t>
        </is>
      </c>
      <c r="D18" s="28">
        <f>IFERROR(INDEX(cd_Bud_Ore_Grade_gpt_Month,MATCH(DATE(cfg_Year,1,1),cd_Date,0)),"")</f>
        <v/>
      </c>
      <c r="E18" s="28">
        <f>IFERROR(INDEX(cd_Bud_Ore_Grade_gpt_Month,MATCH(DATE(cfg_Year,2,1),cd_Date,0)),"")</f>
        <v/>
      </c>
      <c r="F18" s="28">
        <f>IFERROR(INDEX(cd_Bud_Ore_Grade_gpt_Month,MATCH(DATE(cfg_Year,3,1),cd_Date,0)),"")</f>
        <v/>
      </c>
      <c r="G18" s="28">
        <f>IFERROR(INDEX(cd_Bud_Ore_Grade_gpt_Month,MATCH(DATE(cfg_Year,4,1),cd_Date,0)),"")</f>
        <v/>
      </c>
      <c r="H18" s="28">
        <f>IFERROR(INDEX(cd_Bud_Ore_Grade_gpt_Month,MATCH(DATE(cfg_Year,5,1),cd_Date,0)),"")</f>
        <v/>
      </c>
      <c r="I18" s="28">
        <f>IFERROR(INDEX(cd_Bud_Ore_Grade_gpt_Month,MATCH(DATE(cfg_Year,6,1),cd_Date,0)),"")</f>
        <v/>
      </c>
      <c r="J18" s="28">
        <f>IFERROR(INDEX(cd_Bud_Ore_Grade_gpt_Month,MATCH(DATE(cfg_Year,7,1),cd_Date,0)),"")</f>
        <v/>
      </c>
      <c r="K18" s="28">
        <f>IFERROR(INDEX(cd_Bud_Ore_Grade_gpt_Month,MATCH(DATE(cfg_Year,8,1),cd_Date,0)),"")</f>
        <v/>
      </c>
      <c r="L18" s="28">
        <f>IFERROR(INDEX(cd_Bud_Ore_Grade_gpt_Month,MATCH(DATE(cfg_Year,9,1),cd_Date,0)),"")</f>
        <v/>
      </c>
      <c r="M18" s="28">
        <f>IFERROR(INDEX(cd_Bud_Ore_Grade_gpt_Month,MATCH(DATE(cfg_Year,10,1),cd_Date,0)),"")</f>
        <v/>
      </c>
      <c r="N18" s="28">
        <f>IFERROR(INDEX(cd_Bud_Ore_Grade_gpt_Month,MATCH(DATE(cfg_Year,11,1),cd_Date,0)),"")</f>
        <v/>
      </c>
      <c r="O18" s="28">
        <f>IFERROR(INDEX(cd_Bud_Ore_Grade_gpt_Month,MATCH(DATE(cfg_Year,12,1),cd_Date,0)),"")</f>
        <v/>
      </c>
      <c r="P18" s="44">
        <f>IFERROR(INDEX(cd_Bud_Ore_Grade_gpt_YTD,MATCH(cfg_YearEnd,cd_Date,0)),"")</f>
        <v/>
      </c>
    </row>
    <row r="19">
      <c r="B19" s="39" t="inlineStr"/>
      <c r="C19" s="36" t="inlineStr">
        <is>
          <t>Variance</t>
        </is>
      </c>
      <c r="D19" s="40">
        <f>IF(AND(ISNUMBER(D17),ISNUMBER(D18),D18&lt;&gt;0),D17/D18-1,"")</f>
        <v/>
      </c>
      <c r="E19" s="40">
        <f>IF(AND(ISNUMBER(E17),ISNUMBER(E18),E18&lt;&gt;0),E17/E18-1,"")</f>
        <v/>
      </c>
      <c r="F19" s="40">
        <f>IF(AND(ISNUMBER(F17),ISNUMBER(F18),F18&lt;&gt;0),F17/F18-1,"")</f>
        <v/>
      </c>
      <c r="G19" s="40">
        <f>IF(AND(ISNUMBER(G17),ISNUMBER(G18),G18&lt;&gt;0),G17/G18-1,"")</f>
        <v/>
      </c>
      <c r="H19" s="40">
        <f>IF(AND(ISNUMBER(H17),ISNUMBER(H18),H18&lt;&gt;0),H17/H18-1,"")</f>
        <v/>
      </c>
      <c r="I19" s="40">
        <f>IF(AND(ISNUMBER(I17),ISNUMBER(I18),I18&lt;&gt;0),I17/I18-1,"")</f>
        <v/>
      </c>
      <c r="J19" s="40">
        <f>IF(AND(ISNUMBER(J17),ISNUMBER(J18),J18&lt;&gt;0),J17/J18-1,"")</f>
        <v/>
      </c>
      <c r="K19" s="40">
        <f>IF(AND(ISNUMBER(K17),ISNUMBER(K18),K18&lt;&gt;0),K17/K18-1,"")</f>
        <v/>
      </c>
      <c r="L19" s="40">
        <f>IF(AND(ISNUMBER(L17),ISNUMBER(L18),L18&lt;&gt;0),L17/L18-1,"")</f>
        <v/>
      </c>
      <c r="M19" s="40">
        <f>IF(AND(ISNUMBER(M17),ISNUMBER(M18),M18&lt;&gt;0),M17/M18-1,"")</f>
        <v/>
      </c>
      <c r="N19" s="40">
        <f>IF(AND(ISNUMBER(N17),ISNUMBER(N18),N18&lt;&gt;0),N17/N18-1,"")</f>
        <v/>
      </c>
      <c r="O19" s="40">
        <f>IF(AND(ISNUMBER(O17),ISNUMBER(O18),O18&lt;&gt;0),O17/O18-1,"")</f>
        <v/>
      </c>
      <c r="P19" s="41">
        <f>IF(AND(ISNUMBER(P17),ISNUMBER(P18),P18&lt;&gt;0),P17/P18-1,"")</f>
        <v/>
      </c>
    </row>
    <row r="21">
      <c r="B21" s="8" t="inlineStr">
        <is>
          <t>Contained gold mined</t>
        </is>
      </c>
      <c r="C21" s="36" t="inlineStr">
        <is>
          <t>Actual</t>
        </is>
      </c>
      <c r="D21" s="27">
        <f>IF(DATE(cfg_Year,1,1)&gt;cfg_LastDataDate,"",IFERROR(INDEX(cd_Ore_Mined_oz_MTD,MATCH(MIN(EOMONTH(DATE(cfg_Year,1,1),0),cfg_LastDataDate),cd_Date,0)),""))</f>
        <v/>
      </c>
      <c r="E21" s="27">
        <f>IF(DATE(cfg_Year,2,1)&gt;cfg_LastDataDate,"",IFERROR(INDEX(cd_Ore_Mined_oz_MTD,MATCH(MIN(EOMONTH(DATE(cfg_Year,2,1),0),cfg_LastDataDate),cd_Date,0)),""))</f>
        <v/>
      </c>
      <c r="F21" s="27">
        <f>IF(DATE(cfg_Year,3,1)&gt;cfg_LastDataDate,"",IFERROR(INDEX(cd_Ore_Mined_oz_MTD,MATCH(MIN(EOMONTH(DATE(cfg_Year,3,1),0),cfg_LastDataDate),cd_Date,0)),""))</f>
        <v/>
      </c>
      <c r="G21" s="27">
        <f>IF(DATE(cfg_Year,4,1)&gt;cfg_LastDataDate,"",IFERROR(INDEX(cd_Ore_Mined_oz_MTD,MATCH(MIN(EOMONTH(DATE(cfg_Year,4,1),0),cfg_LastDataDate),cd_Date,0)),""))</f>
        <v/>
      </c>
      <c r="H21" s="27">
        <f>IF(DATE(cfg_Year,5,1)&gt;cfg_LastDataDate,"",IFERROR(INDEX(cd_Ore_Mined_oz_MTD,MATCH(MIN(EOMONTH(DATE(cfg_Year,5,1),0),cfg_LastDataDate),cd_Date,0)),""))</f>
        <v/>
      </c>
      <c r="I21" s="27">
        <f>IF(DATE(cfg_Year,6,1)&gt;cfg_LastDataDate,"",IFERROR(INDEX(cd_Ore_Mined_oz_MTD,MATCH(MIN(EOMONTH(DATE(cfg_Year,6,1),0),cfg_LastDataDate),cd_Date,0)),""))</f>
        <v/>
      </c>
      <c r="J21" s="27">
        <f>IF(DATE(cfg_Year,7,1)&gt;cfg_LastDataDate,"",IFERROR(INDEX(cd_Ore_Mined_oz_MTD,MATCH(MIN(EOMONTH(DATE(cfg_Year,7,1),0),cfg_LastDataDate),cd_Date,0)),""))</f>
        <v/>
      </c>
      <c r="K21" s="27">
        <f>IF(DATE(cfg_Year,8,1)&gt;cfg_LastDataDate,"",IFERROR(INDEX(cd_Ore_Mined_oz_MTD,MATCH(MIN(EOMONTH(DATE(cfg_Year,8,1),0),cfg_LastDataDate),cd_Date,0)),""))</f>
        <v/>
      </c>
      <c r="L21" s="27">
        <f>IF(DATE(cfg_Year,9,1)&gt;cfg_LastDataDate,"",IFERROR(INDEX(cd_Ore_Mined_oz_MTD,MATCH(MIN(EOMONTH(DATE(cfg_Year,9,1),0),cfg_LastDataDate),cd_Date,0)),""))</f>
        <v/>
      </c>
      <c r="M21" s="27">
        <f>IF(DATE(cfg_Year,10,1)&gt;cfg_LastDataDate,"",IFERROR(INDEX(cd_Ore_Mined_oz_MTD,MATCH(MIN(EOMONTH(DATE(cfg_Year,10,1),0),cfg_LastDataDate),cd_Date,0)),""))</f>
        <v/>
      </c>
      <c r="N21" s="27">
        <f>IF(DATE(cfg_Year,11,1)&gt;cfg_LastDataDate,"",IFERROR(INDEX(cd_Ore_Mined_oz_MTD,MATCH(MIN(EOMONTH(DATE(cfg_Year,11,1),0),cfg_LastDataDate),cd_Date,0)),""))</f>
        <v/>
      </c>
      <c r="O21" s="27">
        <f>IF(DATE(cfg_Year,12,1)&gt;cfg_LastDataDate,"",IFERROR(INDEX(cd_Ore_Mined_oz_MTD,MATCH(MIN(EOMONTH(DATE(cfg_Year,12,1),0),cfg_LastDataDate),cd_Date,0)),""))</f>
        <v/>
      </c>
      <c r="P21" s="45">
        <f>IFERROR(INDEX(cd_Ore_Mined_oz_YTD,MATCH(MIN(cfg_YearEnd,cfg_LastDataDate),cd_Date,0)),"")</f>
        <v/>
      </c>
    </row>
    <row r="22">
      <c r="B22" s="39" t="inlineStr"/>
      <c r="C22" s="36" t="inlineStr">
        <is>
          <t>Budget</t>
        </is>
      </c>
      <c r="D22" s="27">
        <f>IFERROR(INDEX(cd_Bud_Ore_Mined_oz_Month,MATCH(DATE(cfg_Year,1,1),cd_Date,0)),"")</f>
        <v/>
      </c>
      <c r="E22" s="27">
        <f>IFERROR(INDEX(cd_Bud_Ore_Mined_oz_Month,MATCH(DATE(cfg_Year,2,1),cd_Date,0)),"")</f>
        <v/>
      </c>
      <c r="F22" s="27">
        <f>IFERROR(INDEX(cd_Bud_Ore_Mined_oz_Month,MATCH(DATE(cfg_Year,3,1),cd_Date,0)),"")</f>
        <v/>
      </c>
      <c r="G22" s="27">
        <f>IFERROR(INDEX(cd_Bud_Ore_Mined_oz_Month,MATCH(DATE(cfg_Year,4,1),cd_Date,0)),"")</f>
        <v/>
      </c>
      <c r="H22" s="27">
        <f>IFERROR(INDEX(cd_Bud_Ore_Mined_oz_Month,MATCH(DATE(cfg_Year,5,1),cd_Date,0)),"")</f>
        <v/>
      </c>
      <c r="I22" s="27">
        <f>IFERROR(INDEX(cd_Bud_Ore_Mined_oz_Month,MATCH(DATE(cfg_Year,6,1),cd_Date,0)),"")</f>
        <v/>
      </c>
      <c r="J22" s="27">
        <f>IFERROR(INDEX(cd_Bud_Ore_Mined_oz_Month,MATCH(DATE(cfg_Year,7,1),cd_Date,0)),"")</f>
        <v/>
      </c>
      <c r="K22" s="27">
        <f>IFERROR(INDEX(cd_Bud_Ore_Mined_oz_Month,MATCH(DATE(cfg_Year,8,1),cd_Date,0)),"")</f>
        <v/>
      </c>
      <c r="L22" s="27">
        <f>IFERROR(INDEX(cd_Bud_Ore_Mined_oz_Month,MATCH(DATE(cfg_Year,9,1),cd_Date,0)),"")</f>
        <v/>
      </c>
      <c r="M22" s="27">
        <f>IFERROR(INDEX(cd_Bud_Ore_Mined_oz_Month,MATCH(DATE(cfg_Year,10,1),cd_Date,0)),"")</f>
        <v/>
      </c>
      <c r="N22" s="27">
        <f>IFERROR(INDEX(cd_Bud_Ore_Mined_oz_Month,MATCH(DATE(cfg_Year,11,1),cd_Date,0)),"")</f>
        <v/>
      </c>
      <c r="O22" s="27">
        <f>IFERROR(INDEX(cd_Bud_Ore_Mined_oz_Month,MATCH(DATE(cfg_Year,12,1),cd_Date,0)),"")</f>
        <v/>
      </c>
      <c r="P22" s="45">
        <f>IFERROR(INDEX(cd_Bud_Ore_Mined_oz_YTD,MATCH(cfg_YearEnd,cd_Date,0)),"")</f>
        <v/>
      </c>
    </row>
    <row r="23">
      <c r="B23" s="39" t="inlineStr"/>
      <c r="C23" s="36" t="inlineStr">
        <is>
          <t>Variance</t>
        </is>
      </c>
      <c r="D23" s="40">
        <f>IF(AND(ISNUMBER(D21),ISNUMBER(D22),D22&lt;&gt;0),D21/D22-1,"")</f>
        <v/>
      </c>
      <c r="E23" s="40">
        <f>IF(AND(ISNUMBER(E21),ISNUMBER(E22),E22&lt;&gt;0),E21/E22-1,"")</f>
        <v/>
      </c>
      <c r="F23" s="40">
        <f>IF(AND(ISNUMBER(F21),ISNUMBER(F22),F22&lt;&gt;0),F21/F22-1,"")</f>
        <v/>
      </c>
      <c r="G23" s="40">
        <f>IF(AND(ISNUMBER(G21),ISNUMBER(G22),G22&lt;&gt;0),G21/G22-1,"")</f>
        <v/>
      </c>
      <c r="H23" s="40">
        <f>IF(AND(ISNUMBER(H21),ISNUMBER(H22),H22&lt;&gt;0),H21/H22-1,"")</f>
        <v/>
      </c>
      <c r="I23" s="40">
        <f>IF(AND(ISNUMBER(I21),ISNUMBER(I22),I22&lt;&gt;0),I21/I22-1,"")</f>
        <v/>
      </c>
      <c r="J23" s="40">
        <f>IF(AND(ISNUMBER(J21),ISNUMBER(J22),J22&lt;&gt;0),J21/J22-1,"")</f>
        <v/>
      </c>
      <c r="K23" s="40">
        <f>IF(AND(ISNUMBER(K21),ISNUMBER(K22),K22&lt;&gt;0),K21/K22-1,"")</f>
        <v/>
      </c>
      <c r="L23" s="40">
        <f>IF(AND(ISNUMBER(L21),ISNUMBER(L22),L22&lt;&gt;0),L21/L22-1,"")</f>
        <v/>
      </c>
      <c r="M23" s="40">
        <f>IF(AND(ISNUMBER(M21),ISNUMBER(M22),M22&lt;&gt;0),M21/M22-1,"")</f>
        <v/>
      </c>
      <c r="N23" s="40">
        <f>IF(AND(ISNUMBER(N21),ISNUMBER(N22),N22&lt;&gt;0),N21/N22-1,"")</f>
        <v/>
      </c>
      <c r="O23" s="40">
        <f>IF(AND(ISNUMBER(O21),ISNUMBER(O22),O22&lt;&gt;0),O21/O22-1,"")</f>
        <v/>
      </c>
      <c r="P23" s="41">
        <f>IF(AND(ISNUMBER(P21),ISNUMBER(P22),P22&lt;&gt;0),P21/P22-1,"")</f>
        <v/>
      </c>
    </row>
    <row r="25">
      <c r="B25" s="8" t="inlineStr">
        <is>
          <t>Waste mined</t>
        </is>
      </c>
      <c r="C25" s="36" t="inlineStr">
        <is>
          <t>Actual</t>
        </is>
      </c>
      <c r="D25" s="27">
        <f>IF(DATE(cfg_Year,1,1)&gt;cfg_LastDataDate,"",IFERROR(INDEX(cd_Waste_t_MTD,MATCH(MIN(EOMONTH(DATE(cfg_Year,1,1),0),cfg_LastDataDate),cd_Date,0)),""))</f>
        <v/>
      </c>
      <c r="E25" s="27">
        <f>IF(DATE(cfg_Year,2,1)&gt;cfg_LastDataDate,"",IFERROR(INDEX(cd_Waste_t_MTD,MATCH(MIN(EOMONTH(DATE(cfg_Year,2,1),0),cfg_LastDataDate),cd_Date,0)),""))</f>
        <v/>
      </c>
      <c r="F25" s="27">
        <f>IF(DATE(cfg_Year,3,1)&gt;cfg_LastDataDate,"",IFERROR(INDEX(cd_Waste_t_MTD,MATCH(MIN(EOMONTH(DATE(cfg_Year,3,1),0),cfg_LastDataDate),cd_Date,0)),""))</f>
        <v/>
      </c>
      <c r="G25" s="27">
        <f>IF(DATE(cfg_Year,4,1)&gt;cfg_LastDataDate,"",IFERROR(INDEX(cd_Waste_t_MTD,MATCH(MIN(EOMONTH(DATE(cfg_Year,4,1),0),cfg_LastDataDate),cd_Date,0)),""))</f>
        <v/>
      </c>
      <c r="H25" s="27">
        <f>IF(DATE(cfg_Year,5,1)&gt;cfg_LastDataDate,"",IFERROR(INDEX(cd_Waste_t_MTD,MATCH(MIN(EOMONTH(DATE(cfg_Year,5,1),0),cfg_LastDataDate),cd_Date,0)),""))</f>
        <v/>
      </c>
      <c r="I25" s="27">
        <f>IF(DATE(cfg_Year,6,1)&gt;cfg_LastDataDate,"",IFERROR(INDEX(cd_Waste_t_MTD,MATCH(MIN(EOMONTH(DATE(cfg_Year,6,1),0),cfg_LastDataDate),cd_Date,0)),""))</f>
        <v/>
      </c>
      <c r="J25" s="27">
        <f>IF(DATE(cfg_Year,7,1)&gt;cfg_LastDataDate,"",IFERROR(INDEX(cd_Waste_t_MTD,MATCH(MIN(EOMONTH(DATE(cfg_Year,7,1),0),cfg_LastDataDate),cd_Date,0)),""))</f>
        <v/>
      </c>
      <c r="K25" s="27">
        <f>IF(DATE(cfg_Year,8,1)&gt;cfg_LastDataDate,"",IFERROR(INDEX(cd_Waste_t_MTD,MATCH(MIN(EOMONTH(DATE(cfg_Year,8,1),0),cfg_LastDataDate),cd_Date,0)),""))</f>
        <v/>
      </c>
      <c r="L25" s="27">
        <f>IF(DATE(cfg_Year,9,1)&gt;cfg_LastDataDate,"",IFERROR(INDEX(cd_Waste_t_MTD,MATCH(MIN(EOMONTH(DATE(cfg_Year,9,1),0),cfg_LastDataDate),cd_Date,0)),""))</f>
        <v/>
      </c>
      <c r="M25" s="27">
        <f>IF(DATE(cfg_Year,10,1)&gt;cfg_LastDataDate,"",IFERROR(INDEX(cd_Waste_t_MTD,MATCH(MIN(EOMONTH(DATE(cfg_Year,10,1),0),cfg_LastDataDate),cd_Date,0)),""))</f>
        <v/>
      </c>
      <c r="N25" s="27">
        <f>IF(DATE(cfg_Year,11,1)&gt;cfg_LastDataDate,"",IFERROR(INDEX(cd_Waste_t_MTD,MATCH(MIN(EOMONTH(DATE(cfg_Year,11,1),0),cfg_LastDataDate),cd_Date,0)),""))</f>
        <v/>
      </c>
      <c r="O25" s="27">
        <f>IF(DATE(cfg_Year,12,1)&gt;cfg_LastDataDate,"",IFERROR(INDEX(cd_Waste_t_MTD,MATCH(MIN(EOMONTH(DATE(cfg_Year,12,1),0),cfg_LastDataDate),cd_Date,0)),""))</f>
        <v/>
      </c>
      <c r="P25" s="45">
        <f>IFERROR(INDEX(cd_Waste_t_YTD,MATCH(MIN(cfg_YearEnd,cfg_LastDataDate),cd_Date,0)),"")</f>
        <v/>
      </c>
    </row>
    <row r="26">
      <c r="B26" s="39" t="inlineStr"/>
      <c r="C26" s="36" t="inlineStr">
        <is>
          <t>Budget</t>
        </is>
      </c>
      <c r="D26" s="27">
        <f>IFERROR(INDEX(cd_Bud_Waste_t_Month,MATCH(DATE(cfg_Year,1,1),cd_Date,0)),"")</f>
        <v/>
      </c>
      <c r="E26" s="27">
        <f>IFERROR(INDEX(cd_Bud_Waste_t_Month,MATCH(DATE(cfg_Year,2,1),cd_Date,0)),"")</f>
        <v/>
      </c>
      <c r="F26" s="27">
        <f>IFERROR(INDEX(cd_Bud_Waste_t_Month,MATCH(DATE(cfg_Year,3,1),cd_Date,0)),"")</f>
        <v/>
      </c>
      <c r="G26" s="27">
        <f>IFERROR(INDEX(cd_Bud_Waste_t_Month,MATCH(DATE(cfg_Year,4,1),cd_Date,0)),"")</f>
        <v/>
      </c>
      <c r="H26" s="27">
        <f>IFERROR(INDEX(cd_Bud_Waste_t_Month,MATCH(DATE(cfg_Year,5,1),cd_Date,0)),"")</f>
        <v/>
      </c>
      <c r="I26" s="27">
        <f>IFERROR(INDEX(cd_Bud_Waste_t_Month,MATCH(DATE(cfg_Year,6,1),cd_Date,0)),"")</f>
        <v/>
      </c>
      <c r="J26" s="27">
        <f>IFERROR(INDEX(cd_Bud_Waste_t_Month,MATCH(DATE(cfg_Year,7,1),cd_Date,0)),"")</f>
        <v/>
      </c>
      <c r="K26" s="27">
        <f>IFERROR(INDEX(cd_Bud_Waste_t_Month,MATCH(DATE(cfg_Year,8,1),cd_Date,0)),"")</f>
        <v/>
      </c>
      <c r="L26" s="27">
        <f>IFERROR(INDEX(cd_Bud_Waste_t_Month,MATCH(DATE(cfg_Year,9,1),cd_Date,0)),"")</f>
        <v/>
      </c>
      <c r="M26" s="27">
        <f>IFERROR(INDEX(cd_Bud_Waste_t_Month,MATCH(DATE(cfg_Year,10,1),cd_Date,0)),"")</f>
        <v/>
      </c>
      <c r="N26" s="27">
        <f>IFERROR(INDEX(cd_Bud_Waste_t_Month,MATCH(DATE(cfg_Year,11,1),cd_Date,0)),"")</f>
        <v/>
      </c>
      <c r="O26" s="27">
        <f>IFERROR(INDEX(cd_Bud_Waste_t_Month,MATCH(DATE(cfg_Year,12,1),cd_Date,0)),"")</f>
        <v/>
      </c>
      <c r="P26" s="45">
        <f>IFERROR(INDEX(cd_Bud_Waste_t_YTD,MATCH(cfg_YearEnd,cd_Date,0)),"")</f>
        <v/>
      </c>
    </row>
    <row r="27">
      <c r="B27" s="39" t="inlineStr"/>
      <c r="C27" s="36" t="inlineStr">
        <is>
          <t>Variance</t>
        </is>
      </c>
      <c r="D27" s="40">
        <f>IF(AND(ISNUMBER(D25),ISNUMBER(D26),D26&lt;&gt;0),D25/D26-1,"")</f>
        <v/>
      </c>
      <c r="E27" s="40">
        <f>IF(AND(ISNUMBER(E25),ISNUMBER(E26),E26&lt;&gt;0),E25/E26-1,"")</f>
        <v/>
      </c>
      <c r="F27" s="40">
        <f>IF(AND(ISNUMBER(F25),ISNUMBER(F26),F26&lt;&gt;0),F25/F26-1,"")</f>
        <v/>
      </c>
      <c r="G27" s="40">
        <f>IF(AND(ISNUMBER(G25),ISNUMBER(G26),G26&lt;&gt;0),G25/G26-1,"")</f>
        <v/>
      </c>
      <c r="H27" s="40">
        <f>IF(AND(ISNUMBER(H25),ISNUMBER(H26),H26&lt;&gt;0),H25/H26-1,"")</f>
        <v/>
      </c>
      <c r="I27" s="40">
        <f>IF(AND(ISNUMBER(I25),ISNUMBER(I26),I26&lt;&gt;0),I25/I26-1,"")</f>
        <v/>
      </c>
      <c r="J27" s="40">
        <f>IF(AND(ISNUMBER(J25),ISNUMBER(J26),J26&lt;&gt;0),J25/J26-1,"")</f>
        <v/>
      </c>
      <c r="K27" s="40">
        <f>IF(AND(ISNUMBER(K25),ISNUMBER(K26),K26&lt;&gt;0),K25/K26-1,"")</f>
        <v/>
      </c>
      <c r="L27" s="40">
        <f>IF(AND(ISNUMBER(L25),ISNUMBER(L26),L26&lt;&gt;0),L25/L26-1,"")</f>
        <v/>
      </c>
      <c r="M27" s="40">
        <f>IF(AND(ISNUMBER(M25),ISNUMBER(M26),M26&lt;&gt;0),M25/M26-1,"")</f>
        <v/>
      </c>
      <c r="N27" s="40">
        <f>IF(AND(ISNUMBER(N25),ISNUMBER(N26),N26&lt;&gt;0),N25/N26-1,"")</f>
        <v/>
      </c>
      <c r="O27" s="40">
        <f>IF(AND(ISNUMBER(O25),ISNUMBER(O26),O26&lt;&gt;0),O25/O26-1,"")</f>
        <v/>
      </c>
      <c r="P27" s="41">
        <f>IF(AND(ISNUMBER(P25),ISNUMBER(P26),P26&lt;&gt;0),P25/P26-1,"")</f>
        <v/>
      </c>
    </row>
    <row r="29">
      <c r="B29" s="8" t="inlineStr">
        <is>
          <t>Total material moved</t>
        </is>
      </c>
      <c r="C29" s="36" t="inlineStr">
        <is>
          <t>Actual</t>
        </is>
      </c>
      <c r="D29" s="27">
        <f>IF(DATE(cfg_Year,1,1)&gt;cfg_LastDataDate,"",IFERROR(INDEX(cd_TMM_t_MTD,MATCH(MIN(EOMONTH(DATE(cfg_Year,1,1),0),cfg_LastDataDate),cd_Date,0)),""))</f>
        <v/>
      </c>
      <c r="E29" s="27">
        <f>IF(DATE(cfg_Year,2,1)&gt;cfg_LastDataDate,"",IFERROR(INDEX(cd_TMM_t_MTD,MATCH(MIN(EOMONTH(DATE(cfg_Year,2,1),0),cfg_LastDataDate),cd_Date,0)),""))</f>
        <v/>
      </c>
      <c r="F29" s="27">
        <f>IF(DATE(cfg_Year,3,1)&gt;cfg_LastDataDate,"",IFERROR(INDEX(cd_TMM_t_MTD,MATCH(MIN(EOMONTH(DATE(cfg_Year,3,1),0),cfg_LastDataDate),cd_Date,0)),""))</f>
        <v/>
      </c>
      <c r="G29" s="27">
        <f>IF(DATE(cfg_Year,4,1)&gt;cfg_LastDataDate,"",IFERROR(INDEX(cd_TMM_t_MTD,MATCH(MIN(EOMONTH(DATE(cfg_Year,4,1),0),cfg_LastDataDate),cd_Date,0)),""))</f>
        <v/>
      </c>
      <c r="H29" s="27">
        <f>IF(DATE(cfg_Year,5,1)&gt;cfg_LastDataDate,"",IFERROR(INDEX(cd_TMM_t_MTD,MATCH(MIN(EOMONTH(DATE(cfg_Year,5,1),0),cfg_LastDataDate),cd_Date,0)),""))</f>
        <v/>
      </c>
      <c r="I29" s="27">
        <f>IF(DATE(cfg_Year,6,1)&gt;cfg_LastDataDate,"",IFERROR(INDEX(cd_TMM_t_MTD,MATCH(MIN(EOMONTH(DATE(cfg_Year,6,1),0),cfg_LastDataDate),cd_Date,0)),""))</f>
        <v/>
      </c>
      <c r="J29" s="27">
        <f>IF(DATE(cfg_Year,7,1)&gt;cfg_LastDataDate,"",IFERROR(INDEX(cd_TMM_t_MTD,MATCH(MIN(EOMONTH(DATE(cfg_Year,7,1),0),cfg_LastDataDate),cd_Date,0)),""))</f>
        <v/>
      </c>
      <c r="K29" s="27">
        <f>IF(DATE(cfg_Year,8,1)&gt;cfg_LastDataDate,"",IFERROR(INDEX(cd_TMM_t_MTD,MATCH(MIN(EOMONTH(DATE(cfg_Year,8,1),0),cfg_LastDataDate),cd_Date,0)),""))</f>
        <v/>
      </c>
      <c r="L29" s="27">
        <f>IF(DATE(cfg_Year,9,1)&gt;cfg_LastDataDate,"",IFERROR(INDEX(cd_TMM_t_MTD,MATCH(MIN(EOMONTH(DATE(cfg_Year,9,1),0),cfg_LastDataDate),cd_Date,0)),""))</f>
        <v/>
      </c>
      <c r="M29" s="27">
        <f>IF(DATE(cfg_Year,10,1)&gt;cfg_LastDataDate,"",IFERROR(INDEX(cd_TMM_t_MTD,MATCH(MIN(EOMONTH(DATE(cfg_Year,10,1),0),cfg_LastDataDate),cd_Date,0)),""))</f>
        <v/>
      </c>
      <c r="N29" s="27">
        <f>IF(DATE(cfg_Year,11,1)&gt;cfg_LastDataDate,"",IFERROR(INDEX(cd_TMM_t_MTD,MATCH(MIN(EOMONTH(DATE(cfg_Year,11,1),0),cfg_LastDataDate),cd_Date,0)),""))</f>
        <v/>
      </c>
      <c r="O29" s="27">
        <f>IF(DATE(cfg_Year,12,1)&gt;cfg_LastDataDate,"",IFERROR(INDEX(cd_TMM_t_MTD,MATCH(MIN(EOMONTH(DATE(cfg_Year,12,1),0),cfg_LastDataDate),cd_Date,0)),""))</f>
        <v/>
      </c>
      <c r="P29" s="45">
        <f>IFERROR(INDEX(cd_TMM_t_YTD,MATCH(MIN(cfg_YearEnd,cfg_LastDataDate),cd_Date,0)),"")</f>
        <v/>
      </c>
    </row>
    <row r="30">
      <c r="B30" s="39" t="inlineStr"/>
      <c r="C30" s="36" t="inlineStr">
        <is>
          <t>Budget</t>
        </is>
      </c>
      <c r="D30" s="27">
        <f>IFERROR(INDEX(cd_Bud_TMM_t_Month,MATCH(DATE(cfg_Year,1,1),cd_Date,0)),"")</f>
        <v/>
      </c>
      <c r="E30" s="27">
        <f>IFERROR(INDEX(cd_Bud_TMM_t_Month,MATCH(DATE(cfg_Year,2,1),cd_Date,0)),"")</f>
        <v/>
      </c>
      <c r="F30" s="27">
        <f>IFERROR(INDEX(cd_Bud_TMM_t_Month,MATCH(DATE(cfg_Year,3,1),cd_Date,0)),"")</f>
        <v/>
      </c>
      <c r="G30" s="27">
        <f>IFERROR(INDEX(cd_Bud_TMM_t_Month,MATCH(DATE(cfg_Year,4,1),cd_Date,0)),"")</f>
        <v/>
      </c>
      <c r="H30" s="27">
        <f>IFERROR(INDEX(cd_Bud_TMM_t_Month,MATCH(DATE(cfg_Year,5,1),cd_Date,0)),"")</f>
        <v/>
      </c>
      <c r="I30" s="27">
        <f>IFERROR(INDEX(cd_Bud_TMM_t_Month,MATCH(DATE(cfg_Year,6,1),cd_Date,0)),"")</f>
        <v/>
      </c>
      <c r="J30" s="27">
        <f>IFERROR(INDEX(cd_Bud_TMM_t_Month,MATCH(DATE(cfg_Year,7,1),cd_Date,0)),"")</f>
        <v/>
      </c>
      <c r="K30" s="27">
        <f>IFERROR(INDEX(cd_Bud_TMM_t_Month,MATCH(DATE(cfg_Year,8,1),cd_Date,0)),"")</f>
        <v/>
      </c>
      <c r="L30" s="27">
        <f>IFERROR(INDEX(cd_Bud_TMM_t_Month,MATCH(DATE(cfg_Year,9,1),cd_Date,0)),"")</f>
        <v/>
      </c>
      <c r="M30" s="27">
        <f>IFERROR(INDEX(cd_Bud_TMM_t_Month,MATCH(DATE(cfg_Year,10,1),cd_Date,0)),"")</f>
        <v/>
      </c>
      <c r="N30" s="27">
        <f>IFERROR(INDEX(cd_Bud_TMM_t_Month,MATCH(DATE(cfg_Year,11,1),cd_Date,0)),"")</f>
        <v/>
      </c>
      <c r="O30" s="27">
        <f>IFERROR(INDEX(cd_Bud_TMM_t_Month,MATCH(DATE(cfg_Year,12,1),cd_Date,0)),"")</f>
        <v/>
      </c>
      <c r="P30" s="45">
        <f>IFERROR(INDEX(cd_Bud_TMM_t_YTD,MATCH(cfg_YearEnd,cd_Date,0)),"")</f>
        <v/>
      </c>
    </row>
    <row r="31">
      <c r="B31" s="39" t="inlineStr"/>
      <c r="C31" s="36" t="inlineStr">
        <is>
          <t>Variance</t>
        </is>
      </c>
      <c r="D31" s="40">
        <f>IF(AND(ISNUMBER(D29),ISNUMBER(D30),D30&lt;&gt;0),D29/D30-1,"")</f>
        <v/>
      </c>
      <c r="E31" s="40">
        <f>IF(AND(ISNUMBER(E29),ISNUMBER(E30),E30&lt;&gt;0),E29/E30-1,"")</f>
        <v/>
      </c>
      <c r="F31" s="40">
        <f>IF(AND(ISNUMBER(F29),ISNUMBER(F30),F30&lt;&gt;0),F29/F30-1,"")</f>
        <v/>
      </c>
      <c r="G31" s="40">
        <f>IF(AND(ISNUMBER(G29),ISNUMBER(G30),G30&lt;&gt;0),G29/G30-1,"")</f>
        <v/>
      </c>
      <c r="H31" s="40">
        <f>IF(AND(ISNUMBER(H29),ISNUMBER(H30),H30&lt;&gt;0),H29/H30-1,"")</f>
        <v/>
      </c>
      <c r="I31" s="40">
        <f>IF(AND(ISNUMBER(I29),ISNUMBER(I30),I30&lt;&gt;0),I29/I30-1,"")</f>
        <v/>
      </c>
      <c r="J31" s="40">
        <f>IF(AND(ISNUMBER(J29),ISNUMBER(J30),J30&lt;&gt;0),J29/J30-1,"")</f>
        <v/>
      </c>
      <c r="K31" s="40">
        <f>IF(AND(ISNUMBER(K29),ISNUMBER(K30),K30&lt;&gt;0),K29/K30-1,"")</f>
        <v/>
      </c>
      <c r="L31" s="40">
        <f>IF(AND(ISNUMBER(L29),ISNUMBER(L30),L30&lt;&gt;0),L29/L30-1,"")</f>
        <v/>
      </c>
      <c r="M31" s="40">
        <f>IF(AND(ISNUMBER(M29),ISNUMBER(M30),M30&lt;&gt;0),M29/M30-1,"")</f>
        <v/>
      </c>
      <c r="N31" s="40">
        <f>IF(AND(ISNUMBER(N29),ISNUMBER(N30),N30&lt;&gt;0),N29/N30-1,"")</f>
        <v/>
      </c>
      <c r="O31" s="40">
        <f>IF(AND(ISNUMBER(O29),ISNUMBER(O30),O30&lt;&gt;0),O29/O30-1,"")</f>
        <v/>
      </c>
      <c r="P31" s="41">
        <f>IF(AND(ISNUMBER(P29),ISNUMBER(P30),P30&lt;&gt;0),P29/P30-1,"")</f>
        <v/>
      </c>
    </row>
    <row r="33">
      <c r="B33" s="8" t="inlineStr">
        <is>
          <t>Strip ratio (waste : ore)</t>
        </is>
      </c>
      <c r="C33" s="36" t="inlineStr">
        <is>
          <t>Actual</t>
        </is>
      </c>
      <c r="D33" s="28">
        <f>IF(DATE(cfg_Year,1,1)&gt;cfg_LastDataDate,"",IFERROR(INDEX(cd_Strip_Ratio_MTD,MATCH(MIN(EOMONTH(DATE(cfg_Year,1,1),0),cfg_LastDataDate),cd_Date,0)),""))</f>
        <v/>
      </c>
      <c r="E33" s="28">
        <f>IF(DATE(cfg_Year,2,1)&gt;cfg_LastDataDate,"",IFERROR(INDEX(cd_Strip_Ratio_MTD,MATCH(MIN(EOMONTH(DATE(cfg_Year,2,1),0),cfg_LastDataDate),cd_Date,0)),""))</f>
        <v/>
      </c>
      <c r="F33" s="28">
        <f>IF(DATE(cfg_Year,3,1)&gt;cfg_LastDataDate,"",IFERROR(INDEX(cd_Strip_Ratio_MTD,MATCH(MIN(EOMONTH(DATE(cfg_Year,3,1),0),cfg_LastDataDate),cd_Date,0)),""))</f>
        <v/>
      </c>
      <c r="G33" s="28">
        <f>IF(DATE(cfg_Year,4,1)&gt;cfg_LastDataDate,"",IFERROR(INDEX(cd_Strip_Ratio_MTD,MATCH(MIN(EOMONTH(DATE(cfg_Year,4,1),0),cfg_LastDataDate),cd_Date,0)),""))</f>
        <v/>
      </c>
      <c r="H33" s="28">
        <f>IF(DATE(cfg_Year,5,1)&gt;cfg_LastDataDate,"",IFERROR(INDEX(cd_Strip_Ratio_MTD,MATCH(MIN(EOMONTH(DATE(cfg_Year,5,1),0),cfg_LastDataDate),cd_Date,0)),""))</f>
        <v/>
      </c>
      <c r="I33" s="28">
        <f>IF(DATE(cfg_Year,6,1)&gt;cfg_LastDataDate,"",IFERROR(INDEX(cd_Strip_Ratio_MTD,MATCH(MIN(EOMONTH(DATE(cfg_Year,6,1),0),cfg_LastDataDate),cd_Date,0)),""))</f>
        <v/>
      </c>
      <c r="J33" s="28">
        <f>IF(DATE(cfg_Year,7,1)&gt;cfg_LastDataDate,"",IFERROR(INDEX(cd_Strip_Ratio_MTD,MATCH(MIN(EOMONTH(DATE(cfg_Year,7,1),0),cfg_LastDataDate),cd_Date,0)),""))</f>
        <v/>
      </c>
      <c r="K33" s="28">
        <f>IF(DATE(cfg_Year,8,1)&gt;cfg_LastDataDate,"",IFERROR(INDEX(cd_Strip_Ratio_MTD,MATCH(MIN(EOMONTH(DATE(cfg_Year,8,1),0),cfg_LastDataDate),cd_Date,0)),""))</f>
        <v/>
      </c>
      <c r="L33" s="28">
        <f>IF(DATE(cfg_Year,9,1)&gt;cfg_LastDataDate,"",IFERROR(INDEX(cd_Strip_Ratio_MTD,MATCH(MIN(EOMONTH(DATE(cfg_Year,9,1),0),cfg_LastDataDate),cd_Date,0)),""))</f>
        <v/>
      </c>
      <c r="M33" s="28">
        <f>IF(DATE(cfg_Year,10,1)&gt;cfg_LastDataDate,"",IFERROR(INDEX(cd_Strip_Ratio_MTD,MATCH(MIN(EOMONTH(DATE(cfg_Year,10,1),0),cfg_LastDataDate),cd_Date,0)),""))</f>
        <v/>
      </c>
      <c r="N33" s="28">
        <f>IF(DATE(cfg_Year,11,1)&gt;cfg_LastDataDate,"",IFERROR(INDEX(cd_Strip_Ratio_MTD,MATCH(MIN(EOMONTH(DATE(cfg_Year,11,1),0),cfg_LastDataDate),cd_Date,0)),""))</f>
        <v/>
      </c>
      <c r="O33" s="28">
        <f>IF(DATE(cfg_Year,12,1)&gt;cfg_LastDataDate,"",IFERROR(INDEX(cd_Strip_Ratio_MTD,MATCH(MIN(EOMONTH(DATE(cfg_Year,12,1),0),cfg_LastDataDate),cd_Date,0)),""))</f>
        <v/>
      </c>
      <c r="P33" s="44">
        <f>IFERROR(INDEX(cd_Strip_Ratio_YTD,MATCH(MIN(cfg_YearEnd,cfg_LastDataDate),cd_Date,0)),"")</f>
        <v/>
      </c>
    </row>
    <row r="34">
      <c r="B34" s="39" t="inlineStr"/>
      <c r="C34" s="36" t="inlineStr">
        <is>
          <t>Budget</t>
        </is>
      </c>
      <c r="D34" s="28">
        <f>IFERROR(INDEX(cd_Bud_Strip_Ratio_Month,MATCH(DATE(cfg_Year,1,1),cd_Date,0)),"")</f>
        <v/>
      </c>
      <c r="E34" s="28">
        <f>IFERROR(INDEX(cd_Bud_Strip_Ratio_Month,MATCH(DATE(cfg_Year,2,1),cd_Date,0)),"")</f>
        <v/>
      </c>
      <c r="F34" s="28">
        <f>IFERROR(INDEX(cd_Bud_Strip_Ratio_Month,MATCH(DATE(cfg_Year,3,1),cd_Date,0)),"")</f>
        <v/>
      </c>
      <c r="G34" s="28">
        <f>IFERROR(INDEX(cd_Bud_Strip_Ratio_Month,MATCH(DATE(cfg_Year,4,1),cd_Date,0)),"")</f>
        <v/>
      </c>
      <c r="H34" s="28">
        <f>IFERROR(INDEX(cd_Bud_Strip_Ratio_Month,MATCH(DATE(cfg_Year,5,1),cd_Date,0)),"")</f>
        <v/>
      </c>
      <c r="I34" s="28">
        <f>IFERROR(INDEX(cd_Bud_Strip_Ratio_Month,MATCH(DATE(cfg_Year,6,1),cd_Date,0)),"")</f>
        <v/>
      </c>
      <c r="J34" s="28">
        <f>IFERROR(INDEX(cd_Bud_Strip_Ratio_Month,MATCH(DATE(cfg_Year,7,1),cd_Date,0)),"")</f>
        <v/>
      </c>
      <c r="K34" s="28">
        <f>IFERROR(INDEX(cd_Bud_Strip_Ratio_Month,MATCH(DATE(cfg_Year,8,1),cd_Date,0)),"")</f>
        <v/>
      </c>
      <c r="L34" s="28">
        <f>IFERROR(INDEX(cd_Bud_Strip_Ratio_Month,MATCH(DATE(cfg_Year,9,1),cd_Date,0)),"")</f>
        <v/>
      </c>
      <c r="M34" s="28">
        <f>IFERROR(INDEX(cd_Bud_Strip_Ratio_Month,MATCH(DATE(cfg_Year,10,1),cd_Date,0)),"")</f>
        <v/>
      </c>
      <c r="N34" s="28">
        <f>IFERROR(INDEX(cd_Bud_Strip_Ratio_Month,MATCH(DATE(cfg_Year,11,1),cd_Date,0)),"")</f>
        <v/>
      </c>
      <c r="O34" s="28">
        <f>IFERROR(INDEX(cd_Bud_Strip_Ratio_Month,MATCH(DATE(cfg_Year,12,1),cd_Date,0)),"")</f>
        <v/>
      </c>
      <c r="P34" s="44">
        <f>IFERROR(INDEX(cd_Bud_Strip_Ratio_YTD,MATCH(cfg_YearEnd,cd_Date,0)),"")</f>
        <v/>
      </c>
    </row>
    <row r="35">
      <c r="B35" s="39" t="inlineStr"/>
      <c r="C35" s="36" t="inlineStr">
        <is>
          <t>Variance</t>
        </is>
      </c>
      <c r="D35" s="40">
        <f>IF(AND(ISNUMBER(D33),ISNUMBER(D34),D34&lt;&gt;0),D33/D34-1,"")</f>
        <v/>
      </c>
      <c r="E35" s="40">
        <f>IF(AND(ISNUMBER(E33),ISNUMBER(E34),E34&lt;&gt;0),E33/E34-1,"")</f>
        <v/>
      </c>
      <c r="F35" s="40">
        <f>IF(AND(ISNUMBER(F33),ISNUMBER(F34),F34&lt;&gt;0),F33/F34-1,"")</f>
        <v/>
      </c>
      <c r="G35" s="40">
        <f>IF(AND(ISNUMBER(G33),ISNUMBER(G34),G34&lt;&gt;0),G33/G34-1,"")</f>
        <v/>
      </c>
      <c r="H35" s="40">
        <f>IF(AND(ISNUMBER(H33),ISNUMBER(H34),H34&lt;&gt;0),H33/H34-1,"")</f>
        <v/>
      </c>
      <c r="I35" s="40">
        <f>IF(AND(ISNUMBER(I33),ISNUMBER(I34),I34&lt;&gt;0),I33/I34-1,"")</f>
        <v/>
      </c>
      <c r="J35" s="40">
        <f>IF(AND(ISNUMBER(J33),ISNUMBER(J34),J34&lt;&gt;0),J33/J34-1,"")</f>
        <v/>
      </c>
      <c r="K35" s="40">
        <f>IF(AND(ISNUMBER(K33),ISNUMBER(K34),K34&lt;&gt;0),K33/K34-1,"")</f>
        <v/>
      </c>
      <c r="L35" s="40">
        <f>IF(AND(ISNUMBER(L33),ISNUMBER(L34),L34&lt;&gt;0),L33/L34-1,"")</f>
        <v/>
      </c>
      <c r="M35" s="40">
        <f>IF(AND(ISNUMBER(M33),ISNUMBER(M34),M34&lt;&gt;0),M33/M34-1,"")</f>
        <v/>
      </c>
      <c r="N35" s="40">
        <f>IF(AND(ISNUMBER(N33),ISNUMBER(N34),N34&lt;&gt;0),N33/N34-1,"")</f>
        <v/>
      </c>
      <c r="O35" s="40">
        <f>IF(AND(ISNUMBER(O33),ISNUMBER(O34),O34&lt;&gt;0),O33/O34-1,"")</f>
        <v/>
      </c>
      <c r="P35" s="41">
        <f>IF(AND(ISNUMBER(P33),ISNUMBER(P34),P34&lt;&gt;0),P33/P34-1,"")</f>
        <v/>
      </c>
    </row>
    <row r="37">
      <c r="B37" s="8" t="inlineStr">
        <is>
          <t>Drilled</t>
        </is>
      </c>
      <c r="C37" s="36" t="inlineStr">
        <is>
          <t>Actual</t>
        </is>
      </c>
      <c r="D37" s="27">
        <f>IF(DATE(cfg_Year,1,1)&gt;cfg_LastDataDate,"",IFERROR(INDEX(cd_Drill_m_MTD,MATCH(MIN(EOMONTH(DATE(cfg_Year,1,1),0),cfg_LastDataDate),cd_Date,0)),""))</f>
        <v/>
      </c>
      <c r="E37" s="27">
        <f>IF(DATE(cfg_Year,2,1)&gt;cfg_LastDataDate,"",IFERROR(INDEX(cd_Drill_m_MTD,MATCH(MIN(EOMONTH(DATE(cfg_Year,2,1),0),cfg_LastDataDate),cd_Date,0)),""))</f>
        <v/>
      </c>
      <c r="F37" s="27">
        <f>IF(DATE(cfg_Year,3,1)&gt;cfg_LastDataDate,"",IFERROR(INDEX(cd_Drill_m_MTD,MATCH(MIN(EOMONTH(DATE(cfg_Year,3,1),0),cfg_LastDataDate),cd_Date,0)),""))</f>
        <v/>
      </c>
      <c r="G37" s="27">
        <f>IF(DATE(cfg_Year,4,1)&gt;cfg_LastDataDate,"",IFERROR(INDEX(cd_Drill_m_MTD,MATCH(MIN(EOMONTH(DATE(cfg_Year,4,1),0),cfg_LastDataDate),cd_Date,0)),""))</f>
        <v/>
      </c>
      <c r="H37" s="27">
        <f>IF(DATE(cfg_Year,5,1)&gt;cfg_LastDataDate,"",IFERROR(INDEX(cd_Drill_m_MTD,MATCH(MIN(EOMONTH(DATE(cfg_Year,5,1),0),cfg_LastDataDate),cd_Date,0)),""))</f>
        <v/>
      </c>
      <c r="I37" s="27">
        <f>IF(DATE(cfg_Year,6,1)&gt;cfg_LastDataDate,"",IFERROR(INDEX(cd_Drill_m_MTD,MATCH(MIN(EOMONTH(DATE(cfg_Year,6,1),0),cfg_LastDataDate),cd_Date,0)),""))</f>
        <v/>
      </c>
      <c r="J37" s="27">
        <f>IF(DATE(cfg_Year,7,1)&gt;cfg_LastDataDate,"",IFERROR(INDEX(cd_Drill_m_MTD,MATCH(MIN(EOMONTH(DATE(cfg_Year,7,1),0),cfg_LastDataDate),cd_Date,0)),""))</f>
        <v/>
      </c>
      <c r="K37" s="27">
        <f>IF(DATE(cfg_Year,8,1)&gt;cfg_LastDataDate,"",IFERROR(INDEX(cd_Drill_m_MTD,MATCH(MIN(EOMONTH(DATE(cfg_Year,8,1),0),cfg_LastDataDate),cd_Date,0)),""))</f>
        <v/>
      </c>
      <c r="L37" s="27">
        <f>IF(DATE(cfg_Year,9,1)&gt;cfg_LastDataDate,"",IFERROR(INDEX(cd_Drill_m_MTD,MATCH(MIN(EOMONTH(DATE(cfg_Year,9,1),0),cfg_LastDataDate),cd_Date,0)),""))</f>
        <v/>
      </c>
      <c r="M37" s="27">
        <f>IF(DATE(cfg_Year,10,1)&gt;cfg_LastDataDate,"",IFERROR(INDEX(cd_Drill_m_MTD,MATCH(MIN(EOMONTH(DATE(cfg_Year,10,1),0),cfg_LastDataDate),cd_Date,0)),""))</f>
        <v/>
      </c>
      <c r="N37" s="27">
        <f>IF(DATE(cfg_Year,11,1)&gt;cfg_LastDataDate,"",IFERROR(INDEX(cd_Drill_m_MTD,MATCH(MIN(EOMONTH(DATE(cfg_Year,11,1),0),cfg_LastDataDate),cd_Date,0)),""))</f>
        <v/>
      </c>
      <c r="O37" s="27">
        <f>IF(DATE(cfg_Year,12,1)&gt;cfg_LastDataDate,"",IFERROR(INDEX(cd_Drill_m_MTD,MATCH(MIN(EOMONTH(DATE(cfg_Year,12,1),0),cfg_LastDataDate),cd_Date,0)),""))</f>
        <v/>
      </c>
      <c r="P37" s="45">
        <f>IFERROR(INDEX(cd_Drill_m_YTD,MATCH(MIN(cfg_YearEnd,cfg_LastDataDate),cd_Date,0)),"")</f>
        <v/>
      </c>
    </row>
    <row r="38">
      <c r="B38" s="39" t="inlineStr"/>
      <c r="C38" s="36" t="inlineStr">
        <is>
          <t>Budget</t>
        </is>
      </c>
      <c r="D38" s="27">
        <f>IFERROR(INDEX(cd_Bud_Drill_m_Month,MATCH(DATE(cfg_Year,1,1),cd_Date,0)),"")</f>
        <v/>
      </c>
      <c r="E38" s="27">
        <f>IFERROR(INDEX(cd_Bud_Drill_m_Month,MATCH(DATE(cfg_Year,2,1),cd_Date,0)),"")</f>
        <v/>
      </c>
      <c r="F38" s="27">
        <f>IFERROR(INDEX(cd_Bud_Drill_m_Month,MATCH(DATE(cfg_Year,3,1),cd_Date,0)),"")</f>
        <v/>
      </c>
      <c r="G38" s="27">
        <f>IFERROR(INDEX(cd_Bud_Drill_m_Month,MATCH(DATE(cfg_Year,4,1),cd_Date,0)),"")</f>
        <v/>
      </c>
      <c r="H38" s="27">
        <f>IFERROR(INDEX(cd_Bud_Drill_m_Month,MATCH(DATE(cfg_Year,5,1),cd_Date,0)),"")</f>
        <v/>
      </c>
      <c r="I38" s="27">
        <f>IFERROR(INDEX(cd_Bud_Drill_m_Month,MATCH(DATE(cfg_Year,6,1),cd_Date,0)),"")</f>
        <v/>
      </c>
      <c r="J38" s="27">
        <f>IFERROR(INDEX(cd_Bud_Drill_m_Month,MATCH(DATE(cfg_Year,7,1),cd_Date,0)),"")</f>
        <v/>
      </c>
      <c r="K38" s="27">
        <f>IFERROR(INDEX(cd_Bud_Drill_m_Month,MATCH(DATE(cfg_Year,8,1),cd_Date,0)),"")</f>
        <v/>
      </c>
      <c r="L38" s="27">
        <f>IFERROR(INDEX(cd_Bud_Drill_m_Month,MATCH(DATE(cfg_Year,9,1),cd_Date,0)),"")</f>
        <v/>
      </c>
      <c r="M38" s="27">
        <f>IFERROR(INDEX(cd_Bud_Drill_m_Month,MATCH(DATE(cfg_Year,10,1),cd_Date,0)),"")</f>
        <v/>
      </c>
      <c r="N38" s="27">
        <f>IFERROR(INDEX(cd_Bud_Drill_m_Month,MATCH(DATE(cfg_Year,11,1),cd_Date,0)),"")</f>
        <v/>
      </c>
      <c r="O38" s="27">
        <f>IFERROR(INDEX(cd_Bud_Drill_m_Month,MATCH(DATE(cfg_Year,12,1),cd_Date,0)),"")</f>
        <v/>
      </c>
      <c r="P38" s="45">
        <f>IFERROR(INDEX(cd_Bud_Drill_m_YTD,MATCH(cfg_YearEnd,cd_Date,0)),"")</f>
        <v/>
      </c>
    </row>
    <row r="39">
      <c r="B39" s="39" t="inlineStr"/>
      <c r="C39" s="36" t="inlineStr">
        <is>
          <t>Variance</t>
        </is>
      </c>
      <c r="D39" s="40">
        <f>IF(AND(ISNUMBER(D37),ISNUMBER(D38),D38&lt;&gt;0),D37/D38-1,"")</f>
        <v/>
      </c>
      <c r="E39" s="40">
        <f>IF(AND(ISNUMBER(E37),ISNUMBER(E38),E38&lt;&gt;0),E37/E38-1,"")</f>
        <v/>
      </c>
      <c r="F39" s="40">
        <f>IF(AND(ISNUMBER(F37),ISNUMBER(F38),F38&lt;&gt;0),F37/F38-1,"")</f>
        <v/>
      </c>
      <c r="G39" s="40">
        <f>IF(AND(ISNUMBER(G37),ISNUMBER(G38),G38&lt;&gt;0),G37/G38-1,"")</f>
        <v/>
      </c>
      <c r="H39" s="40">
        <f>IF(AND(ISNUMBER(H37),ISNUMBER(H38),H38&lt;&gt;0),H37/H38-1,"")</f>
        <v/>
      </c>
      <c r="I39" s="40">
        <f>IF(AND(ISNUMBER(I37),ISNUMBER(I38),I38&lt;&gt;0),I37/I38-1,"")</f>
        <v/>
      </c>
      <c r="J39" s="40">
        <f>IF(AND(ISNUMBER(J37),ISNUMBER(J38),J38&lt;&gt;0),J37/J38-1,"")</f>
        <v/>
      </c>
      <c r="K39" s="40">
        <f>IF(AND(ISNUMBER(K37),ISNUMBER(K38),K38&lt;&gt;0),K37/K38-1,"")</f>
        <v/>
      </c>
      <c r="L39" s="40">
        <f>IF(AND(ISNUMBER(L37),ISNUMBER(L38),L38&lt;&gt;0),L37/L38-1,"")</f>
        <v/>
      </c>
      <c r="M39" s="40">
        <f>IF(AND(ISNUMBER(M37),ISNUMBER(M38),M38&lt;&gt;0),M37/M38-1,"")</f>
        <v/>
      </c>
      <c r="N39" s="40">
        <f>IF(AND(ISNUMBER(N37),ISNUMBER(N38),N38&lt;&gt;0),N37/N38-1,"")</f>
        <v/>
      </c>
      <c r="O39" s="40">
        <f>IF(AND(ISNUMBER(O37),ISNUMBER(O38),O38&lt;&gt;0),O37/O38-1,"")</f>
        <v/>
      </c>
      <c r="P39" s="41">
        <f>IF(AND(ISNUMBER(P37),ISNUMBER(P38),P38&lt;&gt;0),P37/P38-1,"")</f>
        <v/>
      </c>
    </row>
    <row r="41">
      <c r="B41" s="8" t="inlineStr">
        <is>
          <t>Milled</t>
        </is>
      </c>
      <c r="C41" s="36" t="inlineStr">
        <is>
          <t>Actual</t>
        </is>
      </c>
      <c r="D41" s="27">
        <f>IF(DATE(cfg_Year,1,1)&gt;cfg_LastDataDate,"",IFERROR(INDEX(cd_Milled_t_MTD,MATCH(MIN(EOMONTH(DATE(cfg_Year,1,1),0),cfg_LastDataDate),cd_Date,0)),""))</f>
        <v/>
      </c>
      <c r="E41" s="27">
        <f>IF(DATE(cfg_Year,2,1)&gt;cfg_LastDataDate,"",IFERROR(INDEX(cd_Milled_t_MTD,MATCH(MIN(EOMONTH(DATE(cfg_Year,2,1),0),cfg_LastDataDate),cd_Date,0)),""))</f>
        <v/>
      </c>
      <c r="F41" s="27">
        <f>IF(DATE(cfg_Year,3,1)&gt;cfg_LastDataDate,"",IFERROR(INDEX(cd_Milled_t_MTD,MATCH(MIN(EOMONTH(DATE(cfg_Year,3,1),0),cfg_LastDataDate),cd_Date,0)),""))</f>
        <v/>
      </c>
      <c r="G41" s="27">
        <f>IF(DATE(cfg_Year,4,1)&gt;cfg_LastDataDate,"",IFERROR(INDEX(cd_Milled_t_MTD,MATCH(MIN(EOMONTH(DATE(cfg_Year,4,1),0),cfg_LastDataDate),cd_Date,0)),""))</f>
        <v/>
      </c>
      <c r="H41" s="27">
        <f>IF(DATE(cfg_Year,5,1)&gt;cfg_LastDataDate,"",IFERROR(INDEX(cd_Milled_t_MTD,MATCH(MIN(EOMONTH(DATE(cfg_Year,5,1),0),cfg_LastDataDate),cd_Date,0)),""))</f>
        <v/>
      </c>
      <c r="I41" s="27">
        <f>IF(DATE(cfg_Year,6,1)&gt;cfg_LastDataDate,"",IFERROR(INDEX(cd_Milled_t_MTD,MATCH(MIN(EOMONTH(DATE(cfg_Year,6,1),0),cfg_LastDataDate),cd_Date,0)),""))</f>
        <v/>
      </c>
      <c r="J41" s="27">
        <f>IF(DATE(cfg_Year,7,1)&gt;cfg_LastDataDate,"",IFERROR(INDEX(cd_Milled_t_MTD,MATCH(MIN(EOMONTH(DATE(cfg_Year,7,1),0),cfg_LastDataDate),cd_Date,0)),""))</f>
        <v/>
      </c>
      <c r="K41" s="27">
        <f>IF(DATE(cfg_Year,8,1)&gt;cfg_LastDataDate,"",IFERROR(INDEX(cd_Milled_t_MTD,MATCH(MIN(EOMONTH(DATE(cfg_Year,8,1),0),cfg_LastDataDate),cd_Date,0)),""))</f>
        <v/>
      </c>
      <c r="L41" s="27">
        <f>IF(DATE(cfg_Year,9,1)&gt;cfg_LastDataDate,"",IFERROR(INDEX(cd_Milled_t_MTD,MATCH(MIN(EOMONTH(DATE(cfg_Year,9,1),0),cfg_LastDataDate),cd_Date,0)),""))</f>
        <v/>
      </c>
      <c r="M41" s="27">
        <f>IF(DATE(cfg_Year,10,1)&gt;cfg_LastDataDate,"",IFERROR(INDEX(cd_Milled_t_MTD,MATCH(MIN(EOMONTH(DATE(cfg_Year,10,1),0),cfg_LastDataDate),cd_Date,0)),""))</f>
        <v/>
      </c>
      <c r="N41" s="27">
        <f>IF(DATE(cfg_Year,11,1)&gt;cfg_LastDataDate,"",IFERROR(INDEX(cd_Milled_t_MTD,MATCH(MIN(EOMONTH(DATE(cfg_Year,11,1),0),cfg_LastDataDate),cd_Date,0)),""))</f>
        <v/>
      </c>
      <c r="O41" s="27">
        <f>IF(DATE(cfg_Year,12,1)&gt;cfg_LastDataDate,"",IFERROR(INDEX(cd_Milled_t_MTD,MATCH(MIN(EOMONTH(DATE(cfg_Year,12,1),0),cfg_LastDataDate),cd_Date,0)),""))</f>
        <v/>
      </c>
      <c r="P41" s="45">
        <f>IFERROR(INDEX(cd_Milled_t_YTD,MATCH(MIN(cfg_YearEnd,cfg_LastDataDate),cd_Date,0)),"")</f>
        <v/>
      </c>
    </row>
    <row r="42">
      <c r="B42" s="39" t="inlineStr"/>
      <c r="C42" s="36" t="inlineStr">
        <is>
          <t>Budget</t>
        </is>
      </c>
      <c r="D42" s="27">
        <f>IFERROR(INDEX(cd_Bud_Milled_t_Month,MATCH(DATE(cfg_Year,1,1),cd_Date,0)),"")</f>
        <v/>
      </c>
      <c r="E42" s="27">
        <f>IFERROR(INDEX(cd_Bud_Milled_t_Month,MATCH(DATE(cfg_Year,2,1),cd_Date,0)),"")</f>
        <v/>
      </c>
      <c r="F42" s="27">
        <f>IFERROR(INDEX(cd_Bud_Milled_t_Month,MATCH(DATE(cfg_Year,3,1),cd_Date,0)),"")</f>
        <v/>
      </c>
      <c r="G42" s="27">
        <f>IFERROR(INDEX(cd_Bud_Milled_t_Month,MATCH(DATE(cfg_Year,4,1),cd_Date,0)),"")</f>
        <v/>
      </c>
      <c r="H42" s="27">
        <f>IFERROR(INDEX(cd_Bud_Milled_t_Month,MATCH(DATE(cfg_Year,5,1),cd_Date,0)),"")</f>
        <v/>
      </c>
      <c r="I42" s="27">
        <f>IFERROR(INDEX(cd_Bud_Milled_t_Month,MATCH(DATE(cfg_Year,6,1),cd_Date,0)),"")</f>
        <v/>
      </c>
      <c r="J42" s="27">
        <f>IFERROR(INDEX(cd_Bud_Milled_t_Month,MATCH(DATE(cfg_Year,7,1),cd_Date,0)),"")</f>
        <v/>
      </c>
      <c r="K42" s="27">
        <f>IFERROR(INDEX(cd_Bud_Milled_t_Month,MATCH(DATE(cfg_Year,8,1),cd_Date,0)),"")</f>
        <v/>
      </c>
      <c r="L42" s="27">
        <f>IFERROR(INDEX(cd_Bud_Milled_t_Month,MATCH(DATE(cfg_Year,9,1),cd_Date,0)),"")</f>
        <v/>
      </c>
      <c r="M42" s="27">
        <f>IFERROR(INDEX(cd_Bud_Milled_t_Month,MATCH(DATE(cfg_Year,10,1),cd_Date,0)),"")</f>
        <v/>
      </c>
      <c r="N42" s="27">
        <f>IFERROR(INDEX(cd_Bud_Milled_t_Month,MATCH(DATE(cfg_Year,11,1),cd_Date,0)),"")</f>
        <v/>
      </c>
      <c r="O42" s="27">
        <f>IFERROR(INDEX(cd_Bud_Milled_t_Month,MATCH(DATE(cfg_Year,12,1),cd_Date,0)),"")</f>
        <v/>
      </c>
      <c r="P42" s="45">
        <f>IFERROR(INDEX(cd_Bud_Milled_t_YTD,MATCH(cfg_YearEnd,cd_Date,0)),"")</f>
        <v/>
      </c>
    </row>
    <row r="43">
      <c r="B43" s="39" t="inlineStr"/>
      <c r="C43" s="36" t="inlineStr">
        <is>
          <t>Variance</t>
        </is>
      </c>
      <c r="D43" s="40">
        <f>IF(AND(ISNUMBER(D41),ISNUMBER(D42),D42&lt;&gt;0),D41/D42-1,"")</f>
        <v/>
      </c>
      <c r="E43" s="40">
        <f>IF(AND(ISNUMBER(E41),ISNUMBER(E42),E42&lt;&gt;0),E41/E42-1,"")</f>
        <v/>
      </c>
      <c r="F43" s="40">
        <f>IF(AND(ISNUMBER(F41),ISNUMBER(F42),F42&lt;&gt;0),F41/F42-1,"")</f>
        <v/>
      </c>
      <c r="G43" s="40">
        <f>IF(AND(ISNUMBER(G41),ISNUMBER(G42),G42&lt;&gt;0),G41/G42-1,"")</f>
        <v/>
      </c>
      <c r="H43" s="40">
        <f>IF(AND(ISNUMBER(H41),ISNUMBER(H42),H42&lt;&gt;0),H41/H42-1,"")</f>
        <v/>
      </c>
      <c r="I43" s="40">
        <f>IF(AND(ISNUMBER(I41),ISNUMBER(I42),I42&lt;&gt;0),I41/I42-1,"")</f>
        <v/>
      </c>
      <c r="J43" s="40">
        <f>IF(AND(ISNUMBER(J41),ISNUMBER(J42),J42&lt;&gt;0),J41/J42-1,"")</f>
        <v/>
      </c>
      <c r="K43" s="40">
        <f>IF(AND(ISNUMBER(K41),ISNUMBER(K42),K42&lt;&gt;0),K41/K42-1,"")</f>
        <v/>
      </c>
      <c r="L43" s="40">
        <f>IF(AND(ISNUMBER(L41),ISNUMBER(L42),L42&lt;&gt;0),L41/L42-1,"")</f>
        <v/>
      </c>
      <c r="M43" s="40">
        <f>IF(AND(ISNUMBER(M41),ISNUMBER(M42),M42&lt;&gt;0),M41/M42-1,"")</f>
        <v/>
      </c>
      <c r="N43" s="40">
        <f>IF(AND(ISNUMBER(N41),ISNUMBER(N42),N42&lt;&gt;0),N41/N42-1,"")</f>
        <v/>
      </c>
      <c r="O43" s="40">
        <f>IF(AND(ISNUMBER(O41),ISNUMBER(O42),O42&lt;&gt;0),O41/O42-1,"")</f>
        <v/>
      </c>
      <c r="P43" s="41">
        <f>IF(AND(ISNUMBER(P41),ISNUMBER(P42),P42&lt;&gt;0),P41/P42-1,"")</f>
        <v/>
      </c>
    </row>
    <row r="45">
      <c r="B45" s="8" t="inlineStr">
        <is>
          <t>Head grade</t>
        </is>
      </c>
      <c r="C45" s="36" t="inlineStr">
        <is>
          <t>Actual</t>
        </is>
      </c>
      <c r="D45" s="28">
        <f>IF(DATE(cfg_Year,1,1)&gt;cfg_LastDataDate,"",IFERROR(INDEX(cd_Head_Grade_gpt_MTD,MATCH(MIN(EOMONTH(DATE(cfg_Year,1,1),0),cfg_LastDataDate),cd_Date,0)),""))</f>
        <v/>
      </c>
      <c r="E45" s="28">
        <f>IF(DATE(cfg_Year,2,1)&gt;cfg_LastDataDate,"",IFERROR(INDEX(cd_Head_Grade_gpt_MTD,MATCH(MIN(EOMONTH(DATE(cfg_Year,2,1),0),cfg_LastDataDate),cd_Date,0)),""))</f>
        <v/>
      </c>
      <c r="F45" s="28">
        <f>IF(DATE(cfg_Year,3,1)&gt;cfg_LastDataDate,"",IFERROR(INDEX(cd_Head_Grade_gpt_MTD,MATCH(MIN(EOMONTH(DATE(cfg_Year,3,1),0),cfg_LastDataDate),cd_Date,0)),""))</f>
        <v/>
      </c>
      <c r="G45" s="28">
        <f>IF(DATE(cfg_Year,4,1)&gt;cfg_LastDataDate,"",IFERROR(INDEX(cd_Head_Grade_gpt_MTD,MATCH(MIN(EOMONTH(DATE(cfg_Year,4,1),0),cfg_LastDataDate),cd_Date,0)),""))</f>
        <v/>
      </c>
      <c r="H45" s="28">
        <f>IF(DATE(cfg_Year,5,1)&gt;cfg_LastDataDate,"",IFERROR(INDEX(cd_Head_Grade_gpt_MTD,MATCH(MIN(EOMONTH(DATE(cfg_Year,5,1),0),cfg_LastDataDate),cd_Date,0)),""))</f>
        <v/>
      </c>
      <c r="I45" s="28">
        <f>IF(DATE(cfg_Year,6,1)&gt;cfg_LastDataDate,"",IFERROR(INDEX(cd_Head_Grade_gpt_MTD,MATCH(MIN(EOMONTH(DATE(cfg_Year,6,1),0),cfg_LastDataDate),cd_Date,0)),""))</f>
        <v/>
      </c>
      <c r="J45" s="28">
        <f>IF(DATE(cfg_Year,7,1)&gt;cfg_LastDataDate,"",IFERROR(INDEX(cd_Head_Grade_gpt_MTD,MATCH(MIN(EOMONTH(DATE(cfg_Year,7,1),0),cfg_LastDataDate),cd_Date,0)),""))</f>
        <v/>
      </c>
      <c r="K45" s="28">
        <f>IF(DATE(cfg_Year,8,1)&gt;cfg_LastDataDate,"",IFERROR(INDEX(cd_Head_Grade_gpt_MTD,MATCH(MIN(EOMONTH(DATE(cfg_Year,8,1),0),cfg_LastDataDate),cd_Date,0)),""))</f>
        <v/>
      </c>
      <c r="L45" s="28">
        <f>IF(DATE(cfg_Year,9,1)&gt;cfg_LastDataDate,"",IFERROR(INDEX(cd_Head_Grade_gpt_MTD,MATCH(MIN(EOMONTH(DATE(cfg_Year,9,1),0),cfg_LastDataDate),cd_Date,0)),""))</f>
        <v/>
      </c>
      <c r="M45" s="28">
        <f>IF(DATE(cfg_Year,10,1)&gt;cfg_LastDataDate,"",IFERROR(INDEX(cd_Head_Grade_gpt_MTD,MATCH(MIN(EOMONTH(DATE(cfg_Year,10,1),0),cfg_LastDataDate),cd_Date,0)),""))</f>
        <v/>
      </c>
      <c r="N45" s="28">
        <f>IF(DATE(cfg_Year,11,1)&gt;cfg_LastDataDate,"",IFERROR(INDEX(cd_Head_Grade_gpt_MTD,MATCH(MIN(EOMONTH(DATE(cfg_Year,11,1),0),cfg_LastDataDate),cd_Date,0)),""))</f>
        <v/>
      </c>
      <c r="O45" s="28">
        <f>IF(DATE(cfg_Year,12,1)&gt;cfg_LastDataDate,"",IFERROR(INDEX(cd_Head_Grade_gpt_MTD,MATCH(MIN(EOMONTH(DATE(cfg_Year,12,1),0),cfg_LastDataDate),cd_Date,0)),""))</f>
        <v/>
      </c>
      <c r="P45" s="44">
        <f>IFERROR(INDEX(cd_Head_Grade_gpt_YTD,MATCH(MIN(cfg_YearEnd,cfg_LastDataDate),cd_Date,0)),"")</f>
        <v/>
      </c>
    </row>
    <row r="46">
      <c r="B46" s="39" t="inlineStr"/>
      <c r="C46" s="36" t="inlineStr">
        <is>
          <t>Budget</t>
        </is>
      </c>
      <c r="D46" s="28">
        <f>IFERROR(INDEX(cd_Bud_Head_Grade_gpt_Month,MATCH(DATE(cfg_Year,1,1),cd_Date,0)),"")</f>
        <v/>
      </c>
      <c r="E46" s="28">
        <f>IFERROR(INDEX(cd_Bud_Head_Grade_gpt_Month,MATCH(DATE(cfg_Year,2,1),cd_Date,0)),"")</f>
        <v/>
      </c>
      <c r="F46" s="28">
        <f>IFERROR(INDEX(cd_Bud_Head_Grade_gpt_Month,MATCH(DATE(cfg_Year,3,1),cd_Date,0)),"")</f>
        <v/>
      </c>
      <c r="G46" s="28">
        <f>IFERROR(INDEX(cd_Bud_Head_Grade_gpt_Month,MATCH(DATE(cfg_Year,4,1),cd_Date,0)),"")</f>
        <v/>
      </c>
      <c r="H46" s="28">
        <f>IFERROR(INDEX(cd_Bud_Head_Grade_gpt_Month,MATCH(DATE(cfg_Year,5,1),cd_Date,0)),"")</f>
        <v/>
      </c>
      <c r="I46" s="28">
        <f>IFERROR(INDEX(cd_Bud_Head_Grade_gpt_Month,MATCH(DATE(cfg_Year,6,1),cd_Date,0)),"")</f>
        <v/>
      </c>
      <c r="J46" s="28">
        <f>IFERROR(INDEX(cd_Bud_Head_Grade_gpt_Month,MATCH(DATE(cfg_Year,7,1),cd_Date,0)),"")</f>
        <v/>
      </c>
      <c r="K46" s="28">
        <f>IFERROR(INDEX(cd_Bud_Head_Grade_gpt_Month,MATCH(DATE(cfg_Year,8,1),cd_Date,0)),"")</f>
        <v/>
      </c>
      <c r="L46" s="28">
        <f>IFERROR(INDEX(cd_Bud_Head_Grade_gpt_Month,MATCH(DATE(cfg_Year,9,1),cd_Date,0)),"")</f>
        <v/>
      </c>
      <c r="M46" s="28">
        <f>IFERROR(INDEX(cd_Bud_Head_Grade_gpt_Month,MATCH(DATE(cfg_Year,10,1),cd_Date,0)),"")</f>
        <v/>
      </c>
      <c r="N46" s="28">
        <f>IFERROR(INDEX(cd_Bud_Head_Grade_gpt_Month,MATCH(DATE(cfg_Year,11,1),cd_Date,0)),"")</f>
        <v/>
      </c>
      <c r="O46" s="28">
        <f>IFERROR(INDEX(cd_Bud_Head_Grade_gpt_Month,MATCH(DATE(cfg_Year,12,1),cd_Date,0)),"")</f>
        <v/>
      </c>
      <c r="P46" s="44">
        <f>IFERROR(INDEX(cd_Bud_Head_Grade_gpt_YTD,MATCH(cfg_YearEnd,cd_Date,0)),"")</f>
        <v/>
      </c>
    </row>
    <row r="47">
      <c r="B47" s="39" t="inlineStr"/>
      <c r="C47" s="36" t="inlineStr">
        <is>
          <t>Variance</t>
        </is>
      </c>
      <c r="D47" s="40">
        <f>IF(AND(ISNUMBER(D45),ISNUMBER(D46),D46&lt;&gt;0),D45/D46-1,"")</f>
        <v/>
      </c>
      <c r="E47" s="40">
        <f>IF(AND(ISNUMBER(E45),ISNUMBER(E46),E46&lt;&gt;0),E45/E46-1,"")</f>
        <v/>
      </c>
      <c r="F47" s="40">
        <f>IF(AND(ISNUMBER(F45),ISNUMBER(F46),F46&lt;&gt;0),F45/F46-1,"")</f>
        <v/>
      </c>
      <c r="G47" s="40">
        <f>IF(AND(ISNUMBER(G45),ISNUMBER(G46),G46&lt;&gt;0),G45/G46-1,"")</f>
        <v/>
      </c>
      <c r="H47" s="40">
        <f>IF(AND(ISNUMBER(H45),ISNUMBER(H46),H46&lt;&gt;0),H45/H46-1,"")</f>
        <v/>
      </c>
      <c r="I47" s="40">
        <f>IF(AND(ISNUMBER(I45),ISNUMBER(I46),I46&lt;&gt;0),I45/I46-1,"")</f>
        <v/>
      </c>
      <c r="J47" s="40">
        <f>IF(AND(ISNUMBER(J45),ISNUMBER(J46),J46&lt;&gt;0),J45/J46-1,"")</f>
        <v/>
      </c>
      <c r="K47" s="40">
        <f>IF(AND(ISNUMBER(K45),ISNUMBER(K46),K46&lt;&gt;0),K45/K46-1,"")</f>
        <v/>
      </c>
      <c r="L47" s="40">
        <f>IF(AND(ISNUMBER(L45),ISNUMBER(L46),L46&lt;&gt;0),L45/L46-1,"")</f>
        <v/>
      </c>
      <c r="M47" s="40">
        <f>IF(AND(ISNUMBER(M45),ISNUMBER(M46),M46&lt;&gt;0),M45/M46-1,"")</f>
        <v/>
      </c>
      <c r="N47" s="40">
        <f>IF(AND(ISNUMBER(N45),ISNUMBER(N46),N46&lt;&gt;0),N45/N46-1,"")</f>
        <v/>
      </c>
      <c r="O47" s="40">
        <f>IF(AND(ISNUMBER(O45),ISNUMBER(O46),O46&lt;&gt;0),O45/O46-1,"")</f>
        <v/>
      </c>
      <c r="P47" s="41">
        <f>IF(AND(ISNUMBER(P45),ISNUMBER(P46),P46&lt;&gt;0),P45/P46-1,"")</f>
        <v/>
      </c>
    </row>
    <row r="49">
      <c r="B49" s="8" t="inlineStr">
        <is>
          <t>Recovery</t>
        </is>
      </c>
      <c r="C49" s="36" t="inlineStr">
        <is>
          <t>Actual</t>
        </is>
      </c>
      <c r="D49" s="46">
        <f>IF(DATE(cfg_Year,1,1)&gt;cfg_LastDataDate,"",IFERROR(INDEX(cd_Recovery_pct_MTD,MATCH(MIN(EOMONTH(DATE(cfg_Year,1,1),0),cfg_LastDataDate),cd_Date,0)),""))</f>
        <v/>
      </c>
      <c r="E49" s="46">
        <f>IF(DATE(cfg_Year,2,1)&gt;cfg_LastDataDate,"",IFERROR(INDEX(cd_Recovery_pct_MTD,MATCH(MIN(EOMONTH(DATE(cfg_Year,2,1),0),cfg_LastDataDate),cd_Date,0)),""))</f>
        <v/>
      </c>
      <c r="F49" s="46">
        <f>IF(DATE(cfg_Year,3,1)&gt;cfg_LastDataDate,"",IFERROR(INDEX(cd_Recovery_pct_MTD,MATCH(MIN(EOMONTH(DATE(cfg_Year,3,1),0),cfg_LastDataDate),cd_Date,0)),""))</f>
        <v/>
      </c>
      <c r="G49" s="46">
        <f>IF(DATE(cfg_Year,4,1)&gt;cfg_LastDataDate,"",IFERROR(INDEX(cd_Recovery_pct_MTD,MATCH(MIN(EOMONTH(DATE(cfg_Year,4,1),0),cfg_LastDataDate),cd_Date,0)),""))</f>
        <v/>
      </c>
      <c r="H49" s="46">
        <f>IF(DATE(cfg_Year,5,1)&gt;cfg_LastDataDate,"",IFERROR(INDEX(cd_Recovery_pct_MTD,MATCH(MIN(EOMONTH(DATE(cfg_Year,5,1),0),cfg_LastDataDate),cd_Date,0)),""))</f>
        <v/>
      </c>
      <c r="I49" s="46">
        <f>IF(DATE(cfg_Year,6,1)&gt;cfg_LastDataDate,"",IFERROR(INDEX(cd_Recovery_pct_MTD,MATCH(MIN(EOMONTH(DATE(cfg_Year,6,1),0),cfg_LastDataDate),cd_Date,0)),""))</f>
        <v/>
      </c>
      <c r="J49" s="46">
        <f>IF(DATE(cfg_Year,7,1)&gt;cfg_LastDataDate,"",IFERROR(INDEX(cd_Recovery_pct_MTD,MATCH(MIN(EOMONTH(DATE(cfg_Year,7,1),0),cfg_LastDataDate),cd_Date,0)),""))</f>
        <v/>
      </c>
      <c r="K49" s="46">
        <f>IF(DATE(cfg_Year,8,1)&gt;cfg_LastDataDate,"",IFERROR(INDEX(cd_Recovery_pct_MTD,MATCH(MIN(EOMONTH(DATE(cfg_Year,8,1),0),cfg_LastDataDate),cd_Date,0)),""))</f>
        <v/>
      </c>
      <c r="L49" s="46">
        <f>IF(DATE(cfg_Year,9,1)&gt;cfg_LastDataDate,"",IFERROR(INDEX(cd_Recovery_pct_MTD,MATCH(MIN(EOMONTH(DATE(cfg_Year,9,1),0),cfg_LastDataDate),cd_Date,0)),""))</f>
        <v/>
      </c>
      <c r="M49" s="46">
        <f>IF(DATE(cfg_Year,10,1)&gt;cfg_LastDataDate,"",IFERROR(INDEX(cd_Recovery_pct_MTD,MATCH(MIN(EOMONTH(DATE(cfg_Year,10,1),0),cfg_LastDataDate),cd_Date,0)),""))</f>
        <v/>
      </c>
      <c r="N49" s="46">
        <f>IF(DATE(cfg_Year,11,1)&gt;cfg_LastDataDate,"",IFERROR(INDEX(cd_Recovery_pct_MTD,MATCH(MIN(EOMONTH(DATE(cfg_Year,11,1),0),cfg_LastDataDate),cd_Date,0)),""))</f>
        <v/>
      </c>
      <c r="O49" s="46">
        <f>IF(DATE(cfg_Year,12,1)&gt;cfg_LastDataDate,"",IFERROR(INDEX(cd_Recovery_pct_MTD,MATCH(MIN(EOMONTH(DATE(cfg_Year,12,1),0),cfg_LastDataDate),cd_Date,0)),""))</f>
        <v/>
      </c>
      <c r="P49" s="47">
        <f>IFERROR(INDEX(cd_Recovery_pct_YTD,MATCH(MIN(cfg_YearEnd,cfg_LastDataDate),cd_Date,0)),"")</f>
        <v/>
      </c>
    </row>
    <row r="50">
      <c r="B50" s="39" t="inlineStr"/>
      <c r="C50" s="36" t="inlineStr">
        <is>
          <t>Budget</t>
        </is>
      </c>
      <c r="D50" s="46">
        <f>IFERROR(INDEX(cd_Bud_Recovery_pct_Month,MATCH(DATE(cfg_Year,1,1),cd_Date,0)),"")</f>
        <v/>
      </c>
      <c r="E50" s="46">
        <f>IFERROR(INDEX(cd_Bud_Recovery_pct_Month,MATCH(DATE(cfg_Year,2,1),cd_Date,0)),"")</f>
        <v/>
      </c>
      <c r="F50" s="46">
        <f>IFERROR(INDEX(cd_Bud_Recovery_pct_Month,MATCH(DATE(cfg_Year,3,1),cd_Date,0)),"")</f>
        <v/>
      </c>
      <c r="G50" s="46">
        <f>IFERROR(INDEX(cd_Bud_Recovery_pct_Month,MATCH(DATE(cfg_Year,4,1),cd_Date,0)),"")</f>
        <v/>
      </c>
      <c r="H50" s="46">
        <f>IFERROR(INDEX(cd_Bud_Recovery_pct_Month,MATCH(DATE(cfg_Year,5,1),cd_Date,0)),"")</f>
        <v/>
      </c>
      <c r="I50" s="46">
        <f>IFERROR(INDEX(cd_Bud_Recovery_pct_Month,MATCH(DATE(cfg_Year,6,1),cd_Date,0)),"")</f>
        <v/>
      </c>
      <c r="J50" s="46">
        <f>IFERROR(INDEX(cd_Bud_Recovery_pct_Month,MATCH(DATE(cfg_Year,7,1),cd_Date,0)),"")</f>
        <v/>
      </c>
      <c r="K50" s="46">
        <f>IFERROR(INDEX(cd_Bud_Recovery_pct_Month,MATCH(DATE(cfg_Year,8,1),cd_Date,0)),"")</f>
        <v/>
      </c>
      <c r="L50" s="46">
        <f>IFERROR(INDEX(cd_Bud_Recovery_pct_Month,MATCH(DATE(cfg_Year,9,1),cd_Date,0)),"")</f>
        <v/>
      </c>
      <c r="M50" s="46">
        <f>IFERROR(INDEX(cd_Bud_Recovery_pct_Month,MATCH(DATE(cfg_Year,10,1),cd_Date,0)),"")</f>
        <v/>
      </c>
      <c r="N50" s="46">
        <f>IFERROR(INDEX(cd_Bud_Recovery_pct_Month,MATCH(DATE(cfg_Year,11,1),cd_Date,0)),"")</f>
        <v/>
      </c>
      <c r="O50" s="46">
        <f>IFERROR(INDEX(cd_Bud_Recovery_pct_Month,MATCH(DATE(cfg_Year,12,1),cd_Date,0)),"")</f>
        <v/>
      </c>
      <c r="P50" s="47">
        <f>IFERROR(INDEX(cd_Bud_Recovery_pct_YTD,MATCH(cfg_YearEnd,cd_Date,0)),"")</f>
        <v/>
      </c>
    </row>
    <row r="51">
      <c r="B51" s="39" t="inlineStr"/>
      <c r="C51" s="36" t="inlineStr">
        <is>
          <t>Variance</t>
        </is>
      </c>
      <c r="D51" s="40">
        <f>IF(AND(ISNUMBER(D49),ISNUMBER(D50),D50&lt;&gt;0),D49/D50-1,"")</f>
        <v/>
      </c>
      <c r="E51" s="40">
        <f>IF(AND(ISNUMBER(E49),ISNUMBER(E50),E50&lt;&gt;0),E49/E50-1,"")</f>
        <v/>
      </c>
      <c r="F51" s="40">
        <f>IF(AND(ISNUMBER(F49),ISNUMBER(F50),F50&lt;&gt;0),F49/F50-1,"")</f>
        <v/>
      </c>
      <c r="G51" s="40">
        <f>IF(AND(ISNUMBER(G49),ISNUMBER(G50),G50&lt;&gt;0),G49/G50-1,"")</f>
        <v/>
      </c>
      <c r="H51" s="40">
        <f>IF(AND(ISNUMBER(H49),ISNUMBER(H50),H50&lt;&gt;0),H49/H50-1,"")</f>
        <v/>
      </c>
      <c r="I51" s="40">
        <f>IF(AND(ISNUMBER(I49),ISNUMBER(I50),I50&lt;&gt;0),I49/I50-1,"")</f>
        <v/>
      </c>
      <c r="J51" s="40">
        <f>IF(AND(ISNUMBER(J49),ISNUMBER(J50),J50&lt;&gt;0),J49/J50-1,"")</f>
        <v/>
      </c>
      <c r="K51" s="40">
        <f>IF(AND(ISNUMBER(K49),ISNUMBER(K50),K50&lt;&gt;0),K49/K50-1,"")</f>
        <v/>
      </c>
      <c r="L51" s="40">
        <f>IF(AND(ISNUMBER(L49),ISNUMBER(L50),L50&lt;&gt;0),L49/L50-1,"")</f>
        <v/>
      </c>
      <c r="M51" s="40">
        <f>IF(AND(ISNUMBER(M49),ISNUMBER(M50),M50&lt;&gt;0),M49/M50-1,"")</f>
        <v/>
      </c>
      <c r="N51" s="40">
        <f>IF(AND(ISNUMBER(N49),ISNUMBER(N50),N50&lt;&gt;0),N49/N50-1,"")</f>
        <v/>
      </c>
      <c r="O51" s="40">
        <f>IF(AND(ISNUMBER(O49),ISNUMBER(O50),O50&lt;&gt;0),O49/O50-1,"")</f>
        <v/>
      </c>
      <c r="P51" s="41">
        <f>IF(AND(ISNUMBER(P49),ISNUMBER(P50),P50&lt;&gt;0),P49/P50-1,"")</f>
        <v/>
      </c>
    </row>
    <row r="53">
      <c r="B53" s="8" t="inlineStr">
        <is>
          <t>Gold recovered</t>
        </is>
      </c>
      <c r="C53" s="36" t="inlineStr">
        <is>
          <t>Actual</t>
        </is>
      </c>
      <c r="D53" s="27">
        <f>IF(DATE(cfg_Year,1,1)&gt;cfg_LastDataDate,"",IFERROR(INDEX(cd_Recovered_oz_MTD,MATCH(MIN(EOMONTH(DATE(cfg_Year,1,1),0),cfg_LastDataDate),cd_Date,0)),""))</f>
        <v/>
      </c>
      <c r="E53" s="27">
        <f>IF(DATE(cfg_Year,2,1)&gt;cfg_LastDataDate,"",IFERROR(INDEX(cd_Recovered_oz_MTD,MATCH(MIN(EOMONTH(DATE(cfg_Year,2,1),0),cfg_LastDataDate),cd_Date,0)),""))</f>
        <v/>
      </c>
      <c r="F53" s="27">
        <f>IF(DATE(cfg_Year,3,1)&gt;cfg_LastDataDate,"",IFERROR(INDEX(cd_Recovered_oz_MTD,MATCH(MIN(EOMONTH(DATE(cfg_Year,3,1),0),cfg_LastDataDate),cd_Date,0)),""))</f>
        <v/>
      </c>
      <c r="G53" s="27">
        <f>IF(DATE(cfg_Year,4,1)&gt;cfg_LastDataDate,"",IFERROR(INDEX(cd_Recovered_oz_MTD,MATCH(MIN(EOMONTH(DATE(cfg_Year,4,1),0),cfg_LastDataDate),cd_Date,0)),""))</f>
        <v/>
      </c>
      <c r="H53" s="27">
        <f>IF(DATE(cfg_Year,5,1)&gt;cfg_LastDataDate,"",IFERROR(INDEX(cd_Recovered_oz_MTD,MATCH(MIN(EOMONTH(DATE(cfg_Year,5,1),0),cfg_LastDataDate),cd_Date,0)),""))</f>
        <v/>
      </c>
      <c r="I53" s="27">
        <f>IF(DATE(cfg_Year,6,1)&gt;cfg_LastDataDate,"",IFERROR(INDEX(cd_Recovered_oz_MTD,MATCH(MIN(EOMONTH(DATE(cfg_Year,6,1),0),cfg_LastDataDate),cd_Date,0)),""))</f>
        <v/>
      </c>
      <c r="J53" s="27">
        <f>IF(DATE(cfg_Year,7,1)&gt;cfg_LastDataDate,"",IFERROR(INDEX(cd_Recovered_oz_MTD,MATCH(MIN(EOMONTH(DATE(cfg_Year,7,1),0),cfg_LastDataDate),cd_Date,0)),""))</f>
        <v/>
      </c>
      <c r="K53" s="27">
        <f>IF(DATE(cfg_Year,8,1)&gt;cfg_LastDataDate,"",IFERROR(INDEX(cd_Recovered_oz_MTD,MATCH(MIN(EOMONTH(DATE(cfg_Year,8,1),0),cfg_LastDataDate),cd_Date,0)),""))</f>
        <v/>
      </c>
      <c r="L53" s="27">
        <f>IF(DATE(cfg_Year,9,1)&gt;cfg_LastDataDate,"",IFERROR(INDEX(cd_Recovered_oz_MTD,MATCH(MIN(EOMONTH(DATE(cfg_Year,9,1),0),cfg_LastDataDate),cd_Date,0)),""))</f>
        <v/>
      </c>
      <c r="M53" s="27">
        <f>IF(DATE(cfg_Year,10,1)&gt;cfg_LastDataDate,"",IFERROR(INDEX(cd_Recovered_oz_MTD,MATCH(MIN(EOMONTH(DATE(cfg_Year,10,1),0),cfg_LastDataDate),cd_Date,0)),""))</f>
        <v/>
      </c>
      <c r="N53" s="27">
        <f>IF(DATE(cfg_Year,11,1)&gt;cfg_LastDataDate,"",IFERROR(INDEX(cd_Recovered_oz_MTD,MATCH(MIN(EOMONTH(DATE(cfg_Year,11,1),0),cfg_LastDataDate),cd_Date,0)),""))</f>
        <v/>
      </c>
      <c r="O53" s="27">
        <f>IF(DATE(cfg_Year,12,1)&gt;cfg_LastDataDate,"",IFERROR(INDEX(cd_Recovered_oz_MTD,MATCH(MIN(EOMONTH(DATE(cfg_Year,12,1),0),cfg_LastDataDate),cd_Date,0)),""))</f>
        <v/>
      </c>
      <c r="P53" s="45">
        <f>IFERROR(INDEX(cd_Recovered_oz_YTD,MATCH(MIN(cfg_YearEnd,cfg_LastDataDate),cd_Date,0)),"")</f>
        <v/>
      </c>
    </row>
    <row r="54">
      <c r="B54" s="39" t="inlineStr"/>
      <c r="C54" s="36" t="inlineStr">
        <is>
          <t>Budget</t>
        </is>
      </c>
      <c r="D54" s="27">
        <f>IFERROR(INDEX(cd_Bud_Recovered_oz_Month,MATCH(DATE(cfg_Year,1,1),cd_Date,0)),"")</f>
        <v/>
      </c>
      <c r="E54" s="27">
        <f>IFERROR(INDEX(cd_Bud_Recovered_oz_Month,MATCH(DATE(cfg_Year,2,1),cd_Date,0)),"")</f>
        <v/>
      </c>
      <c r="F54" s="27">
        <f>IFERROR(INDEX(cd_Bud_Recovered_oz_Month,MATCH(DATE(cfg_Year,3,1),cd_Date,0)),"")</f>
        <v/>
      </c>
      <c r="G54" s="27">
        <f>IFERROR(INDEX(cd_Bud_Recovered_oz_Month,MATCH(DATE(cfg_Year,4,1),cd_Date,0)),"")</f>
        <v/>
      </c>
      <c r="H54" s="27">
        <f>IFERROR(INDEX(cd_Bud_Recovered_oz_Month,MATCH(DATE(cfg_Year,5,1),cd_Date,0)),"")</f>
        <v/>
      </c>
      <c r="I54" s="27">
        <f>IFERROR(INDEX(cd_Bud_Recovered_oz_Month,MATCH(DATE(cfg_Year,6,1),cd_Date,0)),"")</f>
        <v/>
      </c>
      <c r="J54" s="27">
        <f>IFERROR(INDEX(cd_Bud_Recovered_oz_Month,MATCH(DATE(cfg_Year,7,1),cd_Date,0)),"")</f>
        <v/>
      </c>
      <c r="K54" s="27">
        <f>IFERROR(INDEX(cd_Bud_Recovered_oz_Month,MATCH(DATE(cfg_Year,8,1),cd_Date,0)),"")</f>
        <v/>
      </c>
      <c r="L54" s="27">
        <f>IFERROR(INDEX(cd_Bud_Recovered_oz_Month,MATCH(DATE(cfg_Year,9,1),cd_Date,0)),"")</f>
        <v/>
      </c>
      <c r="M54" s="27">
        <f>IFERROR(INDEX(cd_Bud_Recovered_oz_Month,MATCH(DATE(cfg_Year,10,1),cd_Date,0)),"")</f>
        <v/>
      </c>
      <c r="N54" s="27">
        <f>IFERROR(INDEX(cd_Bud_Recovered_oz_Month,MATCH(DATE(cfg_Year,11,1),cd_Date,0)),"")</f>
        <v/>
      </c>
      <c r="O54" s="27">
        <f>IFERROR(INDEX(cd_Bud_Recovered_oz_Month,MATCH(DATE(cfg_Year,12,1),cd_Date,0)),"")</f>
        <v/>
      </c>
      <c r="P54" s="45">
        <f>IFERROR(INDEX(cd_Bud_Recovered_oz_YTD,MATCH(cfg_YearEnd,cd_Date,0)),"")</f>
        <v/>
      </c>
    </row>
    <row r="55">
      <c r="B55" s="39" t="inlineStr"/>
      <c r="C55" s="36" t="inlineStr">
        <is>
          <t>Variance</t>
        </is>
      </c>
      <c r="D55" s="40">
        <f>IF(AND(ISNUMBER(D53),ISNUMBER(D54),D54&lt;&gt;0),D53/D54-1,"")</f>
        <v/>
      </c>
      <c r="E55" s="40">
        <f>IF(AND(ISNUMBER(E53),ISNUMBER(E54),E54&lt;&gt;0),E53/E54-1,"")</f>
        <v/>
      </c>
      <c r="F55" s="40">
        <f>IF(AND(ISNUMBER(F53),ISNUMBER(F54),F54&lt;&gt;0),F53/F54-1,"")</f>
        <v/>
      </c>
      <c r="G55" s="40">
        <f>IF(AND(ISNUMBER(G53),ISNUMBER(G54),G54&lt;&gt;0),G53/G54-1,"")</f>
        <v/>
      </c>
      <c r="H55" s="40">
        <f>IF(AND(ISNUMBER(H53),ISNUMBER(H54),H54&lt;&gt;0),H53/H54-1,"")</f>
        <v/>
      </c>
      <c r="I55" s="40">
        <f>IF(AND(ISNUMBER(I53),ISNUMBER(I54),I54&lt;&gt;0),I53/I54-1,"")</f>
        <v/>
      </c>
      <c r="J55" s="40">
        <f>IF(AND(ISNUMBER(J53),ISNUMBER(J54),J54&lt;&gt;0),J53/J54-1,"")</f>
        <v/>
      </c>
      <c r="K55" s="40">
        <f>IF(AND(ISNUMBER(K53),ISNUMBER(K54),K54&lt;&gt;0),K53/K54-1,"")</f>
        <v/>
      </c>
      <c r="L55" s="40">
        <f>IF(AND(ISNUMBER(L53),ISNUMBER(L54),L54&lt;&gt;0),L53/L54-1,"")</f>
        <v/>
      </c>
      <c r="M55" s="40">
        <f>IF(AND(ISNUMBER(M53),ISNUMBER(M54),M54&lt;&gt;0),M53/M54-1,"")</f>
        <v/>
      </c>
      <c r="N55" s="40">
        <f>IF(AND(ISNUMBER(N53),ISNUMBER(N54),N54&lt;&gt;0),N53/N54-1,"")</f>
        <v/>
      </c>
      <c r="O55" s="40">
        <f>IF(AND(ISNUMBER(O53),ISNUMBER(O54),O54&lt;&gt;0),O53/O54-1,"")</f>
        <v/>
      </c>
      <c r="P55" s="41">
        <f>IF(AND(ISNUMBER(P53),ISNUMBER(P54),P54&lt;&gt;0),P53/P54-1,"")</f>
        <v/>
      </c>
    </row>
    <row r="57">
      <c r="B57" s="8" t="inlineStr">
        <is>
          <t>Gold poured</t>
        </is>
      </c>
      <c r="C57" s="36" t="inlineStr">
        <is>
          <t>Actual</t>
        </is>
      </c>
      <c r="D57" s="27">
        <f>IF(DATE(cfg_Year,1,1)&gt;cfg_LastDataDate,"",IFERROR(INDEX(cd_Gold_Poured_oz_MTD,MATCH(MIN(EOMONTH(DATE(cfg_Year,1,1),0),cfg_LastDataDate),cd_Date,0)),""))</f>
        <v/>
      </c>
      <c r="E57" s="27">
        <f>IF(DATE(cfg_Year,2,1)&gt;cfg_LastDataDate,"",IFERROR(INDEX(cd_Gold_Poured_oz_MTD,MATCH(MIN(EOMONTH(DATE(cfg_Year,2,1),0),cfg_LastDataDate),cd_Date,0)),""))</f>
        <v/>
      </c>
      <c r="F57" s="27">
        <f>IF(DATE(cfg_Year,3,1)&gt;cfg_LastDataDate,"",IFERROR(INDEX(cd_Gold_Poured_oz_MTD,MATCH(MIN(EOMONTH(DATE(cfg_Year,3,1),0),cfg_LastDataDate),cd_Date,0)),""))</f>
        <v/>
      </c>
      <c r="G57" s="27">
        <f>IF(DATE(cfg_Year,4,1)&gt;cfg_LastDataDate,"",IFERROR(INDEX(cd_Gold_Poured_oz_MTD,MATCH(MIN(EOMONTH(DATE(cfg_Year,4,1),0),cfg_LastDataDate),cd_Date,0)),""))</f>
        <v/>
      </c>
      <c r="H57" s="27">
        <f>IF(DATE(cfg_Year,5,1)&gt;cfg_LastDataDate,"",IFERROR(INDEX(cd_Gold_Poured_oz_MTD,MATCH(MIN(EOMONTH(DATE(cfg_Year,5,1),0),cfg_LastDataDate),cd_Date,0)),""))</f>
        <v/>
      </c>
      <c r="I57" s="27">
        <f>IF(DATE(cfg_Year,6,1)&gt;cfg_LastDataDate,"",IFERROR(INDEX(cd_Gold_Poured_oz_MTD,MATCH(MIN(EOMONTH(DATE(cfg_Year,6,1),0),cfg_LastDataDate),cd_Date,0)),""))</f>
        <v/>
      </c>
      <c r="J57" s="27">
        <f>IF(DATE(cfg_Year,7,1)&gt;cfg_LastDataDate,"",IFERROR(INDEX(cd_Gold_Poured_oz_MTD,MATCH(MIN(EOMONTH(DATE(cfg_Year,7,1),0),cfg_LastDataDate),cd_Date,0)),""))</f>
        <v/>
      </c>
      <c r="K57" s="27">
        <f>IF(DATE(cfg_Year,8,1)&gt;cfg_LastDataDate,"",IFERROR(INDEX(cd_Gold_Poured_oz_MTD,MATCH(MIN(EOMONTH(DATE(cfg_Year,8,1),0),cfg_LastDataDate),cd_Date,0)),""))</f>
        <v/>
      </c>
      <c r="L57" s="27">
        <f>IF(DATE(cfg_Year,9,1)&gt;cfg_LastDataDate,"",IFERROR(INDEX(cd_Gold_Poured_oz_MTD,MATCH(MIN(EOMONTH(DATE(cfg_Year,9,1),0),cfg_LastDataDate),cd_Date,0)),""))</f>
        <v/>
      </c>
      <c r="M57" s="27">
        <f>IF(DATE(cfg_Year,10,1)&gt;cfg_LastDataDate,"",IFERROR(INDEX(cd_Gold_Poured_oz_MTD,MATCH(MIN(EOMONTH(DATE(cfg_Year,10,1),0),cfg_LastDataDate),cd_Date,0)),""))</f>
        <v/>
      </c>
      <c r="N57" s="27">
        <f>IF(DATE(cfg_Year,11,1)&gt;cfg_LastDataDate,"",IFERROR(INDEX(cd_Gold_Poured_oz_MTD,MATCH(MIN(EOMONTH(DATE(cfg_Year,11,1),0),cfg_LastDataDate),cd_Date,0)),""))</f>
        <v/>
      </c>
      <c r="O57" s="27">
        <f>IF(DATE(cfg_Year,12,1)&gt;cfg_LastDataDate,"",IFERROR(INDEX(cd_Gold_Poured_oz_MTD,MATCH(MIN(EOMONTH(DATE(cfg_Year,12,1),0),cfg_LastDataDate),cd_Date,0)),""))</f>
        <v/>
      </c>
      <c r="P57" s="45">
        <f>IFERROR(INDEX(cd_Gold_Poured_oz_YTD,MATCH(MIN(cfg_YearEnd,cfg_LastDataDate),cd_Date,0)),"")</f>
        <v/>
      </c>
    </row>
    <row r="58">
      <c r="B58" s="39" t="inlineStr"/>
      <c r="C58" s="36" t="inlineStr">
        <is>
          <t>Budget</t>
        </is>
      </c>
      <c r="D58" s="27">
        <f>IFERROR(INDEX(cd_Bud_Gold_Poured_oz_Month,MATCH(DATE(cfg_Year,1,1),cd_Date,0)),"")</f>
        <v/>
      </c>
      <c r="E58" s="27">
        <f>IFERROR(INDEX(cd_Bud_Gold_Poured_oz_Month,MATCH(DATE(cfg_Year,2,1),cd_Date,0)),"")</f>
        <v/>
      </c>
      <c r="F58" s="27">
        <f>IFERROR(INDEX(cd_Bud_Gold_Poured_oz_Month,MATCH(DATE(cfg_Year,3,1),cd_Date,0)),"")</f>
        <v/>
      </c>
      <c r="G58" s="27">
        <f>IFERROR(INDEX(cd_Bud_Gold_Poured_oz_Month,MATCH(DATE(cfg_Year,4,1),cd_Date,0)),"")</f>
        <v/>
      </c>
      <c r="H58" s="27">
        <f>IFERROR(INDEX(cd_Bud_Gold_Poured_oz_Month,MATCH(DATE(cfg_Year,5,1),cd_Date,0)),"")</f>
        <v/>
      </c>
      <c r="I58" s="27">
        <f>IFERROR(INDEX(cd_Bud_Gold_Poured_oz_Month,MATCH(DATE(cfg_Year,6,1),cd_Date,0)),"")</f>
        <v/>
      </c>
      <c r="J58" s="27">
        <f>IFERROR(INDEX(cd_Bud_Gold_Poured_oz_Month,MATCH(DATE(cfg_Year,7,1),cd_Date,0)),"")</f>
        <v/>
      </c>
      <c r="K58" s="27">
        <f>IFERROR(INDEX(cd_Bud_Gold_Poured_oz_Month,MATCH(DATE(cfg_Year,8,1),cd_Date,0)),"")</f>
        <v/>
      </c>
      <c r="L58" s="27">
        <f>IFERROR(INDEX(cd_Bud_Gold_Poured_oz_Month,MATCH(DATE(cfg_Year,9,1),cd_Date,0)),"")</f>
        <v/>
      </c>
      <c r="M58" s="27">
        <f>IFERROR(INDEX(cd_Bud_Gold_Poured_oz_Month,MATCH(DATE(cfg_Year,10,1),cd_Date,0)),"")</f>
        <v/>
      </c>
      <c r="N58" s="27">
        <f>IFERROR(INDEX(cd_Bud_Gold_Poured_oz_Month,MATCH(DATE(cfg_Year,11,1),cd_Date,0)),"")</f>
        <v/>
      </c>
      <c r="O58" s="27">
        <f>IFERROR(INDEX(cd_Bud_Gold_Poured_oz_Month,MATCH(DATE(cfg_Year,12,1),cd_Date,0)),"")</f>
        <v/>
      </c>
      <c r="P58" s="45">
        <f>IFERROR(INDEX(cd_Bud_Gold_Poured_oz_YTD,MATCH(cfg_YearEnd,cd_Date,0)),"")</f>
        <v/>
      </c>
    </row>
    <row r="59">
      <c r="B59" s="39" t="inlineStr"/>
      <c r="C59" s="36" t="inlineStr">
        <is>
          <t>Variance</t>
        </is>
      </c>
      <c r="D59" s="40">
        <f>IF(AND(ISNUMBER(D57),ISNUMBER(D58),D58&lt;&gt;0),D57/D58-1,"")</f>
        <v/>
      </c>
      <c r="E59" s="40">
        <f>IF(AND(ISNUMBER(E57),ISNUMBER(E58),E58&lt;&gt;0),E57/E58-1,"")</f>
        <v/>
      </c>
      <c r="F59" s="40">
        <f>IF(AND(ISNUMBER(F57),ISNUMBER(F58),F58&lt;&gt;0),F57/F58-1,"")</f>
        <v/>
      </c>
      <c r="G59" s="40">
        <f>IF(AND(ISNUMBER(G57),ISNUMBER(G58),G58&lt;&gt;0),G57/G58-1,"")</f>
        <v/>
      </c>
      <c r="H59" s="40">
        <f>IF(AND(ISNUMBER(H57),ISNUMBER(H58),H58&lt;&gt;0),H57/H58-1,"")</f>
        <v/>
      </c>
      <c r="I59" s="40">
        <f>IF(AND(ISNUMBER(I57),ISNUMBER(I58),I58&lt;&gt;0),I57/I58-1,"")</f>
        <v/>
      </c>
      <c r="J59" s="40">
        <f>IF(AND(ISNUMBER(J57),ISNUMBER(J58),J58&lt;&gt;0),J57/J58-1,"")</f>
        <v/>
      </c>
      <c r="K59" s="40">
        <f>IF(AND(ISNUMBER(K57),ISNUMBER(K58),K58&lt;&gt;0),K57/K58-1,"")</f>
        <v/>
      </c>
      <c r="L59" s="40">
        <f>IF(AND(ISNUMBER(L57),ISNUMBER(L58),L58&lt;&gt;0),L57/L58-1,"")</f>
        <v/>
      </c>
      <c r="M59" s="40">
        <f>IF(AND(ISNUMBER(M57),ISNUMBER(M58),M58&lt;&gt;0),M57/M58-1,"")</f>
        <v/>
      </c>
      <c r="N59" s="40">
        <f>IF(AND(ISNUMBER(N57),ISNUMBER(N58),N58&lt;&gt;0),N57/N58-1,"")</f>
        <v/>
      </c>
      <c r="O59" s="40">
        <f>IF(AND(ISNUMBER(O57),ISNUMBER(O58),O58&lt;&gt;0),O57/O58-1,"")</f>
        <v/>
      </c>
      <c r="P59" s="41">
        <f>IF(AND(ISNUMBER(P57),ISNUMBER(P58),P58&lt;&gt;0),P57/P58-1,"")</f>
        <v/>
      </c>
    </row>
    <row r="61">
      <c r="B61" s="8" t="inlineStr">
        <is>
          <t>Gold sold</t>
        </is>
      </c>
      <c r="C61" s="36" t="inlineStr">
        <is>
          <t>Actual</t>
        </is>
      </c>
      <c r="D61" s="27">
        <f>IF(DATE(cfg_Year,1,1)&gt;cfg_LastDataDate,"",IFERROR(INDEX(cd_Gold_Sold_oz_MTD,MATCH(MIN(EOMONTH(DATE(cfg_Year,1,1),0),cfg_LastDataDate),cd_Date,0)),""))</f>
        <v/>
      </c>
      <c r="E61" s="27">
        <f>IF(DATE(cfg_Year,2,1)&gt;cfg_LastDataDate,"",IFERROR(INDEX(cd_Gold_Sold_oz_MTD,MATCH(MIN(EOMONTH(DATE(cfg_Year,2,1),0),cfg_LastDataDate),cd_Date,0)),""))</f>
        <v/>
      </c>
      <c r="F61" s="27">
        <f>IF(DATE(cfg_Year,3,1)&gt;cfg_LastDataDate,"",IFERROR(INDEX(cd_Gold_Sold_oz_MTD,MATCH(MIN(EOMONTH(DATE(cfg_Year,3,1),0),cfg_LastDataDate),cd_Date,0)),""))</f>
        <v/>
      </c>
      <c r="G61" s="27">
        <f>IF(DATE(cfg_Year,4,1)&gt;cfg_LastDataDate,"",IFERROR(INDEX(cd_Gold_Sold_oz_MTD,MATCH(MIN(EOMONTH(DATE(cfg_Year,4,1),0),cfg_LastDataDate),cd_Date,0)),""))</f>
        <v/>
      </c>
      <c r="H61" s="27">
        <f>IF(DATE(cfg_Year,5,1)&gt;cfg_LastDataDate,"",IFERROR(INDEX(cd_Gold_Sold_oz_MTD,MATCH(MIN(EOMONTH(DATE(cfg_Year,5,1),0),cfg_LastDataDate),cd_Date,0)),""))</f>
        <v/>
      </c>
      <c r="I61" s="27">
        <f>IF(DATE(cfg_Year,6,1)&gt;cfg_LastDataDate,"",IFERROR(INDEX(cd_Gold_Sold_oz_MTD,MATCH(MIN(EOMONTH(DATE(cfg_Year,6,1),0),cfg_LastDataDate),cd_Date,0)),""))</f>
        <v/>
      </c>
      <c r="J61" s="27">
        <f>IF(DATE(cfg_Year,7,1)&gt;cfg_LastDataDate,"",IFERROR(INDEX(cd_Gold_Sold_oz_MTD,MATCH(MIN(EOMONTH(DATE(cfg_Year,7,1),0),cfg_LastDataDate),cd_Date,0)),""))</f>
        <v/>
      </c>
      <c r="K61" s="27">
        <f>IF(DATE(cfg_Year,8,1)&gt;cfg_LastDataDate,"",IFERROR(INDEX(cd_Gold_Sold_oz_MTD,MATCH(MIN(EOMONTH(DATE(cfg_Year,8,1),0),cfg_LastDataDate),cd_Date,0)),""))</f>
        <v/>
      </c>
      <c r="L61" s="27">
        <f>IF(DATE(cfg_Year,9,1)&gt;cfg_LastDataDate,"",IFERROR(INDEX(cd_Gold_Sold_oz_MTD,MATCH(MIN(EOMONTH(DATE(cfg_Year,9,1),0),cfg_LastDataDate),cd_Date,0)),""))</f>
        <v/>
      </c>
      <c r="M61" s="27">
        <f>IF(DATE(cfg_Year,10,1)&gt;cfg_LastDataDate,"",IFERROR(INDEX(cd_Gold_Sold_oz_MTD,MATCH(MIN(EOMONTH(DATE(cfg_Year,10,1),0),cfg_LastDataDate),cd_Date,0)),""))</f>
        <v/>
      </c>
      <c r="N61" s="27">
        <f>IF(DATE(cfg_Year,11,1)&gt;cfg_LastDataDate,"",IFERROR(INDEX(cd_Gold_Sold_oz_MTD,MATCH(MIN(EOMONTH(DATE(cfg_Year,11,1),0),cfg_LastDataDate),cd_Date,0)),""))</f>
        <v/>
      </c>
      <c r="O61" s="27">
        <f>IF(DATE(cfg_Year,12,1)&gt;cfg_LastDataDate,"",IFERROR(INDEX(cd_Gold_Sold_oz_MTD,MATCH(MIN(EOMONTH(DATE(cfg_Year,12,1),0),cfg_LastDataDate),cd_Date,0)),""))</f>
        <v/>
      </c>
      <c r="P61" s="45">
        <f>IFERROR(INDEX(cd_Gold_Sold_oz_YTD,MATCH(MIN(cfg_YearEnd,cfg_LastDataDate),cd_Date,0)),"")</f>
        <v/>
      </c>
    </row>
    <row r="62">
      <c r="B62" s="8" t="inlineStr">
        <is>
          <t>Mill throughput</t>
        </is>
      </c>
      <c r="C62" s="36" t="inlineStr">
        <is>
          <t>Actual</t>
        </is>
      </c>
      <c r="D62" s="27">
        <f>IF(DATE(cfg_Year,1,1)&gt;cfg_LastDataDate,"",IFERROR(INDEX(cd_Throughput_tph_MTD,MATCH(MIN(EOMONTH(DATE(cfg_Year,1,1),0),cfg_LastDataDate),cd_Date,0)),""))</f>
        <v/>
      </c>
      <c r="E62" s="27">
        <f>IF(DATE(cfg_Year,2,1)&gt;cfg_LastDataDate,"",IFERROR(INDEX(cd_Throughput_tph_MTD,MATCH(MIN(EOMONTH(DATE(cfg_Year,2,1),0),cfg_LastDataDate),cd_Date,0)),""))</f>
        <v/>
      </c>
      <c r="F62" s="27">
        <f>IF(DATE(cfg_Year,3,1)&gt;cfg_LastDataDate,"",IFERROR(INDEX(cd_Throughput_tph_MTD,MATCH(MIN(EOMONTH(DATE(cfg_Year,3,1),0),cfg_LastDataDate),cd_Date,0)),""))</f>
        <v/>
      </c>
      <c r="G62" s="27">
        <f>IF(DATE(cfg_Year,4,1)&gt;cfg_LastDataDate,"",IFERROR(INDEX(cd_Throughput_tph_MTD,MATCH(MIN(EOMONTH(DATE(cfg_Year,4,1),0),cfg_LastDataDate),cd_Date,0)),""))</f>
        <v/>
      </c>
      <c r="H62" s="27">
        <f>IF(DATE(cfg_Year,5,1)&gt;cfg_LastDataDate,"",IFERROR(INDEX(cd_Throughput_tph_MTD,MATCH(MIN(EOMONTH(DATE(cfg_Year,5,1),0),cfg_LastDataDate),cd_Date,0)),""))</f>
        <v/>
      </c>
      <c r="I62" s="27">
        <f>IF(DATE(cfg_Year,6,1)&gt;cfg_LastDataDate,"",IFERROR(INDEX(cd_Throughput_tph_MTD,MATCH(MIN(EOMONTH(DATE(cfg_Year,6,1),0),cfg_LastDataDate),cd_Date,0)),""))</f>
        <v/>
      </c>
      <c r="J62" s="27">
        <f>IF(DATE(cfg_Year,7,1)&gt;cfg_LastDataDate,"",IFERROR(INDEX(cd_Throughput_tph_MTD,MATCH(MIN(EOMONTH(DATE(cfg_Year,7,1),0),cfg_LastDataDate),cd_Date,0)),""))</f>
        <v/>
      </c>
      <c r="K62" s="27">
        <f>IF(DATE(cfg_Year,8,1)&gt;cfg_LastDataDate,"",IFERROR(INDEX(cd_Throughput_tph_MTD,MATCH(MIN(EOMONTH(DATE(cfg_Year,8,1),0),cfg_LastDataDate),cd_Date,0)),""))</f>
        <v/>
      </c>
      <c r="L62" s="27">
        <f>IF(DATE(cfg_Year,9,1)&gt;cfg_LastDataDate,"",IFERROR(INDEX(cd_Throughput_tph_MTD,MATCH(MIN(EOMONTH(DATE(cfg_Year,9,1),0),cfg_LastDataDate),cd_Date,0)),""))</f>
        <v/>
      </c>
      <c r="M62" s="27">
        <f>IF(DATE(cfg_Year,10,1)&gt;cfg_LastDataDate,"",IFERROR(INDEX(cd_Throughput_tph_MTD,MATCH(MIN(EOMONTH(DATE(cfg_Year,10,1),0),cfg_LastDataDate),cd_Date,0)),""))</f>
        <v/>
      </c>
      <c r="N62" s="27">
        <f>IF(DATE(cfg_Year,11,1)&gt;cfg_LastDataDate,"",IFERROR(INDEX(cd_Throughput_tph_MTD,MATCH(MIN(EOMONTH(DATE(cfg_Year,11,1),0),cfg_LastDataDate),cd_Date,0)),""))</f>
        <v/>
      </c>
      <c r="O62" s="27">
        <f>IF(DATE(cfg_Year,12,1)&gt;cfg_LastDataDate,"",IFERROR(INDEX(cd_Throughput_tph_MTD,MATCH(MIN(EOMONTH(DATE(cfg_Year,12,1),0),cfg_LastDataDate),cd_Date,0)),""))</f>
        <v/>
      </c>
      <c r="P62" s="45">
        <f>IFERROR(INDEX(cd_Throughput_tph_YTD,MATCH(MIN(cfg_YearEnd,cfg_LastDataDate),cd_Date,0)),"")</f>
        <v/>
      </c>
    </row>
    <row r="63">
      <c r="B63" s="8" t="inlineStr">
        <is>
          <t>Mill availability</t>
        </is>
      </c>
      <c r="C63" s="36" t="inlineStr">
        <is>
          <t>Actual</t>
        </is>
      </c>
      <c r="D63" s="46">
        <f>IF(DATE(cfg_Year,1,1)&gt;cfg_LastDataDate,"",IFERROR(INDEX(cd_Mill_Availability_pct_MTD,MATCH(MIN(EOMONTH(DATE(cfg_Year,1,1),0),cfg_LastDataDate),cd_Date,0)),""))</f>
        <v/>
      </c>
      <c r="E63" s="46">
        <f>IF(DATE(cfg_Year,2,1)&gt;cfg_LastDataDate,"",IFERROR(INDEX(cd_Mill_Availability_pct_MTD,MATCH(MIN(EOMONTH(DATE(cfg_Year,2,1),0),cfg_LastDataDate),cd_Date,0)),""))</f>
        <v/>
      </c>
      <c r="F63" s="46">
        <f>IF(DATE(cfg_Year,3,1)&gt;cfg_LastDataDate,"",IFERROR(INDEX(cd_Mill_Availability_pct_MTD,MATCH(MIN(EOMONTH(DATE(cfg_Year,3,1),0),cfg_LastDataDate),cd_Date,0)),""))</f>
        <v/>
      </c>
      <c r="G63" s="46">
        <f>IF(DATE(cfg_Year,4,1)&gt;cfg_LastDataDate,"",IFERROR(INDEX(cd_Mill_Availability_pct_MTD,MATCH(MIN(EOMONTH(DATE(cfg_Year,4,1),0),cfg_LastDataDate),cd_Date,0)),""))</f>
        <v/>
      </c>
      <c r="H63" s="46">
        <f>IF(DATE(cfg_Year,5,1)&gt;cfg_LastDataDate,"",IFERROR(INDEX(cd_Mill_Availability_pct_MTD,MATCH(MIN(EOMONTH(DATE(cfg_Year,5,1),0),cfg_LastDataDate),cd_Date,0)),""))</f>
        <v/>
      </c>
      <c r="I63" s="46">
        <f>IF(DATE(cfg_Year,6,1)&gt;cfg_LastDataDate,"",IFERROR(INDEX(cd_Mill_Availability_pct_MTD,MATCH(MIN(EOMONTH(DATE(cfg_Year,6,1),0),cfg_LastDataDate),cd_Date,0)),""))</f>
        <v/>
      </c>
      <c r="J63" s="46">
        <f>IF(DATE(cfg_Year,7,1)&gt;cfg_LastDataDate,"",IFERROR(INDEX(cd_Mill_Availability_pct_MTD,MATCH(MIN(EOMONTH(DATE(cfg_Year,7,1),0),cfg_LastDataDate),cd_Date,0)),""))</f>
        <v/>
      </c>
      <c r="K63" s="46">
        <f>IF(DATE(cfg_Year,8,1)&gt;cfg_LastDataDate,"",IFERROR(INDEX(cd_Mill_Availability_pct_MTD,MATCH(MIN(EOMONTH(DATE(cfg_Year,8,1),0),cfg_LastDataDate),cd_Date,0)),""))</f>
        <v/>
      </c>
      <c r="L63" s="46">
        <f>IF(DATE(cfg_Year,9,1)&gt;cfg_LastDataDate,"",IFERROR(INDEX(cd_Mill_Availability_pct_MTD,MATCH(MIN(EOMONTH(DATE(cfg_Year,9,1),0),cfg_LastDataDate),cd_Date,0)),""))</f>
        <v/>
      </c>
      <c r="M63" s="46">
        <f>IF(DATE(cfg_Year,10,1)&gt;cfg_LastDataDate,"",IFERROR(INDEX(cd_Mill_Availability_pct_MTD,MATCH(MIN(EOMONTH(DATE(cfg_Year,10,1),0),cfg_LastDataDate),cd_Date,0)),""))</f>
        <v/>
      </c>
      <c r="N63" s="46">
        <f>IF(DATE(cfg_Year,11,1)&gt;cfg_LastDataDate,"",IFERROR(INDEX(cd_Mill_Availability_pct_MTD,MATCH(MIN(EOMONTH(DATE(cfg_Year,11,1),0),cfg_LastDataDate),cd_Date,0)),""))</f>
        <v/>
      </c>
      <c r="O63" s="46">
        <f>IF(DATE(cfg_Year,12,1)&gt;cfg_LastDataDate,"",IFERROR(INDEX(cd_Mill_Availability_pct_MTD,MATCH(MIN(EOMONTH(DATE(cfg_Year,12,1),0),cfg_LastDataDate),cd_Date,0)),""))</f>
        <v/>
      </c>
      <c r="P63" s="47">
        <f>IFERROR(INDEX(cd_Mill_Availability_pct_YTD,MATCH(MIN(cfg_YearEnd,cfg_LastDataDate),cd_Date,0)),"")</f>
        <v/>
      </c>
    </row>
    <row r="64">
      <c r="B64" s="8" t="inlineStr">
        <is>
          <t>Mill utilisation</t>
        </is>
      </c>
      <c r="C64" s="36" t="inlineStr">
        <is>
          <t>Actual</t>
        </is>
      </c>
      <c r="D64" s="46">
        <f>IF(DATE(cfg_Year,1,1)&gt;cfg_LastDataDate,"",IFERROR(INDEX(cd_Mill_Utilisation_pct_MTD,MATCH(MIN(EOMONTH(DATE(cfg_Year,1,1),0),cfg_LastDataDate),cd_Date,0)),""))</f>
        <v/>
      </c>
      <c r="E64" s="46">
        <f>IF(DATE(cfg_Year,2,1)&gt;cfg_LastDataDate,"",IFERROR(INDEX(cd_Mill_Utilisation_pct_MTD,MATCH(MIN(EOMONTH(DATE(cfg_Year,2,1),0),cfg_LastDataDate),cd_Date,0)),""))</f>
        <v/>
      </c>
      <c r="F64" s="46">
        <f>IF(DATE(cfg_Year,3,1)&gt;cfg_LastDataDate,"",IFERROR(INDEX(cd_Mill_Utilisation_pct_MTD,MATCH(MIN(EOMONTH(DATE(cfg_Year,3,1),0),cfg_LastDataDate),cd_Date,0)),""))</f>
        <v/>
      </c>
      <c r="G64" s="46">
        <f>IF(DATE(cfg_Year,4,1)&gt;cfg_LastDataDate,"",IFERROR(INDEX(cd_Mill_Utilisation_pct_MTD,MATCH(MIN(EOMONTH(DATE(cfg_Year,4,1),0),cfg_LastDataDate),cd_Date,0)),""))</f>
        <v/>
      </c>
      <c r="H64" s="46">
        <f>IF(DATE(cfg_Year,5,1)&gt;cfg_LastDataDate,"",IFERROR(INDEX(cd_Mill_Utilisation_pct_MTD,MATCH(MIN(EOMONTH(DATE(cfg_Year,5,1),0),cfg_LastDataDate),cd_Date,0)),""))</f>
        <v/>
      </c>
      <c r="I64" s="46">
        <f>IF(DATE(cfg_Year,6,1)&gt;cfg_LastDataDate,"",IFERROR(INDEX(cd_Mill_Utilisation_pct_MTD,MATCH(MIN(EOMONTH(DATE(cfg_Year,6,1),0),cfg_LastDataDate),cd_Date,0)),""))</f>
        <v/>
      </c>
      <c r="J64" s="46">
        <f>IF(DATE(cfg_Year,7,1)&gt;cfg_LastDataDate,"",IFERROR(INDEX(cd_Mill_Utilisation_pct_MTD,MATCH(MIN(EOMONTH(DATE(cfg_Year,7,1),0),cfg_LastDataDate),cd_Date,0)),""))</f>
        <v/>
      </c>
      <c r="K64" s="46">
        <f>IF(DATE(cfg_Year,8,1)&gt;cfg_LastDataDate,"",IFERROR(INDEX(cd_Mill_Utilisation_pct_MTD,MATCH(MIN(EOMONTH(DATE(cfg_Year,8,1),0),cfg_LastDataDate),cd_Date,0)),""))</f>
        <v/>
      </c>
      <c r="L64" s="46">
        <f>IF(DATE(cfg_Year,9,1)&gt;cfg_LastDataDate,"",IFERROR(INDEX(cd_Mill_Utilisation_pct_MTD,MATCH(MIN(EOMONTH(DATE(cfg_Year,9,1),0),cfg_LastDataDate),cd_Date,0)),""))</f>
        <v/>
      </c>
      <c r="M64" s="46">
        <f>IF(DATE(cfg_Year,10,1)&gt;cfg_LastDataDate,"",IFERROR(INDEX(cd_Mill_Utilisation_pct_MTD,MATCH(MIN(EOMONTH(DATE(cfg_Year,10,1),0),cfg_LastDataDate),cd_Date,0)),""))</f>
        <v/>
      </c>
      <c r="N64" s="46">
        <f>IF(DATE(cfg_Year,11,1)&gt;cfg_LastDataDate,"",IFERROR(INDEX(cd_Mill_Utilisation_pct_MTD,MATCH(MIN(EOMONTH(DATE(cfg_Year,11,1),0),cfg_LastDataDate),cd_Date,0)),""))</f>
        <v/>
      </c>
      <c r="O64" s="46">
        <f>IF(DATE(cfg_Year,12,1)&gt;cfg_LastDataDate,"",IFERROR(INDEX(cd_Mill_Utilisation_pct_MTD,MATCH(MIN(EOMONTH(DATE(cfg_Year,12,1),0),cfg_LastDataDate),cd_Date,0)),""))</f>
        <v/>
      </c>
      <c r="P64" s="47">
        <f>IFERROR(INDEX(cd_Mill_Utilisation_pct_YTD,MATCH(MIN(cfg_YearEnd,cfg_LastDataDate),cd_Date,0)),"")</f>
        <v/>
      </c>
    </row>
    <row r="65">
      <c r="B65" s="8" t="inlineStr">
        <is>
          <t>Cyanide consumption</t>
        </is>
      </c>
      <c r="C65" s="36" t="inlineStr">
        <is>
          <t>Actual</t>
        </is>
      </c>
      <c r="D65" s="28">
        <f>IF(DATE(cfg_Year,1,1)&gt;cfg_LastDataDate,"",IFERROR(INDEX(cd_Cyanide_kgpt_MTD,MATCH(MIN(EOMONTH(DATE(cfg_Year,1,1),0),cfg_LastDataDate),cd_Date,0)),""))</f>
        <v/>
      </c>
      <c r="E65" s="28">
        <f>IF(DATE(cfg_Year,2,1)&gt;cfg_LastDataDate,"",IFERROR(INDEX(cd_Cyanide_kgpt_MTD,MATCH(MIN(EOMONTH(DATE(cfg_Year,2,1),0),cfg_LastDataDate),cd_Date,0)),""))</f>
        <v/>
      </c>
      <c r="F65" s="28">
        <f>IF(DATE(cfg_Year,3,1)&gt;cfg_LastDataDate,"",IFERROR(INDEX(cd_Cyanide_kgpt_MTD,MATCH(MIN(EOMONTH(DATE(cfg_Year,3,1),0),cfg_LastDataDate),cd_Date,0)),""))</f>
        <v/>
      </c>
      <c r="G65" s="28">
        <f>IF(DATE(cfg_Year,4,1)&gt;cfg_LastDataDate,"",IFERROR(INDEX(cd_Cyanide_kgpt_MTD,MATCH(MIN(EOMONTH(DATE(cfg_Year,4,1),0),cfg_LastDataDate),cd_Date,0)),""))</f>
        <v/>
      </c>
      <c r="H65" s="28">
        <f>IF(DATE(cfg_Year,5,1)&gt;cfg_LastDataDate,"",IFERROR(INDEX(cd_Cyanide_kgpt_MTD,MATCH(MIN(EOMONTH(DATE(cfg_Year,5,1),0),cfg_LastDataDate),cd_Date,0)),""))</f>
        <v/>
      </c>
      <c r="I65" s="28">
        <f>IF(DATE(cfg_Year,6,1)&gt;cfg_LastDataDate,"",IFERROR(INDEX(cd_Cyanide_kgpt_MTD,MATCH(MIN(EOMONTH(DATE(cfg_Year,6,1),0),cfg_LastDataDate),cd_Date,0)),""))</f>
        <v/>
      </c>
      <c r="J65" s="28">
        <f>IF(DATE(cfg_Year,7,1)&gt;cfg_LastDataDate,"",IFERROR(INDEX(cd_Cyanide_kgpt_MTD,MATCH(MIN(EOMONTH(DATE(cfg_Year,7,1),0),cfg_LastDataDate),cd_Date,0)),""))</f>
        <v/>
      </c>
      <c r="K65" s="28">
        <f>IF(DATE(cfg_Year,8,1)&gt;cfg_LastDataDate,"",IFERROR(INDEX(cd_Cyanide_kgpt_MTD,MATCH(MIN(EOMONTH(DATE(cfg_Year,8,1),0),cfg_LastDataDate),cd_Date,0)),""))</f>
        <v/>
      </c>
      <c r="L65" s="28">
        <f>IF(DATE(cfg_Year,9,1)&gt;cfg_LastDataDate,"",IFERROR(INDEX(cd_Cyanide_kgpt_MTD,MATCH(MIN(EOMONTH(DATE(cfg_Year,9,1),0),cfg_LastDataDate),cd_Date,0)),""))</f>
        <v/>
      </c>
      <c r="M65" s="28">
        <f>IF(DATE(cfg_Year,10,1)&gt;cfg_LastDataDate,"",IFERROR(INDEX(cd_Cyanide_kgpt_MTD,MATCH(MIN(EOMONTH(DATE(cfg_Year,10,1),0),cfg_LastDataDate),cd_Date,0)),""))</f>
        <v/>
      </c>
      <c r="N65" s="28">
        <f>IF(DATE(cfg_Year,11,1)&gt;cfg_LastDataDate,"",IFERROR(INDEX(cd_Cyanide_kgpt_MTD,MATCH(MIN(EOMONTH(DATE(cfg_Year,11,1),0),cfg_LastDataDate),cd_Date,0)),""))</f>
        <v/>
      </c>
      <c r="O65" s="28">
        <f>IF(DATE(cfg_Year,12,1)&gt;cfg_LastDataDate,"",IFERROR(INDEX(cd_Cyanide_kgpt_MTD,MATCH(MIN(EOMONTH(DATE(cfg_Year,12,1),0),cfg_LastDataDate),cd_Date,0)),""))</f>
        <v/>
      </c>
      <c r="P65" s="44">
        <f>IFERROR(INDEX(cd_Cyanide_kgpt_YTD,MATCH(MIN(cfg_YearEnd,cfg_LastDataDate),cd_Date,0)),"")</f>
        <v/>
      </c>
    </row>
    <row r="66">
      <c r="B66" s="8" t="inlineStr">
        <is>
          <t>Power consumption</t>
        </is>
      </c>
      <c r="C66" s="36" t="inlineStr">
        <is>
          <t>Actual</t>
        </is>
      </c>
      <c r="D66" s="48">
        <f>IF(DATE(cfg_Year,1,1)&gt;cfg_LastDataDate,"",IFERROR(INDEX(cd_Power_kWhpt_MTD,MATCH(MIN(EOMONTH(DATE(cfg_Year,1,1),0),cfg_LastDataDate),cd_Date,0)),""))</f>
        <v/>
      </c>
      <c r="E66" s="48">
        <f>IF(DATE(cfg_Year,2,1)&gt;cfg_LastDataDate,"",IFERROR(INDEX(cd_Power_kWhpt_MTD,MATCH(MIN(EOMONTH(DATE(cfg_Year,2,1),0),cfg_LastDataDate),cd_Date,0)),""))</f>
        <v/>
      </c>
      <c r="F66" s="48">
        <f>IF(DATE(cfg_Year,3,1)&gt;cfg_LastDataDate,"",IFERROR(INDEX(cd_Power_kWhpt_MTD,MATCH(MIN(EOMONTH(DATE(cfg_Year,3,1),0),cfg_LastDataDate),cd_Date,0)),""))</f>
        <v/>
      </c>
      <c r="G66" s="48">
        <f>IF(DATE(cfg_Year,4,1)&gt;cfg_LastDataDate,"",IFERROR(INDEX(cd_Power_kWhpt_MTD,MATCH(MIN(EOMONTH(DATE(cfg_Year,4,1),0),cfg_LastDataDate),cd_Date,0)),""))</f>
        <v/>
      </c>
      <c r="H66" s="48">
        <f>IF(DATE(cfg_Year,5,1)&gt;cfg_LastDataDate,"",IFERROR(INDEX(cd_Power_kWhpt_MTD,MATCH(MIN(EOMONTH(DATE(cfg_Year,5,1),0),cfg_LastDataDate),cd_Date,0)),""))</f>
        <v/>
      </c>
      <c r="I66" s="48">
        <f>IF(DATE(cfg_Year,6,1)&gt;cfg_LastDataDate,"",IFERROR(INDEX(cd_Power_kWhpt_MTD,MATCH(MIN(EOMONTH(DATE(cfg_Year,6,1),0),cfg_LastDataDate),cd_Date,0)),""))</f>
        <v/>
      </c>
      <c r="J66" s="48">
        <f>IF(DATE(cfg_Year,7,1)&gt;cfg_LastDataDate,"",IFERROR(INDEX(cd_Power_kWhpt_MTD,MATCH(MIN(EOMONTH(DATE(cfg_Year,7,1),0),cfg_LastDataDate),cd_Date,0)),""))</f>
        <v/>
      </c>
      <c r="K66" s="48">
        <f>IF(DATE(cfg_Year,8,1)&gt;cfg_LastDataDate,"",IFERROR(INDEX(cd_Power_kWhpt_MTD,MATCH(MIN(EOMONTH(DATE(cfg_Year,8,1),0),cfg_LastDataDate),cd_Date,0)),""))</f>
        <v/>
      </c>
      <c r="L66" s="48">
        <f>IF(DATE(cfg_Year,9,1)&gt;cfg_LastDataDate,"",IFERROR(INDEX(cd_Power_kWhpt_MTD,MATCH(MIN(EOMONTH(DATE(cfg_Year,9,1),0),cfg_LastDataDate),cd_Date,0)),""))</f>
        <v/>
      </c>
      <c r="M66" s="48">
        <f>IF(DATE(cfg_Year,10,1)&gt;cfg_LastDataDate,"",IFERROR(INDEX(cd_Power_kWhpt_MTD,MATCH(MIN(EOMONTH(DATE(cfg_Year,10,1),0),cfg_LastDataDate),cd_Date,0)),""))</f>
        <v/>
      </c>
      <c r="N66" s="48">
        <f>IF(DATE(cfg_Year,11,1)&gt;cfg_LastDataDate,"",IFERROR(INDEX(cd_Power_kWhpt_MTD,MATCH(MIN(EOMONTH(DATE(cfg_Year,11,1),0),cfg_LastDataDate),cd_Date,0)),""))</f>
        <v/>
      </c>
      <c r="O66" s="48">
        <f>IF(DATE(cfg_Year,12,1)&gt;cfg_LastDataDate,"",IFERROR(INDEX(cd_Power_kWhpt_MTD,MATCH(MIN(EOMONTH(DATE(cfg_Year,12,1),0),cfg_LastDataDate),cd_Date,0)),""))</f>
        <v/>
      </c>
      <c r="P66" s="49">
        <f>IFERROR(INDEX(cd_Power_kWhpt_YTD,MATCH(MIN(cfg_YearEnd,cfg_LastDataDate),cd_Date,0)),"")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Y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.9" customWidth="1" min="2" max="2"/>
    <col width="11" customWidth="1" min="3" max="3"/>
    <col width="16.4" customWidth="1" min="4" max="4"/>
    <col width="17.3" customWidth="1" min="5" max="5"/>
    <col width="17.3" customWidth="1" min="6" max="6"/>
    <col width="16.4" customWidth="1" min="7" max="7"/>
    <col width="18.2" customWidth="1" min="8" max="8"/>
    <col width="22.7" customWidth="1" min="9" max="9"/>
    <col width="21.8" customWidth="1" min="10" max="10"/>
    <col width="20.9" customWidth="1" min="11" max="11"/>
    <col width="12.8" customWidth="1" min="12" max="12"/>
    <col width="11" customWidth="1" min="13" max="13"/>
    <col width="19.1" customWidth="1" min="14" max="14"/>
    <col width="11.9" customWidth="1" min="15" max="15"/>
    <col width="14.6" customWidth="1" min="16" max="16"/>
    <col width="20" customWidth="1" min="17" max="17"/>
    <col width="32" customWidth="1" min="18" max="18"/>
    <col width="26.3" customWidth="1" min="19" max="19"/>
    <col width="22.7" customWidth="1" min="20" max="20"/>
    <col width="19.1" customWidth="1" min="21" max="21"/>
    <col width="12.8" customWidth="1" min="22" max="22"/>
    <col width="16.4" customWidth="1" min="23" max="23"/>
    <col width="20.9" customWidth="1" min="24" max="24"/>
    <col width="20" customWidth="1" min="25" max="25"/>
  </cols>
  <sheetData>
    <row r="1">
      <c r="A1" s="50" t="inlineStr">
        <is>
          <t>Processing plant, one row per day</t>
        </is>
      </c>
    </row>
    <row r="2">
      <c r="A2" s="6" t="inlineStr">
        <is>
          <t>Owner: Processing (met accountant / shift supervisor).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Crushed (t)</t>
        </is>
      </c>
      <c r="C4" s="51" t="inlineStr">
        <is>
          <t>Milled (t)</t>
        </is>
      </c>
      <c r="D4" s="51" t="inlineStr">
        <is>
          <t>Head grade (g/t)</t>
        </is>
      </c>
      <c r="E4" s="51" t="inlineStr">
        <is>
          <t>Tails grade (g/t)</t>
        </is>
      </c>
      <c r="F4" s="51" t="inlineStr">
        <is>
          <t>Gravity gold (oz)</t>
        </is>
      </c>
      <c r="G4" s="51" t="inlineStr">
        <is>
          <t>Gold poured (oz)</t>
        </is>
      </c>
      <c r="H4" s="51" t="inlineStr">
        <is>
          <t>Mill run hours (h)</t>
        </is>
      </c>
      <c r="I4" s="51" t="inlineStr">
        <is>
          <t>Planned maintenance (h)</t>
        </is>
      </c>
      <c r="J4" s="51" t="inlineStr">
        <is>
          <t>Unplanned downtime (h)</t>
        </is>
      </c>
      <c r="K4" s="51" t="inlineStr">
        <is>
          <t>Crusher run hours (h)</t>
        </is>
      </c>
      <c r="L4" s="51" t="inlineStr">
        <is>
          <t>Cyanide (kg)</t>
        </is>
      </c>
      <c r="M4" s="51" t="inlineStr">
        <is>
          <t>Lime (kg)</t>
        </is>
      </c>
      <c r="N4" s="51" t="inlineStr">
        <is>
          <t>Grinding media (kg)</t>
        </is>
      </c>
      <c r="O4" s="51" t="inlineStr">
        <is>
          <t>Power (kWh)</t>
        </is>
      </c>
      <c r="P4" s="51" t="inlineStr">
        <is>
          <t>Raw water (m3)</t>
        </is>
      </c>
      <c r="Q4" s="51" t="inlineStr">
        <is>
          <t>Gold in circuit (oz)</t>
        </is>
      </c>
      <c r="R4" s="51" t="inlineStr">
        <is>
          <t>Comments</t>
        </is>
      </c>
      <c r="S4" s="51" t="inlineStr">
        <is>
          <t>Contained gold in feed (oz)</t>
        </is>
      </c>
      <c r="T4" s="51" t="inlineStr">
        <is>
          <t>Gold lost to tails (oz)</t>
        </is>
      </c>
      <c r="U4" s="51" t="inlineStr">
        <is>
          <t>Gold recovered (oz)</t>
        </is>
      </c>
      <c r="V4" s="51" t="inlineStr">
        <is>
          <t>Recovery (%)</t>
        </is>
      </c>
      <c r="W4" s="51" t="inlineStr">
        <is>
          <t>Throughput (t/h)</t>
        </is>
      </c>
      <c r="X4" s="51" t="inlineStr">
        <is>
          <t>Mill availability (%)</t>
        </is>
      </c>
      <c r="Y4" s="51" t="inlineStr">
        <is>
          <t>Mill utilisation (%)</t>
        </is>
      </c>
    </row>
    <row r="5">
      <c r="A5" s="52" t="inlineStr">
        <is>
          <t>Date</t>
        </is>
      </c>
      <c r="B5" s="52" t="inlineStr">
        <is>
          <t>Crushed_t</t>
        </is>
      </c>
      <c r="C5" s="52" t="inlineStr">
        <is>
          <t>Milled_t</t>
        </is>
      </c>
      <c r="D5" s="52" t="inlineStr">
        <is>
          <t>Head_Grade_gpt</t>
        </is>
      </c>
      <c r="E5" s="52" t="inlineStr">
        <is>
          <t>Tails_Grade_gpt</t>
        </is>
      </c>
      <c r="F5" s="52" t="inlineStr">
        <is>
          <t>Gravity_Gold_oz</t>
        </is>
      </c>
      <c r="G5" s="52" t="inlineStr">
        <is>
          <t>Gold_Poured_oz</t>
        </is>
      </c>
      <c r="H5" s="52" t="inlineStr">
        <is>
          <t>Mill_Run_h</t>
        </is>
      </c>
      <c r="I5" s="52" t="inlineStr">
        <is>
          <t>Mill_Planned_Maint_h</t>
        </is>
      </c>
      <c r="J5" s="52" t="inlineStr">
        <is>
          <t>Mill_Unplanned_Down_h</t>
        </is>
      </c>
      <c r="K5" s="52" t="inlineStr">
        <is>
          <t>Crusher_Run_h</t>
        </is>
      </c>
      <c r="L5" s="52" t="inlineStr">
        <is>
          <t>Cyanide_kg</t>
        </is>
      </c>
      <c r="M5" s="52" t="inlineStr">
        <is>
          <t>Lime_kg</t>
        </is>
      </c>
      <c r="N5" s="52" t="inlineStr">
        <is>
          <t>Grinding_Media_kg</t>
        </is>
      </c>
      <c r="O5" s="52" t="inlineStr">
        <is>
          <t>Power_kWh</t>
        </is>
      </c>
      <c r="P5" s="52" t="inlineStr">
        <is>
          <t>Raw_Water_m3</t>
        </is>
      </c>
      <c r="Q5" s="52" t="inlineStr">
        <is>
          <t>GIC_oz</t>
        </is>
      </c>
      <c r="R5" s="52" t="inlineStr">
        <is>
          <t>Comments</t>
        </is>
      </c>
      <c r="S5" s="53" t="inlineStr">
        <is>
          <t>Feed_oz</t>
        </is>
      </c>
      <c r="T5" s="53" t="inlineStr">
        <is>
          <t>Tails_oz</t>
        </is>
      </c>
      <c r="U5" s="53" t="inlineStr">
        <is>
          <t>Recovered_oz</t>
        </is>
      </c>
      <c r="V5" s="53" t="inlineStr">
        <is>
          <t>Recovery_pct</t>
        </is>
      </c>
      <c r="W5" s="53" t="inlineStr">
        <is>
          <t>Throughput_tph</t>
        </is>
      </c>
      <c r="X5" s="53" t="inlineStr">
        <is>
          <t>Availability_pct</t>
        </is>
      </c>
      <c r="Y5" s="53" t="inlineStr">
        <is>
          <t>Utilisation_pct</t>
        </is>
      </c>
    </row>
    <row r="6">
      <c r="A6" s="54" t="n">
        <v>46023</v>
      </c>
      <c r="B6" s="55" t="n"/>
      <c r="C6" s="55" t="n"/>
      <c r="D6" s="56" t="n"/>
      <c r="E6" s="56" t="n"/>
      <c r="F6" s="55" t="n"/>
      <c r="G6" s="55" t="n"/>
      <c r="H6" s="57" t="n"/>
      <c r="I6" s="57" t="n"/>
      <c r="J6" s="57" t="n"/>
      <c r="K6" s="57" t="n"/>
      <c r="L6" s="55" t="n"/>
      <c r="M6" s="55" t="n"/>
      <c r="N6" s="55" t="n"/>
      <c r="O6" s="55" t="n"/>
      <c r="P6" s="55" t="n"/>
      <c r="Q6" s="55" t="n"/>
      <c r="R6" s="58" t="n"/>
      <c r="S6" s="59">
        <f>IF(tblPlant[[#This Row],[Milled_t]]="","",tblPlant[[#This Row],[Milled_t]]*tblPlant[[#This Row],[Head_Grade_gpt]]/cfg_TroyOz)</f>
        <v/>
      </c>
      <c r="T6" s="59">
        <f>IF(tblPlant[[#This Row],[Milled_t]]="","",tblPlant[[#This Row],[Milled_t]]*tblPlant[[#This Row],[Tails_Grade_gpt]]/cfg_TroyOz)</f>
        <v/>
      </c>
      <c r="U6" s="59">
        <f>IF(tblPlant[[#This Row],[Milled_t]]="","",tblPlant[[#This Row],[Feed_oz]]-tblPlant[[#This Row],[Tails_oz]])</f>
        <v/>
      </c>
      <c r="V6" s="60">
        <f>IF(AND(tblPlant[[#This Row],[Milled_t]]&lt;&gt;"",tblPlant[[#This Row],[Feed_oz]]&gt;0),tblPlant[[#This Row],[Recovered_oz]]/tblPlant[[#This Row],[Feed_oz]],"")</f>
        <v/>
      </c>
      <c r="W6" s="59">
        <f>IF(AND(tblPlant[[#This Row],[Milled_t]]&lt;&gt;"",tblPlant[[#This Row],[Mill_Run_h]]&gt;0),tblPlant[[#This Row],[Milled_t]]/tblPlant[[#This Row],[Mill_Run_h]],"")</f>
        <v/>
      </c>
      <c r="X6" s="60">
        <f>IF(tblPlant[[#This Row],[Mill_Run_h]]="","",(24-tblPlant[[#This Row],[Mill_Planned_Maint_h]]-tblPlant[[#This Row],[Mill_Unplanned_Down_h]])/24)</f>
        <v/>
      </c>
      <c r="Y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">
      <c r="A7" s="54" t="n">
        <v>46024</v>
      </c>
      <c r="B7" s="55" t="n"/>
      <c r="C7" s="55" t="n"/>
      <c r="D7" s="56" t="n"/>
      <c r="E7" s="56" t="n"/>
      <c r="F7" s="55" t="n"/>
      <c r="G7" s="55" t="n"/>
      <c r="H7" s="57" t="n"/>
      <c r="I7" s="57" t="n"/>
      <c r="J7" s="57" t="n"/>
      <c r="K7" s="57" t="n"/>
      <c r="L7" s="55" t="n"/>
      <c r="M7" s="55" t="n"/>
      <c r="N7" s="55" t="n"/>
      <c r="O7" s="55" t="n"/>
      <c r="P7" s="55" t="n"/>
      <c r="Q7" s="55" t="n"/>
      <c r="R7" s="58" t="n"/>
      <c r="S7" s="59">
        <f>IF(tblPlant[[#This Row],[Milled_t]]="","",tblPlant[[#This Row],[Milled_t]]*tblPlant[[#This Row],[Head_Grade_gpt]]/cfg_TroyOz)</f>
        <v/>
      </c>
      <c r="T7" s="59">
        <f>IF(tblPlant[[#This Row],[Milled_t]]="","",tblPlant[[#This Row],[Milled_t]]*tblPlant[[#This Row],[Tails_Grade_gpt]]/cfg_TroyOz)</f>
        <v/>
      </c>
      <c r="U7" s="59">
        <f>IF(tblPlant[[#This Row],[Milled_t]]="","",tblPlant[[#This Row],[Feed_oz]]-tblPlant[[#This Row],[Tails_oz]])</f>
        <v/>
      </c>
      <c r="V7" s="60">
        <f>IF(AND(tblPlant[[#This Row],[Milled_t]]&lt;&gt;"",tblPlant[[#This Row],[Feed_oz]]&gt;0),tblPlant[[#This Row],[Recovered_oz]]/tblPlant[[#This Row],[Feed_oz]],"")</f>
        <v/>
      </c>
      <c r="W7" s="59">
        <f>IF(AND(tblPlant[[#This Row],[Milled_t]]&lt;&gt;"",tblPlant[[#This Row],[Mill_Run_h]]&gt;0),tblPlant[[#This Row],[Milled_t]]/tblPlant[[#This Row],[Mill_Run_h]],"")</f>
        <v/>
      </c>
      <c r="X7" s="60">
        <f>IF(tblPlant[[#This Row],[Mill_Run_h]]="","",(24-tblPlant[[#This Row],[Mill_Planned_Maint_h]]-tblPlant[[#This Row],[Mill_Unplanned_Down_h]])/24)</f>
        <v/>
      </c>
      <c r="Y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">
      <c r="A8" s="54" t="n">
        <v>46025</v>
      </c>
      <c r="B8" s="55" t="n"/>
      <c r="C8" s="55" t="n"/>
      <c r="D8" s="56" t="n"/>
      <c r="E8" s="56" t="n"/>
      <c r="F8" s="55" t="n"/>
      <c r="G8" s="55" t="n"/>
      <c r="H8" s="57" t="n"/>
      <c r="I8" s="57" t="n"/>
      <c r="J8" s="57" t="n"/>
      <c r="K8" s="57" t="n"/>
      <c r="L8" s="55" t="n"/>
      <c r="M8" s="55" t="n"/>
      <c r="N8" s="55" t="n"/>
      <c r="O8" s="55" t="n"/>
      <c r="P8" s="55" t="n"/>
      <c r="Q8" s="55" t="n"/>
      <c r="R8" s="58" t="n"/>
      <c r="S8" s="59">
        <f>IF(tblPlant[[#This Row],[Milled_t]]="","",tblPlant[[#This Row],[Milled_t]]*tblPlant[[#This Row],[Head_Grade_gpt]]/cfg_TroyOz)</f>
        <v/>
      </c>
      <c r="T8" s="59">
        <f>IF(tblPlant[[#This Row],[Milled_t]]="","",tblPlant[[#This Row],[Milled_t]]*tblPlant[[#This Row],[Tails_Grade_gpt]]/cfg_TroyOz)</f>
        <v/>
      </c>
      <c r="U8" s="59">
        <f>IF(tblPlant[[#This Row],[Milled_t]]="","",tblPlant[[#This Row],[Feed_oz]]-tblPlant[[#This Row],[Tails_oz]])</f>
        <v/>
      </c>
      <c r="V8" s="60">
        <f>IF(AND(tblPlant[[#This Row],[Milled_t]]&lt;&gt;"",tblPlant[[#This Row],[Feed_oz]]&gt;0),tblPlant[[#This Row],[Recovered_oz]]/tblPlant[[#This Row],[Feed_oz]],"")</f>
        <v/>
      </c>
      <c r="W8" s="59">
        <f>IF(AND(tblPlant[[#This Row],[Milled_t]]&lt;&gt;"",tblPlant[[#This Row],[Mill_Run_h]]&gt;0),tblPlant[[#This Row],[Milled_t]]/tblPlant[[#This Row],[Mill_Run_h]],"")</f>
        <v/>
      </c>
      <c r="X8" s="60">
        <f>IF(tblPlant[[#This Row],[Mill_Run_h]]="","",(24-tblPlant[[#This Row],[Mill_Planned_Maint_h]]-tblPlant[[#This Row],[Mill_Unplanned_Down_h]])/24)</f>
        <v/>
      </c>
      <c r="Y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">
      <c r="A9" s="54" t="n">
        <v>46026</v>
      </c>
      <c r="B9" s="55" t="n"/>
      <c r="C9" s="55" t="n"/>
      <c r="D9" s="56" t="n"/>
      <c r="E9" s="56" t="n"/>
      <c r="F9" s="55" t="n"/>
      <c r="G9" s="55" t="n"/>
      <c r="H9" s="57" t="n"/>
      <c r="I9" s="57" t="n"/>
      <c r="J9" s="57" t="n"/>
      <c r="K9" s="57" t="n"/>
      <c r="L9" s="55" t="n"/>
      <c r="M9" s="55" t="n"/>
      <c r="N9" s="55" t="n"/>
      <c r="O9" s="55" t="n"/>
      <c r="P9" s="55" t="n"/>
      <c r="Q9" s="55" t="n"/>
      <c r="R9" s="58" t="n"/>
      <c r="S9" s="59">
        <f>IF(tblPlant[[#This Row],[Milled_t]]="","",tblPlant[[#This Row],[Milled_t]]*tblPlant[[#This Row],[Head_Grade_gpt]]/cfg_TroyOz)</f>
        <v/>
      </c>
      <c r="T9" s="59">
        <f>IF(tblPlant[[#This Row],[Milled_t]]="","",tblPlant[[#This Row],[Milled_t]]*tblPlant[[#This Row],[Tails_Grade_gpt]]/cfg_TroyOz)</f>
        <v/>
      </c>
      <c r="U9" s="59">
        <f>IF(tblPlant[[#This Row],[Milled_t]]="","",tblPlant[[#This Row],[Feed_oz]]-tblPlant[[#This Row],[Tails_oz]])</f>
        <v/>
      </c>
      <c r="V9" s="60">
        <f>IF(AND(tblPlant[[#This Row],[Milled_t]]&lt;&gt;"",tblPlant[[#This Row],[Feed_oz]]&gt;0),tblPlant[[#This Row],[Recovered_oz]]/tblPlant[[#This Row],[Feed_oz]],"")</f>
        <v/>
      </c>
      <c r="W9" s="59">
        <f>IF(AND(tblPlant[[#This Row],[Milled_t]]&lt;&gt;"",tblPlant[[#This Row],[Mill_Run_h]]&gt;0),tblPlant[[#This Row],[Milled_t]]/tblPlant[[#This Row],[Mill_Run_h]],"")</f>
        <v/>
      </c>
      <c r="X9" s="60">
        <f>IF(tblPlant[[#This Row],[Mill_Run_h]]="","",(24-tblPlant[[#This Row],[Mill_Planned_Maint_h]]-tblPlant[[#This Row],[Mill_Unplanned_Down_h]])/24)</f>
        <v/>
      </c>
      <c r="Y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">
      <c r="A10" s="54" t="n">
        <v>46027</v>
      </c>
      <c r="B10" s="55" t="n"/>
      <c r="C10" s="55" t="n"/>
      <c r="D10" s="56" t="n"/>
      <c r="E10" s="56" t="n"/>
      <c r="F10" s="55" t="n"/>
      <c r="G10" s="55" t="n"/>
      <c r="H10" s="57" t="n"/>
      <c r="I10" s="57" t="n"/>
      <c r="J10" s="57" t="n"/>
      <c r="K10" s="57" t="n"/>
      <c r="L10" s="55" t="n"/>
      <c r="M10" s="55" t="n"/>
      <c r="N10" s="55" t="n"/>
      <c r="O10" s="55" t="n"/>
      <c r="P10" s="55" t="n"/>
      <c r="Q10" s="55" t="n"/>
      <c r="R10" s="58" t="n"/>
      <c r="S10" s="59">
        <f>IF(tblPlant[[#This Row],[Milled_t]]="","",tblPlant[[#This Row],[Milled_t]]*tblPlant[[#This Row],[Head_Grade_gpt]]/cfg_TroyOz)</f>
        <v/>
      </c>
      <c r="T10" s="59">
        <f>IF(tblPlant[[#This Row],[Milled_t]]="","",tblPlant[[#This Row],[Milled_t]]*tblPlant[[#This Row],[Tails_Grade_gpt]]/cfg_TroyOz)</f>
        <v/>
      </c>
      <c r="U10" s="59">
        <f>IF(tblPlant[[#This Row],[Milled_t]]="","",tblPlant[[#This Row],[Feed_oz]]-tblPlant[[#This Row],[Tails_oz]])</f>
        <v/>
      </c>
      <c r="V10" s="60">
        <f>IF(AND(tblPlant[[#This Row],[Milled_t]]&lt;&gt;"",tblPlant[[#This Row],[Feed_oz]]&gt;0),tblPlant[[#This Row],[Recovered_oz]]/tblPlant[[#This Row],[Feed_oz]],"")</f>
        <v/>
      </c>
      <c r="W10" s="59">
        <f>IF(AND(tblPlant[[#This Row],[Milled_t]]&lt;&gt;"",tblPlant[[#This Row],[Mill_Run_h]]&gt;0),tblPlant[[#This Row],[Milled_t]]/tblPlant[[#This Row],[Mill_Run_h]],"")</f>
        <v/>
      </c>
      <c r="X10" s="60">
        <f>IF(tblPlant[[#This Row],[Mill_Run_h]]="","",(24-tblPlant[[#This Row],[Mill_Planned_Maint_h]]-tblPlant[[#This Row],[Mill_Unplanned_Down_h]])/24)</f>
        <v/>
      </c>
      <c r="Y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">
      <c r="A11" s="54" t="n">
        <v>46028</v>
      </c>
      <c r="B11" s="55" t="n"/>
      <c r="C11" s="55" t="n"/>
      <c r="D11" s="56" t="n"/>
      <c r="E11" s="56" t="n"/>
      <c r="F11" s="55" t="n"/>
      <c r="G11" s="55" t="n"/>
      <c r="H11" s="57" t="n"/>
      <c r="I11" s="57" t="n"/>
      <c r="J11" s="57" t="n"/>
      <c r="K11" s="57" t="n"/>
      <c r="L11" s="55" t="n"/>
      <c r="M11" s="55" t="n"/>
      <c r="N11" s="55" t="n"/>
      <c r="O11" s="55" t="n"/>
      <c r="P11" s="55" t="n"/>
      <c r="Q11" s="55" t="n"/>
      <c r="R11" s="58" t="n"/>
      <c r="S11" s="59">
        <f>IF(tblPlant[[#This Row],[Milled_t]]="","",tblPlant[[#This Row],[Milled_t]]*tblPlant[[#This Row],[Head_Grade_gpt]]/cfg_TroyOz)</f>
        <v/>
      </c>
      <c r="T11" s="59">
        <f>IF(tblPlant[[#This Row],[Milled_t]]="","",tblPlant[[#This Row],[Milled_t]]*tblPlant[[#This Row],[Tails_Grade_gpt]]/cfg_TroyOz)</f>
        <v/>
      </c>
      <c r="U11" s="59">
        <f>IF(tblPlant[[#This Row],[Milled_t]]="","",tblPlant[[#This Row],[Feed_oz]]-tblPlant[[#This Row],[Tails_oz]])</f>
        <v/>
      </c>
      <c r="V11" s="60">
        <f>IF(AND(tblPlant[[#This Row],[Milled_t]]&lt;&gt;"",tblPlant[[#This Row],[Feed_oz]]&gt;0),tblPlant[[#This Row],[Recovered_oz]]/tblPlant[[#This Row],[Feed_oz]],"")</f>
        <v/>
      </c>
      <c r="W11" s="59">
        <f>IF(AND(tblPlant[[#This Row],[Milled_t]]&lt;&gt;"",tblPlant[[#This Row],[Mill_Run_h]]&gt;0),tblPlant[[#This Row],[Milled_t]]/tblPlant[[#This Row],[Mill_Run_h]],"")</f>
        <v/>
      </c>
      <c r="X11" s="60">
        <f>IF(tblPlant[[#This Row],[Mill_Run_h]]="","",(24-tblPlant[[#This Row],[Mill_Planned_Maint_h]]-tblPlant[[#This Row],[Mill_Unplanned_Down_h]])/24)</f>
        <v/>
      </c>
      <c r="Y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">
      <c r="A12" s="54" t="n">
        <v>46029</v>
      </c>
      <c r="B12" s="55" t="n"/>
      <c r="C12" s="55" t="n"/>
      <c r="D12" s="56" t="n"/>
      <c r="E12" s="56" t="n"/>
      <c r="F12" s="55" t="n"/>
      <c r="G12" s="55" t="n"/>
      <c r="H12" s="57" t="n"/>
      <c r="I12" s="57" t="n"/>
      <c r="J12" s="57" t="n"/>
      <c r="K12" s="57" t="n"/>
      <c r="L12" s="55" t="n"/>
      <c r="M12" s="55" t="n"/>
      <c r="N12" s="55" t="n"/>
      <c r="O12" s="55" t="n"/>
      <c r="P12" s="55" t="n"/>
      <c r="Q12" s="55" t="n"/>
      <c r="R12" s="58" t="n"/>
      <c r="S12" s="59">
        <f>IF(tblPlant[[#This Row],[Milled_t]]="","",tblPlant[[#This Row],[Milled_t]]*tblPlant[[#This Row],[Head_Grade_gpt]]/cfg_TroyOz)</f>
        <v/>
      </c>
      <c r="T12" s="59">
        <f>IF(tblPlant[[#This Row],[Milled_t]]="","",tblPlant[[#This Row],[Milled_t]]*tblPlant[[#This Row],[Tails_Grade_gpt]]/cfg_TroyOz)</f>
        <v/>
      </c>
      <c r="U12" s="59">
        <f>IF(tblPlant[[#This Row],[Milled_t]]="","",tblPlant[[#This Row],[Feed_oz]]-tblPlant[[#This Row],[Tails_oz]])</f>
        <v/>
      </c>
      <c r="V12" s="60">
        <f>IF(AND(tblPlant[[#This Row],[Milled_t]]&lt;&gt;"",tblPlant[[#This Row],[Feed_oz]]&gt;0),tblPlant[[#This Row],[Recovered_oz]]/tblPlant[[#This Row],[Feed_oz]],"")</f>
        <v/>
      </c>
      <c r="W12" s="59">
        <f>IF(AND(tblPlant[[#This Row],[Milled_t]]&lt;&gt;"",tblPlant[[#This Row],[Mill_Run_h]]&gt;0),tblPlant[[#This Row],[Milled_t]]/tblPlant[[#This Row],[Mill_Run_h]],"")</f>
        <v/>
      </c>
      <c r="X12" s="60">
        <f>IF(tblPlant[[#This Row],[Mill_Run_h]]="","",(24-tblPlant[[#This Row],[Mill_Planned_Maint_h]]-tblPlant[[#This Row],[Mill_Unplanned_Down_h]])/24)</f>
        <v/>
      </c>
      <c r="Y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">
      <c r="A13" s="54" t="n">
        <v>46030</v>
      </c>
      <c r="B13" s="55" t="n"/>
      <c r="C13" s="55" t="n"/>
      <c r="D13" s="56" t="n"/>
      <c r="E13" s="56" t="n"/>
      <c r="F13" s="55" t="n"/>
      <c r="G13" s="55" t="n"/>
      <c r="H13" s="57" t="n"/>
      <c r="I13" s="57" t="n"/>
      <c r="J13" s="57" t="n"/>
      <c r="K13" s="57" t="n"/>
      <c r="L13" s="55" t="n"/>
      <c r="M13" s="55" t="n"/>
      <c r="N13" s="55" t="n"/>
      <c r="O13" s="55" t="n"/>
      <c r="P13" s="55" t="n"/>
      <c r="Q13" s="55" t="n"/>
      <c r="R13" s="58" t="n"/>
      <c r="S13" s="59">
        <f>IF(tblPlant[[#This Row],[Milled_t]]="","",tblPlant[[#This Row],[Milled_t]]*tblPlant[[#This Row],[Head_Grade_gpt]]/cfg_TroyOz)</f>
        <v/>
      </c>
      <c r="T13" s="59">
        <f>IF(tblPlant[[#This Row],[Milled_t]]="","",tblPlant[[#This Row],[Milled_t]]*tblPlant[[#This Row],[Tails_Grade_gpt]]/cfg_TroyOz)</f>
        <v/>
      </c>
      <c r="U13" s="59">
        <f>IF(tblPlant[[#This Row],[Milled_t]]="","",tblPlant[[#This Row],[Feed_oz]]-tblPlant[[#This Row],[Tails_oz]])</f>
        <v/>
      </c>
      <c r="V13" s="60">
        <f>IF(AND(tblPlant[[#This Row],[Milled_t]]&lt;&gt;"",tblPlant[[#This Row],[Feed_oz]]&gt;0),tblPlant[[#This Row],[Recovered_oz]]/tblPlant[[#This Row],[Feed_oz]],"")</f>
        <v/>
      </c>
      <c r="W13" s="59">
        <f>IF(AND(tblPlant[[#This Row],[Milled_t]]&lt;&gt;"",tblPlant[[#This Row],[Mill_Run_h]]&gt;0),tblPlant[[#This Row],[Milled_t]]/tblPlant[[#This Row],[Mill_Run_h]],"")</f>
        <v/>
      </c>
      <c r="X13" s="60">
        <f>IF(tblPlant[[#This Row],[Mill_Run_h]]="","",(24-tblPlant[[#This Row],[Mill_Planned_Maint_h]]-tblPlant[[#This Row],[Mill_Unplanned_Down_h]])/24)</f>
        <v/>
      </c>
      <c r="Y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">
      <c r="A14" s="54" t="n">
        <v>46031</v>
      </c>
      <c r="B14" s="55" t="n"/>
      <c r="C14" s="55" t="n"/>
      <c r="D14" s="56" t="n"/>
      <c r="E14" s="56" t="n"/>
      <c r="F14" s="55" t="n"/>
      <c r="G14" s="55" t="n"/>
      <c r="H14" s="57" t="n"/>
      <c r="I14" s="57" t="n"/>
      <c r="J14" s="57" t="n"/>
      <c r="K14" s="57" t="n"/>
      <c r="L14" s="55" t="n"/>
      <c r="M14" s="55" t="n"/>
      <c r="N14" s="55" t="n"/>
      <c r="O14" s="55" t="n"/>
      <c r="P14" s="55" t="n"/>
      <c r="Q14" s="55" t="n"/>
      <c r="R14" s="58" t="n"/>
      <c r="S14" s="59">
        <f>IF(tblPlant[[#This Row],[Milled_t]]="","",tblPlant[[#This Row],[Milled_t]]*tblPlant[[#This Row],[Head_Grade_gpt]]/cfg_TroyOz)</f>
        <v/>
      </c>
      <c r="T14" s="59">
        <f>IF(tblPlant[[#This Row],[Milled_t]]="","",tblPlant[[#This Row],[Milled_t]]*tblPlant[[#This Row],[Tails_Grade_gpt]]/cfg_TroyOz)</f>
        <v/>
      </c>
      <c r="U14" s="59">
        <f>IF(tblPlant[[#This Row],[Milled_t]]="","",tblPlant[[#This Row],[Feed_oz]]-tblPlant[[#This Row],[Tails_oz]])</f>
        <v/>
      </c>
      <c r="V14" s="60">
        <f>IF(AND(tblPlant[[#This Row],[Milled_t]]&lt;&gt;"",tblPlant[[#This Row],[Feed_oz]]&gt;0),tblPlant[[#This Row],[Recovered_oz]]/tblPlant[[#This Row],[Feed_oz]],"")</f>
        <v/>
      </c>
      <c r="W14" s="59">
        <f>IF(AND(tblPlant[[#This Row],[Milled_t]]&lt;&gt;"",tblPlant[[#This Row],[Mill_Run_h]]&gt;0),tblPlant[[#This Row],[Milled_t]]/tblPlant[[#This Row],[Mill_Run_h]],"")</f>
        <v/>
      </c>
      <c r="X14" s="60">
        <f>IF(tblPlant[[#This Row],[Mill_Run_h]]="","",(24-tblPlant[[#This Row],[Mill_Planned_Maint_h]]-tblPlant[[#This Row],[Mill_Unplanned_Down_h]])/24)</f>
        <v/>
      </c>
      <c r="Y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">
      <c r="A15" s="54" t="n">
        <v>46032</v>
      </c>
      <c r="B15" s="55" t="n"/>
      <c r="C15" s="55" t="n"/>
      <c r="D15" s="56" t="n"/>
      <c r="E15" s="56" t="n"/>
      <c r="F15" s="55" t="n"/>
      <c r="G15" s="55" t="n"/>
      <c r="H15" s="57" t="n"/>
      <c r="I15" s="57" t="n"/>
      <c r="J15" s="57" t="n"/>
      <c r="K15" s="57" t="n"/>
      <c r="L15" s="55" t="n"/>
      <c r="M15" s="55" t="n"/>
      <c r="N15" s="55" t="n"/>
      <c r="O15" s="55" t="n"/>
      <c r="P15" s="55" t="n"/>
      <c r="Q15" s="55" t="n"/>
      <c r="R15" s="58" t="n"/>
      <c r="S15" s="59">
        <f>IF(tblPlant[[#This Row],[Milled_t]]="","",tblPlant[[#This Row],[Milled_t]]*tblPlant[[#This Row],[Head_Grade_gpt]]/cfg_TroyOz)</f>
        <v/>
      </c>
      <c r="T15" s="59">
        <f>IF(tblPlant[[#This Row],[Milled_t]]="","",tblPlant[[#This Row],[Milled_t]]*tblPlant[[#This Row],[Tails_Grade_gpt]]/cfg_TroyOz)</f>
        <v/>
      </c>
      <c r="U15" s="59">
        <f>IF(tblPlant[[#This Row],[Milled_t]]="","",tblPlant[[#This Row],[Feed_oz]]-tblPlant[[#This Row],[Tails_oz]])</f>
        <v/>
      </c>
      <c r="V15" s="60">
        <f>IF(AND(tblPlant[[#This Row],[Milled_t]]&lt;&gt;"",tblPlant[[#This Row],[Feed_oz]]&gt;0),tblPlant[[#This Row],[Recovered_oz]]/tblPlant[[#This Row],[Feed_oz]],"")</f>
        <v/>
      </c>
      <c r="W15" s="59">
        <f>IF(AND(tblPlant[[#This Row],[Milled_t]]&lt;&gt;"",tblPlant[[#This Row],[Mill_Run_h]]&gt;0),tblPlant[[#This Row],[Milled_t]]/tblPlant[[#This Row],[Mill_Run_h]],"")</f>
        <v/>
      </c>
      <c r="X15" s="60">
        <f>IF(tblPlant[[#This Row],[Mill_Run_h]]="","",(24-tblPlant[[#This Row],[Mill_Planned_Maint_h]]-tblPlant[[#This Row],[Mill_Unplanned_Down_h]])/24)</f>
        <v/>
      </c>
      <c r="Y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">
      <c r="A16" s="54" t="n">
        <v>46033</v>
      </c>
      <c r="B16" s="55" t="n"/>
      <c r="C16" s="55" t="n"/>
      <c r="D16" s="56" t="n"/>
      <c r="E16" s="56" t="n"/>
      <c r="F16" s="55" t="n"/>
      <c r="G16" s="55" t="n"/>
      <c r="H16" s="57" t="n"/>
      <c r="I16" s="57" t="n"/>
      <c r="J16" s="57" t="n"/>
      <c r="K16" s="57" t="n"/>
      <c r="L16" s="55" t="n"/>
      <c r="M16" s="55" t="n"/>
      <c r="N16" s="55" t="n"/>
      <c r="O16" s="55" t="n"/>
      <c r="P16" s="55" t="n"/>
      <c r="Q16" s="55" t="n"/>
      <c r="R16" s="58" t="n"/>
      <c r="S16" s="59">
        <f>IF(tblPlant[[#This Row],[Milled_t]]="","",tblPlant[[#This Row],[Milled_t]]*tblPlant[[#This Row],[Head_Grade_gpt]]/cfg_TroyOz)</f>
        <v/>
      </c>
      <c r="T16" s="59">
        <f>IF(tblPlant[[#This Row],[Milled_t]]="","",tblPlant[[#This Row],[Milled_t]]*tblPlant[[#This Row],[Tails_Grade_gpt]]/cfg_TroyOz)</f>
        <v/>
      </c>
      <c r="U16" s="59">
        <f>IF(tblPlant[[#This Row],[Milled_t]]="","",tblPlant[[#This Row],[Feed_oz]]-tblPlant[[#This Row],[Tails_oz]])</f>
        <v/>
      </c>
      <c r="V16" s="60">
        <f>IF(AND(tblPlant[[#This Row],[Milled_t]]&lt;&gt;"",tblPlant[[#This Row],[Feed_oz]]&gt;0),tblPlant[[#This Row],[Recovered_oz]]/tblPlant[[#This Row],[Feed_oz]],"")</f>
        <v/>
      </c>
      <c r="W16" s="59">
        <f>IF(AND(tblPlant[[#This Row],[Milled_t]]&lt;&gt;"",tblPlant[[#This Row],[Mill_Run_h]]&gt;0),tblPlant[[#This Row],[Milled_t]]/tblPlant[[#This Row],[Mill_Run_h]],"")</f>
        <v/>
      </c>
      <c r="X16" s="60">
        <f>IF(tblPlant[[#This Row],[Mill_Run_h]]="","",(24-tblPlant[[#This Row],[Mill_Planned_Maint_h]]-tblPlant[[#This Row],[Mill_Unplanned_Down_h]])/24)</f>
        <v/>
      </c>
      <c r="Y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">
      <c r="A17" s="54" t="n">
        <v>46034</v>
      </c>
      <c r="B17" s="55" t="n"/>
      <c r="C17" s="55" t="n"/>
      <c r="D17" s="56" t="n"/>
      <c r="E17" s="56" t="n"/>
      <c r="F17" s="55" t="n"/>
      <c r="G17" s="55" t="n"/>
      <c r="H17" s="57" t="n"/>
      <c r="I17" s="57" t="n"/>
      <c r="J17" s="57" t="n"/>
      <c r="K17" s="57" t="n"/>
      <c r="L17" s="55" t="n"/>
      <c r="M17" s="55" t="n"/>
      <c r="N17" s="55" t="n"/>
      <c r="O17" s="55" t="n"/>
      <c r="P17" s="55" t="n"/>
      <c r="Q17" s="55" t="n"/>
      <c r="R17" s="58" t="n"/>
      <c r="S17" s="59">
        <f>IF(tblPlant[[#This Row],[Milled_t]]="","",tblPlant[[#This Row],[Milled_t]]*tblPlant[[#This Row],[Head_Grade_gpt]]/cfg_TroyOz)</f>
        <v/>
      </c>
      <c r="T17" s="59">
        <f>IF(tblPlant[[#This Row],[Milled_t]]="","",tblPlant[[#This Row],[Milled_t]]*tblPlant[[#This Row],[Tails_Grade_gpt]]/cfg_TroyOz)</f>
        <v/>
      </c>
      <c r="U17" s="59">
        <f>IF(tblPlant[[#This Row],[Milled_t]]="","",tblPlant[[#This Row],[Feed_oz]]-tblPlant[[#This Row],[Tails_oz]])</f>
        <v/>
      </c>
      <c r="V17" s="60">
        <f>IF(AND(tblPlant[[#This Row],[Milled_t]]&lt;&gt;"",tblPlant[[#This Row],[Feed_oz]]&gt;0),tblPlant[[#This Row],[Recovered_oz]]/tblPlant[[#This Row],[Feed_oz]],"")</f>
        <v/>
      </c>
      <c r="W17" s="59">
        <f>IF(AND(tblPlant[[#This Row],[Milled_t]]&lt;&gt;"",tblPlant[[#This Row],[Mill_Run_h]]&gt;0),tblPlant[[#This Row],[Milled_t]]/tblPlant[[#This Row],[Mill_Run_h]],"")</f>
        <v/>
      </c>
      <c r="X17" s="60">
        <f>IF(tblPlant[[#This Row],[Mill_Run_h]]="","",(24-tblPlant[[#This Row],[Mill_Planned_Maint_h]]-tblPlant[[#This Row],[Mill_Unplanned_Down_h]])/24)</f>
        <v/>
      </c>
      <c r="Y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">
      <c r="A18" s="54" t="n">
        <v>46035</v>
      </c>
      <c r="B18" s="55" t="n"/>
      <c r="C18" s="55" t="n"/>
      <c r="D18" s="56" t="n"/>
      <c r="E18" s="56" t="n"/>
      <c r="F18" s="55" t="n"/>
      <c r="G18" s="55" t="n"/>
      <c r="H18" s="57" t="n"/>
      <c r="I18" s="57" t="n"/>
      <c r="J18" s="57" t="n"/>
      <c r="K18" s="57" t="n"/>
      <c r="L18" s="55" t="n"/>
      <c r="M18" s="55" t="n"/>
      <c r="N18" s="55" t="n"/>
      <c r="O18" s="55" t="n"/>
      <c r="P18" s="55" t="n"/>
      <c r="Q18" s="55" t="n"/>
      <c r="R18" s="58" t="n"/>
      <c r="S18" s="59">
        <f>IF(tblPlant[[#This Row],[Milled_t]]="","",tblPlant[[#This Row],[Milled_t]]*tblPlant[[#This Row],[Head_Grade_gpt]]/cfg_TroyOz)</f>
        <v/>
      </c>
      <c r="T18" s="59">
        <f>IF(tblPlant[[#This Row],[Milled_t]]="","",tblPlant[[#This Row],[Milled_t]]*tblPlant[[#This Row],[Tails_Grade_gpt]]/cfg_TroyOz)</f>
        <v/>
      </c>
      <c r="U18" s="59">
        <f>IF(tblPlant[[#This Row],[Milled_t]]="","",tblPlant[[#This Row],[Feed_oz]]-tblPlant[[#This Row],[Tails_oz]])</f>
        <v/>
      </c>
      <c r="V18" s="60">
        <f>IF(AND(tblPlant[[#This Row],[Milled_t]]&lt;&gt;"",tblPlant[[#This Row],[Feed_oz]]&gt;0),tblPlant[[#This Row],[Recovered_oz]]/tblPlant[[#This Row],[Feed_oz]],"")</f>
        <v/>
      </c>
      <c r="W18" s="59">
        <f>IF(AND(tblPlant[[#This Row],[Milled_t]]&lt;&gt;"",tblPlant[[#This Row],[Mill_Run_h]]&gt;0),tblPlant[[#This Row],[Milled_t]]/tblPlant[[#This Row],[Mill_Run_h]],"")</f>
        <v/>
      </c>
      <c r="X18" s="60">
        <f>IF(tblPlant[[#This Row],[Mill_Run_h]]="","",(24-tblPlant[[#This Row],[Mill_Planned_Maint_h]]-tblPlant[[#This Row],[Mill_Unplanned_Down_h]])/24)</f>
        <v/>
      </c>
      <c r="Y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">
      <c r="A19" s="54" t="n">
        <v>46036</v>
      </c>
      <c r="B19" s="55" t="n"/>
      <c r="C19" s="55" t="n"/>
      <c r="D19" s="56" t="n"/>
      <c r="E19" s="56" t="n"/>
      <c r="F19" s="55" t="n"/>
      <c r="G19" s="55" t="n"/>
      <c r="H19" s="57" t="n"/>
      <c r="I19" s="57" t="n"/>
      <c r="J19" s="57" t="n"/>
      <c r="K19" s="57" t="n"/>
      <c r="L19" s="55" t="n"/>
      <c r="M19" s="55" t="n"/>
      <c r="N19" s="55" t="n"/>
      <c r="O19" s="55" t="n"/>
      <c r="P19" s="55" t="n"/>
      <c r="Q19" s="55" t="n"/>
      <c r="R19" s="58" t="n"/>
      <c r="S19" s="59">
        <f>IF(tblPlant[[#This Row],[Milled_t]]="","",tblPlant[[#This Row],[Milled_t]]*tblPlant[[#This Row],[Head_Grade_gpt]]/cfg_TroyOz)</f>
        <v/>
      </c>
      <c r="T19" s="59">
        <f>IF(tblPlant[[#This Row],[Milled_t]]="","",tblPlant[[#This Row],[Milled_t]]*tblPlant[[#This Row],[Tails_Grade_gpt]]/cfg_TroyOz)</f>
        <v/>
      </c>
      <c r="U19" s="59">
        <f>IF(tblPlant[[#This Row],[Milled_t]]="","",tblPlant[[#This Row],[Feed_oz]]-tblPlant[[#This Row],[Tails_oz]])</f>
        <v/>
      </c>
      <c r="V19" s="60">
        <f>IF(AND(tblPlant[[#This Row],[Milled_t]]&lt;&gt;"",tblPlant[[#This Row],[Feed_oz]]&gt;0),tblPlant[[#This Row],[Recovered_oz]]/tblPlant[[#This Row],[Feed_oz]],"")</f>
        <v/>
      </c>
      <c r="W19" s="59">
        <f>IF(AND(tblPlant[[#This Row],[Milled_t]]&lt;&gt;"",tblPlant[[#This Row],[Mill_Run_h]]&gt;0),tblPlant[[#This Row],[Milled_t]]/tblPlant[[#This Row],[Mill_Run_h]],"")</f>
        <v/>
      </c>
      <c r="X19" s="60">
        <f>IF(tblPlant[[#This Row],[Mill_Run_h]]="","",(24-tblPlant[[#This Row],[Mill_Planned_Maint_h]]-tblPlant[[#This Row],[Mill_Unplanned_Down_h]])/24)</f>
        <v/>
      </c>
      <c r="Y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">
      <c r="A20" s="54" t="n">
        <v>46037</v>
      </c>
      <c r="B20" s="55" t="n"/>
      <c r="C20" s="55" t="n"/>
      <c r="D20" s="56" t="n"/>
      <c r="E20" s="56" t="n"/>
      <c r="F20" s="55" t="n"/>
      <c r="G20" s="55" t="n"/>
      <c r="H20" s="57" t="n"/>
      <c r="I20" s="57" t="n"/>
      <c r="J20" s="57" t="n"/>
      <c r="K20" s="57" t="n"/>
      <c r="L20" s="55" t="n"/>
      <c r="M20" s="55" t="n"/>
      <c r="N20" s="55" t="n"/>
      <c r="O20" s="55" t="n"/>
      <c r="P20" s="55" t="n"/>
      <c r="Q20" s="55" t="n"/>
      <c r="R20" s="58" t="n"/>
      <c r="S20" s="59">
        <f>IF(tblPlant[[#This Row],[Milled_t]]="","",tblPlant[[#This Row],[Milled_t]]*tblPlant[[#This Row],[Head_Grade_gpt]]/cfg_TroyOz)</f>
        <v/>
      </c>
      <c r="T20" s="59">
        <f>IF(tblPlant[[#This Row],[Milled_t]]="","",tblPlant[[#This Row],[Milled_t]]*tblPlant[[#This Row],[Tails_Grade_gpt]]/cfg_TroyOz)</f>
        <v/>
      </c>
      <c r="U20" s="59">
        <f>IF(tblPlant[[#This Row],[Milled_t]]="","",tblPlant[[#This Row],[Feed_oz]]-tblPlant[[#This Row],[Tails_oz]])</f>
        <v/>
      </c>
      <c r="V20" s="60">
        <f>IF(AND(tblPlant[[#This Row],[Milled_t]]&lt;&gt;"",tblPlant[[#This Row],[Feed_oz]]&gt;0),tblPlant[[#This Row],[Recovered_oz]]/tblPlant[[#This Row],[Feed_oz]],"")</f>
        <v/>
      </c>
      <c r="W20" s="59">
        <f>IF(AND(tblPlant[[#This Row],[Milled_t]]&lt;&gt;"",tblPlant[[#This Row],[Mill_Run_h]]&gt;0),tblPlant[[#This Row],[Milled_t]]/tblPlant[[#This Row],[Mill_Run_h]],"")</f>
        <v/>
      </c>
      <c r="X20" s="60">
        <f>IF(tblPlant[[#This Row],[Mill_Run_h]]="","",(24-tblPlant[[#This Row],[Mill_Planned_Maint_h]]-tblPlant[[#This Row],[Mill_Unplanned_Down_h]])/24)</f>
        <v/>
      </c>
      <c r="Y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">
      <c r="A21" s="54" t="n">
        <v>46038</v>
      </c>
      <c r="B21" s="55" t="n"/>
      <c r="C21" s="55" t="n"/>
      <c r="D21" s="56" t="n"/>
      <c r="E21" s="56" t="n"/>
      <c r="F21" s="55" t="n"/>
      <c r="G21" s="55" t="n"/>
      <c r="H21" s="57" t="n"/>
      <c r="I21" s="57" t="n"/>
      <c r="J21" s="57" t="n"/>
      <c r="K21" s="57" t="n"/>
      <c r="L21" s="55" t="n"/>
      <c r="M21" s="55" t="n"/>
      <c r="N21" s="55" t="n"/>
      <c r="O21" s="55" t="n"/>
      <c r="P21" s="55" t="n"/>
      <c r="Q21" s="55" t="n"/>
      <c r="R21" s="58" t="n"/>
      <c r="S21" s="59">
        <f>IF(tblPlant[[#This Row],[Milled_t]]="","",tblPlant[[#This Row],[Milled_t]]*tblPlant[[#This Row],[Head_Grade_gpt]]/cfg_TroyOz)</f>
        <v/>
      </c>
      <c r="T21" s="59">
        <f>IF(tblPlant[[#This Row],[Milled_t]]="","",tblPlant[[#This Row],[Milled_t]]*tblPlant[[#This Row],[Tails_Grade_gpt]]/cfg_TroyOz)</f>
        <v/>
      </c>
      <c r="U21" s="59">
        <f>IF(tblPlant[[#This Row],[Milled_t]]="","",tblPlant[[#This Row],[Feed_oz]]-tblPlant[[#This Row],[Tails_oz]])</f>
        <v/>
      </c>
      <c r="V21" s="60">
        <f>IF(AND(tblPlant[[#This Row],[Milled_t]]&lt;&gt;"",tblPlant[[#This Row],[Feed_oz]]&gt;0),tblPlant[[#This Row],[Recovered_oz]]/tblPlant[[#This Row],[Feed_oz]],"")</f>
        <v/>
      </c>
      <c r="W21" s="59">
        <f>IF(AND(tblPlant[[#This Row],[Milled_t]]&lt;&gt;"",tblPlant[[#This Row],[Mill_Run_h]]&gt;0),tblPlant[[#This Row],[Milled_t]]/tblPlant[[#This Row],[Mill_Run_h]],"")</f>
        <v/>
      </c>
      <c r="X21" s="60">
        <f>IF(tblPlant[[#This Row],[Mill_Run_h]]="","",(24-tblPlant[[#This Row],[Mill_Planned_Maint_h]]-tblPlant[[#This Row],[Mill_Unplanned_Down_h]])/24)</f>
        <v/>
      </c>
      <c r="Y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">
      <c r="A22" s="54" t="n">
        <v>46039</v>
      </c>
      <c r="B22" s="55" t="n"/>
      <c r="C22" s="55" t="n"/>
      <c r="D22" s="56" t="n"/>
      <c r="E22" s="56" t="n"/>
      <c r="F22" s="55" t="n"/>
      <c r="G22" s="55" t="n"/>
      <c r="H22" s="57" t="n"/>
      <c r="I22" s="57" t="n"/>
      <c r="J22" s="57" t="n"/>
      <c r="K22" s="57" t="n"/>
      <c r="L22" s="55" t="n"/>
      <c r="M22" s="55" t="n"/>
      <c r="N22" s="55" t="n"/>
      <c r="O22" s="55" t="n"/>
      <c r="P22" s="55" t="n"/>
      <c r="Q22" s="55" t="n"/>
      <c r="R22" s="58" t="n"/>
      <c r="S22" s="59">
        <f>IF(tblPlant[[#This Row],[Milled_t]]="","",tblPlant[[#This Row],[Milled_t]]*tblPlant[[#This Row],[Head_Grade_gpt]]/cfg_TroyOz)</f>
        <v/>
      </c>
      <c r="T22" s="59">
        <f>IF(tblPlant[[#This Row],[Milled_t]]="","",tblPlant[[#This Row],[Milled_t]]*tblPlant[[#This Row],[Tails_Grade_gpt]]/cfg_TroyOz)</f>
        <v/>
      </c>
      <c r="U22" s="59">
        <f>IF(tblPlant[[#This Row],[Milled_t]]="","",tblPlant[[#This Row],[Feed_oz]]-tblPlant[[#This Row],[Tails_oz]])</f>
        <v/>
      </c>
      <c r="V22" s="60">
        <f>IF(AND(tblPlant[[#This Row],[Milled_t]]&lt;&gt;"",tblPlant[[#This Row],[Feed_oz]]&gt;0),tblPlant[[#This Row],[Recovered_oz]]/tblPlant[[#This Row],[Feed_oz]],"")</f>
        <v/>
      </c>
      <c r="W22" s="59">
        <f>IF(AND(tblPlant[[#This Row],[Milled_t]]&lt;&gt;"",tblPlant[[#This Row],[Mill_Run_h]]&gt;0),tblPlant[[#This Row],[Milled_t]]/tblPlant[[#This Row],[Mill_Run_h]],"")</f>
        <v/>
      </c>
      <c r="X22" s="60">
        <f>IF(tblPlant[[#This Row],[Mill_Run_h]]="","",(24-tblPlant[[#This Row],[Mill_Planned_Maint_h]]-tblPlant[[#This Row],[Mill_Unplanned_Down_h]])/24)</f>
        <v/>
      </c>
      <c r="Y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">
      <c r="A23" s="54" t="n">
        <v>46040</v>
      </c>
      <c r="B23" s="55" t="n"/>
      <c r="C23" s="55" t="n"/>
      <c r="D23" s="56" t="n"/>
      <c r="E23" s="56" t="n"/>
      <c r="F23" s="55" t="n"/>
      <c r="G23" s="55" t="n"/>
      <c r="H23" s="57" t="n"/>
      <c r="I23" s="57" t="n"/>
      <c r="J23" s="57" t="n"/>
      <c r="K23" s="57" t="n"/>
      <c r="L23" s="55" t="n"/>
      <c r="M23" s="55" t="n"/>
      <c r="N23" s="55" t="n"/>
      <c r="O23" s="55" t="n"/>
      <c r="P23" s="55" t="n"/>
      <c r="Q23" s="55" t="n"/>
      <c r="R23" s="58" t="n"/>
      <c r="S23" s="59">
        <f>IF(tblPlant[[#This Row],[Milled_t]]="","",tblPlant[[#This Row],[Milled_t]]*tblPlant[[#This Row],[Head_Grade_gpt]]/cfg_TroyOz)</f>
        <v/>
      </c>
      <c r="T23" s="59">
        <f>IF(tblPlant[[#This Row],[Milled_t]]="","",tblPlant[[#This Row],[Milled_t]]*tblPlant[[#This Row],[Tails_Grade_gpt]]/cfg_TroyOz)</f>
        <v/>
      </c>
      <c r="U23" s="59">
        <f>IF(tblPlant[[#This Row],[Milled_t]]="","",tblPlant[[#This Row],[Feed_oz]]-tblPlant[[#This Row],[Tails_oz]])</f>
        <v/>
      </c>
      <c r="V23" s="60">
        <f>IF(AND(tblPlant[[#This Row],[Milled_t]]&lt;&gt;"",tblPlant[[#This Row],[Feed_oz]]&gt;0),tblPlant[[#This Row],[Recovered_oz]]/tblPlant[[#This Row],[Feed_oz]],"")</f>
        <v/>
      </c>
      <c r="W23" s="59">
        <f>IF(AND(tblPlant[[#This Row],[Milled_t]]&lt;&gt;"",tblPlant[[#This Row],[Mill_Run_h]]&gt;0),tblPlant[[#This Row],[Milled_t]]/tblPlant[[#This Row],[Mill_Run_h]],"")</f>
        <v/>
      </c>
      <c r="X23" s="60">
        <f>IF(tblPlant[[#This Row],[Mill_Run_h]]="","",(24-tblPlant[[#This Row],[Mill_Planned_Maint_h]]-tblPlant[[#This Row],[Mill_Unplanned_Down_h]])/24)</f>
        <v/>
      </c>
      <c r="Y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">
      <c r="A24" s="54" t="n">
        <v>46041</v>
      </c>
      <c r="B24" s="55" t="n"/>
      <c r="C24" s="55" t="n"/>
      <c r="D24" s="56" t="n"/>
      <c r="E24" s="56" t="n"/>
      <c r="F24" s="55" t="n"/>
      <c r="G24" s="55" t="n"/>
      <c r="H24" s="57" t="n"/>
      <c r="I24" s="57" t="n"/>
      <c r="J24" s="57" t="n"/>
      <c r="K24" s="57" t="n"/>
      <c r="L24" s="55" t="n"/>
      <c r="M24" s="55" t="n"/>
      <c r="N24" s="55" t="n"/>
      <c r="O24" s="55" t="n"/>
      <c r="P24" s="55" t="n"/>
      <c r="Q24" s="55" t="n"/>
      <c r="R24" s="58" t="n"/>
      <c r="S24" s="59">
        <f>IF(tblPlant[[#This Row],[Milled_t]]="","",tblPlant[[#This Row],[Milled_t]]*tblPlant[[#This Row],[Head_Grade_gpt]]/cfg_TroyOz)</f>
        <v/>
      </c>
      <c r="T24" s="59">
        <f>IF(tblPlant[[#This Row],[Milled_t]]="","",tblPlant[[#This Row],[Milled_t]]*tblPlant[[#This Row],[Tails_Grade_gpt]]/cfg_TroyOz)</f>
        <v/>
      </c>
      <c r="U24" s="59">
        <f>IF(tblPlant[[#This Row],[Milled_t]]="","",tblPlant[[#This Row],[Feed_oz]]-tblPlant[[#This Row],[Tails_oz]])</f>
        <v/>
      </c>
      <c r="V24" s="60">
        <f>IF(AND(tblPlant[[#This Row],[Milled_t]]&lt;&gt;"",tblPlant[[#This Row],[Feed_oz]]&gt;0),tblPlant[[#This Row],[Recovered_oz]]/tblPlant[[#This Row],[Feed_oz]],"")</f>
        <v/>
      </c>
      <c r="W24" s="59">
        <f>IF(AND(tblPlant[[#This Row],[Milled_t]]&lt;&gt;"",tblPlant[[#This Row],[Mill_Run_h]]&gt;0),tblPlant[[#This Row],[Milled_t]]/tblPlant[[#This Row],[Mill_Run_h]],"")</f>
        <v/>
      </c>
      <c r="X24" s="60">
        <f>IF(tblPlant[[#This Row],[Mill_Run_h]]="","",(24-tblPlant[[#This Row],[Mill_Planned_Maint_h]]-tblPlant[[#This Row],[Mill_Unplanned_Down_h]])/24)</f>
        <v/>
      </c>
      <c r="Y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">
      <c r="A25" s="54" t="n">
        <v>46042</v>
      </c>
      <c r="B25" s="55" t="n"/>
      <c r="C25" s="55" t="n"/>
      <c r="D25" s="56" t="n"/>
      <c r="E25" s="56" t="n"/>
      <c r="F25" s="55" t="n"/>
      <c r="G25" s="55" t="n"/>
      <c r="H25" s="57" t="n"/>
      <c r="I25" s="57" t="n"/>
      <c r="J25" s="57" t="n"/>
      <c r="K25" s="57" t="n"/>
      <c r="L25" s="55" t="n"/>
      <c r="M25" s="55" t="n"/>
      <c r="N25" s="55" t="n"/>
      <c r="O25" s="55" t="n"/>
      <c r="P25" s="55" t="n"/>
      <c r="Q25" s="55" t="n"/>
      <c r="R25" s="58" t="n"/>
      <c r="S25" s="59">
        <f>IF(tblPlant[[#This Row],[Milled_t]]="","",tblPlant[[#This Row],[Milled_t]]*tblPlant[[#This Row],[Head_Grade_gpt]]/cfg_TroyOz)</f>
        <v/>
      </c>
      <c r="T25" s="59">
        <f>IF(tblPlant[[#This Row],[Milled_t]]="","",tblPlant[[#This Row],[Milled_t]]*tblPlant[[#This Row],[Tails_Grade_gpt]]/cfg_TroyOz)</f>
        <v/>
      </c>
      <c r="U25" s="59">
        <f>IF(tblPlant[[#This Row],[Milled_t]]="","",tblPlant[[#This Row],[Feed_oz]]-tblPlant[[#This Row],[Tails_oz]])</f>
        <v/>
      </c>
      <c r="V25" s="60">
        <f>IF(AND(tblPlant[[#This Row],[Milled_t]]&lt;&gt;"",tblPlant[[#This Row],[Feed_oz]]&gt;0),tblPlant[[#This Row],[Recovered_oz]]/tblPlant[[#This Row],[Feed_oz]],"")</f>
        <v/>
      </c>
      <c r="W25" s="59">
        <f>IF(AND(tblPlant[[#This Row],[Milled_t]]&lt;&gt;"",tblPlant[[#This Row],[Mill_Run_h]]&gt;0),tblPlant[[#This Row],[Milled_t]]/tblPlant[[#This Row],[Mill_Run_h]],"")</f>
        <v/>
      </c>
      <c r="X25" s="60">
        <f>IF(tblPlant[[#This Row],[Mill_Run_h]]="","",(24-tblPlant[[#This Row],[Mill_Planned_Maint_h]]-tblPlant[[#This Row],[Mill_Unplanned_Down_h]])/24)</f>
        <v/>
      </c>
      <c r="Y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">
      <c r="A26" s="54" t="n">
        <v>46043</v>
      </c>
      <c r="B26" s="55" t="n"/>
      <c r="C26" s="55" t="n"/>
      <c r="D26" s="56" t="n"/>
      <c r="E26" s="56" t="n"/>
      <c r="F26" s="55" t="n"/>
      <c r="G26" s="55" t="n"/>
      <c r="H26" s="57" t="n"/>
      <c r="I26" s="57" t="n"/>
      <c r="J26" s="57" t="n"/>
      <c r="K26" s="57" t="n"/>
      <c r="L26" s="55" t="n"/>
      <c r="M26" s="55" t="n"/>
      <c r="N26" s="55" t="n"/>
      <c r="O26" s="55" t="n"/>
      <c r="P26" s="55" t="n"/>
      <c r="Q26" s="55" t="n"/>
      <c r="R26" s="58" t="n"/>
      <c r="S26" s="59">
        <f>IF(tblPlant[[#This Row],[Milled_t]]="","",tblPlant[[#This Row],[Milled_t]]*tblPlant[[#This Row],[Head_Grade_gpt]]/cfg_TroyOz)</f>
        <v/>
      </c>
      <c r="T26" s="59">
        <f>IF(tblPlant[[#This Row],[Milled_t]]="","",tblPlant[[#This Row],[Milled_t]]*tblPlant[[#This Row],[Tails_Grade_gpt]]/cfg_TroyOz)</f>
        <v/>
      </c>
      <c r="U26" s="59">
        <f>IF(tblPlant[[#This Row],[Milled_t]]="","",tblPlant[[#This Row],[Feed_oz]]-tblPlant[[#This Row],[Tails_oz]])</f>
        <v/>
      </c>
      <c r="V26" s="60">
        <f>IF(AND(tblPlant[[#This Row],[Milled_t]]&lt;&gt;"",tblPlant[[#This Row],[Feed_oz]]&gt;0),tblPlant[[#This Row],[Recovered_oz]]/tblPlant[[#This Row],[Feed_oz]],"")</f>
        <v/>
      </c>
      <c r="W26" s="59">
        <f>IF(AND(tblPlant[[#This Row],[Milled_t]]&lt;&gt;"",tblPlant[[#This Row],[Mill_Run_h]]&gt;0),tblPlant[[#This Row],[Milled_t]]/tblPlant[[#This Row],[Mill_Run_h]],"")</f>
        <v/>
      </c>
      <c r="X26" s="60">
        <f>IF(tblPlant[[#This Row],[Mill_Run_h]]="","",(24-tblPlant[[#This Row],[Mill_Planned_Maint_h]]-tblPlant[[#This Row],[Mill_Unplanned_Down_h]])/24)</f>
        <v/>
      </c>
      <c r="Y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">
      <c r="A27" s="54" t="n">
        <v>46044</v>
      </c>
      <c r="B27" s="55" t="n"/>
      <c r="C27" s="55" t="n"/>
      <c r="D27" s="56" t="n"/>
      <c r="E27" s="56" t="n"/>
      <c r="F27" s="55" t="n"/>
      <c r="G27" s="55" t="n"/>
      <c r="H27" s="57" t="n"/>
      <c r="I27" s="57" t="n"/>
      <c r="J27" s="57" t="n"/>
      <c r="K27" s="57" t="n"/>
      <c r="L27" s="55" t="n"/>
      <c r="M27" s="55" t="n"/>
      <c r="N27" s="55" t="n"/>
      <c r="O27" s="55" t="n"/>
      <c r="P27" s="55" t="n"/>
      <c r="Q27" s="55" t="n"/>
      <c r="R27" s="58" t="n"/>
      <c r="S27" s="59">
        <f>IF(tblPlant[[#This Row],[Milled_t]]="","",tblPlant[[#This Row],[Milled_t]]*tblPlant[[#This Row],[Head_Grade_gpt]]/cfg_TroyOz)</f>
        <v/>
      </c>
      <c r="T27" s="59">
        <f>IF(tblPlant[[#This Row],[Milled_t]]="","",tblPlant[[#This Row],[Milled_t]]*tblPlant[[#This Row],[Tails_Grade_gpt]]/cfg_TroyOz)</f>
        <v/>
      </c>
      <c r="U27" s="59">
        <f>IF(tblPlant[[#This Row],[Milled_t]]="","",tblPlant[[#This Row],[Feed_oz]]-tblPlant[[#This Row],[Tails_oz]])</f>
        <v/>
      </c>
      <c r="V27" s="60">
        <f>IF(AND(tblPlant[[#This Row],[Milled_t]]&lt;&gt;"",tblPlant[[#This Row],[Feed_oz]]&gt;0),tblPlant[[#This Row],[Recovered_oz]]/tblPlant[[#This Row],[Feed_oz]],"")</f>
        <v/>
      </c>
      <c r="W27" s="59">
        <f>IF(AND(tblPlant[[#This Row],[Milled_t]]&lt;&gt;"",tblPlant[[#This Row],[Mill_Run_h]]&gt;0),tblPlant[[#This Row],[Milled_t]]/tblPlant[[#This Row],[Mill_Run_h]],"")</f>
        <v/>
      </c>
      <c r="X27" s="60">
        <f>IF(tblPlant[[#This Row],[Mill_Run_h]]="","",(24-tblPlant[[#This Row],[Mill_Planned_Maint_h]]-tblPlant[[#This Row],[Mill_Unplanned_Down_h]])/24)</f>
        <v/>
      </c>
      <c r="Y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">
      <c r="A28" s="54" t="n">
        <v>46045</v>
      </c>
      <c r="B28" s="55" t="n"/>
      <c r="C28" s="55" t="n"/>
      <c r="D28" s="56" t="n"/>
      <c r="E28" s="56" t="n"/>
      <c r="F28" s="55" t="n"/>
      <c r="G28" s="55" t="n"/>
      <c r="H28" s="57" t="n"/>
      <c r="I28" s="57" t="n"/>
      <c r="J28" s="57" t="n"/>
      <c r="K28" s="57" t="n"/>
      <c r="L28" s="55" t="n"/>
      <c r="M28" s="55" t="n"/>
      <c r="N28" s="55" t="n"/>
      <c r="O28" s="55" t="n"/>
      <c r="P28" s="55" t="n"/>
      <c r="Q28" s="55" t="n"/>
      <c r="R28" s="58" t="n"/>
      <c r="S28" s="59">
        <f>IF(tblPlant[[#This Row],[Milled_t]]="","",tblPlant[[#This Row],[Milled_t]]*tblPlant[[#This Row],[Head_Grade_gpt]]/cfg_TroyOz)</f>
        <v/>
      </c>
      <c r="T28" s="59">
        <f>IF(tblPlant[[#This Row],[Milled_t]]="","",tblPlant[[#This Row],[Milled_t]]*tblPlant[[#This Row],[Tails_Grade_gpt]]/cfg_TroyOz)</f>
        <v/>
      </c>
      <c r="U28" s="59">
        <f>IF(tblPlant[[#This Row],[Milled_t]]="","",tblPlant[[#This Row],[Feed_oz]]-tblPlant[[#This Row],[Tails_oz]])</f>
        <v/>
      </c>
      <c r="V28" s="60">
        <f>IF(AND(tblPlant[[#This Row],[Milled_t]]&lt;&gt;"",tblPlant[[#This Row],[Feed_oz]]&gt;0),tblPlant[[#This Row],[Recovered_oz]]/tblPlant[[#This Row],[Feed_oz]],"")</f>
        <v/>
      </c>
      <c r="W28" s="59">
        <f>IF(AND(tblPlant[[#This Row],[Milled_t]]&lt;&gt;"",tblPlant[[#This Row],[Mill_Run_h]]&gt;0),tblPlant[[#This Row],[Milled_t]]/tblPlant[[#This Row],[Mill_Run_h]],"")</f>
        <v/>
      </c>
      <c r="X28" s="60">
        <f>IF(tblPlant[[#This Row],[Mill_Run_h]]="","",(24-tblPlant[[#This Row],[Mill_Planned_Maint_h]]-tblPlant[[#This Row],[Mill_Unplanned_Down_h]])/24)</f>
        <v/>
      </c>
      <c r="Y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">
      <c r="A29" s="54" t="n">
        <v>46046</v>
      </c>
      <c r="B29" s="55" t="n"/>
      <c r="C29" s="55" t="n"/>
      <c r="D29" s="56" t="n"/>
      <c r="E29" s="56" t="n"/>
      <c r="F29" s="55" t="n"/>
      <c r="G29" s="55" t="n"/>
      <c r="H29" s="57" t="n"/>
      <c r="I29" s="57" t="n"/>
      <c r="J29" s="57" t="n"/>
      <c r="K29" s="57" t="n"/>
      <c r="L29" s="55" t="n"/>
      <c r="M29" s="55" t="n"/>
      <c r="N29" s="55" t="n"/>
      <c r="O29" s="55" t="n"/>
      <c r="P29" s="55" t="n"/>
      <c r="Q29" s="55" t="n"/>
      <c r="R29" s="58" t="n"/>
      <c r="S29" s="59">
        <f>IF(tblPlant[[#This Row],[Milled_t]]="","",tblPlant[[#This Row],[Milled_t]]*tblPlant[[#This Row],[Head_Grade_gpt]]/cfg_TroyOz)</f>
        <v/>
      </c>
      <c r="T29" s="59">
        <f>IF(tblPlant[[#This Row],[Milled_t]]="","",tblPlant[[#This Row],[Milled_t]]*tblPlant[[#This Row],[Tails_Grade_gpt]]/cfg_TroyOz)</f>
        <v/>
      </c>
      <c r="U29" s="59">
        <f>IF(tblPlant[[#This Row],[Milled_t]]="","",tblPlant[[#This Row],[Feed_oz]]-tblPlant[[#This Row],[Tails_oz]])</f>
        <v/>
      </c>
      <c r="V29" s="60">
        <f>IF(AND(tblPlant[[#This Row],[Milled_t]]&lt;&gt;"",tblPlant[[#This Row],[Feed_oz]]&gt;0),tblPlant[[#This Row],[Recovered_oz]]/tblPlant[[#This Row],[Feed_oz]],"")</f>
        <v/>
      </c>
      <c r="W29" s="59">
        <f>IF(AND(tblPlant[[#This Row],[Milled_t]]&lt;&gt;"",tblPlant[[#This Row],[Mill_Run_h]]&gt;0),tblPlant[[#This Row],[Milled_t]]/tblPlant[[#This Row],[Mill_Run_h]],"")</f>
        <v/>
      </c>
      <c r="X29" s="60">
        <f>IF(tblPlant[[#This Row],[Mill_Run_h]]="","",(24-tblPlant[[#This Row],[Mill_Planned_Maint_h]]-tblPlant[[#This Row],[Mill_Unplanned_Down_h]])/24)</f>
        <v/>
      </c>
      <c r="Y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">
      <c r="A30" s="54" t="n">
        <v>46047</v>
      </c>
      <c r="B30" s="55" t="n"/>
      <c r="C30" s="55" t="n"/>
      <c r="D30" s="56" t="n"/>
      <c r="E30" s="56" t="n"/>
      <c r="F30" s="55" t="n"/>
      <c r="G30" s="55" t="n"/>
      <c r="H30" s="57" t="n"/>
      <c r="I30" s="57" t="n"/>
      <c r="J30" s="57" t="n"/>
      <c r="K30" s="57" t="n"/>
      <c r="L30" s="55" t="n"/>
      <c r="M30" s="55" t="n"/>
      <c r="N30" s="55" t="n"/>
      <c r="O30" s="55" t="n"/>
      <c r="P30" s="55" t="n"/>
      <c r="Q30" s="55" t="n"/>
      <c r="R30" s="58" t="n"/>
      <c r="S30" s="59">
        <f>IF(tblPlant[[#This Row],[Milled_t]]="","",tblPlant[[#This Row],[Milled_t]]*tblPlant[[#This Row],[Head_Grade_gpt]]/cfg_TroyOz)</f>
        <v/>
      </c>
      <c r="T30" s="59">
        <f>IF(tblPlant[[#This Row],[Milled_t]]="","",tblPlant[[#This Row],[Milled_t]]*tblPlant[[#This Row],[Tails_Grade_gpt]]/cfg_TroyOz)</f>
        <v/>
      </c>
      <c r="U30" s="59">
        <f>IF(tblPlant[[#This Row],[Milled_t]]="","",tblPlant[[#This Row],[Feed_oz]]-tblPlant[[#This Row],[Tails_oz]])</f>
        <v/>
      </c>
      <c r="V30" s="60">
        <f>IF(AND(tblPlant[[#This Row],[Milled_t]]&lt;&gt;"",tblPlant[[#This Row],[Feed_oz]]&gt;0),tblPlant[[#This Row],[Recovered_oz]]/tblPlant[[#This Row],[Feed_oz]],"")</f>
        <v/>
      </c>
      <c r="W30" s="59">
        <f>IF(AND(tblPlant[[#This Row],[Milled_t]]&lt;&gt;"",tblPlant[[#This Row],[Mill_Run_h]]&gt;0),tblPlant[[#This Row],[Milled_t]]/tblPlant[[#This Row],[Mill_Run_h]],"")</f>
        <v/>
      </c>
      <c r="X30" s="60">
        <f>IF(tblPlant[[#This Row],[Mill_Run_h]]="","",(24-tblPlant[[#This Row],[Mill_Planned_Maint_h]]-tblPlant[[#This Row],[Mill_Unplanned_Down_h]])/24)</f>
        <v/>
      </c>
      <c r="Y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">
      <c r="A31" s="54" t="n">
        <v>46048</v>
      </c>
      <c r="B31" s="55" t="n"/>
      <c r="C31" s="55" t="n"/>
      <c r="D31" s="56" t="n"/>
      <c r="E31" s="56" t="n"/>
      <c r="F31" s="55" t="n"/>
      <c r="G31" s="55" t="n"/>
      <c r="H31" s="57" t="n"/>
      <c r="I31" s="57" t="n"/>
      <c r="J31" s="57" t="n"/>
      <c r="K31" s="57" t="n"/>
      <c r="L31" s="55" t="n"/>
      <c r="M31" s="55" t="n"/>
      <c r="N31" s="55" t="n"/>
      <c r="O31" s="55" t="n"/>
      <c r="P31" s="55" t="n"/>
      <c r="Q31" s="55" t="n"/>
      <c r="R31" s="58" t="n"/>
      <c r="S31" s="59">
        <f>IF(tblPlant[[#This Row],[Milled_t]]="","",tblPlant[[#This Row],[Milled_t]]*tblPlant[[#This Row],[Head_Grade_gpt]]/cfg_TroyOz)</f>
        <v/>
      </c>
      <c r="T31" s="59">
        <f>IF(tblPlant[[#This Row],[Milled_t]]="","",tblPlant[[#This Row],[Milled_t]]*tblPlant[[#This Row],[Tails_Grade_gpt]]/cfg_TroyOz)</f>
        <v/>
      </c>
      <c r="U31" s="59">
        <f>IF(tblPlant[[#This Row],[Milled_t]]="","",tblPlant[[#This Row],[Feed_oz]]-tblPlant[[#This Row],[Tails_oz]])</f>
        <v/>
      </c>
      <c r="V31" s="60">
        <f>IF(AND(tblPlant[[#This Row],[Milled_t]]&lt;&gt;"",tblPlant[[#This Row],[Feed_oz]]&gt;0),tblPlant[[#This Row],[Recovered_oz]]/tblPlant[[#This Row],[Feed_oz]],"")</f>
        <v/>
      </c>
      <c r="W31" s="59">
        <f>IF(AND(tblPlant[[#This Row],[Milled_t]]&lt;&gt;"",tblPlant[[#This Row],[Mill_Run_h]]&gt;0),tblPlant[[#This Row],[Milled_t]]/tblPlant[[#This Row],[Mill_Run_h]],"")</f>
        <v/>
      </c>
      <c r="X31" s="60">
        <f>IF(tblPlant[[#This Row],[Mill_Run_h]]="","",(24-tblPlant[[#This Row],[Mill_Planned_Maint_h]]-tblPlant[[#This Row],[Mill_Unplanned_Down_h]])/24)</f>
        <v/>
      </c>
      <c r="Y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">
      <c r="A32" s="54" t="n">
        <v>46049</v>
      </c>
      <c r="B32" s="55" t="n"/>
      <c r="C32" s="55" t="n"/>
      <c r="D32" s="56" t="n"/>
      <c r="E32" s="56" t="n"/>
      <c r="F32" s="55" t="n"/>
      <c r="G32" s="55" t="n"/>
      <c r="H32" s="57" t="n"/>
      <c r="I32" s="57" t="n"/>
      <c r="J32" s="57" t="n"/>
      <c r="K32" s="57" t="n"/>
      <c r="L32" s="55" t="n"/>
      <c r="M32" s="55" t="n"/>
      <c r="N32" s="55" t="n"/>
      <c r="O32" s="55" t="n"/>
      <c r="P32" s="55" t="n"/>
      <c r="Q32" s="55" t="n"/>
      <c r="R32" s="58" t="n"/>
      <c r="S32" s="59">
        <f>IF(tblPlant[[#This Row],[Milled_t]]="","",tblPlant[[#This Row],[Milled_t]]*tblPlant[[#This Row],[Head_Grade_gpt]]/cfg_TroyOz)</f>
        <v/>
      </c>
      <c r="T32" s="59">
        <f>IF(tblPlant[[#This Row],[Milled_t]]="","",tblPlant[[#This Row],[Milled_t]]*tblPlant[[#This Row],[Tails_Grade_gpt]]/cfg_TroyOz)</f>
        <v/>
      </c>
      <c r="U32" s="59">
        <f>IF(tblPlant[[#This Row],[Milled_t]]="","",tblPlant[[#This Row],[Feed_oz]]-tblPlant[[#This Row],[Tails_oz]])</f>
        <v/>
      </c>
      <c r="V32" s="60">
        <f>IF(AND(tblPlant[[#This Row],[Milled_t]]&lt;&gt;"",tblPlant[[#This Row],[Feed_oz]]&gt;0),tblPlant[[#This Row],[Recovered_oz]]/tblPlant[[#This Row],[Feed_oz]],"")</f>
        <v/>
      </c>
      <c r="W32" s="59">
        <f>IF(AND(tblPlant[[#This Row],[Milled_t]]&lt;&gt;"",tblPlant[[#This Row],[Mill_Run_h]]&gt;0),tblPlant[[#This Row],[Milled_t]]/tblPlant[[#This Row],[Mill_Run_h]],"")</f>
        <v/>
      </c>
      <c r="X32" s="60">
        <f>IF(tblPlant[[#This Row],[Mill_Run_h]]="","",(24-tblPlant[[#This Row],[Mill_Planned_Maint_h]]-tblPlant[[#This Row],[Mill_Unplanned_Down_h]])/24)</f>
        <v/>
      </c>
      <c r="Y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">
      <c r="A33" s="54" t="n">
        <v>46050</v>
      </c>
      <c r="B33" s="55" t="n"/>
      <c r="C33" s="55" t="n"/>
      <c r="D33" s="56" t="n"/>
      <c r="E33" s="56" t="n"/>
      <c r="F33" s="55" t="n"/>
      <c r="G33" s="55" t="n"/>
      <c r="H33" s="57" t="n"/>
      <c r="I33" s="57" t="n"/>
      <c r="J33" s="57" t="n"/>
      <c r="K33" s="57" t="n"/>
      <c r="L33" s="55" t="n"/>
      <c r="M33" s="55" t="n"/>
      <c r="N33" s="55" t="n"/>
      <c r="O33" s="55" t="n"/>
      <c r="P33" s="55" t="n"/>
      <c r="Q33" s="55" t="n"/>
      <c r="R33" s="58" t="n"/>
      <c r="S33" s="59">
        <f>IF(tblPlant[[#This Row],[Milled_t]]="","",tblPlant[[#This Row],[Milled_t]]*tblPlant[[#This Row],[Head_Grade_gpt]]/cfg_TroyOz)</f>
        <v/>
      </c>
      <c r="T33" s="59">
        <f>IF(tblPlant[[#This Row],[Milled_t]]="","",tblPlant[[#This Row],[Milled_t]]*tblPlant[[#This Row],[Tails_Grade_gpt]]/cfg_TroyOz)</f>
        <v/>
      </c>
      <c r="U33" s="59">
        <f>IF(tblPlant[[#This Row],[Milled_t]]="","",tblPlant[[#This Row],[Feed_oz]]-tblPlant[[#This Row],[Tails_oz]])</f>
        <v/>
      </c>
      <c r="V33" s="60">
        <f>IF(AND(tblPlant[[#This Row],[Milled_t]]&lt;&gt;"",tblPlant[[#This Row],[Feed_oz]]&gt;0),tblPlant[[#This Row],[Recovered_oz]]/tblPlant[[#This Row],[Feed_oz]],"")</f>
        <v/>
      </c>
      <c r="W33" s="59">
        <f>IF(AND(tblPlant[[#This Row],[Milled_t]]&lt;&gt;"",tblPlant[[#This Row],[Mill_Run_h]]&gt;0),tblPlant[[#This Row],[Milled_t]]/tblPlant[[#This Row],[Mill_Run_h]],"")</f>
        <v/>
      </c>
      <c r="X33" s="60">
        <f>IF(tblPlant[[#This Row],[Mill_Run_h]]="","",(24-tblPlant[[#This Row],[Mill_Planned_Maint_h]]-tblPlant[[#This Row],[Mill_Unplanned_Down_h]])/24)</f>
        <v/>
      </c>
      <c r="Y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">
      <c r="A34" s="54" t="n">
        <v>46051</v>
      </c>
      <c r="B34" s="55" t="n"/>
      <c r="C34" s="55" t="n"/>
      <c r="D34" s="56" t="n"/>
      <c r="E34" s="56" t="n"/>
      <c r="F34" s="55" t="n"/>
      <c r="G34" s="55" t="n"/>
      <c r="H34" s="57" t="n"/>
      <c r="I34" s="57" t="n"/>
      <c r="J34" s="57" t="n"/>
      <c r="K34" s="57" t="n"/>
      <c r="L34" s="55" t="n"/>
      <c r="M34" s="55" t="n"/>
      <c r="N34" s="55" t="n"/>
      <c r="O34" s="55" t="n"/>
      <c r="P34" s="55" t="n"/>
      <c r="Q34" s="55" t="n"/>
      <c r="R34" s="58" t="n"/>
      <c r="S34" s="59">
        <f>IF(tblPlant[[#This Row],[Milled_t]]="","",tblPlant[[#This Row],[Milled_t]]*tblPlant[[#This Row],[Head_Grade_gpt]]/cfg_TroyOz)</f>
        <v/>
      </c>
      <c r="T34" s="59">
        <f>IF(tblPlant[[#This Row],[Milled_t]]="","",tblPlant[[#This Row],[Milled_t]]*tblPlant[[#This Row],[Tails_Grade_gpt]]/cfg_TroyOz)</f>
        <v/>
      </c>
      <c r="U34" s="59">
        <f>IF(tblPlant[[#This Row],[Milled_t]]="","",tblPlant[[#This Row],[Feed_oz]]-tblPlant[[#This Row],[Tails_oz]])</f>
        <v/>
      </c>
      <c r="V34" s="60">
        <f>IF(AND(tblPlant[[#This Row],[Milled_t]]&lt;&gt;"",tblPlant[[#This Row],[Feed_oz]]&gt;0),tblPlant[[#This Row],[Recovered_oz]]/tblPlant[[#This Row],[Feed_oz]],"")</f>
        <v/>
      </c>
      <c r="W34" s="59">
        <f>IF(AND(tblPlant[[#This Row],[Milled_t]]&lt;&gt;"",tblPlant[[#This Row],[Mill_Run_h]]&gt;0),tblPlant[[#This Row],[Milled_t]]/tblPlant[[#This Row],[Mill_Run_h]],"")</f>
        <v/>
      </c>
      <c r="X34" s="60">
        <f>IF(tblPlant[[#This Row],[Mill_Run_h]]="","",(24-tblPlant[[#This Row],[Mill_Planned_Maint_h]]-tblPlant[[#This Row],[Mill_Unplanned_Down_h]])/24)</f>
        <v/>
      </c>
      <c r="Y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">
      <c r="A35" s="54" t="n">
        <v>46052</v>
      </c>
      <c r="B35" s="55" t="n"/>
      <c r="C35" s="55" t="n"/>
      <c r="D35" s="56" t="n"/>
      <c r="E35" s="56" t="n"/>
      <c r="F35" s="55" t="n"/>
      <c r="G35" s="55" t="n"/>
      <c r="H35" s="57" t="n"/>
      <c r="I35" s="57" t="n"/>
      <c r="J35" s="57" t="n"/>
      <c r="K35" s="57" t="n"/>
      <c r="L35" s="55" t="n"/>
      <c r="M35" s="55" t="n"/>
      <c r="N35" s="55" t="n"/>
      <c r="O35" s="55" t="n"/>
      <c r="P35" s="55" t="n"/>
      <c r="Q35" s="55" t="n"/>
      <c r="R35" s="58" t="n"/>
      <c r="S35" s="59">
        <f>IF(tblPlant[[#This Row],[Milled_t]]="","",tblPlant[[#This Row],[Milled_t]]*tblPlant[[#This Row],[Head_Grade_gpt]]/cfg_TroyOz)</f>
        <v/>
      </c>
      <c r="T35" s="59">
        <f>IF(tblPlant[[#This Row],[Milled_t]]="","",tblPlant[[#This Row],[Milled_t]]*tblPlant[[#This Row],[Tails_Grade_gpt]]/cfg_TroyOz)</f>
        <v/>
      </c>
      <c r="U35" s="59">
        <f>IF(tblPlant[[#This Row],[Milled_t]]="","",tblPlant[[#This Row],[Feed_oz]]-tblPlant[[#This Row],[Tails_oz]])</f>
        <v/>
      </c>
      <c r="V35" s="60">
        <f>IF(AND(tblPlant[[#This Row],[Milled_t]]&lt;&gt;"",tblPlant[[#This Row],[Feed_oz]]&gt;0),tblPlant[[#This Row],[Recovered_oz]]/tblPlant[[#This Row],[Feed_oz]],"")</f>
        <v/>
      </c>
      <c r="W35" s="59">
        <f>IF(AND(tblPlant[[#This Row],[Milled_t]]&lt;&gt;"",tblPlant[[#This Row],[Mill_Run_h]]&gt;0),tblPlant[[#This Row],[Milled_t]]/tblPlant[[#This Row],[Mill_Run_h]],"")</f>
        <v/>
      </c>
      <c r="X35" s="60">
        <f>IF(tblPlant[[#This Row],[Mill_Run_h]]="","",(24-tblPlant[[#This Row],[Mill_Planned_Maint_h]]-tblPlant[[#This Row],[Mill_Unplanned_Down_h]])/24)</f>
        <v/>
      </c>
      <c r="Y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">
      <c r="A36" s="54" t="n">
        <v>46053</v>
      </c>
      <c r="B36" s="55" t="n"/>
      <c r="C36" s="55" t="n"/>
      <c r="D36" s="56" t="n"/>
      <c r="E36" s="56" t="n"/>
      <c r="F36" s="55" t="n"/>
      <c r="G36" s="55" t="n"/>
      <c r="H36" s="57" t="n"/>
      <c r="I36" s="57" t="n"/>
      <c r="J36" s="57" t="n"/>
      <c r="K36" s="57" t="n"/>
      <c r="L36" s="55" t="n"/>
      <c r="M36" s="55" t="n"/>
      <c r="N36" s="55" t="n"/>
      <c r="O36" s="55" t="n"/>
      <c r="P36" s="55" t="n"/>
      <c r="Q36" s="55" t="n"/>
      <c r="R36" s="58" t="n"/>
      <c r="S36" s="59">
        <f>IF(tblPlant[[#This Row],[Milled_t]]="","",tblPlant[[#This Row],[Milled_t]]*tblPlant[[#This Row],[Head_Grade_gpt]]/cfg_TroyOz)</f>
        <v/>
      </c>
      <c r="T36" s="59">
        <f>IF(tblPlant[[#This Row],[Milled_t]]="","",tblPlant[[#This Row],[Milled_t]]*tblPlant[[#This Row],[Tails_Grade_gpt]]/cfg_TroyOz)</f>
        <v/>
      </c>
      <c r="U36" s="59">
        <f>IF(tblPlant[[#This Row],[Milled_t]]="","",tblPlant[[#This Row],[Feed_oz]]-tblPlant[[#This Row],[Tails_oz]])</f>
        <v/>
      </c>
      <c r="V36" s="60">
        <f>IF(AND(tblPlant[[#This Row],[Milled_t]]&lt;&gt;"",tblPlant[[#This Row],[Feed_oz]]&gt;0),tblPlant[[#This Row],[Recovered_oz]]/tblPlant[[#This Row],[Feed_oz]],"")</f>
        <v/>
      </c>
      <c r="W36" s="59">
        <f>IF(AND(tblPlant[[#This Row],[Milled_t]]&lt;&gt;"",tblPlant[[#This Row],[Mill_Run_h]]&gt;0),tblPlant[[#This Row],[Milled_t]]/tblPlant[[#This Row],[Mill_Run_h]],"")</f>
        <v/>
      </c>
      <c r="X36" s="60">
        <f>IF(tblPlant[[#This Row],[Mill_Run_h]]="","",(24-tblPlant[[#This Row],[Mill_Planned_Maint_h]]-tblPlant[[#This Row],[Mill_Unplanned_Down_h]])/24)</f>
        <v/>
      </c>
      <c r="Y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7">
      <c r="A37" s="54" t="n">
        <v>46054</v>
      </c>
      <c r="B37" s="55" t="n"/>
      <c r="C37" s="55" t="n"/>
      <c r="D37" s="56" t="n"/>
      <c r="E37" s="56" t="n"/>
      <c r="F37" s="55" t="n"/>
      <c r="G37" s="55" t="n"/>
      <c r="H37" s="57" t="n"/>
      <c r="I37" s="57" t="n"/>
      <c r="J37" s="57" t="n"/>
      <c r="K37" s="57" t="n"/>
      <c r="L37" s="55" t="n"/>
      <c r="M37" s="55" t="n"/>
      <c r="N37" s="55" t="n"/>
      <c r="O37" s="55" t="n"/>
      <c r="P37" s="55" t="n"/>
      <c r="Q37" s="55" t="n"/>
      <c r="R37" s="58" t="n"/>
      <c r="S37" s="59">
        <f>IF(tblPlant[[#This Row],[Milled_t]]="","",tblPlant[[#This Row],[Milled_t]]*tblPlant[[#This Row],[Head_Grade_gpt]]/cfg_TroyOz)</f>
        <v/>
      </c>
      <c r="T37" s="59">
        <f>IF(tblPlant[[#This Row],[Milled_t]]="","",tblPlant[[#This Row],[Milled_t]]*tblPlant[[#This Row],[Tails_Grade_gpt]]/cfg_TroyOz)</f>
        <v/>
      </c>
      <c r="U37" s="59">
        <f>IF(tblPlant[[#This Row],[Milled_t]]="","",tblPlant[[#This Row],[Feed_oz]]-tblPlant[[#This Row],[Tails_oz]])</f>
        <v/>
      </c>
      <c r="V37" s="60">
        <f>IF(AND(tblPlant[[#This Row],[Milled_t]]&lt;&gt;"",tblPlant[[#This Row],[Feed_oz]]&gt;0),tblPlant[[#This Row],[Recovered_oz]]/tblPlant[[#This Row],[Feed_oz]],"")</f>
        <v/>
      </c>
      <c r="W37" s="59">
        <f>IF(AND(tblPlant[[#This Row],[Milled_t]]&lt;&gt;"",tblPlant[[#This Row],[Mill_Run_h]]&gt;0),tblPlant[[#This Row],[Milled_t]]/tblPlant[[#This Row],[Mill_Run_h]],"")</f>
        <v/>
      </c>
      <c r="X37" s="60">
        <f>IF(tblPlant[[#This Row],[Mill_Run_h]]="","",(24-tblPlant[[#This Row],[Mill_Planned_Maint_h]]-tblPlant[[#This Row],[Mill_Unplanned_Down_h]])/24)</f>
        <v/>
      </c>
      <c r="Y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8">
      <c r="A38" s="54" t="n">
        <v>46055</v>
      </c>
      <c r="B38" s="55" t="n"/>
      <c r="C38" s="55" t="n"/>
      <c r="D38" s="56" t="n"/>
      <c r="E38" s="56" t="n"/>
      <c r="F38" s="55" t="n"/>
      <c r="G38" s="55" t="n"/>
      <c r="H38" s="57" t="n"/>
      <c r="I38" s="57" t="n"/>
      <c r="J38" s="57" t="n"/>
      <c r="K38" s="57" t="n"/>
      <c r="L38" s="55" t="n"/>
      <c r="M38" s="55" t="n"/>
      <c r="N38" s="55" t="n"/>
      <c r="O38" s="55" t="n"/>
      <c r="P38" s="55" t="n"/>
      <c r="Q38" s="55" t="n"/>
      <c r="R38" s="58" t="n"/>
      <c r="S38" s="59">
        <f>IF(tblPlant[[#This Row],[Milled_t]]="","",tblPlant[[#This Row],[Milled_t]]*tblPlant[[#This Row],[Head_Grade_gpt]]/cfg_TroyOz)</f>
        <v/>
      </c>
      <c r="T38" s="59">
        <f>IF(tblPlant[[#This Row],[Milled_t]]="","",tblPlant[[#This Row],[Milled_t]]*tblPlant[[#This Row],[Tails_Grade_gpt]]/cfg_TroyOz)</f>
        <v/>
      </c>
      <c r="U38" s="59">
        <f>IF(tblPlant[[#This Row],[Milled_t]]="","",tblPlant[[#This Row],[Feed_oz]]-tblPlant[[#This Row],[Tails_oz]])</f>
        <v/>
      </c>
      <c r="V38" s="60">
        <f>IF(AND(tblPlant[[#This Row],[Milled_t]]&lt;&gt;"",tblPlant[[#This Row],[Feed_oz]]&gt;0),tblPlant[[#This Row],[Recovered_oz]]/tblPlant[[#This Row],[Feed_oz]],"")</f>
        <v/>
      </c>
      <c r="W38" s="59">
        <f>IF(AND(tblPlant[[#This Row],[Milled_t]]&lt;&gt;"",tblPlant[[#This Row],[Mill_Run_h]]&gt;0),tblPlant[[#This Row],[Milled_t]]/tblPlant[[#This Row],[Mill_Run_h]],"")</f>
        <v/>
      </c>
      <c r="X38" s="60">
        <f>IF(tblPlant[[#This Row],[Mill_Run_h]]="","",(24-tblPlant[[#This Row],[Mill_Planned_Maint_h]]-tblPlant[[#This Row],[Mill_Unplanned_Down_h]])/24)</f>
        <v/>
      </c>
      <c r="Y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9">
      <c r="A39" s="54" t="n">
        <v>46056</v>
      </c>
      <c r="B39" s="55" t="n"/>
      <c r="C39" s="55" t="n"/>
      <c r="D39" s="56" t="n"/>
      <c r="E39" s="56" t="n"/>
      <c r="F39" s="55" t="n"/>
      <c r="G39" s="55" t="n"/>
      <c r="H39" s="57" t="n"/>
      <c r="I39" s="57" t="n"/>
      <c r="J39" s="57" t="n"/>
      <c r="K39" s="57" t="n"/>
      <c r="L39" s="55" t="n"/>
      <c r="M39" s="55" t="n"/>
      <c r="N39" s="55" t="n"/>
      <c r="O39" s="55" t="n"/>
      <c r="P39" s="55" t="n"/>
      <c r="Q39" s="55" t="n"/>
      <c r="R39" s="58" t="n"/>
      <c r="S39" s="59">
        <f>IF(tblPlant[[#This Row],[Milled_t]]="","",tblPlant[[#This Row],[Milled_t]]*tblPlant[[#This Row],[Head_Grade_gpt]]/cfg_TroyOz)</f>
        <v/>
      </c>
      <c r="T39" s="59">
        <f>IF(tblPlant[[#This Row],[Milled_t]]="","",tblPlant[[#This Row],[Milled_t]]*tblPlant[[#This Row],[Tails_Grade_gpt]]/cfg_TroyOz)</f>
        <v/>
      </c>
      <c r="U39" s="59">
        <f>IF(tblPlant[[#This Row],[Milled_t]]="","",tblPlant[[#This Row],[Feed_oz]]-tblPlant[[#This Row],[Tails_oz]])</f>
        <v/>
      </c>
      <c r="V39" s="60">
        <f>IF(AND(tblPlant[[#This Row],[Milled_t]]&lt;&gt;"",tblPlant[[#This Row],[Feed_oz]]&gt;0),tblPlant[[#This Row],[Recovered_oz]]/tblPlant[[#This Row],[Feed_oz]],"")</f>
        <v/>
      </c>
      <c r="W39" s="59">
        <f>IF(AND(tblPlant[[#This Row],[Milled_t]]&lt;&gt;"",tblPlant[[#This Row],[Mill_Run_h]]&gt;0),tblPlant[[#This Row],[Milled_t]]/tblPlant[[#This Row],[Mill_Run_h]],"")</f>
        <v/>
      </c>
      <c r="X39" s="60">
        <f>IF(tblPlant[[#This Row],[Mill_Run_h]]="","",(24-tblPlant[[#This Row],[Mill_Planned_Maint_h]]-tblPlant[[#This Row],[Mill_Unplanned_Down_h]])/24)</f>
        <v/>
      </c>
      <c r="Y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0">
      <c r="A40" s="54" t="n">
        <v>46057</v>
      </c>
      <c r="B40" s="55" t="n"/>
      <c r="C40" s="55" t="n"/>
      <c r="D40" s="56" t="n"/>
      <c r="E40" s="56" t="n"/>
      <c r="F40" s="55" t="n"/>
      <c r="G40" s="55" t="n"/>
      <c r="H40" s="57" t="n"/>
      <c r="I40" s="57" t="n"/>
      <c r="J40" s="57" t="n"/>
      <c r="K40" s="57" t="n"/>
      <c r="L40" s="55" t="n"/>
      <c r="M40" s="55" t="n"/>
      <c r="N40" s="55" t="n"/>
      <c r="O40" s="55" t="n"/>
      <c r="P40" s="55" t="n"/>
      <c r="Q40" s="55" t="n"/>
      <c r="R40" s="58" t="n"/>
      <c r="S40" s="59">
        <f>IF(tblPlant[[#This Row],[Milled_t]]="","",tblPlant[[#This Row],[Milled_t]]*tblPlant[[#This Row],[Head_Grade_gpt]]/cfg_TroyOz)</f>
        <v/>
      </c>
      <c r="T40" s="59">
        <f>IF(tblPlant[[#This Row],[Milled_t]]="","",tblPlant[[#This Row],[Milled_t]]*tblPlant[[#This Row],[Tails_Grade_gpt]]/cfg_TroyOz)</f>
        <v/>
      </c>
      <c r="U40" s="59">
        <f>IF(tblPlant[[#This Row],[Milled_t]]="","",tblPlant[[#This Row],[Feed_oz]]-tblPlant[[#This Row],[Tails_oz]])</f>
        <v/>
      </c>
      <c r="V40" s="60">
        <f>IF(AND(tblPlant[[#This Row],[Milled_t]]&lt;&gt;"",tblPlant[[#This Row],[Feed_oz]]&gt;0),tblPlant[[#This Row],[Recovered_oz]]/tblPlant[[#This Row],[Feed_oz]],"")</f>
        <v/>
      </c>
      <c r="W40" s="59">
        <f>IF(AND(tblPlant[[#This Row],[Milled_t]]&lt;&gt;"",tblPlant[[#This Row],[Mill_Run_h]]&gt;0),tblPlant[[#This Row],[Milled_t]]/tblPlant[[#This Row],[Mill_Run_h]],"")</f>
        <v/>
      </c>
      <c r="X40" s="60">
        <f>IF(tblPlant[[#This Row],[Mill_Run_h]]="","",(24-tblPlant[[#This Row],[Mill_Planned_Maint_h]]-tblPlant[[#This Row],[Mill_Unplanned_Down_h]])/24)</f>
        <v/>
      </c>
      <c r="Y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1">
      <c r="A41" s="54" t="n">
        <v>46058</v>
      </c>
      <c r="B41" s="55" t="n"/>
      <c r="C41" s="55" t="n"/>
      <c r="D41" s="56" t="n"/>
      <c r="E41" s="56" t="n"/>
      <c r="F41" s="55" t="n"/>
      <c r="G41" s="55" t="n"/>
      <c r="H41" s="57" t="n"/>
      <c r="I41" s="57" t="n"/>
      <c r="J41" s="57" t="n"/>
      <c r="K41" s="57" t="n"/>
      <c r="L41" s="55" t="n"/>
      <c r="M41" s="55" t="n"/>
      <c r="N41" s="55" t="n"/>
      <c r="O41" s="55" t="n"/>
      <c r="P41" s="55" t="n"/>
      <c r="Q41" s="55" t="n"/>
      <c r="R41" s="58" t="n"/>
      <c r="S41" s="59">
        <f>IF(tblPlant[[#This Row],[Milled_t]]="","",tblPlant[[#This Row],[Milled_t]]*tblPlant[[#This Row],[Head_Grade_gpt]]/cfg_TroyOz)</f>
        <v/>
      </c>
      <c r="T41" s="59">
        <f>IF(tblPlant[[#This Row],[Milled_t]]="","",tblPlant[[#This Row],[Milled_t]]*tblPlant[[#This Row],[Tails_Grade_gpt]]/cfg_TroyOz)</f>
        <v/>
      </c>
      <c r="U41" s="59">
        <f>IF(tblPlant[[#This Row],[Milled_t]]="","",tblPlant[[#This Row],[Feed_oz]]-tblPlant[[#This Row],[Tails_oz]])</f>
        <v/>
      </c>
      <c r="V41" s="60">
        <f>IF(AND(tblPlant[[#This Row],[Milled_t]]&lt;&gt;"",tblPlant[[#This Row],[Feed_oz]]&gt;0),tblPlant[[#This Row],[Recovered_oz]]/tblPlant[[#This Row],[Feed_oz]],"")</f>
        <v/>
      </c>
      <c r="W41" s="59">
        <f>IF(AND(tblPlant[[#This Row],[Milled_t]]&lt;&gt;"",tblPlant[[#This Row],[Mill_Run_h]]&gt;0),tblPlant[[#This Row],[Milled_t]]/tblPlant[[#This Row],[Mill_Run_h]],"")</f>
        <v/>
      </c>
      <c r="X41" s="60">
        <f>IF(tblPlant[[#This Row],[Mill_Run_h]]="","",(24-tblPlant[[#This Row],[Mill_Planned_Maint_h]]-tblPlant[[#This Row],[Mill_Unplanned_Down_h]])/24)</f>
        <v/>
      </c>
      <c r="Y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2">
      <c r="A42" s="54" t="n">
        <v>46059</v>
      </c>
      <c r="B42" s="55" t="n"/>
      <c r="C42" s="55" t="n"/>
      <c r="D42" s="56" t="n"/>
      <c r="E42" s="56" t="n"/>
      <c r="F42" s="55" t="n"/>
      <c r="G42" s="55" t="n"/>
      <c r="H42" s="57" t="n"/>
      <c r="I42" s="57" t="n"/>
      <c r="J42" s="57" t="n"/>
      <c r="K42" s="57" t="n"/>
      <c r="L42" s="55" t="n"/>
      <c r="M42" s="55" t="n"/>
      <c r="N42" s="55" t="n"/>
      <c r="O42" s="55" t="n"/>
      <c r="P42" s="55" t="n"/>
      <c r="Q42" s="55" t="n"/>
      <c r="R42" s="58" t="n"/>
      <c r="S42" s="59">
        <f>IF(tblPlant[[#This Row],[Milled_t]]="","",tblPlant[[#This Row],[Milled_t]]*tblPlant[[#This Row],[Head_Grade_gpt]]/cfg_TroyOz)</f>
        <v/>
      </c>
      <c r="T42" s="59">
        <f>IF(tblPlant[[#This Row],[Milled_t]]="","",tblPlant[[#This Row],[Milled_t]]*tblPlant[[#This Row],[Tails_Grade_gpt]]/cfg_TroyOz)</f>
        <v/>
      </c>
      <c r="U42" s="59">
        <f>IF(tblPlant[[#This Row],[Milled_t]]="","",tblPlant[[#This Row],[Feed_oz]]-tblPlant[[#This Row],[Tails_oz]])</f>
        <v/>
      </c>
      <c r="V42" s="60">
        <f>IF(AND(tblPlant[[#This Row],[Milled_t]]&lt;&gt;"",tblPlant[[#This Row],[Feed_oz]]&gt;0),tblPlant[[#This Row],[Recovered_oz]]/tblPlant[[#This Row],[Feed_oz]],"")</f>
        <v/>
      </c>
      <c r="W42" s="59">
        <f>IF(AND(tblPlant[[#This Row],[Milled_t]]&lt;&gt;"",tblPlant[[#This Row],[Mill_Run_h]]&gt;0),tblPlant[[#This Row],[Milled_t]]/tblPlant[[#This Row],[Mill_Run_h]],"")</f>
        <v/>
      </c>
      <c r="X42" s="60">
        <f>IF(tblPlant[[#This Row],[Mill_Run_h]]="","",(24-tblPlant[[#This Row],[Mill_Planned_Maint_h]]-tblPlant[[#This Row],[Mill_Unplanned_Down_h]])/24)</f>
        <v/>
      </c>
      <c r="Y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3">
      <c r="A43" s="54" t="n">
        <v>46060</v>
      </c>
      <c r="B43" s="55" t="n"/>
      <c r="C43" s="55" t="n"/>
      <c r="D43" s="56" t="n"/>
      <c r="E43" s="56" t="n"/>
      <c r="F43" s="55" t="n"/>
      <c r="G43" s="55" t="n"/>
      <c r="H43" s="57" t="n"/>
      <c r="I43" s="57" t="n"/>
      <c r="J43" s="57" t="n"/>
      <c r="K43" s="57" t="n"/>
      <c r="L43" s="55" t="n"/>
      <c r="M43" s="55" t="n"/>
      <c r="N43" s="55" t="n"/>
      <c r="O43" s="55" t="n"/>
      <c r="P43" s="55" t="n"/>
      <c r="Q43" s="55" t="n"/>
      <c r="R43" s="58" t="n"/>
      <c r="S43" s="59">
        <f>IF(tblPlant[[#This Row],[Milled_t]]="","",tblPlant[[#This Row],[Milled_t]]*tblPlant[[#This Row],[Head_Grade_gpt]]/cfg_TroyOz)</f>
        <v/>
      </c>
      <c r="T43" s="59">
        <f>IF(tblPlant[[#This Row],[Milled_t]]="","",tblPlant[[#This Row],[Milled_t]]*tblPlant[[#This Row],[Tails_Grade_gpt]]/cfg_TroyOz)</f>
        <v/>
      </c>
      <c r="U43" s="59">
        <f>IF(tblPlant[[#This Row],[Milled_t]]="","",tblPlant[[#This Row],[Feed_oz]]-tblPlant[[#This Row],[Tails_oz]])</f>
        <v/>
      </c>
      <c r="V43" s="60">
        <f>IF(AND(tblPlant[[#This Row],[Milled_t]]&lt;&gt;"",tblPlant[[#This Row],[Feed_oz]]&gt;0),tblPlant[[#This Row],[Recovered_oz]]/tblPlant[[#This Row],[Feed_oz]],"")</f>
        <v/>
      </c>
      <c r="W43" s="59">
        <f>IF(AND(tblPlant[[#This Row],[Milled_t]]&lt;&gt;"",tblPlant[[#This Row],[Mill_Run_h]]&gt;0),tblPlant[[#This Row],[Milled_t]]/tblPlant[[#This Row],[Mill_Run_h]],"")</f>
        <v/>
      </c>
      <c r="X43" s="60">
        <f>IF(tblPlant[[#This Row],[Mill_Run_h]]="","",(24-tblPlant[[#This Row],[Mill_Planned_Maint_h]]-tblPlant[[#This Row],[Mill_Unplanned_Down_h]])/24)</f>
        <v/>
      </c>
      <c r="Y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4">
      <c r="A44" s="54" t="n">
        <v>46061</v>
      </c>
      <c r="B44" s="55" t="n"/>
      <c r="C44" s="55" t="n"/>
      <c r="D44" s="56" t="n"/>
      <c r="E44" s="56" t="n"/>
      <c r="F44" s="55" t="n"/>
      <c r="G44" s="55" t="n"/>
      <c r="H44" s="57" t="n"/>
      <c r="I44" s="57" t="n"/>
      <c r="J44" s="57" t="n"/>
      <c r="K44" s="57" t="n"/>
      <c r="L44" s="55" t="n"/>
      <c r="M44" s="55" t="n"/>
      <c r="N44" s="55" t="n"/>
      <c r="O44" s="55" t="n"/>
      <c r="P44" s="55" t="n"/>
      <c r="Q44" s="55" t="n"/>
      <c r="R44" s="58" t="n"/>
      <c r="S44" s="59">
        <f>IF(tblPlant[[#This Row],[Milled_t]]="","",tblPlant[[#This Row],[Milled_t]]*tblPlant[[#This Row],[Head_Grade_gpt]]/cfg_TroyOz)</f>
        <v/>
      </c>
      <c r="T44" s="59">
        <f>IF(tblPlant[[#This Row],[Milled_t]]="","",tblPlant[[#This Row],[Milled_t]]*tblPlant[[#This Row],[Tails_Grade_gpt]]/cfg_TroyOz)</f>
        <v/>
      </c>
      <c r="U44" s="59">
        <f>IF(tblPlant[[#This Row],[Milled_t]]="","",tblPlant[[#This Row],[Feed_oz]]-tblPlant[[#This Row],[Tails_oz]])</f>
        <v/>
      </c>
      <c r="V44" s="60">
        <f>IF(AND(tblPlant[[#This Row],[Milled_t]]&lt;&gt;"",tblPlant[[#This Row],[Feed_oz]]&gt;0),tblPlant[[#This Row],[Recovered_oz]]/tblPlant[[#This Row],[Feed_oz]],"")</f>
        <v/>
      </c>
      <c r="W44" s="59">
        <f>IF(AND(tblPlant[[#This Row],[Milled_t]]&lt;&gt;"",tblPlant[[#This Row],[Mill_Run_h]]&gt;0),tblPlant[[#This Row],[Milled_t]]/tblPlant[[#This Row],[Mill_Run_h]],"")</f>
        <v/>
      </c>
      <c r="X44" s="60">
        <f>IF(tblPlant[[#This Row],[Mill_Run_h]]="","",(24-tblPlant[[#This Row],[Mill_Planned_Maint_h]]-tblPlant[[#This Row],[Mill_Unplanned_Down_h]])/24)</f>
        <v/>
      </c>
      <c r="Y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5">
      <c r="A45" s="54" t="n">
        <v>46062</v>
      </c>
      <c r="B45" s="55" t="n"/>
      <c r="C45" s="55" t="n"/>
      <c r="D45" s="56" t="n"/>
      <c r="E45" s="56" t="n"/>
      <c r="F45" s="55" t="n"/>
      <c r="G45" s="55" t="n"/>
      <c r="H45" s="57" t="n"/>
      <c r="I45" s="57" t="n"/>
      <c r="J45" s="57" t="n"/>
      <c r="K45" s="57" t="n"/>
      <c r="L45" s="55" t="n"/>
      <c r="M45" s="55" t="n"/>
      <c r="N45" s="55" t="n"/>
      <c r="O45" s="55" t="n"/>
      <c r="P45" s="55" t="n"/>
      <c r="Q45" s="55" t="n"/>
      <c r="R45" s="58" t="n"/>
      <c r="S45" s="59">
        <f>IF(tblPlant[[#This Row],[Milled_t]]="","",tblPlant[[#This Row],[Milled_t]]*tblPlant[[#This Row],[Head_Grade_gpt]]/cfg_TroyOz)</f>
        <v/>
      </c>
      <c r="T45" s="59">
        <f>IF(tblPlant[[#This Row],[Milled_t]]="","",tblPlant[[#This Row],[Milled_t]]*tblPlant[[#This Row],[Tails_Grade_gpt]]/cfg_TroyOz)</f>
        <v/>
      </c>
      <c r="U45" s="59">
        <f>IF(tblPlant[[#This Row],[Milled_t]]="","",tblPlant[[#This Row],[Feed_oz]]-tblPlant[[#This Row],[Tails_oz]])</f>
        <v/>
      </c>
      <c r="V45" s="60">
        <f>IF(AND(tblPlant[[#This Row],[Milled_t]]&lt;&gt;"",tblPlant[[#This Row],[Feed_oz]]&gt;0),tblPlant[[#This Row],[Recovered_oz]]/tblPlant[[#This Row],[Feed_oz]],"")</f>
        <v/>
      </c>
      <c r="W45" s="59">
        <f>IF(AND(tblPlant[[#This Row],[Milled_t]]&lt;&gt;"",tblPlant[[#This Row],[Mill_Run_h]]&gt;0),tblPlant[[#This Row],[Milled_t]]/tblPlant[[#This Row],[Mill_Run_h]],"")</f>
        <v/>
      </c>
      <c r="X45" s="60">
        <f>IF(tblPlant[[#This Row],[Mill_Run_h]]="","",(24-tblPlant[[#This Row],[Mill_Planned_Maint_h]]-tblPlant[[#This Row],[Mill_Unplanned_Down_h]])/24)</f>
        <v/>
      </c>
      <c r="Y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6">
      <c r="A46" s="54" t="n">
        <v>46063</v>
      </c>
      <c r="B46" s="55" t="n"/>
      <c r="C46" s="55" t="n"/>
      <c r="D46" s="56" t="n"/>
      <c r="E46" s="56" t="n"/>
      <c r="F46" s="55" t="n"/>
      <c r="G46" s="55" t="n"/>
      <c r="H46" s="57" t="n"/>
      <c r="I46" s="57" t="n"/>
      <c r="J46" s="57" t="n"/>
      <c r="K46" s="57" t="n"/>
      <c r="L46" s="55" t="n"/>
      <c r="M46" s="55" t="n"/>
      <c r="N46" s="55" t="n"/>
      <c r="O46" s="55" t="n"/>
      <c r="P46" s="55" t="n"/>
      <c r="Q46" s="55" t="n"/>
      <c r="R46" s="58" t="n"/>
      <c r="S46" s="59">
        <f>IF(tblPlant[[#This Row],[Milled_t]]="","",tblPlant[[#This Row],[Milled_t]]*tblPlant[[#This Row],[Head_Grade_gpt]]/cfg_TroyOz)</f>
        <v/>
      </c>
      <c r="T46" s="59">
        <f>IF(tblPlant[[#This Row],[Milled_t]]="","",tblPlant[[#This Row],[Milled_t]]*tblPlant[[#This Row],[Tails_Grade_gpt]]/cfg_TroyOz)</f>
        <v/>
      </c>
      <c r="U46" s="59">
        <f>IF(tblPlant[[#This Row],[Milled_t]]="","",tblPlant[[#This Row],[Feed_oz]]-tblPlant[[#This Row],[Tails_oz]])</f>
        <v/>
      </c>
      <c r="V46" s="60">
        <f>IF(AND(tblPlant[[#This Row],[Milled_t]]&lt;&gt;"",tblPlant[[#This Row],[Feed_oz]]&gt;0),tblPlant[[#This Row],[Recovered_oz]]/tblPlant[[#This Row],[Feed_oz]],"")</f>
        <v/>
      </c>
      <c r="W46" s="59">
        <f>IF(AND(tblPlant[[#This Row],[Milled_t]]&lt;&gt;"",tblPlant[[#This Row],[Mill_Run_h]]&gt;0),tblPlant[[#This Row],[Milled_t]]/tblPlant[[#This Row],[Mill_Run_h]],"")</f>
        <v/>
      </c>
      <c r="X46" s="60">
        <f>IF(tblPlant[[#This Row],[Mill_Run_h]]="","",(24-tblPlant[[#This Row],[Mill_Planned_Maint_h]]-tblPlant[[#This Row],[Mill_Unplanned_Down_h]])/24)</f>
        <v/>
      </c>
      <c r="Y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7">
      <c r="A47" s="54" t="n">
        <v>46064</v>
      </c>
      <c r="B47" s="55" t="n"/>
      <c r="C47" s="55" t="n"/>
      <c r="D47" s="56" t="n"/>
      <c r="E47" s="56" t="n"/>
      <c r="F47" s="55" t="n"/>
      <c r="G47" s="55" t="n"/>
      <c r="H47" s="57" t="n"/>
      <c r="I47" s="57" t="n"/>
      <c r="J47" s="57" t="n"/>
      <c r="K47" s="57" t="n"/>
      <c r="L47" s="55" t="n"/>
      <c r="M47" s="55" t="n"/>
      <c r="N47" s="55" t="n"/>
      <c r="O47" s="55" t="n"/>
      <c r="P47" s="55" t="n"/>
      <c r="Q47" s="55" t="n"/>
      <c r="R47" s="58" t="n"/>
      <c r="S47" s="59">
        <f>IF(tblPlant[[#This Row],[Milled_t]]="","",tblPlant[[#This Row],[Milled_t]]*tblPlant[[#This Row],[Head_Grade_gpt]]/cfg_TroyOz)</f>
        <v/>
      </c>
      <c r="T47" s="59">
        <f>IF(tblPlant[[#This Row],[Milled_t]]="","",tblPlant[[#This Row],[Milled_t]]*tblPlant[[#This Row],[Tails_Grade_gpt]]/cfg_TroyOz)</f>
        <v/>
      </c>
      <c r="U47" s="59">
        <f>IF(tblPlant[[#This Row],[Milled_t]]="","",tblPlant[[#This Row],[Feed_oz]]-tblPlant[[#This Row],[Tails_oz]])</f>
        <v/>
      </c>
      <c r="V47" s="60">
        <f>IF(AND(tblPlant[[#This Row],[Milled_t]]&lt;&gt;"",tblPlant[[#This Row],[Feed_oz]]&gt;0),tblPlant[[#This Row],[Recovered_oz]]/tblPlant[[#This Row],[Feed_oz]],"")</f>
        <v/>
      </c>
      <c r="W47" s="59">
        <f>IF(AND(tblPlant[[#This Row],[Milled_t]]&lt;&gt;"",tblPlant[[#This Row],[Mill_Run_h]]&gt;0),tblPlant[[#This Row],[Milled_t]]/tblPlant[[#This Row],[Mill_Run_h]],"")</f>
        <v/>
      </c>
      <c r="X47" s="60">
        <f>IF(tblPlant[[#This Row],[Mill_Run_h]]="","",(24-tblPlant[[#This Row],[Mill_Planned_Maint_h]]-tblPlant[[#This Row],[Mill_Unplanned_Down_h]])/24)</f>
        <v/>
      </c>
      <c r="Y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8">
      <c r="A48" s="54" t="n">
        <v>46065</v>
      </c>
      <c r="B48" s="55" t="n"/>
      <c r="C48" s="55" t="n"/>
      <c r="D48" s="56" t="n"/>
      <c r="E48" s="56" t="n"/>
      <c r="F48" s="55" t="n"/>
      <c r="G48" s="55" t="n"/>
      <c r="H48" s="57" t="n"/>
      <c r="I48" s="57" t="n"/>
      <c r="J48" s="57" t="n"/>
      <c r="K48" s="57" t="n"/>
      <c r="L48" s="55" t="n"/>
      <c r="M48" s="55" t="n"/>
      <c r="N48" s="55" t="n"/>
      <c r="O48" s="55" t="n"/>
      <c r="P48" s="55" t="n"/>
      <c r="Q48" s="55" t="n"/>
      <c r="R48" s="58" t="n"/>
      <c r="S48" s="59">
        <f>IF(tblPlant[[#This Row],[Milled_t]]="","",tblPlant[[#This Row],[Milled_t]]*tblPlant[[#This Row],[Head_Grade_gpt]]/cfg_TroyOz)</f>
        <v/>
      </c>
      <c r="T48" s="59">
        <f>IF(tblPlant[[#This Row],[Milled_t]]="","",tblPlant[[#This Row],[Milled_t]]*tblPlant[[#This Row],[Tails_Grade_gpt]]/cfg_TroyOz)</f>
        <v/>
      </c>
      <c r="U48" s="59">
        <f>IF(tblPlant[[#This Row],[Milled_t]]="","",tblPlant[[#This Row],[Feed_oz]]-tblPlant[[#This Row],[Tails_oz]])</f>
        <v/>
      </c>
      <c r="V48" s="60">
        <f>IF(AND(tblPlant[[#This Row],[Milled_t]]&lt;&gt;"",tblPlant[[#This Row],[Feed_oz]]&gt;0),tblPlant[[#This Row],[Recovered_oz]]/tblPlant[[#This Row],[Feed_oz]],"")</f>
        <v/>
      </c>
      <c r="W48" s="59">
        <f>IF(AND(tblPlant[[#This Row],[Milled_t]]&lt;&gt;"",tblPlant[[#This Row],[Mill_Run_h]]&gt;0),tblPlant[[#This Row],[Milled_t]]/tblPlant[[#This Row],[Mill_Run_h]],"")</f>
        <v/>
      </c>
      <c r="X48" s="60">
        <f>IF(tblPlant[[#This Row],[Mill_Run_h]]="","",(24-tblPlant[[#This Row],[Mill_Planned_Maint_h]]-tblPlant[[#This Row],[Mill_Unplanned_Down_h]])/24)</f>
        <v/>
      </c>
      <c r="Y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9">
      <c r="A49" s="54" t="n">
        <v>46066</v>
      </c>
      <c r="B49" s="55" t="n"/>
      <c r="C49" s="55" t="n"/>
      <c r="D49" s="56" t="n"/>
      <c r="E49" s="56" t="n"/>
      <c r="F49" s="55" t="n"/>
      <c r="G49" s="55" t="n"/>
      <c r="H49" s="57" t="n"/>
      <c r="I49" s="57" t="n"/>
      <c r="J49" s="57" t="n"/>
      <c r="K49" s="57" t="n"/>
      <c r="L49" s="55" t="n"/>
      <c r="M49" s="55" t="n"/>
      <c r="N49" s="55" t="n"/>
      <c r="O49" s="55" t="n"/>
      <c r="P49" s="55" t="n"/>
      <c r="Q49" s="55" t="n"/>
      <c r="R49" s="58" t="n"/>
      <c r="S49" s="59">
        <f>IF(tblPlant[[#This Row],[Milled_t]]="","",tblPlant[[#This Row],[Milled_t]]*tblPlant[[#This Row],[Head_Grade_gpt]]/cfg_TroyOz)</f>
        <v/>
      </c>
      <c r="T49" s="59">
        <f>IF(tblPlant[[#This Row],[Milled_t]]="","",tblPlant[[#This Row],[Milled_t]]*tblPlant[[#This Row],[Tails_Grade_gpt]]/cfg_TroyOz)</f>
        <v/>
      </c>
      <c r="U49" s="59">
        <f>IF(tblPlant[[#This Row],[Milled_t]]="","",tblPlant[[#This Row],[Feed_oz]]-tblPlant[[#This Row],[Tails_oz]])</f>
        <v/>
      </c>
      <c r="V49" s="60">
        <f>IF(AND(tblPlant[[#This Row],[Milled_t]]&lt;&gt;"",tblPlant[[#This Row],[Feed_oz]]&gt;0),tblPlant[[#This Row],[Recovered_oz]]/tblPlant[[#This Row],[Feed_oz]],"")</f>
        <v/>
      </c>
      <c r="W49" s="59">
        <f>IF(AND(tblPlant[[#This Row],[Milled_t]]&lt;&gt;"",tblPlant[[#This Row],[Mill_Run_h]]&gt;0),tblPlant[[#This Row],[Milled_t]]/tblPlant[[#This Row],[Mill_Run_h]],"")</f>
        <v/>
      </c>
      <c r="X49" s="60">
        <f>IF(tblPlant[[#This Row],[Mill_Run_h]]="","",(24-tblPlant[[#This Row],[Mill_Planned_Maint_h]]-tblPlant[[#This Row],[Mill_Unplanned_Down_h]])/24)</f>
        <v/>
      </c>
      <c r="Y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0">
      <c r="A50" s="54" t="n">
        <v>46067</v>
      </c>
      <c r="B50" s="55" t="n"/>
      <c r="C50" s="55" t="n"/>
      <c r="D50" s="56" t="n"/>
      <c r="E50" s="56" t="n"/>
      <c r="F50" s="55" t="n"/>
      <c r="G50" s="55" t="n"/>
      <c r="H50" s="57" t="n"/>
      <c r="I50" s="57" t="n"/>
      <c r="J50" s="57" t="n"/>
      <c r="K50" s="57" t="n"/>
      <c r="L50" s="55" t="n"/>
      <c r="M50" s="55" t="n"/>
      <c r="N50" s="55" t="n"/>
      <c r="O50" s="55" t="n"/>
      <c r="P50" s="55" t="n"/>
      <c r="Q50" s="55" t="n"/>
      <c r="R50" s="58" t="n"/>
      <c r="S50" s="59">
        <f>IF(tblPlant[[#This Row],[Milled_t]]="","",tblPlant[[#This Row],[Milled_t]]*tblPlant[[#This Row],[Head_Grade_gpt]]/cfg_TroyOz)</f>
        <v/>
      </c>
      <c r="T50" s="59">
        <f>IF(tblPlant[[#This Row],[Milled_t]]="","",tblPlant[[#This Row],[Milled_t]]*tblPlant[[#This Row],[Tails_Grade_gpt]]/cfg_TroyOz)</f>
        <v/>
      </c>
      <c r="U50" s="59">
        <f>IF(tblPlant[[#This Row],[Milled_t]]="","",tblPlant[[#This Row],[Feed_oz]]-tblPlant[[#This Row],[Tails_oz]])</f>
        <v/>
      </c>
      <c r="V50" s="60">
        <f>IF(AND(tblPlant[[#This Row],[Milled_t]]&lt;&gt;"",tblPlant[[#This Row],[Feed_oz]]&gt;0),tblPlant[[#This Row],[Recovered_oz]]/tblPlant[[#This Row],[Feed_oz]],"")</f>
        <v/>
      </c>
      <c r="W50" s="59">
        <f>IF(AND(tblPlant[[#This Row],[Milled_t]]&lt;&gt;"",tblPlant[[#This Row],[Mill_Run_h]]&gt;0),tblPlant[[#This Row],[Milled_t]]/tblPlant[[#This Row],[Mill_Run_h]],"")</f>
        <v/>
      </c>
      <c r="X50" s="60">
        <f>IF(tblPlant[[#This Row],[Mill_Run_h]]="","",(24-tblPlant[[#This Row],[Mill_Planned_Maint_h]]-tblPlant[[#This Row],[Mill_Unplanned_Down_h]])/24)</f>
        <v/>
      </c>
      <c r="Y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1">
      <c r="A51" s="54" t="n">
        <v>46068</v>
      </c>
      <c r="B51" s="55" t="n"/>
      <c r="C51" s="55" t="n"/>
      <c r="D51" s="56" t="n"/>
      <c r="E51" s="56" t="n"/>
      <c r="F51" s="55" t="n"/>
      <c r="G51" s="55" t="n"/>
      <c r="H51" s="57" t="n"/>
      <c r="I51" s="57" t="n"/>
      <c r="J51" s="57" t="n"/>
      <c r="K51" s="57" t="n"/>
      <c r="L51" s="55" t="n"/>
      <c r="M51" s="55" t="n"/>
      <c r="N51" s="55" t="n"/>
      <c r="O51" s="55" t="n"/>
      <c r="P51" s="55" t="n"/>
      <c r="Q51" s="55" t="n"/>
      <c r="R51" s="58" t="n"/>
      <c r="S51" s="59">
        <f>IF(tblPlant[[#This Row],[Milled_t]]="","",tblPlant[[#This Row],[Milled_t]]*tblPlant[[#This Row],[Head_Grade_gpt]]/cfg_TroyOz)</f>
        <v/>
      </c>
      <c r="T51" s="59">
        <f>IF(tblPlant[[#This Row],[Milled_t]]="","",tblPlant[[#This Row],[Milled_t]]*tblPlant[[#This Row],[Tails_Grade_gpt]]/cfg_TroyOz)</f>
        <v/>
      </c>
      <c r="U51" s="59">
        <f>IF(tblPlant[[#This Row],[Milled_t]]="","",tblPlant[[#This Row],[Feed_oz]]-tblPlant[[#This Row],[Tails_oz]])</f>
        <v/>
      </c>
      <c r="V51" s="60">
        <f>IF(AND(tblPlant[[#This Row],[Milled_t]]&lt;&gt;"",tblPlant[[#This Row],[Feed_oz]]&gt;0),tblPlant[[#This Row],[Recovered_oz]]/tblPlant[[#This Row],[Feed_oz]],"")</f>
        <v/>
      </c>
      <c r="W51" s="59">
        <f>IF(AND(tblPlant[[#This Row],[Milled_t]]&lt;&gt;"",tblPlant[[#This Row],[Mill_Run_h]]&gt;0),tblPlant[[#This Row],[Milled_t]]/tblPlant[[#This Row],[Mill_Run_h]],"")</f>
        <v/>
      </c>
      <c r="X51" s="60">
        <f>IF(tblPlant[[#This Row],[Mill_Run_h]]="","",(24-tblPlant[[#This Row],[Mill_Planned_Maint_h]]-tblPlant[[#This Row],[Mill_Unplanned_Down_h]])/24)</f>
        <v/>
      </c>
      <c r="Y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2">
      <c r="A52" s="54" t="n">
        <v>46069</v>
      </c>
      <c r="B52" s="55" t="n"/>
      <c r="C52" s="55" t="n"/>
      <c r="D52" s="56" t="n"/>
      <c r="E52" s="56" t="n"/>
      <c r="F52" s="55" t="n"/>
      <c r="G52" s="55" t="n"/>
      <c r="H52" s="57" t="n"/>
      <c r="I52" s="57" t="n"/>
      <c r="J52" s="57" t="n"/>
      <c r="K52" s="57" t="n"/>
      <c r="L52" s="55" t="n"/>
      <c r="M52" s="55" t="n"/>
      <c r="N52" s="55" t="n"/>
      <c r="O52" s="55" t="n"/>
      <c r="P52" s="55" t="n"/>
      <c r="Q52" s="55" t="n"/>
      <c r="R52" s="58" t="n"/>
      <c r="S52" s="59">
        <f>IF(tblPlant[[#This Row],[Milled_t]]="","",tblPlant[[#This Row],[Milled_t]]*tblPlant[[#This Row],[Head_Grade_gpt]]/cfg_TroyOz)</f>
        <v/>
      </c>
      <c r="T52" s="59">
        <f>IF(tblPlant[[#This Row],[Milled_t]]="","",tblPlant[[#This Row],[Milled_t]]*tblPlant[[#This Row],[Tails_Grade_gpt]]/cfg_TroyOz)</f>
        <v/>
      </c>
      <c r="U52" s="59">
        <f>IF(tblPlant[[#This Row],[Milled_t]]="","",tblPlant[[#This Row],[Feed_oz]]-tblPlant[[#This Row],[Tails_oz]])</f>
        <v/>
      </c>
      <c r="V52" s="60">
        <f>IF(AND(tblPlant[[#This Row],[Milled_t]]&lt;&gt;"",tblPlant[[#This Row],[Feed_oz]]&gt;0),tblPlant[[#This Row],[Recovered_oz]]/tblPlant[[#This Row],[Feed_oz]],"")</f>
        <v/>
      </c>
      <c r="W52" s="59">
        <f>IF(AND(tblPlant[[#This Row],[Milled_t]]&lt;&gt;"",tblPlant[[#This Row],[Mill_Run_h]]&gt;0),tblPlant[[#This Row],[Milled_t]]/tblPlant[[#This Row],[Mill_Run_h]],"")</f>
        <v/>
      </c>
      <c r="X52" s="60">
        <f>IF(tblPlant[[#This Row],[Mill_Run_h]]="","",(24-tblPlant[[#This Row],[Mill_Planned_Maint_h]]-tblPlant[[#This Row],[Mill_Unplanned_Down_h]])/24)</f>
        <v/>
      </c>
      <c r="Y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3">
      <c r="A53" s="54" t="n">
        <v>46070</v>
      </c>
      <c r="B53" s="55" t="n"/>
      <c r="C53" s="55" t="n"/>
      <c r="D53" s="56" t="n"/>
      <c r="E53" s="56" t="n"/>
      <c r="F53" s="55" t="n"/>
      <c r="G53" s="55" t="n"/>
      <c r="H53" s="57" t="n"/>
      <c r="I53" s="57" t="n"/>
      <c r="J53" s="57" t="n"/>
      <c r="K53" s="57" t="n"/>
      <c r="L53" s="55" t="n"/>
      <c r="M53" s="55" t="n"/>
      <c r="N53" s="55" t="n"/>
      <c r="O53" s="55" t="n"/>
      <c r="P53" s="55" t="n"/>
      <c r="Q53" s="55" t="n"/>
      <c r="R53" s="58" t="n"/>
      <c r="S53" s="59">
        <f>IF(tblPlant[[#This Row],[Milled_t]]="","",tblPlant[[#This Row],[Milled_t]]*tblPlant[[#This Row],[Head_Grade_gpt]]/cfg_TroyOz)</f>
        <v/>
      </c>
      <c r="T53" s="59">
        <f>IF(tblPlant[[#This Row],[Milled_t]]="","",tblPlant[[#This Row],[Milled_t]]*tblPlant[[#This Row],[Tails_Grade_gpt]]/cfg_TroyOz)</f>
        <v/>
      </c>
      <c r="U53" s="59">
        <f>IF(tblPlant[[#This Row],[Milled_t]]="","",tblPlant[[#This Row],[Feed_oz]]-tblPlant[[#This Row],[Tails_oz]])</f>
        <v/>
      </c>
      <c r="V53" s="60">
        <f>IF(AND(tblPlant[[#This Row],[Milled_t]]&lt;&gt;"",tblPlant[[#This Row],[Feed_oz]]&gt;0),tblPlant[[#This Row],[Recovered_oz]]/tblPlant[[#This Row],[Feed_oz]],"")</f>
        <v/>
      </c>
      <c r="W53" s="59">
        <f>IF(AND(tblPlant[[#This Row],[Milled_t]]&lt;&gt;"",tblPlant[[#This Row],[Mill_Run_h]]&gt;0),tblPlant[[#This Row],[Milled_t]]/tblPlant[[#This Row],[Mill_Run_h]],"")</f>
        <v/>
      </c>
      <c r="X53" s="60">
        <f>IF(tblPlant[[#This Row],[Mill_Run_h]]="","",(24-tblPlant[[#This Row],[Mill_Planned_Maint_h]]-tblPlant[[#This Row],[Mill_Unplanned_Down_h]])/24)</f>
        <v/>
      </c>
      <c r="Y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4">
      <c r="A54" s="54" t="n">
        <v>46071</v>
      </c>
      <c r="B54" s="55" t="n"/>
      <c r="C54" s="55" t="n"/>
      <c r="D54" s="56" t="n"/>
      <c r="E54" s="56" t="n"/>
      <c r="F54" s="55" t="n"/>
      <c r="G54" s="55" t="n"/>
      <c r="H54" s="57" t="n"/>
      <c r="I54" s="57" t="n"/>
      <c r="J54" s="57" t="n"/>
      <c r="K54" s="57" t="n"/>
      <c r="L54" s="55" t="n"/>
      <c r="M54" s="55" t="n"/>
      <c r="N54" s="55" t="n"/>
      <c r="O54" s="55" t="n"/>
      <c r="P54" s="55" t="n"/>
      <c r="Q54" s="55" t="n"/>
      <c r="R54" s="58" t="n"/>
      <c r="S54" s="59">
        <f>IF(tblPlant[[#This Row],[Milled_t]]="","",tblPlant[[#This Row],[Milled_t]]*tblPlant[[#This Row],[Head_Grade_gpt]]/cfg_TroyOz)</f>
        <v/>
      </c>
      <c r="T54" s="59">
        <f>IF(tblPlant[[#This Row],[Milled_t]]="","",tblPlant[[#This Row],[Milled_t]]*tblPlant[[#This Row],[Tails_Grade_gpt]]/cfg_TroyOz)</f>
        <v/>
      </c>
      <c r="U54" s="59">
        <f>IF(tblPlant[[#This Row],[Milled_t]]="","",tblPlant[[#This Row],[Feed_oz]]-tblPlant[[#This Row],[Tails_oz]])</f>
        <v/>
      </c>
      <c r="V54" s="60">
        <f>IF(AND(tblPlant[[#This Row],[Milled_t]]&lt;&gt;"",tblPlant[[#This Row],[Feed_oz]]&gt;0),tblPlant[[#This Row],[Recovered_oz]]/tblPlant[[#This Row],[Feed_oz]],"")</f>
        <v/>
      </c>
      <c r="W54" s="59">
        <f>IF(AND(tblPlant[[#This Row],[Milled_t]]&lt;&gt;"",tblPlant[[#This Row],[Mill_Run_h]]&gt;0),tblPlant[[#This Row],[Milled_t]]/tblPlant[[#This Row],[Mill_Run_h]],"")</f>
        <v/>
      </c>
      <c r="X54" s="60">
        <f>IF(tblPlant[[#This Row],[Mill_Run_h]]="","",(24-tblPlant[[#This Row],[Mill_Planned_Maint_h]]-tblPlant[[#This Row],[Mill_Unplanned_Down_h]])/24)</f>
        <v/>
      </c>
      <c r="Y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5">
      <c r="A55" s="54" t="n">
        <v>46072</v>
      </c>
      <c r="B55" s="55" t="n"/>
      <c r="C55" s="55" t="n"/>
      <c r="D55" s="56" t="n"/>
      <c r="E55" s="56" t="n"/>
      <c r="F55" s="55" t="n"/>
      <c r="G55" s="55" t="n"/>
      <c r="H55" s="57" t="n"/>
      <c r="I55" s="57" t="n"/>
      <c r="J55" s="57" t="n"/>
      <c r="K55" s="57" t="n"/>
      <c r="L55" s="55" t="n"/>
      <c r="M55" s="55" t="n"/>
      <c r="N55" s="55" t="n"/>
      <c r="O55" s="55" t="n"/>
      <c r="P55" s="55" t="n"/>
      <c r="Q55" s="55" t="n"/>
      <c r="R55" s="58" t="n"/>
      <c r="S55" s="59">
        <f>IF(tblPlant[[#This Row],[Milled_t]]="","",tblPlant[[#This Row],[Milled_t]]*tblPlant[[#This Row],[Head_Grade_gpt]]/cfg_TroyOz)</f>
        <v/>
      </c>
      <c r="T55" s="59">
        <f>IF(tblPlant[[#This Row],[Milled_t]]="","",tblPlant[[#This Row],[Milled_t]]*tblPlant[[#This Row],[Tails_Grade_gpt]]/cfg_TroyOz)</f>
        <v/>
      </c>
      <c r="U55" s="59">
        <f>IF(tblPlant[[#This Row],[Milled_t]]="","",tblPlant[[#This Row],[Feed_oz]]-tblPlant[[#This Row],[Tails_oz]])</f>
        <v/>
      </c>
      <c r="V55" s="60">
        <f>IF(AND(tblPlant[[#This Row],[Milled_t]]&lt;&gt;"",tblPlant[[#This Row],[Feed_oz]]&gt;0),tblPlant[[#This Row],[Recovered_oz]]/tblPlant[[#This Row],[Feed_oz]],"")</f>
        <v/>
      </c>
      <c r="W55" s="59">
        <f>IF(AND(tblPlant[[#This Row],[Milled_t]]&lt;&gt;"",tblPlant[[#This Row],[Mill_Run_h]]&gt;0),tblPlant[[#This Row],[Milled_t]]/tblPlant[[#This Row],[Mill_Run_h]],"")</f>
        <v/>
      </c>
      <c r="X55" s="60">
        <f>IF(tblPlant[[#This Row],[Mill_Run_h]]="","",(24-tblPlant[[#This Row],[Mill_Planned_Maint_h]]-tblPlant[[#This Row],[Mill_Unplanned_Down_h]])/24)</f>
        <v/>
      </c>
      <c r="Y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6">
      <c r="A56" s="54" t="n">
        <v>46073</v>
      </c>
      <c r="B56" s="55" t="n"/>
      <c r="C56" s="55" t="n"/>
      <c r="D56" s="56" t="n"/>
      <c r="E56" s="56" t="n"/>
      <c r="F56" s="55" t="n"/>
      <c r="G56" s="55" t="n"/>
      <c r="H56" s="57" t="n"/>
      <c r="I56" s="57" t="n"/>
      <c r="J56" s="57" t="n"/>
      <c r="K56" s="57" t="n"/>
      <c r="L56" s="55" t="n"/>
      <c r="M56" s="55" t="n"/>
      <c r="N56" s="55" t="n"/>
      <c r="O56" s="55" t="n"/>
      <c r="P56" s="55" t="n"/>
      <c r="Q56" s="55" t="n"/>
      <c r="R56" s="58" t="n"/>
      <c r="S56" s="59">
        <f>IF(tblPlant[[#This Row],[Milled_t]]="","",tblPlant[[#This Row],[Milled_t]]*tblPlant[[#This Row],[Head_Grade_gpt]]/cfg_TroyOz)</f>
        <v/>
      </c>
      <c r="T56" s="59">
        <f>IF(tblPlant[[#This Row],[Milled_t]]="","",tblPlant[[#This Row],[Milled_t]]*tblPlant[[#This Row],[Tails_Grade_gpt]]/cfg_TroyOz)</f>
        <v/>
      </c>
      <c r="U56" s="59">
        <f>IF(tblPlant[[#This Row],[Milled_t]]="","",tblPlant[[#This Row],[Feed_oz]]-tblPlant[[#This Row],[Tails_oz]])</f>
        <v/>
      </c>
      <c r="V56" s="60">
        <f>IF(AND(tblPlant[[#This Row],[Milled_t]]&lt;&gt;"",tblPlant[[#This Row],[Feed_oz]]&gt;0),tblPlant[[#This Row],[Recovered_oz]]/tblPlant[[#This Row],[Feed_oz]],"")</f>
        <v/>
      </c>
      <c r="W56" s="59">
        <f>IF(AND(tblPlant[[#This Row],[Milled_t]]&lt;&gt;"",tblPlant[[#This Row],[Mill_Run_h]]&gt;0),tblPlant[[#This Row],[Milled_t]]/tblPlant[[#This Row],[Mill_Run_h]],"")</f>
        <v/>
      </c>
      <c r="X56" s="60">
        <f>IF(tblPlant[[#This Row],[Mill_Run_h]]="","",(24-tblPlant[[#This Row],[Mill_Planned_Maint_h]]-tblPlant[[#This Row],[Mill_Unplanned_Down_h]])/24)</f>
        <v/>
      </c>
      <c r="Y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7">
      <c r="A57" s="54" t="n">
        <v>46074</v>
      </c>
      <c r="B57" s="55" t="n"/>
      <c r="C57" s="55" t="n"/>
      <c r="D57" s="56" t="n"/>
      <c r="E57" s="56" t="n"/>
      <c r="F57" s="55" t="n"/>
      <c r="G57" s="55" t="n"/>
      <c r="H57" s="57" t="n"/>
      <c r="I57" s="57" t="n"/>
      <c r="J57" s="57" t="n"/>
      <c r="K57" s="57" t="n"/>
      <c r="L57" s="55" t="n"/>
      <c r="M57" s="55" t="n"/>
      <c r="N57" s="55" t="n"/>
      <c r="O57" s="55" t="n"/>
      <c r="P57" s="55" t="n"/>
      <c r="Q57" s="55" t="n"/>
      <c r="R57" s="58" t="n"/>
      <c r="S57" s="59">
        <f>IF(tblPlant[[#This Row],[Milled_t]]="","",tblPlant[[#This Row],[Milled_t]]*tblPlant[[#This Row],[Head_Grade_gpt]]/cfg_TroyOz)</f>
        <v/>
      </c>
      <c r="T57" s="59">
        <f>IF(tblPlant[[#This Row],[Milled_t]]="","",tblPlant[[#This Row],[Milled_t]]*tblPlant[[#This Row],[Tails_Grade_gpt]]/cfg_TroyOz)</f>
        <v/>
      </c>
      <c r="U57" s="59">
        <f>IF(tblPlant[[#This Row],[Milled_t]]="","",tblPlant[[#This Row],[Feed_oz]]-tblPlant[[#This Row],[Tails_oz]])</f>
        <v/>
      </c>
      <c r="V57" s="60">
        <f>IF(AND(tblPlant[[#This Row],[Milled_t]]&lt;&gt;"",tblPlant[[#This Row],[Feed_oz]]&gt;0),tblPlant[[#This Row],[Recovered_oz]]/tblPlant[[#This Row],[Feed_oz]],"")</f>
        <v/>
      </c>
      <c r="W57" s="59">
        <f>IF(AND(tblPlant[[#This Row],[Milled_t]]&lt;&gt;"",tblPlant[[#This Row],[Mill_Run_h]]&gt;0),tblPlant[[#This Row],[Milled_t]]/tblPlant[[#This Row],[Mill_Run_h]],"")</f>
        <v/>
      </c>
      <c r="X57" s="60">
        <f>IF(tblPlant[[#This Row],[Mill_Run_h]]="","",(24-tblPlant[[#This Row],[Mill_Planned_Maint_h]]-tblPlant[[#This Row],[Mill_Unplanned_Down_h]])/24)</f>
        <v/>
      </c>
      <c r="Y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8">
      <c r="A58" s="54" t="n">
        <v>46075</v>
      </c>
      <c r="B58" s="55" t="n"/>
      <c r="C58" s="55" t="n"/>
      <c r="D58" s="56" t="n"/>
      <c r="E58" s="56" t="n"/>
      <c r="F58" s="55" t="n"/>
      <c r="G58" s="55" t="n"/>
      <c r="H58" s="57" t="n"/>
      <c r="I58" s="57" t="n"/>
      <c r="J58" s="57" t="n"/>
      <c r="K58" s="57" t="n"/>
      <c r="L58" s="55" t="n"/>
      <c r="M58" s="55" t="n"/>
      <c r="N58" s="55" t="n"/>
      <c r="O58" s="55" t="n"/>
      <c r="P58" s="55" t="n"/>
      <c r="Q58" s="55" t="n"/>
      <c r="R58" s="58" t="n"/>
      <c r="S58" s="59">
        <f>IF(tblPlant[[#This Row],[Milled_t]]="","",tblPlant[[#This Row],[Milled_t]]*tblPlant[[#This Row],[Head_Grade_gpt]]/cfg_TroyOz)</f>
        <v/>
      </c>
      <c r="T58" s="59">
        <f>IF(tblPlant[[#This Row],[Milled_t]]="","",tblPlant[[#This Row],[Milled_t]]*tblPlant[[#This Row],[Tails_Grade_gpt]]/cfg_TroyOz)</f>
        <v/>
      </c>
      <c r="U58" s="59">
        <f>IF(tblPlant[[#This Row],[Milled_t]]="","",tblPlant[[#This Row],[Feed_oz]]-tblPlant[[#This Row],[Tails_oz]])</f>
        <v/>
      </c>
      <c r="V58" s="60">
        <f>IF(AND(tblPlant[[#This Row],[Milled_t]]&lt;&gt;"",tblPlant[[#This Row],[Feed_oz]]&gt;0),tblPlant[[#This Row],[Recovered_oz]]/tblPlant[[#This Row],[Feed_oz]],"")</f>
        <v/>
      </c>
      <c r="W58" s="59">
        <f>IF(AND(tblPlant[[#This Row],[Milled_t]]&lt;&gt;"",tblPlant[[#This Row],[Mill_Run_h]]&gt;0),tblPlant[[#This Row],[Milled_t]]/tblPlant[[#This Row],[Mill_Run_h]],"")</f>
        <v/>
      </c>
      <c r="X58" s="60">
        <f>IF(tblPlant[[#This Row],[Mill_Run_h]]="","",(24-tblPlant[[#This Row],[Mill_Planned_Maint_h]]-tblPlant[[#This Row],[Mill_Unplanned_Down_h]])/24)</f>
        <v/>
      </c>
      <c r="Y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9">
      <c r="A59" s="54" t="n">
        <v>46076</v>
      </c>
      <c r="B59" s="55" t="n"/>
      <c r="C59" s="55" t="n"/>
      <c r="D59" s="56" t="n"/>
      <c r="E59" s="56" t="n"/>
      <c r="F59" s="55" t="n"/>
      <c r="G59" s="55" t="n"/>
      <c r="H59" s="57" t="n"/>
      <c r="I59" s="57" t="n"/>
      <c r="J59" s="57" t="n"/>
      <c r="K59" s="57" t="n"/>
      <c r="L59" s="55" t="n"/>
      <c r="M59" s="55" t="n"/>
      <c r="N59" s="55" t="n"/>
      <c r="O59" s="55" t="n"/>
      <c r="P59" s="55" t="n"/>
      <c r="Q59" s="55" t="n"/>
      <c r="R59" s="58" t="n"/>
      <c r="S59" s="59">
        <f>IF(tblPlant[[#This Row],[Milled_t]]="","",tblPlant[[#This Row],[Milled_t]]*tblPlant[[#This Row],[Head_Grade_gpt]]/cfg_TroyOz)</f>
        <v/>
      </c>
      <c r="T59" s="59">
        <f>IF(tblPlant[[#This Row],[Milled_t]]="","",tblPlant[[#This Row],[Milled_t]]*tblPlant[[#This Row],[Tails_Grade_gpt]]/cfg_TroyOz)</f>
        <v/>
      </c>
      <c r="U59" s="59">
        <f>IF(tblPlant[[#This Row],[Milled_t]]="","",tblPlant[[#This Row],[Feed_oz]]-tblPlant[[#This Row],[Tails_oz]])</f>
        <v/>
      </c>
      <c r="V59" s="60">
        <f>IF(AND(tblPlant[[#This Row],[Milled_t]]&lt;&gt;"",tblPlant[[#This Row],[Feed_oz]]&gt;0),tblPlant[[#This Row],[Recovered_oz]]/tblPlant[[#This Row],[Feed_oz]],"")</f>
        <v/>
      </c>
      <c r="W59" s="59">
        <f>IF(AND(tblPlant[[#This Row],[Milled_t]]&lt;&gt;"",tblPlant[[#This Row],[Mill_Run_h]]&gt;0),tblPlant[[#This Row],[Milled_t]]/tblPlant[[#This Row],[Mill_Run_h]],"")</f>
        <v/>
      </c>
      <c r="X59" s="60">
        <f>IF(tblPlant[[#This Row],[Mill_Run_h]]="","",(24-tblPlant[[#This Row],[Mill_Planned_Maint_h]]-tblPlant[[#This Row],[Mill_Unplanned_Down_h]])/24)</f>
        <v/>
      </c>
      <c r="Y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0">
      <c r="A60" s="54" t="n">
        <v>46077</v>
      </c>
      <c r="B60" s="55" t="n"/>
      <c r="C60" s="55" t="n"/>
      <c r="D60" s="56" t="n"/>
      <c r="E60" s="56" t="n"/>
      <c r="F60" s="55" t="n"/>
      <c r="G60" s="55" t="n"/>
      <c r="H60" s="57" t="n"/>
      <c r="I60" s="57" t="n"/>
      <c r="J60" s="57" t="n"/>
      <c r="K60" s="57" t="n"/>
      <c r="L60" s="55" t="n"/>
      <c r="M60" s="55" t="n"/>
      <c r="N60" s="55" t="n"/>
      <c r="O60" s="55" t="n"/>
      <c r="P60" s="55" t="n"/>
      <c r="Q60" s="55" t="n"/>
      <c r="R60" s="58" t="n"/>
      <c r="S60" s="59">
        <f>IF(tblPlant[[#This Row],[Milled_t]]="","",tblPlant[[#This Row],[Milled_t]]*tblPlant[[#This Row],[Head_Grade_gpt]]/cfg_TroyOz)</f>
        <v/>
      </c>
      <c r="T60" s="59">
        <f>IF(tblPlant[[#This Row],[Milled_t]]="","",tblPlant[[#This Row],[Milled_t]]*tblPlant[[#This Row],[Tails_Grade_gpt]]/cfg_TroyOz)</f>
        <v/>
      </c>
      <c r="U60" s="59">
        <f>IF(tblPlant[[#This Row],[Milled_t]]="","",tblPlant[[#This Row],[Feed_oz]]-tblPlant[[#This Row],[Tails_oz]])</f>
        <v/>
      </c>
      <c r="V60" s="60">
        <f>IF(AND(tblPlant[[#This Row],[Milled_t]]&lt;&gt;"",tblPlant[[#This Row],[Feed_oz]]&gt;0),tblPlant[[#This Row],[Recovered_oz]]/tblPlant[[#This Row],[Feed_oz]],"")</f>
        <v/>
      </c>
      <c r="W60" s="59">
        <f>IF(AND(tblPlant[[#This Row],[Milled_t]]&lt;&gt;"",tblPlant[[#This Row],[Mill_Run_h]]&gt;0),tblPlant[[#This Row],[Milled_t]]/tblPlant[[#This Row],[Mill_Run_h]],"")</f>
        <v/>
      </c>
      <c r="X60" s="60">
        <f>IF(tblPlant[[#This Row],[Mill_Run_h]]="","",(24-tblPlant[[#This Row],[Mill_Planned_Maint_h]]-tblPlant[[#This Row],[Mill_Unplanned_Down_h]])/24)</f>
        <v/>
      </c>
      <c r="Y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1">
      <c r="A61" s="54" t="n">
        <v>46078</v>
      </c>
      <c r="B61" s="55" t="n"/>
      <c r="C61" s="55" t="n"/>
      <c r="D61" s="56" t="n"/>
      <c r="E61" s="56" t="n"/>
      <c r="F61" s="55" t="n"/>
      <c r="G61" s="55" t="n"/>
      <c r="H61" s="57" t="n"/>
      <c r="I61" s="57" t="n"/>
      <c r="J61" s="57" t="n"/>
      <c r="K61" s="57" t="n"/>
      <c r="L61" s="55" t="n"/>
      <c r="M61" s="55" t="n"/>
      <c r="N61" s="55" t="n"/>
      <c r="O61" s="55" t="n"/>
      <c r="P61" s="55" t="n"/>
      <c r="Q61" s="55" t="n"/>
      <c r="R61" s="58" t="n"/>
      <c r="S61" s="59">
        <f>IF(tblPlant[[#This Row],[Milled_t]]="","",tblPlant[[#This Row],[Milled_t]]*tblPlant[[#This Row],[Head_Grade_gpt]]/cfg_TroyOz)</f>
        <v/>
      </c>
      <c r="T61" s="59">
        <f>IF(tblPlant[[#This Row],[Milled_t]]="","",tblPlant[[#This Row],[Milled_t]]*tblPlant[[#This Row],[Tails_Grade_gpt]]/cfg_TroyOz)</f>
        <v/>
      </c>
      <c r="U61" s="59">
        <f>IF(tblPlant[[#This Row],[Milled_t]]="","",tblPlant[[#This Row],[Feed_oz]]-tblPlant[[#This Row],[Tails_oz]])</f>
        <v/>
      </c>
      <c r="V61" s="60">
        <f>IF(AND(tblPlant[[#This Row],[Milled_t]]&lt;&gt;"",tblPlant[[#This Row],[Feed_oz]]&gt;0),tblPlant[[#This Row],[Recovered_oz]]/tblPlant[[#This Row],[Feed_oz]],"")</f>
        <v/>
      </c>
      <c r="W61" s="59">
        <f>IF(AND(tblPlant[[#This Row],[Milled_t]]&lt;&gt;"",tblPlant[[#This Row],[Mill_Run_h]]&gt;0),tblPlant[[#This Row],[Milled_t]]/tblPlant[[#This Row],[Mill_Run_h]],"")</f>
        <v/>
      </c>
      <c r="X61" s="60">
        <f>IF(tblPlant[[#This Row],[Mill_Run_h]]="","",(24-tblPlant[[#This Row],[Mill_Planned_Maint_h]]-tblPlant[[#This Row],[Mill_Unplanned_Down_h]])/24)</f>
        <v/>
      </c>
      <c r="Y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2">
      <c r="A62" s="54" t="n">
        <v>46079</v>
      </c>
      <c r="B62" s="55" t="n"/>
      <c r="C62" s="55" t="n"/>
      <c r="D62" s="56" t="n"/>
      <c r="E62" s="56" t="n"/>
      <c r="F62" s="55" t="n"/>
      <c r="G62" s="55" t="n"/>
      <c r="H62" s="57" t="n"/>
      <c r="I62" s="57" t="n"/>
      <c r="J62" s="57" t="n"/>
      <c r="K62" s="57" t="n"/>
      <c r="L62" s="55" t="n"/>
      <c r="M62" s="55" t="n"/>
      <c r="N62" s="55" t="n"/>
      <c r="O62" s="55" t="n"/>
      <c r="P62" s="55" t="n"/>
      <c r="Q62" s="55" t="n"/>
      <c r="R62" s="58" t="n"/>
      <c r="S62" s="59">
        <f>IF(tblPlant[[#This Row],[Milled_t]]="","",tblPlant[[#This Row],[Milled_t]]*tblPlant[[#This Row],[Head_Grade_gpt]]/cfg_TroyOz)</f>
        <v/>
      </c>
      <c r="T62" s="59">
        <f>IF(tblPlant[[#This Row],[Milled_t]]="","",tblPlant[[#This Row],[Milled_t]]*tblPlant[[#This Row],[Tails_Grade_gpt]]/cfg_TroyOz)</f>
        <v/>
      </c>
      <c r="U62" s="59">
        <f>IF(tblPlant[[#This Row],[Milled_t]]="","",tblPlant[[#This Row],[Feed_oz]]-tblPlant[[#This Row],[Tails_oz]])</f>
        <v/>
      </c>
      <c r="V62" s="60">
        <f>IF(AND(tblPlant[[#This Row],[Milled_t]]&lt;&gt;"",tblPlant[[#This Row],[Feed_oz]]&gt;0),tblPlant[[#This Row],[Recovered_oz]]/tblPlant[[#This Row],[Feed_oz]],"")</f>
        <v/>
      </c>
      <c r="W62" s="59">
        <f>IF(AND(tblPlant[[#This Row],[Milled_t]]&lt;&gt;"",tblPlant[[#This Row],[Mill_Run_h]]&gt;0),tblPlant[[#This Row],[Milled_t]]/tblPlant[[#This Row],[Mill_Run_h]],"")</f>
        <v/>
      </c>
      <c r="X62" s="60">
        <f>IF(tblPlant[[#This Row],[Mill_Run_h]]="","",(24-tblPlant[[#This Row],[Mill_Planned_Maint_h]]-tblPlant[[#This Row],[Mill_Unplanned_Down_h]])/24)</f>
        <v/>
      </c>
      <c r="Y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3">
      <c r="A63" s="54" t="n">
        <v>46080</v>
      </c>
      <c r="B63" s="55" t="n"/>
      <c r="C63" s="55" t="n"/>
      <c r="D63" s="56" t="n"/>
      <c r="E63" s="56" t="n"/>
      <c r="F63" s="55" t="n"/>
      <c r="G63" s="55" t="n"/>
      <c r="H63" s="57" t="n"/>
      <c r="I63" s="57" t="n"/>
      <c r="J63" s="57" t="n"/>
      <c r="K63" s="57" t="n"/>
      <c r="L63" s="55" t="n"/>
      <c r="M63" s="55" t="n"/>
      <c r="N63" s="55" t="n"/>
      <c r="O63" s="55" t="n"/>
      <c r="P63" s="55" t="n"/>
      <c r="Q63" s="55" t="n"/>
      <c r="R63" s="58" t="n"/>
      <c r="S63" s="59">
        <f>IF(tblPlant[[#This Row],[Milled_t]]="","",tblPlant[[#This Row],[Milled_t]]*tblPlant[[#This Row],[Head_Grade_gpt]]/cfg_TroyOz)</f>
        <v/>
      </c>
      <c r="T63" s="59">
        <f>IF(tblPlant[[#This Row],[Milled_t]]="","",tblPlant[[#This Row],[Milled_t]]*tblPlant[[#This Row],[Tails_Grade_gpt]]/cfg_TroyOz)</f>
        <v/>
      </c>
      <c r="U63" s="59">
        <f>IF(tblPlant[[#This Row],[Milled_t]]="","",tblPlant[[#This Row],[Feed_oz]]-tblPlant[[#This Row],[Tails_oz]])</f>
        <v/>
      </c>
      <c r="V63" s="60">
        <f>IF(AND(tblPlant[[#This Row],[Milled_t]]&lt;&gt;"",tblPlant[[#This Row],[Feed_oz]]&gt;0),tblPlant[[#This Row],[Recovered_oz]]/tblPlant[[#This Row],[Feed_oz]],"")</f>
        <v/>
      </c>
      <c r="W63" s="59">
        <f>IF(AND(tblPlant[[#This Row],[Milled_t]]&lt;&gt;"",tblPlant[[#This Row],[Mill_Run_h]]&gt;0),tblPlant[[#This Row],[Milled_t]]/tblPlant[[#This Row],[Mill_Run_h]],"")</f>
        <v/>
      </c>
      <c r="X63" s="60">
        <f>IF(tblPlant[[#This Row],[Mill_Run_h]]="","",(24-tblPlant[[#This Row],[Mill_Planned_Maint_h]]-tblPlant[[#This Row],[Mill_Unplanned_Down_h]])/24)</f>
        <v/>
      </c>
      <c r="Y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4">
      <c r="A64" s="54" t="n">
        <v>46081</v>
      </c>
      <c r="B64" s="55" t="n"/>
      <c r="C64" s="55" t="n"/>
      <c r="D64" s="56" t="n"/>
      <c r="E64" s="56" t="n"/>
      <c r="F64" s="55" t="n"/>
      <c r="G64" s="55" t="n"/>
      <c r="H64" s="57" t="n"/>
      <c r="I64" s="57" t="n"/>
      <c r="J64" s="57" t="n"/>
      <c r="K64" s="57" t="n"/>
      <c r="L64" s="55" t="n"/>
      <c r="M64" s="55" t="n"/>
      <c r="N64" s="55" t="n"/>
      <c r="O64" s="55" t="n"/>
      <c r="P64" s="55" t="n"/>
      <c r="Q64" s="55" t="n"/>
      <c r="R64" s="58" t="n"/>
      <c r="S64" s="59">
        <f>IF(tblPlant[[#This Row],[Milled_t]]="","",tblPlant[[#This Row],[Milled_t]]*tblPlant[[#This Row],[Head_Grade_gpt]]/cfg_TroyOz)</f>
        <v/>
      </c>
      <c r="T64" s="59">
        <f>IF(tblPlant[[#This Row],[Milled_t]]="","",tblPlant[[#This Row],[Milled_t]]*tblPlant[[#This Row],[Tails_Grade_gpt]]/cfg_TroyOz)</f>
        <v/>
      </c>
      <c r="U64" s="59">
        <f>IF(tblPlant[[#This Row],[Milled_t]]="","",tblPlant[[#This Row],[Feed_oz]]-tblPlant[[#This Row],[Tails_oz]])</f>
        <v/>
      </c>
      <c r="V64" s="60">
        <f>IF(AND(tblPlant[[#This Row],[Milled_t]]&lt;&gt;"",tblPlant[[#This Row],[Feed_oz]]&gt;0),tblPlant[[#This Row],[Recovered_oz]]/tblPlant[[#This Row],[Feed_oz]],"")</f>
        <v/>
      </c>
      <c r="W64" s="59">
        <f>IF(AND(tblPlant[[#This Row],[Milled_t]]&lt;&gt;"",tblPlant[[#This Row],[Mill_Run_h]]&gt;0),tblPlant[[#This Row],[Milled_t]]/tblPlant[[#This Row],[Mill_Run_h]],"")</f>
        <v/>
      </c>
      <c r="X64" s="60">
        <f>IF(tblPlant[[#This Row],[Mill_Run_h]]="","",(24-tblPlant[[#This Row],[Mill_Planned_Maint_h]]-tblPlant[[#This Row],[Mill_Unplanned_Down_h]])/24)</f>
        <v/>
      </c>
      <c r="Y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5">
      <c r="A65" s="54" t="n">
        <v>46082</v>
      </c>
      <c r="B65" s="55" t="n"/>
      <c r="C65" s="55" t="n"/>
      <c r="D65" s="56" t="n"/>
      <c r="E65" s="56" t="n"/>
      <c r="F65" s="55" t="n"/>
      <c r="G65" s="55" t="n"/>
      <c r="H65" s="57" t="n"/>
      <c r="I65" s="57" t="n"/>
      <c r="J65" s="57" t="n"/>
      <c r="K65" s="57" t="n"/>
      <c r="L65" s="55" t="n"/>
      <c r="M65" s="55" t="n"/>
      <c r="N65" s="55" t="n"/>
      <c r="O65" s="55" t="n"/>
      <c r="P65" s="55" t="n"/>
      <c r="Q65" s="55" t="n"/>
      <c r="R65" s="58" t="n"/>
      <c r="S65" s="59">
        <f>IF(tblPlant[[#This Row],[Milled_t]]="","",tblPlant[[#This Row],[Milled_t]]*tblPlant[[#This Row],[Head_Grade_gpt]]/cfg_TroyOz)</f>
        <v/>
      </c>
      <c r="T65" s="59">
        <f>IF(tblPlant[[#This Row],[Milled_t]]="","",tblPlant[[#This Row],[Milled_t]]*tblPlant[[#This Row],[Tails_Grade_gpt]]/cfg_TroyOz)</f>
        <v/>
      </c>
      <c r="U65" s="59">
        <f>IF(tblPlant[[#This Row],[Milled_t]]="","",tblPlant[[#This Row],[Feed_oz]]-tblPlant[[#This Row],[Tails_oz]])</f>
        <v/>
      </c>
      <c r="V65" s="60">
        <f>IF(AND(tblPlant[[#This Row],[Milled_t]]&lt;&gt;"",tblPlant[[#This Row],[Feed_oz]]&gt;0),tblPlant[[#This Row],[Recovered_oz]]/tblPlant[[#This Row],[Feed_oz]],"")</f>
        <v/>
      </c>
      <c r="W65" s="59">
        <f>IF(AND(tblPlant[[#This Row],[Milled_t]]&lt;&gt;"",tblPlant[[#This Row],[Mill_Run_h]]&gt;0),tblPlant[[#This Row],[Milled_t]]/tblPlant[[#This Row],[Mill_Run_h]],"")</f>
        <v/>
      </c>
      <c r="X65" s="60">
        <f>IF(tblPlant[[#This Row],[Mill_Run_h]]="","",(24-tblPlant[[#This Row],[Mill_Planned_Maint_h]]-tblPlant[[#This Row],[Mill_Unplanned_Down_h]])/24)</f>
        <v/>
      </c>
      <c r="Y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6">
      <c r="A66" s="54" t="n">
        <v>46083</v>
      </c>
      <c r="B66" s="55" t="n"/>
      <c r="C66" s="55" t="n"/>
      <c r="D66" s="56" t="n"/>
      <c r="E66" s="56" t="n"/>
      <c r="F66" s="55" t="n"/>
      <c r="G66" s="55" t="n"/>
      <c r="H66" s="57" t="n"/>
      <c r="I66" s="57" t="n"/>
      <c r="J66" s="57" t="n"/>
      <c r="K66" s="57" t="n"/>
      <c r="L66" s="55" t="n"/>
      <c r="M66" s="55" t="n"/>
      <c r="N66" s="55" t="n"/>
      <c r="O66" s="55" t="n"/>
      <c r="P66" s="55" t="n"/>
      <c r="Q66" s="55" t="n"/>
      <c r="R66" s="58" t="n"/>
      <c r="S66" s="59">
        <f>IF(tblPlant[[#This Row],[Milled_t]]="","",tblPlant[[#This Row],[Milled_t]]*tblPlant[[#This Row],[Head_Grade_gpt]]/cfg_TroyOz)</f>
        <v/>
      </c>
      <c r="T66" s="59">
        <f>IF(tblPlant[[#This Row],[Milled_t]]="","",tblPlant[[#This Row],[Milled_t]]*tblPlant[[#This Row],[Tails_Grade_gpt]]/cfg_TroyOz)</f>
        <v/>
      </c>
      <c r="U66" s="59">
        <f>IF(tblPlant[[#This Row],[Milled_t]]="","",tblPlant[[#This Row],[Feed_oz]]-tblPlant[[#This Row],[Tails_oz]])</f>
        <v/>
      </c>
      <c r="V66" s="60">
        <f>IF(AND(tblPlant[[#This Row],[Milled_t]]&lt;&gt;"",tblPlant[[#This Row],[Feed_oz]]&gt;0),tblPlant[[#This Row],[Recovered_oz]]/tblPlant[[#This Row],[Feed_oz]],"")</f>
        <v/>
      </c>
      <c r="W66" s="59">
        <f>IF(AND(tblPlant[[#This Row],[Milled_t]]&lt;&gt;"",tblPlant[[#This Row],[Mill_Run_h]]&gt;0),tblPlant[[#This Row],[Milled_t]]/tblPlant[[#This Row],[Mill_Run_h]],"")</f>
        <v/>
      </c>
      <c r="X66" s="60">
        <f>IF(tblPlant[[#This Row],[Mill_Run_h]]="","",(24-tblPlant[[#This Row],[Mill_Planned_Maint_h]]-tblPlant[[#This Row],[Mill_Unplanned_Down_h]])/24)</f>
        <v/>
      </c>
      <c r="Y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7">
      <c r="A67" s="54" t="n">
        <v>46084</v>
      </c>
      <c r="B67" s="55" t="n"/>
      <c r="C67" s="55" t="n"/>
      <c r="D67" s="56" t="n"/>
      <c r="E67" s="56" t="n"/>
      <c r="F67" s="55" t="n"/>
      <c r="G67" s="55" t="n"/>
      <c r="H67" s="57" t="n"/>
      <c r="I67" s="57" t="n"/>
      <c r="J67" s="57" t="n"/>
      <c r="K67" s="57" t="n"/>
      <c r="L67" s="55" t="n"/>
      <c r="M67" s="55" t="n"/>
      <c r="N67" s="55" t="n"/>
      <c r="O67" s="55" t="n"/>
      <c r="P67" s="55" t="n"/>
      <c r="Q67" s="55" t="n"/>
      <c r="R67" s="58" t="n"/>
      <c r="S67" s="59">
        <f>IF(tblPlant[[#This Row],[Milled_t]]="","",tblPlant[[#This Row],[Milled_t]]*tblPlant[[#This Row],[Head_Grade_gpt]]/cfg_TroyOz)</f>
        <v/>
      </c>
      <c r="T67" s="59">
        <f>IF(tblPlant[[#This Row],[Milled_t]]="","",tblPlant[[#This Row],[Milled_t]]*tblPlant[[#This Row],[Tails_Grade_gpt]]/cfg_TroyOz)</f>
        <v/>
      </c>
      <c r="U67" s="59">
        <f>IF(tblPlant[[#This Row],[Milled_t]]="","",tblPlant[[#This Row],[Feed_oz]]-tblPlant[[#This Row],[Tails_oz]])</f>
        <v/>
      </c>
      <c r="V67" s="60">
        <f>IF(AND(tblPlant[[#This Row],[Milled_t]]&lt;&gt;"",tblPlant[[#This Row],[Feed_oz]]&gt;0),tblPlant[[#This Row],[Recovered_oz]]/tblPlant[[#This Row],[Feed_oz]],"")</f>
        <v/>
      </c>
      <c r="W67" s="59">
        <f>IF(AND(tblPlant[[#This Row],[Milled_t]]&lt;&gt;"",tblPlant[[#This Row],[Mill_Run_h]]&gt;0),tblPlant[[#This Row],[Milled_t]]/tblPlant[[#This Row],[Mill_Run_h]],"")</f>
        <v/>
      </c>
      <c r="X67" s="60">
        <f>IF(tblPlant[[#This Row],[Mill_Run_h]]="","",(24-tblPlant[[#This Row],[Mill_Planned_Maint_h]]-tblPlant[[#This Row],[Mill_Unplanned_Down_h]])/24)</f>
        <v/>
      </c>
      <c r="Y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8">
      <c r="A68" s="54" t="n">
        <v>46085</v>
      </c>
      <c r="B68" s="55" t="n"/>
      <c r="C68" s="55" t="n"/>
      <c r="D68" s="56" t="n"/>
      <c r="E68" s="56" t="n"/>
      <c r="F68" s="55" t="n"/>
      <c r="G68" s="55" t="n"/>
      <c r="H68" s="57" t="n"/>
      <c r="I68" s="57" t="n"/>
      <c r="J68" s="57" t="n"/>
      <c r="K68" s="57" t="n"/>
      <c r="L68" s="55" t="n"/>
      <c r="M68" s="55" t="n"/>
      <c r="N68" s="55" t="n"/>
      <c r="O68" s="55" t="n"/>
      <c r="P68" s="55" t="n"/>
      <c r="Q68" s="55" t="n"/>
      <c r="R68" s="58" t="n"/>
      <c r="S68" s="59">
        <f>IF(tblPlant[[#This Row],[Milled_t]]="","",tblPlant[[#This Row],[Milled_t]]*tblPlant[[#This Row],[Head_Grade_gpt]]/cfg_TroyOz)</f>
        <v/>
      </c>
      <c r="T68" s="59">
        <f>IF(tblPlant[[#This Row],[Milled_t]]="","",tblPlant[[#This Row],[Milled_t]]*tblPlant[[#This Row],[Tails_Grade_gpt]]/cfg_TroyOz)</f>
        <v/>
      </c>
      <c r="U68" s="59">
        <f>IF(tblPlant[[#This Row],[Milled_t]]="","",tblPlant[[#This Row],[Feed_oz]]-tblPlant[[#This Row],[Tails_oz]])</f>
        <v/>
      </c>
      <c r="V68" s="60">
        <f>IF(AND(tblPlant[[#This Row],[Milled_t]]&lt;&gt;"",tblPlant[[#This Row],[Feed_oz]]&gt;0),tblPlant[[#This Row],[Recovered_oz]]/tblPlant[[#This Row],[Feed_oz]],"")</f>
        <v/>
      </c>
      <c r="W68" s="59">
        <f>IF(AND(tblPlant[[#This Row],[Milled_t]]&lt;&gt;"",tblPlant[[#This Row],[Mill_Run_h]]&gt;0),tblPlant[[#This Row],[Milled_t]]/tblPlant[[#This Row],[Mill_Run_h]],"")</f>
        <v/>
      </c>
      <c r="X68" s="60">
        <f>IF(tblPlant[[#This Row],[Mill_Run_h]]="","",(24-tblPlant[[#This Row],[Mill_Planned_Maint_h]]-tblPlant[[#This Row],[Mill_Unplanned_Down_h]])/24)</f>
        <v/>
      </c>
      <c r="Y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9">
      <c r="A69" s="54" t="n">
        <v>46086</v>
      </c>
      <c r="B69" s="55" t="n"/>
      <c r="C69" s="55" t="n"/>
      <c r="D69" s="56" t="n"/>
      <c r="E69" s="56" t="n"/>
      <c r="F69" s="55" t="n"/>
      <c r="G69" s="55" t="n"/>
      <c r="H69" s="57" t="n"/>
      <c r="I69" s="57" t="n"/>
      <c r="J69" s="57" t="n"/>
      <c r="K69" s="57" t="n"/>
      <c r="L69" s="55" t="n"/>
      <c r="M69" s="55" t="n"/>
      <c r="N69" s="55" t="n"/>
      <c r="O69" s="55" t="n"/>
      <c r="P69" s="55" t="n"/>
      <c r="Q69" s="55" t="n"/>
      <c r="R69" s="58" t="n"/>
      <c r="S69" s="59">
        <f>IF(tblPlant[[#This Row],[Milled_t]]="","",tblPlant[[#This Row],[Milled_t]]*tblPlant[[#This Row],[Head_Grade_gpt]]/cfg_TroyOz)</f>
        <v/>
      </c>
      <c r="T69" s="59">
        <f>IF(tblPlant[[#This Row],[Milled_t]]="","",tblPlant[[#This Row],[Milled_t]]*tblPlant[[#This Row],[Tails_Grade_gpt]]/cfg_TroyOz)</f>
        <v/>
      </c>
      <c r="U69" s="59">
        <f>IF(tblPlant[[#This Row],[Milled_t]]="","",tblPlant[[#This Row],[Feed_oz]]-tblPlant[[#This Row],[Tails_oz]])</f>
        <v/>
      </c>
      <c r="V69" s="60">
        <f>IF(AND(tblPlant[[#This Row],[Milled_t]]&lt;&gt;"",tblPlant[[#This Row],[Feed_oz]]&gt;0),tblPlant[[#This Row],[Recovered_oz]]/tblPlant[[#This Row],[Feed_oz]],"")</f>
        <v/>
      </c>
      <c r="W69" s="59">
        <f>IF(AND(tblPlant[[#This Row],[Milled_t]]&lt;&gt;"",tblPlant[[#This Row],[Mill_Run_h]]&gt;0),tblPlant[[#This Row],[Milled_t]]/tblPlant[[#This Row],[Mill_Run_h]],"")</f>
        <v/>
      </c>
      <c r="X69" s="60">
        <f>IF(tblPlant[[#This Row],[Mill_Run_h]]="","",(24-tblPlant[[#This Row],[Mill_Planned_Maint_h]]-tblPlant[[#This Row],[Mill_Unplanned_Down_h]])/24)</f>
        <v/>
      </c>
      <c r="Y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0">
      <c r="A70" s="54" t="n">
        <v>46087</v>
      </c>
      <c r="B70" s="55" t="n"/>
      <c r="C70" s="55" t="n"/>
      <c r="D70" s="56" t="n"/>
      <c r="E70" s="56" t="n"/>
      <c r="F70" s="55" t="n"/>
      <c r="G70" s="55" t="n"/>
      <c r="H70" s="57" t="n"/>
      <c r="I70" s="57" t="n"/>
      <c r="J70" s="57" t="n"/>
      <c r="K70" s="57" t="n"/>
      <c r="L70" s="55" t="n"/>
      <c r="M70" s="55" t="n"/>
      <c r="N70" s="55" t="n"/>
      <c r="O70" s="55" t="n"/>
      <c r="P70" s="55" t="n"/>
      <c r="Q70" s="55" t="n"/>
      <c r="R70" s="58" t="n"/>
      <c r="S70" s="59">
        <f>IF(tblPlant[[#This Row],[Milled_t]]="","",tblPlant[[#This Row],[Milled_t]]*tblPlant[[#This Row],[Head_Grade_gpt]]/cfg_TroyOz)</f>
        <v/>
      </c>
      <c r="T70" s="59">
        <f>IF(tblPlant[[#This Row],[Milled_t]]="","",tblPlant[[#This Row],[Milled_t]]*tblPlant[[#This Row],[Tails_Grade_gpt]]/cfg_TroyOz)</f>
        <v/>
      </c>
      <c r="U70" s="59">
        <f>IF(tblPlant[[#This Row],[Milled_t]]="","",tblPlant[[#This Row],[Feed_oz]]-tblPlant[[#This Row],[Tails_oz]])</f>
        <v/>
      </c>
      <c r="V70" s="60">
        <f>IF(AND(tblPlant[[#This Row],[Milled_t]]&lt;&gt;"",tblPlant[[#This Row],[Feed_oz]]&gt;0),tblPlant[[#This Row],[Recovered_oz]]/tblPlant[[#This Row],[Feed_oz]],"")</f>
        <v/>
      </c>
      <c r="W70" s="59">
        <f>IF(AND(tblPlant[[#This Row],[Milled_t]]&lt;&gt;"",tblPlant[[#This Row],[Mill_Run_h]]&gt;0),tblPlant[[#This Row],[Milled_t]]/tblPlant[[#This Row],[Mill_Run_h]],"")</f>
        <v/>
      </c>
      <c r="X70" s="60">
        <f>IF(tblPlant[[#This Row],[Mill_Run_h]]="","",(24-tblPlant[[#This Row],[Mill_Planned_Maint_h]]-tblPlant[[#This Row],[Mill_Unplanned_Down_h]])/24)</f>
        <v/>
      </c>
      <c r="Y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1">
      <c r="A71" s="54" t="n">
        <v>46088</v>
      </c>
      <c r="B71" s="55" t="n"/>
      <c r="C71" s="55" t="n"/>
      <c r="D71" s="56" t="n"/>
      <c r="E71" s="56" t="n"/>
      <c r="F71" s="55" t="n"/>
      <c r="G71" s="55" t="n"/>
      <c r="H71" s="57" t="n"/>
      <c r="I71" s="57" t="n"/>
      <c r="J71" s="57" t="n"/>
      <c r="K71" s="57" t="n"/>
      <c r="L71" s="55" t="n"/>
      <c r="M71" s="55" t="n"/>
      <c r="N71" s="55" t="n"/>
      <c r="O71" s="55" t="n"/>
      <c r="P71" s="55" t="n"/>
      <c r="Q71" s="55" t="n"/>
      <c r="R71" s="58" t="n"/>
      <c r="S71" s="59">
        <f>IF(tblPlant[[#This Row],[Milled_t]]="","",tblPlant[[#This Row],[Milled_t]]*tblPlant[[#This Row],[Head_Grade_gpt]]/cfg_TroyOz)</f>
        <v/>
      </c>
      <c r="T71" s="59">
        <f>IF(tblPlant[[#This Row],[Milled_t]]="","",tblPlant[[#This Row],[Milled_t]]*tblPlant[[#This Row],[Tails_Grade_gpt]]/cfg_TroyOz)</f>
        <v/>
      </c>
      <c r="U71" s="59">
        <f>IF(tblPlant[[#This Row],[Milled_t]]="","",tblPlant[[#This Row],[Feed_oz]]-tblPlant[[#This Row],[Tails_oz]])</f>
        <v/>
      </c>
      <c r="V71" s="60">
        <f>IF(AND(tblPlant[[#This Row],[Milled_t]]&lt;&gt;"",tblPlant[[#This Row],[Feed_oz]]&gt;0),tblPlant[[#This Row],[Recovered_oz]]/tblPlant[[#This Row],[Feed_oz]],"")</f>
        <v/>
      </c>
      <c r="W71" s="59">
        <f>IF(AND(tblPlant[[#This Row],[Milled_t]]&lt;&gt;"",tblPlant[[#This Row],[Mill_Run_h]]&gt;0),tblPlant[[#This Row],[Milled_t]]/tblPlant[[#This Row],[Mill_Run_h]],"")</f>
        <v/>
      </c>
      <c r="X71" s="60">
        <f>IF(tblPlant[[#This Row],[Mill_Run_h]]="","",(24-tblPlant[[#This Row],[Mill_Planned_Maint_h]]-tblPlant[[#This Row],[Mill_Unplanned_Down_h]])/24)</f>
        <v/>
      </c>
      <c r="Y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2">
      <c r="A72" s="54" t="n">
        <v>46089</v>
      </c>
      <c r="B72" s="55" t="n"/>
      <c r="C72" s="55" t="n"/>
      <c r="D72" s="56" t="n"/>
      <c r="E72" s="56" t="n"/>
      <c r="F72" s="55" t="n"/>
      <c r="G72" s="55" t="n"/>
      <c r="H72" s="57" t="n"/>
      <c r="I72" s="57" t="n"/>
      <c r="J72" s="57" t="n"/>
      <c r="K72" s="57" t="n"/>
      <c r="L72" s="55" t="n"/>
      <c r="M72" s="55" t="n"/>
      <c r="N72" s="55" t="n"/>
      <c r="O72" s="55" t="n"/>
      <c r="P72" s="55" t="n"/>
      <c r="Q72" s="55" t="n"/>
      <c r="R72" s="58" t="n"/>
      <c r="S72" s="59">
        <f>IF(tblPlant[[#This Row],[Milled_t]]="","",tblPlant[[#This Row],[Milled_t]]*tblPlant[[#This Row],[Head_Grade_gpt]]/cfg_TroyOz)</f>
        <v/>
      </c>
      <c r="T72" s="59">
        <f>IF(tblPlant[[#This Row],[Milled_t]]="","",tblPlant[[#This Row],[Milled_t]]*tblPlant[[#This Row],[Tails_Grade_gpt]]/cfg_TroyOz)</f>
        <v/>
      </c>
      <c r="U72" s="59">
        <f>IF(tblPlant[[#This Row],[Milled_t]]="","",tblPlant[[#This Row],[Feed_oz]]-tblPlant[[#This Row],[Tails_oz]])</f>
        <v/>
      </c>
      <c r="V72" s="60">
        <f>IF(AND(tblPlant[[#This Row],[Milled_t]]&lt;&gt;"",tblPlant[[#This Row],[Feed_oz]]&gt;0),tblPlant[[#This Row],[Recovered_oz]]/tblPlant[[#This Row],[Feed_oz]],"")</f>
        <v/>
      </c>
      <c r="W72" s="59">
        <f>IF(AND(tblPlant[[#This Row],[Milled_t]]&lt;&gt;"",tblPlant[[#This Row],[Mill_Run_h]]&gt;0),tblPlant[[#This Row],[Milled_t]]/tblPlant[[#This Row],[Mill_Run_h]],"")</f>
        <v/>
      </c>
      <c r="X72" s="60">
        <f>IF(tblPlant[[#This Row],[Mill_Run_h]]="","",(24-tblPlant[[#This Row],[Mill_Planned_Maint_h]]-tblPlant[[#This Row],[Mill_Unplanned_Down_h]])/24)</f>
        <v/>
      </c>
      <c r="Y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3">
      <c r="A73" s="54" t="n">
        <v>46090</v>
      </c>
      <c r="B73" s="55" t="n"/>
      <c r="C73" s="55" t="n"/>
      <c r="D73" s="56" t="n"/>
      <c r="E73" s="56" t="n"/>
      <c r="F73" s="55" t="n"/>
      <c r="G73" s="55" t="n"/>
      <c r="H73" s="57" t="n"/>
      <c r="I73" s="57" t="n"/>
      <c r="J73" s="57" t="n"/>
      <c r="K73" s="57" t="n"/>
      <c r="L73" s="55" t="n"/>
      <c r="M73" s="55" t="n"/>
      <c r="N73" s="55" t="n"/>
      <c r="O73" s="55" t="n"/>
      <c r="P73" s="55" t="n"/>
      <c r="Q73" s="55" t="n"/>
      <c r="R73" s="58" t="n"/>
      <c r="S73" s="59">
        <f>IF(tblPlant[[#This Row],[Milled_t]]="","",tblPlant[[#This Row],[Milled_t]]*tblPlant[[#This Row],[Head_Grade_gpt]]/cfg_TroyOz)</f>
        <v/>
      </c>
      <c r="T73" s="59">
        <f>IF(tblPlant[[#This Row],[Milled_t]]="","",tblPlant[[#This Row],[Milled_t]]*tblPlant[[#This Row],[Tails_Grade_gpt]]/cfg_TroyOz)</f>
        <v/>
      </c>
      <c r="U73" s="59">
        <f>IF(tblPlant[[#This Row],[Milled_t]]="","",tblPlant[[#This Row],[Feed_oz]]-tblPlant[[#This Row],[Tails_oz]])</f>
        <v/>
      </c>
      <c r="V73" s="60">
        <f>IF(AND(tblPlant[[#This Row],[Milled_t]]&lt;&gt;"",tblPlant[[#This Row],[Feed_oz]]&gt;0),tblPlant[[#This Row],[Recovered_oz]]/tblPlant[[#This Row],[Feed_oz]],"")</f>
        <v/>
      </c>
      <c r="W73" s="59">
        <f>IF(AND(tblPlant[[#This Row],[Milled_t]]&lt;&gt;"",tblPlant[[#This Row],[Mill_Run_h]]&gt;0),tblPlant[[#This Row],[Milled_t]]/tblPlant[[#This Row],[Mill_Run_h]],"")</f>
        <v/>
      </c>
      <c r="X73" s="60">
        <f>IF(tblPlant[[#This Row],[Mill_Run_h]]="","",(24-tblPlant[[#This Row],[Mill_Planned_Maint_h]]-tblPlant[[#This Row],[Mill_Unplanned_Down_h]])/24)</f>
        <v/>
      </c>
      <c r="Y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4">
      <c r="A74" s="54" t="n">
        <v>46091</v>
      </c>
      <c r="B74" s="55" t="n"/>
      <c r="C74" s="55" t="n"/>
      <c r="D74" s="56" t="n"/>
      <c r="E74" s="56" t="n"/>
      <c r="F74" s="55" t="n"/>
      <c r="G74" s="55" t="n"/>
      <c r="H74" s="57" t="n"/>
      <c r="I74" s="57" t="n"/>
      <c r="J74" s="57" t="n"/>
      <c r="K74" s="57" t="n"/>
      <c r="L74" s="55" t="n"/>
      <c r="M74" s="55" t="n"/>
      <c r="N74" s="55" t="n"/>
      <c r="O74" s="55" t="n"/>
      <c r="P74" s="55" t="n"/>
      <c r="Q74" s="55" t="n"/>
      <c r="R74" s="58" t="n"/>
      <c r="S74" s="59">
        <f>IF(tblPlant[[#This Row],[Milled_t]]="","",tblPlant[[#This Row],[Milled_t]]*tblPlant[[#This Row],[Head_Grade_gpt]]/cfg_TroyOz)</f>
        <v/>
      </c>
      <c r="T74" s="59">
        <f>IF(tblPlant[[#This Row],[Milled_t]]="","",tblPlant[[#This Row],[Milled_t]]*tblPlant[[#This Row],[Tails_Grade_gpt]]/cfg_TroyOz)</f>
        <v/>
      </c>
      <c r="U74" s="59">
        <f>IF(tblPlant[[#This Row],[Milled_t]]="","",tblPlant[[#This Row],[Feed_oz]]-tblPlant[[#This Row],[Tails_oz]])</f>
        <v/>
      </c>
      <c r="V74" s="60">
        <f>IF(AND(tblPlant[[#This Row],[Milled_t]]&lt;&gt;"",tblPlant[[#This Row],[Feed_oz]]&gt;0),tblPlant[[#This Row],[Recovered_oz]]/tblPlant[[#This Row],[Feed_oz]],"")</f>
        <v/>
      </c>
      <c r="W74" s="59">
        <f>IF(AND(tblPlant[[#This Row],[Milled_t]]&lt;&gt;"",tblPlant[[#This Row],[Mill_Run_h]]&gt;0),tblPlant[[#This Row],[Milled_t]]/tblPlant[[#This Row],[Mill_Run_h]],"")</f>
        <v/>
      </c>
      <c r="X74" s="60">
        <f>IF(tblPlant[[#This Row],[Mill_Run_h]]="","",(24-tblPlant[[#This Row],[Mill_Planned_Maint_h]]-tblPlant[[#This Row],[Mill_Unplanned_Down_h]])/24)</f>
        <v/>
      </c>
      <c r="Y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5">
      <c r="A75" s="54" t="n">
        <v>46092</v>
      </c>
      <c r="B75" s="55" t="n"/>
      <c r="C75" s="55" t="n"/>
      <c r="D75" s="56" t="n"/>
      <c r="E75" s="56" t="n"/>
      <c r="F75" s="55" t="n"/>
      <c r="G75" s="55" t="n"/>
      <c r="H75" s="57" t="n"/>
      <c r="I75" s="57" t="n"/>
      <c r="J75" s="57" t="n"/>
      <c r="K75" s="57" t="n"/>
      <c r="L75" s="55" t="n"/>
      <c r="M75" s="55" t="n"/>
      <c r="N75" s="55" t="n"/>
      <c r="O75" s="55" t="n"/>
      <c r="P75" s="55" t="n"/>
      <c r="Q75" s="55" t="n"/>
      <c r="R75" s="58" t="n"/>
      <c r="S75" s="59">
        <f>IF(tblPlant[[#This Row],[Milled_t]]="","",tblPlant[[#This Row],[Milled_t]]*tblPlant[[#This Row],[Head_Grade_gpt]]/cfg_TroyOz)</f>
        <v/>
      </c>
      <c r="T75" s="59">
        <f>IF(tblPlant[[#This Row],[Milled_t]]="","",tblPlant[[#This Row],[Milled_t]]*tblPlant[[#This Row],[Tails_Grade_gpt]]/cfg_TroyOz)</f>
        <v/>
      </c>
      <c r="U75" s="59">
        <f>IF(tblPlant[[#This Row],[Milled_t]]="","",tblPlant[[#This Row],[Feed_oz]]-tblPlant[[#This Row],[Tails_oz]])</f>
        <v/>
      </c>
      <c r="V75" s="60">
        <f>IF(AND(tblPlant[[#This Row],[Milled_t]]&lt;&gt;"",tblPlant[[#This Row],[Feed_oz]]&gt;0),tblPlant[[#This Row],[Recovered_oz]]/tblPlant[[#This Row],[Feed_oz]],"")</f>
        <v/>
      </c>
      <c r="W75" s="59">
        <f>IF(AND(tblPlant[[#This Row],[Milled_t]]&lt;&gt;"",tblPlant[[#This Row],[Mill_Run_h]]&gt;0),tblPlant[[#This Row],[Milled_t]]/tblPlant[[#This Row],[Mill_Run_h]],"")</f>
        <v/>
      </c>
      <c r="X75" s="60">
        <f>IF(tblPlant[[#This Row],[Mill_Run_h]]="","",(24-tblPlant[[#This Row],[Mill_Planned_Maint_h]]-tblPlant[[#This Row],[Mill_Unplanned_Down_h]])/24)</f>
        <v/>
      </c>
      <c r="Y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6">
      <c r="A76" s="54" t="n">
        <v>46093</v>
      </c>
      <c r="B76" s="55" t="n"/>
      <c r="C76" s="55" t="n"/>
      <c r="D76" s="56" t="n"/>
      <c r="E76" s="56" t="n"/>
      <c r="F76" s="55" t="n"/>
      <c r="G76" s="55" t="n"/>
      <c r="H76" s="57" t="n"/>
      <c r="I76" s="57" t="n"/>
      <c r="J76" s="57" t="n"/>
      <c r="K76" s="57" t="n"/>
      <c r="L76" s="55" t="n"/>
      <c r="M76" s="55" t="n"/>
      <c r="N76" s="55" t="n"/>
      <c r="O76" s="55" t="n"/>
      <c r="P76" s="55" t="n"/>
      <c r="Q76" s="55" t="n"/>
      <c r="R76" s="58" t="n"/>
      <c r="S76" s="59">
        <f>IF(tblPlant[[#This Row],[Milled_t]]="","",tblPlant[[#This Row],[Milled_t]]*tblPlant[[#This Row],[Head_Grade_gpt]]/cfg_TroyOz)</f>
        <v/>
      </c>
      <c r="T76" s="59">
        <f>IF(tblPlant[[#This Row],[Milled_t]]="","",tblPlant[[#This Row],[Milled_t]]*tblPlant[[#This Row],[Tails_Grade_gpt]]/cfg_TroyOz)</f>
        <v/>
      </c>
      <c r="U76" s="59">
        <f>IF(tblPlant[[#This Row],[Milled_t]]="","",tblPlant[[#This Row],[Feed_oz]]-tblPlant[[#This Row],[Tails_oz]])</f>
        <v/>
      </c>
      <c r="V76" s="60">
        <f>IF(AND(tblPlant[[#This Row],[Milled_t]]&lt;&gt;"",tblPlant[[#This Row],[Feed_oz]]&gt;0),tblPlant[[#This Row],[Recovered_oz]]/tblPlant[[#This Row],[Feed_oz]],"")</f>
        <v/>
      </c>
      <c r="W76" s="59">
        <f>IF(AND(tblPlant[[#This Row],[Milled_t]]&lt;&gt;"",tblPlant[[#This Row],[Mill_Run_h]]&gt;0),tblPlant[[#This Row],[Milled_t]]/tblPlant[[#This Row],[Mill_Run_h]],"")</f>
        <v/>
      </c>
      <c r="X76" s="60">
        <f>IF(tblPlant[[#This Row],[Mill_Run_h]]="","",(24-tblPlant[[#This Row],[Mill_Planned_Maint_h]]-tblPlant[[#This Row],[Mill_Unplanned_Down_h]])/24)</f>
        <v/>
      </c>
      <c r="Y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7">
      <c r="A77" s="54" t="n">
        <v>46094</v>
      </c>
      <c r="B77" s="55" t="n"/>
      <c r="C77" s="55" t="n"/>
      <c r="D77" s="56" t="n"/>
      <c r="E77" s="56" t="n"/>
      <c r="F77" s="55" t="n"/>
      <c r="G77" s="55" t="n"/>
      <c r="H77" s="57" t="n"/>
      <c r="I77" s="57" t="n"/>
      <c r="J77" s="57" t="n"/>
      <c r="K77" s="57" t="n"/>
      <c r="L77" s="55" t="n"/>
      <c r="M77" s="55" t="n"/>
      <c r="N77" s="55" t="n"/>
      <c r="O77" s="55" t="n"/>
      <c r="P77" s="55" t="n"/>
      <c r="Q77" s="55" t="n"/>
      <c r="R77" s="58" t="n"/>
      <c r="S77" s="59">
        <f>IF(tblPlant[[#This Row],[Milled_t]]="","",tblPlant[[#This Row],[Milled_t]]*tblPlant[[#This Row],[Head_Grade_gpt]]/cfg_TroyOz)</f>
        <v/>
      </c>
      <c r="T77" s="59">
        <f>IF(tblPlant[[#This Row],[Milled_t]]="","",tblPlant[[#This Row],[Milled_t]]*tblPlant[[#This Row],[Tails_Grade_gpt]]/cfg_TroyOz)</f>
        <v/>
      </c>
      <c r="U77" s="59">
        <f>IF(tblPlant[[#This Row],[Milled_t]]="","",tblPlant[[#This Row],[Feed_oz]]-tblPlant[[#This Row],[Tails_oz]])</f>
        <v/>
      </c>
      <c r="V77" s="60">
        <f>IF(AND(tblPlant[[#This Row],[Milled_t]]&lt;&gt;"",tblPlant[[#This Row],[Feed_oz]]&gt;0),tblPlant[[#This Row],[Recovered_oz]]/tblPlant[[#This Row],[Feed_oz]],"")</f>
        <v/>
      </c>
      <c r="W77" s="59">
        <f>IF(AND(tblPlant[[#This Row],[Milled_t]]&lt;&gt;"",tblPlant[[#This Row],[Mill_Run_h]]&gt;0),tblPlant[[#This Row],[Milled_t]]/tblPlant[[#This Row],[Mill_Run_h]],"")</f>
        <v/>
      </c>
      <c r="X77" s="60">
        <f>IF(tblPlant[[#This Row],[Mill_Run_h]]="","",(24-tblPlant[[#This Row],[Mill_Planned_Maint_h]]-tblPlant[[#This Row],[Mill_Unplanned_Down_h]])/24)</f>
        <v/>
      </c>
      <c r="Y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8">
      <c r="A78" s="54" t="n">
        <v>46095</v>
      </c>
      <c r="B78" s="55" t="n"/>
      <c r="C78" s="55" t="n"/>
      <c r="D78" s="56" t="n"/>
      <c r="E78" s="56" t="n"/>
      <c r="F78" s="55" t="n"/>
      <c r="G78" s="55" t="n"/>
      <c r="H78" s="57" t="n"/>
      <c r="I78" s="57" t="n"/>
      <c r="J78" s="57" t="n"/>
      <c r="K78" s="57" t="n"/>
      <c r="L78" s="55" t="n"/>
      <c r="M78" s="55" t="n"/>
      <c r="N78" s="55" t="n"/>
      <c r="O78" s="55" t="n"/>
      <c r="P78" s="55" t="n"/>
      <c r="Q78" s="55" t="n"/>
      <c r="R78" s="58" t="n"/>
      <c r="S78" s="59">
        <f>IF(tblPlant[[#This Row],[Milled_t]]="","",tblPlant[[#This Row],[Milled_t]]*tblPlant[[#This Row],[Head_Grade_gpt]]/cfg_TroyOz)</f>
        <v/>
      </c>
      <c r="T78" s="59">
        <f>IF(tblPlant[[#This Row],[Milled_t]]="","",tblPlant[[#This Row],[Milled_t]]*tblPlant[[#This Row],[Tails_Grade_gpt]]/cfg_TroyOz)</f>
        <v/>
      </c>
      <c r="U78" s="59">
        <f>IF(tblPlant[[#This Row],[Milled_t]]="","",tblPlant[[#This Row],[Feed_oz]]-tblPlant[[#This Row],[Tails_oz]])</f>
        <v/>
      </c>
      <c r="V78" s="60">
        <f>IF(AND(tblPlant[[#This Row],[Milled_t]]&lt;&gt;"",tblPlant[[#This Row],[Feed_oz]]&gt;0),tblPlant[[#This Row],[Recovered_oz]]/tblPlant[[#This Row],[Feed_oz]],"")</f>
        <v/>
      </c>
      <c r="W78" s="59">
        <f>IF(AND(tblPlant[[#This Row],[Milled_t]]&lt;&gt;"",tblPlant[[#This Row],[Mill_Run_h]]&gt;0),tblPlant[[#This Row],[Milled_t]]/tblPlant[[#This Row],[Mill_Run_h]],"")</f>
        <v/>
      </c>
      <c r="X78" s="60">
        <f>IF(tblPlant[[#This Row],[Mill_Run_h]]="","",(24-tblPlant[[#This Row],[Mill_Planned_Maint_h]]-tblPlant[[#This Row],[Mill_Unplanned_Down_h]])/24)</f>
        <v/>
      </c>
      <c r="Y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9">
      <c r="A79" s="54" t="n">
        <v>46096</v>
      </c>
      <c r="B79" s="55" t="n"/>
      <c r="C79" s="55" t="n"/>
      <c r="D79" s="56" t="n"/>
      <c r="E79" s="56" t="n"/>
      <c r="F79" s="55" t="n"/>
      <c r="G79" s="55" t="n"/>
      <c r="H79" s="57" t="n"/>
      <c r="I79" s="57" t="n"/>
      <c r="J79" s="57" t="n"/>
      <c r="K79" s="57" t="n"/>
      <c r="L79" s="55" t="n"/>
      <c r="M79" s="55" t="n"/>
      <c r="N79" s="55" t="n"/>
      <c r="O79" s="55" t="n"/>
      <c r="P79" s="55" t="n"/>
      <c r="Q79" s="55" t="n"/>
      <c r="R79" s="58" t="n"/>
      <c r="S79" s="59">
        <f>IF(tblPlant[[#This Row],[Milled_t]]="","",tblPlant[[#This Row],[Milled_t]]*tblPlant[[#This Row],[Head_Grade_gpt]]/cfg_TroyOz)</f>
        <v/>
      </c>
      <c r="T79" s="59">
        <f>IF(tblPlant[[#This Row],[Milled_t]]="","",tblPlant[[#This Row],[Milled_t]]*tblPlant[[#This Row],[Tails_Grade_gpt]]/cfg_TroyOz)</f>
        <v/>
      </c>
      <c r="U79" s="59">
        <f>IF(tblPlant[[#This Row],[Milled_t]]="","",tblPlant[[#This Row],[Feed_oz]]-tblPlant[[#This Row],[Tails_oz]])</f>
        <v/>
      </c>
      <c r="V79" s="60">
        <f>IF(AND(tblPlant[[#This Row],[Milled_t]]&lt;&gt;"",tblPlant[[#This Row],[Feed_oz]]&gt;0),tblPlant[[#This Row],[Recovered_oz]]/tblPlant[[#This Row],[Feed_oz]],"")</f>
        <v/>
      </c>
      <c r="W79" s="59">
        <f>IF(AND(tblPlant[[#This Row],[Milled_t]]&lt;&gt;"",tblPlant[[#This Row],[Mill_Run_h]]&gt;0),tblPlant[[#This Row],[Milled_t]]/tblPlant[[#This Row],[Mill_Run_h]],"")</f>
        <v/>
      </c>
      <c r="X79" s="60">
        <f>IF(tblPlant[[#This Row],[Mill_Run_h]]="","",(24-tblPlant[[#This Row],[Mill_Planned_Maint_h]]-tblPlant[[#This Row],[Mill_Unplanned_Down_h]])/24)</f>
        <v/>
      </c>
      <c r="Y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0">
      <c r="A80" s="54" t="n">
        <v>46097</v>
      </c>
      <c r="B80" s="55" t="n"/>
      <c r="C80" s="55" t="n"/>
      <c r="D80" s="56" t="n"/>
      <c r="E80" s="56" t="n"/>
      <c r="F80" s="55" t="n"/>
      <c r="G80" s="55" t="n"/>
      <c r="H80" s="57" t="n"/>
      <c r="I80" s="57" t="n"/>
      <c r="J80" s="57" t="n"/>
      <c r="K80" s="57" t="n"/>
      <c r="L80" s="55" t="n"/>
      <c r="M80" s="55" t="n"/>
      <c r="N80" s="55" t="n"/>
      <c r="O80" s="55" t="n"/>
      <c r="P80" s="55" t="n"/>
      <c r="Q80" s="55" t="n"/>
      <c r="R80" s="58" t="n"/>
      <c r="S80" s="59">
        <f>IF(tblPlant[[#This Row],[Milled_t]]="","",tblPlant[[#This Row],[Milled_t]]*tblPlant[[#This Row],[Head_Grade_gpt]]/cfg_TroyOz)</f>
        <v/>
      </c>
      <c r="T80" s="59">
        <f>IF(tblPlant[[#This Row],[Milled_t]]="","",tblPlant[[#This Row],[Milled_t]]*tblPlant[[#This Row],[Tails_Grade_gpt]]/cfg_TroyOz)</f>
        <v/>
      </c>
      <c r="U80" s="59">
        <f>IF(tblPlant[[#This Row],[Milled_t]]="","",tblPlant[[#This Row],[Feed_oz]]-tblPlant[[#This Row],[Tails_oz]])</f>
        <v/>
      </c>
      <c r="V80" s="60">
        <f>IF(AND(tblPlant[[#This Row],[Milled_t]]&lt;&gt;"",tblPlant[[#This Row],[Feed_oz]]&gt;0),tblPlant[[#This Row],[Recovered_oz]]/tblPlant[[#This Row],[Feed_oz]],"")</f>
        <v/>
      </c>
      <c r="W80" s="59">
        <f>IF(AND(tblPlant[[#This Row],[Milled_t]]&lt;&gt;"",tblPlant[[#This Row],[Mill_Run_h]]&gt;0),tblPlant[[#This Row],[Milled_t]]/tblPlant[[#This Row],[Mill_Run_h]],"")</f>
        <v/>
      </c>
      <c r="X80" s="60">
        <f>IF(tblPlant[[#This Row],[Mill_Run_h]]="","",(24-tblPlant[[#This Row],[Mill_Planned_Maint_h]]-tblPlant[[#This Row],[Mill_Unplanned_Down_h]])/24)</f>
        <v/>
      </c>
      <c r="Y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1">
      <c r="A81" s="54" t="n">
        <v>46098</v>
      </c>
      <c r="B81" s="55" t="n"/>
      <c r="C81" s="55" t="n"/>
      <c r="D81" s="56" t="n"/>
      <c r="E81" s="56" t="n"/>
      <c r="F81" s="55" t="n"/>
      <c r="G81" s="55" t="n"/>
      <c r="H81" s="57" t="n"/>
      <c r="I81" s="57" t="n"/>
      <c r="J81" s="57" t="n"/>
      <c r="K81" s="57" t="n"/>
      <c r="L81" s="55" t="n"/>
      <c r="M81" s="55" t="n"/>
      <c r="N81" s="55" t="n"/>
      <c r="O81" s="55" t="n"/>
      <c r="P81" s="55" t="n"/>
      <c r="Q81" s="55" t="n"/>
      <c r="R81" s="58" t="n"/>
      <c r="S81" s="59">
        <f>IF(tblPlant[[#This Row],[Milled_t]]="","",tblPlant[[#This Row],[Milled_t]]*tblPlant[[#This Row],[Head_Grade_gpt]]/cfg_TroyOz)</f>
        <v/>
      </c>
      <c r="T81" s="59">
        <f>IF(tblPlant[[#This Row],[Milled_t]]="","",tblPlant[[#This Row],[Milled_t]]*tblPlant[[#This Row],[Tails_Grade_gpt]]/cfg_TroyOz)</f>
        <v/>
      </c>
      <c r="U81" s="59">
        <f>IF(tblPlant[[#This Row],[Milled_t]]="","",tblPlant[[#This Row],[Feed_oz]]-tblPlant[[#This Row],[Tails_oz]])</f>
        <v/>
      </c>
      <c r="V81" s="60">
        <f>IF(AND(tblPlant[[#This Row],[Milled_t]]&lt;&gt;"",tblPlant[[#This Row],[Feed_oz]]&gt;0),tblPlant[[#This Row],[Recovered_oz]]/tblPlant[[#This Row],[Feed_oz]],"")</f>
        <v/>
      </c>
      <c r="W81" s="59">
        <f>IF(AND(tblPlant[[#This Row],[Milled_t]]&lt;&gt;"",tblPlant[[#This Row],[Mill_Run_h]]&gt;0),tblPlant[[#This Row],[Milled_t]]/tblPlant[[#This Row],[Mill_Run_h]],"")</f>
        <v/>
      </c>
      <c r="X81" s="60">
        <f>IF(tblPlant[[#This Row],[Mill_Run_h]]="","",(24-tblPlant[[#This Row],[Mill_Planned_Maint_h]]-tblPlant[[#This Row],[Mill_Unplanned_Down_h]])/24)</f>
        <v/>
      </c>
      <c r="Y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2">
      <c r="A82" s="54" t="n">
        <v>46099</v>
      </c>
      <c r="B82" s="55" t="n"/>
      <c r="C82" s="55" t="n"/>
      <c r="D82" s="56" t="n"/>
      <c r="E82" s="56" t="n"/>
      <c r="F82" s="55" t="n"/>
      <c r="G82" s="55" t="n"/>
      <c r="H82" s="57" t="n"/>
      <c r="I82" s="57" t="n"/>
      <c r="J82" s="57" t="n"/>
      <c r="K82" s="57" t="n"/>
      <c r="L82" s="55" t="n"/>
      <c r="M82" s="55" t="n"/>
      <c r="N82" s="55" t="n"/>
      <c r="O82" s="55" t="n"/>
      <c r="P82" s="55" t="n"/>
      <c r="Q82" s="55" t="n"/>
      <c r="R82" s="58" t="n"/>
      <c r="S82" s="59">
        <f>IF(tblPlant[[#This Row],[Milled_t]]="","",tblPlant[[#This Row],[Milled_t]]*tblPlant[[#This Row],[Head_Grade_gpt]]/cfg_TroyOz)</f>
        <v/>
      </c>
      <c r="T82" s="59">
        <f>IF(tblPlant[[#This Row],[Milled_t]]="","",tblPlant[[#This Row],[Milled_t]]*tblPlant[[#This Row],[Tails_Grade_gpt]]/cfg_TroyOz)</f>
        <v/>
      </c>
      <c r="U82" s="59">
        <f>IF(tblPlant[[#This Row],[Milled_t]]="","",tblPlant[[#This Row],[Feed_oz]]-tblPlant[[#This Row],[Tails_oz]])</f>
        <v/>
      </c>
      <c r="V82" s="60">
        <f>IF(AND(tblPlant[[#This Row],[Milled_t]]&lt;&gt;"",tblPlant[[#This Row],[Feed_oz]]&gt;0),tblPlant[[#This Row],[Recovered_oz]]/tblPlant[[#This Row],[Feed_oz]],"")</f>
        <v/>
      </c>
      <c r="W82" s="59">
        <f>IF(AND(tblPlant[[#This Row],[Milled_t]]&lt;&gt;"",tblPlant[[#This Row],[Mill_Run_h]]&gt;0),tblPlant[[#This Row],[Milled_t]]/tblPlant[[#This Row],[Mill_Run_h]],"")</f>
        <v/>
      </c>
      <c r="X82" s="60">
        <f>IF(tblPlant[[#This Row],[Mill_Run_h]]="","",(24-tblPlant[[#This Row],[Mill_Planned_Maint_h]]-tblPlant[[#This Row],[Mill_Unplanned_Down_h]])/24)</f>
        <v/>
      </c>
      <c r="Y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3">
      <c r="A83" s="54" t="n">
        <v>46100</v>
      </c>
      <c r="B83" s="55" t="n"/>
      <c r="C83" s="55" t="n"/>
      <c r="D83" s="56" t="n"/>
      <c r="E83" s="56" t="n"/>
      <c r="F83" s="55" t="n"/>
      <c r="G83" s="55" t="n"/>
      <c r="H83" s="57" t="n"/>
      <c r="I83" s="57" t="n"/>
      <c r="J83" s="57" t="n"/>
      <c r="K83" s="57" t="n"/>
      <c r="L83" s="55" t="n"/>
      <c r="M83" s="55" t="n"/>
      <c r="N83" s="55" t="n"/>
      <c r="O83" s="55" t="n"/>
      <c r="P83" s="55" t="n"/>
      <c r="Q83" s="55" t="n"/>
      <c r="R83" s="58" t="n"/>
      <c r="S83" s="59">
        <f>IF(tblPlant[[#This Row],[Milled_t]]="","",tblPlant[[#This Row],[Milled_t]]*tblPlant[[#This Row],[Head_Grade_gpt]]/cfg_TroyOz)</f>
        <v/>
      </c>
      <c r="T83" s="59">
        <f>IF(tblPlant[[#This Row],[Milled_t]]="","",tblPlant[[#This Row],[Milled_t]]*tblPlant[[#This Row],[Tails_Grade_gpt]]/cfg_TroyOz)</f>
        <v/>
      </c>
      <c r="U83" s="59">
        <f>IF(tblPlant[[#This Row],[Milled_t]]="","",tblPlant[[#This Row],[Feed_oz]]-tblPlant[[#This Row],[Tails_oz]])</f>
        <v/>
      </c>
      <c r="V83" s="60">
        <f>IF(AND(tblPlant[[#This Row],[Milled_t]]&lt;&gt;"",tblPlant[[#This Row],[Feed_oz]]&gt;0),tblPlant[[#This Row],[Recovered_oz]]/tblPlant[[#This Row],[Feed_oz]],"")</f>
        <v/>
      </c>
      <c r="W83" s="59">
        <f>IF(AND(tblPlant[[#This Row],[Milled_t]]&lt;&gt;"",tblPlant[[#This Row],[Mill_Run_h]]&gt;0),tblPlant[[#This Row],[Milled_t]]/tblPlant[[#This Row],[Mill_Run_h]],"")</f>
        <v/>
      </c>
      <c r="X83" s="60">
        <f>IF(tblPlant[[#This Row],[Mill_Run_h]]="","",(24-tblPlant[[#This Row],[Mill_Planned_Maint_h]]-tblPlant[[#This Row],[Mill_Unplanned_Down_h]])/24)</f>
        <v/>
      </c>
      <c r="Y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4">
      <c r="A84" s="54" t="n">
        <v>46101</v>
      </c>
      <c r="B84" s="55" t="n"/>
      <c r="C84" s="55" t="n"/>
      <c r="D84" s="56" t="n"/>
      <c r="E84" s="56" t="n"/>
      <c r="F84" s="55" t="n"/>
      <c r="G84" s="55" t="n"/>
      <c r="H84" s="57" t="n"/>
      <c r="I84" s="57" t="n"/>
      <c r="J84" s="57" t="n"/>
      <c r="K84" s="57" t="n"/>
      <c r="L84" s="55" t="n"/>
      <c r="M84" s="55" t="n"/>
      <c r="N84" s="55" t="n"/>
      <c r="O84" s="55" t="n"/>
      <c r="P84" s="55" t="n"/>
      <c r="Q84" s="55" t="n"/>
      <c r="R84" s="58" t="n"/>
      <c r="S84" s="59">
        <f>IF(tblPlant[[#This Row],[Milled_t]]="","",tblPlant[[#This Row],[Milled_t]]*tblPlant[[#This Row],[Head_Grade_gpt]]/cfg_TroyOz)</f>
        <v/>
      </c>
      <c r="T84" s="59">
        <f>IF(tblPlant[[#This Row],[Milled_t]]="","",tblPlant[[#This Row],[Milled_t]]*tblPlant[[#This Row],[Tails_Grade_gpt]]/cfg_TroyOz)</f>
        <v/>
      </c>
      <c r="U84" s="59">
        <f>IF(tblPlant[[#This Row],[Milled_t]]="","",tblPlant[[#This Row],[Feed_oz]]-tblPlant[[#This Row],[Tails_oz]])</f>
        <v/>
      </c>
      <c r="V84" s="60">
        <f>IF(AND(tblPlant[[#This Row],[Milled_t]]&lt;&gt;"",tblPlant[[#This Row],[Feed_oz]]&gt;0),tblPlant[[#This Row],[Recovered_oz]]/tblPlant[[#This Row],[Feed_oz]],"")</f>
        <v/>
      </c>
      <c r="W84" s="59">
        <f>IF(AND(tblPlant[[#This Row],[Milled_t]]&lt;&gt;"",tblPlant[[#This Row],[Mill_Run_h]]&gt;0),tblPlant[[#This Row],[Milled_t]]/tblPlant[[#This Row],[Mill_Run_h]],"")</f>
        <v/>
      </c>
      <c r="X84" s="60">
        <f>IF(tblPlant[[#This Row],[Mill_Run_h]]="","",(24-tblPlant[[#This Row],[Mill_Planned_Maint_h]]-tblPlant[[#This Row],[Mill_Unplanned_Down_h]])/24)</f>
        <v/>
      </c>
      <c r="Y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5">
      <c r="A85" s="54" t="n">
        <v>46102</v>
      </c>
      <c r="B85" s="55" t="n"/>
      <c r="C85" s="55" t="n"/>
      <c r="D85" s="56" t="n"/>
      <c r="E85" s="56" t="n"/>
      <c r="F85" s="55" t="n"/>
      <c r="G85" s="55" t="n"/>
      <c r="H85" s="57" t="n"/>
      <c r="I85" s="57" t="n"/>
      <c r="J85" s="57" t="n"/>
      <c r="K85" s="57" t="n"/>
      <c r="L85" s="55" t="n"/>
      <c r="M85" s="55" t="n"/>
      <c r="N85" s="55" t="n"/>
      <c r="O85" s="55" t="n"/>
      <c r="P85" s="55" t="n"/>
      <c r="Q85" s="55" t="n"/>
      <c r="R85" s="58" t="n"/>
      <c r="S85" s="59">
        <f>IF(tblPlant[[#This Row],[Milled_t]]="","",tblPlant[[#This Row],[Milled_t]]*tblPlant[[#This Row],[Head_Grade_gpt]]/cfg_TroyOz)</f>
        <v/>
      </c>
      <c r="T85" s="59">
        <f>IF(tblPlant[[#This Row],[Milled_t]]="","",tblPlant[[#This Row],[Milled_t]]*tblPlant[[#This Row],[Tails_Grade_gpt]]/cfg_TroyOz)</f>
        <v/>
      </c>
      <c r="U85" s="59">
        <f>IF(tblPlant[[#This Row],[Milled_t]]="","",tblPlant[[#This Row],[Feed_oz]]-tblPlant[[#This Row],[Tails_oz]])</f>
        <v/>
      </c>
      <c r="V85" s="60">
        <f>IF(AND(tblPlant[[#This Row],[Milled_t]]&lt;&gt;"",tblPlant[[#This Row],[Feed_oz]]&gt;0),tblPlant[[#This Row],[Recovered_oz]]/tblPlant[[#This Row],[Feed_oz]],"")</f>
        <v/>
      </c>
      <c r="W85" s="59">
        <f>IF(AND(tblPlant[[#This Row],[Milled_t]]&lt;&gt;"",tblPlant[[#This Row],[Mill_Run_h]]&gt;0),tblPlant[[#This Row],[Milled_t]]/tblPlant[[#This Row],[Mill_Run_h]],"")</f>
        <v/>
      </c>
      <c r="X85" s="60">
        <f>IF(tblPlant[[#This Row],[Mill_Run_h]]="","",(24-tblPlant[[#This Row],[Mill_Planned_Maint_h]]-tblPlant[[#This Row],[Mill_Unplanned_Down_h]])/24)</f>
        <v/>
      </c>
      <c r="Y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6">
      <c r="A86" s="54" t="n">
        <v>46103</v>
      </c>
      <c r="B86" s="55" t="n"/>
      <c r="C86" s="55" t="n"/>
      <c r="D86" s="56" t="n"/>
      <c r="E86" s="56" t="n"/>
      <c r="F86" s="55" t="n"/>
      <c r="G86" s="55" t="n"/>
      <c r="H86" s="57" t="n"/>
      <c r="I86" s="57" t="n"/>
      <c r="J86" s="57" t="n"/>
      <c r="K86" s="57" t="n"/>
      <c r="L86" s="55" t="n"/>
      <c r="M86" s="55" t="n"/>
      <c r="N86" s="55" t="n"/>
      <c r="O86" s="55" t="n"/>
      <c r="P86" s="55" t="n"/>
      <c r="Q86" s="55" t="n"/>
      <c r="R86" s="58" t="n"/>
      <c r="S86" s="59">
        <f>IF(tblPlant[[#This Row],[Milled_t]]="","",tblPlant[[#This Row],[Milled_t]]*tblPlant[[#This Row],[Head_Grade_gpt]]/cfg_TroyOz)</f>
        <v/>
      </c>
      <c r="T86" s="59">
        <f>IF(tblPlant[[#This Row],[Milled_t]]="","",tblPlant[[#This Row],[Milled_t]]*tblPlant[[#This Row],[Tails_Grade_gpt]]/cfg_TroyOz)</f>
        <v/>
      </c>
      <c r="U86" s="59">
        <f>IF(tblPlant[[#This Row],[Milled_t]]="","",tblPlant[[#This Row],[Feed_oz]]-tblPlant[[#This Row],[Tails_oz]])</f>
        <v/>
      </c>
      <c r="V86" s="60">
        <f>IF(AND(tblPlant[[#This Row],[Milled_t]]&lt;&gt;"",tblPlant[[#This Row],[Feed_oz]]&gt;0),tblPlant[[#This Row],[Recovered_oz]]/tblPlant[[#This Row],[Feed_oz]],"")</f>
        <v/>
      </c>
      <c r="W86" s="59">
        <f>IF(AND(tblPlant[[#This Row],[Milled_t]]&lt;&gt;"",tblPlant[[#This Row],[Mill_Run_h]]&gt;0),tblPlant[[#This Row],[Milled_t]]/tblPlant[[#This Row],[Mill_Run_h]],"")</f>
        <v/>
      </c>
      <c r="X86" s="60">
        <f>IF(tblPlant[[#This Row],[Mill_Run_h]]="","",(24-tblPlant[[#This Row],[Mill_Planned_Maint_h]]-tblPlant[[#This Row],[Mill_Unplanned_Down_h]])/24)</f>
        <v/>
      </c>
      <c r="Y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7">
      <c r="A87" s="54" t="n">
        <v>46104</v>
      </c>
      <c r="B87" s="55" t="n"/>
      <c r="C87" s="55" t="n"/>
      <c r="D87" s="56" t="n"/>
      <c r="E87" s="56" t="n"/>
      <c r="F87" s="55" t="n"/>
      <c r="G87" s="55" t="n"/>
      <c r="H87" s="57" t="n"/>
      <c r="I87" s="57" t="n"/>
      <c r="J87" s="57" t="n"/>
      <c r="K87" s="57" t="n"/>
      <c r="L87" s="55" t="n"/>
      <c r="M87" s="55" t="n"/>
      <c r="N87" s="55" t="n"/>
      <c r="O87" s="55" t="n"/>
      <c r="P87" s="55" t="n"/>
      <c r="Q87" s="55" t="n"/>
      <c r="R87" s="58" t="n"/>
      <c r="S87" s="59">
        <f>IF(tblPlant[[#This Row],[Milled_t]]="","",tblPlant[[#This Row],[Milled_t]]*tblPlant[[#This Row],[Head_Grade_gpt]]/cfg_TroyOz)</f>
        <v/>
      </c>
      <c r="T87" s="59">
        <f>IF(tblPlant[[#This Row],[Milled_t]]="","",tblPlant[[#This Row],[Milled_t]]*tblPlant[[#This Row],[Tails_Grade_gpt]]/cfg_TroyOz)</f>
        <v/>
      </c>
      <c r="U87" s="59">
        <f>IF(tblPlant[[#This Row],[Milled_t]]="","",tblPlant[[#This Row],[Feed_oz]]-tblPlant[[#This Row],[Tails_oz]])</f>
        <v/>
      </c>
      <c r="V87" s="60">
        <f>IF(AND(tblPlant[[#This Row],[Milled_t]]&lt;&gt;"",tblPlant[[#This Row],[Feed_oz]]&gt;0),tblPlant[[#This Row],[Recovered_oz]]/tblPlant[[#This Row],[Feed_oz]],"")</f>
        <v/>
      </c>
      <c r="W87" s="59">
        <f>IF(AND(tblPlant[[#This Row],[Milled_t]]&lt;&gt;"",tblPlant[[#This Row],[Mill_Run_h]]&gt;0),tblPlant[[#This Row],[Milled_t]]/tblPlant[[#This Row],[Mill_Run_h]],"")</f>
        <v/>
      </c>
      <c r="X87" s="60">
        <f>IF(tblPlant[[#This Row],[Mill_Run_h]]="","",(24-tblPlant[[#This Row],[Mill_Planned_Maint_h]]-tblPlant[[#This Row],[Mill_Unplanned_Down_h]])/24)</f>
        <v/>
      </c>
      <c r="Y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8">
      <c r="A88" s="54" t="n">
        <v>46105</v>
      </c>
      <c r="B88" s="55" t="n"/>
      <c r="C88" s="55" t="n"/>
      <c r="D88" s="56" t="n"/>
      <c r="E88" s="56" t="n"/>
      <c r="F88" s="55" t="n"/>
      <c r="G88" s="55" t="n"/>
      <c r="H88" s="57" t="n"/>
      <c r="I88" s="57" t="n"/>
      <c r="J88" s="57" t="n"/>
      <c r="K88" s="57" t="n"/>
      <c r="L88" s="55" t="n"/>
      <c r="M88" s="55" t="n"/>
      <c r="N88" s="55" t="n"/>
      <c r="O88" s="55" t="n"/>
      <c r="P88" s="55" t="n"/>
      <c r="Q88" s="55" t="n"/>
      <c r="R88" s="58" t="n"/>
      <c r="S88" s="59">
        <f>IF(tblPlant[[#This Row],[Milled_t]]="","",tblPlant[[#This Row],[Milled_t]]*tblPlant[[#This Row],[Head_Grade_gpt]]/cfg_TroyOz)</f>
        <v/>
      </c>
      <c r="T88" s="59">
        <f>IF(tblPlant[[#This Row],[Milled_t]]="","",tblPlant[[#This Row],[Milled_t]]*tblPlant[[#This Row],[Tails_Grade_gpt]]/cfg_TroyOz)</f>
        <v/>
      </c>
      <c r="U88" s="59">
        <f>IF(tblPlant[[#This Row],[Milled_t]]="","",tblPlant[[#This Row],[Feed_oz]]-tblPlant[[#This Row],[Tails_oz]])</f>
        <v/>
      </c>
      <c r="V88" s="60">
        <f>IF(AND(tblPlant[[#This Row],[Milled_t]]&lt;&gt;"",tblPlant[[#This Row],[Feed_oz]]&gt;0),tblPlant[[#This Row],[Recovered_oz]]/tblPlant[[#This Row],[Feed_oz]],"")</f>
        <v/>
      </c>
      <c r="W88" s="59">
        <f>IF(AND(tblPlant[[#This Row],[Milled_t]]&lt;&gt;"",tblPlant[[#This Row],[Mill_Run_h]]&gt;0),tblPlant[[#This Row],[Milled_t]]/tblPlant[[#This Row],[Mill_Run_h]],"")</f>
        <v/>
      </c>
      <c r="X88" s="60">
        <f>IF(tblPlant[[#This Row],[Mill_Run_h]]="","",(24-tblPlant[[#This Row],[Mill_Planned_Maint_h]]-tblPlant[[#This Row],[Mill_Unplanned_Down_h]])/24)</f>
        <v/>
      </c>
      <c r="Y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9">
      <c r="A89" s="54" t="n">
        <v>46106</v>
      </c>
      <c r="B89" s="55" t="n"/>
      <c r="C89" s="55" t="n"/>
      <c r="D89" s="56" t="n"/>
      <c r="E89" s="56" t="n"/>
      <c r="F89" s="55" t="n"/>
      <c r="G89" s="55" t="n"/>
      <c r="H89" s="57" t="n"/>
      <c r="I89" s="57" t="n"/>
      <c r="J89" s="57" t="n"/>
      <c r="K89" s="57" t="n"/>
      <c r="L89" s="55" t="n"/>
      <c r="M89" s="55" t="n"/>
      <c r="N89" s="55" t="n"/>
      <c r="O89" s="55" t="n"/>
      <c r="P89" s="55" t="n"/>
      <c r="Q89" s="55" t="n"/>
      <c r="R89" s="58" t="n"/>
      <c r="S89" s="59">
        <f>IF(tblPlant[[#This Row],[Milled_t]]="","",tblPlant[[#This Row],[Milled_t]]*tblPlant[[#This Row],[Head_Grade_gpt]]/cfg_TroyOz)</f>
        <v/>
      </c>
      <c r="T89" s="59">
        <f>IF(tblPlant[[#This Row],[Milled_t]]="","",tblPlant[[#This Row],[Milled_t]]*tblPlant[[#This Row],[Tails_Grade_gpt]]/cfg_TroyOz)</f>
        <v/>
      </c>
      <c r="U89" s="59">
        <f>IF(tblPlant[[#This Row],[Milled_t]]="","",tblPlant[[#This Row],[Feed_oz]]-tblPlant[[#This Row],[Tails_oz]])</f>
        <v/>
      </c>
      <c r="V89" s="60">
        <f>IF(AND(tblPlant[[#This Row],[Milled_t]]&lt;&gt;"",tblPlant[[#This Row],[Feed_oz]]&gt;0),tblPlant[[#This Row],[Recovered_oz]]/tblPlant[[#This Row],[Feed_oz]],"")</f>
        <v/>
      </c>
      <c r="W89" s="59">
        <f>IF(AND(tblPlant[[#This Row],[Milled_t]]&lt;&gt;"",tblPlant[[#This Row],[Mill_Run_h]]&gt;0),tblPlant[[#This Row],[Milled_t]]/tblPlant[[#This Row],[Mill_Run_h]],"")</f>
        <v/>
      </c>
      <c r="X89" s="60">
        <f>IF(tblPlant[[#This Row],[Mill_Run_h]]="","",(24-tblPlant[[#This Row],[Mill_Planned_Maint_h]]-tblPlant[[#This Row],[Mill_Unplanned_Down_h]])/24)</f>
        <v/>
      </c>
      <c r="Y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0">
      <c r="A90" s="54" t="n">
        <v>46107</v>
      </c>
      <c r="B90" s="55" t="n"/>
      <c r="C90" s="55" t="n"/>
      <c r="D90" s="56" t="n"/>
      <c r="E90" s="56" t="n"/>
      <c r="F90" s="55" t="n"/>
      <c r="G90" s="55" t="n"/>
      <c r="H90" s="57" t="n"/>
      <c r="I90" s="57" t="n"/>
      <c r="J90" s="57" t="n"/>
      <c r="K90" s="57" t="n"/>
      <c r="L90" s="55" t="n"/>
      <c r="M90" s="55" t="n"/>
      <c r="N90" s="55" t="n"/>
      <c r="O90" s="55" t="n"/>
      <c r="P90" s="55" t="n"/>
      <c r="Q90" s="55" t="n"/>
      <c r="R90" s="58" t="n"/>
      <c r="S90" s="59">
        <f>IF(tblPlant[[#This Row],[Milled_t]]="","",tblPlant[[#This Row],[Milled_t]]*tblPlant[[#This Row],[Head_Grade_gpt]]/cfg_TroyOz)</f>
        <v/>
      </c>
      <c r="T90" s="59">
        <f>IF(tblPlant[[#This Row],[Milled_t]]="","",tblPlant[[#This Row],[Milled_t]]*tblPlant[[#This Row],[Tails_Grade_gpt]]/cfg_TroyOz)</f>
        <v/>
      </c>
      <c r="U90" s="59">
        <f>IF(tblPlant[[#This Row],[Milled_t]]="","",tblPlant[[#This Row],[Feed_oz]]-tblPlant[[#This Row],[Tails_oz]])</f>
        <v/>
      </c>
      <c r="V90" s="60">
        <f>IF(AND(tblPlant[[#This Row],[Milled_t]]&lt;&gt;"",tblPlant[[#This Row],[Feed_oz]]&gt;0),tblPlant[[#This Row],[Recovered_oz]]/tblPlant[[#This Row],[Feed_oz]],"")</f>
        <v/>
      </c>
      <c r="W90" s="59">
        <f>IF(AND(tblPlant[[#This Row],[Milled_t]]&lt;&gt;"",tblPlant[[#This Row],[Mill_Run_h]]&gt;0),tblPlant[[#This Row],[Milled_t]]/tblPlant[[#This Row],[Mill_Run_h]],"")</f>
        <v/>
      </c>
      <c r="X90" s="60">
        <f>IF(tblPlant[[#This Row],[Mill_Run_h]]="","",(24-tblPlant[[#This Row],[Mill_Planned_Maint_h]]-tblPlant[[#This Row],[Mill_Unplanned_Down_h]])/24)</f>
        <v/>
      </c>
      <c r="Y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1">
      <c r="A91" s="54" t="n">
        <v>46108</v>
      </c>
      <c r="B91" s="55" t="n"/>
      <c r="C91" s="55" t="n"/>
      <c r="D91" s="56" t="n"/>
      <c r="E91" s="56" t="n"/>
      <c r="F91" s="55" t="n"/>
      <c r="G91" s="55" t="n"/>
      <c r="H91" s="57" t="n"/>
      <c r="I91" s="57" t="n"/>
      <c r="J91" s="57" t="n"/>
      <c r="K91" s="57" t="n"/>
      <c r="L91" s="55" t="n"/>
      <c r="M91" s="55" t="n"/>
      <c r="N91" s="55" t="n"/>
      <c r="O91" s="55" t="n"/>
      <c r="P91" s="55" t="n"/>
      <c r="Q91" s="55" t="n"/>
      <c r="R91" s="58" t="n"/>
      <c r="S91" s="59">
        <f>IF(tblPlant[[#This Row],[Milled_t]]="","",tblPlant[[#This Row],[Milled_t]]*tblPlant[[#This Row],[Head_Grade_gpt]]/cfg_TroyOz)</f>
        <v/>
      </c>
      <c r="T91" s="59">
        <f>IF(tblPlant[[#This Row],[Milled_t]]="","",tblPlant[[#This Row],[Milled_t]]*tblPlant[[#This Row],[Tails_Grade_gpt]]/cfg_TroyOz)</f>
        <v/>
      </c>
      <c r="U91" s="59">
        <f>IF(tblPlant[[#This Row],[Milled_t]]="","",tblPlant[[#This Row],[Feed_oz]]-tblPlant[[#This Row],[Tails_oz]])</f>
        <v/>
      </c>
      <c r="V91" s="60">
        <f>IF(AND(tblPlant[[#This Row],[Milled_t]]&lt;&gt;"",tblPlant[[#This Row],[Feed_oz]]&gt;0),tblPlant[[#This Row],[Recovered_oz]]/tblPlant[[#This Row],[Feed_oz]],"")</f>
        <v/>
      </c>
      <c r="W91" s="59">
        <f>IF(AND(tblPlant[[#This Row],[Milled_t]]&lt;&gt;"",tblPlant[[#This Row],[Mill_Run_h]]&gt;0),tblPlant[[#This Row],[Milled_t]]/tblPlant[[#This Row],[Mill_Run_h]],"")</f>
        <v/>
      </c>
      <c r="X91" s="60">
        <f>IF(tblPlant[[#This Row],[Mill_Run_h]]="","",(24-tblPlant[[#This Row],[Mill_Planned_Maint_h]]-tblPlant[[#This Row],[Mill_Unplanned_Down_h]])/24)</f>
        <v/>
      </c>
      <c r="Y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2">
      <c r="A92" s="54" t="n">
        <v>46109</v>
      </c>
      <c r="B92" s="55" t="n"/>
      <c r="C92" s="55" t="n"/>
      <c r="D92" s="56" t="n"/>
      <c r="E92" s="56" t="n"/>
      <c r="F92" s="55" t="n"/>
      <c r="G92" s="55" t="n"/>
      <c r="H92" s="57" t="n"/>
      <c r="I92" s="57" t="n"/>
      <c r="J92" s="57" t="n"/>
      <c r="K92" s="57" t="n"/>
      <c r="L92" s="55" t="n"/>
      <c r="M92" s="55" t="n"/>
      <c r="N92" s="55" t="n"/>
      <c r="O92" s="55" t="n"/>
      <c r="P92" s="55" t="n"/>
      <c r="Q92" s="55" t="n"/>
      <c r="R92" s="58" t="n"/>
      <c r="S92" s="59">
        <f>IF(tblPlant[[#This Row],[Milled_t]]="","",tblPlant[[#This Row],[Milled_t]]*tblPlant[[#This Row],[Head_Grade_gpt]]/cfg_TroyOz)</f>
        <v/>
      </c>
      <c r="T92" s="59">
        <f>IF(tblPlant[[#This Row],[Milled_t]]="","",tblPlant[[#This Row],[Milled_t]]*tblPlant[[#This Row],[Tails_Grade_gpt]]/cfg_TroyOz)</f>
        <v/>
      </c>
      <c r="U92" s="59">
        <f>IF(tblPlant[[#This Row],[Milled_t]]="","",tblPlant[[#This Row],[Feed_oz]]-tblPlant[[#This Row],[Tails_oz]])</f>
        <v/>
      </c>
      <c r="V92" s="60">
        <f>IF(AND(tblPlant[[#This Row],[Milled_t]]&lt;&gt;"",tblPlant[[#This Row],[Feed_oz]]&gt;0),tblPlant[[#This Row],[Recovered_oz]]/tblPlant[[#This Row],[Feed_oz]],"")</f>
        <v/>
      </c>
      <c r="W92" s="59">
        <f>IF(AND(tblPlant[[#This Row],[Milled_t]]&lt;&gt;"",tblPlant[[#This Row],[Mill_Run_h]]&gt;0),tblPlant[[#This Row],[Milled_t]]/tblPlant[[#This Row],[Mill_Run_h]],"")</f>
        <v/>
      </c>
      <c r="X92" s="60">
        <f>IF(tblPlant[[#This Row],[Mill_Run_h]]="","",(24-tblPlant[[#This Row],[Mill_Planned_Maint_h]]-tblPlant[[#This Row],[Mill_Unplanned_Down_h]])/24)</f>
        <v/>
      </c>
      <c r="Y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3">
      <c r="A93" s="54" t="n">
        <v>46110</v>
      </c>
      <c r="B93" s="55" t="n"/>
      <c r="C93" s="55" t="n"/>
      <c r="D93" s="56" t="n"/>
      <c r="E93" s="56" t="n"/>
      <c r="F93" s="55" t="n"/>
      <c r="G93" s="55" t="n"/>
      <c r="H93" s="57" t="n"/>
      <c r="I93" s="57" t="n"/>
      <c r="J93" s="57" t="n"/>
      <c r="K93" s="57" t="n"/>
      <c r="L93" s="55" t="n"/>
      <c r="M93" s="55" t="n"/>
      <c r="N93" s="55" t="n"/>
      <c r="O93" s="55" t="n"/>
      <c r="P93" s="55" t="n"/>
      <c r="Q93" s="55" t="n"/>
      <c r="R93" s="58" t="n"/>
      <c r="S93" s="59">
        <f>IF(tblPlant[[#This Row],[Milled_t]]="","",tblPlant[[#This Row],[Milled_t]]*tblPlant[[#This Row],[Head_Grade_gpt]]/cfg_TroyOz)</f>
        <v/>
      </c>
      <c r="T93" s="59">
        <f>IF(tblPlant[[#This Row],[Milled_t]]="","",tblPlant[[#This Row],[Milled_t]]*tblPlant[[#This Row],[Tails_Grade_gpt]]/cfg_TroyOz)</f>
        <v/>
      </c>
      <c r="U93" s="59">
        <f>IF(tblPlant[[#This Row],[Milled_t]]="","",tblPlant[[#This Row],[Feed_oz]]-tblPlant[[#This Row],[Tails_oz]])</f>
        <v/>
      </c>
      <c r="V93" s="60">
        <f>IF(AND(tblPlant[[#This Row],[Milled_t]]&lt;&gt;"",tblPlant[[#This Row],[Feed_oz]]&gt;0),tblPlant[[#This Row],[Recovered_oz]]/tblPlant[[#This Row],[Feed_oz]],"")</f>
        <v/>
      </c>
      <c r="W93" s="59">
        <f>IF(AND(tblPlant[[#This Row],[Milled_t]]&lt;&gt;"",tblPlant[[#This Row],[Mill_Run_h]]&gt;0),tblPlant[[#This Row],[Milled_t]]/tblPlant[[#This Row],[Mill_Run_h]],"")</f>
        <v/>
      </c>
      <c r="X93" s="60">
        <f>IF(tblPlant[[#This Row],[Mill_Run_h]]="","",(24-tblPlant[[#This Row],[Mill_Planned_Maint_h]]-tblPlant[[#This Row],[Mill_Unplanned_Down_h]])/24)</f>
        <v/>
      </c>
      <c r="Y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4">
      <c r="A94" s="54" t="n">
        <v>46111</v>
      </c>
      <c r="B94" s="55" t="n"/>
      <c r="C94" s="55" t="n"/>
      <c r="D94" s="56" t="n"/>
      <c r="E94" s="56" t="n"/>
      <c r="F94" s="55" t="n"/>
      <c r="G94" s="55" t="n"/>
      <c r="H94" s="57" t="n"/>
      <c r="I94" s="57" t="n"/>
      <c r="J94" s="57" t="n"/>
      <c r="K94" s="57" t="n"/>
      <c r="L94" s="55" t="n"/>
      <c r="M94" s="55" t="n"/>
      <c r="N94" s="55" t="n"/>
      <c r="O94" s="55" t="n"/>
      <c r="P94" s="55" t="n"/>
      <c r="Q94" s="55" t="n"/>
      <c r="R94" s="58" t="n"/>
      <c r="S94" s="59">
        <f>IF(tblPlant[[#This Row],[Milled_t]]="","",tblPlant[[#This Row],[Milled_t]]*tblPlant[[#This Row],[Head_Grade_gpt]]/cfg_TroyOz)</f>
        <v/>
      </c>
      <c r="T94" s="59">
        <f>IF(tblPlant[[#This Row],[Milled_t]]="","",tblPlant[[#This Row],[Milled_t]]*tblPlant[[#This Row],[Tails_Grade_gpt]]/cfg_TroyOz)</f>
        <v/>
      </c>
      <c r="U94" s="59">
        <f>IF(tblPlant[[#This Row],[Milled_t]]="","",tblPlant[[#This Row],[Feed_oz]]-tblPlant[[#This Row],[Tails_oz]])</f>
        <v/>
      </c>
      <c r="V94" s="60">
        <f>IF(AND(tblPlant[[#This Row],[Milled_t]]&lt;&gt;"",tblPlant[[#This Row],[Feed_oz]]&gt;0),tblPlant[[#This Row],[Recovered_oz]]/tblPlant[[#This Row],[Feed_oz]],"")</f>
        <v/>
      </c>
      <c r="W94" s="59">
        <f>IF(AND(tblPlant[[#This Row],[Milled_t]]&lt;&gt;"",tblPlant[[#This Row],[Mill_Run_h]]&gt;0),tblPlant[[#This Row],[Milled_t]]/tblPlant[[#This Row],[Mill_Run_h]],"")</f>
        <v/>
      </c>
      <c r="X94" s="60">
        <f>IF(tblPlant[[#This Row],[Mill_Run_h]]="","",(24-tblPlant[[#This Row],[Mill_Planned_Maint_h]]-tblPlant[[#This Row],[Mill_Unplanned_Down_h]])/24)</f>
        <v/>
      </c>
      <c r="Y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5">
      <c r="A95" s="54" t="n">
        <v>46112</v>
      </c>
      <c r="B95" s="55" t="n"/>
      <c r="C95" s="55" t="n"/>
      <c r="D95" s="56" t="n"/>
      <c r="E95" s="56" t="n"/>
      <c r="F95" s="55" t="n"/>
      <c r="G95" s="55" t="n"/>
      <c r="H95" s="57" t="n"/>
      <c r="I95" s="57" t="n"/>
      <c r="J95" s="57" t="n"/>
      <c r="K95" s="57" t="n"/>
      <c r="L95" s="55" t="n"/>
      <c r="M95" s="55" t="n"/>
      <c r="N95" s="55" t="n"/>
      <c r="O95" s="55" t="n"/>
      <c r="P95" s="55" t="n"/>
      <c r="Q95" s="55" t="n"/>
      <c r="R95" s="58" t="n"/>
      <c r="S95" s="59">
        <f>IF(tblPlant[[#This Row],[Milled_t]]="","",tblPlant[[#This Row],[Milled_t]]*tblPlant[[#This Row],[Head_Grade_gpt]]/cfg_TroyOz)</f>
        <v/>
      </c>
      <c r="T95" s="59">
        <f>IF(tblPlant[[#This Row],[Milled_t]]="","",tblPlant[[#This Row],[Milled_t]]*tblPlant[[#This Row],[Tails_Grade_gpt]]/cfg_TroyOz)</f>
        <v/>
      </c>
      <c r="U95" s="59">
        <f>IF(tblPlant[[#This Row],[Milled_t]]="","",tblPlant[[#This Row],[Feed_oz]]-tblPlant[[#This Row],[Tails_oz]])</f>
        <v/>
      </c>
      <c r="V95" s="60">
        <f>IF(AND(tblPlant[[#This Row],[Milled_t]]&lt;&gt;"",tblPlant[[#This Row],[Feed_oz]]&gt;0),tblPlant[[#This Row],[Recovered_oz]]/tblPlant[[#This Row],[Feed_oz]],"")</f>
        <v/>
      </c>
      <c r="W95" s="59">
        <f>IF(AND(tblPlant[[#This Row],[Milled_t]]&lt;&gt;"",tblPlant[[#This Row],[Mill_Run_h]]&gt;0),tblPlant[[#This Row],[Milled_t]]/tblPlant[[#This Row],[Mill_Run_h]],"")</f>
        <v/>
      </c>
      <c r="X95" s="60">
        <f>IF(tblPlant[[#This Row],[Mill_Run_h]]="","",(24-tblPlant[[#This Row],[Mill_Planned_Maint_h]]-tblPlant[[#This Row],[Mill_Unplanned_Down_h]])/24)</f>
        <v/>
      </c>
      <c r="Y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6">
      <c r="A96" s="54" t="n">
        <v>46113</v>
      </c>
      <c r="B96" s="55" t="n"/>
      <c r="C96" s="55" t="n"/>
      <c r="D96" s="56" t="n"/>
      <c r="E96" s="56" t="n"/>
      <c r="F96" s="55" t="n"/>
      <c r="G96" s="55" t="n"/>
      <c r="H96" s="57" t="n"/>
      <c r="I96" s="57" t="n"/>
      <c r="J96" s="57" t="n"/>
      <c r="K96" s="57" t="n"/>
      <c r="L96" s="55" t="n"/>
      <c r="M96" s="55" t="n"/>
      <c r="N96" s="55" t="n"/>
      <c r="O96" s="55" t="n"/>
      <c r="P96" s="55" t="n"/>
      <c r="Q96" s="55" t="n"/>
      <c r="R96" s="58" t="n"/>
      <c r="S96" s="59">
        <f>IF(tblPlant[[#This Row],[Milled_t]]="","",tblPlant[[#This Row],[Milled_t]]*tblPlant[[#This Row],[Head_Grade_gpt]]/cfg_TroyOz)</f>
        <v/>
      </c>
      <c r="T96" s="59">
        <f>IF(tblPlant[[#This Row],[Milled_t]]="","",tblPlant[[#This Row],[Milled_t]]*tblPlant[[#This Row],[Tails_Grade_gpt]]/cfg_TroyOz)</f>
        <v/>
      </c>
      <c r="U96" s="59">
        <f>IF(tblPlant[[#This Row],[Milled_t]]="","",tblPlant[[#This Row],[Feed_oz]]-tblPlant[[#This Row],[Tails_oz]])</f>
        <v/>
      </c>
      <c r="V96" s="60">
        <f>IF(AND(tblPlant[[#This Row],[Milled_t]]&lt;&gt;"",tblPlant[[#This Row],[Feed_oz]]&gt;0),tblPlant[[#This Row],[Recovered_oz]]/tblPlant[[#This Row],[Feed_oz]],"")</f>
        <v/>
      </c>
      <c r="W96" s="59">
        <f>IF(AND(tblPlant[[#This Row],[Milled_t]]&lt;&gt;"",tblPlant[[#This Row],[Mill_Run_h]]&gt;0),tblPlant[[#This Row],[Milled_t]]/tblPlant[[#This Row],[Mill_Run_h]],"")</f>
        <v/>
      </c>
      <c r="X96" s="60">
        <f>IF(tblPlant[[#This Row],[Mill_Run_h]]="","",(24-tblPlant[[#This Row],[Mill_Planned_Maint_h]]-tblPlant[[#This Row],[Mill_Unplanned_Down_h]])/24)</f>
        <v/>
      </c>
      <c r="Y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7">
      <c r="A97" s="54" t="n">
        <v>46114</v>
      </c>
      <c r="B97" s="55" t="n"/>
      <c r="C97" s="55" t="n"/>
      <c r="D97" s="56" t="n"/>
      <c r="E97" s="56" t="n"/>
      <c r="F97" s="55" t="n"/>
      <c r="G97" s="55" t="n"/>
      <c r="H97" s="57" t="n"/>
      <c r="I97" s="57" t="n"/>
      <c r="J97" s="57" t="n"/>
      <c r="K97" s="57" t="n"/>
      <c r="L97" s="55" t="n"/>
      <c r="M97" s="55" t="n"/>
      <c r="N97" s="55" t="n"/>
      <c r="O97" s="55" t="n"/>
      <c r="P97" s="55" t="n"/>
      <c r="Q97" s="55" t="n"/>
      <c r="R97" s="58" t="n"/>
      <c r="S97" s="59">
        <f>IF(tblPlant[[#This Row],[Milled_t]]="","",tblPlant[[#This Row],[Milled_t]]*tblPlant[[#This Row],[Head_Grade_gpt]]/cfg_TroyOz)</f>
        <v/>
      </c>
      <c r="T97" s="59">
        <f>IF(tblPlant[[#This Row],[Milled_t]]="","",tblPlant[[#This Row],[Milled_t]]*tblPlant[[#This Row],[Tails_Grade_gpt]]/cfg_TroyOz)</f>
        <v/>
      </c>
      <c r="U97" s="59">
        <f>IF(tblPlant[[#This Row],[Milled_t]]="","",tblPlant[[#This Row],[Feed_oz]]-tblPlant[[#This Row],[Tails_oz]])</f>
        <v/>
      </c>
      <c r="V97" s="60">
        <f>IF(AND(tblPlant[[#This Row],[Milled_t]]&lt;&gt;"",tblPlant[[#This Row],[Feed_oz]]&gt;0),tblPlant[[#This Row],[Recovered_oz]]/tblPlant[[#This Row],[Feed_oz]],"")</f>
        <v/>
      </c>
      <c r="W97" s="59">
        <f>IF(AND(tblPlant[[#This Row],[Milled_t]]&lt;&gt;"",tblPlant[[#This Row],[Mill_Run_h]]&gt;0),tblPlant[[#This Row],[Milled_t]]/tblPlant[[#This Row],[Mill_Run_h]],"")</f>
        <v/>
      </c>
      <c r="X97" s="60">
        <f>IF(tblPlant[[#This Row],[Mill_Run_h]]="","",(24-tblPlant[[#This Row],[Mill_Planned_Maint_h]]-tblPlant[[#This Row],[Mill_Unplanned_Down_h]])/24)</f>
        <v/>
      </c>
      <c r="Y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8">
      <c r="A98" s="54" t="n">
        <v>46115</v>
      </c>
      <c r="B98" s="55" t="n"/>
      <c r="C98" s="55" t="n"/>
      <c r="D98" s="56" t="n"/>
      <c r="E98" s="56" t="n"/>
      <c r="F98" s="55" t="n"/>
      <c r="G98" s="55" t="n"/>
      <c r="H98" s="57" t="n"/>
      <c r="I98" s="57" t="n"/>
      <c r="J98" s="57" t="n"/>
      <c r="K98" s="57" t="n"/>
      <c r="L98" s="55" t="n"/>
      <c r="M98" s="55" t="n"/>
      <c r="N98" s="55" t="n"/>
      <c r="O98" s="55" t="n"/>
      <c r="P98" s="55" t="n"/>
      <c r="Q98" s="55" t="n"/>
      <c r="R98" s="58" t="n"/>
      <c r="S98" s="59">
        <f>IF(tblPlant[[#This Row],[Milled_t]]="","",tblPlant[[#This Row],[Milled_t]]*tblPlant[[#This Row],[Head_Grade_gpt]]/cfg_TroyOz)</f>
        <v/>
      </c>
      <c r="T98" s="59">
        <f>IF(tblPlant[[#This Row],[Milled_t]]="","",tblPlant[[#This Row],[Milled_t]]*tblPlant[[#This Row],[Tails_Grade_gpt]]/cfg_TroyOz)</f>
        <v/>
      </c>
      <c r="U98" s="59">
        <f>IF(tblPlant[[#This Row],[Milled_t]]="","",tblPlant[[#This Row],[Feed_oz]]-tblPlant[[#This Row],[Tails_oz]])</f>
        <v/>
      </c>
      <c r="V98" s="60">
        <f>IF(AND(tblPlant[[#This Row],[Milled_t]]&lt;&gt;"",tblPlant[[#This Row],[Feed_oz]]&gt;0),tblPlant[[#This Row],[Recovered_oz]]/tblPlant[[#This Row],[Feed_oz]],"")</f>
        <v/>
      </c>
      <c r="W98" s="59">
        <f>IF(AND(tblPlant[[#This Row],[Milled_t]]&lt;&gt;"",tblPlant[[#This Row],[Mill_Run_h]]&gt;0),tblPlant[[#This Row],[Milled_t]]/tblPlant[[#This Row],[Mill_Run_h]],"")</f>
        <v/>
      </c>
      <c r="X98" s="60">
        <f>IF(tblPlant[[#This Row],[Mill_Run_h]]="","",(24-tblPlant[[#This Row],[Mill_Planned_Maint_h]]-tblPlant[[#This Row],[Mill_Unplanned_Down_h]])/24)</f>
        <v/>
      </c>
      <c r="Y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9">
      <c r="A99" s="54" t="n">
        <v>46116</v>
      </c>
      <c r="B99" s="55" t="n"/>
      <c r="C99" s="55" t="n"/>
      <c r="D99" s="56" t="n"/>
      <c r="E99" s="56" t="n"/>
      <c r="F99" s="55" t="n"/>
      <c r="G99" s="55" t="n"/>
      <c r="H99" s="57" t="n"/>
      <c r="I99" s="57" t="n"/>
      <c r="J99" s="57" t="n"/>
      <c r="K99" s="57" t="n"/>
      <c r="L99" s="55" t="n"/>
      <c r="M99" s="55" t="n"/>
      <c r="N99" s="55" t="n"/>
      <c r="O99" s="55" t="n"/>
      <c r="P99" s="55" t="n"/>
      <c r="Q99" s="55" t="n"/>
      <c r="R99" s="58" t="n"/>
      <c r="S99" s="59">
        <f>IF(tblPlant[[#This Row],[Milled_t]]="","",tblPlant[[#This Row],[Milled_t]]*tblPlant[[#This Row],[Head_Grade_gpt]]/cfg_TroyOz)</f>
        <v/>
      </c>
      <c r="T99" s="59">
        <f>IF(tblPlant[[#This Row],[Milled_t]]="","",tblPlant[[#This Row],[Milled_t]]*tblPlant[[#This Row],[Tails_Grade_gpt]]/cfg_TroyOz)</f>
        <v/>
      </c>
      <c r="U99" s="59">
        <f>IF(tblPlant[[#This Row],[Milled_t]]="","",tblPlant[[#This Row],[Feed_oz]]-tblPlant[[#This Row],[Tails_oz]])</f>
        <v/>
      </c>
      <c r="V99" s="60">
        <f>IF(AND(tblPlant[[#This Row],[Milled_t]]&lt;&gt;"",tblPlant[[#This Row],[Feed_oz]]&gt;0),tblPlant[[#This Row],[Recovered_oz]]/tblPlant[[#This Row],[Feed_oz]],"")</f>
        <v/>
      </c>
      <c r="W99" s="59">
        <f>IF(AND(tblPlant[[#This Row],[Milled_t]]&lt;&gt;"",tblPlant[[#This Row],[Mill_Run_h]]&gt;0),tblPlant[[#This Row],[Milled_t]]/tblPlant[[#This Row],[Mill_Run_h]],"")</f>
        <v/>
      </c>
      <c r="X99" s="60">
        <f>IF(tblPlant[[#This Row],[Mill_Run_h]]="","",(24-tblPlant[[#This Row],[Mill_Planned_Maint_h]]-tblPlant[[#This Row],[Mill_Unplanned_Down_h]])/24)</f>
        <v/>
      </c>
      <c r="Y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0">
      <c r="A100" s="54" t="n">
        <v>46117</v>
      </c>
      <c r="B100" s="55" t="n"/>
      <c r="C100" s="55" t="n"/>
      <c r="D100" s="56" t="n"/>
      <c r="E100" s="56" t="n"/>
      <c r="F100" s="55" t="n"/>
      <c r="G100" s="55" t="n"/>
      <c r="H100" s="57" t="n"/>
      <c r="I100" s="57" t="n"/>
      <c r="J100" s="57" t="n"/>
      <c r="K100" s="57" t="n"/>
      <c r="L100" s="55" t="n"/>
      <c r="M100" s="55" t="n"/>
      <c r="N100" s="55" t="n"/>
      <c r="O100" s="55" t="n"/>
      <c r="P100" s="55" t="n"/>
      <c r="Q100" s="55" t="n"/>
      <c r="R100" s="58" t="n"/>
      <c r="S100" s="59">
        <f>IF(tblPlant[[#This Row],[Milled_t]]="","",tblPlant[[#This Row],[Milled_t]]*tblPlant[[#This Row],[Head_Grade_gpt]]/cfg_TroyOz)</f>
        <v/>
      </c>
      <c r="T100" s="59">
        <f>IF(tblPlant[[#This Row],[Milled_t]]="","",tblPlant[[#This Row],[Milled_t]]*tblPlant[[#This Row],[Tails_Grade_gpt]]/cfg_TroyOz)</f>
        <v/>
      </c>
      <c r="U100" s="59">
        <f>IF(tblPlant[[#This Row],[Milled_t]]="","",tblPlant[[#This Row],[Feed_oz]]-tblPlant[[#This Row],[Tails_oz]])</f>
        <v/>
      </c>
      <c r="V100" s="60">
        <f>IF(AND(tblPlant[[#This Row],[Milled_t]]&lt;&gt;"",tblPlant[[#This Row],[Feed_oz]]&gt;0),tblPlant[[#This Row],[Recovered_oz]]/tblPlant[[#This Row],[Feed_oz]],"")</f>
        <v/>
      </c>
      <c r="W100" s="59">
        <f>IF(AND(tblPlant[[#This Row],[Milled_t]]&lt;&gt;"",tblPlant[[#This Row],[Mill_Run_h]]&gt;0),tblPlant[[#This Row],[Milled_t]]/tblPlant[[#This Row],[Mill_Run_h]],"")</f>
        <v/>
      </c>
      <c r="X100" s="60">
        <f>IF(tblPlant[[#This Row],[Mill_Run_h]]="","",(24-tblPlant[[#This Row],[Mill_Planned_Maint_h]]-tblPlant[[#This Row],[Mill_Unplanned_Down_h]])/24)</f>
        <v/>
      </c>
      <c r="Y1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1">
      <c r="A101" s="54" t="n">
        <v>46118</v>
      </c>
      <c r="B101" s="55" t="n"/>
      <c r="C101" s="55" t="n"/>
      <c r="D101" s="56" t="n"/>
      <c r="E101" s="56" t="n"/>
      <c r="F101" s="55" t="n"/>
      <c r="G101" s="55" t="n"/>
      <c r="H101" s="57" t="n"/>
      <c r="I101" s="57" t="n"/>
      <c r="J101" s="57" t="n"/>
      <c r="K101" s="57" t="n"/>
      <c r="L101" s="55" t="n"/>
      <c r="M101" s="55" t="n"/>
      <c r="N101" s="55" t="n"/>
      <c r="O101" s="55" t="n"/>
      <c r="P101" s="55" t="n"/>
      <c r="Q101" s="55" t="n"/>
      <c r="R101" s="58" t="n"/>
      <c r="S101" s="59">
        <f>IF(tblPlant[[#This Row],[Milled_t]]="","",tblPlant[[#This Row],[Milled_t]]*tblPlant[[#This Row],[Head_Grade_gpt]]/cfg_TroyOz)</f>
        <v/>
      </c>
      <c r="T101" s="59">
        <f>IF(tblPlant[[#This Row],[Milled_t]]="","",tblPlant[[#This Row],[Milled_t]]*tblPlant[[#This Row],[Tails_Grade_gpt]]/cfg_TroyOz)</f>
        <v/>
      </c>
      <c r="U101" s="59">
        <f>IF(tblPlant[[#This Row],[Milled_t]]="","",tblPlant[[#This Row],[Feed_oz]]-tblPlant[[#This Row],[Tails_oz]])</f>
        <v/>
      </c>
      <c r="V101" s="60">
        <f>IF(AND(tblPlant[[#This Row],[Milled_t]]&lt;&gt;"",tblPlant[[#This Row],[Feed_oz]]&gt;0),tblPlant[[#This Row],[Recovered_oz]]/tblPlant[[#This Row],[Feed_oz]],"")</f>
        <v/>
      </c>
      <c r="W101" s="59">
        <f>IF(AND(tblPlant[[#This Row],[Milled_t]]&lt;&gt;"",tblPlant[[#This Row],[Mill_Run_h]]&gt;0),tblPlant[[#This Row],[Milled_t]]/tblPlant[[#This Row],[Mill_Run_h]],"")</f>
        <v/>
      </c>
      <c r="X101" s="60">
        <f>IF(tblPlant[[#This Row],[Mill_Run_h]]="","",(24-tblPlant[[#This Row],[Mill_Planned_Maint_h]]-tblPlant[[#This Row],[Mill_Unplanned_Down_h]])/24)</f>
        <v/>
      </c>
      <c r="Y1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2">
      <c r="A102" s="54" t="n">
        <v>46119</v>
      </c>
      <c r="B102" s="55" t="n"/>
      <c r="C102" s="55" t="n"/>
      <c r="D102" s="56" t="n"/>
      <c r="E102" s="56" t="n"/>
      <c r="F102" s="55" t="n"/>
      <c r="G102" s="55" t="n"/>
      <c r="H102" s="57" t="n"/>
      <c r="I102" s="57" t="n"/>
      <c r="J102" s="57" t="n"/>
      <c r="K102" s="57" t="n"/>
      <c r="L102" s="55" t="n"/>
      <c r="M102" s="55" t="n"/>
      <c r="N102" s="55" t="n"/>
      <c r="O102" s="55" t="n"/>
      <c r="P102" s="55" t="n"/>
      <c r="Q102" s="55" t="n"/>
      <c r="R102" s="58" t="n"/>
      <c r="S102" s="59">
        <f>IF(tblPlant[[#This Row],[Milled_t]]="","",tblPlant[[#This Row],[Milled_t]]*tblPlant[[#This Row],[Head_Grade_gpt]]/cfg_TroyOz)</f>
        <v/>
      </c>
      <c r="T102" s="59">
        <f>IF(tblPlant[[#This Row],[Milled_t]]="","",tblPlant[[#This Row],[Milled_t]]*tblPlant[[#This Row],[Tails_Grade_gpt]]/cfg_TroyOz)</f>
        <v/>
      </c>
      <c r="U102" s="59">
        <f>IF(tblPlant[[#This Row],[Milled_t]]="","",tblPlant[[#This Row],[Feed_oz]]-tblPlant[[#This Row],[Tails_oz]])</f>
        <v/>
      </c>
      <c r="V102" s="60">
        <f>IF(AND(tblPlant[[#This Row],[Milled_t]]&lt;&gt;"",tblPlant[[#This Row],[Feed_oz]]&gt;0),tblPlant[[#This Row],[Recovered_oz]]/tblPlant[[#This Row],[Feed_oz]],"")</f>
        <v/>
      </c>
      <c r="W102" s="59">
        <f>IF(AND(tblPlant[[#This Row],[Milled_t]]&lt;&gt;"",tblPlant[[#This Row],[Mill_Run_h]]&gt;0),tblPlant[[#This Row],[Milled_t]]/tblPlant[[#This Row],[Mill_Run_h]],"")</f>
        <v/>
      </c>
      <c r="X102" s="60">
        <f>IF(tblPlant[[#This Row],[Mill_Run_h]]="","",(24-tblPlant[[#This Row],[Mill_Planned_Maint_h]]-tblPlant[[#This Row],[Mill_Unplanned_Down_h]])/24)</f>
        <v/>
      </c>
      <c r="Y1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3">
      <c r="A103" s="54" t="n">
        <v>46120</v>
      </c>
      <c r="B103" s="55" t="n"/>
      <c r="C103" s="55" t="n"/>
      <c r="D103" s="56" t="n"/>
      <c r="E103" s="56" t="n"/>
      <c r="F103" s="55" t="n"/>
      <c r="G103" s="55" t="n"/>
      <c r="H103" s="57" t="n"/>
      <c r="I103" s="57" t="n"/>
      <c r="J103" s="57" t="n"/>
      <c r="K103" s="57" t="n"/>
      <c r="L103" s="55" t="n"/>
      <c r="M103" s="55" t="n"/>
      <c r="N103" s="55" t="n"/>
      <c r="O103" s="55" t="n"/>
      <c r="P103" s="55" t="n"/>
      <c r="Q103" s="55" t="n"/>
      <c r="R103" s="58" t="n"/>
      <c r="S103" s="59">
        <f>IF(tblPlant[[#This Row],[Milled_t]]="","",tblPlant[[#This Row],[Milled_t]]*tblPlant[[#This Row],[Head_Grade_gpt]]/cfg_TroyOz)</f>
        <v/>
      </c>
      <c r="T103" s="59">
        <f>IF(tblPlant[[#This Row],[Milled_t]]="","",tblPlant[[#This Row],[Milled_t]]*tblPlant[[#This Row],[Tails_Grade_gpt]]/cfg_TroyOz)</f>
        <v/>
      </c>
      <c r="U103" s="59">
        <f>IF(tblPlant[[#This Row],[Milled_t]]="","",tblPlant[[#This Row],[Feed_oz]]-tblPlant[[#This Row],[Tails_oz]])</f>
        <v/>
      </c>
      <c r="V103" s="60">
        <f>IF(AND(tblPlant[[#This Row],[Milled_t]]&lt;&gt;"",tblPlant[[#This Row],[Feed_oz]]&gt;0),tblPlant[[#This Row],[Recovered_oz]]/tblPlant[[#This Row],[Feed_oz]],"")</f>
        <v/>
      </c>
      <c r="W103" s="59">
        <f>IF(AND(tblPlant[[#This Row],[Milled_t]]&lt;&gt;"",tblPlant[[#This Row],[Mill_Run_h]]&gt;0),tblPlant[[#This Row],[Milled_t]]/tblPlant[[#This Row],[Mill_Run_h]],"")</f>
        <v/>
      </c>
      <c r="X103" s="60">
        <f>IF(tblPlant[[#This Row],[Mill_Run_h]]="","",(24-tblPlant[[#This Row],[Mill_Planned_Maint_h]]-tblPlant[[#This Row],[Mill_Unplanned_Down_h]])/24)</f>
        <v/>
      </c>
      <c r="Y1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4">
      <c r="A104" s="54" t="n">
        <v>46121</v>
      </c>
      <c r="B104" s="55" t="n"/>
      <c r="C104" s="55" t="n"/>
      <c r="D104" s="56" t="n"/>
      <c r="E104" s="56" t="n"/>
      <c r="F104" s="55" t="n"/>
      <c r="G104" s="55" t="n"/>
      <c r="H104" s="57" t="n"/>
      <c r="I104" s="57" t="n"/>
      <c r="J104" s="57" t="n"/>
      <c r="K104" s="57" t="n"/>
      <c r="L104" s="55" t="n"/>
      <c r="M104" s="55" t="n"/>
      <c r="N104" s="55" t="n"/>
      <c r="O104" s="55" t="n"/>
      <c r="P104" s="55" t="n"/>
      <c r="Q104" s="55" t="n"/>
      <c r="R104" s="58" t="n"/>
      <c r="S104" s="59">
        <f>IF(tblPlant[[#This Row],[Milled_t]]="","",tblPlant[[#This Row],[Milled_t]]*tblPlant[[#This Row],[Head_Grade_gpt]]/cfg_TroyOz)</f>
        <v/>
      </c>
      <c r="T104" s="59">
        <f>IF(tblPlant[[#This Row],[Milled_t]]="","",tblPlant[[#This Row],[Milled_t]]*tblPlant[[#This Row],[Tails_Grade_gpt]]/cfg_TroyOz)</f>
        <v/>
      </c>
      <c r="U104" s="59">
        <f>IF(tblPlant[[#This Row],[Milled_t]]="","",tblPlant[[#This Row],[Feed_oz]]-tblPlant[[#This Row],[Tails_oz]])</f>
        <v/>
      </c>
      <c r="V104" s="60">
        <f>IF(AND(tblPlant[[#This Row],[Milled_t]]&lt;&gt;"",tblPlant[[#This Row],[Feed_oz]]&gt;0),tblPlant[[#This Row],[Recovered_oz]]/tblPlant[[#This Row],[Feed_oz]],"")</f>
        <v/>
      </c>
      <c r="W104" s="59">
        <f>IF(AND(tblPlant[[#This Row],[Milled_t]]&lt;&gt;"",tblPlant[[#This Row],[Mill_Run_h]]&gt;0),tblPlant[[#This Row],[Milled_t]]/tblPlant[[#This Row],[Mill_Run_h]],"")</f>
        <v/>
      </c>
      <c r="X104" s="60">
        <f>IF(tblPlant[[#This Row],[Mill_Run_h]]="","",(24-tblPlant[[#This Row],[Mill_Planned_Maint_h]]-tblPlant[[#This Row],[Mill_Unplanned_Down_h]])/24)</f>
        <v/>
      </c>
      <c r="Y1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5">
      <c r="A105" s="54" t="n">
        <v>46122</v>
      </c>
      <c r="B105" s="55" t="n"/>
      <c r="C105" s="55" t="n"/>
      <c r="D105" s="56" t="n"/>
      <c r="E105" s="56" t="n"/>
      <c r="F105" s="55" t="n"/>
      <c r="G105" s="55" t="n"/>
      <c r="H105" s="57" t="n"/>
      <c r="I105" s="57" t="n"/>
      <c r="J105" s="57" t="n"/>
      <c r="K105" s="57" t="n"/>
      <c r="L105" s="55" t="n"/>
      <c r="M105" s="55" t="n"/>
      <c r="N105" s="55" t="n"/>
      <c r="O105" s="55" t="n"/>
      <c r="P105" s="55" t="n"/>
      <c r="Q105" s="55" t="n"/>
      <c r="R105" s="58" t="n"/>
      <c r="S105" s="59">
        <f>IF(tblPlant[[#This Row],[Milled_t]]="","",tblPlant[[#This Row],[Milled_t]]*tblPlant[[#This Row],[Head_Grade_gpt]]/cfg_TroyOz)</f>
        <v/>
      </c>
      <c r="T105" s="59">
        <f>IF(tblPlant[[#This Row],[Milled_t]]="","",tblPlant[[#This Row],[Milled_t]]*tblPlant[[#This Row],[Tails_Grade_gpt]]/cfg_TroyOz)</f>
        <v/>
      </c>
      <c r="U105" s="59">
        <f>IF(tblPlant[[#This Row],[Milled_t]]="","",tblPlant[[#This Row],[Feed_oz]]-tblPlant[[#This Row],[Tails_oz]])</f>
        <v/>
      </c>
      <c r="V105" s="60">
        <f>IF(AND(tblPlant[[#This Row],[Milled_t]]&lt;&gt;"",tblPlant[[#This Row],[Feed_oz]]&gt;0),tblPlant[[#This Row],[Recovered_oz]]/tblPlant[[#This Row],[Feed_oz]],"")</f>
        <v/>
      </c>
      <c r="W105" s="59">
        <f>IF(AND(tblPlant[[#This Row],[Milled_t]]&lt;&gt;"",tblPlant[[#This Row],[Mill_Run_h]]&gt;0),tblPlant[[#This Row],[Milled_t]]/tblPlant[[#This Row],[Mill_Run_h]],"")</f>
        <v/>
      </c>
      <c r="X105" s="60">
        <f>IF(tblPlant[[#This Row],[Mill_Run_h]]="","",(24-tblPlant[[#This Row],[Mill_Planned_Maint_h]]-tblPlant[[#This Row],[Mill_Unplanned_Down_h]])/24)</f>
        <v/>
      </c>
      <c r="Y1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6">
      <c r="A106" s="54" t="n">
        <v>46123</v>
      </c>
      <c r="B106" s="55" t="n"/>
      <c r="C106" s="55" t="n"/>
      <c r="D106" s="56" t="n"/>
      <c r="E106" s="56" t="n"/>
      <c r="F106" s="55" t="n"/>
      <c r="G106" s="55" t="n"/>
      <c r="H106" s="57" t="n"/>
      <c r="I106" s="57" t="n"/>
      <c r="J106" s="57" t="n"/>
      <c r="K106" s="57" t="n"/>
      <c r="L106" s="55" t="n"/>
      <c r="M106" s="55" t="n"/>
      <c r="N106" s="55" t="n"/>
      <c r="O106" s="55" t="n"/>
      <c r="P106" s="55" t="n"/>
      <c r="Q106" s="55" t="n"/>
      <c r="R106" s="58" t="n"/>
      <c r="S106" s="59">
        <f>IF(tblPlant[[#This Row],[Milled_t]]="","",tblPlant[[#This Row],[Milled_t]]*tblPlant[[#This Row],[Head_Grade_gpt]]/cfg_TroyOz)</f>
        <v/>
      </c>
      <c r="T106" s="59">
        <f>IF(tblPlant[[#This Row],[Milled_t]]="","",tblPlant[[#This Row],[Milled_t]]*tblPlant[[#This Row],[Tails_Grade_gpt]]/cfg_TroyOz)</f>
        <v/>
      </c>
      <c r="U106" s="59">
        <f>IF(tblPlant[[#This Row],[Milled_t]]="","",tblPlant[[#This Row],[Feed_oz]]-tblPlant[[#This Row],[Tails_oz]])</f>
        <v/>
      </c>
      <c r="V106" s="60">
        <f>IF(AND(tblPlant[[#This Row],[Milled_t]]&lt;&gt;"",tblPlant[[#This Row],[Feed_oz]]&gt;0),tblPlant[[#This Row],[Recovered_oz]]/tblPlant[[#This Row],[Feed_oz]],"")</f>
        <v/>
      </c>
      <c r="W106" s="59">
        <f>IF(AND(tblPlant[[#This Row],[Milled_t]]&lt;&gt;"",tblPlant[[#This Row],[Mill_Run_h]]&gt;0),tblPlant[[#This Row],[Milled_t]]/tblPlant[[#This Row],[Mill_Run_h]],"")</f>
        <v/>
      </c>
      <c r="X106" s="60">
        <f>IF(tblPlant[[#This Row],[Mill_Run_h]]="","",(24-tblPlant[[#This Row],[Mill_Planned_Maint_h]]-tblPlant[[#This Row],[Mill_Unplanned_Down_h]])/24)</f>
        <v/>
      </c>
      <c r="Y1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7">
      <c r="A107" s="54" t="n">
        <v>46124</v>
      </c>
      <c r="B107" s="55" t="n"/>
      <c r="C107" s="55" t="n"/>
      <c r="D107" s="56" t="n"/>
      <c r="E107" s="56" t="n"/>
      <c r="F107" s="55" t="n"/>
      <c r="G107" s="55" t="n"/>
      <c r="H107" s="57" t="n"/>
      <c r="I107" s="57" t="n"/>
      <c r="J107" s="57" t="n"/>
      <c r="K107" s="57" t="n"/>
      <c r="L107" s="55" t="n"/>
      <c r="M107" s="55" t="n"/>
      <c r="N107" s="55" t="n"/>
      <c r="O107" s="55" t="n"/>
      <c r="P107" s="55" t="n"/>
      <c r="Q107" s="55" t="n"/>
      <c r="R107" s="58" t="n"/>
      <c r="S107" s="59">
        <f>IF(tblPlant[[#This Row],[Milled_t]]="","",tblPlant[[#This Row],[Milled_t]]*tblPlant[[#This Row],[Head_Grade_gpt]]/cfg_TroyOz)</f>
        <v/>
      </c>
      <c r="T107" s="59">
        <f>IF(tblPlant[[#This Row],[Milled_t]]="","",tblPlant[[#This Row],[Milled_t]]*tblPlant[[#This Row],[Tails_Grade_gpt]]/cfg_TroyOz)</f>
        <v/>
      </c>
      <c r="U107" s="59">
        <f>IF(tblPlant[[#This Row],[Milled_t]]="","",tblPlant[[#This Row],[Feed_oz]]-tblPlant[[#This Row],[Tails_oz]])</f>
        <v/>
      </c>
      <c r="V107" s="60">
        <f>IF(AND(tblPlant[[#This Row],[Milled_t]]&lt;&gt;"",tblPlant[[#This Row],[Feed_oz]]&gt;0),tblPlant[[#This Row],[Recovered_oz]]/tblPlant[[#This Row],[Feed_oz]],"")</f>
        <v/>
      </c>
      <c r="W107" s="59">
        <f>IF(AND(tblPlant[[#This Row],[Milled_t]]&lt;&gt;"",tblPlant[[#This Row],[Mill_Run_h]]&gt;0),tblPlant[[#This Row],[Milled_t]]/tblPlant[[#This Row],[Mill_Run_h]],"")</f>
        <v/>
      </c>
      <c r="X107" s="60">
        <f>IF(tblPlant[[#This Row],[Mill_Run_h]]="","",(24-tblPlant[[#This Row],[Mill_Planned_Maint_h]]-tblPlant[[#This Row],[Mill_Unplanned_Down_h]])/24)</f>
        <v/>
      </c>
      <c r="Y1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8">
      <c r="A108" s="54" t="n">
        <v>46125</v>
      </c>
      <c r="B108" s="55" t="n"/>
      <c r="C108" s="55" t="n"/>
      <c r="D108" s="56" t="n"/>
      <c r="E108" s="56" t="n"/>
      <c r="F108" s="55" t="n"/>
      <c r="G108" s="55" t="n"/>
      <c r="H108" s="57" t="n"/>
      <c r="I108" s="57" t="n"/>
      <c r="J108" s="57" t="n"/>
      <c r="K108" s="57" t="n"/>
      <c r="L108" s="55" t="n"/>
      <c r="M108" s="55" t="n"/>
      <c r="N108" s="55" t="n"/>
      <c r="O108" s="55" t="n"/>
      <c r="P108" s="55" t="n"/>
      <c r="Q108" s="55" t="n"/>
      <c r="R108" s="58" t="n"/>
      <c r="S108" s="59">
        <f>IF(tblPlant[[#This Row],[Milled_t]]="","",tblPlant[[#This Row],[Milled_t]]*tblPlant[[#This Row],[Head_Grade_gpt]]/cfg_TroyOz)</f>
        <v/>
      </c>
      <c r="T108" s="59">
        <f>IF(tblPlant[[#This Row],[Milled_t]]="","",tblPlant[[#This Row],[Milled_t]]*tblPlant[[#This Row],[Tails_Grade_gpt]]/cfg_TroyOz)</f>
        <v/>
      </c>
      <c r="U108" s="59">
        <f>IF(tblPlant[[#This Row],[Milled_t]]="","",tblPlant[[#This Row],[Feed_oz]]-tblPlant[[#This Row],[Tails_oz]])</f>
        <v/>
      </c>
      <c r="V108" s="60">
        <f>IF(AND(tblPlant[[#This Row],[Milled_t]]&lt;&gt;"",tblPlant[[#This Row],[Feed_oz]]&gt;0),tblPlant[[#This Row],[Recovered_oz]]/tblPlant[[#This Row],[Feed_oz]],"")</f>
        <v/>
      </c>
      <c r="W108" s="59">
        <f>IF(AND(tblPlant[[#This Row],[Milled_t]]&lt;&gt;"",tblPlant[[#This Row],[Mill_Run_h]]&gt;0),tblPlant[[#This Row],[Milled_t]]/tblPlant[[#This Row],[Mill_Run_h]],"")</f>
        <v/>
      </c>
      <c r="X108" s="60">
        <f>IF(tblPlant[[#This Row],[Mill_Run_h]]="","",(24-tblPlant[[#This Row],[Mill_Planned_Maint_h]]-tblPlant[[#This Row],[Mill_Unplanned_Down_h]])/24)</f>
        <v/>
      </c>
      <c r="Y1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9">
      <c r="A109" s="54" t="n">
        <v>46126</v>
      </c>
      <c r="B109" s="55" t="n"/>
      <c r="C109" s="55" t="n"/>
      <c r="D109" s="56" t="n"/>
      <c r="E109" s="56" t="n"/>
      <c r="F109" s="55" t="n"/>
      <c r="G109" s="55" t="n"/>
      <c r="H109" s="57" t="n"/>
      <c r="I109" s="57" t="n"/>
      <c r="J109" s="57" t="n"/>
      <c r="K109" s="57" t="n"/>
      <c r="L109" s="55" t="n"/>
      <c r="M109" s="55" t="n"/>
      <c r="N109" s="55" t="n"/>
      <c r="O109" s="55" t="n"/>
      <c r="P109" s="55" t="n"/>
      <c r="Q109" s="55" t="n"/>
      <c r="R109" s="58" t="n"/>
      <c r="S109" s="59">
        <f>IF(tblPlant[[#This Row],[Milled_t]]="","",tblPlant[[#This Row],[Milled_t]]*tblPlant[[#This Row],[Head_Grade_gpt]]/cfg_TroyOz)</f>
        <v/>
      </c>
      <c r="T109" s="59">
        <f>IF(tblPlant[[#This Row],[Milled_t]]="","",tblPlant[[#This Row],[Milled_t]]*tblPlant[[#This Row],[Tails_Grade_gpt]]/cfg_TroyOz)</f>
        <v/>
      </c>
      <c r="U109" s="59">
        <f>IF(tblPlant[[#This Row],[Milled_t]]="","",tblPlant[[#This Row],[Feed_oz]]-tblPlant[[#This Row],[Tails_oz]])</f>
        <v/>
      </c>
      <c r="V109" s="60">
        <f>IF(AND(tblPlant[[#This Row],[Milled_t]]&lt;&gt;"",tblPlant[[#This Row],[Feed_oz]]&gt;0),tblPlant[[#This Row],[Recovered_oz]]/tblPlant[[#This Row],[Feed_oz]],"")</f>
        <v/>
      </c>
      <c r="W109" s="59">
        <f>IF(AND(tblPlant[[#This Row],[Milled_t]]&lt;&gt;"",tblPlant[[#This Row],[Mill_Run_h]]&gt;0),tblPlant[[#This Row],[Milled_t]]/tblPlant[[#This Row],[Mill_Run_h]],"")</f>
        <v/>
      </c>
      <c r="X109" s="60">
        <f>IF(tblPlant[[#This Row],[Mill_Run_h]]="","",(24-tblPlant[[#This Row],[Mill_Planned_Maint_h]]-tblPlant[[#This Row],[Mill_Unplanned_Down_h]])/24)</f>
        <v/>
      </c>
      <c r="Y1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0">
      <c r="A110" s="54" t="n">
        <v>46127</v>
      </c>
      <c r="B110" s="55" t="n"/>
      <c r="C110" s="55" t="n"/>
      <c r="D110" s="56" t="n"/>
      <c r="E110" s="56" t="n"/>
      <c r="F110" s="55" t="n"/>
      <c r="G110" s="55" t="n"/>
      <c r="H110" s="57" t="n"/>
      <c r="I110" s="57" t="n"/>
      <c r="J110" s="57" t="n"/>
      <c r="K110" s="57" t="n"/>
      <c r="L110" s="55" t="n"/>
      <c r="M110" s="55" t="n"/>
      <c r="N110" s="55" t="n"/>
      <c r="O110" s="55" t="n"/>
      <c r="P110" s="55" t="n"/>
      <c r="Q110" s="55" t="n"/>
      <c r="R110" s="58" t="n"/>
      <c r="S110" s="59">
        <f>IF(tblPlant[[#This Row],[Milled_t]]="","",tblPlant[[#This Row],[Milled_t]]*tblPlant[[#This Row],[Head_Grade_gpt]]/cfg_TroyOz)</f>
        <v/>
      </c>
      <c r="T110" s="59">
        <f>IF(tblPlant[[#This Row],[Milled_t]]="","",tblPlant[[#This Row],[Milled_t]]*tblPlant[[#This Row],[Tails_Grade_gpt]]/cfg_TroyOz)</f>
        <v/>
      </c>
      <c r="U110" s="59">
        <f>IF(tblPlant[[#This Row],[Milled_t]]="","",tblPlant[[#This Row],[Feed_oz]]-tblPlant[[#This Row],[Tails_oz]])</f>
        <v/>
      </c>
      <c r="V110" s="60">
        <f>IF(AND(tblPlant[[#This Row],[Milled_t]]&lt;&gt;"",tblPlant[[#This Row],[Feed_oz]]&gt;0),tblPlant[[#This Row],[Recovered_oz]]/tblPlant[[#This Row],[Feed_oz]],"")</f>
        <v/>
      </c>
      <c r="W110" s="59">
        <f>IF(AND(tblPlant[[#This Row],[Milled_t]]&lt;&gt;"",tblPlant[[#This Row],[Mill_Run_h]]&gt;0),tblPlant[[#This Row],[Milled_t]]/tblPlant[[#This Row],[Mill_Run_h]],"")</f>
        <v/>
      </c>
      <c r="X110" s="60">
        <f>IF(tblPlant[[#This Row],[Mill_Run_h]]="","",(24-tblPlant[[#This Row],[Mill_Planned_Maint_h]]-tblPlant[[#This Row],[Mill_Unplanned_Down_h]])/24)</f>
        <v/>
      </c>
      <c r="Y1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1">
      <c r="A111" s="54" t="n">
        <v>46128</v>
      </c>
      <c r="B111" s="55" t="n"/>
      <c r="C111" s="55" t="n"/>
      <c r="D111" s="56" t="n"/>
      <c r="E111" s="56" t="n"/>
      <c r="F111" s="55" t="n"/>
      <c r="G111" s="55" t="n"/>
      <c r="H111" s="57" t="n"/>
      <c r="I111" s="57" t="n"/>
      <c r="J111" s="57" t="n"/>
      <c r="K111" s="57" t="n"/>
      <c r="L111" s="55" t="n"/>
      <c r="M111" s="55" t="n"/>
      <c r="N111" s="55" t="n"/>
      <c r="O111" s="55" t="n"/>
      <c r="P111" s="55" t="n"/>
      <c r="Q111" s="55" t="n"/>
      <c r="R111" s="58" t="n"/>
      <c r="S111" s="59">
        <f>IF(tblPlant[[#This Row],[Milled_t]]="","",tblPlant[[#This Row],[Milled_t]]*tblPlant[[#This Row],[Head_Grade_gpt]]/cfg_TroyOz)</f>
        <v/>
      </c>
      <c r="T111" s="59">
        <f>IF(tblPlant[[#This Row],[Milled_t]]="","",tblPlant[[#This Row],[Milled_t]]*tblPlant[[#This Row],[Tails_Grade_gpt]]/cfg_TroyOz)</f>
        <v/>
      </c>
      <c r="U111" s="59">
        <f>IF(tblPlant[[#This Row],[Milled_t]]="","",tblPlant[[#This Row],[Feed_oz]]-tblPlant[[#This Row],[Tails_oz]])</f>
        <v/>
      </c>
      <c r="V111" s="60">
        <f>IF(AND(tblPlant[[#This Row],[Milled_t]]&lt;&gt;"",tblPlant[[#This Row],[Feed_oz]]&gt;0),tblPlant[[#This Row],[Recovered_oz]]/tblPlant[[#This Row],[Feed_oz]],"")</f>
        <v/>
      </c>
      <c r="W111" s="59">
        <f>IF(AND(tblPlant[[#This Row],[Milled_t]]&lt;&gt;"",tblPlant[[#This Row],[Mill_Run_h]]&gt;0),tblPlant[[#This Row],[Milled_t]]/tblPlant[[#This Row],[Mill_Run_h]],"")</f>
        <v/>
      </c>
      <c r="X111" s="60">
        <f>IF(tblPlant[[#This Row],[Mill_Run_h]]="","",(24-tblPlant[[#This Row],[Mill_Planned_Maint_h]]-tblPlant[[#This Row],[Mill_Unplanned_Down_h]])/24)</f>
        <v/>
      </c>
      <c r="Y1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2">
      <c r="A112" s="54" t="n">
        <v>46129</v>
      </c>
      <c r="B112" s="55" t="n"/>
      <c r="C112" s="55" t="n"/>
      <c r="D112" s="56" t="n"/>
      <c r="E112" s="56" t="n"/>
      <c r="F112" s="55" t="n"/>
      <c r="G112" s="55" t="n"/>
      <c r="H112" s="57" t="n"/>
      <c r="I112" s="57" t="n"/>
      <c r="J112" s="57" t="n"/>
      <c r="K112" s="57" t="n"/>
      <c r="L112" s="55" t="n"/>
      <c r="M112" s="55" t="n"/>
      <c r="N112" s="55" t="n"/>
      <c r="O112" s="55" t="n"/>
      <c r="P112" s="55" t="n"/>
      <c r="Q112" s="55" t="n"/>
      <c r="R112" s="58" t="n"/>
      <c r="S112" s="59">
        <f>IF(tblPlant[[#This Row],[Milled_t]]="","",tblPlant[[#This Row],[Milled_t]]*tblPlant[[#This Row],[Head_Grade_gpt]]/cfg_TroyOz)</f>
        <v/>
      </c>
      <c r="T112" s="59">
        <f>IF(tblPlant[[#This Row],[Milled_t]]="","",tblPlant[[#This Row],[Milled_t]]*tblPlant[[#This Row],[Tails_Grade_gpt]]/cfg_TroyOz)</f>
        <v/>
      </c>
      <c r="U112" s="59">
        <f>IF(tblPlant[[#This Row],[Milled_t]]="","",tblPlant[[#This Row],[Feed_oz]]-tblPlant[[#This Row],[Tails_oz]])</f>
        <v/>
      </c>
      <c r="V112" s="60">
        <f>IF(AND(tblPlant[[#This Row],[Milled_t]]&lt;&gt;"",tblPlant[[#This Row],[Feed_oz]]&gt;0),tblPlant[[#This Row],[Recovered_oz]]/tblPlant[[#This Row],[Feed_oz]],"")</f>
        <v/>
      </c>
      <c r="W112" s="59">
        <f>IF(AND(tblPlant[[#This Row],[Milled_t]]&lt;&gt;"",tblPlant[[#This Row],[Mill_Run_h]]&gt;0),tblPlant[[#This Row],[Milled_t]]/tblPlant[[#This Row],[Mill_Run_h]],"")</f>
        <v/>
      </c>
      <c r="X112" s="60">
        <f>IF(tblPlant[[#This Row],[Mill_Run_h]]="","",(24-tblPlant[[#This Row],[Mill_Planned_Maint_h]]-tblPlant[[#This Row],[Mill_Unplanned_Down_h]])/24)</f>
        <v/>
      </c>
      <c r="Y1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3">
      <c r="A113" s="54" t="n">
        <v>46130</v>
      </c>
      <c r="B113" s="55" t="n"/>
      <c r="C113" s="55" t="n"/>
      <c r="D113" s="56" t="n"/>
      <c r="E113" s="56" t="n"/>
      <c r="F113" s="55" t="n"/>
      <c r="G113" s="55" t="n"/>
      <c r="H113" s="57" t="n"/>
      <c r="I113" s="57" t="n"/>
      <c r="J113" s="57" t="n"/>
      <c r="K113" s="57" t="n"/>
      <c r="L113" s="55" t="n"/>
      <c r="M113" s="55" t="n"/>
      <c r="N113" s="55" t="n"/>
      <c r="O113" s="55" t="n"/>
      <c r="P113" s="55" t="n"/>
      <c r="Q113" s="55" t="n"/>
      <c r="R113" s="58" t="n"/>
      <c r="S113" s="59">
        <f>IF(tblPlant[[#This Row],[Milled_t]]="","",tblPlant[[#This Row],[Milled_t]]*tblPlant[[#This Row],[Head_Grade_gpt]]/cfg_TroyOz)</f>
        <v/>
      </c>
      <c r="T113" s="59">
        <f>IF(tblPlant[[#This Row],[Milled_t]]="","",tblPlant[[#This Row],[Milled_t]]*tblPlant[[#This Row],[Tails_Grade_gpt]]/cfg_TroyOz)</f>
        <v/>
      </c>
      <c r="U113" s="59">
        <f>IF(tblPlant[[#This Row],[Milled_t]]="","",tblPlant[[#This Row],[Feed_oz]]-tblPlant[[#This Row],[Tails_oz]])</f>
        <v/>
      </c>
      <c r="V113" s="60">
        <f>IF(AND(tblPlant[[#This Row],[Milled_t]]&lt;&gt;"",tblPlant[[#This Row],[Feed_oz]]&gt;0),tblPlant[[#This Row],[Recovered_oz]]/tblPlant[[#This Row],[Feed_oz]],"")</f>
        <v/>
      </c>
      <c r="W113" s="59">
        <f>IF(AND(tblPlant[[#This Row],[Milled_t]]&lt;&gt;"",tblPlant[[#This Row],[Mill_Run_h]]&gt;0),tblPlant[[#This Row],[Milled_t]]/tblPlant[[#This Row],[Mill_Run_h]],"")</f>
        <v/>
      </c>
      <c r="X113" s="60">
        <f>IF(tblPlant[[#This Row],[Mill_Run_h]]="","",(24-tblPlant[[#This Row],[Mill_Planned_Maint_h]]-tblPlant[[#This Row],[Mill_Unplanned_Down_h]])/24)</f>
        <v/>
      </c>
      <c r="Y1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4">
      <c r="A114" s="54" t="n">
        <v>46131</v>
      </c>
      <c r="B114" s="55" t="n"/>
      <c r="C114" s="55" t="n"/>
      <c r="D114" s="56" t="n"/>
      <c r="E114" s="56" t="n"/>
      <c r="F114" s="55" t="n"/>
      <c r="G114" s="55" t="n"/>
      <c r="H114" s="57" t="n"/>
      <c r="I114" s="57" t="n"/>
      <c r="J114" s="57" t="n"/>
      <c r="K114" s="57" t="n"/>
      <c r="L114" s="55" t="n"/>
      <c r="M114" s="55" t="n"/>
      <c r="N114" s="55" t="n"/>
      <c r="O114" s="55" t="n"/>
      <c r="P114" s="55" t="n"/>
      <c r="Q114" s="55" t="n"/>
      <c r="R114" s="58" t="n"/>
      <c r="S114" s="59">
        <f>IF(tblPlant[[#This Row],[Milled_t]]="","",tblPlant[[#This Row],[Milled_t]]*tblPlant[[#This Row],[Head_Grade_gpt]]/cfg_TroyOz)</f>
        <v/>
      </c>
      <c r="T114" s="59">
        <f>IF(tblPlant[[#This Row],[Milled_t]]="","",tblPlant[[#This Row],[Milled_t]]*tblPlant[[#This Row],[Tails_Grade_gpt]]/cfg_TroyOz)</f>
        <v/>
      </c>
      <c r="U114" s="59">
        <f>IF(tblPlant[[#This Row],[Milled_t]]="","",tblPlant[[#This Row],[Feed_oz]]-tblPlant[[#This Row],[Tails_oz]])</f>
        <v/>
      </c>
      <c r="V114" s="60">
        <f>IF(AND(tblPlant[[#This Row],[Milled_t]]&lt;&gt;"",tblPlant[[#This Row],[Feed_oz]]&gt;0),tblPlant[[#This Row],[Recovered_oz]]/tblPlant[[#This Row],[Feed_oz]],"")</f>
        <v/>
      </c>
      <c r="W114" s="59">
        <f>IF(AND(tblPlant[[#This Row],[Milled_t]]&lt;&gt;"",tblPlant[[#This Row],[Mill_Run_h]]&gt;0),tblPlant[[#This Row],[Milled_t]]/tblPlant[[#This Row],[Mill_Run_h]],"")</f>
        <v/>
      </c>
      <c r="X114" s="60">
        <f>IF(tblPlant[[#This Row],[Mill_Run_h]]="","",(24-tblPlant[[#This Row],[Mill_Planned_Maint_h]]-tblPlant[[#This Row],[Mill_Unplanned_Down_h]])/24)</f>
        <v/>
      </c>
      <c r="Y1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5">
      <c r="A115" s="54" t="n">
        <v>46132</v>
      </c>
      <c r="B115" s="55" t="n"/>
      <c r="C115" s="55" t="n"/>
      <c r="D115" s="56" t="n"/>
      <c r="E115" s="56" t="n"/>
      <c r="F115" s="55" t="n"/>
      <c r="G115" s="55" t="n"/>
      <c r="H115" s="57" t="n"/>
      <c r="I115" s="57" t="n"/>
      <c r="J115" s="57" t="n"/>
      <c r="K115" s="57" t="n"/>
      <c r="L115" s="55" t="n"/>
      <c r="M115" s="55" t="n"/>
      <c r="N115" s="55" t="n"/>
      <c r="O115" s="55" t="n"/>
      <c r="P115" s="55" t="n"/>
      <c r="Q115" s="55" t="n"/>
      <c r="R115" s="58" t="n"/>
      <c r="S115" s="59">
        <f>IF(tblPlant[[#This Row],[Milled_t]]="","",tblPlant[[#This Row],[Milled_t]]*tblPlant[[#This Row],[Head_Grade_gpt]]/cfg_TroyOz)</f>
        <v/>
      </c>
      <c r="T115" s="59">
        <f>IF(tblPlant[[#This Row],[Milled_t]]="","",tblPlant[[#This Row],[Milled_t]]*tblPlant[[#This Row],[Tails_Grade_gpt]]/cfg_TroyOz)</f>
        <v/>
      </c>
      <c r="U115" s="59">
        <f>IF(tblPlant[[#This Row],[Milled_t]]="","",tblPlant[[#This Row],[Feed_oz]]-tblPlant[[#This Row],[Tails_oz]])</f>
        <v/>
      </c>
      <c r="V115" s="60">
        <f>IF(AND(tblPlant[[#This Row],[Milled_t]]&lt;&gt;"",tblPlant[[#This Row],[Feed_oz]]&gt;0),tblPlant[[#This Row],[Recovered_oz]]/tblPlant[[#This Row],[Feed_oz]],"")</f>
        <v/>
      </c>
      <c r="W115" s="59">
        <f>IF(AND(tblPlant[[#This Row],[Milled_t]]&lt;&gt;"",tblPlant[[#This Row],[Mill_Run_h]]&gt;0),tblPlant[[#This Row],[Milled_t]]/tblPlant[[#This Row],[Mill_Run_h]],"")</f>
        <v/>
      </c>
      <c r="X115" s="60">
        <f>IF(tblPlant[[#This Row],[Mill_Run_h]]="","",(24-tblPlant[[#This Row],[Mill_Planned_Maint_h]]-tblPlant[[#This Row],[Mill_Unplanned_Down_h]])/24)</f>
        <v/>
      </c>
      <c r="Y1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6">
      <c r="A116" s="54" t="n">
        <v>46133</v>
      </c>
      <c r="B116" s="55" t="n"/>
      <c r="C116" s="55" t="n"/>
      <c r="D116" s="56" t="n"/>
      <c r="E116" s="56" t="n"/>
      <c r="F116" s="55" t="n"/>
      <c r="G116" s="55" t="n"/>
      <c r="H116" s="57" t="n"/>
      <c r="I116" s="57" t="n"/>
      <c r="J116" s="57" t="n"/>
      <c r="K116" s="57" t="n"/>
      <c r="L116" s="55" t="n"/>
      <c r="M116" s="55" t="n"/>
      <c r="N116" s="55" t="n"/>
      <c r="O116" s="55" t="n"/>
      <c r="P116" s="55" t="n"/>
      <c r="Q116" s="55" t="n"/>
      <c r="R116" s="58" t="n"/>
      <c r="S116" s="59">
        <f>IF(tblPlant[[#This Row],[Milled_t]]="","",tblPlant[[#This Row],[Milled_t]]*tblPlant[[#This Row],[Head_Grade_gpt]]/cfg_TroyOz)</f>
        <v/>
      </c>
      <c r="T116" s="59">
        <f>IF(tblPlant[[#This Row],[Milled_t]]="","",tblPlant[[#This Row],[Milled_t]]*tblPlant[[#This Row],[Tails_Grade_gpt]]/cfg_TroyOz)</f>
        <v/>
      </c>
      <c r="U116" s="59">
        <f>IF(tblPlant[[#This Row],[Milled_t]]="","",tblPlant[[#This Row],[Feed_oz]]-tblPlant[[#This Row],[Tails_oz]])</f>
        <v/>
      </c>
      <c r="V116" s="60">
        <f>IF(AND(tblPlant[[#This Row],[Milled_t]]&lt;&gt;"",tblPlant[[#This Row],[Feed_oz]]&gt;0),tblPlant[[#This Row],[Recovered_oz]]/tblPlant[[#This Row],[Feed_oz]],"")</f>
        <v/>
      </c>
      <c r="W116" s="59">
        <f>IF(AND(tblPlant[[#This Row],[Milled_t]]&lt;&gt;"",tblPlant[[#This Row],[Mill_Run_h]]&gt;0),tblPlant[[#This Row],[Milled_t]]/tblPlant[[#This Row],[Mill_Run_h]],"")</f>
        <v/>
      </c>
      <c r="X116" s="60">
        <f>IF(tblPlant[[#This Row],[Mill_Run_h]]="","",(24-tblPlant[[#This Row],[Mill_Planned_Maint_h]]-tblPlant[[#This Row],[Mill_Unplanned_Down_h]])/24)</f>
        <v/>
      </c>
      <c r="Y1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7">
      <c r="A117" s="54" t="n">
        <v>46134</v>
      </c>
      <c r="B117" s="55" t="n"/>
      <c r="C117" s="55" t="n"/>
      <c r="D117" s="56" t="n"/>
      <c r="E117" s="56" t="n"/>
      <c r="F117" s="55" t="n"/>
      <c r="G117" s="55" t="n"/>
      <c r="H117" s="57" t="n"/>
      <c r="I117" s="57" t="n"/>
      <c r="J117" s="57" t="n"/>
      <c r="K117" s="57" t="n"/>
      <c r="L117" s="55" t="n"/>
      <c r="M117" s="55" t="n"/>
      <c r="N117" s="55" t="n"/>
      <c r="O117" s="55" t="n"/>
      <c r="P117" s="55" t="n"/>
      <c r="Q117" s="55" t="n"/>
      <c r="R117" s="58" t="n"/>
      <c r="S117" s="59">
        <f>IF(tblPlant[[#This Row],[Milled_t]]="","",tblPlant[[#This Row],[Milled_t]]*tblPlant[[#This Row],[Head_Grade_gpt]]/cfg_TroyOz)</f>
        <v/>
      </c>
      <c r="T117" s="59">
        <f>IF(tblPlant[[#This Row],[Milled_t]]="","",tblPlant[[#This Row],[Milled_t]]*tblPlant[[#This Row],[Tails_Grade_gpt]]/cfg_TroyOz)</f>
        <v/>
      </c>
      <c r="U117" s="59">
        <f>IF(tblPlant[[#This Row],[Milled_t]]="","",tblPlant[[#This Row],[Feed_oz]]-tblPlant[[#This Row],[Tails_oz]])</f>
        <v/>
      </c>
      <c r="V117" s="60">
        <f>IF(AND(tblPlant[[#This Row],[Milled_t]]&lt;&gt;"",tblPlant[[#This Row],[Feed_oz]]&gt;0),tblPlant[[#This Row],[Recovered_oz]]/tblPlant[[#This Row],[Feed_oz]],"")</f>
        <v/>
      </c>
      <c r="W117" s="59">
        <f>IF(AND(tblPlant[[#This Row],[Milled_t]]&lt;&gt;"",tblPlant[[#This Row],[Mill_Run_h]]&gt;0),tblPlant[[#This Row],[Milled_t]]/tblPlant[[#This Row],[Mill_Run_h]],"")</f>
        <v/>
      </c>
      <c r="X117" s="60">
        <f>IF(tblPlant[[#This Row],[Mill_Run_h]]="","",(24-tblPlant[[#This Row],[Mill_Planned_Maint_h]]-tblPlant[[#This Row],[Mill_Unplanned_Down_h]])/24)</f>
        <v/>
      </c>
      <c r="Y1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8">
      <c r="A118" s="54" t="n">
        <v>46135</v>
      </c>
      <c r="B118" s="55" t="n"/>
      <c r="C118" s="55" t="n"/>
      <c r="D118" s="56" t="n"/>
      <c r="E118" s="56" t="n"/>
      <c r="F118" s="55" t="n"/>
      <c r="G118" s="55" t="n"/>
      <c r="H118" s="57" t="n"/>
      <c r="I118" s="57" t="n"/>
      <c r="J118" s="57" t="n"/>
      <c r="K118" s="57" t="n"/>
      <c r="L118" s="55" t="n"/>
      <c r="M118" s="55" t="n"/>
      <c r="N118" s="55" t="n"/>
      <c r="O118" s="55" t="n"/>
      <c r="P118" s="55" t="n"/>
      <c r="Q118" s="55" t="n"/>
      <c r="R118" s="58" t="n"/>
      <c r="S118" s="59">
        <f>IF(tblPlant[[#This Row],[Milled_t]]="","",tblPlant[[#This Row],[Milled_t]]*tblPlant[[#This Row],[Head_Grade_gpt]]/cfg_TroyOz)</f>
        <v/>
      </c>
      <c r="T118" s="59">
        <f>IF(tblPlant[[#This Row],[Milled_t]]="","",tblPlant[[#This Row],[Milled_t]]*tblPlant[[#This Row],[Tails_Grade_gpt]]/cfg_TroyOz)</f>
        <v/>
      </c>
      <c r="U118" s="59">
        <f>IF(tblPlant[[#This Row],[Milled_t]]="","",tblPlant[[#This Row],[Feed_oz]]-tblPlant[[#This Row],[Tails_oz]])</f>
        <v/>
      </c>
      <c r="V118" s="60">
        <f>IF(AND(tblPlant[[#This Row],[Milled_t]]&lt;&gt;"",tblPlant[[#This Row],[Feed_oz]]&gt;0),tblPlant[[#This Row],[Recovered_oz]]/tblPlant[[#This Row],[Feed_oz]],"")</f>
        <v/>
      </c>
      <c r="W118" s="59">
        <f>IF(AND(tblPlant[[#This Row],[Milled_t]]&lt;&gt;"",tblPlant[[#This Row],[Mill_Run_h]]&gt;0),tblPlant[[#This Row],[Milled_t]]/tblPlant[[#This Row],[Mill_Run_h]],"")</f>
        <v/>
      </c>
      <c r="X118" s="60">
        <f>IF(tblPlant[[#This Row],[Mill_Run_h]]="","",(24-tblPlant[[#This Row],[Mill_Planned_Maint_h]]-tblPlant[[#This Row],[Mill_Unplanned_Down_h]])/24)</f>
        <v/>
      </c>
      <c r="Y1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9">
      <c r="A119" s="54" t="n">
        <v>46136</v>
      </c>
      <c r="B119" s="55" t="n"/>
      <c r="C119" s="55" t="n"/>
      <c r="D119" s="56" t="n"/>
      <c r="E119" s="56" t="n"/>
      <c r="F119" s="55" t="n"/>
      <c r="G119" s="55" t="n"/>
      <c r="H119" s="57" t="n"/>
      <c r="I119" s="57" t="n"/>
      <c r="J119" s="57" t="n"/>
      <c r="K119" s="57" t="n"/>
      <c r="L119" s="55" t="n"/>
      <c r="M119" s="55" t="n"/>
      <c r="N119" s="55" t="n"/>
      <c r="O119" s="55" t="n"/>
      <c r="P119" s="55" t="n"/>
      <c r="Q119" s="55" t="n"/>
      <c r="R119" s="58" t="n"/>
      <c r="S119" s="59">
        <f>IF(tblPlant[[#This Row],[Milled_t]]="","",tblPlant[[#This Row],[Milled_t]]*tblPlant[[#This Row],[Head_Grade_gpt]]/cfg_TroyOz)</f>
        <v/>
      </c>
      <c r="T119" s="59">
        <f>IF(tblPlant[[#This Row],[Milled_t]]="","",tblPlant[[#This Row],[Milled_t]]*tblPlant[[#This Row],[Tails_Grade_gpt]]/cfg_TroyOz)</f>
        <v/>
      </c>
      <c r="U119" s="59">
        <f>IF(tblPlant[[#This Row],[Milled_t]]="","",tblPlant[[#This Row],[Feed_oz]]-tblPlant[[#This Row],[Tails_oz]])</f>
        <v/>
      </c>
      <c r="V119" s="60">
        <f>IF(AND(tblPlant[[#This Row],[Milled_t]]&lt;&gt;"",tblPlant[[#This Row],[Feed_oz]]&gt;0),tblPlant[[#This Row],[Recovered_oz]]/tblPlant[[#This Row],[Feed_oz]],"")</f>
        <v/>
      </c>
      <c r="W119" s="59">
        <f>IF(AND(tblPlant[[#This Row],[Milled_t]]&lt;&gt;"",tblPlant[[#This Row],[Mill_Run_h]]&gt;0),tblPlant[[#This Row],[Milled_t]]/tblPlant[[#This Row],[Mill_Run_h]],"")</f>
        <v/>
      </c>
      <c r="X119" s="60">
        <f>IF(tblPlant[[#This Row],[Mill_Run_h]]="","",(24-tblPlant[[#This Row],[Mill_Planned_Maint_h]]-tblPlant[[#This Row],[Mill_Unplanned_Down_h]])/24)</f>
        <v/>
      </c>
      <c r="Y1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0">
      <c r="A120" s="54" t="n">
        <v>46137</v>
      </c>
      <c r="B120" s="55" t="n"/>
      <c r="C120" s="55" t="n"/>
      <c r="D120" s="56" t="n"/>
      <c r="E120" s="56" t="n"/>
      <c r="F120" s="55" t="n"/>
      <c r="G120" s="55" t="n"/>
      <c r="H120" s="57" t="n"/>
      <c r="I120" s="57" t="n"/>
      <c r="J120" s="57" t="n"/>
      <c r="K120" s="57" t="n"/>
      <c r="L120" s="55" t="n"/>
      <c r="M120" s="55" t="n"/>
      <c r="N120" s="55" t="n"/>
      <c r="O120" s="55" t="n"/>
      <c r="P120" s="55" t="n"/>
      <c r="Q120" s="55" t="n"/>
      <c r="R120" s="58" t="n"/>
      <c r="S120" s="59">
        <f>IF(tblPlant[[#This Row],[Milled_t]]="","",tblPlant[[#This Row],[Milled_t]]*tblPlant[[#This Row],[Head_Grade_gpt]]/cfg_TroyOz)</f>
        <v/>
      </c>
      <c r="T120" s="59">
        <f>IF(tblPlant[[#This Row],[Milled_t]]="","",tblPlant[[#This Row],[Milled_t]]*tblPlant[[#This Row],[Tails_Grade_gpt]]/cfg_TroyOz)</f>
        <v/>
      </c>
      <c r="U120" s="59">
        <f>IF(tblPlant[[#This Row],[Milled_t]]="","",tblPlant[[#This Row],[Feed_oz]]-tblPlant[[#This Row],[Tails_oz]])</f>
        <v/>
      </c>
      <c r="V120" s="60">
        <f>IF(AND(tblPlant[[#This Row],[Milled_t]]&lt;&gt;"",tblPlant[[#This Row],[Feed_oz]]&gt;0),tblPlant[[#This Row],[Recovered_oz]]/tblPlant[[#This Row],[Feed_oz]],"")</f>
        <v/>
      </c>
      <c r="W120" s="59">
        <f>IF(AND(tblPlant[[#This Row],[Milled_t]]&lt;&gt;"",tblPlant[[#This Row],[Mill_Run_h]]&gt;0),tblPlant[[#This Row],[Milled_t]]/tblPlant[[#This Row],[Mill_Run_h]],"")</f>
        <v/>
      </c>
      <c r="X120" s="60">
        <f>IF(tblPlant[[#This Row],[Mill_Run_h]]="","",(24-tblPlant[[#This Row],[Mill_Planned_Maint_h]]-tblPlant[[#This Row],[Mill_Unplanned_Down_h]])/24)</f>
        <v/>
      </c>
      <c r="Y1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1">
      <c r="A121" s="54" t="n">
        <v>46138</v>
      </c>
      <c r="B121" s="55" t="n"/>
      <c r="C121" s="55" t="n"/>
      <c r="D121" s="56" t="n"/>
      <c r="E121" s="56" t="n"/>
      <c r="F121" s="55" t="n"/>
      <c r="G121" s="55" t="n"/>
      <c r="H121" s="57" t="n"/>
      <c r="I121" s="57" t="n"/>
      <c r="J121" s="57" t="n"/>
      <c r="K121" s="57" t="n"/>
      <c r="L121" s="55" t="n"/>
      <c r="M121" s="55" t="n"/>
      <c r="N121" s="55" t="n"/>
      <c r="O121" s="55" t="n"/>
      <c r="P121" s="55" t="n"/>
      <c r="Q121" s="55" t="n"/>
      <c r="R121" s="58" t="n"/>
      <c r="S121" s="59">
        <f>IF(tblPlant[[#This Row],[Milled_t]]="","",tblPlant[[#This Row],[Milled_t]]*tblPlant[[#This Row],[Head_Grade_gpt]]/cfg_TroyOz)</f>
        <v/>
      </c>
      <c r="T121" s="59">
        <f>IF(tblPlant[[#This Row],[Milled_t]]="","",tblPlant[[#This Row],[Milled_t]]*tblPlant[[#This Row],[Tails_Grade_gpt]]/cfg_TroyOz)</f>
        <v/>
      </c>
      <c r="U121" s="59">
        <f>IF(tblPlant[[#This Row],[Milled_t]]="","",tblPlant[[#This Row],[Feed_oz]]-tblPlant[[#This Row],[Tails_oz]])</f>
        <v/>
      </c>
      <c r="V121" s="60">
        <f>IF(AND(tblPlant[[#This Row],[Milled_t]]&lt;&gt;"",tblPlant[[#This Row],[Feed_oz]]&gt;0),tblPlant[[#This Row],[Recovered_oz]]/tblPlant[[#This Row],[Feed_oz]],"")</f>
        <v/>
      </c>
      <c r="W121" s="59">
        <f>IF(AND(tblPlant[[#This Row],[Milled_t]]&lt;&gt;"",tblPlant[[#This Row],[Mill_Run_h]]&gt;0),tblPlant[[#This Row],[Milled_t]]/tblPlant[[#This Row],[Mill_Run_h]],"")</f>
        <v/>
      </c>
      <c r="X121" s="60">
        <f>IF(tblPlant[[#This Row],[Mill_Run_h]]="","",(24-tblPlant[[#This Row],[Mill_Planned_Maint_h]]-tblPlant[[#This Row],[Mill_Unplanned_Down_h]])/24)</f>
        <v/>
      </c>
      <c r="Y1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2">
      <c r="A122" s="54" t="n">
        <v>46139</v>
      </c>
      <c r="B122" s="55" t="n"/>
      <c r="C122" s="55" t="n"/>
      <c r="D122" s="56" t="n"/>
      <c r="E122" s="56" t="n"/>
      <c r="F122" s="55" t="n"/>
      <c r="G122" s="55" t="n"/>
      <c r="H122" s="57" t="n"/>
      <c r="I122" s="57" t="n"/>
      <c r="J122" s="57" t="n"/>
      <c r="K122" s="57" t="n"/>
      <c r="L122" s="55" t="n"/>
      <c r="M122" s="55" t="n"/>
      <c r="N122" s="55" t="n"/>
      <c r="O122" s="55" t="n"/>
      <c r="P122" s="55" t="n"/>
      <c r="Q122" s="55" t="n"/>
      <c r="R122" s="58" t="n"/>
      <c r="S122" s="59">
        <f>IF(tblPlant[[#This Row],[Milled_t]]="","",tblPlant[[#This Row],[Milled_t]]*tblPlant[[#This Row],[Head_Grade_gpt]]/cfg_TroyOz)</f>
        <v/>
      </c>
      <c r="T122" s="59">
        <f>IF(tblPlant[[#This Row],[Milled_t]]="","",tblPlant[[#This Row],[Milled_t]]*tblPlant[[#This Row],[Tails_Grade_gpt]]/cfg_TroyOz)</f>
        <v/>
      </c>
      <c r="U122" s="59">
        <f>IF(tblPlant[[#This Row],[Milled_t]]="","",tblPlant[[#This Row],[Feed_oz]]-tblPlant[[#This Row],[Tails_oz]])</f>
        <v/>
      </c>
      <c r="V122" s="60">
        <f>IF(AND(tblPlant[[#This Row],[Milled_t]]&lt;&gt;"",tblPlant[[#This Row],[Feed_oz]]&gt;0),tblPlant[[#This Row],[Recovered_oz]]/tblPlant[[#This Row],[Feed_oz]],"")</f>
        <v/>
      </c>
      <c r="W122" s="59">
        <f>IF(AND(tblPlant[[#This Row],[Milled_t]]&lt;&gt;"",tblPlant[[#This Row],[Mill_Run_h]]&gt;0),tblPlant[[#This Row],[Milled_t]]/tblPlant[[#This Row],[Mill_Run_h]],"")</f>
        <v/>
      </c>
      <c r="X122" s="60">
        <f>IF(tblPlant[[#This Row],[Mill_Run_h]]="","",(24-tblPlant[[#This Row],[Mill_Planned_Maint_h]]-tblPlant[[#This Row],[Mill_Unplanned_Down_h]])/24)</f>
        <v/>
      </c>
      <c r="Y1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3">
      <c r="A123" s="54" t="n">
        <v>46140</v>
      </c>
      <c r="B123" s="55" t="n"/>
      <c r="C123" s="55" t="n"/>
      <c r="D123" s="56" t="n"/>
      <c r="E123" s="56" t="n"/>
      <c r="F123" s="55" t="n"/>
      <c r="G123" s="55" t="n"/>
      <c r="H123" s="57" t="n"/>
      <c r="I123" s="57" t="n"/>
      <c r="J123" s="57" t="n"/>
      <c r="K123" s="57" t="n"/>
      <c r="L123" s="55" t="n"/>
      <c r="M123" s="55" t="n"/>
      <c r="N123" s="55" t="n"/>
      <c r="O123" s="55" t="n"/>
      <c r="P123" s="55" t="n"/>
      <c r="Q123" s="55" t="n"/>
      <c r="R123" s="58" t="n"/>
      <c r="S123" s="59">
        <f>IF(tblPlant[[#This Row],[Milled_t]]="","",tblPlant[[#This Row],[Milled_t]]*tblPlant[[#This Row],[Head_Grade_gpt]]/cfg_TroyOz)</f>
        <v/>
      </c>
      <c r="T123" s="59">
        <f>IF(tblPlant[[#This Row],[Milled_t]]="","",tblPlant[[#This Row],[Milled_t]]*tblPlant[[#This Row],[Tails_Grade_gpt]]/cfg_TroyOz)</f>
        <v/>
      </c>
      <c r="U123" s="59">
        <f>IF(tblPlant[[#This Row],[Milled_t]]="","",tblPlant[[#This Row],[Feed_oz]]-tblPlant[[#This Row],[Tails_oz]])</f>
        <v/>
      </c>
      <c r="V123" s="60">
        <f>IF(AND(tblPlant[[#This Row],[Milled_t]]&lt;&gt;"",tblPlant[[#This Row],[Feed_oz]]&gt;0),tblPlant[[#This Row],[Recovered_oz]]/tblPlant[[#This Row],[Feed_oz]],"")</f>
        <v/>
      </c>
      <c r="W123" s="59">
        <f>IF(AND(tblPlant[[#This Row],[Milled_t]]&lt;&gt;"",tblPlant[[#This Row],[Mill_Run_h]]&gt;0),tblPlant[[#This Row],[Milled_t]]/tblPlant[[#This Row],[Mill_Run_h]],"")</f>
        <v/>
      </c>
      <c r="X123" s="60">
        <f>IF(tblPlant[[#This Row],[Mill_Run_h]]="","",(24-tblPlant[[#This Row],[Mill_Planned_Maint_h]]-tblPlant[[#This Row],[Mill_Unplanned_Down_h]])/24)</f>
        <v/>
      </c>
      <c r="Y1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4">
      <c r="A124" s="54" t="n">
        <v>46141</v>
      </c>
      <c r="B124" s="55" t="n"/>
      <c r="C124" s="55" t="n"/>
      <c r="D124" s="56" t="n"/>
      <c r="E124" s="56" t="n"/>
      <c r="F124" s="55" t="n"/>
      <c r="G124" s="55" t="n"/>
      <c r="H124" s="57" t="n"/>
      <c r="I124" s="57" t="n"/>
      <c r="J124" s="57" t="n"/>
      <c r="K124" s="57" t="n"/>
      <c r="L124" s="55" t="n"/>
      <c r="M124" s="55" t="n"/>
      <c r="N124" s="55" t="n"/>
      <c r="O124" s="55" t="n"/>
      <c r="P124" s="55" t="n"/>
      <c r="Q124" s="55" t="n"/>
      <c r="R124" s="58" t="n"/>
      <c r="S124" s="59">
        <f>IF(tblPlant[[#This Row],[Milled_t]]="","",tblPlant[[#This Row],[Milled_t]]*tblPlant[[#This Row],[Head_Grade_gpt]]/cfg_TroyOz)</f>
        <v/>
      </c>
      <c r="T124" s="59">
        <f>IF(tblPlant[[#This Row],[Milled_t]]="","",tblPlant[[#This Row],[Milled_t]]*tblPlant[[#This Row],[Tails_Grade_gpt]]/cfg_TroyOz)</f>
        <v/>
      </c>
      <c r="U124" s="59">
        <f>IF(tblPlant[[#This Row],[Milled_t]]="","",tblPlant[[#This Row],[Feed_oz]]-tblPlant[[#This Row],[Tails_oz]])</f>
        <v/>
      </c>
      <c r="V124" s="60">
        <f>IF(AND(tblPlant[[#This Row],[Milled_t]]&lt;&gt;"",tblPlant[[#This Row],[Feed_oz]]&gt;0),tblPlant[[#This Row],[Recovered_oz]]/tblPlant[[#This Row],[Feed_oz]],"")</f>
        <v/>
      </c>
      <c r="W124" s="59">
        <f>IF(AND(tblPlant[[#This Row],[Milled_t]]&lt;&gt;"",tblPlant[[#This Row],[Mill_Run_h]]&gt;0),tblPlant[[#This Row],[Milled_t]]/tblPlant[[#This Row],[Mill_Run_h]],"")</f>
        <v/>
      </c>
      <c r="X124" s="60">
        <f>IF(tblPlant[[#This Row],[Mill_Run_h]]="","",(24-tblPlant[[#This Row],[Mill_Planned_Maint_h]]-tblPlant[[#This Row],[Mill_Unplanned_Down_h]])/24)</f>
        <v/>
      </c>
      <c r="Y1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5">
      <c r="A125" s="54" t="n">
        <v>46142</v>
      </c>
      <c r="B125" s="55" t="n"/>
      <c r="C125" s="55" t="n"/>
      <c r="D125" s="56" t="n"/>
      <c r="E125" s="56" t="n"/>
      <c r="F125" s="55" t="n"/>
      <c r="G125" s="55" t="n"/>
      <c r="H125" s="57" t="n"/>
      <c r="I125" s="57" t="n"/>
      <c r="J125" s="57" t="n"/>
      <c r="K125" s="57" t="n"/>
      <c r="L125" s="55" t="n"/>
      <c r="M125" s="55" t="n"/>
      <c r="N125" s="55" t="n"/>
      <c r="O125" s="55" t="n"/>
      <c r="P125" s="55" t="n"/>
      <c r="Q125" s="55" t="n"/>
      <c r="R125" s="58" t="n"/>
      <c r="S125" s="59">
        <f>IF(tblPlant[[#This Row],[Milled_t]]="","",tblPlant[[#This Row],[Milled_t]]*tblPlant[[#This Row],[Head_Grade_gpt]]/cfg_TroyOz)</f>
        <v/>
      </c>
      <c r="T125" s="59">
        <f>IF(tblPlant[[#This Row],[Milled_t]]="","",tblPlant[[#This Row],[Milled_t]]*tblPlant[[#This Row],[Tails_Grade_gpt]]/cfg_TroyOz)</f>
        <v/>
      </c>
      <c r="U125" s="59">
        <f>IF(tblPlant[[#This Row],[Milled_t]]="","",tblPlant[[#This Row],[Feed_oz]]-tblPlant[[#This Row],[Tails_oz]])</f>
        <v/>
      </c>
      <c r="V125" s="60">
        <f>IF(AND(tblPlant[[#This Row],[Milled_t]]&lt;&gt;"",tblPlant[[#This Row],[Feed_oz]]&gt;0),tblPlant[[#This Row],[Recovered_oz]]/tblPlant[[#This Row],[Feed_oz]],"")</f>
        <v/>
      </c>
      <c r="W125" s="59">
        <f>IF(AND(tblPlant[[#This Row],[Milled_t]]&lt;&gt;"",tblPlant[[#This Row],[Mill_Run_h]]&gt;0),tblPlant[[#This Row],[Milled_t]]/tblPlant[[#This Row],[Mill_Run_h]],"")</f>
        <v/>
      </c>
      <c r="X125" s="60">
        <f>IF(tblPlant[[#This Row],[Mill_Run_h]]="","",(24-tblPlant[[#This Row],[Mill_Planned_Maint_h]]-tblPlant[[#This Row],[Mill_Unplanned_Down_h]])/24)</f>
        <v/>
      </c>
      <c r="Y1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6">
      <c r="A126" s="54" t="n">
        <v>46143</v>
      </c>
      <c r="B126" s="55" t="n"/>
      <c r="C126" s="55" t="n"/>
      <c r="D126" s="56" t="n"/>
      <c r="E126" s="56" t="n"/>
      <c r="F126" s="55" t="n"/>
      <c r="G126" s="55" t="n"/>
      <c r="H126" s="57" t="n"/>
      <c r="I126" s="57" t="n"/>
      <c r="J126" s="57" t="n"/>
      <c r="K126" s="57" t="n"/>
      <c r="L126" s="55" t="n"/>
      <c r="M126" s="55" t="n"/>
      <c r="N126" s="55" t="n"/>
      <c r="O126" s="55" t="n"/>
      <c r="P126" s="55" t="n"/>
      <c r="Q126" s="55" t="n"/>
      <c r="R126" s="58" t="n"/>
      <c r="S126" s="59">
        <f>IF(tblPlant[[#This Row],[Milled_t]]="","",tblPlant[[#This Row],[Milled_t]]*tblPlant[[#This Row],[Head_Grade_gpt]]/cfg_TroyOz)</f>
        <v/>
      </c>
      <c r="T126" s="59">
        <f>IF(tblPlant[[#This Row],[Milled_t]]="","",tblPlant[[#This Row],[Milled_t]]*tblPlant[[#This Row],[Tails_Grade_gpt]]/cfg_TroyOz)</f>
        <v/>
      </c>
      <c r="U126" s="59">
        <f>IF(tblPlant[[#This Row],[Milled_t]]="","",tblPlant[[#This Row],[Feed_oz]]-tblPlant[[#This Row],[Tails_oz]])</f>
        <v/>
      </c>
      <c r="V126" s="60">
        <f>IF(AND(tblPlant[[#This Row],[Milled_t]]&lt;&gt;"",tblPlant[[#This Row],[Feed_oz]]&gt;0),tblPlant[[#This Row],[Recovered_oz]]/tblPlant[[#This Row],[Feed_oz]],"")</f>
        <v/>
      </c>
      <c r="W126" s="59">
        <f>IF(AND(tblPlant[[#This Row],[Milled_t]]&lt;&gt;"",tblPlant[[#This Row],[Mill_Run_h]]&gt;0),tblPlant[[#This Row],[Milled_t]]/tblPlant[[#This Row],[Mill_Run_h]],"")</f>
        <v/>
      </c>
      <c r="X126" s="60">
        <f>IF(tblPlant[[#This Row],[Mill_Run_h]]="","",(24-tblPlant[[#This Row],[Mill_Planned_Maint_h]]-tblPlant[[#This Row],[Mill_Unplanned_Down_h]])/24)</f>
        <v/>
      </c>
      <c r="Y1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7">
      <c r="A127" s="54" t="n">
        <v>46144</v>
      </c>
      <c r="B127" s="55" t="n"/>
      <c r="C127" s="55" t="n"/>
      <c r="D127" s="56" t="n"/>
      <c r="E127" s="56" t="n"/>
      <c r="F127" s="55" t="n"/>
      <c r="G127" s="55" t="n"/>
      <c r="H127" s="57" t="n"/>
      <c r="I127" s="57" t="n"/>
      <c r="J127" s="57" t="n"/>
      <c r="K127" s="57" t="n"/>
      <c r="L127" s="55" t="n"/>
      <c r="M127" s="55" t="n"/>
      <c r="N127" s="55" t="n"/>
      <c r="O127" s="55" t="n"/>
      <c r="P127" s="55" t="n"/>
      <c r="Q127" s="55" t="n"/>
      <c r="R127" s="58" t="n"/>
      <c r="S127" s="59">
        <f>IF(tblPlant[[#This Row],[Milled_t]]="","",tblPlant[[#This Row],[Milled_t]]*tblPlant[[#This Row],[Head_Grade_gpt]]/cfg_TroyOz)</f>
        <v/>
      </c>
      <c r="T127" s="59">
        <f>IF(tblPlant[[#This Row],[Milled_t]]="","",tblPlant[[#This Row],[Milled_t]]*tblPlant[[#This Row],[Tails_Grade_gpt]]/cfg_TroyOz)</f>
        <v/>
      </c>
      <c r="U127" s="59">
        <f>IF(tblPlant[[#This Row],[Milled_t]]="","",tblPlant[[#This Row],[Feed_oz]]-tblPlant[[#This Row],[Tails_oz]])</f>
        <v/>
      </c>
      <c r="V127" s="60">
        <f>IF(AND(tblPlant[[#This Row],[Milled_t]]&lt;&gt;"",tblPlant[[#This Row],[Feed_oz]]&gt;0),tblPlant[[#This Row],[Recovered_oz]]/tblPlant[[#This Row],[Feed_oz]],"")</f>
        <v/>
      </c>
      <c r="W127" s="59">
        <f>IF(AND(tblPlant[[#This Row],[Milled_t]]&lt;&gt;"",tblPlant[[#This Row],[Mill_Run_h]]&gt;0),tblPlant[[#This Row],[Milled_t]]/tblPlant[[#This Row],[Mill_Run_h]],"")</f>
        <v/>
      </c>
      <c r="X127" s="60">
        <f>IF(tblPlant[[#This Row],[Mill_Run_h]]="","",(24-tblPlant[[#This Row],[Mill_Planned_Maint_h]]-tblPlant[[#This Row],[Mill_Unplanned_Down_h]])/24)</f>
        <v/>
      </c>
      <c r="Y1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8">
      <c r="A128" s="54" t="n">
        <v>46145</v>
      </c>
      <c r="B128" s="55" t="n"/>
      <c r="C128" s="55" t="n"/>
      <c r="D128" s="56" t="n"/>
      <c r="E128" s="56" t="n"/>
      <c r="F128" s="55" t="n"/>
      <c r="G128" s="55" t="n"/>
      <c r="H128" s="57" t="n"/>
      <c r="I128" s="57" t="n"/>
      <c r="J128" s="57" t="n"/>
      <c r="K128" s="57" t="n"/>
      <c r="L128" s="55" t="n"/>
      <c r="M128" s="55" t="n"/>
      <c r="N128" s="55" t="n"/>
      <c r="O128" s="55" t="n"/>
      <c r="P128" s="55" t="n"/>
      <c r="Q128" s="55" t="n"/>
      <c r="R128" s="58" t="n"/>
      <c r="S128" s="59">
        <f>IF(tblPlant[[#This Row],[Milled_t]]="","",tblPlant[[#This Row],[Milled_t]]*tblPlant[[#This Row],[Head_Grade_gpt]]/cfg_TroyOz)</f>
        <v/>
      </c>
      <c r="T128" s="59">
        <f>IF(tblPlant[[#This Row],[Milled_t]]="","",tblPlant[[#This Row],[Milled_t]]*tblPlant[[#This Row],[Tails_Grade_gpt]]/cfg_TroyOz)</f>
        <v/>
      </c>
      <c r="U128" s="59">
        <f>IF(tblPlant[[#This Row],[Milled_t]]="","",tblPlant[[#This Row],[Feed_oz]]-tblPlant[[#This Row],[Tails_oz]])</f>
        <v/>
      </c>
      <c r="V128" s="60">
        <f>IF(AND(tblPlant[[#This Row],[Milled_t]]&lt;&gt;"",tblPlant[[#This Row],[Feed_oz]]&gt;0),tblPlant[[#This Row],[Recovered_oz]]/tblPlant[[#This Row],[Feed_oz]],"")</f>
        <v/>
      </c>
      <c r="W128" s="59">
        <f>IF(AND(tblPlant[[#This Row],[Milled_t]]&lt;&gt;"",tblPlant[[#This Row],[Mill_Run_h]]&gt;0),tblPlant[[#This Row],[Milled_t]]/tblPlant[[#This Row],[Mill_Run_h]],"")</f>
        <v/>
      </c>
      <c r="X128" s="60">
        <f>IF(tblPlant[[#This Row],[Mill_Run_h]]="","",(24-tblPlant[[#This Row],[Mill_Planned_Maint_h]]-tblPlant[[#This Row],[Mill_Unplanned_Down_h]])/24)</f>
        <v/>
      </c>
      <c r="Y1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9">
      <c r="A129" s="54" t="n">
        <v>46146</v>
      </c>
      <c r="B129" s="55" t="n"/>
      <c r="C129" s="55" t="n"/>
      <c r="D129" s="56" t="n"/>
      <c r="E129" s="56" t="n"/>
      <c r="F129" s="55" t="n"/>
      <c r="G129" s="55" t="n"/>
      <c r="H129" s="57" t="n"/>
      <c r="I129" s="57" t="n"/>
      <c r="J129" s="57" t="n"/>
      <c r="K129" s="57" t="n"/>
      <c r="L129" s="55" t="n"/>
      <c r="M129" s="55" t="n"/>
      <c r="N129" s="55" t="n"/>
      <c r="O129" s="55" t="n"/>
      <c r="P129" s="55" t="n"/>
      <c r="Q129" s="55" t="n"/>
      <c r="R129" s="58" t="n"/>
      <c r="S129" s="59">
        <f>IF(tblPlant[[#This Row],[Milled_t]]="","",tblPlant[[#This Row],[Milled_t]]*tblPlant[[#This Row],[Head_Grade_gpt]]/cfg_TroyOz)</f>
        <v/>
      </c>
      <c r="T129" s="59">
        <f>IF(tblPlant[[#This Row],[Milled_t]]="","",tblPlant[[#This Row],[Milled_t]]*tblPlant[[#This Row],[Tails_Grade_gpt]]/cfg_TroyOz)</f>
        <v/>
      </c>
      <c r="U129" s="59">
        <f>IF(tblPlant[[#This Row],[Milled_t]]="","",tblPlant[[#This Row],[Feed_oz]]-tblPlant[[#This Row],[Tails_oz]])</f>
        <v/>
      </c>
      <c r="V129" s="60">
        <f>IF(AND(tblPlant[[#This Row],[Milled_t]]&lt;&gt;"",tblPlant[[#This Row],[Feed_oz]]&gt;0),tblPlant[[#This Row],[Recovered_oz]]/tblPlant[[#This Row],[Feed_oz]],"")</f>
        <v/>
      </c>
      <c r="W129" s="59">
        <f>IF(AND(tblPlant[[#This Row],[Milled_t]]&lt;&gt;"",tblPlant[[#This Row],[Mill_Run_h]]&gt;0),tblPlant[[#This Row],[Milled_t]]/tblPlant[[#This Row],[Mill_Run_h]],"")</f>
        <v/>
      </c>
      <c r="X129" s="60">
        <f>IF(tblPlant[[#This Row],[Mill_Run_h]]="","",(24-tblPlant[[#This Row],[Mill_Planned_Maint_h]]-tblPlant[[#This Row],[Mill_Unplanned_Down_h]])/24)</f>
        <v/>
      </c>
      <c r="Y1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0">
      <c r="A130" s="54" t="n">
        <v>46147</v>
      </c>
      <c r="B130" s="55" t="n"/>
      <c r="C130" s="55" t="n"/>
      <c r="D130" s="56" t="n"/>
      <c r="E130" s="56" t="n"/>
      <c r="F130" s="55" t="n"/>
      <c r="G130" s="55" t="n"/>
      <c r="H130" s="57" t="n"/>
      <c r="I130" s="57" t="n"/>
      <c r="J130" s="57" t="n"/>
      <c r="K130" s="57" t="n"/>
      <c r="L130" s="55" t="n"/>
      <c r="M130" s="55" t="n"/>
      <c r="N130" s="55" t="n"/>
      <c r="O130" s="55" t="n"/>
      <c r="P130" s="55" t="n"/>
      <c r="Q130" s="55" t="n"/>
      <c r="R130" s="58" t="n"/>
      <c r="S130" s="59">
        <f>IF(tblPlant[[#This Row],[Milled_t]]="","",tblPlant[[#This Row],[Milled_t]]*tblPlant[[#This Row],[Head_Grade_gpt]]/cfg_TroyOz)</f>
        <v/>
      </c>
      <c r="T130" s="59">
        <f>IF(tblPlant[[#This Row],[Milled_t]]="","",tblPlant[[#This Row],[Milled_t]]*tblPlant[[#This Row],[Tails_Grade_gpt]]/cfg_TroyOz)</f>
        <v/>
      </c>
      <c r="U130" s="59">
        <f>IF(tblPlant[[#This Row],[Milled_t]]="","",tblPlant[[#This Row],[Feed_oz]]-tblPlant[[#This Row],[Tails_oz]])</f>
        <v/>
      </c>
      <c r="V130" s="60">
        <f>IF(AND(tblPlant[[#This Row],[Milled_t]]&lt;&gt;"",tblPlant[[#This Row],[Feed_oz]]&gt;0),tblPlant[[#This Row],[Recovered_oz]]/tblPlant[[#This Row],[Feed_oz]],"")</f>
        <v/>
      </c>
      <c r="W130" s="59">
        <f>IF(AND(tblPlant[[#This Row],[Milled_t]]&lt;&gt;"",tblPlant[[#This Row],[Mill_Run_h]]&gt;0),tblPlant[[#This Row],[Milled_t]]/tblPlant[[#This Row],[Mill_Run_h]],"")</f>
        <v/>
      </c>
      <c r="X130" s="60">
        <f>IF(tblPlant[[#This Row],[Mill_Run_h]]="","",(24-tblPlant[[#This Row],[Mill_Planned_Maint_h]]-tblPlant[[#This Row],[Mill_Unplanned_Down_h]])/24)</f>
        <v/>
      </c>
      <c r="Y1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1">
      <c r="A131" s="54" t="n">
        <v>46148</v>
      </c>
      <c r="B131" s="55" t="n"/>
      <c r="C131" s="55" t="n"/>
      <c r="D131" s="56" t="n"/>
      <c r="E131" s="56" t="n"/>
      <c r="F131" s="55" t="n"/>
      <c r="G131" s="55" t="n"/>
      <c r="H131" s="57" t="n"/>
      <c r="I131" s="57" t="n"/>
      <c r="J131" s="57" t="n"/>
      <c r="K131" s="57" t="n"/>
      <c r="L131" s="55" t="n"/>
      <c r="M131" s="55" t="n"/>
      <c r="N131" s="55" t="n"/>
      <c r="O131" s="55" t="n"/>
      <c r="P131" s="55" t="n"/>
      <c r="Q131" s="55" t="n"/>
      <c r="R131" s="58" t="n"/>
      <c r="S131" s="59">
        <f>IF(tblPlant[[#This Row],[Milled_t]]="","",tblPlant[[#This Row],[Milled_t]]*tblPlant[[#This Row],[Head_Grade_gpt]]/cfg_TroyOz)</f>
        <v/>
      </c>
      <c r="T131" s="59">
        <f>IF(tblPlant[[#This Row],[Milled_t]]="","",tblPlant[[#This Row],[Milled_t]]*tblPlant[[#This Row],[Tails_Grade_gpt]]/cfg_TroyOz)</f>
        <v/>
      </c>
      <c r="U131" s="59">
        <f>IF(tblPlant[[#This Row],[Milled_t]]="","",tblPlant[[#This Row],[Feed_oz]]-tblPlant[[#This Row],[Tails_oz]])</f>
        <v/>
      </c>
      <c r="V131" s="60">
        <f>IF(AND(tblPlant[[#This Row],[Milled_t]]&lt;&gt;"",tblPlant[[#This Row],[Feed_oz]]&gt;0),tblPlant[[#This Row],[Recovered_oz]]/tblPlant[[#This Row],[Feed_oz]],"")</f>
        <v/>
      </c>
      <c r="W131" s="59">
        <f>IF(AND(tblPlant[[#This Row],[Milled_t]]&lt;&gt;"",tblPlant[[#This Row],[Mill_Run_h]]&gt;0),tblPlant[[#This Row],[Milled_t]]/tblPlant[[#This Row],[Mill_Run_h]],"")</f>
        <v/>
      </c>
      <c r="X131" s="60">
        <f>IF(tblPlant[[#This Row],[Mill_Run_h]]="","",(24-tblPlant[[#This Row],[Mill_Planned_Maint_h]]-tblPlant[[#This Row],[Mill_Unplanned_Down_h]])/24)</f>
        <v/>
      </c>
      <c r="Y1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2">
      <c r="A132" s="54" t="n">
        <v>46149</v>
      </c>
      <c r="B132" s="55" t="n"/>
      <c r="C132" s="55" t="n"/>
      <c r="D132" s="56" t="n"/>
      <c r="E132" s="56" t="n"/>
      <c r="F132" s="55" t="n"/>
      <c r="G132" s="55" t="n"/>
      <c r="H132" s="57" t="n"/>
      <c r="I132" s="57" t="n"/>
      <c r="J132" s="57" t="n"/>
      <c r="K132" s="57" t="n"/>
      <c r="L132" s="55" t="n"/>
      <c r="M132" s="55" t="n"/>
      <c r="N132" s="55" t="n"/>
      <c r="O132" s="55" t="n"/>
      <c r="P132" s="55" t="n"/>
      <c r="Q132" s="55" t="n"/>
      <c r="R132" s="58" t="n"/>
      <c r="S132" s="59">
        <f>IF(tblPlant[[#This Row],[Milled_t]]="","",tblPlant[[#This Row],[Milled_t]]*tblPlant[[#This Row],[Head_Grade_gpt]]/cfg_TroyOz)</f>
        <v/>
      </c>
      <c r="T132" s="59">
        <f>IF(tblPlant[[#This Row],[Milled_t]]="","",tblPlant[[#This Row],[Milled_t]]*tblPlant[[#This Row],[Tails_Grade_gpt]]/cfg_TroyOz)</f>
        <v/>
      </c>
      <c r="U132" s="59">
        <f>IF(tblPlant[[#This Row],[Milled_t]]="","",tblPlant[[#This Row],[Feed_oz]]-tblPlant[[#This Row],[Tails_oz]])</f>
        <v/>
      </c>
      <c r="V132" s="60">
        <f>IF(AND(tblPlant[[#This Row],[Milled_t]]&lt;&gt;"",tblPlant[[#This Row],[Feed_oz]]&gt;0),tblPlant[[#This Row],[Recovered_oz]]/tblPlant[[#This Row],[Feed_oz]],"")</f>
        <v/>
      </c>
      <c r="W132" s="59">
        <f>IF(AND(tblPlant[[#This Row],[Milled_t]]&lt;&gt;"",tblPlant[[#This Row],[Mill_Run_h]]&gt;0),tblPlant[[#This Row],[Milled_t]]/tblPlant[[#This Row],[Mill_Run_h]],"")</f>
        <v/>
      </c>
      <c r="X132" s="60">
        <f>IF(tblPlant[[#This Row],[Mill_Run_h]]="","",(24-tblPlant[[#This Row],[Mill_Planned_Maint_h]]-tblPlant[[#This Row],[Mill_Unplanned_Down_h]])/24)</f>
        <v/>
      </c>
      <c r="Y1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3">
      <c r="A133" s="54" t="n">
        <v>46150</v>
      </c>
      <c r="B133" s="55" t="n"/>
      <c r="C133" s="55" t="n"/>
      <c r="D133" s="56" t="n"/>
      <c r="E133" s="56" t="n"/>
      <c r="F133" s="55" t="n"/>
      <c r="G133" s="55" t="n"/>
      <c r="H133" s="57" t="n"/>
      <c r="I133" s="57" t="n"/>
      <c r="J133" s="57" t="n"/>
      <c r="K133" s="57" t="n"/>
      <c r="L133" s="55" t="n"/>
      <c r="M133" s="55" t="n"/>
      <c r="N133" s="55" t="n"/>
      <c r="O133" s="55" t="n"/>
      <c r="P133" s="55" t="n"/>
      <c r="Q133" s="55" t="n"/>
      <c r="R133" s="58" t="n"/>
      <c r="S133" s="59">
        <f>IF(tblPlant[[#This Row],[Milled_t]]="","",tblPlant[[#This Row],[Milled_t]]*tblPlant[[#This Row],[Head_Grade_gpt]]/cfg_TroyOz)</f>
        <v/>
      </c>
      <c r="T133" s="59">
        <f>IF(tblPlant[[#This Row],[Milled_t]]="","",tblPlant[[#This Row],[Milled_t]]*tblPlant[[#This Row],[Tails_Grade_gpt]]/cfg_TroyOz)</f>
        <v/>
      </c>
      <c r="U133" s="59">
        <f>IF(tblPlant[[#This Row],[Milled_t]]="","",tblPlant[[#This Row],[Feed_oz]]-tblPlant[[#This Row],[Tails_oz]])</f>
        <v/>
      </c>
      <c r="V133" s="60">
        <f>IF(AND(tblPlant[[#This Row],[Milled_t]]&lt;&gt;"",tblPlant[[#This Row],[Feed_oz]]&gt;0),tblPlant[[#This Row],[Recovered_oz]]/tblPlant[[#This Row],[Feed_oz]],"")</f>
        <v/>
      </c>
      <c r="W133" s="59">
        <f>IF(AND(tblPlant[[#This Row],[Milled_t]]&lt;&gt;"",tblPlant[[#This Row],[Mill_Run_h]]&gt;0),tblPlant[[#This Row],[Milled_t]]/tblPlant[[#This Row],[Mill_Run_h]],"")</f>
        <v/>
      </c>
      <c r="X133" s="60">
        <f>IF(tblPlant[[#This Row],[Mill_Run_h]]="","",(24-tblPlant[[#This Row],[Mill_Planned_Maint_h]]-tblPlant[[#This Row],[Mill_Unplanned_Down_h]])/24)</f>
        <v/>
      </c>
      <c r="Y1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4">
      <c r="A134" s="54" t="n">
        <v>46151</v>
      </c>
      <c r="B134" s="55" t="n"/>
      <c r="C134" s="55" t="n"/>
      <c r="D134" s="56" t="n"/>
      <c r="E134" s="56" t="n"/>
      <c r="F134" s="55" t="n"/>
      <c r="G134" s="55" t="n"/>
      <c r="H134" s="57" t="n"/>
      <c r="I134" s="57" t="n"/>
      <c r="J134" s="57" t="n"/>
      <c r="K134" s="57" t="n"/>
      <c r="L134" s="55" t="n"/>
      <c r="M134" s="55" t="n"/>
      <c r="N134" s="55" t="n"/>
      <c r="O134" s="55" t="n"/>
      <c r="P134" s="55" t="n"/>
      <c r="Q134" s="55" t="n"/>
      <c r="R134" s="58" t="n"/>
      <c r="S134" s="59">
        <f>IF(tblPlant[[#This Row],[Milled_t]]="","",tblPlant[[#This Row],[Milled_t]]*tblPlant[[#This Row],[Head_Grade_gpt]]/cfg_TroyOz)</f>
        <v/>
      </c>
      <c r="T134" s="59">
        <f>IF(tblPlant[[#This Row],[Milled_t]]="","",tblPlant[[#This Row],[Milled_t]]*tblPlant[[#This Row],[Tails_Grade_gpt]]/cfg_TroyOz)</f>
        <v/>
      </c>
      <c r="U134" s="59">
        <f>IF(tblPlant[[#This Row],[Milled_t]]="","",tblPlant[[#This Row],[Feed_oz]]-tblPlant[[#This Row],[Tails_oz]])</f>
        <v/>
      </c>
      <c r="V134" s="60">
        <f>IF(AND(tblPlant[[#This Row],[Milled_t]]&lt;&gt;"",tblPlant[[#This Row],[Feed_oz]]&gt;0),tblPlant[[#This Row],[Recovered_oz]]/tblPlant[[#This Row],[Feed_oz]],"")</f>
        <v/>
      </c>
      <c r="W134" s="59">
        <f>IF(AND(tblPlant[[#This Row],[Milled_t]]&lt;&gt;"",tblPlant[[#This Row],[Mill_Run_h]]&gt;0),tblPlant[[#This Row],[Milled_t]]/tblPlant[[#This Row],[Mill_Run_h]],"")</f>
        <v/>
      </c>
      <c r="X134" s="60">
        <f>IF(tblPlant[[#This Row],[Mill_Run_h]]="","",(24-tblPlant[[#This Row],[Mill_Planned_Maint_h]]-tblPlant[[#This Row],[Mill_Unplanned_Down_h]])/24)</f>
        <v/>
      </c>
      <c r="Y1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5">
      <c r="A135" s="54" t="n">
        <v>46152</v>
      </c>
      <c r="B135" s="55" t="n"/>
      <c r="C135" s="55" t="n"/>
      <c r="D135" s="56" t="n"/>
      <c r="E135" s="56" t="n"/>
      <c r="F135" s="55" t="n"/>
      <c r="G135" s="55" t="n"/>
      <c r="H135" s="57" t="n"/>
      <c r="I135" s="57" t="n"/>
      <c r="J135" s="57" t="n"/>
      <c r="K135" s="57" t="n"/>
      <c r="L135" s="55" t="n"/>
      <c r="M135" s="55" t="n"/>
      <c r="N135" s="55" t="n"/>
      <c r="O135" s="55" t="n"/>
      <c r="P135" s="55" t="n"/>
      <c r="Q135" s="55" t="n"/>
      <c r="R135" s="58" t="n"/>
      <c r="S135" s="59">
        <f>IF(tblPlant[[#This Row],[Milled_t]]="","",tblPlant[[#This Row],[Milled_t]]*tblPlant[[#This Row],[Head_Grade_gpt]]/cfg_TroyOz)</f>
        <v/>
      </c>
      <c r="T135" s="59">
        <f>IF(tblPlant[[#This Row],[Milled_t]]="","",tblPlant[[#This Row],[Milled_t]]*tblPlant[[#This Row],[Tails_Grade_gpt]]/cfg_TroyOz)</f>
        <v/>
      </c>
      <c r="U135" s="59">
        <f>IF(tblPlant[[#This Row],[Milled_t]]="","",tblPlant[[#This Row],[Feed_oz]]-tblPlant[[#This Row],[Tails_oz]])</f>
        <v/>
      </c>
      <c r="V135" s="60">
        <f>IF(AND(tblPlant[[#This Row],[Milled_t]]&lt;&gt;"",tblPlant[[#This Row],[Feed_oz]]&gt;0),tblPlant[[#This Row],[Recovered_oz]]/tblPlant[[#This Row],[Feed_oz]],"")</f>
        <v/>
      </c>
      <c r="W135" s="59">
        <f>IF(AND(tblPlant[[#This Row],[Milled_t]]&lt;&gt;"",tblPlant[[#This Row],[Mill_Run_h]]&gt;0),tblPlant[[#This Row],[Milled_t]]/tblPlant[[#This Row],[Mill_Run_h]],"")</f>
        <v/>
      </c>
      <c r="X135" s="60">
        <f>IF(tblPlant[[#This Row],[Mill_Run_h]]="","",(24-tblPlant[[#This Row],[Mill_Planned_Maint_h]]-tblPlant[[#This Row],[Mill_Unplanned_Down_h]])/24)</f>
        <v/>
      </c>
      <c r="Y1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6">
      <c r="A136" s="54" t="n">
        <v>46153</v>
      </c>
      <c r="B136" s="55" t="n"/>
      <c r="C136" s="55" t="n"/>
      <c r="D136" s="56" t="n"/>
      <c r="E136" s="56" t="n"/>
      <c r="F136" s="55" t="n"/>
      <c r="G136" s="55" t="n"/>
      <c r="H136" s="57" t="n"/>
      <c r="I136" s="57" t="n"/>
      <c r="J136" s="57" t="n"/>
      <c r="K136" s="57" t="n"/>
      <c r="L136" s="55" t="n"/>
      <c r="M136" s="55" t="n"/>
      <c r="N136" s="55" t="n"/>
      <c r="O136" s="55" t="n"/>
      <c r="P136" s="55" t="n"/>
      <c r="Q136" s="55" t="n"/>
      <c r="R136" s="58" t="n"/>
      <c r="S136" s="59">
        <f>IF(tblPlant[[#This Row],[Milled_t]]="","",tblPlant[[#This Row],[Milled_t]]*tblPlant[[#This Row],[Head_Grade_gpt]]/cfg_TroyOz)</f>
        <v/>
      </c>
      <c r="T136" s="59">
        <f>IF(tblPlant[[#This Row],[Milled_t]]="","",tblPlant[[#This Row],[Milled_t]]*tblPlant[[#This Row],[Tails_Grade_gpt]]/cfg_TroyOz)</f>
        <v/>
      </c>
      <c r="U136" s="59">
        <f>IF(tblPlant[[#This Row],[Milled_t]]="","",tblPlant[[#This Row],[Feed_oz]]-tblPlant[[#This Row],[Tails_oz]])</f>
        <v/>
      </c>
      <c r="V136" s="60">
        <f>IF(AND(tblPlant[[#This Row],[Milled_t]]&lt;&gt;"",tblPlant[[#This Row],[Feed_oz]]&gt;0),tblPlant[[#This Row],[Recovered_oz]]/tblPlant[[#This Row],[Feed_oz]],"")</f>
        <v/>
      </c>
      <c r="W136" s="59">
        <f>IF(AND(tblPlant[[#This Row],[Milled_t]]&lt;&gt;"",tblPlant[[#This Row],[Mill_Run_h]]&gt;0),tblPlant[[#This Row],[Milled_t]]/tblPlant[[#This Row],[Mill_Run_h]],"")</f>
        <v/>
      </c>
      <c r="X136" s="60">
        <f>IF(tblPlant[[#This Row],[Mill_Run_h]]="","",(24-tblPlant[[#This Row],[Mill_Planned_Maint_h]]-tblPlant[[#This Row],[Mill_Unplanned_Down_h]])/24)</f>
        <v/>
      </c>
      <c r="Y1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7">
      <c r="A137" s="54" t="n">
        <v>46154</v>
      </c>
      <c r="B137" s="55" t="n"/>
      <c r="C137" s="55" t="n"/>
      <c r="D137" s="56" t="n"/>
      <c r="E137" s="56" t="n"/>
      <c r="F137" s="55" t="n"/>
      <c r="G137" s="55" t="n"/>
      <c r="H137" s="57" t="n"/>
      <c r="I137" s="57" t="n"/>
      <c r="J137" s="57" t="n"/>
      <c r="K137" s="57" t="n"/>
      <c r="L137" s="55" t="n"/>
      <c r="M137" s="55" t="n"/>
      <c r="N137" s="55" t="n"/>
      <c r="O137" s="55" t="n"/>
      <c r="P137" s="55" t="n"/>
      <c r="Q137" s="55" t="n"/>
      <c r="R137" s="58" t="n"/>
      <c r="S137" s="59">
        <f>IF(tblPlant[[#This Row],[Milled_t]]="","",tblPlant[[#This Row],[Milled_t]]*tblPlant[[#This Row],[Head_Grade_gpt]]/cfg_TroyOz)</f>
        <v/>
      </c>
      <c r="T137" s="59">
        <f>IF(tblPlant[[#This Row],[Milled_t]]="","",tblPlant[[#This Row],[Milled_t]]*tblPlant[[#This Row],[Tails_Grade_gpt]]/cfg_TroyOz)</f>
        <v/>
      </c>
      <c r="U137" s="59">
        <f>IF(tblPlant[[#This Row],[Milled_t]]="","",tblPlant[[#This Row],[Feed_oz]]-tblPlant[[#This Row],[Tails_oz]])</f>
        <v/>
      </c>
      <c r="V137" s="60">
        <f>IF(AND(tblPlant[[#This Row],[Milled_t]]&lt;&gt;"",tblPlant[[#This Row],[Feed_oz]]&gt;0),tblPlant[[#This Row],[Recovered_oz]]/tblPlant[[#This Row],[Feed_oz]],"")</f>
        <v/>
      </c>
      <c r="W137" s="59">
        <f>IF(AND(tblPlant[[#This Row],[Milled_t]]&lt;&gt;"",tblPlant[[#This Row],[Mill_Run_h]]&gt;0),tblPlant[[#This Row],[Milled_t]]/tblPlant[[#This Row],[Mill_Run_h]],"")</f>
        <v/>
      </c>
      <c r="X137" s="60">
        <f>IF(tblPlant[[#This Row],[Mill_Run_h]]="","",(24-tblPlant[[#This Row],[Mill_Planned_Maint_h]]-tblPlant[[#This Row],[Mill_Unplanned_Down_h]])/24)</f>
        <v/>
      </c>
      <c r="Y1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8">
      <c r="A138" s="54" t="n">
        <v>46155</v>
      </c>
      <c r="B138" s="55" t="n"/>
      <c r="C138" s="55" t="n"/>
      <c r="D138" s="56" t="n"/>
      <c r="E138" s="56" t="n"/>
      <c r="F138" s="55" t="n"/>
      <c r="G138" s="55" t="n"/>
      <c r="H138" s="57" t="n"/>
      <c r="I138" s="57" t="n"/>
      <c r="J138" s="57" t="n"/>
      <c r="K138" s="57" t="n"/>
      <c r="L138" s="55" t="n"/>
      <c r="M138" s="55" t="n"/>
      <c r="N138" s="55" t="n"/>
      <c r="O138" s="55" t="n"/>
      <c r="P138" s="55" t="n"/>
      <c r="Q138" s="55" t="n"/>
      <c r="R138" s="58" t="n"/>
      <c r="S138" s="59">
        <f>IF(tblPlant[[#This Row],[Milled_t]]="","",tblPlant[[#This Row],[Milled_t]]*tblPlant[[#This Row],[Head_Grade_gpt]]/cfg_TroyOz)</f>
        <v/>
      </c>
      <c r="T138" s="59">
        <f>IF(tblPlant[[#This Row],[Milled_t]]="","",tblPlant[[#This Row],[Milled_t]]*tblPlant[[#This Row],[Tails_Grade_gpt]]/cfg_TroyOz)</f>
        <v/>
      </c>
      <c r="U138" s="59">
        <f>IF(tblPlant[[#This Row],[Milled_t]]="","",tblPlant[[#This Row],[Feed_oz]]-tblPlant[[#This Row],[Tails_oz]])</f>
        <v/>
      </c>
      <c r="V138" s="60">
        <f>IF(AND(tblPlant[[#This Row],[Milled_t]]&lt;&gt;"",tblPlant[[#This Row],[Feed_oz]]&gt;0),tblPlant[[#This Row],[Recovered_oz]]/tblPlant[[#This Row],[Feed_oz]],"")</f>
        <v/>
      </c>
      <c r="W138" s="59">
        <f>IF(AND(tblPlant[[#This Row],[Milled_t]]&lt;&gt;"",tblPlant[[#This Row],[Mill_Run_h]]&gt;0),tblPlant[[#This Row],[Milled_t]]/tblPlant[[#This Row],[Mill_Run_h]],"")</f>
        <v/>
      </c>
      <c r="X138" s="60">
        <f>IF(tblPlant[[#This Row],[Mill_Run_h]]="","",(24-tblPlant[[#This Row],[Mill_Planned_Maint_h]]-tblPlant[[#This Row],[Mill_Unplanned_Down_h]])/24)</f>
        <v/>
      </c>
      <c r="Y1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9">
      <c r="A139" s="54" t="n">
        <v>46156</v>
      </c>
      <c r="B139" s="55" t="n"/>
      <c r="C139" s="55" t="n"/>
      <c r="D139" s="56" t="n"/>
      <c r="E139" s="56" t="n"/>
      <c r="F139" s="55" t="n"/>
      <c r="G139" s="55" t="n"/>
      <c r="H139" s="57" t="n"/>
      <c r="I139" s="57" t="n"/>
      <c r="J139" s="57" t="n"/>
      <c r="K139" s="57" t="n"/>
      <c r="L139" s="55" t="n"/>
      <c r="M139" s="55" t="n"/>
      <c r="N139" s="55" t="n"/>
      <c r="O139" s="55" t="n"/>
      <c r="P139" s="55" t="n"/>
      <c r="Q139" s="55" t="n"/>
      <c r="R139" s="58" t="n"/>
      <c r="S139" s="59">
        <f>IF(tblPlant[[#This Row],[Milled_t]]="","",tblPlant[[#This Row],[Milled_t]]*tblPlant[[#This Row],[Head_Grade_gpt]]/cfg_TroyOz)</f>
        <v/>
      </c>
      <c r="T139" s="59">
        <f>IF(tblPlant[[#This Row],[Milled_t]]="","",tblPlant[[#This Row],[Milled_t]]*tblPlant[[#This Row],[Tails_Grade_gpt]]/cfg_TroyOz)</f>
        <v/>
      </c>
      <c r="U139" s="59">
        <f>IF(tblPlant[[#This Row],[Milled_t]]="","",tblPlant[[#This Row],[Feed_oz]]-tblPlant[[#This Row],[Tails_oz]])</f>
        <v/>
      </c>
      <c r="V139" s="60">
        <f>IF(AND(tblPlant[[#This Row],[Milled_t]]&lt;&gt;"",tblPlant[[#This Row],[Feed_oz]]&gt;0),tblPlant[[#This Row],[Recovered_oz]]/tblPlant[[#This Row],[Feed_oz]],"")</f>
        <v/>
      </c>
      <c r="W139" s="59">
        <f>IF(AND(tblPlant[[#This Row],[Milled_t]]&lt;&gt;"",tblPlant[[#This Row],[Mill_Run_h]]&gt;0),tblPlant[[#This Row],[Milled_t]]/tblPlant[[#This Row],[Mill_Run_h]],"")</f>
        <v/>
      </c>
      <c r="X139" s="60">
        <f>IF(tblPlant[[#This Row],[Mill_Run_h]]="","",(24-tblPlant[[#This Row],[Mill_Planned_Maint_h]]-tblPlant[[#This Row],[Mill_Unplanned_Down_h]])/24)</f>
        <v/>
      </c>
      <c r="Y1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0">
      <c r="A140" s="54" t="n">
        <v>46157</v>
      </c>
      <c r="B140" s="55" t="n"/>
      <c r="C140" s="55" t="n"/>
      <c r="D140" s="56" t="n"/>
      <c r="E140" s="56" t="n"/>
      <c r="F140" s="55" t="n"/>
      <c r="G140" s="55" t="n"/>
      <c r="H140" s="57" t="n"/>
      <c r="I140" s="57" t="n"/>
      <c r="J140" s="57" t="n"/>
      <c r="K140" s="57" t="n"/>
      <c r="L140" s="55" t="n"/>
      <c r="M140" s="55" t="n"/>
      <c r="N140" s="55" t="n"/>
      <c r="O140" s="55" t="n"/>
      <c r="P140" s="55" t="n"/>
      <c r="Q140" s="55" t="n"/>
      <c r="R140" s="58" t="n"/>
      <c r="S140" s="59">
        <f>IF(tblPlant[[#This Row],[Milled_t]]="","",tblPlant[[#This Row],[Milled_t]]*tblPlant[[#This Row],[Head_Grade_gpt]]/cfg_TroyOz)</f>
        <v/>
      </c>
      <c r="T140" s="59">
        <f>IF(tblPlant[[#This Row],[Milled_t]]="","",tblPlant[[#This Row],[Milled_t]]*tblPlant[[#This Row],[Tails_Grade_gpt]]/cfg_TroyOz)</f>
        <v/>
      </c>
      <c r="U140" s="59">
        <f>IF(tblPlant[[#This Row],[Milled_t]]="","",tblPlant[[#This Row],[Feed_oz]]-tblPlant[[#This Row],[Tails_oz]])</f>
        <v/>
      </c>
      <c r="V140" s="60">
        <f>IF(AND(tblPlant[[#This Row],[Milled_t]]&lt;&gt;"",tblPlant[[#This Row],[Feed_oz]]&gt;0),tblPlant[[#This Row],[Recovered_oz]]/tblPlant[[#This Row],[Feed_oz]],"")</f>
        <v/>
      </c>
      <c r="W140" s="59">
        <f>IF(AND(tblPlant[[#This Row],[Milled_t]]&lt;&gt;"",tblPlant[[#This Row],[Mill_Run_h]]&gt;0),tblPlant[[#This Row],[Milled_t]]/tblPlant[[#This Row],[Mill_Run_h]],"")</f>
        <v/>
      </c>
      <c r="X140" s="60">
        <f>IF(tblPlant[[#This Row],[Mill_Run_h]]="","",(24-tblPlant[[#This Row],[Mill_Planned_Maint_h]]-tblPlant[[#This Row],[Mill_Unplanned_Down_h]])/24)</f>
        <v/>
      </c>
      <c r="Y1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1">
      <c r="A141" s="54" t="n">
        <v>46158</v>
      </c>
      <c r="B141" s="55" t="n"/>
      <c r="C141" s="55" t="n"/>
      <c r="D141" s="56" t="n"/>
      <c r="E141" s="56" t="n"/>
      <c r="F141" s="55" t="n"/>
      <c r="G141" s="55" t="n"/>
      <c r="H141" s="57" t="n"/>
      <c r="I141" s="57" t="n"/>
      <c r="J141" s="57" t="n"/>
      <c r="K141" s="57" t="n"/>
      <c r="L141" s="55" t="n"/>
      <c r="M141" s="55" t="n"/>
      <c r="N141" s="55" t="n"/>
      <c r="O141" s="55" t="n"/>
      <c r="P141" s="55" t="n"/>
      <c r="Q141" s="55" t="n"/>
      <c r="R141" s="58" t="n"/>
      <c r="S141" s="59">
        <f>IF(tblPlant[[#This Row],[Milled_t]]="","",tblPlant[[#This Row],[Milled_t]]*tblPlant[[#This Row],[Head_Grade_gpt]]/cfg_TroyOz)</f>
        <v/>
      </c>
      <c r="T141" s="59">
        <f>IF(tblPlant[[#This Row],[Milled_t]]="","",tblPlant[[#This Row],[Milled_t]]*tblPlant[[#This Row],[Tails_Grade_gpt]]/cfg_TroyOz)</f>
        <v/>
      </c>
      <c r="U141" s="59">
        <f>IF(tblPlant[[#This Row],[Milled_t]]="","",tblPlant[[#This Row],[Feed_oz]]-tblPlant[[#This Row],[Tails_oz]])</f>
        <v/>
      </c>
      <c r="V141" s="60">
        <f>IF(AND(tblPlant[[#This Row],[Milled_t]]&lt;&gt;"",tblPlant[[#This Row],[Feed_oz]]&gt;0),tblPlant[[#This Row],[Recovered_oz]]/tblPlant[[#This Row],[Feed_oz]],"")</f>
        <v/>
      </c>
      <c r="W141" s="59">
        <f>IF(AND(tblPlant[[#This Row],[Milled_t]]&lt;&gt;"",tblPlant[[#This Row],[Mill_Run_h]]&gt;0),tblPlant[[#This Row],[Milled_t]]/tblPlant[[#This Row],[Mill_Run_h]],"")</f>
        <v/>
      </c>
      <c r="X141" s="60">
        <f>IF(tblPlant[[#This Row],[Mill_Run_h]]="","",(24-tblPlant[[#This Row],[Mill_Planned_Maint_h]]-tblPlant[[#This Row],[Mill_Unplanned_Down_h]])/24)</f>
        <v/>
      </c>
      <c r="Y1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2">
      <c r="A142" s="54" t="n">
        <v>46159</v>
      </c>
      <c r="B142" s="55" t="n"/>
      <c r="C142" s="55" t="n"/>
      <c r="D142" s="56" t="n"/>
      <c r="E142" s="56" t="n"/>
      <c r="F142" s="55" t="n"/>
      <c r="G142" s="55" t="n"/>
      <c r="H142" s="57" t="n"/>
      <c r="I142" s="57" t="n"/>
      <c r="J142" s="57" t="n"/>
      <c r="K142" s="57" t="n"/>
      <c r="L142" s="55" t="n"/>
      <c r="M142" s="55" t="n"/>
      <c r="N142" s="55" t="n"/>
      <c r="O142" s="55" t="n"/>
      <c r="P142" s="55" t="n"/>
      <c r="Q142" s="55" t="n"/>
      <c r="R142" s="58" t="n"/>
      <c r="S142" s="59">
        <f>IF(tblPlant[[#This Row],[Milled_t]]="","",tblPlant[[#This Row],[Milled_t]]*tblPlant[[#This Row],[Head_Grade_gpt]]/cfg_TroyOz)</f>
        <v/>
      </c>
      <c r="T142" s="59">
        <f>IF(tblPlant[[#This Row],[Milled_t]]="","",tblPlant[[#This Row],[Milled_t]]*tblPlant[[#This Row],[Tails_Grade_gpt]]/cfg_TroyOz)</f>
        <v/>
      </c>
      <c r="U142" s="59">
        <f>IF(tblPlant[[#This Row],[Milled_t]]="","",tblPlant[[#This Row],[Feed_oz]]-tblPlant[[#This Row],[Tails_oz]])</f>
        <v/>
      </c>
      <c r="V142" s="60">
        <f>IF(AND(tblPlant[[#This Row],[Milled_t]]&lt;&gt;"",tblPlant[[#This Row],[Feed_oz]]&gt;0),tblPlant[[#This Row],[Recovered_oz]]/tblPlant[[#This Row],[Feed_oz]],"")</f>
        <v/>
      </c>
      <c r="W142" s="59">
        <f>IF(AND(tblPlant[[#This Row],[Milled_t]]&lt;&gt;"",tblPlant[[#This Row],[Mill_Run_h]]&gt;0),tblPlant[[#This Row],[Milled_t]]/tblPlant[[#This Row],[Mill_Run_h]],"")</f>
        <v/>
      </c>
      <c r="X142" s="60">
        <f>IF(tblPlant[[#This Row],[Mill_Run_h]]="","",(24-tblPlant[[#This Row],[Mill_Planned_Maint_h]]-tblPlant[[#This Row],[Mill_Unplanned_Down_h]])/24)</f>
        <v/>
      </c>
      <c r="Y1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3">
      <c r="A143" s="54" t="n">
        <v>46160</v>
      </c>
      <c r="B143" s="55" t="n"/>
      <c r="C143" s="55" t="n"/>
      <c r="D143" s="56" t="n"/>
      <c r="E143" s="56" t="n"/>
      <c r="F143" s="55" t="n"/>
      <c r="G143" s="55" t="n"/>
      <c r="H143" s="57" t="n"/>
      <c r="I143" s="57" t="n"/>
      <c r="J143" s="57" t="n"/>
      <c r="K143" s="57" t="n"/>
      <c r="L143" s="55" t="n"/>
      <c r="M143" s="55" t="n"/>
      <c r="N143" s="55" t="n"/>
      <c r="O143" s="55" t="n"/>
      <c r="P143" s="55" t="n"/>
      <c r="Q143" s="55" t="n"/>
      <c r="R143" s="58" t="n"/>
      <c r="S143" s="59">
        <f>IF(tblPlant[[#This Row],[Milled_t]]="","",tblPlant[[#This Row],[Milled_t]]*tblPlant[[#This Row],[Head_Grade_gpt]]/cfg_TroyOz)</f>
        <v/>
      </c>
      <c r="T143" s="59">
        <f>IF(tblPlant[[#This Row],[Milled_t]]="","",tblPlant[[#This Row],[Milled_t]]*tblPlant[[#This Row],[Tails_Grade_gpt]]/cfg_TroyOz)</f>
        <v/>
      </c>
      <c r="U143" s="59">
        <f>IF(tblPlant[[#This Row],[Milled_t]]="","",tblPlant[[#This Row],[Feed_oz]]-tblPlant[[#This Row],[Tails_oz]])</f>
        <v/>
      </c>
      <c r="V143" s="60">
        <f>IF(AND(tblPlant[[#This Row],[Milled_t]]&lt;&gt;"",tblPlant[[#This Row],[Feed_oz]]&gt;0),tblPlant[[#This Row],[Recovered_oz]]/tblPlant[[#This Row],[Feed_oz]],"")</f>
        <v/>
      </c>
      <c r="W143" s="59">
        <f>IF(AND(tblPlant[[#This Row],[Milled_t]]&lt;&gt;"",tblPlant[[#This Row],[Mill_Run_h]]&gt;0),tblPlant[[#This Row],[Milled_t]]/tblPlant[[#This Row],[Mill_Run_h]],"")</f>
        <v/>
      </c>
      <c r="X143" s="60">
        <f>IF(tblPlant[[#This Row],[Mill_Run_h]]="","",(24-tblPlant[[#This Row],[Mill_Planned_Maint_h]]-tblPlant[[#This Row],[Mill_Unplanned_Down_h]])/24)</f>
        <v/>
      </c>
      <c r="Y1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4">
      <c r="A144" s="54" t="n">
        <v>46161</v>
      </c>
      <c r="B144" s="55" t="n"/>
      <c r="C144" s="55" t="n"/>
      <c r="D144" s="56" t="n"/>
      <c r="E144" s="56" t="n"/>
      <c r="F144" s="55" t="n"/>
      <c r="G144" s="55" t="n"/>
      <c r="H144" s="57" t="n"/>
      <c r="I144" s="57" t="n"/>
      <c r="J144" s="57" t="n"/>
      <c r="K144" s="57" t="n"/>
      <c r="L144" s="55" t="n"/>
      <c r="M144" s="55" t="n"/>
      <c r="N144" s="55" t="n"/>
      <c r="O144" s="55" t="n"/>
      <c r="P144" s="55" t="n"/>
      <c r="Q144" s="55" t="n"/>
      <c r="R144" s="58" t="n"/>
      <c r="S144" s="59">
        <f>IF(tblPlant[[#This Row],[Milled_t]]="","",tblPlant[[#This Row],[Milled_t]]*tblPlant[[#This Row],[Head_Grade_gpt]]/cfg_TroyOz)</f>
        <v/>
      </c>
      <c r="T144" s="59">
        <f>IF(tblPlant[[#This Row],[Milled_t]]="","",tblPlant[[#This Row],[Milled_t]]*tblPlant[[#This Row],[Tails_Grade_gpt]]/cfg_TroyOz)</f>
        <v/>
      </c>
      <c r="U144" s="59">
        <f>IF(tblPlant[[#This Row],[Milled_t]]="","",tblPlant[[#This Row],[Feed_oz]]-tblPlant[[#This Row],[Tails_oz]])</f>
        <v/>
      </c>
      <c r="V144" s="60">
        <f>IF(AND(tblPlant[[#This Row],[Milled_t]]&lt;&gt;"",tblPlant[[#This Row],[Feed_oz]]&gt;0),tblPlant[[#This Row],[Recovered_oz]]/tblPlant[[#This Row],[Feed_oz]],"")</f>
        <v/>
      </c>
      <c r="W144" s="59">
        <f>IF(AND(tblPlant[[#This Row],[Milled_t]]&lt;&gt;"",tblPlant[[#This Row],[Mill_Run_h]]&gt;0),tblPlant[[#This Row],[Milled_t]]/tblPlant[[#This Row],[Mill_Run_h]],"")</f>
        <v/>
      </c>
      <c r="X144" s="60">
        <f>IF(tblPlant[[#This Row],[Mill_Run_h]]="","",(24-tblPlant[[#This Row],[Mill_Planned_Maint_h]]-tblPlant[[#This Row],[Mill_Unplanned_Down_h]])/24)</f>
        <v/>
      </c>
      <c r="Y1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5">
      <c r="A145" s="54" t="n">
        <v>46162</v>
      </c>
      <c r="B145" s="55" t="n"/>
      <c r="C145" s="55" t="n"/>
      <c r="D145" s="56" t="n"/>
      <c r="E145" s="56" t="n"/>
      <c r="F145" s="55" t="n"/>
      <c r="G145" s="55" t="n"/>
      <c r="H145" s="57" t="n"/>
      <c r="I145" s="57" t="n"/>
      <c r="J145" s="57" t="n"/>
      <c r="K145" s="57" t="n"/>
      <c r="L145" s="55" t="n"/>
      <c r="M145" s="55" t="n"/>
      <c r="N145" s="55" t="n"/>
      <c r="O145" s="55" t="n"/>
      <c r="P145" s="55" t="n"/>
      <c r="Q145" s="55" t="n"/>
      <c r="R145" s="58" t="n"/>
      <c r="S145" s="59">
        <f>IF(tblPlant[[#This Row],[Milled_t]]="","",tblPlant[[#This Row],[Milled_t]]*tblPlant[[#This Row],[Head_Grade_gpt]]/cfg_TroyOz)</f>
        <v/>
      </c>
      <c r="T145" s="59">
        <f>IF(tblPlant[[#This Row],[Milled_t]]="","",tblPlant[[#This Row],[Milled_t]]*tblPlant[[#This Row],[Tails_Grade_gpt]]/cfg_TroyOz)</f>
        <v/>
      </c>
      <c r="U145" s="59">
        <f>IF(tblPlant[[#This Row],[Milled_t]]="","",tblPlant[[#This Row],[Feed_oz]]-tblPlant[[#This Row],[Tails_oz]])</f>
        <v/>
      </c>
      <c r="V145" s="60">
        <f>IF(AND(tblPlant[[#This Row],[Milled_t]]&lt;&gt;"",tblPlant[[#This Row],[Feed_oz]]&gt;0),tblPlant[[#This Row],[Recovered_oz]]/tblPlant[[#This Row],[Feed_oz]],"")</f>
        <v/>
      </c>
      <c r="W145" s="59">
        <f>IF(AND(tblPlant[[#This Row],[Milled_t]]&lt;&gt;"",tblPlant[[#This Row],[Mill_Run_h]]&gt;0),tblPlant[[#This Row],[Milled_t]]/tblPlant[[#This Row],[Mill_Run_h]],"")</f>
        <v/>
      </c>
      <c r="X145" s="60">
        <f>IF(tblPlant[[#This Row],[Mill_Run_h]]="","",(24-tblPlant[[#This Row],[Mill_Planned_Maint_h]]-tblPlant[[#This Row],[Mill_Unplanned_Down_h]])/24)</f>
        <v/>
      </c>
      <c r="Y1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6">
      <c r="A146" s="54" t="n">
        <v>46163</v>
      </c>
      <c r="B146" s="55" t="n"/>
      <c r="C146" s="55" t="n"/>
      <c r="D146" s="56" t="n"/>
      <c r="E146" s="56" t="n"/>
      <c r="F146" s="55" t="n"/>
      <c r="G146" s="55" t="n"/>
      <c r="H146" s="57" t="n"/>
      <c r="I146" s="57" t="n"/>
      <c r="J146" s="57" t="n"/>
      <c r="K146" s="57" t="n"/>
      <c r="L146" s="55" t="n"/>
      <c r="M146" s="55" t="n"/>
      <c r="N146" s="55" t="n"/>
      <c r="O146" s="55" t="n"/>
      <c r="P146" s="55" t="n"/>
      <c r="Q146" s="55" t="n"/>
      <c r="R146" s="58" t="n"/>
      <c r="S146" s="59">
        <f>IF(tblPlant[[#This Row],[Milled_t]]="","",tblPlant[[#This Row],[Milled_t]]*tblPlant[[#This Row],[Head_Grade_gpt]]/cfg_TroyOz)</f>
        <v/>
      </c>
      <c r="T146" s="59">
        <f>IF(tblPlant[[#This Row],[Milled_t]]="","",tblPlant[[#This Row],[Milled_t]]*tblPlant[[#This Row],[Tails_Grade_gpt]]/cfg_TroyOz)</f>
        <v/>
      </c>
      <c r="U146" s="59">
        <f>IF(tblPlant[[#This Row],[Milled_t]]="","",tblPlant[[#This Row],[Feed_oz]]-tblPlant[[#This Row],[Tails_oz]])</f>
        <v/>
      </c>
      <c r="V146" s="60">
        <f>IF(AND(tblPlant[[#This Row],[Milled_t]]&lt;&gt;"",tblPlant[[#This Row],[Feed_oz]]&gt;0),tblPlant[[#This Row],[Recovered_oz]]/tblPlant[[#This Row],[Feed_oz]],"")</f>
        <v/>
      </c>
      <c r="W146" s="59">
        <f>IF(AND(tblPlant[[#This Row],[Milled_t]]&lt;&gt;"",tblPlant[[#This Row],[Mill_Run_h]]&gt;0),tblPlant[[#This Row],[Milled_t]]/tblPlant[[#This Row],[Mill_Run_h]],"")</f>
        <v/>
      </c>
      <c r="X146" s="60">
        <f>IF(tblPlant[[#This Row],[Mill_Run_h]]="","",(24-tblPlant[[#This Row],[Mill_Planned_Maint_h]]-tblPlant[[#This Row],[Mill_Unplanned_Down_h]])/24)</f>
        <v/>
      </c>
      <c r="Y1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7">
      <c r="A147" s="54" t="n">
        <v>46164</v>
      </c>
      <c r="B147" s="55" t="n"/>
      <c r="C147" s="55" t="n"/>
      <c r="D147" s="56" t="n"/>
      <c r="E147" s="56" t="n"/>
      <c r="F147" s="55" t="n"/>
      <c r="G147" s="55" t="n"/>
      <c r="H147" s="57" t="n"/>
      <c r="I147" s="57" t="n"/>
      <c r="J147" s="57" t="n"/>
      <c r="K147" s="57" t="n"/>
      <c r="L147" s="55" t="n"/>
      <c r="M147" s="55" t="n"/>
      <c r="N147" s="55" t="n"/>
      <c r="O147" s="55" t="n"/>
      <c r="P147" s="55" t="n"/>
      <c r="Q147" s="55" t="n"/>
      <c r="R147" s="58" t="n"/>
      <c r="S147" s="59">
        <f>IF(tblPlant[[#This Row],[Milled_t]]="","",tblPlant[[#This Row],[Milled_t]]*tblPlant[[#This Row],[Head_Grade_gpt]]/cfg_TroyOz)</f>
        <v/>
      </c>
      <c r="T147" s="59">
        <f>IF(tblPlant[[#This Row],[Milled_t]]="","",tblPlant[[#This Row],[Milled_t]]*tblPlant[[#This Row],[Tails_Grade_gpt]]/cfg_TroyOz)</f>
        <v/>
      </c>
      <c r="U147" s="59">
        <f>IF(tblPlant[[#This Row],[Milled_t]]="","",tblPlant[[#This Row],[Feed_oz]]-tblPlant[[#This Row],[Tails_oz]])</f>
        <v/>
      </c>
      <c r="V147" s="60">
        <f>IF(AND(tblPlant[[#This Row],[Milled_t]]&lt;&gt;"",tblPlant[[#This Row],[Feed_oz]]&gt;0),tblPlant[[#This Row],[Recovered_oz]]/tblPlant[[#This Row],[Feed_oz]],"")</f>
        <v/>
      </c>
      <c r="W147" s="59">
        <f>IF(AND(tblPlant[[#This Row],[Milled_t]]&lt;&gt;"",tblPlant[[#This Row],[Mill_Run_h]]&gt;0),tblPlant[[#This Row],[Milled_t]]/tblPlant[[#This Row],[Mill_Run_h]],"")</f>
        <v/>
      </c>
      <c r="X147" s="60">
        <f>IF(tblPlant[[#This Row],[Mill_Run_h]]="","",(24-tblPlant[[#This Row],[Mill_Planned_Maint_h]]-tblPlant[[#This Row],[Mill_Unplanned_Down_h]])/24)</f>
        <v/>
      </c>
      <c r="Y1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8">
      <c r="A148" s="54" t="n">
        <v>46165</v>
      </c>
      <c r="B148" s="55" t="n"/>
      <c r="C148" s="55" t="n"/>
      <c r="D148" s="56" t="n"/>
      <c r="E148" s="56" t="n"/>
      <c r="F148" s="55" t="n"/>
      <c r="G148" s="55" t="n"/>
      <c r="H148" s="57" t="n"/>
      <c r="I148" s="57" t="n"/>
      <c r="J148" s="57" t="n"/>
      <c r="K148" s="57" t="n"/>
      <c r="L148" s="55" t="n"/>
      <c r="M148" s="55" t="n"/>
      <c r="N148" s="55" t="n"/>
      <c r="O148" s="55" t="n"/>
      <c r="P148" s="55" t="n"/>
      <c r="Q148" s="55" t="n"/>
      <c r="R148" s="58" t="n"/>
      <c r="S148" s="59">
        <f>IF(tblPlant[[#This Row],[Milled_t]]="","",tblPlant[[#This Row],[Milled_t]]*tblPlant[[#This Row],[Head_Grade_gpt]]/cfg_TroyOz)</f>
        <v/>
      </c>
      <c r="T148" s="59">
        <f>IF(tblPlant[[#This Row],[Milled_t]]="","",tblPlant[[#This Row],[Milled_t]]*tblPlant[[#This Row],[Tails_Grade_gpt]]/cfg_TroyOz)</f>
        <v/>
      </c>
      <c r="U148" s="59">
        <f>IF(tblPlant[[#This Row],[Milled_t]]="","",tblPlant[[#This Row],[Feed_oz]]-tblPlant[[#This Row],[Tails_oz]])</f>
        <v/>
      </c>
      <c r="V148" s="60">
        <f>IF(AND(tblPlant[[#This Row],[Milled_t]]&lt;&gt;"",tblPlant[[#This Row],[Feed_oz]]&gt;0),tblPlant[[#This Row],[Recovered_oz]]/tblPlant[[#This Row],[Feed_oz]],"")</f>
        <v/>
      </c>
      <c r="W148" s="59">
        <f>IF(AND(tblPlant[[#This Row],[Milled_t]]&lt;&gt;"",tblPlant[[#This Row],[Mill_Run_h]]&gt;0),tblPlant[[#This Row],[Milled_t]]/tblPlant[[#This Row],[Mill_Run_h]],"")</f>
        <v/>
      </c>
      <c r="X148" s="60">
        <f>IF(tblPlant[[#This Row],[Mill_Run_h]]="","",(24-tblPlant[[#This Row],[Mill_Planned_Maint_h]]-tblPlant[[#This Row],[Mill_Unplanned_Down_h]])/24)</f>
        <v/>
      </c>
      <c r="Y1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9">
      <c r="A149" s="54" t="n">
        <v>46166</v>
      </c>
      <c r="B149" s="55" t="n"/>
      <c r="C149" s="55" t="n"/>
      <c r="D149" s="56" t="n"/>
      <c r="E149" s="56" t="n"/>
      <c r="F149" s="55" t="n"/>
      <c r="G149" s="55" t="n"/>
      <c r="H149" s="57" t="n"/>
      <c r="I149" s="57" t="n"/>
      <c r="J149" s="57" t="n"/>
      <c r="K149" s="57" t="n"/>
      <c r="L149" s="55" t="n"/>
      <c r="M149" s="55" t="n"/>
      <c r="N149" s="55" t="n"/>
      <c r="O149" s="55" t="n"/>
      <c r="P149" s="55" t="n"/>
      <c r="Q149" s="55" t="n"/>
      <c r="R149" s="58" t="n"/>
      <c r="S149" s="59">
        <f>IF(tblPlant[[#This Row],[Milled_t]]="","",tblPlant[[#This Row],[Milled_t]]*tblPlant[[#This Row],[Head_Grade_gpt]]/cfg_TroyOz)</f>
        <v/>
      </c>
      <c r="T149" s="59">
        <f>IF(tblPlant[[#This Row],[Milled_t]]="","",tblPlant[[#This Row],[Milled_t]]*tblPlant[[#This Row],[Tails_Grade_gpt]]/cfg_TroyOz)</f>
        <v/>
      </c>
      <c r="U149" s="59">
        <f>IF(tblPlant[[#This Row],[Milled_t]]="","",tblPlant[[#This Row],[Feed_oz]]-tblPlant[[#This Row],[Tails_oz]])</f>
        <v/>
      </c>
      <c r="V149" s="60">
        <f>IF(AND(tblPlant[[#This Row],[Milled_t]]&lt;&gt;"",tblPlant[[#This Row],[Feed_oz]]&gt;0),tblPlant[[#This Row],[Recovered_oz]]/tblPlant[[#This Row],[Feed_oz]],"")</f>
        <v/>
      </c>
      <c r="W149" s="59">
        <f>IF(AND(tblPlant[[#This Row],[Milled_t]]&lt;&gt;"",tblPlant[[#This Row],[Mill_Run_h]]&gt;0),tblPlant[[#This Row],[Milled_t]]/tblPlant[[#This Row],[Mill_Run_h]],"")</f>
        <v/>
      </c>
      <c r="X149" s="60">
        <f>IF(tblPlant[[#This Row],[Mill_Run_h]]="","",(24-tblPlant[[#This Row],[Mill_Planned_Maint_h]]-tblPlant[[#This Row],[Mill_Unplanned_Down_h]])/24)</f>
        <v/>
      </c>
      <c r="Y1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0">
      <c r="A150" s="54" t="n">
        <v>46167</v>
      </c>
      <c r="B150" s="55" t="n"/>
      <c r="C150" s="55" t="n"/>
      <c r="D150" s="56" t="n"/>
      <c r="E150" s="56" t="n"/>
      <c r="F150" s="55" t="n"/>
      <c r="G150" s="55" t="n"/>
      <c r="H150" s="57" t="n"/>
      <c r="I150" s="57" t="n"/>
      <c r="J150" s="57" t="n"/>
      <c r="K150" s="57" t="n"/>
      <c r="L150" s="55" t="n"/>
      <c r="M150" s="55" t="n"/>
      <c r="N150" s="55" t="n"/>
      <c r="O150" s="55" t="n"/>
      <c r="P150" s="55" t="n"/>
      <c r="Q150" s="55" t="n"/>
      <c r="R150" s="58" t="n"/>
      <c r="S150" s="59">
        <f>IF(tblPlant[[#This Row],[Milled_t]]="","",tblPlant[[#This Row],[Milled_t]]*tblPlant[[#This Row],[Head_Grade_gpt]]/cfg_TroyOz)</f>
        <v/>
      </c>
      <c r="T150" s="59">
        <f>IF(tblPlant[[#This Row],[Milled_t]]="","",tblPlant[[#This Row],[Milled_t]]*tblPlant[[#This Row],[Tails_Grade_gpt]]/cfg_TroyOz)</f>
        <v/>
      </c>
      <c r="U150" s="59">
        <f>IF(tblPlant[[#This Row],[Milled_t]]="","",tblPlant[[#This Row],[Feed_oz]]-tblPlant[[#This Row],[Tails_oz]])</f>
        <v/>
      </c>
      <c r="V150" s="60">
        <f>IF(AND(tblPlant[[#This Row],[Milled_t]]&lt;&gt;"",tblPlant[[#This Row],[Feed_oz]]&gt;0),tblPlant[[#This Row],[Recovered_oz]]/tblPlant[[#This Row],[Feed_oz]],"")</f>
        <v/>
      </c>
      <c r="W150" s="59">
        <f>IF(AND(tblPlant[[#This Row],[Milled_t]]&lt;&gt;"",tblPlant[[#This Row],[Mill_Run_h]]&gt;0),tblPlant[[#This Row],[Milled_t]]/tblPlant[[#This Row],[Mill_Run_h]],"")</f>
        <v/>
      </c>
      <c r="X150" s="60">
        <f>IF(tblPlant[[#This Row],[Mill_Run_h]]="","",(24-tblPlant[[#This Row],[Mill_Planned_Maint_h]]-tblPlant[[#This Row],[Mill_Unplanned_Down_h]])/24)</f>
        <v/>
      </c>
      <c r="Y1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1">
      <c r="A151" s="54" t="n">
        <v>46168</v>
      </c>
      <c r="B151" s="55" t="n"/>
      <c r="C151" s="55" t="n"/>
      <c r="D151" s="56" t="n"/>
      <c r="E151" s="56" t="n"/>
      <c r="F151" s="55" t="n"/>
      <c r="G151" s="55" t="n"/>
      <c r="H151" s="57" t="n"/>
      <c r="I151" s="57" t="n"/>
      <c r="J151" s="57" t="n"/>
      <c r="K151" s="57" t="n"/>
      <c r="L151" s="55" t="n"/>
      <c r="M151" s="55" t="n"/>
      <c r="N151" s="55" t="n"/>
      <c r="O151" s="55" t="n"/>
      <c r="P151" s="55" t="n"/>
      <c r="Q151" s="55" t="n"/>
      <c r="R151" s="58" t="n"/>
      <c r="S151" s="59">
        <f>IF(tblPlant[[#This Row],[Milled_t]]="","",tblPlant[[#This Row],[Milled_t]]*tblPlant[[#This Row],[Head_Grade_gpt]]/cfg_TroyOz)</f>
        <v/>
      </c>
      <c r="T151" s="59">
        <f>IF(tblPlant[[#This Row],[Milled_t]]="","",tblPlant[[#This Row],[Milled_t]]*tblPlant[[#This Row],[Tails_Grade_gpt]]/cfg_TroyOz)</f>
        <v/>
      </c>
      <c r="U151" s="59">
        <f>IF(tblPlant[[#This Row],[Milled_t]]="","",tblPlant[[#This Row],[Feed_oz]]-tblPlant[[#This Row],[Tails_oz]])</f>
        <v/>
      </c>
      <c r="V151" s="60">
        <f>IF(AND(tblPlant[[#This Row],[Milled_t]]&lt;&gt;"",tblPlant[[#This Row],[Feed_oz]]&gt;0),tblPlant[[#This Row],[Recovered_oz]]/tblPlant[[#This Row],[Feed_oz]],"")</f>
        <v/>
      </c>
      <c r="W151" s="59">
        <f>IF(AND(tblPlant[[#This Row],[Milled_t]]&lt;&gt;"",tblPlant[[#This Row],[Mill_Run_h]]&gt;0),tblPlant[[#This Row],[Milled_t]]/tblPlant[[#This Row],[Mill_Run_h]],"")</f>
        <v/>
      </c>
      <c r="X151" s="60">
        <f>IF(tblPlant[[#This Row],[Mill_Run_h]]="","",(24-tblPlant[[#This Row],[Mill_Planned_Maint_h]]-tblPlant[[#This Row],[Mill_Unplanned_Down_h]])/24)</f>
        <v/>
      </c>
      <c r="Y1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2">
      <c r="A152" s="54" t="n">
        <v>46169</v>
      </c>
      <c r="B152" s="55" t="n"/>
      <c r="C152" s="55" t="n"/>
      <c r="D152" s="56" t="n"/>
      <c r="E152" s="56" t="n"/>
      <c r="F152" s="55" t="n"/>
      <c r="G152" s="55" t="n"/>
      <c r="H152" s="57" t="n"/>
      <c r="I152" s="57" t="n"/>
      <c r="J152" s="57" t="n"/>
      <c r="K152" s="57" t="n"/>
      <c r="L152" s="55" t="n"/>
      <c r="M152" s="55" t="n"/>
      <c r="N152" s="55" t="n"/>
      <c r="O152" s="55" t="n"/>
      <c r="P152" s="55" t="n"/>
      <c r="Q152" s="55" t="n"/>
      <c r="R152" s="58" t="n"/>
      <c r="S152" s="59">
        <f>IF(tblPlant[[#This Row],[Milled_t]]="","",tblPlant[[#This Row],[Milled_t]]*tblPlant[[#This Row],[Head_Grade_gpt]]/cfg_TroyOz)</f>
        <v/>
      </c>
      <c r="T152" s="59">
        <f>IF(tblPlant[[#This Row],[Milled_t]]="","",tblPlant[[#This Row],[Milled_t]]*tblPlant[[#This Row],[Tails_Grade_gpt]]/cfg_TroyOz)</f>
        <v/>
      </c>
      <c r="U152" s="59">
        <f>IF(tblPlant[[#This Row],[Milled_t]]="","",tblPlant[[#This Row],[Feed_oz]]-tblPlant[[#This Row],[Tails_oz]])</f>
        <v/>
      </c>
      <c r="V152" s="60">
        <f>IF(AND(tblPlant[[#This Row],[Milled_t]]&lt;&gt;"",tblPlant[[#This Row],[Feed_oz]]&gt;0),tblPlant[[#This Row],[Recovered_oz]]/tblPlant[[#This Row],[Feed_oz]],"")</f>
        <v/>
      </c>
      <c r="W152" s="59">
        <f>IF(AND(tblPlant[[#This Row],[Milled_t]]&lt;&gt;"",tblPlant[[#This Row],[Mill_Run_h]]&gt;0),tblPlant[[#This Row],[Milled_t]]/tblPlant[[#This Row],[Mill_Run_h]],"")</f>
        <v/>
      </c>
      <c r="X152" s="60">
        <f>IF(tblPlant[[#This Row],[Mill_Run_h]]="","",(24-tblPlant[[#This Row],[Mill_Planned_Maint_h]]-tblPlant[[#This Row],[Mill_Unplanned_Down_h]])/24)</f>
        <v/>
      </c>
      <c r="Y1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3">
      <c r="A153" s="54" t="n">
        <v>46170</v>
      </c>
      <c r="B153" s="55" t="n"/>
      <c r="C153" s="55" t="n"/>
      <c r="D153" s="56" t="n"/>
      <c r="E153" s="56" t="n"/>
      <c r="F153" s="55" t="n"/>
      <c r="G153" s="55" t="n"/>
      <c r="H153" s="57" t="n"/>
      <c r="I153" s="57" t="n"/>
      <c r="J153" s="57" t="n"/>
      <c r="K153" s="57" t="n"/>
      <c r="L153" s="55" t="n"/>
      <c r="M153" s="55" t="n"/>
      <c r="N153" s="55" t="n"/>
      <c r="O153" s="55" t="n"/>
      <c r="P153" s="55" t="n"/>
      <c r="Q153" s="55" t="n"/>
      <c r="R153" s="58" t="n"/>
      <c r="S153" s="59">
        <f>IF(tblPlant[[#This Row],[Milled_t]]="","",tblPlant[[#This Row],[Milled_t]]*tblPlant[[#This Row],[Head_Grade_gpt]]/cfg_TroyOz)</f>
        <v/>
      </c>
      <c r="T153" s="59">
        <f>IF(tblPlant[[#This Row],[Milled_t]]="","",tblPlant[[#This Row],[Milled_t]]*tblPlant[[#This Row],[Tails_Grade_gpt]]/cfg_TroyOz)</f>
        <v/>
      </c>
      <c r="U153" s="59">
        <f>IF(tblPlant[[#This Row],[Milled_t]]="","",tblPlant[[#This Row],[Feed_oz]]-tblPlant[[#This Row],[Tails_oz]])</f>
        <v/>
      </c>
      <c r="V153" s="60">
        <f>IF(AND(tblPlant[[#This Row],[Milled_t]]&lt;&gt;"",tblPlant[[#This Row],[Feed_oz]]&gt;0),tblPlant[[#This Row],[Recovered_oz]]/tblPlant[[#This Row],[Feed_oz]],"")</f>
        <v/>
      </c>
      <c r="W153" s="59">
        <f>IF(AND(tblPlant[[#This Row],[Milled_t]]&lt;&gt;"",tblPlant[[#This Row],[Mill_Run_h]]&gt;0),tblPlant[[#This Row],[Milled_t]]/tblPlant[[#This Row],[Mill_Run_h]],"")</f>
        <v/>
      </c>
      <c r="X153" s="60">
        <f>IF(tblPlant[[#This Row],[Mill_Run_h]]="","",(24-tblPlant[[#This Row],[Mill_Planned_Maint_h]]-tblPlant[[#This Row],[Mill_Unplanned_Down_h]])/24)</f>
        <v/>
      </c>
      <c r="Y1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4">
      <c r="A154" s="54" t="n">
        <v>46171</v>
      </c>
      <c r="B154" s="55" t="n"/>
      <c r="C154" s="55" t="n"/>
      <c r="D154" s="56" t="n"/>
      <c r="E154" s="56" t="n"/>
      <c r="F154" s="55" t="n"/>
      <c r="G154" s="55" t="n"/>
      <c r="H154" s="57" t="n"/>
      <c r="I154" s="57" t="n"/>
      <c r="J154" s="57" t="n"/>
      <c r="K154" s="57" t="n"/>
      <c r="L154" s="55" t="n"/>
      <c r="M154" s="55" t="n"/>
      <c r="N154" s="55" t="n"/>
      <c r="O154" s="55" t="n"/>
      <c r="P154" s="55" t="n"/>
      <c r="Q154" s="55" t="n"/>
      <c r="R154" s="58" t="n"/>
      <c r="S154" s="59">
        <f>IF(tblPlant[[#This Row],[Milled_t]]="","",tblPlant[[#This Row],[Milled_t]]*tblPlant[[#This Row],[Head_Grade_gpt]]/cfg_TroyOz)</f>
        <v/>
      </c>
      <c r="T154" s="59">
        <f>IF(tblPlant[[#This Row],[Milled_t]]="","",tblPlant[[#This Row],[Milled_t]]*tblPlant[[#This Row],[Tails_Grade_gpt]]/cfg_TroyOz)</f>
        <v/>
      </c>
      <c r="U154" s="59">
        <f>IF(tblPlant[[#This Row],[Milled_t]]="","",tblPlant[[#This Row],[Feed_oz]]-tblPlant[[#This Row],[Tails_oz]])</f>
        <v/>
      </c>
      <c r="V154" s="60">
        <f>IF(AND(tblPlant[[#This Row],[Milled_t]]&lt;&gt;"",tblPlant[[#This Row],[Feed_oz]]&gt;0),tblPlant[[#This Row],[Recovered_oz]]/tblPlant[[#This Row],[Feed_oz]],"")</f>
        <v/>
      </c>
      <c r="W154" s="59">
        <f>IF(AND(tblPlant[[#This Row],[Milled_t]]&lt;&gt;"",tblPlant[[#This Row],[Mill_Run_h]]&gt;0),tblPlant[[#This Row],[Milled_t]]/tblPlant[[#This Row],[Mill_Run_h]],"")</f>
        <v/>
      </c>
      <c r="X154" s="60">
        <f>IF(tblPlant[[#This Row],[Mill_Run_h]]="","",(24-tblPlant[[#This Row],[Mill_Planned_Maint_h]]-tblPlant[[#This Row],[Mill_Unplanned_Down_h]])/24)</f>
        <v/>
      </c>
      <c r="Y1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5">
      <c r="A155" s="54" t="n">
        <v>46172</v>
      </c>
      <c r="B155" s="55" t="n"/>
      <c r="C155" s="55" t="n"/>
      <c r="D155" s="56" t="n"/>
      <c r="E155" s="56" t="n"/>
      <c r="F155" s="55" t="n"/>
      <c r="G155" s="55" t="n"/>
      <c r="H155" s="57" t="n"/>
      <c r="I155" s="57" t="n"/>
      <c r="J155" s="57" t="n"/>
      <c r="K155" s="57" t="n"/>
      <c r="L155" s="55" t="n"/>
      <c r="M155" s="55" t="n"/>
      <c r="N155" s="55" t="n"/>
      <c r="O155" s="55" t="n"/>
      <c r="P155" s="55" t="n"/>
      <c r="Q155" s="55" t="n"/>
      <c r="R155" s="58" t="n"/>
      <c r="S155" s="59">
        <f>IF(tblPlant[[#This Row],[Milled_t]]="","",tblPlant[[#This Row],[Milled_t]]*tblPlant[[#This Row],[Head_Grade_gpt]]/cfg_TroyOz)</f>
        <v/>
      </c>
      <c r="T155" s="59">
        <f>IF(tblPlant[[#This Row],[Milled_t]]="","",tblPlant[[#This Row],[Milled_t]]*tblPlant[[#This Row],[Tails_Grade_gpt]]/cfg_TroyOz)</f>
        <v/>
      </c>
      <c r="U155" s="59">
        <f>IF(tblPlant[[#This Row],[Milled_t]]="","",tblPlant[[#This Row],[Feed_oz]]-tblPlant[[#This Row],[Tails_oz]])</f>
        <v/>
      </c>
      <c r="V155" s="60">
        <f>IF(AND(tblPlant[[#This Row],[Milled_t]]&lt;&gt;"",tblPlant[[#This Row],[Feed_oz]]&gt;0),tblPlant[[#This Row],[Recovered_oz]]/tblPlant[[#This Row],[Feed_oz]],"")</f>
        <v/>
      </c>
      <c r="W155" s="59">
        <f>IF(AND(tblPlant[[#This Row],[Milled_t]]&lt;&gt;"",tblPlant[[#This Row],[Mill_Run_h]]&gt;0),tblPlant[[#This Row],[Milled_t]]/tblPlant[[#This Row],[Mill_Run_h]],"")</f>
        <v/>
      </c>
      <c r="X155" s="60">
        <f>IF(tblPlant[[#This Row],[Mill_Run_h]]="","",(24-tblPlant[[#This Row],[Mill_Planned_Maint_h]]-tblPlant[[#This Row],[Mill_Unplanned_Down_h]])/24)</f>
        <v/>
      </c>
      <c r="Y1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6">
      <c r="A156" s="54" t="n">
        <v>46173</v>
      </c>
      <c r="B156" s="55" t="n"/>
      <c r="C156" s="55" t="n"/>
      <c r="D156" s="56" t="n"/>
      <c r="E156" s="56" t="n"/>
      <c r="F156" s="55" t="n"/>
      <c r="G156" s="55" t="n"/>
      <c r="H156" s="57" t="n"/>
      <c r="I156" s="57" t="n"/>
      <c r="J156" s="57" t="n"/>
      <c r="K156" s="57" t="n"/>
      <c r="L156" s="55" t="n"/>
      <c r="M156" s="55" t="n"/>
      <c r="N156" s="55" t="n"/>
      <c r="O156" s="55" t="n"/>
      <c r="P156" s="55" t="n"/>
      <c r="Q156" s="55" t="n"/>
      <c r="R156" s="58" t="n"/>
      <c r="S156" s="59">
        <f>IF(tblPlant[[#This Row],[Milled_t]]="","",tblPlant[[#This Row],[Milled_t]]*tblPlant[[#This Row],[Head_Grade_gpt]]/cfg_TroyOz)</f>
        <v/>
      </c>
      <c r="T156" s="59">
        <f>IF(tblPlant[[#This Row],[Milled_t]]="","",tblPlant[[#This Row],[Milled_t]]*tblPlant[[#This Row],[Tails_Grade_gpt]]/cfg_TroyOz)</f>
        <v/>
      </c>
      <c r="U156" s="59">
        <f>IF(tblPlant[[#This Row],[Milled_t]]="","",tblPlant[[#This Row],[Feed_oz]]-tblPlant[[#This Row],[Tails_oz]])</f>
        <v/>
      </c>
      <c r="V156" s="60">
        <f>IF(AND(tblPlant[[#This Row],[Milled_t]]&lt;&gt;"",tblPlant[[#This Row],[Feed_oz]]&gt;0),tblPlant[[#This Row],[Recovered_oz]]/tblPlant[[#This Row],[Feed_oz]],"")</f>
        <v/>
      </c>
      <c r="W156" s="59">
        <f>IF(AND(tblPlant[[#This Row],[Milled_t]]&lt;&gt;"",tblPlant[[#This Row],[Mill_Run_h]]&gt;0),tblPlant[[#This Row],[Milled_t]]/tblPlant[[#This Row],[Mill_Run_h]],"")</f>
        <v/>
      </c>
      <c r="X156" s="60">
        <f>IF(tblPlant[[#This Row],[Mill_Run_h]]="","",(24-tblPlant[[#This Row],[Mill_Planned_Maint_h]]-tblPlant[[#This Row],[Mill_Unplanned_Down_h]])/24)</f>
        <v/>
      </c>
      <c r="Y1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7">
      <c r="A157" s="54" t="n">
        <v>46174</v>
      </c>
      <c r="B157" s="55" t="n"/>
      <c r="C157" s="55" t="n"/>
      <c r="D157" s="56" t="n"/>
      <c r="E157" s="56" t="n"/>
      <c r="F157" s="55" t="n"/>
      <c r="G157" s="55" t="n"/>
      <c r="H157" s="57" t="n"/>
      <c r="I157" s="57" t="n"/>
      <c r="J157" s="57" t="n"/>
      <c r="K157" s="57" t="n"/>
      <c r="L157" s="55" t="n"/>
      <c r="M157" s="55" t="n"/>
      <c r="N157" s="55" t="n"/>
      <c r="O157" s="55" t="n"/>
      <c r="P157" s="55" t="n"/>
      <c r="Q157" s="55" t="n"/>
      <c r="R157" s="58" t="n"/>
      <c r="S157" s="59">
        <f>IF(tblPlant[[#This Row],[Milled_t]]="","",tblPlant[[#This Row],[Milled_t]]*tblPlant[[#This Row],[Head_Grade_gpt]]/cfg_TroyOz)</f>
        <v/>
      </c>
      <c r="T157" s="59">
        <f>IF(tblPlant[[#This Row],[Milled_t]]="","",tblPlant[[#This Row],[Milled_t]]*tblPlant[[#This Row],[Tails_Grade_gpt]]/cfg_TroyOz)</f>
        <v/>
      </c>
      <c r="U157" s="59">
        <f>IF(tblPlant[[#This Row],[Milled_t]]="","",tblPlant[[#This Row],[Feed_oz]]-tblPlant[[#This Row],[Tails_oz]])</f>
        <v/>
      </c>
      <c r="V157" s="60">
        <f>IF(AND(tblPlant[[#This Row],[Milled_t]]&lt;&gt;"",tblPlant[[#This Row],[Feed_oz]]&gt;0),tblPlant[[#This Row],[Recovered_oz]]/tblPlant[[#This Row],[Feed_oz]],"")</f>
        <v/>
      </c>
      <c r="W157" s="59">
        <f>IF(AND(tblPlant[[#This Row],[Milled_t]]&lt;&gt;"",tblPlant[[#This Row],[Mill_Run_h]]&gt;0),tblPlant[[#This Row],[Milled_t]]/tblPlant[[#This Row],[Mill_Run_h]],"")</f>
        <v/>
      </c>
      <c r="X157" s="60">
        <f>IF(tblPlant[[#This Row],[Mill_Run_h]]="","",(24-tblPlant[[#This Row],[Mill_Planned_Maint_h]]-tblPlant[[#This Row],[Mill_Unplanned_Down_h]])/24)</f>
        <v/>
      </c>
      <c r="Y1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8">
      <c r="A158" s="54" t="n">
        <v>46175</v>
      </c>
      <c r="B158" s="55" t="n"/>
      <c r="C158" s="55" t="n"/>
      <c r="D158" s="56" t="n"/>
      <c r="E158" s="56" t="n"/>
      <c r="F158" s="55" t="n"/>
      <c r="G158" s="55" t="n"/>
      <c r="H158" s="57" t="n"/>
      <c r="I158" s="57" t="n"/>
      <c r="J158" s="57" t="n"/>
      <c r="K158" s="57" t="n"/>
      <c r="L158" s="55" t="n"/>
      <c r="M158" s="55" t="n"/>
      <c r="N158" s="55" t="n"/>
      <c r="O158" s="55" t="n"/>
      <c r="P158" s="55" t="n"/>
      <c r="Q158" s="55" t="n"/>
      <c r="R158" s="58" t="n"/>
      <c r="S158" s="59">
        <f>IF(tblPlant[[#This Row],[Milled_t]]="","",tblPlant[[#This Row],[Milled_t]]*tblPlant[[#This Row],[Head_Grade_gpt]]/cfg_TroyOz)</f>
        <v/>
      </c>
      <c r="T158" s="59">
        <f>IF(tblPlant[[#This Row],[Milled_t]]="","",tblPlant[[#This Row],[Milled_t]]*tblPlant[[#This Row],[Tails_Grade_gpt]]/cfg_TroyOz)</f>
        <v/>
      </c>
      <c r="U158" s="59">
        <f>IF(tblPlant[[#This Row],[Milled_t]]="","",tblPlant[[#This Row],[Feed_oz]]-tblPlant[[#This Row],[Tails_oz]])</f>
        <v/>
      </c>
      <c r="V158" s="60">
        <f>IF(AND(tblPlant[[#This Row],[Milled_t]]&lt;&gt;"",tblPlant[[#This Row],[Feed_oz]]&gt;0),tblPlant[[#This Row],[Recovered_oz]]/tblPlant[[#This Row],[Feed_oz]],"")</f>
        <v/>
      </c>
      <c r="W158" s="59">
        <f>IF(AND(tblPlant[[#This Row],[Milled_t]]&lt;&gt;"",tblPlant[[#This Row],[Mill_Run_h]]&gt;0),tblPlant[[#This Row],[Milled_t]]/tblPlant[[#This Row],[Mill_Run_h]],"")</f>
        <v/>
      </c>
      <c r="X158" s="60">
        <f>IF(tblPlant[[#This Row],[Mill_Run_h]]="","",(24-tblPlant[[#This Row],[Mill_Planned_Maint_h]]-tblPlant[[#This Row],[Mill_Unplanned_Down_h]])/24)</f>
        <v/>
      </c>
      <c r="Y1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9">
      <c r="A159" s="54" t="n">
        <v>46176</v>
      </c>
      <c r="B159" s="55" t="n"/>
      <c r="C159" s="55" t="n"/>
      <c r="D159" s="56" t="n"/>
      <c r="E159" s="56" t="n"/>
      <c r="F159" s="55" t="n"/>
      <c r="G159" s="55" t="n"/>
      <c r="H159" s="57" t="n"/>
      <c r="I159" s="57" t="n"/>
      <c r="J159" s="57" t="n"/>
      <c r="K159" s="57" t="n"/>
      <c r="L159" s="55" t="n"/>
      <c r="M159" s="55" t="n"/>
      <c r="N159" s="55" t="n"/>
      <c r="O159" s="55" t="n"/>
      <c r="P159" s="55" t="n"/>
      <c r="Q159" s="55" t="n"/>
      <c r="R159" s="58" t="n"/>
      <c r="S159" s="59">
        <f>IF(tblPlant[[#This Row],[Milled_t]]="","",tblPlant[[#This Row],[Milled_t]]*tblPlant[[#This Row],[Head_Grade_gpt]]/cfg_TroyOz)</f>
        <v/>
      </c>
      <c r="T159" s="59">
        <f>IF(tblPlant[[#This Row],[Milled_t]]="","",tblPlant[[#This Row],[Milled_t]]*tblPlant[[#This Row],[Tails_Grade_gpt]]/cfg_TroyOz)</f>
        <v/>
      </c>
      <c r="U159" s="59">
        <f>IF(tblPlant[[#This Row],[Milled_t]]="","",tblPlant[[#This Row],[Feed_oz]]-tblPlant[[#This Row],[Tails_oz]])</f>
        <v/>
      </c>
      <c r="V159" s="60">
        <f>IF(AND(tblPlant[[#This Row],[Milled_t]]&lt;&gt;"",tblPlant[[#This Row],[Feed_oz]]&gt;0),tblPlant[[#This Row],[Recovered_oz]]/tblPlant[[#This Row],[Feed_oz]],"")</f>
        <v/>
      </c>
      <c r="W159" s="59">
        <f>IF(AND(tblPlant[[#This Row],[Milled_t]]&lt;&gt;"",tblPlant[[#This Row],[Mill_Run_h]]&gt;0),tblPlant[[#This Row],[Milled_t]]/tblPlant[[#This Row],[Mill_Run_h]],"")</f>
        <v/>
      </c>
      <c r="X159" s="60">
        <f>IF(tblPlant[[#This Row],[Mill_Run_h]]="","",(24-tblPlant[[#This Row],[Mill_Planned_Maint_h]]-tblPlant[[#This Row],[Mill_Unplanned_Down_h]])/24)</f>
        <v/>
      </c>
      <c r="Y1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0">
      <c r="A160" s="54" t="n">
        <v>46177</v>
      </c>
      <c r="B160" s="55" t="n"/>
      <c r="C160" s="55" t="n"/>
      <c r="D160" s="56" t="n"/>
      <c r="E160" s="56" t="n"/>
      <c r="F160" s="55" t="n"/>
      <c r="G160" s="55" t="n"/>
      <c r="H160" s="57" t="n"/>
      <c r="I160" s="57" t="n"/>
      <c r="J160" s="57" t="n"/>
      <c r="K160" s="57" t="n"/>
      <c r="L160" s="55" t="n"/>
      <c r="M160" s="55" t="n"/>
      <c r="N160" s="55" t="n"/>
      <c r="O160" s="55" t="n"/>
      <c r="P160" s="55" t="n"/>
      <c r="Q160" s="55" t="n"/>
      <c r="R160" s="58" t="n"/>
      <c r="S160" s="59">
        <f>IF(tblPlant[[#This Row],[Milled_t]]="","",tblPlant[[#This Row],[Milled_t]]*tblPlant[[#This Row],[Head_Grade_gpt]]/cfg_TroyOz)</f>
        <v/>
      </c>
      <c r="T160" s="59">
        <f>IF(tblPlant[[#This Row],[Milled_t]]="","",tblPlant[[#This Row],[Milled_t]]*tblPlant[[#This Row],[Tails_Grade_gpt]]/cfg_TroyOz)</f>
        <v/>
      </c>
      <c r="U160" s="59">
        <f>IF(tblPlant[[#This Row],[Milled_t]]="","",tblPlant[[#This Row],[Feed_oz]]-tblPlant[[#This Row],[Tails_oz]])</f>
        <v/>
      </c>
      <c r="V160" s="60">
        <f>IF(AND(tblPlant[[#This Row],[Milled_t]]&lt;&gt;"",tblPlant[[#This Row],[Feed_oz]]&gt;0),tblPlant[[#This Row],[Recovered_oz]]/tblPlant[[#This Row],[Feed_oz]],"")</f>
        <v/>
      </c>
      <c r="W160" s="59">
        <f>IF(AND(tblPlant[[#This Row],[Milled_t]]&lt;&gt;"",tblPlant[[#This Row],[Mill_Run_h]]&gt;0),tblPlant[[#This Row],[Milled_t]]/tblPlant[[#This Row],[Mill_Run_h]],"")</f>
        <v/>
      </c>
      <c r="X160" s="60">
        <f>IF(tblPlant[[#This Row],[Mill_Run_h]]="","",(24-tblPlant[[#This Row],[Mill_Planned_Maint_h]]-tblPlant[[#This Row],[Mill_Unplanned_Down_h]])/24)</f>
        <v/>
      </c>
      <c r="Y1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1">
      <c r="A161" s="54" t="n">
        <v>46178</v>
      </c>
      <c r="B161" s="55" t="n"/>
      <c r="C161" s="55" t="n"/>
      <c r="D161" s="56" t="n"/>
      <c r="E161" s="56" t="n"/>
      <c r="F161" s="55" t="n"/>
      <c r="G161" s="55" t="n"/>
      <c r="H161" s="57" t="n"/>
      <c r="I161" s="57" t="n"/>
      <c r="J161" s="57" t="n"/>
      <c r="K161" s="57" t="n"/>
      <c r="L161" s="55" t="n"/>
      <c r="M161" s="55" t="n"/>
      <c r="N161" s="55" t="n"/>
      <c r="O161" s="55" t="n"/>
      <c r="P161" s="55" t="n"/>
      <c r="Q161" s="55" t="n"/>
      <c r="R161" s="58" t="n"/>
      <c r="S161" s="59">
        <f>IF(tblPlant[[#This Row],[Milled_t]]="","",tblPlant[[#This Row],[Milled_t]]*tblPlant[[#This Row],[Head_Grade_gpt]]/cfg_TroyOz)</f>
        <v/>
      </c>
      <c r="T161" s="59">
        <f>IF(tblPlant[[#This Row],[Milled_t]]="","",tblPlant[[#This Row],[Milled_t]]*tblPlant[[#This Row],[Tails_Grade_gpt]]/cfg_TroyOz)</f>
        <v/>
      </c>
      <c r="U161" s="59">
        <f>IF(tblPlant[[#This Row],[Milled_t]]="","",tblPlant[[#This Row],[Feed_oz]]-tblPlant[[#This Row],[Tails_oz]])</f>
        <v/>
      </c>
      <c r="V161" s="60">
        <f>IF(AND(tblPlant[[#This Row],[Milled_t]]&lt;&gt;"",tblPlant[[#This Row],[Feed_oz]]&gt;0),tblPlant[[#This Row],[Recovered_oz]]/tblPlant[[#This Row],[Feed_oz]],"")</f>
        <v/>
      </c>
      <c r="W161" s="59">
        <f>IF(AND(tblPlant[[#This Row],[Milled_t]]&lt;&gt;"",tblPlant[[#This Row],[Mill_Run_h]]&gt;0),tblPlant[[#This Row],[Milled_t]]/tblPlant[[#This Row],[Mill_Run_h]],"")</f>
        <v/>
      </c>
      <c r="X161" s="60">
        <f>IF(tblPlant[[#This Row],[Mill_Run_h]]="","",(24-tblPlant[[#This Row],[Mill_Planned_Maint_h]]-tblPlant[[#This Row],[Mill_Unplanned_Down_h]])/24)</f>
        <v/>
      </c>
      <c r="Y1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2">
      <c r="A162" s="54" t="n">
        <v>46179</v>
      </c>
      <c r="B162" s="55" t="n"/>
      <c r="C162" s="55" t="n"/>
      <c r="D162" s="56" t="n"/>
      <c r="E162" s="56" t="n"/>
      <c r="F162" s="55" t="n"/>
      <c r="G162" s="55" t="n"/>
      <c r="H162" s="57" t="n"/>
      <c r="I162" s="57" t="n"/>
      <c r="J162" s="57" t="n"/>
      <c r="K162" s="57" t="n"/>
      <c r="L162" s="55" t="n"/>
      <c r="M162" s="55" t="n"/>
      <c r="N162" s="55" t="n"/>
      <c r="O162" s="55" t="n"/>
      <c r="P162" s="55" t="n"/>
      <c r="Q162" s="55" t="n"/>
      <c r="R162" s="58" t="n"/>
      <c r="S162" s="59">
        <f>IF(tblPlant[[#This Row],[Milled_t]]="","",tblPlant[[#This Row],[Milled_t]]*tblPlant[[#This Row],[Head_Grade_gpt]]/cfg_TroyOz)</f>
        <v/>
      </c>
      <c r="T162" s="59">
        <f>IF(tblPlant[[#This Row],[Milled_t]]="","",tblPlant[[#This Row],[Milled_t]]*tblPlant[[#This Row],[Tails_Grade_gpt]]/cfg_TroyOz)</f>
        <v/>
      </c>
      <c r="U162" s="59">
        <f>IF(tblPlant[[#This Row],[Milled_t]]="","",tblPlant[[#This Row],[Feed_oz]]-tblPlant[[#This Row],[Tails_oz]])</f>
        <v/>
      </c>
      <c r="V162" s="60">
        <f>IF(AND(tblPlant[[#This Row],[Milled_t]]&lt;&gt;"",tblPlant[[#This Row],[Feed_oz]]&gt;0),tblPlant[[#This Row],[Recovered_oz]]/tblPlant[[#This Row],[Feed_oz]],"")</f>
        <v/>
      </c>
      <c r="W162" s="59">
        <f>IF(AND(tblPlant[[#This Row],[Milled_t]]&lt;&gt;"",tblPlant[[#This Row],[Mill_Run_h]]&gt;0),tblPlant[[#This Row],[Milled_t]]/tblPlant[[#This Row],[Mill_Run_h]],"")</f>
        <v/>
      </c>
      <c r="X162" s="60">
        <f>IF(tblPlant[[#This Row],[Mill_Run_h]]="","",(24-tblPlant[[#This Row],[Mill_Planned_Maint_h]]-tblPlant[[#This Row],[Mill_Unplanned_Down_h]])/24)</f>
        <v/>
      </c>
      <c r="Y1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3">
      <c r="A163" s="54" t="n">
        <v>46180</v>
      </c>
      <c r="B163" s="55" t="n"/>
      <c r="C163" s="55" t="n"/>
      <c r="D163" s="56" t="n"/>
      <c r="E163" s="56" t="n"/>
      <c r="F163" s="55" t="n"/>
      <c r="G163" s="55" t="n"/>
      <c r="H163" s="57" t="n"/>
      <c r="I163" s="57" t="n"/>
      <c r="J163" s="57" t="n"/>
      <c r="K163" s="57" t="n"/>
      <c r="L163" s="55" t="n"/>
      <c r="M163" s="55" t="n"/>
      <c r="N163" s="55" t="n"/>
      <c r="O163" s="55" t="n"/>
      <c r="P163" s="55" t="n"/>
      <c r="Q163" s="55" t="n"/>
      <c r="R163" s="58" t="n"/>
      <c r="S163" s="59">
        <f>IF(tblPlant[[#This Row],[Milled_t]]="","",tblPlant[[#This Row],[Milled_t]]*tblPlant[[#This Row],[Head_Grade_gpt]]/cfg_TroyOz)</f>
        <v/>
      </c>
      <c r="T163" s="59">
        <f>IF(tblPlant[[#This Row],[Milled_t]]="","",tblPlant[[#This Row],[Milled_t]]*tblPlant[[#This Row],[Tails_Grade_gpt]]/cfg_TroyOz)</f>
        <v/>
      </c>
      <c r="U163" s="59">
        <f>IF(tblPlant[[#This Row],[Milled_t]]="","",tblPlant[[#This Row],[Feed_oz]]-tblPlant[[#This Row],[Tails_oz]])</f>
        <v/>
      </c>
      <c r="V163" s="60">
        <f>IF(AND(tblPlant[[#This Row],[Milled_t]]&lt;&gt;"",tblPlant[[#This Row],[Feed_oz]]&gt;0),tblPlant[[#This Row],[Recovered_oz]]/tblPlant[[#This Row],[Feed_oz]],"")</f>
        <v/>
      </c>
      <c r="W163" s="59">
        <f>IF(AND(tblPlant[[#This Row],[Milled_t]]&lt;&gt;"",tblPlant[[#This Row],[Mill_Run_h]]&gt;0),tblPlant[[#This Row],[Milled_t]]/tblPlant[[#This Row],[Mill_Run_h]],"")</f>
        <v/>
      </c>
      <c r="X163" s="60">
        <f>IF(tblPlant[[#This Row],[Mill_Run_h]]="","",(24-tblPlant[[#This Row],[Mill_Planned_Maint_h]]-tblPlant[[#This Row],[Mill_Unplanned_Down_h]])/24)</f>
        <v/>
      </c>
      <c r="Y1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4">
      <c r="A164" s="54" t="n">
        <v>46181</v>
      </c>
      <c r="B164" s="55" t="n"/>
      <c r="C164" s="55" t="n"/>
      <c r="D164" s="56" t="n"/>
      <c r="E164" s="56" t="n"/>
      <c r="F164" s="55" t="n"/>
      <c r="G164" s="55" t="n"/>
      <c r="H164" s="57" t="n"/>
      <c r="I164" s="57" t="n"/>
      <c r="J164" s="57" t="n"/>
      <c r="K164" s="57" t="n"/>
      <c r="L164" s="55" t="n"/>
      <c r="M164" s="55" t="n"/>
      <c r="N164" s="55" t="n"/>
      <c r="O164" s="55" t="n"/>
      <c r="P164" s="55" t="n"/>
      <c r="Q164" s="55" t="n"/>
      <c r="R164" s="58" t="n"/>
      <c r="S164" s="59">
        <f>IF(tblPlant[[#This Row],[Milled_t]]="","",tblPlant[[#This Row],[Milled_t]]*tblPlant[[#This Row],[Head_Grade_gpt]]/cfg_TroyOz)</f>
        <v/>
      </c>
      <c r="T164" s="59">
        <f>IF(tblPlant[[#This Row],[Milled_t]]="","",tblPlant[[#This Row],[Milled_t]]*tblPlant[[#This Row],[Tails_Grade_gpt]]/cfg_TroyOz)</f>
        <v/>
      </c>
      <c r="U164" s="59">
        <f>IF(tblPlant[[#This Row],[Milled_t]]="","",tblPlant[[#This Row],[Feed_oz]]-tblPlant[[#This Row],[Tails_oz]])</f>
        <v/>
      </c>
      <c r="V164" s="60">
        <f>IF(AND(tblPlant[[#This Row],[Milled_t]]&lt;&gt;"",tblPlant[[#This Row],[Feed_oz]]&gt;0),tblPlant[[#This Row],[Recovered_oz]]/tblPlant[[#This Row],[Feed_oz]],"")</f>
        <v/>
      </c>
      <c r="W164" s="59">
        <f>IF(AND(tblPlant[[#This Row],[Milled_t]]&lt;&gt;"",tblPlant[[#This Row],[Mill_Run_h]]&gt;0),tblPlant[[#This Row],[Milled_t]]/tblPlant[[#This Row],[Mill_Run_h]],"")</f>
        <v/>
      </c>
      <c r="X164" s="60">
        <f>IF(tblPlant[[#This Row],[Mill_Run_h]]="","",(24-tblPlant[[#This Row],[Mill_Planned_Maint_h]]-tblPlant[[#This Row],[Mill_Unplanned_Down_h]])/24)</f>
        <v/>
      </c>
      <c r="Y1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5">
      <c r="A165" s="54" t="n">
        <v>46182</v>
      </c>
      <c r="B165" s="55" t="n"/>
      <c r="C165" s="55" t="n"/>
      <c r="D165" s="56" t="n"/>
      <c r="E165" s="56" t="n"/>
      <c r="F165" s="55" t="n"/>
      <c r="G165" s="55" t="n"/>
      <c r="H165" s="57" t="n"/>
      <c r="I165" s="57" t="n"/>
      <c r="J165" s="57" t="n"/>
      <c r="K165" s="57" t="n"/>
      <c r="L165" s="55" t="n"/>
      <c r="M165" s="55" t="n"/>
      <c r="N165" s="55" t="n"/>
      <c r="O165" s="55" t="n"/>
      <c r="P165" s="55" t="n"/>
      <c r="Q165" s="55" t="n"/>
      <c r="R165" s="58" t="n"/>
      <c r="S165" s="59">
        <f>IF(tblPlant[[#This Row],[Milled_t]]="","",tblPlant[[#This Row],[Milled_t]]*tblPlant[[#This Row],[Head_Grade_gpt]]/cfg_TroyOz)</f>
        <v/>
      </c>
      <c r="T165" s="59">
        <f>IF(tblPlant[[#This Row],[Milled_t]]="","",tblPlant[[#This Row],[Milled_t]]*tblPlant[[#This Row],[Tails_Grade_gpt]]/cfg_TroyOz)</f>
        <v/>
      </c>
      <c r="U165" s="59">
        <f>IF(tblPlant[[#This Row],[Milled_t]]="","",tblPlant[[#This Row],[Feed_oz]]-tblPlant[[#This Row],[Tails_oz]])</f>
        <v/>
      </c>
      <c r="V165" s="60">
        <f>IF(AND(tblPlant[[#This Row],[Milled_t]]&lt;&gt;"",tblPlant[[#This Row],[Feed_oz]]&gt;0),tblPlant[[#This Row],[Recovered_oz]]/tblPlant[[#This Row],[Feed_oz]],"")</f>
        <v/>
      </c>
      <c r="W165" s="59">
        <f>IF(AND(tblPlant[[#This Row],[Milled_t]]&lt;&gt;"",tblPlant[[#This Row],[Mill_Run_h]]&gt;0),tblPlant[[#This Row],[Milled_t]]/tblPlant[[#This Row],[Mill_Run_h]],"")</f>
        <v/>
      </c>
      <c r="X165" s="60">
        <f>IF(tblPlant[[#This Row],[Mill_Run_h]]="","",(24-tblPlant[[#This Row],[Mill_Planned_Maint_h]]-tblPlant[[#This Row],[Mill_Unplanned_Down_h]])/24)</f>
        <v/>
      </c>
      <c r="Y1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6">
      <c r="A166" s="54" t="n">
        <v>46183</v>
      </c>
      <c r="B166" s="55" t="n"/>
      <c r="C166" s="55" t="n"/>
      <c r="D166" s="56" t="n"/>
      <c r="E166" s="56" t="n"/>
      <c r="F166" s="55" t="n"/>
      <c r="G166" s="55" t="n"/>
      <c r="H166" s="57" t="n"/>
      <c r="I166" s="57" t="n"/>
      <c r="J166" s="57" t="n"/>
      <c r="K166" s="57" t="n"/>
      <c r="L166" s="55" t="n"/>
      <c r="M166" s="55" t="n"/>
      <c r="N166" s="55" t="n"/>
      <c r="O166" s="55" t="n"/>
      <c r="P166" s="55" t="n"/>
      <c r="Q166" s="55" t="n"/>
      <c r="R166" s="58" t="n"/>
      <c r="S166" s="59">
        <f>IF(tblPlant[[#This Row],[Milled_t]]="","",tblPlant[[#This Row],[Milled_t]]*tblPlant[[#This Row],[Head_Grade_gpt]]/cfg_TroyOz)</f>
        <v/>
      </c>
      <c r="T166" s="59">
        <f>IF(tblPlant[[#This Row],[Milled_t]]="","",tblPlant[[#This Row],[Milled_t]]*tblPlant[[#This Row],[Tails_Grade_gpt]]/cfg_TroyOz)</f>
        <v/>
      </c>
      <c r="U166" s="59">
        <f>IF(tblPlant[[#This Row],[Milled_t]]="","",tblPlant[[#This Row],[Feed_oz]]-tblPlant[[#This Row],[Tails_oz]])</f>
        <v/>
      </c>
      <c r="V166" s="60">
        <f>IF(AND(tblPlant[[#This Row],[Milled_t]]&lt;&gt;"",tblPlant[[#This Row],[Feed_oz]]&gt;0),tblPlant[[#This Row],[Recovered_oz]]/tblPlant[[#This Row],[Feed_oz]],"")</f>
        <v/>
      </c>
      <c r="W166" s="59">
        <f>IF(AND(tblPlant[[#This Row],[Milled_t]]&lt;&gt;"",tblPlant[[#This Row],[Mill_Run_h]]&gt;0),tblPlant[[#This Row],[Milled_t]]/tblPlant[[#This Row],[Mill_Run_h]],"")</f>
        <v/>
      </c>
      <c r="X166" s="60">
        <f>IF(tblPlant[[#This Row],[Mill_Run_h]]="","",(24-tblPlant[[#This Row],[Mill_Planned_Maint_h]]-tblPlant[[#This Row],[Mill_Unplanned_Down_h]])/24)</f>
        <v/>
      </c>
      <c r="Y1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7">
      <c r="A167" s="54" t="n">
        <v>46184</v>
      </c>
      <c r="B167" s="55" t="n"/>
      <c r="C167" s="55" t="n"/>
      <c r="D167" s="56" t="n"/>
      <c r="E167" s="56" t="n"/>
      <c r="F167" s="55" t="n"/>
      <c r="G167" s="55" t="n"/>
      <c r="H167" s="57" t="n"/>
      <c r="I167" s="57" t="n"/>
      <c r="J167" s="57" t="n"/>
      <c r="K167" s="57" t="n"/>
      <c r="L167" s="55" t="n"/>
      <c r="M167" s="55" t="n"/>
      <c r="N167" s="55" t="n"/>
      <c r="O167" s="55" t="n"/>
      <c r="P167" s="55" t="n"/>
      <c r="Q167" s="55" t="n"/>
      <c r="R167" s="58" t="n"/>
      <c r="S167" s="59">
        <f>IF(tblPlant[[#This Row],[Milled_t]]="","",tblPlant[[#This Row],[Milled_t]]*tblPlant[[#This Row],[Head_Grade_gpt]]/cfg_TroyOz)</f>
        <v/>
      </c>
      <c r="T167" s="59">
        <f>IF(tblPlant[[#This Row],[Milled_t]]="","",tblPlant[[#This Row],[Milled_t]]*tblPlant[[#This Row],[Tails_Grade_gpt]]/cfg_TroyOz)</f>
        <v/>
      </c>
      <c r="U167" s="59">
        <f>IF(tblPlant[[#This Row],[Milled_t]]="","",tblPlant[[#This Row],[Feed_oz]]-tblPlant[[#This Row],[Tails_oz]])</f>
        <v/>
      </c>
      <c r="V167" s="60">
        <f>IF(AND(tblPlant[[#This Row],[Milled_t]]&lt;&gt;"",tblPlant[[#This Row],[Feed_oz]]&gt;0),tblPlant[[#This Row],[Recovered_oz]]/tblPlant[[#This Row],[Feed_oz]],"")</f>
        <v/>
      </c>
      <c r="W167" s="59">
        <f>IF(AND(tblPlant[[#This Row],[Milled_t]]&lt;&gt;"",tblPlant[[#This Row],[Mill_Run_h]]&gt;0),tblPlant[[#This Row],[Milled_t]]/tblPlant[[#This Row],[Mill_Run_h]],"")</f>
        <v/>
      </c>
      <c r="X167" s="60">
        <f>IF(tblPlant[[#This Row],[Mill_Run_h]]="","",(24-tblPlant[[#This Row],[Mill_Planned_Maint_h]]-tblPlant[[#This Row],[Mill_Unplanned_Down_h]])/24)</f>
        <v/>
      </c>
      <c r="Y1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8">
      <c r="A168" s="54" t="n">
        <v>46185</v>
      </c>
      <c r="B168" s="55" t="n"/>
      <c r="C168" s="55" t="n"/>
      <c r="D168" s="56" t="n"/>
      <c r="E168" s="56" t="n"/>
      <c r="F168" s="55" t="n"/>
      <c r="G168" s="55" t="n"/>
      <c r="H168" s="57" t="n"/>
      <c r="I168" s="57" t="n"/>
      <c r="J168" s="57" t="n"/>
      <c r="K168" s="57" t="n"/>
      <c r="L168" s="55" t="n"/>
      <c r="M168" s="55" t="n"/>
      <c r="N168" s="55" t="n"/>
      <c r="O168" s="55" t="n"/>
      <c r="P168" s="55" t="n"/>
      <c r="Q168" s="55" t="n"/>
      <c r="R168" s="58" t="n"/>
      <c r="S168" s="59">
        <f>IF(tblPlant[[#This Row],[Milled_t]]="","",tblPlant[[#This Row],[Milled_t]]*tblPlant[[#This Row],[Head_Grade_gpt]]/cfg_TroyOz)</f>
        <v/>
      </c>
      <c r="T168" s="59">
        <f>IF(tblPlant[[#This Row],[Milled_t]]="","",tblPlant[[#This Row],[Milled_t]]*tblPlant[[#This Row],[Tails_Grade_gpt]]/cfg_TroyOz)</f>
        <v/>
      </c>
      <c r="U168" s="59">
        <f>IF(tblPlant[[#This Row],[Milled_t]]="","",tblPlant[[#This Row],[Feed_oz]]-tblPlant[[#This Row],[Tails_oz]])</f>
        <v/>
      </c>
      <c r="V168" s="60">
        <f>IF(AND(tblPlant[[#This Row],[Milled_t]]&lt;&gt;"",tblPlant[[#This Row],[Feed_oz]]&gt;0),tblPlant[[#This Row],[Recovered_oz]]/tblPlant[[#This Row],[Feed_oz]],"")</f>
        <v/>
      </c>
      <c r="W168" s="59">
        <f>IF(AND(tblPlant[[#This Row],[Milled_t]]&lt;&gt;"",tblPlant[[#This Row],[Mill_Run_h]]&gt;0),tblPlant[[#This Row],[Milled_t]]/tblPlant[[#This Row],[Mill_Run_h]],"")</f>
        <v/>
      </c>
      <c r="X168" s="60">
        <f>IF(tblPlant[[#This Row],[Mill_Run_h]]="","",(24-tblPlant[[#This Row],[Mill_Planned_Maint_h]]-tblPlant[[#This Row],[Mill_Unplanned_Down_h]])/24)</f>
        <v/>
      </c>
      <c r="Y1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9">
      <c r="A169" s="54" t="n">
        <v>46186</v>
      </c>
      <c r="B169" s="55" t="n"/>
      <c r="C169" s="55" t="n"/>
      <c r="D169" s="56" t="n"/>
      <c r="E169" s="56" t="n"/>
      <c r="F169" s="55" t="n"/>
      <c r="G169" s="55" t="n"/>
      <c r="H169" s="57" t="n"/>
      <c r="I169" s="57" t="n"/>
      <c r="J169" s="57" t="n"/>
      <c r="K169" s="57" t="n"/>
      <c r="L169" s="55" t="n"/>
      <c r="M169" s="55" t="n"/>
      <c r="N169" s="55" t="n"/>
      <c r="O169" s="55" t="n"/>
      <c r="P169" s="55" t="n"/>
      <c r="Q169" s="55" t="n"/>
      <c r="R169" s="58" t="n"/>
      <c r="S169" s="59">
        <f>IF(tblPlant[[#This Row],[Milled_t]]="","",tblPlant[[#This Row],[Milled_t]]*tblPlant[[#This Row],[Head_Grade_gpt]]/cfg_TroyOz)</f>
        <v/>
      </c>
      <c r="T169" s="59">
        <f>IF(tblPlant[[#This Row],[Milled_t]]="","",tblPlant[[#This Row],[Milled_t]]*tblPlant[[#This Row],[Tails_Grade_gpt]]/cfg_TroyOz)</f>
        <v/>
      </c>
      <c r="U169" s="59">
        <f>IF(tblPlant[[#This Row],[Milled_t]]="","",tblPlant[[#This Row],[Feed_oz]]-tblPlant[[#This Row],[Tails_oz]])</f>
        <v/>
      </c>
      <c r="V169" s="60">
        <f>IF(AND(tblPlant[[#This Row],[Milled_t]]&lt;&gt;"",tblPlant[[#This Row],[Feed_oz]]&gt;0),tblPlant[[#This Row],[Recovered_oz]]/tblPlant[[#This Row],[Feed_oz]],"")</f>
        <v/>
      </c>
      <c r="W169" s="59">
        <f>IF(AND(tblPlant[[#This Row],[Milled_t]]&lt;&gt;"",tblPlant[[#This Row],[Mill_Run_h]]&gt;0),tblPlant[[#This Row],[Milled_t]]/tblPlant[[#This Row],[Mill_Run_h]],"")</f>
        <v/>
      </c>
      <c r="X169" s="60">
        <f>IF(tblPlant[[#This Row],[Mill_Run_h]]="","",(24-tblPlant[[#This Row],[Mill_Planned_Maint_h]]-tblPlant[[#This Row],[Mill_Unplanned_Down_h]])/24)</f>
        <v/>
      </c>
      <c r="Y1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0">
      <c r="A170" s="54" t="n">
        <v>46187</v>
      </c>
      <c r="B170" s="55" t="n"/>
      <c r="C170" s="55" t="n"/>
      <c r="D170" s="56" t="n"/>
      <c r="E170" s="56" t="n"/>
      <c r="F170" s="55" t="n"/>
      <c r="G170" s="55" t="n"/>
      <c r="H170" s="57" t="n"/>
      <c r="I170" s="57" t="n"/>
      <c r="J170" s="57" t="n"/>
      <c r="K170" s="57" t="n"/>
      <c r="L170" s="55" t="n"/>
      <c r="M170" s="55" t="n"/>
      <c r="N170" s="55" t="n"/>
      <c r="O170" s="55" t="n"/>
      <c r="P170" s="55" t="n"/>
      <c r="Q170" s="55" t="n"/>
      <c r="R170" s="58" t="n"/>
      <c r="S170" s="59">
        <f>IF(tblPlant[[#This Row],[Milled_t]]="","",tblPlant[[#This Row],[Milled_t]]*tblPlant[[#This Row],[Head_Grade_gpt]]/cfg_TroyOz)</f>
        <v/>
      </c>
      <c r="T170" s="59">
        <f>IF(tblPlant[[#This Row],[Milled_t]]="","",tblPlant[[#This Row],[Milled_t]]*tblPlant[[#This Row],[Tails_Grade_gpt]]/cfg_TroyOz)</f>
        <v/>
      </c>
      <c r="U170" s="59">
        <f>IF(tblPlant[[#This Row],[Milled_t]]="","",tblPlant[[#This Row],[Feed_oz]]-tblPlant[[#This Row],[Tails_oz]])</f>
        <v/>
      </c>
      <c r="V170" s="60">
        <f>IF(AND(tblPlant[[#This Row],[Milled_t]]&lt;&gt;"",tblPlant[[#This Row],[Feed_oz]]&gt;0),tblPlant[[#This Row],[Recovered_oz]]/tblPlant[[#This Row],[Feed_oz]],"")</f>
        <v/>
      </c>
      <c r="W170" s="59">
        <f>IF(AND(tblPlant[[#This Row],[Milled_t]]&lt;&gt;"",tblPlant[[#This Row],[Mill_Run_h]]&gt;0),tblPlant[[#This Row],[Milled_t]]/tblPlant[[#This Row],[Mill_Run_h]],"")</f>
        <v/>
      </c>
      <c r="X170" s="60">
        <f>IF(tblPlant[[#This Row],[Mill_Run_h]]="","",(24-tblPlant[[#This Row],[Mill_Planned_Maint_h]]-tblPlant[[#This Row],[Mill_Unplanned_Down_h]])/24)</f>
        <v/>
      </c>
      <c r="Y1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1">
      <c r="A171" s="54" t="n">
        <v>46188</v>
      </c>
      <c r="B171" s="55" t="n"/>
      <c r="C171" s="55" t="n"/>
      <c r="D171" s="56" t="n"/>
      <c r="E171" s="56" t="n"/>
      <c r="F171" s="55" t="n"/>
      <c r="G171" s="55" t="n"/>
      <c r="H171" s="57" t="n"/>
      <c r="I171" s="57" t="n"/>
      <c r="J171" s="57" t="n"/>
      <c r="K171" s="57" t="n"/>
      <c r="L171" s="55" t="n"/>
      <c r="M171" s="55" t="n"/>
      <c r="N171" s="55" t="n"/>
      <c r="O171" s="55" t="n"/>
      <c r="P171" s="55" t="n"/>
      <c r="Q171" s="55" t="n"/>
      <c r="R171" s="58" t="n"/>
      <c r="S171" s="59">
        <f>IF(tblPlant[[#This Row],[Milled_t]]="","",tblPlant[[#This Row],[Milled_t]]*tblPlant[[#This Row],[Head_Grade_gpt]]/cfg_TroyOz)</f>
        <v/>
      </c>
      <c r="T171" s="59">
        <f>IF(tblPlant[[#This Row],[Milled_t]]="","",tblPlant[[#This Row],[Milled_t]]*tblPlant[[#This Row],[Tails_Grade_gpt]]/cfg_TroyOz)</f>
        <v/>
      </c>
      <c r="U171" s="59">
        <f>IF(tblPlant[[#This Row],[Milled_t]]="","",tblPlant[[#This Row],[Feed_oz]]-tblPlant[[#This Row],[Tails_oz]])</f>
        <v/>
      </c>
      <c r="V171" s="60">
        <f>IF(AND(tblPlant[[#This Row],[Milled_t]]&lt;&gt;"",tblPlant[[#This Row],[Feed_oz]]&gt;0),tblPlant[[#This Row],[Recovered_oz]]/tblPlant[[#This Row],[Feed_oz]],"")</f>
        <v/>
      </c>
      <c r="W171" s="59">
        <f>IF(AND(tblPlant[[#This Row],[Milled_t]]&lt;&gt;"",tblPlant[[#This Row],[Mill_Run_h]]&gt;0),tblPlant[[#This Row],[Milled_t]]/tblPlant[[#This Row],[Mill_Run_h]],"")</f>
        <v/>
      </c>
      <c r="X171" s="60">
        <f>IF(tblPlant[[#This Row],[Mill_Run_h]]="","",(24-tblPlant[[#This Row],[Mill_Planned_Maint_h]]-tblPlant[[#This Row],[Mill_Unplanned_Down_h]])/24)</f>
        <v/>
      </c>
      <c r="Y1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2">
      <c r="A172" s="54" t="n">
        <v>46189</v>
      </c>
      <c r="B172" s="55" t="n"/>
      <c r="C172" s="55" t="n"/>
      <c r="D172" s="56" t="n"/>
      <c r="E172" s="56" t="n"/>
      <c r="F172" s="55" t="n"/>
      <c r="G172" s="55" t="n"/>
      <c r="H172" s="57" t="n"/>
      <c r="I172" s="57" t="n"/>
      <c r="J172" s="57" t="n"/>
      <c r="K172" s="57" t="n"/>
      <c r="L172" s="55" t="n"/>
      <c r="M172" s="55" t="n"/>
      <c r="N172" s="55" t="n"/>
      <c r="O172" s="55" t="n"/>
      <c r="P172" s="55" t="n"/>
      <c r="Q172" s="55" t="n"/>
      <c r="R172" s="58" t="n"/>
      <c r="S172" s="59">
        <f>IF(tblPlant[[#This Row],[Milled_t]]="","",tblPlant[[#This Row],[Milled_t]]*tblPlant[[#This Row],[Head_Grade_gpt]]/cfg_TroyOz)</f>
        <v/>
      </c>
      <c r="T172" s="59">
        <f>IF(tblPlant[[#This Row],[Milled_t]]="","",tblPlant[[#This Row],[Milled_t]]*tblPlant[[#This Row],[Tails_Grade_gpt]]/cfg_TroyOz)</f>
        <v/>
      </c>
      <c r="U172" s="59">
        <f>IF(tblPlant[[#This Row],[Milled_t]]="","",tblPlant[[#This Row],[Feed_oz]]-tblPlant[[#This Row],[Tails_oz]])</f>
        <v/>
      </c>
      <c r="V172" s="60">
        <f>IF(AND(tblPlant[[#This Row],[Milled_t]]&lt;&gt;"",tblPlant[[#This Row],[Feed_oz]]&gt;0),tblPlant[[#This Row],[Recovered_oz]]/tblPlant[[#This Row],[Feed_oz]],"")</f>
        <v/>
      </c>
      <c r="W172" s="59">
        <f>IF(AND(tblPlant[[#This Row],[Milled_t]]&lt;&gt;"",tblPlant[[#This Row],[Mill_Run_h]]&gt;0),tblPlant[[#This Row],[Milled_t]]/tblPlant[[#This Row],[Mill_Run_h]],"")</f>
        <v/>
      </c>
      <c r="X172" s="60">
        <f>IF(tblPlant[[#This Row],[Mill_Run_h]]="","",(24-tblPlant[[#This Row],[Mill_Planned_Maint_h]]-tblPlant[[#This Row],[Mill_Unplanned_Down_h]])/24)</f>
        <v/>
      </c>
      <c r="Y1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3">
      <c r="A173" s="54" t="n">
        <v>46190</v>
      </c>
      <c r="B173" s="55" t="n"/>
      <c r="C173" s="55" t="n"/>
      <c r="D173" s="56" t="n"/>
      <c r="E173" s="56" t="n"/>
      <c r="F173" s="55" t="n"/>
      <c r="G173" s="55" t="n"/>
      <c r="H173" s="57" t="n"/>
      <c r="I173" s="57" t="n"/>
      <c r="J173" s="57" t="n"/>
      <c r="K173" s="57" t="n"/>
      <c r="L173" s="55" t="n"/>
      <c r="M173" s="55" t="n"/>
      <c r="N173" s="55" t="n"/>
      <c r="O173" s="55" t="n"/>
      <c r="P173" s="55" t="n"/>
      <c r="Q173" s="55" t="n"/>
      <c r="R173" s="58" t="n"/>
      <c r="S173" s="59">
        <f>IF(tblPlant[[#This Row],[Milled_t]]="","",tblPlant[[#This Row],[Milled_t]]*tblPlant[[#This Row],[Head_Grade_gpt]]/cfg_TroyOz)</f>
        <v/>
      </c>
      <c r="T173" s="59">
        <f>IF(tblPlant[[#This Row],[Milled_t]]="","",tblPlant[[#This Row],[Milled_t]]*tblPlant[[#This Row],[Tails_Grade_gpt]]/cfg_TroyOz)</f>
        <v/>
      </c>
      <c r="U173" s="59">
        <f>IF(tblPlant[[#This Row],[Milled_t]]="","",tblPlant[[#This Row],[Feed_oz]]-tblPlant[[#This Row],[Tails_oz]])</f>
        <v/>
      </c>
      <c r="V173" s="60">
        <f>IF(AND(tblPlant[[#This Row],[Milled_t]]&lt;&gt;"",tblPlant[[#This Row],[Feed_oz]]&gt;0),tblPlant[[#This Row],[Recovered_oz]]/tblPlant[[#This Row],[Feed_oz]],"")</f>
        <v/>
      </c>
      <c r="W173" s="59">
        <f>IF(AND(tblPlant[[#This Row],[Milled_t]]&lt;&gt;"",tblPlant[[#This Row],[Mill_Run_h]]&gt;0),tblPlant[[#This Row],[Milled_t]]/tblPlant[[#This Row],[Mill_Run_h]],"")</f>
        <v/>
      </c>
      <c r="X173" s="60">
        <f>IF(tblPlant[[#This Row],[Mill_Run_h]]="","",(24-tblPlant[[#This Row],[Mill_Planned_Maint_h]]-tblPlant[[#This Row],[Mill_Unplanned_Down_h]])/24)</f>
        <v/>
      </c>
      <c r="Y1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4">
      <c r="A174" s="54" t="n">
        <v>46191</v>
      </c>
      <c r="B174" s="55" t="n"/>
      <c r="C174" s="55" t="n"/>
      <c r="D174" s="56" t="n"/>
      <c r="E174" s="56" t="n"/>
      <c r="F174" s="55" t="n"/>
      <c r="G174" s="55" t="n"/>
      <c r="H174" s="57" t="n"/>
      <c r="I174" s="57" t="n"/>
      <c r="J174" s="57" t="n"/>
      <c r="K174" s="57" t="n"/>
      <c r="L174" s="55" t="n"/>
      <c r="M174" s="55" t="n"/>
      <c r="N174" s="55" t="n"/>
      <c r="O174" s="55" t="n"/>
      <c r="P174" s="55" t="n"/>
      <c r="Q174" s="55" t="n"/>
      <c r="R174" s="58" t="n"/>
      <c r="S174" s="59">
        <f>IF(tblPlant[[#This Row],[Milled_t]]="","",tblPlant[[#This Row],[Milled_t]]*tblPlant[[#This Row],[Head_Grade_gpt]]/cfg_TroyOz)</f>
        <v/>
      </c>
      <c r="T174" s="59">
        <f>IF(tblPlant[[#This Row],[Milled_t]]="","",tblPlant[[#This Row],[Milled_t]]*tblPlant[[#This Row],[Tails_Grade_gpt]]/cfg_TroyOz)</f>
        <v/>
      </c>
      <c r="U174" s="59">
        <f>IF(tblPlant[[#This Row],[Milled_t]]="","",tblPlant[[#This Row],[Feed_oz]]-tblPlant[[#This Row],[Tails_oz]])</f>
        <v/>
      </c>
      <c r="V174" s="60">
        <f>IF(AND(tblPlant[[#This Row],[Milled_t]]&lt;&gt;"",tblPlant[[#This Row],[Feed_oz]]&gt;0),tblPlant[[#This Row],[Recovered_oz]]/tblPlant[[#This Row],[Feed_oz]],"")</f>
        <v/>
      </c>
      <c r="W174" s="59">
        <f>IF(AND(tblPlant[[#This Row],[Milled_t]]&lt;&gt;"",tblPlant[[#This Row],[Mill_Run_h]]&gt;0),tblPlant[[#This Row],[Milled_t]]/tblPlant[[#This Row],[Mill_Run_h]],"")</f>
        <v/>
      </c>
      <c r="X174" s="60">
        <f>IF(tblPlant[[#This Row],[Mill_Run_h]]="","",(24-tblPlant[[#This Row],[Mill_Planned_Maint_h]]-tblPlant[[#This Row],[Mill_Unplanned_Down_h]])/24)</f>
        <v/>
      </c>
      <c r="Y1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5">
      <c r="A175" s="54" t="n">
        <v>46192</v>
      </c>
      <c r="B175" s="55" t="n"/>
      <c r="C175" s="55" t="n"/>
      <c r="D175" s="56" t="n"/>
      <c r="E175" s="56" t="n"/>
      <c r="F175" s="55" t="n"/>
      <c r="G175" s="55" t="n"/>
      <c r="H175" s="57" t="n"/>
      <c r="I175" s="57" t="n"/>
      <c r="J175" s="57" t="n"/>
      <c r="K175" s="57" t="n"/>
      <c r="L175" s="55" t="n"/>
      <c r="M175" s="55" t="n"/>
      <c r="N175" s="55" t="n"/>
      <c r="O175" s="55" t="n"/>
      <c r="P175" s="55" t="n"/>
      <c r="Q175" s="55" t="n"/>
      <c r="R175" s="58" t="n"/>
      <c r="S175" s="59">
        <f>IF(tblPlant[[#This Row],[Milled_t]]="","",tblPlant[[#This Row],[Milled_t]]*tblPlant[[#This Row],[Head_Grade_gpt]]/cfg_TroyOz)</f>
        <v/>
      </c>
      <c r="T175" s="59">
        <f>IF(tblPlant[[#This Row],[Milled_t]]="","",tblPlant[[#This Row],[Milled_t]]*tblPlant[[#This Row],[Tails_Grade_gpt]]/cfg_TroyOz)</f>
        <v/>
      </c>
      <c r="U175" s="59">
        <f>IF(tblPlant[[#This Row],[Milled_t]]="","",tblPlant[[#This Row],[Feed_oz]]-tblPlant[[#This Row],[Tails_oz]])</f>
        <v/>
      </c>
      <c r="V175" s="60">
        <f>IF(AND(tblPlant[[#This Row],[Milled_t]]&lt;&gt;"",tblPlant[[#This Row],[Feed_oz]]&gt;0),tblPlant[[#This Row],[Recovered_oz]]/tblPlant[[#This Row],[Feed_oz]],"")</f>
        <v/>
      </c>
      <c r="W175" s="59">
        <f>IF(AND(tblPlant[[#This Row],[Milled_t]]&lt;&gt;"",tblPlant[[#This Row],[Mill_Run_h]]&gt;0),tblPlant[[#This Row],[Milled_t]]/tblPlant[[#This Row],[Mill_Run_h]],"")</f>
        <v/>
      </c>
      <c r="X175" s="60">
        <f>IF(tblPlant[[#This Row],[Mill_Run_h]]="","",(24-tblPlant[[#This Row],[Mill_Planned_Maint_h]]-tblPlant[[#This Row],[Mill_Unplanned_Down_h]])/24)</f>
        <v/>
      </c>
      <c r="Y1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6">
      <c r="A176" s="54" t="n">
        <v>46193</v>
      </c>
      <c r="B176" s="55" t="n"/>
      <c r="C176" s="55" t="n"/>
      <c r="D176" s="56" t="n"/>
      <c r="E176" s="56" t="n"/>
      <c r="F176" s="55" t="n"/>
      <c r="G176" s="55" t="n"/>
      <c r="H176" s="57" t="n"/>
      <c r="I176" s="57" t="n"/>
      <c r="J176" s="57" t="n"/>
      <c r="K176" s="57" t="n"/>
      <c r="L176" s="55" t="n"/>
      <c r="M176" s="55" t="n"/>
      <c r="N176" s="55" t="n"/>
      <c r="O176" s="55" t="n"/>
      <c r="P176" s="55" t="n"/>
      <c r="Q176" s="55" t="n"/>
      <c r="R176" s="58" t="n"/>
      <c r="S176" s="59">
        <f>IF(tblPlant[[#This Row],[Milled_t]]="","",tblPlant[[#This Row],[Milled_t]]*tblPlant[[#This Row],[Head_Grade_gpt]]/cfg_TroyOz)</f>
        <v/>
      </c>
      <c r="T176" s="59">
        <f>IF(tblPlant[[#This Row],[Milled_t]]="","",tblPlant[[#This Row],[Milled_t]]*tblPlant[[#This Row],[Tails_Grade_gpt]]/cfg_TroyOz)</f>
        <v/>
      </c>
      <c r="U176" s="59">
        <f>IF(tblPlant[[#This Row],[Milled_t]]="","",tblPlant[[#This Row],[Feed_oz]]-tblPlant[[#This Row],[Tails_oz]])</f>
        <v/>
      </c>
      <c r="V176" s="60">
        <f>IF(AND(tblPlant[[#This Row],[Milled_t]]&lt;&gt;"",tblPlant[[#This Row],[Feed_oz]]&gt;0),tblPlant[[#This Row],[Recovered_oz]]/tblPlant[[#This Row],[Feed_oz]],"")</f>
        <v/>
      </c>
      <c r="W176" s="59">
        <f>IF(AND(tblPlant[[#This Row],[Milled_t]]&lt;&gt;"",tblPlant[[#This Row],[Mill_Run_h]]&gt;0),tblPlant[[#This Row],[Milled_t]]/tblPlant[[#This Row],[Mill_Run_h]],"")</f>
        <v/>
      </c>
      <c r="X176" s="60">
        <f>IF(tblPlant[[#This Row],[Mill_Run_h]]="","",(24-tblPlant[[#This Row],[Mill_Planned_Maint_h]]-tblPlant[[#This Row],[Mill_Unplanned_Down_h]])/24)</f>
        <v/>
      </c>
      <c r="Y1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7">
      <c r="A177" s="54" t="n">
        <v>46194</v>
      </c>
      <c r="B177" s="55" t="n"/>
      <c r="C177" s="55" t="n"/>
      <c r="D177" s="56" t="n"/>
      <c r="E177" s="56" t="n"/>
      <c r="F177" s="55" t="n"/>
      <c r="G177" s="55" t="n"/>
      <c r="H177" s="57" t="n"/>
      <c r="I177" s="57" t="n"/>
      <c r="J177" s="57" t="n"/>
      <c r="K177" s="57" t="n"/>
      <c r="L177" s="55" t="n"/>
      <c r="M177" s="55" t="n"/>
      <c r="N177" s="55" t="n"/>
      <c r="O177" s="55" t="n"/>
      <c r="P177" s="55" t="n"/>
      <c r="Q177" s="55" t="n"/>
      <c r="R177" s="58" t="n"/>
      <c r="S177" s="59">
        <f>IF(tblPlant[[#This Row],[Milled_t]]="","",tblPlant[[#This Row],[Milled_t]]*tblPlant[[#This Row],[Head_Grade_gpt]]/cfg_TroyOz)</f>
        <v/>
      </c>
      <c r="T177" s="59">
        <f>IF(tblPlant[[#This Row],[Milled_t]]="","",tblPlant[[#This Row],[Milled_t]]*tblPlant[[#This Row],[Tails_Grade_gpt]]/cfg_TroyOz)</f>
        <v/>
      </c>
      <c r="U177" s="59">
        <f>IF(tblPlant[[#This Row],[Milled_t]]="","",tblPlant[[#This Row],[Feed_oz]]-tblPlant[[#This Row],[Tails_oz]])</f>
        <v/>
      </c>
      <c r="V177" s="60">
        <f>IF(AND(tblPlant[[#This Row],[Milled_t]]&lt;&gt;"",tblPlant[[#This Row],[Feed_oz]]&gt;0),tblPlant[[#This Row],[Recovered_oz]]/tblPlant[[#This Row],[Feed_oz]],"")</f>
        <v/>
      </c>
      <c r="W177" s="59">
        <f>IF(AND(tblPlant[[#This Row],[Milled_t]]&lt;&gt;"",tblPlant[[#This Row],[Mill_Run_h]]&gt;0),tblPlant[[#This Row],[Milled_t]]/tblPlant[[#This Row],[Mill_Run_h]],"")</f>
        <v/>
      </c>
      <c r="X177" s="60">
        <f>IF(tblPlant[[#This Row],[Mill_Run_h]]="","",(24-tblPlant[[#This Row],[Mill_Planned_Maint_h]]-tblPlant[[#This Row],[Mill_Unplanned_Down_h]])/24)</f>
        <v/>
      </c>
      <c r="Y1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8">
      <c r="A178" s="54" t="n">
        <v>46195</v>
      </c>
      <c r="B178" s="55" t="n"/>
      <c r="C178" s="55" t="n"/>
      <c r="D178" s="56" t="n"/>
      <c r="E178" s="56" t="n"/>
      <c r="F178" s="55" t="n"/>
      <c r="G178" s="55" t="n"/>
      <c r="H178" s="57" t="n"/>
      <c r="I178" s="57" t="n"/>
      <c r="J178" s="57" t="n"/>
      <c r="K178" s="57" t="n"/>
      <c r="L178" s="55" t="n"/>
      <c r="M178" s="55" t="n"/>
      <c r="N178" s="55" t="n"/>
      <c r="O178" s="55" t="n"/>
      <c r="P178" s="55" t="n"/>
      <c r="Q178" s="55" t="n"/>
      <c r="R178" s="58" t="n"/>
      <c r="S178" s="59">
        <f>IF(tblPlant[[#This Row],[Milled_t]]="","",tblPlant[[#This Row],[Milled_t]]*tblPlant[[#This Row],[Head_Grade_gpt]]/cfg_TroyOz)</f>
        <v/>
      </c>
      <c r="T178" s="59">
        <f>IF(tblPlant[[#This Row],[Milled_t]]="","",tblPlant[[#This Row],[Milled_t]]*tblPlant[[#This Row],[Tails_Grade_gpt]]/cfg_TroyOz)</f>
        <v/>
      </c>
      <c r="U178" s="59">
        <f>IF(tblPlant[[#This Row],[Milled_t]]="","",tblPlant[[#This Row],[Feed_oz]]-tblPlant[[#This Row],[Tails_oz]])</f>
        <v/>
      </c>
      <c r="V178" s="60">
        <f>IF(AND(tblPlant[[#This Row],[Milled_t]]&lt;&gt;"",tblPlant[[#This Row],[Feed_oz]]&gt;0),tblPlant[[#This Row],[Recovered_oz]]/tblPlant[[#This Row],[Feed_oz]],"")</f>
        <v/>
      </c>
      <c r="W178" s="59">
        <f>IF(AND(tblPlant[[#This Row],[Milled_t]]&lt;&gt;"",tblPlant[[#This Row],[Mill_Run_h]]&gt;0),tblPlant[[#This Row],[Milled_t]]/tblPlant[[#This Row],[Mill_Run_h]],"")</f>
        <v/>
      </c>
      <c r="X178" s="60">
        <f>IF(tblPlant[[#This Row],[Mill_Run_h]]="","",(24-tblPlant[[#This Row],[Mill_Planned_Maint_h]]-tblPlant[[#This Row],[Mill_Unplanned_Down_h]])/24)</f>
        <v/>
      </c>
      <c r="Y1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9">
      <c r="A179" s="54" t="n">
        <v>46196</v>
      </c>
      <c r="B179" s="55" t="n"/>
      <c r="C179" s="55" t="n"/>
      <c r="D179" s="56" t="n"/>
      <c r="E179" s="56" t="n"/>
      <c r="F179" s="55" t="n"/>
      <c r="G179" s="55" t="n"/>
      <c r="H179" s="57" t="n"/>
      <c r="I179" s="57" t="n"/>
      <c r="J179" s="57" t="n"/>
      <c r="K179" s="57" t="n"/>
      <c r="L179" s="55" t="n"/>
      <c r="M179" s="55" t="n"/>
      <c r="N179" s="55" t="n"/>
      <c r="O179" s="55" t="n"/>
      <c r="P179" s="55" t="n"/>
      <c r="Q179" s="55" t="n"/>
      <c r="R179" s="58" t="n"/>
      <c r="S179" s="59">
        <f>IF(tblPlant[[#This Row],[Milled_t]]="","",tblPlant[[#This Row],[Milled_t]]*tblPlant[[#This Row],[Head_Grade_gpt]]/cfg_TroyOz)</f>
        <v/>
      </c>
      <c r="T179" s="59">
        <f>IF(tblPlant[[#This Row],[Milled_t]]="","",tblPlant[[#This Row],[Milled_t]]*tblPlant[[#This Row],[Tails_Grade_gpt]]/cfg_TroyOz)</f>
        <v/>
      </c>
      <c r="U179" s="59">
        <f>IF(tblPlant[[#This Row],[Milled_t]]="","",tblPlant[[#This Row],[Feed_oz]]-tblPlant[[#This Row],[Tails_oz]])</f>
        <v/>
      </c>
      <c r="V179" s="60">
        <f>IF(AND(tblPlant[[#This Row],[Milled_t]]&lt;&gt;"",tblPlant[[#This Row],[Feed_oz]]&gt;0),tblPlant[[#This Row],[Recovered_oz]]/tblPlant[[#This Row],[Feed_oz]],"")</f>
        <v/>
      </c>
      <c r="W179" s="59">
        <f>IF(AND(tblPlant[[#This Row],[Milled_t]]&lt;&gt;"",tblPlant[[#This Row],[Mill_Run_h]]&gt;0),tblPlant[[#This Row],[Milled_t]]/tblPlant[[#This Row],[Mill_Run_h]],"")</f>
        <v/>
      </c>
      <c r="X179" s="60">
        <f>IF(tblPlant[[#This Row],[Mill_Run_h]]="","",(24-tblPlant[[#This Row],[Mill_Planned_Maint_h]]-tblPlant[[#This Row],[Mill_Unplanned_Down_h]])/24)</f>
        <v/>
      </c>
      <c r="Y1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0">
      <c r="A180" s="54" t="n">
        <v>46197</v>
      </c>
      <c r="B180" s="55" t="n"/>
      <c r="C180" s="55" t="n"/>
      <c r="D180" s="56" t="n"/>
      <c r="E180" s="56" t="n"/>
      <c r="F180" s="55" t="n"/>
      <c r="G180" s="55" t="n"/>
      <c r="H180" s="57" t="n"/>
      <c r="I180" s="57" t="n"/>
      <c r="J180" s="57" t="n"/>
      <c r="K180" s="57" t="n"/>
      <c r="L180" s="55" t="n"/>
      <c r="M180" s="55" t="n"/>
      <c r="N180" s="55" t="n"/>
      <c r="O180" s="55" t="n"/>
      <c r="P180" s="55" t="n"/>
      <c r="Q180" s="55" t="n"/>
      <c r="R180" s="58" t="n"/>
      <c r="S180" s="59">
        <f>IF(tblPlant[[#This Row],[Milled_t]]="","",tblPlant[[#This Row],[Milled_t]]*tblPlant[[#This Row],[Head_Grade_gpt]]/cfg_TroyOz)</f>
        <v/>
      </c>
      <c r="T180" s="59">
        <f>IF(tblPlant[[#This Row],[Milled_t]]="","",tblPlant[[#This Row],[Milled_t]]*tblPlant[[#This Row],[Tails_Grade_gpt]]/cfg_TroyOz)</f>
        <v/>
      </c>
      <c r="U180" s="59">
        <f>IF(tblPlant[[#This Row],[Milled_t]]="","",tblPlant[[#This Row],[Feed_oz]]-tblPlant[[#This Row],[Tails_oz]])</f>
        <v/>
      </c>
      <c r="V180" s="60">
        <f>IF(AND(tblPlant[[#This Row],[Milled_t]]&lt;&gt;"",tblPlant[[#This Row],[Feed_oz]]&gt;0),tblPlant[[#This Row],[Recovered_oz]]/tblPlant[[#This Row],[Feed_oz]],"")</f>
        <v/>
      </c>
      <c r="W180" s="59">
        <f>IF(AND(tblPlant[[#This Row],[Milled_t]]&lt;&gt;"",tblPlant[[#This Row],[Mill_Run_h]]&gt;0),tblPlant[[#This Row],[Milled_t]]/tblPlant[[#This Row],[Mill_Run_h]],"")</f>
        <v/>
      </c>
      <c r="X180" s="60">
        <f>IF(tblPlant[[#This Row],[Mill_Run_h]]="","",(24-tblPlant[[#This Row],[Mill_Planned_Maint_h]]-tblPlant[[#This Row],[Mill_Unplanned_Down_h]])/24)</f>
        <v/>
      </c>
      <c r="Y1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1">
      <c r="A181" s="54" t="n">
        <v>46198</v>
      </c>
      <c r="B181" s="55" t="n"/>
      <c r="C181" s="55" t="n"/>
      <c r="D181" s="56" t="n"/>
      <c r="E181" s="56" t="n"/>
      <c r="F181" s="55" t="n"/>
      <c r="G181" s="55" t="n"/>
      <c r="H181" s="57" t="n"/>
      <c r="I181" s="57" t="n"/>
      <c r="J181" s="57" t="n"/>
      <c r="K181" s="57" t="n"/>
      <c r="L181" s="55" t="n"/>
      <c r="M181" s="55" t="n"/>
      <c r="N181" s="55" t="n"/>
      <c r="O181" s="55" t="n"/>
      <c r="P181" s="55" t="n"/>
      <c r="Q181" s="55" t="n"/>
      <c r="R181" s="58" t="n"/>
      <c r="S181" s="59">
        <f>IF(tblPlant[[#This Row],[Milled_t]]="","",tblPlant[[#This Row],[Milled_t]]*tblPlant[[#This Row],[Head_Grade_gpt]]/cfg_TroyOz)</f>
        <v/>
      </c>
      <c r="T181" s="59">
        <f>IF(tblPlant[[#This Row],[Milled_t]]="","",tblPlant[[#This Row],[Milled_t]]*tblPlant[[#This Row],[Tails_Grade_gpt]]/cfg_TroyOz)</f>
        <v/>
      </c>
      <c r="U181" s="59">
        <f>IF(tblPlant[[#This Row],[Milled_t]]="","",tblPlant[[#This Row],[Feed_oz]]-tblPlant[[#This Row],[Tails_oz]])</f>
        <v/>
      </c>
      <c r="V181" s="60">
        <f>IF(AND(tblPlant[[#This Row],[Milled_t]]&lt;&gt;"",tblPlant[[#This Row],[Feed_oz]]&gt;0),tblPlant[[#This Row],[Recovered_oz]]/tblPlant[[#This Row],[Feed_oz]],"")</f>
        <v/>
      </c>
      <c r="W181" s="59">
        <f>IF(AND(tblPlant[[#This Row],[Milled_t]]&lt;&gt;"",tblPlant[[#This Row],[Mill_Run_h]]&gt;0),tblPlant[[#This Row],[Milled_t]]/tblPlant[[#This Row],[Mill_Run_h]],"")</f>
        <v/>
      </c>
      <c r="X181" s="60">
        <f>IF(tblPlant[[#This Row],[Mill_Run_h]]="","",(24-tblPlant[[#This Row],[Mill_Planned_Maint_h]]-tblPlant[[#This Row],[Mill_Unplanned_Down_h]])/24)</f>
        <v/>
      </c>
      <c r="Y1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2">
      <c r="A182" s="54" t="n">
        <v>46199</v>
      </c>
      <c r="B182" s="55" t="n"/>
      <c r="C182" s="55" t="n"/>
      <c r="D182" s="56" t="n"/>
      <c r="E182" s="56" t="n"/>
      <c r="F182" s="55" t="n"/>
      <c r="G182" s="55" t="n"/>
      <c r="H182" s="57" t="n"/>
      <c r="I182" s="57" t="n"/>
      <c r="J182" s="57" t="n"/>
      <c r="K182" s="57" t="n"/>
      <c r="L182" s="55" t="n"/>
      <c r="M182" s="55" t="n"/>
      <c r="N182" s="55" t="n"/>
      <c r="O182" s="55" t="n"/>
      <c r="P182" s="55" t="n"/>
      <c r="Q182" s="55" t="n"/>
      <c r="R182" s="58" t="n"/>
      <c r="S182" s="59">
        <f>IF(tblPlant[[#This Row],[Milled_t]]="","",tblPlant[[#This Row],[Milled_t]]*tblPlant[[#This Row],[Head_Grade_gpt]]/cfg_TroyOz)</f>
        <v/>
      </c>
      <c r="T182" s="59">
        <f>IF(tblPlant[[#This Row],[Milled_t]]="","",tblPlant[[#This Row],[Milled_t]]*tblPlant[[#This Row],[Tails_Grade_gpt]]/cfg_TroyOz)</f>
        <v/>
      </c>
      <c r="U182" s="59">
        <f>IF(tblPlant[[#This Row],[Milled_t]]="","",tblPlant[[#This Row],[Feed_oz]]-tblPlant[[#This Row],[Tails_oz]])</f>
        <v/>
      </c>
      <c r="V182" s="60">
        <f>IF(AND(tblPlant[[#This Row],[Milled_t]]&lt;&gt;"",tblPlant[[#This Row],[Feed_oz]]&gt;0),tblPlant[[#This Row],[Recovered_oz]]/tblPlant[[#This Row],[Feed_oz]],"")</f>
        <v/>
      </c>
      <c r="W182" s="59">
        <f>IF(AND(tblPlant[[#This Row],[Milled_t]]&lt;&gt;"",tblPlant[[#This Row],[Mill_Run_h]]&gt;0),tblPlant[[#This Row],[Milled_t]]/tblPlant[[#This Row],[Mill_Run_h]],"")</f>
        <v/>
      </c>
      <c r="X182" s="60">
        <f>IF(tblPlant[[#This Row],[Mill_Run_h]]="","",(24-tblPlant[[#This Row],[Mill_Planned_Maint_h]]-tblPlant[[#This Row],[Mill_Unplanned_Down_h]])/24)</f>
        <v/>
      </c>
      <c r="Y1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3">
      <c r="A183" s="54" t="n">
        <v>46200</v>
      </c>
      <c r="B183" s="55" t="n"/>
      <c r="C183" s="55" t="n"/>
      <c r="D183" s="56" t="n"/>
      <c r="E183" s="56" t="n"/>
      <c r="F183" s="55" t="n"/>
      <c r="G183" s="55" t="n"/>
      <c r="H183" s="57" t="n"/>
      <c r="I183" s="57" t="n"/>
      <c r="J183" s="57" t="n"/>
      <c r="K183" s="57" t="n"/>
      <c r="L183" s="55" t="n"/>
      <c r="M183" s="55" t="n"/>
      <c r="N183" s="55" t="n"/>
      <c r="O183" s="55" t="n"/>
      <c r="P183" s="55" t="n"/>
      <c r="Q183" s="55" t="n"/>
      <c r="R183" s="58" t="n"/>
      <c r="S183" s="59">
        <f>IF(tblPlant[[#This Row],[Milled_t]]="","",tblPlant[[#This Row],[Milled_t]]*tblPlant[[#This Row],[Head_Grade_gpt]]/cfg_TroyOz)</f>
        <v/>
      </c>
      <c r="T183" s="59">
        <f>IF(tblPlant[[#This Row],[Milled_t]]="","",tblPlant[[#This Row],[Milled_t]]*tblPlant[[#This Row],[Tails_Grade_gpt]]/cfg_TroyOz)</f>
        <v/>
      </c>
      <c r="U183" s="59">
        <f>IF(tblPlant[[#This Row],[Milled_t]]="","",tblPlant[[#This Row],[Feed_oz]]-tblPlant[[#This Row],[Tails_oz]])</f>
        <v/>
      </c>
      <c r="V183" s="60">
        <f>IF(AND(tblPlant[[#This Row],[Milled_t]]&lt;&gt;"",tblPlant[[#This Row],[Feed_oz]]&gt;0),tblPlant[[#This Row],[Recovered_oz]]/tblPlant[[#This Row],[Feed_oz]],"")</f>
        <v/>
      </c>
      <c r="W183" s="59">
        <f>IF(AND(tblPlant[[#This Row],[Milled_t]]&lt;&gt;"",tblPlant[[#This Row],[Mill_Run_h]]&gt;0),tblPlant[[#This Row],[Milled_t]]/tblPlant[[#This Row],[Mill_Run_h]],"")</f>
        <v/>
      </c>
      <c r="X183" s="60">
        <f>IF(tblPlant[[#This Row],[Mill_Run_h]]="","",(24-tblPlant[[#This Row],[Mill_Planned_Maint_h]]-tblPlant[[#This Row],[Mill_Unplanned_Down_h]])/24)</f>
        <v/>
      </c>
      <c r="Y1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4">
      <c r="A184" s="54" t="n">
        <v>46201</v>
      </c>
      <c r="B184" s="55" t="n"/>
      <c r="C184" s="55" t="n"/>
      <c r="D184" s="56" t="n"/>
      <c r="E184" s="56" t="n"/>
      <c r="F184" s="55" t="n"/>
      <c r="G184" s="55" t="n"/>
      <c r="H184" s="57" t="n"/>
      <c r="I184" s="57" t="n"/>
      <c r="J184" s="57" t="n"/>
      <c r="K184" s="57" t="n"/>
      <c r="L184" s="55" t="n"/>
      <c r="M184" s="55" t="n"/>
      <c r="N184" s="55" t="n"/>
      <c r="O184" s="55" t="n"/>
      <c r="P184" s="55" t="n"/>
      <c r="Q184" s="55" t="n"/>
      <c r="R184" s="58" t="n"/>
      <c r="S184" s="59">
        <f>IF(tblPlant[[#This Row],[Milled_t]]="","",tblPlant[[#This Row],[Milled_t]]*tblPlant[[#This Row],[Head_Grade_gpt]]/cfg_TroyOz)</f>
        <v/>
      </c>
      <c r="T184" s="59">
        <f>IF(tblPlant[[#This Row],[Milled_t]]="","",tblPlant[[#This Row],[Milled_t]]*tblPlant[[#This Row],[Tails_Grade_gpt]]/cfg_TroyOz)</f>
        <v/>
      </c>
      <c r="U184" s="59">
        <f>IF(tblPlant[[#This Row],[Milled_t]]="","",tblPlant[[#This Row],[Feed_oz]]-tblPlant[[#This Row],[Tails_oz]])</f>
        <v/>
      </c>
      <c r="V184" s="60">
        <f>IF(AND(tblPlant[[#This Row],[Milled_t]]&lt;&gt;"",tblPlant[[#This Row],[Feed_oz]]&gt;0),tblPlant[[#This Row],[Recovered_oz]]/tblPlant[[#This Row],[Feed_oz]],"")</f>
        <v/>
      </c>
      <c r="W184" s="59">
        <f>IF(AND(tblPlant[[#This Row],[Milled_t]]&lt;&gt;"",tblPlant[[#This Row],[Mill_Run_h]]&gt;0),tblPlant[[#This Row],[Milled_t]]/tblPlant[[#This Row],[Mill_Run_h]],"")</f>
        <v/>
      </c>
      <c r="X184" s="60">
        <f>IF(tblPlant[[#This Row],[Mill_Run_h]]="","",(24-tblPlant[[#This Row],[Mill_Planned_Maint_h]]-tblPlant[[#This Row],[Mill_Unplanned_Down_h]])/24)</f>
        <v/>
      </c>
      <c r="Y1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5">
      <c r="A185" s="54" t="n">
        <v>46202</v>
      </c>
      <c r="B185" s="55" t="n"/>
      <c r="C185" s="55" t="n"/>
      <c r="D185" s="56" t="n"/>
      <c r="E185" s="56" t="n"/>
      <c r="F185" s="55" t="n"/>
      <c r="G185" s="55" t="n"/>
      <c r="H185" s="57" t="n"/>
      <c r="I185" s="57" t="n"/>
      <c r="J185" s="57" t="n"/>
      <c r="K185" s="57" t="n"/>
      <c r="L185" s="55" t="n"/>
      <c r="M185" s="55" t="n"/>
      <c r="N185" s="55" t="n"/>
      <c r="O185" s="55" t="n"/>
      <c r="P185" s="55" t="n"/>
      <c r="Q185" s="55" t="n"/>
      <c r="R185" s="58" t="n"/>
      <c r="S185" s="59">
        <f>IF(tblPlant[[#This Row],[Milled_t]]="","",tblPlant[[#This Row],[Milled_t]]*tblPlant[[#This Row],[Head_Grade_gpt]]/cfg_TroyOz)</f>
        <v/>
      </c>
      <c r="T185" s="59">
        <f>IF(tblPlant[[#This Row],[Milled_t]]="","",tblPlant[[#This Row],[Milled_t]]*tblPlant[[#This Row],[Tails_Grade_gpt]]/cfg_TroyOz)</f>
        <v/>
      </c>
      <c r="U185" s="59">
        <f>IF(tblPlant[[#This Row],[Milled_t]]="","",tblPlant[[#This Row],[Feed_oz]]-tblPlant[[#This Row],[Tails_oz]])</f>
        <v/>
      </c>
      <c r="V185" s="60">
        <f>IF(AND(tblPlant[[#This Row],[Milled_t]]&lt;&gt;"",tblPlant[[#This Row],[Feed_oz]]&gt;0),tblPlant[[#This Row],[Recovered_oz]]/tblPlant[[#This Row],[Feed_oz]],"")</f>
        <v/>
      </c>
      <c r="W185" s="59">
        <f>IF(AND(tblPlant[[#This Row],[Milled_t]]&lt;&gt;"",tblPlant[[#This Row],[Mill_Run_h]]&gt;0),tblPlant[[#This Row],[Milled_t]]/tblPlant[[#This Row],[Mill_Run_h]],"")</f>
        <v/>
      </c>
      <c r="X185" s="60">
        <f>IF(tblPlant[[#This Row],[Mill_Run_h]]="","",(24-tblPlant[[#This Row],[Mill_Planned_Maint_h]]-tblPlant[[#This Row],[Mill_Unplanned_Down_h]])/24)</f>
        <v/>
      </c>
      <c r="Y1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6">
      <c r="A186" s="54" t="n">
        <v>46203</v>
      </c>
      <c r="B186" s="55" t="n"/>
      <c r="C186" s="55" t="n"/>
      <c r="D186" s="56" t="n"/>
      <c r="E186" s="56" t="n"/>
      <c r="F186" s="55" t="n"/>
      <c r="G186" s="55" t="n"/>
      <c r="H186" s="57" t="n"/>
      <c r="I186" s="57" t="n"/>
      <c r="J186" s="57" t="n"/>
      <c r="K186" s="57" t="n"/>
      <c r="L186" s="55" t="n"/>
      <c r="M186" s="55" t="n"/>
      <c r="N186" s="55" t="n"/>
      <c r="O186" s="55" t="n"/>
      <c r="P186" s="55" t="n"/>
      <c r="Q186" s="55" t="n"/>
      <c r="R186" s="58" t="n"/>
      <c r="S186" s="59">
        <f>IF(tblPlant[[#This Row],[Milled_t]]="","",tblPlant[[#This Row],[Milled_t]]*tblPlant[[#This Row],[Head_Grade_gpt]]/cfg_TroyOz)</f>
        <v/>
      </c>
      <c r="T186" s="59">
        <f>IF(tblPlant[[#This Row],[Milled_t]]="","",tblPlant[[#This Row],[Milled_t]]*tblPlant[[#This Row],[Tails_Grade_gpt]]/cfg_TroyOz)</f>
        <v/>
      </c>
      <c r="U186" s="59">
        <f>IF(tblPlant[[#This Row],[Milled_t]]="","",tblPlant[[#This Row],[Feed_oz]]-tblPlant[[#This Row],[Tails_oz]])</f>
        <v/>
      </c>
      <c r="V186" s="60">
        <f>IF(AND(tblPlant[[#This Row],[Milled_t]]&lt;&gt;"",tblPlant[[#This Row],[Feed_oz]]&gt;0),tblPlant[[#This Row],[Recovered_oz]]/tblPlant[[#This Row],[Feed_oz]],"")</f>
        <v/>
      </c>
      <c r="W186" s="59">
        <f>IF(AND(tblPlant[[#This Row],[Milled_t]]&lt;&gt;"",tblPlant[[#This Row],[Mill_Run_h]]&gt;0),tblPlant[[#This Row],[Milled_t]]/tblPlant[[#This Row],[Mill_Run_h]],"")</f>
        <v/>
      </c>
      <c r="X186" s="60">
        <f>IF(tblPlant[[#This Row],[Mill_Run_h]]="","",(24-tblPlant[[#This Row],[Mill_Planned_Maint_h]]-tblPlant[[#This Row],[Mill_Unplanned_Down_h]])/24)</f>
        <v/>
      </c>
      <c r="Y1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7">
      <c r="A187" s="54" t="n">
        <v>46204</v>
      </c>
      <c r="B187" s="55" t="n"/>
      <c r="C187" s="55" t="n"/>
      <c r="D187" s="56" t="n"/>
      <c r="E187" s="56" t="n"/>
      <c r="F187" s="55" t="n"/>
      <c r="G187" s="55" t="n"/>
      <c r="H187" s="57" t="n"/>
      <c r="I187" s="57" t="n"/>
      <c r="J187" s="57" t="n"/>
      <c r="K187" s="57" t="n"/>
      <c r="L187" s="55" t="n"/>
      <c r="M187" s="55" t="n"/>
      <c r="N187" s="55" t="n"/>
      <c r="O187" s="55" t="n"/>
      <c r="P187" s="55" t="n"/>
      <c r="Q187" s="55" t="n"/>
      <c r="R187" s="58" t="n"/>
      <c r="S187" s="59">
        <f>IF(tblPlant[[#This Row],[Milled_t]]="","",tblPlant[[#This Row],[Milled_t]]*tblPlant[[#This Row],[Head_Grade_gpt]]/cfg_TroyOz)</f>
        <v/>
      </c>
      <c r="T187" s="59">
        <f>IF(tblPlant[[#This Row],[Milled_t]]="","",tblPlant[[#This Row],[Milled_t]]*tblPlant[[#This Row],[Tails_Grade_gpt]]/cfg_TroyOz)</f>
        <v/>
      </c>
      <c r="U187" s="59">
        <f>IF(tblPlant[[#This Row],[Milled_t]]="","",tblPlant[[#This Row],[Feed_oz]]-tblPlant[[#This Row],[Tails_oz]])</f>
        <v/>
      </c>
      <c r="V187" s="60">
        <f>IF(AND(tblPlant[[#This Row],[Milled_t]]&lt;&gt;"",tblPlant[[#This Row],[Feed_oz]]&gt;0),tblPlant[[#This Row],[Recovered_oz]]/tblPlant[[#This Row],[Feed_oz]],"")</f>
        <v/>
      </c>
      <c r="W187" s="59">
        <f>IF(AND(tblPlant[[#This Row],[Milled_t]]&lt;&gt;"",tblPlant[[#This Row],[Mill_Run_h]]&gt;0),tblPlant[[#This Row],[Milled_t]]/tblPlant[[#This Row],[Mill_Run_h]],"")</f>
        <v/>
      </c>
      <c r="X187" s="60">
        <f>IF(tblPlant[[#This Row],[Mill_Run_h]]="","",(24-tblPlant[[#This Row],[Mill_Planned_Maint_h]]-tblPlant[[#This Row],[Mill_Unplanned_Down_h]])/24)</f>
        <v/>
      </c>
      <c r="Y1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8">
      <c r="A188" s="54" t="n">
        <v>46205</v>
      </c>
      <c r="B188" s="55" t="n"/>
      <c r="C188" s="55" t="n"/>
      <c r="D188" s="56" t="n"/>
      <c r="E188" s="56" t="n"/>
      <c r="F188" s="55" t="n"/>
      <c r="G188" s="55" t="n"/>
      <c r="H188" s="57" t="n"/>
      <c r="I188" s="57" t="n"/>
      <c r="J188" s="57" t="n"/>
      <c r="K188" s="57" t="n"/>
      <c r="L188" s="55" t="n"/>
      <c r="M188" s="55" t="n"/>
      <c r="N188" s="55" t="n"/>
      <c r="O188" s="55" t="n"/>
      <c r="P188" s="55" t="n"/>
      <c r="Q188" s="55" t="n"/>
      <c r="R188" s="58" t="n"/>
      <c r="S188" s="59">
        <f>IF(tblPlant[[#This Row],[Milled_t]]="","",tblPlant[[#This Row],[Milled_t]]*tblPlant[[#This Row],[Head_Grade_gpt]]/cfg_TroyOz)</f>
        <v/>
      </c>
      <c r="T188" s="59">
        <f>IF(tblPlant[[#This Row],[Milled_t]]="","",tblPlant[[#This Row],[Milled_t]]*tblPlant[[#This Row],[Tails_Grade_gpt]]/cfg_TroyOz)</f>
        <v/>
      </c>
      <c r="U188" s="59">
        <f>IF(tblPlant[[#This Row],[Milled_t]]="","",tblPlant[[#This Row],[Feed_oz]]-tblPlant[[#This Row],[Tails_oz]])</f>
        <v/>
      </c>
      <c r="V188" s="60">
        <f>IF(AND(tblPlant[[#This Row],[Milled_t]]&lt;&gt;"",tblPlant[[#This Row],[Feed_oz]]&gt;0),tblPlant[[#This Row],[Recovered_oz]]/tblPlant[[#This Row],[Feed_oz]],"")</f>
        <v/>
      </c>
      <c r="W188" s="59">
        <f>IF(AND(tblPlant[[#This Row],[Milled_t]]&lt;&gt;"",tblPlant[[#This Row],[Mill_Run_h]]&gt;0),tblPlant[[#This Row],[Milled_t]]/tblPlant[[#This Row],[Mill_Run_h]],"")</f>
        <v/>
      </c>
      <c r="X188" s="60">
        <f>IF(tblPlant[[#This Row],[Mill_Run_h]]="","",(24-tblPlant[[#This Row],[Mill_Planned_Maint_h]]-tblPlant[[#This Row],[Mill_Unplanned_Down_h]])/24)</f>
        <v/>
      </c>
      <c r="Y1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9">
      <c r="A189" s="54" t="n">
        <v>46206</v>
      </c>
      <c r="B189" s="55" t="n"/>
      <c r="C189" s="55" t="n"/>
      <c r="D189" s="56" t="n"/>
      <c r="E189" s="56" t="n"/>
      <c r="F189" s="55" t="n"/>
      <c r="G189" s="55" t="n"/>
      <c r="H189" s="57" t="n"/>
      <c r="I189" s="57" t="n"/>
      <c r="J189" s="57" t="n"/>
      <c r="K189" s="57" t="n"/>
      <c r="L189" s="55" t="n"/>
      <c r="M189" s="55" t="n"/>
      <c r="N189" s="55" t="n"/>
      <c r="O189" s="55" t="n"/>
      <c r="P189" s="55" t="n"/>
      <c r="Q189" s="55" t="n"/>
      <c r="R189" s="58" t="n"/>
      <c r="S189" s="59">
        <f>IF(tblPlant[[#This Row],[Milled_t]]="","",tblPlant[[#This Row],[Milled_t]]*tblPlant[[#This Row],[Head_Grade_gpt]]/cfg_TroyOz)</f>
        <v/>
      </c>
      <c r="T189" s="59">
        <f>IF(tblPlant[[#This Row],[Milled_t]]="","",tblPlant[[#This Row],[Milled_t]]*tblPlant[[#This Row],[Tails_Grade_gpt]]/cfg_TroyOz)</f>
        <v/>
      </c>
      <c r="U189" s="59">
        <f>IF(tblPlant[[#This Row],[Milled_t]]="","",tblPlant[[#This Row],[Feed_oz]]-tblPlant[[#This Row],[Tails_oz]])</f>
        <v/>
      </c>
      <c r="V189" s="60">
        <f>IF(AND(tblPlant[[#This Row],[Milled_t]]&lt;&gt;"",tblPlant[[#This Row],[Feed_oz]]&gt;0),tblPlant[[#This Row],[Recovered_oz]]/tblPlant[[#This Row],[Feed_oz]],"")</f>
        <v/>
      </c>
      <c r="W189" s="59">
        <f>IF(AND(tblPlant[[#This Row],[Milled_t]]&lt;&gt;"",tblPlant[[#This Row],[Mill_Run_h]]&gt;0),tblPlant[[#This Row],[Milled_t]]/tblPlant[[#This Row],[Mill_Run_h]],"")</f>
        <v/>
      </c>
      <c r="X189" s="60">
        <f>IF(tblPlant[[#This Row],[Mill_Run_h]]="","",(24-tblPlant[[#This Row],[Mill_Planned_Maint_h]]-tblPlant[[#This Row],[Mill_Unplanned_Down_h]])/24)</f>
        <v/>
      </c>
      <c r="Y1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0">
      <c r="A190" s="54" t="n">
        <v>46207</v>
      </c>
      <c r="B190" s="55" t="n"/>
      <c r="C190" s="55" t="n"/>
      <c r="D190" s="56" t="n"/>
      <c r="E190" s="56" t="n"/>
      <c r="F190" s="55" t="n"/>
      <c r="G190" s="55" t="n"/>
      <c r="H190" s="57" t="n"/>
      <c r="I190" s="57" t="n"/>
      <c r="J190" s="57" t="n"/>
      <c r="K190" s="57" t="n"/>
      <c r="L190" s="55" t="n"/>
      <c r="M190" s="55" t="n"/>
      <c r="N190" s="55" t="n"/>
      <c r="O190" s="55" t="n"/>
      <c r="P190" s="55" t="n"/>
      <c r="Q190" s="55" t="n"/>
      <c r="R190" s="58" t="n"/>
      <c r="S190" s="59">
        <f>IF(tblPlant[[#This Row],[Milled_t]]="","",tblPlant[[#This Row],[Milled_t]]*tblPlant[[#This Row],[Head_Grade_gpt]]/cfg_TroyOz)</f>
        <v/>
      </c>
      <c r="T190" s="59">
        <f>IF(tblPlant[[#This Row],[Milled_t]]="","",tblPlant[[#This Row],[Milled_t]]*tblPlant[[#This Row],[Tails_Grade_gpt]]/cfg_TroyOz)</f>
        <v/>
      </c>
      <c r="U190" s="59">
        <f>IF(tblPlant[[#This Row],[Milled_t]]="","",tblPlant[[#This Row],[Feed_oz]]-tblPlant[[#This Row],[Tails_oz]])</f>
        <v/>
      </c>
      <c r="V190" s="60">
        <f>IF(AND(tblPlant[[#This Row],[Milled_t]]&lt;&gt;"",tblPlant[[#This Row],[Feed_oz]]&gt;0),tblPlant[[#This Row],[Recovered_oz]]/tblPlant[[#This Row],[Feed_oz]],"")</f>
        <v/>
      </c>
      <c r="W190" s="59">
        <f>IF(AND(tblPlant[[#This Row],[Milled_t]]&lt;&gt;"",tblPlant[[#This Row],[Mill_Run_h]]&gt;0),tblPlant[[#This Row],[Milled_t]]/tblPlant[[#This Row],[Mill_Run_h]],"")</f>
        <v/>
      </c>
      <c r="X190" s="60">
        <f>IF(tblPlant[[#This Row],[Mill_Run_h]]="","",(24-tblPlant[[#This Row],[Mill_Planned_Maint_h]]-tblPlant[[#This Row],[Mill_Unplanned_Down_h]])/24)</f>
        <v/>
      </c>
      <c r="Y1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1">
      <c r="A191" s="54" t="n">
        <v>46208</v>
      </c>
      <c r="B191" s="55" t="n"/>
      <c r="C191" s="55" t="n"/>
      <c r="D191" s="56" t="n"/>
      <c r="E191" s="56" t="n"/>
      <c r="F191" s="55" t="n"/>
      <c r="G191" s="55" t="n"/>
      <c r="H191" s="57" t="n"/>
      <c r="I191" s="57" t="n"/>
      <c r="J191" s="57" t="n"/>
      <c r="K191" s="57" t="n"/>
      <c r="L191" s="55" t="n"/>
      <c r="M191" s="55" t="n"/>
      <c r="N191" s="55" t="n"/>
      <c r="O191" s="55" t="n"/>
      <c r="P191" s="55" t="n"/>
      <c r="Q191" s="55" t="n"/>
      <c r="R191" s="58" t="n"/>
      <c r="S191" s="59">
        <f>IF(tblPlant[[#This Row],[Milled_t]]="","",tblPlant[[#This Row],[Milled_t]]*tblPlant[[#This Row],[Head_Grade_gpt]]/cfg_TroyOz)</f>
        <v/>
      </c>
      <c r="T191" s="59">
        <f>IF(tblPlant[[#This Row],[Milled_t]]="","",tblPlant[[#This Row],[Milled_t]]*tblPlant[[#This Row],[Tails_Grade_gpt]]/cfg_TroyOz)</f>
        <v/>
      </c>
      <c r="U191" s="59">
        <f>IF(tblPlant[[#This Row],[Milled_t]]="","",tblPlant[[#This Row],[Feed_oz]]-tblPlant[[#This Row],[Tails_oz]])</f>
        <v/>
      </c>
      <c r="V191" s="60">
        <f>IF(AND(tblPlant[[#This Row],[Milled_t]]&lt;&gt;"",tblPlant[[#This Row],[Feed_oz]]&gt;0),tblPlant[[#This Row],[Recovered_oz]]/tblPlant[[#This Row],[Feed_oz]],"")</f>
        <v/>
      </c>
      <c r="W191" s="59">
        <f>IF(AND(tblPlant[[#This Row],[Milled_t]]&lt;&gt;"",tblPlant[[#This Row],[Mill_Run_h]]&gt;0),tblPlant[[#This Row],[Milled_t]]/tblPlant[[#This Row],[Mill_Run_h]],"")</f>
        <v/>
      </c>
      <c r="X191" s="60">
        <f>IF(tblPlant[[#This Row],[Mill_Run_h]]="","",(24-tblPlant[[#This Row],[Mill_Planned_Maint_h]]-tblPlant[[#This Row],[Mill_Unplanned_Down_h]])/24)</f>
        <v/>
      </c>
      <c r="Y1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2">
      <c r="A192" s="54" t="n">
        <v>46209</v>
      </c>
      <c r="B192" s="55" t="n"/>
      <c r="C192" s="55" t="n"/>
      <c r="D192" s="56" t="n"/>
      <c r="E192" s="56" t="n"/>
      <c r="F192" s="55" t="n"/>
      <c r="G192" s="55" t="n"/>
      <c r="H192" s="57" t="n"/>
      <c r="I192" s="57" t="n"/>
      <c r="J192" s="57" t="n"/>
      <c r="K192" s="57" t="n"/>
      <c r="L192" s="55" t="n"/>
      <c r="M192" s="55" t="n"/>
      <c r="N192" s="55" t="n"/>
      <c r="O192" s="55" t="n"/>
      <c r="P192" s="55" t="n"/>
      <c r="Q192" s="55" t="n"/>
      <c r="R192" s="58" t="n"/>
      <c r="S192" s="59">
        <f>IF(tblPlant[[#This Row],[Milled_t]]="","",tblPlant[[#This Row],[Milled_t]]*tblPlant[[#This Row],[Head_Grade_gpt]]/cfg_TroyOz)</f>
        <v/>
      </c>
      <c r="T192" s="59">
        <f>IF(tblPlant[[#This Row],[Milled_t]]="","",tblPlant[[#This Row],[Milled_t]]*tblPlant[[#This Row],[Tails_Grade_gpt]]/cfg_TroyOz)</f>
        <v/>
      </c>
      <c r="U192" s="59">
        <f>IF(tblPlant[[#This Row],[Milled_t]]="","",tblPlant[[#This Row],[Feed_oz]]-tblPlant[[#This Row],[Tails_oz]])</f>
        <v/>
      </c>
      <c r="V192" s="60">
        <f>IF(AND(tblPlant[[#This Row],[Milled_t]]&lt;&gt;"",tblPlant[[#This Row],[Feed_oz]]&gt;0),tblPlant[[#This Row],[Recovered_oz]]/tblPlant[[#This Row],[Feed_oz]],"")</f>
        <v/>
      </c>
      <c r="W192" s="59">
        <f>IF(AND(tblPlant[[#This Row],[Milled_t]]&lt;&gt;"",tblPlant[[#This Row],[Mill_Run_h]]&gt;0),tblPlant[[#This Row],[Milled_t]]/tblPlant[[#This Row],[Mill_Run_h]],"")</f>
        <v/>
      </c>
      <c r="X192" s="60">
        <f>IF(tblPlant[[#This Row],[Mill_Run_h]]="","",(24-tblPlant[[#This Row],[Mill_Planned_Maint_h]]-tblPlant[[#This Row],[Mill_Unplanned_Down_h]])/24)</f>
        <v/>
      </c>
      <c r="Y1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3">
      <c r="A193" s="54" t="n">
        <v>46210</v>
      </c>
      <c r="B193" s="55" t="n"/>
      <c r="C193" s="55" t="n"/>
      <c r="D193" s="56" t="n"/>
      <c r="E193" s="56" t="n"/>
      <c r="F193" s="55" t="n"/>
      <c r="G193" s="55" t="n"/>
      <c r="H193" s="57" t="n"/>
      <c r="I193" s="57" t="n"/>
      <c r="J193" s="57" t="n"/>
      <c r="K193" s="57" t="n"/>
      <c r="L193" s="55" t="n"/>
      <c r="M193" s="55" t="n"/>
      <c r="N193" s="55" t="n"/>
      <c r="O193" s="55" t="n"/>
      <c r="P193" s="55" t="n"/>
      <c r="Q193" s="55" t="n"/>
      <c r="R193" s="58" t="n"/>
      <c r="S193" s="59">
        <f>IF(tblPlant[[#This Row],[Milled_t]]="","",tblPlant[[#This Row],[Milled_t]]*tblPlant[[#This Row],[Head_Grade_gpt]]/cfg_TroyOz)</f>
        <v/>
      </c>
      <c r="T193" s="59">
        <f>IF(tblPlant[[#This Row],[Milled_t]]="","",tblPlant[[#This Row],[Milled_t]]*tblPlant[[#This Row],[Tails_Grade_gpt]]/cfg_TroyOz)</f>
        <v/>
      </c>
      <c r="U193" s="59">
        <f>IF(tblPlant[[#This Row],[Milled_t]]="","",tblPlant[[#This Row],[Feed_oz]]-tblPlant[[#This Row],[Tails_oz]])</f>
        <v/>
      </c>
      <c r="V193" s="60">
        <f>IF(AND(tblPlant[[#This Row],[Milled_t]]&lt;&gt;"",tblPlant[[#This Row],[Feed_oz]]&gt;0),tblPlant[[#This Row],[Recovered_oz]]/tblPlant[[#This Row],[Feed_oz]],"")</f>
        <v/>
      </c>
      <c r="W193" s="59">
        <f>IF(AND(tblPlant[[#This Row],[Milled_t]]&lt;&gt;"",tblPlant[[#This Row],[Mill_Run_h]]&gt;0),tblPlant[[#This Row],[Milled_t]]/tblPlant[[#This Row],[Mill_Run_h]],"")</f>
        <v/>
      </c>
      <c r="X193" s="60">
        <f>IF(tblPlant[[#This Row],[Mill_Run_h]]="","",(24-tblPlant[[#This Row],[Mill_Planned_Maint_h]]-tblPlant[[#This Row],[Mill_Unplanned_Down_h]])/24)</f>
        <v/>
      </c>
      <c r="Y1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4">
      <c r="A194" s="54" t="n">
        <v>46211</v>
      </c>
      <c r="B194" s="55" t="n"/>
      <c r="C194" s="55" t="n"/>
      <c r="D194" s="56" t="n"/>
      <c r="E194" s="56" t="n"/>
      <c r="F194" s="55" t="n"/>
      <c r="G194" s="55" t="n"/>
      <c r="H194" s="57" t="n"/>
      <c r="I194" s="57" t="n"/>
      <c r="J194" s="57" t="n"/>
      <c r="K194" s="57" t="n"/>
      <c r="L194" s="55" t="n"/>
      <c r="M194" s="55" t="n"/>
      <c r="N194" s="55" t="n"/>
      <c r="O194" s="55" t="n"/>
      <c r="P194" s="55" t="n"/>
      <c r="Q194" s="55" t="n"/>
      <c r="R194" s="58" t="n"/>
      <c r="S194" s="59">
        <f>IF(tblPlant[[#This Row],[Milled_t]]="","",tblPlant[[#This Row],[Milled_t]]*tblPlant[[#This Row],[Head_Grade_gpt]]/cfg_TroyOz)</f>
        <v/>
      </c>
      <c r="T194" s="59">
        <f>IF(tblPlant[[#This Row],[Milled_t]]="","",tblPlant[[#This Row],[Milled_t]]*tblPlant[[#This Row],[Tails_Grade_gpt]]/cfg_TroyOz)</f>
        <v/>
      </c>
      <c r="U194" s="59">
        <f>IF(tblPlant[[#This Row],[Milled_t]]="","",tblPlant[[#This Row],[Feed_oz]]-tblPlant[[#This Row],[Tails_oz]])</f>
        <v/>
      </c>
      <c r="V194" s="60">
        <f>IF(AND(tblPlant[[#This Row],[Milled_t]]&lt;&gt;"",tblPlant[[#This Row],[Feed_oz]]&gt;0),tblPlant[[#This Row],[Recovered_oz]]/tblPlant[[#This Row],[Feed_oz]],"")</f>
        <v/>
      </c>
      <c r="W194" s="59">
        <f>IF(AND(tblPlant[[#This Row],[Milled_t]]&lt;&gt;"",tblPlant[[#This Row],[Mill_Run_h]]&gt;0),tblPlant[[#This Row],[Milled_t]]/tblPlant[[#This Row],[Mill_Run_h]],"")</f>
        <v/>
      </c>
      <c r="X194" s="60">
        <f>IF(tblPlant[[#This Row],[Mill_Run_h]]="","",(24-tblPlant[[#This Row],[Mill_Planned_Maint_h]]-tblPlant[[#This Row],[Mill_Unplanned_Down_h]])/24)</f>
        <v/>
      </c>
      <c r="Y1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5">
      <c r="A195" s="54" t="n">
        <v>46212</v>
      </c>
      <c r="B195" s="55" t="n"/>
      <c r="C195" s="55" t="n"/>
      <c r="D195" s="56" t="n"/>
      <c r="E195" s="56" t="n"/>
      <c r="F195" s="55" t="n"/>
      <c r="G195" s="55" t="n"/>
      <c r="H195" s="57" t="n"/>
      <c r="I195" s="57" t="n"/>
      <c r="J195" s="57" t="n"/>
      <c r="K195" s="57" t="n"/>
      <c r="L195" s="55" t="n"/>
      <c r="M195" s="55" t="n"/>
      <c r="N195" s="55" t="n"/>
      <c r="O195" s="55" t="n"/>
      <c r="P195" s="55" t="n"/>
      <c r="Q195" s="55" t="n"/>
      <c r="R195" s="58" t="n"/>
      <c r="S195" s="59">
        <f>IF(tblPlant[[#This Row],[Milled_t]]="","",tblPlant[[#This Row],[Milled_t]]*tblPlant[[#This Row],[Head_Grade_gpt]]/cfg_TroyOz)</f>
        <v/>
      </c>
      <c r="T195" s="59">
        <f>IF(tblPlant[[#This Row],[Milled_t]]="","",tblPlant[[#This Row],[Milled_t]]*tblPlant[[#This Row],[Tails_Grade_gpt]]/cfg_TroyOz)</f>
        <v/>
      </c>
      <c r="U195" s="59">
        <f>IF(tblPlant[[#This Row],[Milled_t]]="","",tblPlant[[#This Row],[Feed_oz]]-tblPlant[[#This Row],[Tails_oz]])</f>
        <v/>
      </c>
      <c r="V195" s="60">
        <f>IF(AND(tblPlant[[#This Row],[Milled_t]]&lt;&gt;"",tblPlant[[#This Row],[Feed_oz]]&gt;0),tblPlant[[#This Row],[Recovered_oz]]/tblPlant[[#This Row],[Feed_oz]],"")</f>
        <v/>
      </c>
      <c r="W195" s="59">
        <f>IF(AND(tblPlant[[#This Row],[Milled_t]]&lt;&gt;"",tblPlant[[#This Row],[Mill_Run_h]]&gt;0),tblPlant[[#This Row],[Milled_t]]/tblPlant[[#This Row],[Mill_Run_h]],"")</f>
        <v/>
      </c>
      <c r="X195" s="60">
        <f>IF(tblPlant[[#This Row],[Mill_Run_h]]="","",(24-tblPlant[[#This Row],[Mill_Planned_Maint_h]]-tblPlant[[#This Row],[Mill_Unplanned_Down_h]])/24)</f>
        <v/>
      </c>
      <c r="Y1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6">
      <c r="A196" s="54" t="n">
        <v>46213</v>
      </c>
      <c r="B196" s="55" t="n"/>
      <c r="C196" s="55" t="n"/>
      <c r="D196" s="56" t="n"/>
      <c r="E196" s="56" t="n"/>
      <c r="F196" s="55" t="n"/>
      <c r="G196" s="55" t="n"/>
      <c r="H196" s="57" t="n"/>
      <c r="I196" s="57" t="n"/>
      <c r="J196" s="57" t="n"/>
      <c r="K196" s="57" t="n"/>
      <c r="L196" s="55" t="n"/>
      <c r="M196" s="55" t="n"/>
      <c r="N196" s="55" t="n"/>
      <c r="O196" s="55" t="n"/>
      <c r="P196" s="55" t="n"/>
      <c r="Q196" s="55" t="n"/>
      <c r="R196" s="58" t="n"/>
      <c r="S196" s="59">
        <f>IF(tblPlant[[#This Row],[Milled_t]]="","",tblPlant[[#This Row],[Milled_t]]*tblPlant[[#This Row],[Head_Grade_gpt]]/cfg_TroyOz)</f>
        <v/>
      </c>
      <c r="T196" s="59">
        <f>IF(tblPlant[[#This Row],[Milled_t]]="","",tblPlant[[#This Row],[Milled_t]]*tblPlant[[#This Row],[Tails_Grade_gpt]]/cfg_TroyOz)</f>
        <v/>
      </c>
      <c r="U196" s="59">
        <f>IF(tblPlant[[#This Row],[Milled_t]]="","",tblPlant[[#This Row],[Feed_oz]]-tblPlant[[#This Row],[Tails_oz]])</f>
        <v/>
      </c>
      <c r="V196" s="60">
        <f>IF(AND(tblPlant[[#This Row],[Milled_t]]&lt;&gt;"",tblPlant[[#This Row],[Feed_oz]]&gt;0),tblPlant[[#This Row],[Recovered_oz]]/tblPlant[[#This Row],[Feed_oz]],"")</f>
        <v/>
      </c>
      <c r="W196" s="59">
        <f>IF(AND(tblPlant[[#This Row],[Milled_t]]&lt;&gt;"",tblPlant[[#This Row],[Mill_Run_h]]&gt;0),tblPlant[[#This Row],[Milled_t]]/tblPlant[[#This Row],[Mill_Run_h]],"")</f>
        <v/>
      </c>
      <c r="X196" s="60">
        <f>IF(tblPlant[[#This Row],[Mill_Run_h]]="","",(24-tblPlant[[#This Row],[Mill_Planned_Maint_h]]-tblPlant[[#This Row],[Mill_Unplanned_Down_h]])/24)</f>
        <v/>
      </c>
      <c r="Y1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7">
      <c r="A197" s="54" t="n">
        <v>46214</v>
      </c>
      <c r="B197" s="55" t="n"/>
      <c r="C197" s="55" t="n"/>
      <c r="D197" s="56" t="n"/>
      <c r="E197" s="56" t="n"/>
      <c r="F197" s="55" t="n"/>
      <c r="G197" s="55" t="n"/>
      <c r="H197" s="57" t="n"/>
      <c r="I197" s="57" t="n"/>
      <c r="J197" s="57" t="n"/>
      <c r="K197" s="57" t="n"/>
      <c r="L197" s="55" t="n"/>
      <c r="M197" s="55" t="n"/>
      <c r="N197" s="55" t="n"/>
      <c r="O197" s="55" t="n"/>
      <c r="P197" s="55" t="n"/>
      <c r="Q197" s="55" t="n"/>
      <c r="R197" s="58" t="n"/>
      <c r="S197" s="59">
        <f>IF(tblPlant[[#This Row],[Milled_t]]="","",tblPlant[[#This Row],[Milled_t]]*tblPlant[[#This Row],[Head_Grade_gpt]]/cfg_TroyOz)</f>
        <v/>
      </c>
      <c r="T197" s="59">
        <f>IF(tblPlant[[#This Row],[Milled_t]]="","",tblPlant[[#This Row],[Milled_t]]*tblPlant[[#This Row],[Tails_Grade_gpt]]/cfg_TroyOz)</f>
        <v/>
      </c>
      <c r="U197" s="59">
        <f>IF(tblPlant[[#This Row],[Milled_t]]="","",tblPlant[[#This Row],[Feed_oz]]-tblPlant[[#This Row],[Tails_oz]])</f>
        <v/>
      </c>
      <c r="V197" s="60">
        <f>IF(AND(tblPlant[[#This Row],[Milled_t]]&lt;&gt;"",tblPlant[[#This Row],[Feed_oz]]&gt;0),tblPlant[[#This Row],[Recovered_oz]]/tblPlant[[#This Row],[Feed_oz]],"")</f>
        <v/>
      </c>
      <c r="W197" s="59">
        <f>IF(AND(tblPlant[[#This Row],[Milled_t]]&lt;&gt;"",tblPlant[[#This Row],[Mill_Run_h]]&gt;0),tblPlant[[#This Row],[Milled_t]]/tblPlant[[#This Row],[Mill_Run_h]],"")</f>
        <v/>
      </c>
      <c r="X197" s="60">
        <f>IF(tblPlant[[#This Row],[Mill_Run_h]]="","",(24-tblPlant[[#This Row],[Mill_Planned_Maint_h]]-tblPlant[[#This Row],[Mill_Unplanned_Down_h]])/24)</f>
        <v/>
      </c>
      <c r="Y1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8">
      <c r="A198" s="54" t="n">
        <v>46215</v>
      </c>
      <c r="B198" s="55" t="n"/>
      <c r="C198" s="55" t="n"/>
      <c r="D198" s="56" t="n"/>
      <c r="E198" s="56" t="n"/>
      <c r="F198" s="55" t="n"/>
      <c r="G198" s="55" t="n"/>
      <c r="H198" s="57" t="n"/>
      <c r="I198" s="57" t="n"/>
      <c r="J198" s="57" t="n"/>
      <c r="K198" s="57" t="n"/>
      <c r="L198" s="55" t="n"/>
      <c r="M198" s="55" t="n"/>
      <c r="N198" s="55" t="n"/>
      <c r="O198" s="55" t="n"/>
      <c r="P198" s="55" t="n"/>
      <c r="Q198" s="55" t="n"/>
      <c r="R198" s="58" t="n"/>
      <c r="S198" s="59">
        <f>IF(tblPlant[[#This Row],[Milled_t]]="","",tblPlant[[#This Row],[Milled_t]]*tblPlant[[#This Row],[Head_Grade_gpt]]/cfg_TroyOz)</f>
        <v/>
      </c>
      <c r="T198" s="59">
        <f>IF(tblPlant[[#This Row],[Milled_t]]="","",tblPlant[[#This Row],[Milled_t]]*tblPlant[[#This Row],[Tails_Grade_gpt]]/cfg_TroyOz)</f>
        <v/>
      </c>
      <c r="U198" s="59">
        <f>IF(tblPlant[[#This Row],[Milled_t]]="","",tblPlant[[#This Row],[Feed_oz]]-tblPlant[[#This Row],[Tails_oz]])</f>
        <v/>
      </c>
      <c r="V198" s="60">
        <f>IF(AND(tblPlant[[#This Row],[Milled_t]]&lt;&gt;"",tblPlant[[#This Row],[Feed_oz]]&gt;0),tblPlant[[#This Row],[Recovered_oz]]/tblPlant[[#This Row],[Feed_oz]],"")</f>
        <v/>
      </c>
      <c r="W198" s="59">
        <f>IF(AND(tblPlant[[#This Row],[Milled_t]]&lt;&gt;"",tblPlant[[#This Row],[Mill_Run_h]]&gt;0),tblPlant[[#This Row],[Milled_t]]/tblPlant[[#This Row],[Mill_Run_h]],"")</f>
        <v/>
      </c>
      <c r="X198" s="60">
        <f>IF(tblPlant[[#This Row],[Mill_Run_h]]="","",(24-tblPlant[[#This Row],[Mill_Planned_Maint_h]]-tblPlant[[#This Row],[Mill_Unplanned_Down_h]])/24)</f>
        <v/>
      </c>
      <c r="Y1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9">
      <c r="A199" s="54" t="n">
        <v>46216</v>
      </c>
      <c r="B199" s="55" t="n"/>
      <c r="C199" s="55" t="n"/>
      <c r="D199" s="56" t="n"/>
      <c r="E199" s="56" t="n"/>
      <c r="F199" s="55" t="n"/>
      <c r="G199" s="55" t="n"/>
      <c r="H199" s="57" t="n"/>
      <c r="I199" s="57" t="n"/>
      <c r="J199" s="57" t="n"/>
      <c r="K199" s="57" t="n"/>
      <c r="L199" s="55" t="n"/>
      <c r="M199" s="55" t="n"/>
      <c r="N199" s="55" t="n"/>
      <c r="O199" s="55" t="n"/>
      <c r="P199" s="55" t="n"/>
      <c r="Q199" s="55" t="n"/>
      <c r="R199" s="58" t="n"/>
      <c r="S199" s="59">
        <f>IF(tblPlant[[#This Row],[Milled_t]]="","",tblPlant[[#This Row],[Milled_t]]*tblPlant[[#This Row],[Head_Grade_gpt]]/cfg_TroyOz)</f>
        <v/>
      </c>
      <c r="T199" s="59">
        <f>IF(tblPlant[[#This Row],[Milled_t]]="","",tblPlant[[#This Row],[Milled_t]]*tblPlant[[#This Row],[Tails_Grade_gpt]]/cfg_TroyOz)</f>
        <v/>
      </c>
      <c r="U199" s="59">
        <f>IF(tblPlant[[#This Row],[Milled_t]]="","",tblPlant[[#This Row],[Feed_oz]]-tblPlant[[#This Row],[Tails_oz]])</f>
        <v/>
      </c>
      <c r="V199" s="60">
        <f>IF(AND(tblPlant[[#This Row],[Milled_t]]&lt;&gt;"",tblPlant[[#This Row],[Feed_oz]]&gt;0),tblPlant[[#This Row],[Recovered_oz]]/tblPlant[[#This Row],[Feed_oz]],"")</f>
        <v/>
      </c>
      <c r="W199" s="59">
        <f>IF(AND(tblPlant[[#This Row],[Milled_t]]&lt;&gt;"",tblPlant[[#This Row],[Mill_Run_h]]&gt;0),tblPlant[[#This Row],[Milled_t]]/tblPlant[[#This Row],[Mill_Run_h]],"")</f>
        <v/>
      </c>
      <c r="X199" s="60">
        <f>IF(tblPlant[[#This Row],[Mill_Run_h]]="","",(24-tblPlant[[#This Row],[Mill_Planned_Maint_h]]-tblPlant[[#This Row],[Mill_Unplanned_Down_h]])/24)</f>
        <v/>
      </c>
      <c r="Y1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0">
      <c r="A200" s="54" t="n">
        <v>46217</v>
      </c>
      <c r="B200" s="55" t="n"/>
      <c r="C200" s="55" t="n"/>
      <c r="D200" s="56" t="n"/>
      <c r="E200" s="56" t="n"/>
      <c r="F200" s="55" t="n"/>
      <c r="G200" s="55" t="n"/>
      <c r="H200" s="57" t="n"/>
      <c r="I200" s="57" t="n"/>
      <c r="J200" s="57" t="n"/>
      <c r="K200" s="57" t="n"/>
      <c r="L200" s="55" t="n"/>
      <c r="M200" s="55" t="n"/>
      <c r="N200" s="55" t="n"/>
      <c r="O200" s="55" t="n"/>
      <c r="P200" s="55" t="n"/>
      <c r="Q200" s="55" t="n"/>
      <c r="R200" s="58" t="n"/>
      <c r="S200" s="59">
        <f>IF(tblPlant[[#This Row],[Milled_t]]="","",tblPlant[[#This Row],[Milled_t]]*tblPlant[[#This Row],[Head_Grade_gpt]]/cfg_TroyOz)</f>
        <v/>
      </c>
      <c r="T200" s="59">
        <f>IF(tblPlant[[#This Row],[Milled_t]]="","",tblPlant[[#This Row],[Milled_t]]*tblPlant[[#This Row],[Tails_Grade_gpt]]/cfg_TroyOz)</f>
        <v/>
      </c>
      <c r="U200" s="59">
        <f>IF(tblPlant[[#This Row],[Milled_t]]="","",tblPlant[[#This Row],[Feed_oz]]-tblPlant[[#This Row],[Tails_oz]])</f>
        <v/>
      </c>
      <c r="V200" s="60">
        <f>IF(AND(tblPlant[[#This Row],[Milled_t]]&lt;&gt;"",tblPlant[[#This Row],[Feed_oz]]&gt;0),tblPlant[[#This Row],[Recovered_oz]]/tblPlant[[#This Row],[Feed_oz]],"")</f>
        <v/>
      </c>
      <c r="W200" s="59">
        <f>IF(AND(tblPlant[[#This Row],[Milled_t]]&lt;&gt;"",tblPlant[[#This Row],[Mill_Run_h]]&gt;0),tblPlant[[#This Row],[Milled_t]]/tblPlant[[#This Row],[Mill_Run_h]],"")</f>
        <v/>
      </c>
      <c r="X200" s="60">
        <f>IF(tblPlant[[#This Row],[Mill_Run_h]]="","",(24-tblPlant[[#This Row],[Mill_Planned_Maint_h]]-tblPlant[[#This Row],[Mill_Unplanned_Down_h]])/24)</f>
        <v/>
      </c>
      <c r="Y2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1">
      <c r="A201" s="54" t="n">
        <v>46218</v>
      </c>
      <c r="B201" s="55" t="n"/>
      <c r="C201" s="55" t="n"/>
      <c r="D201" s="56" t="n"/>
      <c r="E201" s="56" t="n"/>
      <c r="F201" s="55" t="n"/>
      <c r="G201" s="55" t="n"/>
      <c r="H201" s="57" t="n"/>
      <c r="I201" s="57" t="n"/>
      <c r="J201" s="57" t="n"/>
      <c r="K201" s="57" t="n"/>
      <c r="L201" s="55" t="n"/>
      <c r="M201" s="55" t="n"/>
      <c r="N201" s="55" t="n"/>
      <c r="O201" s="55" t="n"/>
      <c r="P201" s="55" t="n"/>
      <c r="Q201" s="55" t="n"/>
      <c r="R201" s="58" t="n"/>
      <c r="S201" s="59">
        <f>IF(tblPlant[[#This Row],[Milled_t]]="","",tblPlant[[#This Row],[Milled_t]]*tblPlant[[#This Row],[Head_Grade_gpt]]/cfg_TroyOz)</f>
        <v/>
      </c>
      <c r="T201" s="59">
        <f>IF(tblPlant[[#This Row],[Milled_t]]="","",tblPlant[[#This Row],[Milled_t]]*tblPlant[[#This Row],[Tails_Grade_gpt]]/cfg_TroyOz)</f>
        <v/>
      </c>
      <c r="U201" s="59">
        <f>IF(tblPlant[[#This Row],[Milled_t]]="","",tblPlant[[#This Row],[Feed_oz]]-tblPlant[[#This Row],[Tails_oz]])</f>
        <v/>
      </c>
      <c r="V201" s="60">
        <f>IF(AND(tblPlant[[#This Row],[Milled_t]]&lt;&gt;"",tblPlant[[#This Row],[Feed_oz]]&gt;0),tblPlant[[#This Row],[Recovered_oz]]/tblPlant[[#This Row],[Feed_oz]],"")</f>
        <v/>
      </c>
      <c r="W201" s="59">
        <f>IF(AND(tblPlant[[#This Row],[Milled_t]]&lt;&gt;"",tblPlant[[#This Row],[Mill_Run_h]]&gt;0),tblPlant[[#This Row],[Milled_t]]/tblPlant[[#This Row],[Mill_Run_h]],"")</f>
        <v/>
      </c>
      <c r="X201" s="60">
        <f>IF(tblPlant[[#This Row],[Mill_Run_h]]="","",(24-tblPlant[[#This Row],[Mill_Planned_Maint_h]]-tblPlant[[#This Row],[Mill_Unplanned_Down_h]])/24)</f>
        <v/>
      </c>
      <c r="Y2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2">
      <c r="A202" s="54" t="n">
        <v>46219</v>
      </c>
      <c r="B202" s="55" t="n"/>
      <c r="C202" s="55" t="n"/>
      <c r="D202" s="56" t="n"/>
      <c r="E202" s="56" t="n"/>
      <c r="F202" s="55" t="n"/>
      <c r="G202" s="55" t="n"/>
      <c r="H202" s="57" t="n"/>
      <c r="I202" s="57" t="n"/>
      <c r="J202" s="57" t="n"/>
      <c r="K202" s="57" t="n"/>
      <c r="L202" s="55" t="n"/>
      <c r="M202" s="55" t="n"/>
      <c r="N202" s="55" t="n"/>
      <c r="O202" s="55" t="n"/>
      <c r="P202" s="55" t="n"/>
      <c r="Q202" s="55" t="n"/>
      <c r="R202" s="58" t="n"/>
      <c r="S202" s="59">
        <f>IF(tblPlant[[#This Row],[Milled_t]]="","",tblPlant[[#This Row],[Milled_t]]*tblPlant[[#This Row],[Head_Grade_gpt]]/cfg_TroyOz)</f>
        <v/>
      </c>
      <c r="T202" s="59">
        <f>IF(tblPlant[[#This Row],[Milled_t]]="","",tblPlant[[#This Row],[Milled_t]]*tblPlant[[#This Row],[Tails_Grade_gpt]]/cfg_TroyOz)</f>
        <v/>
      </c>
      <c r="U202" s="59">
        <f>IF(tblPlant[[#This Row],[Milled_t]]="","",tblPlant[[#This Row],[Feed_oz]]-tblPlant[[#This Row],[Tails_oz]])</f>
        <v/>
      </c>
      <c r="V202" s="60">
        <f>IF(AND(tblPlant[[#This Row],[Milled_t]]&lt;&gt;"",tblPlant[[#This Row],[Feed_oz]]&gt;0),tblPlant[[#This Row],[Recovered_oz]]/tblPlant[[#This Row],[Feed_oz]],"")</f>
        <v/>
      </c>
      <c r="W202" s="59">
        <f>IF(AND(tblPlant[[#This Row],[Milled_t]]&lt;&gt;"",tblPlant[[#This Row],[Mill_Run_h]]&gt;0),tblPlant[[#This Row],[Milled_t]]/tblPlant[[#This Row],[Mill_Run_h]],"")</f>
        <v/>
      </c>
      <c r="X202" s="60">
        <f>IF(tblPlant[[#This Row],[Mill_Run_h]]="","",(24-tblPlant[[#This Row],[Mill_Planned_Maint_h]]-tblPlant[[#This Row],[Mill_Unplanned_Down_h]])/24)</f>
        <v/>
      </c>
      <c r="Y2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3">
      <c r="A203" s="54" t="n">
        <v>46220</v>
      </c>
      <c r="B203" s="55" t="n"/>
      <c r="C203" s="55" t="n"/>
      <c r="D203" s="56" t="n"/>
      <c r="E203" s="56" t="n"/>
      <c r="F203" s="55" t="n"/>
      <c r="G203" s="55" t="n"/>
      <c r="H203" s="57" t="n"/>
      <c r="I203" s="57" t="n"/>
      <c r="J203" s="57" t="n"/>
      <c r="K203" s="57" t="n"/>
      <c r="L203" s="55" t="n"/>
      <c r="M203" s="55" t="n"/>
      <c r="N203" s="55" t="n"/>
      <c r="O203" s="55" t="n"/>
      <c r="P203" s="55" t="n"/>
      <c r="Q203" s="55" t="n"/>
      <c r="R203" s="58" t="n"/>
      <c r="S203" s="59">
        <f>IF(tblPlant[[#This Row],[Milled_t]]="","",tblPlant[[#This Row],[Milled_t]]*tblPlant[[#This Row],[Head_Grade_gpt]]/cfg_TroyOz)</f>
        <v/>
      </c>
      <c r="T203" s="59">
        <f>IF(tblPlant[[#This Row],[Milled_t]]="","",tblPlant[[#This Row],[Milled_t]]*tblPlant[[#This Row],[Tails_Grade_gpt]]/cfg_TroyOz)</f>
        <v/>
      </c>
      <c r="U203" s="59">
        <f>IF(tblPlant[[#This Row],[Milled_t]]="","",tblPlant[[#This Row],[Feed_oz]]-tblPlant[[#This Row],[Tails_oz]])</f>
        <v/>
      </c>
      <c r="V203" s="60">
        <f>IF(AND(tblPlant[[#This Row],[Milled_t]]&lt;&gt;"",tblPlant[[#This Row],[Feed_oz]]&gt;0),tblPlant[[#This Row],[Recovered_oz]]/tblPlant[[#This Row],[Feed_oz]],"")</f>
        <v/>
      </c>
      <c r="W203" s="59">
        <f>IF(AND(tblPlant[[#This Row],[Milled_t]]&lt;&gt;"",tblPlant[[#This Row],[Mill_Run_h]]&gt;0),tblPlant[[#This Row],[Milled_t]]/tblPlant[[#This Row],[Mill_Run_h]],"")</f>
        <v/>
      </c>
      <c r="X203" s="60">
        <f>IF(tblPlant[[#This Row],[Mill_Run_h]]="","",(24-tblPlant[[#This Row],[Mill_Planned_Maint_h]]-tblPlant[[#This Row],[Mill_Unplanned_Down_h]])/24)</f>
        <v/>
      </c>
      <c r="Y2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4">
      <c r="A204" s="54" t="n">
        <v>46221</v>
      </c>
      <c r="B204" s="55" t="n"/>
      <c r="C204" s="55" t="n"/>
      <c r="D204" s="56" t="n"/>
      <c r="E204" s="56" t="n"/>
      <c r="F204" s="55" t="n"/>
      <c r="G204" s="55" t="n"/>
      <c r="H204" s="57" t="n"/>
      <c r="I204" s="57" t="n"/>
      <c r="J204" s="57" t="n"/>
      <c r="K204" s="57" t="n"/>
      <c r="L204" s="55" t="n"/>
      <c r="M204" s="55" t="n"/>
      <c r="N204" s="55" t="n"/>
      <c r="O204" s="55" t="n"/>
      <c r="P204" s="55" t="n"/>
      <c r="Q204" s="55" t="n"/>
      <c r="R204" s="58" t="n"/>
      <c r="S204" s="59">
        <f>IF(tblPlant[[#This Row],[Milled_t]]="","",tblPlant[[#This Row],[Milled_t]]*tblPlant[[#This Row],[Head_Grade_gpt]]/cfg_TroyOz)</f>
        <v/>
      </c>
      <c r="T204" s="59">
        <f>IF(tblPlant[[#This Row],[Milled_t]]="","",tblPlant[[#This Row],[Milled_t]]*tblPlant[[#This Row],[Tails_Grade_gpt]]/cfg_TroyOz)</f>
        <v/>
      </c>
      <c r="U204" s="59">
        <f>IF(tblPlant[[#This Row],[Milled_t]]="","",tblPlant[[#This Row],[Feed_oz]]-tblPlant[[#This Row],[Tails_oz]])</f>
        <v/>
      </c>
      <c r="V204" s="60">
        <f>IF(AND(tblPlant[[#This Row],[Milled_t]]&lt;&gt;"",tblPlant[[#This Row],[Feed_oz]]&gt;0),tblPlant[[#This Row],[Recovered_oz]]/tblPlant[[#This Row],[Feed_oz]],"")</f>
        <v/>
      </c>
      <c r="W204" s="59">
        <f>IF(AND(tblPlant[[#This Row],[Milled_t]]&lt;&gt;"",tblPlant[[#This Row],[Mill_Run_h]]&gt;0),tblPlant[[#This Row],[Milled_t]]/tblPlant[[#This Row],[Mill_Run_h]],"")</f>
        <v/>
      </c>
      <c r="X204" s="60">
        <f>IF(tblPlant[[#This Row],[Mill_Run_h]]="","",(24-tblPlant[[#This Row],[Mill_Planned_Maint_h]]-tblPlant[[#This Row],[Mill_Unplanned_Down_h]])/24)</f>
        <v/>
      </c>
      <c r="Y2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5">
      <c r="A205" s="54" t="n">
        <v>46222</v>
      </c>
      <c r="B205" s="55" t="n"/>
      <c r="C205" s="55" t="n"/>
      <c r="D205" s="56" t="n"/>
      <c r="E205" s="56" t="n"/>
      <c r="F205" s="55" t="n"/>
      <c r="G205" s="55" t="n"/>
      <c r="H205" s="57" t="n"/>
      <c r="I205" s="57" t="n"/>
      <c r="J205" s="57" t="n"/>
      <c r="K205" s="57" t="n"/>
      <c r="L205" s="55" t="n"/>
      <c r="M205" s="55" t="n"/>
      <c r="N205" s="55" t="n"/>
      <c r="O205" s="55" t="n"/>
      <c r="P205" s="55" t="n"/>
      <c r="Q205" s="55" t="n"/>
      <c r="R205" s="58" t="n"/>
      <c r="S205" s="59">
        <f>IF(tblPlant[[#This Row],[Milled_t]]="","",tblPlant[[#This Row],[Milled_t]]*tblPlant[[#This Row],[Head_Grade_gpt]]/cfg_TroyOz)</f>
        <v/>
      </c>
      <c r="T205" s="59">
        <f>IF(tblPlant[[#This Row],[Milled_t]]="","",tblPlant[[#This Row],[Milled_t]]*tblPlant[[#This Row],[Tails_Grade_gpt]]/cfg_TroyOz)</f>
        <v/>
      </c>
      <c r="U205" s="59">
        <f>IF(tblPlant[[#This Row],[Milled_t]]="","",tblPlant[[#This Row],[Feed_oz]]-tblPlant[[#This Row],[Tails_oz]])</f>
        <v/>
      </c>
      <c r="V205" s="60">
        <f>IF(AND(tblPlant[[#This Row],[Milled_t]]&lt;&gt;"",tblPlant[[#This Row],[Feed_oz]]&gt;0),tblPlant[[#This Row],[Recovered_oz]]/tblPlant[[#This Row],[Feed_oz]],"")</f>
        <v/>
      </c>
      <c r="W205" s="59">
        <f>IF(AND(tblPlant[[#This Row],[Milled_t]]&lt;&gt;"",tblPlant[[#This Row],[Mill_Run_h]]&gt;0),tblPlant[[#This Row],[Milled_t]]/tblPlant[[#This Row],[Mill_Run_h]],"")</f>
        <v/>
      </c>
      <c r="X205" s="60">
        <f>IF(tblPlant[[#This Row],[Mill_Run_h]]="","",(24-tblPlant[[#This Row],[Mill_Planned_Maint_h]]-tblPlant[[#This Row],[Mill_Unplanned_Down_h]])/24)</f>
        <v/>
      </c>
      <c r="Y2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6">
      <c r="A206" s="54" t="n">
        <v>46223</v>
      </c>
      <c r="B206" s="55" t="n"/>
      <c r="C206" s="55" t="n"/>
      <c r="D206" s="56" t="n"/>
      <c r="E206" s="56" t="n"/>
      <c r="F206" s="55" t="n"/>
      <c r="G206" s="55" t="n"/>
      <c r="H206" s="57" t="n"/>
      <c r="I206" s="57" t="n"/>
      <c r="J206" s="57" t="n"/>
      <c r="K206" s="57" t="n"/>
      <c r="L206" s="55" t="n"/>
      <c r="M206" s="55" t="n"/>
      <c r="N206" s="55" t="n"/>
      <c r="O206" s="55" t="n"/>
      <c r="P206" s="55" t="n"/>
      <c r="Q206" s="55" t="n"/>
      <c r="R206" s="58" t="n"/>
      <c r="S206" s="59">
        <f>IF(tblPlant[[#This Row],[Milled_t]]="","",tblPlant[[#This Row],[Milled_t]]*tblPlant[[#This Row],[Head_Grade_gpt]]/cfg_TroyOz)</f>
        <v/>
      </c>
      <c r="T206" s="59">
        <f>IF(tblPlant[[#This Row],[Milled_t]]="","",tblPlant[[#This Row],[Milled_t]]*tblPlant[[#This Row],[Tails_Grade_gpt]]/cfg_TroyOz)</f>
        <v/>
      </c>
      <c r="U206" s="59">
        <f>IF(tblPlant[[#This Row],[Milled_t]]="","",tblPlant[[#This Row],[Feed_oz]]-tblPlant[[#This Row],[Tails_oz]])</f>
        <v/>
      </c>
      <c r="V206" s="60">
        <f>IF(AND(tblPlant[[#This Row],[Milled_t]]&lt;&gt;"",tblPlant[[#This Row],[Feed_oz]]&gt;0),tblPlant[[#This Row],[Recovered_oz]]/tblPlant[[#This Row],[Feed_oz]],"")</f>
        <v/>
      </c>
      <c r="W206" s="59">
        <f>IF(AND(tblPlant[[#This Row],[Milled_t]]&lt;&gt;"",tblPlant[[#This Row],[Mill_Run_h]]&gt;0),tblPlant[[#This Row],[Milled_t]]/tblPlant[[#This Row],[Mill_Run_h]],"")</f>
        <v/>
      </c>
      <c r="X206" s="60">
        <f>IF(tblPlant[[#This Row],[Mill_Run_h]]="","",(24-tblPlant[[#This Row],[Mill_Planned_Maint_h]]-tblPlant[[#This Row],[Mill_Unplanned_Down_h]])/24)</f>
        <v/>
      </c>
      <c r="Y2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7">
      <c r="A207" s="54" t="n">
        <v>46224</v>
      </c>
      <c r="B207" s="55" t="n"/>
      <c r="C207" s="55" t="n"/>
      <c r="D207" s="56" t="n"/>
      <c r="E207" s="56" t="n"/>
      <c r="F207" s="55" t="n"/>
      <c r="G207" s="55" t="n"/>
      <c r="H207" s="57" t="n"/>
      <c r="I207" s="57" t="n"/>
      <c r="J207" s="57" t="n"/>
      <c r="K207" s="57" t="n"/>
      <c r="L207" s="55" t="n"/>
      <c r="M207" s="55" t="n"/>
      <c r="N207" s="55" t="n"/>
      <c r="O207" s="55" t="n"/>
      <c r="P207" s="55" t="n"/>
      <c r="Q207" s="55" t="n"/>
      <c r="R207" s="58" t="n"/>
      <c r="S207" s="59">
        <f>IF(tblPlant[[#This Row],[Milled_t]]="","",tblPlant[[#This Row],[Milled_t]]*tblPlant[[#This Row],[Head_Grade_gpt]]/cfg_TroyOz)</f>
        <v/>
      </c>
      <c r="T207" s="59">
        <f>IF(tblPlant[[#This Row],[Milled_t]]="","",tblPlant[[#This Row],[Milled_t]]*tblPlant[[#This Row],[Tails_Grade_gpt]]/cfg_TroyOz)</f>
        <v/>
      </c>
      <c r="U207" s="59">
        <f>IF(tblPlant[[#This Row],[Milled_t]]="","",tblPlant[[#This Row],[Feed_oz]]-tblPlant[[#This Row],[Tails_oz]])</f>
        <v/>
      </c>
      <c r="V207" s="60">
        <f>IF(AND(tblPlant[[#This Row],[Milled_t]]&lt;&gt;"",tblPlant[[#This Row],[Feed_oz]]&gt;0),tblPlant[[#This Row],[Recovered_oz]]/tblPlant[[#This Row],[Feed_oz]],"")</f>
        <v/>
      </c>
      <c r="W207" s="59">
        <f>IF(AND(tblPlant[[#This Row],[Milled_t]]&lt;&gt;"",tblPlant[[#This Row],[Mill_Run_h]]&gt;0),tblPlant[[#This Row],[Milled_t]]/tblPlant[[#This Row],[Mill_Run_h]],"")</f>
        <v/>
      </c>
      <c r="X207" s="60">
        <f>IF(tblPlant[[#This Row],[Mill_Run_h]]="","",(24-tblPlant[[#This Row],[Mill_Planned_Maint_h]]-tblPlant[[#This Row],[Mill_Unplanned_Down_h]])/24)</f>
        <v/>
      </c>
      <c r="Y2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8">
      <c r="A208" s="54" t="n">
        <v>46225</v>
      </c>
      <c r="B208" s="55" t="n"/>
      <c r="C208" s="55" t="n"/>
      <c r="D208" s="56" t="n"/>
      <c r="E208" s="56" t="n"/>
      <c r="F208" s="55" t="n"/>
      <c r="G208" s="55" t="n"/>
      <c r="H208" s="57" t="n"/>
      <c r="I208" s="57" t="n"/>
      <c r="J208" s="57" t="n"/>
      <c r="K208" s="57" t="n"/>
      <c r="L208" s="55" t="n"/>
      <c r="M208" s="55" t="n"/>
      <c r="N208" s="55" t="n"/>
      <c r="O208" s="55" t="n"/>
      <c r="P208" s="55" t="n"/>
      <c r="Q208" s="55" t="n"/>
      <c r="R208" s="58" t="n"/>
      <c r="S208" s="59">
        <f>IF(tblPlant[[#This Row],[Milled_t]]="","",tblPlant[[#This Row],[Milled_t]]*tblPlant[[#This Row],[Head_Grade_gpt]]/cfg_TroyOz)</f>
        <v/>
      </c>
      <c r="T208" s="59">
        <f>IF(tblPlant[[#This Row],[Milled_t]]="","",tblPlant[[#This Row],[Milled_t]]*tblPlant[[#This Row],[Tails_Grade_gpt]]/cfg_TroyOz)</f>
        <v/>
      </c>
      <c r="U208" s="59">
        <f>IF(tblPlant[[#This Row],[Milled_t]]="","",tblPlant[[#This Row],[Feed_oz]]-tblPlant[[#This Row],[Tails_oz]])</f>
        <v/>
      </c>
      <c r="V208" s="60">
        <f>IF(AND(tblPlant[[#This Row],[Milled_t]]&lt;&gt;"",tblPlant[[#This Row],[Feed_oz]]&gt;0),tblPlant[[#This Row],[Recovered_oz]]/tblPlant[[#This Row],[Feed_oz]],"")</f>
        <v/>
      </c>
      <c r="W208" s="59">
        <f>IF(AND(tblPlant[[#This Row],[Milled_t]]&lt;&gt;"",tblPlant[[#This Row],[Mill_Run_h]]&gt;0),tblPlant[[#This Row],[Milled_t]]/tblPlant[[#This Row],[Mill_Run_h]],"")</f>
        <v/>
      </c>
      <c r="X208" s="60">
        <f>IF(tblPlant[[#This Row],[Mill_Run_h]]="","",(24-tblPlant[[#This Row],[Mill_Planned_Maint_h]]-tblPlant[[#This Row],[Mill_Unplanned_Down_h]])/24)</f>
        <v/>
      </c>
      <c r="Y2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9">
      <c r="A209" s="54" t="n">
        <v>46226</v>
      </c>
      <c r="B209" s="55" t="n"/>
      <c r="C209" s="55" t="n"/>
      <c r="D209" s="56" t="n"/>
      <c r="E209" s="56" t="n"/>
      <c r="F209" s="55" t="n"/>
      <c r="G209" s="55" t="n"/>
      <c r="H209" s="57" t="n"/>
      <c r="I209" s="57" t="n"/>
      <c r="J209" s="57" t="n"/>
      <c r="K209" s="57" t="n"/>
      <c r="L209" s="55" t="n"/>
      <c r="M209" s="55" t="n"/>
      <c r="N209" s="55" t="n"/>
      <c r="O209" s="55" t="n"/>
      <c r="P209" s="55" t="n"/>
      <c r="Q209" s="55" t="n"/>
      <c r="R209" s="58" t="n"/>
      <c r="S209" s="59">
        <f>IF(tblPlant[[#This Row],[Milled_t]]="","",tblPlant[[#This Row],[Milled_t]]*tblPlant[[#This Row],[Head_Grade_gpt]]/cfg_TroyOz)</f>
        <v/>
      </c>
      <c r="T209" s="59">
        <f>IF(tblPlant[[#This Row],[Milled_t]]="","",tblPlant[[#This Row],[Milled_t]]*tblPlant[[#This Row],[Tails_Grade_gpt]]/cfg_TroyOz)</f>
        <v/>
      </c>
      <c r="U209" s="59">
        <f>IF(tblPlant[[#This Row],[Milled_t]]="","",tblPlant[[#This Row],[Feed_oz]]-tblPlant[[#This Row],[Tails_oz]])</f>
        <v/>
      </c>
      <c r="V209" s="60">
        <f>IF(AND(tblPlant[[#This Row],[Milled_t]]&lt;&gt;"",tblPlant[[#This Row],[Feed_oz]]&gt;0),tblPlant[[#This Row],[Recovered_oz]]/tblPlant[[#This Row],[Feed_oz]],"")</f>
        <v/>
      </c>
      <c r="W209" s="59">
        <f>IF(AND(tblPlant[[#This Row],[Milled_t]]&lt;&gt;"",tblPlant[[#This Row],[Mill_Run_h]]&gt;0),tblPlant[[#This Row],[Milled_t]]/tblPlant[[#This Row],[Mill_Run_h]],"")</f>
        <v/>
      </c>
      <c r="X209" s="60">
        <f>IF(tblPlant[[#This Row],[Mill_Run_h]]="","",(24-tblPlant[[#This Row],[Mill_Planned_Maint_h]]-tblPlant[[#This Row],[Mill_Unplanned_Down_h]])/24)</f>
        <v/>
      </c>
      <c r="Y2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0">
      <c r="A210" s="54" t="n">
        <v>46227</v>
      </c>
      <c r="B210" s="55" t="n"/>
      <c r="C210" s="55" t="n"/>
      <c r="D210" s="56" t="n"/>
      <c r="E210" s="56" t="n"/>
      <c r="F210" s="55" t="n"/>
      <c r="G210" s="55" t="n"/>
      <c r="H210" s="57" t="n"/>
      <c r="I210" s="57" t="n"/>
      <c r="J210" s="57" t="n"/>
      <c r="K210" s="57" t="n"/>
      <c r="L210" s="55" t="n"/>
      <c r="M210" s="55" t="n"/>
      <c r="N210" s="55" t="n"/>
      <c r="O210" s="55" t="n"/>
      <c r="P210" s="55" t="n"/>
      <c r="Q210" s="55" t="n"/>
      <c r="R210" s="58" t="n"/>
      <c r="S210" s="59">
        <f>IF(tblPlant[[#This Row],[Milled_t]]="","",tblPlant[[#This Row],[Milled_t]]*tblPlant[[#This Row],[Head_Grade_gpt]]/cfg_TroyOz)</f>
        <v/>
      </c>
      <c r="T210" s="59">
        <f>IF(tblPlant[[#This Row],[Milled_t]]="","",tblPlant[[#This Row],[Milled_t]]*tblPlant[[#This Row],[Tails_Grade_gpt]]/cfg_TroyOz)</f>
        <v/>
      </c>
      <c r="U210" s="59">
        <f>IF(tblPlant[[#This Row],[Milled_t]]="","",tblPlant[[#This Row],[Feed_oz]]-tblPlant[[#This Row],[Tails_oz]])</f>
        <v/>
      </c>
      <c r="V210" s="60">
        <f>IF(AND(tblPlant[[#This Row],[Milled_t]]&lt;&gt;"",tblPlant[[#This Row],[Feed_oz]]&gt;0),tblPlant[[#This Row],[Recovered_oz]]/tblPlant[[#This Row],[Feed_oz]],"")</f>
        <v/>
      </c>
      <c r="W210" s="59">
        <f>IF(AND(tblPlant[[#This Row],[Milled_t]]&lt;&gt;"",tblPlant[[#This Row],[Mill_Run_h]]&gt;0),tblPlant[[#This Row],[Milled_t]]/tblPlant[[#This Row],[Mill_Run_h]],"")</f>
        <v/>
      </c>
      <c r="X210" s="60">
        <f>IF(tblPlant[[#This Row],[Mill_Run_h]]="","",(24-tblPlant[[#This Row],[Mill_Planned_Maint_h]]-tblPlant[[#This Row],[Mill_Unplanned_Down_h]])/24)</f>
        <v/>
      </c>
      <c r="Y2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1">
      <c r="A211" s="54" t="n">
        <v>46228</v>
      </c>
      <c r="B211" s="55" t="n"/>
      <c r="C211" s="55" t="n"/>
      <c r="D211" s="56" t="n"/>
      <c r="E211" s="56" t="n"/>
      <c r="F211" s="55" t="n"/>
      <c r="G211" s="55" t="n"/>
      <c r="H211" s="57" t="n"/>
      <c r="I211" s="57" t="n"/>
      <c r="J211" s="57" t="n"/>
      <c r="K211" s="57" t="n"/>
      <c r="L211" s="55" t="n"/>
      <c r="M211" s="55" t="n"/>
      <c r="N211" s="55" t="n"/>
      <c r="O211" s="55" t="n"/>
      <c r="P211" s="55" t="n"/>
      <c r="Q211" s="55" t="n"/>
      <c r="R211" s="58" t="n"/>
      <c r="S211" s="59">
        <f>IF(tblPlant[[#This Row],[Milled_t]]="","",tblPlant[[#This Row],[Milled_t]]*tblPlant[[#This Row],[Head_Grade_gpt]]/cfg_TroyOz)</f>
        <v/>
      </c>
      <c r="T211" s="59">
        <f>IF(tblPlant[[#This Row],[Milled_t]]="","",tblPlant[[#This Row],[Milled_t]]*tblPlant[[#This Row],[Tails_Grade_gpt]]/cfg_TroyOz)</f>
        <v/>
      </c>
      <c r="U211" s="59">
        <f>IF(tblPlant[[#This Row],[Milled_t]]="","",tblPlant[[#This Row],[Feed_oz]]-tblPlant[[#This Row],[Tails_oz]])</f>
        <v/>
      </c>
      <c r="V211" s="60">
        <f>IF(AND(tblPlant[[#This Row],[Milled_t]]&lt;&gt;"",tblPlant[[#This Row],[Feed_oz]]&gt;0),tblPlant[[#This Row],[Recovered_oz]]/tblPlant[[#This Row],[Feed_oz]],"")</f>
        <v/>
      </c>
      <c r="W211" s="59">
        <f>IF(AND(tblPlant[[#This Row],[Milled_t]]&lt;&gt;"",tblPlant[[#This Row],[Mill_Run_h]]&gt;0),tblPlant[[#This Row],[Milled_t]]/tblPlant[[#This Row],[Mill_Run_h]],"")</f>
        <v/>
      </c>
      <c r="X211" s="60">
        <f>IF(tblPlant[[#This Row],[Mill_Run_h]]="","",(24-tblPlant[[#This Row],[Mill_Planned_Maint_h]]-tblPlant[[#This Row],[Mill_Unplanned_Down_h]])/24)</f>
        <v/>
      </c>
      <c r="Y2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2">
      <c r="A212" s="54" t="n">
        <v>46229</v>
      </c>
      <c r="B212" s="55" t="n"/>
      <c r="C212" s="55" t="n"/>
      <c r="D212" s="56" t="n"/>
      <c r="E212" s="56" t="n"/>
      <c r="F212" s="55" t="n"/>
      <c r="G212" s="55" t="n"/>
      <c r="H212" s="57" t="n"/>
      <c r="I212" s="57" t="n"/>
      <c r="J212" s="57" t="n"/>
      <c r="K212" s="57" t="n"/>
      <c r="L212" s="55" t="n"/>
      <c r="M212" s="55" t="n"/>
      <c r="N212" s="55" t="n"/>
      <c r="O212" s="55" t="n"/>
      <c r="P212" s="55" t="n"/>
      <c r="Q212" s="55" t="n"/>
      <c r="R212" s="58" t="n"/>
      <c r="S212" s="59">
        <f>IF(tblPlant[[#This Row],[Milled_t]]="","",tblPlant[[#This Row],[Milled_t]]*tblPlant[[#This Row],[Head_Grade_gpt]]/cfg_TroyOz)</f>
        <v/>
      </c>
      <c r="T212" s="59">
        <f>IF(tblPlant[[#This Row],[Milled_t]]="","",tblPlant[[#This Row],[Milled_t]]*tblPlant[[#This Row],[Tails_Grade_gpt]]/cfg_TroyOz)</f>
        <v/>
      </c>
      <c r="U212" s="59">
        <f>IF(tblPlant[[#This Row],[Milled_t]]="","",tblPlant[[#This Row],[Feed_oz]]-tblPlant[[#This Row],[Tails_oz]])</f>
        <v/>
      </c>
      <c r="V212" s="60">
        <f>IF(AND(tblPlant[[#This Row],[Milled_t]]&lt;&gt;"",tblPlant[[#This Row],[Feed_oz]]&gt;0),tblPlant[[#This Row],[Recovered_oz]]/tblPlant[[#This Row],[Feed_oz]],"")</f>
        <v/>
      </c>
      <c r="W212" s="59">
        <f>IF(AND(tblPlant[[#This Row],[Milled_t]]&lt;&gt;"",tblPlant[[#This Row],[Mill_Run_h]]&gt;0),tblPlant[[#This Row],[Milled_t]]/tblPlant[[#This Row],[Mill_Run_h]],"")</f>
        <v/>
      </c>
      <c r="X212" s="60">
        <f>IF(tblPlant[[#This Row],[Mill_Run_h]]="","",(24-tblPlant[[#This Row],[Mill_Planned_Maint_h]]-tblPlant[[#This Row],[Mill_Unplanned_Down_h]])/24)</f>
        <v/>
      </c>
      <c r="Y2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3">
      <c r="A213" s="54" t="n">
        <v>46230</v>
      </c>
      <c r="B213" s="55" t="n"/>
      <c r="C213" s="55" t="n"/>
      <c r="D213" s="56" t="n"/>
      <c r="E213" s="56" t="n"/>
      <c r="F213" s="55" t="n"/>
      <c r="G213" s="55" t="n"/>
      <c r="H213" s="57" t="n"/>
      <c r="I213" s="57" t="n"/>
      <c r="J213" s="57" t="n"/>
      <c r="K213" s="57" t="n"/>
      <c r="L213" s="55" t="n"/>
      <c r="M213" s="55" t="n"/>
      <c r="N213" s="55" t="n"/>
      <c r="O213" s="55" t="n"/>
      <c r="P213" s="55" t="n"/>
      <c r="Q213" s="55" t="n"/>
      <c r="R213" s="58" t="n"/>
      <c r="S213" s="59">
        <f>IF(tblPlant[[#This Row],[Milled_t]]="","",tblPlant[[#This Row],[Milled_t]]*tblPlant[[#This Row],[Head_Grade_gpt]]/cfg_TroyOz)</f>
        <v/>
      </c>
      <c r="T213" s="59">
        <f>IF(tblPlant[[#This Row],[Milled_t]]="","",tblPlant[[#This Row],[Milled_t]]*tblPlant[[#This Row],[Tails_Grade_gpt]]/cfg_TroyOz)</f>
        <v/>
      </c>
      <c r="U213" s="59">
        <f>IF(tblPlant[[#This Row],[Milled_t]]="","",tblPlant[[#This Row],[Feed_oz]]-tblPlant[[#This Row],[Tails_oz]])</f>
        <v/>
      </c>
      <c r="V213" s="60">
        <f>IF(AND(tblPlant[[#This Row],[Milled_t]]&lt;&gt;"",tblPlant[[#This Row],[Feed_oz]]&gt;0),tblPlant[[#This Row],[Recovered_oz]]/tblPlant[[#This Row],[Feed_oz]],"")</f>
        <v/>
      </c>
      <c r="W213" s="59">
        <f>IF(AND(tblPlant[[#This Row],[Milled_t]]&lt;&gt;"",tblPlant[[#This Row],[Mill_Run_h]]&gt;0),tblPlant[[#This Row],[Milled_t]]/tblPlant[[#This Row],[Mill_Run_h]],"")</f>
        <v/>
      </c>
      <c r="X213" s="60">
        <f>IF(tblPlant[[#This Row],[Mill_Run_h]]="","",(24-tblPlant[[#This Row],[Mill_Planned_Maint_h]]-tblPlant[[#This Row],[Mill_Unplanned_Down_h]])/24)</f>
        <v/>
      </c>
      <c r="Y2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4">
      <c r="A214" s="54" t="n">
        <v>46231</v>
      </c>
      <c r="B214" s="55" t="n"/>
      <c r="C214" s="55" t="n"/>
      <c r="D214" s="56" t="n"/>
      <c r="E214" s="56" t="n"/>
      <c r="F214" s="55" t="n"/>
      <c r="G214" s="55" t="n"/>
      <c r="H214" s="57" t="n"/>
      <c r="I214" s="57" t="n"/>
      <c r="J214" s="57" t="n"/>
      <c r="K214" s="57" t="n"/>
      <c r="L214" s="55" t="n"/>
      <c r="M214" s="55" t="n"/>
      <c r="N214" s="55" t="n"/>
      <c r="O214" s="55" t="n"/>
      <c r="P214" s="55" t="n"/>
      <c r="Q214" s="55" t="n"/>
      <c r="R214" s="58" t="n"/>
      <c r="S214" s="59">
        <f>IF(tblPlant[[#This Row],[Milled_t]]="","",tblPlant[[#This Row],[Milled_t]]*tblPlant[[#This Row],[Head_Grade_gpt]]/cfg_TroyOz)</f>
        <v/>
      </c>
      <c r="T214" s="59">
        <f>IF(tblPlant[[#This Row],[Milled_t]]="","",tblPlant[[#This Row],[Milled_t]]*tblPlant[[#This Row],[Tails_Grade_gpt]]/cfg_TroyOz)</f>
        <v/>
      </c>
      <c r="U214" s="59">
        <f>IF(tblPlant[[#This Row],[Milled_t]]="","",tblPlant[[#This Row],[Feed_oz]]-tblPlant[[#This Row],[Tails_oz]])</f>
        <v/>
      </c>
      <c r="V214" s="60">
        <f>IF(AND(tblPlant[[#This Row],[Milled_t]]&lt;&gt;"",tblPlant[[#This Row],[Feed_oz]]&gt;0),tblPlant[[#This Row],[Recovered_oz]]/tblPlant[[#This Row],[Feed_oz]],"")</f>
        <v/>
      </c>
      <c r="W214" s="59">
        <f>IF(AND(tblPlant[[#This Row],[Milled_t]]&lt;&gt;"",tblPlant[[#This Row],[Mill_Run_h]]&gt;0),tblPlant[[#This Row],[Milled_t]]/tblPlant[[#This Row],[Mill_Run_h]],"")</f>
        <v/>
      </c>
      <c r="X214" s="60">
        <f>IF(tblPlant[[#This Row],[Mill_Run_h]]="","",(24-tblPlant[[#This Row],[Mill_Planned_Maint_h]]-tblPlant[[#This Row],[Mill_Unplanned_Down_h]])/24)</f>
        <v/>
      </c>
      <c r="Y2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5">
      <c r="A215" s="54" t="n">
        <v>46232</v>
      </c>
      <c r="B215" s="55" t="n"/>
      <c r="C215" s="55" t="n"/>
      <c r="D215" s="56" t="n"/>
      <c r="E215" s="56" t="n"/>
      <c r="F215" s="55" t="n"/>
      <c r="G215" s="55" t="n"/>
      <c r="H215" s="57" t="n"/>
      <c r="I215" s="57" t="n"/>
      <c r="J215" s="57" t="n"/>
      <c r="K215" s="57" t="n"/>
      <c r="L215" s="55" t="n"/>
      <c r="M215" s="55" t="n"/>
      <c r="N215" s="55" t="n"/>
      <c r="O215" s="55" t="n"/>
      <c r="P215" s="55" t="n"/>
      <c r="Q215" s="55" t="n"/>
      <c r="R215" s="58" t="n"/>
      <c r="S215" s="59">
        <f>IF(tblPlant[[#This Row],[Milled_t]]="","",tblPlant[[#This Row],[Milled_t]]*tblPlant[[#This Row],[Head_Grade_gpt]]/cfg_TroyOz)</f>
        <v/>
      </c>
      <c r="T215" s="59">
        <f>IF(tblPlant[[#This Row],[Milled_t]]="","",tblPlant[[#This Row],[Milled_t]]*tblPlant[[#This Row],[Tails_Grade_gpt]]/cfg_TroyOz)</f>
        <v/>
      </c>
      <c r="U215" s="59">
        <f>IF(tblPlant[[#This Row],[Milled_t]]="","",tblPlant[[#This Row],[Feed_oz]]-tblPlant[[#This Row],[Tails_oz]])</f>
        <v/>
      </c>
      <c r="V215" s="60">
        <f>IF(AND(tblPlant[[#This Row],[Milled_t]]&lt;&gt;"",tblPlant[[#This Row],[Feed_oz]]&gt;0),tblPlant[[#This Row],[Recovered_oz]]/tblPlant[[#This Row],[Feed_oz]],"")</f>
        <v/>
      </c>
      <c r="W215" s="59">
        <f>IF(AND(tblPlant[[#This Row],[Milled_t]]&lt;&gt;"",tblPlant[[#This Row],[Mill_Run_h]]&gt;0),tblPlant[[#This Row],[Milled_t]]/tblPlant[[#This Row],[Mill_Run_h]],"")</f>
        <v/>
      </c>
      <c r="X215" s="60">
        <f>IF(tblPlant[[#This Row],[Mill_Run_h]]="","",(24-tblPlant[[#This Row],[Mill_Planned_Maint_h]]-tblPlant[[#This Row],[Mill_Unplanned_Down_h]])/24)</f>
        <v/>
      </c>
      <c r="Y2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6">
      <c r="A216" s="54" t="n">
        <v>46233</v>
      </c>
      <c r="B216" s="55" t="n"/>
      <c r="C216" s="55" t="n"/>
      <c r="D216" s="56" t="n"/>
      <c r="E216" s="56" t="n"/>
      <c r="F216" s="55" t="n"/>
      <c r="G216" s="55" t="n"/>
      <c r="H216" s="57" t="n"/>
      <c r="I216" s="57" t="n"/>
      <c r="J216" s="57" t="n"/>
      <c r="K216" s="57" t="n"/>
      <c r="L216" s="55" t="n"/>
      <c r="M216" s="55" t="n"/>
      <c r="N216" s="55" t="n"/>
      <c r="O216" s="55" t="n"/>
      <c r="P216" s="55" t="n"/>
      <c r="Q216" s="55" t="n"/>
      <c r="R216" s="58" t="n"/>
      <c r="S216" s="59">
        <f>IF(tblPlant[[#This Row],[Milled_t]]="","",tblPlant[[#This Row],[Milled_t]]*tblPlant[[#This Row],[Head_Grade_gpt]]/cfg_TroyOz)</f>
        <v/>
      </c>
      <c r="T216" s="59">
        <f>IF(tblPlant[[#This Row],[Milled_t]]="","",tblPlant[[#This Row],[Milled_t]]*tblPlant[[#This Row],[Tails_Grade_gpt]]/cfg_TroyOz)</f>
        <v/>
      </c>
      <c r="U216" s="59">
        <f>IF(tblPlant[[#This Row],[Milled_t]]="","",tblPlant[[#This Row],[Feed_oz]]-tblPlant[[#This Row],[Tails_oz]])</f>
        <v/>
      </c>
      <c r="V216" s="60">
        <f>IF(AND(tblPlant[[#This Row],[Milled_t]]&lt;&gt;"",tblPlant[[#This Row],[Feed_oz]]&gt;0),tblPlant[[#This Row],[Recovered_oz]]/tblPlant[[#This Row],[Feed_oz]],"")</f>
        <v/>
      </c>
      <c r="W216" s="59">
        <f>IF(AND(tblPlant[[#This Row],[Milled_t]]&lt;&gt;"",tblPlant[[#This Row],[Mill_Run_h]]&gt;0),tblPlant[[#This Row],[Milled_t]]/tblPlant[[#This Row],[Mill_Run_h]],"")</f>
        <v/>
      </c>
      <c r="X216" s="60">
        <f>IF(tblPlant[[#This Row],[Mill_Run_h]]="","",(24-tblPlant[[#This Row],[Mill_Planned_Maint_h]]-tblPlant[[#This Row],[Mill_Unplanned_Down_h]])/24)</f>
        <v/>
      </c>
      <c r="Y2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7">
      <c r="A217" s="54" t="n">
        <v>46234</v>
      </c>
      <c r="B217" s="55" t="n"/>
      <c r="C217" s="55" t="n"/>
      <c r="D217" s="56" t="n"/>
      <c r="E217" s="56" t="n"/>
      <c r="F217" s="55" t="n"/>
      <c r="G217" s="55" t="n"/>
      <c r="H217" s="57" t="n"/>
      <c r="I217" s="57" t="n"/>
      <c r="J217" s="57" t="n"/>
      <c r="K217" s="57" t="n"/>
      <c r="L217" s="55" t="n"/>
      <c r="M217" s="55" t="n"/>
      <c r="N217" s="55" t="n"/>
      <c r="O217" s="55" t="n"/>
      <c r="P217" s="55" t="n"/>
      <c r="Q217" s="55" t="n"/>
      <c r="R217" s="58" t="n"/>
      <c r="S217" s="59">
        <f>IF(tblPlant[[#This Row],[Milled_t]]="","",tblPlant[[#This Row],[Milled_t]]*tblPlant[[#This Row],[Head_Grade_gpt]]/cfg_TroyOz)</f>
        <v/>
      </c>
      <c r="T217" s="59">
        <f>IF(tblPlant[[#This Row],[Milled_t]]="","",tblPlant[[#This Row],[Milled_t]]*tblPlant[[#This Row],[Tails_Grade_gpt]]/cfg_TroyOz)</f>
        <v/>
      </c>
      <c r="U217" s="59">
        <f>IF(tblPlant[[#This Row],[Milled_t]]="","",tblPlant[[#This Row],[Feed_oz]]-tblPlant[[#This Row],[Tails_oz]])</f>
        <v/>
      </c>
      <c r="V217" s="60">
        <f>IF(AND(tblPlant[[#This Row],[Milled_t]]&lt;&gt;"",tblPlant[[#This Row],[Feed_oz]]&gt;0),tblPlant[[#This Row],[Recovered_oz]]/tblPlant[[#This Row],[Feed_oz]],"")</f>
        <v/>
      </c>
      <c r="W217" s="59">
        <f>IF(AND(tblPlant[[#This Row],[Milled_t]]&lt;&gt;"",tblPlant[[#This Row],[Mill_Run_h]]&gt;0),tblPlant[[#This Row],[Milled_t]]/tblPlant[[#This Row],[Mill_Run_h]],"")</f>
        <v/>
      </c>
      <c r="X217" s="60">
        <f>IF(tblPlant[[#This Row],[Mill_Run_h]]="","",(24-tblPlant[[#This Row],[Mill_Planned_Maint_h]]-tblPlant[[#This Row],[Mill_Unplanned_Down_h]])/24)</f>
        <v/>
      </c>
      <c r="Y2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8">
      <c r="A218" s="54" t="n">
        <v>46235</v>
      </c>
      <c r="B218" s="55" t="n"/>
      <c r="C218" s="55" t="n"/>
      <c r="D218" s="56" t="n"/>
      <c r="E218" s="56" t="n"/>
      <c r="F218" s="55" t="n"/>
      <c r="G218" s="55" t="n"/>
      <c r="H218" s="57" t="n"/>
      <c r="I218" s="57" t="n"/>
      <c r="J218" s="57" t="n"/>
      <c r="K218" s="57" t="n"/>
      <c r="L218" s="55" t="n"/>
      <c r="M218" s="55" t="n"/>
      <c r="N218" s="55" t="n"/>
      <c r="O218" s="55" t="n"/>
      <c r="P218" s="55" t="n"/>
      <c r="Q218" s="55" t="n"/>
      <c r="R218" s="58" t="n"/>
      <c r="S218" s="59">
        <f>IF(tblPlant[[#This Row],[Milled_t]]="","",tblPlant[[#This Row],[Milled_t]]*tblPlant[[#This Row],[Head_Grade_gpt]]/cfg_TroyOz)</f>
        <v/>
      </c>
      <c r="T218" s="59">
        <f>IF(tblPlant[[#This Row],[Milled_t]]="","",tblPlant[[#This Row],[Milled_t]]*tblPlant[[#This Row],[Tails_Grade_gpt]]/cfg_TroyOz)</f>
        <v/>
      </c>
      <c r="U218" s="59">
        <f>IF(tblPlant[[#This Row],[Milled_t]]="","",tblPlant[[#This Row],[Feed_oz]]-tblPlant[[#This Row],[Tails_oz]])</f>
        <v/>
      </c>
      <c r="V218" s="60">
        <f>IF(AND(tblPlant[[#This Row],[Milled_t]]&lt;&gt;"",tblPlant[[#This Row],[Feed_oz]]&gt;0),tblPlant[[#This Row],[Recovered_oz]]/tblPlant[[#This Row],[Feed_oz]],"")</f>
        <v/>
      </c>
      <c r="W218" s="59">
        <f>IF(AND(tblPlant[[#This Row],[Milled_t]]&lt;&gt;"",tblPlant[[#This Row],[Mill_Run_h]]&gt;0),tblPlant[[#This Row],[Milled_t]]/tblPlant[[#This Row],[Mill_Run_h]],"")</f>
        <v/>
      </c>
      <c r="X218" s="60">
        <f>IF(tblPlant[[#This Row],[Mill_Run_h]]="","",(24-tblPlant[[#This Row],[Mill_Planned_Maint_h]]-tblPlant[[#This Row],[Mill_Unplanned_Down_h]])/24)</f>
        <v/>
      </c>
      <c r="Y2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9">
      <c r="A219" s="54" t="n">
        <v>46236</v>
      </c>
      <c r="B219" s="55" t="n"/>
      <c r="C219" s="55" t="n"/>
      <c r="D219" s="56" t="n"/>
      <c r="E219" s="56" t="n"/>
      <c r="F219" s="55" t="n"/>
      <c r="G219" s="55" t="n"/>
      <c r="H219" s="57" t="n"/>
      <c r="I219" s="57" t="n"/>
      <c r="J219" s="57" t="n"/>
      <c r="K219" s="57" t="n"/>
      <c r="L219" s="55" t="n"/>
      <c r="M219" s="55" t="n"/>
      <c r="N219" s="55" t="n"/>
      <c r="O219" s="55" t="n"/>
      <c r="P219" s="55" t="n"/>
      <c r="Q219" s="55" t="n"/>
      <c r="R219" s="58" t="n"/>
      <c r="S219" s="59">
        <f>IF(tblPlant[[#This Row],[Milled_t]]="","",tblPlant[[#This Row],[Milled_t]]*tblPlant[[#This Row],[Head_Grade_gpt]]/cfg_TroyOz)</f>
        <v/>
      </c>
      <c r="T219" s="59">
        <f>IF(tblPlant[[#This Row],[Milled_t]]="","",tblPlant[[#This Row],[Milled_t]]*tblPlant[[#This Row],[Tails_Grade_gpt]]/cfg_TroyOz)</f>
        <v/>
      </c>
      <c r="U219" s="59">
        <f>IF(tblPlant[[#This Row],[Milled_t]]="","",tblPlant[[#This Row],[Feed_oz]]-tblPlant[[#This Row],[Tails_oz]])</f>
        <v/>
      </c>
      <c r="V219" s="60">
        <f>IF(AND(tblPlant[[#This Row],[Milled_t]]&lt;&gt;"",tblPlant[[#This Row],[Feed_oz]]&gt;0),tblPlant[[#This Row],[Recovered_oz]]/tblPlant[[#This Row],[Feed_oz]],"")</f>
        <v/>
      </c>
      <c r="W219" s="59">
        <f>IF(AND(tblPlant[[#This Row],[Milled_t]]&lt;&gt;"",tblPlant[[#This Row],[Mill_Run_h]]&gt;0),tblPlant[[#This Row],[Milled_t]]/tblPlant[[#This Row],[Mill_Run_h]],"")</f>
        <v/>
      </c>
      <c r="X219" s="60">
        <f>IF(tblPlant[[#This Row],[Mill_Run_h]]="","",(24-tblPlant[[#This Row],[Mill_Planned_Maint_h]]-tblPlant[[#This Row],[Mill_Unplanned_Down_h]])/24)</f>
        <v/>
      </c>
      <c r="Y2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0">
      <c r="A220" s="54" t="n">
        <v>46237</v>
      </c>
      <c r="B220" s="55" t="n"/>
      <c r="C220" s="55" t="n"/>
      <c r="D220" s="56" t="n"/>
      <c r="E220" s="56" t="n"/>
      <c r="F220" s="55" t="n"/>
      <c r="G220" s="55" t="n"/>
      <c r="H220" s="57" t="n"/>
      <c r="I220" s="57" t="n"/>
      <c r="J220" s="57" t="n"/>
      <c r="K220" s="57" t="n"/>
      <c r="L220" s="55" t="n"/>
      <c r="M220" s="55" t="n"/>
      <c r="N220" s="55" t="n"/>
      <c r="O220" s="55" t="n"/>
      <c r="P220" s="55" t="n"/>
      <c r="Q220" s="55" t="n"/>
      <c r="R220" s="58" t="n"/>
      <c r="S220" s="59">
        <f>IF(tblPlant[[#This Row],[Milled_t]]="","",tblPlant[[#This Row],[Milled_t]]*tblPlant[[#This Row],[Head_Grade_gpt]]/cfg_TroyOz)</f>
        <v/>
      </c>
      <c r="T220" s="59">
        <f>IF(tblPlant[[#This Row],[Milled_t]]="","",tblPlant[[#This Row],[Milled_t]]*tblPlant[[#This Row],[Tails_Grade_gpt]]/cfg_TroyOz)</f>
        <v/>
      </c>
      <c r="U220" s="59">
        <f>IF(tblPlant[[#This Row],[Milled_t]]="","",tblPlant[[#This Row],[Feed_oz]]-tblPlant[[#This Row],[Tails_oz]])</f>
        <v/>
      </c>
      <c r="V220" s="60">
        <f>IF(AND(tblPlant[[#This Row],[Milled_t]]&lt;&gt;"",tblPlant[[#This Row],[Feed_oz]]&gt;0),tblPlant[[#This Row],[Recovered_oz]]/tblPlant[[#This Row],[Feed_oz]],"")</f>
        <v/>
      </c>
      <c r="W220" s="59">
        <f>IF(AND(tblPlant[[#This Row],[Milled_t]]&lt;&gt;"",tblPlant[[#This Row],[Mill_Run_h]]&gt;0),tblPlant[[#This Row],[Milled_t]]/tblPlant[[#This Row],[Mill_Run_h]],"")</f>
        <v/>
      </c>
      <c r="X220" s="60">
        <f>IF(tblPlant[[#This Row],[Mill_Run_h]]="","",(24-tblPlant[[#This Row],[Mill_Planned_Maint_h]]-tblPlant[[#This Row],[Mill_Unplanned_Down_h]])/24)</f>
        <v/>
      </c>
      <c r="Y2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1">
      <c r="A221" s="54" t="n">
        <v>46238</v>
      </c>
      <c r="B221" s="55" t="n"/>
      <c r="C221" s="55" t="n"/>
      <c r="D221" s="56" t="n"/>
      <c r="E221" s="56" t="n"/>
      <c r="F221" s="55" t="n"/>
      <c r="G221" s="55" t="n"/>
      <c r="H221" s="57" t="n"/>
      <c r="I221" s="57" t="n"/>
      <c r="J221" s="57" t="n"/>
      <c r="K221" s="57" t="n"/>
      <c r="L221" s="55" t="n"/>
      <c r="M221" s="55" t="n"/>
      <c r="N221" s="55" t="n"/>
      <c r="O221" s="55" t="n"/>
      <c r="P221" s="55" t="n"/>
      <c r="Q221" s="55" t="n"/>
      <c r="R221" s="58" t="n"/>
      <c r="S221" s="59">
        <f>IF(tblPlant[[#This Row],[Milled_t]]="","",tblPlant[[#This Row],[Milled_t]]*tblPlant[[#This Row],[Head_Grade_gpt]]/cfg_TroyOz)</f>
        <v/>
      </c>
      <c r="T221" s="59">
        <f>IF(tblPlant[[#This Row],[Milled_t]]="","",tblPlant[[#This Row],[Milled_t]]*tblPlant[[#This Row],[Tails_Grade_gpt]]/cfg_TroyOz)</f>
        <v/>
      </c>
      <c r="U221" s="59">
        <f>IF(tblPlant[[#This Row],[Milled_t]]="","",tblPlant[[#This Row],[Feed_oz]]-tblPlant[[#This Row],[Tails_oz]])</f>
        <v/>
      </c>
      <c r="V221" s="60">
        <f>IF(AND(tblPlant[[#This Row],[Milled_t]]&lt;&gt;"",tblPlant[[#This Row],[Feed_oz]]&gt;0),tblPlant[[#This Row],[Recovered_oz]]/tblPlant[[#This Row],[Feed_oz]],"")</f>
        <v/>
      </c>
      <c r="W221" s="59">
        <f>IF(AND(tblPlant[[#This Row],[Milled_t]]&lt;&gt;"",tblPlant[[#This Row],[Mill_Run_h]]&gt;0),tblPlant[[#This Row],[Milled_t]]/tblPlant[[#This Row],[Mill_Run_h]],"")</f>
        <v/>
      </c>
      <c r="X221" s="60">
        <f>IF(tblPlant[[#This Row],[Mill_Run_h]]="","",(24-tblPlant[[#This Row],[Mill_Planned_Maint_h]]-tblPlant[[#This Row],[Mill_Unplanned_Down_h]])/24)</f>
        <v/>
      </c>
      <c r="Y2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2">
      <c r="A222" s="54" t="n">
        <v>46239</v>
      </c>
      <c r="B222" s="55" t="n"/>
      <c r="C222" s="55" t="n"/>
      <c r="D222" s="56" t="n"/>
      <c r="E222" s="56" t="n"/>
      <c r="F222" s="55" t="n"/>
      <c r="G222" s="55" t="n"/>
      <c r="H222" s="57" t="n"/>
      <c r="I222" s="57" t="n"/>
      <c r="J222" s="57" t="n"/>
      <c r="K222" s="57" t="n"/>
      <c r="L222" s="55" t="n"/>
      <c r="M222" s="55" t="n"/>
      <c r="N222" s="55" t="n"/>
      <c r="O222" s="55" t="n"/>
      <c r="P222" s="55" t="n"/>
      <c r="Q222" s="55" t="n"/>
      <c r="R222" s="58" t="n"/>
      <c r="S222" s="59">
        <f>IF(tblPlant[[#This Row],[Milled_t]]="","",tblPlant[[#This Row],[Milled_t]]*tblPlant[[#This Row],[Head_Grade_gpt]]/cfg_TroyOz)</f>
        <v/>
      </c>
      <c r="T222" s="59">
        <f>IF(tblPlant[[#This Row],[Milled_t]]="","",tblPlant[[#This Row],[Milled_t]]*tblPlant[[#This Row],[Tails_Grade_gpt]]/cfg_TroyOz)</f>
        <v/>
      </c>
      <c r="U222" s="59">
        <f>IF(tblPlant[[#This Row],[Milled_t]]="","",tblPlant[[#This Row],[Feed_oz]]-tblPlant[[#This Row],[Tails_oz]])</f>
        <v/>
      </c>
      <c r="V222" s="60">
        <f>IF(AND(tblPlant[[#This Row],[Milled_t]]&lt;&gt;"",tblPlant[[#This Row],[Feed_oz]]&gt;0),tblPlant[[#This Row],[Recovered_oz]]/tblPlant[[#This Row],[Feed_oz]],"")</f>
        <v/>
      </c>
      <c r="W222" s="59">
        <f>IF(AND(tblPlant[[#This Row],[Milled_t]]&lt;&gt;"",tblPlant[[#This Row],[Mill_Run_h]]&gt;0),tblPlant[[#This Row],[Milled_t]]/tblPlant[[#This Row],[Mill_Run_h]],"")</f>
        <v/>
      </c>
      <c r="X222" s="60">
        <f>IF(tblPlant[[#This Row],[Mill_Run_h]]="","",(24-tblPlant[[#This Row],[Mill_Planned_Maint_h]]-tblPlant[[#This Row],[Mill_Unplanned_Down_h]])/24)</f>
        <v/>
      </c>
      <c r="Y2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3">
      <c r="A223" s="54" t="n">
        <v>46240</v>
      </c>
      <c r="B223" s="55" t="n"/>
      <c r="C223" s="55" t="n"/>
      <c r="D223" s="56" t="n"/>
      <c r="E223" s="56" t="n"/>
      <c r="F223" s="55" t="n"/>
      <c r="G223" s="55" t="n"/>
      <c r="H223" s="57" t="n"/>
      <c r="I223" s="57" t="n"/>
      <c r="J223" s="57" t="n"/>
      <c r="K223" s="57" t="n"/>
      <c r="L223" s="55" t="n"/>
      <c r="M223" s="55" t="n"/>
      <c r="N223" s="55" t="n"/>
      <c r="O223" s="55" t="n"/>
      <c r="P223" s="55" t="n"/>
      <c r="Q223" s="55" t="n"/>
      <c r="R223" s="58" t="n"/>
      <c r="S223" s="59">
        <f>IF(tblPlant[[#This Row],[Milled_t]]="","",tblPlant[[#This Row],[Milled_t]]*tblPlant[[#This Row],[Head_Grade_gpt]]/cfg_TroyOz)</f>
        <v/>
      </c>
      <c r="T223" s="59">
        <f>IF(tblPlant[[#This Row],[Milled_t]]="","",tblPlant[[#This Row],[Milled_t]]*tblPlant[[#This Row],[Tails_Grade_gpt]]/cfg_TroyOz)</f>
        <v/>
      </c>
      <c r="U223" s="59">
        <f>IF(tblPlant[[#This Row],[Milled_t]]="","",tblPlant[[#This Row],[Feed_oz]]-tblPlant[[#This Row],[Tails_oz]])</f>
        <v/>
      </c>
      <c r="V223" s="60">
        <f>IF(AND(tblPlant[[#This Row],[Milled_t]]&lt;&gt;"",tblPlant[[#This Row],[Feed_oz]]&gt;0),tblPlant[[#This Row],[Recovered_oz]]/tblPlant[[#This Row],[Feed_oz]],"")</f>
        <v/>
      </c>
      <c r="W223" s="59">
        <f>IF(AND(tblPlant[[#This Row],[Milled_t]]&lt;&gt;"",tblPlant[[#This Row],[Mill_Run_h]]&gt;0),tblPlant[[#This Row],[Milled_t]]/tblPlant[[#This Row],[Mill_Run_h]],"")</f>
        <v/>
      </c>
      <c r="X223" s="60">
        <f>IF(tblPlant[[#This Row],[Mill_Run_h]]="","",(24-tblPlant[[#This Row],[Mill_Planned_Maint_h]]-tblPlant[[#This Row],[Mill_Unplanned_Down_h]])/24)</f>
        <v/>
      </c>
      <c r="Y2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4">
      <c r="A224" s="54" t="n">
        <v>46241</v>
      </c>
      <c r="B224" s="55" t="n"/>
      <c r="C224" s="55" t="n"/>
      <c r="D224" s="56" t="n"/>
      <c r="E224" s="56" t="n"/>
      <c r="F224" s="55" t="n"/>
      <c r="G224" s="55" t="n"/>
      <c r="H224" s="57" t="n"/>
      <c r="I224" s="57" t="n"/>
      <c r="J224" s="57" t="n"/>
      <c r="K224" s="57" t="n"/>
      <c r="L224" s="55" t="n"/>
      <c r="M224" s="55" t="n"/>
      <c r="N224" s="55" t="n"/>
      <c r="O224" s="55" t="n"/>
      <c r="P224" s="55" t="n"/>
      <c r="Q224" s="55" t="n"/>
      <c r="R224" s="58" t="n"/>
      <c r="S224" s="59">
        <f>IF(tblPlant[[#This Row],[Milled_t]]="","",tblPlant[[#This Row],[Milled_t]]*tblPlant[[#This Row],[Head_Grade_gpt]]/cfg_TroyOz)</f>
        <v/>
      </c>
      <c r="T224" s="59">
        <f>IF(tblPlant[[#This Row],[Milled_t]]="","",tblPlant[[#This Row],[Milled_t]]*tblPlant[[#This Row],[Tails_Grade_gpt]]/cfg_TroyOz)</f>
        <v/>
      </c>
      <c r="U224" s="59">
        <f>IF(tblPlant[[#This Row],[Milled_t]]="","",tblPlant[[#This Row],[Feed_oz]]-tblPlant[[#This Row],[Tails_oz]])</f>
        <v/>
      </c>
      <c r="V224" s="60">
        <f>IF(AND(tblPlant[[#This Row],[Milled_t]]&lt;&gt;"",tblPlant[[#This Row],[Feed_oz]]&gt;0),tblPlant[[#This Row],[Recovered_oz]]/tblPlant[[#This Row],[Feed_oz]],"")</f>
        <v/>
      </c>
      <c r="W224" s="59">
        <f>IF(AND(tblPlant[[#This Row],[Milled_t]]&lt;&gt;"",tblPlant[[#This Row],[Mill_Run_h]]&gt;0),tblPlant[[#This Row],[Milled_t]]/tblPlant[[#This Row],[Mill_Run_h]],"")</f>
        <v/>
      </c>
      <c r="X224" s="60">
        <f>IF(tblPlant[[#This Row],[Mill_Run_h]]="","",(24-tblPlant[[#This Row],[Mill_Planned_Maint_h]]-tblPlant[[#This Row],[Mill_Unplanned_Down_h]])/24)</f>
        <v/>
      </c>
      <c r="Y2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5">
      <c r="A225" s="54" t="n">
        <v>46242</v>
      </c>
      <c r="B225" s="55" t="n"/>
      <c r="C225" s="55" t="n"/>
      <c r="D225" s="56" t="n"/>
      <c r="E225" s="56" t="n"/>
      <c r="F225" s="55" t="n"/>
      <c r="G225" s="55" t="n"/>
      <c r="H225" s="57" t="n"/>
      <c r="I225" s="57" t="n"/>
      <c r="J225" s="57" t="n"/>
      <c r="K225" s="57" t="n"/>
      <c r="L225" s="55" t="n"/>
      <c r="M225" s="55" t="n"/>
      <c r="N225" s="55" t="n"/>
      <c r="O225" s="55" t="n"/>
      <c r="P225" s="55" t="n"/>
      <c r="Q225" s="55" t="n"/>
      <c r="R225" s="58" t="n"/>
      <c r="S225" s="59">
        <f>IF(tblPlant[[#This Row],[Milled_t]]="","",tblPlant[[#This Row],[Milled_t]]*tblPlant[[#This Row],[Head_Grade_gpt]]/cfg_TroyOz)</f>
        <v/>
      </c>
      <c r="T225" s="59">
        <f>IF(tblPlant[[#This Row],[Milled_t]]="","",tblPlant[[#This Row],[Milled_t]]*tblPlant[[#This Row],[Tails_Grade_gpt]]/cfg_TroyOz)</f>
        <v/>
      </c>
      <c r="U225" s="59">
        <f>IF(tblPlant[[#This Row],[Milled_t]]="","",tblPlant[[#This Row],[Feed_oz]]-tblPlant[[#This Row],[Tails_oz]])</f>
        <v/>
      </c>
      <c r="V225" s="60">
        <f>IF(AND(tblPlant[[#This Row],[Milled_t]]&lt;&gt;"",tblPlant[[#This Row],[Feed_oz]]&gt;0),tblPlant[[#This Row],[Recovered_oz]]/tblPlant[[#This Row],[Feed_oz]],"")</f>
        <v/>
      </c>
      <c r="W225" s="59">
        <f>IF(AND(tblPlant[[#This Row],[Milled_t]]&lt;&gt;"",tblPlant[[#This Row],[Mill_Run_h]]&gt;0),tblPlant[[#This Row],[Milled_t]]/tblPlant[[#This Row],[Mill_Run_h]],"")</f>
        <v/>
      </c>
      <c r="X225" s="60">
        <f>IF(tblPlant[[#This Row],[Mill_Run_h]]="","",(24-tblPlant[[#This Row],[Mill_Planned_Maint_h]]-tblPlant[[#This Row],[Mill_Unplanned_Down_h]])/24)</f>
        <v/>
      </c>
      <c r="Y2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6">
      <c r="A226" s="54" t="n">
        <v>46243</v>
      </c>
      <c r="B226" s="55" t="n"/>
      <c r="C226" s="55" t="n"/>
      <c r="D226" s="56" t="n"/>
      <c r="E226" s="56" t="n"/>
      <c r="F226" s="55" t="n"/>
      <c r="G226" s="55" t="n"/>
      <c r="H226" s="57" t="n"/>
      <c r="I226" s="57" t="n"/>
      <c r="J226" s="57" t="n"/>
      <c r="K226" s="57" t="n"/>
      <c r="L226" s="55" t="n"/>
      <c r="M226" s="55" t="n"/>
      <c r="N226" s="55" t="n"/>
      <c r="O226" s="55" t="n"/>
      <c r="P226" s="55" t="n"/>
      <c r="Q226" s="55" t="n"/>
      <c r="R226" s="58" t="n"/>
      <c r="S226" s="59">
        <f>IF(tblPlant[[#This Row],[Milled_t]]="","",tblPlant[[#This Row],[Milled_t]]*tblPlant[[#This Row],[Head_Grade_gpt]]/cfg_TroyOz)</f>
        <v/>
      </c>
      <c r="T226" s="59">
        <f>IF(tblPlant[[#This Row],[Milled_t]]="","",tblPlant[[#This Row],[Milled_t]]*tblPlant[[#This Row],[Tails_Grade_gpt]]/cfg_TroyOz)</f>
        <v/>
      </c>
      <c r="U226" s="59">
        <f>IF(tblPlant[[#This Row],[Milled_t]]="","",tblPlant[[#This Row],[Feed_oz]]-tblPlant[[#This Row],[Tails_oz]])</f>
        <v/>
      </c>
      <c r="V226" s="60">
        <f>IF(AND(tblPlant[[#This Row],[Milled_t]]&lt;&gt;"",tblPlant[[#This Row],[Feed_oz]]&gt;0),tblPlant[[#This Row],[Recovered_oz]]/tblPlant[[#This Row],[Feed_oz]],"")</f>
        <v/>
      </c>
      <c r="W226" s="59">
        <f>IF(AND(tblPlant[[#This Row],[Milled_t]]&lt;&gt;"",tblPlant[[#This Row],[Mill_Run_h]]&gt;0),tblPlant[[#This Row],[Milled_t]]/tblPlant[[#This Row],[Mill_Run_h]],"")</f>
        <v/>
      </c>
      <c r="X226" s="60">
        <f>IF(tblPlant[[#This Row],[Mill_Run_h]]="","",(24-tblPlant[[#This Row],[Mill_Planned_Maint_h]]-tblPlant[[#This Row],[Mill_Unplanned_Down_h]])/24)</f>
        <v/>
      </c>
      <c r="Y2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7">
      <c r="A227" s="54" t="n">
        <v>46244</v>
      </c>
      <c r="B227" s="55" t="n"/>
      <c r="C227" s="55" t="n"/>
      <c r="D227" s="56" t="n"/>
      <c r="E227" s="56" t="n"/>
      <c r="F227" s="55" t="n"/>
      <c r="G227" s="55" t="n"/>
      <c r="H227" s="57" t="n"/>
      <c r="I227" s="57" t="n"/>
      <c r="J227" s="57" t="n"/>
      <c r="K227" s="57" t="n"/>
      <c r="L227" s="55" t="n"/>
      <c r="M227" s="55" t="n"/>
      <c r="N227" s="55" t="n"/>
      <c r="O227" s="55" t="n"/>
      <c r="P227" s="55" t="n"/>
      <c r="Q227" s="55" t="n"/>
      <c r="R227" s="58" t="n"/>
      <c r="S227" s="59">
        <f>IF(tblPlant[[#This Row],[Milled_t]]="","",tblPlant[[#This Row],[Milled_t]]*tblPlant[[#This Row],[Head_Grade_gpt]]/cfg_TroyOz)</f>
        <v/>
      </c>
      <c r="T227" s="59">
        <f>IF(tblPlant[[#This Row],[Milled_t]]="","",tblPlant[[#This Row],[Milled_t]]*tblPlant[[#This Row],[Tails_Grade_gpt]]/cfg_TroyOz)</f>
        <v/>
      </c>
      <c r="U227" s="59">
        <f>IF(tblPlant[[#This Row],[Milled_t]]="","",tblPlant[[#This Row],[Feed_oz]]-tblPlant[[#This Row],[Tails_oz]])</f>
        <v/>
      </c>
      <c r="V227" s="60">
        <f>IF(AND(tblPlant[[#This Row],[Milled_t]]&lt;&gt;"",tblPlant[[#This Row],[Feed_oz]]&gt;0),tblPlant[[#This Row],[Recovered_oz]]/tblPlant[[#This Row],[Feed_oz]],"")</f>
        <v/>
      </c>
      <c r="W227" s="59">
        <f>IF(AND(tblPlant[[#This Row],[Milled_t]]&lt;&gt;"",tblPlant[[#This Row],[Mill_Run_h]]&gt;0),tblPlant[[#This Row],[Milled_t]]/tblPlant[[#This Row],[Mill_Run_h]],"")</f>
        <v/>
      </c>
      <c r="X227" s="60">
        <f>IF(tblPlant[[#This Row],[Mill_Run_h]]="","",(24-tblPlant[[#This Row],[Mill_Planned_Maint_h]]-tblPlant[[#This Row],[Mill_Unplanned_Down_h]])/24)</f>
        <v/>
      </c>
      <c r="Y2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8">
      <c r="A228" s="54" t="n">
        <v>46245</v>
      </c>
      <c r="B228" s="55" t="n"/>
      <c r="C228" s="55" t="n"/>
      <c r="D228" s="56" t="n"/>
      <c r="E228" s="56" t="n"/>
      <c r="F228" s="55" t="n"/>
      <c r="G228" s="55" t="n"/>
      <c r="H228" s="57" t="n"/>
      <c r="I228" s="57" t="n"/>
      <c r="J228" s="57" t="n"/>
      <c r="K228" s="57" t="n"/>
      <c r="L228" s="55" t="n"/>
      <c r="M228" s="55" t="n"/>
      <c r="N228" s="55" t="n"/>
      <c r="O228" s="55" t="n"/>
      <c r="P228" s="55" t="n"/>
      <c r="Q228" s="55" t="n"/>
      <c r="R228" s="58" t="n"/>
      <c r="S228" s="59">
        <f>IF(tblPlant[[#This Row],[Milled_t]]="","",tblPlant[[#This Row],[Milled_t]]*tblPlant[[#This Row],[Head_Grade_gpt]]/cfg_TroyOz)</f>
        <v/>
      </c>
      <c r="T228" s="59">
        <f>IF(tblPlant[[#This Row],[Milled_t]]="","",tblPlant[[#This Row],[Milled_t]]*tblPlant[[#This Row],[Tails_Grade_gpt]]/cfg_TroyOz)</f>
        <v/>
      </c>
      <c r="U228" s="59">
        <f>IF(tblPlant[[#This Row],[Milled_t]]="","",tblPlant[[#This Row],[Feed_oz]]-tblPlant[[#This Row],[Tails_oz]])</f>
        <v/>
      </c>
      <c r="V228" s="60">
        <f>IF(AND(tblPlant[[#This Row],[Milled_t]]&lt;&gt;"",tblPlant[[#This Row],[Feed_oz]]&gt;0),tblPlant[[#This Row],[Recovered_oz]]/tblPlant[[#This Row],[Feed_oz]],"")</f>
        <v/>
      </c>
      <c r="W228" s="59">
        <f>IF(AND(tblPlant[[#This Row],[Milled_t]]&lt;&gt;"",tblPlant[[#This Row],[Mill_Run_h]]&gt;0),tblPlant[[#This Row],[Milled_t]]/tblPlant[[#This Row],[Mill_Run_h]],"")</f>
        <v/>
      </c>
      <c r="X228" s="60">
        <f>IF(tblPlant[[#This Row],[Mill_Run_h]]="","",(24-tblPlant[[#This Row],[Mill_Planned_Maint_h]]-tblPlant[[#This Row],[Mill_Unplanned_Down_h]])/24)</f>
        <v/>
      </c>
      <c r="Y2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9">
      <c r="A229" s="54" t="n">
        <v>46246</v>
      </c>
      <c r="B229" s="55" t="n"/>
      <c r="C229" s="55" t="n"/>
      <c r="D229" s="56" t="n"/>
      <c r="E229" s="56" t="n"/>
      <c r="F229" s="55" t="n"/>
      <c r="G229" s="55" t="n"/>
      <c r="H229" s="57" t="n"/>
      <c r="I229" s="57" t="n"/>
      <c r="J229" s="57" t="n"/>
      <c r="K229" s="57" t="n"/>
      <c r="L229" s="55" t="n"/>
      <c r="M229" s="55" t="n"/>
      <c r="N229" s="55" t="n"/>
      <c r="O229" s="55" t="n"/>
      <c r="P229" s="55" t="n"/>
      <c r="Q229" s="55" t="n"/>
      <c r="R229" s="58" t="n"/>
      <c r="S229" s="59">
        <f>IF(tblPlant[[#This Row],[Milled_t]]="","",tblPlant[[#This Row],[Milled_t]]*tblPlant[[#This Row],[Head_Grade_gpt]]/cfg_TroyOz)</f>
        <v/>
      </c>
      <c r="T229" s="59">
        <f>IF(tblPlant[[#This Row],[Milled_t]]="","",tblPlant[[#This Row],[Milled_t]]*tblPlant[[#This Row],[Tails_Grade_gpt]]/cfg_TroyOz)</f>
        <v/>
      </c>
      <c r="U229" s="59">
        <f>IF(tblPlant[[#This Row],[Milled_t]]="","",tblPlant[[#This Row],[Feed_oz]]-tblPlant[[#This Row],[Tails_oz]])</f>
        <v/>
      </c>
      <c r="V229" s="60">
        <f>IF(AND(tblPlant[[#This Row],[Milled_t]]&lt;&gt;"",tblPlant[[#This Row],[Feed_oz]]&gt;0),tblPlant[[#This Row],[Recovered_oz]]/tblPlant[[#This Row],[Feed_oz]],"")</f>
        <v/>
      </c>
      <c r="W229" s="59">
        <f>IF(AND(tblPlant[[#This Row],[Milled_t]]&lt;&gt;"",tblPlant[[#This Row],[Mill_Run_h]]&gt;0),tblPlant[[#This Row],[Milled_t]]/tblPlant[[#This Row],[Mill_Run_h]],"")</f>
        <v/>
      </c>
      <c r="X229" s="60">
        <f>IF(tblPlant[[#This Row],[Mill_Run_h]]="","",(24-tblPlant[[#This Row],[Mill_Planned_Maint_h]]-tblPlant[[#This Row],[Mill_Unplanned_Down_h]])/24)</f>
        <v/>
      </c>
      <c r="Y2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0">
      <c r="A230" s="54" t="n">
        <v>46247</v>
      </c>
      <c r="B230" s="55" t="n"/>
      <c r="C230" s="55" t="n"/>
      <c r="D230" s="56" t="n"/>
      <c r="E230" s="56" t="n"/>
      <c r="F230" s="55" t="n"/>
      <c r="G230" s="55" t="n"/>
      <c r="H230" s="57" t="n"/>
      <c r="I230" s="57" t="n"/>
      <c r="J230" s="57" t="n"/>
      <c r="K230" s="57" t="n"/>
      <c r="L230" s="55" t="n"/>
      <c r="M230" s="55" t="n"/>
      <c r="N230" s="55" t="n"/>
      <c r="O230" s="55" t="n"/>
      <c r="P230" s="55" t="n"/>
      <c r="Q230" s="55" t="n"/>
      <c r="R230" s="58" t="n"/>
      <c r="S230" s="59">
        <f>IF(tblPlant[[#This Row],[Milled_t]]="","",tblPlant[[#This Row],[Milled_t]]*tblPlant[[#This Row],[Head_Grade_gpt]]/cfg_TroyOz)</f>
        <v/>
      </c>
      <c r="T230" s="59">
        <f>IF(tblPlant[[#This Row],[Milled_t]]="","",tblPlant[[#This Row],[Milled_t]]*tblPlant[[#This Row],[Tails_Grade_gpt]]/cfg_TroyOz)</f>
        <v/>
      </c>
      <c r="U230" s="59">
        <f>IF(tblPlant[[#This Row],[Milled_t]]="","",tblPlant[[#This Row],[Feed_oz]]-tblPlant[[#This Row],[Tails_oz]])</f>
        <v/>
      </c>
      <c r="V230" s="60">
        <f>IF(AND(tblPlant[[#This Row],[Milled_t]]&lt;&gt;"",tblPlant[[#This Row],[Feed_oz]]&gt;0),tblPlant[[#This Row],[Recovered_oz]]/tblPlant[[#This Row],[Feed_oz]],"")</f>
        <v/>
      </c>
      <c r="W230" s="59">
        <f>IF(AND(tblPlant[[#This Row],[Milled_t]]&lt;&gt;"",tblPlant[[#This Row],[Mill_Run_h]]&gt;0),tblPlant[[#This Row],[Milled_t]]/tblPlant[[#This Row],[Mill_Run_h]],"")</f>
        <v/>
      </c>
      <c r="X230" s="60">
        <f>IF(tblPlant[[#This Row],[Mill_Run_h]]="","",(24-tblPlant[[#This Row],[Mill_Planned_Maint_h]]-tblPlant[[#This Row],[Mill_Unplanned_Down_h]])/24)</f>
        <v/>
      </c>
      <c r="Y2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1">
      <c r="A231" s="54" t="n">
        <v>46248</v>
      </c>
      <c r="B231" s="55" t="n"/>
      <c r="C231" s="55" t="n"/>
      <c r="D231" s="56" t="n"/>
      <c r="E231" s="56" t="n"/>
      <c r="F231" s="55" t="n"/>
      <c r="G231" s="55" t="n"/>
      <c r="H231" s="57" t="n"/>
      <c r="I231" s="57" t="n"/>
      <c r="J231" s="57" t="n"/>
      <c r="K231" s="57" t="n"/>
      <c r="L231" s="55" t="n"/>
      <c r="M231" s="55" t="n"/>
      <c r="N231" s="55" t="n"/>
      <c r="O231" s="55" t="n"/>
      <c r="P231" s="55" t="n"/>
      <c r="Q231" s="55" t="n"/>
      <c r="R231" s="58" t="n"/>
      <c r="S231" s="59">
        <f>IF(tblPlant[[#This Row],[Milled_t]]="","",tblPlant[[#This Row],[Milled_t]]*tblPlant[[#This Row],[Head_Grade_gpt]]/cfg_TroyOz)</f>
        <v/>
      </c>
      <c r="T231" s="59">
        <f>IF(tblPlant[[#This Row],[Milled_t]]="","",tblPlant[[#This Row],[Milled_t]]*tblPlant[[#This Row],[Tails_Grade_gpt]]/cfg_TroyOz)</f>
        <v/>
      </c>
      <c r="U231" s="59">
        <f>IF(tblPlant[[#This Row],[Milled_t]]="","",tblPlant[[#This Row],[Feed_oz]]-tblPlant[[#This Row],[Tails_oz]])</f>
        <v/>
      </c>
      <c r="V231" s="60">
        <f>IF(AND(tblPlant[[#This Row],[Milled_t]]&lt;&gt;"",tblPlant[[#This Row],[Feed_oz]]&gt;0),tblPlant[[#This Row],[Recovered_oz]]/tblPlant[[#This Row],[Feed_oz]],"")</f>
        <v/>
      </c>
      <c r="W231" s="59">
        <f>IF(AND(tblPlant[[#This Row],[Milled_t]]&lt;&gt;"",tblPlant[[#This Row],[Mill_Run_h]]&gt;0),tblPlant[[#This Row],[Milled_t]]/tblPlant[[#This Row],[Mill_Run_h]],"")</f>
        <v/>
      </c>
      <c r="X231" s="60">
        <f>IF(tblPlant[[#This Row],[Mill_Run_h]]="","",(24-tblPlant[[#This Row],[Mill_Planned_Maint_h]]-tblPlant[[#This Row],[Mill_Unplanned_Down_h]])/24)</f>
        <v/>
      </c>
      <c r="Y2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2">
      <c r="A232" s="54" t="n">
        <v>46249</v>
      </c>
      <c r="B232" s="55" t="n"/>
      <c r="C232" s="55" t="n"/>
      <c r="D232" s="56" t="n"/>
      <c r="E232" s="56" t="n"/>
      <c r="F232" s="55" t="n"/>
      <c r="G232" s="55" t="n"/>
      <c r="H232" s="57" t="n"/>
      <c r="I232" s="57" t="n"/>
      <c r="J232" s="57" t="n"/>
      <c r="K232" s="57" t="n"/>
      <c r="L232" s="55" t="n"/>
      <c r="M232" s="55" t="n"/>
      <c r="N232" s="55" t="n"/>
      <c r="O232" s="55" t="n"/>
      <c r="P232" s="55" t="n"/>
      <c r="Q232" s="55" t="n"/>
      <c r="R232" s="58" t="n"/>
      <c r="S232" s="59">
        <f>IF(tblPlant[[#This Row],[Milled_t]]="","",tblPlant[[#This Row],[Milled_t]]*tblPlant[[#This Row],[Head_Grade_gpt]]/cfg_TroyOz)</f>
        <v/>
      </c>
      <c r="T232" s="59">
        <f>IF(tblPlant[[#This Row],[Milled_t]]="","",tblPlant[[#This Row],[Milled_t]]*tblPlant[[#This Row],[Tails_Grade_gpt]]/cfg_TroyOz)</f>
        <v/>
      </c>
      <c r="U232" s="59">
        <f>IF(tblPlant[[#This Row],[Milled_t]]="","",tblPlant[[#This Row],[Feed_oz]]-tblPlant[[#This Row],[Tails_oz]])</f>
        <v/>
      </c>
      <c r="V232" s="60">
        <f>IF(AND(tblPlant[[#This Row],[Milled_t]]&lt;&gt;"",tblPlant[[#This Row],[Feed_oz]]&gt;0),tblPlant[[#This Row],[Recovered_oz]]/tblPlant[[#This Row],[Feed_oz]],"")</f>
        <v/>
      </c>
      <c r="W232" s="59">
        <f>IF(AND(tblPlant[[#This Row],[Milled_t]]&lt;&gt;"",tblPlant[[#This Row],[Mill_Run_h]]&gt;0),tblPlant[[#This Row],[Milled_t]]/tblPlant[[#This Row],[Mill_Run_h]],"")</f>
        <v/>
      </c>
      <c r="X232" s="60">
        <f>IF(tblPlant[[#This Row],[Mill_Run_h]]="","",(24-tblPlant[[#This Row],[Mill_Planned_Maint_h]]-tblPlant[[#This Row],[Mill_Unplanned_Down_h]])/24)</f>
        <v/>
      </c>
      <c r="Y2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3">
      <c r="A233" s="54" t="n">
        <v>46250</v>
      </c>
      <c r="B233" s="55" t="n"/>
      <c r="C233" s="55" t="n"/>
      <c r="D233" s="56" t="n"/>
      <c r="E233" s="56" t="n"/>
      <c r="F233" s="55" t="n"/>
      <c r="G233" s="55" t="n"/>
      <c r="H233" s="57" t="n"/>
      <c r="I233" s="57" t="n"/>
      <c r="J233" s="57" t="n"/>
      <c r="K233" s="57" t="n"/>
      <c r="L233" s="55" t="n"/>
      <c r="M233" s="55" t="n"/>
      <c r="N233" s="55" t="n"/>
      <c r="O233" s="55" t="n"/>
      <c r="P233" s="55" t="n"/>
      <c r="Q233" s="55" t="n"/>
      <c r="R233" s="58" t="n"/>
      <c r="S233" s="59">
        <f>IF(tblPlant[[#This Row],[Milled_t]]="","",tblPlant[[#This Row],[Milled_t]]*tblPlant[[#This Row],[Head_Grade_gpt]]/cfg_TroyOz)</f>
        <v/>
      </c>
      <c r="T233" s="59">
        <f>IF(tblPlant[[#This Row],[Milled_t]]="","",tblPlant[[#This Row],[Milled_t]]*tblPlant[[#This Row],[Tails_Grade_gpt]]/cfg_TroyOz)</f>
        <v/>
      </c>
      <c r="U233" s="59">
        <f>IF(tblPlant[[#This Row],[Milled_t]]="","",tblPlant[[#This Row],[Feed_oz]]-tblPlant[[#This Row],[Tails_oz]])</f>
        <v/>
      </c>
      <c r="V233" s="60">
        <f>IF(AND(tblPlant[[#This Row],[Milled_t]]&lt;&gt;"",tblPlant[[#This Row],[Feed_oz]]&gt;0),tblPlant[[#This Row],[Recovered_oz]]/tblPlant[[#This Row],[Feed_oz]],"")</f>
        <v/>
      </c>
      <c r="W233" s="59">
        <f>IF(AND(tblPlant[[#This Row],[Milled_t]]&lt;&gt;"",tblPlant[[#This Row],[Mill_Run_h]]&gt;0),tblPlant[[#This Row],[Milled_t]]/tblPlant[[#This Row],[Mill_Run_h]],"")</f>
        <v/>
      </c>
      <c r="X233" s="60">
        <f>IF(tblPlant[[#This Row],[Mill_Run_h]]="","",(24-tblPlant[[#This Row],[Mill_Planned_Maint_h]]-tblPlant[[#This Row],[Mill_Unplanned_Down_h]])/24)</f>
        <v/>
      </c>
      <c r="Y2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4">
      <c r="A234" s="54" t="n">
        <v>46251</v>
      </c>
      <c r="B234" s="55" t="n"/>
      <c r="C234" s="55" t="n"/>
      <c r="D234" s="56" t="n"/>
      <c r="E234" s="56" t="n"/>
      <c r="F234" s="55" t="n"/>
      <c r="G234" s="55" t="n"/>
      <c r="H234" s="57" t="n"/>
      <c r="I234" s="57" t="n"/>
      <c r="J234" s="57" t="n"/>
      <c r="K234" s="57" t="n"/>
      <c r="L234" s="55" t="n"/>
      <c r="M234" s="55" t="n"/>
      <c r="N234" s="55" t="n"/>
      <c r="O234" s="55" t="n"/>
      <c r="P234" s="55" t="n"/>
      <c r="Q234" s="55" t="n"/>
      <c r="R234" s="58" t="n"/>
      <c r="S234" s="59">
        <f>IF(tblPlant[[#This Row],[Milled_t]]="","",tblPlant[[#This Row],[Milled_t]]*tblPlant[[#This Row],[Head_Grade_gpt]]/cfg_TroyOz)</f>
        <v/>
      </c>
      <c r="T234" s="59">
        <f>IF(tblPlant[[#This Row],[Milled_t]]="","",tblPlant[[#This Row],[Milled_t]]*tblPlant[[#This Row],[Tails_Grade_gpt]]/cfg_TroyOz)</f>
        <v/>
      </c>
      <c r="U234" s="59">
        <f>IF(tblPlant[[#This Row],[Milled_t]]="","",tblPlant[[#This Row],[Feed_oz]]-tblPlant[[#This Row],[Tails_oz]])</f>
        <v/>
      </c>
      <c r="V234" s="60">
        <f>IF(AND(tblPlant[[#This Row],[Milled_t]]&lt;&gt;"",tblPlant[[#This Row],[Feed_oz]]&gt;0),tblPlant[[#This Row],[Recovered_oz]]/tblPlant[[#This Row],[Feed_oz]],"")</f>
        <v/>
      </c>
      <c r="W234" s="59">
        <f>IF(AND(tblPlant[[#This Row],[Milled_t]]&lt;&gt;"",tblPlant[[#This Row],[Mill_Run_h]]&gt;0),tblPlant[[#This Row],[Milled_t]]/tblPlant[[#This Row],[Mill_Run_h]],"")</f>
        <v/>
      </c>
      <c r="X234" s="60">
        <f>IF(tblPlant[[#This Row],[Mill_Run_h]]="","",(24-tblPlant[[#This Row],[Mill_Planned_Maint_h]]-tblPlant[[#This Row],[Mill_Unplanned_Down_h]])/24)</f>
        <v/>
      </c>
      <c r="Y2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5">
      <c r="A235" s="54" t="n">
        <v>46252</v>
      </c>
      <c r="B235" s="55" t="n"/>
      <c r="C235" s="55" t="n"/>
      <c r="D235" s="56" t="n"/>
      <c r="E235" s="56" t="n"/>
      <c r="F235" s="55" t="n"/>
      <c r="G235" s="55" t="n"/>
      <c r="H235" s="57" t="n"/>
      <c r="I235" s="57" t="n"/>
      <c r="J235" s="57" t="n"/>
      <c r="K235" s="57" t="n"/>
      <c r="L235" s="55" t="n"/>
      <c r="M235" s="55" t="n"/>
      <c r="N235" s="55" t="n"/>
      <c r="O235" s="55" t="n"/>
      <c r="P235" s="55" t="n"/>
      <c r="Q235" s="55" t="n"/>
      <c r="R235" s="58" t="n"/>
      <c r="S235" s="59">
        <f>IF(tblPlant[[#This Row],[Milled_t]]="","",tblPlant[[#This Row],[Milled_t]]*tblPlant[[#This Row],[Head_Grade_gpt]]/cfg_TroyOz)</f>
        <v/>
      </c>
      <c r="T235" s="59">
        <f>IF(tblPlant[[#This Row],[Milled_t]]="","",tblPlant[[#This Row],[Milled_t]]*tblPlant[[#This Row],[Tails_Grade_gpt]]/cfg_TroyOz)</f>
        <v/>
      </c>
      <c r="U235" s="59">
        <f>IF(tblPlant[[#This Row],[Milled_t]]="","",tblPlant[[#This Row],[Feed_oz]]-tblPlant[[#This Row],[Tails_oz]])</f>
        <v/>
      </c>
      <c r="V235" s="60">
        <f>IF(AND(tblPlant[[#This Row],[Milled_t]]&lt;&gt;"",tblPlant[[#This Row],[Feed_oz]]&gt;0),tblPlant[[#This Row],[Recovered_oz]]/tblPlant[[#This Row],[Feed_oz]],"")</f>
        <v/>
      </c>
      <c r="W235" s="59">
        <f>IF(AND(tblPlant[[#This Row],[Milled_t]]&lt;&gt;"",tblPlant[[#This Row],[Mill_Run_h]]&gt;0),tblPlant[[#This Row],[Milled_t]]/tblPlant[[#This Row],[Mill_Run_h]],"")</f>
        <v/>
      </c>
      <c r="X235" s="60">
        <f>IF(tblPlant[[#This Row],[Mill_Run_h]]="","",(24-tblPlant[[#This Row],[Mill_Planned_Maint_h]]-tblPlant[[#This Row],[Mill_Unplanned_Down_h]])/24)</f>
        <v/>
      </c>
      <c r="Y2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6">
      <c r="A236" s="54" t="n">
        <v>46253</v>
      </c>
      <c r="B236" s="55" t="n"/>
      <c r="C236" s="55" t="n"/>
      <c r="D236" s="56" t="n"/>
      <c r="E236" s="56" t="n"/>
      <c r="F236" s="55" t="n"/>
      <c r="G236" s="55" t="n"/>
      <c r="H236" s="57" t="n"/>
      <c r="I236" s="57" t="n"/>
      <c r="J236" s="57" t="n"/>
      <c r="K236" s="57" t="n"/>
      <c r="L236" s="55" t="n"/>
      <c r="M236" s="55" t="n"/>
      <c r="N236" s="55" t="n"/>
      <c r="O236" s="55" t="n"/>
      <c r="P236" s="55" t="n"/>
      <c r="Q236" s="55" t="n"/>
      <c r="R236" s="58" t="n"/>
      <c r="S236" s="59">
        <f>IF(tblPlant[[#This Row],[Milled_t]]="","",tblPlant[[#This Row],[Milled_t]]*tblPlant[[#This Row],[Head_Grade_gpt]]/cfg_TroyOz)</f>
        <v/>
      </c>
      <c r="T236" s="59">
        <f>IF(tblPlant[[#This Row],[Milled_t]]="","",tblPlant[[#This Row],[Milled_t]]*tblPlant[[#This Row],[Tails_Grade_gpt]]/cfg_TroyOz)</f>
        <v/>
      </c>
      <c r="U236" s="59">
        <f>IF(tblPlant[[#This Row],[Milled_t]]="","",tblPlant[[#This Row],[Feed_oz]]-tblPlant[[#This Row],[Tails_oz]])</f>
        <v/>
      </c>
      <c r="V236" s="60">
        <f>IF(AND(tblPlant[[#This Row],[Milled_t]]&lt;&gt;"",tblPlant[[#This Row],[Feed_oz]]&gt;0),tblPlant[[#This Row],[Recovered_oz]]/tblPlant[[#This Row],[Feed_oz]],"")</f>
        <v/>
      </c>
      <c r="W236" s="59">
        <f>IF(AND(tblPlant[[#This Row],[Milled_t]]&lt;&gt;"",tblPlant[[#This Row],[Mill_Run_h]]&gt;0),tblPlant[[#This Row],[Milled_t]]/tblPlant[[#This Row],[Mill_Run_h]],"")</f>
        <v/>
      </c>
      <c r="X236" s="60">
        <f>IF(tblPlant[[#This Row],[Mill_Run_h]]="","",(24-tblPlant[[#This Row],[Mill_Planned_Maint_h]]-tblPlant[[#This Row],[Mill_Unplanned_Down_h]])/24)</f>
        <v/>
      </c>
      <c r="Y2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7">
      <c r="A237" s="54" t="n">
        <v>46254</v>
      </c>
      <c r="B237" s="55" t="n"/>
      <c r="C237" s="55" t="n"/>
      <c r="D237" s="56" t="n"/>
      <c r="E237" s="56" t="n"/>
      <c r="F237" s="55" t="n"/>
      <c r="G237" s="55" t="n"/>
      <c r="H237" s="57" t="n"/>
      <c r="I237" s="57" t="n"/>
      <c r="J237" s="57" t="n"/>
      <c r="K237" s="57" t="n"/>
      <c r="L237" s="55" t="n"/>
      <c r="M237" s="55" t="n"/>
      <c r="N237" s="55" t="n"/>
      <c r="O237" s="55" t="n"/>
      <c r="P237" s="55" t="n"/>
      <c r="Q237" s="55" t="n"/>
      <c r="R237" s="58" t="n"/>
      <c r="S237" s="59">
        <f>IF(tblPlant[[#This Row],[Milled_t]]="","",tblPlant[[#This Row],[Milled_t]]*tblPlant[[#This Row],[Head_Grade_gpt]]/cfg_TroyOz)</f>
        <v/>
      </c>
      <c r="T237" s="59">
        <f>IF(tblPlant[[#This Row],[Milled_t]]="","",tblPlant[[#This Row],[Milled_t]]*tblPlant[[#This Row],[Tails_Grade_gpt]]/cfg_TroyOz)</f>
        <v/>
      </c>
      <c r="U237" s="59">
        <f>IF(tblPlant[[#This Row],[Milled_t]]="","",tblPlant[[#This Row],[Feed_oz]]-tblPlant[[#This Row],[Tails_oz]])</f>
        <v/>
      </c>
      <c r="V237" s="60">
        <f>IF(AND(tblPlant[[#This Row],[Milled_t]]&lt;&gt;"",tblPlant[[#This Row],[Feed_oz]]&gt;0),tblPlant[[#This Row],[Recovered_oz]]/tblPlant[[#This Row],[Feed_oz]],"")</f>
        <v/>
      </c>
      <c r="W237" s="59">
        <f>IF(AND(tblPlant[[#This Row],[Milled_t]]&lt;&gt;"",tblPlant[[#This Row],[Mill_Run_h]]&gt;0),tblPlant[[#This Row],[Milled_t]]/tblPlant[[#This Row],[Mill_Run_h]],"")</f>
        <v/>
      </c>
      <c r="X237" s="60">
        <f>IF(tblPlant[[#This Row],[Mill_Run_h]]="","",(24-tblPlant[[#This Row],[Mill_Planned_Maint_h]]-tblPlant[[#This Row],[Mill_Unplanned_Down_h]])/24)</f>
        <v/>
      </c>
      <c r="Y2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8">
      <c r="A238" s="54" t="n">
        <v>46255</v>
      </c>
      <c r="B238" s="55" t="n"/>
      <c r="C238" s="55" t="n"/>
      <c r="D238" s="56" t="n"/>
      <c r="E238" s="56" t="n"/>
      <c r="F238" s="55" t="n"/>
      <c r="G238" s="55" t="n"/>
      <c r="H238" s="57" t="n"/>
      <c r="I238" s="57" t="n"/>
      <c r="J238" s="57" t="n"/>
      <c r="K238" s="57" t="n"/>
      <c r="L238" s="55" t="n"/>
      <c r="M238" s="55" t="n"/>
      <c r="N238" s="55" t="n"/>
      <c r="O238" s="55" t="n"/>
      <c r="P238" s="55" t="n"/>
      <c r="Q238" s="55" t="n"/>
      <c r="R238" s="58" t="n"/>
      <c r="S238" s="59">
        <f>IF(tblPlant[[#This Row],[Milled_t]]="","",tblPlant[[#This Row],[Milled_t]]*tblPlant[[#This Row],[Head_Grade_gpt]]/cfg_TroyOz)</f>
        <v/>
      </c>
      <c r="T238" s="59">
        <f>IF(tblPlant[[#This Row],[Milled_t]]="","",tblPlant[[#This Row],[Milled_t]]*tblPlant[[#This Row],[Tails_Grade_gpt]]/cfg_TroyOz)</f>
        <v/>
      </c>
      <c r="U238" s="59">
        <f>IF(tblPlant[[#This Row],[Milled_t]]="","",tblPlant[[#This Row],[Feed_oz]]-tblPlant[[#This Row],[Tails_oz]])</f>
        <v/>
      </c>
      <c r="V238" s="60">
        <f>IF(AND(tblPlant[[#This Row],[Milled_t]]&lt;&gt;"",tblPlant[[#This Row],[Feed_oz]]&gt;0),tblPlant[[#This Row],[Recovered_oz]]/tblPlant[[#This Row],[Feed_oz]],"")</f>
        <v/>
      </c>
      <c r="W238" s="59">
        <f>IF(AND(tblPlant[[#This Row],[Milled_t]]&lt;&gt;"",tblPlant[[#This Row],[Mill_Run_h]]&gt;0),tblPlant[[#This Row],[Milled_t]]/tblPlant[[#This Row],[Mill_Run_h]],"")</f>
        <v/>
      </c>
      <c r="X238" s="60">
        <f>IF(tblPlant[[#This Row],[Mill_Run_h]]="","",(24-tblPlant[[#This Row],[Mill_Planned_Maint_h]]-tblPlant[[#This Row],[Mill_Unplanned_Down_h]])/24)</f>
        <v/>
      </c>
      <c r="Y2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9">
      <c r="A239" s="54" t="n">
        <v>46256</v>
      </c>
      <c r="B239" s="55" t="n"/>
      <c r="C239" s="55" t="n"/>
      <c r="D239" s="56" t="n"/>
      <c r="E239" s="56" t="n"/>
      <c r="F239" s="55" t="n"/>
      <c r="G239" s="55" t="n"/>
      <c r="H239" s="57" t="n"/>
      <c r="I239" s="57" t="n"/>
      <c r="J239" s="57" t="n"/>
      <c r="K239" s="57" t="n"/>
      <c r="L239" s="55" t="n"/>
      <c r="M239" s="55" t="n"/>
      <c r="N239" s="55" t="n"/>
      <c r="O239" s="55" t="n"/>
      <c r="P239" s="55" t="n"/>
      <c r="Q239" s="55" t="n"/>
      <c r="R239" s="58" t="n"/>
      <c r="S239" s="59">
        <f>IF(tblPlant[[#This Row],[Milled_t]]="","",tblPlant[[#This Row],[Milled_t]]*tblPlant[[#This Row],[Head_Grade_gpt]]/cfg_TroyOz)</f>
        <v/>
      </c>
      <c r="T239" s="59">
        <f>IF(tblPlant[[#This Row],[Milled_t]]="","",tblPlant[[#This Row],[Milled_t]]*tblPlant[[#This Row],[Tails_Grade_gpt]]/cfg_TroyOz)</f>
        <v/>
      </c>
      <c r="U239" s="59">
        <f>IF(tblPlant[[#This Row],[Milled_t]]="","",tblPlant[[#This Row],[Feed_oz]]-tblPlant[[#This Row],[Tails_oz]])</f>
        <v/>
      </c>
      <c r="V239" s="60">
        <f>IF(AND(tblPlant[[#This Row],[Milled_t]]&lt;&gt;"",tblPlant[[#This Row],[Feed_oz]]&gt;0),tblPlant[[#This Row],[Recovered_oz]]/tblPlant[[#This Row],[Feed_oz]],"")</f>
        <v/>
      </c>
      <c r="W239" s="59">
        <f>IF(AND(tblPlant[[#This Row],[Milled_t]]&lt;&gt;"",tblPlant[[#This Row],[Mill_Run_h]]&gt;0),tblPlant[[#This Row],[Milled_t]]/tblPlant[[#This Row],[Mill_Run_h]],"")</f>
        <v/>
      </c>
      <c r="X239" s="60">
        <f>IF(tblPlant[[#This Row],[Mill_Run_h]]="","",(24-tblPlant[[#This Row],[Mill_Planned_Maint_h]]-tblPlant[[#This Row],[Mill_Unplanned_Down_h]])/24)</f>
        <v/>
      </c>
      <c r="Y2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0">
      <c r="A240" s="54" t="n">
        <v>46257</v>
      </c>
      <c r="B240" s="55" t="n"/>
      <c r="C240" s="55" t="n"/>
      <c r="D240" s="56" t="n"/>
      <c r="E240" s="56" t="n"/>
      <c r="F240" s="55" t="n"/>
      <c r="G240" s="55" t="n"/>
      <c r="H240" s="57" t="n"/>
      <c r="I240" s="57" t="n"/>
      <c r="J240" s="57" t="n"/>
      <c r="K240" s="57" t="n"/>
      <c r="L240" s="55" t="n"/>
      <c r="M240" s="55" t="n"/>
      <c r="N240" s="55" t="n"/>
      <c r="O240" s="55" t="n"/>
      <c r="P240" s="55" t="n"/>
      <c r="Q240" s="55" t="n"/>
      <c r="R240" s="58" t="n"/>
      <c r="S240" s="59">
        <f>IF(tblPlant[[#This Row],[Milled_t]]="","",tblPlant[[#This Row],[Milled_t]]*tblPlant[[#This Row],[Head_Grade_gpt]]/cfg_TroyOz)</f>
        <v/>
      </c>
      <c r="T240" s="59">
        <f>IF(tblPlant[[#This Row],[Milled_t]]="","",tblPlant[[#This Row],[Milled_t]]*tblPlant[[#This Row],[Tails_Grade_gpt]]/cfg_TroyOz)</f>
        <v/>
      </c>
      <c r="U240" s="59">
        <f>IF(tblPlant[[#This Row],[Milled_t]]="","",tblPlant[[#This Row],[Feed_oz]]-tblPlant[[#This Row],[Tails_oz]])</f>
        <v/>
      </c>
      <c r="V240" s="60">
        <f>IF(AND(tblPlant[[#This Row],[Milled_t]]&lt;&gt;"",tblPlant[[#This Row],[Feed_oz]]&gt;0),tblPlant[[#This Row],[Recovered_oz]]/tblPlant[[#This Row],[Feed_oz]],"")</f>
        <v/>
      </c>
      <c r="W240" s="59">
        <f>IF(AND(tblPlant[[#This Row],[Milled_t]]&lt;&gt;"",tblPlant[[#This Row],[Mill_Run_h]]&gt;0),tblPlant[[#This Row],[Milled_t]]/tblPlant[[#This Row],[Mill_Run_h]],"")</f>
        <v/>
      </c>
      <c r="X240" s="60">
        <f>IF(tblPlant[[#This Row],[Mill_Run_h]]="","",(24-tblPlant[[#This Row],[Mill_Planned_Maint_h]]-tblPlant[[#This Row],[Mill_Unplanned_Down_h]])/24)</f>
        <v/>
      </c>
      <c r="Y2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1">
      <c r="A241" s="54" t="n">
        <v>46258</v>
      </c>
      <c r="B241" s="55" t="n"/>
      <c r="C241" s="55" t="n"/>
      <c r="D241" s="56" t="n"/>
      <c r="E241" s="56" t="n"/>
      <c r="F241" s="55" t="n"/>
      <c r="G241" s="55" t="n"/>
      <c r="H241" s="57" t="n"/>
      <c r="I241" s="57" t="n"/>
      <c r="J241" s="57" t="n"/>
      <c r="K241" s="57" t="n"/>
      <c r="L241" s="55" t="n"/>
      <c r="M241" s="55" t="n"/>
      <c r="N241" s="55" t="n"/>
      <c r="O241" s="55" t="n"/>
      <c r="P241" s="55" t="n"/>
      <c r="Q241" s="55" t="n"/>
      <c r="R241" s="58" t="n"/>
      <c r="S241" s="59">
        <f>IF(tblPlant[[#This Row],[Milled_t]]="","",tblPlant[[#This Row],[Milled_t]]*tblPlant[[#This Row],[Head_Grade_gpt]]/cfg_TroyOz)</f>
        <v/>
      </c>
      <c r="T241" s="59">
        <f>IF(tblPlant[[#This Row],[Milled_t]]="","",tblPlant[[#This Row],[Milled_t]]*tblPlant[[#This Row],[Tails_Grade_gpt]]/cfg_TroyOz)</f>
        <v/>
      </c>
      <c r="U241" s="59">
        <f>IF(tblPlant[[#This Row],[Milled_t]]="","",tblPlant[[#This Row],[Feed_oz]]-tblPlant[[#This Row],[Tails_oz]])</f>
        <v/>
      </c>
      <c r="V241" s="60">
        <f>IF(AND(tblPlant[[#This Row],[Milled_t]]&lt;&gt;"",tblPlant[[#This Row],[Feed_oz]]&gt;0),tblPlant[[#This Row],[Recovered_oz]]/tblPlant[[#This Row],[Feed_oz]],"")</f>
        <v/>
      </c>
      <c r="W241" s="59">
        <f>IF(AND(tblPlant[[#This Row],[Milled_t]]&lt;&gt;"",tblPlant[[#This Row],[Mill_Run_h]]&gt;0),tblPlant[[#This Row],[Milled_t]]/tblPlant[[#This Row],[Mill_Run_h]],"")</f>
        <v/>
      </c>
      <c r="X241" s="60">
        <f>IF(tblPlant[[#This Row],[Mill_Run_h]]="","",(24-tblPlant[[#This Row],[Mill_Planned_Maint_h]]-tblPlant[[#This Row],[Mill_Unplanned_Down_h]])/24)</f>
        <v/>
      </c>
      <c r="Y2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2">
      <c r="A242" s="54" t="n">
        <v>46259</v>
      </c>
      <c r="B242" s="55" t="n"/>
      <c r="C242" s="55" t="n"/>
      <c r="D242" s="56" t="n"/>
      <c r="E242" s="56" t="n"/>
      <c r="F242" s="55" t="n"/>
      <c r="G242" s="55" t="n"/>
      <c r="H242" s="57" t="n"/>
      <c r="I242" s="57" t="n"/>
      <c r="J242" s="57" t="n"/>
      <c r="K242" s="57" t="n"/>
      <c r="L242" s="55" t="n"/>
      <c r="M242" s="55" t="n"/>
      <c r="N242" s="55" t="n"/>
      <c r="O242" s="55" t="n"/>
      <c r="P242" s="55" t="n"/>
      <c r="Q242" s="55" t="n"/>
      <c r="R242" s="58" t="n"/>
      <c r="S242" s="59">
        <f>IF(tblPlant[[#This Row],[Milled_t]]="","",tblPlant[[#This Row],[Milled_t]]*tblPlant[[#This Row],[Head_Grade_gpt]]/cfg_TroyOz)</f>
        <v/>
      </c>
      <c r="T242" s="59">
        <f>IF(tblPlant[[#This Row],[Milled_t]]="","",tblPlant[[#This Row],[Milled_t]]*tblPlant[[#This Row],[Tails_Grade_gpt]]/cfg_TroyOz)</f>
        <v/>
      </c>
      <c r="U242" s="59">
        <f>IF(tblPlant[[#This Row],[Milled_t]]="","",tblPlant[[#This Row],[Feed_oz]]-tblPlant[[#This Row],[Tails_oz]])</f>
        <v/>
      </c>
      <c r="V242" s="60">
        <f>IF(AND(tblPlant[[#This Row],[Milled_t]]&lt;&gt;"",tblPlant[[#This Row],[Feed_oz]]&gt;0),tblPlant[[#This Row],[Recovered_oz]]/tblPlant[[#This Row],[Feed_oz]],"")</f>
        <v/>
      </c>
      <c r="W242" s="59">
        <f>IF(AND(tblPlant[[#This Row],[Milled_t]]&lt;&gt;"",tblPlant[[#This Row],[Mill_Run_h]]&gt;0),tblPlant[[#This Row],[Milled_t]]/tblPlant[[#This Row],[Mill_Run_h]],"")</f>
        <v/>
      </c>
      <c r="X242" s="60">
        <f>IF(tblPlant[[#This Row],[Mill_Run_h]]="","",(24-tblPlant[[#This Row],[Mill_Planned_Maint_h]]-tblPlant[[#This Row],[Mill_Unplanned_Down_h]])/24)</f>
        <v/>
      </c>
      <c r="Y2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3">
      <c r="A243" s="54" t="n">
        <v>46260</v>
      </c>
      <c r="B243" s="55" t="n"/>
      <c r="C243" s="55" t="n"/>
      <c r="D243" s="56" t="n"/>
      <c r="E243" s="56" t="n"/>
      <c r="F243" s="55" t="n"/>
      <c r="G243" s="55" t="n"/>
      <c r="H243" s="57" t="n"/>
      <c r="I243" s="57" t="n"/>
      <c r="J243" s="57" t="n"/>
      <c r="K243" s="57" t="n"/>
      <c r="L243" s="55" t="n"/>
      <c r="M243" s="55" t="n"/>
      <c r="N243" s="55" t="n"/>
      <c r="O243" s="55" t="n"/>
      <c r="P243" s="55" t="n"/>
      <c r="Q243" s="55" t="n"/>
      <c r="R243" s="58" t="n"/>
      <c r="S243" s="59">
        <f>IF(tblPlant[[#This Row],[Milled_t]]="","",tblPlant[[#This Row],[Milled_t]]*tblPlant[[#This Row],[Head_Grade_gpt]]/cfg_TroyOz)</f>
        <v/>
      </c>
      <c r="T243" s="59">
        <f>IF(tblPlant[[#This Row],[Milled_t]]="","",tblPlant[[#This Row],[Milled_t]]*tblPlant[[#This Row],[Tails_Grade_gpt]]/cfg_TroyOz)</f>
        <v/>
      </c>
      <c r="U243" s="59">
        <f>IF(tblPlant[[#This Row],[Milled_t]]="","",tblPlant[[#This Row],[Feed_oz]]-tblPlant[[#This Row],[Tails_oz]])</f>
        <v/>
      </c>
      <c r="V243" s="60">
        <f>IF(AND(tblPlant[[#This Row],[Milled_t]]&lt;&gt;"",tblPlant[[#This Row],[Feed_oz]]&gt;0),tblPlant[[#This Row],[Recovered_oz]]/tblPlant[[#This Row],[Feed_oz]],"")</f>
        <v/>
      </c>
      <c r="W243" s="59">
        <f>IF(AND(tblPlant[[#This Row],[Milled_t]]&lt;&gt;"",tblPlant[[#This Row],[Mill_Run_h]]&gt;0),tblPlant[[#This Row],[Milled_t]]/tblPlant[[#This Row],[Mill_Run_h]],"")</f>
        <v/>
      </c>
      <c r="X243" s="60">
        <f>IF(tblPlant[[#This Row],[Mill_Run_h]]="","",(24-tblPlant[[#This Row],[Mill_Planned_Maint_h]]-tblPlant[[#This Row],[Mill_Unplanned_Down_h]])/24)</f>
        <v/>
      </c>
      <c r="Y2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4">
      <c r="A244" s="54" t="n">
        <v>46261</v>
      </c>
      <c r="B244" s="55" t="n"/>
      <c r="C244" s="55" t="n"/>
      <c r="D244" s="56" t="n"/>
      <c r="E244" s="56" t="n"/>
      <c r="F244" s="55" t="n"/>
      <c r="G244" s="55" t="n"/>
      <c r="H244" s="57" t="n"/>
      <c r="I244" s="57" t="n"/>
      <c r="J244" s="57" t="n"/>
      <c r="K244" s="57" t="n"/>
      <c r="L244" s="55" t="n"/>
      <c r="M244" s="55" t="n"/>
      <c r="N244" s="55" t="n"/>
      <c r="O244" s="55" t="n"/>
      <c r="P244" s="55" t="n"/>
      <c r="Q244" s="55" t="n"/>
      <c r="R244" s="58" t="n"/>
      <c r="S244" s="59">
        <f>IF(tblPlant[[#This Row],[Milled_t]]="","",tblPlant[[#This Row],[Milled_t]]*tblPlant[[#This Row],[Head_Grade_gpt]]/cfg_TroyOz)</f>
        <v/>
      </c>
      <c r="T244" s="59">
        <f>IF(tblPlant[[#This Row],[Milled_t]]="","",tblPlant[[#This Row],[Milled_t]]*tblPlant[[#This Row],[Tails_Grade_gpt]]/cfg_TroyOz)</f>
        <v/>
      </c>
      <c r="U244" s="59">
        <f>IF(tblPlant[[#This Row],[Milled_t]]="","",tblPlant[[#This Row],[Feed_oz]]-tblPlant[[#This Row],[Tails_oz]])</f>
        <v/>
      </c>
      <c r="V244" s="60">
        <f>IF(AND(tblPlant[[#This Row],[Milled_t]]&lt;&gt;"",tblPlant[[#This Row],[Feed_oz]]&gt;0),tblPlant[[#This Row],[Recovered_oz]]/tblPlant[[#This Row],[Feed_oz]],"")</f>
        <v/>
      </c>
      <c r="W244" s="59">
        <f>IF(AND(tblPlant[[#This Row],[Milled_t]]&lt;&gt;"",tblPlant[[#This Row],[Mill_Run_h]]&gt;0),tblPlant[[#This Row],[Milled_t]]/tblPlant[[#This Row],[Mill_Run_h]],"")</f>
        <v/>
      </c>
      <c r="X244" s="60">
        <f>IF(tblPlant[[#This Row],[Mill_Run_h]]="","",(24-tblPlant[[#This Row],[Mill_Planned_Maint_h]]-tblPlant[[#This Row],[Mill_Unplanned_Down_h]])/24)</f>
        <v/>
      </c>
      <c r="Y2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5">
      <c r="A245" s="54" t="n">
        <v>46262</v>
      </c>
      <c r="B245" s="55" t="n"/>
      <c r="C245" s="55" t="n"/>
      <c r="D245" s="56" t="n"/>
      <c r="E245" s="56" t="n"/>
      <c r="F245" s="55" t="n"/>
      <c r="G245" s="55" t="n"/>
      <c r="H245" s="57" t="n"/>
      <c r="I245" s="57" t="n"/>
      <c r="J245" s="57" t="n"/>
      <c r="K245" s="57" t="n"/>
      <c r="L245" s="55" t="n"/>
      <c r="M245" s="55" t="n"/>
      <c r="N245" s="55" t="n"/>
      <c r="O245" s="55" t="n"/>
      <c r="P245" s="55" t="n"/>
      <c r="Q245" s="55" t="n"/>
      <c r="R245" s="58" t="n"/>
      <c r="S245" s="59">
        <f>IF(tblPlant[[#This Row],[Milled_t]]="","",tblPlant[[#This Row],[Milled_t]]*tblPlant[[#This Row],[Head_Grade_gpt]]/cfg_TroyOz)</f>
        <v/>
      </c>
      <c r="T245" s="59">
        <f>IF(tblPlant[[#This Row],[Milled_t]]="","",tblPlant[[#This Row],[Milled_t]]*tblPlant[[#This Row],[Tails_Grade_gpt]]/cfg_TroyOz)</f>
        <v/>
      </c>
      <c r="U245" s="59">
        <f>IF(tblPlant[[#This Row],[Milled_t]]="","",tblPlant[[#This Row],[Feed_oz]]-tblPlant[[#This Row],[Tails_oz]])</f>
        <v/>
      </c>
      <c r="V245" s="60">
        <f>IF(AND(tblPlant[[#This Row],[Milled_t]]&lt;&gt;"",tblPlant[[#This Row],[Feed_oz]]&gt;0),tblPlant[[#This Row],[Recovered_oz]]/tblPlant[[#This Row],[Feed_oz]],"")</f>
        <v/>
      </c>
      <c r="W245" s="59">
        <f>IF(AND(tblPlant[[#This Row],[Milled_t]]&lt;&gt;"",tblPlant[[#This Row],[Mill_Run_h]]&gt;0),tblPlant[[#This Row],[Milled_t]]/tblPlant[[#This Row],[Mill_Run_h]],"")</f>
        <v/>
      </c>
      <c r="X245" s="60">
        <f>IF(tblPlant[[#This Row],[Mill_Run_h]]="","",(24-tblPlant[[#This Row],[Mill_Planned_Maint_h]]-tblPlant[[#This Row],[Mill_Unplanned_Down_h]])/24)</f>
        <v/>
      </c>
      <c r="Y2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6">
      <c r="A246" s="54" t="n">
        <v>46263</v>
      </c>
      <c r="B246" s="55" t="n"/>
      <c r="C246" s="55" t="n"/>
      <c r="D246" s="56" t="n"/>
      <c r="E246" s="56" t="n"/>
      <c r="F246" s="55" t="n"/>
      <c r="G246" s="55" t="n"/>
      <c r="H246" s="57" t="n"/>
      <c r="I246" s="57" t="n"/>
      <c r="J246" s="57" t="n"/>
      <c r="K246" s="57" t="n"/>
      <c r="L246" s="55" t="n"/>
      <c r="M246" s="55" t="n"/>
      <c r="N246" s="55" t="n"/>
      <c r="O246" s="55" t="n"/>
      <c r="P246" s="55" t="n"/>
      <c r="Q246" s="55" t="n"/>
      <c r="R246" s="58" t="n"/>
      <c r="S246" s="59">
        <f>IF(tblPlant[[#This Row],[Milled_t]]="","",tblPlant[[#This Row],[Milled_t]]*tblPlant[[#This Row],[Head_Grade_gpt]]/cfg_TroyOz)</f>
        <v/>
      </c>
      <c r="T246" s="59">
        <f>IF(tblPlant[[#This Row],[Milled_t]]="","",tblPlant[[#This Row],[Milled_t]]*tblPlant[[#This Row],[Tails_Grade_gpt]]/cfg_TroyOz)</f>
        <v/>
      </c>
      <c r="U246" s="59">
        <f>IF(tblPlant[[#This Row],[Milled_t]]="","",tblPlant[[#This Row],[Feed_oz]]-tblPlant[[#This Row],[Tails_oz]])</f>
        <v/>
      </c>
      <c r="V246" s="60">
        <f>IF(AND(tblPlant[[#This Row],[Milled_t]]&lt;&gt;"",tblPlant[[#This Row],[Feed_oz]]&gt;0),tblPlant[[#This Row],[Recovered_oz]]/tblPlant[[#This Row],[Feed_oz]],"")</f>
        <v/>
      </c>
      <c r="W246" s="59">
        <f>IF(AND(tblPlant[[#This Row],[Milled_t]]&lt;&gt;"",tblPlant[[#This Row],[Mill_Run_h]]&gt;0),tblPlant[[#This Row],[Milled_t]]/tblPlant[[#This Row],[Mill_Run_h]],"")</f>
        <v/>
      </c>
      <c r="X246" s="60">
        <f>IF(tblPlant[[#This Row],[Mill_Run_h]]="","",(24-tblPlant[[#This Row],[Mill_Planned_Maint_h]]-tblPlant[[#This Row],[Mill_Unplanned_Down_h]])/24)</f>
        <v/>
      </c>
      <c r="Y2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7">
      <c r="A247" s="54" t="n">
        <v>46264</v>
      </c>
      <c r="B247" s="55" t="n"/>
      <c r="C247" s="55" t="n"/>
      <c r="D247" s="56" t="n"/>
      <c r="E247" s="56" t="n"/>
      <c r="F247" s="55" t="n"/>
      <c r="G247" s="55" t="n"/>
      <c r="H247" s="57" t="n"/>
      <c r="I247" s="57" t="n"/>
      <c r="J247" s="57" t="n"/>
      <c r="K247" s="57" t="n"/>
      <c r="L247" s="55" t="n"/>
      <c r="M247" s="55" t="n"/>
      <c r="N247" s="55" t="n"/>
      <c r="O247" s="55" t="n"/>
      <c r="P247" s="55" t="n"/>
      <c r="Q247" s="55" t="n"/>
      <c r="R247" s="58" t="n"/>
      <c r="S247" s="59">
        <f>IF(tblPlant[[#This Row],[Milled_t]]="","",tblPlant[[#This Row],[Milled_t]]*tblPlant[[#This Row],[Head_Grade_gpt]]/cfg_TroyOz)</f>
        <v/>
      </c>
      <c r="T247" s="59">
        <f>IF(tblPlant[[#This Row],[Milled_t]]="","",tblPlant[[#This Row],[Milled_t]]*tblPlant[[#This Row],[Tails_Grade_gpt]]/cfg_TroyOz)</f>
        <v/>
      </c>
      <c r="U247" s="59">
        <f>IF(tblPlant[[#This Row],[Milled_t]]="","",tblPlant[[#This Row],[Feed_oz]]-tblPlant[[#This Row],[Tails_oz]])</f>
        <v/>
      </c>
      <c r="V247" s="60">
        <f>IF(AND(tblPlant[[#This Row],[Milled_t]]&lt;&gt;"",tblPlant[[#This Row],[Feed_oz]]&gt;0),tblPlant[[#This Row],[Recovered_oz]]/tblPlant[[#This Row],[Feed_oz]],"")</f>
        <v/>
      </c>
      <c r="W247" s="59">
        <f>IF(AND(tblPlant[[#This Row],[Milled_t]]&lt;&gt;"",tblPlant[[#This Row],[Mill_Run_h]]&gt;0),tblPlant[[#This Row],[Milled_t]]/tblPlant[[#This Row],[Mill_Run_h]],"")</f>
        <v/>
      </c>
      <c r="X247" s="60">
        <f>IF(tblPlant[[#This Row],[Mill_Run_h]]="","",(24-tblPlant[[#This Row],[Mill_Planned_Maint_h]]-tblPlant[[#This Row],[Mill_Unplanned_Down_h]])/24)</f>
        <v/>
      </c>
      <c r="Y2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8">
      <c r="A248" s="54" t="n">
        <v>46265</v>
      </c>
      <c r="B248" s="55" t="n"/>
      <c r="C248" s="55" t="n"/>
      <c r="D248" s="56" t="n"/>
      <c r="E248" s="56" t="n"/>
      <c r="F248" s="55" t="n"/>
      <c r="G248" s="55" t="n"/>
      <c r="H248" s="57" t="n"/>
      <c r="I248" s="57" t="n"/>
      <c r="J248" s="57" t="n"/>
      <c r="K248" s="57" t="n"/>
      <c r="L248" s="55" t="n"/>
      <c r="M248" s="55" t="n"/>
      <c r="N248" s="55" t="n"/>
      <c r="O248" s="55" t="n"/>
      <c r="P248" s="55" t="n"/>
      <c r="Q248" s="55" t="n"/>
      <c r="R248" s="58" t="n"/>
      <c r="S248" s="59">
        <f>IF(tblPlant[[#This Row],[Milled_t]]="","",tblPlant[[#This Row],[Milled_t]]*tblPlant[[#This Row],[Head_Grade_gpt]]/cfg_TroyOz)</f>
        <v/>
      </c>
      <c r="T248" s="59">
        <f>IF(tblPlant[[#This Row],[Milled_t]]="","",tblPlant[[#This Row],[Milled_t]]*tblPlant[[#This Row],[Tails_Grade_gpt]]/cfg_TroyOz)</f>
        <v/>
      </c>
      <c r="U248" s="59">
        <f>IF(tblPlant[[#This Row],[Milled_t]]="","",tblPlant[[#This Row],[Feed_oz]]-tblPlant[[#This Row],[Tails_oz]])</f>
        <v/>
      </c>
      <c r="V248" s="60">
        <f>IF(AND(tblPlant[[#This Row],[Milled_t]]&lt;&gt;"",tblPlant[[#This Row],[Feed_oz]]&gt;0),tblPlant[[#This Row],[Recovered_oz]]/tblPlant[[#This Row],[Feed_oz]],"")</f>
        <v/>
      </c>
      <c r="W248" s="59">
        <f>IF(AND(tblPlant[[#This Row],[Milled_t]]&lt;&gt;"",tblPlant[[#This Row],[Mill_Run_h]]&gt;0),tblPlant[[#This Row],[Milled_t]]/tblPlant[[#This Row],[Mill_Run_h]],"")</f>
        <v/>
      </c>
      <c r="X248" s="60">
        <f>IF(tblPlant[[#This Row],[Mill_Run_h]]="","",(24-tblPlant[[#This Row],[Mill_Planned_Maint_h]]-tblPlant[[#This Row],[Mill_Unplanned_Down_h]])/24)</f>
        <v/>
      </c>
      <c r="Y2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9">
      <c r="A249" s="54" t="n">
        <v>46266</v>
      </c>
      <c r="B249" s="55" t="n"/>
      <c r="C249" s="55" t="n"/>
      <c r="D249" s="56" t="n"/>
      <c r="E249" s="56" t="n"/>
      <c r="F249" s="55" t="n"/>
      <c r="G249" s="55" t="n"/>
      <c r="H249" s="57" t="n"/>
      <c r="I249" s="57" t="n"/>
      <c r="J249" s="57" t="n"/>
      <c r="K249" s="57" t="n"/>
      <c r="L249" s="55" t="n"/>
      <c r="M249" s="55" t="n"/>
      <c r="N249" s="55" t="n"/>
      <c r="O249" s="55" t="n"/>
      <c r="P249" s="55" t="n"/>
      <c r="Q249" s="55" t="n"/>
      <c r="R249" s="58" t="n"/>
      <c r="S249" s="59">
        <f>IF(tblPlant[[#This Row],[Milled_t]]="","",tblPlant[[#This Row],[Milled_t]]*tblPlant[[#This Row],[Head_Grade_gpt]]/cfg_TroyOz)</f>
        <v/>
      </c>
      <c r="T249" s="59">
        <f>IF(tblPlant[[#This Row],[Milled_t]]="","",tblPlant[[#This Row],[Milled_t]]*tblPlant[[#This Row],[Tails_Grade_gpt]]/cfg_TroyOz)</f>
        <v/>
      </c>
      <c r="U249" s="59">
        <f>IF(tblPlant[[#This Row],[Milled_t]]="","",tblPlant[[#This Row],[Feed_oz]]-tblPlant[[#This Row],[Tails_oz]])</f>
        <v/>
      </c>
      <c r="V249" s="60">
        <f>IF(AND(tblPlant[[#This Row],[Milled_t]]&lt;&gt;"",tblPlant[[#This Row],[Feed_oz]]&gt;0),tblPlant[[#This Row],[Recovered_oz]]/tblPlant[[#This Row],[Feed_oz]],"")</f>
        <v/>
      </c>
      <c r="W249" s="59">
        <f>IF(AND(tblPlant[[#This Row],[Milled_t]]&lt;&gt;"",tblPlant[[#This Row],[Mill_Run_h]]&gt;0),tblPlant[[#This Row],[Milled_t]]/tblPlant[[#This Row],[Mill_Run_h]],"")</f>
        <v/>
      </c>
      <c r="X249" s="60">
        <f>IF(tblPlant[[#This Row],[Mill_Run_h]]="","",(24-tblPlant[[#This Row],[Mill_Planned_Maint_h]]-tblPlant[[#This Row],[Mill_Unplanned_Down_h]])/24)</f>
        <v/>
      </c>
      <c r="Y2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0">
      <c r="A250" s="54" t="n">
        <v>46267</v>
      </c>
      <c r="B250" s="55" t="n"/>
      <c r="C250" s="55" t="n"/>
      <c r="D250" s="56" t="n"/>
      <c r="E250" s="56" t="n"/>
      <c r="F250" s="55" t="n"/>
      <c r="G250" s="55" t="n"/>
      <c r="H250" s="57" t="n"/>
      <c r="I250" s="57" t="n"/>
      <c r="J250" s="57" t="n"/>
      <c r="K250" s="57" t="n"/>
      <c r="L250" s="55" t="n"/>
      <c r="M250" s="55" t="n"/>
      <c r="N250" s="55" t="n"/>
      <c r="O250" s="55" t="n"/>
      <c r="P250" s="55" t="n"/>
      <c r="Q250" s="55" t="n"/>
      <c r="R250" s="58" t="n"/>
      <c r="S250" s="59">
        <f>IF(tblPlant[[#This Row],[Milled_t]]="","",tblPlant[[#This Row],[Milled_t]]*tblPlant[[#This Row],[Head_Grade_gpt]]/cfg_TroyOz)</f>
        <v/>
      </c>
      <c r="T250" s="59">
        <f>IF(tblPlant[[#This Row],[Milled_t]]="","",tblPlant[[#This Row],[Milled_t]]*tblPlant[[#This Row],[Tails_Grade_gpt]]/cfg_TroyOz)</f>
        <v/>
      </c>
      <c r="U250" s="59">
        <f>IF(tblPlant[[#This Row],[Milled_t]]="","",tblPlant[[#This Row],[Feed_oz]]-tblPlant[[#This Row],[Tails_oz]])</f>
        <v/>
      </c>
      <c r="V250" s="60">
        <f>IF(AND(tblPlant[[#This Row],[Milled_t]]&lt;&gt;"",tblPlant[[#This Row],[Feed_oz]]&gt;0),tblPlant[[#This Row],[Recovered_oz]]/tblPlant[[#This Row],[Feed_oz]],"")</f>
        <v/>
      </c>
      <c r="W250" s="59">
        <f>IF(AND(tblPlant[[#This Row],[Milled_t]]&lt;&gt;"",tblPlant[[#This Row],[Mill_Run_h]]&gt;0),tblPlant[[#This Row],[Milled_t]]/tblPlant[[#This Row],[Mill_Run_h]],"")</f>
        <v/>
      </c>
      <c r="X250" s="60">
        <f>IF(tblPlant[[#This Row],[Mill_Run_h]]="","",(24-tblPlant[[#This Row],[Mill_Planned_Maint_h]]-tblPlant[[#This Row],[Mill_Unplanned_Down_h]])/24)</f>
        <v/>
      </c>
      <c r="Y2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1">
      <c r="A251" s="54" t="n">
        <v>46268</v>
      </c>
      <c r="B251" s="55" t="n"/>
      <c r="C251" s="55" t="n"/>
      <c r="D251" s="56" t="n"/>
      <c r="E251" s="56" t="n"/>
      <c r="F251" s="55" t="n"/>
      <c r="G251" s="55" t="n"/>
      <c r="H251" s="57" t="n"/>
      <c r="I251" s="57" t="n"/>
      <c r="J251" s="57" t="n"/>
      <c r="K251" s="57" t="n"/>
      <c r="L251" s="55" t="n"/>
      <c r="M251" s="55" t="n"/>
      <c r="N251" s="55" t="n"/>
      <c r="O251" s="55" t="n"/>
      <c r="P251" s="55" t="n"/>
      <c r="Q251" s="55" t="n"/>
      <c r="R251" s="58" t="n"/>
      <c r="S251" s="59">
        <f>IF(tblPlant[[#This Row],[Milled_t]]="","",tblPlant[[#This Row],[Milled_t]]*tblPlant[[#This Row],[Head_Grade_gpt]]/cfg_TroyOz)</f>
        <v/>
      </c>
      <c r="T251" s="59">
        <f>IF(tblPlant[[#This Row],[Milled_t]]="","",tblPlant[[#This Row],[Milled_t]]*tblPlant[[#This Row],[Tails_Grade_gpt]]/cfg_TroyOz)</f>
        <v/>
      </c>
      <c r="U251" s="59">
        <f>IF(tblPlant[[#This Row],[Milled_t]]="","",tblPlant[[#This Row],[Feed_oz]]-tblPlant[[#This Row],[Tails_oz]])</f>
        <v/>
      </c>
      <c r="V251" s="60">
        <f>IF(AND(tblPlant[[#This Row],[Milled_t]]&lt;&gt;"",tblPlant[[#This Row],[Feed_oz]]&gt;0),tblPlant[[#This Row],[Recovered_oz]]/tblPlant[[#This Row],[Feed_oz]],"")</f>
        <v/>
      </c>
      <c r="W251" s="59">
        <f>IF(AND(tblPlant[[#This Row],[Milled_t]]&lt;&gt;"",tblPlant[[#This Row],[Mill_Run_h]]&gt;0),tblPlant[[#This Row],[Milled_t]]/tblPlant[[#This Row],[Mill_Run_h]],"")</f>
        <v/>
      </c>
      <c r="X251" s="60">
        <f>IF(tblPlant[[#This Row],[Mill_Run_h]]="","",(24-tblPlant[[#This Row],[Mill_Planned_Maint_h]]-tblPlant[[#This Row],[Mill_Unplanned_Down_h]])/24)</f>
        <v/>
      </c>
      <c r="Y2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2">
      <c r="A252" s="54" t="n">
        <v>46269</v>
      </c>
      <c r="B252" s="55" t="n"/>
      <c r="C252" s="55" t="n"/>
      <c r="D252" s="56" t="n"/>
      <c r="E252" s="56" t="n"/>
      <c r="F252" s="55" t="n"/>
      <c r="G252" s="55" t="n"/>
      <c r="H252" s="57" t="n"/>
      <c r="I252" s="57" t="n"/>
      <c r="J252" s="57" t="n"/>
      <c r="K252" s="57" t="n"/>
      <c r="L252" s="55" t="n"/>
      <c r="M252" s="55" t="n"/>
      <c r="N252" s="55" t="n"/>
      <c r="O252" s="55" t="n"/>
      <c r="P252" s="55" t="n"/>
      <c r="Q252" s="55" t="n"/>
      <c r="R252" s="58" t="n"/>
      <c r="S252" s="59">
        <f>IF(tblPlant[[#This Row],[Milled_t]]="","",tblPlant[[#This Row],[Milled_t]]*tblPlant[[#This Row],[Head_Grade_gpt]]/cfg_TroyOz)</f>
        <v/>
      </c>
      <c r="T252" s="59">
        <f>IF(tblPlant[[#This Row],[Milled_t]]="","",tblPlant[[#This Row],[Milled_t]]*tblPlant[[#This Row],[Tails_Grade_gpt]]/cfg_TroyOz)</f>
        <v/>
      </c>
      <c r="U252" s="59">
        <f>IF(tblPlant[[#This Row],[Milled_t]]="","",tblPlant[[#This Row],[Feed_oz]]-tblPlant[[#This Row],[Tails_oz]])</f>
        <v/>
      </c>
      <c r="V252" s="60">
        <f>IF(AND(tblPlant[[#This Row],[Milled_t]]&lt;&gt;"",tblPlant[[#This Row],[Feed_oz]]&gt;0),tblPlant[[#This Row],[Recovered_oz]]/tblPlant[[#This Row],[Feed_oz]],"")</f>
        <v/>
      </c>
      <c r="W252" s="59">
        <f>IF(AND(tblPlant[[#This Row],[Milled_t]]&lt;&gt;"",tblPlant[[#This Row],[Mill_Run_h]]&gt;0),tblPlant[[#This Row],[Milled_t]]/tblPlant[[#This Row],[Mill_Run_h]],"")</f>
        <v/>
      </c>
      <c r="X252" s="60">
        <f>IF(tblPlant[[#This Row],[Mill_Run_h]]="","",(24-tblPlant[[#This Row],[Mill_Planned_Maint_h]]-tblPlant[[#This Row],[Mill_Unplanned_Down_h]])/24)</f>
        <v/>
      </c>
      <c r="Y2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3">
      <c r="A253" s="54" t="n">
        <v>46270</v>
      </c>
      <c r="B253" s="55" t="n"/>
      <c r="C253" s="55" t="n"/>
      <c r="D253" s="56" t="n"/>
      <c r="E253" s="56" t="n"/>
      <c r="F253" s="55" t="n"/>
      <c r="G253" s="55" t="n"/>
      <c r="H253" s="57" t="n"/>
      <c r="I253" s="57" t="n"/>
      <c r="J253" s="57" t="n"/>
      <c r="K253" s="57" t="n"/>
      <c r="L253" s="55" t="n"/>
      <c r="M253" s="55" t="n"/>
      <c r="N253" s="55" t="n"/>
      <c r="O253" s="55" t="n"/>
      <c r="P253" s="55" t="n"/>
      <c r="Q253" s="55" t="n"/>
      <c r="R253" s="58" t="n"/>
      <c r="S253" s="59">
        <f>IF(tblPlant[[#This Row],[Milled_t]]="","",tblPlant[[#This Row],[Milled_t]]*tblPlant[[#This Row],[Head_Grade_gpt]]/cfg_TroyOz)</f>
        <v/>
      </c>
      <c r="T253" s="59">
        <f>IF(tblPlant[[#This Row],[Milled_t]]="","",tblPlant[[#This Row],[Milled_t]]*tblPlant[[#This Row],[Tails_Grade_gpt]]/cfg_TroyOz)</f>
        <v/>
      </c>
      <c r="U253" s="59">
        <f>IF(tblPlant[[#This Row],[Milled_t]]="","",tblPlant[[#This Row],[Feed_oz]]-tblPlant[[#This Row],[Tails_oz]])</f>
        <v/>
      </c>
      <c r="V253" s="60">
        <f>IF(AND(tblPlant[[#This Row],[Milled_t]]&lt;&gt;"",tblPlant[[#This Row],[Feed_oz]]&gt;0),tblPlant[[#This Row],[Recovered_oz]]/tblPlant[[#This Row],[Feed_oz]],"")</f>
        <v/>
      </c>
      <c r="W253" s="59">
        <f>IF(AND(tblPlant[[#This Row],[Milled_t]]&lt;&gt;"",tblPlant[[#This Row],[Mill_Run_h]]&gt;0),tblPlant[[#This Row],[Milled_t]]/tblPlant[[#This Row],[Mill_Run_h]],"")</f>
        <v/>
      </c>
      <c r="X253" s="60">
        <f>IF(tblPlant[[#This Row],[Mill_Run_h]]="","",(24-tblPlant[[#This Row],[Mill_Planned_Maint_h]]-tblPlant[[#This Row],[Mill_Unplanned_Down_h]])/24)</f>
        <v/>
      </c>
      <c r="Y2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4">
      <c r="A254" s="54" t="n">
        <v>46271</v>
      </c>
      <c r="B254" s="55" t="n"/>
      <c r="C254" s="55" t="n"/>
      <c r="D254" s="56" t="n"/>
      <c r="E254" s="56" t="n"/>
      <c r="F254" s="55" t="n"/>
      <c r="G254" s="55" t="n"/>
      <c r="H254" s="57" t="n"/>
      <c r="I254" s="57" t="n"/>
      <c r="J254" s="57" t="n"/>
      <c r="K254" s="57" t="n"/>
      <c r="L254" s="55" t="n"/>
      <c r="M254" s="55" t="n"/>
      <c r="N254" s="55" t="n"/>
      <c r="O254" s="55" t="n"/>
      <c r="P254" s="55" t="n"/>
      <c r="Q254" s="55" t="n"/>
      <c r="R254" s="58" t="n"/>
      <c r="S254" s="59">
        <f>IF(tblPlant[[#This Row],[Milled_t]]="","",tblPlant[[#This Row],[Milled_t]]*tblPlant[[#This Row],[Head_Grade_gpt]]/cfg_TroyOz)</f>
        <v/>
      </c>
      <c r="T254" s="59">
        <f>IF(tblPlant[[#This Row],[Milled_t]]="","",tblPlant[[#This Row],[Milled_t]]*tblPlant[[#This Row],[Tails_Grade_gpt]]/cfg_TroyOz)</f>
        <v/>
      </c>
      <c r="U254" s="59">
        <f>IF(tblPlant[[#This Row],[Milled_t]]="","",tblPlant[[#This Row],[Feed_oz]]-tblPlant[[#This Row],[Tails_oz]])</f>
        <v/>
      </c>
      <c r="V254" s="60">
        <f>IF(AND(tblPlant[[#This Row],[Milled_t]]&lt;&gt;"",tblPlant[[#This Row],[Feed_oz]]&gt;0),tblPlant[[#This Row],[Recovered_oz]]/tblPlant[[#This Row],[Feed_oz]],"")</f>
        <v/>
      </c>
      <c r="W254" s="59">
        <f>IF(AND(tblPlant[[#This Row],[Milled_t]]&lt;&gt;"",tblPlant[[#This Row],[Mill_Run_h]]&gt;0),tblPlant[[#This Row],[Milled_t]]/tblPlant[[#This Row],[Mill_Run_h]],"")</f>
        <v/>
      </c>
      <c r="X254" s="60">
        <f>IF(tblPlant[[#This Row],[Mill_Run_h]]="","",(24-tblPlant[[#This Row],[Mill_Planned_Maint_h]]-tblPlant[[#This Row],[Mill_Unplanned_Down_h]])/24)</f>
        <v/>
      </c>
      <c r="Y2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5">
      <c r="A255" s="54" t="n">
        <v>46272</v>
      </c>
      <c r="B255" s="55" t="n"/>
      <c r="C255" s="55" t="n"/>
      <c r="D255" s="56" t="n"/>
      <c r="E255" s="56" t="n"/>
      <c r="F255" s="55" t="n"/>
      <c r="G255" s="55" t="n"/>
      <c r="H255" s="57" t="n"/>
      <c r="I255" s="57" t="n"/>
      <c r="J255" s="57" t="n"/>
      <c r="K255" s="57" t="n"/>
      <c r="L255" s="55" t="n"/>
      <c r="M255" s="55" t="n"/>
      <c r="N255" s="55" t="n"/>
      <c r="O255" s="55" t="n"/>
      <c r="P255" s="55" t="n"/>
      <c r="Q255" s="55" t="n"/>
      <c r="R255" s="58" t="n"/>
      <c r="S255" s="59">
        <f>IF(tblPlant[[#This Row],[Milled_t]]="","",tblPlant[[#This Row],[Milled_t]]*tblPlant[[#This Row],[Head_Grade_gpt]]/cfg_TroyOz)</f>
        <v/>
      </c>
      <c r="T255" s="59">
        <f>IF(tblPlant[[#This Row],[Milled_t]]="","",tblPlant[[#This Row],[Milled_t]]*tblPlant[[#This Row],[Tails_Grade_gpt]]/cfg_TroyOz)</f>
        <v/>
      </c>
      <c r="U255" s="59">
        <f>IF(tblPlant[[#This Row],[Milled_t]]="","",tblPlant[[#This Row],[Feed_oz]]-tblPlant[[#This Row],[Tails_oz]])</f>
        <v/>
      </c>
      <c r="V255" s="60">
        <f>IF(AND(tblPlant[[#This Row],[Milled_t]]&lt;&gt;"",tblPlant[[#This Row],[Feed_oz]]&gt;0),tblPlant[[#This Row],[Recovered_oz]]/tblPlant[[#This Row],[Feed_oz]],"")</f>
        <v/>
      </c>
      <c r="W255" s="59">
        <f>IF(AND(tblPlant[[#This Row],[Milled_t]]&lt;&gt;"",tblPlant[[#This Row],[Mill_Run_h]]&gt;0),tblPlant[[#This Row],[Milled_t]]/tblPlant[[#This Row],[Mill_Run_h]],"")</f>
        <v/>
      </c>
      <c r="X255" s="60">
        <f>IF(tblPlant[[#This Row],[Mill_Run_h]]="","",(24-tblPlant[[#This Row],[Mill_Planned_Maint_h]]-tblPlant[[#This Row],[Mill_Unplanned_Down_h]])/24)</f>
        <v/>
      </c>
      <c r="Y2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6">
      <c r="A256" s="54" t="n">
        <v>46273</v>
      </c>
      <c r="B256" s="55" t="n"/>
      <c r="C256" s="55" t="n"/>
      <c r="D256" s="56" t="n"/>
      <c r="E256" s="56" t="n"/>
      <c r="F256" s="55" t="n"/>
      <c r="G256" s="55" t="n"/>
      <c r="H256" s="57" t="n"/>
      <c r="I256" s="57" t="n"/>
      <c r="J256" s="57" t="n"/>
      <c r="K256" s="57" t="n"/>
      <c r="L256" s="55" t="n"/>
      <c r="M256" s="55" t="n"/>
      <c r="N256" s="55" t="n"/>
      <c r="O256" s="55" t="n"/>
      <c r="P256" s="55" t="n"/>
      <c r="Q256" s="55" t="n"/>
      <c r="R256" s="58" t="n"/>
      <c r="S256" s="59">
        <f>IF(tblPlant[[#This Row],[Milled_t]]="","",tblPlant[[#This Row],[Milled_t]]*tblPlant[[#This Row],[Head_Grade_gpt]]/cfg_TroyOz)</f>
        <v/>
      </c>
      <c r="T256" s="59">
        <f>IF(tblPlant[[#This Row],[Milled_t]]="","",tblPlant[[#This Row],[Milled_t]]*tblPlant[[#This Row],[Tails_Grade_gpt]]/cfg_TroyOz)</f>
        <v/>
      </c>
      <c r="U256" s="59">
        <f>IF(tblPlant[[#This Row],[Milled_t]]="","",tblPlant[[#This Row],[Feed_oz]]-tblPlant[[#This Row],[Tails_oz]])</f>
        <v/>
      </c>
      <c r="V256" s="60">
        <f>IF(AND(tblPlant[[#This Row],[Milled_t]]&lt;&gt;"",tblPlant[[#This Row],[Feed_oz]]&gt;0),tblPlant[[#This Row],[Recovered_oz]]/tblPlant[[#This Row],[Feed_oz]],"")</f>
        <v/>
      </c>
      <c r="W256" s="59">
        <f>IF(AND(tblPlant[[#This Row],[Milled_t]]&lt;&gt;"",tblPlant[[#This Row],[Mill_Run_h]]&gt;0),tblPlant[[#This Row],[Milled_t]]/tblPlant[[#This Row],[Mill_Run_h]],"")</f>
        <v/>
      </c>
      <c r="X256" s="60">
        <f>IF(tblPlant[[#This Row],[Mill_Run_h]]="","",(24-tblPlant[[#This Row],[Mill_Planned_Maint_h]]-tblPlant[[#This Row],[Mill_Unplanned_Down_h]])/24)</f>
        <v/>
      </c>
      <c r="Y2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7">
      <c r="A257" s="54" t="n">
        <v>46274</v>
      </c>
      <c r="B257" s="55" t="n"/>
      <c r="C257" s="55" t="n"/>
      <c r="D257" s="56" t="n"/>
      <c r="E257" s="56" t="n"/>
      <c r="F257" s="55" t="n"/>
      <c r="G257" s="55" t="n"/>
      <c r="H257" s="57" t="n"/>
      <c r="I257" s="57" t="n"/>
      <c r="J257" s="57" t="n"/>
      <c r="K257" s="57" t="n"/>
      <c r="L257" s="55" t="n"/>
      <c r="M257" s="55" t="n"/>
      <c r="N257" s="55" t="n"/>
      <c r="O257" s="55" t="n"/>
      <c r="P257" s="55" t="n"/>
      <c r="Q257" s="55" t="n"/>
      <c r="R257" s="58" t="n"/>
      <c r="S257" s="59">
        <f>IF(tblPlant[[#This Row],[Milled_t]]="","",tblPlant[[#This Row],[Milled_t]]*tblPlant[[#This Row],[Head_Grade_gpt]]/cfg_TroyOz)</f>
        <v/>
      </c>
      <c r="T257" s="59">
        <f>IF(tblPlant[[#This Row],[Milled_t]]="","",tblPlant[[#This Row],[Milled_t]]*tblPlant[[#This Row],[Tails_Grade_gpt]]/cfg_TroyOz)</f>
        <v/>
      </c>
      <c r="U257" s="59">
        <f>IF(tblPlant[[#This Row],[Milled_t]]="","",tblPlant[[#This Row],[Feed_oz]]-tblPlant[[#This Row],[Tails_oz]])</f>
        <v/>
      </c>
      <c r="V257" s="60">
        <f>IF(AND(tblPlant[[#This Row],[Milled_t]]&lt;&gt;"",tblPlant[[#This Row],[Feed_oz]]&gt;0),tblPlant[[#This Row],[Recovered_oz]]/tblPlant[[#This Row],[Feed_oz]],"")</f>
        <v/>
      </c>
      <c r="W257" s="59">
        <f>IF(AND(tblPlant[[#This Row],[Milled_t]]&lt;&gt;"",tblPlant[[#This Row],[Mill_Run_h]]&gt;0),tblPlant[[#This Row],[Milled_t]]/tblPlant[[#This Row],[Mill_Run_h]],"")</f>
        <v/>
      </c>
      <c r="X257" s="60">
        <f>IF(tblPlant[[#This Row],[Mill_Run_h]]="","",(24-tblPlant[[#This Row],[Mill_Planned_Maint_h]]-tblPlant[[#This Row],[Mill_Unplanned_Down_h]])/24)</f>
        <v/>
      </c>
      <c r="Y2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8">
      <c r="A258" s="54" t="n">
        <v>46275</v>
      </c>
      <c r="B258" s="55" t="n"/>
      <c r="C258" s="55" t="n"/>
      <c r="D258" s="56" t="n"/>
      <c r="E258" s="56" t="n"/>
      <c r="F258" s="55" t="n"/>
      <c r="G258" s="55" t="n"/>
      <c r="H258" s="57" t="n"/>
      <c r="I258" s="57" t="n"/>
      <c r="J258" s="57" t="n"/>
      <c r="K258" s="57" t="n"/>
      <c r="L258" s="55" t="n"/>
      <c r="M258" s="55" t="n"/>
      <c r="N258" s="55" t="n"/>
      <c r="O258" s="55" t="n"/>
      <c r="P258" s="55" t="n"/>
      <c r="Q258" s="55" t="n"/>
      <c r="R258" s="58" t="n"/>
      <c r="S258" s="59">
        <f>IF(tblPlant[[#This Row],[Milled_t]]="","",tblPlant[[#This Row],[Milled_t]]*tblPlant[[#This Row],[Head_Grade_gpt]]/cfg_TroyOz)</f>
        <v/>
      </c>
      <c r="T258" s="59">
        <f>IF(tblPlant[[#This Row],[Milled_t]]="","",tblPlant[[#This Row],[Milled_t]]*tblPlant[[#This Row],[Tails_Grade_gpt]]/cfg_TroyOz)</f>
        <v/>
      </c>
      <c r="U258" s="59">
        <f>IF(tblPlant[[#This Row],[Milled_t]]="","",tblPlant[[#This Row],[Feed_oz]]-tblPlant[[#This Row],[Tails_oz]])</f>
        <v/>
      </c>
      <c r="V258" s="60">
        <f>IF(AND(tblPlant[[#This Row],[Milled_t]]&lt;&gt;"",tblPlant[[#This Row],[Feed_oz]]&gt;0),tblPlant[[#This Row],[Recovered_oz]]/tblPlant[[#This Row],[Feed_oz]],"")</f>
        <v/>
      </c>
      <c r="W258" s="59">
        <f>IF(AND(tblPlant[[#This Row],[Milled_t]]&lt;&gt;"",tblPlant[[#This Row],[Mill_Run_h]]&gt;0),tblPlant[[#This Row],[Milled_t]]/tblPlant[[#This Row],[Mill_Run_h]],"")</f>
        <v/>
      </c>
      <c r="X258" s="60">
        <f>IF(tblPlant[[#This Row],[Mill_Run_h]]="","",(24-tblPlant[[#This Row],[Mill_Planned_Maint_h]]-tblPlant[[#This Row],[Mill_Unplanned_Down_h]])/24)</f>
        <v/>
      </c>
      <c r="Y2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9">
      <c r="A259" s="54" t="n">
        <v>46276</v>
      </c>
      <c r="B259" s="55" t="n"/>
      <c r="C259" s="55" t="n"/>
      <c r="D259" s="56" t="n"/>
      <c r="E259" s="56" t="n"/>
      <c r="F259" s="55" t="n"/>
      <c r="G259" s="55" t="n"/>
      <c r="H259" s="57" t="n"/>
      <c r="I259" s="57" t="n"/>
      <c r="J259" s="57" t="n"/>
      <c r="K259" s="57" t="n"/>
      <c r="L259" s="55" t="n"/>
      <c r="M259" s="55" t="n"/>
      <c r="N259" s="55" t="n"/>
      <c r="O259" s="55" t="n"/>
      <c r="P259" s="55" t="n"/>
      <c r="Q259" s="55" t="n"/>
      <c r="R259" s="58" t="n"/>
      <c r="S259" s="59">
        <f>IF(tblPlant[[#This Row],[Milled_t]]="","",tblPlant[[#This Row],[Milled_t]]*tblPlant[[#This Row],[Head_Grade_gpt]]/cfg_TroyOz)</f>
        <v/>
      </c>
      <c r="T259" s="59">
        <f>IF(tblPlant[[#This Row],[Milled_t]]="","",tblPlant[[#This Row],[Milled_t]]*tblPlant[[#This Row],[Tails_Grade_gpt]]/cfg_TroyOz)</f>
        <v/>
      </c>
      <c r="U259" s="59">
        <f>IF(tblPlant[[#This Row],[Milled_t]]="","",tblPlant[[#This Row],[Feed_oz]]-tblPlant[[#This Row],[Tails_oz]])</f>
        <v/>
      </c>
      <c r="V259" s="60">
        <f>IF(AND(tblPlant[[#This Row],[Milled_t]]&lt;&gt;"",tblPlant[[#This Row],[Feed_oz]]&gt;0),tblPlant[[#This Row],[Recovered_oz]]/tblPlant[[#This Row],[Feed_oz]],"")</f>
        <v/>
      </c>
      <c r="W259" s="59">
        <f>IF(AND(tblPlant[[#This Row],[Milled_t]]&lt;&gt;"",tblPlant[[#This Row],[Mill_Run_h]]&gt;0),tblPlant[[#This Row],[Milled_t]]/tblPlant[[#This Row],[Mill_Run_h]],"")</f>
        <v/>
      </c>
      <c r="X259" s="60">
        <f>IF(tblPlant[[#This Row],[Mill_Run_h]]="","",(24-tblPlant[[#This Row],[Mill_Planned_Maint_h]]-tblPlant[[#This Row],[Mill_Unplanned_Down_h]])/24)</f>
        <v/>
      </c>
      <c r="Y2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0">
      <c r="A260" s="54" t="n">
        <v>46277</v>
      </c>
      <c r="B260" s="55" t="n"/>
      <c r="C260" s="55" t="n"/>
      <c r="D260" s="56" t="n"/>
      <c r="E260" s="56" t="n"/>
      <c r="F260" s="55" t="n"/>
      <c r="G260" s="55" t="n"/>
      <c r="H260" s="57" t="n"/>
      <c r="I260" s="57" t="n"/>
      <c r="J260" s="57" t="n"/>
      <c r="K260" s="57" t="n"/>
      <c r="L260" s="55" t="n"/>
      <c r="M260" s="55" t="n"/>
      <c r="N260" s="55" t="n"/>
      <c r="O260" s="55" t="n"/>
      <c r="P260" s="55" t="n"/>
      <c r="Q260" s="55" t="n"/>
      <c r="R260" s="58" t="n"/>
      <c r="S260" s="59">
        <f>IF(tblPlant[[#This Row],[Milled_t]]="","",tblPlant[[#This Row],[Milled_t]]*tblPlant[[#This Row],[Head_Grade_gpt]]/cfg_TroyOz)</f>
        <v/>
      </c>
      <c r="T260" s="59">
        <f>IF(tblPlant[[#This Row],[Milled_t]]="","",tblPlant[[#This Row],[Milled_t]]*tblPlant[[#This Row],[Tails_Grade_gpt]]/cfg_TroyOz)</f>
        <v/>
      </c>
      <c r="U260" s="59">
        <f>IF(tblPlant[[#This Row],[Milled_t]]="","",tblPlant[[#This Row],[Feed_oz]]-tblPlant[[#This Row],[Tails_oz]])</f>
        <v/>
      </c>
      <c r="V260" s="60">
        <f>IF(AND(tblPlant[[#This Row],[Milled_t]]&lt;&gt;"",tblPlant[[#This Row],[Feed_oz]]&gt;0),tblPlant[[#This Row],[Recovered_oz]]/tblPlant[[#This Row],[Feed_oz]],"")</f>
        <v/>
      </c>
      <c r="W260" s="59">
        <f>IF(AND(tblPlant[[#This Row],[Milled_t]]&lt;&gt;"",tblPlant[[#This Row],[Mill_Run_h]]&gt;0),tblPlant[[#This Row],[Milled_t]]/tblPlant[[#This Row],[Mill_Run_h]],"")</f>
        <v/>
      </c>
      <c r="X260" s="60">
        <f>IF(tblPlant[[#This Row],[Mill_Run_h]]="","",(24-tblPlant[[#This Row],[Mill_Planned_Maint_h]]-tblPlant[[#This Row],[Mill_Unplanned_Down_h]])/24)</f>
        <v/>
      </c>
      <c r="Y2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1">
      <c r="A261" s="54" t="n">
        <v>46278</v>
      </c>
      <c r="B261" s="55" t="n"/>
      <c r="C261" s="55" t="n"/>
      <c r="D261" s="56" t="n"/>
      <c r="E261" s="56" t="n"/>
      <c r="F261" s="55" t="n"/>
      <c r="G261" s="55" t="n"/>
      <c r="H261" s="57" t="n"/>
      <c r="I261" s="57" t="n"/>
      <c r="J261" s="57" t="n"/>
      <c r="K261" s="57" t="n"/>
      <c r="L261" s="55" t="n"/>
      <c r="M261" s="55" t="n"/>
      <c r="N261" s="55" t="n"/>
      <c r="O261" s="55" t="n"/>
      <c r="P261" s="55" t="n"/>
      <c r="Q261" s="55" t="n"/>
      <c r="R261" s="58" t="n"/>
      <c r="S261" s="59">
        <f>IF(tblPlant[[#This Row],[Milled_t]]="","",tblPlant[[#This Row],[Milled_t]]*tblPlant[[#This Row],[Head_Grade_gpt]]/cfg_TroyOz)</f>
        <v/>
      </c>
      <c r="T261" s="59">
        <f>IF(tblPlant[[#This Row],[Milled_t]]="","",tblPlant[[#This Row],[Milled_t]]*tblPlant[[#This Row],[Tails_Grade_gpt]]/cfg_TroyOz)</f>
        <v/>
      </c>
      <c r="U261" s="59">
        <f>IF(tblPlant[[#This Row],[Milled_t]]="","",tblPlant[[#This Row],[Feed_oz]]-tblPlant[[#This Row],[Tails_oz]])</f>
        <v/>
      </c>
      <c r="V261" s="60">
        <f>IF(AND(tblPlant[[#This Row],[Milled_t]]&lt;&gt;"",tblPlant[[#This Row],[Feed_oz]]&gt;0),tblPlant[[#This Row],[Recovered_oz]]/tblPlant[[#This Row],[Feed_oz]],"")</f>
        <v/>
      </c>
      <c r="W261" s="59">
        <f>IF(AND(tblPlant[[#This Row],[Milled_t]]&lt;&gt;"",tblPlant[[#This Row],[Mill_Run_h]]&gt;0),tblPlant[[#This Row],[Milled_t]]/tblPlant[[#This Row],[Mill_Run_h]],"")</f>
        <v/>
      </c>
      <c r="X261" s="60">
        <f>IF(tblPlant[[#This Row],[Mill_Run_h]]="","",(24-tblPlant[[#This Row],[Mill_Planned_Maint_h]]-tblPlant[[#This Row],[Mill_Unplanned_Down_h]])/24)</f>
        <v/>
      </c>
      <c r="Y2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2">
      <c r="A262" s="54" t="n">
        <v>46279</v>
      </c>
      <c r="B262" s="55" t="n"/>
      <c r="C262" s="55" t="n"/>
      <c r="D262" s="56" t="n"/>
      <c r="E262" s="56" t="n"/>
      <c r="F262" s="55" t="n"/>
      <c r="G262" s="55" t="n"/>
      <c r="H262" s="57" t="n"/>
      <c r="I262" s="57" t="n"/>
      <c r="J262" s="57" t="n"/>
      <c r="K262" s="57" t="n"/>
      <c r="L262" s="55" t="n"/>
      <c r="M262" s="55" t="n"/>
      <c r="N262" s="55" t="n"/>
      <c r="O262" s="55" t="n"/>
      <c r="P262" s="55" t="n"/>
      <c r="Q262" s="55" t="n"/>
      <c r="R262" s="58" t="n"/>
      <c r="S262" s="59">
        <f>IF(tblPlant[[#This Row],[Milled_t]]="","",tblPlant[[#This Row],[Milled_t]]*tblPlant[[#This Row],[Head_Grade_gpt]]/cfg_TroyOz)</f>
        <v/>
      </c>
      <c r="T262" s="59">
        <f>IF(tblPlant[[#This Row],[Milled_t]]="","",tblPlant[[#This Row],[Milled_t]]*tblPlant[[#This Row],[Tails_Grade_gpt]]/cfg_TroyOz)</f>
        <v/>
      </c>
      <c r="U262" s="59">
        <f>IF(tblPlant[[#This Row],[Milled_t]]="","",tblPlant[[#This Row],[Feed_oz]]-tblPlant[[#This Row],[Tails_oz]])</f>
        <v/>
      </c>
      <c r="V262" s="60">
        <f>IF(AND(tblPlant[[#This Row],[Milled_t]]&lt;&gt;"",tblPlant[[#This Row],[Feed_oz]]&gt;0),tblPlant[[#This Row],[Recovered_oz]]/tblPlant[[#This Row],[Feed_oz]],"")</f>
        <v/>
      </c>
      <c r="W262" s="59">
        <f>IF(AND(tblPlant[[#This Row],[Milled_t]]&lt;&gt;"",tblPlant[[#This Row],[Mill_Run_h]]&gt;0),tblPlant[[#This Row],[Milled_t]]/tblPlant[[#This Row],[Mill_Run_h]],"")</f>
        <v/>
      </c>
      <c r="X262" s="60">
        <f>IF(tblPlant[[#This Row],[Mill_Run_h]]="","",(24-tblPlant[[#This Row],[Mill_Planned_Maint_h]]-tblPlant[[#This Row],[Mill_Unplanned_Down_h]])/24)</f>
        <v/>
      </c>
      <c r="Y2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3">
      <c r="A263" s="54" t="n">
        <v>46280</v>
      </c>
      <c r="B263" s="55" t="n"/>
      <c r="C263" s="55" t="n"/>
      <c r="D263" s="56" t="n"/>
      <c r="E263" s="56" t="n"/>
      <c r="F263" s="55" t="n"/>
      <c r="G263" s="55" t="n"/>
      <c r="H263" s="57" t="n"/>
      <c r="I263" s="57" t="n"/>
      <c r="J263" s="57" t="n"/>
      <c r="K263" s="57" t="n"/>
      <c r="L263" s="55" t="n"/>
      <c r="M263" s="55" t="n"/>
      <c r="N263" s="55" t="n"/>
      <c r="O263" s="55" t="n"/>
      <c r="P263" s="55" t="n"/>
      <c r="Q263" s="55" t="n"/>
      <c r="R263" s="58" t="n"/>
      <c r="S263" s="59">
        <f>IF(tblPlant[[#This Row],[Milled_t]]="","",tblPlant[[#This Row],[Milled_t]]*tblPlant[[#This Row],[Head_Grade_gpt]]/cfg_TroyOz)</f>
        <v/>
      </c>
      <c r="T263" s="59">
        <f>IF(tblPlant[[#This Row],[Milled_t]]="","",tblPlant[[#This Row],[Milled_t]]*tblPlant[[#This Row],[Tails_Grade_gpt]]/cfg_TroyOz)</f>
        <v/>
      </c>
      <c r="U263" s="59">
        <f>IF(tblPlant[[#This Row],[Milled_t]]="","",tblPlant[[#This Row],[Feed_oz]]-tblPlant[[#This Row],[Tails_oz]])</f>
        <v/>
      </c>
      <c r="V263" s="60">
        <f>IF(AND(tblPlant[[#This Row],[Milled_t]]&lt;&gt;"",tblPlant[[#This Row],[Feed_oz]]&gt;0),tblPlant[[#This Row],[Recovered_oz]]/tblPlant[[#This Row],[Feed_oz]],"")</f>
        <v/>
      </c>
      <c r="W263" s="59">
        <f>IF(AND(tblPlant[[#This Row],[Milled_t]]&lt;&gt;"",tblPlant[[#This Row],[Mill_Run_h]]&gt;0),tblPlant[[#This Row],[Milled_t]]/tblPlant[[#This Row],[Mill_Run_h]],"")</f>
        <v/>
      </c>
      <c r="X263" s="60">
        <f>IF(tblPlant[[#This Row],[Mill_Run_h]]="","",(24-tblPlant[[#This Row],[Mill_Planned_Maint_h]]-tblPlant[[#This Row],[Mill_Unplanned_Down_h]])/24)</f>
        <v/>
      </c>
      <c r="Y2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4">
      <c r="A264" s="54" t="n">
        <v>46281</v>
      </c>
      <c r="B264" s="55" t="n"/>
      <c r="C264" s="55" t="n"/>
      <c r="D264" s="56" t="n"/>
      <c r="E264" s="56" t="n"/>
      <c r="F264" s="55" t="n"/>
      <c r="G264" s="55" t="n"/>
      <c r="H264" s="57" t="n"/>
      <c r="I264" s="57" t="n"/>
      <c r="J264" s="57" t="n"/>
      <c r="K264" s="57" t="n"/>
      <c r="L264" s="55" t="n"/>
      <c r="M264" s="55" t="n"/>
      <c r="N264" s="55" t="n"/>
      <c r="O264" s="55" t="n"/>
      <c r="P264" s="55" t="n"/>
      <c r="Q264" s="55" t="n"/>
      <c r="R264" s="58" t="n"/>
      <c r="S264" s="59">
        <f>IF(tblPlant[[#This Row],[Milled_t]]="","",tblPlant[[#This Row],[Milled_t]]*tblPlant[[#This Row],[Head_Grade_gpt]]/cfg_TroyOz)</f>
        <v/>
      </c>
      <c r="T264" s="59">
        <f>IF(tblPlant[[#This Row],[Milled_t]]="","",tblPlant[[#This Row],[Milled_t]]*tblPlant[[#This Row],[Tails_Grade_gpt]]/cfg_TroyOz)</f>
        <v/>
      </c>
      <c r="U264" s="59">
        <f>IF(tblPlant[[#This Row],[Milled_t]]="","",tblPlant[[#This Row],[Feed_oz]]-tblPlant[[#This Row],[Tails_oz]])</f>
        <v/>
      </c>
      <c r="V264" s="60">
        <f>IF(AND(tblPlant[[#This Row],[Milled_t]]&lt;&gt;"",tblPlant[[#This Row],[Feed_oz]]&gt;0),tblPlant[[#This Row],[Recovered_oz]]/tblPlant[[#This Row],[Feed_oz]],"")</f>
        <v/>
      </c>
      <c r="W264" s="59">
        <f>IF(AND(tblPlant[[#This Row],[Milled_t]]&lt;&gt;"",tblPlant[[#This Row],[Mill_Run_h]]&gt;0),tblPlant[[#This Row],[Milled_t]]/tblPlant[[#This Row],[Mill_Run_h]],"")</f>
        <v/>
      </c>
      <c r="X264" s="60">
        <f>IF(tblPlant[[#This Row],[Mill_Run_h]]="","",(24-tblPlant[[#This Row],[Mill_Planned_Maint_h]]-tblPlant[[#This Row],[Mill_Unplanned_Down_h]])/24)</f>
        <v/>
      </c>
      <c r="Y2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5">
      <c r="A265" s="54" t="n">
        <v>46282</v>
      </c>
      <c r="B265" s="55" t="n"/>
      <c r="C265" s="55" t="n"/>
      <c r="D265" s="56" t="n"/>
      <c r="E265" s="56" t="n"/>
      <c r="F265" s="55" t="n"/>
      <c r="G265" s="55" t="n"/>
      <c r="H265" s="57" t="n"/>
      <c r="I265" s="57" t="n"/>
      <c r="J265" s="57" t="n"/>
      <c r="K265" s="57" t="n"/>
      <c r="L265" s="55" t="n"/>
      <c r="M265" s="55" t="n"/>
      <c r="N265" s="55" t="n"/>
      <c r="O265" s="55" t="n"/>
      <c r="P265" s="55" t="n"/>
      <c r="Q265" s="55" t="n"/>
      <c r="R265" s="58" t="n"/>
      <c r="S265" s="59">
        <f>IF(tblPlant[[#This Row],[Milled_t]]="","",tblPlant[[#This Row],[Milled_t]]*tblPlant[[#This Row],[Head_Grade_gpt]]/cfg_TroyOz)</f>
        <v/>
      </c>
      <c r="T265" s="59">
        <f>IF(tblPlant[[#This Row],[Milled_t]]="","",tblPlant[[#This Row],[Milled_t]]*tblPlant[[#This Row],[Tails_Grade_gpt]]/cfg_TroyOz)</f>
        <v/>
      </c>
      <c r="U265" s="59">
        <f>IF(tblPlant[[#This Row],[Milled_t]]="","",tblPlant[[#This Row],[Feed_oz]]-tblPlant[[#This Row],[Tails_oz]])</f>
        <v/>
      </c>
      <c r="V265" s="60">
        <f>IF(AND(tblPlant[[#This Row],[Milled_t]]&lt;&gt;"",tblPlant[[#This Row],[Feed_oz]]&gt;0),tblPlant[[#This Row],[Recovered_oz]]/tblPlant[[#This Row],[Feed_oz]],"")</f>
        <v/>
      </c>
      <c r="W265" s="59">
        <f>IF(AND(tblPlant[[#This Row],[Milled_t]]&lt;&gt;"",tblPlant[[#This Row],[Mill_Run_h]]&gt;0),tblPlant[[#This Row],[Milled_t]]/tblPlant[[#This Row],[Mill_Run_h]],"")</f>
        <v/>
      </c>
      <c r="X265" s="60">
        <f>IF(tblPlant[[#This Row],[Mill_Run_h]]="","",(24-tblPlant[[#This Row],[Mill_Planned_Maint_h]]-tblPlant[[#This Row],[Mill_Unplanned_Down_h]])/24)</f>
        <v/>
      </c>
      <c r="Y2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6">
      <c r="A266" s="54" t="n">
        <v>46283</v>
      </c>
      <c r="B266" s="55" t="n"/>
      <c r="C266" s="55" t="n"/>
      <c r="D266" s="56" t="n"/>
      <c r="E266" s="56" t="n"/>
      <c r="F266" s="55" t="n"/>
      <c r="G266" s="55" t="n"/>
      <c r="H266" s="57" t="n"/>
      <c r="I266" s="57" t="n"/>
      <c r="J266" s="57" t="n"/>
      <c r="K266" s="57" t="n"/>
      <c r="L266" s="55" t="n"/>
      <c r="M266" s="55" t="n"/>
      <c r="N266" s="55" t="n"/>
      <c r="O266" s="55" t="n"/>
      <c r="P266" s="55" t="n"/>
      <c r="Q266" s="55" t="n"/>
      <c r="R266" s="58" t="n"/>
      <c r="S266" s="59">
        <f>IF(tblPlant[[#This Row],[Milled_t]]="","",tblPlant[[#This Row],[Milled_t]]*tblPlant[[#This Row],[Head_Grade_gpt]]/cfg_TroyOz)</f>
        <v/>
      </c>
      <c r="T266" s="59">
        <f>IF(tblPlant[[#This Row],[Milled_t]]="","",tblPlant[[#This Row],[Milled_t]]*tblPlant[[#This Row],[Tails_Grade_gpt]]/cfg_TroyOz)</f>
        <v/>
      </c>
      <c r="U266" s="59">
        <f>IF(tblPlant[[#This Row],[Milled_t]]="","",tblPlant[[#This Row],[Feed_oz]]-tblPlant[[#This Row],[Tails_oz]])</f>
        <v/>
      </c>
      <c r="V266" s="60">
        <f>IF(AND(tblPlant[[#This Row],[Milled_t]]&lt;&gt;"",tblPlant[[#This Row],[Feed_oz]]&gt;0),tblPlant[[#This Row],[Recovered_oz]]/tblPlant[[#This Row],[Feed_oz]],"")</f>
        <v/>
      </c>
      <c r="W266" s="59">
        <f>IF(AND(tblPlant[[#This Row],[Milled_t]]&lt;&gt;"",tblPlant[[#This Row],[Mill_Run_h]]&gt;0),tblPlant[[#This Row],[Milled_t]]/tblPlant[[#This Row],[Mill_Run_h]],"")</f>
        <v/>
      </c>
      <c r="X266" s="60">
        <f>IF(tblPlant[[#This Row],[Mill_Run_h]]="","",(24-tblPlant[[#This Row],[Mill_Planned_Maint_h]]-tblPlant[[#This Row],[Mill_Unplanned_Down_h]])/24)</f>
        <v/>
      </c>
      <c r="Y2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7">
      <c r="A267" s="54" t="n">
        <v>46284</v>
      </c>
      <c r="B267" s="55" t="n"/>
      <c r="C267" s="55" t="n"/>
      <c r="D267" s="56" t="n"/>
      <c r="E267" s="56" t="n"/>
      <c r="F267" s="55" t="n"/>
      <c r="G267" s="55" t="n"/>
      <c r="H267" s="57" t="n"/>
      <c r="I267" s="57" t="n"/>
      <c r="J267" s="57" t="n"/>
      <c r="K267" s="57" t="n"/>
      <c r="L267" s="55" t="n"/>
      <c r="M267" s="55" t="n"/>
      <c r="N267" s="55" t="n"/>
      <c r="O267" s="55" t="n"/>
      <c r="P267" s="55" t="n"/>
      <c r="Q267" s="55" t="n"/>
      <c r="R267" s="58" t="n"/>
      <c r="S267" s="59">
        <f>IF(tblPlant[[#This Row],[Milled_t]]="","",tblPlant[[#This Row],[Milled_t]]*tblPlant[[#This Row],[Head_Grade_gpt]]/cfg_TroyOz)</f>
        <v/>
      </c>
      <c r="T267" s="59">
        <f>IF(tblPlant[[#This Row],[Milled_t]]="","",tblPlant[[#This Row],[Milled_t]]*tblPlant[[#This Row],[Tails_Grade_gpt]]/cfg_TroyOz)</f>
        <v/>
      </c>
      <c r="U267" s="59">
        <f>IF(tblPlant[[#This Row],[Milled_t]]="","",tblPlant[[#This Row],[Feed_oz]]-tblPlant[[#This Row],[Tails_oz]])</f>
        <v/>
      </c>
      <c r="V267" s="60">
        <f>IF(AND(tblPlant[[#This Row],[Milled_t]]&lt;&gt;"",tblPlant[[#This Row],[Feed_oz]]&gt;0),tblPlant[[#This Row],[Recovered_oz]]/tblPlant[[#This Row],[Feed_oz]],"")</f>
        <v/>
      </c>
      <c r="W267" s="59">
        <f>IF(AND(tblPlant[[#This Row],[Milled_t]]&lt;&gt;"",tblPlant[[#This Row],[Mill_Run_h]]&gt;0),tblPlant[[#This Row],[Milled_t]]/tblPlant[[#This Row],[Mill_Run_h]],"")</f>
        <v/>
      </c>
      <c r="X267" s="60">
        <f>IF(tblPlant[[#This Row],[Mill_Run_h]]="","",(24-tblPlant[[#This Row],[Mill_Planned_Maint_h]]-tblPlant[[#This Row],[Mill_Unplanned_Down_h]])/24)</f>
        <v/>
      </c>
      <c r="Y2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8">
      <c r="A268" s="54" t="n">
        <v>46285</v>
      </c>
      <c r="B268" s="55" t="n"/>
      <c r="C268" s="55" t="n"/>
      <c r="D268" s="56" t="n"/>
      <c r="E268" s="56" t="n"/>
      <c r="F268" s="55" t="n"/>
      <c r="G268" s="55" t="n"/>
      <c r="H268" s="57" t="n"/>
      <c r="I268" s="57" t="n"/>
      <c r="J268" s="57" t="n"/>
      <c r="K268" s="57" t="n"/>
      <c r="L268" s="55" t="n"/>
      <c r="M268" s="55" t="n"/>
      <c r="N268" s="55" t="n"/>
      <c r="O268" s="55" t="n"/>
      <c r="P268" s="55" t="n"/>
      <c r="Q268" s="55" t="n"/>
      <c r="R268" s="58" t="n"/>
      <c r="S268" s="59">
        <f>IF(tblPlant[[#This Row],[Milled_t]]="","",tblPlant[[#This Row],[Milled_t]]*tblPlant[[#This Row],[Head_Grade_gpt]]/cfg_TroyOz)</f>
        <v/>
      </c>
      <c r="T268" s="59">
        <f>IF(tblPlant[[#This Row],[Milled_t]]="","",tblPlant[[#This Row],[Milled_t]]*tblPlant[[#This Row],[Tails_Grade_gpt]]/cfg_TroyOz)</f>
        <v/>
      </c>
      <c r="U268" s="59">
        <f>IF(tblPlant[[#This Row],[Milled_t]]="","",tblPlant[[#This Row],[Feed_oz]]-tblPlant[[#This Row],[Tails_oz]])</f>
        <v/>
      </c>
      <c r="V268" s="60">
        <f>IF(AND(tblPlant[[#This Row],[Milled_t]]&lt;&gt;"",tblPlant[[#This Row],[Feed_oz]]&gt;0),tblPlant[[#This Row],[Recovered_oz]]/tblPlant[[#This Row],[Feed_oz]],"")</f>
        <v/>
      </c>
      <c r="W268" s="59">
        <f>IF(AND(tblPlant[[#This Row],[Milled_t]]&lt;&gt;"",tblPlant[[#This Row],[Mill_Run_h]]&gt;0),tblPlant[[#This Row],[Milled_t]]/tblPlant[[#This Row],[Mill_Run_h]],"")</f>
        <v/>
      </c>
      <c r="X268" s="60">
        <f>IF(tblPlant[[#This Row],[Mill_Run_h]]="","",(24-tblPlant[[#This Row],[Mill_Planned_Maint_h]]-tblPlant[[#This Row],[Mill_Unplanned_Down_h]])/24)</f>
        <v/>
      </c>
      <c r="Y2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9">
      <c r="A269" s="54" t="n">
        <v>46286</v>
      </c>
      <c r="B269" s="55" t="n"/>
      <c r="C269" s="55" t="n"/>
      <c r="D269" s="56" t="n"/>
      <c r="E269" s="56" t="n"/>
      <c r="F269" s="55" t="n"/>
      <c r="G269" s="55" t="n"/>
      <c r="H269" s="57" t="n"/>
      <c r="I269" s="57" t="n"/>
      <c r="J269" s="57" t="n"/>
      <c r="K269" s="57" t="n"/>
      <c r="L269" s="55" t="n"/>
      <c r="M269" s="55" t="n"/>
      <c r="N269" s="55" t="n"/>
      <c r="O269" s="55" t="n"/>
      <c r="P269" s="55" t="n"/>
      <c r="Q269" s="55" t="n"/>
      <c r="R269" s="58" t="n"/>
      <c r="S269" s="59">
        <f>IF(tblPlant[[#This Row],[Milled_t]]="","",tblPlant[[#This Row],[Milled_t]]*tblPlant[[#This Row],[Head_Grade_gpt]]/cfg_TroyOz)</f>
        <v/>
      </c>
      <c r="T269" s="59">
        <f>IF(tblPlant[[#This Row],[Milled_t]]="","",tblPlant[[#This Row],[Milled_t]]*tblPlant[[#This Row],[Tails_Grade_gpt]]/cfg_TroyOz)</f>
        <v/>
      </c>
      <c r="U269" s="59">
        <f>IF(tblPlant[[#This Row],[Milled_t]]="","",tblPlant[[#This Row],[Feed_oz]]-tblPlant[[#This Row],[Tails_oz]])</f>
        <v/>
      </c>
      <c r="V269" s="60">
        <f>IF(AND(tblPlant[[#This Row],[Milled_t]]&lt;&gt;"",tblPlant[[#This Row],[Feed_oz]]&gt;0),tblPlant[[#This Row],[Recovered_oz]]/tblPlant[[#This Row],[Feed_oz]],"")</f>
        <v/>
      </c>
      <c r="W269" s="59">
        <f>IF(AND(tblPlant[[#This Row],[Milled_t]]&lt;&gt;"",tblPlant[[#This Row],[Mill_Run_h]]&gt;0),tblPlant[[#This Row],[Milled_t]]/tblPlant[[#This Row],[Mill_Run_h]],"")</f>
        <v/>
      </c>
      <c r="X269" s="60">
        <f>IF(tblPlant[[#This Row],[Mill_Run_h]]="","",(24-tblPlant[[#This Row],[Mill_Planned_Maint_h]]-tblPlant[[#This Row],[Mill_Unplanned_Down_h]])/24)</f>
        <v/>
      </c>
      <c r="Y2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0">
      <c r="A270" s="54" t="n">
        <v>46287</v>
      </c>
      <c r="B270" s="55" t="n"/>
      <c r="C270" s="55" t="n"/>
      <c r="D270" s="56" t="n"/>
      <c r="E270" s="56" t="n"/>
      <c r="F270" s="55" t="n"/>
      <c r="G270" s="55" t="n"/>
      <c r="H270" s="57" t="n"/>
      <c r="I270" s="57" t="n"/>
      <c r="J270" s="57" t="n"/>
      <c r="K270" s="57" t="n"/>
      <c r="L270" s="55" t="n"/>
      <c r="M270" s="55" t="n"/>
      <c r="N270" s="55" t="n"/>
      <c r="O270" s="55" t="n"/>
      <c r="P270" s="55" t="n"/>
      <c r="Q270" s="55" t="n"/>
      <c r="R270" s="58" t="n"/>
      <c r="S270" s="59">
        <f>IF(tblPlant[[#This Row],[Milled_t]]="","",tblPlant[[#This Row],[Milled_t]]*tblPlant[[#This Row],[Head_Grade_gpt]]/cfg_TroyOz)</f>
        <v/>
      </c>
      <c r="T270" s="59">
        <f>IF(tblPlant[[#This Row],[Milled_t]]="","",tblPlant[[#This Row],[Milled_t]]*tblPlant[[#This Row],[Tails_Grade_gpt]]/cfg_TroyOz)</f>
        <v/>
      </c>
      <c r="U270" s="59">
        <f>IF(tblPlant[[#This Row],[Milled_t]]="","",tblPlant[[#This Row],[Feed_oz]]-tblPlant[[#This Row],[Tails_oz]])</f>
        <v/>
      </c>
      <c r="V270" s="60">
        <f>IF(AND(tblPlant[[#This Row],[Milled_t]]&lt;&gt;"",tblPlant[[#This Row],[Feed_oz]]&gt;0),tblPlant[[#This Row],[Recovered_oz]]/tblPlant[[#This Row],[Feed_oz]],"")</f>
        <v/>
      </c>
      <c r="W270" s="59">
        <f>IF(AND(tblPlant[[#This Row],[Milled_t]]&lt;&gt;"",tblPlant[[#This Row],[Mill_Run_h]]&gt;0),tblPlant[[#This Row],[Milled_t]]/tblPlant[[#This Row],[Mill_Run_h]],"")</f>
        <v/>
      </c>
      <c r="X270" s="60">
        <f>IF(tblPlant[[#This Row],[Mill_Run_h]]="","",(24-tblPlant[[#This Row],[Mill_Planned_Maint_h]]-tblPlant[[#This Row],[Mill_Unplanned_Down_h]])/24)</f>
        <v/>
      </c>
      <c r="Y2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1">
      <c r="A271" s="54" t="n">
        <v>46288</v>
      </c>
      <c r="B271" s="55" t="n"/>
      <c r="C271" s="55" t="n"/>
      <c r="D271" s="56" t="n"/>
      <c r="E271" s="56" t="n"/>
      <c r="F271" s="55" t="n"/>
      <c r="G271" s="55" t="n"/>
      <c r="H271" s="57" t="n"/>
      <c r="I271" s="57" t="n"/>
      <c r="J271" s="57" t="n"/>
      <c r="K271" s="57" t="n"/>
      <c r="L271" s="55" t="n"/>
      <c r="M271" s="55" t="n"/>
      <c r="N271" s="55" t="n"/>
      <c r="O271" s="55" t="n"/>
      <c r="P271" s="55" t="n"/>
      <c r="Q271" s="55" t="n"/>
      <c r="R271" s="58" t="n"/>
      <c r="S271" s="59">
        <f>IF(tblPlant[[#This Row],[Milled_t]]="","",tblPlant[[#This Row],[Milled_t]]*tblPlant[[#This Row],[Head_Grade_gpt]]/cfg_TroyOz)</f>
        <v/>
      </c>
      <c r="T271" s="59">
        <f>IF(tblPlant[[#This Row],[Milled_t]]="","",tblPlant[[#This Row],[Milled_t]]*tblPlant[[#This Row],[Tails_Grade_gpt]]/cfg_TroyOz)</f>
        <v/>
      </c>
      <c r="U271" s="59">
        <f>IF(tblPlant[[#This Row],[Milled_t]]="","",tblPlant[[#This Row],[Feed_oz]]-tblPlant[[#This Row],[Tails_oz]])</f>
        <v/>
      </c>
      <c r="V271" s="60">
        <f>IF(AND(tblPlant[[#This Row],[Milled_t]]&lt;&gt;"",tblPlant[[#This Row],[Feed_oz]]&gt;0),tblPlant[[#This Row],[Recovered_oz]]/tblPlant[[#This Row],[Feed_oz]],"")</f>
        <v/>
      </c>
      <c r="W271" s="59">
        <f>IF(AND(tblPlant[[#This Row],[Milled_t]]&lt;&gt;"",tblPlant[[#This Row],[Mill_Run_h]]&gt;0),tblPlant[[#This Row],[Milled_t]]/tblPlant[[#This Row],[Mill_Run_h]],"")</f>
        <v/>
      </c>
      <c r="X271" s="60">
        <f>IF(tblPlant[[#This Row],[Mill_Run_h]]="","",(24-tblPlant[[#This Row],[Mill_Planned_Maint_h]]-tblPlant[[#This Row],[Mill_Unplanned_Down_h]])/24)</f>
        <v/>
      </c>
      <c r="Y2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2">
      <c r="A272" s="54" t="n">
        <v>46289</v>
      </c>
      <c r="B272" s="55" t="n"/>
      <c r="C272" s="55" t="n"/>
      <c r="D272" s="56" t="n"/>
      <c r="E272" s="56" t="n"/>
      <c r="F272" s="55" t="n"/>
      <c r="G272" s="55" t="n"/>
      <c r="H272" s="57" t="n"/>
      <c r="I272" s="57" t="n"/>
      <c r="J272" s="57" t="n"/>
      <c r="K272" s="57" t="n"/>
      <c r="L272" s="55" t="n"/>
      <c r="M272" s="55" t="n"/>
      <c r="N272" s="55" t="n"/>
      <c r="O272" s="55" t="n"/>
      <c r="P272" s="55" t="n"/>
      <c r="Q272" s="55" t="n"/>
      <c r="R272" s="58" t="n"/>
      <c r="S272" s="59">
        <f>IF(tblPlant[[#This Row],[Milled_t]]="","",tblPlant[[#This Row],[Milled_t]]*tblPlant[[#This Row],[Head_Grade_gpt]]/cfg_TroyOz)</f>
        <v/>
      </c>
      <c r="T272" s="59">
        <f>IF(tblPlant[[#This Row],[Milled_t]]="","",tblPlant[[#This Row],[Milled_t]]*tblPlant[[#This Row],[Tails_Grade_gpt]]/cfg_TroyOz)</f>
        <v/>
      </c>
      <c r="U272" s="59">
        <f>IF(tblPlant[[#This Row],[Milled_t]]="","",tblPlant[[#This Row],[Feed_oz]]-tblPlant[[#This Row],[Tails_oz]])</f>
        <v/>
      </c>
      <c r="V272" s="60">
        <f>IF(AND(tblPlant[[#This Row],[Milled_t]]&lt;&gt;"",tblPlant[[#This Row],[Feed_oz]]&gt;0),tblPlant[[#This Row],[Recovered_oz]]/tblPlant[[#This Row],[Feed_oz]],"")</f>
        <v/>
      </c>
      <c r="W272" s="59">
        <f>IF(AND(tblPlant[[#This Row],[Milled_t]]&lt;&gt;"",tblPlant[[#This Row],[Mill_Run_h]]&gt;0),tblPlant[[#This Row],[Milled_t]]/tblPlant[[#This Row],[Mill_Run_h]],"")</f>
        <v/>
      </c>
      <c r="X272" s="60">
        <f>IF(tblPlant[[#This Row],[Mill_Run_h]]="","",(24-tblPlant[[#This Row],[Mill_Planned_Maint_h]]-tblPlant[[#This Row],[Mill_Unplanned_Down_h]])/24)</f>
        <v/>
      </c>
      <c r="Y2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3">
      <c r="A273" s="54" t="n">
        <v>46290</v>
      </c>
      <c r="B273" s="55" t="n"/>
      <c r="C273" s="55" t="n"/>
      <c r="D273" s="56" t="n"/>
      <c r="E273" s="56" t="n"/>
      <c r="F273" s="55" t="n"/>
      <c r="G273" s="55" t="n"/>
      <c r="H273" s="57" t="n"/>
      <c r="I273" s="57" t="n"/>
      <c r="J273" s="57" t="n"/>
      <c r="K273" s="57" t="n"/>
      <c r="L273" s="55" t="n"/>
      <c r="M273" s="55" t="n"/>
      <c r="N273" s="55" t="n"/>
      <c r="O273" s="55" t="n"/>
      <c r="P273" s="55" t="n"/>
      <c r="Q273" s="55" t="n"/>
      <c r="R273" s="58" t="n"/>
      <c r="S273" s="59">
        <f>IF(tblPlant[[#This Row],[Milled_t]]="","",tblPlant[[#This Row],[Milled_t]]*tblPlant[[#This Row],[Head_Grade_gpt]]/cfg_TroyOz)</f>
        <v/>
      </c>
      <c r="T273" s="59">
        <f>IF(tblPlant[[#This Row],[Milled_t]]="","",tblPlant[[#This Row],[Milled_t]]*tblPlant[[#This Row],[Tails_Grade_gpt]]/cfg_TroyOz)</f>
        <v/>
      </c>
      <c r="U273" s="59">
        <f>IF(tblPlant[[#This Row],[Milled_t]]="","",tblPlant[[#This Row],[Feed_oz]]-tblPlant[[#This Row],[Tails_oz]])</f>
        <v/>
      </c>
      <c r="V273" s="60">
        <f>IF(AND(tblPlant[[#This Row],[Milled_t]]&lt;&gt;"",tblPlant[[#This Row],[Feed_oz]]&gt;0),tblPlant[[#This Row],[Recovered_oz]]/tblPlant[[#This Row],[Feed_oz]],"")</f>
        <v/>
      </c>
      <c r="W273" s="59">
        <f>IF(AND(tblPlant[[#This Row],[Milled_t]]&lt;&gt;"",tblPlant[[#This Row],[Mill_Run_h]]&gt;0),tblPlant[[#This Row],[Milled_t]]/tblPlant[[#This Row],[Mill_Run_h]],"")</f>
        <v/>
      </c>
      <c r="X273" s="60">
        <f>IF(tblPlant[[#This Row],[Mill_Run_h]]="","",(24-tblPlant[[#This Row],[Mill_Planned_Maint_h]]-tblPlant[[#This Row],[Mill_Unplanned_Down_h]])/24)</f>
        <v/>
      </c>
      <c r="Y2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4">
      <c r="A274" s="54" t="n">
        <v>46291</v>
      </c>
      <c r="B274" s="55" t="n"/>
      <c r="C274" s="55" t="n"/>
      <c r="D274" s="56" t="n"/>
      <c r="E274" s="56" t="n"/>
      <c r="F274" s="55" t="n"/>
      <c r="G274" s="55" t="n"/>
      <c r="H274" s="57" t="n"/>
      <c r="I274" s="57" t="n"/>
      <c r="J274" s="57" t="n"/>
      <c r="K274" s="57" t="n"/>
      <c r="L274" s="55" t="n"/>
      <c r="M274" s="55" t="n"/>
      <c r="N274" s="55" t="n"/>
      <c r="O274" s="55" t="n"/>
      <c r="P274" s="55" t="n"/>
      <c r="Q274" s="55" t="n"/>
      <c r="R274" s="58" t="n"/>
      <c r="S274" s="59">
        <f>IF(tblPlant[[#This Row],[Milled_t]]="","",tblPlant[[#This Row],[Milled_t]]*tblPlant[[#This Row],[Head_Grade_gpt]]/cfg_TroyOz)</f>
        <v/>
      </c>
      <c r="T274" s="59">
        <f>IF(tblPlant[[#This Row],[Milled_t]]="","",tblPlant[[#This Row],[Milled_t]]*tblPlant[[#This Row],[Tails_Grade_gpt]]/cfg_TroyOz)</f>
        <v/>
      </c>
      <c r="U274" s="59">
        <f>IF(tblPlant[[#This Row],[Milled_t]]="","",tblPlant[[#This Row],[Feed_oz]]-tblPlant[[#This Row],[Tails_oz]])</f>
        <v/>
      </c>
      <c r="V274" s="60">
        <f>IF(AND(tblPlant[[#This Row],[Milled_t]]&lt;&gt;"",tblPlant[[#This Row],[Feed_oz]]&gt;0),tblPlant[[#This Row],[Recovered_oz]]/tblPlant[[#This Row],[Feed_oz]],"")</f>
        <v/>
      </c>
      <c r="W274" s="59">
        <f>IF(AND(tblPlant[[#This Row],[Milled_t]]&lt;&gt;"",tblPlant[[#This Row],[Mill_Run_h]]&gt;0),tblPlant[[#This Row],[Milled_t]]/tblPlant[[#This Row],[Mill_Run_h]],"")</f>
        <v/>
      </c>
      <c r="X274" s="60">
        <f>IF(tblPlant[[#This Row],[Mill_Run_h]]="","",(24-tblPlant[[#This Row],[Mill_Planned_Maint_h]]-tblPlant[[#This Row],[Mill_Unplanned_Down_h]])/24)</f>
        <v/>
      </c>
      <c r="Y2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5">
      <c r="A275" s="54" t="n">
        <v>46292</v>
      </c>
      <c r="B275" s="55" t="n"/>
      <c r="C275" s="55" t="n"/>
      <c r="D275" s="56" t="n"/>
      <c r="E275" s="56" t="n"/>
      <c r="F275" s="55" t="n"/>
      <c r="G275" s="55" t="n"/>
      <c r="H275" s="57" t="n"/>
      <c r="I275" s="57" t="n"/>
      <c r="J275" s="57" t="n"/>
      <c r="K275" s="57" t="n"/>
      <c r="L275" s="55" t="n"/>
      <c r="M275" s="55" t="n"/>
      <c r="N275" s="55" t="n"/>
      <c r="O275" s="55" t="n"/>
      <c r="P275" s="55" t="n"/>
      <c r="Q275" s="55" t="n"/>
      <c r="R275" s="58" t="n"/>
      <c r="S275" s="59">
        <f>IF(tblPlant[[#This Row],[Milled_t]]="","",tblPlant[[#This Row],[Milled_t]]*tblPlant[[#This Row],[Head_Grade_gpt]]/cfg_TroyOz)</f>
        <v/>
      </c>
      <c r="T275" s="59">
        <f>IF(tblPlant[[#This Row],[Milled_t]]="","",tblPlant[[#This Row],[Milled_t]]*tblPlant[[#This Row],[Tails_Grade_gpt]]/cfg_TroyOz)</f>
        <v/>
      </c>
      <c r="U275" s="59">
        <f>IF(tblPlant[[#This Row],[Milled_t]]="","",tblPlant[[#This Row],[Feed_oz]]-tblPlant[[#This Row],[Tails_oz]])</f>
        <v/>
      </c>
      <c r="V275" s="60">
        <f>IF(AND(tblPlant[[#This Row],[Milled_t]]&lt;&gt;"",tblPlant[[#This Row],[Feed_oz]]&gt;0),tblPlant[[#This Row],[Recovered_oz]]/tblPlant[[#This Row],[Feed_oz]],"")</f>
        <v/>
      </c>
      <c r="W275" s="59">
        <f>IF(AND(tblPlant[[#This Row],[Milled_t]]&lt;&gt;"",tblPlant[[#This Row],[Mill_Run_h]]&gt;0),tblPlant[[#This Row],[Milled_t]]/tblPlant[[#This Row],[Mill_Run_h]],"")</f>
        <v/>
      </c>
      <c r="X275" s="60">
        <f>IF(tblPlant[[#This Row],[Mill_Run_h]]="","",(24-tblPlant[[#This Row],[Mill_Planned_Maint_h]]-tblPlant[[#This Row],[Mill_Unplanned_Down_h]])/24)</f>
        <v/>
      </c>
      <c r="Y2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6">
      <c r="A276" s="54" t="n">
        <v>46293</v>
      </c>
      <c r="B276" s="55" t="n"/>
      <c r="C276" s="55" t="n"/>
      <c r="D276" s="56" t="n"/>
      <c r="E276" s="56" t="n"/>
      <c r="F276" s="55" t="n"/>
      <c r="G276" s="55" t="n"/>
      <c r="H276" s="57" t="n"/>
      <c r="I276" s="57" t="n"/>
      <c r="J276" s="57" t="n"/>
      <c r="K276" s="57" t="n"/>
      <c r="L276" s="55" t="n"/>
      <c r="M276" s="55" t="n"/>
      <c r="N276" s="55" t="n"/>
      <c r="O276" s="55" t="n"/>
      <c r="P276" s="55" t="n"/>
      <c r="Q276" s="55" t="n"/>
      <c r="R276" s="58" t="n"/>
      <c r="S276" s="59">
        <f>IF(tblPlant[[#This Row],[Milled_t]]="","",tblPlant[[#This Row],[Milled_t]]*tblPlant[[#This Row],[Head_Grade_gpt]]/cfg_TroyOz)</f>
        <v/>
      </c>
      <c r="T276" s="59">
        <f>IF(tblPlant[[#This Row],[Milled_t]]="","",tblPlant[[#This Row],[Milled_t]]*tblPlant[[#This Row],[Tails_Grade_gpt]]/cfg_TroyOz)</f>
        <v/>
      </c>
      <c r="U276" s="59">
        <f>IF(tblPlant[[#This Row],[Milled_t]]="","",tblPlant[[#This Row],[Feed_oz]]-tblPlant[[#This Row],[Tails_oz]])</f>
        <v/>
      </c>
      <c r="V276" s="60">
        <f>IF(AND(tblPlant[[#This Row],[Milled_t]]&lt;&gt;"",tblPlant[[#This Row],[Feed_oz]]&gt;0),tblPlant[[#This Row],[Recovered_oz]]/tblPlant[[#This Row],[Feed_oz]],"")</f>
        <v/>
      </c>
      <c r="W276" s="59">
        <f>IF(AND(tblPlant[[#This Row],[Milled_t]]&lt;&gt;"",tblPlant[[#This Row],[Mill_Run_h]]&gt;0),tblPlant[[#This Row],[Milled_t]]/tblPlant[[#This Row],[Mill_Run_h]],"")</f>
        <v/>
      </c>
      <c r="X276" s="60">
        <f>IF(tblPlant[[#This Row],[Mill_Run_h]]="","",(24-tblPlant[[#This Row],[Mill_Planned_Maint_h]]-tblPlant[[#This Row],[Mill_Unplanned_Down_h]])/24)</f>
        <v/>
      </c>
      <c r="Y2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7">
      <c r="A277" s="54" t="n">
        <v>46294</v>
      </c>
      <c r="B277" s="55" t="n"/>
      <c r="C277" s="55" t="n"/>
      <c r="D277" s="56" t="n"/>
      <c r="E277" s="56" t="n"/>
      <c r="F277" s="55" t="n"/>
      <c r="G277" s="55" t="n"/>
      <c r="H277" s="57" t="n"/>
      <c r="I277" s="57" t="n"/>
      <c r="J277" s="57" t="n"/>
      <c r="K277" s="57" t="n"/>
      <c r="L277" s="55" t="n"/>
      <c r="M277" s="55" t="n"/>
      <c r="N277" s="55" t="n"/>
      <c r="O277" s="55" t="n"/>
      <c r="P277" s="55" t="n"/>
      <c r="Q277" s="55" t="n"/>
      <c r="R277" s="58" t="n"/>
      <c r="S277" s="59">
        <f>IF(tblPlant[[#This Row],[Milled_t]]="","",tblPlant[[#This Row],[Milled_t]]*tblPlant[[#This Row],[Head_Grade_gpt]]/cfg_TroyOz)</f>
        <v/>
      </c>
      <c r="T277" s="59">
        <f>IF(tblPlant[[#This Row],[Milled_t]]="","",tblPlant[[#This Row],[Milled_t]]*tblPlant[[#This Row],[Tails_Grade_gpt]]/cfg_TroyOz)</f>
        <v/>
      </c>
      <c r="U277" s="59">
        <f>IF(tblPlant[[#This Row],[Milled_t]]="","",tblPlant[[#This Row],[Feed_oz]]-tblPlant[[#This Row],[Tails_oz]])</f>
        <v/>
      </c>
      <c r="V277" s="60">
        <f>IF(AND(tblPlant[[#This Row],[Milled_t]]&lt;&gt;"",tblPlant[[#This Row],[Feed_oz]]&gt;0),tblPlant[[#This Row],[Recovered_oz]]/tblPlant[[#This Row],[Feed_oz]],"")</f>
        <v/>
      </c>
      <c r="W277" s="59">
        <f>IF(AND(tblPlant[[#This Row],[Milled_t]]&lt;&gt;"",tblPlant[[#This Row],[Mill_Run_h]]&gt;0),tblPlant[[#This Row],[Milled_t]]/tblPlant[[#This Row],[Mill_Run_h]],"")</f>
        <v/>
      </c>
      <c r="X277" s="60">
        <f>IF(tblPlant[[#This Row],[Mill_Run_h]]="","",(24-tblPlant[[#This Row],[Mill_Planned_Maint_h]]-tblPlant[[#This Row],[Mill_Unplanned_Down_h]])/24)</f>
        <v/>
      </c>
      <c r="Y2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8">
      <c r="A278" s="54" t="n">
        <v>46295</v>
      </c>
      <c r="B278" s="55" t="n"/>
      <c r="C278" s="55" t="n"/>
      <c r="D278" s="56" t="n"/>
      <c r="E278" s="56" t="n"/>
      <c r="F278" s="55" t="n"/>
      <c r="G278" s="55" t="n"/>
      <c r="H278" s="57" t="n"/>
      <c r="I278" s="57" t="n"/>
      <c r="J278" s="57" t="n"/>
      <c r="K278" s="57" t="n"/>
      <c r="L278" s="55" t="n"/>
      <c r="M278" s="55" t="n"/>
      <c r="N278" s="55" t="n"/>
      <c r="O278" s="55" t="n"/>
      <c r="P278" s="55" t="n"/>
      <c r="Q278" s="55" t="n"/>
      <c r="R278" s="58" t="n"/>
      <c r="S278" s="59">
        <f>IF(tblPlant[[#This Row],[Milled_t]]="","",tblPlant[[#This Row],[Milled_t]]*tblPlant[[#This Row],[Head_Grade_gpt]]/cfg_TroyOz)</f>
        <v/>
      </c>
      <c r="T278" s="59">
        <f>IF(tblPlant[[#This Row],[Milled_t]]="","",tblPlant[[#This Row],[Milled_t]]*tblPlant[[#This Row],[Tails_Grade_gpt]]/cfg_TroyOz)</f>
        <v/>
      </c>
      <c r="U278" s="59">
        <f>IF(tblPlant[[#This Row],[Milled_t]]="","",tblPlant[[#This Row],[Feed_oz]]-tblPlant[[#This Row],[Tails_oz]])</f>
        <v/>
      </c>
      <c r="V278" s="60">
        <f>IF(AND(tblPlant[[#This Row],[Milled_t]]&lt;&gt;"",tblPlant[[#This Row],[Feed_oz]]&gt;0),tblPlant[[#This Row],[Recovered_oz]]/tblPlant[[#This Row],[Feed_oz]],"")</f>
        <v/>
      </c>
      <c r="W278" s="59">
        <f>IF(AND(tblPlant[[#This Row],[Milled_t]]&lt;&gt;"",tblPlant[[#This Row],[Mill_Run_h]]&gt;0),tblPlant[[#This Row],[Milled_t]]/tblPlant[[#This Row],[Mill_Run_h]],"")</f>
        <v/>
      </c>
      <c r="X278" s="60">
        <f>IF(tblPlant[[#This Row],[Mill_Run_h]]="","",(24-tblPlant[[#This Row],[Mill_Planned_Maint_h]]-tblPlant[[#This Row],[Mill_Unplanned_Down_h]])/24)</f>
        <v/>
      </c>
      <c r="Y2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9">
      <c r="A279" s="54" t="n">
        <v>46296</v>
      </c>
      <c r="B279" s="55" t="n"/>
      <c r="C279" s="55" t="n"/>
      <c r="D279" s="56" t="n"/>
      <c r="E279" s="56" t="n"/>
      <c r="F279" s="55" t="n"/>
      <c r="G279" s="55" t="n"/>
      <c r="H279" s="57" t="n"/>
      <c r="I279" s="57" t="n"/>
      <c r="J279" s="57" t="n"/>
      <c r="K279" s="57" t="n"/>
      <c r="L279" s="55" t="n"/>
      <c r="M279" s="55" t="n"/>
      <c r="N279" s="55" t="n"/>
      <c r="O279" s="55" t="n"/>
      <c r="P279" s="55" t="n"/>
      <c r="Q279" s="55" t="n"/>
      <c r="R279" s="58" t="n"/>
      <c r="S279" s="59">
        <f>IF(tblPlant[[#This Row],[Milled_t]]="","",tblPlant[[#This Row],[Milled_t]]*tblPlant[[#This Row],[Head_Grade_gpt]]/cfg_TroyOz)</f>
        <v/>
      </c>
      <c r="T279" s="59">
        <f>IF(tblPlant[[#This Row],[Milled_t]]="","",tblPlant[[#This Row],[Milled_t]]*tblPlant[[#This Row],[Tails_Grade_gpt]]/cfg_TroyOz)</f>
        <v/>
      </c>
      <c r="U279" s="59">
        <f>IF(tblPlant[[#This Row],[Milled_t]]="","",tblPlant[[#This Row],[Feed_oz]]-tblPlant[[#This Row],[Tails_oz]])</f>
        <v/>
      </c>
      <c r="V279" s="60">
        <f>IF(AND(tblPlant[[#This Row],[Milled_t]]&lt;&gt;"",tblPlant[[#This Row],[Feed_oz]]&gt;0),tblPlant[[#This Row],[Recovered_oz]]/tblPlant[[#This Row],[Feed_oz]],"")</f>
        <v/>
      </c>
      <c r="W279" s="59">
        <f>IF(AND(tblPlant[[#This Row],[Milled_t]]&lt;&gt;"",tblPlant[[#This Row],[Mill_Run_h]]&gt;0),tblPlant[[#This Row],[Milled_t]]/tblPlant[[#This Row],[Mill_Run_h]],"")</f>
        <v/>
      </c>
      <c r="X279" s="60">
        <f>IF(tblPlant[[#This Row],[Mill_Run_h]]="","",(24-tblPlant[[#This Row],[Mill_Planned_Maint_h]]-tblPlant[[#This Row],[Mill_Unplanned_Down_h]])/24)</f>
        <v/>
      </c>
      <c r="Y2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0">
      <c r="A280" s="54" t="n">
        <v>46297</v>
      </c>
      <c r="B280" s="55" t="n"/>
      <c r="C280" s="55" t="n"/>
      <c r="D280" s="56" t="n"/>
      <c r="E280" s="56" t="n"/>
      <c r="F280" s="55" t="n"/>
      <c r="G280" s="55" t="n"/>
      <c r="H280" s="57" t="n"/>
      <c r="I280" s="57" t="n"/>
      <c r="J280" s="57" t="n"/>
      <c r="K280" s="57" t="n"/>
      <c r="L280" s="55" t="n"/>
      <c r="M280" s="55" t="n"/>
      <c r="N280" s="55" t="n"/>
      <c r="O280" s="55" t="n"/>
      <c r="P280" s="55" t="n"/>
      <c r="Q280" s="55" t="n"/>
      <c r="R280" s="58" t="n"/>
      <c r="S280" s="59">
        <f>IF(tblPlant[[#This Row],[Milled_t]]="","",tblPlant[[#This Row],[Milled_t]]*tblPlant[[#This Row],[Head_Grade_gpt]]/cfg_TroyOz)</f>
        <v/>
      </c>
      <c r="T280" s="59">
        <f>IF(tblPlant[[#This Row],[Milled_t]]="","",tblPlant[[#This Row],[Milled_t]]*tblPlant[[#This Row],[Tails_Grade_gpt]]/cfg_TroyOz)</f>
        <v/>
      </c>
      <c r="U280" s="59">
        <f>IF(tblPlant[[#This Row],[Milled_t]]="","",tblPlant[[#This Row],[Feed_oz]]-tblPlant[[#This Row],[Tails_oz]])</f>
        <v/>
      </c>
      <c r="V280" s="60">
        <f>IF(AND(tblPlant[[#This Row],[Milled_t]]&lt;&gt;"",tblPlant[[#This Row],[Feed_oz]]&gt;0),tblPlant[[#This Row],[Recovered_oz]]/tblPlant[[#This Row],[Feed_oz]],"")</f>
        <v/>
      </c>
      <c r="W280" s="59">
        <f>IF(AND(tblPlant[[#This Row],[Milled_t]]&lt;&gt;"",tblPlant[[#This Row],[Mill_Run_h]]&gt;0),tblPlant[[#This Row],[Milled_t]]/tblPlant[[#This Row],[Mill_Run_h]],"")</f>
        <v/>
      </c>
      <c r="X280" s="60">
        <f>IF(tblPlant[[#This Row],[Mill_Run_h]]="","",(24-tblPlant[[#This Row],[Mill_Planned_Maint_h]]-tblPlant[[#This Row],[Mill_Unplanned_Down_h]])/24)</f>
        <v/>
      </c>
      <c r="Y2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1">
      <c r="A281" s="54" t="n">
        <v>46298</v>
      </c>
      <c r="B281" s="55" t="n"/>
      <c r="C281" s="55" t="n"/>
      <c r="D281" s="56" t="n"/>
      <c r="E281" s="56" t="n"/>
      <c r="F281" s="55" t="n"/>
      <c r="G281" s="55" t="n"/>
      <c r="H281" s="57" t="n"/>
      <c r="I281" s="57" t="n"/>
      <c r="J281" s="57" t="n"/>
      <c r="K281" s="57" t="n"/>
      <c r="L281" s="55" t="n"/>
      <c r="M281" s="55" t="n"/>
      <c r="N281" s="55" t="n"/>
      <c r="O281" s="55" t="n"/>
      <c r="P281" s="55" t="n"/>
      <c r="Q281" s="55" t="n"/>
      <c r="R281" s="58" t="n"/>
      <c r="S281" s="59">
        <f>IF(tblPlant[[#This Row],[Milled_t]]="","",tblPlant[[#This Row],[Milled_t]]*tblPlant[[#This Row],[Head_Grade_gpt]]/cfg_TroyOz)</f>
        <v/>
      </c>
      <c r="T281" s="59">
        <f>IF(tblPlant[[#This Row],[Milled_t]]="","",tblPlant[[#This Row],[Milled_t]]*tblPlant[[#This Row],[Tails_Grade_gpt]]/cfg_TroyOz)</f>
        <v/>
      </c>
      <c r="U281" s="59">
        <f>IF(tblPlant[[#This Row],[Milled_t]]="","",tblPlant[[#This Row],[Feed_oz]]-tblPlant[[#This Row],[Tails_oz]])</f>
        <v/>
      </c>
      <c r="V281" s="60">
        <f>IF(AND(tblPlant[[#This Row],[Milled_t]]&lt;&gt;"",tblPlant[[#This Row],[Feed_oz]]&gt;0),tblPlant[[#This Row],[Recovered_oz]]/tblPlant[[#This Row],[Feed_oz]],"")</f>
        <v/>
      </c>
      <c r="W281" s="59">
        <f>IF(AND(tblPlant[[#This Row],[Milled_t]]&lt;&gt;"",tblPlant[[#This Row],[Mill_Run_h]]&gt;0),tblPlant[[#This Row],[Milled_t]]/tblPlant[[#This Row],[Mill_Run_h]],"")</f>
        <v/>
      </c>
      <c r="X281" s="60">
        <f>IF(tblPlant[[#This Row],[Mill_Run_h]]="","",(24-tblPlant[[#This Row],[Mill_Planned_Maint_h]]-tblPlant[[#This Row],[Mill_Unplanned_Down_h]])/24)</f>
        <v/>
      </c>
      <c r="Y2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2">
      <c r="A282" s="54" t="n">
        <v>46299</v>
      </c>
      <c r="B282" s="55" t="n"/>
      <c r="C282" s="55" t="n"/>
      <c r="D282" s="56" t="n"/>
      <c r="E282" s="56" t="n"/>
      <c r="F282" s="55" t="n"/>
      <c r="G282" s="55" t="n"/>
      <c r="H282" s="57" t="n"/>
      <c r="I282" s="57" t="n"/>
      <c r="J282" s="57" t="n"/>
      <c r="K282" s="57" t="n"/>
      <c r="L282" s="55" t="n"/>
      <c r="M282" s="55" t="n"/>
      <c r="N282" s="55" t="n"/>
      <c r="O282" s="55" t="n"/>
      <c r="P282" s="55" t="n"/>
      <c r="Q282" s="55" t="n"/>
      <c r="R282" s="58" t="n"/>
      <c r="S282" s="59">
        <f>IF(tblPlant[[#This Row],[Milled_t]]="","",tblPlant[[#This Row],[Milled_t]]*tblPlant[[#This Row],[Head_Grade_gpt]]/cfg_TroyOz)</f>
        <v/>
      </c>
      <c r="T282" s="59">
        <f>IF(tblPlant[[#This Row],[Milled_t]]="","",tblPlant[[#This Row],[Milled_t]]*tblPlant[[#This Row],[Tails_Grade_gpt]]/cfg_TroyOz)</f>
        <v/>
      </c>
      <c r="U282" s="59">
        <f>IF(tblPlant[[#This Row],[Milled_t]]="","",tblPlant[[#This Row],[Feed_oz]]-tblPlant[[#This Row],[Tails_oz]])</f>
        <v/>
      </c>
      <c r="V282" s="60">
        <f>IF(AND(tblPlant[[#This Row],[Milled_t]]&lt;&gt;"",tblPlant[[#This Row],[Feed_oz]]&gt;0),tblPlant[[#This Row],[Recovered_oz]]/tblPlant[[#This Row],[Feed_oz]],"")</f>
        <v/>
      </c>
      <c r="W282" s="59">
        <f>IF(AND(tblPlant[[#This Row],[Milled_t]]&lt;&gt;"",tblPlant[[#This Row],[Mill_Run_h]]&gt;0),tblPlant[[#This Row],[Milled_t]]/tblPlant[[#This Row],[Mill_Run_h]],"")</f>
        <v/>
      </c>
      <c r="X282" s="60">
        <f>IF(tblPlant[[#This Row],[Mill_Run_h]]="","",(24-tblPlant[[#This Row],[Mill_Planned_Maint_h]]-tblPlant[[#This Row],[Mill_Unplanned_Down_h]])/24)</f>
        <v/>
      </c>
      <c r="Y2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3">
      <c r="A283" s="54" t="n">
        <v>46300</v>
      </c>
      <c r="B283" s="55" t="n"/>
      <c r="C283" s="55" t="n"/>
      <c r="D283" s="56" t="n"/>
      <c r="E283" s="56" t="n"/>
      <c r="F283" s="55" t="n"/>
      <c r="G283" s="55" t="n"/>
      <c r="H283" s="57" t="n"/>
      <c r="I283" s="57" t="n"/>
      <c r="J283" s="57" t="n"/>
      <c r="K283" s="57" t="n"/>
      <c r="L283" s="55" t="n"/>
      <c r="M283" s="55" t="n"/>
      <c r="N283" s="55" t="n"/>
      <c r="O283" s="55" t="n"/>
      <c r="P283" s="55" t="n"/>
      <c r="Q283" s="55" t="n"/>
      <c r="R283" s="58" t="n"/>
      <c r="S283" s="59">
        <f>IF(tblPlant[[#This Row],[Milled_t]]="","",tblPlant[[#This Row],[Milled_t]]*tblPlant[[#This Row],[Head_Grade_gpt]]/cfg_TroyOz)</f>
        <v/>
      </c>
      <c r="T283" s="59">
        <f>IF(tblPlant[[#This Row],[Milled_t]]="","",tblPlant[[#This Row],[Milled_t]]*tblPlant[[#This Row],[Tails_Grade_gpt]]/cfg_TroyOz)</f>
        <v/>
      </c>
      <c r="U283" s="59">
        <f>IF(tblPlant[[#This Row],[Milled_t]]="","",tblPlant[[#This Row],[Feed_oz]]-tblPlant[[#This Row],[Tails_oz]])</f>
        <v/>
      </c>
      <c r="V283" s="60">
        <f>IF(AND(tblPlant[[#This Row],[Milled_t]]&lt;&gt;"",tblPlant[[#This Row],[Feed_oz]]&gt;0),tblPlant[[#This Row],[Recovered_oz]]/tblPlant[[#This Row],[Feed_oz]],"")</f>
        <v/>
      </c>
      <c r="W283" s="59">
        <f>IF(AND(tblPlant[[#This Row],[Milled_t]]&lt;&gt;"",tblPlant[[#This Row],[Mill_Run_h]]&gt;0),tblPlant[[#This Row],[Milled_t]]/tblPlant[[#This Row],[Mill_Run_h]],"")</f>
        <v/>
      </c>
      <c r="X283" s="60">
        <f>IF(tblPlant[[#This Row],[Mill_Run_h]]="","",(24-tblPlant[[#This Row],[Mill_Planned_Maint_h]]-tblPlant[[#This Row],[Mill_Unplanned_Down_h]])/24)</f>
        <v/>
      </c>
      <c r="Y2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4">
      <c r="A284" s="54" t="n">
        <v>46301</v>
      </c>
      <c r="B284" s="55" t="n"/>
      <c r="C284" s="55" t="n"/>
      <c r="D284" s="56" t="n"/>
      <c r="E284" s="56" t="n"/>
      <c r="F284" s="55" t="n"/>
      <c r="G284" s="55" t="n"/>
      <c r="H284" s="57" t="n"/>
      <c r="I284" s="57" t="n"/>
      <c r="J284" s="57" t="n"/>
      <c r="K284" s="57" t="n"/>
      <c r="L284" s="55" t="n"/>
      <c r="M284" s="55" t="n"/>
      <c r="N284" s="55" t="n"/>
      <c r="O284" s="55" t="n"/>
      <c r="P284" s="55" t="n"/>
      <c r="Q284" s="55" t="n"/>
      <c r="R284" s="58" t="n"/>
      <c r="S284" s="59">
        <f>IF(tblPlant[[#This Row],[Milled_t]]="","",tblPlant[[#This Row],[Milled_t]]*tblPlant[[#This Row],[Head_Grade_gpt]]/cfg_TroyOz)</f>
        <v/>
      </c>
      <c r="T284" s="59">
        <f>IF(tblPlant[[#This Row],[Milled_t]]="","",tblPlant[[#This Row],[Milled_t]]*tblPlant[[#This Row],[Tails_Grade_gpt]]/cfg_TroyOz)</f>
        <v/>
      </c>
      <c r="U284" s="59">
        <f>IF(tblPlant[[#This Row],[Milled_t]]="","",tblPlant[[#This Row],[Feed_oz]]-tblPlant[[#This Row],[Tails_oz]])</f>
        <v/>
      </c>
      <c r="V284" s="60">
        <f>IF(AND(tblPlant[[#This Row],[Milled_t]]&lt;&gt;"",tblPlant[[#This Row],[Feed_oz]]&gt;0),tblPlant[[#This Row],[Recovered_oz]]/tblPlant[[#This Row],[Feed_oz]],"")</f>
        <v/>
      </c>
      <c r="W284" s="59">
        <f>IF(AND(tblPlant[[#This Row],[Milled_t]]&lt;&gt;"",tblPlant[[#This Row],[Mill_Run_h]]&gt;0),tblPlant[[#This Row],[Milled_t]]/tblPlant[[#This Row],[Mill_Run_h]],"")</f>
        <v/>
      </c>
      <c r="X284" s="60">
        <f>IF(tblPlant[[#This Row],[Mill_Run_h]]="","",(24-tblPlant[[#This Row],[Mill_Planned_Maint_h]]-tblPlant[[#This Row],[Mill_Unplanned_Down_h]])/24)</f>
        <v/>
      </c>
      <c r="Y2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5">
      <c r="A285" s="54" t="n">
        <v>46302</v>
      </c>
      <c r="B285" s="55" t="n"/>
      <c r="C285" s="55" t="n"/>
      <c r="D285" s="56" t="n"/>
      <c r="E285" s="56" t="n"/>
      <c r="F285" s="55" t="n"/>
      <c r="G285" s="55" t="n"/>
      <c r="H285" s="57" t="n"/>
      <c r="I285" s="57" t="n"/>
      <c r="J285" s="57" t="n"/>
      <c r="K285" s="57" t="n"/>
      <c r="L285" s="55" t="n"/>
      <c r="M285" s="55" t="n"/>
      <c r="N285" s="55" t="n"/>
      <c r="O285" s="55" t="n"/>
      <c r="P285" s="55" t="n"/>
      <c r="Q285" s="55" t="n"/>
      <c r="R285" s="58" t="n"/>
      <c r="S285" s="59">
        <f>IF(tblPlant[[#This Row],[Milled_t]]="","",tblPlant[[#This Row],[Milled_t]]*tblPlant[[#This Row],[Head_Grade_gpt]]/cfg_TroyOz)</f>
        <v/>
      </c>
      <c r="T285" s="59">
        <f>IF(tblPlant[[#This Row],[Milled_t]]="","",tblPlant[[#This Row],[Milled_t]]*tblPlant[[#This Row],[Tails_Grade_gpt]]/cfg_TroyOz)</f>
        <v/>
      </c>
      <c r="U285" s="59">
        <f>IF(tblPlant[[#This Row],[Milled_t]]="","",tblPlant[[#This Row],[Feed_oz]]-tblPlant[[#This Row],[Tails_oz]])</f>
        <v/>
      </c>
      <c r="V285" s="60">
        <f>IF(AND(tblPlant[[#This Row],[Milled_t]]&lt;&gt;"",tblPlant[[#This Row],[Feed_oz]]&gt;0),tblPlant[[#This Row],[Recovered_oz]]/tblPlant[[#This Row],[Feed_oz]],"")</f>
        <v/>
      </c>
      <c r="W285" s="59">
        <f>IF(AND(tblPlant[[#This Row],[Milled_t]]&lt;&gt;"",tblPlant[[#This Row],[Mill_Run_h]]&gt;0),tblPlant[[#This Row],[Milled_t]]/tblPlant[[#This Row],[Mill_Run_h]],"")</f>
        <v/>
      </c>
      <c r="X285" s="60">
        <f>IF(tblPlant[[#This Row],[Mill_Run_h]]="","",(24-tblPlant[[#This Row],[Mill_Planned_Maint_h]]-tblPlant[[#This Row],[Mill_Unplanned_Down_h]])/24)</f>
        <v/>
      </c>
      <c r="Y2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6">
      <c r="A286" s="54" t="n">
        <v>46303</v>
      </c>
      <c r="B286" s="55" t="n"/>
      <c r="C286" s="55" t="n"/>
      <c r="D286" s="56" t="n"/>
      <c r="E286" s="56" t="n"/>
      <c r="F286" s="55" t="n"/>
      <c r="G286" s="55" t="n"/>
      <c r="H286" s="57" t="n"/>
      <c r="I286" s="57" t="n"/>
      <c r="J286" s="57" t="n"/>
      <c r="K286" s="57" t="n"/>
      <c r="L286" s="55" t="n"/>
      <c r="M286" s="55" t="n"/>
      <c r="N286" s="55" t="n"/>
      <c r="O286" s="55" t="n"/>
      <c r="P286" s="55" t="n"/>
      <c r="Q286" s="55" t="n"/>
      <c r="R286" s="58" t="n"/>
      <c r="S286" s="59">
        <f>IF(tblPlant[[#This Row],[Milled_t]]="","",tblPlant[[#This Row],[Milled_t]]*tblPlant[[#This Row],[Head_Grade_gpt]]/cfg_TroyOz)</f>
        <v/>
      </c>
      <c r="T286" s="59">
        <f>IF(tblPlant[[#This Row],[Milled_t]]="","",tblPlant[[#This Row],[Milled_t]]*tblPlant[[#This Row],[Tails_Grade_gpt]]/cfg_TroyOz)</f>
        <v/>
      </c>
      <c r="U286" s="59">
        <f>IF(tblPlant[[#This Row],[Milled_t]]="","",tblPlant[[#This Row],[Feed_oz]]-tblPlant[[#This Row],[Tails_oz]])</f>
        <v/>
      </c>
      <c r="V286" s="60">
        <f>IF(AND(tblPlant[[#This Row],[Milled_t]]&lt;&gt;"",tblPlant[[#This Row],[Feed_oz]]&gt;0),tblPlant[[#This Row],[Recovered_oz]]/tblPlant[[#This Row],[Feed_oz]],"")</f>
        <v/>
      </c>
      <c r="W286" s="59">
        <f>IF(AND(tblPlant[[#This Row],[Milled_t]]&lt;&gt;"",tblPlant[[#This Row],[Mill_Run_h]]&gt;0),tblPlant[[#This Row],[Milled_t]]/tblPlant[[#This Row],[Mill_Run_h]],"")</f>
        <v/>
      </c>
      <c r="X286" s="60">
        <f>IF(tblPlant[[#This Row],[Mill_Run_h]]="","",(24-tblPlant[[#This Row],[Mill_Planned_Maint_h]]-tblPlant[[#This Row],[Mill_Unplanned_Down_h]])/24)</f>
        <v/>
      </c>
      <c r="Y2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7">
      <c r="A287" s="54" t="n">
        <v>46304</v>
      </c>
      <c r="B287" s="55" t="n"/>
      <c r="C287" s="55" t="n"/>
      <c r="D287" s="56" t="n"/>
      <c r="E287" s="56" t="n"/>
      <c r="F287" s="55" t="n"/>
      <c r="G287" s="55" t="n"/>
      <c r="H287" s="57" t="n"/>
      <c r="I287" s="57" t="n"/>
      <c r="J287" s="57" t="n"/>
      <c r="K287" s="57" t="n"/>
      <c r="L287" s="55" t="n"/>
      <c r="M287" s="55" t="n"/>
      <c r="N287" s="55" t="n"/>
      <c r="O287" s="55" t="n"/>
      <c r="P287" s="55" t="n"/>
      <c r="Q287" s="55" t="n"/>
      <c r="R287" s="58" t="n"/>
      <c r="S287" s="59">
        <f>IF(tblPlant[[#This Row],[Milled_t]]="","",tblPlant[[#This Row],[Milled_t]]*tblPlant[[#This Row],[Head_Grade_gpt]]/cfg_TroyOz)</f>
        <v/>
      </c>
      <c r="T287" s="59">
        <f>IF(tblPlant[[#This Row],[Milled_t]]="","",tblPlant[[#This Row],[Milled_t]]*tblPlant[[#This Row],[Tails_Grade_gpt]]/cfg_TroyOz)</f>
        <v/>
      </c>
      <c r="U287" s="59">
        <f>IF(tblPlant[[#This Row],[Milled_t]]="","",tblPlant[[#This Row],[Feed_oz]]-tblPlant[[#This Row],[Tails_oz]])</f>
        <v/>
      </c>
      <c r="V287" s="60">
        <f>IF(AND(tblPlant[[#This Row],[Milled_t]]&lt;&gt;"",tblPlant[[#This Row],[Feed_oz]]&gt;0),tblPlant[[#This Row],[Recovered_oz]]/tblPlant[[#This Row],[Feed_oz]],"")</f>
        <v/>
      </c>
      <c r="W287" s="59">
        <f>IF(AND(tblPlant[[#This Row],[Milled_t]]&lt;&gt;"",tblPlant[[#This Row],[Mill_Run_h]]&gt;0),tblPlant[[#This Row],[Milled_t]]/tblPlant[[#This Row],[Mill_Run_h]],"")</f>
        <v/>
      </c>
      <c r="X287" s="60">
        <f>IF(tblPlant[[#This Row],[Mill_Run_h]]="","",(24-tblPlant[[#This Row],[Mill_Planned_Maint_h]]-tblPlant[[#This Row],[Mill_Unplanned_Down_h]])/24)</f>
        <v/>
      </c>
      <c r="Y2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8">
      <c r="A288" s="54" t="n">
        <v>46305</v>
      </c>
      <c r="B288" s="55" t="n"/>
      <c r="C288" s="55" t="n"/>
      <c r="D288" s="56" t="n"/>
      <c r="E288" s="56" t="n"/>
      <c r="F288" s="55" t="n"/>
      <c r="G288" s="55" t="n"/>
      <c r="H288" s="57" t="n"/>
      <c r="I288" s="57" t="n"/>
      <c r="J288" s="57" t="n"/>
      <c r="K288" s="57" t="n"/>
      <c r="L288" s="55" t="n"/>
      <c r="M288" s="55" t="n"/>
      <c r="N288" s="55" t="n"/>
      <c r="O288" s="55" t="n"/>
      <c r="P288" s="55" t="n"/>
      <c r="Q288" s="55" t="n"/>
      <c r="R288" s="58" t="n"/>
      <c r="S288" s="59">
        <f>IF(tblPlant[[#This Row],[Milled_t]]="","",tblPlant[[#This Row],[Milled_t]]*tblPlant[[#This Row],[Head_Grade_gpt]]/cfg_TroyOz)</f>
        <v/>
      </c>
      <c r="T288" s="59">
        <f>IF(tblPlant[[#This Row],[Milled_t]]="","",tblPlant[[#This Row],[Milled_t]]*tblPlant[[#This Row],[Tails_Grade_gpt]]/cfg_TroyOz)</f>
        <v/>
      </c>
      <c r="U288" s="59">
        <f>IF(tblPlant[[#This Row],[Milled_t]]="","",tblPlant[[#This Row],[Feed_oz]]-tblPlant[[#This Row],[Tails_oz]])</f>
        <v/>
      </c>
      <c r="V288" s="60">
        <f>IF(AND(tblPlant[[#This Row],[Milled_t]]&lt;&gt;"",tblPlant[[#This Row],[Feed_oz]]&gt;0),tblPlant[[#This Row],[Recovered_oz]]/tblPlant[[#This Row],[Feed_oz]],"")</f>
        <v/>
      </c>
      <c r="W288" s="59">
        <f>IF(AND(tblPlant[[#This Row],[Milled_t]]&lt;&gt;"",tblPlant[[#This Row],[Mill_Run_h]]&gt;0),tblPlant[[#This Row],[Milled_t]]/tblPlant[[#This Row],[Mill_Run_h]],"")</f>
        <v/>
      </c>
      <c r="X288" s="60">
        <f>IF(tblPlant[[#This Row],[Mill_Run_h]]="","",(24-tblPlant[[#This Row],[Mill_Planned_Maint_h]]-tblPlant[[#This Row],[Mill_Unplanned_Down_h]])/24)</f>
        <v/>
      </c>
      <c r="Y2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9">
      <c r="A289" s="54" t="n">
        <v>46306</v>
      </c>
      <c r="B289" s="55" t="n"/>
      <c r="C289" s="55" t="n"/>
      <c r="D289" s="56" t="n"/>
      <c r="E289" s="56" t="n"/>
      <c r="F289" s="55" t="n"/>
      <c r="G289" s="55" t="n"/>
      <c r="H289" s="57" t="n"/>
      <c r="I289" s="57" t="n"/>
      <c r="J289" s="57" t="n"/>
      <c r="K289" s="57" t="n"/>
      <c r="L289" s="55" t="n"/>
      <c r="M289" s="55" t="n"/>
      <c r="N289" s="55" t="n"/>
      <c r="O289" s="55" t="n"/>
      <c r="P289" s="55" t="n"/>
      <c r="Q289" s="55" t="n"/>
      <c r="R289" s="58" t="n"/>
      <c r="S289" s="59">
        <f>IF(tblPlant[[#This Row],[Milled_t]]="","",tblPlant[[#This Row],[Milled_t]]*tblPlant[[#This Row],[Head_Grade_gpt]]/cfg_TroyOz)</f>
        <v/>
      </c>
      <c r="T289" s="59">
        <f>IF(tblPlant[[#This Row],[Milled_t]]="","",tblPlant[[#This Row],[Milled_t]]*tblPlant[[#This Row],[Tails_Grade_gpt]]/cfg_TroyOz)</f>
        <v/>
      </c>
      <c r="U289" s="59">
        <f>IF(tblPlant[[#This Row],[Milled_t]]="","",tblPlant[[#This Row],[Feed_oz]]-tblPlant[[#This Row],[Tails_oz]])</f>
        <v/>
      </c>
      <c r="V289" s="60">
        <f>IF(AND(tblPlant[[#This Row],[Milled_t]]&lt;&gt;"",tblPlant[[#This Row],[Feed_oz]]&gt;0),tblPlant[[#This Row],[Recovered_oz]]/tblPlant[[#This Row],[Feed_oz]],"")</f>
        <v/>
      </c>
      <c r="W289" s="59">
        <f>IF(AND(tblPlant[[#This Row],[Milled_t]]&lt;&gt;"",tblPlant[[#This Row],[Mill_Run_h]]&gt;0),tblPlant[[#This Row],[Milled_t]]/tblPlant[[#This Row],[Mill_Run_h]],"")</f>
        <v/>
      </c>
      <c r="X289" s="60">
        <f>IF(tblPlant[[#This Row],[Mill_Run_h]]="","",(24-tblPlant[[#This Row],[Mill_Planned_Maint_h]]-tblPlant[[#This Row],[Mill_Unplanned_Down_h]])/24)</f>
        <v/>
      </c>
      <c r="Y2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0">
      <c r="A290" s="54" t="n">
        <v>46307</v>
      </c>
      <c r="B290" s="55" t="n"/>
      <c r="C290" s="55" t="n"/>
      <c r="D290" s="56" t="n"/>
      <c r="E290" s="56" t="n"/>
      <c r="F290" s="55" t="n"/>
      <c r="G290" s="55" t="n"/>
      <c r="H290" s="57" t="n"/>
      <c r="I290" s="57" t="n"/>
      <c r="J290" s="57" t="n"/>
      <c r="K290" s="57" t="n"/>
      <c r="L290" s="55" t="n"/>
      <c r="M290" s="55" t="n"/>
      <c r="N290" s="55" t="n"/>
      <c r="O290" s="55" t="n"/>
      <c r="P290" s="55" t="n"/>
      <c r="Q290" s="55" t="n"/>
      <c r="R290" s="58" t="n"/>
      <c r="S290" s="59">
        <f>IF(tblPlant[[#This Row],[Milled_t]]="","",tblPlant[[#This Row],[Milled_t]]*tblPlant[[#This Row],[Head_Grade_gpt]]/cfg_TroyOz)</f>
        <v/>
      </c>
      <c r="T290" s="59">
        <f>IF(tblPlant[[#This Row],[Milled_t]]="","",tblPlant[[#This Row],[Milled_t]]*tblPlant[[#This Row],[Tails_Grade_gpt]]/cfg_TroyOz)</f>
        <v/>
      </c>
      <c r="U290" s="59">
        <f>IF(tblPlant[[#This Row],[Milled_t]]="","",tblPlant[[#This Row],[Feed_oz]]-tblPlant[[#This Row],[Tails_oz]])</f>
        <v/>
      </c>
      <c r="V290" s="60">
        <f>IF(AND(tblPlant[[#This Row],[Milled_t]]&lt;&gt;"",tblPlant[[#This Row],[Feed_oz]]&gt;0),tblPlant[[#This Row],[Recovered_oz]]/tblPlant[[#This Row],[Feed_oz]],"")</f>
        <v/>
      </c>
      <c r="W290" s="59">
        <f>IF(AND(tblPlant[[#This Row],[Milled_t]]&lt;&gt;"",tblPlant[[#This Row],[Mill_Run_h]]&gt;0),tblPlant[[#This Row],[Milled_t]]/tblPlant[[#This Row],[Mill_Run_h]],"")</f>
        <v/>
      </c>
      <c r="X290" s="60">
        <f>IF(tblPlant[[#This Row],[Mill_Run_h]]="","",(24-tblPlant[[#This Row],[Mill_Planned_Maint_h]]-tblPlant[[#This Row],[Mill_Unplanned_Down_h]])/24)</f>
        <v/>
      </c>
      <c r="Y2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1">
      <c r="A291" s="54" t="n">
        <v>46308</v>
      </c>
      <c r="B291" s="55" t="n"/>
      <c r="C291" s="55" t="n"/>
      <c r="D291" s="56" t="n"/>
      <c r="E291" s="56" t="n"/>
      <c r="F291" s="55" t="n"/>
      <c r="G291" s="55" t="n"/>
      <c r="H291" s="57" t="n"/>
      <c r="I291" s="57" t="n"/>
      <c r="J291" s="57" t="n"/>
      <c r="K291" s="57" t="n"/>
      <c r="L291" s="55" t="n"/>
      <c r="M291" s="55" t="n"/>
      <c r="N291" s="55" t="n"/>
      <c r="O291" s="55" t="n"/>
      <c r="P291" s="55" t="n"/>
      <c r="Q291" s="55" t="n"/>
      <c r="R291" s="58" t="n"/>
      <c r="S291" s="59">
        <f>IF(tblPlant[[#This Row],[Milled_t]]="","",tblPlant[[#This Row],[Milled_t]]*tblPlant[[#This Row],[Head_Grade_gpt]]/cfg_TroyOz)</f>
        <v/>
      </c>
      <c r="T291" s="59">
        <f>IF(tblPlant[[#This Row],[Milled_t]]="","",tblPlant[[#This Row],[Milled_t]]*tblPlant[[#This Row],[Tails_Grade_gpt]]/cfg_TroyOz)</f>
        <v/>
      </c>
      <c r="U291" s="59">
        <f>IF(tblPlant[[#This Row],[Milled_t]]="","",tblPlant[[#This Row],[Feed_oz]]-tblPlant[[#This Row],[Tails_oz]])</f>
        <v/>
      </c>
      <c r="V291" s="60">
        <f>IF(AND(tblPlant[[#This Row],[Milled_t]]&lt;&gt;"",tblPlant[[#This Row],[Feed_oz]]&gt;0),tblPlant[[#This Row],[Recovered_oz]]/tblPlant[[#This Row],[Feed_oz]],"")</f>
        <v/>
      </c>
      <c r="W291" s="59">
        <f>IF(AND(tblPlant[[#This Row],[Milled_t]]&lt;&gt;"",tblPlant[[#This Row],[Mill_Run_h]]&gt;0),tblPlant[[#This Row],[Milled_t]]/tblPlant[[#This Row],[Mill_Run_h]],"")</f>
        <v/>
      </c>
      <c r="X291" s="60">
        <f>IF(tblPlant[[#This Row],[Mill_Run_h]]="","",(24-tblPlant[[#This Row],[Mill_Planned_Maint_h]]-tblPlant[[#This Row],[Mill_Unplanned_Down_h]])/24)</f>
        <v/>
      </c>
      <c r="Y2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2">
      <c r="A292" s="54" t="n">
        <v>46309</v>
      </c>
      <c r="B292" s="55" t="n"/>
      <c r="C292" s="55" t="n"/>
      <c r="D292" s="56" t="n"/>
      <c r="E292" s="56" t="n"/>
      <c r="F292" s="55" t="n"/>
      <c r="G292" s="55" t="n"/>
      <c r="H292" s="57" t="n"/>
      <c r="I292" s="57" t="n"/>
      <c r="J292" s="57" t="n"/>
      <c r="K292" s="57" t="n"/>
      <c r="L292" s="55" t="n"/>
      <c r="M292" s="55" t="n"/>
      <c r="N292" s="55" t="n"/>
      <c r="O292" s="55" t="n"/>
      <c r="P292" s="55" t="n"/>
      <c r="Q292" s="55" t="n"/>
      <c r="R292" s="58" t="n"/>
      <c r="S292" s="59">
        <f>IF(tblPlant[[#This Row],[Milled_t]]="","",tblPlant[[#This Row],[Milled_t]]*tblPlant[[#This Row],[Head_Grade_gpt]]/cfg_TroyOz)</f>
        <v/>
      </c>
      <c r="T292" s="59">
        <f>IF(tblPlant[[#This Row],[Milled_t]]="","",tblPlant[[#This Row],[Milled_t]]*tblPlant[[#This Row],[Tails_Grade_gpt]]/cfg_TroyOz)</f>
        <v/>
      </c>
      <c r="U292" s="59">
        <f>IF(tblPlant[[#This Row],[Milled_t]]="","",tblPlant[[#This Row],[Feed_oz]]-tblPlant[[#This Row],[Tails_oz]])</f>
        <v/>
      </c>
      <c r="V292" s="60">
        <f>IF(AND(tblPlant[[#This Row],[Milled_t]]&lt;&gt;"",tblPlant[[#This Row],[Feed_oz]]&gt;0),tblPlant[[#This Row],[Recovered_oz]]/tblPlant[[#This Row],[Feed_oz]],"")</f>
        <v/>
      </c>
      <c r="W292" s="59">
        <f>IF(AND(tblPlant[[#This Row],[Milled_t]]&lt;&gt;"",tblPlant[[#This Row],[Mill_Run_h]]&gt;0),tblPlant[[#This Row],[Milled_t]]/tblPlant[[#This Row],[Mill_Run_h]],"")</f>
        <v/>
      </c>
      <c r="X292" s="60">
        <f>IF(tblPlant[[#This Row],[Mill_Run_h]]="","",(24-tblPlant[[#This Row],[Mill_Planned_Maint_h]]-tblPlant[[#This Row],[Mill_Unplanned_Down_h]])/24)</f>
        <v/>
      </c>
      <c r="Y2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3">
      <c r="A293" s="54" t="n">
        <v>46310</v>
      </c>
      <c r="B293" s="55" t="n"/>
      <c r="C293" s="55" t="n"/>
      <c r="D293" s="56" t="n"/>
      <c r="E293" s="56" t="n"/>
      <c r="F293" s="55" t="n"/>
      <c r="G293" s="55" t="n"/>
      <c r="H293" s="57" t="n"/>
      <c r="I293" s="57" t="n"/>
      <c r="J293" s="57" t="n"/>
      <c r="K293" s="57" t="n"/>
      <c r="L293" s="55" t="n"/>
      <c r="M293" s="55" t="n"/>
      <c r="N293" s="55" t="n"/>
      <c r="O293" s="55" t="n"/>
      <c r="P293" s="55" t="n"/>
      <c r="Q293" s="55" t="n"/>
      <c r="R293" s="58" t="n"/>
      <c r="S293" s="59">
        <f>IF(tblPlant[[#This Row],[Milled_t]]="","",tblPlant[[#This Row],[Milled_t]]*tblPlant[[#This Row],[Head_Grade_gpt]]/cfg_TroyOz)</f>
        <v/>
      </c>
      <c r="T293" s="59">
        <f>IF(tblPlant[[#This Row],[Milled_t]]="","",tblPlant[[#This Row],[Milled_t]]*tblPlant[[#This Row],[Tails_Grade_gpt]]/cfg_TroyOz)</f>
        <v/>
      </c>
      <c r="U293" s="59">
        <f>IF(tblPlant[[#This Row],[Milled_t]]="","",tblPlant[[#This Row],[Feed_oz]]-tblPlant[[#This Row],[Tails_oz]])</f>
        <v/>
      </c>
      <c r="V293" s="60">
        <f>IF(AND(tblPlant[[#This Row],[Milled_t]]&lt;&gt;"",tblPlant[[#This Row],[Feed_oz]]&gt;0),tblPlant[[#This Row],[Recovered_oz]]/tblPlant[[#This Row],[Feed_oz]],"")</f>
        <v/>
      </c>
      <c r="W293" s="59">
        <f>IF(AND(tblPlant[[#This Row],[Milled_t]]&lt;&gt;"",tblPlant[[#This Row],[Mill_Run_h]]&gt;0),tblPlant[[#This Row],[Milled_t]]/tblPlant[[#This Row],[Mill_Run_h]],"")</f>
        <v/>
      </c>
      <c r="X293" s="60">
        <f>IF(tblPlant[[#This Row],[Mill_Run_h]]="","",(24-tblPlant[[#This Row],[Mill_Planned_Maint_h]]-tblPlant[[#This Row],[Mill_Unplanned_Down_h]])/24)</f>
        <v/>
      </c>
      <c r="Y2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4">
      <c r="A294" s="54" t="n">
        <v>46311</v>
      </c>
      <c r="B294" s="55" t="n"/>
      <c r="C294" s="55" t="n"/>
      <c r="D294" s="56" t="n"/>
      <c r="E294" s="56" t="n"/>
      <c r="F294" s="55" t="n"/>
      <c r="G294" s="55" t="n"/>
      <c r="H294" s="57" t="n"/>
      <c r="I294" s="57" t="n"/>
      <c r="J294" s="57" t="n"/>
      <c r="K294" s="57" t="n"/>
      <c r="L294" s="55" t="n"/>
      <c r="M294" s="55" t="n"/>
      <c r="N294" s="55" t="n"/>
      <c r="O294" s="55" t="n"/>
      <c r="P294" s="55" t="n"/>
      <c r="Q294" s="55" t="n"/>
      <c r="R294" s="58" t="n"/>
      <c r="S294" s="59">
        <f>IF(tblPlant[[#This Row],[Milled_t]]="","",tblPlant[[#This Row],[Milled_t]]*tblPlant[[#This Row],[Head_Grade_gpt]]/cfg_TroyOz)</f>
        <v/>
      </c>
      <c r="T294" s="59">
        <f>IF(tblPlant[[#This Row],[Milled_t]]="","",tblPlant[[#This Row],[Milled_t]]*tblPlant[[#This Row],[Tails_Grade_gpt]]/cfg_TroyOz)</f>
        <v/>
      </c>
      <c r="U294" s="59">
        <f>IF(tblPlant[[#This Row],[Milled_t]]="","",tblPlant[[#This Row],[Feed_oz]]-tblPlant[[#This Row],[Tails_oz]])</f>
        <v/>
      </c>
      <c r="V294" s="60">
        <f>IF(AND(tblPlant[[#This Row],[Milled_t]]&lt;&gt;"",tblPlant[[#This Row],[Feed_oz]]&gt;0),tblPlant[[#This Row],[Recovered_oz]]/tblPlant[[#This Row],[Feed_oz]],"")</f>
        <v/>
      </c>
      <c r="W294" s="59">
        <f>IF(AND(tblPlant[[#This Row],[Milled_t]]&lt;&gt;"",tblPlant[[#This Row],[Mill_Run_h]]&gt;0),tblPlant[[#This Row],[Milled_t]]/tblPlant[[#This Row],[Mill_Run_h]],"")</f>
        <v/>
      </c>
      <c r="X294" s="60">
        <f>IF(tblPlant[[#This Row],[Mill_Run_h]]="","",(24-tblPlant[[#This Row],[Mill_Planned_Maint_h]]-tblPlant[[#This Row],[Mill_Unplanned_Down_h]])/24)</f>
        <v/>
      </c>
      <c r="Y2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5">
      <c r="A295" s="54" t="n">
        <v>46312</v>
      </c>
      <c r="B295" s="55" t="n"/>
      <c r="C295" s="55" t="n"/>
      <c r="D295" s="56" t="n"/>
      <c r="E295" s="56" t="n"/>
      <c r="F295" s="55" t="n"/>
      <c r="G295" s="55" t="n"/>
      <c r="H295" s="57" t="n"/>
      <c r="I295" s="57" t="n"/>
      <c r="J295" s="57" t="n"/>
      <c r="K295" s="57" t="n"/>
      <c r="L295" s="55" t="n"/>
      <c r="M295" s="55" t="n"/>
      <c r="N295" s="55" t="n"/>
      <c r="O295" s="55" t="n"/>
      <c r="P295" s="55" t="n"/>
      <c r="Q295" s="55" t="n"/>
      <c r="R295" s="58" t="n"/>
      <c r="S295" s="59">
        <f>IF(tblPlant[[#This Row],[Milled_t]]="","",tblPlant[[#This Row],[Milled_t]]*tblPlant[[#This Row],[Head_Grade_gpt]]/cfg_TroyOz)</f>
        <v/>
      </c>
      <c r="T295" s="59">
        <f>IF(tblPlant[[#This Row],[Milled_t]]="","",tblPlant[[#This Row],[Milled_t]]*tblPlant[[#This Row],[Tails_Grade_gpt]]/cfg_TroyOz)</f>
        <v/>
      </c>
      <c r="U295" s="59">
        <f>IF(tblPlant[[#This Row],[Milled_t]]="","",tblPlant[[#This Row],[Feed_oz]]-tblPlant[[#This Row],[Tails_oz]])</f>
        <v/>
      </c>
      <c r="V295" s="60">
        <f>IF(AND(tblPlant[[#This Row],[Milled_t]]&lt;&gt;"",tblPlant[[#This Row],[Feed_oz]]&gt;0),tblPlant[[#This Row],[Recovered_oz]]/tblPlant[[#This Row],[Feed_oz]],"")</f>
        <v/>
      </c>
      <c r="W295" s="59">
        <f>IF(AND(tblPlant[[#This Row],[Milled_t]]&lt;&gt;"",tblPlant[[#This Row],[Mill_Run_h]]&gt;0),tblPlant[[#This Row],[Milled_t]]/tblPlant[[#This Row],[Mill_Run_h]],"")</f>
        <v/>
      </c>
      <c r="X295" s="60">
        <f>IF(tblPlant[[#This Row],[Mill_Run_h]]="","",(24-tblPlant[[#This Row],[Mill_Planned_Maint_h]]-tblPlant[[#This Row],[Mill_Unplanned_Down_h]])/24)</f>
        <v/>
      </c>
      <c r="Y2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6">
      <c r="A296" s="54" t="n">
        <v>46313</v>
      </c>
      <c r="B296" s="55" t="n"/>
      <c r="C296" s="55" t="n"/>
      <c r="D296" s="56" t="n"/>
      <c r="E296" s="56" t="n"/>
      <c r="F296" s="55" t="n"/>
      <c r="G296" s="55" t="n"/>
      <c r="H296" s="57" t="n"/>
      <c r="I296" s="57" t="n"/>
      <c r="J296" s="57" t="n"/>
      <c r="K296" s="57" t="n"/>
      <c r="L296" s="55" t="n"/>
      <c r="M296" s="55" t="n"/>
      <c r="N296" s="55" t="n"/>
      <c r="O296" s="55" t="n"/>
      <c r="P296" s="55" t="n"/>
      <c r="Q296" s="55" t="n"/>
      <c r="R296" s="58" t="n"/>
      <c r="S296" s="59">
        <f>IF(tblPlant[[#This Row],[Milled_t]]="","",tblPlant[[#This Row],[Milled_t]]*tblPlant[[#This Row],[Head_Grade_gpt]]/cfg_TroyOz)</f>
        <v/>
      </c>
      <c r="T296" s="59">
        <f>IF(tblPlant[[#This Row],[Milled_t]]="","",tblPlant[[#This Row],[Milled_t]]*tblPlant[[#This Row],[Tails_Grade_gpt]]/cfg_TroyOz)</f>
        <v/>
      </c>
      <c r="U296" s="59">
        <f>IF(tblPlant[[#This Row],[Milled_t]]="","",tblPlant[[#This Row],[Feed_oz]]-tblPlant[[#This Row],[Tails_oz]])</f>
        <v/>
      </c>
      <c r="V296" s="60">
        <f>IF(AND(tblPlant[[#This Row],[Milled_t]]&lt;&gt;"",tblPlant[[#This Row],[Feed_oz]]&gt;0),tblPlant[[#This Row],[Recovered_oz]]/tblPlant[[#This Row],[Feed_oz]],"")</f>
        <v/>
      </c>
      <c r="W296" s="59">
        <f>IF(AND(tblPlant[[#This Row],[Milled_t]]&lt;&gt;"",tblPlant[[#This Row],[Mill_Run_h]]&gt;0),tblPlant[[#This Row],[Milled_t]]/tblPlant[[#This Row],[Mill_Run_h]],"")</f>
        <v/>
      </c>
      <c r="X296" s="60">
        <f>IF(tblPlant[[#This Row],[Mill_Run_h]]="","",(24-tblPlant[[#This Row],[Mill_Planned_Maint_h]]-tblPlant[[#This Row],[Mill_Unplanned_Down_h]])/24)</f>
        <v/>
      </c>
      <c r="Y2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7">
      <c r="A297" s="54" t="n">
        <v>46314</v>
      </c>
      <c r="B297" s="55" t="n"/>
      <c r="C297" s="55" t="n"/>
      <c r="D297" s="56" t="n"/>
      <c r="E297" s="56" t="n"/>
      <c r="F297" s="55" t="n"/>
      <c r="G297" s="55" t="n"/>
      <c r="H297" s="57" t="n"/>
      <c r="I297" s="57" t="n"/>
      <c r="J297" s="57" t="n"/>
      <c r="K297" s="57" t="n"/>
      <c r="L297" s="55" t="n"/>
      <c r="M297" s="55" t="n"/>
      <c r="N297" s="55" t="n"/>
      <c r="O297" s="55" t="n"/>
      <c r="P297" s="55" t="n"/>
      <c r="Q297" s="55" t="n"/>
      <c r="R297" s="58" t="n"/>
      <c r="S297" s="59">
        <f>IF(tblPlant[[#This Row],[Milled_t]]="","",tblPlant[[#This Row],[Milled_t]]*tblPlant[[#This Row],[Head_Grade_gpt]]/cfg_TroyOz)</f>
        <v/>
      </c>
      <c r="T297" s="59">
        <f>IF(tblPlant[[#This Row],[Milled_t]]="","",tblPlant[[#This Row],[Milled_t]]*tblPlant[[#This Row],[Tails_Grade_gpt]]/cfg_TroyOz)</f>
        <v/>
      </c>
      <c r="U297" s="59">
        <f>IF(tblPlant[[#This Row],[Milled_t]]="","",tblPlant[[#This Row],[Feed_oz]]-tblPlant[[#This Row],[Tails_oz]])</f>
        <v/>
      </c>
      <c r="V297" s="60">
        <f>IF(AND(tblPlant[[#This Row],[Milled_t]]&lt;&gt;"",tblPlant[[#This Row],[Feed_oz]]&gt;0),tblPlant[[#This Row],[Recovered_oz]]/tblPlant[[#This Row],[Feed_oz]],"")</f>
        <v/>
      </c>
      <c r="W297" s="59">
        <f>IF(AND(tblPlant[[#This Row],[Milled_t]]&lt;&gt;"",tblPlant[[#This Row],[Mill_Run_h]]&gt;0),tblPlant[[#This Row],[Milled_t]]/tblPlant[[#This Row],[Mill_Run_h]],"")</f>
        <v/>
      </c>
      <c r="X297" s="60">
        <f>IF(tblPlant[[#This Row],[Mill_Run_h]]="","",(24-tblPlant[[#This Row],[Mill_Planned_Maint_h]]-tblPlant[[#This Row],[Mill_Unplanned_Down_h]])/24)</f>
        <v/>
      </c>
      <c r="Y2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8">
      <c r="A298" s="54" t="n">
        <v>46315</v>
      </c>
      <c r="B298" s="55" t="n"/>
      <c r="C298" s="55" t="n"/>
      <c r="D298" s="56" t="n"/>
      <c r="E298" s="56" t="n"/>
      <c r="F298" s="55" t="n"/>
      <c r="G298" s="55" t="n"/>
      <c r="H298" s="57" t="n"/>
      <c r="I298" s="57" t="n"/>
      <c r="J298" s="57" t="n"/>
      <c r="K298" s="57" t="n"/>
      <c r="L298" s="55" t="n"/>
      <c r="M298" s="55" t="n"/>
      <c r="N298" s="55" t="n"/>
      <c r="O298" s="55" t="n"/>
      <c r="P298" s="55" t="n"/>
      <c r="Q298" s="55" t="n"/>
      <c r="R298" s="58" t="n"/>
      <c r="S298" s="59">
        <f>IF(tblPlant[[#This Row],[Milled_t]]="","",tblPlant[[#This Row],[Milled_t]]*tblPlant[[#This Row],[Head_Grade_gpt]]/cfg_TroyOz)</f>
        <v/>
      </c>
      <c r="T298" s="59">
        <f>IF(tblPlant[[#This Row],[Milled_t]]="","",tblPlant[[#This Row],[Milled_t]]*tblPlant[[#This Row],[Tails_Grade_gpt]]/cfg_TroyOz)</f>
        <v/>
      </c>
      <c r="U298" s="59">
        <f>IF(tblPlant[[#This Row],[Milled_t]]="","",tblPlant[[#This Row],[Feed_oz]]-tblPlant[[#This Row],[Tails_oz]])</f>
        <v/>
      </c>
      <c r="V298" s="60">
        <f>IF(AND(tblPlant[[#This Row],[Milled_t]]&lt;&gt;"",tblPlant[[#This Row],[Feed_oz]]&gt;0),tblPlant[[#This Row],[Recovered_oz]]/tblPlant[[#This Row],[Feed_oz]],"")</f>
        <v/>
      </c>
      <c r="W298" s="59">
        <f>IF(AND(tblPlant[[#This Row],[Milled_t]]&lt;&gt;"",tblPlant[[#This Row],[Mill_Run_h]]&gt;0),tblPlant[[#This Row],[Milled_t]]/tblPlant[[#This Row],[Mill_Run_h]],"")</f>
        <v/>
      </c>
      <c r="X298" s="60">
        <f>IF(tblPlant[[#This Row],[Mill_Run_h]]="","",(24-tblPlant[[#This Row],[Mill_Planned_Maint_h]]-tblPlant[[#This Row],[Mill_Unplanned_Down_h]])/24)</f>
        <v/>
      </c>
      <c r="Y2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9">
      <c r="A299" s="54" t="n">
        <v>46316</v>
      </c>
      <c r="B299" s="55" t="n"/>
      <c r="C299" s="55" t="n"/>
      <c r="D299" s="56" t="n"/>
      <c r="E299" s="56" t="n"/>
      <c r="F299" s="55" t="n"/>
      <c r="G299" s="55" t="n"/>
      <c r="H299" s="57" t="n"/>
      <c r="I299" s="57" t="n"/>
      <c r="J299" s="57" t="n"/>
      <c r="K299" s="57" t="n"/>
      <c r="L299" s="55" t="n"/>
      <c r="M299" s="55" t="n"/>
      <c r="N299" s="55" t="n"/>
      <c r="O299" s="55" t="n"/>
      <c r="P299" s="55" t="n"/>
      <c r="Q299" s="55" t="n"/>
      <c r="R299" s="58" t="n"/>
      <c r="S299" s="59">
        <f>IF(tblPlant[[#This Row],[Milled_t]]="","",tblPlant[[#This Row],[Milled_t]]*tblPlant[[#This Row],[Head_Grade_gpt]]/cfg_TroyOz)</f>
        <v/>
      </c>
      <c r="T299" s="59">
        <f>IF(tblPlant[[#This Row],[Milled_t]]="","",tblPlant[[#This Row],[Milled_t]]*tblPlant[[#This Row],[Tails_Grade_gpt]]/cfg_TroyOz)</f>
        <v/>
      </c>
      <c r="U299" s="59">
        <f>IF(tblPlant[[#This Row],[Milled_t]]="","",tblPlant[[#This Row],[Feed_oz]]-tblPlant[[#This Row],[Tails_oz]])</f>
        <v/>
      </c>
      <c r="V299" s="60">
        <f>IF(AND(tblPlant[[#This Row],[Milled_t]]&lt;&gt;"",tblPlant[[#This Row],[Feed_oz]]&gt;0),tblPlant[[#This Row],[Recovered_oz]]/tblPlant[[#This Row],[Feed_oz]],"")</f>
        <v/>
      </c>
      <c r="W299" s="59">
        <f>IF(AND(tblPlant[[#This Row],[Milled_t]]&lt;&gt;"",tblPlant[[#This Row],[Mill_Run_h]]&gt;0),tblPlant[[#This Row],[Milled_t]]/tblPlant[[#This Row],[Mill_Run_h]],"")</f>
        <v/>
      </c>
      <c r="X299" s="60">
        <f>IF(tblPlant[[#This Row],[Mill_Run_h]]="","",(24-tblPlant[[#This Row],[Mill_Planned_Maint_h]]-tblPlant[[#This Row],[Mill_Unplanned_Down_h]])/24)</f>
        <v/>
      </c>
      <c r="Y2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0">
      <c r="A300" s="54" t="n">
        <v>46317</v>
      </c>
      <c r="B300" s="55" t="n"/>
      <c r="C300" s="55" t="n"/>
      <c r="D300" s="56" t="n"/>
      <c r="E300" s="56" t="n"/>
      <c r="F300" s="55" t="n"/>
      <c r="G300" s="55" t="n"/>
      <c r="H300" s="57" t="n"/>
      <c r="I300" s="57" t="n"/>
      <c r="J300" s="57" t="n"/>
      <c r="K300" s="57" t="n"/>
      <c r="L300" s="55" t="n"/>
      <c r="M300" s="55" t="n"/>
      <c r="N300" s="55" t="n"/>
      <c r="O300" s="55" t="n"/>
      <c r="P300" s="55" t="n"/>
      <c r="Q300" s="55" t="n"/>
      <c r="R300" s="58" t="n"/>
      <c r="S300" s="59">
        <f>IF(tblPlant[[#This Row],[Milled_t]]="","",tblPlant[[#This Row],[Milled_t]]*tblPlant[[#This Row],[Head_Grade_gpt]]/cfg_TroyOz)</f>
        <v/>
      </c>
      <c r="T300" s="59">
        <f>IF(tblPlant[[#This Row],[Milled_t]]="","",tblPlant[[#This Row],[Milled_t]]*tblPlant[[#This Row],[Tails_Grade_gpt]]/cfg_TroyOz)</f>
        <v/>
      </c>
      <c r="U300" s="59">
        <f>IF(tblPlant[[#This Row],[Milled_t]]="","",tblPlant[[#This Row],[Feed_oz]]-tblPlant[[#This Row],[Tails_oz]])</f>
        <v/>
      </c>
      <c r="V300" s="60">
        <f>IF(AND(tblPlant[[#This Row],[Milled_t]]&lt;&gt;"",tblPlant[[#This Row],[Feed_oz]]&gt;0),tblPlant[[#This Row],[Recovered_oz]]/tblPlant[[#This Row],[Feed_oz]],"")</f>
        <v/>
      </c>
      <c r="W300" s="59">
        <f>IF(AND(tblPlant[[#This Row],[Milled_t]]&lt;&gt;"",tblPlant[[#This Row],[Mill_Run_h]]&gt;0),tblPlant[[#This Row],[Milled_t]]/tblPlant[[#This Row],[Mill_Run_h]],"")</f>
        <v/>
      </c>
      <c r="X300" s="60">
        <f>IF(tblPlant[[#This Row],[Mill_Run_h]]="","",(24-tblPlant[[#This Row],[Mill_Planned_Maint_h]]-tblPlant[[#This Row],[Mill_Unplanned_Down_h]])/24)</f>
        <v/>
      </c>
      <c r="Y3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1">
      <c r="A301" s="54" t="n">
        <v>46318</v>
      </c>
      <c r="B301" s="55" t="n"/>
      <c r="C301" s="55" t="n"/>
      <c r="D301" s="56" t="n"/>
      <c r="E301" s="56" t="n"/>
      <c r="F301" s="55" t="n"/>
      <c r="G301" s="55" t="n"/>
      <c r="H301" s="57" t="n"/>
      <c r="I301" s="57" t="n"/>
      <c r="J301" s="57" t="n"/>
      <c r="K301" s="57" t="n"/>
      <c r="L301" s="55" t="n"/>
      <c r="M301" s="55" t="n"/>
      <c r="N301" s="55" t="n"/>
      <c r="O301" s="55" t="n"/>
      <c r="P301" s="55" t="n"/>
      <c r="Q301" s="55" t="n"/>
      <c r="R301" s="58" t="n"/>
      <c r="S301" s="59">
        <f>IF(tblPlant[[#This Row],[Milled_t]]="","",tblPlant[[#This Row],[Milled_t]]*tblPlant[[#This Row],[Head_Grade_gpt]]/cfg_TroyOz)</f>
        <v/>
      </c>
      <c r="T301" s="59">
        <f>IF(tblPlant[[#This Row],[Milled_t]]="","",tblPlant[[#This Row],[Milled_t]]*tblPlant[[#This Row],[Tails_Grade_gpt]]/cfg_TroyOz)</f>
        <v/>
      </c>
      <c r="U301" s="59">
        <f>IF(tblPlant[[#This Row],[Milled_t]]="","",tblPlant[[#This Row],[Feed_oz]]-tblPlant[[#This Row],[Tails_oz]])</f>
        <v/>
      </c>
      <c r="V301" s="60">
        <f>IF(AND(tblPlant[[#This Row],[Milled_t]]&lt;&gt;"",tblPlant[[#This Row],[Feed_oz]]&gt;0),tblPlant[[#This Row],[Recovered_oz]]/tblPlant[[#This Row],[Feed_oz]],"")</f>
        <v/>
      </c>
      <c r="W301" s="59">
        <f>IF(AND(tblPlant[[#This Row],[Milled_t]]&lt;&gt;"",tblPlant[[#This Row],[Mill_Run_h]]&gt;0),tblPlant[[#This Row],[Milled_t]]/tblPlant[[#This Row],[Mill_Run_h]],"")</f>
        <v/>
      </c>
      <c r="X301" s="60">
        <f>IF(tblPlant[[#This Row],[Mill_Run_h]]="","",(24-tblPlant[[#This Row],[Mill_Planned_Maint_h]]-tblPlant[[#This Row],[Mill_Unplanned_Down_h]])/24)</f>
        <v/>
      </c>
      <c r="Y3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2">
      <c r="A302" s="54" t="n">
        <v>46319</v>
      </c>
      <c r="B302" s="55" t="n"/>
      <c r="C302" s="55" t="n"/>
      <c r="D302" s="56" t="n"/>
      <c r="E302" s="56" t="n"/>
      <c r="F302" s="55" t="n"/>
      <c r="G302" s="55" t="n"/>
      <c r="H302" s="57" t="n"/>
      <c r="I302" s="57" t="n"/>
      <c r="J302" s="57" t="n"/>
      <c r="K302" s="57" t="n"/>
      <c r="L302" s="55" t="n"/>
      <c r="M302" s="55" t="n"/>
      <c r="N302" s="55" t="n"/>
      <c r="O302" s="55" t="n"/>
      <c r="P302" s="55" t="n"/>
      <c r="Q302" s="55" t="n"/>
      <c r="R302" s="58" t="n"/>
      <c r="S302" s="59">
        <f>IF(tblPlant[[#This Row],[Milled_t]]="","",tblPlant[[#This Row],[Milled_t]]*tblPlant[[#This Row],[Head_Grade_gpt]]/cfg_TroyOz)</f>
        <v/>
      </c>
      <c r="T302" s="59">
        <f>IF(tblPlant[[#This Row],[Milled_t]]="","",tblPlant[[#This Row],[Milled_t]]*tblPlant[[#This Row],[Tails_Grade_gpt]]/cfg_TroyOz)</f>
        <v/>
      </c>
      <c r="U302" s="59">
        <f>IF(tblPlant[[#This Row],[Milled_t]]="","",tblPlant[[#This Row],[Feed_oz]]-tblPlant[[#This Row],[Tails_oz]])</f>
        <v/>
      </c>
      <c r="V302" s="60">
        <f>IF(AND(tblPlant[[#This Row],[Milled_t]]&lt;&gt;"",tblPlant[[#This Row],[Feed_oz]]&gt;0),tblPlant[[#This Row],[Recovered_oz]]/tblPlant[[#This Row],[Feed_oz]],"")</f>
        <v/>
      </c>
      <c r="W302" s="59">
        <f>IF(AND(tblPlant[[#This Row],[Milled_t]]&lt;&gt;"",tblPlant[[#This Row],[Mill_Run_h]]&gt;0),tblPlant[[#This Row],[Milled_t]]/tblPlant[[#This Row],[Mill_Run_h]],"")</f>
        <v/>
      </c>
      <c r="X302" s="60">
        <f>IF(tblPlant[[#This Row],[Mill_Run_h]]="","",(24-tblPlant[[#This Row],[Mill_Planned_Maint_h]]-tblPlant[[#This Row],[Mill_Unplanned_Down_h]])/24)</f>
        <v/>
      </c>
      <c r="Y3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3">
      <c r="A303" s="54" t="n">
        <v>46320</v>
      </c>
      <c r="B303" s="55" t="n"/>
      <c r="C303" s="55" t="n"/>
      <c r="D303" s="56" t="n"/>
      <c r="E303" s="56" t="n"/>
      <c r="F303" s="55" t="n"/>
      <c r="G303" s="55" t="n"/>
      <c r="H303" s="57" t="n"/>
      <c r="I303" s="57" t="n"/>
      <c r="J303" s="57" t="n"/>
      <c r="K303" s="57" t="n"/>
      <c r="L303" s="55" t="n"/>
      <c r="M303" s="55" t="n"/>
      <c r="N303" s="55" t="n"/>
      <c r="O303" s="55" t="n"/>
      <c r="P303" s="55" t="n"/>
      <c r="Q303" s="55" t="n"/>
      <c r="R303" s="58" t="n"/>
      <c r="S303" s="59">
        <f>IF(tblPlant[[#This Row],[Milled_t]]="","",tblPlant[[#This Row],[Milled_t]]*tblPlant[[#This Row],[Head_Grade_gpt]]/cfg_TroyOz)</f>
        <v/>
      </c>
      <c r="T303" s="59">
        <f>IF(tblPlant[[#This Row],[Milled_t]]="","",tblPlant[[#This Row],[Milled_t]]*tblPlant[[#This Row],[Tails_Grade_gpt]]/cfg_TroyOz)</f>
        <v/>
      </c>
      <c r="U303" s="59">
        <f>IF(tblPlant[[#This Row],[Milled_t]]="","",tblPlant[[#This Row],[Feed_oz]]-tblPlant[[#This Row],[Tails_oz]])</f>
        <v/>
      </c>
      <c r="V303" s="60">
        <f>IF(AND(tblPlant[[#This Row],[Milled_t]]&lt;&gt;"",tblPlant[[#This Row],[Feed_oz]]&gt;0),tblPlant[[#This Row],[Recovered_oz]]/tblPlant[[#This Row],[Feed_oz]],"")</f>
        <v/>
      </c>
      <c r="W303" s="59">
        <f>IF(AND(tblPlant[[#This Row],[Milled_t]]&lt;&gt;"",tblPlant[[#This Row],[Mill_Run_h]]&gt;0),tblPlant[[#This Row],[Milled_t]]/tblPlant[[#This Row],[Mill_Run_h]],"")</f>
        <v/>
      </c>
      <c r="X303" s="60">
        <f>IF(tblPlant[[#This Row],[Mill_Run_h]]="","",(24-tblPlant[[#This Row],[Mill_Planned_Maint_h]]-tblPlant[[#This Row],[Mill_Unplanned_Down_h]])/24)</f>
        <v/>
      </c>
      <c r="Y3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4">
      <c r="A304" s="54" t="n">
        <v>46321</v>
      </c>
      <c r="B304" s="55" t="n"/>
      <c r="C304" s="55" t="n"/>
      <c r="D304" s="56" t="n"/>
      <c r="E304" s="56" t="n"/>
      <c r="F304" s="55" t="n"/>
      <c r="G304" s="55" t="n"/>
      <c r="H304" s="57" t="n"/>
      <c r="I304" s="57" t="n"/>
      <c r="J304" s="57" t="n"/>
      <c r="K304" s="57" t="n"/>
      <c r="L304" s="55" t="n"/>
      <c r="M304" s="55" t="n"/>
      <c r="N304" s="55" t="n"/>
      <c r="O304" s="55" t="n"/>
      <c r="P304" s="55" t="n"/>
      <c r="Q304" s="55" t="n"/>
      <c r="R304" s="58" t="n"/>
      <c r="S304" s="59">
        <f>IF(tblPlant[[#This Row],[Milled_t]]="","",tblPlant[[#This Row],[Milled_t]]*tblPlant[[#This Row],[Head_Grade_gpt]]/cfg_TroyOz)</f>
        <v/>
      </c>
      <c r="T304" s="59">
        <f>IF(tblPlant[[#This Row],[Milled_t]]="","",tblPlant[[#This Row],[Milled_t]]*tblPlant[[#This Row],[Tails_Grade_gpt]]/cfg_TroyOz)</f>
        <v/>
      </c>
      <c r="U304" s="59">
        <f>IF(tblPlant[[#This Row],[Milled_t]]="","",tblPlant[[#This Row],[Feed_oz]]-tblPlant[[#This Row],[Tails_oz]])</f>
        <v/>
      </c>
      <c r="V304" s="60">
        <f>IF(AND(tblPlant[[#This Row],[Milled_t]]&lt;&gt;"",tblPlant[[#This Row],[Feed_oz]]&gt;0),tblPlant[[#This Row],[Recovered_oz]]/tblPlant[[#This Row],[Feed_oz]],"")</f>
        <v/>
      </c>
      <c r="W304" s="59">
        <f>IF(AND(tblPlant[[#This Row],[Milled_t]]&lt;&gt;"",tblPlant[[#This Row],[Mill_Run_h]]&gt;0),tblPlant[[#This Row],[Milled_t]]/tblPlant[[#This Row],[Mill_Run_h]],"")</f>
        <v/>
      </c>
      <c r="X304" s="60">
        <f>IF(tblPlant[[#This Row],[Mill_Run_h]]="","",(24-tblPlant[[#This Row],[Mill_Planned_Maint_h]]-tblPlant[[#This Row],[Mill_Unplanned_Down_h]])/24)</f>
        <v/>
      </c>
      <c r="Y3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5">
      <c r="A305" s="54" t="n">
        <v>46322</v>
      </c>
      <c r="B305" s="55" t="n"/>
      <c r="C305" s="55" t="n"/>
      <c r="D305" s="56" t="n"/>
      <c r="E305" s="56" t="n"/>
      <c r="F305" s="55" t="n"/>
      <c r="G305" s="55" t="n"/>
      <c r="H305" s="57" t="n"/>
      <c r="I305" s="57" t="n"/>
      <c r="J305" s="57" t="n"/>
      <c r="K305" s="57" t="n"/>
      <c r="L305" s="55" t="n"/>
      <c r="M305" s="55" t="n"/>
      <c r="N305" s="55" t="n"/>
      <c r="O305" s="55" t="n"/>
      <c r="P305" s="55" t="n"/>
      <c r="Q305" s="55" t="n"/>
      <c r="R305" s="58" t="n"/>
      <c r="S305" s="59">
        <f>IF(tblPlant[[#This Row],[Milled_t]]="","",tblPlant[[#This Row],[Milled_t]]*tblPlant[[#This Row],[Head_Grade_gpt]]/cfg_TroyOz)</f>
        <v/>
      </c>
      <c r="T305" s="59">
        <f>IF(tblPlant[[#This Row],[Milled_t]]="","",tblPlant[[#This Row],[Milled_t]]*tblPlant[[#This Row],[Tails_Grade_gpt]]/cfg_TroyOz)</f>
        <v/>
      </c>
      <c r="U305" s="59">
        <f>IF(tblPlant[[#This Row],[Milled_t]]="","",tblPlant[[#This Row],[Feed_oz]]-tblPlant[[#This Row],[Tails_oz]])</f>
        <v/>
      </c>
      <c r="V305" s="60">
        <f>IF(AND(tblPlant[[#This Row],[Milled_t]]&lt;&gt;"",tblPlant[[#This Row],[Feed_oz]]&gt;0),tblPlant[[#This Row],[Recovered_oz]]/tblPlant[[#This Row],[Feed_oz]],"")</f>
        <v/>
      </c>
      <c r="W305" s="59">
        <f>IF(AND(tblPlant[[#This Row],[Milled_t]]&lt;&gt;"",tblPlant[[#This Row],[Mill_Run_h]]&gt;0),tblPlant[[#This Row],[Milled_t]]/tblPlant[[#This Row],[Mill_Run_h]],"")</f>
        <v/>
      </c>
      <c r="X305" s="60">
        <f>IF(tblPlant[[#This Row],[Mill_Run_h]]="","",(24-tblPlant[[#This Row],[Mill_Planned_Maint_h]]-tblPlant[[#This Row],[Mill_Unplanned_Down_h]])/24)</f>
        <v/>
      </c>
      <c r="Y3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6">
      <c r="A306" s="54" t="n">
        <v>46323</v>
      </c>
      <c r="B306" s="55" t="n"/>
      <c r="C306" s="55" t="n"/>
      <c r="D306" s="56" t="n"/>
      <c r="E306" s="56" t="n"/>
      <c r="F306" s="55" t="n"/>
      <c r="G306" s="55" t="n"/>
      <c r="H306" s="57" t="n"/>
      <c r="I306" s="57" t="n"/>
      <c r="J306" s="57" t="n"/>
      <c r="K306" s="57" t="n"/>
      <c r="L306" s="55" t="n"/>
      <c r="M306" s="55" t="n"/>
      <c r="N306" s="55" t="n"/>
      <c r="O306" s="55" t="n"/>
      <c r="P306" s="55" t="n"/>
      <c r="Q306" s="55" t="n"/>
      <c r="R306" s="58" t="n"/>
      <c r="S306" s="59">
        <f>IF(tblPlant[[#This Row],[Milled_t]]="","",tblPlant[[#This Row],[Milled_t]]*tblPlant[[#This Row],[Head_Grade_gpt]]/cfg_TroyOz)</f>
        <v/>
      </c>
      <c r="T306" s="59">
        <f>IF(tblPlant[[#This Row],[Milled_t]]="","",tblPlant[[#This Row],[Milled_t]]*tblPlant[[#This Row],[Tails_Grade_gpt]]/cfg_TroyOz)</f>
        <v/>
      </c>
      <c r="U306" s="59">
        <f>IF(tblPlant[[#This Row],[Milled_t]]="","",tblPlant[[#This Row],[Feed_oz]]-tblPlant[[#This Row],[Tails_oz]])</f>
        <v/>
      </c>
      <c r="V306" s="60">
        <f>IF(AND(tblPlant[[#This Row],[Milled_t]]&lt;&gt;"",tblPlant[[#This Row],[Feed_oz]]&gt;0),tblPlant[[#This Row],[Recovered_oz]]/tblPlant[[#This Row],[Feed_oz]],"")</f>
        <v/>
      </c>
      <c r="W306" s="59">
        <f>IF(AND(tblPlant[[#This Row],[Milled_t]]&lt;&gt;"",tblPlant[[#This Row],[Mill_Run_h]]&gt;0),tblPlant[[#This Row],[Milled_t]]/tblPlant[[#This Row],[Mill_Run_h]],"")</f>
        <v/>
      </c>
      <c r="X306" s="60">
        <f>IF(tblPlant[[#This Row],[Mill_Run_h]]="","",(24-tblPlant[[#This Row],[Mill_Planned_Maint_h]]-tblPlant[[#This Row],[Mill_Unplanned_Down_h]])/24)</f>
        <v/>
      </c>
      <c r="Y3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7">
      <c r="A307" s="54" t="n">
        <v>46324</v>
      </c>
      <c r="B307" s="55" t="n"/>
      <c r="C307" s="55" t="n"/>
      <c r="D307" s="56" t="n"/>
      <c r="E307" s="56" t="n"/>
      <c r="F307" s="55" t="n"/>
      <c r="G307" s="55" t="n"/>
      <c r="H307" s="57" t="n"/>
      <c r="I307" s="57" t="n"/>
      <c r="J307" s="57" t="n"/>
      <c r="K307" s="57" t="n"/>
      <c r="L307" s="55" t="n"/>
      <c r="M307" s="55" t="n"/>
      <c r="N307" s="55" t="n"/>
      <c r="O307" s="55" t="n"/>
      <c r="P307" s="55" t="n"/>
      <c r="Q307" s="55" t="n"/>
      <c r="R307" s="58" t="n"/>
      <c r="S307" s="59">
        <f>IF(tblPlant[[#This Row],[Milled_t]]="","",tblPlant[[#This Row],[Milled_t]]*tblPlant[[#This Row],[Head_Grade_gpt]]/cfg_TroyOz)</f>
        <v/>
      </c>
      <c r="T307" s="59">
        <f>IF(tblPlant[[#This Row],[Milled_t]]="","",tblPlant[[#This Row],[Milled_t]]*tblPlant[[#This Row],[Tails_Grade_gpt]]/cfg_TroyOz)</f>
        <v/>
      </c>
      <c r="U307" s="59">
        <f>IF(tblPlant[[#This Row],[Milled_t]]="","",tblPlant[[#This Row],[Feed_oz]]-tblPlant[[#This Row],[Tails_oz]])</f>
        <v/>
      </c>
      <c r="V307" s="60">
        <f>IF(AND(tblPlant[[#This Row],[Milled_t]]&lt;&gt;"",tblPlant[[#This Row],[Feed_oz]]&gt;0),tblPlant[[#This Row],[Recovered_oz]]/tblPlant[[#This Row],[Feed_oz]],"")</f>
        <v/>
      </c>
      <c r="W307" s="59">
        <f>IF(AND(tblPlant[[#This Row],[Milled_t]]&lt;&gt;"",tblPlant[[#This Row],[Mill_Run_h]]&gt;0),tblPlant[[#This Row],[Milled_t]]/tblPlant[[#This Row],[Mill_Run_h]],"")</f>
        <v/>
      </c>
      <c r="X307" s="60">
        <f>IF(tblPlant[[#This Row],[Mill_Run_h]]="","",(24-tblPlant[[#This Row],[Mill_Planned_Maint_h]]-tblPlant[[#This Row],[Mill_Unplanned_Down_h]])/24)</f>
        <v/>
      </c>
      <c r="Y3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8">
      <c r="A308" s="54" t="n">
        <v>46325</v>
      </c>
      <c r="B308" s="55" t="n"/>
      <c r="C308" s="55" t="n"/>
      <c r="D308" s="56" t="n"/>
      <c r="E308" s="56" t="n"/>
      <c r="F308" s="55" t="n"/>
      <c r="G308" s="55" t="n"/>
      <c r="H308" s="57" t="n"/>
      <c r="I308" s="57" t="n"/>
      <c r="J308" s="57" t="n"/>
      <c r="K308" s="57" t="n"/>
      <c r="L308" s="55" t="n"/>
      <c r="M308" s="55" t="n"/>
      <c r="N308" s="55" t="n"/>
      <c r="O308" s="55" t="n"/>
      <c r="P308" s="55" t="n"/>
      <c r="Q308" s="55" t="n"/>
      <c r="R308" s="58" t="n"/>
      <c r="S308" s="59">
        <f>IF(tblPlant[[#This Row],[Milled_t]]="","",tblPlant[[#This Row],[Milled_t]]*tblPlant[[#This Row],[Head_Grade_gpt]]/cfg_TroyOz)</f>
        <v/>
      </c>
      <c r="T308" s="59">
        <f>IF(tblPlant[[#This Row],[Milled_t]]="","",tblPlant[[#This Row],[Milled_t]]*tblPlant[[#This Row],[Tails_Grade_gpt]]/cfg_TroyOz)</f>
        <v/>
      </c>
      <c r="U308" s="59">
        <f>IF(tblPlant[[#This Row],[Milled_t]]="","",tblPlant[[#This Row],[Feed_oz]]-tblPlant[[#This Row],[Tails_oz]])</f>
        <v/>
      </c>
      <c r="V308" s="60">
        <f>IF(AND(tblPlant[[#This Row],[Milled_t]]&lt;&gt;"",tblPlant[[#This Row],[Feed_oz]]&gt;0),tblPlant[[#This Row],[Recovered_oz]]/tblPlant[[#This Row],[Feed_oz]],"")</f>
        <v/>
      </c>
      <c r="W308" s="59">
        <f>IF(AND(tblPlant[[#This Row],[Milled_t]]&lt;&gt;"",tblPlant[[#This Row],[Mill_Run_h]]&gt;0),tblPlant[[#This Row],[Milled_t]]/tblPlant[[#This Row],[Mill_Run_h]],"")</f>
        <v/>
      </c>
      <c r="X308" s="60">
        <f>IF(tblPlant[[#This Row],[Mill_Run_h]]="","",(24-tblPlant[[#This Row],[Mill_Planned_Maint_h]]-tblPlant[[#This Row],[Mill_Unplanned_Down_h]])/24)</f>
        <v/>
      </c>
      <c r="Y3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9">
      <c r="A309" s="54" t="n">
        <v>46326</v>
      </c>
      <c r="B309" s="55" t="n"/>
      <c r="C309" s="55" t="n"/>
      <c r="D309" s="56" t="n"/>
      <c r="E309" s="56" t="n"/>
      <c r="F309" s="55" t="n"/>
      <c r="G309" s="55" t="n"/>
      <c r="H309" s="57" t="n"/>
      <c r="I309" s="57" t="n"/>
      <c r="J309" s="57" t="n"/>
      <c r="K309" s="57" t="n"/>
      <c r="L309" s="55" t="n"/>
      <c r="M309" s="55" t="n"/>
      <c r="N309" s="55" t="n"/>
      <c r="O309" s="55" t="n"/>
      <c r="P309" s="55" t="n"/>
      <c r="Q309" s="55" t="n"/>
      <c r="R309" s="58" t="n"/>
      <c r="S309" s="59">
        <f>IF(tblPlant[[#This Row],[Milled_t]]="","",tblPlant[[#This Row],[Milled_t]]*tblPlant[[#This Row],[Head_Grade_gpt]]/cfg_TroyOz)</f>
        <v/>
      </c>
      <c r="T309" s="59">
        <f>IF(tblPlant[[#This Row],[Milled_t]]="","",tblPlant[[#This Row],[Milled_t]]*tblPlant[[#This Row],[Tails_Grade_gpt]]/cfg_TroyOz)</f>
        <v/>
      </c>
      <c r="U309" s="59">
        <f>IF(tblPlant[[#This Row],[Milled_t]]="","",tblPlant[[#This Row],[Feed_oz]]-tblPlant[[#This Row],[Tails_oz]])</f>
        <v/>
      </c>
      <c r="V309" s="60">
        <f>IF(AND(tblPlant[[#This Row],[Milled_t]]&lt;&gt;"",tblPlant[[#This Row],[Feed_oz]]&gt;0),tblPlant[[#This Row],[Recovered_oz]]/tblPlant[[#This Row],[Feed_oz]],"")</f>
        <v/>
      </c>
      <c r="W309" s="59">
        <f>IF(AND(tblPlant[[#This Row],[Milled_t]]&lt;&gt;"",tblPlant[[#This Row],[Mill_Run_h]]&gt;0),tblPlant[[#This Row],[Milled_t]]/tblPlant[[#This Row],[Mill_Run_h]],"")</f>
        <v/>
      </c>
      <c r="X309" s="60">
        <f>IF(tblPlant[[#This Row],[Mill_Run_h]]="","",(24-tblPlant[[#This Row],[Mill_Planned_Maint_h]]-tblPlant[[#This Row],[Mill_Unplanned_Down_h]])/24)</f>
        <v/>
      </c>
      <c r="Y3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0">
      <c r="A310" s="54" t="n">
        <v>46327</v>
      </c>
      <c r="B310" s="55" t="n"/>
      <c r="C310" s="55" t="n"/>
      <c r="D310" s="56" t="n"/>
      <c r="E310" s="56" t="n"/>
      <c r="F310" s="55" t="n"/>
      <c r="G310" s="55" t="n"/>
      <c r="H310" s="57" t="n"/>
      <c r="I310" s="57" t="n"/>
      <c r="J310" s="57" t="n"/>
      <c r="K310" s="57" t="n"/>
      <c r="L310" s="55" t="n"/>
      <c r="M310" s="55" t="n"/>
      <c r="N310" s="55" t="n"/>
      <c r="O310" s="55" t="n"/>
      <c r="P310" s="55" t="n"/>
      <c r="Q310" s="55" t="n"/>
      <c r="R310" s="58" t="n"/>
      <c r="S310" s="59">
        <f>IF(tblPlant[[#This Row],[Milled_t]]="","",tblPlant[[#This Row],[Milled_t]]*tblPlant[[#This Row],[Head_Grade_gpt]]/cfg_TroyOz)</f>
        <v/>
      </c>
      <c r="T310" s="59">
        <f>IF(tblPlant[[#This Row],[Milled_t]]="","",tblPlant[[#This Row],[Milled_t]]*tblPlant[[#This Row],[Tails_Grade_gpt]]/cfg_TroyOz)</f>
        <v/>
      </c>
      <c r="U310" s="59">
        <f>IF(tblPlant[[#This Row],[Milled_t]]="","",tblPlant[[#This Row],[Feed_oz]]-tblPlant[[#This Row],[Tails_oz]])</f>
        <v/>
      </c>
      <c r="V310" s="60">
        <f>IF(AND(tblPlant[[#This Row],[Milled_t]]&lt;&gt;"",tblPlant[[#This Row],[Feed_oz]]&gt;0),tblPlant[[#This Row],[Recovered_oz]]/tblPlant[[#This Row],[Feed_oz]],"")</f>
        <v/>
      </c>
      <c r="W310" s="59">
        <f>IF(AND(tblPlant[[#This Row],[Milled_t]]&lt;&gt;"",tblPlant[[#This Row],[Mill_Run_h]]&gt;0),tblPlant[[#This Row],[Milled_t]]/tblPlant[[#This Row],[Mill_Run_h]],"")</f>
        <v/>
      </c>
      <c r="X310" s="60">
        <f>IF(tblPlant[[#This Row],[Mill_Run_h]]="","",(24-tblPlant[[#This Row],[Mill_Planned_Maint_h]]-tblPlant[[#This Row],[Mill_Unplanned_Down_h]])/24)</f>
        <v/>
      </c>
      <c r="Y3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1">
      <c r="A311" s="54" t="n">
        <v>46328</v>
      </c>
      <c r="B311" s="55" t="n"/>
      <c r="C311" s="55" t="n"/>
      <c r="D311" s="56" t="n"/>
      <c r="E311" s="56" t="n"/>
      <c r="F311" s="55" t="n"/>
      <c r="G311" s="55" t="n"/>
      <c r="H311" s="57" t="n"/>
      <c r="I311" s="57" t="n"/>
      <c r="J311" s="57" t="n"/>
      <c r="K311" s="57" t="n"/>
      <c r="L311" s="55" t="n"/>
      <c r="M311" s="55" t="n"/>
      <c r="N311" s="55" t="n"/>
      <c r="O311" s="55" t="n"/>
      <c r="P311" s="55" t="n"/>
      <c r="Q311" s="55" t="n"/>
      <c r="R311" s="58" t="n"/>
      <c r="S311" s="59">
        <f>IF(tblPlant[[#This Row],[Milled_t]]="","",tblPlant[[#This Row],[Milled_t]]*tblPlant[[#This Row],[Head_Grade_gpt]]/cfg_TroyOz)</f>
        <v/>
      </c>
      <c r="T311" s="59">
        <f>IF(tblPlant[[#This Row],[Milled_t]]="","",tblPlant[[#This Row],[Milled_t]]*tblPlant[[#This Row],[Tails_Grade_gpt]]/cfg_TroyOz)</f>
        <v/>
      </c>
      <c r="U311" s="59">
        <f>IF(tblPlant[[#This Row],[Milled_t]]="","",tblPlant[[#This Row],[Feed_oz]]-tblPlant[[#This Row],[Tails_oz]])</f>
        <v/>
      </c>
      <c r="V311" s="60">
        <f>IF(AND(tblPlant[[#This Row],[Milled_t]]&lt;&gt;"",tblPlant[[#This Row],[Feed_oz]]&gt;0),tblPlant[[#This Row],[Recovered_oz]]/tblPlant[[#This Row],[Feed_oz]],"")</f>
        <v/>
      </c>
      <c r="W311" s="59">
        <f>IF(AND(tblPlant[[#This Row],[Milled_t]]&lt;&gt;"",tblPlant[[#This Row],[Mill_Run_h]]&gt;0),tblPlant[[#This Row],[Milled_t]]/tblPlant[[#This Row],[Mill_Run_h]],"")</f>
        <v/>
      </c>
      <c r="X311" s="60">
        <f>IF(tblPlant[[#This Row],[Mill_Run_h]]="","",(24-tblPlant[[#This Row],[Mill_Planned_Maint_h]]-tblPlant[[#This Row],[Mill_Unplanned_Down_h]])/24)</f>
        <v/>
      </c>
      <c r="Y3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2">
      <c r="A312" s="54" t="n">
        <v>46329</v>
      </c>
      <c r="B312" s="55" t="n"/>
      <c r="C312" s="55" t="n"/>
      <c r="D312" s="56" t="n"/>
      <c r="E312" s="56" t="n"/>
      <c r="F312" s="55" t="n"/>
      <c r="G312" s="55" t="n"/>
      <c r="H312" s="57" t="n"/>
      <c r="I312" s="57" t="n"/>
      <c r="J312" s="57" t="n"/>
      <c r="K312" s="57" t="n"/>
      <c r="L312" s="55" t="n"/>
      <c r="M312" s="55" t="n"/>
      <c r="N312" s="55" t="n"/>
      <c r="O312" s="55" t="n"/>
      <c r="P312" s="55" t="n"/>
      <c r="Q312" s="55" t="n"/>
      <c r="R312" s="58" t="n"/>
      <c r="S312" s="59">
        <f>IF(tblPlant[[#This Row],[Milled_t]]="","",tblPlant[[#This Row],[Milled_t]]*tblPlant[[#This Row],[Head_Grade_gpt]]/cfg_TroyOz)</f>
        <v/>
      </c>
      <c r="T312" s="59">
        <f>IF(tblPlant[[#This Row],[Milled_t]]="","",tblPlant[[#This Row],[Milled_t]]*tblPlant[[#This Row],[Tails_Grade_gpt]]/cfg_TroyOz)</f>
        <v/>
      </c>
      <c r="U312" s="59">
        <f>IF(tblPlant[[#This Row],[Milled_t]]="","",tblPlant[[#This Row],[Feed_oz]]-tblPlant[[#This Row],[Tails_oz]])</f>
        <v/>
      </c>
      <c r="V312" s="60">
        <f>IF(AND(tblPlant[[#This Row],[Milled_t]]&lt;&gt;"",tblPlant[[#This Row],[Feed_oz]]&gt;0),tblPlant[[#This Row],[Recovered_oz]]/tblPlant[[#This Row],[Feed_oz]],"")</f>
        <v/>
      </c>
      <c r="W312" s="59">
        <f>IF(AND(tblPlant[[#This Row],[Milled_t]]&lt;&gt;"",tblPlant[[#This Row],[Mill_Run_h]]&gt;0),tblPlant[[#This Row],[Milled_t]]/tblPlant[[#This Row],[Mill_Run_h]],"")</f>
        <v/>
      </c>
      <c r="X312" s="60">
        <f>IF(tblPlant[[#This Row],[Mill_Run_h]]="","",(24-tblPlant[[#This Row],[Mill_Planned_Maint_h]]-tblPlant[[#This Row],[Mill_Unplanned_Down_h]])/24)</f>
        <v/>
      </c>
      <c r="Y3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3">
      <c r="A313" s="54" t="n">
        <v>46330</v>
      </c>
      <c r="B313" s="55" t="n"/>
      <c r="C313" s="55" t="n"/>
      <c r="D313" s="56" t="n"/>
      <c r="E313" s="56" t="n"/>
      <c r="F313" s="55" t="n"/>
      <c r="G313" s="55" t="n"/>
      <c r="H313" s="57" t="n"/>
      <c r="I313" s="57" t="n"/>
      <c r="J313" s="57" t="n"/>
      <c r="K313" s="57" t="n"/>
      <c r="L313" s="55" t="n"/>
      <c r="M313" s="55" t="n"/>
      <c r="N313" s="55" t="n"/>
      <c r="O313" s="55" t="n"/>
      <c r="P313" s="55" t="n"/>
      <c r="Q313" s="55" t="n"/>
      <c r="R313" s="58" t="n"/>
      <c r="S313" s="59">
        <f>IF(tblPlant[[#This Row],[Milled_t]]="","",tblPlant[[#This Row],[Milled_t]]*tblPlant[[#This Row],[Head_Grade_gpt]]/cfg_TroyOz)</f>
        <v/>
      </c>
      <c r="T313" s="59">
        <f>IF(tblPlant[[#This Row],[Milled_t]]="","",tblPlant[[#This Row],[Milled_t]]*tblPlant[[#This Row],[Tails_Grade_gpt]]/cfg_TroyOz)</f>
        <v/>
      </c>
      <c r="U313" s="59">
        <f>IF(tblPlant[[#This Row],[Milled_t]]="","",tblPlant[[#This Row],[Feed_oz]]-tblPlant[[#This Row],[Tails_oz]])</f>
        <v/>
      </c>
      <c r="V313" s="60">
        <f>IF(AND(tblPlant[[#This Row],[Milled_t]]&lt;&gt;"",tblPlant[[#This Row],[Feed_oz]]&gt;0),tblPlant[[#This Row],[Recovered_oz]]/tblPlant[[#This Row],[Feed_oz]],"")</f>
        <v/>
      </c>
      <c r="W313" s="59">
        <f>IF(AND(tblPlant[[#This Row],[Milled_t]]&lt;&gt;"",tblPlant[[#This Row],[Mill_Run_h]]&gt;0),tblPlant[[#This Row],[Milled_t]]/tblPlant[[#This Row],[Mill_Run_h]],"")</f>
        <v/>
      </c>
      <c r="X313" s="60">
        <f>IF(tblPlant[[#This Row],[Mill_Run_h]]="","",(24-tblPlant[[#This Row],[Mill_Planned_Maint_h]]-tblPlant[[#This Row],[Mill_Unplanned_Down_h]])/24)</f>
        <v/>
      </c>
      <c r="Y3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4">
      <c r="A314" s="54" t="n">
        <v>46331</v>
      </c>
      <c r="B314" s="55" t="n"/>
      <c r="C314" s="55" t="n"/>
      <c r="D314" s="56" t="n"/>
      <c r="E314" s="56" t="n"/>
      <c r="F314" s="55" t="n"/>
      <c r="G314" s="55" t="n"/>
      <c r="H314" s="57" t="n"/>
      <c r="I314" s="57" t="n"/>
      <c r="J314" s="57" t="n"/>
      <c r="K314" s="57" t="n"/>
      <c r="L314" s="55" t="n"/>
      <c r="M314" s="55" t="n"/>
      <c r="N314" s="55" t="n"/>
      <c r="O314" s="55" t="n"/>
      <c r="P314" s="55" t="n"/>
      <c r="Q314" s="55" t="n"/>
      <c r="R314" s="58" t="n"/>
      <c r="S314" s="59">
        <f>IF(tblPlant[[#This Row],[Milled_t]]="","",tblPlant[[#This Row],[Milled_t]]*tblPlant[[#This Row],[Head_Grade_gpt]]/cfg_TroyOz)</f>
        <v/>
      </c>
      <c r="T314" s="59">
        <f>IF(tblPlant[[#This Row],[Milled_t]]="","",tblPlant[[#This Row],[Milled_t]]*tblPlant[[#This Row],[Tails_Grade_gpt]]/cfg_TroyOz)</f>
        <v/>
      </c>
      <c r="U314" s="59">
        <f>IF(tblPlant[[#This Row],[Milled_t]]="","",tblPlant[[#This Row],[Feed_oz]]-tblPlant[[#This Row],[Tails_oz]])</f>
        <v/>
      </c>
      <c r="V314" s="60">
        <f>IF(AND(tblPlant[[#This Row],[Milled_t]]&lt;&gt;"",tblPlant[[#This Row],[Feed_oz]]&gt;0),tblPlant[[#This Row],[Recovered_oz]]/tblPlant[[#This Row],[Feed_oz]],"")</f>
        <v/>
      </c>
      <c r="W314" s="59">
        <f>IF(AND(tblPlant[[#This Row],[Milled_t]]&lt;&gt;"",tblPlant[[#This Row],[Mill_Run_h]]&gt;0),tblPlant[[#This Row],[Milled_t]]/tblPlant[[#This Row],[Mill_Run_h]],"")</f>
        <v/>
      </c>
      <c r="X314" s="60">
        <f>IF(tblPlant[[#This Row],[Mill_Run_h]]="","",(24-tblPlant[[#This Row],[Mill_Planned_Maint_h]]-tblPlant[[#This Row],[Mill_Unplanned_Down_h]])/24)</f>
        <v/>
      </c>
      <c r="Y3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5">
      <c r="A315" s="54" t="n">
        <v>46332</v>
      </c>
      <c r="B315" s="55" t="n"/>
      <c r="C315" s="55" t="n"/>
      <c r="D315" s="56" t="n"/>
      <c r="E315" s="56" t="n"/>
      <c r="F315" s="55" t="n"/>
      <c r="G315" s="55" t="n"/>
      <c r="H315" s="57" t="n"/>
      <c r="I315" s="57" t="n"/>
      <c r="J315" s="57" t="n"/>
      <c r="K315" s="57" t="n"/>
      <c r="L315" s="55" t="n"/>
      <c r="M315" s="55" t="n"/>
      <c r="N315" s="55" t="n"/>
      <c r="O315" s="55" t="n"/>
      <c r="P315" s="55" t="n"/>
      <c r="Q315" s="55" t="n"/>
      <c r="R315" s="58" t="n"/>
      <c r="S315" s="59">
        <f>IF(tblPlant[[#This Row],[Milled_t]]="","",tblPlant[[#This Row],[Milled_t]]*tblPlant[[#This Row],[Head_Grade_gpt]]/cfg_TroyOz)</f>
        <v/>
      </c>
      <c r="T315" s="59">
        <f>IF(tblPlant[[#This Row],[Milled_t]]="","",tblPlant[[#This Row],[Milled_t]]*tblPlant[[#This Row],[Tails_Grade_gpt]]/cfg_TroyOz)</f>
        <v/>
      </c>
      <c r="U315" s="59">
        <f>IF(tblPlant[[#This Row],[Milled_t]]="","",tblPlant[[#This Row],[Feed_oz]]-tblPlant[[#This Row],[Tails_oz]])</f>
        <v/>
      </c>
      <c r="V315" s="60">
        <f>IF(AND(tblPlant[[#This Row],[Milled_t]]&lt;&gt;"",tblPlant[[#This Row],[Feed_oz]]&gt;0),tblPlant[[#This Row],[Recovered_oz]]/tblPlant[[#This Row],[Feed_oz]],"")</f>
        <v/>
      </c>
      <c r="W315" s="59">
        <f>IF(AND(tblPlant[[#This Row],[Milled_t]]&lt;&gt;"",tblPlant[[#This Row],[Mill_Run_h]]&gt;0),tblPlant[[#This Row],[Milled_t]]/tblPlant[[#This Row],[Mill_Run_h]],"")</f>
        <v/>
      </c>
      <c r="X315" s="60">
        <f>IF(tblPlant[[#This Row],[Mill_Run_h]]="","",(24-tblPlant[[#This Row],[Mill_Planned_Maint_h]]-tblPlant[[#This Row],[Mill_Unplanned_Down_h]])/24)</f>
        <v/>
      </c>
      <c r="Y3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6">
      <c r="A316" s="54" t="n">
        <v>46333</v>
      </c>
      <c r="B316" s="55" t="n"/>
      <c r="C316" s="55" t="n"/>
      <c r="D316" s="56" t="n"/>
      <c r="E316" s="56" t="n"/>
      <c r="F316" s="55" t="n"/>
      <c r="G316" s="55" t="n"/>
      <c r="H316" s="57" t="n"/>
      <c r="I316" s="57" t="n"/>
      <c r="J316" s="57" t="n"/>
      <c r="K316" s="57" t="n"/>
      <c r="L316" s="55" t="n"/>
      <c r="M316" s="55" t="n"/>
      <c r="N316" s="55" t="n"/>
      <c r="O316" s="55" t="n"/>
      <c r="P316" s="55" t="n"/>
      <c r="Q316" s="55" t="n"/>
      <c r="R316" s="58" t="n"/>
      <c r="S316" s="59">
        <f>IF(tblPlant[[#This Row],[Milled_t]]="","",tblPlant[[#This Row],[Milled_t]]*tblPlant[[#This Row],[Head_Grade_gpt]]/cfg_TroyOz)</f>
        <v/>
      </c>
      <c r="T316" s="59">
        <f>IF(tblPlant[[#This Row],[Milled_t]]="","",tblPlant[[#This Row],[Milled_t]]*tblPlant[[#This Row],[Tails_Grade_gpt]]/cfg_TroyOz)</f>
        <v/>
      </c>
      <c r="U316" s="59">
        <f>IF(tblPlant[[#This Row],[Milled_t]]="","",tblPlant[[#This Row],[Feed_oz]]-tblPlant[[#This Row],[Tails_oz]])</f>
        <v/>
      </c>
      <c r="V316" s="60">
        <f>IF(AND(tblPlant[[#This Row],[Milled_t]]&lt;&gt;"",tblPlant[[#This Row],[Feed_oz]]&gt;0),tblPlant[[#This Row],[Recovered_oz]]/tblPlant[[#This Row],[Feed_oz]],"")</f>
        <v/>
      </c>
      <c r="W316" s="59">
        <f>IF(AND(tblPlant[[#This Row],[Milled_t]]&lt;&gt;"",tblPlant[[#This Row],[Mill_Run_h]]&gt;0),tblPlant[[#This Row],[Milled_t]]/tblPlant[[#This Row],[Mill_Run_h]],"")</f>
        <v/>
      </c>
      <c r="X316" s="60">
        <f>IF(tblPlant[[#This Row],[Mill_Run_h]]="","",(24-tblPlant[[#This Row],[Mill_Planned_Maint_h]]-tblPlant[[#This Row],[Mill_Unplanned_Down_h]])/24)</f>
        <v/>
      </c>
      <c r="Y3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7">
      <c r="A317" s="54" t="n">
        <v>46334</v>
      </c>
      <c r="B317" s="55" t="n"/>
      <c r="C317" s="55" t="n"/>
      <c r="D317" s="56" t="n"/>
      <c r="E317" s="56" t="n"/>
      <c r="F317" s="55" t="n"/>
      <c r="G317" s="55" t="n"/>
      <c r="H317" s="57" t="n"/>
      <c r="I317" s="57" t="n"/>
      <c r="J317" s="57" t="n"/>
      <c r="K317" s="57" t="n"/>
      <c r="L317" s="55" t="n"/>
      <c r="M317" s="55" t="n"/>
      <c r="N317" s="55" t="n"/>
      <c r="O317" s="55" t="n"/>
      <c r="P317" s="55" t="n"/>
      <c r="Q317" s="55" t="n"/>
      <c r="R317" s="58" t="n"/>
      <c r="S317" s="59">
        <f>IF(tblPlant[[#This Row],[Milled_t]]="","",tblPlant[[#This Row],[Milled_t]]*tblPlant[[#This Row],[Head_Grade_gpt]]/cfg_TroyOz)</f>
        <v/>
      </c>
      <c r="T317" s="59">
        <f>IF(tblPlant[[#This Row],[Milled_t]]="","",tblPlant[[#This Row],[Milled_t]]*tblPlant[[#This Row],[Tails_Grade_gpt]]/cfg_TroyOz)</f>
        <v/>
      </c>
      <c r="U317" s="59">
        <f>IF(tblPlant[[#This Row],[Milled_t]]="","",tblPlant[[#This Row],[Feed_oz]]-tblPlant[[#This Row],[Tails_oz]])</f>
        <v/>
      </c>
      <c r="V317" s="60">
        <f>IF(AND(tblPlant[[#This Row],[Milled_t]]&lt;&gt;"",tblPlant[[#This Row],[Feed_oz]]&gt;0),tblPlant[[#This Row],[Recovered_oz]]/tblPlant[[#This Row],[Feed_oz]],"")</f>
        <v/>
      </c>
      <c r="W317" s="59">
        <f>IF(AND(tblPlant[[#This Row],[Milled_t]]&lt;&gt;"",tblPlant[[#This Row],[Mill_Run_h]]&gt;0),tblPlant[[#This Row],[Milled_t]]/tblPlant[[#This Row],[Mill_Run_h]],"")</f>
        <v/>
      </c>
      <c r="X317" s="60">
        <f>IF(tblPlant[[#This Row],[Mill_Run_h]]="","",(24-tblPlant[[#This Row],[Mill_Planned_Maint_h]]-tblPlant[[#This Row],[Mill_Unplanned_Down_h]])/24)</f>
        <v/>
      </c>
      <c r="Y3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8">
      <c r="A318" s="54" t="n">
        <v>46335</v>
      </c>
      <c r="B318" s="55" t="n"/>
      <c r="C318" s="55" t="n"/>
      <c r="D318" s="56" t="n"/>
      <c r="E318" s="56" t="n"/>
      <c r="F318" s="55" t="n"/>
      <c r="G318" s="55" t="n"/>
      <c r="H318" s="57" t="n"/>
      <c r="I318" s="57" t="n"/>
      <c r="J318" s="57" t="n"/>
      <c r="K318" s="57" t="n"/>
      <c r="L318" s="55" t="n"/>
      <c r="M318" s="55" t="n"/>
      <c r="N318" s="55" t="n"/>
      <c r="O318" s="55" t="n"/>
      <c r="P318" s="55" t="n"/>
      <c r="Q318" s="55" t="n"/>
      <c r="R318" s="58" t="n"/>
      <c r="S318" s="59">
        <f>IF(tblPlant[[#This Row],[Milled_t]]="","",tblPlant[[#This Row],[Milled_t]]*tblPlant[[#This Row],[Head_Grade_gpt]]/cfg_TroyOz)</f>
        <v/>
      </c>
      <c r="T318" s="59">
        <f>IF(tblPlant[[#This Row],[Milled_t]]="","",tblPlant[[#This Row],[Milled_t]]*tblPlant[[#This Row],[Tails_Grade_gpt]]/cfg_TroyOz)</f>
        <v/>
      </c>
      <c r="U318" s="59">
        <f>IF(tblPlant[[#This Row],[Milled_t]]="","",tblPlant[[#This Row],[Feed_oz]]-tblPlant[[#This Row],[Tails_oz]])</f>
        <v/>
      </c>
      <c r="V318" s="60">
        <f>IF(AND(tblPlant[[#This Row],[Milled_t]]&lt;&gt;"",tblPlant[[#This Row],[Feed_oz]]&gt;0),tblPlant[[#This Row],[Recovered_oz]]/tblPlant[[#This Row],[Feed_oz]],"")</f>
        <v/>
      </c>
      <c r="W318" s="59">
        <f>IF(AND(tblPlant[[#This Row],[Milled_t]]&lt;&gt;"",tblPlant[[#This Row],[Mill_Run_h]]&gt;0),tblPlant[[#This Row],[Milled_t]]/tblPlant[[#This Row],[Mill_Run_h]],"")</f>
        <v/>
      </c>
      <c r="X318" s="60">
        <f>IF(tblPlant[[#This Row],[Mill_Run_h]]="","",(24-tblPlant[[#This Row],[Mill_Planned_Maint_h]]-tblPlant[[#This Row],[Mill_Unplanned_Down_h]])/24)</f>
        <v/>
      </c>
      <c r="Y3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9">
      <c r="A319" s="54" t="n">
        <v>46336</v>
      </c>
      <c r="B319" s="55" t="n"/>
      <c r="C319" s="55" t="n"/>
      <c r="D319" s="56" t="n"/>
      <c r="E319" s="56" t="n"/>
      <c r="F319" s="55" t="n"/>
      <c r="G319" s="55" t="n"/>
      <c r="H319" s="57" t="n"/>
      <c r="I319" s="57" t="n"/>
      <c r="J319" s="57" t="n"/>
      <c r="K319" s="57" t="n"/>
      <c r="L319" s="55" t="n"/>
      <c r="M319" s="55" t="n"/>
      <c r="N319" s="55" t="n"/>
      <c r="O319" s="55" t="n"/>
      <c r="P319" s="55" t="n"/>
      <c r="Q319" s="55" t="n"/>
      <c r="R319" s="58" t="n"/>
      <c r="S319" s="59">
        <f>IF(tblPlant[[#This Row],[Milled_t]]="","",tblPlant[[#This Row],[Milled_t]]*tblPlant[[#This Row],[Head_Grade_gpt]]/cfg_TroyOz)</f>
        <v/>
      </c>
      <c r="T319" s="59">
        <f>IF(tblPlant[[#This Row],[Milled_t]]="","",tblPlant[[#This Row],[Milled_t]]*tblPlant[[#This Row],[Tails_Grade_gpt]]/cfg_TroyOz)</f>
        <v/>
      </c>
      <c r="U319" s="59">
        <f>IF(tblPlant[[#This Row],[Milled_t]]="","",tblPlant[[#This Row],[Feed_oz]]-tblPlant[[#This Row],[Tails_oz]])</f>
        <v/>
      </c>
      <c r="V319" s="60">
        <f>IF(AND(tblPlant[[#This Row],[Milled_t]]&lt;&gt;"",tblPlant[[#This Row],[Feed_oz]]&gt;0),tblPlant[[#This Row],[Recovered_oz]]/tblPlant[[#This Row],[Feed_oz]],"")</f>
        <v/>
      </c>
      <c r="W319" s="59">
        <f>IF(AND(tblPlant[[#This Row],[Milled_t]]&lt;&gt;"",tblPlant[[#This Row],[Mill_Run_h]]&gt;0),tblPlant[[#This Row],[Milled_t]]/tblPlant[[#This Row],[Mill_Run_h]],"")</f>
        <v/>
      </c>
      <c r="X319" s="60">
        <f>IF(tblPlant[[#This Row],[Mill_Run_h]]="","",(24-tblPlant[[#This Row],[Mill_Planned_Maint_h]]-tblPlant[[#This Row],[Mill_Unplanned_Down_h]])/24)</f>
        <v/>
      </c>
      <c r="Y3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0">
      <c r="A320" s="54" t="n">
        <v>46337</v>
      </c>
      <c r="B320" s="55" t="n"/>
      <c r="C320" s="55" t="n"/>
      <c r="D320" s="56" t="n"/>
      <c r="E320" s="56" t="n"/>
      <c r="F320" s="55" t="n"/>
      <c r="G320" s="55" t="n"/>
      <c r="H320" s="57" t="n"/>
      <c r="I320" s="57" t="n"/>
      <c r="J320" s="57" t="n"/>
      <c r="K320" s="57" t="n"/>
      <c r="L320" s="55" t="n"/>
      <c r="M320" s="55" t="n"/>
      <c r="N320" s="55" t="n"/>
      <c r="O320" s="55" t="n"/>
      <c r="P320" s="55" t="n"/>
      <c r="Q320" s="55" t="n"/>
      <c r="R320" s="58" t="n"/>
      <c r="S320" s="59">
        <f>IF(tblPlant[[#This Row],[Milled_t]]="","",tblPlant[[#This Row],[Milled_t]]*tblPlant[[#This Row],[Head_Grade_gpt]]/cfg_TroyOz)</f>
        <v/>
      </c>
      <c r="T320" s="59">
        <f>IF(tblPlant[[#This Row],[Milled_t]]="","",tblPlant[[#This Row],[Milled_t]]*tblPlant[[#This Row],[Tails_Grade_gpt]]/cfg_TroyOz)</f>
        <v/>
      </c>
      <c r="U320" s="59">
        <f>IF(tblPlant[[#This Row],[Milled_t]]="","",tblPlant[[#This Row],[Feed_oz]]-tblPlant[[#This Row],[Tails_oz]])</f>
        <v/>
      </c>
      <c r="V320" s="60">
        <f>IF(AND(tblPlant[[#This Row],[Milled_t]]&lt;&gt;"",tblPlant[[#This Row],[Feed_oz]]&gt;0),tblPlant[[#This Row],[Recovered_oz]]/tblPlant[[#This Row],[Feed_oz]],"")</f>
        <v/>
      </c>
      <c r="W320" s="59">
        <f>IF(AND(tblPlant[[#This Row],[Milled_t]]&lt;&gt;"",tblPlant[[#This Row],[Mill_Run_h]]&gt;0),tblPlant[[#This Row],[Milled_t]]/tblPlant[[#This Row],[Mill_Run_h]],"")</f>
        <v/>
      </c>
      <c r="X320" s="60">
        <f>IF(tblPlant[[#This Row],[Mill_Run_h]]="","",(24-tblPlant[[#This Row],[Mill_Planned_Maint_h]]-tblPlant[[#This Row],[Mill_Unplanned_Down_h]])/24)</f>
        <v/>
      </c>
      <c r="Y3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1">
      <c r="A321" s="54" t="n">
        <v>46338</v>
      </c>
      <c r="B321" s="55" t="n"/>
      <c r="C321" s="55" t="n"/>
      <c r="D321" s="56" t="n"/>
      <c r="E321" s="56" t="n"/>
      <c r="F321" s="55" t="n"/>
      <c r="G321" s="55" t="n"/>
      <c r="H321" s="57" t="n"/>
      <c r="I321" s="57" t="n"/>
      <c r="J321" s="57" t="n"/>
      <c r="K321" s="57" t="n"/>
      <c r="L321" s="55" t="n"/>
      <c r="M321" s="55" t="n"/>
      <c r="N321" s="55" t="n"/>
      <c r="O321" s="55" t="n"/>
      <c r="P321" s="55" t="n"/>
      <c r="Q321" s="55" t="n"/>
      <c r="R321" s="58" t="n"/>
      <c r="S321" s="59">
        <f>IF(tblPlant[[#This Row],[Milled_t]]="","",tblPlant[[#This Row],[Milled_t]]*tblPlant[[#This Row],[Head_Grade_gpt]]/cfg_TroyOz)</f>
        <v/>
      </c>
      <c r="T321" s="59">
        <f>IF(tblPlant[[#This Row],[Milled_t]]="","",tblPlant[[#This Row],[Milled_t]]*tblPlant[[#This Row],[Tails_Grade_gpt]]/cfg_TroyOz)</f>
        <v/>
      </c>
      <c r="U321" s="59">
        <f>IF(tblPlant[[#This Row],[Milled_t]]="","",tblPlant[[#This Row],[Feed_oz]]-tblPlant[[#This Row],[Tails_oz]])</f>
        <v/>
      </c>
      <c r="V321" s="60">
        <f>IF(AND(tblPlant[[#This Row],[Milled_t]]&lt;&gt;"",tblPlant[[#This Row],[Feed_oz]]&gt;0),tblPlant[[#This Row],[Recovered_oz]]/tblPlant[[#This Row],[Feed_oz]],"")</f>
        <v/>
      </c>
      <c r="W321" s="59">
        <f>IF(AND(tblPlant[[#This Row],[Milled_t]]&lt;&gt;"",tblPlant[[#This Row],[Mill_Run_h]]&gt;0),tblPlant[[#This Row],[Milled_t]]/tblPlant[[#This Row],[Mill_Run_h]],"")</f>
        <v/>
      </c>
      <c r="X321" s="60">
        <f>IF(tblPlant[[#This Row],[Mill_Run_h]]="","",(24-tblPlant[[#This Row],[Mill_Planned_Maint_h]]-tblPlant[[#This Row],[Mill_Unplanned_Down_h]])/24)</f>
        <v/>
      </c>
      <c r="Y3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2">
      <c r="A322" s="54" t="n">
        <v>46339</v>
      </c>
      <c r="B322" s="55" t="n"/>
      <c r="C322" s="55" t="n"/>
      <c r="D322" s="56" t="n"/>
      <c r="E322" s="56" t="n"/>
      <c r="F322" s="55" t="n"/>
      <c r="G322" s="55" t="n"/>
      <c r="H322" s="57" t="n"/>
      <c r="I322" s="57" t="n"/>
      <c r="J322" s="57" t="n"/>
      <c r="K322" s="57" t="n"/>
      <c r="L322" s="55" t="n"/>
      <c r="M322" s="55" t="n"/>
      <c r="N322" s="55" t="n"/>
      <c r="O322" s="55" t="n"/>
      <c r="P322" s="55" t="n"/>
      <c r="Q322" s="55" t="n"/>
      <c r="R322" s="58" t="n"/>
      <c r="S322" s="59">
        <f>IF(tblPlant[[#This Row],[Milled_t]]="","",tblPlant[[#This Row],[Milled_t]]*tblPlant[[#This Row],[Head_Grade_gpt]]/cfg_TroyOz)</f>
        <v/>
      </c>
      <c r="T322" s="59">
        <f>IF(tblPlant[[#This Row],[Milled_t]]="","",tblPlant[[#This Row],[Milled_t]]*tblPlant[[#This Row],[Tails_Grade_gpt]]/cfg_TroyOz)</f>
        <v/>
      </c>
      <c r="U322" s="59">
        <f>IF(tblPlant[[#This Row],[Milled_t]]="","",tblPlant[[#This Row],[Feed_oz]]-tblPlant[[#This Row],[Tails_oz]])</f>
        <v/>
      </c>
      <c r="V322" s="60">
        <f>IF(AND(tblPlant[[#This Row],[Milled_t]]&lt;&gt;"",tblPlant[[#This Row],[Feed_oz]]&gt;0),tblPlant[[#This Row],[Recovered_oz]]/tblPlant[[#This Row],[Feed_oz]],"")</f>
        <v/>
      </c>
      <c r="W322" s="59">
        <f>IF(AND(tblPlant[[#This Row],[Milled_t]]&lt;&gt;"",tblPlant[[#This Row],[Mill_Run_h]]&gt;0),tblPlant[[#This Row],[Milled_t]]/tblPlant[[#This Row],[Mill_Run_h]],"")</f>
        <v/>
      </c>
      <c r="X322" s="60">
        <f>IF(tblPlant[[#This Row],[Mill_Run_h]]="","",(24-tblPlant[[#This Row],[Mill_Planned_Maint_h]]-tblPlant[[#This Row],[Mill_Unplanned_Down_h]])/24)</f>
        <v/>
      </c>
      <c r="Y3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3">
      <c r="A323" s="54" t="n">
        <v>46340</v>
      </c>
      <c r="B323" s="55" t="n"/>
      <c r="C323" s="55" t="n"/>
      <c r="D323" s="56" t="n"/>
      <c r="E323" s="56" t="n"/>
      <c r="F323" s="55" t="n"/>
      <c r="G323" s="55" t="n"/>
      <c r="H323" s="57" t="n"/>
      <c r="I323" s="57" t="n"/>
      <c r="J323" s="57" t="n"/>
      <c r="K323" s="57" t="n"/>
      <c r="L323" s="55" t="n"/>
      <c r="M323" s="55" t="n"/>
      <c r="N323" s="55" t="n"/>
      <c r="O323" s="55" t="n"/>
      <c r="P323" s="55" t="n"/>
      <c r="Q323" s="55" t="n"/>
      <c r="R323" s="58" t="n"/>
      <c r="S323" s="59">
        <f>IF(tblPlant[[#This Row],[Milled_t]]="","",tblPlant[[#This Row],[Milled_t]]*tblPlant[[#This Row],[Head_Grade_gpt]]/cfg_TroyOz)</f>
        <v/>
      </c>
      <c r="T323" s="59">
        <f>IF(tblPlant[[#This Row],[Milled_t]]="","",tblPlant[[#This Row],[Milled_t]]*tblPlant[[#This Row],[Tails_Grade_gpt]]/cfg_TroyOz)</f>
        <v/>
      </c>
      <c r="U323" s="59">
        <f>IF(tblPlant[[#This Row],[Milled_t]]="","",tblPlant[[#This Row],[Feed_oz]]-tblPlant[[#This Row],[Tails_oz]])</f>
        <v/>
      </c>
      <c r="V323" s="60">
        <f>IF(AND(tblPlant[[#This Row],[Milled_t]]&lt;&gt;"",tblPlant[[#This Row],[Feed_oz]]&gt;0),tblPlant[[#This Row],[Recovered_oz]]/tblPlant[[#This Row],[Feed_oz]],"")</f>
        <v/>
      </c>
      <c r="W323" s="59">
        <f>IF(AND(tblPlant[[#This Row],[Milled_t]]&lt;&gt;"",tblPlant[[#This Row],[Mill_Run_h]]&gt;0),tblPlant[[#This Row],[Milled_t]]/tblPlant[[#This Row],[Mill_Run_h]],"")</f>
        <v/>
      </c>
      <c r="X323" s="60">
        <f>IF(tblPlant[[#This Row],[Mill_Run_h]]="","",(24-tblPlant[[#This Row],[Mill_Planned_Maint_h]]-tblPlant[[#This Row],[Mill_Unplanned_Down_h]])/24)</f>
        <v/>
      </c>
      <c r="Y3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4">
      <c r="A324" s="54" t="n">
        <v>46341</v>
      </c>
      <c r="B324" s="55" t="n"/>
      <c r="C324" s="55" t="n"/>
      <c r="D324" s="56" t="n"/>
      <c r="E324" s="56" t="n"/>
      <c r="F324" s="55" t="n"/>
      <c r="G324" s="55" t="n"/>
      <c r="H324" s="57" t="n"/>
      <c r="I324" s="57" t="n"/>
      <c r="J324" s="57" t="n"/>
      <c r="K324" s="57" t="n"/>
      <c r="L324" s="55" t="n"/>
      <c r="M324" s="55" t="n"/>
      <c r="N324" s="55" t="n"/>
      <c r="O324" s="55" t="n"/>
      <c r="P324" s="55" t="n"/>
      <c r="Q324" s="55" t="n"/>
      <c r="R324" s="58" t="n"/>
      <c r="S324" s="59">
        <f>IF(tblPlant[[#This Row],[Milled_t]]="","",tblPlant[[#This Row],[Milled_t]]*tblPlant[[#This Row],[Head_Grade_gpt]]/cfg_TroyOz)</f>
        <v/>
      </c>
      <c r="T324" s="59">
        <f>IF(tblPlant[[#This Row],[Milled_t]]="","",tblPlant[[#This Row],[Milled_t]]*tblPlant[[#This Row],[Tails_Grade_gpt]]/cfg_TroyOz)</f>
        <v/>
      </c>
      <c r="U324" s="59">
        <f>IF(tblPlant[[#This Row],[Milled_t]]="","",tblPlant[[#This Row],[Feed_oz]]-tblPlant[[#This Row],[Tails_oz]])</f>
        <v/>
      </c>
      <c r="V324" s="60">
        <f>IF(AND(tblPlant[[#This Row],[Milled_t]]&lt;&gt;"",tblPlant[[#This Row],[Feed_oz]]&gt;0),tblPlant[[#This Row],[Recovered_oz]]/tblPlant[[#This Row],[Feed_oz]],"")</f>
        <v/>
      </c>
      <c r="W324" s="59">
        <f>IF(AND(tblPlant[[#This Row],[Milled_t]]&lt;&gt;"",tblPlant[[#This Row],[Mill_Run_h]]&gt;0),tblPlant[[#This Row],[Milled_t]]/tblPlant[[#This Row],[Mill_Run_h]],"")</f>
        <v/>
      </c>
      <c r="X324" s="60">
        <f>IF(tblPlant[[#This Row],[Mill_Run_h]]="","",(24-tblPlant[[#This Row],[Mill_Planned_Maint_h]]-tblPlant[[#This Row],[Mill_Unplanned_Down_h]])/24)</f>
        <v/>
      </c>
      <c r="Y3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5">
      <c r="A325" s="54" t="n">
        <v>46342</v>
      </c>
      <c r="B325" s="55" t="n"/>
      <c r="C325" s="55" t="n"/>
      <c r="D325" s="56" t="n"/>
      <c r="E325" s="56" t="n"/>
      <c r="F325" s="55" t="n"/>
      <c r="G325" s="55" t="n"/>
      <c r="H325" s="57" t="n"/>
      <c r="I325" s="57" t="n"/>
      <c r="J325" s="57" t="n"/>
      <c r="K325" s="57" t="n"/>
      <c r="L325" s="55" t="n"/>
      <c r="M325" s="55" t="n"/>
      <c r="N325" s="55" t="n"/>
      <c r="O325" s="55" t="n"/>
      <c r="P325" s="55" t="n"/>
      <c r="Q325" s="55" t="n"/>
      <c r="R325" s="58" t="n"/>
      <c r="S325" s="59">
        <f>IF(tblPlant[[#This Row],[Milled_t]]="","",tblPlant[[#This Row],[Milled_t]]*tblPlant[[#This Row],[Head_Grade_gpt]]/cfg_TroyOz)</f>
        <v/>
      </c>
      <c r="T325" s="59">
        <f>IF(tblPlant[[#This Row],[Milled_t]]="","",tblPlant[[#This Row],[Milled_t]]*tblPlant[[#This Row],[Tails_Grade_gpt]]/cfg_TroyOz)</f>
        <v/>
      </c>
      <c r="U325" s="59">
        <f>IF(tblPlant[[#This Row],[Milled_t]]="","",tblPlant[[#This Row],[Feed_oz]]-tblPlant[[#This Row],[Tails_oz]])</f>
        <v/>
      </c>
      <c r="V325" s="60">
        <f>IF(AND(tblPlant[[#This Row],[Milled_t]]&lt;&gt;"",tblPlant[[#This Row],[Feed_oz]]&gt;0),tblPlant[[#This Row],[Recovered_oz]]/tblPlant[[#This Row],[Feed_oz]],"")</f>
        <v/>
      </c>
      <c r="W325" s="59">
        <f>IF(AND(tblPlant[[#This Row],[Milled_t]]&lt;&gt;"",tblPlant[[#This Row],[Mill_Run_h]]&gt;0),tblPlant[[#This Row],[Milled_t]]/tblPlant[[#This Row],[Mill_Run_h]],"")</f>
        <v/>
      </c>
      <c r="X325" s="60">
        <f>IF(tblPlant[[#This Row],[Mill_Run_h]]="","",(24-tblPlant[[#This Row],[Mill_Planned_Maint_h]]-tblPlant[[#This Row],[Mill_Unplanned_Down_h]])/24)</f>
        <v/>
      </c>
      <c r="Y3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6">
      <c r="A326" s="54" t="n">
        <v>46343</v>
      </c>
      <c r="B326" s="55" t="n"/>
      <c r="C326" s="55" t="n"/>
      <c r="D326" s="56" t="n"/>
      <c r="E326" s="56" t="n"/>
      <c r="F326" s="55" t="n"/>
      <c r="G326" s="55" t="n"/>
      <c r="H326" s="57" t="n"/>
      <c r="I326" s="57" t="n"/>
      <c r="J326" s="57" t="n"/>
      <c r="K326" s="57" t="n"/>
      <c r="L326" s="55" t="n"/>
      <c r="M326" s="55" t="n"/>
      <c r="N326" s="55" t="n"/>
      <c r="O326" s="55" t="n"/>
      <c r="P326" s="55" t="n"/>
      <c r="Q326" s="55" t="n"/>
      <c r="R326" s="58" t="n"/>
      <c r="S326" s="59">
        <f>IF(tblPlant[[#This Row],[Milled_t]]="","",tblPlant[[#This Row],[Milled_t]]*tblPlant[[#This Row],[Head_Grade_gpt]]/cfg_TroyOz)</f>
        <v/>
      </c>
      <c r="T326" s="59">
        <f>IF(tblPlant[[#This Row],[Milled_t]]="","",tblPlant[[#This Row],[Milled_t]]*tblPlant[[#This Row],[Tails_Grade_gpt]]/cfg_TroyOz)</f>
        <v/>
      </c>
      <c r="U326" s="59">
        <f>IF(tblPlant[[#This Row],[Milled_t]]="","",tblPlant[[#This Row],[Feed_oz]]-tblPlant[[#This Row],[Tails_oz]])</f>
        <v/>
      </c>
      <c r="V326" s="60">
        <f>IF(AND(tblPlant[[#This Row],[Milled_t]]&lt;&gt;"",tblPlant[[#This Row],[Feed_oz]]&gt;0),tblPlant[[#This Row],[Recovered_oz]]/tblPlant[[#This Row],[Feed_oz]],"")</f>
        <v/>
      </c>
      <c r="W326" s="59">
        <f>IF(AND(tblPlant[[#This Row],[Milled_t]]&lt;&gt;"",tblPlant[[#This Row],[Mill_Run_h]]&gt;0),tblPlant[[#This Row],[Milled_t]]/tblPlant[[#This Row],[Mill_Run_h]],"")</f>
        <v/>
      </c>
      <c r="X326" s="60">
        <f>IF(tblPlant[[#This Row],[Mill_Run_h]]="","",(24-tblPlant[[#This Row],[Mill_Planned_Maint_h]]-tblPlant[[#This Row],[Mill_Unplanned_Down_h]])/24)</f>
        <v/>
      </c>
      <c r="Y3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7">
      <c r="A327" s="54" t="n">
        <v>46344</v>
      </c>
      <c r="B327" s="55" t="n"/>
      <c r="C327" s="55" t="n"/>
      <c r="D327" s="56" t="n"/>
      <c r="E327" s="56" t="n"/>
      <c r="F327" s="55" t="n"/>
      <c r="G327" s="55" t="n"/>
      <c r="H327" s="57" t="n"/>
      <c r="I327" s="57" t="n"/>
      <c r="J327" s="57" t="n"/>
      <c r="K327" s="57" t="n"/>
      <c r="L327" s="55" t="n"/>
      <c r="M327" s="55" t="n"/>
      <c r="N327" s="55" t="n"/>
      <c r="O327" s="55" t="n"/>
      <c r="P327" s="55" t="n"/>
      <c r="Q327" s="55" t="n"/>
      <c r="R327" s="58" t="n"/>
      <c r="S327" s="59">
        <f>IF(tblPlant[[#This Row],[Milled_t]]="","",tblPlant[[#This Row],[Milled_t]]*tblPlant[[#This Row],[Head_Grade_gpt]]/cfg_TroyOz)</f>
        <v/>
      </c>
      <c r="T327" s="59">
        <f>IF(tblPlant[[#This Row],[Milled_t]]="","",tblPlant[[#This Row],[Milled_t]]*tblPlant[[#This Row],[Tails_Grade_gpt]]/cfg_TroyOz)</f>
        <v/>
      </c>
      <c r="U327" s="59">
        <f>IF(tblPlant[[#This Row],[Milled_t]]="","",tblPlant[[#This Row],[Feed_oz]]-tblPlant[[#This Row],[Tails_oz]])</f>
        <v/>
      </c>
      <c r="V327" s="60">
        <f>IF(AND(tblPlant[[#This Row],[Milled_t]]&lt;&gt;"",tblPlant[[#This Row],[Feed_oz]]&gt;0),tblPlant[[#This Row],[Recovered_oz]]/tblPlant[[#This Row],[Feed_oz]],"")</f>
        <v/>
      </c>
      <c r="W327" s="59">
        <f>IF(AND(tblPlant[[#This Row],[Milled_t]]&lt;&gt;"",tblPlant[[#This Row],[Mill_Run_h]]&gt;0),tblPlant[[#This Row],[Milled_t]]/tblPlant[[#This Row],[Mill_Run_h]],"")</f>
        <v/>
      </c>
      <c r="X327" s="60">
        <f>IF(tblPlant[[#This Row],[Mill_Run_h]]="","",(24-tblPlant[[#This Row],[Mill_Planned_Maint_h]]-tblPlant[[#This Row],[Mill_Unplanned_Down_h]])/24)</f>
        <v/>
      </c>
      <c r="Y3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8">
      <c r="A328" s="54" t="n">
        <v>46345</v>
      </c>
      <c r="B328" s="55" t="n"/>
      <c r="C328" s="55" t="n"/>
      <c r="D328" s="56" t="n"/>
      <c r="E328" s="56" t="n"/>
      <c r="F328" s="55" t="n"/>
      <c r="G328" s="55" t="n"/>
      <c r="H328" s="57" t="n"/>
      <c r="I328" s="57" t="n"/>
      <c r="J328" s="57" t="n"/>
      <c r="K328" s="57" t="n"/>
      <c r="L328" s="55" t="n"/>
      <c r="M328" s="55" t="n"/>
      <c r="N328" s="55" t="n"/>
      <c r="O328" s="55" t="n"/>
      <c r="P328" s="55" t="n"/>
      <c r="Q328" s="55" t="n"/>
      <c r="R328" s="58" t="n"/>
      <c r="S328" s="59">
        <f>IF(tblPlant[[#This Row],[Milled_t]]="","",tblPlant[[#This Row],[Milled_t]]*tblPlant[[#This Row],[Head_Grade_gpt]]/cfg_TroyOz)</f>
        <v/>
      </c>
      <c r="T328" s="59">
        <f>IF(tblPlant[[#This Row],[Milled_t]]="","",tblPlant[[#This Row],[Milled_t]]*tblPlant[[#This Row],[Tails_Grade_gpt]]/cfg_TroyOz)</f>
        <v/>
      </c>
      <c r="U328" s="59">
        <f>IF(tblPlant[[#This Row],[Milled_t]]="","",tblPlant[[#This Row],[Feed_oz]]-tblPlant[[#This Row],[Tails_oz]])</f>
        <v/>
      </c>
      <c r="V328" s="60">
        <f>IF(AND(tblPlant[[#This Row],[Milled_t]]&lt;&gt;"",tblPlant[[#This Row],[Feed_oz]]&gt;0),tblPlant[[#This Row],[Recovered_oz]]/tblPlant[[#This Row],[Feed_oz]],"")</f>
        <v/>
      </c>
      <c r="W328" s="59">
        <f>IF(AND(tblPlant[[#This Row],[Milled_t]]&lt;&gt;"",tblPlant[[#This Row],[Mill_Run_h]]&gt;0),tblPlant[[#This Row],[Milled_t]]/tblPlant[[#This Row],[Mill_Run_h]],"")</f>
        <v/>
      </c>
      <c r="X328" s="60">
        <f>IF(tblPlant[[#This Row],[Mill_Run_h]]="","",(24-tblPlant[[#This Row],[Mill_Planned_Maint_h]]-tblPlant[[#This Row],[Mill_Unplanned_Down_h]])/24)</f>
        <v/>
      </c>
      <c r="Y3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9">
      <c r="A329" s="54" t="n">
        <v>46346</v>
      </c>
      <c r="B329" s="55" t="n"/>
      <c r="C329" s="55" t="n"/>
      <c r="D329" s="56" t="n"/>
      <c r="E329" s="56" t="n"/>
      <c r="F329" s="55" t="n"/>
      <c r="G329" s="55" t="n"/>
      <c r="H329" s="57" t="n"/>
      <c r="I329" s="57" t="n"/>
      <c r="J329" s="57" t="n"/>
      <c r="K329" s="57" t="n"/>
      <c r="L329" s="55" t="n"/>
      <c r="M329" s="55" t="n"/>
      <c r="N329" s="55" t="n"/>
      <c r="O329" s="55" t="n"/>
      <c r="P329" s="55" t="n"/>
      <c r="Q329" s="55" t="n"/>
      <c r="R329" s="58" t="n"/>
      <c r="S329" s="59">
        <f>IF(tblPlant[[#This Row],[Milled_t]]="","",tblPlant[[#This Row],[Milled_t]]*tblPlant[[#This Row],[Head_Grade_gpt]]/cfg_TroyOz)</f>
        <v/>
      </c>
      <c r="T329" s="59">
        <f>IF(tblPlant[[#This Row],[Milled_t]]="","",tblPlant[[#This Row],[Milled_t]]*tblPlant[[#This Row],[Tails_Grade_gpt]]/cfg_TroyOz)</f>
        <v/>
      </c>
      <c r="U329" s="59">
        <f>IF(tblPlant[[#This Row],[Milled_t]]="","",tblPlant[[#This Row],[Feed_oz]]-tblPlant[[#This Row],[Tails_oz]])</f>
        <v/>
      </c>
      <c r="V329" s="60">
        <f>IF(AND(tblPlant[[#This Row],[Milled_t]]&lt;&gt;"",tblPlant[[#This Row],[Feed_oz]]&gt;0),tblPlant[[#This Row],[Recovered_oz]]/tblPlant[[#This Row],[Feed_oz]],"")</f>
        <v/>
      </c>
      <c r="W329" s="59">
        <f>IF(AND(tblPlant[[#This Row],[Milled_t]]&lt;&gt;"",tblPlant[[#This Row],[Mill_Run_h]]&gt;0),tblPlant[[#This Row],[Milled_t]]/tblPlant[[#This Row],[Mill_Run_h]],"")</f>
        <v/>
      </c>
      <c r="X329" s="60">
        <f>IF(tblPlant[[#This Row],[Mill_Run_h]]="","",(24-tblPlant[[#This Row],[Mill_Planned_Maint_h]]-tblPlant[[#This Row],[Mill_Unplanned_Down_h]])/24)</f>
        <v/>
      </c>
      <c r="Y3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0">
      <c r="A330" s="54" t="n">
        <v>46347</v>
      </c>
      <c r="B330" s="55" t="n"/>
      <c r="C330" s="55" t="n"/>
      <c r="D330" s="56" t="n"/>
      <c r="E330" s="56" t="n"/>
      <c r="F330" s="55" t="n"/>
      <c r="G330" s="55" t="n"/>
      <c r="H330" s="57" t="n"/>
      <c r="I330" s="57" t="n"/>
      <c r="J330" s="57" t="n"/>
      <c r="K330" s="57" t="n"/>
      <c r="L330" s="55" t="n"/>
      <c r="M330" s="55" t="n"/>
      <c r="N330" s="55" t="n"/>
      <c r="O330" s="55" t="n"/>
      <c r="P330" s="55" t="n"/>
      <c r="Q330" s="55" t="n"/>
      <c r="R330" s="58" t="n"/>
      <c r="S330" s="59">
        <f>IF(tblPlant[[#This Row],[Milled_t]]="","",tblPlant[[#This Row],[Milled_t]]*tblPlant[[#This Row],[Head_Grade_gpt]]/cfg_TroyOz)</f>
        <v/>
      </c>
      <c r="T330" s="59">
        <f>IF(tblPlant[[#This Row],[Milled_t]]="","",tblPlant[[#This Row],[Milled_t]]*tblPlant[[#This Row],[Tails_Grade_gpt]]/cfg_TroyOz)</f>
        <v/>
      </c>
      <c r="U330" s="59">
        <f>IF(tblPlant[[#This Row],[Milled_t]]="","",tblPlant[[#This Row],[Feed_oz]]-tblPlant[[#This Row],[Tails_oz]])</f>
        <v/>
      </c>
      <c r="V330" s="60">
        <f>IF(AND(tblPlant[[#This Row],[Milled_t]]&lt;&gt;"",tblPlant[[#This Row],[Feed_oz]]&gt;0),tblPlant[[#This Row],[Recovered_oz]]/tblPlant[[#This Row],[Feed_oz]],"")</f>
        <v/>
      </c>
      <c r="W330" s="59">
        <f>IF(AND(tblPlant[[#This Row],[Milled_t]]&lt;&gt;"",tblPlant[[#This Row],[Mill_Run_h]]&gt;0),tblPlant[[#This Row],[Milled_t]]/tblPlant[[#This Row],[Mill_Run_h]],"")</f>
        <v/>
      </c>
      <c r="X330" s="60">
        <f>IF(tblPlant[[#This Row],[Mill_Run_h]]="","",(24-tblPlant[[#This Row],[Mill_Planned_Maint_h]]-tblPlant[[#This Row],[Mill_Unplanned_Down_h]])/24)</f>
        <v/>
      </c>
      <c r="Y3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1">
      <c r="A331" s="54" t="n">
        <v>46348</v>
      </c>
      <c r="B331" s="55" t="n"/>
      <c r="C331" s="55" t="n"/>
      <c r="D331" s="56" t="n"/>
      <c r="E331" s="56" t="n"/>
      <c r="F331" s="55" t="n"/>
      <c r="G331" s="55" t="n"/>
      <c r="H331" s="57" t="n"/>
      <c r="I331" s="57" t="n"/>
      <c r="J331" s="57" t="n"/>
      <c r="K331" s="57" t="n"/>
      <c r="L331" s="55" t="n"/>
      <c r="M331" s="55" t="n"/>
      <c r="N331" s="55" t="n"/>
      <c r="O331" s="55" t="n"/>
      <c r="P331" s="55" t="n"/>
      <c r="Q331" s="55" t="n"/>
      <c r="R331" s="58" t="n"/>
      <c r="S331" s="59">
        <f>IF(tblPlant[[#This Row],[Milled_t]]="","",tblPlant[[#This Row],[Milled_t]]*tblPlant[[#This Row],[Head_Grade_gpt]]/cfg_TroyOz)</f>
        <v/>
      </c>
      <c r="T331" s="59">
        <f>IF(tblPlant[[#This Row],[Milled_t]]="","",tblPlant[[#This Row],[Milled_t]]*tblPlant[[#This Row],[Tails_Grade_gpt]]/cfg_TroyOz)</f>
        <v/>
      </c>
      <c r="U331" s="59">
        <f>IF(tblPlant[[#This Row],[Milled_t]]="","",tblPlant[[#This Row],[Feed_oz]]-tblPlant[[#This Row],[Tails_oz]])</f>
        <v/>
      </c>
      <c r="V331" s="60">
        <f>IF(AND(tblPlant[[#This Row],[Milled_t]]&lt;&gt;"",tblPlant[[#This Row],[Feed_oz]]&gt;0),tblPlant[[#This Row],[Recovered_oz]]/tblPlant[[#This Row],[Feed_oz]],"")</f>
        <v/>
      </c>
      <c r="W331" s="59">
        <f>IF(AND(tblPlant[[#This Row],[Milled_t]]&lt;&gt;"",tblPlant[[#This Row],[Mill_Run_h]]&gt;0),tblPlant[[#This Row],[Milled_t]]/tblPlant[[#This Row],[Mill_Run_h]],"")</f>
        <v/>
      </c>
      <c r="X331" s="60">
        <f>IF(tblPlant[[#This Row],[Mill_Run_h]]="","",(24-tblPlant[[#This Row],[Mill_Planned_Maint_h]]-tblPlant[[#This Row],[Mill_Unplanned_Down_h]])/24)</f>
        <v/>
      </c>
      <c r="Y3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2">
      <c r="A332" s="54" t="n">
        <v>46349</v>
      </c>
      <c r="B332" s="55" t="n"/>
      <c r="C332" s="55" t="n"/>
      <c r="D332" s="56" t="n"/>
      <c r="E332" s="56" t="n"/>
      <c r="F332" s="55" t="n"/>
      <c r="G332" s="55" t="n"/>
      <c r="H332" s="57" t="n"/>
      <c r="I332" s="57" t="n"/>
      <c r="J332" s="57" t="n"/>
      <c r="K332" s="57" t="n"/>
      <c r="L332" s="55" t="n"/>
      <c r="M332" s="55" t="n"/>
      <c r="N332" s="55" t="n"/>
      <c r="O332" s="55" t="n"/>
      <c r="P332" s="55" t="n"/>
      <c r="Q332" s="55" t="n"/>
      <c r="R332" s="58" t="n"/>
      <c r="S332" s="59">
        <f>IF(tblPlant[[#This Row],[Milled_t]]="","",tblPlant[[#This Row],[Milled_t]]*tblPlant[[#This Row],[Head_Grade_gpt]]/cfg_TroyOz)</f>
        <v/>
      </c>
      <c r="T332" s="59">
        <f>IF(tblPlant[[#This Row],[Milled_t]]="","",tblPlant[[#This Row],[Milled_t]]*tblPlant[[#This Row],[Tails_Grade_gpt]]/cfg_TroyOz)</f>
        <v/>
      </c>
      <c r="U332" s="59">
        <f>IF(tblPlant[[#This Row],[Milled_t]]="","",tblPlant[[#This Row],[Feed_oz]]-tblPlant[[#This Row],[Tails_oz]])</f>
        <v/>
      </c>
      <c r="V332" s="60">
        <f>IF(AND(tblPlant[[#This Row],[Milled_t]]&lt;&gt;"",tblPlant[[#This Row],[Feed_oz]]&gt;0),tblPlant[[#This Row],[Recovered_oz]]/tblPlant[[#This Row],[Feed_oz]],"")</f>
        <v/>
      </c>
      <c r="W332" s="59">
        <f>IF(AND(tblPlant[[#This Row],[Milled_t]]&lt;&gt;"",tblPlant[[#This Row],[Mill_Run_h]]&gt;0),tblPlant[[#This Row],[Milled_t]]/tblPlant[[#This Row],[Mill_Run_h]],"")</f>
        <v/>
      </c>
      <c r="X332" s="60">
        <f>IF(tblPlant[[#This Row],[Mill_Run_h]]="","",(24-tblPlant[[#This Row],[Mill_Planned_Maint_h]]-tblPlant[[#This Row],[Mill_Unplanned_Down_h]])/24)</f>
        <v/>
      </c>
      <c r="Y3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3">
      <c r="A333" s="54" t="n">
        <v>46350</v>
      </c>
      <c r="B333" s="55" t="n"/>
      <c r="C333" s="55" t="n"/>
      <c r="D333" s="56" t="n"/>
      <c r="E333" s="56" t="n"/>
      <c r="F333" s="55" t="n"/>
      <c r="G333" s="55" t="n"/>
      <c r="H333" s="57" t="n"/>
      <c r="I333" s="57" t="n"/>
      <c r="J333" s="57" t="n"/>
      <c r="K333" s="57" t="n"/>
      <c r="L333" s="55" t="n"/>
      <c r="M333" s="55" t="n"/>
      <c r="N333" s="55" t="n"/>
      <c r="O333" s="55" t="n"/>
      <c r="P333" s="55" t="n"/>
      <c r="Q333" s="55" t="n"/>
      <c r="R333" s="58" t="n"/>
      <c r="S333" s="59">
        <f>IF(tblPlant[[#This Row],[Milled_t]]="","",tblPlant[[#This Row],[Milled_t]]*tblPlant[[#This Row],[Head_Grade_gpt]]/cfg_TroyOz)</f>
        <v/>
      </c>
      <c r="T333" s="59">
        <f>IF(tblPlant[[#This Row],[Milled_t]]="","",tblPlant[[#This Row],[Milled_t]]*tblPlant[[#This Row],[Tails_Grade_gpt]]/cfg_TroyOz)</f>
        <v/>
      </c>
      <c r="U333" s="59">
        <f>IF(tblPlant[[#This Row],[Milled_t]]="","",tblPlant[[#This Row],[Feed_oz]]-tblPlant[[#This Row],[Tails_oz]])</f>
        <v/>
      </c>
      <c r="V333" s="60">
        <f>IF(AND(tblPlant[[#This Row],[Milled_t]]&lt;&gt;"",tblPlant[[#This Row],[Feed_oz]]&gt;0),tblPlant[[#This Row],[Recovered_oz]]/tblPlant[[#This Row],[Feed_oz]],"")</f>
        <v/>
      </c>
      <c r="W333" s="59">
        <f>IF(AND(tblPlant[[#This Row],[Milled_t]]&lt;&gt;"",tblPlant[[#This Row],[Mill_Run_h]]&gt;0),tblPlant[[#This Row],[Milled_t]]/tblPlant[[#This Row],[Mill_Run_h]],"")</f>
        <v/>
      </c>
      <c r="X333" s="60">
        <f>IF(tblPlant[[#This Row],[Mill_Run_h]]="","",(24-tblPlant[[#This Row],[Mill_Planned_Maint_h]]-tblPlant[[#This Row],[Mill_Unplanned_Down_h]])/24)</f>
        <v/>
      </c>
      <c r="Y3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4">
      <c r="A334" s="54" t="n">
        <v>46351</v>
      </c>
      <c r="B334" s="55" t="n"/>
      <c r="C334" s="55" t="n"/>
      <c r="D334" s="56" t="n"/>
      <c r="E334" s="56" t="n"/>
      <c r="F334" s="55" t="n"/>
      <c r="G334" s="55" t="n"/>
      <c r="H334" s="57" t="n"/>
      <c r="I334" s="57" t="n"/>
      <c r="J334" s="57" t="n"/>
      <c r="K334" s="57" t="n"/>
      <c r="L334" s="55" t="n"/>
      <c r="M334" s="55" t="n"/>
      <c r="N334" s="55" t="n"/>
      <c r="O334" s="55" t="n"/>
      <c r="P334" s="55" t="n"/>
      <c r="Q334" s="55" t="n"/>
      <c r="R334" s="58" t="n"/>
      <c r="S334" s="59">
        <f>IF(tblPlant[[#This Row],[Milled_t]]="","",tblPlant[[#This Row],[Milled_t]]*tblPlant[[#This Row],[Head_Grade_gpt]]/cfg_TroyOz)</f>
        <v/>
      </c>
      <c r="T334" s="59">
        <f>IF(tblPlant[[#This Row],[Milled_t]]="","",tblPlant[[#This Row],[Milled_t]]*tblPlant[[#This Row],[Tails_Grade_gpt]]/cfg_TroyOz)</f>
        <v/>
      </c>
      <c r="U334" s="59">
        <f>IF(tblPlant[[#This Row],[Milled_t]]="","",tblPlant[[#This Row],[Feed_oz]]-tblPlant[[#This Row],[Tails_oz]])</f>
        <v/>
      </c>
      <c r="V334" s="60">
        <f>IF(AND(tblPlant[[#This Row],[Milled_t]]&lt;&gt;"",tblPlant[[#This Row],[Feed_oz]]&gt;0),tblPlant[[#This Row],[Recovered_oz]]/tblPlant[[#This Row],[Feed_oz]],"")</f>
        <v/>
      </c>
      <c r="W334" s="59">
        <f>IF(AND(tblPlant[[#This Row],[Milled_t]]&lt;&gt;"",tblPlant[[#This Row],[Mill_Run_h]]&gt;0),tblPlant[[#This Row],[Milled_t]]/tblPlant[[#This Row],[Mill_Run_h]],"")</f>
        <v/>
      </c>
      <c r="X334" s="60">
        <f>IF(tblPlant[[#This Row],[Mill_Run_h]]="","",(24-tblPlant[[#This Row],[Mill_Planned_Maint_h]]-tblPlant[[#This Row],[Mill_Unplanned_Down_h]])/24)</f>
        <v/>
      </c>
      <c r="Y3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5">
      <c r="A335" s="54" t="n">
        <v>46352</v>
      </c>
      <c r="B335" s="55" t="n"/>
      <c r="C335" s="55" t="n"/>
      <c r="D335" s="56" t="n"/>
      <c r="E335" s="56" t="n"/>
      <c r="F335" s="55" t="n"/>
      <c r="G335" s="55" t="n"/>
      <c r="H335" s="57" t="n"/>
      <c r="I335" s="57" t="n"/>
      <c r="J335" s="57" t="n"/>
      <c r="K335" s="57" t="n"/>
      <c r="L335" s="55" t="n"/>
      <c r="M335" s="55" t="n"/>
      <c r="N335" s="55" t="n"/>
      <c r="O335" s="55" t="n"/>
      <c r="P335" s="55" t="n"/>
      <c r="Q335" s="55" t="n"/>
      <c r="R335" s="58" t="n"/>
      <c r="S335" s="59">
        <f>IF(tblPlant[[#This Row],[Milled_t]]="","",tblPlant[[#This Row],[Milled_t]]*tblPlant[[#This Row],[Head_Grade_gpt]]/cfg_TroyOz)</f>
        <v/>
      </c>
      <c r="T335" s="59">
        <f>IF(tblPlant[[#This Row],[Milled_t]]="","",tblPlant[[#This Row],[Milled_t]]*tblPlant[[#This Row],[Tails_Grade_gpt]]/cfg_TroyOz)</f>
        <v/>
      </c>
      <c r="U335" s="59">
        <f>IF(tblPlant[[#This Row],[Milled_t]]="","",tblPlant[[#This Row],[Feed_oz]]-tblPlant[[#This Row],[Tails_oz]])</f>
        <v/>
      </c>
      <c r="V335" s="60">
        <f>IF(AND(tblPlant[[#This Row],[Milled_t]]&lt;&gt;"",tblPlant[[#This Row],[Feed_oz]]&gt;0),tblPlant[[#This Row],[Recovered_oz]]/tblPlant[[#This Row],[Feed_oz]],"")</f>
        <v/>
      </c>
      <c r="W335" s="59">
        <f>IF(AND(tblPlant[[#This Row],[Milled_t]]&lt;&gt;"",tblPlant[[#This Row],[Mill_Run_h]]&gt;0),tblPlant[[#This Row],[Milled_t]]/tblPlant[[#This Row],[Mill_Run_h]],"")</f>
        <v/>
      </c>
      <c r="X335" s="60">
        <f>IF(tblPlant[[#This Row],[Mill_Run_h]]="","",(24-tblPlant[[#This Row],[Mill_Planned_Maint_h]]-tblPlant[[#This Row],[Mill_Unplanned_Down_h]])/24)</f>
        <v/>
      </c>
      <c r="Y3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6">
      <c r="A336" s="54" t="n">
        <v>46353</v>
      </c>
      <c r="B336" s="55" t="n"/>
      <c r="C336" s="55" t="n"/>
      <c r="D336" s="56" t="n"/>
      <c r="E336" s="56" t="n"/>
      <c r="F336" s="55" t="n"/>
      <c r="G336" s="55" t="n"/>
      <c r="H336" s="57" t="n"/>
      <c r="I336" s="57" t="n"/>
      <c r="J336" s="57" t="n"/>
      <c r="K336" s="57" t="n"/>
      <c r="L336" s="55" t="n"/>
      <c r="M336" s="55" t="n"/>
      <c r="N336" s="55" t="n"/>
      <c r="O336" s="55" t="n"/>
      <c r="P336" s="55" t="n"/>
      <c r="Q336" s="55" t="n"/>
      <c r="R336" s="58" t="n"/>
      <c r="S336" s="59">
        <f>IF(tblPlant[[#This Row],[Milled_t]]="","",tblPlant[[#This Row],[Milled_t]]*tblPlant[[#This Row],[Head_Grade_gpt]]/cfg_TroyOz)</f>
        <v/>
      </c>
      <c r="T336" s="59">
        <f>IF(tblPlant[[#This Row],[Milled_t]]="","",tblPlant[[#This Row],[Milled_t]]*tblPlant[[#This Row],[Tails_Grade_gpt]]/cfg_TroyOz)</f>
        <v/>
      </c>
      <c r="U336" s="59">
        <f>IF(tblPlant[[#This Row],[Milled_t]]="","",tblPlant[[#This Row],[Feed_oz]]-tblPlant[[#This Row],[Tails_oz]])</f>
        <v/>
      </c>
      <c r="V336" s="60">
        <f>IF(AND(tblPlant[[#This Row],[Milled_t]]&lt;&gt;"",tblPlant[[#This Row],[Feed_oz]]&gt;0),tblPlant[[#This Row],[Recovered_oz]]/tblPlant[[#This Row],[Feed_oz]],"")</f>
        <v/>
      </c>
      <c r="W336" s="59">
        <f>IF(AND(tblPlant[[#This Row],[Milled_t]]&lt;&gt;"",tblPlant[[#This Row],[Mill_Run_h]]&gt;0),tblPlant[[#This Row],[Milled_t]]/tblPlant[[#This Row],[Mill_Run_h]],"")</f>
        <v/>
      </c>
      <c r="X336" s="60">
        <f>IF(tblPlant[[#This Row],[Mill_Run_h]]="","",(24-tblPlant[[#This Row],[Mill_Planned_Maint_h]]-tblPlant[[#This Row],[Mill_Unplanned_Down_h]])/24)</f>
        <v/>
      </c>
      <c r="Y3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7">
      <c r="A337" s="54" t="n">
        <v>46354</v>
      </c>
      <c r="B337" s="55" t="n"/>
      <c r="C337" s="55" t="n"/>
      <c r="D337" s="56" t="n"/>
      <c r="E337" s="56" t="n"/>
      <c r="F337" s="55" t="n"/>
      <c r="G337" s="55" t="n"/>
      <c r="H337" s="57" t="n"/>
      <c r="I337" s="57" t="n"/>
      <c r="J337" s="57" t="n"/>
      <c r="K337" s="57" t="n"/>
      <c r="L337" s="55" t="n"/>
      <c r="M337" s="55" t="n"/>
      <c r="N337" s="55" t="n"/>
      <c r="O337" s="55" t="n"/>
      <c r="P337" s="55" t="n"/>
      <c r="Q337" s="55" t="n"/>
      <c r="R337" s="58" t="n"/>
      <c r="S337" s="59">
        <f>IF(tblPlant[[#This Row],[Milled_t]]="","",tblPlant[[#This Row],[Milled_t]]*tblPlant[[#This Row],[Head_Grade_gpt]]/cfg_TroyOz)</f>
        <v/>
      </c>
      <c r="T337" s="59">
        <f>IF(tblPlant[[#This Row],[Milled_t]]="","",tblPlant[[#This Row],[Milled_t]]*tblPlant[[#This Row],[Tails_Grade_gpt]]/cfg_TroyOz)</f>
        <v/>
      </c>
      <c r="U337" s="59">
        <f>IF(tblPlant[[#This Row],[Milled_t]]="","",tblPlant[[#This Row],[Feed_oz]]-tblPlant[[#This Row],[Tails_oz]])</f>
        <v/>
      </c>
      <c r="V337" s="60">
        <f>IF(AND(tblPlant[[#This Row],[Milled_t]]&lt;&gt;"",tblPlant[[#This Row],[Feed_oz]]&gt;0),tblPlant[[#This Row],[Recovered_oz]]/tblPlant[[#This Row],[Feed_oz]],"")</f>
        <v/>
      </c>
      <c r="W337" s="59">
        <f>IF(AND(tblPlant[[#This Row],[Milled_t]]&lt;&gt;"",tblPlant[[#This Row],[Mill_Run_h]]&gt;0),tblPlant[[#This Row],[Milled_t]]/tblPlant[[#This Row],[Mill_Run_h]],"")</f>
        <v/>
      </c>
      <c r="X337" s="60">
        <f>IF(tblPlant[[#This Row],[Mill_Run_h]]="","",(24-tblPlant[[#This Row],[Mill_Planned_Maint_h]]-tblPlant[[#This Row],[Mill_Unplanned_Down_h]])/24)</f>
        <v/>
      </c>
      <c r="Y3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8">
      <c r="A338" s="54" t="n">
        <v>46355</v>
      </c>
      <c r="B338" s="55" t="n"/>
      <c r="C338" s="55" t="n"/>
      <c r="D338" s="56" t="n"/>
      <c r="E338" s="56" t="n"/>
      <c r="F338" s="55" t="n"/>
      <c r="G338" s="55" t="n"/>
      <c r="H338" s="57" t="n"/>
      <c r="I338" s="57" t="n"/>
      <c r="J338" s="57" t="n"/>
      <c r="K338" s="57" t="n"/>
      <c r="L338" s="55" t="n"/>
      <c r="M338" s="55" t="n"/>
      <c r="N338" s="55" t="n"/>
      <c r="O338" s="55" t="n"/>
      <c r="P338" s="55" t="n"/>
      <c r="Q338" s="55" t="n"/>
      <c r="R338" s="58" t="n"/>
      <c r="S338" s="59">
        <f>IF(tblPlant[[#This Row],[Milled_t]]="","",tblPlant[[#This Row],[Milled_t]]*tblPlant[[#This Row],[Head_Grade_gpt]]/cfg_TroyOz)</f>
        <v/>
      </c>
      <c r="T338" s="59">
        <f>IF(tblPlant[[#This Row],[Milled_t]]="","",tblPlant[[#This Row],[Milled_t]]*tblPlant[[#This Row],[Tails_Grade_gpt]]/cfg_TroyOz)</f>
        <v/>
      </c>
      <c r="U338" s="59">
        <f>IF(tblPlant[[#This Row],[Milled_t]]="","",tblPlant[[#This Row],[Feed_oz]]-tblPlant[[#This Row],[Tails_oz]])</f>
        <v/>
      </c>
      <c r="V338" s="60">
        <f>IF(AND(tblPlant[[#This Row],[Milled_t]]&lt;&gt;"",tblPlant[[#This Row],[Feed_oz]]&gt;0),tblPlant[[#This Row],[Recovered_oz]]/tblPlant[[#This Row],[Feed_oz]],"")</f>
        <v/>
      </c>
      <c r="W338" s="59">
        <f>IF(AND(tblPlant[[#This Row],[Milled_t]]&lt;&gt;"",tblPlant[[#This Row],[Mill_Run_h]]&gt;0),tblPlant[[#This Row],[Milled_t]]/tblPlant[[#This Row],[Mill_Run_h]],"")</f>
        <v/>
      </c>
      <c r="X338" s="60">
        <f>IF(tblPlant[[#This Row],[Mill_Run_h]]="","",(24-tblPlant[[#This Row],[Mill_Planned_Maint_h]]-tblPlant[[#This Row],[Mill_Unplanned_Down_h]])/24)</f>
        <v/>
      </c>
      <c r="Y3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9">
      <c r="A339" s="54" t="n">
        <v>46356</v>
      </c>
      <c r="B339" s="55" t="n"/>
      <c r="C339" s="55" t="n"/>
      <c r="D339" s="56" t="n"/>
      <c r="E339" s="56" t="n"/>
      <c r="F339" s="55" t="n"/>
      <c r="G339" s="55" t="n"/>
      <c r="H339" s="57" t="n"/>
      <c r="I339" s="57" t="n"/>
      <c r="J339" s="57" t="n"/>
      <c r="K339" s="57" t="n"/>
      <c r="L339" s="55" t="n"/>
      <c r="M339" s="55" t="n"/>
      <c r="N339" s="55" t="n"/>
      <c r="O339" s="55" t="n"/>
      <c r="P339" s="55" t="n"/>
      <c r="Q339" s="55" t="n"/>
      <c r="R339" s="58" t="n"/>
      <c r="S339" s="59">
        <f>IF(tblPlant[[#This Row],[Milled_t]]="","",tblPlant[[#This Row],[Milled_t]]*tblPlant[[#This Row],[Head_Grade_gpt]]/cfg_TroyOz)</f>
        <v/>
      </c>
      <c r="T339" s="59">
        <f>IF(tblPlant[[#This Row],[Milled_t]]="","",tblPlant[[#This Row],[Milled_t]]*tblPlant[[#This Row],[Tails_Grade_gpt]]/cfg_TroyOz)</f>
        <v/>
      </c>
      <c r="U339" s="59">
        <f>IF(tblPlant[[#This Row],[Milled_t]]="","",tblPlant[[#This Row],[Feed_oz]]-tblPlant[[#This Row],[Tails_oz]])</f>
        <v/>
      </c>
      <c r="V339" s="60">
        <f>IF(AND(tblPlant[[#This Row],[Milled_t]]&lt;&gt;"",tblPlant[[#This Row],[Feed_oz]]&gt;0),tblPlant[[#This Row],[Recovered_oz]]/tblPlant[[#This Row],[Feed_oz]],"")</f>
        <v/>
      </c>
      <c r="W339" s="59">
        <f>IF(AND(tblPlant[[#This Row],[Milled_t]]&lt;&gt;"",tblPlant[[#This Row],[Mill_Run_h]]&gt;0),tblPlant[[#This Row],[Milled_t]]/tblPlant[[#This Row],[Mill_Run_h]],"")</f>
        <v/>
      </c>
      <c r="X339" s="60">
        <f>IF(tblPlant[[#This Row],[Mill_Run_h]]="","",(24-tblPlant[[#This Row],[Mill_Planned_Maint_h]]-tblPlant[[#This Row],[Mill_Unplanned_Down_h]])/24)</f>
        <v/>
      </c>
      <c r="Y3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0">
      <c r="A340" s="54" t="n">
        <v>46357</v>
      </c>
      <c r="B340" s="55" t="n"/>
      <c r="C340" s="55" t="n"/>
      <c r="D340" s="56" t="n"/>
      <c r="E340" s="56" t="n"/>
      <c r="F340" s="55" t="n"/>
      <c r="G340" s="55" t="n"/>
      <c r="H340" s="57" t="n"/>
      <c r="I340" s="57" t="n"/>
      <c r="J340" s="57" t="n"/>
      <c r="K340" s="57" t="n"/>
      <c r="L340" s="55" t="n"/>
      <c r="M340" s="55" t="n"/>
      <c r="N340" s="55" t="n"/>
      <c r="O340" s="55" t="n"/>
      <c r="P340" s="55" t="n"/>
      <c r="Q340" s="55" t="n"/>
      <c r="R340" s="58" t="n"/>
      <c r="S340" s="59">
        <f>IF(tblPlant[[#This Row],[Milled_t]]="","",tblPlant[[#This Row],[Milled_t]]*tblPlant[[#This Row],[Head_Grade_gpt]]/cfg_TroyOz)</f>
        <v/>
      </c>
      <c r="T340" s="59">
        <f>IF(tblPlant[[#This Row],[Milled_t]]="","",tblPlant[[#This Row],[Milled_t]]*tblPlant[[#This Row],[Tails_Grade_gpt]]/cfg_TroyOz)</f>
        <v/>
      </c>
      <c r="U340" s="59">
        <f>IF(tblPlant[[#This Row],[Milled_t]]="","",tblPlant[[#This Row],[Feed_oz]]-tblPlant[[#This Row],[Tails_oz]])</f>
        <v/>
      </c>
      <c r="V340" s="60">
        <f>IF(AND(tblPlant[[#This Row],[Milled_t]]&lt;&gt;"",tblPlant[[#This Row],[Feed_oz]]&gt;0),tblPlant[[#This Row],[Recovered_oz]]/tblPlant[[#This Row],[Feed_oz]],"")</f>
        <v/>
      </c>
      <c r="W340" s="59">
        <f>IF(AND(tblPlant[[#This Row],[Milled_t]]&lt;&gt;"",tblPlant[[#This Row],[Mill_Run_h]]&gt;0),tblPlant[[#This Row],[Milled_t]]/tblPlant[[#This Row],[Mill_Run_h]],"")</f>
        <v/>
      </c>
      <c r="X340" s="60">
        <f>IF(tblPlant[[#This Row],[Mill_Run_h]]="","",(24-tblPlant[[#This Row],[Mill_Planned_Maint_h]]-tblPlant[[#This Row],[Mill_Unplanned_Down_h]])/24)</f>
        <v/>
      </c>
      <c r="Y3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1">
      <c r="A341" s="54" t="n">
        <v>46358</v>
      </c>
      <c r="B341" s="55" t="n"/>
      <c r="C341" s="55" t="n"/>
      <c r="D341" s="56" t="n"/>
      <c r="E341" s="56" t="n"/>
      <c r="F341" s="55" t="n"/>
      <c r="G341" s="55" t="n"/>
      <c r="H341" s="57" t="n"/>
      <c r="I341" s="57" t="n"/>
      <c r="J341" s="57" t="n"/>
      <c r="K341" s="57" t="n"/>
      <c r="L341" s="55" t="n"/>
      <c r="M341" s="55" t="n"/>
      <c r="N341" s="55" t="n"/>
      <c r="O341" s="55" t="n"/>
      <c r="P341" s="55" t="n"/>
      <c r="Q341" s="55" t="n"/>
      <c r="R341" s="58" t="n"/>
      <c r="S341" s="59">
        <f>IF(tblPlant[[#This Row],[Milled_t]]="","",tblPlant[[#This Row],[Milled_t]]*tblPlant[[#This Row],[Head_Grade_gpt]]/cfg_TroyOz)</f>
        <v/>
      </c>
      <c r="T341" s="59">
        <f>IF(tblPlant[[#This Row],[Milled_t]]="","",tblPlant[[#This Row],[Milled_t]]*tblPlant[[#This Row],[Tails_Grade_gpt]]/cfg_TroyOz)</f>
        <v/>
      </c>
      <c r="U341" s="59">
        <f>IF(tblPlant[[#This Row],[Milled_t]]="","",tblPlant[[#This Row],[Feed_oz]]-tblPlant[[#This Row],[Tails_oz]])</f>
        <v/>
      </c>
      <c r="V341" s="60">
        <f>IF(AND(tblPlant[[#This Row],[Milled_t]]&lt;&gt;"",tblPlant[[#This Row],[Feed_oz]]&gt;0),tblPlant[[#This Row],[Recovered_oz]]/tblPlant[[#This Row],[Feed_oz]],"")</f>
        <v/>
      </c>
      <c r="W341" s="59">
        <f>IF(AND(tblPlant[[#This Row],[Milled_t]]&lt;&gt;"",tblPlant[[#This Row],[Mill_Run_h]]&gt;0),tblPlant[[#This Row],[Milled_t]]/tblPlant[[#This Row],[Mill_Run_h]],"")</f>
        <v/>
      </c>
      <c r="X341" s="60">
        <f>IF(tblPlant[[#This Row],[Mill_Run_h]]="","",(24-tblPlant[[#This Row],[Mill_Planned_Maint_h]]-tblPlant[[#This Row],[Mill_Unplanned_Down_h]])/24)</f>
        <v/>
      </c>
      <c r="Y3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2">
      <c r="A342" s="54" t="n">
        <v>46359</v>
      </c>
      <c r="B342" s="55" t="n"/>
      <c r="C342" s="55" t="n"/>
      <c r="D342" s="56" t="n"/>
      <c r="E342" s="56" t="n"/>
      <c r="F342" s="55" t="n"/>
      <c r="G342" s="55" t="n"/>
      <c r="H342" s="57" t="n"/>
      <c r="I342" s="57" t="n"/>
      <c r="J342" s="57" t="n"/>
      <c r="K342" s="57" t="n"/>
      <c r="L342" s="55" t="n"/>
      <c r="M342" s="55" t="n"/>
      <c r="N342" s="55" t="n"/>
      <c r="O342" s="55" t="n"/>
      <c r="P342" s="55" t="n"/>
      <c r="Q342" s="55" t="n"/>
      <c r="R342" s="58" t="n"/>
      <c r="S342" s="59">
        <f>IF(tblPlant[[#This Row],[Milled_t]]="","",tblPlant[[#This Row],[Milled_t]]*tblPlant[[#This Row],[Head_Grade_gpt]]/cfg_TroyOz)</f>
        <v/>
      </c>
      <c r="T342" s="59">
        <f>IF(tblPlant[[#This Row],[Milled_t]]="","",tblPlant[[#This Row],[Milled_t]]*tblPlant[[#This Row],[Tails_Grade_gpt]]/cfg_TroyOz)</f>
        <v/>
      </c>
      <c r="U342" s="59">
        <f>IF(tblPlant[[#This Row],[Milled_t]]="","",tblPlant[[#This Row],[Feed_oz]]-tblPlant[[#This Row],[Tails_oz]])</f>
        <v/>
      </c>
      <c r="V342" s="60">
        <f>IF(AND(tblPlant[[#This Row],[Milled_t]]&lt;&gt;"",tblPlant[[#This Row],[Feed_oz]]&gt;0),tblPlant[[#This Row],[Recovered_oz]]/tblPlant[[#This Row],[Feed_oz]],"")</f>
        <v/>
      </c>
      <c r="W342" s="59">
        <f>IF(AND(tblPlant[[#This Row],[Milled_t]]&lt;&gt;"",tblPlant[[#This Row],[Mill_Run_h]]&gt;0),tblPlant[[#This Row],[Milled_t]]/tblPlant[[#This Row],[Mill_Run_h]],"")</f>
        <v/>
      </c>
      <c r="X342" s="60">
        <f>IF(tblPlant[[#This Row],[Mill_Run_h]]="","",(24-tblPlant[[#This Row],[Mill_Planned_Maint_h]]-tblPlant[[#This Row],[Mill_Unplanned_Down_h]])/24)</f>
        <v/>
      </c>
      <c r="Y3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3">
      <c r="A343" s="54" t="n">
        <v>46360</v>
      </c>
      <c r="B343" s="55" t="n"/>
      <c r="C343" s="55" t="n"/>
      <c r="D343" s="56" t="n"/>
      <c r="E343" s="56" t="n"/>
      <c r="F343" s="55" t="n"/>
      <c r="G343" s="55" t="n"/>
      <c r="H343" s="57" t="n"/>
      <c r="I343" s="57" t="n"/>
      <c r="J343" s="57" t="n"/>
      <c r="K343" s="57" t="n"/>
      <c r="L343" s="55" t="n"/>
      <c r="M343" s="55" t="n"/>
      <c r="N343" s="55" t="n"/>
      <c r="O343" s="55" t="n"/>
      <c r="P343" s="55" t="n"/>
      <c r="Q343" s="55" t="n"/>
      <c r="R343" s="58" t="n"/>
      <c r="S343" s="59">
        <f>IF(tblPlant[[#This Row],[Milled_t]]="","",tblPlant[[#This Row],[Milled_t]]*tblPlant[[#This Row],[Head_Grade_gpt]]/cfg_TroyOz)</f>
        <v/>
      </c>
      <c r="T343" s="59">
        <f>IF(tblPlant[[#This Row],[Milled_t]]="","",tblPlant[[#This Row],[Milled_t]]*tblPlant[[#This Row],[Tails_Grade_gpt]]/cfg_TroyOz)</f>
        <v/>
      </c>
      <c r="U343" s="59">
        <f>IF(tblPlant[[#This Row],[Milled_t]]="","",tblPlant[[#This Row],[Feed_oz]]-tblPlant[[#This Row],[Tails_oz]])</f>
        <v/>
      </c>
      <c r="V343" s="60">
        <f>IF(AND(tblPlant[[#This Row],[Milled_t]]&lt;&gt;"",tblPlant[[#This Row],[Feed_oz]]&gt;0),tblPlant[[#This Row],[Recovered_oz]]/tblPlant[[#This Row],[Feed_oz]],"")</f>
        <v/>
      </c>
      <c r="W343" s="59">
        <f>IF(AND(tblPlant[[#This Row],[Milled_t]]&lt;&gt;"",tblPlant[[#This Row],[Mill_Run_h]]&gt;0),tblPlant[[#This Row],[Milled_t]]/tblPlant[[#This Row],[Mill_Run_h]],"")</f>
        <v/>
      </c>
      <c r="X343" s="60">
        <f>IF(tblPlant[[#This Row],[Mill_Run_h]]="","",(24-tblPlant[[#This Row],[Mill_Planned_Maint_h]]-tblPlant[[#This Row],[Mill_Unplanned_Down_h]])/24)</f>
        <v/>
      </c>
      <c r="Y3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4">
      <c r="A344" s="54" t="n">
        <v>46361</v>
      </c>
      <c r="B344" s="55" t="n"/>
      <c r="C344" s="55" t="n"/>
      <c r="D344" s="56" t="n"/>
      <c r="E344" s="56" t="n"/>
      <c r="F344" s="55" t="n"/>
      <c r="G344" s="55" t="n"/>
      <c r="H344" s="57" t="n"/>
      <c r="I344" s="57" t="n"/>
      <c r="J344" s="57" t="n"/>
      <c r="K344" s="57" t="n"/>
      <c r="L344" s="55" t="n"/>
      <c r="M344" s="55" t="n"/>
      <c r="N344" s="55" t="n"/>
      <c r="O344" s="55" t="n"/>
      <c r="P344" s="55" t="n"/>
      <c r="Q344" s="55" t="n"/>
      <c r="R344" s="58" t="n"/>
      <c r="S344" s="59">
        <f>IF(tblPlant[[#This Row],[Milled_t]]="","",tblPlant[[#This Row],[Milled_t]]*tblPlant[[#This Row],[Head_Grade_gpt]]/cfg_TroyOz)</f>
        <v/>
      </c>
      <c r="T344" s="59">
        <f>IF(tblPlant[[#This Row],[Milled_t]]="","",tblPlant[[#This Row],[Milled_t]]*tblPlant[[#This Row],[Tails_Grade_gpt]]/cfg_TroyOz)</f>
        <v/>
      </c>
      <c r="U344" s="59">
        <f>IF(tblPlant[[#This Row],[Milled_t]]="","",tblPlant[[#This Row],[Feed_oz]]-tblPlant[[#This Row],[Tails_oz]])</f>
        <v/>
      </c>
      <c r="V344" s="60">
        <f>IF(AND(tblPlant[[#This Row],[Milled_t]]&lt;&gt;"",tblPlant[[#This Row],[Feed_oz]]&gt;0),tblPlant[[#This Row],[Recovered_oz]]/tblPlant[[#This Row],[Feed_oz]],"")</f>
        <v/>
      </c>
      <c r="W344" s="59">
        <f>IF(AND(tblPlant[[#This Row],[Milled_t]]&lt;&gt;"",tblPlant[[#This Row],[Mill_Run_h]]&gt;0),tblPlant[[#This Row],[Milled_t]]/tblPlant[[#This Row],[Mill_Run_h]],"")</f>
        <v/>
      </c>
      <c r="X344" s="60">
        <f>IF(tblPlant[[#This Row],[Mill_Run_h]]="","",(24-tblPlant[[#This Row],[Mill_Planned_Maint_h]]-tblPlant[[#This Row],[Mill_Unplanned_Down_h]])/24)</f>
        <v/>
      </c>
      <c r="Y3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5">
      <c r="A345" s="54" t="n">
        <v>46362</v>
      </c>
      <c r="B345" s="55" t="n"/>
      <c r="C345" s="55" t="n"/>
      <c r="D345" s="56" t="n"/>
      <c r="E345" s="56" t="n"/>
      <c r="F345" s="55" t="n"/>
      <c r="G345" s="55" t="n"/>
      <c r="H345" s="57" t="n"/>
      <c r="I345" s="57" t="n"/>
      <c r="J345" s="57" t="n"/>
      <c r="K345" s="57" t="n"/>
      <c r="L345" s="55" t="n"/>
      <c r="M345" s="55" t="n"/>
      <c r="N345" s="55" t="n"/>
      <c r="O345" s="55" t="n"/>
      <c r="P345" s="55" t="n"/>
      <c r="Q345" s="55" t="n"/>
      <c r="R345" s="58" t="n"/>
      <c r="S345" s="59">
        <f>IF(tblPlant[[#This Row],[Milled_t]]="","",tblPlant[[#This Row],[Milled_t]]*tblPlant[[#This Row],[Head_Grade_gpt]]/cfg_TroyOz)</f>
        <v/>
      </c>
      <c r="T345" s="59">
        <f>IF(tblPlant[[#This Row],[Milled_t]]="","",tblPlant[[#This Row],[Milled_t]]*tblPlant[[#This Row],[Tails_Grade_gpt]]/cfg_TroyOz)</f>
        <v/>
      </c>
      <c r="U345" s="59">
        <f>IF(tblPlant[[#This Row],[Milled_t]]="","",tblPlant[[#This Row],[Feed_oz]]-tblPlant[[#This Row],[Tails_oz]])</f>
        <v/>
      </c>
      <c r="V345" s="60">
        <f>IF(AND(tblPlant[[#This Row],[Milled_t]]&lt;&gt;"",tblPlant[[#This Row],[Feed_oz]]&gt;0),tblPlant[[#This Row],[Recovered_oz]]/tblPlant[[#This Row],[Feed_oz]],"")</f>
        <v/>
      </c>
      <c r="W345" s="59">
        <f>IF(AND(tblPlant[[#This Row],[Milled_t]]&lt;&gt;"",tblPlant[[#This Row],[Mill_Run_h]]&gt;0),tblPlant[[#This Row],[Milled_t]]/tblPlant[[#This Row],[Mill_Run_h]],"")</f>
        <v/>
      </c>
      <c r="X345" s="60">
        <f>IF(tblPlant[[#This Row],[Mill_Run_h]]="","",(24-tblPlant[[#This Row],[Mill_Planned_Maint_h]]-tblPlant[[#This Row],[Mill_Unplanned_Down_h]])/24)</f>
        <v/>
      </c>
      <c r="Y3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6">
      <c r="A346" s="54" t="n">
        <v>46363</v>
      </c>
      <c r="B346" s="55" t="n"/>
      <c r="C346" s="55" t="n"/>
      <c r="D346" s="56" t="n"/>
      <c r="E346" s="56" t="n"/>
      <c r="F346" s="55" t="n"/>
      <c r="G346" s="55" t="n"/>
      <c r="H346" s="57" t="n"/>
      <c r="I346" s="57" t="n"/>
      <c r="J346" s="57" t="n"/>
      <c r="K346" s="57" t="n"/>
      <c r="L346" s="55" t="n"/>
      <c r="M346" s="55" t="n"/>
      <c r="N346" s="55" t="n"/>
      <c r="O346" s="55" t="n"/>
      <c r="P346" s="55" t="n"/>
      <c r="Q346" s="55" t="n"/>
      <c r="R346" s="58" t="n"/>
      <c r="S346" s="59">
        <f>IF(tblPlant[[#This Row],[Milled_t]]="","",tblPlant[[#This Row],[Milled_t]]*tblPlant[[#This Row],[Head_Grade_gpt]]/cfg_TroyOz)</f>
        <v/>
      </c>
      <c r="T346" s="59">
        <f>IF(tblPlant[[#This Row],[Milled_t]]="","",tblPlant[[#This Row],[Milled_t]]*tblPlant[[#This Row],[Tails_Grade_gpt]]/cfg_TroyOz)</f>
        <v/>
      </c>
      <c r="U346" s="59">
        <f>IF(tblPlant[[#This Row],[Milled_t]]="","",tblPlant[[#This Row],[Feed_oz]]-tblPlant[[#This Row],[Tails_oz]])</f>
        <v/>
      </c>
      <c r="V346" s="60">
        <f>IF(AND(tblPlant[[#This Row],[Milled_t]]&lt;&gt;"",tblPlant[[#This Row],[Feed_oz]]&gt;0),tblPlant[[#This Row],[Recovered_oz]]/tblPlant[[#This Row],[Feed_oz]],"")</f>
        <v/>
      </c>
      <c r="W346" s="59">
        <f>IF(AND(tblPlant[[#This Row],[Milled_t]]&lt;&gt;"",tblPlant[[#This Row],[Mill_Run_h]]&gt;0),tblPlant[[#This Row],[Milled_t]]/tblPlant[[#This Row],[Mill_Run_h]],"")</f>
        <v/>
      </c>
      <c r="X346" s="60">
        <f>IF(tblPlant[[#This Row],[Mill_Run_h]]="","",(24-tblPlant[[#This Row],[Mill_Planned_Maint_h]]-tblPlant[[#This Row],[Mill_Unplanned_Down_h]])/24)</f>
        <v/>
      </c>
      <c r="Y3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7">
      <c r="A347" s="54" t="n">
        <v>46364</v>
      </c>
      <c r="B347" s="55" t="n"/>
      <c r="C347" s="55" t="n"/>
      <c r="D347" s="56" t="n"/>
      <c r="E347" s="56" t="n"/>
      <c r="F347" s="55" t="n"/>
      <c r="G347" s="55" t="n"/>
      <c r="H347" s="57" t="n"/>
      <c r="I347" s="57" t="n"/>
      <c r="J347" s="57" t="n"/>
      <c r="K347" s="57" t="n"/>
      <c r="L347" s="55" t="n"/>
      <c r="M347" s="55" t="n"/>
      <c r="N347" s="55" t="n"/>
      <c r="O347" s="55" t="n"/>
      <c r="P347" s="55" t="n"/>
      <c r="Q347" s="55" t="n"/>
      <c r="R347" s="58" t="n"/>
      <c r="S347" s="59">
        <f>IF(tblPlant[[#This Row],[Milled_t]]="","",tblPlant[[#This Row],[Milled_t]]*tblPlant[[#This Row],[Head_Grade_gpt]]/cfg_TroyOz)</f>
        <v/>
      </c>
      <c r="T347" s="59">
        <f>IF(tblPlant[[#This Row],[Milled_t]]="","",tblPlant[[#This Row],[Milled_t]]*tblPlant[[#This Row],[Tails_Grade_gpt]]/cfg_TroyOz)</f>
        <v/>
      </c>
      <c r="U347" s="59">
        <f>IF(tblPlant[[#This Row],[Milled_t]]="","",tblPlant[[#This Row],[Feed_oz]]-tblPlant[[#This Row],[Tails_oz]])</f>
        <v/>
      </c>
      <c r="V347" s="60">
        <f>IF(AND(tblPlant[[#This Row],[Milled_t]]&lt;&gt;"",tblPlant[[#This Row],[Feed_oz]]&gt;0),tblPlant[[#This Row],[Recovered_oz]]/tblPlant[[#This Row],[Feed_oz]],"")</f>
        <v/>
      </c>
      <c r="W347" s="59">
        <f>IF(AND(tblPlant[[#This Row],[Milled_t]]&lt;&gt;"",tblPlant[[#This Row],[Mill_Run_h]]&gt;0),tblPlant[[#This Row],[Milled_t]]/tblPlant[[#This Row],[Mill_Run_h]],"")</f>
        <v/>
      </c>
      <c r="X347" s="60">
        <f>IF(tblPlant[[#This Row],[Mill_Run_h]]="","",(24-tblPlant[[#This Row],[Mill_Planned_Maint_h]]-tblPlant[[#This Row],[Mill_Unplanned_Down_h]])/24)</f>
        <v/>
      </c>
      <c r="Y3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8">
      <c r="A348" s="54" t="n">
        <v>46365</v>
      </c>
      <c r="B348" s="55" t="n"/>
      <c r="C348" s="55" t="n"/>
      <c r="D348" s="56" t="n"/>
      <c r="E348" s="56" t="n"/>
      <c r="F348" s="55" t="n"/>
      <c r="G348" s="55" t="n"/>
      <c r="H348" s="57" t="n"/>
      <c r="I348" s="57" t="n"/>
      <c r="J348" s="57" t="n"/>
      <c r="K348" s="57" t="n"/>
      <c r="L348" s="55" t="n"/>
      <c r="M348" s="55" t="n"/>
      <c r="N348" s="55" t="n"/>
      <c r="O348" s="55" t="n"/>
      <c r="P348" s="55" t="n"/>
      <c r="Q348" s="55" t="n"/>
      <c r="R348" s="58" t="n"/>
      <c r="S348" s="59">
        <f>IF(tblPlant[[#This Row],[Milled_t]]="","",tblPlant[[#This Row],[Milled_t]]*tblPlant[[#This Row],[Head_Grade_gpt]]/cfg_TroyOz)</f>
        <v/>
      </c>
      <c r="T348" s="59">
        <f>IF(tblPlant[[#This Row],[Milled_t]]="","",tblPlant[[#This Row],[Milled_t]]*tblPlant[[#This Row],[Tails_Grade_gpt]]/cfg_TroyOz)</f>
        <v/>
      </c>
      <c r="U348" s="59">
        <f>IF(tblPlant[[#This Row],[Milled_t]]="","",tblPlant[[#This Row],[Feed_oz]]-tblPlant[[#This Row],[Tails_oz]])</f>
        <v/>
      </c>
      <c r="V348" s="60">
        <f>IF(AND(tblPlant[[#This Row],[Milled_t]]&lt;&gt;"",tblPlant[[#This Row],[Feed_oz]]&gt;0),tblPlant[[#This Row],[Recovered_oz]]/tblPlant[[#This Row],[Feed_oz]],"")</f>
        <v/>
      </c>
      <c r="W348" s="59">
        <f>IF(AND(tblPlant[[#This Row],[Milled_t]]&lt;&gt;"",tblPlant[[#This Row],[Mill_Run_h]]&gt;0),tblPlant[[#This Row],[Milled_t]]/tblPlant[[#This Row],[Mill_Run_h]],"")</f>
        <v/>
      </c>
      <c r="X348" s="60">
        <f>IF(tblPlant[[#This Row],[Mill_Run_h]]="","",(24-tblPlant[[#This Row],[Mill_Planned_Maint_h]]-tblPlant[[#This Row],[Mill_Unplanned_Down_h]])/24)</f>
        <v/>
      </c>
      <c r="Y3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9">
      <c r="A349" s="54" t="n">
        <v>46366</v>
      </c>
      <c r="B349" s="55" t="n"/>
      <c r="C349" s="55" t="n"/>
      <c r="D349" s="56" t="n"/>
      <c r="E349" s="56" t="n"/>
      <c r="F349" s="55" t="n"/>
      <c r="G349" s="55" t="n"/>
      <c r="H349" s="57" t="n"/>
      <c r="I349" s="57" t="n"/>
      <c r="J349" s="57" t="n"/>
      <c r="K349" s="57" t="n"/>
      <c r="L349" s="55" t="n"/>
      <c r="M349" s="55" t="n"/>
      <c r="N349" s="55" t="n"/>
      <c r="O349" s="55" t="n"/>
      <c r="P349" s="55" t="n"/>
      <c r="Q349" s="55" t="n"/>
      <c r="R349" s="58" t="n"/>
      <c r="S349" s="59">
        <f>IF(tblPlant[[#This Row],[Milled_t]]="","",tblPlant[[#This Row],[Milled_t]]*tblPlant[[#This Row],[Head_Grade_gpt]]/cfg_TroyOz)</f>
        <v/>
      </c>
      <c r="T349" s="59">
        <f>IF(tblPlant[[#This Row],[Milled_t]]="","",tblPlant[[#This Row],[Milled_t]]*tblPlant[[#This Row],[Tails_Grade_gpt]]/cfg_TroyOz)</f>
        <v/>
      </c>
      <c r="U349" s="59">
        <f>IF(tblPlant[[#This Row],[Milled_t]]="","",tblPlant[[#This Row],[Feed_oz]]-tblPlant[[#This Row],[Tails_oz]])</f>
        <v/>
      </c>
      <c r="V349" s="60">
        <f>IF(AND(tblPlant[[#This Row],[Milled_t]]&lt;&gt;"",tblPlant[[#This Row],[Feed_oz]]&gt;0),tblPlant[[#This Row],[Recovered_oz]]/tblPlant[[#This Row],[Feed_oz]],"")</f>
        <v/>
      </c>
      <c r="W349" s="59">
        <f>IF(AND(tblPlant[[#This Row],[Milled_t]]&lt;&gt;"",tblPlant[[#This Row],[Mill_Run_h]]&gt;0),tblPlant[[#This Row],[Milled_t]]/tblPlant[[#This Row],[Mill_Run_h]],"")</f>
        <v/>
      </c>
      <c r="X349" s="60">
        <f>IF(tblPlant[[#This Row],[Mill_Run_h]]="","",(24-tblPlant[[#This Row],[Mill_Planned_Maint_h]]-tblPlant[[#This Row],[Mill_Unplanned_Down_h]])/24)</f>
        <v/>
      </c>
      <c r="Y3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0">
      <c r="A350" s="54" t="n">
        <v>46367</v>
      </c>
      <c r="B350" s="55" t="n"/>
      <c r="C350" s="55" t="n"/>
      <c r="D350" s="56" t="n"/>
      <c r="E350" s="56" t="n"/>
      <c r="F350" s="55" t="n"/>
      <c r="G350" s="55" t="n"/>
      <c r="H350" s="57" t="n"/>
      <c r="I350" s="57" t="n"/>
      <c r="J350" s="57" t="n"/>
      <c r="K350" s="57" t="n"/>
      <c r="L350" s="55" t="n"/>
      <c r="M350" s="55" t="n"/>
      <c r="N350" s="55" t="n"/>
      <c r="O350" s="55" t="n"/>
      <c r="P350" s="55" t="n"/>
      <c r="Q350" s="55" t="n"/>
      <c r="R350" s="58" t="n"/>
      <c r="S350" s="59">
        <f>IF(tblPlant[[#This Row],[Milled_t]]="","",tblPlant[[#This Row],[Milled_t]]*tblPlant[[#This Row],[Head_Grade_gpt]]/cfg_TroyOz)</f>
        <v/>
      </c>
      <c r="T350" s="59">
        <f>IF(tblPlant[[#This Row],[Milled_t]]="","",tblPlant[[#This Row],[Milled_t]]*tblPlant[[#This Row],[Tails_Grade_gpt]]/cfg_TroyOz)</f>
        <v/>
      </c>
      <c r="U350" s="59">
        <f>IF(tblPlant[[#This Row],[Milled_t]]="","",tblPlant[[#This Row],[Feed_oz]]-tblPlant[[#This Row],[Tails_oz]])</f>
        <v/>
      </c>
      <c r="V350" s="60">
        <f>IF(AND(tblPlant[[#This Row],[Milled_t]]&lt;&gt;"",tblPlant[[#This Row],[Feed_oz]]&gt;0),tblPlant[[#This Row],[Recovered_oz]]/tblPlant[[#This Row],[Feed_oz]],"")</f>
        <v/>
      </c>
      <c r="W350" s="59">
        <f>IF(AND(tblPlant[[#This Row],[Milled_t]]&lt;&gt;"",tblPlant[[#This Row],[Mill_Run_h]]&gt;0),tblPlant[[#This Row],[Milled_t]]/tblPlant[[#This Row],[Mill_Run_h]],"")</f>
        <v/>
      </c>
      <c r="X350" s="60">
        <f>IF(tblPlant[[#This Row],[Mill_Run_h]]="","",(24-tblPlant[[#This Row],[Mill_Planned_Maint_h]]-tblPlant[[#This Row],[Mill_Unplanned_Down_h]])/24)</f>
        <v/>
      </c>
      <c r="Y3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1">
      <c r="A351" s="54" t="n">
        <v>46368</v>
      </c>
      <c r="B351" s="55" t="n"/>
      <c r="C351" s="55" t="n"/>
      <c r="D351" s="56" t="n"/>
      <c r="E351" s="56" t="n"/>
      <c r="F351" s="55" t="n"/>
      <c r="G351" s="55" t="n"/>
      <c r="H351" s="57" t="n"/>
      <c r="I351" s="57" t="n"/>
      <c r="J351" s="57" t="n"/>
      <c r="K351" s="57" t="n"/>
      <c r="L351" s="55" t="n"/>
      <c r="M351" s="55" t="n"/>
      <c r="N351" s="55" t="n"/>
      <c r="O351" s="55" t="n"/>
      <c r="P351" s="55" t="n"/>
      <c r="Q351" s="55" t="n"/>
      <c r="R351" s="58" t="n"/>
      <c r="S351" s="59">
        <f>IF(tblPlant[[#This Row],[Milled_t]]="","",tblPlant[[#This Row],[Milled_t]]*tblPlant[[#This Row],[Head_Grade_gpt]]/cfg_TroyOz)</f>
        <v/>
      </c>
      <c r="T351" s="59">
        <f>IF(tblPlant[[#This Row],[Milled_t]]="","",tblPlant[[#This Row],[Milled_t]]*tblPlant[[#This Row],[Tails_Grade_gpt]]/cfg_TroyOz)</f>
        <v/>
      </c>
      <c r="U351" s="59">
        <f>IF(tblPlant[[#This Row],[Milled_t]]="","",tblPlant[[#This Row],[Feed_oz]]-tblPlant[[#This Row],[Tails_oz]])</f>
        <v/>
      </c>
      <c r="V351" s="60">
        <f>IF(AND(tblPlant[[#This Row],[Milled_t]]&lt;&gt;"",tblPlant[[#This Row],[Feed_oz]]&gt;0),tblPlant[[#This Row],[Recovered_oz]]/tblPlant[[#This Row],[Feed_oz]],"")</f>
        <v/>
      </c>
      <c r="W351" s="59">
        <f>IF(AND(tblPlant[[#This Row],[Milled_t]]&lt;&gt;"",tblPlant[[#This Row],[Mill_Run_h]]&gt;0),tblPlant[[#This Row],[Milled_t]]/tblPlant[[#This Row],[Mill_Run_h]],"")</f>
        <v/>
      </c>
      <c r="X351" s="60">
        <f>IF(tblPlant[[#This Row],[Mill_Run_h]]="","",(24-tblPlant[[#This Row],[Mill_Planned_Maint_h]]-tblPlant[[#This Row],[Mill_Unplanned_Down_h]])/24)</f>
        <v/>
      </c>
      <c r="Y3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2">
      <c r="A352" s="54" t="n">
        <v>46369</v>
      </c>
      <c r="B352" s="55" t="n"/>
      <c r="C352" s="55" t="n"/>
      <c r="D352" s="56" t="n"/>
      <c r="E352" s="56" t="n"/>
      <c r="F352" s="55" t="n"/>
      <c r="G352" s="55" t="n"/>
      <c r="H352" s="57" t="n"/>
      <c r="I352" s="57" t="n"/>
      <c r="J352" s="57" t="n"/>
      <c r="K352" s="57" t="n"/>
      <c r="L352" s="55" t="n"/>
      <c r="M352" s="55" t="n"/>
      <c r="N352" s="55" t="n"/>
      <c r="O352" s="55" t="n"/>
      <c r="P352" s="55" t="n"/>
      <c r="Q352" s="55" t="n"/>
      <c r="R352" s="58" t="n"/>
      <c r="S352" s="59">
        <f>IF(tblPlant[[#This Row],[Milled_t]]="","",tblPlant[[#This Row],[Milled_t]]*tblPlant[[#This Row],[Head_Grade_gpt]]/cfg_TroyOz)</f>
        <v/>
      </c>
      <c r="T352" s="59">
        <f>IF(tblPlant[[#This Row],[Milled_t]]="","",tblPlant[[#This Row],[Milled_t]]*tblPlant[[#This Row],[Tails_Grade_gpt]]/cfg_TroyOz)</f>
        <v/>
      </c>
      <c r="U352" s="59">
        <f>IF(tblPlant[[#This Row],[Milled_t]]="","",tblPlant[[#This Row],[Feed_oz]]-tblPlant[[#This Row],[Tails_oz]])</f>
        <v/>
      </c>
      <c r="V352" s="60">
        <f>IF(AND(tblPlant[[#This Row],[Milled_t]]&lt;&gt;"",tblPlant[[#This Row],[Feed_oz]]&gt;0),tblPlant[[#This Row],[Recovered_oz]]/tblPlant[[#This Row],[Feed_oz]],"")</f>
        <v/>
      </c>
      <c r="W352" s="59">
        <f>IF(AND(tblPlant[[#This Row],[Milled_t]]&lt;&gt;"",tblPlant[[#This Row],[Mill_Run_h]]&gt;0),tblPlant[[#This Row],[Milled_t]]/tblPlant[[#This Row],[Mill_Run_h]],"")</f>
        <v/>
      </c>
      <c r="X352" s="60">
        <f>IF(tblPlant[[#This Row],[Mill_Run_h]]="","",(24-tblPlant[[#This Row],[Mill_Planned_Maint_h]]-tblPlant[[#This Row],[Mill_Unplanned_Down_h]])/24)</f>
        <v/>
      </c>
      <c r="Y3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3">
      <c r="A353" s="54" t="n">
        <v>46370</v>
      </c>
      <c r="B353" s="55" t="n"/>
      <c r="C353" s="55" t="n"/>
      <c r="D353" s="56" t="n"/>
      <c r="E353" s="56" t="n"/>
      <c r="F353" s="55" t="n"/>
      <c r="G353" s="55" t="n"/>
      <c r="H353" s="57" t="n"/>
      <c r="I353" s="57" t="n"/>
      <c r="J353" s="57" t="n"/>
      <c r="K353" s="57" t="n"/>
      <c r="L353" s="55" t="n"/>
      <c r="M353" s="55" t="n"/>
      <c r="N353" s="55" t="n"/>
      <c r="O353" s="55" t="n"/>
      <c r="P353" s="55" t="n"/>
      <c r="Q353" s="55" t="n"/>
      <c r="R353" s="58" t="n"/>
      <c r="S353" s="59">
        <f>IF(tblPlant[[#This Row],[Milled_t]]="","",tblPlant[[#This Row],[Milled_t]]*tblPlant[[#This Row],[Head_Grade_gpt]]/cfg_TroyOz)</f>
        <v/>
      </c>
      <c r="T353" s="59">
        <f>IF(tblPlant[[#This Row],[Milled_t]]="","",tblPlant[[#This Row],[Milled_t]]*tblPlant[[#This Row],[Tails_Grade_gpt]]/cfg_TroyOz)</f>
        <v/>
      </c>
      <c r="U353" s="59">
        <f>IF(tblPlant[[#This Row],[Milled_t]]="","",tblPlant[[#This Row],[Feed_oz]]-tblPlant[[#This Row],[Tails_oz]])</f>
        <v/>
      </c>
      <c r="V353" s="60">
        <f>IF(AND(tblPlant[[#This Row],[Milled_t]]&lt;&gt;"",tblPlant[[#This Row],[Feed_oz]]&gt;0),tblPlant[[#This Row],[Recovered_oz]]/tblPlant[[#This Row],[Feed_oz]],"")</f>
        <v/>
      </c>
      <c r="W353" s="59">
        <f>IF(AND(tblPlant[[#This Row],[Milled_t]]&lt;&gt;"",tblPlant[[#This Row],[Mill_Run_h]]&gt;0),tblPlant[[#This Row],[Milled_t]]/tblPlant[[#This Row],[Mill_Run_h]],"")</f>
        <v/>
      </c>
      <c r="X353" s="60">
        <f>IF(tblPlant[[#This Row],[Mill_Run_h]]="","",(24-tblPlant[[#This Row],[Mill_Planned_Maint_h]]-tblPlant[[#This Row],[Mill_Unplanned_Down_h]])/24)</f>
        <v/>
      </c>
      <c r="Y3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4">
      <c r="A354" s="54" t="n">
        <v>46371</v>
      </c>
      <c r="B354" s="55" t="n"/>
      <c r="C354" s="55" t="n"/>
      <c r="D354" s="56" t="n"/>
      <c r="E354" s="56" t="n"/>
      <c r="F354" s="55" t="n"/>
      <c r="G354" s="55" t="n"/>
      <c r="H354" s="57" t="n"/>
      <c r="I354" s="57" t="n"/>
      <c r="J354" s="57" t="n"/>
      <c r="K354" s="57" t="n"/>
      <c r="L354" s="55" t="n"/>
      <c r="M354" s="55" t="n"/>
      <c r="N354" s="55" t="n"/>
      <c r="O354" s="55" t="n"/>
      <c r="P354" s="55" t="n"/>
      <c r="Q354" s="55" t="n"/>
      <c r="R354" s="58" t="n"/>
      <c r="S354" s="59">
        <f>IF(tblPlant[[#This Row],[Milled_t]]="","",tblPlant[[#This Row],[Milled_t]]*tblPlant[[#This Row],[Head_Grade_gpt]]/cfg_TroyOz)</f>
        <v/>
      </c>
      <c r="T354" s="59">
        <f>IF(tblPlant[[#This Row],[Milled_t]]="","",tblPlant[[#This Row],[Milled_t]]*tblPlant[[#This Row],[Tails_Grade_gpt]]/cfg_TroyOz)</f>
        <v/>
      </c>
      <c r="U354" s="59">
        <f>IF(tblPlant[[#This Row],[Milled_t]]="","",tblPlant[[#This Row],[Feed_oz]]-tblPlant[[#This Row],[Tails_oz]])</f>
        <v/>
      </c>
      <c r="V354" s="60">
        <f>IF(AND(tblPlant[[#This Row],[Milled_t]]&lt;&gt;"",tblPlant[[#This Row],[Feed_oz]]&gt;0),tblPlant[[#This Row],[Recovered_oz]]/tblPlant[[#This Row],[Feed_oz]],"")</f>
        <v/>
      </c>
      <c r="W354" s="59">
        <f>IF(AND(tblPlant[[#This Row],[Milled_t]]&lt;&gt;"",tblPlant[[#This Row],[Mill_Run_h]]&gt;0),tblPlant[[#This Row],[Milled_t]]/tblPlant[[#This Row],[Mill_Run_h]],"")</f>
        <v/>
      </c>
      <c r="X354" s="60">
        <f>IF(tblPlant[[#This Row],[Mill_Run_h]]="","",(24-tblPlant[[#This Row],[Mill_Planned_Maint_h]]-tblPlant[[#This Row],[Mill_Unplanned_Down_h]])/24)</f>
        <v/>
      </c>
      <c r="Y3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5">
      <c r="A355" s="54" t="n">
        <v>46372</v>
      </c>
      <c r="B355" s="55" t="n"/>
      <c r="C355" s="55" t="n"/>
      <c r="D355" s="56" t="n"/>
      <c r="E355" s="56" t="n"/>
      <c r="F355" s="55" t="n"/>
      <c r="G355" s="55" t="n"/>
      <c r="H355" s="57" t="n"/>
      <c r="I355" s="57" t="n"/>
      <c r="J355" s="57" t="n"/>
      <c r="K355" s="57" t="n"/>
      <c r="L355" s="55" t="n"/>
      <c r="M355" s="55" t="n"/>
      <c r="N355" s="55" t="n"/>
      <c r="O355" s="55" t="n"/>
      <c r="P355" s="55" t="n"/>
      <c r="Q355" s="55" t="n"/>
      <c r="R355" s="58" t="n"/>
      <c r="S355" s="59">
        <f>IF(tblPlant[[#This Row],[Milled_t]]="","",tblPlant[[#This Row],[Milled_t]]*tblPlant[[#This Row],[Head_Grade_gpt]]/cfg_TroyOz)</f>
        <v/>
      </c>
      <c r="T355" s="59">
        <f>IF(tblPlant[[#This Row],[Milled_t]]="","",tblPlant[[#This Row],[Milled_t]]*tblPlant[[#This Row],[Tails_Grade_gpt]]/cfg_TroyOz)</f>
        <v/>
      </c>
      <c r="U355" s="59">
        <f>IF(tblPlant[[#This Row],[Milled_t]]="","",tblPlant[[#This Row],[Feed_oz]]-tblPlant[[#This Row],[Tails_oz]])</f>
        <v/>
      </c>
      <c r="V355" s="60">
        <f>IF(AND(tblPlant[[#This Row],[Milled_t]]&lt;&gt;"",tblPlant[[#This Row],[Feed_oz]]&gt;0),tblPlant[[#This Row],[Recovered_oz]]/tblPlant[[#This Row],[Feed_oz]],"")</f>
        <v/>
      </c>
      <c r="W355" s="59">
        <f>IF(AND(tblPlant[[#This Row],[Milled_t]]&lt;&gt;"",tblPlant[[#This Row],[Mill_Run_h]]&gt;0),tblPlant[[#This Row],[Milled_t]]/tblPlant[[#This Row],[Mill_Run_h]],"")</f>
        <v/>
      </c>
      <c r="X355" s="60">
        <f>IF(tblPlant[[#This Row],[Mill_Run_h]]="","",(24-tblPlant[[#This Row],[Mill_Planned_Maint_h]]-tblPlant[[#This Row],[Mill_Unplanned_Down_h]])/24)</f>
        <v/>
      </c>
      <c r="Y3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6">
      <c r="A356" s="54" t="n">
        <v>46373</v>
      </c>
      <c r="B356" s="55" t="n"/>
      <c r="C356" s="55" t="n"/>
      <c r="D356" s="56" t="n"/>
      <c r="E356" s="56" t="n"/>
      <c r="F356" s="55" t="n"/>
      <c r="G356" s="55" t="n"/>
      <c r="H356" s="57" t="n"/>
      <c r="I356" s="57" t="n"/>
      <c r="J356" s="57" t="n"/>
      <c r="K356" s="57" t="n"/>
      <c r="L356" s="55" t="n"/>
      <c r="M356" s="55" t="n"/>
      <c r="N356" s="55" t="n"/>
      <c r="O356" s="55" t="n"/>
      <c r="P356" s="55" t="n"/>
      <c r="Q356" s="55" t="n"/>
      <c r="R356" s="58" t="n"/>
      <c r="S356" s="59">
        <f>IF(tblPlant[[#This Row],[Milled_t]]="","",tblPlant[[#This Row],[Milled_t]]*tblPlant[[#This Row],[Head_Grade_gpt]]/cfg_TroyOz)</f>
        <v/>
      </c>
      <c r="T356" s="59">
        <f>IF(tblPlant[[#This Row],[Milled_t]]="","",tblPlant[[#This Row],[Milled_t]]*tblPlant[[#This Row],[Tails_Grade_gpt]]/cfg_TroyOz)</f>
        <v/>
      </c>
      <c r="U356" s="59">
        <f>IF(tblPlant[[#This Row],[Milled_t]]="","",tblPlant[[#This Row],[Feed_oz]]-tblPlant[[#This Row],[Tails_oz]])</f>
        <v/>
      </c>
      <c r="V356" s="60">
        <f>IF(AND(tblPlant[[#This Row],[Milled_t]]&lt;&gt;"",tblPlant[[#This Row],[Feed_oz]]&gt;0),tblPlant[[#This Row],[Recovered_oz]]/tblPlant[[#This Row],[Feed_oz]],"")</f>
        <v/>
      </c>
      <c r="W356" s="59">
        <f>IF(AND(tblPlant[[#This Row],[Milled_t]]&lt;&gt;"",tblPlant[[#This Row],[Mill_Run_h]]&gt;0),tblPlant[[#This Row],[Milled_t]]/tblPlant[[#This Row],[Mill_Run_h]],"")</f>
        <v/>
      </c>
      <c r="X356" s="60">
        <f>IF(tblPlant[[#This Row],[Mill_Run_h]]="","",(24-tblPlant[[#This Row],[Mill_Planned_Maint_h]]-tblPlant[[#This Row],[Mill_Unplanned_Down_h]])/24)</f>
        <v/>
      </c>
      <c r="Y3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7">
      <c r="A357" s="54" t="n">
        <v>46374</v>
      </c>
      <c r="B357" s="55" t="n"/>
      <c r="C357" s="55" t="n"/>
      <c r="D357" s="56" t="n"/>
      <c r="E357" s="56" t="n"/>
      <c r="F357" s="55" t="n"/>
      <c r="G357" s="55" t="n"/>
      <c r="H357" s="57" t="n"/>
      <c r="I357" s="57" t="n"/>
      <c r="J357" s="57" t="n"/>
      <c r="K357" s="57" t="n"/>
      <c r="L357" s="55" t="n"/>
      <c r="M357" s="55" t="n"/>
      <c r="N357" s="55" t="n"/>
      <c r="O357" s="55" t="n"/>
      <c r="P357" s="55" t="n"/>
      <c r="Q357" s="55" t="n"/>
      <c r="R357" s="58" t="n"/>
      <c r="S357" s="59">
        <f>IF(tblPlant[[#This Row],[Milled_t]]="","",tblPlant[[#This Row],[Milled_t]]*tblPlant[[#This Row],[Head_Grade_gpt]]/cfg_TroyOz)</f>
        <v/>
      </c>
      <c r="T357" s="59">
        <f>IF(tblPlant[[#This Row],[Milled_t]]="","",tblPlant[[#This Row],[Milled_t]]*tblPlant[[#This Row],[Tails_Grade_gpt]]/cfg_TroyOz)</f>
        <v/>
      </c>
      <c r="U357" s="59">
        <f>IF(tblPlant[[#This Row],[Milled_t]]="","",tblPlant[[#This Row],[Feed_oz]]-tblPlant[[#This Row],[Tails_oz]])</f>
        <v/>
      </c>
      <c r="V357" s="60">
        <f>IF(AND(tblPlant[[#This Row],[Milled_t]]&lt;&gt;"",tblPlant[[#This Row],[Feed_oz]]&gt;0),tblPlant[[#This Row],[Recovered_oz]]/tblPlant[[#This Row],[Feed_oz]],"")</f>
        <v/>
      </c>
      <c r="W357" s="59">
        <f>IF(AND(tblPlant[[#This Row],[Milled_t]]&lt;&gt;"",tblPlant[[#This Row],[Mill_Run_h]]&gt;0),tblPlant[[#This Row],[Milled_t]]/tblPlant[[#This Row],[Mill_Run_h]],"")</f>
        <v/>
      </c>
      <c r="X357" s="60">
        <f>IF(tblPlant[[#This Row],[Mill_Run_h]]="","",(24-tblPlant[[#This Row],[Mill_Planned_Maint_h]]-tblPlant[[#This Row],[Mill_Unplanned_Down_h]])/24)</f>
        <v/>
      </c>
      <c r="Y3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8">
      <c r="A358" s="54" t="n">
        <v>46375</v>
      </c>
      <c r="B358" s="55" t="n"/>
      <c r="C358" s="55" t="n"/>
      <c r="D358" s="56" t="n"/>
      <c r="E358" s="56" t="n"/>
      <c r="F358" s="55" t="n"/>
      <c r="G358" s="55" t="n"/>
      <c r="H358" s="57" t="n"/>
      <c r="I358" s="57" t="n"/>
      <c r="J358" s="57" t="n"/>
      <c r="K358" s="57" t="n"/>
      <c r="L358" s="55" t="n"/>
      <c r="M358" s="55" t="n"/>
      <c r="N358" s="55" t="n"/>
      <c r="O358" s="55" t="n"/>
      <c r="P358" s="55" t="n"/>
      <c r="Q358" s="55" t="n"/>
      <c r="R358" s="58" t="n"/>
      <c r="S358" s="59">
        <f>IF(tblPlant[[#This Row],[Milled_t]]="","",tblPlant[[#This Row],[Milled_t]]*tblPlant[[#This Row],[Head_Grade_gpt]]/cfg_TroyOz)</f>
        <v/>
      </c>
      <c r="T358" s="59">
        <f>IF(tblPlant[[#This Row],[Milled_t]]="","",tblPlant[[#This Row],[Milled_t]]*tblPlant[[#This Row],[Tails_Grade_gpt]]/cfg_TroyOz)</f>
        <v/>
      </c>
      <c r="U358" s="59">
        <f>IF(tblPlant[[#This Row],[Milled_t]]="","",tblPlant[[#This Row],[Feed_oz]]-tblPlant[[#This Row],[Tails_oz]])</f>
        <v/>
      </c>
      <c r="V358" s="60">
        <f>IF(AND(tblPlant[[#This Row],[Milled_t]]&lt;&gt;"",tblPlant[[#This Row],[Feed_oz]]&gt;0),tblPlant[[#This Row],[Recovered_oz]]/tblPlant[[#This Row],[Feed_oz]],"")</f>
        <v/>
      </c>
      <c r="W358" s="59">
        <f>IF(AND(tblPlant[[#This Row],[Milled_t]]&lt;&gt;"",tblPlant[[#This Row],[Mill_Run_h]]&gt;0),tblPlant[[#This Row],[Milled_t]]/tblPlant[[#This Row],[Mill_Run_h]],"")</f>
        <v/>
      </c>
      <c r="X358" s="60">
        <f>IF(tblPlant[[#This Row],[Mill_Run_h]]="","",(24-tblPlant[[#This Row],[Mill_Planned_Maint_h]]-tblPlant[[#This Row],[Mill_Unplanned_Down_h]])/24)</f>
        <v/>
      </c>
      <c r="Y3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9">
      <c r="A359" s="54" t="n">
        <v>46376</v>
      </c>
      <c r="B359" s="55" t="n"/>
      <c r="C359" s="55" t="n"/>
      <c r="D359" s="56" t="n"/>
      <c r="E359" s="56" t="n"/>
      <c r="F359" s="55" t="n"/>
      <c r="G359" s="55" t="n"/>
      <c r="H359" s="57" t="n"/>
      <c r="I359" s="57" t="n"/>
      <c r="J359" s="57" t="n"/>
      <c r="K359" s="57" t="n"/>
      <c r="L359" s="55" t="n"/>
      <c r="M359" s="55" t="n"/>
      <c r="N359" s="55" t="n"/>
      <c r="O359" s="55" t="n"/>
      <c r="P359" s="55" t="n"/>
      <c r="Q359" s="55" t="n"/>
      <c r="R359" s="58" t="n"/>
      <c r="S359" s="59">
        <f>IF(tblPlant[[#This Row],[Milled_t]]="","",tblPlant[[#This Row],[Milled_t]]*tblPlant[[#This Row],[Head_Grade_gpt]]/cfg_TroyOz)</f>
        <v/>
      </c>
      <c r="T359" s="59">
        <f>IF(tblPlant[[#This Row],[Milled_t]]="","",tblPlant[[#This Row],[Milled_t]]*tblPlant[[#This Row],[Tails_Grade_gpt]]/cfg_TroyOz)</f>
        <v/>
      </c>
      <c r="U359" s="59">
        <f>IF(tblPlant[[#This Row],[Milled_t]]="","",tblPlant[[#This Row],[Feed_oz]]-tblPlant[[#This Row],[Tails_oz]])</f>
        <v/>
      </c>
      <c r="V359" s="60">
        <f>IF(AND(tblPlant[[#This Row],[Milled_t]]&lt;&gt;"",tblPlant[[#This Row],[Feed_oz]]&gt;0),tblPlant[[#This Row],[Recovered_oz]]/tblPlant[[#This Row],[Feed_oz]],"")</f>
        <v/>
      </c>
      <c r="W359" s="59">
        <f>IF(AND(tblPlant[[#This Row],[Milled_t]]&lt;&gt;"",tblPlant[[#This Row],[Mill_Run_h]]&gt;0),tblPlant[[#This Row],[Milled_t]]/tblPlant[[#This Row],[Mill_Run_h]],"")</f>
        <v/>
      </c>
      <c r="X359" s="60">
        <f>IF(tblPlant[[#This Row],[Mill_Run_h]]="","",(24-tblPlant[[#This Row],[Mill_Planned_Maint_h]]-tblPlant[[#This Row],[Mill_Unplanned_Down_h]])/24)</f>
        <v/>
      </c>
      <c r="Y3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0">
      <c r="A360" s="54" t="n">
        <v>46377</v>
      </c>
      <c r="B360" s="55" t="n"/>
      <c r="C360" s="55" t="n"/>
      <c r="D360" s="56" t="n"/>
      <c r="E360" s="56" t="n"/>
      <c r="F360" s="55" t="n"/>
      <c r="G360" s="55" t="n"/>
      <c r="H360" s="57" t="n"/>
      <c r="I360" s="57" t="n"/>
      <c r="J360" s="57" t="n"/>
      <c r="K360" s="57" t="n"/>
      <c r="L360" s="55" t="n"/>
      <c r="M360" s="55" t="n"/>
      <c r="N360" s="55" t="n"/>
      <c r="O360" s="55" t="n"/>
      <c r="P360" s="55" t="n"/>
      <c r="Q360" s="55" t="n"/>
      <c r="R360" s="58" t="n"/>
      <c r="S360" s="59">
        <f>IF(tblPlant[[#This Row],[Milled_t]]="","",tblPlant[[#This Row],[Milled_t]]*tblPlant[[#This Row],[Head_Grade_gpt]]/cfg_TroyOz)</f>
        <v/>
      </c>
      <c r="T360" s="59">
        <f>IF(tblPlant[[#This Row],[Milled_t]]="","",tblPlant[[#This Row],[Milled_t]]*tblPlant[[#This Row],[Tails_Grade_gpt]]/cfg_TroyOz)</f>
        <v/>
      </c>
      <c r="U360" s="59">
        <f>IF(tblPlant[[#This Row],[Milled_t]]="","",tblPlant[[#This Row],[Feed_oz]]-tblPlant[[#This Row],[Tails_oz]])</f>
        <v/>
      </c>
      <c r="V360" s="60">
        <f>IF(AND(tblPlant[[#This Row],[Milled_t]]&lt;&gt;"",tblPlant[[#This Row],[Feed_oz]]&gt;0),tblPlant[[#This Row],[Recovered_oz]]/tblPlant[[#This Row],[Feed_oz]],"")</f>
        <v/>
      </c>
      <c r="W360" s="59">
        <f>IF(AND(tblPlant[[#This Row],[Milled_t]]&lt;&gt;"",tblPlant[[#This Row],[Mill_Run_h]]&gt;0),tblPlant[[#This Row],[Milled_t]]/tblPlant[[#This Row],[Mill_Run_h]],"")</f>
        <v/>
      </c>
      <c r="X360" s="60">
        <f>IF(tblPlant[[#This Row],[Mill_Run_h]]="","",(24-tblPlant[[#This Row],[Mill_Planned_Maint_h]]-tblPlant[[#This Row],[Mill_Unplanned_Down_h]])/24)</f>
        <v/>
      </c>
      <c r="Y3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1">
      <c r="A361" s="54" t="n">
        <v>46378</v>
      </c>
      <c r="B361" s="55" t="n"/>
      <c r="C361" s="55" t="n"/>
      <c r="D361" s="56" t="n"/>
      <c r="E361" s="56" t="n"/>
      <c r="F361" s="55" t="n"/>
      <c r="G361" s="55" t="n"/>
      <c r="H361" s="57" t="n"/>
      <c r="I361" s="57" t="n"/>
      <c r="J361" s="57" t="n"/>
      <c r="K361" s="57" t="n"/>
      <c r="L361" s="55" t="n"/>
      <c r="M361" s="55" t="n"/>
      <c r="N361" s="55" t="n"/>
      <c r="O361" s="55" t="n"/>
      <c r="P361" s="55" t="n"/>
      <c r="Q361" s="55" t="n"/>
      <c r="R361" s="58" t="n"/>
      <c r="S361" s="59">
        <f>IF(tblPlant[[#This Row],[Milled_t]]="","",tblPlant[[#This Row],[Milled_t]]*tblPlant[[#This Row],[Head_Grade_gpt]]/cfg_TroyOz)</f>
        <v/>
      </c>
      <c r="T361" s="59">
        <f>IF(tblPlant[[#This Row],[Milled_t]]="","",tblPlant[[#This Row],[Milled_t]]*tblPlant[[#This Row],[Tails_Grade_gpt]]/cfg_TroyOz)</f>
        <v/>
      </c>
      <c r="U361" s="59">
        <f>IF(tblPlant[[#This Row],[Milled_t]]="","",tblPlant[[#This Row],[Feed_oz]]-tblPlant[[#This Row],[Tails_oz]])</f>
        <v/>
      </c>
      <c r="V361" s="60">
        <f>IF(AND(tblPlant[[#This Row],[Milled_t]]&lt;&gt;"",tblPlant[[#This Row],[Feed_oz]]&gt;0),tblPlant[[#This Row],[Recovered_oz]]/tblPlant[[#This Row],[Feed_oz]],"")</f>
        <v/>
      </c>
      <c r="W361" s="59">
        <f>IF(AND(tblPlant[[#This Row],[Milled_t]]&lt;&gt;"",tblPlant[[#This Row],[Mill_Run_h]]&gt;0),tblPlant[[#This Row],[Milled_t]]/tblPlant[[#This Row],[Mill_Run_h]],"")</f>
        <v/>
      </c>
      <c r="X361" s="60">
        <f>IF(tblPlant[[#This Row],[Mill_Run_h]]="","",(24-tblPlant[[#This Row],[Mill_Planned_Maint_h]]-tblPlant[[#This Row],[Mill_Unplanned_Down_h]])/24)</f>
        <v/>
      </c>
      <c r="Y3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2">
      <c r="A362" s="54" t="n">
        <v>46379</v>
      </c>
      <c r="B362" s="55" t="n"/>
      <c r="C362" s="55" t="n"/>
      <c r="D362" s="56" t="n"/>
      <c r="E362" s="56" t="n"/>
      <c r="F362" s="55" t="n"/>
      <c r="G362" s="55" t="n"/>
      <c r="H362" s="57" t="n"/>
      <c r="I362" s="57" t="n"/>
      <c r="J362" s="57" t="n"/>
      <c r="K362" s="57" t="n"/>
      <c r="L362" s="55" t="n"/>
      <c r="M362" s="55" t="n"/>
      <c r="N362" s="55" t="n"/>
      <c r="O362" s="55" t="n"/>
      <c r="P362" s="55" t="n"/>
      <c r="Q362" s="55" t="n"/>
      <c r="R362" s="58" t="n"/>
      <c r="S362" s="59">
        <f>IF(tblPlant[[#This Row],[Milled_t]]="","",tblPlant[[#This Row],[Milled_t]]*tblPlant[[#This Row],[Head_Grade_gpt]]/cfg_TroyOz)</f>
        <v/>
      </c>
      <c r="T362" s="59">
        <f>IF(tblPlant[[#This Row],[Milled_t]]="","",tblPlant[[#This Row],[Milled_t]]*tblPlant[[#This Row],[Tails_Grade_gpt]]/cfg_TroyOz)</f>
        <v/>
      </c>
      <c r="U362" s="59">
        <f>IF(tblPlant[[#This Row],[Milled_t]]="","",tblPlant[[#This Row],[Feed_oz]]-tblPlant[[#This Row],[Tails_oz]])</f>
        <v/>
      </c>
      <c r="V362" s="60">
        <f>IF(AND(tblPlant[[#This Row],[Milled_t]]&lt;&gt;"",tblPlant[[#This Row],[Feed_oz]]&gt;0),tblPlant[[#This Row],[Recovered_oz]]/tblPlant[[#This Row],[Feed_oz]],"")</f>
        <v/>
      </c>
      <c r="W362" s="59">
        <f>IF(AND(tblPlant[[#This Row],[Milled_t]]&lt;&gt;"",tblPlant[[#This Row],[Mill_Run_h]]&gt;0),tblPlant[[#This Row],[Milled_t]]/tblPlant[[#This Row],[Mill_Run_h]],"")</f>
        <v/>
      </c>
      <c r="X362" s="60">
        <f>IF(tblPlant[[#This Row],[Mill_Run_h]]="","",(24-tblPlant[[#This Row],[Mill_Planned_Maint_h]]-tblPlant[[#This Row],[Mill_Unplanned_Down_h]])/24)</f>
        <v/>
      </c>
      <c r="Y3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3">
      <c r="A363" s="54" t="n">
        <v>46380</v>
      </c>
      <c r="B363" s="55" t="n"/>
      <c r="C363" s="55" t="n"/>
      <c r="D363" s="56" t="n"/>
      <c r="E363" s="56" t="n"/>
      <c r="F363" s="55" t="n"/>
      <c r="G363" s="55" t="n"/>
      <c r="H363" s="57" t="n"/>
      <c r="I363" s="57" t="n"/>
      <c r="J363" s="57" t="n"/>
      <c r="K363" s="57" t="n"/>
      <c r="L363" s="55" t="n"/>
      <c r="M363" s="55" t="n"/>
      <c r="N363" s="55" t="n"/>
      <c r="O363" s="55" t="n"/>
      <c r="P363" s="55" t="n"/>
      <c r="Q363" s="55" t="n"/>
      <c r="R363" s="58" t="n"/>
      <c r="S363" s="59">
        <f>IF(tblPlant[[#This Row],[Milled_t]]="","",tblPlant[[#This Row],[Milled_t]]*tblPlant[[#This Row],[Head_Grade_gpt]]/cfg_TroyOz)</f>
        <v/>
      </c>
      <c r="T363" s="59">
        <f>IF(tblPlant[[#This Row],[Milled_t]]="","",tblPlant[[#This Row],[Milled_t]]*tblPlant[[#This Row],[Tails_Grade_gpt]]/cfg_TroyOz)</f>
        <v/>
      </c>
      <c r="U363" s="59">
        <f>IF(tblPlant[[#This Row],[Milled_t]]="","",tblPlant[[#This Row],[Feed_oz]]-tblPlant[[#This Row],[Tails_oz]])</f>
        <v/>
      </c>
      <c r="V363" s="60">
        <f>IF(AND(tblPlant[[#This Row],[Milled_t]]&lt;&gt;"",tblPlant[[#This Row],[Feed_oz]]&gt;0),tblPlant[[#This Row],[Recovered_oz]]/tblPlant[[#This Row],[Feed_oz]],"")</f>
        <v/>
      </c>
      <c r="W363" s="59">
        <f>IF(AND(tblPlant[[#This Row],[Milled_t]]&lt;&gt;"",tblPlant[[#This Row],[Mill_Run_h]]&gt;0),tblPlant[[#This Row],[Milled_t]]/tblPlant[[#This Row],[Mill_Run_h]],"")</f>
        <v/>
      </c>
      <c r="X363" s="60">
        <f>IF(tblPlant[[#This Row],[Mill_Run_h]]="","",(24-tblPlant[[#This Row],[Mill_Planned_Maint_h]]-tblPlant[[#This Row],[Mill_Unplanned_Down_h]])/24)</f>
        <v/>
      </c>
      <c r="Y3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4">
      <c r="A364" s="54" t="n">
        <v>46381</v>
      </c>
      <c r="B364" s="55" t="n"/>
      <c r="C364" s="55" t="n"/>
      <c r="D364" s="56" t="n"/>
      <c r="E364" s="56" t="n"/>
      <c r="F364" s="55" t="n"/>
      <c r="G364" s="55" t="n"/>
      <c r="H364" s="57" t="n"/>
      <c r="I364" s="57" t="n"/>
      <c r="J364" s="57" t="n"/>
      <c r="K364" s="57" t="n"/>
      <c r="L364" s="55" t="n"/>
      <c r="M364" s="55" t="n"/>
      <c r="N364" s="55" t="n"/>
      <c r="O364" s="55" t="n"/>
      <c r="P364" s="55" t="n"/>
      <c r="Q364" s="55" t="n"/>
      <c r="R364" s="58" t="n"/>
      <c r="S364" s="59">
        <f>IF(tblPlant[[#This Row],[Milled_t]]="","",tblPlant[[#This Row],[Milled_t]]*tblPlant[[#This Row],[Head_Grade_gpt]]/cfg_TroyOz)</f>
        <v/>
      </c>
      <c r="T364" s="59">
        <f>IF(tblPlant[[#This Row],[Milled_t]]="","",tblPlant[[#This Row],[Milled_t]]*tblPlant[[#This Row],[Tails_Grade_gpt]]/cfg_TroyOz)</f>
        <v/>
      </c>
      <c r="U364" s="59">
        <f>IF(tblPlant[[#This Row],[Milled_t]]="","",tblPlant[[#This Row],[Feed_oz]]-tblPlant[[#This Row],[Tails_oz]])</f>
        <v/>
      </c>
      <c r="V364" s="60">
        <f>IF(AND(tblPlant[[#This Row],[Milled_t]]&lt;&gt;"",tblPlant[[#This Row],[Feed_oz]]&gt;0),tblPlant[[#This Row],[Recovered_oz]]/tblPlant[[#This Row],[Feed_oz]],"")</f>
        <v/>
      </c>
      <c r="W364" s="59">
        <f>IF(AND(tblPlant[[#This Row],[Milled_t]]&lt;&gt;"",tblPlant[[#This Row],[Mill_Run_h]]&gt;0),tblPlant[[#This Row],[Milled_t]]/tblPlant[[#This Row],[Mill_Run_h]],"")</f>
        <v/>
      </c>
      <c r="X364" s="60">
        <f>IF(tblPlant[[#This Row],[Mill_Run_h]]="","",(24-tblPlant[[#This Row],[Mill_Planned_Maint_h]]-tblPlant[[#This Row],[Mill_Unplanned_Down_h]])/24)</f>
        <v/>
      </c>
      <c r="Y3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5">
      <c r="A365" s="54" t="n">
        <v>46382</v>
      </c>
      <c r="B365" s="55" t="n"/>
      <c r="C365" s="55" t="n"/>
      <c r="D365" s="56" t="n"/>
      <c r="E365" s="56" t="n"/>
      <c r="F365" s="55" t="n"/>
      <c r="G365" s="55" t="n"/>
      <c r="H365" s="57" t="n"/>
      <c r="I365" s="57" t="n"/>
      <c r="J365" s="57" t="n"/>
      <c r="K365" s="57" t="n"/>
      <c r="L365" s="55" t="n"/>
      <c r="M365" s="55" t="n"/>
      <c r="N365" s="55" t="n"/>
      <c r="O365" s="55" t="n"/>
      <c r="P365" s="55" t="n"/>
      <c r="Q365" s="55" t="n"/>
      <c r="R365" s="58" t="n"/>
      <c r="S365" s="59">
        <f>IF(tblPlant[[#This Row],[Milled_t]]="","",tblPlant[[#This Row],[Milled_t]]*tblPlant[[#This Row],[Head_Grade_gpt]]/cfg_TroyOz)</f>
        <v/>
      </c>
      <c r="T365" s="59">
        <f>IF(tblPlant[[#This Row],[Milled_t]]="","",tblPlant[[#This Row],[Milled_t]]*tblPlant[[#This Row],[Tails_Grade_gpt]]/cfg_TroyOz)</f>
        <v/>
      </c>
      <c r="U365" s="59">
        <f>IF(tblPlant[[#This Row],[Milled_t]]="","",tblPlant[[#This Row],[Feed_oz]]-tblPlant[[#This Row],[Tails_oz]])</f>
        <v/>
      </c>
      <c r="V365" s="60">
        <f>IF(AND(tblPlant[[#This Row],[Milled_t]]&lt;&gt;"",tblPlant[[#This Row],[Feed_oz]]&gt;0),tblPlant[[#This Row],[Recovered_oz]]/tblPlant[[#This Row],[Feed_oz]],"")</f>
        <v/>
      </c>
      <c r="W365" s="59">
        <f>IF(AND(tblPlant[[#This Row],[Milled_t]]&lt;&gt;"",tblPlant[[#This Row],[Mill_Run_h]]&gt;0),tblPlant[[#This Row],[Milled_t]]/tblPlant[[#This Row],[Mill_Run_h]],"")</f>
        <v/>
      </c>
      <c r="X365" s="60">
        <f>IF(tblPlant[[#This Row],[Mill_Run_h]]="","",(24-tblPlant[[#This Row],[Mill_Planned_Maint_h]]-tblPlant[[#This Row],[Mill_Unplanned_Down_h]])/24)</f>
        <v/>
      </c>
      <c r="Y3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6">
      <c r="A366" s="54" t="n">
        <v>46383</v>
      </c>
      <c r="B366" s="55" t="n"/>
      <c r="C366" s="55" t="n"/>
      <c r="D366" s="56" t="n"/>
      <c r="E366" s="56" t="n"/>
      <c r="F366" s="55" t="n"/>
      <c r="G366" s="55" t="n"/>
      <c r="H366" s="57" t="n"/>
      <c r="I366" s="57" t="n"/>
      <c r="J366" s="57" t="n"/>
      <c r="K366" s="57" t="n"/>
      <c r="L366" s="55" t="n"/>
      <c r="M366" s="55" t="n"/>
      <c r="N366" s="55" t="n"/>
      <c r="O366" s="55" t="n"/>
      <c r="P366" s="55" t="n"/>
      <c r="Q366" s="55" t="n"/>
      <c r="R366" s="58" t="n"/>
      <c r="S366" s="59">
        <f>IF(tblPlant[[#This Row],[Milled_t]]="","",tblPlant[[#This Row],[Milled_t]]*tblPlant[[#This Row],[Head_Grade_gpt]]/cfg_TroyOz)</f>
        <v/>
      </c>
      <c r="T366" s="59">
        <f>IF(tblPlant[[#This Row],[Milled_t]]="","",tblPlant[[#This Row],[Milled_t]]*tblPlant[[#This Row],[Tails_Grade_gpt]]/cfg_TroyOz)</f>
        <v/>
      </c>
      <c r="U366" s="59">
        <f>IF(tblPlant[[#This Row],[Milled_t]]="","",tblPlant[[#This Row],[Feed_oz]]-tblPlant[[#This Row],[Tails_oz]])</f>
        <v/>
      </c>
      <c r="V366" s="60">
        <f>IF(AND(tblPlant[[#This Row],[Milled_t]]&lt;&gt;"",tblPlant[[#This Row],[Feed_oz]]&gt;0),tblPlant[[#This Row],[Recovered_oz]]/tblPlant[[#This Row],[Feed_oz]],"")</f>
        <v/>
      </c>
      <c r="W366" s="59">
        <f>IF(AND(tblPlant[[#This Row],[Milled_t]]&lt;&gt;"",tblPlant[[#This Row],[Mill_Run_h]]&gt;0),tblPlant[[#This Row],[Milled_t]]/tblPlant[[#This Row],[Mill_Run_h]],"")</f>
        <v/>
      </c>
      <c r="X366" s="60">
        <f>IF(tblPlant[[#This Row],[Mill_Run_h]]="","",(24-tblPlant[[#This Row],[Mill_Planned_Maint_h]]-tblPlant[[#This Row],[Mill_Unplanned_Down_h]])/24)</f>
        <v/>
      </c>
      <c r="Y3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7">
      <c r="A367" s="54" t="n">
        <v>46384</v>
      </c>
      <c r="B367" s="55" t="n"/>
      <c r="C367" s="55" t="n"/>
      <c r="D367" s="56" t="n"/>
      <c r="E367" s="56" t="n"/>
      <c r="F367" s="55" t="n"/>
      <c r="G367" s="55" t="n"/>
      <c r="H367" s="57" t="n"/>
      <c r="I367" s="57" t="n"/>
      <c r="J367" s="57" t="n"/>
      <c r="K367" s="57" t="n"/>
      <c r="L367" s="55" t="n"/>
      <c r="M367" s="55" t="n"/>
      <c r="N367" s="55" t="n"/>
      <c r="O367" s="55" t="n"/>
      <c r="P367" s="55" t="n"/>
      <c r="Q367" s="55" t="n"/>
      <c r="R367" s="58" t="n"/>
      <c r="S367" s="59">
        <f>IF(tblPlant[[#This Row],[Milled_t]]="","",tblPlant[[#This Row],[Milled_t]]*tblPlant[[#This Row],[Head_Grade_gpt]]/cfg_TroyOz)</f>
        <v/>
      </c>
      <c r="T367" s="59">
        <f>IF(tblPlant[[#This Row],[Milled_t]]="","",tblPlant[[#This Row],[Milled_t]]*tblPlant[[#This Row],[Tails_Grade_gpt]]/cfg_TroyOz)</f>
        <v/>
      </c>
      <c r="U367" s="59">
        <f>IF(tblPlant[[#This Row],[Milled_t]]="","",tblPlant[[#This Row],[Feed_oz]]-tblPlant[[#This Row],[Tails_oz]])</f>
        <v/>
      </c>
      <c r="V367" s="60">
        <f>IF(AND(tblPlant[[#This Row],[Milled_t]]&lt;&gt;"",tblPlant[[#This Row],[Feed_oz]]&gt;0),tblPlant[[#This Row],[Recovered_oz]]/tblPlant[[#This Row],[Feed_oz]],"")</f>
        <v/>
      </c>
      <c r="W367" s="59">
        <f>IF(AND(tblPlant[[#This Row],[Milled_t]]&lt;&gt;"",tblPlant[[#This Row],[Mill_Run_h]]&gt;0),tblPlant[[#This Row],[Milled_t]]/tblPlant[[#This Row],[Mill_Run_h]],"")</f>
        <v/>
      </c>
      <c r="X367" s="60">
        <f>IF(tblPlant[[#This Row],[Mill_Run_h]]="","",(24-tblPlant[[#This Row],[Mill_Planned_Maint_h]]-tblPlant[[#This Row],[Mill_Unplanned_Down_h]])/24)</f>
        <v/>
      </c>
      <c r="Y3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8">
      <c r="A368" s="54" t="n">
        <v>46385</v>
      </c>
      <c r="B368" s="55" t="n"/>
      <c r="C368" s="55" t="n"/>
      <c r="D368" s="56" t="n"/>
      <c r="E368" s="56" t="n"/>
      <c r="F368" s="55" t="n"/>
      <c r="G368" s="55" t="n"/>
      <c r="H368" s="57" t="n"/>
      <c r="I368" s="57" t="n"/>
      <c r="J368" s="57" t="n"/>
      <c r="K368" s="57" t="n"/>
      <c r="L368" s="55" t="n"/>
      <c r="M368" s="55" t="n"/>
      <c r="N368" s="55" t="n"/>
      <c r="O368" s="55" t="n"/>
      <c r="P368" s="55" t="n"/>
      <c r="Q368" s="55" t="n"/>
      <c r="R368" s="58" t="n"/>
      <c r="S368" s="59">
        <f>IF(tblPlant[[#This Row],[Milled_t]]="","",tblPlant[[#This Row],[Milled_t]]*tblPlant[[#This Row],[Head_Grade_gpt]]/cfg_TroyOz)</f>
        <v/>
      </c>
      <c r="T368" s="59">
        <f>IF(tblPlant[[#This Row],[Milled_t]]="","",tblPlant[[#This Row],[Milled_t]]*tblPlant[[#This Row],[Tails_Grade_gpt]]/cfg_TroyOz)</f>
        <v/>
      </c>
      <c r="U368" s="59">
        <f>IF(tblPlant[[#This Row],[Milled_t]]="","",tblPlant[[#This Row],[Feed_oz]]-tblPlant[[#This Row],[Tails_oz]])</f>
        <v/>
      </c>
      <c r="V368" s="60">
        <f>IF(AND(tblPlant[[#This Row],[Milled_t]]&lt;&gt;"",tblPlant[[#This Row],[Feed_oz]]&gt;0),tblPlant[[#This Row],[Recovered_oz]]/tblPlant[[#This Row],[Feed_oz]],"")</f>
        <v/>
      </c>
      <c r="W368" s="59">
        <f>IF(AND(tblPlant[[#This Row],[Milled_t]]&lt;&gt;"",tblPlant[[#This Row],[Mill_Run_h]]&gt;0),tblPlant[[#This Row],[Milled_t]]/tblPlant[[#This Row],[Mill_Run_h]],"")</f>
        <v/>
      </c>
      <c r="X368" s="60">
        <f>IF(tblPlant[[#This Row],[Mill_Run_h]]="","",(24-tblPlant[[#This Row],[Mill_Planned_Maint_h]]-tblPlant[[#This Row],[Mill_Unplanned_Down_h]])/24)</f>
        <v/>
      </c>
      <c r="Y3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9">
      <c r="A369" s="54" t="n">
        <v>46386</v>
      </c>
      <c r="B369" s="55" t="n"/>
      <c r="C369" s="55" t="n"/>
      <c r="D369" s="56" t="n"/>
      <c r="E369" s="56" t="n"/>
      <c r="F369" s="55" t="n"/>
      <c r="G369" s="55" t="n"/>
      <c r="H369" s="57" t="n"/>
      <c r="I369" s="57" t="n"/>
      <c r="J369" s="57" t="n"/>
      <c r="K369" s="57" t="n"/>
      <c r="L369" s="55" t="n"/>
      <c r="M369" s="55" t="n"/>
      <c r="N369" s="55" t="n"/>
      <c r="O369" s="55" t="n"/>
      <c r="P369" s="55" t="n"/>
      <c r="Q369" s="55" t="n"/>
      <c r="R369" s="58" t="n"/>
      <c r="S369" s="59">
        <f>IF(tblPlant[[#This Row],[Milled_t]]="","",tblPlant[[#This Row],[Milled_t]]*tblPlant[[#This Row],[Head_Grade_gpt]]/cfg_TroyOz)</f>
        <v/>
      </c>
      <c r="T369" s="59">
        <f>IF(tblPlant[[#This Row],[Milled_t]]="","",tblPlant[[#This Row],[Milled_t]]*tblPlant[[#This Row],[Tails_Grade_gpt]]/cfg_TroyOz)</f>
        <v/>
      </c>
      <c r="U369" s="59">
        <f>IF(tblPlant[[#This Row],[Milled_t]]="","",tblPlant[[#This Row],[Feed_oz]]-tblPlant[[#This Row],[Tails_oz]])</f>
        <v/>
      </c>
      <c r="V369" s="60">
        <f>IF(AND(tblPlant[[#This Row],[Milled_t]]&lt;&gt;"",tblPlant[[#This Row],[Feed_oz]]&gt;0),tblPlant[[#This Row],[Recovered_oz]]/tblPlant[[#This Row],[Feed_oz]],"")</f>
        <v/>
      </c>
      <c r="W369" s="59">
        <f>IF(AND(tblPlant[[#This Row],[Milled_t]]&lt;&gt;"",tblPlant[[#This Row],[Mill_Run_h]]&gt;0),tblPlant[[#This Row],[Milled_t]]/tblPlant[[#This Row],[Mill_Run_h]],"")</f>
        <v/>
      </c>
      <c r="X369" s="60">
        <f>IF(tblPlant[[#This Row],[Mill_Run_h]]="","",(24-tblPlant[[#This Row],[Mill_Planned_Maint_h]]-tblPlant[[#This Row],[Mill_Unplanned_Down_h]])/24)</f>
        <v/>
      </c>
      <c r="Y3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70">
      <c r="A370" s="54" t="n">
        <v>46387</v>
      </c>
      <c r="B370" s="55" t="n"/>
      <c r="C370" s="55" t="n"/>
      <c r="D370" s="56" t="n"/>
      <c r="E370" s="56" t="n"/>
      <c r="F370" s="55" t="n"/>
      <c r="G370" s="55" t="n"/>
      <c r="H370" s="57" t="n"/>
      <c r="I370" s="57" t="n"/>
      <c r="J370" s="57" t="n"/>
      <c r="K370" s="57" t="n"/>
      <c r="L370" s="55" t="n"/>
      <c r="M370" s="55" t="n"/>
      <c r="N370" s="55" t="n"/>
      <c r="O370" s="55" t="n"/>
      <c r="P370" s="55" t="n"/>
      <c r="Q370" s="55" t="n"/>
      <c r="R370" s="58" t="n"/>
      <c r="S370" s="59">
        <f>IF(tblPlant[[#This Row],[Milled_t]]="","",tblPlant[[#This Row],[Milled_t]]*tblPlant[[#This Row],[Head_Grade_gpt]]/cfg_TroyOz)</f>
        <v/>
      </c>
      <c r="T370" s="59">
        <f>IF(tblPlant[[#This Row],[Milled_t]]="","",tblPlant[[#This Row],[Milled_t]]*tblPlant[[#This Row],[Tails_Grade_gpt]]/cfg_TroyOz)</f>
        <v/>
      </c>
      <c r="U370" s="59">
        <f>IF(tblPlant[[#This Row],[Milled_t]]="","",tblPlant[[#This Row],[Feed_oz]]-tblPlant[[#This Row],[Tails_oz]])</f>
        <v/>
      </c>
      <c r="V370" s="60">
        <f>IF(AND(tblPlant[[#This Row],[Milled_t]]&lt;&gt;"",tblPlant[[#This Row],[Feed_oz]]&gt;0),tblPlant[[#This Row],[Recovered_oz]]/tblPlant[[#This Row],[Feed_oz]],"")</f>
        <v/>
      </c>
      <c r="W370" s="59">
        <f>IF(AND(tblPlant[[#This Row],[Milled_t]]&lt;&gt;"",tblPlant[[#This Row],[Mill_Run_h]]&gt;0),tblPlant[[#This Row],[Milled_t]]/tblPlant[[#This Row],[Mill_Run_h]],"")</f>
        <v/>
      </c>
      <c r="X370" s="60">
        <f>IF(tblPlant[[#This Row],[Mill_Run_h]]="","",(24-tblPlant[[#This Row],[Mill_Planned_Maint_h]]-tblPlant[[#This Row],[Mill_Unplanned_Down_h]])/24)</f>
        <v/>
      </c>
      <c r="Y3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</sheetData>
  <dataValidations count="17">
    <dataValidation sqref="A6:A370" showDropDown="0" showInputMessage="1" showErrorMessage="1" allowBlank="1" errorTitle="Date outside the reporting year" error="Dates should fall in the reporting year (December of the prior year is tolerated)." promptTitle="Date" prompt="Production day (day shift start to night shift end)" type="date" errorStyle="warning" operator="between">
      <formula1>=cfg_YearStart-31</formula1>
      <formula2>=cfg_YearEnd</formula2>
    </dataValidation>
    <dataValidation sqref="B6:B370" showDropDown="0" showInputMessage="1" showErrorMessage="1" allowBlank="1" errorTitle="Outside expected range" error="Expected between 0 and 50000. Click Yes to keep the value if it is correct." promptTitle="Crushed" prompt="Dry tonnes through the primary crusher" type="decimal" errorStyle="warning" operator="between">
      <formula1>0</formula1>
      <formula2>50000</formula2>
    </dataValidation>
    <dataValidation sqref="C6:C370" showDropDown="0" showInputMessage="1" showErrorMessage="1" allowBlank="1" errorTitle="Outside expected range" error="Expected between 0 and 50000. Click Yes to keep the value if it is correct." promptTitle="Milled" prompt="Dry tonnes milled (mill feed weightometer)" type="decimal" errorStyle="warning" operator="between">
      <formula1>0</formula1>
      <formula2>50000</formula2>
    </dataValidation>
    <dataValidation sqref="D6:D370" showDropDown="0" showInputMessage="1" showErrorMessage="1" allowBlank="1" errorTitle="Outside expected range" error="Expected between 0 and 50. Click Yes to keep the value if it is correct." promptTitle="Head grade" prompt="Mill feed grade from the daily metallurgical balance" type="decimal" errorStyle="warning" operator="between">
      <formula1>0</formula1>
      <formula2>50</formula2>
    </dataValidation>
    <dataValidation sqref="E6:E370" showDropDown="0" showInputMessage="1" showErrorMessage="1" allowBlank="1" errorTitle="Outside expected range" error="Expected between 0 and 10. Click Yes to keep the value if it is correct." promptTitle="Tails grade" prompt="Final tails grade" type="decimal" errorStyle="warning" operator="between">
      <formula1>0</formula1>
      <formula2>10</formula2>
    </dataValidation>
    <dataValidation sqref="F6:F370" showDropDown="0" showInputMessage="1" showErrorMessage="1" allowBlank="1" errorTitle="Outside expected range" error="Expected between 0 and 5000. Click Yes to keep the value if it is correct." promptTitle="Gravity gold" prompt="Gold recovered by the gravity circuit (part of total recovered)" type="decimal" errorStyle="warning" operator="between">
      <formula1>0</formula1>
      <formula2>5000</formula2>
    </dataValidation>
    <dataValidation sqref="G6:G370" showDropDown="0" showInputMessage="1" showErrorMessage="1" allowBlank="1" errorTitle="Outside expected range" error="Expected between 0 and 20000. Click Yes to keep the value if it is correct." promptTitle="Gold poured" prompt="Fine gold in dore poured on the day" type="decimal" errorStyle="warning" operator="between">
      <formula1>0</formula1>
      <formula2>20000</formula2>
    </dataValidation>
    <dataValidation sqref="H6:H370" showDropDown="0" showInputMessage="1" showErrorMessage="1" allowBlank="1" errorTitle="Outside expected range" error="Expected between 0 and 24. Click Yes to keep the value if it is correct." promptTitle="Mill run hours" prompt="Hours the mill was running" type="decimal" errorStyle="warning" operator="between">
      <formula1>0</formula1>
      <formula2>24</formula2>
    </dataValidation>
    <dataValidation sqref="I6:I370" showDropDown="0" showInputMessage="1" showErrorMessage="1" allowBlank="1" errorTitle="Outside expected range" error="Expected between 0 and 24. Click Yes to keep the value if it is correct." promptTitle="Planned maintenance" prompt="Planned maintenance downtime" type="decimal" errorStyle="warning" operator="between">
      <formula1>0</formula1>
      <formula2>24</formula2>
    </dataValidation>
    <dataValidation sqref="J6:J370" showDropDown="0" showInputMessage="1" showErrorMessage="1" allowBlank="1" errorTitle="Outside expected range" error="Expected between 0 and 24. Click Yes to keep the value if it is correct." promptTitle="Unplanned downtime" prompt="Unplanned downtime (breakdowns, power, no feed)" type="decimal" errorStyle="warning" operator="between">
      <formula1>0</formula1>
      <formula2>24</formula2>
    </dataValidation>
    <dataValidation sqref="K6:K370" showDropDown="0" showInputMessage="1" showErrorMessage="1" allowBlank="1" errorTitle="Outside expected range" error="Expected between 0 and 24. Click Yes to keep the value if it is correct." promptTitle="Crusher run hours" prompt="Primary crusher running hours" type="decimal" errorStyle="warning" operator="between">
      <formula1>0</formula1>
      <formula2>24</formula2>
    </dataValidation>
    <dataValidation sqref="L6:L370" showDropDown="0" showInputMessage="1" showErrorMessage="1" allowBlank="1" errorTitle="Outside expected range" error="Expected between 0 and 50000. Click Yes to keep the value if it is correct." promptTitle="Cyanide" prompt="Sodium cyanide consumed" type="decimal" errorStyle="warning" operator="between">
      <formula1>0</formula1>
      <formula2>50000</formula2>
    </dataValidation>
    <dataValidation sqref="M6:M370" showDropDown="0" showInputMessage="1" showErrorMessage="1" allowBlank="1" errorTitle="Outside expected range" error="Expected between 0 and 100000. Click Yes to keep the value if it is correct." promptTitle="Lime" prompt="Lime consumed" type="decimal" errorStyle="warning" operator="between">
      <formula1>0</formula1>
      <formula2>100000</formula2>
    </dataValidation>
    <dataValidation sqref="N6:N370" showDropDown="0" showInputMessage="1" showErrorMessage="1" allowBlank="1" errorTitle="Outside expected range" error="Expected between 0 and 50000. Click Yes to keep the value if it is correct." promptTitle="Grinding media" prompt="Grinding media added" type="decimal" errorStyle="warning" operator="between">
      <formula1>0</formula1>
      <formula2>50000</formula2>
    </dataValidation>
    <dataValidation sqref="O6:O370" showDropDown="0" showInputMessage="1" showErrorMessage="1" allowBlank="1" errorTitle="Outside expected range" error="Expected between 0 and 1000000. Click Yes to keep the value if it is correct." promptTitle="Power" prompt="Plant power consumed" type="decimal" errorStyle="warning" operator="between">
      <formula1>0</formula1>
      <formula2>1000000</formula2>
    </dataValidation>
    <dataValidation sqref="P6:P370" showDropDown="0" showInputMessage="1" showErrorMessage="1" allowBlank="1" errorTitle="Outside expected range" error="Expected between 0 and 100000. Click Yes to keep the value if it is correct." promptTitle="Raw water" prompt="Raw water drawn" type="decimal" errorStyle="warning" operator="between">
      <formula1>0</formula1>
      <formula2>100000</formula2>
    </dataValidation>
    <dataValidation sqref="Q6:Q370" showDropDown="0" showInputMessage="1" showErrorMessage="1" allowBlank="1" errorTitle="Outside expected range" error="Expected between 0 and 50000. Click Yes to keep the value if it is correct." promptTitle="Gold in circuit" prompt="Gold in circuit at end of day (point value, not additive)" type="decimal" errorStyle="warning" operator="between">
      <formula1>0</formula1>
      <formula2>50000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O5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.9" customWidth="1" min="5" max="5"/>
    <col width="11" customWidth="1" min="6" max="6"/>
    <col width="11.9" customWidth="1" min="7" max="7"/>
    <col width="12.8" customWidth="1" min="8" max="8"/>
    <col width="11.9" customWidth="1" min="9" max="9"/>
    <col width="32" customWidth="1" min="10" max="10"/>
    <col width="32" customWidth="1" min="11" max="11"/>
    <col width="32" customWidth="1" min="12" max="12"/>
    <col width="11" customWidth="1" min="13" max="13"/>
    <col width="19.1" customWidth="1" min="14" max="14"/>
    <col width="13.7" customWidth="1" min="15" max="15"/>
  </cols>
  <sheetData>
    <row r="1">
      <c r="A1" s="50" t="inlineStr">
        <is>
          <t>Material movements, one row per source, material and destination per day (or per shift)</t>
        </is>
      </c>
    </row>
    <row r="2">
      <c r="A2" s="6" t="inlineStr">
        <is>
          <t>Owner: Mining (dispatch / production engineer).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Shift</t>
        </is>
      </c>
      <c r="C4" s="51" t="inlineStr">
        <is>
          <t>Source</t>
        </is>
      </c>
      <c r="D4" s="51" t="inlineStr">
        <is>
          <t>Material</t>
        </is>
      </c>
      <c r="E4" s="51" t="inlineStr">
        <is>
          <t>Destination</t>
        </is>
      </c>
      <c r="F4" s="51" t="inlineStr">
        <is>
          <t>Tonnes (t)</t>
        </is>
      </c>
      <c r="G4" s="51" t="inlineStr">
        <is>
          <t>Grade (g/t)</t>
        </is>
      </c>
      <c r="H4" s="51" t="inlineStr">
        <is>
          <t>Volume (bcm)</t>
        </is>
      </c>
      <c r="I4" s="51" t="inlineStr">
        <is>
          <t>Truck loads</t>
        </is>
      </c>
      <c r="J4" s="51" t="inlineStr">
        <is>
          <t>Comments</t>
        </is>
      </c>
      <c r="K4" s="51" t="inlineStr">
        <is>
          <t>Source type</t>
        </is>
      </c>
      <c r="L4" s="51" t="inlineStr">
        <is>
          <t>Destination type</t>
        </is>
      </c>
      <c r="M4" s="51" t="inlineStr">
        <is>
          <t>Ore flag</t>
        </is>
      </c>
      <c r="N4" s="51" t="inlineStr">
        <is>
          <t>Contained gold (oz)</t>
        </is>
      </c>
      <c r="O4" s="51" t="inlineStr">
        <is>
          <t>Ore gold (oz)</t>
        </is>
      </c>
    </row>
    <row r="5">
      <c r="A5" s="52" t="inlineStr">
        <is>
          <t>Date</t>
        </is>
      </c>
      <c r="B5" s="52" t="inlineStr">
        <is>
          <t>Shift</t>
        </is>
      </c>
      <c r="C5" s="52" t="inlineStr">
        <is>
          <t>Source</t>
        </is>
      </c>
      <c r="D5" s="52" t="inlineStr">
        <is>
          <t>Material</t>
        </is>
      </c>
      <c r="E5" s="52" t="inlineStr">
        <is>
          <t>Destination</t>
        </is>
      </c>
      <c r="F5" s="52" t="inlineStr">
        <is>
          <t>Tonnes_t</t>
        </is>
      </c>
      <c r="G5" s="52" t="inlineStr">
        <is>
          <t>Grade_gpt</t>
        </is>
      </c>
      <c r="H5" s="52" t="inlineStr">
        <is>
          <t>BCM</t>
        </is>
      </c>
      <c r="I5" s="52" t="inlineStr">
        <is>
          <t>Loads</t>
        </is>
      </c>
      <c r="J5" s="52" t="inlineStr">
        <is>
          <t>Comments</t>
        </is>
      </c>
      <c r="K5" s="53" t="inlineStr">
        <is>
          <t>Source_Type</t>
        </is>
      </c>
      <c r="L5" s="53" t="inlineStr">
        <is>
          <t>Dest_Type</t>
        </is>
      </c>
      <c r="M5" s="53" t="inlineStr">
        <is>
          <t>Is_Ore</t>
        </is>
      </c>
      <c r="N5" s="53" t="inlineStr">
        <is>
          <t>Contained_oz</t>
        </is>
      </c>
      <c r="O5" s="53" t="inlineStr">
        <is>
          <t>Ore_oz</t>
        </is>
      </c>
    </row>
    <row r="6">
      <c r="A6" s="54" t="n"/>
      <c r="B6" s="61" t="n"/>
      <c r="C6" s="61" t="n"/>
      <c r="D6" s="61" t="n"/>
      <c r="E6" s="61" t="n"/>
      <c r="F6" s="55" t="n"/>
      <c r="G6" s="56" t="n"/>
      <c r="H6" s="55" t="n"/>
      <c r="I6" s="62" t="n"/>
      <c r="J6" s="58" t="n"/>
      <c r="K6" s="63">
        <f>IF(tblMovement[[#This Row],[Source]]="","",IFERROR(INDEX(tblSources[Type],MATCH(tblMovement[[#This Row],[Source]],tblSources[Source],0)),"?"))</f>
        <v/>
      </c>
      <c r="L6" s="63">
        <f>IF(tblMovement[[#This Row],[Destination]]="","",IFERROR(INDEX(tblDestinations[Type],MATCH(tblMovement[[#This Row],[Destination]],tblDestinations[Destination],0)),"?"))</f>
        <v/>
      </c>
      <c r="M6" s="64">
        <f>IF(tblMovement[[#This Row],[Material]]="","",IF(LEFT(tblMovement[[#This Row],[Material]],3)="Ore",1,0))</f>
        <v/>
      </c>
      <c r="N6" s="59">
        <f>IF(OR(tblMovement[[#This Row],[Tonnes_t]]="",tblMovement[[#This Row],[Grade_gpt]]=""),0,tblMovement[[#This Row],[Tonnes_t]]*tblMovement[[#This Row],[Grade_gpt]]/cfg_TroyOz)</f>
        <v/>
      </c>
      <c r="O6" s="59">
        <f>IF(tblMovement[[#This Row],[Is_Ore]]=1,tblMovement[[#This Row],[Contained_oz]],0)</f>
        <v/>
      </c>
    </row>
    <row r="7">
      <c r="A7" s="54" t="n"/>
      <c r="B7" s="61" t="n"/>
      <c r="C7" s="61" t="n"/>
      <c r="D7" s="61" t="n"/>
      <c r="E7" s="61" t="n"/>
      <c r="F7" s="55" t="n"/>
      <c r="G7" s="56" t="n"/>
      <c r="H7" s="55" t="n"/>
      <c r="I7" s="62" t="n"/>
      <c r="J7" s="58" t="n"/>
      <c r="K7" s="63">
        <f>IF(tblMovement[[#This Row],[Source]]="","",IFERROR(INDEX(tblSources[Type],MATCH(tblMovement[[#This Row],[Source]],tblSources[Source],0)),"?"))</f>
        <v/>
      </c>
      <c r="L7" s="63">
        <f>IF(tblMovement[[#This Row],[Destination]]="","",IFERROR(INDEX(tblDestinations[Type],MATCH(tblMovement[[#This Row],[Destination]],tblDestinations[Destination],0)),"?"))</f>
        <v/>
      </c>
      <c r="M7" s="64">
        <f>IF(tblMovement[[#This Row],[Material]]="","",IF(LEFT(tblMovement[[#This Row],[Material]],3)="Ore",1,0))</f>
        <v/>
      </c>
      <c r="N7" s="59">
        <f>IF(OR(tblMovement[[#This Row],[Tonnes_t]]="",tblMovement[[#This Row],[Grade_gpt]]=""),0,tblMovement[[#This Row],[Tonnes_t]]*tblMovement[[#This Row],[Grade_gpt]]/cfg_TroyOz)</f>
        <v/>
      </c>
      <c r="O7" s="59">
        <f>IF(tblMovement[[#This Row],[Is_Ore]]=1,tblMovement[[#This Row],[Contained_oz]],0)</f>
        <v/>
      </c>
    </row>
    <row r="8">
      <c r="A8" s="54" t="n"/>
      <c r="B8" s="61" t="n"/>
      <c r="C8" s="61" t="n"/>
      <c r="D8" s="61" t="n"/>
      <c r="E8" s="61" t="n"/>
      <c r="F8" s="55" t="n"/>
      <c r="G8" s="56" t="n"/>
      <c r="H8" s="55" t="n"/>
      <c r="I8" s="62" t="n"/>
      <c r="J8" s="58" t="n"/>
      <c r="K8" s="63">
        <f>IF(tblMovement[[#This Row],[Source]]="","",IFERROR(INDEX(tblSources[Type],MATCH(tblMovement[[#This Row],[Source]],tblSources[Source],0)),"?"))</f>
        <v/>
      </c>
      <c r="L8" s="63">
        <f>IF(tblMovement[[#This Row],[Destination]]="","",IFERROR(INDEX(tblDestinations[Type],MATCH(tblMovement[[#This Row],[Destination]],tblDestinations[Destination],0)),"?"))</f>
        <v/>
      </c>
      <c r="M8" s="64">
        <f>IF(tblMovement[[#This Row],[Material]]="","",IF(LEFT(tblMovement[[#This Row],[Material]],3)="Ore",1,0))</f>
        <v/>
      </c>
      <c r="N8" s="59">
        <f>IF(OR(tblMovement[[#This Row],[Tonnes_t]]="",tblMovement[[#This Row],[Grade_gpt]]=""),0,tblMovement[[#This Row],[Tonnes_t]]*tblMovement[[#This Row],[Grade_gpt]]/cfg_TroyOz)</f>
        <v/>
      </c>
      <c r="O8" s="59">
        <f>IF(tblMovement[[#This Row],[Is_Ore]]=1,tblMovement[[#This Row],[Contained_oz]],0)</f>
        <v/>
      </c>
    </row>
    <row r="9">
      <c r="A9" s="54" t="n"/>
      <c r="B9" s="61" t="n"/>
      <c r="C9" s="61" t="n"/>
      <c r="D9" s="61" t="n"/>
      <c r="E9" s="61" t="n"/>
      <c r="F9" s="55" t="n"/>
      <c r="G9" s="56" t="n"/>
      <c r="H9" s="55" t="n"/>
      <c r="I9" s="62" t="n"/>
      <c r="J9" s="58" t="n"/>
      <c r="K9" s="63">
        <f>IF(tblMovement[[#This Row],[Source]]="","",IFERROR(INDEX(tblSources[Type],MATCH(tblMovement[[#This Row],[Source]],tblSources[Source],0)),"?"))</f>
        <v/>
      </c>
      <c r="L9" s="63">
        <f>IF(tblMovement[[#This Row],[Destination]]="","",IFERROR(INDEX(tblDestinations[Type],MATCH(tblMovement[[#This Row],[Destination]],tblDestinations[Destination],0)),"?"))</f>
        <v/>
      </c>
      <c r="M9" s="64">
        <f>IF(tblMovement[[#This Row],[Material]]="","",IF(LEFT(tblMovement[[#This Row],[Material]],3)="Ore",1,0))</f>
        <v/>
      </c>
      <c r="N9" s="59">
        <f>IF(OR(tblMovement[[#This Row],[Tonnes_t]]="",tblMovement[[#This Row],[Grade_gpt]]=""),0,tblMovement[[#This Row],[Tonnes_t]]*tblMovement[[#This Row],[Grade_gpt]]/cfg_TroyOz)</f>
        <v/>
      </c>
      <c r="O9" s="59">
        <f>IF(tblMovement[[#This Row],[Is_Ore]]=1,tblMovement[[#This Row],[Contained_oz]],0)</f>
        <v/>
      </c>
    </row>
    <row r="10">
      <c r="A10" s="54" t="n"/>
      <c r="B10" s="61" t="n"/>
      <c r="C10" s="61" t="n"/>
      <c r="D10" s="61" t="n"/>
      <c r="E10" s="61" t="n"/>
      <c r="F10" s="55" t="n"/>
      <c r="G10" s="56" t="n"/>
      <c r="H10" s="55" t="n"/>
      <c r="I10" s="62" t="n"/>
      <c r="J10" s="58" t="n"/>
      <c r="K10" s="63">
        <f>IF(tblMovement[[#This Row],[Source]]="","",IFERROR(INDEX(tblSources[Type],MATCH(tblMovement[[#This Row],[Source]],tblSources[Source],0)),"?"))</f>
        <v/>
      </c>
      <c r="L10" s="63">
        <f>IF(tblMovement[[#This Row],[Destination]]="","",IFERROR(INDEX(tblDestinations[Type],MATCH(tblMovement[[#This Row],[Destination]],tblDestinations[Destination],0)),"?"))</f>
        <v/>
      </c>
      <c r="M10" s="64">
        <f>IF(tblMovement[[#This Row],[Material]]="","",IF(LEFT(tblMovement[[#This Row],[Material]],3)="Ore",1,0))</f>
        <v/>
      </c>
      <c r="N10" s="59">
        <f>IF(OR(tblMovement[[#This Row],[Tonnes_t]]="",tblMovement[[#This Row],[Grade_gpt]]=""),0,tblMovement[[#This Row],[Tonnes_t]]*tblMovement[[#This Row],[Grade_gpt]]/cfg_TroyOz)</f>
        <v/>
      </c>
      <c r="O10" s="59">
        <f>IF(tblMovement[[#This Row],[Is_Ore]]=1,tblMovement[[#This Row],[Contained_oz]],0)</f>
        <v/>
      </c>
    </row>
    <row r="11">
      <c r="A11" s="54" t="n"/>
      <c r="B11" s="61" t="n"/>
      <c r="C11" s="61" t="n"/>
      <c r="D11" s="61" t="n"/>
      <c r="E11" s="61" t="n"/>
      <c r="F11" s="55" t="n"/>
      <c r="G11" s="56" t="n"/>
      <c r="H11" s="55" t="n"/>
      <c r="I11" s="62" t="n"/>
      <c r="J11" s="58" t="n"/>
      <c r="K11" s="63">
        <f>IF(tblMovement[[#This Row],[Source]]="","",IFERROR(INDEX(tblSources[Type],MATCH(tblMovement[[#This Row],[Source]],tblSources[Source],0)),"?"))</f>
        <v/>
      </c>
      <c r="L11" s="63">
        <f>IF(tblMovement[[#This Row],[Destination]]="","",IFERROR(INDEX(tblDestinations[Type],MATCH(tblMovement[[#This Row],[Destination]],tblDestinations[Destination],0)),"?"))</f>
        <v/>
      </c>
      <c r="M11" s="64">
        <f>IF(tblMovement[[#This Row],[Material]]="","",IF(LEFT(tblMovement[[#This Row],[Material]],3)="Ore",1,0))</f>
        <v/>
      </c>
      <c r="N11" s="59">
        <f>IF(OR(tblMovement[[#This Row],[Tonnes_t]]="",tblMovement[[#This Row],[Grade_gpt]]=""),0,tblMovement[[#This Row],[Tonnes_t]]*tblMovement[[#This Row],[Grade_gpt]]/cfg_TroyOz)</f>
        <v/>
      </c>
      <c r="O11" s="59">
        <f>IF(tblMovement[[#This Row],[Is_Ore]]=1,tblMovement[[#This Row],[Contained_oz]],0)</f>
        <v/>
      </c>
    </row>
    <row r="12">
      <c r="A12" s="54" t="n"/>
      <c r="B12" s="61" t="n"/>
      <c r="C12" s="61" t="n"/>
      <c r="D12" s="61" t="n"/>
      <c r="E12" s="61" t="n"/>
      <c r="F12" s="55" t="n"/>
      <c r="G12" s="56" t="n"/>
      <c r="H12" s="55" t="n"/>
      <c r="I12" s="62" t="n"/>
      <c r="J12" s="58" t="n"/>
      <c r="K12" s="63">
        <f>IF(tblMovement[[#This Row],[Source]]="","",IFERROR(INDEX(tblSources[Type],MATCH(tblMovement[[#This Row],[Source]],tblSources[Source],0)),"?"))</f>
        <v/>
      </c>
      <c r="L12" s="63">
        <f>IF(tblMovement[[#This Row],[Destination]]="","",IFERROR(INDEX(tblDestinations[Type],MATCH(tblMovement[[#This Row],[Destination]],tblDestinations[Destination],0)),"?"))</f>
        <v/>
      </c>
      <c r="M12" s="64">
        <f>IF(tblMovement[[#This Row],[Material]]="","",IF(LEFT(tblMovement[[#This Row],[Material]],3)="Ore",1,0))</f>
        <v/>
      </c>
      <c r="N12" s="59">
        <f>IF(OR(tblMovement[[#This Row],[Tonnes_t]]="",tblMovement[[#This Row],[Grade_gpt]]=""),0,tblMovement[[#This Row],[Tonnes_t]]*tblMovement[[#This Row],[Grade_gpt]]/cfg_TroyOz)</f>
        <v/>
      </c>
      <c r="O12" s="59">
        <f>IF(tblMovement[[#This Row],[Is_Ore]]=1,tblMovement[[#This Row],[Contained_oz]],0)</f>
        <v/>
      </c>
    </row>
    <row r="13">
      <c r="A13" s="54" t="n"/>
      <c r="B13" s="61" t="n"/>
      <c r="C13" s="61" t="n"/>
      <c r="D13" s="61" t="n"/>
      <c r="E13" s="61" t="n"/>
      <c r="F13" s="55" t="n"/>
      <c r="G13" s="56" t="n"/>
      <c r="H13" s="55" t="n"/>
      <c r="I13" s="62" t="n"/>
      <c r="J13" s="58" t="n"/>
      <c r="K13" s="63">
        <f>IF(tblMovement[[#This Row],[Source]]="","",IFERROR(INDEX(tblSources[Type],MATCH(tblMovement[[#This Row],[Source]],tblSources[Source],0)),"?"))</f>
        <v/>
      </c>
      <c r="L13" s="63">
        <f>IF(tblMovement[[#This Row],[Destination]]="","",IFERROR(INDEX(tblDestinations[Type],MATCH(tblMovement[[#This Row],[Destination]],tblDestinations[Destination],0)),"?"))</f>
        <v/>
      </c>
      <c r="M13" s="64">
        <f>IF(tblMovement[[#This Row],[Material]]="","",IF(LEFT(tblMovement[[#This Row],[Material]],3)="Ore",1,0))</f>
        <v/>
      </c>
      <c r="N13" s="59">
        <f>IF(OR(tblMovement[[#This Row],[Tonnes_t]]="",tblMovement[[#This Row],[Grade_gpt]]=""),0,tblMovement[[#This Row],[Tonnes_t]]*tblMovement[[#This Row],[Grade_gpt]]/cfg_TroyOz)</f>
        <v/>
      </c>
      <c r="O13" s="59">
        <f>IF(tblMovement[[#This Row],[Is_Ore]]=1,tblMovement[[#This Row],[Contained_oz]],0)</f>
        <v/>
      </c>
    </row>
    <row r="14">
      <c r="A14" s="54" t="n"/>
      <c r="B14" s="61" t="n"/>
      <c r="C14" s="61" t="n"/>
      <c r="D14" s="61" t="n"/>
      <c r="E14" s="61" t="n"/>
      <c r="F14" s="55" t="n"/>
      <c r="G14" s="56" t="n"/>
      <c r="H14" s="55" t="n"/>
      <c r="I14" s="62" t="n"/>
      <c r="J14" s="58" t="n"/>
      <c r="K14" s="63">
        <f>IF(tblMovement[[#This Row],[Source]]="","",IFERROR(INDEX(tblSources[Type],MATCH(tblMovement[[#This Row],[Source]],tblSources[Source],0)),"?"))</f>
        <v/>
      </c>
      <c r="L14" s="63">
        <f>IF(tblMovement[[#This Row],[Destination]]="","",IFERROR(INDEX(tblDestinations[Type],MATCH(tblMovement[[#This Row],[Destination]],tblDestinations[Destination],0)),"?"))</f>
        <v/>
      </c>
      <c r="M14" s="64">
        <f>IF(tblMovement[[#This Row],[Material]]="","",IF(LEFT(tblMovement[[#This Row],[Material]],3)="Ore",1,0))</f>
        <v/>
      </c>
      <c r="N14" s="59">
        <f>IF(OR(tblMovement[[#This Row],[Tonnes_t]]="",tblMovement[[#This Row],[Grade_gpt]]=""),0,tblMovement[[#This Row],[Tonnes_t]]*tblMovement[[#This Row],[Grade_gpt]]/cfg_TroyOz)</f>
        <v/>
      </c>
      <c r="O14" s="59">
        <f>IF(tblMovement[[#This Row],[Is_Ore]]=1,tblMovement[[#This Row],[Contained_oz]],0)</f>
        <v/>
      </c>
    </row>
    <row r="15">
      <c r="A15" s="54" t="n"/>
      <c r="B15" s="61" t="n"/>
      <c r="C15" s="61" t="n"/>
      <c r="D15" s="61" t="n"/>
      <c r="E15" s="61" t="n"/>
      <c r="F15" s="55" t="n"/>
      <c r="G15" s="56" t="n"/>
      <c r="H15" s="55" t="n"/>
      <c r="I15" s="62" t="n"/>
      <c r="J15" s="58" t="n"/>
      <c r="K15" s="63">
        <f>IF(tblMovement[[#This Row],[Source]]="","",IFERROR(INDEX(tblSources[Type],MATCH(tblMovement[[#This Row],[Source]],tblSources[Source],0)),"?"))</f>
        <v/>
      </c>
      <c r="L15" s="63">
        <f>IF(tblMovement[[#This Row],[Destination]]="","",IFERROR(INDEX(tblDestinations[Type],MATCH(tblMovement[[#This Row],[Destination]],tblDestinations[Destination],0)),"?"))</f>
        <v/>
      </c>
      <c r="M15" s="64">
        <f>IF(tblMovement[[#This Row],[Material]]="","",IF(LEFT(tblMovement[[#This Row],[Material]],3)="Ore",1,0))</f>
        <v/>
      </c>
      <c r="N15" s="59">
        <f>IF(OR(tblMovement[[#This Row],[Tonnes_t]]="",tblMovement[[#This Row],[Grade_gpt]]=""),0,tblMovement[[#This Row],[Tonnes_t]]*tblMovement[[#This Row],[Grade_gpt]]/cfg_TroyOz)</f>
        <v/>
      </c>
      <c r="O15" s="59">
        <f>IF(tblMovement[[#This Row],[Is_Ore]]=1,tblMovement[[#This Row],[Contained_oz]],0)</f>
        <v/>
      </c>
    </row>
    <row r="16">
      <c r="A16" s="54" t="n"/>
      <c r="B16" s="61" t="n"/>
      <c r="C16" s="61" t="n"/>
      <c r="D16" s="61" t="n"/>
      <c r="E16" s="61" t="n"/>
      <c r="F16" s="55" t="n"/>
      <c r="G16" s="56" t="n"/>
      <c r="H16" s="55" t="n"/>
      <c r="I16" s="62" t="n"/>
      <c r="J16" s="58" t="n"/>
      <c r="K16" s="63">
        <f>IF(tblMovement[[#This Row],[Source]]="","",IFERROR(INDEX(tblSources[Type],MATCH(tblMovement[[#This Row],[Source]],tblSources[Source],0)),"?"))</f>
        <v/>
      </c>
      <c r="L16" s="63">
        <f>IF(tblMovement[[#This Row],[Destination]]="","",IFERROR(INDEX(tblDestinations[Type],MATCH(tblMovement[[#This Row],[Destination]],tblDestinations[Destination],0)),"?"))</f>
        <v/>
      </c>
      <c r="M16" s="64">
        <f>IF(tblMovement[[#This Row],[Material]]="","",IF(LEFT(tblMovement[[#This Row],[Material]],3)="Ore",1,0))</f>
        <v/>
      </c>
      <c r="N16" s="59">
        <f>IF(OR(tblMovement[[#This Row],[Tonnes_t]]="",tblMovement[[#This Row],[Grade_gpt]]=""),0,tblMovement[[#This Row],[Tonnes_t]]*tblMovement[[#This Row],[Grade_gpt]]/cfg_TroyOz)</f>
        <v/>
      </c>
      <c r="O16" s="59">
        <f>IF(tblMovement[[#This Row],[Is_Ore]]=1,tblMovement[[#This Row],[Contained_oz]],0)</f>
        <v/>
      </c>
    </row>
    <row r="17">
      <c r="A17" s="54" t="n"/>
      <c r="B17" s="61" t="n"/>
      <c r="C17" s="61" t="n"/>
      <c r="D17" s="61" t="n"/>
      <c r="E17" s="61" t="n"/>
      <c r="F17" s="55" t="n"/>
      <c r="G17" s="56" t="n"/>
      <c r="H17" s="55" t="n"/>
      <c r="I17" s="62" t="n"/>
      <c r="J17" s="58" t="n"/>
      <c r="K17" s="63">
        <f>IF(tblMovement[[#This Row],[Source]]="","",IFERROR(INDEX(tblSources[Type],MATCH(tblMovement[[#This Row],[Source]],tblSources[Source],0)),"?"))</f>
        <v/>
      </c>
      <c r="L17" s="63">
        <f>IF(tblMovement[[#This Row],[Destination]]="","",IFERROR(INDEX(tblDestinations[Type],MATCH(tblMovement[[#This Row],[Destination]],tblDestinations[Destination],0)),"?"))</f>
        <v/>
      </c>
      <c r="M17" s="64">
        <f>IF(tblMovement[[#This Row],[Material]]="","",IF(LEFT(tblMovement[[#This Row],[Material]],3)="Ore",1,0))</f>
        <v/>
      </c>
      <c r="N17" s="59">
        <f>IF(OR(tblMovement[[#This Row],[Tonnes_t]]="",tblMovement[[#This Row],[Grade_gpt]]=""),0,tblMovement[[#This Row],[Tonnes_t]]*tblMovement[[#This Row],[Grade_gpt]]/cfg_TroyOz)</f>
        <v/>
      </c>
      <c r="O17" s="59">
        <f>IF(tblMovement[[#This Row],[Is_Ore]]=1,tblMovement[[#This Row],[Contained_oz]],0)</f>
        <v/>
      </c>
    </row>
    <row r="18">
      <c r="A18" s="54" t="n"/>
      <c r="B18" s="61" t="n"/>
      <c r="C18" s="61" t="n"/>
      <c r="D18" s="61" t="n"/>
      <c r="E18" s="61" t="n"/>
      <c r="F18" s="55" t="n"/>
      <c r="G18" s="56" t="n"/>
      <c r="H18" s="55" t="n"/>
      <c r="I18" s="62" t="n"/>
      <c r="J18" s="58" t="n"/>
      <c r="K18" s="63">
        <f>IF(tblMovement[[#This Row],[Source]]="","",IFERROR(INDEX(tblSources[Type],MATCH(tblMovement[[#This Row],[Source]],tblSources[Source],0)),"?"))</f>
        <v/>
      </c>
      <c r="L18" s="63">
        <f>IF(tblMovement[[#This Row],[Destination]]="","",IFERROR(INDEX(tblDestinations[Type],MATCH(tblMovement[[#This Row],[Destination]],tblDestinations[Destination],0)),"?"))</f>
        <v/>
      </c>
      <c r="M18" s="64">
        <f>IF(tblMovement[[#This Row],[Material]]="","",IF(LEFT(tblMovement[[#This Row],[Material]],3)="Ore",1,0))</f>
        <v/>
      </c>
      <c r="N18" s="59">
        <f>IF(OR(tblMovement[[#This Row],[Tonnes_t]]="",tblMovement[[#This Row],[Grade_gpt]]=""),0,tblMovement[[#This Row],[Tonnes_t]]*tblMovement[[#This Row],[Grade_gpt]]/cfg_TroyOz)</f>
        <v/>
      </c>
      <c r="O18" s="59">
        <f>IF(tblMovement[[#This Row],[Is_Ore]]=1,tblMovement[[#This Row],[Contained_oz]],0)</f>
        <v/>
      </c>
    </row>
    <row r="19">
      <c r="A19" s="54" t="n"/>
      <c r="B19" s="61" t="n"/>
      <c r="C19" s="61" t="n"/>
      <c r="D19" s="61" t="n"/>
      <c r="E19" s="61" t="n"/>
      <c r="F19" s="55" t="n"/>
      <c r="G19" s="56" t="n"/>
      <c r="H19" s="55" t="n"/>
      <c r="I19" s="62" t="n"/>
      <c r="J19" s="58" t="n"/>
      <c r="K19" s="63">
        <f>IF(tblMovement[[#This Row],[Source]]="","",IFERROR(INDEX(tblSources[Type],MATCH(tblMovement[[#This Row],[Source]],tblSources[Source],0)),"?"))</f>
        <v/>
      </c>
      <c r="L19" s="63">
        <f>IF(tblMovement[[#This Row],[Destination]]="","",IFERROR(INDEX(tblDestinations[Type],MATCH(tblMovement[[#This Row],[Destination]],tblDestinations[Destination],0)),"?"))</f>
        <v/>
      </c>
      <c r="M19" s="64">
        <f>IF(tblMovement[[#This Row],[Material]]="","",IF(LEFT(tblMovement[[#This Row],[Material]],3)="Ore",1,0))</f>
        <v/>
      </c>
      <c r="N19" s="59">
        <f>IF(OR(tblMovement[[#This Row],[Tonnes_t]]="",tblMovement[[#This Row],[Grade_gpt]]=""),0,tblMovement[[#This Row],[Tonnes_t]]*tblMovement[[#This Row],[Grade_gpt]]/cfg_TroyOz)</f>
        <v/>
      </c>
      <c r="O19" s="59">
        <f>IF(tblMovement[[#This Row],[Is_Ore]]=1,tblMovement[[#This Row],[Contained_oz]],0)</f>
        <v/>
      </c>
    </row>
    <row r="20">
      <c r="A20" s="54" t="n"/>
      <c r="B20" s="61" t="n"/>
      <c r="C20" s="61" t="n"/>
      <c r="D20" s="61" t="n"/>
      <c r="E20" s="61" t="n"/>
      <c r="F20" s="55" t="n"/>
      <c r="G20" s="56" t="n"/>
      <c r="H20" s="55" t="n"/>
      <c r="I20" s="62" t="n"/>
      <c r="J20" s="58" t="n"/>
      <c r="K20" s="63">
        <f>IF(tblMovement[[#This Row],[Source]]="","",IFERROR(INDEX(tblSources[Type],MATCH(tblMovement[[#This Row],[Source]],tblSources[Source],0)),"?"))</f>
        <v/>
      </c>
      <c r="L20" s="63">
        <f>IF(tblMovement[[#This Row],[Destination]]="","",IFERROR(INDEX(tblDestinations[Type],MATCH(tblMovement[[#This Row],[Destination]],tblDestinations[Destination],0)),"?"))</f>
        <v/>
      </c>
      <c r="M20" s="64">
        <f>IF(tblMovement[[#This Row],[Material]]="","",IF(LEFT(tblMovement[[#This Row],[Material]],3)="Ore",1,0))</f>
        <v/>
      </c>
      <c r="N20" s="59">
        <f>IF(OR(tblMovement[[#This Row],[Tonnes_t]]="",tblMovement[[#This Row],[Grade_gpt]]=""),0,tblMovement[[#This Row],[Tonnes_t]]*tblMovement[[#This Row],[Grade_gpt]]/cfg_TroyOz)</f>
        <v/>
      </c>
      <c r="O20" s="59">
        <f>IF(tblMovement[[#This Row],[Is_Ore]]=1,tblMovement[[#This Row],[Contained_oz]],0)</f>
        <v/>
      </c>
    </row>
    <row r="21">
      <c r="A21" s="54" t="n"/>
      <c r="B21" s="61" t="n"/>
      <c r="C21" s="61" t="n"/>
      <c r="D21" s="61" t="n"/>
      <c r="E21" s="61" t="n"/>
      <c r="F21" s="55" t="n"/>
      <c r="G21" s="56" t="n"/>
      <c r="H21" s="55" t="n"/>
      <c r="I21" s="62" t="n"/>
      <c r="J21" s="58" t="n"/>
      <c r="K21" s="63">
        <f>IF(tblMovement[[#This Row],[Source]]="","",IFERROR(INDEX(tblSources[Type],MATCH(tblMovement[[#This Row],[Source]],tblSources[Source],0)),"?"))</f>
        <v/>
      </c>
      <c r="L21" s="63">
        <f>IF(tblMovement[[#This Row],[Destination]]="","",IFERROR(INDEX(tblDestinations[Type],MATCH(tblMovement[[#This Row],[Destination]],tblDestinations[Destination],0)),"?"))</f>
        <v/>
      </c>
      <c r="M21" s="64">
        <f>IF(tblMovement[[#This Row],[Material]]="","",IF(LEFT(tblMovement[[#This Row],[Material]],3)="Ore",1,0))</f>
        <v/>
      </c>
      <c r="N21" s="59">
        <f>IF(OR(tblMovement[[#This Row],[Tonnes_t]]="",tblMovement[[#This Row],[Grade_gpt]]=""),0,tblMovement[[#This Row],[Tonnes_t]]*tblMovement[[#This Row],[Grade_gpt]]/cfg_TroyOz)</f>
        <v/>
      </c>
      <c r="O21" s="59">
        <f>IF(tblMovement[[#This Row],[Is_Ore]]=1,tblMovement[[#This Row],[Contained_oz]],0)</f>
        <v/>
      </c>
    </row>
    <row r="22">
      <c r="A22" s="54" t="n"/>
      <c r="B22" s="61" t="n"/>
      <c r="C22" s="61" t="n"/>
      <c r="D22" s="61" t="n"/>
      <c r="E22" s="61" t="n"/>
      <c r="F22" s="55" t="n"/>
      <c r="G22" s="56" t="n"/>
      <c r="H22" s="55" t="n"/>
      <c r="I22" s="62" t="n"/>
      <c r="J22" s="58" t="n"/>
      <c r="K22" s="63">
        <f>IF(tblMovement[[#This Row],[Source]]="","",IFERROR(INDEX(tblSources[Type],MATCH(tblMovement[[#This Row],[Source]],tblSources[Source],0)),"?"))</f>
        <v/>
      </c>
      <c r="L22" s="63">
        <f>IF(tblMovement[[#This Row],[Destination]]="","",IFERROR(INDEX(tblDestinations[Type],MATCH(tblMovement[[#This Row],[Destination]],tblDestinations[Destination],0)),"?"))</f>
        <v/>
      </c>
      <c r="M22" s="64">
        <f>IF(tblMovement[[#This Row],[Material]]="","",IF(LEFT(tblMovement[[#This Row],[Material]],3)="Ore",1,0))</f>
        <v/>
      </c>
      <c r="N22" s="59">
        <f>IF(OR(tblMovement[[#This Row],[Tonnes_t]]="",tblMovement[[#This Row],[Grade_gpt]]=""),0,tblMovement[[#This Row],[Tonnes_t]]*tblMovement[[#This Row],[Grade_gpt]]/cfg_TroyOz)</f>
        <v/>
      </c>
      <c r="O22" s="59">
        <f>IF(tblMovement[[#This Row],[Is_Ore]]=1,tblMovement[[#This Row],[Contained_oz]],0)</f>
        <v/>
      </c>
    </row>
    <row r="23">
      <c r="A23" s="54" t="n"/>
      <c r="B23" s="61" t="n"/>
      <c r="C23" s="61" t="n"/>
      <c r="D23" s="61" t="n"/>
      <c r="E23" s="61" t="n"/>
      <c r="F23" s="55" t="n"/>
      <c r="G23" s="56" t="n"/>
      <c r="H23" s="55" t="n"/>
      <c r="I23" s="62" t="n"/>
      <c r="J23" s="58" t="n"/>
      <c r="K23" s="63">
        <f>IF(tblMovement[[#This Row],[Source]]="","",IFERROR(INDEX(tblSources[Type],MATCH(tblMovement[[#This Row],[Source]],tblSources[Source],0)),"?"))</f>
        <v/>
      </c>
      <c r="L23" s="63">
        <f>IF(tblMovement[[#This Row],[Destination]]="","",IFERROR(INDEX(tblDestinations[Type],MATCH(tblMovement[[#This Row],[Destination]],tblDestinations[Destination],0)),"?"))</f>
        <v/>
      </c>
      <c r="M23" s="64">
        <f>IF(tblMovement[[#This Row],[Material]]="","",IF(LEFT(tblMovement[[#This Row],[Material]],3)="Ore",1,0))</f>
        <v/>
      </c>
      <c r="N23" s="59">
        <f>IF(OR(tblMovement[[#This Row],[Tonnes_t]]="",tblMovement[[#This Row],[Grade_gpt]]=""),0,tblMovement[[#This Row],[Tonnes_t]]*tblMovement[[#This Row],[Grade_gpt]]/cfg_TroyOz)</f>
        <v/>
      </c>
      <c r="O23" s="59">
        <f>IF(tblMovement[[#This Row],[Is_Ore]]=1,tblMovement[[#This Row],[Contained_oz]],0)</f>
        <v/>
      </c>
    </row>
    <row r="24">
      <c r="A24" s="54" t="n"/>
      <c r="B24" s="61" t="n"/>
      <c r="C24" s="61" t="n"/>
      <c r="D24" s="61" t="n"/>
      <c r="E24" s="61" t="n"/>
      <c r="F24" s="55" t="n"/>
      <c r="G24" s="56" t="n"/>
      <c r="H24" s="55" t="n"/>
      <c r="I24" s="62" t="n"/>
      <c r="J24" s="58" t="n"/>
      <c r="K24" s="63">
        <f>IF(tblMovement[[#This Row],[Source]]="","",IFERROR(INDEX(tblSources[Type],MATCH(tblMovement[[#This Row],[Source]],tblSources[Source],0)),"?"))</f>
        <v/>
      </c>
      <c r="L24" s="63">
        <f>IF(tblMovement[[#This Row],[Destination]]="","",IFERROR(INDEX(tblDestinations[Type],MATCH(tblMovement[[#This Row],[Destination]],tblDestinations[Destination],0)),"?"))</f>
        <v/>
      </c>
      <c r="M24" s="64">
        <f>IF(tblMovement[[#This Row],[Material]]="","",IF(LEFT(tblMovement[[#This Row],[Material]],3)="Ore",1,0))</f>
        <v/>
      </c>
      <c r="N24" s="59">
        <f>IF(OR(tblMovement[[#This Row],[Tonnes_t]]="",tblMovement[[#This Row],[Grade_gpt]]=""),0,tblMovement[[#This Row],[Tonnes_t]]*tblMovement[[#This Row],[Grade_gpt]]/cfg_TroyOz)</f>
        <v/>
      </c>
      <c r="O24" s="59">
        <f>IF(tblMovement[[#This Row],[Is_Ore]]=1,tblMovement[[#This Row],[Contained_oz]],0)</f>
        <v/>
      </c>
    </row>
    <row r="25">
      <c r="A25" s="54" t="n"/>
      <c r="B25" s="61" t="n"/>
      <c r="C25" s="61" t="n"/>
      <c r="D25" s="61" t="n"/>
      <c r="E25" s="61" t="n"/>
      <c r="F25" s="55" t="n"/>
      <c r="G25" s="56" t="n"/>
      <c r="H25" s="55" t="n"/>
      <c r="I25" s="62" t="n"/>
      <c r="J25" s="58" t="n"/>
      <c r="K25" s="63">
        <f>IF(tblMovement[[#This Row],[Source]]="","",IFERROR(INDEX(tblSources[Type],MATCH(tblMovement[[#This Row],[Source]],tblSources[Source],0)),"?"))</f>
        <v/>
      </c>
      <c r="L25" s="63">
        <f>IF(tblMovement[[#This Row],[Destination]]="","",IFERROR(INDEX(tblDestinations[Type],MATCH(tblMovement[[#This Row],[Destination]],tblDestinations[Destination],0)),"?"))</f>
        <v/>
      </c>
      <c r="M25" s="64">
        <f>IF(tblMovement[[#This Row],[Material]]="","",IF(LEFT(tblMovement[[#This Row],[Material]],3)="Ore",1,0))</f>
        <v/>
      </c>
      <c r="N25" s="59">
        <f>IF(OR(tblMovement[[#This Row],[Tonnes_t]]="",tblMovement[[#This Row],[Grade_gpt]]=""),0,tblMovement[[#This Row],[Tonnes_t]]*tblMovement[[#This Row],[Grade_gpt]]/cfg_TroyOz)</f>
        <v/>
      </c>
      <c r="O25" s="59">
        <f>IF(tblMovement[[#This Row],[Is_Ore]]=1,tblMovement[[#This Row],[Contained_oz]],0)</f>
        <v/>
      </c>
    </row>
    <row r="26">
      <c r="A26" s="54" t="n"/>
      <c r="B26" s="61" t="n"/>
      <c r="C26" s="61" t="n"/>
      <c r="D26" s="61" t="n"/>
      <c r="E26" s="61" t="n"/>
      <c r="F26" s="55" t="n"/>
      <c r="G26" s="56" t="n"/>
      <c r="H26" s="55" t="n"/>
      <c r="I26" s="62" t="n"/>
      <c r="J26" s="58" t="n"/>
      <c r="K26" s="63">
        <f>IF(tblMovement[[#This Row],[Source]]="","",IFERROR(INDEX(tblSources[Type],MATCH(tblMovement[[#This Row],[Source]],tblSources[Source],0)),"?"))</f>
        <v/>
      </c>
      <c r="L26" s="63">
        <f>IF(tblMovement[[#This Row],[Destination]]="","",IFERROR(INDEX(tblDestinations[Type],MATCH(tblMovement[[#This Row],[Destination]],tblDestinations[Destination],0)),"?"))</f>
        <v/>
      </c>
      <c r="M26" s="64">
        <f>IF(tblMovement[[#This Row],[Material]]="","",IF(LEFT(tblMovement[[#This Row],[Material]],3)="Ore",1,0))</f>
        <v/>
      </c>
      <c r="N26" s="59">
        <f>IF(OR(tblMovement[[#This Row],[Tonnes_t]]="",tblMovement[[#This Row],[Grade_gpt]]=""),0,tblMovement[[#This Row],[Tonnes_t]]*tblMovement[[#This Row],[Grade_gpt]]/cfg_TroyOz)</f>
        <v/>
      </c>
      <c r="O26" s="59">
        <f>IF(tblMovement[[#This Row],[Is_Ore]]=1,tblMovement[[#This Row],[Contained_oz]],0)</f>
        <v/>
      </c>
    </row>
    <row r="27">
      <c r="A27" s="54" t="n"/>
      <c r="B27" s="61" t="n"/>
      <c r="C27" s="61" t="n"/>
      <c r="D27" s="61" t="n"/>
      <c r="E27" s="61" t="n"/>
      <c r="F27" s="55" t="n"/>
      <c r="G27" s="56" t="n"/>
      <c r="H27" s="55" t="n"/>
      <c r="I27" s="62" t="n"/>
      <c r="J27" s="58" t="n"/>
      <c r="K27" s="63">
        <f>IF(tblMovement[[#This Row],[Source]]="","",IFERROR(INDEX(tblSources[Type],MATCH(tblMovement[[#This Row],[Source]],tblSources[Source],0)),"?"))</f>
        <v/>
      </c>
      <c r="L27" s="63">
        <f>IF(tblMovement[[#This Row],[Destination]]="","",IFERROR(INDEX(tblDestinations[Type],MATCH(tblMovement[[#This Row],[Destination]],tblDestinations[Destination],0)),"?"))</f>
        <v/>
      </c>
      <c r="M27" s="64">
        <f>IF(tblMovement[[#This Row],[Material]]="","",IF(LEFT(tblMovement[[#This Row],[Material]],3)="Ore",1,0))</f>
        <v/>
      </c>
      <c r="N27" s="59">
        <f>IF(OR(tblMovement[[#This Row],[Tonnes_t]]="",tblMovement[[#This Row],[Grade_gpt]]=""),0,tblMovement[[#This Row],[Tonnes_t]]*tblMovement[[#This Row],[Grade_gpt]]/cfg_TroyOz)</f>
        <v/>
      </c>
      <c r="O27" s="59">
        <f>IF(tblMovement[[#This Row],[Is_Ore]]=1,tblMovement[[#This Row],[Contained_oz]],0)</f>
        <v/>
      </c>
    </row>
    <row r="28">
      <c r="A28" s="54" t="n"/>
      <c r="B28" s="61" t="n"/>
      <c r="C28" s="61" t="n"/>
      <c r="D28" s="61" t="n"/>
      <c r="E28" s="61" t="n"/>
      <c r="F28" s="55" t="n"/>
      <c r="G28" s="56" t="n"/>
      <c r="H28" s="55" t="n"/>
      <c r="I28" s="62" t="n"/>
      <c r="J28" s="58" t="n"/>
      <c r="K28" s="63">
        <f>IF(tblMovement[[#This Row],[Source]]="","",IFERROR(INDEX(tblSources[Type],MATCH(tblMovement[[#This Row],[Source]],tblSources[Source],0)),"?"))</f>
        <v/>
      </c>
      <c r="L28" s="63">
        <f>IF(tblMovement[[#This Row],[Destination]]="","",IFERROR(INDEX(tblDestinations[Type],MATCH(tblMovement[[#This Row],[Destination]],tblDestinations[Destination],0)),"?"))</f>
        <v/>
      </c>
      <c r="M28" s="64">
        <f>IF(tblMovement[[#This Row],[Material]]="","",IF(LEFT(tblMovement[[#This Row],[Material]],3)="Ore",1,0))</f>
        <v/>
      </c>
      <c r="N28" s="59">
        <f>IF(OR(tblMovement[[#This Row],[Tonnes_t]]="",tblMovement[[#This Row],[Grade_gpt]]=""),0,tblMovement[[#This Row],[Tonnes_t]]*tblMovement[[#This Row],[Grade_gpt]]/cfg_TroyOz)</f>
        <v/>
      </c>
      <c r="O28" s="59">
        <f>IF(tblMovement[[#This Row],[Is_Ore]]=1,tblMovement[[#This Row],[Contained_oz]],0)</f>
        <v/>
      </c>
    </row>
    <row r="29">
      <c r="A29" s="54" t="n"/>
      <c r="B29" s="61" t="n"/>
      <c r="C29" s="61" t="n"/>
      <c r="D29" s="61" t="n"/>
      <c r="E29" s="61" t="n"/>
      <c r="F29" s="55" t="n"/>
      <c r="G29" s="56" t="n"/>
      <c r="H29" s="55" t="n"/>
      <c r="I29" s="62" t="n"/>
      <c r="J29" s="58" t="n"/>
      <c r="K29" s="63">
        <f>IF(tblMovement[[#This Row],[Source]]="","",IFERROR(INDEX(tblSources[Type],MATCH(tblMovement[[#This Row],[Source]],tblSources[Source],0)),"?"))</f>
        <v/>
      </c>
      <c r="L29" s="63">
        <f>IF(tblMovement[[#This Row],[Destination]]="","",IFERROR(INDEX(tblDestinations[Type],MATCH(tblMovement[[#This Row],[Destination]],tblDestinations[Destination],0)),"?"))</f>
        <v/>
      </c>
      <c r="M29" s="64">
        <f>IF(tblMovement[[#This Row],[Material]]="","",IF(LEFT(tblMovement[[#This Row],[Material]],3)="Ore",1,0))</f>
        <v/>
      </c>
      <c r="N29" s="59">
        <f>IF(OR(tblMovement[[#This Row],[Tonnes_t]]="",tblMovement[[#This Row],[Grade_gpt]]=""),0,tblMovement[[#This Row],[Tonnes_t]]*tblMovement[[#This Row],[Grade_gpt]]/cfg_TroyOz)</f>
        <v/>
      </c>
      <c r="O29" s="59">
        <f>IF(tblMovement[[#This Row],[Is_Ore]]=1,tblMovement[[#This Row],[Contained_oz]],0)</f>
        <v/>
      </c>
    </row>
    <row r="30">
      <c r="A30" s="54" t="n"/>
      <c r="B30" s="61" t="n"/>
      <c r="C30" s="61" t="n"/>
      <c r="D30" s="61" t="n"/>
      <c r="E30" s="61" t="n"/>
      <c r="F30" s="55" t="n"/>
      <c r="G30" s="56" t="n"/>
      <c r="H30" s="55" t="n"/>
      <c r="I30" s="62" t="n"/>
      <c r="J30" s="58" t="n"/>
      <c r="K30" s="63">
        <f>IF(tblMovement[[#This Row],[Source]]="","",IFERROR(INDEX(tblSources[Type],MATCH(tblMovement[[#This Row],[Source]],tblSources[Source],0)),"?"))</f>
        <v/>
      </c>
      <c r="L30" s="63">
        <f>IF(tblMovement[[#This Row],[Destination]]="","",IFERROR(INDEX(tblDestinations[Type],MATCH(tblMovement[[#This Row],[Destination]],tblDestinations[Destination],0)),"?"))</f>
        <v/>
      </c>
      <c r="M30" s="64">
        <f>IF(tblMovement[[#This Row],[Material]]="","",IF(LEFT(tblMovement[[#This Row],[Material]],3)="Ore",1,0))</f>
        <v/>
      </c>
      <c r="N30" s="59">
        <f>IF(OR(tblMovement[[#This Row],[Tonnes_t]]="",tblMovement[[#This Row],[Grade_gpt]]=""),0,tblMovement[[#This Row],[Tonnes_t]]*tblMovement[[#This Row],[Grade_gpt]]/cfg_TroyOz)</f>
        <v/>
      </c>
      <c r="O30" s="59">
        <f>IF(tblMovement[[#This Row],[Is_Ore]]=1,tblMovement[[#This Row],[Contained_oz]],0)</f>
        <v/>
      </c>
    </row>
    <row r="31">
      <c r="A31" s="54" t="n"/>
      <c r="B31" s="61" t="n"/>
      <c r="C31" s="61" t="n"/>
      <c r="D31" s="61" t="n"/>
      <c r="E31" s="61" t="n"/>
      <c r="F31" s="55" t="n"/>
      <c r="G31" s="56" t="n"/>
      <c r="H31" s="55" t="n"/>
      <c r="I31" s="62" t="n"/>
      <c r="J31" s="58" t="n"/>
      <c r="K31" s="63">
        <f>IF(tblMovement[[#This Row],[Source]]="","",IFERROR(INDEX(tblSources[Type],MATCH(tblMovement[[#This Row],[Source]],tblSources[Source],0)),"?"))</f>
        <v/>
      </c>
      <c r="L31" s="63">
        <f>IF(tblMovement[[#This Row],[Destination]]="","",IFERROR(INDEX(tblDestinations[Type],MATCH(tblMovement[[#This Row],[Destination]],tblDestinations[Destination],0)),"?"))</f>
        <v/>
      </c>
      <c r="M31" s="64">
        <f>IF(tblMovement[[#This Row],[Material]]="","",IF(LEFT(tblMovement[[#This Row],[Material]],3)="Ore",1,0))</f>
        <v/>
      </c>
      <c r="N31" s="59">
        <f>IF(OR(tblMovement[[#This Row],[Tonnes_t]]="",tblMovement[[#This Row],[Grade_gpt]]=""),0,tblMovement[[#This Row],[Tonnes_t]]*tblMovement[[#This Row],[Grade_gpt]]/cfg_TroyOz)</f>
        <v/>
      </c>
      <c r="O31" s="59">
        <f>IF(tblMovement[[#This Row],[Is_Ore]]=1,tblMovement[[#This Row],[Contained_oz]],0)</f>
        <v/>
      </c>
    </row>
    <row r="32">
      <c r="A32" s="54" t="n"/>
      <c r="B32" s="61" t="n"/>
      <c r="C32" s="61" t="n"/>
      <c r="D32" s="61" t="n"/>
      <c r="E32" s="61" t="n"/>
      <c r="F32" s="55" t="n"/>
      <c r="G32" s="56" t="n"/>
      <c r="H32" s="55" t="n"/>
      <c r="I32" s="62" t="n"/>
      <c r="J32" s="58" t="n"/>
      <c r="K32" s="63">
        <f>IF(tblMovement[[#This Row],[Source]]="","",IFERROR(INDEX(tblSources[Type],MATCH(tblMovement[[#This Row],[Source]],tblSources[Source],0)),"?"))</f>
        <v/>
      </c>
      <c r="L32" s="63">
        <f>IF(tblMovement[[#This Row],[Destination]]="","",IFERROR(INDEX(tblDestinations[Type],MATCH(tblMovement[[#This Row],[Destination]],tblDestinations[Destination],0)),"?"))</f>
        <v/>
      </c>
      <c r="M32" s="64">
        <f>IF(tblMovement[[#This Row],[Material]]="","",IF(LEFT(tblMovement[[#This Row],[Material]],3)="Ore",1,0))</f>
        <v/>
      </c>
      <c r="N32" s="59">
        <f>IF(OR(tblMovement[[#This Row],[Tonnes_t]]="",tblMovement[[#This Row],[Grade_gpt]]=""),0,tblMovement[[#This Row],[Tonnes_t]]*tblMovement[[#This Row],[Grade_gpt]]/cfg_TroyOz)</f>
        <v/>
      </c>
      <c r="O32" s="59">
        <f>IF(tblMovement[[#This Row],[Is_Ore]]=1,tblMovement[[#This Row],[Contained_oz]],0)</f>
        <v/>
      </c>
    </row>
    <row r="33">
      <c r="A33" s="54" t="n"/>
      <c r="B33" s="61" t="n"/>
      <c r="C33" s="61" t="n"/>
      <c r="D33" s="61" t="n"/>
      <c r="E33" s="61" t="n"/>
      <c r="F33" s="55" t="n"/>
      <c r="G33" s="56" t="n"/>
      <c r="H33" s="55" t="n"/>
      <c r="I33" s="62" t="n"/>
      <c r="J33" s="58" t="n"/>
      <c r="K33" s="63">
        <f>IF(tblMovement[[#This Row],[Source]]="","",IFERROR(INDEX(tblSources[Type],MATCH(tblMovement[[#This Row],[Source]],tblSources[Source],0)),"?"))</f>
        <v/>
      </c>
      <c r="L33" s="63">
        <f>IF(tblMovement[[#This Row],[Destination]]="","",IFERROR(INDEX(tblDestinations[Type],MATCH(tblMovement[[#This Row],[Destination]],tblDestinations[Destination],0)),"?"))</f>
        <v/>
      </c>
      <c r="M33" s="64">
        <f>IF(tblMovement[[#This Row],[Material]]="","",IF(LEFT(tblMovement[[#This Row],[Material]],3)="Ore",1,0))</f>
        <v/>
      </c>
      <c r="N33" s="59">
        <f>IF(OR(tblMovement[[#This Row],[Tonnes_t]]="",tblMovement[[#This Row],[Grade_gpt]]=""),0,tblMovement[[#This Row],[Tonnes_t]]*tblMovement[[#This Row],[Grade_gpt]]/cfg_TroyOz)</f>
        <v/>
      </c>
      <c r="O33" s="59">
        <f>IF(tblMovement[[#This Row],[Is_Ore]]=1,tblMovement[[#This Row],[Contained_oz]],0)</f>
        <v/>
      </c>
    </row>
    <row r="34">
      <c r="A34" s="54" t="n"/>
      <c r="B34" s="61" t="n"/>
      <c r="C34" s="61" t="n"/>
      <c r="D34" s="61" t="n"/>
      <c r="E34" s="61" t="n"/>
      <c r="F34" s="55" t="n"/>
      <c r="G34" s="56" t="n"/>
      <c r="H34" s="55" t="n"/>
      <c r="I34" s="62" t="n"/>
      <c r="J34" s="58" t="n"/>
      <c r="K34" s="63">
        <f>IF(tblMovement[[#This Row],[Source]]="","",IFERROR(INDEX(tblSources[Type],MATCH(tblMovement[[#This Row],[Source]],tblSources[Source],0)),"?"))</f>
        <v/>
      </c>
      <c r="L34" s="63">
        <f>IF(tblMovement[[#This Row],[Destination]]="","",IFERROR(INDEX(tblDestinations[Type],MATCH(tblMovement[[#This Row],[Destination]],tblDestinations[Destination],0)),"?"))</f>
        <v/>
      </c>
      <c r="M34" s="64">
        <f>IF(tblMovement[[#This Row],[Material]]="","",IF(LEFT(tblMovement[[#This Row],[Material]],3)="Ore",1,0))</f>
        <v/>
      </c>
      <c r="N34" s="59">
        <f>IF(OR(tblMovement[[#This Row],[Tonnes_t]]="",tblMovement[[#This Row],[Grade_gpt]]=""),0,tblMovement[[#This Row],[Tonnes_t]]*tblMovement[[#This Row],[Grade_gpt]]/cfg_TroyOz)</f>
        <v/>
      </c>
      <c r="O34" s="59">
        <f>IF(tblMovement[[#This Row],[Is_Ore]]=1,tblMovement[[#This Row],[Contained_oz]],0)</f>
        <v/>
      </c>
    </row>
    <row r="35">
      <c r="A35" s="54" t="n"/>
      <c r="B35" s="61" t="n"/>
      <c r="C35" s="61" t="n"/>
      <c r="D35" s="61" t="n"/>
      <c r="E35" s="61" t="n"/>
      <c r="F35" s="55" t="n"/>
      <c r="G35" s="56" t="n"/>
      <c r="H35" s="55" t="n"/>
      <c r="I35" s="62" t="n"/>
      <c r="J35" s="58" t="n"/>
      <c r="K35" s="63">
        <f>IF(tblMovement[[#This Row],[Source]]="","",IFERROR(INDEX(tblSources[Type],MATCH(tblMovement[[#This Row],[Source]],tblSources[Source],0)),"?"))</f>
        <v/>
      </c>
      <c r="L35" s="63">
        <f>IF(tblMovement[[#This Row],[Destination]]="","",IFERROR(INDEX(tblDestinations[Type],MATCH(tblMovement[[#This Row],[Destination]],tblDestinations[Destination],0)),"?"))</f>
        <v/>
      </c>
      <c r="M35" s="64">
        <f>IF(tblMovement[[#This Row],[Material]]="","",IF(LEFT(tblMovement[[#This Row],[Material]],3)="Ore",1,0))</f>
        <v/>
      </c>
      <c r="N35" s="59">
        <f>IF(OR(tblMovement[[#This Row],[Tonnes_t]]="",tblMovement[[#This Row],[Grade_gpt]]=""),0,tblMovement[[#This Row],[Tonnes_t]]*tblMovement[[#This Row],[Grade_gpt]]/cfg_TroyOz)</f>
        <v/>
      </c>
      <c r="O35" s="59">
        <f>IF(tblMovement[[#This Row],[Is_Ore]]=1,tblMovement[[#This Row],[Contained_oz]],0)</f>
        <v/>
      </c>
    </row>
    <row r="36">
      <c r="A36" s="54" t="n"/>
      <c r="B36" s="61" t="n"/>
      <c r="C36" s="61" t="n"/>
      <c r="D36" s="61" t="n"/>
      <c r="E36" s="61" t="n"/>
      <c r="F36" s="55" t="n"/>
      <c r="G36" s="56" t="n"/>
      <c r="H36" s="55" t="n"/>
      <c r="I36" s="62" t="n"/>
      <c r="J36" s="58" t="n"/>
      <c r="K36" s="63">
        <f>IF(tblMovement[[#This Row],[Source]]="","",IFERROR(INDEX(tblSources[Type],MATCH(tblMovement[[#This Row],[Source]],tblSources[Source],0)),"?"))</f>
        <v/>
      </c>
      <c r="L36" s="63">
        <f>IF(tblMovement[[#This Row],[Destination]]="","",IFERROR(INDEX(tblDestinations[Type],MATCH(tblMovement[[#This Row],[Destination]],tblDestinations[Destination],0)),"?"))</f>
        <v/>
      </c>
      <c r="M36" s="64">
        <f>IF(tblMovement[[#This Row],[Material]]="","",IF(LEFT(tblMovement[[#This Row],[Material]],3)="Ore",1,0))</f>
        <v/>
      </c>
      <c r="N36" s="59">
        <f>IF(OR(tblMovement[[#This Row],[Tonnes_t]]="",tblMovement[[#This Row],[Grade_gpt]]=""),0,tblMovement[[#This Row],[Tonnes_t]]*tblMovement[[#This Row],[Grade_gpt]]/cfg_TroyOz)</f>
        <v/>
      </c>
      <c r="O36" s="59">
        <f>IF(tblMovement[[#This Row],[Is_Ore]]=1,tblMovement[[#This Row],[Contained_oz]],0)</f>
        <v/>
      </c>
    </row>
    <row r="37">
      <c r="A37" s="54" t="n"/>
      <c r="B37" s="61" t="n"/>
      <c r="C37" s="61" t="n"/>
      <c r="D37" s="61" t="n"/>
      <c r="E37" s="61" t="n"/>
      <c r="F37" s="55" t="n"/>
      <c r="G37" s="56" t="n"/>
      <c r="H37" s="55" t="n"/>
      <c r="I37" s="62" t="n"/>
      <c r="J37" s="58" t="n"/>
      <c r="K37" s="63">
        <f>IF(tblMovement[[#This Row],[Source]]="","",IFERROR(INDEX(tblSources[Type],MATCH(tblMovement[[#This Row],[Source]],tblSources[Source],0)),"?"))</f>
        <v/>
      </c>
      <c r="L37" s="63">
        <f>IF(tblMovement[[#This Row],[Destination]]="","",IFERROR(INDEX(tblDestinations[Type],MATCH(tblMovement[[#This Row],[Destination]],tblDestinations[Destination],0)),"?"))</f>
        <v/>
      </c>
      <c r="M37" s="64">
        <f>IF(tblMovement[[#This Row],[Material]]="","",IF(LEFT(tblMovement[[#This Row],[Material]],3)="Ore",1,0))</f>
        <v/>
      </c>
      <c r="N37" s="59">
        <f>IF(OR(tblMovement[[#This Row],[Tonnes_t]]="",tblMovement[[#This Row],[Grade_gpt]]=""),0,tblMovement[[#This Row],[Tonnes_t]]*tblMovement[[#This Row],[Grade_gpt]]/cfg_TroyOz)</f>
        <v/>
      </c>
      <c r="O37" s="59">
        <f>IF(tblMovement[[#This Row],[Is_Ore]]=1,tblMovement[[#This Row],[Contained_oz]],0)</f>
        <v/>
      </c>
    </row>
    <row r="38">
      <c r="A38" s="54" t="n"/>
      <c r="B38" s="61" t="n"/>
      <c r="C38" s="61" t="n"/>
      <c r="D38" s="61" t="n"/>
      <c r="E38" s="61" t="n"/>
      <c r="F38" s="55" t="n"/>
      <c r="G38" s="56" t="n"/>
      <c r="H38" s="55" t="n"/>
      <c r="I38" s="62" t="n"/>
      <c r="J38" s="58" t="n"/>
      <c r="K38" s="63">
        <f>IF(tblMovement[[#This Row],[Source]]="","",IFERROR(INDEX(tblSources[Type],MATCH(tblMovement[[#This Row],[Source]],tblSources[Source],0)),"?"))</f>
        <v/>
      </c>
      <c r="L38" s="63">
        <f>IF(tblMovement[[#This Row],[Destination]]="","",IFERROR(INDEX(tblDestinations[Type],MATCH(tblMovement[[#This Row],[Destination]],tblDestinations[Destination],0)),"?"))</f>
        <v/>
      </c>
      <c r="M38" s="64">
        <f>IF(tblMovement[[#This Row],[Material]]="","",IF(LEFT(tblMovement[[#This Row],[Material]],3)="Ore",1,0))</f>
        <v/>
      </c>
      <c r="N38" s="59">
        <f>IF(OR(tblMovement[[#This Row],[Tonnes_t]]="",tblMovement[[#This Row],[Grade_gpt]]=""),0,tblMovement[[#This Row],[Tonnes_t]]*tblMovement[[#This Row],[Grade_gpt]]/cfg_TroyOz)</f>
        <v/>
      </c>
      <c r="O38" s="59">
        <f>IF(tblMovement[[#This Row],[Is_Ore]]=1,tblMovement[[#This Row],[Contained_oz]],0)</f>
        <v/>
      </c>
    </row>
    <row r="39">
      <c r="A39" s="54" t="n"/>
      <c r="B39" s="61" t="n"/>
      <c r="C39" s="61" t="n"/>
      <c r="D39" s="61" t="n"/>
      <c r="E39" s="61" t="n"/>
      <c r="F39" s="55" t="n"/>
      <c r="G39" s="56" t="n"/>
      <c r="H39" s="55" t="n"/>
      <c r="I39" s="62" t="n"/>
      <c r="J39" s="58" t="n"/>
      <c r="K39" s="63">
        <f>IF(tblMovement[[#This Row],[Source]]="","",IFERROR(INDEX(tblSources[Type],MATCH(tblMovement[[#This Row],[Source]],tblSources[Source],0)),"?"))</f>
        <v/>
      </c>
      <c r="L39" s="63">
        <f>IF(tblMovement[[#This Row],[Destination]]="","",IFERROR(INDEX(tblDestinations[Type],MATCH(tblMovement[[#This Row],[Destination]],tblDestinations[Destination],0)),"?"))</f>
        <v/>
      </c>
      <c r="M39" s="64">
        <f>IF(tblMovement[[#This Row],[Material]]="","",IF(LEFT(tblMovement[[#This Row],[Material]],3)="Ore",1,0))</f>
        <v/>
      </c>
      <c r="N39" s="59">
        <f>IF(OR(tblMovement[[#This Row],[Tonnes_t]]="",tblMovement[[#This Row],[Grade_gpt]]=""),0,tblMovement[[#This Row],[Tonnes_t]]*tblMovement[[#This Row],[Grade_gpt]]/cfg_TroyOz)</f>
        <v/>
      </c>
      <c r="O39" s="59">
        <f>IF(tblMovement[[#This Row],[Is_Ore]]=1,tblMovement[[#This Row],[Contained_oz]],0)</f>
        <v/>
      </c>
    </row>
    <row r="40">
      <c r="A40" s="54" t="n"/>
      <c r="B40" s="61" t="n"/>
      <c r="C40" s="61" t="n"/>
      <c r="D40" s="61" t="n"/>
      <c r="E40" s="61" t="n"/>
      <c r="F40" s="55" t="n"/>
      <c r="G40" s="56" t="n"/>
      <c r="H40" s="55" t="n"/>
      <c r="I40" s="62" t="n"/>
      <c r="J40" s="58" t="n"/>
      <c r="K40" s="63">
        <f>IF(tblMovement[[#This Row],[Source]]="","",IFERROR(INDEX(tblSources[Type],MATCH(tblMovement[[#This Row],[Source]],tblSources[Source],0)),"?"))</f>
        <v/>
      </c>
      <c r="L40" s="63">
        <f>IF(tblMovement[[#This Row],[Destination]]="","",IFERROR(INDEX(tblDestinations[Type],MATCH(tblMovement[[#This Row],[Destination]],tblDestinations[Destination],0)),"?"))</f>
        <v/>
      </c>
      <c r="M40" s="64">
        <f>IF(tblMovement[[#This Row],[Material]]="","",IF(LEFT(tblMovement[[#This Row],[Material]],3)="Ore",1,0))</f>
        <v/>
      </c>
      <c r="N40" s="59">
        <f>IF(OR(tblMovement[[#This Row],[Tonnes_t]]="",tblMovement[[#This Row],[Grade_gpt]]=""),0,tblMovement[[#This Row],[Tonnes_t]]*tblMovement[[#This Row],[Grade_gpt]]/cfg_TroyOz)</f>
        <v/>
      </c>
      <c r="O40" s="59">
        <f>IF(tblMovement[[#This Row],[Is_Ore]]=1,tblMovement[[#This Row],[Contained_oz]],0)</f>
        <v/>
      </c>
    </row>
    <row r="41">
      <c r="A41" s="54" t="n"/>
      <c r="B41" s="61" t="n"/>
      <c r="C41" s="61" t="n"/>
      <c r="D41" s="61" t="n"/>
      <c r="E41" s="61" t="n"/>
      <c r="F41" s="55" t="n"/>
      <c r="G41" s="56" t="n"/>
      <c r="H41" s="55" t="n"/>
      <c r="I41" s="62" t="n"/>
      <c r="J41" s="58" t="n"/>
      <c r="K41" s="63">
        <f>IF(tblMovement[[#This Row],[Source]]="","",IFERROR(INDEX(tblSources[Type],MATCH(tblMovement[[#This Row],[Source]],tblSources[Source],0)),"?"))</f>
        <v/>
      </c>
      <c r="L41" s="63">
        <f>IF(tblMovement[[#This Row],[Destination]]="","",IFERROR(INDEX(tblDestinations[Type],MATCH(tblMovement[[#This Row],[Destination]],tblDestinations[Destination],0)),"?"))</f>
        <v/>
      </c>
      <c r="M41" s="64">
        <f>IF(tblMovement[[#This Row],[Material]]="","",IF(LEFT(tblMovement[[#This Row],[Material]],3)="Ore",1,0))</f>
        <v/>
      </c>
      <c r="N41" s="59">
        <f>IF(OR(tblMovement[[#This Row],[Tonnes_t]]="",tblMovement[[#This Row],[Grade_gpt]]=""),0,tblMovement[[#This Row],[Tonnes_t]]*tblMovement[[#This Row],[Grade_gpt]]/cfg_TroyOz)</f>
        <v/>
      </c>
      <c r="O41" s="59">
        <f>IF(tblMovement[[#This Row],[Is_Ore]]=1,tblMovement[[#This Row],[Contained_oz]],0)</f>
        <v/>
      </c>
    </row>
    <row r="42">
      <c r="A42" s="54" t="n"/>
      <c r="B42" s="61" t="n"/>
      <c r="C42" s="61" t="n"/>
      <c r="D42" s="61" t="n"/>
      <c r="E42" s="61" t="n"/>
      <c r="F42" s="55" t="n"/>
      <c r="G42" s="56" t="n"/>
      <c r="H42" s="55" t="n"/>
      <c r="I42" s="62" t="n"/>
      <c r="J42" s="58" t="n"/>
      <c r="K42" s="63">
        <f>IF(tblMovement[[#This Row],[Source]]="","",IFERROR(INDEX(tblSources[Type],MATCH(tblMovement[[#This Row],[Source]],tblSources[Source],0)),"?"))</f>
        <v/>
      </c>
      <c r="L42" s="63">
        <f>IF(tblMovement[[#This Row],[Destination]]="","",IFERROR(INDEX(tblDestinations[Type],MATCH(tblMovement[[#This Row],[Destination]],tblDestinations[Destination],0)),"?"))</f>
        <v/>
      </c>
      <c r="M42" s="64">
        <f>IF(tblMovement[[#This Row],[Material]]="","",IF(LEFT(tblMovement[[#This Row],[Material]],3)="Ore",1,0))</f>
        <v/>
      </c>
      <c r="N42" s="59">
        <f>IF(OR(tblMovement[[#This Row],[Tonnes_t]]="",tblMovement[[#This Row],[Grade_gpt]]=""),0,tblMovement[[#This Row],[Tonnes_t]]*tblMovement[[#This Row],[Grade_gpt]]/cfg_TroyOz)</f>
        <v/>
      </c>
      <c r="O42" s="59">
        <f>IF(tblMovement[[#This Row],[Is_Ore]]=1,tblMovement[[#This Row],[Contained_oz]],0)</f>
        <v/>
      </c>
    </row>
    <row r="43">
      <c r="A43" s="54" t="n"/>
      <c r="B43" s="61" t="n"/>
      <c r="C43" s="61" t="n"/>
      <c r="D43" s="61" t="n"/>
      <c r="E43" s="61" t="n"/>
      <c r="F43" s="55" t="n"/>
      <c r="G43" s="56" t="n"/>
      <c r="H43" s="55" t="n"/>
      <c r="I43" s="62" t="n"/>
      <c r="J43" s="58" t="n"/>
      <c r="K43" s="63">
        <f>IF(tblMovement[[#This Row],[Source]]="","",IFERROR(INDEX(tblSources[Type],MATCH(tblMovement[[#This Row],[Source]],tblSources[Source],0)),"?"))</f>
        <v/>
      </c>
      <c r="L43" s="63">
        <f>IF(tblMovement[[#This Row],[Destination]]="","",IFERROR(INDEX(tblDestinations[Type],MATCH(tblMovement[[#This Row],[Destination]],tblDestinations[Destination],0)),"?"))</f>
        <v/>
      </c>
      <c r="M43" s="64">
        <f>IF(tblMovement[[#This Row],[Material]]="","",IF(LEFT(tblMovement[[#This Row],[Material]],3)="Ore",1,0))</f>
        <v/>
      </c>
      <c r="N43" s="59">
        <f>IF(OR(tblMovement[[#This Row],[Tonnes_t]]="",tblMovement[[#This Row],[Grade_gpt]]=""),0,tblMovement[[#This Row],[Tonnes_t]]*tblMovement[[#This Row],[Grade_gpt]]/cfg_TroyOz)</f>
        <v/>
      </c>
      <c r="O43" s="59">
        <f>IF(tblMovement[[#This Row],[Is_Ore]]=1,tblMovement[[#This Row],[Contained_oz]],0)</f>
        <v/>
      </c>
    </row>
    <row r="44">
      <c r="A44" s="54" t="n"/>
      <c r="B44" s="61" t="n"/>
      <c r="C44" s="61" t="n"/>
      <c r="D44" s="61" t="n"/>
      <c r="E44" s="61" t="n"/>
      <c r="F44" s="55" t="n"/>
      <c r="G44" s="56" t="n"/>
      <c r="H44" s="55" t="n"/>
      <c r="I44" s="62" t="n"/>
      <c r="J44" s="58" t="n"/>
      <c r="K44" s="63">
        <f>IF(tblMovement[[#This Row],[Source]]="","",IFERROR(INDEX(tblSources[Type],MATCH(tblMovement[[#This Row],[Source]],tblSources[Source],0)),"?"))</f>
        <v/>
      </c>
      <c r="L44" s="63">
        <f>IF(tblMovement[[#This Row],[Destination]]="","",IFERROR(INDEX(tblDestinations[Type],MATCH(tblMovement[[#This Row],[Destination]],tblDestinations[Destination],0)),"?"))</f>
        <v/>
      </c>
      <c r="M44" s="64">
        <f>IF(tblMovement[[#This Row],[Material]]="","",IF(LEFT(tblMovement[[#This Row],[Material]],3)="Ore",1,0))</f>
        <v/>
      </c>
      <c r="N44" s="59">
        <f>IF(OR(tblMovement[[#This Row],[Tonnes_t]]="",tblMovement[[#This Row],[Grade_gpt]]=""),0,tblMovement[[#This Row],[Tonnes_t]]*tblMovement[[#This Row],[Grade_gpt]]/cfg_TroyOz)</f>
        <v/>
      </c>
      <c r="O44" s="59">
        <f>IF(tblMovement[[#This Row],[Is_Ore]]=1,tblMovement[[#This Row],[Contained_oz]],0)</f>
        <v/>
      </c>
    </row>
    <row r="45">
      <c r="A45" s="54" t="n"/>
      <c r="B45" s="61" t="n"/>
      <c r="C45" s="61" t="n"/>
      <c r="D45" s="61" t="n"/>
      <c r="E45" s="61" t="n"/>
      <c r="F45" s="55" t="n"/>
      <c r="G45" s="56" t="n"/>
      <c r="H45" s="55" t="n"/>
      <c r="I45" s="62" t="n"/>
      <c r="J45" s="58" t="n"/>
      <c r="K45" s="63">
        <f>IF(tblMovement[[#This Row],[Source]]="","",IFERROR(INDEX(tblSources[Type],MATCH(tblMovement[[#This Row],[Source]],tblSources[Source],0)),"?"))</f>
        <v/>
      </c>
      <c r="L45" s="63">
        <f>IF(tblMovement[[#This Row],[Destination]]="","",IFERROR(INDEX(tblDestinations[Type],MATCH(tblMovement[[#This Row],[Destination]],tblDestinations[Destination],0)),"?"))</f>
        <v/>
      </c>
      <c r="M45" s="64">
        <f>IF(tblMovement[[#This Row],[Material]]="","",IF(LEFT(tblMovement[[#This Row],[Material]],3)="Ore",1,0))</f>
        <v/>
      </c>
      <c r="N45" s="59">
        <f>IF(OR(tblMovement[[#This Row],[Tonnes_t]]="",tblMovement[[#This Row],[Grade_gpt]]=""),0,tblMovement[[#This Row],[Tonnes_t]]*tblMovement[[#This Row],[Grade_gpt]]/cfg_TroyOz)</f>
        <v/>
      </c>
      <c r="O45" s="59">
        <f>IF(tblMovement[[#This Row],[Is_Ore]]=1,tblMovement[[#This Row],[Contained_oz]],0)</f>
        <v/>
      </c>
    </row>
    <row r="46">
      <c r="A46" s="54" t="n"/>
      <c r="B46" s="61" t="n"/>
      <c r="C46" s="61" t="n"/>
      <c r="D46" s="61" t="n"/>
      <c r="E46" s="61" t="n"/>
      <c r="F46" s="55" t="n"/>
      <c r="G46" s="56" t="n"/>
      <c r="H46" s="55" t="n"/>
      <c r="I46" s="62" t="n"/>
      <c r="J46" s="58" t="n"/>
      <c r="K46" s="63">
        <f>IF(tblMovement[[#This Row],[Source]]="","",IFERROR(INDEX(tblSources[Type],MATCH(tblMovement[[#This Row],[Source]],tblSources[Source],0)),"?"))</f>
        <v/>
      </c>
      <c r="L46" s="63">
        <f>IF(tblMovement[[#This Row],[Destination]]="","",IFERROR(INDEX(tblDestinations[Type],MATCH(tblMovement[[#This Row],[Destination]],tblDestinations[Destination],0)),"?"))</f>
        <v/>
      </c>
      <c r="M46" s="64">
        <f>IF(tblMovement[[#This Row],[Material]]="","",IF(LEFT(tblMovement[[#This Row],[Material]],3)="Ore",1,0))</f>
        <v/>
      </c>
      <c r="N46" s="59">
        <f>IF(OR(tblMovement[[#This Row],[Tonnes_t]]="",tblMovement[[#This Row],[Grade_gpt]]=""),0,tblMovement[[#This Row],[Tonnes_t]]*tblMovement[[#This Row],[Grade_gpt]]/cfg_TroyOz)</f>
        <v/>
      </c>
      <c r="O46" s="59">
        <f>IF(tblMovement[[#This Row],[Is_Ore]]=1,tblMovement[[#This Row],[Contained_oz]],0)</f>
        <v/>
      </c>
    </row>
    <row r="47">
      <c r="A47" s="54" t="n"/>
      <c r="B47" s="61" t="n"/>
      <c r="C47" s="61" t="n"/>
      <c r="D47" s="61" t="n"/>
      <c r="E47" s="61" t="n"/>
      <c r="F47" s="55" t="n"/>
      <c r="G47" s="56" t="n"/>
      <c r="H47" s="55" t="n"/>
      <c r="I47" s="62" t="n"/>
      <c r="J47" s="58" t="n"/>
      <c r="K47" s="63">
        <f>IF(tblMovement[[#This Row],[Source]]="","",IFERROR(INDEX(tblSources[Type],MATCH(tblMovement[[#This Row],[Source]],tblSources[Source],0)),"?"))</f>
        <v/>
      </c>
      <c r="L47" s="63">
        <f>IF(tblMovement[[#This Row],[Destination]]="","",IFERROR(INDEX(tblDestinations[Type],MATCH(tblMovement[[#This Row],[Destination]],tblDestinations[Destination],0)),"?"))</f>
        <v/>
      </c>
      <c r="M47" s="64">
        <f>IF(tblMovement[[#This Row],[Material]]="","",IF(LEFT(tblMovement[[#This Row],[Material]],3)="Ore",1,0))</f>
        <v/>
      </c>
      <c r="N47" s="59">
        <f>IF(OR(tblMovement[[#This Row],[Tonnes_t]]="",tblMovement[[#This Row],[Grade_gpt]]=""),0,tblMovement[[#This Row],[Tonnes_t]]*tblMovement[[#This Row],[Grade_gpt]]/cfg_TroyOz)</f>
        <v/>
      </c>
      <c r="O47" s="59">
        <f>IF(tblMovement[[#This Row],[Is_Ore]]=1,tblMovement[[#This Row],[Contained_oz]],0)</f>
        <v/>
      </c>
    </row>
    <row r="48">
      <c r="A48" s="54" t="n"/>
      <c r="B48" s="61" t="n"/>
      <c r="C48" s="61" t="n"/>
      <c r="D48" s="61" t="n"/>
      <c r="E48" s="61" t="n"/>
      <c r="F48" s="55" t="n"/>
      <c r="G48" s="56" t="n"/>
      <c r="H48" s="55" t="n"/>
      <c r="I48" s="62" t="n"/>
      <c r="J48" s="58" t="n"/>
      <c r="K48" s="63">
        <f>IF(tblMovement[[#This Row],[Source]]="","",IFERROR(INDEX(tblSources[Type],MATCH(tblMovement[[#This Row],[Source]],tblSources[Source],0)),"?"))</f>
        <v/>
      </c>
      <c r="L48" s="63">
        <f>IF(tblMovement[[#This Row],[Destination]]="","",IFERROR(INDEX(tblDestinations[Type],MATCH(tblMovement[[#This Row],[Destination]],tblDestinations[Destination],0)),"?"))</f>
        <v/>
      </c>
      <c r="M48" s="64">
        <f>IF(tblMovement[[#This Row],[Material]]="","",IF(LEFT(tblMovement[[#This Row],[Material]],3)="Ore",1,0))</f>
        <v/>
      </c>
      <c r="N48" s="59">
        <f>IF(OR(tblMovement[[#This Row],[Tonnes_t]]="",tblMovement[[#This Row],[Grade_gpt]]=""),0,tblMovement[[#This Row],[Tonnes_t]]*tblMovement[[#This Row],[Grade_gpt]]/cfg_TroyOz)</f>
        <v/>
      </c>
      <c r="O48" s="59">
        <f>IF(tblMovement[[#This Row],[Is_Ore]]=1,tblMovement[[#This Row],[Contained_oz]],0)</f>
        <v/>
      </c>
    </row>
    <row r="49">
      <c r="A49" s="54" t="n"/>
      <c r="B49" s="61" t="n"/>
      <c r="C49" s="61" t="n"/>
      <c r="D49" s="61" t="n"/>
      <c r="E49" s="61" t="n"/>
      <c r="F49" s="55" t="n"/>
      <c r="G49" s="56" t="n"/>
      <c r="H49" s="55" t="n"/>
      <c r="I49" s="62" t="n"/>
      <c r="J49" s="58" t="n"/>
      <c r="K49" s="63">
        <f>IF(tblMovement[[#This Row],[Source]]="","",IFERROR(INDEX(tblSources[Type],MATCH(tblMovement[[#This Row],[Source]],tblSources[Source],0)),"?"))</f>
        <v/>
      </c>
      <c r="L49" s="63">
        <f>IF(tblMovement[[#This Row],[Destination]]="","",IFERROR(INDEX(tblDestinations[Type],MATCH(tblMovement[[#This Row],[Destination]],tblDestinations[Destination],0)),"?"))</f>
        <v/>
      </c>
      <c r="M49" s="64">
        <f>IF(tblMovement[[#This Row],[Material]]="","",IF(LEFT(tblMovement[[#This Row],[Material]],3)="Ore",1,0))</f>
        <v/>
      </c>
      <c r="N49" s="59">
        <f>IF(OR(tblMovement[[#This Row],[Tonnes_t]]="",tblMovement[[#This Row],[Grade_gpt]]=""),0,tblMovement[[#This Row],[Tonnes_t]]*tblMovement[[#This Row],[Grade_gpt]]/cfg_TroyOz)</f>
        <v/>
      </c>
      <c r="O49" s="59">
        <f>IF(tblMovement[[#This Row],[Is_Ore]]=1,tblMovement[[#This Row],[Contained_oz]],0)</f>
        <v/>
      </c>
    </row>
    <row r="50">
      <c r="A50" s="54" t="n"/>
      <c r="B50" s="61" t="n"/>
      <c r="C50" s="61" t="n"/>
      <c r="D50" s="61" t="n"/>
      <c r="E50" s="61" t="n"/>
      <c r="F50" s="55" t="n"/>
      <c r="G50" s="56" t="n"/>
      <c r="H50" s="55" t="n"/>
      <c r="I50" s="62" t="n"/>
      <c r="J50" s="58" t="n"/>
      <c r="K50" s="63">
        <f>IF(tblMovement[[#This Row],[Source]]="","",IFERROR(INDEX(tblSources[Type],MATCH(tblMovement[[#This Row],[Source]],tblSources[Source],0)),"?"))</f>
        <v/>
      </c>
      <c r="L50" s="63">
        <f>IF(tblMovement[[#This Row],[Destination]]="","",IFERROR(INDEX(tblDestinations[Type],MATCH(tblMovement[[#This Row],[Destination]],tblDestinations[Destination],0)),"?"))</f>
        <v/>
      </c>
      <c r="M50" s="64">
        <f>IF(tblMovement[[#This Row],[Material]]="","",IF(LEFT(tblMovement[[#This Row],[Material]],3)="Ore",1,0))</f>
        <v/>
      </c>
      <c r="N50" s="59">
        <f>IF(OR(tblMovement[[#This Row],[Tonnes_t]]="",tblMovement[[#This Row],[Grade_gpt]]=""),0,tblMovement[[#This Row],[Tonnes_t]]*tblMovement[[#This Row],[Grade_gpt]]/cfg_TroyOz)</f>
        <v/>
      </c>
      <c r="O50" s="59">
        <f>IF(tblMovement[[#This Row],[Is_Ore]]=1,tblMovement[[#This Row],[Contained_oz]],0)</f>
        <v/>
      </c>
    </row>
    <row r="51">
      <c r="A51" s="54" t="n"/>
      <c r="B51" s="61" t="n"/>
      <c r="C51" s="61" t="n"/>
      <c r="D51" s="61" t="n"/>
      <c r="E51" s="61" t="n"/>
      <c r="F51" s="55" t="n"/>
      <c r="G51" s="56" t="n"/>
      <c r="H51" s="55" t="n"/>
      <c r="I51" s="62" t="n"/>
      <c r="J51" s="58" t="n"/>
      <c r="K51" s="63">
        <f>IF(tblMovement[[#This Row],[Source]]="","",IFERROR(INDEX(tblSources[Type],MATCH(tblMovement[[#This Row],[Source]],tblSources[Source],0)),"?"))</f>
        <v/>
      </c>
      <c r="L51" s="63">
        <f>IF(tblMovement[[#This Row],[Destination]]="","",IFERROR(INDEX(tblDestinations[Type],MATCH(tblMovement[[#This Row],[Destination]],tblDestinations[Destination],0)),"?"))</f>
        <v/>
      </c>
      <c r="M51" s="64">
        <f>IF(tblMovement[[#This Row],[Material]]="","",IF(LEFT(tblMovement[[#This Row],[Material]],3)="Ore",1,0))</f>
        <v/>
      </c>
      <c r="N51" s="59">
        <f>IF(OR(tblMovement[[#This Row],[Tonnes_t]]="",tblMovement[[#This Row],[Grade_gpt]]=""),0,tblMovement[[#This Row],[Tonnes_t]]*tblMovement[[#This Row],[Grade_gpt]]/cfg_TroyOz)</f>
        <v/>
      </c>
      <c r="O51" s="59">
        <f>IF(tblMovement[[#This Row],[Is_Ore]]=1,tblMovement[[#This Row],[Contained_oz]],0)</f>
        <v/>
      </c>
    </row>
    <row r="52">
      <c r="A52" s="54" t="n"/>
      <c r="B52" s="61" t="n"/>
      <c r="C52" s="61" t="n"/>
      <c r="D52" s="61" t="n"/>
      <c r="E52" s="61" t="n"/>
      <c r="F52" s="55" t="n"/>
      <c r="G52" s="56" t="n"/>
      <c r="H52" s="55" t="n"/>
      <c r="I52" s="62" t="n"/>
      <c r="J52" s="58" t="n"/>
      <c r="K52" s="63">
        <f>IF(tblMovement[[#This Row],[Source]]="","",IFERROR(INDEX(tblSources[Type],MATCH(tblMovement[[#This Row],[Source]],tblSources[Source],0)),"?"))</f>
        <v/>
      </c>
      <c r="L52" s="63">
        <f>IF(tblMovement[[#This Row],[Destination]]="","",IFERROR(INDEX(tblDestinations[Type],MATCH(tblMovement[[#This Row],[Destination]],tblDestinations[Destination],0)),"?"))</f>
        <v/>
      </c>
      <c r="M52" s="64">
        <f>IF(tblMovement[[#This Row],[Material]]="","",IF(LEFT(tblMovement[[#This Row],[Material]],3)="Ore",1,0))</f>
        <v/>
      </c>
      <c r="N52" s="59">
        <f>IF(OR(tblMovement[[#This Row],[Tonnes_t]]="",tblMovement[[#This Row],[Grade_gpt]]=""),0,tblMovement[[#This Row],[Tonnes_t]]*tblMovement[[#This Row],[Grade_gpt]]/cfg_TroyOz)</f>
        <v/>
      </c>
      <c r="O52" s="59">
        <f>IF(tblMovement[[#This Row],[Is_Ore]]=1,tblMovement[[#This Row],[Contained_oz]],0)</f>
        <v/>
      </c>
    </row>
    <row r="53">
      <c r="A53" s="54" t="n"/>
      <c r="B53" s="61" t="n"/>
      <c r="C53" s="61" t="n"/>
      <c r="D53" s="61" t="n"/>
      <c r="E53" s="61" t="n"/>
      <c r="F53" s="55" t="n"/>
      <c r="G53" s="56" t="n"/>
      <c r="H53" s="55" t="n"/>
      <c r="I53" s="62" t="n"/>
      <c r="J53" s="58" t="n"/>
      <c r="K53" s="63">
        <f>IF(tblMovement[[#This Row],[Source]]="","",IFERROR(INDEX(tblSources[Type],MATCH(tblMovement[[#This Row],[Source]],tblSources[Source],0)),"?"))</f>
        <v/>
      </c>
      <c r="L53" s="63">
        <f>IF(tblMovement[[#This Row],[Destination]]="","",IFERROR(INDEX(tblDestinations[Type],MATCH(tblMovement[[#This Row],[Destination]],tblDestinations[Destination],0)),"?"))</f>
        <v/>
      </c>
      <c r="M53" s="64">
        <f>IF(tblMovement[[#This Row],[Material]]="","",IF(LEFT(tblMovement[[#This Row],[Material]],3)="Ore",1,0))</f>
        <v/>
      </c>
      <c r="N53" s="59">
        <f>IF(OR(tblMovement[[#This Row],[Tonnes_t]]="",tblMovement[[#This Row],[Grade_gpt]]=""),0,tblMovement[[#This Row],[Tonnes_t]]*tblMovement[[#This Row],[Grade_gpt]]/cfg_TroyOz)</f>
        <v/>
      </c>
      <c r="O53" s="59">
        <f>IF(tblMovement[[#This Row],[Is_Ore]]=1,tblMovement[[#This Row],[Contained_oz]],0)</f>
        <v/>
      </c>
    </row>
    <row r="54">
      <c r="A54" s="54" t="n"/>
      <c r="B54" s="61" t="n"/>
      <c r="C54" s="61" t="n"/>
      <c r="D54" s="61" t="n"/>
      <c r="E54" s="61" t="n"/>
      <c r="F54" s="55" t="n"/>
      <c r="G54" s="56" t="n"/>
      <c r="H54" s="55" t="n"/>
      <c r="I54" s="62" t="n"/>
      <c r="J54" s="58" t="n"/>
      <c r="K54" s="63">
        <f>IF(tblMovement[[#This Row],[Source]]="","",IFERROR(INDEX(tblSources[Type],MATCH(tblMovement[[#This Row],[Source]],tblSources[Source],0)),"?"))</f>
        <v/>
      </c>
      <c r="L54" s="63">
        <f>IF(tblMovement[[#This Row],[Destination]]="","",IFERROR(INDEX(tblDestinations[Type],MATCH(tblMovement[[#This Row],[Destination]],tblDestinations[Destination],0)),"?"))</f>
        <v/>
      </c>
      <c r="M54" s="64">
        <f>IF(tblMovement[[#This Row],[Material]]="","",IF(LEFT(tblMovement[[#This Row],[Material]],3)="Ore",1,0))</f>
        <v/>
      </c>
      <c r="N54" s="59">
        <f>IF(OR(tblMovement[[#This Row],[Tonnes_t]]="",tblMovement[[#This Row],[Grade_gpt]]=""),0,tblMovement[[#This Row],[Tonnes_t]]*tblMovement[[#This Row],[Grade_gpt]]/cfg_TroyOz)</f>
        <v/>
      </c>
      <c r="O54" s="59">
        <f>IF(tblMovement[[#This Row],[Is_Ore]]=1,tblMovement[[#This Row],[Contained_oz]],0)</f>
        <v/>
      </c>
    </row>
    <row r="55">
      <c r="A55" s="54" t="n"/>
      <c r="B55" s="61" t="n"/>
      <c r="C55" s="61" t="n"/>
      <c r="D55" s="61" t="n"/>
      <c r="E55" s="61" t="n"/>
      <c r="F55" s="55" t="n"/>
      <c r="G55" s="56" t="n"/>
      <c r="H55" s="55" t="n"/>
      <c r="I55" s="62" t="n"/>
      <c r="J55" s="58" t="n"/>
      <c r="K55" s="63">
        <f>IF(tblMovement[[#This Row],[Source]]="","",IFERROR(INDEX(tblSources[Type],MATCH(tblMovement[[#This Row],[Source]],tblSources[Source],0)),"?"))</f>
        <v/>
      </c>
      <c r="L55" s="63">
        <f>IF(tblMovement[[#This Row],[Destination]]="","",IFERROR(INDEX(tblDestinations[Type],MATCH(tblMovement[[#This Row],[Destination]],tblDestinations[Destination],0)),"?"))</f>
        <v/>
      </c>
      <c r="M55" s="64">
        <f>IF(tblMovement[[#This Row],[Material]]="","",IF(LEFT(tblMovement[[#This Row],[Material]],3)="Ore",1,0))</f>
        <v/>
      </c>
      <c r="N55" s="59">
        <f>IF(OR(tblMovement[[#This Row],[Tonnes_t]]="",tblMovement[[#This Row],[Grade_gpt]]=""),0,tblMovement[[#This Row],[Tonnes_t]]*tblMovement[[#This Row],[Grade_gpt]]/cfg_TroyOz)</f>
        <v/>
      </c>
      <c r="O55" s="59">
        <f>IF(tblMovement[[#This Row],[Is_Ore]]=1,tblMovement[[#This Row],[Contained_oz]],0)</f>
        <v/>
      </c>
    </row>
    <row r="56">
      <c r="A56" s="54" t="n"/>
      <c r="B56" s="61" t="n"/>
      <c r="C56" s="61" t="n"/>
      <c r="D56" s="61" t="n"/>
      <c r="E56" s="61" t="n"/>
      <c r="F56" s="55" t="n"/>
      <c r="G56" s="56" t="n"/>
      <c r="H56" s="55" t="n"/>
      <c r="I56" s="62" t="n"/>
      <c r="J56" s="58" t="n"/>
      <c r="K56" s="63">
        <f>IF(tblMovement[[#This Row],[Source]]="","",IFERROR(INDEX(tblSources[Type],MATCH(tblMovement[[#This Row],[Source]],tblSources[Source],0)),"?"))</f>
        <v/>
      </c>
      <c r="L56" s="63">
        <f>IF(tblMovement[[#This Row],[Destination]]="","",IFERROR(INDEX(tblDestinations[Type],MATCH(tblMovement[[#This Row],[Destination]],tblDestinations[Destination],0)),"?"))</f>
        <v/>
      </c>
      <c r="M56" s="64">
        <f>IF(tblMovement[[#This Row],[Material]]="","",IF(LEFT(tblMovement[[#This Row],[Material]],3)="Ore",1,0))</f>
        <v/>
      </c>
      <c r="N56" s="59">
        <f>IF(OR(tblMovement[[#This Row],[Tonnes_t]]="",tblMovement[[#This Row],[Grade_gpt]]=""),0,tblMovement[[#This Row],[Tonnes_t]]*tblMovement[[#This Row],[Grade_gpt]]/cfg_TroyOz)</f>
        <v/>
      </c>
      <c r="O56" s="59">
        <f>IF(tblMovement[[#This Row],[Is_Ore]]=1,tblMovement[[#This Row],[Contained_oz]],0)</f>
        <v/>
      </c>
    </row>
    <row r="57">
      <c r="A57" s="54" t="n"/>
      <c r="B57" s="61" t="n"/>
      <c r="C57" s="61" t="n"/>
      <c r="D57" s="61" t="n"/>
      <c r="E57" s="61" t="n"/>
      <c r="F57" s="55" t="n"/>
      <c r="G57" s="56" t="n"/>
      <c r="H57" s="55" t="n"/>
      <c r="I57" s="62" t="n"/>
      <c r="J57" s="58" t="n"/>
      <c r="K57" s="63">
        <f>IF(tblMovement[[#This Row],[Source]]="","",IFERROR(INDEX(tblSources[Type],MATCH(tblMovement[[#This Row],[Source]],tblSources[Source],0)),"?"))</f>
        <v/>
      </c>
      <c r="L57" s="63">
        <f>IF(tblMovement[[#This Row],[Destination]]="","",IFERROR(INDEX(tblDestinations[Type],MATCH(tblMovement[[#This Row],[Destination]],tblDestinations[Destination],0)),"?"))</f>
        <v/>
      </c>
      <c r="M57" s="64">
        <f>IF(tblMovement[[#This Row],[Material]]="","",IF(LEFT(tblMovement[[#This Row],[Material]],3)="Ore",1,0))</f>
        <v/>
      </c>
      <c r="N57" s="59">
        <f>IF(OR(tblMovement[[#This Row],[Tonnes_t]]="",tblMovement[[#This Row],[Grade_gpt]]=""),0,tblMovement[[#This Row],[Tonnes_t]]*tblMovement[[#This Row],[Grade_gpt]]/cfg_TroyOz)</f>
        <v/>
      </c>
      <c r="O57" s="59">
        <f>IF(tblMovement[[#This Row],[Is_Ore]]=1,tblMovement[[#This Row],[Contained_oz]],0)</f>
        <v/>
      </c>
    </row>
    <row r="58">
      <c r="A58" s="54" t="n"/>
      <c r="B58" s="61" t="n"/>
      <c r="C58" s="61" t="n"/>
      <c r="D58" s="61" t="n"/>
      <c r="E58" s="61" t="n"/>
      <c r="F58" s="55" t="n"/>
      <c r="G58" s="56" t="n"/>
      <c r="H58" s="55" t="n"/>
      <c r="I58" s="62" t="n"/>
      <c r="J58" s="58" t="n"/>
      <c r="K58" s="63">
        <f>IF(tblMovement[[#This Row],[Source]]="","",IFERROR(INDEX(tblSources[Type],MATCH(tblMovement[[#This Row],[Source]],tblSources[Source],0)),"?"))</f>
        <v/>
      </c>
      <c r="L58" s="63">
        <f>IF(tblMovement[[#This Row],[Destination]]="","",IFERROR(INDEX(tblDestinations[Type],MATCH(tblMovement[[#This Row],[Destination]],tblDestinations[Destination],0)),"?"))</f>
        <v/>
      </c>
      <c r="M58" s="64">
        <f>IF(tblMovement[[#This Row],[Material]]="","",IF(LEFT(tblMovement[[#This Row],[Material]],3)="Ore",1,0))</f>
        <v/>
      </c>
      <c r="N58" s="59">
        <f>IF(OR(tblMovement[[#This Row],[Tonnes_t]]="",tblMovement[[#This Row],[Grade_gpt]]=""),0,tblMovement[[#This Row],[Tonnes_t]]*tblMovement[[#This Row],[Grade_gpt]]/cfg_TroyOz)</f>
        <v/>
      </c>
      <c r="O58" s="59">
        <f>IF(tblMovement[[#This Row],[Is_Ore]]=1,tblMovement[[#This Row],[Contained_oz]],0)</f>
        <v/>
      </c>
    </row>
    <row r="59">
      <c r="A59" s="54" t="n"/>
      <c r="B59" s="61" t="n"/>
      <c r="C59" s="61" t="n"/>
      <c r="D59" s="61" t="n"/>
      <c r="E59" s="61" t="n"/>
      <c r="F59" s="55" t="n"/>
      <c r="G59" s="56" t="n"/>
      <c r="H59" s="55" t="n"/>
      <c r="I59" s="62" t="n"/>
      <c r="J59" s="58" t="n"/>
      <c r="K59" s="63">
        <f>IF(tblMovement[[#This Row],[Source]]="","",IFERROR(INDEX(tblSources[Type],MATCH(tblMovement[[#This Row],[Source]],tblSources[Source],0)),"?"))</f>
        <v/>
      </c>
      <c r="L59" s="63">
        <f>IF(tblMovement[[#This Row],[Destination]]="","",IFERROR(INDEX(tblDestinations[Type],MATCH(tblMovement[[#This Row],[Destination]],tblDestinations[Destination],0)),"?"))</f>
        <v/>
      </c>
      <c r="M59" s="64">
        <f>IF(tblMovement[[#This Row],[Material]]="","",IF(LEFT(tblMovement[[#This Row],[Material]],3)="Ore",1,0))</f>
        <v/>
      </c>
      <c r="N59" s="59">
        <f>IF(OR(tblMovement[[#This Row],[Tonnes_t]]="",tblMovement[[#This Row],[Grade_gpt]]=""),0,tblMovement[[#This Row],[Tonnes_t]]*tblMovement[[#This Row],[Grade_gpt]]/cfg_TroyOz)</f>
        <v/>
      </c>
      <c r="O59" s="59">
        <f>IF(tblMovement[[#This Row],[Is_Ore]]=1,tblMovement[[#This Row],[Contained_oz]],0)</f>
        <v/>
      </c>
    </row>
    <row r="60">
      <c r="A60" s="54" t="n"/>
      <c r="B60" s="61" t="n"/>
      <c r="C60" s="61" t="n"/>
      <c r="D60" s="61" t="n"/>
      <c r="E60" s="61" t="n"/>
      <c r="F60" s="55" t="n"/>
      <c r="G60" s="56" t="n"/>
      <c r="H60" s="55" t="n"/>
      <c r="I60" s="62" t="n"/>
      <c r="J60" s="58" t="n"/>
      <c r="K60" s="63">
        <f>IF(tblMovement[[#This Row],[Source]]="","",IFERROR(INDEX(tblSources[Type],MATCH(tblMovement[[#This Row],[Source]],tblSources[Source],0)),"?"))</f>
        <v/>
      </c>
      <c r="L60" s="63">
        <f>IF(tblMovement[[#This Row],[Destination]]="","",IFERROR(INDEX(tblDestinations[Type],MATCH(tblMovement[[#This Row],[Destination]],tblDestinations[Destination],0)),"?"))</f>
        <v/>
      </c>
      <c r="M60" s="64">
        <f>IF(tblMovement[[#This Row],[Material]]="","",IF(LEFT(tblMovement[[#This Row],[Material]],3)="Ore",1,0))</f>
        <v/>
      </c>
      <c r="N60" s="59">
        <f>IF(OR(tblMovement[[#This Row],[Tonnes_t]]="",tblMovement[[#This Row],[Grade_gpt]]=""),0,tblMovement[[#This Row],[Tonnes_t]]*tblMovement[[#This Row],[Grade_gpt]]/cfg_TroyOz)</f>
        <v/>
      </c>
      <c r="O60" s="59">
        <f>IF(tblMovement[[#This Row],[Is_Ore]]=1,tblMovement[[#This Row],[Contained_oz]],0)</f>
        <v/>
      </c>
    </row>
    <row r="61">
      <c r="A61" s="54" t="n"/>
      <c r="B61" s="61" t="n"/>
      <c r="C61" s="61" t="n"/>
      <c r="D61" s="61" t="n"/>
      <c r="E61" s="61" t="n"/>
      <c r="F61" s="55" t="n"/>
      <c r="G61" s="56" t="n"/>
      <c r="H61" s="55" t="n"/>
      <c r="I61" s="62" t="n"/>
      <c r="J61" s="58" t="n"/>
      <c r="K61" s="63">
        <f>IF(tblMovement[[#This Row],[Source]]="","",IFERROR(INDEX(tblSources[Type],MATCH(tblMovement[[#This Row],[Source]],tblSources[Source],0)),"?"))</f>
        <v/>
      </c>
      <c r="L61" s="63">
        <f>IF(tblMovement[[#This Row],[Destination]]="","",IFERROR(INDEX(tblDestinations[Type],MATCH(tblMovement[[#This Row],[Destination]],tblDestinations[Destination],0)),"?"))</f>
        <v/>
      </c>
      <c r="M61" s="64">
        <f>IF(tblMovement[[#This Row],[Material]]="","",IF(LEFT(tblMovement[[#This Row],[Material]],3)="Ore",1,0))</f>
        <v/>
      </c>
      <c r="N61" s="59">
        <f>IF(OR(tblMovement[[#This Row],[Tonnes_t]]="",tblMovement[[#This Row],[Grade_gpt]]=""),0,tblMovement[[#This Row],[Tonnes_t]]*tblMovement[[#This Row],[Grade_gpt]]/cfg_TroyOz)</f>
        <v/>
      </c>
      <c r="O61" s="59">
        <f>IF(tblMovement[[#This Row],[Is_Ore]]=1,tblMovement[[#This Row],[Contained_oz]],0)</f>
        <v/>
      </c>
    </row>
    <row r="62">
      <c r="A62" s="54" t="n"/>
      <c r="B62" s="61" t="n"/>
      <c r="C62" s="61" t="n"/>
      <c r="D62" s="61" t="n"/>
      <c r="E62" s="61" t="n"/>
      <c r="F62" s="55" t="n"/>
      <c r="G62" s="56" t="n"/>
      <c r="H62" s="55" t="n"/>
      <c r="I62" s="62" t="n"/>
      <c r="J62" s="58" t="n"/>
      <c r="K62" s="63">
        <f>IF(tblMovement[[#This Row],[Source]]="","",IFERROR(INDEX(tblSources[Type],MATCH(tblMovement[[#This Row],[Source]],tblSources[Source],0)),"?"))</f>
        <v/>
      </c>
      <c r="L62" s="63">
        <f>IF(tblMovement[[#This Row],[Destination]]="","",IFERROR(INDEX(tblDestinations[Type],MATCH(tblMovement[[#This Row],[Destination]],tblDestinations[Destination],0)),"?"))</f>
        <v/>
      </c>
      <c r="M62" s="64">
        <f>IF(tblMovement[[#This Row],[Material]]="","",IF(LEFT(tblMovement[[#This Row],[Material]],3)="Ore",1,0))</f>
        <v/>
      </c>
      <c r="N62" s="59">
        <f>IF(OR(tblMovement[[#This Row],[Tonnes_t]]="",tblMovement[[#This Row],[Grade_gpt]]=""),0,tblMovement[[#This Row],[Tonnes_t]]*tblMovement[[#This Row],[Grade_gpt]]/cfg_TroyOz)</f>
        <v/>
      </c>
      <c r="O62" s="59">
        <f>IF(tblMovement[[#This Row],[Is_Ore]]=1,tblMovement[[#This Row],[Contained_oz]],0)</f>
        <v/>
      </c>
    </row>
    <row r="63">
      <c r="A63" s="54" t="n"/>
      <c r="B63" s="61" t="n"/>
      <c r="C63" s="61" t="n"/>
      <c r="D63" s="61" t="n"/>
      <c r="E63" s="61" t="n"/>
      <c r="F63" s="55" t="n"/>
      <c r="G63" s="56" t="n"/>
      <c r="H63" s="55" t="n"/>
      <c r="I63" s="62" t="n"/>
      <c r="J63" s="58" t="n"/>
      <c r="K63" s="63">
        <f>IF(tblMovement[[#This Row],[Source]]="","",IFERROR(INDEX(tblSources[Type],MATCH(tblMovement[[#This Row],[Source]],tblSources[Source],0)),"?"))</f>
        <v/>
      </c>
      <c r="L63" s="63">
        <f>IF(tblMovement[[#This Row],[Destination]]="","",IFERROR(INDEX(tblDestinations[Type],MATCH(tblMovement[[#This Row],[Destination]],tblDestinations[Destination],0)),"?"))</f>
        <v/>
      </c>
      <c r="M63" s="64">
        <f>IF(tblMovement[[#This Row],[Material]]="","",IF(LEFT(tblMovement[[#This Row],[Material]],3)="Ore",1,0))</f>
        <v/>
      </c>
      <c r="N63" s="59">
        <f>IF(OR(tblMovement[[#This Row],[Tonnes_t]]="",tblMovement[[#This Row],[Grade_gpt]]=""),0,tblMovement[[#This Row],[Tonnes_t]]*tblMovement[[#This Row],[Grade_gpt]]/cfg_TroyOz)</f>
        <v/>
      </c>
      <c r="O63" s="59">
        <f>IF(tblMovement[[#This Row],[Is_Ore]]=1,tblMovement[[#This Row],[Contained_oz]],0)</f>
        <v/>
      </c>
    </row>
    <row r="64">
      <c r="A64" s="54" t="n"/>
      <c r="B64" s="61" t="n"/>
      <c r="C64" s="61" t="n"/>
      <c r="D64" s="61" t="n"/>
      <c r="E64" s="61" t="n"/>
      <c r="F64" s="55" t="n"/>
      <c r="G64" s="56" t="n"/>
      <c r="H64" s="55" t="n"/>
      <c r="I64" s="62" t="n"/>
      <c r="J64" s="58" t="n"/>
      <c r="K64" s="63">
        <f>IF(tblMovement[[#This Row],[Source]]="","",IFERROR(INDEX(tblSources[Type],MATCH(tblMovement[[#This Row],[Source]],tblSources[Source],0)),"?"))</f>
        <v/>
      </c>
      <c r="L64" s="63">
        <f>IF(tblMovement[[#This Row],[Destination]]="","",IFERROR(INDEX(tblDestinations[Type],MATCH(tblMovement[[#This Row],[Destination]],tblDestinations[Destination],0)),"?"))</f>
        <v/>
      </c>
      <c r="M64" s="64">
        <f>IF(tblMovement[[#This Row],[Material]]="","",IF(LEFT(tblMovement[[#This Row],[Material]],3)="Ore",1,0))</f>
        <v/>
      </c>
      <c r="N64" s="59">
        <f>IF(OR(tblMovement[[#This Row],[Tonnes_t]]="",tblMovement[[#This Row],[Grade_gpt]]=""),0,tblMovement[[#This Row],[Tonnes_t]]*tblMovement[[#This Row],[Grade_gpt]]/cfg_TroyOz)</f>
        <v/>
      </c>
      <c r="O64" s="59">
        <f>IF(tblMovement[[#This Row],[Is_Ore]]=1,tblMovement[[#This Row],[Contained_oz]],0)</f>
        <v/>
      </c>
    </row>
    <row r="65">
      <c r="A65" s="54" t="n"/>
      <c r="B65" s="61" t="n"/>
      <c r="C65" s="61" t="n"/>
      <c r="D65" s="61" t="n"/>
      <c r="E65" s="61" t="n"/>
      <c r="F65" s="55" t="n"/>
      <c r="G65" s="56" t="n"/>
      <c r="H65" s="55" t="n"/>
      <c r="I65" s="62" t="n"/>
      <c r="J65" s="58" t="n"/>
      <c r="K65" s="63">
        <f>IF(tblMovement[[#This Row],[Source]]="","",IFERROR(INDEX(tblSources[Type],MATCH(tblMovement[[#This Row],[Source]],tblSources[Source],0)),"?"))</f>
        <v/>
      </c>
      <c r="L65" s="63">
        <f>IF(tblMovement[[#This Row],[Destination]]="","",IFERROR(INDEX(tblDestinations[Type],MATCH(tblMovement[[#This Row],[Destination]],tblDestinations[Destination],0)),"?"))</f>
        <v/>
      </c>
      <c r="M65" s="64">
        <f>IF(tblMovement[[#This Row],[Material]]="","",IF(LEFT(tblMovement[[#This Row],[Material]],3)="Ore",1,0))</f>
        <v/>
      </c>
      <c r="N65" s="59">
        <f>IF(OR(tblMovement[[#This Row],[Tonnes_t]]="",tblMovement[[#This Row],[Grade_gpt]]=""),0,tblMovement[[#This Row],[Tonnes_t]]*tblMovement[[#This Row],[Grade_gpt]]/cfg_TroyOz)</f>
        <v/>
      </c>
      <c r="O65" s="59">
        <f>IF(tblMovement[[#This Row],[Is_Ore]]=1,tblMovement[[#This Row],[Contained_oz]],0)</f>
        <v/>
      </c>
    </row>
    <row r="66">
      <c r="A66" s="54" t="n"/>
      <c r="B66" s="61" t="n"/>
      <c r="C66" s="61" t="n"/>
      <c r="D66" s="61" t="n"/>
      <c r="E66" s="61" t="n"/>
      <c r="F66" s="55" t="n"/>
      <c r="G66" s="56" t="n"/>
      <c r="H66" s="55" t="n"/>
      <c r="I66" s="62" t="n"/>
      <c r="J66" s="58" t="n"/>
      <c r="K66" s="63">
        <f>IF(tblMovement[[#This Row],[Source]]="","",IFERROR(INDEX(tblSources[Type],MATCH(tblMovement[[#This Row],[Source]],tblSources[Source],0)),"?"))</f>
        <v/>
      </c>
      <c r="L66" s="63">
        <f>IF(tblMovement[[#This Row],[Destination]]="","",IFERROR(INDEX(tblDestinations[Type],MATCH(tblMovement[[#This Row],[Destination]],tblDestinations[Destination],0)),"?"))</f>
        <v/>
      </c>
      <c r="M66" s="64">
        <f>IF(tblMovement[[#This Row],[Material]]="","",IF(LEFT(tblMovement[[#This Row],[Material]],3)="Ore",1,0))</f>
        <v/>
      </c>
      <c r="N66" s="59">
        <f>IF(OR(tblMovement[[#This Row],[Tonnes_t]]="",tblMovement[[#This Row],[Grade_gpt]]=""),0,tblMovement[[#This Row],[Tonnes_t]]*tblMovement[[#This Row],[Grade_gpt]]/cfg_TroyOz)</f>
        <v/>
      </c>
      <c r="O66" s="59">
        <f>IF(tblMovement[[#This Row],[Is_Ore]]=1,tblMovement[[#This Row],[Contained_oz]],0)</f>
        <v/>
      </c>
    </row>
    <row r="67">
      <c r="A67" s="54" t="n"/>
      <c r="B67" s="61" t="n"/>
      <c r="C67" s="61" t="n"/>
      <c r="D67" s="61" t="n"/>
      <c r="E67" s="61" t="n"/>
      <c r="F67" s="55" t="n"/>
      <c r="G67" s="56" t="n"/>
      <c r="H67" s="55" t="n"/>
      <c r="I67" s="62" t="n"/>
      <c r="J67" s="58" t="n"/>
      <c r="K67" s="63">
        <f>IF(tblMovement[[#This Row],[Source]]="","",IFERROR(INDEX(tblSources[Type],MATCH(tblMovement[[#This Row],[Source]],tblSources[Source],0)),"?"))</f>
        <v/>
      </c>
      <c r="L67" s="63">
        <f>IF(tblMovement[[#This Row],[Destination]]="","",IFERROR(INDEX(tblDestinations[Type],MATCH(tblMovement[[#This Row],[Destination]],tblDestinations[Destination],0)),"?"))</f>
        <v/>
      </c>
      <c r="M67" s="64">
        <f>IF(tblMovement[[#This Row],[Material]]="","",IF(LEFT(tblMovement[[#This Row],[Material]],3)="Ore",1,0))</f>
        <v/>
      </c>
      <c r="N67" s="59">
        <f>IF(OR(tblMovement[[#This Row],[Tonnes_t]]="",tblMovement[[#This Row],[Grade_gpt]]=""),0,tblMovement[[#This Row],[Tonnes_t]]*tblMovement[[#This Row],[Grade_gpt]]/cfg_TroyOz)</f>
        <v/>
      </c>
      <c r="O67" s="59">
        <f>IF(tblMovement[[#This Row],[Is_Ore]]=1,tblMovement[[#This Row],[Contained_oz]],0)</f>
        <v/>
      </c>
    </row>
    <row r="68">
      <c r="A68" s="54" t="n"/>
      <c r="B68" s="61" t="n"/>
      <c r="C68" s="61" t="n"/>
      <c r="D68" s="61" t="n"/>
      <c r="E68" s="61" t="n"/>
      <c r="F68" s="55" t="n"/>
      <c r="G68" s="56" t="n"/>
      <c r="H68" s="55" t="n"/>
      <c r="I68" s="62" t="n"/>
      <c r="J68" s="58" t="n"/>
      <c r="K68" s="63">
        <f>IF(tblMovement[[#This Row],[Source]]="","",IFERROR(INDEX(tblSources[Type],MATCH(tblMovement[[#This Row],[Source]],tblSources[Source],0)),"?"))</f>
        <v/>
      </c>
      <c r="L68" s="63">
        <f>IF(tblMovement[[#This Row],[Destination]]="","",IFERROR(INDEX(tblDestinations[Type],MATCH(tblMovement[[#This Row],[Destination]],tblDestinations[Destination],0)),"?"))</f>
        <v/>
      </c>
      <c r="M68" s="64">
        <f>IF(tblMovement[[#This Row],[Material]]="","",IF(LEFT(tblMovement[[#This Row],[Material]],3)="Ore",1,0))</f>
        <v/>
      </c>
      <c r="N68" s="59">
        <f>IF(OR(tblMovement[[#This Row],[Tonnes_t]]="",tblMovement[[#This Row],[Grade_gpt]]=""),0,tblMovement[[#This Row],[Tonnes_t]]*tblMovement[[#This Row],[Grade_gpt]]/cfg_TroyOz)</f>
        <v/>
      </c>
      <c r="O68" s="59">
        <f>IF(tblMovement[[#This Row],[Is_Ore]]=1,tblMovement[[#This Row],[Contained_oz]],0)</f>
        <v/>
      </c>
    </row>
    <row r="69">
      <c r="A69" s="54" t="n"/>
      <c r="B69" s="61" t="n"/>
      <c r="C69" s="61" t="n"/>
      <c r="D69" s="61" t="n"/>
      <c r="E69" s="61" t="n"/>
      <c r="F69" s="55" t="n"/>
      <c r="G69" s="56" t="n"/>
      <c r="H69" s="55" t="n"/>
      <c r="I69" s="62" t="n"/>
      <c r="J69" s="58" t="n"/>
      <c r="K69" s="63">
        <f>IF(tblMovement[[#This Row],[Source]]="","",IFERROR(INDEX(tblSources[Type],MATCH(tblMovement[[#This Row],[Source]],tblSources[Source],0)),"?"))</f>
        <v/>
      </c>
      <c r="L69" s="63">
        <f>IF(tblMovement[[#This Row],[Destination]]="","",IFERROR(INDEX(tblDestinations[Type],MATCH(tblMovement[[#This Row],[Destination]],tblDestinations[Destination],0)),"?"))</f>
        <v/>
      </c>
      <c r="M69" s="64">
        <f>IF(tblMovement[[#This Row],[Material]]="","",IF(LEFT(tblMovement[[#This Row],[Material]],3)="Ore",1,0))</f>
        <v/>
      </c>
      <c r="N69" s="59">
        <f>IF(OR(tblMovement[[#This Row],[Tonnes_t]]="",tblMovement[[#This Row],[Grade_gpt]]=""),0,tblMovement[[#This Row],[Tonnes_t]]*tblMovement[[#This Row],[Grade_gpt]]/cfg_TroyOz)</f>
        <v/>
      </c>
      <c r="O69" s="59">
        <f>IF(tblMovement[[#This Row],[Is_Ore]]=1,tblMovement[[#This Row],[Contained_oz]],0)</f>
        <v/>
      </c>
    </row>
    <row r="70">
      <c r="A70" s="54" t="n"/>
      <c r="B70" s="61" t="n"/>
      <c r="C70" s="61" t="n"/>
      <c r="D70" s="61" t="n"/>
      <c r="E70" s="61" t="n"/>
      <c r="F70" s="55" t="n"/>
      <c r="G70" s="56" t="n"/>
      <c r="H70" s="55" t="n"/>
      <c r="I70" s="62" t="n"/>
      <c r="J70" s="58" t="n"/>
      <c r="K70" s="63">
        <f>IF(tblMovement[[#This Row],[Source]]="","",IFERROR(INDEX(tblSources[Type],MATCH(tblMovement[[#This Row],[Source]],tblSources[Source],0)),"?"))</f>
        <v/>
      </c>
      <c r="L70" s="63">
        <f>IF(tblMovement[[#This Row],[Destination]]="","",IFERROR(INDEX(tblDestinations[Type],MATCH(tblMovement[[#This Row],[Destination]],tblDestinations[Destination],0)),"?"))</f>
        <v/>
      </c>
      <c r="M70" s="64">
        <f>IF(tblMovement[[#This Row],[Material]]="","",IF(LEFT(tblMovement[[#This Row],[Material]],3)="Ore",1,0))</f>
        <v/>
      </c>
      <c r="N70" s="59">
        <f>IF(OR(tblMovement[[#This Row],[Tonnes_t]]="",tblMovement[[#This Row],[Grade_gpt]]=""),0,tblMovement[[#This Row],[Tonnes_t]]*tblMovement[[#This Row],[Grade_gpt]]/cfg_TroyOz)</f>
        <v/>
      </c>
      <c r="O70" s="59">
        <f>IF(tblMovement[[#This Row],[Is_Ore]]=1,tblMovement[[#This Row],[Contained_oz]],0)</f>
        <v/>
      </c>
    </row>
    <row r="71">
      <c r="A71" s="54" t="n"/>
      <c r="B71" s="61" t="n"/>
      <c r="C71" s="61" t="n"/>
      <c r="D71" s="61" t="n"/>
      <c r="E71" s="61" t="n"/>
      <c r="F71" s="55" t="n"/>
      <c r="G71" s="56" t="n"/>
      <c r="H71" s="55" t="n"/>
      <c r="I71" s="62" t="n"/>
      <c r="J71" s="58" t="n"/>
      <c r="K71" s="63">
        <f>IF(tblMovement[[#This Row],[Source]]="","",IFERROR(INDEX(tblSources[Type],MATCH(tblMovement[[#This Row],[Source]],tblSources[Source],0)),"?"))</f>
        <v/>
      </c>
      <c r="L71" s="63">
        <f>IF(tblMovement[[#This Row],[Destination]]="","",IFERROR(INDEX(tblDestinations[Type],MATCH(tblMovement[[#This Row],[Destination]],tblDestinations[Destination],0)),"?"))</f>
        <v/>
      </c>
      <c r="M71" s="64">
        <f>IF(tblMovement[[#This Row],[Material]]="","",IF(LEFT(tblMovement[[#This Row],[Material]],3)="Ore",1,0))</f>
        <v/>
      </c>
      <c r="N71" s="59">
        <f>IF(OR(tblMovement[[#This Row],[Tonnes_t]]="",tblMovement[[#This Row],[Grade_gpt]]=""),0,tblMovement[[#This Row],[Tonnes_t]]*tblMovement[[#This Row],[Grade_gpt]]/cfg_TroyOz)</f>
        <v/>
      </c>
      <c r="O71" s="59">
        <f>IF(tblMovement[[#This Row],[Is_Ore]]=1,tblMovement[[#This Row],[Contained_oz]],0)</f>
        <v/>
      </c>
    </row>
    <row r="72">
      <c r="A72" s="54" t="n"/>
      <c r="B72" s="61" t="n"/>
      <c r="C72" s="61" t="n"/>
      <c r="D72" s="61" t="n"/>
      <c r="E72" s="61" t="n"/>
      <c r="F72" s="55" t="n"/>
      <c r="G72" s="56" t="n"/>
      <c r="H72" s="55" t="n"/>
      <c r="I72" s="62" t="n"/>
      <c r="J72" s="58" t="n"/>
      <c r="K72" s="63">
        <f>IF(tblMovement[[#This Row],[Source]]="","",IFERROR(INDEX(tblSources[Type],MATCH(tblMovement[[#This Row],[Source]],tblSources[Source],0)),"?"))</f>
        <v/>
      </c>
      <c r="L72" s="63">
        <f>IF(tblMovement[[#This Row],[Destination]]="","",IFERROR(INDEX(tblDestinations[Type],MATCH(tblMovement[[#This Row],[Destination]],tblDestinations[Destination],0)),"?"))</f>
        <v/>
      </c>
      <c r="M72" s="64">
        <f>IF(tblMovement[[#This Row],[Material]]="","",IF(LEFT(tblMovement[[#This Row],[Material]],3)="Ore",1,0))</f>
        <v/>
      </c>
      <c r="N72" s="59">
        <f>IF(OR(tblMovement[[#This Row],[Tonnes_t]]="",tblMovement[[#This Row],[Grade_gpt]]=""),0,tblMovement[[#This Row],[Tonnes_t]]*tblMovement[[#This Row],[Grade_gpt]]/cfg_TroyOz)</f>
        <v/>
      </c>
      <c r="O72" s="59">
        <f>IF(tblMovement[[#This Row],[Is_Ore]]=1,tblMovement[[#This Row],[Contained_oz]],0)</f>
        <v/>
      </c>
    </row>
    <row r="73">
      <c r="A73" s="54" t="n"/>
      <c r="B73" s="61" t="n"/>
      <c r="C73" s="61" t="n"/>
      <c r="D73" s="61" t="n"/>
      <c r="E73" s="61" t="n"/>
      <c r="F73" s="55" t="n"/>
      <c r="G73" s="56" t="n"/>
      <c r="H73" s="55" t="n"/>
      <c r="I73" s="62" t="n"/>
      <c r="J73" s="58" t="n"/>
      <c r="K73" s="63">
        <f>IF(tblMovement[[#This Row],[Source]]="","",IFERROR(INDEX(tblSources[Type],MATCH(tblMovement[[#This Row],[Source]],tblSources[Source],0)),"?"))</f>
        <v/>
      </c>
      <c r="L73" s="63">
        <f>IF(tblMovement[[#This Row],[Destination]]="","",IFERROR(INDEX(tblDestinations[Type],MATCH(tblMovement[[#This Row],[Destination]],tblDestinations[Destination],0)),"?"))</f>
        <v/>
      </c>
      <c r="M73" s="64">
        <f>IF(tblMovement[[#This Row],[Material]]="","",IF(LEFT(tblMovement[[#This Row],[Material]],3)="Ore",1,0))</f>
        <v/>
      </c>
      <c r="N73" s="59">
        <f>IF(OR(tblMovement[[#This Row],[Tonnes_t]]="",tblMovement[[#This Row],[Grade_gpt]]=""),0,tblMovement[[#This Row],[Tonnes_t]]*tblMovement[[#This Row],[Grade_gpt]]/cfg_TroyOz)</f>
        <v/>
      </c>
      <c r="O73" s="59">
        <f>IF(tblMovement[[#This Row],[Is_Ore]]=1,tblMovement[[#This Row],[Contained_oz]],0)</f>
        <v/>
      </c>
    </row>
    <row r="74">
      <c r="A74" s="54" t="n"/>
      <c r="B74" s="61" t="n"/>
      <c r="C74" s="61" t="n"/>
      <c r="D74" s="61" t="n"/>
      <c r="E74" s="61" t="n"/>
      <c r="F74" s="55" t="n"/>
      <c r="G74" s="56" t="n"/>
      <c r="H74" s="55" t="n"/>
      <c r="I74" s="62" t="n"/>
      <c r="J74" s="58" t="n"/>
      <c r="K74" s="63">
        <f>IF(tblMovement[[#This Row],[Source]]="","",IFERROR(INDEX(tblSources[Type],MATCH(tblMovement[[#This Row],[Source]],tblSources[Source],0)),"?"))</f>
        <v/>
      </c>
      <c r="L74" s="63">
        <f>IF(tblMovement[[#This Row],[Destination]]="","",IFERROR(INDEX(tblDestinations[Type],MATCH(tblMovement[[#This Row],[Destination]],tblDestinations[Destination],0)),"?"))</f>
        <v/>
      </c>
      <c r="M74" s="64">
        <f>IF(tblMovement[[#This Row],[Material]]="","",IF(LEFT(tblMovement[[#This Row],[Material]],3)="Ore",1,0))</f>
        <v/>
      </c>
      <c r="N74" s="59">
        <f>IF(OR(tblMovement[[#This Row],[Tonnes_t]]="",tblMovement[[#This Row],[Grade_gpt]]=""),0,tblMovement[[#This Row],[Tonnes_t]]*tblMovement[[#This Row],[Grade_gpt]]/cfg_TroyOz)</f>
        <v/>
      </c>
      <c r="O74" s="59">
        <f>IF(tblMovement[[#This Row],[Is_Ore]]=1,tblMovement[[#This Row],[Contained_oz]],0)</f>
        <v/>
      </c>
    </row>
    <row r="75">
      <c r="A75" s="54" t="n"/>
      <c r="B75" s="61" t="n"/>
      <c r="C75" s="61" t="n"/>
      <c r="D75" s="61" t="n"/>
      <c r="E75" s="61" t="n"/>
      <c r="F75" s="55" t="n"/>
      <c r="G75" s="56" t="n"/>
      <c r="H75" s="55" t="n"/>
      <c r="I75" s="62" t="n"/>
      <c r="J75" s="58" t="n"/>
      <c r="K75" s="63">
        <f>IF(tblMovement[[#This Row],[Source]]="","",IFERROR(INDEX(tblSources[Type],MATCH(tblMovement[[#This Row],[Source]],tblSources[Source],0)),"?"))</f>
        <v/>
      </c>
      <c r="L75" s="63">
        <f>IF(tblMovement[[#This Row],[Destination]]="","",IFERROR(INDEX(tblDestinations[Type],MATCH(tblMovement[[#This Row],[Destination]],tblDestinations[Destination],0)),"?"))</f>
        <v/>
      </c>
      <c r="M75" s="64">
        <f>IF(tblMovement[[#This Row],[Material]]="","",IF(LEFT(tblMovement[[#This Row],[Material]],3)="Ore",1,0))</f>
        <v/>
      </c>
      <c r="N75" s="59">
        <f>IF(OR(tblMovement[[#This Row],[Tonnes_t]]="",tblMovement[[#This Row],[Grade_gpt]]=""),0,tblMovement[[#This Row],[Tonnes_t]]*tblMovement[[#This Row],[Grade_gpt]]/cfg_TroyOz)</f>
        <v/>
      </c>
      <c r="O75" s="59">
        <f>IF(tblMovement[[#This Row],[Is_Ore]]=1,tblMovement[[#This Row],[Contained_oz]],0)</f>
        <v/>
      </c>
    </row>
    <row r="76">
      <c r="A76" s="54" t="n"/>
      <c r="B76" s="61" t="n"/>
      <c r="C76" s="61" t="n"/>
      <c r="D76" s="61" t="n"/>
      <c r="E76" s="61" t="n"/>
      <c r="F76" s="55" t="n"/>
      <c r="G76" s="56" t="n"/>
      <c r="H76" s="55" t="n"/>
      <c r="I76" s="62" t="n"/>
      <c r="J76" s="58" t="n"/>
      <c r="K76" s="63">
        <f>IF(tblMovement[[#This Row],[Source]]="","",IFERROR(INDEX(tblSources[Type],MATCH(tblMovement[[#This Row],[Source]],tblSources[Source],0)),"?"))</f>
        <v/>
      </c>
      <c r="L76" s="63">
        <f>IF(tblMovement[[#This Row],[Destination]]="","",IFERROR(INDEX(tblDestinations[Type],MATCH(tblMovement[[#This Row],[Destination]],tblDestinations[Destination],0)),"?"))</f>
        <v/>
      </c>
      <c r="M76" s="64">
        <f>IF(tblMovement[[#This Row],[Material]]="","",IF(LEFT(tblMovement[[#This Row],[Material]],3)="Ore",1,0))</f>
        <v/>
      </c>
      <c r="N76" s="59">
        <f>IF(OR(tblMovement[[#This Row],[Tonnes_t]]="",tblMovement[[#This Row],[Grade_gpt]]=""),0,tblMovement[[#This Row],[Tonnes_t]]*tblMovement[[#This Row],[Grade_gpt]]/cfg_TroyOz)</f>
        <v/>
      </c>
      <c r="O76" s="59">
        <f>IF(tblMovement[[#This Row],[Is_Ore]]=1,tblMovement[[#This Row],[Contained_oz]],0)</f>
        <v/>
      </c>
    </row>
    <row r="77">
      <c r="A77" s="54" t="n"/>
      <c r="B77" s="61" t="n"/>
      <c r="C77" s="61" t="n"/>
      <c r="D77" s="61" t="n"/>
      <c r="E77" s="61" t="n"/>
      <c r="F77" s="55" t="n"/>
      <c r="G77" s="56" t="n"/>
      <c r="H77" s="55" t="n"/>
      <c r="I77" s="62" t="n"/>
      <c r="J77" s="58" t="n"/>
      <c r="K77" s="63">
        <f>IF(tblMovement[[#This Row],[Source]]="","",IFERROR(INDEX(tblSources[Type],MATCH(tblMovement[[#This Row],[Source]],tblSources[Source],0)),"?"))</f>
        <v/>
      </c>
      <c r="L77" s="63">
        <f>IF(tblMovement[[#This Row],[Destination]]="","",IFERROR(INDEX(tblDestinations[Type],MATCH(tblMovement[[#This Row],[Destination]],tblDestinations[Destination],0)),"?"))</f>
        <v/>
      </c>
      <c r="M77" s="64">
        <f>IF(tblMovement[[#This Row],[Material]]="","",IF(LEFT(tblMovement[[#This Row],[Material]],3)="Ore",1,0))</f>
        <v/>
      </c>
      <c r="N77" s="59">
        <f>IF(OR(tblMovement[[#This Row],[Tonnes_t]]="",tblMovement[[#This Row],[Grade_gpt]]=""),0,tblMovement[[#This Row],[Tonnes_t]]*tblMovement[[#This Row],[Grade_gpt]]/cfg_TroyOz)</f>
        <v/>
      </c>
      <c r="O77" s="59">
        <f>IF(tblMovement[[#This Row],[Is_Ore]]=1,tblMovement[[#This Row],[Contained_oz]],0)</f>
        <v/>
      </c>
    </row>
    <row r="78">
      <c r="A78" s="54" t="n"/>
      <c r="B78" s="61" t="n"/>
      <c r="C78" s="61" t="n"/>
      <c r="D78" s="61" t="n"/>
      <c r="E78" s="61" t="n"/>
      <c r="F78" s="55" t="n"/>
      <c r="G78" s="56" t="n"/>
      <c r="H78" s="55" t="n"/>
      <c r="I78" s="62" t="n"/>
      <c r="J78" s="58" t="n"/>
      <c r="K78" s="63">
        <f>IF(tblMovement[[#This Row],[Source]]="","",IFERROR(INDEX(tblSources[Type],MATCH(tblMovement[[#This Row],[Source]],tblSources[Source],0)),"?"))</f>
        <v/>
      </c>
      <c r="L78" s="63">
        <f>IF(tblMovement[[#This Row],[Destination]]="","",IFERROR(INDEX(tblDestinations[Type],MATCH(tblMovement[[#This Row],[Destination]],tblDestinations[Destination],0)),"?"))</f>
        <v/>
      </c>
      <c r="M78" s="64">
        <f>IF(tblMovement[[#This Row],[Material]]="","",IF(LEFT(tblMovement[[#This Row],[Material]],3)="Ore",1,0))</f>
        <v/>
      </c>
      <c r="N78" s="59">
        <f>IF(OR(tblMovement[[#This Row],[Tonnes_t]]="",tblMovement[[#This Row],[Grade_gpt]]=""),0,tblMovement[[#This Row],[Tonnes_t]]*tblMovement[[#This Row],[Grade_gpt]]/cfg_TroyOz)</f>
        <v/>
      </c>
      <c r="O78" s="59">
        <f>IF(tblMovement[[#This Row],[Is_Ore]]=1,tblMovement[[#This Row],[Contained_oz]],0)</f>
        <v/>
      </c>
    </row>
    <row r="79">
      <c r="A79" s="54" t="n"/>
      <c r="B79" s="61" t="n"/>
      <c r="C79" s="61" t="n"/>
      <c r="D79" s="61" t="n"/>
      <c r="E79" s="61" t="n"/>
      <c r="F79" s="55" t="n"/>
      <c r="G79" s="56" t="n"/>
      <c r="H79" s="55" t="n"/>
      <c r="I79" s="62" t="n"/>
      <c r="J79" s="58" t="n"/>
      <c r="K79" s="63">
        <f>IF(tblMovement[[#This Row],[Source]]="","",IFERROR(INDEX(tblSources[Type],MATCH(tblMovement[[#This Row],[Source]],tblSources[Source],0)),"?"))</f>
        <v/>
      </c>
      <c r="L79" s="63">
        <f>IF(tblMovement[[#This Row],[Destination]]="","",IFERROR(INDEX(tblDestinations[Type],MATCH(tblMovement[[#This Row],[Destination]],tblDestinations[Destination],0)),"?"))</f>
        <v/>
      </c>
      <c r="M79" s="64">
        <f>IF(tblMovement[[#This Row],[Material]]="","",IF(LEFT(tblMovement[[#This Row],[Material]],3)="Ore",1,0))</f>
        <v/>
      </c>
      <c r="N79" s="59">
        <f>IF(OR(tblMovement[[#This Row],[Tonnes_t]]="",tblMovement[[#This Row],[Grade_gpt]]=""),0,tblMovement[[#This Row],[Tonnes_t]]*tblMovement[[#This Row],[Grade_gpt]]/cfg_TroyOz)</f>
        <v/>
      </c>
      <c r="O79" s="59">
        <f>IF(tblMovement[[#This Row],[Is_Ore]]=1,tblMovement[[#This Row],[Contained_oz]],0)</f>
        <v/>
      </c>
    </row>
    <row r="80">
      <c r="A80" s="54" t="n"/>
      <c r="B80" s="61" t="n"/>
      <c r="C80" s="61" t="n"/>
      <c r="D80" s="61" t="n"/>
      <c r="E80" s="61" t="n"/>
      <c r="F80" s="55" t="n"/>
      <c r="G80" s="56" t="n"/>
      <c r="H80" s="55" t="n"/>
      <c r="I80" s="62" t="n"/>
      <c r="J80" s="58" t="n"/>
      <c r="K80" s="63">
        <f>IF(tblMovement[[#This Row],[Source]]="","",IFERROR(INDEX(tblSources[Type],MATCH(tblMovement[[#This Row],[Source]],tblSources[Source],0)),"?"))</f>
        <v/>
      </c>
      <c r="L80" s="63">
        <f>IF(tblMovement[[#This Row],[Destination]]="","",IFERROR(INDEX(tblDestinations[Type],MATCH(tblMovement[[#This Row],[Destination]],tblDestinations[Destination],0)),"?"))</f>
        <v/>
      </c>
      <c r="M80" s="64">
        <f>IF(tblMovement[[#This Row],[Material]]="","",IF(LEFT(tblMovement[[#This Row],[Material]],3)="Ore",1,0))</f>
        <v/>
      </c>
      <c r="N80" s="59">
        <f>IF(OR(tblMovement[[#This Row],[Tonnes_t]]="",tblMovement[[#This Row],[Grade_gpt]]=""),0,tblMovement[[#This Row],[Tonnes_t]]*tblMovement[[#This Row],[Grade_gpt]]/cfg_TroyOz)</f>
        <v/>
      </c>
      <c r="O80" s="59">
        <f>IF(tblMovement[[#This Row],[Is_Ore]]=1,tblMovement[[#This Row],[Contained_oz]],0)</f>
        <v/>
      </c>
    </row>
    <row r="81">
      <c r="A81" s="54" t="n"/>
      <c r="B81" s="61" t="n"/>
      <c r="C81" s="61" t="n"/>
      <c r="D81" s="61" t="n"/>
      <c r="E81" s="61" t="n"/>
      <c r="F81" s="55" t="n"/>
      <c r="G81" s="56" t="n"/>
      <c r="H81" s="55" t="n"/>
      <c r="I81" s="62" t="n"/>
      <c r="J81" s="58" t="n"/>
      <c r="K81" s="63">
        <f>IF(tblMovement[[#This Row],[Source]]="","",IFERROR(INDEX(tblSources[Type],MATCH(tblMovement[[#This Row],[Source]],tblSources[Source],0)),"?"))</f>
        <v/>
      </c>
      <c r="L81" s="63">
        <f>IF(tblMovement[[#This Row],[Destination]]="","",IFERROR(INDEX(tblDestinations[Type],MATCH(tblMovement[[#This Row],[Destination]],tblDestinations[Destination],0)),"?"))</f>
        <v/>
      </c>
      <c r="M81" s="64">
        <f>IF(tblMovement[[#This Row],[Material]]="","",IF(LEFT(tblMovement[[#This Row],[Material]],3)="Ore",1,0))</f>
        <v/>
      </c>
      <c r="N81" s="59">
        <f>IF(OR(tblMovement[[#This Row],[Tonnes_t]]="",tblMovement[[#This Row],[Grade_gpt]]=""),0,tblMovement[[#This Row],[Tonnes_t]]*tblMovement[[#This Row],[Grade_gpt]]/cfg_TroyOz)</f>
        <v/>
      </c>
      <c r="O81" s="59">
        <f>IF(tblMovement[[#This Row],[Is_Ore]]=1,tblMovement[[#This Row],[Contained_oz]],0)</f>
        <v/>
      </c>
    </row>
    <row r="82">
      <c r="A82" s="54" t="n"/>
      <c r="B82" s="61" t="n"/>
      <c r="C82" s="61" t="n"/>
      <c r="D82" s="61" t="n"/>
      <c r="E82" s="61" t="n"/>
      <c r="F82" s="55" t="n"/>
      <c r="G82" s="56" t="n"/>
      <c r="H82" s="55" t="n"/>
      <c r="I82" s="62" t="n"/>
      <c r="J82" s="58" t="n"/>
      <c r="K82" s="63">
        <f>IF(tblMovement[[#This Row],[Source]]="","",IFERROR(INDEX(tblSources[Type],MATCH(tblMovement[[#This Row],[Source]],tblSources[Source],0)),"?"))</f>
        <v/>
      </c>
      <c r="L82" s="63">
        <f>IF(tblMovement[[#This Row],[Destination]]="","",IFERROR(INDEX(tblDestinations[Type],MATCH(tblMovement[[#This Row],[Destination]],tblDestinations[Destination],0)),"?"))</f>
        <v/>
      </c>
      <c r="M82" s="64">
        <f>IF(tblMovement[[#This Row],[Material]]="","",IF(LEFT(tblMovement[[#This Row],[Material]],3)="Ore",1,0))</f>
        <v/>
      </c>
      <c r="N82" s="59">
        <f>IF(OR(tblMovement[[#This Row],[Tonnes_t]]="",tblMovement[[#This Row],[Grade_gpt]]=""),0,tblMovement[[#This Row],[Tonnes_t]]*tblMovement[[#This Row],[Grade_gpt]]/cfg_TroyOz)</f>
        <v/>
      </c>
      <c r="O82" s="59">
        <f>IF(tblMovement[[#This Row],[Is_Ore]]=1,tblMovement[[#This Row],[Contained_oz]],0)</f>
        <v/>
      </c>
    </row>
    <row r="83">
      <c r="A83" s="54" t="n"/>
      <c r="B83" s="61" t="n"/>
      <c r="C83" s="61" t="n"/>
      <c r="D83" s="61" t="n"/>
      <c r="E83" s="61" t="n"/>
      <c r="F83" s="55" t="n"/>
      <c r="G83" s="56" t="n"/>
      <c r="H83" s="55" t="n"/>
      <c r="I83" s="62" t="n"/>
      <c r="J83" s="58" t="n"/>
      <c r="K83" s="63">
        <f>IF(tblMovement[[#This Row],[Source]]="","",IFERROR(INDEX(tblSources[Type],MATCH(tblMovement[[#This Row],[Source]],tblSources[Source],0)),"?"))</f>
        <v/>
      </c>
      <c r="L83" s="63">
        <f>IF(tblMovement[[#This Row],[Destination]]="","",IFERROR(INDEX(tblDestinations[Type],MATCH(tblMovement[[#This Row],[Destination]],tblDestinations[Destination],0)),"?"))</f>
        <v/>
      </c>
      <c r="M83" s="64">
        <f>IF(tblMovement[[#This Row],[Material]]="","",IF(LEFT(tblMovement[[#This Row],[Material]],3)="Ore",1,0))</f>
        <v/>
      </c>
      <c r="N83" s="59">
        <f>IF(OR(tblMovement[[#This Row],[Tonnes_t]]="",tblMovement[[#This Row],[Grade_gpt]]=""),0,tblMovement[[#This Row],[Tonnes_t]]*tblMovement[[#This Row],[Grade_gpt]]/cfg_TroyOz)</f>
        <v/>
      </c>
      <c r="O83" s="59">
        <f>IF(tblMovement[[#This Row],[Is_Ore]]=1,tblMovement[[#This Row],[Contained_oz]],0)</f>
        <v/>
      </c>
    </row>
    <row r="84">
      <c r="A84" s="54" t="n"/>
      <c r="B84" s="61" t="n"/>
      <c r="C84" s="61" t="n"/>
      <c r="D84" s="61" t="n"/>
      <c r="E84" s="61" t="n"/>
      <c r="F84" s="55" t="n"/>
      <c r="G84" s="56" t="n"/>
      <c r="H84" s="55" t="n"/>
      <c r="I84" s="62" t="n"/>
      <c r="J84" s="58" t="n"/>
      <c r="K84" s="63">
        <f>IF(tblMovement[[#This Row],[Source]]="","",IFERROR(INDEX(tblSources[Type],MATCH(tblMovement[[#This Row],[Source]],tblSources[Source],0)),"?"))</f>
        <v/>
      </c>
      <c r="L84" s="63">
        <f>IF(tblMovement[[#This Row],[Destination]]="","",IFERROR(INDEX(tblDestinations[Type],MATCH(tblMovement[[#This Row],[Destination]],tblDestinations[Destination],0)),"?"))</f>
        <v/>
      </c>
      <c r="M84" s="64">
        <f>IF(tblMovement[[#This Row],[Material]]="","",IF(LEFT(tblMovement[[#This Row],[Material]],3)="Ore",1,0))</f>
        <v/>
      </c>
      <c r="N84" s="59">
        <f>IF(OR(tblMovement[[#This Row],[Tonnes_t]]="",tblMovement[[#This Row],[Grade_gpt]]=""),0,tblMovement[[#This Row],[Tonnes_t]]*tblMovement[[#This Row],[Grade_gpt]]/cfg_TroyOz)</f>
        <v/>
      </c>
      <c r="O84" s="59">
        <f>IF(tblMovement[[#This Row],[Is_Ore]]=1,tblMovement[[#This Row],[Contained_oz]],0)</f>
        <v/>
      </c>
    </row>
    <row r="85">
      <c r="A85" s="54" t="n"/>
      <c r="B85" s="61" t="n"/>
      <c r="C85" s="61" t="n"/>
      <c r="D85" s="61" t="n"/>
      <c r="E85" s="61" t="n"/>
      <c r="F85" s="55" t="n"/>
      <c r="G85" s="56" t="n"/>
      <c r="H85" s="55" t="n"/>
      <c r="I85" s="62" t="n"/>
      <c r="J85" s="58" t="n"/>
      <c r="K85" s="63">
        <f>IF(tblMovement[[#This Row],[Source]]="","",IFERROR(INDEX(tblSources[Type],MATCH(tblMovement[[#This Row],[Source]],tblSources[Source],0)),"?"))</f>
        <v/>
      </c>
      <c r="L85" s="63">
        <f>IF(tblMovement[[#This Row],[Destination]]="","",IFERROR(INDEX(tblDestinations[Type],MATCH(tblMovement[[#This Row],[Destination]],tblDestinations[Destination],0)),"?"))</f>
        <v/>
      </c>
      <c r="M85" s="64">
        <f>IF(tblMovement[[#This Row],[Material]]="","",IF(LEFT(tblMovement[[#This Row],[Material]],3)="Ore",1,0))</f>
        <v/>
      </c>
      <c r="N85" s="59">
        <f>IF(OR(tblMovement[[#This Row],[Tonnes_t]]="",tblMovement[[#This Row],[Grade_gpt]]=""),0,tblMovement[[#This Row],[Tonnes_t]]*tblMovement[[#This Row],[Grade_gpt]]/cfg_TroyOz)</f>
        <v/>
      </c>
      <c r="O85" s="59">
        <f>IF(tblMovement[[#This Row],[Is_Ore]]=1,tblMovement[[#This Row],[Contained_oz]],0)</f>
        <v/>
      </c>
    </row>
    <row r="86">
      <c r="A86" s="54" t="n"/>
      <c r="B86" s="61" t="n"/>
      <c r="C86" s="61" t="n"/>
      <c r="D86" s="61" t="n"/>
      <c r="E86" s="61" t="n"/>
      <c r="F86" s="55" t="n"/>
      <c r="G86" s="56" t="n"/>
      <c r="H86" s="55" t="n"/>
      <c r="I86" s="62" t="n"/>
      <c r="J86" s="58" t="n"/>
      <c r="K86" s="63">
        <f>IF(tblMovement[[#This Row],[Source]]="","",IFERROR(INDEX(tblSources[Type],MATCH(tblMovement[[#This Row],[Source]],tblSources[Source],0)),"?"))</f>
        <v/>
      </c>
      <c r="L86" s="63">
        <f>IF(tblMovement[[#This Row],[Destination]]="","",IFERROR(INDEX(tblDestinations[Type],MATCH(tblMovement[[#This Row],[Destination]],tblDestinations[Destination],0)),"?"))</f>
        <v/>
      </c>
      <c r="M86" s="64">
        <f>IF(tblMovement[[#This Row],[Material]]="","",IF(LEFT(tblMovement[[#This Row],[Material]],3)="Ore",1,0))</f>
        <v/>
      </c>
      <c r="N86" s="59">
        <f>IF(OR(tblMovement[[#This Row],[Tonnes_t]]="",tblMovement[[#This Row],[Grade_gpt]]=""),0,tblMovement[[#This Row],[Tonnes_t]]*tblMovement[[#This Row],[Grade_gpt]]/cfg_TroyOz)</f>
        <v/>
      </c>
      <c r="O86" s="59">
        <f>IF(tblMovement[[#This Row],[Is_Ore]]=1,tblMovement[[#This Row],[Contained_oz]],0)</f>
        <v/>
      </c>
    </row>
    <row r="87">
      <c r="A87" s="54" t="n"/>
      <c r="B87" s="61" t="n"/>
      <c r="C87" s="61" t="n"/>
      <c r="D87" s="61" t="n"/>
      <c r="E87" s="61" t="n"/>
      <c r="F87" s="55" t="n"/>
      <c r="G87" s="56" t="n"/>
      <c r="H87" s="55" t="n"/>
      <c r="I87" s="62" t="n"/>
      <c r="J87" s="58" t="n"/>
      <c r="K87" s="63">
        <f>IF(tblMovement[[#This Row],[Source]]="","",IFERROR(INDEX(tblSources[Type],MATCH(tblMovement[[#This Row],[Source]],tblSources[Source],0)),"?"))</f>
        <v/>
      </c>
      <c r="L87" s="63">
        <f>IF(tblMovement[[#This Row],[Destination]]="","",IFERROR(INDEX(tblDestinations[Type],MATCH(tblMovement[[#This Row],[Destination]],tblDestinations[Destination],0)),"?"))</f>
        <v/>
      </c>
      <c r="M87" s="64">
        <f>IF(tblMovement[[#This Row],[Material]]="","",IF(LEFT(tblMovement[[#This Row],[Material]],3)="Ore",1,0))</f>
        <v/>
      </c>
      <c r="N87" s="59">
        <f>IF(OR(tblMovement[[#This Row],[Tonnes_t]]="",tblMovement[[#This Row],[Grade_gpt]]=""),0,tblMovement[[#This Row],[Tonnes_t]]*tblMovement[[#This Row],[Grade_gpt]]/cfg_TroyOz)</f>
        <v/>
      </c>
      <c r="O87" s="59">
        <f>IF(tblMovement[[#This Row],[Is_Ore]]=1,tblMovement[[#This Row],[Contained_oz]],0)</f>
        <v/>
      </c>
    </row>
    <row r="88">
      <c r="A88" s="54" t="n"/>
      <c r="B88" s="61" t="n"/>
      <c r="C88" s="61" t="n"/>
      <c r="D88" s="61" t="n"/>
      <c r="E88" s="61" t="n"/>
      <c r="F88" s="55" t="n"/>
      <c r="G88" s="56" t="n"/>
      <c r="H88" s="55" t="n"/>
      <c r="I88" s="62" t="n"/>
      <c r="J88" s="58" t="n"/>
      <c r="K88" s="63">
        <f>IF(tblMovement[[#This Row],[Source]]="","",IFERROR(INDEX(tblSources[Type],MATCH(tblMovement[[#This Row],[Source]],tblSources[Source],0)),"?"))</f>
        <v/>
      </c>
      <c r="L88" s="63">
        <f>IF(tblMovement[[#This Row],[Destination]]="","",IFERROR(INDEX(tblDestinations[Type],MATCH(tblMovement[[#This Row],[Destination]],tblDestinations[Destination],0)),"?"))</f>
        <v/>
      </c>
      <c r="M88" s="64">
        <f>IF(tblMovement[[#This Row],[Material]]="","",IF(LEFT(tblMovement[[#This Row],[Material]],3)="Ore",1,0))</f>
        <v/>
      </c>
      <c r="N88" s="59">
        <f>IF(OR(tblMovement[[#This Row],[Tonnes_t]]="",tblMovement[[#This Row],[Grade_gpt]]=""),0,tblMovement[[#This Row],[Tonnes_t]]*tblMovement[[#This Row],[Grade_gpt]]/cfg_TroyOz)</f>
        <v/>
      </c>
      <c r="O88" s="59">
        <f>IF(tblMovement[[#This Row],[Is_Ore]]=1,tblMovement[[#This Row],[Contained_oz]],0)</f>
        <v/>
      </c>
    </row>
    <row r="89">
      <c r="A89" s="54" t="n"/>
      <c r="B89" s="61" t="n"/>
      <c r="C89" s="61" t="n"/>
      <c r="D89" s="61" t="n"/>
      <c r="E89" s="61" t="n"/>
      <c r="F89" s="55" t="n"/>
      <c r="G89" s="56" t="n"/>
      <c r="H89" s="55" t="n"/>
      <c r="I89" s="62" t="n"/>
      <c r="J89" s="58" t="n"/>
      <c r="K89" s="63">
        <f>IF(tblMovement[[#This Row],[Source]]="","",IFERROR(INDEX(tblSources[Type],MATCH(tblMovement[[#This Row],[Source]],tblSources[Source],0)),"?"))</f>
        <v/>
      </c>
      <c r="L89" s="63">
        <f>IF(tblMovement[[#This Row],[Destination]]="","",IFERROR(INDEX(tblDestinations[Type],MATCH(tblMovement[[#This Row],[Destination]],tblDestinations[Destination],0)),"?"))</f>
        <v/>
      </c>
      <c r="M89" s="64">
        <f>IF(tblMovement[[#This Row],[Material]]="","",IF(LEFT(tblMovement[[#This Row],[Material]],3)="Ore",1,0))</f>
        <v/>
      </c>
      <c r="N89" s="59">
        <f>IF(OR(tblMovement[[#This Row],[Tonnes_t]]="",tblMovement[[#This Row],[Grade_gpt]]=""),0,tblMovement[[#This Row],[Tonnes_t]]*tblMovement[[#This Row],[Grade_gpt]]/cfg_TroyOz)</f>
        <v/>
      </c>
      <c r="O89" s="59">
        <f>IF(tblMovement[[#This Row],[Is_Ore]]=1,tblMovement[[#This Row],[Contained_oz]],0)</f>
        <v/>
      </c>
    </row>
    <row r="90">
      <c r="A90" s="54" t="n"/>
      <c r="B90" s="61" t="n"/>
      <c r="C90" s="61" t="n"/>
      <c r="D90" s="61" t="n"/>
      <c r="E90" s="61" t="n"/>
      <c r="F90" s="55" t="n"/>
      <c r="G90" s="56" t="n"/>
      <c r="H90" s="55" t="n"/>
      <c r="I90" s="62" t="n"/>
      <c r="J90" s="58" t="n"/>
      <c r="K90" s="63">
        <f>IF(tblMovement[[#This Row],[Source]]="","",IFERROR(INDEX(tblSources[Type],MATCH(tblMovement[[#This Row],[Source]],tblSources[Source],0)),"?"))</f>
        <v/>
      </c>
      <c r="L90" s="63">
        <f>IF(tblMovement[[#This Row],[Destination]]="","",IFERROR(INDEX(tblDestinations[Type],MATCH(tblMovement[[#This Row],[Destination]],tblDestinations[Destination],0)),"?"))</f>
        <v/>
      </c>
      <c r="M90" s="64">
        <f>IF(tblMovement[[#This Row],[Material]]="","",IF(LEFT(tblMovement[[#This Row],[Material]],3)="Ore",1,0))</f>
        <v/>
      </c>
      <c r="N90" s="59">
        <f>IF(OR(tblMovement[[#This Row],[Tonnes_t]]="",tblMovement[[#This Row],[Grade_gpt]]=""),0,tblMovement[[#This Row],[Tonnes_t]]*tblMovement[[#This Row],[Grade_gpt]]/cfg_TroyOz)</f>
        <v/>
      </c>
      <c r="O90" s="59">
        <f>IF(tblMovement[[#This Row],[Is_Ore]]=1,tblMovement[[#This Row],[Contained_oz]],0)</f>
        <v/>
      </c>
    </row>
    <row r="91">
      <c r="A91" s="54" t="n"/>
      <c r="B91" s="61" t="n"/>
      <c r="C91" s="61" t="n"/>
      <c r="D91" s="61" t="n"/>
      <c r="E91" s="61" t="n"/>
      <c r="F91" s="55" t="n"/>
      <c r="G91" s="56" t="n"/>
      <c r="H91" s="55" t="n"/>
      <c r="I91" s="62" t="n"/>
      <c r="J91" s="58" t="n"/>
      <c r="K91" s="63">
        <f>IF(tblMovement[[#This Row],[Source]]="","",IFERROR(INDEX(tblSources[Type],MATCH(tblMovement[[#This Row],[Source]],tblSources[Source],0)),"?"))</f>
        <v/>
      </c>
      <c r="L91" s="63">
        <f>IF(tblMovement[[#This Row],[Destination]]="","",IFERROR(INDEX(tblDestinations[Type],MATCH(tblMovement[[#This Row],[Destination]],tblDestinations[Destination],0)),"?"))</f>
        <v/>
      </c>
      <c r="M91" s="64">
        <f>IF(tblMovement[[#This Row],[Material]]="","",IF(LEFT(tblMovement[[#This Row],[Material]],3)="Ore",1,0))</f>
        <v/>
      </c>
      <c r="N91" s="59">
        <f>IF(OR(tblMovement[[#This Row],[Tonnes_t]]="",tblMovement[[#This Row],[Grade_gpt]]=""),0,tblMovement[[#This Row],[Tonnes_t]]*tblMovement[[#This Row],[Grade_gpt]]/cfg_TroyOz)</f>
        <v/>
      </c>
      <c r="O91" s="59">
        <f>IF(tblMovement[[#This Row],[Is_Ore]]=1,tblMovement[[#This Row],[Contained_oz]],0)</f>
        <v/>
      </c>
    </row>
    <row r="92">
      <c r="A92" s="54" t="n"/>
      <c r="B92" s="61" t="n"/>
      <c r="C92" s="61" t="n"/>
      <c r="D92" s="61" t="n"/>
      <c r="E92" s="61" t="n"/>
      <c r="F92" s="55" t="n"/>
      <c r="G92" s="56" t="n"/>
      <c r="H92" s="55" t="n"/>
      <c r="I92" s="62" t="n"/>
      <c r="J92" s="58" t="n"/>
      <c r="K92" s="63">
        <f>IF(tblMovement[[#This Row],[Source]]="","",IFERROR(INDEX(tblSources[Type],MATCH(tblMovement[[#This Row],[Source]],tblSources[Source],0)),"?"))</f>
        <v/>
      </c>
      <c r="L92" s="63">
        <f>IF(tblMovement[[#This Row],[Destination]]="","",IFERROR(INDEX(tblDestinations[Type],MATCH(tblMovement[[#This Row],[Destination]],tblDestinations[Destination],0)),"?"))</f>
        <v/>
      </c>
      <c r="M92" s="64">
        <f>IF(tblMovement[[#This Row],[Material]]="","",IF(LEFT(tblMovement[[#This Row],[Material]],3)="Ore",1,0))</f>
        <v/>
      </c>
      <c r="N92" s="59">
        <f>IF(OR(tblMovement[[#This Row],[Tonnes_t]]="",tblMovement[[#This Row],[Grade_gpt]]=""),0,tblMovement[[#This Row],[Tonnes_t]]*tblMovement[[#This Row],[Grade_gpt]]/cfg_TroyOz)</f>
        <v/>
      </c>
      <c r="O92" s="59">
        <f>IF(tblMovement[[#This Row],[Is_Ore]]=1,tblMovement[[#This Row],[Contained_oz]],0)</f>
        <v/>
      </c>
    </row>
    <row r="93">
      <c r="A93" s="54" t="n"/>
      <c r="B93" s="61" t="n"/>
      <c r="C93" s="61" t="n"/>
      <c r="D93" s="61" t="n"/>
      <c r="E93" s="61" t="n"/>
      <c r="F93" s="55" t="n"/>
      <c r="G93" s="56" t="n"/>
      <c r="H93" s="55" t="n"/>
      <c r="I93" s="62" t="n"/>
      <c r="J93" s="58" t="n"/>
      <c r="K93" s="63">
        <f>IF(tblMovement[[#This Row],[Source]]="","",IFERROR(INDEX(tblSources[Type],MATCH(tblMovement[[#This Row],[Source]],tblSources[Source],0)),"?"))</f>
        <v/>
      </c>
      <c r="L93" s="63">
        <f>IF(tblMovement[[#This Row],[Destination]]="","",IFERROR(INDEX(tblDestinations[Type],MATCH(tblMovement[[#This Row],[Destination]],tblDestinations[Destination],0)),"?"))</f>
        <v/>
      </c>
      <c r="M93" s="64">
        <f>IF(tblMovement[[#This Row],[Material]]="","",IF(LEFT(tblMovement[[#This Row],[Material]],3)="Ore",1,0))</f>
        <v/>
      </c>
      <c r="N93" s="59">
        <f>IF(OR(tblMovement[[#This Row],[Tonnes_t]]="",tblMovement[[#This Row],[Grade_gpt]]=""),0,tblMovement[[#This Row],[Tonnes_t]]*tblMovement[[#This Row],[Grade_gpt]]/cfg_TroyOz)</f>
        <v/>
      </c>
      <c r="O93" s="59">
        <f>IF(tblMovement[[#This Row],[Is_Ore]]=1,tblMovement[[#This Row],[Contained_oz]],0)</f>
        <v/>
      </c>
    </row>
    <row r="94">
      <c r="A94" s="54" t="n"/>
      <c r="B94" s="61" t="n"/>
      <c r="C94" s="61" t="n"/>
      <c r="D94" s="61" t="n"/>
      <c r="E94" s="61" t="n"/>
      <c r="F94" s="55" t="n"/>
      <c r="G94" s="56" t="n"/>
      <c r="H94" s="55" t="n"/>
      <c r="I94" s="62" t="n"/>
      <c r="J94" s="58" t="n"/>
      <c r="K94" s="63">
        <f>IF(tblMovement[[#This Row],[Source]]="","",IFERROR(INDEX(tblSources[Type],MATCH(tblMovement[[#This Row],[Source]],tblSources[Source],0)),"?"))</f>
        <v/>
      </c>
      <c r="L94" s="63">
        <f>IF(tblMovement[[#This Row],[Destination]]="","",IFERROR(INDEX(tblDestinations[Type],MATCH(tblMovement[[#This Row],[Destination]],tblDestinations[Destination],0)),"?"))</f>
        <v/>
      </c>
      <c r="M94" s="64">
        <f>IF(tblMovement[[#This Row],[Material]]="","",IF(LEFT(tblMovement[[#This Row],[Material]],3)="Ore",1,0))</f>
        <v/>
      </c>
      <c r="N94" s="59">
        <f>IF(OR(tblMovement[[#This Row],[Tonnes_t]]="",tblMovement[[#This Row],[Grade_gpt]]=""),0,tblMovement[[#This Row],[Tonnes_t]]*tblMovement[[#This Row],[Grade_gpt]]/cfg_TroyOz)</f>
        <v/>
      </c>
      <c r="O94" s="59">
        <f>IF(tblMovement[[#This Row],[Is_Ore]]=1,tblMovement[[#This Row],[Contained_oz]],0)</f>
        <v/>
      </c>
    </row>
    <row r="95">
      <c r="A95" s="54" t="n"/>
      <c r="B95" s="61" t="n"/>
      <c r="C95" s="61" t="n"/>
      <c r="D95" s="61" t="n"/>
      <c r="E95" s="61" t="n"/>
      <c r="F95" s="55" t="n"/>
      <c r="G95" s="56" t="n"/>
      <c r="H95" s="55" t="n"/>
      <c r="I95" s="62" t="n"/>
      <c r="J95" s="58" t="n"/>
      <c r="K95" s="63">
        <f>IF(tblMovement[[#This Row],[Source]]="","",IFERROR(INDEX(tblSources[Type],MATCH(tblMovement[[#This Row],[Source]],tblSources[Source],0)),"?"))</f>
        <v/>
      </c>
      <c r="L95" s="63">
        <f>IF(tblMovement[[#This Row],[Destination]]="","",IFERROR(INDEX(tblDestinations[Type],MATCH(tblMovement[[#This Row],[Destination]],tblDestinations[Destination],0)),"?"))</f>
        <v/>
      </c>
      <c r="M95" s="64">
        <f>IF(tblMovement[[#This Row],[Material]]="","",IF(LEFT(tblMovement[[#This Row],[Material]],3)="Ore",1,0))</f>
        <v/>
      </c>
      <c r="N95" s="59">
        <f>IF(OR(tblMovement[[#This Row],[Tonnes_t]]="",tblMovement[[#This Row],[Grade_gpt]]=""),0,tblMovement[[#This Row],[Tonnes_t]]*tblMovement[[#This Row],[Grade_gpt]]/cfg_TroyOz)</f>
        <v/>
      </c>
      <c r="O95" s="59">
        <f>IF(tblMovement[[#This Row],[Is_Ore]]=1,tblMovement[[#This Row],[Contained_oz]],0)</f>
        <v/>
      </c>
    </row>
    <row r="96">
      <c r="A96" s="54" t="n"/>
      <c r="B96" s="61" t="n"/>
      <c r="C96" s="61" t="n"/>
      <c r="D96" s="61" t="n"/>
      <c r="E96" s="61" t="n"/>
      <c r="F96" s="55" t="n"/>
      <c r="G96" s="56" t="n"/>
      <c r="H96" s="55" t="n"/>
      <c r="I96" s="62" t="n"/>
      <c r="J96" s="58" t="n"/>
      <c r="K96" s="63">
        <f>IF(tblMovement[[#This Row],[Source]]="","",IFERROR(INDEX(tblSources[Type],MATCH(tblMovement[[#This Row],[Source]],tblSources[Source],0)),"?"))</f>
        <v/>
      </c>
      <c r="L96" s="63">
        <f>IF(tblMovement[[#This Row],[Destination]]="","",IFERROR(INDEX(tblDestinations[Type],MATCH(tblMovement[[#This Row],[Destination]],tblDestinations[Destination],0)),"?"))</f>
        <v/>
      </c>
      <c r="M96" s="64">
        <f>IF(tblMovement[[#This Row],[Material]]="","",IF(LEFT(tblMovement[[#This Row],[Material]],3)="Ore",1,0))</f>
        <v/>
      </c>
      <c r="N96" s="59">
        <f>IF(OR(tblMovement[[#This Row],[Tonnes_t]]="",tblMovement[[#This Row],[Grade_gpt]]=""),0,tblMovement[[#This Row],[Tonnes_t]]*tblMovement[[#This Row],[Grade_gpt]]/cfg_TroyOz)</f>
        <v/>
      </c>
      <c r="O96" s="59">
        <f>IF(tblMovement[[#This Row],[Is_Ore]]=1,tblMovement[[#This Row],[Contained_oz]],0)</f>
        <v/>
      </c>
    </row>
    <row r="97">
      <c r="A97" s="54" t="n"/>
      <c r="B97" s="61" t="n"/>
      <c r="C97" s="61" t="n"/>
      <c r="D97" s="61" t="n"/>
      <c r="E97" s="61" t="n"/>
      <c r="F97" s="55" t="n"/>
      <c r="G97" s="56" t="n"/>
      <c r="H97" s="55" t="n"/>
      <c r="I97" s="62" t="n"/>
      <c r="J97" s="58" t="n"/>
      <c r="K97" s="63">
        <f>IF(tblMovement[[#This Row],[Source]]="","",IFERROR(INDEX(tblSources[Type],MATCH(tblMovement[[#This Row],[Source]],tblSources[Source],0)),"?"))</f>
        <v/>
      </c>
      <c r="L97" s="63">
        <f>IF(tblMovement[[#This Row],[Destination]]="","",IFERROR(INDEX(tblDestinations[Type],MATCH(tblMovement[[#This Row],[Destination]],tblDestinations[Destination],0)),"?"))</f>
        <v/>
      </c>
      <c r="M97" s="64">
        <f>IF(tblMovement[[#This Row],[Material]]="","",IF(LEFT(tblMovement[[#This Row],[Material]],3)="Ore",1,0))</f>
        <v/>
      </c>
      <c r="N97" s="59">
        <f>IF(OR(tblMovement[[#This Row],[Tonnes_t]]="",tblMovement[[#This Row],[Grade_gpt]]=""),0,tblMovement[[#This Row],[Tonnes_t]]*tblMovement[[#This Row],[Grade_gpt]]/cfg_TroyOz)</f>
        <v/>
      </c>
      <c r="O97" s="59">
        <f>IF(tblMovement[[#This Row],[Is_Ore]]=1,tblMovement[[#This Row],[Contained_oz]],0)</f>
        <v/>
      </c>
    </row>
    <row r="98">
      <c r="A98" s="54" t="n"/>
      <c r="B98" s="61" t="n"/>
      <c r="C98" s="61" t="n"/>
      <c r="D98" s="61" t="n"/>
      <c r="E98" s="61" t="n"/>
      <c r="F98" s="55" t="n"/>
      <c r="G98" s="56" t="n"/>
      <c r="H98" s="55" t="n"/>
      <c r="I98" s="62" t="n"/>
      <c r="J98" s="58" t="n"/>
      <c r="K98" s="63">
        <f>IF(tblMovement[[#This Row],[Source]]="","",IFERROR(INDEX(tblSources[Type],MATCH(tblMovement[[#This Row],[Source]],tblSources[Source],0)),"?"))</f>
        <v/>
      </c>
      <c r="L98" s="63">
        <f>IF(tblMovement[[#This Row],[Destination]]="","",IFERROR(INDEX(tblDestinations[Type],MATCH(tblMovement[[#This Row],[Destination]],tblDestinations[Destination],0)),"?"))</f>
        <v/>
      </c>
      <c r="M98" s="64">
        <f>IF(tblMovement[[#This Row],[Material]]="","",IF(LEFT(tblMovement[[#This Row],[Material]],3)="Ore",1,0))</f>
        <v/>
      </c>
      <c r="N98" s="59">
        <f>IF(OR(tblMovement[[#This Row],[Tonnes_t]]="",tblMovement[[#This Row],[Grade_gpt]]=""),0,tblMovement[[#This Row],[Tonnes_t]]*tblMovement[[#This Row],[Grade_gpt]]/cfg_TroyOz)</f>
        <v/>
      </c>
      <c r="O98" s="59">
        <f>IF(tblMovement[[#This Row],[Is_Ore]]=1,tblMovement[[#This Row],[Contained_oz]],0)</f>
        <v/>
      </c>
    </row>
    <row r="99">
      <c r="A99" s="54" t="n"/>
      <c r="B99" s="61" t="n"/>
      <c r="C99" s="61" t="n"/>
      <c r="D99" s="61" t="n"/>
      <c r="E99" s="61" t="n"/>
      <c r="F99" s="55" t="n"/>
      <c r="G99" s="56" t="n"/>
      <c r="H99" s="55" t="n"/>
      <c r="I99" s="62" t="n"/>
      <c r="J99" s="58" t="n"/>
      <c r="K99" s="63">
        <f>IF(tblMovement[[#This Row],[Source]]="","",IFERROR(INDEX(tblSources[Type],MATCH(tblMovement[[#This Row],[Source]],tblSources[Source],0)),"?"))</f>
        <v/>
      </c>
      <c r="L99" s="63">
        <f>IF(tblMovement[[#This Row],[Destination]]="","",IFERROR(INDEX(tblDestinations[Type],MATCH(tblMovement[[#This Row],[Destination]],tblDestinations[Destination],0)),"?"))</f>
        <v/>
      </c>
      <c r="M99" s="64">
        <f>IF(tblMovement[[#This Row],[Material]]="","",IF(LEFT(tblMovement[[#This Row],[Material]],3)="Ore",1,0))</f>
        <v/>
      </c>
      <c r="N99" s="59">
        <f>IF(OR(tblMovement[[#This Row],[Tonnes_t]]="",tblMovement[[#This Row],[Grade_gpt]]=""),0,tblMovement[[#This Row],[Tonnes_t]]*tblMovement[[#This Row],[Grade_gpt]]/cfg_TroyOz)</f>
        <v/>
      </c>
      <c r="O99" s="59">
        <f>IF(tblMovement[[#This Row],[Is_Ore]]=1,tblMovement[[#This Row],[Contained_oz]],0)</f>
        <v/>
      </c>
    </row>
    <row r="100">
      <c r="A100" s="54" t="n"/>
      <c r="B100" s="61" t="n"/>
      <c r="C100" s="61" t="n"/>
      <c r="D100" s="61" t="n"/>
      <c r="E100" s="61" t="n"/>
      <c r="F100" s="55" t="n"/>
      <c r="G100" s="56" t="n"/>
      <c r="H100" s="55" t="n"/>
      <c r="I100" s="62" t="n"/>
      <c r="J100" s="58" t="n"/>
      <c r="K100" s="63">
        <f>IF(tblMovement[[#This Row],[Source]]="","",IFERROR(INDEX(tblSources[Type],MATCH(tblMovement[[#This Row],[Source]],tblSources[Source],0)),"?"))</f>
        <v/>
      </c>
      <c r="L100" s="63">
        <f>IF(tblMovement[[#This Row],[Destination]]="","",IFERROR(INDEX(tblDestinations[Type],MATCH(tblMovement[[#This Row],[Destination]],tblDestinations[Destination],0)),"?"))</f>
        <v/>
      </c>
      <c r="M100" s="64">
        <f>IF(tblMovement[[#This Row],[Material]]="","",IF(LEFT(tblMovement[[#This Row],[Material]],3)="Ore",1,0))</f>
        <v/>
      </c>
      <c r="N100" s="59">
        <f>IF(OR(tblMovement[[#This Row],[Tonnes_t]]="",tblMovement[[#This Row],[Grade_gpt]]=""),0,tblMovement[[#This Row],[Tonnes_t]]*tblMovement[[#This Row],[Grade_gpt]]/cfg_TroyOz)</f>
        <v/>
      </c>
      <c r="O100" s="59">
        <f>IF(tblMovement[[#This Row],[Is_Ore]]=1,tblMovement[[#This Row],[Contained_oz]],0)</f>
        <v/>
      </c>
    </row>
    <row r="101">
      <c r="A101" s="54" t="n"/>
      <c r="B101" s="61" t="n"/>
      <c r="C101" s="61" t="n"/>
      <c r="D101" s="61" t="n"/>
      <c r="E101" s="61" t="n"/>
      <c r="F101" s="55" t="n"/>
      <c r="G101" s="56" t="n"/>
      <c r="H101" s="55" t="n"/>
      <c r="I101" s="62" t="n"/>
      <c r="J101" s="58" t="n"/>
      <c r="K101" s="63">
        <f>IF(tblMovement[[#This Row],[Source]]="","",IFERROR(INDEX(tblSources[Type],MATCH(tblMovement[[#This Row],[Source]],tblSources[Source],0)),"?"))</f>
        <v/>
      </c>
      <c r="L101" s="63">
        <f>IF(tblMovement[[#This Row],[Destination]]="","",IFERROR(INDEX(tblDestinations[Type],MATCH(tblMovement[[#This Row],[Destination]],tblDestinations[Destination],0)),"?"))</f>
        <v/>
      </c>
      <c r="M101" s="64">
        <f>IF(tblMovement[[#This Row],[Material]]="","",IF(LEFT(tblMovement[[#This Row],[Material]],3)="Ore",1,0))</f>
        <v/>
      </c>
      <c r="N101" s="59">
        <f>IF(OR(tblMovement[[#This Row],[Tonnes_t]]="",tblMovement[[#This Row],[Grade_gpt]]=""),0,tblMovement[[#This Row],[Tonnes_t]]*tblMovement[[#This Row],[Grade_gpt]]/cfg_TroyOz)</f>
        <v/>
      </c>
      <c r="O101" s="59">
        <f>IF(tblMovement[[#This Row],[Is_Ore]]=1,tblMovement[[#This Row],[Contained_oz]],0)</f>
        <v/>
      </c>
    </row>
    <row r="102">
      <c r="A102" s="54" t="n"/>
      <c r="B102" s="61" t="n"/>
      <c r="C102" s="61" t="n"/>
      <c r="D102" s="61" t="n"/>
      <c r="E102" s="61" t="n"/>
      <c r="F102" s="55" t="n"/>
      <c r="G102" s="56" t="n"/>
      <c r="H102" s="55" t="n"/>
      <c r="I102" s="62" t="n"/>
      <c r="J102" s="58" t="n"/>
      <c r="K102" s="63">
        <f>IF(tblMovement[[#This Row],[Source]]="","",IFERROR(INDEX(tblSources[Type],MATCH(tblMovement[[#This Row],[Source]],tblSources[Source],0)),"?"))</f>
        <v/>
      </c>
      <c r="L102" s="63">
        <f>IF(tblMovement[[#This Row],[Destination]]="","",IFERROR(INDEX(tblDestinations[Type],MATCH(tblMovement[[#This Row],[Destination]],tblDestinations[Destination],0)),"?"))</f>
        <v/>
      </c>
      <c r="M102" s="64">
        <f>IF(tblMovement[[#This Row],[Material]]="","",IF(LEFT(tblMovement[[#This Row],[Material]],3)="Ore",1,0))</f>
        <v/>
      </c>
      <c r="N102" s="59">
        <f>IF(OR(tblMovement[[#This Row],[Tonnes_t]]="",tblMovement[[#This Row],[Grade_gpt]]=""),0,tblMovement[[#This Row],[Tonnes_t]]*tblMovement[[#This Row],[Grade_gpt]]/cfg_TroyOz)</f>
        <v/>
      </c>
      <c r="O102" s="59">
        <f>IF(tblMovement[[#This Row],[Is_Ore]]=1,tblMovement[[#This Row],[Contained_oz]],0)</f>
        <v/>
      </c>
    </row>
    <row r="103">
      <c r="A103" s="54" t="n"/>
      <c r="B103" s="61" t="n"/>
      <c r="C103" s="61" t="n"/>
      <c r="D103" s="61" t="n"/>
      <c r="E103" s="61" t="n"/>
      <c r="F103" s="55" t="n"/>
      <c r="G103" s="56" t="n"/>
      <c r="H103" s="55" t="n"/>
      <c r="I103" s="62" t="n"/>
      <c r="J103" s="58" t="n"/>
      <c r="K103" s="63">
        <f>IF(tblMovement[[#This Row],[Source]]="","",IFERROR(INDEX(tblSources[Type],MATCH(tblMovement[[#This Row],[Source]],tblSources[Source],0)),"?"))</f>
        <v/>
      </c>
      <c r="L103" s="63">
        <f>IF(tblMovement[[#This Row],[Destination]]="","",IFERROR(INDEX(tblDestinations[Type],MATCH(tblMovement[[#This Row],[Destination]],tblDestinations[Destination],0)),"?"))</f>
        <v/>
      </c>
      <c r="M103" s="64">
        <f>IF(tblMovement[[#This Row],[Material]]="","",IF(LEFT(tblMovement[[#This Row],[Material]],3)="Ore",1,0))</f>
        <v/>
      </c>
      <c r="N103" s="59">
        <f>IF(OR(tblMovement[[#This Row],[Tonnes_t]]="",tblMovement[[#This Row],[Grade_gpt]]=""),0,tblMovement[[#This Row],[Tonnes_t]]*tblMovement[[#This Row],[Grade_gpt]]/cfg_TroyOz)</f>
        <v/>
      </c>
      <c r="O103" s="59">
        <f>IF(tblMovement[[#This Row],[Is_Ore]]=1,tblMovement[[#This Row],[Contained_oz]],0)</f>
        <v/>
      </c>
    </row>
    <row r="104">
      <c r="A104" s="54" t="n"/>
      <c r="B104" s="61" t="n"/>
      <c r="C104" s="61" t="n"/>
      <c r="D104" s="61" t="n"/>
      <c r="E104" s="61" t="n"/>
      <c r="F104" s="55" t="n"/>
      <c r="G104" s="56" t="n"/>
      <c r="H104" s="55" t="n"/>
      <c r="I104" s="62" t="n"/>
      <c r="J104" s="58" t="n"/>
      <c r="K104" s="63">
        <f>IF(tblMovement[[#This Row],[Source]]="","",IFERROR(INDEX(tblSources[Type],MATCH(tblMovement[[#This Row],[Source]],tblSources[Source],0)),"?"))</f>
        <v/>
      </c>
      <c r="L104" s="63">
        <f>IF(tblMovement[[#This Row],[Destination]]="","",IFERROR(INDEX(tblDestinations[Type],MATCH(tblMovement[[#This Row],[Destination]],tblDestinations[Destination],0)),"?"))</f>
        <v/>
      </c>
      <c r="M104" s="64">
        <f>IF(tblMovement[[#This Row],[Material]]="","",IF(LEFT(tblMovement[[#This Row],[Material]],3)="Ore",1,0))</f>
        <v/>
      </c>
      <c r="N104" s="59">
        <f>IF(OR(tblMovement[[#This Row],[Tonnes_t]]="",tblMovement[[#This Row],[Grade_gpt]]=""),0,tblMovement[[#This Row],[Tonnes_t]]*tblMovement[[#This Row],[Grade_gpt]]/cfg_TroyOz)</f>
        <v/>
      </c>
      <c r="O104" s="59">
        <f>IF(tblMovement[[#This Row],[Is_Ore]]=1,tblMovement[[#This Row],[Contained_oz]],0)</f>
        <v/>
      </c>
    </row>
    <row r="105">
      <c r="A105" s="54" t="n"/>
      <c r="B105" s="61" t="n"/>
      <c r="C105" s="61" t="n"/>
      <c r="D105" s="61" t="n"/>
      <c r="E105" s="61" t="n"/>
      <c r="F105" s="55" t="n"/>
      <c r="G105" s="56" t="n"/>
      <c r="H105" s="55" t="n"/>
      <c r="I105" s="62" t="n"/>
      <c r="J105" s="58" t="n"/>
      <c r="K105" s="63">
        <f>IF(tblMovement[[#This Row],[Source]]="","",IFERROR(INDEX(tblSources[Type],MATCH(tblMovement[[#This Row],[Source]],tblSources[Source],0)),"?"))</f>
        <v/>
      </c>
      <c r="L105" s="63">
        <f>IF(tblMovement[[#This Row],[Destination]]="","",IFERROR(INDEX(tblDestinations[Type],MATCH(tblMovement[[#This Row],[Destination]],tblDestinations[Destination],0)),"?"))</f>
        <v/>
      </c>
      <c r="M105" s="64">
        <f>IF(tblMovement[[#This Row],[Material]]="","",IF(LEFT(tblMovement[[#This Row],[Material]],3)="Ore",1,0))</f>
        <v/>
      </c>
      <c r="N105" s="59">
        <f>IF(OR(tblMovement[[#This Row],[Tonnes_t]]="",tblMovement[[#This Row],[Grade_gpt]]=""),0,tblMovement[[#This Row],[Tonnes_t]]*tblMovement[[#This Row],[Grade_gpt]]/cfg_TroyOz)</f>
        <v/>
      </c>
      <c r="O105" s="59">
        <f>IF(tblMovement[[#This Row],[Is_Ore]]=1,tblMovement[[#This Row],[Contained_oz]],0)</f>
        <v/>
      </c>
    </row>
    <row r="106">
      <c r="A106" s="54" t="n"/>
      <c r="B106" s="61" t="n"/>
      <c r="C106" s="61" t="n"/>
      <c r="D106" s="61" t="n"/>
      <c r="E106" s="61" t="n"/>
      <c r="F106" s="55" t="n"/>
      <c r="G106" s="56" t="n"/>
      <c r="H106" s="55" t="n"/>
      <c r="I106" s="62" t="n"/>
      <c r="J106" s="58" t="n"/>
      <c r="K106" s="63">
        <f>IF(tblMovement[[#This Row],[Source]]="","",IFERROR(INDEX(tblSources[Type],MATCH(tblMovement[[#This Row],[Source]],tblSources[Source],0)),"?"))</f>
        <v/>
      </c>
      <c r="L106" s="63">
        <f>IF(tblMovement[[#This Row],[Destination]]="","",IFERROR(INDEX(tblDestinations[Type],MATCH(tblMovement[[#This Row],[Destination]],tblDestinations[Destination],0)),"?"))</f>
        <v/>
      </c>
      <c r="M106" s="64">
        <f>IF(tblMovement[[#This Row],[Material]]="","",IF(LEFT(tblMovement[[#This Row],[Material]],3)="Ore",1,0))</f>
        <v/>
      </c>
      <c r="N106" s="59">
        <f>IF(OR(tblMovement[[#This Row],[Tonnes_t]]="",tblMovement[[#This Row],[Grade_gpt]]=""),0,tblMovement[[#This Row],[Tonnes_t]]*tblMovement[[#This Row],[Grade_gpt]]/cfg_TroyOz)</f>
        <v/>
      </c>
      <c r="O106" s="59">
        <f>IF(tblMovement[[#This Row],[Is_Ore]]=1,tblMovement[[#This Row],[Contained_oz]],0)</f>
        <v/>
      </c>
    </row>
    <row r="107">
      <c r="A107" s="54" t="n"/>
      <c r="B107" s="61" t="n"/>
      <c r="C107" s="61" t="n"/>
      <c r="D107" s="61" t="n"/>
      <c r="E107" s="61" t="n"/>
      <c r="F107" s="55" t="n"/>
      <c r="G107" s="56" t="n"/>
      <c r="H107" s="55" t="n"/>
      <c r="I107" s="62" t="n"/>
      <c r="J107" s="58" t="n"/>
      <c r="K107" s="63">
        <f>IF(tblMovement[[#This Row],[Source]]="","",IFERROR(INDEX(tblSources[Type],MATCH(tblMovement[[#This Row],[Source]],tblSources[Source],0)),"?"))</f>
        <v/>
      </c>
      <c r="L107" s="63">
        <f>IF(tblMovement[[#This Row],[Destination]]="","",IFERROR(INDEX(tblDestinations[Type],MATCH(tblMovement[[#This Row],[Destination]],tblDestinations[Destination],0)),"?"))</f>
        <v/>
      </c>
      <c r="M107" s="64">
        <f>IF(tblMovement[[#This Row],[Material]]="","",IF(LEFT(tblMovement[[#This Row],[Material]],3)="Ore",1,0))</f>
        <v/>
      </c>
      <c r="N107" s="59">
        <f>IF(OR(tblMovement[[#This Row],[Tonnes_t]]="",tblMovement[[#This Row],[Grade_gpt]]=""),0,tblMovement[[#This Row],[Tonnes_t]]*tblMovement[[#This Row],[Grade_gpt]]/cfg_TroyOz)</f>
        <v/>
      </c>
      <c r="O107" s="59">
        <f>IF(tblMovement[[#This Row],[Is_Ore]]=1,tblMovement[[#This Row],[Contained_oz]],0)</f>
        <v/>
      </c>
    </row>
    <row r="108">
      <c r="A108" s="54" t="n"/>
      <c r="B108" s="61" t="n"/>
      <c r="C108" s="61" t="n"/>
      <c r="D108" s="61" t="n"/>
      <c r="E108" s="61" t="n"/>
      <c r="F108" s="55" t="n"/>
      <c r="G108" s="56" t="n"/>
      <c r="H108" s="55" t="n"/>
      <c r="I108" s="62" t="n"/>
      <c r="J108" s="58" t="n"/>
      <c r="K108" s="63">
        <f>IF(tblMovement[[#This Row],[Source]]="","",IFERROR(INDEX(tblSources[Type],MATCH(tblMovement[[#This Row],[Source]],tblSources[Source],0)),"?"))</f>
        <v/>
      </c>
      <c r="L108" s="63">
        <f>IF(tblMovement[[#This Row],[Destination]]="","",IFERROR(INDEX(tblDestinations[Type],MATCH(tblMovement[[#This Row],[Destination]],tblDestinations[Destination],0)),"?"))</f>
        <v/>
      </c>
      <c r="M108" s="64">
        <f>IF(tblMovement[[#This Row],[Material]]="","",IF(LEFT(tblMovement[[#This Row],[Material]],3)="Ore",1,0))</f>
        <v/>
      </c>
      <c r="N108" s="59">
        <f>IF(OR(tblMovement[[#This Row],[Tonnes_t]]="",tblMovement[[#This Row],[Grade_gpt]]=""),0,tblMovement[[#This Row],[Tonnes_t]]*tblMovement[[#This Row],[Grade_gpt]]/cfg_TroyOz)</f>
        <v/>
      </c>
      <c r="O108" s="59">
        <f>IF(tblMovement[[#This Row],[Is_Ore]]=1,tblMovement[[#This Row],[Contained_oz]],0)</f>
        <v/>
      </c>
    </row>
    <row r="109">
      <c r="A109" s="54" t="n"/>
      <c r="B109" s="61" t="n"/>
      <c r="C109" s="61" t="n"/>
      <c r="D109" s="61" t="n"/>
      <c r="E109" s="61" t="n"/>
      <c r="F109" s="55" t="n"/>
      <c r="G109" s="56" t="n"/>
      <c r="H109" s="55" t="n"/>
      <c r="I109" s="62" t="n"/>
      <c r="J109" s="58" t="n"/>
      <c r="K109" s="63">
        <f>IF(tblMovement[[#This Row],[Source]]="","",IFERROR(INDEX(tblSources[Type],MATCH(tblMovement[[#This Row],[Source]],tblSources[Source],0)),"?"))</f>
        <v/>
      </c>
      <c r="L109" s="63">
        <f>IF(tblMovement[[#This Row],[Destination]]="","",IFERROR(INDEX(tblDestinations[Type],MATCH(tblMovement[[#This Row],[Destination]],tblDestinations[Destination],0)),"?"))</f>
        <v/>
      </c>
      <c r="M109" s="64">
        <f>IF(tblMovement[[#This Row],[Material]]="","",IF(LEFT(tblMovement[[#This Row],[Material]],3)="Ore",1,0))</f>
        <v/>
      </c>
      <c r="N109" s="59">
        <f>IF(OR(tblMovement[[#This Row],[Tonnes_t]]="",tblMovement[[#This Row],[Grade_gpt]]=""),0,tblMovement[[#This Row],[Tonnes_t]]*tblMovement[[#This Row],[Grade_gpt]]/cfg_TroyOz)</f>
        <v/>
      </c>
      <c r="O109" s="59">
        <f>IF(tblMovement[[#This Row],[Is_Ore]]=1,tblMovement[[#This Row],[Contained_oz]],0)</f>
        <v/>
      </c>
    </row>
    <row r="110">
      <c r="A110" s="54" t="n"/>
      <c r="B110" s="61" t="n"/>
      <c r="C110" s="61" t="n"/>
      <c r="D110" s="61" t="n"/>
      <c r="E110" s="61" t="n"/>
      <c r="F110" s="55" t="n"/>
      <c r="G110" s="56" t="n"/>
      <c r="H110" s="55" t="n"/>
      <c r="I110" s="62" t="n"/>
      <c r="J110" s="58" t="n"/>
      <c r="K110" s="63">
        <f>IF(tblMovement[[#This Row],[Source]]="","",IFERROR(INDEX(tblSources[Type],MATCH(tblMovement[[#This Row],[Source]],tblSources[Source],0)),"?"))</f>
        <v/>
      </c>
      <c r="L110" s="63">
        <f>IF(tblMovement[[#This Row],[Destination]]="","",IFERROR(INDEX(tblDestinations[Type],MATCH(tblMovement[[#This Row],[Destination]],tblDestinations[Destination],0)),"?"))</f>
        <v/>
      </c>
      <c r="M110" s="64">
        <f>IF(tblMovement[[#This Row],[Material]]="","",IF(LEFT(tblMovement[[#This Row],[Material]],3)="Ore",1,0))</f>
        <v/>
      </c>
      <c r="N110" s="59">
        <f>IF(OR(tblMovement[[#This Row],[Tonnes_t]]="",tblMovement[[#This Row],[Grade_gpt]]=""),0,tblMovement[[#This Row],[Tonnes_t]]*tblMovement[[#This Row],[Grade_gpt]]/cfg_TroyOz)</f>
        <v/>
      </c>
      <c r="O110" s="59">
        <f>IF(tblMovement[[#This Row],[Is_Ore]]=1,tblMovement[[#This Row],[Contained_oz]],0)</f>
        <v/>
      </c>
    </row>
    <row r="111">
      <c r="A111" s="54" t="n"/>
      <c r="B111" s="61" t="n"/>
      <c r="C111" s="61" t="n"/>
      <c r="D111" s="61" t="n"/>
      <c r="E111" s="61" t="n"/>
      <c r="F111" s="55" t="n"/>
      <c r="G111" s="56" t="n"/>
      <c r="H111" s="55" t="n"/>
      <c r="I111" s="62" t="n"/>
      <c r="J111" s="58" t="n"/>
      <c r="K111" s="63">
        <f>IF(tblMovement[[#This Row],[Source]]="","",IFERROR(INDEX(tblSources[Type],MATCH(tblMovement[[#This Row],[Source]],tblSources[Source],0)),"?"))</f>
        <v/>
      </c>
      <c r="L111" s="63">
        <f>IF(tblMovement[[#This Row],[Destination]]="","",IFERROR(INDEX(tblDestinations[Type],MATCH(tblMovement[[#This Row],[Destination]],tblDestinations[Destination],0)),"?"))</f>
        <v/>
      </c>
      <c r="M111" s="64">
        <f>IF(tblMovement[[#This Row],[Material]]="","",IF(LEFT(tblMovement[[#This Row],[Material]],3)="Ore",1,0))</f>
        <v/>
      </c>
      <c r="N111" s="59">
        <f>IF(OR(tblMovement[[#This Row],[Tonnes_t]]="",tblMovement[[#This Row],[Grade_gpt]]=""),0,tblMovement[[#This Row],[Tonnes_t]]*tblMovement[[#This Row],[Grade_gpt]]/cfg_TroyOz)</f>
        <v/>
      </c>
      <c r="O111" s="59">
        <f>IF(tblMovement[[#This Row],[Is_Ore]]=1,tblMovement[[#This Row],[Contained_oz]],0)</f>
        <v/>
      </c>
    </row>
    <row r="112">
      <c r="A112" s="54" t="n"/>
      <c r="B112" s="61" t="n"/>
      <c r="C112" s="61" t="n"/>
      <c r="D112" s="61" t="n"/>
      <c r="E112" s="61" t="n"/>
      <c r="F112" s="55" t="n"/>
      <c r="G112" s="56" t="n"/>
      <c r="H112" s="55" t="n"/>
      <c r="I112" s="62" t="n"/>
      <c r="J112" s="58" t="n"/>
      <c r="K112" s="63">
        <f>IF(tblMovement[[#This Row],[Source]]="","",IFERROR(INDEX(tblSources[Type],MATCH(tblMovement[[#This Row],[Source]],tblSources[Source],0)),"?"))</f>
        <v/>
      </c>
      <c r="L112" s="63">
        <f>IF(tblMovement[[#This Row],[Destination]]="","",IFERROR(INDEX(tblDestinations[Type],MATCH(tblMovement[[#This Row],[Destination]],tblDestinations[Destination],0)),"?"))</f>
        <v/>
      </c>
      <c r="M112" s="64">
        <f>IF(tblMovement[[#This Row],[Material]]="","",IF(LEFT(tblMovement[[#This Row],[Material]],3)="Ore",1,0))</f>
        <v/>
      </c>
      <c r="N112" s="59">
        <f>IF(OR(tblMovement[[#This Row],[Tonnes_t]]="",tblMovement[[#This Row],[Grade_gpt]]=""),0,tblMovement[[#This Row],[Tonnes_t]]*tblMovement[[#This Row],[Grade_gpt]]/cfg_TroyOz)</f>
        <v/>
      </c>
      <c r="O112" s="59">
        <f>IF(tblMovement[[#This Row],[Is_Ore]]=1,tblMovement[[#This Row],[Contained_oz]],0)</f>
        <v/>
      </c>
    </row>
    <row r="113">
      <c r="A113" s="54" t="n"/>
      <c r="B113" s="61" t="n"/>
      <c r="C113" s="61" t="n"/>
      <c r="D113" s="61" t="n"/>
      <c r="E113" s="61" t="n"/>
      <c r="F113" s="55" t="n"/>
      <c r="G113" s="56" t="n"/>
      <c r="H113" s="55" t="n"/>
      <c r="I113" s="62" t="n"/>
      <c r="J113" s="58" t="n"/>
      <c r="K113" s="63">
        <f>IF(tblMovement[[#This Row],[Source]]="","",IFERROR(INDEX(tblSources[Type],MATCH(tblMovement[[#This Row],[Source]],tblSources[Source],0)),"?"))</f>
        <v/>
      </c>
      <c r="L113" s="63">
        <f>IF(tblMovement[[#This Row],[Destination]]="","",IFERROR(INDEX(tblDestinations[Type],MATCH(tblMovement[[#This Row],[Destination]],tblDestinations[Destination],0)),"?"))</f>
        <v/>
      </c>
      <c r="M113" s="64">
        <f>IF(tblMovement[[#This Row],[Material]]="","",IF(LEFT(tblMovement[[#This Row],[Material]],3)="Ore",1,0))</f>
        <v/>
      </c>
      <c r="N113" s="59">
        <f>IF(OR(tblMovement[[#This Row],[Tonnes_t]]="",tblMovement[[#This Row],[Grade_gpt]]=""),0,tblMovement[[#This Row],[Tonnes_t]]*tblMovement[[#This Row],[Grade_gpt]]/cfg_TroyOz)</f>
        <v/>
      </c>
      <c r="O113" s="59">
        <f>IF(tblMovement[[#This Row],[Is_Ore]]=1,tblMovement[[#This Row],[Contained_oz]],0)</f>
        <v/>
      </c>
    </row>
    <row r="114">
      <c r="A114" s="54" t="n"/>
      <c r="B114" s="61" t="n"/>
      <c r="C114" s="61" t="n"/>
      <c r="D114" s="61" t="n"/>
      <c r="E114" s="61" t="n"/>
      <c r="F114" s="55" t="n"/>
      <c r="G114" s="56" t="n"/>
      <c r="H114" s="55" t="n"/>
      <c r="I114" s="62" t="n"/>
      <c r="J114" s="58" t="n"/>
      <c r="K114" s="63">
        <f>IF(tblMovement[[#This Row],[Source]]="","",IFERROR(INDEX(tblSources[Type],MATCH(tblMovement[[#This Row],[Source]],tblSources[Source],0)),"?"))</f>
        <v/>
      </c>
      <c r="L114" s="63">
        <f>IF(tblMovement[[#This Row],[Destination]]="","",IFERROR(INDEX(tblDestinations[Type],MATCH(tblMovement[[#This Row],[Destination]],tblDestinations[Destination],0)),"?"))</f>
        <v/>
      </c>
      <c r="M114" s="64">
        <f>IF(tblMovement[[#This Row],[Material]]="","",IF(LEFT(tblMovement[[#This Row],[Material]],3)="Ore",1,0))</f>
        <v/>
      </c>
      <c r="N114" s="59">
        <f>IF(OR(tblMovement[[#This Row],[Tonnes_t]]="",tblMovement[[#This Row],[Grade_gpt]]=""),0,tblMovement[[#This Row],[Tonnes_t]]*tblMovement[[#This Row],[Grade_gpt]]/cfg_TroyOz)</f>
        <v/>
      </c>
      <c r="O114" s="59">
        <f>IF(tblMovement[[#This Row],[Is_Ore]]=1,tblMovement[[#This Row],[Contained_oz]],0)</f>
        <v/>
      </c>
    </row>
    <row r="115">
      <c r="A115" s="54" t="n"/>
      <c r="B115" s="61" t="n"/>
      <c r="C115" s="61" t="n"/>
      <c r="D115" s="61" t="n"/>
      <c r="E115" s="61" t="n"/>
      <c r="F115" s="55" t="n"/>
      <c r="G115" s="56" t="n"/>
      <c r="H115" s="55" t="n"/>
      <c r="I115" s="62" t="n"/>
      <c r="J115" s="58" t="n"/>
      <c r="K115" s="63">
        <f>IF(tblMovement[[#This Row],[Source]]="","",IFERROR(INDEX(tblSources[Type],MATCH(tblMovement[[#This Row],[Source]],tblSources[Source],0)),"?"))</f>
        <v/>
      </c>
      <c r="L115" s="63">
        <f>IF(tblMovement[[#This Row],[Destination]]="","",IFERROR(INDEX(tblDestinations[Type],MATCH(tblMovement[[#This Row],[Destination]],tblDestinations[Destination],0)),"?"))</f>
        <v/>
      </c>
      <c r="M115" s="64">
        <f>IF(tblMovement[[#This Row],[Material]]="","",IF(LEFT(tblMovement[[#This Row],[Material]],3)="Ore",1,0))</f>
        <v/>
      </c>
      <c r="N115" s="59">
        <f>IF(OR(tblMovement[[#This Row],[Tonnes_t]]="",tblMovement[[#This Row],[Grade_gpt]]=""),0,tblMovement[[#This Row],[Tonnes_t]]*tblMovement[[#This Row],[Grade_gpt]]/cfg_TroyOz)</f>
        <v/>
      </c>
      <c r="O115" s="59">
        <f>IF(tblMovement[[#This Row],[Is_Ore]]=1,tblMovement[[#This Row],[Contained_oz]],0)</f>
        <v/>
      </c>
    </row>
    <row r="116">
      <c r="A116" s="54" t="n"/>
      <c r="B116" s="61" t="n"/>
      <c r="C116" s="61" t="n"/>
      <c r="D116" s="61" t="n"/>
      <c r="E116" s="61" t="n"/>
      <c r="F116" s="55" t="n"/>
      <c r="G116" s="56" t="n"/>
      <c r="H116" s="55" t="n"/>
      <c r="I116" s="62" t="n"/>
      <c r="J116" s="58" t="n"/>
      <c r="K116" s="63">
        <f>IF(tblMovement[[#This Row],[Source]]="","",IFERROR(INDEX(tblSources[Type],MATCH(tblMovement[[#This Row],[Source]],tblSources[Source],0)),"?"))</f>
        <v/>
      </c>
      <c r="L116" s="63">
        <f>IF(tblMovement[[#This Row],[Destination]]="","",IFERROR(INDEX(tblDestinations[Type],MATCH(tblMovement[[#This Row],[Destination]],tblDestinations[Destination],0)),"?"))</f>
        <v/>
      </c>
      <c r="M116" s="64">
        <f>IF(tblMovement[[#This Row],[Material]]="","",IF(LEFT(tblMovement[[#This Row],[Material]],3)="Ore",1,0))</f>
        <v/>
      </c>
      <c r="N116" s="59">
        <f>IF(OR(tblMovement[[#This Row],[Tonnes_t]]="",tblMovement[[#This Row],[Grade_gpt]]=""),0,tblMovement[[#This Row],[Tonnes_t]]*tblMovement[[#This Row],[Grade_gpt]]/cfg_TroyOz)</f>
        <v/>
      </c>
      <c r="O116" s="59">
        <f>IF(tblMovement[[#This Row],[Is_Ore]]=1,tblMovement[[#This Row],[Contained_oz]],0)</f>
        <v/>
      </c>
    </row>
    <row r="117">
      <c r="A117" s="54" t="n"/>
      <c r="B117" s="61" t="n"/>
      <c r="C117" s="61" t="n"/>
      <c r="D117" s="61" t="n"/>
      <c r="E117" s="61" t="n"/>
      <c r="F117" s="55" t="n"/>
      <c r="G117" s="56" t="n"/>
      <c r="H117" s="55" t="n"/>
      <c r="I117" s="62" t="n"/>
      <c r="J117" s="58" t="n"/>
      <c r="K117" s="63">
        <f>IF(tblMovement[[#This Row],[Source]]="","",IFERROR(INDEX(tblSources[Type],MATCH(tblMovement[[#This Row],[Source]],tblSources[Source],0)),"?"))</f>
        <v/>
      </c>
      <c r="L117" s="63">
        <f>IF(tblMovement[[#This Row],[Destination]]="","",IFERROR(INDEX(tblDestinations[Type],MATCH(tblMovement[[#This Row],[Destination]],tblDestinations[Destination],0)),"?"))</f>
        <v/>
      </c>
      <c r="M117" s="64">
        <f>IF(tblMovement[[#This Row],[Material]]="","",IF(LEFT(tblMovement[[#This Row],[Material]],3)="Ore",1,0))</f>
        <v/>
      </c>
      <c r="N117" s="59">
        <f>IF(OR(tblMovement[[#This Row],[Tonnes_t]]="",tblMovement[[#This Row],[Grade_gpt]]=""),0,tblMovement[[#This Row],[Tonnes_t]]*tblMovement[[#This Row],[Grade_gpt]]/cfg_TroyOz)</f>
        <v/>
      </c>
      <c r="O117" s="59">
        <f>IF(tblMovement[[#This Row],[Is_Ore]]=1,tblMovement[[#This Row],[Contained_oz]],0)</f>
        <v/>
      </c>
    </row>
    <row r="118">
      <c r="A118" s="54" t="n"/>
      <c r="B118" s="61" t="n"/>
      <c r="C118" s="61" t="n"/>
      <c r="D118" s="61" t="n"/>
      <c r="E118" s="61" t="n"/>
      <c r="F118" s="55" t="n"/>
      <c r="G118" s="56" t="n"/>
      <c r="H118" s="55" t="n"/>
      <c r="I118" s="62" t="n"/>
      <c r="J118" s="58" t="n"/>
      <c r="K118" s="63">
        <f>IF(tblMovement[[#This Row],[Source]]="","",IFERROR(INDEX(tblSources[Type],MATCH(tblMovement[[#This Row],[Source]],tblSources[Source],0)),"?"))</f>
        <v/>
      </c>
      <c r="L118" s="63">
        <f>IF(tblMovement[[#This Row],[Destination]]="","",IFERROR(INDEX(tblDestinations[Type],MATCH(tblMovement[[#This Row],[Destination]],tblDestinations[Destination],0)),"?"))</f>
        <v/>
      </c>
      <c r="M118" s="64">
        <f>IF(tblMovement[[#This Row],[Material]]="","",IF(LEFT(tblMovement[[#This Row],[Material]],3)="Ore",1,0))</f>
        <v/>
      </c>
      <c r="N118" s="59">
        <f>IF(OR(tblMovement[[#This Row],[Tonnes_t]]="",tblMovement[[#This Row],[Grade_gpt]]=""),0,tblMovement[[#This Row],[Tonnes_t]]*tblMovement[[#This Row],[Grade_gpt]]/cfg_TroyOz)</f>
        <v/>
      </c>
      <c r="O118" s="59">
        <f>IF(tblMovement[[#This Row],[Is_Ore]]=1,tblMovement[[#This Row],[Contained_oz]],0)</f>
        <v/>
      </c>
    </row>
    <row r="119">
      <c r="A119" s="54" t="n"/>
      <c r="B119" s="61" t="n"/>
      <c r="C119" s="61" t="n"/>
      <c r="D119" s="61" t="n"/>
      <c r="E119" s="61" t="n"/>
      <c r="F119" s="55" t="n"/>
      <c r="G119" s="56" t="n"/>
      <c r="H119" s="55" t="n"/>
      <c r="I119" s="62" t="n"/>
      <c r="J119" s="58" t="n"/>
      <c r="K119" s="63">
        <f>IF(tblMovement[[#This Row],[Source]]="","",IFERROR(INDEX(tblSources[Type],MATCH(tblMovement[[#This Row],[Source]],tblSources[Source],0)),"?"))</f>
        <v/>
      </c>
      <c r="L119" s="63">
        <f>IF(tblMovement[[#This Row],[Destination]]="","",IFERROR(INDEX(tblDestinations[Type],MATCH(tblMovement[[#This Row],[Destination]],tblDestinations[Destination],0)),"?"))</f>
        <v/>
      </c>
      <c r="M119" s="64">
        <f>IF(tblMovement[[#This Row],[Material]]="","",IF(LEFT(tblMovement[[#This Row],[Material]],3)="Ore",1,0))</f>
        <v/>
      </c>
      <c r="N119" s="59">
        <f>IF(OR(tblMovement[[#This Row],[Tonnes_t]]="",tblMovement[[#This Row],[Grade_gpt]]=""),0,tblMovement[[#This Row],[Tonnes_t]]*tblMovement[[#This Row],[Grade_gpt]]/cfg_TroyOz)</f>
        <v/>
      </c>
      <c r="O119" s="59">
        <f>IF(tblMovement[[#This Row],[Is_Ore]]=1,tblMovement[[#This Row],[Contained_oz]],0)</f>
        <v/>
      </c>
    </row>
    <row r="120">
      <c r="A120" s="54" t="n"/>
      <c r="B120" s="61" t="n"/>
      <c r="C120" s="61" t="n"/>
      <c r="D120" s="61" t="n"/>
      <c r="E120" s="61" t="n"/>
      <c r="F120" s="55" t="n"/>
      <c r="G120" s="56" t="n"/>
      <c r="H120" s="55" t="n"/>
      <c r="I120" s="62" t="n"/>
      <c r="J120" s="58" t="n"/>
      <c r="K120" s="63">
        <f>IF(tblMovement[[#This Row],[Source]]="","",IFERROR(INDEX(tblSources[Type],MATCH(tblMovement[[#This Row],[Source]],tblSources[Source],0)),"?"))</f>
        <v/>
      </c>
      <c r="L120" s="63">
        <f>IF(tblMovement[[#This Row],[Destination]]="","",IFERROR(INDEX(tblDestinations[Type],MATCH(tblMovement[[#This Row],[Destination]],tblDestinations[Destination],0)),"?"))</f>
        <v/>
      </c>
      <c r="M120" s="64">
        <f>IF(tblMovement[[#This Row],[Material]]="","",IF(LEFT(tblMovement[[#This Row],[Material]],3)="Ore",1,0))</f>
        <v/>
      </c>
      <c r="N120" s="59">
        <f>IF(OR(tblMovement[[#This Row],[Tonnes_t]]="",tblMovement[[#This Row],[Grade_gpt]]=""),0,tblMovement[[#This Row],[Tonnes_t]]*tblMovement[[#This Row],[Grade_gpt]]/cfg_TroyOz)</f>
        <v/>
      </c>
      <c r="O120" s="59">
        <f>IF(tblMovement[[#This Row],[Is_Ore]]=1,tblMovement[[#This Row],[Contained_oz]],0)</f>
        <v/>
      </c>
    </row>
    <row r="121">
      <c r="A121" s="54" t="n"/>
      <c r="B121" s="61" t="n"/>
      <c r="C121" s="61" t="n"/>
      <c r="D121" s="61" t="n"/>
      <c r="E121" s="61" t="n"/>
      <c r="F121" s="55" t="n"/>
      <c r="G121" s="56" t="n"/>
      <c r="H121" s="55" t="n"/>
      <c r="I121" s="62" t="n"/>
      <c r="J121" s="58" t="n"/>
      <c r="K121" s="63">
        <f>IF(tblMovement[[#This Row],[Source]]="","",IFERROR(INDEX(tblSources[Type],MATCH(tblMovement[[#This Row],[Source]],tblSources[Source],0)),"?"))</f>
        <v/>
      </c>
      <c r="L121" s="63">
        <f>IF(tblMovement[[#This Row],[Destination]]="","",IFERROR(INDEX(tblDestinations[Type],MATCH(tblMovement[[#This Row],[Destination]],tblDestinations[Destination],0)),"?"))</f>
        <v/>
      </c>
      <c r="M121" s="64">
        <f>IF(tblMovement[[#This Row],[Material]]="","",IF(LEFT(tblMovement[[#This Row],[Material]],3)="Ore",1,0))</f>
        <v/>
      </c>
      <c r="N121" s="59">
        <f>IF(OR(tblMovement[[#This Row],[Tonnes_t]]="",tblMovement[[#This Row],[Grade_gpt]]=""),0,tblMovement[[#This Row],[Tonnes_t]]*tblMovement[[#This Row],[Grade_gpt]]/cfg_TroyOz)</f>
        <v/>
      </c>
      <c r="O121" s="59">
        <f>IF(tblMovement[[#This Row],[Is_Ore]]=1,tblMovement[[#This Row],[Contained_oz]],0)</f>
        <v/>
      </c>
    </row>
    <row r="122">
      <c r="A122" s="54" t="n"/>
      <c r="B122" s="61" t="n"/>
      <c r="C122" s="61" t="n"/>
      <c r="D122" s="61" t="n"/>
      <c r="E122" s="61" t="n"/>
      <c r="F122" s="55" t="n"/>
      <c r="G122" s="56" t="n"/>
      <c r="H122" s="55" t="n"/>
      <c r="I122" s="62" t="n"/>
      <c r="J122" s="58" t="n"/>
      <c r="K122" s="63">
        <f>IF(tblMovement[[#This Row],[Source]]="","",IFERROR(INDEX(tblSources[Type],MATCH(tblMovement[[#This Row],[Source]],tblSources[Source],0)),"?"))</f>
        <v/>
      </c>
      <c r="L122" s="63">
        <f>IF(tblMovement[[#This Row],[Destination]]="","",IFERROR(INDEX(tblDestinations[Type],MATCH(tblMovement[[#This Row],[Destination]],tblDestinations[Destination],0)),"?"))</f>
        <v/>
      </c>
      <c r="M122" s="64">
        <f>IF(tblMovement[[#This Row],[Material]]="","",IF(LEFT(tblMovement[[#This Row],[Material]],3)="Ore",1,0))</f>
        <v/>
      </c>
      <c r="N122" s="59">
        <f>IF(OR(tblMovement[[#This Row],[Tonnes_t]]="",tblMovement[[#This Row],[Grade_gpt]]=""),0,tblMovement[[#This Row],[Tonnes_t]]*tblMovement[[#This Row],[Grade_gpt]]/cfg_TroyOz)</f>
        <v/>
      </c>
      <c r="O122" s="59">
        <f>IF(tblMovement[[#This Row],[Is_Ore]]=1,tblMovement[[#This Row],[Contained_oz]],0)</f>
        <v/>
      </c>
    </row>
    <row r="123">
      <c r="A123" s="54" t="n"/>
      <c r="B123" s="61" t="n"/>
      <c r="C123" s="61" t="n"/>
      <c r="D123" s="61" t="n"/>
      <c r="E123" s="61" t="n"/>
      <c r="F123" s="55" t="n"/>
      <c r="G123" s="56" t="n"/>
      <c r="H123" s="55" t="n"/>
      <c r="I123" s="62" t="n"/>
      <c r="J123" s="58" t="n"/>
      <c r="K123" s="63">
        <f>IF(tblMovement[[#This Row],[Source]]="","",IFERROR(INDEX(tblSources[Type],MATCH(tblMovement[[#This Row],[Source]],tblSources[Source],0)),"?"))</f>
        <v/>
      </c>
      <c r="L123" s="63">
        <f>IF(tblMovement[[#This Row],[Destination]]="","",IFERROR(INDEX(tblDestinations[Type],MATCH(tblMovement[[#This Row],[Destination]],tblDestinations[Destination],0)),"?"))</f>
        <v/>
      </c>
      <c r="M123" s="64">
        <f>IF(tblMovement[[#This Row],[Material]]="","",IF(LEFT(tblMovement[[#This Row],[Material]],3)="Ore",1,0))</f>
        <v/>
      </c>
      <c r="N123" s="59">
        <f>IF(OR(tblMovement[[#This Row],[Tonnes_t]]="",tblMovement[[#This Row],[Grade_gpt]]=""),0,tblMovement[[#This Row],[Tonnes_t]]*tblMovement[[#This Row],[Grade_gpt]]/cfg_TroyOz)</f>
        <v/>
      </c>
      <c r="O123" s="59">
        <f>IF(tblMovement[[#This Row],[Is_Ore]]=1,tblMovement[[#This Row],[Contained_oz]],0)</f>
        <v/>
      </c>
    </row>
    <row r="124">
      <c r="A124" s="54" t="n"/>
      <c r="B124" s="61" t="n"/>
      <c r="C124" s="61" t="n"/>
      <c r="D124" s="61" t="n"/>
      <c r="E124" s="61" t="n"/>
      <c r="F124" s="55" t="n"/>
      <c r="G124" s="56" t="n"/>
      <c r="H124" s="55" t="n"/>
      <c r="I124" s="62" t="n"/>
      <c r="J124" s="58" t="n"/>
      <c r="K124" s="63">
        <f>IF(tblMovement[[#This Row],[Source]]="","",IFERROR(INDEX(tblSources[Type],MATCH(tblMovement[[#This Row],[Source]],tblSources[Source],0)),"?"))</f>
        <v/>
      </c>
      <c r="L124" s="63">
        <f>IF(tblMovement[[#This Row],[Destination]]="","",IFERROR(INDEX(tblDestinations[Type],MATCH(tblMovement[[#This Row],[Destination]],tblDestinations[Destination],0)),"?"))</f>
        <v/>
      </c>
      <c r="M124" s="64">
        <f>IF(tblMovement[[#This Row],[Material]]="","",IF(LEFT(tblMovement[[#This Row],[Material]],3)="Ore",1,0))</f>
        <v/>
      </c>
      <c r="N124" s="59">
        <f>IF(OR(tblMovement[[#This Row],[Tonnes_t]]="",tblMovement[[#This Row],[Grade_gpt]]=""),0,tblMovement[[#This Row],[Tonnes_t]]*tblMovement[[#This Row],[Grade_gpt]]/cfg_TroyOz)</f>
        <v/>
      </c>
      <c r="O124" s="59">
        <f>IF(tblMovement[[#This Row],[Is_Ore]]=1,tblMovement[[#This Row],[Contained_oz]],0)</f>
        <v/>
      </c>
    </row>
    <row r="125">
      <c r="A125" s="54" t="n"/>
      <c r="B125" s="61" t="n"/>
      <c r="C125" s="61" t="n"/>
      <c r="D125" s="61" t="n"/>
      <c r="E125" s="61" t="n"/>
      <c r="F125" s="55" t="n"/>
      <c r="G125" s="56" t="n"/>
      <c r="H125" s="55" t="n"/>
      <c r="I125" s="62" t="n"/>
      <c r="J125" s="58" t="n"/>
      <c r="K125" s="63">
        <f>IF(tblMovement[[#This Row],[Source]]="","",IFERROR(INDEX(tblSources[Type],MATCH(tblMovement[[#This Row],[Source]],tblSources[Source],0)),"?"))</f>
        <v/>
      </c>
      <c r="L125" s="63">
        <f>IF(tblMovement[[#This Row],[Destination]]="","",IFERROR(INDEX(tblDestinations[Type],MATCH(tblMovement[[#This Row],[Destination]],tblDestinations[Destination],0)),"?"))</f>
        <v/>
      </c>
      <c r="M125" s="64">
        <f>IF(tblMovement[[#This Row],[Material]]="","",IF(LEFT(tblMovement[[#This Row],[Material]],3)="Ore",1,0))</f>
        <v/>
      </c>
      <c r="N125" s="59">
        <f>IF(OR(tblMovement[[#This Row],[Tonnes_t]]="",tblMovement[[#This Row],[Grade_gpt]]=""),0,tblMovement[[#This Row],[Tonnes_t]]*tblMovement[[#This Row],[Grade_gpt]]/cfg_TroyOz)</f>
        <v/>
      </c>
      <c r="O125" s="59">
        <f>IF(tblMovement[[#This Row],[Is_Ore]]=1,tblMovement[[#This Row],[Contained_oz]],0)</f>
        <v/>
      </c>
    </row>
    <row r="126">
      <c r="A126" s="54" t="n"/>
      <c r="B126" s="61" t="n"/>
      <c r="C126" s="61" t="n"/>
      <c r="D126" s="61" t="n"/>
      <c r="E126" s="61" t="n"/>
      <c r="F126" s="55" t="n"/>
      <c r="G126" s="56" t="n"/>
      <c r="H126" s="55" t="n"/>
      <c r="I126" s="62" t="n"/>
      <c r="J126" s="58" t="n"/>
      <c r="K126" s="63">
        <f>IF(tblMovement[[#This Row],[Source]]="","",IFERROR(INDEX(tblSources[Type],MATCH(tblMovement[[#This Row],[Source]],tblSources[Source],0)),"?"))</f>
        <v/>
      </c>
      <c r="L126" s="63">
        <f>IF(tblMovement[[#This Row],[Destination]]="","",IFERROR(INDEX(tblDestinations[Type],MATCH(tblMovement[[#This Row],[Destination]],tblDestinations[Destination],0)),"?"))</f>
        <v/>
      </c>
      <c r="M126" s="64">
        <f>IF(tblMovement[[#This Row],[Material]]="","",IF(LEFT(tblMovement[[#This Row],[Material]],3)="Ore",1,0))</f>
        <v/>
      </c>
      <c r="N126" s="59">
        <f>IF(OR(tblMovement[[#This Row],[Tonnes_t]]="",tblMovement[[#This Row],[Grade_gpt]]=""),0,tblMovement[[#This Row],[Tonnes_t]]*tblMovement[[#This Row],[Grade_gpt]]/cfg_TroyOz)</f>
        <v/>
      </c>
      <c r="O126" s="59">
        <f>IF(tblMovement[[#This Row],[Is_Ore]]=1,tblMovement[[#This Row],[Contained_oz]],0)</f>
        <v/>
      </c>
    </row>
    <row r="127">
      <c r="A127" s="54" t="n"/>
      <c r="B127" s="61" t="n"/>
      <c r="C127" s="61" t="n"/>
      <c r="D127" s="61" t="n"/>
      <c r="E127" s="61" t="n"/>
      <c r="F127" s="55" t="n"/>
      <c r="G127" s="56" t="n"/>
      <c r="H127" s="55" t="n"/>
      <c r="I127" s="62" t="n"/>
      <c r="J127" s="58" t="n"/>
      <c r="K127" s="63">
        <f>IF(tblMovement[[#This Row],[Source]]="","",IFERROR(INDEX(tblSources[Type],MATCH(tblMovement[[#This Row],[Source]],tblSources[Source],0)),"?"))</f>
        <v/>
      </c>
      <c r="L127" s="63">
        <f>IF(tblMovement[[#This Row],[Destination]]="","",IFERROR(INDEX(tblDestinations[Type],MATCH(tblMovement[[#This Row],[Destination]],tblDestinations[Destination],0)),"?"))</f>
        <v/>
      </c>
      <c r="M127" s="64">
        <f>IF(tblMovement[[#This Row],[Material]]="","",IF(LEFT(tblMovement[[#This Row],[Material]],3)="Ore",1,0))</f>
        <v/>
      </c>
      <c r="N127" s="59">
        <f>IF(OR(tblMovement[[#This Row],[Tonnes_t]]="",tblMovement[[#This Row],[Grade_gpt]]=""),0,tblMovement[[#This Row],[Tonnes_t]]*tblMovement[[#This Row],[Grade_gpt]]/cfg_TroyOz)</f>
        <v/>
      </c>
      <c r="O127" s="59">
        <f>IF(tblMovement[[#This Row],[Is_Ore]]=1,tblMovement[[#This Row],[Contained_oz]],0)</f>
        <v/>
      </c>
    </row>
    <row r="128">
      <c r="A128" s="54" t="n"/>
      <c r="B128" s="61" t="n"/>
      <c r="C128" s="61" t="n"/>
      <c r="D128" s="61" t="n"/>
      <c r="E128" s="61" t="n"/>
      <c r="F128" s="55" t="n"/>
      <c r="G128" s="56" t="n"/>
      <c r="H128" s="55" t="n"/>
      <c r="I128" s="62" t="n"/>
      <c r="J128" s="58" t="n"/>
      <c r="K128" s="63">
        <f>IF(tblMovement[[#This Row],[Source]]="","",IFERROR(INDEX(tblSources[Type],MATCH(tblMovement[[#This Row],[Source]],tblSources[Source],0)),"?"))</f>
        <v/>
      </c>
      <c r="L128" s="63">
        <f>IF(tblMovement[[#This Row],[Destination]]="","",IFERROR(INDEX(tblDestinations[Type],MATCH(tblMovement[[#This Row],[Destination]],tblDestinations[Destination],0)),"?"))</f>
        <v/>
      </c>
      <c r="M128" s="64">
        <f>IF(tblMovement[[#This Row],[Material]]="","",IF(LEFT(tblMovement[[#This Row],[Material]],3)="Ore",1,0))</f>
        <v/>
      </c>
      <c r="N128" s="59">
        <f>IF(OR(tblMovement[[#This Row],[Tonnes_t]]="",tblMovement[[#This Row],[Grade_gpt]]=""),0,tblMovement[[#This Row],[Tonnes_t]]*tblMovement[[#This Row],[Grade_gpt]]/cfg_TroyOz)</f>
        <v/>
      </c>
      <c r="O128" s="59">
        <f>IF(tblMovement[[#This Row],[Is_Ore]]=1,tblMovement[[#This Row],[Contained_oz]],0)</f>
        <v/>
      </c>
    </row>
    <row r="129">
      <c r="A129" s="54" t="n"/>
      <c r="B129" s="61" t="n"/>
      <c r="C129" s="61" t="n"/>
      <c r="D129" s="61" t="n"/>
      <c r="E129" s="61" t="n"/>
      <c r="F129" s="55" t="n"/>
      <c r="G129" s="56" t="n"/>
      <c r="H129" s="55" t="n"/>
      <c r="I129" s="62" t="n"/>
      <c r="J129" s="58" t="n"/>
      <c r="K129" s="63">
        <f>IF(tblMovement[[#This Row],[Source]]="","",IFERROR(INDEX(tblSources[Type],MATCH(tblMovement[[#This Row],[Source]],tblSources[Source],0)),"?"))</f>
        <v/>
      </c>
      <c r="L129" s="63">
        <f>IF(tblMovement[[#This Row],[Destination]]="","",IFERROR(INDEX(tblDestinations[Type],MATCH(tblMovement[[#This Row],[Destination]],tblDestinations[Destination],0)),"?"))</f>
        <v/>
      </c>
      <c r="M129" s="64">
        <f>IF(tblMovement[[#This Row],[Material]]="","",IF(LEFT(tblMovement[[#This Row],[Material]],3)="Ore",1,0))</f>
        <v/>
      </c>
      <c r="N129" s="59">
        <f>IF(OR(tblMovement[[#This Row],[Tonnes_t]]="",tblMovement[[#This Row],[Grade_gpt]]=""),0,tblMovement[[#This Row],[Tonnes_t]]*tblMovement[[#This Row],[Grade_gpt]]/cfg_TroyOz)</f>
        <v/>
      </c>
      <c r="O129" s="59">
        <f>IF(tblMovement[[#This Row],[Is_Ore]]=1,tblMovement[[#This Row],[Contained_oz]],0)</f>
        <v/>
      </c>
    </row>
    <row r="130">
      <c r="A130" s="54" t="n"/>
      <c r="B130" s="61" t="n"/>
      <c r="C130" s="61" t="n"/>
      <c r="D130" s="61" t="n"/>
      <c r="E130" s="61" t="n"/>
      <c r="F130" s="55" t="n"/>
      <c r="G130" s="56" t="n"/>
      <c r="H130" s="55" t="n"/>
      <c r="I130" s="62" t="n"/>
      <c r="J130" s="58" t="n"/>
      <c r="K130" s="63">
        <f>IF(tblMovement[[#This Row],[Source]]="","",IFERROR(INDEX(tblSources[Type],MATCH(tblMovement[[#This Row],[Source]],tblSources[Source],0)),"?"))</f>
        <v/>
      </c>
      <c r="L130" s="63">
        <f>IF(tblMovement[[#This Row],[Destination]]="","",IFERROR(INDEX(tblDestinations[Type],MATCH(tblMovement[[#This Row],[Destination]],tblDestinations[Destination],0)),"?"))</f>
        <v/>
      </c>
      <c r="M130" s="64">
        <f>IF(tblMovement[[#This Row],[Material]]="","",IF(LEFT(tblMovement[[#This Row],[Material]],3)="Ore",1,0))</f>
        <v/>
      </c>
      <c r="N130" s="59">
        <f>IF(OR(tblMovement[[#This Row],[Tonnes_t]]="",tblMovement[[#This Row],[Grade_gpt]]=""),0,tblMovement[[#This Row],[Tonnes_t]]*tblMovement[[#This Row],[Grade_gpt]]/cfg_TroyOz)</f>
        <v/>
      </c>
      <c r="O130" s="59">
        <f>IF(tblMovement[[#This Row],[Is_Ore]]=1,tblMovement[[#This Row],[Contained_oz]],0)</f>
        <v/>
      </c>
    </row>
    <row r="131">
      <c r="A131" s="54" t="n"/>
      <c r="B131" s="61" t="n"/>
      <c r="C131" s="61" t="n"/>
      <c r="D131" s="61" t="n"/>
      <c r="E131" s="61" t="n"/>
      <c r="F131" s="55" t="n"/>
      <c r="G131" s="56" t="n"/>
      <c r="H131" s="55" t="n"/>
      <c r="I131" s="62" t="n"/>
      <c r="J131" s="58" t="n"/>
      <c r="K131" s="63">
        <f>IF(tblMovement[[#This Row],[Source]]="","",IFERROR(INDEX(tblSources[Type],MATCH(tblMovement[[#This Row],[Source]],tblSources[Source],0)),"?"))</f>
        <v/>
      </c>
      <c r="L131" s="63">
        <f>IF(tblMovement[[#This Row],[Destination]]="","",IFERROR(INDEX(tblDestinations[Type],MATCH(tblMovement[[#This Row],[Destination]],tblDestinations[Destination],0)),"?"))</f>
        <v/>
      </c>
      <c r="M131" s="64">
        <f>IF(tblMovement[[#This Row],[Material]]="","",IF(LEFT(tblMovement[[#This Row],[Material]],3)="Ore",1,0))</f>
        <v/>
      </c>
      <c r="N131" s="59">
        <f>IF(OR(tblMovement[[#This Row],[Tonnes_t]]="",tblMovement[[#This Row],[Grade_gpt]]=""),0,tblMovement[[#This Row],[Tonnes_t]]*tblMovement[[#This Row],[Grade_gpt]]/cfg_TroyOz)</f>
        <v/>
      </c>
      <c r="O131" s="59">
        <f>IF(tblMovement[[#This Row],[Is_Ore]]=1,tblMovement[[#This Row],[Contained_oz]],0)</f>
        <v/>
      </c>
    </row>
    <row r="132">
      <c r="A132" s="54" t="n"/>
      <c r="B132" s="61" t="n"/>
      <c r="C132" s="61" t="n"/>
      <c r="D132" s="61" t="n"/>
      <c r="E132" s="61" t="n"/>
      <c r="F132" s="55" t="n"/>
      <c r="G132" s="56" t="n"/>
      <c r="H132" s="55" t="n"/>
      <c r="I132" s="62" t="n"/>
      <c r="J132" s="58" t="n"/>
      <c r="K132" s="63">
        <f>IF(tblMovement[[#This Row],[Source]]="","",IFERROR(INDEX(tblSources[Type],MATCH(tblMovement[[#This Row],[Source]],tblSources[Source],0)),"?"))</f>
        <v/>
      </c>
      <c r="L132" s="63">
        <f>IF(tblMovement[[#This Row],[Destination]]="","",IFERROR(INDEX(tblDestinations[Type],MATCH(tblMovement[[#This Row],[Destination]],tblDestinations[Destination],0)),"?"))</f>
        <v/>
      </c>
      <c r="M132" s="64">
        <f>IF(tblMovement[[#This Row],[Material]]="","",IF(LEFT(tblMovement[[#This Row],[Material]],3)="Ore",1,0))</f>
        <v/>
      </c>
      <c r="N132" s="59">
        <f>IF(OR(tblMovement[[#This Row],[Tonnes_t]]="",tblMovement[[#This Row],[Grade_gpt]]=""),0,tblMovement[[#This Row],[Tonnes_t]]*tblMovement[[#This Row],[Grade_gpt]]/cfg_TroyOz)</f>
        <v/>
      </c>
      <c r="O132" s="59">
        <f>IF(tblMovement[[#This Row],[Is_Ore]]=1,tblMovement[[#This Row],[Contained_oz]],0)</f>
        <v/>
      </c>
    </row>
    <row r="133">
      <c r="A133" s="54" t="n"/>
      <c r="B133" s="61" t="n"/>
      <c r="C133" s="61" t="n"/>
      <c r="D133" s="61" t="n"/>
      <c r="E133" s="61" t="n"/>
      <c r="F133" s="55" t="n"/>
      <c r="G133" s="56" t="n"/>
      <c r="H133" s="55" t="n"/>
      <c r="I133" s="62" t="n"/>
      <c r="J133" s="58" t="n"/>
      <c r="K133" s="63">
        <f>IF(tblMovement[[#This Row],[Source]]="","",IFERROR(INDEX(tblSources[Type],MATCH(tblMovement[[#This Row],[Source]],tblSources[Source],0)),"?"))</f>
        <v/>
      </c>
      <c r="L133" s="63">
        <f>IF(tblMovement[[#This Row],[Destination]]="","",IFERROR(INDEX(tblDestinations[Type],MATCH(tblMovement[[#This Row],[Destination]],tblDestinations[Destination],0)),"?"))</f>
        <v/>
      </c>
      <c r="M133" s="64">
        <f>IF(tblMovement[[#This Row],[Material]]="","",IF(LEFT(tblMovement[[#This Row],[Material]],3)="Ore",1,0))</f>
        <v/>
      </c>
      <c r="N133" s="59">
        <f>IF(OR(tblMovement[[#This Row],[Tonnes_t]]="",tblMovement[[#This Row],[Grade_gpt]]=""),0,tblMovement[[#This Row],[Tonnes_t]]*tblMovement[[#This Row],[Grade_gpt]]/cfg_TroyOz)</f>
        <v/>
      </c>
      <c r="O133" s="59">
        <f>IF(tblMovement[[#This Row],[Is_Ore]]=1,tblMovement[[#This Row],[Contained_oz]],0)</f>
        <v/>
      </c>
    </row>
    <row r="134">
      <c r="A134" s="54" t="n"/>
      <c r="B134" s="61" t="n"/>
      <c r="C134" s="61" t="n"/>
      <c r="D134" s="61" t="n"/>
      <c r="E134" s="61" t="n"/>
      <c r="F134" s="55" t="n"/>
      <c r="G134" s="56" t="n"/>
      <c r="H134" s="55" t="n"/>
      <c r="I134" s="62" t="n"/>
      <c r="J134" s="58" t="n"/>
      <c r="K134" s="63">
        <f>IF(tblMovement[[#This Row],[Source]]="","",IFERROR(INDEX(tblSources[Type],MATCH(tblMovement[[#This Row],[Source]],tblSources[Source],0)),"?"))</f>
        <v/>
      </c>
      <c r="L134" s="63">
        <f>IF(tblMovement[[#This Row],[Destination]]="","",IFERROR(INDEX(tblDestinations[Type],MATCH(tblMovement[[#This Row],[Destination]],tblDestinations[Destination],0)),"?"))</f>
        <v/>
      </c>
      <c r="M134" s="64">
        <f>IF(tblMovement[[#This Row],[Material]]="","",IF(LEFT(tblMovement[[#This Row],[Material]],3)="Ore",1,0))</f>
        <v/>
      </c>
      <c r="N134" s="59">
        <f>IF(OR(tblMovement[[#This Row],[Tonnes_t]]="",tblMovement[[#This Row],[Grade_gpt]]=""),0,tblMovement[[#This Row],[Tonnes_t]]*tblMovement[[#This Row],[Grade_gpt]]/cfg_TroyOz)</f>
        <v/>
      </c>
      <c r="O134" s="59">
        <f>IF(tblMovement[[#This Row],[Is_Ore]]=1,tblMovement[[#This Row],[Contained_oz]],0)</f>
        <v/>
      </c>
    </row>
    <row r="135">
      <c r="A135" s="54" t="n"/>
      <c r="B135" s="61" t="n"/>
      <c r="C135" s="61" t="n"/>
      <c r="D135" s="61" t="n"/>
      <c r="E135" s="61" t="n"/>
      <c r="F135" s="55" t="n"/>
      <c r="G135" s="56" t="n"/>
      <c r="H135" s="55" t="n"/>
      <c r="I135" s="62" t="n"/>
      <c r="J135" s="58" t="n"/>
      <c r="K135" s="63">
        <f>IF(tblMovement[[#This Row],[Source]]="","",IFERROR(INDEX(tblSources[Type],MATCH(tblMovement[[#This Row],[Source]],tblSources[Source],0)),"?"))</f>
        <v/>
      </c>
      <c r="L135" s="63">
        <f>IF(tblMovement[[#This Row],[Destination]]="","",IFERROR(INDEX(tblDestinations[Type],MATCH(tblMovement[[#This Row],[Destination]],tblDestinations[Destination],0)),"?"))</f>
        <v/>
      </c>
      <c r="M135" s="64">
        <f>IF(tblMovement[[#This Row],[Material]]="","",IF(LEFT(tblMovement[[#This Row],[Material]],3)="Ore",1,0))</f>
        <v/>
      </c>
      <c r="N135" s="59">
        <f>IF(OR(tblMovement[[#This Row],[Tonnes_t]]="",tblMovement[[#This Row],[Grade_gpt]]=""),0,tblMovement[[#This Row],[Tonnes_t]]*tblMovement[[#This Row],[Grade_gpt]]/cfg_TroyOz)</f>
        <v/>
      </c>
      <c r="O135" s="59">
        <f>IF(tblMovement[[#This Row],[Is_Ore]]=1,tblMovement[[#This Row],[Contained_oz]],0)</f>
        <v/>
      </c>
    </row>
    <row r="136">
      <c r="A136" s="54" t="n"/>
      <c r="B136" s="61" t="n"/>
      <c r="C136" s="61" t="n"/>
      <c r="D136" s="61" t="n"/>
      <c r="E136" s="61" t="n"/>
      <c r="F136" s="55" t="n"/>
      <c r="G136" s="56" t="n"/>
      <c r="H136" s="55" t="n"/>
      <c r="I136" s="62" t="n"/>
      <c r="J136" s="58" t="n"/>
      <c r="K136" s="63">
        <f>IF(tblMovement[[#This Row],[Source]]="","",IFERROR(INDEX(tblSources[Type],MATCH(tblMovement[[#This Row],[Source]],tblSources[Source],0)),"?"))</f>
        <v/>
      </c>
      <c r="L136" s="63">
        <f>IF(tblMovement[[#This Row],[Destination]]="","",IFERROR(INDEX(tblDestinations[Type],MATCH(tblMovement[[#This Row],[Destination]],tblDestinations[Destination],0)),"?"))</f>
        <v/>
      </c>
      <c r="M136" s="64">
        <f>IF(tblMovement[[#This Row],[Material]]="","",IF(LEFT(tblMovement[[#This Row],[Material]],3)="Ore",1,0))</f>
        <v/>
      </c>
      <c r="N136" s="59">
        <f>IF(OR(tblMovement[[#This Row],[Tonnes_t]]="",tblMovement[[#This Row],[Grade_gpt]]=""),0,tblMovement[[#This Row],[Tonnes_t]]*tblMovement[[#This Row],[Grade_gpt]]/cfg_TroyOz)</f>
        <v/>
      </c>
      <c r="O136" s="59">
        <f>IF(tblMovement[[#This Row],[Is_Ore]]=1,tblMovement[[#This Row],[Contained_oz]],0)</f>
        <v/>
      </c>
    </row>
    <row r="137">
      <c r="A137" s="54" t="n"/>
      <c r="B137" s="61" t="n"/>
      <c r="C137" s="61" t="n"/>
      <c r="D137" s="61" t="n"/>
      <c r="E137" s="61" t="n"/>
      <c r="F137" s="55" t="n"/>
      <c r="G137" s="56" t="n"/>
      <c r="H137" s="55" t="n"/>
      <c r="I137" s="62" t="n"/>
      <c r="J137" s="58" t="n"/>
      <c r="K137" s="63">
        <f>IF(tblMovement[[#This Row],[Source]]="","",IFERROR(INDEX(tblSources[Type],MATCH(tblMovement[[#This Row],[Source]],tblSources[Source],0)),"?"))</f>
        <v/>
      </c>
      <c r="L137" s="63">
        <f>IF(tblMovement[[#This Row],[Destination]]="","",IFERROR(INDEX(tblDestinations[Type],MATCH(tblMovement[[#This Row],[Destination]],tblDestinations[Destination],0)),"?"))</f>
        <v/>
      </c>
      <c r="M137" s="64">
        <f>IF(tblMovement[[#This Row],[Material]]="","",IF(LEFT(tblMovement[[#This Row],[Material]],3)="Ore",1,0))</f>
        <v/>
      </c>
      <c r="N137" s="59">
        <f>IF(OR(tblMovement[[#This Row],[Tonnes_t]]="",tblMovement[[#This Row],[Grade_gpt]]=""),0,tblMovement[[#This Row],[Tonnes_t]]*tblMovement[[#This Row],[Grade_gpt]]/cfg_TroyOz)</f>
        <v/>
      </c>
      <c r="O137" s="59">
        <f>IF(tblMovement[[#This Row],[Is_Ore]]=1,tblMovement[[#This Row],[Contained_oz]],0)</f>
        <v/>
      </c>
    </row>
    <row r="138">
      <c r="A138" s="54" t="n"/>
      <c r="B138" s="61" t="n"/>
      <c r="C138" s="61" t="n"/>
      <c r="D138" s="61" t="n"/>
      <c r="E138" s="61" t="n"/>
      <c r="F138" s="55" t="n"/>
      <c r="G138" s="56" t="n"/>
      <c r="H138" s="55" t="n"/>
      <c r="I138" s="62" t="n"/>
      <c r="J138" s="58" t="n"/>
      <c r="K138" s="63">
        <f>IF(tblMovement[[#This Row],[Source]]="","",IFERROR(INDEX(tblSources[Type],MATCH(tblMovement[[#This Row],[Source]],tblSources[Source],0)),"?"))</f>
        <v/>
      </c>
      <c r="L138" s="63">
        <f>IF(tblMovement[[#This Row],[Destination]]="","",IFERROR(INDEX(tblDestinations[Type],MATCH(tblMovement[[#This Row],[Destination]],tblDestinations[Destination],0)),"?"))</f>
        <v/>
      </c>
      <c r="M138" s="64">
        <f>IF(tblMovement[[#This Row],[Material]]="","",IF(LEFT(tblMovement[[#This Row],[Material]],3)="Ore",1,0))</f>
        <v/>
      </c>
      <c r="N138" s="59">
        <f>IF(OR(tblMovement[[#This Row],[Tonnes_t]]="",tblMovement[[#This Row],[Grade_gpt]]=""),0,tblMovement[[#This Row],[Tonnes_t]]*tblMovement[[#This Row],[Grade_gpt]]/cfg_TroyOz)</f>
        <v/>
      </c>
      <c r="O138" s="59">
        <f>IF(tblMovement[[#This Row],[Is_Ore]]=1,tblMovement[[#This Row],[Contained_oz]],0)</f>
        <v/>
      </c>
    </row>
    <row r="139">
      <c r="A139" s="54" t="n"/>
      <c r="B139" s="61" t="n"/>
      <c r="C139" s="61" t="n"/>
      <c r="D139" s="61" t="n"/>
      <c r="E139" s="61" t="n"/>
      <c r="F139" s="55" t="n"/>
      <c r="G139" s="56" t="n"/>
      <c r="H139" s="55" t="n"/>
      <c r="I139" s="62" t="n"/>
      <c r="J139" s="58" t="n"/>
      <c r="K139" s="63">
        <f>IF(tblMovement[[#This Row],[Source]]="","",IFERROR(INDEX(tblSources[Type],MATCH(tblMovement[[#This Row],[Source]],tblSources[Source],0)),"?"))</f>
        <v/>
      </c>
      <c r="L139" s="63">
        <f>IF(tblMovement[[#This Row],[Destination]]="","",IFERROR(INDEX(tblDestinations[Type],MATCH(tblMovement[[#This Row],[Destination]],tblDestinations[Destination],0)),"?"))</f>
        <v/>
      </c>
      <c r="M139" s="64">
        <f>IF(tblMovement[[#This Row],[Material]]="","",IF(LEFT(tblMovement[[#This Row],[Material]],3)="Ore",1,0))</f>
        <v/>
      </c>
      <c r="N139" s="59">
        <f>IF(OR(tblMovement[[#This Row],[Tonnes_t]]="",tblMovement[[#This Row],[Grade_gpt]]=""),0,tblMovement[[#This Row],[Tonnes_t]]*tblMovement[[#This Row],[Grade_gpt]]/cfg_TroyOz)</f>
        <v/>
      </c>
      <c r="O139" s="59">
        <f>IF(tblMovement[[#This Row],[Is_Ore]]=1,tblMovement[[#This Row],[Contained_oz]],0)</f>
        <v/>
      </c>
    </row>
    <row r="140">
      <c r="A140" s="54" t="n"/>
      <c r="B140" s="61" t="n"/>
      <c r="C140" s="61" t="n"/>
      <c r="D140" s="61" t="n"/>
      <c r="E140" s="61" t="n"/>
      <c r="F140" s="55" t="n"/>
      <c r="G140" s="56" t="n"/>
      <c r="H140" s="55" t="n"/>
      <c r="I140" s="62" t="n"/>
      <c r="J140" s="58" t="n"/>
      <c r="K140" s="63">
        <f>IF(tblMovement[[#This Row],[Source]]="","",IFERROR(INDEX(tblSources[Type],MATCH(tblMovement[[#This Row],[Source]],tblSources[Source],0)),"?"))</f>
        <v/>
      </c>
      <c r="L140" s="63">
        <f>IF(tblMovement[[#This Row],[Destination]]="","",IFERROR(INDEX(tblDestinations[Type],MATCH(tblMovement[[#This Row],[Destination]],tblDestinations[Destination],0)),"?"))</f>
        <v/>
      </c>
      <c r="M140" s="64">
        <f>IF(tblMovement[[#This Row],[Material]]="","",IF(LEFT(tblMovement[[#This Row],[Material]],3)="Ore",1,0))</f>
        <v/>
      </c>
      <c r="N140" s="59">
        <f>IF(OR(tblMovement[[#This Row],[Tonnes_t]]="",tblMovement[[#This Row],[Grade_gpt]]=""),0,tblMovement[[#This Row],[Tonnes_t]]*tblMovement[[#This Row],[Grade_gpt]]/cfg_TroyOz)</f>
        <v/>
      </c>
      <c r="O140" s="59">
        <f>IF(tblMovement[[#This Row],[Is_Ore]]=1,tblMovement[[#This Row],[Contained_oz]],0)</f>
        <v/>
      </c>
    </row>
    <row r="141">
      <c r="A141" s="54" t="n"/>
      <c r="B141" s="61" t="n"/>
      <c r="C141" s="61" t="n"/>
      <c r="D141" s="61" t="n"/>
      <c r="E141" s="61" t="n"/>
      <c r="F141" s="55" t="n"/>
      <c r="G141" s="56" t="n"/>
      <c r="H141" s="55" t="n"/>
      <c r="I141" s="62" t="n"/>
      <c r="J141" s="58" t="n"/>
      <c r="K141" s="63">
        <f>IF(tblMovement[[#This Row],[Source]]="","",IFERROR(INDEX(tblSources[Type],MATCH(tblMovement[[#This Row],[Source]],tblSources[Source],0)),"?"))</f>
        <v/>
      </c>
      <c r="L141" s="63">
        <f>IF(tblMovement[[#This Row],[Destination]]="","",IFERROR(INDEX(tblDestinations[Type],MATCH(tblMovement[[#This Row],[Destination]],tblDestinations[Destination],0)),"?"))</f>
        <v/>
      </c>
      <c r="M141" s="64">
        <f>IF(tblMovement[[#This Row],[Material]]="","",IF(LEFT(tblMovement[[#This Row],[Material]],3)="Ore",1,0))</f>
        <v/>
      </c>
      <c r="N141" s="59">
        <f>IF(OR(tblMovement[[#This Row],[Tonnes_t]]="",tblMovement[[#This Row],[Grade_gpt]]=""),0,tblMovement[[#This Row],[Tonnes_t]]*tblMovement[[#This Row],[Grade_gpt]]/cfg_TroyOz)</f>
        <v/>
      </c>
      <c r="O141" s="59">
        <f>IF(tblMovement[[#This Row],[Is_Ore]]=1,tblMovement[[#This Row],[Contained_oz]],0)</f>
        <v/>
      </c>
    </row>
    <row r="142">
      <c r="A142" s="54" t="n"/>
      <c r="B142" s="61" t="n"/>
      <c r="C142" s="61" t="n"/>
      <c r="D142" s="61" t="n"/>
      <c r="E142" s="61" t="n"/>
      <c r="F142" s="55" t="n"/>
      <c r="G142" s="56" t="n"/>
      <c r="H142" s="55" t="n"/>
      <c r="I142" s="62" t="n"/>
      <c r="J142" s="58" t="n"/>
      <c r="K142" s="63">
        <f>IF(tblMovement[[#This Row],[Source]]="","",IFERROR(INDEX(tblSources[Type],MATCH(tblMovement[[#This Row],[Source]],tblSources[Source],0)),"?"))</f>
        <v/>
      </c>
      <c r="L142" s="63">
        <f>IF(tblMovement[[#This Row],[Destination]]="","",IFERROR(INDEX(tblDestinations[Type],MATCH(tblMovement[[#This Row],[Destination]],tblDestinations[Destination],0)),"?"))</f>
        <v/>
      </c>
      <c r="M142" s="64">
        <f>IF(tblMovement[[#This Row],[Material]]="","",IF(LEFT(tblMovement[[#This Row],[Material]],3)="Ore",1,0))</f>
        <v/>
      </c>
      <c r="N142" s="59">
        <f>IF(OR(tblMovement[[#This Row],[Tonnes_t]]="",tblMovement[[#This Row],[Grade_gpt]]=""),0,tblMovement[[#This Row],[Tonnes_t]]*tblMovement[[#This Row],[Grade_gpt]]/cfg_TroyOz)</f>
        <v/>
      </c>
      <c r="O142" s="59">
        <f>IF(tblMovement[[#This Row],[Is_Ore]]=1,tblMovement[[#This Row],[Contained_oz]],0)</f>
        <v/>
      </c>
    </row>
    <row r="143">
      <c r="A143" s="54" t="n"/>
      <c r="B143" s="61" t="n"/>
      <c r="C143" s="61" t="n"/>
      <c r="D143" s="61" t="n"/>
      <c r="E143" s="61" t="n"/>
      <c r="F143" s="55" t="n"/>
      <c r="G143" s="56" t="n"/>
      <c r="H143" s="55" t="n"/>
      <c r="I143" s="62" t="n"/>
      <c r="J143" s="58" t="n"/>
      <c r="K143" s="63">
        <f>IF(tblMovement[[#This Row],[Source]]="","",IFERROR(INDEX(tblSources[Type],MATCH(tblMovement[[#This Row],[Source]],tblSources[Source],0)),"?"))</f>
        <v/>
      </c>
      <c r="L143" s="63">
        <f>IF(tblMovement[[#This Row],[Destination]]="","",IFERROR(INDEX(tblDestinations[Type],MATCH(tblMovement[[#This Row],[Destination]],tblDestinations[Destination],0)),"?"))</f>
        <v/>
      </c>
      <c r="M143" s="64">
        <f>IF(tblMovement[[#This Row],[Material]]="","",IF(LEFT(tblMovement[[#This Row],[Material]],3)="Ore",1,0))</f>
        <v/>
      </c>
      <c r="N143" s="59">
        <f>IF(OR(tblMovement[[#This Row],[Tonnes_t]]="",tblMovement[[#This Row],[Grade_gpt]]=""),0,tblMovement[[#This Row],[Tonnes_t]]*tblMovement[[#This Row],[Grade_gpt]]/cfg_TroyOz)</f>
        <v/>
      </c>
      <c r="O143" s="59">
        <f>IF(tblMovement[[#This Row],[Is_Ore]]=1,tblMovement[[#This Row],[Contained_oz]],0)</f>
        <v/>
      </c>
    </row>
    <row r="144">
      <c r="A144" s="54" t="n"/>
      <c r="B144" s="61" t="n"/>
      <c r="C144" s="61" t="n"/>
      <c r="D144" s="61" t="n"/>
      <c r="E144" s="61" t="n"/>
      <c r="F144" s="55" t="n"/>
      <c r="G144" s="56" t="n"/>
      <c r="H144" s="55" t="n"/>
      <c r="I144" s="62" t="n"/>
      <c r="J144" s="58" t="n"/>
      <c r="K144" s="63">
        <f>IF(tblMovement[[#This Row],[Source]]="","",IFERROR(INDEX(tblSources[Type],MATCH(tblMovement[[#This Row],[Source]],tblSources[Source],0)),"?"))</f>
        <v/>
      </c>
      <c r="L144" s="63">
        <f>IF(tblMovement[[#This Row],[Destination]]="","",IFERROR(INDEX(tblDestinations[Type],MATCH(tblMovement[[#This Row],[Destination]],tblDestinations[Destination],0)),"?"))</f>
        <v/>
      </c>
      <c r="M144" s="64">
        <f>IF(tblMovement[[#This Row],[Material]]="","",IF(LEFT(tblMovement[[#This Row],[Material]],3)="Ore",1,0))</f>
        <v/>
      </c>
      <c r="N144" s="59">
        <f>IF(OR(tblMovement[[#This Row],[Tonnes_t]]="",tblMovement[[#This Row],[Grade_gpt]]=""),0,tblMovement[[#This Row],[Tonnes_t]]*tblMovement[[#This Row],[Grade_gpt]]/cfg_TroyOz)</f>
        <v/>
      </c>
      <c r="O144" s="59">
        <f>IF(tblMovement[[#This Row],[Is_Ore]]=1,tblMovement[[#This Row],[Contained_oz]],0)</f>
        <v/>
      </c>
    </row>
    <row r="145">
      <c r="A145" s="54" t="n"/>
      <c r="B145" s="61" t="n"/>
      <c r="C145" s="61" t="n"/>
      <c r="D145" s="61" t="n"/>
      <c r="E145" s="61" t="n"/>
      <c r="F145" s="55" t="n"/>
      <c r="G145" s="56" t="n"/>
      <c r="H145" s="55" t="n"/>
      <c r="I145" s="62" t="n"/>
      <c r="J145" s="58" t="n"/>
      <c r="K145" s="63">
        <f>IF(tblMovement[[#This Row],[Source]]="","",IFERROR(INDEX(tblSources[Type],MATCH(tblMovement[[#This Row],[Source]],tblSources[Source],0)),"?"))</f>
        <v/>
      </c>
      <c r="L145" s="63">
        <f>IF(tblMovement[[#This Row],[Destination]]="","",IFERROR(INDEX(tblDestinations[Type],MATCH(tblMovement[[#This Row],[Destination]],tblDestinations[Destination],0)),"?"))</f>
        <v/>
      </c>
      <c r="M145" s="64">
        <f>IF(tblMovement[[#This Row],[Material]]="","",IF(LEFT(tblMovement[[#This Row],[Material]],3)="Ore",1,0))</f>
        <v/>
      </c>
      <c r="N145" s="59">
        <f>IF(OR(tblMovement[[#This Row],[Tonnes_t]]="",tblMovement[[#This Row],[Grade_gpt]]=""),0,tblMovement[[#This Row],[Tonnes_t]]*tblMovement[[#This Row],[Grade_gpt]]/cfg_TroyOz)</f>
        <v/>
      </c>
      <c r="O145" s="59">
        <f>IF(tblMovement[[#This Row],[Is_Ore]]=1,tblMovement[[#This Row],[Contained_oz]],0)</f>
        <v/>
      </c>
    </row>
    <row r="146">
      <c r="A146" s="54" t="n"/>
      <c r="B146" s="61" t="n"/>
      <c r="C146" s="61" t="n"/>
      <c r="D146" s="61" t="n"/>
      <c r="E146" s="61" t="n"/>
      <c r="F146" s="55" t="n"/>
      <c r="G146" s="56" t="n"/>
      <c r="H146" s="55" t="n"/>
      <c r="I146" s="62" t="n"/>
      <c r="J146" s="58" t="n"/>
      <c r="K146" s="63">
        <f>IF(tblMovement[[#This Row],[Source]]="","",IFERROR(INDEX(tblSources[Type],MATCH(tblMovement[[#This Row],[Source]],tblSources[Source],0)),"?"))</f>
        <v/>
      </c>
      <c r="L146" s="63">
        <f>IF(tblMovement[[#This Row],[Destination]]="","",IFERROR(INDEX(tblDestinations[Type],MATCH(tblMovement[[#This Row],[Destination]],tblDestinations[Destination],0)),"?"))</f>
        <v/>
      </c>
      <c r="M146" s="64">
        <f>IF(tblMovement[[#This Row],[Material]]="","",IF(LEFT(tblMovement[[#This Row],[Material]],3)="Ore",1,0))</f>
        <v/>
      </c>
      <c r="N146" s="59">
        <f>IF(OR(tblMovement[[#This Row],[Tonnes_t]]="",tblMovement[[#This Row],[Grade_gpt]]=""),0,tblMovement[[#This Row],[Tonnes_t]]*tblMovement[[#This Row],[Grade_gpt]]/cfg_TroyOz)</f>
        <v/>
      </c>
      <c r="O146" s="59">
        <f>IF(tblMovement[[#This Row],[Is_Ore]]=1,tblMovement[[#This Row],[Contained_oz]],0)</f>
        <v/>
      </c>
    </row>
    <row r="147">
      <c r="A147" s="54" t="n"/>
      <c r="B147" s="61" t="n"/>
      <c r="C147" s="61" t="n"/>
      <c r="D147" s="61" t="n"/>
      <c r="E147" s="61" t="n"/>
      <c r="F147" s="55" t="n"/>
      <c r="G147" s="56" t="n"/>
      <c r="H147" s="55" t="n"/>
      <c r="I147" s="62" t="n"/>
      <c r="J147" s="58" t="n"/>
      <c r="K147" s="63">
        <f>IF(tblMovement[[#This Row],[Source]]="","",IFERROR(INDEX(tblSources[Type],MATCH(tblMovement[[#This Row],[Source]],tblSources[Source],0)),"?"))</f>
        <v/>
      </c>
      <c r="L147" s="63">
        <f>IF(tblMovement[[#This Row],[Destination]]="","",IFERROR(INDEX(tblDestinations[Type],MATCH(tblMovement[[#This Row],[Destination]],tblDestinations[Destination],0)),"?"))</f>
        <v/>
      </c>
      <c r="M147" s="64">
        <f>IF(tblMovement[[#This Row],[Material]]="","",IF(LEFT(tblMovement[[#This Row],[Material]],3)="Ore",1,0))</f>
        <v/>
      </c>
      <c r="N147" s="59">
        <f>IF(OR(tblMovement[[#This Row],[Tonnes_t]]="",tblMovement[[#This Row],[Grade_gpt]]=""),0,tblMovement[[#This Row],[Tonnes_t]]*tblMovement[[#This Row],[Grade_gpt]]/cfg_TroyOz)</f>
        <v/>
      </c>
      <c r="O147" s="59">
        <f>IF(tblMovement[[#This Row],[Is_Ore]]=1,tblMovement[[#This Row],[Contained_oz]],0)</f>
        <v/>
      </c>
    </row>
    <row r="148">
      <c r="A148" s="54" t="n"/>
      <c r="B148" s="61" t="n"/>
      <c r="C148" s="61" t="n"/>
      <c r="D148" s="61" t="n"/>
      <c r="E148" s="61" t="n"/>
      <c r="F148" s="55" t="n"/>
      <c r="G148" s="56" t="n"/>
      <c r="H148" s="55" t="n"/>
      <c r="I148" s="62" t="n"/>
      <c r="J148" s="58" t="n"/>
      <c r="K148" s="63">
        <f>IF(tblMovement[[#This Row],[Source]]="","",IFERROR(INDEX(tblSources[Type],MATCH(tblMovement[[#This Row],[Source]],tblSources[Source],0)),"?"))</f>
        <v/>
      </c>
      <c r="L148" s="63">
        <f>IF(tblMovement[[#This Row],[Destination]]="","",IFERROR(INDEX(tblDestinations[Type],MATCH(tblMovement[[#This Row],[Destination]],tblDestinations[Destination],0)),"?"))</f>
        <v/>
      </c>
      <c r="M148" s="64">
        <f>IF(tblMovement[[#This Row],[Material]]="","",IF(LEFT(tblMovement[[#This Row],[Material]],3)="Ore",1,0))</f>
        <v/>
      </c>
      <c r="N148" s="59">
        <f>IF(OR(tblMovement[[#This Row],[Tonnes_t]]="",tblMovement[[#This Row],[Grade_gpt]]=""),0,tblMovement[[#This Row],[Tonnes_t]]*tblMovement[[#This Row],[Grade_gpt]]/cfg_TroyOz)</f>
        <v/>
      </c>
      <c r="O148" s="59">
        <f>IF(tblMovement[[#This Row],[Is_Ore]]=1,tblMovement[[#This Row],[Contained_oz]],0)</f>
        <v/>
      </c>
    </row>
    <row r="149">
      <c r="A149" s="54" t="n"/>
      <c r="B149" s="61" t="n"/>
      <c r="C149" s="61" t="n"/>
      <c r="D149" s="61" t="n"/>
      <c r="E149" s="61" t="n"/>
      <c r="F149" s="55" t="n"/>
      <c r="G149" s="56" t="n"/>
      <c r="H149" s="55" t="n"/>
      <c r="I149" s="62" t="n"/>
      <c r="J149" s="58" t="n"/>
      <c r="K149" s="63">
        <f>IF(tblMovement[[#This Row],[Source]]="","",IFERROR(INDEX(tblSources[Type],MATCH(tblMovement[[#This Row],[Source]],tblSources[Source],0)),"?"))</f>
        <v/>
      </c>
      <c r="L149" s="63">
        <f>IF(tblMovement[[#This Row],[Destination]]="","",IFERROR(INDEX(tblDestinations[Type],MATCH(tblMovement[[#This Row],[Destination]],tblDestinations[Destination],0)),"?"))</f>
        <v/>
      </c>
      <c r="M149" s="64">
        <f>IF(tblMovement[[#This Row],[Material]]="","",IF(LEFT(tblMovement[[#This Row],[Material]],3)="Ore",1,0))</f>
        <v/>
      </c>
      <c r="N149" s="59">
        <f>IF(OR(tblMovement[[#This Row],[Tonnes_t]]="",tblMovement[[#This Row],[Grade_gpt]]=""),0,tblMovement[[#This Row],[Tonnes_t]]*tblMovement[[#This Row],[Grade_gpt]]/cfg_TroyOz)</f>
        <v/>
      </c>
      <c r="O149" s="59">
        <f>IF(tblMovement[[#This Row],[Is_Ore]]=1,tblMovement[[#This Row],[Contained_oz]],0)</f>
        <v/>
      </c>
    </row>
    <row r="150">
      <c r="A150" s="54" t="n"/>
      <c r="B150" s="61" t="n"/>
      <c r="C150" s="61" t="n"/>
      <c r="D150" s="61" t="n"/>
      <c r="E150" s="61" t="n"/>
      <c r="F150" s="55" t="n"/>
      <c r="G150" s="56" t="n"/>
      <c r="H150" s="55" t="n"/>
      <c r="I150" s="62" t="n"/>
      <c r="J150" s="58" t="n"/>
      <c r="K150" s="63">
        <f>IF(tblMovement[[#This Row],[Source]]="","",IFERROR(INDEX(tblSources[Type],MATCH(tblMovement[[#This Row],[Source]],tblSources[Source],0)),"?"))</f>
        <v/>
      </c>
      <c r="L150" s="63">
        <f>IF(tblMovement[[#This Row],[Destination]]="","",IFERROR(INDEX(tblDestinations[Type],MATCH(tblMovement[[#This Row],[Destination]],tblDestinations[Destination],0)),"?"))</f>
        <v/>
      </c>
      <c r="M150" s="64">
        <f>IF(tblMovement[[#This Row],[Material]]="","",IF(LEFT(tblMovement[[#This Row],[Material]],3)="Ore",1,0))</f>
        <v/>
      </c>
      <c r="N150" s="59">
        <f>IF(OR(tblMovement[[#This Row],[Tonnes_t]]="",tblMovement[[#This Row],[Grade_gpt]]=""),0,tblMovement[[#This Row],[Tonnes_t]]*tblMovement[[#This Row],[Grade_gpt]]/cfg_TroyOz)</f>
        <v/>
      </c>
      <c r="O150" s="59">
        <f>IF(tblMovement[[#This Row],[Is_Ore]]=1,tblMovement[[#This Row],[Contained_oz]],0)</f>
        <v/>
      </c>
    </row>
    <row r="151">
      <c r="A151" s="54" t="n"/>
      <c r="B151" s="61" t="n"/>
      <c r="C151" s="61" t="n"/>
      <c r="D151" s="61" t="n"/>
      <c r="E151" s="61" t="n"/>
      <c r="F151" s="55" t="n"/>
      <c r="G151" s="56" t="n"/>
      <c r="H151" s="55" t="n"/>
      <c r="I151" s="62" t="n"/>
      <c r="J151" s="58" t="n"/>
      <c r="K151" s="63">
        <f>IF(tblMovement[[#This Row],[Source]]="","",IFERROR(INDEX(tblSources[Type],MATCH(tblMovement[[#This Row],[Source]],tblSources[Source],0)),"?"))</f>
        <v/>
      </c>
      <c r="L151" s="63">
        <f>IF(tblMovement[[#This Row],[Destination]]="","",IFERROR(INDEX(tblDestinations[Type],MATCH(tblMovement[[#This Row],[Destination]],tblDestinations[Destination],0)),"?"))</f>
        <v/>
      </c>
      <c r="M151" s="64">
        <f>IF(tblMovement[[#This Row],[Material]]="","",IF(LEFT(tblMovement[[#This Row],[Material]],3)="Ore",1,0))</f>
        <v/>
      </c>
      <c r="N151" s="59">
        <f>IF(OR(tblMovement[[#This Row],[Tonnes_t]]="",tblMovement[[#This Row],[Grade_gpt]]=""),0,tblMovement[[#This Row],[Tonnes_t]]*tblMovement[[#This Row],[Grade_gpt]]/cfg_TroyOz)</f>
        <v/>
      </c>
      <c r="O151" s="59">
        <f>IF(tblMovement[[#This Row],[Is_Ore]]=1,tblMovement[[#This Row],[Contained_oz]],0)</f>
        <v/>
      </c>
    </row>
    <row r="152">
      <c r="A152" s="54" t="n"/>
      <c r="B152" s="61" t="n"/>
      <c r="C152" s="61" t="n"/>
      <c r="D152" s="61" t="n"/>
      <c r="E152" s="61" t="n"/>
      <c r="F152" s="55" t="n"/>
      <c r="G152" s="56" t="n"/>
      <c r="H152" s="55" t="n"/>
      <c r="I152" s="62" t="n"/>
      <c r="J152" s="58" t="n"/>
      <c r="K152" s="63">
        <f>IF(tblMovement[[#This Row],[Source]]="","",IFERROR(INDEX(tblSources[Type],MATCH(tblMovement[[#This Row],[Source]],tblSources[Source],0)),"?"))</f>
        <v/>
      </c>
      <c r="L152" s="63">
        <f>IF(tblMovement[[#This Row],[Destination]]="","",IFERROR(INDEX(tblDestinations[Type],MATCH(tblMovement[[#This Row],[Destination]],tblDestinations[Destination],0)),"?"))</f>
        <v/>
      </c>
      <c r="M152" s="64">
        <f>IF(tblMovement[[#This Row],[Material]]="","",IF(LEFT(tblMovement[[#This Row],[Material]],3)="Ore",1,0))</f>
        <v/>
      </c>
      <c r="N152" s="59">
        <f>IF(OR(tblMovement[[#This Row],[Tonnes_t]]="",tblMovement[[#This Row],[Grade_gpt]]=""),0,tblMovement[[#This Row],[Tonnes_t]]*tblMovement[[#This Row],[Grade_gpt]]/cfg_TroyOz)</f>
        <v/>
      </c>
      <c r="O152" s="59">
        <f>IF(tblMovement[[#This Row],[Is_Ore]]=1,tblMovement[[#This Row],[Contained_oz]],0)</f>
        <v/>
      </c>
    </row>
    <row r="153">
      <c r="A153" s="54" t="n"/>
      <c r="B153" s="61" t="n"/>
      <c r="C153" s="61" t="n"/>
      <c r="D153" s="61" t="n"/>
      <c r="E153" s="61" t="n"/>
      <c r="F153" s="55" t="n"/>
      <c r="G153" s="56" t="n"/>
      <c r="H153" s="55" t="n"/>
      <c r="I153" s="62" t="n"/>
      <c r="J153" s="58" t="n"/>
      <c r="K153" s="63">
        <f>IF(tblMovement[[#This Row],[Source]]="","",IFERROR(INDEX(tblSources[Type],MATCH(tblMovement[[#This Row],[Source]],tblSources[Source],0)),"?"))</f>
        <v/>
      </c>
      <c r="L153" s="63">
        <f>IF(tblMovement[[#This Row],[Destination]]="","",IFERROR(INDEX(tblDestinations[Type],MATCH(tblMovement[[#This Row],[Destination]],tblDestinations[Destination],0)),"?"))</f>
        <v/>
      </c>
      <c r="M153" s="64">
        <f>IF(tblMovement[[#This Row],[Material]]="","",IF(LEFT(tblMovement[[#This Row],[Material]],3)="Ore",1,0))</f>
        <v/>
      </c>
      <c r="N153" s="59">
        <f>IF(OR(tblMovement[[#This Row],[Tonnes_t]]="",tblMovement[[#This Row],[Grade_gpt]]=""),0,tblMovement[[#This Row],[Tonnes_t]]*tblMovement[[#This Row],[Grade_gpt]]/cfg_TroyOz)</f>
        <v/>
      </c>
      <c r="O153" s="59">
        <f>IF(tblMovement[[#This Row],[Is_Ore]]=1,tblMovement[[#This Row],[Contained_oz]],0)</f>
        <v/>
      </c>
    </row>
    <row r="154">
      <c r="A154" s="54" t="n"/>
      <c r="B154" s="61" t="n"/>
      <c r="C154" s="61" t="n"/>
      <c r="D154" s="61" t="n"/>
      <c r="E154" s="61" t="n"/>
      <c r="F154" s="55" t="n"/>
      <c r="G154" s="56" t="n"/>
      <c r="H154" s="55" t="n"/>
      <c r="I154" s="62" t="n"/>
      <c r="J154" s="58" t="n"/>
      <c r="K154" s="63">
        <f>IF(tblMovement[[#This Row],[Source]]="","",IFERROR(INDEX(tblSources[Type],MATCH(tblMovement[[#This Row],[Source]],tblSources[Source],0)),"?"))</f>
        <v/>
      </c>
      <c r="L154" s="63">
        <f>IF(tblMovement[[#This Row],[Destination]]="","",IFERROR(INDEX(tblDestinations[Type],MATCH(tblMovement[[#This Row],[Destination]],tblDestinations[Destination],0)),"?"))</f>
        <v/>
      </c>
      <c r="M154" s="64">
        <f>IF(tblMovement[[#This Row],[Material]]="","",IF(LEFT(tblMovement[[#This Row],[Material]],3)="Ore",1,0))</f>
        <v/>
      </c>
      <c r="N154" s="59">
        <f>IF(OR(tblMovement[[#This Row],[Tonnes_t]]="",tblMovement[[#This Row],[Grade_gpt]]=""),0,tblMovement[[#This Row],[Tonnes_t]]*tblMovement[[#This Row],[Grade_gpt]]/cfg_TroyOz)</f>
        <v/>
      </c>
      <c r="O154" s="59">
        <f>IF(tblMovement[[#This Row],[Is_Ore]]=1,tblMovement[[#This Row],[Contained_oz]],0)</f>
        <v/>
      </c>
    </row>
    <row r="155">
      <c r="A155" s="54" t="n"/>
      <c r="B155" s="61" t="n"/>
      <c r="C155" s="61" t="n"/>
      <c r="D155" s="61" t="n"/>
      <c r="E155" s="61" t="n"/>
      <c r="F155" s="55" t="n"/>
      <c r="G155" s="56" t="n"/>
      <c r="H155" s="55" t="n"/>
      <c r="I155" s="62" t="n"/>
      <c r="J155" s="58" t="n"/>
      <c r="K155" s="63">
        <f>IF(tblMovement[[#This Row],[Source]]="","",IFERROR(INDEX(tblSources[Type],MATCH(tblMovement[[#This Row],[Source]],tblSources[Source],0)),"?"))</f>
        <v/>
      </c>
      <c r="L155" s="63">
        <f>IF(tblMovement[[#This Row],[Destination]]="","",IFERROR(INDEX(tblDestinations[Type],MATCH(tblMovement[[#This Row],[Destination]],tblDestinations[Destination],0)),"?"))</f>
        <v/>
      </c>
      <c r="M155" s="64">
        <f>IF(tblMovement[[#This Row],[Material]]="","",IF(LEFT(tblMovement[[#This Row],[Material]],3)="Ore",1,0))</f>
        <v/>
      </c>
      <c r="N155" s="59">
        <f>IF(OR(tblMovement[[#This Row],[Tonnes_t]]="",tblMovement[[#This Row],[Grade_gpt]]=""),0,tblMovement[[#This Row],[Tonnes_t]]*tblMovement[[#This Row],[Grade_gpt]]/cfg_TroyOz)</f>
        <v/>
      </c>
      <c r="O155" s="59">
        <f>IF(tblMovement[[#This Row],[Is_Ore]]=1,tblMovement[[#This Row],[Contained_oz]],0)</f>
        <v/>
      </c>
    </row>
    <row r="156">
      <c r="A156" s="54" t="n"/>
      <c r="B156" s="61" t="n"/>
      <c r="C156" s="61" t="n"/>
      <c r="D156" s="61" t="n"/>
      <c r="E156" s="61" t="n"/>
      <c r="F156" s="55" t="n"/>
      <c r="G156" s="56" t="n"/>
      <c r="H156" s="55" t="n"/>
      <c r="I156" s="62" t="n"/>
      <c r="J156" s="58" t="n"/>
      <c r="K156" s="63">
        <f>IF(tblMovement[[#This Row],[Source]]="","",IFERROR(INDEX(tblSources[Type],MATCH(tblMovement[[#This Row],[Source]],tblSources[Source],0)),"?"))</f>
        <v/>
      </c>
      <c r="L156" s="63">
        <f>IF(tblMovement[[#This Row],[Destination]]="","",IFERROR(INDEX(tblDestinations[Type],MATCH(tblMovement[[#This Row],[Destination]],tblDestinations[Destination],0)),"?"))</f>
        <v/>
      </c>
      <c r="M156" s="64">
        <f>IF(tblMovement[[#This Row],[Material]]="","",IF(LEFT(tblMovement[[#This Row],[Material]],3)="Ore",1,0))</f>
        <v/>
      </c>
      <c r="N156" s="59">
        <f>IF(OR(tblMovement[[#This Row],[Tonnes_t]]="",tblMovement[[#This Row],[Grade_gpt]]=""),0,tblMovement[[#This Row],[Tonnes_t]]*tblMovement[[#This Row],[Grade_gpt]]/cfg_TroyOz)</f>
        <v/>
      </c>
      <c r="O156" s="59">
        <f>IF(tblMovement[[#This Row],[Is_Ore]]=1,tblMovement[[#This Row],[Contained_oz]],0)</f>
        <v/>
      </c>
    </row>
    <row r="157">
      <c r="A157" s="54" t="n"/>
      <c r="B157" s="61" t="n"/>
      <c r="C157" s="61" t="n"/>
      <c r="D157" s="61" t="n"/>
      <c r="E157" s="61" t="n"/>
      <c r="F157" s="55" t="n"/>
      <c r="G157" s="56" t="n"/>
      <c r="H157" s="55" t="n"/>
      <c r="I157" s="62" t="n"/>
      <c r="J157" s="58" t="n"/>
      <c r="K157" s="63">
        <f>IF(tblMovement[[#This Row],[Source]]="","",IFERROR(INDEX(tblSources[Type],MATCH(tblMovement[[#This Row],[Source]],tblSources[Source],0)),"?"))</f>
        <v/>
      </c>
      <c r="L157" s="63">
        <f>IF(tblMovement[[#This Row],[Destination]]="","",IFERROR(INDEX(tblDestinations[Type],MATCH(tblMovement[[#This Row],[Destination]],tblDestinations[Destination],0)),"?"))</f>
        <v/>
      </c>
      <c r="M157" s="64">
        <f>IF(tblMovement[[#This Row],[Material]]="","",IF(LEFT(tblMovement[[#This Row],[Material]],3)="Ore",1,0))</f>
        <v/>
      </c>
      <c r="N157" s="59">
        <f>IF(OR(tblMovement[[#This Row],[Tonnes_t]]="",tblMovement[[#This Row],[Grade_gpt]]=""),0,tblMovement[[#This Row],[Tonnes_t]]*tblMovement[[#This Row],[Grade_gpt]]/cfg_TroyOz)</f>
        <v/>
      </c>
      <c r="O157" s="59">
        <f>IF(tblMovement[[#This Row],[Is_Ore]]=1,tblMovement[[#This Row],[Contained_oz]],0)</f>
        <v/>
      </c>
    </row>
    <row r="158">
      <c r="A158" s="54" t="n"/>
      <c r="B158" s="61" t="n"/>
      <c r="C158" s="61" t="n"/>
      <c r="D158" s="61" t="n"/>
      <c r="E158" s="61" t="n"/>
      <c r="F158" s="55" t="n"/>
      <c r="G158" s="56" t="n"/>
      <c r="H158" s="55" t="n"/>
      <c r="I158" s="62" t="n"/>
      <c r="J158" s="58" t="n"/>
      <c r="K158" s="63">
        <f>IF(tblMovement[[#This Row],[Source]]="","",IFERROR(INDEX(tblSources[Type],MATCH(tblMovement[[#This Row],[Source]],tblSources[Source],0)),"?"))</f>
        <v/>
      </c>
      <c r="L158" s="63">
        <f>IF(tblMovement[[#This Row],[Destination]]="","",IFERROR(INDEX(tblDestinations[Type],MATCH(tblMovement[[#This Row],[Destination]],tblDestinations[Destination],0)),"?"))</f>
        <v/>
      </c>
      <c r="M158" s="64">
        <f>IF(tblMovement[[#This Row],[Material]]="","",IF(LEFT(tblMovement[[#This Row],[Material]],3)="Ore",1,0))</f>
        <v/>
      </c>
      <c r="N158" s="59">
        <f>IF(OR(tblMovement[[#This Row],[Tonnes_t]]="",tblMovement[[#This Row],[Grade_gpt]]=""),0,tblMovement[[#This Row],[Tonnes_t]]*tblMovement[[#This Row],[Grade_gpt]]/cfg_TroyOz)</f>
        <v/>
      </c>
      <c r="O158" s="59">
        <f>IF(tblMovement[[#This Row],[Is_Ore]]=1,tblMovement[[#This Row],[Contained_oz]],0)</f>
        <v/>
      </c>
    </row>
    <row r="159">
      <c r="A159" s="54" t="n"/>
      <c r="B159" s="61" t="n"/>
      <c r="C159" s="61" t="n"/>
      <c r="D159" s="61" t="n"/>
      <c r="E159" s="61" t="n"/>
      <c r="F159" s="55" t="n"/>
      <c r="G159" s="56" t="n"/>
      <c r="H159" s="55" t="n"/>
      <c r="I159" s="62" t="n"/>
      <c r="J159" s="58" t="n"/>
      <c r="K159" s="63">
        <f>IF(tblMovement[[#This Row],[Source]]="","",IFERROR(INDEX(tblSources[Type],MATCH(tblMovement[[#This Row],[Source]],tblSources[Source],0)),"?"))</f>
        <v/>
      </c>
      <c r="L159" s="63">
        <f>IF(tblMovement[[#This Row],[Destination]]="","",IFERROR(INDEX(tblDestinations[Type],MATCH(tblMovement[[#This Row],[Destination]],tblDestinations[Destination],0)),"?"))</f>
        <v/>
      </c>
      <c r="M159" s="64">
        <f>IF(tblMovement[[#This Row],[Material]]="","",IF(LEFT(tblMovement[[#This Row],[Material]],3)="Ore",1,0))</f>
        <v/>
      </c>
      <c r="N159" s="59">
        <f>IF(OR(tblMovement[[#This Row],[Tonnes_t]]="",tblMovement[[#This Row],[Grade_gpt]]=""),0,tblMovement[[#This Row],[Tonnes_t]]*tblMovement[[#This Row],[Grade_gpt]]/cfg_TroyOz)</f>
        <v/>
      </c>
      <c r="O159" s="59">
        <f>IF(tblMovement[[#This Row],[Is_Ore]]=1,tblMovement[[#This Row],[Contained_oz]],0)</f>
        <v/>
      </c>
    </row>
    <row r="160">
      <c r="A160" s="54" t="n"/>
      <c r="B160" s="61" t="n"/>
      <c r="C160" s="61" t="n"/>
      <c r="D160" s="61" t="n"/>
      <c r="E160" s="61" t="n"/>
      <c r="F160" s="55" t="n"/>
      <c r="G160" s="56" t="n"/>
      <c r="H160" s="55" t="n"/>
      <c r="I160" s="62" t="n"/>
      <c r="J160" s="58" t="n"/>
      <c r="K160" s="63">
        <f>IF(tblMovement[[#This Row],[Source]]="","",IFERROR(INDEX(tblSources[Type],MATCH(tblMovement[[#This Row],[Source]],tblSources[Source],0)),"?"))</f>
        <v/>
      </c>
      <c r="L160" s="63">
        <f>IF(tblMovement[[#This Row],[Destination]]="","",IFERROR(INDEX(tblDestinations[Type],MATCH(tblMovement[[#This Row],[Destination]],tblDestinations[Destination],0)),"?"))</f>
        <v/>
      </c>
      <c r="M160" s="64">
        <f>IF(tblMovement[[#This Row],[Material]]="","",IF(LEFT(tblMovement[[#This Row],[Material]],3)="Ore",1,0))</f>
        <v/>
      </c>
      <c r="N160" s="59">
        <f>IF(OR(tblMovement[[#This Row],[Tonnes_t]]="",tblMovement[[#This Row],[Grade_gpt]]=""),0,tblMovement[[#This Row],[Tonnes_t]]*tblMovement[[#This Row],[Grade_gpt]]/cfg_TroyOz)</f>
        <v/>
      </c>
      <c r="O160" s="59">
        <f>IF(tblMovement[[#This Row],[Is_Ore]]=1,tblMovement[[#This Row],[Contained_oz]],0)</f>
        <v/>
      </c>
    </row>
    <row r="161">
      <c r="A161" s="54" t="n"/>
      <c r="B161" s="61" t="n"/>
      <c r="C161" s="61" t="n"/>
      <c r="D161" s="61" t="n"/>
      <c r="E161" s="61" t="n"/>
      <c r="F161" s="55" t="n"/>
      <c r="G161" s="56" t="n"/>
      <c r="H161" s="55" t="n"/>
      <c r="I161" s="62" t="n"/>
      <c r="J161" s="58" t="n"/>
      <c r="K161" s="63">
        <f>IF(tblMovement[[#This Row],[Source]]="","",IFERROR(INDEX(tblSources[Type],MATCH(tblMovement[[#This Row],[Source]],tblSources[Source],0)),"?"))</f>
        <v/>
      </c>
      <c r="L161" s="63">
        <f>IF(tblMovement[[#This Row],[Destination]]="","",IFERROR(INDEX(tblDestinations[Type],MATCH(tblMovement[[#This Row],[Destination]],tblDestinations[Destination],0)),"?"))</f>
        <v/>
      </c>
      <c r="M161" s="64">
        <f>IF(tblMovement[[#This Row],[Material]]="","",IF(LEFT(tblMovement[[#This Row],[Material]],3)="Ore",1,0))</f>
        <v/>
      </c>
      <c r="N161" s="59">
        <f>IF(OR(tblMovement[[#This Row],[Tonnes_t]]="",tblMovement[[#This Row],[Grade_gpt]]=""),0,tblMovement[[#This Row],[Tonnes_t]]*tblMovement[[#This Row],[Grade_gpt]]/cfg_TroyOz)</f>
        <v/>
      </c>
      <c r="O161" s="59">
        <f>IF(tblMovement[[#This Row],[Is_Ore]]=1,tblMovement[[#This Row],[Contained_oz]],0)</f>
        <v/>
      </c>
    </row>
    <row r="162">
      <c r="A162" s="54" t="n"/>
      <c r="B162" s="61" t="n"/>
      <c r="C162" s="61" t="n"/>
      <c r="D162" s="61" t="n"/>
      <c r="E162" s="61" t="n"/>
      <c r="F162" s="55" t="n"/>
      <c r="G162" s="56" t="n"/>
      <c r="H162" s="55" t="n"/>
      <c r="I162" s="62" t="n"/>
      <c r="J162" s="58" t="n"/>
      <c r="K162" s="63">
        <f>IF(tblMovement[[#This Row],[Source]]="","",IFERROR(INDEX(tblSources[Type],MATCH(tblMovement[[#This Row],[Source]],tblSources[Source],0)),"?"))</f>
        <v/>
      </c>
      <c r="L162" s="63">
        <f>IF(tblMovement[[#This Row],[Destination]]="","",IFERROR(INDEX(tblDestinations[Type],MATCH(tblMovement[[#This Row],[Destination]],tblDestinations[Destination],0)),"?"))</f>
        <v/>
      </c>
      <c r="M162" s="64">
        <f>IF(tblMovement[[#This Row],[Material]]="","",IF(LEFT(tblMovement[[#This Row],[Material]],3)="Ore",1,0))</f>
        <v/>
      </c>
      <c r="N162" s="59">
        <f>IF(OR(tblMovement[[#This Row],[Tonnes_t]]="",tblMovement[[#This Row],[Grade_gpt]]=""),0,tblMovement[[#This Row],[Tonnes_t]]*tblMovement[[#This Row],[Grade_gpt]]/cfg_TroyOz)</f>
        <v/>
      </c>
      <c r="O162" s="59">
        <f>IF(tblMovement[[#This Row],[Is_Ore]]=1,tblMovement[[#This Row],[Contained_oz]],0)</f>
        <v/>
      </c>
    </row>
    <row r="163">
      <c r="A163" s="54" t="n"/>
      <c r="B163" s="61" t="n"/>
      <c r="C163" s="61" t="n"/>
      <c r="D163" s="61" t="n"/>
      <c r="E163" s="61" t="n"/>
      <c r="F163" s="55" t="n"/>
      <c r="G163" s="56" t="n"/>
      <c r="H163" s="55" t="n"/>
      <c r="I163" s="62" t="n"/>
      <c r="J163" s="58" t="n"/>
      <c r="K163" s="63">
        <f>IF(tblMovement[[#This Row],[Source]]="","",IFERROR(INDEX(tblSources[Type],MATCH(tblMovement[[#This Row],[Source]],tblSources[Source],0)),"?"))</f>
        <v/>
      </c>
      <c r="L163" s="63">
        <f>IF(tblMovement[[#This Row],[Destination]]="","",IFERROR(INDEX(tblDestinations[Type],MATCH(tblMovement[[#This Row],[Destination]],tblDestinations[Destination],0)),"?"))</f>
        <v/>
      </c>
      <c r="M163" s="64">
        <f>IF(tblMovement[[#This Row],[Material]]="","",IF(LEFT(tblMovement[[#This Row],[Material]],3)="Ore",1,0))</f>
        <v/>
      </c>
      <c r="N163" s="59">
        <f>IF(OR(tblMovement[[#This Row],[Tonnes_t]]="",tblMovement[[#This Row],[Grade_gpt]]=""),0,tblMovement[[#This Row],[Tonnes_t]]*tblMovement[[#This Row],[Grade_gpt]]/cfg_TroyOz)</f>
        <v/>
      </c>
      <c r="O163" s="59">
        <f>IF(tblMovement[[#This Row],[Is_Ore]]=1,tblMovement[[#This Row],[Contained_oz]],0)</f>
        <v/>
      </c>
    </row>
    <row r="164">
      <c r="A164" s="54" t="n"/>
      <c r="B164" s="61" t="n"/>
      <c r="C164" s="61" t="n"/>
      <c r="D164" s="61" t="n"/>
      <c r="E164" s="61" t="n"/>
      <c r="F164" s="55" t="n"/>
      <c r="G164" s="56" t="n"/>
      <c r="H164" s="55" t="n"/>
      <c r="I164" s="62" t="n"/>
      <c r="J164" s="58" t="n"/>
      <c r="K164" s="63">
        <f>IF(tblMovement[[#This Row],[Source]]="","",IFERROR(INDEX(tblSources[Type],MATCH(tblMovement[[#This Row],[Source]],tblSources[Source],0)),"?"))</f>
        <v/>
      </c>
      <c r="L164" s="63">
        <f>IF(tblMovement[[#This Row],[Destination]]="","",IFERROR(INDEX(tblDestinations[Type],MATCH(tblMovement[[#This Row],[Destination]],tblDestinations[Destination],0)),"?"))</f>
        <v/>
      </c>
      <c r="M164" s="64">
        <f>IF(tblMovement[[#This Row],[Material]]="","",IF(LEFT(tblMovement[[#This Row],[Material]],3)="Ore",1,0))</f>
        <v/>
      </c>
      <c r="N164" s="59">
        <f>IF(OR(tblMovement[[#This Row],[Tonnes_t]]="",tblMovement[[#This Row],[Grade_gpt]]=""),0,tblMovement[[#This Row],[Tonnes_t]]*tblMovement[[#This Row],[Grade_gpt]]/cfg_TroyOz)</f>
        <v/>
      </c>
      <c r="O164" s="59">
        <f>IF(tblMovement[[#This Row],[Is_Ore]]=1,tblMovement[[#This Row],[Contained_oz]],0)</f>
        <v/>
      </c>
    </row>
    <row r="165">
      <c r="A165" s="54" t="n"/>
      <c r="B165" s="61" t="n"/>
      <c r="C165" s="61" t="n"/>
      <c r="D165" s="61" t="n"/>
      <c r="E165" s="61" t="n"/>
      <c r="F165" s="55" t="n"/>
      <c r="G165" s="56" t="n"/>
      <c r="H165" s="55" t="n"/>
      <c r="I165" s="62" t="n"/>
      <c r="J165" s="58" t="n"/>
      <c r="K165" s="63">
        <f>IF(tblMovement[[#This Row],[Source]]="","",IFERROR(INDEX(tblSources[Type],MATCH(tblMovement[[#This Row],[Source]],tblSources[Source],0)),"?"))</f>
        <v/>
      </c>
      <c r="L165" s="63">
        <f>IF(tblMovement[[#This Row],[Destination]]="","",IFERROR(INDEX(tblDestinations[Type],MATCH(tblMovement[[#This Row],[Destination]],tblDestinations[Destination],0)),"?"))</f>
        <v/>
      </c>
      <c r="M165" s="64">
        <f>IF(tblMovement[[#This Row],[Material]]="","",IF(LEFT(tblMovement[[#This Row],[Material]],3)="Ore",1,0))</f>
        <v/>
      </c>
      <c r="N165" s="59">
        <f>IF(OR(tblMovement[[#This Row],[Tonnes_t]]="",tblMovement[[#This Row],[Grade_gpt]]=""),0,tblMovement[[#This Row],[Tonnes_t]]*tblMovement[[#This Row],[Grade_gpt]]/cfg_TroyOz)</f>
        <v/>
      </c>
      <c r="O165" s="59">
        <f>IF(tblMovement[[#This Row],[Is_Ore]]=1,tblMovement[[#This Row],[Contained_oz]],0)</f>
        <v/>
      </c>
    </row>
    <row r="166">
      <c r="A166" s="54" t="n"/>
      <c r="B166" s="61" t="n"/>
      <c r="C166" s="61" t="n"/>
      <c r="D166" s="61" t="n"/>
      <c r="E166" s="61" t="n"/>
      <c r="F166" s="55" t="n"/>
      <c r="G166" s="56" t="n"/>
      <c r="H166" s="55" t="n"/>
      <c r="I166" s="62" t="n"/>
      <c r="J166" s="58" t="n"/>
      <c r="K166" s="63">
        <f>IF(tblMovement[[#This Row],[Source]]="","",IFERROR(INDEX(tblSources[Type],MATCH(tblMovement[[#This Row],[Source]],tblSources[Source],0)),"?"))</f>
        <v/>
      </c>
      <c r="L166" s="63">
        <f>IF(tblMovement[[#This Row],[Destination]]="","",IFERROR(INDEX(tblDestinations[Type],MATCH(tblMovement[[#This Row],[Destination]],tblDestinations[Destination],0)),"?"))</f>
        <v/>
      </c>
      <c r="M166" s="64">
        <f>IF(tblMovement[[#This Row],[Material]]="","",IF(LEFT(tblMovement[[#This Row],[Material]],3)="Ore",1,0))</f>
        <v/>
      </c>
      <c r="N166" s="59">
        <f>IF(OR(tblMovement[[#This Row],[Tonnes_t]]="",tblMovement[[#This Row],[Grade_gpt]]=""),0,tblMovement[[#This Row],[Tonnes_t]]*tblMovement[[#This Row],[Grade_gpt]]/cfg_TroyOz)</f>
        <v/>
      </c>
      <c r="O166" s="59">
        <f>IF(tblMovement[[#This Row],[Is_Ore]]=1,tblMovement[[#This Row],[Contained_oz]],0)</f>
        <v/>
      </c>
    </row>
    <row r="167">
      <c r="A167" s="54" t="n"/>
      <c r="B167" s="61" t="n"/>
      <c r="C167" s="61" t="n"/>
      <c r="D167" s="61" t="n"/>
      <c r="E167" s="61" t="n"/>
      <c r="F167" s="55" t="n"/>
      <c r="G167" s="56" t="n"/>
      <c r="H167" s="55" t="n"/>
      <c r="I167" s="62" t="n"/>
      <c r="J167" s="58" t="n"/>
      <c r="K167" s="63">
        <f>IF(tblMovement[[#This Row],[Source]]="","",IFERROR(INDEX(tblSources[Type],MATCH(tblMovement[[#This Row],[Source]],tblSources[Source],0)),"?"))</f>
        <v/>
      </c>
      <c r="L167" s="63">
        <f>IF(tblMovement[[#This Row],[Destination]]="","",IFERROR(INDEX(tblDestinations[Type],MATCH(tblMovement[[#This Row],[Destination]],tblDestinations[Destination],0)),"?"))</f>
        <v/>
      </c>
      <c r="M167" s="64">
        <f>IF(tblMovement[[#This Row],[Material]]="","",IF(LEFT(tblMovement[[#This Row],[Material]],3)="Ore",1,0))</f>
        <v/>
      </c>
      <c r="N167" s="59">
        <f>IF(OR(tblMovement[[#This Row],[Tonnes_t]]="",tblMovement[[#This Row],[Grade_gpt]]=""),0,tblMovement[[#This Row],[Tonnes_t]]*tblMovement[[#This Row],[Grade_gpt]]/cfg_TroyOz)</f>
        <v/>
      </c>
      <c r="O167" s="59">
        <f>IF(tblMovement[[#This Row],[Is_Ore]]=1,tblMovement[[#This Row],[Contained_oz]],0)</f>
        <v/>
      </c>
    </row>
    <row r="168">
      <c r="A168" s="54" t="n"/>
      <c r="B168" s="61" t="n"/>
      <c r="C168" s="61" t="n"/>
      <c r="D168" s="61" t="n"/>
      <c r="E168" s="61" t="n"/>
      <c r="F168" s="55" t="n"/>
      <c r="G168" s="56" t="n"/>
      <c r="H168" s="55" t="n"/>
      <c r="I168" s="62" t="n"/>
      <c r="J168" s="58" t="n"/>
      <c r="K168" s="63">
        <f>IF(tblMovement[[#This Row],[Source]]="","",IFERROR(INDEX(tblSources[Type],MATCH(tblMovement[[#This Row],[Source]],tblSources[Source],0)),"?"))</f>
        <v/>
      </c>
      <c r="L168" s="63">
        <f>IF(tblMovement[[#This Row],[Destination]]="","",IFERROR(INDEX(tblDestinations[Type],MATCH(tblMovement[[#This Row],[Destination]],tblDestinations[Destination],0)),"?"))</f>
        <v/>
      </c>
      <c r="M168" s="64">
        <f>IF(tblMovement[[#This Row],[Material]]="","",IF(LEFT(tblMovement[[#This Row],[Material]],3)="Ore",1,0))</f>
        <v/>
      </c>
      <c r="N168" s="59">
        <f>IF(OR(tblMovement[[#This Row],[Tonnes_t]]="",tblMovement[[#This Row],[Grade_gpt]]=""),0,tblMovement[[#This Row],[Tonnes_t]]*tblMovement[[#This Row],[Grade_gpt]]/cfg_TroyOz)</f>
        <v/>
      </c>
      <c r="O168" s="59">
        <f>IF(tblMovement[[#This Row],[Is_Ore]]=1,tblMovement[[#This Row],[Contained_oz]],0)</f>
        <v/>
      </c>
    </row>
    <row r="169">
      <c r="A169" s="54" t="n"/>
      <c r="B169" s="61" t="n"/>
      <c r="C169" s="61" t="n"/>
      <c r="D169" s="61" t="n"/>
      <c r="E169" s="61" t="n"/>
      <c r="F169" s="55" t="n"/>
      <c r="G169" s="56" t="n"/>
      <c r="H169" s="55" t="n"/>
      <c r="I169" s="62" t="n"/>
      <c r="J169" s="58" t="n"/>
      <c r="K169" s="63">
        <f>IF(tblMovement[[#This Row],[Source]]="","",IFERROR(INDEX(tblSources[Type],MATCH(tblMovement[[#This Row],[Source]],tblSources[Source],0)),"?"))</f>
        <v/>
      </c>
      <c r="L169" s="63">
        <f>IF(tblMovement[[#This Row],[Destination]]="","",IFERROR(INDEX(tblDestinations[Type],MATCH(tblMovement[[#This Row],[Destination]],tblDestinations[Destination],0)),"?"))</f>
        <v/>
      </c>
      <c r="M169" s="64">
        <f>IF(tblMovement[[#This Row],[Material]]="","",IF(LEFT(tblMovement[[#This Row],[Material]],3)="Ore",1,0))</f>
        <v/>
      </c>
      <c r="N169" s="59">
        <f>IF(OR(tblMovement[[#This Row],[Tonnes_t]]="",tblMovement[[#This Row],[Grade_gpt]]=""),0,tblMovement[[#This Row],[Tonnes_t]]*tblMovement[[#This Row],[Grade_gpt]]/cfg_TroyOz)</f>
        <v/>
      </c>
      <c r="O169" s="59">
        <f>IF(tblMovement[[#This Row],[Is_Ore]]=1,tblMovement[[#This Row],[Contained_oz]],0)</f>
        <v/>
      </c>
    </row>
    <row r="170">
      <c r="A170" s="54" t="n"/>
      <c r="B170" s="61" t="n"/>
      <c r="C170" s="61" t="n"/>
      <c r="D170" s="61" t="n"/>
      <c r="E170" s="61" t="n"/>
      <c r="F170" s="55" t="n"/>
      <c r="G170" s="56" t="n"/>
      <c r="H170" s="55" t="n"/>
      <c r="I170" s="62" t="n"/>
      <c r="J170" s="58" t="n"/>
      <c r="K170" s="63">
        <f>IF(tblMovement[[#This Row],[Source]]="","",IFERROR(INDEX(tblSources[Type],MATCH(tblMovement[[#This Row],[Source]],tblSources[Source],0)),"?"))</f>
        <v/>
      </c>
      <c r="L170" s="63">
        <f>IF(tblMovement[[#This Row],[Destination]]="","",IFERROR(INDEX(tblDestinations[Type],MATCH(tblMovement[[#This Row],[Destination]],tblDestinations[Destination],0)),"?"))</f>
        <v/>
      </c>
      <c r="M170" s="64">
        <f>IF(tblMovement[[#This Row],[Material]]="","",IF(LEFT(tblMovement[[#This Row],[Material]],3)="Ore",1,0))</f>
        <v/>
      </c>
      <c r="N170" s="59">
        <f>IF(OR(tblMovement[[#This Row],[Tonnes_t]]="",tblMovement[[#This Row],[Grade_gpt]]=""),0,tblMovement[[#This Row],[Tonnes_t]]*tblMovement[[#This Row],[Grade_gpt]]/cfg_TroyOz)</f>
        <v/>
      </c>
      <c r="O170" s="59">
        <f>IF(tblMovement[[#This Row],[Is_Ore]]=1,tblMovement[[#This Row],[Contained_oz]],0)</f>
        <v/>
      </c>
    </row>
    <row r="171">
      <c r="A171" s="54" t="n"/>
      <c r="B171" s="61" t="n"/>
      <c r="C171" s="61" t="n"/>
      <c r="D171" s="61" t="n"/>
      <c r="E171" s="61" t="n"/>
      <c r="F171" s="55" t="n"/>
      <c r="G171" s="56" t="n"/>
      <c r="H171" s="55" t="n"/>
      <c r="I171" s="62" t="n"/>
      <c r="J171" s="58" t="n"/>
      <c r="K171" s="63">
        <f>IF(tblMovement[[#This Row],[Source]]="","",IFERROR(INDEX(tblSources[Type],MATCH(tblMovement[[#This Row],[Source]],tblSources[Source],0)),"?"))</f>
        <v/>
      </c>
      <c r="L171" s="63">
        <f>IF(tblMovement[[#This Row],[Destination]]="","",IFERROR(INDEX(tblDestinations[Type],MATCH(tblMovement[[#This Row],[Destination]],tblDestinations[Destination],0)),"?"))</f>
        <v/>
      </c>
      <c r="M171" s="64">
        <f>IF(tblMovement[[#This Row],[Material]]="","",IF(LEFT(tblMovement[[#This Row],[Material]],3)="Ore",1,0))</f>
        <v/>
      </c>
      <c r="N171" s="59">
        <f>IF(OR(tblMovement[[#This Row],[Tonnes_t]]="",tblMovement[[#This Row],[Grade_gpt]]=""),0,tblMovement[[#This Row],[Tonnes_t]]*tblMovement[[#This Row],[Grade_gpt]]/cfg_TroyOz)</f>
        <v/>
      </c>
      <c r="O171" s="59">
        <f>IF(tblMovement[[#This Row],[Is_Ore]]=1,tblMovement[[#This Row],[Contained_oz]],0)</f>
        <v/>
      </c>
    </row>
    <row r="172">
      <c r="A172" s="54" t="n"/>
      <c r="B172" s="61" t="n"/>
      <c r="C172" s="61" t="n"/>
      <c r="D172" s="61" t="n"/>
      <c r="E172" s="61" t="n"/>
      <c r="F172" s="55" t="n"/>
      <c r="G172" s="56" t="n"/>
      <c r="H172" s="55" t="n"/>
      <c r="I172" s="62" t="n"/>
      <c r="J172" s="58" t="n"/>
      <c r="K172" s="63">
        <f>IF(tblMovement[[#This Row],[Source]]="","",IFERROR(INDEX(tblSources[Type],MATCH(tblMovement[[#This Row],[Source]],tblSources[Source],0)),"?"))</f>
        <v/>
      </c>
      <c r="L172" s="63">
        <f>IF(tblMovement[[#This Row],[Destination]]="","",IFERROR(INDEX(tblDestinations[Type],MATCH(tblMovement[[#This Row],[Destination]],tblDestinations[Destination],0)),"?"))</f>
        <v/>
      </c>
      <c r="M172" s="64">
        <f>IF(tblMovement[[#This Row],[Material]]="","",IF(LEFT(tblMovement[[#This Row],[Material]],3)="Ore",1,0))</f>
        <v/>
      </c>
      <c r="N172" s="59">
        <f>IF(OR(tblMovement[[#This Row],[Tonnes_t]]="",tblMovement[[#This Row],[Grade_gpt]]=""),0,tblMovement[[#This Row],[Tonnes_t]]*tblMovement[[#This Row],[Grade_gpt]]/cfg_TroyOz)</f>
        <v/>
      </c>
      <c r="O172" s="59">
        <f>IF(tblMovement[[#This Row],[Is_Ore]]=1,tblMovement[[#This Row],[Contained_oz]],0)</f>
        <v/>
      </c>
    </row>
    <row r="173">
      <c r="A173" s="54" t="n"/>
      <c r="B173" s="61" t="n"/>
      <c r="C173" s="61" t="n"/>
      <c r="D173" s="61" t="n"/>
      <c r="E173" s="61" t="n"/>
      <c r="F173" s="55" t="n"/>
      <c r="G173" s="56" t="n"/>
      <c r="H173" s="55" t="n"/>
      <c r="I173" s="62" t="n"/>
      <c r="J173" s="58" t="n"/>
      <c r="K173" s="63">
        <f>IF(tblMovement[[#This Row],[Source]]="","",IFERROR(INDEX(tblSources[Type],MATCH(tblMovement[[#This Row],[Source]],tblSources[Source],0)),"?"))</f>
        <v/>
      </c>
      <c r="L173" s="63">
        <f>IF(tblMovement[[#This Row],[Destination]]="","",IFERROR(INDEX(tblDestinations[Type],MATCH(tblMovement[[#This Row],[Destination]],tblDestinations[Destination],0)),"?"))</f>
        <v/>
      </c>
      <c r="M173" s="64">
        <f>IF(tblMovement[[#This Row],[Material]]="","",IF(LEFT(tblMovement[[#This Row],[Material]],3)="Ore",1,0))</f>
        <v/>
      </c>
      <c r="N173" s="59">
        <f>IF(OR(tblMovement[[#This Row],[Tonnes_t]]="",tblMovement[[#This Row],[Grade_gpt]]=""),0,tblMovement[[#This Row],[Tonnes_t]]*tblMovement[[#This Row],[Grade_gpt]]/cfg_TroyOz)</f>
        <v/>
      </c>
      <c r="O173" s="59">
        <f>IF(tblMovement[[#This Row],[Is_Ore]]=1,tblMovement[[#This Row],[Contained_oz]],0)</f>
        <v/>
      </c>
    </row>
    <row r="174">
      <c r="A174" s="54" t="n"/>
      <c r="B174" s="61" t="n"/>
      <c r="C174" s="61" t="n"/>
      <c r="D174" s="61" t="n"/>
      <c r="E174" s="61" t="n"/>
      <c r="F174" s="55" t="n"/>
      <c r="G174" s="56" t="n"/>
      <c r="H174" s="55" t="n"/>
      <c r="I174" s="62" t="n"/>
      <c r="J174" s="58" t="n"/>
      <c r="K174" s="63">
        <f>IF(tblMovement[[#This Row],[Source]]="","",IFERROR(INDEX(tblSources[Type],MATCH(tblMovement[[#This Row],[Source]],tblSources[Source],0)),"?"))</f>
        <v/>
      </c>
      <c r="L174" s="63">
        <f>IF(tblMovement[[#This Row],[Destination]]="","",IFERROR(INDEX(tblDestinations[Type],MATCH(tblMovement[[#This Row],[Destination]],tblDestinations[Destination],0)),"?"))</f>
        <v/>
      </c>
      <c r="M174" s="64">
        <f>IF(tblMovement[[#This Row],[Material]]="","",IF(LEFT(tblMovement[[#This Row],[Material]],3)="Ore",1,0))</f>
        <v/>
      </c>
      <c r="N174" s="59">
        <f>IF(OR(tblMovement[[#This Row],[Tonnes_t]]="",tblMovement[[#This Row],[Grade_gpt]]=""),0,tblMovement[[#This Row],[Tonnes_t]]*tblMovement[[#This Row],[Grade_gpt]]/cfg_TroyOz)</f>
        <v/>
      </c>
      <c r="O174" s="59">
        <f>IF(tblMovement[[#This Row],[Is_Ore]]=1,tblMovement[[#This Row],[Contained_oz]],0)</f>
        <v/>
      </c>
    </row>
    <row r="175">
      <c r="A175" s="54" t="n"/>
      <c r="B175" s="61" t="n"/>
      <c r="C175" s="61" t="n"/>
      <c r="D175" s="61" t="n"/>
      <c r="E175" s="61" t="n"/>
      <c r="F175" s="55" t="n"/>
      <c r="G175" s="56" t="n"/>
      <c r="H175" s="55" t="n"/>
      <c r="I175" s="62" t="n"/>
      <c r="J175" s="58" t="n"/>
      <c r="K175" s="63">
        <f>IF(tblMovement[[#This Row],[Source]]="","",IFERROR(INDEX(tblSources[Type],MATCH(tblMovement[[#This Row],[Source]],tblSources[Source],0)),"?"))</f>
        <v/>
      </c>
      <c r="L175" s="63">
        <f>IF(tblMovement[[#This Row],[Destination]]="","",IFERROR(INDEX(tblDestinations[Type],MATCH(tblMovement[[#This Row],[Destination]],tblDestinations[Destination],0)),"?"))</f>
        <v/>
      </c>
      <c r="M175" s="64">
        <f>IF(tblMovement[[#This Row],[Material]]="","",IF(LEFT(tblMovement[[#This Row],[Material]],3)="Ore",1,0))</f>
        <v/>
      </c>
      <c r="N175" s="59">
        <f>IF(OR(tblMovement[[#This Row],[Tonnes_t]]="",tblMovement[[#This Row],[Grade_gpt]]=""),0,tblMovement[[#This Row],[Tonnes_t]]*tblMovement[[#This Row],[Grade_gpt]]/cfg_TroyOz)</f>
        <v/>
      </c>
      <c r="O175" s="59">
        <f>IF(tblMovement[[#This Row],[Is_Ore]]=1,tblMovement[[#This Row],[Contained_oz]],0)</f>
        <v/>
      </c>
    </row>
    <row r="176">
      <c r="A176" s="54" t="n"/>
      <c r="B176" s="61" t="n"/>
      <c r="C176" s="61" t="n"/>
      <c r="D176" s="61" t="n"/>
      <c r="E176" s="61" t="n"/>
      <c r="F176" s="55" t="n"/>
      <c r="G176" s="56" t="n"/>
      <c r="H176" s="55" t="n"/>
      <c r="I176" s="62" t="n"/>
      <c r="J176" s="58" t="n"/>
      <c r="K176" s="63">
        <f>IF(tblMovement[[#This Row],[Source]]="","",IFERROR(INDEX(tblSources[Type],MATCH(tblMovement[[#This Row],[Source]],tblSources[Source],0)),"?"))</f>
        <v/>
      </c>
      <c r="L176" s="63">
        <f>IF(tblMovement[[#This Row],[Destination]]="","",IFERROR(INDEX(tblDestinations[Type],MATCH(tblMovement[[#This Row],[Destination]],tblDestinations[Destination],0)),"?"))</f>
        <v/>
      </c>
      <c r="M176" s="64">
        <f>IF(tblMovement[[#This Row],[Material]]="","",IF(LEFT(tblMovement[[#This Row],[Material]],3)="Ore",1,0))</f>
        <v/>
      </c>
      <c r="N176" s="59">
        <f>IF(OR(tblMovement[[#This Row],[Tonnes_t]]="",tblMovement[[#This Row],[Grade_gpt]]=""),0,tblMovement[[#This Row],[Tonnes_t]]*tblMovement[[#This Row],[Grade_gpt]]/cfg_TroyOz)</f>
        <v/>
      </c>
      <c r="O176" s="59">
        <f>IF(tblMovement[[#This Row],[Is_Ore]]=1,tblMovement[[#This Row],[Contained_oz]],0)</f>
        <v/>
      </c>
    </row>
    <row r="177">
      <c r="A177" s="54" t="n"/>
      <c r="B177" s="61" t="n"/>
      <c r="C177" s="61" t="n"/>
      <c r="D177" s="61" t="n"/>
      <c r="E177" s="61" t="n"/>
      <c r="F177" s="55" t="n"/>
      <c r="G177" s="56" t="n"/>
      <c r="H177" s="55" t="n"/>
      <c r="I177" s="62" t="n"/>
      <c r="J177" s="58" t="n"/>
      <c r="K177" s="63">
        <f>IF(tblMovement[[#This Row],[Source]]="","",IFERROR(INDEX(tblSources[Type],MATCH(tblMovement[[#This Row],[Source]],tblSources[Source],0)),"?"))</f>
        <v/>
      </c>
      <c r="L177" s="63">
        <f>IF(tblMovement[[#This Row],[Destination]]="","",IFERROR(INDEX(tblDestinations[Type],MATCH(tblMovement[[#This Row],[Destination]],tblDestinations[Destination],0)),"?"))</f>
        <v/>
      </c>
      <c r="M177" s="64">
        <f>IF(tblMovement[[#This Row],[Material]]="","",IF(LEFT(tblMovement[[#This Row],[Material]],3)="Ore",1,0))</f>
        <v/>
      </c>
      <c r="N177" s="59">
        <f>IF(OR(tblMovement[[#This Row],[Tonnes_t]]="",tblMovement[[#This Row],[Grade_gpt]]=""),0,tblMovement[[#This Row],[Tonnes_t]]*tblMovement[[#This Row],[Grade_gpt]]/cfg_TroyOz)</f>
        <v/>
      </c>
      <c r="O177" s="59">
        <f>IF(tblMovement[[#This Row],[Is_Ore]]=1,tblMovement[[#This Row],[Contained_oz]],0)</f>
        <v/>
      </c>
    </row>
    <row r="178">
      <c r="A178" s="54" t="n"/>
      <c r="B178" s="61" t="n"/>
      <c r="C178" s="61" t="n"/>
      <c r="D178" s="61" t="n"/>
      <c r="E178" s="61" t="n"/>
      <c r="F178" s="55" t="n"/>
      <c r="G178" s="56" t="n"/>
      <c r="H178" s="55" t="n"/>
      <c r="I178" s="62" t="n"/>
      <c r="J178" s="58" t="n"/>
      <c r="K178" s="63">
        <f>IF(tblMovement[[#This Row],[Source]]="","",IFERROR(INDEX(tblSources[Type],MATCH(tblMovement[[#This Row],[Source]],tblSources[Source],0)),"?"))</f>
        <v/>
      </c>
      <c r="L178" s="63">
        <f>IF(tblMovement[[#This Row],[Destination]]="","",IFERROR(INDEX(tblDestinations[Type],MATCH(tblMovement[[#This Row],[Destination]],tblDestinations[Destination],0)),"?"))</f>
        <v/>
      </c>
      <c r="M178" s="64">
        <f>IF(tblMovement[[#This Row],[Material]]="","",IF(LEFT(tblMovement[[#This Row],[Material]],3)="Ore",1,0))</f>
        <v/>
      </c>
      <c r="N178" s="59">
        <f>IF(OR(tblMovement[[#This Row],[Tonnes_t]]="",tblMovement[[#This Row],[Grade_gpt]]=""),0,tblMovement[[#This Row],[Tonnes_t]]*tblMovement[[#This Row],[Grade_gpt]]/cfg_TroyOz)</f>
        <v/>
      </c>
      <c r="O178" s="59">
        <f>IF(tblMovement[[#This Row],[Is_Ore]]=1,tblMovement[[#This Row],[Contained_oz]],0)</f>
        <v/>
      </c>
    </row>
    <row r="179">
      <c r="A179" s="54" t="n"/>
      <c r="B179" s="61" t="n"/>
      <c r="C179" s="61" t="n"/>
      <c r="D179" s="61" t="n"/>
      <c r="E179" s="61" t="n"/>
      <c r="F179" s="55" t="n"/>
      <c r="G179" s="56" t="n"/>
      <c r="H179" s="55" t="n"/>
      <c r="I179" s="62" t="n"/>
      <c r="J179" s="58" t="n"/>
      <c r="K179" s="63">
        <f>IF(tblMovement[[#This Row],[Source]]="","",IFERROR(INDEX(tblSources[Type],MATCH(tblMovement[[#This Row],[Source]],tblSources[Source],0)),"?"))</f>
        <v/>
      </c>
      <c r="L179" s="63">
        <f>IF(tblMovement[[#This Row],[Destination]]="","",IFERROR(INDEX(tblDestinations[Type],MATCH(tblMovement[[#This Row],[Destination]],tblDestinations[Destination],0)),"?"))</f>
        <v/>
      </c>
      <c r="M179" s="64">
        <f>IF(tblMovement[[#This Row],[Material]]="","",IF(LEFT(tblMovement[[#This Row],[Material]],3)="Ore",1,0))</f>
        <v/>
      </c>
      <c r="N179" s="59">
        <f>IF(OR(tblMovement[[#This Row],[Tonnes_t]]="",tblMovement[[#This Row],[Grade_gpt]]=""),0,tblMovement[[#This Row],[Tonnes_t]]*tblMovement[[#This Row],[Grade_gpt]]/cfg_TroyOz)</f>
        <v/>
      </c>
      <c r="O179" s="59">
        <f>IF(tblMovement[[#This Row],[Is_Ore]]=1,tblMovement[[#This Row],[Contained_oz]],0)</f>
        <v/>
      </c>
    </row>
    <row r="180">
      <c r="A180" s="54" t="n"/>
      <c r="B180" s="61" t="n"/>
      <c r="C180" s="61" t="n"/>
      <c r="D180" s="61" t="n"/>
      <c r="E180" s="61" t="n"/>
      <c r="F180" s="55" t="n"/>
      <c r="G180" s="56" t="n"/>
      <c r="H180" s="55" t="n"/>
      <c r="I180" s="62" t="n"/>
      <c r="J180" s="58" t="n"/>
      <c r="K180" s="63">
        <f>IF(tblMovement[[#This Row],[Source]]="","",IFERROR(INDEX(tblSources[Type],MATCH(tblMovement[[#This Row],[Source]],tblSources[Source],0)),"?"))</f>
        <v/>
      </c>
      <c r="L180" s="63">
        <f>IF(tblMovement[[#This Row],[Destination]]="","",IFERROR(INDEX(tblDestinations[Type],MATCH(tblMovement[[#This Row],[Destination]],tblDestinations[Destination],0)),"?"))</f>
        <v/>
      </c>
      <c r="M180" s="64">
        <f>IF(tblMovement[[#This Row],[Material]]="","",IF(LEFT(tblMovement[[#This Row],[Material]],3)="Ore",1,0))</f>
        <v/>
      </c>
      <c r="N180" s="59">
        <f>IF(OR(tblMovement[[#This Row],[Tonnes_t]]="",tblMovement[[#This Row],[Grade_gpt]]=""),0,tblMovement[[#This Row],[Tonnes_t]]*tblMovement[[#This Row],[Grade_gpt]]/cfg_TroyOz)</f>
        <v/>
      </c>
      <c r="O180" s="59">
        <f>IF(tblMovement[[#This Row],[Is_Ore]]=1,tblMovement[[#This Row],[Contained_oz]],0)</f>
        <v/>
      </c>
    </row>
    <row r="181">
      <c r="A181" s="54" t="n"/>
      <c r="B181" s="61" t="n"/>
      <c r="C181" s="61" t="n"/>
      <c r="D181" s="61" t="n"/>
      <c r="E181" s="61" t="n"/>
      <c r="F181" s="55" t="n"/>
      <c r="G181" s="56" t="n"/>
      <c r="H181" s="55" t="n"/>
      <c r="I181" s="62" t="n"/>
      <c r="J181" s="58" t="n"/>
      <c r="K181" s="63">
        <f>IF(tblMovement[[#This Row],[Source]]="","",IFERROR(INDEX(tblSources[Type],MATCH(tblMovement[[#This Row],[Source]],tblSources[Source],0)),"?"))</f>
        <v/>
      </c>
      <c r="L181" s="63">
        <f>IF(tblMovement[[#This Row],[Destination]]="","",IFERROR(INDEX(tblDestinations[Type],MATCH(tblMovement[[#This Row],[Destination]],tblDestinations[Destination],0)),"?"))</f>
        <v/>
      </c>
      <c r="M181" s="64">
        <f>IF(tblMovement[[#This Row],[Material]]="","",IF(LEFT(tblMovement[[#This Row],[Material]],3)="Ore",1,0))</f>
        <v/>
      </c>
      <c r="N181" s="59">
        <f>IF(OR(tblMovement[[#This Row],[Tonnes_t]]="",tblMovement[[#This Row],[Grade_gpt]]=""),0,tblMovement[[#This Row],[Tonnes_t]]*tblMovement[[#This Row],[Grade_gpt]]/cfg_TroyOz)</f>
        <v/>
      </c>
      <c r="O181" s="59">
        <f>IF(tblMovement[[#This Row],[Is_Ore]]=1,tblMovement[[#This Row],[Contained_oz]],0)</f>
        <v/>
      </c>
    </row>
    <row r="182">
      <c r="A182" s="54" t="n"/>
      <c r="B182" s="61" t="n"/>
      <c r="C182" s="61" t="n"/>
      <c r="D182" s="61" t="n"/>
      <c r="E182" s="61" t="n"/>
      <c r="F182" s="55" t="n"/>
      <c r="G182" s="56" t="n"/>
      <c r="H182" s="55" t="n"/>
      <c r="I182" s="62" t="n"/>
      <c r="J182" s="58" t="n"/>
      <c r="K182" s="63">
        <f>IF(tblMovement[[#This Row],[Source]]="","",IFERROR(INDEX(tblSources[Type],MATCH(tblMovement[[#This Row],[Source]],tblSources[Source],0)),"?"))</f>
        <v/>
      </c>
      <c r="L182" s="63">
        <f>IF(tblMovement[[#This Row],[Destination]]="","",IFERROR(INDEX(tblDestinations[Type],MATCH(tblMovement[[#This Row],[Destination]],tblDestinations[Destination],0)),"?"))</f>
        <v/>
      </c>
      <c r="M182" s="64">
        <f>IF(tblMovement[[#This Row],[Material]]="","",IF(LEFT(tblMovement[[#This Row],[Material]],3)="Ore",1,0))</f>
        <v/>
      </c>
      <c r="N182" s="59">
        <f>IF(OR(tblMovement[[#This Row],[Tonnes_t]]="",tblMovement[[#This Row],[Grade_gpt]]=""),0,tblMovement[[#This Row],[Tonnes_t]]*tblMovement[[#This Row],[Grade_gpt]]/cfg_TroyOz)</f>
        <v/>
      </c>
      <c r="O182" s="59">
        <f>IF(tblMovement[[#This Row],[Is_Ore]]=1,tblMovement[[#This Row],[Contained_oz]],0)</f>
        <v/>
      </c>
    </row>
    <row r="183">
      <c r="A183" s="54" t="n"/>
      <c r="B183" s="61" t="n"/>
      <c r="C183" s="61" t="n"/>
      <c r="D183" s="61" t="n"/>
      <c r="E183" s="61" t="n"/>
      <c r="F183" s="55" t="n"/>
      <c r="G183" s="56" t="n"/>
      <c r="H183" s="55" t="n"/>
      <c r="I183" s="62" t="n"/>
      <c r="J183" s="58" t="n"/>
      <c r="K183" s="63">
        <f>IF(tblMovement[[#This Row],[Source]]="","",IFERROR(INDEX(tblSources[Type],MATCH(tblMovement[[#This Row],[Source]],tblSources[Source],0)),"?"))</f>
        <v/>
      </c>
      <c r="L183" s="63">
        <f>IF(tblMovement[[#This Row],[Destination]]="","",IFERROR(INDEX(tblDestinations[Type],MATCH(tblMovement[[#This Row],[Destination]],tblDestinations[Destination],0)),"?"))</f>
        <v/>
      </c>
      <c r="M183" s="64">
        <f>IF(tblMovement[[#This Row],[Material]]="","",IF(LEFT(tblMovement[[#This Row],[Material]],3)="Ore",1,0))</f>
        <v/>
      </c>
      <c r="N183" s="59">
        <f>IF(OR(tblMovement[[#This Row],[Tonnes_t]]="",tblMovement[[#This Row],[Grade_gpt]]=""),0,tblMovement[[#This Row],[Tonnes_t]]*tblMovement[[#This Row],[Grade_gpt]]/cfg_TroyOz)</f>
        <v/>
      </c>
      <c r="O183" s="59">
        <f>IF(tblMovement[[#This Row],[Is_Ore]]=1,tblMovement[[#This Row],[Contained_oz]],0)</f>
        <v/>
      </c>
    </row>
    <row r="184">
      <c r="A184" s="54" t="n"/>
      <c r="B184" s="61" t="n"/>
      <c r="C184" s="61" t="n"/>
      <c r="D184" s="61" t="n"/>
      <c r="E184" s="61" t="n"/>
      <c r="F184" s="55" t="n"/>
      <c r="G184" s="56" t="n"/>
      <c r="H184" s="55" t="n"/>
      <c r="I184" s="62" t="n"/>
      <c r="J184" s="58" t="n"/>
      <c r="K184" s="63">
        <f>IF(tblMovement[[#This Row],[Source]]="","",IFERROR(INDEX(tblSources[Type],MATCH(tblMovement[[#This Row],[Source]],tblSources[Source],0)),"?"))</f>
        <v/>
      </c>
      <c r="L184" s="63">
        <f>IF(tblMovement[[#This Row],[Destination]]="","",IFERROR(INDEX(tblDestinations[Type],MATCH(tblMovement[[#This Row],[Destination]],tblDestinations[Destination],0)),"?"))</f>
        <v/>
      </c>
      <c r="M184" s="64">
        <f>IF(tblMovement[[#This Row],[Material]]="","",IF(LEFT(tblMovement[[#This Row],[Material]],3)="Ore",1,0))</f>
        <v/>
      </c>
      <c r="N184" s="59">
        <f>IF(OR(tblMovement[[#This Row],[Tonnes_t]]="",tblMovement[[#This Row],[Grade_gpt]]=""),0,tblMovement[[#This Row],[Tonnes_t]]*tblMovement[[#This Row],[Grade_gpt]]/cfg_TroyOz)</f>
        <v/>
      </c>
      <c r="O184" s="59">
        <f>IF(tblMovement[[#This Row],[Is_Ore]]=1,tblMovement[[#This Row],[Contained_oz]],0)</f>
        <v/>
      </c>
    </row>
    <row r="185">
      <c r="A185" s="54" t="n"/>
      <c r="B185" s="61" t="n"/>
      <c r="C185" s="61" t="n"/>
      <c r="D185" s="61" t="n"/>
      <c r="E185" s="61" t="n"/>
      <c r="F185" s="55" t="n"/>
      <c r="G185" s="56" t="n"/>
      <c r="H185" s="55" t="n"/>
      <c r="I185" s="62" t="n"/>
      <c r="J185" s="58" t="n"/>
      <c r="K185" s="63">
        <f>IF(tblMovement[[#This Row],[Source]]="","",IFERROR(INDEX(tblSources[Type],MATCH(tblMovement[[#This Row],[Source]],tblSources[Source],0)),"?"))</f>
        <v/>
      </c>
      <c r="L185" s="63">
        <f>IF(tblMovement[[#This Row],[Destination]]="","",IFERROR(INDEX(tblDestinations[Type],MATCH(tblMovement[[#This Row],[Destination]],tblDestinations[Destination],0)),"?"))</f>
        <v/>
      </c>
      <c r="M185" s="64">
        <f>IF(tblMovement[[#This Row],[Material]]="","",IF(LEFT(tblMovement[[#This Row],[Material]],3)="Ore",1,0))</f>
        <v/>
      </c>
      <c r="N185" s="59">
        <f>IF(OR(tblMovement[[#This Row],[Tonnes_t]]="",tblMovement[[#This Row],[Grade_gpt]]=""),0,tblMovement[[#This Row],[Tonnes_t]]*tblMovement[[#This Row],[Grade_gpt]]/cfg_TroyOz)</f>
        <v/>
      </c>
      <c r="O185" s="59">
        <f>IF(tblMovement[[#This Row],[Is_Ore]]=1,tblMovement[[#This Row],[Contained_oz]],0)</f>
        <v/>
      </c>
    </row>
    <row r="186">
      <c r="A186" s="54" t="n"/>
      <c r="B186" s="61" t="n"/>
      <c r="C186" s="61" t="n"/>
      <c r="D186" s="61" t="n"/>
      <c r="E186" s="61" t="n"/>
      <c r="F186" s="55" t="n"/>
      <c r="G186" s="56" t="n"/>
      <c r="H186" s="55" t="n"/>
      <c r="I186" s="62" t="n"/>
      <c r="J186" s="58" t="n"/>
      <c r="K186" s="63">
        <f>IF(tblMovement[[#This Row],[Source]]="","",IFERROR(INDEX(tblSources[Type],MATCH(tblMovement[[#This Row],[Source]],tblSources[Source],0)),"?"))</f>
        <v/>
      </c>
      <c r="L186" s="63">
        <f>IF(tblMovement[[#This Row],[Destination]]="","",IFERROR(INDEX(tblDestinations[Type],MATCH(tblMovement[[#This Row],[Destination]],tblDestinations[Destination],0)),"?"))</f>
        <v/>
      </c>
      <c r="M186" s="64">
        <f>IF(tblMovement[[#This Row],[Material]]="","",IF(LEFT(tblMovement[[#This Row],[Material]],3)="Ore",1,0))</f>
        <v/>
      </c>
      <c r="N186" s="59">
        <f>IF(OR(tblMovement[[#This Row],[Tonnes_t]]="",tblMovement[[#This Row],[Grade_gpt]]=""),0,tblMovement[[#This Row],[Tonnes_t]]*tblMovement[[#This Row],[Grade_gpt]]/cfg_TroyOz)</f>
        <v/>
      </c>
      <c r="O186" s="59">
        <f>IF(tblMovement[[#This Row],[Is_Ore]]=1,tblMovement[[#This Row],[Contained_oz]],0)</f>
        <v/>
      </c>
    </row>
    <row r="187">
      <c r="A187" s="54" t="n"/>
      <c r="B187" s="61" t="n"/>
      <c r="C187" s="61" t="n"/>
      <c r="D187" s="61" t="n"/>
      <c r="E187" s="61" t="n"/>
      <c r="F187" s="55" t="n"/>
      <c r="G187" s="56" t="n"/>
      <c r="H187" s="55" t="n"/>
      <c r="I187" s="62" t="n"/>
      <c r="J187" s="58" t="n"/>
      <c r="K187" s="63">
        <f>IF(tblMovement[[#This Row],[Source]]="","",IFERROR(INDEX(tblSources[Type],MATCH(tblMovement[[#This Row],[Source]],tblSources[Source],0)),"?"))</f>
        <v/>
      </c>
      <c r="L187" s="63">
        <f>IF(tblMovement[[#This Row],[Destination]]="","",IFERROR(INDEX(tblDestinations[Type],MATCH(tblMovement[[#This Row],[Destination]],tblDestinations[Destination],0)),"?"))</f>
        <v/>
      </c>
      <c r="M187" s="64">
        <f>IF(tblMovement[[#This Row],[Material]]="","",IF(LEFT(tblMovement[[#This Row],[Material]],3)="Ore",1,0))</f>
        <v/>
      </c>
      <c r="N187" s="59">
        <f>IF(OR(tblMovement[[#This Row],[Tonnes_t]]="",tblMovement[[#This Row],[Grade_gpt]]=""),0,tblMovement[[#This Row],[Tonnes_t]]*tblMovement[[#This Row],[Grade_gpt]]/cfg_TroyOz)</f>
        <v/>
      </c>
      <c r="O187" s="59">
        <f>IF(tblMovement[[#This Row],[Is_Ore]]=1,tblMovement[[#This Row],[Contained_oz]],0)</f>
        <v/>
      </c>
    </row>
    <row r="188">
      <c r="A188" s="54" t="n"/>
      <c r="B188" s="61" t="n"/>
      <c r="C188" s="61" t="n"/>
      <c r="D188" s="61" t="n"/>
      <c r="E188" s="61" t="n"/>
      <c r="F188" s="55" t="n"/>
      <c r="G188" s="56" t="n"/>
      <c r="H188" s="55" t="n"/>
      <c r="I188" s="62" t="n"/>
      <c r="J188" s="58" t="n"/>
      <c r="K188" s="63">
        <f>IF(tblMovement[[#This Row],[Source]]="","",IFERROR(INDEX(tblSources[Type],MATCH(tblMovement[[#This Row],[Source]],tblSources[Source],0)),"?"))</f>
        <v/>
      </c>
      <c r="L188" s="63">
        <f>IF(tblMovement[[#This Row],[Destination]]="","",IFERROR(INDEX(tblDestinations[Type],MATCH(tblMovement[[#This Row],[Destination]],tblDestinations[Destination],0)),"?"))</f>
        <v/>
      </c>
      <c r="M188" s="64">
        <f>IF(tblMovement[[#This Row],[Material]]="","",IF(LEFT(tblMovement[[#This Row],[Material]],3)="Ore",1,0))</f>
        <v/>
      </c>
      <c r="N188" s="59">
        <f>IF(OR(tblMovement[[#This Row],[Tonnes_t]]="",tblMovement[[#This Row],[Grade_gpt]]=""),0,tblMovement[[#This Row],[Tonnes_t]]*tblMovement[[#This Row],[Grade_gpt]]/cfg_TroyOz)</f>
        <v/>
      </c>
      <c r="O188" s="59">
        <f>IF(tblMovement[[#This Row],[Is_Ore]]=1,tblMovement[[#This Row],[Contained_oz]],0)</f>
        <v/>
      </c>
    </row>
    <row r="189">
      <c r="A189" s="54" t="n"/>
      <c r="B189" s="61" t="n"/>
      <c r="C189" s="61" t="n"/>
      <c r="D189" s="61" t="n"/>
      <c r="E189" s="61" t="n"/>
      <c r="F189" s="55" t="n"/>
      <c r="G189" s="56" t="n"/>
      <c r="H189" s="55" t="n"/>
      <c r="I189" s="62" t="n"/>
      <c r="J189" s="58" t="n"/>
      <c r="K189" s="63">
        <f>IF(tblMovement[[#This Row],[Source]]="","",IFERROR(INDEX(tblSources[Type],MATCH(tblMovement[[#This Row],[Source]],tblSources[Source],0)),"?"))</f>
        <v/>
      </c>
      <c r="L189" s="63">
        <f>IF(tblMovement[[#This Row],[Destination]]="","",IFERROR(INDEX(tblDestinations[Type],MATCH(tblMovement[[#This Row],[Destination]],tblDestinations[Destination],0)),"?"))</f>
        <v/>
      </c>
      <c r="M189" s="64">
        <f>IF(tblMovement[[#This Row],[Material]]="","",IF(LEFT(tblMovement[[#This Row],[Material]],3)="Ore",1,0))</f>
        <v/>
      </c>
      <c r="N189" s="59">
        <f>IF(OR(tblMovement[[#This Row],[Tonnes_t]]="",tblMovement[[#This Row],[Grade_gpt]]=""),0,tblMovement[[#This Row],[Tonnes_t]]*tblMovement[[#This Row],[Grade_gpt]]/cfg_TroyOz)</f>
        <v/>
      </c>
      <c r="O189" s="59">
        <f>IF(tblMovement[[#This Row],[Is_Ore]]=1,tblMovement[[#This Row],[Contained_oz]],0)</f>
        <v/>
      </c>
    </row>
    <row r="190">
      <c r="A190" s="54" t="n"/>
      <c r="B190" s="61" t="n"/>
      <c r="C190" s="61" t="n"/>
      <c r="D190" s="61" t="n"/>
      <c r="E190" s="61" t="n"/>
      <c r="F190" s="55" t="n"/>
      <c r="G190" s="56" t="n"/>
      <c r="H190" s="55" t="n"/>
      <c r="I190" s="62" t="n"/>
      <c r="J190" s="58" t="n"/>
      <c r="K190" s="63">
        <f>IF(tblMovement[[#This Row],[Source]]="","",IFERROR(INDEX(tblSources[Type],MATCH(tblMovement[[#This Row],[Source]],tblSources[Source],0)),"?"))</f>
        <v/>
      </c>
      <c r="L190" s="63">
        <f>IF(tblMovement[[#This Row],[Destination]]="","",IFERROR(INDEX(tblDestinations[Type],MATCH(tblMovement[[#This Row],[Destination]],tblDestinations[Destination],0)),"?"))</f>
        <v/>
      </c>
      <c r="M190" s="64">
        <f>IF(tblMovement[[#This Row],[Material]]="","",IF(LEFT(tblMovement[[#This Row],[Material]],3)="Ore",1,0))</f>
        <v/>
      </c>
      <c r="N190" s="59">
        <f>IF(OR(tblMovement[[#This Row],[Tonnes_t]]="",tblMovement[[#This Row],[Grade_gpt]]=""),0,tblMovement[[#This Row],[Tonnes_t]]*tblMovement[[#This Row],[Grade_gpt]]/cfg_TroyOz)</f>
        <v/>
      </c>
      <c r="O190" s="59">
        <f>IF(tblMovement[[#This Row],[Is_Ore]]=1,tblMovement[[#This Row],[Contained_oz]],0)</f>
        <v/>
      </c>
    </row>
    <row r="191">
      <c r="A191" s="54" t="n"/>
      <c r="B191" s="61" t="n"/>
      <c r="C191" s="61" t="n"/>
      <c r="D191" s="61" t="n"/>
      <c r="E191" s="61" t="n"/>
      <c r="F191" s="55" t="n"/>
      <c r="G191" s="56" t="n"/>
      <c r="H191" s="55" t="n"/>
      <c r="I191" s="62" t="n"/>
      <c r="J191" s="58" t="n"/>
      <c r="K191" s="63">
        <f>IF(tblMovement[[#This Row],[Source]]="","",IFERROR(INDEX(tblSources[Type],MATCH(tblMovement[[#This Row],[Source]],tblSources[Source],0)),"?"))</f>
        <v/>
      </c>
      <c r="L191" s="63">
        <f>IF(tblMovement[[#This Row],[Destination]]="","",IFERROR(INDEX(tblDestinations[Type],MATCH(tblMovement[[#This Row],[Destination]],tblDestinations[Destination],0)),"?"))</f>
        <v/>
      </c>
      <c r="M191" s="64">
        <f>IF(tblMovement[[#This Row],[Material]]="","",IF(LEFT(tblMovement[[#This Row],[Material]],3)="Ore",1,0))</f>
        <v/>
      </c>
      <c r="N191" s="59">
        <f>IF(OR(tblMovement[[#This Row],[Tonnes_t]]="",tblMovement[[#This Row],[Grade_gpt]]=""),0,tblMovement[[#This Row],[Tonnes_t]]*tblMovement[[#This Row],[Grade_gpt]]/cfg_TroyOz)</f>
        <v/>
      </c>
      <c r="O191" s="59">
        <f>IF(tblMovement[[#This Row],[Is_Ore]]=1,tblMovement[[#This Row],[Contained_oz]],0)</f>
        <v/>
      </c>
    </row>
    <row r="192">
      <c r="A192" s="54" t="n"/>
      <c r="B192" s="61" t="n"/>
      <c r="C192" s="61" t="n"/>
      <c r="D192" s="61" t="n"/>
      <c r="E192" s="61" t="n"/>
      <c r="F192" s="55" t="n"/>
      <c r="G192" s="56" t="n"/>
      <c r="H192" s="55" t="n"/>
      <c r="I192" s="62" t="n"/>
      <c r="J192" s="58" t="n"/>
      <c r="K192" s="63">
        <f>IF(tblMovement[[#This Row],[Source]]="","",IFERROR(INDEX(tblSources[Type],MATCH(tblMovement[[#This Row],[Source]],tblSources[Source],0)),"?"))</f>
        <v/>
      </c>
      <c r="L192" s="63">
        <f>IF(tblMovement[[#This Row],[Destination]]="","",IFERROR(INDEX(tblDestinations[Type],MATCH(tblMovement[[#This Row],[Destination]],tblDestinations[Destination],0)),"?"))</f>
        <v/>
      </c>
      <c r="M192" s="64">
        <f>IF(tblMovement[[#This Row],[Material]]="","",IF(LEFT(tblMovement[[#This Row],[Material]],3)="Ore",1,0))</f>
        <v/>
      </c>
      <c r="N192" s="59">
        <f>IF(OR(tblMovement[[#This Row],[Tonnes_t]]="",tblMovement[[#This Row],[Grade_gpt]]=""),0,tblMovement[[#This Row],[Tonnes_t]]*tblMovement[[#This Row],[Grade_gpt]]/cfg_TroyOz)</f>
        <v/>
      </c>
      <c r="O192" s="59">
        <f>IF(tblMovement[[#This Row],[Is_Ore]]=1,tblMovement[[#This Row],[Contained_oz]],0)</f>
        <v/>
      </c>
    </row>
    <row r="193">
      <c r="A193" s="54" t="n"/>
      <c r="B193" s="61" t="n"/>
      <c r="C193" s="61" t="n"/>
      <c r="D193" s="61" t="n"/>
      <c r="E193" s="61" t="n"/>
      <c r="F193" s="55" t="n"/>
      <c r="G193" s="56" t="n"/>
      <c r="H193" s="55" t="n"/>
      <c r="I193" s="62" t="n"/>
      <c r="J193" s="58" t="n"/>
      <c r="K193" s="63">
        <f>IF(tblMovement[[#This Row],[Source]]="","",IFERROR(INDEX(tblSources[Type],MATCH(tblMovement[[#This Row],[Source]],tblSources[Source],0)),"?"))</f>
        <v/>
      </c>
      <c r="L193" s="63">
        <f>IF(tblMovement[[#This Row],[Destination]]="","",IFERROR(INDEX(tblDestinations[Type],MATCH(tblMovement[[#This Row],[Destination]],tblDestinations[Destination],0)),"?"))</f>
        <v/>
      </c>
      <c r="M193" s="64">
        <f>IF(tblMovement[[#This Row],[Material]]="","",IF(LEFT(tblMovement[[#This Row],[Material]],3)="Ore",1,0))</f>
        <v/>
      </c>
      <c r="N193" s="59">
        <f>IF(OR(tblMovement[[#This Row],[Tonnes_t]]="",tblMovement[[#This Row],[Grade_gpt]]=""),0,tblMovement[[#This Row],[Tonnes_t]]*tblMovement[[#This Row],[Grade_gpt]]/cfg_TroyOz)</f>
        <v/>
      </c>
      <c r="O193" s="59">
        <f>IF(tblMovement[[#This Row],[Is_Ore]]=1,tblMovement[[#This Row],[Contained_oz]],0)</f>
        <v/>
      </c>
    </row>
    <row r="194">
      <c r="A194" s="54" t="n"/>
      <c r="B194" s="61" t="n"/>
      <c r="C194" s="61" t="n"/>
      <c r="D194" s="61" t="n"/>
      <c r="E194" s="61" t="n"/>
      <c r="F194" s="55" t="n"/>
      <c r="G194" s="56" t="n"/>
      <c r="H194" s="55" t="n"/>
      <c r="I194" s="62" t="n"/>
      <c r="J194" s="58" t="n"/>
      <c r="K194" s="63">
        <f>IF(tblMovement[[#This Row],[Source]]="","",IFERROR(INDEX(tblSources[Type],MATCH(tblMovement[[#This Row],[Source]],tblSources[Source],0)),"?"))</f>
        <v/>
      </c>
      <c r="L194" s="63">
        <f>IF(tblMovement[[#This Row],[Destination]]="","",IFERROR(INDEX(tblDestinations[Type],MATCH(tblMovement[[#This Row],[Destination]],tblDestinations[Destination],0)),"?"))</f>
        <v/>
      </c>
      <c r="M194" s="64">
        <f>IF(tblMovement[[#This Row],[Material]]="","",IF(LEFT(tblMovement[[#This Row],[Material]],3)="Ore",1,0))</f>
        <v/>
      </c>
      <c r="N194" s="59">
        <f>IF(OR(tblMovement[[#This Row],[Tonnes_t]]="",tblMovement[[#This Row],[Grade_gpt]]=""),0,tblMovement[[#This Row],[Tonnes_t]]*tblMovement[[#This Row],[Grade_gpt]]/cfg_TroyOz)</f>
        <v/>
      </c>
      <c r="O194" s="59">
        <f>IF(tblMovement[[#This Row],[Is_Ore]]=1,tblMovement[[#This Row],[Contained_oz]],0)</f>
        <v/>
      </c>
    </row>
    <row r="195">
      <c r="A195" s="54" t="n"/>
      <c r="B195" s="61" t="n"/>
      <c r="C195" s="61" t="n"/>
      <c r="D195" s="61" t="n"/>
      <c r="E195" s="61" t="n"/>
      <c r="F195" s="55" t="n"/>
      <c r="G195" s="56" t="n"/>
      <c r="H195" s="55" t="n"/>
      <c r="I195" s="62" t="n"/>
      <c r="J195" s="58" t="n"/>
      <c r="K195" s="63">
        <f>IF(tblMovement[[#This Row],[Source]]="","",IFERROR(INDEX(tblSources[Type],MATCH(tblMovement[[#This Row],[Source]],tblSources[Source],0)),"?"))</f>
        <v/>
      </c>
      <c r="L195" s="63">
        <f>IF(tblMovement[[#This Row],[Destination]]="","",IFERROR(INDEX(tblDestinations[Type],MATCH(tblMovement[[#This Row],[Destination]],tblDestinations[Destination],0)),"?"))</f>
        <v/>
      </c>
      <c r="M195" s="64">
        <f>IF(tblMovement[[#This Row],[Material]]="","",IF(LEFT(tblMovement[[#This Row],[Material]],3)="Ore",1,0))</f>
        <v/>
      </c>
      <c r="N195" s="59">
        <f>IF(OR(tblMovement[[#This Row],[Tonnes_t]]="",tblMovement[[#This Row],[Grade_gpt]]=""),0,tblMovement[[#This Row],[Tonnes_t]]*tblMovement[[#This Row],[Grade_gpt]]/cfg_TroyOz)</f>
        <v/>
      </c>
      <c r="O195" s="59">
        <f>IF(tblMovement[[#This Row],[Is_Ore]]=1,tblMovement[[#This Row],[Contained_oz]],0)</f>
        <v/>
      </c>
    </row>
    <row r="196">
      <c r="A196" s="54" t="n"/>
      <c r="B196" s="61" t="n"/>
      <c r="C196" s="61" t="n"/>
      <c r="D196" s="61" t="n"/>
      <c r="E196" s="61" t="n"/>
      <c r="F196" s="55" t="n"/>
      <c r="G196" s="56" t="n"/>
      <c r="H196" s="55" t="n"/>
      <c r="I196" s="62" t="n"/>
      <c r="J196" s="58" t="n"/>
      <c r="K196" s="63">
        <f>IF(tblMovement[[#This Row],[Source]]="","",IFERROR(INDEX(tblSources[Type],MATCH(tblMovement[[#This Row],[Source]],tblSources[Source],0)),"?"))</f>
        <v/>
      </c>
      <c r="L196" s="63">
        <f>IF(tblMovement[[#This Row],[Destination]]="","",IFERROR(INDEX(tblDestinations[Type],MATCH(tblMovement[[#This Row],[Destination]],tblDestinations[Destination],0)),"?"))</f>
        <v/>
      </c>
      <c r="M196" s="64">
        <f>IF(tblMovement[[#This Row],[Material]]="","",IF(LEFT(tblMovement[[#This Row],[Material]],3)="Ore",1,0))</f>
        <v/>
      </c>
      <c r="N196" s="59">
        <f>IF(OR(tblMovement[[#This Row],[Tonnes_t]]="",tblMovement[[#This Row],[Grade_gpt]]=""),0,tblMovement[[#This Row],[Tonnes_t]]*tblMovement[[#This Row],[Grade_gpt]]/cfg_TroyOz)</f>
        <v/>
      </c>
      <c r="O196" s="59">
        <f>IF(tblMovement[[#This Row],[Is_Ore]]=1,tblMovement[[#This Row],[Contained_oz]],0)</f>
        <v/>
      </c>
    </row>
    <row r="197">
      <c r="A197" s="54" t="n"/>
      <c r="B197" s="61" t="n"/>
      <c r="C197" s="61" t="n"/>
      <c r="D197" s="61" t="n"/>
      <c r="E197" s="61" t="n"/>
      <c r="F197" s="55" t="n"/>
      <c r="G197" s="56" t="n"/>
      <c r="H197" s="55" t="n"/>
      <c r="I197" s="62" t="n"/>
      <c r="J197" s="58" t="n"/>
      <c r="K197" s="63">
        <f>IF(tblMovement[[#This Row],[Source]]="","",IFERROR(INDEX(tblSources[Type],MATCH(tblMovement[[#This Row],[Source]],tblSources[Source],0)),"?"))</f>
        <v/>
      </c>
      <c r="L197" s="63">
        <f>IF(tblMovement[[#This Row],[Destination]]="","",IFERROR(INDEX(tblDestinations[Type],MATCH(tblMovement[[#This Row],[Destination]],tblDestinations[Destination],0)),"?"))</f>
        <v/>
      </c>
      <c r="M197" s="64">
        <f>IF(tblMovement[[#This Row],[Material]]="","",IF(LEFT(tblMovement[[#This Row],[Material]],3)="Ore",1,0))</f>
        <v/>
      </c>
      <c r="N197" s="59">
        <f>IF(OR(tblMovement[[#This Row],[Tonnes_t]]="",tblMovement[[#This Row],[Grade_gpt]]=""),0,tblMovement[[#This Row],[Tonnes_t]]*tblMovement[[#This Row],[Grade_gpt]]/cfg_TroyOz)</f>
        <v/>
      </c>
      <c r="O197" s="59">
        <f>IF(tblMovement[[#This Row],[Is_Ore]]=1,tblMovement[[#This Row],[Contained_oz]],0)</f>
        <v/>
      </c>
    </row>
    <row r="198">
      <c r="A198" s="54" t="n"/>
      <c r="B198" s="61" t="n"/>
      <c r="C198" s="61" t="n"/>
      <c r="D198" s="61" t="n"/>
      <c r="E198" s="61" t="n"/>
      <c r="F198" s="55" t="n"/>
      <c r="G198" s="56" t="n"/>
      <c r="H198" s="55" t="n"/>
      <c r="I198" s="62" t="n"/>
      <c r="J198" s="58" t="n"/>
      <c r="K198" s="63">
        <f>IF(tblMovement[[#This Row],[Source]]="","",IFERROR(INDEX(tblSources[Type],MATCH(tblMovement[[#This Row],[Source]],tblSources[Source],0)),"?"))</f>
        <v/>
      </c>
      <c r="L198" s="63">
        <f>IF(tblMovement[[#This Row],[Destination]]="","",IFERROR(INDEX(tblDestinations[Type],MATCH(tblMovement[[#This Row],[Destination]],tblDestinations[Destination],0)),"?"))</f>
        <v/>
      </c>
      <c r="M198" s="64">
        <f>IF(tblMovement[[#This Row],[Material]]="","",IF(LEFT(tblMovement[[#This Row],[Material]],3)="Ore",1,0))</f>
        <v/>
      </c>
      <c r="N198" s="59">
        <f>IF(OR(tblMovement[[#This Row],[Tonnes_t]]="",tblMovement[[#This Row],[Grade_gpt]]=""),0,tblMovement[[#This Row],[Tonnes_t]]*tblMovement[[#This Row],[Grade_gpt]]/cfg_TroyOz)</f>
        <v/>
      </c>
      <c r="O198" s="59">
        <f>IF(tblMovement[[#This Row],[Is_Ore]]=1,tblMovement[[#This Row],[Contained_oz]],0)</f>
        <v/>
      </c>
    </row>
    <row r="199">
      <c r="A199" s="54" t="n"/>
      <c r="B199" s="61" t="n"/>
      <c r="C199" s="61" t="n"/>
      <c r="D199" s="61" t="n"/>
      <c r="E199" s="61" t="n"/>
      <c r="F199" s="55" t="n"/>
      <c r="G199" s="56" t="n"/>
      <c r="H199" s="55" t="n"/>
      <c r="I199" s="62" t="n"/>
      <c r="J199" s="58" t="n"/>
      <c r="K199" s="63">
        <f>IF(tblMovement[[#This Row],[Source]]="","",IFERROR(INDEX(tblSources[Type],MATCH(tblMovement[[#This Row],[Source]],tblSources[Source],0)),"?"))</f>
        <v/>
      </c>
      <c r="L199" s="63">
        <f>IF(tblMovement[[#This Row],[Destination]]="","",IFERROR(INDEX(tblDestinations[Type],MATCH(tblMovement[[#This Row],[Destination]],tblDestinations[Destination],0)),"?"))</f>
        <v/>
      </c>
      <c r="M199" s="64">
        <f>IF(tblMovement[[#This Row],[Material]]="","",IF(LEFT(tblMovement[[#This Row],[Material]],3)="Ore",1,0))</f>
        <v/>
      </c>
      <c r="N199" s="59">
        <f>IF(OR(tblMovement[[#This Row],[Tonnes_t]]="",tblMovement[[#This Row],[Grade_gpt]]=""),0,tblMovement[[#This Row],[Tonnes_t]]*tblMovement[[#This Row],[Grade_gpt]]/cfg_TroyOz)</f>
        <v/>
      </c>
      <c r="O199" s="59">
        <f>IF(tblMovement[[#This Row],[Is_Ore]]=1,tblMovement[[#This Row],[Contained_oz]],0)</f>
        <v/>
      </c>
    </row>
    <row r="200">
      <c r="A200" s="54" t="n"/>
      <c r="B200" s="61" t="n"/>
      <c r="C200" s="61" t="n"/>
      <c r="D200" s="61" t="n"/>
      <c r="E200" s="61" t="n"/>
      <c r="F200" s="55" t="n"/>
      <c r="G200" s="56" t="n"/>
      <c r="H200" s="55" t="n"/>
      <c r="I200" s="62" t="n"/>
      <c r="J200" s="58" t="n"/>
      <c r="K200" s="63">
        <f>IF(tblMovement[[#This Row],[Source]]="","",IFERROR(INDEX(tblSources[Type],MATCH(tblMovement[[#This Row],[Source]],tblSources[Source],0)),"?"))</f>
        <v/>
      </c>
      <c r="L200" s="63">
        <f>IF(tblMovement[[#This Row],[Destination]]="","",IFERROR(INDEX(tblDestinations[Type],MATCH(tblMovement[[#This Row],[Destination]],tblDestinations[Destination],0)),"?"))</f>
        <v/>
      </c>
      <c r="M200" s="64">
        <f>IF(tblMovement[[#This Row],[Material]]="","",IF(LEFT(tblMovement[[#This Row],[Material]],3)="Ore",1,0))</f>
        <v/>
      </c>
      <c r="N200" s="59">
        <f>IF(OR(tblMovement[[#This Row],[Tonnes_t]]="",tblMovement[[#This Row],[Grade_gpt]]=""),0,tblMovement[[#This Row],[Tonnes_t]]*tblMovement[[#This Row],[Grade_gpt]]/cfg_TroyOz)</f>
        <v/>
      </c>
      <c r="O200" s="59">
        <f>IF(tblMovement[[#This Row],[Is_Ore]]=1,tblMovement[[#This Row],[Contained_oz]],0)</f>
        <v/>
      </c>
    </row>
    <row r="201">
      <c r="A201" s="54" t="n"/>
      <c r="B201" s="61" t="n"/>
      <c r="C201" s="61" t="n"/>
      <c r="D201" s="61" t="n"/>
      <c r="E201" s="61" t="n"/>
      <c r="F201" s="55" t="n"/>
      <c r="G201" s="56" t="n"/>
      <c r="H201" s="55" t="n"/>
      <c r="I201" s="62" t="n"/>
      <c r="J201" s="58" t="n"/>
      <c r="K201" s="63">
        <f>IF(tblMovement[[#This Row],[Source]]="","",IFERROR(INDEX(tblSources[Type],MATCH(tblMovement[[#This Row],[Source]],tblSources[Source],0)),"?"))</f>
        <v/>
      </c>
      <c r="L201" s="63">
        <f>IF(tblMovement[[#This Row],[Destination]]="","",IFERROR(INDEX(tblDestinations[Type],MATCH(tblMovement[[#This Row],[Destination]],tblDestinations[Destination],0)),"?"))</f>
        <v/>
      </c>
      <c r="M201" s="64">
        <f>IF(tblMovement[[#This Row],[Material]]="","",IF(LEFT(tblMovement[[#This Row],[Material]],3)="Ore",1,0))</f>
        <v/>
      </c>
      <c r="N201" s="59">
        <f>IF(OR(tblMovement[[#This Row],[Tonnes_t]]="",tblMovement[[#This Row],[Grade_gpt]]=""),0,tblMovement[[#This Row],[Tonnes_t]]*tblMovement[[#This Row],[Grade_gpt]]/cfg_TroyOz)</f>
        <v/>
      </c>
      <c r="O201" s="59">
        <f>IF(tblMovement[[#This Row],[Is_Ore]]=1,tblMovement[[#This Row],[Contained_oz]],0)</f>
        <v/>
      </c>
    </row>
    <row r="202">
      <c r="A202" s="54" t="n"/>
      <c r="B202" s="61" t="n"/>
      <c r="C202" s="61" t="n"/>
      <c r="D202" s="61" t="n"/>
      <c r="E202" s="61" t="n"/>
      <c r="F202" s="55" t="n"/>
      <c r="G202" s="56" t="n"/>
      <c r="H202" s="55" t="n"/>
      <c r="I202" s="62" t="n"/>
      <c r="J202" s="58" t="n"/>
      <c r="K202" s="63">
        <f>IF(tblMovement[[#This Row],[Source]]="","",IFERROR(INDEX(tblSources[Type],MATCH(tblMovement[[#This Row],[Source]],tblSources[Source],0)),"?"))</f>
        <v/>
      </c>
      <c r="L202" s="63">
        <f>IF(tblMovement[[#This Row],[Destination]]="","",IFERROR(INDEX(tblDestinations[Type],MATCH(tblMovement[[#This Row],[Destination]],tblDestinations[Destination],0)),"?"))</f>
        <v/>
      </c>
      <c r="M202" s="64">
        <f>IF(tblMovement[[#This Row],[Material]]="","",IF(LEFT(tblMovement[[#This Row],[Material]],3)="Ore",1,0))</f>
        <v/>
      </c>
      <c r="N202" s="59">
        <f>IF(OR(tblMovement[[#This Row],[Tonnes_t]]="",tblMovement[[#This Row],[Grade_gpt]]=""),0,tblMovement[[#This Row],[Tonnes_t]]*tblMovement[[#This Row],[Grade_gpt]]/cfg_TroyOz)</f>
        <v/>
      </c>
      <c r="O202" s="59">
        <f>IF(tblMovement[[#This Row],[Is_Ore]]=1,tblMovement[[#This Row],[Contained_oz]],0)</f>
        <v/>
      </c>
    </row>
    <row r="203">
      <c r="A203" s="54" t="n"/>
      <c r="B203" s="61" t="n"/>
      <c r="C203" s="61" t="n"/>
      <c r="D203" s="61" t="n"/>
      <c r="E203" s="61" t="n"/>
      <c r="F203" s="55" t="n"/>
      <c r="G203" s="56" t="n"/>
      <c r="H203" s="55" t="n"/>
      <c r="I203" s="62" t="n"/>
      <c r="J203" s="58" t="n"/>
      <c r="K203" s="63">
        <f>IF(tblMovement[[#This Row],[Source]]="","",IFERROR(INDEX(tblSources[Type],MATCH(tblMovement[[#This Row],[Source]],tblSources[Source],0)),"?"))</f>
        <v/>
      </c>
      <c r="L203" s="63">
        <f>IF(tblMovement[[#This Row],[Destination]]="","",IFERROR(INDEX(tblDestinations[Type],MATCH(tblMovement[[#This Row],[Destination]],tblDestinations[Destination],0)),"?"))</f>
        <v/>
      </c>
      <c r="M203" s="64">
        <f>IF(tblMovement[[#This Row],[Material]]="","",IF(LEFT(tblMovement[[#This Row],[Material]],3)="Ore",1,0))</f>
        <v/>
      </c>
      <c r="N203" s="59">
        <f>IF(OR(tblMovement[[#This Row],[Tonnes_t]]="",tblMovement[[#This Row],[Grade_gpt]]=""),0,tblMovement[[#This Row],[Tonnes_t]]*tblMovement[[#This Row],[Grade_gpt]]/cfg_TroyOz)</f>
        <v/>
      </c>
      <c r="O203" s="59">
        <f>IF(tblMovement[[#This Row],[Is_Ore]]=1,tblMovement[[#This Row],[Contained_oz]],0)</f>
        <v/>
      </c>
    </row>
    <row r="204">
      <c r="A204" s="54" t="n"/>
      <c r="B204" s="61" t="n"/>
      <c r="C204" s="61" t="n"/>
      <c r="D204" s="61" t="n"/>
      <c r="E204" s="61" t="n"/>
      <c r="F204" s="55" t="n"/>
      <c r="G204" s="56" t="n"/>
      <c r="H204" s="55" t="n"/>
      <c r="I204" s="62" t="n"/>
      <c r="J204" s="58" t="n"/>
      <c r="K204" s="63">
        <f>IF(tblMovement[[#This Row],[Source]]="","",IFERROR(INDEX(tblSources[Type],MATCH(tblMovement[[#This Row],[Source]],tblSources[Source],0)),"?"))</f>
        <v/>
      </c>
      <c r="L204" s="63">
        <f>IF(tblMovement[[#This Row],[Destination]]="","",IFERROR(INDEX(tblDestinations[Type],MATCH(tblMovement[[#This Row],[Destination]],tblDestinations[Destination],0)),"?"))</f>
        <v/>
      </c>
      <c r="M204" s="64">
        <f>IF(tblMovement[[#This Row],[Material]]="","",IF(LEFT(tblMovement[[#This Row],[Material]],3)="Ore",1,0))</f>
        <v/>
      </c>
      <c r="N204" s="59">
        <f>IF(OR(tblMovement[[#This Row],[Tonnes_t]]="",tblMovement[[#This Row],[Grade_gpt]]=""),0,tblMovement[[#This Row],[Tonnes_t]]*tblMovement[[#This Row],[Grade_gpt]]/cfg_TroyOz)</f>
        <v/>
      </c>
      <c r="O204" s="59">
        <f>IF(tblMovement[[#This Row],[Is_Ore]]=1,tblMovement[[#This Row],[Contained_oz]],0)</f>
        <v/>
      </c>
    </row>
    <row r="205">
      <c r="A205" s="54" t="n"/>
      <c r="B205" s="61" t="n"/>
      <c r="C205" s="61" t="n"/>
      <c r="D205" s="61" t="n"/>
      <c r="E205" s="61" t="n"/>
      <c r="F205" s="55" t="n"/>
      <c r="G205" s="56" t="n"/>
      <c r="H205" s="55" t="n"/>
      <c r="I205" s="62" t="n"/>
      <c r="J205" s="58" t="n"/>
      <c r="K205" s="63">
        <f>IF(tblMovement[[#This Row],[Source]]="","",IFERROR(INDEX(tblSources[Type],MATCH(tblMovement[[#This Row],[Source]],tblSources[Source],0)),"?"))</f>
        <v/>
      </c>
      <c r="L205" s="63">
        <f>IF(tblMovement[[#This Row],[Destination]]="","",IFERROR(INDEX(tblDestinations[Type],MATCH(tblMovement[[#This Row],[Destination]],tblDestinations[Destination],0)),"?"))</f>
        <v/>
      </c>
      <c r="M205" s="64">
        <f>IF(tblMovement[[#This Row],[Material]]="","",IF(LEFT(tblMovement[[#This Row],[Material]],3)="Ore",1,0))</f>
        <v/>
      </c>
      <c r="N205" s="59">
        <f>IF(OR(tblMovement[[#This Row],[Tonnes_t]]="",tblMovement[[#This Row],[Grade_gpt]]=""),0,tblMovement[[#This Row],[Tonnes_t]]*tblMovement[[#This Row],[Grade_gpt]]/cfg_TroyOz)</f>
        <v/>
      </c>
      <c r="O205" s="59">
        <f>IF(tblMovement[[#This Row],[Is_Ore]]=1,tblMovement[[#This Row],[Contained_oz]],0)</f>
        <v/>
      </c>
    </row>
    <row r="206">
      <c r="A206" s="54" t="n"/>
      <c r="B206" s="61" t="n"/>
      <c r="C206" s="61" t="n"/>
      <c r="D206" s="61" t="n"/>
      <c r="E206" s="61" t="n"/>
      <c r="F206" s="55" t="n"/>
      <c r="G206" s="56" t="n"/>
      <c r="H206" s="55" t="n"/>
      <c r="I206" s="62" t="n"/>
      <c r="J206" s="58" t="n"/>
      <c r="K206" s="63">
        <f>IF(tblMovement[[#This Row],[Source]]="","",IFERROR(INDEX(tblSources[Type],MATCH(tblMovement[[#This Row],[Source]],tblSources[Source],0)),"?"))</f>
        <v/>
      </c>
      <c r="L206" s="63">
        <f>IF(tblMovement[[#This Row],[Destination]]="","",IFERROR(INDEX(tblDestinations[Type],MATCH(tblMovement[[#This Row],[Destination]],tblDestinations[Destination],0)),"?"))</f>
        <v/>
      </c>
      <c r="M206" s="64">
        <f>IF(tblMovement[[#This Row],[Material]]="","",IF(LEFT(tblMovement[[#This Row],[Material]],3)="Ore",1,0))</f>
        <v/>
      </c>
      <c r="N206" s="59">
        <f>IF(OR(tblMovement[[#This Row],[Tonnes_t]]="",tblMovement[[#This Row],[Grade_gpt]]=""),0,tblMovement[[#This Row],[Tonnes_t]]*tblMovement[[#This Row],[Grade_gpt]]/cfg_TroyOz)</f>
        <v/>
      </c>
      <c r="O206" s="59">
        <f>IF(tblMovement[[#This Row],[Is_Ore]]=1,tblMovement[[#This Row],[Contained_oz]],0)</f>
        <v/>
      </c>
    </row>
    <row r="207">
      <c r="A207" s="54" t="n"/>
      <c r="B207" s="61" t="n"/>
      <c r="C207" s="61" t="n"/>
      <c r="D207" s="61" t="n"/>
      <c r="E207" s="61" t="n"/>
      <c r="F207" s="55" t="n"/>
      <c r="G207" s="56" t="n"/>
      <c r="H207" s="55" t="n"/>
      <c r="I207" s="62" t="n"/>
      <c r="J207" s="58" t="n"/>
      <c r="K207" s="63">
        <f>IF(tblMovement[[#This Row],[Source]]="","",IFERROR(INDEX(tblSources[Type],MATCH(tblMovement[[#This Row],[Source]],tblSources[Source],0)),"?"))</f>
        <v/>
      </c>
      <c r="L207" s="63">
        <f>IF(tblMovement[[#This Row],[Destination]]="","",IFERROR(INDEX(tblDestinations[Type],MATCH(tblMovement[[#This Row],[Destination]],tblDestinations[Destination],0)),"?"))</f>
        <v/>
      </c>
      <c r="M207" s="64">
        <f>IF(tblMovement[[#This Row],[Material]]="","",IF(LEFT(tblMovement[[#This Row],[Material]],3)="Ore",1,0))</f>
        <v/>
      </c>
      <c r="N207" s="59">
        <f>IF(OR(tblMovement[[#This Row],[Tonnes_t]]="",tblMovement[[#This Row],[Grade_gpt]]=""),0,tblMovement[[#This Row],[Tonnes_t]]*tblMovement[[#This Row],[Grade_gpt]]/cfg_TroyOz)</f>
        <v/>
      </c>
      <c r="O207" s="59">
        <f>IF(tblMovement[[#This Row],[Is_Ore]]=1,tblMovement[[#This Row],[Contained_oz]],0)</f>
        <v/>
      </c>
    </row>
    <row r="208">
      <c r="A208" s="54" t="n"/>
      <c r="B208" s="61" t="n"/>
      <c r="C208" s="61" t="n"/>
      <c r="D208" s="61" t="n"/>
      <c r="E208" s="61" t="n"/>
      <c r="F208" s="55" t="n"/>
      <c r="G208" s="56" t="n"/>
      <c r="H208" s="55" t="n"/>
      <c r="I208" s="62" t="n"/>
      <c r="J208" s="58" t="n"/>
      <c r="K208" s="63">
        <f>IF(tblMovement[[#This Row],[Source]]="","",IFERROR(INDEX(tblSources[Type],MATCH(tblMovement[[#This Row],[Source]],tblSources[Source],0)),"?"))</f>
        <v/>
      </c>
      <c r="L208" s="63">
        <f>IF(tblMovement[[#This Row],[Destination]]="","",IFERROR(INDEX(tblDestinations[Type],MATCH(tblMovement[[#This Row],[Destination]],tblDestinations[Destination],0)),"?"))</f>
        <v/>
      </c>
      <c r="M208" s="64">
        <f>IF(tblMovement[[#This Row],[Material]]="","",IF(LEFT(tblMovement[[#This Row],[Material]],3)="Ore",1,0))</f>
        <v/>
      </c>
      <c r="N208" s="59">
        <f>IF(OR(tblMovement[[#This Row],[Tonnes_t]]="",tblMovement[[#This Row],[Grade_gpt]]=""),0,tblMovement[[#This Row],[Tonnes_t]]*tblMovement[[#This Row],[Grade_gpt]]/cfg_TroyOz)</f>
        <v/>
      </c>
      <c r="O208" s="59">
        <f>IF(tblMovement[[#This Row],[Is_Ore]]=1,tblMovement[[#This Row],[Contained_oz]],0)</f>
        <v/>
      </c>
    </row>
    <row r="209">
      <c r="A209" s="54" t="n"/>
      <c r="B209" s="61" t="n"/>
      <c r="C209" s="61" t="n"/>
      <c r="D209" s="61" t="n"/>
      <c r="E209" s="61" t="n"/>
      <c r="F209" s="55" t="n"/>
      <c r="G209" s="56" t="n"/>
      <c r="H209" s="55" t="n"/>
      <c r="I209" s="62" t="n"/>
      <c r="J209" s="58" t="n"/>
      <c r="K209" s="63">
        <f>IF(tblMovement[[#This Row],[Source]]="","",IFERROR(INDEX(tblSources[Type],MATCH(tblMovement[[#This Row],[Source]],tblSources[Source],0)),"?"))</f>
        <v/>
      </c>
      <c r="L209" s="63">
        <f>IF(tblMovement[[#This Row],[Destination]]="","",IFERROR(INDEX(tblDestinations[Type],MATCH(tblMovement[[#This Row],[Destination]],tblDestinations[Destination],0)),"?"))</f>
        <v/>
      </c>
      <c r="M209" s="64">
        <f>IF(tblMovement[[#This Row],[Material]]="","",IF(LEFT(tblMovement[[#This Row],[Material]],3)="Ore",1,0))</f>
        <v/>
      </c>
      <c r="N209" s="59">
        <f>IF(OR(tblMovement[[#This Row],[Tonnes_t]]="",tblMovement[[#This Row],[Grade_gpt]]=""),0,tblMovement[[#This Row],[Tonnes_t]]*tblMovement[[#This Row],[Grade_gpt]]/cfg_TroyOz)</f>
        <v/>
      </c>
      <c r="O209" s="59">
        <f>IF(tblMovement[[#This Row],[Is_Ore]]=1,tblMovement[[#This Row],[Contained_oz]],0)</f>
        <v/>
      </c>
    </row>
    <row r="210">
      <c r="A210" s="54" t="n"/>
      <c r="B210" s="61" t="n"/>
      <c r="C210" s="61" t="n"/>
      <c r="D210" s="61" t="n"/>
      <c r="E210" s="61" t="n"/>
      <c r="F210" s="55" t="n"/>
      <c r="G210" s="56" t="n"/>
      <c r="H210" s="55" t="n"/>
      <c r="I210" s="62" t="n"/>
      <c r="J210" s="58" t="n"/>
      <c r="K210" s="63">
        <f>IF(tblMovement[[#This Row],[Source]]="","",IFERROR(INDEX(tblSources[Type],MATCH(tblMovement[[#This Row],[Source]],tblSources[Source],0)),"?"))</f>
        <v/>
      </c>
      <c r="L210" s="63">
        <f>IF(tblMovement[[#This Row],[Destination]]="","",IFERROR(INDEX(tblDestinations[Type],MATCH(tblMovement[[#This Row],[Destination]],tblDestinations[Destination],0)),"?"))</f>
        <v/>
      </c>
      <c r="M210" s="64">
        <f>IF(tblMovement[[#This Row],[Material]]="","",IF(LEFT(tblMovement[[#This Row],[Material]],3)="Ore",1,0))</f>
        <v/>
      </c>
      <c r="N210" s="59">
        <f>IF(OR(tblMovement[[#This Row],[Tonnes_t]]="",tblMovement[[#This Row],[Grade_gpt]]=""),0,tblMovement[[#This Row],[Tonnes_t]]*tblMovement[[#This Row],[Grade_gpt]]/cfg_TroyOz)</f>
        <v/>
      </c>
      <c r="O210" s="59">
        <f>IF(tblMovement[[#This Row],[Is_Ore]]=1,tblMovement[[#This Row],[Contained_oz]],0)</f>
        <v/>
      </c>
    </row>
    <row r="211">
      <c r="A211" s="54" t="n"/>
      <c r="B211" s="61" t="n"/>
      <c r="C211" s="61" t="n"/>
      <c r="D211" s="61" t="n"/>
      <c r="E211" s="61" t="n"/>
      <c r="F211" s="55" t="n"/>
      <c r="G211" s="56" t="n"/>
      <c r="H211" s="55" t="n"/>
      <c r="I211" s="62" t="n"/>
      <c r="J211" s="58" t="n"/>
      <c r="K211" s="63">
        <f>IF(tblMovement[[#This Row],[Source]]="","",IFERROR(INDEX(tblSources[Type],MATCH(tblMovement[[#This Row],[Source]],tblSources[Source],0)),"?"))</f>
        <v/>
      </c>
      <c r="L211" s="63">
        <f>IF(tblMovement[[#This Row],[Destination]]="","",IFERROR(INDEX(tblDestinations[Type],MATCH(tblMovement[[#This Row],[Destination]],tblDestinations[Destination],0)),"?"))</f>
        <v/>
      </c>
      <c r="M211" s="64">
        <f>IF(tblMovement[[#This Row],[Material]]="","",IF(LEFT(tblMovement[[#This Row],[Material]],3)="Ore",1,0))</f>
        <v/>
      </c>
      <c r="N211" s="59">
        <f>IF(OR(tblMovement[[#This Row],[Tonnes_t]]="",tblMovement[[#This Row],[Grade_gpt]]=""),0,tblMovement[[#This Row],[Tonnes_t]]*tblMovement[[#This Row],[Grade_gpt]]/cfg_TroyOz)</f>
        <v/>
      </c>
      <c r="O211" s="59">
        <f>IF(tblMovement[[#This Row],[Is_Ore]]=1,tblMovement[[#This Row],[Contained_oz]],0)</f>
        <v/>
      </c>
    </row>
    <row r="212">
      <c r="A212" s="54" t="n"/>
      <c r="B212" s="61" t="n"/>
      <c r="C212" s="61" t="n"/>
      <c r="D212" s="61" t="n"/>
      <c r="E212" s="61" t="n"/>
      <c r="F212" s="55" t="n"/>
      <c r="G212" s="56" t="n"/>
      <c r="H212" s="55" t="n"/>
      <c r="I212" s="62" t="n"/>
      <c r="J212" s="58" t="n"/>
      <c r="K212" s="63">
        <f>IF(tblMovement[[#This Row],[Source]]="","",IFERROR(INDEX(tblSources[Type],MATCH(tblMovement[[#This Row],[Source]],tblSources[Source],0)),"?"))</f>
        <v/>
      </c>
      <c r="L212" s="63">
        <f>IF(tblMovement[[#This Row],[Destination]]="","",IFERROR(INDEX(tblDestinations[Type],MATCH(tblMovement[[#This Row],[Destination]],tblDestinations[Destination],0)),"?"))</f>
        <v/>
      </c>
      <c r="M212" s="64">
        <f>IF(tblMovement[[#This Row],[Material]]="","",IF(LEFT(tblMovement[[#This Row],[Material]],3)="Ore",1,0))</f>
        <v/>
      </c>
      <c r="N212" s="59">
        <f>IF(OR(tblMovement[[#This Row],[Tonnes_t]]="",tblMovement[[#This Row],[Grade_gpt]]=""),0,tblMovement[[#This Row],[Tonnes_t]]*tblMovement[[#This Row],[Grade_gpt]]/cfg_TroyOz)</f>
        <v/>
      </c>
      <c r="O212" s="59">
        <f>IF(tblMovement[[#This Row],[Is_Ore]]=1,tblMovement[[#This Row],[Contained_oz]],0)</f>
        <v/>
      </c>
    </row>
    <row r="213">
      <c r="A213" s="54" t="n"/>
      <c r="B213" s="61" t="n"/>
      <c r="C213" s="61" t="n"/>
      <c r="D213" s="61" t="n"/>
      <c r="E213" s="61" t="n"/>
      <c r="F213" s="55" t="n"/>
      <c r="G213" s="56" t="n"/>
      <c r="H213" s="55" t="n"/>
      <c r="I213" s="62" t="n"/>
      <c r="J213" s="58" t="n"/>
      <c r="K213" s="63">
        <f>IF(tblMovement[[#This Row],[Source]]="","",IFERROR(INDEX(tblSources[Type],MATCH(tblMovement[[#This Row],[Source]],tblSources[Source],0)),"?"))</f>
        <v/>
      </c>
      <c r="L213" s="63">
        <f>IF(tblMovement[[#This Row],[Destination]]="","",IFERROR(INDEX(tblDestinations[Type],MATCH(tblMovement[[#This Row],[Destination]],tblDestinations[Destination],0)),"?"))</f>
        <v/>
      </c>
      <c r="M213" s="64">
        <f>IF(tblMovement[[#This Row],[Material]]="","",IF(LEFT(tblMovement[[#This Row],[Material]],3)="Ore",1,0))</f>
        <v/>
      </c>
      <c r="N213" s="59">
        <f>IF(OR(tblMovement[[#This Row],[Tonnes_t]]="",tblMovement[[#This Row],[Grade_gpt]]=""),0,tblMovement[[#This Row],[Tonnes_t]]*tblMovement[[#This Row],[Grade_gpt]]/cfg_TroyOz)</f>
        <v/>
      </c>
      <c r="O213" s="59">
        <f>IF(tblMovement[[#This Row],[Is_Ore]]=1,tblMovement[[#This Row],[Contained_oz]],0)</f>
        <v/>
      </c>
    </row>
    <row r="214">
      <c r="A214" s="54" t="n"/>
      <c r="B214" s="61" t="n"/>
      <c r="C214" s="61" t="n"/>
      <c r="D214" s="61" t="n"/>
      <c r="E214" s="61" t="n"/>
      <c r="F214" s="55" t="n"/>
      <c r="G214" s="56" t="n"/>
      <c r="H214" s="55" t="n"/>
      <c r="I214" s="62" t="n"/>
      <c r="J214" s="58" t="n"/>
      <c r="K214" s="63">
        <f>IF(tblMovement[[#This Row],[Source]]="","",IFERROR(INDEX(tblSources[Type],MATCH(tblMovement[[#This Row],[Source]],tblSources[Source],0)),"?"))</f>
        <v/>
      </c>
      <c r="L214" s="63">
        <f>IF(tblMovement[[#This Row],[Destination]]="","",IFERROR(INDEX(tblDestinations[Type],MATCH(tblMovement[[#This Row],[Destination]],tblDestinations[Destination],0)),"?"))</f>
        <v/>
      </c>
      <c r="M214" s="64">
        <f>IF(tblMovement[[#This Row],[Material]]="","",IF(LEFT(tblMovement[[#This Row],[Material]],3)="Ore",1,0))</f>
        <v/>
      </c>
      <c r="N214" s="59">
        <f>IF(OR(tblMovement[[#This Row],[Tonnes_t]]="",tblMovement[[#This Row],[Grade_gpt]]=""),0,tblMovement[[#This Row],[Tonnes_t]]*tblMovement[[#This Row],[Grade_gpt]]/cfg_TroyOz)</f>
        <v/>
      </c>
      <c r="O214" s="59">
        <f>IF(tblMovement[[#This Row],[Is_Ore]]=1,tblMovement[[#This Row],[Contained_oz]],0)</f>
        <v/>
      </c>
    </row>
    <row r="215">
      <c r="A215" s="54" t="n"/>
      <c r="B215" s="61" t="n"/>
      <c r="C215" s="61" t="n"/>
      <c r="D215" s="61" t="n"/>
      <c r="E215" s="61" t="n"/>
      <c r="F215" s="55" t="n"/>
      <c r="G215" s="56" t="n"/>
      <c r="H215" s="55" t="n"/>
      <c r="I215" s="62" t="n"/>
      <c r="J215" s="58" t="n"/>
      <c r="K215" s="63">
        <f>IF(tblMovement[[#This Row],[Source]]="","",IFERROR(INDEX(tblSources[Type],MATCH(tblMovement[[#This Row],[Source]],tblSources[Source],0)),"?"))</f>
        <v/>
      </c>
      <c r="L215" s="63">
        <f>IF(tblMovement[[#This Row],[Destination]]="","",IFERROR(INDEX(tblDestinations[Type],MATCH(tblMovement[[#This Row],[Destination]],tblDestinations[Destination],0)),"?"))</f>
        <v/>
      </c>
      <c r="M215" s="64">
        <f>IF(tblMovement[[#This Row],[Material]]="","",IF(LEFT(tblMovement[[#This Row],[Material]],3)="Ore",1,0))</f>
        <v/>
      </c>
      <c r="N215" s="59">
        <f>IF(OR(tblMovement[[#This Row],[Tonnes_t]]="",tblMovement[[#This Row],[Grade_gpt]]=""),0,tblMovement[[#This Row],[Tonnes_t]]*tblMovement[[#This Row],[Grade_gpt]]/cfg_TroyOz)</f>
        <v/>
      </c>
      <c r="O215" s="59">
        <f>IF(tblMovement[[#This Row],[Is_Ore]]=1,tblMovement[[#This Row],[Contained_oz]],0)</f>
        <v/>
      </c>
    </row>
    <row r="216">
      <c r="A216" s="54" t="n"/>
      <c r="B216" s="61" t="n"/>
      <c r="C216" s="61" t="n"/>
      <c r="D216" s="61" t="n"/>
      <c r="E216" s="61" t="n"/>
      <c r="F216" s="55" t="n"/>
      <c r="G216" s="56" t="n"/>
      <c r="H216" s="55" t="n"/>
      <c r="I216" s="62" t="n"/>
      <c r="J216" s="58" t="n"/>
      <c r="K216" s="63">
        <f>IF(tblMovement[[#This Row],[Source]]="","",IFERROR(INDEX(tblSources[Type],MATCH(tblMovement[[#This Row],[Source]],tblSources[Source],0)),"?"))</f>
        <v/>
      </c>
      <c r="L216" s="63">
        <f>IF(tblMovement[[#This Row],[Destination]]="","",IFERROR(INDEX(tblDestinations[Type],MATCH(tblMovement[[#This Row],[Destination]],tblDestinations[Destination],0)),"?"))</f>
        <v/>
      </c>
      <c r="M216" s="64">
        <f>IF(tblMovement[[#This Row],[Material]]="","",IF(LEFT(tblMovement[[#This Row],[Material]],3)="Ore",1,0))</f>
        <v/>
      </c>
      <c r="N216" s="59">
        <f>IF(OR(tblMovement[[#This Row],[Tonnes_t]]="",tblMovement[[#This Row],[Grade_gpt]]=""),0,tblMovement[[#This Row],[Tonnes_t]]*tblMovement[[#This Row],[Grade_gpt]]/cfg_TroyOz)</f>
        <v/>
      </c>
      <c r="O216" s="59">
        <f>IF(tblMovement[[#This Row],[Is_Ore]]=1,tblMovement[[#This Row],[Contained_oz]],0)</f>
        <v/>
      </c>
    </row>
    <row r="217">
      <c r="A217" s="54" t="n"/>
      <c r="B217" s="61" t="n"/>
      <c r="C217" s="61" t="n"/>
      <c r="D217" s="61" t="n"/>
      <c r="E217" s="61" t="n"/>
      <c r="F217" s="55" t="n"/>
      <c r="G217" s="56" t="n"/>
      <c r="H217" s="55" t="n"/>
      <c r="I217" s="62" t="n"/>
      <c r="J217" s="58" t="n"/>
      <c r="K217" s="63">
        <f>IF(tblMovement[[#This Row],[Source]]="","",IFERROR(INDEX(tblSources[Type],MATCH(tblMovement[[#This Row],[Source]],tblSources[Source],0)),"?"))</f>
        <v/>
      </c>
      <c r="L217" s="63">
        <f>IF(tblMovement[[#This Row],[Destination]]="","",IFERROR(INDEX(tblDestinations[Type],MATCH(tblMovement[[#This Row],[Destination]],tblDestinations[Destination],0)),"?"))</f>
        <v/>
      </c>
      <c r="M217" s="64">
        <f>IF(tblMovement[[#This Row],[Material]]="","",IF(LEFT(tblMovement[[#This Row],[Material]],3)="Ore",1,0))</f>
        <v/>
      </c>
      <c r="N217" s="59">
        <f>IF(OR(tblMovement[[#This Row],[Tonnes_t]]="",tblMovement[[#This Row],[Grade_gpt]]=""),0,tblMovement[[#This Row],[Tonnes_t]]*tblMovement[[#This Row],[Grade_gpt]]/cfg_TroyOz)</f>
        <v/>
      </c>
      <c r="O217" s="59">
        <f>IF(tblMovement[[#This Row],[Is_Ore]]=1,tblMovement[[#This Row],[Contained_oz]],0)</f>
        <v/>
      </c>
    </row>
    <row r="218">
      <c r="A218" s="54" t="n"/>
      <c r="B218" s="61" t="n"/>
      <c r="C218" s="61" t="n"/>
      <c r="D218" s="61" t="n"/>
      <c r="E218" s="61" t="n"/>
      <c r="F218" s="55" t="n"/>
      <c r="G218" s="56" t="n"/>
      <c r="H218" s="55" t="n"/>
      <c r="I218" s="62" t="n"/>
      <c r="J218" s="58" t="n"/>
      <c r="K218" s="63">
        <f>IF(tblMovement[[#This Row],[Source]]="","",IFERROR(INDEX(tblSources[Type],MATCH(tblMovement[[#This Row],[Source]],tblSources[Source],0)),"?"))</f>
        <v/>
      </c>
      <c r="L218" s="63">
        <f>IF(tblMovement[[#This Row],[Destination]]="","",IFERROR(INDEX(tblDestinations[Type],MATCH(tblMovement[[#This Row],[Destination]],tblDestinations[Destination],0)),"?"))</f>
        <v/>
      </c>
      <c r="M218" s="64">
        <f>IF(tblMovement[[#This Row],[Material]]="","",IF(LEFT(tblMovement[[#This Row],[Material]],3)="Ore",1,0))</f>
        <v/>
      </c>
      <c r="N218" s="59">
        <f>IF(OR(tblMovement[[#This Row],[Tonnes_t]]="",tblMovement[[#This Row],[Grade_gpt]]=""),0,tblMovement[[#This Row],[Tonnes_t]]*tblMovement[[#This Row],[Grade_gpt]]/cfg_TroyOz)</f>
        <v/>
      </c>
      <c r="O218" s="59">
        <f>IF(tblMovement[[#This Row],[Is_Ore]]=1,tblMovement[[#This Row],[Contained_oz]],0)</f>
        <v/>
      </c>
    </row>
    <row r="219">
      <c r="A219" s="54" t="n"/>
      <c r="B219" s="61" t="n"/>
      <c r="C219" s="61" t="n"/>
      <c r="D219" s="61" t="n"/>
      <c r="E219" s="61" t="n"/>
      <c r="F219" s="55" t="n"/>
      <c r="G219" s="56" t="n"/>
      <c r="H219" s="55" t="n"/>
      <c r="I219" s="62" t="n"/>
      <c r="J219" s="58" t="n"/>
      <c r="K219" s="63">
        <f>IF(tblMovement[[#This Row],[Source]]="","",IFERROR(INDEX(tblSources[Type],MATCH(tblMovement[[#This Row],[Source]],tblSources[Source],0)),"?"))</f>
        <v/>
      </c>
      <c r="L219" s="63">
        <f>IF(tblMovement[[#This Row],[Destination]]="","",IFERROR(INDEX(tblDestinations[Type],MATCH(tblMovement[[#This Row],[Destination]],tblDestinations[Destination],0)),"?"))</f>
        <v/>
      </c>
      <c r="M219" s="64">
        <f>IF(tblMovement[[#This Row],[Material]]="","",IF(LEFT(tblMovement[[#This Row],[Material]],3)="Ore",1,0))</f>
        <v/>
      </c>
      <c r="N219" s="59">
        <f>IF(OR(tblMovement[[#This Row],[Tonnes_t]]="",tblMovement[[#This Row],[Grade_gpt]]=""),0,tblMovement[[#This Row],[Tonnes_t]]*tblMovement[[#This Row],[Grade_gpt]]/cfg_TroyOz)</f>
        <v/>
      </c>
      <c r="O219" s="59">
        <f>IF(tblMovement[[#This Row],[Is_Ore]]=1,tblMovement[[#This Row],[Contained_oz]],0)</f>
        <v/>
      </c>
    </row>
    <row r="220">
      <c r="A220" s="54" t="n"/>
      <c r="B220" s="61" t="n"/>
      <c r="C220" s="61" t="n"/>
      <c r="D220" s="61" t="n"/>
      <c r="E220" s="61" t="n"/>
      <c r="F220" s="55" t="n"/>
      <c r="G220" s="56" t="n"/>
      <c r="H220" s="55" t="n"/>
      <c r="I220" s="62" t="n"/>
      <c r="J220" s="58" t="n"/>
      <c r="K220" s="63">
        <f>IF(tblMovement[[#This Row],[Source]]="","",IFERROR(INDEX(tblSources[Type],MATCH(tblMovement[[#This Row],[Source]],tblSources[Source],0)),"?"))</f>
        <v/>
      </c>
      <c r="L220" s="63">
        <f>IF(tblMovement[[#This Row],[Destination]]="","",IFERROR(INDEX(tblDestinations[Type],MATCH(tblMovement[[#This Row],[Destination]],tblDestinations[Destination],0)),"?"))</f>
        <v/>
      </c>
      <c r="M220" s="64">
        <f>IF(tblMovement[[#This Row],[Material]]="","",IF(LEFT(tblMovement[[#This Row],[Material]],3)="Ore",1,0))</f>
        <v/>
      </c>
      <c r="N220" s="59">
        <f>IF(OR(tblMovement[[#This Row],[Tonnes_t]]="",tblMovement[[#This Row],[Grade_gpt]]=""),0,tblMovement[[#This Row],[Tonnes_t]]*tblMovement[[#This Row],[Grade_gpt]]/cfg_TroyOz)</f>
        <v/>
      </c>
      <c r="O220" s="59">
        <f>IF(tblMovement[[#This Row],[Is_Ore]]=1,tblMovement[[#This Row],[Contained_oz]],0)</f>
        <v/>
      </c>
    </row>
    <row r="221">
      <c r="A221" s="54" t="n"/>
      <c r="B221" s="61" t="n"/>
      <c r="C221" s="61" t="n"/>
      <c r="D221" s="61" t="n"/>
      <c r="E221" s="61" t="n"/>
      <c r="F221" s="55" t="n"/>
      <c r="G221" s="56" t="n"/>
      <c r="H221" s="55" t="n"/>
      <c r="I221" s="62" t="n"/>
      <c r="J221" s="58" t="n"/>
      <c r="K221" s="63">
        <f>IF(tblMovement[[#This Row],[Source]]="","",IFERROR(INDEX(tblSources[Type],MATCH(tblMovement[[#This Row],[Source]],tblSources[Source],0)),"?"))</f>
        <v/>
      </c>
      <c r="L221" s="63">
        <f>IF(tblMovement[[#This Row],[Destination]]="","",IFERROR(INDEX(tblDestinations[Type],MATCH(tblMovement[[#This Row],[Destination]],tblDestinations[Destination],0)),"?"))</f>
        <v/>
      </c>
      <c r="M221" s="64">
        <f>IF(tblMovement[[#This Row],[Material]]="","",IF(LEFT(tblMovement[[#This Row],[Material]],3)="Ore",1,0))</f>
        <v/>
      </c>
      <c r="N221" s="59">
        <f>IF(OR(tblMovement[[#This Row],[Tonnes_t]]="",tblMovement[[#This Row],[Grade_gpt]]=""),0,tblMovement[[#This Row],[Tonnes_t]]*tblMovement[[#This Row],[Grade_gpt]]/cfg_TroyOz)</f>
        <v/>
      </c>
      <c r="O221" s="59">
        <f>IF(tblMovement[[#This Row],[Is_Ore]]=1,tblMovement[[#This Row],[Contained_oz]],0)</f>
        <v/>
      </c>
    </row>
    <row r="222">
      <c r="A222" s="54" t="n"/>
      <c r="B222" s="61" t="n"/>
      <c r="C222" s="61" t="n"/>
      <c r="D222" s="61" t="n"/>
      <c r="E222" s="61" t="n"/>
      <c r="F222" s="55" t="n"/>
      <c r="G222" s="56" t="n"/>
      <c r="H222" s="55" t="n"/>
      <c r="I222" s="62" t="n"/>
      <c r="J222" s="58" t="n"/>
      <c r="K222" s="63">
        <f>IF(tblMovement[[#This Row],[Source]]="","",IFERROR(INDEX(tblSources[Type],MATCH(tblMovement[[#This Row],[Source]],tblSources[Source],0)),"?"))</f>
        <v/>
      </c>
      <c r="L222" s="63">
        <f>IF(tblMovement[[#This Row],[Destination]]="","",IFERROR(INDEX(tblDestinations[Type],MATCH(tblMovement[[#This Row],[Destination]],tblDestinations[Destination],0)),"?"))</f>
        <v/>
      </c>
      <c r="M222" s="64">
        <f>IF(tblMovement[[#This Row],[Material]]="","",IF(LEFT(tblMovement[[#This Row],[Material]],3)="Ore",1,0))</f>
        <v/>
      </c>
      <c r="N222" s="59">
        <f>IF(OR(tblMovement[[#This Row],[Tonnes_t]]="",tblMovement[[#This Row],[Grade_gpt]]=""),0,tblMovement[[#This Row],[Tonnes_t]]*tblMovement[[#This Row],[Grade_gpt]]/cfg_TroyOz)</f>
        <v/>
      </c>
      <c r="O222" s="59">
        <f>IF(tblMovement[[#This Row],[Is_Ore]]=1,tblMovement[[#This Row],[Contained_oz]],0)</f>
        <v/>
      </c>
    </row>
    <row r="223">
      <c r="A223" s="54" t="n"/>
      <c r="B223" s="61" t="n"/>
      <c r="C223" s="61" t="n"/>
      <c r="D223" s="61" t="n"/>
      <c r="E223" s="61" t="n"/>
      <c r="F223" s="55" t="n"/>
      <c r="G223" s="56" t="n"/>
      <c r="H223" s="55" t="n"/>
      <c r="I223" s="62" t="n"/>
      <c r="J223" s="58" t="n"/>
      <c r="K223" s="63">
        <f>IF(tblMovement[[#This Row],[Source]]="","",IFERROR(INDEX(tblSources[Type],MATCH(tblMovement[[#This Row],[Source]],tblSources[Source],0)),"?"))</f>
        <v/>
      </c>
      <c r="L223" s="63">
        <f>IF(tblMovement[[#This Row],[Destination]]="","",IFERROR(INDEX(tblDestinations[Type],MATCH(tblMovement[[#This Row],[Destination]],tblDestinations[Destination],0)),"?"))</f>
        <v/>
      </c>
      <c r="M223" s="64">
        <f>IF(tblMovement[[#This Row],[Material]]="","",IF(LEFT(tblMovement[[#This Row],[Material]],3)="Ore",1,0))</f>
        <v/>
      </c>
      <c r="N223" s="59">
        <f>IF(OR(tblMovement[[#This Row],[Tonnes_t]]="",tblMovement[[#This Row],[Grade_gpt]]=""),0,tblMovement[[#This Row],[Tonnes_t]]*tblMovement[[#This Row],[Grade_gpt]]/cfg_TroyOz)</f>
        <v/>
      </c>
      <c r="O223" s="59">
        <f>IF(tblMovement[[#This Row],[Is_Ore]]=1,tblMovement[[#This Row],[Contained_oz]],0)</f>
        <v/>
      </c>
    </row>
    <row r="224">
      <c r="A224" s="54" t="n"/>
      <c r="B224" s="61" t="n"/>
      <c r="C224" s="61" t="n"/>
      <c r="D224" s="61" t="n"/>
      <c r="E224" s="61" t="n"/>
      <c r="F224" s="55" t="n"/>
      <c r="G224" s="56" t="n"/>
      <c r="H224" s="55" t="n"/>
      <c r="I224" s="62" t="n"/>
      <c r="J224" s="58" t="n"/>
      <c r="K224" s="63">
        <f>IF(tblMovement[[#This Row],[Source]]="","",IFERROR(INDEX(tblSources[Type],MATCH(tblMovement[[#This Row],[Source]],tblSources[Source],0)),"?"))</f>
        <v/>
      </c>
      <c r="L224" s="63">
        <f>IF(tblMovement[[#This Row],[Destination]]="","",IFERROR(INDEX(tblDestinations[Type],MATCH(tblMovement[[#This Row],[Destination]],tblDestinations[Destination],0)),"?"))</f>
        <v/>
      </c>
      <c r="M224" s="64">
        <f>IF(tblMovement[[#This Row],[Material]]="","",IF(LEFT(tblMovement[[#This Row],[Material]],3)="Ore",1,0))</f>
        <v/>
      </c>
      <c r="N224" s="59">
        <f>IF(OR(tblMovement[[#This Row],[Tonnes_t]]="",tblMovement[[#This Row],[Grade_gpt]]=""),0,tblMovement[[#This Row],[Tonnes_t]]*tblMovement[[#This Row],[Grade_gpt]]/cfg_TroyOz)</f>
        <v/>
      </c>
      <c r="O224" s="59">
        <f>IF(tblMovement[[#This Row],[Is_Ore]]=1,tblMovement[[#This Row],[Contained_oz]],0)</f>
        <v/>
      </c>
    </row>
    <row r="225">
      <c r="A225" s="54" t="n"/>
      <c r="B225" s="61" t="n"/>
      <c r="C225" s="61" t="n"/>
      <c r="D225" s="61" t="n"/>
      <c r="E225" s="61" t="n"/>
      <c r="F225" s="55" t="n"/>
      <c r="G225" s="56" t="n"/>
      <c r="H225" s="55" t="n"/>
      <c r="I225" s="62" t="n"/>
      <c r="J225" s="58" t="n"/>
      <c r="K225" s="63">
        <f>IF(tblMovement[[#This Row],[Source]]="","",IFERROR(INDEX(tblSources[Type],MATCH(tblMovement[[#This Row],[Source]],tblSources[Source],0)),"?"))</f>
        <v/>
      </c>
      <c r="L225" s="63">
        <f>IF(tblMovement[[#This Row],[Destination]]="","",IFERROR(INDEX(tblDestinations[Type],MATCH(tblMovement[[#This Row],[Destination]],tblDestinations[Destination],0)),"?"))</f>
        <v/>
      </c>
      <c r="M225" s="64">
        <f>IF(tblMovement[[#This Row],[Material]]="","",IF(LEFT(tblMovement[[#This Row],[Material]],3)="Ore",1,0))</f>
        <v/>
      </c>
      <c r="N225" s="59">
        <f>IF(OR(tblMovement[[#This Row],[Tonnes_t]]="",tblMovement[[#This Row],[Grade_gpt]]=""),0,tblMovement[[#This Row],[Tonnes_t]]*tblMovement[[#This Row],[Grade_gpt]]/cfg_TroyOz)</f>
        <v/>
      </c>
      <c r="O225" s="59">
        <f>IF(tblMovement[[#This Row],[Is_Ore]]=1,tblMovement[[#This Row],[Contained_oz]],0)</f>
        <v/>
      </c>
    </row>
    <row r="226">
      <c r="A226" s="54" t="n"/>
      <c r="B226" s="61" t="n"/>
      <c r="C226" s="61" t="n"/>
      <c r="D226" s="61" t="n"/>
      <c r="E226" s="61" t="n"/>
      <c r="F226" s="55" t="n"/>
      <c r="G226" s="56" t="n"/>
      <c r="H226" s="55" t="n"/>
      <c r="I226" s="62" t="n"/>
      <c r="J226" s="58" t="n"/>
      <c r="K226" s="63">
        <f>IF(tblMovement[[#This Row],[Source]]="","",IFERROR(INDEX(tblSources[Type],MATCH(tblMovement[[#This Row],[Source]],tblSources[Source],0)),"?"))</f>
        <v/>
      </c>
      <c r="L226" s="63">
        <f>IF(tblMovement[[#This Row],[Destination]]="","",IFERROR(INDEX(tblDestinations[Type],MATCH(tblMovement[[#This Row],[Destination]],tblDestinations[Destination],0)),"?"))</f>
        <v/>
      </c>
      <c r="M226" s="64">
        <f>IF(tblMovement[[#This Row],[Material]]="","",IF(LEFT(tblMovement[[#This Row],[Material]],3)="Ore",1,0))</f>
        <v/>
      </c>
      <c r="N226" s="59">
        <f>IF(OR(tblMovement[[#This Row],[Tonnes_t]]="",tblMovement[[#This Row],[Grade_gpt]]=""),0,tblMovement[[#This Row],[Tonnes_t]]*tblMovement[[#This Row],[Grade_gpt]]/cfg_TroyOz)</f>
        <v/>
      </c>
      <c r="O226" s="59">
        <f>IF(tblMovement[[#This Row],[Is_Ore]]=1,tblMovement[[#This Row],[Contained_oz]],0)</f>
        <v/>
      </c>
    </row>
    <row r="227">
      <c r="A227" s="54" t="n"/>
      <c r="B227" s="61" t="n"/>
      <c r="C227" s="61" t="n"/>
      <c r="D227" s="61" t="n"/>
      <c r="E227" s="61" t="n"/>
      <c r="F227" s="55" t="n"/>
      <c r="G227" s="56" t="n"/>
      <c r="H227" s="55" t="n"/>
      <c r="I227" s="62" t="n"/>
      <c r="J227" s="58" t="n"/>
      <c r="K227" s="63">
        <f>IF(tblMovement[[#This Row],[Source]]="","",IFERROR(INDEX(tblSources[Type],MATCH(tblMovement[[#This Row],[Source]],tblSources[Source],0)),"?"))</f>
        <v/>
      </c>
      <c r="L227" s="63">
        <f>IF(tblMovement[[#This Row],[Destination]]="","",IFERROR(INDEX(tblDestinations[Type],MATCH(tblMovement[[#This Row],[Destination]],tblDestinations[Destination],0)),"?"))</f>
        <v/>
      </c>
      <c r="M227" s="64">
        <f>IF(tblMovement[[#This Row],[Material]]="","",IF(LEFT(tblMovement[[#This Row],[Material]],3)="Ore",1,0))</f>
        <v/>
      </c>
      <c r="N227" s="59">
        <f>IF(OR(tblMovement[[#This Row],[Tonnes_t]]="",tblMovement[[#This Row],[Grade_gpt]]=""),0,tblMovement[[#This Row],[Tonnes_t]]*tblMovement[[#This Row],[Grade_gpt]]/cfg_TroyOz)</f>
        <v/>
      </c>
      <c r="O227" s="59">
        <f>IF(tblMovement[[#This Row],[Is_Ore]]=1,tblMovement[[#This Row],[Contained_oz]],0)</f>
        <v/>
      </c>
    </row>
    <row r="228">
      <c r="A228" s="54" t="n"/>
      <c r="B228" s="61" t="n"/>
      <c r="C228" s="61" t="n"/>
      <c r="D228" s="61" t="n"/>
      <c r="E228" s="61" t="n"/>
      <c r="F228" s="55" t="n"/>
      <c r="G228" s="56" t="n"/>
      <c r="H228" s="55" t="n"/>
      <c r="I228" s="62" t="n"/>
      <c r="J228" s="58" t="n"/>
      <c r="K228" s="63">
        <f>IF(tblMovement[[#This Row],[Source]]="","",IFERROR(INDEX(tblSources[Type],MATCH(tblMovement[[#This Row],[Source]],tblSources[Source],0)),"?"))</f>
        <v/>
      </c>
      <c r="L228" s="63">
        <f>IF(tblMovement[[#This Row],[Destination]]="","",IFERROR(INDEX(tblDestinations[Type],MATCH(tblMovement[[#This Row],[Destination]],tblDestinations[Destination],0)),"?"))</f>
        <v/>
      </c>
      <c r="M228" s="64">
        <f>IF(tblMovement[[#This Row],[Material]]="","",IF(LEFT(tblMovement[[#This Row],[Material]],3)="Ore",1,0))</f>
        <v/>
      </c>
      <c r="N228" s="59">
        <f>IF(OR(tblMovement[[#This Row],[Tonnes_t]]="",tblMovement[[#This Row],[Grade_gpt]]=""),0,tblMovement[[#This Row],[Tonnes_t]]*tblMovement[[#This Row],[Grade_gpt]]/cfg_TroyOz)</f>
        <v/>
      </c>
      <c r="O228" s="59">
        <f>IF(tblMovement[[#This Row],[Is_Ore]]=1,tblMovement[[#This Row],[Contained_oz]],0)</f>
        <v/>
      </c>
    </row>
    <row r="229">
      <c r="A229" s="54" t="n"/>
      <c r="B229" s="61" t="n"/>
      <c r="C229" s="61" t="n"/>
      <c r="D229" s="61" t="n"/>
      <c r="E229" s="61" t="n"/>
      <c r="F229" s="55" t="n"/>
      <c r="G229" s="56" t="n"/>
      <c r="H229" s="55" t="n"/>
      <c r="I229" s="62" t="n"/>
      <c r="J229" s="58" t="n"/>
      <c r="K229" s="63">
        <f>IF(tblMovement[[#This Row],[Source]]="","",IFERROR(INDEX(tblSources[Type],MATCH(tblMovement[[#This Row],[Source]],tblSources[Source],0)),"?"))</f>
        <v/>
      </c>
      <c r="L229" s="63">
        <f>IF(tblMovement[[#This Row],[Destination]]="","",IFERROR(INDEX(tblDestinations[Type],MATCH(tblMovement[[#This Row],[Destination]],tblDestinations[Destination],0)),"?"))</f>
        <v/>
      </c>
      <c r="M229" s="64">
        <f>IF(tblMovement[[#This Row],[Material]]="","",IF(LEFT(tblMovement[[#This Row],[Material]],3)="Ore",1,0))</f>
        <v/>
      </c>
      <c r="N229" s="59">
        <f>IF(OR(tblMovement[[#This Row],[Tonnes_t]]="",tblMovement[[#This Row],[Grade_gpt]]=""),0,tblMovement[[#This Row],[Tonnes_t]]*tblMovement[[#This Row],[Grade_gpt]]/cfg_TroyOz)</f>
        <v/>
      </c>
      <c r="O229" s="59">
        <f>IF(tblMovement[[#This Row],[Is_Ore]]=1,tblMovement[[#This Row],[Contained_oz]],0)</f>
        <v/>
      </c>
    </row>
    <row r="230">
      <c r="A230" s="54" t="n"/>
      <c r="B230" s="61" t="n"/>
      <c r="C230" s="61" t="n"/>
      <c r="D230" s="61" t="n"/>
      <c r="E230" s="61" t="n"/>
      <c r="F230" s="55" t="n"/>
      <c r="G230" s="56" t="n"/>
      <c r="H230" s="55" t="n"/>
      <c r="I230" s="62" t="n"/>
      <c r="J230" s="58" t="n"/>
      <c r="K230" s="63">
        <f>IF(tblMovement[[#This Row],[Source]]="","",IFERROR(INDEX(tblSources[Type],MATCH(tblMovement[[#This Row],[Source]],tblSources[Source],0)),"?"))</f>
        <v/>
      </c>
      <c r="L230" s="63">
        <f>IF(tblMovement[[#This Row],[Destination]]="","",IFERROR(INDEX(tblDestinations[Type],MATCH(tblMovement[[#This Row],[Destination]],tblDestinations[Destination],0)),"?"))</f>
        <v/>
      </c>
      <c r="M230" s="64">
        <f>IF(tblMovement[[#This Row],[Material]]="","",IF(LEFT(tblMovement[[#This Row],[Material]],3)="Ore",1,0))</f>
        <v/>
      </c>
      <c r="N230" s="59">
        <f>IF(OR(tblMovement[[#This Row],[Tonnes_t]]="",tblMovement[[#This Row],[Grade_gpt]]=""),0,tblMovement[[#This Row],[Tonnes_t]]*tblMovement[[#This Row],[Grade_gpt]]/cfg_TroyOz)</f>
        <v/>
      </c>
      <c r="O230" s="59">
        <f>IF(tblMovement[[#This Row],[Is_Ore]]=1,tblMovement[[#This Row],[Contained_oz]],0)</f>
        <v/>
      </c>
    </row>
    <row r="231">
      <c r="A231" s="54" t="n"/>
      <c r="B231" s="61" t="n"/>
      <c r="C231" s="61" t="n"/>
      <c r="D231" s="61" t="n"/>
      <c r="E231" s="61" t="n"/>
      <c r="F231" s="55" t="n"/>
      <c r="G231" s="56" t="n"/>
      <c r="H231" s="55" t="n"/>
      <c r="I231" s="62" t="n"/>
      <c r="J231" s="58" t="n"/>
      <c r="K231" s="63">
        <f>IF(tblMovement[[#This Row],[Source]]="","",IFERROR(INDEX(tblSources[Type],MATCH(tblMovement[[#This Row],[Source]],tblSources[Source],0)),"?"))</f>
        <v/>
      </c>
      <c r="L231" s="63">
        <f>IF(tblMovement[[#This Row],[Destination]]="","",IFERROR(INDEX(tblDestinations[Type],MATCH(tblMovement[[#This Row],[Destination]],tblDestinations[Destination],0)),"?"))</f>
        <v/>
      </c>
      <c r="M231" s="64">
        <f>IF(tblMovement[[#This Row],[Material]]="","",IF(LEFT(tblMovement[[#This Row],[Material]],3)="Ore",1,0))</f>
        <v/>
      </c>
      <c r="N231" s="59">
        <f>IF(OR(tblMovement[[#This Row],[Tonnes_t]]="",tblMovement[[#This Row],[Grade_gpt]]=""),0,tblMovement[[#This Row],[Tonnes_t]]*tblMovement[[#This Row],[Grade_gpt]]/cfg_TroyOz)</f>
        <v/>
      </c>
      <c r="O231" s="59">
        <f>IF(tblMovement[[#This Row],[Is_Ore]]=1,tblMovement[[#This Row],[Contained_oz]],0)</f>
        <v/>
      </c>
    </row>
    <row r="232">
      <c r="A232" s="54" t="n"/>
      <c r="B232" s="61" t="n"/>
      <c r="C232" s="61" t="n"/>
      <c r="D232" s="61" t="n"/>
      <c r="E232" s="61" t="n"/>
      <c r="F232" s="55" t="n"/>
      <c r="G232" s="56" t="n"/>
      <c r="H232" s="55" t="n"/>
      <c r="I232" s="62" t="n"/>
      <c r="J232" s="58" t="n"/>
      <c r="K232" s="63">
        <f>IF(tblMovement[[#This Row],[Source]]="","",IFERROR(INDEX(tblSources[Type],MATCH(tblMovement[[#This Row],[Source]],tblSources[Source],0)),"?"))</f>
        <v/>
      </c>
      <c r="L232" s="63">
        <f>IF(tblMovement[[#This Row],[Destination]]="","",IFERROR(INDEX(tblDestinations[Type],MATCH(tblMovement[[#This Row],[Destination]],tblDestinations[Destination],0)),"?"))</f>
        <v/>
      </c>
      <c r="M232" s="64">
        <f>IF(tblMovement[[#This Row],[Material]]="","",IF(LEFT(tblMovement[[#This Row],[Material]],3)="Ore",1,0))</f>
        <v/>
      </c>
      <c r="N232" s="59">
        <f>IF(OR(tblMovement[[#This Row],[Tonnes_t]]="",tblMovement[[#This Row],[Grade_gpt]]=""),0,tblMovement[[#This Row],[Tonnes_t]]*tblMovement[[#This Row],[Grade_gpt]]/cfg_TroyOz)</f>
        <v/>
      </c>
      <c r="O232" s="59">
        <f>IF(tblMovement[[#This Row],[Is_Ore]]=1,tblMovement[[#This Row],[Contained_oz]],0)</f>
        <v/>
      </c>
    </row>
    <row r="233">
      <c r="A233" s="54" t="n"/>
      <c r="B233" s="61" t="n"/>
      <c r="C233" s="61" t="n"/>
      <c r="D233" s="61" t="n"/>
      <c r="E233" s="61" t="n"/>
      <c r="F233" s="55" t="n"/>
      <c r="G233" s="56" t="n"/>
      <c r="H233" s="55" t="n"/>
      <c r="I233" s="62" t="n"/>
      <c r="J233" s="58" t="n"/>
      <c r="K233" s="63">
        <f>IF(tblMovement[[#This Row],[Source]]="","",IFERROR(INDEX(tblSources[Type],MATCH(tblMovement[[#This Row],[Source]],tblSources[Source],0)),"?"))</f>
        <v/>
      </c>
      <c r="L233" s="63">
        <f>IF(tblMovement[[#This Row],[Destination]]="","",IFERROR(INDEX(tblDestinations[Type],MATCH(tblMovement[[#This Row],[Destination]],tblDestinations[Destination],0)),"?"))</f>
        <v/>
      </c>
      <c r="M233" s="64">
        <f>IF(tblMovement[[#This Row],[Material]]="","",IF(LEFT(tblMovement[[#This Row],[Material]],3)="Ore",1,0))</f>
        <v/>
      </c>
      <c r="N233" s="59">
        <f>IF(OR(tblMovement[[#This Row],[Tonnes_t]]="",tblMovement[[#This Row],[Grade_gpt]]=""),0,tblMovement[[#This Row],[Tonnes_t]]*tblMovement[[#This Row],[Grade_gpt]]/cfg_TroyOz)</f>
        <v/>
      </c>
      <c r="O233" s="59">
        <f>IF(tblMovement[[#This Row],[Is_Ore]]=1,tblMovement[[#This Row],[Contained_oz]],0)</f>
        <v/>
      </c>
    </row>
    <row r="234">
      <c r="A234" s="54" t="n"/>
      <c r="B234" s="61" t="n"/>
      <c r="C234" s="61" t="n"/>
      <c r="D234" s="61" t="n"/>
      <c r="E234" s="61" t="n"/>
      <c r="F234" s="55" t="n"/>
      <c r="G234" s="56" t="n"/>
      <c r="H234" s="55" t="n"/>
      <c r="I234" s="62" t="n"/>
      <c r="J234" s="58" t="n"/>
      <c r="K234" s="63">
        <f>IF(tblMovement[[#This Row],[Source]]="","",IFERROR(INDEX(tblSources[Type],MATCH(tblMovement[[#This Row],[Source]],tblSources[Source],0)),"?"))</f>
        <v/>
      </c>
      <c r="L234" s="63">
        <f>IF(tblMovement[[#This Row],[Destination]]="","",IFERROR(INDEX(tblDestinations[Type],MATCH(tblMovement[[#This Row],[Destination]],tblDestinations[Destination],0)),"?"))</f>
        <v/>
      </c>
      <c r="M234" s="64">
        <f>IF(tblMovement[[#This Row],[Material]]="","",IF(LEFT(tblMovement[[#This Row],[Material]],3)="Ore",1,0))</f>
        <v/>
      </c>
      <c r="N234" s="59">
        <f>IF(OR(tblMovement[[#This Row],[Tonnes_t]]="",tblMovement[[#This Row],[Grade_gpt]]=""),0,tblMovement[[#This Row],[Tonnes_t]]*tblMovement[[#This Row],[Grade_gpt]]/cfg_TroyOz)</f>
        <v/>
      </c>
      <c r="O234" s="59">
        <f>IF(tblMovement[[#This Row],[Is_Ore]]=1,tblMovement[[#This Row],[Contained_oz]],0)</f>
        <v/>
      </c>
    </row>
    <row r="235">
      <c r="A235" s="54" t="n"/>
      <c r="B235" s="61" t="n"/>
      <c r="C235" s="61" t="n"/>
      <c r="D235" s="61" t="n"/>
      <c r="E235" s="61" t="n"/>
      <c r="F235" s="55" t="n"/>
      <c r="G235" s="56" t="n"/>
      <c r="H235" s="55" t="n"/>
      <c r="I235" s="62" t="n"/>
      <c r="J235" s="58" t="n"/>
      <c r="K235" s="63">
        <f>IF(tblMovement[[#This Row],[Source]]="","",IFERROR(INDEX(tblSources[Type],MATCH(tblMovement[[#This Row],[Source]],tblSources[Source],0)),"?"))</f>
        <v/>
      </c>
      <c r="L235" s="63">
        <f>IF(tblMovement[[#This Row],[Destination]]="","",IFERROR(INDEX(tblDestinations[Type],MATCH(tblMovement[[#This Row],[Destination]],tblDestinations[Destination],0)),"?"))</f>
        <v/>
      </c>
      <c r="M235" s="64">
        <f>IF(tblMovement[[#This Row],[Material]]="","",IF(LEFT(tblMovement[[#This Row],[Material]],3)="Ore",1,0))</f>
        <v/>
      </c>
      <c r="N235" s="59">
        <f>IF(OR(tblMovement[[#This Row],[Tonnes_t]]="",tblMovement[[#This Row],[Grade_gpt]]=""),0,tblMovement[[#This Row],[Tonnes_t]]*tblMovement[[#This Row],[Grade_gpt]]/cfg_TroyOz)</f>
        <v/>
      </c>
      <c r="O235" s="59">
        <f>IF(tblMovement[[#This Row],[Is_Ore]]=1,tblMovement[[#This Row],[Contained_oz]],0)</f>
        <v/>
      </c>
    </row>
    <row r="236">
      <c r="A236" s="54" t="n"/>
      <c r="B236" s="61" t="n"/>
      <c r="C236" s="61" t="n"/>
      <c r="D236" s="61" t="n"/>
      <c r="E236" s="61" t="n"/>
      <c r="F236" s="55" t="n"/>
      <c r="G236" s="56" t="n"/>
      <c r="H236" s="55" t="n"/>
      <c r="I236" s="62" t="n"/>
      <c r="J236" s="58" t="n"/>
      <c r="K236" s="63">
        <f>IF(tblMovement[[#This Row],[Source]]="","",IFERROR(INDEX(tblSources[Type],MATCH(tblMovement[[#This Row],[Source]],tblSources[Source],0)),"?"))</f>
        <v/>
      </c>
      <c r="L236" s="63">
        <f>IF(tblMovement[[#This Row],[Destination]]="","",IFERROR(INDEX(tblDestinations[Type],MATCH(tblMovement[[#This Row],[Destination]],tblDestinations[Destination],0)),"?"))</f>
        <v/>
      </c>
      <c r="M236" s="64">
        <f>IF(tblMovement[[#This Row],[Material]]="","",IF(LEFT(tblMovement[[#This Row],[Material]],3)="Ore",1,0))</f>
        <v/>
      </c>
      <c r="N236" s="59">
        <f>IF(OR(tblMovement[[#This Row],[Tonnes_t]]="",tblMovement[[#This Row],[Grade_gpt]]=""),0,tblMovement[[#This Row],[Tonnes_t]]*tblMovement[[#This Row],[Grade_gpt]]/cfg_TroyOz)</f>
        <v/>
      </c>
      <c r="O236" s="59">
        <f>IF(tblMovement[[#This Row],[Is_Ore]]=1,tblMovement[[#This Row],[Contained_oz]],0)</f>
        <v/>
      </c>
    </row>
    <row r="237">
      <c r="A237" s="54" t="n"/>
      <c r="B237" s="61" t="n"/>
      <c r="C237" s="61" t="n"/>
      <c r="D237" s="61" t="n"/>
      <c r="E237" s="61" t="n"/>
      <c r="F237" s="55" t="n"/>
      <c r="G237" s="56" t="n"/>
      <c r="H237" s="55" t="n"/>
      <c r="I237" s="62" t="n"/>
      <c r="J237" s="58" t="n"/>
      <c r="K237" s="63">
        <f>IF(tblMovement[[#This Row],[Source]]="","",IFERROR(INDEX(tblSources[Type],MATCH(tblMovement[[#This Row],[Source]],tblSources[Source],0)),"?"))</f>
        <v/>
      </c>
      <c r="L237" s="63">
        <f>IF(tblMovement[[#This Row],[Destination]]="","",IFERROR(INDEX(tblDestinations[Type],MATCH(tblMovement[[#This Row],[Destination]],tblDestinations[Destination],0)),"?"))</f>
        <v/>
      </c>
      <c r="M237" s="64">
        <f>IF(tblMovement[[#This Row],[Material]]="","",IF(LEFT(tblMovement[[#This Row],[Material]],3)="Ore",1,0))</f>
        <v/>
      </c>
      <c r="N237" s="59">
        <f>IF(OR(tblMovement[[#This Row],[Tonnes_t]]="",tblMovement[[#This Row],[Grade_gpt]]=""),0,tblMovement[[#This Row],[Tonnes_t]]*tblMovement[[#This Row],[Grade_gpt]]/cfg_TroyOz)</f>
        <v/>
      </c>
      <c r="O237" s="59">
        <f>IF(tblMovement[[#This Row],[Is_Ore]]=1,tblMovement[[#This Row],[Contained_oz]],0)</f>
        <v/>
      </c>
    </row>
    <row r="238">
      <c r="A238" s="54" t="n"/>
      <c r="B238" s="61" t="n"/>
      <c r="C238" s="61" t="n"/>
      <c r="D238" s="61" t="n"/>
      <c r="E238" s="61" t="n"/>
      <c r="F238" s="55" t="n"/>
      <c r="G238" s="56" t="n"/>
      <c r="H238" s="55" t="n"/>
      <c r="I238" s="62" t="n"/>
      <c r="J238" s="58" t="n"/>
      <c r="K238" s="63">
        <f>IF(tblMovement[[#This Row],[Source]]="","",IFERROR(INDEX(tblSources[Type],MATCH(tblMovement[[#This Row],[Source]],tblSources[Source],0)),"?"))</f>
        <v/>
      </c>
      <c r="L238" s="63">
        <f>IF(tblMovement[[#This Row],[Destination]]="","",IFERROR(INDEX(tblDestinations[Type],MATCH(tblMovement[[#This Row],[Destination]],tblDestinations[Destination],0)),"?"))</f>
        <v/>
      </c>
      <c r="M238" s="64">
        <f>IF(tblMovement[[#This Row],[Material]]="","",IF(LEFT(tblMovement[[#This Row],[Material]],3)="Ore",1,0))</f>
        <v/>
      </c>
      <c r="N238" s="59">
        <f>IF(OR(tblMovement[[#This Row],[Tonnes_t]]="",tblMovement[[#This Row],[Grade_gpt]]=""),0,tblMovement[[#This Row],[Tonnes_t]]*tblMovement[[#This Row],[Grade_gpt]]/cfg_TroyOz)</f>
        <v/>
      </c>
      <c r="O238" s="59">
        <f>IF(tblMovement[[#This Row],[Is_Ore]]=1,tblMovement[[#This Row],[Contained_oz]],0)</f>
        <v/>
      </c>
    </row>
    <row r="239">
      <c r="A239" s="54" t="n"/>
      <c r="B239" s="61" t="n"/>
      <c r="C239" s="61" t="n"/>
      <c r="D239" s="61" t="n"/>
      <c r="E239" s="61" t="n"/>
      <c r="F239" s="55" t="n"/>
      <c r="G239" s="56" t="n"/>
      <c r="H239" s="55" t="n"/>
      <c r="I239" s="62" t="n"/>
      <c r="J239" s="58" t="n"/>
      <c r="K239" s="63">
        <f>IF(tblMovement[[#This Row],[Source]]="","",IFERROR(INDEX(tblSources[Type],MATCH(tblMovement[[#This Row],[Source]],tblSources[Source],0)),"?"))</f>
        <v/>
      </c>
      <c r="L239" s="63">
        <f>IF(tblMovement[[#This Row],[Destination]]="","",IFERROR(INDEX(tblDestinations[Type],MATCH(tblMovement[[#This Row],[Destination]],tblDestinations[Destination],0)),"?"))</f>
        <v/>
      </c>
      <c r="M239" s="64">
        <f>IF(tblMovement[[#This Row],[Material]]="","",IF(LEFT(tblMovement[[#This Row],[Material]],3)="Ore",1,0))</f>
        <v/>
      </c>
      <c r="N239" s="59">
        <f>IF(OR(tblMovement[[#This Row],[Tonnes_t]]="",tblMovement[[#This Row],[Grade_gpt]]=""),0,tblMovement[[#This Row],[Tonnes_t]]*tblMovement[[#This Row],[Grade_gpt]]/cfg_TroyOz)</f>
        <v/>
      </c>
      <c r="O239" s="59">
        <f>IF(tblMovement[[#This Row],[Is_Ore]]=1,tblMovement[[#This Row],[Contained_oz]],0)</f>
        <v/>
      </c>
    </row>
    <row r="240">
      <c r="A240" s="54" t="n"/>
      <c r="B240" s="61" t="n"/>
      <c r="C240" s="61" t="n"/>
      <c r="D240" s="61" t="n"/>
      <c r="E240" s="61" t="n"/>
      <c r="F240" s="55" t="n"/>
      <c r="G240" s="56" t="n"/>
      <c r="H240" s="55" t="n"/>
      <c r="I240" s="62" t="n"/>
      <c r="J240" s="58" t="n"/>
      <c r="K240" s="63">
        <f>IF(tblMovement[[#This Row],[Source]]="","",IFERROR(INDEX(tblSources[Type],MATCH(tblMovement[[#This Row],[Source]],tblSources[Source],0)),"?"))</f>
        <v/>
      </c>
      <c r="L240" s="63">
        <f>IF(tblMovement[[#This Row],[Destination]]="","",IFERROR(INDEX(tblDestinations[Type],MATCH(tblMovement[[#This Row],[Destination]],tblDestinations[Destination],0)),"?"))</f>
        <v/>
      </c>
      <c r="M240" s="64">
        <f>IF(tblMovement[[#This Row],[Material]]="","",IF(LEFT(tblMovement[[#This Row],[Material]],3)="Ore",1,0))</f>
        <v/>
      </c>
      <c r="N240" s="59">
        <f>IF(OR(tblMovement[[#This Row],[Tonnes_t]]="",tblMovement[[#This Row],[Grade_gpt]]=""),0,tblMovement[[#This Row],[Tonnes_t]]*tblMovement[[#This Row],[Grade_gpt]]/cfg_TroyOz)</f>
        <v/>
      </c>
      <c r="O240" s="59">
        <f>IF(tblMovement[[#This Row],[Is_Ore]]=1,tblMovement[[#This Row],[Contained_oz]],0)</f>
        <v/>
      </c>
    </row>
    <row r="241">
      <c r="A241" s="54" t="n"/>
      <c r="B241" s="61" t="n"/>
      <c r="C241" s="61" t="n"/>
      <c r="D241" s="61" t="n"/>
      <c r="E241" s="61" t="n"/>
      <c r="F241" s="55" t="n"/>
      <c r="G241" s="56" t="n"/>
      <c r="H241" s="55" t="n"/>
      <c r="I241" s="62" t="n"/>
      <c r="J241" s="58" t="n"/>
      <c r="K241" s="63">
        <f>IF(tblMovement[[#This Row],[Source]]="","",IFERROR(INDEX(tblSources[Type],MATCH(tblMovement[[#This Row],[Source]],tblSources[Source],0)),"?"))</f>
        <v/>
      </c>
      <c r="L241" s="63">
        <f>IF(tblMovement[[#This Row],[Destination]]="","",IFERROR(INDEX(tblDestinations[Type],MATCH(tblMovement[[#This Row],[Destination]],tblDestinations[Destination],0)),"?"))</f>
        <v/>
      </c>
      <c r="M241" s="64">
        <f>IF(tblMovement[[#This Row],[Material]]="","",IF(LEFT(tblMovement[[#This Row],[Material]],3)="Ore",1,0))</f>
        <v/>
      </c>
      <c r="N241" s="59">
        <f>IF(OR(tblMovement[[#This Row],[Tonnes_t]]="",tblMovement[[#This Row],[Grade_gpt]]=""),0,tblMovement[[#This Row],[Tonnes_t]]*tblMovement[[#This Row],[Grade_gpt]]/cfg_TroyOz)</f>
        <v/>
      </c>
      <c r="O241" s="59">
        <f>IF(tblMovement[[#This Row],[Is_Ore]]=1,tblMovement[[#This Row],[Contained_oz]],0)</f>
        <v/>
      </c>
    </row>
    <row r="242">
      <c r="A242" s="54" t="n"/>
      <c r="B242" s="61" t="n"/>
      <c r="C242" s="61" t="n"/>
      <c r="D242" s="61" t="n"/>
      <c r="E242" s="61" t="n"/>
      <c r="F242" s="55" t="n"/>
      <c r="G242" s="56" t="n"/>
      <c r="H242" s="55" t="n"/>
      <c r="I242" s="62" t="n"/>
      <c r="J242" s="58" t="n"/>
      <c r="K242" s="63">
        <f>IF(tblMovement[[#This Row],[Source]]="","",IFERROR(INDEX(tblSources[Type],MATCH(tblMovement[[#This Row],[Source]],tblSources[Source],0)),"?"))</f>
        <v/>
      </c>
      <c r="L242" s="63">
        <f>IF(tblMovement[[#This Row],[Destination]]="","",IFERROR(INDEX(tblDestinations[Type],MATCH(tblMovement[[#This Row],[Destination]],tblDestinations[Destination],0)),"?"))</f>
        <v/>
      </c>
      <c r="M242" s="64">
        <f>IF(tblMovement[[#This Row],[Material]]="","",IF(LEFT(tblMovement[[#This Row],[Material]],3)="Ore",1,0))</f>
        <v/>
      </c>
      <c r="N242" s="59">
        <f>IF(OR(tblMovement[[#This Row],[Tonnes_t]]="",tblMovement[[#This Row],[Grade_gpt]]=""),0,tblMovement[[#This Row],[Tonnes_t]]*tblMovement[[#This Row],[Grade_gpt]]/cfg_TroyOz)</f>
        <v/>
      </c>
      <c r="O242" s="59">
        <f>IF(tblMovement[[#This Row],[Is_Ore]]=1,tblMovement[[#This Row],[Contained_oz]],0)</f>
        <v/>
      </c>
    </row>
    <row r="243">
      <c r="A243" s="54" t="n"/>
      <c r="B243" s="61" t="n"/>
      <c r="C243" s="61" t="n"/>
      <c r="D243" s="61" t="n"/>
      <c r="E243" s="61" t="n"/>
      <c r="F243" s="55" t="n"/>
      <c r="G243" s="56" t="n"/>
      <c r="H243" s="55" t="n"/>
      <c r="I243" s="62" t="n"/>
      <c r="J243" s="58" t="n"/>
      <c r="K243" s="63">
        <f>IF(tblMovement[[#This Row],[Source]]="","",IFERROR(INDEX(tblSources[Type],MATCH(tblMovement[[#This Row],[Source]],tblSources[Source],0)),"?"))</f>
        <v/>
      </c>
      <c r="L243" s="63">
        <f>IF(tblMovement[[#This Row],[Destination]]="","",IFERROR(INDEX(tblDestinations[Type],MATCH(tblMovement[[#This Row],[Destination]],tblDestinations[Destination],0)),"?"))</f>
        <v/>
      </c>
      <c r="M243" s="64">
        <f>IF(tblMovement[[#This Row],[Material]]="","",IF(LEFT(tblMovement[[#This Row],[Material]],3)="Ore",1,0))</f>
        <v/>
      </c>
      <c r="N243" s="59">
        <f>IF(OR(tblMovement[[#This Row],[Tonnes_t]]="",tblMovement[[#This Row],[Grade_gpt]]=""),0,tblMovement[[#This Row],[Tonnes_t]]*tblMovement[[#This Row],[Grade_gpt]]/cfg_TroyOz)</f>
        <v/>
      </c>
      <c r="O243" s="59">
        <f>IF(tblMovement[[#This Row],[Is_Ore]]=1,tblMovement[[#This Row],[Contained_oz]],0)</f>
        <v/>
      </c>
    </row>
    <row r="244">
      <c r="A244" s="54" t="n"/>
      <c r="B244" s="61" t="n"/>
      <c r="C244" s="61" t="n"/>
      <c r="D244" s="61" t="n"/>
      <c r="E244" s="61" t="n"/>
      <c r="F244" s="55" t="n"/>
      <c r="G244" s="56" t="n"/>
      <c r="H244" s="55" t="n"/>
      <c r="I244" s="62" t="n"/>
      <c r="J244" s="58" t="n"/>
      <c r="K244" s="63">
        <f>IF(tblMovement[[#This Row],[Source]]="","",IFERROR(INDEX(tblSources[Type],MATCH(tblMovement[[#This Row],[Source]],tblSources[Source],0)),"?"))</f>
        <v/>
      </c>
      <c r="L244" s="63">
        <f>IF(tblMovement[[#This Row],[Destination]]="","",IFERROR(INDEX(tblDestinations[Type],MATCH(tblMovement[[#This Row],[Destination]],tblDestinations[Destination],0)),"?"))</f>
        <v/>
      </c>
      <c r="M244" s="64">
        <f>IF(tblMovement[[#This Row],[Material]]="","",IF(LEFT(tblMovement[[#This Row],[Material]],3)="Ore",1,0))</f>
        <v/>
      </c>
      <c r="N244" s="59">
        <f>IF(OR(tblMovement[[#This Row],[Tonnes_t]]="",tblMovement[[#This Row],[Grade_gpt]]=""),0,tblMovement[[#This Row],[Tonnes_t]]*tblMovement[[#This Row],[Grade_gpt]]/cfg_TroyOz)</f>
        <v/>
      </c>
      <c r="O244" s="59">
        <f>IF(tblMovement[[#This Row],[Is_Ore]]=1,tblMovement[[#This Row],[Contained_oz]],0)</f>
        <v/>
      </c>
    </row>
    <row r="245">
      <c r="A245" s="54" t="n"/>
      <c r="B245" s="61" t="n"/>
      <c r="C245" s="61" t="n"/>
      <c r="D245" s="61" t="n"/>
      <c r="E245" s="61" t="n"/>
      <c r="F245" s="55" t="n"/>
      <c r="G245" s="56" t="n"/>
      <c r="H245" s="55" t="n"/>
      <c r="I245" s="62" t="n"/>
      <c r="J245" s="58" t="n"/>
      <c r="K245" s="63">
        <f>IF(tblMovement[[#This Row],[Source]]="","",IFERROR(INDEX(tblSources[Type],MATCH(tblMovement[[#This Row],[Source]],tblSources[Source],0)),"?"))</f>
        <v/>
      </c>
      <c r="L245" s="63">
        <f>IF(tblMovement[[#This Row],[Destination]]="","",IFERROR(INDEX(tblDestinations[Type],MATCH(tblMovement[[#This Row],[Destination]],tblDestinations[Destination],0)),"?"))</f>
        <v/>
      </c>
      <c r="M245" s="64">
        <f>IF(tblMovement[[#This Row],[Material]]="","",IF(LEFT(tblMovement[[#This Row],[Material]],3)="Ore",1,0))</f>
        <v/>
      </c>
      <c r="N245" s="59">
        <f>IF(OR(tblMovement[[#This Row],[Tonnes_t]]="",tblMovement[[#This Row],[Grade_gpt]]=""),0,tblMovement[[#This Row],[Tonnes_t]]*tblMovement[[#This Row],[Grade_gpt]]/cfg_TroyOz)</f>
        <v/>
      </c>
      <c r="O245" s="59">
        <f>IF(tblMovement[[#This Row],[Is_Ore]]=1,tblMovement[[#This Row],[Contained_oz]],0)</f>
        <v/>
      </c>
    </row>
    <row r="246">
      <c r="A246" s="54" t="n"/>
      <c r="B246" s="61" t="n"/>
      <c r="C246" s="61" t="n"/>
      <c r="D246" s="61" t="n"/>
      <c r="E246" s="61" t="n"/>
      <c r="F246" s="55" t="n"/>
      <c r="G246" s="56" t="n"/>
      <c r="H246" s="55" t="n"/>
      <c r="I246" s="62" t="n"/>
      <c r="J246" s="58" t="n"/>
      <c r="K246" s="63">
        <f>IF(tblMovement[[#This Row],[Source]]="","",IFERROR(INDEX(tblSources[Type],MATCH(tblMovement[[#This Row],[Source]],tblSources[Source],0)),"?"))</f>
        <v/>
      </c>
      <c r="L246" s="63">
        <f>IF(tblMovement[[#This Row],[Destination]]="","",IFERROR(INDEX(tblDestinations[Type],MATCH(tblMovement[[#This Row],[Destination]],tblDestinations[Destination],0)),"?"))</f>
        <v/>
      </c>
      <c r="M246" s="64">
        <f>IF(tblMovement[[#This Row],[Material]]="","",IF(LEFT(tblMovement[[#This Row],[Material]],3)="Ore",1,0))</f>
        <v/>
      </c>
      <c r="N246" s="59">
        <f>IF(OR(tblMovement[[#This Row],[Tonnes_t]]="",tblMovement[[#This Row],[Grade_gpt]]=""),0,tblMovement[[#This Row],[Tonnes_t]]*tblMovement[[#This Row],[Grade_gpt]]/cfg_TroyOz)</f>
        <v/>
      </c>
      <c r="O246" s="59">
        <f>IF(tblMovement[[#This Row],[Is_Ore]]=1,tblMovement[[#This Row],[Contained_oz]],0)</f>
        <v/>
      </c>
    </row>
    <row r="247">
      <c r="A247" s="54" t="n"/>
      <c r="B247" s="61" t="n"/>
      <c r="C247" s="61" t="n"/>
      <c r="D247" s="61" t="n"/>
      <c r="E247" s="61" t="n"/>
      <c r="F247" s="55" t="n"/>
      <c r="G247" s="56" t="n"/>
      <c r="H247" s="55" t="n"/>
      <c r="I247" s="62" t="n"/>
      <c r="J247" s="58" t="n"/>
      <c r="K247" s="63">
        <f>IF(tblMovement[[#This Row],[Source]]="","",IFERROR(INDEX(tblSources[Type],MATCH(tblMovement[[#This Row],[Source]],tblSources[Source],0)),"?"))</f>
        <v/>
      </c>
      <c r="L247" s="63">
        <f>IF(tblMovement[[#This Row],[Destination]]="","",IFERROR(INDEX(tblDestinations[Type],MATCH(tblMovement[[#This Row],[Destination]],tblDestinations[Destination],0)),"?"))</f>
        <v/>
      </c>
      <c r="M247" s="64">
        <f>IF(tblMovement[[#This Row],[Material]]="","",IF(LEFT(tblMovement[[#This Row],[Material]],3)="Ore",1,0))</f>
        <v/>
      </c>
      <c r="N247" s="59">
        <f>IF(OR(tblMovement[[#This Row],[Tonnes_t]]="",tblMovement[[#This Row],[Grade_gpt]]=""),0,tblMovement[[#This Row],[Tonnes_t]]*tblMovement[[#This Row],[Grade_gpt]]/cfg_TroyOz)</f>
        <v/>
      </c>
      <c r="O247" s="59">
        <f>IF(tblMovement[[#This Row],[Is_Ore]]=1,tblMovement[[#This Row],[Contained_oz]],0)</f>
        <v/>
      </c>
    </row>
    <row r="248">
      <c r="A248" s="54" t="n"/>
      <c r="B248" s="61" t="n"/>
      <c r="C248" s="61" t="n"/>
      <c r="D248" s="61" t="n"/>
      <c r="E248" s="61" t="n"/>
      <c r="F248" s="55" t="n"/>
      <c r="G248" s="56" t="n"/>
      <c r="H248" s="55" t="n"/>
      <c r="I248" s="62" t="n"/>
      <c r="J248" s="58" t="n"/>
      <c r="K248" s="63">
        <f>IF(tblMovement[[#This Row],[Source]]="","",IFERROR(INDEX(tblSources[Type],MATCH(tblMovement[[#This Row],[Source]],tblSources[Source],0)),"?"))</f>
        <v/>
      </c>
      <c r="L248" s="63">
        <f>IF(tblMovement[[#This Row],[Destination]]="","",IFERROR(INDEX(tblDestinations[Type],MATCH(tblMovement[[#This Row],[Destination]],tblDestinations[Destination],0)),"?"))</f>
        <v/>
      </c>
      <c r="M248" s="64">
        <f>IF(tblMovement[[#This Row],[Material]]="","",IF(LEFT(tblMovement[[#This Row],[Material]],3)="Ore",1,0))</f>
        <v/>
      </c>
      <c r="N248" s="59">
        <f>IF(OR(tblMovement[[#This Row],[Tonnes_t]]="",tblMovement[[#This Row],[Grade_gpt]]=""),0,tblMovement[[#This Row],[Tonnes_t]]*tblMovement[[#This Row],[Grade_gpt]]/cfg_TroyOz)</f>
        <v/>
      </c>
      <c r="O248" s="59">
        <f>IF(tblMovement[[#This Row],[Is_Ore]]=1,tblMovement[[#This Row],[Contained_oz]],0)</f>
        <v/>
      </c>
    </row>
    <row r="249">
      <c r="A249" s="54" t="n"/>
      <c r="B249" s="61" t="n"/>
      <c r="C249" s="61" t="n"/>
      <c r="D249" s="61" t="n"/>
      <c r="E249" s="61" t="n"/>
      <c r="F249" s="55" t="n"/>
      <c r="G249" s="56" t="n"/>
      <c r="H249" s="55" t="n"/>
      <c r="I249" s="62" t="n"/>
      <c r="J249" s="58" t="n"/>
      <c r="K249" s="63">
        <f>IF(tblMovement[[#This Row],[Source]]="","",IFERROR(INDEX(tblSources[Type],MATCH(tblMovement[[#This Row],[Source]],tblSources[Source],0)),"?"))</f>
        <v/>
      </c>
      <c r="L249" s="63">
        <f>IF(tblMovement[[#This Row],[Destination]]="","",IFERROR(INDEX(tblDestinations[Type],MATCH(tblMovement[[#This Row],[Destination]],tblDestinations[Destination],0)),"?"))</f>
        <v/>
      </c>
      <c r="M249" s="64">
        <f>IF(tblMovement[[#This Row],[Material]]="","",IF(LEFT(tblMovement[[#This Row],[Material]],3)="Ore",1,0))</f>
        <v/>
      </c>
      <c r="N249" s="59">
        <f>IF(OR(tblMovement[[#This Row],[Tonnes_t]]="",tblMovement[[#This Row],[Grade_gpt]]=""),0,tblMovement[[#This Row],[Tonnes_t]]*tblMovement[[#This Row],[Grade_gpt]]/cfg_TroyOz)</f>
        <v/>
      </c>
      <c r="O249" s="59">
        <f>IF(tblMovement[[#This Row],[Is_Ore]]=1,tblMovement[[#This Row],[Contained_oz]],0)</f>
        <v/>
      </c>
    </row>
    <row r="250">
      <c r="A250" s="54" t="n"/>
      <c r="B250" s="61" t="n"/>
      <c r="C250" s="61" t="n"/>
      <c r="D250" s="61" t="n"/>
      <c r="E250" s="61" t="n"/>
      <c r="F250" s="55" t="n"/>
      <c r="G250" s="56" t="n"/>
      <c r="H250" s="55" t="n"/>
      <c r="I250" s="62" t="n"/>
      <c r="J250" s="58" t="n"/>
      <c r="K250" s="63">
        <f>IF(tblMovement[[#This Row],[Source]]="","",IFERROR(INDEX(tblSources[Type],MATCH(tblMovement[[#This Row],[Source]],tblSources[Source],0)),"?"))</f>
        <v/>
      </c>
      <c r="L250" s="63">
        <f>IF(tblMovement[[#This Row],[Destination]]="","",IFERROR(INDEX(tblDestinations[Type],MATCH(tblMovement[[#This Row],[Destination]],tblDestinations[Destination],0)),"?"))</f>
        <v/>
      </c>
      <c r="M250" s="64">
        <f>IF(tblMovement[[#This Row],[Material]]="","",IF(LEFT(tblMovement[[#This Row],[Material]],3)="Ore",1,0))</f>
        <v/>
      </c>
      <c r="N250" s="59">
        <f>IF(OR(tblMovement[[#This Row],[Tonnes_t]]="",tblMovement[[#This Row],[Grade_gpt]]=""),0,tblMovement[[#This Row],[Tonnes_t]]*tblMovement[[#This Row],[Grade_gpt]]/cfg_TroyOz)</f>
        <v/>
      </c>
      <c r="O250" s="59">
        <f>IF(tblMovement[[#This Row],[Is_Ore]]=1,tblMovement[[#This Row],[Contained_oz]],0)</f>
        <v/>
      </c>
    </row>
    <row r="251">
      <c r="A251" s="54" t="n"/>
      <c r="B251" s="61" t="n"/>
      <c r="C251" s="61" t="n"/>
      <c r="D251" s="61" t="n"/>
      <c r="E251" s="61" t="n"/>
      <c r="F251" s="55" t="n"/>
      <c r="G251" s="56" t="n"/>
      <c r="H251" s="55" t="n"/>
      <c r="I251" s="62" t="n"/>
      <c r="J251" s="58" t="n"/>
      <c r="K251" s="63">
        <f>IF(tblMovement[[#This Row],[Source]]="","",IFERROR(INDEX(tblSources[Type],MATCH(tblMovement[[#This Row],[Source]],tblSources[Source],0)),"?"))</f>
        <v/>
      </c>
      <c r="L251" s="63">
        <f>IF(tblMovement[[#This Row],[Destination]]="","",IFERROR(INDEX(tblDestinations[Type],MATCH(tblMovement[[#This Row],[Destination]],tblDestinations[Destination],0)),"?"))</f>
        <v/>
      </c>
      <c r="M251" s="64">
        <f>IF(tblMovement[[#This Row],[Material]]="","",IF(LEFT(tblMovement[[#This Row],[Material]],3)="Ore",1,0))</f>
        <v/>
      </c>
      <c r="N251" s="59">
        <f>IF(OR(tblMovement[[#This Row],[Tonnes_t]]="",tblMovement[[#This Row],[Grade_gpt]]=""),0,tblMovement[[#This Row],[Tonnes_t]]*tblMovement[[#This Row],[Grade_gpt]]/cfg_TroyOz)</f>
        <v/>
      </c>
      <c r="O251" s="59">
        <f>IF(tblMovement[[#This Row],[Is_Ore]]=1,tblMovement[[#This Row],[Contained_oz]],0)</f>
        <v/>
      </c>
    </row>
    <row r="252">
      <c r="A252" s="54" t="n"/>
      <c r="B252" s="61" t="n"/>
      <c r="C252" s="61" t="n"/>
      <c r="D252" s="61" t="n"/>
      <c r="E252" s="61" t="n"/>
      <c r="F252" s="55" t="n"/>
      <c r="G252" s="56" t="n"/>
      <c r="H252" s="55" t="n"/>
      <c r="I252" s="62" t="n"/>
      <c r="J252" s="58" t="n"/>
      <c r="K252" s="63">
        <f>IF(tblMovement[[#This Row],[Source]]="","",IFERROR(INDEX(tblSources[Type],MATCH(tblMovement[[#This Row],[Source]],tblSources[Source],0)),"?"))</f>
        <v/>
      </c>
      <c r="L252" s="63">
        <f>IF(tblMovement[[#This Row],[Destination]]="","",IFERROR(INDEX(tblDestinations[Type],MATCH(tblMovement[[#This Row],[Destination]],tblDestinations[Destination],0)),"?"))</f>
        <v/>
      </c>
      <c r="M252" s="64">
        <f>IF(tblMovement[[#This Row],[Material]]="","",IF(LEFT(tblMovement[[#This Row],[Material]],3)="Ore",1,0))</f>
        <v/>
      </c>
      <c r="N252" s="59">
        <f>IF(OR(tblMovement[[#This Row],[Tonnes_t]]="",tblMovement[[#This Row],[Grade_gpt]]=""),0,tblMovement[[#This Row],[Tonnes_t]]*tblMovement[[#This Row],[Grade_gpt]]/cfg_TroyOz)</f>
        <v/>
      </c>
      <c r="O252" s="59">
        <f>IF(tblMovement[[#This Row],[Is_Ore]]=1,tblMovement[[#This Row],[Contained_oz]],0)</f>
        <v/>
      </c>
    </row>
    <row r="253">
      <c r="A253" s="54" t="n"/>
      <c r="B253" s="61" t="n"/>
      <c r="C253" s="61" t="n"/>
      <c r="D253" s="61" t="n"/>
      <c r="E253" s="61" t="n"/>
      <c r="F253" s="55" t="n"/>
      <c r="G253" s="56" t="n"/>
      <c r="H253" s="55" t="n"/>
      <c r="I253" s="62" t="n"/>
      <c r="J253" s="58" t="n"/>
      <c r="K253" s="63">
        <f>IF(tblMovement[[#This Row],[Source]]="","",IFERROR(INDEX(tblSources[Type],MATCH(tblMovement[[#This Row],[Source]],tblSources[Source],0)),"?"))</f>
        <v/>
      </c>
      <c r="L253" s="63">
        <f>IF(tblMovement[[#This Row],[Destination]]="","",IFERROR(INDEX(tblDestinations[Type],MATCH(tblMovement[[#This Row],[Destination]],tblDestinations[Destination],0)),"?"))</f>
        <v/>
      </c>
      <c r="M253" s="64">
        <f>IF(tblMovement[[#This Row],[Material]]="","",IF(LEFT(tblMovement[[#This Row],[Material]],3)="Ore",1,0))</f>
        <v/>
      </c>
      <c r="N253" s="59">
        <f>IF(OR(tblMovement[[#This Row],[Tonnes_t]]="",tblMovement[[#This Row],[Grade_gpt]]=""),0,tblMovement[[#This Row],[Tonnes_t]]*tblMovement[[#This Row],[Grade_gpt]]/cfg_TroyOz)</f>
        <v/>
      </c>
      <c r="O253" s="59">
        <f>IF(tblMovement[[#This Row],[Is_Ore]]=1,tblMovement[[#This Row],[Contained_oz]],0)</f>
        <v/>
      </c>
    </row>
    <row r="254">
      <c r="A254" s="54" t="n"/>
      <c r="B254" s="61" t="n"/>
      <c r="C254" s="61" t="n"/>
      <c r="D254" s="61" t="n"/>
      <c r="E254" s="61" t="n"/>
      <c r="F254" s="55" t="n"/>
      <c r="G254" s="56" t="n"/>
      <c r="H254" s="55" t="n"/>
      <c r="I254" s="62" t="n"/>
      <c r="J254" s="58" t="n"/>
      <c r="K254" s="63">
        <f>IF(tblMovement[[#This Row],[Source]]="","",IFERROR(INDEX(tblSources[Type],MATCH(tblMovement[[#This Row],[Source]],tblSources[Source],0)),"?"))</f>
        <v/>
      </c>
      <c r="L254" s="63">
        <f>IF(tblMovement[[#This Row],[Destination]]="","",IFERROR(INDEX(tblDestinations[Type],MATCH(tblMovement[[#This Row],[Destination]],tblDestinations[Destination],0)),"?"))</f>
        <v/>
      </c>
      <c r="M254" s="64">
        <f>IF(tblMovement[[#This Row],[Material]]="","",IF(LEFT(tblMovement[[#This Row],[Material]],3)="Ore",1,0))</f>
        <v/>
      </c>
      <c r="N254" s="59">
        <f>IF(OR(tblMovement[[#This Row],[Tonnes_t]]="",tblMovement[[#This Row],[Grade_gpt]]=""),0,tblMovement[[#This Row],[Tonnes_t]]*tblMovement[[#This Row],[Grade_gpt]]/cfg_TroyOz)</f>
        <v/>
      </c>
      <c r="O254" s="59">
        <f>IF(tblMovement[[#This Row],[Is_Ore]]=1,tblMovement[[#This Row],[Contained_oz]],0)</f>
        <v/>
      </c>
    </row>
    <row r="255">
      <c r="A255" s="54" t="n"/>
      <c r="B255" s="61" t="n"/>
      <c r="C255" s="61" t="n"/>
      <c r="D255" s="61" t="n"/>
      <c r="E255" s="61" t="n"/>
      <c r="F255" s="55" t="n"/>
      <c r="G255" s="56" t="n"/>
      <c r="H255" s="55" t="n"/>
      <c r="I255" s="62" t="n"/>
      <c r="J255" s="58" t="n"/>
      <c r="K255" s="63">
        <f>IF(tblMovement[[#This Row],[Source]]="","",IFERROR(INDEX(tblSources[Type],MATCH(tblMovement[[#This Row],[Source]],tblSources[Source],0)),"?"))</f>
        <v/>
      </c>
      <c r="L255" s="63">
        <f>IF(tblMovement[[#This Row],[Destination]]="","",IFERROR(INDEX(tblDestinations[Type],MATCH(tblMovement[[#This Row],[Destination]],tblDestinations[Destination],0)),"?"))</f>
        <v/>
      </c>
      <c r="M255" s="64">
        <f>IF(tblMovement[[#This Row],[Material]]="","",IF(LEFT(tblMovement[[#This Row],[Material]],3)="Ore",1,0))</f>
        <v/>
      </c>
      <c r="N255" s="59">
        <f>IF(OR(tblMovement[[#This Row],[Tonnes_t]]="",tblMovement[[#This Row],[Grade_gpt]]=""),0,tblMovement[[#This Row],[Tonnes_t]]*tblMovement[[#This Row],[Grade_gpt]]/cfg_TroyOz)</f>
        <v/>
      </c>
      <c r="O255" s="59">
        <f>IF(tblMovement[[#This Row],[Is_Ore]]=1,tblMovement[[#This Row],[Contained_oz]],0)</f>
        <v/>
      </c>
    </row>
    <row r="256">
      <c r="A256" s="54" t="n"/>
      <c r="B256" s="61" t="n"/>
      <c r="C256" s="61" t="n"/>
      <c r="D256" s="61" t="n"/>
      <c r="E256" s="61" t="n"/>
      <c r="F256" s="55" t="n"/>
      <c r="G256" s="56" t="n"/>
      <c r="H256" s="55" t="n"/>
      <c r="I256" s="62" t="n"/>
      <c r="J256" s="58" t="n"/>
      <c r="K256" s="63">
        <f>IF(tblMovement[[#This Row],[Source]]="","",IFERROR(INDEX(tblSources[Type],MATCH(tblMovement[[#This Row],[Source]],tblSources[Source],0)),"?"))</f>
        <v/>
      </c>
      <c r="L256" s="63">
        <f>IF(tblMovement[[#This Row],[Destination]]="","",IFERROR(INDEX(tblDestinations[Type],MATCH(tblMovement[[#This Row],[Destination]],tblDestinations[Destination],0)),"?"))</f>
        <v/>
      </c>
      <c r="M256" s="64">
        <f>IF(tblMovement[[#This Row],[Material]]="","",IF(LEFT(tblMovement[[#This Row],[Material]],3)="Ore",1,0))</f>
        <v/>
      </c>
      <c r="N256" s="59">
        <f>IF(OR(tblMovement[[#This Row],[Tonnes_t]]="",tblMovement[[#This Row],[Grade_gpt]]=""),0,tblMovement[[#This Row],[Tonnes_t]]*tblMovement[[#This Row],[Grade_gpt]]/cfg_TroyOz)</f>
        <v/>
      </c>
      <c r="O256" s="59">
        <f>IF(tblMovement[[#This Row],[Is_Ore]]=1,tblMovement[[#This Row],[Contained_oz]],0)</f>
        <v/>
      </c>
    </row>
    <row r="257">
      <c r="A257" s="54" t="n"/>
      <c r="B257" s="61" t="n"/>
      <c r="C257" s="61" t="n"/>
      <c r="D257" s="61" t="n"/>
      <c r="E257" s="61" t="n"/>
      <c r="F257" s="55" t="n"/>
      <c r="G257" s="56" t="n"/>
      <c r="H257" s="55" t="n"/>
      <c r="I257" s="62" t="n"/>
      <c r="J257" s="58" t="n"/>
      <c r="K257" s="63">
        <f>IF(tblMovement[[#This Row],[Source]]="","",IFERROR(INDEX(tblSources[Type],MATCH(tblMovement[[#This Row],[Source]],tblSources[Source],0)),"?"))</f>
        <v/>
      </c>
      <c r="L257" s="63">
        <f>IF(tblMovement[[#This Row],[Destination]]="","",IFERROR(INDEX(tblDestinations[Type],MATCH(tblMovement[[#This Row],[Destination]],tblDestinations[Destination],0)),"?"))</f>
        <v/>
      </c>
      <c r="M257" s="64">
        <f>IF(tblMovement[[#This Row],[Material]]="","",IF(LEFT(tblMovement[[#This Row],[Material]],3)="Ore",1,0))</f>
        <v/>
      </c>
      <c r="N257" s="59">
        <f>IF(OR(tblMovement[[#This Row],[Tonnes_t]]="",tblMovement[[#This Row],[Grade_gpt]]=""),0,tblMovement[[#This Row],[Tonnes_t]]*tblMovement[[#This Row],[Grade_gpt]]/cfg_TroyOz)</f>
        <v/>
      </c>
      <c r="O257" s="59">
        <f>IF(tblMovement[[#This Row],[Is_Ore]]=1,tblMovement[[#This Row],[Contained_oz]],0)</f>
        <v/>
      </c>
    </row>
    <row r="258">
      <c r="A258" s="54" t="n"/>
      <c r="B258" s="61" t="n"/>
      <c r="C258" s="61" t="n"/>
      <c r="D258" s="61" t="n"/>
      <c r="E258" s="61" t="n"/>
      <c r="F258" s="55" t="n"/>
      <c r="G258" s="56" t="n"/>
      <c r="H258" s="55" t="n"/>
      <c r="I258" s="62" t="n"/>
      <c r="J258" s="58" t="n"/>
      <c r="K258" s="63">
        <f>IF(tblMovement[[#This Row],[Source]]="","",IFERROR(INDEX(tblSources[Type],MATCH(tblMovement[[#This Row],[Source]],tblSources[Source],0)),"?"))</f>
        <v/>
      </c>
      <c r="L258" s="63">
        <f>IF(tblMovement[[#This Row],[Destination]]="","",IFERROR(INDEX(tblDestinations[Type],MATCH(tblMovement[[#This Row],[Destination]],tblDestinations[Destination],0)),"?"))</f>
        <v/>
      </c>
      <c r="M258" s="64">
        <f>IF(tblMovement[[#This Row],[Material]]="","",IF(LEFT(tblMovement[[#This Row],[Material]],3)="Ore",1,0))</f>
        <v/>
      </c>
      <c r="N258" s="59">
        <f>IF(OR(tblMovement[[#This Row],[Tonnes_t]]="",tblMovement[[#This Row],[Grade_gpt]]=""),0,tblMovement[[#This Row],[Tonnes_t]]*tblMovement[[#This Row],[Grade_gpt]]/cfg_TroyOz)</f>
        <v/>
      </c>
      <c r="O258" s="59">
        <f>IF(tblMovement[[#This Row],[Is_Ore]]=1,tblMovement[[#This Row],[Contained_oz]],0)</f>
        <v/>
      </c>
    </row>
    <row r="259">
      <c r="A259" s="54" t="n"/>
      <c r="B259" s="61" t="n"/>
      <c r="C259" s="61" t="n"/>
      <c r="D259" s="61" t="n"/>
      <c r="E259" s="61" t="n"/>
      <c r="F259" s="55" t="n"/>
      <c r="G259" s="56" t="n"/>
      <c r="H259" s="55" t="n"/>
      <c r="I259" s="62" t="n"/>
      <c r="J259" s="58" t="n"/>
      <c r="K259" s="63">
        <f>IF(tblMovement[[#This Row],[Source]]="","",IFERROR(INDEX(tblSources[Type],MATCH(tblMovement[[#This Row],[Source]],tblSources[Source],0)),"?"))</f>
        <v/>
      </c>
      <c r="L259" s="63">
        <f>IF(tblMovement[[#This Row],[Destination]]="","",IFERROR(INDEX(tblDestinations[Type],MATCH(tblMovement[[#This Row],[Destination]],tblDestinations[Destination],0)),"?"))</f>
        <v/>
      </c>
      <c r="M259" s="64">
        <f>IF(tblMovement[[#This Row],[Material]]="","",IF(LEFT(tblMovement[[#This Row],[Material]],3)="Ore",1,0))</f>
        <v/>
      </c>
      <c r="N259" s="59">
        <f>IF(OR(tblMovement[[#This Row],[Tonnes_t]]="",tblMovement[[#This Row],[Grade_gpt]]=""),0,tblMovement[[#This Row],[Tonnes_t]]*tblMovement[[#This Row],[Grade_gpt]]/cfg_TroyOz)</f>
        <v/>
      </c>
      <c r="O259" s="59">
        <f>IF(tblMovement[[#This Row],[Is_Ore]]=1,tblMovement[[#This Row],[Contained_oz]],0)</f>
        <v/>
      </c>
    </row>
    <row r="260">
      <c r="A260" s="54" t="n"/>
      <c r="B260" s="61" t="n"/>
      <c r="C260" s="61" t="n"/>
      <c r="D260" s="61" t="n"/>
      <c r="E260" s="61" t="n"/>
      <c r="F260" s="55" t="n"/>
      <c r="G260" s="56" t="n"/>
      <c r="H260" s="55" t="n"/>
      <c r="I260" s="62" t="n"/>
      <c r="J260" s="58" t="n"/>
      <c r="K260" s="63">
        <f>IF(tblMovement[[#This Row],[Source]]="","",IFERROR(INDEX(tblSources[Type],MATCH(tblMovement[[#This Row],[Source]],tblSources[Source],0)),"?"))</f>
        <v/>
      </c>
      <c r="L260" s="63">
        <f>IF(tblMovement[[#This Row],[Destination]]="","",IFERROR(INDEX(tblDestinations[Type],MATCH(tblMovement[[#This Row],[Destination]],tblDestinations[Destination],0)),"?"))</f>
        <v/>
      </c>
      <c r="M260" s="64">
        <f>IF(tblMovement[[#This Row],[Material]]="","",IF(LEFT(tblMovement[[#This Row],[Material]],3)="Ore",1,0))</f>
        <v/>
      </c>
      <c r="N260" s="59">
        <f>IF(OR(tblMovement[[#This Row],[Tonnes_t]]="",tblMovement[[#This Row],[Grade_gpt]]=""),0,tblMovement[[#This Row],[Tonnes_t]]*tblMovement[[#This Row],[Grade_gpt]]/cfg_TroyOz)</f>
        <v/>
      </c>
      <c r="O260" s="59">
        <f>IF(tblMovement[[#This Row],[Is_Ore]]=1,tblMovement[[#This Row],[Contained_oz]],0)</f>
        <v/>
      </c>
    </row>
    <row r="261">
      <c r="A261" s="54" t="n"/>
      <c r="B261" s="61" t="n"/>
      <c r="C261" s="61" t="n"/>
      <c r="D261" s="61" t="n"/>
      <c r="E261" s="61" t="n"/>
      <c r="F261" s="55" t="n"/>
      <c r="G261" s="56" t="n"/>
      <c r="H261" s="55" t="n"/>
      <c r="I261" s="62" t="n"/>
      <c r="J261" s="58" t="n"/>
      <c r="K261" s="63">
        <f>IF(tblMovement[[#This Row],[Source]]="","",IFERROR(INDEX(tblSources[Type],MATCH(tblMovement[[#This Row],[Source]],tblSources[Source],0)),"?"))</f>
        <v/>
      </c>
      <c r="L261" s="63">
        <f>IF(tblMovement[[#This Row],[Destination]]="","",IFERROR(INDEX(tblDestinations[Type],MATCH(tblMovement[[#This Row],[Destination]],tblDestinations[Destination],0)),"?"))</f>
        <v/>
      </c>
      <c r="M261" s="64">
        <f>IF(tblMovement[[#This Row],[Material]]="","",IF(LEFT(tblMovement[[#This Row],[Material]],3)="Ore",1,0))</f>
        <v/>
      </c>
      <c r="N261" s="59">
        <f>IF(OR(tblMovement[[#This Row],[Tonnes_t]]="",tblMovement[[#This Row],[Grade_gpt]]=""),0,tblMovement[[#This Row],[Tonnes_t]]*tblMovement[[#This Row],[Grade_gpt]]/cfg_TroyOz)</f>
        <v/>
      </c>
      <c r="O261" s="59">
        <f>IF(tblMovement[[#This Row],[Is_Ore]]=1,tblMovement[[#This Row],[Contained_oz]],0)</f>
        <v/>
      </c>
    </row>
    <row r="262">
      <c r="A262" s="54" t="n"/>
      <c r="B262" s="61" t="n"/>
      <c r="C262" s="61" t="n"/>
      <c r="D262" s="61" t="n"/>
      <c r="E262" s="61" t="n"/>
      <c r="F262" s="55" t="n"/>
      <c r="G262" s="56" t="n"/>
      <c r="H262" s="55" t="n"/>
      <c r="I262" s="62" t="n"/>
      <c r="J262" s="58" t="n"/>
      <c r="K262" s="63">
        <f>IF(tblMovement[[#This Row],[Source]]="","",IFERROR(INDEX(tblSources[Type],MATCH(tblMovement[[#This Row],[Source]],tblSources[Source],0)),"?"))</f>
        <v/>
      </c>
      <c r="L262" s="63">
        <f>IF(tblMovement[[#This Row],[Destination]]="","",IFERROR(INDEX(tblDestinations[Type],MATCH(tblMovement[[#This Row],[Destination]],tblDestinations[Destination],0)),"?"))</f>
        <v/>
      </c>
      <c r="M262" s="64">
        <f>IF(tblMovement[[#This Row],[Material]]="","",IF(LEFT(tblMovement[[#This Row],[Material]],3)="Ore",1,0))</f>
        <v/>
      </c>
      <c r="N262" s="59">
        <f>IF(OR(tblMovement[[#This Row],[Tonnes_t]]="",tblMovement[[#This Row],[Grade_gpt]]=""),0,tblMovement[[#This Row],[Tonnes_t]]*tblMovement[[#This Row],[Grade_gpt]]/cfg_TroyOz)</f>
        <v/>
      </c>
      <c r="O262" s="59">
        <f>IF(tblMovement[[#This Row],[Is_Ore]]=1,tblMovement[[#This Row],[Contained_oz]],0)</f>
        <v/>
      </c>
    </row>
    <row r="263">
      <c r="A263" s="54" t="n"/>
      <c r="B263" s="61" t="n"/>
      <c r="C263" s="61" t="n"/>
      <c r="D263" s="61" t="n"/>
      <c r="E263" s="61" t="n"/>
      <c r="F263" s="55" t="n"/>
      <c r="G263" s="56" t="n"/>
      <c r="H263" s="55" t="n"/>
      <c r="I263" s="62" t="n"/>
      <c r="J263" s="58" t="n"/>
      <c r="K263" s="63">
        <f>IF(tblMovement[[#This Row],[Source]]="","",IFERROR(INDEX(tblSources[Type],MATCH(tblMovement[[#This Row],[Source]],tblSources[Source],0)),"?"))</f>
        <v/>
      </c>
      <c r="L263" s="63">
        <f>IF(tblMovement[[#This Row],[Destination]]="","",IFERROR(INDEX(tblDestinations[Type],MATCH(tblMovement[[#This Row],[Destination]],tblDestinations[Destination],0)),"?"))</f>
        <v/>
      </c>
      <c r="M263" s="64">
        <f>IF(tblMovement[[#This Row],[Material]]="","",IF(LEFT(tblMovement[[#This Row],[Material]],3)="Ore",1,0))</f>
        <v/>
      </c>
      <c r="N263" s="59">
        <f>IF(OR(tblMovement[[#This Row],[Tonnes_t]]="",tblMovement[[#This Row],[Grade_gpt]]=""),0,tblMovement[[#This Row],[Tonnes_t]]*tblMovement[[#This Row],[Grade_gpt]]/cfg_TroyOz)</f>
        <v/>
      </c>
      <c r="O263" s="59">
        <f>IF(tblMovement[[#This Row],[Is_Ore]]=1,tblMovement[[#This Row],[Contained_oz]],0)</f>
        <v/>
      </c>
    </row>
    <row r="264">
      <c r="A264" s="54" t="n"/>
      <c r="B264" s="61" t="n"/>
      <c r="C264" s="61" t="n"/>
      <c r="D264" s="61" t="n"/>
      <c r="E264" s="61" t="n"/>
      <c r="F264" s="55" t="n"/>
      <c r="G264" s="56" t="n"/>
      <c r="H264" s="55" t="n"/>
      <c r="I264" s="62" t="n"/>
      <c r="J264" s="58" t="n"/>
      <c r="K264" s="63">
        <f>IF(tblMovement[[#This Row],[Source]]="","",IFERROR(INDEX(tblSources[Type],MATCH(tblMovement[[#This Row],[Source]],tblSources[Source],0)),"?"))</f>
        <v/>
      </c>
      <c r="L264" s="63">
        <f>IF(tblMovement[[#This Row],[Destination]]="","",IFERROR(INDEX(tblDestinations[Type],MATCH(tblMovement[[#This Row],[Destination]],tblDestinations[Destination],0)),"?"))</f>
        <v/>
      </c>
      <c r="M264" s="64">
        <f>IF(tblMovement[[#This Row],[Material]]="","",IF(LEFT(tblMovement[[#This Row],[Material]],3)="Ore",1,0))</f>
        <v/>
      </c>
      <c r="N264" s="59">
        <f>IF(OR(tblMovement[[#This Row],[Tonnes_t]]="",tblMovement[[#This Row],[Grade_gpt]]=""),0,tblMovement[[#This Row],[Tonnes_t]]*tblMovement[[#This Row],[Grade_gpt]]/cfg_TroyOz)</f>
        <v/>
      </c>
      <c r="O264" s="59">
        <f>IF(tblMovement[[#This Row],[Is_Ore]]=1,tblMovement[[#This Row],[Contained_oz]],0)</f>
        <v/>
      </c>
    </row>
    <row r="265">
      <c r="A265" s="54" t="n"/>
      <c r="B265" s="61" t="n"/>
      <c r="C265" s="61" t="n"/>
      <c r="D265" s="61" t="n"/>
      <c r="E265" s="61" t="n"/>
      <c r="F265" s="55" t="n"/>
      <c r="G265" s="56" t="n"/>
      <c r="H265" s="55" t="n"/>
      <c r="I265" s="62" t="n"/>
      <c r="J265" s="58" t="n"/>
      <c r="K265" s="63">
        <f>IF(tblMovement[[#This Row],[Source]]="","",IFERROR(INDEX(tblSources[Type],MATCH(tblMovement[[#This Row],[Source]],tblSources[Source],0)),"?"))</f>
        <v/>
      </c>
      <c r="L265" s="63">
        <f>IF(tblMovement[[#This Row],[Destination]]="","",IFERROR(INDEX(tblDestinations[Type],MATCH(tblMovement[[#This Row],[Destination]],tblDestinations[Destination],0)),"?"))</f>
        <v/>
      </c>
      <c r="M265" s="64">
        <f>IF(tblMovement[[#This Row],[Material]]="","",IF(LEFT(tblMovement[[#This Row],[Material]],3)="Ore",1,0))</f>
        <v/>
      </c>
      <c r="N265" s="59">
        <f>IF(OR(tblMovement[[#This Row],[Tonnes_t]]="",tblMovement[[#This Row],[Grade_gpt]]=""),0,tblMovement[[#This Row],[Tonnes_t]]*tblMovement[[#This Row],[Grade_gpt]]/cfg_TroyOz)</f>
        <v/>
      </c>
      <c r="O265" s="59">
        <f>IF(tblMovement[[#This Row],[Is_Ore]]=1,tblMovement[[#This Row],[Contained_oz]],0)</f>
        <v/>
      </c>
    </row>
    <row r="266">
      <c r="A266" s="54" t="n"/>
      <c r="B266" s="61" t="n"/>
      <c r="C266" s="61" t="n"/>
      <c r="D266" s="61" t="n"/>
      <c r="E266" s="61" t="n"/>
      <c r="F266" s="55" t="n"/>
      <c r="G266" s="56" t="n"/>
      <c r="H266" s="55" t="n"/>
      <c r="I266" s="62" t="n"/>
      <c r="J266" s="58" t="n"/>
      <c r="K266" s="63">
        <f>IF(tblMovement[[#This Row],[Source]]="","",IFERROR(INDEX(tblSources[Type],MATCH(tblMovement[[#This Row],[Source]],tblSources[Source],0)),"?"))</f>
        <v/>
      </c>
      <c r="L266" s="63">
        <f>IF(tblMovement[[#This Row],[Destination]]="","",IFERROR(INDEX(tblDestinations[Type],MATCH(tblMovement[[#This Row],[Destination]],tblDestinations[Destination],0)),"?"))</f>
        <v/>
      </c>
      <c r="M266" s="64">
        <f>IF(tblMovement[[#This Row],[Material]]="","",IF(LEFT(tblMovement[[#This Row],[Material]],3)="Ore",1,0))</f>
        <v/>
      </c>
      <c r="N266" s="59">
        <f>IF(OR(tblMovement[[#This Row],[Tonnes_t]]="",tblMovement[[#This Row],[Grade_gpt]]=""),0,tblMovement[[#This Row],[Tonnes_t]]*tblMovement[[#This Row],[Grade_gpt]]/cfg_TroyOz)</f>
        <v/>
      </c>
      <c r="O266" s="59">
        <f>IF(tblMovement[[#This Row],[Is_Ore]]=1,tblMovement[[#This Row],[Contained_oz]],0)</f>
        <v/>
      </c>
    </row>
    <row r="267">
      <c r="A267" s="54" t="n"/>
      <c r="B267" s="61" t="n"/>
      <c r="C267" s="61" t="n"/>
      <c r="D267" s="61" t="n"/>
      <c r="E267" s="61" t="n"/>
      <c r="F267" s="55" t="n"/>
      <c r="G267" s="56" t="n"/>
      <c r="H267" s="55" t="n"/>
      <c r="I267" s="62" t="n"/>
      <c r="J267" s="58" t="n"/>
      <c r="K267" s="63">
        <f>IF(tblMovement[[#This Row],[Source]]="","",IFERROR(INDEX(tblSources[Type],MATCH(tblMovement[[#This Row],[Source]],tblSources[Source],0)),"?"))</f>
        <v/>
      </c>
      <c r="L267" s="63">
        <f>IF(tblMovement[[#This Row],[Destination]]="","",IFERROR(INDEX(tblDestinations[Type],MATCH(tblMovement[[#This Row],[Destination]],tblDestinations[Destination],0)),"?"))</f>
        <v/>
      </c>
      <c r="M267" s="64">
        <f>IF(tblMovement[[#This Row],[Material]]="","",IF(LEFT(tblMovement[[#This Row],[Material]],3)="Ore",1,0))</f>
        <v/>
      </c>
      <c r="N267" s="59">
        <f>IF(OR(tblMovement[[#This Row],[Tonnes_t]]="",tblMovement[[#This Row],[Grade_gpt]]=""),0,tblMovement[[#This Row],[Tonnes_t]]*tblMovement[[#This Row],[Grade_gpt]]/cfg_TroyOz)</f>
        <v/>
      </c>
      <c r="O267" s="59">
        <f>IF(tblMovement[[#This Row],[Is_Ore]]=1,tblMovement[[#This Row],[Contained_oz]],0)</f>
        <v/>
      </c>
    </row>
    <row r="268">
      <c r="A268" s="54" t="n"/>
      <c r="B268" s="61" t="n"/>
      <c r="C268" s="61" t="n"/>
      <c r="D268" s="61" t="n"/>
      <c r="E268" s="61" t="n"/>
      <c r="F268" s="55" t="n"/>
      <c r="G268" s="56" t="n"/>
      <c r="H268" s="55" t="n"/>
      <c r="I268" s="62" t="n"/>
      <c r="J268" s="58" t="n"/>
      <c r="K268" s="63">
        <f>IF(tblMovement[[#This Row],[Source]]="","",IFERROR(INDEX(tblSources[Type],MATCH(tblMovement[[#This Row],[Source]],tblSources[Source],0)),"?"))</f>
        <v/>
      </c>
      <c r="L268" s="63">
        <f>IF(tblMovement[[#This Row],[Destination]]="","",IFERROR(INDEX(tblDestinations[Type],MATCH(tblMovement[[#This Row],[Destination]],tblDestinations[Destination],0)),"?"))</f>
        <v/>
      </c>
      <c r="M268" s="64">
        <f>IF(tblMovement[[#This Row],[Material]]="","",IF(LEFT(tblMovement[[#This Row],[Material]],3)="Ore",1,0))</f>
        <v/>
      </c>
      <c r="N268" s="59">
        <f>IF(OR(tblMovement[[#This Row],[Tonnes_t]]="",tblMovement[[#This Row],[Grade_gpt]]=""),0,tblMovement[[#This Row],[Tonnes_t]]*tblMovement[[#This Row],[Grade_gpt]]/cfg_TroyOz)</f>
        <v/>
      </c>
      <c r="O268" s="59">
        <f>IF(tblMovement[[#This Row],[Is_Ore]]=1,tblMovement[[#This Row],[Contained_oz]],0)</f>
        <v/>
      </c>
    </row>
    <row r="269">
      <c r="A269" s="54" t="n"/>
      <c r="B269" s="61" t="n"/>
      <c r="C269" s="61" t="n"/>
      <c r="D269" s="61" t="n"/>
      <c r="E269" s="61" t="n"/>
      <c r="F269" s="55" t="n"/>
      <c r="G269" s="56" t="n"/>
      <c r="H269" s="55" t="n"/>
      <c r="I269" s="62" t="n"/>
      <c r="J269" s="58" t="n"/>
      <c r="K269" s="63">
        <f>IF(tblMovement[[#This Row],[Source]]="","",IFERROR(INDEX(tblSources[Type],MATCH(tblMovement[[#This Row],[Source]],tblSources[Source],0)),"?"))</f>
        <v/>
      </c>
      <c r="L269" s="63">
        <f>IF(tblMovement[[#This Row],[Destination]]="","",IFERROR(INDEX(tblDestinations[Type],MATCH(tblMovement[[#This Row],[Destination]],tblDestinations[Destination],0)),"?"))</f>
        <v/>
      </c>
      <c r="M269" s="64">
        <f>IF(tblMovement[[#This Row],[Material]]="","",IF(LEFT(tblMovement[[#This Row],[Material]],3)="Ore",1,0))</f>
        <v/>
      </c>
      <c r="N269" s="59">
        <f>IF(OR(tblMovement[[#This Row],[Tonnes_t]]="",tblMovement[[#This Row],[Grade_gpt]]=""),0,tblMovement[[#This Row],[Tonnes_t]]*tblMovement[[#This Row],[Grade_gpt]]/cfg_TroyOz)</f>
        <v/>
      </c>
      <c r="O269" s="59">
        <f>IF(tblMovement[[#This Row],[Is_Ore]]=1,tblMovement[[#This Row],[Contained_oz]],0)</f>
        <v/>
      </c>
    </row>
    <row r="270">
      <c r="A270" s="54" t="n"/>
      <c r="B270" s="61" t="n"/>
      <c r="C270" s="61" t="n"/>
      <c r="D270" s="61" t="n"/>
      <c r="E270" s="61" t="n"/>
      <c r="F270" s="55" t="n"/>
      <c r="G270" s="56" t="n"/>
      <c r="H270" s="55" t="n"/>
      <c r="I270" s="62" t="n"/>
      <c r="J270" s="58" t="n"/>
      <c r="K270" s="63">
        <f>IF(tblMovement[[#This Row],[Source]]="","",IFERROR(INDEX(tblSources[Type],MATCH(tblMovement[[#This Row],[Source]],tblSources[Source],0)),"?"))</f>
        <v/>
      </c>
      <c r="L270" s="63">
        <f>IF(tblMovement[[#This Row],[Destination]]="","",IFERROR(INDEX(tblDestinations[Type],MATCH(tblMovement[[#This Row],[Destination]],tblDestinations[Destination],0)),"?"))</f>
        <v/>
      </c>
      <c r="M270" s="64">
        <f>IF(tblMovement[[#This Row],[Material]]="","",IF(LEFT(tblMovement[[#This Row],[Material]],3)="Ore",1,0))</f>
        <v/>
      </c>
      <c r="N270" s="59">
        <f>IF(OR(tblMovement[[#This Row],[Tonnes_t]]="",tblMovement[[#This Row],[Grade_gpt]]=""),0,tblMovement[[#This Row],[Tonnes_t]]*tblMovement[[#This Row],[Grade_gpt]]/cfg_TroyOz)</f>
        <v/>
      </c>
      <c r="O270" s="59">
        <f>IF(tblMovement[[#This Row],[Is_Ore]]=1,tblMovement[[#This Row],[Contained_oz]],0)</f>
        <v/>
      </c>
    </row>
    <row r="271">
      <c r="A271" s="54" t="n"/>
      <c r="B271" s="61" t="n"/>
      <c r="C271" s="61" t="n"/>
      <c r="D271" s="61" t="n"/>
      <c r="E271" s="61" t="n"/>
      <c r="F271" s="55" t="n"/>
      <c r="G271" s="56" t="n"/>
      <c r="H271" s="55" t="n"/>
      <c r="I271" s="62" t="n"/>
      <c r="J271" s="58" t="n"/>
      <c r="K271" s="63">
        <f>IF(tblMovement[[#This Row],[Source]]="","",IFERROR(INDEX(tblSources[Type],MATCH(tblMovement[[#This Row],[Source]],tblSources[Source],0)),"?"))</f>
        <v/>
      </c>
      <c r="L271" s="63">
        <f>IF(tblMovement[[#This Row],[Destination]]="","",IFERROR(INDEX(tblDestinations[Type],MATCH(tblMovement[[#This Row],[Destination]],tblDestinations[Destination],0)),"?"))</f>
        <v/>
      </c>
      <c r="M271" s="64">
        <f>IF(tblMovement[[#This Row],[Material]]="","",IF(LEFT(tblMovement[[#This Row],[Material]],3)="Ore",1,0))</f>
        <v/>
      </c>
      <c r="N271" s="59">
        <f>IF(OR(tblMovement[[#This Row],[Tonnes_t]]="",tblMovement[[#This Row],[Grade_gpt]]=""),0,tblMovement[[#This Row],[Tonnes_t]]*tblMovement[[#This Row],[Grade_gpt]]/cfg_TroyOz)</f>
        <v/>
      </c>
      <c r="O271" s="59">
        <f>IF(tblMovement[[#This Row],[Is_Ore]]=1,tblMovement[[#This Row],[Contained_oz]],0)</f>
        <v/>
      </c>
    </row>
    <row r="272">
      <c r="A272" s="54" t="n"/>
      <c r="B272" s="61" t="n"/>
      <c r="C272" s="61" t="n"/>
      <c r="D272" s="61" t="n"/>
      <c r="E272" s="61" t="n"/>
      <c r="F272" s="55" t="n"/>
      <c r="G272" s="56" t="n"/>
      <c r="H272" s="55" t="n"/>
      <c r="I272" s="62" t="n"/>
      <c r="J272" s="58" t="n"/>
      <c r="K272" s="63">
        <f>IF(tblMovement[[#This Row],[Source]]="","",IFERROR(INDEX(tblSources[Type],MATCH(tblMovement[[#This Row],[Source]],tblSources[Source],0)),"?"))</f>
        <v/>
      </c>
      <c r="L272" s="63">
        <f>IF(tblMovement[[#This Row],[Destination]]="","",IFERROR(INDEX(tblDestinations[Type],MATCH(tblMovement[[#This Row],[Destination]],tblDestinations[Destination],0)),"?"))</f>
        <v/>
      </c>
      <c r="M272" s="64">
        <f>IF(tblMovement[[#This Row],[Material]]="","",IF(LEFT(tblMovement[[#This Row],[Material]],3)="Ore",1,0))</f>
        <v/>
      </c>
      <c r="N272" s="59">
        <f>IF(OR(tblMovement[[#This Row],[Tonnes_t]]="",tblMovement[[#This Row],[Grade_gpt]]=""),0,tblMovement[[#This Row],[Tonnes_t]]*tblMovement[[#This Row],[Grade_gpt]]/cfg_TroyOz)</f>
        <v/>
      </c>
      <c r="O272" s="59">
        <f>IF(tblMovement[[#This Row],[Is_Ore]]=1,tblMovement[[#This Row],[Contained_oz]],0)</f>
        <v/>
      </c>
    </row>
    <row r="273">
      <c r="A273" s="54" t="n"/>
      <c r="B273" s="61" t="n"/>
      <c r="C273" s="61" t="n"/>
      <c r="D273" s="61" t="n"/>
      <c r="E273" s="61" t="n"/>
      <c r="F273" s="55" t="n"/>
      <c r="G273" s="56" t="n"/>
      <c r="H273" s="55" t="n"/>
      <c r="I273" s="62" t="n"/>
      <c r="J273" s="58" t="n"/>
      <c r="K273" s="63">
        <f>IF(tblMovement[[#This Row],[Source]]="","",IFERROR(INDEX(tblSources[Type],MATCH(tblMovement[[#This Row],[Source]],tblSources[Source],0)),"?"))</f>
        <v/>
      </c>
      <c r="L273" s="63">
        <f>IF(tblMovement[[#This Row],[Destination]]="","",IFERROR(INDEX(tblDestinations[Type],MATCH(tblMovement[[#This Row],[Destination]],tblDestinations[Destination],0)),"?"))</f>
        <v/>
      </c>
      <c r="M273" s="64">
        <f>IF(tblMovement[[#This Row],[Material]]="","",IF(LEFT(tblMovement[[#This Row],[Material]],3)="Ore",1,0))</f>
        <v/>
      </c>
      <c r="N273" s="59">
        <f>IF(OR(tblMovement[[#This Row],[Tonnes_t]]="",tblMovement[[#This Row],[Grade_gpt]]=""),0,tblMovement[[#This Row],[Tonnes_t]]*tblMovement[[#This Row],[Grade_gpt]]/cfg_TroyOz)</f>
        <v/>
      </c>
      <c r="O273" s="59">
        <f>IF(tblMovement[[#This Row],[Is_Ore]]=1,tblMovement[[#This Row],[Contained_oz]],0)</f>
        <v/>
      </c>
    </row>
    <row r="274">
      <c r="A274" s="54" t="n"/>
      <c r="B274" s="61" t="n"/>
      <c r="C274" s="61" t="n"/>
      <c r="D274" s="61" t="n"/>
      <c r="E274" s="61" t="n"/>
      <c r="F274" s="55" t="n"/>
      <c r="G274" s="56" t="n"/>
      <c r="H274" s="55" t="n"/>
      <c r="I274" s="62" t="n"/>
      <c r="J274" s="58" t="n"/>
      <c r="K274" s="63">
        <f>IF(tblMovement[[#This Row],[Source]]="","",IFERROR(INDEX(tblSources[Type],MATCH(tblMovement[[#This Row],[Source]],tblSources[Source],0)),"?"))</f>
        <v/>
      </c>
      <c r="L274" s="63">
        <f>IF(tblMovement[[#This Row],[Destination]]="","",IFERROR(INDEX(tblDestinations[Type],MATCH(tblMovement[[#This Row],[Destination]],tblDestinations[Destination],0)),"?"))</f>
        <v/>
      </c>
      <c r="M274" s="64">
        <f>IF(tblMovement[[#This Row],[Material]]="","",IF(LEFT(tblMovement[[#This Row],[Material]],3)="Ore",1,0))</f>
        <v/>
      </c>
      <c r="N274" s="59">
        <f>IF(OR(tblMovement[[#This Row],[Tonnes_t]]="",tblMovement[[#This Row],[Grade_gpt]]=""),0,tblMovement[[#This Row],[Tonnes_t]]*tblMovement[[#This Row],[Grade_gpt]]/cfg_TroyOz)</f>
        <v/>
      </c>
      <c r="O274" s="59">
        <f>IF(tblMovement[[#This Row],[Is_Ore]]=1,tblMovement[[#This Row],[Contained_oz]],0)</f>
        <v/>
      </c>
    </row>
    <row r="275">
      <c r="A275" s="54" t="n"/>
      <c r="B275" s="61" t="n"/>
      <c r="C275" s="61" t="n"/>
      <c r="D275" s="61" t="n"/>
      <c r="E275" s="61" t="n"/>
      <c r="F275" s="55" t="n"/>
      <c r="G275" s="56" t="n"/>
      <c r="H275" s="55" t="n"/>
      <c r="I275" s="62" t="n"/>
      <c r="J275" s="58" t="n"/>
      <c r="K275" s="63">
        <f>IF(tblMovement[[#This Row],[Source]]="","",IFERROR(INDEX(tblSources[Type],MATCH(tblMovement[[#This Row],[Source]],tblSources[Source],0)),"?"))</f>
        <v/>
      </c>
      <c r="L275" s="63">
        <f>IF(tblMovement[[#This Row],[Destination]]="","",IFERROR(INDEX(tblDestinations[Type],MATCH(tblMovement[[#This Row],[Destination]],tblDestinations[Destination],0)),"?"))</f>
        <v/>
      </c>
      <c r="M275" s="64">
        <f>IF(tblMovement[[#This Row],[Material]]="","",IF(LEFT(tblMovement[[#This Row],[Material]],3)="Ore",1,0))</f>
        <v/>
      </c>
      <c r="N275" s="59">
        <f>IF(OR(tblMovement[[#This Row],[Tonnes_t]]="",tblMovement[[#This Row],[Grade_gpt]]=""),0,tblMovement[[#This Row],[Tonnes_t]]*tblMovement[[#This Row],[Grade_gpt]]/cfg_TroyOz)</f>
        <v/>
      </c>
      <c r="O275" s="59">
        <f>IF(tblMovement[[#This Row],[Is_Ore]]=1,tblMovement[[#This Row],[Contained_oz]],0)</f>
        <v/>
      </c>
    </row>
    <row r="276">
      <c r="A276" s="54" t="n"/>
      <c r="B276" s="61" t="n"/>
      <c r="C276" s="61" t="n"/>
      <c r="D276" s="61" t="n"/>
      <c r="E276" s="61" t="n"/>
      <c r="F276" s="55" t="n"/>
      <c r="G276" s="56" t="n"/>
      <c r="H276" s="55" t="n"/>
      <c r="I276" s="62" t="n"/>
      <c r="J276" s="58" t="n"/>
      <c r="K276" s="63">
        <f>IF(tblMovement[[#This Row],[Source]]="","",IFERROR(INDEX(tblSources[Type],MATCH(tblMovement[[#This Row],[Source]],tblSources[Source],0)),"?"))</f>
        <v/>
      </c>
      <c r="L276" s="63">
        <f>IF(tblMovement[[#This Row],[Destination]]="","",IFERROR(INDEX(tblDestinations[Type],MATCH(tblMovement[[#This Row],[Destination]],tblDestinations[Destination],0)),"?"))</f>
        <v/>
      </c>
      <c r="M276" s="64">
        <f>IF(tblMovement[[#This Row],[Material]]="","",IF(LEFT(tblMovement[[#This Row],[Material]],3)="Ore",1,0))</f>
        <v/>
      </c>
      <c r="N276" s="59">
        <f>IF(OR(tblMovement[[#This Row],[Tonnes_t]]="",tblMovement[[#This Row],[Grade_gpt]]=""),0,tblMovement[[#This Row],[Tonnes_t]]*tblMovement[[#This Row],[Grade_gpt]]/cfg_TroyOz)</f>
        <v/>
      </c>
      <c r="O276" s="59">
        <f>IF(tblMovement[[#This Row],[Is_Ore]]=1,tblMovement[[#This Row],[Contained_oz]],0)</f>
        <v/>
      </c>
    </row>
    <row r="277">
      <c r="A277" s="54" t="n"/>
      <c r="B277" s="61" t="n"/>
      <c r="C277" s="61" t="n"/>
      <c r="D277" s="61" t="n"/>
      <c r="E277" s="61" t="n"/>
      <c r="F277" s="55" t="n"/>
      <c r="G277" s="56" t="n"/>
      <c r="H277" s="55" t="n"/>
      <c r="I277" s="62" t="n"/>
      <c r="J277" s="58" t="n"/>
      <c r="K277" s="63">
        <f>IF(tblMovement[[#This Row],[Source]]="","",IFERROR(INDEX(tblSources[Type],MATCH(tblMovement[[#This Row],[Source]],tblSources[Source],0)),"?"))</f>
        <v/>
      </c>
      <c r="L277" s="63">
        <f>IF(tblMovement[[#This Row],[Destination]]="","",IFERROR(INDEX(tblDestinations[Type],MATCH(tblMovement[[#This Row],[Destination]],tblDestinations[Destination],0)),"?"))</f>
        <v/>
      </c>
      <c r="M277" s="64">
        <f>IF(tblMovement[[#This Row],[Material]]="","",IF(LEFT(tblMovement[[#This Row],[Material]],3)="Ore",1,0))</f>
        <v/>
      </c>
      <c r="N277" s="59">
        <f>IF(OR(tblMovement[[#This Row],[Tonnes_t]]="",tblMovement[[#This Row],[Grade_gpt]]=""),0,tblMovement[[#This Row],[Tonnes_t]]*tblMovement[[#This Row],[Grade_gpt]]/cfg_TroyOz)</f>
        <v/>
      </c>
      <c r="O277" s="59">
        <f>IF(tblMovement[[#This Row],[Is_Ore]]=1,tblMovement[[#This Row],[Contained_oz]],0)</f>
        <v/>
      </c>
    </row>
    <row r="278">
      <c r="A278" s="54" t="n"/>
      <c r="B278" s="61" t="n"/>
      <c r="C278" s="61" t="n"/>
      <c r="D278" s="61" t="n"/>
      <c r="E278" s="61" t="n"/>
      <c r="F278" s="55" t="n"/>
      <c r="G278" s="56" t="n"/>
      <c r="H278" s="55" t="n"/>
      <c r="I278" s="62" t="n"/>
      <c r="J278" s="58" t="n"/>
      <c r="K278" s="63">
        <f>IF(tblMovement[[#This Row],[Source]]="","",IFERROR(INDEX(tblSources[Type],MATCH(tblMovement[[#This Row],[Source]],tblSources[Source],0)),"?"))</f>
        <v/>
      </c>
      <c r="L278" s="63">
        <f>IF(tblMovement[[#This Row],[Destination]]="","",IFERROR(INDEX(tblDestinations[Type],MATCH(tblMovement[[#This Row],[Destination]],tblDestinations[Destination],0)),"?"))</f>
        <v/>
      </c>
      <c r="M278" s="64">
        <f>IF(tblMovement[[#This Row],[Material]]="","",IF(LEFT(tblMovement[[#This Row],[Material]],3)="Ore",1,0))</f>
        <v/>
      </c>
      <c r="N278" s="59">
        <f>IF(OR(tblMovement[[#This Row],[Tonnes_t]]="",tblMovement[[#This Row],[Grade_gpt]]=""),0,tblMovement[[#This Row],[Tonnes_t]]*tblMovement[[#This Row],[Grade_gpt]]/cfg_TroyOz)</f>
        <v/>
      </c>
      <c r="O278" s="59">
        <f>IF(tblMovement[[#This Row],[Is_Ore]]=1,tblMovement[[#This Row],[Contained_oz]],0)</f>
        <v/>
      </c>
    </row>
    <row r="279">
      <c r="A279" s="54" t="n"/>
      <c r="B279" s="61" t="n"/>
      <c r="C279" s="61" t="n"/>
      <c r="D279" s="61" t="n"/>
      <c r="E279" s="61" t="n"/>
      <c r="F279" s="55" t="n"/>
      <c r="G279" s="56" t="n"/>
      <c r="H279" s="55" t="n"/>
      <c r="I279" s="62" t="n"/>
      <c r="J279" s="58" t="n"/>
      <c r="K279" s="63">
        <f>IF(tblMovement[[#This Row],[Source]]="","",IFERROR(INDEX(tblSources[Type],MATCH(tblMovement[[#This Row],[Source]],tblSources[Source],0)),"?"))</f>
        <v/>
      </c>
      <c r="L279" s="63">
        <f>IF(tblMovement[[#This Row],[Destination]]="","",IFERROR(INDEX(tblDestinations[Type],MATCH(tblMovement[[#This Row],[Destination]],tblDestinations[Destination],0)),"?"))</f>
        <v/>
      </c>
      <c r="M279" s="64">
        <f>IF(tblMovement[[#This Row],[Material]]="","",IF(LEFT(tblMovement[[#This Row],[Material]],3)="Ore",1,0))</f>
        <v/>
      </c>
      <c r="N279" s="59">
        <f>IF(OR(tblMovement[[#This Row],[Tonnes_t]]="",tblMovement[[#This Row],[Grade_gpt]]=""),0,tblMovement[[#This Row],[Tonnes_t]]*tblMovement[[#This Row],[Grade_gpt]]/cfg_TroyOz)</f>
        <v/>
      </c>
      <c r="O279" s="59">
        <f>IF(tblMovement[[#This Row],[Is_Ore]]=1,tblMovement[[#This Row],[Contained_oz]],0)</f>
        <v/>
      </c>
    </row>
    <row r="280">
      <c r="A280" s="54" t="n"/>
      <c r="B280" s="61" t="n"/>
      <c r="C280" s="61" t="n"/>
      <c r="D280" s="61" t="n"/>
      <c r="E280" s="61" t="n"/>
      <c r="F280" s="55" t="n"/>
      <c r="G280" s="56" t="n"/>
      <c r="H280" s="55" t="n"/>
      <c r="I280" s="62" t="n"/>
      <c r="J280" s="58" t="n"/>
      <c r="K280" s="63">
        <f>IF(tblMovement[[#This Row],[Source]]="","",IFERROR(INDEX(tblSources[Type],MATCH(tblMovement[[#This Row],[Source]],tblSources[Source],0)),"?"))</f>
        <v/>
      </c>
      <c r="L280" s="63">
        <f>IF(tblMovement[[#This Row],[Destination]]="","",IFERROR(INDEX(tblDestinations[Type],MATCH(tblMovement[[#This Row],[Destination]],tblDestinations[Destination],0)),"?"))</f>
        <v/>
      </c>
      <c r="M280" s="64">
        <f>IF(tblMovement[[#This Row],[Material]]="","",IF(LEFT(tblMovement[[#This Row],[Material]],3)="Ore",1,0))</f>
        <v/>
      </c>
      <c r="N280" s="59">
        <f>IF(OR(tblMovement[[#This Row],[Tonnes_t]]="",tblMovement[[#This Row],[Grade_gpt]]=""),0,tblMovement[[#This Row],[Tonnes_t]]*tblMovement[[#This Row],[Grade_gpt]]/cfg_TroyOz)</f>
        <v/>
      </c>
      <c r="O280" s="59">
        <f>IF(tblMovement[[#This Row],[Is_Ore]]=1,tblMovement[[#This Row],[Contained_oz]],0)</f>
        <v/>
      </c>
    </row>
    <row r="281">
      <c r="A281" s="54" t="n"/>
      <c r="B281" s="61" t="n"/>
      <c r="C281" s="61" t="n"/>
      <c r="D281" s="61" t="n"/>
      <c r="E281" s="61" t="n"/>
      <c r="F281" s="55" t="n"/>
      <c r="G281" s="56" t="n"/>
      <c r="H281" s="55" t="n"/>
      <c r="I281" s="62" t="n"/>
      <c r="J281" s="58" t="n"/>
      <c r="K281" s="63">
        <f>IF(tblMovement[[#This Row],[Source]]="","",IFERROR(INDEX(tblSources[Type],MATCH(tblMovement[[#This Row],[Source]],tblSources[Source],0)),"?"))</f>
        <v/>
      </c>
      <c r="L281" s="63">
        <f>IF(tblMovement[[#This Row],[Destination]]="","",IFERROR(INDEX(tblDestinations[Type],MATCH(tblMovement[[#This Row],[Destination]],tblDestinations[Destination],0)),"?"))</f>
        <v/>
      </c>
      <c r="M281" s="64">
        <f>IF(tblMovement[[#This Row],[Material]]="","",IF(LEFT(tblMovement[[#This Row],[Material]],3)="Ore",1,0))</f>
        <v/>
      </c>
      <c r="N281" s="59">
        <f>IF(OR(tblMovement[[#This Row],[Tonnes_t]]="",tblMovement[[#This Row],[Grade_gpt]]=""),0,tblMovement[[#This Row],[Tonnes_t]]*tblMovement[[#This Row],[Grade_gpt]]/cfg_TroyOz)</f>
        <v/>
      </c>
      <c r="O281" s="59">
        <f>IF(tblMovement[[#This Row],[Is_Ore]]=1,tblMovement[[#This Row],[Contained_oz]],0)</f>
        <v/>
      </c>
    </row>
    <row r="282">
      <c r="A282" s="54" t="n"/>
      <c r="B282" s="61" t="n"/>
      <c r="C282" s="61" t="n"/>
      <c r="D282" s="61" t="n"/>
      <c r="E282" s="61" t="n"/>
      <c r="F282" s="55" t="n"/>
      <c r="G282" s="56" t="n"/>
      <c r="H282" s="55" t="n"/>
      <c r="I282" s="62" t="n"/>
      <c r="J282" s="58" t="n"/>
      <c r="K282" s="63">
        <f>IF(tblMovement[[#This Row],[Source]]="","",IFERROR(INDEX(tblSources[Type],MATCH(tblMovement[[#This Row],[Source]],tblSources[Source],0)),"?"))</f>
        <v/>
      </c>
      <c r="L282" s="63">
        <f>IF(tblMovement[[#This Row],[Destination]]="","",IFERROR(INDEX(tblDestinations[Type],MATCH(tblMovement[[#This Row],[Destination]],tblDestinations[Destination],0)),"?"))</f>
        <v/>
      </c>
      <c r="M282" s="64">
        <f>IF(tblMovement[[#This Row],[Material]]="","",IF(LEFT(tblMovement[[#This Row],[Material]],3)="Ore",1,0))</f>
        <v/>
      </c>
      <c r="N282" s="59">
        <f>IF(OR(tblMovement[[#This Row],[Tonnes_t]]="",tblMovement[[#This Row],[Grade_gpt]]=""),0,tblMovement[[#This Row],[Tonnes_t]]*tblMovement[[#This Row],[Grade_gpt]]/cfg_TroyOz)</f>
        <v/>
      </c>
      <c r="O282" s="59">
        <f>IF(tblMovement[[#This Row],[Is_Ore]]=1,tblMovement[[#This Row],[Contained_oz]],0)</f>
        <v/>
      </c>
    </row>
    <row r="283">
      <c r="A283" s="54" t="n"/>
      <c r="B283" s="61" t="n"/>
      <c r="C283" s="61" t="n"/>
      <c r="D283" s="61" t="n"/>
      <c r="E283" s="61" t="n"/>
      <c r="F283" s="55" t="n"/>
      <c r="G283" s="56" t="n"/>
      <c r="H283" s="55" t="n"/>
      <c r="I283" s="62" t="n"/>
      <c r="J283" s="58" t="n"/>
      <c r="K283" s="63">
        <f>IF(tblMovement[[#This Row],[Source]]="","",IFERROR(INDEX(tblSources[Type],MATCH(tblMovement[[#This Row],[Source]],tblSources[Source],0)),"?"))</f>
        <v/>
      </c>
      <c r="L283" s="63">
        <f>IF(tblMovement[[#This Row],[Destination]]="","",IFERROR(INDEX(tblDestinations[Type],MATCH(tblMovement[[#This Row],[Destination]],tblDestinations[Destination],0)),"?"))</f>
        <v/>
      </c>
      <c r="M283" s="64">
        <f>IF(tblMovement[[#This Row],[Material]]="","",IF(LEFT(tblMovement[[#This Row],[Material]],3)="Ore",1,0))</f>
        <v/>
      </c>
      <c r="N283" s="59">
        <f>IF(OR(tblMovement[[#This Row],[Tonnes_t]]="",tblMovement[[#This Row],[Grade_gpt]]=""),0,tblMovement[[#This Row],[Tonnes_t]]*tblMovement[[#This Row],[Grade_gpt]]/cfg_TroyOz)</f>
        <v/>
      </c>
      <c r="O283" s="59">
        <f>IF(tblMovement[[#This Row],[Is_Ore]]=1,tblMovement[[#This Row],[Contained_oz]],0)</f>
        <v/>
      </c>
    </row>
    <row r="284">
      <c r="A284" s="54" t="n"/>
      <c r="B284" s="61" t="n"/>
      <c r="C284" s="61" t="n"/>
      <c r="D284" s="61" t="n"/>
      <c r="E284" s="61" t="n"/>
      <c r="F284" s="55" t="n"/>
      <c r="G284" s="56" t="n"/>
      <c r="H284" s="55" t="n"/>
      <c r="I284" s="62" t="n"/>
      <c r="J284" s="58" t="n"/>
      <c r="K284" s="63">
        <f>IF(tblMovement[[#This Row],[Source]]="","",IFERROR(INDEX(tblSources[Type],MATCH(tblMovement[[#This Row],[Source]],tblSources[Source],0)),"?"))</f>
        <v/>
      </c>
      <c r="L284" s="63">
        <f>IF(tblMovement[[#This Row],[Destination]]="","",IFERROR(INDEX(tblDestinations[Type],MATCH(tblMovement[[#This Row],[Destination]],tblDestinations[Destination],0)),"?"))</f>
        <v/>
      </c>
      <c r="M284" s="64">
        <f>IF(tblMovement[[#This Row],[Material]]="","",IF(LEFT(tblMovement[[#This Row],[Material]],3)="Ore",1,0))</f>
        <v/>
      </c>
      <c r="N284" s="59">
        <f>IF(OR(tblMovement[[#This Row],[Tonnes_t]]="",tblMovement[[#This Row],[Grade_gpt]]=""),0,tblMovement[[#This Row],[Tonnes_t]]*tblMovement[[#This Row],[Grade_gpt]]/cfg_TroyOz)</f>
        <v/>
      </c>
      <c r="O284" s="59">
        <f>IF(tblMovement[[#This Row],[Is_Ore]]=1,tblMovement[[#This Row],[Contained_oz]],0)</f>
        <v/>
      </c>
    </row>
    <row r="285">
      <c r="A285" s="54" t="n"/>
      <c r="B285" s="61" t="n"/>
      <c r="C285" s="61" t="n"/>
      <c r="D285" s="61" t="n"/>
      <c r="E285" s="61" t="n"/>
      <c r="F285" s="55" t="n"/>
      <c r="G285" s="56" t="n"/>
      <c r="H285" s="55" t="n"/>
      <c r="I285" s="62" t="n"/>
      <c r="J285" s="58" t="n"/>
      <c r="K285" s="63">
        <f>IF(tblMovement[[#This Row],[Source]]="","",IFERROR(INDEX(tblSources[Type],MATCH(tblMovement[[#This Row],[Source]],tblSources[Source],0)),"?"))</f>
        <v/>
      </c>
      <c r="L285" s="63">
        <f>IF(tblMovement[[#This Row],[Destination]]="","",IFERROR(INDEX(tblDestinations[Type],MATCH(tblMovement[[#This Row],[Destination]],tblDestinations[Destination],0)),"?"))</f>
        <v/>
      </c>
      <c r="M285" s="64">
        <f>IF(tblMovement[[#This Row],[Material]]="","",IF(LEFT(tblMovement[[#This Row],[Material]],3)="Ore",1,0))</f>
        <v/>
      </c>
      <c r="N285" s="59">
        <f>IF(OR(tblMovement[[#This Row],[Tonnes_t]]="",tblMovement[[#This Row],[Grade_gpt]]=""),0,tblMovement[[#This Row],[Tonnes_t]]*tblMovement[[#This Row],[Grade_gpt]]/cfg_TroyOz)</f>
        <v/>
      </c>
      <c r="O285" s="59">
        <f>IF(tblMovement[[#This Row],[Is_Ore]]=1,tblMovement[[#This Row],[Contained_oz]],0)</f>
        <v/>
      </c>
    </row>
    <row r="286">
      <c r="A286" s="54" t="n"/>
      <c r="B286" s="61" t="n"/>
      <c r="C286" s="61" t="n"/>
      <c r="D286" s="61" t="n"/>
      <c r="E286" s="61" t="n"/>
      <c r="F286" s="55" t="n"/>
      <c r="G286" s="56" t="n"/>
      <c r="H286" s="55" t="n"/>
      <c r="I286" s="62" t="n"/>
      <c r="J286" s="58" t="n"/>
      <c r="K286" s="63">
        <f>IF(tblMovement[[#This Row],[Source]]="","",IFERROR(INDEX(tblSources[Type],MATCH(tblMovement[[#This Row],[Source]],tblSources[Source],0)),"?"))</f>
        <v/>
      </c>
      <c r="L286" s="63">
        <f>IF(tblMovement[[#This Row],[Destination]]="","",IFERROR(INDEX(tblDestinations[Type],MATCH(tblMovement[[#This Row],[Destination]],tblDestinations[Destination],0)),"?"))</f>
        <v/>
      </c>
      <c r="M286" s="64">
        <f>IF(tblMovement[[#This Row],[Material]]="","",IF(LEFT(tblMovement[[#This Row],[Material]],3)="Ore",1,0))</f>
        <v/>
      </c>
      <c r="N286" s="59">
        <f>IF(OR(tblMovement[[#This Row],[Tonnes_t]]="",tblMovement[[#This Row],[Grade_gpt]]=""),0,tblMovement[[#This Row],[Tonnes_t]]*tblMovement[[#This Row],[Grade_gpt]]/cfg_TroyOz)</f>
        <v/>
      </c>
      <c r="O286" s="59">
        <f>IF(tblMovement[[#This Row],[Is_Ore]]=1,tblMovement[[#This Row],[Contained_oz]],0)</f>
        <v/>
      </c>
    </row>
    <row r="287">
      <c r="A287" s="54" t="n"/>
      <c r="B287" s="61" t="n"/>
      <c r="C287" s="61" t="n"/>
      <c r="D287" s="61" t="n"/>
      <c r="E287" s="61" t="n"/>
      <c r="F287" s="55" t="n"/>
      <c r="G287" s="56" t="n"/>
      <c r="H287" s="55" t="n"/>
      <c r="I287" s="62" t="n"/>
      <c r="J287" s="58" t="n"/>
      <c r="K287" s="63">
        <f>IF(tblMovement[[#This Row],[Source]]="","",IFERROR(INDEX(tblSources[Type],MATCH(tblMovement[[#This Row],[Source]],tblSources[Source],0)),"?"))</f>
        <v/>
      </c>
      <c r="L287" s="63">
        <f>IF(tblMovement[[#This Row],[Destination]]="","",IFERROR(INDEX(tblDestinations[Type],MATCH(tblMovement[[#This Row],[Destination]],tblDestinations[Destination],0)),"?"))</f>
        <v/>
      </c>
      <c r="M287" s="64">
        <f>IF(tblMovement[[#This Row],[Material]]="","",IF(LEFT(tblMovement[[#This Row],[Material]],3)="Ore",1,0))</f>
        <v/>
      </c>
      <c r="N287" s="59">
        <f>IF(OR(tblMovement[[#This Row],[Tonnes_t]]="",tblMovement[[#This Row],[Grade_gpt]]=""),0,tblMovement[[#This Row],[Tonnes_t]]*tblMovement[[#This Row],[Grade_gpt]]/cfg_TroyOz)</f>
        <v/>
      </c>
      <c r="O287" s="59">
        <f>IF(tblMovement[[#This Row],[Is_Ore]]=1,tblMovement[[#This Row],[Contained_oz]],0)</f>
        <v/>
      </c>
    </row>
    <row r="288">
      <c r="A288" s="54" t="n"/>
      <c r="B288" s="61" t="n"/>
      <c r="C288" s="61" t="n"/>
      <c r="D288" s="61" t="n"/>
      <c r="E288" s="61" t="n"/>
      <c r="F288" s="55" t="n"/>
      <c r="G288" s="56" t="n"/>
      <c r="H288" s="55" t="n"/>
      <c r="I288" s="62" t="n"/>
      <c r="J288" s="58" t="n"/>
      <c r="K288" s="63">
        <f>IF(tblMovement[[#This Row],[Source]]="","",IFERROR(INDEX(tblSources[Type],MATCH(tblMovement[[#This Row],[Source]],tblSources[Source],0)),"?"))</f>
        <v/>
      </c>
      <c r="L288" s="63">
        <f>IF(tblMovement[[#This Row],[Destination]]="","",IFERROR(INDEX(tblDestinations[Type],MATCH(tblMovement[[#This Row],[Destination]],tblDestinations[Destination],0)),"?"))</f>
        <v/>
      </c>
      <c r="M288" s="64">
        <f>IF(tblMovement[[#This Row],[Material]]="","",IF(LEFT(tblMovement[[#This Row],[Material]],3)="Ore",1,0))</f>
        <v/>
      </c>
      <c r="N288" s="59">
        <f>IF(OR(tblMovement[[#This Row],[Tonnes_t]]="",tblMovement[[#This Row],[Grade_gpt]]=""),0,tblMovement[[#This Row],[Tonnes_t]]*tblMovement[[#This Row],[Grade_gpt]]/cfg_TroyOz)</f>
        <v/>
      </c>
      <c r="O288" s="59">
        <f>IF(tblMovement[[#This Row],[Is_Ore]]=1,tblMovement[[#This Row],[Contained_oz]],0)</f>
        <v/>
      </c>
    </row>
    <row r="289">
      <c r="A289" s="54" t="n"/>
      <c r="B289" s="61" t="n"/>
      <c r="C289" s="61" t="n"/>
      <c r="D289" s="61" t="n"/>
      <c r="E289" s="61" t="n"/>
      <c r="F289" s="55" t="n"/>
      <c r="G289" s="56" t="n"/>
      <c r="H289" s="55" t="n"/>
      <c r="I289" s="62" t="n"/>
      <c r="J289" s="58" t="n"/>
      <c r="K289" s="63">
        <f>IF(tblMovement[[#This Row],[Source]]="","",IFERROR(INDEX(tblSources[Type],MATCH(tblMovement[[#This Row],[Source]],tblSources[Source],0)),"?"))</f>
        <v/>
      </c>
      <c r="L289" s="63">
        <f>IF(tblMovement[[#This Row],[Destination]]="","",IFERROR(INDEX(tblDestinations[Type],MATCH(tblMovement[[#This Row],[Destination]],tblDestinations[Destination],0)),"?"))</f>
        <v/>
      </c>
      <c r="M289" s="64">
        <f>IF(tblMovement[[#This Row],[Material]]="","",IF(LEFT(tblMovement[[#This Row],[Material]],3)="Ore",1,0))</f>
        <v/>
      </c>
      <c r="N289" s="59">
        <f>IF(OR(tblMovement[[#This Row],[Tonnes_t]]="",tblMovement[[#This Row],[Grade_gpt]]=""),0,tblMovement[[#This Row],[Tonnes_t]]*tblMovement[[#This Row],[Grade_gpt]]/cfg_TroyOz)</f>
        <v/>
      </c>
      <c r="O289" s="59">
        <f>IF(tblMovement[[#This Row],[Is_Ore]]=1,tblMovement[[#This Row],[Contained_oz]],0)</f>
        <v/>
      </c>
    </row>
    <row r="290">
      <c r="A290" s="54" t="n"/>
      <c r="B290" s="61" t="n"/>
      <c r="C290" s="61" t="n"/>
      <c r="D290" s="61" t="n"/>
      <c r="E290" s="61" t="n"/>
      <c r="F290" s="55" t="n"/>
      <c r="G290" s="56" t="n"/>
      <c r="H290" s="55" t="n"/>
      <c r="I290" s="62" t="n"/>
      <c r="J290" s="58" t="n"/>
      <c r="K290" s="63">
        <f>IF(tblMovement[[#This Row],[Source]]="","",IFERROR(INDEX(tblSources[Type],MATCH(tblMovement[[#This Row],[Source]],tblSources[Source],0)),"?"))</f>
        <v/>
      </c>
      <c r="L290" s="63">
        <f>IF(tblMovement[[#This Row],[Destination]]="","",IFERROR(INDEX(tblDestinations[Type],MATCH(tblMovement[[#This Row],[Destination]],tblDestinations[Destination],0)),"?"))</f>
        <v/>
      </c>
      <c r="M290" s="64">
        <f>IF(tblMovement[[#This Row],[Material]]="","",IF(LEFT(tblMovement[[#This Row],[Material]],3)="Ore",1,0))</f>
        <v/>
      </c>
      <c r="N290" s="59">
        <f>IF(OR(tblMovement[[#This Row],[Tonnes_t]]="",tblMovement[[#This Row],[Grade_gpt]]=""),0,tblMovement[[#This Row],[Tonnes_t]]*tblMovement[[#This Row],[Grade_gpt]]/cfg_TroyOz)</f>
        <v/>
      </c>
      <c r="O290" s="59">
        <f>IF(tblMovement[[#This Row],[Is_Ore]]=1,tblMovement[[#This Row],[Contained_oz]],0)</f>
        <v/>
      </c>
    </row>
    <row r="291">
      <c r="A291" s="54" t="n"/>
      <c r="B291" s="61" t="n"/>
      <c r="C291" s="61" t="n"/>
      <c r="D291" s="61" t="n"/>
      <c r="E291" s="61" t="n"/>
      <c r="F291" s="55" t="n"/>
      <c r="G291" s="56" t="n"/>
      <c r="H291" s="55" t="n"/>
      <c r="I291" s="62" t="n"/>
      <c r="J291" s="58" t="n"/>
      <c r="K291" s="63">
        <f>IF(tblMovement[[#This Row],[Source]]="","",IFERROR(INDEX(tblSources[Type],MATCH(tblMovement[[#This Row],[Source]],tblSources[Source],0)),"?"))</f>
        <v/>
      </c>
      <c r="L291" s="63">
        <f>IF(tblMovement[[#This Row],[Destination]]="","",IFERROR(INDEX(tblDestinations[Type],MATCH(tblMovement[[#This Row],[Destination]],tblDestinations[Destination],0)),"?"))</f>
        <v/>
      </c>
      <c r="M291" s="64">
        <f>IF(tblMovement[[#This Row],[Material]]="","",IF(LEFT(tblMovement[[#This Row],[Material]],3)="Ore",1,0))</f>
        <v/>
      </c>
      <c r="N291" s="59">
        <f>IF(OR(tblMovement[[#This Row],[Tonnes_t]]="",tblMovement[[#This Row],[Grade_gpt]]=""),0,tblMovement[[#This Row],[Tonnes_t]]*tblMovement[[#This Row],[Grade_gpt]]/cfg_TroyOz)</f>
        <v/>
      </c>
      <c r="O291" s="59">
        <f>IF(tblMovement[[#This Row],[Is_Ore]]=1,tblMovement[[#This Row],[Contained_oz]],0)</f>
        <v/>
      </c>
    </row>
    <row r="292">
      <c r="A292" s="54" t="n"/>
      <c r="B292" s="61" t="n"/>
      <c r="C292" s="61" t="n"/>
      <c r="D292" s="61" t="n"/>
      <c r="E292" s="61" t="n"/>
      <c r="F292" s="55" t="n"/>
      <c r="G292" s="56" t="n"/>
      <c r="H292" s="55" t="n"/>
      <c r="I292" s="62" t="n"/>
      <c r="J292" s="58" t="n"/>
      <c r="K292" s="63">
        <f>IF(tblMovement[[#This Row],[Source]]="","",IFERROR(INDEX(tblSources[Type],MATCH(tblMovement[[#This Row],[Source]],tblSources[Source],0)),"?"))</f>
        <v/>
      </c>
      <c r="L292" s="63">
        <f>IF(tblMovement[[#This Row],[Destination]]="","",IFERROR(INDEX(tblDestinations[Type],MATCH(tblMovement[[#This Row],[Destination]],tblDestinations[Destination],0)),"?"))</f>
        <v/>
      </c>
      <c r="M292" s="64">
        <f>IF(tblMovement[[#This Row],[Material]]="","",IF(LEFT(tblMovement[[#This Row],[Material]],3)="Ore",1,0))</f>
        <v/>
      </c>
      <c r="N292" s="59">
        <f>IF(OR(tblMovement[[#This Row],[Tonnes_t]]="",tblMovement[[#This Row],[Grade_gpt]]=""),0,tblMovement[[#This Row],[Tonnes_t]]*tblMovement[[#This Row],[Grade_gpt]]/cfg_TroyOz)</f>
        <v/>
      </c>
      <c r="O292" s="59">
        <f>IF(tblMovement[[#This Row],[Is_Ore]]=1,tblMovement[[#This Row],[Contained_oz]],0)</f>
        <v/>
      </c>
    </row>
    <row r="293">
      <c r="A293" s="54" t="n"/>
      <c r="B293" s="61" t="n"/>
      <c r="C293" s="61" t="n"/>
      <c r="D293" s="61" t="n"/>
      <c r="E293" s="61" t="n"/>
      <c r="F293" s="55" t="n"/>
      <c r="G293" s="56" t="n"/>
      <c r="H293" s="55" t="n"/>
      <c r="I293" s="62" t="n"/>
      <c r="J293" s="58" t="n"/>
      <c r="K293" s="63">
        <f>IF(tblMovement[[#This Row],[Source]]="","",IFERROR(INDEX(tblSources[Type],MATCH(tblMovement[[#This Row],[Source]],tblSources[Source],0)),"?"))</f>
        <v/>
      </c>
      <c r="L293" s="63">
        <f>IF(tblMovement[[#This Row],[Destination]]="","",IFERROR(INDEX(tblDestinations[Type],MATCH(tblMovement[[#This Row],[Destination]],tblDestinations[Destination],0)),"?"))</f>
        <v/>
      </c>
      <c r="M293" s="64">
        <f>IF(tblMovement[[#This Row],[Material]]="","",IF(LEFT(tblMovement[[#This Row],[Material]],3)="Ore",1,0))</f>
        <v/>
      </c>
      <c r="N293" s="59">
        <f>IF(OR(tblMovement[[#This Row],[Tonnes_t]]="",tblMovement[[#This Row],[Grade_gpt]]=""),0,tblMovement[[#This Row],[Tonnes_t]]*tblMovement[[#This Row],[Grade_gpt]]/cfg_TroyOz)</f>
        <v/>
      </c>
      <c r="O293" s="59">
        <f>IF(tblMovement[[#This Row],[Is_Ore]]=1,tblMovement[[#This Row],[Contained_oz]],0)</f>
        <v/>
      </c>
    </row>
    <row r="294">
      <c r="A294" s="54" t="n"/>
      <c r="B294" s="61" t="n"/>
      <c r="C294" s="61" t="n"/>
      <c r="D294" s="61" t="n"/>
      <c r="E294" s="61" t="n"/>
      <c r="F294" s="55" t="n"/>
      <c r="G294" s="56" t="n"/>
      <c r="H294" s="55" t="n"/>
      <c r="I294" s="62" t="n"/>
      <c r="J294" s="58" t="n"/>
      <c r="K294" s="63">
        <f>IF(tblMovement[[#This Row],[Source]]="","",IFERROR(INDEX(tblSources[Type],MATCH(tblMovement[[#This Row],[Source]],tblSources[Source],0)),"?"))</f>
        <v/>
      </c>
      <c r="L294" s="63">
        <f>IF(tblMovement[[#This Row],[Destination]]="","",IFERROR(INDEX(tblDestinations[Type],MATCH(tblMovement[[#This Row],[Destination]],tblDestinations[Destination],0)),"?"))</f>
        <v/>
      </c>
      <c r="M294" s="64">
        <f>IF(tblMovement[[#This Row],[Material]]="","",IF(LEFT(tblMovement[[#This Row],[Material]],3)="Ore",1,0))</f>
        <v/>
      </c>
      <c r="N294" s="59">
        <f>IF(OR(tblMovement[[#This Row],[Tonnes_t]]="",tblMovement[[#This Row],[Grade_gpt]]=""),0,tblMovement[[#This Row],[Tonnes_t]]*tblMovement[[#This Row],[Grade_gpt]]/cfg_TroyOz)</f>
        <v/>
      </c>
      <c r="O294" s="59">
        <f>IF(tblMovement[[#This Row],[Is_Ore]]=1,tblMovement[[#This Row],[Contained_oz]],0)</f>
        <v/>
      </c>
    </row>
    <row r="295">
      <c r="A295" s="54" t="n"/>
      <c r="B295" s="61" t="n"/>
      <c r="C295" s="61" t="n"/>
      <c r="D295" s="61" t="n"/>
      <c r="E295" s="61" t="n"/>
      <c r="F295" s="55" t="n"/>
      <c r="G295" s="56" t="n"/>
      <c r="H295" s="55" t="n"/>
      <c r="I295" s="62" t="n"/>
      <c r="J295" s="58" t="n"/>
      <c r="K295" s="63">
        <f>IF(tblMovement[[#This Row],[Source]]="","",IFERROR(INDEX(tblSources[Type],MATCH(tblMovement[[#This Row],[Source]],tblSources[Source],0)),"?"))</f>
        <v/>
      </c>
      <c r="L295" s="63">
        <f>IF(tblMovement[[#This Row],[Destination]]="","",IFERROR(INDEX(tblDestinations[Type],MATCH(tblMovement[[#This Row],[Destination]],tblDestinations[Destination],0)),"?"))</f>
        <v/>
      </c>
      <c r="M295" s="64">
        <f>IF(tblMovement[[#This Row],[Material]]="","",IF(LEFT(tblMovement[[#This Row],[Material]],3)="Ore",1,0))</f>
        <v/>
      </c>
      <c r="N295" s="59">
        <f>IF(OR(tblMovement[[#This Row],[Tonnes_t]]="",tblMovement[[#This Row],[Grade_gpt]]=""),0,tblMovement[[#This Row],[Tonnes_t]]*tblMovement[[#This Row],[Grade_gpt]]/cfg_TroyOz)</f>
        <v/>
      </c>
      <c r="O295" s="59">
        <f>IF(tblMovement[[#This Row],[Is_Ore]]=1,tblMovement[[#This Row],[Contained_oz]],0)</f>
        <v/>
      </c>
    </row>
    <row r="296">
      <c r="A296" s="54" t="n"/>
      <c r="B296" s="61" t="n"/>
      <c r="C296" s="61" t="n"/>
      <c r="D296" s="61" t="n"/>
      <c r="E296" s="61" t="n"/>
      <c r="F296" s="55" t="n"/>
      <c r="G296" s="56" t="n"/>
      <c r="H296" s="55" t="n"/>
      <c r="I296" s="62" t="n"/>
      <c r="J296" s="58" t="n"/>
      <c r="K296" s="63">
        <f>IF(tblMovement[[#This Row],[Source]]="","",IFERROR(INDEX(tblSources[Type],MATCH(tblMovement[[#This Row],[Source]],tblSources[Source],0)),"?"))</f>
        <v/>
      </c>
      <c r="L296" s="63">
        <f>IF(tblMovement[[#This Row],[Destination]]="","",IFERROR(INDEX(tblDestinations[Type],MATCH(tblMovement[[#This Row],[Destination]],tblDestinations[Destination],0)),"?"))</f>
        <v/>
      </c>
      <c r="M296" s="64">
        <f>IF(tblMovement[[#This Row],[Material]]="","",IF(LEFT(tblMovement[[#This Row],[Material]],3)="Ore",1,0))</f>
        <v/>
      </c>
      <c r="N296" s="59">
        <f>IF(OR(tblMovement[[#This Row],[Tonnes_t]]="",tblMovement[[#This Row],[Grade_gpt]]=""),0,tblMovement[[#This Row],[Tonnes_t]]*tblMovement[[#This Row],[Grade_gpt]]/cfg_TroyOz)</f>
        <v/>
      </c>
      <c r="O296" s="59">
        <f>IF(tblMovement[[#This Row],[Is_Ore]]=1,tblMovement[[#This Row],[Contained_oz]],0)</f>
        <v/>
      </c>
    </row>
    <row r="297">
      <c r="A297" s="54" t="n"/>
      <c r="B297" s="61" t="n"/>
      <c r="C297" s="61" t="n"/>
      <c r="D297" s="61" t="n"/>
      <c r="E297" s="61" t="n"/>
      <c r="F297" s="55" t="n"/>
      <c r="G297" s="56" t="n"/>
      <c r="H297" s="55" t="n"/>
      <c r="I297" s="62" t="n"/>
      <c r="J297" s="58" t="n"/>
      <c r="K297" s="63">
        <f>IF(tblMovement[[#This Row],[Source]]="","",IFERROR(INDEX(tblSources[Type],MATCH(tblMovement[[#This Row],[Source]],tblSources[Source],0)),"?"))</f>
        <v/>
      </c>
      <c r="L297" s="63">
        <f>IF(tblMovement[[#This Row],[Destination]]="","",IFERROR(INDEX(tblDestinations[Type],MATCH(tblMovement[[#This Row],[Destination]],tblDestinations[Destination],0)),"?"))</f>
        <v/>
      </c>
      <c r="M297" s="64">
        <f>IF(tblMovement[[#This Row],[Material]]="","",IF(LEFT(tblMovement[[#This Row],[Material]],3)="Ore",1,0))</f>
        <v/>
      </c>
      <c r="N297" s="59">
        <f>IF(OR(tblMovement[[#This Row],[Tonnes_t]]="",tblMovement[[#This Row],[Grade_gpt]]=""),0,tblMovement[[#This Row],[Tonnes_t]]*tblMovement[[#This Row],[Grade_gpt]]/cfg_TroyOz)</f>
        <v/>
      </c>
      <c r="O297" s="59">
        <f>IF(tblMovement[[#This Row],[Is_Ore]]=1,tblMovement[[#This Row],[Contained_oz]],0)</f>
        <v/>
      </c>
    </row>
    <row r="298">
      <c r="A298" s="54" t="n"/>
      <c r="B298" s="61" t="n"/>
      <c r="C298" s="61" t="n"/>
      <c r="D298" s="61" t="n"/>
      <c r="E298" s="61" t="n"/>
      <c r="F298" s="55" t="n"/>
      <c r="G298" s="56" t="n"/>
      <c r="H298" s="55" t="n"/>
      <c r="I298" s="62" t="n"/>
      <c r="J298" s="58" t="n"/>
      <c r="K298" s="63">
        <f>IF(tblMovement[[#This Row],[Source]]="","",IFERROR(INDEX(tblSources[Type],MATCH(tblMovement[[#This Row],[Source]],tblSources[Source],0)),"?"))</f>
        <v/>
      </c>
      <c r="L298" s="63">
        <f>IF(tblMovement[[#This Row],[Destination]]="","",IFERROR(INDEX(tblDestinations[Type],MATCH(tblMovement[[#This Row],[Destination]],tblDestinations[Destination],0)),"?"))</f>
        <v/>
      </c>
      <c r="M298" s="64">
        <f>IF(tblMovement[[#This Row],[Material]]="","",IF(LEFT(tblMovement[[#This Row],[Material]],3)="Ore",1,0))</f>
        <v/>
      </c>
      <c r="N298" s="59">
        <f>IF(OR(tblMovement[[#This Row],[Tonnes_t]]="",tblMovement[[#This Row],[Grade_gpt]]=""),0,tblMovement[[#This Row],[Tonnes_t]]*tblMovement[[#This Row],[Grade_gpt]]/cfg_TroyOz)</f>
        <v/>
      </c>
      <c r="O298" s="59">
        <f>IF(tblMovement[[#This Row],[Is_Ore]]=1,tblMovement[[#This Row],[Contained_oz]],0)</f>
        <v/>
      </c>
    </row>
    <row r="299">
      <c r="A299" s="54" t="n"/>
      <c r="B299" s="61" t="n"/>
      <c r="C299" s="61" t="n"/>
      <c r="D299" s="61" t="n"/>
      <c r="E299" s="61" t="n"/>
      <c r="F299" s="55" t="n"/>
      <c r="G299" s="56" t="n"/>
      <c r="H299" s="55" t="n"/>
      <c r="I299" s="62" t="n"/>
      <c r="J299" s="58" t="n"/>
      <c r="K299" s="63">
        <f>IF(tblMovement[[#This Row],[Source]]="","",IFERROR(INDEX(tblSources[Type],MATCH(tblMovement[[#This Row],[Source]],tblSources[Source],0)),"?"))</f>
        <v/>
      </c>
      <c r="L299" s="63">
        <f>IF(tblMovement[[#This Row],[Destination]]="","",IFERROR(INDEX(tblDestinations[Type],MATCH(tblMovement[[#This Row],[Destination]],tblDestinations[Destination],0)),"?"))</f>
        <v/>
      </c>
      <c r="M299" s="64">
        <f>IF(tblMovement[[#This Row],[Material]]="","",IF(LEFT(tblMovement[[#This Row],[Material]],3)="Ore",1,0))</f>
        <v/>
      </c>
      <c r="N299" s="59">
        <f>IF(OR(tblMovement[[#This Row],[Tonnes_t]]="",tblMovement[[#This Row],[Grade_gpt]]=""),0,tblMovement[[#This Row],[Tonnes_t]]*tblMovement[[#This Row],[Grade_gpt]]/cfg_TroyOz)</f>
        <v/>
      </c>
      <c r="O299" s="59">
        <f>IF(tblMovement[[#This Row],[Is_Ore]]=1,tblMovement[[#This Row],[Contained_oz]],0)</f>
        <v/>
      </c>
    </row>
    <row r="300">
      <c r="A300" s="54" t="n"/>
      <c r="B300" s="61" t="n"/>
      <c r="C300" s="61" t="n"/>
      <c r="D300" s="61" t="n"/>
      <c r="E300" s="61" t="n"/>
      <c r="F300" s="55" t="n"/>
      <c r="G300" s="56" t="n"/>
      <c r="H300" s="55" t="n"/>
      <c r="I300" s="62" t="n"/>
      <c r="J300" s="58" t="n"/>
      <c r="K300" s="63">
        <f>IF(tblMovement[[#This Row],[Source]]="","",IFERROR(INDEX(tblSources[Type],MATCH(tblMovement[[#This Row],[Source]],tblSources[Source],0)),"?"))</f>
        <v/>
      </c>
      <c r="L300" s="63">
        <f>IF(tblMovement[[#This Row],[Destination]]="","",IFERROR(INDEX(tblDestinations[Type],MATCH(tblMovement[[#This Row],[Destination]],tblDestinations[Destination],0)),"?"))</f>
        <v/>
      </c>
      <c r="M300" s="64">
        <f>IF(tblMovement[[#This Row],[Material]]="","",IF(LEFT(tblMovement[[#This Row],[Material]],3)="Ore",1,0))</f>
        <v/>
      </c>
      <c r="N300" s="59">
        <f>IF(OR(tblMovement[[#This Row],[Tonnes_t]]="",tblMovement[[#This Row],[Grade_gpt]]=""),0,tblMovement[[#This Row],[Tonnes_t]]*tblMovement[[#This Row],[Grade_gpt]]/cfg_TroyOz)</f>
        <v/>
      </c>
      <c r="O300" s="59">
        <f>IF(tblMovement[[#This Row],[Is_Ore]]=1,tblMovement[[#This Row],[Contained_oz]],0)</f>
        <v/>
      </c>
    </row>
    <row r="301">
      <c r="A301" s="54" t="n"/>
      <c r="B301" s="61" t="n"/>
      <c r="C301" s="61" t="n"/>
      <c r="D301" s="61" t="n"/>
      <c r="E301" s="61" t="n"/>
      <c r="F301" s="55" t="n"/>
      <c r="G301" s="56" t="n"/>
      <c r="H301" s="55" t="n"/>
      <c r="I301" s="62" t="n"/>
      <c r="J301" s="58" t="n"/>
      <c r="K301" s="63">
        <f>IF(tblMovement[[#This Row],[Source]]="","",IFERROR(INDEX(tblSources[Type],MATCH(tblMovement[[#This Row],[Source]],tblSources[Source],0)),"?"))</f>
        <v/>
      </c>
      <c r="L301" s="63">
        <f>IF(tblMovement[[#This Row],[Destination]]="","",IFERROR(INDEX(tblDestinations[Type],MATCH(tblMovement[[#This Row],[Destination]],tblDestinations[Destination],0)),"?"))</f>
        <v/>
      </c>
      <c r="M301" s="64">
        <f>IF(tblMovement[[#This Row],[Material]]="","",IF(LEFT(tblMovement[[#This Row],[Material]],3)="Ore",1,0))</f>
        <v/>
      </c>
      <c r="N301" s="59">
        <f>IF(OR(tblMovement[[#This Row],[Tonnes_t]]="",tblMovement[[#This Row],[Grade_gpt]]=""),0,tblMovement[[#This Row],[Tonnes_t]]*tblMovement[[#This Row],[Grade_gpt]]/cfg_TroyOz)</f>
        <v/>
      </c>
      <c r="O301" s="59">
        <f>IF(tblMovement[[#This Row],[Is_Ore]]=1,tblMovement[[#This Row],[Contained_oz]],0)</f>
        <v/>
      </c>
    </row>
    <row r="302">
      <c r="A302" s="54" t="n"/>
      <c r="B302" s="61" t="n"/>
      <c r="C302" s="61" t="n"/>
      <c r="D302" s="61" t="n"/>
      <c r="E302" s="61" t="n"/>
      <c r="F302" s="55" t="n"/>
      <c r="G302" s="56" t="n"/>
      <c r="H302" s="55" t="n"/>
      <c r="I302" s="62" t="n"/>
      <c r="J302" s="58" t="n"/>
      <c r="K302" s="63">
        <f>IF(tblMovement[[#This Row],[Source]]="","",IFERROR(INDEX(tblSources[Type],MATCH(tblMovement[[#This Row],[Source]],tblSources[Source],0)),"?"))</f>
        <v/>
      </c>
      <c r="L302" s="63">
        <f>IF(tblMovement[[#This Row],[Destination]]="","",IFERROR(INDEX(tblDestinations[Type],MATCH(tblMovement[[#This Row],[Destination]],tblDestinations[Destination],0)),"?"))</f>
        <v/>
      </c>
      <c r="M302" s="64">
        <f>IF(tblMovement[[#This Row],[Material]]="","",IF(LEFT(tblMovement[[#This Row],[Material]],3)="Ore",1,0))</f>
        <v/>
      </c>
      <c r="N302" s="59">
        <f>IF(OR(tblMovement[[#This Row],[Tonnes_t]]="",tblMovement[[#This Row],[Grade_gpt]]=""),0,tblMovement[[#This Row],[Tonnes_t]]*tblMovement[[#This Row],[Grade_gpt]]/cfg_TroyOz)</f>
        <v/>
      </c>
      <c r="O302" s="59">
        <f>IF(tblMovement[[#This Row],[Is_Ore]]=1,tblMovement[[#This Row],[Contained_oz]],0)</f>
        <v/>
      </c>
    </row>
    <row r="303">
      <c r="A303" s="54" t="n"/>
      <c r="B303" s="61" t="n"/>
      <c r="C303" s="61" t="n"/>
      <c r="D303" s="61" t="n"/>
      <c r="E303" s="61" t="n"/>
      <c r="F303" s="55" t="n"/>
      <c r="G303" s="56" t="n"/>
      <c r="H303" s="55" t="n"/>
      <c r="I303" s="62" t="n"/>
      <c r="J303" s="58" t="n"/>
      <c r="K303" s="63">
        <f>IF(tblMovement[[#This Row],[Source]]="","",IFERROR(INDEX(tblSources[Type],MATCH(tblMovement[[#This Row],[Source]],tblSources[Source],0)),"?"))</f>
        <v/>
      </c>
      <c r="L303" s="63">
        <f>IF(tblMovement[[#This Row],[Destination]]="","",IFERROR(INDEX(tblDestinations[Type],MATCH(tblMovement[[#This Row],[Destination]],tblDestinations[Destination],0)),"?"))</f>
        <v/>
      </c>
      <c r="M303" s="64">
        <f>IF(tblMovement[[#This Row],[Material]]="","",IF(LEFT(tblMovement[[#This Row],[Material]],3)="Ore",1,0))</f>
        <v/>
      </c>
      <c r="N303" s="59">
        <f>IF(OR(tblMovement[[#This Row],[Tonnes_t]]="",tblMovement[[#This Row],[Grade_gpt]]=""),0,tblMovement[[#This Row],[Tonnes_t]]*tblMovement[[#This Row],[Grade_gpt]]/cfg_TroyOz)</f>
        <v/>
      </c>
      <c r="O303" s="59">
        <f>IF(tblMovement[[#This Row],[Is_Ore]]=1,tblMovement[[#This Row],[Contained_oz]],0)</f>
        <v/>
      </c>
    </row>
    <row r="304">
      <c r="A304" s="54" t="n"/>
      <c r="B304" s="61" t="n"/>
      <c r="C304" s="61" t="n"/>
      <c r="D304" s="61" t="n"/>
      <c r="E304" s="61" t="n"/>
      <c r="F304" s="55" t="n"/>
      <c r="G304" s="56" t="n"/>
      <c r="H304" s="55" t="n"/>
      <c r="I304" s="62" t="n"/>
      <c r="J304" s="58" t="n"/>
      <c r="K304" s="63">
        <f>IF(tblMovement[[#This Row],[Source]]="","",IFERROR(INDEX(tblSources[Type],MATCH(tblMovement[[#This Row],[Source]],tblSources[Source],0)),"?"))</f>
        <v/>
      </c>
      <c r="L304" s="63">
        <f>IF(tblMovement[[#This Row],[Destination]]="","",IFERROR(INDEX(tblDestinations[Type],MATCH(tblMovement[[#This Row],[Destination]],tblDestinations[Destination],0)),"?"))</f>
        <v/>
      </c>
      <c r="M304" s="64">
        <f>IF(tblMovement[[#This Row],[Material]]="","",IF(LEFT(tblMovement[[#This Row],[Material]],3)="Ore",1,0))</f>
        <v/>
      </c>
      <c r="N304" s="59">
        <f>IF(OR(tblMovement[[#This Row],[Tonnes_t]]="",tblMovement[[#This Row],[Grade_gpt]]=""),0,tblMovement[[#This Row],[Tonnes_t]]*tblMovement[[#This Row],[Grade_gpt]]/cfg_TroyOz)</f>
        <v/>
      </c>
      <c r="O304" s="59">
        <f>IF(tblMovement[[#This Row],[Is_Ore]]=1,tblMovement[[#This Row],[Contained_oz]],0)</f>
        <v/>
      </c>
    </row>
    <row r="305">
      <c r="A305" s="54" t="n"/>
      <c r="B305" s="61" t="n"/>
      <c r="C305" s="61" t="n"/>
      <c r="D305" s="61" t="n"/>
      <c r="E305" s="61" t="n"/>
      <c r="F305" s="55" t="n"/>
      <c r="G305" s="56" t="n"/>
      <c r="H305" s="55" t="n"/>
      <c r="I305" s="62" t="n"/>
      <c r="J305" s="58" t="n"/>
      <c r="K305" s="63">
        <f>IF(tblMovement[[#This Row],[Source]]="","",IFERROR(INDEX(tblSources[Type],MATCH(tblMovement[[#This Row],[Source]],tblSources[Source],0)),"?"))</f>
        <v/>
      </c>
      <c r="L305" s="63">
        <f>IF(tblMovement[[#This Row],[Destination]]="","",IFERROR(INDEX(tblDestinations[Type],MATCH(tblMovement[[#This Row],[Destination]],tblDestinations[Destination],0)),"?"))</f>
        <v/>
      </c>
      <c r="M305" s="64">
        <f>IF(tblMovement[[#This Row],[Material]]="","",IF(LEFT(tblMovement[[#This Row],[Material]],3)="Ore",1,0))</f>
        <v/>
      </c>
      <c r="N305" s="59">
        <f>IF(OR(tblMovement[[#This Row],[Tonnes_t]]="",tblMovement[[#This Row],[Grade_gpt]]=""),0,tblMovement[[#This Row],[Tonnes_t]]*tblMovement[[#This Row],[Grade_gpt]]/cfg_TroyOz)</f>
        <v/>
      </c>
      <c r="O305" s="59">
        <f>IF(tblMovement[[#This Row],[Is_Ore]]=1,tblMovement[[#This Row],[Contained_oz]],0)</f>
        <v/>
      </c>
    </row>
    <row r="306">
      <c r="A306" s="54" t="n"/>
      <c r="B306" s="61" t="n"/>
      <c r="C306" s="61" t="n"/>
      <c r="D306" s="61" t="n"/>
      <c r="E306" s="61" t="n"/>
      <c r="F306" s="55" t="n"/>
      <c r="G306" s="56" t="n"/>
      <c r="H306" s="55" t="n"/>
      <c r="I306" s="62" t="n"/>
      <c r="J306" s="58" t="n"/>
      <c r="K306" s="63">
        <f>IF(tblMovement[[#This Row],[Source]]="","",IFERROR(INDEX(tblSources[Type],MATCH(tblMovement[[#This Row],[Source]],tblSources[Source],0)),"?"))</f>
        <v/>
      </c>
      <c r="L306" s="63">
        <f>IF(tblMovement[[#This Row],[Destination]]="","",IFERROR(INDEX(tblDestinations[Type],MATCH(tblMovement[[#This Row],[Destination]],tblDestinations[Destination],0)),"?"))</f>
        <v/>
      </c>
      <c r="M306" s="64">
        <f>IF(tblMovement[[#This Row],[Material]]="","",IF(LEFT(tblMovement[[#This Row],[Material]],3)="Ore",1,0))</f>
        <v/>
      </c>
      <c r="N306" s="59">
        <f>IF(OR(tblMovement[[#This Row],[Tonnes_t]]="",tblMovement[[#This Row],[Grade_gpt]]=""),0,tblMovement[[#This Row],[Tonnes_t]]*tblMovement[[#This Row],[Grade_gpt]]/cfg_TroyOz)</f>
        <v/>
      </c>
      <c r="O306" s="59">
        <f>IF(tblMovement[[#This Row],[Is_Ore]]=1,tblMovement[[#This Row],[Contained_oz]],0)</f>
        <v/>
      </c>
    </row>
    <row r="307">
      <c r="A307" s="54" t="n"/>
      <c r="B307" s="61" t="n"/>
      <c r="C307" s="61" t="n"/>
      <c r="D307" s="61" t="n"/>
      <c r="E307" s="61" t="n"/>
      <c r="F307" s="55" t="n"/>
      <c r="G307" s="56" t="n"/>
      <c r="H307" s="55" t="n"/>
      <c r="I307" s="62" t="n"/>
      <c r="J307" s="58" t="n"/>
      <c r="K307" s="63">
        <f>IF(tblMovement[[#This Row],[Source]]="","",IFERROR(INDEX(tblSources[Type],MATCH(tblMovement[[#This Row],[Source]],tblSources[Source],0)),"?"))</f>
        <v/>
      </c>
      <c r="L307" s="63">
        <f>IF(tblMovement[[#This Row],[Destination]]="","",IFERROR(INDEX(tblDestinations[Type],MATCH(tblMovement[[#This Row],[Destination]],tblDestinations[Destination],0)),"?"))</f>
        <v/>
      </c>
      <c r="M307" s="64">
        <f>IF(tblMovement[[#This Row],[Material]]="","",IF(LEFT(tblMovement[[#This Row],[Material]],3)="Ore",1,0))</f>
        <v/>
      </c>
      <c r="N307" s="59">
        <f>IF(OR(tblMovement[[#This Row],[Tonnes_t]]="",tblMovement[[#This Row],[Grade_gpt]]=""),0,tblMovement[[#This Row],[Tonnes_t]]*tblMovement[[#This Row],[Grade_gpt]]/cfg_TroyOz)</f>
        <v/>
      </c>
      <c r="O307" s="59">
        <f>IF(tblMovement[[#This Row],[Is_Ore]]=1,tblMovement[[#This Row],[Contained_oz]],0)</f>
        <v/>
      </c>
    </row>
    <row r="308">
      <c r="A308" s="54" t="n"/>
      <c r="B308" s="61" t="n"/>
      <c r="C308" s="61" t="n"/>
      <c r="D308" s="61" t="n"/>
      <c r="E308" s="61" t="n"/>
      <c r="F308" s="55" t="n"/>
      <c r="G308" s="56" t="n"/>
      <c r="H308" s="55" t="n"/>
      <c r="I308" s="62" t="n"/>
      <c r="J308" s="58" t="n"/>
      <c r="K308" s="63">
        <f>IF(tblMovement[[#This Row],[Source]]="","",IFERROR(INDEX(tblSources[Type],MATCH(tblMovement[[#This Row],[Source]],tblSources[Source],0)),"?"))</f>
        <v/>
      </c>
      <c r="L308" s="63">
        <f>IF(tblMovement[[#This Row],[Destination]]="","",IFERROR(INDEX(tblDestinations[Type],MATCH(tblMovement[[#This Row],[Destination]],tblDestinations[Destination],0)),"?"))</f>
        <v/>
      </c>
      <c r="M308" s="64">
        <f>IF(tblMovement[[#This Row],[Material]]="","",IF(LEFT(tblMovement[[#This Row],[Material]],3)="Ore",1,0))</f>
        <v/>
      </c>
      <c r="N308" s="59">
        <f>IF(OR(tblMovement[[#This Row],[Tonnes_t]]="",tblMovement[[#This Row],[Grade_gpt]]=""),0,tblMovement[[#This Row],[Tonnes_t]]*tblMovement[[#This Row],[Grade_gpt]]/cfg_TroyOz)</f>
        <v/>
      </c>
      <c r="O308" s="59">
        <f>IF(tblMovement[[#This Row],[Is_Ore]]=1,tblMovement[[#This Row],[Contained_oz]],0)</f>
        <v/>
      </c>
    </row>
    <row r="309">
      <c r="A309" s="54" t="n"/>
      <c r="B309" s="61" t="n"/>
      <c r="C309" s="61" t="n"/>
      <c r="D309" s="61" t="n"/>
      <c r="E309" s="61" t="n"/>
      <c r="F309" s="55" t="n"/>
      <c r="G309" s="56" t="n"/>
      <c r="H309" s="55" t="n"/>
      <c r="I309" s="62" t="n"/>
      <c r="J309" s="58" t="n"/>
      <c r="K309" s="63">
        <f>IF(tblMovement[[#This Row],[Source]]="","",IFERROR(INDEX(tblSources[Type],MATCH(tblMovement[[#This Row],[Source]],tblSources[Source],0)),"?"))</f>
        <v/>
      </c>
      <c r="L309" s="63">
        <f>IF(tblMovement[[#This Row],[Destination]]="","",IFERROR(INDEX(tblDestinations[Type],MATCH(tblMovement[[#This Row],[Destination]],tblDestinations[Destination],0)),"?"))</f>
        <v/>
      </c>
      <c r="M309" s="64">
        <f>IF(tblMovement[[#This Row],[Material]]="","",IF(LEFT(tblMovement[[#This Row],[Material]],3)="Ore",1,0))</f>
        <v/>
      </c>
      <c r="N309" s="59">
        <f>IF(OR(tblMovement[[#This Row],[Tonnes_t]]="",tblMovement[[#This Row],[Grade_gpt]]=""),0,tblMovement[[#This Row],[Tonnes_t]]*tblMovement[[#This Row],[Grade_gpt]]/cfg_TroyOz)</f>
        <v/>
      </c>
      <c r="O309" s="59">
        <f>IF(tblMovement[[#This Row],[Is_Ore]]=1,tblMovement[[#This Row],[Contained_oz]],0)</f>
        <v/>
      </c>
    </row>
    <row r="310">
      <c r="A310" s="54" t="n"/>
      <c r="B310" s="61" t="n"/>
      <c r="C310" s="61" t="n"/>
      <c r="D310" s="61" t="n"/>
      <c r="E310" s="61" t="n"/>
      <c r="F310" s="55" t="n"/>
      <c r="G310" s="56" t="n"/>
      <c r="H310" s="55" t="n"/>
      <c r="I310" s="62" t="n"/>
      <c r="J310" s="58" t="n"/>
      <c r="K310" s="63">
        <f>IF(tblMovement[[#This Row],[Source]]="","",IFERROR(INDEX(tblSources[Type],MATCH(tblMovement[[#This Row],[Source]],tblSources[Source],0)),"?"))</f>
        <v/>
      </c>
      <c r="L310" s="63">
        <f>IF(tblMovement[[#This Row],[Destination]]="","",IFERROR(INDEX(tblDestinations[Type],MATCH(tblMovement[[#This Row],[Destination]],tblDestinations[Destination],0)),"?"))</f>
        <v/>
      </c>
      <c r="M310" s="64">
        <f>IF(tblMovement[[#This Row],[Material]]="","",IF(LEFT(tblMovement[[#This Row],[Material]],3)="Ore",1,0))</f>
        <v/>
      </c>
      <c r="N310" s="59">
        <f>IF(OR(tblMovement[[#This Row],[Tonnes_t]]="",tblMovement[[#This Row],[Grade_gpt]]=""),0,tblMovement[[#This Row],[Tonnes_t]]*tblMovement[[#This Row],[Grade_gpt]]/cfg_TroyOz)</f>
        <v/>
      </c>
      <c r="O310" s="59">
        <f>IF(tblMovement[[#This Row],[Is_Ore]]=1,tblMovement[[#This Row],[Contained_oz]],0)</f>
        <v/>
      </c>
    </row>
    <row r="311">
      <c r="A311" s="54" t="n"/>
      <c r="B311" s="61" t="n"/>
      <c r="C311" s="61" t="n"/>
      <c r="D311" s="61" t="n"/>
      <c r="E311" s="61" t="n"/>
      <c r="F311" s="55" t="n"/>
      <c r="G311" s="56" t="n"/>
      <c r="H311" s="55" t="n"/>
      <c r="I311" s="62" t="n"/>
      <c r="J311" s="58" t="n"/>
      <c r="K311" s="63">
        <f>IF(tblMovement[[#This Row],[Source]]="","",IFERROR(INDEX(tblSources[Type],MATCH(tblMovement[[#This Row],[Source]],tblSources[Source],0)),"?"))</f>
        <v/>
      </c>
      <c r="L311" s="63">
        <f>IF(tblMovement[[#This Row],[Destination]]="","",IFERROR(INDEX(tblDestinations[Type],MATCH(tblMovement[[#This Row],[Destination]],tblDestinations[Destination],0)),"?"))</f>
        <v/>
      </c>
      <c r="M311" s="64">
        <f>IF(tblMovement[[#This Row],[Material]]="","",IF(LEFT(tblMovement[[#This Row],[Material]],3)="Ore",1,0))</f>
        <v/>
      </c>
      <c r="N311" s="59">
        <f>IF(OR(tblMovement[[#This Row],[Tonnes_t]]="",tblMovement[[#This Row],[Grade_gpt]]=""),0,tblMovement[[#This Row],[Tonnes_t]]*tblMovement[[#This Row],[Grade_gpt]]/cfg_TroyOz)</f>
        <v/>
      </c>
      <c r="O311" s="59">
        <f>IF(tblMovement[[#This Row],[Is_Ore]]=1,tblMovement[[#This Row],[Contained_oz]],0)</f>
        <v/>
      </c>
    </row>
    <row r="312">
      <c r="A312" s="54" t="n"/>
      <c r="B312" s="61" t="n"/>
      <c r="C312" s="61" t="n"/>
      <c r="D312" s="61" t="n"/>
      <c r="E312" s="61" t="n"/>
      <c r="F312" s="55" t="n"/>
      <c r="G312" s="56" t="n"/>
      <c r="H312" s="55" t="n"/>
      <c r="I312" s="62" t="n"/>
      <c r="J312" s="58" t="n"/>
      <c r="K312" s="63">
        <f>IF(tblMovement[[#This Row],[Source]]="","",IFERROR(INDEX(tblSources[Type],MATCH(tblMovement[[#This Row],[Source]],tblSources[Source],0)),"?"))</f>
        <v/>
      </c>
      <c r="L312" s="63">
        <f>IF(tblMovement[[#This Row],[Destination]]="","",IFERROR(INDEX(tblDestinations[Type],MATCH(tblMovement[[#This Row],[Destination]],tblDestinations[Destination],0)),"?"))</f>
        <v/>
      </c>
      <c r="M312" s="64">
        <f>IF(tblMovement[[#This Row],[Material]]="","",IF(LEFT(tblMovement[[#This Row],[Material]],3)="Ore",1,0))</f>
        <v/>
      </c>
      <c r="N312" s="59">
        <f>IF(OR(tblMovement[[#This Row],[Tonnes_t]]="",tblMovement[[#This Row],[Grade_gpt]]=""),0,tblMovement[[#This Row],[Tonnes_t]]*tblMovement[[#This Row],[Grade_gpt]]/cfg_TroyOz)</f>
        <v/>
      </c>
      <c r="O312" s="59">
        <f>IF(tblMovement[[#This Row],[Is_Ore]]=1,tblMovement[[#This Row],[Contained_oz]],0)</f>
        <v/>
      </c>
    </row>
    <row r="313">
      <c r="A313" s="54" t="n"/>
      <c r="B313" s="61" t="n"/>
      <c r="C313" s="61" t="n"/>
      <c r="D313" s="61" t="n"/>
      <c r="E313" s="61" t="n"/>
      <c r="F313" s="55" t="n"/>
      <c r="G313" s="56" t="n"/>
      <c r="H313" s="55" t="n"/>
      <c r="I313" s="62" t="n"/>
      <c r="J313" s="58" t="n"/>
      <c r="K313" s="63">
        <f>IF(tblMovement[[#This Row],[Source]]="","",IFERROR(INDEX(tblSources[Type],MATCH(tblMovement[[#This Row],[Source]],tblSources[Source],0)),"?"))</f>
        <v/>
      </c>
      <c r="L313" s="63">
        <f>IF(tblMovement[[#This Row],[Destination]]="","",IFERROR(INDEX(tblDestinations[Type],MATCH(tblMovement[[#This Row],[Destination]],tblDestinations[Destination],0)),"?"))</f>
        <v/>
      </c>
      <c r="M313" s="64">
        <f>IF(tblMovement[[#This Row],[Material]]="","",IF(LEFT(tblMovement[[#This Row],[Material]],3)="Ore",1,0))</f>
        <v/>
      </c>
      <c r="N313" s="59">
        <f>IF(OR(tblMovement[[#This Row],[Tonnes_t]]="",tblMovement[[#This Row],[Grade_gpt]]=""),0,tblMovement[[#This Row],[Tonnes_t]]*tblMovement[[#This Row],[Grade_gpt]]/cfg_TroyOz)</f>
        <v/>
      </c>
      <c r="O313" s="59">
        <f>IF(tblMovement[[#This Row],[Is_Ore]]=1,tblMovement[[#This Row],[Contained_oz]],0)</f>
        <v/>
      </c>
    </row>
    <row r="314">
      <c r="A314" s="54" t="n"/>
      <c r="B314" s="61" t="n"/>
      <c r="C314" s="61" t="n"/>
      <c r="D314" s="61" t="n"/>
      <c r="E314" s="61" t="n"/>
      <c r="F314" s="55" t="n"/>
      <c r="G314" s="56" t="n"/>
      <c r="H314" s="55" t="n"/>
      <c r="I314" s="62" t="n"/>
      <c r="J314" s="58" t="n"/>
      <c r="K314" s="63">
        <f>IF(tblMovement[[#This Row],[Source]]="","",IFERROR(INDEX(tblSources[Type],MATCH(tblMovement[[#This Row],[Source]],tblSources[Source],0)),"?"))</f>
        <v/>
      </c>
      <c r="L314" s="63">
        <f>IF(tblMovement[[#This Row],[Destination]]="","",IFERROR(INDEX(tblDestinations[Type],MATCH(tblMovement[[#This Row],[Destination]],tblDestinations[Destination],0)),"?"))</f>
        <v/>
      </c>
      <c r="M314" s="64">
        <f>IF(tblMovement[[#This Row],[Material]]="","",IF(LEFT(tblMovement[[#This Row],[Material]],3)="Ore",1,0))</f>
        <v/>
      </c>
      <c r="N314" s="59">
        <f>IF(OR(tblMovement[[#This Row],[Tonnes_t]]="",tblMovement[[#This Row],[Grade_gpt]]=""),0,tblMovement[[#This Row],[Tonnes_t]]*tblMovement[[#This Row],[Grade_gpt]]/cfg_TroyOz)</f>
        <v/>
      </c>
      <c r="O314" s="59">
        <f>IF(tblMovement[[#This Row],[Is_Ore]]=1,tblMovement[[#This Row],[Contained_oz]],0)</f>
        <v/>
      </c>
    </row>
    <row r="315">
      <c r="A315" s="54" t="n"/>
      <c r="B315" s="61" t="n"/>
      <c r="C315" s="61" t="n"/>
      <c r="D315" s="61" t="n"/>
      <c r="E315" s="61" t="n"/>
      <c r="F315" s="55" t="n"/>
      <c r="G315" s="56" t="n"/>
      <c r="H315" s="55" t="n"/>
      <c r="I315" s="62" t="n"/>
      <c r="J315" s="58" t="n"/>
      <c r="K315" s="63">
        <f>IF(tblMovement[[#This Row],[Source]]="","",IFERROR(INDEX(tblSources[Type],MATCH(tblMovement[[#This Row],[Source]],tblSources[Source],0)),"?"))</f>
        <v/>
      </c>
      <c r="L315" s="63">
        <f>IF(tblMovement[[#This Row],[Destination]]="","",IFERROR(INDEX(tblDestinations[Type],MATCH(tblMovement[[#This Row],[Destination]],tblDestinations[Destination],0)),"?"))</f>
        <v/>
      </c>
      <c r="M315" s="64">
        <f>IF(tblMovement[[#This Row],[Material]]="","",IF(LEFT(tblMovement[[#This Row],[Material]],3)="Ore",1,0))</f>
        <v/>
      </c>
      <c r="N315" s="59">
        <f>IF(OR(tblMovement[[#This Row],[Tonnes_t]]="",tblMovement[[#This Row],[Grade_gpt]]=""),0,tblMovement[[#This Row],[Tonnes_t]]*tblMovement[[#This Row],[Grade_gpt]]/cfg_TroyOz)</f>
        <v/>
      </c>
      <c r="O315" s="59">
        <f>IF(tblMovement[[#This Row],[Is_Ore]]=1,tblMovement[[#This Row],[Contained_oz]],0)</f>
        <v/>
      </c>
    </row>
    <row r="316">
      <c r="A316" s="54" t="n"/>
      <c r="B316" s="61" t="n"/>
      <c r="C316" s="61" t="n"/>
      <c r="D316" s="61" t="n"/>
      <c r="E316" s="61" t="n"/>
      <c r="F316" s="55" t="n"/>
      <c r="G316" s="56" t="n"/>
      <c r="H316" s="55" t="n"/>
      <c r="I316" s="62" t="n"/>
      <c r="J316" s="58" t="n"/>
      <c r="K316" s="63">
        <f>IF(tblMovement[[#This Row],[Source]]="","",IFERROR(INDEX(tblSources[Type],MATCH(tblMovement[[#This Row],[Source]],tblSources[Source],0)),"?"))</f>
        <v/>
      </c>
      <c r="L316" s="63">
        <f>IF(tblMovement[[#This Row],[Destination]]="","",IFERROR(INDEX(tblDestinations[Type],MATCH(tblMovement[[#This Row],[Destination]],tblDestinations[Destination],0)),"?"))</f>
        <v/>
      </c>
      <c r="M316" s="64">
        <f>IF(tblMovement[[#This Row],[Material]]="","",IF(LEFT(tblMovement[[#This Row],[Material]],3)="Ore",1,0))</f>
        <v/>
      </c>
      <c r="N316" s="59">
        <f>IF(OR(tblMovement[[#This Row],[Tonnes_t]]="",tblMovement[[#This Row],[Grade_gpt]]=""),0,tblMovement[[#This Row],[Tonnes_t]]*tblMovement[[#This Row],[Grade_gpt]]/cfg_TroyOz)</f>
        <v/>
      </c>
      <c r="O316" s="59">
        <f>IF(tblMovement[[#This Row],[Is_Ore]]=1,tblMovement[[#This Row],[Contained_oz]],0)</f>
        <v/>
      </c>
    </row>
    <row r="317">
      <c r="A317" s="54" t="n"/>
      <c r="B317" s="61" t="n"/>
      <c r="C317" s="61" t="n"/>
      <c r="D317" s="61" t="n"/>
      <c r="E317" s="61" t="n"/>
      <c r="F317" s="55" t="n"/>
      <c r="G317" s="56" t="n"/>
      <c r="H317" s="55" t="n"/>
      <c r="I317" s="62" t="n"/>
      <c r="J317" s="58" t="n"/>
      <c r="K317" s="63">
        <f>IF(tblMovement[[#This Row],[Source]]="","",IFERROR(INDEX(tblSources[Type],MATCH(tblMovement[[#This Row],[Source]],tblSources[Source],0)),"?"))</f>
        <v/>
      </c>
      <c r="L317" s="63">
        <f>IF(tblMovement[[#This Row],[Destination]]="","",IFERROR(INDEX(tblDestinations[Type],MATCH(tblMovement[[#This Row],[Destination]],tblDestinations[Destination],0)),"?"))</f>
        <v/>
      </c>
      <c r="M317" s="64">
        <f>IF(tblMovement[[#This Row],[Material]]="","",IF(LEFT(tblMovement[[#This Row],[Material]],3)="Ore",1,0))</f>
        <v/>
      </c>
      <c r="N317" s="59">
        <f>IF(OR(tblMovement[[#This Row],[Tonnes_t]]="",tblMovement[[#This Row],[Grade_gpt]]=""),0,tblMovement[[#This Row],[Tonnes_t]]*tblMovement[[#This Row],[Grade_gpt]]/cfg_TroyOz)</f>
        <v/>
      </c>
      <c r="O317" s="59">
        <f>IF(tblMovement[[#This Row],[Is_Ore]]=1,tblMovement[[#This Row],[Contained_oz]],0)</f>
        <v/>
      </c>
    </row>
    <row r="318">
      <c r="A318" s="54" t="n"/>
      <c r="B318" s="61" t="n"/>
      <c r="C318" s="61" t="n"/>
      <c r="D318" s="61" t="n"/>
      <c r="E318" s="61" t="n"/>
      <c r="F318" s="55" t="n"/>
      <c r="G318" s="56" t="n"/>
      <c r="H318" s="55" t="n"/>
      <c r="I318" s="62" t="n"/>
      <c r="J318" s="58" t="n"/>
      <c r="K318" s="63">
        <f>IF(tblMovement[[#This Row],[Source]]="","",IFERROR(INDEX(tblSources[Type],MATCH(tblMovement[[#This Row],[Source]],tblSources[Source],0)),"?"))</f>
        <v/>
      </c>
      <c r="L318" s="63">
        <f>IF(tblMovement[[#This Row],[Destination]]="","",IFERROR(INDEX(tblDestinations[Type],MATCH(tblMovement[[#This Row],[Destination]],tblDestinations[Destination],0)),"?"))</f>
        <v/>
      </c>
      <c r="M318" s="64">
        <f>IF(tblMovement[[#This Row],[Material]]="","",IF(LEFT(tblMovement[[#This Row],[Material]],3)="Ore",1,0))</f>
        <v/>
      </c>
      <c r="N318" s="59">
        <f>IF(OR(tblMovement[[#This Row],[Tonnes_t]]="",tblMovement[[#This Row],[Grade_gpt]]=""),0,tblMovement[[#This Row],[Tonnes_t]]*tblMovement[[#This Row],[Grade_gpt]]/cfg_TroyOz)</f>
        <v/>
      </c>
      <c r="O318" s="59">
        <f>IF(tblMovement[[#This Row],[Is_Ore]]=1,tblMovement[[#This Row],[Contained_oz]],0)</f>
        <v/>
      </c>
    </row>
    <row r="319">
      <c r="A319" s="54" t="n"/>
      <c r="B319" s="61" t="n"/>
      <c r="C319" s="61" t="n"/>
      <c r="D319" s="61" t="n"/>
      <c r="E319" s="61" t="n"/>
      <c r="F319" s="55" t="n"/>
      <c r="G319" s="56" t="n"/>
      <c r="H319" s="55" t="n"/>
      <c r="I319" s="62" t="n"/>
      <c r="J319" s="58" t="n"/>
      <c r="K319" s="63">
        <f>IF(tblMovement[[#This Row],[Source]]="","",IFERROR(INDEX(tblSources[Type],MATCH(tblMovement[[#This Row],[Source]],tblSources[Source],0)),"?"))</f>
        <v/>
      </c>
      <c r="L319" s="63">
        <f>IF(tblMovement[[#This Row],[Destination]]="","",IFERROR(INDEX(tblDestinations[Type],MATCH(tblMovement[[#This Row],[Destination]],tblDestinations[Destination],0)),"?"))</f>
        <v/>
      </c>
      <c r="M319" s="64">
        <f>IF(tblMovement[[#This Row],[Material]]="","",IF(LEFT(tblMovement[[#This Row],[Material]],3)="Ore",1,0))</f>
        <v/>
      </c>
      <c r="N319" s="59">
        <f>IF(OR(tblMovement[[#This Row],[Tonnes_t]]="",tblMovement[[#This Row],[Grade_gpt]]=""),0,tblMovement[[#This Row],[Tonnes_t]]*tblMovement[[#This Row],[Grade_gpt]]/cfg_TroyOz)</f>
        <v/>
      </c>
      <c r="O319" s="59">
        <f>IF(tblMovement[[#This Row],[Is_Ore]]=1,tblMovement[[#This Row],[Contained_oz]],0)</f>
        <v/>
      </c>
    </row>
    <row r="320">
      <c r="A320" s="54" t="n"/>
      <c r="B320" s="61" t="n"/>
      <c r="C320" s="61" t="n"/>
      <c r="D320" s="61" t="n"/>
      <c r="E320" s="61" t="n"/>
      <c r="F320" s="55" t="n"/>
      <c r="G320" s="56" t="n"/>
      <c r="H320" s="55" t="n"/>
      <c r="I320" s="62" t="n"/>
      <c r="J320" s="58" t="n"/>
      <c r="K320" s="63">
        <f>IF(tblMovement[[#This Row],[Source]]="","",IFERROR(INDEX(tblSources[Type],MATCH(tblMovement[[#This Row],[Source]],tblSources[Source],0)),"?"))</f>
        <v/>
      </c>
      <c r="L320" s="63">
        <f>IF(tblMovement[[#This Row],[Destination]]="","",IFERROR(INDEX(tblDestinations[Type],MATCH(tblMovement[[#This Row],[Destination]],tblDestinations[Destination],0)),"?"))</f>
        <v/>
      </c>
      <c r="M320" s="64">
        <f>IF(tblMovement[[#This Row],[Material]]="","",IF(LEFT(tblMovement[[#This Row],[Material]],3)="Ore",1,0))</f>
        <v/>
      </c>
      <c r="N320" s="59">
        <f>IF(OR(tblMovement[[#This Row],[Tonnes_t]]="",tblMovement[[#This Row],[Grade_gpt]]=""),0,tblMovement[[#This Row],[Tonnes_t]]*tblMovement[[#This Row],[Grade_gpt]]/cfg_TroyOz)</f>
        <v/>
      </c>
      <c r="O320" s="59">
        <f>IF(tblMovement[[#This Row],[Is_Ore]]=1,tblMovement[[#This Row],[Contained_oz]],0)</f>
        <v/>
      </c>
    </row>
    <row r="321">
      <c r="A321" s="54" t="n"/>
      <c r="B321" s="61" t="n"/>
      <c r="C321" s="61" t="n"/>
      <c r="D321" s="61" t="n"/>
      <c r="E321" s="61" t="n"/>
      <c r="F321" s="55" t="n"/>
      <c r="G321" s="56" t="n"/>
      <c r="H321" s="55" t="n"/>
      <c r="I321" s="62" t="n"/>
      <c r="J321" s="58" t="n"/>
      <c r="K321" s="63">
        <f>IF(tblMovement[[#This Row],[Source]]="","",IFERROR(INDEX(tblSources[Type],MATCH(tblMovement[[#This Row],[Source]],tblSources[Source],0)),"?"))</f>
        <v/>
      </c>
      <c r="L321" s="63">
        <f>IF(tblMovement[[#This Row],[Destination]]="","",IFERROR(INDEX(tblDestinations[Type],MATCH(tblMovement[[#This Row],[Destination]],tblDestinations[Destination],0)),"?"))</f>
        <v/>
      </c>
      <c r="M321" s="64">
        <f>IF(tblMovement[[#This Row],[Material]]="","",IF(LEFT(tblMovement[[#This Row],[Material]],3)="Ore",1,0))</f>
        <v/>
      </c>
      <c r="N321" s="59">
        <f>IF(OR(tblMovement[[#This Row],[Tonnes_t]]="",tblMovement[[#This Row],[Grade_gpt]]=""),0,tblMovement[[#This Row],[Tonnes_t]]*tblMovement[[#This Row],[Grade_gpt]]/cfg_TroyOz)</f>
        <v/>
      </c>
      <c r="O321" s="59">
        <f>IF(tblMovement[[#This Row],[Is_Ore]]=1,tblMovement[[#This Row],[Contained_oz]],0)</f>
        <v/>
      </c>
    </row>
    <row r="322">
      <c r="A322" s="54" t="n"/>
      <c r="B322" s="61" t="n"/>
      <c r="C322" s="61" t="n"/>
      <c r="D322" s="61" t="n"/>
      <c r="E322" s="61" t="n"/>
      <c r="F322" s="55" t="n"/>
      <c r="G322" s="56" t="n"/>
      <c r="H322" s="55" t="n"/>
      <c r="I322" s="62" t="n"/>
      <c r="J322" s="58" t="n"/>
      <c r="K322" s="63">
        <f>IF(tblMovement[[#This Row],[Source]]="","",IFERROR(INDEX(tblSources[Type],MATCH(tblMovement[[#This Row],[Source]],tblSources[Source],0)),"?"))</f>
        <v/>
      </c>
      <c r="L322" s="63">
        <f>IF(tblMovement[[#This Row],[Destination]]="","",IFERROR(INDEX(tblDestinations[Type],MATCH(tblMovement[[#This Row],[Destination]],tblDestinations[Destination],0)),"?"))</f>
        <v/>
      </c>
      <c r="M322" s="64">
        <f>IF(tblMovement[[#This Row],[Material]]="","",IF(LEFT(tblMovement[[#This Row],[Material]],3)="Ore",1,0))</f>
        <v/>
      </c>
      <c r="N322" s="59">
        <f>IF(OR(tblMovement[[#This Row],[Tonnes_t]]="",tblMovement[[#This Row],[Grade_gpt]]=""),0,tblMovement[[#This Row],[Tonnes_t]]*tblMovement[[#This Row],[Grade_gpt]]/cfg_TroyOz)</f>
        <v/>
      </c>
      <c r="O322" s="59">
        <f>IF(tblMovement[[#This Row],[Is_Ore]]=1,tblMovement[[#This Row],[Contained_oz]],0)</f>
        <v/>
      </c>
    </row>
    <row r="323">
      <c r="A323" s="54" t="n"/>
      <c r="B323" s="61" t="n"/>
      <c r="C323" s="61" t="n"/>
      <c r="D323" s="61" t="n"/>
      <c r="E323" s="61" t="n"/>
      <c r="F323" s="55" t="n"/>
      <c r="G323" s="56" t="n"/>
      <c r="H323" s="55" t="n"/>
      <c r="I323" s="62" t="n"/>
      <c r="J323" s="58" t="n"/>
      <c r="K323" s="63">
        <f>IF(tblMovement[[#This Row],[Source]]="","",IFERROR(INDEX(tblSources[Type],MATCH(tblMovement[[#This Row],[Source]],tblSources[Source],0)),"?"))</f>
        <v/>
      </c>
      <c r="L323" s="63">
        <f>IF(tblMovement[[#This Row],[Destination]]="","",IFERROR(INDEX(tblDestinations[Type],MATCH(tblMovement[[#This Row],[Destination]],tblDestinations[Destination],0)),"?"))</f>
        <v/>
      </c>
      <c r="M323" s="64">
        <f>IF(tblMovement[[#This Row],[Material]]="","",IF(LEFT(tblMovement[[#This Row],[Material]],3)="Ore",1,0))</f>
        <v/>
      </c>
      <c r="N323" s="59">
        <f>IF(OR(tblMovement[[#This Row],[Tonnes_t]]="",tblMovement[[#This Row],[Grade_gpt]]=""),0,tblMovement[[#This Row],[Tonnes_t]]*tblMovement[[#This Row],[Grade_gpt]]/cfg_TroyOz)</f>
        <v/>
      </c>
      <c r="O323" s="59">
        <f>IF(tblMovement[[#This Row],[Is_Ore]]=1,tblMovement[[#This Row],[Contained_oz]],0)</f>
        <v/>
      </c>
    </row>
    <row r="324">
      <c r="A324" s="54" t="n"/>
      <c r="B324" s="61" t="n"/>
      <c r="C324" s="61" t="n"/>
      <c r="D324" s="61" t="n"/>
      <c r="E324" s="61" t="n"/>
      <c r="F324" s="55" t="n"/>
      <c r="G324" s="56" t="n"/>
      <c r="H324" s="55" t="n"/>
      <c r="I324" s="62" t="n"/>
      <c r="J324" s="58" t="n"/>
      <c r="K324" s="63">
        <f>IF(tblMovement[[#This Row],[Source]]="","",IFERROR(INDEX(tblSources[Type],MATCH(tblMovement[[#This Row],[Source]],tblSources[Source],0)),"?"))</f>
        <v/>
      </c>
      <c r="L324" s="63">
        <f>IF(tblMovement[[#This Row],[Destination]]="","",IFERROR(INDEX(tblDestinations[Type],MATCH(tblMovement[[#This Row],[Destination]],tblDestinations[Destination],0)),"?"))</f>
        <v/>
      </c>
      <c r="M324" s="64">
        <f>IF(tblMovement[[#This Row],[Material]]="","",IF(LEFT(tblMovement[[#This Row],[Material]],3)="Ore",1,0))</f>
        <v/>
      </c>
      <c r="N324" s="59">
        <f>IF(OR(tblMovement[[#This Row],[Tonnes_t]]="",tblMovement[[#This Row],[Grade_gpt]]=""),0,tblMovement[[#This Row],[Tonnes_t]]*tblMovement[[#This Row],[Grade_gpt]]/cfg_TroyOz)</f>
        <v/>
      </c>
      <c r="O324" s="59">
        <f>IF(tblMovement[[#This Row],[Is_Ore]]=1,tblMovement[[#This Row],[Contained_oz]],0)</f>
        <v/>
      </c>
    </row>
    <row r="325">
      <c r="A325" s="54" t="n"/>
      <c r="B325" s="61" t="n"/>
      <c r="C325" s="61" t="n"/>
      <c r="D325" s="61" t="n"/>
      <c r="E325" s="61" t="n"/>
      <c r="F325" s="55" t="n"/>
      <c r="G325" s="56" t="n"/>
      <c r="H325" s="55" t="n"/>
      <c r="I325" s="62" t="n"/>
      <c r="J325" s="58" t="n"/>
      <c r="K325" s="63">
        <f>IF(tblMovement[[#This Row],[Source]]="","",IFERROR(INDEX(tblSources[Type],MATCH(tblMovement[[#This Row],[Source]],tblSources[Source],0)),"?"))</f>
        <v/>
      </c>
      <c r="L325" s="63">
        <f>IF(tblMovement[[#This Row],[Destination]]="","",IFERROR(INDEX(tblDestinations[Type],MATCH(tblMovement[[#This Row],[Destination]],tblDestinations[Destination],0)),"?"))</f>
        <v/>
      </c>
      <c r="M325" s="64">
        <f>IF(tblMovement[[#This Row],[Material]]="","",IF(LEFT(tblMovement[[#This Row],[Material]],3)="Ore",1,0))</f>
        <v/>
      </c>
      <c r="N325" s="59">
        <f>IF(OR(tblMovement[[#This Row],[Tonnes_t]]="",tblMovement[[#This Row],[Grade_gpt]]=""),0,tblMovement[[#This Row],[Tonnes_t]]*tblMovement[[#This Row],[Grade_gpt]]/cfg_TroyOz)</f>
        <v/>
      </c>
      <c r="O325" s="59">
        <f>IF(tblMovement[[#This Row],[Is_Ore]]=1,tblMovement[[#This Row],[Contained_oz]],0)</f>
        <v/>
      </c>
    </row>
    <row r="326">
      <c r="A326" s="54" t="n"/>
      <c r="B326" s="61" t="n"/>
      <c r="C326" s="61" t="n"/>
      <c r="D326" s="61" t="n"/>
      <c r="E326" s="61" t="n"/>
      <c r="F326" s="55" t="n"/>
      <c r="G326" s="56" t="n"/>
      <c r="H326" s="55" t="n"/>
      <c r="I326" s="62" t="n"/>
      <c r="J326" s="58" t="n"/>
      <c r="K326" s="63">
        <f>IF(tblMovement[[#This Row],[Source]]="","",IFERROR(INDEX(tblSources[Type],MATCH(tblMovement[[#This Row],[Source]],tblSources[Source],0)),"?"))</f>
        <v/>
      </c>
      <c r="L326" s="63">
        <f>IF(tblMovement[[#This Row],[Destination]]="","",IFERROR(INDEX(tblDestinations[Type],MATCH(tblMovement[[#This Row],[Destination]],tblDestinations[Destination],0)),"?"))</f>
        <v/>
      </c>
      <c r="M326" s="64">
        <f>IF(tblMovement[[#This Row],[Material]]="","",IF(LEFT(tblMovement[[#This Row],[Material]],3)="Ore",1,0))</f>
        <v/>
      </c>
      <c r="N326" s="59">
        <f>IF(OR(tblMovement[[#This Row],[Tonnes_t]]="",tblMovement[[#This Row],[Grade_gpt]]=""),0,tblMovement[[#This Row],[Tonnes_t]]*tblMovement[[#This Row],[Grade_gpt]]/cfg_TroyOz)</f>
        <v/>
      </c>
      <c r="O326" s="59">
        <f>IF(tblMovement[[#This Row],[Is_Ore]]=1,tblMovement[[#This Row],[Contained_oz]],0)</f>
        <v/>
      </c>
    </row>
    <row r="327">
      <c r="A327" s="54" t="n"/>
      <c r="B327" s="61" t="n"/>
      <c r="C327" s="61" t="n"/>
      <c r="D327" s="61" t="n"/>
      <c r="E327" s="61" t="n"/>
      <c r="F327" s="55" t="n"/>
      <c r="G327" s="56" t="n"/>
      <c r="H327" s="55" t="n"/>
      <c r="I327" s="62" t="n"/>
      <c r="J327" s="58" t="n"/>
      <c r="K327" s="63">
        <f>IF(tblMovement[[#This Row],[Source]]="","",IFERROR(INDEX(tblSources[Type],MATCH(tblMovement[[#This Row],[Source]],tblSources[Source],0)),"?"))</f>
        <v/>
      </c>
      <c r="L327" s="63">
        <f>IF(tblMovement[[#This Row],[Destination]]="","",IFERROR(INDEX(tblDestinations[Type],MATCH(tblMovement[[#This Row],[Destination]],tblDestinations[Destination],0)),"?"))</f>
        <v/>
      </c>
      <c r="M327" s="64">
        <f>IF(tblMovement[[#This Row],[Material]]="","",IF(LEFT(tblMovement[[#This Row],[Material]],3)="Ore",1,0))</f>
        <v/>
      </c>
      <c r="N327" s="59">
        <f>IF(OR(tblMovement[[#This Row],[Tonnes_t]]="",tblMovement[[#This Row],[Grade_gpt]]=""),0,tblMovement[[#This Row],[Tonnes_t]]*tblMovement[[#This Row],[Grade_gpt]]/cfg_TroyOz)</f>
        <v/>
      </c>
      <c r="O327" s="59">
        <f>IF(tblMovement[[#This Row],[Is_Ore]]=1,tblMovement[[#This Row],[Contained_oz]],0)</f>
        <v/>
      </c>
    </row>
    <row r="328">
      <c r="A328" s="54" t="n"/>
      <c r="B328" s="61" t="n"/>
      <c r="C328" s="61" t="n"/>
      <c r="D328" s="61" t="n"/>
      <c r="E328" s="61" t="n"/>
      <c r="F328" s="55" t="n"/>
      <c r="G328" s="56" t="n"/>
      <c r="H328" s="55" t="n"/>
      <c r="I328" s="62" t="n"/>
      <c r="J328" s="58" t="n"/>
      <c r="K328" s="63">
        <f>IF(tblMovement[[#This Row],[Source]]="","",IFERROR(INDEX(tblSources[Type],MATCH(tblMovement[[#This Row],[Source]],tblSources[Source],0)),"?"))</f>
        <v/>
      </c>
      <c r="L328" s="63">
        <f>IF(tblMovement[[#This Row],[Destination]]="","",IFERROR(INDEX(tblDestinations[Type],MATCH(tblMovement[[#This Row],[Destination]],tblDestinations[Destination],0)),"?"))</f>
        <v/>
      </c>
      <c r="M328" s="64">
        <f>IF(tblMovement[[#This Row],[Material]]="","",IF(LEFT(tblMovement[[#This Row],[Material]],3)="Ore",1,0))</f>
        <v/>
      </c>
      <c r="N328" s="59">
        <f>IF(OR(tblMovement[[#This Row],[Tonnes_t]]="",tblMovement[[#This Row],[Grade_gpt]]=""),0,tblMovement[[#This Row],[Tonnes_t]]*tblMovement[[#This Row],[Grade_gpt]]/cfg_TroyOz)</f>
        <v/>
      </c>
      <c r="O328" s="59">
        <f>IF(tblMovement[[#This Row],[Is_Ore]]=1,tblMovement[[#This Row],[Contained_oz]],0)</f>
        <v/>
      </c>
    </row>
    <row r="329">
      <c r="A329" s="54" t="n"/>
      <c r="B329" s="61" t="n"/>
      <c r="C329" s="61" t="n"/>
      <c r="D329" s="61" t="n"/>
      <c r="E329" s="61" t="n"/>
      <c r="F329" s="55" t="n"/>
      <c r="G329" s="56" t="n"/>
      <c r="H329" s="55" t="n"/>
      <c r="I329" s="62" t="n"/>
      <c r="J329" s="58" t="n"/>
      <c r="K329" s="63">
        <f>IF(tblMovement[[#This Row],[Source]]="","",IFERROR(INDEX(tblSources[Type],MATCH(tblMovement[[#This Row],[Source]],tblSources[Source],0)),"?"))</f>
        <v/>
      </c>
      <c r="L329" s="63">
        <f>IF(tblMovement[[#This Row],[Destination]]="","",IFERROR(INDEX(tblDestinations[Type],MATCH(tblMovement[[#This Row],[Destination]],tblDestinations[Destination],0)),"?"))</f>
        <v/>
      </c>
      <c r="M329" s="64">
        <f>IF(tblMovement[[#This Row],[Material]]="","",IF(LEFT(tblMovement[[#This Row],[Material]],3)="Ore",1,0))</f>
        <v/>
      </c>
      <c r="N329" s="59">
        <f>IF(OR(tblMovement[[#This Row],[Tonnes_t]]="",tblMovement[[#This Row],[Grade_gpt]]=""),0,tblMovement[[#This Row],[Tonnes_t]]*tblMovement[[#This Row],[Grade_gpt]]/cfg_TroyOz)</f>
        <v/>
      </c>
      <c r="O329" s="59">
        <f>IF(tblMovement[[#This Row],[Is_Ore]]=1,tblMovement[[#This Row],[Contained_oz]],0)</f>
        <v/>
      </c>
    </row>
    <row r="330">
      <c r="A330" s="54" t="n"/>
      <c r="B330" s="61" t="n"/>
      <c r="C330" s="61" t="n"/>
      <c r="D330" s="61" t="n"/>
      <c r="E330" s="61" t="n"/>
      <c r="F330" s="55" t="n"/>
      <c r="G330" s="56" t="n"/>
      <c r="H330" s="55" t="n"/>
      <c r="I330" s="62" t="n"/>
      <c r="J330" s="58" t="n"/>
      <c r="K330" s="63">
        <f>IF(tblMovement[[#This Row],[Source]]="","",IFERROR(INDEX(tblSources[Type],MATCH(tblMovement[[#This Row],[Source]],tblSources[Source],0)),"?"))</f>
        <v/>
      </c>
      <c r="L330" s="63">
        <f>IF(tblMovement[[#This Row],[Destination]]="","",IFERROR(INDEX(tblDestinations[Type],MATCH(tblMovement[[#This Row],[Destination]],tblDestinations[Destination],0)),"?"))</f>
        <v/>
      </c>
      <c r="M330" s="64">
        <f>IF(tblMovement[[#This Row],[Material]]="","",IF(LEFT(tblMovement[[#This Row],[Material]],3)="Ore",1,0))</f>
        <v/>
      </c>
      <c r="N330" s="59">
        <f>IF(OR(tblMovement[[#This Row],[Tonnes_t]]="",tblMovement[[#This Row],[Grade_gpt]]=""),0,tblMovement[[#This Row],[Tonnes_t]]*tblMovement[[#This Row],[Grade_gpt]]/cfg_TroyOz)</f>
        <v/>
      </c>
      <c r="O330" s="59">
        <f>IF(tblMovement[[#This Row],[Is_Ore]]=1,tblMovement[[#This Row],[Contained_oz]],0)</f>
        <v/>
      </c>
    </row>
    <row r="331">
      <c r="A331" s="54" t="n"/>
      <c r="B331" s="61" t="n"/>
      <c r="C331" s="61" t="n"/>
      <c r="D331" s="61" t="n"/>
      <c r="E331" s="61" t="n"/>
      <c r="F331" s="55" t="n"/>
      <c r="G331" s="56" t="n"/>
      <c r="H331" s="55" t="n"/>
      <c r="I331" s="62" t="n"/>
      <c r="J331" s="58" t="n"/>
      <c r="K331" s="63">
        <f>IF(tblMovement[[#This Row],[Source]]="","",IFERROR(INDEX(tblSources[Type],MATCH(tblMovement[[#This Row],[Source]],tblSources[Source],0)),"?"))</f>
        <v/>
      </c>
      <c r="L331" s="63">
        <f>IF(tblMovement[[#This Row],[Destination]]="","",IFERROR(INDEX(tblDestinations[Type],MATCH(tblMovement[[#This Row],[Destination]],tblDestinations[Destination],0)),"?"))</f>
        <v/>
      </c>
      <c r="M331" s="64">
        <f>IF(tblMovement[[#This Row],[Material]]="","",IF(LEFT(tblMovement[[#This Row],[Material]],3)="Ore",1,0))</f>
        <v/>
      </c>
      <c r="N331" s="59">
        <f>IF(OR(tblMovement[[#This Row],[Tonnes_t]]="",tblMovement[[#This Row],[Grade_gpt]]=""),0,tblMovement[[#This Row],[Tonnes_t]]*tblMovement[[#This Row],[Grade_gpt]]/cfg_TroyOz)</f>
        <v/>
      </c>
      <c r="O331" s="59">
        <f>IF(tblMovement[[#This Row],[Is_Ore]]=1,tblMovement[[#This Row],[Contained_oz]],0)</f>
        <v/>
      </c>
    </row>
    <row r="332">
      <c r="A332" s="54" t="n"/>
      <c r="B332" s="61" t="n"/>
      <c r="C332" s="61" t="n"/>
      <c r="D332" s="61" t="n"/>
      <c r="E332" s="61" t="n"/>
      <c r="F332" s="55" t="n"/>
      <c r="G332" s="56" t="n"/>
      <c r="H332" s="55" t="n"/>
      <c r="I332" s="62" t="n"/>
      <c r="J332" s="58" t="n"/>
      <c r="K332" s="63">
        <f>IF(tblMovement[[#This Row],[Source]]="","",IFERROR(INDEX(tblSources[Type],MATCH(tblMovement[[#This Row],[Source]],tblSources[Source],0)),"?"))</f>
        <v/>
      </c>
      <c r="L332" s="63">
        <f>IF(tblMovement[[#This Row],[Destination]]="","",IFERROR(INDEX(tblDestinations[Type],MATCH(tblMovement[[#This Row],[Destination]],tblDestinations[Destination],0)),"?"))</f>
        <v/>
      </c>
      <c r="M332" s="64">
        <f>IF(tblMovement[[#This Row],[Material]]="","",IF(LEFT(tblMovement[[#This Row],[Material]],3)="Ore",1,0))</f>
        <v/>
      </c>
      <c r="N332" s="59">
        <f>IF(OR(tblMovement[[#This Row],[Tonnes_t]]="",tblMovement[[#This Row],[Grade_gpt]]=""),0,tblMovement[[#This Row],[Tonnes_t]]*tblMovement[[#This Row],[Grade_gpt]]/cfg_TroyOz)</f>
        <v/>
      </c>
      <c r="O332" s="59">
        <f>IF(tblMovement[[#This Row],[Is_Ore]]=1,tblMovement[[#This Row],[Contained_oz]],0)</f>
        <v/>
      </c>
    </row>
    <row r="333">
      <c r="A333" s="54" t="n"/>
      <c r="B333" s="61" t="n"/>
      <c r="C333" s="61" t="n"/>
      <c r="D333" s="61" t="n"/>
      <c r="E333" s="61" t="n"/>
      <c r="F333" s="55" t="n"/>
      <c r="G333" s="56" t="n"/>
      <c r="H333" s="55" t="n"/>
      <c r="I333" s="62" t="n"/>
      <c r="J333" s="58" t="n"/>
      <c r="K333" s="63">
        <f>IF(tblMovement[[#This Row],[Source]]="","",IFERROR(INDEX(tblSources[Type],MATCH(tblMovement[[#This Row],[Source]],tblSources[Source],0)),"?"))</f>
        <v/>
      </c>
      <c r="L333" s="63">
        <f>IF(tblMovement[[#This Row],[Destination]]="","",IFERROR(INDEX(tblDestinations[Type],MATCH(tblMovement[[#This Row],[Destination]],tblDestinations[Destination],0)),"?"))</f>
        <v/>
      </c>
      <c r="M333" s="64">
        <f>IF(tblMovement[[#This Row],[Material]]="","",IF(LEFT(tblMovement[[#This Row],[Material]],3)="Ore",1,0))</f>
        <v/>
      </c>
      <c r="N333" s="59">
        <f>IF(OR(tblMovement[[#This Row],[Tonnes_t]]="",tblMovement[[#This Row],[Grade_gpt]]=""),0,tblMovement[[#This Row],[Tonnes_t]]*tblMovement[[#This Row],[Grade_gpt]]/cfg_TroyOz)</f>
        <v/>
      </c>
      <c r="O333" s="59">
        <f>IF(tblMovement[[#This Row],[Is_Ore]]=1,tblMovement[[#This Row],[Contained_oz]],0)</f>
        <v/>
      </c>
    </row>
    <row r="334">
      <c r="A334" s="54" t="n"/>
      <c r="B334" s="61" t="n"/>
      <c r="C334" s="61" t="n"/>
      <c r="D334" s="61" t="n"/>
      <c r="E334" s="61" t="n"/>
      <c r="F334" s="55" t="n"/>
      <c r="G334" s="56" t="n"/>
      <c r="H334" s="55" t="n"/>
      <c r="I334" s="62" t="n"/>
      <c r="J334" s="58" t="n"/>
      <c r="K334" s="63">
        <f>IF(tblMovement[[#This Row],[Source]]="","",IFERROR(INDEX(tblSources[Type],MATCH(tblMovement[[#This Row],[Source]],tblSources[Source],0)),"?"))</f>
        <v/>
      </c>
      <c r="L334" s="63">
        <f>IF(tblMovement[[#This Row],[Destination]]="","",IFERROR(INDEX(tblDestinations[Type],MATCH(tblMovement[[#This Row],[Destination]],tblDestinations[Destination],0)),"?"))</f>
        <v/>
      </c>
      <c r="M334" s="64">
        <f>IF(tblMovement[[#This Row],[Material]]="","",IF(LEFT(tblMovement[[#This Row],[Material]],3)="Ore",1,0))</f>
        <v/>
      </c>
      <c r="N334" s="59">
        <f>IF(OR(tblMovement[[#This Row],[Tonnes_t]]="",tblMovement[[#This Row],[Grade_gpt]]=""),0,tblMovement[[#This Row],[Tonnes_t]]*tblMovement[[#This Row],[Grade_gpt]]/cfg_TroyOz)</f>
        <v/>
      </c>
      <c r="O334" s="59">
        <f>IF(tblMovement[[#This Row],[Is_Ore]]=1,tblMovement[[#This Row],[Contained_oz]],0)</f>
        <v/>
      </c>
    </row>
    <row r="335">
      <c r="A335" s="54" t="n"/>
      <c r="B335" s="61" t="n"/>
      <c r="C335" s="61" t="n"/>
      <c r="D335" s="61" t="n"/>
      <c r="E335" s="61" t="n"/>
      <c r="F335" s="55" t="n"/>
      <c r="G335" s="56" t="n"/>
      <c r="H335" s="55" t="n"/>
      <c r="I335" s="62" t="n"/>
      <c r="J335" s="58" t="n"/>
      <c r="K335" s="63">
        <f>IF(tblMovement[[#This Row],[Source]]="","",IFERROR(INDEX(tblSources[Type],MATCH(tblMovement[[#This Row],[Source]],tblSources[Source],0)),"?"))</f>
        <v/>
      </c>
      <c r="L335" s="63">
        <f>IF(tblMovement[[#This Row],[Destination]]="","",IFERROR(INDEX(tblDestinations[Type],MATCH(tblMovement[[#This Row],[Destination]],tblDestinations[Destination],0)),"?"))</f>
        <v/>
      </c>
      <c r="M335" s="64">
        <f>IF(tblMovement[[#This Row],[Material]]="","",IF(LEFT(tblMovement[[#This Row],[Material]],3)="Ore",1,0))</f>
        <v/>
      </c>
      <c r="N335" s="59">
        <f>IF(OR(tblMovement[[#This Row],[Tonnes_t]]="",tblMovement[[#This Row],[Grade_gpt]]=""),0,tblMovement[[#This Row],[Tonnes_t]]*tblMovement[[#This Row],[Grade_gpt]]/cfg_TroyOz)</f>
        <v/>
      </c>
      <c r="O335" s="59">
        <f>IF(tblMovement[[#This Row],[Is_Ore]]=1,tblMovement[[#This Row],[Contained_oz]],0)</f>
        <v/>
      </c>
    </row>
    <row r="336">
      <c r="A336" s="54" t="n"/>
      <c r="B336" s="61" t="n"/>
      <c r="C336" s="61" t="n"/>
      <c r="D336" s="61" t="n"/>
      <c r="E336" s="61" t="n"/>
      <c r="F336" s="55" t="n"/>
      <c r="G336" s="56" t="n"/>
      <c r="H336" s="55" t="n"/>
      <c r="I336" s="62" t="n"/>
      <c r="J336" s="58" t="n"/>
      <c r="K336" s="63">
        <f>IF(tblMovement[[#This Row],[Source]]="","",IFERROR(INDEX(tblSources[Type],MATCH(tblMovement[[#This Row],[Source]],tblSources[Source],0)),"?"))</f>
        <v/>
      </c>
      <c r="L336" s="63">
        <f>IF(tblMovement[[#This Row],[Destination]]="","",IFERROR(INDEX(tblDestinations[Type],MATCH(tblMovement[[#This Row],[Destination]],tblDestinations[Destination],0)),"?"))</f>
        <v/>
      </c>
      <c r="M336" s="64">
        <f>IF(tblMovement[[#This Row],[Material]]="","",IF(LEFT(tblMovement[[#This Row],[Material]],3)="Ore",1,0))</f>
        <v/>
      </c>
      <c r="N336" s="59">
        <f>IF(OR(tblMovement[[#This Row],[Tonnes_t]]="",tblMovement[[#This Row],[Grade_gpt]]=""),0,tblMovement[[#This Row],[Tonnes_t]]*tblMovement[[#This Row],[Grade_gpt]]/cfg_TroyOz)</f>
        <v/>
      </c>
      <c r="O336" s="59">
        <f>IF(tblMovement[[#This Row],[Is_Ore]]=1,tblMovement[[#This Row],[Contained_oz]],0)</f>
        <v/>
      </c>
    </row>
    <row r="337">
      <c r="A337" s="54" t="n"/>
      <c r="B337" s="61" t="n"/>
      <c r="C337" s="61" t="n"/>
      <c r="D337" s="61" t="n"/>
      <c r="E337" s="61" t="n"/>
      <c r="F337" s="55" t="n"/>
      <c r="G337" s="56" t="n"/>
      <c r="H337" s="55" t="n"/>
      <c r="I337" s="62" t="n"/>
      <c r="J337" s="58" t="n"/>
      <c r="K337" s="63">
        <f>IF(tblMovement[[#This Row],[Source]]="","",IFERROR(INDEX(tblSources[Type],MATCH(tblMovement[[#This Row],[Source]],tblSources[Source],0)),"?"))</f>
        <v/>
      </c>
      <c r="L337" s="63">
        <f>IF(tblMovement[[#This Row],[Destination]]="","",IFERROR(INDEX(tblDestinations[Type],MATCH(tblMovement[[#This Row],[Destination]],tblDestinations[Destination],0)),"?"))</f>
        <v/>
      </c>
      <c r="M337" s="64">
        <f>IF(tblMovement[[#This Row],[Material]]="","",IF(LEFT(tblMovement[[#This Row],[Material]],3)="Ore",1,0))</f>
        <v/>
      </c>
      <c r="N337" s="59">
        <f>IF(OR(tblMovement[[#This Row],[Tonnes_t]]="",tblMovement[[#This Row],[Grade_gpt]]=""),0,tblMovement[[#This Row],[Tonnes_t]]*tblMovement[[#This Row],[Grade_gpt]]/cfg_TroyOz)</f>
        <v/>
      </c>
      <c r="O337" s="59">
        <f>IF(tblMovement[[#This Row],[Is_Ore]]=1,tblMovement[[#This Row],[Contained_oz]],0)</f>
        <v/>
      </c>
    </row>
    <row r="338">
      <c r="A338" s="54" t="n"/>
      <c r="B338" s="61" t="n"/>
      <c r="C338" s="61" t="n"/>
      <c r="D338" s="61" t="n"/>
      <c r="E338" s="61" t="n"/>
      <c r="F338" s="55" t="n"/>
      <c r="G338" s="56" t="n"/>
      <c r="H338" s="55" t="n"/>
      <c r="I338" s="62" t="n"/>
      <c r="J338" s="58" t="n"/>
      <c r="K338" s="63">
        <f>IF(tblMovement[[#This Row],[Source]]="","",IFERROR(INDEX(tblSources[Type],MATCH(tblMovement[[#This Row],[Source]],tblSources[Source],0)),"?"))</f>
        <v/>
      </c>
      <c r="L338" s="63">
        <f>IF(tblMovement[[#This Row],[Destination]]="","",IFERROR(INDEX(tblDestinations[Type],MATCH(tblMovement[[#This Row],[Destination]],tblDestinations[Destination],0)),"?"))</f>
        <v/>
      </c>
      <c r="M338" s="64">
        <f>IF(tblMovement[[#This Row],[Material]]="","",IF(LEFT(tblMovement[[#This Row],[Material]],3)="Ore",1,0))</f>
        <v/>
      </c>
      <c r="N338" s="59">
        <f>IF(OR(tblMovement[[#This Row],[Tonnes_t]]="",tblMovement[[#This Row],[Grade_gpt]]=""),0,tblMovement[[#This Row],[Tonnes_t]]*tblMovement[[#This Row],[Grade_gpt]]/cfg_TroyOz)</f>
        <v/>
      </c>
      <c r="O338" s="59">
        <f>IF(tblMovement[[#This Row],[Is_Ore]]=1,tblMovement[[#This Row],[Contained_oz]],0)</f>
        <v/>
      </c>
    </row>
    <row r="339">
      <c r="A339" s="54" t="n"/>
      <c r="B339" s="61" t="n"/>
      <c r="C339" s="61" t="n"/>
      <c r="D339" s="61" t="n"/>
      <c r="E339" s="61" t="n"/>
      <c r="F339" s="55" t="n"/>
      <c r="G339" s="56" t="n"/>
      <c r="H339" s="55" t="n"/>
      <c r="I339" s="62" t="n"/>
      <c r="J339" s="58" t="n"/>
      <c r="K339" s="63">
        <f>IF(tblMovement[[#This Row],[Source]]="","",IFERROR(INDEX(tblSources[Type],MATCH(tblMovement[[#This Row],[Source]],tblSources[Source],0)),"?"))</f>
        <v/>
      </c>
      <c r="L339" s="63">
        <f>IF(tblMovement[[#This Row],[Destination]]="","",IFERROR(INDEX(tblDestinations[Type],MATCH(tblMovement[[#This Row],[Destination]],tblDestinations[Destination],0)),"?"))</f>
        <v/>
      </c>
      <c r="M339" s="64">
        <f>IF(tblMovement[[#This Row],[Material]]="","",IF(LEFT(tblMovement[[#This Row],[Material]],3)="Ore",1,0))</f>
        <v/>
      </c>
      <c r="N339" s="59">
        <f>IF(OR(tblMovement[[#This Row],[Tonnes_t]]="",tblMovement[[#This Row],[Grade_gpt]]=""),0,tblMovement[[#This Row],[Tonnes_t]]*tblMovement[[#This Row],[Grade_gpt]]/cfg_TroyOz)</f>
        <v/>
      </c>
      <c r="O339" s="59">
        <f>IF(tblMovement[[#This Row],[Is_Ore]]=1,tblMovement[[#This Row],[Contained_oz]],0)</f>
        <v/>
      </c>
    </row>
    <row r="340">
      <c r="A340" s="54" t="n"/>
      <c r="B340" s="61" t="n"/>
      <c r="C340" s="61" t="n"/>
      <c r="D340" s="61" t="n"/>
      <c r="E340" s="61" t="n"/>
      <c r="F340" s="55" t="n"/>
      <c r="G340" s="56" t="n"/>
      <c r="H340" s="55" t="n"/>
      <c r="I340" s="62" t="n"/>
      <c r="J340" s="58" t="n"/>
      <c r="K340" s="63">
        <f>IF(tblMovement[[#This Row],[Source]]="","",IFERROR(INDEX(tblSources[Type],MATCH(tblMovement[[#This Row],[Source]],tblSources[Source],0)),"?"))</f>
        <v/>
      </c>
      <c r="L340" s="63">
        <f>IF(tblMovement[[#This Row],[Destination]]="","",IFERROR(INDEX(tblDestinations[Type],MATCH(tblMovement[[#This Row],[Destination]],tblDestinations[Destination],0)),"?"))</f>
        <v/>
      </c>
      <c r="M340" s="64">
        <f>IF(tblMovement[[#This Row],[Material]]="","",IF(LEFT(tblMovement[[#This Row],[Material]],3)="Ore",1,0))</f>
        <v/>
      </c>
      <c r="N340" s="59">
        <f>IF(OR(tblMovement[[#This Row],[Tonnes_t]]="",tblMovement[[#This Row],[Grade_gpt]]=""),0,tblMovement[[#This Row],[Tonnes_t]]*tblMovement[[#This Row],[Grade_gpt]]/cfg_TroyOz)</f>
        <v/>
      </c>
      <c r="O340" s="59">
        <f>IF(tblMovement[[#This Row],[Is_Ore]]=1,tblMovement[[#This Row],[Contained_oz]],0)</f>
        <v/>
      </c>
    </row>
    <row r="341">
      <c r="A341" s="54" t="n"/>
      <c r="B341" s="61" t="n"/>
      <c r="C341" s="61" t="n"/>
      <c r="D341" s="61" t="n"/>
      <c r="E341" s="61" t="n"/>
      <c r="F341" s="55" t="n"/>
      <c r="G341" s="56" t="n"/>
      <c r="H341" s="55" t="n"/>
      <c r="I341" s="62" t="n"/>
      <c r="J341" s="58" t="n"/>
      <c r="K341" s="63">
        <f>IF(tblMovement[[#This Row],[Source]]="","",IFERROR(INDEX(tblSources[Type],MATCH(tblMovement[[#This Row],[Source]],tblSources[Source],0)),"?"))</f>
        <v/>
      </c>
      <c r="L341" s="63">
        <f>IF(tblMovement[[#This Row],[Destination]]="","",IFERROR(INDEX(tblDestinations[Type],MATCH(tblMovement[[#This Row],[Destination]],tblDestinations[Destination],0)),"?"))</f>
        <v/>
      </c>
      <c r="M341" s="64">
        <f>IF(tblMovement[[#This Row],[Material]]="","",IF(LEFT(tblMovement[[#This Row],[Material]],3)="Ore",1,0))</f>
        <v/>
      </c>
      <c r="N341" s="59">
        <f>IF(OR(tblMovement[[#This Row],[Tonnes_t]]="",tblMovement[[#This Row],[Grade_gpt]]=""),0,tblMovement[[#This Row],[Tonnes_t]]*tblMovement[[#This Row],[Grade_gpt]]/cfg_TroyOz)</f>
        <v/>
      </c>
      <c r="O341" s="59">
        <f>IF(tblMovement[[#This Row],[Is_Ore]]=1,tblMovement[[#This Row],[Contained_oz]],0)</f>
        <v/>
      </c>
    </row>
    <row r="342">
      <c r="A342" s="54" t="n"/>
      <c r="B342" s="61" t="n"/>
      <c r="C342" s="61" t="n"/>
      <c r="D342" s="61" t="n"/>
      <c r="E342" s="61" t="n"/>
      <c r="F342" s="55" t="n"/>
      <c r="G342" s="56" t="n"/>
      <c r="H342" s="55" t="n"/>
      <c r="I342" s="62" t="n"/>
      <c r="J342" s="58" t="n"/>
      <c r="K342" s="63">
        <f>IF(tblMovement[[#This Row],[Source]]="","",IFERROR(INDEX(tblSources[Type],MATCH(tblMovement[[#This Row],[Source]],tblSources[Source],0)),"?"))</f>
        <v/>
      </c>
      <c r="L342" s="63">
        <f>IF(tblMovement[[#This Row],[Destination]]="","",IFERROR(INDEX(tblDestinations[Type],MATCH(tblMovement[[#This Row],[Destination]],tblDestinations[Destination],0)),"?"))</f>
        <v/>
      </c>
      <c r="M342" s="64">
        <f>IF(tblMovement[[#This Row],[Material]]="","",IF(LEFT(tblMovement[[#This Row],[Material]],3)="Ore",1,0))</f>
        <v/>
      </c>
      <c r="N342" s="59">
        <f>IF(OR(tblMovement[[#This Row],[Tonnes_t]]="",tblMovement[[#This Row],[Grade_gpt]]=""),0,tblMovement[[#This Row],[Tonnes_t]]*tblMovement[[#This Row],[Grade_gpt]]/cfg_TroyOz)</f>
        <v/>
      </c>
      <c r="O342" s="59">
        <f>IF(tblMovement[[#This Row],[Is_Ore]]=1,tblMovement[[#This Row],[Contained_oz]],0)</f>
        <v/>
      </c>
    </row>
    <row r="343">
      <c r="A343" s="54" t="n"/>
      <c r="B343" s="61" t="n"/>
      <c r="C343" s="61" t="n"/>
      <c r="D343" s="61" t="n"/>
      <c r="E343" s="61" t="n"/>
      <c r="F343" s="55" t="n"/>
      <c r="G343" s="56" t="n"/>
      <c r="H343" s="55" t="n"/>
      <c r="I343" s="62" t="n"/>
      <c r="J343" s="58" t="n"/>
      <c r="K343" s="63">
        <f>IF(tblMovement[[#This Row],[Source]]="","",IFERROR(INDEX(tblSources[Type],MATCH(tblMovement[[#This Row],[Source]],tblSources[Source],0)),"?"))</f>
        <v/>
      </c>
      <c r="L343" s="63">
        <f>IF(tblMovement[[#This Row],[Destination]]="","",IFERROR(INDEX(tblDestinations[Type],MATCH(tblMovement[[#This Row],[Destination]],tblDestinations[Destination],0)),"?"))</f>
        <v/>
      </c>
      <c r="M343" s="64">
        <f>IF(tblMovement[[#This Row],[Material]]="","",IF(LEFT(tblMovement[[#This Row],[Material]],3)="Ore",1,0))</f>
        <v/>
      </c>
      <c r="N343" s="59">
        <f>IF(OR(tblMovement[[#This Row],[Tonnes_t]]="",tblMovement[[#This Row],[Grade_gpt]]=""),0,tblMovement[[#This Row],[Tonnes_t]]*tblMovement[[#This Row],[Grade_gpt]]/cfg_TroyOz)</f>
        <v/>
      </c>
      <c r="O343" s="59">
        <f>IF(tblMovement[[#This Row],[Is_Ore]]=1,tblMovement[[#This Row],[Contained_oz]],0)</f>
        <v/>
      </c>
    </row>
    <row r="344">
      <c r="A344" s="54" t="n"/>
      <c r="B344" s="61" t="n"/>
      <c r="C344" s="61" t="n"/>
      <c r="D344" s="61" t="n"/>
      <c r="E344" s="61" t="n"/>
      <c r="F344" s="55" t="n"/>
      <c r="G344" s="56" t="n"/>
      <c r="H344" s="55" t="n"/>
      <c r="I344" s="62" t="n"/>
      <c r="J344" s="58" t="n"/>
      <c r="K344" s="63">
        <f>IF(tblMovement[[#This Row],[Source]]="","",IFERROR(INDEX(tblSources[Type],MATCH(tblMovement[[#This Row],[Source]],tblSources[Source],0)),"?"))</f>
        <v/>
      </c>
      <c r="L344" s="63">
        <f>IF(tblMovement[[#This Row],[Destination]]="","",IFERROR(INDEX(tblDestinations[Type],MATCH(tblMovement[[#This Row],[Destination]],tblDestinations[Destination],0)),"?"))</f>
        <v/>
      </c>
      <c r="M344" s="64">
        <f>IF(tblMovement[[#This Row],[Material]]="","",IF(LEFT(tblMovement[[#This Row],[Material]],3)="Ore",1,0))</f>
        <v/>
      </c>
      <c r="N344" s="59">
        <f>IF(OR(tblMovement[[#This Row],[Tonnes_t]]="",tblMovement[[#This Row],[Grade_gpt]]=""),0,tblMovement[[#This Row],[Tonnes_t]]*tblMovement[[#This Row],[Grade_gpt]]/cfg_TroyOz)</f>
        <v/>
      </c>
      <c r="O344" s="59">
        <f>IF(tblMovement[[#This Row],[Is_Ore]]=1,tblMovement[[#This Row],[Contained_oz]],0)</f>
        <v/>
      </c>
    </row>
    <row r="345">
      <c r="A345" s="54" t="n"/>
      <c r="B345" s="61" t="n"/>
      <c r="C345" s="61" t="n"/>
      <c r="D345" s="61" t="n"/>
      <c r="E345" s="61" t="n"/>
      <c r="F345" s="55" t="n"/>
      <c r="G345" s="56" t="n"/>
      <c r="H345" s="55" t="n"/>
      <c r="I345" s="62" t="n"/>
      <c r="J345" s="58" t="n"/>
      <c r="K345" s="63">
        <f>IF(tblMovement[[#This Row],[Source]]="","",IFERROR(INDEX(tblSources[Type],MATCH(tblMovement[[#This Row],[Source]],tblSources[Source],0)),"?"))</f>
        <v/>
      </c>
      <c r="L345" s="63">
        <f>IF(tblMovement[[#This Row],[Destination]]="","",IFERROR(INDEX(tblDestinations[Type],MATCH(tblMovement[[#This Row],[Destination]],tblDestinations[Destination],0)),"?"))</f>
        <v/>
      </c>
      <c r="M345" s="64">
        <f>IF(tblMovement[[#This Row],[Material]]="","",IF(LEFT(tblMovement[[#This Row],[Material]],3)="Ore",1,0))</f>
        <v/>
      </c>
      <c r="N345" s="59">
        <f>IF(OR(tblMovement[[#This Row],[Tonnes_t]]="",tblMovement[[#This Row],[Grade_gpt]]=""),0,tblMovement[[#This Row],[Tonnes_t]]*tblMovement[[#This Row],[Grade_gpt]]/cfg_TroyOz)</f>
        <v/>
      </c>
      <c r="O345" s="59">
        <f>IF(tblMovement[[#This Row],[Is_Ore]]=1,tblMovement[[#This Row],[Contained_oz]],0)</f>
        <v/>
      </c>
    </row>
    <row r="346">
      <c r="A346" s="54" t="n"/>
      <c r="B346" s="61" t="n"/>
      <c r="C346" s="61" t="n"/>
      <c r="D346" s="61" t="n"/>
      <c r="E346" s="61" t="n"/>
      <c r="F346" s="55" t="n"/>
      <c r="G346" s="56" t="n"/>
      <c r="H346" s="55" t="n"/>
      <c r="I346" s="62" t="n"/>
      <c r="J346" s="58" t="n"/>
      <c r="K346" s="63">
        <f>IF(tblMovement[[#This Row],[Source]]="","",IFERROR(INDEX(tblSources[Type],MATCH(tblMovement[[#This Row],[Source]],tblSources[Source],0)),"?"))</f>
        <v/>
      </c>
      <c r="L346" s="63">
        <f>IF(tblMovement[[#This Row],[Destination]]="","",IFERROR(INDEX(tblDestinations[Type],MATCH(tblMovement[[#This Row],[Destination]],tblDestinations[Destination],0)),"?"))</f>
        <v/>
      </c>
      <c r="M346" s="64">
        <f>IF(tblMovement[[#This Row],[Material]]="","",IF(LEFT(tblMovement[[#This Row],[Material]],3)="Ore",1,0))</f>
        <v/>
      </c>
      <c r="N346" s="59">
        <f>IF(OR(tblMovement[[#This Row],[Tonnes_t]]="",tblMovement[[#This Row],[Grade_gpt]]=""),0,tblMovement[[#This Row],[Tonnes_t]]*tblMovement[[#This Row],[Grade_gpt]]/cfg_TroyOz)</f>
        <v/>
      </c>
      <c r="O346" s="59">
        <f>IF(tblMovement[[#This Row],[Is_Ore]]=1,tblMovement[[#This Row],[Contained_oz]],0)</f>
        <v/>
      </c>
    </row>
    <row r="347">
      <c r="A347" s="54" t="n"/>
      <c r="B347" s="61" t="n"/>
      <c r="C347" s="61" t="n"/>
      <c r="D347" s="61" t="n"/>
      <c r="E347" s="61" t="n"/>
      <c r="F347" s="55" t="n"/>
      <c r="G347" s="56" t="n"/>
      <c r="H347" s="55" t="n"/>
      <c r="I347" s="62" t="n"/>
      <c r="J347" s="58" t="n"/>
      <c r="K347" s="63">
        <f>IF(tblMovement[[#This Row],[Source]]="","",IFERROR(INDEX(tblSources[Type],MATCH(tblMovement[[#This Row],[Source]],tblSources[Source],0)),"?"))</f>
        <v/>
      </c>
      <c r="L347" s="63">
        <f>IF(tblMovement[[#This Row],[Destination]]="","",IFERROR(INDEX(tblDestinations[Type],MATCH(tblMovement[[#This Row],[Destination]],tblDestinations[Destination],0)),"?"))</f>
        <v/>
      </c>
      <c r="M347" s="64">
        <f>IF(tblMovement[[#This Row],[Material]]="","",IF(LEFT(tblMovement[[#This Row],[Material]],3)="Ore",1,0))</f>
        <v/>
      </c>
      <c r="N347" s="59">
        <f>IF(OR(tblMovement[[#This Row],[Tonnes_t]]="",tblMovement[[#This Row],[Grade_gpt]]=""),0,tblMovement[[#This Row],[Tonnes_t]]*tblMovement[[#This Row],[Grade_gpt]]/cfg_TroyOz)</f>
        <v/>
      </c>
      <c r="O347" s="59">
        <f>IF(tblMovement[[#This Row],[Is_Ore]]=1,tblMovement[[#This Row],[Contained_oz]],0)</f>
        <v/>
      </c>
    </row>
    <row r="348">
      <c r="A348" s="54" t="n"/>
      <c r="B348" s="61" t="n"/>
      <c r="C348" s="61" t="n"/>
      <c r="D348" s="61" t="n"/>
      <c r="E348" s="61" t="n"/>
      <c r="F348" s="55" t="n"/>
      <c r="G348" s="56" t="n"/>
      <c r="H348" s="55" t="n"/>
      <c r="I348" s="62" t="n"/>
      <c r="J348" s="58" t="n"/>
      <c r="K348" s="63">
        <f>IF(tblMovement[[#This Row],[Source]]="","",IFERROR(INDEX(tblSources[Type],MATCH(tblMovement[[#This Row],[Source]],tblSources[Source],0)),"?"))</f>
        <v/>
      </c>
      <c r="L348" s="63">
        <f>IF(tblMovement[[#This Row],[Destination]]="","",IFERROR(INDEX(tblDestinations[Type],MATCH(tblMovement[[#This Row],[Destination]],tblDestinations[Destination],0)),"?"))</f>
        <v/>
      </c>
      <c r="M348" s="64">
        <f>IF(tblMovement[[#This Row],[Material]]="","",IF(LEFT(tblMovement[[#This Row],[Material]],3)="Ore",1,0))</f>
        <v/>
      </c>
      <c r="N348" s="59">
        <f>IF(OR(tblMovement[[#This Row],[Tonnes_t]]="",tblMovement[[#This Row],[Grade_gpt]]=""),0,tblMovement[[#This Row],[Tonnes_t]]*tblMovement[[#This Row],[Grade_gpt]]/cfg_TroyOz)</f>
        <v/>
      </c>
      <c r="O348" s="59">
        <f>IF(tblMovement[[#This Row],[Is_Ore]]=1,tblMovement[[#This Row],[Contained_oz]],0)</f>
        <v/>
      </c>
    </row>
    <row r="349">
      <c r="A349" s="54" t="n"/>
      <c r="B349" s="61" t="n"/>
      <c r="C349" s="61" t="n"/>
      <c r="D349" s="61" t="n"/>
      <c r="E349" s="61" t="n"/>
      <c r="F349" s="55" t="n"/>
      <c r="G349" s="56" t="n"/>
      <c r="H349" s="55" t="n"/>
      <c r="I349" s="62" t="n"/>
      <c r="J349" s="58" t="n"/>
      <c r="K349" s="63">
        <f>IF(tblMovement[[#This Row],[Source]]="","",IFERROR(INDEX(tblSources[Type],MATCH(tblMovement[[#This Row],[Source]],tblSources[Source],0)),"?"))</f>
        <v/>
      </c>
      <c r="L349" s="63">
        <f>IF(tblMovement[[#This Row],[Destination]]="","",IFERROR(INDEX(tblDestinations[Type],MATCH(tblMovement[[#This Row],[Destination]],tblDestinations[Destination],0)),"?"))</f>
        <v/>
      </c>
      <c r="M349" s="64">
        <f>IF(tblMovement[[#This Row],[Material]]="","",IF(LEFT(tblMovement[[#This Row],[Material]],3)="Ore",1,0))</f>
        <v/>
      </c>
      <c r="N349" s="59">
        <f>IF(OR(tblMovement[[#This Row],[Tonnes_t]]="",tblMovement[[#This Row],[Grade_gpt]]=""),0,tblMovement[[#This Row],[Tonnes_t]]*tblMovement[[#This Row],[Grade_gpt]]/cfg_TroyOz)</f>
        <v/>
      </c>
      <c r="O349" s="59">
        <f>IF(tblMovement[[#This Row],[Is_Ore]]=1,tblMovement[[#This Row],[Contained_oz]],0)</f>
        <v/>
      </c>
    </row>
    <row r="350">
      <c r="A350" s="54" t="n"/>
      <c r="B350" s="61" t="n"/>
      <c r="C350" s="61" t="n"/>
      <c r="D350" s="61" t="n"/>
      <c r="E350" s="61" t="n"/>
      <c r="F350" s="55" t="n"/>
      <c r="G350" s="56" t="n"/>
      <c r="H350" s="55" t="n"/>
      <c r="I350" s="62" t="n"/>
      <c r="J350" s="58" t="n"/>
      <c r="K350" s="63">
        <f>IF(tblMovement[[#This Row],[Source]]="","",IFERROR(INDEX(tblSources[Type],MATCH(tblMovement[[#This Row],[Source]],tblSources[Source],0)),"?"))</f>
        <v/>
      </c>
      <c r="L350" s="63">
        <f>IF(tblMovement[[#This Row],[Destination]]="","",IFERROR(INDEX(tblDestinations[Type],MATCH(tblMovement[[#This Row],[Destination]],tblDestinations[Destination],0)),"?"))</f>
        <v/>
      </c>
      <c r="M350" s="64">
        <f>IF(tblMovement[[#This Row],[Material]]="","",IF(LEFT(tblMovement[[#This Row],[Material]],3)="Ore",1,0))</f>
        <v/>
      </c>
      <c r="N350" s="59">
        <f>IF(OR(tblMovement[[#This Row],[Tonnes_t]]="",tblMovement[[#This Row],[Grade_gpt]]=""),0,tblMovement[[#This Row],[Tonnes_t]]*tblMovement[[#This Row],[Grade_gpt]]/cfg_TroyOz)</f>
        <v/>
      </c>
      <c r="O350" s="59">
        <f>IF(tblMovement[[#This Row],[Is_Ore]]=1,tblMovement[[#This Row],[Contained_oz]],0)</f>
        <v/>
      </c>
    </row>
    <row r="351">
      <c r="A351" s="54" t="n"/>
      <c r="B351" s="61" t="n"/>
      <c r="C351" s="61" t="n"/>
      <c r="D351" s="61" t="n"/>
      <c r="E351" s="61" t="n"/>
      <c r="F351" s="55" t="n"/>
      <c r="G351" s="56" t="n"/>
      <c r="H351" s="55" t="n"/>
      <c r="I351" s="62" t="n"/>
      <c r="J351" s="58" t="n"/>
      <c r="K351" s="63">
        <f>IF(tblMovement[[#This Row],[Source]]="","",IFERROR(INDEX(tblSources[Type],MATCH(tblMovement[[#This Row],[Source]],tblSources[Source],0)),"?"))</f>
        <v/>
      </c>
      <c r="L351" s="63">
        <f>IF(tblMovement[[#This Row],[Destination]]="","",IFERROR(INDEX(tblDestinations[Type],MATCH(tblMovement[[#This Row],[Destination]],tblDestinations[Destination],0)),"?"))</f>
        <v/>
      </c>
      <c r="M351" s="64">
        <f>IF(tblMovement[[#This Row],[Material]]="","",IF(LEFT(tblMovement[[#This Row],[Material]],3)="Ore",1,0))</f>
        <v/>
      </c>
      <c r="N351" s="59">
        <f>IF(OR(tblMovement[[#This Row],[Tonnes_t]]="",tblMovement[[#This Row],[Grade_gpt]]=""),0,tblMovement[[#This Row],[Tonnes_t]]*tblMovement[[#This Row],[Grade_gpt]]/cfg_TroyOz)</f>
        <v/>
      </c>
      <c r="O351" s="59">
        <f>IF(tblMovement[[#This Row],[Is_Ore]]=1,tblMovement[[#This Row],[Contained_oz]],0)</f>
        <v/>
      </c>
    </row>
    <row r="352">
      <c r="A352" s="54" t="n"/>
      <c r="B352" s="61" t="n"/>
      <c r="C352" s="61" t="n"/>
      <c r="D352" s="61" t="n"/>
      <c r="E352" s="61" t="n"/>
      <c r="F352" s="55" t="n"/>
      <c r="G352" s="56" t="n"/>
      <c r="H352" s="55" t="n"/>
      <c r="I352" s="62" t="n"/>
      <c r="J352" s="58" t="n"/>
      <c r="K352" s="63">
        <f>IF(tblMovement[[#This Row],[Source]]="","",IFERROR(INDEX(tblSources[Type],MATCH(tblMovement[[#This Row],[Source]],tblSources[Source],0)),"?"))</f>
        <v/>
      </c>
      <c r="L352" s="63">
        <f>IF(tblMovement[[#This Row],[Destination]]="","",IFERROR(INDEX(tblDestinations[Type],MATCH(tblMovement[[#This Row],[Destination]],tblDestinations[Destination],0)),"?"))</f>
        <v/>
      </c>
      <c r="M352" s="64">
        <f>IF(tblMovement[[#This Row],[Material]]="","",IF(LEFT(tblMovement[[#This Row],[Material]],3)="Ore",1,0))</f>
        <v/>
      </c>
      <c r="N352" s="59">
        <f>IF(OR(tblMovement[[#This Row],[Tonnes_t]]="",tblMovement[[#This Row],[Grade_gpt]]=""),0,tblMovement[[#This Row],[Tonnes_t]]*tblMovement[[#This Row],[Grade_gpt]]/cfg_TroyOz)</f>
        <v/>
      </c>
      <c r="O352" s="59">
        <f>IF(tblMovement[[#This Row],[Is_Ore]]=1,tblMovement[[#This Row],[Contained_oz]],0)</f>
        <v/>
      </c>
    </row>
    <row r="353">
      <c r="A353" s="54" t="n"/>
      <c r="B353" s="61" t="n"/>
      <c r="C353" s="61" t="n"/>
      <c r="D353" s="61" t="n"/>
      <c r="E353" s="61" t="n"/>
      <c r="F353" s="55" t="n"/>
      <c r="G353" s="56" t="n"/>
      <c r="H353" s="55" t="n"/>
      <c r="I353" s="62" t="n"/>
      <c r="J353" s="58" t="n"/>
      <c r="K353" s="63">
        <f>IF(tblMovement[[#This Row],[Source]]="","",IFERROR(INDEX(tblSources[Type],MATCH(tblMovement[[#This Row],[Source]],tblSources[Source],0)),"?"))</f>
        <v/>
      </c>
      <c r="L353" s="63">
        <f>IF(tblMovement[[#This Row],[Destination]]="","",IFERROR(INDEX(tblDestinations[Type],MATCH(tblMovement[[#This Row],[Destination]],tblDestinations[Destination],0)),"?"))</f>
        <v/>
      </c>
      <c r="M353" s="64">
        <f>IF(tblMovement[[#This Row],[Material]]="","",IF(LEFT(tblMovement[[#This Row],[Material]],3)="Ore",1,0))</f>
        <v/>
      </c>
      <c r="N353" s="59">
        <f>IF(OR(tblMovement[[#This Row],[Tonnes_t]]="",tblMovement[[#This Row],[Grade_gpt]]=""),0,tblMovement[[#This Row],[Tonnes_t]]*tblMovement[[#This Row],[Grade_gpt]]/cfg_TroyOz)</f>
        <v/>
      </c>
      <c r="O353" s="59">
        <f>IF(tblMovement[[#This Row],[Is_Ore]]=1,tblMovement[[#This Row],[Contained_oz]],0)</f>
        <v/>
      </c>
    </row>
    <row r="354">
      <c r="A354" s="54" t="n"/>
      <c r="B354" s="61" t="n"/>
      <c r="C354" s="61" t="n"/>
      <c r="D354" s="61" t="n"/>
      <c r="E354" s="61" t="n"/>
      <c r="F354" s="55" t="n"/>
      <c r="G354" s="56" t="n"/>
      <c r="H354" s="55" t="n"/>
      <c r="I354" s="62" t="n"/>
      <c r="J354" s="58" t="n"/>
      <c r="K354" s="63">
        <f>IF(tblMovement[[#This Row],[Source]]="","",IFERROR(INDEX(tblSources[Type],MATCH(tblMovement[[#This Row],[Source]],tblSources[Source],0)),"?"))</f>
        <v/>
      </c>
      <c r="L354" s="63">
        <f>IF(tblMovement[[#This Row],[Destination]]="","",IFERROR(INDEX(tblDestinations[Type],MATCH(tblMovement[[#This Row],[Destination]],tblDestinations[Destination],0)),"?"))</f>
        <v/>
      </c>
      <c r="M354" s="64">
        <f>IF(tblMovement[[#This Row],[Material]]="","",IF(LEFT(tblMovement[[#This Row],[Material]],3)="Ore",1,0))</f>
        <v/>
      </c>
      <c r="N354" s="59">
        <f>IF(OR(tblMovement[[#This Row],[Tonnes_t]]="",tblMovement[[#This Row],[Grade_gpt]]=""),0,tblMovement[[#This Row],[Tonnes_t]]*tblMovement[[#This Row],[Grade_gpt]]/cfg_TroyOz)</f>
        <v/>
      </c>
      <c r="O354" s="59">
        <f>IF(tblMovement[[#This Row],[Is_Ore]]=1,tblMovement[[#This Row],[Contained_oz]],0)</f>
        <v/>
      </c>
    </row>
    <row r="355">
      <c r="A355" s="54" t="n"/>
      <c r="B355" s="61" t="n"/>
      <c r="C355" s="61" t="n"/>
      <c r="D355" s="61" t="n"/>
      <c r="E355" s="61" t="n"/>
      <c r="F355" s="55" t="n"/>
      <c r="G355" s="56" t="n"/>
      <c r="H355" s="55" t="n"/>
      <c r="I355" s="62" t="n"/>
      <c r="J355" s="58" t="n"/>
      <c r="K355" s="63">
        <f>IF(tblMovement[[#This Row],[Source]]="","",IFERROR(INDEX(tblSources[Type],MATCH(tblMovement[[#This Row],[Source]],tblSources[Source],0)),"?"))</f>
        <v/>
      </c>
      <c r="L355" s="63">
        <f>IF(tblMovement[[#This Row],[Destination]]="","",IFERROR(INDEX(tblDestinations[Type],MATCH(tblMovement[[#This Row],[Destination]],tblDestinations[Destination],0)),"?"))</f>
        <v/>
      </c>
      <c r="M355" s="64">
        <f>IF(tblMovement[[#This Row],[Material]]="","",IF(LEFT(tblMovement[[#This Row],[Material]],3)="Ore",1,0))</f>
        <v/>
      </c>
      <c r="N355" s="59">
        <f>IF(OR(tblMovement[[#This Row],[Tonnes_t]]="",tblMovement[[#This Row],[Grade_gpt]]=""),0,tblMovement[[#This Row],[Tonnes_t]]*tblMovement[[#This Row],[Grade_gpt]]/cfg_TroyOz)</f>
        <v/>
      </c>
      <c r="O355" s="59">
        <f>IF(tblMovement[[#This Row],[Is_Ore]]=1,tblMovement[[#This Row],[Contained_oz]],0)</f>
        <v/>
      </c>
    </row>
    <row r="356">
      <c r="A356" s="54" t="n"/>
      <c r="B356" s="61" t="n"/>
      <c r="C356" s="61" t="n"/>
      <c r="D356" s="61" t="n"/>
      <c r="E356" s="61" t="n"/>
      <c r="F356" s="55" t="n"/>
      <c r="G356" s="56" t="n"/>
      <c r="H356" s="55" t="n"/>
      <c r="I356" s="62" t="n"/>
      <c r="J356" s="58" t="n"/>
      <c r="K356" s="63">
        <f>IF(tblMovement[[#This Row],[Source]]="","",IFERROR(INDEX(tblSources[Type],MATCH(tblMovement[[#This Row],[Source]],tblSources[Source],0)),"?"))</f>
        <v/>
      </c>
      <c r="L356" s="63">
        <f>IF(tblMovement[[#This Row],[Destination]]="","",IFERROR(INDEX(tblDestinations[Type],MATCH(tblMovement[[#This Row],[Destination]],tblDestinations[Destination],0)),"?"))</f>
        <v/>
      </c>
      <c r="M356" s="64">
        <f>IF(tblMovement[[#This Row],[Material]]="","",IF(LEFT(tblMovement[[#This Row],[Material]],3)="Ore",1,0))</f>
        <v/>
      </c>
      <c r="N356" s="59">
        <f>IF(OR(tblMovement[[#This Row],[Tonnes_t]]="",tblMovement[[#This Row],[Grade_gpt]]=""),0,tblMovement[[#This Row],[Tonnes_t]]*tblMovement[[#This Row],[Grade_gpt]]/cfg_TroyOz)</f>
        <v/>
      </c>
      <c r="O356" s="59">
        <f>IF(tblMovement[[#This Row],[Is_Ore]]=1,tblMovement[[#This Row],[Contained_oz]],0)</f>
        <v/>
      </c>
    </row>
    <row r="357">
      <c r="A357" s="54" t="n"/>
      <c r="B357" s="61" t="n"/>
      <c r="C357" s="61" t="n"/>
      <c r="D357" s="61" t="n"/>
      <c r="E357" s="61" t="n"/>
      <c r="F357" s="55" t="n"/>
      <c r="G357" s="56" t="n"/>
      <c r="H357" s="55" t="n"/>
      <c r="I357" s="62" t="n"/>
      <c r="J357" s="58" t="n"/>
      <c r="K357" s="63">
        <f>IF(tblMovement[[#This Row],[Source]]="","",IFERROR(INDEX(tblSources[Type],MATCH(tblMovement[[#This Row],[Source]],tblSources[Source],0)),"?"))</f>
        <v/>
      </c>
      <c r="L357" s="63">
        <f>IF(tblMovement[[#This Row],[Destination]]="","",IFERROR(INDEX(tblDestinations[Type],MATCH(tblMovement[[#This Row],[Destination]],tblDestinations[Destination],0)),"?"))</f>
        <v/>
      </c>
      <c r="M357" s="64">
        <f>IF(tblMovement[[#This Row],[Material]]="","",IF(LEFT(tblMovement[[#This Row],[Material]],3)="Ore",1,0))</f>
        <v/>
      </c>
      <c r="N357" s="59">
        <f>IF(OR(tblMovement[[#This Row],[Tonnes_t]]="",tblMovement[[#This Row],[Grade_gpt]]=""),0,tblMovement[[#This Row],[Tonnes_t]]*tblMovement[[#This Row],[Grade_gpt]]/cfg_TroyOz)</f>
        <v/>
      </c>
      <c r="O357" s="59">
        <f>IF(tblMovement[[#This Row],[Is_Ore]]=1,tblMovement[[#This Row],[Contained_oz]],0)</f>
        <v/>
      </c>
    </row>
    <row r="358">
      <c r="A358" s="54" t="n"/>
      <c r="B358" s="61" t="n"/>
      <c r="C358" s="61" t="n"/>
      <c r="D358" s="61" t="n"/>
      <c r="E358" s="61" t="n"/>
      <c r="F358" s="55" t="n"/>
      <c r="G358" s="56" t="n"/>
      <c r="H358" s="55" t="n"/>
      <c r="I358" s="62" t="n"/>
      <c r="J358" s="58" t="n"/>
      <c r="K358" s="63">
        <f>IF(tblMovement[[#This Row],[Source]]="","",IFERROR(INDEX(tblSources[Type],MATCH(tblMovement[[#This Row],[Source]],tblSources[Source],0)),"?"))</f>
        <v/>
      </c>
      <c r="L358" s="63">
        <f>IF(tblMovement[[#This Row],[Destination]]="","",IFERROR(INDEX(tblDestinations[Type],MATCH(tblMovement[[#This Row],[Destination]],tblDestinations[Destination],0)),"?"))</f>
        <v/>
      </c>
      <c r="M358" s="64">
        <f>IF(tblMovement[[#This Row],[Material]]="","",IF(LEFT(tblMovement[[#This Row],[Material]],3)="Ore",1,0))</f>
        <v/>
      </c>
      <c r="N358" s="59">
        <f>IF(OR(tblMovement[[#This Row],[Tonnes_t]]="",tblMovement[[#This Row],[Grade_gpt]]=""),0,tblMovement[[#This Row],[Tonnes_t]]*tblMovement[[#This Row],[Grade_gpt]]/cfg_TroyOz)</f>
        <v/>
      </c>
      <c r="O358" s="59">
        <f>IF(tblMovement[[#This Row],[Is_Ore]]=1,tblMovement[[#This Row],[Contained_oz]],0)</f>
        <v/>
      </c>
    </row>
    <row r="359">
      <c r="A359" s="54" t="n"/>
      <c r="B359" s="61" t="n"/>
      <c r="C359" s="61" t="n"/>
      <c r="D359" s="61" t="n"/>
      <c r="E359" s="61" t="n"/>
      <c r="F359" s="55" t="n"/>
      <c r="G359" s="56" t="n"/>
      <c r="H359" s="55" t="n"/>
      <c r="I359" s="62" t="n"/>
      <c r="J359" s="58" t="n"/>
      <c r="K359" s="63">
        <f>IF(tblMovement[[#This Row],[Source]]="","",IFERROR(INDEX(tblSources[Type],MATCH(tblMovement[[#This Row],[Source]],tblSources[Source],0)),"?"))</f>
        <v/>
      </c>
      <c r="L359" s="63">
        <f>IF(tblMovement[[#This Row],[Destination]]="","",IFERROR(INDEX(tblDestinations[Type],MATCH(tblMovement[[#This Row],[Destination]],tblDestinations[Destination],0)),"?"))</f>
        <v/>
      </c>
      <c r="M359" s="64">
        <f>IF(tblMovement[[#This Row],[Material]]="","",IF(LEFT(tblMovement[[#This Row],[Material]],3)="Ore",1,0))</f>
        <v/>
      </c>
      <c r="N359" s="59">
        <f>IF(OR(tblMovement[[#This Row],[Tonnes_t]]="",tblMovement[[#This Row],[Grade_gpt]]=""),0,tblMovement[[#This Row],[Tonnes_t]]*tblMovement[[#This Row],[Grade_gpt]]/cfg_TroyOz)</f>
        <v/>
      </c>
      <c r="O359" s="59">
        <f>IF(tblMovement[[#This Row],[Is_Ore]]=1,tblMovement[[#This Row],[Contained_oz]],0)</f>
        <v/>
      </c>
    </row>
    <row r="360">
      <c r="A360" s="54" t="n"/>
      <c r="B360" s="61" t="n"/>
      <c r="C360" s="61" t="n"/>
      <c r="D360" s="61" t="n"/>
      <c r="E360" s="61" t="n"/>
      <c r="F360" s="55" t="n"/>
      <c r="G360" s="56" t="n"/>
      <c r="H360" s="55" t="n"/>
      <c r="I360" s="62" t="n"/>
      <c r="J360" s="58" t="n"/>
      <c r="K360" s="63">
        <f>IF(tblMovement[[#This Row],[Source]]="","",IFERROR(INDEX(tblSources[Type],MATCH(tblMovement[[#This Row],[Source]],tblSources[Source],0)),"?"))</f>
        <v/>
      </c>
      <c r="L360" s="63">
        <f>IF(tblMovement[[#This Row],[Destination]]="","",IFERROR(INDEX(tblDestinations[Type],MATCH(tblMovement[[#This Row],[Destination]],tblDestinations[Destination],0)),"?"))</f>
        <v/>
      </c>
      <c r="M360" s="64">
        <f>IF(tblMovement[[#This Row],[Material]]="","",IF(LEFT(tblMovement[[#This Row],[Material]],3)="Ore",1,0))</f>
        <v/>
      </c>
      <c r="N360" s="59">
        <f>IF(OR(tblMovement[[#This Row],[Tonnes_t]]="",tblMovement[[#This Row],[Grade_gpt]]=""),0,tblMovement[[#This Row],[Tonnes_t]]*tblMovement[[#This Row],[Grade_gpt]]/cfg_TroyOz)</f>
        <v/>
      </c>
      <c r="O360" s="59">
        <f>IF(tblMovement[[#This Row],[Is_Ore]]=1,tblMovement[[#This Row],[Contained_oz]],0)</f>
        <v/>
      </c>
    </row>
    <row r="361">
      <c r="A361" s="54" t="n"/>
      <c r="B361" s="61" t="n"/>
      <c r="C361" s="61" t="n"/>
      <c r="D361" s="61" t="n"/>
      <c r="E361" s="61" t="n"/>
      <c r="F361" s="55" t="n"/>
      <c r="G361" s="56" t="n"/>
      <c r="H361" s="55" t="n"/>
      <c r="I361" s="62" t="n"/>
      <c r="J361" s="58" t="n"/>
      <c r="K361" s="63">
        <f>IF(tblMovement[[#This Row],[Source]]="","",IFERROR(INDEX(tblSources[Type],MATCH(tblMovement[[#This Row],[Source]],tblSources[Source],0)),"?"))</f>
        <v/>
      </c>
      <c r="L361" s="63">
        <f>IF(tblMovement[[#This Row],[Destination]]="","",IFERROR(INDEX(tblDestinations[Type],MATCH(tblMovement[[#This Row],[Destination]],tblDestinations[Destination],0)),"?"))</f>
        <v/>
      </c>
      <c r="M361" s="64">
        <f>IF(tblMovement[[#This Row],[Material]]="","",IF(LEFT(tblMovement[[#This Row],[Material]],3)="Ore",1,0))</f>
        <v/>
      </c>
      <c r="N361" s="59">
        <f>IF(OR(tblMovement[[#This Row],[Tonnes_t]]="",tblMovement[[#This Row],[Grade_gpt]]=""),0,tblMovement[[#This Row],[Tonnes_t]]*tblMovement[[#This Row],[Grade_gpt]]/cfg_TroyOz)</f>
        <v/>
      </c>
      <c r="O361" s="59">
        <f>IF(tblMovement[[#This Row],[Is_Ore]]=1,tblMovement[[#This Row],[Contained_oz]],0)</f>
        <v/>
      </c>
    </row>
    <row r="362">
      <c r="A362" s="54" t="n"/>
      <c r="B362" s="61" t="n"/>
      <c r="C362" s="61" t="n"/>
      <c r="D362" s="61" t="n"/>
      <c r="E362" s="61" t="n"/>
      <c r="F362" s="55" t="n"/>
      <c r="G362" s="56" t="n"/>
      <c r="H362" s="55" t="n"/>
      <c r="I362" s="62" t="n"/>
      <c r="J362" s="58" t="n"/>
      <c r="K362" s="63">
        <f>IF(tblMovement[[#This Row],[Source]]="","",IFERROR(INDEX(tblSources[Type],MATCH(tblMovement[[#This Row],[Source]],tblSources[Source],0)),"?"))</f>
        <v/>
      </c>
      <c r="L362" s="63">
        <f>IF(tblMovement[[#This Row],[Destination]]="","",IFERROR(INDEX(tblDestinations[Type],MATCH(tblMovement[[#This Row],[Destination]],tblDestinations[Destination],0)),"?"))</f>
        <v/>
      </c>
      <c r="M362" s="64">
        <f>IF(tblMovement[[#This Row],[Material]]="","",IF(LEFT(tblMovement[[#This Row],[Material]],3)="Ore",1,0))</f>
        <v/>
      </c>
      <c r="N362" s="59">
        <f>IF(OR(tblMovement[[#This Row],[Tonnes_t]]="",tblMovement[[#This Row],[Grade_gpt]]=""),0,tblMovement[[#This Row],[Tonnes_t]]*tblMovement[[#This Row],[Grade_gpt]]/cfg_TroyOz)</f>
        <v/>
      </c>
      <c r="O362" s="59">
        <f>IF(tblMovement[[#This Row],[Is_Ore]]=1,tblMovement[[#This Row],[Contained_oz]],0)</f>
        <v/>
      </c>
    </row>
    <row r="363">
      <c r="A363" s="54" t="n"/>
      <c r="B363" s="61" t="n"/>
      <c r="C363" s="61" t="n"/>
      <c r="D363" s="61" t="n"/>
      <c r="E363" s="61" t="n"/>
      <c r="F363" s="55" t="n"/>
      <c r="G363" s="56" t="n"/>
      <c r="H363" s="55" t="n"/>
      <c r="I363" s="62" t="n"/>
      <c r="J363" s="58" t="n"/>
      <c r="K363" s="63">
        <f>IF(tblMovement[[#This Row],[Source]]="","",IFERROR(INDEX(tblSources[Type],MATCH(tblMovement[[#This Row],[Source]],tblSources[Source],0)),"?"))</f>
        <v/>
      </c>
      <c r="L363" s="63">
        <f>IF(tblMovement[[#This Row],[Destination]]="","",IFERROR(INDEX(tblDestinations[Type],MATCH(tblMovement[[#This Row],[Destination]],tblDestinations[Destination],0)),"?"))</f>
        <v/>
      </c>
      <c r="M363" s="64">
        <f>IF(tblMovement[[#This Row],[Material]]="","",IF(LEFT(tblMovement[[#This Row],[Material]],3)="Ore",1,0))</f>
        <v/>
      </c>
      <c r="N363" s="59">
        <f>IF(OR(tblMovement[[#This Row],[Tonnes_t]]="",tblMovement[[#This Row],[Grade_gpt]]=""),0,tblMovement[[#This Row],[Tonnes_t]]*tblMovement[[#This Row],[Grade_gpt]]/cfg_TroyOz)</f>
        <v/>
      </c>
      <c r="O363" s="59">
        <f>IF(tblMovement[[#This Row],[Is_Ore]]=1,tblMovement[[#This Row],[Contained_oz]],0)</f>
        <v/>
      </c>
    </row>
    <row r="364">
      <c r="A364" s="54" t="n"/>
      <c r="B364" s="61" t="n"/>
      <c r="C364" s="61" t="n"/>
      <c r="D364" s="61" t="n"/>
      <c r="E364" s="61" t="n"/>
      <c r="F364" s="55" t="n"/>
      <c r="G364" s="56" t="n"/>
      <c r="H364" s="55" t="n"/>
      <c r="I364" s="62" t="n"/>
      <c r="J364" s="58" t="n"/>
      <c r="K364" s="63">
        <f>IF(tblMovement[[#This Row],[Source]]="","",IFERROR(INDEX(tblSources[Type],MATCH(tblMovement[[#This Row],[Source]],tblSources[Source],0)),"?"))</f>
        <v/>
      </c>
      <c r="L364" s="63">
        <f>IF(tblMovement[[#This Row],[Destination]]="","",IFERROR(INDEX(tblDestinations[Type],MATCH(tblMovement[[#This Row],[Destination]],tblDestinations[Destination],0)),"?"))</f>
        <v/>
      </c>
      <c r="M364" s="64">
        <f>IF(tblMovement[[#This Row],[Material]]="","",IF(LEFT(tblMovement[[#This Row],[Material]],3)="Ore",1,0))</f>
        <v/>
      </c>
      <c r="N364" s="59">
        <f>IF(OR(tblMovement[[#This Row],[Tonnes_t]]="",tblMovement[[#This Row],[Grade_gpt]]=""),0,tblMovement[[#This Row],[Tonnes_t]]*tblMovement[[#This Row],[Grade_gpt]]/cfg_TroyOz)</f>
        <v/>
      </c>
      <c r="O364" s="59">
        <f>IF(tblMovement[[#This Row],[Is_Ore]]=1,tblMovement[[#This Row],[Contained_oz]],0)</f>
        <v/>
      </c>
    </row>
    <row r="365">
      <c r="A365" s="54" t="n"/>
      <c r="B365" s="61" t="n"/>
      <c r="C365" s="61" t="n"/>
      <c r="D365" s="61" t="n"/>
      <c r="E365" s="61" t="n"/>
      <c r="F365" s="55" t="n"/>
      <c r="G365" s="56" t="n"/>
      <c r="H365" s="55" t="n"/>
      <c r="I365" s="62" t="n"/>
      <c r="J365" s="58" t="n"/>
      <c r="K365" s="63">
        <f>IF(tblMovement[[#This Row],[Source]]="","",IFERROR(INDEX(tblSources[Type],MATCH(tblMovement[[#This Row],[Source]],tblSources[Source],0)),"?"))</f>
        <v/>
      </c>
      <c r="L365" s="63">
        <f>IF(tblMovement[[#This Row],[Destination]]="","",IFERROR(INDEX(tblDestinations[Type],MATCH(tblMovement[[#This Row],[Destination]],tblDestinations[Destination],0)),"?"))</f>
        <v/>
      </c>
      <c r="M365" s="64">
        <f>IF(tblMovement[[#This Row],[Material]]="","",IF(LEFT(tblMovement[[#This Row],[Material]],3)="Ore",1,0))</f>
        <v/>
      </c>
      <c r="N365" s="59">
        <f>IF(OR(tblMovement[[#This Row],[Tonnes_t]]="",tblMovement[[#This Row],[Grade_gpt]]=""),0,tblMovement[[#This Row],[Tonnes_t]]*tblMovement[[#This Row],[Grade_gpt]]/cfg_TroyOz)</f>
        <v/>
      </c>
      <c r="O365" s="59">
        <f>IF(tblMovement[[#This Row],[Is_Ore]]=1,tblMovement[[#This Row],[Contained_oz]],0)</f>
        <v/>
      </c>
    </row>
    <row r="366">
      <c r="A366" s="54" t="n"/>
      <c r="B366" s="61" t="n"/>
      <c r="C366" s="61" t="n"/>
      <c r="D366" s="61" t="n"/>
      <c r="E366" s="61" t="n"/>
      <c r="F366" s="55" t="n"/>
      <c r="G366" s="56" t="n"/>
      <c r="H366" s="55" t="n"/>
      <c r="I366" s="62" t="n"/>
      <c r="J366" s="58" t="n"/>
      <c r="K366" s="63">
        <f>IF(tblMovement[[#This Row],[Source]]="","",IFERROR(INDEX(tblSources[Type],MATCH(tblMovement[[#This Row],[Source]],tblSources[Source],0)),"?"))</f>
        <v/>
      </c>
      <c r="L366" s="63">
        <f>IF(tblMovement[[#This Row],[Destination]]="","",IFERROR(INDEX(tblDestinations[Type],MATCH(tblMovement[[#This Row],[Destination]],tblDestinations[Destination],0)),"?"))</f>
        <v/>
      </c>
      <c r="M366" s="64">
        <f>IF(tblMovement[[#This Row],[Material]]="","",IF(LEFT(tblMovement[[#This Row],[Material]],3)="Ore",1,0))</f>
        <v/>
      </c>
      <c r="N366" s="59">
        <f>IF(OR(tblMovement[[#This Row],[Tonnes_t]]="",tblMovement[[#This Row],[Grade_gpt]]=""),0,tblMovement[[#This Row],[Tonnes_t]]*tblMovement[[#This Row],[Grade_gpt]]/cfg_TroyOz)</f>
        <v/>
      </c>
      <c r="O366" s="59">
        <f>IF(tblMovement[[#This Row],[Is_Ore]]=1,tblMovement[[#This Row],[Contained_oz]],0)</f>
        <v/>
      </c>
    </row>
    <row r="367">
      <c r="A367" s="54" t="n"/>
      <c r="B367" s="61" t="n"/>
      <c r="C367" s="61" t="n"/>
      <c r="D367" s="61" t="n"/>
      <c r="E367" s="61" t="n"/>
      <c r="F367" s="55" t="n"/>
      <c r="G367" s="56" t="n"/>
      <c r="H367" s="55" t="n"/>
      <c r="I367" s="62" t="n"/>
      <c r="J367" s="58" t="n"/>
      <c r="K367" s="63">
        <f>IF(tblMovement[[#This Row],[Source]]="","",IFERROR(INDEX(tblSources[Type],MATCH(tblMovement[[#This Row],[Source]],tblSources[Source],0)),"?"))</f>
        <v/>
      </c>
      <c r="L367" s="63">
        <f>IF(tblMovement[[#This Row],[Destination]]="","",IFERROR(INDEX(tblDestinations[Type],MATCH(tblMovement[[#This Row],[Destination]],tblDestinations[Destination],0)),"?"))</f>
        <v/>
      </c>
      <c r="M367" s="64">
        <f>IF(tblMovement[[#This Row],[Material]]="","",IF(LEFT(tblMovement[[#This Row],[Material]],3)="Ore",1,0))</f>
        <v/>
      </c>
      <c r="N367" s="59">
        <f>IF(OR(tblMovement[[#This Row],[Tonnes_t]]="",tblMovement[[#This Row],[Grade_gpt]]=""),0,tblMovement[[#This Row],[Tonnes_t]]*tblMovement[[#This Row],[Grade_gpt]]/cfg_TroyOz)</f>
        <v/>
      </c>
      <c r="O367" s="59">
        <f>IF(tblMovement[[#This Row],[Is_Ore]]=1,tblMovement[[#This Row],[Contained_oz]],0)</f>
        <v/>
      </c>
    </row>
    <row r="368">
      <c r="A368" s="54" t="n"/>
      <c r="B368" s="61" t="n"/>
      <c r="C368" s="61" t="n"/>
      <c r="D368" s="61" t="n"/>
      <c r="E368" s="61" t="n"/>
      <c r="F368" s="55" t="n"/>
      <c r="G368" s="56" t="n"/>
      <c r="H368" s="55" t="n"/>
      <c r="I368" s="62" t="n"/>
      <c r="J368" s="58" t="n"/>
      <c r="K368" s="63">
        <f>IF(tblMovement[[#This Row],[Source]]="","",IFERROR(INDEX(tblSources[Type],MATCH(tblMovement[[#This Row],[Source]],tblSources[Source],0)),"?"))</f>
        <v/>
      </c>
      <c r="L368" s="63">
        <f>IF(tblMovement[[#This Row],[Destination]]="","",IFERROR(INDEX(tblDestinations[Type],MATCH(tblMovement[[#This Row],[Destination]],tblDestinations[Destination],0)),"?"))</f>
        <v/>
      </c>
      <c r="M368" s="64">
        <f>IF(tblMovement[[#This Row],[Material]]="","",IF(LEFT(tblMovement[[#This Row],[Material]],3)="Ore",1,0))</f>
        <v/>
      </c>
      <c r="N368" s="59">
        <f>IF(OR(tblMovement[[#This Row],[Tonnes_t]]="",tblMovement[[#This Row],[Grade_gpt]]=""),0,tblMovement[[#This Row],[Tonnes_t]]*tblMovement[[#This Row],[Grade_gpt]]/cfg_TroyOz)</f>
        <v/>
      </c>
      <c r="O368" s="59">
        <f>IF(tblMovement[[#This Row],[Is_Ore]]=1,tblMovement[[#This Row],[Contained_oz]],0)</f>
        <v/>
      </c>
    </row>
    <row r="369">
      <c r="A369" s="54" t="n"/>
      <c r="B369" s="61" t="n"/>
      <c r="C369" s="61" t="n"/>
      <c r="D369" s="61" t="n"/>
      <c r="E369" s="61" t="n"/>
      <c r="F369" s="55" t="n"/>
      <c r="G369" s="56" t="n"/>
      <c r="H369" s="55" t="n"/>
      <c r="I369" s="62" t="n"/>
      <c r="J369" s="58" t="n"/>
      <c r="K369" s="63">
        <f>IF(tblMovement[[#This Row],[Source]]="","",IFERROR(INDEX(tblSources[Type],MATCH(tblMovement[[#This Row],[Source]],tblSources[Source],0)),"?"))</f>
        <v/>
      </c>
      <c r="L369" s="63">
        <f>IF(tblMovement[[#This Row],[Destination]]="","",IFERROR(INDEX(tblDestinations[Type],MATCH(tblMovement[[#This Row],[Destination]],tblDestinations[Destination],0)),"?"))</f>
        <v/>
      </c>
      <c r="M369" s="64">
        <f>IF(tblMovement[[#This Row],[Material]]="","",IF(LEFT(tblMovement[[#This Row],[Material]],3)="Ore",1,0))</f>
        <v/>
      </c>
      <c r="N369" s="59">
        <f>IF(OR(tblMovement[[#This Row],[Tonnes_t]]="",tblMovement[[#This Row],[Grade_gpt]]=""),0,tblMovement[[#This Row],[Tonnes_t]]*tblMovement[[#This Row],[Grade_gpt]]/cfg_TroyOz)</f>
        <v/>
      </c>
      <c r="O369" s="59">
        <f>IF(tblMovement[[#This Row],[Is_Ore]]=1,tblMovement[[#This Row],[Contained_oz]],0)</f>
        <v/>
      </c>
    </row>
    <row r="370">
      <c r="A370" s="54" t="n"/>
      <c r="B370" s="61" t="n"/>
      <c r="C370" s="61" t="n"/>
      <c r="D370" s="61" t="n"/>
      <c r="E370" s="61" t="n"/>
      <c r="F370" s="55" t="n"/>
      <c r="G370" s="56" t="n"/>
      <c r="H370" s="55" t="n"/>
      <c r="I370" s="62" t="n"/>
      <c r="J370" s="58" t="n"/>
      <c r="K370" s="63">
        <f>IF(tblMovement[[#This Row],[Source]]="","",IFERROR(INDEX(tblSources[Type],MATCH(tblMovement[[#This Row],[Source]],tblSources[Source],0)),"?"))</f>
        <v/>
      </c>
      <c r="L370" s="63">
        <f>IF(tblMovement[[#This Row],[Destination]]="","",IFERROR(INDEX(tblDestinations[Type],MATCH(tblMovement[[#This Row],[Destination]],tblDestinations[Destination],0)),"?"))</f>
        <v/>
      </c>
      <c r="M370" s="64">
        <f>IF(tblMovement[[#This Row],[Material]]="","",IF(LEFT(tblMovement[[#This Row],[Material]],3)="Ore",1,0))</f>
        <v/>
      </c>
      <c r="N370" s="59">
        <f>IF(OR(tblMovement[[#This Row],[Tonnes_t]]="",tblMovement[[#This Row],[Grade_gpt]]=""),0,tblMovement[[#This Row],[Tonnes_t]]*tblMovement[[#This Row],[Grade_gpt]]/cfg_TroyOz)</f>
        <v/>
      </c>
      <c r="O370" s="59">
        <f>IF(tblMovement[[#This Row],[Is_Ore]]=1,tblMovement[[#This Row],[Contained_oz]],0)</f>
        <v/>
      </c>
    </row>
    <row r="371">
      <c r="A371" s="54" t="n"/>
      <c r="B371" s="61" t="n"/>
      <c r="C371" s="61" t="n"/>
      <c r="D371" s="61" t="n"/>
      <c r="E371" s="61" t="n"/>
      <c r="F371" s="55" t="n"/>
      <c r="G371" s="56" t="n"/>
      <c r="H371" s="55" t="n"/>
      <c r="I371" s="62" t="n"/>
      <c r="J371" s="58" t="n"/>
      <c r="K371" s="63">
        <f>IF(tblMovement[[#This Row],[Source]]="","",IFERROR(INDEX(tblSources[Type],MATCH(tblMovement[[#This Row],[Source]],tblSources[Source],0)),"?"))</f>
        <v/>
      </c>
      <c r="L371" s="63">
        <f>IF(tblMovement[[#This Row],[Destination]]="","",IFERROR(INDEX(tblDestinations[Type],MATCH(tblMovement[[#This Row],[Destination]],tblDestinations[Destination],0)),"?"))</f>
        <v/>
      </c>
      <c r="M371" s="64">
        <f>IF(tblMovement[[#This Row],[Material]]="","",IF(LEFT(tblMovement[[#This Row],[Material]],3)="Ore",1,0))</f>
        <v/>
      </c>
      <c r="N371" s="59">
        <f>IF(OR(tblMovement[[#This Row],[Tonnes_t]]="",tblMovement[[#This Row],[Grade_gpt]]=""),0,tblMovement[[#This Row],[Tonnes_t]]*tblMovement[[#This Row],[Grade_gpt]]/cfg_TroyOz)</f>
        <v/>
      </c>
      <c r="O371" s="59">
        <f>IF(tblMovement[[#This Row],[Is_Ore]]=1,tblMovement[[#This Row],[Contained_oz]],0)</f>
        <v/>
      </c>
    </row>
    <row r="372">
      <c r="A372" s="54" t="n"/>
      <c r="B372" s="61" t="n"/>
      <c r="C372" s="61" t="n"/>
      <c r="D372" s="61" t="n"/>
      <c r="E372" s="61" t="n"/>
      <c r="F372" s="55" t="n"/>
      <c r="G372" s="56" t="n"/>
      <c r="H372" s="55" t="n"/>
      <c r="I372" s="62" t="n"/>
      <c r="J372" s="58" t="n"/>
      <c r="K372" s="63">
        <f>IF(tblMovement[[#This Row],[Source]]="","",IFERROR(INDEX(tblSources[Type],MATCH(tblMovement[[#This Row],[Source]],tblSources[Source],0)),"?"))</f>
        <v/>
      </c>
      <c r="L372" s="63">
        <f>IF(tblMovement[[#This Row],[Destination]]="","",IFERROR(INDEX(tblDestinations[Type],MATCH(tblMovement[[#This Row],[Destination]],tblDestinations[Destination],0)),"?"))</f>
        <v/>
      </c>
      <c r="M372" s="64">
        <f>IF(tblMovement[[#This Row],[Material]]="","",IF(LEFT(tblMovement[[#This Row],[Material]],3)="Ore",1,0))</f>
        <v/>
      </c>
      <c r="N372" s="59">
        <f>IF(OR(tblMovement[[#This Row],[Tonnes_t]]="",tblMovement[[#This Row],[Grade_gpt]]=""),0,tblMovement[[#This Row],[Tonnes_t]]*tblMovement[[#This Row],[Grade_gpt]]/cfg_TroyOz)</f>
        <v/>
      </c>
      <c r="O372" s="59">
        <f>IF(tblMovement[[#This Row],[Is_Ore]]=1,tblMovement[[#This Row],[Contained_oz]],0)</f>
        <v/>
      </c>
    </row>
    <row r="373">
      <c r="A373" s="54" t="n"/>
      <c r="B373" s="61" t="n"/>
      <c r="C373" s="61" t="n"/>
      <c r="D373" s="61" t="n"/>
      <c r="E373" s="61" t="n"/>
      <c r="F373" s="55" t="n"/>
      <c r="G373" s="56" t="n"/>
      <c r="H373" s="55" t="n"/>
      <c r="I373" s="62" t="n"/>
      <c r="J373" s="58" t="n"/>
      <c r="K373" s="63">
        <f>IF(tblMovement[[#This Row],[Source]]="","",IFERROR(INDEX(tblSources[Type],MATCH(tblMovement[[#This Row],[Source]],tblSources[Source],0)),"?"))</f>
        <v/>
      </c>
      <c r="L373" s="63">
        <f>IF(tblMovement[[#This Row],[Destination]]="","",IFERROR(INDEX(tblDestinations[Type],MATCH(tblMovement[[#This Row],[Destination]],tblDestinations[Destination],0)),"?"))</f>
        <v/>
      </c>
      <c r="M373" s="64">
        <f>IF(tblMovement[[#This Row],[Material]]="","",IF(LEFT(tblMovement[[#This Row],[Material]],3)="Ore",1,0))</f>
        <v/>
      </c>
      <c r="N373" s="59">
        <f>IF(OR(tblMovement[[#This Row],[Tonnes_t]]="",tblMovement[[#This Row],[Grade_gpt]]=""),0,tblMovement[[#This Row],[Tonnes_t]]*tblMovement[[#This Row],[Grade_gpt]]/cfg_TroyOz)</f>
        <v/>
      </c>
      <c r="O373" s="59">
        <f>IF(tblMovement[[#This Row],[Is_Ore]]=1,tblMovement[[#This Row],[Contained_oz]],0)</f>
        <v/>
      </c>
    </row>
    <row r="374">
      <c r="A374" s="54" t="n"/>
      <c r="B374" s="61" t="n"/>
      <c r="C374" s="61" t="n"/>
      <c r="D374" s="61" t="n"/>
      <c r="E374" s="61" t="n"/>
      <c r="F374" s="55" t="n"/>
      <c r="G374" s="56" t="n"/>
      <c r="H374" s="55" t="n"/>
      <c r="I374" s="62" t="n"/>
      <c r="J374" s="58" t="n"/>
      <c r="K374" s="63">
        <f>IF(tblMovement[[#This Row],[Source]]="","",IFERROR(INDEX(tblSources[Type],MATCH(tblMovement[[#This Row],[Source]],tblSources[Source],0)),"?"))</f>
        <v/>
      </c>
      <c r="L374" s="63">
        <f>IF(tblMovement[[#This Row],[Destination]]="","",IFERROR(INDEX(tblDestinations[Type],MATCH(tblMovement[[#This Row],[Destination]],tblDestinations[Destination],0)),"?"))</f>
        <v/>
      </c>
      <c r="M374" s="64">
        <f>IF(tblMovement[[#This Row],[Material]]="","",IF(LEFT(tblMovement[[#This Row],[Material]],3)="Ore",1,0))</f>
        <v/>
      </c>
      <c r="N374" s="59">
        <f>IF(OR(tblMovement[[#This Row],[Tonnes_t]]="",tblMovement[[#This Row],[Grade_gpt]]=""),0,tblMovement[[#This Row],[Tonnes_t]]*tblMovement[[#This Row],[Grade_gpt]]/cfg_TroyOz)</f>
        <v/>
      </c>
      <c r="O374" s="59">
        <f>IF(tblMovement[[#This Row],[Is_Ore]]=1,tblMovement[[#This Row],[Contained_oz]],0)</f>
        <v/>
      </c>
    </row>
    <row r="375">
      <c r="A375" s="54" t="n"/>
      <c r="B375" s="61" t="n"/>
      <c r="C375" s="61" t="n"/>
      <c r="D375" s="61" t="n"/>
      <c r="E375" s="61" t="n"/>
      <c r="F375" s="55" t="n"/>
      <c r="G375" s="56" t="n"/>
      <c r="H375" s="55" t="n"/>
      <c r="I375" s="62" t="n"/>
      <c r="J375" s="58" t="n"/>
      <c r="K375" s="63">
        <f>IF(tblMovement[[#This Row],[Source]]="","",IFERROR(INDEX(tblSources[Type],MATCH(tblMovement[[#This Row],[Source]],tblSources[Source],0)),"?"))</f>
        <v/>
      </c>
      <c r="L375" s="63">
        <f>IF(tblMovement[[#This Row],[Destination]]="","",IFERROR(INDEX(tblDestinations[Type],MATCH(tblMovement[[#This Row],[Destination]],tblDestinations[Destination],0)),"?"))</f>
        <v/>
      </c>
      <c r="M375" s="64">
        <f>IF(tblMovement[[#This Row],[Material]]="","",IF(LEFT(tblMovement[[#This Row],[Material]],3)="Ore",1,0))</f>
        <v/>
      </c>
      <c r="N375" s="59">
        <f>IF(OR(tblMovement[[#This Row],[Tonnes_t]]="",tblMovement[[#This Row],[Grade_gpt]]=""),0,tblMovement[[#This Row],[Tonnes_t]]*tblMovement[[#This Row],[Grade_gpt]]/cfg_TroyOz)</f>
        <v/>
      </c>
      <c r="O375" s="59">
        <f>IF(tblMovement[[#This Row],[Is_Ore]]=1,tblMovement[[#This Row],[Contained_oz]],0)</f>
        <v/>
      </c>
    </row>
    <row r="376">
      <c r="A376" s="54" t="n"/>
      <c r="B376" s="61" t="n"/>
      <c r="C376" s="61" t="n"/>
      <c r="D376" s="61" t="n"/>
      <c r="E376" s="61" t="n"/>
      <c r="F376" s="55" t="n"/>
      <c r="G376" s="56" t="n"/>
      <c r="H376" s="55" t="n"/>
      <c r="I376" s="62" t="n"/>
      <c r="J376" s="58" t="n"/>
      <c r="K376" s="63">
        <f>IF(tblMovement[[#This Row],[Source]]="","",IFERROR(INDEX(tblSources[Type],MATCH(tblMovement[[#This Row],[Source]],tblSources[Source],0)),"?"))</f>
        <v/>
      </c>
      <c r="L376" s="63">
        <f>IF(tblMovement[[#This Row],[Destination]]="","",IFERROR(INDEX(tblDestinations[Type],MATCH(tblMovement[[#This Row],[Destination]],tblDestinations[Destination],0)),"?"))</f>
        <v/>
      </c>
      <c r="M376" s="64">
        <f>IF(tblMovement[[#This Row],[Material]]="","",IF(LEFT(tblMovement[[#This Row],[Material]],3)="Ore",1,0))</f>
        <v/>
      </c>
      <c r="N376" s="59">
        <f>IF(OR(tblMovement[[#This Row],[Tonnes_t]]="",tblMovement[[#This Row],[Grade_gpt]]=""),0,tblMovement[[#This Row],[Tonnes_t]]*tblMovement[[#This Row],[Grade_gpt]]/cfg_TroyOz)</f>
        <v/>
      </c>
      <c r="O376" s="59">
        <f>IF(tblMovement[[#This Row],[Is_Ore]]=1,tblMovement[[#This Row],[Contained_oz]],0)</f>
        <v/>
      </c>
    </row>
    <row r="377">
      <c r="A377" s="54" t="n"/>
      <c r="B377" s="61" t="n"/>
      <c r="C377" s="61" t="n"/>
      <c r="D377" s="61" t="n"/>
      <c r="E377" s="61" t="n"/>
      <c r="F377" s="55" t="n"/>
      <c r="G377" s="56" t="n"/>
      <c r="H377" s="55" t="n"/>
      <c r="I377" s="62" t="n"/>
      <c r="J377" s="58" t="n"/>
      <c r="K377" s="63">
        <f>IF(tblMovement[[#This Row],[Source]]="","",IFERROR(INDEX(tblSources[Type],MATCH(tblMovement[[#This Row],[Source]],tblSources[Source],0)),"?"))</f>
        <v/>
      </c>
      <c r="L377" s="63">
        <f>IF(tblMovement[[#This Row],[Destination]]="","",IFERROR(INDEX(tblDestinations[Type],MATCH(tblMovement[[#This Row],[Destination]],tblDestinations[Destination],0)),"?"))</f>
        <v/>
      </c>
      <c r="M377" s="64">
        <f>IF(tblMovement[[#This Row],[Material]]="","",IF(LEFT(tblMovement[[#This Row],[Material]],3)="Ore",1,0))</f>
        <v/>
      </c>
      <c r="N377" s="59">
        <f>IF(OR(tblMovement[[#This Row],[Tonnes_t]]="",tblMovement[[#This Row],[Grade_gpt]]=""),0,tblMovement[[#This Row],[Tonnes_t]]*tblMovement[[#This Row],[Grade_gpt]]/cfg_TroyOz)</f>
        <v/>
      </c>
      <c r="O377" s="59">
        <f>IF(tblMovement[[#This Row],[Is_Ore]]=1,tblMovement[[#This Row],[Contained_oz]],0)</f>
        <v/>
      </c>
    </row>
    <row r="378">
      <c r="A378" s="54" t="n"/>
      <c r="B378" s="61" t="n"/>
      <c r="C378" s="61" t="n"/>
      <c r="D378" s="61" t="n"/>
      <c r="E378" s="61" t="n"/>
      <c r="F378" s="55" t="n"/>
      <c r="G378" s="56" t="n"/>
      <c r="H378" s="55" t="n"/>
      <c r="I378" s="62" t="n"/>
      <c r="J378" s="58" t="n"/>
      <c r="K378" s="63">
        <f>IF(tblMovement[[#This Row],[Source]]="","",IFERROR(INDEX(tblSources[Type],MATCH(tblMovement[[#This Row],[Source]],tblSources[Source],0)),"?"))</f>
        <v/>
      </c>
      <c r="L378" s="63">
        <f>IF(tblMovement[[#This Row],[Destination]]="","",IFERROR(INDEX(tblDestinations[Type],MATCH(tblMovement[[#This Row],[Destination]],tblDestinations[Destination],0)),"?"))</f>
        <v/>
      </c>
      <c r="M378" s="64">
        <f>IF(tblMovement[[#This Row],[Material]]="","",IF(LEFT(tblMovement[[#This Row],[Material]],3)="Ore",1,0))</f>
        <v/>
      </c>
      <c r="N378" s="59">
        <f>IF(OR(tblMovement[[#This Row],[Tonnes_t]]="",tblMovement[[#This Row],[Grade_gpt]]=""),0,tblMovement[[#This Row],[Tonnes_t]]*tblMovement[[#This Row],[Grade_gpt]]/cfg_TroyOz)</f>
        <v/>
      </c>
      <c r="O378" s="59">
        <f>IF(tblMovement[[#This Row],[Is_Ore]]=1,tblMovement[[#This Row],[Contained_oz]],0)</f>
        <v/>
      </c>
    </row>
    <row r="379">
      <c r="A379" s="54" t="n"/>
      <c r="B379" s="61" t="n"/>
      <c r="C379" s="61" t="n"/>
      <c r="D379" s="61" t="n"/>
      <c r="E379" s="61" t="n"/>
      <c r="F379" s="55" t="n"/>
      <c r="G379" s="56" t="n"/>
      <c r="H379" s="55" t="n"/>
      <c r="I379" s="62" t="n"/>
      <c r="J379" s="58" t="n"/>
      <c r="K379" s="63">
        <f>IF(tblMovement[[#This Row],[Source]]="","",IFERROR(INDEX(tblSources[Type],MATCH(tblMovement[[#This Row],[Source]],tblSources[Source],0)),"?"))</f>
        <v/>
      </c>
      <c r="L379" s="63">
        <f>IF(tblMovement[[#This Row],[Destination]]="","",IFERROR(INDEX(tblDestinations[Type],MATCH(tblMovement[[#This Row],[Destination]],tblDestinations[Destination],0)),"?"))</f>
        <v/>
      </c>
      <c r="M379" s="64">
        <f>IF(tblMovement[[#This Row],[Material]]="","",IF(LEFT(tblMovement[[#This Row],[Material]],3)="Ore",1,0))</f>
        <v/>
      </c>
      <c r="N379" s="59">
        <f>IF(OR(tblMovement[[#This Row],[Tonnes_t]]="",tblMovement[[#This Row],[Grade_gpt]]=""),0,tblMovement[[#This Row],[Tonnes_t]]*tblMovement[[#This Row],[Grade_gpt]]/cfg_TroyOz)</f>
        <v/>
      </c>
      <c r="O379" s="59">
        <f>IF(tblMovement[[#This Row],[Is_Ore]]=1,tblMovement[[#This Row],[Contained_oz]],0)</f>
        <v/>
      </c>
    </row>
    <row r="380">
      <c r="A380" s="54" t="n"/>
      <c r="B380" s="61" t="n"/>
      <c r="C380" s="61" t="n"/>
      <c r="D380" s="61" t="n"/>
      <c r="E380" s="61" t="n"/>
      <c r="F380" s="55" t="n"/>
      <c r="G380" s="56" t="n"/>
      <c r="H380" s="55" t="n"/>
      <c r="I380" s="62" t="n"/>
      <c r="J380" s="58" t="n"/>
      <c r="K380" s="63">
        <f>IF(tblMovement[[#This Row],[Source]]="","",IFERROR(INDEX(tblSources[Type],MATCH(tblMovement[[#This Row],[Source]],tblSources[Source],0)),"?"))</f>
        <v/>
      </c>
      <c r="L380" s="63">
        <f>IF(tblMovement[[#This Row],[Destination]]="","",IFERROR(INDEX(tblDestinations[Type],MATCH(tblMovement[[#This Row],[Destination]],tblDestinations[Destination],0)),"?"))</f>
        <v/>
      </c>
      <c r="M380" s="64">
        <f>IF(tblMovement[[#This Row],[Material]]="","",IF(LEFT(tblMovement[[#This Row],[Material]],3)="Ore",1,0))</f>
        <v/>
      </c>
      <c r="N380" s="59">
        <f>IF(OR(tblMovement[[#This Row],[Tonnes_t]]="",tblMovement[[#This Row],[Grade_gpt]]=""),0,tblMovement[[#This Row],[Tonnes_t]]*tblMovement[[#This Row],[Grade_gpt]]/cfg_TroyOz)</f>
        <v/>
      </c>
      <c r="O380" s="59">
        <f>IF(tblMovement[[#This Row],[Is_Ore]]=1,tblMovement[[#This Row],[Contained_oz]],0)</f>
        <v/>
      </c>
    </row>
    <row r="381">
      <c r="A381" s="54" t="n"/>
      <c r="B381" s="61" t="n"/>
      <c r="C381" s="61" t="n"/>
      <c r="D381" s="61" t="n"/>
      <c r="E381" s="61" t="n"/>
      <c r="F381" s="55" t="n"/>
      <c r="G381" s="56" t="n"/>
      <c r="H381" s="55" t="n"/>
      <c r="I381" s="62" t="n"/>
      <c r="J381" s="58" t="n"/>
      <c r="K381" s="63">
        <f>IF(tblMovement[[#This Row],[Source]]="","",IFERROR(INDEX(tblSources[Type],MATCH(tblMovement[[#This Row],[Source]],tblSources[Source],0)),"?"))</f>
        <v/>
      </c>
      <c r="L381" s="63">
        <f>IF(tblMovement[[#This Row],[Destination]]="","",IFERROR(INDEX(tblDestinations[Type],MATCH(tblMovement[[#This Row],[Destination]],tblDestinations[Destination],0)),"?"))</f>
        <v/>
      </c>
      <c r="M381" s="64">
        <f>IF(tblMovement[[#This Row],[Material]]="","",IF(LEFT(tblMovement[[#This Row],[Material]],3)="Ore",1,0))</f>
        <v/>
      </c>
      <c r="N381" s="59">
        <f>IF(OR(tblMovement[[#This Row],[Tonnes_t]]="",tblMovement[[#This Row],[Grade_gpt]]=""),0,tblMovement[[#This Row],[Tonnes_t]]*tblMovement[[#This Row],[Grade_gpt]]/cfg_TroyOz)</f>
        <v/>
      </c>
      <c r="O381" s="59">
        <f>IF(tblMovement[[#This Row],[Is_Ore]]=1,tblMovement[[#This Row],[Contained_oz]],0)</f>
        <v/>
      </c>
    </row>
    <row r="382">
      <c r="A382" s="54" t="n"/>
      <c r="B382" s="61" t="n"/>
      <c r="C382" s="61" t="n"/>
      <c r="D382" s="61" t="n"/>
      <c r="E382" s="61" t="n"/>
      <c r="F382" s="55" t="n"/>
      <c r="G382" s="56" t="n"/>
      <c r="H382" s="55" t="n"/>
      <c r="I382" s="62" t="n"/>
      <c r="J382" s="58" t="n"/>
      <c r="K382" s="63">
        <f>IF(tblMovement[[#This Row],[Source]]="","",IFERROR(INDEX(tblSources[Type],MATCH(tblMovement[[#This Row],[Source]],tblSources[Source],0)),"?"))</f>
        <v/>
      </c>
      <c r="L382" s="63">
        <f>IF(tblMovement[[#This Row],[Destination]]="","",IFERROR(INDEX(tblDestinations[Type],MATCH(tblMovement[[#This Row],[Destination]],tblDestinations[Destination],0)),"?"))</f>
        <v/>
      </c>
      <c r="M382" s="64">
        <f>IF(tblMovement[[#This Row],[Material]]="","",IF(LEFT(tblMovement[[#This Row],[Material]],3)="Ore",1,0))</f>
        <v/>
      </c>
      <c r="N382" s="59">
        <f>IF(OR(tblMovement[[#This Row],[Tonnes_t]]="",tblMovement[[#This Row],[Grade_gpt]]=""),0,tblMovement[[#This Row],[Tonnes_t]]*tblMovement[[#This Row],[Grade_gpt]]/cfg_TroyOz)</f>
        <v/>
      </c>
      <c r="O382" s="59">
        <f>IF(tblMovement[[#This Row],[Is_Ore]]=1,tblMovement[[#This Row],[Contained_oz]],0)</f>
        <v/>
      </c>
    </row>
    <row r="383">
      <c r="A383" s="54" t="n"/>
      <c r="B383" s="61" t="n"/>
      <c r="C383" s="61" t="n"/>
      <c r="D383" s="61" t="n"/>
      <c r="E383" s="61" t="n"/>
      <c r="F383" s="55" t="n"/>
      <c r="G383" s="56" t="n"/>
      <c r="H383" s="55" t="n"/>
      <c r="I383" s="62" t="n"/>
      <c r="J383" s="58" t="n"/>
      <c r="K383" s="63">
        <f>IF(tblMovement[[#This Row],[Source]]="","",IFERROR(INDEX(tblSources[Type],MATCH(tblMovement[[#This Row],[Source]],tblSources[Source],0)),"?"))</f>
        <v/>
      </c>
      <c r="L383" s="63">
        <f>IF(tblMovement[[#This Row],[Destination]]="","",IFERROR(INDEX(tblDestinations[Type],MATCH(tblMovement[[#This Row],[Destination]],tblDestinations[Destination],0)),"?"))</f>
        <v/>
      </c>
      <c r="M383" s="64">
        <f>IF(tblMovement[[#This Row],[Material]]="","",IF(LEFT(tblMovement[[#This Row],[Material]],3)="Ore",1,0))</f>
        <v/>
      </c>
      <c r="N383" s="59">
        <f>IF(OR(tblMovement[[#This Row],[Tonnes_t]]="",tblMovement[[#This Row],[Grade_gpt]]=""),0,tblMovement[[#This Row],[Tonnes_t]]*tblMovement[[#This Row],[Grade_gpt]]/cfg_TroyOz)</f>
        <v/>
      </c>
      <c r="O383" s="59">
        <f>IF(tblMovement[[#This Row],[Is_Ore]]=1,tblMovement[[#This Row],[Contained_oz]],0)</f>
        <v/>
      </c>
    </row>
    <row r="384">
      <c r="A384" s="54" t="n"/>
      <c r="B384" s="61" t="n"/>
      <c r="C384" s="61" t="n"/>
      <c r="D384" s="61" t="n"/>
      <c r="E384" s="61" t="n"/>
      <c r="F384" s="55" t="n"/>
      <c r="G384" s="56" t="n"/>
      <c r="H384" s="55" t="n"/>
      <c r="I384" s="62" t="n"/>
      <c r="J384" s="58" t="n"/>
      <c r="K384" s="63">
        <f>IF(tblMovement[[#This Row],[Source]]="","",IFERROR(INDEX(tblSources[Type],MATCH(tblMovement[[#This Row],[Source]],tblSources[Source],0)),"?"))</f>
        <v/>
      </c>
      <c r="L384" s="63">
        <f>IF(tblMovement[[#This Row],[Destination]]="","",IFERROR(INDEX(tblDestinations[Type],MATCH(tblMovement[[#This Row],[Destination]],tblDestinations[Destination],0)),"?"))</f>
        <v/>
      </c>
      <c r="M384" s="64">
        <f>IF(tblMovement[[#This Row],[Material]]="","",IF(LEFT(tblMovement[[#This Row],[Material]],3)="Ore",1,0))</f>
        <v/>
      </c>
      <c r="N384" s="59">
        <f>IF(OR(tblMovement[[#This Row],[Tonnes_t]]="",tblMovement[[#This Row],[Grade_gpt]]=""),0,tblMovement[[#This Row],[Tonnes_t]]*tblMovement[[#This Row],[Grade_gpt]]/cfg_TroyOz)</f>
        <v/>
      </c>
      <c r="O384" s="59">
        <f>IF(tblMovement[[#This Row],[Is_Ore]]=1,tblMovement[[#This Row],[Contained_oz]],0)</f>
        <v/>
      </c>
    </row>
    <row r="385">
      <c r="A385" s="54" t="n"/>
      <c r="B385" s="61" t="n"/>
      <c r="C385" s="61" t="n"/>
      <c r="D385" s="61" t="n"/>
      <c r="E385" s="61" t="n"/>
      <c r="F385" s="55" t="n"/>
      <c r="G385" s="56" t="n"/>
      <c r="H385" s="55" t="n"/>
      <c r="I385" s="62" t="n"/>
      <c r="J385" s="58" t="n"/>
      <c r="K385" s="63">
        <f>IF(tblMovement[[#This Row],[Source]]="","",IFERROR(INDEX(tblSources[Type],MATCH(tblMovement[[#This Row],[Source]],tblSources[Source],0)),"?"))</f>
        <v/>
      </c>
      <c r="L385" s="63">
        <f>IF(tblMovement[[#This Row],[Destination]]="","",IFERROR(INDEX(tblDestinations[Type],MATCH(tblMovement[[#This Row],[Destination]],tblDestinations[Destination],0)),"?"))</f>
        <v/>
      </c>
      <c r="M385" s="64">
        <f>IF(tblMovement[[#This Row],[Material]]="","",IF(LEFT(tblMovement[[#This Row],[Material]],3)="Ore",1,0))</f>
        <v/>
      </c>
      <c r="N385" s="59">
        <f>IF(OR(tblMovement[[#This Row],[Tonnes_t]]="",tblMovement[[#This Row],[Grade_gpt]]=""),0,tblMovement[[#This Row],[Tonnes_t]]*tblMovement[[#This Row],[Grade_gpt]]/cfg_TroyOz)</f>
        <v/>
      </c>
      <c r="O385" s="59">
        <f>IF(tblMovement[[#This Row],[Is_Ore]]=1,tblMovement[[#This Row],[Contained_oz]],0)</f>
        <v/>
      </c>
    </row>
    <row r="386">
      <c r="A386" s="54" t="n"/>
      <c r="B386" s="61" t="n"/>
      <c r="C386" s="61" t="n"/>
      <c r="D386" s="61" t="n"/>
      <c r="E386" s="61" t="n"/>
      <c r="F386" s="55" t="n"/>
      <c r="G386" s="56" t="n"/>
      <c r="H386" s="55" t="n"/>
      <c r="I386" s="62" t="n"/>
      <c r="J386" s="58" t="n"/>
      <c r="K386" s="63">
        <f>IF(tblMovement[[#This Row],[Source]]="","",IFERROR(INDEX(tblSources[Type],MATCH(tblMovement[[#This Row],[Source]],tblSources[Source],0)),"?"))</f>
        <v/>
      </c>
      <c r="L386" s="63">
        <f>IF(tblMovement[[#This Row],[Destination]]="","",IFERROR(INDEX(tblDestinations[Type],MATCH(tblMovement[[#This Row],[Destination]],tblDestinations[Destination],0)),"?"))</f>
        <v/>
      </c>
      <c r="M386" s="64">
        <f>IF(tblMovement[[#This Row],[Material]]="","",IF(LEFT(tblMovement[[#This Row],[Material]],3)="Ore",1,0))</f>
        <v/>
      </c>
      <c r="N386" s="59">
        <f>IF(OR(tblMovement[[#This Row],[Tonnes_t]]="",tblMovement[[#This Row],[Grade_gpt]]=""),0,tblMovement[[#This Row],[Tonnes_t]]*tblMovement[[#This Row],[Grade_gpt]]/cfg_TroyOz)</f>
        <v/>
      </c>
      <c r="O386" s="59">
        <f>IF(tblMovement[[#This Row],[Is_Ore]]=1,tblMovement[[#This Row],[Contained_oz]],0)</f>
        <v/>
      </c>
    </row>
    <row r="387">
      <c r="A387" s="54" t="n"/>
      <c r="B387" s="61" t="n"/>
      <c r="C387" s="61" t="n"/>
      <c r="D387" s="61" t="n"/>
      <c r="E387" s="61" t="n"/>
      <c r="F387" s="55" t="n"/>
      <c r="G387" s="56" t="n"/>
      <c r="H387" s="55" t="n"/>
      <c r="I387" s="62" t="n"/>
      <c r="J387" s="58" t="n"/>
      <c r="K387" s="63">
        <f>IF(tblMovement[[#This Row],[Source]]="","",IFERROR(INDEX(tblSources[Type],MATCH(tblMovement[[#This Row],[Source]],tblSources[Source],0)),"?"))</f>
        <v/>
      </c>
      <c r="L387" s="63">
        <f>IF(tblMovement[[#This Row],[Destination]]="","",IFERROR(INDEX(tblDestinations[Type],MATCH(tblMovement[[#This Row],[Destination]],tblDestinations[Destination],0)),"?"))</f>
        <v/>
      </c>
      <c r="M387" s="64">
        <f>IF(tblMovement[[#This Row],[Material]]="","",IF(LEFT(tblMovement[[#This Row],[Material]],3)="Ore",1,0))</f>
        <v/>
      </c>
      <c r="N387" s="59">
        <f>IF(OR(tblMovement[[#This Row],[Tonnes_t]]="",tblMovement[[#This Row],[Grade_gpt]]=""),0,tblMovement[[#This Row],[Tonnes_t]]*tblMovement[[#This Row],[Grade_gpt]]/cfg_TroyOz)</f>
        <v/>
      </c>
      <c r="O387" s="59">
        <f>IF(tblMovement[[#This Row],[Is_Ore]]=1,tblMovement[[#This Row],[Contained_oz]],0)</f>
        <v/>
      </c>
    </row>
    <row r="388">
      <c r="A388" s="54" t="n"/>
      <c r="B388" s="61" t="n"/>
      <c r="C388" s="61" t="n"/>
      <c r="D388" s="61" t="n"/>
      <c r="E388" s="61" t="n"/>
      <c r="F388" s="55" t="n"/>
      <c r="G388" s="56" t="n"/>
      <c r="H388" s="55" t="n"/>
      <c r="I388" s="62" t="n"/>
      <c r="J388" s="58" t="n"/>
      <c r="K388" s="63">
        <f>IF(tblMovement[[#This Row],[Source]]="","",IFERROR(INDEX(tblSources[Type],MATCH(tblMovement[[#This Row],[Source]],tblSources[Source],0)),"?"))</f>
        <v/>
      </c>
      <c r="L388" s="63">
        <f>IF(tblMovement[[#This Row],[Destination]]="","",IFERROR(INDEX(tblDestinations[Type],MATCH(tblMovement[[#This Row],[Destination]],tblDestinations[Destination],0)),"?"))</f>
        <v/>
      </c>
      <c r="M388" s="64">
        <f>IF(tblMovement[[#This Row],[Material]]="","",IF(LEFT(tblMovement[[#This Row],[Material]],3)="Ore",1,0))</f>
        <v/>
      </c>
      <c r="N388" s="59">
        <f>IF(OR(tblMovement[[#This Row],[Tonnes_t]]="",tblMovement[[#This Row],[Grade_gpt]]=""),0,tblMovement[[#This Row],[Tonnes_t]]*tblMovement[[#This Row],[Grade_gpt]]/cfg_TroyOz)</f>
        <v/>
      </c>
      <c r="O388" s="59">
        <f>IF(tblMovement[[#This Row],[Is_Ore]]=1,tblMovement[[#This Row],[Contained_oz]],0)</f>
        <v/>
      </c>
    </row>
    <row r="389">
      <c r="A389" s="54" t="n"/>
      <c r="B389" s="61" t="n"/>
      <c r="C389" s="61" t="n"/>
      <c r="D389" s="61" t="n"/>
      <c r="E389" s="61" t="n"/>
      <c r="F389" s="55" t="n"/>
      <c r="G389" s="56" t="n"/>
      <c r="H389" s="55" t="n"/>
      <c r="I389" s="62" t="n"/>
      <c r="J389" s="58" t="n"/>
      <c r="K389" s="63">
        <f>IF(tblMovement[[#This Row],[Source]]="","",IFERROR(INDEX(tblSources[Type],MATCH(tblMovement[[#This Row],[Source]],tblSources[Source],0)),"?"))</f>
        <v/>
      </c>
      <c r="L389" s="63">
        <f>IF(tblMovement[[#This Row],[Destination]]="","",IFERROR(INDEX(tblDestinations[Type],MATCH(tblMovement[[#This Row],[Destination]],tblDestinations[Destination],0)),"?"))</f>
        <v/>
      </c>
      <c r="M389" s="64">
        <f>IF(tblMovement[[#This Row],[Material]]="","",IF(LEFT(tblMovement[[#This Row],[Material]],3)="Ore",1,0))</f>
        <v/>
      </c>
      <c r="N389" s="59">
        <f>IF(OR(tblMovement[[#This Row],[Tonnes_t]]="",tblMovement[[#This Row],[Grade_gpt]]=""),0,tblMovement[[#This Row],[Tonnes_t]]*tblMovement[[#This Row],[Grade_gpt]]/cfg_TroyOz)</f>
        <v/>
      </c>
      <c r="O389" s="59">
        <f>IF(tblMovement[[#This Row],[Is_Ore]]=1,tblMovement[[#This Row],[Contained_oz]],0)</f>
        <v/>
      </c>
    </row>
    <row r="390">
      <c r="A390" s="54" t="n"/>
      <c r="B390" s="61" t="n"/>
      <c r="C390" s="61" t="n"/>
      <c r="D390" s="61" t="n"/>
      <c r="E390" s="61" t="n"/>
      <c r="F390" s="55" t="n"/>
      <c r="G390" s="56" t="n"/>
      <c r="H390" s="55" t="n"/>
      <c r="I390" s="62" t="n"/>
      <c r="J390" s="58" t="n"/>
      <c r="K390" s="63">
        <f>IF(tblMovement[[#This Row],[Source]]="","",IFERROR(INDEX(tblSources[Type],MATCH(tblMovement[[#This Row],[Source]],tblSources[Source],0)),"?"))</f>
        <v/>
      </c>
      <c r="L390" s="63">
        <f>IF(tblMovement[[#This Row],[Destination]]="","",IFERROR(INDEX(tblDestinations[Type],MATCH(tblMovement[[#This Row],[Destination]],tblDestinations[Destination],0)),"?"))</f>
        <v/>
      </c>
      <c r="M390" s="64">
        <f>IF(tblMovement[[#This Row],[Material]]="","",IF(LEFT(tblMovement[[#This Row],[Material]],3)="Ore",1,0))</f>
        <v/>
      </c>
      <c r="N390" s="59">
        <f>IF(OR(tblMovement[[#This Row],[Tonnes_t]]="",tblMovement[[#This Row],[Grade_gpt]]=""),0,tblMovement[[#This Row],[Tonnes_t]]*tblMovement[[#This Row],[Grade_gpt]]/cfg_TroyOz)</f>
        <v/>
      </c>
      <c r="O390" s="59">
        <f>IF(tblMovement[[#This Row],[Is_Ore]]=1,tblMovement[[#This Row],[Contained_oz]],0)</f>
        <v/>
      </c>
    </row>
    <row r="391">
      <c r="A391" s="54" t="n"/>
      <c r="B391" s="61" t="n"/>
      <c r="C391" s="61" t="n"/>
      <c r="D391" s="61" t="n"/>
      <c r="E391" s="61" t="n"/>
      <c r="F391" s="55" t="n"/>
      <c r="G391" s="56" t="n"/>
      <c r="H391" s="55" t="n"/>
      <c r="I391" s="62" t="n"/>
      <c r="J391" s="58" t="n"/>
      <c r="K391" s="63">
        <f>IF(tblMovement[[#This Row],[Source]]="","",IFERROR(INDEX(tblSources[Type],MATCH(tblMovement[[#This Row],[Source]],tblSources[Source],0)),"?"))</f>
        <v/>
      </c>
      <c r="L391" s="63">
        <f>IF(tblMovement[[#This Row],[Destination]]="","",IFERROR(INDEX(tblDestinations[Type],MATCH(tblMovement[[#This Row],[Destination]],tblDestinations[Destination],0)),"?"))</f>
        <v/>
      </c>
      <c r="M391" s="64">
        <f>IF(tblMovement[[#This Row],[Material]]="","",IF(LEFT(tblMovement[[#This Row],[Material]],3)="Ore",1,0))</f>
        <v/>
      </c>
      <c r="N391" s="59">
        <f>IF(OR(tblMovement[[#This Row],[Tonnes_t]]="",tblMovement[[#This Row],[Grade_gpt]]=""),0,tblMovement[[#This Row],[Tonnes_t]]*tblMovement[[#This Row],[Grade_gpt]]/cfg_TroyOz)</f>
        <v/>
      </c>
      <c r="O391" s="59">
        <f>IF(tblMovement[[#This Row],[Is_Ore]]=1,tblMovement[[#This Row],[Contained_oz]],0)</f>
        <v/>
      </c>
    </row>
    <row r="392">
      <c r="A392" s="54" t="n"/>
      <c r="B392" s="61" t="n"/>
      <c r="C392" s="61" t="n"/>
      <c r="D392" s="61" t="n"/>
      <c r="E392" s="61" t="n"/>
      <c r="F392" s="55" t="n"/>
      <c r="G392" s="56" t="n"/>
      <c r="H392" s="55" t="n"/>
      <c r="I392" s="62" t="n"/>
      <c r="J392" s="58" t="n"/>
      <c r="K392" s="63">
        <f>IF(tblMovement[[#This Row],[Source]]="","",IFERROR(INDEX(tblSources[Type],MATCH(tblMovement[[#This Row],[Source]],tblSources[Source],0)),"?"))</f>
        <v/>
      </c>
      <c r="L392" s="63">
        <f>IF(tblMovement[[#This Row],[Destination]]="","",IFERROR(INDEX(tblDestinations[Type],MATCH(tblMovement[[#This Row],[Destination]],tblDestinations[Destination],0)),"?"))</f>
        <v/>
      </c>
      <c r="M392" s="64">
        <f>IF(tblMovement[[#This Row],[Material]]="","",IF(LEFT(tblMovement[[#This Row],[Material]],3)="Ore",1,0))</f>
        <v/>
      </c>
      <c r="N392" s="59">
        <f>IF(OR(tblMovement[[#This Row],[Tonnes_t]]="",tblMovement[[#This Row],[Grade_gpt]]=""),0,tblMovement[[#This Row],[Tonnes_t]]*tblMovement[[#This Row],[Grade_gpt]]/cfg_TroyOz)</f>
        <v/>
      </c>
      <c r="O392" s="59">
        <f>IF(tblMovement[[#This Row],[Is_Ore]]=1,tblMovement[[#This Row],[Contained_oz]],0)</f>
        <v/>
      </c>
    </row>
    <row r="393">
      <c r="A393" s="54" t="n"/>
      <c r="B393" s="61" t="n"/>
      <c r="C393" s="61" t="n"/>
      <c r="D393" s="61" t="n"/>
      <c r="E393" s="61" t="n"/>
      <c r="F393" s="55" t="n"/>
      <c r="G393" s="56" t="n"/>
      <c r="H393" s="55" t="n"/>
      <c r="I393" s="62" t="n"/>
      <c r="J393" s="58" t="n"/>
      <c r="K393" s="63">
        <f>IF(tblMovement[[#This Row],[Source]]="","",IFERROR(INDEX(tblSources[Type],MATCH(tblMovement[[#This Row],[Source]],tblSources[Source],0)),"?"))</f>
        <v/>
      </c>
      <c r="L393" s="63">
        <f>IF(tblMovement[[#This Row],[Destination]]="","",IFERROR(INDEX(tblDestinations[Type],MATCH(tblMovement[[#This Row],[Destination]],tblDestinations[Destination],0)),"?"))</f>
        <v/>
      </c>
      <c r="M393" s="64">
        <f>IF(tblMovement[[#This Row],[Material]]="","",IF(LEFT(tblMovement[[#This Row],[Material]],3)="Ore",1,0))</f>
        <v/>
      </c>
      <c r="N393" s="59">
        <f>IF(OR(tblMovement[[#This Row],[Tonnes_t]]="",tblMovement[[#This Row],[Grade_gpt]]=""),0,tblMovement[[#This Row],[Tonnes_t]]*tblMovement[[#This Row],[Grade_gpt]]/cfg_TroyOz)</f>
        <v/>
      </c>
      <c r="O393" s="59">
        <f>IF(tblMovement[[#This Row],[Is_Ore]]=1,tblMovement[[#This Row],[Contained_oz]],0)</f>
        <v/>
      </c>
    </row>
    <row r="394">
      <c r="A394" s="54" t="n"/>
      <c r="B394" s="61" t="n"/>
      <c r="C394" s="61" t="n"/>
      <c r="D394" s="61" t="n"/>
      <c r="E394" s="61" t="n"/>
      <c r="F394" s="55" t="n"/>
      <c r="G394" s="56" t="n"/>
      <c r="H394" s="55" t="n"/>
      <c r="I394" s="62" t="n"/>
      <c r="J394" s="58" t="n"/>
      <c r="K394" s="63">
        <f>IF(tblMovement[[#This Row],[Source]]="","",IFERROR(INDEX(tblSources[Type],MATCH(tblMovement[[#This Row],[Source]],tblSources[Source],0)),"?"))</f>
        <v/>
      </c>
      <c r="L394" s="63">
        <f>IF(tblMovement[[#This Row],[Destination]]="","",IFERROR(INDEX(tblDestinations[Type],MATCH(tblMovement[[#This Row],[Destination]],tblDestinations[Destination],0)),"?"))</f>
        <v/>
      </c>
      <c r="M394" s="64">
        <f>IF(tblMovement[[#This Row],[Material]]="","",IF(LEFT(tblMovement[[#This Row],[Material]],3)="Ore",1,0))</f>
        <v/>
      </c>
      <c r="N394" s="59">
        <f>IF(OR(tblMovement[[#This Row],[Tonnes_t]]="",tblMovement[[#This Row],[Grade_gpt]]=""),0,tblMovement[[#This Row],[Tonnes_t]]*tblMovement[[#This Row],[Grade_gpt]]/cfg_TroyOz)</f>
        <v/>
      </c>
      <c r="O394" s="59">
        <f>IF(tblMovement[[#This Row],[Is_Ore]]=1,tblMovement[[#This Row],[Contained_oz]],0)</f>
        <v/>
      </c>
    </row>
    <row r="395">
      <c r="A395" s="54" t="n"/>
      <c r="B395" s="61" t="n"/>
      <c r="C395" s="61" t="n"/>
      <c r="D395" s="61" t="n"/>
      <c r="E395" s="61" t="n"/>
      <c r="F395" s="55" t="n"/>
      <c r="G395" s="56" t="n"/>
      <c r="H395" s="55" t="n"/>
      <c r="I395" s="62" t="n"/>
      <c r="J395" s="58" t="n"/>
      <c r="K395" s="63">
        <f>IF(tblMovement[[#This Row],[Source]]="","",IFERROR(INDEX(tblSources[Type],MATCH(tblMovement[[#This Row],[Source]],tblSources[Source],0)),"?"))</f>
        <v/>
      </c>
      <c r="L395" s="63">
        <f>IF(tblMovement[[#This Row],[Destination]]="","",IFERROR(INDEX(tblDestinations[Type],MATCH(tblMovement[[#This Row],[Destination]],tblDestinations[Destination],0)),"?"))</f>
        <v/>
      </c>
      <c r="M395" s="64">
        <f>IF(tblMovement[[#This Row],[Material]]="","",IF(LEFT(tblMovement[[#This Row],[Material]],3)="Ore",1,0))</f>
        <v/>
      </c>
      <c r="N395" s="59">
        <f>IF(OR(tblMovement[[#This Row],[Tonnes_t]]="",tblMovement[[#This Row],[Grade_gpt]]=""),0,tblMovement[[#This Row],[Tonnes_t]]*tblMovement[[#This Row],[Grade_gpt]]/cfg_TroyOz)</f>
        <v/>
      </c>
      <c r="O395" s="59">
        <f>IF(tblMovement[[#This Row],[Is_Ore]]=1,tblMovement[[#This Row],[Contained_oz]],0)</f>
        <v/>
      </c>
    </row>
    <row r="396">
      <c r="A396" s="54" t="n"/>
      <c r="B396" s="61" t="n"/>
      <c r="C396" s="61" t="n"/>
      <c r="D396" s="61" t="n"/>
      <c r="E396" s="61" t="n"/>
      <c r="F396" s="55" t="n"/>
      <c r="G396" s="56" t="n"/>
      <c r="H396" s="55" t="n"/>
      <c r="I396" s="62" t="n"/>
      <c r="J396" s="58" t="n"/>
      <c r="K396" s="63">
        <f>IF(tblMovement[[#This Row],[Source]]="","",IFERROR(INDEX(tblSources[Type],MATCH(tblMovement[[#This Row],[Source]],tblSources[Source],0)),"?"))</f>
        <v/>
      </c>
      <c r="L396" s="63">
        <f>IF(tblMovement[[#This Row],[Destination]]="","",IFERROR(INDEX(tblDestinations[Type],MATCH(tblMovement[[#This Row],[Destination]],tblDestinations[Destination],0)),"?"))</f>
        <v/>
      </c>
      <c r="M396" s="64">
        <f>IF(tblMovement[[#This Row],[Material]]="","",IF(LEFT(tblMovement[[#This Row],[Material]],3)="Ore",1,0))</f>
        <v/>
      </c>
      <c r="N396" s="59">
        <f>IF(OR(tblMovement[[#This Row],[Tonnes_t]]="",tblMovement[[#This Row],[Grade_gpt]]=""),0,tblMovement[[#This Row],[Tonnes_t]]*tblMovement[[#This Row],[Grade_gpt]]/cfg_TroyOz)</f>
        <v/>
      </c>
      <c r="O396" s="59">
        <f>IF(tblMovement[[#This Row],[Is_Ore]]=1,tblMovement[[#This Row],[Contained_oz]],0)</f>
        <v/>
      </c>
    </row>
    <row r="397">
      <c r="A397" s="54" t="n"/>
      <c r="B397" s="61" t="n"/>
      <c r="C397" s="61" t="n"/>
      <c r="D397" s="61" t="n"/>
      <c r="E397" s="61" t="n"/>
      <c r="F397" s="55" t="n"/>
      <c r="G397" s="56" t="n"/>
      <c r="H397" s="55" t="n"/>
      <c r="I397" s="62" t="n"/>
      <c r="J397" s="58" t="n"/>
      <c r="K397" s="63">
        <f>IF(tblMovement[[#This Row],[Source]]="","",IFERROR(INDEX(tblSources[Type],MATCH(tblMovement[[#This Row],[Source]],tblSources[Source],0)),"?"))</f>
        <v/>
      </c>
      <c r="L397" s="63">
        <f>IF(tblMovement[[#This Row],[Destination]]="","",IFERROR(INDEX(tblDestinations[Type],MATCH(tblMovement[[#This Row],[Destination]],tblDestinations[Destination],0)),"?"))</f>
        <v/>
      </c>
      <c r="M397" s="64">
        <f>IF(tblMovement[[#This Row],[Material]]="","",IF(LEFT(tblMovement[[#This Row],[Material]],3)="Ore",1,0))</f>
        <v/>
      </c>
      <c r="N397" s="59">
        <f>IF(OR(tblMovement[[#This Row],[Tonnes_t]]="",tblMovement[[#This Row],[Grade_gpt]]=""),0,tblMovement[[#This Row],[Tonnes_t]]*tblMovement[[#This Row],[Grade_gpt]]/cfg_TroyOz)</f>
        <v/>
      </c>
      <c r="O397" s="59">
        <f>IF(tblMovement[[#This Row],[Is_Ore]]=1,tblMovement[[#This Row],[Contained_oz]],0)</f>
        <v/>
      </c>
    </row>
    <row r="398">
      <c r="A398" s="54" t="n"/>
      <c r="B398" s="61" t="n"/>
      <c r="C398" s="61" t="n"/>
      <c r="D398" s="61" t="n"/>
      <c r="E398" s="61" t="n"/>
      <c r="F398" s="55" t="n"/>
      <c r="G398" s="56" t="n"/>
      <c r="H398" s="55" t="n"/>
      <c r="I398" s="62" t="n"/>
      <c r="J398" s="58" t="n"/>
      <c r="K398" s="63">
        <f>IF(tblMovement[[#This Row],[Source]]="","",IFERROR(INDEX(tblSources[Type],MATCH(tblMovement[[#This Row],[Source]],tblSources[Source],0)),"?"))</f>
        <v/>
      </c>
      <c r="L398" s="63">
        <f>IF(tblMovement[[#This Row],[Destination]]="","",IFERROR(INDEX(tblDestinations[Type],MATCH(tblMovement[[#This Row],[Destination]],tblDestinations[Destination],0)),"?"))</f>
        <v/>
      </c>
      <c r="M398" s="64">
        <f>IF(tblMovement[[#This Row],[Material]]="","",IF(LEFT(tblMovement[[#This Row],[Material]],3)="Ore",1,0))</f>
        <v/>
      </c>
      <c r="N398" s="59">
        <f>IF(OR(tblMovement[[#This Row],[Tonnes_t]]="",tblMovement[[#This Row],[Grade_gpt]]=""),0,tblMovement[[#This Row],[Tonnes_t]]*tblMovement[[#This Row],[Grade_gpt]]/cfg_TroyOz)</f>
        <v/>
      </c>
      <c r="O398" s="59">
        <f>IF(tblMovement[[#This Row],[Is_Ore]]=1,tblMovement[[#This Row],[Contained_oz]],0)</f>
        <v/>
      </c>
    </row>
    <row r="399">
      <c r="A399" s="54" t="n"/>
      <c r="B399" s="61" t="n"/>
      <c r="C399" s="61" t="n"/>
      <c r="D399" s="61" t="n"/>
      <c r="E399" s="61" t="n"/>
      <c r="F399" s="55" t="n"/>
      <c r="G399" s="56" t="n"/>
      <c r="H399" s="55" t="n"/>
      <c r="I399" s="62" t="n"/>
      <c r="J399" s="58" t="n"/>
      <c r="K399" s="63">
        <f>IF(tblMovement[[#This Row],[Source]]="","",IFERROR(INDEX(tblSources[Type],MATCH(tblMovement[[#This Row],[Source]],tblSources[Source],0)),"?"))</f>
        <v/>
      </c>
      <c r="L399" s="63">
        <f>IF(tblMovement[[#This Row],[Destination]]="","",IFERROR(INDEX(tblDestinations[Type],MATCH(tblMovement[[#This Row],[Destination]],tblDestinations[Destination],0)),"?"))</f>
        <v/>
      </c>
      <c r="M399" s="64">
        <f>IF(tblMovement[[#This Row],[Material]]="","",IF(LEFT(tblMovement[[#This Row],[Material]],3)="Ore",1,0))</f>
        <v/>
      </c>
      <c r="N399" s="59">
        <f>IF(OR(tblMovement[[#This Row],[Tonnes_t]]="",tblMovement[[#This Row],[Grade_gpt]]=""),0,tblMovement[[#This Row],[Tonnes_t]]*tblMovement[[#This Row],[Grade_gpt]]/cfg_TroyOz)</f>
        <v/>
      </c>
      <c r="O399" s="59">
        <f>IF(tblMovement[[#This Row],[Is_Ore]]=1,tblMovement[[#This Row],[Contained_oz]],0)</f>
        <v/>
      </c>
    </row>
    <row r="400">
      <c r="A400" s="54" t="n"/>
      <c r="B400" s="61" t="n"/>
      <c r="C400" s="61" t="n"/>
      <c r="D400" s="61" t="n"/>
      <c r="E400" s="61" t="n"/>
      <c r="F400" s="55" t="n"/>
      <c r="G400" s="56" t="n"/>
      <c r="H400" s="55" t="n"/>
      <c r="I400" s="62" t="n"/>
      <c r="J400" s="58" t="n"/>
      <c r="K400" s="63">
        <f>IF(tblMovement[[#This Row],[Source]]="","",IFERROR(INDEX(tblSources[Type],MATCH(tblMovement[[#This Row],[Source]],tblSources[Source],0)),"?"))</f>
        <v/>
      </c>
      <c r="L400" s="63">
        <f>IF(tblMovement[[#This Row],[Destination]]="","",IFERROR(INDEX(tblDestinations[Type],MATCH(tblMovement[[#This Row],[Destination]],tblDestinations[Destination],0)),"?"))</f>
        <v/>
      </c>
      <c r="M400" s="64">
        <f>IF(tblMovement[[#This Row],[Material]]="","",IF(LEFT(tblMovement[[#This Row],[Material]],3)="Ore",1,0))</f>
        <v/>
      </c>
      <c r="N400" s="59">
        <f>IF(OR(tblMovement[[#This Row],[Tonnes_t]]="",tblMovement[[#This Row],[Grade_gpt]]=""),0,tblMovement[[#This Row],[Tonnes_t]]*tblMovement[[#This Row],[Grade_gpt]]/cfg_TroyOz)</f>
        <v/>
      </c>
      <c r="O400" s="59">
        <f>IF(tblMovement[[#This Row],[Is_Ore]]=1,tblMovement[[#This Row],[Contained_oz]],0)</f>
        <v/>
      </c>
    </row>
    <row r="401">
      <c r="A401" s="54" t="n"/>
      <c r="B401" s="61" t="n"/>
      <c r="C401" s="61" t="n"/>
      <c r="D401" s="61" t="n"/>
      <c r="E401" s="61" t="n"/>
      <c r="F401" s="55" t="n"/>
      <c r="G401" s="56" t="n"/>
      <c r="H401" s="55" t="n"/>
      <c r="I401" s="62" t="n"/>
      <c r="J401" s="58" t="n"/>
      <c r="K401" s="63">
        <f>IF(tblMovement[[#This Row],[Source]]="","",IFERROR(INDEX(tblSources[Type],MATCH(tblMovement[[#This Row],[Source]],tblSources[Source],0)),"?"))</f>
        <v/>
      </c>
      <c r="L401" s="63">
        <f>IF(tblMovement[[#This Row],[Destination]]="","",IFERROR(INDEX(tblDestinations[Type],MATCH(tblMovement[[#This Row],[Destination]],tblDestinations[Destination],0)),"?"))</f>
        <v/>
      </c>
      <c r="M401" s="64">
        <f>IF(tblMovement[[#This Row],[Material]]="","",IF(LEFT(tblMovement[[#This Row],[Material]],3)="Ore",1,0))</f>
        <v/>
      </c>
      <c r="N401" s="59">
        <f>IF(OR(tblMovement[[#This Row],[Tonnes_t]]="",tblMovement[[#This Row],[Grade_gpt]]=""),0,tblMovement[[#This Row],[Tonnes_t]]*tblMovement[[#This Row],[Grade_gpt]]/cfg_TroyOz)</f>
        <v/>
      </c>
      <c r="O401" s="59">
        <f>IF(tblMovement[[#This Row],[Is_Ore]]=1,tblMovement[[#This Row],[Contained_oz]],0)</f>
        <v/>
      </c>
    </row>
    <row r="402">
      <c r="A402" s="54" t="n"/>
      <c r="B402" s="61" t="n"/>
      <c r="C402" s="61" t="n"/>
      <c r="D402" s="61" t="n"/>
      <c r="E402" s="61" t="n"/>
      <c r="F402" s="55" t="n"/>
      <c r="G402" s="56" t="n"/>
      <c r="H402" s="55" t="n"/>
      <c r="I402" s="62" t="n"/>
      <c r="J402" s="58" t="n"/>
      <c r="K402" s="63">
        <f>IF(tblMovement[[#This Row],[Source]]="","",IFERROR(INDEX(tblSources[Type],MATCH(tblMovement[[#This Row],[Source]],tblSources[Source],0)),"?"))</f>
        <v/>
      </c>
      <c r="L402" s="63">
        <f>IF(tblMovement[[#This Row],[Destination]]="","",IFERROR(INDEX(tblDestinations[Type],MATCH(tblMovement[[#This Row],[Destination]],tblDestinations[Destination],0)),"?"))</f>
        <v/>
      </c>
      <c r="M402" s="64">
        <f>IF(tblMovement[[#This Row],[Material]]="","",IF(LEFT(tblMovement[[#This Row],[Material]],3)="Ore",1,0))</f>
        <v/>
      </c>
      <c r="N402" s="59">
        <f>IF(OR(tblMovement[[#This Row],[Tonnes_t]]="",tblMovement[[#This Row],[Grade_gpt]]=""),0,tblMovement[[#This Row],[Tonnes_t]]*tblMovement[[#This Row],[Grade_gpt]]/cfg_TroyOz)</f>
        <v/>
      </c>
      <c r="O402" s="59">
        <f>IF(tblMovement[[#This Row],[Is_Ore]]=1,tblMovement[[#This Row],[Contained_oz]],0)</f>
        <v/>
      </c>
    </row>
    <row r="403">
      <c r="A403" s="54" t="n"/>
      <c r="B403" s="61" t="n"/>
      <c r="C403" s="61" t="n"/>
      <c r="D403" s="61" t="n"/>
      <c r="E403" s="61" t="n"/>
      <c r="F403" s="55" t="n"/>
      <c r="G403" s="56" t="n"/>
      <c r="H403" s="55" t="n"/>
      <c r="I403" s="62" t="n"/>
      <c r="J403" s="58" t="n"/>
      <c r="K403" s="63">
        <f>IF(tblMovement[[#This Row],[Source]]="","",IFERROR(INDEX(tblSources[Type],MATCH(tblMovement[[#This Row],[Source]],tblSources[Source],0)),"?"))</f>
        <v/>
      </c>
      <c r="L403" s="63">
        <f>IF(tblMovement[[#This Row],[Destination]]="","",IFERROR(INDEX(tblDestinations[Type],MATCH(tblMovement[[#This Row],[Destination]],tblDestinations[Destination],0)),"?"))</f>
        <v/>
      </c>
      <c r="M403" s="64">
        <f>IF(tblMovement[[#This Row],[Material]]="","",IF(LEFT(tblMovement[[#This Row],[Material]],3)="Ore",1,0))</f>
        <v/>
      </c>
      <c r="N403" s="59">
        <f>IF(OR(tblMovement[[#This Row],[Tonnes_t]]="",tblMovement[[#This Row],[Grade_gpt]]=""),0,tblMovement[[#This Row],[Tonnes_t]]*tblMovement[[#This Row],[Grade_gpt]]/cfg_TroyOz)</f>
        <v/>
      </c>
      <c r="O403" s="59">
        <f>IF(tblMovement[[#This Row],[Is_Ore]]=1,tblMovement[[#This Row],[Contained_oz]],0)</f>
        <v/>
      </c>
    </row>
    <row r="404">
      <c r="A404" s="54" t="n"/>
      <c r="B404" s="61" t="n"/>
      <c r="C404" s="61" t="n"/>
      <c r="D404" s="61" t="n"/>
      <c r="E404" s="61" t="n"/>
      <c r="F404" s="55" t="n"/>
      <c r="G404" s="56" t="n"/>
      <c r="H404" s="55" t="n"/>
      <c r="I404" s="62" t="n"/>
      <c r="J404" s="58" t="n"/>
      <c r="K404" s="63">
        <f>IF(tblMovement[[#This Row],[Source]]="","",IFERROR(INDEX(tblSources[Type],MATCH(tblMovement[[#This Row],[Source]],tblSources[Source],0)),"?"))</f>
        <v/>
      </c>
      <c r="L404" s="63">
        <f>IF(tblMovement[[#This Row],[Destination]]="","",IFERROR(INDEX(tblDestinations[Type],MATCH(tblMovement[[#This Row],[Destination]],tblDestinations[Destination],0)),"?"))</f>
        <v/>
      </c>
      <c r="M404" s="64">
        <f>IF(tblMovement[[#This Row],[Material]]="","",IF(LEFT(tblMovement[[#This Row],[Material]],3)="Ore",1,0))</f>
        <v/>
      </c>
      <c r="N404" s="59">
        <f>IF(OR(tblMovement[[#This Row],[Tonnes_t]]="",tblMovement[[#This Row],[Grade_gpt]]=""),0,tblMovement[[#This Row],[Tonnes_t]]*tblMovement[[#This Row],[Grade_gpt]]/cfg_TroyOz)</f>
        <v/>
      </c>
      <c r="O404" s="59">
        <f>IF(tblMovement[[#This Row],[Is_Ore]]=1,tblMovement[[#This Row],[Contained_oz]],0)</f>
        <v/>
      </c>
    </row>
    <row r="405">
      <c r="A405" s="54" t="n"/>
      <c r="B405" s="61" t="n"/>
      <c r="C405" s="61" t="n"/>
      <c r="D405" s="61" t="n"/>
      <c r="E405" s="61" t="n"/>
      <c r="F405" s="55" t="n"/>
      <c r="G405" s="56" t="n"/>
      <c r="H405" s="55" t="n"/>
      <c r="I405" s="62" t="n"/>
      <c r="J405" s="58" t="n"/>
      <c r="K405" s="63">
        <f>IF(tblMovement[[#This Row],[Source]]="","",IFERROR(INDEX(tblSources[Type],MATCH(tblMovement[[#This Row],[Source]],tblSources[Source],0)),"?"))</f>
        <v/>
      </c>
      <c r="L405" s="63">
        <f>IF(tblMovement[[#This Row],[Destination]]="","",IFERROR(INDEX(tblDestinations[Type],MATCH(tblMovement[[#This Row],[Destination]],tblDestinations[Destination],0)),"?"))</f>
        <v/>
      </c>
      <c r="M405" s="64">
        <f>IF(tblMovement[[#This Row],[Material]]="","",IF(LEFT(tblMovement[[#This Row],[Material]],3)="Ore",1,0))</f>
        <v/>
      </c>
      <c r="N405" s="59">
        <f>IF(OR(tblMovement[[#This Row],[Tonnes_t]]="",tblMovement[[#This Row],[Grade_gpt]]=""),0,tblMovement[[#This Row],[Tonnes_t]]*tblMovement[[#This Row],[Grade_gpt]]/cfg_TroyOz)</f>
        <v/>
      </c>
      <c r="O405" s="59">
        <f>IF(tblMovement[[#This Row],[Is_Ore]]=1,tblMovement[[#This Row],[Contained_oz]],0)</f>
        <v/>
      </c>
    </row>
    <row r="406">
      <c r="A406" s="54" t="n"/>
      <c r="B406" s="61" t="n"/>
      <c r="C406" s="61" t="n"/>
      <c r="D406" s="61" t="n"/>
      <c r="E406" s="61" t="n"/>
      <c r="F406" s="55" t="n"/>
      <c r="G406" s="56" t="n"/>
      <c r="H406" s="55" t="n"/>
      <c r="I406" s="62" t="n"/>
      <c r="J406" s="58" t="n"/>
      <c r="K406" s="63">
        <f>IF(tblMovement[[#This Row],[Source]]="","",IFERROR(INDEX(tblSources[Type],MATCH(tblMovement[[#This Row],[Source]],tblSources[Source],0)),"?"))</f>
        <v/>
      </c>
      <c r="L406" s="63">
        <f>IF(tblMovement[[#This Row],[Destination]]="","",IFERROR(INDEX(tblDestinations[Type],MATCH(tblMovement[[#This Row],[Destination]],tblDestinations[Destination],0)),"?"))</f>
        <v/>
      </c>
      <c r="M406" s="64">
        <f>IF(tblMovement[[#This Row],[Material]]="","",IF(LEFT(tblMovement[[#This Row],[Material]],3)="Ore",1,0))</f>
        <v/>
      </c>
      <c r="N406" s="59">
        <f>IF(OR(tblMovement[[#This Row],[Tonnes_t]]="",tblMovement[[#This Row],[Grade_gpt]]=""),0,tblMovement[[#This Row],[Tonnes_t]]*tblMovement[[#This Row],[Grade_gpt]]/cfg_TroyOz)</f>
        <v/>
      </c>
      <c r="O406" s="59">
        <f>IF(tblMovement[[#This Row],[Is_Ore]]=1,tblMovement[[#This Row],[Contained_oz]],0)</f>
        <v/>
      </c>
    </row>
    <row r="407">
      <c r="A407" s="54" t="n"/>
      <c r="B407" s="61" t="n"/>
      <c r="C407" s="61" t="n"/>
      <c r="D407" s="61" t="n"/>
      <c r="E407" s="61" t="n"/>
      <c r="F407" s="55" t="n"/>
      <c r="G407" s="56" t="n"/>
      <c r="H407" s="55" t="n"/>
      <c r="I407" s="62" t="n"/>
      <c r="J407" s="58" t="n"/>
      <c r="K407" s="63">
        <f>IF(tblMovement[[#This Row],[Source]]="","",IFERROR(INDEX(tblSources[Type],MATCH(tblMovement[[#This Row],[Source]],tblSources[Source],0)),"?"))</f>
        <v/>
      </c>
      <c r="L407" s="63">
        <f>IF(tblMovement[[#This Row],[Destination]]="","",IFERROR(INDEX(tblDestinations[Type],MATCH(tblMovement[[#This Row],[Destination]],tblDestinations[Destination],0)),"?"))</f>
        <v/>
      </c>
      <c r="M407" s="64">
        <f>IF(tblMovement[[#This Row],[Material]]="","",IF(LEFT(tblMovement[[#This Row],[Material]],3)="Ore",1,0))</f>
        <v/>
      </c>
      <c r="N407" s="59">
        <f>IF(OR(tblMovement[[#This Row],[Tonnes_t]]="",tblMovement[[#This Row],[Grade_gpt]]=""),0,tblMovement[[#This Row],[Tonnes_t]]*tblMovement[[#This Row],[Grade_gpt]]/cfg_TroyOz)</f>
        <v/>
      </c>
      <c r="O407" s="59">
        <f>IF(tblMovement[[#This Row],[Is_Ore]]=1,tblMovement[[#This Row],[Contained_oz]],0)</f>
        <v/>
      </c>
    </row>
    <row r="408">
      <c r="A408" s="54" t="n"/>
      <c r="B408" s="61" t="n"/>
      <c r="C408" s="61" t="n"/>
      <c r="D408" s="61" t="n"/>
      <c r="E408" s="61" t="n"/>
      <c r="F408" s="55" t="n"/>
      <c r="G408" s="56" t="n"/>
      <c r="H408" s="55" t="n"/>
      <c r="I408" s="62" t="n"/>
      <c r="J408" s="58" t="n"/>
      <c r="K408" s="63">
        <f>IF(tblMovement[[#This Row],[Source]]="","",IFERROR(INDEX(tblSources[Type],MATCH(tblMovement[[#This Row],[Source]],tblSources[Source],0)),"?"))</f>
        <v/>
      </c>
      <c r="L408" s="63">
        <f>IF(tblMovement[[#This Row],[Destination]]="","",IFERROR(INDEX(tblDestinations[Type],MATCH(tblMovement[[#This Row],[Destination]],tblDestinations[Destination],0)),"?"))</f>
        <v/>
      </c>
      <c r="M408" s="64">
        <f>IF(tblMovement[[#This Row],[Material]]="","",IF(LEFT(tblMovement[[#This Row],[Material]],3)="Ore",1,0))</f>
        <v/>
      </c>
      <c r="N408" s="59">
        <f>IF(OR(tblMovement[[#This Row],[Tonnes_t]]="",tblMovement[[#This Row],[Grade_gpt]]=""),0,tblMovement[[#This Row],[Tonnes_t]]*tblMovement[[#This Row],[Grade_gpt]]/cfg_TroyOz)</f>
        <v/>
      </c>
      <c r="O408" s="59">
        <f>IF(tblMovement[[#This Row],[Is_Ore]]=1,tblMovement[[#This Row],[Contained_oz]],0)</f>
        <v/>
      </c>
    </row>
    <row r="409">
      <c r="A409" s="54" t="n"/>
      <c r="B409" s="61" t="n"/>
      <c r="C409" s="61" t="n"/>
      <c r="D409" s="61" t="n"/>
      <c r="E409" s="61" t="n"/>
      <c r="F409" s="55" t="n"/>
      <c r="G409" s="56" t="n"/>
      <c r="H409" s="55" t="n"/>
      <c r="I409" s="62" t="n"/>
      <c r="J409" s="58" t="n"/>
      <c r="K409" s="63">
        <f>IF(tblMovement[[#This Row],[Source]]="","",IFERROR(INDEX(tblSources[Type],MATCH(tblMovement[[#This Row],[Source]],tblSources[Source],0)),"?"))</f>
        <v/>
      </c>
      <c r="L409" s="63">
        <f>IF(tblMovement[[#This Row],[Destination]]="","",IFERROR(INDEX(tblDestinations[Type],MATCH(tblMovement[[#This Row],[Destination]],tblDestinations[Destination],0)),"?"))</f>
        <v/>
      </c>
      <c r="M409" s="64">
        <f>IF(tblMovement[[#This Row],[Material]]="","",IF(LEFT(tblMovement[[#This Row],[Material]],3)="Ore",1,0))</f>
        <v/>
      </c>
      <c r="N409" s="59">
        <f>IF(OR(tblMovement[[#This Row],[Tonnes_t]]="",tblMovement[[#This Row],[Grade_gpt]]=""),0,tblMovement[[#This Row],[Tonnes_t]]*tblMovement[[#This Row],[Grade_gpt]]/cfg_TroyOz)</f>
        <v/>
      </c>
      <c r="O409" s="59">
        <f>IF(tblMovement[[#This Row],[Is_Ore]]=1,tblMovement[[#This Row],[Contained_oz]],0)</f>
        <v/>
      </c>
    </row>
    <row r="410">
      <c r="A410" s="54" t="n"/>
      <c r="B410" s="61" t="n"/>
      <c r="C410" s="61" t="n"/>
      <c r="D410" s="61" t="n"/>
      <c r="E410" s="61" t="n"/>
      <c r="F410" s="55" t="n"/>
      <c r="G410" s="56" t="n"/>
      <c r="H410" s="55" t="n"/>
      <c r="I410" s="62" t="n"/>
      <c r="J410" s="58" t="n"/>
      <c r="K410" s="63">
        <f>IF(tblMovement[[#This Row],[Source]]="","",IFERROR(INDEX(tblSources[Type],MATCH(tblMovement[[#This Row],[Source]],tblSources[Source],0)),"?"))</f>
        <v/>
      </c>
      <c r="L410" s="63">
        <f>IF(tblMovement[[#This Row],[Destination]]="","",IFERROR(INDEX(tblDestinations[Type],MATCH(tblMovement[[#This Row],[Destination]],tblDestinations[Destination],0)),"?"))</f>
        <v/>
      </c>
      <c r="M410" s="64">
        <f>IF(tblMovement[[#This Row],[Material]]="","",IF(LEFT(tblMovement[[#This Row],[Material]],3)="Ore",1,0))</f>
        <v/>
      </c>
      <c r="N410" s="59">
        <f>IF(OR(tblMovement[[#This Row],[Tonnes_t]]="",tblMovement[[#This Row],[Grade_gpt]]=""),0,tblMovement[[#This Row],[Tonnes_t]]*tblMovement[[#This Row],[Grade_gpt]]/cfg_TroyOz)</f>
        <v/>
      </c>
      <c r="O410" s="59">
        <f>IF(tblMovement[[#This Row],[Is_Ore]]=1,tblMovement[[#This Row],[Contained_oz]],0)</f>
        <v/>
      </c>
    </row>
    <row r="411">
      <c r="A411" s="54" t="n"/>
      <c r="B411" s="61" t="n"/>
      <c r="C411" s="61" t="n"/>
      <c r="D411" s="61" t="n"/>
      <c r="E411" s="61" t="n"/>
      <c r="F411" s="55" t="n"/>
      <c r="G411" s="56" t="n"/>
      <c r="H411" s="55" t="n"/>
      <c r="I411" s="62" t="n"/>
      <c r="J411" s="58" t="n"/>
      <c r="K411" s="63">
        <f>IF(tblMovement[[#This Row],[Source]]="","",IFERROR(INDEX(tblSources[Type],MATCH(tblMovement[[#This Row],[Source]],tblSources[Source],0)),"?"))</f>
        <v/>
      </c>
      <c r="L411" s="63">
        <f>IF(tblMovement[[#This Row],[Destination]]="","",IFERROR(INDEX(tblDestinations[Type],MATCH(tblMovement[[#This Row],[Destination]],tblDestinations[Destination],0)),"?"))</f>
        <v/>
      </c>
      <c r="M411" s="64">
        <f>IF(tblMovement[[#This Row],[Material]]="","",IF(LEFT(tblMovement[[#This Row],[Material]],3)="Ore",1,0))</f>
        <v/>
      </c>
      <c r="N411" s="59">
        <f>IF(OR(tblMovement[[#This Row],[Tonnes_t]]="",tblMovement[[#This Row],[Grade_gpt]]=""),0,tblMovement[[#This Row],[Tonnes_t]]*tblMovement[[#This Row],[Grade_gpt]]/cfg_TroyOz)</f>
        <v/>
      </c>
      <c r="O411" s="59">
        <f>IF(tblMovement[[#This Row],[Is_Ore]]=1,tblMovement[[#This Row],[Contained_oz]],0)</f>
        <v/>
      </c>
    </row>
    <row r="412">
      <c r="A412" s="54" t="n"/>
      <c r="B412" s="61" t="n"/>
      <c r="C412" s="61" t="n"/>
      <c r="D412" s="61" t="n"/>
      <c r="E412" s="61" t="n"/>
      <c r="F412" s="55" t="n"/>
      <c r="G412" s="56" t="n"/>
      <c r="H412" s="55" t="n"/>
      <c r="I412" s="62" t="n"/>
      <c r="J412" s="58" t="n"/>
      <c r="K412" s="63">
        <f>IF(tblMovement[[#This Row],[Source]]="","",IFERROR(INDEX(tblSources[Type],MATCH(tblMovement[[#This Row],[Source]],tblSources[Source],0)),"?"))</f>
        <v/>
      </c>
      <c r="L412" s="63">
        <f>IF(tblMovement[[#This Row],[Destination]]="","",IFERROR(INDEX(tblDestinations[Type],MATCH(tblMovement[[#This Row],[Destination]],tblDestinations[Destination],0)),"?"))</f>
        <v/>
      </c>
      <c r="M412" s="64">
        <f>IF(tblMovement[[#This Row],[Material]]="","",IF(LEFT(tblMovement[[#This Row],[Material]],3)="Ore",1,0))</f>
        <v/>
      </c>
      <c r="N412" s="59">
        <f>IF(OR(tblMovement[[#This Row],[Tonnes_t]]="",tblMovement[[#This Row],[Grade_gpt]]=""),0,tblMovement[[#This Row],[Tonnes_t]]*tblMovement[[#This Row],[Grade_gpt]]/cfg_TroyOz)</f>
        <v/>
      </c>
      <c r="O412" s="59">
        <f>IF(tblMovement[[#This Row],[Is_Ore]]=1,tblMovement[[#This Row],[Contained_oz]],0)</f>
        <v/>
      </c>
    </row>
    <row r="413">
      <c r="A413" s="54" t="n"/>
      <c r="B413" s="61" t="n"/>
      <c r="C413" s="61" t="n"/>
      <c r="D413" s="61" t="n"/>
      <c r="E413" s="61" t="n"/>
      <c r="F413" s="55" t="n"/>
      <c r="G413" s="56" t="n"/>
      <c r="H413" s="55" t="n"/>
      <c r="I413" s="62" t="n"/>
      <c r="J413" s="58" t="n"/>
      <c r="K413" s="63">
        <f>IF(tblMovement[[#This Row],[Source]]="","",IFERROR(INDEX(tblSources[Type],MATCH(tblMovement[[#This Row],[Source]],tblSources[Source],0)),"?"))</f>
        <v/>
      </c>
      <c r="L413" s="63">
        <f>IF(tblMovement[[#This Row],[Destination]]="","",IFERROR(INDEX(tblDestinations[Type],MATCH(tblMovement[[#This Row],[Destination]],tblDestinations[Destination],0)),"?"))</f>
        <v/>
      </c>
      <c r="M413" s="64">
        <f>IF(tblMovement[[#This Row],[Material]]="","",IF(LEFT(tblMovement[[#This Row],[Material]],3)="Ore",1,0))</f>
        <v/>
      </c>
      <c r="N413" s="59">
        <f>IF(OR(tblMovement[[#This Row],[Tonnes_t]]="",tblMovement[[#This Row],[Grade_gpt]]=""),0,tblMovement[[#This Row],[Tonnes_t]]*tblMovement[[#This Row],[Grade_gpt]]/cfg_TroyOz)</f>
        <v/>
      </c>
      <c r="O413" s="59">
        <f>IF(tblMovement[[#This Row],[Is_Ore]]=1,tblMovement[[#This Row],[Contained_oz]],0)</f>
        <v/>
      </c>
    </row>
    <row r="414">
      <c r="A414" s="54" t="n"/>
      <c r="B414" s="61" t="n"/>
      <c r="C414" s="61" t="n"/>
      <c r="D414" s="61" t="n"/>
      <c r="E414" s="61" t="n"/>
      <c r="F414" s="55" t="n"/>
      <c r="G414" s="56" t="n"/>
      <c r="H414" s="55" t="n"/>
      <c r="I414" s="62" t="n"/>
      <c r="J414" s="58" t="n"/>
      <c r="K414" s="63">
        <f>IF(tblMovement[[#This Row],[Source]]="","",IFERROR(INDEX(tblSources[Type],MATCH(tblMovement[[#This Row],[Source]],tblSources[Source],0)),"?"))</f>
        <v/>
      </c>
      <c r="L414" s="63">
        <f>IF(tblMovement[[#This Row],[Destination]]="","",IFERROR(INDEX(tblDestinations[Type],MATCH(tblMovement[[#This Row],[Destination]],tblDestinations[Destination],0)),"?"))</f>
        <v/>
      </c>
      <c r="M414" s="64">
        <f>IF(tblMovement[[#This Row],[Material]]="","",IF(LEFT(tblMovement[[#This Row],[Material]],3)="Ore",1,0))</f>
        <v/>
      </c>
      <c r="N414" s="59">
        <f>IF(OR(tblMovement[[#This Row],[Tonnes_t]]="",tblMovement[[#This Row],[Grade_gpt]]=""),0,tblMovement[[#This Row],[Tonnes_t]]*tblMovement[[#This Row],[Grade_gpt]]/cfg_TroyOz)</f>
        <v/>
      </c>
      <c r="O414" s="59">
        <f>IF(tblMovement[[#This Row],[Is_Ore]]=1,tblMovement[[#This Row],[Contained_oz]],0)</f>
        <v/>
      </c>
    </row>
    <row r="415">
      <c r="A415" s="54" t="n"/>
      <c r="B415" s="61" t="n"/>
      <c r="C415" s="61" t="n"/>
      <c r="D415" s="61" t="n"/>
      <c r="E415" s="61" t="n"/>
      <c r="F415" s="55" t="n"/>
      <c r="G415" s="56" t="n"/>
      <c r="H415" s="55" t="n"/>
      <c r="I415" s="62" t="n"/>
      <c r="J415" s="58" t="n"/>
      <c r="K415" s="63">
        <f>IF(tblMovement[[#This Row],[Source]]="","",IFERROR(INDEX(tblSources[Type],MATCH(tblMovement[[#This Row],[Source]],tblSources[Source],0)),"?"))</f>
        <v/>
      </c>
      <c r="L415" s="63">
        <f>IF(tblMovement[[#This Row],[Destination]]="","",IFERROR(INDEX(tblDestinations[Type],MATCH(tblMovement[[#This Row],[Destination]],tblDestinations[Destination],0)),"?"))</f>
        <v/>
      </c>
      <c r="M415" s="64">
        <f>IF(tblMovement[[#This Row],[Material]]="","",IF(LEFT(tblMovement[[#This Row],[Material]],3)="Ore",1,0))</f>
        <v/>
      </c>
      <c r="N415" s="59">
        <f>IF(OR(tblMovement[[#This Row],[Tonnes_t]]="",tblMovement[[#This Row],[Grade_gpt]]=""),0,tblMovement[[#This Row],[Tonnes_t]]*tblMovement[[#This Row],[Grade_gpt]]/cfg_TroyOz)</f>
        <v/>
      </c>
      <c r="O415" s="59">
        <f>IF(tblMovement[[#This Row],[Is_Ore]]=1,tblMovement[[#This Row],[Contained_oz]],0)</f>
        <v/>
      </c>
    </row>
    <row r="416">
      <c r="A416" s="54" t="n"/>
      <c r="B416" s="61" t="n"/>
      <c r="C416" s="61" t="n"/>
      <c r="D416" s="61" t="n"/>
      <c r="E416" s="61" t="n"/>
      <c r="F416" s="55" t="n"/>
      <c r="G416" s="56" t="n"/>
      <c r="H416" s="55" t="n"/>
      <c r="I416" s="62" t="n"/>
      <c r="J416" s="58" t="n"/>
      <c r="K416" s="63">
        <f>IF(tblMovement[[#This Row],[Source]]="","",IFERROR(INDEX(tblSources[Type],MATCH(tblMovement[[#This Row],[Source]],tblSources[Source],0)),"?"))</f>
        <v/>
      </c>
      <c r="L416" s="63">
        <f>IF(tblMovement[[#This Row],[Destination]]="","",IFERROR(INDEX(tblDestinations[Type],MATCH(tblMovement[[#This Row],[Destination]],tblDestinations[Destination],0)),"?"))</f>
        <v/>
      </c>
      <c r="M416" s="64">
        <f>IF(tblMovement[[#This Row],[Material]]="","",IF(LEFT(tblMovement[[#This Row],[Material]],3)="Ore",1,0))</f>
        <v/>
      </c>
      <c r="N416" s="59">
        <f>IF(OR(tblMovement[[#This Row],[Tonnes_t]]="",tblMovement[[#This Row],[Grade_gpt]]=""),0,tblMovement[[#This Row],[Tonnes_t]]*tblMovement[[#This Row],[Grade_gpt]]/cfg_TroyOz)</f>
        <v/>
      </c>
      <c r="O416" s="59">
        <f>IF(tblMovement[[#This Row],[Is_Ore]]=1,tblMovement[[#This Row],[Contained_oz]],0)</f>
        <v/>
      </c>
    </row>
    <row r="417">
      <c r="A417" s="54" t="n"/>
      <c r="B417" s="61" t="n"/>
      <c r="C417" s="61" t="n"/>
      <c r="D417" s="61" t="n"/>
      <c r="E417" s="61" t="n"/>
      <c r="F417" s="55" t="n"/>
      <c r="G417" s="56" t="n"/>
      <c r="H417" s="55" t="n"/>
      <c r="I417" s="62" t="n"/>
      <c r="J417" s="58" t="n"/>
      <c r="K417" s="63">
        <f>IF(tblMovement[[#This Row],[Source]]="","",IFERROR(INDEX(tblSources[Type],MATCH(tblMovement[[#This Row],[Source]],tblSources[Source],0)),"?"))</f>
        <v/>
      </c>
      <c r="L417" s="63">
        <f>IF(tblMovement[[#This Row],[Destination]]="","",IFERROR(INDEX(tblDestinations[Type],MATCH(tblMovement[[#This Row],[Destination]],tblDestinations[Destination],0)),"?"))</f>
        <v/>
      </c>
      <c r="M417" s="64">
        <f>IF(tblMovement[[#This Row],[Material]]="","",IF(LEFT(tblMovement[[#This Row],[Material]],3)="Ore",1,0))</f>
        <v/>
      </c>
      <c r="N417" s="59">
        <f>IF(OR(tblMovement[[#This Row],[Tonnes_t]]="",tblMovement[[#This Row],[Grade_gpt]]=""),0,tblMovement[[#This Row],[Tonnes_t]]*tblMovement[[#This Row],[Grade_gpt]]/cfg_TroyOz)</f>
        <v/>
      </c>
      <c r="O417" s="59">
        <f>IF(tblMovement[[#This Row],[Is_Ore]]=1,tblMovement[[#This Row],[Contained_oz]],0)</f>
        <v/>
      </c>
    </row>
    <row r="418">
      <c r="A418" s="54" t="n"/>
      <c r="B418" s="61" t="n"/>
      <c r="C418" s="61" t="n"/>
      <c r="D418" s="61" t="n"/>
      <c r="E418" s="61" t="n"/>
      <c r="F418" s="55" t="n"/>
      <c r="G418" s="56" t="n"/>
      <c r="H418" s="55" t="n"/>
      <c r="I418" s="62" t="n"/>
      <c r="J418" s="58" t="n"/>
      <c r="K418" s="63">
        <f>IF(tblMovement[[#This Row],[Source]]="","",IFERROR(INDEX(tblSources[Type],MATCH(tblMovement[[#This Row],[Source]],tblSources[Source],0)),"?"))</f>
        <v/>
      </c>
      <c r="L418" s="63">
        <f>IF(tblMovement[[#This Row],[Destination]]="","",IFERROR(INDEX(tblDestinations[Type],MATCH(tblMovement[[#This Row],[Destination]],tblDestinations[Destination],0)),"?"))</f>
        <v/>
      </c>
      <c r="M418" s="64">
        <f>IF(tblMovement[[#This Row],[Material]]="","",IF(LEFT(tblMovement[[#This Row],[Material]],3)="Ore",1,0))</f>
        <v/>
      </c>
      <c r="N418" s="59">
        <f>IF(OR(tblMovement[[#This Row],[Tonnes_t]]="",tblMovement[[#This Row],[Grade_gpt]]=""),0,tblMovement[[#This Row],[Tonnes_t]]*tblMovement[[#This Row],[Grade_gpt]]/cfg_TroyOz)</f>
        <v/>
      </c>
      <c r="O418" s="59">
        <f>IF(tblMovement[[#This Row],[Is_Ore]]=1,tblMovement[[#This Row],[Contained_oz]],0)</f>
        <v/>
      </c>
    </row>
    <row r="419">
      <c r="A419" s="54" t="n"/>
      <c r="B419" s="61" t="n"/>
      <c r="C419" s="61" t="n"/>
      <c r="D419" s="61" t="n"/>
      <c r="E419" s="61" t="n"/>
      <c r="F419" s="55" t="n"/>
      <c r="G419" s="56" t="n"/>
      <c r="H419" s="55" t="n"/>
      <c r="I419" s="62" t="n"/>
      <c r="J419" s="58" t="n"/>
      <c r="K419" s="63">
        <f>IF(tblMovement[[#This Row],[Source]]="","",IFERROR(INDEX(tblSources[Type],MATCH(tblMovement[[#This Row],[Source]],tblSources[Source],0)),"?"))</f>
        <v/>
      </c>
      <c r="L419" s="63">
        <f>IF(tblMovement[[#This Row],[Destination]]="","",IFERROR(INDEX(tblDestinations[Type],MATCH(tblMovement[[#This Row],[Destination]],tblDestinations[Destination],0)),"?"))</f>
        <v/>
      </c>
      <c r="M419" s="64">
        <f>IF(tblMovement[[#This Row],[Material]]="","",IF(LEFT(tblMovement[[#This Row],[Material]],3)="Ore",1,0))</f>
        <v/>
      </c>
      <c r="N419" s="59">
        <f>IF(OR(tblMovement[[#This Row],[Tonnes_t]]="",tblMovement[[#This Row],[Grade_gpt]]=""),0,tblMovement[[#This Row],[Tonnes_t]]*tblMovement[[#This Row],[Grade_gpt]]/cfg_TroyOz)</f>
        <v/>
      </c>
      <c r="O419" s="59">
        <f>IF(tblMovement[[#This Row],[Is_Ore]]=1,tblMovement[[#This Row],[Contained_oz]],0)</f>
        <v/>
      </c>
    </row>
    <row r="420">
      <c r="A420" s="54" t="n"/>
      <c r="B420" s="61" t="n"/>
      <c r="C420" s="61" t="n"/>
      <c r="D420" s="61" t="n"/>
      <c r="E420" s="61" t="n"/>
      <c r="F420" s="55" t="n"/>
      <c r="G420" s="56" t="n"/>
      <c r="H420" s="55" t="n"/>
      <c r="I420" s="62" t="n"/>
      <c r="J420" s="58" t="n"/>
      <c r="K420" s="63">
        <f>IF(tblMovement[[#This Row],[Source]]="","",IFERROR(INDEX(tblSources[Type],MATCH(tblMovement[[#This Row],[Source]],tblSources[Source],0)),"?"))</f>
        <v/>
      </c>
      <c r="L420" s="63">
        <f>IF(tblMovement[[#This Row],[Destination]]="","",IFERROR(INDEX(tblDestinations[Type],MATCH(tblMovement[[#This Row],[Destination]],tblDestinations[Destination],0)),"?"))</f>
        <v/>
      </c>
      <c r="M420" s="64">
        <f>IF(tblMovement[[#This Row],[Material]]="","",IF(LEFT(tblMovement[[#This Row],[Material]],3)="Ore",1,0))</f>
        <v/>
      </c>
      <c r="N420" s="59">
        <f>IF(OR(tblMovement[[#This Row],[Tonnes_t]]="",tblMovement[[#This Row],[Grade_gpt]]=""),0,tblMovement[[#This Row],[Tonnes_t]]*tblMovement[[#This Row],[Grade_gpt]]/cfg_TroyOz)</f>
        <v/>
      </c>
      <c r="O420" s="59">
        <f>IF(tblMovement[[#This Row],[Is_Ore]]=1,tblMovement[[#This Row],[Contained_oz]],0)</f>
        <v/>
      </c>
    </row>
    <row r="421">
      <c r="A421" s="54" t="n"/>
      <c r="B421" s="61" t="n"/>
      <c r="C421" s="61" t="n"/>
      <c r="D421" s="61" t="n"/>
      <c r="E421" s="61" t="n"/>
      <c r="F421" s="55" t="n"/>
      <c r="G421" s="56" t="n"/>
      <c r="H421" s="55" t="n"/>
      <c r="I421" s="62" t="n"/>
      <c r="J421" s="58" t="n"/>
      <c r="K421" s="63">
        <f>IF(tblMovement[[#This Row],[Source]]="","",IFERROR(INDEX(tblSources[Type],MATCH(tblMovement[[#This Row],[Source]],tblSources[Source],0)),"?"))</f>
        <v/>
      </c>
      <c r="L421" s="63">
        <f>IF(tblMovement[[#This Row],[Destination]]="","",IFERROR(INDEX(tblDestinations[Type],MATCH(tblMovement[[#This Row],[Destination]],tblDestinations[Destination],0)),"?"))</f>
        <v/>
      </c>
      <c r="M421" s="64">
        <f>IF(tblMovement[[#This Row],[Material]]="","",IF(LEFT(tblMovement[[#This Row],[Material]],3)="Ore",1,0))</f>
        <v/>
      </c>
      <c r="N421" s="59">
        <f>IF(OR(tblMovement[[#This Row],[Tonnes_t]]="",tblMovement[[#This Row],[Grade_gpt]]=""),0,tblMovement[[#This Row],[Tonnes_t]]*tblMovement[[#This Row],[Grade_gpt]]/cfg_TroyOz)</f>
        <v/>
      </c>
      <c r="O421" s="59">
        <f>IF(tblMovement[[#This Row],[Is_Ore]]=1,tblMovement[[#This Row],[Contained_oz]],0)</f>
        <v/>
      </c>
    </row>
    <row r="422">
      <c r="A422" s="54" t="n"/>
      <c r="B422" s="61" t="n"/>
      <c r="C422" s="61" t="n"/>
      <c r="D422" s="61" t="n"/>
      <c r="E422" s="61" t="n"/>
      <c r="F422" s="55" t="n"/>
      <c r="G422" s="56" t="n"/>
      <c r="H422" s="55" t="n"/>
      <c r="I422" s="62" t="n"/>
      <c r="J422" s="58" t="n"/>
      <c r="K422" s="63">
        <f>IF(tblMovement[[#This Row],[Source]]="","",IFERROR(INDEX(tblSources[Type],MATCH(tblMovement[[#This Row],[Source]],tblSources[Source],0)),"?"))</f>
        <v/>
      </c>
      <c r="L422" s="63">
        <f>IF(tblMovement[[#This Row],[Destination]]="","",IFERROR(INDEX(tblDestinations[Type],MATCH(tblMovement[[#This Row],[Destination]],tblDestinations[Destination],0)),"?"))</f>
        <v/>
      </c>
      <c r="M422" s="64">
        <f>IF(tblMovement[[#This Row],[Material]]="","",IF(LEFT(tblMovement[[#This Row],[Material]],3)="Ore",1,0))</f>
        <v/>
      </c>
      <c r="N422" s="59">
        <f>IF(OR(tblMovement[[#This Row],[Tonnes_t]]="",tblMovement[[#This Row],[Grade_gpt]]=""),0,tblMovement[[#This Row],[Tonnes_t]]*tblMovement[[#This Row],[Grade_gpt]]/cfg_TroyOz)</f>
        <v/>
      </c>
      <c r="O422" s="59">
        <f>IF(tblMovement[[#This Row],[Is_Ore]]=1,tblMovement[[#This Row],[Contained_oz]],0)</f>
        <v/>
      </c>
    </row>
    <row r="423">
      <c r="A423" s="54" t="n"/>
      <c r="B423" s="61" t="n"/>
      <c r="C423" s="61" t="n"/>
      <c r="D423" s="61" t="n"/>
      <c r="E423" s="61" t="n"/>
      <c r="F423" s="55" t="n"/>
      <c r="G423" s="56" t="n"/>
      <c r="H423" s="55" t="n"/>
      <c r="I423" s="62" t="n"/>
      <c r="J423" s="58" t="n"/>
      <c r="K423" s="63">
        <f>IF(tblMovement[[#This Row],[Source]]="","",IFERROR(INDEX(tblSources[Type],MATCH(tblMovement[[#This Row],[Source]],tblSources[Source],0)),"?"))</f>
        <v/>
      </c>
      <c r="L423" s="63">
        <f>IF(tblMovement[[#This Row],[Destination]]="","",IFERROR(INDEX(tblDestinations[Type],MATCH(tblMovement[[#This Row],[Destination]],tblDestinations[Destination],0)),"?"))</f>
        <v/>
      </c>
      <c r="M423" s="64">
        <f>IF(tblMovement[[#This Row],[Material]]="","",IF(LEFT(tblMovement[[#This Row],[Material]],3)="Ore",1,0))</f>
        <v/>
      </c>
      <c r="N423" s="59">
        <f>IF(OR(tblMovement[[#This Row],[Tonnes_t]]="",tblMovement[[#This Row],[Grade_gpt]]=""),0,tblMovement[[#This Row],[Tonnes_t]]*tblMovement[[#This Row],[Grade_gpt]]/cfg_TroyOz)</f>
        <v/>
      </c>
      <c r="O423" s="59">
        <f>IF(tblMovement[[#This Row],[Is_Ore]]=1,tblMovement[[#This Row],[Contained_oz]],0)</f>
        <v/>
      </c>
    </row>
    <row r="424">
      <c r="A424" s="54" t="n"/>
      <c r="B424" s="61" t="n"/>
      <c r="C424" s="61" t="n"/>
      <c r="D424" s="61" t="n"/>
      <c r="E424" s="61" t="n"/>
      <c r="F424" s="55" t="n"/>
      <c r="G424" s="56" t="n"/>
      <c r="H424" s="55" t="n"/>
      <c r="I424" s="62" t="n"/>
      <c r="J424" s="58" t="n"/>
      <c r="K424" s="63">
        <f>IF(tblMovement[[#This Row],[Source]]="","",IFERROR(INDEX(tblSources[Type],MATCH(tblMovement[[#This Row],[Source]],tblSources[Source],0)),"?"))</f>
        <v/>
      </c>
      <c r="L424" s="63">
        <f>IF(tblMovement[[#This Row],[Destination]]="","",IFERROR(INDEX(tblDestinations[Type],MATCH(tblMovement[[#This Row],[Destination]],tblDestinations[Destination],0)),"?"))</f>
        <v/>
      </c>
      <c r="M424" s="64">
        <f>IF(tblMovement[[#This Row],[Material]]="","",IF(LEFT(tblMovement[[#This Row],[Material]],3)="Ore",1,0))</f>
        <v/>
      </c>
      <c r="N424" s="59">
        <f>IF(OR(tblMovement[[#This Row],[Tonnes_t]]="",tblMovement[[#This Row],[Grade_gpt]]=""),0,tblMovement[[#This Row],[Tonnes_t]]*tblMovement[[#This Row],[Grade_gpt]]/cfg_TroyOz)</f>
        <v/>
      </c>
      <c r="O424" s="59">
        <f>IF(tblMovement[[#This Row],[Is_Ore]]=1,tblMovement[[#This Row],[Contained_oz]],0)</f>
        <v/>
      </c>
    </row>
    <row r="425">
      <c r="A425" s="54" t="n"/>
      <c r="B425" s="61" t="n"/>
      <c r="C425" s="61" t="n"/>
      <c r="D425" s="61" t="n"/>
      <c r="E425" s="61" t="n"/>
      <c r="F425" s="55" t="n"/>
      <c r="G425" s="56" t="n"/>
      <c r="H425" s="55" t="n"/>
      <c r="I425" s="62" t="n"/>
      <c r="J425" s="58" t="n"/>
      <c r="K425" s="63">
        <f>IF(tblMovement[[#This Row],[Source]]="","",IFERROR(INDEX(tblSources[Type],MATCH(tblMovement[[#This Row],[Source]],tblSources[Source],0)),"?"))</f>
        <v/>
      </c>
      <c r="L425" s="63">
        <f>IF(tblMovement[[#This Row],[Destination]]="","",IFERROR(INDEX(tblDestinations[Type],MATCH(tblMovement[[#This Row],[Destination]],tblDestinations[Destination],0)),"?"))</f>
        <v/>
      </c>
      <c r="M425" s="64">
        <f>IF(tblMovement[[#This Row],[Material]]="","",IF(LEFT(tblMovement[[#This Row],[Material]],3)="Ore",1,0))</f>
        <v/>
      </c>
      <c r="N425" s="59">
        <f>IF(OR(tblMovement[[#This Row],[Tonnes_t]]="",tblMovement[[#This Row],[Grade_gpt]]=""),0,tblMovement[[#This Row],[Tonnes_t]]*tblMovement[[#This Row],[Grade_gpt]]/cfg_TroyOz)</f>
        <v/>
      </c>
      <c r="O425" s="59">
        <f>IF(tblMovement[[#This Row],[Is_Ore]]=1,tblMovement[[#This Row],[Contained_oz]],0)</f>
        <v/>
      </c>
    </row>
    <row r="426">
      <c r="A426" s="54" t="n"/>
      <c r="B426" s="61" t="n"/>
      <c r="C426" s="61" t="n"/>
      <c r="D426" s="61" t="n"/>
      <c r="E426" s="61" t="n"/>
      <c r="F426" s="55" t="n"/>
      <c r="G426" s="56" t="n"/>
      <c r="H426" s="55" t="n"/>
      <c r="I426" s="62" t="n"/>
      <c r="J426" s="58" t="n"/>
      <c r="K426" s="63">
        <f>IF(tblMovement[[#This Row],[Source]]="","",IFERROR(INDEX(tblSources[Type],MATCH(tblMovement[[#This Row],[Source]],tblSources[Source],0)),"?"))</f>
        <v/>
      </c>
      <c r="L426" s="63">
        <f>IF(tblMovement[[#This Row],[Destination]]="","",IFERROR(INDEX(tblDestinations[Type],MATCH(tblMovement[[#This Row],[Destination]],tblDestinations[Destination],0)),"?"))</f>
        <v/>
      </c>
      <c r="M426" s="64">
        <f>IF(tblMovement[[#This Row],[Material]]="","",IF(LEFT(tblMovement[[#This Row],[Material]],3)="Ore",1,0))</f>
        <v/>
      </c>
      <c r="N426" s="59">
        <f>IF(OR(tblMovement[[#This Row],[Tonnes_t]]="",tblMovement[[#This Row],[Grade_gpt]]=""),0,tblMovement[[#This Row],[Tonnes_t]]*tblMovement[[#This Row],[Grade_gpt]]/cfg_TroyOz)</f>
        <v/>
      </c>
      <c r="O426" s="59">
        <f>IF(tblMovement[[#This Row],[Is_Ore]]=1,tblMovement[[#This Row],[Contained_oz]],0)</f>
        <v/>
      </c>
    </row>
    <row r="427">
      <c r="A427" s="54" t="n"/>
      <c r="B427" s="61" t="n"/>
      <c r="C427" s="61" t="n"/>
      <c r="D427" s="61" t="n"/>
      <c r="E427" s="61" t="n"/>
      <c r="F427" s="55" t="n"/>
      <c r="G427" s="56" t="n"/>
      <c r="H427" s="55" t="n"/>
      <c r="I427" s="62" t="n"/>
      <c r="J427" s="58" t="n"/>
      <c r="K427" s="63">
        <f>IF(tblMovement[[#This Row],[Source]]="","",IFERROR(INDEX(tblSources[Type],MATCH(tblMovement[[#This Row],[Source]],tblSources[Source],0)),"?"))</f>
        <v/>
      </c>
      <c r="L427" s="63">
        <f>IF(tblMovement[[#This Row],[Destination]]="","",IFERROR(INDEX(tblDestinations[Type],MATCH(tblMovement[[#This Row],[Destination]],tblDestinations[Destination],0)),"?"))</f>
        <v/>
      </c>
      <c r="M427" s="64">
        <f>IF(tblMovement[[#This Row],[Material]]="","",IF(LEFT(tblMovement[[#This Row],[Material]],3)="Ore",1,0))</f>
        <v/>
      </c>
      <c r="N427" s="59">
        <f>IF(OR(tblMovement[[#This Row],[Tonnes_t]]="",tblMovement[[#This Row],[Grade_gpt]]=""),0,tblMovement[[#This Row],[Tonnes_t]]*tblMovement[[#This Row],[Grade_gpt]]/cfg_TroyOz)</f>
        <v/>
      </c>
      <c r="O427" s="59">
        <f>IF(tblMovement[[#This Row],[Is_Ore]]=1,tblMovement[[#This Row],[Contained_oz]],0)</f>
        <v/>
      </c>
    </row>
    <row r="428">
      <c r="A428" s="54" t="n"/>
      <c r="B428" s="61" t="n"/>
      <c r="C428" s="61" t="n"/>
      <c r="D428" s="61" t="n"/>
      <c r="E428" s="61" t="n"/>
      <c r="F428" s="55" t="n"/>
      <c r="G428" s="56" t="n"/>
      <c r="H428" s="55" t="n"/>
      <c r="I428" s="62" t="n"/>
      <c r="J428" s="58" t="n"/>
      <c r="K428" s="63">
        <f>IF(tblMovement[[#This Row],[Source]]="","",IFERROR(INDEX(tblSources[Type],MATCH(tblMovement[[#This Row],[Source]],tblSources[Source],0)),"?"))</f>
        <v/>
      </c>
      <c r="L428" s="63">
        <f>IF(tblMovement[[#This Row],[Destination]]="","",IFERROR(INDEX(tblDestinations[Type],MATCH(tblMovement[[#This Row],[Destination]],tblDestinations[Destination],0)),"?"))</f>
        <v/>
      </c>
      <c r="M428" s="64">
        <f>IF(tblMovement[[#This Row],[Material]]="","",IF(LEFT(tblMovement[[#This Row],[Material]],3)="Ore",1,0))</f>
        <v/>
      </c>
      <c r="N428" s="59">
        <f>IF(OR(tblMovement[[#This Row],[Tonnes_t]]="",tblMovement[[#This Row],[Grade_gpt]]=""),0,tblMovement[[#This Row],[Tonnes_t]]*tblMovement[[#This Row],[Grade_gpt]]/cfg_TroyOz)</f>
        <v/>
      </c>
      <c r="O428" s="59">
        <f>IF(tblMovement[[#This Row],[Is_Ore]]=1,tblMovement[[#This Row],[Contained_oz]],0)</f>
        <v/>
      </c>
    </row>
    <row r="429">
      <c r="A429" s="54" t="n"/>
      <c r="B429" s="61" t="n"/>
      <c r="C429" s="61" t="n"/>
      <c r="D429" s="61" t="n"/>
      <c r="E429" s="61" t="n"/>
      <c r="F429" s="55" t="n"/>
      <c r="G429" s="56" t="n"/>
      <c r="H429" s="55" t="n"/>
      <c r="I429" s="62" t="n"/>
      <c r="J429" s="58" t="n"/>
      <c r="K429" s="63">
        <f>IF(tblMovement[[#This Row],[Source]]="","",IFERROR(INDEX(tblSources[Type],MATCH(tblMovement[[#This Row],[Source]],tblSources[Source],0)),"?"))</f>
        <v/>
      </c>
      <c r="L429" s="63">
        <f>IF(tblMovement[[#This Row],[Destination]]="","",IFERROR(INDEX(tblDestinations[Type],MATCH(tblMovement[[#This Row],[Destination]],tblDestinations[Destination],0)),"?"))</f>
        <v/>
      </c>
      <c r="M429" s="64">
        <f>IF(tblMovement[[#This Row],[Material]]="","",IF(LEFT(tblMovement[[#This Row],[Material]],3)="Ore",1,0))</f>
        <v/>
      </c>
      <c r="N429" s="59">
        <f>IF(OR(tblMovement[[#This Row],[Tonnes_t]]="",tblMovement[[#This Row],[Grade_gpt]]=""),0,tblMovement[[#This Row],[Tonnes_t]]*tblMovement[[#This Row],[Grade_gpt]]/cfg_TroyOz)</f>
        <v/>
      </c>
      <c r="O429" s="59">
        <f>IF(tblMovement[[#This Row],[Is_Ore]]=1,tblMovement[[#This Row],[Contained_oz]],0)</f>
        <v/>
      </c>
    </row>
    <row r="430">
      <c r="A430" s="54" t="n"/>
      <c r="B430" s="61" t="n"/>
      <c r="C430" s="61" t="n"/>
      <c r="D430" s="61" t="n"/>
      <c r="E430" s="61" t="n"/>
      <c r="F430" s="55" t="n"/>
      <c r="G430" s="56" t="n"/>
      <c r="H430" s="55" t="n"/>
      <c r="I430" s="62" t="n"/>
      <c r="J430" s="58" t="n"/>
      <c r="K430" s="63">
        <f>IF(tblMovement[[#This Row],[Source]]="","",IFERROR(INDEX(tblSources[Type],MATCH(tblMovement[[#This Row],[Source]],tblSources[Source],0)),"?"))</f>
        <v/>
      </c>
      <c r="L430" s="63">
        <f>IF(tblMovement[[#This Row],[Destination]]="","",IFERROR(INDEX(tblDestinations[Type],MATCH(tblMovement[[#This Row],[Destination]],tblDestinations[Destination],0)),"?"))</f>
        <v/>
      </c>
      <c r="M430" s="64">
        <f>IF(tblMovement[[#This Row],[Material]]="","",IF(LEFT(tblMovement[[#This Row],[Material]],3)="Ore",1,0))</f>
        <v/>
      </c>
      <c r="N430" s="59">
        <f>IF(OR(tblMovement[[#This Row],[Tonnes_t]]="",tblMovement[[#This Row],[Grade_gpt]]=""),0,tblMovement[[#This Row],[Tonnes_t]]*tblMovement[[#This Row],[Grade_gpt]]/cfg_TroyOz)</f>
        <v/>
      </c>
      <c r="O430" s="59">
        <f>IF(tblMovement[[#This Row],[Is_Ore]]=1,tblMovement[[#This Row],[Contained_oz]],0)</f>
        <v/>
      </c>
    </row>
    <row r="431">
      <c r="A431" s="54" t="n"/>
      <c r="B431" s="61" t="n"/>
      <c r="C431" s="61" t="n"/>
      <c r="D431" s="61" t="n"/>
      <c r="E431" s="61" t="n"/>
      <c r="F431" s="55" t="n"/>
      <c r="G431" s="56" t="n"/>
      <c r="H431" s="55" t="n"/>
      <c r="I431" s="62" t="n"/>
      <c r="J431" s="58" t="n"/>
      <c r="K431" s="63">
        <f>IF(tblMovement[[#This Row],[Source]]="","",IFERROR(INDEX(tblSources[Type],MATCH(tblMovement[[#This Row],[Source]],tblSources[Source],0)),"?"))</f>
        <v/>
      </c>
      <c r="L431" s="63">
        <f>IF(tblMovement[[#This Row],[Destination]]="","",IFERROR(INDEX(tblDestinations[Type],MATCH(tblMovement[[#This Row],[Destination]],tblDestinations[Destination],0)),"?"))</f>
        <v/>
      </c>
      <c r="M431" s="64">
        <f>IF(tblMovement[[#This Row],[Material]]="","",IF(LEFT(tblMovement[[#This Row],[Material]],3)="Ore",1,0))</f>
        <v/>
      </c>
      <c r="N431" s="59">
        <f>IF(OR(tblMovement[[#This Row],[Tonnes_t]]="",tblMovement[[#This Row],[Grade_gpt]]=""),0,tblMovement[[#This Row],[Tonnes_t]]*tblMovement[[#This Row],[Grade_gpt]]/cfg_TroyOz)</f>
        <v/>
      </c>
      <c r="O431" s="59">
        <f>IF(tblMovement[[#This Row],[Is_Ore]]=1,tblMovement[[#This Row],[Contained_oz]],0)</f>
        <v/>
      </c>
    </row>
    <row r="432">
      <c r="A432" s="54" t="n"/>
      <c r="B432" s="61" t="n"/>
      <c r="C432" s="61" t="n"/>
      <c r="D432" s="61" t="n"/>
      <c r="E432" s="61" t="n"/>
      <c r="F432" s="55" t="n"/>
      <c r="G432" s="56" t="n"/>
      <c r="H432" s="55" t="n"/>
      <c r="I432" s="62" t="n"/>
      <c r="J432" s="58" t="n"/>
      <c r="K432" s="63">
        <f>IF(tblMovement[[#This Row],[Source]]="","",IFERROR(INDEX(tblSources[Type],MATCH(tblMovement[[#This Row],[Source]],tblSources[Source],0)),"?"))</f>
        <v/>
      </c>
      <c r="L432" s="63">
        <f>IF(tblMovement[[#This Row],[Destination]]="","",IFERROR(INDEX(tblDestinations[Type],MATCH(tblMovement[[#This Row],[Destination]],tblDestinations[Destination],0)),"?"))</f>
        <v/>
      </c>
      <c r="M432" s="64">
        <f>IF(tblMovement[[#This Row],[Material]]="","",IF(LEFT(tblMovement[[#This Row],[Material]],3)="Ore",1,0))</f>
        <v/>
      </c>
      <c r="N432" s="59">
        <f>IF(OR(tblMovement[[#This Row],[Tonnes_t]]="",tblMovement[[#This Row],[Grade_gpt]]=""),0,tblMovement[[#This Row],[Tonnes_t]]*tblMovement[[#This Row],[Grade_gpt]]/cfg_TroyOz)</f>
        <v/>
      </c>
      <c r="O432" s="59">
        <f>IF(tblMovement[[#This Row],[Is_Ore]]=1,tblMovement[[#This Row],[Contained_oz]],0)</f>
        <v/>
      </c>
    </row>
    <row r="433">
      <c r="A433" s="54" t="n"/>
      <c r="B433" s="61" t="n"/>
      <c r="C433" s="61" t="n"/>
      <c r="D433" s="61" t="n"/>
      <c r="E433" s="61" t="n"/>
      <c r="F433" s="55" t="n"/>
      <c r="G433" s="56" t="n"/>
      <c r="H433" s="55" t="n"/>
      <c r="I433" s="62" t="n"/>
      <c r="J433" s="58" t="n"/>
      <c r="K433" s="63">
        <f>IF(tblMovement[[#This Row],[Source]]="","",IFERROR(INDEX(tblSources[Type],MATCH(tblMovement[[#This Row],[Source]],tblSources[Source],0)),"?"))</f>
        <v/>
      </c>
      <c r="L433" s="63">
        <f>IF(tblMovement[[#This Row],[Destination]]="","",IFERROR(INDEX(tblDestinations[Type],MATCH(tblMovement[[#This Row],[Destination]],tblDestinations[Destination],0)),"?"))</f>
        <v/>
      </c>
      <c r="M433" s="64">
        <f>IF(tblMovement[[#This Row],[Material]]="","",IF(LEFT(tblMovement[[#This Row],[Material]],3)="Ore",1,0))</f>
        <v/>
      </c>
      <c r="N433" s="59">
        <f>IF(OR(tblMovement[[#This Row],[Tonnes_t]]="",tblMovement[[#This Row],[Grade_gpt]]=""),0,tblMovement[[#This Row],[Tonnes_t]]*tblMovement[[#This Row],[Grade_gpt]]/cfg_TroyOz)</f>
        <v/>
      </c>
      <c r="O433" s="59">
        <f>IF(tblMovement[[#This Row],[Is_Ore]]=1,tblMovement[[#This Row],[Contained_oz]],0)</f>
        <v/>
      </c>
    </row>
    <row r="434">
      <c r="A434" s="54" t="n"/>
      <c r="B434" s="61" t="n"/>
      <c r="C434" s="61" t="n"/>
      <c r="D434" s="61" t="n"/>
      <c r="E434" s="61" t="n"/>
      <c r="F434" s="55" t="n"/>
      <c r="G434" s="56" t="n"/>
      <c r="H434" s="55" t="n"/>
      <c r="I434" s="62" t="n"/>
      <c r="J434" s="58" t="n"/>
      <c r="K434" s="63">
        <f>IF(tblMovement[[#This Row],[Source]]="","",IFERROR(INDEX(tblSources[Type],MATCH(tblMovement[[#This Row],[Source]],tblSources[Source],0)),"?"))</f>
        <v/>
      </c>
      <c r="L434" s="63">
        <f>IF(tblMovement[[#This Row],[Destination]]="","",IFERROR(INDEX(tblDestinations[Type],MATCH(tblMovement[[#This Row],[Destination]],tblDestinations[Destination],0)),"?"))</f>
        <v/>
      </c>
      <c r="M434" s="64">
        <f>IF(tblMovement[[#This Row],[Material]]="","",IF(LEFT(tblMovement[[#This Row],[Material]],3)="Ore",1,0))</f>
        <v/>
      </c>
      <c r="N434" s="59">
        <f>IF(OR(tblMovement[[#This Row],[Tonnes_t]]="",tblMovement[[#This Row],[Grade_gpt]]=""),0,tblMovement[[#This Row],[Tonnes_t]]*tblMovement[[#This Row],[Grade_gpt]]/cfg_TroyOz)</f>
        <v/>
      </c>
      <c r="O434" s="59">
        <f>IF(tblMovement[[#This Row],[Is_Ore]]=1,tblMovement[[#This Row],[Contained_oz]],0)</f>
        <v/>
      </c>
    </row>
    <row r="435">
      <c r="A435" s="54" t="n"/>
      <c r="B435" s="61" t="n"/>
      <c r="C435" s="61" t="n"/>
      <c r="D435" s="61" t="n"/>
      <c r="E435" s="61" t="n"/>
      <c r="F435" s="55" t="n"/>
      <c r="G435" s="56" t="n"/>
      <c r="H435" s="55" t="n"/>
      <c r="I435" s="62" t="n"/>
      <c r="J435" s="58" t="n"/>
      <c r="K435" s="63">
        <f>IF(tblMovement[[#This Row],[Source]]="","",IFERROR(INDEX(tblSources[Type],MATCH(tblMovement[[#This Row],[Source]],tblSources[Source],0)),"?"))</f>
        <v/>
      </c>
      <c r="L435" s="63">
        <f>IF(tblMovement[[#This Row],[Destination]]="","",IFERROR(INDEX(tblDestinations[Type],MATCH(tblMovement[[#This Row],[Destination]],tblDestinations[Destination],0)),"?"))</f>
        <v/>
      </c>
      <c r="M435" s="64">
        <f>IF(tblMovement[[#This Row],[Material]]="","",IF(LEFT(tblMovement[[#This Row],[Material]],3)="Ore",1,0))</f>
        <v/>
      </c>
      <c r="N435" s="59">
        <f>IF(OR(tblMovement[[#This Row],[Tonnes_t]]="",tblMovement[[#This Row],[Grade_gpt]]=""),0,tblMovement[[#This Row],[Tonnes_t]]*tblMovement[[#This Row],[Grade_gpt]]/cfg_TroyOz)</f>
        <v/>
      </c>
      <c r="O435" s="59">
        <f>IF(tblMovement[[#This Row],[Is_Ore]]=1,tblMovement[[#This Row],[Contained_oz]],0)</f>
        <v/>
      </c>
    </row>
    <row r="436">
      <c r="A436" s="54" t="n"/>
      <c r="B436" s="61" t="n"/>
      <c r="C436" s="61" t="n"/>
      <c r="D436" s="61" t="n"/>
      <c r="E436" s="61" t="n"/>
      <c r="F436" s="55" t="n"/>
      <c r="G436" s="56" t="n"/>
      <c r="H436" s="55" t="n"/>
      <c r="I436" s="62" t="n"/>
      <c r="J436" s="58" t="n"/>
      <c r="K436" s="63">
        <f>IF(tblMovement[[#This Row],[Source]]="","",IFERROR(INDEX(tblSources[Type],MATCH(tblMovement[[#This Row],[Source]],tblSources[Source],0)),"?"))</f>
        <v/>
      </c>
      <c r="L436" s="63">
        <f>IF(tblMovement[[#This Row],[Destination]]="","",IFERROR(INDEX(tblDestinations[Type],MATCH(tblMovement[[#This Row],[Destination]],tblDestinations[Destination],0)),"?"))</f>
        <v/>
      </c>
      <c r="M436" s="64">
        <f>IF(tblMovement[[#This Row],[Material]]="","",IF(LEFT(tblMovement[[#This Row],[Material]],3)="Ore",1,0))</f>
        <v/>
      </c>
      <c r="N436" s="59">
        <f>IF(OR(tblMovement[[#This Row],[Tonnes_t]]="",tblMovement[[#This Row],[Grade_gpt]]=""),0,tblMovement[[#This Row],[Tonnes_t]]*tblMovement[[#This Row],[Grade_gpt]]/cfg_TroyOz)</f>
        <v/>
      </c>
      <c r="O436" s="59">
        <f>IF(tblMovement[[#This Row],[Is_Ore]]=1,tblMovement[[#This Row],[Contained_oz]],0)</f>
        <v/>
      </c>
    </row>
    <row r="437">
      <c r="A437" s="54" t="n"/>
      <c r="B437" s="61" t="n"/>
      <c r="C437" s="61" t="n"/>
      <c r="D437" s="61" t="n"/>
      <c r="E437" s="61" t="n"/>
      <c r="F437" s="55" t="n"/>
      <c r="G437" s="56" t="n"/>
      <c r="H437" s="55" t="n"/>
      <c r="I437" s="62" t="n"/>
      <c r="J437" s="58" t="n"/>
      <c r="K437" s="63">
        <f>IF(tblMovement[[#This Row],[Source]]="","",IFERROR(INDEX(tblSources[Type],MATCH(tblMovement[[#This Row],[Source]],tblSources[Source],0)),"?"))</f>
        <v/>
      </c>
      <c r="L437" s="63">
        <f>IF(tblMovement[[#This Row],[Destination]]="","",IFERROR(INDEX(tblDestinations[Type],MATCH(tblMovement[[#This Row],[Destination]],tblDestinations[Destination],0)),"?"))</f>
        <v/>
      </c>
      <c r="M437" s="64">
        <f>IF(tblMovement[[#This Row],[Material]]="","",IF(LEFT(tblMovement[[#This Row],[Material]],3)="Ore",1,0))</f>
        <v/>
      </c>
      <c r="N437" s="59">
        <f>IF(OR(tblMovement[[#This Row],[Tonnes_t]]="",tblMovement[[#This Row],[Grade_gpt]]=""),0,tblMovement[[#This Row],[Tonnes_t]]*tblMovement[[#This Row],[Grade_gpt]]/cfg_TroyOz)</f>
        <v/>
      </c>
      <c r="O437" s="59">
        <f>IF(tblMovement[[#This Row],[Is_Ore]]=1,tblMovement[[#This Row],[Contained_oz]],0)</f>
        <v/>
      </c>
    </row>
    <row r="438">
      <c r="A438" s="54" t="n"/>
      <c r="B438" s="61" t="n"/>
      <c r="C438" s="61" t="n"/>
      <c r="D438" s="61" t="n"/>
      <c r="E438" s="61" t="n"/>
      <c r="F438" s="55" t="n"/>
      <c r="G438" s="56" t="n"/>
      <c r="H438" s="55" t="n"/>
      <c r="I438" s="62" t="n"/>
      <c r="J438" s="58" t="n"/>
      <c r="K438" s="63">
        <f>IF(tblMovement[[#This Row],[Source]]="","",IFERROR(INDEX(tblSources[Type],MATCH(tblMovement[[#This Row],[Source]],tblSources[Source],0)),"?"))</f>
        <v/>
      </c>
      <c r="L438" s="63">
        <f>IF(tblMovement[[#This Row],[Destination]]="","",IFERROR(INDEX(tblDestinations[Type],MATCH(tblMovement[[#This Row],[Destination]],tblDestinations[Destination],0)),"?"))</f>
        <v/>
      </c>
      <c r="M438" s="64">
        <f>IF(tblMovement[[#This Row],[Material]]="","",IF(LEFT(tblMovement[[#This Row],[Material]],3)="Ore",1,0))</f>
        <v/>
      </c>
      <c r="N438" s="59">
        <f>IF(OR(tblMovement[[#This Row],[Tonnes_t]]="",tblMovement[[#This Row],[Grade_gpt]]=""),0,tblMovement[[#This Row],[Tonnes_t]]*tblMovement[[#This Row],[Grade_gpt]]/cfg_TroyOz)</f>
        <v/>
      </c>
      <c r="O438" s="59">
        <f>IF(tblMovement[[#This Row],[Is_Ore]]=1,tblMovement[[#This Row],[Contained_oz]],0)</f>
        <v/>
      </c>
    </row>
    <row r="439">
      <c r="A439" s="54" t="n"/>
      <c r="B439" s="61" t="n"/>
      <c r="C439" s="61" t="n"/>
      <c r="D439" s="61" t="n"/>
      <c r="E439" s="61" t="n"/>
      <c r="F439" s="55" t="n"/>
      <c r="G439" s="56" t="n"/>
      <c r="H439" s="55" t="n"/>
      <c r="I439" s="62" t="n"/>
      <c r="J439" s="58" t="n"/>
      <c r="K439" s="63">
        <f>IF(tblMovement[[#This Row],[Source]]="","",IFERROR(INDEX(tblSources[Type],MATCH(tblMovement[[#This Row],[Source]],tblSources[Source],0)),"?"))</f>
        <v/>
      </c>
      <c r="L439" s="63">
        <f>IF(tblMovement[[#This Row],[Destination]]="","",IFERROR(INDEX(tblDestinations[Type],MATCH(tblMovement[[#This Row],[Destination]],tblDestinations[Destination],0)),"?"))</f>
        <v/>
      </c>
      <c r="M439" s="64">
        <f>IF(tblMovement[[#This Row],[Material]]="","",IF(LEFT(tblMovement[[#This Row],[Material]],3)="Ore",1,0))</f>
        <v/>
      </c>
      <c r="N439" s="59">
        <f>IF(OR(tblMovement[[#This Row],[Tonnes_t]]="",tblMovement[[#This Row],[Grade_gpt]]=""),0,tblMovement[[#This Row],[Tonnes_t]]*tblMovement[[#This Row],[Grade_gpt]]/cfg_TroyOz)</f>
        <v/>
      </c>
      <c r="O439" s="59">
        <f>IF(tblMovement[[#This Row],[Is_Ore]]=1,tblMovement[[#This Row],[Contained_oz]],0)</f>
        <v/>
      </c>
    </row>
    <row r="440">
      <c r="A440" s="54" t="n"/>
      <c r="B440" s="61" t="n"/>
      <c r="C440" s="61" t="n"/>
      <c r="D440" s="61" t="n"/>
      <c r="E440" s="61" t="n"/>
      <c r="F440" s="55" t="n"/>
      <c r="G440" s="56" t="n"/>
      <c r="H440" s="55" t="n"/>
      <c r="I440" s="62" t="n"/>
      <c r="J440" s="58" t="n"/>
      <c r="K440" s="63">
        <f>IF(tblMovement[[#This Row],[Source]]="","",IFERROR(INDEX(tblSources[Type],MATCH(tblMovement[[#This Row],[Source]],tblSources[Source],0)),"?"))</f>
        <v/>
      </c>
      <c r="L440" s="63">
        <f>IF(tblMovement[[#This Row],[Destination]]="","",IFERROR(INDEX(tblDestinations[Type],MATCH(tblMovement[[#This Row],[Destination]],tblDestinations[Destination],0)),"?"))</f>
        <v/>
      </c>
      <c r="M440" s="64">
        <f>IF(tblMovement[[#This Row],[Material]]="","",IF(LEFT(tblMovement[[#This Row],[Material]],3)="Ore",1,0))</f>
        <v/>
      </c>
      <c r="N440" s="59">
        <f>IF(OR(tblMovement[[#This Row],[Tonnes_t]]="",tblMovement[[#This Row],[Grade_gpt]]=""),0,tblMovement[[#This Row],[Tonnes_t]]*tblMovement[[#This Row],[Grade_gpt]]/cfg_TroyOz)</f>
        <v/>
      </c>
      <c r="O440" s="59">
        <f>IF(tblMovement[[#This Row],[Is_Ore]]=1,tblMovement[[#This Row],[Contained_oz]],0)</f>
        <v/>
      </c>
    </row>
    <row r="441">
      <c r="A441" s="54" t="n"/>
      <c r="B441" s="61" t="n"/>
      <c r="C441" s="61" t="n"/>
      <c r="D441" s="61" t="n"/>
      <c r="E441" s="61" t="n"/>
      <c r="F441" s="55" t="n"/>
      <c r="G441" s="56" t="n"/>
      <c r="H441" s="55" t="n"/>
      <c r="I441" s="62" t="n"/>
      <c r="J441" s="58" t="n"/>
      <c r="K441" s="63">
        <f>IF(tblMovement[[#This Row],[Source]]="","",IFERROR(INDEX(tblSources[Type],MATCH(tblMovement[[#This Row],[Source]],tblSources[Source],0)),"?"))</f>
        <v/>
      </c>
      <c r="L441" s="63">
        <f>IF(tblMovement[[#This Row],[Destination]]="","",IFERROR(INDEX(tblDestinations[Type],MATCH(tblMovement[[#This Row],[Destination]],tblDestinations[Destination],0)),"?"))</f>
        <v/>
      </c>
      <c r="M441" s="64">
        <f>IF(tblMovement[[#This Row],[Material]]="","",IF(LEFT(tblMovement[[#This Row],[Material]],3)="Ore",1,0))</f>
        <v/>
      </c>
      <c r="N441" s="59">
        <f>IF(OR(tblMovement[[#This Row],[Tonnes_t]]="",tblMovement[[#This Row],[Grade_gpt]]=""),0,tblMovement[[#This Row],[Tonnes_t]]*tblMovement[[#This Row],[Grade_gpt]]/cfg_TroyOz)</f>
        <v/>
      </c>
      <c r="O441" s="59">
        <f>IF(tblMovement[[#This Row],[Is_Ore]]=1,tblMovement[[#This Row],[Contained_oz]],0)</f>
        <v/>
      </c>
    </row>
    <row r="442">
      <c r="A442" s="54" t="n"/>
      <c r="B442" s="61" t="n"/>
      <c r="C442" s="61" t="n"/>
      <c r="D442" s="61" t="n"/>
      <c r="E442" s="61" t="n"/>
      <c r="F442" s="55" t="n"/>
      <c r="G442" s="56" t="n"/>
      <c r="H442" s="55" t="n"/>
      <c r="I442" s="62" t="n"/>
      <c r="J442" s="58" t="n"/>
      <c r="K442" s="63">
        <f>IF(tblMovement[[#This Row],[Source]]="","",IFERROR(INDEX(tblSources[Type],MATCH(tblMovement[[#This Row],[Source]],tblSources[Source],0)),"?"))</f>
        <v/>
      </c>
      <c r="L442" s="63">
        <f>IF(tblMovement[[#This Row],[Destination]]="","",IFERROR(INDEX(tblDestinations[Type],MATCH(tblMovement[[#This Row],[Destination]],tblDestinations[Destination],0)),"?"))</f>
        <v/>
      </c>
      <c r="M442" s="64">
        <f>IF(tblMovement[[#This Row],[Material]]="","",IF(LEFT(tblMovement[[#This Row],[Material]],3)="Ore",1,0))</f>
        <v/>
      </c>
      <c r="N442" s="59">
        <f>IF(OR(tblMovement[[#This Row],[Tonnes_t]]="",tblMovement[[#This Row],[Grade_gpt]]=""),0,tblMovement[[#This Row],[Tonnes_t]]*tblMovement[[#This Row],[Grade_gpt]]/cfg_TroyOz)</f>
        <v/>
      </c>
      <c r="O442" s="59">
        <f>IF(tblMovement[[#This Row],[Is_Ore]]=1,tblMovement[[#This Row],[Contained_oz]],0)</f>
        <v/>
      </c>
    </row>
    <row r="443">
      <c r="A443" s="54" t="n"/>
      <c r="B443" s="61" t="n"/>
      <c r="C443" s="61" t="n"/>
      <c r="D443" s="61" t="n"/>
      <c r="E443" s="61" t="n"/>
      <c r="F443" s="55" t="n"/>
      <c r="G443" s="56" t="n"/>
      <c r="H443" s="55" t="n"/>
      <c r="I443" s="62" t="n"/>
      <c r="J443" s="58" t="n"/>
      <c r="K443" s="63">
        <f>IF(tblMovement[[#This Row],[Source]]="","",IFERROR(INDEX(tblSources[Type],MATCH(tblMovement[[#This Row],[Source]],tblSources[Source],0)),"?"))</f>
        <v/>
      </c>
      <c r="L443" s="63">
        <f>IF(tblMovement[[#This Row],[Destination]]="","",IFERROR(INDEX(tblDestinations[Type],MATCH(tblMovement[[#This Row],[Destination]],tblDestinations[Destination],0)),"?"))</f>
        <v/>
      </c>
      <c r="M443" s="64">
        <f>IF(tblMovement[[#This Row],[Material]]="","",IF(LEFT(tblMovement[[#This Row],[Material]],3)="Ore",1,0))</f>
        <v/>
      </c>
      <c r="N443" s="59">
        <f>IF(OR(tblMovement[[#This Row],[Tonnes_t]]="",tblMovement[[#This Row],[Grade_gpt]]=""),0,tblMovement[[#This Row],[Tonnes_t]]*tblMovement[[#This Row],[Grade_gpt]]/cfg_TroyOz)</f>
        <v/>
      </c>
      <c r="O443" s="59">
        <f>IF(tblMovement[[#This Row],[Is_Ore]]=1,tblMovement[[#This Row],[Contained_oz]],0)</f>
        <v/>
      </c>
    </row>
    <row r="444">
      <c r="A444" s="54" t="n"/>
      <c r="B444" s="61" t="n"/>
      <c r="C444" s="61" t="n"/>
      <c r="D444" s="61" t="n"/>
      <c r="E444" s="61" t="n"/>
      <c r="F444" s="55" t="n"/>
      <c r="G444" s="56" t="n"/>
      <c r="H444" s="55" t="n"/>
      <c r="I444" s="62" t="n"/>
      <c r="J444" s="58" t="n"/>
      <c r="K444" s="63">
        <f>IF(tblMovement[[#This Row],[Source]]="","",IFERROR(INDEX(tblSources[Type],MATCH(tblMovement[[#This Row],[Source]],tblSources[Source],0)),"?"))</f>
        <v/>
      </c>
      <c r="L444" s="63">
        <f>IF(tblMovement[[#This Row],[Destination]]="","",IFERROR(INDEX(tblDestinations[Type],MATCH(tblMovement[[#This Row],[Destination]],tblDestinations[Destination],0)),"?"))</f>
        <v/>
      </c>
      <c r="M444" s="64">
        <f>IF(tblMovement[[#This Row],[Material]]="","",IF(LEFT(tblMovement[[#This Row],[Material]],3)="Ore",1,0))</f>
        <v/>
      </c>
      <c r="N444" s="59">
        <f>IF(OR(tblMovement[[#This Row],[Tonnes_t]]="",tblMovement[[#This Row],[Grade_gpt]]=""),0,tblMovement[[#This Row],[Tonnes_t]]*tblMovement[[#This Row],[Grade_gpt]]/cfg_TroyOz)</f>
        <v/>
      </c>
      <c r="O444" s="59">
        <f>IF(tblMovement[[#This Row],[Is_Ore]]=1,tblMovement[[#This Row],[Contained_oz]],0)</f>
        <v/>
      </c>
    </row>
    <row r="445">
      <c r="A445" s="54" t="n"/>
      <c r="B445" s="61" t="n"/>
      <c r="C445" s="61" t="n"/>
      <c r="D445" s="61" t="n"/>
      <c r="E445" s="61" t="n"/>
      <c r="F445" s="55" t="n"/>
      <c r="G445" s="56" t="n"/>
      <c r="H445" s="55" t="n"/>
      <c r="I445" s="62" t="n"/>
      <c r="J445" s="58" t="n"/>
      <c r="K445" s="63">
        <f>IF(tblMovement[[#This Row],[Source]]="","",IFERROR(INDEX(tblSources[Type],MATCH(tblMovement[[#This Row],[Source]],tblSources[Source],0)),"?"))</f>
        <v/>
      </c>
      <c r="L445" s="63">
        <f>IF(tblMovement[[#This Row],[Destination]]="","",IFERROR(INDEX(tblDestinations[Type],MATCH(tblMovement[[#This Row],[Destination]],tblDestinations[Destination],0)),"?"))</f>
        <v/>
      </c>
      <c r="M445" s="64">
        <f>IF(tblMovement[[#This Row],[Material]]="","",IF(LEFT(tblMovement[[#This Row],[Material]],3)="Ore",1,0))</f>
        <v/>
      </c>
      <c r="N445" s="59">
        <f>IF(OR(tblMovement[[#This Row],[Tonnes_t]]="",tblMovement[[#This Row],[Grade_gpt]]=""),0,tblMovement[[#This Row],[Tonnes_t]]*tblMovement[[#This Row],[Grade_gpt]]/cfg_TroyOz)</f>
        <v/>
      </c>
      <c r="O445" s="59">
        <f>IF(tblMovement[[#This Row],[Is_Ore]]=1,tblMovement[[#This Row],[Contained_oz]],0)</f>
        <v/>
      </c>
    </row>
    <row r="446">
      <c r="A446" s="54" t="n"/>
      <c r="B446" s="61" t="n"/>
      <c r="C446" s="61" t="n"/>
      <c r="D446" s="61" t="n"/>
      <c r="E446" s="61" t="n"/>
      <c r="F446" s="55" t="n"/>
      <c r="G446" s="56" t="n"/>
      <c r="H446" s="55" t="n"/>
      <c r="I446" s="62" t="n"/>
      <c r="J446" s="58" t="n"/>
      <c r="K446" s="63">
        <f>IF(tblMovement[[#This Row],[Source]]="","",IFERROR(INDEX(tblSources[Type],MATCH(tblMovement[[#This Row],[Source]],tblSources[Source],0)),"?"))</f>
        <v/>
      </c>
      <c r="L446" s="63">
        <f>IF(tblMovement[[#This Row],[Destination]]="","",IFERROR(INDEX(tblDestinations[Type],MATCH(tblMovement[[#This Row],[Destination]],tblDestinations[Destination],0)),"?"))</f>
        <v/>
      </c>
      <c r="M446" s="64">
        <f>IF(tblMovement[[#This Row],[Material]]="","",IF(LEFT(tblMovement[[#This Row],[Material]],3)="Ore",1,0))</f>
        <v/>
      </c>
      <c r="N446" s="59">
        <f>IF(OR(tblMovement[[#This Row],[Tonnes_t]]="",tblMovement[[#This Row],[Grade_gpt]]=""),0,tblMovement[[#This Row],[Tonnes_t]]*tblMovement[[#This Row],[Grade_gpt]]/cfg_TroyOz)</f>
        <v/>
      </c>
      <c r="O446" s="59">
        <f>IF(tblMovement[[#This Row],[Is_Ore]]=1,tblMovement[[#This Row],[Contained_oz]],0)</f>
        <v/>
      </c>
    </row>
    <row r="447">
      <c r="A447" s="54" t="n"/>
      <c r="B447" s="61" t="n"/>
      <c r="C447" s="61" t="n"/>
      <c r="D447" s="61" t="n"/>
      <c r="E447" s="61" t="n"/>
      <c r="F447" s="55" t="n"/>
      <c r="G447" s="56" t="n"/>
      <c r="H447" s="55" t="n"/>
      <c r="I447" s="62" t="n"/>
      <c r="J447" s="58" t="n"/>
      <c r="K447" s="63">
        <f>IF(tblMovement[[#This Row],[Source]]="","",IFERROR(INDEX(tblSources[Type],MATCH(tblMovement[[#This Row],[Source]],tblSources[Source],0)),"?"))</f>
        <v/>
      </c>
      <c r="L447" s="63">
        <f>IF(tblMovement[[#This Row],[Destination]]="","",IFERROR(INDEX(tblDestinations[Type],MATCH(tblMovement[[#This Row],[Destination]],tblDestinations[Destination],0)),"?"))</f>
        <v/>
      </c>
      <c r="M447" s="64">
        <f>IF(tblMovement[[#This Row],[Material]]="","",IF(LEFT(tblMovement[[#This Row],[Material]],3)="Ore",1,0))</f>
        <v/>
      </c>
      <c r="N447" s="59">
        <f>IF(OR(tblMovement[[#This Row],[Tonnes_t]]="",tblMovement[[#This Row],[Grade_gpt]]=""),0,tblMovement[[#This Row],[Tonnes_t]]*tblMovement[[#This Row],[Grade_gpt]]/cfg_TroyOz)</f>
        <v/>
      </c>
      <c r="O447" s="59">
        <f>IF(tblMovement[[#This Row],[Is_Ore]]=1,tblMovement[[#This Row],[Contained_oz]],0)</f>
        <v/>
      </c>
    </row>
    <row r="448">
      <c r="A448" s="54" t="n"/>
      <c r="B448" s="61" t="n"/>
      <c r="C448" s="61" t="n"/>
      <c r="D448" s="61" t="n"/>
      <c r="E448" s="61" t="n"/>
      <c r="F448" s="55" t="n"/>
      <c r="G448" s="56" t="n"/>
      <c r="H448" s="55" t="n"/>
      <c r="I448" s="62" t="n"/>
      <c r="J448" s="58" t="n"/>
      <c r="K448" s="63">
        <f>IF(tblMovement[[#This Row],[Source]]="","",IFERROR(INDEX(tblSources[Type],MATCH(tblMovement[[#This Row],[Source]],tblSources[Source],0)),"?"))</f>
        <v/>
      </c>
      <c r="L448" s="63">
        <f>IF(tblMovement[[#This Row],[Destination]]="","",IFERROR(INDEX(tblDestinations[Type],MATCH(tblMovement[[#This Row],[Destination]],tblDestinations[Destination],0)),"?"))</f>
        <v/>
      </c>
      <c r="M448" s="64">
        <f>IF(tblMovement[[#This Row],[Material]]="","",IF(LEFT(tblMovement[[#This Row],[Material]],3)="Ore",1,0))</f>
        <v/>
      </c>
      <c r="N448" s="59">
        <f>IF(OR(tblMovement[[#This Row],[Tonnes_t]]="",tblMovement[[#This Row],[Grade_gpt]]=""),0,tblMovement[[#This Row],[Tonnes_t]]*tblMovement[[#This Row],[Grade_gpt]]/cfg_TroyOz)</f>
        <v/>
      </c>
      <c r="O448" s="59">
        <f>IF(tblMovement[[#This Row],[Is_Ore]]=1,tblMovement[[#This Row],[Contained_oz]],0)</f>
        <v/>
      </c>
    </row>
    <row r="449">
      <c r="A449" s="54" t="n"/>
      <c r="B449" s="61" t="n"/>
      <c r="C449" s="61" t="n"/>
      <c r="D449" s="61" t="n"/>
      <c r="E449" s="61" t="n"/>
      <c r="F449" s="55" t="n"/>
      <c r="G449" s="56" t="n"/>
      <c r="H449" s="55" t="n"/>
      <c r="I449" s="62" t="n"/>
      <c r="J449" s="58" t="n"/>
      <c r="K449" s="63">
        <f>IF(tblMovement[[#This Row],[Source]]="","",IFERROR(INDEX(tblSources[Type],MATCH(tblMovement[[#This Row],[Source]],tblSources[Source],0)),"?"))</f>
        <v/>
      </c>
      <c r="L449" s="63">
        <f>IF(tblMovement[[#This Row],[Destination]]="","",IFERROR(INDEX(tblDestinations[Type],MATCH(tblMovement[[#This Row],[Destination]],tblDestinations[Destination],0)),"?"))</f>
        <v/>
      </c>
      <c r="M449" s="64">
        <f>IF(tblMovement[[#This Row],[Material]]="","",IF(LEFT(tblMovement[[#This Row],[Material]],3)="Ore",1,0))</f>
        <v/>
      </c>
      <c r="N449" s="59">
        <f>IF(OR(tblMovement[[#This Row],[Tonnes_t]]="",tblMovement[[#This Row],[Grade_gpt]]=""),0,tblMovement[[#This Row],[Tonnes_t]]*tblMovement[[#This Row],[Grade_gpt]]/cfg_TroyOz)</f>
        <v/>
      </c>
      <c r="O449" s="59">
        <f>IF(tblMovement[[#This Row],[Is_Ore]]=1,tblMovement[[#This Row],[Contained_oz]],0)</f>
        <v/>
      </c>
    </row>
    <row r="450">
      <c r="A450" s="54" t="n"/>
      <c r="B450" s="61" t="n"/>
      <c r="C450" s="61" t="n"/>
      <c r="D450" s="61" t="n"/>
      <c r="E450" s="61" t="n"/>
      <c r="F450" s="55" t="n"/>
      <c r="G450" s="56" t="n"/>
      <c r="H450" s="55" t="n"/>
      <c r="I450" s="62" t="n"/>
      <c r="J450" s="58" t="n"/>
      <c r="K450" s="63">
        <f>IF(tblMovement[[#This Row],[Source]]="","",IFERROR(INDEX(tblSources[Type],MATCH(tblMovement[[#This Row],[Source]],tblSources[Source],0)),"?"))</f>
        <v/>
      </c>
      <c r="L450" s="63">
        <f>IF(tblMovement[[#This Row],[Destination]]="","",IFERROR(INDEX(tblDestinations[Type],MATCH(tblMovement[[#This Row],[Destination]],tblDestinations[Destination],0)),"?"))</f>
        <v/>
      </c>
      <c r="M450" s="64">
        <f>IF(tblMovement[[#This Row],[Material]]="","",IF(LEFT(tblMovement[[#This Row],[Material]],3)="Ore",1,0))</f>
        <v/>
      </c>
      <c r="N450" s="59">
        <f>IF(OR(tblMovement[[#This Row],[Tonnes_t]]="",tblMovement[[#This Row],[Grade_gpt]]=""),0,tblMovement[[#This Row],[Tonnes_t]]*tblMovement[[#This Row],[Grade_gpt]]/cfg_TroyOz)</f>
        <v/>
      </c>
      <c r="O450" s="59">
        <f>IF(tblMovement[[#This Row],[Is_Ore]]=1,tblMovement[[#This Row],[Contained_oz]],0)</f>
        <v/>
      </c>
    </row>
    <row r="451">
      <c r="A451" s="54" t="n"/>
      <c r="B451" s="61" t="n"/>
      <c r="C451" s="61" t="n"/>
      <c r="D451" s="61" t="n"/>
      <c r="E451" s="61" t="n"/>
      <c r="F451" s="55" t="n"/>
      <c r="G451" s="56" t="n"/>
      <c r="H451" s="55" t="n"/>
      <c r="I451" s="62" t="n"/>
      <c r="J451" s="58" t="n"/>
      <c r="K451" s="63">
        <f>IF(tblMovement[[#This Row],[Source]]="","",IFERROR(INDEX(tblSources[Type],MATCH(tblMovement[[#This Row],[Source]],tblSources[Source],0)),"?"))</f>
        <v/>
      </c>
      <c r="L451" s="63">
        <f>IF(tblMovement[[#This Row],[Destination]]="","",IFERROR(INDEX(tblDestinations[Type],MATCH(tblMovement[[#This Row],[Destination]],tblDestinations[Destination],0)),"?"))</f>
        <v/>
      </c>
      <c r="M451" s="64">
        <f>IF(tblMovement[[#This Row],[Material]]="","",IF(LEFT(tblMovement[[#This Row],[Material]],3)="Ore",1,0))</f>
        <v/>
      </c>
      <c r="N451" s="59">
        <f>IF(OR(tblMovement[[#This Row],[Tonnes_t]]="",tblMovement[[#This Row],[Grade_gpt]]=""),0,tblMovement[[#This Row],[Tonnes_t]]*tblMovement[[#This Row],[Grade_gpt]]/cfg_TroyOz)</f>
        <v/>
      </c>
      <c r="O451" s="59">
        <f>IF(tblMovement[[#This Row],[Is_Ore]]=1,tblMovement[[#This Row],[Contained_oz]],0)</f>
        <v/>
      </c>
    </row>
    <row r="452">
      <c r="A452" s="54" t="n"/>
      <c r="B452" s="61" t="n"/>
      <c r="C452" s="61" t="n"/>
      <c r="D452" s="61" t="n"/>
      <c r="E452" s="61" t="n"/>
      <c r="F452" s="55" t="n"/>
      <c r="G452" s="56" t="n"/>
      <c r="H452" s="55" t="n"/>
      <c r="I452" s="62" t="n"/>
      <c r="J452" s="58" t="n"/>
      <c r="K452" s="63">
        <f>IF(tblMovement[[#This Row],[Source]]="","",IFERROR(INDEX(tblSources[Type],MATCH(tblMovement[[#This Row],[Source]],tblSources[Source],0)),"?"))</f>
        <v/>
      </c>
      <c r="L452" s="63">
        <f>IF(tblMovement[[#This Row],[Destination]]="","",IFERROR(INDEX(tblDestinations[Type],MATCH(tblMovement[[#This Row],[Destination]],tblDestinations[Destination],0)),"?"))</f>
        <v/>
      </c>
      <c r="M452" s="64">
        <f>IF(tblMovement[[#This Row],[Material]]="","",IF(LEFT(tblMovement[[#This Row],[Material]],3)="Ore",1,0))</f>
        <v/>
      </c>
      <c r="N452" s="59">
        <f>IF(OR(tblMovement[[#This Row],[Tonnes_t]]="",tblMovement[[#This Row],[Grade_gpt]]=""),0,tblMovement[[#This Row],[Tonnes_t]]*tblMovement[[#This Row],[Grade_gpt]]/cfg_TroyOz)</f>
        <v/>
      </c>
      <c r="O452" s="59">
        <f>IF(tblMovement[[#This Row],[Is_Ore]]=1,tblMovement[[#This Row],[Contained_oz]],0)</f>
        <v/>
      </c>
    </row>
    <row r="453">
      <c r="A453" s="54" t="n"/>
      <c r="B453" s="61" t="n"/>
      <c r="C453" s="61" t="n"/>
      <c r="D453" s="61" t="n"/>
      <c r="E453" s="61" t="n"/>
      <c r="F453" s="55" t="n"/>
      <c r="G453" s="56" t="n"/>
      <c r="H453" s="55" t="n"/>
      <c r="I453" s="62" t="n"/>
      <c r="J453" s="58" t="n"/>
      <c r="K453" s="63">
        <f>IF(tblMovement[[#This Row],[Source]]="","",IFERROR(INDEX(tblSources[Type],MATCH(tblMovement[[#This Row],[Source]],tblSources[Source],0)),"?"))</f>
        <v/>
      </c>
      <c r="L453" s="63">
        <f>IF(tblMovement[[#This Row],[Destination]]="","",IFERROR(INDEX(tblDestinations[Type],MATCH(tblMovement[[#This Row],[Destination]],tblDestinations[Destination],0)),"?"))</f>
        <v/>
      </c>
      <c r="M453" s="64">
        <f>IF(tblMovement[[#This Row],[Material]]="","",IF(LEFT(tblMovement[[#This Row],[Material]],3)="Ore",1,0))</f>
        <v/>
      </c>
      <c r="N453" s="59">
        <f>IF(OR(tblMovement[[#This Row],[Tonnes_t]]="",tblMovement[[#This Row],[Grade_gpt]]=""),0,tblMovement[[#This Row],[Tonnes_t]]*tblMovement[[#This Row],[Grade_gpt]]/cfg_TroyOz)</f>
        <v/>
      </c>
      <c r="O453" s="59">
        <f>IF(tblMovement[[#This Row],[Is_Ore]]=1,tblMovement[[#This Row],[Contained_oz]],0)</f>
        <v/>
      </c>
    </row>
    <row r="454">
      <c r="A454" s="54" t="n"/>
      <c r="B454" s="61" t="n"/>
      <c r="C454" s="61" t="n"/>
      <c r="D454" s="61" t="n"/>
      <c r="E454" s="61" t="n"/>
      <c r="F454" s="55" t="n"/>
      <c r="G454" s="56" t="n"/>
      <c r="H454" s="55" t="n"/>
      <c r="I454" s="62" t="n"/>
      <c r="J454" s="58" t="n"/>
      <c r="K454" s="63">
        <f>IF(tblMovement[[#This Row],[Source]]="","",IFERROR(INDEX(tblSources[Type],MATCH(tblMovement[[#This Row],[Source]],tblSources[Source],0)),"?"))</f>
        <v/>
      </c>
      <c r="L454" s="63">
        <f>IF(tblMovement[[#This Row],[Destination]]="","",IFERROR(INDEX(tblDestinations[Type],MATCH(tblMovement[[#This Row],[Destination]],tblDestinations[Destination],0)),"?"))</f>
        <v/>
      </c>
      <c r="M454" s="64">
        <f>IF(tblMovement[[#This Row],[Material]]="","",IF(LEFT(tblMovement[[#This Row],[Material]],3)="Ore",1,0))</f>
        <v/>
      </c>
      <c r="N454" s="59">
        <f>IF(OR(tblMovement[[#This Row],[Tonnes_t]]="",tblMovement[[#This Row],[Grade_gpt]]=""),0,tblMovement[[#This Row],[Tonnes_t]]*tblMovement[[#This Row],[Grade_gpt]]/cfg_TroyOz)</f>
        <v/>
      </c>
      <c r="O454" s="59">
        <f>IF(tblMovement[[#This Row],[Is_Ore]]=1,tblMovement[[#This Row],[Contained_oz]],0)</f>
        <v/>
      </c>
    </row>
    <row r="455">
      <c r="A455" s="54" t="n"/>
      <c r="B455" s="61" t="n"/>
      <c r="C455" s="61" t="n"/>
      <c r="D455" s="61" t="n"/>
      <c r="E455" s="61" t="n"/>
      <c r="F455" s="55" t="n"/>
      <c r="G455" s="56" t="n"/>
      <c r="H455" s="55" t="n"/>
      <c r="I455" s="62" t="n"/>
      <c r="J455" s="58" t="n"/>
      <c r="K455" s="63">
        <f>IF(tblMovement[[#This Row],[Source]]="","",IFERROR(INDEX(tblSources[Type],MATCH(tblMovement[[#This Row],[Source]],tblSources[Source],0)),"?"))</f>
        <v/>
      </c>
      <c r="L455" s="63">
        <f>IF(tblMovement[[#This Row],[Destination]]="","",IFERROR(INDEX(tblDestinations[Type],MATCH(tblMovement[[#This Row],[Destination]],tblDestinations[Destination],0)),"?"))</f>
        <v/>
      </c>
      <c r="M455" s="64">
        <f>IF(tblMovement[[#This Row],[Material]]="","",IF(LEFT(tblMovement[[#This Row],[Material]],3)="Ore",1,0))</f>
        <v/>
      </c>
      <c r="N455" s="59">
        <f>IF(OR(tblMovement[[#This Row],[Tonnes_t]]="",tblMovement[[#This Row],[Grade_gpt]]=""),0,tblMovement[[#This Row],[Tonnes_t]]*tblMovement[[#This Row],[Grade_gpt]]/cfg_TroyOz)</f>
        <v/>
      </c>
      <c r="O455" s="59">
        <f>IF(tblMovement[[#This Row],[Is_Ore]]=1,tblMovement[[#This Row],[Contained_oz]],0)</f>
        <v/>
      </c>
    </row>
    <row r="456">
      <c r="A456" s="54" t="n"/>
      <c r="B456" s="61" t="n"/>
      <c r="C456" s="61" t="n"/>
      <c r="D456" s="61" t="n"/>
      <c r="E456" s="61" t="n"/>
      <c r="F456" s="55" t="n"/>
      <c r="G456" s="56" t="n"/>
      <c r="H456" s="55" t="n"/>
      <c r="I456" s="62" t="n"/>
      <c r="J456" s="58" t="n"/>
      <c r="K456" s="63">
        <f>IF(tblMovement[[#This Row],[Source]]="","",IFERROR(INDEX(tblSources[Type],MATCH(tblMovement[[#This Row],[Source]],tblSources[Source],0)),"?"))</f>
        <v/>
      </c>
      <c r="L456" s="63">
        <f>IF(tblMovement[[#This Row],[Destination]]="","",IFERROR(INDEX(tblDestinations[Type],MATCH(tblMovement[[#This Row],[Destination]],tblDestinations[Destination],0)),"?"))</f>
        <v/>
      </c>
      <c r="M456" s="64">
        <f>IF(tblMovement[[#This Row],[Material]]="","",IF(LEFT(tblMovement[[#This Row],[Material]],3)="Ore",1,0))</f>
        <v/>
      </c>
      <c r="N456" s="59">
        <f>IF(OR(tblMovement[[#This Row],[Tonnes_t]]="",tblMovement[[#This Row],[Grade_gpt]]=""),0,tblMovement[[#This Row],[Tonnes_t]]*tblMovement[[#This Row],[Grade_gpt]]/cfg_TroyOz)</f>
        <v/>
      </c>
      <c r="O456" s="59">
        <f>IF(tblMovement[[#This Row],[Is_Ore]]=1,tblMovement[[#This Row],[Contained_oz]],0)</f>
        <v/>
      </c>
    </row>
    <row r="457">
      <c r="A457" s="54" t="n"/>
      <c r="B457" s="61" t="n"/>
      <c r="C457" s="61" t="n"/>
      <c r="D457" s="61" t="n"/>
      <c r="E457" s="61" t="n"/>
      <c r="F457" s="55" t="n"/>
      <c r="G457" s="56" t="n"/>
      <c r="H457" s="55" t="n"/>
      <c r="I457" s="62" t="n"/>
      <c r="J457" s="58" t="n"/>
      <c r="K457" s="63">
        <f>IF(tblMovement[[#This Row],[Source]]="","",IFERROR(INDEX(tblSources[Type],MATCH(tblMovement[[#This Row],[Source]],tblSources[Source],0)),"?"))</f>
        <v/>
      </c>
      <c r="L457" s="63">
        <f>IF(tblMovement[[#This Row],[Destination]]="","",IFERROR(INDEX(tblDestinations[Type],MATCH(tblMovement[[#This Row],[Destination]],tblDestinations[Destination],0)),"?"))</f>
        <v/>
      </c>
      <c r="M457" s="64">
        <f>IF(tblMovement[[#This Row],[Material]]="","",IF(LEFT(tblMovement[[#This Row],[Material]],3)="Ore",1,0))</f>
        <v/>
      </c>
      <c r="N457" s="59">
        <f>IF(OR(tblMovement[[#This Row],[Tonnes_t]]="",tblMovement[[#This Row],[Grade_gpt]]=""),0,tblMovement[[#This Row],[Tonnes_t]]*tblMovement[[#This Row],[Grade_gpt]]/cfg_TroyOz)</f>
        <v/>
      </c>
      <c r="O457" s="59">
        <f>IF(tblMovement[[#This Row],[Is_Ore]]=1,tblMovement[[#This Row],[Contained_oz]],0)</f>
        <v/>
      </c>
    </row>
    <row r="458">
      <c r="A458" s="54" t="n"/>
      <c r="B458" s="61" t="n"/>
      <c r="C458" s="61" t="n"/>
      <c r="D458" s="61" t="n"/>
      <c r="E458" s="61" t="n"/>
      <c r="F458" s="55" t="n"/>
      <c r="G458" s="56" t="n"/>
      <c r="H458" s="55" t="n"/>
      <c r="I458" s="62" t="n"/>
      <c r="J458" s="58" t="n"/>
      <c r="K458" s="63">
        <f>IF(tblMovement[[#This Row],[Source]]="","",IFERROR(INDEX(tblSources[Type],MATCH(tblMovement[[#This Row],[Source]],tblSources[Source],0)),"?"))</f>
        <v/>
      </c>
      <c r="L458" s="63">
        <f>IF(tblMovement[[#This Row],[Destination]]="","",IFERROR(INDEX(tblDestinations[Type],MATCH(tblMovement[[#This Row],[Destination]],tblDestinations[Destination],0)),"?"))</f>
        <v/>
      </c>
      <c r="M458" s="64">
        <f>IF(tblMovement[[#This Row],[Material]]="","",IF(LEFT(tblMovement[[#This Row],[Material]],3)="Ore",1,0))</f>
        <v/>
      </c>
      <c r="N458" s="59">
        <f>IF(OR(tblMovement[[#This Row],[Tonnes_t]]="",tblMovement[[#This Row],[Grade_gpt]]=""),0,tblMovement[[#This Row],[Tonnes_t]]*tblMovement[[#This Row],[Grade_gpt]]/cfg_TroyOz)</f>
        <v/>
      </c>
      <c r="O458" s="59">
        <f>IF(tblMovement[[#This Row],[Is_Ore]]=1,tblMovement[[#This Row],[Contained_oz]],0)</f>
        <v/>
      </c>
    </row>
    <row r="459">
      <c r="A459" s="54" t="n"/>
      <c r="B459" s="61" t="n"/>
      <c r="C459" s="61" t="n"/>
      <c r="D459" s="61" t="n"/>
      <c r="E459" s="61" t="n"/>
      <c r="F459" s="55" t="n"/>
      <c r="G459" s="56" t="n"/>
      <c r="H459" s="55" t="n"/>
      <c r="I459" s="62" t="n"/>
      <c r="J459" s="58" t="n"/>
      <c r="K459" s="63">
        <f>IF(tblMovement[[#This Row],[Source]]="","",IFERROR(INDEX(tblSources[Type],MATCH(tblMovement[[#This Row],[Source]],tblSources[Source],0)),"?"))</f>
        <v/>
      </c>
      <c r="L459" s="63">
        <f>IF(tblMovement[[#This Row],[Destination]]="","",IFERROR(INDEX(tblDestinations[Type],MATCH(tblMovement[[#This Row],[Destination]],tblDestinations[Destination],0)),"?"))</f>
        <v/>
      </c>
      <c r="M459" s="64">
        <f>IF(tblMovement[[#This Row],[Material]]="","",IF(LEFT(tblMovement[[#This Row],[Material]],3)="Ore",1,0))</f>
        <v/>
      </c>
      <c r="N459" s="59">
        <f>IF(OR(tblMovement[[#This Row],[Tonnes_t]]="",tblMovement[[#This Row],[Grade_gpt]]=""),0,tblMovement[[#This Row],[Tonnes_t]]*tblMovement[[#This Row],[Grade_gpt]]/cfg_TroyOz)</f>
        <v/>
      </c>
      <c r="O459" s="59">
        <f>IF(tblMovement[[#This Row],[Is_Ore]]=1,tblMovement[[#This Row],[Contained_oz]],0)</f>
        <v/>
      </c>
    </row>
    <row r="460">
      <c r="A460" s="54" t="n"/>
      <c r="B460" s="61" t="n"/>
      <c r="C460" s="61" t="n"/>
      <c r="D460" s="61" t="n"/>
      <c r="E460" s="61" t="n"/>
      <c r="F460" s="55" t="n"/>
      <c r="G460" s="56" t="n"/>
      <c r="H460" s="55" t="n"/>
      <c r="I460" s="62" t="n"/>
      <c r="J460" s="58" t="n"/>
      <c r="K460" s="63">
        <f>IF(tblMovement[[#This Row],[Source]]="","",IFERROR(INDEX(tblSources[Type],MATCH(tblMovement[[#This Row],[Source]],tblSources[Source],0)),"?"))</f>
        <v/>
      </c>
      <c r="L460" s="63">
        <f>IF(tblMovement[[#This Row],[Destination]]="","",IFERROR(INDEX(tblDestinations[Type],MATCH(tblMovement[[#This Row],[Destination]],tblDestinations[Destination],0)),"?"))</f>
        <v/>
      </c>
      <c r="M460" s="64">
        <f>IF(tblMovement[[#This Row],[Material]]="","",IF(LEFT(tblMovement[[#This Row],[Material]],3)="Ore",1,0))</f>
        <v/>
      </c>
      <c r="N460" s="59">
        <f>IF(OR(tblMovement[[#This Row],[Tonnes_t]]="",tblMovement[[#This Row],[Grade_gpt]]=""),0,tblMovement[[#This Row],[Tonnes_t]]*tblMovement[[#This Row],[Grade_gpt]]/cfg_TroyOz)</f>
        <v/>
      </c>
      <c r="O460" s="59">
        <f>IF(tblMovement[[#This Row],[Is_Ore]]=1,tblMovement[[#This Row],[Contained_oz]],0)</f>
        <v/>
      </c>
    </row>
    <row r="461">
      <c r="A461" s="54" t="n"/>
      <c r="B461" s="61" t="n"/>
      <c r="C461" s="61" t="n"/>
      <c r="D461" s="61" t="n"/>
      <c r="E461" s="61" t="n"/>
      <c r="F461" s="55" t="n"/>
      <c r="G461" s="56" t="n"/>
      <c r="H461" s="55" t="n"/>
      <c r="I461" s="62" t="n"/>
      <c r="J461" s="58" t="n"/>
      <c r="K461" s="63">
        <f>IF(tblMovement[[#This Row],[Source]]="","",IFERROR(INDEX(tblSources[Type],MATCH(tblMovement[[#This Row],[Source]],tblSources[Source],0)),"?"))</f>
        <v/>
      </c>
      <c r="L461" s="63">
        <f>IF(tblMovement[[#This Row],[Destination]]="","",IFERROR(INDEX(tblDestinations[Type],MATCH(tblMovement[[#This Row],[Destination]],tblDestinations[Destination],0)),"?"))</f>
        <v/>
      </c>
      <c r="M461" s="64">
        <f>IF(tblMovement[[#This Row],[Material]]="","",IF(LEFT(tblMovement[[#This Row],[Material]],3)="Ore",1,0))</f>
        <v/>
      </c>
      <c r="N461" s="59">
        <f>IF(OR(tblMovement[[#This Row],[Tonnes_t]]="",tblMovement[[#This Row],[Grade_gpt]]=""),0,tblMovement[[#This Row],[Tonnes_t]]*tblMovement[[#This Row],[Grade_gpt]]/cfg_TroyOz)</f>
        <v/>
      </c>
      <c r="O461" s="59">
        <f>IF(tblMovement[[#This Row],[Is_Ore]]=1,tblMovement[[#This Row],[Contained_oz]],0)</f>
        <v/>
      </c>
    </row>
    <row r="462">
      <c r="A462" s="54" t="n"/>
      <c r="B462" s="61" t="n"/>
      <c r="C462" s="61" t="n"/>
      <c r="D462" s="61" t="n"/>
      <c r="E462" s="61" t="n"/>
      <c r="F462" s="55" t="n"/>
      <c r="G462" s="56" t="n"/>
      <c r="H462" s="55" t="n"/>
      <c r="I462" s="62" t="n"/>
      <c r="J462" s="58" t="n"/>
      <c r="K462" s="63">
        <f>IF(tblMovement[[#This Row],[Source]]="","",IFERROR(INDEX(tblSources[Type],MATCH(tblMovement[[#This Row],[Source]],tblSources[Source],0)),"?"))</f>
        <v/>
      </c>
      <c r="L462" s="63">
        <f>IF(tblMovement[[#This Row],[Destination]]="","",IFERROR(INDEX(tblDestinations[Type],MATCH(tblMovement[[#This Row],[Destination]],tblDestinations[Destination],0)),"?"))</f>
        <v/>
      </c>
      <c r="M462" s="64">
        <f>IF(tblMovement[[#This Row],[Material]]="","",IF(LEFT(tblMovement[[#This Row],[Material]],3)="Ore",1,0))</f>
        <v/>
      </c>
      <c r="N462" s="59">
        <f>IF(OR(tblMovement[[#This Row],[Tonnes_t]]="",tblMovement[[#This Row],[Grade_gpt]]=""),0,tblMovement[[#This Row],[Tonnes_t]]*tblMovement[[#This Row],[Grade_gpt]]/cfg_TroyOz)</f>
        <v/>
      </c>
      <c r="O462" s="59">
        <f>IF(tblMovement[[#This Row],[Is_Ore]]=1,tblMovement[[#This Row],[Contained_oz]],0)</f>
        <v/>
      </c>
    </row>
    <row r="463">
      <c r="A463" s="54" t="n"/>
      <c r="B463" s="61" t="n"/>
      <c r="C463" s="61" t="n"/>
      <c r="D463" s="61" t="n"/>
      <c r="E463" s="61" t="n"/>
      <c r="F463" s="55" t="n"/>
      <c r="G463" s="56" t="n"/>
      <c r="H463" s="55" t="n"/>
      <c r="I463" s="62" t="n"/>
      <c r="J463" s="58" t="n"/>
      <c r="K463" s="63">
        <f>IF(tblMovement[[#This Row],[Source]]="","",IFERROR(INDEX(tblSources[Type],MATCH(tblMovement[[#This Row],[Source]],tblSources[Source],0)),"?"))</f>
        <v/>
      </c>
      <c r="L463" s="63">
        <f>IF(tblMovement[[#This Row],[Destination]]="","",IFERROR(INDEX(tblDestinations[Type],MATCH(tblMovement[[#This Row],[Destination]],tblDestinations[Destination],0)),"?"))</f>
        <v/>
      </c>
      <c r="M463" s="64">
        <f>IF(tblMovement[[#This Row],[Material]]="","",IF(LEFT(tblMovement[[#This Row],[Material]],3)="Ore",1,0))</f>
        <v/>
      </c>
      <c r="N463" s="59">
        <f>IF(OR(tblMovement[[#This Row],[Tonnes_t]]="",tblMovement[[#This Row],[Grade_gpt]]=""),0,tblMovement[[#This Row],[Tonnes_t]]*tblMovement[[#This Row],[Grade_gpt]]/cfg_TroyOz)</f>
        <v/>
      </c>
      <c r="O463" s="59">
        <f>IF(tblMovement[[#This Row],[Is_Ore]]=1,tblMovement[[#This Row],[Contained_oz]],0)</f>
        <v/>
      </c>
    </row>
    <row r="464">
      <c r="A464" s="54" t="n"/>
      <c r="B464" s="61" t="n"/>
      <c r="C464" s="61" t="n"/>
      <c r="D464" s="61" t="n"/>
      <c r="E464" s="61" t="n"/>
      <c r="F464" s="55" t="n"/>
      <c r="G464" s="56" t="n"/>
      <c r="H464" s="55" t="n"/>
      <c r="I464" s="62" t="n"/>
      <c r="J464" s="58" t="n"/>
      <c r="K464" s="63">
        <f>IF(tblMovement[[#This Row],[Source]]="","",IFERROR(INDEX(tblSources[Type],MATCH(tblMovement[[#This Row],[Source]],tblSources[Source],0)),"?"))</f>
        <v/>
      </c>
      <c r="L464" s="63">
        <f>IF(tblMovement[[#This Row],[Destination]]="","",IFERROR(INDEX(tblDestinations[Type],MATCH(tblMovement[[#This Row],[Destination]],tblDestinations[Destination],0)),"?"))</f>
        <v/>
      </c>
      <c r="M464" s="64">
        <f>IF(tblMovement[[#This Row],[Material]]="","",IF(LEFT(tblMovement[[#This Row],[Material]],3)="Ore",1,0))</f>
        <v/>
      </c>
      <c r="N464" s="59">
        <f>IF(OR(tblMovement[[#This Row],[Tonnes_t]]="",tblMovement[[#This Row],[Grade_gpt]]=""),0,tblMovement[[#This Row],[Tonnes_t]]*tblMovement[[#This Row],[Grade_gpt]]/cfg_TroyOz)</f>
        <v/>
      </c>
      <c r="O464" s="59">
        <f>IF(tblMovement[[#This Row],[Is_Ore]]=1,tblMovement[[#This Row],[Contained_oz]],0)</f>
        <v/>
      </c>
    </row>
    <row r="465">
      <c r="A465" s="54" t="n"/>
      <c r="B465" s="61" t="n"/>
      <c r="C465" s="61" t="n"/>
      <c r="D465" s="61" t="n"/>
      <c r="E465" s="61" t="n"/>
      <c r="F465" s="55" t="n"/>
      <c r="G465" s="56" t="n"/>
      <c r="H465" s="55" t="n"/>
      <c r="I465" s="62" t="n"/>
      <c r="J465" s="58" t="n"/>
      <c r="K465" s="63">
        <f>IF(tblMovement[[#This Row],[Source]]="","",IFERROR(INDEX(tblSources[Type],MATCH(tblMovement[[#This Row],[Source]],tblSources[Source],0)),"?"))</f>
        <v/>
      </c>
      <c r="L465" s="63">
        <f>IF(tblMovement[[#This Row],[Destination]]="","",IFERROR(INDEX(tblDestinations[Type],MATCH(tblMovement[[#This Row],[Destination]],tblDestinations[Destination],0)),"?"))</f>
        <v/>
      </c>
      <c r="M465" s="64">
        <f>IF(tblMovement[[#This Row],[Material]]="","",IF(LEFT(tblMovement[[#This Row],[Material]],3)="Ore",1,0))</f>
        <v/>
      </c>
      <c r="N465" s="59">
        <f>IF(OR(tblMovement[[#This Row],[Tonnes_t]]="",tblMovement[[#This Row],[Grade_gpt]]=""),0,tblMovement[[#This Row],[Tonnes_t]]*tblMovement[[#This Row],[Grade_gpt]]/cfg_TroyOz)</f>
        <v/>
      </c>
      <c r="O465" s="59">
        <f>IF(tblMovement[[#This Row],[Is_Ore]]=1,tblMovement[[#This Row],[Contained_oz]],0)</f>
        <v/>
      </c>
    </row>
    <row r="466">
      <c r="A466" s="54" t="n"/>
      <c r="B466" s="61" t="n"/>
      <c r="C466" s="61" t="n"/>
      <c r="D466" s="61" t="n"/>
      <c r="E466" s="61" t="n"/>
      <c r="F466" s="55" t="n"/>
      <c r="G466" s="56" t="n"/>
      <c r="H466" s="55" t="n"/>
      <c r="I466" s="62" t="n"/>
      <c r="J466" s="58" t="n"/>
      <c r="K466" s="63">
        <f>IF(tblMovement[[#This Row],[Source]]="","",IFERROR(INDEX(tblSources[Type],MATCH(tblMovement[[#This Row],[Source]],tblSources[Source],0)),"?"))</f>
        <v/>
      </c>
      <c r="L466" s="63">
        <f>IF(tblMovement[[#This Row],[Destination]]="","",IFERROR(INDEX(tblDestinations[Type],MATCH(tblMovement[[#This Row],[Destination]],tblDestinations[Destination],0)),"?"))</f>
        <v/>
      </c>
      <c r="M466" s="64">
        <f>IF(tblMovement[[#This Row],[Material]]="","",IF(LEFT(tblMovement[[#This Row],[Material]],3)="Ore",1,0))</f>
        <v/>
      </c>
      <c r="N466" s="59">
        <f>IF(OR(tblMovement[[#This Row],[Tonnes_t]]="",tblMovement[[#This Row],[Grade_gpt]]=""),0,tblMovement[[#This Row],[Tonnes_t]]*tblMovement[[#This Row],[Grade_gpt]]/cfg_TroyOz)</f>
        <v/>
      </c>
      <c r="O466" s="59">
        <f>IF(tblMovement[[#This Row],[Is_Ore]]=1,tblMovement[[#This Row],[Contained_oz]],0)</f>
        <v/>
      </c>
    </row>
    <row r="467">
      <c r="A467" s="54" t="n"/>
      <c r="B467" s="61" t="n"/>
      <c r="C467" s="61" t="n"/>
      <c r="D467" s="61" t="n"/>
      <c r="E467" s="61" t="n"/>
      <c r="F467" s="55" t="n"/>
      <c r="G467" s="56" t="n"/>
      <c r="H467" s="55" t="n"/>
      <c r="I467" s="62" t="n"/>
      <c r="J467" s="58" t="n"/>
      <c r="K467" s="63">
        <f>IF(tblMovement[[#This Row],[Source]]="","",IFERROR(INDEX(tblSources[Type],MATCH(tblMovement[[#This Row],[Source]],tblSources[Source],0)),"?"))</f>
        <v/>
      </c>
      <c r="L467" s="63">
        <f>IF(tblMovement[[#This Row],[Destination]]="","",IFERROR(INDEX(tblDestinations[Type],MATCH(tblMovement[[#This Row],[Destination]],tblDestinations[Destination],0)),"?"))</f>
        <v/>
      </c>
      <c r="M467" s="64">
        <f>IF(tblMovement[[#This Row],[Material]]="","",IF(LEFT(tblMovement[[#This Row],[Material]],3)="Ore",1,0))</f>
        <v/>
      </c>
      <c r="N467" s="59">
        <f>IF(OR(tblMovement[[#This Row],[Tonnes_t]]="",tblMovement[[#This Row],[Grade_gpt]]=""),0,tblMovement[[#This Row],[Tonnes_t]]*tblMovement[[#This Row],[Grade_gpt]]/cfg_TroyOz)</f>
        <v/>
      </c>
      <c r="O467" s="59">
        <f>IF(tblMovement[[#This Row],[Is_Ore]]=1,tblMovement[[#This Row],[Contained_oz]],0)</f>
        <v/>
      </c>
    </row>
    <row r="468">
      <c r="A468" s="54" t="n"/>
      <c r="B468" s="61" t="n"/>
      <c r="C468" s="61" t="n"/>
      <c r="D468" s="61" t="n"/>
      <c r="E468" s="61" t="n"/>
      <c r="F468" s="55" t="n"/>
      <c r="G468" s="56" t="n"/>
      <c r="H468" s="55" t="n"/>
      <c r="I468" s="62" t="n"/>
      <c r="J468" s="58" t="n"/>
      <c r="K468" s="63">
        <f>IF(tblMovement[[#This Row],[Source]]="","",IFERROR(INDEX(tblSources[Type],MATCH(tblMovement[[#This Row],[Source]],tblSources[Source],0)),"?"))</f>
        <v/>
      </c>
      <c r="L468" s="63">
        <f>IF(tblMovement[[#This Row],[Destination]]="","",IFERROR(INDEX(tblDestinations[Type],MATCH(tblMovement[[#This Row],[Destination]],tblDestinations[Destination],0)),"?"))</f>
        <v/>
      </c>
      <c r="M468" s="64">
        <f>IF(tblMovement[[#This Row],[Material]]="","",IF(LEFT(tblMovement[[#This Row],[Material]],3)="Ore",1,0))</f>
        <v/>
      </c>
      <c r="N468" s="59">
        <f>IF(OR(tblMovement[[#This Row],[Tonnes_t]]="",tblMovement[[#This Row],[Grade_gpt]]=""),0,tblMovement[[#This Row],[Tonnes_t]]*tblMovement[[#This Row],[Grade_gpt]]/cfg_TroyOz)</f>
        <v/>
      </c>
      <c r="O468" s="59">
        <f>IF(tblMovement[[#This Row],[Is_Ore]]=1,tblMovement[[#This Row],[Contained_oz]],0)</f>
        <v/>
      </c>
    </row>
    <row r="469">
      <c r="A469" s="54" t="n"/>
      <c r="B469" s="61" t="n"/>
      <c r="C469" s="61" t="n"/>
      <c r="D469" s="61" t="n"/>
      <c r="E469" s="61" t="n"/>
      <c r="F469" s="55" t="n"/>
      <c r="G469" s="56" t="n"/>
      <c r="H469" s="55" t="n"/>
      <c r="I469" s="62" t="n"/>
      <c r="J469" s="58" t="n"/>
      <c r="K469" s="63">
        <f>IF(tblMovement[[#This Row],[Source]]="","",IFERROR(INDEX(tblSources[Type],MATCH(tblMovement[[#This Row],[Source]],tblSources[Source],0)),"?"))</f>
        <v/>
      </c>
      <c r="L469" s="63">
        <f>IF(tblMovement[[#This Row],[Destination]]="","",IFERROR(INDEX(tblDestinations[Type],MATCH(tblMovement[[#This Row],[Destination]],tblDestinations[Destination],0)),"?"))</f>
        <v/>
      </c>
      <c r="M469" s="64">
        <f>IF(tblMovement[[#This Row],[Material]]="","",IF(LEFT(tblMovement[[#This Row],[Material]],3)="Ore",1,0))</f>
        <v/>
      </c>
      <c r="N469" s="59">
        <f>IF(OR(tblMovement[[#This Row],[Tonnes_t]]="",tblMovement[[#This Row],[Grade_gpt]]=""),0,tblMovement[[#This Row],[Tonnes_t]]*tblMovement[[#This Row],[Grade_gpt]]/cfg_TroyOz)</f>
        <v/>
      </c>
      <c r="O469" s="59">
        <f>IF(tblMovement[[#This Row],[Is_Ore]]=1,tblMovement[[#This Row],[Contained_oz]],0)</f>
        <v/>
      </c>
    </row>
    <row r="470">
      <c r="A470" s="54" t="n"/>
      <c r="B470" s="61" t="n"/>
      <c r="C470" s="61" t="n"/>
      <c r="D470" s="61" t="n"/>
      <c r="E470" s="61" t="n"/>
      <c r="F470" s="55" t="n"/>
      <c r="G470" s="56" t="n"/>
      <c r="H470" s="55" t="n"/>
      <c r="I470" s="62" t="n"/>
      <c r="J470" s="58" t="n"/>
      <c r="K470" s="63">
        <f>IF(tblMovement[[#This Row],[Source]]="","",IFERROR(INDEX(tblSources[Type],MATCH(tblMovement[[#This Row],[Source]],tblSources[Source],0)),"?"))</f>
        <v/>
      </c>
      <c r="L470" s="63">
        <f>IF(tblMovement[[#This Row],[Destination]]="","",IFERROR(INDEX(tblDestinations[Type],MATCH(tblMovement[[#This Row],[Destination]],tblDestinations[Destination],0)),"?"))</f>
        <v/>
      </c>
      <c r="M470" s="64">
        <f>IF(tblMovement[[#This Row],[Material]]="","",IF(LEFT(tblMovement[[#This Row],[Material]],3)="Ore",1,0))</f>
        <v/>
      </c>
      <c r="N470" s="59">
        <f>IF(OR(tblMovement[[#This Row],[Tonnes_t]]="",tblMovement[[#This Row],[Grade_gpt]]=""),0,tblMovement[[#This Row],[Tonnes_t]]*tblMovement[[#This Row],[Grade_gpt]]/cfg_TroyOz)</f>
        <v/>
      </c>
      <c r="O470" s="59">
        <f>IF(tblMovement[[#This Row],[Is_Ore]]=1,tblMovement[[#This Row],[Contained_oz]],0)</f>
        <v/>
      </c>
    </row>
    <row r="471">
      <c r="A471" s="54" t="n"/>
      <c r="B471" s="61" t="n"/>
      <c r="C471" s="61" t="n"/>
      <c r="D471" s="61" t="n"/>
      <c r="E471" s="61" t="n"/>
      <c r="F471" s="55" t="n"/>
      <c r="G471" s="56" t="n"/>
      <c r="H471" s="55" t="n"/>
      <c r="I471" s="62" t="n"/>
      <c r="J471" s="58" t="n"/>
      <c r="K471" s="63">
        <f>IF(tblMovement[[#This Row],[Source]]="","",IFERROR(INDEX(tblSources[Type],MATCH(tblMovement[[#This Row],[Source]],tblSources[Source],0)),"?"))</f>
        <v/>
      </c>
      <c r="L471" s="63">
        <f>IF(tblMovement[[#This Row],[Destination]]="","",IFERROR(INDEX(tblDestinations[Type],MATCH(tblMovement[[#This Row],[Destination]],tblDestinations[Destination],0)),"?"))</f>
        <v/>
      </c>
      <c r="M471" s="64">
        <f>IF(tblMovement[[#This Row],[Material]]="","",IF(LEFT(tblMovement[[#This Row],[Material]],3)="Ore",1,0))</f>
        <v/>
      </c>
      <c r="N471" s="59">
        <f>IF(OR(tblMovement[[#This Row],[Tonnes_t]]="",tblMovement[[#This Row],[Grade_gpt]]=""),0,tblMovement[[#This Row],[Tonnes_t]]*tblMovement[[#This Row],[Grade_gpt]]/cfg_TroyOz)</f>
        <v/>
      </c>
      <c r="O471" s="59">
        <f>IF(tblMovement[[#This Row],[Is_Ore]]=1,tblMovement[[#This Row],[Contained_oz]],0)</f>
        <v/>
      </c>
    </row>
    <row r="472">
      <c r="A472" s="54" t="n"/>
      <c r="B472" s="61" t="n"/>
      <c r="C472" s="61" t="n"/>
      <c r="D472" s="61" t="n"/>
      <c r="E472" s="61" t="n"/>
      <c r="F472" s="55" t="n"/>
      <c r="G472" s="56" t="n"/>
      <c r="H472" s="55" t="n"/>
      <c r="I472" s="62" t="n"/>
      <c r="J472" s="58" t="n"/>
      <c r="K472" s="63">
        <f>IF(tblMovement[[#This Row],[Source]]="","",IFERROR(INDEX(tblSources[Type],MATCH(tblMovement[[#This Row],[Source]],tblSources[Source],0)),"?"))</f>
        <v/>
      </c>
      <c r="L472" s="63">
        <f>IF(tblMovement[[#This Row],[Destination]]="","",IFERROR(INDEX(tblDestinations[Type],MATCH(tblMovement[[#This Row],[Destination]],tblDestinations[Destination],0)),"?"))</f>
        <v/>
      </c>
      <c r="M472" s="64">
        <f>IF(tblMovement[[#This Row],[Material]]="","",IF(LEFT(tblMovement[[#This Row],[Material]],3)="Ore",1,0))</f>
        <v/>
      </c>
      <c r="N472" s="59">
        <f>IF(OR(tblMovement[[#This Row],[Tonnes_t]]="",tblMovement[[#This Row],[Grade_gpt]]=""),0,tblMovement[[#This Row],[Tonnes_t]]*tblMovement[[#This Row],[Grade_gpt]]/cfg_TroyOz)</f>
        <v/>
      </c>
      <c r="O472" s="59">
        <f>IF(tblMovement[[#This Row],[Is_Ore]]=1,tblMovement[[#This Row],[Contained_oz]],0)</f>
        <v/>
      </c>
    </row>
    <row r="473">
      <c r="A473" s="54" t="n"/>
      <c r="B473" s="61" t="n"/>
      <c r="C473" s="61" t="n"/>
      <c r="D473" s="61" t="n"/>
      <c r="E473" s="61" t="n"/>
      <c r="F473" s="55" t="n"/>
      <c r="G473" s="56" t="n"/>
      <c r="H473" s="55" t="n"/>
      <c r="I473" s="62" t="n"/>
      <c r="J473" s="58" t="n"/>
      <c r="K473" s="63">
        <f>IF(tblMovement[[#This Row],[Source]]="","",IFERROR(INDEX(tblSources[Type],MATCH(tblMovement[[#This Row],[Source]],tblSources[Source],0)),"?"))</f>
        <v/>
      </c>
      <c r="L473" s="63">
        <f>IF(tblMovement[[#This Row],[Destination]]="","",IFERROR(INDEX(tblDestinations[Type],MATCH(tblMovement[[#This Row],[Destination]],tblDestinations[Destination],0)),"?"))</f>
        <v/>
      </c>
      <c r="M473" s="64">
        <f>IF(tblMovement[[#This Row],[Material]]="","",IF(LEFT(tblMovement[[#This Row],[Material]],3)="Ore",1,0))</f>
        <v/>
      </c>
      <c r="N473" s="59">
        <f>IF(OR(tblMovement[[#This Row],[Tonnes_t]]="",tblMovement[[#This Row],[Grade_gpt]]=""),0,tblMovement[[#This Row],[Tonnes_t]]*tblMovement[[#This Row],[Grade_gpt]]/cfg_TroyOz)</f>
        <v/>
      </c>
      <c r="O473" s="59">
        <f>IF(tblMovement[[#This Row],[Is_Ore]]=1,tblMovement[[#This Row],[Contained_oz]],0)</f>
        <v/>
      </c>
    </row>
    <row r="474">
      <c r="A474" s="54" t="n"/>
      <c r="B474" s="61" t="n"/>
      <c r="C474" s="61" t="n"/>
      <c r="D474" s="61" t="n"/>
      <c r="E474" s="61" t="n"/>
      <c r="F474" s="55" t="n"/>
      <c r="G474" s="56" t="n"/>
      <c r="H474" s="55" t="n"/>
      <c r="I474" s="62" t="n"/>
      <c r="J474" s="58" t="n"/>
      <c r="K474" s="63">
        <f>IF(tblMovement[[#This Row],[Source]]="","",IFERROR(INDEX(tblSources[Type],MATCH(tblMovement[[#This Row],[Source]],tblSources[Source],0)),"?"))</f>
        <v/>
      </c>
      <c r="L474" s="63">
        <f>IF(tblMovement[[#This Row],[Destination]]="","",IFERROR(INDEX(tblDestinations[Type],MATCH(tblMovement[[#This Row],[Destination]],tblDestinations[Destination],0)),"?"))</f>
        <v/>
      </c>
      <c r="M474" s="64">
        <f>IF(tblMovement[[#This Row],[Material]]="","",IF(LEFT(tblMovement[[#This Row],[Material]],3)="Ore",1,0))</f>
        <v/>
      </c>
      <c r="N474" s="59">
        <f>IF(OR(tblMovement[[#This Row],[Tonnes_t]]="",tblMovement[[#This Row],[Grade_gpt]]=""),0,tblMovement[[#This Row],[Tonnes_t]]*tblMovement[[#This Row],[Grade_gpt]]/cfg_TroyOz)</f>
        <v/>
      </c>
      <c r="O474" s="59">
        <f>IF(tblMovement[[#This Row],[Is_Ore]]=1,tblMovement[[#This Row],[Contained_oz]],0)</f>
        <v/>
      </c>
    </row>
    <row r="475">
      <c r="A475" s="54" t="n"/>
      <c r="B475" s="61" t="n"/>
      <c r="C475" s="61" t="n"/>
      <c r="D475" s="61" t="n"/>
      <c r="E475" s="61" t="n"/>
      <c r="F475" s="55" t="n"/>
      <c r="G475" s="56" t="n"/>
      <c r="H475" s="55" t="n"/>
      <c r="I475" s="62" t="n"/>
      <c r="J475" s="58" t="n"/>
      <c r="K475" s="63">
        <f>IF(tblMovement[[#This Row],[Source]]="","",IFERROR(INDEX(tblSources[Type],MATCH(tblMovement[[#This Row],[Source]],tblSources[Source],0)),"?"))</f>
        <v/>
      </c>
      <c r="L475" s="63">
        <f>IF(tblMovement[[#This Row],[Destination]]="","",IFERROR(INDEX(tblDestinations[Type],MATCH(tblMovement[[#This Row],[Destination]],tblDestinations[Destination],0)),"?"))</f>
        <v/>
      </c>
      <c r="M475" s="64">
        <f>IF(tblMovement[[#This Row],[Material]]="","",IF(LEFT(tblMovement[[#This Row],[Material]],3)="Ore",1,0))</f>
        <v/>
      </c>
      <c r="N475" s="59">
        <f>IF(OR(tblMovement[[#This Row],[Tonnes_t]]="",tblMovement[[#This Row],[Grade_gpt]]=""),0,tblMovement[[#This Row],[Tonnes_t]]*tblMovement[[#This Row],[Grade_gpt]]/cfg_TroyOz)</f>
        <v/>
      </c>
      <c r="O475" s="59">
        <f>IF(tblMovement[[#This Row],[Is_Ore]]=1,tblMovement[[#This Row],[Contained_oz]],0)</f>
        <v/>
      </c>
    </row>
    <row r="476">
      <c r="A476" s="54" t="n"/>
      <c r="B476" s="61" t="n"/>
      <c r="C476" s="61" t="n"/>
      <c r="D476" s="61" t="n"/>
      <c r="E476" s="61" t="n"/>
      <c r="F476" s="55" t="n"/>
      <c r="G476" s="56" t="n"/>
      <c r="H476" s="55" t="n"/>
      <c r="I476" s="62" t="n"/>
      <c r="J476" s="58" t="n"/>
      <c r="K476" s="63">
        <f>IF(tblMovement[[#This Row],[Source]]="","",IFERROR(INDEX(tblSources[Type],MATCH(tblMovement[[#This Row],[Source]],tblSources[Source],0)),"?"))</f>
        <v/>
      </c>
      <c r="L476" s="63">
        <f>IF(tblMovement[[#This Row],[Destination]]="","",IFERROR(INDEX(tblDestinations[Type],MATCH(tblMovement[[#This Row],[Destination]],tblDestinations[Destination],0)),"?"))</f>
        <v/>
      </c>
      <c r="M476" s="64">
        <f>IF(tblMovement[[#This Row],[Material]]="","",IF(LEFT(tblMovement[[#This Row],[Material]],3)="Ore",1,0))</f>
        <v/>
      </c>
      <c r="N476" s="59">
        <f>IF(OR(tblMovement[[#This Row],[Tonnes_t]]="",tblMovement[[#This Row],[Grade_gpt]]=""),0,tblMovement[[#This Row],[Tonnes_t]]*tblMovement[[#This Row],[Grade_gpt]]/cfg_TroyOz)</f>
        <v/>
      </c>
      <c r="O476" s="59">
        <f>IF(tblMovement[[#This Row],[Is_Ore]]=1,tblMovement[[#This Row],[Contained_oz]],0)</f>
        <v/>
      </c>
    </row>
    <row r="477">
      <c r="A477" s="54" t="n"/>
      <c r="B477" s="61" t="n"/>
      <c r="C477" s="61" t="n"/>
      <c r="D477" s="61" t="n"/>
      <c r="E477" s="61" t="n"/>
      <c r="F477" s="55" t="n"/>
      <c r="G477" s="56" t="n"/>
      <c r="H477" s="55" t="n"/>
      <c r="I477" s="62" t="n"/>
      <c r="J477" s="58" t="n"/>
      <c r="K477" s="63">
        <f>IF(tblMovement[[#This Row],[Source]]="","",IFERROR(INDEX(tblSources[Type],MATCH(tblMovement[[#This Row],[Source]],tblSources[Source],0)),"?"))</f>
        <v/>
      </c>
      <c r="L477" s="63">
        <f>IF(tblMovement[[#This Row],[Destination]]="","",IFERROR(INDEX(tblDestinations[Type],MATCH(tblMovement[[#This Row],[Destination]],tblDestinations[Destination],0)),"?"))</f>
        <v/>
      </c>
      <c r="M477" s="64">
        <f>IF(tblMovement[[#This Row],[Material]]="","",IF(LEFT(tblMovement[[#This Row],[Material]],3)="Ore",1,0))</f>
        <v/>
      </c>
      <c r="N477" s="59">
        <f>IF(OR(tblMovement[[#This Row],[Tonnes_t]]="",tblMovement[[#This Row],[Grade_gpt]]=""),0,tblMovement[[#This Row],[Tonnes_t]]*tblMovement[[#This Row],[Grade_gpt]]/cfg_TroyOz)</f>
        <v/>
      </c>
      <c r="O477" s="59">
        <f>IF(tblMovement[[#This Row],[Is_Ore]]=1,tblMovement[[#This Row],[Contained_oz]],0)</f>
        <v/>
      </c>
    </row>
    <row r="478">
      <c r="A478" s="54" t="n"/>
      <c r="B478" s="61" t="n"/>
      <c r="C478" s="61" t="n"/>
      <c r="D478" s="61" t="n"/>
      <c r="E478" s="61" t="n"/>
      <c r="F478" s="55" t="n"/>
      <c r="G478" s="56" t="n"/>
      <c r="H478" s="55" t="n"/>
      <c r="I478" s="62" t="n"/>
      <c r="J478" s="58" t="n"/>
      <c r="K478" s="63">
        <f>IF(tblMovement[[#This Row],[Source]]="","",IFERROR(INDEX(tblSources[Type],MATCH(tblMovement[[#This Row],[Source]],tblSources[Source],0)),"?"))</f>
        <v/>
      </c>
      <c r="L478" s="63">
        <f>IF(tblMovement[[#This Row],[Destination]]="","",IFERROR(INDEX(tblDestinations[Type],MATCH(tblMovement[[#This Row],[Destination]],tblDestinations[Destination],0)),"?"))</f>
        <v/>
      </c>
      <c r="M478" s="64">
        <f>IF(tblMovement[[#This Row],[Material]]="","",IF(LEFT(tblMovement[[#This Row],[Material]],3)="Ore",1,0))</f>
        <v/>
      </c>
      <c r="N478" s="59">
        <f>IF(OR(tblMovement[[#This Row],[Tonnes_t]]="",tblMovement[[#This Row],[Grade_gpt]]=""),0,tblMovement[[#This Row],[Tonnes_t]]*tblMovement[[#This Row],[Grade_gpt]]/cfg_TroyOz)</f>
        <v/>
      </c>
      <c r="O478" s="59">
        <f>IF(tblMovement[[#This Row],[Is_Ore]]=1,tblMovement[[#This Row],[Contained_oz]],0)</f>
        <v/>
      </c>
    </row>
    <row r="479">
      <c r="A479" s="54" t="n"/>
      <c r="B479" s="61" t="n"/>
      <c r="C479" s="61" t="n"/>
      <c r="D479" s="61" t="n"/>
      <c r="E479" s="61" t="n"/>
      <c r="F479" s="55" t="n"/>
      <c r="G479" s="56" t="n"/>
      <c r="H479" s="55" t="n"/>
      <c r="I479" s="62" t="n"/>
      <c r="J479" s="58" t="n"/>
      <c r="K479" s="63">
        <f>IF(tblMovement[[#This Row],[Source]]="","",IFERROR(INDEX(tblSources[Type],MATCH(tblMovement[[#This Row],[Source]],tblSources[Source],0)),"?"))</f>
        <v/>
      </c>
      <c r="L479" s="63">
        <f>IF(tblMovement[[#This Row],[Destination]]="","",IFERROR(INDEX(tblDestinations[Type],MATCH(tblMovement[[#This Row],[Destination]],tblDestinations[Destination],0)),"?"))</f>
        <v/>
      </c>
      <c r="M479" s="64">
        <f>IF(tblMovement[[#This Row],[Material]]="","",IF(LEFT(tblMovement[[#This Row],[Material]],3)="Ore",1,0))</f>
        <v/>
      </c>
      <c r="N479" s="59">
        <f>IF(OR(tblMovement[[#This Row],[Tonnes_t]]="",tblMovement[[#This Row],[Grade_gpt]]=""),0,tblMovement[[#This Row],[Tonnes_t]]*tblMovement[[#This Row],[Grade_gpt]]/cfg_TroyOz)</f>
        <v/>
      </c>
      <c r="O479" s="59">
        <f>IF(tblMovement[[#This Row],[Is_Ore]]=1,tblMovement[[#This Row],[Contained_oz]],0)</f>
        <v/>
      </c>
    </row>
    <row r="480">
      <c r="A480" s="54" t="n"/>
      <c r="B480" s="61" t="n"/>
      <c r="C480" s="61" t="n"/>
      <c r="D480" s="61" t="n"/>
      <c r="E480" s="61" t="n"/>
      <c r="F480" s="55" t="n"/>
      <c r="G480" s="56" t="n"/>
      <c r="H480" s="55" t="n"/>
      <c r="I480" s="62" t="n"/>
      <c r="J480" s="58" t="n"/>
      <c r="K480" s="63">
        <f>IF(tblMovement[[#This Row],[Source]]="","",IFERROR(INDEX(tblSources[Type],MATCH(tblMovement[[#This Row],[Source]],tblSources[Source],0)),"?"))</f>
        <v/>
      </c>
      <c r="L480" s="63">
        <f>IF(tblMovement[[#This Row],[Destination]]="","",IFERROR(INDEX(tblDestinations[Type],MATCH(tblMovement[[#This Row],[Destination]],tblDestinations[Destination],0)),"?"))</f>
        <v/>
      </c>
      <c r="M480" s="64">
        <f>IF(tblMovement[[#This Row],[Material]]="","",IF(LEFT(tblMovement[[#This Row],[Material]],3)="Ore",1,0))</f>
        <v/>
      </c>
      <c r="N480" s="59">
        <f>IF(OR(tblMovement[[#This Row],[Tonnes_t]]="",tblMovement[[#This Row],[Grade_gpt]]=""),0,tblMovement[[#This Row],[Tonnes_t]]*tblMovement[[#This Row],[Grade_gpt]]/cfg_TroyOz)</f>
        <v/>
      </c>
      <c r="O480" s="59">
        <f>IF(tblMovement[[#This Row],[Is_Ore]]=1,tblMovement[[#This Row],[Contained_oz]],0)</f>
        <v/>
      </c>
    </row>
    <row r="481">
      <c r="A481" s="54" t="n"/>
      <c r="B481" s="61" t="n"/>
      <c r="C481" s="61" t="n"/>
      <c r="D481" s="61" t="n"/>
      <c r="E481" s="61" t="n"/>
      <c r="F481" s="55" t="n"/>
      <c r="G481" s="56" t="n"/>
      <c r="H481" s="55" t="n"/>
      <c r="I481" s="62" t="n"/>
      <c r="J481" s="58" t="n"/>
      <c r="K481" s="63">
        <f>IF(tblMovement[[#This Row],[Source]]="","",IFERROR(INDEX(tblSources[Type],MATCH(tblMovement[[#This Row],[Source]],tblSources[Source],0)),"?"))</f>
        <v/>
      </c>
      <c r="L481" s="63">
        <f>IF(tblMovement[[#This Row],[Destination]]="","",IFERROR(INDEX(tblDestinations[Type],MATCH(tblMovement[[#This Row],[Destination]],tblDestinations[Destination],0)),"?"))</f>
        <v/>
      </c>
      <c r="M481" s="64">
        <f>IF(tblMovement[[#This Row],[Material]]="","",IF(LEFT(tblMovement[[#This Row],[Material]],3)="Ore",1,0))</f>
        <v/>
      </c>
      <c r="N481" s="59">
        <f>IF(OR(tblMovement[[#This Row],[Tonnes_t]]="",tblMovement[[#This Row],[Grade_gpt]]=""),0,tblMovement[[#This Row],[Tonnes_t]]*tblMovement[[#This Row],[Grade_gpt]]/cfg_TroyOz)</f>
        <v/>
      </c>
      <c r="O481" s="59">
        <f>IF(tblMovement[[#This Row],[Is_Ore]]=1,tblMovement[[#This Row],[Contained_oz]],0)</f>
        <v/>
      </c>
    </row>
    <row r="482">
      <c r="A482" s="54" t="n"/>
      <c r="B482" s="61" t="n"/>
      <c r="C482" s="61" t="n"/>
      <c r="D482" s="61" t="n"/>
      <c r="E482" s="61" t="n"/>
      <c r="F482" s="55" t="n"/>
      <c r="G482" s="56" t="n"/>
      <c r="H482" s="55" t="n"/>
      <c r="I482" s="62" t="n"/>
      <c r="J482" s="58" t="n"/>
      <c r="K482" s="63">
        <f>IF(tblMovement[[#This Row],[Source]]="","",IFERROR(INDEX(tblSources[Type],MATCH(tblMovement[[#This Row],[Source]],tblSources[Source],0)),"?"))</f>
        <v/>
      </c>
      <c r="L482" s="63">
        <f>IF(tblMovement[[#This Row],[Destination]]="","",IFERROR(INDEX(tblDestinations[Type],MATCH(tblMovement[[#This Row],[Destination]],tblDestinations[Destination],0)),"?"))</f>
        <v/>
      </c>
      <c r="M482" s="64">
        <f>IF(tblMovement[[#This Row],[Material]]="","",IF(LEFT(tblMovement[[#This Row],[Material]],3)="Ore",1,0))</f>
        <v/>
      </c>
      <c r="N482" s="59">
        <f>IF(OR(tblMovement[[#This Row],[Tonnes_t]]="",tblMovement[[#This Row],[Grade_gpt]]=""),0,tblMovement[[#This Row],[Tonnes_t]]*tblMovement[[#This Row],[Grade_gpt]]/cfg_TroyOz)</f>
        <v/>
      </c>
      <c r="O482" s="59">
        <f>IF(tblMovement[[#This Row],[Is_Ore]]=1,tblMovement[[#This Row],[Contained_oz]],0)</f>
        <v/>
      </c>
    </row>
    <row r="483">
      <c r="A483" s="54" t="n"/>
      <c r="B483" s="61" t="n"/>
      <c r="C483" s="61" t="n"/>
      <c r="D483" s="61" t="n"/>
      <c r="E483" s="61" t="n"/>
      <c r="F483" s="55" t="n"/>
      <c r="G483" s="56" t="n"/>
      <c r="H483" s="55" t="n"/>
      <c r="I483" s="62" t="n"/>
      <c r="J483" s="58" t="n"/>
      <c r="K483" s="63">
        <f>IF(tblMovement[[#This Row],[Source]]="","",IFERROR(INDEX(tblSources[Type],MATCH(tblMovement[[#This Row],[Source]],tblSources[Source],0)),"?"))</f>
        <v/>
      </c>
      <c r="L483" s="63">
        <f>IF(tblMovement[[#This Row],[Destination]]="","",IFERROR(INDEX(tblDestinations[Type],MATCH(tblMovement[[#This Row],[Destination]],tblDestinations[Destination],0)),"?"))</f>
        <v/>
      </c>
      <c r="M483" s="64">
        <f>IF(tblMovement[[#This Row],[Material]]="","",IF(LEFT(tblMovement[[#This Row],[Material]],3)="Ore",1,0))</f>
        <v/>
      </c>
      <c r="N483" s="59">
        <f>IF(OR(tblMovement[[#This Row],[Tonnes_t]]="",tblMovement[[#This Row],[Grade_gpt]]=""),0,tblMovement[[#This Row],[Tonnes_t]]*tblMovement[[#This Row],[Grade_gpt]]/cfg_TroyOz)</f>
        <v/>
      </c>
      <c r="O483" s="59">
        <f>IF(tblMovement[[#This Row],[Is_Ore]]=1,tblMovement[[#This Row],[Contained_oz]],0)</f>
        <v/>
      </c>
    </row>
    <row r="484">
      <c r="A484" s="54" t="n"/>
      <c r="B484" s="61" t="n"/>
      <c r="C484" s="61" t="n"/>
      <c r="D484" s="61" t="n"/>
      <c r="E484" s="61" t="n"/>
      <c r="F484" s="55" t="n"/>
      <c r="G484" s="56" t="n"/>
      <c r="H484" s="55" t="n"/>
      <c r="I484" s="62" t="n"/>
      <c r="J484" s="58" t="n"/>
      <c r="K484" s="63">
        <f>IF(tblMovement[[#This Row],[Source]]="","",IFERROR(INDEX(tblSources[Type],MATCH(tblMovement[[#This Row],[Source]],tblSources[Source],0)),"?"))</f>
        <v/>
      </c>
      <c r="L484" s="63">
        <f>IF(tblMovement[[#This Row],[Destination]]="","",IFERROR(INDEX(tblDestinations[Type],MATCH(tblMovement[[#This Row],[Destination]],tblDestinations[Destination],0)),"?"))</f>
        <v/>
      </c>
      <c r="M484" s="64">
        <f>IF(tblMovement[[#This Row],[Material]]="","",IF(LEFT(tblMovement[[#This Row],[Material]],3)="Ore",1,0))</f>
        <v/>
      </c>
      <c r="N484" s="59">
        <f>IF(OR(tblMovement[[#This Row],[Tonnes_t]]="",tblMovement[[#This Row],[Grade_gpt]]=""),0,tblMovement[[#This Row],[Tonnes_t]]*tblMovement[[#This Row],[Grade_gpt]]/cfg_TroyOz)</f>
        <v/>
      </c>
      <c r="O484" s="59">
        <f>IF(tblMovement[[#This Row],[Is_Ore]]=1,tblMovement[[#This Row],[Contained_oz]],0)</f>
        <v/>
      </c>
    </row>
    <row r="485">
      <c r="A485" s="54" t="n"/>
      <c r="B485" s="61" t="n"/>
      <c r="C485" s="61" t="n"/>
      <c r="D485" s="61" t="n"/>
      <c r="E485" s="61" t="n"/>
      <c r="F485" s="55" t="n"/>
      <c r="G485" s="56" t="n"/>
      <c r="H485" s="55" t="n"/>
      <c r="I485" s="62" t="n"/>
      <c r="J485" s="58" t="n"/>
      <c r="K485" s="63">
        <f>IF(tblMovement[[#This Row],[Source]]="","",IFERROR(INDEX(tblSources[Type],MATCH(tblMovement[[#This Row],[Source]],tblSources[Source],0)),"?"))</f>
        <v/>
      </c>
      <c r="L485" s="63">
        <f>IF(tblMovement[[#This Row],[Destination]]="","",IFERROR(INDEX(tblDestinations[Type],MATCH(tblMovement[[#This Row],[Destination]],tblDestinations[Destination],0)),"?"))</f>
        <v/>
      </c>
      <c r="M485" s="64">
        <f>IF(tblMovement[[#This Row],[Material]]="","",IF(LEFT(tblMovement[[#This Row],[Material]],3)="Ore",1,0))</f>
        <v/>
      </c>
      <c r="N485" s="59">
        <f>IF(OR(tblMovement[[#This Row],[Tonnes_t]]="",tblMovement[[#This Row],[Grade_gpt]]=""),0,tblMovement[[#This Row],[Tonnes_t]]*tblMovement[[#This Row],[Grade_gpt]]/cfg_TroyOz)</f>
        <v/>
      </c>
      <c r="O485" s="59">
        <f>IF(tblMovement[[#This Row],[Is_Ore]]=1,tblMovement[[#This Row],[Contained_oz]],0)</f>
        <v/>
      </c>
    </row>
    <row r="486">
      <c r="A486" s="54" t="n"/>
      <c r="B486" s="61" t="n"/>
      <c r="C486" s="61" t="n"/>
      <c r="D486" s="61" t="n"/>
      <c r="E486" s="61" t="n"/>
      <c r="F486" s="55" t="n"/>
      <c r="G486" s="56" t="n"/>
      <c r="H486" s="55" t="n"/>
      <c r="I486" s="62" t="n"/>
      <c r="J486" s="58" t="n"/>
      <c r="K486" s="63">
        <f>IF(tblMovement[[#This Row],[Source]]="","",IFERROR(INDEX(tblSources[Type],MATCH(tblMovement[[#This Row],[Source]],tblSources[Source],0)),"?"))</f>
        <v/>
      </c>
      <c r="L486" s="63">
        <f>IF(tblMovement[[#This Row],[Destination]]="","",IFERROR(INDEX(tblDestinations[Type],MATCH(tblMovement[[#This Row],[Destination]],tblDestinations[Destination],0)),"?"))</f>
        <v/>
      </c>
      <c r="M486" s="64">
        <f>IF(tblMovement[[#This Row],[Material]]="","",IF(LEFT(tblMovement[[#This Row],[Material]],3)="Ore",1,0))</f>
        <v/>
      </c>
      <c r="N486" s="59">
        <f>IF(OR(tblMovement[[#This Row],[Tonnes_t]]="",tblMovement[[#This Row],[Grade_gpt]]=""),0,tblMovement[[#This Row],[Tonnes_t]]*tblMovement[[#This Row],[Grade_gpt]]/cfg_TroyOz)</f>
        <v/>
      </c>
      <c r="O486" s="59">
        <f>IF(tblMovement[[#This Row],[Is_Ore]]=1,tblMovement[[#This Row],[Contained_oz]],0)</f>
        <v/>
      </c>
    </row>
    <row r="487">
      <c r="A487" s="54" t="n"/>
      <c r="B487" s="61" t="n"/>
      <c r="C487" s="61" t="n"/>
      <c r="D487" s="61" t="n"/>
      <c r="E487" s="61" t="n"/>
      <c r="F487" s="55" t="n"/>
      <c r="G487" s="56" t="n"/>
      <c r="H487" s="55" t="n"/>
      <c r="I487" s="62" t="n"/>
      <c r="J487" s="58" t="n"/>
      <c r="K487" s="63">
        <f>IF(tblMovement[[#This Row],[Source]]="","",IFERROR(INDEX(tblSources[Type],MATCH(tblMovement[[#This Row],[Source]],tblSources[Source],0)),"?"))</f>
        <v/>
      </c>
      <c r="L487" s="63">
        <f>IF(tblMovement[[#This Row],[Destination]]="","",IFERROR(INDEX(tblDestinations[Type],MATCH(tblMovement[[#This Row],[Destination]],tblDestinations[Destination],0)),"?"))</f>
        <v/>
      </c>
      <c r="M487" s="64">
        <f>IF(tblMovement[[#This Row],[Material]]="","",IF(LEFT(tblMovement[[#This Row],[Material]],3)="Ore",1,0))</f>
        <v/>
      </c>
      <c r="N487" s="59">
        <f>IF(OR(tblMovement[[#This Row],[Tonnes_t]]="",tblMovement[[#This Row],[Grade_gpt]]=""),0,tblMovement[[#This Row],[Tonnes_t]]*tblMovement[[#This Row],[Grade_gpt]]/cfg_TroyOz)</f>
        <v/>
      </c>
      <c r="O487" s="59">
        <f>IF(tblMovement[[#This Row],[Is_Ore]]=1,tblMovement[[#This Row],[Contained_oz]],0)</f>
        <v/>
      </c>
    </row>
    <row r="488">
      <c r="A488" s="54" t="n"/>
      <c r="B488" s="61" t="n"/>
      <c r="C488" s="61" t="n"/>
      <c r="D488" s="61" t="n"/>
      <c r="E488" s="61" t="n"/>
      <c r="F488" s="55" t="n"/>
      <c r="G488" s="56" t="n"/>
      <c r="H488" s="55" t="n"/>
      <c r="I488" s="62" t="n"/>
      <c r="J488" s="58" t="n"/>
      <c r="K488" s="63">
        <f>IF(tblMovement[[#This Row],[Source]]="","",IFERROR(INDEX(tblSources[Type],MATCH(tblMovement[[#This Row],[Source]],tblSources[Source],0)),"?"))</f>
        <v/>
      </c>
      <c r="L488" s="63">
        <f>IF(tblMovement[[#This Row],[Destination]]="","",IFERROR(INDEX(tblDestinations[Type],MATCH(tblMovement[[#This Row],[Destination]],tblDestinations[Destination],0)),"?"))</f>
        <v/>
      </c>
      <c r="M488" s="64">
        <f>IF(tblMovement[[#This Row],[Material]]="","",IF(LEFT(tblMovement[[#This Row],[Material]],3)="Ore",1,0))</f>
        <v/>
      </c>
      <c r="N488" s="59">
        <f>IF(OR(tblMovement[[#This Row],[Tonnes_t]]="",tblMovement[[#This Row],[Grade_gpt]]=""),0,tblMovement[[#This Row],[Tonnes_t]]*tblMovement[[#This Row],[Grade_gpt]]/cfg_TroyOz)</f>
        <v/>
      </c>
      <c r="O488" s="59">
        <f>IF(tblMovement[[#This Row],[Is_Ore]]=1,tblMovement[[#This Row],[Contained_oz]],0)</f>
        <v/>
      </c>
    </row>
    <row r="489">
      <c r="A489" s="54" t="n"/>
      <c r="B489" s="61" t="n"/>
      <c r="C489" s="61" t="n"/>
      <c r="D489" s="61" t="n"/>
      <c r="E489" s="61" t="n"/>
      <c r="F489" s="55" t="n"/>
      <c r="G489" s="56" t="n"/>
      <c r="H489" s="55" t="n"/>
      <c r="I489" s="62" t="n"/>
      <c r="J489" s="58" t="n"/>
      <c r="K489" s="63">
        <f>IF(tblMovement[[#This Row],[Source]]="","",IFERROR(INDEX(tblSources[Type],MATCH(tblMovement[[#This Row],[Source]],tblSources[Source],0)),"?"))</f>
        <v/>
      </c>
      <c r="L489" s="63">
        <f>IF(tblMovement[[#This Row],[Destination]]="","",IFERROR(INDEX(tblDestinations[Type],MATCH(tblMovement[[#This Row],[Destination]],tblDestinations[Destination],0)),"?"))</f>
        <v/>
      </c>
      <c r="M489" s="64">
        <f>IF(tblMovement[[#This Row],[Material]]="","",IF(LEFT(tblMovement[[#This Row],[Material]],3)="Ore",1,0))</f>
        <v/>
      </c>
      <c r="N489" s="59">
        <f>IF(OR(tblMovement[[#This Row],[Tonnes_t]]="",tblMovement[[#This Row],[Grade_gpt]]=""),0,tblMovement[[#This Row],[Tonnes_t]]*tblMovement[[#This Row],[Grade_gpt]]/cfg_TroyOz)</f>
        <v/>
      </c>
      <c r="O489" s="59">
        <f>IF(tblMovement[[#This Row],[Is_Ore]]=1,tblMovement[[#This Row],[Contained_oz]],0)</f>
        <v/>
      </c>
    </row>
    <row r="490">
      <c r="A490" s="54" t="n"/>
      <c r="B490" s="61" t="n"/>
      <c r="C490" s="61" t="n"/>
      <c r="D490" s="61" t="n"/>
      <c r="E490" s="61" t="n"/>
      <c r="F490" s="55" t="n"/>
      <c r="G490" s="56" t="n"/>
      <c r="H490" s="55" t="n"/>
      <c r="I490" s="62" t="n"/>
      <c r="J490" s="58" t="n"/>
      <c r="K490" s="63">
        <f>IF(tblMovement[[#This Row],[Source]]="","",IFERROR(INDEX(tblSources[Type],MATCH(tblMovement[[#This Row],[Source]],tblSources[Source],0)),"?"))</f>
        <v/>
      </c>
      <c r="L490" s="63">
        <f>IF(tblMovement[[#This Row],[Destination]]="","",IFERROR(INDEX(tblDestinations[Type],MATCH(tblMovement[[#This Row],[Destination]],tblDestinations[Destination],0)),"?"))</f>
        <v/>
      </c>
      <c r="M490" s="64">
        <f>IF(tblMovement[[#This Row],[Material]]="","",IF(LEFT(tblMovement[[#This Row],[Material]],3)="Ore",1,0))</f>
        <v/>
      </c>
      <c r="N490" s="59">
        <f>IF(OR(tblMovement[[#This Row],[Tonnes_t]]="",tblMovement[[#This Row],[Grade_gpt]]=""),0,tblMovement[[#This Row],[Tonnes_t]]*tblMovement[[#This Row],[Grade_gpt]]/cfg_TroyOz)</f>
        <v/>
      </c>
      <c r="O490" s="59">
        <f>IF(tblMovement[[#This Row],[Is_Ore]]=1,tblMovement[[#This Row],[Contained_oz]],0)</f>
        <v/>
      </c>
    </row>
    <row r="491">
      <c r="A491" s="54" t="n"/>
      <c r="B491" s="61" t="n"/>
      <c r="C491" s="61" t="n"/>
      <c r="D491" s="61" t="n"/>
      <c r="E491" s="61" t="n"/>
      <c r="F491" s="55" t="n"/>
      <c r="G491" s="56" t="n"/>
      <c r="H491" s="55" t="n"/>
      <c r="I491" s="62" t="n"/>
      <c r="J491" s="58" t="n"/>
      <c r="K491" s="63">
        <f>IF(tblMovement[[#This Row],[Source]]="","",IFERROR(INDEX(tblSources[Type],MATCH(tblMovement[[#This Row],[Source]],tblSources[Source],0)),"?"))</f>
        <v/>
      </c>
      <c r="L491" s="63">
        <f>IF(tblMovement[[#This Row],[Destination]]="","",IFERROR(INDEX(tblDestinations[Type],MATCH(tblMovement[[#This Row],[Destination]],tblDestinations[Destination],0)),"?"))</f>
        <v/>
      </c>
      <c r="M491" s="64">
        <f>IF(tblMovement[[#This Row],[Material]]="","",IF(LEFT(tblMovement[[#This Row],[Material]],3)="Ore",1,0))</f>
        <v/>
      </c>
      <c r="N491" s="59">
        <f>IF(OR(tblMovement[[#This Row],[Tonnes_t]]="",tblMovement[[#This Row],[Grade_gpt]]=""),0,tblMovement[[#This Row],[Tonnes_t]]*tblMovement[[#This Row],[Grade_gpt]]/cfg_TroyOz)</f>
        <v/>
      </c>
      <c r="O491" s="59">
        <f>IF(tblMovement[[#This Row],[Is_Ore]]=1,tblMovement[[#This Row],[Contained_oz]],0)</f>
        <v/>
      </c>
    </row>
    <row r="492">
      <c r="A492" s="54" t="n"/>
      <c r="B492" s="61" t="n"/>
      <c r="C492" s="61" t="n"/>
      <c r="D492" s="61" t="n"/>
      <c r="E492" s="61" t="n"/>
      <c r="F492" s="55" t="n"/>
      <c r="G492" s="56" t="n"/>
      <c r="H492" s="55" t="n"/>
      <c r="I492" s="62" t="n"/>
      <c r="J492" s="58" t="n"/>
      <c r="K492" s="63">
        <f>IF(tblMovement[[#This Row],[Source]]="","",IFERROR(INDEX(tblSources[Type],MATCH(tblMovement[[#This Row],[Source]],tblSources[Source],0)),"?"))</f>
        <v/>
      </c>
      <c r="L492" s="63">
        <f>IF(tblMovement[[#This Row],[Destination]]="","",IFERROR(INDEX(tblDestinations[Type],MATCH(tblMovement[[#This Row],[Destination]],tblDestinations[Destination],0)),"?"))</f>
        <v/>
      </c>
      <c r="M492" s="64">
        <f>IF(tblMovement[[#This Row],[Material]]="","",IF(LEFT(tblMovement[[#This Row],[Material]],3)="Ore",1,0))</f>
        <v/>
      </c>
      <c r="N492" s="59">
        <f>IF(OR(tblMovement[[#This Row],[Tonnes_t]]="",tblMovement[[#This Row],[Grade_gpt]]=""),0,tblMovement[[#This Row],[Tonnes_t]]*tblMovement[[#This Row],[Grade_gpt]]/cfg_TroyOz)</f>
        <v/>
      </c>
      <c r="O492" s="59">
        <f>IF(tblMovement[[#This Row],[Is_Ore]]=1,tblMovement[[#This Row],[Contained_oz]],0)</f>
        <v/>
      </c>
    </row>
    <row r="493">
      <c r="A493" s="54" t="n"/>
      <c r="B493" s="61" t="n"/>
      <c r="C493" s="61" t="n"/>
      <c r="D493" s="61" t="n"/>
      <c r="E493" s="61" t="n"/>
      <c r="F493" s="55" t="n"/>
      <c r="G493" s="56" t="n"/>
      <c r="H493" s="55" t="n"/>
      <c r="I493" s="62" t="n"/>
      <c r="J493" s="58" t="n"/>
      <c r="K493" s="63">
        <f>IF(tblMovement[[#This Row],[Source]]="","",IFERROR(INDEX(tblSources[Type],MATCH(tblMovement[[#This Row],[Source]],tblSources[Source],0)),"?"))</f>
        <v/>
      </c>
      <c r="L493" s="63">
        <f>IF(tblMovement[[#This Row],[Destination]]="","",IFERROR(INDEX(tblDestinations[Type],MATCH(tblMovement[[#This Row],[Destination]],tblDestinations[Destination],0)),"?"))</f>
        <v/>
      </c>
      <c r="M493" s="64">
        <f>IF(tblMovement[[#This Row],[Material]]="","",IF(LEFT(tblMovement[[#This Row],[Material]],3)="Ore",1,0))</f>
        <v/>
      </c>
      <c r="N493" s="59">
        <f>IF(OR(tblMovement[[#This Row],[Tonnes_t]]="",tblMovement[[#This Row],[Grade_gpt]]=""),0,tblMovement[[#This Row],[Tonnes_t]]*tblMovement[[#This Row],[Grade_gpt]]/cfg_TroyOz)</f>
        <v/>
      </c>
      <c r="O493" s="59">
        <f>IF(tblMovement[[#This Row],[Is_Ore]]=1,tblMovement[[#This Row],[Contained_oz]],0)</f>
        <v/>
      </c>
    </row>
    <row r="494">
      <c r="A494" s="54" t="n"/>
      <c r="B494" s="61" t="n"/>
      <c r="C494" s="61" t="n"/>
      <c r="D494" s="61" t="n"/>
      <c r="E494" s="61" t="n"/>
      <c r="F494" s="55" t="n"/>
      <c r="G494" s="56" t="n"/>
      <c r="H494" s="55" t="n"/>
      <c r="I494" s="62" t="n"/>
      <c r="J494" s="58" t="n"/>
      <c r="K494" s="63">
        <f>IF(tblMovement[[#This Row],[Source]]="","",IFERROR(INDEX(tblSources[Type],MATCH(tblMovement[[#This Row],[Source]],tblSources[Source],0)),"?"))</f>
        <v/>
      </c>
      <c r="L494" s="63">
        <f>IF(tblMovement[[#This Row],[Destination]]="","",IFERROR(INDEX(tblDestinations[Type],MATCH(tblMovement[[#This Row],[Destination]],tblDestinations[Destination],0)),"?"))</f>
        <v/>
      </c>
      <c r="M494" s="64">
        <f>IF(tblMovement[[#This Row],[Material]]="","",IF(LEFT(tblMovement[[#This Row],[Material]],3)="Ore",1,0))</f>
        <v/>
      </c>
      <c r="N494" s="59">
        <f>IF(OR(tblMovement[[#This Row],[Tonnes_t]]="",tblMovement[[#This Row],[Grade_gpt]]=""),0,tblMovement[[#This Row],[Tonnes_t]]*tblMovement[[#This Row],[Grade_gpt]]/cfg_TroyOz)</f>
        <v/>
      </c>
      <c r="O494" s="59">
        <f>IF(tblMovement[[#This Row],[Is_Ore]]=1,tblMovement[[#This Row],[Contained_oz]],0)</f>
        <v/>
      </c>
    </row>
    <row r="495">
      <c r="A495" s="54" t="n"/>
      <c r="B495" s="61" t="n"/>
      <c r="C495" s="61" t="n"/>
      <c r="D495" s="61" t="n"/>
      <c r="E495" s="61" t="n"/>
      <c r="F495" s="55" t="n"/>
      <c r="G495" s="56" t="n"/>
      <c r="H495" s="55" t="n"/>
      <c r="I495" s="62" t="n"/>
      <c r="J495" s="58" t="n"/>
      <c r="K495" s="63">
        <f>IF(tblMovement[[#This Row],[Source]]="","",IFERROR(INDEX(tblSources[Type],MATCH(tblMovement[[#This Row],[Source]],tblSources[Source],0)),"?"))</f>
        <v/>
      </c>
      <c r="L495" s="63">
        <f>IF(tblMovement[[#This Row],[Destination]]="","",IFERROR(INDEX(tblDestinations[Type],MATCH(tblMovement[[#This Row],[Destination]],tblDestinations[Destination],0)),"?"))</f>
        <v/>
      </c>
      <c r="M495" s="64">
        <f>IF(tblMovement[[#This Row],[Material]]="","",IF(LEFT(tblMovement[[#This Row],[Material]],3)="Ore",1,0))</f>
        <v/>
      </c>
      <c r="N495" s="59">
        <f>IF(OR(tblMovement[[#This Row],[Tonnes_t]]="",tblMovement[[#This Row],[Grade_gpt]]=""),0,tblMovement[[#This Row],[Tonnes_t]]*tblMovement[[#This Row],[Grade_gpt]]/cfg_TroyOz)</f>
        <v/>
      </c>
      <c r="O495" s="59">
        <f>IF(tblMovement[[#This Row],[Is_Ore]]=1,tblMovement[[#This Row],[Contained_oz]],0)</f>
        <v/>
      </c>
    </row>
    <row r="496">
      <c r="A496" s="54" t="n"/>
      <c r="B496" s="61" t="n"/>
      <c r="C496" s="61" t="n"/>
      <c r="D496" s="61" t="n"/>
      <c r="E496" s="61" t="n"/>
      <c r="F496" s="55" t="n"/>
      <c r="G496" s="56" t="n"/>
      <c r="H496" s="55" t="n"/>
      <c r="I496" s="62" t="n"/>
      <c r="J496" s="58" t="n"/>
      <c r="K496" s="63">
        <f>IF(tblMovement[[#This Row],[Source]]="","",IFERROR(INDEX(tblSources[Type],MATCH(tblMovement[[#This Row],[Source]],tblSources[Source],0)),"?"))</f>
        <v/>
      </c>
      <c r="L496" s="63">
        <f>IF(tblMovement[[#This Row],[Destination]]="","",IFERROR(INDEX(tblDestinations[Type],MATCH(tblMovement[[#This Row],[Destination]],tblDestinations[Destination],0)),"?"))</f>
        <v/>
      </c>
      <c r="M496" s="64">
        <f>IF(tblMovement[[#This Row],[Material]]="","",IF(LEFT(tblMovement[[#This Row],[Material]],3)="Ore",1,0))</f>
        <v/>
      </c>
      <c r="N496" s="59">
        <f>IF(OR(tblMovement[[#This Row],[Tonnes_t]]="",tblMovement[[#This Row],[Grade_gpt]]=""),0,tblMovement[[#This Row],[Tonnes_t]]*tblMovement[[#This Row],[Grade_gpt]]/cfg_TroyOz)</f>
        <v/>
      </c>
      <c r="O496" s="59">
        <f>IF(tblMovement[[#This Row],[Is_Ore]]=1,tblMovement[[#This Row],[Contained_oz]],0)</f>
        <v/>
      </c>
    </row>
    <row r="497">
      <c r="A497" s="54" t="n"/>
      <c r="B497" s="61" t="n"/>
      <c r="C497" s="61" t="n"/>
      <c r="D497" s="61" t="n"/>
      <c r="E497" s="61" t="n"/>
      <c r="F497" s="55" t="n"/>
      <c r="G497" s="56" t="n"/>
      <c r="H497" s="55" t="n"/>
      <c r="I497" s="62" t="n"/>
      <c r="J497" s="58" t="n"/>
      <c r="K497" s="63">
        <f>IF(tblMovement[[#This Row],[Source]]="","",IFERROR(INDEX(tblSources[Type],MATCH(tblMovement[[#This Row],[Source]],tblSources[Source],0)),"?"))</f>
        <v/>
      </c>
      <c r="L497" s="63">
        <f>IF(tblMovement[[#This Row],[Destination]]="","",IFERROR(INDEX(tblDestinations[Type],MATCH(tblMovement[[#This Row],[Destination]],tblDestinations[Destination],0)),"?"))</f>
        <v/>
      </c>
      <c r="M497" s="64">
        <f>IF(tblMovement[[#This Row],[Material]]="","",IF(LEFT(tblMovement[[#This Row],[Material]],3)="Ore",1,0))</f>
        <v/>
      </c>
      <c r="N497" s="59">
        <f>IF(OR(tblMovement[[#This Row],[Tonnes_t]]="",tblMovement[[#This Row],[Grade_gpt]]=""),0,tblMovement[[#This Row],[Tonnes_t]]*tblMovement[[#This Row],[Grade_gpt]]/cfg_TroyOz)</f>
        <v/>
      </c>
      <c r="O497" s="59">
        <f>IF(tblMovement[[#This Row],[Is_Ore]]=1,tblMovement[[#This Row],[Contained_oz]],0)</f>
        <v/>
      </c>
    </row>
    <row r="498">
      <c r="A498" s="54" t="n"/>
      <c r="B498" s="61" t="n"/>
      <c r="C498" s="61" t="n"/>
      <c r="D498" s="61" t="n"/>
      <c r="E498" s="61" t="n"/>
      <c r="F498" s="55" t="n"/>
      <c r="G498" s="56" t="n"/>
      <c r="H498" s="55" t="n"/>
      <c r="I498" s="62" t="n"/>
      <c r="J498" s="58" t="n"/>
      <c r="K498" s="63">
        <f>IF(tblMovement[[#This Row],[Source]]="","",IFERROR(INDEX(tblSources[Type],MATCH(tblMovement[[#This Row],[Source]],tblSources[Source],0)),"?"))</f>
        <v/>
      </c>
      <c r="L498" s="63">
        <f>IF(tblMovement[[#This Row],[Destination]]="","",IFERROR(INDEX(tblDestinations[Type],MATCH(tblMovement[[#This Row],[Destination]],tblDestinations[Destination],0)),"?"))</f>
        <v/>
      </c>
      <c r="M498" s="64">
        <f>IF(tblMovement[[#This Row],[Material]]="","",IF(LEFT(tblMovement[[#This Row],[Material]],3)="Ore",1,0))</f>
        <v/>
      </c>
      <c r="N498" s="59">
        <f>IF(OR(tblMovement[[#This Row],[Tonnes_t]]="",tblMovement[[#This Row],[Grade_gpt]]=""),0,tblMovement[[#This Row],[Tonnes_t]]*tblMovement[[#This Row],[Grade_gpt]]/cfg_TroyOz)</f>
        <v/>
      </c>
      <c r="O498" s="59">
        <f>IF(tblMovement[[#This Row],[Is_Ore]]=1,tblMovement[[#This Row],[Contained_oz]],0)</f>
        <v/>
      </c>
    </row>
    <row r="499">
      <c r="A499" s="54" t="n"/>
      <c r="B499" s="61" t="n"/>
      <c r="C499" s="61" t="n"/>
      <c r="D499" s="61" t="n"/>
      <c r="E499" s="61" t="n"/>
      <c r="F499" s="55" t="n"/>
      <c r="G499" s="56" t="n"/>
      <c r="H499" s="55" t="n"/>
      <c r="I499" s="62" t="n"/>
      <c r="J499" s="58" t="n"/>
      <c r="K499" s="63">
        <f>IF(tblMovement[[#This Row],[Source]]="","",IFERROR(INDEX(tblSources[Type],MATCH(tblMovement[[#This Row],[Source]],tblSources[Source],0)),"?"))</f>
        <v/>
      </c>
      <c r="L499" s="63">
        <f>IF(tblMovement[[#This Row],[Destination]]="","",IFERROR(INDEX(tblDestinations[Type],MATCH(tblMovement[[#This Row],[Destination]],tblDestinations[Destination],0)),"?"))</f>
        <v/>
      </c>
      <c r="M499" s="64">
        <f>IF(tblMovement[[#This Row],[Material]]="","",IF(LEFT(tblMovement[[#This Row],[Material]],3)="Ore",1,0))</f>
        <v/>
      </c>
      <c r="N499" s="59">
        <f>IF(OR(tblMovement[[#This Row],[Tonnes_t]]="",tblMovement[[#This Row],[Grade_gpt]]=""),0,tblMovement[[#This Row],[Tonnes_t]]*tblMovement[[#This Row],[Grade_gpt]]/cfg_TroyOz)</f>
        <v/>
      </c>
      <c r="O499" s="59">
        <f>IF(tblMovement[[#This Row],[Is_Ore]]=1,tblMovement[[#This Row],[Contained_oz]],0)</f>
        <v/>
      </c>
    </row>
    <row r="500">
      <c r="A500" s="54" t="n"/>
      <c r="B500" s="61" t="n"/>
      <c r="C500" s="61" t="n"/>
      <c r="D500" s="61" t="n"/>
      <c r="E500" s="61" t="n"/>
      <c r="F500" s="55" t="n"/>
      <c r="G500" s="56" t="n"/>
      <c r="H500" s="55" t="n"/>
      <c r="I500" s="62" t="n"/>
      <c r="J500" s="58" t="n"/>
      <c r="K500" s="63">
        <f>IF(tblMovement[[#This Row],[Source]]="","",IFERROR(INDEX(tblSources[Type],MATCH(tblMovement[[#This Row],[Source]],tblSources[Source],0)),"?"))</f>
        <v/>
      </c>
      <c r="L500" s="63">
        <f>IF(tblMovement[[#This Row],[Destination]]="","",IFERROR(INDEX(tblDestinations[Type],MATCH(tblMovement[[#This Row],[Destination]],tblDestinations[Destination],0)),"?"))</f>
        <v/>
      </c>
      <c r="M500" s="64">
        <f>IF(tblMovement[[#This Row],[Material]]="","",IF(LEFT(tblMovement[[#This Row],[Material]],3)="Ore",1,0))</f>
        <v/>
      </c>
      <c r="N500" s="59">
        <f>IF(OR(tblMovement[[#This Row],[Tonnes_t]]="",tblMovement[[#This Row],[Grade_gpt]]=""),0,tblMovement[[#This Row],[Tonnes_t]]*tblMovement[[#This Row],[Grade_gpt]]/cfg_TroyOz)</f>
        <v/>
      </c>
      <c r="O500" s="59">
        <f>IF(tblMovement[[#This Row],[Is_Ore]]=1,tblMovement[[#This Row],[Contained_oz]],0)</f>
        <v/>
      </c>
    </row>
    <row r="501">
      <c r="A501" s="54" t="n"/>
      <c r="B501" s="61" t="n"/>
      <c r="C501" s="61" t="n"/>
      <c r="D501" s="61" t="n"/>
      <c r="E501" s="61" t="n"/>
      <c r="F501" s="55" t="n"/>
      <c r="G501" s="56" t="n"/>
      <c r="H501" s="55" t="n"/>
      <c r="I501" s="62" t="n"/>
      <c r="J501" s="58" t="n"/>
      <c r="K501" s="63">
        <f>IF(tblMovement[[#This Row],[Source]]="","",IFERROR(INDEX(tblSources[Type],MATCH(tblMovement[[#This Row],[Source]],tblSources[Source],0)),"?"))</f>
        <v/>
      </c>
      <c r="L501" s="63">
        <f>IF(tblMovement[[#This Row],[Destination]]="","",IFERROR(INDEX(tblDestinations[Type],MATCH(tblMovement[[#This Row],[Destination]],tblDestinations[Destination],0)),"?"))</f>
        <v/>
      </c>
      <c r="M501" s="64">
        <f>IF(tblMovement[[#This Row],[Material]]="","",IF(LEFT(tblMovement[[#This Row],[Material]],3)="Ore",1,0))</f>
        <v/>
      </c>
      <c r="N501" s="59">
        <f>IF(OR(tblMovement[[#This Row],[Tonnes_t]]="",tblMovement[[#This Row],[Grade_gpt]]=""),0,tblMovement[[#This Row],[Tonnes_t]]*tblMovement[[#This Row],[Grade_gpt]]/cfg_TroyOz)</f>
        <v/>
      </c>
      <c r="O501" s="59">
        <f>IF(tblMovement[[#This Row],[Is_Ore]]=1,tblMovement[[#This Row],[Contained_oz]],0)</f>
        <v/>
      </c>
    </row>
    <row r="502">
      <c r="A502" s="54" t="n"/>
      <c r="B502" s="61" t="n"/>
      <c r="C502" s="61" t="n"/>
      <c r="D502" s="61" t="n"/>
      <c r="E502" s="61" t="n"/>
      <c r="F502" s="55" t="n"/>
      <c r="G502" s="56" t="n"/>
      <c r="H502" s="55" t="n"/>
      <c r="I502" s="62" t="n"/>
      <c r="J502" s="58" t="n"/>
      <c r="K502" s="63">
        <f>IF(tblMovement[[#This Row],[Source]]="","",IFERROR(INDEX(tblSources[Type],MATCH(tblMovement[[#This Row],[Source]],tblSources[Source],0)),"?"))</f>
        <v/>
      </c>
      <c r="L502" s="63">
        <f>IF(tblMovement[[#This Row],[Destination]]="","",IFERROR(INDEX(tblDestinations[Type],MATCH(tblMovement[[#This Row],[Destination]],tblDestinations[Destination],0)),"?"))</f>
        <v/>
      </c>
      <c r="M502" s="64">
        <f>IF(tblMovement[[#This Row],[Material]]="","",IF(LEFT(tblMovement[[#This Row],[Material]],3)="Ore",1,0))</f>
        <v/>
      </c>
      <c r="N502" s="59">
        <f>IF(OR(tblMovement[[#This Row],[Tonnes_t]]="",tblMovement[[#This Row],[Grade_gpt]]=""),0,tblMovement[[#This Row],[Tonnes_t]]*tblMovement[[#This Row],[Grade_gpt]]/cfg_TroyOz)</f>
        <v/>
      </c>
      <c r="O502" s="59">
        <f>IF(tblMovement[[#This Row],[Is_Ore]]=1,tblMovement[[#This Row],[Contained_oz]],0)</f>
        <v/>
      </c>
    </row>
    <row r="503">
      <c r="A503" s="54" t="n"/>
      <c r="B503" s="61" t="n"/>
      <c r="C503" s="61" t="n"/>
      <c r="D503" s="61" t="n"/>
      <c r="E503" s="61" t="n"/>
      <c r="F503" s="55" t="n"/>
      <c r="G503" s="56" t="n"/>
      <c r="H503" s="55" t="n"/>
      <c r="I503" s="62" t="n"/>
      <c r="J503" s="58" t="n"/>
      <c r="K503" s="63">
        <f>IF(tblMovement[[#This Row],[Source]]="","",IFERROR(INDEX(tblSources[Type],MATCH(tblMovement[[#This Row],[Source]],tblSources[Source],0)),"?"))</f>
        <v/>
      </c>
      <c r="L503" s="63">
        <f>IF(tblMovement[[#This Row],[Destination]]="","",IFERROR(INDEX(tblDestinations[Type],MATCH(tblMovement[[#This Row],[Destination]],tblDestinations[Destination],0)),"?"))</f>
        <v/>
      </c>
      <c r="M503" s="64">
        <f>IF(tblMovement[[#This Row],[Material]]="","",IF(LEFT(tblMovement[[#This Row],[Material]],3)="Ore",1,0))</f>
        <v/>
      </c>
      <c r="N503" s="59">
        <f>IF(OR(tblMovement[[#This Row],[Tonnes_t]]="",tblMovement[[#This Row],[Grade_gpt]]=""),0,tblMovement[[#This Row],[Tonnes_t]]*tblMovement[[#This Row],[Grade_gpt]]/cfg_TroyOz)</f>
        <v/>
      </c>
      <c r="O503" s="59">
        <f>IF(tblMovement[[#This Row],[Is_Ore]]=1,tblMovement[[#This Row],[Contained_oz]],0)</f>
        <v/>
      </c>
    </row>
    <row r="504">
      <c r="A504" s="54" t="n"/>
      <c r="B504" s="61" t="n"/>
      <c r="C504" s="61" t="n"/>
      <c r="D504" s="61" t="n"/>
      <c r="E504" s="61" t="n"/>
      <c r="F504" s="55" t="n"/>
      <c r="G504" s="56" t="n"/>
      <c r="H504" s="55" t="n"/>
      <c r="I504" s="62" t="n"/>
      <c r="J504" s="58" t="n"/>
      <c r="K504" s="63">
        <f>IF(tblMovement[[#This Row],[Source]]="","",IFERROR(INDEX(tblSources[Type],MATCH(tblMovement[[#This Row],[Source]],tblSources[Source],0)),"?"))</f>
        <v/>
      </c>
      <c r="L504" s="63">
        <f>IF(tblMovement[[#This Row],[Destination]]="","",IFERROR(INDEX(tblDestinations[Type],MATCH(tblMovement[[#This Row],[Destination]],tblDestinations[Destination],0)),"?"))</f>
        <v/>
      </c>
      <c r="M504" s="64">
        <f>IF(tblMovement[[#This Row],[Material]]="","",IF(LEFT(tblMovement[[#This Row],[Material]],3)="Ore",1,0))</f>
        <v/>
      </c>
      <c r="N504" s="59">
        <f>IF(OR(tblMovement[[#This Row],[Tonnes_t]]="",tblMovement[[#This Row],[Grade_gpt]]=""),0,tblMovement[[#This Row],[Tonnes_t]]*tblMovement[[#This Row],[Grade_gpt]]/cfg_TroyOz)</f>
        <v/>
      </c>
      <c r="O504" s="59">
        <f>IF(tblMovement[[#This Row],[Is_Ore]]=1,tblMovement[[#This Row],[Contained_oz]],0)</f>
        <v/>
      </c>
    </row>
    <row r="505">
      <c r="A505" s="54" t="n"/>
      <c r="B505" s="61" t="n"/>
      <c r="C505" s="61" t="n"/>
      <c r="D505" s="61" t="n"/>
      <c r="E505" s="61" t="n"/>
      <c r="F505" s="55" t="n"/>
      <c r="G505" s="56" t="n"/>
      <c r="H505" s="55" t="n"/>
      <c r="I505" s="62" t="n"/>
      <c r="J505" s="58" t="n"/>
      <c r="K505" s="63">
        <f>IF(tblMovement[[#This Row],[Source]]="","",IFERROR(INDEX(tblSources[Type],MATCH(tblMovement[[#This Row],[Source]],tblSources[Source],0)),"?"))</f>
        <v/>
      </c>
      <c r="L505" s="63">
        <f>IF(tblMovement[[#This Row],[Destination]]="","",IFERROR(INDEX(tblDestinations[Type],MATCH(tblMovement[[#This Row],[Destination]],tblDestinations[Destination],0)),"?"))</f>
        <v/>
      </c>
      <c r="M505" s="64">
        <f>IF(tblMovement[[#This Row],[Material]]="","",IF(LEFT(tblMovement[[#This Row],[Material]],3)="Ore",1,0))</f>
        <v/>
      </c>
      <c r="N505" s="59">
        <f>IF(OR(tblMovement[[#This Row],[Tonnes_t]]="",tblMovement[[#This Row],[Grade_gpt]]=""),0,tblMovement[[#This Row],[Tonnes_t]]*tblMovement[[#This Row],[Grade_gpt]]/cfg_TroyOz)</f>
        <v/>
      </c>
      <c r="O505" s="59">
        <f>IF(tblMovement[[#This Row],[Is_Ore]]=1,tblMovement[[#This Row],[Contained_oz]],0)</f>
        <v/>
      </c>
    </row>
    <row r="506">
      <c r="A506" s="54" t="n"/>
      <c r="B506" s="61" t="n"/>
      <c r="C506" s="61" t="n"/>
      <c r="D506" s="61" t="n"/>
      <c r="E506" s="61" t="n"/>
      <c r="F506" s="55" t="n"/>
      <c r="G506" s="56" t="n"/>
      <c r="H506" s="55" t="n"/>
      <c r="I506" s="62" t="n"/>
      <c r="J506" s="58" t="n"/>
      <c r="K506" s="63">
        <f>IF(tblMovement[[#This Row],[Source]]="","",IFERROR(INDEX(tblSources[Type],MATCH(tblMovement[[#This Row],[Source]],tblSources[Source],0)),"?"))</f>
        <v/>
      </c>
      <c r="L506" s="63">
        <f>IF(tblMovement[[#This Row],[Destination]]="","",IFERROR(INDEX(tblDestinations[Type],MATCH(tblMovement[[#This Row],[Destination]],tblDestinations[Destination],0)),"?"))</f>
        <v/>
      </c>
      <c r="M506" s="64">
        <f>IF(tblMovement[[#This Row],[Material]]="","",IF(LEFT(tblMovement[[#This Row],[Material]],3)="Ore",1,0))</f>
        <v/>
      </c>
      <c r="N506" s="59">
        <f>IF(OR(tblMovement[[#This Row],[Tonnes_t]]="",tblMovement[[#This Row],[Grade_gpt]]=""),0,tblMovement[[#This Row],[Tonnes_t]]*tblMovement[[#This Row],[Grade_gpt]]/cfg_TroyOz)</f>
        <v/>
      </c>
      <c r="O506" s="59">
        <f>IF(tblMovement[[#This Row],[Is_Ore]]=1,tblMovement[[#This Row],[Contained_oz]],0)</f>
        <v/>
      </c>
    </row>
    <row r="507">
      <c r="A507" s="54" t="n"/>
      <c r="B507" s="61" t="n"/>
      <c r="C507" s="61" t="n"/>
      <c r="D507" s="61" t="n"/>
      <c r="E507" s="61" t="n"/>
      <c r="F507" s="55" t="n"/>
      <c r="G507" s="56" t="n"/>
      <c r="H507" s="55" t="n"/>
      <c r="I507" s="62" t="n"/>
      <c r="J507" s="58" t="n"/>
      <c r="K507" s="63">
        <f>IF(tblMovement[[#This Row],[Source]]="","",IFERROR(INDEX(tblSources[Type],MATCH(tblMovement[[#This Row],[Source]],tblSources[Source],0)),"?"))</f>
        <v/>
      </c>
      <c r="L507" s="63">
        <f>IF(tblMovement[[#This Row],[Destination]]="","",IFERROR(INDEX(tblDestinations[Type],MATCH(tblMovement[[#This Row],[Destination]],tblDestinations[Destination],0)),"?"))</f>
        <v/>
      </c>
      <c r="M507" s="64">
        <f>IF(tblMovement[[#This Row],[Material]]="","",IF(LEFT(tblMovement[[#This Row],[Material]],3)="Ore",1,0))</f>
        <v/>
      </c>
      <c r="N507" s="59">
        <f>IF(OR(tblMovement[[#This Row],[Tonnes_t]]="",tblMovement[[#This Row],[Grade_gpt]]=""),0,tblMovement[[#This Row],[Tonnes_t]]*tblMovement[[#This Row],[Grade_gpt]]/cfg_TroyOz)</f>
        <v/>
      </c>
      <c r="O507" s="59">
        <f>IF(tblMovement[[#This Row],[Is_Ore]]=1,tblMovement[[#This Row],[Contained_oz]],0)</f>
        <v/>
      </c>
    </row>
    <row r="508">
      <c r="A508" s="54" t="n"/>
      <c r="B508" s="61" t="n"/>
      <c r="C508" s="61" t="n"/>
      <c r="D508" s="61" t="n"/>
      <c r="E508" s="61" t="n"/>
      <c r="F508" s="55" t="n"/>
      <c r="G508" s="56" t="n"/>
      <c r="H508" s="55" t="n"/>
      <c r="I508" s="62" t="n"/>
      <c r="J508" s="58" t="n"/>
      <c r="K508" s="63">
        <f>IF(tblMovement[[#This Row],[Source]]="","",IFERROR(INDEX(tblSources[Type],MATCH(tblMovement[[#This Row],[Source]],tblSources[Source],0)),"?"))</f>
        <v/>
      </c>
      <c r="L508" s="63">
        <f>IF(tblMovement[[#This Row],[Destination]]="","",IFERROR(INDEX(tblDestinations[Type],MATCH(tblMovement[[#This Row],[Destination]],tblDestinations[Destination],0)),"?"))</f>
        <v/>
      </c>
      <c r="M508" s="64">
        <f>IF(tblMovement[[#This Row],[Material]]="","",IF(LEFT(tblMovement[[#This Row],[Material]],3)="Ore",1,0))</f>
        <v/>
      </c>
      <c r="N508" s="59">
        <f>IF(OR(tblMovement[[#This Row],[Tonnes_t]]="",tblMovement[[#This Row],[Grade_gpt]]=""),0,tblMovement[[#This Row],[Tonnes_t]]*tblMovement[[#This Row],[Grade_gpt]]/cfg_TroyOz)</f>
        <v/>
      </c>
      <c r="O508" s="59">
        <f>IF(tblMovement[[#This Row],[Is_Ore]]=1,tblMovement[[#This Row],[Contained_oz]],0)</f>
        <v/>
      </c>
    </row>
    <row r="509">
      <c r="A509" s="54" t="n"/>
      <c r="B509" s="61" t="n"/>
      <c r="C509" s="61" t="n"/>
      <c r="D509" s="61" t="n"/>
      <c r="E509" s="61" t="n"/>
      <c r="F509" s="55" t="n"/>
      <c r="G509" s="56" t="n"/>
      <c r="H509" s="55" t="n"/>
      <c r="I509" s="62" t="n"/>
      <c r="J509" s="58" t="n"/>
      <c r="K509" s="63">
        <f>IF(tblMovement[[#This Row],[Source]]="","",IFERROR(INDEX(tblSources[Type],MATCH(tblMovement[[#This Row],[Source]],tblSources[Source],0)),"?"))</f>
        <v/>
      </c>
      <c r="L509" s="63">
        <f>IF(tblMovement[[#This Row],[Destination]]="","",IFERROR(INDEX(tblDestinations[Type],MATCH(tblMovement[[#This Row],[Destination]],tblDestinations[Destination],0)),"?"))</f>
        <v/>
      </c>
      <c r="M509" s="64">
        <f>IF(tblMovement[[#This Row],[Material]]="","",IF(LEFT(tblMovement[[#This Row],[Material]],3)="Ore",1,0))</f>
        <v/>
      </c>
      <c r="N509" s="59">
        <f>IF(OR(tblMovement[[#This Row],[Tonnes_t]]="",tblMovement[[#This Row],[Grade_gpt]]=""),0,tblMovement[[#This Row],[Tonnes_t]]*tblMovement[[#This Row],[Grade_gpt]]/cfg_TroyOz)</f>
        <v/>
      </c>
      <c r="O509" s="59">
        <f>IF(tblMovement[[#This Row],[Is_Ore]]=1,tblMovement[[#This Row],[Contained_oz]],0)</f>
        <v/>
      </c>
    </row>
    <row r="510">
      <c r="A510" s="54" t="n"/>
      <c r="B510" s="61" t="n"/>
      <c r="C510" s="61" t="n"/>
      <c r="D510" s="61" t="n"/>
      <c r="E510" s="61" t="n"/>
      <c r="F510" s="55" t="n"/>
      <c r="G510" s="56" t="n"/>
      <c r="H510" s="55" t="n"/>
      <c r="I510" s="62" t="n"/>
      <c r="J510" s="58" t="n"/>
      <c r="K510" s="63">
        <f>IF(tblMovement[[#This Row],[Source]]="","",IFERROR(INDEX(tblSources[Type],MATCH(tblMovement[[#This Row],[Source]],tblSources[Source],0)),"?"))</f>
        <v/>
      </c>
      <c r="L510" s="63">
        <f>IF(tblMovement[[#This Row],[Destination]]="","",IFERROR(INDEX(tblDestinations[Type],MATCH(tblMovement[[#This Row],[Destination]],tblDestinations[Destination],0)),"?"))</f>
        <v/>
      </c>
      <c r="M510" s="64">
        <f>IF(tblMovement[[#This Row],[Material]]="","",IF(LEFT(tblMovement[[#This Row],[Material]],3)="Ore",1,0))</f>
        <v/>
      </c>
      <c r="N510" s="59">
        <f>IF(OR(tblMovement[[#This Row],[Tonnes_t]]="",tblMovement[[#This Row],[Grade_gpt]]=""),0,tblMovement[[#This Row],[Tonnes_t]]*tblMovement[[#This Row],[Grade_gpt]]/cfg_TroyOz)</f>
        <v/>
      </c>
      <c r="O510" s="59">
        <f>IF(tblMovement[[#This Row],[Is_Ore]]=1,tblMovement[[#This Row],[Contained_oz]],0)</f>
        <v/>
      </c>
    </row>
    <row r="511">
      <c r="A511" s="54" t="n"/>
      <c r="B511" s="61" t="n"/>
      <c r="C511" s="61" t="n"/>
      <c r="D511" s="61" t="n"/>
      <c r="E511" s="61" t="n"/>
      <c r="F511" s="55" t="n"/>
      <c r="G511" s="56" t="n"/>
      <c r="H511" s="55" t="n"/>
      <c r="I511" s="62" t="n"/>
      <c r="J511" s="58" t="n"/>
      <c r="K511" s="63">
        <f>IF(tblMovement[[#This Row],[Source]]="","",IFERROR(INDEX(tblSources[Type],MATCH(tblMovement[[#This Row],[Source]],tblSources[Source],0)),"?"))</f>
        <v/>
      </c>
      <c r="L511" s="63">
        <f>IF(tblMovement[[#This Row],[Destination]]="","",IFERROR(INDEX(tblDestinations[Type],MATCH(tblMovement[[#This Row],[Destination]],tblDestinations[Destination],0)),"?"))</f>
        <v/>
      </c>
      <c r="M511" s="64">
        <f>IF(tblMovement[[#This Row],[Material]]="","",IF(LEFT(tblMovement[[#This Row],[Material]],3)="Ore",1,0))</f>
        <v/>
      </c>
      <c r="N511" s="59">
        <f>IF(OR(tblMovement[[#This Row],[Tonnes_t]]="",tblMovement[[#This Row],[Grade_gpt]]=""),0,tblMovement[[#This Row],[Tonnes_t]]*tblMovement[[#This Row],[Grade_gpt]]/cfg_TroyOz)</f>
        <v/>
      </c>
      <c r="O511" s="59">
        <f>IF(tblMovement[[#This Row],[Is_Ore]]=1,tblMovement[[#This Row],[Contained_oz]],0)</f>
        <v/>
      </c>
    </row>
    <row r="512">
      <c r="A512" s="54" t="n"/>
      <c r="B512" s="61" t="n"/>
      <c r="C512" s="61" t="n"/>
      <c r="D512" s="61" t="n"/>
      <c r="E512" s="61" t="n"/>
      <c r="F512" s="55" t="n"/>
      <c r="G512" s="56" t="n"/>
      <c r="H512" s="55" t="n"/>
      <c r="I512" s="62" t="n"/>
      <c r="J512" s="58" t="n"/>
      <c r="K512" s="63">
        <f>IF(tblMovement[[#This Row],[Source]]="","",IFERROR(INDEX(tblSources[Type],MATCH(tblMovement[[#This Row],[Source]],tblSources[Source],0)),"?"))</f>
        <v/>
      </c>
      <c r="L512" s="63">
        <f>IF(tblMovement[[#This Row],[Destination]]="","",IFERROR(INDEX(tblDestinations[Type],MATCH(tblMovement[[#This Row],[Destination]],tblDestinations[Destination],0)),"?"))</f>
        <v/>
      </c>
      <c r="M512" s="64">
        <f>IF(tblMovement[[#This Row],[Material]]="","",IF(LEFT(tblMovement[[#This Row],[Material]],3)="Ore",1,0))</f>
        <v/>
      </c>
      <c r="N512" s="59">
        <f>IF(OR(tblMovement[[#This Row],[Tonnes_t]]="",tblMovement[[#This Row],[Grade_gpt]]=""),0,tblMovement[[#This Row],[Tonnes_t]]*tblMovement[[#This Row],[Grade_gpt]]/cfg_TroyOz)</f>
        <v/>
      </c>
      <c r="O512" s="59">
        <f>IF(tblMovement[[#This Row],[Is_Ore]]=1,tblMovement[[#This Row],[Contained_oz]],0)</f>
        <v/>
      </c>
    </row>
    <row r="513">
      <c r="A513" s="54" t="n"/>
      <c r="B513" s="61" t="n"/>
      <c r="C513" s="61" t="n"/>
      <c r="D513" s="61" t="n"/>
      <c r="E513" s="61" t="n"/>
      <c r="F513" s="55" t="n"/>
      <c r="G513" s="56" t="n"/>
      <c r="H513" s="55" t="n"/>
      <c r="I513" s="62" t="n"/>
      <c r="J513" s="58" t="n"/>
      <c r="K513" s="63">
        <f>IF(tblMovement[[#This Row],[Source]]="","",IFERROR(INDEX(tblSources[Type],MATCH(tblMovement[[#This Row],[Source]],tblSources[Source],0)),"?"))</f>
        <v/>
      </c>
      <c r="L513" s="63">
        <f>IF(tblMovement[[#This Row],[Destination]]="","",IFERROR(INDEX(tblDestinations[Type],MATCH(tblMovement[[#This Row],[Destination]],tblDestinations[Destination],0)),"?"))</f>
        <v/>
      </c>
      <c r="M513" s="64">
        <f>IF(tblMovement[[#This Row],[Material]]="","",IF(LEFT(tblMovement[[#This Row],[Material]],3)="Ore",1,0))</f>
        <v/>
      </c>
      <c r="N513" s="59">
        <f>IF(OR(tblMovement[[#This Row],[Tonnes_t]]="",tblMovement[[#This Row],[Grade_gpt]]=""),0,tblMovement[[#This Row],[Tonnes_t]]*tblMovement[[#This Row],[Grade_gpt]]/cfg_TroyOz)</f>
        <v/>
      </c>
      <c r="O513" s="59">
        <f>IF(tblMovement[[#This Row],[Is_Ore]]=1,tblMovement[[#This Row],[Contained_oz]],0)</f>
        <v/>
      </c>
    </row>
    <row r="514">
      <c r="A514" s="54" t="n"/>
      <c r="B514" s="61" t="n"/>
      <c r="C514" s="61" t="n"/>
      <c r="D514" s="61" t="n"/>
      <c r="E514" s="61" t="n"/>
      <c r="F514" s="55" t="n"/>
      <c r="G514" s="56" t="n"/>
      <c r="H514" s="55" t="n"/>
      <c r="I514" s="62" t="n"/>
      <c r="J514" s="58" t="n"/>
      <c r="K514" s="63">
        <f>IF(tblMovement[[#This Row],[Source]]="","",IFERROR(INDEX(tblSources[Type],MATCH(tblMovement[[#This Row],[Source]],tblSources[Source],0)),"?"))</f>
        <v/>
      </c>
      <c r="L514" s="63">
        <f>IF(tblMovement[[#This Row],[Destination]]="","",IFERROR(INDEX(tblDestinations[Type],MATCH(tblMovement[[#This Row],[Destination]],tblDestinations[Destination],0)),"?"))</f>
        <v/>
      </c>
      <c r="M514" s="64">
        <f>IF(tblMovement[[#This Row],[Material]]="","",IF(LEFT(tblMovement[[#This Row],[Material]],3)="Ore",1,0))</f>
        <v/>
      </c>
      <c r="N514" s="59">
        <f>IF(OR(tblMovement[[#This Row],[Tonnes_t]]="",tblMovement[[#This Row],[Grade_gpt]]=""),0,tblMovement[[#This Row],[Tonnes_t]]*tblMovement[[#This Row],[Grade_gpt]]/cfg_TroyOz)</f>
        <v/>
      </c>
      <c r="O514" s="59">
        <f>IF(tblMovement[[#This Row],[Is_Ore]]=1,tblMovement[[#This Row],[Contained_oz]],0)</f>
        <v/>
      </c>
    </row>
    <row r="515">
      <c r="A515" s="54" t="n"/>
      <c r="B515" s="61" t="n"/>
      <c r="C515" s="61" t="n"/>
      <c r="D515" s="61" t="n"/>
      <c r="E515" s="61" t="n"/>
      <c r="F515" s="55" t="n"/>
      <c r="G515" s="56" t="n"/>
      <c r="H515" s="55" t="n"/>
      <c r="I515" s="62" t="n"/>
      <c r="J515" s="58" t="n"/>
      <c r="K515" s="63">
        <f>IF(tblMovement[[#This Row],[Source]]="","",IFERROR(INDEX(tblSources[Type],MATCH(tblMovement[[#This Row],[Source]],tblSources[Source],0)),"?"))</f>
        <v/>
      </c>
      <c r="L515" s="63">
        <f>IF(tblMovement[[#This Row],[Destination]]="","",IFERROR(INDEX(tblDestinations[Type],MATCH(tblMovement[[#This Row],[Destination]],tblDestinations[Destination],0)),"?"))</f>
        <v/>
      </c>
      <c r="M515" s="64">
        <f>IF(tblMovement[[#This Row],[Material]]="","",IF(LEFT(tblMovement[[#This Row],[Material]],3)="Ore",1,0))</f>
        <v/>
      </c>
      <c r="N515" s="59">
        <f>IF(OR(tblMovement[[#This Row],[Tonnes_t]]="",tblMovement[[#This Row],[Grade_gpt]]=""),0,tblMovement[[#This Row],[Tonnes_t]]*tblMovement[[#This Row],[Grade_gpt]]/cfg_TroyOz)</f>
        <v/>
      </c>
      <c r="O515" s="59">
        <f>IF(tblMovement[[#This Row],[Is_Ore]]=1,tblMovement[[#This Row],[Contained_oz]],0)</f>
        <v/>
      </c>
    </row>
    <row r="516">
      <c r="A516" s="54" t="n"/>
      <c r="B516" s="61" t="n"/>
      <c r="C516" s="61" t="n"/>
      <c r="D516" s="61" t="n"/>
      <c r="E516" s="61" t="n"/>
      <c r="F516" s="55" t="n"/>
      <c r="G516" s="56" t="n"/>
      <c r="H516" s="55" t="n"/>
      <c r="I516" s="62" t="n"/>
      <c r="J516" s="58" t="n"/>
      <c r="K516" s="63">
        <f>IF(tblMovement[[#This Row],[Source]]="","",IFERROR(INDEX(tblSources[Type],MATCH(tblMovement[[#This Row],[Source]],tblSources[Source],0)),"?"))</f>
        <v/>
      </c>
      <c r="L516" s="63">
        <f>IF(tblMovement[[#This Row],[Destination]]="","",IFERROR(INDEX(tblDestinations[Type],MATCH(tblMovement[[#This Row],[Destination]],tblDestinations[Destination],0)),"?"))</f>
        <v/>
      </c>
      <c r="M516" s="64">
        <f>IF(tblMovement[[#This Row],[Material]]="","",IF(LEFT(tblMovement[[#This Row],[Material]],3)="Ore",1,0))</f>
        <v/>
      </c>
      <c r="N516" s="59">
        <f>IF(OR(tblMovement[[#This Row],[Tonnes_t]]="",tblMovement[[#This Row],[Grade_gpt]]=""),0,tblMovement[[#This Row],[Tonnes_t]]*tblMovement[[#This Row],[Grade_gpt]]/cfg_TroyOz)</f>
        <v/>
      </c>
      <c r="O516" s="59">
        <f>IF(tblMovement[[#This Row],[Is_Ore]]=1,tblMovement[[#This Row],[Contained_oz]],0)</f>
        <v/>
      </c>
    </row>
    <row r="517">
      <c r="A517" s="54" t="n"/>
      <c r="B517" s="61" t="n"/>
      <c r="C517" s="61" t="n"/>
      <c r="D517" s="61" t="n"/>
      <c r="E517" s="61" t="n"/>
      <c r="F517" s="55" t="n"/>
      <c r="G517" s="56" t="n"/>
      <c r="H517" s="55" t="n"/>
      <c r="I517" s="62" t="n"/>
      <c r="J517" s="58" t="n"/>
      <c r="K517" s="63">
        <f>IF(tblMovement[[#This Row],[Source]]="","",IFERROR(INDEX(tblSources[Type],MATCH(tblMovement[[#This Row],[Source]],tblSources[Source],0)),"?"))</f>
        <v/>
      </c>
      <c r="L517" s="63">
        <f>IF(tblMovement[[#This Row],[Destination]]="","",IFERROR(INDEX(tblDestinations[Type],MATCH(tblMovement[[#This Row],[Destination]],tblDestinations[Destination],0)),"?"))</f>
        <v/>
      </c>
      <c r="M517" s="64">
        <f>IF(tblMovement[[#This Row],[Material]]="","",IF(LEFT(tblMovement[[#This Row],[Material]],3)="Ore",1,0))</f>
        <v/>
      </c>
      <c r="N517" s="59">
        <f>IF(OR(tblMovement[[#This Row],[Tonnes_t]]="",tblMovement[[#This Row],[Grade_gpt]]=""),0,tblMovement[[#This Row],[Tonnes_t]]*tblMovement[[#This Row],[Grade_gpt]]/cfg_TroyOz)</f>
        <v/>
      </c>
      <c r="O517" s="59">
        <f>IF(tblMovement[[#This Row],[Is_Ore]]=1,tblMovement[[#This Row],[Contained_oz]],0)</f>
        <v/>
      </c>
    </row>
    <row r="518">
      <c r="A518" s="54" t="n"/>
      <c r="B518" s="61" t="n"/>
      <c r="C518" s="61" t="n"/>
      <c r="D518" s="61" t="n"/>
      <c r="E518" s="61" t="n"/>
      <c r="F518" s="55" t="n"/>
      <c r="G518" s="56" t="n"/>
      <c r="H518" s="55" t="n"/>
      <c r="I518" s="62" t="n"/>
      <c r="J518" s="58" t="n"/>
      <c r="K518" s="63">
        <f>IF(tblMovement[[#This Row],[Source]]="","",IFERROR(INDEX(tblSources[Type],MATCH(tblMovement[[#This Row],[Source]],tblSources[Source],0)),"?"))</f>
        <v/>
      </c>
      <c r="L518" s="63">
        <f>IF(tblMovement[[#This Row],[Destination]]="","",IFERROR(INDEX(tblDestinations[Type],MATCH(tblMovement[[#This Row],[Destination]],tblDestinations[Destination],0)),"?"))</f>
        <v/>
      </c>
      <c r="M518" s="64">
        <f>IF(tblMovement[[#This Row],[Material]]="","",IF(LEFT(tblMovement[[#This Row],[Material]],3)="Ore",1,0))</f>
        <v/>
      </c>
      <c r="N518" s="59">
        <f>IF(OR(tblMovement[[#This Row],[Tonnes_t]]="",tblMovement[[#This Row],[Grade_gpt]]=""),0,tblMovement[[#This Row],[Tonnes_t]]*tblMovement[[#This Row],[Grade_gpt]]/cfg_TroyOz)</f>
        <v/>
      </c>
      <c r="O518" s="59">
        <f>IF(tblMovement[[#This Row],[Is_Ore]]=1,tblMovement[[#This Row],[Contained_oz]],0)</f>
        <v/>
      </c>
    </row>
    <row r="519">
      <c r="A519" s="54" t="n"/>
      <c r="B519" s="61" t="n"/>
      <c r="C519" s="61" t="n"/>
      <c r="D519" s="61" t="n"/>
      <c r="E519" s="61" t="n"/>
      <c r="F519" s="55" t="n"/>
      <c r="G519" s="56" t="n"/>
      <c r="H519" s="55" t="n"/>
      <c r="I519" s="62" t="n"/>
      <c r="J519" s="58" t="n"/>
      <c r="K519" s="63">
        <f>IF(tblMovement[[#This Row],[Source]]="","",IFERROR(INDEX(tblSources[Type],MATCH(tblMovement[[#This Row],[Source]],tblSources[Source],0)),"?"))</f>
        <v/>
      </c>
      <c r="L519" s="63">
        <f>IF(tblMovement[[#This Row],[Destination]]="","",IFERROR(INDEX(tblDestinations[Type],MATCH(tblMovement[[#This Row],[Destination]],tblDestinations[Destination],0)),"?"))</f>
        <v/>
      </c>
      <c r="M519" s="64">
        <f>IF(tblMovement[[#This Row],[Material]]="","",IF(LEFT(tblMovement[[#This Row],[Material]],3)="Ore",1,0))</f>
        <v/>
      </c>
      <c r="N519" s="59">
        <f>IF(OR(tblMovement[[#This Row],[Tonnes_t]]="",tblMovement[[#This Row],[Grade_gpt]]=""),0,tblMovement[[#This Row],[Tonnes_t]]*tblMovement[[#This Row],[Grade_gpt]]/cfg_TroyOz)</f>
        <v/>
      </c>
      <c r="O519" s="59">
        <f>IF(tblMovement[[#This Row],[Is_Ore]]=1,tblMovement[[#This Row],[Contained_oz]],0)</f>
        <v/>
      </c>
    </row>
    <row r="520">
      <c r="A520" s="54" t="n"/>
      <c r="B520" s="61" t="n"/>
      <c r="C520" s="61" t="n"/>
      <c r="D520" s="61" t="n"/>
      <c r="E520" s="61" t="n"/>
      <c r="F520" s="55" t="n"/>
      <c r="G520" s="56" t="n"/>
      <c r="H520" s="55" t="n"/>
      <c r="I520" s="62" t="n"/>
      <c r="J520" s="58" t="n"/>
      <c r="K520" s="63">
        <f>IF(tblMovement[[#This Row],[Source]]="","",IFERROR(INDEX(tblSources[Type],MATCH(tblMovement[[#This Row],[Source]],tblSources[Source],0)),"?"))</f>
        <v/>
      </c>
      <c r="L520" s="63">
        <f>IF(tblMovement[[#This Row],[Destination]]="","",IFERROR(INDEX(tblDestinations[Type],MATCH(tblMovement[[#This Row],[Destination]],tblDestinations[Destination],0)),"?"))</f>
        <v/>
      </c>
      <c r="M520" s="64">
        <f>IF(tblMovement[[#This Row],[Material]]="","",IF(LEFT(tblMovement[[#This Row],[Material]],3)="Ore",1,0))</f>
        <v/>
      </c>
      <c r="N520" s="59">
        <f>IF(OR(tblMovement[[#This Row],[Tonnes_t]]="",tblMovement[[#This Row],[Grade_gpt]]=""),0,tblMovement[[#This Row],[Tonnes_t]]*tblMovement[[#This Row],[Grade_gpt]]/cfg_TroyOz)</f>
        <v/>
      </c>
      <c r="O520" s="59">
        <f>IF(tblMovement[[#This Row],[Is_Ore]]=1,tblMovement[[#This Row],[Contained_oz]],0)</f>
        <v/>
      </c>
    </row>
    <row r="521">
      <c r="A521" s="54" t="n"/>
      <c r="B521" s="61" t="n"/>
      <c r="C521" s="61" t="n"/>
      <c r="D521" s="61" t="n"/>
      <c r="E521" s="61" t="n"/>
      <c r="F521" s="55" t="n"/>
      <c r="G521" s="56" t="n"/>
      <c r="H521" s="55" t="n"/>
      <c r="I521" s="62" t="n"/>
      <c r="J521" s="58" t="n"/>
      <c r="K521" s="63">
        <f>IF(tblMovement[[#This Row],[Source]]="","",IFERROR(INDEX(tblSources[Type],MATCH(tblMovement[[#This Row],[Source]],tblSources[Source],0)),"?"))</f>
        <v/>
      </c>
      <c r="L521" s="63">
        <f>IF(tblMovement[[#This Row],[Destination]]="","",IFERROR(INDEX(tblDestinations[Type],MATCH(tblMovement[[#This Row],[Destination]],tblDestinations[Destination],0)),"?"))</f>
        <v/>
      </c>
      <c r="M521" s="64">
        <f>IF(tblMovement[[#This Row],[Material]]="","",IF(LEFT(tblMovement[[#This Row],[Material]],3)="Ore",1,0))</f>
        <v/>
      </c>
      <c r="N521" s="59">
        <f>IF(OR(tblMovement[[#This Row],[Tonnes_t]]="",tblMovement[[#This Row],[Grade_gpt]]=""),0,tblMovement[[#This Row],[Tonnes_t]]*tblMovement[[#This Row],[Grade_gpt]]/cfg_TroyOz)</f>
        <v/>
      </c>
      <c r="O521" s="59">
        <f>IF(tblMovement[[#This Row],[Is_Ore]]=1,tblMovement[[#This Row],[Contained_oz]],0)</f>
        <v/>
      </c>
    </row>
    <row r="522">
      <c r="A522" s="54" t="n"/>
      <c r="B522" s="61" t="n"/>
      <c r="C522" s="61" t="n"/>
      <c r="D522" s="61" t="n"/>
      <c r="E522" s="61" t="n"/>
      <c r="F522" s="55" t="n"/>
      <c r="G522" s="56" t="n"/>
      <c r="H522" s="55" t="n"/>
      <c r="I522" s="62" t="n"/>
      <c r="J522" s="58" t="n"/>
      <c r="K522" s="63">
        <f>IF(tblMovement[[#This Row],[Source]]="","",IFERROR(INDEX(tblSources[Type],MATCH(tblMovement[[#This Row],[Source]],tblSources[Source],0)),"?"))</f>
        <v/>
      </c>
      <c r="L522" s="63">
        <f>IF(tblMovement[[#This Row],[Destination]]="","",IFERROR(INDEX(tblDestinations[Type],MATCH(tblMovement[[#This Row],[Destination]],tblDestinations[Destination],0)),"?"))</f>
        <v/>
      </c>
      <c r="M522" s="64">
        <f>IF(tblMovement[[#This Row],[Material]]="","",IF(LEFT(tblMovement[[#This Row],[Material]],3)="Ore",1,0))</f>
        <v/>
      </c>
      <c r="N522" s="59">
        <f>IF(OR(tblMovement[[#This Row],[Tonnes_t]]="",tblMovement[[#This Row],[Grade_gpt]]=""),0,tblMovement[[#This Row],[Tonnes_t]]*tblMovement[[#This Row],[Grade_gpt]]/cfg_TroyOz)</f>
        <v/>
      </c>
      <c r="O522" s="59">
        <f>IF(tblMovement[[#This Row],[Is_Ore]]=1,tblMovement[[#This Row],[Contained_oz]],0)</f>
        <v/>
      </c>
    </row>
    <row r="523">
      <c r="A523" s="54" t="n"/>
      <c r="B523" s="61" t="n"/>
      <c r="C523" s="61" t="n"/>
      <c r="D523" s="61" t="n"/>
      <c r="E523" s="61" t="n"/>
      <c r="F523" s="55" t="n"/>
      <c r="G523" s="56" t="n"/>
      <c r="H523" s="55" t="n"/>
      <c r="I523" s="62" t="n"/>
      <c r="J523" s="58" t="n"/>
      <c r="K523" s="63">
        <f>IF(tblMovement[[#This Row],[Source]]="","",IFERROR(INDEX(tblSources[Type],MATCH(tblMovement[[#This Row],[Source]],tblSources[Source],0)),"?"))</f>
        <v/>
      </c>
      <c r="L523" s="63">
        <f>IF(tblMovement[[#This Row],[Destination]]="","",IFERROR(INDEX(tblDestinations[Type],MATCH(tblMovement[[#This Row],[Destination]],tblDestinations[Destination],0)),"?"))</f>
        <v/>
      </c>
      <c r="M523" s="64">
        <f>IF(tblMovement[[#This Row],[Material]]="","",IF(LEFT(tblMovement[[#This Row],[Material]],3)="Ore",1,0))</f>
        <v/>
      </c>
      <c r="N523" s="59">
        <f>IF(OR(tblMovement[[#This Row],[Tonnes_t]]="",tblMovement[[#This Row],[Grade_gpt]]=""),0,tblMovement[[#This Row],[Tonnes_t]]*tblMovement[[#This Row],[Grade_gpt]]/cfg_TroyOz)</f>
        <v/>
      </c>
      <c r="O523" s="59">
        <f>IF(tblMovement[[#This Row],[Is_Ore]]=1,tblMovement[[#This Row],[Contained_oz]],0)</f>
        <v/>
      </c>
    </row>
    <row r="524">
      <c r="A524" s="54" t="n"/>
      <c r="B524" s="61" t="n"/>
      <c r="C524" s="61" t="n"/>
      <c r="D524" s="61" t="n"/>
      <c r="E524" s="61" t="n"/>
      <c r="F524" s="55" t="n"/>
      <c r="G524" s="56" t="n"/>
      <c r="H524" s="55" t="n"/>
      <c r="I524" s="62" t="n"/>
      <c r="J524" s="58" t="n"/>
      <c r="K524" s="63">
        <f>IF(tblMovement[[#This Row],[Source]]="","",IFERROR(INDEX(tblSources[Type],MATCH(tblMovement[[#This Row],[Source]],tblSources[Source],0)),"?"))</f>
        <v/>
      </c>
      <c r="L524" s="63">
        <f>IF(tblMovement[[#This Row],[Destination]]="","",IFERROR(INDEX(tblDestinations[Type],MATCH(tblMovement[[#This Row],[Destination]],tblDestinations[Destination],0)),"?"))</f>
        <v/>
      </c>
      <c r="M524" s="64">
        <f>IF(tblMovement[[#This Row],[Material]]="","",IF(LEFT(tblMovement[[#This Row],[Material]],3)="Ore",1,0))</f>
        <v/>
      </c>
      <c r="N524" s="59">
        <f>IF(OR(tblMovement[[#This Row],[Tonnes_t]]="",tblMovement[[#This Row],[Grade_gpt]]=""),0,tblMovement[[#This Row],[Tonnes_t]]*tblMovement[[#This Row],[Grade_gpt]]/cfg_TroyOz)</f>
        <v/>
      </c>
      <c r="O524" s="59">
        <f>IF(tblMovement[[#This Row],[Is_Ore]]=1,tblMovement[[#This Row],[Contained_oz]],0)</f>
        <v/>
      </c>
    </row>
    <row r="525">
      <c r="A525" s="54" t="n"/>
      <c r="B525" s="61" t="n"/>
      <c r="C525" s="61" t="n"/>
      <c r="D525" s="61" t="n"/>
      <c r="E525" s="61" t="n"/>
      <c r="F525" s="55" t="n"/>
      <c r="G525" s="56" t="n"/>
      <c r="H525" s="55" t="n"/>
      <c r="I525" s="62" t="n"/>
      <c r="J525" s="58" t="n"/>
      <c r="K525" s="63">
        <f>IF(tblMovement[[#This Row],[Source]]="","",IFERROR(INDEX(tblSources[Type],MATCH(tblMovement[[#This Row],[Source]],tblSources[Source],0)),"?"))</f>
        <v/>
      </c>
      <c r="L525" s="63">
        <f>IF(tblMovement[[#This Row],[Destination]]="","",IFERROR(INDEX(tblDestinations[Type],MATCH(tblMovement[[#This Row],[Destination]],tblDestinations[Destination],0)),"?"))</f>
        <v/>
      </c>
      <c r="M525" s="64">
        <f>IF(tblMovement[[#This Row],[Material]]="","",IF(LEFT(tblMovement[[#This Row],[Material]],3)="Ore",1,0))</f>
        <v/>
      </c>
      <c r="N525" s="59">
        <f>IF(OR(tblMovement[[#This Row],[Tonnes_t]]="",tblMovement[[#This Row],[Grade_gpt]]=""),0,tblMovement[[#This Row],[Tonnes_t]]*tblMovement[[#This Row],[Grade_gpt]]/cfg_TroyOz)</f>
        <v/>
      </c>
      <c r="O525" s="59">
        <f>IF(tblMovement[[#This Row],[Is_Ore]]=1,tblMovement[[#This Row],[Contained_oz]],0)</f>
        <v/>
      </c>
    </row>
    <row r="526">
      <c r="A526" s="54" t="n"/>
      <c r="B526" s="61" t="n"/>
      <c r="C526" s="61" t="n"/>
      <c r="D526" s="61" t="n"/>
      <c r="E526" s="61" t="n"/>
      <c r="F526" s="55" t="n"/>
      <c r="G526" s="56" t="n"/>
      <c r="H526" s="55" t="n"/>
      <c r="I526" s="62" t="n"/>
      <c r="J526" s="58" t="n"/>
      <c r="K526" s="63">
        <f>IF(tblMovement[[#This Row],[Source]]="","",IFERROR(INDEX(tblSources[Type],MATCH(tblMovement[[#This Row],[Source]],tblSources[Source],0)),"?"))</f>
        <v/>
      </c>
      <c r="L526" s="63">
        <f>IF(tblMovement[[#This Row],[Destination]]="","",IFERROR(INDEX(tblDestinations[Type],MATCH(tblMovement[[#This Row],[Destination]],tblDestinations[Destination],0)),"?"))</f>
        <v/>
      </c>
      <c r="M526" s="64">
        <f>IF(tblMovement[[#This Row],[Material]]="","",IF(LEFT(tblMovement[[#This Row],[Material]],3)="Ore",1,0))</f>
        <v/>
      </c>
      <c r="N526" s="59">
        <f>IF(OR(tblMovement[[#This Row],[Tonnes_t]]="",tblMovement[[#This Row],[Grade_gpt]]=""),0,tblMovement[[#This Row],[Tonnes_t]]*tblMovement[[#This Row],[Grade_gpt]]/cfg_TroyOz)</f>
        <v/>
      </c>
      <c r="O526" s="59">
        <f>IF(tblMovement[[#This Row],[Is_Ore]]=1,tblMovement[[#This Row],[Contained_oz]],0)</f>
        <v/>
      </c>
    </row>
    <row r="527">
      <c r="A527" s="54" t="n"/>
      <c r="B527" s="61" t="n"/>
      <c r="C527" s="61" t="n"/>
      <c r="D527" s="61" t="n"/>
      <c r="E527" s="61" t="n"/>
      <c r="F527" s="55" t="n"/>
      <c r="G527" s="56" t="n"/>
      <c r="H527" s="55" t="n"/>
      <c r="I527" s="62" t="n"/>
      <c r="J527" s="58" t="n"/>
      <c r="K527" s="63">
        <f>IF(tblMovement[[#This Row],[Source]]="","",IFERROR(INDEX(tblSources[Type],MATCH(tblMovement[[#This Row],[Source]],tblSources[Source],0)),"?"))</f>
        <v/>
      </c>
      <c r="L527" s="63">
        <f>IF(tblMovement[[#This Row],[Destination]]="","",IFERROR(INDEX(tblDestinations[Type],MATCH(tblMovement[[#This Row],[Destination]],tblDestinations[Destination],0)),"?"))</f>
        <v/>
      </c>
      <c r="M527" s="64">
        <f>IF(tblMovement[[#This Row],[Material]]="","",IF(LEFT(tblMovement[[#This Row],[Material]],3)="Ore",1,0))</f>
        <v/>
      </c>
      <c r="N527" s="59">
        <f>IF(OR(tblMovement[[#This Row],[Tonnes_t]]="",tblMovement[[#This Row],[Grade_gpt]]=""),0,tblMovement[[#This Row],[Tonnes_t]]*tblMovement[[#This Row],[Grade_gpt]]/cfg_TroyOz)</f>
        <v/>
      </c>
      <c r="O527" s="59">
        <f>IF(tblMovement[[#This Row],[Is_Ore]]=1,tblMovement[[#This Row],[Contained_oz]],0)</f>
        <v/>
      </c>
    </row>
    <row r="528">
      <c r="A528" s="54" t="n"/>
      <c r="B528" s="61" t="n"/>
      <c r="C528" s="61" t="n"/>
      <c r="D528" s="61" t="n"/>
      <c r="E528" s="61" t="n"/>
      <c r="F528" s="55" t="n"/>
      <c r="G528" s="56" t="n"/>
      <c r="H528" s="55" t="n"/>
      <c r="I528" s="62" t="n"/>
      <c r="J528" s="58" t="n"/>
      <c r="K528" s="63">
        <f>IF(tblMovement[[#This Row],[Source]]="","",IFERROR(INDEX(tblSources[Type],MATCH(tblMovement[[#This Row],[Source]],tblSources[Source],0)),"?"))</f>
        <v/>
      </c>
      <c r="L528" s="63">
        <f>IF(tblMovement[[#This Row],[Destination]]="","",IFERROR(INDEX(tblDestinations[Type],MATCH(tblMovement[[#This Row],[Destination]],tblDestinations[Destination],0)),"?"))</f>
        <v/>
      </c>
      <c r="M528" s="64">
        <f>IF(tblMovement[[#This Row],[Material]]="","",IF(LEFT(tblMovement[[#This Row],[Material]],3)="Ore",1,0))</f>
        <v/>
      </c>
      <c r="N528" s="59">
        <f>IF(OR(tblMovement[[#This Row],[Tonnes_t]]="",tblMovement[[#This Row],[Grade_gpt]]=""),0,tblMovement[[#This Row],[Tonnes_t]]*tblMovement[[#This Row],[Grade_gpt]]/cfg_TroyOz)</f>
        <v/>
      </c>
      <c r="O528" s="59">
        <f>IF(tblMovement[[#This Row],[Is_Ore]]=1,tblMovement[[#This Row],[Contained_oz]],0)</f>
        <v/>
      </c>
    </row>
    <row r="529">
      <c r="A529" s="54" t="n"/>
      <c r="B529" s="61" t="n"/>
      <c r="C529" s="61" t="n"/>
      <c r="D529" s="61" t="n"/>
      <c r="E529" s="61" t="n"/>
      <c r="F529" s="55" t="n"/>
      <c r="G529" s="56" t="n"/>
      <c r="H529" s="55" t="n"/>
      <c r="I529" s="62" t="n"/>
      <c r="J529" s="58" t="n"/>
      <c r="K529" s="63">
        <f>IF(tblMovement[[#This Row],[Source]]="","",IFERROR(INDEX(tblSources[Type],MATCH(tblMovement[[#This Row],[Source]],tblSources[Source],0)),"?"))</f>
        <v/>
      </c>
      <c r="L529" s="63">
        <f>IF(tblMovement[[#This Row],[Destination]]="","",IFERROR(INDEX(tblDestinations[Type],MATCH(tblMovement[[#This Row],[Destination]],tblDestinations[Destination],0)),"?"))</f>
        <v/>
      </c>
      <c r="M529" s="64">
        <f>IF(tblMovement[[#This Row],[Material]]="","",IF(LEFT(tblMovement[[#This Row],[Material]],3)="Ore",1,0))</f>
        <v/>
      </c>
      <c r="N529" s="59">
        <f>IF(OR(tblMovement[[#This Row],[Tonnes_t]]="",tblMovement[[#This Row],[Grade_gpt]]=""),0,tblMovement[[#This Row],[Tonnes_t]]*tblMovement[[#This Row],[Grade_gpt]]/cfg_TroyOz)</f>
        <v/>
      </c>
      <c r="O529" s="59">
        <f>IF(tblMovement[[#This Row],[Is_Ore]]=1,tblMovement[[#This Row],[Contained_oz]],0)</f>
        <v/>
      </c>
    </row>
    <row r="530">
      <c r="A530" s="54" t="n"/>
      <c r="B530" s="61" t="n"/>
      <c r="C530" s="61" t="n"/>
      <c r="D530" s="61" t="n"/>
      <c r="E530" s="61" t="n"/>
      <c r="F530" s="55" t="n"/>
      <c r="G530" s="56" t="n"/>
      <c r="H530" s="55" t="n"/>
      <c r="I530" s="62" t="n"/>
      <c r="J530" s="58" t="n"/>
      <c r="K530" s="63">
        <f>IF(tblMovement[[#This Row],[Source]]="","",IFERROR(INDEX(tblSources[Type],MATCH(tblMovement[[#This Row],[Source]],tblSources[Source],0)),"?"))</f>
        <v/>
      </c>
      <c r="L530" s="63">
        <f>IF(tblMovement[[#This Row],[Destination]]="","",IFERROR(INDEX(tblDestinations[Type],MATCH(tblMovement[[#This Row],[Destination]],tblDestinations[Destination],0)),"?"))</f>
        <v/>
      </c>
      <c r="M530" s="64">
        <f>IF(tblMovement[[#This Row],[Material]]="","",IF(LEFT(tblMovement[[#This Row],[Material]],3)="Ore",1,0))</f>
        <v/>
      </c>
      <c r="N530" s="59">
        <f>IF(OR(tblMovement[[#This Row],[Tonnes_t]]="",tblMovement[[#This Row],[Grade_gpt]]=""),0,tblMovement[[#This Row],[Tonnes_t]]*tblMovement[[#This Row],[Grade_gpt]]/cfg_TroyOz)</f>
        <v/>
      </c>
      <c r="O530" s="59">
        <f>IF(tblMovement[[#This Row],[Is_Ore]]=1,tblMovement[[#This Row],[Contained_oz]],0)</f>
        <v/>
      </c>
    </row>
    <row r="531">
      <c r="A531" s="54" t="n"/>
      <c r="B531" s="61" t="n"/>
      <c r="C531" s="61" t="n"/>
      <c r="D531" s="61" t="n"/>
      <c r="E531" s="61" t="n"/>
      <c r="F531" s="55" t="n"/>
      <c r="G531" s="56" t="n"/>
      <c r="H531" s="55" t="n"/>
      <c r="I531" s="62" t="n"/>
      <c r="J531" s="58" t="n"/>
      <c r="K531" s="63">
        <f>IF(tblMovement[[#This Row],[Source]]="","",IFERROR(INDEX(tblSources[Type],MATCH(tblMovement[[#This Row],[Source]],tblSources[Source],0)),"?"))</f>
        <v/>
      </c>
      <c r="L531" s="63">
        <f>IF(tblMovement[[#This Row],[Destination]]="","",IFERROR(INDEX(tblDestinations[Type],MATCH(tblMovement[[#This Row],[Destination]],tblDestinations[Destination],0)),"?"))</f>
        <v/>
      </c>
      <c r="M531" s="64">
        <f>IF(tblMovement[[#This Row],[Material]]="","",IF(LEFT(tblMovement[[#This Row],[Material]],3)="Ore",1,0))</f>
        <v/>
      </c>
      <c r="N531" s="59">
        <f>IF(OR(tblMovement[[#This Row],[Tonnes_t]]="",tblMovement[[#This Row],[Grade_gpt]]=""),0,tblMovement[[#This Row],[Tonnes_t]]*tblMovement[[#This Row],[Grade_gpt]]/cfg_TroyOz)</f>
        <v/>
      </c>
      <c r="O531" s="59">
        <f>IF(tblMovement[[#This Row],[Is_Ore]]=1,tblMovement[[#This Row],[Contained_oz]],0)</f>
        <v/>
      </c>
    </row>
    <row r="532">
      <c r="A532" s="54" t="n"/>
      <c r="B532" s="61" t="n"/>
      <c r="C532" s="61" t="n"/>
      <c r="D532" s="61" t="n"/>
      <c r="E532" s="61" t="n"/>
      <c r="F532" s="55" t="n"/>
      <c r="G532" s="56" t="n"/>
      <c r="H532" s="55" t="n"/>
      <c r="I532" s="62" t="n"/>
      <c r="J532" s="58" t="n"/>
      <c r="K532" s="63">
        <f>IF(tblMovement[[#This Row],[Source]]="","",IFERROR(INDEX(tblSources[Type],MATCH(tblMovement[[#This Row],[Source]],tblSources[Source],0)),"?"))</f>
        <v/>
      </c>
      <c r="L532" s="63">
        <f>IF(tblMovement[[#This Row],[Destination]]="","",IFERROR(INDEX(tblDestinations[Type],MATCH(tblMovement[[#This Row],[Destination]],tblDestinations[Destination],0)),"?"))</f>
        <v/>
      </c>
      <c r="M532" s="64">
        <f>IF(tblMovement[[#This Row],[Material]]="","",IF(LEFT(tblMovement[[#This Row],[Material]],3)="Ore",1,0))</f>
        <v/>
      </c>
      <c r="N532" s="59">
        <f>IF(OR(tblMovement[[#This Row],[Tonnes_t]]="",tblMovement[[#This Row],[Grade_gpt]]=""),0,tblMovement[[#This Row],[Tonnes_t]]*tblMovement[[#This Row],[Grade_gpt]]/cfg_TroyOz)</f>
        <v/>
      </c>
      <c r="O532" s="59">
        <f>IF(tblMovement[[#This Row],[Is_Ore]]=1,tblMovement[[#This Row],[Contained_oz]],0)</f>
        <v/>
      </c>
    </row>
    <row r="533">
      <c r="A533" s="54" t="n"/>
      <c r="B533" s="61" t="n"/>
      <c r="C533" s="61" t="n"/>
      <c r="D533" s="61" t="n"/>
      <c r="E533" s="61" t="n"/>
      <c r="F533" s="55" t="n"/>
      <c r="G533" s="56" t="n"/>
      <c r="H533" s="55" t="n"/>
      <c r="I533" s="62" t="n"/>
      <c r="J533" s="58" t="n"/>
      <c r="K533" s="63">
        <f>IF(tblMovement[[#This Row],[Source]]="","",IFERROR(INDEX(tblSources[Type],MATCH(tblMovement[[#This Row],[Source]],tblSources[Source],0)),"?"))</f>
        <v/>
      </c>
      <c r="L533" s="63">
        <f>IF(tblMovement[[#This Row],[Destination]]="","",IFERROR(INDEX(tblDestinations[Type],MATCH(tblMovement[[#This Row],[Destination]],tblDestinations[Destination],0)),"?"))</f>
        <v/>
      </c>
      <c r="M533" s="64">
        <f>IF(tblMovement[[#This Row],[Material]]="","",IF(LEFT(tblMovement[[#This Row],[Material]],3)="Ore",1,0))</f>
        <v/>
      </c>
      <c r="N533" s="59">
        <f>IF(OR(tblMovement[[#This Row],[Tonnes_t]]="",tblMovement[[#This Row],[Grade_gpt]]=""),0,tblMovement[[#This Row],[Tonnes_t]]*tblMovement[[#This Row],[Grade_gpt]]/cfg_TroyOz)</f>
        <v/>
      </c>
      <c r="O533" s="59">
        <f>IF(tblMovement[[#This Row],[Is_Ore]]=1,tblMovement[[#This Row],[Contained_oz]],0)</f>
        <v/>
      </c>
    </row>
    <row r="534">
      <c r="A534" s="54" t="n"/>
      <c r="B534" s="61" t="n"/>
      <c r="C534" s="61" t="n"/>
      <c r="D534" s="61" t="n"/>
      <c r="E534" s="61" t="n"/>
      <c r="F534" s="55" t="n"/>
      <c r="G534" s="56" t="n"/>
      <c r="H534" s="55" t="n"/>
      <c r="I534" s="62" t="n"/>
      <c r="J534" s="58" t="n"/>
      <c r="K534" s="63">
        <f>IF(tblMovement[[#This Row],[Source]]="","",IFERROR(INDEX(tblSources[Type],MATCH(tblMovement[[#This Row],[Source]],tblSources[Source],0)),"?"))</f>
        <v/>
      </c>
      <c r="L534" s="63">
        <f>IF(tblMovement[[#This Row],[Destination]]="","",IFERROR(INDEX(tblDestinations[Type],MATCH(tblMovement[[#This Row],[Destination]],tblDestinations[Destination],0)),"?"))</f>
        <v/>
      </c>
      <c r="M534" s="64">
        <f>IF(tblMovement[[#This Row],[Material]]="","",IF(LEFT(tblMovement[[#This Row],[Material]],3)="Ore",1,0))</f>
        <v/>
      </c>
      <c r="N534" s="59">
        <f>IF(OR(tblMovement[[#This Row],[Tonnes_t]]="",tblMovement[[#This Row],[Grade_gpt]]=""),0,tblMovement[[#This Row],[Tonnes_t]]*tblMovement[[#This Row],[Grade_gpt]]/cfg_TroyOz)</f>
        <v/>
      </c>
      <c r="O534" s="59">
        <f>IF(tblMovement[[#This Row],[Is_Ore]]=1,tblMovement[[#This Row],[Contained_oz]],0)</f>
        <v/>
      </c>
    </row>
    <row r="535">
      <c r="A535" s="54" t="n"/>
      <c r="B535" s="61" t="n"/>
      <c r="C535" s="61" t="n"/>
      <c r="D535" s="61" t="n"/>
      <c r="E535" s="61" t="n"/>
      <c r="F535" s="55" t="n"/>
      <c r="G535" s="56" t="n"/>
      <c r="H535" s="55" t="n"/>
      <c r="I535" s="62" t="n"/>
      <c r="J535" s="58" t="n"/>
      <c r="K535" s="63">
        <f>IF(tblMovement[[#This Row],[Source]]="","",IFERROR(INDEX(tblSources[Type],MATCH(tblMovement[[#This Row],[Source]],tblSources[Source],0)),"?"))</f>
        <v/>
      </c>
      <c r="L535" s="63">
        <f>IF(tblMovement[[#This Row],[Destination]]="","",IFERROR(INDEX(tblDestinations[Type],MATCH(tblMovement[[#This Row],[Destination]],tblDestinations[Destination],0)),"?"))</f>
        <v/>
      </c>
      <c r="M535" s="64">
        <f>IF(tblMovement[[#This Row],[Material]]="","",IF(LEFT(tblMovement[[#This Row],[Material]],3)="Ore",1,0))</f>
        <v/>
      </c>
      <c r="N535" s="59">
        <f>IF(OR(tblMovement[[#This Row],[Tonnes_t]]="",tblMovement[[#This Row],[Grade_gpt]]=""),0,tblMovement[[#This Row],[Tonnes_t]]*tblMovement[[#This Row],[Grade_gpt]]/cfg_TroyOz)</f>
        <v/>
      </c>
      <c r="O535" s="59">
        <f>IF(tblMovement[[#This Row],[Is_Ore]]=1,tblMovement[[#This Row],[Contained_oz]],0)</f>
        <v/>
      </c>
    </row>
    <row r="536">
      <c r="A536" s="54" t="n"/>
      <c r="B536" s="61" t="n"/>
      <c r="C536" s="61" t="n"/>
      <c r="D536" s="61" t="n"/>
      <c r="E536" s="61" t="n"/>
      <c r="F536" s="55" t="n"/>
      <c r="G536" s="56" t="n"/>
      <c r="H536" s="55" t="n"/>
      <c r="I536" s="62" t="n"/>
      <c r="J536" s="58" t="n"/>
      <c r="K536" s="63">
        <f>IF(tblMovement[[#This Row],[Source]]="","",IFERROR(INDEX(tblSources[Type],MATCH(tblMovement[[#This Row],[Source]],tblSources[Source],0)),"?"))</f>
        <v/>
      </c>
      <c r="L536" s="63">
        <f>IF(tblMovement[[#This Row],[Destination]]="","",IFERROR(INDEX(tblDestinations[Type],MATCH(tblMovement[[#This Row],[Destination]],tblDestinations[Destination],0)),"?"))</f>
        <v/>
      </c>
      <c r="M536" s="64">
        <f>IF(tblMovement[[#This Row],[Material]]="","",IF(LEFT(tblMovement[[#This Row],[Material]],3)="Ore",1,0))</f>
        <v/>
      </c>
      <c r="N536" s="59">
        <f>IF(OR(tblMovement[[#This Row],[Tonnes_t]]="",tblMovement[[#This Row],[Grade_gpt]]=""),0,tblMovement[[#This Row],[Tonnes_t]]*tblMovement[[#This Row],[Grade_gpt]]/cfg_TroyOz)</f>
        <v/>
      </c>
      <c r="O536" s="59">
        <f>IF(tblMovement[[#This Row],[Is_Ore]]=1,tblMovement[[#This Row],[Contained_oz]],0)</f>
        <v/>
      </c>
    </row>
    <row r="537">
      <c r="A537" s="54" t="n"/>
      <c r="B537" s="61" t="n"/>
      <c r="C537" s="61" t="n"/>
      <c r="D537" s="61" t="n"/>
      <c r="E537" s="61" t="n"/>
      <c r="F537" s="55" t="n"/>
      <c r="G537" s="56" t="n"/>
      <c r="H537" s="55" t="n"/>
      <c r="I537" s="62" t="n"/>
      <c r="J537" s="58" t="n"/>
      <c r="K537" s="63">
        <f>IF(tblMovement[[#This Row],[Source]]="","",IFERROR(INDEX(tblSources[Type],MATCH(tblMovement[[#This Row],[Source]],tblSources[Source],0)),"?"))</f>
        <v/>
      </c>
      <c r="L537" s="63">
        <f>IF(tblMovement[[#This Row],[Destination]]="","",IFERROR(INDEX(tblDestinations[Type],MATCH(tblMovement[[#This Row],[Destination]],tblDestinations[Destination],0)),"?"))</f>
        <v/>
      </c>
      <c r="M537" s="64">
        <f>IF(tblMovement[[#This Row],[Material]]="","",IF(LEFT(tblMovement[[#This Row],[Material]],3)="Ore",1,0))</f>
        <v/>
      </c>
      <c r="N537" s="59">
        <f>IF(OR(tblMovement[[#This Row],[Tonnes_t]]="",tblMovement[[#This Row],[Grade_gpt]]=""),0,tblMovement[[#This Row],[Tonnes_t]]*tblMovement[[#This Row],[Grade_gpt]]/cfg_TroyOz)</f>
        <v/>
      </c>
      <c r="O537" s="59">
        <f>IF(tblMovement[[#This Row],[Is_Ore]]=1,tblMovement[[#This Row],[Contained_oz]],0)</f>
        <v/>
      </c>
    </row>
    <row r="538">
      <c r="A538" s="54" t="n"/>
      <c r="B538" s="61" t="n"/>
      <c r="C538" s="61" t="n"/>
      <c r="D538" s="61" t="n"/>
      <c r="E538" s="61" t="n"/>
      <c r="F538" s="55" t="n"/>
      <c r="G538" s="56" t="n"/>
      <c r="H538" s="55" t="n"/>
      <c r="I538" s="62" t="n"/>
      <c r="J538" s="58" t="n"/>
      <c r="K538" s="63">
        <f>IF(tblMovement[[#This Row],[Source]]="","",IFERROR(INDEX(tblSources[Type],MATCH(tblMovement[[#This Row],[Source]],tblSources[Source],0)),"?"))</f>
        <v/>
      </c>
      <c r="L538" s="63">
        <f>IF(tblMovement[[#This Row],[Destination]]="","",IFERROR(INDEX(tblDestinations[Type],MATCH(tblMovement[[#This Row],[Destination]],tblDestinations[Destination],0)),"?"))</f>
        <v/>
      </c>
      <c r="M538" s="64">
        <f>IF(tblMovement[[#This Row],[Material]]="","",IF(LEFT(tblMovement[[#This Row],[Material]],3)="Ore",1,0))</f>
        <v/>
      </c>
      <c r="N538" s="59">
        <f>IF(OR(tblMovement[[#This Row],[Tonnes_t]]="",tblMovement[[#This Row],[Grade_gpt]]=""),0,tblMovement[[#This Row],[Tonnes_t]]*tblMovement[[#This Row],[Grade_gpt]]/cfg_TroyOz)</f>
        <v/>
      </c>
      <c r="O538" s="59">
        <f>IF(tblMovement[[#This Row],[Is_Ore]]=1,tblMovement[[#This Row],[Contained_oz]],0)</f>
        <v/>
      </c>
    </row>
    <row r="539">
      <c r="A539" s="54" t="n"/>
      <c r="B539" s="61" t="n"/>
      <c r="C539" s="61" t="n"/>
      <c r="D539" s="61" t="n"/>
      <c r="E539" s="61" t="n"/>
      <c r="F539" s="55" t="n"/>
      <c r="G539" s="56" t="n"/>
      <c r="H539" s="55" t="n"/>
      <c r="I539" s="62" t="n"/>
      <c r="J539" s="58" t="n"/>
      <c r="K539" s="63">
        <f>IF(tblMovement[[#This Row],[Source]]="","",IFERROR(INDEX(tblSources[Type],MATCH(tblMovement[[#This Row],[Source]],tblSources[Source],0)),"?"))</f>
        <v/>
      </c>
      <c r="L539" s="63">
        <f>IF(tblMovement[[#This Row],[Destination]]="","",IFERROR(INDEX(tblDestinations[Type],MATCH(tblMovement[[#This Row],[Destination]],tblDestinations[Destination],0)),"?"))</f>
        <v/>
      </c>
      <c r="M539" s="64">
        <f>IF(tblMovement[[#This Row],[Material]]="","",IF(LEFT(tblMovement[[#This Row],[Material]],3)="Ore",1,0))</f>
        <v/>
      </c>
      <c r="N539" s="59">
        <f>IF(OR(tblMovement[[#This Row],[Tonnes_t]]="",tblMovement[[#This Row],[Grade_gpt]]=""),0,tblMovement[[#This Row],[Tonnes_t]]*tblMovement[[#This Row],[Grade_gpt]]/cfg_TroyOz)</f>
        <v/>
      </c>
      <c r="O539" s="59">
        <f>IF(tblMovement[[#This Row],[Is_Ore]]=1,tblMovement[[#This Row],[Contained_oz]],0)</f>
        <v/>
      </c>
    </row>
    <row r="540">
      <c r="A540" s="54" t="n"/>
      <c r="B540" s="61" t="n"/>
      <c r="C540" s="61" t="n"/>
      <c r="D540" s="61" t="n"/>
      <c r="E540" s="61" t="n"/>
      <c r="F540" s="55" t="n"/>
      <c r="G540" s="56" t="n"/>
      <c r="H540" s="55" t="n"/>
      <c r="I540" s="62" t="n"/>
      <c r="J540" s="58" t="n"/>
      <c r="K540" s="63">
        <f>IF(tblMovement[[#This Row],[Source]]="","",IFERROR(INDEX(tblSources[Type],MATCH(tblMovement[[#This Row],[Source]],tblSources[Source],0)),"?"))</f>
        <v/>
      </c>
      <c r="L540" s="63">
        <f>IF(tblMovement[[#This Row],[Destination]]="","",IFERROR(INDEX(tblDestinations[Type],MATCH(tblMovement[[#This Row],[Destination]],tblDestinations[Destination],0)),"?"))</f>
        <v/>
      </c>
      <c r="M540" s="64">
        <f>IF(tblMovement[[#This Row],[Material]]="","",IF(LEFT(tblMovement[[#This Row],[Material]],3)="Ore",1,0))</f>
        <v/>
      </c>
      <c r="N540" s="59">
        <f>IF(OR(tblMovement[[#This Row],[Tonnes_t]]="",tblMovement[[#This Row],[Grade_gpt]]=""),0,tblMovement[[#This Row],[Tonnes_t]]*tblMovement[[#This Row],[Grade_gpt]]/cfg_TroyOz)</f>
        <v/>
      </c>
      <c r="O540" s="59">
        <f>IF(tblMovement[[#This Row],[Is_Ore]]=1,tblMovement[[#This Row],[Contained_oz]],0)</f>
        <v/>
      </c>
    </row>
    <row r="541">
      <c r="A541" s="54" t="n"/>
      <c r="B541" s="61" t="n"/>
      <c r="C541" s="61" t="n"/>
      <c r="D541" s="61" t="n"/>
      <c r="E541" s="61" t="n"/>
      <c r="F541" s="55" t="n"/>
      <c r="G541" s="56" t="n"/>
      <c r="H541" s="55" t="n"/>
      <c r="I541" s="62" t="n"/>
      <c r="J541" s="58" t="n"/>
      <c r="K541" s="63">
        <f>IF(tblMovement[[#This Row],[Source]]="","",IFERROR(INDEX(tblSources[Type],MATCH(tblMovement[[#This Row],[Source]],tblSources[Source],0)),"?"))</f>
        <v/>
      </c>
      <c r="L541" s="63">
        <f>IF(tblMovement[[#This Row],[Destination]]="","",IFERROR(INDEX(tblDestinations[Type],MATCH(tblMovement[[#This Row],[Destination]],tblDestinations[Destination],0)),"?"))</f>
        <v/>
      </c>
      <c r="M541" s="64">
        <f>IF(tblMovement[[#This Row],[Material]]="","",IF(LEFT(tblMovement[[#This Row],[Material]],3)="Ore",1,0))</f>
        <v/>
      </c>
      <c r="N541" s="59">
        <f>IF(OR(tblMovement[[#This Row],[Tonnes_t]]="",tblMovement[[#This Row],[Grade_gpt]]=""),0,tblMovement[[#This Row],[Tonnes_t]]*tblMovement[[#This Row],[Grade_gpt]]/cfg_TroyOz)</f>
        <v/>
      </c>
      <c r="O541" s="59">
        <f>IF(tblMovement[[#This Row],[Is_Ore]]=1,tblMovement[[#This Row],[Contained_oz]],0)</f>
        <v/>
      </c>
    </row>
    <row r="542">
      <c r="A542" s="54" t="n"/>
      <c r="B542" s="61" t="n"/>
      <c r="C542" s="61" t="n"/>
      <c r="D542" s="61" t="n"/>
      <c r="E542" s="61" t="n"/>
      <c r="F542" s="55" t="n"/>
      <c r="G542" s="56" t="n"/>
      <c r="H542" s="55" t="n"/>
      <c r="I542" s="62" t="n"/>
      <c r="J542" s="58" t="n"/>
      <c r="K542" s="63">
        <f>IF(tblMovement[[#This Row],[Source]]="","",IFERROR(INDEX(tblSources[Type],MATCH(tblMovement[[#This Row],[Source]],tblSources[Source],0)),"?"))</f>
        <v/>
      </c>
      <c r="L542" s="63">
        <f>IF(tblMovement[[#This Row],[Destination]]="","",IFERROR(INDEX(tblDestinations[Type],MATCH(tblMovement[[#This Row],[Destination]],tblDestinations[Destination],0)),"?"))</f>
        <v/>
      </c>
      <c r="M542" s="64">
        <f>IF(tblMovement[[#This Row],[Material]]="","",IF(LEFT(tblMovement[[#This Row],[Material]],3)="Ore",1,0))</f>
        <v/>
      </c>
      <c r="N542" s="59">
        <f>IF(OR(tblMovement[[#This Row],[Tonnes_t]]="",tblMovement[[#This Row],[Grade_gpt]]=""),0,tblMovement[[#This Row],[Tonnes_t]]*tblMovement[[#This Row],[Grade_gpt]]/cfg_TroyOz)</f>
        <v/>
      </c>
      <c r="O542" s="59">
        <f>IF(tblMovement[[#This Row],[Is_Ore]]=1,tblMovement[[#This Row],[Contained_oz]],0)</f>
        <v/>
      </c>
    </row>
    <row r="543">
      <c r="A543" s="54" t="n"/>
      <c r="B543" s="61" t="n"/>
      <c r="C543" s="61" t="n"/>
      <c r="D543" s="61" t="n"/>
      <c r="E543" s="61" t="n"/>
      <c r="F543" s="55" t="n"/>
      <c r="G543" s="56" t="n"/>
      <c r="H543" s="55" t="n"/>
      <c r="I543" s="62" t="n"/>
      <c r="J543" s="58" t="n"/>
      <c r="K543" s="63">
        <f>IF(tblMovement[[#This Row],[Source]]="","",IFERROR(INDEX(tblSources[Type],MATCH(tblMovement[[#This Row],[Source]],tblSources[Source],0)),"?"))</f>
        <v/>
      </c>
      <c r="L543" s="63">
        <f>IF(tblMovement[[#This Row],[Destination]]="","",IFERROR(INDEX(tblDestinations[Type],MATCH(tblMovement[[#This Row],[Destination]],tblDestinations[Destination],0)),"?"))</f>
        <v/>
      </c>
      <c r="M543" s="64">
        <f>IF(tblMovement[[#This Row],[Material]]="","",IF(LEFT(tblMovement[[#This Row],[Material]],3)="Ore",1,0))</f>
        <v/>
      </c>
      <c r="N543" s="59">
        <f>IF(OR(tblMovement[[#This Row],[Tonnes_t]]="",tblMovement[[#This Row],[Grade_gpt]]=""),0,tblMovement[[#This Row],[Tonnes_t]]*tblMovement[[#This Row],[Grade_gpt]]/cfg_TroyOz)</f>
        <v/>
      </c>
      <c r="O543" s="59">
        <f>IF(tblMovement[[#This Row],[Is_Ore]]=1,tblMovement[[#This Row],[Contained_oz]],0)</f>
        <v/>
      </c>
    </row>
    <row r="544">
      <c r="A544" s="54" t="n"/>
      <c r="B544" s="61" t="n"/>
      <c r="C544" s="61" t="n"/>
      <c r="D544" s="61" t="n"/>
      <c r="E544" s="61" t="n"/>
      <c r="F544" s="55" t="n"/>
      <c r="G544" s="56" t="n"/>
      <c r="H544" s="55" t="n"/>
      <c r="I544" s="62" t="n"/>
      <c r="J544" s="58" t="n"/>
      <c r="K544" s="63">
        <f>IF(tblMovement[[#This Row],[Source]]="","",IFERROR(INDEX(tblSources[Type],MATCH(tblMovement[[#This Row],[Source]],tblSources[Source],0)),"?"))</f>
        <v/>
      </c>
      <c r="L544" s="63">
        <f>IF(tblMovement[[#This Row],[Destination]]="","",IFERROR(INDEX(tblDestinations[Type],MATCH(tblMovement[[#This Row],[Destination]],tblDestinations[Destination],0)),"?"))</f>
        <v/>
      </c>
      <c r="M544" s="64">
        <f>IF(tblMovement[[#This Row],[Material]]="","",IF(LEFT(tblMovement[[#This Row],[Material]],3)="Ore",1,0))</f>
        <v/>
      </c>
      <c r="N544" s="59">
        <f>IF(OR(tblMovement[[#This Row],[Tonnes_t]]="",tblMovement[[#This Row],[Grade_gpt]]=""),0,tblMovement[[#This Row],[Tonnes_t]]*tblMovement[[#This Row],[Grade_gpt]]/cfg_TroyOz)</f>
        <v/>
      </c>
      <c r="O544" s="59">
        <f>IF(tblMovement[[#This Row],[Is_Ore]]=1,tblMovement[[#This Row],[Contained_oz]],0)</f>
        <v/>
      </c>
    </row>
    <row r="545">
      <c r="A545" s="54" t="n"/>
      <c r="B545" s="61" t="n"/>
      <c r="C545" s="61" t="n"/>
      <c r="D545" s="61" t="n"/>
      <c r="E545" s="61" t="n"/>
      <c r="F545" s="55" t="n"/>
      <c r="G545" s="56" t="n"/>
      <c r="H545" s="55" t="n"/>
      <c r="I545" s="62" t="n"/>
      <c r="J545" s="58" t="n"/>
      <c r="K545" s="63">
        <f>IF(tblMovement[[#This Row],[Source]]="","",IFERROR(INDEX(tblSources[Type],MATCH(tblMovement[[#This Row],[Source]],tblSources[Source],0)),"?"))</f>
        <v/>
      </c>
      <c r="L545" s="63">
        <f>IF(tblMovement[[#This Row],[Destination]]="","",IFERROR(INDEX(tblDestinations[Type],MATCH(tblMovement[[#This Row],[Destination]],tblDestinations[Destination],0)),"?"))</f>
        <v/>
      </c>
      <c r="M545" s="64">
        <f>IF(tblMovement[[#This Row],[Material]]="","",IF(LEFT(tblMovement[[#This Row],[Material]],3)="Ore",1,0))</f>
        <v/>
      </c>
      <c r="N545" s="59">
        <f>IF(OR(tblMovement[[#This Row],[Tonnes_t]]="",tblMovement[[#This Row],[Grade_gpt]]=""),0,tblMovement[[#This Row],[Tonnes_t]]*tblMovement[[#This Row],[Grade_gpt]]/cfg_TroyOz)</f>
        <v/>
      </c>
      <c r="O545" s="59">
        <f>IF(tblMovement[[#This Row],[Is_Ore]]=1,tblMovement[[#This Row],[Contained_oz]],0)</f>
        <v/>
      </c>
    </row>
    <row r="546">
      <c r="A546" s="54" t="n"/>
      <c r="B546" s="61" t="n"/>
      <c r="C546" s="61" t="n"/>
      <c r="D546" s="61" t="n"/>
      <c r="E546" s="61" t="n"/>
      <c r="F546" s="55" t="n"/>
      <c r="G546" s="56" t="n"/>
      <c r="H546" s="55" t="n"/>
      <c r="I546" s="62" t="n"/>
      <c r="J546" s="58" t="n"/>
      <c r="K546" s="63">
        <f>IF(tblMovement[[#This Row],[Source]]="","",IFERROR(INDEX(tblSources[Type],MATCH(tblMovement[[#This Row],[Source]],tblSources[Source],0)),"?"))</f>
        <v/>
      </c>
      <c r="L546" s="63">
        <f>IF(tblMovement[[#This Row],[Destination]]="","",IFERROR(INDEX(tblDestinations[Type],MATCH(tblMovement[[#This Row],[Destination]],tblDestinations[Destination],0)),"?"))</f>
        <v/>
      </c>
      <c r="M546" s="64">
        <f>IF(tblMovement[[#This Row],[Material]]="","",IF(LEFT(tblMovement[[#This Row],[Material]],3)="Ore",1,0))</f>
        <v/>
      </c>
      <c r="N546" s="59">
        <f>IF(OR(tblMovement[[#This Row],[Tonnes_t]]="",tblMovement[[#This Row],[Grade_gpt]]=""),0,tblMovement[[#This Row],[Tonnes_t]]*tblMovement[[#This Row],[Grade_gpt]]/cfg_TroyOz)</f>
        <v/>
      </c>
      <c r="O546" s="59">
        <f>IF(tblMovement[[#This Row],[Is_Ore]]=1,tblMovement[[#This Row],[Contained_oz]],0)</f>
        <v/>
      </c>
    </row>
    <row r="547">
      <c r="A547" s="54" t="n"/>
      <c r="B547" s="61" t="n"/>
      <c r="C547" s="61" t="n"/>
      <c r="D547" s="61" t="n"/>
      <c r="E547" s="61" t="n"/>
      <c r="F547" s="55" t="n"/>
      <c r="G547" s="56" t="n"/>
      <c r="H547" s="55" t="n"/>
      <c r="I547" s="62" t="n"/>
      <c r="J547" s="58" t="n"/>
      <c r="K547" s="63">
        <f>IF(tblMovement[[#This Row],[Source]]="","",IFERROR(INDEX(tblSources[Type],MATCH(tblMovement[[#This Row],[Source]],tblSources[Source],0)),"?"))</f>
        <v/>
      </c>
      <c r="L547" s="63">
        <f>IF(tblMovement[[#This Row],[Destination]]="","",IFERROR(INDEX(tblDestinations[Type],MATCH(tblMovement[[#This Row],[Destination]],tblDestinations[Destination],0)),"?"))</f>
        <v/>
      </c>
      <c r="M547" s="64">
        <f>IF(tblMovement[[#This Row],[Material]]="","",IF(LEFT(tblMovement[[#This Row],[Material]],3)="Ore",1,0))</f>
        <v/>
      </c>
      <c r="N547" s="59">
        <f>IF(OR(tblMovement[[#This Row],[Tonnes_t]]="",tblMovement[[#This Row],[Grade_gpt]]=""),0,tblMovement[[#This Row],[Tonnes_t]]*tblMovement[[#This Row],[Grade_gpt]]/cfg_TroyOz)</f>
        <v/>
      </c>
      <c r="O547" s="59">
        <f>IF(tblMovement[[#This Row],[Is_Ore]]=1,tblMovement[[#This Row],[Contained_oz]],0)</f>
        <v/>
      </c>
    </row>
    <row r="548">
      <c r="A548" s="54" t="n"/>
      <c r="B548" s="61" t="n"/>
      <c r="C548" s="61" t="n"/>
      <c r="D548" s="61" t="n"/>
      <c r="E548" s="61" t="n"/>
      <c r="F548" s="55" t="n"/>
      <c r="G548" s="56" t="n"/>
      <c r="H548" s="55" t="n"/>
      <c r="I548" s="62" t="n"/>
      <c r="J548" s="58" t="n"/>
      <c r="K548" s="63">
        <f>IF(tblMovement[[#This Row],[Source]]="","",IFERROR(INDEX(tblSources[Type],MATCH(tblMovement[[#This Row],[Source]],tblSources[Source],0)),"?"))</f>
        <v/>
      </c>
      <c r="L548" s="63">
        <f>IF(tblMovement[[#This Row],[Destination]]="","",IFERROR(INDEX(tblDestinations[Type],MATCH(tblMovement[[#This Row],[Destination]],tblDestinations[Destination],0)),"?"))</f>
        <v/>
      </c>
      <c r="M548" s="64">
        <f>IF(tblMovement[[#This Row],[Material]]="","",IF(LEFT(tblMovement[[#This Row],[Material]],3)="Ore",1,0))</f>
        <v/>
      </c>
      <c r="N548" s="59">
        <f>IF(OR(tblMovement[[#This Row],[Tonnes_t]]="",tblMovement[[#This Row],[Grade_gpt]]=""),0,tblMovement[[#This Row],[Tonnes_t]]*tblMovement[[#This Row],[Grade_gpt]]/cfg_TroyOz)</f>
        <v/>
      </c>
      <c r="O548" s="59">
        <f>IF(tblMovement[[#This Row],[Is_Ore]]=1,tblMovement[[#This Row],[Contained_oz]],0)</f>
        <v/>
      </c>
    </row>
    <row r="549">
      <c r="A549" s="54" t="n"/>
      <c r="B549" s="61" t="n"/>
      <c r="C549" s="61" t="n"/>
      <c r="D549" s="61" t="n"/>
      <c r="E549" s="61" t="n"/>
      <c r="F549" s="55" t="n"/>
      <c r="G549" s="56" t="n"/>
      <c r="H549" s="55" t="n"/>
      <c r="I549" s="62" t="n"/>
      <c r="J549" s="58" t="n"/>
      <c r="K549" s="63">
        <f>IF(tblMovement[[#This Row],[Source]]="","",IFERROR(INDEX(tblSources[Type],MATCH(tblMovement[[#This Row],[Source]],tblSources[Source],0)),"?"))</f>
        <v/>
      </c>
      <c r="L549" s="63">
        <f>IF(tblMovement[[#This Row],[Destination]]="","",IFERROR(INDEX(tblDestinations[Type],MATCH(tblMovement[[#This Row],[Destination]],tblDestinations[Destination],0)),"?"))</f>
        <v/>
      </c>
      <c r="M549" s="64">
        <f>IF(tblMovement[[#This Row],[Material]]="","",IF(LEFT(tblMovement[[#This Row],[Material]],3)="Ore",1,0))</f>
        <v/>
      </c>
      <c r="N549" s="59">
        <f>IF(OR(tblMovement[[#This Row],[Tonnes_t]]="",tblMovement[[#This Row],[Grade_gpt]]=""),0,tblMovement[[#This Row],[Tonnes_t]]*tblMovement[[#This Row],[Grade_gpt]]/cfg_TroyOz)</f>
        <v/>
      </c>
      <c r="O549" s="59">
        <f>IF(tblMovement[[#This Row],[Is_Ore]]=1,tblMovement[[#This Row],[Contained_oz]],0)</f>
        <v/>
      </c>
    </row>
    <row r="550">
      <c r="A550" s="54" t="n"/>
      <c r="B550" s="61" t="n"/>
      <c r="C550" s="61" t="n"/>
      <c r="D550" s="61" t="n"/>
      <c r="E550" s="61" t="n"/>
      <c r="F550" s="55" t="n"/>
      <c r="G550" s="56" t="n"/>
      <c r="H550" s="55" t="n"/>
      <c r="I550" s="62" t="n"/>
      <c r="J550" s="58" t="n"/>
      <c r="K550" s="63">
        <f>IF(tblMovement[[#This Row],[Source]]="","",IFERROR(INDEX(tblSources[Type],MATCH(tblMovement[[#This Row],[Source]],tblSources[Source],0)),"?"))</f>
        <v/>
      </c>
      <c r="L550" s="63">
        <f>IF(tblMovement[[#This Row],[Destination]]="","",IFERROR(INDEX(tblDestinations[Type],MATCH(tblMovement[[#This Row],[Destination]],tblDestinations[Destination],0)),"?"))</f>
        <v/>
      </c>
      <c r="M550" s="64">
        <f>IF(tblMovement[[#This Row],[Material]]="","",IF(LEFT(tblMovement[[#This Row],[Material]],3)="Ore",1,0))</f>
        <v/>
      </c>
      <c r="N550" s="59">
        <f>IF(OR(tblMovement[[#This Row],[Tonnes_t]]="",tblMovement[[#This Row],[Grade_gpt]]=""),0,tblMovement[[#This Row],[Tonnes_t]]*tblMovement[[#This Row],[Grade_gpt]]/cfg_TroyOz)</f>
        <v/>
      </c>
      <c r="O550" s="59">
        <f>IF(tblMovement[[#This Row],[Is_Ore]]=1,tblMovement[[#This Row],[Contained_oz]],0)</f>
        <v/>
      </c>
    </row>
    <row r="551">
      <c r="A551" s="54" t="n"/>
      <c r="B551" s="61" t="n"/>
      <c r="C551" s="61" t="n"/>
      <c r="D551" s="61" t="n"/>
      <c r="E551" s="61" t="n"/>
      <c r="F551" s="55" t="n"/>
      <c r="G551" s="56" t="n"/>
      <c r="H551" s="55" t="n"/>
      <c r="I551" s="62" t="n"/>
      <c r="J551" s="58" t="n"/>
      <c r="K551" s="63">
        <f>IF(tblMovement[[#This Row],[Source]]="","",IFERROR(INDEX(tblSources[Type],MATCH(tblMovement[[#This Row],[Source]],tblSources[Source],0)),"?"))</f>
        <v/>
      </c>
      <c r="L551" s="63">
        <f>IF(tblMovement[[#This Row],[Destination]]="","",IFERROR(INDEX(tblDestinations[Type],MATCH(tblMovement[[#This Row],[Destination]],tblDestinations[Destination],0)),"?"))</f>
        <v/>
      </c>
      <c r="M551" s="64">
        <f>IF(tblMovement[[#This Row],[Material]]="","",IF(LEFT(tblMovement[[#This Row],[Material]],3)="Ore",1,0))</f>
        <v/>
      </c>
      <c r="N551" s="59">
        <f>IF(OR(tblMovement[[#This Row],[Tonnes_t]]="",tblMovement[[#This Row],[Grade_gpt]]=""),0,tblMovement[[#This Row],[Tonnes_t]]*tblMovement[[#This Row],[Grade_gpt]]/cfg_TroyOz)</f>
        <v/>
      </c>
      <c r="O551" s="59">
        <f>IF(tblMovement[[#This Row],[Is_Ore]]=1,tblMovement[[#This Row],[Contained_oz]],0)</f>
        <v/>
      </c>
    </row>
    <row r="552">
      <c r="A552" s="54" t="n"/>
      <c r="B552" s="61" t="n"/>
      <c r="C552" s="61" t="n"/>
      <c r="D552" s="61" t="n"/>
      <c r="E552" s="61" t="n"/>
      <c r="F552" s="55" t="n"/>
      <c r="G552" s="56" t="n"/>
      <c r="H552" s="55" t="n"/>
      <c r="I552" s="62" t="n"/>
      <c r="J552" s="58" t="n"/>
      <c r="K552" s="63">
        <f>IF(tblMovement[[#This Row],[Source]]="","",IFERROR(INDEX(tblSources[Type],MATCH(tblMovement[[#This Row],[Source]],tblSources[Source],0)),"?"))</f>
        <v/>
      </c>
      <c r="L552" s="63">
        <f>IF(tblMovement[[#This Row],[Destination]]="","",IFERROR(INDEX(tblDestinations[Type],MATCH(tblMovement[[#This Row],[Destination]],tblDestinations[Destination],0)),"?"))</f>
        <v/>
      </c>
      <c r="M552" s="64">
        <f>IF(tblMovement[[#This Row],[Material]]="","",IF(LEFT(tblMovement[[#This Row],[Material]],3)="Ore",1,0))</f>
        <v/>
      </c>
      <c r="N552" s="59">
        <f>IF(OR(tblMovement[[#This Row],[Tonnes_t]]="",tblMovement[[#This Row],[Grade_gpt]]=""),0,tblMovement[[#This Row],[Tonnes_t]]*tblMovement[[#This Row],[Grade_gpt]]/cfg_TroyOz)</f>
        <v/>
      </c>
      <c r="O552" s="59">
        <f>IF(tblMovement[[#This Row],[Is_Ore]]=1,tblMovement[[#This Row],[Contained_oz]],0)</f>
        <v/>
      </c>
    </row>
    <row r="553">
      <c r="A553" s="54" t="n"/>
      <c r="B553" s="61" t="n"/>
      <c r="C553" s="61" t="n"/>
      <c r="D553" s="61" t="n"/>
      <c r="E553" s="61" t="n"/>
      <c r="F553" s="55" t="n"/>
      <c r="G553" s="56" t="n"/>
      <c r="H553" s="55" t="n"/>
      <c r="I553" s="62" t="n"/>
      <c r="J553" s="58" t="n"/>
      <c r="K553" s="63">
        <f>IF(tblMovement[[#This Row],[Source]]="","",IFERROR(INDEX(tblSources[Type],MATCH(tblMovement[[#This Row],[Source]],tblSources[Source],0)),"?"))</f>
        <v/>
      </c>
      <c r="L553" s="63">
        <f>IF(tblMovement[[#This Row],[Destination]]="","",IFERROR(INDEX(tblDestinations[Type],MATCH(tblMovement[[#This Row],[Destination]],tblDestinations[Destination],0)),"?"))</f>
        <v/>
      </c>
      <c r="M553" s="64">
        <f>IF(tblMovement[[#This Row],[Material]]="","",IF(LEFT(tblMovement[[#This Row],[Material]],3)="Ore",1,0))</f>
        <v/>
      </c>
      <c r="N553" s="59">
        <f>IF(OR(tblMovement[[#This Row],[Tonnes_t]]="",tblMovement[[#This Row],[Grade_gpt]]=""),0,tblMovement[[#This Row],[Tonnes_t]]*tblMovement[[#This Row],[Grade_gpt]]/cfg_TroyOz)</f>
        <v/>
      </c>
      <c r="O553" s="59">
        <f>IF(tblMovement[[#This Row],[Is_Ore]]=1,tblMovement[[#This Row],[Contained_oz]],0)</f>
        <v/>
      </c>
    </row>
    <row r="554">
      <c r="A554" s="54" t="n"/>
      <c r="B554" s="61" t="n"/>
      <c r="C554" s="61" t="n"/>
      <c r="D554" s="61" t="n"/>
      <c r="E554" s="61" t="n"/>
      <c r="F554" s="55" t="n"/>
      <c r="G554" s="56" t="n"/>
      <c r="H554" s="55" t="n"/>
      <c r="I554" s="62" t="n"/>
      <c r="J554" s="58" t="n"/>
      <c r="K554" s="63">
        <f>IF(tblMovement[[#This Row],[Source]]="","",IFERROR(INDEX(tblSources[Type],MATCH(tblMovement[[#This Row],[Source]],tblSources[Source],0)),"?"))</f>
        <v/>
      </c>
      <c r="L554" s="63">
        <f>IF(tblMovement[[#This Row],[Destination]]="","",IFERROR(INDEX(tblDestinations[Type],MATCH(tblMovement[[#This Row],[Destination]],tblDestinations[Destination],0)),"?"))</f>
        <v/>
      </c>
      <c r="M554" s="64">
        <f>IF(tblMovement[[#This Row],[Material]]="","",IF(LEFT(tblMovement[[#This Row],[Material]],3)="Ore",1,0))</f>
        <v/>
      </c>
      <c r="N554" s="59">
        <f>IF(OR(tblMovement[[#This Row],[Tonnes_t]]="",tblMovement[[#This Row],[Grade_gpt]]=""),0,tblMovement[[#This Row],[Tonnes_t]]*tblMovement[[#This Row],[Grade_gpt]]/cfg_TroyOz)</f>
        <v/>
      </c>
      <c r="O554" s="59">
        <f>IF(tblMovement[[#This Row],[Is_Ore]]=1,tblMovement[[#This Row],[Contained_oz]],0)</f>
        <v/>
      </c>
    </row>
    <row r="555">
      <c r="A555" s="54" t="n"/>
      <c r="B555" s="61" t="n"/>
      <c r="C555" s="61" t="n"/>
      <c r="D555" s="61" t="n"/>
      <c r="E555" s="61" t="n"/>
      <c r="F555" s="55" t="n"/>
      <c r="G555" s="56" t="n"/>
      <c r="H555" s="55" t="n"/>
      <c r="I555" s="62" t="n"/>
      <c r="J555" s="58" t="n"/>
      <c r="K555" s="63">
        <f>IF(tblMovement[[#This Row],[Source]]="","",IFERROR(INDEX(tblSources[Type],MATCH(tblMovement[[#This Row],[Source]],tblSources[Source],0)),"?"))</f>
        <v/>
      </c>
      <c r="L555" s="63">
        <f>IF(tblMovement[[#This Row],[Destination]]="","",IFERROR(INDEX(tblDestinations[Type],MATCH(tblMovement[[#This Row],[Destination]],tblDestinations[Destination],0)),"?"))</f>
        <v/>
      </c>
      <c r="M555" s="64">
        <f>IF(tblMovement[[#This Row],[Material]]="","",IF(LEFT(tblMovement[[#This Row],[Material]],3)="Ore",1,0))</f>
        <v/>
      </c>
      <c r="N555" s="59">
        <f>IF(OR(tblMovement[[#This Row],[Tonnes_t]]="",tblMovement[[#This Row],[Grade_gpt]]=""),0,tblMovement[[#This Row],[Tonnes_t]]*tblMovement[[#This Row],[Grade_gpt]]/cfg_TroyOz)</f>
        <v/>
      </c>
      <c r="O555" s="59">
        <f>IF(tblMovement[[#This Row],[Is_Ore]]=1,tblMovement[[#This Row],[Contained_oz]],0)</f>
        <v/>
      </c>
    </row>
    <row r="556">
      <c r="A556" s="54" t="n"/>
      <c r="B556" s="61" t="n"/>
      <c r="C556" s="61" t="n"/>
      <c r="D556" s="61" t="n"/>
      <c r="E556" s="61" t="n"/>
      <c r="F556" s="55" t="n"/>
      <c r="G556" s="56" t="n"/>
      <c r="H556" s="55" t="n"/>
      <c r="I556" s="62" t="n"/>
      <c r="J556" s="58" t="n"/>
      <c r="K556" s="63">
        <f>IF(tblMovement[[#This Row],[Source]]="","",IFERROR(INDEX(tblSources[Type],MATCH(tblMovement[[#This Row],[Source]],tblSources[Source],0)),"?"))</f>
        <v/>
      </c>
      <c r="L556" s="63">
        <f>IF(tblMovement[[#This Row],[Destination]]="","",IFERROR(INDEX(tblDestinations[Type],MATCH(tblMovement[[#This Row],[Destination]],tblDestinations[Destination],0)),"?"))</f>
        <v/>
      </c>
      <c r="M556" s="64">
        <f>IF(tblMovement[[#This Row],[Material]]="","",IF(LEFT(tblMovement[[#This Row],[Material]],3)="Ore",1,0))</f>
        <v/>
      </c>
      <c r="N556" s="59">
        <f>IF(OR(tblMovement[[#This Row],[Tonnes_t]]="",tblMovement[[#This Row],[Grade_gpt]]=""),0,tblMovement[[#This Row],[Tonnes_t]]*tblMovement[[#This Row],[Grade_gpt]]/cfg_TroyOz)</f>
        <v/>
      </c>
      <c r="O556" s="59">
        <f>IF(tblMovement[[#This Row],[Is_Ore]]=1,tblMovement[[#This Row],[Contained_oz]],0)</f>
        <v/>
      </c>
    </row>
    <row r="557">
      <c r="A557" s="54" t="n"/>
      <c r="B557" s="61" t="n"/>
      <c r="C557" s="61" t="n"/>
      <c r="D557" s="61" t="n"/>
      <c r="E557" s="61" t="n"/>
      <c r="F557" s="55" t="n"/>
      <c r="G557" s="56" t="n"/>
      <c r="H557" s="55" t="n"/>
      <c r="I557" s="62" t="n"/>
      <c r="J557" s="58" t="n"/>
      <c r="K557" s="63">
        <f>IF(tblMovement[[#This Row],[Source]]="","",IFERROR(INDEX(tblSources[Type],MATCH(tblMovement[[#This Row],[Source]],tblSources[Source],0)),"?"))</f>
        <v/>
      </c>
      <c r="L557" s="63">
        <f>IF(tblMovement[[#This Row],[Destination]]="","",IFERROR(INDEX(tblDestinations[Type],MATCH(tblMovement[[#This Row],[Destination]],tblDestinations[Destination],0)),"?"))</f>
        <v/>
      </c>
      <c r="M557" s="64">
        <f>IF(tblMovement[[#This Row],[Material]]="","",IF(LEFT(tblMovement[[#This Row],[Material]],3)="Ore",1,0))</f>
        <v/>
      </c>
      <c r="N557" s="59">
        <f>IF(OR(tblMovement[[#This Row],[Tonnes_t]]="",tblMovement[[#This Row],[Grade_gpt]]=""),0,tblMovement[[#This Row],[Tonnes_t]]*tblMovement[[#This Row],[Grade_gpt]]/cfg_TroyOz)</f>
        <v/>
      </c>
      <c r="O557" s="59">
        <f>IF(tblMovement[[#This Row],[Is_Ore]]=1,tblMovement[[#This Row],[Contained_oz]],0)</f>
        <v/>
      </c>
    </row>
    <row r="558">
      <c r="A558" s="54" t="n"/>
      <c r="B558" s="61" t="n"/>
      <c r="C558" s="61" t="n"/>
      <c r="D558" s="61" t="n"/>
      <c r="E558" s="61" t="n"/>
      <c r="F558" s="55" t="n"/>
      <c r="G558" s="56" t="n"/>
      <c r="H558" s="55" t="n"/>
      <c r="I558" s="62" t="n"/>
      <c r="J558" s="58" t="n"/>
      <c r="K558" s="63">
        <f>IF(tblMovement[[#This Row],[Source]]="","",IFERROR(INDEX(tblSources[Type],MATCH(tblMovement[[#This Row],[Source]],tblSources[Source],0)),"?"))</f>
        <v/>
      </c>
      <c r="L558" s="63">
        <f>IF(tblMovement[[#This Row],[Destination]]="","",IFERROR(INDEX(tblDestinations[Type],MATCH(tblMovement[[#This Row],[Destination]],tblDestinations[Destination],0)),"?"))</f>
        <v/>
      </c>
      <c r="M558" s="64">
        <f>IF(tblMovement[[#This Row],[Material]]="","",IF(LEFT(tblMovement[[#This Row],[Material]],3)="Ore",1,0))</f>
        <v/>
      </c>
      <c r="N558" s="59">
        <f>IF(OR(tblMovement[[#This Row],[Tonnes_t]]="",tblMovement[[#This Row],[Grade_gpt]]=""),0,tblMovement[[#This Row],[Tonnes_t]]*tblMovement[[#This Row],[Grade_gpt]]/cfg_TroyOz)</f>
        <v/>
      </c>
      <c r="O558" s="59">
        <f>IF(tblMovement[[#This Row],[Is_Ore]]=1,tblMovement[[#This Row],[Contained_oz]],0)</f>
        <v/>
      </c>
    </row>
    <row r="559">
      <c r="A559" s="54" t="n"/>
      <c r="B559" s="61" t="n"/>
      <c r="C559" s="61" t="n"/>
      <c r="D559" s="61" t="n"/>
      <c r="E559" s="61" t="n"/>
      <c r="F559" s="55" t="n"/>
      <c r="G559" s="56" t="n"/>
      <c r="H559" s="55" t="n"/>
      <c r="I559" s="62" t="n"/>
      <c r="J559" s="58" t="n"/>
      <c r="K559" s="63">
        <f>IF(tblMovement[[#This Row],[Source]]="","",IFERROR(INDEX(tblSources[Type],MATCH(tblMovement[[#This Row],[Source]],tblSources[Source],0)),"?"))</f>
        <v/>
      </c>
      <c r="L559" s="63">
        <f>IF(tblMovement[[#This Row],[Destination]]="","",IFERROR(INDEX(tblDestinations[Type],MATCH(tblMovement[[#This Row],[Destination]],tblDestinations[Destination],0)),"?"))</f>
        <v/>
      </c>
      <c r="M559" s="64">
        <f>IF(tblMovement[[#This Row],[Material]]="","",IF(LEFT(tblMovement[[#This Row],[Material]],3)="Ore",1,0))</f>
        <v/>
      </c>
      <c r="N559" s="59">
        <f>IF(OR(tblMovement[[#This Row],[Tonnes_t]]="",tblMovement[[#This Row],[Grade_gpt]]=""),0,tblMovement[[#This Row],[Tonnes_t]]*tblMovement[[#This Row],[Grade_gpt]]/cfg_TroyOz)</f>
        <v/>
      </c>
      <c r="O559" s="59">
        <f>IF(tblMovement[[#This Row],[Is_Ore]]=1,tblMovement[[#This Row],[Contained_oz]],0)</f>
        <v/>
      </c>
    </row>
    <row r="560">
      <c r="A560" s="54" t="n"/>
      <c r="B560" s="61" t="n"/>
      <c r="C560" s="61" t="n"/>
      <c r="D560" s="61" t="n"/>
      <c r="E560" s="61" t="n"/>
      <c r="F560" s="55" t="n"/>
      <c r="G560" s="56" t="n"/>
      <c r="H560" s="55" t="n"/>
      <c r="I560" s="62" t="n"/>
      <c r="J560" s="58" t="n"/>
      <c r="K560" s="63">
        <f>IF(tblMovement[[#This Row],[Source]]="","",IFERROR(INDEX(tblSources[Type],MATCH(tblMovement[[#This Row],[Source]],tblSources[Source],0)),"?"))</f>
        <v/>
      </c>
      <c r="L560" s="63">
        <f>IF(tblMovement[[#This Row],[Destination]]="","",IFERROR(INDEX(tblDestinations[Type],MATCH(tblMovement[[#This Row],[Destination]],tblDestinations[Destination],0)),"?"))</f>
        <v/>
      </c>
      <c r="M560" s="64">
        <f>IF(tblMovement[[#This Row],[Material]]="","",IF(LEFT(tblMovement[[#This Row],[Material]],3)="Ore",1,0))</f>
        <v/>
      </c>
      <c r="N560" s="59">
        <f>IF(OR(tblMovement[[#This Row],[Tonnes_t]]="",tblMovement[[#This Row],[Grade_gpt]]=""),0,tblMovement[[#This Row],[Tonnes_t]]*tblMovement[[#This Row],[Grade_gpt]]/cfg_TroyOz)</f>
        <v/>
      </c>
      <c r="O560" s="59">
        <f>IF(tblMovement[[#This Row],[Is_Ore]]=1,tblMovement[[#This Row],[Contained_oz]],0)</f>
        <v/>
      </c>
    </row>
    <row r="561">
      <c r="A561" s="54" t="n"/>
      <c r="B561" s="61" t="n"/>
      <c r="C561" s="61" t="n"/>
      <c r="D561" s="61" t="n"/>
      <c r="E561" s="61" t="n"/>
      <c r="F561" s="55" t="n"/>
      <c r="G561" s="56" t="n"/>
      <c r="H561" s="55" t="n"/>
      <c r="I561" s="62" t="n"/>
      <c r="J561" s="58" t="n"/>
      <c r="K561" s="63">
        <f>IF(tblMovement[[#This Row],[Source]]="","",IFERROR(INDEX(tblSources[Type],MATCH(tblMovement[[#This Row],[Source]],tblSources[Source],0)),"?"))</f>
        <v/>
      </c>
      <c r="L561" s="63">
        <f>IF(tblMovement[[#This Row],[Destination]]="","",IFERROR(INDEX(tblDestinations[Type],MATCH(tblMovement[[#This Row],[Destination]],tblDestinations[Destination],0)),"?"))</f>
        <v/>
      </c>
      <c r="M561" s="64">
        <f>IF(tblMovement[[#This Row],[Material]]="","",IF(LEFT(tblMovement[[#This Row],[Material]],3)="Ore",1,0))</f>
        <v/>
      </c>
      <c r="N561" s="59">
        <f>IF(OR(tblMovement[[#This Row],[Tonnes_t]]="",tblMovement[[#This Row],[Grade_gpt]]=""),0,tblMovement[[#This Row],[Tonnes_t]]*tblMovement[[#This Row],[Grade_gpt]]/cfg_TroyOz)</f>
        <v/>
      </c>
      <c r="O561" s="59">
        <f>IF(tblMovement[[#This Row],[Is_Ore]]=1,tblMovement[[#This Row],[Contained_oz]],0)</f>
        <v/>
      </c>
    </row>
    <row r="562">
      <c r="A562" s="54" t="n"/>
      <c r="B562" s="61" t="n"/>
      <c r="C562" s="61" t="n"/>
      <c r="D562" s="61" t="n"/>
      <c r="E562" s="61" t="n"/>
      <c r="F562" s="55" t="n"/>
      <c r="G562" s="56" t="n"/>
      <c r="H562" s="55" t="n"/>
      <c r="I562" s="62" t="n"/>
      <c r="J562" s="58" t="n"/>
      <c r="K562" s="63">
        <f>IF(tblMovement[[#This Row],[Source]]="","",IFERROR(INDEX(tblSources[Type],MATCH(tblMovement[[#This Row],[Source]],tblSources[Source],0)),"?"))</f>
        <v/>
      </c>
      <c r="L562" s="63">
        <f>IF(tblMovement[[#This Row],[Destination]]="","",IFERROR(INDEX(tblDestinations[Type],MATCH(tblMovement[[#This Row],[Destination]],tblDestinations[Destination],0)),"?"))</f>
        <v/>
      </c>
      <c r="M562" s="64">
        <f>IF(tblMovement[[#This Row],[Material]]="","",IF(LEFT(tblMovement[[#This Row],[Material]],3)="Ore",1,0))</f>
        <v/>
      </c>
      <c r="N562" s="59">
        <f>IF(OR(tblMovement[[#This Row],[Tonnes_t]]="",tblMovement[[#This Row],[Grade_gpt]]=""),0,tblMovement[[#This Row],[Tonnes_t]]*tblMovement[[#This Row],[Grade_gpt]]/cfg_TroyOz)</f>
        <v/>
      </c>
      <c r="O562" s="59">
        <f>IF(tblMovement[[#This Row],[Is_Ore]]=1,tblMovement[[#This Row],[Contained_oz]],0)</f>
        <v/>
      </c>
    </row>
    <row r="563">
      <c r="A563" s="54" t="n"/>
      <c r="B563" s="61" t="n"/>
      <c r="C563" s="61" t="n"/>
      <c r="D563" s="61" t="n"/>
      <c r="E563" s="61" t="n"/>
      <c r="F563" s="55" t="n"/>
      <c r="G563" s="56" t="n"/>
      <c r="H563" s="55" t="n"/>
      <c r="I563" s="62" t="n"/>
      <c r="J563" s="58" t="n"/>
      <c r="K563" s="63">
        <f>IF(tblMovement[[#This Row],[Source]]="","",IFERROR(INDEX(tblSources[Type],MATCH(tblMovement[[#This Row],[Source]],tblSources[Source],0)),"?"))</f>
        <v/>
      </c>
      <c r="L563" s="63">
        <f>IF(tblMovement[[#This Row],[Destination]]="","",IFERROR(INDEX(tblDestinations[Type],MATCH(tblMovement[[#This Row],[Destination]],tblDestinations[Destination],0)),"?"))</f>
        <v/>
      </c>
      <c r="M563" s="64">
        <f>IF(tblMovement[[#This Row],[Material]]="","",IF(LEFT(tblMovement[[#This Row],[Material]],3)="Ore",1,0))</f>
        <v/>
      </c>
      <c r="N563" s="59">
        <f>IF(OR(tblMovement[[#This Row],[Tonnes_t]]="",tblMovement[[#This Row],[Grade_gpt]]=""),0,tblMovement[[#This Row],[Tonnes_t]]*tblMovement[[#This Row],[Grade_gpt]]/cfg_TroyOz)</f>
        <v/>
      </c>
      <c r="O563" s="59">
        <f>IF(tblMovement[[#This Row],[Is_Ore]]=1,tblMovement[[#This Row],[Contained_oz]],0)</f>
        <v/>
      </c>
    </row>
    <row r="564">
      <c r="A564" s="54" t="n"/>
      <c r="B564" s="61" t="n"/>
      <c r="C564" s="61" t="n"/>
      <c r="D564" s="61" t="n"/>
      <c r="E564" s="61" t="n"/>
      <c r="F564" s="55" t="n"/>
      <c r="G564" s="56" t="n"/>
      <c r="H564" s="55" t="n"/>
      <c r="I564" s="62" t="n"/>
      <c r="J564" s="58" t="n"/>
      <c r="K564" s="63">
        <f>IF(tblMovement[[#This Row],[Source]]="","",IFERROR(INDEX(tblSources[Type],MATCH(tblMovement[[#This Row],[Source]],tblSources[Source],0)),"?"))</f>
        <v/>
      </c>
      <c r="L564" s="63">
        <f>IF(tblMovement[[#This Row],[Destination]]="","",IFERROR(INDEX(tblDestinations[Type],MATCH(tblMovement[[#This Row],[Destination]],tblDestinations[Destination],0)),"?"))</f>
        <v/>
      </c>
      <c r="M564" s="64">
        <f>IF(tblMovement[[#This Row],[Material]]="","",IF(LEFT(tblMovement[[#This Row],[Material]],3)="Ore",1,0))</f>
        <v/>
      </c>
      <c r="N564" s="59">
        <f>IF(OR(tblMovement[[#This Row],[Tonnes_t]]="",tblMovement[[#This Row],[Grade_gpt]]=""),0,tblMovement[[#This Row],[Tonnes_t]]*tblMovement[[#This Row],[Grade_gpt]]/cfg_TroyOz)</f>
        <v/>
      </c>
      <c r="O564" s="59">
        <f>IF(tblMovement[[#This Row],[Is_Ore]]=1,tblMovement[[#This Row],[Contained_oz]],0)</f>
        <v/>
      </c>
    </row>
    <row r="565">
      <c r="A565" s="54" t="n"/>
      <c r="B565" s="61" t="n"/>
      <c r="C565" s="61" t="n"/>
      <c r="D565" s="61" t="n"/>
      <c r="E565" s="61" t="n"/>
      <c r="F565" s="55" t="n"/>
      <c r="G565" s="56" t="n"/>
      <c r="H565" s="55" t="n"/>
      <c r="I565" s="62" t="n"/>
      <c r="J565" s="58" t="n"/>
      <c r="K565" s="63">
        <f>IF(tblMovement[[#This Row],[Source]]="","",IFERROR(INDEX(tblSources[Type],MATCH(tblMovement[[#This Row],[Source]],tblSources[Source],0)),"?"))</f>
        <v/>
      </c>
      <c r="L565" s="63">
        <f>IF(tblMovement[[#This Row],[Destination]]="","",IFERROR(INDEX(tblDestinations[Type],MATCH(tblMovement[[#This Row],[Destination]],tblDestinations[Destination],0)),"?"))</f>
        <v/>
      </c>
      <c r="M565" s="64">
        <f>IF(tblMovement[[#This Row],[Material]]="","",IF(LEFT(tblMovement[[#This Row],[Material]],3)="Ore",1,0))</f>
        <v/>
      </c>
      <c r="N565" s="59">
        <f>IF(OR(tblMovement[[#This Row],[Tonnes_t]]="",tblMovement[[#This Row],[Grade_gpt]]=""),0,tblMovement[[#This Row],[Tonnes_t]]*tblMovement[[#This Row],[Grade_gpt]]/cfg_TroyOz)</f>
        <v/>
      </c>
      <c r="O565" s="59">
        <f>IF(tblMovement[[#This Row],[Is_Ore]]=1,tblMovement[[#This Row],[Contained_oz]],0)</f>
        <v/>
      </c>
    </row>
    <row r="566">
      <c r="A566" s="54" t="n"/>
      <c r="B566" s="61" t="n"/>
      <c r="C566" s="61" t="n"/>
      <c r="D566" s="61" t="n"/>
      <c r="E566" s="61" t="n"/>
      <c r="F566" s="55" t="n"/>
      <c r="G566" s="56" t="n"/>
      <c r="H566" s="55" t="n"/>
      <c r="I566" s="62" t="n"/>
      <c r="J566" s="58" t="n"/>
      <c r="K566" s="63">
        <f>IF(tblMovement[[#This Row],[Source]]="","",IFERROR(INDEX(tblSources[Type],MATCH(tblMovement[[#This Row],[Source]],tblSources[Source],0)),"?"))</f>
        <v/>
      </c>
      <c r="L566" s="63">
        <f>IF(tblMovement[[#This Row],[Destination]]="","",IFERROR(INDEX(tblDestinations[Type],MATCH(tblMovement[[#This Row],[Destination]],tblDestinations[Destination],0)),"?"))</f>
        <v/>
      </c>
      <c r="M566" s="64">
        <f>IF(tblMovement[[#This Row],[Material]]="","",IF(LEFT(tblMovement[[#This Row],[Material]],3)="Ore",1,0))</f>
        <v/>
      </c>
      <c r="N566" s="59">
        <f>IF(OR(tblMovement[[#This Row],[Tonnes_t]]="",tblMovement[[#This Row],[Grade_gpt]]=""),0,tblMovement[[#This Row],[Tonnes_t]]*tblMovement[[#This Row],[Grade_gpt]]/cfg_TroyOz)</f>
        <v/>
      </c>
      <c r="O566" s="59">
        <f>IF(tblMovement[[#This Row],[Is_Ore]]=1,tblMovement[[#This Row],[Contained_oz]],0)</f>
        <v/>
      </c>
    </row>
    <row r="567">
      <c r="A567" s="54" t="n"/>
      <c r="B567" s="61" t="n"/>
      <c r="C567" s="61" t="n"/>
      <c r="D567" s="61" t="n"/>
      <c r="E567" s="61" t="n"/>
      <c r="F567" s="55" t="n"/>
      <c r="G567" s="56" t="n"/>
      <c r="H567" s="55" t="n"/>
      <c r="I567" s="62" t="n"/>
      <c r="J567" s="58" t="n"/>
      <c r="K567" s="63">
        <f>IF(tblMovement[[#This Row],[Source]]="","",IFERROR(INDEX(tblSources[Type],MATCH(tblMovement[[#This Row],[Source]],tblSources[Source],0)),"?"))</f>
        <v/>
      </c>
      <c r="L567" s="63">
        <f>IF(tblMovement[[#This Row],[Destination]]="","",IFERROR(INDEX(tblDestinations[Type],MATCH(tblMovement[[#This Row],[Destination]],tblDestinations[Destination],0)),"?"))</f>
        <v/>
      </c>
      <c r="M567" s="64">
        <f>IF(tblMovement[[#This Row],[Material]]="","",IF(LEFT(tblMovement[[#This Row],[Material]],3)="Ore",1,0))</f>
        <v/>
      </c>
      <c r="N567" s="59">
        <f>IF(OR(tblMovement[[#This Row],[Tonnes_t]]="",tblMovement[[#This Row],[Grade_gpt]]=""),0,tblMovement[[#This Row],[Tonnes_t]]*tblMovement[[#This Row],[Grade_gpt]]/cfg_TroyOz)</f>
        <v/>
      </c>
      <c r="O567" s="59">
        <f>IF(tblMovement[[#This Row],[Is_Ore]]=1,tblMovement[[#This Row],[Contained_oz]],0)</f>
        <v/>
      </c>
    </row>
    <row r="568">
      <c r="A568" s="54" t="n"/>
      <c r="B568" s="61" t="n"/>
      <c r="C568" s="61" t="n"/>
      <c r="D568" s="61" t="n"/>
      <c r="E568" s="61" t="n"/>
      <c r="F568" s="55" t="n"/>
      <c r="G568" s="56" t="n"/>
      <c r="H568" s="55" t="n"/>
      <c r="I568" s="62" t="n"/>
      <c r="J568" s="58" t="n"/>
      <c r="K568" s="63">
        <f>IF(tblMovement[[#This Row],[Source]]="","",IFERROR(INDEX(tblSources[Type],MATCH(tblMovement[[#This Row],[Source]],tblSources[Source],0)),"?"))</f>
        <v/>
      </c>
      <c r="L568" s="63">
        <f>IF(tblMovement[[#This Row],[Destination]]="","",IFERROR(INDEX(tblDestinations[Type],MATCH(tblMovement[[#This Row],[Destination]],tblDestinations[Destination],0)),"?"))</f>
        <v/>
      </c>
      <c r="M568" s="64">
        <f>IF(tblMovement[[#This Row],[Material]]="","",IF(LEFT(tblMovement[[#This Row],[Material]],3)="Ore",1,0))</f>
        <v/>
      </c>
      <c r="N568" s="59">
        <f>IF(OR(tblMovement[[#This Row],[Tonnes_t]]="",tblMovement[[#This Row],[Grade_gpt]]=""),0,tblMovement[[#This Row],[Tonnes_t]]*tblMovement[[#This Row],[Grade_gpt]]/cfg_TroyOz)</f>
        <v/>
      </c>
      <c r="O568" s="59">
        <f>IF(tblMovement[[#This Row],[Is_Ore]]=1,tblMovement[[#This Row],[Contained_oz]],0)</f>
        <v/>
      </c>
    </row>
    <row r="569">
      <c r="A569" s="54" t="n"/>
      <c r="B569" s="61" t="n"/>
      <c r="C569" s="61" t="n"/>
      <c r="D569" s="61" t="n"/>
      <c r="E569" s="61" t="n"/>
      <c r="F569" s="55" t="n"/>
      <c r="G569" s="56" t="n"/>
      <c r="H569" s="55" t="n"/>
      <c r="I569" s="62" t="n"/>
      <c r="J569" s="58" t="n"/>
      <c r="K569" s="63">
        <f>IF(tblMovement[[#This Row],[Source]]="","",IFERROR(INDEX(tblSources[Type],MATCH(tblMovement[[#This Row],[Source]],tblSources[Source],0)),"?"))</f>
        <v/>
      </c>
      <c r="L569" s="63">
        <f>IF(tblMovement[[#This Row],[Destination]]="","",IFERROR(INDEX(tblDestinations[Type],MATCH(tblMovement[[#This Row],[Destination]],tblDestinations[Destination],0)),"?"))</f>
        <v/>
      </c>
      <c r="M569" s="64">
        <f>IF(tblMovement[[#This Row],[Material]]="","",IF(LEFT(tblMovement[[#This Row],[Material]],3)="Ore",1,0))</f>
        <v/>
      </c>
      <c r="N569" s="59">
        <f>IF(OR(tblMovement[[#This Row],[Tonnes_t]]="",tblMovement[[#This Row],[Grade_gpt]]=""),0,tblMovement[[#This Row],[Tonnes_t]]*tblMovement[[#This Row],[Grade_gpt]]/cfg_TroyOz)</f>
        <v/>
      </c>
      <c r="O569" s="59">
        <f>IF(tblMovement[[#This Row],[Is_Ore]]=1,tblMovement[[#This Row],[Contained_oz]],0)</f>
        <v/>
      </c>
    </row>
    <row r="570">
      <c r="A570" s="54" t="n"/>
      <c r="B570" s="61" t="n"/>
      <c r="C570" s="61" t="n"/>
      <c r="D570" s="61" t="n"/>
      <c r="E570" s="61" t="n"/>
      <c r="F570" s="55" t="n"/>
      <c r="G570" s="56" t="n"/>
      <c r="H570" s="55" t="n"/>
      <c r="I570" s="62" t="n"/>
      <c r="J570" s="58" t="n"/>
      <c r="K570" s="63">
        <f>IF(tblMovement[[#This Row],[Source]]="","",IFERROR(INDEX(tblSources[Type],MATCH(tblMovement[[#This Row],[Source]],tblSources[Source],0)),"?"))</f>
        <v/>
      </c>
      <c r="L570" s="63">
        <f>IF(tblMovement[[#This Row],[Destination]]="","",IFERROR(INDEX(tblDestinations[Type],MATCH(tblMovement[[#This Row],[Destination]],tblDestinations[Destination],0)),"?"))</f>
        <v/>
      </c>
      <c r="M570" s="64">
        <f>IF(tblMovement[[#This Row],[Material]]="","",IF(LEFT(tblMovement[[#This Row],[Material]],3)="Ore",1,0))</f>
        <v/>
      </c>
      <c r="N570" s="59">
        <f>IF(OR(tblMovement[[#This Row],[Tonnes_t]]="",tblMovement[[#This Row],[Grade_gpt]]=""),0,tblMovement[[#This Row],[Tonnes_t]]*tblMovement[[#This Row],[Grade_gpt]]/cfg_TroyOz)</f>
        <v/>
      </c>
      <c r="O570" s="59">
        <f>IF(tblMovement[[#This Row],[Is_Ore]]=1,tblMovement[[#This Row],[Contained_oz]],0)</f>
        <v/>
      </c>
    </row>
    <row r="571">
      <c r="A571" s="54" t="n"/>
      <c r="B571" s="61" t="n"/>
      <c r="C571" s="61" t="n"/>
      <c r="D571" s="61" t="n"/>
      <c r="E571" s="61" t="n"/>
      <c r="F571" s="55" t="n"/>
      <c r="G571" s="56" t="n"/>
      <c r="H571" s="55" t="n"/>
      <c r="I571" s="62" t="n"/>
      <c r="J571" s="58" t="n"/>
      <c r="K571" s="63">
        <f>IF(tblMovement[[#This Row],[Source]]="","",IFERROR(INDEX(tblSources[Type],MATCH(tblMovement[[#This Row],[Source]],tblSources[Source],0)),"?"))</f>
        <v/>
      </c>
      <c r="L571" s="63">
        <f>IF(tblMovement[[#This Row],[Destination]]="","",IFERROR(INDEX(tblDestinations[Type],MATCH(tblMovement[[#This Row],[Destination]],tblDestinations[Destination],0)),"?"))</f>
        <v/>
      </c>
      <c r="M571" s="64">
        <f>IF(tblMovement[[#This Row],[Material]]="","",IF(LEFT(tblMovement[[#This Row],[Material]],3)="Ore",1,0))</f>
        <v/>
      </c>
      <c r="N571" s="59">
        <f>IF(OR(tblMovement[[#This Row],[Tonnes_t]]="",tblMovement[[#This Row],[Grade_gpt]]=""),0,tblMovement[[#This Row],[Tonnes_t]]*tblMovement[[#This Row],[Grade_gpt]]/cfg_TroyOz)</f>
        <v/>
      </c>
      <c r="O571" s="59">
        <f>IF(tblMovement[[#This Row],[Is_Ore]]=1,tblMovement[[#This Row],[Contained_oz]],0)</f>
        <v/>
      </c>
    </row>
    <row r="572">
      <c r="A572" s="54" t="n"/>
      <c r="B572" s="61" t="n"/>
      <c r="C572" s="61" t="n"/>
      <c r="D572" s="61" t="n"/>
      <c r="E572" s="61" t="n"/>
      <c r="F572" s="55" t="n"/>
      <c r="G572" s="56" t="n"/>
      <c r="H572" s="55" t="n"/>
      <c r="I572" s="62" t="n"/>
      <c r="J572" s="58" t="n"/>
      <c r="K572" s="63">
        <f>IF(tblMovement[[#This Row],[Source]]="","",IFERROR(INDEX(tblSources[Type],MATCH(tblMovement[[#This Row],[Source]],tblSources[Source],0)),"?"))</f>
        <v/>
      </c>
      <c r="L572" s="63">
        <f>IF(tblMovement[[#This Row],[Destination]]="","",IFERROR(INDEX(tblDestinations[Type],MATCH(tblMovement[[#This Row],[Destination]],tblDestinations[Destination],0)),"?"))</f>
        <v/>
      </c>
      <c r="M572" s="64">
        <f>IF(tblMovement[[#This Row],[Material]]="","",IF(LEFT(tblMovement[[#This Row],[Material]],3)="Ore",1,0))</f>
        <v/>
      </c>
      <c r="N572" s="59">
        <f>IF(OR(tblMovement[[#This Row],[Tonnes_t]]="",tblMovement[[#This Row],[Grade_gpt]]=""),0,tblMovement[[#This Row],[Tonnes_t]]*tblMovement[[#This Row],[Grade_gpt]]/cfg_TroyOz)</f>
        <v/>
      </c>
      <c r="O572" s="59">
        <f>IF(tblMovement[[#This Row],[Is_Ore]]=1,tblMovement[[#This Row],[Contained_oz]],0)</f>
        <v/>
      </c>
    </row>
    <row r="573">
      <c r="A573" s="54" t="n"/>
      <c r="B573" s="61" t="n"/>
      <c r="C573" s="61" t="n"/>
      <c r="D573" s="61" t="n"/>
      <c r="E573" s="61" t="n"/>
      <c r="F573" s="55" t="n"/>
      <c r="G573" s="56" t="n"/>
      <c r="H573" s="55" t="n"/>
      <c r="I573" s="62" t="n"/>
      <c r="J573" s="58" t="n"/>
      <c r="K573" s="63">
        <f>IF(tblMovement[[#This Row],[Source]]="","",IFERROR(INDEX(tblSources[Type],MATCH(tblMovement[[#This Row],[Source]],tblSources[Source],0)),"?"))</f>
        <v/>
      </c>
      <c r="L573" s="63">
        <f>IF(tblMovement[[#This Row],[Destination]]="","",IFERROR(INDEX(tblDestinations[Type],MATCH(tblMovement[[#This Row],[Destination]],tblDestinations[Destination],0)),"?"))</f>
        <v/>
      </c>
      <c r="M573" s="64">
        <f>IF(tblMovement[[#This Row],[Material]]="","",IF(LEFT(tblMovement[[#This Row],[Material]],3)="Ore",1,0))</f>
        <v/>
      </c>
      <c r="N573" s="59">
        <f>IF(OR(tblMovement[[#This Row],[Tonnes_t]]="",tblMovement[[#This Row],[Grade_gpt]]=""),0,tblMovement[[#This Row],[Tonnes_t]]*tblMovement[[#This Row],[Grade_gpt]]/cfg_TroyOz)</f>
        <v/>
      </c>
      <c r="O573" s="59">
        <f>IF(tblMovement[[#This Row],[Is_Ore]]=1,tblMovement[[#This Row],[Contained_oz]],0)</f>
        <v/>
      </c>
    </row>
    <row r="574">
      <c r="A574" s="54" t="n"/>
      <c r="B574" s="61" t="n"/>
      <c r="C574" s="61" t="n"/>
      <c r="D574" s="61" t="n"/>
      <c r="E574" s="61" t="n"/>
      <c r="F574" s="55" t="n"/>
      <c r="G574" s="56" t="n"/>
      <c r="H574" s="55" t="n"/>
      <c r="I574" s="62" t="n"/>
      <c r="J574" s="58" t="n"/>
      <c r="K574" s="63">
        <f>IF(tblMovement[[#This Row],[Source]]="","",IFERROR(INDEX(tblSources[Type],MATCH(tblMovement[[#This Row],[Source]],tblSources[Source],0)),"?"))</f>
        <v/>
      </c>
      <c r="L574" s="63">
        <f>IF(tblMovement[[#This Row],[Destination]]="","",IFERROR(INDEX(tblDestinations[Type],MATCH(tblMovement[[#This Row],[Destination]],tblDestinations[Destination],0)),"?"))</f>
        <v/>
      </c>
      <c r="M574" s="64">
        <f>IF(tblMovement[[#This Row],[Material]]="","",IF(LEFT(tblMovement[[#This Row],[Material]],3)="Ore",1,0))</f>
        <v/>
      </c>
      <c r="N574" s="59">
        <f>IF(OR(tblMovement[[#This Row],[Tonnes_t]]="",tblMovement[[#This Row],[Grade_gpt]]=""),0,tblMovement[[#This Row],[Tonnes_t]]*tblMovement[[#This Row],[Grade_gpt]]/cfg_TroyOz)</f>
        <v/>
      </c>
      <c r="O574" s="59">
        <f>IF(tblMovement[[#This Row],[Is_Ore]]=1,tblMovement[[#This Row],[Contained_oz]],0)</f>
        <v/>
      </c>
    </row>
    <row r="575">
      <c r="A575" s="54" t="n"/>
      <c r="B575" s="61" t="n"/>
      <c r="C575" s="61" t="n"/>
      <c r="D575" s="61" t="n"/>
      <c r="E575" s="61" t="n"/>
      <c r="F575" s="55" t="n"/>
      <c r="G575" s="56" t="n"/>
      <c r="H575" s="55" t="n"/>
      <c r="I575" s="62" t="n"/>
      <c r="J575" s="58" t="n"/>
      <c r="K575" s="63">
        <f>IF(tblMovement[[#This Row],[Source]]="","",IFERROR(INDEX(tblSources[Type],MATCH(tblMovement[[#This Row],[Source]],tblSources[Source],0)),"?"))</f>
        <v/>
      </c>
      <c r="L575" s="63">
        <f>IF(tblMovement[[#This Row],[Destination]]="","",IFERROR(INDEX(tblDestinations[Type],MATCH(tblMovement[[#This Row],[Destination]],tblDestinations[Destination],0)),"?"))</f>
        <v/>
      </c>
      <c r="M575" s="64">
        <f>IF(tblMovement[[#This Row],[Material]]="","",IF(LEFT(tblMovement[[#This Row],[Material]],3)="Ore",1,0))</f>
        <v/>
      </c>
      <c r="N575" s="59">
        <f>IF(OR(tblMovement[[#This Row],[Tonnes_t]]="",tblMovement[[#This Row],[Grade_gpt]]=""),0,tblMovement[[#This Row],[Tonnes_t]]*tblMovement[[#This Row],[Grade_gpt]]/cfg_TroyOz)</f>
        <v/>
      </c>
      <c r="O575" s="59">
        <f>IF(tblMovement[[#This Row],[Is_Ore]]=1,tblMovement[[#This Row],[Contained_oz]],0)</f>
        <v/>
      </c>
    </row>
    <row r="576">
      <c r="A576" s="54" t="n"/>
      <c r="B576" s="61" t="n"/>
      <c r="C576" s="61" t="n"/>
      <c r="D576" s="61" t="n"/>
      <c r="E576" s="61" t="n"/>
      <c r="F576" s="55" t="n"/>
      <c r="G576" s="56" t="n"/>
      <c r="H576" s="55" t="n"/>
      <c r="I576" s="62" t="n"/>
      <c r="J576" s="58" t="n"/>
      <c r="K576" s="63">
        <f>IF(tblMovement[[#This Row],[Source]]="","",IFERROR(INDEX(tblSources[Type],MATCH(tblMovement[[#This Row],[Source]],tblSources[Source],0)),"?"))</f>
        <v/>
      </c>
      <c r="L576" s="63">
        <f>IF(tblMovement[[#This Row],[Destination]]="","",IFERROR(INDEX(tblDestinations[Type],MATCH(tblMovement[[#This Row],[Destination]],tblDestinations[Destination],0)),"?"))</f>
        <v/>
      </c>
      <c r="M576" s="64">
        <f>IF(tblMovement[[#This Row],[Material]]="","",IF(LEFT(tblMovement[[#This Row],[Material]],3)="Ore",1,0))</f>
        <v/>
      </c>
      <c r="N576" s="59">
        <f>IF(OR(tblMovement[[#This Row],[Tonnes_t]]="",tblMovement[[#This Row],[Grade_gpt]]=""),0,tblMovement[[#This Row],[Tonnes_t]]*tblMovement[[#This Row],[Grade_gpt]]/cfg_TroyOz)</f>
        <v/>
      </c>
      <c r="O576" s="59">
        <f>IF(tblMovement[[#This Row],[Is_Ore]]=1,tblMovement[[#This Row],[Contained_oz]],0)</f>
        <v/>
      </c>
    </row>
    <row r="577">
      <c r="A577" s="54" t="n"/>
      <c r="B577" s="61" t="n"/>
      <c r="C577" s="61" t="n"/>
      <c r="D577" s="61" t="n"/>
      <c r="E577" s="61" t="n"/>
      <c r="F577" s="55" t="n"/>
      <c r="G577" s="56" t="n"/>
      <c r="H577" s="55" t="n"/>
      <c r="I577" s="62" t="n"/>
      <c r="J577" s="58" t="n"/>
      <c r="K577" s="63">
        <f>IF(tblMovement[[#This Row],[Source]]="","",IFERROR(INDEX(tblSources[Type],MATCH(tblMovement[[#This Row],[Source]],tblSources[Source],0)),"?"))</f>
        <v/>
      </c>
      <c r="L577" s="63">
        <f>IF(tblMovement[[#This Row],[Destination]]="","",IFERROR(INDEX(tblDestinations[Type],MATCH(tblMovement[[#This Row],[Destination]],tblDestinations[Destination],0)),"?"))</f>
        <v/>
      </c>
      <c r="M577" s="64">
        <f>IF(tblMovement[[#This Row],[Material]]="","",IF(LEFT(tblMovement[[#This Row],[Material]],3)="Ore",1,0))</f>
        <v/>
      </c>
      <c r="N577" s="59">
        <f>IF(OR(tblMovement[[#This Row],[Tonnes_t]]="",tblMovement[[#This Row],[Grade_gpt]]=""),0,tblMovement[[#This Row],[Tonnes_t]]*tblMovement[[#This Row],[Grade_gpt]]/cfg_TroyOz)</f>
        <v/>
      </c>
      <c r="O577" s="59">
        <f>IF(tblMovement[[#This Row],[Is_Ore]]=1,tblMovement[[#This Row],[Contained_oz]],0)</f>
        <v/>
      </c>
    </row>
    <row r="578">
      <c r="A578" s="54" t="n"/>
      <c r="B578" s="61" t="n"/>
      <c r="C578" s="61" t="n"/>
      <c r="D578" s="61" t="n"/>
      <c r="E578" s="61" t="n"/>
      <c r="F578" s="55" t="n"/>
      <c r="G578" s="56" t="n"/>
      <c r="H578" s="55" t="n"/>
      <c r="I578" s="62" t="n"/>
      <c r="J578" s="58" t="n"/>
      <c r="K578" s="63">
        <f>IF(tblMovement[[#This Row],[Source]]="","",IFERROR(INDEX(tblSources[Type],MATCH(tblMovement[[#This Row],[Source]],tblSources[Source],0)),"?"))</f>
        <v/>
      </c>
      <c r="L578" s="63">
        <f>IF(tblMovement[[#This Row],[Destination]]="","",IFERROR(INDEX(tblDestinations[Type],MATCH(tblMovement[[#This Row],[Destination]],tblDestinations[Destination],0)),"?"))</f>
        <v/>
      </c>
      <c r="M578" s="64">
        <f>IF(tblMovement[[#This Row],[Material]]="","",IF(LEFT(tblMovement[[#This Row],[Material]],3)="Ore",1,0))</f>
        <v/>
      </c>
      <c r="N578" s="59">
        <f>IF(OR(tblMovement[[#This Row],[Tonnes_t]]="",tblMovement[[#This Row],[Grade_gpt]]=""),0,tblMovement[[#This Row],[Tonnes_t]]*tblMovement[[#This Row],[Grade_gpt]]/cfg_TroyOz)</f>
        <v/>
      </c>
      <c r="O578" s="59">
        <f>IF(tblMovement[[#This Row],[Is_Ore]]=1,tblMovement[[#This Row],[Contained_oz]],0)</f>
        <v/>
      </c>
    </row>
    <row r="579">
      <c r="A579" s="54" t="n"/>
      <c r="B579" s="61" t="n"/>
      <c r="C579" s="61" t="n"/>
      <c r="D579" s="61" t="n"/>
      <c r="E579" s="61" t="n"/>
      <c r="F579" s="55" t="n"/>
      <c r="G579" s="56" t="n"/>
      <c r="H579" s="55" t="n"/>
      <c r="I579" s="62" t="n"/>
      <c r="J579" s="58" t="n"/>
      <c r="K579" s="63">
        <f>IF(tblMovement[[#This Row],[Source]]="","",IFERROR(INDEX(tblSources[Type],MATCH(tblMovement[[#This Row],[Source]],tblSources[Source],0)),"?"))</f>
        <v/>
      </c>
      <c r="L579" s="63">
        <f>IF(tblMovement[[#This Row],[Destination]]="","",IFERROR(INDEX(tblDestinations[Type],MATCH(tblMovement[[#This Row],[Destination]],tblDestinations[Destination],0)),"?"))</f>
        <v/>
      </c>
      <c r="M579" s="64">
        <f>IF(tblMovement[[#This Row],[Material]]="","",IF(LEFT(tblMovement[[#This Row],[Material]],3)="Ore",1,0))</f>
        <v/>
      </c>
      <c r="N579" s="59">
        <f>IF(OR(tblMovement[[#This Row],[Tonnes_t]]="",tblMovement[[#This Row],[Grade_gpt]]=""),0,tblMovement[[#This Row],[Tonnes_t]]*tblMovement[[#This Row],[Grade_gpt]]/cfg_TroyOz)</f>
        <v/>
      </c>
      <c r="O579" s="59">
        <f>IF(tblMovement[[#This Row],[Is_Ore]]=1,tblMovement[[#This Row],[Contained_oz]],0)</f>
        <v/>
      </c>
    </row>
    <row r="580">
      <c r="A580" s="54" t="n"/>
      <c r="B580" s="61" t="n"/>
      <c r="C580" s="61" t="n"/>
      <c r="D580" s="61" t="n"/>
      <c r="E580" s="61" t="n"/>
      <c r="F580" s="55" t="n"/>
      <c r="G580" s="56" t="n"/>
      <c r="H580" s="55" t="n"/>
      <c r="I580" s="62" t="n"/>
      <c r="J580" s="58" t="n"/>
      <c r="K580" s="63">
        <f>IF(tblMovement[[#This Row],[Source]]="","",IFERROR(INDEX(tblSources[Type],MATCH(tblMovement[[#This Row],[Source]],tblSources[Source],0)),"?"))</f>
        <v/>
      </c>
      <c r="L580" s="63">
        <f>IF(tblMovement[[#This Row],[Destination]]="","",IFERROR(INDEX(tblDestinations[Type],MATCH(tblMovement[[#This Row],[Destination]],tblDestinations[Destination],0)),"?"))</f>
        <v/>
      </c>
      <c r="M580" s="64">
        <f>IF(tblMovement[[#This Row],[Material]]="","",IF(LEFT(tblMovement[[#This Row],[Material]],3)="Ore",1,0))</f>
        <v/>
      </c>
      <c r="N580" s="59">
        <f>IF(OR(tblMovement[[#This Row],[Tonnes_t]]="",tblMovement[[#This Row],[Grade_gpt]]=""),0,tblMovement[[#This Row],[Tonnes_t]]*tblMovement[[#This Row],[Grade_gpt]]/cfg_TroyOz)</f>
        <v/>
      </c>
      <c r="O580" s="59">
        <f>IF(tblMovement[[#This Row],[Is_Ore]]=1,tblMovement[[#This Row],[Contained_oz]],0)</f>
        <v/>
      </c>
    </row>
    <row r="581">
      <c r="A581" s="54" t="n"/>
      <c r="B581" s="61" t="n"/>
      <c r="C581" s="61" t="n"/>
      <c r="D581" s="61" t="n"/>
      <c r="E581" s="61" t="n"/>
      <c r="F581" s="55" t="n"/>
      <c r="G581" s="56" t="n"/>
      <c r="H581" s="55" t="n"/>
      <c r="I581" s="62" t="n"/>
      <c r="J581" s="58" t="n"/>
      <c r="K581" s="63">
        <f>IF(tblMovement[[#This Row],[Source]]="","",IFERROR(INDEX(tblSources[Type],MATCH(tblMovement[[#This Row],[Source]],tblSources[Source],0)),"?"))</f>
        <v/>
      </c>
      <c r="L581" s="63">
        <f>IF(tblMovement[[#This Row],[Destination]]="","",IFERROR(INDEX(tblDestinations[Type],MATCH(tblMovement[[#This Row],[Destination]],tblDestinations[Destination],0)),"?"))</f>
        <v/>
      </c>
      <c r="M581" s="64">
        <f>IF(tblMovement[[#This Row],[Material]]="","",IF(LEFT(tblMovement[[#This Row],[Material]],3)="Ore",1,0))</f>
        <v/>
      </c>
      <c r="N581" s="59">
        <f>IF(OR(tblMovement[[#This Row],[Tonnes_t]]="",tblMovement[[#This Row],[Grade_gpt]]=""),0,tblMovement[[#This Row],[Tonnes_t]]*tblMovement[[#This Row],[Grade_gpt]]/cfg_TroyOz)</f>
        <v/>
      </c>
      <c r="O581" s="59">
        <f>IF(tblMovement[[#This Row],[Is_Ore]]=1,tblMovement[[#This Row],[Contained_oz]],0)</f>
        <v/>
      </c>
    </row>
    <row r="582">
      <c r="A582" s="54" t="n"/>
      <c r="B582" s="61" t="n"/>
      <c r="C582" s="61" t="n"/>
      <c r="D582" s="61" t="n"/>
      <c r="E582" s="61" t="n"/>
      <c r="F582" s="55" t="n"/>
      <c r="G582" s="56" t="n"/>
      <c r="H582" s="55" t="n"/>
      <c r="I582" s="62" t="n"/>
      <c r="J582" s="58" t="n"/>
      <c r="K582" s="63">
        <f>IF(tblMovement[[#This Row],[Source]]="","",IFERROR(INDEX(tblSources[Type],MATCH(tblMovement[[#This Row],[Source]],tblSources[Source],0)),"?"))</f>
        <v/>
      </c>
      <c r="L582" s="63">
        <f>IF(tblMovement[[#This Row],[Destination]]="","",IFERROR(INDEX(tblDestinations[Type],MATCH(tblMovement[[#This Row],[Destination]],tblDestinations[Destination],0)),"?"))</f>
        <v/>
      </c>
      <c r="M582" s="64">
        <f>IF(tblMovement[[#This Row],[Material]]="","",IF(LEFT(tblMovement[[#This Row],[Material]],3)="Ore",1,0))</f>
        <v/>
      </c>
      <c r="N582" s="59">
        <f>IF(OR(tblMovement[[#This Row],[Tonnes_t]]="",tblMovement[[#This Row],[Grade_gpt]]=""),0,tblMovement[[#This Row],[Tonnes_t]]*tblMovement[[#This Row],[Grade_gpt]]/cfg_TroyOz)</f>
        <v/>
      </c>
      <c r="O582" s="59">
        <f>IF(tblMovement[[#This Row],[Is_Ore]]=1,tblMovement[[#This Row],[Contained_oz]],0)</f>
        <v/>
      </c>
    </row>
    <row r="583">
      <c r="A583" s="54" t="n"/>
      <c r="B583" s="61" t="n"/>
      <c r="C583" s="61" t="n"/>
      <c r="D583" s="61" t="n"/>
      <c r="E583" s="61" t="n"/>
      <c r="F583" s="55" t="n"/>
      <c r="G583" s="56" t="n"/>
      <c r="H583" s="55" t="n"/>
      <c r="I583" s="62" t="n"/>
      <c r="J583" s="58" t="n"/>
      <c r="K583" s="63">
        <f>IF(tblMovement[[#This Row],[Source]]="","",IFERROR(INDEX(tblSources[Type],MATCH(tblMovement[[#This Row],[Source]],tblSources[Source],0)),"?"))</f>
        <v/>
      </c>
      <c r="L583" s="63">
        <f>IF(tblMovement[[#This Row],[Destination]]="","",IFERROR(INDEX(tblDestinations[Type],MATCH(tblMovement[[#This Row],[Destination]],tblDestinations[Destination],0)),"?"))</f>
        <v/>
      </c>
      <c r="M583" s="64">
        <f>IF(tblMovement[[#This Row],[Material]]="","",IF(LEFT(tblMovement[[#This Row],[Material]],3)="Ore",1,0))</f>
        <v/>
      </c>
      <c r="N583" s="59">
        <f>IF(OR(tblMovement[[#This Row],[Tonnes_t]]="",tblMovement[[#This Row],[Grade_gpt]]=""),0,tblMovement[[#This Row],[Tonnes_t]]*tblMovement[[#This Row],[Grade_gpt]]/cfg_TroyOz)</f>
        <v/>
      </c>
      <c r="O583" s="59">
        <f>IF(tblMovement[[#This Row],[Is_Ore]]=1,tblMovement[[#This Row],[Contained_oz]],0)</f>
        <v/>
      </c>
    </row>
    <row r="584">
      <c r="A584" s="54" t="n"/>
      <c r="B584" s="61" t="n"/>
      <c r="C584" s="61" t="n"/>
      <c r="D584" s="61" t="n"/>
      <c r="E584" s="61" t="n"/>
      <c r="F584" s="55" t="n"/>
      <c r="G584" s="56" t="n"/>
      <c r="H584" s="55" t="n"/>
      <c r="I584" s="62" t="n"/>
      <c r="J584" s="58" t="n"/>
      <c r="K584" s="63">
        <f>IF(tblMovement[[#This Row],[Source]]="","",IFERROR(INDEX(tblSources[Type],MATCH(tblMovement[[#This Row],[Source]],tblSources[Source],0)),"?"))</f>
        <v/>
      </c>
      <c r="L584" s="63">
        <f>IF(tblMovement[[#This Row],[Destination]]="","",IFERROR(INDEX(tblDestinations[Type],MATCH(tblMovement[[#This Row],[Destination]],tblDestinations[Destination],0)),"?"))</f>
        <v/>
      </c>
      <c r="M584" s="64">
        <f>IF(tblMovement[[#This Row],[Material]]="","",IF(LEFT(tblMovement[[#This Row],[Material]],3)="Ore",1,0))</f>
        <v/>
      </c>
      <c r="N584" s="59">
        <f>IF(OR(tblMovement[[#This Row],[Tonnes_t]]="",tblMovement[[#This Row],[Grade_gpt]]=""),0,tblMovement[[#This Row],[Tonnes_t]]*tblMovement[[#This Row],[Grade_gpt]]/cfg_TroyOz)</f>
        <v/>
      </c>
      <c r="O584" s="59">
        <f>IF(tblMovement[[#This Row],[Is_Ore]]=1,tblMovement[[#This Row],[Contained_oz]],0)</f>
        <v/>
      </c>
    </row>
    <row r="585">
      <c r="A585" s="54" t="n"/>
      <c r="B585" s="61" t="n"/>
      <c r="C585" s="61" t="n"/>
      <c r="D585" s="61" t="n"/>
      <c r="E585" s="61" t="n"/>
      <c r="F585" s="55" t="n"/>
      <c r="G585" s="56" t="n"/>
      <c r="H585" s="55" t="n"/>
      <c r="I585" s="62" t="n"/>
      <c r="J585" s="58" t="n"/>
      <c r="K585" s="63">
        <f>IF(tblMovement[[#This Row],[Source]]="","",IFERROR(INDEX(tblSources[Type],MATCH(tblMovement[[#This Row],[Source]],tblSources[Source],0)),"?"))</f>
        <v/>
      </c>
      <c r="L585" s="63">
        <f>IF(tblMovement[[#This Row],[Destination]]="","",IFERROR(INDEX(tblDestinations[Type],MATCH(tblMovement[[#This Row],[Destination]],tblDestinations[Destination],0)),"?"))</f>
        <v/>
      </c>
      <c r="M585" s="64">
        <f>IF(tblMovement[[#This Row],[Material]]="","",IF(LEFT(tblMovement[[#This Row],[Material]],3)="Ore",1,0))</f>
        <v/>
      </c>
      <c r="N585" s="59">
        <f>IF(OR(tblMovement[[#This Row],[Tonnes_t]]="",tblMovement[[#This Row],[Grade_gpt]]=""),0,tblMovement[[#This Row],[Tonnes_t]]*tblMovement[[#This Row],[Grade_gpt]]/cfg_TroyOz)</f>
        <v/>
      </c>
      <c r="O585" s="59">
        <f>IF(tblMovement[[#This Row],[Is_Ore]]=1,tblMovement[[#This Row],[Contained_oz]],0)</f>
        <v/>
      </c>
    </row>
    <row r="586">
      <c r="A586" s="54" t="n"/>
      <c r="B586" s="61" t="n"/>
      <c r="C586" s="61" t="n"/>
      <c r="D586" s="61" t="n"/>
      <c r="E586" s="61" t="n"/>
      <c r="F586" s="55" t="n"/>
      <c r="G586" s="56" t="n"/>
      <c r="H586" s="55" t="n"/>
      <c r="I586" s="62" t="n"/>
      <c r="J586" s="58" t="n"/>
      <c r="K586" s="63">
        <f>IF(tblMovement[[#This Row],[Source]]="","",IFERROR(INDEX(tblSources[Type],MATCH(tblMovement[[#This Row],[Source]],tblSources[Source],0)),"?"))</f>
        <v/>
      </c>
      <c r="L586" s="63">
        <f>IF(tblMovement[[#This Row],[Destination]]="","",IFERROR(INDEX(tblDestinations[Type],MATCH(tblMovement[[#This Row],[Destination]],tblDestinations[Destination],0)),"?"))</f>
        <v/>
      </c>
      <c r="M586" s="64">
        <f>IF(tblMovement[[#This Row],[Material]]="","",IF(LEFT(tblMovement[[#This Row],[Material]],3)="Ore",1,0))</f>
        <v/>
      </c>
      <c r="N586" s="59">
        <f>IF(OR(tblMovement[[#This Row],[Tonnes_t]]="",tblMovement[[#This Row],[Grade_gpt]]=""),0,tblMovement[[#This Row],[Tonnes_t]]*tblMovement[[#This Row],[Grade_gpt]]/cfg_TroyOz)</f>
        <v/>
      </c>
      <c r="O586" s="59">
        <f>IF(tblMovement[[#This Row],[Is_Ore]]=1,tblMovement[[#This Row],[Contained_oz]],0)</f>
        <v/>
      </c>
    </row>
    <row r="587">
      <c r="A587" s="54" t="n"/>
      <c r="B587" s="61" t="n"/>
      <c r="C587" s="61" t="n"/>
      <c r="D587" s="61" t="n"/>
      <c r="E587" s="61" t="n"/>
      <c r="F587" s="55" t="n"/>
      <c r="G587" s="56" t="n"/>
      <c r="H587" s="55" t="n"/>
      <c r="I587" s="62" t="n"/>
      <c r="J587" s="58" t="n"/>
      <c r="K587" s="63">
        <f>IF(tblMovement[[#This Row],[Source]]="","",IFERROR(INDEX(tblSources[Type],MATCH(tblMovement[[#This Row],[Source]],tblSources[Source],0)),"?"))</f>
        <v/>
      </c>
      <c r="L587" s="63">
        <f>IF(tblMovement[[#This Row],[Destination]]="","",IFERROR(INDEX(tblDestinations[Type],MATCH(tblMovement[[#This Row],[Destination]],tblDestinations[Destination],0)),"?"))</f>
        <v/>
      </c>
      <c r="M587" s="64">
        <f>IF(tblMovement[[#This Row],[Material]]="","",IF(LEFT(tblMovement[[#This Row],[Material]],3)="Ore",1,0))</f>
        <v/>
      </c>
      <c r="N587" s="59">
        <f>IF(OR(tblMovement[[#This Row],[Tonnes_t]]="",tblMovement[[#This Row],[Grade_gpt]]=""),0,tblMovement[[#This Row],[Tonnes_t]]*tblMovement[[#This Row],[Grade_gpt]]/cfg_TroyOz)</f>
        <v/>
      </c>
      <c r="O587" s="59">
        <f>IF(tblMovement[[#This Row],[Is_Ore]]=1,tblMovement[[#This Row],[Contained_oz]],0)</f>
        <v/>
      </c>
    </row>
    <row r="588">
      <c r="A588" s="54" t="n"/>
      <c r="B588" s="61" t="n"/>
      <c r="C588" s="61" t="n"/>
      <c r="D588" s="61" t="n"/>
      <c r="E588" s="61" t="n"/>
      <c r="F588" s="55" t="n"/>
      <c r="G588" s="56" t="n"/>
      <c r="H588" s="55" t="n"/>
      <c r="I588" s="62" t="n"/>
      <c r="J588" s="58" t="n"/>
      <c r="K588" s="63">
        <f>IF(tblMovement[[#This Row],[Source]]="","",IFERROR(INDEX(tblSources[Type],MATCH(tblMovement[[#This Row],[Source]],tblSources[Source],0)),"?"))</f>
        <v/>
      </c>
      <c r="L588" s="63">
        <f>IF(tblMovement[[#This Row],[Destination]]="","",IFERROR(INDEX(tblDestinations[Type],MATCH(tblMovement[[#This Row],[Destination]],tblDestinations[Destination],0)),"?"))</f>
        <v/>
      </c>
      <c r="M588" s="64">
        <f>IF(tblMovement[[#This Row],[Material]]="","",IF(LEFT(tblMovement[[#This Row],[Material]],3)="Ore",1,0))</f>
        <v/>
      </c>
      <c r="N588" s="59">
        <f>IF(OR(tblMovement[[#This Row],[Tonnes_t]]="",tblMovement[[#This Row],[Grade_gpt]]=""),0,tblMovement[[#This Row],[Tonnes_t]]*tblMovement[[#This Row],[Grade_gpt]]/cfg_TroyOz)</f>
        <v/>
      </c>
      <c r="O588" s="59">
        <f>IF(tblMovement[[#This Row],[Is_Ore]]=1,tblMovement[[#This Row],[Contained_oz]],0)</f>
        <v/>
      </c>
    </row>
    <row r="589">
      <c r="A589" s="54" t="n"/>
      <c r="B589" s="61" t="n"/>
      <c r="C589" s="61" t="n"/>
      <c r="D589" s="61" t="n"/>
      <c r="E589" s="61" t="n"/>
      <c r="F589" s="55" t="n"/>
      <c r="G589" s="56" t="n"/>
      <c r="H589" s="55" t="n"/>
      <c r="I589" s="62" t="n"/>
      <c r="J589" s="58" t="n"/>
      <c r="K589" s="63">
        <f>IF(tblMovement[[#This Row],[Source]]="","",IFERROR(INDEX(tblSources[Type],MATCH(tblMovement[[#This Row],[Source]],tblSources[Source],0)),"?"))</f>
        <v/>
      </c>
      <c r="L589" s="63">
        <f>IF(tblMovement[[#This Row],[Destination]]="","",IFERROR(INDEX(tblDestinations[Type],MATCH(tblMovement[[#This Row],[Destination]],tblDestinations[Destination],0)),"?"))</f>
        <v/>
      </c>
      <c r="M589" s="64">
        <f>IF(tblMovement[[#This Row],[Material]]="","",IF(LEFT(tblMovement[[#This Row],[Material]],3)="Ore",1,0))</f>
        <v/>
      </c>
      <c r="N589" s="59">
        <f>IF(OR(tblMovement[[#This Row],[Tonnes_t]]="",tblMovement[[#This Row],[Grade_gpt]]=""),0,tblMovement[[#This Row],[Tonnes_t]]*tblMovement[[#This Row],[Grade_gpt]]/cfg_TroyOz)</f>
        <v/>
      </c>
      <c r="O589" s="59">
        <f>IF(tblMovement[[#This Row],[Is_Ore]]=1,tblMovement[[#This Row],[Contained_oz]],0)</f>
        <v/>
      </c>
    </row>
    <row r="590">
      <c r="A590" s="54" t="n"/>
      <c r="B590" s="61" t="n"/>
      <c r="C590" s="61" t="n"/>
      <c r="D590" s="61" t="n"/>
      <c r="E590" s="61" t="n"/>
      <c r="F590" s="55" t="n"/>
      <c r="G590" s="56" t="n"/>
      <c r="H590" s="55" t="n"/>
      <c r="I590" s="62" t="n"/>
      <c r="J590" s="58" t="n"/>
      <c r="K590" s="63">
        <f>IF(tblMovement[[#This Row],[Source]]="","",IFERROR(INDEX(tblSources[Type],MATCH(tblMovement[[#This Row],[Source]],tblSources[Source],0)),"?"))</f>
        <v/>
      </c>
      <c r="L590" s="63">
        <f>IF(tblMovement[[#This Row],[Destination]]="","",IFERROR(INDEX(tblDestinations[Type],MATCH(tblMovement[[#This Row],[Destination]],tblDestinations[Destination],0)),"?"))</f>
        <v/>
      </c>
      <c r="M590" s="64">
        <f>IF(tblMovement[[#This Row],[Material]]="","",IF(LEFT(tblMovement[[#This Row],[Material]],3)="Ore",1,0))</f>
        <v/>
      </c>
      <c r="N590" s="59">
        <f>IF(OR(tblMovement[[#This Row],[Tonnes_t]]="",tblMovement[[#This Row],[Grade_gpt]]=""),0,tblMovement[[#This Row],[Tonnes_t]]*tblMovement[[#This Row],[Grade_gpt]]/cfg_TroyOz)</f>
        <v/>
      </c>
      <c r="O590" s="59">
        <f>IF(tblMovement[[#This Row],[Is_Ore]]=1,tblMovement[[#This Row],[Contained_oz]],0)</f>
        <v/>
      </c>
    </row>
    <row r="591">
      <c r="A591" s="54" t="n"/>
      <c r="B591" s="61" t="n"/>
      <c r="C591" s="61" t="n"/>
      <c r="D591" s="61" t="n"/>
      <c r="E591" s="61" t="n"/>
      <c r="F591" s="55" t="n"/>
      <c r="G591" s="56" t="n"/>
      <c r="H591" s="55" t="n"/>
      <c r="I591" s="62" t="n"/>
      <c r="J591" s="58" t="n"/>
      <c r="K591" s="63">
        <f>IF(tblMovement[[#This Row],[Source]]="","",IFERROR(INDEX(tblSources[Type],MATCH(tblMovement[[#This Row],[Source]],tblSources[Source],0)),"?"))</f>
        <v/>
      </c>
      <c r="L591" s="63">
        <f>IF(tblMovement[[#This Row],[Destination]]="","",IFERROR(INDEX(tblDestinations[Type],MATCH(tblMovement[[#This Row],[Destination]],tblDestinations[Destination],0)),"?"))</f>
        <v/>
      </c>
      <c r="M591" s="64">
        <f>IF(tblMovement[[#This Row],[Material]]="","",IF(LEFT(tblMovement[[#This Row],[Material]],3)="Ore",1,0))</f>
        <v/>
      </c>
      <c r="N591" s="59">
        <f>IF(OR(tblMovement[[#This Row],[Tonnes_t]]="",tblMovement[[#This Row],[Grade_gpt]]=""),0,tblMovement[[#This Row],[Tonnes_t]]*tblMovement[[#This Row],[Grade_gpt]]/cfg_TroyOz)</f>
        <v/>
      </c>
      <c r="O591" s="59">
        <f>IF(tblMovement[[#This Row],[Is_Ore]]=1,tblMovement[[#This Row],[Contained_oz]],0)</f>
        <v/>
      </c>
    </row>
    <row r="592">
      <c r="A592" s="54" t="n"/>
      <c r="B592" s="61" t="n"/>
      <c r="C592" s="61" t="n"/>
      <c r="D592" s="61" t="n"/>
      <c r="E592" s="61" t="n"/>
      <c r="F592" s="55" t="n"/>
      <c r="G592" s="56" t="n"/>
      <c r="H592" s="55" t="n"/>
      <c r="I592" s="62" t="n"/>
      <c r="J592" s="58" t="n"/>
      <c r="K592" s="63">
        <f>IF(tblMovement[[#This Row],[Source]]="","",IFERROR(INDEX(tblSources[Type],MATCH(tblMovement[[#This Row],[Source]],tblSources[Source],0)),"?"))</f>
        <v/>
      </c>
      <c r="L592" s="63">
        <f>IF(tblMovement[[#This Row],[Destination]]="","",IFERROR(INDEX(tblDestinations[Type],MATCH(tblMovement[[#This Row],[Destination]],tblDestinations[Destination],0)),"?"))</f>
        <v/>
      </c>
      <c r="M592" s="64">
        <f>IF(tblMovement[[#This Row],[Material]]="","",IF(LEFT(tblMovement[[#This Row],[Material]],3)="Ore",1,0))</f>
        <v/>
      </c>
      <c r="N592" s="59">
        <f>IF(OR(tblMovement[[#This Row],[Tonnes_t]]="",tblMovement[[#This Row],[Grade_gpt]]=""),0,tblMovement[[#This Row],[Tonnes_t]]*tblMovement[[#This Row],[Grade_gpt]]/cfg_TroyOz)</f>
        <v/>
      </c>
      <c r="O592" s="59">
        <f>IF(tblMovement[[#This Row],[Is_Ore]]=1,tblMovement[[#This Row],[Contained_oz]],0)</f>
        <v/>
      </c>
    </row>
    <row r="593">
      <c r="A593" s="54" t="n"/>
      <c r="B593" s="61" t="n"/>
      <c r="C593" s="61" t="n"/>
      <c r="D593" s="61" t="n"/>
      <c r="E593" s="61" t="n"/>
      <c r="F593" s="55" t="n"/>
      <c r="G593" s="56" t="n"/>
      <c r="H593" s="55" t="n"/>
      <c r="I593" s="62" t="n"/>
      <c r="J593" s="58" t="n"/>
      <c r="K593" s="63">
        <f>IF(tblMovement[[#This Row],[Source]]="","",IFERROR(INDEX(tblSources[Type],MATCH(tblMovement[[#This Row],[Source]],tblSources[Source],0)),"?"))</f>
        <v/>
      </c>
      <c r="L593" s="63">
        <f>IF(tblMovement[[#This Row],[Destination]]="","",IFERROR(INDEX(tblDestinations[Type],MATCH(tblMovement[[#This Row],[Destination]],tblDestinations[Destination],0)),"?"))</f>
        <v/>
      </c>
      <c r="M593" s="64">
        <f>IF(tblMovement[[#This Row],[Material]]="","",IF(LEFT(tblMovement[[#This Row],[Material]],3)="Ore",1,0))</f>
        <v/>
      </c>
      <c r="N593" s="59">
        <f>IF(OR(tblMovement[[#This Row],[Tonnes_t]]="",tblMovement[[#This Row],[Grade_gpt]]=""),0,tblMovement[[#This Row],[Tonnes_t]]*tblMovement[[#This Row],[Grade_gpt]]/cfg_TroyOz)</f>
        <v/>
      </c>
      <c r="O593" s="59">
        <f>IF(tblMovement[[#This Row],[Is_Ore]]=1,tblMovement[[#This Row],[Contained_oz]],0)</f>
        <v/>
      </c>
    </row>
    <row r="594">
      <c r="A594" s="54" t="n"/>
      <c r="B594" s="61" t="n"/>
      <c r="C594" s="61" t="n"/>
      <c r="D594" s="61" t="n"/>
      <c r="E594" s="61" t="n"/>
      <c r="F594" s="55" t="n"/>
      <c r="G594" s="56" t="n"/>
      <c r="H594" s="55" t="n"/>
      <c r="I594" s="62" t="n"/>
      <c r="J594" s="58" t="n"/>
      <c r="K594" s="63">
        <f>IF(tblMovement[[#This Row],[Source]]="","",IFERROR(INDEX(tblSources[Type],MATCH(tblMovement[[#This Row],[Source]],tblSources[Source],0)),"?"))</f>
        <v/>
      </c>
      <c r="L594" s="63">
        <f>IF(tblMovement[[#This Row],[Destination]]="","",IFERROR(INDEX(tblDestinations[Type],MATCH(tblMovement[[#This Row],[Destination]],tblDestinations[Destination],0)),"?"))</f>
        <v/>
      </c>
      <c r="M594" s="64">
        <f>IF(tblMovement[[#This Row],[Material]]="","",IF(LEFT(tblMovement[[#This Row],[Material]],3)="Ore",1,0))</f>
        <v/>
      </c>
      <c r="N594" s="59">
        <f>IF(OR(tblMovement[[#This Row],[Tonnes_t]]="",tblMovement[[#This Row],[Grade_gpt]]=""),0,tblMovement[[#This Row],[Tonnes_t]]*tblMovement[[#This Row],[Grade_gpt]]/cfg_TroyOz)</f>
        <v/>
      </c>
      <c r="O594" s="59">
        <f>IF(tblMovement[[#This Row],[Is_Ore]]=1,tblMovement[[#This Row],[Contained_oz]],0)</f>
        <v/>
      </c>
    </row>
    <row r="595">
      <c r="A595" s="54" t="n"/>
      <c r="B595" s="61" t="n"/>
      <c r="C595" s="61" t="n"/>
      <c r="D595" s="61" t="n"/>
      <c r="E595" s="61" t="n"/>
      <c r="F595" s="55" t="n"/>
      <c r="G595" s="56" t="n"/>
      <c r="H595" s="55" t="n"/>
      <c r="I595" s="62" t="n"/>
      <c r="J595" s="58" t="n"/>
      <c r="K595" s="63">
        <f>IF(tblMovement[[#This Row],[Source]]="","",IFERROR(INDEX(tblSources[Type],MATCH(tblMovement[[#This Row],[Source]],tblSources[Source],0)),"?"))</f>
        <v/>
      </c>
      <c r="L595" s="63">
        <f>IF(tblMovement[[#This Row],[Destination]]="","",IFERROR(INDEX(tblDestinations[Type],MATCH(tblMovement[[#This Row],[Destination]],tblDestinations[Destination],0)),"?"))</f>
        <v/>
      </c>
      <c r="M595" s="64">
        <f>IF(tblMovement[[#This Row],[Material]]="","",IF(LEFT(tblMovement[[#This Row],[Material]],3)="Ore",1,0))</f>
        <v/>
      </c>
      <c r="N595" s="59">
        <f>IF(OR(tblMovement[[#This Row],[Tonnes_t]]="",tblMovement[[#This Row],[Grade_gpt]]=""),0,tblMovement[[#This Row],[Tonnes_t]]*tblMovement[[#This Row],[Grade_gpt]]/cfg_TroyOz)</f>
        <v/>
      </c>
      <c r="O595" s="59">
        <f>IF(tblMovement[[#This Row],[Is_Ore]]=1,tblMovement[[#This Row],[Contained_oz]],0)</f>
        <v/>
      </c>
    </row>
    <row r="596">
      <c r="A596" s="54" t="n"/>
      <c r="B596" s="61" t="n"/>
      <c r="C596" s="61" t="n"/>
      <c r="D596" s="61" t="n"/>
      <c r="E596" s="61" t="n"/>
      <c r="F596" s="55" t="n"/>
      <c r="G596" s="56" t="n"/>
      <c r="H596" s="55" t="n"/>
      <c r="I596" s="62" t="n"/>
      <c r="J596" s="58" t="n"/>
      <c r="K596" s="63">
        <f>IF(tblMovement[[#This Row],[Source]]="","",IFERROR(INDEX(tblSources[Type],MATCH(tblMovement[[#This Row],[Source]],tblSources[Source],0)),"?"))</f>
        <v/>
      </c>
      <c r="L596" s="63">
        <f>IF(tblMovement[[#This Row],[Destination]]="","",IFERROR(INDEX(tblDestinations[Type],MATCH(tblMovement[[#This Row],[Destination]],tblDestinations[Destination],0)),"?"))</f>
        <v/>
      </c>
      <c r="M596" s="64">
        <f>IF(tblMovement[[#This Row],[Material]]="","",IF(LEFT(tblMovement[[#This Row],[Material]],3)="Ore",1,0))</f>
        <v/>
      </c>
      <c r="N596" s="59">
        <f>IF(OR(tblMovement[[#This Row],[Tonnes_t]]="",tblMovement[[#This Row],[Grade_gpt]]=""),0,tblMovement[[#This Row],[Tonnes_t]]*tblMovement[[#This Row],[Grade_gpt]]/cfg_TroyOz)</f>
        <v/>
      </c>
      <c r="O596" s="59">
        <f>IF(tblMovement[[#This Row],[Is_Ore]]=1,tblMovement[[#This Row],[Contained_oz]],0)</f>
        <v/>
      </c>
    </row>
    <row r="597">
      <c r="A597" s="54" t="n"/>
      <c r="B597" s="61" t="n"/>
      <c r="C597" s="61" t="n"/>
      <c r="D597" s="61" t="n"/>
      <c r="E597" s="61" t="n"/>
      <c r="F597" s="55" t="n"/>
      <c r="G597" s="56" t="n"/>
      <c r="H597" s="55" t="n"/>
      <c r="I597" s="62" t="n"/>
      <c r="J597" s="58" t="n"/>
      <c r="K597" s="63">
        <f>IF(tblMovement[[#This Row],[Source]]="","",IFERROR(INDEX(tblSources[Type],MATCH(tblMovement[[#This Row],[Source]],tblSources[Source],0)),"?"))</f>
        <v/>
      </c>
      <c r="L597" s="63">
        <f>IF(tblMovement[[#This Row],[Destination]]="","",IFERROR(INDEX(tblDestinations[Type],MATCH(tblMovement[[#This Row],[Destination]],tblDestinations[Destination],0)),"?"))</f>
        <v/>
      </c>
      <c r="M597" s="64">
        <f>IF(tblMovement[[#This Row],[Material]]="","",IF(LEFT(tblMovement[[#This Row],[Material]],3)="Ore",1,0))</f>
        <v/>
      </c>
      <c r="N597" s="59">
        <f>IF(OR(tblMovement[[#This Row],[Tonnes_t]]="",tblMovement[[#This Row],[Grade_gpt]]=""),0,tblMovement[[#This Row],[Tonnes_t]]*tblMovement[[#This Row],[Grade_gpt]]/cfg_TroyOz)</f>
        <v/>
      </c>
      <c r="O597" s="59">
        <f>IF(tblMovement[[#This Row],[Is_Ore]]=1,tblMovement[[#This Row],[Contained_oz]],0)</f>
        <v/>
      </c>
    </row>
    <row r="598">
      <c r="A598" s="54" t="n"/>
      <c r="B598" s="61" t="n"/>
      <c r="C598" s="61" t="n"/>
      <c r="D598" s="61" t="n"/>
      <c r="E598" s="61" t="n"/>
      <c r="F598" s="55" t="n"/>
      <c r="G598" s="56" t="n"/>
      <c r="H598" s="55" t="n"/>
      <c r="I598" s="62" t="n"/>
      <c r="J598" s="58" t="n"/>
      <c r="K598" s="63">
        <f>IF(tblMovement[[#This Row],[Source]]="","",IFERROR(INDEX(tblSources[Type],MATCH(tblMovement[[#This Row],[Source]],tblSources[Source],0)),"?"))</f>
        <v/>
      </c>
      <c r="L598" s="63">
        <f>IF(tblMovement[[#This Row],[Destination]]="","",IFERROR(INDEX(tblDestinations[Type],MATCH(tblMovement[[#This Row],[Destination]],tblDestinations[Destination],0)),"?"))</f>
        <v/>
      </c>
      <c r="M598" s="64">
        <f>IF(tblMovement[[#This Row],[Material]]="","",IF(LEFT(tblMovement[[#This Row],[Material]],3)="Ore",1,0))</f>
        <v/>
      </c>
      <c r="N598" s="59">
        <f>IF(OR(tblMovement[[#This Row],[Tonnes_t]]="",tblMovement[[#This Row],[Grade_gpt]]=""),0,tblMovement[[#This Row],[Tonnes_t]]*tblMovement[[#This Row],[Grade_gpt]]/cfg_TroyOz)</f>
        <v/>
      </c>
      <c r="O598" s="59">
        <f>IF(tblMovement[[#This Row],[Is_Ore]]=1,tblMovement[[#This Row],[Contained_oz]],0)</f>
        <v/>
      </c>
    </row>
    <row r="599">
      <c r="A599" s="54" t="n"/>
      <c r="B599" s="61" t="n"/>
      <c r="C599" s="61" t="n"/>
      <c r="D599" s="61" t="n"/>
      <c r="E599" s="61" t="n"/>
      <c r="F599" s="55" t="n"/>
      <c r="G599" s="56" t="n"/>
      <c r="H599" s="55" t="n"/>
      <c r="I599" s="62" t="n"/>
      <c r="J599" s="58" t="n"/>
      <c r="K599" s="63">
        <f>IF(tblMovement[[#This Row],[Source]]="","",IFERROR(INDEX(tblSources[Type],MATCH(tblMovement[[#This Row],[Source]],tblSources[Source],0)),"?"))</f>
        <v/>
      </c>
      <c r="L599" s="63">
        <f>IF(tblMovement[[#This Row],[Destination]]="","",IFERROR(INDEX(tblDestinations[Type],MATCH(tblMovement[[#This Row],[Destination]],tblDestinations[Destination],0)),"?"))</f>
        <v/>
      </c>
      <c r="M599" s="64">
        <f>IF(tblMovement[[#This Row],[Material]]="","",IF(LEFT(tblMovement[[#This Row],[Material]],3)="Ore",1,0))</f>
        <v/>
      </c>
      <c r="N599" s="59">
        <f>IF(OR(tblMovement[[#This Row],[Tonnes_t]]="",tblMovement[[#This Row],[Grade_gpt]]=""),0,tblMovement[[#This Row],[Tonnes_t]]*tblMovement[[#This Row],[Grade_gpt]]/cfg_TroyOz)</f>
        <v/>
      </c>
      <c r="O599" s="59">
        <f>IF(tblMovement[[#This Row],[Is_Ore]]=1,tblMovement[[#This Row],[Contained_oz]],0)</f>
        <v/>
      </c>
    </row>
    <row r="600">
      <c r="A600" s="54" t="n"/>
      <c r="B600" s="61" t="n"/>
      <c r="C600" s="61" t="n"/>
      <c r="D600" s="61" t="n"/>
      <c r="E600" s="61" t="n"/>
      <c r="F600" s="55" t="n"/>
      <c r="G600" s="56" t="n"/>
      <c r="H600" s="55" t="n"/>
      <c r="I600" s="62" t="n"/>
      <c r="J600" s="58" t="n"/>
      <c r="K600" s="63">
        <f>IF(tblMovement[[#This Row],[Source]]="","",IFERROR(INDEX(tblSources[Type],MATCH(tblMovement[[#This Row],[Source]],tblSources[Source],0)),"?"))</f>
        <v/>
      </c>
      <c r="L600" s="63">
        <f>IF(tblMovement[[#This Row],[Destination]]="","",IFERROR(INDEX(tblDestinations[Type],MATCH(tblMovement[[#This Row],[Destination]],tblDestinations[Destination],0)),"?"))</f>
        <v/>
      </c>
      <c r="M600" s="64">
        <f>IF(tblMovement[[#This Row],[Material]]="","",IF(LEFT(tblMovement[[#This Row],[Material]],3)="Ore",1,0))</f>
        <v/>
      </c>
      <c r="N600" s="59">
        <f>IF(OR(tblMovement[[#This Row],[Tonnes_t]]="",tblMovement[[#This Row],[Grade_gpt]]=""),0,tblMovement[[#This Row],[Tonnes_t]]*tblMovement[[#This Row],[Grade_gpt]]/cfg_TroyOz)</f>
        <v/>
      </c>
      <c r="O600" s="59">
        <f>IF(tblMovement[[#This Row],[Is_Ore]]=1,tblMovement[[#This Row],[Contained_oz]],0)</f>
        <v/>
      </c>
    </row>
    <row r="601">
      <c r="A601" s="54" t="n"/>
      <c r="B601" s="61" t="n"/>
      <c r="C601" s="61" t="n"/>
      <c r="D601" s="61" t="n"/>
      <c r="E601" s="61" t="n"/>
      <c r="F601" s="55" t="n"/>
      <c r="G601" s="56" t="n"/>
      <c r="H601" s="55" t="n"/>
      <c r="I601" s="62" t="n"/>
      <c r="J601" s="58" t="n"/>
      <c r="K601" s="63">
        <f>IF(tblMovement[[#This Row],[Source]]="","",IFERROR(INDEX(tblSources[Type],MATCH(tblMovement[[#This Row],[Source]],tblSources[Source],0)),"?"))</f>
        <v/>
      </c>
      <c r="L601" s="63">
        <f>IF(tblMovement[[#This Row],[Destination]]="","",IFERROR(INDEX(tblDestinations[Type],MATCH(tblMovement[[#This Row],[Destination]],tblDestinations[Destination],0)),"?"))</f>
        <v/>
      </c>
      <c r="M601" s="64">
        <f>IF(tblMovement[[#This Row],[Material]]="","",IF(LEFT(tblMovement[[#This Row],[Material]],3)="Ore",1,0))</f>
        <v/>
      </c>
      <c r="N601" s="59">
        <f>IF(OR(tblMovement[[#This Row],[Tonnes_t]]="",tblMovement[[#This Row],[Grade_gpt]]=""),0,tblMovement[[#This Row],[Tonnes_t]]*tblMovement[[#This Row],[Grade_gpt]]/cfg_TroyOz)</f>
        <v/>
      </c>
      <c r="O601" s="59">
        <f>IF(tblMovement[[#This Row],[Is_Ore]]=1,tblMovement[[#This Row],[Contained_oz]],0)</f>
        <v/>
      </c>
    </row>
    <row r="602">
      <c r="A602" s="54" t="n"/>
      <c r="B602" s="61" t="n"/>
      <c r="C602" s="61" t="n"/>
      <c r="D602" s="61" t="n"/>
      <c r="E602" s="61" t="n"/>
      <c r="F602" s="55" t="n"/>
      <c r="G602" s="56" t="n"/>
      <c r="H602" s="55" t="n"/>
      <c r="I602" s="62" t="n"/>
      <c r="J602" s="58" t="n"/>
      <c r="K602" s="63">
        <f>IF(tblMovement[[#This Row],[Source]]="","",IFERROR(INDEX(tblSources[Type],MATCH(tblMovement[[#This Row],[Source]],tblSources[Source],0)),"?"))</f>
        <v/>
      </c>
      <c r="L602" s="63">
        <f>IF(tblMovement[[#This Row],[Destination]]="","",IFERROR(INDEX(tblDestinations[Type],MATCH(tblMovement[[#This Row],[Destination]],tblDestinations[Destination],0)),"?"))</f>
        <v/>
      </c>
      <c r="M602" s="64">
        <f>IF(tblMovement[[#This Row],[Material]]="","",IF(LEFT(tblMovement[[#This Row],[Material]],3)="Ore",1,0))</f>
        <v/>
      </c>
      <c r="N602" s="59">
        <f>IF(OR(tblMovement[[#This Row],[Tonnes_t]]="",tblMovement[[#This Row],[Grade_gpt]]=""),0,tblMovement[[#This Row],[Tonnes_t]]*tblMovement[[#This Row],[Grade_gpt]]/cfg_TroyOz)</f>
        <v/>
      </c>
      <c r="O602" s="59">
        <f>IF(tblMovement[[#This Row],[Is_Ore]]=1,tblMovement[[#This Row],[Contained_oz]],0)</f>
        <v/>
      </c>
    </row>
    <row r="603">
      <c r="A603" s="54" t="n"/>
      <c r="B603" s="61" t="n"/>
      <c r="C603" s="61" t="n"/>
      <c r="D603" s="61" t="n"/>
      <c r="E603" s="61" t="n"/>
      <c r="F603" s="55" t="n"/>
      <c r="G603" s="56" t="n"/>
      <c r="H603" s="55" t="n"/>
      <c r="I603" s="62" t="n"/>
      <c r="J603" s="58" t="n"/>
      <c r="K603" s="63">
        <f>IF(tblMovement[[#This Row],[Source]]="","",IFERROR(INDEX(tblSources[Type],MATCH(tblMovement[[#This Row],[Source]],tblSources[Source],0)),"?"))</f>
        <v/>
      </c>
      <c r="L603" s="63">
        <f>IF(tblMovement[[#This Row],[Destination]]="","",IFERROR(INDEX(tblDestinations[Type],MATCH(tblMovement[[#This Row],[Destination]],tblDestinations[Destination],0)),"?"))</f>
        <v/>
      </c>
      <c r="M603" s="64">
        <f>IF(tblMovement[[#This Row],[Material]]="","",IF(LEFT(tblMovement[[#This Row],[Material]],3)="Ore",1,0))</f>
        <v/>
      </c>
      <c r="N603" s="59">
        <f>IF(OR(tblMovement[[#This Row],[Tonnes_t]]="",tblMovement[[#This Row],[Grade_gpt]]=""),0,tblMovement[[#This Row],[Tonnes_t]]*tblMovement[[#This Row],[Grade_gpt]]/cfg_TroyOz)</f>
        <v/>
      </c>
      <c r="O603" s="59">
        <f>IF(tblMovement[[#This Row],[Is_Ore]]=1,tblMovement[[#This Row],[Contained_oz]],0)</f>
        <v/>
      </c>
    </row>
    <row r="604">
      <c r="A604" s="54" t="n"/>
      <c r="B604" s="61" t="n"/>
      <c r="C604" s="61" t="n"/>
      <c r="D604" s="61" t="n"/>
      <c r="E604" s="61" t="n"/>
      <c r="F604" s="55" t="n"/>
      <c r="G604" s="56" t="n"/>
      <c r="H604" s="55" t="n"/>
      <c r="I604" s="62" t="n"/>
      <c r="J604" s="58" t="n"/>
      <c r="K604" s="63">
        <f>IF(tblMovement[[#This Row],[Source]]="","",IFERROR(INDEX(tblSources[Type],MATCH(tblMovement[[#This Row],[Source]],tblSources[Source],0)),"?"))</f>
        <v/>
      </c>
      <c r="L604" s="63">
        <f>IF(tblMovement[[#This Row],[Destination]]="","",IFERROR(INDEX(tblDestinations[Type],MATCH(tblMovement[[#This Row],[Destination]],tblDestinations[Destination],0)),"?"))</f>
        <v/>
      </c>
      <c r="M604" s="64">
        <f>IF(tblMovement[[#This Row],[Material]]="","",IF(LEFT(tblMovement[[#This Row],[Material]],3)="Ore",1,0))</f>
        <v/>
      </c>
      <c r="N604" s="59">
        <f>IF(OR(tblMovement[[#This Row],[Tonnes_t]]="",tblMovement[[#This Row],[Grade_gpt]]=""),0,tblMovement[[#This Row],[Tonnes_t]]*tblMovement[[#This Row],[Grade_gpt]]/cfg_TroyOz)</f>
        <v/>
      </c>
      <c r="O604" s="59">
        <f>IF(tblMovement[[#This Row],[Is_Ore]]=1,tblMovement[[#This Row],[Contained_oz]],0)</f>
        <v/>
      </c>
    </row>
    <row r="605">
      <c r="A605" s="54" t="n"/>
      <c r="B605" s="61" t="n"/>
      <c r="C605" s="61" t="n"/>
      <c r="D605" s="61" t="n"/>
      <c r="E605" s="61" t="n"/>
      <c r="F605" s="55" t="n"/>
      <c r="G605" s="56" t="n"/>
      <c r="H605" s="55" t="n"/>
      <c r="I605" s="62" t="n"/>
      <c r="J605" s="58" t="n"/>
      <c r="K605" s="63">
        <f>IF(tblMovement[[#This Row],[Source]]="","",IFERROR(INDEX(tblSources[Type],MATCH(tblMovement[[#This Row],[Source]],tblSources[Source],0)),"?"))</f>
        <v/>
      </c>
      <c r="L605" s="63">
        <f>IF(tblMovement[[#This Row],[Destination]]="","",IFERROR(INDEX(tblDestinations[Type],MATCH(tblMovement[[#This Row],[Destination]],tblDestinations[Destination],0)),"?"))</f>
        <v/>
      </c>
      <c r="M605" s="64">
        <f>IF(tblMovement[[#This Row],[Material]]="","",IF(LEFT(tblMovement[[#This Row],[Material]],3)="Ore",1,0))</f>
        <v/>
      </c>
      <c r="N605" s="59">
        <f>IF(OR(tblMovement[[#This Row],[Tonnes_t]]="",tblMovement[[#This Row],[Grade_gpt]]=""),0,tblMovement[[#This Row],[Tonnes_t]]*tblMovement[[#This Row],[Grade_gpt]]/cfg_TroyOz)</f>
        <v/>
      </c>
      <c r="O605" s="59">
        <f>IF(tblMovement[[#This Row],[Is_Ore]]=1,tblMovement[[#This Row],[Contained_oz]],0)</f>
        <v/>
      </c>
    </row>
    <row r="606">
      <c r="A606" s="54" t="n"/>
      <c r="B606" s="61" t="n"/>
      <c r="C606" s="61" t="n"/>
      <c r="D606" s="61" t="n"/>
      <c r="E606" s="61" t="n"/>
      <c r="F606" s="55" t="n"/>
      <c r="G606" s="56" t="n"/>
      <c r="H606" s="55" t="n"/>
      <c r="I606" s="62" t="n"/>
      <c r="J606" s="58" t="n"/>
      <c r="K606" s="63">
        <f>IF(tblMovement[[#This Row],[Source]]="","",IFERROR(INDEX(tblSources[Type],MATCH(tblMovement[[#This Row],[Source]],tblSources[Source],0)),"?"))</f>
        <v/>
      </c>
      <c r="L606" s="63">
        <f>IF(tblMovement[[#This Row],[Destination]]="","",IFERROR(INDEX(tblDestinations[Type],MATCH(tblMovement[[#This Row],[Destination]],tblDestinations[Destination],0)),"?"))</f>
        <v/>
      </c>
      <c r="M606" s="64">
        <f>IF(tblMovement[[#This Row],[Material]]="","",IF(LEFT(tblMovement[[#This Row],[Material]],3)="Ore",1,0))</f>
        <v/>
      </c>
      <c r="N606" s="59">
        <f>IF(OR(tblMovement[[#This Row],[Tonnes_t]]="",tblMovement[[#This Row],[Grade_gpt]]=""),0,tblMovement[[#This Row],[Tonnes_t]]*tblMovement[[#This Row],[Grade_gpt]]/cfg_TroyOz)</f>
        <v/>
      </c>
      <c r="O606" s="59">
        <f>IF(tblMovement[[#This Row],[Is_Ore]]=1,tblMovement[[#This Row],[Contained_oz]],0)</f>
        <v/>
      </c>
    </row>
    <row r="607">
      <c r="A607" s="54" t="n"/>
      <c r="B607" s="61" t="n"/>
      <c r="C607" s="61" t="n"/>
      <c r="D607" s="61" t="n"/>
      <c r="E607" s="61" t="n"/>
      <c r="F607" s="55" t="n"/>
      <c r="G607" s="56" t="n"/>
      <c r="H607" s="55" t="n"/>
      <c r="I607" s="62" t="n"/>
      <c r="J607" s="58" t="n"/>
      <c r="K607" s="63">
        <f>IF(tblMovement[[#This Row],[Source]]="","",IFERROR(INDEX(tblSources[Type],MATCH(tblMovement[[#This Row],[Source]],tblSources[Source],0)),"?"))</f>
        <v/>
      </c>
      <c r="L607" s="63">
        <f>IF(tblMovement[[#This Row],[Destination]]="","",IFERROR(INDEX(tblDestinations[Type],MATCH(tblMovement[[#This Row],[Destination]],tblDestinations[Destination],0)),"?"))</f>
        <v/>
      </c>
      <c r="M607" s="64">
        <f>IF(tblMovement[[#This Row],[Material]]="","",IF(LEFT(tblMovement[[#This Row],[Material]],3)="Ore",1,0))</f>
        <v/>
      </c>
      <c r="N607" s="59">
        <f>IF(OR(tblMovement[[#This Row],[Tonnes_t]]="",tblMovement[[#This Row],[Grade_gpt]]=""),0,tblMovement[[#This Row],[Tonnes_t]]*tblMovement[[#This Row],[Grade_gpt]]/cfg_TroyOz)</f>
        <v/>
      </c>
      <c r="O607" s="59">
        <f>IF(tblMovement[[#This Row],[Is_Ore]]=1,tblMovement[[#This Row],[Contained_oz]],0)</f>
        <v/>
      </c>
    </row>
    <row r="608">
      <c r="A608" s="54" t="n"/>
      <c r="B608" s="61" t="n"/>
      <c r="C608" s="61" t="n"/>
      <c r="D608" s="61" t="n"/>
      <c r="E608" s="61" t="n"/>
      <c r="F608" s="55" t="n"/>
      <c r="G608" s="56" t="n"/>
      <c r="H608" s="55" t="n"/>
      <c r="I608" s="62" t="n"/>
      <c r="J608" s="58" t="n"/>
      <c r="K608" s="63">
        <f>IF(tblMovement[[#This Row],[Source]]="","",IFERROR(INDEX(tblSources[Type],MATCH(tblMovement[[#This Row],[Source]],tblSources[Source],0)),"?"))</f>
        <v/>
      </c>
      <c r="L608" s="63">
        <f>IF(tblMovement[[#This Row],[Destination]]="","",IFERROR(INDEX(tblDestinations[Type],MATCH(tblMovement[[#This Row],[Destination]],tblDestinations[Destination],0)),"?"))</f>
        <v/>
      </c>
      <c r="M608" s="64">
        <f>IF(tblMovement[[#This Row],[Material]]="","",IF(LEFT(tblMovement[[#This Row],[Material]],3)="Ore",1,0))</f>
        <v/>
      </c>
      <c r="N608" s="59">
        <f>IF(OR(tblMovement[[#This Row],[Tonnes_t]]="",tblMovement[[#This Row],[Grade_gpt]]=""),0,tblMovement[[#This Row],[Tonnes_t]]*tblMovement[[#This Row],[Grade_gpt]]/cfg_TroyOz)</f>
        <v/>
      </c>
      <c r="O608" s="59">
        <f>IF(tblMovement[[#This Row],[Is_Ore]]=1,tblMovement[[#This Row],[Contained_oz]],0)</f>
        <v/>
      </c>
    </row>
    <row r="609">
      <c r="A609" s="54" t="n"/>
      <c r="B609" s="61" t="n"/>
      <c r="C609" s="61" t="n"/>
      <c r="D609" s="61" t="n"/>
      <c r="E609" s="61" t="n"/>
      <c r="F609" s="55" t="n"/>
      <c r="G609" s="56" t="n"/>
      <c r="H609" s="55" t="n"/>
      <c r="I609" s="62" t="n"/>
      <c r="J609" s="58" t="n"/>
      <c r="K609" s="63">
        <f>IF(tblMovement[[#This Row],[Source]]="","",IFERROR(INDEX(tblSources[Type],MATCH(tblMovement[[#This Row],[Source]],tblSources[Source],0)),"?"))</f>
        <v/>
      </c>
      <c r="L609" s="63">
        <f>IF(tblMovement[[#This Row],[Destination]]="","",IFERROR(INDEX(tblDestinations[Type],MATCH(tblMovement[[#This Row],[Destination]],tblDestinations[Destination],0)),"?"))</f>
        <v/>
      </c>
      <c r="M609" s="64">
        <f>IF(tblMovement[[#This Row],[Material]]="","",IF(LEFT(tblMovement[[#This Row],[Material]],3)="Ore",1,0))</f>
        <v/>
      </c>
      <c r="N609" s="59">
        <f>IF(OR(tblMovement[[#This Row],[Tonnes_t]]="",tblMovement[[#This Row],[Grade_gpt]]=""),0,tblMovement[[#This Row],[Tonnes_t]]*tblMovement[[#This Row],[Grade_gpt]]/cfg_TroyOz)</f>
        <v/>
      </c>
      <c r="O609" s="59">
        <f>IF(tblMovement[[#This Row],[Is_Ore]]=1,tblMovement[[#This Row],[Contained_oz]],0)</f>
        <v/>
      </c>
    </row>
    <row r="610">
      <c r="A610" s="54" t="n"/>
      <c r="B610" s="61" t="n"/>
      <c r="C610" s="61" t="n"/>
      <c r="D610" s="61" t="n"/>
      <c r="E610" s="61" t="n"/>
      <c r="F610" s="55" t="n"/>
      <c r="G610" s="56" t="n"/>
      <c r="H610" s="55" t="n"/>
      <c r="I610" s="62" t="n"/>
      <c r="J610" s="58" t="n"/>
      <c r="K610" s="63">
        <f>IF(tblMovement[[#This Row],[Source]]="","",IFERROR(INDEX(tblSources[Type],MATCH(tblMovement[[#This Row],[Source]],tblSources[Source],0)),"?"))</f>
        <v/>
      </c>
      <c r="L610" s="63">
        <f>IF(tblMovement[[#This Row],[Destination]]="","",IFERROR(INDEX(tblDestinations[Type],MATCH(tblMovement[[#This Row],[Destination]],tblDestinations[Destination],0)),"?"))</f>
        <v/>
      </c>
      <c r="M610" s="64">
        <f>IF(tblMovement[[#This Row],[Material]]="","",IF(LEFT(tblMovement[[#This Row],[Material]],3)="Ore",1,0))</f>
        <v/>
      </c>
      <c r="N610" s="59">
        <f>IF(OR(tblMovement[[#This Row],[Tonnes_t]]="",tblMovement[[#This Row],[Grade_gpt]]=""),0,tblMovement[[#This Row],[Tonnes_t]]*tblMovement[[#This Row],[Grade_gpt]]/cfg_TroyOz)</f>
        <v/>
      </c>
      <c r="O610" s="59">
        <f>IF(tblMovement[[#This Row],[Is_Ore]]=1,tblMovement[[#This Row],[Contained_oz]],0)</f>
        <v/>
      </c>
    </row>
    <row r="611">
      <c r="A611" s="54" t="n"/>
      <c r="B611" s="61" t="n"/>
      <c r="C611" s="61" t="n"/>
      <c r="D611" s="61" t="n"/>
      <c r="E611" s="61" t="n"/>
      <c r="F611" s="55" t="n"/>
      <c r="G611" s="56" t="n"/>
      <c r="H611" s="55" t="n"/>
      <c r="I611" s="62" t="n"/>
      <c r="J611" s="58" t="n"/>
      <c r="K611" s="63">
        <f>IF(tblMovement[[#This Row],[Source]]="","",IFERROR(INDEX(tblSources[Type],MATCH(tblMovement[[#This Row],[Source]],tblSources[Source],0)),"?"))</f>
        <v/>
      </c>
      <c r="L611" s="63">
        <f>IF(tblMovement[[#This Row],[Destination]]="","",IFERROR(INDEX(tblDestinations[Type],MATCH(tblMovement[[#This Row],[Destination]],tblDestinations[Destination],0)),"?"))</f>
        <v/>
      </c>
      <c r="M611" s="64">
        <f>IF(tblMovement[[#This Row],[Material]]="","",IF(LEFT(tblMovement[[#This Row],[Material]],3)="Ore",1,0))</f>
        <v/>
      </c>
      <c r="N611" s="59">
        <f>IF(OR(tblMovement[[#This Row],[Tonnes_t]]="",tblMovement[[#This Row],[Grade_gpt]]=""),0,tblMovement[[#This Row],[Tonnes_t]]*tblMovement[[#This Row],[Grade_gpt]]/cfg_TroyOz)</f>
        <v/>
      </c>
      <c r="O611" s="59">
        <f>IF(tblMovement[[#This Row],[Is_Ore]]=1,tblMovement[[#This Row],[Contained_oz]],0)</f>
        <v/>
      </c>
    </row>
    <row r="612">
      <c r="A612" s="54" t="n"/>
      <c r="B612" s="61" t="n"/>
      <c r="C612" s="61" t="n"/>
      <c r="D612" s="61" t="n"/>
      <c r="E612" s="61" t="n"/>
      <c r="F612" s="55" t="n"/>
      <c r="G612" s="56" t="n"/>
      <c r="H612" s="55" t="n"/>
      <c r="I612" s="62" t="n"/>
      <c r="J612" s="58" t="n"/>
      <c r="K612" s="63">
        <f>IF(tblMovement[[#This Row],[Source]]="","",IFERROR(INDEX(tblSources[Type],MATCH(tblMovement[[#This Row],[Source]],tblSources[Source],0)),"?"))</f>
        <v/>
      </c>
      <c r="L612" s="63">
        <f>IF(tblMovement[[#This Row],[Destination]]="","",IFERROR(INDEX(tblDestinations[Type],MATCH(tblMovement[[#This Row],[Destination]],tblDestinations[Destination],0)),"?"))</f>
        <v/>
      </c>
      <c r="M612" s="64">
        <f>IF(tblMovement[[#This Row],[Material]]="","",IF(LEFT(tblMovement[[#This Row],[Material]],3)="Ore",1,0))</f>
        <v/>
      </c>
      <c r="N612" s="59">
        <f>IF(OR(tblMovement[[#This Row],[Tonnes_t]]="",tblMovement[[#This Row],[Grade_gpt]]=""),0,tblMovement[[#This Row],[Tonnes_t]]*tblMovement[[#This Row],[Grade_gpt]]/cfg_TroyOz)</f>
        <v/>
      </c>
      <c r="O612" s="59">
        <f>IF(tblMovement[[#This Row],[Is_Ore]]=1,tblMovement[[#This Row],[Contained_oz]],0)</f>
        <v/>
      </c>
    </row>
    <row r="613">
      <c r="A613" s="54" t="n"/>
      <c r="B613" s="61" t="n"/>
      <c r="C613" s="61" t="n"/>
      <c r="D613" s="61" t="n"/>
      <c r="E613" s="61" t="n"/>
      <c r="F613" s="55" t="n"/>
      <c r="G613" s="56" t="n"/>
      <c r="H613" s="55" t="n"/>
      <c r="I613" s="62" t="n"/>
      <c r="J613" s="58" t="n"/>
      <c r="K613" s="63">
        <f>IF(tblMovement[[#This Row],[Source]]="","",IFERROR(INDEX(tblSources[Type],MATCH(tblMovement[[#This Row],[Source]],tblSources[Source],0)),"?"))</f>
        <v/>
      </c>
      <c r="L613" s="63">
        <f>IF(tblMovement[[#This Row],[Destination]]="","",IFERROR(INDEX(tblDestinations[Type],MATCH(tblMovement[[#This Row],[Destination]],tblDestinations[Destination],0)),"?"))</f>
        <v/>
      </c>
      <c r="M613" s="64">
        <f>IF(tblMovement[[#This Row],[Material]]="","",IF(LEFT(tblMovement[[#This Row],[Material]],3)="Ore",1,0))</f>
        <v/>
      </c>
      <c r="N613" s="59">
        <f>IF(OR(tblMovement[[#This Row],[Tonnes_t]]="",tblMovement[[#This Row],[Grade_gpt]]=""),0,tblMovement[[#This Row],[Tonnes_t]]*tblMovement[[#This Row],[Grade_gpt]]/cfg_TroyOz)</f>
        <v/>
      </c>
      <c r="O613" s="59">
        <f>IF(tblMovement[[#This Row],[Is_Ore]]=1,tblMovement[[#This Row],[Contained_oz]],0)</f>
        <v/>
      </c>
    </row>
    <row r="614">
      <c r="A614" s="54" t="n"/>
      <c r="B614" s="61" t="n"/>
      <c r="C614" s="61" t="n"/>
      <c r="D614" s="61" t="n"/>
      <c r="E614" s="61" t="n"/>
      <c r="F614" s="55" t="n"/>
      <c r="G614" s="56" t="n"/>
      <c r="H614" s="55" t="n"/>
      <c r="I614" s="62" t="n"/>
      <c r="J614" s="58" t="n"/>
      <c r="K614" s="63">
        <f>IF(tblMovement[[#This Row],[Source]]="","",IFERROR(INDEX(tblSources[Type],MATCH(tblMovement[[#This Row],[Source]],tblSources[Source],0)),"?"))</f>
        <v/>
      </c>
      <c r="L614" s="63">
        <f>IF(tblMovement[[#This Row],[Destination]]="","",IFERROR(INDEX(tblDestinations[Type],MATCH(tblMovement[[#This Row],[Destination]],tblDestinations[Destination],0)),"?"))</f>
        <v/>
      </c>
      <c r="M614" s="64">
        <f>IF(tblMovement[[#This Row],[Material]]="","",IF(LEFT(tblMovement[[#This Row],[Material]],3)="Ore",1,0))</f>
        <v/>
      </c>
      <c r="N614" s="59">
        <f>IF(OR(tblMovement[[#This Row],[Tonnes_t]]="",tblMovement[[#This Row],[Grade_gpt]]=""),0,tblMovement[[#This Row],[Tonnes_t]]*tblMovement[[#This Row],[Grade_gpt]]/cfg_TroyOz)</f>
        <v/>
      </c>
      <c r="O614" s="59">
        <f>IF(tblMovement[[#This Row],[Is_Ore]]=1,tblMovement[[#This Row],[Contained_oz]],0)</f>
        <v/>
      </c>
    </row>
    <row r="615">
      <c r="A615" s="54" t="n"/>
      <c r="B615" s="61" t="n"/>
      <c r="C615" s="61" t="n"/>
      <c r="D615" s="61" t="n"/>
      <c r="E615" s="61" t="n"/>
      <c r="F615" s="55" t="n"/>
      <c r="G615" s="56" t="n"/>
      <c r="H615" s="55" t="n"/>
      <c r="I615" s="62" t="n"/>
      <c r="J615" s="58" t="n"/>
      <c r="K615" s="63">
        <f>IF(tblMovement[[#This Row],[Source]]="","",IFERROR(INDEX(tblSources[Type],MATCH(tblMovement[[#This Row],[Source]],tblSources[Source],0)),"?"))</f>
        <v/>
      </c>
      <c r="L615" s="63">
        <f>IF(tblMovement[[#This Row],[Destination]]="","",IFERROR(INDEX(tblDestinations[Type],MATCH(tblMovement[[#This Row],[Destination]],tblDestinations[Destination],0)),"?"))</f>
        <v/>
      </c>
      <c r="M615" s="64">
        <f>IF(tblMovement[[#This Row],[Material]]="","",IF(LEFT(tblMovement[[#This Row],[Material]],3)="Ore",1,0))</f>
        <v/>
      </c>
      <c r="N615" s="59">
        <f>IF(OR(tblMovement[[#This Row],[Tonnes_t]]="",tblMovement[[#This Row],[Grade_gpt]]=""),0,tblMovement[[#This Row],[Tonnes_t]]*tblMovement[[#This Row],[Grade_gpt]]/cfg_TroyOz)</f>
        <v/>
      </c>
      <c r="O615" s="59">
        <f>IF(tblMovement[[#This Row],[Is_Ore]]=1,tblMovement[[#This Row],[Contained_oz]],0)</f>
        <v/>
      </c>
    </row>
    <row r="616">
      <c r="A616" s="54" t="n"/>
      <c r="B616" s="61" t="n"/>
      <c r="C616" s="61" t="n"/>
      <c r="D616" s="61" t="n"/>
      <c r="E616" s="61" t="n"/>
      <c r="F616" s="55" t="n"/>
      <c r="G616" s="56" t="n"/>
      <c r="H616" s="55" t="n"/>
      <c r="I616" s="62" t="n"/>
      <c r="J616" s="58" t="n"/>
      <c r="K616" s="63">
        <f>IF(tblMovement[[#This Row],[Source]]="","",IFERROR(INDEX(tblSources[Type],MATCH(tblMovement[[#This Row],[Source]],tblSources[Source],0)),"?"))</f>
        <v/>
      </c>
      <c r="L616" s="63">
        <f>IF(tblMovement[[#This Row],[Destination]]="","",IFERROR(INDEX(tblDestinations[Type],MATCH(tblMovement[[#This Row],[Destination]],tblDestinations[Destination],0)),"?"))</f>
        <v/>
      </c>
      <c r="M616" s="64">
        <f>IF(tblMovement[[#This Row],[Material]]="","",IF(LEFT(tblMovement[[#This Row],[Material]],3)="Ore",1,0))</f>
        <v/>
      </c>
      <c r="N616" s="59">
        <f>IF(OR(tblMovement[[#This Row],[Tonnes_t]]="",tblMovement[[#This Row],[Grade_gpt]]=""),0,tblMovement[[#This Row],[Tonnes_t]]*tblMovement[[#This Row],[Grade_gpt]]/cfg_TroyOz)</f>
        <v/>
      </c>
      <c r="O616" s="59">
        <f>IF(tblMovement[[#This Row],[Is_Ore]]=1,tblMovement[[#This Row],[Contained_oz]],0)</f>
        <v/>
      </c>
    </row>
    <row r="617">
      <c r="A617" s="54" t="n"/>
      <c r="B617" s="61" t="n"/>
      <c r="C617" s="61" t="n"/>
      <c r="D617" s="61" t="n"/>
      <c r="E617" s="61" t="n"/>
      <c r="F617" s="55" t="n"/>
      <c r="G617" s="56" t="n"/>
      <c r="H617" s="55" t="n"/>
      <c r="I617" s="62" t="n"/>
      <c r="J617" s="58" t="n"/>
      <c r="K617" s="63">
        <f>IF(tblMovement[[#This Row],[Source]]="","",IFERROR(INDEX(tblSources[Type],MATCH(tblMovement[[#This Row],[Source]],tblSources[Source],0)),"?"))</f>
        <v/>
      </c>
      <c r="L617" s="63">
        <f>IF(tblMovement[[#This Row],[Destination]]="","",IFERROR(INDEX(tblDestinations[Type],MATCH(tblMovement[[#This Row],[Destination]],tblDestinations[Destination],0)),"?"))</f>
        <v/>
      </c>
      <c r="M617" s="64">
        <f>IF(tblMovement[[#This Row],[Material]]="","",IF(LEFT(tblMovement[[#This Row],[Material]],3)="Ore",1,0))</f>
        <v/>
      </c>
      <c r="N617" s="59">
        <f>IF(OR(tblMovement[[#This Row],[Tonnes_t]]="",tblMovement[[#This Row],[Grade_gpt]]=""),0,tblMovement[[#This Row],[Tonnes_t]]*tblMovement[[#This Row],[Grade_gpt]]/cfg_TroyOz)</f>
        <v/>
      </c>
      <c r="O617" s="59">
        <f>IF(tblMovement[[#This Row],[Is_Ore]]=1,tblMovement[[#This Row],[Contained_oz]],0)</f>
        <v/>
      </c>
    </row>
    <row r="618">
      <c r="A618" s="54" t="n"/>
      <c r="B618" s="61" t="n"/>
      <c r="C618" s="61" t="n"/>
      <c r="D618" s="61" t="n"/>
      <c r="E618" s="61" t="n"/>
      <c r="F618" s="55" t="n"/>
      <c r="G618" s="56" t="n"/>
      <c r="H618" s="55" t="n"/>
      <c r="I618" s="62" t="n"/>
      <c r="J618" s="58" t="n"/>
      <c r="K618" s="63">
        <f>IF(tblMovement[[#This Row],[Source]]="","",IFERROR(INDEX(tblSources[Type],MATCH(tblMovement[[#This Row],[Source]],tblSources[Source],0)),"?"))</f>
        <v/>
      </c>
      <c r="L618" s="63">
        <f>IF(tblMovement[[#This Row],[Destination]]="","",IFERROR(INDEX(tblDestinations[Type],MATCH(tblMovement[[#This Row],[Destination]],tblDestinations[Destination],0)),"?"))</f>
        <v/>
      </c>
      <c r="M618" s="64">
        <f>IF(tblMovement[[#This Row],[Material]]="","",IF(LEFT(tblMovement[[#This Row],[Material]],3)="Ore",1,0))</f>
        <v/>
      </c>
      <c r="N618" s="59">
        <f>IF(OR(tblMovement[[#This Row],[Tonnes_t]]="",tblMovement[[#This Row],[Grade_gpt]]=""),0,tblMovement[[#This Row],[Tonnes_t]]*tblMovement[[#This Row],[Grade_gpt]]/cfg_TroyOz)</f>
        <v/>
      </c>
      <c r="O618" s="59">
        <f>IF(tblMovement[[#This Row],[Is_Ore]]=1,tblMovement[[#This Row],[Contained_oz]],0)</f>
        <v/>
      </c>
    </row>
    <row r="619">
      <c r="A619" s="54" t="n"/>
      <c r="B619" s="61" t="n"/>
      <c r="C619" s="61" t="n"/>
      <c r="D619" s="61" t="n"/>
      <c r="E619" s="61" t="n"/>
      <c r="F619" s="55" t="n"/>
      <c r="G619" s="56" t="n"/>
      <c r="H619" s="55" t="n"/>
      <c r="I619" s="62" t="n"/>
      <c r="J619" s="58" t="n"/>
      <c r="K619" s="63">
        <f>IF(tblMovement[[#This Row],[Source]]="","",IFERROR(INDEX(tblSources[Type],MATCH(tblMovement[[#This Row],[Source]],tblSources[Source],0)),"?"))</f>
        <v/>
      </c>
      <c r="L619" s="63">
        <f>IF(tblMovement[[#This Row],[Destination]]="","",IFERROR(INDEX(tblDestinations[Type],MATCH(tblMovement[[#This Row],[Destination]],tblDestinations[Destination],0)),"?"))</f>
        <v/>
      </c>
      <c r="M619" s="64">
        <f>IF(tblMovement[[#This Row],[Material]]="","",IF(LEFT(tblMovement[[#This Row],[Material]],3)="Ore",1,0))</f>
        <v/>
      </c>
      <c r="N619" s="59">
        <f>IF(OR(tblMovement[[#This Row],[Tonnes_t]]="",tblMovement[[#This Row],[Grade_gpt]]=""),0,tblMovement[[#This Row],[Tonnes_t]]*tblMovement[[#This Row],[Grade_gpt]]/cfg_TroyOz)</f>
        <v/>
      </c>
      <c r="O619" s="59">
        <f>IF(tblMovement[[#This Row],[Is_Ore]]=1,tblMovement[[#This Row],[Contained_oz]],0)</f>
        <v/>
      </c>
    </row>
    <row r="620">
      <c r="A620" s="54" t="n"/>
      <c r="B620" s="61" t="n"/>
      <c r="C620" s="61" t="n"/>
      <c r="D620" s="61" t="n"/>
      <c r="E620" s="61" t="n"/>
      <c r="F620" s="55" t="n"/>
      <c r="G620" s="56" t="n"/>
      <c r="H620" s="55" t="n"/>
      <c r="I620" s="62" t="n"/>
      <c r="J620" s="58" t="n"/>
      <c r="K620" s="63">
        <f>IF(tblMovement[[#This Row],[Source]]="","",IFERROR(INDEX(tblSources[Type],MATCH(tblMovement[[#This Row],[Source]],tblSources[Source],0)),"?"))</f>
        <v/>
      </c>
      <c r="L620" s="63">
        <f>IF(tblMovement[[#This Row],[Destination]]="","",IFERROR(INDEX(tblDestinations[Type],MATCH(tblMovement[[#This Row],[Destination]],tblDestinations[Destination],0)),"?"))</f>
        <v/>
      </c>
      <c r="M620" s="64">
        <f>IF(tblMovement[[#This Row],[Material]]="","",IF(LEFT(tblMovement[[#This Row],[Material]],3)="Ore",1,0))</f>
        <v/>
      </c>
      <c r="N620" s="59">
        <f>IF(OR(tblMovement[[#This Row],[Tonnes_t]]="",tblMovement[[#This Row],[Grade_gpt]]=""),0,tblMovement[[#This Row],[Tonnes_t]]*tblMovement[[#This Row],[Grade_gpt]]/cfg_TroyOz)</f>
        <v/>
      </c>
      <c r="O620" s="59">
        <f>IF(tblMovement[[#This Row],[Is_Ore]]=1,tblMovement[[#This Row],[Contained_oz]],0)</f>
        <v/>
      </c>
    </row>
    <row r="621">
      <c r="A621" s="54" t="n"/>
      <c r="B621" s="61" t="n"/>
      <c r="C621" s="61" t="n"/>
      <c r="D621" s="61" t="n"/>
      <c r="E621" s="61" t="n"/>
      <c r="F621" s="55" t="n"/>
      <c r="G621" s="56" t="n"/>
      <c r="H621" s="55" t="n"/>
      <c r="I621" s="62" t="n"/>
      <c r="J621" s="58" t="n"/>
      <c r="K621" s="63">
        <f>IF(tblMovement[[#This Row],[Source]]="","",IFERROR(INDEX(tblSources[Type],MATCH(tblMovement[[#This Row],[Source]],tblSources[Source],0)),"?"))</f>
        <v/>
      </c>
      <c r="L621" s="63">
        <f>IF(tblMovement[[#This Row],[Destination]]="","",IFERROR(INDEX(tblDestinations[Type],MATCH(tblMovement[[#This Row],[Destination]],tblDestinations[Destination],0)),"?"))</f>
        <v/>
      </c>
      <c r="M621" s="64">
        <f>IF(tblMovement[[#This Row],[Material]]="","",IF(LEFT(tblMovement[[#This Row],[Material]],3)="Ore",1,0))</f>
        <v/>
      </c>
      <c r="N621" s="59">
        <f>IF(OR(tblMovement[[#This Row],[Tonnes_t]]="",tblMovement[[#This Row],[Grade_gpt]]=""),0,tblMovement[[#This Row],[Tonnes_t]]*tblMovement[[#This Row],[Grade_gpt]]/cfg_TroyOz)</f>
        <v/>
      </c>
      <c r="O621" s="59">
        <f>IF(tblMovement[[#This Row],[Is_Ore]]=1,tblMovement[[#This Row],[Contained_oz]],0)</f>
        <v/>
      </c>
    </row>
    <row r="622">
      <c r="A622" s="54" t="n"/>
      <c r="B622" s="61" t="n"/>
      <c r="C622" s="61" t="n"/>
      <c r="D622" s="61" t="n"/>
      <c r="E622" s="61" t="n"/>
      <c r="F622" s="55" t="n"/>
      <c r="G622" s="56" t="n"/>
      <c r="H622" s="55" t="n"/>
      <c r="I622" s="62" t="n"/>
      <c r="J622" s="58" t="n"/>
      <c r="K622" s="63">
        <f>IF(tblMovement[[#This Row],[Source]]="","",IFERROR(INDEX(tblSources[Type],MATCH(tblMovement[[#This Row],[Source]],tblSources[Source],0)),"?"))</f>
        <v/>
      </c>
      <c r="L622" s="63">
        <f>IF(tblMovement[[#This Row],[Destination]]="","",IFERROR(INDEX(tblDestinations[Type],MATCH(tblMovement[[#This Row],[Destination]],tblDestinations[Destination],0)),"?"))</f>
        <v/>
      </c>
      <c r="M622" s="64">
        <f>IF(tblMovement[[#This Row],[Material]]="","",IF(LEFT(tblMovement[[#This Row],[Material]],3)="Ore",1,0))</f>
        <v/>
      </c>
      <c r="N622" s="59">
        <f>IF(OR(tblMovement[[#This Row],[Tonnes_t]]="",tblMovement[[#This Row],[Grade_gpt]]=""),0,tblMovement[[#This Row],[Tonnes_t]]*tblMovement[[#This Row],[Grade_gpt]]/cfg_TroyOz)</f>
        <v/>
      </c>
      <c r="O622" s="59">
        <f>IF(tblMovement[[#This Row],[Is_Ore]]=1,tblMovement[[#This Row],[Contained_oz]],0)</f>
        <v/>
      </c>
    </row>
    <row r="623">
      <c r="A623" s="54" t="n"/>
      <c r="B623" s="61" t="n"/>
      <c r="C623" s="61" t="n"/>
      <c r="D623" s="61" t="n"/>
      <c r="E623" s="61" t="n"/>
      <c r="F623" s="55" t="n"/>
      <c r="G623" s="56" t="n"/>
      <c r="H623" s="55" t="n"/>
      <c r="I623" s="62" t="n"/>
      <c r="J623" s="58" t="n"/>
      <c r="K623" s="63">
        <f>IF(tblMovement[[#This Row],[Source]]="","",IFERROR(INDEX(tblSources[Type],MATCH(tblMovement[[#This Row],[Source]],tblSources[Source],0)),"?"))</f>
        <v/>
      </c>
      <c r="L623" s="63">
        <f>IF(tblMovement[[#This Row],[Destination]]="","",IFERROR(INDEX(tblDestinations[Type],MATCH(tblMovement[[#This Row],[Destination]],tblDestinations[Destination],0)),"?"))</f>
        <v/>
      </c>
      <c r="M623" s="64">
        <f>IF(tblMovement[[#This Row],[Material]]="","",IF(LEFT(tblMovement[[#This Row],[Material]],3)="Ore",1,0))</f>
        <v/>
      </c>
      <c r="N623" s="59">
        <f>IF(OR(tblMovement[[#This Row],[Tonnes_t]]="",tblMovement[[#This Row],[Grade_gpt]]=""),0,tblMovement[[#This Row],[Tonnes_t]]*tblMovement[[#This Row],[Grade_gpt]]/cfg_TroyOz)</f>
        <v/>
      </c>
      <c r="O623" s="59">
        <f>IF(tblMovement[[#This Row],[Is_Ore]]=1,tblMovement[[#This Row],[Contained_oz]],0)</f>
        <v/>
      </c>
    </row>
    <row r="624">
      <c r="A624" s="54" t="n"/>
      <c r="B624" s="61" t="n"/>
      <c r="C624" s="61" t="n"/>
      <c r="D624" s="61" t="n"/>
      <c r="E624" s="61" t="n"/>
      <c r="F624" s="55" t="n"/>
      <c r="G624" s="56" t="n"/>
      <c r="H624" s="55" t="n"/>
      <c r="I624" s="62" t="n"/>
      <c r="J624" s="58" t="n"/>
      <c r="K624" s="63">
        <f>IF(tblMovement[[#This Row],[Source]]="","",IFERROR(INDEX(tblSources[Type],MATCH(tblMovement[[#This Row],[Source]],tblSources[Source],0)),"?"))</f>
        <v/>
      </c>
      <c r="L624" s="63">
        <f>IF(tblMovement[[#This Row],[Destination]]="","",IFERROR(INDEX(tblDestinations[Type],MATCH(tblMovement[[#This Row],[Destination]],tblDestinations[Destination],0)),"?"))</f>
        <v/>
      </c>
      <c r="M624" s="64">
        <f>IF(tblMovement[[#This Row],[Material]]="","",IF(LEFT(tblMovement[[#This Row],[Material]],3)="Ore",1,0))</f>
        <v/>
      </c>
      <c r="N624" s="59">
        <f>IF(OR(tblMovement[[#This Row],[Tonnes_t]]="",tblMovement[[#This Row],[Grade_gpt]]=""),0,tblMovement[[#This Row],[Tonnes_t]]*tblMovement[[#This Row],[Grade_gpt]]/cfg_TroyOz)</f>
        <v/>
      </c>
      <c r="O624" s="59">
        <f>IF(tblMovement[[#This Row],[Is_Ore]]=1,tblMovement[[#This Row],[Contained_oz]],0)</f>
        <v/>
      </c>
    </row>
    <row r="625">
      <c r="A625" s="54" t="n"/>
      <c r="B625" s="61" t="n"/>
      <c r="C625" s="61" t="n"/>
      <c r="D625" s="61" t="n"/>
      <c r="E625" s="61" t="n"/>
      <c r="F625" s="55" t="n"/>
      <c r="G625" s="56" t="n"/>
      <c r="H625" s="55" t="n"/>
      <c r="I625" s="62" t="n"/>
      <c r="J625" s="58" t="n"/>
      <c r="K625" s="63">
        <f>IF(tblMovement[[#This Row],[Source]]="","",IFERROR(INDEX(tblSources[Type],MATCH(tblMovement[[#This Row],[Source]],tblSources[Source],0)),"?"))</f>
        <v/>
      </c>
      <c r="L625" s="63">
        <f>IF(tblMovement[[#This Row],[Destination]]="","",IFERROR(INDEX(tblDestinations[Type],MATCH(tblMovement[[#This Row],[Destination]],tblDestinations[Destination],0)),"?"))</f>
        <v/>
      </c>
      <c r="M625" s="64">
        <f>IF(tblMovement[[#This Row],[Material]]="","",IF(LEFT(tblMovement[[#This Row],[Material]],3)="Ore",1,0))</f>
        <v/>
      </c>
      <c r="N625" s="59">
        <f>IF(OR(tblMovement[[#This Row],[Tonnes_t]]="",tblMovement[[#This Row],[Grade_gpt]]=""),0,tblMovement[[#This Row],[Tonnes_t]]*tblMovement[[#This Row],[Grade_gpt]]/cfg_TroyOz)</f>
        <v/>
      </c>
      <c r="O625" s="59">
        <f>IF(tblMovement[[#This Row],[Is_Ore]]=1,tblMovement[[#This Row],[Contained_oz]],0)</f>
        <v/>
      </c>
    </row>
    <row r="626">
      <c r="A626" s="54" t="n"/>
      <c r="B626" s="61" t="n"/>
      <c r="C626" s="61" t="n"/>
      <c r="D626" s="61" t="n"/>
      <c r="E626" s="61" t="n"/>
      <c r="F626" s="55" t="n"/>
      <c r="G626" s="56" t="n"/>
      <c r="H626" s="55" t="n"/>
      <c r="I626" s="62" t="n"/>
      <c r="J626" s="58" t="n"/>
      <c r="K626" s="63">
        <f>IF(tblMovement[[#This Row],[Source]]="","",IFERROR(INDEX(tblSources[Type],MATCH(tblMovement[[#This Row],[Source]],tblSources[Source],0)),"?"))</f>
        <v/>
      </c>
      <c r="L626" s="63">
        <f>IF(tblMovement[[#This Row],[Destination]]="","",IFERROR(INDEX(tblDestinations[Type],MATCH(tblMovement[[#This Row],[Destination]],tblDestinations[Destination],0)),"?"))</f>
        <v/>
      </c>
      <c r="M626" s="64">
        <f>IF(tblMovement[[#This Row],[Material]]="","",IF(LEFT(tblMovement[[#This Row],[Material]],3)="Ore",1,0))</f>
        <v/>
      </c>
      <c r="N626" s="59">
        <f>IF(OR(tblMovement[[#This Row],[Tonnes_t]]="",tblMovement[[#This Row],[Grade_gpt]]=""),0,tblMovement[[#This Row],[Tonnes_t]]*tblMovement[[#This Row],[Grade_gpt]]/cfg_TroyOz)</f>
        <v/>
      </c>
      <c r="O626" s="59">
        <f>IF(tblMovement[[#This Row],[Is_Ore]]=1,tblMovement[[#This Row],[Contained_oz]],0)</f>
        <v/>
      </c>
    </row>
    <row r="627">
      <c r="A627" s="54" t="n"/>
      <c r="B627" s="61" t="n"/>
      <c r="C627" s="61" t="n"/>
      <c r="D627" s="61" t="n"/>
      <c r="E627" s="61" t="n"/>
      <c r="F627" s="55" t="n"/>
      <c r="G627" s="56" t="n"/>
      <c r="H627" s="55" t="n"/>
      <c r="I627" s="62" t="n"/>
      <c r="J627" s="58" t="n"/>
      <c r="K627" s="63">
        <f>IF(tblMovement[[#This Row],[Source]]="","",IFERROR(INDEX(tblSources[Type],MATCH(tblMovement[[#This Row],[Source]],tblSources[Source],0)),"?"))</f>
        <v/>
      </c>
      <c r="L627" s="63">
        <f>IF(tblMovement[[#This Row],[Destination]]="","",IFERROR(INDEX(tblDestinations[Type],MATCH(tblMovement[[#This Row],[Destination]],tblDestinations[Destination],0)),"?"))</f>
        <v/>
      </c>
      <c r="M627" s="64">
        <f>IF(tblMovement[[#This Row],[Material]]="","",IF(LEFT(tblMovement[[#This Row],[Material]],3)="Ore",1,0))</f>
        <v/>
      </c>
      <c r="N627" s="59">
        <f>IF(OR(tblMovement[[#This Row],[Tonnes_t]]="",tblMovement[[#This Row],[Grade_gpt]]=""),0,tblMovement[[#This Row],[Tonnes_t]]*tblMovement[[#This Row],[Grade_gpt]]/cfg_TroyOz)</f>
        <v/>
      </c>
      <c r="O627" s="59">
        <f>IF(tblMovement[[#This Row],[Is_Ore]]=1,tblMovement[[#This Row],[Contained_oz]],0)</f>
        <v/>
      </c>
    </row>
    <row r="628">
      <c r="A628" s="54" t="n"/>
      <c r="B628" s="61" t="n"/>
      <c r="C628" s="61" t="n"/>
      <c r="D628" s="61" t="n"/>
      <c r="E628" s="61" t="n"/>
      <c r="F628" s="55" t="n"/>
      <c r="G628" s="56" t="n"/>
      <c r="H628" s="55" t="n"/>
      <c r="I628" s="62" t="n"/>
      <c r="J628" s="58" t="n"/>
      <c r="K628" s="63">
        <f>IF(tblMovement[[#This Row],[Source]]="","",IFERROR(INDEX(tblSources[Type],MATCH(tblMovement[[#This Row],[Source]],tblSources[Source],0)),"?"))</f>
        <v/>
      </c>
      <c r="L628" s="63">
        <f>IF(tblMovement[[#This Row],[Destination]]="","",IFERROR(INDEX(tblDestinations[Type],MATCH(tblMovement[[#This Row],[Destination]],tblDestinations[Destination],0)),"?"))</f>
        <v/>
      </c>
      <c r="M628" s="64">
        <f>IF(tblMovement[[#This Row],[Material]]="","",IF(LEFT(tblMovement[[#This Row],[Material]],3)="Ore",1,0))</f>
        <v/>
      </c>
      <c r="N628" s="59">
        <f>IF(OR(tblMovement[[#This Row],[Tonnes_t]]="",tblMovement[[#This Row],[Grade_gpt]]=""),0,tblMovement[[#This Row],[Tonnes_t]]*tblMovement[[#This Row],[Grade_gpt]]/cfg_TroyOz)</f>
        <v/>
      </c>
      <c r="O628" s="59">
        <f>IF(tblMovement[[#This Row],[Is_Ore]]=1,tblMovement[[#This Row],[Contained_oz]],0)</f>
        <v/>
      </c>
    </row>
    <row r="629">
      <c r="A629" s="54" t="n"/>
      <c r="B629" s="61" t="n"/>
      <c r="C629" s="61" t="n"/>
      <c r="D629" s="61" t="n"/>
      <c r="E629" s="61" t="n"/>
      <c r="F629" s="55" t="n"/>
      <c r="G629" s="56" t="n"/>
      <c r="H629" s="55" t="n"/>
      <c r="I629" s="62" t="n"/>
      <c r="J629" s="58" t="n"/>
      <c r="K629" s="63">
        <f>IF(tblMovement[[#This Row],[Source]]="","",IFERROR(INDEX(tblSources[Type],MATCH(tblMovement[[#This Row],[Source]],tblSources[Source],0)),"?"))</f>
        <v/>
      </c>
      <c r="L629" s="63">
        <f>IF(tblMovement[[#This Row],[Destination]]="","",IFERROR(INDEX(tblDestinations[Type],MATCH(tblMovement[[#This Row],[Destination]],tblDestinations[Destination],0)),"?"))</f>
        <v/>
      </c>
      <c r="M629" s="64">
        <f>IF(tblMovement[[#This Row],[Material]]="","",IF(LEFT(tblMovement[[#This Row],[Material]],3)="Ore",1,0))</f>
        <v/>
      </c>
      <c r="N629" s="59">
        <f>IF(OR(tblMovement[[#This Row],[Tonnes_t]]="",tblMovement[[#This Row],[Grade_gpt]]=""),0,tblMovement[[#This Row],[Tonnes_t]]*tblMovement[[#This Row],[Grade_gpt]]/cfg_TroyOz)</f>
        <v/>
      </c>
      <c r="O629" s="59">
        <f>IF(tblMovement[[#This Row],[Is_Ore]]=1,tblMovement[[#This Row],[Contained_oz]],0)</f>
        <v/>
      </c>
    </row>
    <row r="630">
      <c r="A630" s="54" t="n"/>
      <c r="B630" s="61" t="n"/>
      <c r="C630" s="61" t="n"/>
      <c r="D630" s="61" t="n"/>
      <c r="E630" s="61" t="n"/>
      <c r="F630" s="55" t="n"/>
      <c r="G630" s="56" t="n"/>
      <c r="H630" s="55" t="n"/>
      <c r="I630" s="62" t="n"/>
      <c r="J630" s="58" t="n"/>
      <c r="K630" s="63">
        <f>IF(tblMovement[[#This Row],[Source]]="","",IFERROR(INDEX(tblSources[Type],MATCH(tblMovement[[#This Row],[Source]],tblSources[Source],0)),"?"))</f>
        <v/>
      </c>
      <c r="L630" s="63">
        <f>IF(tblMovement[[#This Row],[Destination]]="","",IFERROR(INDEX(tblDestinations[Type],MATCH(tblMovement[[#This Row],[Destination]],tblDestinations[Destination],0)),"?"))</f>
        <v/>
      </c>
      <c r="M630" s="64">
        <f>IF(tblMovement[[#This Row],[Material]]="","",IF(LEFT(tblMovement[[#This Row],[Material]],3)="Ore",1,0))</f>
        <v/>
      </c>
      <c r="N630" s="59">
        <f>IF(OR(tblMovement[[#This Row],[Tonnes_t]]="",tblMovement[[#This Row],[Grade_gpt]]=""),0,tblMovement[[#This Row],[Tonnes_t]]*tblMovement[[#This Row],[Grade_gpt]]/cfg_TroyOz)</f>
        <v/>
      </c>
      <c r="O630" s="59">
        <f>IF(tblMovement[[#This Row],[Is_Ore]]=1,tblMovement[[#This Row],[Contained_oz]],0)</f>
        <v/>
      </c>
    </row>
    <row r="631">
      <c r="A631" s="54" t="n"/>
      <c r="B631" s="61" t="n"/>
      <c r="C631" s="61" t="n"/>
      <c r="D631" s="61" t="n"/>
      <c r="E631" s="61" t="n"/>
      <c r="F631" s="55" t="n"/>
      <c r="G631" s="56" t="n"/>
      <c r="H631" s="55" t="n"/>
      <c r="I631" s="62" t="n"/>
      <c r="J631" s="58" t="n"/>
      <c r="K631" s="63">
        <f>IF(tblMovement[[#This Row],[Source]]="","",IFERROR(INDEX(tblSources[Type],MATCH(tblMovement[[#This Row],[Source]],tblSources[Source],0)),"?"))</f>
        <v/>
      </c>
      <c r="L631" s="63">
        <f>IF(tblMovement[[#This Row],[Destination]]="","",IFERROR(INDEX(tblDestinations[Type],MATCH(tblMovement[[#This Row],[Destination]],tblDestinations[Destination],0)),"?"))</f>
        <v/>
      </c>
      <c r="M631" s="64">
        <f>IF(tblMovement[[#This Row],[Material]]="","",IF(LEFT(tblMovement[[#This Row],[Material]],3)="Ore",1,0))</f>
        <v/>
      </c>
      <c r="N631" s="59">
        <f>IF(OR(tblMovement[[#This Row],[Tonnes_t]]="",tblMovement[[#This Row],[Grade_gpt]]=""),0,tblMovement[[#This Row],[Tonnes_t]]*tblMovement[[#This Row],[Grade_gpt]]/cfg_TroyOz)</f>
        <v/>
      </c>
      <c r="O631" s="59">
        <f>IF(tblMovement[[#This Row],[Is_Ore]]=1,tblMovement[[#This Row],[Contained_oz]],0)</f>
        <v/>
      </c>
    </row>
    <row r="632">
      <c r="A632" s="54" t="n"/>
      <c r="B632" s="61" t="n"/>
      <c r="C632" s="61" t="n"/>
      <c r="D632" s="61" t="n"/>
      <c r="E632" s="61" t="n"/>
      <c r="F632" s="55" t="n"/>
      <c r="G632" s="56" t="n"/>
      <c r="H632" s="55" t="n"/>
      <c r="I632" s="62" t="n"/>
      <c r="J632" s="58" t="n"/>
      <c r="K632" s="63">
        <f>IF(tblMovement[[#This Row],[Source]]="","",IFERROR(INDEX(tblSources[Type],MATCH(tblMovement[[#This Row],[Source]],tblSources[Source],0)),"?"))</f>
        <v/>
      </c>
      <c r="L632" s="63">
        <f>IF(tblMovement[[#This Row],[Destination]]="","",IFERROR(INDEX(tblDestinations[Type],MATCH(tblMovement[[#This Row],[Destination]],tblDestinations[Destination],0)),"?"))</f>
        <v/>
      </c>
      <c r="M632" s="64">
        <f>IF(tblMovement[[#This Row],[Material]]="","",IF(LEFT(tblMovement[[#This Row],[Material]],3)="Ore",1,0))</f>
        <v/>
      </c>
      <c r="N632" s="59">
        <f>IF(OR(tblMovement[[#This Row],[Tonnes_t]]="",tblMovement[[#This Row],[Grade_gpt]]=""),0,tblMovement[[#This Row],[Tonnes_t]]*tblMovement[[#This Row],[Grade_gpt]]/cfg_TroyOz)</f>
        <v/>
      </c>
      <c r="O632" s="59">
        <f>IF(tblMovement[[#This Row],[Is_Ore]]=1,tblMovement[[#This Row],[Contained_oz]],0)</f>
        <v/>
      </c>
    </row>
    <row r="633">
      <c r="A633" s="54" t="n"/>
      <c r="B633" s="61" t="n"/>
      <c r="C633" s="61" t="n"/>
      <c r="D633" s="61" t="n"/>
      <c r="E633" s="61" t="n"/>
      <c r="F633" s="55" t="n"/>
      <c r="G633" s="56" t="n"/>
      <c r="H633" s="55" t="n"/>
      <c r="I633" s="62" t="n"/>
      <c r="J633" s="58" t="n"/>
      <c r="K633" s="63">
        <f>IF(tblMovement[[#This Row],[Source]]="","",IFERROR(INDEX(tblSources[Type],MATCH(tblMovement[[#This Row],[Source]],tblSources[Source],0)),"?"))</f>
        <v/>
      </c>
      <c r="L633" s="63">
        <f>IF(tblMovement[[#This Row],[Destination]]="","",IFERROR(INDEX(tblDestinations[Type],MATCH(tblMovement[[#This Row],[Destination]],tblDestinations[Destination],0)),"?"))</f>
        <v/>
      </c>
      <c r="M633" s="64">
        <f>IF(tblMovement[[#This Row],[Material]]="","",IF(LEFT(tblMovement[[#This Row],[Material]],3)="Ore",1,0))</f>
        <v/>
      </c>
      <c r="N633" s="59">
        <f>IF(OR(tblMovement[[#This Row],[Tonnes_t]]="",tblMovement[[#This Row],[Grade_gpt]]=""),0,tblMovement[[#This Row],[Tonnes_t]]*tblMovement[[#This Row],[Grade_gpt]]/cfg_TroyOz)</f>
        <v/>
      </c>
      <c r="O633" s="59">
        <f>IF(tblMovement[[#This Row],[Is_Ore]]=1,tblMovement[[#This Row],[Contained_oz]],0)</f>
        <v/>
      </c>
    </row>
    <row r="634">
      <c r="A634" s="54" t="n"/>
      <c r="B634" s="61" t="n"/>
      <c r="C634" s="61" t="n"/>
      <c r="D634" s="61" t="n"/>
      <c r="E634" s="61" t="n"/>
      <c r="F634" s="55" t="n"/>
      <c r="G634" s="56" t="n"/>
      <c r="H634" s="55" t="n"/>
      <c r="I634" s="62" t="n"/>
      <c r="J634" s="58" t="n"/>
      <c r="K634" s="63">
        <f>IF(tblMovement[[#This Row],[Source]]="","",IFERROR(INDEX(tblSources[Type],MATCH(tblMovement[[#This Row],[Source]],tblSources[Source],0)),"?"))</f>
        <v/>
      </c>
      <c r="L634" s="63">
        <f>IF(tblMovement[[#This Row],[Destination]]="","",IFERROR(INDEX(tblDestinations[Type],MATCH(tblMovement[[#This Row],[Destination]],tblDestinations[Destination],0)),"?"))</f>
        <v/>
      </c>
      <c r="M634" s="64">
        <f>IF(tblMovement[[#This Row],[Material]]="","",IF(LEFT(tblMovement[[#This Row],[Material]],3)="Ore",1,0))</f>
        <v/>
      </c>
      <c r="N634" s="59">
        <f>IF(OR(tblMovement[[#This Row],[Tonnes_t]]="",tblMovement[[#This Row],[Grade_gpt]]=""),0,tblMovement[[#This Row],[Tonnes_t]]*tblMovement[[#This Row],[Grade_gpt]]/cfg_TroyOz)</f>
        <v/>
      </c>
      <c r="O634" s="59">
        <f>IF(tblMovement[[#This Row],[Is_Ore]]=1,tblMovement[[#This Row],[Contained_oz]],0)</f>
        <v/>
      </c>
    </row>
    <row r="635">
      <c r="A635" s="54" t="n"/>
      <c r="B635" s="61" t="n"/>
      <c r="C635" s="61" t="n"/>
      <c r="D635" s="61" t="n"/>
      <c r="E635" s="61" t="n"/>
      <c r="F635" s="55" t="n"/>
      <c r="G635" s="56" t="n"/>
      <c r="H635" s="55" t="n"/>
      <c r="I635" s="62" t="n"/>
      <c r="J635" s="58" t="n"/>
      <c r="K635" s="63">
        <f>IF(tblMovement[[#This Row],[Source]]="","",IFERROR(INDEX(tblSources[Type],MATCH(tblMovement[[#This Row],[Source]],tblSources[Source],0)),"?"))</f>
        <v/>
      </c>
      <c r="L635" s="63">
        <f>IF(tblMovement[[#This Row],[Destination]]="","",IFERROR(INDEX(tblDestinations[Type],MATCH(tblMovement[[#This Row],[Destination]],tblDestinations[Destination],0)),"?"))</f>
        <v/>
      </c>
      <c r="M635" s="64">
        <f>IF(tblMovement[[#This Row],[Material]]="","",IF(LEFT(tblMovement[[#This Row],[Material]],3)="Ore",1,0))</f>
        <v/>
      </c>
      <c r="N635" s="59">
        <f>IF(OR(tblMovement[[#This Row],[Tonnes_t]]="",tblMovement[[#This Row],[Grade_gpt]]=""),0,tblMovement[[#This Row],[Tonnes_t]]*tblMovement[[#This Row],[Grade_gpt]]/cfg_TroyOz)</f>
        <v/>
      </c>
      <c r="O635" s="59">
        <f>IF(tblMovement[[#This Row],[Is_Ore]]=1,tblMovement[[#This Row],[Contained_oz]],0)</f>
        <v/>
      </c>
    </row>
    <row r="636">
      <c r="A636" s="54" t="n"/>
      <c r="B636" s="61" t="n"/>
      <c r="C636" s="61" t="n"/>
      <c r="D636" s="61" t="n"/>
      <c r="E636" s="61" t="n"/>
      <c r="F636" s="55" t="n"/>
      <c r="G636" s="56" t="n"/>
      <c r="H636" s="55" t="n"/>
      <c r="I636" s="62" t="n"/>
      <c r="J636" s="58" t="n"/>
      <c r="K636" s="63">
        <f>IF(tblMovement[[#This Row],[Source]]="","",IFERROR(INDEX(tblSources[Type],MATCH(tblMovement[[#This Row],[Source]],tblSources[Source],0)),"?"))</f>
        <v/>
      </c>
      <c r="L636" s="63">
        <f>IF(tblMovement[[#This Row],[Destination]]="","",IFERROR(INDEX(tblDestinations[Type],MATCH(tblMovement[[#This Row],[Destination]],tblDestinations[Destination],0)),"?"))</f>
        <v/>
      </c>
      <c r="M636" s="64">
        <f>IF(tblMovement[[#This Row],[Material]]="","",IF(LEFT(tblMovement[[#This Row],[Material]],3)="Ore",1,0))</f>
        <v/>
      </c>
      <c r="N636" s="59">
        <f>IF(OR(tblMovement[[#This Row],[Tonnes_t]]="",tblMovement[[#This Row],[Grade_gpt]]=""),0,tblMovement[[#This Row],[Tonnes_t]]*tblMovement[[#This Row],[Grade_gpt]]/cfg_TroyOz)</f>
        <v/>
      </c>
      <c r="O636" s="59">
        <f>IF(tblMovement[[#This Row],[Is_Ore]]=1,tblMovement[[#This Row],[Contained_oz]],0)</f>
        <v/>
      </c>
    </row>
    <row r="637">
      <c r="A637" s="54" t="n"/>
      <c r="B637" s="61" t="n"/>
      <c r="C637" s="61" t="n"/>
      <c r="D637" s="61" t="n"/>
      <c r="E637" s="61" t="n"/>
      <c r="F637" s="55" t="n"/>
      <c r="G637" s="56" t="n"/>
      <c r="H637" s="55" t="n"/>
      <c r="I637" s="62" t="n"/>
      <c r="J637" s="58" t="n"/>
      <c r="K637" s="63">
        <f>IF(tblMovement[[#This Row],[Source]]="","",IFERROR(INDEX(tblSources[Type],MATCH(tblMovement[[#This Row],[Source]],tblSources[Source],0)),"?"))</f>
        <v/>
      </c>
      <c r="L637" s="63">
        <f>IF(tblMovement[[#This Row],[Destination]]="","",IFERROR(INDEX(tblDestinations[Type],MATCH(tblMovement[[#This Row],[Destination]],tblDestinations[Destination],0)),"?"))</f>
        <v/>
      </c>
      <c r="M637" s="64">
        <f>IF(tblMovement[[#This Row],[Material]]="","",IF(LEFT(tblMovement[[#This Row],[Material]],3)="Ore",1,0))</f>
        <v/>
      </c>
      <c r="N637" s="59">
        <f>IF(OR(tblMovement[[#This Row],[Tonnes_t]]="",tblMovement[[#This Row],[Grade_gpt]]=""),0,tblMovement[[#This Row],[Tonnes_t]]*tblMovement[[#This Row],[Grade_gpt]]/cfg_TroyOz)</f>
        <v/>
      </c>
      <c r="O637" s="59">
        <f>IF(tblMovement[[#This Row],[Is_Ore]]=1,tblMovement[[#This Row],[Contained_oz]],0)</f>
        <v/>
      </c>
    </row>
    <row r="638">
      <c r="A638" s="54" t="n"/>
      <c r="B638" s="61" t="n"/>
      <c r="C638" s="61" t="n"/>
      <c r="D638" s="61" t="n"/>
      <c r="E638" s="61" t="n"/>
      <c r="F638" s="55" t="n"/>
      <c r="G638" s="56" t="n"/>
      <c r="H638" s="55" t="n"/>
      <c r="I638" s="62" t="n"/>
      <c r="J638" s="58" t="n"/>
      <c r="K638" s="63">
        <f>IF(tblMovement[[#This Row],[Source]]="","",IFERROR(INDEX(tblSources[Type],MATCH(tblMovement[[#This Row],[Source]],tblSources[Source],0)),"?"))</f>
        <v/>
      </c>
      <c r="L638" s="63">
        <f>IF(tblMovement[[#This Row],[Destination]]="","",IFERROR(INDEX(tblDestinations[Type],MATCH(tblMovement[[#This Row],[Destination]],tblDestinations[Destination],0)),"?"))</f>
        <v/>
      </c>
      <c r="M638" s="64">
        <f>IF(tblMovement[[#This Row],[Material]]="","",IF(LEFT(tblMovement[[#This Row],[Material]],3)="Ore",1,0))</f>
        <v/>
      </c>
      <c r="N638" s="59">
        <f>IF(OR(tblMovement[[#This Row],[Tonnes_t]]="",tblMovement[[#This Row],[Grade_gpt]]=""),0,tblMovement[[#This Row],[Tonnes_t]]*tblMovement[[#This Row],[Grade_gpt]]/cfg_TroyOz)</f>
        <v/>
      </c>
      <c r="O638" s="59">
        <f>IF(tblMovement[[#This Row],[Is_Ore]]=1,tblMovement[[#This Row],[Contained_oz]],0)</f>
        <v/>
      </c>
    </row>
    <row r="639">
      <c r="A639" s="54" t="n"/>
      <c r="B639" s="61" t="n"/>
      <c r="C639" s="61" t="n"/>
      <c r="D639" s="61" t="n"/>
      <c r="E639" s="61" t="n"/>
      <c r="F639" s="55" t="n"/>
      <c r="G639" s="56" t="n"/>
      <c r="H639" s="55" t="n"/>
      <c r="I639" s="62" t="n"/>
      <c r="J639" s="58" t="n"/>
      <c r="K639" s="63">
        <f>IF(tblMovement[[#This Row],[Source]]="","",IFERROR(INDEX(tblSources[Type],MATCH(tblMovement[[#This Row],[Source]],tblSources[Source],0)),"?"))</f>
        <v/>
      </c>
      <c r="L639" s="63">
        <f>IF(tblMovement[[#This Row],[Destination]]="","",IFERROR(INDEX(tblDestinations[Type],MATCH(tblMovement[[#This Row],[Destination]],tblDestinations[Destination],0)),"?"))</f>
        <v/>
      </c>
      <c r="M639" s="64">
        <f>IF(tblMovement[[#This Row],[Material]]="","",IF(LEFT(tblMovement[[#This Row],[Material]],3)="Ore",1,0))</f>
        <v/>
      </c>
      <c r="N639" s="59">
        <f>IF(OR(tblMovement[[#This Row],[Tonnes_t]]="",tblMovement[[#This Row],[Grade_gpt]]=""),0,tblMovement[[#This Row],[Tonnes_t]]*tblMovement[[#This Row],[Grade_gpt]]/cfg_TroyOz)</f>
        <v/>
      </c>
      <c r="O639" s="59">
        <f>IF(tblMovement[[#This Row],[Is_Ore]]=1,tblMovement[[#This Row],[Contained_oz]],0)</f>
        <v/>
      </c>
    </row>
    <row r="640">
      <c r="A640" s="54" t="n"/>
      <c r="B640" s="61" t="n"/>
      <c r="C640" s="61" t="n"/>
      <c r="D640" s="61" t="n"/>
      <c r="E640" s="61" t="n"/>
      <c r="F640" s="55" t="n"/>
      <c r="G640" s="56" t="n"/>
      <c r="H640" s="55" t="n"/>
      <c r="I640" s="62" t="n"/>
      <c r="J640" s="58" t="n"/>
      <c r="K640" s="63">
        <f>IF(tblMovement[[#This Row],[Source]]="","",IFERROR(INDEX(tblSources[Type],MATCH(tblMovement[[#This Row],[Source]],tblSources[Source],0)),"?"))</f>
        <v/>
      </c>
      <c r="L640" s="63">
        <f>IF(tblMovement[[#This Row],[Destination]]="","",IFERROR(INDEX(tblDestinations[Type],MATCH(tblMovement[[#This Row],[Destination]],tblDestinations[Destination],0)),"?"))</f>
        <v/>
      </c>
      <c r="M640" s="64">
        <f>IF(tblMovement[[#This Row],[Material]]="","",IF(LEFT(tblMovement[[#This Row],[Material]],3)="Ore",1,0))</f>
        <v/>
      </c>
      <c r="N640" s="59">
        <f>IF(OR(tblMovement[[#This Row],[Tonnes_t]]="",tblMovement[[#This Row],[Grade_gpt]]=""),0,tblMovement[[#This Row],[Tonnes_t]]*tblMovement[[#This Row],[Grade_gpt]]/cfg_TroyOz)</f>
        <v/>
      </c>
      <c r="O640" s="59">
        <f>IF(tblMovement[[#This Row],[Is_Ore]]=1,tblMovement[[#This Row],[Contained_oz]],0)</f>
        <v/>
      </c>
    </row>
    <row r="641">
      <c r="A641" s="54" t="n"/>
      <c r="B641" s="61" t="n"/>
      <c r="C641" s="61" t="n"/>
      <c r="D641" s="61" t="n"/>
      <c r="E641" s="61" t="n"/>
      <c r="F641" s="55" t="n"/>
      <c r="G641" s="56" t="n"/>
      <c r="H641" s="55" t="n"/>
      <c r="I641" s="62" t="n"/>
      <c r="J641" s="58" t="n"/>
      <c r="K641" s="63">
        <f>IF(tblMovement[[#This Row],[Source]]="","",IFERROR(INDEX(tblSources[Type],MATCH(tblMovement[[#This Row],[Source]],tblSources[Source],0)),"?"))</f>
        <v/>
      </c>
      <c r="L641" s="63">
        <f>IF(tblMovement[[#This Row],[Destination]]="","",IFERROR(INDEX(tblDestinations[Type],MATCH(tblMovement[[#This Row],[Destination]],tblDestinations[Destination],0)),"?"))</f>
        <v/>
      </c>
      <c r="M641" s="64">
        <f>IF(tblMovement[[#This Row],[Material]]="","",IF(LEFT(tblMovement[[#This Row],[Material]],3)="Ore",1,0))</f>
        <v/>
      </c>
      <c r="N641" s="59">
        <f>IF(OR(tblMovement[[#This Row],[Tonnes_t]]="",tblMovement[[#This Row],[Grade_gpt]]=""),0,tblMovement[[#This Row],[Tonnes_t]]*tblMovement[[#This Row],[Grade_gpt]]/cfg_TroyOz)</f>
        <v/>
      </c>
      <c r="O641" s="59">
        <f>IF(tblMovement[[#This Row],[Is_Ore]]=1,tblMovement[[#This Row],[Contained_oz]],0)</f>
        <v/>
      </c>
    </row>
    <row r="642">
      <c r="A642" s="54" t="n"/>
      <c r="B642" s="61" t="n"/>
      <c r="C642" s="61" t="n"/>
      <c r="D642" s="61" t="n"/>
      <c r="E642" s="61" t="n"/>
      <c r="F642" s="55" t="n"/>
      <c r="G642" s="56" t="n"/>
      <c r="H642" s="55" t="n"/>
      <c r="I642" s="62" t="n"/>
      <c r="J642" s="58" t="n"/>
      <c r="K642" s="63">
        <f>IF(tblMovement[[#This Row],[Source]]="","",IFERROR(INDEX(tblSources[Type],MATCH(tblMovement[[#This Row],[Source]],tblSources[Source],0)),"?"))</f>
        <v/>
      </c>
      <c r="L642" s="63">
        <f>IF(tblMovement[[#This Row],[Destination]]="","",IFERROR(INDEX(tblDestinations[Type],MATCH(tblMovement[[#This Row],[Destination]],tblDestinations[Destination],0)),"?"))</f>
        <v/>
      </c>
      <c r="M642" s="64">
        <f>IF(tblMovement[[#This Row],[Material]]="","",IF(LEFT(tblMovement[[#This Row],[Material]],3)="Ore",1,0))</f>
        <v/>
      </c>
      <c r="N642" s="59">
        <f>IF(OR(tblMovement[[#This Row],[Tonnes_t]]="",tblMovement[[#This Row],[Grade_gpt]]=""),0,tblMovement[[#This Row],[Tonnes_t]]*tblMovement[[#This Row],[Grade_gpt]]/cfg_TroyOz)</f>
        <v/>
      </c>
      <c r="O642" s="59">
        <f>IF(tblMovement[[#This Row],[Is_Ore]]=1,tblMovement[[#This Row],[Contained_oz]],0)</f>
        <v/>
      </c>
    </row>
    <row r="643">
      <c r="A643" s="54" t="n"/>
      <c r="B643" s="61" t="n"/>
      <c r="C643" s="61" t="n"/>
      <c r="D643" s="61" t="n"/>
      <c r="E643" s="61" t="n"/>
      <c r="F643" s="55" t="n"/>
      <c r="G643" s="56" t="n"/>
      <c r="H643" s="55" t="n"/>
      <c r="I643" s="62" t="n"/>
      <c r="J643" s="58" t="n"/>
      <c r="K643" s="63">
        <f>IF(tblMovement[[#This Row],[Source]]="","",IFERROR(INDEX(tblSources[Type],MATCH(tblMovement[[#This Row],[Source]],tblSources[Source],0)),"?"))</f>
        <v/>
      </c>
      <c r="L643" s="63">
        <f>IF(tblMovement[[#This Row],[Destination]]="","",IFERROR(INDEX(tblDestinations[Type],MATCH(tblMovement[[#This Row],[Destination]],tblDestinations[Destination],0)),"?"))</f>
        <v/>
      </c>
      <c r="M643" s="64">
        <f>IF(tblMovement[[#This Row],[Material]]="","",IF(LEFT(tblMovement[[#This Row],[Material]],3)="Ore",1,0))</f>
        <v/>
      </c>
      <c r="N643" s="59">
        <f>IF(OR(tblMovement[[#This Row],[Tonnes_t]]="",tblMovement[[#This Row],[Grade_gpt]]=""),0,tblMovement[[#This Row],[Tonnes_t]]*tblMovement[[#This Row],[Grade_gpt]]/cfg_TroyOz)</f>
        <v/>
      </c>
      <c r="O643" s="59">
        <f>IF(tblMovement[[#This Row],[Is_Ore]]=1,tblMovement[[#This Row],[Contained_oz]],0)</f>
        <v/>
      </c>
    </row>
    <row r="644">
      <c r="A644" s="54" t="n"/>
      <c r="B644" s="61" t="n"/>
      <c r="C644" s="61" t="n"/>
      <c r="D644" s="61" t="n"/>
      <c r="E644" s="61" t="n"/>
      <c r="F644" s="55" t="n"/>
      <c r="G644" s="56" t="n"/>
      <c r="H644" s="55" t="n"/>
      <c r="I644" s="62" t="n"/>
      <c r="J644" s="58" t="n"/>
      <c r="K644" s="63">
        <f>IF(tblMovement[[#This Row],[Source]]="","",IFERROR(INDEX(tblSources[Type],MATCH(tblMovement[[#This Row],[Source]],tblSources[Source],0)),"?"))</f>
        <v/>
      </c>
      <c r="L644" s="63">
        <f>IF(tblMovement[[#This Row],[Destination]]="","",IFERROR(INDEX(tblDestinations[Type],MATCH(tblMovement[[#This Row],[Destination]],tblDestinations[Destination],0)),"?"))</f>
        <v/>
      </c>
      <c r="M644" s="64">
        <f>IF(tblMovement[[#This Row],[Material]]="","",IF(LEFT(tblMovement[[#This Row],[Material]],3)="Ore",1,0))</f>
        <v/>
      </c>
      <c r="N644" s="59">
        <f>IF(OR(tblMovement[[#This Row],[Tonnes_t]]="",tblMovement[[#This Row],[Grade_gpt]]=""),0,tblMovement[[#This Row],[Tonnes_t]]*tblMovement[[#This Row],[Grade_gpt]]/cfg_TroyOz)</f>
        <v/>
      </c>
      <c r="O644" s="59">
        <f>IF(tblMovement[[#This Row],[Is_Ore]]=1,tblMovement[[#This Row],[Contained_oz]],0)</f>
        <v/>
      </c>
    </row>
    <row r="645">
      <c r="A645" s="54" t="n"/>
      <c r="B645" s="61" t="n"/>
      <c r="C645" s="61" t="n"/>
      <c r="D645" s="61" t="n"/>
      <c r="E645" s="61" t="n"/>
      <c r="F645" s="55" t="n"/>
      <c r="G645" s="56" t="n"/>
      <c r="H645" s="55" t="n"/>
      <c r="I645" s="62" t="n"/>
      <c r="J645" s="58" t="n"/>
      <c r="K645" s="63">
        <f>IF(tblMovement[[#This Row],[Source]]="","",IFERROR(INDEX(tblSources[Type],MATCH(tblMovement[[#This Row],[Source]],tblSources[Source],0)),"?"))</f>
        <v/>
      </c>
      <c r="L645" s="63">
        <f>IF(tblMovement[[#This Row],[Destination]]="","",IFERROR(INDEX(tblDestinations[Type],MATCH(tblMovement[[#This Row],[Destination]],tblDestinations[Destination],0)),"?"))</f>
        <v/>
      </c>
      <c r="M645" s="64">
        <f>IF(tblMovement[[#This Row],[Material]]="","",IF(LEFT(tblMovement[[#This Row],[Material]],3)="Ore",1,0))</f>
        <v/>
      </c>
      <c r="N645" s="59">
        <f>IF(OR(tblMovement[[#This Row],[Tonnes_t]]="",tblMovement[[#This Row],[Grade_gpt]]=""),0,tblMovement[[#This Row],[Tonnes_t]]*tblMovement[[#This Row],[Grade_gpt]]/cfg_TroyOz)</f>
        <v/>
      </c>
      <c r="O645" s="59">
        <f>IF(tblMovement[[#This Row],[Is_Ore]]=1,tblMovement[[#This Row],[Contained_oz]],0)</f>
        <v/>
      </c>
    </row>
    <row r="646">
      <c r="A646" s="54" t="n"/>
      <c r="B646" s="61" t="n"/>
      <c r="C646" s="61" t="n"/>
      <c r="D646" s="61" t="n"/>
      <c r="E646" s="61" t="n"/>
      <c r="F646" s="55" t="n"/>
      <c r="G646" s="56" t="n"/>
      <c r="H646" s="55" t="n"/>
      <c r="I646" s="62" t="n"/>
      <c r="J646" s="58" t="n"/>
      <c r="K646" s="63">
        <f>IF(tblMovement[[#This Row],[Source]]="","",IFERROR(INDEX(tblSources[Type],MATCH(tblMovement[[#This Row],[Source]],tblSources[Source],0)),"?"))</f>
        <v/>
      </c>
      <c r="L646" s="63">
        <f>IF(tblMovement[[#This Row],[Destination]]="","",IFERROR(INDEX(tblDestinations[Type],MATCH(tblMovement[[#This Row],[Destination]],tblDestinations[Destination],0)),"?"))</f>
        <v/>
      </c>
      <c r="M646" s="64">
        <f>IF(tblMovement[[#This Row],[Material]]="","",IF(LEFT(tblMovement[[#This Row],[Material]],3)="Ore",1,0))</f>
        <v/>
      </c>
      <c r="N646" s="59">
        <f>IF(OR(tblMovement[[#This Row],[Tonnes_t]]="",tblMovement[[#This Row],[Grade_gpt]]=""),0,tblMovement[[#This Row],[Tonnes_t]]*tblMovement[[#This Row],[Grade_gpt]]/cfg_TroyOz)</f>
        <v/>
      </c>
      <c r="O646" s="59">
        <f>IF(tblMovement[[#This Row],[Is_Ore]]=1,tblMovement[[#This Row],[Contained_oz]],0)</f>
        <v/>
      </c>
    </row>
    <row r="647">
      <c r="A647" s="54" t="n"/>
      <c r="B647" s="61" t="n"/>
      <c r="C647" s="61" t="n"/>
      <c r="D647" s="61" t="n"/>
      <c r="E647" s="61" t="n"/>
      <c r="F647" s="55" t="n"/>
      <c r="G647" s="56" t="n"/>
      <c r="H647" s="55" t="n"/>
      <c r="I647" s="62" t="n"/>
      <c r="J647" s="58" t="n"/>
      <c r="K647" s="63">
        <f>IF(tblMovement[[#This Row],[Source]]="","",IFERROR(INDEX(tblSources[Type],MATCH(tblMovement[[#This Row],[Source]],tblSources[Source],0)),"?"))</f>
        <v/>
      </c>
      <c r="L647" s="63">
        <f>IF(tblMovement[[#This Row],[Destination]]="","",IFERROR(INDEX(tblDestinations[Type],MATCH(tblMovement[[#This Row],[Destination]],tblDestinations[Destination],0)),"?"))</f>
        <v/>
      </c>
      <c r="M647" s="64">
        <f>IF(tblMovement[[#This Row],[Material]]="","",IF(LEFT(tblMovement[[#This Row],[Material]],3)="Ore",1,0))</f>
        <v/>
      </c>
      <c r="N647" s="59">
        <f>IF(OR(tblMovement[[#This Row],[Tonnes_t]]="",tblMovement[[#This Row],[Grade_gpt]]=""),0,tblMovement[[#This Row],[Tonnes_t]]*tblMovement[[#This Row],[Grade_gpt]]/cfg_TroyOz)</f>
        <v/>
      </c>
      <c r="O647" s="59">
        <f>IF(tblMovement[[#This Row],[Is_Ore]]=1,tblMovement[[#This Row],[Contained_oz]],0)</f>
        <v/>
      </c>
    </row>
    <row r="648">
      <c r="A648" s="54" t="n"/>
      <c r="B648" s="61" t="n"/>
      <c r="C648" s="61" t="n"/>
      <c r="D648" s="61" t="n"/>
      <c r="E648" s="61" t="n"/>
      <c r="F648" s="55" t="n"/>
      <c r="G648" s="56" t="n"/>
      <c r="H648" s="55" t="n"/>
      <c r="I648" s="62" t="n"/>
      <c r="J648" s="58" t="n"/>
      <c r="K648" s="63">
        <f>IF(tblMovement[[#This Row],[Source]]="","",IFERROR(INDEX(tblSources[Type],MATCH(tblMovement[[#This Row],[Source]],tblSources[Source],0)),"?"))</f>
        <v/>
      </c>
      <c r="L648" s="63">
        <f>IF(tblMovement[[#This Row],[Destination]]="","",IFERROR(INDEX(tblDestinations[Type],MATCH(tblMovement[[#This Row],[Destination]],tblDestinations[Destination],0)),"?"))</f>
        <v/>
      </c>
      <c r="M648" s="64">
        <f>IF(tblMovement[[#This Row],[Material]]="","",IF(LEFT(tblMovement[[#This Row],[Material]],3)="Ore",1,0))</f>
        <v/>
      </c>
      <c r="N648" s="59">
        <f>IF(OR(tblMovement[[#This Row],[Tonnes_t]]="",tblMovement[[#This Row],[Grade_gpt]]=""),0,tblMovement[[#This Row],[Tonnes_t]]*tblMovement[[#This Row],[Grade_gpt]]/cfg_TroyOz)</f>
        <v/>
      </c>
      <c r="O648" s="59">
        <f>IF(tblMovement[[#This Row],[Is_Ore]]=1,tblMovement[[#This Row],[Contained_oz]],0)</f>
        <v/>
      </c>
    </row>
    <row r="649">
      <c r="A649" s="54" t="n"/>
      <c r="B649" s="61" t="n"/>
      <c r="C649" s="61" t="n"/>
      <c r="D649" s="61" t="n"/>
      <c r="E649" s="61" t="n"/>
      <c r="F649" s="55" t="n"/>
      <c r="G649" s="56" t="n"/>
      <c r="H649" s="55" t="n"/>
      <c r="I649" s="62" t="n"/>
      <c r="J649" s="58" t="n"/>
      <c r="K649" s="63">
        <f>IF(tblMovement[[#This Row],[Source]]="","",IFERROR(INDEX(tblSources[Type],MATCH(tblMovement[[#This Row],[Source]],tblSources[Source],0)),"?"))</f>
        <v/>
      </c>
      <c r="L649" s="63">
        <f>IF(tblMovement[[#This Row],[Destination]]="","",IFERROR(INDEX(tblDestinations[Type],MATCH(tblMovement[[#This Row],[Destination]],tblDestinations[Destination],0)),"?"))</f>
        <v/>
      </c>
      <c r="M649" s="64">
        <f>IF(tblMovement[[#This Row],[Material]]="","",IF(LEFT(tblMovement[[#This Row],[Material]],3)="Ore",1,0))</f>
        <v/>
      </c>
      <c r="N649" s="59">
        <f>IF(OR(tblMovement[[#This Row],[Tonnes_t]]="",tblMovement[[#This Row],[Grade_gpt]]=""),0,tblMovement[[#This Row],[Tonnes_t]]*tblMovement[[#This Row],[Grade_gpt]]/cfg_TroyOz)</f>
        <v/>
      </c>
      <c r="O649" s="59">
        <f>IF(tblMovement[[#This Row],[Is_Ore]]=1,tblMovement[[#This Row],[Contained_oz]],0)</f>
        <v/>
      </c>
    </row>
    <row r="650">
      <c r="A650" s="54" t="n"/>
      <c r="B650" s="61" t="n"/>
      <c r="C650" s="61" t="n"/>
      <c r="D650" s="61" t="n"/>
      <c r="E650" s="61" t="n"/>
      <c r="F650" s="55" t="n"/>
      <c r="G650" s="56" t="n"/>
      <c r="H650" s="55" t="n"/>
      <c r="I650" s="62" t="n"/>
      <c r="J650" s="58" t="n"/>
      <c r="K650" s="63">
        <f>IF(tblMovement[[#This Row],[Source]]="","",IFERROR(INDEX(tblSources[Type],MATCH(tblMovement[[#This Row],[Source]],tblSources[Source],0)),"?"))</f>
        <v/>
      </c>
      <c r="L650" s="63">
        <f>IF(tblMovement[[#This Row],[Destination]]="","",IFERROR(INDEX(tblDestinations[Type],MATCH(tblMovement[[#This Row],[Destination]],tblDestinations[Destination],0)),"?"))</f>
        <v/>
      </c>
      <c r="M650" s="64">
        <f>IF(tblMovement[[#This Row],[Material]]="","",IF(LEFT(tblMovement[[#This Row],[Material]],3)="Ore",1,0))</f>
        <v/>
      </c>
      <c r="N650" s="59">
        <f>IF(OR(tblMovement[[#This Row],[Tonnes_t]]="",tblMovement[[#This Row],[Grade_gpt]]=""),0,tblMovement[[#This Row],[Tonnes_t]]*tblMovement[[#This Row],[Grade_gpt]]/cfg_TroyOz)</f>
        <v/>
      </c>
      <c r="O650" s="59">
        <f>IF(tblMovement[[#This Row],[Is_Ore]]=1,tblMovement[[#This Row],[Contained_oz]],0)</f>
        <v/>
      </c>
    </row>
    <row r="651">
      <c r="A651" s="54" t="n"/>
      <c r="B651" s="61" t="n"/>
      <c r="C651" s="61" t="n"/>
      <c r="D651" s="61" t="n"/>
      <c r="E651" s="61" t="n"/>
      <c r="F651" s="55" t="n"/>
      <c r="G651" s="56" t="n"/>
      <c r="H651" s="55" t="n"/>
      <c r="I651" s="62" t="n"/>
      <c r="J651" s="58" t="n"/>
      <c r="K651" s="63">
        <f>IF(tblMovement[[#This Row],[Source]]="","",IFERROR(INDEX(tblSources[Type],MATCH(tblMovement[[#This Row],[Source]],tblSources[Source],0)),"?"))</f>
        <v/>
      </c>
      <c r="L651" s="63">
        <f>IF(tblMovement[[#This Row],[Destination]]="","",IFERROR(INDEX(tblDestinations[Type],MATCH(tblMovement[[#This Row],[Destination]],tblDestinations[Destination],0)),"?"))</f>
        <v/>
      </c>
      <c r="M651" s="64">
        <f>IF(tblMovement[[#This Row],[Material]]="","",IF(LEFT(tblMovement[[#This Row],[Material]],3)="Ore",1,0))</f>
        <v/>
      </c>
      <c r="N651" s="59">
        <f>IF(OR(tblMovement[[#This Row],[Tonnes_t]]="",tblMovement[[#This Row],[Grade_gpt]]=""),0,tblMovement[[#This Row],[Tonnes_t]]*tblMovement[[#This Row],[Grade_gpt]]/cfg_TroyOz)</f>
        <v/>
      </c>
      <c r="O651" s="59">
        <f>IF(tblMovement[[#This Row],[Is_Ore]]=1,tblMovement[[#This Row],[Contained_oz]],0)</f>
        <v/>
      </c>
    </row>
    <row r="652">
      <c r="A652" s="54" t="n"/>
      <c r="B652" s="61" t="n"/>
      <c r="C652" s="61" t="n"/>
      <c r="D652" s="61" t="n"/>
      <c r="E652" s="61" t="n"/>
      <c r="F652" s="55" t="n"/>
      <c r="G652" s="56" t="n"/>
      <c r="H652" s="55" t="n"/>
      <c r="I652" s="62" t="n"/>
      <c r="J652" s="58" t="n"/>
      <c r="K652" s="63">
        <f>IF(tblMovement[[#This Row],[Source]]="","",IFERROR(INDEX(tblSources[Type],MATCH(tblMovement[[#This Row],[Source]],tblSources[Source],0)),"?"))</f>
        <v/>
      </c>
      <c r="L652" s="63">
        <f>IF(tblMovement[[#This Row],[Destination]]="","",IFERROR(INDEX(tblDestinations[Type],MATCH(tblMovement[[#This Row],[Destination]],tblDestinations[Destination],0)),"?"))</f>
        <v/>
      </c>
      <c r="M652" s="64">
        <f>IF(tblMovement[[#This Row],[Material]]="","",IF(LEFT(tblMovement[[#This Row],[Material]],3)="Ore",1,0))</f>
        <v/>
      </c>
      <c r="N652" s="59">
        <f>IF(OR(tblMovement[[#This Row],[Tonnes_t]]="",tblMovement[[#This Row],[Grade_gpt]]=""),0,tblMovement[[#This Row],[Tonnes_t]]*tblMovement[[#This Row],[Grade_gpt]]/cfg_TroyOz)</f>
        <v/>
      </c>
      <c r="O652" s="59">
        <f>IF(tblMovement[[#This Row],[Is_Ore]]=1,tblMovement[[#This Row],[Contained_oz]],0)</f>
        <v/>
      </c>
    </row>
    <row r="653">
      <c r="A653" s="54" t="n"/>
      <c r="B653" s="61" t="n"/>
      <c r="C653" s="61" t="n"/>
      <c r="D653" s="61" t="n"/>
      <c r="E653" s="61" t="n"/>
      <c r="F653" s="55" t="n"/>
      <c r="G653" s="56" t="n"/>
      <c r="H653" s="55" t="n"/>
      <c r="I653" s="62" t="n"/>
      <c r="J653" s="58" t="n"/>
      <c r="K653" s="63">
        <f>IF(tblMovement[[#This Row],[Source]]="","",IFERROR(INDEX(tblSources[Type],MATCH(tblMovement[[#This Row],[Source]],tblSources[Source],0)),"?"))</f>
        <v/>
      </c>
      <c r="L653" s="63">
        <f>IF(tblMovement[[#This Row],[Destination]]="","",IFERROR(INDEX(tblDestinations[Type],MATCH(tblMovement[[#This Row],[Destination]],tblDestinations[Destination],0)),"?"))</f>
        <v/>
      </c>
      <c r="M653" s="64">
        <f>IF(tblMovement[[#This Row],[Material]]="","",IF(LEFT(tblMovement[[#This Row],[Material]],3)="Ore",1,0))</f>
        <v/>
      </c>
      <c r="N653" s="59">
        <f>IF(OR(tblMovement[[#This Row],[Tonnes_t]]="",tblMovement[[#This Row],[Grade_gpt]]=""),0,tblMovement[[#This Row],[Tonnes_t]]*tblMovement[[#This Row],[Grade_gpt]]/cfg_TroyOz)</f>
        <v/>
      </c>
      <c r="O653" s="59">
        <f>IF(tblMovement[[#This Row],[Is_Ore]]=1,tblMovement[[#This Row],[Contained_oz]],0)</f>
        <v/>
      </c>
    </row>
    <row r="654">
      <c r="A654" s="54" t="n"/>
      <c r="B654" s="61" t="n"/>
      <c r="C654" s="61" t="n"/>
      <c r="D654" s="61" t="n"/>
      <c r="E654" s="61" t="n"/>
      <c r="F654" s="55" t="n"/>
      <c r="G654" s="56" t="n"/>
      <c r="H654" s="55" t="n"/>
      <c r="I654" s="62" t="n"/>
      <c r="J654" s="58" t="n"/>
      <c r="K654" s="63">
        <f>IF(tblMovement[[#This Row],[Source]]="","",IFERROR(INDEX(tblSources[Type],MATCH(tblMovement[[#This Row],[Source]],tblSources[Source],0)),"?"))</f>
        <v/>
      </c>
      <c r="L654" s="63">
        <f>IF(tblMovement[[#This Row],[Destination]]="","",IFERROR(INDEX(tblDestinations[Type],MATCH(tblMovement[[#This Row],[Destination]],tblDestinations[Destination],0)),"?"))</f>
        <v/>
      </c>
      <c r="M654" s="64">
        <f>IF(tblMovement[[#This Row],[Material]]="","",IF(LEFT(tblMovement[[#This Row],[Material]],3)="Ore",1,0))</f>
        <v/>
      </c>
      <c r="N654" s="59">
        <f>IF(OR(tblMovement[[#This Row],[Tonnes_t]]="",tblMovement[[#This Row],[Grade_gpt]]=""),0,tblMovement[[#This Row],[Tonnes_t]]*tblMovement[[#This Row],[Grade_gpt]]/cfg_TroyOz)</f>
        <v/>
      </c>
      <c r="O654" s="59">
        <f>IF(tblMovement[[#This Row],[Is_Ore]]=1,tblMovement[[#This Row],[Contained_oz]],0)</f>
        <v/>
      </c>
    </row>
    <row r="655">
      <c r="A655" s="54" t="n"/>
      <c r="B655" s="61" t="n"/>
      <c r="C655" s="61" t="n"/>
      <c r="D655" s="61" t="n"/>
      <c r="E655" s="61" t="n"/>
      <c r="F655" s="55" t="n"/>
      <c r="G655" s="56" t="n"/>
      <c r="H655" s="55" t="n"/>
      <c r="I655" s="62" t="n"/>
      <c r="J655" s="58" t="n"/>
      <c r="K655" s="63">
        <f>IF(tblMovement[[#This Row],[Source]]="","",IFERROR(INDEX(tblSources[Type],MATCH(tblMovement[[#This Row],[Source]],tblSources[Source],0)),"?"))</f>
        <v/>
      </c>
      <c r="L655" s="63">
        <f>IF(tblMovement[[#This Row],[Destination]]="","",IFERROR(INDEX(tblDestinations[Type],MATCH(tblMovement[[#This Row],[Destination]],tblDestinations[Destination],0)),"?"))</f>
        <v/>
      </c>
      <c r="M655" s="64">
        <f>IF(tblMovement[[#This Row],[Material]]="","",IF(LEFT(tblMovement[[#This Row],[Material]],3)="Ore",1,0))</f>
        <v/>
      </c>
      <c r="N655" s="59">
        <f>IF(OR(tblMovement[[#This Row],[Tonnes_t]]="",tblMovement[[#This Row],[Grade_gpt]]=""),0,tblMovement[[#This Row],[Tonnes_t]]*tblMovement[[#This Row],[Grade_gpt]]/cfg_TroyOz)</f>
        <v/>
      </c>
      <c r="O655" s="59">
        <f>IF(tblMovement[[#This Row],[Is_Ore]]=1,tblMovement[[#This Row],[Contained_oz]],0)</f>
        <v/>
      </c>
    </row>
    <row r="656">
      <c r="A656" s="54" t="n"/>
      <c r="B656" s="61" t="n"/>
      <c r="C656" s="61" t="n"/>
      <c r="D656" s="61" t="n"/>
      <c r="E656" s="61" t="n"/>
      <c r="F656" s="55" t="n"/>
      <c r="G656" s="56" t="n"/>
      <c r="H656" s="55" t="n"/>
      <c r="I656" s="62" t="n"/>
      <c r="J656" s="58" t="n"/>
      <c r="K656" s="63">
        <f>IF(tblMovement[[#This Row],[Source]]="","",IFERROR(INDEX(tblSources[Type],MATCH(tblMovement[[#This Row],[Source]],tblSources[Source],0)),"?"))</f>
        <v/>
      </c>
      <c r="L656" s="63">
        <f>IF(tblMovement[[#This Row],[Destination]]="","",IFERROR(INDEX(tblDestinations[Type],MATCH(tblMovement[[#This Row],[Destination]],tblDestinations[Destination],0)),"?"))</f>
        <v/>
      </c>
      <c r="M656" s="64">
        <f>IF(tblMovement[[#This Row],[Material]]="","",IF(LEFT(tblMovement[[#This Row],[Material]],3)="Ore",1,0))</f>
        <v/>
      </c>
      <c r="N656" s="59">
        <f>IF(OR(tblMovement[[#This Row],[Tonnes_t]]="",tblMovement[[#This Row],[Grade_gpt]]=""),0,tblMovement[[#This Row],[Tonnes_t]]*tblMovement[[#This Row],[Grade_gpt]]/cfg_TroyOz)</f>
        <v/>
      </c>
      <c r="O656" s="59">
        <f>IF(tblMovement[[#This Row],[Is_Ore]]=1,tblMovement[[#This Row],[Contained_oz]],0)</f>
        <v/>
      </c>
    </row>
    <row r="657">
      <c r="A657" s="54" t="n"/>
      <c r="B657" s="61" t="n"/>
      <c r="C657" s="61" t="n"/>
      <c r="D657" s="61" t="n"/>
      <c r="E657" s="61" t="n"/>
      <c r="F657" s="55" t="n"/>
      <c r="G657" s="56" t="n"/>
      <c r="H657" s="55" t="n"/>
      <c r="I657" s="62" t="n"/>
      <c r="J657" s="58" t="n"/>
      <c r="K657" s="63">
        <f>IF(tblMovement[[#This Row],[Source]]="","",IFERROR(INDEX(tblSources[Type],MATCH(tblMovement[[#This Row],[Source]],tblSources[Source],0)),"?"))</f>
        <v/>
      </c>
      <c r="L657" s="63">
        <f>IF(tblMovement[[#This Row],[Destination]]="","",IFERROR(INDEX(tblDestinations[Type],MATCH(tblMovement[[#This Row],[Destination]],tblDestinations[Destination],0)),"?"))</f>
        <v/>
      </c>
      <c r="M657" s="64">
        <f>IF(tblMovement[[#This Row],[Material]]="","",IF(LEFT(tblMovement[[#This Row],[Material]],3)="Ore",1,0))</f>
        <v/>
      </c>
      <c r="N657" s="59">
        <f>IF(OR(tblMovement[[#This Row],[Tonnes_t]]="",tblMovement[[#This Row],[Grade_gpt]]=""),0,tblMovement[[#This Row],[Tonnes_t]]*tblMovement[[#This Row],[Grade_gpt]]/cfg_TroyOz)</f>
        <v/>
      </c>
      <c r="O657" s="59">
        <f>IF(tblMovement[[#This Row],[Is_Ore]]=1,tblMovement[[#This Row],[Contained_oz]],0)</f>
        <v/>
      </c>
    </row>
    <row r="658">
      <c r="A658" s="54" t="n"/>
      <c r="B658" s="61" t="n"/>
      <c r="C658" s="61" t="n"/>
      <c r="D658" s="61" t="n"/>
      <c r="E658" s="61" t="n"/>
      <c r="F658" s="55" t="n"/>
      <c r="G658" s="56" t="n"/>
      <c r="H658" s="55" t="n"/>
      <c r="I658" s="62" t="n"/>
      <c r="J658" s="58" t="n"/>
      <c r="K658" s="63">
        <f>IF(tblMovement[[#This Row],[Source]]="","",IFERROR(INDEX(tblSources[Type],MATCH(tblMovement[[#This Row],[Source]],tblSources[Source],0)),"?"))</f>
        <v/>
      </c>
      <c r="L658" s="63">
        <f>IF(tblMovement[[#This Row],[Destination]]="","",IFERROR(INDEX(tblDestinations[Type],MATCH(tblMovement[[#This Row],[Destination]],tblDestinations[Destination],0)),"?"))</f>
        <v/>
      </c>
      <c r="M658" s="64">
        <f>IF(tblMovement[[#This Row],[Material]]="","",IF(LEFT(tblMovement[[#This Row],[Material]],3)="Ore",1,0))</f>
        <v/>
      </c>
      <c r="N658" s="59">
        <f>IF(OR(tblMovement[[#This Row],[Tonnes_t]]="",tblMovement[[#This Row],[Grade_gpt]]=""),0,tblMovement[[#This Row],[Tonnes_t]]*tblMovement[[#This Row],[Grade_gpt]]/cfg_TroyOz)</f>
        <v/>
      </c>
      <c r="O658" s="59">
        <f>IF(tblMovement[[#This Row],[Is_Ore]]=1,tblMovement[[#This Row],[Contained_oz]],0)</f>
        <v/>
      </c>
    </row>
    <row r="659">
      <c r="A659" s="54" t="n"/>
      <c r="B659" s="61" t="n"/>
      <c r="C659" s="61" t="n"/>
      <c r="D659" s="61" t="n"/>
      <c r="E659" s="61" t="n"/>
      <c r="F659" s="55" t="n"/>
      <c r="G659" s="56" t="n"/>
      <c r="H659" s="55" t="n"/>
      <c r="I659" s="62" t="n"/>
      <c r="J659" s="58" t="n"/>
      <c r="K659" s="63">
        <f>IF(tblMovement[[#This Row],[Source]]="","",IFERROR(INDEX(tblSources[Type],MATCH(tblMovement[[#This Row],[Source]],tblSources[Source],0)),"?"))</f>
        <v/>
      </c>
      <c r="L659" s="63">
        <f>IF(tblMovement[[#This Row],[Destination]]="","",IFERROR(INDEX(tblDestinations[Type],MATCH(tblMovement[[#This Row],[Destination]],tblDestinations[Destination],0)),"?"))</f>
        <v/>
      </c>
      <c r="M659" s="64">
        <f>IF(tblMovement[[#This Row],[Material]]="","",IF(LEFT(tblMovement[[#This Row],[Material]],3)="Ore",1,0))</f>
        <v/>
      </c>
      <c r="N659" s="59">
        <f>IF(OR(tblMovement[[#This Row],[Tonnes_t]]="",tblMovement[[#This Row],[Grade_gpt]]=""),0,tblMovement[[#This Row],[Tonnes_t]]*tblMovement[[#This Row],[Grade_gpt]]/cfg_TroyOz)</f>
        <v/>
      </c>
      <c r="O659" s="59">
        <f>IF(tblMovement[[#This Row],[Is_Ore]]=1,tblMovement[[#This Row],[Contained_oz]],0)</f>
        <v/>
      </c>
    </row>
    <row r="660">
      <c r="A660" s="54" t="n"/>
      <c r="B660" s="61" t="n"/>
      <c r="C660" s="61" t="n"/>
      <c r="D660" s="61" t="n"/>
      <c r="E660" s="61" t="n"/>
      <c r="F660" s="55" t="n"/>
      <c r="G660" s="56" t="n"/>
      <c r="H660" s="55" t="n"/>
      <c r="I660" s="62" t="n"/>
      <c r="J660" s="58" t="n"/>
      <c r="K660" s="63">
        <f>IF(tblMovement[[#This Row],[Source]]="","",IFERROR(INDEX(tblSources[Type],MATCH(tblMovement[[#This Row],[Source]],tblSources[Source],0)),"?"))</f>
        <v/>
      </c>
      <c r="L660" s="63">
        <f>IF(tblMovement[[#This Row],[Destination]]="","",IFERROR(INDEX(tblDestinations[Type],MATCH(tblMovement[[#This Row],[Destination]],tblDestinations[Destination],0)),"?"))</f>
        <v/>
      </c>
      <c r="M660" s="64">
        <f>IF(tblMovement[[#This Row],[Material]]="","",IF(LEFT(tblMovement[[#This Row],[Material]],3)="Ore",1,0))</f>
        <v/>
      </c>
      <c r="N660" s="59">
        <f>IF(OR(tblMovement[[#This Row],[Tonnes_t]]="",tblMovement[[#This Row],[Grade_gpt]]=""),0,tblMovement[[#This Row],[Tonnes_t]]*tblMovement[[#This Row],[Grade_gpt]]/cfg_TroyOz)</f>
        <v/>
      </c>
      <c r="O660" s="59">
        <f>IF(tblMovement[[#This Row],[Is_Ore]]=1,tblMovement[[#This Row],[Contained_oz]],0)</f>
        <v/>
      </c>
    </row>
    <row r="661">
      <c r="A661" s="54" t="n"/>
      <c r="B661" s="61" t="n"/>
      <c r="C661" s="61" t="n"/>
      <c r="D661" s="61" t="n"/>
      <c r="E661" s="61" t="n"/>
      <c r="F661" s="55" t="n"/>
      <c r="G661" s="56" t="n"/>
      <c r="H661" s="55" t="n"/>
      <c r="I661" s="62" t="n"/>
      <c r="J661" s="58" t="n"/>
      <c r="K661" s="63">
        <f>IF(tblMovement[[#This Row],[Source]]="","",IFERROR(INDEX(tblSources[Type],MATCH(tblMovement[[#This Row],[Source]],tblSources[Source],0)),"?"))</f>
        <v/>
      </c>
      <c r="L661" s="63">
        <f>IF(tblMovement[[#This Row],[Destination]]="","",IFERROR(INDEX(tblDestinations[Type],MATCH(tblMovement[[#This Row],[Destination]],tblDestinations[Destination],0)),"?"))</f>
        <v/>
      </c>
      <c r="M661" s="64">
        <f>IF(tblMovement[[#This Row],[Material]]="","",IF(LEFT(tblMovement[[#This Row],[Material]],3)="Ore",1,0))</f>
        <v/>
      </c>
      <c r="N661" s="59">
        <f>IF(OR(tblMovement[[#This Row],[Tonnes_t]]="",tblMovement[[#This Row],[Grade_gpt]]=""),0,tblMovement[[#This Row],[Tonnes_t]]*tblMovement[[#This Row],[Grade_gpt]]/cfg_TroyOz)</f>
        <v/>
      </c>
      <c r="O661" s="59">
        <f>IF(tblMovement[[#This Row],[Is_Ore]]=1,tblMovement[[#This Row],[Contained_oz]],0)</f>
        <v/>
      </c>
    </row>
    <row r="662">
      <c r="A662" s="54" t="n"/>
      <c r="B662" s="61" t="n"/>
      <c r="C662" s="61" t="n"/>
      <c r="D662" s="61" t="n"/>
      <c r="E662" s="61" t="n"/>
      <c r="F662" s="55" t="n"/>
      <c r="G662" s="56" t="n"/>
      <c r="H662" s="55" t="n"/>
      <c r="I662" s="62" t="n"/>
      <c r="J662" s="58" t="n"/>
      <c r="K662" s="63">
        <f>IF(tblMovement[[#This Row],[Source]]="","",IFERROR(INDEX(tblSources[Type],MATCH(tblMovement[[#This Row],[Source]],tblSources[Source],0)),"?"))</f>
        <v/>
      </c>
      <c r="L662" s="63">
        <f>IF(tblMovement[[#This Row],[Destination]]="","",IFERROR(INDEX(tblDestinations[Type],MATCH(tblMovement[[#This Row],[Destination]],tblDestinations[Destination],0)),"?"))</f>
        <v/>
      </c>
      <c r="M662" s="64">
        <f>IF(tblMovement[[#This Row],[Material]]="","",IF(LEFT(tblMovement[[#This Row],[Material]],3)="Ore",1,0))</f>
        <v/>
      </c>
      <c r="N662" s="59">
        <f>IF(OR(tblMovement[[#This Row],[Tonnes_t]]="",tblMovement[[#This Row],[Grade_gpt]]=""),0,tblMovement[[#This Row],[Tonnes_t]]*tblMovement[[#This Row],[Grade_gpt]]/cfg_TroyOz)</f>
        <v/>
      </c>
      <c r="O662" s="59">
        <f>IF(tblMovement[[#This Row],[Is_Ore]]=1,tblMovement[[#This Row],[Contained_oz]],0)</f>
        <v/>
      </c>
    </row>
    <row r="663">
      <c r="A663" s="54" t="n"/>
      <c r="B663" s="61" t="n"/>
      <c r="C663" s="61" t="n"/>
      <c r="D663" s="61" t="n"/>
      <c r="E663" s="61" t="n"/>
      <c r="F663" s="55" t="n"/>
      <c r="G663" s="56" t="n"/>
      <c r="H663" s="55" t="n"/>
      <c r="I663" s="62" t="n"/>
      <c r="J663" s="58" t="n"/>
      <c r="K663" s="63">
        <f>IF(tblMovement[[#This Row],[Source]]="","",IFERROR(INDEX(tblSources[Type],MATCH(tblMovement[[#This Row],[Source]],tblSources[Source],0)),"?"))</f>
        <v/>
      </c>
      <c r="L663" s="63">
        <f>IF(tblMovement[[#This Row],[Destination]]="","",IFERROR(INDEX(tblDestinations[Type],MATCH(tblMovement[[#This Row],[Destination]],tblDestinations[Destination],0)),"?"))</f>
        <v/>
      </c>
      <c r="M663" s="64">
        <f>IF(tblMovement[[#This Row],[Material]]="","",IF(LEFT(tblMovement[[#This Row],[Material]],3)="Ore",1,0))</f>
        <v/>
      </c>
      <c r="N663" s="59">
        <f>IF(OR(tblMovement[[#This Row],[Tonnes_t]]="",tblMovement[[#This Row],[Grade_gpt]]=""),0,tblMovement[[#This Row],[Tonnes_t]]*tblMovement[[#This Row],[Grade_gpt]]/cfg_TroyOz)</f>
        <v/>
      </c>
      <c r="O663" s="59">
        <f>IF(tblMovement[[#This Row],[Is_Ore]]=1,tblMovement[[#This Row],[Contained_oz]],0)</f>
        <v/>
      </c>
    </row>
    <row r="664">
      <c r="A664" s="54" t="n"/>
      <c r="B664" s="61" t="n"/>
      <c r="C664" s="61" t="n"/>
      <c r="D664" s="61" t="n"/>
      <c r="E664" s="61" t="n"/>
      <c r="F664" s="55" t="n"/>
      <c r="G664" s="56" t="n"/>
      <c r="H664" s="55" t="n"/>
      <c r="I664" s="62" t="n"/>
      <c r="J664" s="58" t="n"/>
      <c r="K664" s="63">
        <f>IF(tblMovement[[#This Row],[Source]]="","",IFERROR(INDEX(tblSources[Type],MATCH(tblMovement[[#This Row],[Source]],tblSources[Source],0)),"?"))</f>
        <v/>
      </c>
      <c r="L664" s="63">
        <f>IF(tblMovement[[#This Row],[Destination]]="","",IFERROR(INDEX(tblDestinations[Type],MATCH(tblMovement[[#This Row],[Destination]],tblDestinations[Destination],0)),"?"))</f>
        <v/>
      </c>
      <c r="M664" s="64">
        <f>IF(tblMovement[[#This Row],[Material]]="","",IF(LEFT(tblMovement[[#This Row],[Material]],3)="Ore",1,0))</f>
        <v/>
      </c>
      <c r="N664" s="59">
        <f>IF(OR(tblMovement[[#This Row],[Tonnes_t]]="",tblMovement[[#This Row],[Grade_gpt]]=""),0,tblMovement[[#This Row],[Tonnes_t]]*tblMovement[[#This Row],[Grade_gpt]]/cfg_TroyOz)</f>
        <v/>
      </c>
      <c r="O664" s="59">
        <f>IF(tblMovement[[#This Row],[Is_Ore]]=1,tblMovement[[#This Row],[Contained_oz]],0)</f>
        <v/>
      </c>
    </row>
    <row r="665">
      <c r="A665" s="54" t="n"/>
      <c r="B665" s="61" t="n"/>
      <c r="C665" s="61" t="n"/>
      <c r="D665" s="61" t="n"/>
      <c r="E665" s="61" t="n"/>
      <c r="F665" s="55" t="n"/>
      <c r="G665" s="56" t="n"/>
      <c r="H665" s="55" t="n"/>
      <c r="I665" s="62" t="n"/>
      <c r="J665" s="58" t="n"/>
      <c r="K665" s="63">
        <f>IF(tblMovement[[#This Row],[Source]]="","",IFERROR(INDEX(tblSources[Type],MATCH(tblMovement[[#This Row],[Source]],tblSources[Source],0)),"?"))</f>
        <v/>
      </c>
      <c r="L665" s="63">
        <f>IF(tblMovement[[#This Row],[Destination]]="","",IFERROR(INDEX(tblDestinations[Type],MATCH(tblMovement[[#This Row],[Destination]],tblDestinations[Destination],0)),"?"))</f>
        <v/>
      </c>
      <c r="M665" s="64">
        <f>IF(tblMovement[[#This Row],[Material]]="","",IF(LEFT(tblMovement[[#This Row],[Material]],3)="Ore",1,0))</f>
        <v/>
      </c>
      <c r="N665" s="59">
        <f>IF(OR(tblMovement[[#This Row],[Tonnes_t]]="",tblMovement[[#This Row],[Grade_gpt]]=""),0,tblMovement[[#This Row],[Tonnes_t]]*tblMovement[[#This Row],[Grade_gpt]]/cfg_TroyOz)</f>
        <v/>
      </c>
      <c r="O665" s="59">
        <f>IF(tblMovement[[#This Row],[Is_Ore]]=1,tblMovement[[#This Row],[Contained_oz]],0)</f>
        <v/>
      </c>
    </row>
    <row r="666">
      <c r="A666" s="54" t="n"/>
      <c r="B666" s="61" t="n"/>
      <c r="C666" s="61" t="n"/>
      <c r="D666" s="61" t="n"/>
      <c r="E666" s="61" t="n"/>
      <c r="F666" s="55" t="n"/>
      <c r="G666" s="56" t="n"/>
      <c r="H666" s="55" t="n"/>
      <c r="I666" s="62" t="n"/>
      <c r="J666" s="58" t="n"/>
      <c r="K666" s="63">
        <f>IF(tblMovement[[#This Row],[Source]]="","",IFERROR(INDEX(tblSources[Type],MATCH(tblMovement[[#This Row],[Source]],tblSources[Source],0)),"?"))</f>
        <v/>
      </c>
      <c r="L666" s="63">
        <f>IF(tblMovement[[#This Row],[Destination]]="","",IFERROR(INDEX(tblDestinations[Type],MATCH(tblMovement[[#This Row],[Destination]],tblDestinations[Destination],0)),"?"))</f>
        <v/>
      </c>
      <c r="M666" s="64">
        <f>IF(tblMovement[[#This Row],[Material]]="","",IF(LEFT(tblMovement[[#This Row],[Material]],3)="Ore",1,0))</f>
        <v/>
      </c>
      <c r="N666" s="59">
        <f>IF(OR(tblMovement[[#This Row],[Tonnes_t]]="",tblMovement[[#This Row],[Grade_gpt]]=""),0,tblMovement[[#This Row],[Tonnes_t]]*tblMovement[[#This Row],[Grade_gpt]]/cfg_TroyOz)</f>
        <v/>
      </c>
      <c r="O666" s="59">
        <f>IF(tblMovement[[#This Row],[Is_Ore]]=1,tblMovement[[#This Row],[Contained_oz]],0)</f>
        <v/>
      </c>
    </row>
    <row r="667">
      <c r="A667" s="54" t="n"/>
      <c r="B667" s="61" t="n"/>
      <c r="C667" s="61" t="n"/>
      <c r="D667" s="61" t="n"/>
      <c r="E667" s="61" t="n"/>
      <c r="F667" s="55" t="n"/>
      <c r="G667" s="56" t="n"/>
      <c r="H667" s="55" t="n"/>
      <c r="I667" s="62" t="n"/>
      <c r="J667" s="58" t="n"/>
      <c r="K667" s="63">
        <f>IF(tblMovement[[#This Row],[Source]]="","",IFERROR(INDEX(tblSources[Type],MATCH(tblMovement[[#This Row],[Source]],tblSources[Source],0)),"?"))</f>
        <v/>
      </c>
      <c r="L667" s="63">
        <f>IF(tblMovement[[#This Row],[Destination]]="","",IFERROR(INDEX(tblDestinations[Type],MATCH(tblMovement[[#This Row],[Destination]],tblDestinations[Destination],0)),"?"))</f>
        <v/>
      </c>
      <c r="M667" s="64">
        <f>IF(tblMovement[[#This Row],[Material]]="","",IF(LEFT(tblMovement[[#This Row],[Material]],3)="Ore",1,0))</f>
        <v/>
      </c>
      <c r="N667" s="59">
        <f>IF(OR(tblMovement[[#This Row],[Tonnes_t]]="",tblMovement[[#This Row],[Grade_gpt]]=""),0,tblMovement[[#This Row],[Tonnes_t]]*tblMovement[[#This Row],[Grade_gpt]]/cfg_TroyOz)</f>
        <v/>
      </c>
      <c r="O667" s="59">
        <f>IF(tblMovement[[#This Row],[Is_Ore]]=1,tblMovement[[#This Row],[Contained_oz]],0)</f>
        <v/>
      </c>
    </row>
    <row r="668">
      <c r="A668" s="54" t="n"/>
      <c r="B668" s="61" t="n"/>
      <c r="C668" s="61" t="n"/>
      <c r="D668" s="61" t="n"/>
      <c r="E668" s="61" t="n"/>
      <c r="F668" s="55" t="n"/>
      <c r="G668" s="56" t="n"/>
      <c r="H668" s="55" t="n"/>
      <c r="I668" s="62" t="n"/>
      <c r="J668" s="58" t="n"/>
      <c r="K668" s="63">
        <f>IF(tblMovement[[#This Row],[Source]]="","",IFERROR(INDEX(tblSources[Type],MATCH(tblMovement[[#This Row],[Source]],tblSources[Source],0)),"?"))</f>
        <v/>
      </c>
      <c r="L668" s="63">
        <f>IF(tblMovement[[#This Row],[Destination]]="","",IFERROR(INDEX(tblDestinations[Type],MATCH(tblMovement[[#This Row],[Destination]],tblDestinations[Destination],0)),"?"))</f>
        <v/>
      </c>
      <c r="M668" s="64">
        <f>IF(tblMovement[[#This Row],[Material]]="","",IF(LEFT(tblMovement[[#This Row],[Material]],3)="Ore",1,0))</f>
        <v/>
      </c>
      <c r="N668" s="59">
        <f>IF(OR(tblMovement[[#This Row],[Tonnes_t]]="",tblMovement[[#This Row],[Grade_gpt]]=""),0,tblMovement[[#This Row],[Tonnes_t]]*tblMovement[[#This Row],[Grade_gpt]]/cfg_TroyOz)</f>
        <v/>
      </c>
      <c r="O668" s="59">
        <f>IF(tblMovement[[#This Row],[Is_Ore]]=1,tblMovement[[#This Row],[Contained_oz]],0)</f>
        <v/>
      </c>
    </row>
    <row r="669">
      <c r="A669" s="54" t="n"/>
      <c r="B669" s="61" t="n"/>
      <c r="C669" s="61" t="n"/>
      <c r="D669" s="61" t="n"/>
      <c r="E669" s="61" t="n"/>
      <c r="F669" s="55" t="n"/>
      <c r="G669" s="56" t="n"/>
      <c r="H669" s="55" t="n"/>
      <c r="I669" s="62" t="n"/>
      <c r="J669" s="58" t="n"/>
      <c r="K669" s="63">
        <f>IF(tblMovement[[#This Row],[Source]]="","",IFERROR(INDEX(tblSources[Type],MATCH(tblMovement[[#This Row],[Source]],tblSources[Source],0)),"?"))</f>
        <v/>
      </c>
      <c r="L669" s="63">
        <f>IF(tblMovement[[#This Row],[Destination]]="","",IFERROR(INDEX(tblDestinations[Type],MATCH(tblMovement[[#This Row],[Destination]],tblDestinations[Destination],0)),"?"))</f>
        <v/>
      </c>
      <c r="M669" s="64">
        <f>IF(tblMovement[[#This Row],[Material]]="","",IF(LEFT(tblMovement[[#This Row],[Material]],3)="Ore",1,0))</f>
        <v/>
      </c>
      <c r="N669" s="59">
        <f>IF(OR(tblMovement[[#This Row],[Tonnes_t]]="",tblMovement[[#This Row],[Grade_gpt]]=""),0,tblMovement[[#This Row],[Tonnes_t]]*tblMovement[[#This Row],[Grade_gpt]]/cfg_TroyOz)</f>
        <v/>
      </c>
      <c r="O669" s="59">
        <f>IF(tblMovement[[#This Row],[Is_Ore]]=1,tblMovement[[#This Row],[Contained_oz]],0)</f>
        <v/>
      </c>
    </row>
    <row r="670">
      <c r="A670" s="54" t="n"/>
      <c r="B670" s="61" t="n"/>
      <c r="C670" s="61" t="n"/>
      <c r="D670" s="61" t="n"/>
      <c r="E670" s="61" t="n"/>
      <c r="F670" s="55" t="n"/>
      <c r="G670" s="56" t="n"/>
      <c r="H670" s="55" t="n"/>
      <c r="I670" s="62" t="n"/>
      <c r="J670" s="58" t="n"/>
      <c r="K670" s="63">
        <f>IF(tblMovement[[#This Row],[Source]]="","",IFERROR(INDEX(tblSources[Type],MATCH(tblMovement[[#This Row],[Source]],tblSources[Source],0)),"?"))</f>
        <v/>
      </c>
      <c r="L670" s="63">
        <f>IF(tblMovement[[#This Row],[Destination]]="","",IFERROR(INDEX(tblDestinations[Type],MATCH(tblMovement[[#This Row],[Destination]],tblDestinations[Destination],0)),"?"))</f>
        <v/>
      </c>
      <c r="M670" s="64">
        <f>IF(tblMovement[[#This Row],[Material]]="","",IF(LEFT(tblMovement[[#This Row],[Material]],3)="Ore",1,0))</f>
        <v/>
      </c>
      <c r="N670" s="59">
        <f>IF(OR(tblMovement[[#This Row],[Tonnes_t]]="",tblMovement[[#This Row],[Grade_gpt]]=""),0,tblMovement[[#This Row],[Tonnes_t]]*tblMovement[[#This Row],[Grade_gpt]]/cfg_TroyOz)</f>
        <v/>
      </c>
      <c r="O670" s="59">
        <f>IF(tblMovement[[#This Row],[Is_Ore]]=1,tblMovement[[#This Row],[Contained_oz]],0)</f>
        <v/>
      </c>
    </row>
    <row r="671">
      <c r="A671" s="54" t="n"/>
      <c r="B671" s="61" t="n"/>
      <c r="C671" s="61" t="n"/>
      <c r="D671" s="61" t="n"/>
      <c r="E671" s="61" t="n"/>
      <c r="F671" s="55" t="n"/>
      <c r="G671" s="56" t="n"/>
      <c r="H671" s="55" t="n"/>
      <c r="I671" s="62" t="n"/>
      <c r="J671" s="58" t="n"/>
      <c r="K671" s="63">
        <f>IF(tblMovement[[#This Row],[Source]]="","",IFERROR(INDEX(tblSources[Type],MATCH(tblMovement[[#This Row],[Source]],tblSources[Source],0)),"?"))</f>
        <v/>
      </c>
      <c r="L671" s="63">
        <f>IF(tblMovement[[#This Row],[Destination]]="","",IFERROR(INDEX(tblDestinations[Type],MATCH(tblMovement[[#This Row],[Destination]],tblDestinations[Destination],0)),"?"))</f>
        <v/>
      </c>
      <c r="M671" s="64">
        <f>IF(tblMovement[[#This Row],[Material]]="","",IF(LEFT(tblMovement[[#This Row],[Material]],3)="Ore",1,0))</f>
        <v/>
      </c>
      <c r="N671" s="59">
        <f>IF(OR(tblMovement[[#This Row],[Tonnes_t]]="",tblMovement[[#This Row],[Grade_gpt]]=""),0,tblMovement[[#This Row],[Tonnes_t]]*tblMovement[[#This Row],[Grade_gpt]]/cfg_TroyOz)</f>
        <v/>
      </c>
      <c r="O671" s="59">
        <f>IF(tblMovement[[#This Row],[Is_Ore]]=1,tblMovement[[#This Row],[Contained_oz]],0)</f>
        <v/>
      </c>
    </row>
    <row r="672">
      <c r="A672" s="54" t="n"/>
      <c r="B672" s="61" t="n"/>
      <c r="C672" s="61" t="n"/>
      <c r="D672" s="61" t="n"/>
      <c r="E672" s="61" t="n"/>
      <c r="F672" s="55" t="n"/>
      <c r="G672" s="56" t="n"/>
      <c r="H672" s="55" t="n"/>
      <c r="I672" s="62" t="n"/>
      <c r="J672" s="58" t="n"/>
      <c r="K672" s="63">
        <f>IF(tblMovement[[#This Row],[Source]]="","",IFERROR(INDEX(tblSources[Type],MATCH(tblMovement[[#This Row],[Source]],tblSources[Source],0)),"?"))</f>
        <v/>
      </c>
      <c r="L672" s="63">
        <f>IF(tblMovement[[#This Row],[Destination]]="","",IFERROR(INDEX(tblDestinations[Type],MATCH(tblMovement[[#This Row],[Destination]],tblDestinations[Destination],0)),"?"))</f>
        <v/>
      </c>
      <c r="M672" s="64">
        <f>IF(tblMovement[[#This Row],[Material]]="","",IF(LEFT(tblMovement[[#This Row],[Material]],3)="Ore",1,0))</f>
        <v/>
      </c>
      <c r="N672" s="59">
        <f>IF(OR(tblMovement[[#This Row],[Tonnes_t]]="",tblMovement[[#This Row],[Grade_gpt]]=""),0,tblMovement[[#This Row],[Tonnes_t]]*tblMovement[[#This Row],[Grade_gpt]]/cfg_TroyOz)</f>
        <v/>
      </c>
      <c r="O672" s="59">
        <f>IF(tblMovement[[#This Row],[Is_Ore]]=1,tblMovement[[#This Row],[Contained_oz]],0)</f>
        <v/>
      </c>
    </row>
    <row r="673">
      <c r="A673" s="54" t="n"/>
      <c r="B673" s="61" t="n"/>
      <c r="C673" s="61" t="n"/>
      <c r="D673" s="61" t="n"/>
      <c r="E673" s="61" t="n"/>
      <c r="F673" s="55" t="n"/>
      <c r="G673" s="56" t="n"/>
      <c r="H673" s="55" t="n"/>
      <c r="I673" s="62" t="n"/>
      <c r="J673" s="58" t="n"/>
      <c r="K673" s="63">
        <f>IF(tblMovement[[#This Row],[Source]]="","",IFERROR(INDEX(tblSources[Type],MATCH(tblMovement[[#This Row],[Source]],tblSources[Source],0)),"?"))</f>
        <v/>
      </c>
      <c r="L673" s="63">
        <f>IF(tblMovement[[#This Row],[Destination]]="","",IFERROR(INDEX(tblDestinations[Type],MATCH(tblMovement[[#This Row],[Destination]],tblDestinations[Destination],0)),"?"))</f>
        <v/>
      </c>
      <c r="M673" s="64">
        <f>IF(tblMovement[[#This Row],[Material]]="","",IF(LEFT(tblMovement[[#This Row],[Material]],3)="Ore",1,0))</f>
        <v/>
      </c>
      <c r="N673" s="59">
        <f>IF(OR(tblMovement[[#This Row],[Tonnes_t]]="",tblMovement[[#This Row],[Grade_gpt]]=""),0,tblMovement[[#This Row],[Tonnes_t]]*tblMovement[[#This Row],[Grade_gpt]]/cfg_TroyOz)</f>
        <v/>
      </c>
      <c r="O673" s="59">
        <f>IF(tblMovement[[#This Row],[Is_Ore]]=1,tblMovement[[#This Row],[Contained_oz]],0)</f>
        <v/>
      </c>
    </row>
    <row r="674">
      <c r="A674" s="54" t="n"/>
      <c r="B674" s="61" t="n"/>
      <c r="C674" s="61" t="n"/>
      <c r="D674" s="61" t="n"/>
      <c r="E674" s="61" t="n"/>
      <c r="F674" s="55" t="n"/>
      <c r="G674" s="56" t="n"/>
      <c r="H674" s="55" t="n"/>
      <c r="I674" s="62" t="n"/>
      <c r="J674" s="58" t="n"/>
      <c r="K674" s="63">
        <f>IF(tblMovement[[#This Row],[Source]]="","",IFERROR(INDEX(tblSources[Type],MATCH(tblMovement[[#This Row],[Source]],tblSources[Source],0)),"?"))</f>
        <v/>
      </c>
      <c r="L674" s="63">
        <f>IF(tblMovement[[#This Row],[Destination]]="","",IFERROR(INDEX(tblDestinations[Type],MATCH(tblMovement[[#This Row],[Destination]],tblDestinations[Destination],0)),"?"))</f>
        <v/>
      </c>
      <c r="M674" s="64">
        <f>IF(tblMovement[[#This Row],[Material]]="","",IF(LEFT(tblMovement[[#This Row],[Material]],3)="Ore",1,0))</f>
        <v/>
      </c>
      <c r="N674" s="59">
        <f>IF(OR(tblMovement[[#This Row],[Tonnes_t]]="",tblMovement[[#This Row],[Grade_gpt]]=""),0,tblMovement[[#This Row],[Tonnes_t]]*tblMovement[[#This Row],[Grade_gpt]]/cfg_TroyOz)</f>
        <v/>
      </c>
      <c r="O674" s="59">
        <f>IF(tblMovement[[#This Row],[Is_Ore]]=1,tblMovement[[#This Row],[Contained_oz]],0)</f>
        <v/>
      </c>
    </row>
    <row r="675">
      <c r="A675" s="54" t="n"/>
      <c r="B675" s="61" t="n"/>
      <c r="C675" s="61" t="n"/>
      <c r="D675" s="61" t="n"/>
      <c r="E675" s="61" t="n"/>
      <c r="F675" s="55" t="n"/>
      <c r="G675" s="56" t="n"/>
      <c r="H675" s="55" t="n"/>
      <c r="I675" s="62" t="n"/>
      <c r="J675" s="58" t="n"/>
      <c r="K675" s="63">
        <f>IF(tblMovement[[#This Row],[Source]]="","",IFERROR(INDEX(tblSources[Type],MATCH(tblMovement[[#This Row],[Source]],tblSources[Source],0)),"?"))</f>
        <v/>
      </c>
      <c r="L675" s="63">
        <f>IF(tblMovement[[#This Row],[Destination]]="","",IFERROR(INDEX(tblDestinations[Type],MATCH(tblMovement[[#This Row],[Destination]],tblDestinations[Destination],0)),"?"))</f>
        <v/>
      </c>
      <c r="M675" s="64">
        <f>IF(tblMovement[[#This Row],[Material]]="","",IF(LEFT(tblMovement[[#This Row],[Material]],3)="Ore",1,0))</f>
        <v/>
      </c>
      <c r="N675" s="59">
        <f>IF(OR(tblMovement[[#This Row],[Tonnes_t]]="",tblMovement[[#This Row],[Grade_gpt]]=""),0,tblMovement[[#This Row],[Tonnes_t]]*tblMovement[[#This Row],[Grade_gpt]]/cfg_TroyOz)</f>
        <v/>
      </c>
      <c r="O675" s="59">
        <f>IF(tblMovement[[#This Row],[Is_Ore]]=1,tblMovement[[#This Row],[Contained_oz]],0)</f>
        <v/>
      </c>
    </row>
    <row r="676">
      <c r="A676" s="54" t="n"/>
      <c r="B676" s="61" t="n"/>
      <c r="C676" s="61" t="n"/>
      <c r="D676" s="61" t="n"/>
      <c r="E676" s="61" t="n"/>
      <c r="F676" s="55" t="n"/>
      <c r="G676" s="56" t="n"/>
      <c r="H676" s="55" t="n"/>
      <c r="I676" s="62" t="n"/>
      <c r="J676" s="58" t="n"/>
      <c r="K676" s="63">
        <f>IF(tblMovement[[#This Row],[Source]]="","",IFERROR(INDEX(tblSources[Type],MATCH(tblMovement[[#This Row],[Source]],tblSources[Source],0)),"?"))</f>
        <v/>
      </c>
      <c r="L676" s="63">
        <f>IF(tblMovement[[#This Row],[Destination]]="","",IFERROR(INDEX(tblDestinations[Type],MATCH(tblMovement[[#This Row],[Destination]],tblDestinations[Destination],0)),"?"))</f>
        <v/>
      </c>
      <c r="M676" s="64">
        <f>IF(tblMovement[[#This Row],[Material]]="","",IF(LEFT(tblMovement[[#This Row],[Material]],3)="Ore",1,0))</f>
        <v/>
      </c>
      <c r="N676" s="59">
        <f>IF(OR(tblMovement[[#This Row],[Tonnes_t]]="",tblMovement[[#This Row],[Grade_gpt]]=""),0,tblMovement[[#This Row],[Tonnes_t]]*tblMovement[[#This Row],[Grade_gpt]]/cfg_TroyOz)</f>
        <v/>
      </c>
      <c r="O676" s="59">
        <f>IF(tblMovement[[#This Row],[Is_Ore]]=1,tblMovement[[#This Row],[Contained_oz]],0)</f>
        <v/>
      </c>
    </row>
    <row r="677">
      <c r="A677" s="54" t="n"/>
      <c r="B677" s="61" t="n"/>
      <c r="C677" s="61" t="n"/>
      <c r="D677" s="61" t="n"/>
      <c r="E677" s="61" t="n"/>
      <c r="F677" s="55" t="n"/>
      <c r="G677" s="56" t="n"/>
      <c r="H677" s="55" t="n"/>
      <c r="I677" s="62" t="n"/>
      <c r="J677" s="58" t="n"/>
      <c r="K677" s="63">
        <f>IF(tblMovement[[#This Row],[Source]]="","",IFERROR(INDEX(tblSources[Type],MATCH(tblMovement[[#This Row],[Source]],tblSources[Source],0)),"?"))</f>
        <v/>
      </c>
      <c r="L677" s="63">
        <f>IF(tblMovement[[#This Row],[Destination]]="","",IFERROR(INDEX(tblDestinations[Type],MATCH(tblMovement[[#This Row],[Destination]],tblDestinations[Destination],0)),"?"))</f>
        <v/>
      </c>
      <c r="M677" s="64">
        <f>IF(tblMovement[[#This Row],[Material]]="","",IF(LEFT(tblMovement[[#This Row],[Material]],3)="Ore",1,0))</f>
        <v/>
      </c>
      <c r="N677" s="59">
        <f>IF(OR(tblMovement[[#This Row],[Tonnes_t]]="",tblMovement[[#This Row],[Grade_gpt]]=""),0,tblMovement[[#This Row],[Tonnes_t]]*tblMovement[[#This Row],[Grade_gpt]]/cfg_TroyOz)</f>
        <v/>
      </c>
      <c r="O677" s="59">
        <f>IF(tblMovement[[#This Row],[Is_Ore]]=1,tblMovement[[#This Row],[Contained_oz]],0)</f>
        <v/>
      </c>
    </row>
    <row r="678">
      <c r="A678" s="54" t="n"/>
      <c r="B678" s="61" t="n"/>
      <c r="C678" s="61" t="n"/>
      <c r="D678" s="61" t="n"/>
      <c r="E678" s="61" t="n"/>
      <c r="F678" s="55" t="n"/>
      <c r="G678" s="56" t="n"/>
      <c r="H678" s="55" t="n"/>
      <c r="I678" s="62" t="n"/>
      <c r="J678" s="58" t="n"/>
      <c r="K678" s="63">
        <f>IF(tblMovement[[#This Row],[Source]]="","",IFERROR(INDEX(tblSources[Type],MATCH(tblMovement[[#This Row],[Source]],tblSources[Source],0)),"?"))</f>
        <v/>
      </c>
      <c r="L678" s="63">
        <f>IF(tblMovement[[#This Row],[Destination]]="","",IFERROR(INDEX(tblDestinations[Type],MATCH(tblMovement[[#This Row],[Destination]],tblDestinations[Destination],0)),"?"))</f>
        <v/>
      </c>
      <c r="M678" s="64">
        <f>IF(tblMovement[[#This Row],[Material]]="","",IF(LEFT(tblMovement[[#This Row],[Material]],3)="Ore",1,0))</f>
        <v/>
      </c>
      <c r="N678" s="59">
        <f>IF(OR(tblMovement[[#This Row],[Tonnes_t]]="",tblMovement[[#This Row],[Grade_gpt]]=""),0,tblMovement[[#This Row],[Tonnes_t]]*tblMovement[[#This Row],[Grade_gpt]]/cfg_TroyOz)</f>
        <v/>
      </c>
      <c r="O678" s="59">
        <f>IF(tblMovement[[#This Row],[Is_Ore]]=1,tblMovement[[#This Row],[Contained_oz]],0)</f>
        <v/>
      </c>
    </row>
    <row r="679">
      <c r="A679" s="54" t="n"/>
      <c r="B679" s="61" t="n"/>
      <c r="C679" s="61" t="n"/>
      <c r="D679" s="61" t="n"/>
      <c r="E679" s="61" t="n"/>
      <c r="F679" s="55" t="n"/>
      <c r="G679" s="56" t="n"/>
      <c r="H679" s="55" t="n"/>
      <c r="I679" s="62" t="n"/>
      <c r="J679" s="58" t="n"/>
      <c r="K679" s="63">
        <f>IF(tblMovement[[#This Row],[Source]]="","",IFERROR(INDEX(tblSources[Type],MATCH(tblMovement[[#This Row],[Source]],tblSources[Source],0)),"?"))</f>
        <v/>
      </c>
      <c r="L679" s="63">
        <f>IF(tblMovement[[#This Row],[Destination]]="","",IFERROR(INDEX(tblDestinations[Type],MATCH(tblMovement[[#This Row],[Destination]],tblDestinations[Destination],0)),"?"))</f>
        <v/>
      </c>
      <c r="M679" s="64">
        <f>IF(tblMovement[[#This Row],[Material]]="","",IF(LEFT(tblMovement[[#This Row],[Material]],3)="Ore",1,0))</f>
        <v/>
      </c>
      <c r="N679" s="59">
        <f>IF(OR(tblMovement[[#This Row],[Tonnes_t]]="",tblMovement[[#This Row],[Grade_gpt]]=""),0,tblMovement[[#This Row],[Tonnes_t]]*tblMovement[[#This Row],[Grade_gpt]]/cfg_TroyOz)</f>
        <v/>
      </c>
      <c r="O679" s="59">
        <f>IF(tblMovement[[#This Row],[Is_Ore]]=1,tblMovement[[#This Row],[Contained_oz]],0)</f>
        <v/>
      </c>
    </row>
    <row r="680">
      <c r="A680" s="54" t="n"/>
      <c r="B680" s="61" t="n"/>
      <c r="C680" s="61" t="n"/>
      <c r="D680" s="61" t="n"/>
      <c r="E680" s="61" t="n"/>
      <c r="F680" s="55" t="n"/>
      <c r="G680" s="56" t="n"/>
      <c r="H680" s="55" t="n"/>
      <c r="I680" s="62" t="n"/>
      <c r="J680" s="58" t="n"/>
      <c r="K680" s="63">
        <f>IF(tblMovement[[#This Row],[Source]]="","",IFERROR(INDEX(tblSources[Type],MATCH(tblMovement[[#This Row],[Source]],tblSources[Source],0)),"?"))</f>
        <v/>
      </c>
      <c r="L680" s="63">
        <f>IF(tblMovement[[#This Row],[Destination]]="","",IFERROR(INDEX(tblDestinations[Type],MATCH(tblMovement[[#This Row],[Destination]],tblDestinations[Destination],0)),"?"))</f>
        <v/>
      </c>
      <c r="M680" s="64">
        <f>IF(tblMovement[[#This Row],[Material]]="","",IF(LEFT(tblMovement[[#This Row],[Material]],3)="Ore",1,0))</f>
        <v/>
      </c>
      <c r="N680" s="59">
        <f>IF(OR(tblMovement[[#This Row],[Tonnes_t]]="",tblMovement[[#This Row],[Grade_gpt]]=""),0,tblMovement[[#This Row],[Tonnes_t]]*tblMovement[[#This Row],[Grade_gpt]]/cfg_TroyOz)</f>
        <v/>
      </c>
      <c r="O680" s="59">
        <f>IF(tblMovement[[#This Row],[Is_Ore]]=1,tblMovement[[#This Row],[Contained_oz]],0)</f>
        <v/>
      </c>
    </row>
    <row r="681">
      <c r="A681" s="54" t="n"/>
      <c r="B681" s="61" t="n"/>
      <c r="C681" s="61" t="n"/>
      <c r="D681" s="61" t="n"/>
      <c r="E681" s="61" t="n"/>
      <c r="F681" s="55" t="n"/>
      <c r="G681" s="56" t="n"/>
      <c r="H681" s="55" t="n"/>
      <c r="I681" s="62" t="n"/>
      <c r="J681" s="58" t="n"/>
      <c r="K681" s="63">
        <f>IF(tblMovement[[#This Row],[Source]]="","",IFERROR(INDEX(tblSources[Type],MATCH(tblMovement[[#This Row],[Source]],tblSources[Source],0)),"?"))</f>
        <v/>
      </c>
      <c r="L681" s="63">
        <f>IF(tblMovement[[#This Row],[Destination]]="","",IFERROR(INDEX(tblDestinations[Type],MATCH(tblMovement[[#This Row],[Destination]],tblDestinations[Destination],0)),"?"))</f>
        <v/>
      </c>
      <c r="M681" s="64">
        <f>IF(tblMovement[[#This Row],[Material]]="","",IF(LEFT(tblMovement[[#This Row],[Material]],3)="Ore",1,0))</f>
        <v/>
      </c>
      <c r="N681" s="59">
        <f>IF(OR(tblMovement[[#This Row],[Tonnes_t]]="",tblMovement[[#This Row],[Grade_gpt]]=""),0,tblMovement[[#This Row],[Tonnes_t]]*tblMovement[[#This Row],[Grade_gpt]]/cfg_TroyOz)</f>
        <v/>
      </c>
      <c r="O681" s="59">
        <f>IF(tblMovement[[#This Row],[Is_Ore]]=1,tblMovement[[#This Row],[Contained_oz]],0)</f>
        <v/>
      </c>
    </row>
    <row r="682">
      <c r="A682" s="54" t="n"/>
      <c r="B682" s="61" t="n"/>
      <c r="C682" s="61" t="n"/>
      <c r="D682" s="61" t="n"/>
      <c r="E682" s="61" t="n"/>
      <c r="F682" s="55" t="n"/>
      <c r="G682" s="56" t="n"/>
      <c r="H682" s="55" t="n"/>
      <c r="I682" s="62" t="n"/>
      <c r="J682" s="58" t="n"/>
      <c r="K682" s="63">
        <f>IF(tblMovement[[#This Row],[Source]]="","",IFERROR(INDEX(tblSources[Type],MATCH(tblMovement[[#This Row],[Source]],tblSources[Source],0)),"?"))</f>
        <v/>
      </c>
      <c r="L682" s="63">
        <f>IF(tblMovement[[#This Row],[Destination]]="","",IFERROR(INDEX(tblDestinations[Type],MATCH(tblMovement[[#This Row],[Destination]],tblDestinations[Destination],0)),"?"))</f>
        <v/>
      </c>
      <c r="M682" s="64">
        <f>IF(tblMovement[[#This Row],[Material]]="","",IF(LEFT(tblMovement[[#This Row],[Material]],3)="Ore",1,0))</f>
        <v/>
      </c>
      <c r="N682" s="59">
        <f>IF(OR(tblMovement[[#This Row],[Tonnes_t]]="",tblMovement[[#This Row],[Grade_gpt]]=""),0,tblMovement[[#This Row],[Tonnes_t]]*tblMovement[[#This Row],[Grade_gpt]]/cfg_TroyOz)</f>
        <v/>
      </c>
      <c r="O682" s="59">
        <f>IF(tblMovement[[#This Row],[Is_Ore]]=1,tblMovement[[#This Row],[Contained_oz]],0)</f>
        <v/>
      </c>
    </row>
    <row r="683">
      <c r="A683" s="54" t="n"/>
      <c r="B683" s="61" t="n"/>
      <c r="C683" s="61" t="n"/>
      <c r="D683" s="61" t="n"/>
      <c r="E683" s="61" t="n"/>
      <c r="F683" s="55" t="n"/>
      <c r="G683" s="56" t="n"/>
      <c r="H683" s="55" t="n"/>
      <c r="I683" s="62" t="n"/>
      <c r="J683" s="58" t="n"/>
      <c r="K683" s="63">
        <f>IF(tblMovement[[#This Row],[Source]]="","",IFERROR(INDEX(tblSources[Type],MATCH(tblMovement[[#This Row],[Source]],tblSources[Source],0)),"?"))</f>
        <v/>
      </c>
      <c r="L683" s="63">
        <f>IF(tblMovement[[#This Row],[Destination]]="","",IFERROR(INDEX(tblDestinations[Type],MATCH(tblMovement[[#This Row],[Destination]],tblDestinations[Destination],0)),"?"))</f>
        <v/>
      </c>
      <c r="M683" s="64">
        <f>IF(tblMovement[[#This Row],[Material]]="","",IF(LEFT(tblMovement[[#This Row],[Material]],3)="Ore",1,0))</f>
        <v/>
      </c>
      <c r="N683" s="59">
        <f>IF(OR(tblMovement[[#This Row],[Tonnes_t]]="",tblMovement[[#This Row],[Grade_gpt]]=""),0,tblMovement[[#This Row],[Tonnes_t]]*tblMovement[[#This Row],[Grade_gpt]]/cfg_TroyOz)</f>
        <v/>
      </c>
      <c r="O683" s="59">
        <f>IF(tblMovement[[#This Row],[Is_Ore]]=1,tblMovement[[#This Row],[Contained_oz]],0)</f>
        <v/>
      </c>
    </row>
    <row r="684">
      <c r="A684" s="54" t="n"/>
      <c r="B684" s="61" t="n"/>
      <c r="C684" s="61" t="n"/>
      <c r="D684" s="61" t="n"/>
      <c r="E684" s="61" t="n"/>
      <c r="F684" s="55" t="n"/>
      <c r="G684" s="56" t="n"/>
      <c r="H684" s="55" t="n"/>
      <c r="I684" s="62" t="n"/>
      <c r="J684" s="58" t="n"/>
      <c r="K684" s="63">
        <f>IF(tblMovement[[#This Row],[Source]]="","",IFERROR(INDEX(tblSources[Type],MATCH(tblMovement[[#This Row],[Source]],tblSources[Source],0)),"?"))</f>
        <v/>
      </c>
      <c r="L684" s="63">
        <f>IF(tblMovement[[#This Row],[Destination]]="","",IFERROR(INDEX(tblDestinations[Type],MATCH(tblMovement[[#This Row],[Destination]],tblDestinations[Destination],0)),"?"))</f>
        <v/>
      </c>
      <c r="M684" s="64">
        <f>IF(tblMovement[[#This Row],[Material]]="","",IF(LEFT(tblMovement[[#This Row],[Material]],3)="Ore",1,0))</f>
        <v/>
      </c>
      <c r="N684" s="59">
        <f>IF(OR(tblMovement[[#This Row],[Tonnes_t]]="",tblMovement[[#This Row],[Grade_gpt]]=""),0,tblMovement[[#This Row],[Tonnes_t]]*tblMovement[[#This Row],[Grade_gpt]]/cfg_TroyOz)</f>
        <v/>
      </c>
      <c r="O684" s="59">
        <f>IF(tblMovement[[#This Row],[Is_Ore]]=1,tblMovement[[#This Row],[Contained_oz]],0)</f>
        <v/>
      </c>
    </row>
    <row r="685">
      <c r="A685" s="54" t="n"/>
      <c r="B685" s="61" t="n"/>
      <c r="C685" s="61" t="n"/>
      <c r="D685" s="61" t="n"/>
      <c r="E685" s="61" t="n"/>
      <c r="F685" s="55" t="n"/>
      <c r="G685" s="56" t="n"/>
      <c r="H685" s="55" t="n"/>
      <c r="I685" s="62" t="n"/>
      <c r="J685" s="58" t="n"/>
      <c r="K685" s="63">
        <f>IF(tblMovement[[#This Row],[Source]]="","",IFERROR(INDEX(tblSources[Type],MATCH(tblMovement[[#This Row],[Source]],tblSources[Source],0)),"?"))</f>
        <v/>
      </c>
      <c r="L685" s="63">
        <f>IF(tblMovement[[#This Row],[Destination]]="","",IFERROR(INDEX(tblDestinations[Type],MATCH(tblMovement[[#This Row],[Destination]],tblDestinations[Destination],0)),"?"))</f>
        <v/>
      </c>
      <c r="M685" s="64">
        <f>IF(tblMovement[[#This Row],[Material]]="","",IF(LEFT(tblMovement[[#This Row],[Material]],3)="Ore",1,0))</f>
        <v/>
      </c>
      <c r="N685" s="59">
        <f>IF(OR(tblMovement[[#This Row],[Tonnes_t]]="",tblMovement[[#This Row],[Grade_gpt]]=""),0,tblMovement[[#This Row],[Tonnes_t]]*tblMovement[[#This Row],[Grade_gpt]]/cfg_TroyOz)</f>
        <v/>
      </c>
      <c r="O685" s="59">
        <f>IF(tblMovement[[#This Row],[Is_Ore]]=1,tblMovement[[#This Row],[Contained_oz]],0)</f>
        <v/>
      </c>
    </row>
    <row r="686">
      <c r="A686" s="54" t="n"/>
      <c r="B686" s="61" t="n"/>
      <c r="C686" s="61" t="n"/>
      <c r="D686" s="61" t="n"/>
      <c r="E686" s="61" t="n"/>
      <c r="F686" s="55" t="n"/>
      <c r="G686" s="56" t="n"/>
      <c r="H686" s="55" t="n"/>
      <c r="I686" s="62" t="n"/>
      <c r="J686" s="58" t="n"/>
      <c r="K686" s="63">
        <f>IF(tblMovement[[#This Row],[Source]]="","",IFERROR(INDEX(tblSources[Type],MATCH(tblMovement[[#This Row],[Source]],tblSources[Source],0)),"?"))</f>
        <v/>
      </c>
      <c r="L686" s="63">
        <f>IF(tblMovement[[#This Row],[Destination]]="","",IFERROR(INDEX(tblDestinations[Type],MATCH(tblMovement[[#This Row],[Destination]],tblDestinations[Destination],0)),"?"))</f>
        <v/>
      </c>
      <c r="M686" s="64">
        <f>IF(tblMovement[[#This Row],[Material]]="","",IF(LEFT(tblMovement[[#This Row],[Material]],3)="Ore",1,0))</f>
        <v/>
      </c>
      <c r="N686" s="59">
        <f>IF(OR(tblMovement[[#This Row],[Tonnes_t]]="",tblMovement[[#This Row],[Grade_gpt]]=""),0,tblMovement[[#This Row],[Tonnes_t]]*tblMovement[[#This Row],[Grade_gpt]]/cfg_TroyOz)</f>
        <v/>
      </c>
      <c r="O686" s="59">
        <f>IF(tblMovement[[#This Row],[Is_Ore]]=1,tblMovement[[#This Row],[Contained_oz]],0)</f>
        <v/>
      </c>
    </row>
    <row r="687">
      <c r="A687" s="54" t="n"/>
      <c r="B687" s="61" t="n"/>
      <c r="C687" s="61" t="n"/>
      <c r="D687" s="61" t="n"/>
      <c r="E687" s="61" t="n"/>
      <c r="F687" s="55" t="n"/>
      <c r="G687" s="56" t="n"/>
      <c r="H687" s="55" t="n"/>
      <c r="I687" s="62" t="n"/>
      <c r="J687" s="58" t="n"/>
      <c r="K687" s="63">
        <f>IF(tblMovement[[#This Row],[Source]]="","",IFERROR(INDEX(tblSources[Type],MATCH(tblMovement[[#This Row],[Source]],tblSources[Source],0)),"?"))</f>
        <v/>
      </c>
      <c r="L687" s="63">
        <f>IF(tblMovement[[#This Row],[Destination]]="","",IFERROR(INDEX(tblDestinations[Type],MATCH(tblMovement[[#This Row],[Destination]],tblDestinations[Destination],0)),"?"))</f>
        <v/>
      </c>
      <c r="M687" s="64">
        <f>IF(tblMovement[[#This Row],[Material]]="","",IF(LEFT(tblMovement[[#This Row],[Material]],3)="Ore",1,0))</f>
        <v/>
      </c>
      <c r="N687" s="59">
        <f>IF(OR(tblMovement[[#This Row],[Tonnes_t]]="",tblMovement[[#This Row],[Grade_gpt]]=""),0,tblMovement[[#This Row],[Tonnes_t]]*tblMovement[[#This Row],[Grade_gpt]]/cfg_TroyOz)</f>
        <v/>
      </c>
      <c r="O687" s="59">
        <f>IF(tblMovement[[#This Row],[Is_Ore]]=1,tblMovement[[#This Row],[Contained_oz]],0)</f>
        <v/>
      </c>
    </row>
    <row r="688">
      <c r="A688" s="54" t="n"/>
      <c r="B688" s="61" t="n"/>
      <c r="C688" s="61" t="n"/>
      <c r="D688" s="61" t="n"/>
      <c r="E688" s="61" t="n"/>
      <c r="F688" s="55" t="n"/>
      <c r="G688" s="56" t="n"/>
      <c r="H688" s="55" t="n"/>
      <c r="I688" s="62" t="n"/>
      <c r="J688" s="58" t="n"/>
      <c r="K688" s="63">
        <f>IF(tblMovement[[#This Row],[Source]]="","",IFERROR(INDEX(tblSources[Type],MATCH(tblMovement[[#This Row],[Source]],tblSources[Source],0)),"?"))</f>
        <v/>
      </c>
      <c r="L688" s="63">
        <f>IF(tblMovement[[#This Row],[Destination]]="","",IFERROR(INDEX(tblDestinations[Type],MATCH(tblMovement[[#This Row],[Destination]],tblDestinations[Destination],0)),"?"))</f>
        <v/>
      </c>
      <c r="M688" s="64">
        <f>IF(tblMovement[[#This Row],[Material]]="","",IF(LEFT(tblMovement[[#This Row],[Material]],3)="Ore",1,0))</f>
        <v/>
      </c>
      <c r="N688" s="59">
        <f>IF(OR(tblMovement[[#This Row],[Tonnes_t]]="",tblMovement[[#This Row],[Grade_gpt]]=""),0,tblMovement[[#This Row],[Tonnes_t]]*tblMovement[[#This Row],[Grade_gpt]]/cfg_TroyOz)</f>
        <v/>
      </c>
      <c r="O688" s="59">
        <f>IF(tblMovement[[#This Row],[Is_Ore]]=1,tblMovement[[#This Row],[Contained_oz]],0)</f>
        <v/>
      </c>
    </row>
    <row r="689">
      <c r="A689" s="54" t="n"/>
      <c r="B689" s="61" t="n"/>
      <c r="C689" s="61" t="n"/>
      <c r="D689" s="61" t="n"/>
      <c r="E689" s="61" t="n"/>
      <c r="F689" s="55" t="n"/>
      <c r="G689" s="56" t="n"/>
      <c r="H689" s="55" t="n"/>
      <c r="I689" s="62" t="n"/>
      <c r="J689" s="58" t="n"/>
      <c r="K689" s="63">
        <f>IF(tblMovement[[#This Row],[Source]]="","",IFERROR(INDEX(tblSources[Type],MATCH(tblMovement[[#This Row],[Source]],tblSources[Source],0)),"?"))</f>
        <v/>
      </c>
      <c r="L689" s="63">
        <f>IF(tblMovement[[#This Row],[Destination]]="","",IFERROR(INDEX(tblDestinations[Type],MATCH(tblMovement[[#This Row],[Destination]],tblDestinations[Destination],0)),"?"))</f>
        <v/>
      </c>
      <c r="M689" s="64">
        <f>IF(tblMovement[[#This Row],[Material]]="","",IF(LEFT(tblMovement[[#This Row],[Material]],3)="Ore",1,0))</f>
        <v/>
      </c>
      <c r="N689" s="59">
        <f>IF(OR(tblMovement[[#This Row],[Tonnes_t]]="",tblMovement[[#This Row],[Grade_gpt]]=""),0,tblMovement[[#This Row],[Tonnes_t]]*tblMovement[[#This Row],[Grade_gpt]]/cfg_TroyOz)</f>
        <v/>
      </c>
      <c r="O689" s="59">
        <f>IF(tblMovement[[#This Row],[Is_Ore]]=1,tblMovement[[#This Row],[Contained_oz]],0)</f>
        <v/>
      </c>
    </row>
    <row r="690">
      <c r="A690" s="54" t="n"/>
      <c r="B690" s="61" t="n"/>
      <c r="C690" s="61" t="n"/>
      <c r="D690" s="61" t="n"/>
      <c r="E690" s="61" t="n"/>
      <c r="F690" s="55" t="n"/>
      <c r="G690" s="56" t="n"/>
      <c r="H690" s="55" t="n"/>
      <c r="I690" s="62" t="n"/>
      <c r="J690" s="58" t="n"/>
      <c r="K690" s="63">
        <f>IF(tblMovement[[#This Row],[Source]]="","",IFERROR(INDEX(tblSources[Type],MATCH(tblMovement[[#This Row],[Source]],tblSources[Source],0)),"?"))</f>
        <v/>
      </c>
      <c r="L690" s="63">
        <f>IF(tblMovement[[#This Row],[Destination]]="","",IFERROR(INDEX(tblDestinations[Type],MATCH(tblMovement[[#This Row],[Destination]],tblDestinations[Destination],0)),"?"))</f>
        <v/>
      </c>
      <c r="M690" s="64">
        <f>IF(tblMovement[[#This Row],[Material]]="","",IF(LEFT(tblMovement[[#This Row],[Material]],3)="Ore",1,0))</f>
        <v/>
      </c>
      <c r="N690" s="59">
        <f>IF(OR(tblMovement[[#This Row],[Tonnes_t]]="",tblMovement[[#This Row],[Grade_gpt]]=""),0,tblMovement[[#This Row],[Tonnes_t]]*tblMovement[[#This Row],[Grade_gpt]]/cfg_TroyOz)</f>
        <v/>
      </c>
      <c r="O690" s="59">
        <f>IF(tblMovement[[#This Row],[Is_Ore]]=1,tblMovement[[#This Row],[Contained_oz]],0)</f>
        <v/>
      </c>
    </row>
    <row r="691">
      <c r="A691" s="54" t="n"/>
      <c r="B691" s="61" t="n"/>
      <c r="C691" s="61" t="n"/>
      <c r="D691" s="61" t="n"/>
      <c r="E691" s="61" t="n"/>
      <c r="F691" s="55" t="n"/>
      <c r="G691" s="56" t="n"/>
      <c r="H691" s="55" t="n"/>
      <c r="I691" s="62" t="n"/>
      <c r="J691" s="58" t="n"/>
      <c r="K691" s="63">
        <f>IF(tblMovement[[#This Row],[Source]]="","",IFERROR(INDEX(tblSources[Type],MATCH(tblMovement[[#This Row],[Source]],tblSources[Source],0)),"?"))</f>
        <v/>
      </c>
      <c r="L691" s="63">
        <f>IF(tblMovement[[#This Row],[Destination]]="","",IFERROR(INDEX(tblDestinations[Type],MATCH(tblMovement[[#This Row],[Destination]],tblDestinations[Destination],0)),"?"))</f>
        <v/>
      </c>
      <c r="M691" s="64">
        <f>IF(tblMovement[[#This Row],[Material]]="","",IF(LEFT(tblMovement[[#This Row],[Material]],3)="Ore",1,0))</f>
        <v/>
      </c>
      <c r="N691" s="59">
        <f>IF(OR(tblMovement[[#This Row],[Tonnes_t]]="",tblMovement[[#This Row],[Grade_gpt]]=""),0,tblMovement[[#This Row],[Tonnes_t]]*tblMovement[[#This Row],[Grade_gpt]]/cfg_TroyOz)</f>
        <v/>
      </c>
      <c r="O691" s="59">
        <f>IF(tblMovement[[#This Row],[Is_Ore]]=1,tblMovement[[#This Row],[Contained_oz]],0)</f>
        <v/>
      </c>
    </row>
    <row r="692">
      <c r="A692" s="54" t="n"/>
      <c r="B692" s="61" t="n"/>
      <c r="C692" s="61" t="n"/>
      <c r="D692" s="61" t="n"/>
      <c r="E692" s="61" t="n"/>
      <c r="F692" s="55" t="n"/>
      <c r="G692" s="56" t="n"/>
      <c r="H692" s="55" t="n"/>
      <c r="I692" s="62" t="n"/>
      <c r="J692" s="58" t="n"/>
      <c r="K692" s="63">
        <f>IF(tblMovement[[#This Row],[Source]]="","",IFERROR(INDEX(tblSources[Type],MATCH(tblMovement[[#This Row],[Source]],tblSources[Source],0)),"?"))</f>
        <v/>
      </c>
      <c r="L692" s="63">
        <f>IF(tblMovement[[#This Row],[Destination]]="","",IFERROR(INDEX(tblDestinations[Type],MATCH(tblMovement[[#This Row],[Destination]],tblDestinations[Destination],0)),"?"))</f>
        <v/>
      </c>
      <c r="M692" s="64">
        <f>IF(tblMovement[[#This Row],[Material]]="","",IF(LEFT(tblMovement[[#This Row],[Material]],3)="Ore",1,0))</f>
        <v/>
      </c>
      <c r="N692" s="59">
        <f>IF(OR(tblMovement[[#This Row],[Tonnes_t]]="",tblMovement[[#This Row],[Grade_gpt]]=""),0,tblMovement[[#This Row],[Tonnes_t]]*tblMovement[[#This Row],[Grade_gpt]]/cfg_TroyOz)</f>
        <v/>
      </c>
      <c r="O692" s="59">
        <f>IF(tblMovement[[#This Row],[Is_Ore]]=1,tblMovement[[#This Row],[Contained_oz]],0)</f>
        <v/>
      </c>
    </row>
    <row r="693">
      <c r="A693" s="54" t="n"/>
      <c r="B693" s="61" t="n"/>
      <c r="C693" s="61" t="n"/>
      <c r="D693" s="61" t="n"/>
      <c r="E693" s="61" t="n"/>
      <c r="F693" s="55" t="n"/>
      <c r="G693" s="56" t="n"/>
      <c r="H693" s="55" t="n"/>
      <c r="I693" s="62" t="n"/>
      <c r="J693" s="58" t="n"/>
      <c r="K693" s="63">
        <f>IF(tblMovement[[#This Row],[Source]]="","",IFERROR(INDEX(tblSources[Type],MATCH(tblMovement[[#This Row],[Source]],tblSources[Source],0)),"?"))</f>
        <v/>
      </c>
      <c r="L693" s="63">
        <f>IF(tblMovement[[#This Row],[Destination]]="","",IFERROR(INDEX(tblDestinations[Type],MATCH(tblMovement[[#This Row],[Destination]],tblDestinations[Destination],0)),"?"))</f>
        <v/>
      </c>
      <c r="M693" s="64">
        <f>IF(tblMovement[[#This Row],[Material]]="","",IF(LEFT(tblMovement[[#This Row],[Material]],3)="Ore",1,0))</f>
        <v/>
      </c>
      <c r="N693" s="59">
        <f>IF(OR(tblMovement[[#This Row],[Tonnes_t]]="",tblMovement[[#This Row],[Grade_gpt]]=""),0,tblMovement[[#This Row],[Tonnes_t]]*tblMovement[[#This Row],[Grade_gpt]]/cfg_TroyOz)</f>
        <v/>
      </c>
      <c r="O693" s="59">
        <f>IF(tblMovement[[#This Row],[Is_Ore]]=1,tblMovement[[#This Row],[Contained_oz]],0)</f>
        <v/>
      </c>
    </row>
    <row r="694">
      <c r="A694" s="54" t="n"/>
      <c r="B694" s="61" t="n"/>
      <c r="C694" s="61" t="n"/>
      <c r="D694" s="61" t="n"/>
      <c r="E694" s="61" t="n"/>
      <c r="F694" s="55" t="n"/>
      <c r="G694" s="56" t="n"/>
      <c r="H694" s="55" t="n"/>
      <c r="I694" s="62" t="n"/>
      <c r="J694" s="58" t="n"/>
      <c r="K694" s="63">
        <f>IF(tblMovement[[#This Row],[Source]]="","",IFERROR(INDEX(tblSources[Type],MATCH(tblMovement[[#This Row],[Source]],tblSources[Source],0)),"?"))</f>
        <v/>
      </c>
      <c r="L694" s="63">
        <f>IF(tblMovement[[#This Row],[Destination]]="","",IFERROR(INDEX(tblDestinations[Type],MATCH(tblMovement[[#This Row],[Destination]],tblDestinations[Destination],0)),"?"))</f>
        <v/>
      </c>
      <c r="M694" s="64">
        <f>IF(tblMovement[[#This Row],[Material]]="","",IF(LEFT(tblMovement[[#This Row],[Material]],3)="Ore",1,0))</f>
        <v/>
      </c>
      <c r="N694" s="59">
        <f>IF(OR(tblMovement[[#This Row],[Tonnes_t]]="",tblMovement[[#This Row],[Grade_gpt]]=""),0,tblMovement[[#This Row],[Tonnes_t]]*tblMovement[[#This Row],[Grade_gpt]]/cfg_TroyOz)</f>
        <v/>
      </c>
      <c r="O694" s="59">
        <f>IF(tblMovement[[#This Row],[Is_Ore]]=1,tblMovement[[#This Row],[Contained_oz]],0)</f>
        <v/>
      </c>
    </row>
    <row r="695">
      <c r="A695" s="54" t="n"/>
      <c r="B695" s="61" t="n"/>
      <c r="C695" s="61" t="n"/>
      <c r="D695" s="61" t="n"/>
      <c r="E695" s="61" t="n"/>
      <c r="F695" s="55" t="n"/>
      <c r="G695" s="56" t="n"/>
      <c r="H695" s="55" t="n"/>
      <c r="I695" s="62" t="n"/>
      <c r="J695" s="58" t="n"/>
      <c r="K695" s="63">
        <f>IF(tblMovement[[#This Row],[Source]]="","",IFERROR(INDEX(tblSources[Type],MATCH(tblMovement[[#This Row],[Source]],tblSources[Source],0)),"?"))</f>
        <v/>
      </c>
      <c r="L695" s="63">
        <f>IF(tblMovement[[#This Row],[Destination]]="","",IFERROR(INDEX(tblDestinations[Type],MATCH(tblMovement[[#This Row],[Destination]],tblDestinations[Destination],0)),"?"))</f>
        <v/>
      </c>
      <c r="M695" s="64">
        <f>IF(tblMovement[[#This Row],[Material]]="","",IF(LEFT(tblMovement[[#This Row],[Material]],3)="Ore",1,0))</f>
        <v/>
      </c>
      <c r="N695" s="59">
        <f>IF(OR(tblMovement[[#This Row],[Tonnes_t]]="",tblMovement[[#This Row],[Grade_gpt]]=""),0,tblMovement[[#This Row],[Tonnes_t]]*tblMovement[[#This Row],[Grade_gpt]]/cfg_TroyOz)</f>
        <v/>
      </c>
      <c r="O695" s="59">
        <f>IF(tblMovement[[#This Row],[Is_Ore]]=1,tblMovement[[#This Row],[Contained_oz]],0)</f>
        <v/>
      </c>
    </row>
    <row r="696">
      <c r="A696" s="54" t="n"/>
      <c r="B696" s="61" t="n"/>
      <c r="C696" s="61" t="n"/>
      <c r="D696" s="61" t="n"/>
      <c r="E696" s="61" t="n"/>
      <c r="F696" s="55" t="n"/>
      <c r="G696" s="56" t="n"/>
      <c r="H696" s="55" t="n"/>
      <c r="I696" s="62" t="n"/>
      <c r="J696" s="58" t="n"/>
      <c r="K696" s="63">
        <f>IF(tblMovement[[#This Row],[Source]]="","",IFERROR(INDEX(tblSources[Type],MATCH(tblMovement[[#This Row],[Source]],tblSources[Source],0)),"?"))</f>
        <v/>
      </c>
      <c r="L696" s="63">
        <f>IF(tblMovement[[#This Row],[Destination]]="","",IFERROR(INDEX(tblDestinations[Type],MATCH(tblMovement[[#This Row],[Destination]],tblDestinations[Destination],0)),"?"))</f>
        <v/>
      </c>
      <c r="M696" s="64">
        <f>IF(tblMovement[[#This Row],[Material]]="","",IF(LEFT(tblMovement[[#This Row],[Material]],3)="Ore",1,0))</f>
        <v/>
      </c>
      <c r="N696" s="59">
        <f>IF(OR(tblMovement[[#This Row],[Tonnes_t]]="",tblMovement[[#This Row],[Grade_gpt]]=""),0,tblMovement[[#This Row],[Tonnes_t]]*tblMovement[[#This Row],[Grade_gpt]]/cfg_TroyOz)</f>
        <v/>
      </c>
      <c r="O696" s="59">
        <f>IF(tblMovement[[#This Row],[Is_Ore]]=1,tblMovement[[#This Row],[Contained_oz]],0)</f>
        <v/>
      </c>
    </row>
    <row r="697">
      <c r="A697" s="54" t="n"/>
      <c r="B697" s="61" t="n"/>
      <c r="C697" s="61" t="n"/>
      <c r="D697" s="61" t="n"/>
      <c r="E697" s="61" t="n"/>
      <c r="F697" s="55" t="n"/>
      <c r="G697" s="56" t="n"/>
      <c r="H697" s="55" t="n"/>
      <c r="I697" s="62" t="n"/>
      <c r="J697" s="58" t="n"/>
      <c r="K697" s="63">
        <f>IF(tblMovement[[#This Row],[Source]]="","",IFERROR(INDEX(tblSources[Type],MATCH(tblMovement[[#This Row],[Source]],tblSources[Source],0)),"?"))</f>
        <v/>
      </c>
      <c r="L697" s="63">
        <f>IF(tblMovement[[#This Row],[Destination]]="","",IFERROR(INDEX(tblDestinations[Type],MATCH(tblMovement[[#This Row],[Destination]],tblDestinations[Destination],0)),"?"))</f>
        <v/>
      </c>
      <c r="M697" s="64">
        <f>IF(tblMovement[[#This Row],[Material]]="","",IF(LEFT(tblMovement[[#This Row],[Material]],3)="Ore",1,0))</f>
        <v/>
      </c>
      <c r="N697" s="59">
        <f>IF(OR(tblMovement[[#This Row],[Tonnes_t]]="",tblMovement[[#This Row],[Grade_gpt]]=""),0,tblMovement[[#This Row],[Tonnes_t]]*tblMovement[[#This Row],[Grade_gpt]]/cfg_TroyOz)</f>
        <v/>
      </c>
      <c r="O697" s="59">
        <f>IF(tblMovement[[#This Row],[Is_Ore]]=1,tblMovement[[#This Row],[Contained_oz]],0)</f>
        <v/>
      </c>
    </row>
    <row r="698">
      <c r="A698" s="54" t="n"/>
      <c r="B698" s="61" t="n"/>
      <c r="C698" s="61" t="n"/>
      <c r="D698" s="61" t="n"/>
      <c r="E698" s="61" t="n"/>
      <c r="F698" s="55" t="n"/>
      <c r="G698" s="56" t="n"/>
      <c r="H698" s="55" t="n"/>
      <c r="I698" s="62" t="n"/>
      <c r="J698" s="58" t="n"/>
      <c r="K698" s="63">
        <f>IF(tblMovement[[#This Row],[Source]]="","",IFERROR(INDEX(tblSources[Type],MATCH(tblMovement[[#This Row],[Source]],tblSources[Source],0)),"?"))</f>
        <v/>
      </c>
      <c r="L698" s="63">
        <f>IF(tblMovement[[#This Row],[Destination]]="","",IFERROR(INDEX(tblDestinations[Type],MATCH(tblMovement[[#This Row],[Destination]],tblDestinations[Destination],0)),"?"))</f>
        <v/>
      </c>
      <c r="M698" s="64">
        <f>IF(tblMovement[[#This Row],[Material]]="","",IF(LEFT(tblMovement[[#This Row],[Material]],3)="Ore",1,0))</f>
        <v/>
      </c>
      <c r="N698" s="59">
        <f>IF(OR(tblMovement[[#This Row],[Tonnes_t]]="",tblMovement[[#This Row],[Grade_gpt]]=""),0,tblMovement[[#This Row],[Tonnes_t]]*tblMovement[[#This Row],[Grade_gpt]]/cfg_TroyOz)</f>
        <v/>
      </c>
      <c r="O698" s="59">
        <f>IF(tblMovement[[#This Row],[Is_Ore]]=1,tblMovement[[#This Row],[Contained_oz]],0)</f>
        <v/>
      </c>
    </row>
    <row r="699">
      <c r="A699" s="54" t="n"/>
      <c r="B699" s="61" t="n"/>
      <c r="C699" s="61" t="n"/>
      <c r="D699" s="61" t="n"/>
      <c r="E699" s="61" t="n"/>
      <c r="F699" s="55" t="n"/>
      <c r="G699" s="56" t="n"/>
      <c r="H699" s="55" t="n"/>
      <c r="I699" s="62" t="n"/>
      <c r="J699" s="58" t="n"/>
      <c r="K699" s="63">
        <f>IF(tblMovement[[#This Row],[Source]]="","",IFERROR(INDEX(tblSources[Type],MATCH(tblMovement[[#This Row],[Source]],tblSources[Source],0)),"?"))</f>
        <v/>
      </c>
      <c r="L699" s="63">
        <f>IF(tblMovement[[#This Row],[Destination]]="","",IFERROR(INDEX(tblDestinations[Type],MATCH(tblMovement[[#This Row],[Destination]],tblDestinations[Destination],0)),"?"))</f>
        <v/>
      </c>
      <c r="M699" s="64">
        <f>IF(tblMovement[[#This Row],[Material]]="","",IF(LEFT(tblMovement[[#This Row],[Material]],3)="Ore",1,0))</f>
        <v/>
      </c>
      <c r="N699" s="59">
        <f>IF(OR(tblMovement[[#This Row],[Tonnes_t]]="",tblMovement[[#This Row],[Grade_gpt]]=""),0,tblMovement[[#This Row],[Tonnes_t]]*tblMovement[[#This Row],[Grade_gpt]]/cfg_TroyOz)</f>
        <v/>
      </c>
      <c r="O699" s="59">
        <f>IF(tblMovement[[#This Row],[Is_Ore]]=1,tblMovement[[#This Row],[Contained_oz]],0)</f>
        <v/>
      </c>
    </row>
    <row r="700">
      <c r="A700" s="54" t="n"/>
      <c r="B700" s="61" t="n"/>
      <c r="C700" s="61" t="n"/>
      <c r="D700" s="61" t="n"/>
      <c r="E700" s="61" t="n"/>
      <c r="F700" s="55" t="n"/>
      <c r="G700" s="56" t="n"/>
      <c r="H700" s="55" t="n"/>
      <c r="I700" s="62" t="n"/>
      <c r="J700" s="58" t="n"/>
      <c r="K700" s="63">
        <f>IF(tblMovement[[#This Row],[Source]]="","",IFERROR(INDEX(tblSources[Type],MATCH(tblMovement[[#This Row],[Source]],tblSources[Source],0)),"?"))</f>
        <v/>
      </c>
      <c r="L700" s="63">
        <f>IF(tblMovement[[#This Row],[Destination]]="","",IFERROR(INDEX(tblDestinations[Type],MATCH(tblMovement[[#This Row],[Destination]],tblDestinations[Destination],0)),"?"))</f>
        <v/>
      </c>
      <c r="M700" s="64">
        <f>IF(tblMovement[[#This Row],[Material]]="","",IF(LEFT(tblMovement[[#This Row],[Material]],3)="Ore",1,0))</f>
        <v/>
      </c>
      <c r="N700" s="59">
        <f>IF(OR(tblMovement[[#This Row],[Tonnes_t]]="",tblMovement[[#This Row],[Grade_gpt]]=""),0,tblMovement[[#This Row],[Tonnes_t]]*tblMovement[[#This Row],[Grade_gpt]]/cfg_TroyOz)</f>
        <v/>
      </c>
      <c r="O700" s="59">
        <f>IF(tblMovement[[#This Row],[Is_Ore]]=1,tblMovement[[#This Row],[Contained_oz]],0)</f>
        <v/>
      </c>
    </row>
    <row r="701">
      <c r="A701" s="54" t="n"/>
      <c r="B701" s="61" t="n"/>
      <c r="C701" s="61" t="n"/>
      <c r="D701" s="61" t="n"/>
      <c r="E701" s="61" t="n"/>
      <c r="F701" s="55" t="n"/>
      <c r="G701" s="56" t="n"/>
      <c r="H701" s="55" t="n"/>
      <c r="I701" s="62" t="n"/>
      <c r="J701" s="58" t="n"/>
      <c r="K701" s="63">
        <f>IF(tblMovement[[#This Row],[Source]]="","",IFERROR(INDEX(tblSources[Type],MATCH(tblMovement[[#This Row],[Source]],tblSources[Source],0)),"?"))</f>
        <v/>
      </c>
      <c r="L701" s="63">
        <f>IF(tblMovement[[#This Row],[Destination]]="","",IFERROR(INDEX(tblDestinations[Type],MATCH(tblMovement[[#This Row],[Destination]],tblDestinations[Destination],0)),"?"))</f>
        <v/>
      </c>
      <c r="M701" s="64">
        <f>IF(tblMovement[[#This Row],[Material]]="","",IF(LEFT(tblMovement[[#This Row],[Material]],3)="Ore",1,0))</f>
        <v/>
      </c>
      <c r="N701" s="59">
        <f>IF(OR(tblMovement[[#This Row],[Tonnes_t]]="",tblMovement[[#This Row],[Grade_gpt]]=""),0,tblMovement[[#This Row],[Tonnes_t]]*tblMovement[[#This Row],[Grade_gpt]]/cfg_TroyOz)</f>
        <v/>
      </c>
      <c r="O701" s="59">
        <f>IF(tblMovement[[#This Row],[Is_Ore]]=1,tblMovement[[#This Row],[Contained_oz]],0)</f>
        <v/>
      </c>
    </row>
    <row r="702">
      <c r="A702" s="54" t="n"/>
      <c r="B702" s="61" t="n"/>
      <c r="C702" s="61" t="n"/>
      <c r="D702" s="61" t="n"/>
      <c r="E702" s="61" t="n"/>
      <c r="F702" s="55" t="n"/>
      <c r="G702" s="56" t="n"/>
      <c r="H702" s="55" t="n"/>
      <c r="I702" s="62" t="n"/>
      <c r="J702" s="58" t="n"/>
      <c r="K702" s="63">
        <f>IF(tblMovement[[#This Row],[Source]]="","",IFERROR(INDEX(tblSources[Type],MATCH(tblMovement[[#This Row],[Source]],tblSources[Source],0)),"?"))</f>
        <v/>
      </c>
      <c r="L702" s="63">
        <f>IF(tblMovement[[#This Row],[Destination]]="","",IFERROR(INDEX(tblDestinations[Type],MATCH(tblMovement[[#This Row],[Destination]],tblDestinations[Destination],0)),"?"))</f>
        <v/>
      </c>
      <c r="M702" s="64">
        <f>IF(tblMovement[[#This Row],[Material]]="","",IF(LEFT(tblMovement[[#This Row],[Material]],3)="Ore",1,0))</f>
        <v/>
      </c>
      <c r="N702" s="59">
        <f>IF(OR(tblMovement[[#This Row],[Tonnes_t]]="",tblMovement[[#This Row],[Grade_gpt]]=""),0,tblMovement[[#This Row],[Tonnes_t]]*tblMovement[[#This Row],[Grade_gpt]]/cfg_TroyOz)</f>
        <v/>
      </c>
      <c r="O702" s="59">
        <f>IF(tblMovement[[#This Row],[Is_Ore]]=1,tblMovement[[#This Row],[Contained_oz]],0)</f>
        <v/>
      </c>
    </row>
    <row r="703">
      <c r="A703" s="54" t="n"/>
      <c r="B703" s="61" t="n"/>
      <c r="C703" s="61" t="n"/>
      <c r="D703" s="61" t="n"/>
      <c r="E703" s="61" t="n"/>
      <c r="F703" s="55" t="n"/>
      <c r="G703" s="56" t="n"/>
      <c r="H703" s="55" t="n"/>
      <c r="I703" s="62" t="n"/>
      <c r="J703" s="58" t="n"/>
      <c r="K703" s="63">
        <f>IF(tblMovement[[#This Row],[Source]]="","",IFERROR(INDEX(tblSources[Type],MATCH(tblMovement[[#This Row],[Source]],tblSources[Source],0)),"?"))</f>
        <v/>
      </c>
      <c r="L703" s="63">
        <f>IF(tblMovement[[#This Row],[Destination]]="","",IFERROR(INDEX(tblDestinations[Type],MATCH(tblMovement[[#This Row],[Destination]],tblDestinations[Destination],0)),"?"))</f>
        <v/>
      </c>
      <c r="M703" s="64">
        <f>IF(tblMovement[[#This Row],[Material]]="","",IF(LEFT(tblMovement[[#This Row],[Material]],3)="Ore",1,0))</f>
        <v/>
      </c>
      <c r="N703" s="59">
        <f>IF(OR(tblMovement[[#This Row],[Tonnes_t]]="",tblMovement[[#This Row],[Grade_gpt]]=""),0,tblMovement[[#This Row],[Tonnes_t]]*tblMovement[[#This Row],[Grade_gpt]]/cfg_TroyOz)</f>
        <v/>
      </c>
      <c r="O703" s="59">
        <f>IF(tblMovement[[#This Row],[Is_Ore]]=1,tblMovement[[#This Row],[Contained_oz]],0)</f>
        <v/>
      </c>
    </row>
    <row r="704">
      <c r="A704" s="54" t="n"/>
      <c r="B704" s="61" t="n"/>
      <c r="C704" s="61" t="n"/>
      <c r="D704" s="61" t="n"/>
      <c r="E704" s="61" t="n"/>
      <c r="F704" s="55" t="n"/>
      <c r="G704" s="56" t="n"/>
      <c r="H704" s="55" t="n"/>
      <c r="I704" s="62" t="n"/>
      <c r="J704" s="58" t="n"/>
      <c r="K704" s="63">
        <f>IF(tblMovement[[#This Row],[Source]]="","",IFERROR(INDEX(tblSources[Type],MATCH(tblMovement[[#This Row],[Source]],tblSources[Source],0)),"?"))</f>
        <v/>
      </c>
      <c r="L704" s="63">
        <f>IF(tblMovement[[#This Row],[Destination]]="","",IFERROR(INDEX(tblDestinations[Type],MATCH(tblMovement[[#This Row],[Destination]],tblDestinations[Destination],0)),"?"))</f>
        <v/>
      </c>
      <c r="M704" s="64">
        <f>IF(tblMovement[[#This Row],[Material]]="","",IF(LEFT(tblMovement[[#This Row],[Material]],3)="Ore",1,0))</f>
        <v/>
      </c>
      <c r="N704" s="59">
        <f>IF(OR(tblMovement[[#This Row],[Tonnes_t]]="",tblMovement[[#This Row],[Grade_gpt]]=""),0,tblMovement[[#This Row],[Tonnes_t]]*tblMovement[[#This Row],[Grade_gpt]]/cfg_TroyOz)</f>
        <v/>
      </c>
      <c r="O704" s="59">
        <f>IF(tblMovement[[#This Row],[Is_Ore]]=1,tblMovement[[#This Row],[Contained_oz]],0)</f>
        <v/>
      </c>
    </row>
    <row r="705">
      <c r="A705" s="54" t="n"/>
      <c r="B705" s="61" t="n"/>
      <c r="C705" s="61" t="n"/>
      <c r="D705" s="61" t="n"/>
      <c r="E705" s="61" t="n"/>
      <c r="F705" s="55" t="n"/>
      <c r="G705" s="56" t="n"/>
      <c r="H705" s="55" t="n"/>
      <c r="I705" s="62" t="n"/>
      <c r="J705" s="58" t="n"/>
      <c r="K705" s="63">
        <f>IF(tblMovement[[#This Row],[Source]]="","",IFERROR(INDEX(tblSources[Type],MATCH(tblMovement[[#This Row],[Source]],tblSources[Source],0)),"?"))</f>
        <v/>
      </c>
      <c r="L705" s="63">
        <f>IF(tblMovement[[#This Row],[Destination]]="","",IFERROR(INDEX(tblDestinations[Type],MATCH(tblMovement[[#This Row],[Destination]],tblDestinations[Destination],0)),"?"))</f>
        <v/>
      </c>
      <c r="M705" s="64">
        <f>IF(tblMovement[[#This Row],[Material]]="","",IF(LEFT(tblMovement[[#This Row],[Material]],3)="Ore",1,0))</f>
        <v/>
      </c>
      <c r="N705" s="59">
        <f>IF(OR(tblMovement[[#This Row],[Tonnes_t]]="",tblMovement[[#This Row],[Grade_gpt]]=""),0,tblMovement[[#This Row],[Tonnes_t]]*tblMovement[[#This Row],[Grade_gpt]]/cfg_TroyOz)</f>
        <v/>
      </c>
      <c r="O705" s="59">
        <f>IF(tblMovement[[#This Row],[Is_Ore]]=1,tblMovement[[#This Row],[Contained_oz]],0)</f>
        <v/>
      </c>
    </row>
    <row r="706">
      <c r="A706" s="54" t="n"/>
      <c r="B706" s="61" t="n"/>
      <c r="C706" s="61" t="n"/>
      <c r="D706" s="61" t="n"/>
      <c r="E706" s="61" t="n"/>
      <c r="F706" s="55" t="n"/>
      <c r="G706" s="56" t="n"/>
      <c r="H706" s="55" t="n"/>
      <c r="I706" s="62" t="n"/>
      <c r="J706" s="58" t="n"/>
      <c r="K706" s="63">
        <f>IF(tblMovement[[#This Row],[Source]]="","",IFERROR(INDEX(tblSources[Type],MATCH(tblMovement[[#This Row],[Source]],tblSources[Source],0)),"?"))</f>
        <v/>
      </c>
      <c r="L706" s="63">
        <f>IF(tblMovement[[#This Row],[Destination]]="","",IFERROR(INDEX(tblDestinations[Type],MATCH(tblMovement[[#This Row],[Destination]],tblDestinations[Destination],0)),"?"))</f>
        <v/>
      </c>
      <c r="M706" s="64">
        <f>IF(tblMovement[[#This Row],[Material]]="","",IF(LEFT(tblMovement[[#This Row],[Material]],3)="Ore",1,0))</f>
        <v/>
      </c>
      <c r="N706" s="59">
        <f>IF(OR(tblMovement[[#This Row],[Tonnes_t]]="",tblMovement[[#This Row],[Grade_gpt]]=""),0,tblMovement[[#This Row],[Tonnes_t]]*tblMovement[[#This Row],[Grade_gpt]]/cfg_TroyOz)</f>
        <v/>
      </c>
      <c r="O706" s="59">
        <f>IF(tblMovement[[#This Row],[Is_Ore]]=1,tblMovement[[#This Row],[Contained_oz]],0)</f>
        <v/>
      </c>
    </row>
    <row r="707">
      <c r="A707" s="54" t="n"/>
      <c r="B707" s="61" t="n"/>
      <c r="C707" s="61" t="n"/>
      <c r="D707" s="61" t="n"/>
      <c r="E707" s="61" t="n"/>
      <c r="F707" s="55" t="n"/>
      <c r="G707" s="56" t="n"/>
      <c r="H707" s="55" t="n"/>
      <c r="I707" s="62" t="n"/>
      <c r="J707" s="58" t="n"/>
      <c r="K707" s="63">
        <f>IF(tblMovement[[#This Row],[Source]]="","",IFERROR(INDEX(tblSources[Type],MATCH(tblMovement[[#This Row],[Source]],tblSources[Source],0)),"?"))</f>
        <v/>
      </c>
      <c r="L707" s="63">
        <f>IF(tblMovement[[#This Row],[Destination]]="","",IFERROR(INDEX(tblDestinations[Type],MATCH(tblMovement[[#This Row],[Destination]],tblDestinations[Destination],0)),"?"))</f>
        <v/>
      </c>
      <c r="M707" s="64">
        <f>IF(tblMovement[[#This Row],[Material]]="","",IF(LEFT(tblMovement[[#This Row],[Material]],3)="Ore",1,0))</f>
        <v/>
      </c>
      <c r="N707" s="59">
        <f>IF(OR(tblMovement[[#This Row],[Tonnes_t]]="",tblMovement[[#This Row],[Grade_gpt]]=""),0,tblMovement[[#This Row],[Tonnes_t]]*tblMovement[[#This Row],[Grade_gpt]]/cfg_TroyOz)</f>
        <v/>
      </c>
      <c r="O707" s="59">
        <f>IF(tblMovement[[#This Row],[Is_Ore]]=1,tblMovement[[#This Row],[Contained_oz]],0)</f>
        <v/>
      </c>
    </row>
    <row r="708">
      <c r="A708" s="54" t="n"/>
      <c r="B708" s="61" t="n"/>
      <c r="C708" s="61" t="n"/>
      <c r="D708" s="61" t="n"/>
      <c r="E708" s="61" t="n"/>
      <c r="F708" s="55" t="n"/>
      <c r="G708" s="56" t="n"/>
      <c r="H708" s="55" t="n"/>
      <c r="I708" s="62" t="n"/>
      <c r="J708" s="58" t="n"/>
      <c r="K708" s="63">
        <f>IF(tblMovement[[#This Row],[Source]]="","",IFERROR(INDEX(tblSources[Type],MATCH(tblMovement[[#This Row],[Source]],tblSources[Source],0)),"?"))</f>
        <v/>
      </c>
      <c r="L708" s="63">
        <f>IF(tblMovement[[#This Row],[Destination]]="","",IFERROR(INDEX(tblDestinations[Type],MATCH(tblMovement[[#This Row],[Destination]],tblDestinations[Destination],0)),"?"))</f>
        <v/>
      </c>
      <c r="M708" s="64">
        <f>IF(tblMovement[[#This Row],[Material]]="","",IF(LEFT(tblMovement[[#This Row],[Material]],3)="Ore",1,0))</f>
        <v/>
      </c>
      <c r="N708" s="59">
        <f>IF(OR(tblMovement[[#This Row],[Tonnes_t]]="",tblMovement[[#This Row],[Grade_gpt]]=""),0,tblMovement[[#This Row],[Tonnes_t]]*tblMovement[[#This Row],[Grade_gpt]]/cfg_TroyOz)</f>
        <v/>
      </c>
      <c r="O708" s="59">
        <f>IF(tblMovement[[#This Row],[Is_Ore]]=1,tblMovement[[#This Row],[Contained_oz]],0)</f>
        <v/>
      </c>
    </row>
    <row r="709">
      <c r="A709" s="54" t="n"/>
      <c r="B709" s="61" t="n"/>
      <c r="C709" s="61" t="n"/>
      <c r="D709" s="61" t="n"/>
      <c r="E709" s="61" t="n"/>
      <c r="F709" s="55" t="n"/>
      <c r="G709" s="56" t="n"/>
      <c r="H709" s="55" t="n"/>
      <c r="I709" s="62" t="n"/>
      <c r="J709" s="58" t="n"/>
      <c r="K709" s="63">
        <f>IF(tblMovement[[#This Row],[Source]]="","",IFERROR(INDEX(tblSources[Type],MATCH(tblMovement[[#This Row],[Source]],tblSources[Source],0)),"?"))</f>
        <v/>
      </c>
      <c r="L709" s="63">
        <f>IF(tblMovement[[#This Row],[Destination]]="","",IFERROR(INDEX(tblDestinations[Type],MATCH(tblMovement[[#This Row],[Destination]],tblDestinations[Destination],0)),"?"))</f>
        <v/>
      </c>
      <c r="M709" s="64">
        <f>IF(tblMovement[[#This Row],[Material]]="","",IF(LEFT(tblMovement[[#This Row],[Material]],3)="Ore",1,0))</f>
        <v/>
      </c>
      <c r="N709" s="59">
        <f>IF(OR(tblMovement[[#This Row],[Tonnes_t]]="",tblMovement[[#This Row],[Grade_gpt]]=""),0,tblMovement[[#This Row],[Tonnes_t]]*tblMovement[[#This Row],[Grade_gpt]]/cfg_TroyOz)</f>
        <v/>
      </c>
      <c r="O709" s="59">
        <f>IF(tblMovement[[#This Row],[Is_Ore]]=1,tblMovement[[#This Row],[Contained_oz]],0)</f>
        <v/>
      </c>
    </row>
    <row r="710">
      <c r="A710" s="54" t="n"/>
      <c r="B710" s="61" t="n"/>
      <c r="C710" s="61" t="n"/>
      <c r="D710" s="61" t="n"/>
      <c r="E710" s="61" t="n"/>
      <c r="F710" s="55" t="n"/>
      <c r="G710" s="56" t="n"/>
      <c r="H710" s="55" t="n"/>
      <c r="I710" s="62" t="n"/>
      <c r="J710" s="58" t="n"/>
      <c r="K710" s="63">
        <f>IF(tblMovement[[#This Row],[Source]]="","",IFERROR(INDEX(tblSources[Type],MATCH(tblMovement[[#This Row],[Source]],tblSources[Source],0)),"?"))</f>
        <v/>
      </c>
      <c r="L710" s="63">
        <f>IF(tblMovement[[#This Row],[Destination]]="","",IFERROR(INDEX(tblDestinations[Type],MATCH(tblMovement[[#This Row],[Destination]],tblDestinations[Destination],0)),"?"))</f>
        <v/>
      </c>
      <c r="M710" s="64">
        <f>IF(tblMovement[[#This Row],[Material]]="","",IF(LEFT(tblMovement[[#This Row],[Material]],3)="Ore",1,0))</f>
        <v/>
      </c>
      <c r="N710" s="59">
        <f>IF(OR(tblMovement[[#This Row],[Tonnes_t]]="",tblMovement[[#This Row],[Grade_gpt]]=""),0,tblMovement[[#This Row],[Tonnes_t]]*tblMovement[[#This Row],[Grade_gpt]]/cfg_TroyOz)</f>
        <v/>
      </c>
      <c r="O710" s="59">
        <f>IF(tblMovement[[#This Row],[Is_Ore]]=1,tblMovement[[#This Row],[Contained_oz]],0)</f>
        <v/>
      </c>
    </row>
    <row r="711">
      <c r="A711" s="54" t="n"/>
      <c r="B711" s="61" t="n"/>
      <c r="C711" s="61" t="n"/>
      <c r="D711" s="61" t="n"/>
      <c r="E711" s="61" t="n"/>
      <c r="F711" s="55" t="n"/>
      <c r="G711" s="56" t="n"/>
      <c r="H711" s="55" t="n"/>
      <c r="I711" s="62" t="n"/>
      <c r="J711" s="58" t="n"/>
      <c r="K711" s="63">
        <f>IF(tblMovement[[#This Row],[Source]]="","",IFERROR(INDEX(tblSources[Type],MATCH(tblMovement[[#This Row],[Source]],tblSources[Source],0)),"?"))</f>
        <v/>
      </c>
      <c r="L711" s="63">
        <f>IF(tblMovement[[#This Row],[Destination]]="","",IFERROR(INDEX(tblDestinations[Type],MATCH(tblMovement[[#This Row],[Destination]],tblDestinations[Destination],0)),"?"))</f>
        <v/>
      </c>
      <c r="M711" s="64">
        <f>IF(tblMovement[[#This Row],[Material]]="","",IF(LEFT(tblMovement[[#This Row],[Material]],3)="Ore",1,0))</f>
        <v/>
      </c>
      <c r="N711" s="59">
        <f>IF(OR(tblMovement[[#This Row],[Tonnes_t]]="",tblMovement[[#This Row],[Grade_gpt]]=""),0,tblMovement[[#This Row],[Tonnes_t]]*tblMovement[[#This Row],[Grade_gpt]]/cfg_TroyOz)</f>
        <v/>
      </c>
      <c r="O711" s="59">
        <f>IF(tblMovement[[#This Row],[Is_Ore]]=1,tblMovement[[#This Row],[Contained_oz]],0)</f>
        <v/>
      </c>
    </row>
    <row r="712">
      <c r="A712" s="54" t="n"/>
      <c r="B712" s="61" t="n"/>
      <c r="C712" s="61" t="n"/>
      <c r="D712" s="61" t="n"/>
      <c r="E712" s="61" t="n"/>
      <c r="F712" s="55" t="n"/>
      <c r="G712" s="56" t="n"/>
      <c r="H712" s="55" t="n"/>
      <c r="I712" s="62" t="n"/>
      <c r="J712" s="58" t="n"/>
      <c r="K712" s="63">
        <f>IF(tblMovement[[#This Row],[Source]]="","",IFERROR(INDEX(tblSources[Type],MATCH(tblMovement[[#This Row],[Source]],tblSources[Source],0)),"?"))</f>
        <v/>
      </c>
      <c r="L712" s="63">
        <f>IF(tblMovement[[#This Row],[Destination]]="","",IFERROR(INDEX(tblDestinations[Type],MATCH(tblMovement[[#This Row],[Destination]],tblDestinations[Destination],0)),"?"))</f>
        <v/>
      </c>
      <c r="M712" s="64">
        <f>IF(tblMovement[[#This Row],[Material]]="","",IF(LEFT(tblMovement[[#This Row],[Material]],3)="Ore",1,0))</f>
        <v/>
      </c>
      <c r="N712" s="59">
        <f>IF(OR(tblMovement[[#This Row],[Tonnes_t]]="",tblMovement[[#This Row],[Grade_gpt]]=""),0,tblMovement[[#This Row],[Tonnes_t]]*tblMovement[[#This Row],[Grade_gpt]]/cfg_TroyOz)</f>
        <v/>
      </c>
      <c r="O712" s="59">
        <f>IF(tblMovement[[#This Row],[Is_Ore]]=1,tblMovement[[#This Row],[Contained_oz]],0)</f>
        <v/>
      </c>
    </row>
    <row r="713">
      <c r="A713" s="54" t="n"/>
      <c r="B713" s="61" t="n"/>
      <c r="C713" s="61" t="n"/>
      <c r="D713" s="61" t="n"/>
      <c r="E713" s="61" t="n"/>
      <c r="F713" s="55" t="n"/>
      <c r="G713" s="56" t="n"/>
      <c r="H713" s="55" t="n"/>
      <c r="I713" s="62" t="n"/>
      <c r="J713" s="58" t="n"/>
      <c r="K713" s="63">
        <f>IF(tblMovement[[#This Row],[Source]]="","",IFERROR(INDEX(tblSources[Type],MATCH(tblMovement[[#This Row],[Source]],tblSources[Source],0)),"?"))</f>
        <v/>
      </c>
      <c r="L713" s="63">
        <f>IF(tblMovement[[#This Row],[Destination]]="","",IFERROR(INDEX(tblDestinations[Type],MATCH(tblMovement[[#This Row],[Destination]],tblDestinations[Destination],0)),"?"))</f>
        <v/>
      </c>
      <c r="M713" s="64">
        <f>IF(tblMovement[[#This Row],[Material]]="","",IF(LEFT(tblMovement[[#This Row],[Material]],3)="Ore",1,0))</f>
        <v/>
      </c>
      <c r="N713" s="59">
        <f>IF(OR(tblMovement[[#This Row],[Tonnes_t]]="",tblMovement[[#This Row],[Grade_gpt]]=""),0,tblMovement[[#This Row],[Tonnes_t]]*tblMovement[[#This Row],[Grade_gpt]]/cfg_TroyOz)</f>
        <v/>
      </c>
      <c r="O713" s="59">
        <f>IF(tblMovement[[#This Row],[Is_Ore]]=1,tblMovement[[#This Row],[Contained_oz]],0)</f>
        <v/>
      </c>
    </row>
    <row r="714">
      <c r="A714" s="54" t="n"/>
      <c r="B714" s="61" t="n"/>
      <c r="C714" s="61" t="n"/>
      <c r="D714" s="61" t="n"/>
      <c r="E714" s="61" t="n"/>
      <c r="F714" s="55" t="n"/>
      <c r="G714" s="56" t="n"/>
      <c r="H714" s="55" t="n"/>
      <c r="I714" s="62" t="n"/>
      <c r="J714" s="58" t="n"/>
      <c r="K714" s="63">
        <f>IF(tblMovement[[#This Row],[Source]]="","",IFERROR(INDEX(tblSources[Type],MATCH(tblMovement[[#This Row],[Source]],tblSources[Source],0)),"?"))</f>
        <v/>
      </c>
      <c r="L714" s="63">
        <f>IF(tblMovement[[#This Row],[Destination]]="","",IFERROR(INDEX(tblDestinations[Type],MATCH(tblMovement[[#This Row],[Destination]],tblDestinations[Destination],0)),"?"))</f>
        <v/>
      </c>
      <c r="M714" s="64">
        <f>IF(tblMovement[[#This Row],[Material]]="","",IF(LEFT(tblMovement[[#This Row],[Material]],3)="Ore",1,0))</f>
        <v/>
      </c>
      <c r="N714" s="59">
        <f>IF(OR(tblMovement[[#This Row],[Tonnes_t]]="",tblMovement[[#This Row],[Grade_gpt]]=""),0,tblMovement[[#This Row],[Tonnes_t]]*tblMovement[[#This Row],[Grade_gpt]]/cfg_TroyOz)</f>
        <v/>
      </c>
      <c r="O714" s="59">
        <f>IF(tblMovement[[#This Row],[Is_Ore]]=1,tblMovement[[#This Row],[Contained_oz]],0)</f>
        <v/>
      </c>
    </row>
    <row r="715">
      <c r="A715" s="54" t="n"/>
      <c r="B715" s="61" t="n"/>
      <c r="C715" s="61" t="n"/>
      <c r="D715" s="61" t="n"/>
      <c r="E715" s="61" t="n"/>
      <c r="F715" s="55" t="n"/>
      <c r="G715" s="56" t="n"/>
      <c r="H715" s="55" t="n"/>
      <c r="I715" s="62" t="n"/>
      <c r="J715" s="58" t="n"/>
      <c r="K715" s="63">
        <f>IF(tblMovement[[#This Row],[Source]]="","",IFERROR(INDEX(tblSources[Type],MATCH(tblMovement[[#This Row],[Source]],tblSources[Source],0)),"?"))</f>
        <v/>
      </c>
      <c r="L715" s="63">
        <f>IF(tblMovement[[#This Row],[Destination]]="","",IFERROR(INDEX(tblDestinations[Type],MATCH(tblMovement[[#This Row],[Destination]],tblDestinations[Destination],0)),"?"))</f>
        <v/>
      </c>
      <c r="M715" s="64">
        <f>IF(tblMovement[[#This Row],[Material]]="","",IF(LEFT(tblMovement[[#This Row],[Material]],3)="Ore",1,0))</f>
        <v/>
      </c>
      <c r="N715" s="59">
        <f>IF(OR(tblMovement[[#This Row],[Tonnes_t]]="",tblMovement[[#This Row],[Grade_gpt]]=""),0,tblMovement[[#This Row],[Tonnes_t]]*tblMovement[[#This Row],[Grade_gpt]]/cfg_TroyOz)</f>
        <v/>
      </c>
      <c r="O715" s="59">
        <f>IF(tblMovement[[#This Row],[Is_Ore]]=1,tblMovement[[#This Row],[Contained_oz]],0)</f>
        <v/>
      </c>
    </row>
    <row r="716">
      <c r="A716" s="54" t="n"/>
      <c r="B716" s="61" t="n"/>
      <c r="C716" s="61" t="n"/>
      <c r="D716" s="61" t="n"/>
      <c r="E716" s="61" t="n"/>
      <c r="F716" s="55" t="n"/>
      <c r="G716" s="56" t="n"/>
      <c r="H716" s="55" t="n"/>
      <c r="I716" s="62" t="n"/>
      <c r="J716" s="58" t="n"/>
      <c r="K716" s="63">
        <f>IF(tblMovement[[#This Row],[Source]]="","",IFERROR(INDEX(tblSources[Type],MATCH(tblMovement[[#This Row],[Source]],tblSources[Source],0)),"?"))</f>
        <v/>
      </c>
      <c r="L716" s="63">
        <f>IF(tblMovement[[#This Row],[Destination]]="","",IFERROR(INDEX(tblDestinations[Type],MATCH(tblMovement[[#This Row],[Destination]],tblDestinations[Destination],0)),"?"))</f>
        <v/>
      </c>
      <c r="M716" s="64">
        <f>IF(tblMovement[[#This Row],[Material]]="","",IF(LEFT(tblMovement[[#This Row],[Material]],3)="Ore",1,0))</f>
        <v/>
      </c>
      <c r="N716" s="59">
        <f>IF(OR(tblMovement[[#This Row],[Tonnes_t]]="",tblMovement[[#This Row],[Grade_gpt]]=""),0,tblMovement[[#This Row],[Tonnes_t]]*tblMovement[[#This Row],[Grade_gpt]]/cfg_TroyOz)</f>
        <v/>
      </c>
      <c r="O716" s="59">
        <f>IF(tblMovement[[#This Row],[Is_Ore]]=1,tblMovement[[#This Row],[Contained_oz]],0)</f>
        <v/>
      </c>
    </row>
    <row r="717">
      <c r="A717" s="54" t="n"/>
      <c r="B717" s="61" t="n"/>
      <c r="C717" s="61" t="n"/>
      <c r="D717" s="61" t="n"/>
      <c r="E717" s="61" t="n"/>
      <c r="F717" s="55" t="n"/>
      <c r="G717" s="56" t="n"/>
      <c r="H717" s="55" t="n"/>
      <c r="I717" s="62" t="n"/>
      <c r="J717" s="58" t="n"/>
      <c r="K717" s="63">
        <f>IF(tblMovement[[#This Row],[Source]]="","",IFERROR(INDEX(tblSources[Type],MATCH(tblMovement[[#This Row],[Source]],tblSources[Source],0)),"?"))</f>
        <v/>
      </c>
      <c r="L717" s="63">
        <f>IF(tblMovement[[#This Row],[Destination]]="","",IFERROR(INDEX(tblDestinations[Type],MATCH(tblMovement[[#This Row],[Destination]],tblDestinations[Destination],0)),"?"))</f>
        <v/>
      </c>
      <c r="M717" s="64">
        <f>IF(tblMovement[[#This Row],[Material]]="","",IF(LEFT(tblMovement[[#This Row],[Material]],3)="Ore",1,0))</f>
        <v/>
      </c>
      <c r="N717" s="59">
        <f>IF(OR(tblMovement[[#This Row],[Tonnes_t]]="",tblMovement[[#This Row],[Grade_gpt]]=""),0,tblMovement[[#This Row],[Tonnes_t]]*tblMovement[[#This Row],[Grade_gpt]]/cfg_TroyOz)</f>
        <v/>
      </c>
      <c r="O717" s="59">
        <f>IF(tblMovement[[#This Row],[Is_Ore]]=1,tblMovement[[#This Row],[Contained_oz]],0)</f>
        <v/>
      </c>
    </row>
    <row r="718">
      <c r="A718" s="54" t="n"/>
      <c r="B718" s="61" t="n"/>
      <c r="C718" s="61" t="n"/>
      <c r="D718" s="61" t="n"/>
      <c r="E718" s="61" t="n"/>
      <c r="F718" s="55" t="n"/>
      <c r="G718" s="56" t="n"/>
      <c r="H718" s="55" t="n"/>
      <c r="I718" s="62" t="n"/>
      <c r="J718" s="58" t="n"/>
      <c r="K718" s="63">
        <f>IF(tblMovement[[#This Row],[Source]]="","",IFERROR(INDEX(tblSources[Type],MATCH(tblMovement[[#This Row],[Source]],tblSources[Source],0)),"?"))</f>
        <v/>
      </c>
      <c r="L718" s="63">
        <f>IF(tblMovement[[#This Row],[Destination]]="","",IFERROR(INDEX(tblDestinations[Type],MATCH(tblMovement[[#This Row],[Destination]],tblDestinations[Destination],0)),"?"))</f>
        <v/>
      </c>
      <c r="M718" s="64">
        <f>IF(tblMovement[[#This Row],[Material]]="","",IF(LEFT(tblMovement[[#This Row],[Material]],3)="Ore",1,0))</f>
        <v/>
      </c>
      <c r="N718" s="59">
        <f>IF(OR(tblMovement[[#This Row],[Tonnes_t]]="",tblMovement[[#This Row],[Grade_gpt]]=""),0,tblMovement[[#This Row],[Tonnes_t]]*tblMovement[[#This Row],[Grade_gpt]]/cfg_TroyOz)</f>
        <v/>
      </c>
      <c r="O718" s="59">
        <f>IF(tblMovement[[#This Row],[Is_Ore]]=1,tblMovement[[#This Row],[Contained_oz]],0)</f>
        <v/>
      </c>
    </row>
    <row r="719">
      <c r="A719" s="54" t="n"/>
      <c r="B719" s="61" t="n"/>
      <c r="C719" s="61" t="n"/>
      <c r="D719" s="61" t="n"/>
      <c r="E719" s="61" t="n"/>
      <c r="F719" s="55" t="n"/>
      <c r="G719" s="56" t="n"/>
      <c r="H719" s="55" t="n"/>
      <c r="I719" s="62" t="n"/>
      <c r="J719" s="58" t="n"/>
      <c r="K719" s="63">
        <f>IF(tblMovement[[#This Row],[Source]]="","",IFERROR(INDEX(tblSources[Type],MATCH(tblMovement[[#This Row],[Source]],tblSources[Source],0)),"?"))</f>
        <v/>
      </c>
      <c r="L719" s="63">
        <f>IF(tblMovement[[#This Row],[Destination]]="","",IFERROR(INDEX(tblDestinations[Type],MATCH(tblMovement[[#This Row],[Destination]],tblDestinations[Destination],0)),"?"))</f>
        <v/>
      </c>
      <c r="M719" s="64">
        <f>IF(tblMovement[[#This Row],[Material]]="","",IF(LEFT(tblMovement[[#This Row],[Material]],3)="Ore",1,0))</f>
        <v/>
      </c>
      <c r="N719" s="59">
        <f>IF(OR(tblMovement[[#This Row],[Tonnes_t]]="",tblMovement[[#This Row],[Grade_gpt]]=""),0,tblMovement[[#This Row],[Tonnes_t]]*tblMovement[[#This Row],[Grade_gpt]]/cfg_TroyOz)</f>
        <v/>
      </c>
      <c r="O719" s="59">
        <f>IF(tblMovement[[#This Row],[Is_Ore]]=1,tblMovement[[#This Row],[Contained_oz]],0)</f>
        <v/>
      </c>
    </row>
    <row r="720">
      <c r="A720" s="54" t="n"/>
      <c r="B720" s="61" t="n"/>
      <c r="C720" s="61" t="n"/>
      <c r="D720" s="61" t="n"/>
      <c r="E720" s="61" t="n"/>
      <c r="F720" s="55" t="n"/>
      <c r="G720" s="56" t="n"/>
      <c r="H720" s="55" t="n"/>
      <c r="I720" s="62" t="n"/>
      <c r="J720" s="58" t="n"/>
      <c r="K720" s="63">
        <f>IF(tblMovement[[#This Row],[Source]]="","",IFERROR(INDEX(tblSources[Type],MATCH(tblMovement[[#This Row],[Source]],tblSources[Source],0)),"?"))</f>
        <v/>
      </c>
      <c r="L720" s="63">
        <f>IF(tblMovement[[#This Row],[Destination]]="","",IFERROR(INDEX(tblDestinations[Type],MATCH(tblMovement[[#This Row],[Destination]],tblDestinations[Destination],0)),"?"))</f>
        <v/>
      </c>
      <c r="M720" s="64">
        <f>IF(tblMovement[[#This Row],[Material]]="","",IF(LEFT(tblMovement[[#This Row],[Material]],3)="Ore",1,0))</f>
        <v/>
      </c>
      <c r="N720" s="59">
        <f>IF(OR(tblMovement[[#This Row],[Tonnes_t]]="",tblMovement[[#This Row],[Grade_gpt]]=""),0,tblMovement[[#This Row],[Tonnes_t]]*tblMovement[[#This Row],[Grade_gpt]]/cfg_TroyOz)</f>
        <v/>
      </c>
      <c r="O720" s="59">
        <f>IF(tblMovement[[#This Row],[Is_Ore]]=1,tblMovement[[#This Row],[Contained_oz]],0)</f>
        <v/>
      </c>
    </row>
    <row r="721">
      <c r="A721" s="54" t="n"/>
      <c r="B721" s="61" t="n"/>
      <c r="C721" s="61" t="n"/>
      <c r="D721" s="61" t="n"/>
      <c r="E721" s="61" t="n"/>
      <c r="F721" s="55" t="n"/>
      <c r="G721" s="56" t="n"/>
      <c r="H721" s="55" t="n"/>
      <c r="I721" s="62" t="n"/>
      <c r="J721" s="58" t="n"/>
      <c r="K721" s="63">
        <f>IF(tblMovement[[#This Row],[Source]]="","",IFERROR(INDEX(tblSources[Type],MATCH(tblMovement[[#This Row],[Source]],tblSources[Source],0)),"?"))</f>
        <v/>
      </c>
      <c r="L721" s="63">
        <f>IF(tblMovement[[#This Row],[Destination]]="","",IFERROR(INDEX(tblDestinations[Type],MATCH(tblMovement[[#This Row],[Destination]],tblDestinations[Destination],0)),"?"))</f>
        <v/>
      </c>
      <c r="M721" s="64">
        <f>IF(tblMovement[[#This Row],[Material]]="","",IF(LEFT(tblMovement[[#This Row],[Material]],3)="Ore",1,0))</f>
        <v/>
      </c>
      <c r="N721" s="59">
        <f>IF(OR(tblMovement[[#This Row],[Tonnes_t]]="",tblMovement[[#This Row],[Grade_gpt]]=""),0,tblMovement[[#This Row],[Tonnes_t]]*tblMovement[[#This Row],[Grade_gpt]]/cfg_TroyOz)</f>
        <v/>
      </c>
      <c r="O721" s="59">
        <f>IF(tblMovement[[#This Row],[Is_Ore]]=1,tblMovement[[#This Row],[Contained_oz]],0)</f>
        <v/>
      </c>
    </row>
    <row r="722">
      <c r="A722" s="54" t="n"/>
      <c r="B722" s="61" t="n"/>
      <c r="C722" s="61" t="n"/>
      <c r="D722" s="61" t="n"/>
      <c r="E722" s="61" t="n"/>
      <c r="F722" s="55" t="n"/>
      <c r="G722" s="56" t="n"/>
      <c r="H722" s="55" t="n"/>
      <c r="I722" s="62" t="n"/>
      <c r="J722" s="58" t="n"/>
      <c r="K722" s="63">
        <f>IF(tblMovement[[#This Row],[Source]]="","",IFERROR(INDEX(tblSources[Type],MATCH(tblMovement[[#This Row],[Source]],tblSources[Source],0)),"?"))</f>
        <v/>
      </c>
      <c r="L722" s="63">
        <f>IF(tblMovement[[#This Row],[Destination]]="","",IFERROR(INDEX(tblDestinations[Type],MATCH(tblMovement[[#This Row],[Destination]],tblDestinations[Destination],0)),"?"))</f>
        <v/>
      </c>
      <c r="M722" s="64">
        <f>IF(tblMovement[[#This Row],[Material]]="","",IF(LEFT(tblMovement[[#This Row],[Material]],3)="Ore",1,0))</f>
        <v/>
      </c>
      <c r="N722" s="59">
        <f>IF(OR(tblMovement[[#This Row],[Tonnes_t]]="",tblMovement[[#This Row],[Grade_gpt]]=""),0,tblMovement[[#This Row],[Tonnes_t]]*tblMovement[[#This Row],[Grade_gpt]]/cfg_TroyOz)</f>
        <v/>
      </c>
      <c r="O722" s="59">
        <f>IF(tblMovement[[#This Row],[Is_Ore]]=1,tblMovement[[#This Row],[Contained_oz]],0)</f>
        <v/>
      </c>
    </row>
    <row r="723">
      <c r="A723" s="54" t="n"/>
      <c r="B723" s="61" t="n"/>
      <c r="C723" s="61" t="n"/>
      <c r="D723" s="61" t="n"/>
      <c r="E723" s="61" t="n"/>
      <c r="F723" s="55" t="n"/>
      <c r="G723" s="56" t="n"/>
      <c r="H723" s="55" t="n"/>
      <c r="I723" s="62" t="n"/>
      <c r="J723" s="58" t="n"/>
      <c r="K723" s="63">
        <f>IF(tblMovement[[#This Row],[Source]]="","",IFERROR(INDEX(tblSources[Type],MATCH(tblMovement[[#This Row],[Source]],tblSources[Source],0)),"?"))</f>
        <v/>
      </c>
      <c r="L723" s="63">
        <f>IF(tblMovement[[#This Row],[Destination]]="","",IFERROR(INDEX(tblDestinations[Type],MATCH(tblMovement[[#This Row],[Destination]],tblDestinations[Destination],0)),"?"))</f>
        <v/>
      </c>
      <c r="M723" s="64">
        <f>IF(tblMovement[[#This Row],[Material]]="","",IF(LEFT(tblMovement[[#This Row],[Material]],3)="Ore",1,0))</f>
        <v/>
      </c>
      <c r="N723" s="59">
        <f>IF(OR(tblMovement[[#This Row],[Tonnes_t]]="",tblMovement[[#This Row],[Grade_gpt]]=""),0,tblMovement[[#This Row],[Tonnes_t]]*tblMovement[[#This Row],[Grade_gpt]]/cfg_TroyOz)</f>
        <v/>
      </c>
      <c r="O723" s="59">
        <f>IF(tblMovement[[#This Row],[Is_Ore]]=1,tblMovement[[#This Row],[Contained_oz]],0)</f>
        <v/>
      </c>
    </row>
    <row r="724">
      <c r="A724" s="54" t="n"/>
      <c r="B724" s="61" t="n"/>
      <c r="C724" s="61" t="n"/>
      <c r="D724" s="61" t="n"/>
      <c r="E724" s="61" t="n"/>
      <c r="F724" s="55" t="n"/>
      <c r="G724" s="56" t="n"/>
      <c r="H724" s="55" t="n"/>
      <c r="I724" s="62" t="n"/>
      <c r="J724" s="58" t="n"/>
      <c r="K724" s="63">
        <f>IF(tblMovement[[#This Row],[Source]]="","",IFERROR(INDEX(tblSources[Type],MATCH(tblMovement[[#This Row],[Source]],tblSources[Source],0)),"?"))</f>
        <v/>
      </c>
      <c r="L724" s="63">
        <f>IF(tblMovement[[#This Row],[Destination]]="","",IFERROR(INDEX(tblDestinations[Type],MATCH(tblMovement[[#This Row],[Destination]],tblDestinations[Destination],0)),"?"))</f>
        <v/>
      </c>
      <c r="M724" s="64">
        <f>IF(tblMovement[[#This Row],[Material]]="","",IF(LEFT(tblMovement[[#This Row],[Material]],3)="Ore",1,0))</f>
        <v/>
      </c>
      <c r="N724" s="59">
        <f>IF(OR(tblMovement[[#This Row],[Tonnes_t]]="",tblMovement[[#This Row],[Grade_gpt]]=""),0,tblMovement[[#This Row],[Tonnes_t]]*tblMovement[[#This Row],[Grade_gpt]]/cfg_TroyOz)</f>
        <v/>
      </c>
      <c r="O724" s="59">
        <f>IF(tblMovement[[#This Row],[Is_Ore]]=1,tblMovement[[#This Row],[Contained_oz]],0)</f>
        <v/>
      </c>
    </row>
    <row r="725">
      <c r="A725" s="54" t="n"/>
      <c r="B725" s="61" t="n"/>
      <c r="C725" s="61" t="n"/>
      <c r="D725" s="61" t="n"/>
      <c r="E725" s="61" t="n"/>
      <c r="F725" s="55" t="n"/>
      <c r="G725" s="56" t="n"/>
      <c r="H725" s="55" t="n"/>
      <c r="I725" s="62" t="n"/>
      <c r="J725" s="58" t="n"/>
      <c r="K725" s="63">
        <f>IF(tblMovement[[#This Row],[Source]]="","",IFERROR(INDEX(tblSources[Type],MATCH(tblMovement[[#This Row],[Source]],tblSources[Source],0)),"?"))</f>
        <v/>
      </c>
      <c r="L725" s="63">
        <f>IF(tblMovement[[#This Row],[Destination]]="","",IFERROR(INDEX(tblDestinations[Type],MATCH(tblMovement[[#This Row],[Destination]],tblDestinations[Destination],0)),"?"))</f>
        <v/>
      </c>
      <c r="M725" s="64">
        <f>IF(tblMovement[[#This Row],[Material]]="","",IF(LEFT(tblMovement[[#This Row],[Material]],3)="Ore",1,0))</f>
        <v/>
      </c>
      <c r="N725" s="59">
        <f>IF(OR(tblMovement[[#This Row],[Tonnes_t]]="",tblMovement[[#This Row],[Grade_gpt]]=""),0,tblMovement[[#This Row],[Tonnes_t]]*tblMovement[[#This Row],[Grade_gpt]]/cfg_TroyOz)</f>
        <v/>
      </c>
      <c r="O725" s="59">
        <f>IF(tblMovement[[#This Row],[Is_Ore]]=1,tblMovement[[#This Row],[Contained_oz]],0)</f>
        <v/>
      </c>
    </row>
    <row r="726">
      <c r="A726" s="54" t="n"/>
      <c r="B726" s="61" t="n"/>
      <c r="C726" s="61" t="n"/>
      <c r="D726" s="61" t="n"/>
      <c r="E726" s="61" t="n"/>
      <c r="F726" s="55" t="n"/>
      <c r="G726" s="56" t="n"/>
      <c r="H726" s="55" t="n"/>
      <c r="I726" s="62" t="n"/>
      <c r="J726" s="58" t="n"/>
      <c r="K726" s="63">
        <f>IF(tblMovement[[#This Row],[Source]]="","",IFERROR(INDEX(tblSources[Type],MATCH(tblMovement[[#This Row],[Source]],tblSources[Source],0)),"?"))</f>
        <v/>
      </c>
      <c r="L726" s="63">
        <f>IF(tblMovement[[#This Row],[Destination]]="","",IFERROR(INDEX(tblDestinations[Type],MATCH(tblMovement[[#This Row],[Destination]],tblDestinations[Destination],0)),"?"))</f>
        <v/>
      </c>
      <c r="M726" s="64">
        <f>IF(tblMovement[[#This Row],[Material]]="","",IF(LEFT(tblMovement[[#This Row],[Material]],3)="Ore",1,0))</f>
        <v/>
      </c>
      <c r="N726" s="59">
        <f>IF(OR(tblMovement[[#This Row],[Tonnes_t]]="",tblMovement[[#This Row],[Grade_gpt]]=""),0,tblMovement[[#This Row],[Tonnes_t]]*tblMovement[[#This Row],[Grade_gpt]]/cfg_TroyOz)</f>
        <v/>
      </c>
      <c r="O726" s="59">
        <f>IF(tblMovement[[#This Row],[Is_Ore]]=1,tblMovement[[#This Row],[Contained_oz]],0)</f>
        <v/>
      </c>
    </row>
    <row r="727">
      <c r="A727" s="54" t="n"/>
      <c r="B727" s="61" t="n"/>
      <c r="C727" s="61" t="n"/>
      <c r="D727" s="61" t="n"/>
      <c r="E727" s="61" t="n"/>
      <c r="F727" s="55" t="n"/>
      <c r="G727" s="56" t="n"/>
      <c r="H727" s="55" t="n"/>
      <c r="I727" s="62" t="n"/>
      <c r="J727" s="58" t="n"/>
      <c r="K727" s="63">
        <f>IF(tblMovement[[#This Row],[Source]]="","",IFERROR(INDEX(tblSources[Type],MATCH(tblMovement[[#This Row],[Source]],tblSources[Source],0)),"?"))</f>
        <v/>
      </c>
      <c r="L727" s="63">
        <f>IF(tblMovement[[#This Row],[Destination]]="","",IFERROR(INDEX(tblDestinations[Type],MATCH(tblMovement[[#This Row],[Destination]],tblDestinations[Destination],0)),"?"))</f>
        <v/>
      </c>
      <c r="M727" s="64">
        <f>IF(tblMovement[[#This Row],[Material]]="","",IF(LEFT(tblMovement[[#This Row],[Material]],3)="Ore",1,0))</f>
        <v/>
      </c>
      <c r="N727" s="59">
        <f>IF(OR(tblMovement[[#This Row],[Tonnes_t]]="",tblMovement[[#This Row],[Grade_gpt]]=""),0,tblMovement[[#This Row],[Tonnes_t]]*tblMovement[[#This Row],[Grade_gpt]]/cfg_TroyOz)</f>
        <v/>
      </c>
      <c r="O727" s="59">
        <f>IF(tblMovement[[#This Row],[Is_Ore]]=1,tblMovement[[#This Row],[Contained_oz]],0)</f>
        <v/>
      </c>
    </row>
    <row r="728">
      <c r="A728" s="54" t="n"/>
      <c r="B728" s="61" t="n"/>
      <c r="C728" s="61" t="n"/>
      <c r="D728" s="61" t="n"/>
      <c r="E728" s="61" t="n"/>
      <c r="F728" s="55" t="n"/>
      <c r="G728" s="56" t="n"/>
      <c r="H728" s="55" t="n"/>
      <c r="I728" s="62" t="n"/>
      <c r="J728" s="58" t="n"/>
      <c r="K728" s="63">
        <f>IF(tblMovement[[#This Row],[Source]]="","",IFERROR(INDEX(tblSources[Type],MATCH(tblMovement[[#This Row],[Source]],tblSources[Source],0)),"?"))</f>
        <v/>
      </c>
      <c r="L728" s="63">
        <f>IF(tblMovement[[#This Row],[Destination]]="","",IFERROR(INDEX(tblDestinations[Type],MATCH(tblMovement[[#This Row],[Destination]],tblDestinations[Destination],0)),"?"))</f>
        <v/>
      </c>
      <c r="M728" s="64">
        <f>IF(tblMovement[[#This Row],[Material]]="","",IF(LEFT(tblMovement[[#This Row],[Material]],3)="Ore",1,0))</f>
        <v/>
      </c>
      <c r="N728" s="59">
        <f>IF(OR(tblMovement[[#This Row],[Tonnes_t]]="",tblMovement[[#This Row],[Grade_gpt]]=""),0,tblMovement[[#This Row],[Tonnes_t]]*tblMovement[[#This Row],[Grade_gpt]]/cfg_TroyOz)</f>
        <v/>
      </c>
      <c r="O728" s="59">
        <f>IF(tblMovement[[#This Row],[Is_Ore]]=1,tblMovement[[#This Row],[Contained_oz]],0)</f>
        <v/>
      </c>
    </row>
    <row r="729">
      <c r="A729" s="54" t="n"/>
      <c r="B729" s="61" t="n"/>
      <c r="C729" s="61" t="n"/>
      <c r="D729" s="61" t="n"/>
      <c r="E729" s="61" t="n"/>
      <c r="F729" s="55" t="n"/>
      <c r="G729" s="56" t="n"/>
      <c r="H729" s="55" t="n"/>
      <c r="I729" s="62" t="n"/>
      <c r="J729" s="58" t="n"/>
      <c r="K729" s="63">
        <f>IF(tblMovement[[#This Row],[Source]]="","",IFERROR(INDEX(tblSources[Type],MATCH(tblMovement[[#This Row],[Source]],tblSources[Source],0)),"?"))</f>
        <v/>
      </c>
      <c r="L729" s="63">
        <f>IF(tblMovement[[#This Row],[Destination]]="","",IFERROR(INDEX(tblDestinations[Type],MATCH(tblMovement[[#This Row],[Destination]],tblDestinations[Destination],0)),"?"))</f>
        <v/>
      </c>
      <c r="M729" s="64">
        <f>IF(tblMovement[[#This Row],[Material]]="","",IF(LEFT(tblMovement[[#This Row],[Material]],3)="Ore",1,0))</f>
        <v/>
      </c>
      <c r="N729" s="59">
        <f>IF(OR(tblMovement[[#This Row],[Tonnes_t]]="",tblMovement[[#This Row],[Grade_gpt]]=""),0,tblMovement[[#This Row],[Tonnes_t]]*tblMovement[[#This Row],[Grade_gpt]]/cfg_TroyOz)</f>
        <v/>
      </c>
      <c r="O729" s="59">
        <f>IF(tblMovement[[#This Row],[Is_Ore]]=1,tblMovement[[#This Row],[Contained_oz]],0)</f>
        <v/>
      </c>
    </row>
    <row r="730">
      <c r="A730" s="54" t="n"/>
      <c r="B730" s="61" t="n"/>
      <c r="C730" s="61" t="n"/>
      <c r="D730" s="61" t="n"/>
      <c r="E730" s="61" t="n"/>
      <c r="F730" s="55" t="n"/>
      <c r="G730" s="56" t="n"/>
      <c r="H730" s="55" t="n"/>
      <c r="I730" s="62" t="n"/>
      <c r="J730" s="58" t="n"/>
      <c r="K730" s="63">
        <f>IF(tblMovement[[#This Row],[Source]]="","",IFERROR(INDEX(tblSources[Type],MATCH(tblMovement[[#This Row],[Source]],tblSources[Source],0)),"?"))</f>
        <v/>
      </c>
      <c r="L730" s="63">
        <f>IF(tblMovement[[#This Row],[Destination]]="","",IFERROR(INDEX(tblDestinations[Type],MATCH(tblMovement[[#This Row],[Destination]],tblDestinations[Destination],0)),"?"))</f>
        <v/>
      </c>
      <c r="M730" s="64">
        <f>IF(tblMovement[[#This Row],[Material]]="","",IF(LEFT(tblMovement[[#This Row],[Material]],3)="Ore",1,0))</f>
        <v/>
      </c>
      <c r="N730" s="59">
        <f>IF(OR(tblMovement[[#This Row],[Tonnes_t]]="",tblMovement[[#This Row],[Grade_gpt]]=""),0,tblMovement[[#This Row],[Tonnes_t]]*tblMovement[[#This Row],[Grade_gpt]]/cfg_TroyOz)</f>
        <v/>
      </c>
      <c r="O730" s="59">
        <f>IF(tblMovement[[#This Row],[Is_Ore]]=1,tblMovement[[#This Row],[Contained_oz]],0)</f>
        <v/>
      </c>
    </row>
    <row r="731">
      <c r="A731" s="54" t="n"/>
      <c r="B731" s="61" t="n"/>
      <c r="C731" s="61" t="n"/>
      <c r="D731" s="61" t="n"/>
      <c r="E731" s="61" t="n"/>
      <c r="F731" s="55" t="n"/>
      <c r="G731" s="56" t="n"/>
      <c r="H731" s="55" t="n"/>
      <c r="I731" s="62" t="n"/>
      <c r="J731" s="58" t="n"/>
      <c r="K731" s="63">
        <f>IF(tblMovement[[#This Row],[Source]]="","",IFERROR(INDEX(tblSources[Type],MATCH(tblMovement[[#This Row],[Source]],tblSources[Source],0)),"?"))</f>
        <v/>
      </c>
      <c r="L731" s="63">
        <f>IF(tblMovement[[#This Row],[Destination]]="","",IFERROR(INDEX(tblDestinations[Type],MATCH(tblMovement[[#This Row],[Destination]],tblDestinations[Destination],0)),"?"))</f>
        <v/>
      </c>
      <c r="M731" s="64">
        <f>IF(tblMovement[[#This Row],[Material]]="","",IF(LEFT(tblMovement[[#This Row],[Material]],3)="Ore",1,0))</f>
        <v/>
      </c>
      <c r="N731" s="59">
        <f>IF(OR(tblMovement[[#This Row],[Tonnes_t]]="",tblMovement[[#This Row],[Grade_gpt]]=""),0,tblMovement[[#This Row],[Tonnes_t]]*tblMovement[[#This Row],[Grade_gpt]]/cfg_TroyOz)</f>
        <v/>
      </c>
      <c r="O731" s="59">
        <f>IF(tblMovement[[#This Row],[Is_Ore]]=1,tblMovement[[#This Row],[Contained_oz]],0)</f>
        <v/>
      </c>
    </row>
    <row r="732">
      <c r="A732" s="54" t="n"/>
      <c r="B732" s="61" t="n"/>
      <c r="C732" s="61" t="n"/>
      <c r="D732" s="61" t="n"/>
      <c r="E732" s="61" t="n"/>
      <c r="F732" s="55" t="n"/>
      <c r="G732" s="56" t="n"/>
      <c r="H732" s="55" t="n"/>
      <c r="I732" s="62" t="n"/>
      <c r="J732" s="58" t="n"/>
      <c r="K732" s="63">
        <f>IF(tblMovement[[#This Row],[Source]]="","",IFERROR(INDEX(tblSources[Type],MATCH(tblMovement[[#This Row],[Source]],tblSources[Source],0)),"?"))</f>
        <v/>
      </c>
      <c r="L732" s="63">
        <f>IF(tblMovement[[#This Row],[Destination]]="","",IFERROR(INDEX(tblDestinations[Type],MATCH(tblMovement[[#This Row],[Destination]],tblDestinations[Destination],0)),"?"))</f>
        <v/>
      </c>
      <c r="M732" s="64">
        <f>IF(tblMovement[[#This Row],[Material]]="","",IF(LEFT(tblMovement[[#This Row],[Material]],3)="Ore",1,0))</f>
        <v/>
      </c>
      <c r="N732" s="59">
        <f>IF(OR(tblMovement[[#This Row],[Tonnes_t]]="",tblMovement[[#This Row],[Grade_gpt]]=""),0,tblMovement[[#This Row],[Tonnes_t]]*tblMovement[[#This Row],[Grade_gpt]]/cfg_TroyOz)</f>
        <v/>
      </c>
      <c r="O732" s="59">
        <f>IF(tblMovement[[#This Row],[Is_Ore]]=1,tblMovement[[#This Row],[Contained_oz]],0)</f>
        <v/>
      </c>
    </row>
    <row r="733">
      <c r="A733" s="54" t="n"/>
      <c r="B733" s="61" t="n"/>
      <c r="C733" s="61" t="n"/>
      <c r="D733" s="61" t="n"/>
      <c r="E733" s="61" t="n"/>
      <c r="F733" s="55" t="n"/>
      <c r="G733" s="56" t="n"/>
      <c r="H733" s="55" t="n"/>
      <c r="I733" s="62" t="n"/>
      <c r="J733" s="58" t="n"/>
      <c r="K733" s="63">
        <f>IF(tblMovement[[#This Row],[Source]]="","",IFERROR(INDEX(tblSources[Type],MATCH(tblMovement[[#This Row],[Source]],tblSources[Source],0)),"?"))</f>
        <v/>
      </c>
      <c r="L733" s="63">
        <f>IF(tblMovement[[#This Row],[Destination]]="","",IFERROR(INDEX(tblDestinations[Type],MATCH(tblMovement[[#This Row],[Destination]],tblDestinations[Destination],0)),"?"))</f>
        <v/>
      </c>
      <c r="M733" s="64">
        <f>IF(tblMovement[[#This Row],[Material]]="","",IF(LEFT(tblMovement[[#This Row],[Material]],3)="Ore",1,0))</f>
        <v/>
      </c>
      <c r="N733" s="59">
        <f>IF(OR(tblMovement[[#This Row],[Tonnes_t]]="",tblMovement[[#This Row],[Grade_gpt]]=""),0,tblMovement[[#This Row],[Tonnes_t]]*tblMovement[[#This Row],[Grade_gpt]]/cfg_TroyOz)</f>
        <v/>
      </c>
      <c r="O733" s="59">
        <f>IF(tblMovement[[#This Row],[Is_Ore]]=1,tblMovement[[#This Row],[Contained_oz]],0)</f>
        <v/>
      </c>
    </row>
    <row r="734">
      <c r="A734" s="54" t="n"/>
      <c r="B734" s="61" t="n"/>
      <c r="C734" s="61" t="n"/>
      <c r="D734" s="61" t="n"/>
      <c r="E734" s="61" t="n"/>
      <c r="F734" s="55" t="n"/>
      <c r="G734" s="56" t="n"/>
      <c r="H734" s="55" t="n"/>
      <c r="I734" s="62" t="n"/>
      <c r="J734" s="58" t="n"/>
      <c r="K734" s="63">
        <f>IF(tblMovement[[#This Row],[Source]]="","",IFERROR(INDEX(tblSources[Type],MATCH(tblMovement[[#This Row],[Source]],tblSources[Source],0)),"?"))</f>
        <v/>
      </c>
      <c r="L734" s="63">
        <f>IF(tblMovement[[#This Row],[Destination]]="","",IFERROR(INDEX(tblDestinations[Type],MATCH(tblMovement[[#This Row],[Destination]],tblDestinations[Destination],0)),"?"))</f>
        <v/>
      </c>
      <c r="M734" s="64">
        <f>IF(tblMovement[[#This Row],[Material]]="","",IF(LEFT(tblMovement[[#This Row],[Material]],3)="Ore",1,0))</f>
        <v/>
      </c>
      <c r="N734" s="59">
        <f>IF(OR(tblMovement[[#This Row],[Tonnes_t]]="",tblMovement[[#This Row],[Grade_gpt]]=""),0,tblMovement[[#This Row],[Tonnes_t]]*tblMovement[[#This Row],[Grade_gpt]]/cfg_TroyOz)</f>
        <v/>
      </c>
      <c r="O734" s="59">
        <f>IF(tblMovement[[#This Row],[Is_Ore]]=1,tblMovement[[#This Row],[Contained_oz]],0)</f>
        <v/>
      </c>
    </row>
    <row r="735">
      <c r="A735" s="54" t="n"/>
      <c r="B735" s="61" t="n"/>
      <c r="C735" s="61" t="n"/>
      <c r="D735" s="61" t="n"/>
      <c r="E735" s="61" t="n"/>
      <c r="F735" s="55" t="n"/>
      <c r="G735" s="56" t="n"/>
      <c r="H735" s="55" t="n"/>
      <c r="I735" s="62" t="n"/>
      <c r="J735" s="58" t="n"/>
      <c r="K735" s="63">
        <f>IF(tblMovement[[#This Row],[Source]]="","",IFERROR(INDEX(tblSources[Type],MATCH(tblMovement[[#This Row],[Source]],tblSources[Source],0)),"?"))</f>
        <v/>
      </c>
      <c r="L735" s="63">
        <f>IF(tblMovement[[#This Row],[Destination]]="","",IFERROR(INDEX(tblDestinations[Type],MATCH(tblMovement[[#This Row],[Destination]],tblDestinations[Destination],0)),"?"))</f>
        <v/>
      </c>
      <c r="M735" s="64">
        <f>IF(tblMovement[[#This Row],[Material]]="","",IF(LEFT(tblMovement[[#This Row],[Material]],3)="Ore",1,0))</f>
        <v/>
      </c>
      <c r="N735" s="59">
        <f>IF(OR(tblMovement[[#This Row],[Tonnes_t]]="",tblMovement[[#This Row],[Grade_gpt]]=""),0,tblMovement[[#This Row],[Tonnes_t]]*tblMovement[[#This Row],[Grade_gpt]]/cfg_TroyOz)</f>
        <v/>
      </c>
      <c r="O735" s="59">
        <f>IF(tblMovement[[#This Row],[Is_Ore]]=1,tblMovement[[#This Row],[Contained_oz]],0)</f>
        <v/>
      </c>
    </row>
    <row r="736">
      <c r="A736" s="54" t="n"/>
      <c r="B736" s="61" t="n"/>
      <c r="C736" s="61" t="n"/>
      <c r="D736" s="61" t="n"/>
      <c r="E736" s="61" t="n"/>
      <c r="F736" s="55" t="n"/>
      <c r="G736" s="56" t="n"/>
      <c r="H736" s="55" t="n"/>
      <c r="I736" s="62" t="n"/>
      <c r="J736" s="58" t="n"/>
      <c r="K736" s="63">
        <f>IF(tblMovement[[#This Row],[Source]]="","",IFERROR(INDEX(tblSources[Type],MATCH(tblMovement[[#This Row],[Source]],tblSources[Source],0)),"?"))</f>
        <v/>
      </c>
      <c r="L736" s="63">
        <f>IF(tblMovement[[#This Row],[Destination]]="","",IFERROR(INDEX(tblDestinations[Type],MATCH(tblMovement[[#This Row],[Destination]],tblDestinations[Destination],0)),"?"))</f>
        <v/>
      </c>
      <c r="M736" s="64">
        <f>IF(tblMovement[[#This Row],[Material]]="","",IF(LEFT(tblMovement[[#This Row],[Material]],3)="Ore",1,0))</f>
        <v/>
      </c>
      <c r="N736" s="59">
        <f>IF(OR(tblMovement[[#This Row],[Tonnes_t]]="",tblMovement[[#This Row],[Grade_gpt]]=""),0,tblMovement[[#This Row],[Tonnes_t]]*tblMovement[[#This Row],[Grade_gpt]]/cfg_TroyOz)</f>
        <v/>
      </c>
      <c r="O736" s="59">
        <f>IF(tblMovement[[#This Row],[Is_Ore]]=1,tblMovement[[#This Row],[Contained_oz]],0)</f>
        <v/>
      </c>
    </row>
    <row r="737">
      <c r="A737" s="54" t="n"/>
      <c r="B737" s="61" t="n"/>
      <c r="C737" s="61" t="n"/>
      <c r="D737" s="61" t="n"/>
      <c r="E737" s="61" t="n"/>
      <c r="F737" s="55" t="n"/>
      <c r="G737" s="56" t="n"/>
      <c r="H737" s="55" t="n"/>
      <c r="I737" s="62" t="n"/>
      <c r="J737" s="58" t="n"/>
      <c r="K737" s="63">
        <f>IF(tblMovement[[#This Row],[Source]]="","",IFERROR(INDEX(tblSources[Type],MATCH(tblMovement[[#This Row],[Source]],tblSources[Source],0)),"?"))</f>
        <v/>
      </c>
      <c r="L737" s="63">
        <f>IF(tblMovement[[#This Row],[Destination]]="","",IFERROR(INDEX(tblDestinations[Type],MATCH(tblMovement[[#This Row],[Destination]],tblDestinations[Destination],0)),"?"))</f>
        <v/>
      </c>
      <c r="M737" s="64">
        <f>IF(tblMovement[[#This Row],[Material]]="","",IF(LEFT(tblMovement[[#This Row],[Material]],3)="Ore",1,0))</f>
        <v/>
      </c>
      <c r="N737" s="59">
        <f>IF(OR(tblMovement[[#This Row],[Tonnes_t]]="",tblMovement[[#This Row],[Grade_gpt]]=""),0,tblMovement[[#This Row],[Tonnes_t]]*tblMovement[[#This Row],[Grade_gpt]]/cfg_TroyOz)</f>
        <v/>
      </c>
      <c r="O737" s="59">
        <f>IF(tblMovement[[#This Row],[Is_Ore]]=1,tblMovement[[#This Row],[Contained_oz]],0)</f>
        <v/>
      </c>
    </row>
    <row r="738">
      <c r="A738" s="54" t="n"/>
      <c r="B738" s="61" t="n"/>
      <c r="C738" s="61" t="n"/>
      <c r="D738" s="61" t="n"/>
      <c r="E738" s="61" t="n"/>
      <c r="F738" s="55" t="n"/>
      <c r="G738" s="56" t="n"/>
      <c r="H738" s="55" t="n"/>
      <c r="I738" s="62" t="n"/>
      <c r="J738" s="58" t="n"/>
      <c r="K738" s="63">
        <f>IF(tblMovement[[#This Row],[Source]]="","",IFERROR(INDEX(tblSources[Type],MATCH(tblMovement[[#This Row],[Source]],tblSources[Source],0)),"?"))</f>
        <v/>
      </c>
      <c r="L738" s="63">
        <f>IF(tblMovement[[#This Row],[Destination]]="","",IFERROR(INDEX(tblDestinations[Type],MATCH(tblMovement[[#This Row],[Destination]],tblDestinations[Destination],0)),"?"))</f>
        <v/>
      </c>
      <c r="M738" s="64">
        <f>IF(tblMovement[[#This Row],[Material]]="","",IF(LEFT(tblMovement[[#This Row],[Material]],3)="Ore",1,0))</f>
        <v/>
      </c>
      <c r="N738" s="59">
        <f>IF(OR(tblMovement[[#This Row],[Tonnes_t]]="",tblMovement[[#This Row],[Grade_gpt]]=""),0,tblMovement[[#This Row],[Tonnes_t]]*tblMovement[[#This Row],[Grade_gpt]]/cfg_TroyOz)</f>
        <v/>
      </c>
      <c r="O738" s="59">
        <f>IF(tblMovement[[#This Row],[Is_Ore]]=1,tblMovement[[#This Row],[Contained_oz]],0)</f>
        <v/>
      </c>
    </row>
    <row r="739">
      <c r="A739" s="54" t="n"/>
      <c r="B739" s="61" t="n"/>
      <c r="C739" s="61" t="n"/>
      <c r="D739" s="61" t="n"/>
      <c r="E739" s="61" t="n"/>
      <c r="F739" s="55" t="n"/>
      <c r="G739" s="56" t="n"/>
      <c r="H739" s="55" t="n"/>
      <c r="I739" s="62" t="n"/>
      <c r="J739" s="58" t="n"/>
      <c r="K739" s="63">
        <f>IF(tblMovement[[#This Row],[Source]]="","",IFERROR(INDEX(tblSources[Type],MATCH(tblMovement[[#This Row],[Source]],tblSources[Source],0)),"?"))</f>
        <v/>
      </c>
      <c r="L739" s="63">
        <f>IF(tblMovement[[#This Row],[Destination]]="","",IFERROR(INDEX(tblDestinations[Type],MATCH(tblMovement[[#This Row],[Destination]],tblDestinations[Destination],0)),"?"))</f>
        <v/>
      </c>
      <c r="M739" s="64">
        <f>IF(tblMovement[[#This Row],[Material]]="","",IF(LEFT(tblMovement[[#This Row],[Material]],3)="Ore",1,0))</f>
        <v/>
      </c>
      <c r="N739" s="59">
        <f>IF(OR(tblMovement[[#This Row],[Tonnes_t]]="",tblMovement[[#This Row],[Grade_gpt]]=""),0,tblMovement[[#This Row],[Tonnes_t]]*tblMovement[[#This Row],[Grade_gpt]]/cfg_TroyOz)</f>
        <v/>
      </c>
      <c r="O739" s="59">
        <f>IF(tblMovement[[#This Row],[Is_Ore]]=1,tblMovement[[#This Row],[Contained_oz]],0)</f>
        <v/>
      </c>
    </row>
    <row r="740">
      <c r="A740" s="54" t="n"/>
      <c r="B740" s="61" t="n"/>
      <c r="C740" s="61" t="n"/>
      <c r="D740" s="61" t="n"/>
      <c r="E740" s="61" t="n"/>
      <c r="F740" s="55" t="n"/>
      <c r="G740" s="56" t="n"/>
      <c r="H740" s="55" t="n"/>
      <c r="I740" s="62" t="n"/>
      <c r="J740" s="58" t="n"/>
      <c r="K740" s="63">
        <f>IF(tblMovement[[#This Row],[Source]]="","",IFERROR(INDEX(tblSources[Type],MATCH(tblMovement[[#This Row],[Source]],tblSources[Source],0)),"?"))</f>
        <v/>
      </c>
      <c r="L740" s="63">
        <f>IF(tblMovement[[#This Row],[Destination]]="","",IFERROR(INDEX(tblDestinations[Type],MATCH(tblMovement[[#This Row],[Destination]],tblDestinations[Destination],0)),"?"))</f>
        <v/>
      </c>
      <c r="M740" s="64">
        <f>IF(tblMovement[[#This Row],[Material]]="","",IF(LEFT(tblMovement[[#This Row],[Material]],3)="Ore",1,0))</f>
        <v/>
      </c>
      <c r="N740" s="59">
        <f>IF(OR(tblMovement[[#This Row],[Tonnes_t]]="",tblMovement[[#This Row],[Grade_gpt]]=""),0,tblMovement[[#This Row],[Tonnes_t]]*tblMovement[[#This Row],[Grade_gpt]]/cfg_TroyOz)</f>
        <v/>
      </c>
      <c r="O740" s="59">
        <f>IF(tblMovement[[#This Row],[Is_Ore]]=1,tblMovement[[#This Row],[Contained_oz]],0)</f>
        <v/>
      </c>
    </row>
    <row r="741">
      <c r="A741" s="54" t="n"/>
      <c r="B741" s="61" t="n"/>
      <c r="C741" s="61" t="n"/>
      <c r="D741" s="61" t="n"/>
      <c r="E741" s="61" t="n"/>
      <c r="F741" s="55" t="n"/>
      <c r="G741" s="56" t="n"/>
      <c r="H741" s="55" t="n"/>
      <c r="I741" s="62" t="n"/>
      <c r="J741" s="58" t="n"/>
      <c r="K741" s="63">
        <f>IF(tblMovement[[#This Row],[Source]]="","",IFERROR(INDEX(tblSources[Type],MATCH(tblMovement[[#This Row],[Source]],tblSources[Source],0)),"?"))</f>
        <v/>
      </c>
      <c r="L741" s="63">
        <f>IF(tblMovement[[#This Row],[Destination]]="","",IFERROR(INDEX(tblDestinations[Type],MATCH(tblMovement[[#This Row],[Destination]],tblDestinations[Destination],0)),"?"))</f>
        <v/>
      </c>
      <c r="M741" s="64">
        <f>IF(tblMovement[[#This Row],[Material]]="","",IF(LEFT(tblMovement[[#This Row],[Material]],3)="Ore",1,0))</f>
        <v/>
      </c>
      <c r="N741" s="59">
        <f>IF(OR(tblMovement[[#This Row],[Tonnes_t]]="",tblMovement[[#This Row],[Grade_gpt]]=""),0,tblMovement[[#This Row],[Tonnes_t]]*tblMovement[[#This Row],[Grade_gpt]]/cfg_TroyOz)</f>
        <v/>
      </c>
      <c r="O741" s="59">
        <f>IF(tblMovement[[#This Row],[Is_Ore]]=1,tblMovement[[#This Row],[Contained_oz]],0)</f>
        <v/>
      </c>
    </row>
    <row r="742">
      <c r="A742" s="54" t="n"/>
      <c r="B742" s="61" t="n"/>
      <c r="C742" s="61" t="n"/>
      <c r="D742" s="61" t="n"/>
      <c r="E742" s="61" t="n"/>
      <c r="F742" s="55" t="n"/>
      <c r="G742" s="56" t="n"/>
      <c r="H742" s="55" t="n"/>
      <c r="I742" s="62" t="n"/>
      <c r="J742" s="58" t="n"/>
      <c r="K742" s="63">
        <f>IF(tblMovement[[#This Row],[Source]]="","",IFERROR(INDEX(tblSources[Type],MATCH(tblMovement[[#This Row],[Source]],tblSources[Source],0)),"?"))</f>
        <v/>
      </c>
      <c r="L742" s="63">
        <f>IF(tblMovement[[#This Row],[Destination]]="","",IFERROR(INDEX(tblDestinations[Type],MATCH(tblMovement[[#This Row],[Destination]],tblDestinations[Destination],0)),"?"))</f>
        <v/>
      </c>
      <c r="M742" s="64">
        <f>IF(tblMovement[[#This Row],[Material]]="","",IF(LEFT(tblMovement[[#This Row],[Material]],3)="Ore",1,0))</f>
        <v/>
      </c>
      <c r="N742" s="59">
        <f>IF(OR(tblMovement[[#This Row],[Tonnes_t]]="",tblMovement[[#This Row],[Grade_gpt]]=""),0,tblMovement[[#This Row],[Tonnes_t]]*tblMovement[[#This Row],[Grade_gpt]]/cfg_TroyOz)</f>
        <v/>
      </c>
      <c r="O742" s="59">
        <f>IF(tblMovement[[#This Row],[Is_Ore]]=1,tblMovement[[#This Row],[Contained_oz]],0)</f>
        <v/>
      </c>
    </row>
    <row r="743">
      <c r="A743" s="54" t="n"/>
      <c r="B743" s="61" t="n"/>
      <c r="C743" s="61" t="n"/>
      <c r="D743" s="61" t="n"/>
      <c r="E743" s="61" t="n"/>
      <c r="F743" s="55" t="n"/>
      <c r="G743" s="56" t="n"/>
      <c r="H743" s="55" t="n"/>
      <c r="I743" s="62" t="n"/>
      <c r="J743" s="58" t="n"/>
      <c r="K743" s="63">
        <f>IF(tblMovement[[#This Row],[Source]]="","",IFERROR(INDEX(tblSources[Type],MATCH(tblMovement[[#This Row],[Source]],tblSources[Source],0)),"?"))</f>
        <v/>
      </c>
      <c r="L743" s="63">
        <f>IF(tblMovement[[#This Row],[Destination]]="","",IFERROR(INDEX(tblDestinations[Type],MATCH(tblMovement[[#This Row],[Destination]],tblDestinations[Destination],0)),"?"))</f>
        <v/>
      </c>
      <c r="M743" s="64">
        <f>IF(tblMovement[[#This Row],[Material]]="","",IF(LEFT(tblMovement[[#This Row],[Material]],3)="Ore",1,0))</f>
        <v/>
      </c>
      <c r="N743" s="59">
        <f>IF(OR(tblMovement[[#This Row],[Tonnes_t]]="",tblMovement[[#This Row],[Grade_gpt]]=""),0,tblMovement[[#This Row],[Tonnes_t]]*tblMovement[[#This Row],[Grade_gpt]]/cfg_TroyOz)</f>
        <v/>
      </c>
      <c r="O743" s="59">
        <f>IF(tblMovement[[#This Row],[Is_Ore]]=1,tblMovement[[#This Row],[Contained_oz]],0)</f>
        <v/>
      </c>
    </row>
    <row r="744">
      <c r="A744" s="54" t="n"/>
      <c r="B744" s="61" t="n"/>
      <c r="C744" s="61" t="n"/>
      <c r="D744" s="61" t="n"/>
      <c r="E744" s="61" t="n"/>
      <c r="F744" s="55" t="n"/>
      <c r="G744" s="56" t="n"/>
      <c r="H744" s="55" t="n"/>
      <c r="I744" s="62" t="n"/>
      <c r="J744" s="58" t="n"/>
      <c r="K744" s="63">
        <f>IF(tblMovement[[#This Row],[Source]]="","",IFERROR(INDEX(tblSources[Type],MATCH(tblMovement[[#This Row],[Source]],tblSources[Source],0)),"?"))</f>
        <v/>
      </c>
      <c r="L744" s="63">
        <f>IF(tblMovement[[#This Row],[Destination]]="","",IFERROR(INDEX(tblDestinations[Type],MATCH(tblMovement[[#This Row],[Destination]],tblDestinations[Destination],0)),"?"))</f>
        <v/>
      </c>
      <c r="M744" s="64">
        <f>IF(tblMovement[[#This Row],[Material]]="","",IF(LEFT(tblMovement[[#This Row],[Material]],3)="Ore",1,0))</f>
        <v/>
      </c>
      <c r="N744" s="59">
        <f>IF(OR(tblMovement[[#This Row],[Tonnes_t]]="",tblMovement[[#This Row],[Grade_gpt]]=""),0,tblMovement[[#This Row],[Tonnes_t]]*tblMovement[[#This Row],[Grade_gpt]]/cfg_TroyOz)</f>
        <v/>
      </c>
      <c r="O744" s="59">
        <f>IF(tblMovement[[#This Row],[Is_Ore]]=1,tblMovement[[#This Row],[Contained_oz]],0)</f>
        <v/>
      </c>
    </row>
    <row r="745">
      <c r="A745" s="54" t="n"/>
      <c r="B745" s="61" t="n"/>
      <c r="C745" s="61" t="n"/>
      <c r="D745" s="61" t="n"/>
      <c r="E745" s="61" t="n"/>
      <c r="F745" s="55" t="n"/>
      <c r="G745" s="56" t="n"/>
      <c r="H745" s="55" t="n"/>
      <c r="I745" s="62" t="n"/>
      <c r="J745" s="58" t="n"/>
      <c r="K745" s="63">
        <f>IF(tblMovement[[#This Row],[Source]]="","",IFERROR(INDEX(tblSources[Type],MATCH(tblMovement[[#This Row],[Source]],tblSources[Source],0)),"?"))</f>
        <v/>
      </c>
      <c r="L745" s="63">
        <f>IF(tblMovement[[#This Row],[Destination]]="","",IFERROR(INDEX(tblDestinations[Type],MATCH(tblMovement[[#This Row],[Destination]],tblDestinations[Destination],0)),"?"))</f>
        <v/>
      </c>
      <c r="M745" s="64">
        <f>IF(tblMovement[[#This Row],[Material]]="","",IF(LEFT(tblMovement[[#This Row],[Material]],3)="Ore",1,0))</f>
        <v/>
      </c>
      <c r="N745" s="59">
        <f>IF(OR(tblMovement[[#This Row],[Tonnes_t]]="",tblMovement[[#This Row],[Grade_gpt]]=""),0,tblMovement[[#This Row],[Tonnes_t]]*tblMovement[[#This Row],[Grade_gpt]]/cfg_TroyOz)</f>
        <v/>
      </c>
      <c r="O745" s="59">
        <f>IF(tblMovement[[#This Row],[Is_Ore]]=1,tblMovement[[#This Row],[Contained_oz]],0)</f>
        <v/>
      </c>
    </row>
    <row r="746">
      <c r="A746" s="54" t="n"/>
      <c r="B746" s="61" t="n"/>
      <c r="C746" s="61" t="n"/>
      <c r="D746" s="61" t="n"/>
      <c r="E746" s="61" t="n"/>
      <c r="F746" s="55" t="n"/>
      <c r="G746" s="56" t="n"/>
      <c r="H746" s="55" t="n"/>
      <c r="I746" s="62" t="n"/>
      <c r="J746" s="58" t="n"/>
      <c r="K746" s="63">
        <f>IF(tblMovement[[#This Row],[Source]]="","",IFERROR(INDEX(tblSources[Type],MATCH(tblMovement[[#This Row],[Source]],tblSources[Source],0)),"?"))</f>
        <v/>
      </c>
      <c r="L746" s="63">
        <f>IF(tblMovement[[#This Row],[Destination]]="","",IFERROR(INDEX(tblDestinations[Type],MATCH(tblMovement[[#This Row],[Destination]],tblDestinations[Destination],0)),"?"))</f>
        <v/>
      </c>
      <c r="M746" s="64">
        <f>IF(tblMovement[[#This Row],[Material]]="","",IF(LEFT(tblMovement[[#This Row],[Material]],3)="Ore",1,0))</f>
        <v/>
      </c>
      <c r="N746" s="59">
        <f>IF(OR(tblMovement[[#This Row],[Tonnes_t]]="",tblMovement[[#This Row],[Grade_gpt]]=""),0,tblMovement[[#This Row],[Tonnes_t]]*tblMovement[[#This Row],[Grade_gpt]]/cfg_TroyOz)</f>
        <v/>
      </c>
      <c r="O746" s="59">
        <f>IF(tblMovement[[#This Row],[Is_Ore]]=1,tblMovement[[#This Row],[Contained_oz]],0)</f>
        <v/>
      </c>
    </row>
    <row r="747">
      <c r="A747" s="54" t="n"/>
      <c r="B747" s="61" t="n"/>
      <c r="C747" s="61" t="n"/>
      <c r="D747" s="61" t="n"/>
      <c r="E747" s="61" t="n"/>
      <c r="F747" s="55" t="n"/>
      <c r="G747" s="56" t="n"/>
      <c r="H747" s="55" t="n"/>
      <c r="I747" s="62" t="n"/>
      <c r="J747" s="58" t="n"/>
      <c r="K747" s="63">
        <f>IF(tblMovement[[#This Row],[Source]]="","",IFERROR(INDEX(tblSources[Type],MATCH(tblMovement[[#This Row],[Source]],tblSources[Source],0)),"?"))</f>
        <v/>
      </c>
      <c r="L747" s="63">
        <f>IF(tblMovement[[#This Row],[Destination]]="","",IFERROR(INDEX(tblDestinations[Type],MATCH(tblMovement[[#This Row],[Destination]],tblDestinations[Destination],0)),"?"))</f>
        <v/>
      </c>
      <c r="M747" s="64">
        <f>IF(tblMovement[[#This Row],[Material]]="","",IF(LEFT(tblMovement[[#This Row],[Material]],3)="Ore",1,0))</f>
        <v/>
      </c>
      <c r="N747" s="59">
        <f>IF(OR(tblMovement[[#This Row],[Tonnes_t]]="",tblMovement[[#This Row],[Grade_gpt]]=""),0,tblMovement[[#This Row],[Tonnes_t]]*tblMovement[[#This Row],[Grade_gpt]]/cfg_TroyOz)</f>
        <v/>
      </c>
      <c r="O747" s="59">
        <f>IF(tblMovement[[#This Row],[Is_Ore]]=1,tblMovement[[#This Row],[Contained_oz]],0)</f>
        <v/>
      </c>
    </row>
    <row r="748">
      <c r="A748" s="54" t="n"/>
      <c r="B748" s="61" t="n"/>
      <c r="C748" s="61" t="n"/>
      <c r="D748" s="61" t="n"/>
      <c r="E748" s="61" t="n"/>
      <c r="F748" s="55" t="n"/>
      <c r="G748" s="56" t="n"/>
      <c r="H748" s="55" t="n"/>
      <c r="I748" s="62" t="n"/>
      <c r="J748" s="58" t="n"/>
      <c r="K748" s="63">
        <f>IF(tblMovement[[#This Row],[Source]]="","",IFERROR(INDEX(tblSources[Type],MATCH(tblMovement[[#This Row],[Source]],tblSources[Source],0)),"?"))</f>
        <v/>
      </c>
      <c r="L748" s="63">
        <f>IF(tblMovement[[#This Row],[Destination]]="","",IFERROR(INDEX(tblDestinations[Type],MATCH(tblMovement[[#This Row],[Destination]],tblDestinations[Destination],0)),"?"))</f>
        <v/>
      </c>
      <c r="M748" s="64">
        <f>IF(tblMovement[[#This Row],[Material]]="","",IF(LEFT(tblMovement[[#This Row],[Material]],3)="Ore",1,0))</f>
        <v/>
      </c>
      <c r="N748" s="59">
        <f>IF(OR(tblMovement[[#This Row],[Tonnes_t]]="",tblMovement[[#This Row],[Grade_gpt]]=""),0,tblMovement[[#This Row],[Tonnes_t]]*tblMovement[[#This Row],[Grade_gpt]]/cfg_TroyOz)</f>
        <v/>
      </c>
      <c r="O748" s="59">
        <f>IF(tblMovement[[#This Row],[Is_Ore]]=1,tblMovement[[#This Row],[Contained_oz]],0)</f>
        <v/>
      </c>
    </row>
    <row r="749">
      <c r="A749" s="54" t="n"/>
      <c r="B749" s="61" t="n"/>
      <c r="C749" s="61" t="n"/>
      <c r="D749" s="61" t="n"/>
      <c r="E749" s="61" t="n"/>
      <c r="F749" s="55" t="n"/>
      <c r="G749" s="56" t="n"/>
      <c r="H749" s="55" t="n"/>
      <c r="I749" s="62" t="n"/>
      <c r="J749" s="58" t="n"/>
      <c r="K749" s="63">
        <f>IF(tblMovement[[#This Row],[Source]]="","",IFERROR(INDEX(tblSources[Type],MATCH(tblMovement[[#This Row],[Source]],tblSources[Source],0)),"?"))</f>
        <v/>
      </c>
      <c r="L749" s="63">
        <f>IF(tblMovement[[#This Row],[Destination]]="","",IFERROR(INDEX(tblDestinations[Type],MATCH(tblMovement[[#This Row],[Destination]],tblDestinations[Destination],0)),"?"))</f>
        <v/>
      </c>
      <c r="M749" s="64">
        <f>IF(tblMovement[[#This Row],[Material]]="","",IF(LEFT(tblMovement[[#This Row],[Material]],3)="Ore",1,0))</f>
        <v/>
      </c>
      <c r="N749" s="59">
        <f>IF(OR(tblMovement[[#This Row],[Tonnes_t]]="",tblMovement[[#This Row],[Grade_gpt]]=""),0,tblMovement[[#This Row],[Tonnes_t]]*tblMovement[[#This Row],[Grade_gpt]]/cfg_TroyOz)</f>
        <v/>
      </c>
      <c r="O749" s="59">
        <f>IF(tblMovement[[#This Row],[Is_Ore]]=1,tblMovement[[#This Row],[Contained_oz]],0)</f>
        <v/>
      </c>
    </row>
    <row r="750">
      <c r="A750" s="54" t="n"/>
      <c r="B750" s="61" t="n"/>
      <c r="C750" s="61" t="n"/>
      <c r="D750" s="61" t="n"/>
      <c r="E750" s="61" t="n"/>
      <c r="F750" s="55" t="n"/>
      <c r="G750" s="56" t="n"/>
      <c r="H750" s="55" t="n"/>
      <c r="I750" s="62" t="n"/>
      <c r="J750" s="58" t="n"/>
      <c r="K750" s="63">
        <f>IF(tblMovement[[#This Row],[Source]]="","",IFERROR(INDEX(tblSources[Type],MATCH(tblMovement[[#This Row],[Source]],tblSources[Source],0)),"?"))</f>
        <v/>
      </c>
      <c r="L750" s="63">
        <f>IF(tblMovement[[#This Row],[Destination]]="","",IFERROR(INDEX(tblDestinations[Type],MATCH(tblMovement[[#This Row],[Destination]],tblDestinations[Destination],0)),"?"))</f>
        <v/>
      </c>
      <c r="M750" s="64">
        <f>IF(tblMovement[[#This Row],[Material]]="","",IF(LEFT(tblMovement[[#This Row],[Material]],3)="Ore",1,0))</f>
        <v/>
      </c>
      <c r="N750" s="59">
        <f>IF(OR(tblMovement[[#This Row],[Tonnes_t]]="",tblMovement[[#This Row],[Grade_gpt]]=""),0,tblMovement[[#This Row],[Tonnes_t]]*tblMovement[[#This Row],[Grade_gpt]]/cfg_TroyOz)</f>
        <v/>
      </c>
      <c r="O750" s="59">
        <f>IF(tblMovement[[#This Row],[Is_Ore]]=1,tblMovement[[#This Row],[Contained_oz]],0)</f>
        <v/>
      </c>
    </row>
    <row r="751">
      <c r="A751" s="54" t="n"/>
      <c r="B751" s="61" t="n"/>
      <c r="C751" s="61" t="n"/>
      <c r="D751" s="61" t="n"/>
      <c r="E751" s="61" t="n"/>
      <c r="F751" s="55" t="n"/>
      <c r="G751" s="56" t="n"/>
      <c r="H751" s="55" t="n"/>
      <c r="I751" s="62" t="n"/>
      <c r="J751" s="58" t="n"/>
      <c r="K751" s="63">
        <f>IF(tblMovement[[#This Row],[Source]]="","",IFERROR(INDEX(tblSources[Type],MATCH(tblMovement[[#This Row],[Source]],tblSources[Source],0)),"?"))</f>
        <v/>
      </c>
      <c r="L751" s="63">
        <f>IF(tblMovement[[#This Row],[Destination]]="","",IFERROR(INDEX(tblDestinations[Type],MATCH(tblMovement[[#This Row],[Destination]],tblDestinations[Destination],0)),"?"))</f>
        <v/>
      </c>
      <c r="M751" s="64">
        <f>IF(tblMovement[[#This Row],[Material]]="","",IF(LEFT(tblMovement[[#This Row],[Material]],3)="Ore",1,0))</f>
        <v/>
      </c>
      <c r="N751" s="59">
        <f>IF(OR(tblMovement[[#This Row],[Tonnes_t]]="",tblMovement[[#This Row],[Grade_gpt]]=""),0,tblMovement[[#This Row],[Tonnes_t]]*tblMovement[[#This Row],[Grade_gpt]]/cfg_TroyOz)</f>
        <v/>
      </c>
      <c r="O751" s="59">
        <f>IF(tblMovement[[#This Row],[Is_Ore]]=1,tblMovement[[#This Row],[Contained_oz]],0)</f>
        <v/>
      </c>
    </row>
    <row r="752">
      <c r="A752" s="54" t="n"/>
      <c r="B752" s="61" t="n"/>
      <c r="C752" s="61" t="n"/>
      <c r="D752" s="61" t="n"/>
      <c r="E752" s="61" t="n"/>
      <c r="F752" s="55" t="n"/>
      <c r="G752" s="56" t="n"/>
      <c r="H752" s="55" t="n"/>
      <c r="I752" s="62" t="n"/>
      <c r="J752" s="58" t="n"/>
      <c r="K752" s="63">
        <f>IF(tblMovement[[#This Row],[Source]]="","",IFERROR(INDEX(tblSources[Type],MATCH(tblMovement[[#This Row],[Source]],tblSources[Source],0)),"?"))</f>
        <v/>
      </c>
      <c r="L752" s="63">
        <f>IF(tblMovement[[#This Row],[Destination]]="","",IFERROR(INDEX(tblDestinations[Type],MATCH(tblMovement[[#This Row],[Destination]],tblDestinations[Destination],0)),"?"))</f>
        <v/>
      </c>
      <c r="M752" s="64">
        <f>IF(tblMovement[[#This Row],[Material]]="","",IF(LEFT(tblMovement[[#This Row],[Material]],3)="Ore",1,0))</f>
        <v/>
      </c>
      <c r="N752" s="59">
        <f>IF(OR(tblMovement[[#This Row],[Tonnes_t]]="",tblMovement[[#This Row],[Grade_gpt]]=""),0,tblMovement[[#This Row],[Tonnes_t]]*tblMovement[[#This Row],[Grade_gpt]]/cfg_TroyOz)</f>
        <v/>
      </c>
      <c r="O752" s="59">
        <f>IF(tblMovement[[#This Row],[Is_Ore]]=1,tblMovement[[#This Row],[Contained_oz]],0)</f>
        <v/>
      </c>
    </row>
    <row r="753">
      <c r="A753" s="54" t="n"/>
      <c r="B753" s="61" t="n"/>
      <c r="C753" s="61" t="n"/>
      <c r="D753" s="61" t="n"/>
      <c r="E753" s="61" t="n"/>
      <c r="F753" s="55" t="n"/>
      <c r="G753" s="56" t="n"/>
      <c r="H753" s="55" t="n"/>
      <c r="I753" s="62" t="n"/>
      <c r="J753" s="58" t="n"/>
      <c r="K753" s="63">
        <f>IF(tblMovement[[#This Row],[Source]]="","",IFERROR(INDEX(tblSources[Type],MATCH(tblMovement[[#This Row],[Source]],tblSources[Source],0)),"?"))</f>
        <v/>
      </c>
      <c r="L753" s="63">
        <f>IF(tblMovement[[#This Row],[Destination]]="","",IFERROR(INDEX(tblDestinations[Type],MATCH(tblMovement[[#This Row],[Destination]],tblDestinations[Destination],0)),"?"))</f>
        <v/>
      </c>
      <c r="M753" s="64">
        <f>IF(tblMovement[[#This Row],[Material]]="","",IF(LEFT(tblMovement[[#This Row],[Material]],3)="Ore",1,0))</f>
        <v/>
      </c>
      <c r="N753" s="59">
        <f>IF(OR(tblMovement[[#This Row],[Tonnes_t]]="",tblMovement[[#This Row],[Grade_gpt]]=""),0,tblMovement[[#This Row],[Tonnes_t]]*tblMovement[[#This Row],[Grade_gpt]]/cfg_TroyOz)</f>
        <v/>
      </c>
      <c r="O753" s="59">
        <f>IF(tblMovement[[#This Row],[Is_Ore]]=1,tblMovement[[#This Row],[Contained_oz]],0)</f>
        <v/>
      </c>
    </row>
    <row r="754">
      <c r="A754" s="54" t="n"/>
      <c r="B754" s="61" t="n"/>
      <c r="C754" s="61" t="n"/>
      <c r="D754" s="61" t="n"/>
      <c r="E754" s="61" t="n"/>
      <c r="F754" s="55" t="n"/>
      <c r="G754" s="56" t="n"/>
      <c r="H754" s="55" t="n"/>
      <c r="I754" s="62" t="n"/>
      <c r="J754" s="58" t="n"/>
      <c r="K754" s="63">
        <f>IF(tblMovement[[#This Row],[Source]]="","",IFERROR(INDEX(tblSources[Type],MATCH(tblMovement[[#This Row],[Source]],tblSources[Source],0)),"?"))</f>
        <v/>
      </c>
      <c r="L754" s="63">
        <f>IF(tblMovement[[#This Row],[Destination]]="","",IFERROR(INDEX(tblDestinations[Type],MATCH(tblMovement[[#This Row],[Destination]],tblDestinations[Destination],0)),"?"))</f>
        <v/>
      </c>
      <c r="M754" s="64">
        <f>IF(tblMovement[[#This Row],[Material]]="","",IF(LEFT(tblMovement[[#This Row],[Material]],3)="Ore",1,0))</f>
        <v/>
      </c>
      <c r="N754" s="59">
        <f>IF(OR(tblMovement[[#This Row],[Tonnes_t]]="",tblMovement[[#This Row],[Grade_gpt]]=""),0,tblMovement[[#This Row],[Tonnes_t]]*tblMovement[[#This Row],[Grade_gpt]]/cfg_TroyOz)</f>
        <v/>
      </c>
      <c r="O754" s="59">
        <f>IF(tblMovement[[#This Row],[Is_Ore]]=1,tblMovement[[#This Row],[Contained_oz]],0)</f>
        <v/>
      </c>
    </row>
    <row r="755">
      <c r="A755" s="54" t="n"/>
      <c r="B755" s="61" t="n"/>
      <c r="C755" s="61" t="n"/>
      <c r="D755" s="61" t="n"/>
      <c r="E755" s="61" t="n"/>
      <c r="F755" s="55" t="n"/>
      <c r="G755" s="56" t="n"/>
      <c r="H755" s="55" t="n"/>
      <c r="I755" s="62" t="n"/>
      <c r="J755" s="58" t="n"/>
      <c r="K755" s="63">
        <f>IF(tblMovement[[#This Row],[Source]]="","",IFERROR(INDEX(tblSources[Type],MATCH(tblMovement[[#This Row],[Source]],tblSources[Source],0)),"?"))</f>
        <v/>
      </c>
      <c r="L755" s="63">
        <f>IF(tblMovement[[#This Row],[Destination]]="","",IFERROR(INDEX(tblDestinations[Type],MATCH(tblMovement[[#This Row],[Destination]],tblDestinations[Destination],0)),"?"))</f>
        <v/>
      </c>
      <c r="M755" s="64">
        <f>IF(tblMovement[[#This Row],[Material]]="","",IF(LEFT(tblMovement[[#This Row],[Material]],3)="Ore",1,0))</f>
        <v/>
      </c>
      <c r="N755" s="59">
        <f>IF(OR(tblMovement[[#This Row],[Tonnes_t]]="",tblMovement[[#This Row],[Grade_gpt]]=""),0,tblMovement[[#This Row],[Tonnes_t]]*tblMovement[[#This Row],[Grade_gpt]]/cfg_TroyOz)</f>
        <v/>
      </c>
      <c r="O755" s="59">
        <f>IF(tblMovement[[#This Row],[Is_Ore]]=1,tblMovement[[#This Row],[Contained_oz]],0)</f>
        <v/>
      </c>
    </row>
    <row r="756">
      <c r="A756" s="54" t="n"/>
      <c r="B756" s="61" t="n"/>
      <c r="C756" s="61" t="n"/>
      <c r="D756" s="61" t="n"/>
      <c r="E756" s="61" t="n"/>
      <c r="F756" s="55" t="n"/>
      <c r="G756" s="56" t="n"/>
      <c r="H756" s="55" t="n"/>
      <c r="I756" s="62" t="n"/>
      <c r="J756" s="58" t="n"/>
      <c r="K756" s="63">
        <f>IF(tblMovement[[#This Row],[Source]]="","",IFERROR(INDEX(tblSources[Type],MATCH(tblMovement[[#This Row],[Source]],tblSources[Source],0)),"?"))</f>
        <v/>
      </c>
      <c r="L756" s="63">
        <f>IF(tblMovement[[#This Row],[Destination]]="","",IFERROR(INDEX(tblDestinations[Type],MATCH(tblMovement[[#This Row],[Destination]],tblDestinations[Destination],0)),"?"))</f>
        <v/>
      </c>
      <c r="M756" s="64">
        <f>IF(tblMovement[[#This Row],[Material]]="","",IF(LEFT(tblMovement[[#This Row],[Material]],3)="Ore",1,0))</f>
        <v/>
      </c>
      <c r="N756" s="59">
        <f>IF(OR(tblMovement[[#This Row],[Tonnes_t]]="",tblMovement[[#This Row],[Grade_gpt]]=""),0,tblMovement[[#This Row],[Tonnes_t]]*tblMovement[[#This Row],[Grade_gpt]]/cfg_TroyOz)</f>
        <v/>
      </c>
      <c r="O756" s="59">
        <f>IF(tblMovement[[#This Row],[Is_Ore]]=1,tblMovement[[#This Row],[Contained_oz]],0)</f>
        <v/>
      </c>
    </row>
    <row r="757">
      <c r="A757" s="54" t="n"/>
      <c r="B757" s="61" t="n"/>
      <c r="C757" s="61" t="n"/>
      <c r="D757" s="61" t="n"/>
      <c r="E757" s="61" t="n"/>
      <c r="F757" s="55" t="n"/>
      <c r="G757" s="56" t="n"/>
      <c r="H757" s="55" t="n"/>
      <c r="I757" s="62" t="n"/>
      <c r="J757" s="58" t="n"/>
      <c r="K757" s="63">
        <f>IF(tblMovement[[#This Row],[Source]]="","",IFERROR(INDEX(tblSources[Type],MATCH(tblMovement[[#This Row],[Source]],tblSources[Source],0)),"?"))</f>
        <v/>
      </c>
      <c r="L757" s="63">
        <f>IF(tblMovement[[#This Row],[Destination]]="","",IFERROR(INDEX(tblDestinations[Type],MATCH(tblMovement[[#This Row],[Destination]],tblDestinations[Destination],0)),"?"))</f>
        <v/>
      </c>
      <c r="M757" s="64">
        <f>IF(tblMovement[[#This Row],[Material]]="","",IF(LEFT(tblMovement[[#This Row],[Material]],3)="Ore",1,0))</f>
        <v/>
      </c>
      <c r="N757" s="59">
        <f>IF(OR(tblMovement[[#This Row],[Tonnes_t]]="",tblMovement[[#This Row],[Grade_gpt]]=""),0,tblMovement[[#This Row],[Tonnes_t]]*tblMovement[[#This Row],[Grade_gpt]]/cfg_TroyOz)</f>
        <v/>
      </c>
      <c r="O757" s="59">
        <f>IF(tblMovement[[#This Row],[Is_Ore]]=1,tblMovement[[#This Row],[Contained_oz]],0)</f>
        <v/>
      </c>
    </row>
    <row r="758">
      <c r="A758" s="54" t="n"/>
      <c r="B758" s="61" t="n"/>
      <c r="C758" s="61" t="n"/>
      <c r="D758" s="61" t="n"/>
      <c r="E758" s="61" t="n"/>
      <c r="F758" s="55" t="n"/>
      <c r="G758" s="56" t="n"/>
      <c r="H758" s="55" t="n"/>
      <c r="I758" s="62" t="n"/>
      <c r="J758" s="58" t="n"/>
      <c r="K758" s="63">
        <f>IF(tblMovement[[#This Row],[Source]]="","",IFERROR(INDEX(tblSources[Type],MATCH(tblMovement[[#This Row],[Source]],tblSources[Source],0)),"?"))</f>
        <v/>
      </c>
      <c r="L758" s="63">
        <f>IF(tblMovement[[#This Row],[Destination]]="","",IFERROR(INDEX(tblDestinations[Type],MATCH(tblMovement[[#This Row],[Destination]],tblDestinations[Destination],0)),"?"))</f>
        <v/>
      </c>
      <c r="M758" s="64">
        <f>IF(tblMovement[[#This Row],[Material]]="","",IF(LEFT(tblMovement[[#This Row],[Material]],3)="Ore",1,0))</f>
        <v/>
      </c>
      <c r="N758" s="59">
        <f>IF(OR(tblMovement[[#This Row],[Tonnes_t]]="",tblMovement[[#This Row],[Grade_gpt]]=""),0,tblMovement[[#This Row],[Tonnes_t]]*tblMovement[[#This Row],[Grade_gpt]]/cfg_TroyOz)</f>
        <v/>
      </c>
      <c r="O758" s="59">
        <f>IF(tblMovement[[#This Row],[Is_Ore]]=1,tblMovement[[#This Row],[Contained_oz]],0)</f>
        <v/>
      </c>
    </row>
    <row r="759">
      <c r="A759" s="54" t="n"/>
      <c r="B759" s="61" t="n"/>
      <c r="C759" s="61" t="n"/>
      <c r="D759" s="61" t="n"/>
      <c r="E759" s="61" t="n"/>
      <c r="F759" s="55" t="n"/>
      <c r="G759" s="56" t="n"/>
      <c r="H759" s="55" t="n"/>
      <c r="I759" s="62" t="n"/>
      <c r="J759" s="58" t="n"/>
      <c r="K759" s="63">
        <f>IF(tblMovement[[#This Row],[Source]]="","",IFERROR(INDEX(tblSources[Type],MATCH(tblMovement[[#This Row],[Source]],tblSources[Source],0)),"?"))</f>
        <v/>
      </c>
      <c r="L759" s="63">
        <f>IF(tblMovement[[#This Row],[Destination]]="","",IFERROR(INDEX(tblDestinations[Type],MATCH(tblMovement[[#This Row],[Destination]],tblDestinations[Destination],0)),"?"))</f>
        <v/>
      </c>
      <c r="M759" s="64">
        <f>IF(tblMovement[[#This Row],[Material]]="","",IF(LEFT(tblMovement[[#This Row],[Material]],3)="Ore",1,0))</f>
        <v/>
      </c>
      <c r="N759" s="59">
        <f>IF(OR(tblMovement[[#This Row],[Tonnes_t]]="",tblMovement[[#This Row],[Grade_gpt]]=""),0,tblMovement[[#This Row],[Tonnes_t]]*tblMovement[[#This Row],[Grade_gpt]]/cfg_TroyOz)</f>
        <v/>
      </c>
      <c r="O759" s="59">
        <f>IF(tblMovement[[#This Row],[Is_Ore]]=1,tblMovement[[#This Row],[Contained_oz]],0)</f>
        <v/>
      </c>
    </row>
    <row r="760">
      <c r="A760" s="54" t="n"/>
      <c r="B760" s="61" t="n"/>
      <c r="C760" s="61" t="n"/>
      <c r="D760" s="61" t="n"/>
      <c r="E760" s="61" t="n"/>
      <c r="F760" s="55" t="n"/>
      <c r="G760" s="56" t="n"/>
      <c r="H760" s="55" t="n"/>
      <c r="I760" s="62" t="n"/>
      <c r="J760" s="58" t="n"/>
      <c r="K760" s="63">
        <f>IF(tblMovement[[#This Row],[Source]]="","",IFERROR(INDEX(tblSources[Type],MATCH(tblMovement[[#This Row],[Source]],tblSources[Source],0)),"?"))</f>
        <v/>
      </c>
      <c r="L760" s="63">
        <f>IF(tblMovement[[#This Row],[Destination]]="","",IFERROR(INDEX(tblDestinations[Type],MATCH(tblMovement[[#This Row],[Destination]],tblDestinations[Destination],0)),"?"))</f>
        <v/>
      </c>
      <c r="M760" s="64">
        <f>IF(tblMovement[[#This Row],[Material]]="","",IF(LEFT(tblMovement[[#This Row],[Material]],3)="Ore",1,0))</f>
        <v/>
      </c>
      <c r="N760" s="59">
        <f>IF(OR(tblMovement[[#This Row],[Tonnes_t]]="",tblMovement[[#This Row],[Grade_gpt]]=""),0,tblMovement[[#This Row],[Tonnes_t]]*tblMovement[[#This Row],[Grade_gpt]]/cfg_TroyOz)</f>
        <v/>
      </c>
      <c r="O760" s="59">
        <f>IF(tblMovement[[#This Row],[Is_Ore]]=1,tblMovement[[#This Row],[Contained_oz]],0)</f>
        <v/>
      </c>
    </row>
    <row r="761">
      <c r="A761" s="54" t="n"/>
      <c r="B761" s="61" t="n"/>
      <c r="C761" s="61" t="n"/>
      <c r="D761" s="61" t="n"/>
      <c r="E761" s="61" t="n"/>
      <c r="F761" s="55" t="n"/>
      <c r="G761" s="56" t="n"/>
      <c r="H761" s="55" t="n"/>
      <c r="I761" s="62" t="n"/>
      <c r="J761" s="58" t="n"/>
      <c r="K761" s="63">
        <f>IF(tblMovement[[#This Row],[Source]]="","",IFERROR(INDEX(tblSources[Type],MATCH(tblMovement[[#This Row],[Source]],tblSources[Source],0)),"?"))</f>
        <v/>
      </c>
      <c r="L761" s="63">
        <f>IF(tblMovement[[#This Row],[Destination]]="","",IFERROR(INDEX(tblDestinations[Type],MATCH(tblMovement[[#This Row],[Destination]],tblDestinations[Destination],0)),"?"))</f>
        <v/>
      </c>
      <c r="M761" s="64">
        <f>IF(tblMovement[[#This Row],[Material]]="","",IF(LEFT(tblMovement[[#This Row],[Material]],3)="Ore",1,0))</f>
        <v/>
      </c>
      <c r="N761" s="59">
        <f>IF(OR(tblMovement[[#This Row],[Tonnes_t]]="",tblMovement[[#This Row],[Grade_gpt]]=""),0,tblMovement[[#This Row],[Tonnes_t]]*tblMovement[[#This Row],[Grade_gpt]]/cfg_TroyOz)</f>
        <v/>
      </c>
      <c r="O761" s="59">
        <f>IF(tblMovement[[#This Row],[Is_Ore]]=1,tblMovement[[#This Row],[Contained_oz]],0)</f>
        <v/>
      </c>
    </row>
    <row r="762">
      <c r="A762" s="54" t="n"/>
      <c r="B762" s="61" t="n"/>
      <c r="C762" s="61" t="n"/>
      <c r="D762" s="61" t="n"/>
      <c r="E762" s="61" t="n"/>
      <c r="F762" s="55" t="n"/>
      <c r="G762" s="56" t="n"/>
      <c r="H762" s="55" t="n"/>
      <c r="I762" s="62" t="n"/>
      <c r="J762" s="58" t="n"/>
      <c r="K762" s="63">
        <f>IF(tblMovement[[#This Row],[Source]]="","",IFERROR(INDEX(tblSources[Type],MATCH(tblMovement[[#This Row],[Source]],tblSources[Source],0)),"?"))</f>
        <v/>
      </c>
      <c r="L762" s="63">
        <f>IF(tblMovement[[#This Row],[Destination]]="","",IFERROR(INDEX(tblDestinations[Type],MATCH(tblMovement[[#This Row],[Destination]],tblDestinations[Destination],0)),"?"))</f>
        <v/>
      </c>
      <c r="M762" s="64">
        <f>IF(tblMovement[[#This Row],[Material]]="","",IF(LEFT(tblMovement[[#This Row],[Material]],3)="Ore",1,0))</f>
        <v/>
      </c>
      <c r="N762" s="59">
        <f>IF(OR(tblMovement[[#This Row],[Tonnes_t]]="",tblMovement[[#This Row],[Grade_gpt]]=""),0,tblMovement[[#This Row],[Tonnes_t]]*tblMovement[[#This Row],[Grade_gpt]]/cfg_TroyOz)</f>
        <v/>
      </c>
      <c r="O762" s="59">
        <f>IF(tblMovement[[#This Row],[Is_Ore]]=1,tblMovement[[#This Row],[Contained_oz]],0)</f>
        <v/>
      </c>
    </row>
    <row r="763">
      <c r="A763" s="54" t="n"/>
      <c r="B763" s="61" t="n"/>
      <c r="C763" s="61" t="n"/>
      <c r="D763" s="61" t="n"/>
      <c r="E763" s="61" t="n"/>
      <c r="F763" s="55" t="n"/>
      <c r="G763" s="56" t="n"/>
      <c r="H763" s="55" t="n"/>
      <c r="I763" s="62" t="n"/>
      <c r="J763" s="58" t="n"/>
      <c r="K763" s="63">
        <f>IF(tblMovement[[#This Row],[Source]]="","",IFERROR(INDEX(tblSources[Type],MATCH(tblMovement[[#This Row],[Source]],tblSources[Source],0)),"?"))</f>
        <v/>
      </c>
      <c r="L763" s="63">
        <f>IF(tblMovement[[#This Row],[Destination]]="","",IFERROR(INDEX(tblDestinations[Type],MATCH(tblMovement[[#This Row],[Destination]],tblDestinations[Destination],0)),"?"))</f>
        <v/>
      </c>
      <c r="M763" s="64">
        <f>IF(tblMovement[[#This Row],[Material]]="","",IF(LEFT(tblMovement[[#This Row],[Material]],3)="Ore",1,0))</f>
        <v/>
      </c>
      <c r="N763" s="59">
        <f>IF(OR(tblMovement[[#This Row],[Tonnes_t]]="",tblMovement[[#This Row],[Grade_gpt]]=""),0,tblMovement[[#This Row],[Tonnes_t]]*tblMovement[[#This Row],[Grade_gpt]]/cfg_TroyOz)</f>
        <v/>
      </c>
      <c r="O763" s="59">
        <f>IF(tblMovement[[#This Row],[Is_Ore]]=1,tblMovement[[#This Row],[Contained_oz]],0)</f>
        <v/>
      </c>
    </row>
    <row r="764">
      <c r="A764" s="54" t="n"/>
      <c r="B764" s="61" t="n"/>
      <c r="C764" s="61" t="n"/>
      <c r="D764" s="61" t="n"/>
      <c r="E764" s="61" t="n"/>
      <c r="F764" s="55" t="n"/>
      <c r="G764" s="56" t="n"/>
      <c r="H764" s="55" t="n"/>
      <c r="I764" s="62" t="n"/>
      <c r="J764" s="58" t="n"/>
      <c r="K764" s="63">
        <f>IF(tblMovement[[#This Row],[Source]]="","",IFERROR(INDEX(tblSources[Type],MATCH(tblMovement[[#This Row],[Source]],tblSources[Source],0)),"?"))</f>
        <v/>
      </c>
      <c r="L764" s="63">
        <f>IF(tblMovement[[#This Row],[Destination]]="","",IFERROR(INDEX(tblDestinations[Type],MATCH(tblMovement[[#This Row],[Destination]],tblDestinations[Destination],0)),"?"))</f>
        <v/>
      </c>
      <c r="M764" s="64">
        <f>IF(tblMovement[[#This Row],[Material]]="","",IF(LEFT(tblMovement[[#This Row],[Material]],3)="Ore",1,0))</f>
        <v/>
      </c>
      <c r="N764" s="59">
        <f>IF(OR(tblMovement[[#This Row],[Tonnes_t]]="",tblMovement[[#This Row],[Grade_gpt]]=""),0,tblMovement[[#This Row],[Tonnes_t]]*tblMovement[[#This Row],[Grade_gpt]]/cfg_TroyOz)</f>
        <v/>
      </c>
      <c r="O764" s="59">
        <f>IF(tblMovement[[#This Row],[Is_Ore]]=1,tblMovement[[#This Row],[Contained_oz]],0)</f>
        <v/>
      </c>
    </row>
    <row r="765">
      <c r="A765" s="54" t="n"/>
      <c r="B765" s="61" t="n"/>
      <c r="C765" s="61" t="n"/>
      <c r="D765" s="61" t="n"/>
      <c r="E765" s="61" t="n"/>
      <c r="F765" s="55" t="n"/>
      <c r="G765" s="56" t="n"/>
      <c r="H765" s="55" t="n"/>
      <c r="I765" s="62" t="n"/>
      <c r="J765" s="58" t="n"/>
      <c r="K765" s="63">
        <f>IF(tblMovement[[#This Row],[Source]]="","",IFERROR(INDEX(tblSources[Type],MATCH(tblMovement[[#This Row],[Source]],tblSources[Source],0)),"?"))</f>
        <v/>
      </c>
      <c r="L765" s="63">
        <f>IF(tblMovement[[#This Row],[Destination]]="","",IFERROR(INDEX(tblDestinations[Type],MATCH(tblMovement[[#This Row],[Destination]],tblDestinations[Destination],0)),"?"))</f>
        <v/>
      </c>
      <c r="M765" s="64">
        <f>IF(tblMovement[[#This Row],[Material]]="","",IF(LEFT(tblMovement[[#This Row],[Material]],3)="Ore",1,0))</f>
        <v/>
      </c>
      <c r="N765" s="59">
        <f>IF(OR(tblMovement[[#This Row],[Tonnes_t]]="",tblMovement[[#This Row],[Grade_gpt]]=""),0,tblMovement[[#This Row],[Tonnes_t]]*tblMovement[[#This Row],[Grade_gpt]]/cfg_TroyOz)</f>
        <v/>
      </c>
      <c r="O765" s="59">
        <f>IF(tblMovement[[#This Row],[Is_Ore]]=1,tblMovement[[#This Row],[Contained_oz]],0)</f>
        <v/>
      </c>
    </row>
    <row r="766">
      <c r="A766" s="54" t="n"/>
      <c r="B766" s="61" t="n"/>
      <c r="C766" s="61" t="n"/>
      <c r="D766" s="61" t="n"/>
      <c r="E766" s="61" t="n"/>
      <c r="F766" s="55" t="n"/>
      <c r="G766" s="56" t="n"/>
      <c r="H766" s="55" t="n"/>
      <c r="I766" s="62" t="n"/>
      <c r="J766" s="58" t="n"/>
      <c r="K766" s="63">
        <f>IF(tblMovement[[#This Row],[Source]]="","",IFERROR(INDEX(tblSources[Type],MATCH(tblMovement[[#This Row],[Source]],tblSources[Source],0)),"?"))</f>
        <v/>
      </c>
      <c r="L766" s="63">
        <f>IF(tblMovement[[#This Row],[Destination]]="","",IFERROR(INDEX(tblDestinations[Type],MATCH(tblMovement[[#This Row],[Destination]],tblDestinations[Destination],0)),"?"))</f>
        <v/>
      </c>
      <c r="M766" s="64">
        <f>IF(tblMovement[[#This Row],[Material]]="","",IF(LEFT(tblMovement[[#This Row],[Material]],3)="Ore",1,0))</f>
        <v/>
      </c>
      <c r="N766" s="59">
        <f>IF(OR(tblMovement[[#This Row],[Tonnes_t]]="",tblMovement[[#This Row],[Grade_gpt]]=""),0,tblMovement[[#This Row],[Tonnes_t]]*tblMovement[[#This Row],[Grade_gpt]]/cfg_TroyOz)</f>
        <v/>
      </c>
      <c r="O766" s="59">
        <f>IF(tblMovement[[#This Row],[Is_Ore]]=1,tblMovement[[#This Row],[Contained_oz]],0)</f>
        <v/>
      </c>
    </row>
    <row r="767">
      <c r="A767" s="54" t="n"/>
      <c r="B767" s="61" t="n"/>
      <c r="C767" s="61" t="n"/>
      <c r="D767" s="61" t="n"/>
      <c r="E767" s="61" t="n"/>
      <c r="F767" s="55" t="n"/>
      <c r="G767" s="56" t="n"/>
      <c r="H767" s="55" t="n"/>
      <c r="I767" s="62" t="n"/>
      <c r="J767" s="58" t="n"/>
      <c r="K767" s="63">
        <f>IF(tblMovement[[#This Row],[Source]]="","",IFERROR(INDEX(tblSources[Type],MATCH(tblMovement[[#This Row],[Source]],tblSources[Source],0)),"?"))</f>
        <v/>
      </c>
      <c r="L767" s="63">
        <f>IF(tblMovement[[#This Row],[Destination]]="","",IFERROR(INDEX(tblDestinations[Type],MATCH(tblMovement[[#This Row],[Destination]],tblDestinations[Destination],0)),"?"))</f>
        <v/>
      </c>
      <c r="M767" s="64">
        <f>IF(tblMovement[[#This Row],[Material]]="","",IF(LEFT(tblMovement[[#This Row],[Material]],3)="Ore",1,0))</f>
        <v/>
      </c>
      <c r="N767" s="59">
        <f>IF(OR(tblMovement[[#This Row],[Tonnes_t]]="",tblMovement[[#This Row],[Grade_gpt]]=""),0,tblMovement[[#This Row],[Tonnes_t]]*tblMovement[[#This Row],[Grade_gpt]]/cfg_TroyOz)</f>
        <v/>
      </c>
      <c r="O767" s="59">
        <f>IF(tblMovement[[#This Row],[Is_Ore]]=1,tblMovement[[#This Row],[Contained_oz]],0)</f>
        <v/>
      </c>
    </row>
    <row r="768">
      <c r="A768" s="54" t="n"/>
      <c r="B768" s="61" t="n"/>
      <c r="C768" s="61" t="n"/>
      <c r="D768" s="61" t="n"/>
      <c r="E768" s="61" t="n"/>
      <c r="F768" s="55" t="n"/>
      <c r="G768" s="56" t="n"/>
      <c r="H768" s="55" t="n"/>
      <c r="I768" s="62" t="n"/>
      <c r="J768" s="58" t="n"/>
      <c r="K768" s="63">
        <f>IF(tblMovement[[#This Row],[Source]]="","",IFERROR(INDEX(tblSources[Type],MATCH(tblMovement[[#This Row],[Source]],tblSources[Source],0)),"?"))</f>
        <v/>
      </c>
      <c r="L768" s="63">
        <f>IF(tblMovement[[#This Row],[Destination]]="","",IFERROR(INDEX(tblDestinations[Type],MATCH(tblMovement[[#This Row],[Destination]],tblDestinations[Destination],0)),"?"))</f>
        <v/>
      </c>
      <c r="M768" s="64">
        <f>IF(tblMovement[[#This Row],[Material]]="","",IF(LEFT(tblMovement[[#This Row],[Material]],3)="Ore",1,0))</f>
        <v/>
      </c>
      <c r="N768" s="59">
        <f>IF(OR(tblMovement[[#This Row],[Tonnes_t]]="",tblMovement[[#This Row],[Grade_gpt]]=""),0,tblMovement[[#This Row],[Tonnes_t]]*tblMovement[[#This Row],[Grade_gpt]]/cfg_TroyOz)</f>
        <v/>
      </c>
      <c r="O768" s="59">
        <f>IF(tblMovement[[#This Row],[Is_Ore]]=1,tblMovement[[#This Row],[Contained_oz]],0)</f>
        <v/>
      </c>
    </row>
    <row r="769">
      <c r="A769" s="54" t="n"/>
      <c r="B769" s="61" t="n"/>
      <c r="C769" s="61" t="n"/>
      <c r="D769" s="61" t="n"/>
      <c r="E769" s="61" t="n"/>
      <c r="F769" s="55" t="n"/>
      <c r="G769" s="56" t="n"/>
      <c r="H769" s="55" t="n"/>
      <c r="I769" s="62" t="n"/>
      <c r="J769" s="58" t="n"/>
      <c r="K769" s="63">
        <f>IF(tblMovement[[#This Row],[Source]]="","",IFERROR(INDEX(tblSources[Type],MATCH(tblMovement[[#This Row],[Source]],tblSources[Source],0)),"?"))</f>
        <v/>
      </c>
      <c r="L769" s="63">
        <f>IF(tblMovement[[#This Row],[Destination]]="","",IFERROR(INDEX(tblDestinations[Type],MATCH(tblMovement[[#This Row],[Destination]],tblDestinations[Destination],0)),"?"))</f>
        <v/>
      </c>
      <c r="M769" s="64">
        <f>IF(tblMovement[[#This Row],[Material]]="","",IF(LEFT(tblMovement[[#This Row],[Material]],3)="Ore",1,0))</f>
        <v/>
      </c>
      <c r="N769" s="59">
        <f>IF(OR(tblMovement[[#This Row],[Tonnes_t]]="",tblMovement[[#This Row],[Grade_gpt]]=""),0,tblMovement[[#This Row],[Tonnes_t]]*tblMovement[[#This Row],[Grade_gpt]]/cfg_TroyOz)</f>
        <v/>
      </c>
      <c r="O769" s="59">
        <f>IF(tblMovement[[#This Row],[Is_Ore]]=1,tblMovement[[#This Row],[Contained_oz]],0)</f>
        <v/>
      </c>
    </row>
    <row r="770">
      <c r="A770" s="54" t="n"/>
      <c r="B770" s="61" t="n"/>
      <c r="C770" s="61" t="n"/>
      <c r="D770" s="61" t="n"/>
      <c r="E770" s="61" t="n"/>
      <c r="F770" s="55" t="n"/>
      <c r="G770" s="56" t="n"/>
      <c r="H770" s="55" t="n"/>
      <c r="I770" s="62" t="n"/>
      <c r="J770" s="58" t="n"/>
      <c r="K770" s="63">
        <f>IF(tblMovement[[#This Row],[Source]]="","",IFERROR(INDEX(tblSources[Type],MATCH(tblMovement[[#This Row],[Source]],tblSources[Source],0)),"?"))</f>
        <v/>
      </c>
      <c r="L770" s="63">
        <f>IF(tblMovement[[#This Row],[Destination]]="","",IFERROR(INDEX(tblDestinations[Type],MATCH(tblMovement[[#This Row],[Destination]],tblDestinations[Destination],0)),"?"))</f>
        <v/>
      </c>
      <c r="M770" s="64">
        <f>IF(tblMovement[[#This Row],[Material]]="","",IF(LEFT(tblMovement[[#This Row],[Material]],3)="Ore",1,0))</f>
        <v/>
      </c>
      <c r="N770" s="59">
        <f>IF(OR(tblMovement[[#This Row],[Tonnes_t]]="",tblMovement[[#This Row],[Grade_gpt]]=""),0,tblMovement[[#This Row],[Tonnes_t]]*tblMovement[[#This Row],[Grade_gpt]]/cfg_TroyOz)</f>
        <v/>
      </c>
      <c r="O770" s="59">
        <f>IF(tblMovement[[#This Row],[Is_Ore]]=1,tblMovement[[#This Row],[Contained_oz]],0)</f>
        <v/>
      </c>
    </row>
    <row r="771">
      <c r="A771" s="54" t="n"/>
      <c r="B771" s="61" t="n"/>
      <c r="C771" s="61" t="n"/>
      <c r="D771" s="61" t="n"/>
      <c r="E771" s="61" t="n"/>
      <c r="F771" s="55" t="n"/>
      <c r="G771" s="56" t="n"/>
      <c r="H771" s="55" t="n"/>
      <c r="I771" s="62" t="n"/>
      <c r="J771" s="58" t="n"/>
      <c r="K771" s="63">
        <f>IF(tblMovement[[#This Row],[Source]]="","",IFERROR(INDEX(tblSources[Type],MATCH(tblMovement[[#This Row],[Source]],tblSources[Source],0)),"?"))</f>
        <v/>
      </c>
      <c r="L771" s="63">
        <f>IF(tblMovement[[#This Row],[Destination]]="","",IFERROR(INDEX(tblDestinations[Type],MATCH(tblMovement[[#This Row],[Destination]],tblDestinations[Destination],0)),"?"))</f>
        <v/>
      </c>
      <c r="M771" s="64">
        <f>IF(tblMovement[[#This Row],[Material]]="","",IF(LEFT(tblMovement[[#This Row],[Material]],3)="Ore",1,0))</f>
        <v/>
      </c>
      <c r="N771" s="59">
        <f>IF(OR(tblMovement[[#This Row],[Tonnes_t]]="",tblMovement[[#This Row],[Grade_gpt]]=""),0,tblMovement[[#This Row],[Tonnes_t]]*tblMovement[[#This Row],[Grade_gpt]]/cfg_TroyOz)</f>
        <v/>
      </c>
      <c r="O771" s="59">
        <f>IF(tblMovement[[#This Row],[Is_Ore]]=1,tblMovement[[#This Row],[Contained_oz]],0)</f>
        <v/>
      </c>
    </row>
    <row r="772">
      <c r="A772" s="54" t="n"/>
      <c r="B772" s="61" t="n"/>
      <c r="C772" s="61" t="n"/>
      <c r="D772" s="61" t="n"/>
      <c r="E772" s="61" t="n"/>
      <c r="F772" s="55" t="n"/>
      <c r="G772" s="56" t="n"/>
      <c r="H772" s="55" t="n"/>
      <c r="I772" s="62" t="n"/>
      <c r="J772" s="58" t="n"/>
      <c r="K772" s="63">
        <f>IF(tblMovement[[#This Row],[Source]]="","",IFERROR(INDEX(tblSources[Type],MATCH(tblMovement[[#This Row],[Source]],tblSources[Source],0)),"?"))</f>
        <v/>
      </c>
      <c r="L772" s="63">
        <f>IF(tblMovement[[#This Row],[Destination]]="","",IFERROR(INDEX(tblDestinations[Type],MATCH(tblMovement[[#This Row],[Destination]],tblDestinations[Destination],0)),"?"))</f>
        <v/>
      </c>
      <c r="M772" s="64">
        <f>IF(tblMovement[[#This Row],[Material]]="","",IF(LEFT(tblMovement[[#This Row],[Material]],3)="Ore",1,0))</f>
        <v/>
      </c>
      <c r="N772" s="59">
        <f>IF(OR(tblMovement[[#This Row],[Tonnes_t]]="",tblMovement[[#This Row],[Grade_gpt]]=""),0,tblMovement[[#This Row],[Tonnes_t]]*tblMovement[[#This Row],[Grade_gpt]]/cfg_TroyOz)</f>
        <v/>
      </c>
      <c r="O772" s="59">
        <f>IF(tblMovement[[#This Row],[Is_Ore]]=1,tblMovement[[#This Row],[Contained_oz]],0)</f>
        <v/>
      </c>
    </row>
    <row r="773">
      <c r="A773" s="54" t="n"/>
      <c r="B773" s="61" t="n"/>
      <c r="C773" s="61" t="n"/>
      <c r="D773" s="61" t="n"/>
      <c r="E773" s="61" t="n"/>
      <c r="F773" s="55" t="n"/>
      <c r="G773" s="56" t="n"/>
      <c r="H773" s="55" t="n"/>
      <c r="I773" s="62" t="n"/>
      <c r="J773" s="58" t="n"/>
      <c r="K773" s="63">
        <f>IF(tblMovement[[#This Row],[Source]]="","",IFERROR(INDEX(tblSources[Type],MATCH(tblMovement[[#This Row],[Source]],tblSources[Source],0)),"?"))</f>
        <v/>
      </c>
      <c r="L773" s="63">
        <f>IF(tblMovement[[#This Row],[Destination]]="","",IFERROR(INDEX(tblDestinations[Type],MATCH(tblMovement[[#This Row],[Destination]],tblDestinations[Destination],0)),"?"))</f>
        <v/>
      </c>
      <c r="M773" s="64">
        <f>IF(tblMovement[[#This Row],[Material]]="","",IF(LEFT(tblMovement[[#This Row],[Material]],3)="Ore",1,0))</f>
        <v/>
      </c>
      <c r="N773" s="59">
        <f>IF(OR(tblMovement[[#This Row],[Tonnes_t]]="",tblMovement[[#This Row],[Grade_gpt]]=""),0,tblMovement[[#This Row],[Tonnes_t]]*tblMovement[[#This Row],[Grade_gpt]]/cfg_TroyOz)</f>
        <v/>
      </c>
      <c r="O773" s="59">
        <f>IF(tblMovement[[#This Row],[Is_Ore]]=1,tblMovement[[#This Row],[Contained_oz]],0)</f>
        <v/>
      </c>
    </row>
    <row r="774">
      <c r="A774" s="54" t="n"/>
      <c r="B774" s="61" t="n"/>
      <c r="C774" s="61" t="n"/>
      <c r="D774" s="61" t="n"/>
      <c r="E774" s="61" t="n"/>
      <c r="F774" s="55" t="n"/>
      <c r="G774" s="56" t="n"/>
      <c r="H774" s="55" t="n"/>
      <c r="I774" s="62" t="n"/>
      <c r="J774" s="58" t="n"/>
      <c r="K774" s="63">
        <f>IF(tblMovement[[#This Row],[Source]]="","",IFERROR(INDEX(tblSources[Type],MATCH(tblMovement[[#This Row],[Source]],tblSources[Source],0)),"?"))</f>
        <v/>
      </c>
      <c r="L774" s="63">
        <f>IF(tblMovement[[#This Row],[Destination]]="","",IFERROR(INDEX(tblDestinations[Type],MATCH(tblMovement[[#This Row],[Destination]],tblDestinations[Destination],0)),"?"))</f>
        <v/>
      </c>
      <c r="M774" s="64">
        <f>IF(tblMovement[[#This Row],[Material]]="","",IF(LEFT(tblMovement[[#This Row],[Material]],3)="Ore",1,0))</f>
        <v/>
      </c>
      <c r="N774" s="59">
        <f>IF(OR(tblMovement[[#This Row],[Tonnes_t]]="",tblMovement[[#This Row],[Grade_gpt]]=""),0,tblMovement[[#This Row],[Tonnes_t]]*tblMovement[[#This Row],[Grade_gpt]]/cfg_TroyOz)</f>
        <v/>
      </c>
      <c r="O774" s="59">
        <f>IF(tblMovement[[#This Row],[Is_Ore]]=1,tblMovement[[#This Row],[Contained_oz]],0)</f>
        <v/>
      </c>
    </row>
    <row r="775">
      <c r="A775" s="54" t="n"/>
      <c r="B775" s="61" t="n"/>
      <c r="C775" s="61" t="n"/>
      <c r="D775" s="61" t="n"/>
      <c r="E775" s="61" t="n"/>
      <c r="F775" s="55" t="n"/>
      <c r="G775" s="56" t="n"/>
      <c r="H775" s="55" t="n"/>
      <c r="I775" s="62" t="n"/>
      <c r="J775" s="58" t="n"/>
      <c r="K775" s="63">
        <f>IF(tblMovement[[#This Row],[Source]]="","",IFERROR(INDEX(tblSources[Type],MATCH(tblMovement[[#This Row],[Source]],tblSources[Source],0)),"?"))</f>
        <v/>
      </c>
      <c r="L775" s="63">
        <f>IF(tblMovement[[#This Row],[Destination]]="","",IFERROR(INDEX(tblDestinations[Type],MATCH(tblMovement[[#This Row],[Destination]],tblDestinations[Destination],0)),"?"))</f>
        <v/>
      </c>
      <c r="M775" s="64">
        <f>IF(tblMovement[[#This Row],[Material]]="","",IF(LEFT(tblMovement[[#This Row],[Material]],3)="Ore",1,0))</f>
        <v/>
      </c>
      <c r="N775" s="59">
        <f>IF(OR(tblMovement[[#This Row],[Tonnes_t]]="",tblMovement[[#This Row],[Grade_gpt]]=""),0,tblMovement[[#This Row],[Tonnes_t]]*tblMovement[[#This Row],[Grade_gpt]]/cfg_TroyOz)</f>
        <v/>
      </c>
      <c r="O775" s="59">
        <f>IF(tblMovement[[#This Row],[Is_Ore]]=1,tblMovement[[#This Row],[Contained_oz]],0)</f>
        <v/>
      </c>
    </row>
    <row r="776">
      <c r="A776" s="54" t="n"/>
      <c r="B776" s="61" t="n"/>
      <c r="C776" s="61" t="n"/>
      <c r="D776" s="61" t="n"/>
      <c r="E776" s="61" t="n"/>
      <c r="F776" s="55" t="n"/>
      <c r="G776" s="56" t="n"/>
      <c r="H776" s="55" t="n"/>
      <c r="I776" s="62" t="n"/>
      <c r="J776" s="58" t="n"/>
      <c r="K776" s="63">
        <f>IF(tblMovement[[#This Row],[Source]]="","",IFERROR(INDEX(tblSources[Type],MATCH(tblMovement[[#This Row],[Source]],tblSources[Source],0)),"?"))</f>
        <v/>
      </c>
      <c r="L776" s="63">
        <f>IF(tblMovement[[#This Row],[Destination]]="","",IFERROR(INDEX(tblDestinations[Type],MATCH(tblMovement[[#This Row],[Destination]],tblDestinations[Destination],0)),"?"))</f>
        <v/>
      </c>
      <c r="M776" s="64">
        <f>IF(tblMovement[[#This Row],[Material]]="","",IF(LEFT(tblMovement[[#This Row],[Material]],3)="Ore",1,0))</f>
        <v/>
      </c>
      <c r="N776" s="59">
        <f>IF(OR(tblMovement[[#This Row],[Tonnes_t]]="",tblMovement[[#This Row],[Grade_gpt]]=""),0,tblMovement[[#This Row],[Tonnes_t]]*tblMovement[[#This Row],[Grade_gpt]]/cfg_TroyOz)</f>
        <v/>
      </c>
      <c r="O776" s="59">
        <f>IF(tblMovement[[#This Row],[Is_Ore]]=1,tblMovement[[#This Row],[Contained_oz]],0)</f>
        <v/>
      </c>
    </row>
    <row r="777">
      <c r="A777" s="54" t="n"/>
      <c r="B777" s="61" t="n"/>
      <c r="C777" s="61" t="n"/>
      <c r="D777" s="61" t="n"/>
      <c r="E777" s="61" t="n"/>
      <c r="F777" s="55" t="n"/>
      <c r="G777" s="56" t="n"/>
      <c r="H777" s="55" t="n"/>
      <c r="I777" s="62" t="n"/>
      <c r="J777" s="58" t="n"/>
      <c r="K777" s="63">
        <f>IF(tblMovement[[#This Row],[Source]]="","",IFERROR(INDEX(tblSources[Type],MATCH(tblMovement[[#This Row],[Source]],tblSources[Source],0)),"?"))</f>
        <v/>
      </c>
      <c r="L777" s="63">
        <f>IF(tblMovement[[#This Row],[Destination]]="","",IFERROR(INDEX(tblDestinations[Type],MATCH(tblMovement[[#This Row],[Destination]],tblDestinations[Destination],0)),"?"))</f>
        <v/>
      </c>
      <c r="M777" s="64">
        <f>IF(tblMovement[[#This Row],[Material]]="","",IF(LEFT(tblMovement[[#This Row],[Material]],3)="Ore",1,0))</f>
        <v/>
      </c>
      <c r="N777" s="59">
        <f>IF(OR(tblMovement[[#This Row],[Tonnes_t]]="",tblMovement[[#This Row],[Grade_gpt]]=""),0,tblMovement[[#This Row],[Tonnes_t]]*tblMovement[[#This Row],[Grade_gpt]]/cfg_TroyOz)</f>
        <v/>
      </c>
      <c r="O777" s="59">
        <f>IF(tblMovement[[#This Row],[Is_Ore]]=1,tblMovement[[#This Row],[Contained_oz]],0)</f>
        <v/>
      </c>
    </row>
    <row r="778">
      <c r="A778" s="54" t="n"/>
      <c r="B778" s="61" t="n"/>
      <c r="C778" s="61" t="n"/>
      <c r="D778" s="61" t="n"/>
      <c r="E778" s="61" t="n"/>
      <c r="F778" s="55" t="n"/>
      <c r="G778" s="56" t="n"/>
      <c r="H778" s="55" t="n"/>
      <c r="I778" s="62" t="n"/>
      <c r="J778" s="58" t="n"/>
      <c r="K778" s="63">
        <f>IF(tblMovement[[#This Row],[Source]]="","",IFERROR(INDEX(tblSources[Type],MATCH(tblMovement[[#This Row],[Source]],tblSources[Source],0)),"?"))</f>
        <v/>
      </c>
      <c r="L778" s="63">
        <f>IF(tblMovement[[#This Row],[Destination]]="","",IFERROR(INDEX(tblDestinations[Type],MATCH(tblMovement[[#This Row],[Destination]],tblDestinations[Destination],0)),"?"))</f>
        <v/>
      </c>
      <c r="M778" s="64">
        <f>IF(tblMovement[[#This Row],[Material]]="","",IF(LEFT(tblMovement[[#This Row],[Material]],3)="Ore",1,0))</f>
        <v/>
      </c>
      <c r="N778" s="59">
        <f>IF(OR(tblMovement[[#This Row],[Tonnes_t]]="",tblMovement[[#This Row],[Grade_gpt]]=""),0,tblMovement[[#This Row],[Tonnes_t]]*tblMovement[[#This Row],[Grade_gpt]]/cfg_TroyOz)</f>
        <v/>
      </c>
      <c r="O778" s="59">
        <f>IF(tblMovement[[#This Row],[Is_Ore]]=1,tblMovement[[#This Row],[Contained_oz]],0)</f>
        <v/>
      </c>
    </row>
    <row r="779">
      <c r="A779" s="54" t="n"/>
      <c r="B779" s="61" t="n"/>
      <c r="C779" s="61" t="n"/>
      <c r="D779" s="61" t="n"/>
      <c r="E779" s="61" t="n"/>
      <c r="F779" s="55" t="n"/>
      <c r="G779" s="56" t="n"/>
      <c r="H779" s="55" t="n"/>
      <c r="I779" s="62" t="n"/>
      <c r="J779" s="58" t="n"/>
      <c r="K779" s="63">
        <f>IF(tblMovement[[#This Row],[Source]]="","",IFERROR(INDEX(tblSources[Type],MATCH(tblMovement[[#This Row],[Source]],tblSources[Source],0)),"?"))</f>
        <v/>
      </c>
      <c r="L779" s="63">
        <f>IF(tblMovement[[#This Row],[Destination]]="","",IFERROR(INDEX(tblDestinations[Type],MATCH(tblMovement[[#This Row],[Destination]],tblDestinations[Destination],0)),"?"))</f>
        <v/>
      </c>
      <c r="M779" s="64">
        <f>IF(tblMovement[[#This Row],[Material]]="","",IF(LEFT(tblMovement[[#This Row],[Material]],3)="Ore",1,0))</f>
        <v/>
      </c>
      <c r="N779" s="59">
        <f>IF(OR(tblMovement[[#This Row],[Tonnes_t]]="",tblMovement[[#This Row],[Grade_gpt]]=""),0,tblMovement[[#This Row],[Tonnes_t]]*tblMovement[[#This Row],[Grade_gpt]]/cfg_TroyOz)</f>
        <v/>
      </c>
      <c r="O779" s="59">
        <f>IF(tblMovement[[#This Row],[Is_Ore]]=1,tblMovement[[#This Row],[Contained_oz]],0)</f>
        <v/>
      </c>
    </row>
    <row r="780">
      <c r="A780" s="54" t="n"/>
      <c r="B780" s="61" t="n"/>
      <c r="C780" s="61" t="n"/>
      <c r="D780" s="61" t="n"/>
      <c r="E780" s="61" t="n"/>
      <c r="F780" s="55" t="n"/>
      <c r="G780" s="56" t="n"/>
      <c r="H780" s="55" t="n"/>
      <c r="I780" s="62" t="n"/>
      <c r="J780" s="58" t="n"/>
      <c r="K780" s="63">
        <f>IF(tblMovement[[#This Row],[Source]]="","",IFERROR(INDEX(tblSources[Type],MATCH(tblMovement[[#This Row],[Source]],tblSources[Source],0)),"?"))</f>
        <v/>
      </c>
      <c r="L780" s="63">
        <f>IF(tblMovement[[#This Row],[Destination]]="","",IFERROR(INDEX(tblDestinations[Type],MATCH(tblMovement[[#This Row],[Destination]],tblDestinations[Destination],0)),"?"))</f>
        <v/>
      </c>
      <c r="M780" s="64">
        <f>IF(tblMovement[[#This Row],[Material]]="","",IF(LEFT(tblMovement[[#This Row],[Material]],3)="Ore",1,0))</f>
        <v/>
      </c>
      <c r="N780" s="59">
        <f>IF(OR(tblMovement[[#This Row],[Tonnes_t]]="",tblMovement[[#This Row],[Grade_gpt]]=""),0,tblMovement[[#This Row],[Tonnes_t]]*tblMovement[[#This Row],[Grade_gpt]]/cfg_TroyOz)</f>
        <v/>
      </c>
      <c r="O780" s="59">
        <f>IF(tblMovement[[#This Row],[Is_Ore]]=1,tblMovement[[#This Row],[Contained_oz]],0)</f>
        <v/>
      </c>
    </row>
    <row r="781">
      <c r="A781" s="54" t="n"/>
      <c r="B781" s="61" t="n"/>
      <c r="C781" s="61" t="n"/>
      <c r="D781" s="61" t="n"/>
      <c r="E781" s="61" t="n"/>
      <c r="F781" s="55" t="n"/>
      <c r="G781" s="56" t="n"/>
      <c r="H781" s="55" t="n"/>
      <c r="I781" s="62" t="n"/>
      <c r="J781" s="58" t="n"/>
      <c r="K781" s="63">
        <f>IF(tblMovement[[#This Row],[Source]]="","",IFERROR(INDEX(tblSources[Type],MATCH(tblMovement[[#This Row],[Source]],tblSources[Source],0)),"?"))</f>
        <v/>
      </c>
      <c r="L781" s="63">
        <f>IF(tblMovement[[#This Row],[Destination]]="","",IFERROR(INDEX(tblDestinations[Type],MATCH(tblMovement[[#This Row],[Destination]],tblDestinations[Destination],0)),"?"))</f>
        <v/>
      </c>
      <c r="M781" s="64">
        <f>IF(tblMovement[[#This Row],[Material]]="","",IF(LEFT(tblMovement[[#This Row],[Material]],3)="Ore",1,0))</f>
        <v/>
      </c>
      <c r="N781" s="59">
        <f>IF(OR(tblMovement[[#This Row],[Tonnes_t]]="",tblMovement[[#This Row],[Grade_gpt]]=""),0,tblMovement[[#This Row],[Tonnes_t]]*tblMovement[[#This Row],[Grade_gpt]]/cfg_TroyOz)</f>
        <v/>
      </c>
      <c r="O781" s="59">
        <f>IF(tblMovement[[#This Row],[Is_Ore]]=1,tblMovement[[#This Row],[Contained_oz]],0)</f>
        <v/>
      </c>
    </row>
    <row r="782">
      <c r="A782" s="54" t="n"/>
      <c r="B782" s="61" t="n"/>
      <c r="C782" s="61" t="n"/>
      <c r="D782" s="61" t="n"/>
      <c r="E782" s="61" t="n"/>
      <c r="F782" s="55" t="n"/>
      <c r="G782" s="56" t="n"/>
      <c r="H782" s="55" t="n"/>
      <c r="I782" s="62" t="n"/>
      <c r="J782" s="58" t="n"/>
      <c r="K782" s="63">
        <f>IF(tblMovement[[#This Row],[Source]]="","",IFERROR(INDEX(tblSources[Type],MATCH(tblMovement[[#This Row],[Source]],tblSources[Source],0)),"?"))</f>
        <v/>
      </c>
      <c r="L782" s="63">
        <f>IF(tblMovement[[#This Row],[Destination]]="","",IFERROR(INDEX(tblDestinations[Type],MATCH(tblMovement[[#This Row],[Destination]],tblDestinations[Destination],0)),"?"))</f>
        <v/>
      </c>
      <c r="M782" s="64">
        <f>IF(tblMovement[[#This Row],[Material]]="","",IF(LEFT(tblMovement[[#This Row],[Material]],3)="Ore",1,0))</f>
        <v/>
      </c>
      <c r="N782" s="59">
        <f>IF(OR(tblMovement[[#This Row],[Tonnes_t]]="",tblMovement[[#This Row],[Grade_gpt]]=""),0,tblMovement[[#This Row],[Tonnes_t]]*tblMovement[[#This Row],[Grade_gpt]]/cfg_TroyOz)</f>
        <v/>
      </c>
      <c r="O782" s="59">
        <f>IF(tblMovement[[#This Row],[Is_Ore]]=1,tblMovement[[#This Row],[Contained_oz]],0)</f>
        <v/>
      </c>
    </row>
    <row r="783">
      <c r="A783" s="54" t="n"/>
      <c r="B783" s="61" t="n"/>
      <c r="C783" s="61" t="n"/>
      <c r="D783" s="61" t="n"/>
      <c r="E783" s="61" t="n"/>
      <c r="F783" s="55" t="n"/>
      <c r="G783" s="56" t="n"/>
      <c r="H783" s="55" t="n"/>
      <c r="I783" s="62" t="n"/>
      <c r="J783" s="58" t="n"/>
      <c r="K783" s="63">
        <f>IF(tblMovement[[#This Row],[Source]]="","",IFERROR(INDEX(tblSources[Type],MATCH(tblMovement[[#This Row],[Source]],tblSources[Source],0)),"?"))</f>
        <v/>
      </c>
      <c r="L783" s="63">
        <f>IF(tblMovement[[#This Row],[Destination]]="","",IFERROR(INDEX(tblDestinations[Type],MATCH(tblMovement[[#This Row],[Destination]],tblDestinations[Destination],0)),"?"))</f>
        <v/>
      </c>
      <c r="M783" s="64">
        <f>IF(tblMovement[[#This Row],[Material]]="","",IF(LEFT(tblMovement[[#This Row],[Material]],3)="Ore",1,0))</f>
        <v/>
      </c>
      <c r="N783" s="59">
        <f>IF(OR(tblMovement[[#This Row],[Tonnes_t]]="",tblMovement[[#This Row],[Grade_gpt]]=""),0,tblMovement[[#This Row],[Tonnes_t]]*tblMovement[[#This Row],[Grade_gpt]]/cfg_TroyOz)</f>
        <v/>
      </c>
      <c r="O783" s="59">
        <f>IF(tblMovement[[#This Row],[Is_Ore]]=1,tblMovement[[#This Row],[Contained_oz]],0)</f>
        <v/>
      </c>
    </row>
    <row r="784">
      <c r="A784" s="54" t="n"/>
      <c r="B784" s="61" t="n"/>
      <c r="C784" s="61" t="n"/>
      <c r="D784" s="61" t="n"/>
      <c r="E784" s="61" t="n"/>
      <c r="F784" s="55" t="n"/>
      <c r="G784" s="56" t="n"/>
      <c r="H784" s="55" t="n"/>
      <c r="I784" s="62" t="n"/>
      <c r="J784" s="58" t="n"/>
      <c r="K784" s="63">
        <f>IF(tblMovement[[#This Row],[Source]]="","",IFERROR(INDEX(tblSources[Type],MATCH(tblMovement[[#This Row],[Source]],tblSources[Source],0)),"?"))</f>
        <v/>
      </c>
      <c r="L784" s="63">
        <f>IF(tblMovement[[#This Row],[Destination]]="","",IFERROR(INDEX(tblDestinations[Type],MATCH(tblMovement[[#This Row],[Destination]],tblDestinations[Destination],0)),"?"))</f>
        <v/>
      </c>
      <c r="M784" s="64">
        <f>IF(tblMovement[[#This Row],[Material]]="","",IF(LEFT(tblMovement[[#This Row],[Material]],3)="Ore",1,0))</f>
        <v/>
      </c>
      <c r="N784" s="59">
        <f>IF(OR(tblMovement[[#This Row],[Tonnes_t]]="",tblMovement[[#This Row],[Grade_gpt]]=""),0,tblMovement[[#This Row],[Tonnes_t]]*tblMovement[[#This Row],[Grade_gpt]]/cfg_TroyOz)</f>
        <v/>
      </c>
      <c r="O784" s="59">
        <f>IF(tblMovement[[#This Row],[Is_Ore]]=1,tblMovement[[#This Row],[Contained_oz]],0)</f>
        <v/>
      </c>
    </row>
    <row r="785">
      <c r="A785" s="54" t="n"/>
      <c r="B785" s="61" t="n"/>
      <c r="C785" s="61" t="n"/>
      <c r="D785" s="61" t="n"/>
      <c r="E785" s="61" t="n"/>
      <c r="F785" s="55" t="n"/>
      <c r="G785" s="56" t="n"/>
      <c r="H785" s="55" t="n"/>
      <c r="I785" s="62" t="n"/>
      <c r="J785" s="58" t="n"/>
      <c r="K785" s="63">
        <f>IF(tblMovement[[#This Row],[Source]]="","",IFERROR(INDEX(tblSources[Type],MATCH(tblMovement[[#This Row],[Source]],tblSources[Source],0)),"?"))</f>
        <v/>
      </c>
      <c r="L785" s="63">
        <f>IF(tblMovement[[#This Row],[Destination]]="","",IFERROR(INDEX(tblDestinations[Type],MATCH(tblMovement[[#This Row],[Destination]],tblDestinations[Destination],0)),"?"))</f>
        <v/>
      </c>
      <c r="M785" s="64">
        <f>IF(tblMovement[[#This Row],[Material]]="","",IF(LEFT(tblMovement[[#This Row],[Material]],3)="Ore",1,0))</f>
        <v/>
      </c>
      <c r="N785" s="59">
        <f>IF(OR(tblMovement[[#This Row],[Tonnes_t]]="",tblMovement[[#This Row],[Grade_gpt]]=""),0,tblMovement[[#This Row],[Tonnes_t]]*tblMovement[[#This Row],[Grade_gpt]]/cfg_TroyOz)</f>
        <v/>
      </c>
      <c r="O785" s="59">
        <f>IF(tblMovement[[#This Row],[Is_Ore]]=1,tblMovement[[#This Row],[Contained_oz]],0)</f>
        <v/>
      </c>
    </row>
    <row r="786">
      <c r="A786" s="54" t="n"/>
      <c r="B786" s="61" t="n"/>
      <c r="C786" s="61" t="n"/>
      <c r="D786" s="61" t="n"/>
      <c r="E786" s="61" t="n"/>
      <c r="F786" s="55" t="n"/>
      <c r="G786" s="56" t="n"/>
      <c r="H786" s="55" t="n"/>
      <c r="I786" s="62" t="n"/>
      <c r="J786" s="58" t="n"/>
      <c r="K786" s="63">
        <f>IF(tblMovement[[#This Row],[Source]]="","",IFERROR(INDEX(tblSources[Type],MATCH(tblMovement[[#This Row],[Source]],tblSources[Source],0)),"?"))</f>
        <v/>
      </c>
      <c r="L786" s="63">
        <f>IF(tblMovement[[#This Row],[Destination]]="","",IFERROR(INDEX(tblDestinations[Type],MATCH(tblMovement[[#This Row],[Destination]],tblDestinations[Destination],0)),"?"))</f>
        <v/>
      </c>
      <c r="M786" s="64">
        <f>IF(tblMovement[[#This Row],[Material]]="","",IF(LEFT(tblMovement[[#This Row],[Material]],3)="Ore",1,0))</f>
        <v/>
      </c>
      <c r="N786" s="59">
        <f>IF(OR(tblMovement[[#This Row],[Tonnes_t]]="",tblMovement[[#This Row],[Grade_gpt]]=""),0,tblMovement[[#This Row],[Tonnes_t]]*tblMovement[[#This Row],[Grade_gpt]]/cfg_TroyOz)</f>
        <v/>
      </c>
      <c r="O786" s="59">
        <f>IF(tblMovement[[#This Row],[Is_Ore]]=1,tblMovement[[#This Row],[Contained_oz]],0)</f>
        <v/>
      </c>
    </row>
    <row r="787">
      <c r="A787" s="54" t="n"/>
      <c r="B787" s="61" t="n"/>
      <c r="C787" s="61" t="n"/>
      <c r="D787" s="61" t="n"/>
      <c r="E787" s="61" t="n"/>
      <c r="F787" s="55" t="n"/>
      <c r="G787" s="56" t="n"/>
      <c r="H787" s="55" t="n"/>
      <c r="I787" s="62" t="n"/>
      <c r="J787" s="58" t="n"/>
      <c r="K787" s="63">
        <f>IF(tblMovement[[#This Row],[Source]]="","",IFERROR(INDEX(tblSources[Type],MATCH(tblMovement[[#This Row],[Source]],tblSources[Source],0)),"?"))</f>
        <v/>
      </c>
      <c r="L787" s="63">
        <f>IF(tblMovement[[#This Row],[Destination]]="","",IFERROR(INDEX(tblDestinations[Type],MATCH(tblMovement[[#This Row],[Destination]],tblDestinations[Destination],0)),"?"))</f>
        <v/>
      </c>
      <c r="M787" s="64">
        <f>IF(tblMovement[[#This Row],[Material]]="","",IF(LEFT(tblMovement[[#This Row],[Material]],3)="Ore",1,0))</f>
        <v/>
      </c>
      <c r="N787" s="59">
        <f>IF(OR(tblMovement[[#This Row],[Tonnes_t]]="",tblMovement[[#This Row],[Grade_gpt]]=""),0,tblMovement[[#This Row],[Tonnes_t]]*tblMovement[[#This Row],[Grade_gpt]]/cfg_TroyOz)</f>
        <v/>
      </c>
      <c r="O787" s="59">
        <f>IF(tblMovement[[#This Row],[Is_Ore]]=1,tblMovement[[#This Row],[Contained_oz]],0)</f>
        <v/>
      </c>
    </row>
    <row r="788">
      <c r="A788" s="54" t="n"/>
      <c r="B788" s="61" t="n"/>
      <c r="C788" s="61" t="n"/>
      <c r="D788" s="61" t="n"/>
      <c r="E788" s="61" t="n"/>
      <c r="F788" s="55" t="n"/>
      <c r="G788" s="56" t="n"/>
      <c r="H788" s="55" t="n"/>
      <c r="I788" s="62" t="n"/>
      <c r="J788" s="58" t="n"/>
      <c r="K788" s="63">
        <f>IF(tblMovement[[#This Row],[Source]]="","",IFERROR(INDEX(tblSources[Type],MATCH(tblMovement[[#This Row],[Source]],tblSources[Source],0)),"?"))</f>
        <v/>
      </c>
      <c r="L788" s="63">
        <f>IF(tblMovement[[#This Row],[Destination]]="","",IFERROR(INDEX(tblDestinations[Type],MATCH(tblMovement[[#This Row],[Destination]],tblDestinations[Destination],0)),"?"))</f>
        <v/>
      </c>
      <c r="M788" s="64">
        <f>IF(tblMovement[[#This Row],[Material]]="","",IF(LEFT(tblMovement[[#This Row],[Material]],3)="Ore",1,0))</f>
        <v/>
      </c>
      <c r="N788" s="59">
        <f>IF(OR(tblMovement[[#This Row],[Tonnes_t]]="",tblMovement[[#This Row],[Grade_gpt]]=""),0,tblMovement[[#This Row],[Tonnes_t]]*tblMovement[[#This Row],[Grade_gpt]]/cfg_TroyOz)</f>
        <v/>
      </c>
      <c r="O788" s="59">
        <f>IF(tblMovement[[#This Row],[Is_Ore]]=1,tblMovement[[#This Row],[Contained_oz]],0)</f>
        <v/>
      </c>
    </row>
    <row r="789">
      <c r="A789" s="54" t="n"/>
      <c r="B789" s="61" t="n"/>
      <c r="C789" s="61" t="n"/>
      <c r="D789" s="61" t="n"/>
      <c r="E789" s="61" t="n"/>
      <c r="F789" s="55" t="n"/>
      <c r="G789" s="56" t="n"/>
      <c r="H789" s="55" t="n"/>
      <c r="I789" s="62" t="n"/>
      <c r="J789" s="58" t="n"/>
      <c r="K789" s="63">
        <f>IF(tblMovement[[#This Row],[Source]]="","",IFERROR(INDEX(tblSources[Type],MATCH(tblMovement[[#This Row],[Source]],tblSources[Source],0)),"?"))</f>
        <v/>
      </c>
      <c r="L789" s="63">
        <f>IF(tblMovement[[#This Row],[Destination]]="","",IFERROR(INDEX(tblDestinations[Type],MATCH(tblMovement[[#This Row],[Destination]],tblDestinations[Destination],0)),"?"))</f>
        <v/>
      </c>
      <c r="M789" s="64">
        <f>IF(tblMovement[[#This Row],[Material]]="","",IF(LEFT(tblMovement[[#This Row],[Material]],3)="Ore",1,0))</f>
        <v/>
      </c>
      <c r="N789" s="59">
        <f>IF(OR(tblMovement[[#This Row],[Tonnes_t]]="",tblMovement[[#This Row],[Grade_gpt]]=""),0,tblMovement[[#This Row],[Tonnes_t]]*tblMovement[[#This Row],[Grade_gpt]]/cfg_TroyOz)</f>
        <v/>
      </c>
      <c r="O789" s="59">
        <f>IF(tblMovement[[#This Row],[Is_Ore]]=1,tblMovement[[#This Row],[Contained_oz]],0)</f>
        <v/>
      </c>
    </row>
    <row r="790">
      <c r="A790" s="54" t="n"/>
      <c r="B790" s="61" t="n"/>
      <c r="C790" s="61" t="n"/>
      <c r="D790" s="61" t="n"/>
      <c r="E790" s="61" t="n"/>
      <c r="F790" s="55" t="n"/>
      <c r="G790" s="56" t="n"/>
      <c r="H790" s="55" t="n"/>
      <c r="I790" s="62" t="n"/>
      <c r="J790" s="58" t="n"/>
      <c r="K790" s="63">
        <f>IF(tblMovement[[#This Row],[Source]]="","",IFERROR(INDEX(tblSources[Type],MATCH(tblMovement[[#This Row],[Source]],tblSources[Source],0)),"?"))</f>
        <v/>
      </c>
      <c r="L790" s="63">
        <f>IF(tblMovement[[#This Row],[Destination]]="","",IFERROR(INDEX(tblDestinations[Type],MATCH(tblMovement[[#This Row],[Destination]],tblDestinations[Destination],0)),"?"))</f>
        <v/>
      </c>
      <c r="M790" s="64">
        <f>IF(tblMovement[[#This Row],[Material]]="","",IF(LEFT(tblMovement[[#This Row],[Material]],3)="Ore",1,0))</f>
        <v/>
      </c>
      <c r="N790" s="59">
        <f>IF(OR(tblMovement[[#This Row],[Tonnes_t]]="",tblMovement[[#This Row],[Grade_gpt]]=""),0,tblMovement[[#This Row],[Tonnes_t]]*tblMovement[[#This Row],[Grade_gpt]]/cfg_TroyOz)</f>
        <v/>
      </c>
      <c r="O790" s="59">
        <f>IF(tblMovement[[#This Row],[Is_Ore]]=1,tblMovement[[#This Row],[Contained_oz]],0)</f>
        <v/>
      </c>
    </row>
    <row r="791">
      <c r="A791" s="54" t="n"/>
      <c r="B791" s="61" t="n"/>
      <c r="C791" s="61" t="n"/>
      <c r="D791" s="61" t="n"/>
      <c r="E791" s="61" t="n"/>
      <c r="F791" s="55" t="n"/>
      <c r="G791" s="56" t="n"/>
      <c r="H791" s="55" t="n"/>
      <c r="I791" s="62" t="n"/>
      <c r="J791" s="58" t="n"/>
      <c r="K791" s="63">
        <f>IF(tblMovement[[#This Row],[Source]]="","",IFERROR(INDEX(tblSources[Type],MATCH(tblMovement[[#This Row],[Source]],tblSources[Source],0)),"?"))</f>
        <v/>
      </c>
      <c r="L791" s="63">
        <f>IF(tblMovement[[#This Row],[Destination]]="","",IFERROR(INDEX(tblDestinations[Type],MATCH(tblMovement[[#This Row],[Destination]],tblDestinations[Destination],0)),"?"))</f>
        <v/>
      </c>
      <c r="M791" s="64">
        <f>IF(tblMovement[[#This Row],[Material]]="","",IF(LEFT(tblMovement[[#This Row],[Material]],3)="Ore",1,0))</f>
        <v/>
      </c>
      <c r="N791" s="59">
        <f>IF(OR(tblMovement[[#This Row],[Tonnes_t]]="",tblMovement[[#This Row],[Grade_gpt]]=""),0,tblMovement[[#This Row],[Tonnes_t]]*tblMovement[[#This Row],[Grade_gpt]]/cfg_TroyOz)</f>
        <v/>
      </c>
      <c r="O791" s="59">
        <f>IF(tblMovement[[#This Row],[Is_Ore]]=1,tblMovement[[#This Row],[Contained_oz]],0)</f>
        <v/>
      </c>
    </row>
    <row r="792">
      <c r="A792" s="54" t="n"/>
      <c r="B792" s="61" t="n"/>
      <c r="C792" s="61" t="n"/>
      <c r="D792" s="61" t="n"/>
      <c r="E792" s="61" t="n"/>
      <c r="F792" s="55" t="n"/>
      <c r="G792" s="56" t="n"/>
      <c r="H792" s="55" t="n"/>
      <c r="I792" s="62" t="n"/>
      <c r="J792" s="58" t="n"/>
      <c r="K792" s="63">
        <f>IF(tblMovement[[#This Row],[Source]]="","",IFERROR(INDEX(tblSources[Type],MATCH(tblMovement[[#This Row],[Source]],tblSources[Source],0)),"?"))</f>
        <v/>
      </c>
      <c r="L792" s="63">
        <f>IF(tblMovement[[#This Row],[Destination]]="","",IFERROR(INDEX(tblDestinations[Type],MATCH(tblMovement[[#This Row],[Destination]],tblDestinations[Destination],0)),"?"))</f>
        <v/>
      </c>
      <c r="M792" s="64">
        <f>IF(tblMovement[[#This Row],[Material]]="","",IF(LEFT(tblMovement[[#This Row],[Material]],3)="Ore",1,0))</f>
        <v/>
      </c>
      <c r="N792" s="59">
        <f>IF(OR(tblMovement[[#This Row],[Tonnes_t]]="",tblMovement[[#This Row],[Grade_gpt]]=""),0,tblMovement[[#This Row],[Tonnes_t]]*tblMovement[[#This Row],[Grade_gpt]]/cfg_TroyOz)</f>
        <v/>
      </c>
      <c r="O792" s="59">
        <f>IF(tblMovement[[#This Row],[Is_Ore]]=1,tblMovement[[#This Row],[Contained_oz]],0)</f>
        <v/>
      </c>
    </row>
    <row r="793">
      <c r="A793" s="54" t="n"/>
      <c r="B793" s="61" t="n"/>
      <c r="C793" s="61" t="n"/>
      <c r="D793" s="61" t="n"/>
      <c r="E793" s="61" t="n"/>
      <c r="F793" s="55" t="n"/>
      <c r="G793" s="56" t="n"/>
      <c r="H793" s="55" t="n"/>
      <c r="I793" s="62" t="n"/>
      <c r="J793" s="58" t="n"/>
      <c r="K793" s="63">
        <f>IF(tblMovement[[#This Row],[Source]]="","",IFERROR(INDEX(tblSources[Type],MATCH(tblMovement[[#This Row],[Source]],tblSources[Source],0)),"?"))</f>
        <v/>
      </c>
      <c r="L793" s="63">
        <f>IF(tblMovement[[#This Row],[Destination]]="","",IFERROR(INDEX(tblDestinations[Type],MATCH(tblMovement[[#This Row],[Destination]],tblDestinations[Destination],0)),"?"))</f>
        <v/>
      </c>
      <c r="M793" s="64">
        <f>IF(tblMovement[[#This Row],[Material]]="","",IF(LEFT(tblMovement[[#This Row],[Material]],3)="Ore",1,0))</f>
        <v/>
      </c>
      <c r="N793" s="59">
        <f>IF(OR(tblMovement[[#This Row],[Tonnes_t]]="",tblMovement[[#This Row],[Grade_gpt]]=""),0,tblMovement[[#This Row],[Tonnes_t]]*tblMovement[[#This Row],[Grade_gpt]]/cfg_TroyOz)</f>
        <v/>
      </c>
      <c r="O793" s="59">
        <f>IF(tblMovement[[#This Row],[Is_Ore]]=1,tblMovement[[#This Row],[Contained_oz]],0)</f>
        <v/>
      </c>
    </row>
    <row r="794">
      <c r="A794" s="54" t="n"/>
      <c r="B794" s="61" t="n"/>
      <c r="C794" s="61" t="n"/>
      <c r="D794" s="61" t="n"/>
      <c r="E794" s="61" t="n"/>
      <c r="F794" s="55" t="n"/>
      <c r="G794" s="56" t="n"/>
      <c r="H794" s="55" t="n"/>
      <c r="I794" s="62" t="n"/>
      <c r="J794" s="58" t="n"/>
      <c r="K794" s="63">
        <f>IF(tblMovement[[#This Row],[Source]]="","",IFERROR(INDEX(tblSources[Type],MATCH(tblMovement[[#This Row],[Source]],tblSources[Source],0)),"?"))</f>
        <v/>
      </c>
      <c r="L794" s="63">
        <f>IF(tblMovement[[#This Row],[Destination]]="","",IFERROR(INDEX(tblDestinations[Type],MATCH(tblMovement[[#This Row],[Destination]],tblDestinations[Destination],0)),"?"))</f>
        <v/>
      </c>
      <c r="M794" s="64">
        <f>IF(tblMovement[[#This Row],[Material]]="","",IF(LEFT(tblMovement[[#This Row],[Material]],3)="Ore",1,0))</f>
        <v/>
      </c>
      <c r="N794" s="59">
        <f>IF(OR(tblMovement[[#This Row],[Tonnes_t]]="",tblMovement[[#This Row],[Grade_gpt]]=""),0,tblMovement[[#This Row],[Tonnes_t]]*tblMovement[[#This Row],[Grade_gpt]]/cfg_TroyOz)</f>
        <v/>
      </c>
      <c r="O794" s="59">
        <f>IF(tblMovement[[#This Row],[Is_Ore]]=1,tblMovement[[#This Row],[Contained_oz]],0)</f>
        <v/>
      </c>
    </row>
    <row r="795">
      <c r="A795" s="54" t="n"/>
      <c r="B795" s="61" t="n"/>
      <c r="C795" s="61" t="n"/>
      <c r="D795" s="61" t="n"/>
      <c r="E795" s="61" t="n"/>
      <c r="F795" s="55" t="n"/>
      <c r="G795" s="56" t="n"/>
      <c r="H795" s="55" t="n"/>
      <c r="I795" s="62" t="n"/>
      <c r="J795" s="58" t="n"/>
      <c r="K795" s="63">
        <f>IF(tblMovement[[#This Row],[Source]]="","",IFERROR(INDEX(tblSources[Type],MATCH(tblMovement[[#This Row],[Source]],tblSources[Source],0)),"?"))</f>
        <v/>
      </c>
      <c r="L795" s="63">
        <f>IF(tblMovement[[#This Row],[Destination]]="","",IFERROR(INDEX(tblDestinations[Type],MATCH(tblMovement[[#This Row],[Destination]],tblDestinations[Destination],0)),"?"))</f>
        <v/>
      </c>
      <c r="M795" s="64">
        <f>IF(tblMovement[[#This Row],[Material]]="","",IF(LEFT(tblMovement[[#This Row],[Material]],3)="Ore",1,0))</f>
        <v/>
      </c>
      <c r="N795" s="59">
        <f>IF(OR(tblMovement[[#This Row],[Tonnes_t]]="",tblMovement[[#This Row],[Grade_gpt]]=""),0,tblMovement[[#This Row],[Tonnes_t]]*tblMovement[[#This Row],[Grade_gpt]]/cfg_TroyOz)</f>
        <v/>
      </c>
      <c r="O795" s="59">
        <f>IF(tblMovement[[#This Row],[Is_Ore]]=1,tblMovement[[#This Row],[Contained_oz]],0)</f>
        <v/>
      </c>
    </row>
    <row r="796">
      <c r="A796" s="54" t="n"/>
      <c r="B796" s="61" t="n"/>
      <c r="C796" s="61" t="n"/>
      <c r="D796" s="61" t="n"/>
      <c r="E796" s="61" t="n"/>
      <c r="F796" s="55" t="n"/>
      <c r="G796" s="56" t="n"/>
      <c r="H796" s="55" t="n"/>
      <c r="I796" s="62" t="n"/>
      <c r="J796" s="58" t="n"/>
      <c r="K796" s="63">
        <f>IF(tblMovement[[#This Row],[Source]]="","",IFERROR(INDEX(tblSources[Type],MATCH(tblMovement[[#This Row],[Source]],tblSources[Source],0)),"?"))</f>
        <v/>
      </c>
      <c r="L796" s="63">
        <f>IF(tblMovement[[#This Row],[Destination]]="","",IFERROR(INDEX(tblDestinations[Type],MATCH(tblMovement[[#This Row],[Destination]],tblDestinations[Destination],0)),"?"))</f>
        <v/>
      </c>
      <c r="M796" s="64">
        <f>IF(tblMovement[[#This Row],[Material]]="","",IF(LEFT(tblMovement[[#This Row],[Material]],3)="Ore",1,0))</f>
        <v/>
      </c>
      <c r="N796" s="59">
        <f>IF(OR(tblMovement[[#This Row],[Tonnes_t]]="",tblMovement[[#This Row],[Grade_gpt]]=""),0,tblMovement[[#This Row],[Tonnes_t]]*tblMovement[[#This Row],[Grade_gpt]]/cfg_TroyOz)</f>
        <v/>
      </c>
      <c r="O796" s="59">
        <f>IF(tblMovement[[#This Row],[Is_Ore]]=1,tblMovement[[#This Row],[Contained_oz]],0)</f>
        <v/>
      </c>
    </row>
    <row r="797">
      <c r="A797" s="54" t="n"/>
      <c r="B797" s="61" t="n"/>
      <c r="C797" s="61" t="n"/>
      <c r="D797" s="61" t="n"/>
      <c r="E797" s="61" t="n"/>
      <c r="F797" s="55" t="n"/>
      <c r="G797" s="56" t="n"/>
      <c r="H797" s="55" t="n"/>
      <c r="I797" s="62" t="n"/>
      <c r="J797" s="58" t="n"/>
      <c r="K797" s="63">
        <f>IF(tblMovement[[#This Row],[Source]]="","",IFERROR(INDEX(tblSources[Type],MATCH(tblMovement[[#This Row],[Source]],tblSources[Source],0)),"?"))</f>
        <v/>
      </c>
      <c r="L797" s="63">
        <f>IF(tblMovement[[#This Row],[Destination]]="","",IFERROR(INDEX(tblDestinations[Type],MATCH(tblMovement[[#This Row],[Destination]],tblDestinations[Destination],0)),"?"))</f>
        <v/>
      </c>
      <c r="M797" s="64">
        <f>IF(tblMovement[[#This Row],[Material]]="","",IF(LEFT(tblMovement[[#This Row],[Material]],3)="Ore",1,0))</f>
        <v/>
      </c>
      <c r="N797" s="59">
        <f>IF(OR(tblMovement[[#This Row],[Tonnes_t]]="",tblMovement[[#This Row],[Grade_gpt]]=""),0,tblMovement[[#This Row],[Tonnes_t]]*tblMovement[[#This Row],[Grade_gpt]]/cfg_TroyOz)</f>
        <v/>
      </c>
      <c r="O797" s="59">
        <f>IF(tblMovement[[#This Row],[Is_Ore]]=1,tblMovement[[#This Row],[Contained_oz]],0)</f>
        <v/>
      </c>
    </row>
    <row r="798">
      <c r="A798" s="54" t="n"/>
      <c r="B798" s="61" t="n"/>
      <c r="C798" s="61" t="n"/>
      <c r="D798" s="61" t="n"/>
      <c r="E798" s="61" t="n"/>
      <c r="F798" s="55" t="n"/>
      <c r="G798" s="56" t="n"/>
      <c r="H798" s="55" t="n"/>
      <c r="I798" s="62" t="n"/>
      <c r="J798" s="58" t="n"/>
      <c r="K798" s="63">
        <f>IF(tblMovement[[#This Row],[Source]]="","",IFERROR(INDEX(tblSources[Type],MATCH(tblMovement[[#This Row],[Source]],tblSources[Source],0)),"?"))</f>
        <v/>
      </c>
      <c r="L798" s="63">
        <f>IF(tblMovement[[#This Row],[Destination]]="","",IFERROR(INDEX(tblDestinations[Type],MATCH(tblMovement[[#This Row],[Destination]],tblDestinations[Destination],0)),"?"))</f>
        <v/>
      </c>
      <c r="M798" s="64">
        <f>IF(tblMovement[[#This Row],[Material]]="","",IF(LEFT(tblMovement[[#This Row],[Material]],3)="Ore",1,0))</f>
        <v/>
      </c>
      <c r="N798" s="59">
        <f>IF(OR(tblMovement[[#This Row],[Tonnes_t]]="",tblMovement[[#This Row],[Grade_gpt]]=""),0,tblMovement[[#This Row],[Tonnes_t]]*tblMovement[[#This Row],[Grade_gpt]]/cfg_TroyOz)</f>
        <v/>
      </c>
      <c r="O798" s="59">
        <f>IF(tblMovement[[#This Row],[Is_Ore]]=1,tblMovement[[#This Row],[Contained_oz]],0)</f>
        <v/>
      </c>
    </row>
    <row r="799">
      <c r="A799" s="54" t="n"/>
      <c r="B799" s="61" t="n"/>
      <c r="C799" s="61" t="n"/>
      <c r="D799" s="61" t="n"/>
      <c r="E799" s="61" t="n"/>
      <c r="F799" s="55" t="n"/>
      <c r="G799" s="56" t="n"/>
      <c r="H799" s="55" t="n"/>
      <c r="I799" s="62" t="n"/>
      <c r="J799" s="58" t="n"/>
      <c r="K799" s="63">
        <f>IF(tblMovement[[#This Row],[Source]]="","",IFERROR(INDEX(tblSources[Type],MATCH(tblMovement[[#This Row],[Source]],tblSources[Source],0)),"?"))</f>
        <v/>
      </c>
      <c r="L799" s="63">
        <f>IF(tblMovement[[#This Row],[Destination]]="","",IFERROR(INDEX(tblDestinations[Type],MATCH(tblMovement[[#This Row],[Destination]],tblDestinations[Destination],0)),"?"))</f>
        <v/>
      </c>
      <c r="M799" s="64">
        <f>IF(tblMovement[[#This Row],[Material]]="","",IF(LEFT(tblMovement[[#This Row],[Material]],3)="Ore",1,0))</f>
        <v/>
      </c>
      <c r="N799" s="59">
        <f>IF(OR(tblMovement[[#This Row],[Tonnes_t]]="",tblMovement[[#This Row],[Grade_gpt]]=""),0,tblMovement[[#This Row],[Tonnes_t]]*tblMovement[[#This Row],[Grade_gpt]]/cfg_TroyOz)</f>
        <v/>
      </c>
      <c r="O799" s="59">
        <f>IF(tblMovement[[#This Row],[Is_Ore]]=1,tblMovement[[#This Row],[Contained_oz]],0)</f>
        <v/>
      </c>
    </row>
    <row r="800">
      <c r="A800" s="54" t="n"/>
      <c r="B800" s="61" t="n"/>
      <c r="C800" s="61" t="n"/>
      <c r="D800" s="61" t="n"/>
      <c r="E800" s="61" t="n"/>
      <c r="F800" s="55" t="n"/>
      <c r="G800" s="56" t="n"/>
      <c r="H800" s="55" t="n"/>
      <c r="I800" s="62" t="n"/>
      <c r="J800" s="58" t="n"/>
      <c r="K800" s="63">
        <f>IF(tblMovement[[#This Row],[Source]]="","",IFERROR(INDEX(tblSources[Type],MATCH(tblMovement[[#This Row],[Source]],tblSources[Source],0)),"?"))</f>
        <v/>
      </c>
      <c r="L800" s="63">
        <f>IF(tblMovement[[#This Row],[Destination]]="","",IFERROR(INDEX(tblDestinations[Type],MATCH(tblMovement[[#This Row],[Destination]],tblDestinations[Destination],0)),"?"))</f>
        <v/>
      </c>
      <c r="M800" s="64">
        <f>IF(tblMovement[[#This Row],[Material]]="","",IF(LEFT(tblMovement[[#This Row],[Material]],3)="Ore",1,0))</f>
        <v/>
      </c>
      <c r="N800" s="59">
        <f>IF(OR(tblMovement[[#This Row],[Tonnes_t]]="",tblMovement[[#This Row],[Grade_gpt]]=""),0,tblMovement[[#This Row],[Tonnes_t]]*tblMovement[[#This Row],[Grade_gpt]]/cfg_TroyOz)</f>
        <v/>
      </c>
      <c r="O800" s="59">
        <f>IF(tblMovement[[#This Row],[Is_Ore]]=1,tblMovement[[#This Row],[Contained_oz]],0)</f>
        <v/>
      </c>
    </row>
    <row r="801">
      <c r="A801" s="54" t="n"/>
      <c r="B801" s="61" t="n"/>
      <c r="C801" s="61" t="n"/>
      <c r="D801" s="61" t="n"/>
      <c r="E801" s="61" t="n"/>
      <c r="F801" s="55" t="n"/>
      <c r="G801" s="56" t="n"/>
      <c r="H801" s="55" t="n"/>
      <c r="I801" s="62" t="n"/>
      <c r="J801" s="58" t="n"/>
      <c r="K801" s="63">
        <f>IF(tblMovement[[#This Row],[Source]]="","",IFERROR(INDEX(tblSources[Type],MATCH(tblMovement[[#This Row],[Source]],tblSources[Source],0)),"?"))</f>
        <v/>
      </c>
      <c r="L801" s="63">
        <f>IF(tblMovement[[#This Row],[Destination]]="","",IFERROR(INDEX(tblDestinations[Type],MATCH(tblMovement[[#This Row],[Destination]],tblDestinations[Destination],0)),"?"))</f>
        <v/>
      </c>
      <c r="M801" s="64">
        <f>IF(tblMovement[[#This Row],[Material]]="","",IF(LEFT(tblMovement[[#This Row],[Material]],3)="Ore",1,0))</f>
        <v/>
      </c>
      <c r="N801" s="59">
        <f>IF(OR(tblMovement[[#This Row],[Tonnes_t]]="",tblMovement[[#This Row],[Grade_gpt]]=""),0,tblMovement[[#This Row],[Tonnes_t]]*tblMovement[[#This Row],[Grade_gpt]]/cfg_TroyOz)</f>
        <v/>
      </c>
      <c r="O801" s="59">
        <f>IF(tblMovement[[#This Row],[Is_Ore]]=1,tblMovement[[#This Row],[Contained_oz]],0)</f>
        <v/>
      </c>
    </row>
    <row r="802">
      <c r="A802" s="54" t="n"/>
      <c r="B802" s="61" t="n"/>
      <c r="C802" s="61" t="n"/>
      <c r="D802" s="61" t="n"/>
      <c r="E802" s="61" t="n"/>
      <c r="F802" s="55" t="n"/>
      <c r="G802" s="56" t="n"/>
      <c r="H802" s="55" t="n"/>
      <c r="I802" s="62" t="n"/>
      <c r="J802" s="58" t="n"/>
      <c r="K802" s="63">
        <f>IF(tblMovement[[#This Row],[Source]]="","",IFERROR(INDEX(tblSources[Type],MATCH(tblMovement[[#This Row],[Source]],tblSources[Source],0)),"?"))</f>
        <v/>
      </c>
      <c r="L802" s="63">
        <f>IF(tblMovement[[#This Row],[Destination]]="","",IFERROR(INDEX(tblDestinations[Type],MATCH(tblMovement[[#This Row],[Destination]],tblDestinations[Destination],0)),"?"))</f>
        <v/>
      </c>
      <c r="M802" s="64">
        <f>IF(tblMovement[[#This Row],[Material]]="","",IF(LEFT(tblMovement[[#This Row],[Material]],3)="Ore",1,0))</f>
        <v/>
      </c>
      <c r="N802" s="59">
        <f>IF(OR(tblMovement[[#This Row],[Tonnes_t]]="",tblMovement[[#This Row],[Grade_gpt]]=""),0,tblMovement[[#This Row],[Tonnes_t]]*tblMovement[[#This Row],[Grade_gpt]]/cfg_TroyOz)</f>
        <v/>
      </c>
      <c r="O802" s="59">
        <f>IF(tblMovement[[#This Row],[Is_Ore]]=1,tblMovement[[#This Row],[Contained_oz]],0)</f>
        <v/>
      </c>
    </row>
    <row r="803">
      <c r="A803" s="54" t="n"/>
      <c r="B803" s="61" t="n"/>
      <c r="C803" s="61" t="n"/>
      <c r="D803" s="61" t="n"/>
      <c r="E803" s="61" t="n"/>
      <c r="F803" s="55" t="n"/>
      <c r="G803" s="56" t="n"/>
      <c r="H803" s="55" t="n"/>
      <c r="I803" s="62" t="n"/>
      <c r="J803" s="58" t="n"/>
      <c r="K803" s="63">
        <f>IF(tblMovement[[#This Row],[Source]]="","",IFERROR(INDEX(tblSources[Type],MATCH(tblMovement[[#This Row],[Source]],tblSources[Source],0)),"?"))</f>
        <v/>
      </c>
      <c r="L803" s="63">
        <f>IF(tblMovement[[#This Row],[Destination]]="","",IFERROR(INDEX(tblDestinations[Type],MATCH(tblMovement[[#This Row],[Destination]],tblDestinations[Destination],0)),"?"))</f>
        <v/>
      </c>
      <c r="M803" s="64">
        <f>IF(tblMovement[[#This Row],[Material]]="","",IF(LEFT(tblMovement[[#This Row],[Material]],3)="Ore",1,0))</f>
        <v/>
      </c>
      <c r="N803" s="59">
        <f>IF(OR(tblMovement[[#This Row],[Tonnes_t]]="",tblMovement[[#This Row],[Grade_gpt]]=""),0,tblMovement[[#This Row],[Tonnes_t]]*tblMovement[[#This Row],[Grade_gpt]]/cfg_TroyOz)</f>
        <v/>
      </c>
      <c r="O803" s="59">
        <f>IF(tblMovement[[#This Row],[Is_Ore]]=1,tblMovement[[#This Row],[Contained_oz]],0)</f>
        <v/>
      </c>
    </row>
    <row r="804">
      <c r="A804" s="54" t="n"/>
      <c r="B804" s="61" t="n"/>
      <c r="C804" s="61" t="n"/>
      <c r="D804" s="61" t="n"/>
      <c r="E804" s="61" t="n"/>
      <c r="F804" s="55" t="n"/>
      <c r="G804" s="56" t="n"/>
      <c r="H804" s="55" t="n"/>
      <c r="I804" s="62" t="n"/>
      <c r="J804" s="58" t="n"/>
      <c r="K804" s="63">
        <f>IF(tblMovement[[#This Row],[Source]]="","",IFERROR(INDEX(tblSources[Type],MATCH(tblMovement[[#This Row],[Source]],tblSources[Source],0)),"?"))</f>
        <v/>
      </c>
      <c r="L804" s="63">
        <f>IF(tblMovement[[#This Row],[Destination]]="","",IFERROR(INDEX(tblDestinations[Type],MATCH(tblMovement[[#This Row],[Destination]],tblDestinations[Destination],0)),"?"))</f>
        <v/>
      </c>
      <c r="M804" s="64">
        <f>IF(tblMovement[[#This Row],[Material]]="","",IF(LEFT(tblMovement[[#This Row],[Material]],3)="Ore",1,0))</f>
        <v/>
      </c>
      <c r="N804" s="59">
        <f>IF(OR(tblMovement[[#This Row],[Tonnes_t]]="",tblMovement[[#This Row],[Grade_gpt]]=""),0,tblMovement[[#This Row],[Tonnes_t]]*tblMovement[[#This Row],[Grade_gpt]]/cfg_TroyOz)</f>
        <v/>
      </c>
      <c r="O804" s="59">
        <f>IF(tblMovement[[#This Row],[Is_Ore]]=1,tblMovement[[#This Row],[Contained_oz]],0)</f>
        <v/>
      </c>
    </row>
    <row r="805">
      <c r="A805" s="54" t="n"/>
      <c r="B805" s="61" t="n"/>
      <c r="C805" s="61" t="n"/>
      <c r="D805" s="61" t="n"/>
      <c r="E805" s="61" t="n"/>
      <c r="F805" s="55" t="n"/>
      <c r="G805" s="56" t="n"/>
      <c r="H805" s="55" t="n"/>
      <c r="I805" s="62" t="n"/>
      <c r="J805" s="58" t="n"/>
      <c r="K805" s="63">
        <f>IF(tblMovement[[#This Row],[Source]]="","",IFERROR(INDEX(tblSources[Type],MATCH(tblMovement[[#This Row],[Source]],tblSources[Source],0)),"?"))</f>
        <v/>
      </c>
      <c r="L805" s="63">
        <f>IF(tblMovement[[#This Row],[Destination]]="","",IFERROR(INDEX(tblDestinations[Type],MATCH(tblMovement[[#This Row],[Destination]],tblDestinations[Destination],0)),"?"))</f>
        <v/>
      </c>
      <c r="M805" s="64">
        <f>IF(tblMovement[[#This Row],[Material]]="","",IF(LEFT(tblMovement[[#This Row],[Material]],3)="Ore",1,0))</f>
        <v/>
      </c>
      <c r="N805" s="59">
        <f>IF(OR(tblMovement[[#This Row],[Tonnes_t]]="",tblMovement[[#This Row],[Grade_gpt]]=""),0,tblMovement[[#This Row],[Tonnes_t]]*tblMovement[[#This Row],[Grade_gpt]]/cfg_TroyOz)</f>
        <v/>
      </c>
      <c r="O805" s="59">
        <f>IF(tblMovement[[#This Row],[Is_Ore]]=1,tblMovement[[#This Row],[Contained_oz]],0)</f>
        <v/>
      </c>
    </row>
    <row r="806">
      <c r="A806" s="54" t="n"/>
      <c r="B806" s="61" t="n"/>
      <c r="C806" s="61" t="n"/>
      <c r="D806" s="61" t="n"/>
      <c r="E806" s="61" t="n"/>
      <c r="F806" s="55" t="n"/>
      <c r="G806" s="56" t="n"/>
      <c r="H806" s="55" t="n"/>
      <c r="I806" s="62" t="n"/>
      <c r="J806" s="58" t="n"/>
      <c r="K806" s="63">
        <f>IF(tblMovement[[#This Row],[Source]]="","",IFERROR(INDEX(tblSources[Type],MATCH(tblMovement[[#This Row],[Source]],tblSources[Source],0)),"?"))</f>
        <v/>
      </c>
      <c r="L806" s="63">
        <f>IF(tblMovement[[#This Row],[Destination]]="","",IFERROR(INDEX(tblDestinations[Type],MATCH(tblMovement[[#This Row],[Destination]],tblDestinations[Destination],0)),"?"))</f>
        <v/>
      </c>
      <c r="M806" s="64">
        <f>IF(tblMovement[[#This Row],[Material]]="","",IF(LEFT(tblMovement[[#This Row],[Material]],3)="Ore",1,0))</f>
        <v/>
      </c>
      <c r="N806" s="59">
        <f>IF(OR(tblMovement[[#This Row],[Tonnes_t]]="",tblMovement[[#This Row],[Grade_gpt]]=""),0,tblMovement[[#This Row],[Tonnes_t]]*tblMovement[[#This Row],[Grade_gpt]]/cfg_TroyOz)</f>
        <v/>
      </c>
      <c r="O806" s="59">
        <f>IF(tblMovement[[#This Row],[Is_Ore]]=1,tblMovement[[#This Row],[Contained_oz]],0)</f>
        <v/>
      </c>
    </row>
    <row r="807">
      <c r="A807" s="54" t="n"/>
      <c r="B807" s="61" t="n"/>
      <c r="C807" s="61" t="n"/>
      <c r="D807" s="61" t="n"/>
      <c r="E807" s="61" t="n"/>
      <c r="F807" s="55" t="n"/>
      <c r="G807" s="56" t="n"/>
      <c r="H807" s="55" t="n"/>
      <c r="I807" s="62" t="n"/>
      <c r="J807" s="58" t="n"/>
      <c r="K807" s="63">
        <f>IF(tblMovement[[#This Row],[Source]]="","",IFERROR(INDEX(tblSources[Type],MATCH(tblMovement[[#This Row],[Source]],tblSources[Source],0)),"?"))</f>
        <v/>
      </c>
      <c r="L807" s="63">
        <f>IF(tblMovement[[#This Row],[Destination]]="","",IFERROR(INDEX(tblDestinations[Type],MATCH(tblMovement[[#This Row],[Destination]],tblDestinations[Destination],0)),"?"))</f>
        <v/>
      </c>
      <c r="M807" s="64">
        <f>IF(tblMovement[[#This Row],[Material]]="","",IF(LEFT(tblMovement[[#This Row],[Material]],3)="Ore",1,0))</f>
        <v/>
      </c>
      <c r="N807" s="59">
        <f>IF(OR(tblMovement[[#This Row],[Tonnes_t]]="",tblMovement[[#This Row],[Grade_gpt]]=""),0,tblMovement[[#This Row],[Tonnes_t]]*tblMovement[[#This Row],[Grade_gpt]]/cfg_TroyOz)</f>
        <v/>
      </c>
      <c r="O807" s="59">
        <f>IF(tblMovement[[#This Row],[Is_Ore]]=1,tblMovement[[#This Row],[Contained_oz]],0)</f>
        <v/>
      </c>
    </row>
    <row r="808">
      <c r="A808" s="54" t="n"/>
      <c r="B808" s="61" t="n"/>
      <c r="C808" s="61" t="n"/>
      <c r="D808" s="61" t="n"/>
      <c r="E808" s="61" t="n"/>
      <c r="F808" s="55" t="n"/>
      <c r="G808" s="56" t="n"/>
      <c r="H808" s="55" t="n"/>
      <c r="I808" s="62" t="n"/>
      <c r="J808" s="58" t="n"/>
      <c r="K808" s="63">
        <f>IF(tblMovement[[#This Row],[Source]]="","",IFERROR(INDEX(tblSources[Type],MATCH(tblMovement[[#This Row],[Source]],tblSources[Source],0)),"?"))</f>
        <v/>
      </c>
      <c r="L808" s="63">
        <f>IF(tblMovement[[#This Row],[Destination]]="","",IFERROR(INDEX(tblDestinations[Type],MATCH(tblMovement[[#This Row],[Destination]],tblDestinations[Destination],0)),"?"))</f>
        <v/>
      </c>
      <c r="M808" s="64">
        <f>IF(tblMovement[[#This Row],[Material]]="","",IF(LEFT(tblMovement[[#This Row],[Material]],3)="Ore",1,0))</f>
        <v/>
      </c>
      <c r="N808" s="59">
        <f>IF(OR(tblMovement[[#This Row],[Tonnes_t]]="",tblMovement[[#This Row],[Grade_gpt]]=""),0,tblMovement[[#This Row],[Tonnes_t]]*tblMovement[[#This Row],[Grade_gpt]]/cfg_TroyOz)</f>
        <v/>
      </c>
      <c r="O808" s="59">
        <f>IF(tblMovement[[#This Row],[Is_Ore]]=1,tblMovement[[#This Row],[Contained_oz]],0)</f>
        <v/>
      </c>
    </row>
    <row r="809">
      <c r="A809" s="54" t="n"/>
      <c r="B809" s="61" t="n"/>
      <c r="C809" s="61" t="n"/>
      <c r="D809" s="61" t="n"/>
      <c r="E809" s="61" t="n"/>
      <c r="F809" s="55" t="n"/>
      <c r="G809" s="56" t="n"/>
      <c r="H809" s="55" t="n"/>
      <c r="I809" s="62" t="n"/>
      <c r="J809" s="58" t="n"/>
      <c r="K809" s="63">
        <f>IF(tblMovement[[#This Row],[Source]]="","",IFERROR(INDEX(tblSources[Type],MATCH(tblMovement[[#This Row],[Source]],tblSources[Source],0)),"?"))</f>
        <v/>
      </c>
      <c r="L809" s="63">
        <f>IF(tblMovement[[#This Row],[Destination]]="","",IFERROR(INDEX(tblDestinations[Type],MATCH(tblMovement[[#This Row],[Destination]],tblDestinations[Destination],0)),"?"))</f>
        <v/>
      </c>
      <c r="M809" s="64">
        <f>IF(tblMovement[[#This Row],[Material]]="","",IF(LEFT(tblMovement[[#This Row],[Material]],3)="Ore",1,0))</f>
        <v/>
      </c>
      <c r="N809" s="59">
        <f>IF(OR(tblMovement[[#This Row],[Tonnes_t]]="",tblMovement[[#This Row],[Grade_gpt]]=""),0,tblMovement[[#This Row],[Tonnes_t]]*tblMovement[[#This Row],[Grade_gpt]]/cfg_TroyOz)</f>
        <v/>
      </c>
      <c r="O809" s="59">
        <f>IF(tblMovement[[#This Row],[Is_Ore]]=1,tblMovement[[#This Row],[Contained_oz]],0)</f>
        <v/>
      </c>
    </row>
    <row r="810">
      <c r="A810" s="54" t="n"/>
      <c r="B810" s="61" t="n"/>
      <c r="C810" s="61" t="n"/>
      <c r="D810" s="61" t="n"/>
      <c r="E810" s="61" t="n"/>
      <c r="F810" s="55" t="n"/>
      <c r="G810" s="56" t="n"/>
      <c r="H810" s="55" t="n"/>
      <c r="I810" s="62" t="n"/>
      <c r="J810" s="58" t="n"/>
      <c r="K810" s="63">
        <f>IF(tblMovement[[#This Row],[Source]]="","",IFERROR(INDEX(tblSources[Type],MATCH(tblMovement[[#This Row],[Source]],tblSources[Source],0)),"?"))</f>
        <v/>
      </c>
      <c r="L810" s="63">
        <f>IF(tblMovement[[#This Row],[Destination]]="","",IFERROR(INDEX(tblDestinations[Type],MATCH(tblMovement[[#This Row],[Destination]],tblDestinations[Destination],0)),"?"))</f>
        <v/>
      </c>
      <c r="M810" s="64">
        <f>IF(tblMovement[[#This Row],[Material]]="","",IF(LEFT(tblMovement[[#This Row],[Material]],3)="Ore",1,0))</f>
        <v/>
      </c>
      <c r="N810" s="59">
        <f>IF(OR(tblMovement[[#This Row],[Tonnes_t]]="",tblMovement[[#This Row],[Grade_gpt]]=""),0,tblMovement[[#This Row],[Tonnes_t]]*tblMovement[[#This Row],[Grade_gpt]]/cfg_TroyOz)</f>
        <v/>
      </c>
      <c r="O810" s="59">
        <f>IF(tblMovement[[#This Row],[Is_Ore]]=1,tblMovement[[#This Row],[Contained_oz]],0)</f>
        <v/>
      </c>
    </row>
    <row r="811">
      <c r="A811" s="54" t="n"/>
      <c r="B811" s="61" t="n"/>
      <c r="C811" s="61" t="n"/>
      <c r="D811" s="61" t="n"/>
      <c r="E811" s="61" t="n"/>
      <c r="F811" s="55" t="n"/>
      <c r="G811" s="56" t="n"/>
      <c r="H811" s="55" t="n"/>
      <c r="I811" s="62" t="n"/>
      <c r="J811" s="58" t="n"/>
      <c r="K811" s="63">
        <f>IF(tblMovement[[#This Row],[Source]]="","",IFERROR(INDEX(tblSources[Type],MATCH(tblMovement[[#This Row],[Source]],tblSources[Source],0)),"?"))</f>
        <v/>
      </c>
      <c r="L811" s="63">
        <f>IF(tblMovement[[#This Row],[Destination]]="","",IFERROR(INDEX(tblDestinations[Type],MATCH(tblMovement[[#This Row],[Destination]],tblDestinations[Destination],0)),"?"))</f>
        <v/>
      </c>
      <c r="M811" s="64">
        <f>IF(tblMovement[[#This Row],[Material]]="","",IF(LEFT(tblMovement[[#This Row],[Material]],3)="Ore",1,0))</f>
        <v/>
      </c>
      <c r="N811" s="59">
        <f>IF(OR(tblMovement[[#This Row],[Tonnes_t]]="",tblMovement[[#This Row],[Grade_gpt]]=""),0,tblMovement[[#This Row],[Tonnes_t]]*tblMovement[[#This Row],[Grade_gpt]]/cfg_TroyOz)</f>
        <v/>
      </c>
      <c r="O811" s="59">
        <f>IF(tblMovement[[#This Row],[Is_Ore]]=1,tblMovement[[#This Row],[Contained_oz]],0)</f>
        <v/>
      </c>
    </row>
    <row r="812">
      <c r="A812" s="54" t="n"/>
      <c r="B812" s="61" t="n"/>
      <c r="C812" s="61" t="n"/>
      <c r="D812" s="61" t="n"/>
      <c r="E812" s="61" t="n"/>
      <c r="F812" s="55" t="n"/>
      <c r="G812" s="56" t="n"/>
      <c r="H812" s="55" t="n"/>
      <c r="I812" s="62" t="n"/>
      <c r="J812" s="58" t="n"/>
      <c r="K812" s="63">
        <f>IF(tblMovement[[#This Row],[Source]]="","",IFERROR(INDEX(tblSources[Type],MATCH(tblMovement[[#This Row],[Source]],tblSources[Source],0)),"?"))</f>
        <v/>
      </c>
      <c r="L812" s="63">
        <f>IF(tblMovement[[#This Row],[Destination]]="","",IFERROR(INDEX(tblDestinations[Type],MATCH(tblMovement[[#This Row],[Destination]],tblDestinations[Destination],0)),"?"))</f>
        <v/>
      </c>
      <c r="M812" s="64">
        <f>IF(tblMovement[[#This Row],[Material]]="","",IF(LEFT(tblMovement[[#This Row],[Material]],3)="Ore",1,0))</f>
        <v/>
      </c>
      <c r="N812" s="59">
        <f>IF(OR(tblMovement[[#This Row],[Tonnes_t]]="",tblMovement[[#This Row],[Grade_gpt]]=""),0,tblMovement[[#This Row],[Tonnes_t]]*tblMovement[[#This Row],[Grade_gpt]]/cfg_TroyOz)</f>
        <v/>
      </c>
      <c r="O812" s="59">
        <f>IF(tblMovement[[#This Row],[Is_Ore]]=1,tblMovement[[#This Row],[Contained_oz]],0)</f>
        <v/>
      </c>
    </row>
    <row r="813">
      <c r="A813" s="54" t="n"/>
      <c r="B813" s="61" t="n"/>
      <c r="C813" s="61" t="n"/>
      <c r="D813" s="61" t="n"/>
      <c r="E813" s="61" t="n"/>
      <c r="F813" s="55" t="n"/>
      <c r="G813" s="56" t="n"/>
      <c r="H813" s="55" t="n"/>
      <c r="I813" s="62" t="n"/>
      <c r="J813" s="58" t="n"/>
      <c r="K813" s="63">
        <f>IF(tblMovement[[#This Row],[Source]]="","",IFERROR(INDEX(tblSources[Type],MATCH(tblMovement[[#This Row],[Source]],tblSources[Source],0)),"?"))</f>
        <v/>
      </c>
      <c r="L813" s="63">
        <f>IF(tblMovement[[#This Row],[Destination]]="","",IFERROR(INDEX(tblDestinations[Type],MATCH(tblMovement[[#This Row],[Destination]],tblDestinations[Destination],0)),"?"))</f>
        <v/>
      </c>
      <c r="M813" s="64">
        <f>IF(tblMovement[[#This Row],[Material]]="","",IF(LEFT(tblMovement[[#This Row],[Material]],3)="Ore",1,0))</f>
        <v/>
      </c>
      <c r="N813" s="59">
        <f>IF(OR(tblMovement[[#This Row],[Tonnes_t]]="",tblMovement[[#This Row],[Grade_gpt]]=""),0,tblMovement[[#This Row],[Tonnes_t]]*tblMovement[[#This Row],[Grade_gpt]]/cfg_TroyOz)</f>
        <v/>
      </c>
      <c r="O813" s="59">
        <f>IF(tblMovement[[#This Row],[Is_Ore]]=1,tblMovement[[#This Row],[Contained_oz]],0)</f>
        <v/>
      </c>
    </row>
    <row r="814">
      <c r="A814" s="54" t="n"/>
      <c r="B814" s="61" t="n"/>
      <c r="C814" s="61" t="n"/>
      <c r="D814" s="61" t="n"/>
      <c r="E814" s="61" t="n"/>
      <c r="F814" s="55" t="n"/>
      <c r="G814" s="56" t="n"/>
      <c r="H814" s="55" t="n"/>
      <c r="I814" s="62" t="n"/>
      <c r="J814" s="58" t="n"/>
      <c r="K814" s="63">
        <f>IF(tblMovement[[#This Row],[Source]]="","",IFERROR(INDEX(tblSources[Type],MATCH(tblMovement[[#This Row],[Source]],tblSources[Source],0)),"?"))</f>
        <v/>
      </c>
      <c r="L814" s="63">
        <f>IF(tblMovement[[#This Row],[Destination]]="","",IFERROR(INDEX(tblDestinations[Type],MATCH(tblMovement[[#This Row],[Destination]],tblDestinations[Destination],0)),"?"))</f>
        <v/>
      </c>
      <c r="M814" s="64">
        <f>IF(tblMovement[[#This Row],[Material]]="","",IF(LEFT(tblMovement[[#This Row],[Material]],3)="Ore",1,0))</f>
        <v/>
      </c>
      <c r="N814" s="59">
        <f>IF(OR(tblMovement[[#This Row],[Tonnes_t]]="",tblMovement[[#This Row],[Grade_gpt]]=""),0,tblMovement[[#This Row],[Tonnes_t]]*tblMovement[[#This Row],[Grade_gpt]]/cfg_TroyOz)</f>
        <v/>
      </c>
      <c r="O814" s="59">
        <f>IF(tblMovement[[#This Row],[Is_Ore]]=1,tblMovement[[#This Row],[Contained_oz]],0)</f>
        <v/>
      </c>
    </row>
    <row r="815">
      <c r="A815" s="54" t="n"/>
      <c r="B815" s="61" t="n"/>
      <c r="C815" s="61" t="n"/>
      <c r="D815" s="61" t="n"/>
      <c r="E815" s="61" t="n"/>
      <c r="F815" s="55" t="n"/>
      <c r="G815" s="56" t="n"/>
      <c r="H815" s="55" t="n"/>
      <c r="I815" s="62" t="n"/>
      <c r="J815" s="58" t="n"/>
      <c r="K815" s="63">
        <f>IF(tblMovement[[#This Row],[Source]]="","",IFERROR(INDEX(tblSources[Type],MATCH(tblMovement[[#This Row],[Source]],tblSources[Source],0)),"?"))</f>
        <v/>
      </c>
      <c r="L815" s="63">
        <f>IF(tblMovement[[#This Row],[Destination]]="","",IFERROR(INDEX(tblDestinations[Type],MATCH(tblMovement[[#This Row],[Destination]],tblDestinations[Destination],0)),"?"))</f>
        <v/>
      </c>
      <c r="M815" s="64">
        <f>IF(tblMovement[[#This Row],[Material]]="","",IF(LEFT(tblMovement[[#This Row],[Material]],3)="Ore",1,0))</f>
        <v/>
      </c>
      <c r="N815" s="59">
        <f>IF(OR(tblMovement[[#This Row],[Tonnes_t]]="",tblMovement[[#This Row],[Grade_gpt]]=""),0,tblMovement[[#This Row],[Tonnes_t]]*tblMovement[[#This Row],[Grade_gpt]]/cfg_TroyOz)</f>
        <v/>
      </c>
      <c r="O815" s="59">
        <f>IF(tblMovement[[#This Row],[Is_Ore]]=1,tblMovement[[#This Row],[Contained_oz]],0)</f>
        <v/>
      </c>
    </row>
    <row r="816">
      <c r="A816" s="54" t="n"/>
      <c r="B816" s="61" t="n"/>
      <c r="C816" s="61" t="n"/>
      <c r="D816" s="61" t="n"/>
      <c r="E816" s="61" t="n"/>
      <c r="F816" s="55" t="n"/>
      <c r="G816" s="56" t="n"/>
      <c r="H816" s="55" t="n"/>
      <c r="I816" s="62" t="n"/>
      <c r="J816" s="58" t="n"/>
      <c r="K816" s="63">
        <f>IF(tblMovement[[#This Row],[Source]]="","",IFERROR(INDEX(tblSources[Type],MATCH(tblMovement[[#This Row],[Source]],tblSources[Source],0)),"?"))</f>
        <v/>
      </c>
      <c r="L816" s="63">
        <f>IF(tblMovement[[#This Row],[Destination]]="","",IFERROR(INDEX(tblDestinations[Type],MATCH(tblMovement[[#This Row],[Destination]],tblDestinations[Destination],0)),"?"))</f>
        <v/>
      </c>
      <c r="M816" s="64">
        <f>IF(tblMovement[[#This Row],[Material]]="","",IF(LEFT(tblMovement[[#This Row],[Material]],3)="Ore",1,0))</f>
        <v/>
      </c>
      <c r="N816" s="59">
        <f>IF(OR(tblMovement[[#This Row],[Tonnes_t]]="",tblMovement[[#This Row],[Grade_gpt]]=""),0,tblMovement[[#This Row],[Tonnes_t]]*tblMovement[[#This Row],[Grade_gpt]]/cfg_TroyOz)</f>
        <v/>
      </c>
      <c r="O816" s="59">
        <f>IF(tblMovement[[#This Row],[Is_Ore]]=1,tblMovement[[#This Row],[Contained_oz]],0)</f>
        <v/>
      </c>
    </row>
    <row r="817">
      <c r="A817" s="54" t="n"/>
      <c r="B817" s="61" t="n"/>
      <c r="C817" s="61" t="n"/>
      <c r="D817" s="61" t="n"/>
      <c r="E817" s="61" t="n"/>
      <c r="F817" s="55" t="n"/>
      <c r="G817" s="56" t="n"/>
      <c r="H817" s="55" t="n"/>
      <c r="I817" s="62" t="n"/>
      <c r="J817" s="58" t="n"/>
      <c r="K817" s="63">
        <f>IF(tblMovement[[#This Row],[Source]]="","",IFERROR(INDEX(tblSources[Type],MATCH(tblMovement[[#This Row],[Source]],tblSources[Source],0)),"?"))</f>
        <v/>
      </c>
      <c r="L817" s="63">
        <f>IF(tblMovement[[#This Row],[Destination]]="","",IFERROR(INDEX(tblDestinations[Type],MATCH(tblMovement[[#This Row],[Destination]],tblDestinations[Destination],0)),"?"))</f>
        <v/>
      </c>
      <c r="M817" s="64">
        <f>IF(tblMovement[[#This Row],[Material]]="","",IF(LEFT(tblMovement[[#This Row],[Material]],3)="Ore",1,0))</f>
        <v/>
      </c>
      <c r="N817" s="59">
        <f>IF(OR(tblMovement[[#This Row],[Tonnes_t]]="",tblMovement[[#This Row],[Grade_gpt]]=""),0,tblMovement[[#This Row],[Tonnes_t]]*tblMovement[[#This Row],[Grade_gpt]]/cfg_TroyOz)</f>
        <v/>
      </c>
      <c r="O817" s="59">
        <f>IF(tblMovement[[#This Row],[Is_Ore]]=1,tblMovement[[#This Row],[Contained_oz]],0)</f>
        <v/>
      </c>
    </row>
    <row r="818">
      <c r="A818" s="54" t="n"/>
      <c r="B818" s="61" t="n"/>
      <c r="C818" s="61" t="n"/>
      <c r="D818" s="61" t="n"/>
      <c r="E818" s="61" t="n"/>
      <c r="F818" s="55" t="n"/>
      <c r="G818" s="56" t="n"/>
      <c r="H818" s="55" t="n"/>
      <c r="I818" s="62" t="n"/>
      <c r="J818" s="58" t="n"/>
      <c r="K818" s="63">
        <f>IF(tblMovement[[#This Row],[Source]]="","",IFERROR(INDEX(tblSources[Type],MATCH(tblMovement[[#This Row],[Source]],tblSources[Source],0)),"?"))</f>
        <v/>
      </c>
      <c r="L818" s="63">
        <f>IF(tblMovement[[#This Row],[Destination]]="","",IFERROR(INDEX(tblDestinations[Type],MATCH(tblMovement[[#This Row],[Destination]],tblDestinations[Destination],0)),"?"))</f>
        <v/>
      </c>
      <c r="M818" s="64">
        <f>IF(tblMovement[[#This Row],[Material]]="","",IF(LEFT(tblMovement[[#This Row],[Material]],3)="Ore",1,0))</f>
        <v/>
      </c>
      <c r="N818" s="59">
        <f>IF(OR(tblMovement[[#This Row],[Tonnes_t]]="",tblMovement[[#This Row],[Grade_gpt]]=""),0,tblMovement[[#This Row],[Tonnes_t]]*tblMovement[[#This Row],[Grade_gpt]]/cfg_TroyOz)</f>
        <v/>
      </c>
      <c r="O818" s="59">
        <f>IF(tblMovement[[#This Row],[Is_Ore]]=1,tblMovement[[#This Row],[Contained_oz]],0)</f>
        <v/>
      </c>
    </row>
    <row r="819">
      <c r="A819" s="54" t="n"/>
      <c r="B819" s="61" t="n"/>
      <c r="C819" s="61" t="n"/>
      <c r="D819" s="61" t="n"/>
      <c r="E819" s="61" t="n"/>
      <c r="F819" s="55" t="n"/>
      <c r="G819" s="56" t="n"/>
      <c r="H819" s="55" t="n"/>
      <c r="I819" s="62" t="n"/>
      <c r="J819" s="58" t="n"/>
      <c r="K819" s="63">
        <f>IF(tblMovement[[#This Row],[Source]]="","",IFERROR(INDEX(tblSources[Type],MATCH(tblMovement[[#This Row],[Source]],tblSources[Source],0)),"?"))</f>
        <v/>
      </c>
      <c r="L819" s="63">
        <f>IF(tblMovement[[#This Row],[Destination]]="","",IFERROR(INDEX(tblDestinations[Type],MATCH(tblMovement[[#This Row],[Destination]],tblDestinations[Destination],0)),"?"))</f>
        <v/>
      </c>
      <c r="M819" s="64">
        <f>IF(tblMovement[[#This Row],[Material]]="","",IF(LEFT(tblMovement[[#This Row],[Material]],3)="Ore",1,0))</f>
        <v/>
      </c>
      <c r="N819" s="59">
        <f>IF(OR(tblMovement[[#This Row],[Tonnes_t]]="",tblMovement[[#This Row],[Grade_gpt]]=""),0,tblMovement[[#This Row],[Tonnes_t]]*tblMovement[[#This Row],[Grade_gpt]]/cfg_TroyOz)</f>
        <v/>
      </c>
      <c r="O819" s="59">
        <f>IF(tblMovement[[#This Row],[Is_Ore]]=1,tblMovement[[#This Row],[Contained_oz]],0)</f>
        <v/>
      </c>
    </row>
    <row r="820">
      <c r="A820" s="54" t="n"/>
      <c r="B820" s="61" t="n"/>
      <c r="C820" s="61" t="n"/>
      <c r="D820" s="61" t="n"/>
      <c r="E820" s="61" t="n"/>
      <c r="F820" s="55" t="n"/>
      <c r="G820" s="56" t="n"/>
      <c r="H820" s="55" t="n"/>
      <c r="I820" s="62" t="n"/>
      <c r="J820" s="58" t="n"/>
      <c r="K820" s="63">
        <f>IF(tblMovement[[#This Row],[Source]]="","",IFERROR(INDEX(tblSources[Type],MATCH(tblMovement[[#This Row],[Source]],tblSources[Source],0)),"?"))</f>
        <v/>
      </c>
      <c r="L820" s="63">
        <f>IF(tblMovement[[#This Row],[Destination]]="","",IFERROR(INDEX(tblDestinations[Type],MATCH(tblMovement[[#This Row],[Destination]],tblDestinations[Destination],0)),"?"))</f>
        <v/>
      </c>
      <c r="M820" s="64">
        <f>IF(tblMovement[[#This Row],[Material]]="","",IF(LEFT(tblMovement[[#This Row],[Material]],3)="Ore",1,0))</f>
        <v/>
      </c>
      <c r="N820" s="59">
        <f>IF(OR(tblMovement[[#This Row],[Tonnes_t]]="",tblMovement[[#This Row],[Grade_gpt]]=""),0,tblMovement[[#This Row],[Tonnes_t]]*tblMovement[[#This Row],[Grade_gpt]]/cfg_TroyOz)</f>
        <v/>
      </c>
      <c r="O820" s="59">
        <f>IF(tblMovement[[#This Row],[Is_Ore]]=1,tblMovement[[#This Row],[Contained_oz]],0)</f>
        <v/>
      </c>
    </row>
    <row r="821">
      <c r="A821" s="54" t="n"/>
      <c r="B821" s="61" t="n"/>
      <c r="C821" s="61" t="n"/>
      <c r="D821" s="61" t="n"/>
      <c r="E821" s="61" t="n"/>
      <c r="F821" s="55" t="n"/>
      <c r="G821" s="56" t="n"/>
      <c r="H821" s="55" t="n"/>
      <c r="I821" s="62" t="n"/>
      <c r="J821" s="58" t="n"/>
      <c r="K821" s="63">
        <f>IF(tblMovement[[#This Row],[Source]]="","",IFERROR(INDEX(tblSources[Type],MATCH(tblMovement[[#This Row],[Source]],tblSources[Source],0)),"?"))</f>
        <v/>
      </c>
      <c r="L821" s="63">
        <f>IF(tblMovement[[#This Row],[Destination]]="","",IFERROR(INDEX(tblDestinations[Type],MATCH(tblMovement[[#This Row],[Destination]],tblDestinations[Destination],0)),"?"))</f>
        <v/>
      </c>
      <c r="M821" s="64">
        <f>IF(tblMovement[[#This Row],[Material]]="","",IF(LEFT(tblMovement[[#This Row],[Material]],3)="Ore",1,0))</f>
        <v/>
      </c>
      <c r="N821" s="59">
        <f>IF(OR(tblMovement[[#This Row],[Tonnes_t]]="",tblMovement[[#This Row],[Grade_gpt]]=""),0,tblMovement[[#This Row],[Tonnes_t]]*tblMovement[[#This Row],[Grade_gpt]]/cfg_TroyOz)</f>
        <v/>
      </c>
      <c r="O821" s="59">
        <f>IF(tblMovement[[#This Row],[Is_Ore]]=1,tblMovement[[#This Row],[Contained_oz]],0)</f>
        <v/>
      </c>
    </row>
    <row r="822">
      <c r="A822" s="54" t="n"/>
      <c r="B822" s="61" t="n"/>
      <c r="C822" s="61" t="n"/>
      <c r="D822" s="61" t="n"/>
      <c r="E822" s="61" t="n"/>
      <c r="F822" s="55" t="n"/>
      <c r="G822" s="56" t="n"/>
      <c r="H822" s="55" t="n"/>
      <c r="I822" s="62" t="n"/>
      <c r="J822" s="58" t="n"/>
      <c r="K822" s="63">
        <f>IF(tblMovement[[#This Row],[Source]]="","",IFERROR(INDEX(tblSources[Type],MATCH(tblMovement[[#This Row],[Source]],tblSources[Source],0)),"?"))</f>
        <v/>
      </c>
      <c r="L822" s="63">
        <f>IF(tblMovement[[#This Row],[Destination]]="","",IFERROR(INDEX(tblDestinations[Type],MATCH(tblMovement[[#This Row],[Destination]],tblDestinations[Destination],0)),"?"))</f>
        <v/>
      </c>
      <c r="M822" s="64">
        <f>IF(tblMovement[[#This Row],[Material]]="","",IF(LEFT(tblMovement[[#This Row],[Material]],3)="Ore",1,0))</f>
        <v/>
      </c>
      <c r="N822" s="59">
        <f>IF(OR(tblMovement[[#This Row],[Tonnes_t]]="",tblMovement[[#This Row],[Grade_gpt]]=""),0,tblMovement[[#This Row],[Tonnes_t]]*tblMovement[[#This Row],[Grade_gpt]]/cfg_TroyOz)</f>
        <v/>
      </c>
      <c r="O822" s="59">
        <f>IF(tblMovement[[#This Row],[Is_Ore]]=1,tblMovement[[#This Row],[Contained_oz]],0)</f>
        <v/>
      </c>
    </row>
    <row r="823">
      <c r="A823" s="54" t="n"/>
      <c r="B823" s="61" t="n"/>
      <c r="C823" s="61" t="n"/>
      <c r="D823" s="61" t="n"/>
      <c r="E823" s="61" t="n"/>
      <c r="F823" s="55" t="n"/>
      <c r="G823" s="56" t="n"/>
      <c r="H823" s="55" t="n"/>
      <c r="I823" s="62" t="n"/>
      <c r="J823" s="58" t="n"/>
      <c r="K823" s="63">
        <f>IF(tblMovement[[#This Row],[Source]]="","",IFERROR(INDEX(tblSources[Type],MATCH(tblMovement[[#This Row],[Source]],tblSources[Source],0)),"?"))</f>
        <v/>
      </c>
      <c r="L823" s="63">
        <f>IF(tblMovement[[#This Row],[Destination]]="","",IFERROR(INDEX(tblDestinations[Type],MATCH(tblMovement[[#This Row],[Destination]],tblDestinations[Destination],0)),"?"))</f>
        <v/>
      </c>
      <c r="M823" s="64">
        <f>IF(tblMovement[[#This Row],[Material]]="","",IF(LEFT(tblMovement[[#This Row],[Material]],3)="Ore",1,0))</f>
        <v/>
      </c>
      <c r="N823" s="59">
        <f>IF(OR(tblMovement[[#This Row],[Tonnes_t]]="",tblMovement[[#This Row],[Grade_gpt]]=""),0,tblMovement[[#This Row],[Tonnes_t]]*tblMovement[[#This Row],[Grade_gpt]]/cfg_TroyOz)</f>
        <v/>
      </c>
      <c r="O823" s="59">
        <f>IF(tblMovement[[#This Row],[Is_Ore]]=1,tblMovement[[#This Row],[Contained_oz]],0)</f>
        <v/>
      </c>
    </row>
    <row r="824">
      <c r="A824" s="54" t="n"/>
      <c r="B824" s="61" t="n"/>
      <c r="C824" s="61" t="n"/>
      <c r="D824" s="61" t="n"/>
      <c r="E824" s="61" t="n"/>
      <c r="F824" s="55" t="n"/>
      <c r="G824" s="56" t="n"/>
      <c r="H824" s="55" t="n"/>
      <c r="I824" s="62" t="n"/>
      <c r="J824" s="58" t="n"/>
      <c r="K824" s="63">
        <f>IF(tblMovement[[#This Row],[Source]]="","",IFERROR(INDEX(tblSources[Type],MATCH(tblMovement[[#This Row],[Source]],tblSources[Source],0)),"?"))</f>
        <v/>
      </c>
      <c r="L824" s="63">
        <f>IF(tblMovement[[#This Row],[Destination]]="","",IFERROR(INDEX(tblDestinations[Type],MATCH(tblMovement[[#This Row],[Destination]],tblDestinations[Destination],0)),"?"))</f>
        <v/>
      </c>
      <c r="M824" s="64">
        <f>IF(tblMovement[[#This Row],[Material]]="","",IF(LEFT(tblMovement[[#This Row],[Material]],3)="Ore",1,0))</f>
        <v/>
      </c>
      <c r="N824" s="59">
        <f>IF(OR(tblMovement[[#This Row],[Tonnes_t]]="",tblMovement[[#This Row],[Grade_gpt]]=""),0,tblMovement[[#This Row],[Tonnes_t]]*tblMovement[[#This Row],[Grade_gpt]]/cfg_TroyOz)</f>
        <v/>
      </c>
      <c r="O824" s="59">
        <f>IF(tblMovement[[#This Row],[Is_Ore]]=1,tblMovement[[#This Row],[Contained_oz]],0)</f>
        <v/>
      </c>
    </row>
    <row r="825">
      <c r="A825" s="54" t="n"/>
      <c r="B825" s="61" t="n"/>
      <c r="C825" s="61" t="n"/>
      <c r="D825" s="61" t="n"/>
      <c r="E825" s="61" t="n"/>
      <c r="F825" s="55" t="n"/>
      <c r="G825" s="56" t="n"/>
      <c r="H825" s="55" t="n"/>
      <c r="I825" s="62" t="n"/>
      <c r="J825" s="58" t="n"/>
      <c r="K825" s="63">
        <f>IF(tblMovement[[#This Row],[Source]]="","",IFERROR(INDEX(tblSources[Type],MATCH(tblMovement[[#This Row],[Source]],tblSources[Source],0)),"?"))</f>
        <v/>
      </c>
      <c r="L825" s="63">
        <f>IF(tblMovement[[#This Row],[Destination]]="","",IFERROR(INDEX(tblDestinations[Type],MATCH(tblMovement[[#This Row],[Destination]],tblDestinations[Destination],0)),"?"))</f>
        <v/>
      </c>
      <c r="M825" s="64">
        <f>IF(tblMovement[[#This Row],[Material]]="","",IF(LEFT(tblMovement[[#This Row],[Material]],3)="Ore",1,0))</f>
        <v/>
      </c>
      <c r="N825" s="59">
        <f>IF(OR(tblMovement[[#This Row],[Tonnes_t]]="",tblMovement[[#This Row],[Grade_gpt]]=""),0,tblMovement[[#This Row],[Tonnes_t]]*tblMovement[[#This Row],[Grade_gpt]]/cfg_TroyOz)</f>
        <v/>
      </c>
      <c r="O825" s="59">
        <f>IF(tblMovement[[#This Row],[Is_Ore]]=1,tblMovement[[#This Row],[Contained_oz]],0)</f>
        <v/>
      </c>
    </row>
    <row r="826">
      <c r="A826" s="54" t="n"/>
      <c r="B826" s="61" t="n"/>
      <c r="C826" s="61" t="n"/>
      <c r="D826" s="61" t="n"/>
      <c r="E826" s="61" t="n"/>
      <c r="F826" s="55" t="n"/>
      <c r="G826" s="56" t="n"/>
      <c r="H826" s="55" t="n"/>
      <c r="I826" s="62" t="n"/>
      <c r="J826" s="58" t="n"/>
      <c r="K826" s="63">
        <f>IF(tblMovement[[#This Row],[Source]]="","",IFERROR(INDEX(tblSources[Type],MATCH(tblMovement[[#This Row],[Source]],tblSources[Source],0)),"?"))</f>
        <v/>
      </c>
      <c r="L826" s="63">
        <f>IF(tblMovement[[#This Row],[Destination]]="","",IFERROR(INDEX(tblDestinations[Type],MATCH(tblMovement[[#This Row],[Destination]],tblDestinations[Destination],0)),"?"))</f>
        <v/>
      </c>
      <c r="M826" s="64">
        <f>IF(tblMovement[[#This Row],[Material]]="","",IF(LEFT(tblMovement[[#This Row],[Material]],3)="Ore",1,0))</f>
        <v/>
      </c>
      <c r="N826" s="59">
        <f>IF(OR(tblMovement[[#This Row],[Tonnes_t]]="",tblMovement[[#This Row],[Grade_gpt]]=""),0,tblMovement[[#This Row],[Tonnes_t]]*tblMovement[[#This Row],[Grade_gpt]]/cfg_TroyOz)</f>
        <v/>
      </c>
      <c r="O826" s="59">
        <f>IF(tblMovement[[#This Row],[Is_Ore]]=1,tblMovement[[#This Row],[Contained_oz]],0)</f>
        <v/>
      </c>
    </row>
    <row r="827">
      <c r="A827" s="54" t="n"/>
      <c r="B827" s="61" t="n"/>
      <c r="C827" s="61" t="n"/>
      <c r="D827" s="61" t="n"/>
      <c r="E827" s="61" t="n"/>
      <c r="F827" s="55" t="n"/>
      <c r="G827" s="56" t="n"/>
      <c r="H827" s="55" t="n"/>
      <c r="I827" s="62" t="n"/>
      <c r="J827" s="58" t="n"/>
      <c r="K827" s="63">
        <f>IF(tblMovement[[#This Row],[Source]]="","",IFERROR(INDEX(tblSources[Type],MATCH(tblMovement[[#This Row],[Source]],tblSources[Source],0)),"?"))</f>
        <v/>
      </c>
      <c r="L827" s="63">
        <f>IF(tblMovement[[#This Row],[Destination]]="","",IFERROR(INDEX(tblDestinations[Type],MATCH(tblMovement[[#This Row],[Destination]],tblDestinations[Destination],0)),"?"))</f>
        <v/>
      </c>
      <c r="M827" s="64">
        <f>IF(tblMovement[[#This Row],[Material]]="","",IF(LEFT(tblMovement[[#This Row],[Material]],3)="Ore",1,0))</f>
        <v/>
      </c>
      <c r="N827" s="59">
        <f>IF(OR(tblMovement[[#This Row],[Tonnes_t]]="",tblMovement[[#This Row],[Grade_gpt]]=""),0,tblMovement[[#This Row],[Tonnes_t]]*tblMovement[[#This Row],[Grade_gpt]]/cfg_TroyOz)</f>
        <v/>
      </c>
      <c r="O827" s="59">
        <f>IF(tblMovement[[#This Row],[Is_Ore]]=1,tblMovement[[#This Row],[Contained_oz]],0)</f>
        <v/>
      </c>
    </row>
    <row r="828">
      <c r="A828" s="54" t="n"/>
      <c r="B828" s="61" t="n"/>
      <c r="C828" s="61" t="n"/>
      <c r="D828" s="61" t="n"/>
      <c r="E828" s="61" t="n"/>
      <c r="F828" s="55" t="n"/>
      <c r="G828" s="56" t="n"/>
      <c r="H828" s="55" t="n"/>
      <c r="I828" s="62" t="n"/>
      <c r="J828" s="58" t="n"/>
      <c r="K828" s="63">
        <f>IF(tblMovement[[#This Row],[Source]]="","",IFERROR(INDEX(tblSources[Type],MATCH(tblMovement[[#This Row],[Source]],tblSources[Source],0)),"?"))</f>
        <v/>
      </c>
      <c r="L828" s="63">
        <f>IF(tblMovement[[#This Row],[Destination]]="","",IFERROR(INDEX(tblDestinations[Type],MATCH(tblMovement[[#This Row],[Destination]],tblDestinations[Destination],0)),"?"))</f>
        <v/>
      </c>
      <c r="M828" s="64">
        <f>IF(tblMovement[[#This Row],[Material]]="","",IF(LEFT(tblMovement[[#This Row],[Material]],3)="Ore",1,0))</f>
        <v/>
      </c>
      <c r="N828" s="59">
        <f>IF(OR(tblMovement[[#This Row],[Tonnes_t]]="",tblMovement[[#This Row],[Grade_gpt]]=""),0,tblMovement[[#This Row],[Tonnes_t]]*tblMovement[[#This Row],[Grade_gpt]]/cfg_TroyOz)</f>
        <v/>
      </c>
      <c r="O828" s="59">
        <f>IF(tblMovement[[#This Row],[Is_Ore]]=1,tblMovement[[#This Row],[Contained_oz]],0)</f>
        <v/>
      </c>
    </row>
    <row r="829">
      <c r="A829" s="54" t="n"/>
      <c r="B829" s="61" t="n"/>
      <c r="C829" s="61" t="n"/>
      <c r="D829" s="61" t="n"/>
      <c r="E829" s="61" t="n"/>
      <c r="F829" s="55" t="n"/>
      <c r="G829" s="56" t="n"/>
      <c r="H829" s="55" t="n"/>
      <c r="I829" s="62" t="n"/>
      <c r="J829" s="58" t="n"/>
      <c r="K829" s="63">
        <f>IF(tblMovement[[#This Row],[Source]]="","",IFERROR(INDEX(tblSources[Type],MATCH(tblMovement[[#This Row],[Source]],tblSources[Source],0)),"?"))</f>
        <v/>
      </c>
      <c r="L829" s="63">
        <f>IF(tblMovement[[#This Row],[Destination]]="","",IFERROR(INDEX(tblDestinations[Type],MATCH(tblMovement[[#This Row],[Destination]],tblDestinations[Destination],0)),"?"))</f>
        <v/>
      </c>
      <c r="M829" s="64">
        <f>IF(tblMovement[[#This Row],[Material]]="","",IF(LEFT(tblMovement[[#This Row],[Material]],3)="Ore",1,0))</f>
        <v/>
      </c>
      <c r="N829" s="59">
        <f>IF(OR(tblMovement[[#This Row],[Tonnes_t]]="",tblMovement[[#This Row],[Grade_gpt]]=""),0,tblMovement[[#This Row],[Tonnes_t]]*tblMovement[[#This Row],[Grade_gpt]]/cfg_TroyOz)</f>
        <v/>
      </c>
      <c r="O829" s="59">
        <f>IF(tblMovement[[#This Row],[Is_Ore]]=1,tblMovement[[#This Row],[Contained_oz]],0)</f>
        <v/>
      </c>
    </row>
    <row r="830">
      <c r="A830" s="54" t="n"/>
      <c r="B830" s="61" t="n"/>
      <c r="C830" s="61" t="n"/>
      <c r="D830" s="61" t="n"/>
      <c r="E830" s="61" t="n"/>
      <c r="F830" s="55" t="n"/>
      <c r="G830" s="56" t="n"/>
      <c r="H830" s="55" t="n"/>
      <c r="I830" s="62" t="n"/>
      <c r="J830" s="58" t="n"/>
      <c r="K830" s="63">
        <f>IF(tblMovement[[#This Row],[Source]]="","",IFERROR(INDEX(tblSources[Type],MATCH(tblMovement[[#This Row],[Source]],tblSources[Source],0)),"?"))</f>
        <v/>
      </c>
      <c r="L830" s="63">
        <f>IF(tblMovement[[#This Row],[Destination]]="","",IFERROR(INDEX(tblDestinations[Type],MATCH(tblMovement[[#This Row],[Destination]],tblDestinations[Destination],0)),"?"))</f>
        <v/>
      </c>
      <c r="M830" s="64">
        <f>IF(tblMovement[[#This Row],[Material]]="","",IF(LEFT(tblMovement[[#This Row],[Material]],3)="Ore",1,0))</f>
        <v/>
      </c>
      <c r="N830" s="59">
        <f>IF(OR(tblMovement[[#This Row],[Tonnes_t]]="",tblMovement[[#This Row],[Grade_gpt]]=""),0,tblMovement[[#This Row],[Tonnes_t]]*tblMovement[[#This Row],[Grade_gpt]]/cfg_TroyOz)</f>
        <v/>
      </c>
      <c r="O830" s="59">
        <f>IF(tblMovement[[#This Row],[Is_Ore]]=1,tblMovement[[#This Row],[Contained_oz]],0)</f>
        <v/>
      </c>
    </row>
    <row r="831">
      <c r="A831" s="54" t="n"/>
      <c r="B831" s="61" t="n"/>
      <c r="C831" s="61" t="n"/>
      <c r="D831" s="61" t="n"/>
      <c r="E831" s="61" t="n"/>
      <c r="F831" s="55" t="n"/>
      <c r="G831" s="56" t="n"/>
      <c r="H831" s="55" t="n"/>
      <c r="I831" s="62" t="n"/>
      <c r="J831" s="58" t="n"/>
      <c r="K831" s="63">
        <f>IF(tblMovement[[#This Row],[Source]]="","",IFERROR(INDEX(tblSources[Type],MATCH(tblMovement[[#This Row],[Source]],tblSources[Source],0)),"?"))</f>
        <v/>
      </c>
      <c r="L831" s="63">
        <f>IF(tblMovement[[#This Row],[Destination]]="","",IFERROR(INDEX(tblDestinations[Type],MATCH(tblMovement[[#This Row],[Destination]],tblDestinations[Destination],0)),"?"))</f>
        <v/>
      </c>
      <c r="M831" s="64">
        <f>IF(tblMovement[[#This Row],[Material]]="","",IF(LEFT(tblMovement[[#This Row],[Material]],3)="Ore",1,0))</f>
        <v/>
      </c>
      <c r="N831" s="59">
        <f>IF(OR(tblMovement[[#This Row],[Tonnes_t]]="",tblMovement[[#This Row],[Grade_gpt]]=""),0,tblMovement[[#This Row],[Tonnes_t]]*tblMovement[[#This Row],[Grade_gpt]]/cfg_TroyOz)</f>
        <v/>
      </c>
      <c r="O831" s="59">
        <f>IF(tblMovement[[#This Row],[Is_Ore]]=1,tblMovement[[#This Row],[Contained_oz]],0)</f>
        <v/>
      </c>
    </row>
    <row r="832">
      <c r="A832" s="54" t="n"/>
      <c r="B832" s="61" t="n"/>
      <c r="C832" s="61" t="n"/>
      <c r="D832" s="61" t="n"/>
      <c r="E832" s="61" t="n"/>
      <c r="F832" s="55" t="n"/>
      <c r="G832" s="56" t="n"/>
      <c r="H832" s="55" t="n"/>
      <c r="I832" s="62" t="n"/>
      <c r="J832" s="58" t="n"/>
      <c r="K832" s="63">
        <f>IF(tblMovement[[#This Row],[Source]]="","",IFERROR(INDEX(tblSources[Type],MATCH(tblMovement[[#This Row],[Source]],tblSources[Source],0)),"?"))</f>
        <v/>
      </c>
      <c r="L832" s="63">
        <f>IF(tblMovement[[#This Row],[Destination]]="","",IFERROR(INDEX(tblDestinations[Type],MATCH(tblMovement[[#This Row],[Destination]],tblDestinations[Destination],0)),"?"))</f>
        <v/>
      </c>
      <c r="M832" s="64">
        <f>IF(tblMovement[[#This Row],[Material]]="","",IF(LEFT(tblMovement[[#This Row],[Material]],3)="Ore",1,0))</f>
        <v/>
      </c>
      <c r="N832" s="59">
        <f>IF(OR(tblMovement[[#This Row],[Tonnes_t]]="",tblMovement[[#This Row],[Grade_gpt]]=""),0,tblMovement[[#This Row],[Tonnes_t]]*tblMovement[[#This Row],[Grade_gpt]]/cfg_TroyOz)</f>
        <v/>
      </c>
      <c r="O832" s="59">
        <f>IF(tblMovement[[#This Row],[Is_Ore]]=1,tblMovement[[#This Row],[Contained_oz]],0)</f>
        <v/>
      </c>
    </row>
    <row r="833">
      <c r="A833" s="54" t="n"/>
      <c r="B833" s="61" t="n"/>
      <c r="C833" s="61" t="n"/>
      <c r="D833" s="61" t="n"/>
      <c r="E833" s="61" t="n"/>
      <c r="F833" s="55" t="n"/>
      <c r="G833" s="56" t="n"/>
      <c r="H833" s="55" t="n"/>
      <c r="I833" s="62" t="n"/>
      <c r="J833" s="58" t="n"/>
      <c r="K833" s="63">
        <f>IF(tblMovement[[#This Row],[Source]]="","",IFERROR(INDEX(tblSources[Type],MATCH(tblMovement[[#This Row],[Source]],tblSources[Source],0)),"?"))</f>
        <v/>
      </c>
      <c r="L833" s="63">
        <f>IF(tblMovement[[#This Row],[Destination]]="","",IFERROR(INDEX(tblDestinations[Type],MATCH(tblMovement[[#This Row],[Destination]],tblDestinations[Destination],0)),"?"))</f>
        <v/>
      </c>
      <c r="M833" s="64">
        <f>IF(tblMovement[[#This Row],[Material]]="","",IF(LEFT(tblMovement[[#This Row],[Material]],3)="Ore",1,0))</f>
        <v/>
      </c>
      <c r="N833" s="59">
        <f>IF(OR(tblMovement[[#This Row],[Tonnes_t]]="",tblMovement[[#This Row],[Grade_gpt]]=""),0,tblMovement[[#This Row],[Tonnes_t]]*tblMovement[[#This Row],[Grade_gpt]]/cfg_TroyOz)</f>
        <v/>
      </c>
      <c r="O833" s="59">
        <f>IF(tblMovement[[#This Row],[Is_Ore]]=1,tblMovement[[#This Row],[Contained_oz]],0)</f>
        <v/>
      </c>
    </row>
    <row r="834">
      <c r="A834" s="54" t="n"/>
      <c r="B834" s="61" t="n"/>
      <c r="C834" s="61" t="n"/>
      <c r="D834" s="61" t="n"/>
      <c r="E834" s="61" t="n"/>
      <c r="F834" s="55" t="n"/>
      <c r="G834" s="56" t="n"/>
      <c r="H834" s="55" t="n"/>
      <c r="I834" s="62" t="n"/>
      <c r="J834" s="58" t="n"/>
      <c r="K834" s="63">
        <f>IF(tblMovement[[#This Row],[Source]]="","",IFERROR(INDEX(tblSources[Type],MATCH(tblMovement[[#This Row],[Source]],tblSources[Source],0)),"?"))</f>
        <v/>
      </c>
      <c r="L834" s="63">
        <f>IF(tblMovement[[#This Row],[Destination]]="","",IFERROR(INDEX(tblDestinations[Type],MATCH(tblMovement[[#This Row],[Destination]],tblDestinations[Destination],0)),"?"))</f>
        <v/>
      </c>
      <c r="M834" s="64">
        <f>IF(tblMovement[[#This Row],[Material]]="","",IF(LEFT(tblMovement[[#This Row],[Material]],3)="Ore",1,0))</f>
        <v/>
      </c>
      <c r="N834" s="59">
        <f>IF(OR(tblMovement[[#This Row],[Tonnes_t]]="",tblMovement[[#This Row],[Grade_gpt]]=""),0,tblMovement[[#This Row],[Tonnes_t]]*tblMovement[[#This Row],[Grade_gpt]]/cfg_TroyOz)</f>
        <v/>
      </c>
      <c r="O834" s="59">
        <f>IF(tblMovement[[#This Row],[Is_Ore]]=1,tblMovement[[#This Row],[Contained_oz]],0)</f>
        <v/>
      </c>
    </row>
    <row r="835">
      <c r="A835" s="54" t="n"/>
      <c r="B835" s="61" t="n"/>
      <c r="C835" s="61" t="n"/>
      <c r="D835" s="61" t="n"/>
      <c r="E835" s="61" t="n"/>
      <c r="F835" s="55" t="n"/>
      <c r="G835" s="56" t="n"/>
      <c r="H835" s="55" t="n"/>
      <c r="I835" s="62" t="n"/>
      <c r="J835" s="58" t="n"/>
      <c r="K835" s="63">
        <f>IF(tblMovement[[#This Row],[Source]]="","",IFERROR(INDEX(tblSources[Type],MATCH(tblMovement[[#This Row],[Source]],tblSources[Source],0)),"?"))</f>
        <v/>
      </c>
      <c r="L835" s="63">
        <f>IF(tblMovement[[#This Row],[Destination]]="","",IFERROR(INDEX(tblDestinations[Type],MATCH(tblMovement[[#This Row],[Destination]],tblDestinations[Destination],0)),"?"))</f>
        <v/>
      </c>
      <c r="M835" s="64">
        <f>IF(tblMovement[[#This Row],[Material]]="","",IF(LEFT(tblMovement[[#This Row],[Material]],3)="Ore",1,0))</f>
        <v/>
      </c>
      <c r="N835" s="59">
        <f>IF(OR(tblMovement[[#This Row],[Tonnes_t]]="",tblMovement[[#This Row],[Grade_gpt]]=""),0,tblMovement[[#This Row],[Tonnes_t]]*tblMovement[[#This Row],[Grade_gpt]]/cfg_TroyOz)</f>
        <v/>
      </c>
      <c r="O835" s="59">
        <f>IF(tblMovement[[#This Row],[Is_Ore]]=1,tblMovement[[#This Row],[Contained_oz]],0)</f>
        <v/>
      </c>
    </row>
    <row r="836">
      <c r="A836" s="54" t="n"/>
      <c r="B836" s="61" t="n"/>
      <c r="C836" s="61" t="n"/>
      <c r="D836" s="61" t="n"/>
      <c r="E836" s="61" t="n"/>
      <c r="F836" s="55" t="n"/>
      <c r="G836" s="56" t="n"/>
      <c r="H836" s="55" t="n"/>
      <c r="I836" s="62" t="n"/>
      <c r="J836" s="58" t="n"/>
      <c r="K836" s="63">
        <f>IF(tblMovement[[#This Row],[Source]]="","",IFERROR(INDEX(tblSources[Type],MATCH(tblMovement[[#This Row],[Source]],tblSources[Source],0)),"?"))</f>
        <v/>
      </c>
      <c r="L836" s="63">
        <f>IF(tblMovement[[#This Row],[Destination]]="","",IFERROR(INDEX(tblDestinations[Type],MATCH(tblMovement[[#This Row],[Destination]],tblDestinations[Destination],0)),"?"))</f>
        <v/>
      </c>
      <c r="M836" s="64">
        <f>IF(tblMovement[[#This Row],[Material]]="","",IF(LEFT(tblMovement[[#This Row],[Material]],3)="Ore",1,0))</f>
        <v/>
      </c>
      <c r="N836" s="59">
        <f>IF(OR(tblMovement[[#This Row],[Tonnes_t]]="",tblMovement[[#This Row],[Grade_gpt]]=""),0,tblMovement[[#This Row],[Tonnes_t]]*tblMovement[[#This Row],[Grade_gpt]]/cfg_TroyOz)</f>
        <v/>
      </c>
      <c r="O836" s="59">
        <f>IF(tblMovement[[#This Row],[Is_Ore]]=1,tblMovement[[#This Row],[Contained_oz]],0)</f>
        <v/>
      </c>
    </row>
    <row r="837">
      <c r="A837" s="54" t="n"/>
      <c r="B837" s="61" t="n"/>
      <c r="C837" s="61" t="n"/>
      <c r="D837" s="61" t="n"/>
      <c r="E837" s="61" t="n"/>
      <c r="F837" s="55" t="n"/>
      <c r="G837" s="56" t="n"/>
      <c r="H837" s="55" t="n"/>
      <c r="I837" s="62" t="n"/>
      <c r="J837" s="58" t="n"/>
      <c r="K837" s="63">
        <f>IF(tblMovement[[#This Row],[Source]]="","",IFERROR(INDEX(tblSources[Type],MATCH(tblMovement[[#This Row],[Source]],tblSources[Source],0)),"?"))</f>
        <v/>
      </c>
      <c r="L837" s="63">
        <f>IF(tblMovement[[#This Row],[Destination]]="","",IFERROR(INDEX(tblDestinations[Type],MATCH(tblMovement[[#This Row],[Destination]],tblDestinations[Destination],0)),"?"))</f>
        <v/>
      </c>
      <c r="M837" s="64">
        <f>IF(tblMovement[[#This Row],[Material]]="","",IF(LEFT(tblMovement[[#This Row],[Material]],3)="Ore",1,0))</f>
        <v/>
      </c>
      <c r="N837" s="59">
        <f>IF(OR(tblMovement[[#This Row],[Tonnes_t]]="",tblMovement[[#This Row],[Grade_gpt]]=""),0,tblMovement[[#This Row],[Tonnes_t]]*tblMovement[[#This Row],[Grade_gpt]]/cfg_TroyOz)</f>
        <v/>
      </c>
      <c r="O837" s="59">
        <f>IF(tblMovement[[#This Row],[Is_Ore]]=1,tblMovement[[#This Row],[Contained_oz]],0)</f>
        <v/>
      </c>
    </row>
    <row r="838">
      <c r="A838" s="54" t="n"/>
      <c r="B838" s="61" t="n"/>
      <c r="C838" s="61" t="n"/>
      <c r="D838" s="61" t="n"/>
      <c r="E838" s="61" t="n"/>
      <c r="F838" s="55" t="n"/>
      <c r="G838" s="56" t="n"/>
      <c r="H838" s="55" t="n"/>
      <c r="I838" s="62" t="n"/>
      <c r="J838" s="58" t="n"/>
      <c r="K838" s="63">
        <f>IF(tblMovement[[#This Row],[Source]]="","",IFERROR(INDEX(tblSources[Type],MATCH(tblMovement[[#This Row],[Source]],tblSources[Source],0)),"?"))</f>
        <v/>
      </c>
      <c r="L838" s="63">
        <f>IF(tblMovement[[#This Row],[Destination]]="","",IFERROR(INDEX(tblDestinations[Type],MATCH(tblMovement[[#This Row],[Destination]],tblDestinations[Destination],0)),"?"))</f>
        <v/>
      </c>
      <c r="M838" s="64">
        <f>IF(tblMovement[[#This Row],[Material]]="","",IF(LEFT(tblMovement[[#This Row],[Material]],3)="Ore",1,0))</f>
        <v/>
      </c>
      <c r="N838" s="59">
        <f>IF(OR(tblMovement[[#This Row],[Tonnes_t]]="",tblMovement[[#This Row],[Grade_gpt]]=""),0,tblMovement[[#This Row],[Tonnes_t]]*tblMovement[[#This Row],[Grade_gpt]]/cfg_TroyOz)</f>
        <v/>
      </c>
      <c r="O838" s="59">
        <f>IF(tblMovement[[#This Row],[Is_Ore]]=1,tblMovement[[#This Row],[Contained_oz]],0)</f>
        <v/>
      </c>
    </row>
    <row r="839">
      <c r="A839" s="54" t="n"/>
      <c r="B839" s="61" t="n"/>
      <c r="C839" s="61" t="n"/>
      <c r="D839" s="61" t="n"/>
      <c r="E839" s="61" t="n"/>
      <c r="F839" s="55" t="n"/>
      <c r="G839" s="56" t="n"/>
      <c r="H839" s="55" t="n"/>
      <c r="I839" s="62" t="n"/>
      <c r="J839" s="58" t="n"/>
      <c r="K839" s="63">
        <f>IF(tblMovement[[#This Row],[Source]]="","",IFERROR(INDEX(tblSources[Type],MATCH(tblMovement[[#This Row],[Source]],tblSources[Source],0)),"?"))</f>
        <v/>
      </c>
      <c r="L839" s="63">
        <f>IF(tblMovement[[#This Row],[Destination]]="","",IFERROR(INDEX(tblDestinations[Type],MATCH(tblMovement[[#This Row],[Destination]],tblDestinations[Destination],0)),"?"))</f>
        <v/>
      </c>
      <c r="M839" s="64">
        <f>IF(tblMovement[[#This Row],[Material]]="","",IF(LEFT(tblMovement[[#This Row],[Material]],3)="Ore",1,0))</f>
        <v/>
      </c>
      <c r="N839" s="59">
        <f>IF(OR(tblMovement[[#This Row],[Tonnes_t]]="",tblMovement[[#This Row],[Grade_gpt]]=""),0,tblMovement[[#This Row],[Tonnes_t]]*tblMovement[[#This Row],[Grade_gpt]]/cfg_TroyOz)</f>
        <v/>
      </c>
      <c r="O839" s="59">
        <f>IF(tblMovement[[#This Row],[Is_Ore]]=1,tblMovement[[#This Row],[Contained_oz]],0)</f>
        <v/>
      </c>
    </row>
    <row r="840">
      <c r="A840" s="54" t="n"/>
      <c r="B840" s="61" t="n"/>
      <c r="C840" s="61" t="n"/>
      <c r="D840" s="61" t="n"/>
      <c r="E840" s="61" t="n"/>
      <c r="F840" s="55" t="n"/>
      <c r="G840" s="56" t="n"/>
      <c r="H840" s="55" t="n"/>
      <c r="I840" s="62" t="n"/>
      <c r="J840" s="58" t="n"/>
      <c r="K840" s="63">
        <f>IF(tblMovement[[#This Row],[Source]]="","",IFERROR(INDEX(tblSources[Type],MATCH(tblMovement[[#This Row],[Source]],tblSources[Source],0)),"?"))</f>
        <v/>
      </c>
      <c r="L840" s="63">
        <f>IF(tblMovement[[#This Row],[Destination]]="","",IFERROR(INDEX(tblDestinations[Type],MATCH(tblMovement[[#This Row],[Destination]],tblDestinations[Destination],0)),"?"))</f>
        <v/>
      </c>
      <c r="M840" s="64">
        <f>IF(tblMovement[[#This Row],[Material]]="","",IF(LEFT(tblMovement[[#This Row],[Material]],3)="Ore",1,0))</f>
        <v/>
      </c>
      <c r="N840" s="59">
        <f>IF(OR(tblMovement[[#This Row],[Tonnes_t]]="",tblMovement[[#This Row],[Grade_gpt]]=""),0,tblMovement[[#This Row],[Tonnes_t]]*tblMovement[[#This Row],[Grade_gpt]]/cfg_TroyOz)</f>
        <v/>
      </c>
      <c r="O840" s="59">
        <f>IF(tblMovement[[#This Row],[Is_Ore]]=1,tblMovement[[#This Row],[Contained_oz]],0)</f>
        <v/>
      </c>
    </row>
    <row r="841">
      <c r="A841" s="54" t="n"/>
      <c r="B841" s="61" t="n"/>
      <c r="C841" s="61" t="n"/>
      <c r="D841" s="61" t="n"/>
      <c r="E841" s="61" t="n"/>
      <c r="F841" s="55" t="n"/>
      <c r="G841" s="56" t="n"/>
      <c r="H841" s="55" t="n"/>
      <c r="I841" s="62" t="n"/>
      <c r="J841" s="58" t="n"/>
      <c r="K841" s="63">
        <f>IF(tblMovement[[#This Row],[Source]]="","",IFERROR(INDEX(tblSources[Type],MATCH(tblMovement[[#This Row],[Source]],tblSources[Source],0)),"?"))</f>
        <v/>
      </c>
      <c r="L841" s="63">
        <f>IF(tblMovement[[#This Row],[Destination]]="","",IFERROR(INDEX(tblDestinations[Type],MATCH(tblMovement[[#This Row],[Destination]],tblDestinations[Destination],0)),"?"))</f>
        <v/>
      </c>
      <c r="M841" s="64">
        <f>IF(tblMovement[[#This Row],[Material]]="","",IF(LEFT(tblMovement[[#This Row],[Material]],3)="Ore",1,0))</f>
        <v/>
      </c>
      <c r="N841" s="59">
        <f>IF(OR(tblMovement[[#This Row],[Tonnes_t]]="",tblMovement[[#This Row],[Grade_gpt]]=""),0,tblMovement[[#This Row],[Tonnes_t]]*tblMovement[[#This Row],[Grade_gpt]]/cfg_TroyOz)</f>
        <v/>
      </c>
      <c r="O841" s="59">
        <f>IF(tblMovement[[#This Row],[Is_Ore]]=1,tblMovement[[#This Row],[Contained_oz]],0)</f>
        <v/>
      </c>
    </row>
    <row r="842">
      <c r="A842" s="54" t="n"/>
      <c r="B842" s="61" t="n"/>
      <c r="C842" s="61" t="n"/>
      <c r="D842" s="61" t="n"/>
      <c r="E842" s="61" t="n"/>
      <c r="F842" s="55" t="n"/>
      <c r="G842" s="56" t="n"/>
      <c r="H842" s="55" t="n"/>
      <c r="I842" s="62" t="n"/>
      <c r="J842" s="58" t="n"/>
      <c r="K842" s="63">
        <f>IF(tblMovement[[#This Row],[Source]]="","",IFERROR(INDEX(tblSources[Type],MATCH(tblMovement[[#This Row],[Source]],tblSources[Source],0)),"?"))</f>
        <v/>
      </c>
      <c r="L842" s="63">
        <f>IF(tblMovement[[#This Row],[Destination]]="","",IFERROR(INDEX(tblDestinations[Type],MATCH(tblMovement[[#This Row],[Destination]],tblDestinations[Destination],0)),"?"))</f>
        <v/>
      </c>
      <c r="M842" s="64">
        <f>IF(tblMovement[[#This Row],[Material]]="","",IF(LEFT(tblMovement[[#This Row],[Material]],3)="Ore",1,0))</f>
        <v/>
      </c>
      <c r="N842" s="59">
        <f>IF(OR(tblMovement[[#This Row],[Tonnes_t]]="",tblMovement[[#This Row],[Grade_gpt]]=""),0,tblMovement[[#This Row],[Tonnes_t]]*tblMovement[[#This Row],[Grade_gpt]]/cfg_TroyOz)</f>
        <v/>
      </c>
      <c r="O842" s="59">
        <f>IF(tblMovement[[#This Row],[Is_Ore]]=1,tblMovement[[#This Row],[Contained_oz]],0)</f>
        <v/>
      </c>
    </row>
    <row r="843">
      <c r="A843" s="54" t="n"/>
      <c r="B843" s="61" t="n"/>
      <c r="C843" s="61" t="n"/>
      <c r="D843" s="61" t="n"/>
      <c r="E843" s="61" t="n"/>
      <c r="F843" s="55" t="n"/>
      <c r="G843" s="56" t="n"/>
      <c r="H843" s="55" t="n"/>
      <c r="I843" s="62" t="n"/>
      <c r="J843" s="58" t="n"/>
      <c r="K843" s="63">
        <f>IF(tblMovement[[#This Row],[Source]]="","",IFERROR(INDEX(tblSources[Type],MATCH(tblMovement[[#This Row],[Source]],tblSources[Source],0)),"?"))</f>
        <v/>
      </c>
      <c r="L843" s="63">
        <f>IF(tblMovement[[#This Row],[Destination]]="","",IFERROR(INDEX(tblDestinations[Type],MATCH(tblMovement[[#This Row],[Destination]],tblDestinations[Destination],0)),"?"))</f>
        <v/>
      </c>
      <c r="M843" s="64">
        <f>IF(tblMovement[[#This Row],[Material]]="","",IF(LEFT(tblMovement[[#This Row],[Material]],3)="Ore",1,0))</f>
        <v/>
      </c>
      <c r="N843" s="59">
        <f>IF(OR(tblMovement[[#This Row],[Tonnes_t]]="",tblMovement[[#This Row],[Grade_gpt]]=""),0,tblMovement[[#This Row],[Tonnes_t]]*tblMovement[[#This Row],[Grade_gpt]]/cfg_TroyOz)</f>
        <v/>
      </c>
      <c r="O843" s="59">
        <f>IF(tblMovement[[#This Row],[Is_Ore]]=1,tblMovement[[#This Row],[Contained_oz]],0)</f>
        <v/>
      </c>
    </row>
    <row r="844">
      <c r="A844" s="54" t="n"/>
      <c r="B844" s="61" t="n"/>
      <c r="C844" s="61" t="n"/>
      <c r="D844" s="61" t="n"/>
      <c r="E844" s="61" t="n"/>
      <c r="F844" s="55" t="n"/>
      <c r="G844" s="56" t="n"/>
      <c r="H844" s="55" t="n"/>
      <c r="I844" s="62" t="n"/>
      <c r="J844" s="58" t="n"/>
      <c r="K844" s="63">
        <f>IF(tblMovement[[#This Row],[Source]]="","",IFERROR(INDEX(tblSources[Type],MATCH(tblMovement[[#This Row],[Source]],tblSources[Source],0)),"?"))</f>
        <v/>
      </c>
      <c r="L844" s="63">
        <f>IF(tblMovement[[#This Row],[Destination]]="","",IFERROR(INDEX(tblDestinations[Type],MATCH(tblMovement[[#This Row],[Destination]],tblDestinations[Destination],0)),"?"))</f>
        <v/>
      </c>
      <c r="M844" s="64">
        <f>IF(tblMovement[[#This Row],[Material]]="","",IF(LEFT(tblMovement[[#This Row],[Material]],3)="Ore",1,0))</f>
        <v/>
      </c>
      <c r="N844" s="59">
        <f>IF(OR(tblMovement[[#This Row],[Tonnes_t]]="",tblMovement[[#This Row],[Grade_gpt]]=""),0,tblMovement[[#This Row],[Tonnes_t]]*tblMovement[[#This Row],[Grade_gpt]]/cfg_TroyOz)</f>
        <v/>
      </c>
      <c r="O844" s="59">
        <f>IF(tblMovement[[#This Row],[Is_Ore]]=1,tblMovement[[#This Row],[Contained_oz]],0)</f>
        <v/>
      </c>
    </row>
    <row r="845">
      <c r="A845" s="54" t="n"/>
      <c r="B845" s="61" t="n"/>
      <c r="C845" s="61" t="n"/>
      <c r="D845" s="61" t="n"/>
      <c r="E845" s="61" t="n"/>
      <c r="F845" s="55" t="n"/>
      <c r="G845" s="56" t="n"/>
      <c r="H845" s="55" t="n"/>
      <c r="I845" s="62" t="n"/>
      <c r="J845" s="58" t="n"/>
      <c r="K845" s="63">
        <f>IF(tblMovement[[#This Row],[Source]]="","",IFERROR(INDEX(tblSources[Type],MATCH(tblMovement[[#This Row],[Source]],tblSources[Source],0)),"?"))</f>
        <v/>
      </c>
      <c r="L845" s="63">
        <f>IF(tblMovement[[#This Row],[Destination]]="","",IFERROR(INDEX(tblDestinations[Type],MATCH(tblMovement[[#This Row],[Destination]],tblDestinations[Destination],0)),"?"))</f>
        <v/>
      </c>
      <c r="M845" s="64">
        <f>IF(tblMovement[[#This Row],[Material]]="","",IF(LEFT(tblMovement[[#This Row],[Material]],3)="Ore",1,0))</f>
        <v/>
      </c>
      <c r="N845" s="59">
        <f>IF(OR(tblMovement[[#This Row],[Tonnes_t]]="",tblMovement[[#This Row],[Grade_gpt]]=""),0,tblMovement[[#This Row],[Tonnes_t]]*tblMovement[[#This Row],[Grade_gpt]]/cfg_TroyOz)</f>
        <v/>
      </c>
      <c r="O845" s="59">
        <f>IF(tblMovement[[#This Row],[Is_Ore]]=1,tblMovement[[#This Row],[Contained_oz]],0)</f>
        <v/>
      </c>
    </row>
    <row r="846">
      <c r="A846" s="54" t="n"/>
      <c r="B846" s="61" t="n"/>
      <c r="C846" s="61" t="n"/>
      <c r="D846" s="61" t="n"/>
      <c r="E846" s="61" t="n"/>
      <c r="F846" s="55" t="n"/>
      <c r="G846" s="56" t="n"/>
      <c r="H846" s="55" t="n"/>
      <c r="I846" s="62" t="n"/>
      <c r="J846" s="58" t="n"/>
      <c r="K846" s="63">
        <f>IF(tblMovement[[#This Row],[Source]]="","",IFERROR(INDEX(tblSources[Type],MATCH(tblMovement[[#This Row],[Source]],tblSources[Source],0)),"?"))</f>
        <v/>
      </c>
      <c r="L846" s="63">
        <f>IF(tblMovement[[#This Row],[Destination]]="","",IFERROR(INDEX(tblDestinations[Type],MATCH(tblMovement[[#This Row],[Destination]],tblDestinations[Destination],0)),"?"))</f>
        <v/>
      </c>
      <c r="M846" s="64">
        <f>IF(tblMovement[[#This Row],[Material]]="","",IF(LEFT(tblMovement[[#This Row],[Material]],3)="Ore",1,0))</f>
        <v/>
      </c>
      <c r="N846" s="59">
        <f>IF(OR(tblMovement[[#This Row],[Tonnes_t]]="",tblMovement[[#This Row],[Grade_gpt]]=""),0,tblMovement[[#This Row],[Tonnes_t]]*tblMovement[[#This Row],[Grade_gpt]]/cfg_TroyOz)</f>
        <v/>
      </c>
      <c r="O846" s="59">
        <f>IF(tblMovement[[#This Row],[Is_Ore]]=1,tblMovement[[#This Row],[Contained_oz]],0)</f>
        <v/>
      </c>
    </row>
    <row r="847">
      <c r="A847" s="54" t="n"/>
      <c r="B847" s="61" t="n"/>
      <c r="C847" s="61" t="n"/>
      <c r="D847" s="61" t="n"/>
      <c r="E847" s="61" t="n"/>
      <c r="F847" s="55" t="n"/>
      <c r="G847" s="56" t="n"/>
      <c r="H847" s="55" t="n"/>
      <c r="I847" s="62" t="n"/>
      <c r="J847" s="58" t="n"/>
      <c r="K847" s="63">
        <f>IF(tblMovement[[#This Row],[Source]]="","",IFERROR(INDEX(tblSources[Type],MATCH(tblMovement[[#This Row],[Source]],tblSources[Source],0)),"?"))</f>
        <v/>
      </c>
      <c r="L847" s="63">
        <f>IF(tblMovement[[#This Row],[Destination]]="","",IFERROR(INDEX(tblDestinations[Type],MATCH(tblMovement[[#This Row],[Destination]],tblDestinations[Destination],0)),"?"))</f>
        <v/>
      </c>
      <c r="M847" s="64">
        <f>IF(tblMovement[[#This Row],[Material]]="","",IF(LEFT(tblMovement[[#This Row],[Material]],3)="Ore",1,0))</f>
        <v/>
      </c>
      <c r="N847" s="59">
        <f>IF(OR(tblMovement[[#This Row],[Tonnes_t]]="",tblMovement[[#This Row],[Grade_gpt]]=""),0,tblMovement[[#This Row],[Tonnes_t]]*tblMovement[[#This Row],[Grade_gpt]]/cfg_TroyOz)</f>
        <v/>
      </c>
      <c r="O847" s="59">
        <f>IF(tblMovement[[#This Row],[Is_Ore]]=1,tblMovement[[#This Row],[Contained_oz]],0)</f>
        <v/>
      </c>
    </row>
    <row r="848">
      <c r="A848" s="54" t="n"/>
      <c r="B848" s="61" t="n"/>
      <c r="C848" s="61" t="n"/>
      <c r="D848" s="61" t="n"/>
      <c r="E848" s="61" t="n"/>
      <c r="F848" s="55" t="n"/>
      <c r="G848" s="56" t="n"/>
      <c r="H848" s="55" t="n"/>
      <c r="I848" s="62" t="n"/>
      <c r="J848" s="58" t="n"/>
      <c r="K848" s="63">
        <f>IF(tblMovement[[#This Row],[Source]]="","",IFERROR(INDEX(tblSources[Type],MATCH(tblMovement[[#This Row],[Source]],tblSources[Source],0)),"?"))</f>
        <v/>
      </c>
      <c r="L848" s="63">
        <f>IF(tblMovement[[#This Row],[Destination]]="","",IFERROR(INDEX(tblDestinations[Type],MATCH(tblMovement[[#This Row],[Destination]],tblDestinations[Destination],0)),"?"))</f>
        <v/>
      </c>
      <c r="M848" s="64">
        <f>IF(tblMovement[[#This Row],[Material]]="","",IF(LEFT(tblMovement[[#This Row],[Material]],3)="Ore",1,0))</f>
        <v/>
      </c>
      <c r="N848" s="59">
        <f>IF(OR(tblMovement[[#This Row],[Tonnes_t]]="",tblMovement[[#This Row],[Grade_gpt]]=""),0,tblMovement[[#This Row],[Tonnes_t]]*tblMovement[[#This Row],[Grade_gpt]]/cfg_TroyOz)</f>
        <v/>
      </c>
      <c r="O848" s="59">
        <f>IF(tblMovement[[#This Row],[Is_Ore]]=1,tblMovement[[#This Row],[Contained_oz]],0)</f>
        <v/>
      </c>
    </row>
    <row r="849">
      <c r="A849" s="54" t="n"/>
      <c r="B849" s="61" t="n"/>
      <c r="C849" s="61" t="n"/>
      <c r="D849" s="61" t="n"/>
      <c r="E849" s="61" t="n"/>
      <c r="F849" s="55" t="n"/>
      <c r="G849" s="56" t="n"/>
      <c r="H849" s="55" t="n"/>
      <c r="I849" s="62" t="n"/>
      <c r="J849" s="58" t="n"/>
      <c r="K849" s="63">
        <f>IF(tblMovement[[#This Row],[Source]]="","",IFERROR(INDEX(tblSources[Type],MATCH(tblMovement[[#This Row],[Source]],tblSources[Source],0)),"?"))</f>
        <v/>
      </c>
      <c r="L849" s="63">
        <f>IF(tblMovement[[#This Row],[Destination]]="","",IFERROR(INDEX(tblDestinations[Type],MATCH(tblMovement[[#This Row],[Destination]],tblDestinations[Destination],0)),"?"))</f>
        <v/>
      </c>
      <c r="M849" s="64">
        <f>IF(tblMovement[[#This Row],[Material]]="","",IF(LEFT(tblMovement[[#This Row],[Material]],3)="Ore",1,0))</f>
        <v/>
      </c>
      <c r="N849" s="59">
        <f>IF(OR(tblMovement[[#This Row],[Tonnes_t]]="",tblMovement[[#This Row],[Grade_gpt]]=""),0,tblMovement[[#This Row],[Tonnes_t]]*tblMovement[[#This Row],[Grade_gpt]]/cfg_TroyOz)</f>
        <v/>
      </c>
      <c r="O849" s="59">
        <f>IF(tblMovement[[#This Row],[Is_Ore]]=1,tblMovement[[#This Row],[Contained_oz]],0)</f>
        <v/>
      </c>
    </row>
    <row r="850">
      <c r="A850" s="54" t="n"/>
      <c r="B850" s="61" t="n"/>
      <c r="C850" s="61" t="n"/>
      <c r="D850" s="61" t="n"/>
      <c r="E850" s="61" t="n"/>
      <c r="F850" s="55" t="n"/>
      <c r="G850" s="56" t="n"/>
      <c r="H850" s="55" t="n"/>
      <c r="I850" s="62" t="n"/>
      <c r="J850" s="58" t="n"/>
      <c r="K850" s="63">
        <f>IF(tblMovement[[#This Row],[Source]]="","",IFERROR(INDEX(tblSources[Type],MATCH(tblMovement[[#This Row],[Source]],tblSources[Source],0)),"?"))</f>
        <v/>
      </c>
      <c r="L850" s="63">
        <f>IF(tblMovement[[#This Row],[Destination]]="","",IFERROR(INDEX(tblDestinations[Type],MATCH(tblMovement[[#This Row],[Destination]],tblDestinations[Destination],0)),"?"))</f>
        <v/>
      </c>
      <c r="M850" s="64">
        <f>IF(tblMovement[[#This Row],[Material]]="","",IF(LEFT(tblMovement[[#This Row],[Material]],3)="Ore",1,0))</f>
        <v/>
      </c>
      <c r="N850" s="59">
        <f>IF(OR(tblMovement[[#This Row],[Tonnes_t]]="",tblMovement[[#This Row],[Grade_gpt]]=""),0,tblMovement[[#This Row],[Tonnes_t]]*tblMovement[[#This Row],[Grade_gpt]]/cfg_TroyOz)</f>
        <v/>
      </c>
      <c r="O850" s="59">
        <f>IF(tblMovement[[#This Row],[Is_Ore]]=1,tblMovement[[#This Row],[Contained_oz]],0)</f>
        <v/>
      </c>
    </row>
    <row r="851">
      <c r="A851" s="54" t="n"/>
      <c r="B851" s="61" t="n"/>
      <c r="C851" s="61" t="n"/>
      <c r="D851" s="61" t="n"/>
      <c r="E851" s="61" t="n"/>
      <c r="F851" s="55" t="n"/>
      <c r="G851" s="56" t="n"/>
      <c r="H851" s="55" t="n"/>
      <c r="I851" s="62" t="n"/>
      <c r="J851" s="58" t="n"/>
      <c r="K851" s="63">
        <f>IF(tblMovement[[#This Row],[Source]]="","",IFERROR(INDEX(tblSources[Type],MATCH(tblMovement[[#This Row],[Source]],tblSources[Source],0)),"?"))</f>
        <v/>
      </c>
      <c r="L851" s="63">
        <f>IF(tblMovement[[#This Row],[Destination]]="","",IFERROR(INDEX(tblDestinations[Type],MATCH(tblMovement[[#This Row],[Destination]],tblDestinations[Destination],0)),"?"))</f>
        <v/>
      </c>
      <c r="M851" s="64">
        <f>IF(tblMovement[[#This Row],[Material]]="","",IF(LEFT(tblMovement[[#This Row],[Material]],3)="Ore",1,0))</f>
        <v/>
      </c>
      <c r="N851" s="59">
        <f>IF(OR(tblMovement[[#This Row],[Tonnes_t]]="",tblMovement[[#This Row],[Grade_gpt]]=""),0,tblMovement[[#This Row],[Tonnes_t]]*tblMovement[[#This Row],[Grade_gpt]]/cfg_TroyOz)</f>
        <v/>
      </c>
      <c r="O851" s="59">
        <f>IF(tblMovement[[#This Row],[Is_Ore]]=1,tblMovement[[#This Row],[Contained_oz]],0)</f>
        <v/>
      </c>
    </row>
    <row r="852">
      <c r="A852" s="54" t="n"/>
      <c r="B852" s="61" t="n"/>
      <c r="C852" s="61" t="n"/>
      <c r="D852" s="61" t="n"/>
      <c r="E852" s="61" t="n"/>
      <c r="F852" s="55" t="n"/>
      <c r="G852" s="56" t="n"/>
      <c r="H852" s="55" t="n"/>
      <c r="I852" s="62" t="n"/>
      <c r="J852" s="58" t="n"/>
      <c r="K852" s="63">
        <f>IF(tblMovement[[#This Row],[Source]]="","",IFERROR(INDEX(tblSources[Type],MATCH(tblMovement[[#This Row],[Source]],tblSources[Source],0)),"?"))</f>
        <v/>
      </c>
      <c r="L852" s="63">
        <f>IF(tblMovement[[#This Row],[Destination]]="","",IFERROR(INDEX(tblDestinations[Type],MATCH(tblMovement[[#This Row],[Destination]],tblDestinations[Destination],0)),"?"))</f>
        <v/>
      </c>
      <c r="M852" s="64">
        <f>IF(tblMovement[[#This Row],[Material]]="","",IF(LEFT(tblMovement[[#This Row],[Material]],3)="Ore",1,0))</f>
        <v/>
      </c>
      <c r="N852" s="59">
        <f>IF(OR(tblMovement[[#This Row],[Tonnes_t]]="",tblMovement[[#This Row],[Grade_gpt]]=""),0,tblMovement[[#This Row],[Tonnes_t]]*tblMovement[[#This Row],[Grade_gpt]]/cfg_TroyOz)</f>
        <v/>
      </c>
      <c r="O852" s="59">
        <f>IF(tblMovement[[#This Row],[Is_Ore]]=1,tblMovement[[#This Row],[Contained_oz]],0)</f>
        <v/>
      </c>
    </row>
    <row r="853">
      <c r="A853" s="54" t="n"/>
      <c r="B853" s="61" t="n"/>
      <c r="C853" s="61" t="n"/>
      <c r="D853" s="61" t="n"/>
      <c r="E853" s="61" t="n"/>
      <c r="F853" s="55" t="n"/>
      <c r="G853" s="56" t="n"/>
      <c r="H853" s="55" t="n"/>
      <c r="I853" s="62" t="n"/>
      <c r="J853" s="58" t="n"/>
      <c r="K853" s="63">
        <f>IF(tblMovement[[#This Row],[Source]]="","",IFERROR(INDEX(tblSources[Type],MATCH(tblMovement[[#This Row],[Source]],tblSources[Source],0)),"?"))</f>
        <v/>
      </c>
      <c r="L853" s="63">
        <f>IF(tblMovement[[#This Row],[Destination]]="","",IFERROR(INDEX(tblDestinations[Type],MATCH(tblMovement[[#This Row],[Destination]],tblDestinations[Destination],0)),"?"))</f>
        <v/>
      </c>
      <c r="M853" s="64">
        <f>IF(tblMovement[[#This Row],[Material]]="","",IF(LEFT(tblMovement[[#This Row],[Material]],3)="Ore",1,0))</f>
        <v/>
      </c>
      <c r="N853" s="59">
        <f>IF(OR(tblMovement[[#This Row],[Tonnes_t]]="",tblMovement[[#This Row],[Grade_gpt]]=""),0,tblMovement[[#This Row],[Tonnes_t]]*tblMovement[[#This Row],[Grade_gpt]]/cfg_TroyOz)</f>
        <v/>
      </c>
      <c r="O853" s="59">
        <f>IF(tblMovement[[#This Row],[Is_Ore]]=1,tblMovement[[#This Row],[Contained_oz]],0)</f>
        <v/>
      </c>
    </row>
    <row r="854">
      <c r="A854" s="54" t="n"/>
      <c r="B854" s="61" t="n"/>
      <c r="C854" s="61" t="n"/>
      <c r="D854" s="61" t="n"/>
      <c r="E854" s="61" t="n"/>
      <c r="F854" s="55" t="n"/>
      <c r="G854" s="56" t="n"/>
      <c r="H854" s="55" t="n"/>
      <c r="I854" s="62" t="n"/>
      <c r="J854" s="58" t="n"/>
      <c r="K854" s="63">
        <f>IF(tblMovement[[#This Row],[Source]]="","",IFERROR(INDEX(tblSources[Type],MATCH(tblMovement[[#This Row],[Source]],tblSources[Source],0)),"?"))</f>
        <v/>
      </c>
      <c r="L854" s="63">
        <f>IF(tblMovement[[#This Row],[Destination]]="","",IFERROR(INDEX(tblDestinations[Type],MATCH(tblMovement[[#This Row],[Destination]],tblDestinations[Destination],0)),"?"))</f>
        <v/>
      </c>
      <c r="M854" s="64">
        <f>IF(tblMovement[[#This Row],[Material]]="","",IF(LEFT(tblMovement[[#This Row],[Material]],3)="Ore",1,0))</f>
        <v/>
      </c>
      <c r="N854" s="59">
        <f>IF(OR(tblMovement[[#This Row],[Tonnes_t]]="",tblMovement[[#This Row],[Grade_gpt]]=""),0,tblMovement[[#This Row],[Tonnes_t]]*tblMovement[[#This Row],[Grade_gpt]]/cfg_TroyOz)</f>
        <v/>
      </c>
      <c r="O854" s="59">
        <f>IF(tblMovement[[#This Row],[Is_Ore]]=1,tblMovement[[#This Row],[Contained_oz]],0)</f>
        <v/>
      </c>
    </row>
    <row r="855">
      <c r="A855" s="54" t="n"/>
      <c r="B855" s="61" t="n"/>
      <c r="C855" s="61" t="n"/>
      <c r="D855" s="61" t="n"/>
      <c r="E855" s="61" t="n"/>
      <c r="F855" s="55" t="n"/>
      <c r="G855" s="56" t="n"/>
      <c r="H855" s="55" t="n"/>
      <c r="I855" s="62" t="n"/>
      <c r="J855" s="58" t="n"/>
      <c r="K855" s="63">
        <f>IF(tblMovement[[#This Row],[Source]]="","",IFERROR(INDEX(tblSources[Type],MATCH(tblMovement[[#This Row],[Source]],tblSources[Source],0)),"?"))</f>
        <v/>
      </c>
      <c r="L855" s="63">
        <f>IF(tblMovement[[#This Row],[Destination]]="","",IFERROR(INDEX(tblDestinations[Type],MATCH(tblMovement[[#This Row],[Destination]],tblDestinations[Destination],0)),"?"))</f>
        <v/>
      </c>
      <c r="M855" s="64">
        <f>IF(tblMovement[[#This Row],[Material]]="","",IF(LEFT(tblMovement[[#This Row],[Material]],3)="Ore",1,0))</f>
        <v/>
      </c>
      <c r="N855" s="59">
        <f>IF(OR(tblMovement[[#This Row],[Tonnes_t]]="",tblMovement[[#This Row],[Grade_gpt]]=""),0,tblMovement[[#This Row],[Tonnes_t]]*tblMovement[[#This Row],[Grade_gpt]]/cfg_TroyOz)</f>
        <v/>
      </c>
      <c r="O855" s="59">
        <f>IF(tblMovement[[#This Row],[Is_Ore]]=1,tblMovement[[#This Row],[Contained_oz]],0)</f>
        <v/>
      </c>
    </row>
    <row r="856">
      <c r="A856" s="54" t="n"/>
      <c r="B856" s="61" t="n"/>
      <c r="C856" s="61" t="n"/>
      <c r="D856" s="61" t="n"/>
      <c r="E856" s="61" t="n"/>
      <c r="F856" s="55" t="n"/>
      <c r="G856" s="56" t="n"/>
      <c r="H856" s="55" t="n"/>
      <c r="I856" s="62" t="n"/>
      <c r="J856" s="58" t="n"/>
      <c r="K856" s="63">
        <f>IF(tblMovement[[#This Row],[Source]]="","",IFERROR(INDEX(tblSources[Type],MATCH(tblMovement[[#This Row],[Source]],tblSources[Source],0)),"?"))</f>
        <v/>
      </c>
      <c r="L856" s="63">
        <f>IF(tblMovement[[#This Row],[Destination]]="","",IFERROR(INDEX(tblDestinations[Type],MATCH(tblMovement[[#This Row],[Destination]],tblDestinations[Destination],0)),"?"))</f>
        <v/>
      </c>
      <c r="M856" s="64">
        <f>IF(tblMovement[[#This Row],[Material]]="","",IF(LEFT(tblMovement[[#This Row],[Material]],3)="Ore",1,0))</f>
        <v/>
      </c>
      <c r="N856" s="59">
        <f>IF(OR(tblMovement[[#This Row],[Tonnes_t]]="",tblMovement[[#This Row],[Grade_gpt]]=""),0,tblMovement[[#This Row],[Tonnes_t]]*tblMovement[[#This Row],[Grade_gpt]]/cfg_TroyOz)</f>
        <v/>
      </c>
      <c r="O856" s="59">
        <f>IF(tblMovement[[#This Row],[Is_Ore]]=1,tblMovement[[#This Row],[Contained_oz]],0)</f>
        <v/>
      </c>
    </row>
    <row r="857">
      <c r="A857" s="54" t="n"/>
      <c r="B857" s="61" t="n"/>
      <c r="C857" s="61" t="n"/>
      <c r="D857" s="61" t="n"/>
      <c r="E857" s="61" t="n"/>
      <c r="F857" s="55" t="n"/>
      <c r="G857" s="56" t="n"/>
      <c r="H857" s="55" t="n"/>
      <c r="I857" s="62" t="n"/>
      <c r="J857" s="58" t="n"/>
      <c r="K857" s="63">
        <f>IF(tblMovement[[#This Row],[Source]]="","",IFERROR(INDEX(tblSources[Type],MATCH(tblMovement[[#This Row],[Source]],tblSources[Source],0)),"?"))</f>
        <v/>
      </c>
      <c r="L857" s="63">
        <f>IF(tblMovement[[#This Row],[Destination]]="","",IFERROR(INDEX(tblDestinations[Type],MATCH(tblMovement[[#This Row],[Destination]],tblDestinations[Destination],0)),"?"))</f>
        <v/>
      </c>
      <c r="M857" s="64">
        <f>IF(tblMovement[[#This Row],[Material]]="","",IF(LEFT(tblMovement[[#This Row],[Material]],3)="Ore",1,0))</f>
        <v/>
      </c>
      <c r="N857" s="59">
        <f>IF(OR(tblMovement[[#This Row],[Tonnes_t]]="",tblMovement[[#This Row],[Grade_gpt]]=""),0,tblMovement[[#This Row],[Tonnes_t]]*tblMovement[[#This Row],[Grade_gpt]]/cfg_TroyOz)</f>
        <v/>
      </c>
      <c r="O857" s="59">
        <f>IF(tblMovement[[#This Row],[Is_Ore]]=1,tblMovement[[#This Row],[Contained_oz]],0)</f>
        <v/>
      </c>
    </row>
    <row r="858">
      <c r="A858" s="54" t="n"/>
      <c r="B858" s="61" t="n"/>
      <c r="C858" s="61" t="n"/>
      <c r="D858" s="61" t="n"/>
      <c r="E858" s="61" t="n"/>
      <c r="F858" s="55" t="n"/>
      <c r="G858" s="56" t="n"/>
      <c r="H858" s="55" t="n"/>
      <c r="I858" s="62" t="n"/>
      <c r="J858" s="58" t="n"/>
      <c r="K858" s="63">
        <f>IF(tblMovement[[#This Row],[Source]]="","",IFERROR(INDEX(tblSources[Type],MATCH(tblMovement[[#This Row],[Source]],tblSources[Source],0)),"?"))</f>
        <v/>
      </c>
      <c r="L858" s="63">
        <f>IF(tblMovement[[#This Row],[Destination]]="","",IFERROR(INDEX(tblDestinations[Type],MATCH(tblMovement[[#This Row],[Destination]],tblDestinations[Destination],0)),"?"))</f>
        <v/>
      </c>
      <c r="M858" s="64">
        <f>IF(tblMovement[[#This Row],[Material]]="","",IF(LEFT(tblMovement[[#This Row],[Material]],3)="Ore",1,0))</f>
        <v/>
      </c>
      <c r="N858" s="59">
        <f>IF(OR(tblMovement[[#This Row],[Tonnes_t]]="",tblMovement[[#This Row],[Grade_gpt]]=""),0,tblMovement[[#This Row],[Tonnes_t]]*tblMovement[[#This Row],[Grade_gpt]]/cfg_TroyOz)</f>
        <v/>
      </c>
      <c r="O858" s="59">
        <f>IF(tblMovement[[#This Row],[Is_Ore]]=1,tblMovement[[#This Row],[Contained_oz]],0)</f>
        <v/>
      </c>
    </row>
    <row r="859">
      <c r="A859" s="54" t="n"/>
      <c r="B859" s="61" t="n"/>
      <c r="C859" s="61" t="n"/>
      <c r="D859" s="61" t="n"/>
      <c r="E859" s="61" t="n"/>
      <c r="F859" s="55" t="n"/>
      <c r="G859" s="56" t="n"/>
      <c r="H859" s="55" t="n"/>
      <c r="I859" s="62" t="n"/>
      <c r="J859" s="58" t="n"/>
      <c r="K859" s="63">
        <f>IF(tblMovement[[#This Row],[Source]]="","",IFERROR(INDEX(tblSources[Type],MATCH(tblMovement[[#This Row],[Source]],tblSources[Source],0)),"?"))</f>
        <v/>
      </c>
      <c r="L859" s="63">
        <f>IF(tblMovement[[#This Row],[Destination]]="","",IFERROR(INDEX(tblDestinations[Type],MATCH(tblMovement[[#This Row],[Destination]],tblDestinations[Destination],0)),"?"))</f>
        <v/>
      </c>
      <c r="M859" s="64">
        <f>IF(tblMovement[[#This Row],[Material]]="","",IF(LEFT(tblMovement[[#This Row],[Material]],3)="Ore",1,0))</f>
        <v/>
      </c>
      <c r="N859" s="59">
        <f>IF(OR(tblMovement[[#This Row],[Tonnes_t]]="",tblMovement[[#This Row],[Grade_gpt]]=""),0,tblMovement[[#This Row],[Tonnes_t]]*tblMovement[[#This Row],[Grade_gpt]]/cfg_TroyOz)</f>
        <v/>
      </c>
      <c r="O859" s="59">
        <f>IF(tblMovement[[#This Row],[Is_Ore]]=1,tblMovement[[#This Row],[Contained_oz]],0)</f>
        <v/>
      </c>
    </row>
    <row r="860">
      <c r="A860" s="54" t="n"/>
      <c r="B860" s="61" t="n"/>
      <c r="C860" s="61" t="n"/>
      <c r="D860" s="61" t="n"/>
      <c r="E860" s="61" t="n"/>
      <c r="F860" s="55" t="n"/>
      <c r="G860" s="56" t="n"/>
      <c r="H860" s="55" t="n"/>
      <c r="I860" s="62" t="n"/>
      <c r="J860" s="58" t="n"/>
      <c r="K860" s="63">
        <f>IF(tblMovement[[#This Row],[Source]]="","",IFERROR(INDEX(tblSources[Type],MATCH(tblMovement[[#This Row],[Source]],tblSources[Source],0)),"?"))</f>
        <v/>
      </c>
      <c r="L860" s="63">
        <f>IF(tblMovement[[#This Row],[Destination]]="","",IFERROR(INDEX(tblDestinations[Type],MATCH(tblMovement[[#This Row],[Destination]],tblDestinations[Destination],0)),"?"))</f>
        <v/>
      </c>
      <c r="M860" s="64">
        <f>IF(tblMovement[[#This Row],[Material]]="","",IF(LEFT(tblMovement[[#This Row],[Material]],3)="Ore",1,0))</f>
        <v/>
      </c>
      <c r="N860" s="59">
        <f>IF(OR(tblMovement[[#This Row],[Tonnes_t]]="",tblMovement[[#This Row],[Grade_gpt]]=""),0,tblMovement[[#This Row],[Tonnes_t]]*tblMovement[[#This Row],[Grade_gpt]]/cfg_TroyOz)</f>
        <v/>
      </c>
      <c r="O860" s="59">
        <f>IF(tblMovement[[#This Row],[Is_Ore]]=1,tblMovement[[#This Row],[Contained_oz]],0)</f>
        <v/>
      </c>
    </row>
    <row r="861">
      <c r="A861" s="54" t="n"/>
      <c r="B861" s="61" t="n"/>
      <c r="C861" s="61" t="n"/>
      <c r="D861" s="61" t="n"/>
      <c r="E861" s="61" t="n"/>
      <c r="F861" s="55" t="n"/>
      <c r="G861" s="56" t="n"/>
      <c r="H861" s="55" t="n"/>
      <c r="I861" s="62" t="n"/>
      <c r="J861" s="58" t="n"/>
      <c r="K861" s="63">
        <f>IF(tblMovement[[#This Row],[Source]]="","",IFERROR(INDEX(tblSources[Type],MATCH(tblMovement[[#This Row],[Source]],tblSources[Source],0)),"?"))</f>
        <v/>
      </c>
      <c r="L861" s="63">
        <f>IF(tblMovement[[#This Row],[Destination]]="","",IFERROR(INDEX(tblDestinations[Type],MATCH(tblMovement[[#This Row],[Destination]],tblDestinations[Destination],0)),"?"))</f>
        <v/>
      </c>
      <c r="M861" s="64">
        <f>IF(tblMovement[[#This Row],[Material]]="","",IF(LEFT(tblMovement[[#This Row],[Material]],3)="Ore",1,0))</f>
        <v/>
      </c>
      <c r="N861" s="59">
        <f>IF(OR(tblMovement[[#This Row],[Tonnes_t]]="",tblMovement[[#This Row],[Grade_gpt]]=""),0,tblMovement[[#This Row],[Tonnes_t]]*tblMovement[[#This Row],[Grade_gpt]]/cfg_TroyOz)</f>
        <v/>
      </c>
      <c r="O861" s="59">
        <f>IF(tblMovement[[#This Row],[Is_Ore]]=1,tblMovement[[#This Row],[Contained_oz]],0)</f>
        <v/>
      </c>
    </row>
    <row r="862">
      <c r="A862" s="54" t="n"/>
      <c r="B862" s="61" t="n"/>
      <c r="C862" s="61" t="n"/>
      <c r="D862" s="61" t="n"/>
      <c r="E862" s="61" t="n"/>
      <c r="F862" s="55" t="n"/>
      <c r="G862" s="56" t="n"/>
      <c r="H862" s="55" t="n"/>
      <c r="I862" s="62" t="n"/>
      <c r="J862" s="58" t="n"/>
      <c r="K862" s="63">
        <f>IF(tblMovement[[#This Row],[Source]]="","",IFERROR(INDEX(tblSources[Type],MATCH(tblMovement[[#This Row],[Source]],tblSources[Source],0)),"?"))</f>
        <v/>
      </c>
      <c r="L862" s="63">
        <f>IF(tblMovement[[#This Row],[Destination]]="","",IFERROR(INDEX(tblDestinations[Type],MATCH(tblMovement[[#This Row],[Destination]],tblDestinations[Destination],0)),"?"))</f>
        <v/>
      </c>
      <c r="M862" s="64">
        <f>IF(tblMovement[[#This Row],[Material]]="","",IF(LEFT(tblMovement[[#This Row],[Material]],3)="Ore",1,0))</f>
        <v/>
      </c>
      <c r="N862" s="59">
        <f>IF(OR(tblMovement[[#This Row],[Tonnes_t]]="",tblMovement[[#This Row],[Grade_gpt]]=""),0,tblMovement[[#This Row],[Tonnes_t]]*tblMovement[[#This Row],[Grade_gpt]]/cfg_TroyOz)</f>
        <v/>
      </c>
      <c r="O862" s="59">
        <f>IF(tblMovement[[#This Row],[Is_Ore]]=1,tblMovement[[#This Row],[Contained_oz]],0)</f>
        <v/>
      </c>
    </row>
    <row r="863">
      <c r="A863" s="54" t="n"/>
      <c r="B863" s="61" t="n"/>
      <c r="C863" s="61" t="n"/>
      <c r="D863" s="61" t="n"/>
      <c r="E863" s="61" t="n"/>
      <c r="F863" s="55" t="n"/>
      <c r="G863" s="56" t="n"/>
      <c r="H863" s="55" t="n"/>
      <c r="I863" s="62" t="n"/>
      <c r="J863" s="58" t="n"/>
      <c r="K863" s="63">
        <f>IF(tblMovement[[#This Row],[Source]]="","",IFERROR(INDEX(tblSources[Type],MATCH(tblMovement[[#This Row],[Source]],tblSources[Source],0)),"?"))</f>
        <v/>
      </c>
      <c r="L863" s="63">
        <f>IF(tblMovement[[#This Row],[Destination]]="","",IFERROR(INDEX(tblDestinations[Type],MATCH(tblMovement[[#This Row],[Destination]],tblDestinations[Destination],0)),"?"))</f>
        <v/>
      </c>
      <c r="M863" s="64">
        <f>IF(tblMovement[[#This Row],[Material]]="","",IF(LEFT(tblMovement[[#This Row],[Material]],3)="Ore",1,0))</f>
        <v/>
      </c>
      <c r="N863" s="59">
        <f>IF(OR(tblMovement[[#This Row],[Tonnes_t]]="",tblMovement[[#This Row],[Grade_gpt]]=""),0,tblMovement[[#This Row],[Tonnes_t]]*tblMovement[[#This Row],[Grade_gpt]]/cfg_TroyOz)</f>
        <v/>
      </c>
      <c r="O863" s="59">
        <f>IF(tblMovement[[#This Row],[Is_Ore]]=1,tblMovement[[#This Row],[Contained_oz]],0)</f>
        <v/>
      </c>
    </row>
    <row r="864">
      <c r="A864" s="54" t="n"/>
      <c r="B864" s="61" t="n"/>
      <c r="C864" s="61" t="n"/>
      <c r="D864" s="61" t="n"/>
      <c r="E864" s="61" t="n"/>
      <c r="F864" s="55" t="n"/>
      <c r="G864" s="56" t="n"/>
      <c r="H864" s="55" t="n"/>
      <c r="I864" s="62" t="n"/>
      <c r="J864" s="58" t="n"/>
      <c r="K864" s="63">
        <f>IF(tblMovement[[#This Row],[Source]]="","",IFERROR(INDEX(tblSources[Type],MATCH(tblMovement[[#This Row],[Source]],tblSources[Source],0)),"?"))</f>
        <v/>
      </c>
      <c r="L864" s="63">
        <f>IF(tblMovement[[#This Row],[Destination]]="","",IFERROR(INDEX(tblDestinations[Type],MATCH(tblMovement[[#This Row],[Destination]],tblDestinations[Destination],0)),"?"))</f>
        <v/>
      </c>
      <c r="M864" s="64">
        <f>IF(tblMovement[[#This Row],[Material]]="","",IF(LEFT(tblMovement[[#This Row],[Material]],3)="Ore",1,0))</f>
        <v/>
      </c>
      <c r="N864" s="59">
        <f>IF(OR(tblMovement[[#This Row],[Tonnes_t]]="",tblMovement[[#This Row],[Grade_gpt]]=""),0,tblMovement[[#This Row],[Tonnes_t]]*tblMovement[[#This Row],[Grade_gpt]]/cfg_TroyOz)</f>
        <v/>
      </c>
      <c r="O864" s="59">
        <f>IF(tblMovement[[#This Row],[Is_Ore]]=1,tblMovement[[#This Row],[Contained_oz]],0)</f>
        <v/>
      </c>
    </row>
    <row r="865">
      <c r="A865" s="54" t="n"/>
      <c r="B865" s="61" t="n"/>
      <c r="C865" s="61" t="n"/>
      <c r="D865" s="61" t="n"/>
      <c r="E865" s="61" t="n"/>
      <c r="F865" s="55" t="n"/>
      <c r="G865" s="56" t="n"/>
      <c r="H865" s="55" t="n"/>
      <c r="I865" s="62" t="n"/>
      <c r="J865" s="58" t="n"/>
      <c r="K865" s="63">
        <f>IF(tblMovement[[#This Row],[Source]]="","",IFERROR(INDEX(tblSources[Type],MATCH(tblMovement[[#This Row],[Source]],tblSources[Source],0)),"?"))</f>
        <v/>
      </c>
      <c r="L865" s="63">
        <f>IF(tblMovement[[#This Row],[Destination]]="","",IFERROR(INDEX(tblDestinations[Type],MATCH(tblMovement[[#This Row],[Destination]],tblDestinations[Destination],0)),"?"))</f>
        <v/>
      </c>
      <c r="M865" s="64">
        <f>IF(tblMovement[[#This Row],[Material]]="","",IF(LEFT(tblMovement[[#This Row],[Material]],3)="Ore",1,0))</f>
        <v/>
      </c>
      <c r="N865" s="59">
        <f>IF(OR(tblMovement[[#This Row],[Tonnes_t]]="",tblMovement[[#This Row],[Grade_gpt]]=""),0,tblMovement[[#This Row],[Tonnes_t]]*tblMovement[[#This Row],[Grade_gpt]]/cfg_TroyOz)</f>
        <v/>
      </c>
      <c r="O865" s="59">
        <f>IF(tblMovement[[#This Row],[Is_Ore]]=1,tblMovement[[#This Row],[Contained_oz]],0)</f>
        <v/>
      </c>
    </row>
    <row r="866">
      <c r="A866" s="54" t="n"/>
      <c r="B866" s="61" t="n"/>
      <c r="C866" s="61" t="n"/>
      <c r="D866" s="61" t="n"/>
      <c r="E866" s="61" t="n"/>
      <c r="F866" s="55" t="n"/>
      <c r="G866" s="56" t="n"/>
      <c r="H866" s="55" t="n"/>
      <c r="I866" s="62" t="n"/>
      <c r="J866" s="58" t="n"/>
      <c r="K866" s="63">
        <f>IF(tblMovement[[#This Row],[Source]]="","",IFERROR(INDEX(tblSources[Type],MATCH(tblMovement[[#This Row],[Source]],tblSources[Source],0)),"?"))</f>
        <v/>
      </c>
      <c r="L866" s="63">
        <f>IF(tblMovement[[#This Row],[Destination]]="","",IFERROR(INDEX(tblDestinations[Type],MATCH(tblMovement[[#This Row],[Destination]],tblDestinations[Destination],0)),"?"))</f>
        <v/>
      </c>
      <c r="M866" s="64">
        <f>IF(tblMovement[[#This Row],[Material]]="","",IF(LEFT(tblMovement[[#This Row],[Material]],3)="Ore",1,0))</f>
        <v/>
      </c>
      <c r="N866" s="59">
        <f>IF(OR(tblMovement[[#This Row],[Tonnes_t]]="",tblMovement[[#This Row],[Grade_gpt]]=""),0,tblMovement[[#This Row],[Tonnes_t]]*tblMovement[[#This Row],[Grade_gpt]]/cfg_TroyOz)</f>
        <v/>
      </c>
      <c r="O866" s="59">
        <f>IF(tblMovement[[#This Row],[Is_Ore]]=1,tblMovement[[#This Row],[Contained_oz]],0)</f>
        <v/>
      </c>
    </row>
    <row r="867">
      <c r="A867" s="54" t="n"/>
      <c r="B867" s="61" t="n"/>
      <c r="C867" s="61" t="n"/>
      <c r="D867" s="61" t="n"/>
      <c r="E867" s="61" t="n"/>
      <c r="F867" s="55" t="n"/>
      <c r="G867" s="56" t="n"/>
      <c r="H867" s="55" t="n"/>
      <c r="I867" s="62" t="n"/>
      <c r="J867" s="58" t="n"/>
      <c r="K867" s="63">
        <f>IF(tblMovement[[#This Row],[Source]]="","",IFERROR(INDEX(tblSources[Type],MATCH(tblMovement[[#This Row],[Source]],tblSources[Source],0)),"?"))</f>
        <v/>
      </c>
      <c r="L867" s="63">
        <f>IF(tblMovement[[#This Row],[Destination]]="","",IFERROR(INDEX(tblDestinations[Type],MATCH(tblMovement[[#This Row],[Destination]],tblDestinations[Destination],0)),"?"))</f>
        <v/>
      </c>
      <c r="M867" s="64">
        <f>IF(tblMovement[[#This Row],[Material]]="","",IF(LEFT(tblMovement[[#This Row],[Material]],3)="Ore",1,0))</f>
        <v/>
      </c>
      <c r="N867" s="59">
        <f>IF(OR(tblMovement[[#This Row],[Tonnes_t]]="",tblMovement[[#This Row],[Grade_gpt]]=""),0,tblMovement[[#This Row],[Tonnes_t]]*tblMovement[[#This Row],[Grade_gpt]]/cfg_TroyOz)</f>
        <v/>
      </c>
      <c r="O867" s="59">
        <f>IF(tblMovement[[#This Row],[Is_Ore]]=1,tblMovement[[#This Row],[Contained_oz]],0)</f>
        <v/>
      </c>
    </row>
    <row r="868">
      <c r="A868" s="54" t="n"/>
      <c r="B868" s="61" t="n"/>
      <c r="C868" s="61" t="n"/>
      <c r="D868" s="61" t="n"/>
      <c r="E868" s="61" t="n"/>
      <c r="F868" s="55" t="n"/>
      <c r="G868" s="56" t="n"/>
      <c r="H868" s="55" t="n"/>
      <c r="I868" s="62" t="n"/>
      <c r="J868" s="58" t="n"/>
      <c r="K868" s="63">
        <f>IF(tblMovement[[#This Row],[Source]]="","",IFERROR(INDEX(tblSources[Type],MATCH(tblMovement[[#This Row],[Source]],tblSources[Source],0)),"?"))</f>
        <v/>
      </c>
      <c r="L868" s="63">
        <f>IF(tblMovement[[#This Row],[Destination]]="","",IFERROR(INDEX(tblDestinations[Type],MATCH(tblMovement[[#This Row],[Destination]],tblDestinations[Destination],0)),"?"))</f>
        <v/>
      </c>
      <c r="M868" s="64">
        <f>IF(tblMovement[[#This Row],[Material]]="","",IF(LEFT(tblMovement[[#This Row],[Material]],3)="Ore",1,0))</f>
        <v/>
      </c>
      <c r="N868" s="59">
        <f>IF(OR(tblMovement[[#This Row],[Tonnes_t]]="",tblMovement[[#This Row],[Grade_gpt]]=""),0,tblMovement[[#This Row],[Tonnes_t]]*tblMovement[[#This Row],[Grade_gpt]]/cfg_TroyOz)</f>
        <v/>
      </c>
      <c r="O868" s="59">
        <f>IF(tblMovement[[#This Row],[Is_Ore]]=1,tblMovement[[#This Row],[Contained_oz]],0)</f>
        <v/>
      </c>
    </row>
    <row r="869">
      <c r="A869" s="54" t="n"/>
      <c r="B869" s="61" t="n"/>
      <c r="C869" s="61" t="n"/>
      <c r="D869" s="61" t="n"/>
      <c r="E869" s="61" t="n"/>
      <c r="F869" s="55" t="n"/>
      <c r="G869" s="56" t="n"/>
      <c r="H869" s="55" t="n"/>
      <c r="I869" s="62" t="n"/>
      <c r="J869" s="58" t="n"/>
      <c r="K869" s="63">
        <f>IF(tblMovement[[#This Row],[Source]]="","",IFERROR(INDEX(tblSources[Type],MATCH(tblMovement[[#This Row],[Source]],tblSources[Source],0)),"?"))</f>
        <v/>
      </c>
      <c r="L869" s="63">
        <f>IF(tblMovement[[#This Row],[Destination]]="","",IFERROR(INDEX(tblDestinations[Type],MATCH(tblMovement[[#This Row],[Destination]],tblDestinations[Destination],0)),"?"))</f>
        <v/>
      </c>
      <c r="M869" s="64">
        <f>IF(tblMovement[[#This Row],[Material]]="","",IF(LEFT(tblMovement[[#This Row],[Material]],3)="Ore",1,0))</f>
        <v/>
      </c>
      <c r="N869" s="59">
        <f>IF(OR(tblMovement[[#This Row],[Tonnes_t]]="",tblMovement[[#This Row],[Grade_gpt]]=""),0,tblMovement[[#This Row],[Tonnes_t]]*tblMovement[[#This Row],[Grade_gpt]]/cfg_TroyOz)</f>
        <v/>
      </c>
      <c r="O869" s="59">
        <f>IF(tblMovement[[#This Row],[Is_Ore]]=1,tblMovement[[#This Row],[Contained_oz]],0)</f>
        <v/>
      </c>
    </row>
    <row r="870">
      <c r="A870" s="54" t="n"/>
      <c r="B870" s="61" t="n"/>
      <c r="C870" s="61" t="n"/>
      <c r="D870" s="61" t="n"/>
      <c r="E870" s="61" t="n"/>
      <c r="F870" s="55" t="n"/>
      <c r="G870" s="56" t="n"/>
      <c r="H870" s="55" t="n"/>
      <c r="I870" s="62" t="n"/>
      <c r="J870" s="58" t="n"/>
      <c r="K870" s="63">
        <f>IF(tblMovement[[#This Row],[Source]]="","",IFERROR(INDEX(tblSources[Type],MATCH(tblMovement[[#This Row],[Source]],tblSources[Source],0)),"?"))</f>
        <v/>
      </c>
      <c r="L870" s="63">
        <f>IF(tblMovement[[#This Row],[Destination]]="","",IFERROR(INDEX(tblDestinations[Type],MATCH(tblMovement[[#This Row],[Destination]],tblDestinations[Destination],0)),"?"))</f>
        <v/>
      </c>
      <c r="M870" s="64">
        <f>IF(tblMovement[[#This Row],[Material]]="","",IF(LEFT(tblMovement[[#This Row],[Material]],3)="Ore",1,0))</f>
        <v/>
      </c>
      <c r="N870" s="59">
        <f>IF(OR(tblMovement[[#This Row],[Tonnes_t]]="",tblMovement[[#This Row],[Grade_gpt]]=""),0,tblMovement[[#This Row],[Tonnes_t]]*tblMovement[[#This Row],[Grade_gpt]]/cfg_TroyOz)</f>
        <v/>
      </c>
      <c r="O870" s="59">
        <f>IF(tblMovement[[#This Row],[Is_Ore]]=1,tblMovement[[#This Row],[Contained_oz]],0)</f>
        <v/>
      </c>
    </row>
    <row r="871">
      <c r="A871" s="54" t="n"/>
      <c r="B871" s="61" t="n"/>
      <c r="C871" s="61" t="n"/>
      <c r="D871" s="61" t="n"/>
      <c r="E871" s="61" t="n"/>
      <c r="F871" s="55" t="n"/>
      <c r="G871" s="56" t="n"/>
      <c r="H871" s="55" t="n"/>
      <c r="I871" s="62" t="n"/>
      <c r="J871" s="58" t="n"/>
      <c r="K871" s="63">
        <f>IF(tblMovement[[#This Row],[Source]]="","",IFERROR(INDEX(tblSources[Type],MATCH(tblMovement[[#This Row],[Source]],tblSources[Source],0)),"?"))</f>
        <v/>
      </c>
      <c r="L871" s="63">
        <f>IF(tblMovement[[#This Row],[Destination]]="","",IFERROR(INDEX(tblDestinations[Type],MATCH(tblMovement[[#This Row],[Destination]],tblDestinations[Destination],0)),"?"))</f>
        <v/>
      </c>
      <c r="M871" s="64">
        <f>IF(tblMovement[[#This Row],[Material]]="","",IF(LEFT(tblMovement[[#This Row],[Material]],3)="Ore",1,0))</f>
        <v/>
      </c>
      <c r="N871" s="59">
        <f>IF(OR(tblMovement[[#This Row],[Tonnes_t]]="",tblMovement[[#This Row],[Grade_gpt]]=""),0,tblMovement[[#This Row],[Tonnes_t]]*tblMovement[[#This Row],[Grade_gpt]]/cfg_TroyOz)</f>
        <v/>
      </c>
      <c r="O871" s="59">
        <f>IF(tblMovement[[#This Row],[Is_Ore]]=1,tblMovement[[#This Row],[Contained_oz]],0)</f>
        <v/>
      </c>
    </row>
    <row r="872">
      <c r="A872" s="54" t="n"/>
      <c r="B872" s="61" t="n"/>
      <c r="C872" s="61" t="n"/>
      <c r="D872" s="61" t="n"/>
      <c r="E872" s="61" t="n"/>
      <c r="F872" s="55" t="n"/>
      <c r="G872" s="56" t="n"/>
      <c r="H872" s="55" t="n"/>
      <c r="I872" s="62" t="n"/>
      <c r="J872" s="58" t="n"/>
      <c r="K872" s="63">
        <f>IF(tblMovement[[#This Row],[Source]]="","",IFERROR(INDEX(tblSources[Type],MATCH(tblMovement[[#This Row],[Source]],tblSources[Source],0)),"?"))</f>
        <v/>
      </c>
      <c r="L872" s="63">
        <f>IF(tblMovement[[#This Row],[Destination]]="","",IFERROR(INDEX(tblDestinations[Type],MATCH(tblMovement[[#This Row],[Destination]],tblDestinations[Destination],0)),"?"))</f>
        <v/>
      </c>
      <c r="M872" s="64">
        <f>IF(tblMovement[[#This Row],[Material]]="","",IF(LEFT(tblMovement[[#This Row],[Material]],3)="Ore",1,0))</f>
        <v/>
      </c>
      <c r="N872" s="59">
        <f>IF(OR(tblMovement[[#This Row],[Tonnes_t]]="",tblMovement[[#This Row],[Grade_gpt]]=""),0,tblMovement[[#This Row],[Tonnes_t]]*tblMovement[[#This Row],[Grade_gpt]]/cfg_TroyOz)</f>
        <v/>
      </c>
      <c r="O872" s="59">
        <f>IF(tblMovement[[#This Row],[Is_Ore]]=1,tblMovement[[#This Row],[Contained_oz]],0)</f>
        <v/>
      </c>
    </row>
    <row r="873">
      <c r="A873" s="54" t="n"/>
      <c r="B873" s="61" t="n"/>
      <c r="C873" s="61" t="n"/>
      <c r="D873" s="61" t="n"/>
      <c r="E873" s="61" t="n"/>
      <c r="F873" s="55" t="n"/>
      <c r="G873" s="56" t="n"/>
      <c r="H873" s="55" t="n"/>
      <c r="I873" s="62" t="n"/>
      <c r="J873" s="58" t="n"/>
      <c r="K873" s="63">
        <f>IF(tblMovement[[#This Row],[Source]]="","",IFERROR(INDEX(tblSources[Type],MATCH(tblMovement[[#This Row],[Source]],tblSources[Source],0)),"?"))</f>
        <v/>
      </c>
      <c r="L873" s="63">
        <f>IF(tblMovement[[#This Row],[Destination]]="","",IFERROR(INDEX(tblDestinations[Type],MATCH(tblMovement[[#This Row],[Destination]],tblDestinations[Destination],0)),"?"))</f>
        <v/>
      </c>
      <c r="M873" s="64">
        <f>IF(tblMovement[[#This Row],[Material]]="","",IF(LEFT(tblMovement[[#This Row],[Material]],3)="Ore",1,0))</f>
        <v/>
      </c>
      <c r="N873" s="59">
        <f>IF(OR(tblMovement[[#This Row],[Tonnes_t]]="",tblMovement[[#This Row],[Grade_gpt]]=""),0,tblMovement[[#This Row],[Tonnes_t]]*tblMovement[[#This Row],[Grade_gpt]]/cfg_TroyOz)</f>
        <v/>
      </c>
      <c r="O873" s="59">
        <f>IF(tblMovement[[#This Row],[Is_Ore]]=1,tblMovement[[#This Row],[Contained_oz]],0)</f>
        <v/>
      </c>
    </row>
    <row r="874">
      <c r="A874" s="54" t="n"/>
      <c r="B874" s="61" t="n"/>
      <c r="C874" s="61" t="n"/>
      <c r="D874" s="61" t="n"/>
      <c r="E874" s="61" t="n"/>
      <c r="F874" s="55" t="n"/>
      <c r="G874" s="56" t="n"/>
      <c r="H874" s="55" t="n"/>
      <c r="I874" s="62" t="n"/>
      <c r="J874" s="58" t="n"/>
      <c r="K874" s="63">
        <f>IF(tblMovement[[#This Row],[Source]]="","",IFERROR(INDEX(tblSources[Type],MATCH(tblMovement[[#This Row],[Source]],tblSources[Source],0)),"?"))</f>
        <v/>
      </c>
      <c r="L874" s="63">
        <f>IF(tblMovement[[#This Row],[Destination]]="","",IFERROR(INDEX(tblDestinations[Type],MATCH(tblMovement[[#This Row],[Destination]],tblDestinations[Destination],0)),"?"))</f>
        <v/>
      </c>
      <c r="M874" s="64">
        <f>IF(tblMovement[[#This Row],[Material]]="","",IF(LEFT(tblMovement[[#This Row],[Material]],3)="Ore",1,0))</f>
        <v/>
      </c>
      <c r="N874" s="59">
        <f>IF(OR(tblMovement[[#This Row],[Tonnes_t]]="",tblMovement[[#This Row],[Grade_gpt]]=""),0,tblMovement[[#This Row],[Tonnes_t]]*tblMovement[[#This Row],[Grade_gpt]]/cfg_TroyOz)</f>
        <v/>
      </c>
      <c r="O874" s="59">
        <f>IF(tblMovement[[#This Row],[Is_Ore]]=1,tblMovement[[#This Row],[Contained_oz]],0)</f>
        <v/>
      </c>
    </row>
    <row r="875">
      <c r="A875" s="54" t="n"/>
      <c r="B875" s="61" t="n"/>
      <c r="C875" s="61" t="n"/>
      <c r="D875" s="61" t="n"/>
      <c r="E875" s="61" t="n"/>
      <c r="F875" s="55" t="n"/>
      <c r="G875" s="56" t="n"/>
      <c r="H875" s="55" t="n"/>
      <c r="I875" s="62" t="n"/>
      <c r="J875" s="58" t="n"/>
      <c r="K875" s="63">
        <f>IF(tblMovement[[#This Row],[Source]]="","",IFERROR(INDEX(tblSources[Type],MATCH(tblMovement[[#This Row],[Source]],tblSources[Source],0)),"?"))</f>
        <v/>
      </c>
      <c r="L875" s="63">
        <f>IF(tblMovement[[#This Row],[Destination]]="","",IFERROR(INDEX(tblDestinations[Type],MATCH(tblMovement[[#This Row],[Destination]],tblDestinations[Destination],0)),"?"))</f>
        <v/>
      </c>
      <c r="M875" s="64">
        <f>IF(tblMovement[[#This Row],[Material]]="","",IF(LEFT(tblMovement[[#This Row],[Material]],3)="Ore",1,0))</f>
        <v/>
      </c>
      <c r="N875" s="59">
        <f>IF(OR(tblMovement[[#This Row],[Tonnes_t]]="",tblMovement[[#This Row],[Grade_gpt]]=""),0,tblMovement[[#This Row],[Tonnes_t]]*tblMovement[[#This Row],[Grade_gpt]]/cfg_TroyOz)</f>
        <v/>
      </c>
      <c r="O875" s="59">
        <f>IF(tblMovement[[#This Row],[Is_Ore]]=1,tblMovement[[#This Row],[Contained_oz]],0)</f>
        <v/>
      </c>
    </row>
    <row r="876">
      <c r="A876" s="54" t="n"/>
      <c r="B876" s="61" t="n"/>
      <c r="C876" s="61" t="n"/>
      <c r="D876" s="61" t="n"/>
      <c r="E876" s="61" t="n"/>
      <c r="F876" s="55" t="n"/>
      <c r="G876" s="56" t="n"/>
      <c r="H876" s="55" t="n"/>
      <c r="I876" s="62" t="n"/>
      <c r="J876" s="58" t="n"/>
      <c r="K876" s="63">
        <f>IF(tblMovement[[#This Row],[Source]]="","",IFERROR(INDEX(tblSources[Type],MATCH(tblMovement[[#This Row],[Source]],tblSources[Source],0)),"?"))</f>
        <v/>
      </c>
      <c r="L876" s="63">
        <f>IF(tblMovement[[#This Row],[Destination]]="","",IFERROR(INDEX(tblDestinations[Type],MATCH(tblMovement[[#This Row],[Destination]],tblDestinations[Destination],0)),"?"))</f>
        <v/>
      </c>
      <c r="M876" s="64">
        <f>IF(tblMovement[[#This Row],[Material]]="","",IF(LEFT(tblMovement[[#This Row],[Material]],3)="Ore",1,0))</f>
        <v/>
      </c>
      <c r="N876" s="59">
        <f>IF(OR(tblMovement[[#This Row],[Tonnes_t]]="",tblMovement[[#This Row],[Grade_gpt]]=""),0,tblMovement[[#This Row],[Tonnes_t]]*tblMovement[[#This Row],[Grade_gpt]]/cfg_TroyOz)</f>
        <v/>
      </c>
      <c r="O876" s="59">
        <f>IF(tblMovement[[#This Row],[Is_Ore]]=1,tblMovement[[#This Row],[Contained_oz]],0)</f>
        <v/>
      </c>
    </row>
    <row r="877">
      <c r="A877" s="54" t="n"/>
      <c r="B877" s="61" t="n"/>
      <c r="C877" s="61" t="n"/>
      <c r="D877" s="61" t="n"/>
      <c r="E877" s="61" t="n"/>
      <c r="F877" s="55" t="n"/>
      <c r="G877" s="56" t="n"/>
      <c r="H877" s="55" t="n"/>
      <c r="I877" s="62" t="n"/>
      <c r="J877" s="58" t="n"/>
      <c r="K877" s="63">
        <f>IF(tblMovement[[#This Row],[Source]]="","",IFERROR(INDEX(tblSources[Type],MATCH(tblMovement[[#This Row],[Source]],tblSources[Source],0)),"?"))</f>
        <v/>
      </c>
      <c r="L877" s="63">
        <f>IF(tblMovement[[#This Row],[Destination]]="","",IFERROR(INDEX(tblDestinations[Type],MATCH(tblMovement[[#This Row],[Destination]],tblDestinations[Destination],0)),"?"))</f>
        <v/>
      </c>
      <c r="M877" s="64">
        <f>IF(tblMovement[[#This Row],[Material]]="","",IF(LEFT(tblMovement[[#This Row],[Material]],3)="Ore",1,0))</f>
        <v/>
      </c>
      <c r="N877" s="59">
        <f>IF(OR(tblMovement[[#This Row],[Tonnes_t]]="",tblMovement[[#This Row],[Grade_gpt]]=""),0,tblMovement[[#This Row],[Tonnes_t]]*tblMovement[[#This Row],[Grade_gpt]]/cfg_TroyOz)</f>
        <v/>
      </c>
      <c r="O877" s="59">
        <f>IF(tblMovement[[#This Row],[Is_Ore]]=1,tblMovement[[#This Row],[Contained_oz]],0)</f>
        <v/>
      </c>
    </row>
    <row r="878">
      <c r="A878" s="54" t="n"/>
      <c r="B878" s="61" t="n"/>
      <c r="C878" s="61" t="n"/>
      <c r="D878" s="61" t="n"/>
      <c r="E878" s="61" t="n"/>
      <c r="F878" s="55" t="n"/>
      <c r="G878" s="56" t="n"/>
      <c r="H878" s="55" t="n"/>
      <c r="I878" s="62" t="n"/>
      <c r="J878" s="58" t="n"/>
      <c r="K878" s="63">
        <f>IF(tblMovement[[#This Row],[Source]]="","",IFERROR(INDEX(tblSources[Type],MATCH(tblMovement[[#This Row],[Source]],tblSources[Source],0)),"?"))</f>
        <v/>
      </c>
      <c r="L878" s="63">
        <f>IF(tblMovement[[#This Row],[Destination]]="","",IFERROR(INDEX(tblDestinations[Type],MATCH(tblMovement[[#This Row],[Destination]],tblDestinations[Destination],0)),"?"))</f>
        <v/>
      </c>
      <c r="M878" s="64">
        <f>IF(tblMovement[[#This Row],[Material]]="","",IF(LEFT(tblMovement[[#This Row],[Material]],3)="Ore",1,0))</f>
        <v/>
      </c>
      <c r="N878" s="59">
        <f>IF(OR(tblMovement[[#This Row],[Tonnes_t]]="",tblMovement[[#This Row],[Grade_gpt]]=""),0,tblMovement[[#This Row],[Tonnes_t]]*tblMovement[[#This Row],[Grade_gpt]]/cfg_TroyOz)</f>
        <v/>
      </c>
      <c r="O878" s="59">
        <f>IF(tblMovement[[#This Row],[Is_Ore]]=1,tblMovement[[#This Row],[Contained_oz]],0)</f>
        <v/>
      </c>
    </row>
    <row r="879">
      <c r="A879" s="54" t="n"/>
      <c r="B879" s="61" t="n"/>
      <c r="C879" s="61" t="n"/>
      <c r="D879" s="61" t="n"/>
      <c r="E879" s="61" t="n"/>
      <c r="F879" s="55" t="n"/>
      <c r="G879" s="56" t="n"/>
      <c r="H879" s="55" t="n"/>
      <c r="I879" s="62" t="n"/>
      <c r="J879" s="58" t="n"/>
      <c r="K879" s="63">
        <f>IF(tblMovement[[#This Row],[Source]]="","",IFERROR(INDEX(tblSources[Type],MATCH(tblMovement[[#This Row],[Source]],tblSources[Source],0)),"?"))</f>
        <v/>
      </c>
      <c r="L879" s="63">
        <f>IF(tblMovement[[#This Row],[Destination]]="","",IFERROR(INDEX(tblDestinations[Type],MATCH(tblMovement[[#This Row],[Destination]],tblDestinations[Destination],0)),"?"))</f>
        <v/>
      </c>
      <c r="M879" s="64">
        <f>IF(tblMovement[[#This Row],[Material]]="","",IF(LEFT(tblMovement[[#This Row],[Material]],3)="Ore",1,0))</f>
        <v/>
      </c>
      <c r="N879" s="59">
        <f>IF(OR(tblMovement[[#This Row],[Tonnes_t]]="",tblMovement[[#This Row],[Grade_gpt]]=""),0,tblMovement[[#This Row],[Tonnes_t]]*tblMovement[[#This Row],[Grade_gpt]]/cfg_TroyOz)</f>
        <v/>
      </c>
      <c r="O879" s="59">
        <f>IF(tblMovement[[#This Row],[Is_Ore]]=1,tblMovement[[#This Row],[Contained_oz]],0)</f>
        <v/>
      </c>
    </row>
    <row r="880">
      <c r="A880" s="54" t="n"/>
      <c r="B880" s="61" t="n"/>
      <c r="C880" s="61" t="n"/>
      <c r="D880" s="61" t="n"/>
      <c r="E880" s="61" t="n"/>
      <c r="F880" s="55" t="n"/>
      <c r="G880" s="56" t="n"/>
      <c r="H880" s="55" t="n"/>
      <c r="I880" s="62" t="n"/>
      <c r="J880" s="58" t="n"/>
      <c r="K880" s="63">
        <f>IF(tblMovement[[#This Row],[Source]]="","",IFERROR(INDEX(tblSources[Type],MATCH(tblMovement[[#This Row],[Source]],tblSources[Source],0)),"?"))</f>
        <v/>
      </c>
      <c r="L880" s="63">
        <f>IF(tblMovement[[#This Row],[Destination]]="","",IFERROR(INDEX(tblDestinations[Type],MATCH(tblMovement[[#This Row],[Destination]],tblDestinations[Destination],0)),"?"))</f>
        <v/>
      </c>
      <c r="M880" s="64">
        <f>IF(tblMovement[[#This Row],[Material]]="","",IF(LEFT(tblMovement[[#This Row],[Material]],3)="Ore",1,0))</f>
        <v/>
      </c>
      <c r="N880" s="59">
        <f>IF(OR(tblMovement[[#This Row],[Tonnes_t]]="",tblMovement[[#This Row],[Grade_gpt]]=""),0,tblMovement[[#This Row],[Tonnes_t]]*tblMovement[[#This Row],[Grade_gpt]]/cfg_TroyOz)</f>
        <v/>
      </c>
      <c r="O880" s="59">
        <f>IF(tblMovement[[#This Row],[Is_Ore]]=1,tblMovement[[#This Row],[Contained_oz]],0)</f>
        <v/>
      </c>
    </row>
    <row r="881">
      <c r="A881" s="54" t="n"/>
      <c r="B881" s="61" t="n"/>
      <c r="C881" s="61" t="n"/>
      <c r="D881" s="61" t="n"/>
      <c r="E881" s="61" t="n"/>
      <c r="F881" s="55" t="n"/>
      <c r="G881" s="56" t="n"/>
      <c r="H881" s="55" t="n"/>
      <c r="I881" s="62" t="n"/>
      <c r="J881" s="58" t="n"/>
      <c r="K881" s="63">
        <f>IF(tblMovement[[#This Row],[Source]]="","",IFERROR(INDEX(tblSources[Type],MATCH(tblMovement[[#This Row],[Source]],tblSources[Source],0)),"?"))</f>
        <v/>
      </c>
      <c r="L881" s="63">
        <f>IF(tblMovement[[#This Row],[Destination]]="","",IFERROR(INDEX(tblDestinations[Type],MATCH(tblMovement[[#This Row],[Destination]],tblDestinations[Destination],0)),"?"))</f>
        <v/>
      </c>
      <c r="M881" s="64">
        <f>IF(tblMovement[[#This Row],[Material]]="","",IF(LEFT(tblMovement[[#This Row],[Material]],3)="Ore",1,0))</f>
        <v/>
      </c>
      <c r="N881" s="59">
        <f>IF(OR(tblMovement[[#This Row],[Tonnes_t]]="",tblMovement[[#This Row],[Grade_gpt]]=""),0,tblMovement[[#This Row],[Tonnes_t]]*tblMovement[[#This Row],[Grade_gpt]]/cfg_TroyOz)</f>
        <v/>
      </c>
      <c r="O881" s="59">
        <f>IF(tblMovement[[#This Row],[Is_Ore]]=1,tblMovement[[#This Row],[Contained_oz]],0)</f>
        <v/>
      </c>
    </row>
    <row r="882">
      <c r="A882" s="54" t="n"/>
      <c r="B882" s="61" t="n"/>
      <c r="C882" s="61" t="n"/>
      <c r="D882" s="61" t="n"/>
      <c r="E882" s="61" t="n"/>
      <c r="F882" s="55" t="n"/>
      <c r="G882" s="56" t="n"/>
      <c r="H882" s="55" t="n"/>
      <c r="I882" s="62" t="n"/>
      <c r="J882" s="58" t="n"/>
      <c r="K882" s="63">
        <f>IF(tblMovement[[#This Row],[Source]]="","",IFERROR(INDEX(tblSources[Type],MATCH(tblMovement[[#This Row],[Source]],tblSources[Source],0)),"?"))</f>
        <v/>
      </c>
      <c r="L882" s="63">
        <f>IF(tblMovement[[#This Row],[Destination]]="","",IFERROR(INDEX(tblDestinations[Type],MATCH(tblMovement[[#This Row],[Destination]],tblDestinations[Destination],0)),"?"))</f>
        <v/>
      </c>
      <c r="M882" s="64">
        <f>IF(tblMovement[[#This Row],[Material]]="","",IF(LEFT(tblMovement[[#This Row],[Material]],3)="Ore",1,0))</f>
        <v/>
      </c>
      <c r="N882" s="59">
        <f>IF(OR(tblMovement[[#This Row],[Tonnes_t]]="",tblMovement[[#This Row],[Grade_gpt]]=""),0,tblMovement[[#This Row],[Tonnes_t]]*tblMovement[[#This Row],[Grade_gpt]]/cfg_TroyOz)</f>
        <v/>
      </c>
      <c r="O882" s="59">
        <f>IF(tblMovement[[#This Row],[Is_Ore]]=1,tblMovement[[#This Row],[Contained_oz]],0)</f>
        <v/>
      </c>
    </row>
    <row r="883">
      <c r="A883" s="54" t="n"/>
      <c r="B883" s="61" t="n"/>
      <c r="C883" s="61" t="n"/>
      <c r="D883" s="61" t="n"/>
      <c r="E883" s="61" t="n"/>
      <c r="F883" s="55" t="n"/>
      <c r="G883" s="56" t="n"/>
      <c r="H883" s="55" t="n"/>
      <c r="I883" s="62" t="n"/>
      <c r="J883" s="58" t="n"/>
      <c r="K883" s="63">
        <f>IF(tblMovement[[#This Row],[Source]]="","",IFERROR(INDEX(tblSources[Type],MATCH(tblMovement[[#This Row],[Source]],tblSources[Source],0)),"?"))</f>
        <v/>
      </c>
      <c r="L883" s="63">
        <f>IF(tblMovement[[#This Row],[Destination]]="","",IFERROR(INDEX(tblDestinations[Type],MATCH(tblMovement[[#This Row],[Destination]],tblDestinations[Destination],0)),"?"))</f>
        <v/>
      </c>
      <c r="M883" s="64">
        <f>IF(tblMovement[[#This Row],[Material]]="","",IF(LEFT(tblMovement[[#This Row],[Material]],3)="Ore",1,0))</f>
        <v/>
      </c>
      <c r="N883" s="59">
        <f>IF(OR(tblMovement[[#This Row],[Tonnes_t]]="",tblMovement[[#This Row],[Grade_gpt]]=""),0,tblMovement[[#This Row],[Tonnes_t]]*tblMovement[[#This Row],[Grade_gpt]]/cfg_TroyOz)</f>
        <v/>
      </c>
      <c r="O883" s="59">
        <f>IF(tblMovement[[#This Row],[Is_Ore]]=1,tblMovement[[#This Row],[Contained_oz]],0)</f>
        <v/>
      </c>
    </row>
    <row r="884">
      <c r="A884" s="54" t="n"/>
      <c r="B884" s="61" t="n"/>
      <c r="C884" s="61" t="n"/>
      <c r="D884" s="61" t="n"/>
      <c r="E884" s="61" t="n"/>
      <c r="F884" s="55" t="n"/>
      <c r="G884" s="56" t="n"/>
      <c r="H884" s="55" t="n"/>
      <c r="I884" s="62" t="n"/>
      <c r="J884" s="58" t="n"/>
      <c r="K884" s="63">
        <f>IF(tblMovement[[#This Row],[Source]]="","",IFERROR(INDEX(tblSources[Type],MATCH(tblMovement[[#This Row],[Source]],tblSources[Source],0)),"?"))</f>
        <v/>
      </c>
      <c r="L884" s="63">
        <f>IF(tblMovement[[#This Row],[Destination]]="","",IFERROR(INDEX(tblDestinations[Type],MATCH(tblMovement[[#This Row],[Destination]],tblDestinations[Destination],0)),"?"))</f>
        <v/>
      </c>
      <c r="M884" s="64">
        <f>IF(tblMovement[[#This Row],[Material]]="","",IF(LEFT(tblMovement[[#This Row],[Material]],3)="Ore",1,0))</f>
        <v/>
      </c>
      <c r="N884" s="59">
        <f>IF(OR(tblMovement[[#This Row],[Tonnes_t]]="",tblMovement[[#This Row],[Grade_gpt]]=""),0,tblMovement[[#This Row],[Tonnes_t]]*tblMovement[[#This Row],[Grade_gpt]]/cfg_TroyOz)</f>
        <v/>
      </c>
      <c r="O884" s="59">
        <f>IF(tblMovement[[#This Row],[Is_Ore]]=1,tblMovement[[#This Row],[Contained_oz]],0)</f>
        <v/>
      </c>
    </row>
    <row r="885">
      <c r="A885" s="54" t="n"/>
      <c r="B885" s="61" t="n"/>
      <c r="C885" s="61" t="n"/>
      <c r="D885" s="61" t="n"/>
      <c r="E885" s="61" t="n"/>
      <c r="F885" s="55" t="n"/>
      <c r="G885" s="56" t="n"/>
      <c r="H885" s="55" t="n"/>
      <c r="I885" s="62" t="n"/>
      <c r="J885" s="58" t="n"/>
      <c r="K885" s="63">
        <f>IF(tblMovement[[#This Row],[Source]]="","",IFERROR(INDEX(tblSources[Type],MATCH(tblMovement[[#This Row],[Source]],tblSources[Source],0)),"?"))</f>
        <v/>
      </c>
      <c r="L885" s="63">
        <f>IF(tblMovement[[#This Row],[Destination]]="","",IFERROR(INDEX(tblDestinations[Type],MATCH(tblMovement[[#This Row],[Destination]],tblDestinations[Destination],0)),"?"))</f>
        <v/>
      </c>
      <c r="M885" s="64">
        <f>IF(tblMovement[[#This Row],[Material]]="","",IF(LEFT(tblMovement[[#This Row],[Material]],3)="Ore",1,0))</f>
        <v/>
      </c>
      <c r="N885" s="59">
        <f>IF(OR(tblMovement[[#This Row],[Tonnes_t]]="",tblMovement[[#This Row],[Grade_gpt]]=""),0,tblMovement[[#This Row],[Tonnes_t]]*tblMovement[[#This Row],[Grade_gpt]]/cfg_TroyOz)</f>
        <v/>
      </c>
      <c r="O885" s="59">
        <f>IF(tblMovement[[#This Row],[Is_Ore]]=1,tblMovement[[#This Row],[Contained_oz]],0)</f>
        <v/>
      </c>
    </row>
    <row r="886">
      <c r="A886" s="54" t="n"/>
      <c r="B886" s="61" t="n"/>
      <c r="C886" s="61" t="n"/>
      <c r="D886" s="61" t="n"/>
      <c r="E886" s="61" t="n"/>
      <c r="F886" s="55" t="n"/>
      <c r="G886" s="56" t="n"/>
      <c r="H886" s="55" t="n"/>
      <c r="I886" s="62" t="n"/>
      <c r="J886" s="58" t="n"/>
      <c r="K886" s="63">
        <f>IF(tblMovement[[#This Row],[Source]]="","",IFERROR(INDEX(tblSources[Type],MATCH(tblMovement[[#This Row],[Source]],tblSources[Source],0)),"?"))</f>
        <v/>
      </c>
      <c r="L886" s="63">
        <f>IF(tblMovement[[#This Row],[Destination]]="","",IFERROR(INDEX(tblDestinations[Type],MATCH(tblMovement[[#This Row],[Destination]],tblDestinations[Destination],0)),"?"))</f>
        <v/>
      </c>
      <c r="M886" s="64">
        <f>IF(tblMovement[[#This Row],[Material]]="","",IF(LEFT(tblMovement[[#This Row],[Material]],3)="Ore",1,0))</f>
        <v/>
      </c>
      <c r="N886" s="59">
        <f>IF(OR(tblMovement[[#This Row],[Tonnes_t]]="",tblMovement[[#This Row],[Grade_gpt]]=""),0,tblMovement[[#This Row],[Tonnes_t]]*tblMovement[[#This Row],[Grade_gpt]]/cfg_TroyOz)</f>
        <v/>
      </c>
      <c r="O886" s="59">
        <f>IF(tblMovement[[#This Row],[Is_Ore]]=1,tblMovement[[#This Row],[Contained_oz]],0)</f>
        <v/>
      </c>
    </row>
    <row r="887">
      <c r="A887" s="54" t="n"/>
      <c r="B887" s="61" t="n"/>
      <c r="C887" s="61" t="n"/>
      <c r="D887" s="61" t="n"/>
      <c r="E887" s="61" t="n"/>
      <c r="F887" s="55" t="n"/>
      <c r="G887" s="56" t="n"/>
      <c r="H887" s="55" t="n"/>
      <c r="I887" s="62" t="n"/>
      <c r="J887" s="58" t="n"/>
      <c r="K887" s="63">
        <f>IF(tblMovement[[#This Row],[Source]]="","",IFERROR(INDEX(tblSources[Type],MATCH(tblMovement[[#This Row],[Source]],tblSources[Source],0)),"?"))</f>
        <v/>
      </c>
      <c r="L887" s="63">
        <f>IF(tblMovement[[#This Row],[Destination]]="","",IFERROR(INDEX(tblDestinations[Type],MATCH(tblMovement[[#This Row],[Destination]],tblDestinations[Destination],0)),"?"))</f>
        <v/>
      </c>
      <c r="M887" s="64">
        <f>IF(tblMovement[[#This Row],[Material]]="","",IF(LEFT(tblMovement[[#This Row],[Material]],3)="Ore",1,0))</f>
        <v/>
      </c>
      <c r="N887" s="59">
        <f>IF(OR(tblMovement[[#This Row],[Tonnes_t]]="",tblMovement[[#This Row],[Grade_gpt]]=""),0,tblMovement[[#This Row],[Tonnes_t]]*tblMovement[[#This Row],[Grade_gpt]]/cfg_TroyOz)</f>
        <v/>
      </c>
      <c r="O887" s="59">
        <f>IF(tblMovement[[#This Row],[Is_Ore]]=1,tblMovement[[#This Row],[Contained_oz]],0)</f>
        <v/>
      </c>
    </row>
    <row r="888">
      <c r="A888" s="54" t="n"/>
      <c r="B888" s="61" t="n"/>
      <c r="C888" s="61" t="n"/>
      <c r="D888" s="61" t="n"/>
      <c r="E888" s="61" t="n"/>
      <c r="F888" s="55" t="n"/>
      <c r="G888" s="56" t="n"/>
      <c r="H888" s="55" t="n"/>
      <c r="I888" s="62" t="n"/>
      <c r="J888" s="58" t="n"/>
      <c r="K888" s="63">
        <f>IF(tblMovement[[#This Row],[Source]]="","",IFERROR(INDEX(tblSources[Type],MATCH(tblMovement[[#This Row],[Source]],tblSources[Source],0)),"?"))</f>
        <v/>
      </c>
      <c r="L888" s="63">
        <f>IF(tblMovement[[#This Row],[Destination]]="","",IFERROR(INDEX(tblDestinations[Type],MATCH(tblMovement[[#This Row],[Destination]],tblDestinations[Destination],0)),"?"))</f>
        <v/>
      </c>
      <c r="M888" s="64">
        <f>IF(tblMovement[[#This Row],[Material]]="","",IF(LEFT(tblMovement[[#This Row],[Material]],3)="Ore",1,0))</f>
        <v/>
      </c>
      <c r="N888" s="59">
        <f>IF(OR(tblMovement[[#This Row],[Tonnes_t]]="",tblMovement[[#This Row],[Grade_gpt]]=""),0,tblMovement[[#This Row],[Tonnes_t]]*tblMovement[[#This Row],[Grade_gpt]]/cfg_TroyOz)</f>
        <v/>
      </c>
      <c r="O888" s="59">
        <f>IF(tblMovement[[#This Row],[Is_Ore]]=1,tblMovement[[#This Row],[Contained_oz]],0)</f>
        <v/>
      </c>
    </row>
    <row r="889">
      <c r="A889" s="54" t="n"/>
      <c r="B889" s="61" t="n"/>
      <c r="C889" s="61" t="n"/>
      <c r="D889" s="61" t="n"/>
      <c r="E889" s="61" t="n"/>
      <c r="F889" s="55" t="n"/>
      <c r="G889" s="56" t="n"/>
      <c r="H889" s="55" t="n"/>
      <c r="I889" s="62" t="n"/>
      <c r="J889" s="58" t="n"/>
      <c r="K889" s="63">
        <f>IF(tblMovement[[#This Row],[Source]]="","",IFERROR(INDEX(tblSources[Type],MATCH(tblMovement[[#This Row],[Source]],tblSources[Source],0)),"?"))</f>
        <v/>
      </c>
      <c r="L889" s="63">
        <f>IF(tblMovement[[#This Row],[Destination]]="","",IFERROR(INDEX(tblDestinations[Type],MATCH(tblMovement[[#This Row],[Destination]],tblDestinations[Destination],0)),"?"))</f>
        <v/>
      </c>
      <c r="M889" s="64">
        <f>IF(tblMovement[[#This Row],[Material]]="","",IF(LEFT(tblMovement[[#This Row],[Material]],3)="Ore",1,0))</f>
        <v/>
      </c>
      <c r="N889" s="59">
        <f>IF(OR(tblMovement[[#This Row],[Tonnes_t]]="",tblMovement[[#This Row],[Grade_gpt]]=""),0,tblMovement[[#This Row],[Tonnes_t]]*tblMovement[[#This Row],[Grade_gpt]]/cfg_TroyOz)</f>
        <v/>
      </c>
      <c r="O889" s="59">
        <f>IF(tblMovement[[#This Row],[Is_Ore]]=1,tblMovement[[#This Row],[Contained_oz]],0)</f>
        <v/>
      </c>
    </row>
    <row r="890">
      <c r="A890" s="54" t="n"/>
      <c r="B890" s="61" t="n"/>
      <c r="C890" s="61" t="n"/>
      <c r="D890" s="61" t="n"/>
      <c r="E890" s="61" t="n"/>
      <c r="F890" s="55" t="n"/>
      <c r="G890" s="56" t="n"/>
      <c r="H890" s="55" t="n"/>
      <c r="I890" s="62" t="n"/>
      <c r="J890" s="58" t="n"/>
      <c r="K890" s="63">
        <f>IF(tblMovement[[#This Row],[Source]]="","",IFERROR(INDEX(tblSources[Type],MATCH(tblMovement[[#This Row],[Source]],tblSources[Source],0)),"?"))</f>
        <v/>
      </c>
      <c r="L890" s="63">
        <f>IF(tblMovement[[#This Row],[Destination]]="","",IFERROR(INDEX(tblDestinations[Type],MATCH(tblMovement[[#This Row],[Destination]],tblDestinations[Destination],0)),"?"))</f>
        <v/>
      </c>
      <c r="M890" s="64">
        <f>IF(tblMovement[[#This Row],[Material]]="","",IF(LEFT(tblMovement[[#This Row],[Material]],3)="Ore",1,0))</f>
        <v/>
      </c>
      <c r="N890" s="59">
        <f>IF(OR(tblMovement[[#This Row],[Tonnes_t]]="",tblMovement[[#This Row],[Grade_gpt]]=""),0,tblMovement[[#This Row],[Tonnes_t]]*tblMovement[[#This Row],[Grade_gpt]]/cfg_TroyOz)</f>
        <v/>
      </c>
      <c r="O890" s="59">
        <f>IF(tblMovement[[#This Row],[Is_Ore]]=1,tblMovement[[#This Row],[Contained_oz]],0)</f>
        <v/>
      </c>
    </row>
    <row r="891">
      <c r="A891" s="54" t="n"/>
      <c r="B891" s="61" t="n"/>
      <c r="C891" s="61" t="n"/>
      <c r="D891" s="61" t="n"/>
      <c r="E891" s="61" t="n"/>
      <c r="F891" s="55" t="n"/>
      <c r="G891" s="56" t="n"/>
      <c r="H891" s="55" t="n"/>
      <c r="I891" s="62" t="n"/>
      <c r="J891" s="58" t="n"/>
      <c r="K891" s="63">
        <f>IF(tblMovement[[#This Row],[Source]]="","",IFERROR(INDEX(tblSources[Type],MATCH(tblMovement[[#This Row],[Source]],tblSources[Source],0)),"?"))</f>
        <v/>
      </c>
      <c r="L891" s="63">
        <f>IF(tblMovement[[#This Row],[Destination]]="","",IFERROR(INDEX(tblDestinations[Type],MATCH(tblMovement[[#This Row],[Destination]],tblDestinations[Destination],0)),"?"))</f>
        <v/>
      </c>
      <c r="M891" s="64">
        <f>IF(tblMovement[[#This Row],[Material]]="","",IF(LEFT(tblMovement[[#This Row],[Material]],3)="Ore",1,0))</f>
        <v/>
      </c>
      <c r="N891" s="59">
        <f>IF(OR(tblMovement[[#This Row],[Tonnes_t]]="",tblMovement[[#This Row],[Grade_gpt]]=""),0,tblMovement[[#This Row],[Tonnes_t]]*tblMovement[[#This Row],[Grade_gpt]]/cfg_TroyOz)</f>
        <v/>
      </c>
      <c r="O891" s="59">
        <f>IF(tblMovement[[#This Row],[Is_Ore]]=1,tblMovement[[#This Row],[Contained_oz]],0)</f>
        <v/>
      </c>
    </row>
    <row r="892">
      <c r="A892" s="54" t="n"/>
      <c r="B892" s="61" t="n"/>
      <c r="C892" s="61" t="n"/>
      <c r="D892" s="61" t="n"/>
      <c r="E892" s="61" t="n"/>
      <c r="F892" s="55" t="n"/>
      <c r="G892" s="56" t="n"/>
      <c r="H892" s="55" t="n"/>
      <c r="I892" s="62" t="n"/>
      <c r="J892" s="58" t="n"/>
      <c r="K892" s="63">
        <f>IF(tblMovement[[#This Row],[Source]]="","",IFERROR(INDEX(tblSources[Type],MATCH(tblMovement[[#This Row],[Source]],tblSources[Source],0)),"?"))</f>
        <v/>
      </c>
      <c r="L892" s="63">
        <f>IF(tblMovement[[#This Row],[Destination]]="","",IFERROR(INDEX(tblDestinations[Type],MATCH(tblMovement[[#This Row],[Destination]],tblDestinations[Destination],0)),"?"))</f>
        <v/>
      </c>
      <c r="M892" s="64">
        <f>IF(tblMovement[[#This Row],[Material]]="","",IF(LEFT(tblMovement[[#This Row],[Material]],3)="Ore",1,0))</f>
        <v/>
      </c>
      <c r="N892" s="59">
        <f>IF(OR(tblMovement[[#This Row],[Tonnes_t]]="",tblMovement[[#This Row],[Grade_gpt]]=""),0,tblMovement[[#This Row],[Tonnes_t]]*tblMovement[[#This Row],[Grade_gpt]]/cfg_TroyOz)</f>
        <v/>
      </c>
      <c r="O892" s="59">
        <f>IF(tblMovement[[#This Row],[Is_Ore]]=1,tblMovement[[#This Row],[Contained_oz]],0)</f>
        <v/>
      </c>
    </row>
    <row r="893">
      <c r="A893" s="54" t="n"/>
      <c r="B893" s="61" t="n"/>
      <c r="C893" s="61" t="n"/>
      <c r="D893" s="61" t="n"/>
      <c r="E893" s="61" t="n"/>
      <c r="F893" s="55" t="n"/>
      <c r="G893" s="56" t="n"/>
      <c r="H893" s="55" t="n"/>
      <c r="I893" s="62" t="n"/>
      <c r="J893" s="58" t="n"/>
      <c r="K893" s="63">
        <f>IF(tblMovement[[#This Row],[Source]]="","",IFERROR(INDEX(tblSources[Type],MATCH(tblMovement[[#This Row],[Source]],tblSources[Source],0)),"?"))</f>
        <v/>
      </c>
      <c r="L893" s="63">
        <f>IF(tblMovement[[#This Row],[Destination]]="","",IFERROR(INDEX(tblDestinations[Type],MATCH(tblMovement[[#This Row],[Destination]],tblDestinations[Destination],0)),"?"))</f>
        <v/>
      </c>
      <c r="M893" s="64">
        <f>IF(tblMovement[[#This Row],[Material]]="","",IF(LEFT(tblMovement[[#This Row],[Material]],3)="Ore",1,0))</f>
        <v/>
      </c>
      <c r="N893" s="59">
        <f>IF(OR(tblMovement[[#This Row],[Tonnes_t]]="",tblMovement[[#This Row],[Grade_gpt]]=""),0,tblMovement[[#This Row],[Tonnes_t]]*tblMovement[[#This Row],[Grade_gpt]]/cfg_TroyOz)</f>
        <v/>
      </c>
      <c r="O893" s="59">
        <f>IF(tblMovement[[#This Row],[Is_Ore]]=1,tblMovement[[#This Row],[Contained_oz]],0)</f>
        <v/>
      </c>
    </row>
    <row r="894">
      <c r="A894" s="54" t="n"/>
      <c r="B894" s="61" t="n"/>
      <c r="C894" s="61" t="n"/>
      <c r="D894" s="61" t="n"/>
      <c r="E894" s="61" t="n"/>
      <c r="F894" s="55" t="n"/>
      <c r="G894" s="56" t="n"/>
      <c r="H894" s="55" t="n"/>
      <c r="I894" s="62" t="n"/>
      <c r="J894" s="58" t="n"/>
      <c r="K894" s="63">
        <f>IF(tblMovement[[#This Row],[Source]]="","",IFERROR(INDEX(tblSources[Type],MATCH(tblMovement[[#This Row],[Source]],tblSources[Source],0)),"?"))</f>
        <v/>
      </c>
      <c r="L894" s="63">
        <f>IF(tblMovement[[#This Row],[Destination]]="","",IFERROR(INDEX(tblDestinations[Type],MATCH(tblMovement[[#This Row],[Destination]],tblDestinations[Destination],0)),"?"))</f>
        <v/>
      </c>
      <c r="M894" s="64">
        <f>IF(tblMovement[[#This Row],[Material]]="","",IF(LEFT(tblMovement[[#This Row],[Material]],3)="Ore",1,0))</f>
        <v/>
      </c>
      <c r="N894" s="59">
        <f>IF(OR(tblMovement[[#This Row],[Tonnes_t]]="",tblMovement[[#This Row],[Grade_gpt]]=""),0,tblMovement[[#This Row],[Tonnes_t]]*tblMovement[[#This Row],[Grade_gpt]]/cfg_TroyOz)</f>
        <v/>
      </c>
      <c r="O894" s="59">
        <f>IF(tblMovement[[#This Row],[Is_Ore]]=1,tblMovement[[#This Row],[Contained_oz]],0)</f>
        <v/>
      </c>
    </row>
    <row r="895">
      <c r="A895" s="54" t="n"/>
      <c r="B895" s="61" t="n"/>
      <c r="C895" s="61" t="n"/>
      <c r="D895" s="61" t="n"/>
      <c r="E895" s="61" t="n"/>
      <c r="F895" s="55" t="n"/>
      <c r="G895" s="56" t="n"/>
      <c r="H895" s="55" t="n"/>
      <c r="I895" s="62" t="n"/>
      <c r="J895" s="58" t="n"/>
      <c r="K895" s="63">
        <f>IF(tblMovement[[#This Row],[Source]]="","",IFERROR(INDEX(tblSources[Type],MATCH(tblMovement[[#This Row],[Source]],tblSources[Source],0)),"?"))</f>
        <v/>
      </c>
      <c r="L895" s="63">
        <f>IF(tblMovement[[#This Row],[Destination]]="","",IFERROR(INDEX(tblDestinations[Type],MATCH(tblMovement[[#This Row],[Destination]],tblDestinations[Destination],0)),"?"))</f>
        <v/>
      </c>
      <c r="M895" s="64">
        <f>IF(tblMovement[[#This Row],[Material]]="","",IF(LEFT(tblMovement[[#This Row],[Material]],3)="Ore",1,0))</f>
        <v/>
      </c>
      <c r="N895" s="59">
        <f>IF(OR(tblMovement[[#This Row],[Tonnes_t]]="",tblMovement[[#This Row],[Grade_gpt]]=""),0,tblMovement[[#This Row],[Tonnes_t]]*tblMovement[[#This Row],[Grade_gpt]]/cfg_TroyOz)</f>
        <v/>
      </c>
      <c r="O895" s="59">
        <f>IF(tblMovement[[#This Row],[Is_Ore]]=1,tblMovement[[#This Row],[Contained_oz]],0)</f>
        <v/>
      </c>
    </row>
    <row r="896">
      <c r="A896" s="54" t="n"/>
      <c r="B896" s="61" t="n"/>
      <c r="C896" s="61" t="n"/>
      <c r="D896" s="61" t="n"/>
      <c r="E896" s="61" t="n"/>
      <c r="F896" s="55" t="n"/>
      <c r="G896" s="56" t="n"/>
      <c r="H896" s="55" t="n"/>
      <c r="I896" s="62" t="n"/>
      <c r="J896" s="58" t="n"/>
      <c r="K896" s="63">
        <f>IF(tblMovement[[#This Row],[Source]]="","",IFERROR(INDEX(tblSources[Type],MATCH(tblMovement[[#This Row],[Source]],tblSources[Source],0)),"?"))</f>
        <v/>
      </c>
      <c r="L896" s="63">
        <f>IF(tblMovement[[#This Row],[Destination]]="","",IFERROR(INDEX(tblDestinations[Type],MATCH(tblMovement[[#This Row],[Destination]],tblDestinations[Destination],0)),"?"))</f>
        <v/>
      </c>
      <c r="M896" s="64">
        <f>IF(tblMovement[[#This Row],[Material]]="","",IF(LEFT(tblMovement[[#This Row],[Material]],3)="Ore",1,0))</f>
        <v/>
      </c>
      <c r="N896" s="59">
        <f>IF(OR(tblMovement[[#This Row],[Tonnes_t]]="",tblMovement[[#This Row],[Grade_gpt]]=""),0,tblMovement[[#This Row],[Tonnes_t]]*tblMovement[[#This Row],[Grade_gpt]]/cfg_TroyOz)</f>
        <v/>
      </c>
      <c r="O896" s="59">
        <f>IF(tblMovement[[#This Row],[Is_Ore]]=1,tblMovement[[#This Row],[Contained_oz]],0)</f>
        <v/>
      </c>
    </row>
    <row r="897">
      <c r="A897" s="54" t="n"/>
      <c r="B897" s="61" t="n"/>
      <c r="C897" s="61" t="n"/>
      <c r="D897" s="61" t="n"/>
      <c r="E897" s="61" t="n"/>
      <c r="F897" s="55" t="n"/>
      <c r="G897" s="56" t="n"/>
      <c r="H897" s="55" t="n"/>
      <c r="I897" s="62" t="n"/>
      <c r="J897" s="58" t="n"/>
      <c r="K897" s="63">
        <f>IF(tblMovement[[#This Row],[Source]]="","",IFERROR(INDEX(tblSources[Type],MATCH(tblMovement[[#This Row],[Source]],tblSources[Source],0)),"?"))</f>
        <v/>
      </c>
      <c r="L897" s="63">
        <f>IF(tblMovement[[#This Row],[Destination]]="","",IFERROR(INDEX(tblDestinations[Type],MATCH(tblMovement[[#This Row],[Destination]],tblDestinations[Destination],0)),"?"))</f>
        <v/>
      </c>
      <c r="M897" s="64">
        <f>IF(tblMovement[[#This Row],[Material]]="","",IF(LEFT(tblMovement[[#This Row],[Material]],3)="Ore",1,0))</f>
        <v/>
      </c>
      <c r="N897" s="59">
        <f>IF(OR(tblMovement[[#This Row],[Tonnes_t]]="",tblMovement[[#This Row],[Grade_gpt]]=""),0,tblMovement[[#This Row],[Tonnes_t]]*tblMovement[[#This Row],[Grade_gpt]]/cfg_TroyOz)</f>
        <v/>
      </c>
      <c r="O897" s="59">
        <f>IF(tblMovement[[#This Row],[Is_Ore]]=1,tblMovement[[#This Row],[Contained_oz]],0)</f>
        <v/>
      </c>
    </row>
    <row r="898">
      <c r="A898" s="54" t="n"/>
      <c r="B898" s="61" t="n"/>
      <c r="C898" s="61" t="n"/>
      <c r="D898" s="61" t="n"/>
      <c r="E898" s="61" t="n"/>
      <c r="F898" s="55" t="n"/>
      <c r="G898" s="56" t="n"/>
      <c r="H898" s="55" t="n"/>
      <c r="I898" s="62" t="n"/>
      <c r="J898" s="58" t="n"/>
      <c r="K898" s="63">
        <f>IF(tblMovement[[#This Row],[Source]]="","",IFERROR(INDEX(tblSources[Type],MATCH(tblMovement[[#This Row],[Source]],tblSources[Source],0)),"?"))</f>
        <v/>
      </c>
      <c r="L898" s="63">
        <f>IF(tblMovement[[#This Row],[Destination]]="","",IFERROR(INDEX(tblDestinations[Type],MATCH(tblMovement[[#This Row],[Destination]],tblDestinations[Destination],0)),"?"))</f>
        <v/>
      </c>
      <c r="M898" s="64">
        <f>IF(tblMovement[[#This Row],[Material]]="","",IF(LEFT(tblMovement[[#This Row],[Material]],3)="Ore",1,0))</f>
        <v/>
      </c>
      <c r="N898" s="59">
        <f>IF(OR(tblMovement[[#This Row],[Tonnes_t]]="",tblMovement[[#This Row],[Grade_gpt]]=""),0,tblMovement[[#This Row],[Tonnes_t]]*tblMovement[[#This Row],[Grade_gpt]]/cfg_TroyOz)</f>
        <v/>
      </c>
      <c r="O898" s="59">
        <f>IF(tblMovement[[#This Row],[Is_Ore]]=1,tblMovement[[#This Row],[Contained_oz]],0)</f>
        <v/>
      </c>
    </row>
    <row r="899">
      <c r="A899" s="54" t="n"/>
      <c r="B899" s="61" t="n"/>
      <c r="C899" s="61" t="n"/>
      <c r="D899" s="61" t="n"/>
      <c r="E899" s="61" t="n"/>
      <c r="F899" s="55" t="n"/>
      <c r="G899" s="56" t="n"/>
      <c r="H899" s="55" t="n"/>
      <c r="I899" s="62" t="n"/>
      <c r="J899" s="58" t="n"/>
      <c r="K899" s="63">
        <f>IF(tblMovement[[#This Row],[Source]]="","",IFERROR(INDEX(tblSources[Type],MATCH(tblMovement[[#This Row],[Source]],tblSources[Source],0)),"?"))</f>
        <v/>
      </c>
      <c r="L899" s="63">
        <f>IF(tblMovement[[#This Row],[Destination]]="","",IFERROR(INDEX(tblDestinations[Type],MATCH(tblMovement[[#This Row],[Destination]],tblDestinations[Destination],0)),"?"))</f>
        <v/>
      </c>
      <c r="M899" s="64">
        <f>IF(tblMovement[[#This Row],[Material]]="","",IF(LEFT(tblMovement[[#This Row],[Material]],3)="Ore",1,0))</f>
        <v/>
      </c>
      <c r="N899" s="59">
        <f>IF(OR(tblMovement[[#This Row],[Tonnes_t]]="",tblMovement[[#This Row],[Grade_gpt]]=""),0,tblMovement[[#This Row],[Tonnes_t]]*tblMovement[[#This Row],[Grade_gpt]]/cfg_TroyOz)</f>
        <v/>
      </c>
      <c r="O899" s="59">
        <f>IF(tblMovement[[#This Row],[Is_Ore]]=1,tblMovement[[#This Row],[Contained_oz]],0)</f>
        <v/>
      </c>
    </row>
    <row r="900">
      <c r="A900" s="54" t="n"/>
      <c r="B900" s="61" t="n"/>
      <c r="C900" s="61" t="n"/>
      <c r="D900" s="61" t="n"/>
      <c r="E900" s="61" t="n"/>
      <c r="F900" s="55" t="n"/>
      <c r="G900" s="56" t="n"/>
      <c r="H900" s="55" t="n"/>
      <c r="I900" s="62" t="n"/>
      <c r="J900" s="58" t="n"/>
      <c r="K900" s="63">
        <f>IF(tblMovement[[#This Row],[Source]]="","",IFERROR(INDEX(tblSources[Type],MATCH(tblMovement[[#This Row],[Source]],tblSources[Source],0)),"?"))</f>
        <v/>
      </c>
      <c r="L900" s="63">
        <f>IF(tblMovement[[#This Row],[Destination]]="","",IFERROR(INDEX(tblDestinations[Type],MATCH(tblMovement[[#This Row],[Destination]],tblDestinations[Destination],0)),"?"))</f>
        <v/>
      </c>
      <c r="M900" s="64">
        <f>IF(tblMovement[[#This Row],[Material]]="","",IF(LEFT(tblMovement[[#This Row],[Material]],3)="Ore",1,0))</f>
        <v/>
      </c>
      <c r="N900" s="59">
        <f>IF(OR(tblMovement[[#This Row],[Tonnes_t]]="",tblMovement[[#This Row],[Grade_gpt]]=""),0,tblMovement[[#This Row],[Tonnes_t]]*tblMovement[[#This Row],[Grade_gpt]]/cfg_TroyOz)</f>
        <v/>
      </c>
      <c r="O900" s="59">
        <f>IF(tblMovement[[#This Row],[Is_Ore]]=1,tblMovement[[#This Row],[Contained_oz]],0)</f>
        <v/>
      </c>
    </row>
    <row r="901">
      <c r="A901" s="54" t="n"/>
      <c r="B901" s="61" t="n"/>
      <c r="C901" s="61" t="n"/>
      <c r="D901" s="61" t="n"/>
      <c r="E901" s="61" t="n"/>
      <c r="F901" s="55" t="n"/>
      <c r="G901" s="56" t="n"/>
      <c r="H901" s="55" t="n"/>
      <c r="I901" s="62" t="n"/>
      <c r="J901" s="58" t="n"/>
      <c r="K901" s="63">
        <f>IF(tblMovement[[#This Row],[Source]]="","",IFERROR(INDEX(tblSources[Type],MATCH(tblMovement[[#This Row],[Source]],tblSources[Source],0)),"?"))</f>
        <v/>
      </c>
      <c r="L901" s="63">
        <f>IF(tblMovement[[#This Row],[Destination]]="","",IFERROR(INDEX(tblDestinations[Type],MATCH(tblMovement[[#This Row],[Destination]],tblDestinations[Destination],0)),"?"))</f>
        <v/>
      </c>
      <c r="M901" s="64">
        <f>IF(tblMovement[[#This Row],[Material]]="","",IF(LEFT(tblMovement[[#This Row],[Material]],3)="Ore",1,0))</f>
        <v/>
      </c>
      <c r="N901" s="59">
        <f>IF(OR(tblMovement[[#This Row],[Tonnes_t]]="",tblMovement[[#This Row],[Grade_gpt]]=""),0,tblMovement[[#This Row],[Tonnes_t]]*tblMovement[[#This Row],[Grade_gpt]]/cfg_TroyOz)</f>
        <v/>
      </c>
      <c r="O901" s="59">
        <f>IF(tblMovement[[#This Row],[Is_Ore]]=1,tblMovement[[#This Row],[Contained_oz]],0)</f>
        <v/>
      </c>
    </row>
    <row r="902">
      <c r="A902" s="54" t="n"/>
      <c r="B902" s="61" t="n"/>
      <c r="C902" s="61" t="n"/>
      <c r="D902" s="61" t="n"/>
      <c r="E902" s="61" t="n"/>
      <c r="F902" s="55" t="n"/>
      <c r="G902" s="56" t="n"/>
      <c r="H902" s="55" t="n"/>
      <c r="I902" s="62" t="n"/>
      <c r="J902" s="58" t="n"/>
      <c r="K902" s="63">
        <f>IF(tblMovement[[#This Row],[Source]]="","",IFERROR(INDEX(tblSources[Type],MATCH(tblMovement[[#This Row],[Source]],tblSources[Source],0)),"?"))</f>
        <v/>
      </c>
      <c r="L902" s="63">
        <f>IF(tblMovement[[#This Row],[Destination]]="","",IFERROR(INDEX(tblDestinations[Type],MATCH(tblMovement[[#This Row],[Destination]],tblDestinations[Destination],0)),"?"))</f>
        <v/>
      </c>
      <c r="M902" s="64">
        <f>IF(tblMovement[[#This Row],[Material]]="","",IF(LEFT(tblMovement[[#This Row],[Material]],3)="Ore",1,0))</f>
        <v/>
      </c>
      <c r="N902" s="59">
        <f>IF(OR(tblMovement[[#This Row],[Tonnes_t]]="",tblMovement[[#This Row],[Grade_gpt]]=""),0,tblMovement[[#This Row],[Tonnes_t]]*tblMovement[[#This Row],[Grade_gpt]]/cfg_TroyOz)</f>
        <v/>
      </c>
      <c r="O902" s="59">
        <f>IF(tblMovement[[#This Row],[Is_Ore]]=1,tblMovement[[#This Row],[Contained_oz]],0)</f>
        <v/>
      </c>
    </row>
    <row r="903">
      <c r="A903" s="54" t="n"/>
      <c r="B903" s="61" t="n"/>
      <c r="C903" s="61" t="n"/>
      <c r="D903" s="61" t="n"/>
      <c r="E903" s="61" t="n"/>
      <c r="F903" s="55" t="n"/>
      <c r="G903" s="56" t="n"/>
      <c r="H903" s="55" t="n"/>
      <c r="I903" s="62" t="n"/>
      <c r="J903" s="58" t="n"/>
      <c r="K903" s="63">
        <f>IF(tblMovement[[#This Row],[Source]]="","",IFERROR(INDEX(tblSources[Type],MATCH(tblMovement[[#This Row],[Source]],tblSources[Source],0)),"?"))</f>
        <v/>
      </c>
      <c r="L903" s="63">
        <f>IF(tblMovement[[#This Row],[Destination]]="","",IFERROR(INDEX(tblDestinations[Type],MATCH(tblMovement[[#This Row],[Destination]],tblDestinations[Destination],0)),"?"))</f>
        <v/>
      </c>
      <c r="M903" s="64">
        <f>IF(tblMovement[[#This Row],[Material]]="","",IF(LEFT(tblMovement[[#This Row],[Material]],3)="Ore",1,0))</f>
        <v/>
      </c>
      <c r="N903" s="59">
        <f>IF(OR(tblMovement[[#This Row],[Tonnes_t]]="",tblMovement[[#This Row],[Grade_gpt]]=""),0,tblMovement[[#This Row],[Tonnes_t]]*tblMovement[[#This Row],[Grade_gpt]]/cfg_TroyOz)</f>
        <v/>
      </c>
      <c r="O903" s="59">
        <f>IF(tblMovement[[#This Row],[Is_Ore]]=1,tblMovement[[#This Row],[Contained_oz]],0)</f>
        <v/>
      </c>
    </row>
    <row r="904">
      <c r="A904" s="54" t="n"/>
      <c r="B904" s="61" t="n"/>
      <c r="C904" s="61" t="n"/>
      <c r="D904" s="61" t="n"/>
      <c r="E904" s="61" t="n"/>
      <c r="F904" s="55" t="n"/>
      <c r="G904" s="56" t="n"/>
      <c r="H904" s="55" t="n"/>
      <c r="I904" s="62" t="n"/>
      <c r="J904" s="58" t="n"/>
      <c r="K904" s="63">
        <f>IF(tblMovement[[#This Row],[Source]]="","",IFERROR(INDEX(tblSources[Type],MATCH(tblMovement[[#This Row],[Source]],tblSources[Source],0)),"?"))</f>
        <v/>
      </c>
      <c r="L904" s="63">
        <f>IF(tblMovement[[#This Row],[Destination]]="","",IFERROR(INDEX(tblDestinations[Type],MATCH(tblMovement[[#This Row],[Destination]],tblDestinations[Destination],0)),"?"))</f>
        <v/>
      </c>
      <c r="M904" s="64">
        <f>IF(tblMovement[[#This Row],[Material]]="","",IF(LEFT(tblMovement[[#This Row],[Material]],3)="Ore",1,0))</f>
        <v/>
      </c>
      <c r="N904" s="59">
        <f>IF(OR(tblMovement[[#This Row],[Tonnes_t]]="",tblMovement[[#This Row],[Grade_gpt]]=""),0,tblMovement[[#This Row],[Tonnes_t]]*tblMovement[[#This Row],[Grade_gpt]]/cfg_TroyOz)</f>
        <v/>
      </c>
      <c r="O904" s="59">
        <f>IF(tblMovement[[#This Row],[Is_Ore]]=1,tblMovement[[#This Row],[Contained_oz]],0)</f>
        <v/>
      </c>
    </row>
    <row r="905">
      <c r="A905" s="54" t="n"/>
      <c r="B905" s="61" t="n"/>
      <c r="C905" s="61" t="n"/>
      <c r="D905" s="61" t="n"/>
      <c r="E905" s="61" t="n"/>
      <c r="F905" s="55" t="n"/>
      <c r="G905" s="56" t="n"/>
      <c r="H905" s="55" t="n"/>
      <c r="I905" s="62" t="n"/>
      <c r="J905" s="58" t="n"/>
      <c r="K905" s="63">
        <f>IF(tblMovement[[#This Row],[Source]]="","",IFERROR(INDEX(tblSources[Type],MATCH(tblMovement[[#This Row],[Source]],tblSources[Source],0)),"?"))</f>
        <v/>
      </c>
      <c r="L905" s="63">
        <f>IF(tblMovement[[#This Row],[Destination]]="","",IFERROR(INDEX(tblDestinations[Type],MATCH(tblMovement[[#This Row],[Destination]],tblDestinations[Destination],0)),"?"))</f>
        <v/>
      </c>
      <c r="M905" s="64">
        <f>IF(tblMovement[[#This Row],[Material]]="","",IF(LEFT(tblMovement[[#This Row],[Material]],3)="Ore",1,0))</f>
        <v/>
      </c>
      <c r="N905" s="59">
        <f>IF(OR(tblMovement[[#This Row],[Tonnes_t]]="",tblMovement[[#This Row],[Grade_gpt]]=""),0,tblMovement[[#This Row],[Tonnes_t]]*tblMovement[[#This Row],[Grade_gpt]]/cfg_TroyOz)</f>
        <v/>
      </c>
      <c r="O905" s="59">
        <f>IF(tblMovement[[#This Row],[Is_Ore]]=1,tblMovement[[#This Row],[Contained_oz]],0)</f>
        <v/>
      </c>
    </row>
    <row r="906">
      <c r="A906" s="54" t="n"/>
      <c r="B906" s="61" t="n"/>
      <c r="C906" s="61" t="n"/>
      <c r="D906" s="61" t="n"/>
      <c r="E906" s="61" t="n"/>
      <c r="F906" s="55" t="n"/>
      <c r="G906" s="56" t="n"/>
      <c r="H906" s="55" t="n"/>
      <c r="I906" s="62" t="n"/>
      <c r="J906" s="58" t="n"/>
      <c r="K906" s="63">
        <f>IF(tblMovement[[#This Row],[Source]]="","",IFERROR(INDEX(tblSources[Type],MATCH(tblMovement[[#This Row],[Source]],tblSources[Source],0)),"?"))</f>
        <v/>
      </c>
      <c r="L906" s="63">
        <f>IF(tblMovement[[#This Row],[Destination]]="","",IFERROR(INDEX(tblDestinations[Type],MATCH(tblMovement[[#This Row],[Destination]],tblDestinations[Destination],0)),"?"))</f>
        <v/>
      </c>
      <c r="M906" s="64">
        <f>IF(tblMovement[[#This Row],[Material]]="","",IF(LEFT(tblMovement[[#This Row],[Material]],3)="Ore",1,0))</f>
        <v/>
      </c>
      <c r="N906" s="59">
        <f>IF(OR(tblMovement[[#This Row],[Tonnes_t]]="",tblMovement[[#This Row],[Grade_gpt]]=""),0,tblMovement[[#This Row],[Tonnes_t]]*tblMovement[[#This Row],[Grade_gpt]]/cfg_TroyOz)</f>
        <v/>
      </c>
      <c r="O906" s="59">
        <f>IF(tblMovement[[#This Row],[Is_Ore]]=1,tblMovement[[#This Row],[Contained_oz]],0)</f>
        <v/>
      </c>
    </row>
    <row r="907">
      <c r="A907" s="54" t="n"/>
      <c r="B907" s="61" t="n"/>
      <c r="C907" s="61" t="n"/>
      <c r="D907" s="61" t="n"/>
      <c r="E907" s="61" t="n"/>
      <c r="F907" s="55" t="n"/>
      <c r="G907" s="56" t="n"/>
      <c r="H907" s="55" t="n"/>
      <c r="I907" s="62" t="n"/>
      <c r="J907" s="58" t="n"/>
      <c r="K907" s="63">
        <f>IF(tblMovement[[#This Row],[Source]]="","",IFERROR(INDEX(tblSources[Type],MATCH(tblMovement[[#This Row],[Source]],tblSources[Source],0)),"?"))</f>
        <v/>
      </c>
      <c r="L907" s="63">
        <f>IF(tblMovement[[#This Row],[Destination]]="","",IFERROR(INDEX(tblDestinations[Type],MATCH(tblMovement[[#This Row],[Destination]],tblDestinations[Destination],0)),"?"))</f>
        <v/>
      </c>
      <c r="M907" s="64">
        <f>IF(tblMovement[[#This Row],[Material]]="","",IF(LEFT(tblMovement[[#This Row],[Material]],3)="Ore",1,0))</f>
        <v/>
      </c>
      <c r="N907" s="59">
        <f>IF(OR(tblMovement[[#This Row],[Tonnes_t]]="",tblMovement[[#This Row],[Grade_gpt]]=""),0,tblMovement[[#This Row],[Tonnes_t]]*tblMovement[[#This Row],[Grade_gpt]]/cfg_TroyOz)</f>
        <v/>
      </c>
      <c r="O907" s="59">
        <f>IF(tblMovement[[#This Row],[Is_Ore]]=1,tblMovement[[#This Row],[Contained_oz]],0)</f>
        <v/>
      </c>
    </row>
    <row r="908">
      <c r="A908" s="54" t="n"/>
      <c r="B908" s="61" t="n"/>
      <c r="C908" s="61" t="n"/>
      <c r="D908" s="61" t="n"/>
      <c r="E908" s="61" t="n"/>
      <c r="F908" s="55" t="n"/>
      <c r="G908" s="56" t="n"/>
      <c r="H908" s="55" t="n"/>
      <c r="I908" s="62" t="n"/>
      <c r="J908" s="58" t="n"/>
      <c r="K908" s="63">
        <f>IF(tblMovement[[#This Row],[Source]]="","",IFERROR(INDEX(tblSources[Type],MATCH(tblMovement[[#This Row],[Source]],tblSources[Source],0)),"?"))</f>
        <v/>
      </c>
      <c r="L908" s="63">
        <f>IF(tblMovement[[#This Row],[Destination]]="","",IFERROR(INDEX(tblDestinations[Type],MATCH(tblMovement[[#This Row],[Destination]],tblDestinations[Destination],0)),"?"))</f>
        <v/>
      </c>
      <c r="M908" s="64">
        <f>IF(tblMovement[[#This Row],[Material]]="","",IF(LEFT(tblMovement[[#This Row],[Material]],3)="Ore",1,0))</f>
        <v/>
      </c>
      <c r="N908" s="59">
        <f>IF(OR(tblMovement[[#This Row],[Tonnes_t]]="",tblMovement[[#This Row],[Grade_gpt]]=""),0,tblMovement[[#This Row],[Tonnes_t]]*tblMovement[[#This Row],[Grade_gpt]]/cfg_TroyOz)</f>
        <v/>
      </c>
      <c r="O908" s="59">
        <f>IF(tblMovement[[#This Row],[Is_Ore]]=1,tblMovement[[#This Row],[Contained_oz]],0)</f>
        <v/>
      </c>
    </row>
    <row r="909">
      <c r="A909" s="54" t="n"/>
      <c r="B909" s="61" t="n"/>
      <c r="C909" s="61" t="n"/>
      <c r="D909" s="61" t="n"/>
      <c r="E909" s="61" t="n"/>
      <c r="F909" s="55" t="n"/>
      <c r="G909" s="56" t="n"/>
      <c r="H909" s="55" t="n"/>
      <c r="I909" s="62" t="n"/>
      <c r="J909" s="58" t="n"/>
      <c r="K909" s="63">
        <f>IF(tblMovement[[#This Row],[Source]]="","",IFERROR(INDEX(tblSources[Type],MATCH(tblMovement[[#This Row],[Source]],tblSources[Source],0)),"?"))</f>
        <v/>
      </c>
      <c r="L909" s="63">
        <f>IF(tblMovement[[#This Row],[Destination]]="","",IFERROR(INDEX(tblDestinations[Type],MATCH(tblMovement[[#This Row],[Destination]],tblDestinations[Destination],0)),"?"))</f>
        <v/>
      </c>
      <c r="M909" s="64">
        <f>IF(tblMovement[[#This Row],[Material]]="","",IF(LEFT(tblMovement[[#This Row],[Material]],3)="Ore",1,0))</f>
        <v/>
      </c>
      <c r="N909" s="59">
        <f>IF(OR(tblMovement[[#This Row],[Tonnes_t]]="",tblMovement[[#This Row],[Grade_gpt]]=""),0,tblMovement[[#This Row],[Tonnes_t]]*tblMovement[[#This Row],[Grade_gpt]]/cfg_TroyOz)</f>
        <v/>
      </c>
      <c r="O909" s="59">
        <f>IF(tblMovement[[#This Row],[Is_Ore]]=1,tblMovement[[#This Row],[Contained_oz]],0)</f>
        <v/>
      </c>
    </row>
    <row r="910">
      <c r="A910" s="54" t="n"/>
      <c r="B910" s="61" t="n"/>
      <c r="C910" s="61" t="n"/>
      <c r="D910" s="61" t="n"/>
      <c r="E910" s="61" t="n"/>
      <c r="F910" s="55" t="n"/>
      <c r="G910" s="56" t="n"/>
      <c r="H910" s="55" t="n"/>
      <c r="I910" s="62" t="n"/>
      <c r="J910" s="58" t="n"/>
      <c r="K910" s="63">
        <f>IF(tblMovement[[#This Row],[Source]]="","",IFERROR(INDEX(tblSources[Type],MATCH(tblMovement[[#This Row],[Source]],tblSources[Source],0)),"?"))</f>
        <v/>
      </c>
      <c r="L910" s="63">
        <f>IF(tblMovement[[#This Row],[Destination]]="","",IFERROR(INDEX(tblDestinations[Type],MATCH(tblMovement[[#This Row],[Destination]],tblDestinations[Destination],0)),"?"))</f>
        <v/>
      </c>
      <c r="M910" s="64">
        <f>IF(tblMovement[[#This Row],[Material]]="","",IF(LEFT(tblMovement[[#This Row],[Material]],3)="Ore",1,0))</f>
        <v/>
      </c>
      <c r="N910" s="59">
        <f>IF(OR(tblMovement[[#This Row],[Tonnes_t]]="",tblMovement[[#This Row],[Grade_gpt]]=""),0,tblMovement[[#This Row],[Tonnes_t]]*tblMovement[[#This Row],[Grade_gpt]]/cfg_TroyOz)</f>
        <v/>
      </c>
      <c r="O910" s="59">
        <f>IF(tblMovement[[#This Row],[Is_Ore]]=1,tblMovement[[#This Row],[Contained_oz]],0)</f>
        <v/>
      </c>
    </row>
    <row r="911">
      <c r="A911" s="54" t="n"/>
      <c r="B911" s="61" t="n"/>
      <c r="C911" s="61" t="n"/>
      <c r="D911" s="61" t="n"/>
      <c r="E911" s="61" t="n"/>
      <c r="F911" s="55" t="n"/>
      <c r="G911" s="56" t="n"/>
      <c r="H911" s="55" t="n"/>
      <c r="I911" s="62" t="n"/>
      <c r="J911" s="58" t="n"/>
      <c r="K911" s="63">
        <f>IF(tblMovement[[#This Row],[Source]]="","",IFERROR(INDEX(tblSources[Type],MATCH(tblMovement[[#This Row],[Source]],tblSources[Source],0)),"?"))</f>
        <v/>
      </c>
      <c r="L911" s="63">
        <f>IF(tblMovement[[#This Row],[Destination]]="","",IFERROR(INDEX(tblDestinations[Type],MATCH(tblMovement[[#This Row],[Destination]],tblDestinations[Destination],0)),"?"))</f>
        <v/>
      </c>
      <c r="M911" s="64">
        <f>IF(tblMovement[[#This Row],[Material]]="","",IF(LEFT(tblMovement[[#This Row],[Material]],3)="Ore",1,0))</f>
        <v/>
      </c>
      <c r="N911" s="59">
        <f>IF(OR(tblMovement[[#This Row],[Tonnes_t]]="",tblMovement[[#This Row],[Grade_gpt]]=""),0,tblMovement[[#This Row],[Tonnes_t]]*tblMovement[[#This Row],[Grade_gpt]]/cfg_TroyOz)</f>
        <v/>
      </c>
      <c r="O911" s="59">
        <f>IF(tblMovement[[#This Row],[Is_Ore]]=1,tblMovement[[#This Row],[Contained_oz]],0)</f>
        <v/>
      </c>
    </row>
    <row r="912">
      <c r="A912" s="54" t="n"/>
      <c r="B912" s="61" t="n"/>
      <c r="C912" s="61" t="n"/>
      <c r="D912" s="61" t="n"/>
      <c r="E912" s="61" t="n"/>
      <c r="F912" s="55" t="n"/>
      <c r="G912" s="56" t="n"/>
      <c r="H912" s="55" t="n"/>
      <c r="I912" s="62" t="n"/>
      <c r="J912" s="58" t="n"/>
      <c r="K912" s="63">
        <f>IF(tblMovement[[#This Row],[Source]]="","",IFERROR(INDEX(tblSources[Type],MATCH(tblMovement[[#This Row],[Source]],tblSources[Source],0)),"?"))</f>
        <v/>
      </c>
      <c r="L912" s="63">
        <f>IF(tblMovement[[#This Row],[Destination]]="","",IFERROR(INDEX(tblDestinations[Type],MATCH(tblMovement[[#This Row],[Destination]],tblDestinations[Destination],0)),"?"))</f>
        <v/>
      </c>
      <c r="M912" s="64">
        <f>IF(tblMovement[[#This Row],[Material]]="","",IF(LEFT(tblMovement[[#This Row],[Material]],3)="Ore",1,0))</f>
        <v/>
      </c>
      <c r="N912" s="59">
        <f>IF(OR(tblMovement[[#This Row],[Tonnes_t]]="",tblMovement[[#This Row],[Grade_gpt]]=""),0,tblMovement[[#This Row],[Tonnes_t]]*tblMovement[[#This Row],[Grade_gpt]]/cfg_TroyOz)</f>
        <v/>
      </c>
      <c r="O912" s="59">
        <f>IF(tblMovement[[#This Row],[Is_Ore]]=1,tblMovement[[#This Row],[Contained_oz]],0)</f>
        <v/>
      </c>
    </row>
    <row r="913">
      <c r="A913" s="54" t="n"/>
      <c r="B913" s="61" t="n"/>
      <c r="C913" s="61" t="n"/>
      <c r="D913" s="61" t="n"/>
      <c r="E913" s="61" t="n"/>
      <c r="F913" s="55" t="n"/>
      <c r="G913" s="56" t="n"/>
      <c r="H913" s="55" t="n"/>
      <c r="I913" s="62" t="n"/>
      <c r="J913" s="58" t="n"/>
      <c r="K913" s="63">
        <f>IF(tblMovement[[#This Row],[Source]]="","",IFERROR(INDEX(tblSources[Type],MATCH(tblMovement[[#This Row],[Source]],tblSources[Source],0)),"?"))</f>
        <v/>
      </c>
      <c r="L913" s="63">
        <f>IF(tblMovement[[#This Row],[Destination]]="","",IFERROR(INDEX(tblDestinations[Type],MATCH(tblMovement[[#This Row],[Destination]],tblDestinations[Destination],0)),"?"))</f>
        <v/>
      </c>
      <c r="M913" s="64">
        <f>IF(tblMovement[[#This Row],[Material]]="","",IF(LEFT(tblMovement[[#This Row],[Material]],3)="Ore",1,0))</f>
        <v/>
      </c>
      <c r="N913" s="59">
        <f>IF(OR(tblMovement[[#This Row],[Tonnes_t]]="",tblMovement[[#This Row],[Grade_gpt]]=""),0,tblMovement[[#This Row],[Tonnes_t]]*tblMovement[[#This Row],[Grade_gpt]]/cfg_TroyOz)</f>
        <v/>
      </c>
      <c r="O913" s="59">
        <f>IF(tblMovement[[#This Row],[Is_Ore]]=1,tblMovement[[#This Row],[Contained_oz]],0)</f>
        <v/>
      </c>
    </row>
    <row r="914">
      <c r="A914" s="54" t="n"/>
      <c r="B914" s="61" t="n"/>
      <c r="C914" s="61" t="n"/>
      <c r="D914" s="61" t="n"/>
      <c r="E914" s="61" t="n"/>
      <c r="F914" s="55" t="n"/>
      <c r="G914" s="56" t="n"/>
      <c r="H914" s="55" t="n"/>
      <c r="I914" s="62" t="n"/>
      <c r="J914" s="58" t="n"/>
      <c r="K914" s="63">
        <f>IF(tblMovement[[#This Row],[Source]]="","",IFERROR(INDEX(tblSources[Type],MATCH(tblMovement[[#This Row],[Source]],tblSources[Source],0)),"?"))</f>
        <v/>
      </c>
      <c r="L914" s="63">
        <f>IF(tblMovement[[#This Row],[Destination]]="","",IFERROR(INDEX(tblDestinations[Type],MATCH(tblMovement[[#This Row],[Destination]],tblDestinations[Destination],0)),"?"))</f>
        <v/>
      </c>
      <c r="M914" s="64">
        <f>IF(tblMovement[[#This Row],[Material]]="","",IF(LEFT(tblMovement[[#This Row],[Material]],3)="Ore",1,0))</f>
        <v/>
      </c>
      <c r="N914" s="59">
        <f>IF(OR(tblMovement[[#This Row],[Tonnes_t]]="",tblMovement[[#This Row],[Grade_gpt]]=""),0,tblMovement[[#This Row],[Tonnes_t]]*tblMovement[[#This Row],[Grade_gpt]]/cfg_TroyOz)</f>
        <v/>
      </c>
      <c r="O914" s="59">
        <f>IF(tblMovement[[#This Row],[Is_Ore]]=1,tblMovement[[#This Row],[Contained_oz]],0)</f>
        <v/>
      </c>
    </row>
    <row r="915">
      <c r="A915" s="54" t="n"/>
      <c r="B915" s="61" t="n"/>
      <c r="C915" s="61" t="n"/>
      <c r="D915" s="61" t="n"/>
      <c r="E915" s="61" t="n"/>
      <c r="F915" s="55" t="n"/>
      <c r="G915" s="56" t="n"/>
      <c r="H915" s="55" t="n"/>
      <c r="I915" s="62" t="n"/>
      <c r="J915" s="58" t="n"/>
      <c r="K915" s="63">
        <f>IF(tblMovement[[#This Row],[Source]]="","",IFERROR(INDEX(tblSources[Type],MATCH(tblMovement[[#This Row],[Source]],tblSources[Source],0)),"?"))</f>
        <v/>
      </c>
      <c r="L915" s="63">
        <f>IF(tblMovement[[#This Row],[Destination]]="","",IFERROR(INDEX(tblDestinations[Type],MATCH(tblMovement[[#This Row],[Destination]],tblDestinations[Destination],0)),"?"))</f>
        <v/>
      </c>
      <c r="M915" s="64">
        <f>IF(tblMovement[[#This Row],[Material]]="","",IF(LEFT(tblMovement[[#This Row],[Material]],3)="Ore",1,0))</f>
        <v/>
      </c>
      <c r="N915" s="59">
        <f>IF(OR(tblMovement[[#This Row],[Tonnes_t]]="",tblMovement[[#This Row],[Grade_gpt]]=""),0,tblMovement[[#This Row],[Tonnes_t]]*tblMovement[[#This Row],[Grade_gpt]]/cfg_TroyOz)</f>
        <v/>
      </c>
      <c r="O915" s="59">
        <f>IF(tblMovement[[#This Row],[Is_Ore]]=1,tblMovement[[#This Row],[Contained_oz]],0)</f>
        <v/>
      </c>
    </row>
    <row r="916">
      <c r="A916" s="54" t="n"/>
      <c r="B916" s="61" t="n"/>
      <c r="C916" s="61" t="n"/>
      <c r="D916" s="61" t="n"/>
      <c r="E916" s="61" t="n"/>
      <c r="F916" s="55" t="n"/>
      <c r="G916" s="56" t="n"/>
      <c r="H916" s="55" t="n"/>
      <c r="I916" s="62" t="n"/>
      <c r="J916" s="58" t="n"/>
      <c r="K916" s="63">
        <f>IF(tblMovement[[#This Row],[Source]]="","",IFERROR(INDEX(tblSources[Type],MATCH(tblMovement[[#This Row],[Source]],tblSources[Source],0)),"?"))</f>
        <v/>
      </c>
      <c r="L916" s="63">
        <f>IF(tblMovement[[#This Row],[Destination]]="","",IFERROR(INDEX(tblDestinations[Type],MATCH(tblMovement[[#This Row],[Destination]],tblDestinations[Destination],0)),"?"))</f>
        <v/>
      </c>
      <c r="M916" s="64">
        <f>IF(tblMovement[[#This Row],[Material]]="","",IF(LEFT(tblMovement[[#This Row],[Material]],3)="Ore",1,0))</f>
        <v/>
      </c>
      <c r="N916" s="59">
        <f>IF(OR(tblMovement[[#This Row],[Tonnes_t]]="",tblMovement[[#This Row],[Grade_gpt]]=""),0,tblMovement[[#This Row],[Tonnes_t]]*tblMovement[[#This Row],[Grade_gpt]]/cfg_TroyOz)</f>
        <v/>
      </c>
      <c r="O916" s="59">
        <f>IF(tblMovement[[#This Row],[Is_Ore]]=1,tblMovement[[#This Row],[Contained_oz]],0)</f>
        <v/>
      </c>
    </row>
    <row r="917">
      <c r="A917" s="54" t="n"/>
      <c r="B917" s="61" t="n"/>
      <c r="C917" s="61" t="n"/>
      <c r="D917" s="61" t="n"/>
      <c r="E917" s="61" t="n"/>
      <c r="F917" s="55" t="n"/>
      <c r="G917" s="56" t="n"/>
      <c r="H917" s="55" t="n"/>
      <c r="I917" s="62" t="n"/>
      <c r="J917" s="58" t="n"/>
      <c r="K917" s="63">
        <f>IF(tblMovement[[#This Row],[Source]]="","",IFERROR(INDEX(tblSources[Type],MATCH(tblMovement[[#This Row],[Source]],tblSources[Source],0)),"?"))</f>
        <v/>
      </c>
      <c r="L917" s="63">
        <f>IF(tblMovement[[#This Row],[Destination]]="","",IFERROR(INDEX(tblDestinations[Type],MATCH(tblMovement[[#This Row],[Destination]],tblDestinations[Destination],0)),"?"))</f>
        <v/>
      </c>
      <c r="M917" s="64">
        <f>IF(tblMovement[[#This Row],[Material]]="","",IF(LEFT(tblMovement[[#This Row],[Material]],3)="Ore",1,0))</f>
        <v/>
      </c>
      <c r="N917" s="59">
        <f>IF(OR(tblMovement[[#This Row],[Tonnes_t]]="",tblMovement[[#This Row],[Grade_gpt]]=""),0,tblMovement[[#This Row],[Tonnes_t]]*tblMovement[[#This Row],[Grade_gpt]]/cfg_TroyOz)</f>
        <v/>
      </c>
      <c r="O917" s="59">
        <f>IF(tblMovement[[#This Row],[Is_Ore]]=1,tblMovement[[#This Row],[Contained_oz]],0)</f>
        <v/>
      </c>
    </row>
    <row r="918">
      <c r="A918" s="54" t="n"/>
      <c r="B918" s="61" t="n"/>
      <c r="C918" s="61" t="n"/>
      <c r="D918" s="61" t="n"/>
      <c r="E918" s="61" t="n"/>
      <c r="F918" s="55" t="n"/>
      <c r="G918" s="56" t="n"/>
      <c r="H918" s="55" t="n"/>
      <c r="I918" s="62" t="n"/>
      <c r="J918" s="58" t="n"/>
      <c r="K918" s="63">
        <f>IF(tblMovement[[#This Row],[Source]]="","",IFERROR(INDEX(tblSources[Type],MATCH(tblMovement[[#This Row],[Source]],tblSources[Source],0)),"?"))</f>
        <v/>
      </c>
      <c r="L918" s="63">
        <f>IF(tblMovement[[#This Row],[Destination]]="","",IFERROR(INDEX(tblDestinations[Type],MATCH(tblMovement[[#This Row],[Destination]],tblDestinations[Destination],0)),"?"))</f>
        <v/>
      </c>
      <c r="M918" s="64">
        <f>IF(tblMovement[[#This Row],[Material]]="","",IF(LEFT(tblMovement[[#This Row],[Material]],3)="Ore",1,0))</f>
        <v/>
      </c>
      <c r="N918" s="59">
        <f>IF(OR(tblMovement[[#This Row],[Tonnes_t]]="",tblMovement[[#This Row],[Grade_gpt]]=""),0,tblMovement[[#This Row],[Tonnes_t]]*tblMovement[[#This Row],[Grade_gpt]]/cfg_TroyOz)</f>
        <v/>
      </c>
      <c r="O918" s="59">
        <f>IF(tblMovement[[#This Row],[Is_Ore]]=1,tblMovement[[#This Row],[Contained_oz]],0)</f>
        <v/>
      </c>
    </row>
    <row r="919">
      <c r="A919" s="54" t="n"/>
      <c r="B919" s="61" t="n"/>
      <c r="C919" s="61" t="n"/>
      <c r="D919" s="61" t="n"/>
      <c r="E919" s="61" t="n"/>
      <c r="F919" s="55" t="n"/>
      <c r="G919" s="56" t="n"/>
      <c r="H919" s="55" t="n"/>
      <c r="I919" s="62" t="n"/>
      <c r="J919" s="58" t="n"/>
      <c r="K919" s="63">
        <f>IF(tblMovement[[#This Row],[Source]]="","",IFERROR(INDEX(tblSources[Type],MATCH(tblMovement[[#This Row],[Source]],tblSources[Source],0)),"?"))</f>
        <v/>
      </c>
      <c r="L919" s="63">
        <f>IF(tblMovement[[#This Row],[Destination]]="","",IFERROR(INDEX(tblDestinations[Type],MATCH(tblMovement[[#This Row],[Destination]],tblDestinations[Destination],0)),"?"))</f>
        <v/>
      </c>
      <c r="M919" s="64">
        <f>IF(tblMovement[[#This Row],[Material]]="","",IF(LEFT(tblMovement[[#This Row],[Material]],3)="Ore",1,0))</f>
        <v/>
      </c>
      <c r="N919" s="59">
        <f>IF(OR(tblMovement[[#This Row],[Tonnes_t]]="",tblMovement[[#This Row],[Grade_gpt]]=""),0,tblMovement[[#This Row],[Tonnes_t]]*tblMovement[[#This Row],[Grade_gpt]]/cfg_TroyOz)</f>
        <v/>
      </c>
      <c r="O919" s="59">
        <f>IF(tblMovement[[#This Row],[Is_Ore]]=1,tblMovement[[#This Row],[Contained_oz]],0)</f>
        <v/>
      </c>
    </row>
    <row r="920">
      <c r="A920" s="54" t="n"/>
      <c r="B920" s="61" t="n"/>
      <c r="C920" s="61" t="n"/>
      <c r="D920" s="61" t="n"/>
      <c r="E920" s="61" t="n"/>
      <c r="F920" s="55" t="n"/>
      <c r="G920" s="56" t="n"/>
      <c r="H920" s="55" t="n"/>
      <c r="I920" s="62" t="n"/>
      <c r="J920" s="58" t="n"/>
      <c r="K920" s="63">
        <f>IF(tblMovement[[#This Row],[Source]]="","",IFERROR(INDEX(tblSources[Type],MATCH(tblMovement[[#This Row],[Source]],tblSources[Source],0)),"?"))</f>
        <v/>
      </c>
      <c r="L920" s="63">
        <f>IF(tblMovement[[#This Row],[Destination]]="","",IFERROR(INDEX(tblDestinations[Type],MATCH(tblMovement[[#This Row],[Destination]],tblDestinations[Destination],0)),"?"))</f>
        <v/>
      </c>
      <c r="M920" s="64">
        <f>IF(tblMovement[[#This Row],[Material]]="","",IF(LEFT(tblMovement[[#This Row],[Material]],3)="Ore",1,0))</f>
        <v/>
      </c>
      <c r="N920" s="59">
        <f>IF(OR(tblMovement[[#This Row],[Tonnes_t]]="",tblMovement[[#This Row],[Grade_gpt]]=""),0,tblMovement[[#This Row],[Tonnes_t]]*tblMovement[[#This Row],[Grade_gpt]]/cfg_TroyOz)</f>
        <v/>
      </c>
      <c r="O920" s="59">
        <f>IF(tblMovement[[#This Row],[Is_Ore]]=1,tblMovement[[#This Row],[Contained_oz]],0)</f>
        <v/>
      </c>
    </row>
    <row r="921">
      <c r="A921" s="54" t="n"/>
      <c r="B921" s="61" t="n"/>
      <c r="C921" s="61" t="n"/>
      <c r="D921" s="61" t="n"/>
      <c r="E921" s="61" t="n"/>
      <c r="F921" s="55" t="n"/>
      <c r="G921" s="56" t="n"/>
      <c r="H921" s="55" t="n"/>
      <c r="I921" s="62" t="n"/>
      <c r="J921" s="58" t="n"/>
      <c r="K921" s="63">
        <f>IF(tblMovement[[#This Row],[Source]]="","",IFERROR(INDEX(tblSources[Type],MATCH(tblMovement[[#This Row],[Source]],tblSources[Source],0)),"?"))</f>
        <v/>
      </c>
      <c r="L921" s="63">
        <f>IF(tblMovement[[#This Row],[Destination]]="","",IFERROR(INDEX(tblDestinations[Type],MATCH(tblMovement[[#This Row],[Destination]],tblDestinations[Destination],0)),"?"))</f>
        <v/>
      </c>
      <c r="M921" s="64">
        <f>IF(tblMovement[[#This Row],[Material]]="","",IF(LEFT(tblMovement[[#This Row],[Material]],3)="Ore",1,0))</f>
        <v/>
      </c>
      <c r="N921" s="59">
        <f>IF(OR(tblMovement[[#This Row],[Tonnes_t]]="",tblMovement[[#This Row],[Grade_gpt]]=""),0,tblMovement[[#This Row],[Tonnes_t]]*tblMovement[[#This Row],[Grade_gpt]]/cfg_TroyOz)</f>
        <v/>
      </c>
      <c r="O921" s="59">
        <f>IF(tblMovement[[#This Row],[Is_Ore]]=1,tblMovement[[#This Row],[Contained_oz]],0)</f>
        <v/>
      </c>
    </row>
    <row r="922">
      <c r="A922" s="54" t="n"/>
      <c r="B922" s="61" t="n"/>
      <c r="C922" s="61" t="n"/>
      <c r="D922" s="61" t="n"/>
      <c r="E922" s="61" t="n"/>
      <c r="F922" s="55" t="n"/>
      <c r="G922" s="56" t="n"/>
      <c r="H922" s="55" t="n"/>
      <c r="I922" s="62" t="n"/>
      <c r="J922" s="58" t="n"/>
      <c r="K922" s="63">
        <f>IF(tblMovement[[#This Row],[Source]]="","",IFERROR(INDEX(tblSources[Type],MATCH(tblMovement[[#This Row],[Source]],tblSources[Source],0)),"?"))</f>
        <v/>
      </c>
      <c r="L922" s="63">
        <f>IF(tblMovement[[#This Row],[Destination]]="","",IFERROR(INDEX(tblDestinations[Type],MATCH(tblMovement[[#This Row],[Destination]],tblDestinations[Destination],0)),"?"))</f>
        <v/>
      </c>
      <c r="M922" s="64">
        <f>IF(tblMovement[[#This Row],[Material]]="","",IF(LEFT(tblMovement[[#This Row],[Material]],3)="Ore",1,0))</f>
        <v/>
      </c>
      <c r="N922" s="59">
        <f>IF(OR(tblMovement[[#This Row],[Tonnes_t]]="",tblMovement[[#This Row],[Grade_gpt]]=""),0,tblMovement[[#This Row],[Tonnes_t]]*tblMovement[[#This Row],[Grade_gpt]]/cfg_TroyOz)</f>
        <v/>
      </c>
      <c r="O922" s="59">
        <f>IF(tblMovement[[#This Row],[Is_Ore]]=1,tblMovement[[#This Row],[Contained_oz]],0)</f>
        <v/>
      </c>
    </row>
    <row r="923">
      <c r="A923" s="54" t="n"/>
      <c r="B923" s="61" t="n"/>
      <c r="C923" s="61" t="n"/>
      <c r="D923" s="61" t="n"/>
      <c r="E923" s="61" t="n"/>
      <c r="F923" s="55" t="n"/>
      <c r="G923" s="56" t="n"/>
      <c r="H923" s="55" t="n"/>
      <c r="I923" s="62" t="n"/>
      <c r="J923" s="58" t="n"/>
      <c r="K923" s="63">
        <f>IF(tblMovement[[#This Row],[Source]]="","",IFERROR(INDEX(tblSources[Type],MATCH(tblMovement[[#This Row],[Source]],tblSources[Source],0)),"?"))</f>
        <v/>
      </c>
      <c r="L923" s="63">
        <f>IF(tblMovement[[#This Row],[Destination]]="","",IFERROR(INDEX(tblDestinations[Type],MATCH(tblMovement[[#This Row],[Destination]],tblDestinations[Destination],0)),"?"))</f>
        <v/>
      </c>
      <c r="M923" s="64">
        <f>IF(tblMovement[[#This Row],[Material]]="","",IF(LEFT(tblMovement[[#This Row],[Material]],3)="Ore",1,0))</f>
        <v/>
      </c>
      <c r="N923" s="59">
        <f>IF(OR(tblMovement[[#This Row],[Tonnes_t]]="",tblMovement[[#This Row],[Grade_gpt]]=""),0,tblMovement[[#This Row],[Tonnes_t]]*tblMovement[[#This Row],[Grade_gpt]]/cfg_TroyOz)</f>
        <v/>
      </c>
      <c r="O923" s="59">
        <f>IF(tblMovement[[#This Row],[Is_Ore]]=1,tblMovement[[#This Row],[Contained_oz]],0)</f>
        <v/>
      </c>
    </row>
    <row r="924">
      <c r="A924" s="54" t="n"/>
      <c r="B924" s="61" t="n"/>
      <c r="C924" s="61" t="n"/>
      <c r="D924" s="61" t="n"/>
      <c r="E924" s="61" t="n"/>
      <c r="F924" s="55" t="n"/>
      <c r="G924" s="56" t="n"/>
      <c r="H924" s="55" t="n"/>
      <c r="I924" s="62" t="n"/>
      <c r="J924" s="58" t="n"/>
      <c r="K924" s="63">
        <f>IF(tblMovement[[#This Row],[Source]]="","",IFERROR(INDEX(tblSources[Type],MATCH(tblMovement[[#This Row],[Source]],tblSources[Source],0)),"?"))</f>
        <v/>
      </c>
      <c r="L924" s="63">
        <f>IF(tblMovement[[#This Row],[Destination]]="","",IFERROR(INDEX(tblDestinations[Type],MATCH(tblMovement[[#This Row],[Destination]],tblDestinations[Destination],0)),"?"))</f>
        <v/>
      </c>
      <c r="M924" s="64">
        <f>IF(tblMovement[[#This Row],[Material]]="","",IF(LEFT(tblMovement[[#This Row],[Material]],3)="Ore",1,0))</f>
        <v/>
      </c>
      <c r="N924" s="59">
        <f>IF(OR(tblMovement[[#This Row],[Tonnes_t]]="",tblMovement[[#This Row],[Grade_gpt]]=""),0,tblMovement[[#This Row],[Tonnes_t]]*tblMovement[[#This Row],[Grade_gpt]]/cfg_TroyOz)</f>
        <v/>
      </c>
      <c r="O924" s="59">
        <f>IF(tblMovement[[#This Row],[Is_Ore]]=1,tblMovement[[#This Row],[Contained_oz]],0)</f>
        <v/>
      </c>
    </row>
    <row r="925">
      <c r="A925" s="54" t="n"/>
      <c r="B925" s="61" t="n"/>
      <c r="C925" s="61" t="n"/>
      <c r="D925" s="61" t="n"/>
      <c r="E925" s="61" t="n"/>
      <c r="F925" s="55" t="n"/>
      <c r="G925" s="56" t="n"/>
      <c r="H925" s="55" t="n"/>
      <c r="I925" s="62" t="n"/>
      <c r="J925" s="58" t="n"/>
      <c r="K925" s="63">
        <f>IF(tblMovement[[#This Row],[Source]]="","",IFERROR(INDEX(tblSources[Type],MATCH(tblMovement[[#This Row],[Source]],tblSources[Source],0)),"?"))</f>
        <v/>
      </c>
      <c r="L925" s="63">
        <f>IF(tblMovement[[#This Row],[Destination]]="","",IFERROR(INDEX(tblDestinations[Type],MATCH(tblMovement[[#This Row],[Destination]],tblDestinations[Destination],0)),"?"))</f>
        <v/>
      </c>
      <c r="M925" s="64">
        <f>IF(tblMovement[[#This Row],[Material]]="","",IF(LEFT(tblMovement[[#This Row],[Material]],3)="Ore",1,0))</f>
        <v/>
      </c>
      <c r="N925" s="59">
        <f>IF(OR(tblMovement[[#This Row],[Tonnes_t]]="",tblMovement[[#This Row],[Grade_gpt]]=""),0,tblMovement[[#This Row],[Tonnes_t]]*tblMovement[[#This Row],[Grade_gpt]]/cfg_TroyOz)</f>
        <v/>
      </c>
      <c r="O925" s="59">
        <f>IF(tblMovement[[#This Row],[Is_Ore]]=1,tblMovement[[#This Row],[Contained_oz]],0)</f>
        <v/>
      </c>
    </row>
    <row r="926">
      <c r="A926" s="54" t="n"/>
      <c r="B926" s="61" t="n"/>
      <c r="C926" s="61" t="n"/>
      <c r="D926" s="61" t="n"/>
      <c r="E926" s="61" t="n"/>
      <c r="F926" s="55" t="n"/>
      <c r="G926" s="56" t="n"/>
      <c r="H926" s="55" t="n"/>
      <c r="I926" s="62" t="n"/>
      <c r="J926" s="58" t="n"/>
      <c r="K926" s="63">
        <f>IF(tblMovement[[#This Row],[Source]]="","",IFERROR(INDEX(tblSources[Type],MATCH(tblMovement[[#This Row],[Source]],tblSources[Source],0)),"?"))</f>
        <v/>
      </c>
      <c r="L926" s="63">
        <f>IF(tblMovement[[#This Row],[Destination]]="","",IFERROR(INDEX(tblDestinations[Type],MATCH(tblMovement[[#This Row],[Destination]],tblDestinations[Destination],0)),"?"))</f>
        <v/>
      </c>
      <c r="M926" s="64">
        <f>IF(tblMovement[[#This Row],[Material]]="","",IF(LEFT(tblMovement[[#This Row],[Material]],3)="Ore",1,0))</f>
        <v/>
      </c>
      <c r="N926" s="59">
        <f>IF(OR(tblMovement[[#This Row],[Tonnes_t]]="",tblMovement[[#This Row],[Grade_gpt]]=""),0,tblMovement[[#This Row],[Tonnes_t]]*tblMovement[[#This Row],[Grade_gpt]]/cfg_TroyOz)</f>
        <v/>
      </c>
      <c r="O926" s="59">
        <f>IF(tblMovement[[#This Row],[Is_Ore]]=1,tblMovement[[#This Row],[Contained_oz]],0)</f>
        <v/>
      </c>
    </row>
    <row r="927">
      <c r="A927" s="54" t="n"/>
      <c r="B927" s="61" t="n"/>
      <c r="C927" s="61" t="n"/>
      <c r="D927" s="61" t="n"/>
      <c r="E927" s="61" t="n"/>
      <c r="F927" s="55" t="n"/>
      <c r="G927" s="56" t="n"/>
      <c r="H927" s="55" t="n"/>
      <c r="I927" s="62" t="n"/>
      <c r="J927" s="58" t="n"/>
      <c r="K927" s="63">
        <f>IF(tblMovement[[#This Row],[Source]]="","",IFERROR(INDEX(tblSources[Type],MATCH(tblMovement[[#This Row],[Source]],tblSources[Source],0)),"?"))</f>
        <v/>
      </c>
      <c r="L927" s="63">
        <f>IF(tblMovement[[#This Row],[Destination]]="","",IFERROR(INDEX(tblDestinations[Type],MATCH(tblMovement[[#This Row],[Destination]],tblDestinations[Destination],0)),"?"))</f>
        <v/>
      </c>
      <c r="M927" s="64">
        <f>IF(tblMovement[[#This Row],[Material]]="","",IF(LEFT(tblMovement[[#This Row],[Material]],3)="Ore",1,0))</f>
        <v/>
      </c>
      <c r="N927" s="59">
        <f>IF(OR(tblMovement[[#This Row],[Tonnes_t]]="",tblMovement[[#This Row],[Grade_gpt]]=""),0,tblMovement[[#This Row],[Tonnes_t]]*tblMovement[[#This Row],[Grade_gpt]]/cfg_TroyOz)</f>
        <v/>
      </c>
      <c r="O927" s="59">
        <f>IF(tblMovement[[#This Row],[Is_Ore]]=1,tblMovement[[#This Row],[Contained_oz]],0)</f>
        <v/>
      </c>
    </row>
    <row r="928">
      <c r="A928" s="54" t="n"/>
      <c r="B928" s="61" t="n"/>
      <c r="C928" s="61" t="n"/>
      <c r="D928" s="61" t="n"/>
      <c r="E928" s="61" t="n"/>
      <c r="F928" s="55" t="n"/>
      <c r="G928" s="56" t="n"/>
      <c r="H928" s="55" t="n"/>
      <c r="I928" s="62" t="n"/>
      <c r="J928" s="58" t="n"/>
      <c r="K928" s="63">
        <f>IF(tblMovement[[#This Row],[Source]]="","",IFERROR(INDEX(tblSources[Type],MATCH(tblMovement[[#This Row],[Source]],tblSources[Source],0)),"?"))</f>
        <v/>
      </c>
      <c r="L928" s="63">
        <f>IF(tblMovement[[#This Row],[Destination]]="","",IFERROR(INDEX(tblDestinations[Type],MATCH(tblMovement[[#This Row],[Destination]],tblDestinations[Destination],0)),"?"))</f>
        <v/>
      </c>
      <c r="M928" s="64">
        <f>IF(tblMovement[[#This Row],[Material]]="","",IF(LEFT(tblMovement[[#This Row],[Material]],3)="Ore",1,0))</f>
        <v/>
      </c>
      <c r="N928" s="59">
        <f>IF(OR(tblMovement[[#This Row],[Tonnes_t]]="",tblMovement[[#This Row],[Grade_gpt]]=""),0,tblMovement[[#This Row],[Tonnes_t]]*tblMovement[[#This Row],[Grade_gpt]]/cfg_TroyOz)</f>
        <v/>
      </c>
      <c r="O928" s="59">
        <f>IF(tblMovement[[#This Row],[Is_Ore]]=1,tblMovement[[#This Row],[Contained_oz]],0)</f>
        <v/>
      </c>
    </row>
    <row r="929">
      <c r="A929" s="54" t="n"/>
      <c r="B929" s="61" t="n"/>
      <c r="C929" s="61" t="n"/>
      <c r="D929" s="61" t="n"/>
      <c r="E929" s="61" t="n"/>
      <c r="F929" s="55" t="n"/>
      <c r="G929" s="56" t="n"/>
      <c r="H929" s="55" t="n"/>
      <c r="I929" s="62" t="n"/>
      <c r="J929" s="58" t="n"/>
      <c r="K929" s="63">
        <f>IF(tblMovement[[#This Row],[Source]]="","",IFERROR(INDEX(tblSources[Type],MATCH(tblMovement[[#This Row],[Source]],tblSources[Source],0)),"?"))</f>
        <v/>
      </c>
      <c r="L929" s="63">
        <f>IF(tblMovement[[#This Row],[Destination]]="","",IFERROR(INDEX(tblDestinations[Type],MATCH(tblMovement[[#This Row],[Destination]],tblDestinations[Destination],0)),"?"))</f>
        <v/>
      </c>
      <c r="M929" s="64">
        <f>IF(tblMovement[[#This Row],[Material]]="","",IF(LEFT(tblMovement[[#This Row],[Material]],3)="Ore",1,0))</f>
        <v/>
      </c>
      <c r="N929" s="59">
        <f>IF(OR(tblMovement[[#This Row],[Tonnes_t]]="",tblMovement[[#This Row],[Grade_gpt]]=""),0,tblMovement[[#This Row],[Tonnes_t]]*tblMovement[[#This Row],[Grade_gpt]]/cfg_TroyOz)</f>
        <v/>
      </c>
      <c r="O929" s="59">
        <f>IF(tblMovement[[#This Row],[Is_Ore]]=1,tblMovement[[#This Row],[Contained_oz]],0)</f>
        <v/>
      </c>
    </row>
    <row r="930">
      <c r="A930" s="54" t="n"/>
      <c r="B930" s="61" t="n"/>
      <c r="C930" s="61" t="n"/>
      <c r="D930" s="61" t="n"/>
      <c r="E930" s="61" t="n"/>
      <c r="F930" s="55" t="n"/>
      <c r="G930" s="56" t="n"/>
      <c r="H930" s="55" t="n"/>
      <c r="I930" s="62" t="n"/>
      <c r="J930" s="58" t="n"/>
      <c r="K930" s="63">
        <f>IF(tblMovement[[#This Row],[Source]]="","",IFERROR(INDEX(tblSources[Type],MATCH(tblMovement[[#This Row],[Source]],tblSources[Source],0)),"?"))</f>
        <v/>
      </c>
      <c r="L930" s="63">
        <f>IF(tblMovement[[#This Row],[Destination]]="","",IFERROR(INDEX(tblDestinations[Type],MATCH(tblMovement[[#This Row],[Destination]],tblDestinations[Destination],0)),"?"))</f>
        <v/>
      </c>
      <c r="M930" s="64">
        <f>IF(tblMovement[[#This Row],[Material]]="","",IF(LEFT(tblMovement[[#This Row],[Material]],3)="Ore",1,0))</f>
        <v/>
      </c>
      <c r="N930" s="59">
        <f>IF(OR(tblMovement[[#This Row],[Tonnes_t]]="",tblMovement[[#This Row],[Grade_gpt]]=""),0,tblMovement[[#This Row],[Tonnes_t]]*tblMovement[[#This Row],[Grade_gpt]]/cfg_TroyOz)</f>
        <v/>
      </c>
      <c r="O930" s="59">
        <f>IF(tblMovement[[#This Row],[Is_Ore]]=1,tblMovement[[#This Row],[Contained_oz]],0)</f>
        <v/>
      </c>
    </row>
    <row r="931">
      <c r="A931" s="54" t="n"/>
      <c r="B931" s="61" t="n"/>
      <c r="C931" s="61" t="n"/>
      <c r="D931" s="61" t="n"/>
      <c r="E931" s="61" t="n"/>
      <c r="F931" s="55" t="n"/>
      <c r="G931" s="56" t="n"/>
      <c r="H931" s="55" t="n"/>
      <c r="I931" s="62" t="n"/>
      <c r="J931" s="58" t="n"/>
      <c r="K931" s="63">
        <f>IF(tblMovement[[#This Row],[Source]]="","",IFERROR(INDEX(tblSources[Type],MATCH(tblMovement[[#This Row],[Source]],tblSources[Source],0)),"?"))</f>
        <v/>
      </c>
      <c r="L931" s="63">
        <f>IF(tblMovement[[#This Row],[Destination]]="","",IFERROR(INDEX(tblDestinations[Type],MATCH(tblMovement[[#This Row],[Destination]],tblDestinations[Destination],0)),"?"))</f>
        <v/>
      </c>
      <c r="M931" s="64">
        <f>IF(tblMovement[[#This Row],[Material]]="","",IF(LEFT(tblMovement[[#This Row],[Material]],3)="Ore",1,0))</f>
        <v/>
      </c>
      <c r="N931" s="59">
        <f>IF(OR(tblMovement[[#This Row],[Tonnes_t]]="",tblMovement[[#This Row],[Grade_gpt]]=""),0,tblMovement[[#This Row],[Tonnes_t]]*tblMovement[[#This Row],[Grade_gpt]]/cfg_TroyOz)</f>
        <v/>
      </c>
      <c r="O931" s="59">
        <f>IF(tblMovement[[#This Row],[Is_Ore]]=1,tblMovement[[#This Row],[Contained_oz]],0)</f>
        <v/>
      </c>
    </row>
    <row r="932">
      <c r="A932" s="54" t="n"/>
      <c r="B932" s="61" t="n"/>
      <c r="C932" s="61" t="n"/>
      <c r="D932" s="61" t="n"/>
      <c r="E932" s="61" t="n"/>
      <c r="F932" s="55" t="n"/>
      <c r="G932" s="56" t="n"/>
      <c r="H932" s="55" t="n"/>
      <c r="I932" s="62" t="n"/>
      <c r="J932" s="58" t="n"/>
      <c r="K932" s="63">
        <f>IF(tblMovement[[#This Row],[Source]]="","",IFERROR(INDEX(tblSources[Type],MATCH(tblMovement[[#This Row],[Source]],tblSources[Source],0)),"?"))</f>
        <v/>
      </c>
      <c r="L932" s="63">
        <f>IF(tblMovement[[#This Row],[Destination]]="","",IFERROR(INDEX(tblDestinations[Type],MATCH(tblMovement[[#This Row],[Destination]],tblDestinations[Destination],0)),"?"))</f>
        <v/>
      </c>
      <c r="M932" s="64">
        <f>IF(tblMovement[[#This Row],[Material]]="","",IF(LEFT(tblMovement[[#This Row],[Material]],3)="Ore",1,0))</f>
        <v/>
      </c>
      <c r="N932" s="59">
        <f>IF(OR(tblMovement[[#This Row],[Tonnes_t]]="",tblMovement[[#This Row],[Grade_gpt]]=""),0,tblMovement[[#This Row],[Tonnes_t]]*tblMovement[[#This Row],[Grade_gpt]]/cfg_TroyOz)</f>
        <v/>
      </c>
      <c r="O932" s="59">
        <f>IF(tblMovement[[#This Row],[Is_Ore]]=1,tblMovement[[#This Row],[Contained_oz]],0)</f>
        <v/>
      </c>
    </row>
    <row r="933">
      <c r="A933" s="54" t="n"/>
      <c r="B933" s="61" t="n"/>
      <c r="C933" s="61" t="n"/>
      <c r="D933" s="61" t="n"/>
      <c r="E933" s="61" t="n"/>
      <c r="F933" s="55" t="n"/>
      <c r="G933" s="56" t="n"/>
      <c r="H933" s="55" t="n"/>
      <c r="I933" s="62" t="n"/>
      <c r="J933" s="58" t="n"/>
      <c r="K933" s="63">
        <f>IF(tblMovement[[#This Row],[Source]]="","",IFERROR(INDEX(tblSources[Type],MATCH(tblMovement[[#This Row],[Source]],tblSources[Source],0)),"?"))</f>
        <v/>
      </c>
      <c r="L933" s="63">
        <f>IF(tblMovement[[#This Row],[Destination]]="","",IFERROR(INDEX(tblDestinations[Type],MATCH(tblMovement[[#This Row],[Destination]],tblDestinations[Destination],0)),"?"))</f>
        <v/>
      </c>
      <c r="M933" s="64">
        <f>IF(tblMovement[[#This Row],[Material]]="","",IF(LEFT(tblMovement[[#This Row],[Material]],3)="Ore",1,0))</f>
        <v/>
      </c>
      <c r="N933" s="59">
        <f>IF(OR(tblMovement[[#This Row],[Tonnes_t]]="",tblMovement[[#This Row],[Grade_gpt]]=""),0,tblMovement[[#This Row],[Tonnes_t]]*tblMovement[[#This Row],[Grade_gpt]]/cfg_TroyOz)</f>
        <v/>
      </c>
      <c r="O933" s="59">
        <f>IF(tblMovement[[#This Row],[Is_Ore]]=1,tblMovement[[#This Row],[Contained_oz]],0)</f>
        <v/>
      </c>
    </row>
    <row r="934">
      <c r="A934" s="54" t="n"/>
      <c r="B934" s="61" t="n"/>
      <c r="C934" s="61" t="n"/>
      <c r="D934" s="61" t="n"/>
      <c r="E934" s="61" t="n"/>
      <c r="F934" s="55" t="n"/>
      <c r="G934" s="56" t="n"/>
      <c r="H934" s="55" t="n"/>
      <c r="I934" s="62" t="n"/>
      <c r="J934" s="58" t="n"/>
      <c r="K934" s="63">
        <f>IF(tblMovement[[#This Row],[Source]]="","",IFERROR(INDEX(tblSources[Type],MATCH(tblMovement[[#This Row],[Source]],tblSources[Source],0)),"?"))</f>
        <v/>
      </c>
      <c r="L934" s="63">
        <f>IF(tblMovement[[#This Row],[Destination]]="","",IFERROR(INDEX(tblDestinations[Type],MATCH(tblMovement[[#This Row],[Destination]],tblDestinations[Destination],0)),"?"))</f>
        <v/>
      </c>
      <c r="M934" s="64">
        <f>IF(tblMovement[[#This Row],[Material]]="","",IF(LEFT(tblMovement[[#This Row],[Material]],3)="Ore",1,0))</f>
        <v/>
      </c>
      <c r="N934" s="59">
        <f>IF(OR(tblMovement[[#This Row],[Tonnes_t]]="",tblMovement[[#This Row],[Grade_gpt]]=""),0,tblMovement[[#This Row],[Tonnes_t]]*tblMovement[[#This Row],[Grade_gpt]]/cfg_TroyOz)</f>
        <v/>
      </c>
      <c r="O934" s="59">
        <f>IF(tblMovement[[#This Row],[Is_Ore]]=1,tblMovement[[#This Row],[Contained_oz]],0)</f>
        <v/>
      </c>
    </row>
    <row r="935">
      <c r="A935" s="54" t="n"/>
      <c r="B935" s="61" t="n"/>
      <c r="C935" s="61" t="n"/>
      <c r="D935" s="61" t="n"/>
      <c r="E935" s="61" t="n"/>
      <c r="F935" s="55" t="n"/>
      <c r="G935" s="56" t="n"/>
      <c r="H935" s="55" t="n"/>
      <c r="I935" s="62" t="n"/>
      <c r="J935" s="58" t="n"/>
      <c r="K935" s="63">
        <f>IF(tblMovement[[#This Row],[Source]]="","",IFERROR(INDEX(tblSources[Type],MATCH(tblMovement[[#This Row],[Source]],tblSources[Source],0)),"?"))</f>
        <v/>
      </c>
      <c r="L935" s="63">
        <f>IF(tblMovement[[#This Row],[Destination]]="","",IFERROR(INDEX(tblDestinations[Type],MATCH(tblMovement[[#This Row],[Destination]],tblDestinations[Destination],0)),"?"))</f>
        <v/>
      </c>
      <c r="M935" s="64">
        <f>IF(tblMovement[[#This Row],[Material]]="","",IF(LEFT(tblMovement[[#This Row],[Material]],3)="Ore",1,0))</f>
        <v/>
      </c>
      <c r="N935" s="59">
        <f>IF(OR(tblMovement[[#This Row],[Tonnes_t]]="",tblMovement[[#This Row],[Grade_gpt]]=""),0,tblMovement[[#This Row],[Tonnes_t]]*tblMovement[[#This Row],[Grade_gpt]]/cfg_TroyOz)</f>
        <v/>
      </c>
      <c r="O935" s="59">
        <f>IF(tblMovement[[#This Row],[Is_Ore]]=1,tblMovement[[#This Row],[Contained_oz]],0)</f>
        <v/>
      </c>
    </row>
    <row r="936">
      <c r="A936" s="54" t="n"/>
      <c r="B936" s="61" t="n"/>
      <c r="C936" s="61" t="n"/>
      <c r="D936" s="61" t="n"/>
      <c r="E936" s="61" t="n"/>
      <c r="F936" s="55" t="n"/>
      <c r="G936" s="56" t="n"/>
      <c r="H936" s="55" t="n"/>
      <c r="I936" s="62" t="n"/>
      <c r="J936" s="58" t="n"/>
      <c r="K936" s="63">
        <f>IF(tblMovement[[#This Row],[Source]]="","",IFERROR(INDEX(tblSources[Type],MATCH(tblMovement[[#This Row],[Source]],tblSources[Source],0)),"?"))</f>
        <v/>
      </c>
      <c r="L936" s="63">
        <f>IF(tblMovement[[#This Row],[Destination]]="","",IFERROR(INDEX(tblDestinations[Type],MATCH(tblMovement[[#This Row],[Destination]],tblDestinations[Destination],0)),"?"))</f>
        <v/>
      </c>
      <c r="M936" s="64">
        <f>IF(tblMovement[[#This Row],[Material]]="","",IF(LEFT(tblMovement[[#This Row],[Material]],3)="Ore",1,0))</f>
        <v/>
      </c>
      <c r="N936" s="59">
        <f>IF(OR(tblMovement[[#This Row],[Tonnes_t]]="",tblMovement[[#This Row],[Grade_gpt]]=""),0,tblMovement[[#This Row],[Tonnes_t]]*tblMovement[[#This Row],[Grade_gpt]]/cfg_TroyOz)</f>
        <v/>
      </c>
      <c r="O936" s="59">
        <f>IF(tblMovement[[#This Row],[Is_Ore]]=1,tblMovement[[#This Row],[Contained_oz]],0)</f>
        <v/>
      </c>
    </row>
    <row r="937">
      <c r="A937" s="54" t="n"/>
      <c r="B937" s="61" t="n"/>
      <c r="C937" s="61" t="n"/>
      <c r="D937" s="61" t="n"/>
      <c r="E937" s="61" t="n"/>
      <c r="F937" s="55" t="n"/>
      <c r="G937" s="56" t="n"/>
      <c r="H937" s="55" t="n"/>
      <c r="I937" s="62" t="n"/>
      <c r="J937" s="58" t="n"/>
      <c r="K937" s="63">
        <f>IF(tblMovement[[#This Row],[Source]]="","",IFERROR(INDEX(tblSources[Type],MATCH(tblMovement[[#This Row],[Source]],tblSources[Source],0)),"?"))</f>
        <v/>
      </c>
      <c r="L937" s="63">
        <f>IF(tblMovement[[#This Row],[Destination]]="","",IFERROR(INDEX(tblDestinations[Type],MATCH(tblMovement[[#This Row],[Destination]],tblDestinations[Destination],0)),"?"))</f>
        <v/>
      </c>
      <c r="M937" s="64">
        <f>IF(tblMovement[[#This Row],[Material]]="","",IF(LEFT(tblMovement[[#This Row],[Material]],3)="Ore",1,0))</f>
        <v/>
      </c>
      <c r="N937" s="59">
        <f>IF(OR(tblMovement[[#This Row],[Tonnes_t]]="",tblMovement[[#This Row],[Grade_gpt]]=""),0,tblMovement[[#This Row],[Tonnes_t]]*tblMovement[[#This Row],[Grade_gpt]]/cfg_TroyOz)</f>
        <v/>
      </c>
      <c r="O937" s="59">
        <f>IF(tblMovement[[#This Row],[Is_Ore]]=1,tblMovement[[#This Row],[Contained_oz]],0)</f>
        <v/>
      </c>
    </row>
    <row r="938">
      <c r="A938" s="54" t="n"/>
      <c r="B938" s="61" t="n"/>
      <c r="C938" s="61" t="n"/>
      <c r="D938" s="61" t="n"/>
      <c r="E938" s="61" t="n"/>
      <c r="F938" s="55" t="n"/>
      <c r="G938" s="56" t="n"/>
      <c r="H938" s="55" t="n"/>
      <c r="I938" s="62" t="n"/>
      <c r="J938" s="58" t="n"/>
      <c r="K938" s="63">
        <f>IF(tblMovement[[#This Row],[Source]]="","",IFERROR(INDEX(tblSources[Type],MATCH(tblMovement[[#This Row],[Source]],tblSources[Source],0)),"?"))</f>
        <v/>
      </c>
      <c r="L938" s="63">
        <f>IF(tblMovement[[#This Row],[Destination]]="","",IFERROR(INDEX(tblDestinations[Type],MATCH(tblMovement[[#This Row],[Destination]],tblDestinations[Destination],0)),"?"))</f>
        <v/>
      </c>
      <c r="M938" s="64">
        <f>IF(tblMovement[[#This Row],[Material]]="","",IF(LEFT(tblMovement[[#This Row],[Material]],3)="Ore",1,0))</f>
        <v/>
      </c>
      <c r="N938" s="59">
        <f>IF(OR(tblMovement[[#This Row],[Tonnes_t]]="",tblMovement[[#This Row],[Grade_gpt]]=""),0,tblMovement[[#This Row],[Tonnes_t]]*tblMovement[[#This Row],[Grade_gpt]]/cfg_TroyOz)</f>
        <v/>
      </c>
      <c r="O938" s="59">
        <f>IF(tblMovement[[#This Row],[Is_Ore]]=1,tblMovement[[#This Row],[Contained_oz]],0)</f>
        <v/>
      </c>
    </row>
    <row r="939">
      <c r="A939" s="54" t="n"/>
      <c r="B939" s="61" t="n"/>
      <c r="C939" s="61" t="n"/>
      <c r="D939" s="61" t="n"/>
      <c r="E939" s="61" t="n"/>
      <c r="F939" s="55" t="n"/>
      <c r="G939" s="56" t="n"/>
      <c r="H939" s="55" t="n"/>
      <c r="I939" s="62" t="n"/>
      <c r="J939" s="58" t="n"/>
      <c r="K939" s="63">
        <f>IF(tblMovement[[#This Row],[Source]]="","",IFERROR(INDEX(tblSources[Type],MATCH(tblMovement[[#This Row],[Source]],tblSources[Source],0)),"?"))</f>
        <v/>
      </c>
      <c r="L939" s="63">
        <f>IF(tblMovement[[#This Row],[Destination]]="","",IFERROR(INDEX(tblDestinations[Type],MATCH(tblMovement[[#This Row],[Destination]],tblDestinations[Destination],0)),"?"))</f>
        <v/>
      </c>
      <c r="M939" s="64">
        <f>IF(tblMovement[[#This Row],[Material]]="","",IF(LEFT(tblMovement[[#This Row],[Material]],3)="Ore",1,0))</f>
        <v/>
      </c>
      <c r="N939" s="59">
        <f>IF(OR(tblMovement[[#This Row],[Tonnes_t]]="",tblMovement[[#This Row],[Grade_gpt]]=""),0,tblMovement[[#This Row],[Tonnes_t]]*tblMovement[[#This Row],[Grade_gpt]]/cfg_TroyOz)</f>
        <v/>
      </c>
      <c r="O939" s="59">
        <f>IF(tblMovement[[#This Row],[Is_Ore]]=1,tblMovement[[#This Row],[Contained_oz]],0)</f>
        <v/>
      </c>
    </row>
    <row r="940">
      <c r="A940" s="54" t="n"/>
      <c r="B940" s="61" t="n"/>
      <c r="C940" s="61" t="n"/>
      <c r="D940" s="61" t="n"/>
      <c r="E940" s="61" t="n"/>
      <c r="F940" s="55" t="n"/>
      <c r="G940" s="56" t="n"/>
      <c r="H940" s="55" t="n"/>
      <c r="I940" s="62" t="n"/>
      <c r="J940" s="58" t="n"/>
      <c r="K940" s="63">
        <f>IF(tblMovement[[#This Row],[Source]]="","",IFERROR(INDEX(tblSources[Type],MATCH(tblMovement[[#This Row],[Source]],tblSources[Source],0)),"?"))</f>
        <v/>
      </c>
      <c r="L940" s="63">
        <f>IF(tblMovement[[#This Row],[Destination]]="","",IFERROR(INDEX(tblDestinations[Type],MATCH(tblMovement[[#This Row],[Destination]],tblDestinations[Destination],0)),"?"))</f>
        <v/>
      </c>
      <c r="M940" s="64">
        <f>IF(tblMovement[[#This Row],[Material]]="","",IF(LEFT(tblMovement[[#This Row],[Material]],3)="Ore",1,0))</f>
        <v/>
      </c>
      <c r="N940" s="59">
        <f>IF(OR(tblMovement[[#This Row],[Tonnes_t]]="",tblMovement[[#This Row],[Grade_gpt]]=""),0,tblMovement[[#This Row],[Tonnes_t]]*tblMovement[[#This Row],[Grade_gpt]]/cfg_TroyOz)</f>
        <v/>
      </c>
      <c r="O940" s="59">
        <f>IF(tblMovement[[#This Row],[Is_Ore]]=1,tblMovement[[#This Row],[Contained_oz]],0)</f>
        <v/>
      </c>
    </row>
    <row r="941">
      <c r="A941" s="54" t="n"/>
      <c r="B941" s="61" t="n"/>
      <c r="C941" s="61" t="n"/>
      <c r="D941" s="61" t="n"/>
      <c r="E941" s="61" t="n"/>
      <c r="F941" s="55" t="n"/>
      <c r="G941" s="56" t="n"/>
      <c r="H941" s="55" t="n"/>
      <c r="I941" s="62" t="n"/>
      <c r="J941" s="58" t="n"/>
      <c r="K941" s="63">
        <f>IF(tblMovement[[#This Row],[Source]]="","",IFERROR(INDEX(tblSources[Type],MATCH(tblMovement[[#This Row],[Source]],tblSources[Source],0)),"?"))</f>
        <v/>
      </c>
      <c r="L941" s="63">
        <f>IF(tblMovement[[#This Row],[Destination]]="","",IFERROR(INDEX(tblDestinations[Type],MATCH(tblMovement[[#This Row],[Destination]],tblDestinations[Destination],0)),"?"))</f>
        <v/>
      </c>
      <c r="M941" s="64">
        <f>IF(tblMovement[[#This Row],[Material]]="","",IF(LEFT(tblMovement[[#This Row],[Material]],3)="Ore",1,0))</f>
        <v/>
      </c>
      <c r="N941" s="59">
        <f>IF(OR(tblMovement[[#This Row],[Tonnes_t]]="",tblMovement[[#This Row],[Grade_gpt]]=""),0,tblMovement[[#This Row],[Tonnes_t]]*tblMovement[[#This Row],[Grade_gpt]]/cfg_TroyOz)</f>
        <v/>
      </c>
      <c r="O941" s="59">
        <f>IF(tblMovement[[#This Row],[Is_Ore]]=1,tblMovement[[#This Row],[Contained_oz]],0)</f>
        <v/>
      </c>
    </row>
    <row r="942">
      <c r="A942" s="54" t="n"/>
      <c r="B942" s="61" t="n"/>
      <c r="C942" s="61" t="n"/>
      <c r="D942" s="61" t="n"/>
      <c r="E942" s="61" t="n"/>
      <c r="F942" s="55" t="n"/>
      <c r="G942" s="56" t="n"/>
      <c r="H942" s="55" t="n"/>
      <c r="I942" s="62" t="n"/>
      <c r="J942" s="58" t="n"/>
      <c r="K942" s="63">
        <f>IF(tblMovement[[#This Row],[Source]]="","",IFERROR(INDEX(tblSources[Type],MATCH(tblMovement[[#This Row],[Source]],tblSources[Source],0)),"?"))</f>
        <v/>
      </c>
      <c r="L942" s="63">
        <f>IF(tblMovement[[#This Row],[Destination]]="","",IFERROR(INDEX(tblDestinations[Type],MATCH(tblMovement[[#This Row],[Destination]],tblDestinations[Destination],0)),"?"))</f>
        <v/>
      </c>
      <c r="M942" s="64">
        <f>IF(tblMovement[[#This Row],[Material]]="","",IF(LEFT(tblMovement[[#This Row],[Material]],3)="Ore",1,0))</f>
        <v/>
      </c>
      <c r="N942" s="59">
        <f>IF(OR(tblMovement[[#This Row],[Tonnes_t]]="",tblMovement[[#This Row],[Grade_gpt]]=""),0,tblMovement[[#This Row],[Tonnes_t]]*tblMovement[[#This Row],[Grade_gpt]]/cfg_TroyOz)</f>
        <v/>
      </c>
      <c r="O942" s="59">
        <f>IF(tblMovement[[#This Row],[Is_Ore]]=1,tblMovement[[#This Row],[Contained_oz]],0)</f>
        <v/>
      </c>
    </row>
    <row r="943">
      <c r="A943" s="54" t="n"/>
      <c r="B943" s="61" t="n"/>
      <c r="C943" s="61" t="n"/>
      <c r="D943" s="61" t="n"/>
      <c r="E943" s="61" t="n"/>
      <c r="F943" s="55" t="n"/>
      <c r="G943" s="56" t="n"/>
      <c r="H943" s="55" t="n"/>
      <c r="I943" s="62" t="n"/>
      <c r="J943" s="58" t="n"/>
      <c r="K943" s="63">
        <f>IF(tblMovement[[#This Row],[Source]]="","",IFERROR(INDEX(tblSources[Type],MATCH(tblMovement[[#This Row],[Source]],tblSources[Source],0)),"?"))</f>
        <v/>
      </c>
      <c r="L943" s="63">
        <f>IF(tblMovement[[#This Row],[Destination]]="","",IFERROR(INDEX(tblDestinations[Type],MATCH(tblMovement[[#This Row],[Destination]],tblDestinations[Destination],0)),"?"))</f>
        <v/>
      </c>
      <c r="M943" s="64">
        <f>IF(tblMovement[[#This Row],[Material]]="","",IF(LEFT(tblMovement[[#This Row],[Material]],3)="Ore",1,0))</f>
        <v/>
      </c>
      <c r="N943" s="59">
        <f>IF(OR(tblMovement[[#This Row],[Tonnes_t]]="",tblMovement[[#This Row],[Grade_gpt]]=""),0,tblMovement[[#This Row],[Tonnes_t]]*tblMovement[[#This Row],[Grade_gpt]]/cfg_TroyOz)</f>
        <v/>
      </c>
      <c r="O943" s="59">
        <f>IF(tblMovement[[#This Row],[Is_Ore]]=1,tblMovement[[#This Row],[Contained_oz]],0)</f>
        <v/>
      </c>
    </row>
    <row r="944">
      <c r="A944" s="54" t="n"/>
      <c r="B944" s="61" t="n"/>
      <c r="C944" s="61" t="n"/>
      <c r="D944" s="61" t="n"/>
      <c r="E944" s="61" t="n"/>
      <c r="F944" s="55" t="n"/>
      <c r="G944" s="56" t="n"/>
      <c r="H944" s="55" t="n"/>
      <c r="I944" s="62" t="n"/>
      <c r="J944" s="58" t="n"/>
      <c r="K944" s="63">
        <f>IF(tblMovement[[#This Row],[Source]]="","",IFERROR(INDEX(tblSources[Type],MATCH(tblMovement[[#This Row],[Source]],tblSources[Source],0)),"?"))</f>
        <v/>
      </c>
      <c r="L944" s="63">
        <f>IF(tblMovement[[#This Row],[Destination]]="","",IFERROR(INDEX(tblDestinations[Type],MATCH(tblMovement[[#This Row],[Destination]],tblDestinations[Destination],0)),"?"))</f>
        <v/>
      </c>
      <c r="M944" s="64">
        <f>IF(tblMovement[[#This Row],[Material]]="","",IF(LEFT(tblMovement[[#This Row],[Material]],3)="Ore",1,0))</f>
        <v/>
      </c>
      <c r="N944" s="59">
        <f>IF(OR(tblMovement[[#This Row],[Tonnes_t]]="",tblMovement[[#This Row],[Grade_gpt]]=""),0,tblMovement[[#This Row],[Tonnes_t]]*tblMovement[[#This Row],[Grade_gpt]]/cfg_TroyOz)</f>
        <v/>
      </c>
      <c r="O944" s="59">
        <f>IF(tblMovement[[#This Row],[Is_Ore]]=1,tblMovement[[#This Row],[Contained_oz]],0)</f>
        <v/>
      </c>
    </row>
    <row r="945">
      <c r="A945" s="54" t="n"/>
      <c r="B945" s="61" t="n"/>
      <c r="C945" s="61" t="n"/>
      <c r="D945" s="61" t="n"/>
      <c r="E945" s="61" t="n"/>
      <c r="F945" s="55" t="n"/>
      <c r="G945" s="56" t="n"/>
      <c r="H945" s="55" t="n"/>
      <c r="I945" s="62" t="n"/>
      <c r="J945" s="58" t="n"/>
      <c r="K945" s="63">
        <f>IF(tblMovement[[#This Row],[Source]]="","",IFERROR(INDEX(tblSources[Type],MATCH(tblMovement[[#This Row],[Source]],tblSources[Source],0)),"?"))</f>
        <v/>
      </c>
      <c r="L945" s="63">
        <f>IF(tblMovement[[#This Row],[Destination]]="","",IFERROR(INDEX(tblDestinations[Type],MATCH(tblMovement[[#This Row],[Destination]],tblDestinations[Destination],0)),"?"))</f>
        <v/>
      </c>
      <c r="M945" s="64">
        <f>IF(tblMovement[[#This Row],[Material]]="","",IF(LEFT(tblMovement[[#This Row],[Material]],3)="Ore",1,0))</f>
        <v/>
      </c>
      <c r="N945" s="59">
        <f>IF(OR(tblMovement[[#This Row],[Tonnes_t]]="",tblMovement[[#This Row],[Grade_gpt]]=""),0,tblMovement[[#This Row],[Tonnes_t]]*tblMovement[[#This Row],[Grade_gpt]]/cfg_TroyOz)</f>
        <v/>
      </c>
      <c r="O945" s="59">
        <f>IF(tblMovement[[#This Row],[Is_Ore]]=1,tblMovement[[#This Row],[Contained_oz]],0)</f>
        <v/>
      </c>
    </row>
    <row r="946">
      <c r="A946" s="54" t="n"/>
      <c r="B946" s="61" t="n"/>
      <c r="C946" s="61" t="n"/>
      <c r="D946" s="61" t="n"/>
      <c r="E946" s="61" t="n"/>
      <c r="F946" s="55" t="n"/>
      <c r="G946" s="56" t="n"/>
      <c r="H946" s="55" t="n"/>
      <c r="I946" s="62" t="n"/>
      <c r="J946" s="58" t="n"/>
      <c r="K946" s="63">
        <f>IF(tblMovement[[#This Row],[Source]]="","",IFERROR(INDEX(tblSources[Type],MATCH(tblMovement[[#This Row],[Source]],tblSources[Source],0)),"?"))</f>
        <v/>
      </c>
      <c r="L946" s="63">
        <f>IF(tblMovement[[#This Row],[Destination]]="","",IFERROR(INDEX(tblDestinations[Type],MATCH(tblMovement[[#This Row],[Destination]],tblDestinations[Destination],0)),"?"))</f>
        <v/>
      </c>
      <c r="M946" s="64">
        <f>IF(tblMovement[[#This Row],[Material]]="","",IF(LEFT(tblMovement[[#This Row],[Material]],3)="Ore",1,0))</f>
        <v/>
      </c>
      <c r="N946" s="59">
        <f>IF(OR(tblMovement[[#This Row],[Tonnes_t]]="",tblMovement[[#This Row],[Grade_gpt]]=""),0,tblMovement[[#This Row],[Tonnes_t]]*tblMovement[[#This Row],[Grade_gpt]]/cfg_TroyOz)</f>
        <v/>
      </c>
      <c r="O946" s="59">
        <f>IF(tblMovement[[#This Row],[Is_Ore]]=1,tblMovement[[#This Row],[Contained_oz]],0)</f>
        <v/>
      </c>
    </row>
    <row r="947">
      <c r="A947" s="54" t="n"/>
      <c r="B947" s="61" t="n"/>
      <c r="C947" s="61" t="n"/>
      <c r="D947" s="61" t="n"/>
      <c r="E947" s="61" t="n"/>
      <c r="F947" s="55" t="n"/>
      <c r="G947" s="56" t="n"/>
      <c r="H947" s="55" t="n"/>
      <c r="I947" s="62" t="n"/>
      <c r="J947" s="58" t="n"/>
      <c r="K947" s="63">
        <f>IF(tblMovement[[#This Row],[Source]]="","",IFERROR(INDEX(tblSources[Type],MATCH(tblMovement[[#This Row],[Source]],tblSources[Source],0)),"?"))</f>
        <v/>
      </c>
      <c r="L947" s="63">
        <f>IF(tblMovement[[#This Row],[Destination]]="","",IFERROR(INDEX(tblDestinations[Type],MATCH(tblMovement[[#This Row],[Destination]],tblDestinations[Destination],0)),"?"))</f>
        <v/>
      </c>
      <c r="M947" s="64">
        <f>IF(tblMovement[[#This Row],[Material]]="","",IF(LEFT(tblMovement[[#This Row],[Material]],3)="Ore",1,0))</f>
        <v/>
      </c>
      <c r="N947" s="59">
        <f>IF(OR(tblMovement[[#This Row],[Tonnes_t]]="",tblMovement[[#This Row],[Grade_gpt]]=""),0,tblMovement[[#This Row],[Tonnes_t]]*tblMovement[[#This Row],[Grade_gpt]]/cfg_TroyOz)</f>
        <v/>
      </c>
      <c r="O947" s="59">
        <f>IF(tblMovement[[#This Row],[Is_Ore]]=1,tblMovement[[#This Row],[Contained_oz]],0)</f>
        <v/>
      </c>
    </row>
    <row r="948">
      <c r="A948" s="54" t="n"/>
      <c r="B948" s="61" t="n"/>
      <c r="C948" s="61" t="n"/>
      <c r="D948" s="61" t="n"/>
      <c r="E948" s="61" t="n"/>
      <c r="F948" s="55" t="n"/>
      <c r="G948" s="56" t="n"/>
      <c r="H948" s="55" t="n"/>
      <c r="I948" s="62" t="n"/>
      <c r="J948" s="58" t="n"/>
      <c r="K948" s="63">
        <f>IF(tblMovement[[#This Row],[Source]]="","",IFERROR(INDEX(tblSources[Type],MATCH(tblMovement[[#This Row],[Source]],tblSources[Source],0)),"?"))</f>
        <v/>
      </c>
      <c r="L948" s="63">
        <f>IF(tblMovement[[#This Row],[Destination]]="","",IFERROR(INDEX(tblDestinations[Type],MATCH(tblMovement[[#This Row],[Destination]],tblDestinations[Destination],0)),"?"))</f>
        <v/>
      </c>
      <c r="M948" s="64">
        <f>IF(tblMovement[[#This Row],[Material]]="","",IF(LEFT(tblMovement[[#This Row],[Material]],3)="Ore",1,0))</f>
        <v/>
      </c>
      <c r="N948" s="59">
        <f>IF(OR(tblMovement[[#This Row],[Tonnes_t]]="",tblMovement[[#This Row],[Grade_gpt]]=""),0,tblMovement[[#This Row],[Tonnes_t]]*tblMovement[[#This Row],[Grade_gpt]]/cfg_TroyOz)</f>
        <v/>
      </c>
      <c r="O948" s="59">
        <f>IF(tblMovement[[#This Row],[Is_Ore]]=1,tblMovement[[#This Row],[Contained_oz]],0)</f>
        <v/>
      </c>
    </row>
    <row r="949">
      <c r="A949" s="54" t="n"/>
      <c r="B949" s="61" t="n"/>
      <c r="C949" s="61" t="n"/>
      <c r="D949" s="61" t="n"/>
      <c r="E949" s="61" t="n"/>
      <c r="F949" s="55" t="n"/>
      <c r="G949" s="56" t="n"/>
      <c r="H949" s="55" t="n"/>
      <c r="I949" s="62" t="n"/>
      <c r="J949" s="58" t="n"/>
      <c r="K949" s="63">
        <f>IF(tblMovement[[#This Row],[Source]]="","",IFERROR(INDEX(tblSources[Type],MATCH(tblMovement[[#This Row],[Source]],tblSources[Source],0)),"?"))</f>
        <v/>
      </c>
      <c r="L949" s="63">
        <f>IF(tblMovement[[#This Row],[Destination]]="","",IFERROR(INDEX(tblDestinations[Type],MATCH(tblMovement[[#This Row],[Destination]],tblDestinations[Destination],0)),"?"))</f>
        <v/>
      </c>
      <c r="M949" s="64">
        <f>IF(tblMovement[[#This Row],[Material]]="","",IF(LEFT(tblMovement[[#This Row],[Material]],3)="Ore",1,0))</f>
        <v/>
      </c>
      <c r="N949" s="59">
        <f>IF(OR(tblMovement[[#This Row],[Tonnes_t]]="",tblMovement[[#This Row],[Grade_gpt]]=""),0,tblMovement[[#This Row],[Tonnes_t]]*tblMovement[[#This Row],[Grade_gpt]]/cfg_TroyOz)</f>
        <v/>
      </c>
      <c r="O949" s="59">
        <f>IF(tblMovement[[#This Row],[Is_Ore]]=1,tblMovement[[#This Row],[Contained_oz]],0)</f>
        <v/>
      </c>
    </row>
    <row r="950">
      <c r="A950" s="54" t="n"/>
      <c r="B950" s="61" t="n"/>
      <c r="C950" s="61" t="n"/>
      <c r="D950" s="61" t="n"/>
      <c r="E950" s="61" t="n"/>
      <c r="F950" s="55" t="n"/>
      <c r="G950" s="56" t="n"/>
      <c r="H950" s="55" t="n"/>
      <c r="I950" s="62" t="n"/>
      <c r="J950" s="58" t="n"/>
      <c r="K950" s="63">
        <f>IF(tblMovement[[#This Row],[Source]]="","",IFERROR(INDEX(tblSources[Type],MATCH(tblMovement[[#This Row],[Source]],tblSources[Source],0)),"?"))</f>
        <v/>
      </c>
      <c r="L950" s="63">
        <f>IF(tblMovement[[#This Row],[Destination]]="","",IFERROR(INDEX(tblDestinations[Type],MATCH(tblMovement[[#This Row],[Destination]],tblDestinations[Destination],0)),"?"))</f>
        <v/>
      </c>
      <c r="M950" s="64">
        <f>IF(tblMovement[[#This Row],[Material]]="","",IF(LEFT(tblMovement[[#This Row],[Material]],3)="Ore",1,0))</f>
        <v/>
      </c>
      <c r="N950" s="59">
        <f>IF(OR(tblMovement[[#This Row],[Tonnes_t]]="",tblMovement[[#This Row],[Grade_gpt]]=""),0,tblMovement[[#This Row],[Tonnes_t]]*tblMovement[[#This Row],[Grade_gpt]]/cfg_TroyOz)</f>
        <v/>
      </c>
      <c r="O950" s="59">
        <f>IF(tblMovement[[#This Row],[Is_Ore]]=1,tblMovement[[#This Row],[Contained_oz]],0)</f>
        <v/>
      </c>
    </row>
    <row r="951">
      <c r="A951" s="54" t="n"/>
      <c r="B951" s="61" t="n"/>
      <c r="C951" s="61" t="n"/>
      <c r="D951" s="61" t="n"/>
      <c r="E951" s="61" t="n"/>
      <c r="F951" s="55" t="n"/>
      <c r="G951" s="56" t="n"/>
      <c r="H951" s="55" t="n"/>
      <c r="I951" s="62" t="n"/>
      <c r="J951" s="58" t="n"/>
      <c r="K951" s="63">
        <f>IF(tblMovement[[#This Row],[Source]]="","",IFERROR(INDEX(tblSources[Type],MATCH(tblMovement[[#This Row],[Source]],tblSources[Source],0)),"?"))</f>
        <v/>
      </c>
      <c r="L951" s="63">
        <f>IF(tblMovement[[#This Row],[Destination]]="","",IFERROR(INDEX(tblDestinations[Type],MATCH(tblMovement[[#This Row],[Destination]],tblDestinations[Destination],0)),"?"))</f>
        <v/>
      </c>
      <c r="M951" s="64">
        <f>IF(tblMovement[[#This Row],[Material]]="","",IF(LEFT(tblMovement[[#This Row],[Material]],3)="Ore",1,0))</f>
        <v/>
      </c>
      <c r="N951" s="59">
        <f>IF(OR(tblMovement[[#This Row],[Tonnes_t]]="",tblMovement[[#This Row],[Grade_gpt]]=""),0,tblMovement[[#This Row],[Tonnes_t]]*tblMovement[[#This Row],[Grade_gpt]]/cfg_TroyOz)</f>
        <v/>
      </c>
      <c r="O951" s="59">
        <f>IF(tblMovement[[#This Row],[Is_Ore]]=1,tblMovement[[#This Row],[Contained_oz]],0)</f>
        <v/>
      </c>
    </row>
    <row r="952">
      <c r="A952" s="54" t="n"/>
      <c r="B952" s="61" t="n"/>
      <c r="C952" s="61" t="n"/>
      <c r="D952" s="61" t="n"/>
      <c r="E952" s="61" t="n"/>
      <c r="F952" s="55" t="n"/>
      <c r="G952" s="56" t="n"/>
      <c r="H952" s="55" t="n"/>
      <c r="I952" s="62" t="n"/>
      <c r="J952" s="58" t="n"/>
      <c r="K952" s="63">
        <f>IF(tblMovement[[#This Row],[Source]]="","",IFERROR(INDEX(tblSources[Type],MATCH(tblMovement[[#This Row],[Source]],tblSources[Source],0)),"?"))</f>
        <v/>
      </c>
      <c r="L952" s="63">
        <f>IF(tblMovement[[#This Row],[Destination]]="","",IFERROR(INDEX(tblDestinations[Type],MATCH(tblMovement[[#This Row],[Destination]],tblDestinations[Destination],0)),"?"))</f>
        <v/>
      </c>
      <c r="M952" s="64">
        <f>IF(tblMovement[[#This Row],[Material]]="","",IF(LEFT(tblMovement[[#This Row],[Material]],3)="Ore",1,0))</f>
        <v/>
      </c>
      <c r="N952" s="59">
        <f>IF(OR(tblMovement[[#This Row],[Tonnes_t]]="",tblMovement[[#This Row],[Grade_gpt]]=""),0,tblMovement[[#This Row],[Tonnes_t]]*tblMovement[[#This Row],[Grade_gpt]]/cfg_TroyOz)</f>
        <v/>
      </c>
      <c r="O952" s="59">
        <f>IF(tblMovement[[#This Row],[Is_Ore]]=1,tblMovement[[#This Row],[Contained_oz]],0)</f>
        <v/>
      </c>
    </row>
    <row r="953">
      <c r="A953" s="54" t="n"/>
      <c r="B953" s="61" t="n"/>
      <c r="C953" s="61" t="n"/>
      <c r="D953" s="61" t="n"/>
      <c r="E953" s="61" t="n"/>
      <c r="F953" s="55" t="n"/>
      <c r="G953" s="56" t="n"/>
      <c r="H953" s="55" t="n"/>
      <c r="I953" s="62" t="n"/>
      <c r="J953" s="58" t="n"/>
      <c r="K953" s="63">
        <f>IF(tblMovement[[#This Row],[Source]]="","",IFERROR(INDEX(tblSources[Type],MATCH(tblMovement[[#This Row],[Source]],tblSources[Source],0)),"?"))</f>
        <v/>
      </c>
      <c r="L953" s="63">
        <f>IF(tblMovement[[#This Row],[Destination]]="","",IFERROR(INDEX(tblDestinations[Type],MATCH(tblMovement[[#This Row],[Destination]],tblDestinations[Destination],0)),"?"))</f>
        <v/>
      </c>
      <c r="M953" s="64">
        <f>IF(tblMovement[[#This Row],[Material]]="","",IF(LEFT(tblMovement[[#This Row],[Material]],3)="Ore",1,0))</f>
        <v/>
      </c>
      <c r="N953" s="59">
        <f>IF(OR(tblMovement[[#This Row],[Tonnes_t]]="",tblMovement[[#This Row],[Grade_gpt]]=""),0,tblMovement[[#This Row],[Tonnes_t]]*tblMovement[[#This Row],[Grade_gpt]]/cfg_TroyOz)</f>
        <v/>
      </c>
      <c r="O953" s="59">
        <f>IF(tblMovement[[#This Row],[Is_Ore]]=1,tblMovement[[#This Row],[Contained_oz]],0)</f>
        <v/>
      </c>
    </row>
    <row r="954">
      <c r="A954" s="54" t="n"/>
      <c r="B954" s="61" t="n"/>
      <c r="C954" s="61" t="n"/>
      <c r="D954" s="61" t="n"/>
      <c r="E954" s="61" t="n"/>
      <c r="F954" s="55" t="n"/>
      <c r="G954" s="56" t="n"/>
      <c r="H954" s="55" t="n"/>
      <c r="I954" s="62" t="n"/>
      <c r="J954" s="58" t="n"/>
      <c r="K954" s="63">
        <f>IF(tblMovement[[#This Row],[Source]]="","",IFERROR(INDEX(tblSources[Type],MATCH(tblMovement[[#This Row],[Source]],tblSources[Source],0)),"?"))</f>
        <v/>
      </c>
      <c r="L954" s="63">
        <f>IF(tblMovement[[#This Row],[Destination]]="","",IFERROR(INDEX(tblDestinations[Type],MATCH(tblMovement[[#This Row],[Destination]],tblDestinations[Destination],0)),"?"))</f>
        <v/>
      </c>
      <c r="M954" s="64">
        <f>IF(tblMovement[[#This Row],[Material]]="","",IF(LEFT(tblMovement[[#This Row],[Material]],3)="Ore",1,0))</f>
        <v/>
      </c>
      <c r="N954" s="59">
        <f>IF(OR(tblMovement[[#This Row],[Tonnes_t]]="",tblMovement[[#This Row],[Grade_gpt]]=""),0,tblMovement[[#This Row],[Tonnes_t]]*tblMovement[[#This Row],[Grade_gpt]]/cfg_TroyOz)</f>
        <v/>
      </c>
      <c r="O954" s="59">
        <f>IF(tblMovement[[#This Row],[Is_Ore]]=1,tblMovement[[#This Row],[Contained_oz]],0)</f>
        <v/>
      </c>
    </row>
    <row r="955">
      <c r="A955" s="54" t="n"/>
      <c r="B955" s="61" t="n"/>
      <c r="C955" s="61" t="n"/>
      <c r="D955" s="61" t="n"/>
      <c r="E955" s="61" t="n"/>
      <c r="F955" s="55" t="n"/>
      <c r="G955" s="56" t="n"/>
      <c r="H955" s="55" t="n"/>
      <c r="I955" s="62" t="n"/>
      <c r="J955" s="58" t="n"/>
      <c r="K955" s="63">
        <f>IF(tblMovement[[#This Row],[Source]]="","",IFERROR(INDEX(tblSources[Type],MATCH(tblMovement[[#This Row],[Source]],tblSources[Source],0)),"?"))</f>
        <v/>
      </c>
      <c r="L955" s="63">
        <f>IF(tblMovement[[#This Row],[Destination]]="","",IFERROR(INDEX(tblDestinations[Type],MATCH(tblMovement[[#This Row],[Destination]],tblDestinations[Destination],0)),"?"))</f>
        <v/>
      </c>
      <c r="M955" s="64">
        <f>IF(tblMovement[[#This Row],[Material]]="","",IF(LEFT(tblMovement[[#This Row],[Material]],3)="Ore",1,0))</f>
        <v/>
      </c>
      <c r="N955" s="59">
        <f>IF(OR(tblMovement[[#This Row],[Tonnes_t]]="",tblMovement[[#This Row],[Grade_gpt]]=""),0,tblMovement[[#This Row],[Tonnes_t]]*tblMovement[[#This Row],[Grade_gpt]]/cfg_TroyOz)</f>
        <v/>
      </c>
      <c r="O955" s="59">
        <f>IF(tblMovement[[#This Row],[Is_Ore]]=1,tblMovement[[#This Row],[Contained_oz]],0)</f>
        <v/>
      </c>
    </row>
    <row r="956">
      <c r="A956" s="54" t="n"/>
      <c r="B956" s="61" t="n"/>
      <c r="C956" s="61" t="n"/>
      <c r="D956" s="61" t="n"/>
      <c r="E956" s="61" t="n"/>
      <c r="F956" s="55" t="n"/>
      <c r="G956" s="56" t="n"/>
      <c r="H956" s="55" t="n"/>
      <c r="I956" s="62" t="n"/>
      <c r="J956" s="58" t="n"/>
      <c r="K956" s="63">
        <f>IF(tblMovement[[#This Row],[Source]]="","",IFERROR(INDEX(tblSources[Type],MATCH(tblMovement[[#This Row],[Source]],tblSources[Source],0)),"?"))</f>
        <v/>
      </c>
      <c r="L956" s="63">
        <f>IF(tblMovement[[#This Row],[Destination]]="","",IFERROR(INDEX(tblDestinations[Type],MATCH(tblMovement[[#This Row],[Destination]],tblDestinations[Destination],0)),"?"))</f>
        <v/>
      </c>
      <c r="M956" s="64">
        <f>IF(tblMovement[[#This Row],[Material]]="","",IF(LEFT(tblMovement[[#This Row],[Material]],3)="Ore",1,0))</f>
        <v/>
      </c>
      <c r="N956" s="59">
        <f>IF(OR(tblMovement[[#This Row],[Tonnes_t]]="",tblMovement[[#This Row],[Grade_gpt]]=""),0,tblMovement[[#This Row],[Tonnes_t]]*tblMovement[[#This Row],[Grade_gpt]]/cfg_TroyOz)</f>
        <v/>
      </c>
      <c r="O956" s="59">
        <f>IF(tblMovement[[#This Row],[Is_Ore]]=1,tblMovement[[#This Row],[Contained_oz]],0)</f>
        <v/>
      </c>
    </row>
    <row r="957">
      <c r="A957" s="54" t="n"/>
      <c r="B957" s="61" t="n"/>
      <c r="C957" s="61" t="n"/>
      <c r="D957" s="61" t="n"/>
      <c r="E957" s="61" t="n"/>
      <c r="F957" s="55" t="n"/>
      <c r="G957" s="56" t="n"/>
      <c r="H957" s="55" t="n"/>
      <c r="I957" s="62" t="n"/>
      <c r="J957" s="58" t="n"/>
      <c r="K957" s="63">
        <f>IF(tblMovement[[#This Row],[Source]]="","",IFERROR(INDEX(tblSources[Type],MATCH(tblMovement[[#This Row],[Source]],tblSources[Source],0)),"?"))</f>
        <v/>
      </c>
      <c r="L957" s="63">
        <f>IF(tblMovement[[#This Row],[Destination]]="","",IFERROR(INDEX(tblDestinations[Type],MATCH(tblMovement[[#This Row],[Destination]],tblDestinations[Destination],0)),"?"))</f>
        <v/>
      </c>
      <c r="M957" s="64">
        <f>IF(tblMovement[[#This Row],[Material]]="","",IF(LEFT(tblMovement[[#This Row],[Material]],3)="Ore",1,0))</f>
        <v/>
      </c>
      <c r="N957" s="59">
        <f>IF(OR(tblMovement[[#This Row],[Tonnes_t]]="",tblMovement[[#This Row],[Grade_gpt]]=""),0,tblMovement[[#This Row],[Tonnes_t]]*tblMovement[[#This Row],[Grade_gpt]]/cfg_TroyOz)</f>
        <v/>
      </c>
      <c r="O957" s="59">
        <f>IF(tblMovement[[#This Row],[Is_Ore]]=1,tblMovement[[#This Row],[Contained_oz]],0)</f>
        <v/>
      </c>
    </row>
    <row r="958">
      <c r="A958" s="54" t="n"/>
      <c r="B958" s="61" t="n"/>
      <c r="C958" s="61" t="n"/>
      <c r="D958" s="61" t="n"/>
      <c r="E958" s="61" t="n"/>
      <c r="F958" s="55" t="n"/>
      <c r="G958" s="56" t="n"/>
      <c r="H958" s="55" t="n"/>
      <c r="I958" s="62" t="n"/>
      <c r="J958" s="58" t="n"/>
      <c r="K958" s="63">
        <f>IF(tblMovement[[#This Row],[Source]]="","",IFERROR(INDEX(tblSources[Type],MATCH(tblMovement[[#This Row],[Source]],tblSources[Source],0)),"?"))</f>
        <v/>
      </c>
      <c r="L958" s="63">
        <f>IF(tblMovement[[#This Row],[Destination]]="","",IFERROR(INDEX(tblDestinations[Type],MATCH(tblMovement[[#This Row],[Destination]],tblDestinations[Destination],0)),"?"))</f>
        <v/>
      </c>
      <c r="M958" s="64">
        <f>IF(tblMovement[[#This Row],[Material]]="","",IF(LEFT(tblMovement[[#This Row],[Material]],3)="Ore",1,0))</f>
        <v/>
      </c>
      <c r="N958" s="59">
        <f>IF(OR(tblMovement[[#This Row],[Tonnes_t]]="",tblMovement[[#This Row],[Grade_gpt]]=""),0,tblMovement[[#This Row],[Tonnes_t]]*tblMovement[[#This Row],[Grade_gpt]]/cfg_TroyOz)</f>
        <v/>
      </c>
      <c r="O958" s="59">
        <f>IF(tblMovement[[#This Row],[Is_Ore]]=1,tblMovement[[#This Row],[Contained_oz]],0)</f>
        <v/>
      </c>
    </row>
    <row r="959">
      <c r="A959" s="54" t="n"/>
      <c r="B959" s="61" t="n"/>
      <c r="C959" s="61" t="n"/>
      <c r="D959" s="61" t="n"/>
      <c r="E959" s="61" t="n"/>
      <c r="F959" s="55" t="n"/>
      <c r="G959" s="56" t="n"/>
      <c r="H959" s="55" t="n"/>
      <c r="I959" s="62" t="n"/>
      <c r="J959" s="58" t="n"/>
      <c r="K959" s="63">
        <f>IF(tblMovement[[#This Row],[Source]]="","",IFERROR(INDEX(tblSources[Type],MATCH(tblMovement[[#This Row],[Source]],tblSources[Source],0)),"?"))</f>
        <v/>
      </c>
      <c r="L959" s="63">
        <f>IF(tblMovement[[#This Row],[Destination]]="","",IFERROR(INDEX(tblDestinations[Type],MATCH(tblMovement[[#This Row],[Destination]],tblDestinations[Destination],0)),"?"))</f>
        <v/>
      </c>
      <c r="M959" s="64">
        <f>IF(tblMovement[[#This Row],[Material]]="","",IF(LEFT(tblMovement[[#This Row],[Material]],3)="Ore",1,0))</f>
        <v/>
      </c>
      <c r="N959" s="59">
        <f>IF(OR(tblMovement[[#This Row],[Tonnes_t]]="",tblMovement[[#This Row],[Grade_gpt]]=""),0,tblMovement[[#This Row],[Tonnes_t]]*tblMovement[[#This Row],[Grade_gpt]]/cfg_TroyOz)</f>
        <v/>
      </c>
      <c r="O959" s="59">
        <f>IF(tblMovement[[#This Row],[Is_Ore]]=1,tblMovement[[#This Row],[Contained_oz]],0)</f>
        <v/>
      </c>
    </row>
    <row r="960">
      <c r="A960" s="54" t="n"/>
      <c r="B960" s="61" t="n"/>
      <c r="C960" s="61" t="n"/>
      <c r="D960" s="61" t="n"/>
      <c r="E960" s="61" t="n"/>
      <c r="F960" s="55" t="n"/>
      <c r="G960" s="56" t="n"/>
      <c r="H960" s="55" t="n"/>
      <c r="I960" s="62" t="n"/>
      <c r="J960" s="58" t="n"/>
      <c r="K960" s="63">
        <f>IF(tblMovement[[#This Row],[Source]]="","",IFERROR(INDEX(tblSources[Type],MATCH(tblMovement[[#This Row],[Source]],tblSources[Source],0)),"?"))</f>
        <v/>
      </c>
      <c r="L960" s="63">
        <f>IF(tblMovement[[#This Row],[Destination]]="","",IFERROR(INDEX(tblDestinations[Type],MATCH(tblMovement[[#This Row],[Destination]],tblDestinations[Destination],0)),"?"))</f>
        <v/>
      </c>
      <c r="M960" s="64">
        <f>IF(tblMovement[[#This Row],[Material]]="","",IF(LEFT(tblMovement[[#This Row],[Material]],3)="Ore",1,0))</f>
        <v/>
      </c>
      <c r="N960" s="59">
        <f>IF(OR(tblMovement[[#This Row],[Tonnes_t]]="",tblMovement[[#This Row],[Grade_gpt]]=""),0,tblMovement[[#This Row],[Tonnes_t]]*tblMovement[[#This Row],[Grade_gpt]]/cfg_TroyOz)</f>
        <v/>
      </c>
      <c r="O960" s="59">
        <f>IF(tblMovement[[#This Row],[Is_Ore]]=1,tblMovement[[#This Row],[Contained_oz]],0)</f>
        <v/>
      </c>
    </row>
    <row r="961">
      <c r="A961" s="54" t="n"/>
      <c r="B961" s="61" t="n"/>
      <c r="C961" s="61" t="n"/>
      <c r="D961" s="61" t="n"/>
      <c r="E961" s="61" t="n"/>
      <c r="F961" s="55" t="n"/>
      <c r="G961" s="56" t="n"/>
      <c r="H961" s="55" t="n"/>
      <c r="I961" s="62" t="n"/>
      <c r="J961" s="58" t="n"/>
      <c r="K961" s="63">
        <f>IF(tblMovement[[#This Row],[Source]]="","",IFERROR(INDEX(tblSources[Type],MATCH(tblMovement[[#This Row],[Source]],tblSources[Source],0)),"?"))</f>
        <v/>
      </c>
      <c r="L961" s="63">
        <f>IF(tblMovement[[#This Row],[Destination]]="","",IFERROR(INDEX(tblDestinations[Type],MATCH(tblMovement[[#This Row],[Destination]],tblDestinations[Destination],0)),"?"))</f>
        <v/>
      </c>
      <c r="M961" s="64">
        <f>IF(tblMovement[[#This Row],[Material]]="","",IF(LEFT(tblMovement[[#This Row],[Material]],3)="Ore",1,0))</f>
        <v/>
      </c>
      <c r="N961" s="59">
        <f>IF(OR(tblMovement[[#This Row],[Tonnes_t]]="",tblMovement[[#This Row],[Grade_gpt]]=""),0,tblMovement[[#This Row],[Tonnes_t]]*tblMovement[[#This Row],[Grade_gpt]]/cfg_TroyOz)</f>
        <v/>
      </c>
      <c r="O961" s="59">
        <f>IF(tblMovement[[#This Row],[Is_Ore]]=1,tblMovement[[#This Row],[Contained_oz]],0)</f>
        <v/>
      </c>
    </row>
    <row r="962">
      <c r="A962" s="54" t="n"/>
      <c r="B962" s="61" t="n"/>
      <c r="C962" s="61" t="n"/>
      <c r="D962" s="61" t="n"/>
      <c r="E962" s="61" t="n"/>
      <c r="F962" s="55" t="n"/>
      <c r="G962" s="56" t="n"/>
      <c r="H962" s="55" t="n"/>
      <c r="I962" s="62" t="n"/>
      <c r="J962" s="58" t="n"/>
      <c r="K962" s="63">
        <f>IF(tblMovement[[#This Row],[Source]]="","",IFERROR(INDEX(tblSources[Type],MATCH(tblMovement[[#This Row],[Source]],tblSources[Source],0)),"?"))</f>
        <v/>
      </c>
      <c r="L962" s="63">
        <f>IF(tblMovement[[#This Row],[Destination]]="","",IFERROR(INDEX(tblDestinations[Type],MATCH(tblMovement[[#This Row],[Destination]],tblDestinations[Destination],0)),"?"))</f>
        <v/>
      </c>
      <c r="M962" s="64">
        <f>IF(tblMovement[[#This Row],[Material]]="","",IF(LEFT(tblMovement[[#This Row],[Material]],3)="Ore",1,0))</f>
        <v/>
      </c>
      <c r="N962" s="59">
        <f>IF(OR(tblMovement[[#This Row],[Tonnes_t]]="",tblMovement[[#This Row],[Grade_gpt]]=""),0,tblMovement[[#This Row],[Tonnes_t]]*tblMovement[[#This Row],[Grade_gpt]]/cfg_TroyOz)</f>
        <v/>
      </c>
      <c r="O962" s="59">
        <f>IF(tblMovement[[#This Row],[Is_Ore]]=1,tblMovement[[#This Row],[Contained_oz]],0)</f>
        <v/>
      </c>
    </row>
    <row r="963">
      <c r="A963" s="54" t="n"/>
      <c r="B963" s="61" t="n"/>
      <c r="C963" s="61" t="n"/>
      <c r="D963" s="61" t="n"/>
      <c r="E963" s="61" t="n"/>
      <c r="F963" s="55" t="n"/>
      <c r="G963" s="56" t="n"/>
      <c r="H963" s="55" t="n"/>
      <c r="I963" s="62" t="n"/>
      <c r="J963" s="58" t="n"/>
      <c r="K963" s="63">
        <f>IF(tblMovement[[#This Row],[Source]]="","",IFERROR(INDEX(tblSources[Type],MATCH(tblMovement[[#This Row],[Source]],tblSources[Source],0)),"?"))</f>
        <v/>
      </c>
      <c r="L963" s="63">
        <f>IF(tblMovement[[#This Row],[Destination]]="","",IFERROR(INDEX(tblDestinations[Type],MATCH(tblMovement[[#This Row],[Destination]],tblDestinations[Destination],0)),"?"))</f>
        <v/>
      </c>
      <c r="M963" s="64">
        <f>IF(tblMovement[[#This Row],[Material]]="","",IF(LEFT(tblMovement[[#This Row],[Material]],3)="Ore",1,0))</f>
        <v/>
      </c>
      <c r="N963" s="59">
        <f>IF(OR(tblMovement[[#This Row],[Tonnes_t]]="",tblMovement[[#This Row],[Grade_gpt]]=""),0,tblMovement[[#This Row],[Tonnes_t]]*tblMovement[[#This Row],[Grade_gpt]]/cfg_TroyOz)</f>
        <v/>
      </c>
      <c r="O963" s="59">
        <f>IF(tblMovement[[#This Row],[Is_Ore]]=1,tblMovement[[#This Row],[Contained_oz]],0)</f>
        <v/>
      </c>
    </row>
    <row r="964">
      <c r="A964" s="54" t="n"/>
      <c r="B964" s="61" t="n"/>
      <c r="C964" s="61" t="n"/>
      <c r="D964" s="61" t="n"/>
      <c r="E964" s="61" t="n"/>
      <c r="F964" s="55" t="n"/>
      <c r="G964" s="56" t="n"/>
      <c r="H964" s="55" t="n"/>
      <c r="I964" s="62" t="n"/>
      <c r="J964" s="58" t="n"/>
      <c r="K964" s="63">
        <f>IF(tblMovement[[#This Row],[Source]]="","",IFERROR(INDEX(tblSources[Type],MATCH(tblMovement[[#This Row],[Source]],tblSources[Source],0)),"?"))</f>
        <v/>
      </c>
      <c r="L964" s="63">
        <f>IF(tblMovement[[#This Row],[Destination]]="","",IFERROR(INDEX(tblDestinations[Type],MATCH(tblMovement[[#This Row],[Destination]],tblDestinations[Destination],0)),"?"))</f>
        <v/>
      </c>
      <c r="M964" s="64">
        <f>IF(tblMovement[[#This Row],[Material]]="","",IF(LEFT(tblMovement[[#This Row],[Material]],3)="Ore",1,0))</f>
        <v/>
      </c>
      <c r="N964" s="59">
        <f>IF(OR(tblMovement[[#This Row],[Tonnes_t]]="",tblMovement[[#This Row],[Grade_gpt]]=""),0,tblMovement[[#This Row],[Tonnes_t]]*tblMovement[[#This Row],[Grade_gpt]]/cfg_TroyOz)</f>
        <v/>
      </c>
      <c r="O964" s="59">
        <f>IF(tblMovement[[#This Row],[Is_Ore]]=1,tblMovement[[#This Row],[Contained_oz]],0)</f>
        <v/>
      </c>
    </row>
    <row r="965">
      <c r="A965" s="54" t="n"/>
      <c r="B965" s="61" t="n"/>
      <c r="C965" s="61" t="n"/>
      <c r="D965" s="61" t="n"/>
      <c r="E965" s="61" t="n"/>
      <c r="F965" s="55" t="n"/>
      <c r="G965" s="56" t="n"/>
      <c r="H965" s="55" t="n"/>
      <c r="I965" s="62" t="n"/>
      <c r="J965" s="58" t="n"/>
      <c r="K965" s="63">
        <f>IF(tblMovement[[#This Row],[Source]]="","",IFERROR(INDEX(tblSources[Type],MATCH(tblMovement[[#This Row],[Source]],tblSources[Source],0)),"?"))</f>
        <v/>
      </c>
      <c r="L965" s="63">
        <f>IF(tblMovement[[#This Row],[Destination]]="","",IFERROR(INDEX(tblDestinations[Type],MATCH(tblMovement[[#This Row],[Destination]],tblDestinations[Destination],0)),"?"))</f>
        <v/>
      </c>
      <c r="M965" s="64">
        <f>IF(tblMovement[[#This Row],[Material]]="","",IF(LEFT(tblMovement[[#This Row],[Material]],3)="Ore",1,0))</f>
        <v/>
      </c>
      <c r="N965" s="59">
        <f>IF(OR(tblMovement[[#This Row],[Tonnes_t]]="",tblMovement[[#This Row],[Grade_gpt]]=""),0,tblMovement[[#This Row],[Tonnes_t]]*tblMovement[[#This Row],[Grade_gpt]]/cfg_TroyOz)</f>
        <v/>
      </c>
      <c r="O965" s="59">
        <f>IF(tblMovement[[#This Row],[Is_Ore]]=1,tblMovement[[#This Row],[Contained_oz]],0)</f>
        <v/>
      </c>
    </row>
    <row r="966">
      <c r="A966" s="54" t="n"/>
      <c r="B966" s="61" t="n"/>
      <c r="C966" s="61" t="n"/>
      <c r="D966" s="61" t="n"/>
      <c r="E966" s="61" t="n"/>
      <c r="F966" s="55" t="n"/>
      <c r="G966" s="56" t="n"/>
      <c r="H966" s="55" t="n"/>
      <c r="I966" s="62" t="n"/>
      <c r="J966" s="58" t="n"/>
      <c r="K966" s="63">
        <f>IF(tblMovement[[#This Row],[Source]]="","",IFERROR(INDEX(tblSources[Type],MATCH(tblMovement[[#This Row],[Source]],tblSources[Source],0)),"?"))</f>
        <v/>
      </c>
      <c r="L966" s="63">
        <f>IF(tblMovement[[#This Row],[Destination]]="","",IFERROR(INDEX(tblDestinations[Type],MATCH(tblMovement[[#This Row],[Destination]],tblDestinations[Destination],0)),"?"))</f>
        <v/>
      </c>
      <c r="M966" s="64">
        <f>IF(tblMovement[[#This Row],[Material]]="","",IF(LEFT(tblMovement[[#This Row],[Material]],3)="Ore",1,0))</f>
        <v/>
      </c>
      <c r="N966" s="59">
        <f>IF(OR(tblMovement[[#This Row],[Tonnes_t]]="",tblMovement[[#This Row],[Grade_gpt]]=""),0,tblMovement[[#This Row],[Tonnes_t]]*tblMovement[[#This Row],[Grade_gpt]]/cfg_TroyOz)</f>
        <v/>
      </c>
      <c r="O966" s="59">
        <f>IF(tblMovement[[#This Row],[Is_Ore]]=1,tblMovement[[#This Row],[Contained_oz]],0)</f>
        <v/>
      </c>
    </row>
    <row r="967">
      <c r="A967" s="54" t="n"/>
      <c r="B967" s="61" t="n"/>
      <c r="C967" s="61" t="n"/>
      <c r="D967" s="61" t="n"/>
      <c r="E967" s="61" t="n"/>
      <c r="F967" s="55" t="n"/>
      <c r="G967" s="56" t="n"/>
      <c r="H967" s="55" t="n"/>
      <c r="I967" s="62" t="n"/>
      <c r="J967" s="58" t="n"/>
      <c r="K967" s="63">
        <f>IF(tblMovement[[#This Row],[Source]]="","",IFERROR(INDEX(tblSources[Type],MATCH(tblMovement[[#This Row],[Source]],tblSources[Source],0)),"?"))</f>
        <v/>
      </c>
      <c r="L967" s="63">
        <f>IF(tblMovement[[#This Row],[Destination]]="","",IFERROR(INDEX(tblDestinations[Type],MATCH(tblMovement[[#This Row],[Destination]],tblDestinations[Destination],0)),"?"))</f>
        <v/>
      </c>
      <c r="M967" s="64">
        <f>IF(tblMovement[[#This Row],[Material]]="","",IF(LEFT(tblMovement[[#This Row],[Material]],3)="Ore",1,0))</f>
        <v/>
      </c>
      <c r="N967" s="59">
        <f>IF(OR(tblMovement[[#This Row],[Tonnes_t]]="",tblMovement[[#This Row],[Grade_gpt]]=""),0,tblMovement[[#This Row],[Tonnes_t]]*tblMovement[[#This Row],[Grade_gpt]]/cfg_TroyOz)</f>
        <v/>
      </c>
      <c r="O967" s="59">
        <f>IF(tblMovement[[#This Row],[Is_Ore]]=1,tblMovement[[#This Row],[Contained_oz]],0)</f>
        <v/>
      </c>
    </row>
    <row r="968">
      <c r="A968" s="54" t="n"/>
      <c r="B968" s="61" t="n"/>
      <c r="C968" s="61" t="n"/>
      <c r="D968" s="61" t="n"/>
      <c r="E968" s="61" t="n"/>
      <c r="F968" s="55" t="n"/>
      <c r="G968" s="56" t="n"/>
      <c r="H968" s="55" t="n"/>
      <c r="I968" s="62" t="n"/>
      <c r="J968" s="58" t="n"/>
      <c r="K968" s="63">
        <f>IF(tblMovement[[#This Row],[Source]]="","",IFERROR(INDEX(tblSources[Type],MATCH(tblMovement[[#This Row],[Source]],tblSources[Source],0)),"?"))</f>
        <v/>
      </c>
      <c r="L968" s="63">
        <f>IF(tblMovement[[#This Row],[Destination]]="","",IFERROR(INDEX(tblDestinations[Type],MATCH(tblMovement[[#This Row],[Destination]],tblDestinations[Destination],0)),"?"))</f>
        <v/>
      </c>
      <c r="M968" s="64">
        <f>IF(tblMovement[[#This Row],[Material]]="","",IF(LEFT(tblMovement[[#This Row],[Material]],3)="Ore",1,0))</f>
        <v/>
      </c>
      <c r="N968" s="59">
        <f>IF(OR(tblMovement[[#This Row],[Tonnes_t]]="",tblMovement[[#This Row],[Grade_gpt]]=""),0,tblMovement[[#This Row],[Tonnes_t]]*tblMovement[[#This Row],[Grade_gpt]]/cfg_TroyOz)</f>
        <v/>
      </c>
      <c r="O968" s="59">
        <f>IF(tblMovement[[#This Row],[Is_Ore]]=1,tblMovement[[#This Row],[Contained_oz]],0)</f>
        <v/>
      </c>
    </row>
    <row r="969">
      <c r="A969" s="54" t="n"/>
      <c r="B969" s="61" t="n"/>
      <c r="C969" s="61" t="n"/>
      <c r="D969" s="61" t="n"/>
      <c r="E969" s="61" t="n"/>
      <c r="F969" s="55" t="n"/>
      <c r="G969" s="56" t="n"/>
      <c r="H969" s="55" t="n"/>
      <c r="I969" s="62" t="n"/>
      <c r="J969" s="58" t="n"/>
      <c r="K969" s="63">
        <f>IF(tblMovement[[#This Row],[Source]]="","",IFERROR(INDEX(tblSources[Type],MATCH(tblMovement[[#This Row],[Source]],tblSources[Source],0)),"?"))</f>
        <v/>
      </c>
      <c r="L969" s="63">
        <f>IF(tblMovement[[#This Row],[Destination]]="","",IFERROR(INDEX(tblDestinations[Type],MATCH(tblMovement[[#This Row],[Destination]],tblDestinations[Destination],0)),"?"))</f>
        <v/>
      </c>
      <c r="M969" s="64">
        <f>IF(tblMovement[[#This Row],[Material]]="","",IF(LEFT(tblMovement[[#This Row],[Material]],3)="Ore",1,0))</f>
        <v/>
      </c>
      <c r="N969" s="59">
        <f>IF(OR(tblMovement[[#This Row],[Tonnes_t]]="",tblMovement[[#This Row],[Grade_gpt]]=""),0,tblMovement[[#This Row],[Tonnes_t]]*tblMovement[[#This Row],[Grade_gpt]]/cfg_TroyOz)</f>
        <v/>
      </c>
      <c r="O969" s="59">
        <f>IF(tblMovement[[#This Row],[Is_Ore]]=1,tblMovement[[#This Row],[Contained_oz]],0)</f>
        <v/>
      </c>
    </row>
    <row r="970">
      <c r="A970" s="54" t="n"/>
      <c r="B970" s="61" t="n"/>
      <c r="C970" s="61" t="n"/>
      <c r="D970" s="61" t="n"/>
      <c r="E970" s="61" t="n"/>
      <c r="F970" s="55" t="n"/>
      <c r="G970" s="56" t="n"/>
      <c r="H970" s="55" t="n"/>
      <c r="I970" s="62" t="n"/>
      <c r="J970" s="58" t="n"/>
      <c r="K970" s="63">
        <f>IF(tblMovement[[#This Row],[Source]]="","",IFERROR(INDEX(tblSources[Type],MATCH(tblMovement[[#This Row],[Source]],tblSources[Source],0)),"?"))</f>
        <v/>
      </c>
      <c r="L970" s="63">
        <f>IF(tblMovement[[#This Row],[Destination]]="","",IFERROR(INDEX(tblDestinations[Type],MATCH(tblMovement[[#This Row],[Destination]],tblDestinations[Destination],0)),"?"))</f>
        <v/>
      </c>
      <c r="M970" s="64">
        <f>IF(tblMovement[[#This Row],[Material]]="","",IF(LEFT(tblMovement[[#This Row],[Material]],3)="Ore",1,0))</f>
        <v/>
      </c>
      <c r="N970" s="59">
        <f>IF(OR(tblMovement[[#This Row],[Tonnes_t]]="",tblMovement[[#This Row],[Grade_gpt]]=""),0,tblMovement[[#This Row],[Tonnes_t]]*tblMovement[[#This Row],[Grade_gpt]]/cfg_TroyOz)</f>
        <v/>
      </c>
      <c r="O970" s="59">
        <f>IF(tblMovement[[#This Row],[Is_Ore]]=1,tblMovement[[#This Row],[Contained_oz]],0)</f>
        <v/>
      </c>
    </row>
    <row r="971">
      <c r="A971" s="54" t="n"/>
      <c r="B971" s="61" t="n"/>
      <c r="C971" s="61" t="n"/>
      <c r="D971" s="61" t="n"/>
      <c r="E971" s="61" t="n"/>
      <c r="F971" s="55" t="n"/>
      <c r="G971" s="56" t="n"/>
      <c r="H971" s="55" t="n"/>
      <c r="I971" s="62" t="n"/>
      <c r="J971" s="58" t="n"/>
      <c r="K971" s="63">
        <f>IF(tblMovement[[#This Row],[Source]]="","",IFERROR(INDEX(tblSources[Type],MATCH(tblMovement[[#This Row],[Source]],tblSources[Source],0)),"?"))</f>
        <v/>
      </c>
      <c r="L971" s="63">
        <f>IF(tblMovement[[#This Row],[Destination]]="","",IFERROR(INDEX(tblDestinations[Type],MATCH(tblMovement[[#This Row],[Destination]],tblDestinations[Destination],0)),"?"))</f>
        <v/>
      </c>
      <c r="M971" s="64">
        <f>IF(tblMovement[[#This Row],[Material]]="","",IF(LEFT(tblMovement[[#This Row],[Material]],3)="Ore",1,0))</f>
        <v/>
      </c>
      <c r="N971" s="59">
        <f>IF(OR(tblMovement[[#This Row],[Tonnes_t]]="",tblMovement[[#This Row],[Grade_gpt]]=""),0,tblMovement[[#This Row],[Tonnes_t]]*tblMovement[[#This Row],[Grade_gpt]]/cfg_TroyOz)</f>
        <v/>
      </c>
      <c r="O971" s="59">
        <f>IF(tblMovement[[#This Row],[Is_Ore]]=1,tblMovement[[#This Row],[Contained_oz]],0)</f>
        <v/>
      </c>
    </row>
    <row r="972">
      <c r="A972" s="54" t="n"/>
      <c r="B972" s="61" t="n"/>
      <c r="C972" s="61" t="n"/>
      <c r="D972" s="61" t="n"/>
      <c r="E972" s="61" t="n"/>
      <c r="F972" s="55" t="n"/>
      <c r="G972" s="56" t="n"/>
      <c r="H972" s="55" t="n"/>
      <c r="I972" s="62" t="n"/>
      <c r="J972" s="58" t="n"/>
      <c r="K972" s="63">
        <f>IF(tblMovement[[#This Row],[Source]]="","",IFERROR(INDEX(tblSources[Type],MATCH(tblMovement[[#This Row],[Source]],tblSources[Source],0)),"?"))</f>
        <v/>
      </c>
      <c r="L972" s="63">
        <f>IF(tblMovement[[#This Row],[Destination]]="","",IFERROR(INDEX(tblDestinations[Type],MATCH(tblMovement[[#This Row],[Destination]],tblDestinations[Destination],0)),"?"))</f>
        <v/>
      </c>
      <c r="M972" s="64">
        <f>IF(tblMovement[[#This Row],[Material]]="","",IF(LEFT(tblMovement[[#This Row],[Material]],3)="Ore",1,0))</f>
        <v/>
      </c>
      <c r="N972" s="59">
        <f>IF(OR(tblMovement[[#This Row],[Tonnes_t]]="",tblMovement[[#This Row],[Grade_gpt]]=""),0,tblMovement[[#This Row],[Tonnes_t]]*tblMovement[[#This Row],[Grade_gpt]]/cfg_TroyOz)</f>
        <v/>
      </c>
      <c r="O972" s="59">
        <f>IF(tblMovement[[#This Row],[Is_Ore]]=1,tblMovement[[#This Row],[Contained_oz]],0)</f>
        <v/>
      </c>
    </row>
    <row r="973">
      <c r="A973" s="54" t="n"/>
      <c r="B973" s="61" t="n"/>
      <c r="C973" s="61" t="n"/>
      <c r="D973" s="61" t="n"/>
      <c r="E973" s="61" t="n"/>
      <c r="F973" s="55" t="n"/>
      <c r="G973" s="56" t="n"/>
      <c r="H973" s="55" t="n"/>
      <c r="I973" s="62" t="n"/>
      <c r="J973" s="58" t="n"/>
      <c r="K973" s="63">
        <f>IF(tblMovement[[#This Row],[Source]]="","",IFERROR(INDEX(tblSources[Type],MATCH(tblMovement[[#This Row],[Source]],tblSources[Source],0)),"?"))</f>
        <v/>
      </c>
      <c r="L973" s="63">
        <f>IF(tblMovement[[#This Row],[Destination]]="","",IFERROR(INDEX(tblDestinations[Type],MATCH(tblMovement[[#This Row],[Destination]],tblDestinations[Destination],0)),"?"))</f>
        <v/>
      </c>
      <c r="M973" s="64">
        <f>IF(tblMovement[[#This Row],[Material]]="","",IF(LEFT(tblMovement[[#This Row],[Material]],3)="Ore",1,0))</f>
        <v/>
      </c>
      <c r="N973" s="59">
        <f>IF(OR(tblMovement[[#This Row],[Tonnes_t]]="",tblMovement[[#This Row],[Grade_gpt]]=""),0,tblMovement[[#This Row],[Tonnes_t]]*tblMovement[[#This Row],[Grade_gpt]]/cfg_TroyOz)</f>
        <v/>
      </c>
      <c r="O973" s="59">
        <f>IF(tblMovement[[#This Row],[Is_Ore]]=1,tblMovement[[#This Row],[Contained_oz]],0)</f>
        <v/>
      </c>
    </row>
    <row r="974">
      <c r="A974" s="54" t="n"/>
      <c r="B974" s="61" t="n"/>
      <c r="C974" s="61" t="n"/>
      <c r="D974" s="61" t="n"/>
      <c r="E974" s="61" t="n"/>
      <c r="F974" s="55" t="n"/>
      <c r="G974" s="56" t="n"/>
      <c r="H974" s="55" t="n"/>
      <c r="I974" s="62" t="n"/>
      <c r="J974" s="58" t="n"/>
      <c r="K974" s="63">
        <f>IF(tblMovement[[#This Row],[Source]]="","",IFERROR(INDEX(tblSources[Type],MATCH(tblMovement[[#This Row],[Source]],tblSources[Source],0)),"?"))</f>
        <v/>
      </c>
      <c r="L974" s="63">
        <f>IF(tblMovement[[#This Row],[Destination]]="","",IFERROR(INDEX(tblDestinations[Type],MATCH(tblMovement[[#This Row],[Destination]],tblDestinations[Destination],0)),"?"))</f>
        <v/>
      </c>
      <c r="M974" s="64">
        <f>IF(tblMovement[[#This Row],[Material]]="","",IF(LEFT(tblMovement[[#This Row],[Material]],3)="Ore",1,0))</f>
        <v/>
      </c>
      <c r="N974" s="59">
        <f>IF(OR(tblMovement[[#This Row],[Tonnes_t]]="",tblMovement[[#This Row],[Grade_gpt]]=""),0,tblMovement[[#This Row],[Tonnes_t]]*tblMovement[[#This Row],[Grade_gpt]]/cfg_TroyOz)</f>
        <v/>
      </c>
      <c r="O974" s="59">
        <f>IF(tblMovement[[#This Row],[Is_Ore]]=1,tblMovement[[#This Row],[Contained_oz]],0)</f>
        <v/>
      </c>
    </row>
    <row r="975">
      <c r="A975" s="54" t="n"/>
      <c r="B975" s="61" t="n"/>
      <c r="C975" s="61" t="n"/>
      <c r="D975" s="61" t="n"/>
      <c r="E975" s="61" t="n"/>
      <c r="F975" s="55" t="n"/>
      <c r="G975" s="56" t="n"/>
      <c r="H975" s="55" t="n"/>
      <c r="I975" s="62" t="n"/>
      <c r="J975" s="58" t="n"/>
      <c r="K975" s="63">
        <f>IF(tblMovement[[#This Row],[Source]]="","",IFERROR(INDEX(tblSources[Type],MATCH(tblMovement[[#This Row],[Source]],tblSources[Source],0)),"?"))</f>
        <v/>
      </c>
      <c r="L975" s="63">
        <f>IF(tblMovement[[#This Row],[Destination]]="","",IFERROR(INDEX(tblDestinations[Type],MATCH(tblMovement[[#This Row],[Destination]],tblDestinations[Destination],0)),"?"))</f>
        <v/>
      </c>
      <c r="M975" s="64">
        <f>IF(tblMovement[[#This Row],[Material]]="","",IF(LEFT(tblMovement[[#This Row],[Material]],3)="Ore",1,0))</f>
        <v/>
      </c>
      <c r="N975" s="59">
        <f>IF(OR(tblMovement[[#This Row],[Tonnes_t]]="",tblMovement[[#This Row],[Grade_gpt]]=""),0,tblMovement[[#This Row],[Tonnes_t]]*tblMovement[[#This Row],[Grade_gpt]]/cfg_TroyOz)</f>
        <v/>
      </c>
      <c r="O975" s="59">
        <f>IF(tblMovement[[#This Row],[Is_Ore]]=1,tblMovement[[#This Row],[Contained_oz]],0)</f>
        <v/>
      </c>
    </row>
    <row r="976">
      <c r="A976" s="54" t="n"/>
      <c r="B976" s="61" t="n"/>
      <c r="C976" s="61" t="n"/>
      <c r="D976" s="61" t="n"/>
      <c r="E976" s="61" t="n"/>
      <c r="F976" s="55" t="n"/>
      <c r="G976" s="56" t="n"/>
      <c r="H976" s="55" t="n"/>
      <c r="I976" s="62" t="n"/>
      <c r="J976" s="58" t="n"/>
      <c r="K976" s="63">
        <f>IF(tblMovement[[#This Row],[Source]]="","",IFERROR(INDEX(tblSources[Type],MATCH(tblMovement[[#This Row],[Source]],tblSources[Source],0)),"?"))</f>
        <v/>
      </c>
      <c r="L976" s="63">
        <f>IF(tblMovement[[#This Row],[Destination]]="","",IFERROR(INDEX(tblDestinations[Type],MATCH(tblMovement[[#This Row],[Destination]],tblDestinations[Destination],0)),"?"))</f>
        <v/>
      </c>
      <c r="M976" s="64">
        <f>IF(tblMovement[[#This Row],[Material]]="","",IF(LEFT(tblMovement[[#This Row],[Material]],3)="Ore",1,0))</f>
        <v/>
      </c>
      <c r="N976" s="59">
        <f>IF(OR(tblMovement[[#This Row],[Tonnes_t]]="",tblMovement[[#This Row],[Grade_gpt]]=""),0,tblMovement[[#This Row],[Tonnes_t]]*tblMovement[[#This Row],[Grade_gpt]]/cfg_TroyOz)</f>
        <v/>
      </c>
      <c r="O976" s="59">
        <f>IF(tblMovement[[#This Row],[Is_Ore]]=1,tblMovement[[#This Row],[Contained_oz]],0)</f>
        <v/>
      </c>
    </row>
    <row r="977">
      <c r="A977" s="54" t="n"/>
      <c r="B977" s="61" t="n"/>
      <c r="C977" s="61" t="n"/>
      <c r="D977" s="61" t="n"/>
      <c r="E977" s="61" t="n"/>
      <c r="F977" s="55" t="n"/>
      <c r="G977" s="56" t="n"/>
      <c r="H977" s="55" t="n"/>
      <c r="I977" s="62" t="n"/>
      <c r="J977" s="58" t="n"/>
      <c r="K977" s="63">
        <f>IF(tblMovement[[#This Row],[Source]]="","",IFERROR(INDEX(tblSources[Type],MATCH(tblMovement[[#This Row],[Source]],tblSources[Source],0)),"?"))</f>
        <v/>
      </c>
      <c r="L977" s="63">
        <f>IF(tblMovement[[#This Row],[Destination]]="","",IFERROR(INDEX(tblDestinations[Type],MATCH(tblMovement[[#This Row],[Destination]],tblDestinations[Destination],0)),"?"))</f>
        <v/>
      </c>
      <c r="M977" s="64">
        <f>IF(tblMovement[[#This Row],[Material]]="","",IF(LEFT(tblMovement[[#This Row],[Material]],3)="Ore",1,0))</f>
        <v/>
      </c>
      <c r="N977" s="59">
        <f>IF(OR(tblMovement[[#This Row],[Tonnes_t]]="",tblMovement[[#This Row],[Grade_gpt]]=""),0,tblMovement[[#This Row],[Tonnes_t]]*tblMovement[[#This Row],[Grade_gpt]]/cfg_TroyOz)</f>
        <v/>
      </c>
      <c r="O977" s="59">
        <f>IF(tblMovement[[#This Row],[Is_Ore]]=1,tblMovement[[#This Row],[Contained_oz]],0)</f>
        <v/>
      </c>
    </row>
    <row r="978">
      <c r="A978" s="54" t="n"/>
      <c r="B978" s="61" t="n"/>
      <c r="C978" s="61" t="n"/>
      <c r="D978" s="61" t="n"/>
      <c r="E978" s="61" t="n"/>
      <c r="F978" s="55" t="n"/>
      <c r="G978" s="56" t="n"/>
      <c r="H978" s="55" t="n"/>
      <c r="I978" s="62" t="n"/>
      <c r="J978" s="58" t="n"/>
      <c r="K978" s="63">
        <f>IF(tblMovement[[#This Row],[Source]]="","",IFERROR(INDEX(tblSources[Type],MATCH(tblMovement[[#This Row],[Source]],tblSources[Source],0)),"?"))</f>
        <v/>
      </c>
      <c r="L978" s="63">
        <f>IF(tblMovement[[#This Row],[Destination]]="","",IFERROR(INDEX(tblDestinations[Type],MATCH(tblMovement[[#This Row],[Destination]],tblDestinations[Destination],0)),"?"))</f>
        <v/>
      </c>
      <c r="M978" s="64">
        <f>IF(tblMovement[[#This Row],[Material]]="","",IF(LEFT(tblMovement[[#This Row],[Material]],3)="Ore",1,0))</f>
        <v/>
      </c>
      <c r="N978" s="59">
        <f>IF(OR(tblMovement[[#This Row],[Tonnes_t]]="",tblMovement[[#This Row],[Grade_gpt]]=""),0,tblMovement[[#This Row],[Tonnes_t]]*tblMovement[[#This Row],[Grade_gpt]]/cfg_TroyOz)</f>
        <v/>
      </c>
      <c r="O978" s="59">
        <f>IF(tblMovement[[#This Row],[Is_Ore]]=1,tblMovement[[#This Row],[Contained_oz]],0)</f>
        <v/>
      </c>
    </row>
    <row r="979">
      <c r="A979" s="54" t="n"/>
      <c r="B979" s="61" t="n"/>
      <c r="C979" s="61" t="n"/>
      <c r="D979" s="61" t="n"/>
      <c r="E979" s="61" t="n"/>
      <c r="F979" s="55" t="n"/>
      <c r="G979" s="56" t="n"/>
      <c r="H979" s="55" t="n"/>
      <c r="I979" s="62" t="n"/>
      <c r="J979" s="58" t="n"/>
      <c r="K979" s="63">
        <f>IF(tblMovement[[#This Row],[Source]]="","",IFERROR(INDEX(tblSources[Type],MATCH(tblMovement[[#This Row],[Source]],tblSources[Source],0)),"?"))</f>
        <v/>
      </c>
      <c r="L979" s="63">
        <f>IF(tblMovement[[#This Row],[Destination]]="","",IFERROR(INDEX(tblDestinations[Type],MATCH(tblMovement[[#This Row],[Destination]],tblDestinations[Destination],0)),"?"))</f>
        <v/>
      </c>
      <c r="M979" s="64">
        <f>IF(tblMovement[[#This Row],[Material]]="","",IF(LEFT(tblMovement[[#This Row],[Material]],3)="Ore",1,0))</f>
        <v/>
      </c>
      <c r="N979" s="59">
        <f>IF(OR(tblMovement[[#This Row],[Tonnes_t]]="",tblMovement[[#This Row],[Grade_gpt]]=""),0,tblMovement[[#This Row],[Tonnes_t]]*tblMovement[[#This Row],[Grade_gpt]]/cfg_TroyOz)</f>
        <v/>
      </c>
      <c r="O979" s="59">
        <f>IF(tblMovement[[#This Row],[Is_Ore]]=1,tblMovement[[#This Row],[Contained_oz]],0)</f>
        <v/>
      </c>
    </row>
    <row r="980">
      <c r="A980" s="54" t="n"/>
      <c r="B980" s="61" t="n"/>
      <c r="C980" s="61" t="n"/>
      <c r="D980" s="61" t="n"/>
      <c r="E980" s="61" t="n"/>
      <c r="F980" s="55" t="n"/>
      <c r="G980" s="56" t="n"/>
      <c r="H980" s="55" t="n"/>
      <c r="I980" s="62" t="n"/>
      <c r="J980" s="58" t="n"/>
      <c r="K980" s="63">
        <f>IF(tblMovement[[#This Row],[Source]]="","",IFERROR(INDEX(tblSources[Type],MATCH(tblMovement[[#This Row],[Source]],tblSources[Source],0)),"?"))</f>
        <v/>
      </c>
      <c r="L980" s="63">
        <f>IF(tblMovement[[#This Row],[Destination]]="","",IFERROR(INDEX(tblDestinations[Type],MATCH(tblMovement[[#This Row],[Destination]],tblDestinations[Destination],0)),"?"))</f>
        <v/>
      </c>
      <c r="M980" s="64">
        <f>IF(tblMovement[[#This Row],[Material]]="","",IF(LEFT(tblMovement[[#This Row],[Material]],3)="Ore",1,0))</f>
        <v/>
      </c>
      <c r="N980" s="59">
        <f>IF(OR(tblMovement[[#This Row],[Tonnes_t]]="",tblMovement[[#This Row],[Grade_gpt]]=""),0,tblMovement[[#This Row],[Tonnes_t]]*tblMovement[[#This Row],[Grade_gpt]]/cfg_TroyOz)</f>
        <v/>
      </c>
      <c r="O980" s="59">
        <f>IF(tblMovement[[#This Row],[Is_Ore]]=1,tblMovement[[#This Row],[Contained_oz]],0)</f>
        <v/>
      </c>
    </row>
    <row r="981">
      <c r="A981" s="54" t="n"/>
      <c r="B981" s="61" t="n"/>
      <c r="C981" s="61" t="n"/>
      <c r="D981" s="61" t="n"/>
      <c r="E981" s="61" t="n"/>
      <c r="F981" s="55" t="n"/>
      <c r="G981" s="56" t="n"/>
      <c r="H981" s="55" t="n"/>
      <c r="I981" s="62" t="n"/>
      <c r="J981" s="58" t="n"/>
      <c r="K981" s="63">
        <f>IF(tblMovement[[#This Row],[Source]]="","",IFERROR(INDEX(tblSources[Type],MATCH(tblMovement[[#This Row],[Source]],tblSources[Source],0)),"?"))</f>
        <v/>
      </c>
      <c r="L981" s="63">
        <f>IF(tblMovement[[#This Row],[Destination]]="","",IFERROR(INDEX(tblDestinations[Type],MATCH(tblMovement[[#This Row],[Destination]],tblDestinations[Destination],0)),"?"))</f>
        <v/>
      </c>
      <c r="M981" s="64">
        <f>IF(tblMovement[[#This Row],[Material]]="","",IF(LEFT(tblMovement[[#This Row],[Material]],3)="Ore",1,0))</f>
        <v/>
      </c>
      <c r="N981" s="59">
        <f>IF(OR(tblMovement[[#This Row],[Tonnes_t]]="",tblMovement[[#This Row],[Grade_gpt]]=""),0,tblMovement[[#This Row],[Tonnes_t]]*tblMovement[[#This Row],[Grade_gpt]]/cfg_TroyOz)</f>
        <v/>
      </c>
      <c r="O981" s="59">
        <f>IF(tblMovement[[#This Row],[Is_Ore]]=1,tblMovement[[#This Row],[Contained_oz]],0)</f>
        <v/>
      </c>
    </row>
    <row r="982">
      <c r="A982" s="54" t="n"/>
      <c r="B982" s="61" t="n"/>
      <c r="C982" s="61" t="n"/>
      <c r="D982" s="61" t="n"/>
      <c r="E982" s="61" t="n"/>
      <c r="F982" s="55" t="n"/>
      <c r="G982" s="56" t="n"/>
      <c r="H982" s="55" t="n"/>
      <c r="I982" s="62" t="n"/>
      <c r="J982" s="58" t="n"/>
      <c r="K982" s="63">
        <f>IF(tblMovement[[#This Row],[Source]]="","",IFERROR(INDEX(tblSources[Type],MATCH(tblMovement[[#This Row],[Source]],tblSources[Source],0)),"?"))</f>
        <v/>
      </c>
      <c r="L982" s="63">
        <f>IF(tblMovement[[#This Row],[Destination]]="","",IFERROR(INDEX(tblDestinations[Type],MATCH(tblMovement[[#This Row],[Destination]],tblDestinations[Destination],0)),"?"))</f>
        <v/>
      </c>
      <c r="M982" s="64">
        <f>IF(tblMovement[[#This Row],[Material]]="","",IF(LEFT(tblMovement[[#This Row],[Material]],3)="Ore",1,0))</f>
        <v/>
      </c>
      <c r="N982" s="59">
        <f>IF(OR(tblMovement[[#This Row],[Tonnes_t]]="",tblMovement[[#This Row],[Grade_gpt]]=""),0,tblMovement[[#This Row],[Tonnes_t]]*tblMovement[[#This Row],[Grade_gpt]]/cfg_TroyOz)</f>
        <v/>
      </c>
      <c r="O982" s="59">
        <f>IF(tblMovement[[#This Row],[Is_Ore]]=1,tblMovement[[#This Row],[Contained_oz]],0)</f>
        <v/>
      </c>
    </row>
    <row r="983">
      <c r="A983" s="54" t="n"/>
      <c r="B983" s="61" t="n"/>
      <c r="C983" s="61" t="n"/>
      <c r="D983" s="61" t="n"/>
      <c r="E983" s="61" t="n"/>
      <c r="F983" s="55" t="n"/>
      <c r="G983" s="56" t="n"/>
      <c r="H983" s="55" t="n"/>
      <c r="I983" s="62" t="n"/>
      <c r="J983" s="58" t="n"/>
      <c r="K983" s="63">
        <f>IF(tblMovement[[#This Row],[Source]]="","",IFERROR(INDEX(tblSources[Type],MATCH(tblMovement[[#This Row],[Source]],tblSources[Source],0)),"?"))</f>
        <v/>
      </c>
      <c r="L983" s="63">
        <f>IF(tblMovement[[#This Row],[Destination]]="","",IFERROR(INDEX(tblDestinations[Type],MATCH(tblMovement[[#This Row],[Destination]],tblDestinations[Destination],0)),"?"))</f>
        <v/>
      </c>
      <c r="M983" s="64">
        <f>IF(tblMovement[[#This Row],[Material]]="","",IF(LEFT(tblMovement[[#This Row],[Material]],3)="Ore",1,0))</f>
        <v/>
      </c>
      <c r="N983" s="59">
        <f>IF(OR(tblMovement[[#This Row],[Tonnes_t]]="",tblMovement[[#This Row],[Grade_gpt]]=""),0,tblMovement[[#This Row],[Tonnes_t]]*tblMovement[[#This Row],[Grade_gpt]]/cfg_TroyOz)</f>
        <v/>
      </c>
      <c r="O983" s="59">
        <f>IF(tblMovement[[#This Row],[Is_Ore]]=1,tblMovement[[#This Row],[Contained_oz]],0)</f>
        <v/>
      </c>
    </row>
    <row r="984">
      <c r="A984" s="54" t="n"/>
      <c r="B984" s="61" t="n"/>
      <c r="C984" s="61" t="n"/>
      <c r="D984" s="61" t="n"/>
      <c r="E984" s="61" t="n"/>
      <c r="F984" s="55" t="n"/>
      <c r="G984" s="56" t="n"/>
      <c r="H984" s="55" t="n"/>
      <c r="I984" s="62" t="n"/>
      <c r="J984" s="58" t="n"/>
      <c r="K984" s="63">
        <f>IF(tblMovement[[#This Row],[Source]]="","",IFERROR(INDEX(tblSources[Type],MATCH(tblMovement[[#This Row],[Source]],tblSources[Source],0)),"?"))</f>
        <v/>
      </c>
      <c r="L984" s="63">
        <f>IF(tblMovement[[#This Row],[Destination]]="","",IFERROR(INDEX(tblDestinations[Type],MATCH(tblMovement[[#This Row],[Destination]],tblDestinations[Destination],0)),"?"))</f>
        <v/>
      </c>
      <c r="M984" s="64">
        <f>IF(tblMovement[[#This Row],[Material]]="","",IF(LEFT(tblMovement[[#This Row],[Material]],3)="Ore",1,0))</f>
        <v/>
      </c>
      <c r="N984" s="59">
        <f>IF(OR(tblMovement[[#This Row],[Tonnes_t]]="",tblMovement[[#This Row],[Grade_gpt]]=""),0,tblMovement[[#This Row],[Tonnes_t]]*tblMovement[[#This Row],[Grade_gpt]]/cfg_TroyOz)</f>
        <v/>
      </c>
      <c r="O984" s="59">
        <f>IF(tblMovement[[#This Row],[Is_Ore]]=1,tblMovement[[#This Row],[Contained_oz]],0)</f>
        <v/>
      </c>
    </row>
    <row r="985">
      <c r="A985" s="54" t="n"/>
      <c r="B985" s="61" t="n"/>
      <c r="C985" s="61" t="n"/>
      <c r="D985" s="61" t="n"/>
      <c r="E985" s="61" t="n"/>
      <c r="F985" s="55" t="n"/>
      <c r="G985" s="56" t="n"/>
      <c r="H985" s="55" t="n"/>
      <c r="I985" s="62" t="n"/>
      <c r="J985" s="58" t="n"/>
      <c r="K985" s="63">
        <f>IF(tblMovement[[#This Row],[Source]]="","",IFERROR(INDEX(tblSources[Type],MATCH(tblMovement[[#This Row],[Source]],tblSources[Source],0)),"?"))</f>
        <v/>
      </c>
      <c r="L985" s="63">
        <f>IF(tblMovement[[#This Row],[Destination]]="","",IFERROR(INDEX(tblDestinations[Type],MATCH(tblMovement[[#This Row],[Destination]],tblDestinations[Destination],0)),"?"))</f>
        <v/>
      </c>
      <c r="M985" s="64">
        <f>IF(tblMovement[[#This Row],[Material]]="","",IF(LEFT(tblMovement[[#This Row],[Material]],3)="Ore",1,0))</f>
        <v/>
      </c>
      <c r="N985" s="59">
        <f>IF(OR(tblMovement[[#This Row],[Tonnes_t]]="",tblMovement[[#This Row],[Grade_gpt]]=""),0,tblMovement[[#This Row],[Tonnes_t]]*tblMovement[[#This Row],[Grade_gpt]]/cfg_TroyOz)</f>
        <v/>
      </c>
      <c r="O985" s="59">
        <f>IF(tblMovement[[#This Row],[Is_Ore]]=1,tblMovement[[#This Row],[Contained_oz]],0)</f>
        <v/>
      </c>
    </row>
    <row r="986">
      <c r="A986" s="54" t="n"/>
      <c r="B986" s="61" t="n"/>
      <c r="C986" s="61" t="n"/>
      <c r="D986" s="61" t="n"/>
      <c r="E986" s="61" t="n"/>
      <c r="F986" s="55" t="n"/>
      <c r="G986" s="56" t="n"/>
      <c r="H986" s="55" t="n"/>
      <c r="I986" s="62" t="n"/>
      <c r="J986" s="58" t="n"/>
      <c r="K986" s="63">
        <f>IF(tblMovement[[#This Row],[Source]]="","",IFERROR(INDEX(tblSources[Type],MATCH(tblMovement[[#This Row],[Source]],tblSources[Source],0)),"?"))</f>
        <v/>
      </c>
      <c r="L986" s="63">
        <f>IF(tblMovement[[#This Row],[Destination]]="","",IFERROR(INDEX(tblDestinations[Type],MATCH(tblMovement[[#This Row],[Destination]],tblDestinations[Destination],0)),"?"))</f>
        <v/>
      </c>
      <c r="M986" s="64">
        <f>IF(tblMovement[[#This Row],[Material]]="","",IF(LEFT(tblMovement[[#This Row],[Material]],3)="Ore",1,0))</f>
        <v/>
      </c>
      <c r="N986" s="59">
        <f>IF(OR(tblMovement[[#This Row],[Tonnes_t]]="",tblMovement[[#This Row],[Grade_gpt]]=""),0,tblMovement[[#This Row],[Tonnes_t]]*tblMovement[[#This Row],[Grade_gpt]]/cfg_TroyOz)</f>
        <v/>
      </c>
      <c r="O986" s="59">
        <f>IF(tblMovement[[#This Row],[Is_Ore]]=1,tblMovement[[#This Row],[Contained_oz]],0)</f>
        <v/>
      </c>
    </row>
    <row r="987">
      <c r="A987" s="54" t="n"/>
      <c r="B987" s="61" t="n"/>
      <c r="C987" s="61" t="n"/>
      <c r="D987" s="61" t="n"/>
      <c r="E987" s="61" t="n"/>
      <c r="F987" s="55" t="n"/>
      <c r="G987" s="56" t="n"/>
      <c r="H987" s="55" t="n"/>
      <c r="I987" s="62" t="n"/>
      <c r="J987" s="58" t="n"/>
      <c r="K987" s="63">
        <f>IF(tblMovement[[#This Row],[Source]]="","",IFERROR(INDEX(tblSources[Type],MATCH(tblMovement[[#This Row],[Source]],tblSources[Source],0)),"?"))</f>
        <v/>
      </c>
      <c r="L987" s="63">
        <f>IF(tblMovement[[#This Row],[Destination]]="","",IFERROR(INDEX(tblDestinations[Type],MATCH(tblMovement[[#This Row],[Destination]],tblDestinations[Destination],0)),"?"))</f>
        <v/>
      </c>
      <c r="M987" s="64">
        <f>IF(tblMovement[[#This Row],[Material]]="","",IF(LEFT(tblMovement[[#This Row],[Material]],3)="Ore",1,0))</f>
        <v/>
      </c>
      <c r="N987" s="59">
        <f>IF(OR(tblMovement[[#This Row],[Tonnes_t]]="",tblMovement[[#This Row],[Grade_gpt]]=""),0,tblMovement[[#This Row],[Tonnes_t]]*tblMovement[[#This Row],[Grade_gpt]]/cfg_TroyOz)</f>
        <v/>
      </c>
      <c r="O987" s="59">
        <f>IF(tblMovement[[#This Row],[Is_Ore]]=1,tblMovement[[#This Row],[Contained_oz]],0)</f>
        <v/>
      </c>
    </row>
    <row r="988">
      <c r="A988" s="54" t="n"/>
      <c r="B988" s="61" t="n"/>
      <c r="C988" s="61" t="n"/>
      <c r="D988" s="61" t="n"/>
      <c r="E988" s="61" t="n"/>
      <c r="F988" s="55" t="n"/>
      <c r="G988" s="56" t="n"/>
      <c r="H988" s="55" t="n"/>
      <c r="I988" s="62" t="n"/>
      <c r="J988" s="58" t="n"/>
      <c r="K988" s="63">
        <f>IF(tblMovement[[#This Row],[Source]]="","",IFERROR(INDEX(tblSources[Type],MATCH(tblMovement[[#This Row],[Source]],tblSources[Source],0)),"?"))</f>
        <v/>
      </c>
      <c r="L988" s="63">
        <f>IF(tblMovement[[#This Row],[Destination]]="","",IFERROR(INDEX(tblDestinations[Type],MATCH(tblMovement[[#This Row],[Destination]],tblDestinations[Destination],0)),"?"))</f>
        <v/>
      </c>
      <c r="M988" s="64">
        <f>IF(tblMovement[[#This Row],[Material]]="","",IF(LEFT(tblMovement[[#This Row],[Material]],3)="Ore",1,0))</f>
        <v/>
      </c>
      <c r="N988" s="59">
        <f>IF(OR(tblMovement[[#This Row],[Tonnes_t]]="",tblMovement[[#This Row],[Grade_gpt]]=""),0,tblMovement[[#This Row],[Tonnes_t]]*tblMovement[[#This Row],[Grade_gpt]]/cfg_TroyOz)</f>
        <v/>
      </c>
      <c r="O988" s="59">
        <f>IF(tblMovement[[#This Row],[Is_Ore]]=1,tblMovement[[#This Row],[Contained_oz]],0)</f>
        <v/>
      </c>
    </row>
    <row r="989">
      <c r="A989" s="54" t="n"/>
      <c r="B989" s="61" t="n"/>
      <c r="C989" s="61" t="n"/>
      <c r="D989" s="61" t="n"/>
      <c r="E989" s="61" t="n"/>
      <c r="F989" s="55" t="n"/>
      <c r="G989" s="56" t="n"/>
      <c r="H989" s="55" t="n"/>
      <c r="I989" s="62" t="n"/>
      <c r="J989" s="58" t="n"/>
      <c r="K989" s="63">
        <f>IF(tblMovement[[#This Row],[Source]]="","",IFERROR(INDEX(tblSources[Type],MATCH(tblMovement[[#This Row],[Source]],tblSources[Source],0)),"?"))</f>
        <v/>
      </c>
      <c r="L989" s="63">
        <f>IF(tblMovement[[#This Row],[Destination]]="","",IFERROR(INDEX(tblDestinations[Type],MATCH(tblMovement[[#This Row],[Destination]],tblDestinations[Destination],0)),"?"))</f>
        <v/>
      </c>
      <c r="M989" s="64">
        <f>IF(tblMovement[[#This Row],[Material]]="","",IF(LEFT(tblMovement[[#This Row],[Material]],3)="Ore",1,0))</f>
        <v/>
      </c>
      <c r="N989" s="59">
        <f>IF(OR(tblMovement[[#This Row],[Tonnes_t]]="",tblMovement[[#This Row],[Grade_gpt]]=""),0,tblMovement[[#This Row],[Tonnes_t]]*tblMovement[[#This Row],[Grade_gpt]]/cfg_TroyOz)</f>
        <v/>
      </c>
      <c r="O989" s="59">
        <f>IF(tblMovement[[#This Row],[Is_Ore]]=1,tblMovement[[#This Row],[Contained_oz]],0)</f>
        <v/>
      </c>
    </row>
    <row r="990">
      <c r="A990" s="54" t="n"/>
      <c r="B990" s="61" t="n"/>
      <c r="C990" s="61" t="n"/>
      <c r="D990" s="61" t="n"/>
      <c r="E990" s="61" t="n"/>
      <c r="F990" s="55" t="n"/>
      <c r="G990" s="56" t="n"/>
      <c r="H990" s="55" t="n"/>
      <c r="I990" s="62" t="n"/>
      <c r="J990" s="58" t="n"/>
      <c r="K990" s="63">
        <f>IF(tblMovement[[#This Row],[Source]]="","",IFERROR(INDEX(tblSources[Type],MATCH(tblMovement[[#This Row],[Source]],tblSources[Source],0)),"?"))</f>
        <v/>
      </c>
      <c r="L990" s="63">
        <f>IF(tblMovement[[#This Row],[Destination]]="","",IFERROR(INDEX(tblDestinations[Type],MATCH(tblMovement[[#This Row],[Destination]],tblDestinations[Destination],0)),"?"))</f>
        <v/>
      </c>
      <c r="M990" s="64">
        <f>IF(tblMovement[[#This Row],[Material]]="","",IF(LEFT(tblMovement[[#This Row],[Material]],3)="Ore",1,0))</f>
        <v/>
      </c>
      <c r="N990" s="59">
        <f>IF(OR(tblMovement[[#This Row],[Tonnes_t]]="",tblMovement[[#This Row],[Grade_gpt]]=""),0,tblMovement[[#This Row],[Tonnes_t]]*tblMovement[[#This Row],[Grade_gpt]]/cfg_TroyOz)</f>
        <v/>
      </c>
      <c r="O990" s="59">
        <f>IF(tblMovement[[#This Row],[Is_Ore]]=1,tblMovement[[#This Row],[Contained_oz]],0)</f>
        <v/>
      </c>
    </row>
    <row r="991">
      <c r="A991" s="54" t="n"/>
      <c r="B991" s="61" t="n"/>
      <c r="C991" s="61" t="n"/>
      <c r="D991" s="61" t="n"/>
      <c r="E991" s="61" t="n"/>
      <c r="F991" s="55" t="n"/>
      <c r="G991" s="56" t="n"/>
      <c r="H991" s="55" t="n"/>
      <c r="I991" s="62" t="n"/>
      <c r="J991" s="58" t="n"/>
      <c r="K991" s="63">
        <f>IF(tblMovement[[#This Row],[Source]]="","",IFERROR(INDEX(tblSources[Type],MATCH(tblMovement[[#This Row],[Source]],tblSources[Source],0)),"?"))</f>
        <v/>
      </c>
      <c r="L991" s="63">
        <f>IF(tblMovement[[#This Row],[Destination]]="","",IFERROR(INDEX(tblDestinations[Type],MATCH(tblMovement[[#This Row],[Destination]],tblDestinations[Destination],0)),"?"))</f>
        <v/>
      </c>
      <c r="M991" s="64">
        <f>IF(tblMovement[[#This Row],[Material]]="","",IF(LEFT(tblMovement[[#This Row],[Material]],3)="Ore",1,0))</f>
        <v/>
      </c>
      <c r="N991" s="59">
        <f>IF(OR(tblMovement[[#This Row],[Tonnes_t]]="",tblMovement[[#This Row],[Grade_gpt]]=""),0,tblMovement[[#This Row],[Tonnes_t]]*tblMovement[[#This Row],[Grade_gpt]]/cfg_TroyOz)</f>
        <v/>
      </c>
      <c r="O991" s="59">
        <f>IF(tblMovement[[#This Row],[Is_Ore]]=1,tblMovement[[#This Row],[Contained_oz]],0)</f>
        <v/>
      </c>
    </row>
    <row r="992">
      <c r="A992" s="54" t="n"/>
      <c r="B992" s="61" t="n"/>
      <c r="C992" s="61" t="n"/>
      <c r="D992" s="61" t="n"/>
      <c r="E992" s="61" t="n"/>
      <c r="F992" s="55" t="n"/>
      <c r="G992" s="56" t="n"/>
      <c r="H992" s="55" t="n"/>
      <c r="I992" s="62" t="n"/>
      <c r="J992" s="58" t="n"/>
      <c r="K992" s="63">
        <f>IF(tblMovement[[#This Row],[Source]]="","",IFERROR(INDEX(tblSources[Type],MATCH(tblMovement[[#This Row],[Source]],tblSources[Source],0)),"?"))</f>
        <v/>
      </c>
      <c r="L992" s="63">
        <f>IF(tblMovement[[#This Row],[Destination]]="","",IFERROR(INDEX(tblDestinations[Type],MATCH(tblMovement[[#This Row],[Destination]],tblDestinations[Destination],0)),"?"))</f>
        <v/>
      </c>
      <c r="M992" s="64">
        <f>IF(tblMovement[[#This Row],[Material]]="","",IF(LEFT(tblMovement[[#This Row],[Material]],3)="Ore",1,0))</f>
        <v/>
      </c>
      <c r="N992" s="59">
        <f>IF(OR(tblMovement[[#This Row],[Tonnes_t]]="",tblMovement[[#This Row],[Grade_gpt]]=""),0,tblMovement[[#This Row],[Tonnes_t]]*tblMovement[[#This Row],[Grade_gpt]]/cfg_TroyOz)</f>
        <v/>
      </c>
      <c r="O992" s="59">
        <f>IF(tblMovement[[#This Row],[Is_Ore]]=1,tblMovement[[#This Row],[Contained_oz]],0)</f>
        <v/>
      </c>
    </row>
    <row r="993">
      <c r="A993" s="54" t="n"/>
      <c r="B993" s="61" t="n"/>
      <c r="C993" s="61" t="n"/>
      <c r="D993" s="61" t="n"/>
      <c r="E993" s="61" t="n"/>
      <c r="F993" s="55" t="n"/>
      <c r="G993" s="56" t="n"/>
      <c r="H993" s="55" t="n"/>
      <c r="I993" s="62" t="n"/>
      <c r="J993" s="58" t="n"/>
      <c r="K993" s="63">
        <f>IF(tblMovement[[#This Row],[Source]]="","",IFERROR(INDEX(tblSources[Type],MATCH(tblMovement[[#This Row],[Source]],tblSources[Source],0)),"?"))</f>
        <v/>
      </c>
      <c r="L993" s="63">
        <f>IF(tblMovement[[#This Row],[Destination]]="","",IFERROR(INDEX(tblDestinations[Type],MATCH(tblMovement[[#This Row],[Destination]],tblDestinations[Destination],0)),"?"))</f>
        <v/>
      </c>
      <c r="M993" s="64">
        <f>IF(tblMovement[[#This Row],[Material]]="","",IF(LEFT(tblMovement[[#This Row],[Material]],3)="Ore",1,0))</f>
        <v/>
      </c>
      <c r="N993" s="59">
        <f>IF(OR(tblMovement[[#This Row],[Tonnes_t]]="",tblMovement[[#This Row],[Grade_gpt]]=""),0,tblMovement[[#This Row],[Tonnes_t]]*tblMovement[[#This Row],[Grade_gpt]]/cfg_TroyOz)</f>
        <v/>
      </c>
      <c r="O993" s="59">
        <f>IF(tblMovement[[#This Row],[Is_Ore]]=1,tblMovement[[#This Row],[Contained_oz]],0)</f>
        <v/>
      </c>
    </row>
    <row r="994">
      <c r="A994" s="54" t="n"/>
      <c r="B994" s="61" t="n"/>
      <c r="C994" s="61" t="n"/>
      <c r="D994" s="61" t="n"/>
      <c r="E994" s="61" t="n"/>
      <c r="F994" s="55" t="n"/>
      <c r="G994" s="56" t="n"/>
      <c r="H994" s="55" t="n"/>
      <c r="I994" s="62" t="n"/>
      <c r="J994" s="58" t="n"/>
      <c r="K994" s="63">
        <f>IF(tblMovement[[#This Row],[Source]]="","",IFERROR(INDEX(tblSources[Type],MATCH(tblMovement[[#This Row],[Source]],tblSources[Source],0)),"?"))</f>
        <v/>
      </c>
      <c r="L994" s="63">
        <f>IF(tblMovement[[#This Row],[Destination]]="","",IFERROR(INDEX(tblDestinations[Type],MATCH(tblMovement[[#This Row],[Destination]],tblDestinations[Destination],0)),"?"))</f>
        <v/>
      </c>
      <c r="M994" s="64">
        <f>IF(tblMovement[[#This Row],[Material]]="","",IF(LEFT(tblMovement[[#This Row],[Material]],3)="Ore",1,0))</f>
        <v/>
      </c>
      <c r="N994" s="59">
        <f>IF(OR(tblMovement[[#This Row],[Tonnes_t]]="",tblMovement[[#This Row],[Grade_gpt]]=""),0,tblMovement[[#This Row],[Tonnes_t]]*tblMovement[[#This Row],[Grade_gpt]]/cfg_TroyOz)</f>
        <v/>
      </c>
      <c r="O994" s="59">
        <f>IF(tblMovement[[#This Row],[Is_Ore]]=1,tblMovement[[#This Row],[Contained_oz]],0)</f>
        <v/>
      </c>
    </row>
    <row r="995">
      <c r="A995" s="54" t="n"/>
      <c r="B995" s="61" t="n"/>
      <c r="C995" s="61" t="n"/>
      <c r="D995" s="61" t="n"/>
      <c r="E995" s="61" t="n"/>
      <c r="F995" s="55" t="n"/>
      <c r="G995" s="56" t="n"/>
      <c r="H995" s="55" t="n"/>
      <c r="I995" s="62" t="n"/>
      <c r="J995" s="58" t="n"/>
      <c r="K995" s="63">
        <f>IF(tblMovement[[#This Row],[Source]]="","",IFERROR(INDEX(tblSources[Type],MATCH(tblMovement[[#This Row],[Source]],tblSources[Source],0)),"?"))</f>
        <v/>
      </c>
      <c r="L995" s="63">
        <f>IF(tblMovement[[#This Row],[Destination]]="","",IFERROR(INDEX(tblDestinations[Type],MATCH(tblMovement[[#This Row],[Destination]],tblDestinations[Destination],0)),"?"))</f>
        <v/>
      </c>
      <c r="M995" s="64">
        <f>IF(tblMovement[[#This Row],[Material]]="","",IF(LEFT(tblMovement[[#This Row],[Material]],3)="Ore",1,0))</f>
        <v/>
      </c>
      <c r="N995" s="59">
        <f>IF(OR(tblMovement[[#This Row],[Tonnes_t]]="",tblMovement[[#This Row],[Grade_gpt]]=""),0,tblMovement[[#This Row],[Tonnes_t]]*tblMovement[[#This Row],[Grade_gpt]]/cfg_TroyOz)</f>
        <v/>
      </c>
      <c r="O995" s="59">
        <f>IF(tblMovement[[#This Row],[Is_Ore]]=1,tblMovement[[#This Row],[Contained_oz]],0)</f>
        <v/>
      </c>
    </row>
    <row r="996">
      <c r="A996" s="54" t="n"/>
      <c r="B996" s="61" t="n"/>
      <c r="C996" s="61" t="n"/>
      <c r="D996" s="61" t="n"/>
      <c r="E996" s="61" t="n"/>
      <c r="F996" s="55" t="n"/>
      <c r="G996" s="56" t="n"/>
      <c r="H996" s="55" t="n"/>
      <c r="I996" s="62" t="n"/>
      <c r="J996" s="58" t="n"/>
      <c r="K996" s="63">
        <f>IF(tblMovement[[#This Row],[Source]]="","",IFERROR(INDEX(tblSources[Type],MATCH(tblMovement[[#This Row],[Source]],tblSources[Source],0)),"?"))</f>
        <v/>
      </c>
      <c r="L996" s="63">
        <f>IF(tblMovement[[#This Row],[Destination]]="","",IFERROR(INDEX(tblDestinations[Type],MATCH(tblMovement[[#This Row],[Destination]],tblDestinations[Destination],0)),"?"))</f>
        <v/>
      </c>
      <c r="M996" s="64">
        <f>IF(tblMovement[[#This Row],[Material]]="","",IF(LEFT(tblMovement[[#This Row],[Material]],3)="Ore",1,0))</f>
        <v/>
      </c>
      <c r="N996" s="59">
        <f>IF(OR(tblMovement[[#This Row],[Tonnes_t]]="",tblMovement[[#This Row],[Grade_gpt]]=""),0,tblMovement[[#This Row],[Tonnes_t]]*tblMovement[[#This Row],[Grade_gpt]]/cfg_TroyOz)</f>
        <v/>
      </c>
      <c r="O996" s="59">
        <f>IF(tblMovement[[#This Row],[Is_Ore]]=1,tblMovement[[#This Row],[Contained_oz]],0)</f>
        <v/>
      </c>
    </row>
    <row r="997">
      <c r="A997" s="54" t="n"/>
      <c r="B997" s="61" t="n"/>
      <c r="C997" s="61" t="n"/>
      <c r="D997" s="61" t="n"/>
      <c r="E997" s="61" t="n"/>
      <c r="F997" s="55" t="n"/>
      <c r="G997" s="56" t="n"/>
      <c r="H997" s="55" t="n"/>
      <c r="I997" s="62" t="n"/>
      <c r="J997" s="58" t="n"/>
      <c r="K997" s="63">
        <f>IF(tblMovement[[#This Row],[Source]]="","",IFERROR(INDEX(tblSources[Type],MATCH(tblMovement[[#This Row],[Source]],tblSources[Source],0)),"?"))</f>
        <v/>
      </c>
      <c r="L997" s="63">
        <f>IF(tblMovement[[#This Row],[Destination]]="","",IFERROR(INDEX(tblDestinations[Type],MATCH(tblMovement[[#This Row],[Destination]],tblDestinations[Destination],0)),"?"))</f>
        <v/>
      </c>
      <c r="M997" s="64">
        <f>IF(tblMovement[[#This Row],[Material]]="","",IF(LEFT(tblMovement[[#This Row],[Material]],3)="Ore",1,0))</f>
        <v/>
      </c>
      <c r="N997" s="59">
        <f>IF(OR(tblMovement[[#This Row],[Tonnes_t]]="",tblMovement[[#This Row],[Grade_gpt]]=""),0,tblMovement[[#This Row],[Tonnes_t]]*tblMovement[[#This Row],[Grade_gpt]]/cfg_TroyOz)</f>
        <v/>
      </c>
      <c r="O997" s="59">
        <f>IF(tblMovement[[#This Row],[Is_Ore]]=1,tblMovement[[#This Row],[Contained_oz]],0)</f>
        <v/>
      </c>
    </row>
    <row r="998">
      <c r="A998" s="54" t="n"/>
      <c r="B998" s="61" t="n"/>
      <c r="C998" s="61" t="n"/>
      <c r="D998" s="61" t="n"/>
      <c r="E998" s="61" t="n"/>
      <c r="F998" s="55" t="n"/>
      <c r="G998" s="56" t="n"/>
      <c r="H998" s="55" t="n"/>
      <c r="I998" s="62" t="n"/>
      <c r="J998" s="58" t="n"/>
      <c r="K998" s="63">
        <f>IF(tblMovement[[#This Row],[Source]]="","",IFERROR(INDEX(tblSources[Type],MATCH(tblMovement[[#This Row],[Source]],tblSources[Source],0)),"?"))</f>
        <v/>
      </c>
      <c r="L998" s="63">
        <f>IF(tblMovement[[#This Row],[Destination]]="","",IFERROR(INDEX(tblDestinations[Type],MATCH(tblMovement[[#This Row],[Destination]],tblDestinations[Destination],0)),"?"))</f>
        <v/>
      </c>
      <c r="M998" s="64">
        <f>IF(tblMovement[[#This Row],[Material]]="","",IF(LEFT(tblMovement[[#This Row],[Material]],3)="Ore",1,0))</f>
        <v/>
      </c>
      <c r="N998" s="59">
        <f>IF(OR(tblMovement[[#This Row],[Tonnes_t]]="",tblMovement[[#This Row],[Grade_gpt]]=""),0,tblMovement[[#This Row],[Tonnes_t]]*tblMovement[[#This Row],[Grade_gpt]]/cfg_TroyOz)</f>
        <v/>
      </c>
      <c r="O998" s="59">
        <f>IF(tblMovement[[#This Row],[Is_Ore]]=1,tblMovement[[#This Row],[Contained_oz]],0)</f>
        <v/>
      </c>
    </row>
    <row r="999">
      <c r="A999" s="54" t="n"/>
      <c r="B999" s="61" t="n"/>
      <c r="C999" s="61" t="n"/>
      <c r="D999" s="61" t="n"/>
      <c r="E999" s="61" t="n"/>
      <c r="F999" s="55" t="n"/>
      <c r="G999" s="56" t="n"/>
      <c r="H999" s="55" t="n"/>
      <c r="I999" s="62" t="n"/>
      <c r="J999" s="58" t="n"/>
      <c r="K999" s="63">
        <f>IF(tblMovement[[#This Row],[Source]]="","",IFERROR(INDEX(tblSources[Type],MATCH(tblMovement[[#This Row],[Source]],tblSources[Source],0)),"?"))</f>
        <v/>
      </c>
      <c r="L999" s="63">
        <f>IF(tblMovement[[#This Row],[Destination]]="","",IFERROR(INDEX(tblDestinations[Type],MATCH(tblMovement[[#This Row],[Destination]],tblDestinations[Destination],0)),"?"))</f>
        <v/>
      </c>
      <c r="M999" s="64">
        <f>IF(tblMovement[[#This Row],[Material]]="","",IF(LEFT(tblMovement[[#This Row],[Material]],3)="Ore",1,0))</f>
        <v/>
      </c>
      <c r="N999" s="59">
        <f>IF(OR(tblMovement[[#This Row],[Tonnes_t]]="",tblMovement[[#This Row],[Grade_gpt]]=""),0,tblMovement[[#This Row],[Tonnes_t]]*tblMovement[[#This Row],[Grade_gpt]]/cfg_TroyOz)</f>
        <v/>
      </c>
      <c r="O999" s="59">
        <f>IF(tblMovement[[#This Row],[Is_Ore]]=1,tblMovement[[#This Row],[Contained_oz]],0)</f>
        <v/>
      </c>
    </row>
    <row r="1000">
      <c r="A1000" s="54" t="n"/>
      <c r="B1000" s="61" t="n"/>
      <c r="C1000" s="61" t="n"/>
      <c r="D1000" s="61" t="n"/>
      <c r="E1000" s="61" t="n"/>
      <c r="F1000" s="55" t="n"/>
      <c r="G1000" s="56" t="n"/>
      <c r="H1000" s="55" t="n"/>
      <c r="I1000" s="62" t="n"/>
      <c r="J1000" s="58" t="n"/>
      <c r="K1000" s="63">
        <f>IF(tblMovement[[#This Row],[Source]]="","",IFERROR(INDEX(tblSources[Type],MATCH(tblMovement[[#This Row],[Source]],tblSources[Source],0)),"?"))</f>
        <v/>
      </c>
      <c r="L1000" s="63">
        <f>IF(tblMovement[[#This Row],[Destination]]="","",IFERROR(INDEX(tblDestinations[Type],MATCH(tblMovement[[#This Row],[Destination]],tblDestinations[Destination],0)),"?"))</f>
        <v/>
      </c>
      <c r="M1000" s="64">
        <f>IF(tblMovement[[#This Row],[Material]]="","",IF(LEFT(tblMovement[[#This Row],[Material]],3)="Ore",1,0))</f>
        <v/>
      </c>
      <c r="N1000" s="59">
        <f>IF(OR(tblMovement[[#This Row],[Tonnes_t]]="",tblMovement[[#This Row],[Grade_gpt]]=""),0,tblMovement[[#This Row],[Tonnes_t]]*tblMovement[[#This Row],[Grade_gpt]]/cfg_TroyOz)</f>
        <v/>
      </c>
      <c r="O1000" s="59">
        <f>IF(tblMovement[[#This Row],[Is_Ore]]=1,tblMovement[[#This Row],[Contained_oz]],0)</f>
        <v/>
      </c>
    </row>
    <row r="1001">
      <c r="A1001" s="54" t="n"/>
      <c r="B1001" s="61" t="n"/>
      <c r="C1001" s="61" t="n"/>
      <c r="D1001" s="61" t="n"/>
      <c r="E1001" s="61" t="n"/>
      <c r="F1001" s="55" t="n"/>
      <c r="G1001" s="56" t="n"/>
      <c r="H1001" s="55" t="n"/>
      <c r="I1001" s="62" t="n"/>
      <c r="J1001" s="58" t="n"/>
      <c r="K1001" s="63">
        <f>IF(tblMovement[[#This Row],[Source]]="","",IFERROR(INDEX(tblSources[Type],MATCH(tblMovement[[#This Row],[Source]],tblSources[Source],0)),"?"))</f>
        <v/>
      </c>
      <c r="L1001" s="63">
        <f>IF(tblMovement[[#This Row],[Destination]]="","",IFERROR(INDEX(tblDestinations[Type],MATCH(tblMovement[[#This Row],[Destination]],tblDestinations[Destination],0)),"?"))</f>
        <v/>
      </c>
      <c r="M1001" s="64">
        <f>IF(tblMovement[[#This Row],[Material]]="","",IF(LEFT(tblMovement[[#This Row],[Material]],3)="Ore",1,0))</f>
        <v/>
      </c>
      <c r="N1001" s="59">
        <f>IF(OR(tblMovement[[#This Row],[Tonnes_t]]="",tblMovement[[#This Row],[Grade_gpt]]=""),0,tblMovement[[#This Row],[Tonnes_t]]*tblMovement[[#This Row],[Grade_gpt]]/cfg_TroyOz)</f>
        <v/>
      </c>
      <c r="O1001" s="59">
        <f>IF(tblMovement[[#This Row],[Is_Ore]]=1,tblMovement[[#This Row],[Contained_oz]],0)</f>
        <v/>
      </c>
    </row>
    <row r="1002">
      <c r="A1002" s="54" t="n"/>
      <c r="B1002" s="61" t="n"/>
      <c r="C1002" s="61" t="n"/>
      <c r="D1002" s="61" t="n"/>
      <c r="E1002" s="61" t="n"/>
      <c r="F1002" s="55" t="n"/>
      <c r="G1002" s="56" t="n"/>
      <c r="H1002" s="55" t="n"/>
      <c r="I1002" s="62" t="n"/>
      <c r="J1002" s="58" t="n"/>
      <c r="K1002" s="63">
        <f>IF(tblMovement[[#This Row],[Source]]="","",IFERROR(INDEX(tblSources[Type],MATCH(tblMovement[[#This Row],[Source]],tblSources[Source],0)),"?"))</f>
        <v/>
      </c>
      <c r="L1002" s="63">
        <f>IF(tblMovement[[#This Row],[Destination]]="","",IFERROR(INDEX(tblDestinations[Type],MATCH(tblMovement[[#This Row],[Destination]],tblDestinations[Destination],0)),"?"))</f>
        <v/>
      </c>
      <c r="M1002" s="64">
        <f>IF(tblMovement[[#This Row],[Material]]="","",IF(LEFT(tblMovement[[#This Row],[Material]],3)="Ore",1,0))</f>
        <v/>
      </c>
      <c r="N1002" s="59">
        <f>IF(OR(tblMovement[[#This Row],[Tonnes_t]]="",tblMovement[[#This Row],[Grade_gpt]]=""),0,tblMovement[[#This Row],[Tonnes_t]]*tblMovement[[#This Row],[Grade_gpt]]/cfg_TroyOz)</f>
        <v/>
      </c>
      <c r="O1002" s="59">
        <f>IF(tblMovement[[#This Row],[Is_Ore]]=1,tblMovement[[#This Row],[Contained_oz]],0)</f>
        <v/>
      </c>
    </row>
    <row r="1003">
      <c r="A1003" s="54" t="n"/>
      <c r="B1003" s="61" t="n"/>
      <c r="C1003" s="61" t="n"/>
      <c r="D1003" s="61" t="n"/>
      <c r="E1003" s="61" t="n"/>
      <c r="F1003" s="55" t="n"/>
      <c r="G1003" s="56" t="n"/>
      <c r="H1003" s="55" t="n"/>
      <c r="I1003" s="62" t="n"/>
      <c r="J1003" s="58" t="n"/>
      <c r="K1003" s="63">
        <f>IF(tblMovement[[#This Row],[Source]]="","",IFERROR(INDEX(tblSources[Type],MATCH(tblMovement[[#This Row],[Source]],tblSources[Source],0)),"?"))</f>
        <v/>
      </c>
      <c r="L1003" s="63">
        <f>IF(tblMovement[[#This Row],[Destination]]="","",IFERROR(INDEX(tblDestinations[Type],MATCH(tblMovement[[#This Row],[Destination]],tblDestinations[Destination],0)),"?"))</f>
        <v/>
      </c>
      <c r="M1003" s="64">
        <f>IF(tblMovement[[#This Row],[Material]]="","",IF(LEFT(tblMovement[[#This Row],[Material]],3)="Ore",1,0))</f>
        <v/>
      </c>
      <c r="N1003" s="59">
        <f>IF(OR(tblMovement[[#This Row],[Tonnes_t]]="",tblMovement[[#This Row],[Grade_gpt]]=""),0,tblMovement[[#This Row],[Tonnes_t]]*tblMovement[[#This Row],[Grade_gpt]]/cfg_TroyOz)</f>
        <v/>
      </c>
      <c r="O1003" s="59">
        <f>IF(tblMovement[[#This Row],[Is_Ore]]=1,tblMovement[[#This Row],[Contained_oz]],0)</f>
        <v/>
      </c>
    </row>
    <row r="1004">
      <c r="A1004" s="54" t="n"/>
      <c r="B1004" s="61" t="n"/>
      <c r="C1004" s="61" t="n"/>
      <c r="D1004" s="61" t="n"/>
      <c r="E1004" s="61" t="n"/>
      <c r="F1004" s="55" t="n"/>
      <c r="G1004" s="56" t="n"/>
      <c r="H1004" s="55" t="n"/>
      <c r="I1004" s="62" t="n"/>
      <c r="J1004" s="58" t="n"/>
      <c r="K1004" s="63">
        <f>IF(tblMovement[[#This Row],[Source]]="","",IFERROR(INDEX(tblSources[Type],MATCH(tblMovement[[#This Row],[Source]],tblSources[Source],0)),"?"))</f>
        <v/>
      </c>
      <c r="L1004" s="63">
        <f>IF(tblMovement[[#This Row],[Destination]]="","",IFERROR(INDEX(tblDestinations[Type],MATCH(tblMovement[[#This Row],[Destination]],tblDestinations[Destination],0)),"?"))</f>
        <v/>
      </c>
      <c r="M1004" s="64">
        <f>IF(tblMovement[[#This Row],[Material]]="","",IF(LEFT(tblMovement[[#This Row],[Material]],3)="Ore",1,0))</f>
        <v/>
      </c>
      <c r="N1004" s="59">
        <f>IF(OR(tblMovement[[#This Row],[Tonnes_t]]="",tblMovement[[#This Row],[Grade_gpt]]=""),0,tblMovement[[#This Row],[Tonnes_t]]*tblMovement[[#This Row],[Grade_gpt]]/cfg_TroyOz)</f>
        <v/>
      </c>
      <c r="O1004" s="59">
        <f>IF(tblMovement[[#This Row],[Is_Ore]]=1,tblMovement[[#This Row],[Contained_oz]],0)</f>
        <v/>
      </c>
    </row>
    <row r="1005">
      <c r="A1005" s="54" t="n"/>
      <c r="B1005" s="61" t="n"/>
      <c r="C1005" s="61" t="n"/>
      <c r="D1005" s="61" t="n"/>
      <c r="E1005" s="61" t="n"/>
      <c r="F1005" s="55" t="n"/>
      <c r="G1005" s="56" t="n"/>
      <c r="H1005" s="55" t="n"/>
      <c r="I1005" s="62" t="n"/>
      <c r="J1005" s="58" t="n"/>
      <c r="K1005" s="63">
        <f>IF(tblMovement[[#This Row],[Source]]="","",IFERROR(INDEX(tblSources[Type],MATCH(tblMovement[[#This Row],[Source]],tblSources[Source],0)),"?"))</f>
        <v/>
      </c>
      <c r="L1005" s="63">
        <f>IF(tblMovement[[#This Row],[Destination]]="","",IFERROR(INDEX(tblDestinations[Type],MATCH(tblMovement[[#This Row],[Destination]],tblDestinations[Destination],0)),"?"))</f>
        <v/>
      </c>
      <c r="M1005" s="64">
        <f>IF(tblMovement[[#This Row],[Material]]="","",IF(LEFT(tblMovement[[#This Row],[Material]],3)="Ore",1,0))</f>
        <v/>
      </c>
      <c r="N1005" s="59">
        <f>IF(OR(tblMovement[[#This Row],[Tonnes_t]]="",tblMovement[[#This Row],[Grade_gpt]]=""),0,tblMovement[[#This Row],[Tonnes_t]]*tblMovement[[#This Row],[Grade_gpt]]/cfg_TroyOz)</f>
        <v/>
      </c>
      <c r="O1005" s="59">
        <f>IF(tblMovement[[#This Row],[Is_Ore]]=1,tblMovement[[#This Row],[Contained_oz]],0)</f>
        <v/>
      </c>
    </row>
    <row r="1006">
      <c r="A1006" s="54" t="n"/>
      <c r="B1006" s="61" t="n"/>
      <c r="C1006" s="61" t="n"/>
      <c r="D1006" s="61" t="n"/>
      <c r="E1006" s="61" t="n"/>
      <c r="F1006" s="55" t="n"/>
      <c r="G1006" s="56" t="n"/>
      <c r="H1006" s="55" t="n"/>
      <c r="I1006" s="62" t="n"/>
      <c r="J1006" s="58" t="n"/>
      <c r="K1006" s="63">
        <f>IF(tblMovement[[#This Row],[Source]]="","",IFERROR(INDEX(tblSources[Type],MATCH(tblMovement[[#This Row],[Source]],tblSources[Source],0)),"?"))</f>
        <v/>
      </c>
      <c r="L1006" s="63">
        <f>IF(tblMovement[[#This Row],[Destination]]="","",IFERROR(INDEX(tblDestinations[Type],MATCH(tblMovement[[#This Row],[Destination]],tblDestinations[Destination],0)),"?"))</f>
        <v/>
      </c>
      <c r="M1006" s="64">
        <f>IF(tblMovement[[#This Row],[Material]]="","",IF(LEFT(tblMovement[[#This Row],[Material]],3)="Ore",1,0))</f>
        <v/>
      </c>
      <c r="N1006" s="59">
        <f>IF(OR(tblMovement[[#This Row],[Tonnes_t]]="",tblMovement[[#This Row],[Grade_gpt]]=""),0,tblMovement[[#This Row],[Tonnes_t]]*tblMovement[[#This Row],[Grade_gpt]]/cfg_TroyOz)</f>
        <v/>
      </c>
      <c r="O1006" s="59">
        <f>IF(tblMovement[[#This Row],[Is_Ore]]=1,tblMovement[[#This Row],[Contained_oz]],0)</f>
        <v/>
      </c>
    </row>
    <row r="1007">
      <c r="A1007" s="54" t="n"/>
      <c r="B1007" s="61" t="n"/>
      <c r="C1007" s="61" t="n"/>
      <c r="D1007" s="61" t="n"/>
      <c r="E1007" s="61" t="n"/>
      <c r="F1007" s="55" t="n"/>
      <c r="G1007" s="56" t="n"/>
      <c r="H1007" s="55" t="n"/>
      <c r="I1007" s="62" t="n"/>
      <c r="J1007" s="58" t="n"/>
      <c r="K1007" s="63">
        <f>IF(tblMovement[[#This Row],[Source]]="","",IFERROR(INDEX(tblSources[Type],MATCH(tblMovement[[#This Row],[Source]],tblSources[Source],0)),"?"))</f>
        <v/>
      </c>
      <c r="L1007" s="63">
        <f>IF(tblMovement[[#This Row],[Destination]]="","",IFERROR(INDEX(tblDestinations[Type],MATCH(tblMovement[[#This Row],[Destination]],tblDestinations[Destination],0)),"?"))</f>
        <v/>
      </c>
      <c r="M1007" s="64">
        <f>IF(tblMovement[[#This Row],[Material]]="","",IF(LEFT(tblMovement[[#This Row],[Material]],3)="Ore",1,0))</f>
        <v/>
      </c>
      <c r="N1007" s="59">
        <f>IF(OR(tblMovement[[#This Row],[Tonnes_t]]="",tblMovement[[#This Row],[Grade_gpt]]=""),0,tblMovement[[#This Row],[Tonnes_t]]*tblMovement[[#This Row],[Grade_gpt]]/cfg_TroyOz)</f>
        <v/>
      </c>
      <c r="O1007" s="59">
        <f>IF(tblMovement[[#This Row],[Is_Ore]]=1,tblMovement[[#This Row],[Contained_oz]],0)</f>
        <v/>
      </c>
    </row>
    <row r="1008">
      <c r="A1008" s="54" t="n"/>
      <c r="B1008" s="61" t="n"/>
      <c r="C1008" s="61" t="n"/>
      <c r="D1008" s="61" t="n"/>
      <c r="E1008" s="61" t="n"/>
      <c r="F1008" s="55" t="n"/>
      <c r="G1008" s="56" t="n"/>
      <c r="H1008" s="55" t="n"/>
      <c r="I1008" s="62" t="n"/>
      <c r="J1008" s="58" t="n"/>
      <c r="K1008" s="63">
        <f>IF(tblMovement[[#This Row],[Source]]="","",IFERROR(INDEX(tblSources[Type],MATCH(tblMovement[[#This Row],[Source]],tblSources[Source],0)),"?"))</f>
        <v/>
      </c>
      <c r="L1008" s="63">
        <f>IF(tblMovement[[#This Row],[Destination]]="","",IFERROR(INDEX(tblDestinations[Type],MATCH(tblMovement[[#This Row],[Destination]],tblDestinations[Destination],0)),"?"))</f>
        <v/>
      </c>
      <c r="M1008" s="64">
        <f>IF(tblMovement[[#This Row],[Material]]="","",IF(LEFT(tblMovement[[#This Row],[Material]],3)="Ore",1,0))</f>
        <v/>
      </c>
      <c r="N1008" s="59">
        <f>IF(OR(tblMovement[[#This Row],[Tonnes_t]]="",tblMovement[[#This Row],[Grade_gpt]]=""),0,tblMovement[[#This Row],[Tonnes_t]]*tblMovement[[#This Row],[Grade_gpt]]/cfg_TroyOz)</f>
        <v/>
      </c>
      <c r="O1008" s="59">
        <f>IF(tblMovement[[#This Row],[Is_Ore]]=1,tblMovement[[#This Row],[Contained_oz]],0)</f>
        <v/>
      </c>
    </row>
    <row r="1009">
      <c r="A1009" s="54" t="n"/>
      <c r="B1009" s="61" t="n"/>
      <c r="C1009" s="61" t="n"/>
      <c r="D1009" s="61" t="n"/>
      <c r="E1009" s="61" t="n"/>
      <c r="F1009" s="55" t="n"/>
      <c r="G1009" s="56" t="n"/>
      <c r="H1009" s="55" t="n"/>
      <c r="I1009" s="62" t="n"/>
      <c r="J1009" s="58" t="n"/>
      <c r="K1009" s="63">
        <f>IF(tblMovement[[#This Row],[Source]]="","",IFERROR(INDEX(tblSources[Type],MATCH(tblMovement[[#This Row],[Source]],tblSources[Source],0)),"?"))</f>
        <v/>
      </c>
      <c r="L1009" s="63">
        <f>IF(tblMovement[[#This Row],[Destination]]="","",IFERROR(INDEX(tblDestinations[Type],MATCH(tblMovement[[#This Row],[Destination]],tblDestinations[Destination],0)),"?"))</f>
        <v/>
      </c>
      <c r="M1009" s="64">
        <f>IF(tblMovement[[#This Row],[Material]]="","",IF(LEFT(tblMovement[[#This Row],[Material]],3)="Ore",1,0))</f>
        <v/>
      </c>
      <c r="N1009" s="59">
        <f>IF(OR(tblMovement[[#This Row],[Tonnes_t]]="",tblMovement[[#This Row],[Grade_gpt]]=""),0,tblMovement[[#This Row],[Tonnes_t]]*tblMovement[[#This Row],[Grade_gpt]]/cfg_TroyOz)</f>
        <v/>
      </c>
      <c r="O1009" s="59">
        <f>IF(tblMovement[[#This Row],[Is_Ore]]=1,tblMovement[[#This Row],[Contained_oz]],0)</f>
        <v/>
      </c>
    </row>
    <row r="1010">
      <c r="A1010" s="54" t="n"/>
      <c r="B1010" s="61" t="n"/>
      <c r="C1010" s="61" t="n"/>
      <c r="D1010" s="61" t="n"/>
      <c r="E1010" s="61" t="n"/>
      <c r="F1010" s="55" t="n"/>
      <c r="G1010" s="56" t="n"/>
      <c r="H1010" s="55" t="n"/>
      <c r="I1010" s="62" t="n"/>
      <c r="J1010" s="58" t="n"/>
      <c r="K1010" s="63">
        <f>IF(tblMovement[[#This Row],[Source]]="","",IFERROR(INDEX(tblSources[Type],MATCH(tblMovement[[#This Row],[Source]],tblSources[Source],0)),"?"))</f>
        <v/>
      </c>
      <c r="L1010" s="63">
        <f>IF(tblMovement[[#This Row],[Destination]]="","",IFERROR(INDEX(tblDestinations[Type],MATCH(tblMovement[[#This Row],[Destination]],tblDestinations[Destination],0)),"?"))</f>
        <v/>
      </c>
      <c r="M1010" s="64">
        <f>IF(tblMovement[[#This Row],[Material]]="","",IF(LEFT(tblMovement[[#This Row],[Material]],3)="Ore",1,0))</f>
        <v/>
      </c>
      <c r="N1010" s="59">
        <f>IF(OR(tblMovement[[#This Row],[Tonnes_t]]="",tblMovement[[#This Row],[Grade_gpt]]=""),0,tblMovement[[#This Row],[Tonnes_t]]*tblMovement[[#This Row],[Grade_gpt]]/cfg_TroyOz)</f>
        <v/>
      </c>
      <c r="O1010" s="59">
        <f>IF(tblMovement[[#This Row],[Is_Ore]]=1,tblMovement[[#This Row],[Contained_oz]],0)</f>
        <v/>
      </c>
    </row>
    <row r="1011">
      <c r="A1011" s="54" t="n"/>
      <c r="B1011" s="61" t="n"/>
      <c r="C1011" s="61" t="n"/>
      <c r="D1011" s="61" t="n"/>
      <c r="E1011" s="61" t="n"/>
      <c r="F1011" s="55" t="n"/>
      <c r="G1011" s="56" t="n"/>
      <c r="H1011" s="55" t="n"/>
      <c r="I1011" s="62" t="n"/>
      <c r="J1011" s="58" t="n"/>
      <c r="K1011" s="63">
        <f>IF(tblMovement[[#This Row],[Source]]="","",IFERROR(INDEX(tblSources[Type],MATCH(tblMovement[[#This Row],[Source]],tblSources[Source],0)),"?"))</f>
        <v/>
      </c>
      <c r="L1011" s="63">
        <f>IF(tblMovement[[#This Row],[Destination]]="","",IFERROR(INDEX(tblDestinations[Type],MATCH(tblMovement[[#This Row],[Destination]],tblDestinations[Destination],0)),"?"))</f>
        <v/>
      </c>
      <c r="M1011" s="64">
        <f>IF(tblMovement[[#This Row],[Material]]="","",IF(LEFT(tblMovement[[#This Row],[Material]],3)="Ore",1,0))</f>
        <v/>
      </c>
      <c r="N1011" s="59">
        <f>IF(OR(tblMovement[[#This Row],[Tonnes_t]]="",tblMovement[[#This Row],[Grade_gpt]]=""),0,tblMovement[[#This Row],[Tonnes_t]]*tblMovement[[#This Row],[Grade_gpt]]/cfg_TroyOz)</f>
        <v/>
      </c>
      <c r="O1011" s="59">
        <f>IF(tblMovement[[#This Row],[Is_Ore]]=1,tblMovement[[#This Row],[Contained_oz]],0)</f>
        <v/>
      </c>
    </row>
    <row r="1012">
      <c r="A1012" s="54" t="n"/>
      <c r="B1012" s="61" t="n"/>
      <c r="C1012" s="61" t="n"/>
      <c r="D1012" s="61" t="n"/>
      <c r="E1012" s="61" t="n"/>
      <c r="F1012" s="55" t="n"/>
      <c r="G1012" s="56" t="n"/>
      <c r="H1012" s="55" t="n"/>
      <c r="I1012" s="62" t="n"/>
      <c r="J1012" s="58" t="n"/>
      <c r="K1012" s="63">
        <f>IF(tblMovement[[#This Row],[Source]]="","",IFERROR(INDEX(tblSources[Type],MATCH(tblMovement[[#This Row],[Source]],tblSources[Source],0)),"?"))</f>
        <v/>
      </c>
      <c r="L1012" s="63">
        <f>IF(tblMovement[[#This Row],[Destination]]="","",IFERROR(INDEX(tblDestinations[Type],MATCH(tblMovement[[#This Row],[Destination]],tblDestinations[Destination],0)),"?"))</f>
        <v/>
      </c>
      <c r="M1012" s="64">
        <f>IF(tblMovement[[#This Row],[Material]]="","",IF(LEFT(tblMovement[[#This Row],[Material]],3)="Ore",1,0))</f>
        <v/>
      </c>
      <c r="N1012" s="59">
        <f>IF(OR(tblMovement[[#This Row],[Tonnes_t]]="",tblMovement[[#This Row],[Grade_gpt]]=""),0,tblMovement[[#This Row],[Tonnes_t]]*tblMovement[[#This Row],[Grade_gpt]]/cfg_TroyOz)</f>
        <v/>
      </c>
      <c r="O1012" s="59">
        <f>IF(tblMovement[[#This Row],[Is_Ore]]=1,tblMovement[[#This Row],[Contained_oz]],0)</f>
        <v/>
      </c>
    </row>
    <row r="1013">
      <c r="A1013" s="54" t="n"/>
      <c r="B1013" s="61" t="n"/>
      <c r="C1013" s="61" t="n"/>
      <c r="D1013" s="61" t="n"/>
      <c r="E1013" s="61" t="n"/>
      <c r="F1013" s="55" t="n"/>
      <c r="G1013" s="56" t="n"/>
      <c r="H1013" s="55" t="n"/>
      <c r="I1013" s="62" t="n"/>
      <c r="J1013" s="58" t="n"/>
      <c r="K1013" s="63">
        <f>IF(tblMovement[[#This Row],[Source]]="","",IFERROR(INDEX(tblSources[Type],MATCH(tblMovement[[#This Row],[Source]],tblSources[Source],0)),"?"))</f>
        <v/>
      </c>
      <c r="L1013" s="63">
        <f>IF(tblMovement[[#This Row],[Destination]]="","",IFERROR(INDEX(tblDestinations[Type],MATCH(tblMovement[[#This Row],[Destination]],tblDestinations[Destination],0)),"?"))</f>
        <v/>
      </c>
      <c r="M1013" s="64">
        <f>IF(tblMovement[[#This Row],[Material]]="","",IF(LEFT(tblMovement[[#This Row],[Material]],3)="Ore",1,0))</f>
        <v/>
      </c>
      <c r="N1013" s="59">
        <f>IF(OR(tblMovement[[#This Row],[Tonnes_t]]="",tblMovement[[#This Row],[Grade_gpt]]=""),0,tblMovement[[#This Row],[Tonnes_t]]*tblMovement[[#This Row],[Grade_gpt]]/cfg_TroyOz)</f>
        <v/>
      </c>
      <c r="O1013" s="59">
        <f>IF(tblMovement[[#This Row],[Is_Ore]]=1,tblMovement[[#This Row],[Contained_oz]],0)</f>
        <v/>
      </c>
    </row>
    <row r="1014">
      <c r="A1014" s="54" t="n"/>
      <c r="B1014" s="61" t="n"/>
      <c r="C1014" s="61" t="n"/>
      <c r="D1014" s="61" t="n"/>
      <c r="E1014" s="61" t="n"/>
      <c r="F1014" s="55" t="n"/>
      <c r="G1014" s="56" t="n"/>
      <c r="H1014" s="55" t="n"/>
      <c r="I1014" s="62" t="n"/>
      <c r="J1014" s="58" t="n"/>
      <c r="K1014" s="63">
        <f>IF(tblMovement[[#This Row],[Source]]="","",IFERROR(INDEX(tblSources[Type],MATCH(tblMovement[[#This Row],[Source]],tblSources[Source],0)),"?"))</f>
        <v/>
      </c>
      <c r="L1014" s="63">
        <f>IF(tblMovement[[#This Row],[Destination]]="","",IFERROR(INDEX(tblDestinations[Type],MATCH(tblMovement[[#This Row],[Destination]],tblDestinations[Destination],0)),"?"))</f>
        <v/>
      </c>
      <c r="M1014" s="64">
        <f>IF(tblMovement[[#This Row],[Material]]="","",IF(LEFT(tblMovement[[#This Row],[Material]],3)="Ore",1,0))</f>
        <v/>
      </c>
      <c r="N1014" s="59">
        <f>IF(OR(tblMovement[[#This Row],[Tonnes_t]]="",tblMovement[[#This Row],[Grade_gpt]]=""),0,tblMovement[[#This Row],[Tonnes_t]]*tblMovement[[#This Row],[Grade_gpt]]/cfg_TroyOz)</f>
        <v/>
      </c>
      <c r="O1014" s="59">
        <f>IF(tblMovement[[#This Row],[Is_Ore]]=1,tblMovement[[#This Row],[Contained_oz]],0)</f>
        <v/>
      </c>
    </row>
    <row r="1015">
      <c r="A1015" s="54" t="n"/>
      <c r="B1015" s="61" t="n"/>
      <c r="C1015" s="61" t="n"/>
      <c r="D1015" s="61" t="n"/>
      <c r="E1015" s="61" t="n"/>
      <c r="F1015" s="55" t="n"/>
      <c r="G1015" s="56" t="n"/>
      <c r="H1015" s="55" t="n"/>
      <c r="I1015" s="62" t="n"/>
      <c r="J1015" s="58" t="n"/>
      <c r="K1015" s="63">
        <f>IF(tblMovement[[#This Row],[Source]]="","",IFERROR(INDEX(tblSources[Type],MATCH(tblMovement[[#This Row],[Source]],tblSources[Source],0)),"?"))</f>
        <v/>
      </c>
      <c r="L1015" s="63">
        <f>IF(tblMovement[[#This Row],[Destination]]="","",IFERROR(INDEX(tblDestinations[Type],MATCH(tblMovement[[#This Row],[Destination]],tblDestinations[Destination],0)),"?"))</f>
        <v/>
      </c>
      <c r="M1015" s="64">
        <f>IF(tblMovement[[#This Row],[Material]]="","",IF(LEFT(tblMovement[[#This Row],[Material]],3)="Ore",1,0))</f>
        <v/>
      </c>
      <c r="N1015" s="59">
        <f>IF(OR(tblMovement[[#This Row],[Tonnes_t]]="",tblMovement[[#This Row],[Grade_gpt]]=""),0,tblMovement[[#This Row],[Tonnes_t]]*tblMovement[[#This Row],[Grade_gpt]]/cfg_TroyOz)</f>
        <v/>
      </c>
      <c r="O1015" s="59">
        <f>IF(tblMovement[[#This Row],[Is_Ore]]=1,tblMovement[[#This Row],[Contained_oz]],0)</f>
        <v/>
      </c>
    </row>
    <row r="1016">
      <c r="A1016" s="54" t="n"/>
      <c r="B1016" s="61" t="n"/>
      <c r="C1016" s="61" t="n"/>
      <c r="D1016" s="61" t="n"/>
      <c r="E1016" s="61" t="n"/>
      <c r="F1016" s="55" t="n"/>
      <c r="G1016" s="56" t="n"/>
      <c r="H1016" s="55" t="n"/>
      <c r="I1016" s="62" t="n"/>
      <c r="J1016" s="58" t="n"/>
      <c r="K1016" s="63">
        <f>IF(tblMovement[[#This Row],[Source]]="","",IFERROR(INDEX(tblSources[Type],MATCH(tblMovement[[#This Row],[Source]],tblSources[Source],0)),"?"))</f>
        <v/>
      </c>
      <c r="L1016" s="63">
        <f>IF(tblMovement[[#This Row],[Destination]]="","",IFERROR(INDEX(tblDestinations[Type],MATCH(tblMovement[[#This Row],[Destination]],tblDestinations[Destination],0)),"?"))</f>
        <v/>
      </c>
      <c r="M1016" s="64">
        <f>IF(tblMovement[[#This Row],[Material]]="","",IF(LEFT(tblMovement[[#This Row],[Material]],3)="Ore",1,0))</f>
        <v/>
      </c>
      <c r="N1016" s="59">
        <f>IF(OR(tblMovement[[#This Row],[Tonnes_t]]="",tblMovement[[#This Row],[Grade_gpt]]=""),0,tblMovement[[#This Row],[Tonnes_t]]*tblMovement[[#This Row],[Grade_gpt]]/cfg_TroyOz)</f>
        <v/>
      </c>
      <c r="O1016" s="59">
        <f>IF(tblMovement[[#This Row],[Is_Ore]]=1,tblMovement[[#This Row],[Contained_oz]],0)</f>
        <v/>
      </c>
    </row>
    <row r="1017">
      <c r="A1017" s="54" t="n"/>
      <c r="B1017" s="61" t="n"/>
      <c r="C1017" s="61" t="n"/>
      <c r="D1017" s="61" t="n"/>
      <c r="E1017" s="61" t="n"/>
      <c r="F1017" s="55" t="n"/>
      <c r="G1017" s="56" t="n"/>
      <c r="H1017" s="55" t="n"/>
      <c r="I1017" s="62" t="n"/>
      <c r="J1017" s="58" t="n"/>
      <c r="K1017" s="63">
        <f>IF(tblMovement[[#This Row],[Source]]="","",IFERROR(INDEX(tblSources[Type],MATCH(tblMovement[[#This Row],[Source]],tblSources[Source],0)),"?"))</f>
        <v/>
      </c>
      <c r="L1017" s="63">
        <f>IF(tblMovement[[#This Row],[Destination]]="","",IFERROR(INDEX(tblDestinations[Type],MATCH(tblMovement[[#This Row],[Destination]],tblDestinations[Destination],0)),"?"))</f>
        <v/>
      </c>
      <c r="M1017" s="64">
        <f>IF(tblMovement[[#This Row],[Material]]="","",IF(LEFT(tblMovement[[#This Row],[Material]],3)="Ore",1,0))</f>
        <v/>
      </c>
      <c r="N1017" s="59">
        <f>IF(OR(tblMovement[[#This Row],[Tonnes_t]]="",tblMovement[[#This Row],[Grade_gpt]]=""),0,tblMovement[[#This Row],[Tonnes_t]]*tblMovement[[#This Row],[Grade_gpt]]/cfg_TroyOz)</f>
        <v/>
      </c>
      <c r="O1017" s="59">
        <f>IF(tblMovement[[#This Row],[Is_Ore]]=1,tblMovement[[#This Row],[Contained_oz]],0)</f>
        <v/>
      </c>
    </row>
    <row r="1018">
      <c r="A1018" s="54" t="n"/>
      <c r="B1018" s="61" t="n"/>
      <c r="C1018" s="61" t="n"/>
      <c r="D1018" s="61" t="n"/>
      <c r="E1018" s="61" t="n"/>
      <c r="F1018" s="55" t="n"/>
      <c r="G1018" s="56" t="n"/>
      <c r="H1018" s="55" t="n"/>
      <c r="I1018" s="62" t="n"/>
      <c r="J1018" s="58" t="n"/>
      <c r="K1018" s="63">
        <f>IF(tblMovement[[#This Row],[Source]]="","",IFERROR(INDEX(tblSources[Type],MATCH(tblMovement[[#This Row],[Source]],tblSources[Source],0)),"?"))</f>
        <v/>
      </c>
      <c r="L1018" s="63">
        <f>IF(tblMovement[[#This Row],[Destination]]="","",IFERROR(INDEX(tblDestinations[Type],MATCH(tblMovement[[#This Row],[Destination]],tblDestinations[Destination],0)),"?"))</f>
        <v/>
      </c>
      <c r="M1018" s="64">
        <f>IF(tblMovement[[#This Row],[Material]]="","",IF(LEFT(tblMovement[[#This Row],[Material]],3)="Ore",1,0))</f>
        <v/>
      </c>
      <c r="N1018" s="59">
        <f>IF(OR(tblMovement[[#This Row],[Tonnes_t]]="",tblMovement[[#This Row],[Grade_gpt]]=""),0,tblMovement[[#This Row],[Tonnes_t]]*tblMovement[[#This Row],[Grade_gpt]]/cfg_TroyOz)</f>
        <v/>
      </c>
      <c r="O1018" s="59">
        <f>IF(tblMovement[[#This Row],[Is_Ore]]=1,tblMovement[[#This Row],[Contained_oz]],0)</f>
        <v/>
      </c>
    </row>
    <row r="1019">
      <c r="A1019" s="54" t="n"/>
      <c r="B1019" s="61" t="n"/>
      <c r="C1019" s="61" t="n"/>
      <c r="D1019" s="61" t="n"/>
      <c r="E1019" s="61" t="n"/>
      <c r="F1019" s="55" t="n"/>
      <c r="G1019" s="56" t="n"/>
      <c r="H1019" s="55" t="n"/>
      <c r="I1019" s="62" t="n"/>
      <c r="J1019" s="58" t="n"/>
      <c r="K1019" s="63">
        <f>IF(tblMovement[[#This Row],[Source]]="","",IFERROR(INDEX(tblSources[Type],MATCH(tblMovement[[#This Row],[Source]],tblSources[Source],0)),"?"))</f>
        <v/>
      </c>
      <c r="L1019" s="63">
        <f>IF(tblMovement[[#This Row],[Destination]]="","",IFERROR(INDEX(tblDestinations[Type],MATCH(tblMovement[[#This Row],[Destination]],tblDestinations[Destination],0)),"?"))</f>
        <v/>
      </c>
      <c r="M1019" s="64">
        <f>IF(tblMovement[[#This Row],[Material]]="","",IF(LEFT(tblMovement[[#This Row],[Material]],3)="Ore",1,0))</f>
        <v/>
      </c>
      <c r="N1019" s="59">
        <f>IF(OR(tblMovement[[#This Row],[Tonnes_t]]="",tblMovement[[#This Row],[Grade_gpt]]=""),0,tblMovement[[#This Row],[Tonnes_t]]*tblMovement[[#This Row],[Grade_gpt]]/cfg_TroyOz)</f>
        <v/>
      </c>
      <c r="O1019" s="59">
        <f>IF(tblMovement[[#This Row],[Is_Ore]]=1,tblMovement[[#This Row],[Contained_oz]],0)</f>
        <v/>
      </c>
    </row>
    <row r="1020">
      <c r="A1020" s="54" t="n"/>
      <c r="B1020" s="61" t="n"/>
      <c r="C1020" s="61" t="n"/>
      <c r="D1020" s="61" t="n"/>
      <c r="E1020" s="61" t="n"/>
      <c r="F1020" s="55" t="n"/>
      <c r="G1020" s="56" t="n"/>
      <c r="H1020" s="55" t="n"/>
      <c r="I1020" s="62" t="n"/>
      <c r="J1020" s="58" t="n"/>
      <c r="K1020" s="63">
        <f>IF(tblMovement[[#This Row],[Source]]="","",IFERROR(INDEX(tblSources[Type],MATCH(tblMovement[[#This Row],[Source]],tblSources[Source],0)),"?"))</f>
        <v/>
      </c>
      <c r="L1020" s="63">
        <f>IF(tblMovement[[#This Row],[Destination]]="","",IFERROR(INDEX(tblDestinations[Type],MATCH(tblMovement[[#This Row],[Destination]],tblDestinations[Destination],0)),"?"))</f>
        <v/>
      </c>
      <c r="M1020" s="64">
        <f>IF(tblMovement[[#This Row],[Material]]="","",IF(LEFT(tblMovement[[#This Row],[Material]],3)="Ore",1,0))</f>
        <v/>
      </c>
      <c r="N1020" s="59">
        <f>IF(OR(tblMovement[[#This Row],[Tonnes_t]]="",tblMovement[[#This Row],[Grade_gpt]]=""),0,tblMovement[[#This Row],[Tonnes_t]]*tblMovement[[#This Row],[Grade_gpt]]/cfg_TroyOz)</f>
        <v/>
      </c>
      <c r="O1020" s="59">
        <f>IF(tblMovement[[#This Row],[Is_Ore]]=1,tblMovement[[#This Row],[Contained_oz]],0)</f>
        <v/>
      </c>
    </row>
    <row r="1021">
      <c r="A1021" s="54" t="n"/>
      <c r="B1021" s="61" t="n"/>
      <c r="C1021" s="61" t="n"/>
      <c r="D1021" s="61" t="n"/>
      <c r="E1021" s="61" t="n"/>
      <c r="F1021" s="55" t="n"/>
      <c r="G1021" s="56" t="n"/>
      <c r="H1021" s="55" t="n"/>
      <c r="I1021" s="62" t="n"/>
      <c r="J1021" s="58" t="n"/>
      <c r="K1021" s="63">
        <f>IF(tblMovement[[#This Row],[Source]]="","",IFERROR(INDEX(tblSources[Type],MATCH(tblMovement[[#This Row],[Source]],tblSources[Source],0)),"?"))</f>
        <v/>
      </c>
      <c r="L1021" s="63">
        <f>IF(tblMovement[[#This Row],[Destination]]="","",IFERROR(INDEX(tblDestinations[Type],MATCH(tblMovement[[#This Row],[Destination]],tblDestinations[Destination],0)),"?"))</f>
        <v/>
      </c>
      <c r="M1021" s="64">
        <f>IF(tblMovement[[#This Row],[Material]]="","",IF(LEFT(tblMovement[[#This Row],[Material]],3)="Ore",1,0))</f>
        <v/>
      </c>
      <c r="N1021" s="59">
        <f>IF(OR(tblMovement[[#This Row],[Tonnes_t]]="",tblMovement[[#This Row],[Grade_gpt]]=""),0,tblMovement[[#This Row],[Tonnes_t]]*tblMovement[[#This Row],[Grade_gpt]]/cfg_TroyOz)</f>
        <v/>
      </c>
      <c r="O1021" s="59">
        <f>IF(tblMovement[[#This Row],[Is_Ore]]=1,tblMovement[[#This Row],[Contained_oz]],0)</f>
        <v/>
      </c>
    </row>
    <row r="1022">
      <c r="A1022" s="54" t="n"/>
      <c r="B1022" s="61" t="n"/>
      <c r="C1022" s="61" t="n"/>
      <c r="D1022" s="61" t="n"/>
      <c r="E1022" s="61" t="n"/>
      <c r="F1022" s="55" t="n"/>
      <c r="G1022" s="56" t="n"/>
      <c r="H1022" s="55" t="n"/>
      <c r="I1022" s="62" t="n"/>
      <c r="J1022" s="58" t="n"/>
      <c r="K1022" s="63">
        <f>IF(tblMovement[[#This Row],[Source]]="","",IFERROR(INDEX(tblSources[Type],MATCH(tblMovement[[#This Row],[Source]],tblSources[Source],0)),"?"))</f>
        <v/>
      </c>
      <c r="L1022" s="63">
        <f>IF(tblMovement[[#This Row],[Destination]]="","",IFERROR(INDEX(tblDestinations[Type],MATCH(tblMovement[[#This Row],[Destination]],tblDestinations[Destination],0)),"?"))</f>
        <v/>
      </c>
      <c r="M1022" s="64">
        <f>IF(tblMovement[[#This Row],[Material]]="","",IF(LEFT(tblMovement[[#This Row],[Material]],3)="Ore",1,0))</f>
        <v/>
      </c>
      <c r="N1022" s="59">
        <f>IF(OR(tblMovement[[#This Row],[Tonnes_t]]="",tblMovement[[#This Row],[Grade_gpt]]=""),0,tblMovement[[#This Row],[Tonnes_t]]*tblMovement[[#This Row],[Grade_gpt]]/cfg_TroyOz)</f>
        <v/>
      </c>
      <c r="O1022" s="59">
        <f>IF(tblMovement[[#This Row],[Is_Ore]]=1,tblMovement[[#This Row],[Contained_oz]],0)</f>
        <v/>
      </c>
    </row>
    <row r="1023">
      <c r="A1023" s="54" t="n"/>
      <c r="B1023" s="61" t="n"/>
      <c r="C1023" s="61" t="n"/>
      <c r="D1023" s="61" t="n"/>
      <c r="E1023" s="61" t="n"/>
      <c r="F1023" s="55" t="n"/>
      <c r="G1023" s="56" t="n"/>
      <c r="H1023" s="55" t="n"/>
      <c r="I1023" s="62" t="n"/>
      <c r="J1023" s="58" t="n"/>
      <c r="K1023" s="63">
        <f>IF(tblMovement[[#This Row],[Source]]="","",IFERROR(INDEX(tblSources[Type],MATCH(tblMovement[[#This Row],[Source]],tblSources[Source],0)),"?"))</f>
        <v/>
      </c>
      <c r="L1023" s="63">
        <f>IF(tblMovement[[#This Row],[Destination]]="","",IFERROR(INDEX(tblDestinations[Type],MATCH(tblMovement[[#This Row],[Destination]],tblDestinations[Destination],0)),"?"))</f>
        <v/>
      </c>
      <c r="M1023" s="64">
        <f>IF(tblMovement[[#This Row],[Material]]="","",IF(LEFT(tblMovement[[#This Row],[Material]],3)="Ore",1,0))</f>
        <v/>
      </c>
      <c r="N1023" s="59">
        <f>IF(OR(tblMovement[[#This Row],[Tonnes_t]]="",tblMovement[[#This Row],[Grade_gpt]]=""),0,tblMovement[[#This Row],[Tonnes_t]]*tblMovement[[#This Row],[Grade_gpt]]/cfg_TroyOz)</f>
        <v/>
      </c>
      <c r="O1023" s="59">
        <f>IF(tblMovement[[#This Row],[Is_Ore]]=1,tblMovement[[#This Row],[Contained_oz]],0)</f>
        <v/>
      </c>
    </row>
    <row r="1024">
      <c r="A1024" s="54" t="n"/>
      <c r="B1024" s="61" t="n"/>
      <c r="C1024" s="61" t="n"/>
      <c r="D1024" s="61" t="n"/>
      <c r="E1024" s="61" t="n"/>
      <c r="F1024" s="55" t="n"/>
      <c r="G1024" s="56" t="n"/>
      <c r="H1024" s="55" t="n"/>
      <c r="I1024" s="62" t="n"/>
      <c r="J1024" s="58" t="n"/>
      <c r="K1024" s="63">
        <f>IF(tblMovement[[#This Row],[Source]]="","",IFERROR(INDEX(tblSources[Type],MATCH(tblMovement[[#This Row],[Source]],tblSources[Source],0)),"?"))</f>
        <v/>
      </c>
      <c r="L1024" s="63">
        <f>IF(tblMovement[[#This Row],[Destination]]="","",IFERROR(INDEX(tblDestinations[Type],MATCH(tblMovement[[#This Row],[Destination]],tblDestinations[Destination],0)),"?"))</f>
        <v/>
      </c>
      <c r="M1024" s="64">
        <f>IF(tblMovement[[#This Row],[Material]]="","",IF(LEFT(tblMovement[[#This Row],[Material]],3)="Ore",1,0))</f>
        <v/>
      </c>
      <c r="N1024" s="59">
        <f>IF(OR(tblMovement[[#This Row],[Tonnes_t]]="",tblMovement[[#This Row],[Grade_gpt]]=""),0,tblMovement[[#This Row],[Tonnes_t]]*tblMovement[[#This Row],[Grade_gpt]]/cfg_TroyOz)</f>
        <v/>
      </c>
      <c r="O1024" s="59">
        <f>IF(tblMovement[[#This Row],[Is_Ore]]=1,tblMovement[[#This Row],[Contained_oz]],0)</f>
        <v/>
      </c>
    </row>
    <row r="1025">
      <c r="A1025" s="54" t="n"/>
      <c r="B1025" s="61" t="n"/>
      <c r="C1025" s="61" t="n"/>
      <c r="D1025" s="61" t="n"/>
      <c r="E1025" s="61" t="n"/>
      <c r="F1025" s="55" t="n"/>
      <c r="G1025" s="56" t="n"/>
      <c r="H1025" s="55" t="n"/>
      <c r="I1025" s="62" t="n"/>
      <c r="J1025" s="58" t="n"/>
      <c r="K1025" s="63">
        <f>IF(tblMovement[[#This Row],[Source]]="","",IFERROR(INDEX(tblSources[Type],MATCH(tblMovement[[#This Row],[Source]],tblSources[Source],0)),"?"))</f>
        <v/>
      </c>
      <c r="L1025" s="63">
        <f>IF(tblMovement[[#This Row],[Destination]]="","",IFERROR(INDEX(tblDestinations[Type],MATCH(tblMovement[[#This Row],[Destination]],tblDestinations[Destination],0)),"?"))</f>
        <v/>
      </c>
      <c r="M1025" s="64">
        <f>IF(tblMovement[[#This Row],[Material]]="","",IF(LEFT(tblMovement[[#This Row],[Material]],3)="Ore",1,0))</f>
        <v/>
      </c>
      <c r="N1025" s="59">
        <f>IF(OR(tblMovement[[#This Row],[Tonnes_t]]="",tblMovement[[#This Row],[Grade_gpt]]=""),0,tblMovement[[#This Row],[Tonnes_t]]*tblMovement[[#This Row],[Grade_gpt]]/cfg_TroyOz)</f>
        <v/>
      </c>
      <c r="O1025" s="59">
        <f>IF(tblMovement[[#This Row],[Is_Ore]]=1,tblMovement[[#This Row],[Contained_oz]],0)</f>
        <v/>
      </c>
    </row>
    <row r="1026">
      <c r="A1026" s="54" t="n"/>
      <c r="B1026" s="61" t="n"/>
      <c r="C1026" s="61" t="n"/>
      <c r="D1026" s="61" t="n"/>
      <c r="E1026" s="61" t="n"/>
      <c r="F1026" s="55" t="n"/>
      <c r="G1026" s="56" t="n"/>
      <c r="H1026" s="55" t="n"/>
      <c r="I1026" s="62" t="n"/>
      <c r="J1026" s="58" t="n"/>
      <c r="K1026" s="63">
        <f>IF(tblMovement[[#This Row],[Source]]="","",IFERROR(INDEX(tblSources[Type],MATCH(tblMovement[[#This Row],[Source]],tblSources[Source],0)),"?"))</f>
        <v/>
      </c>
      <c r="L1026" s="63">
        <f>IF(tblMovement[[#This Row],[Destination]]="","",IFERROR(INDEX(tblDestinations[Type],MATCH(tblMovement[[#This Row],[Destination]],tblDestinations[Destination],0)),"?"))</f>
        <v/>
      </c>
      <c r="M1026" s="64">
        <f>IF(tblMovement[[#This Row],[Material]]="","",IF(LEFT(tblMovement[[#This Row],[Material]],3)="Ore",1,0))</f>
        <v/>
      </c>
      <c r="N1026" s="59">
        <f>IF(OR(tblMovement[[#This Row],[Tonnes_t]]="",tblMovement[[#This Row],[Grade_gpt]]=""),0,tblMovement[[#This Row],[Tonnes_t]]*tblMovement[[#This Row],[Grade_gpt]]/cfg_TroyOz)</f>
        <v/>
      </c>
      <c r="O1026" s="59">
        <f>IF(tblMovement[[#This Row],[Is_Ore]]=1,tblMovement[[#This Row],[Contained_oz]],0)</f>
        <v/>
      </c>
    </row>
    <row r="1027">
      <c r="A1027" s="54" t="n"/>
      <c r="B1027" s="61" t="n"/>
      <c r="C1027" s="61" t="n"/>
      <c r="D1027" s="61" t="n"/>
      <c r="E1027" s="61" t="n"/>
      <c r="F1027" s="55" t="n"/>
      <c r="G1027" s="56" t="n"/>
      <c r="H1027" s="55" t="n"/>
      <c r="I1027" s="62" t="n"/>
      <c r="J1027" s="58" t="n"/>
      <c r="K1027" s="63">
        <f>IF(tblMovement[[#This Row],[Source]]="","",IFERROR(INDEX(tblSources[Type],MATCH(tblMovement[[#This Row],[Source]],tblSources[Source],0)),"?"))</f>
        <v/>
      </c>
      <c r="L1027" s="63">
        <f>IF(tblMovement[[#This Row],[Destination]]="","",IFERROR(INDEX(tblDestinations[Type],MATCH(tblMovement[[#This Row],[Destination]],tblDestinations[Destination],0)),"?"))</f>
        <v/>
      </c>
      <c r="M1027" s="64">
        <f>IF(tblMovement[[#This Row],[Material]]="","",IF(LEFT(tblMovement[[#This Row],[Material]],3)="Ore",1,0))</f>
        <v/>
      </c>
      <c r="N1027" s="59">
        <f>IF(OR(tblMovement[[#This Row],[Tonnes_t]]="",tblMovement[[#This Row],[Grade_gpt]]=""),0,tblMovement[[#This Row],[Tonnes_t]]*tblMovement[[#This Row],[Grade_gpt]]/cfg_TroyOz)</f>
        <v/>
      </c>
      <c r="O1027" s="59">
        <f>IF(tblMovement[[#This Row],[Is_Ore]]=1,tblMovement[[#This Row],[Contained_oz]],0)</f>
        <v/>
      </c>
    </row>
    <row r="1028">
      <c r="A1028" s="54" t="n"/>
      <c r="B1028" s="61" t="n"/>
      <c r="C1028" s="61" t="n"/>
      <c r="D1028" s="61" t="n"/>
      <c r="E1028" s="61" t="n"/>
      <c r="F1028" s="55" t="n"/>
      <c r="G1028" s="56" t="n"/>
      <c r="H1028" s="55" t="n"/>
      <c r="I1028" s="62" t="n"/>
      <c r="J1028" s="58" t="n"/>
      <c r="K1028" s="63">
        <f>IF(tblMovement[[#This Row],[Source]]="","",IFERROR(INDEX(tblSources[Type],MATCH(tblMovement[[#This Row],[Source]],tblSources[Source],0)),"?"))</f>
        <v/>
      </c>
      <c r="L1028" s="63">
        <f>IF(tblMovement[[#This Row],[Destination]]="","",IFERROR(INDEX(tblDestinations[Type],MATCH(tblMovement[[#This Row],[Destination]],tblDestinations[Destination],0)),"?"))</f>
        <v/>
      </c>
      <c r="M1028" s="64">
        <f>IF(tblMovement[[#This Row],[Material]]="","",IF(LEFT(tblMovement[[#This Row],[Material]],3)="Ore",1,0))</f>
        <v/>
      </c>
      <c r="N1028" s="59">
        <f>IF(OR(tblMovement[[#This Row],[Tonnes_t]]="",tblMovement[[#This Row],[Grade_gpt]]=""),0,tblMovement[[#This Row],[Tonnes_t]]*tblMovement[[#This Row],[Grade_gpt]]/cfg_TroyOz)</f>
        <v/>
      </c>
      <c r="O1028" s="59">
        <f>IF(tblMovement[[#This Row],[Is_Ore]]=1,tblMovement[[#This Row],[Contained_oz]],0)</f>
        <v/>
      </c>
    </row>
    <row r="1029">
      <c r="A1029" s="54" t="n"/>
      <c r="B1029" s="61" t="n"/>
      <c r="C1029" s="61" t="n"/>
      <c r="D1029" s="61" t="n"/>
      <c r="E1029" s="61" t="n"/>
      <c r="F1029" s="55" t="n"/>
      <c r="G1029" s="56" t="n"/>
      <c r="H1029" s="55" t="n"/>
      <c r="I1029" s="62" t="n"/>
      <c r="J1029" s="58" t="n"/>
      <c r="K1029" s="63">
        <f>IF(tblMovement[[#This Row],[Source]]="","",IFERROR(INDEX(tblSources[Type],MATCH(tblMovement[[#This Row],[Source]],tblSources[Source],0)),"?"))</f>
        <v/>
      </c>
      <c r="L1029" s="63">
        <f>IF(tblMovement[[#This Row],[Destination]]="","",IFERROR(INDEX(tblDestinations[Type],MATCH(tblMovement[[#This Row],[Destination]],tblDestinations[Destination],0)),"?"))</f>
        <v/>
      </c>
      <c r="M1029" s="64">
        <f>IF(tblMovement[[#This Row],[Material]]="","",IF(LEFT(tblMovement[[#This Row],[Material]],3)="Ore",1,0))</f>
        <v/>
      </c>
      <c r="N1029" s="59">
        <f>IF(OR(tblMovement[[#This Row],[Tonnes_t]]="",tblMovement[[#This Row],[Grade_gpt]]=""),0,tblMovement[[#This Row],[Tonnes_t]]*tblMovement[[#This Row],[Grade_gpt]]/cfg_TroyOz)</f>
        <v/>
      </c>
      <c r="O1029" s="59">
        <f>IF(tblMovement[[#This Row],[Is_Ore]]=1,tblMovement[[#This Row],[Contained_oz]],0)</f>
        <v/>
      </c>
    </row>
    <row r="1030">
      <c r="A1030" s="54" t="n"/>
      <c r="B1030" s="61" t="n"/>
      <c r="C1030" s="61" t="n"/>
      <c r="D1030" s="61" t="n"/>
      <c r="E1030" s="61" t="n"/>
      <c r="F1030" s="55" t="n"/>
      <c r="G1030" s="56" t="n"/>
      <c r="H1030" s="55" t="n"/>
      <c r="I1030" s="62" t="n"/>
      <c r="J1030" s="58" t="n"/>
      <c r="K1030" s="63">
        <f>IF(tblMovement[[#This Row],[Source]]="","",IFERROR(INDEX(tblSources[Type],MATCH(tblMovement[[#This Row],[Source]],tblSources[Source],0)),"?"))</f>
        <v/>
      </c>
      <c r="L1030" s="63">
        <f>IF(tblMovement[[#This Row],[Destination]]="","",IFERROR(INDEX(tblDestinations[Type],MATCH(tblMovement[[#This Row],[Destination]],tblDestinations[Destination],0)),"?"))</f>
        <v/>
      </c>
      <c r="M1030" s="64">
        <f>IF(tblMovement[[#This Row],[Material]]="","",IF(LEFT(tblMovement[[#This Row],[Material]],3)="Ore",1,0))</f>
        <v/>
      </c>
      <c r="N1030" s="59">
        <f>IF(OR(tblMovement[[#This Row],[Tonnes_t]]="",tblMovement[[#This Row],[Grade_gpt]]=""),0,tblMovement[[#This Row],[Tonnes_t]]*tblMovement[[#This Row],[Grade_gpt]]/cfg_TroyOz)</f>
        <v/>
      </c>
      <c r="O1030" s="59">
        <f>IF(tblMovement[[#This Row],[Is_Ore]]=1,tblMovement[[#This Row],[Contained_oz]],0)</f>
        <v/>
      </c>
    </row>
    <row r="1031">
      <c r="A1031" s="54" t="n"/>
      <c r="B1031" s="61" t="n"/>
      <c r="C1031" s="61" t="n"/>
      <c r="D1031" s="61" t="n"/>
      <c r="E1031" s="61" t="n"/>
      <c r="F1031" s="55" t="n"/>
      <c r="G1031" s="56" t="n"/>
      <c r="H1031" s="55" t="n"/>
      <c r="I1031" s="62" t="n"/>
      <c r="J1031" s="58" t="n"/>
      <c r="K1031" s="63">
        <f>IF(tblMovement[[#This Row],[Source]]="","",IFERROR(INDEX(tblSources[Type],MATCH(tblMovement[[#This Row],[Source]],tblSources[Source],0)),"?"))</f>
        <v/>
      </c>
      <c r="L1031" s="63">
        <f>IF(tblMovement[[#This Row],[Destination]]="","",IFERROR(INDEX(tblDestinations[Type],MATCH(tblMovement[[#This Row],[Destination]],tblDestinations[Destination],0)),"?"))</f>
        <v/>
      </c>
      <c r="M1031" s="64">
        <f>IF(tblMovement[[#This Row],[Material]]="","",IF(LEFT(tblMovement[[#This Row],[Material]],3)="Ore",1,0))</f>
        <v/>
      </c>
      <c r="N1031" s="59">
        <f>IF(OR(tblMovement[[#This Row],[Tonnes_t]]="",tblMovement[[#This Row],[Grade_gpt]]=""),0,tblMovement[[#This Row],[Tonnes_t]]*tblMovement[[#This Row],[Grade_gpt]]/cfg_TroyOz)</f>
        <v/>
      </c>
      <c r="O1031" s="59">
        <f>IF(tblMovement[[#This Row],[Is_Ore]]=1,tblMovement[[#This Row],[Contained_oz]],0)</f>
        <v/>
      </c>
    </row>
    <row r="1032">
      <c r="A1032" s="54" t="n"/>
      <c r="B1032" s="61" t="n"/>
      <c r="C1032" s="61" t="n"/>
      <c r="D1032" s="61" t="n"/>
      <c r="E1032" s="61" t="n"/>
      <c r="F1032" s="55" t="n"/>
      <c r="G1032" s="56" t="n"/>
      <c r="H1032" s="55" t="n"/>
      <c r="I1032" s="62" t="n"/>
      <c r="J1032" s="58" t="n"/>
      <c r="K1032" s="63">
        <f>IF(tblMovement[[#This Row],[Source]]="","",IFERROR(INDEX(tblSources[Type],MATCH(tblMovement[[#This Row],[Source]],tblSources[Source],0)),"?"))</f>
        <v/>
      </c>
      <c r="L1032" s="63">
        <f>IF(tblMovement[[#This Row],[Destination]]="","",IFERROR(INDEX(tblDestinations[Type],MATCH(tblMovement[[#This Row],[Destination]],tblDestinations[Destination],0)),"?"))</f>
        <v/>
      </c>
      <c r="M1032" s="64">
        <f>IF(tblMovement[[#This Row],[Material]]="","",IF(LEFT(tblMovement[[#This Row],[Material]],3)="Ore",1,0))</f>
        <v/>
      </c>
      <c r="N1032" s="59">
        <f>IF(OR(tblMovement[[#This Row],[Tonnes_t]]="",tblMovement[[#This Row],[Grade_gpt]]=""),0,tblMovement[[#This Row],[Tonnes_t]]*tblMovement[[#This Row],[Grade_gpt]]/cfg_TroyOz)</f>
        <v/>
      </c>
      <c r="O1032" s="59">
        <f>IF(tblMovement[[#This Row],[Is_Ore]]=1,tblMovement[[#This Row],[Contained_oz]],0)</f>
        <v/>
      </c>
    </row>
    <row r="1033">
      <c r="A1033" s="54" t="n"/>
      <c r="B1033" s="61" t="n"/>
      <c r="C1033" s="61" t="n"/>
      <c r="D1033" s="61" t="n"/>
      <c r="E1033" s="61" t="n"/>
      <c r="F1033" s="55" t="n"/>
      <c r="G1033" s="56" t="n"/>
      <c r="H1033" s="55" t="n"/>
      <c r="I1033" s="62" t="n"/>
      <c r="J1033" s="58" t="n"/>
      <c r="K1033" s="63">
        <f>IF(tblMovement[[#This Row],[Source]]="","",IFERROR(INDEX(tblSources[Type],MATCH(tblMovement[[#This Row],[Source]],tblSources[Source],0)),"?"))</f>
        <v/>
      </c>
      <c r="L1033" s="63">
        <f>IF(tblMovement[[#This Row],[Destination]]="","",IFERROR(INDEX(tblDestinations[Type],MATCH(tblMovement[[#This Row],[Destination]],tblDestinations[Destination],0)),"?"))</f>
        <v/>
      </c>
      <c r="M1033" s="64">
        <f>IF(tblMovement[[#This Row],[Material]]="","",IF(LEFT(tblMovement[[#This Row],[Material]],3)="Ore",1,0))</f>
        <v/>
      </c>
      <c r="N1033" s="59">
        <f>IF(OR(tblMovement[[#This Row],[Tonnes_t]]="",tblMovement[[#This Row],[Grade_gpt]]=""),0,tblMovement[[#This Row],[Tonnes_t]]*tblMovement[[#This Row],[Grade_gpt]]/cfg_TroyOz)</f>
        <v/>
      </c>
      <c r="O1033" s="59">
        <f>IF(tblMovement[[#This Row],[Is_Ore]]=1,tblMovement[[#This Row],[Contained_oz]],0)</f>
        <v/>
      </c>
    </row>
    <row r="1034">
      <c r="A1034" s="54" t="n"/>
      <c r="B1034" s="61" t="n"/>
      <c r="C1034" s="61" t="n"/>
      <c r="D1034" s="61" t="n"/>
      <c r="E1034" s="61" t="n"/>
      <c r="F1034" s="55" t="n"/>
      <c r="G1034" s="56" t="n"/>
      <c r="H1034" s="55" t="n"/>
      <c r="I1034" s="62" t="n"/>
      <c r="J1034" s="58" t="n"/>
      <c r="K1034" s="63">
        <f>IF(tblMovement[[#This Row],[Source]]="","",IFERROR(INDEX(tblSources[Type],MATCH(tblMovement[[#This Row],[Source]],tblSources[Source],0)),"?"))</f>
        <v/>
      </c>
      <c r="L1034" s="63">
        <f>IF(tblMovement[[#This Row],[Destination]]="","",IFERROR(INDEX(tblDestinations[Type],MATCH(tblMovement[[#This Row],[Destination]],tblDestinations[Destination],0)),"?"))</f>
        <v/>
      </c>
      <c r="M1034" s="64">
        <f>IF(tblMovement[[#This Row],[Material]]="","",IF(LEFT(tblMovement[[#This Row],[Material]],3)="Ore",1,0))</f>
        <v/>
      </c>
      <c r="N1034" s="59">
        <f>IF(OR(tblMovement[[#This Row],[Tonnes_t]]="",tblMovement[[#This Row],[Grade_gpt]]=""),0,tblMovement[[#This Row],[Tonnes_t]]*tblMovement[[#This Row],[Grade_gpt]]/cfg_TroyOz)</f>
        <v/>
      </c>
      <c r="O1034" s="59">
        <f>IF(tblMovement[[#This Row],[Is_Ore]]=1,tblMovement[[#This Row],[Contained_oz]],0)</f>
        <v/>
      </c>
    </row>
    <row r="1035">
      <c r="A1035" s="54" t="n"/>
      <c r="B1035" s="61" t="n"/>
      <c r="C1035" s="61" t="n"/>
      <c r="D1035" s="61" t="n"/>
      <c r="E1035" s="61" t="n"/>
      <c r="F1035" s="55" t="n"/>
      <c r="G1035" s="56" t="n"/>
      <c r="H1035" s="55" t="n"/>
      <c r="I1035" s="62" t="n"/>
      <c r="J1035" s="58" t="n"/>
      <c r="K1035" s="63">
        <f>IF(tblMovement[[#This Row],[Source]]="","",IFERROR(INDEX(tblSources[Type],MATCH(tblMovement[[#This Row],[Source]],tblSources[Source],0)),"?"))</f>
        <v/>
      </c>
      <c r="L1035" s="63">
        <f>IF(tblMovement[[#This Row],[Destination]]="","",IFERROR(INDEX(tblDestinations[Type],MATCH(tblMovement[[#This Row],[Destination]],tblDestinations[Destination],0)),"?"))</f>
        <v/>
      </c>
      <c r="M1035" s="64">
        <f>IF(tblMovement[[#This Row],[Material]]="","",IF(LEFT(tblMovement[[#This Row],[Material]],3)="Ore",1,0))</f>
        <v/>
      </c>
      <c r="N1035" s="59">
        <f>IF(OR(tblMovement[[#This Row],[Tonnes_t]]="",tblMovement[[#This Row],[Grade_gpt]]=""),0,tblMovement[[#This Row],[Tonnes_t]]*tblMovement[[#This Row],[Grade_gpt]]/cfg_TroyOz)</f>
        <v/>
      </c>
      <c r="O1035" s="59">
        <f>IF(tblMovement[[#This Row],[Is_Ore]]=1,tblMovement[[#This Row],[Contained_oz]],0)</f>
        <v/>
      </c>
    </row>
    <row r="1036">
      <c r="A1036" s="54" t="n"/>
      <c r="B1036" s="61" t="n"/>
      <c r="C1036" s="61" t="n"/>
      <c r="D1036" s="61" t="n"/>
      <c r="E1036" s="61" t="n"/>
      <c r="F1036" s="55" t="n"/>
      <c r="G1036" s="56" t="n"/>
      <c r="H1036" s="55" t="n"/>
      <c r="I1036" s="62" t="n"/>
      <c r="J1036" s="58" t="n"/>
      <c r="K1036" s="63">
        <f>IF(tblMovement[[#This Row],[Source]]="","",IFERROR(INDEX(tblSources[Type],MATCH(tblMovement[[#This Row],[Source]],tblSources[Source],0)),"?"))</f>
        <v/>
      </c>
      <c r="L1036" s="63">
        <f>IF(tblMovement[[#This Row],[Destination]]="","",IFERROR(INDEX(tblDestinations[Type],MATCH(tblMovement[[#This Row],[Destination]],tblDestinations[Destination],0)),"?"))</f>
        <v/>
      </c>
      <c r="M1036" s="64">
        <f>IF(tblMovement[[#This Row],[Material]]="","",IF(LEFT(tblMovement[[#This Row],[Material]],3)="Ore",1,0))</f>
        <v/>
      </c>
      <c r="N1036" s="59">
        <f>IF(OR(tblMovement[[#This Row],[Tonnes_t]]="",tblMovement[[#This Row],[Grade_gpt]]=""),0,tblMovement[[#This Row],[Tonnes_t]]*tblMovement[[#This Row],[Grade_gpt]]/cfg_TroyOz)</f>
        <v/>
      </c>
      <c r="O1036" s="59">
        <f>IF(tblMovement[[#This Row],[Is_Ore]]=1,tblMovement[[#This Row],[Contained_oz]],0)</f>
        <v/>
      </c>
    </row>
    <row r="1037">
      <c r="A1037" s="54" t="n"/>
      <c r="B1037" s="61" t="n"/>
      <c r="C1037" s="61" t="n"/>
      <c r="D1037" s="61" t="n"/>
      <c r="E1037" s="61" t="n"/>
      <c r="F1037" s="55" t="n"/>
      <c r="G1037" s="56" t="n"/>
      <c r="H1037" s="55" t="n"/>
      <c r="I1037" s="62" t="n"/>
      <c r="J1037" s="58" t="n"/>
      <c r="K1037" s="63">
        <f>IF(tblMovement[[#This Row],[Source]]="","",IFERROR(INDEX(tblSources[Type],MATCH(tblMovement[[#This Row],[Source]],tblSources[Source],0)),"?"))</f>
        <v/>
      </c>
      <c r="L1037" s="63">
        <f>IF(tblMovement[[#This Row],[Destination]]="","",IFERROR(INDEX(tblDestinations[Type],MATCH(tblMovement[[#This Row],[Destination]],tblDestinations[Destination],0)),"?"))</f>
        <v/>
      </c>
      <c r="M1037" s="64">
        <f>IF(tblMovement[[#This Row],[Material]]="","",IF(LEFT(tblMovement[[#This Row],[Material]],3)="Ore",1,0))</f>
        <v/>
      </c>
      <c r="N1037" s="59">
        <f>IF(OR(tblMovement[[#This Row],[Tonnes_t]]="",tblMovement[[#This Row],[Grade_gpt]]=""),0,tblMovement[[#This Row],[Tonnes_t]]*tblMovement[[#This Row],[Grade_gpt]]/cfg_TroyOz)</f>
        <v/>
      </c>
      <c r="O1037" s="59">
        <f>IF(tblMovement[[#This Row],[Is_Ore]]=1,tblMovement[[#This Row],[Contained_oz]],0)</f>
        <v/>
      </c>
    </row>
    <row r="1038">
      <c r="A1038" s="54" t="n"/>
      <c r="B1038" s="61" t="n"/>
      <c r="C1038" s="61" t="n"/>
      <c r="D1038" s="61" t="n"/>
      <c r="E1038" s="61" t="n"/>
      <c r="F1038" s="55" t="n"/>
      <c r="G1038" s="56" t="n"/>
      <c r="H1038" s="55" t="n"/>
      <c r="I1038" s="62" t="n"/>
      <c r="J1038" s="58" t="n"/>
      <c r="K1038" s="63">
        <f>IF(tblMovement[[#This Row],[Source]]="","",IFERROR(INDEX(tblSources[Type],MATCH(tblMovement[[#This Row],[Source]],tblSources[Source],0)),"?"))</f>
        <v/>
      </c>
      <c r="L1038" s="63">
        <f>IF(tblMovement[[#This Row],[Destination]]="","",IFERROR(INDEX(tblDestinations[Type],MATCH(tblMovement[[#This Row],[Destination]],tblDestinations[Destination],0)),"?"))</f>
        <v/>
      </c>
      <c r="M1038" s="64">
        <f>IF(tblMovement[[#This Row],[Material]]="","",IF(LEFT(tblMovement[[#This Row],[Material]],3)="Ore",1,0))</f>
        <v/>
      </c>
      <c r="N1038" s="59">
        <f>IF(OR(tblMovement[[#This Row],[Tonnes_t]]="",tblMovement[[#This Row],[Grade_gpt]]=""),0,tblMovement[[#This Row],[Tonnes_t]]*tblMovement[[#This Row],[Grade_gpt]]/cfg_TroyOz)</f>
        <v/>
      </c>
      <c r="O1038" s="59">
        <f>IF(tblMovement[[#This Row],[Is_Ore]]=1,tblMovement[[#This Row],[Contained_oz]],0)</f>
        <v/>
      </c>
    </row>
    <row r="1039">
      <c r="A1039" s="54" t="n"/>
      <c r="B1039" s="61" t="n"/>
      <c r="C1039" s="61" t="n"/>
      <c r="D1039" s="61" t="n"/>
      <c r="E1039" s="61" t="n"/>
      <c r="F1039" s="55" t="n"/>
      <c r="G1039" s="56" t="n"/>
      <c r="H1039" s="55" t="n"/>
      <c r="I1039" s="62" t="n"/>
      <c r="J1039" s="58" t="n"/>
      <c r="K1039" s="63">
        <f>IF(tblMovement[[#This Row],[Source]]="","",IFERROR(INDEX(tblSources[Type],MATCH(tblMovement[[#This Row],[Source]],tblSources[Source],0)),"?"))</f>
        <v/>
      </c>
      <c r="L1039" s="63">
        <f>IF(tblMovement[[#This Row],[Destination]]="","",IFERROR(INDEX(tblDestinations[Type],MATCH(tblMovement[[#This Row],[Destination]],tblDestinations[Destination],0)),"?"))</f>
        <v/>
      </c>
      <c r="M1039" s="64">
        <f>IF(tblMovement[[#This Row],[Material]]="","",IF(LEFT(tblMovement[[#This Row],[Material]],3)="Ore",1,0))</f>
        <v/>
      </c>
      <c r="N1039" s="59">
        <f>IF(OR(tblMovement[[#This Row],[Tonnes_t]]="",tblMovement[[#This Row],[Grade_gpt]]=""),0,tblMovement[[#This Row],[Tonnes_t]]*tblMovement[[#This Row],[Grade_gpt]]/cfg_TroyOz)</f>
        <v/>
      </c>
      <c r="O1039" s="59">
        <f>IF(tblMovement[[#This Row],[Is_Ore]]=1,tblMovement[[#This Row],[Contained_oz]],0)</f>
        <v/>
      </c>
    </row>
    <row r="1040">
      <c r="A1040" s="54" t="n"/>
      <c r="B1040" s="61" t="n"/>
      <c r="C1040" s="61" t="n"/>
      <c r="D1040" s="61" t="n"/>
      <c r="E1040" s="61" t="n"/>
      <c r="F1040" s="55" t="n"/>
      <c r="G1040" s="56" t="n"/>
      <c r="H1040" s="55" t="n"/>
      <c r="I1040" s="62" t="n"/>
      <c r="J1040" s="58" t="n"/>
      <c r="K1040" s="63">
        <f>IF(tblMovement[[#This Row],[Source]]="","",IFERROR(INDEX(tblSources[Type],MATCH(tblMovement[[#This Row],[Source]],tblSources[Source],0)),"?"))</f>
        <v/>
      </c>
      <c r="L1040" s="63">
        <f>IF(tblMovement[[#This Row],[Destination]]="","",IFERROR(INDEX(tblDestinations[Type],MATCH(tblMovement[[#This Row],[Destination]],tblDestinations[Destination],0)),"?"))</f>
        <v/>
      </c>
      <c r="M1040" s="64">
        <f>IF(tblMovement[[#This Row],[Material]]="","",IF(LEFT(tblMovement[[#This Row],[Material]],3)="Ore",1,0))</f>
        <v/>
      </c>
      <c r="N1040" s="59">
        <f>IF(OR(tblMovement[[#This Row],[Tonnes_t]]="",tblMovement[[#This Row],[Grade_gpt]]=""),0,tblMovement[[#This Row],[Tonnes_t]]*tblMovement[[#This Row],[Grade_gpt]]/cfg_TroyOz)</f>
        <v/>
      </c>
      <c r="O1040" s="59">
        <f>IF(tblMovement[[#This Row],[Is_Ore]]=1,tblMovement[[#This Row],[Contained_oz]],0)</f>
        <v/>
      </c>
    </row>
    <row r="1041">
      <c r="A1041" s="54" t="n"/>
      <c r="B1041" s="61" t="n"/>
      <c r="C1041" s="61" t="n"/>
      <c r="D1041" s="61" t="n"/>
      <c r="E1041" s="61" t="n"/>
      <c r="F1041" s="55" t="n"/>
      <c r="G1041" s="56" t="n"/>
      <c r="H1041" s="55" t="n"/>
      <c r="I1041" s="62" t="n"/>
      <c r="J1041" s="58" t="n"/>
      <c r="K1041" s="63">
        <f>IF(tblMovement[[#This Row],[Source]]="","",IFERROR(INDEX(tblSources[Type],MATCH(tblMovement[[#This Row],[Source]],tblSources[Source],0)),"?"))</f>
        <v/>
      </c>
      <c r="L1041" s="63">
        <f>IF(tblMovement[[#This Row],[Destination]]="","",IFERROR(INDEX(tblDestinations[Type],MATCH(tblMovement[[#This Row],[Destination]],tblDestinations[Destination],0)),"?"))</f>
        <v/>
      </c>
      <c r="M1041" s="64">
        <f>IF(tblMovement[[#This Row],[Material]]="","",IF(LEFT(tblMovement[[#This Row],[Material]],3)="Ore",1,0))</f>
        <v/>
      </c>
      <c r="N1041" s="59">
        <f>IF(OR(tblMovement[[#This Row],[Tonnes_t]]="",tblMovement[[#This Row],[Grade_gpt]]=""),0,tblMovement[[#This Row],[Tonnes_t]]*tblMovement[[#This Row],[Grade_gpt]]/cfg_TroyOz)</f>
        <v/>
      </c>
      <c r="O1041" s="59">
        <f>IF(tblMovement[[#This Row],[Is_Ore]]=1,tblMovement[[#This Row],[Contained_oz]],0)</f>
        <v/>
      </c>
    </row>
    <row r="1042">
      <c r="A1042" s="54" t="n"/>
      <c r="B1042" s="61" t="n"/>
      <c r="C1042" s="61" t="n"/>
      <c r="D1042" s="61" t="n"/>
      <c r="E1042" s="61" t="n"/>
      <c r="F1042" s="55" t="n"/>
      <c r="G1042" s="56" t="n"/>
      <c r="H1042" s="55" t="n"/>
      <c r="I1042" s="62" t="n"/>
      <c r="J1042" s="58" t="n"/>
      <c r="K1042" s="63">
        <f>IF(tblMovement[[#This Row],[Source]]="","",IFERROR(INDEX(tblSources[Type],MATCH(tblMovement[[#This Row],[Source]],tblSources[Source],0)),"?"))</f>
        <v/>
      </c>
      <c r="L1042" s="63">
        <f>IF(tblMovement[[#This Row],[Destination]]="","",IFERROR(INDEX(tblDestinations[Type],MATCH(tblMovement[[#This Row],[Destination]],tblDestinations[Destination],0)),"?"))</f>
        <v/>
      </c>
      <c r="M1042" s="64">
        <f>IF(tblMovement[[#This Row],[Material]]="","",IF(LEFT(tblMovement[[#This Row],[Material]],3)="Ore",1,0))</f>
        <v/>
      </c>
      <c r="N1042" s="59">
        <f>IF(OR(tblMovement[[#This Row],[Tonnes_t]]="",tblMovement[[#This Row],[Grade_gpt]]=""),0,tblMovement[[#This Row],[Tonnes_t]]*tblMovement[[#This Row],[Grade_gpt]]/cfg_TroyOz)</f>
        <v/>
      </c>
      <c r="O1042" s="59">
        <f>IF(tblMovement[[#This Row],[Is_Ore]]=1,tblMovement[[#This Row],[Contained_oz]],0)</f>
        <v/>
      </c>
    </row>
    <row r="1043">
      <c r="A1043" s="54" t="n"/>
      <c r="B1043" s="61" t="n"/>
      <c r="C1043" s="61" t="n"/>
      <c r="D1043" s="61" t="n"/>
      <c r="E1043" s="61" t="n"/>
      <c r="F1043" s="55" t="n"/>
      <c r="G1043" s="56" t="n"/>
      <c r="H1043" s="55" t="n"/>
      <c r="I1043" s="62" t="n"/>
      <c r="J1043" s="58" t="n"/>
      <c r="K1043" s="63">
        <f>IF(tblMovement[[#This Row],[Source]]="","",IFERROR(INDEX(tblSources[Type],MATCH(tblMovement[[#This Row],[Source]],tblSources[Source],0)),"?"))</f>
        <v/>
      </c>
      <c r="L1043" s="63">
        <f>IF(tblMovement[[#This Row],[Destination]]="","",IFERROR(INDEX(tblDestinations[Type],MATCH(tblMovement[[#This Row],[Destination]],tblDestinations[Destination],0)),"?"))</f>
        <v/>
      </c>
      <c r="M1043" s="64">
        <f>IF(tblMovement[[#This Row],[Material]]="","",IF(LEFT(tblMovement[[#This Row],[Material]],3)="Ore",1,0))</f>
        <v/>
      </c>
      <c r="N1043" s="59">
        <f>IF(OR(tblMovement[[#This Row],[Tonnes_t]]="",tblMovement[[#This Row],[Grade_gpt]]=""),0,tblMovement[[#This Row],[Tonnes_t]]*tblMovement[[#This Row],[Grade_gpt]]/cfg_TroyOz)</f>
        <v/>
      </c>
      <c r="O1043" s="59">
        <f>IF(tblMovement[[#This Row],[Is_Ore]]=1,tblMovement[[#This Row],[Contained_oz]],0)</f>
        <v/>
      </c>
    </row>
    <row r="1044">
      <c r="A1044" s="54" t="n"/>
      <c r="B1044" s="61" t="n"/>
      <c r="C1044" s="61" t="n"/>
      <c r="D1044" s="61" t="n"/>
      <c r="E1044" s="61" t="n"/>
      <c r="F1044" s="55" t="n"/>
      <c r="G1044" s="56" t="n"/>
      <c r="H1044" s="55" t="n"/>
      <c r="I1044" s="62" t="n"/>
      <c r="J1044" s="58" t="n"/>
      <c r="K1044" s="63">
        <f>IF(tblMovement[[#This Row],[Source]]="","",IFERROR(INDEX(tblSources[Type],MATCH(tblMovement[[#This Row],[Source]],tblSources[Source],0)),"?"))</f>
        <v/>
      </c>
      <c r="L1044" s="63">
        <f>IF(tblMovement[[#This Row],[Destination]]="","",IFERROR(INDEX(tblDestinations[Type],MATCH(tblMovement[[#This Row],[Destination]],tblDestinations[Destination],0)),"?"))</f>
        <v/>
      </c>
      <c r="M1044" s="64">
        <f>IF(tblMovement[[#This Row],[Material]]="","",IF(LEFT(tblMovement[[#This Row],[Material]],3)="Ore",1,0))</f>
        <v/>
      </c>
      <c r="N1044" s="59">
        <f>IF(OR(tblMovement[[#This Row],[Tonnes_t]]="",tblMovement[[#This Row],[Grade_gpt]]=""),0,tblMovement[[#This Row],[Tonnes_t]]*tblMovement[[#This Row],[Grade_gpt]]/cfg_TroyOz)</f>
        <v/>
      </c>
      <c r="O1044" s="59">
        <f>IF(tblMovement[[#This Row],[Is_Ore]]=1,tblMovement[[#This Row],[Contained_oz]],0)</f>
        <v/>
      </c>
    </row>
    <row r="1045">
      <c r="A1045" s="54" t="n"/>
      <c r="B1045" s="61" t="n"/>
      <c r="C1045" s="61" t="n"/>
      <c r="D1045" s="61" t="n"/>
      <c r="E1045" s="61" t="n"/>
      <c r="F1045" s="55" t="n"/>
      <c r="G1045" s="56" t="n"/>
      <c r="H1045" s="55" t="n"/>
      <c r="I1045" s="62" t="n"/>
      <c r="J1045" s="58" t="n"/>
      <c r="K1045" s="63">
        <f>IF(tblMovement[[#This Row],[Source]]="","",IFERROR(INDEX(tblSources[Type],MATCH(tblMovement[[#This Row],[Source]],tblSources[Source],0)),"?"))</f>
        <v/>
      </c>
      <c r="L1045" s="63">
        <f>IF(tblMovement[[#This Row],[Destination]]="","",IFERROR(INDEX(tblDestinations[Type],MATCH(tblMovement[[#This Row],[Destination]],tblDestinations[Destination],0)),"?"))</f>
        <v/>
      </c>
      <c r="M1045" s="64">
        <f>IF(tblMovement[[#This Row],[Material]]="","",IF(LEFT(tblMovement[[#This Row],[Material]],3)="Ore",1,0))</f>
        <v/>
      </c>
      <c r="N1045" s="59">
        <f>IF(OR(tblMovement[[#This Row],[Tonnes_t]]="",tblMovement[[#This Row],[Grade_gpt]]=""),0,tblMovement[[#This Row],[Tonnes_t]]*tblMovement[[#This Row],[Grade_gpt]]/cfg_TroyOz)</f>
        <v/>
      </c>
      <c r="O1045" s="59">
        <f>IF(tblMovement[[#This Row],[Is_Ore]]=1,tblMovement[[#This Row],[Contained_oz]],0)</f>
        <v/>
      </c>
    </row>
    <row r="1046">
      <c r="A1046" s="54" t="n"/>
      <c r="B1046" s="61" t="n"/>
      <c r="C1046" s="61" t="n"/>
      <c r="D1046" s="61" t="n"/>
      <c r="E1046" s="61" t="n"/>
      <c r="F1046" s="55" t="n"/>
      <c r="G1046" s="56" t="n"/>
      <c r="H1046" s="55" t="n"/>
      <c r="I1046" s="62" t="n"/>
      <c r="J1046" s="58" t="n"/>
      <c r="K1046" s="63">
        <f>IF(tblMovement[[#This Row],[Source]]="","",IFERROR(INDEX(tblSources[Type],MATCH(tblMovement[[#This Row],[Source]],tblSources[Source],0)),"?"))</f>
        <v/>
      </c>
      <c r="L1046" s="63">
        <f>IF(tblMovement[[#This Row],[Destination]]="","",IFERROR(INDEX(tblDestinations[Type],MATCH(tblMovement[[#This Row],[Destination]],tblDestinations[Destination],0)),"?"))</f>
        <v/>
      </c>
      <c r="M1046" s="64">
        <f>IF(tblMovement[[#This Row],[Material]]="","",IF(LEFT(tblMovement[[#This Row],[Material]],3)="Ore",1,0))</f>
        <v/>
      </c>
      <c r="N1046" s="59">
        <f>IF(OR(tblMovement[[#This Row],[Tonnes_t]]="",tblMovement[[#This Row],[Grade_gpt]]=""),0,tblMovement[[#This Row],[Tonnes_t]]*tblMovement[[#This Row],[Grade_gpt]]/cfg_TroyOz)</f>
        <v/>
      </c>
      <c r="O1046" s="59">
        <f>IF(tblMovement[[#This Row],[Is_Ore]]=1,tblMovement[[#This Row],[Contained_oz]],0)</f>
        <v/>
      </c>
    </row>
    <row r="1047">
      <c r="A1047" s="54" t="n"/>
      <c r="B1047" s="61" t="n"/>
      <c r="C1047" s="61" t="n"/>
      <c r="D1047" s="61" t="n"/>
      <c r="E1047" s="61" t="n"/>
      <c r="F1047" s="55" t="n"/>
      <c r="G1047" s="56" t="n"/>
      <c r="H1047" s="55" t="n"/>
      <c r="I1047" s="62" t="n"/>
      <c r="J1047" s="58" t="n"/>
      <c r="K1047" s="63">
        <f>IF(tblMovement[[#This Row],[Source]]="","",IFERROR(INDEX(tblSources[Type],MATCH(tblMovement[[#This Row],[Source]],tblSources[Source],0)),"?"))</f>
        <v/>
      </c>
      <c r="L1047" s="63">
        <f>IF(tblMovement[[#This Row],[Destination]]="","",IFERROR(INDEX(tblDestinations[Type],MATCH(tblMovement[[#This Row],[Destination]],tblDestinations[Destination],0)),"?"))</f>
        <v/>
      </c>
      <c r="M1047" s="64">
        <f>IF(tblMovement[[#This Row],[Material]]="","",IF(LEFT(tblMovement[[#This Row],[Material]],3)="Ore",1,0))</f>
        <v/>
      </c>
      <c r="N1047" s="59">
        <f>IF(OR(tblMovement[[#This Row],[Tonnes_t]]="",tblMovement[[#This Row],[Grade_gpt]]=""),0,tblMovement[[#This Row],[Tonnes_t]]*tblMovement[[#This Row],[Grade_gpt]]/cfg_TroyOz)</f>
        <v/>
      </c>
      <c r="O1047" s="59">
        <f>IF(tblMovement[[#This Row],[Is_Ore]]=1,tblMovement[[#This Row],[Contained_oz]],0)</f>
        <v/>
      </c>
    </row>
    <row r="1048">
      <c r="A1048" s="54" t="n"/>
      <c r="B1048" s="61" t="n"/>
      <c r="C1048" s="61" t="n"/>
      <c r="D1048" s="61" t="n"/>
      <c r="E1048" s="61" t="n"/>
      <c r="F1048" s="55" t="n"/>
      <c r="G1048" s="56" t="n"/>
      <c r="H1048" s="55" t="n"/>
      <c r="I1048" s="62" t="n"/>
      <c r="J1048" s="58" t="n"/>
      <c r="K1048" s="63">
        <f>IF(tblMovement[[#This Row],[Source]]="","",IFERROR(INDEX(tblSources[Type],MATCH(tblMovement[[#This Row],[Source]],tblSources[Source],0)),"?"))</f>
        <v/>
      </c>
      <c r="L1048" s="63">
        <f>IF(tblMovement[[#This Row],[Destination]]="","",IFERROR(INDEX(tblDestinations[Type],MATCH(tblMovement[[#This Row],[Destination]],tblDestinations[Destination],0)),"?"))</f>
        <v/>
      </c>
      <c r="M1048" s="64">
        <f>IF(tblMovement[[#This Row],[Material]]="","",IF(LEFT(tblMovement[[#This Row],[Material]],3)="Ore",1,0))</f>
        <v/>
      </c>
      <c r="N1048" s="59">
        <f>IF(OR(tblMovement[[#This Row],[Tonnes_t]]="",tblMovement[[#This Row],[Grade_gpt]]=""),0,tblMovement[[#This Row],[Tonnes_t]]*tblMovement[[#This Row],[Grade_gpt]]/cfg_TroyOz)</f>
        <v/>
      </c>
      <c r="O1048" s="59">
        <f>IF(tblMovement[[#This Row],[Is_Ore]]=1,tblMovement[[#This Row],[Contained_oz]],0)</f>
        <v/>
      </c>
    </row>
    <row r="1049">
      <c r="A1049" s="54" t="n"/>
      <c r="B1049" s="61" t="n"/>
      <c r="C1049" s="61" t="n"/>
      <c r="D1049" s="61" t="n"/>
      <c r="E1049" s="61" t="n"/>
      <c r="F1049" s="55" t="n"/>
      <c r="G1049" s="56" t="n"/>
      <c r="H1049" s="55" t="n"/>
      <c r="I1049" s="62" t="n"/>
      <c r="J1049" s="58" t="n"/>
      <c r="K1049" s="63">
        <f>IF(tblMovement[[#This Row],[Source]]="","",IFERROR(INDEX(tblSources[Type],MATCH(tblMovement[[#This Row],[Source]],tblSources[Source],0)),"?"))</f>
        <v/>
      </c>
      <c r="L1049" s="63">
        <f>IF(tblMovement[[#This Row],[Destination]]="","",IFERROR(INDEX(tblDestinations[Type],MATCH(tblMovement[[#This Row],[Destination]],tblDestinations[Destination],0)),"?"))</f>
        <v/>
      </c>
      <c r="M1049" s="64">
        <f>IF(tblMovement[[#This Row],[Material]]="","",IF(LEFT(tblMovement[[#This Row],[Material]],3)="Ore",1,0))</f>
        <v/>
      </c>
      <c r="N1049" s="59">
        <f>IF(OR(tblMovement[[#This Row],[Tonnes_t]]="",tblMovement[[#This Row],[Grade_gpt]]=""),0,tblMovement[[#This Row],[Tonnes_t]]*tblMovement[[#This Row],[Grade_gpt]]/cfg_TroyOz)</f>
        <v/>
      </c>
      <c r="O1049" s="59">
        <f>IF(tblMovement[[#This Row],[Is_Ore]]=1,tblMovement[[#This Row],[Contained_oz]],0)</f>
        <v/>
      </c>
    </row>
    <row r="1050">
      <c r="A1050" s="54" t="n"/>
      <c r="B1050" s="61" t="n"/>
      <c r="C1050" s="61" t="n"/>
      <c r="D1050" s="61" t="n"/>
      <c r="E1050" s="61" t="n"/>
      <c r="F1050" s="55" t="n"/>
      <c r="G1050" s="56" t="n"/>
      <c r="H1050" s="55" t="n"/>
      <c r="I1050" s="62" t="n"/>
      <c r="J1050" s="58" t="n"/>
      <c r="K1050" s="63">
        <f>IF(tblMovement[[#This Row],[Source]]="","",IFERROR(INDEX(tblSources[Type],MATCH(tblMovement[[#This Row],[Source]],tblSources[Source],0)),"?"))</f>
        <v/>
      </c>
      <c r="L1050" s="63">
        <f>IF(tblMovement[[#This Row],[Destination]]="","",IFERROR(INDEX(tblDestinations[Type],MATCH(tblMovement[[#This Row],[Destination]],tblDestinations[Destination],0)),"?"))</f>
        <v/>
      </c>
      <c r="M1050" s="64">
        <f>IF(tblMovement[[#This Row],[Material]]="","",IF(LEFT(tblMovement[[#This Row],[Material]],3)="Ore",1,0))</f>
        <v/>
      </c>
      <c r="N1050" s="59">
        <f>IF(OR(tblMovement[[#This Row],[Tonnes_t]]="",tblMovement[[#This Row],[Grade_gpt]]=""),0,tblMovement[[#This Row],[Tonnes_t]]*tblMovement[[#This Row],[Grade_gpt]]/cfg_TroyOz)</f>
        <v/>
      </c>
      <c r="O1050" s="59">
        <f>IF(tblMovement[[#This Row],[Is_Ore]]=1,tblMovement[[#This Row],[Contained_oz]],0)</f>
        <v/>
      </c>
    </row>
    <row r="1051">
      <c r="A1051" s="54" t="n"/>
      <c r="B1051" s="61" t="n"/>
      <c r="C1051" s="61" t="n"/>
      <c r="D1051" s="61" t="n"/>
      <c r="E1051" s="61" t="n"/>
      <c r="F1051" s="55" t="n"/>
      <c r="G1051" s="56" t="n"/>
      <c r="H1051" s="55" t="n"/>
      <c r="I1051" s="62" t="n"/>
      <c r="J1051" s="58" t="n"/>
      <c r="K1051" s="63">
        <f>IF(tblMovement[[#This Row],[Source]]="","",IFERROR(INDEX(tblSources[Type],MATCH(tblMovement[[#This Row],[Source]],tblSources[Source],0)),"?"))</f>
        <v/>
      </c>
      <c r="L1051" s="63">
        <f>IF(tblMovement[[#This Row],[Destination]]="","",IFERROR(INDEX(tblDestinations[Type],MATCH(tblMovement[[#This Row],[Destination]],tblDestinations[Destination],0)),"?"))</f>
        <v/>
      </c>
      <c r="M1051" s="64">
        <f>IF(tblMovement[[#This Row],[Material]]="","",IF(LEFT(tblMovement[[#This Row],[Material]],3)="Ore",1,0))</f>
        <v/>
      </c>
      <c r="N1051" s="59">
        <f>IF(OR(tblMovement[[#This Row],[Tonnes_t]]="",tblMovement[[#This Row],[Grade_gpt]]=""),0,tblMovement[[#This Row],[Tonnes_t]]*tblMovement[[#This Row],[Grade_gpt]]/cfg_TroyOz)</f>
        <v/>
      </c>
      <c r="O1051" s="59">
        <f>IF(tblMovement[[#This Row],[Is_Ore]]=1,tblMovement[[#This Row],[Contained_oz]],0)</f>
        <v/>
      </c>
    </row>
    <row r="1052">
      <c r="A1052" s="54" t="n"/>
      <c r="B1052" s="61" t="n"/>
      <c r="C1052" s="61" t="n"/>
      <c r="D1052" s="61" t="n"/>
      <c r="E1052" s="61" t="n"/>
      <c r="F1052" s="55" t="n"/>
      <c r="G1052" s="56" t="n"/>
      <c r="H1052" s="55" t="n"/>
      <c r="I1052" s="62" t="n"/>
      <c r="J1052" s="58" t="n"/>
      <c r="K1052" s="63">
        <f>IF(tblMovement[[#This Row],[Source]]="","",IFERROR(INDEX(tblSources[Type],MATCH(tblMovement[[#This Row],[Source]],tblSources[Source],0)),"?"))</f>
        <v/>
      </c>
      <c r="L1052" s="63">
        <f>IF(tblMovement[[#This Row],[Destination]]="","",IFERROR(INDEX(tblDestinations[Type],MATCH(tblMovement[[#This Row],[Destination]],tblDestinations[Destination],0)),"?"))</f>
        <v/>
      </c>
      <c r="M1052" s="64">
        <f>IF(tblMovement[[#This Row],[Material]]="","",IF(LEFT(tblMovement[[#This Row],[Material]],3)="Ore",1,0))</f>
        <v/>
      </c>
      <c r="N1052" s="59">
        <f>IF(OR(tblMovement[[#This Row],[Tonnes_t]]="",tblMovement[[#This Row],[Grade_gpt]]=""),0,tblMovement[[#This Row],[Tonnes_t]]*tblMovement[[#This Row],[Grade_gpt]]/cfg_TroyOz)</f>
        <v/>
      </c>
      <c r="O1052" s="59">
        <f>IF(tblMovement[[#This Row],[Is_Ore]]=1,tblMovement[[#This Row],[Contained_oz]],0)</f>
        <v/>
      </c>
    </row>
    <row r="1053">
      <c r="A1053" s="54" t="n"/>
      <c r="B1053" s="61" t="n"/>
      <c r="C1053" s="61" t="n"/>
      <c r="D1053" s="61" t="n"/>
      <c r="E1053" s="61" t="n"/>
      <c r="F1053" s="55" t="n"/>
      <c r="G1053" s="56" t="n"/>
      <c r="H1053" s="55" t="n"/>
      <c r="I1053" s="62" t="n"/>
      <c r="J1053" s="58" t="n"/>
      <c r="K1053" s="63">
        <f>IF(tblMovement[[#This Row],[Source]]="","",IFERROR(INDEX(tblSources[Type],MATCH(tblMovement[[#This Row],[Source]],tblSources[Source],0)),"?"))</f>
        <v/>
      </c>
      <c r="L1053" s="63">
        <f>IF(tblMovement[[#This Row],[Destination]]="","",IFERROR(INDEX(tblDestinations[Type],MATCH(tblMovement[[#This Row],[Destination]],tblDestinations[Destination],0)),"?"))</f>
        <v/>
      </c>
      <c r="M1053" s="64">
        <f>IF(tblMovement[[#This Row],[Material]]="","",IF(LEFT(tblMovement[[#This Row],[Material]],3)="Ore",1,0))</f>
        <v/>
      </c>
      <c r="N1053" s="59">
        <f>IF(OR(tblMovement[[#This Row],[Tonnes_t]]="",tblMovement[[#This Row],[Grade_gpt]]=""),0,tblMovement[[#This Row],[Tonnes_t]]*tblMovement[[#This Row],[Grade_gpt]]/cfg_TroyOz)</f>
        <v/>
      </c>
      <c r="O1053" s="59">
        <f>IF(tblMovement[[#This Row],[Is_Ore]]=1,tblMovement[[#This Row],[Contained_oz]],0)</f>
        <v/>
      </c>
    </row>
    <row r="1054">
      <c r="A1054" s="54" t="n"/>
      <c r="B1054" s="61" t="n"/>
      <c r="C1054" s="61" t="n"/>
      <c r="D1054" s="61" t="n"/>
      <c r="E1054" s="61" t="n"/>
      <c r="F1054" s="55" t="n"/>
      <c r="G1054" s="56" t="n"/>
      <c r="H1054" s="55" t="n"/>
      <c r="I1054" s="62" t="n"/>
      <c r="J1054" s="58" t="n"/>
      <c r="K1054" s="63">
        <f>IF(tblMovement[[#This Row],[Source]]="","",IFERROR(INDEX(tblSources[Type],MATCH(tblMovement[[#This Row],[Source]],tblSources[Source],0)),"?"))</f>
        <v/>
      </c>
      <c r="L1054" s="63">
        <f>IF(tblMovement[[#This Row],[Destination]]="","",IFERROR(INDEX(tblDestinations[Type],MATCH(tblMovement[[#This Row],[Destination]],tblDestinations[Destination],0)),"?"))</f>
        <v/>
      </c>
      <c r="M1054" s="64">
        <f>IF(tblMovement[[#This Row],[Material]]="","",IF(LEFT(tblMovement[[#This Row],[Material]],3)="Ore",1,0))</f>
        <v/>
      </c>
      <c r="N1054" s="59">
        <f>IF(OR(tblMovement[[#This Row],[Tonnes_t]]="",tblMovement[[#This Row],[Grade_gpt]]=""),0,tblMovement[[#This Row],[Tonnes_t]]*tblMovement[[#This Row],[Grade_gpt]]/cfg_TroyOz)</f>
        <v/>
      </c>
      <c r="O1054" s="59">
        <f>IF(tblMovement[[#This Row],[Is_Ore]]=1,tblMovement[[#This Row],[Contained_oz]],0)</f>
        <v/>
      </c>
    </row>
    <row r="1055">
      <c r="A1055" s="54" t="n"/>
      <c r="B1055" s="61" t="n"/>
      <c r="C1055" s="61" t="n"/>
      <c r="D1055" s="61" t="n"/>
      <c r="E1055" s="61" t="n"/>
      <c r="F1055" s="55" t="n"/>
      <c r="G1055" s="56" t="n"/>
      <c r="H1055" s="55" t="n"/>
      <c r="I1055" s="62" t="n"/>
      <c r="J1055" s="58" t="n"/>
      <c r="K1055" s="63">
        <f>IF(tblMovement[[#This Row],[Source]]="","",IFERROR(INDEX(tblSources[Type],MATCH(tblMovement[[#This Row],[Source]],tblSources[Source],0)),"?"))</f>
        <v/>
      </c>
      <c r="L1055" s="63">
        <f>IF(tblMovement[[#This Row],[Destination]]="","",IFERROR(INDEX(tblDestinations[Type],MATCH(tblMovement[[#This Row],[Destination]],tblDestinations[Destination],0)),"?"))</f>
        <v/>
      </c>
      <c r="M1055" s="64">
        <f>IF(tblMovement[[#This Row],[Material]]="","",IF(LEFT(tblMovement[[#This Row],[Material]],3)="Ore",1,0))</f>
        <v/>
      </c>
      <c r="N1055" s="59">
        <f>IF(OR(tblMovement[[#This Row],[Tonnes_t]]="",tblMovement[[#This Row],[Grade_gpt]]=""),0,tblMovement[[#This Row],[Tonnes_t]]*tblMovement[[#This Row],[Grade_gpt]]/cfg_TroyOz)</f>
        <v/>
      </c>
      <c r="O1055" s="59">
        <f>IF(tblMovement[[#This Row],[Is_Ore]]=1,tblMovement[[#This Row],[Contained_oz]],0)</f>
        <v/>
      </c>
    </row>
    <row r="1056">
      <c r="A1056" s="54" t="n"/>
      <c r="B1056" s="61" t="n"/>
      <c r="C1056" s="61" t="n"/>
      <c r="D1056" s="61" t="n"/>
      <c r="E1056" s="61" t="n"/>
      <c r="F1056" s="55" t="n"/>
      <c r="G1056" s="56" t="n"/>
      <c r="H1056" s="55" t="n"/>
      <c r="I1056" s="62" t="n"/>
      <c r="J1056" s="58" t="n"/>
      <c r="K1056" s="63">
        <f>IF(tblMovement[[#This Row],[Source]]="","",IFERROR(INDEX(tblSources[Type],MATCH(tblMovement[[#This Row],[Source]],tblSources[Source],0)),"?"))</f>
        <v/>
      </c>
      <c r="L1056" s="63">
        <f>IF(tblMovement[[#This Row],[Destination]]="","",IFERROR(INDEX(tblDestinations[Type],MATCH(tblMovement[[#This Row],[Destination]],tblDestinations[Destination],0)),"?"))</f>
        <v/>
      </c>
      <c r="M1056" s="64">
        <f>IF(tblMovement[[#This Row],[Material]]="","",IF(LEFT(tblMovement[[#This Row],[Material]],3)="Ore",1,0))</f>
        <v/>
      </c>
      <c r="N1056" s="59">
        <f>IF(OR(tblMovement[[#This Row],[Tonnes_t]]="",tblMovement[[#This Row],[Grade_gpt]]=""),0,tblMovement[[#This Row],[Tonnes_t]]*tblMovement[[#This Row],[Grade_gpt]]/cfg_TroyOz)</f>
        <v/>
      </c>
      <c r="O1056" s="59">
        <f>IF(tblMovement[[#This Row],[Is_Ore]]=1,tblMovement[[#This Row],[Contained_oz]],0)</f>
        <v/>
      </c>
    </row>
    <row r="1057">
      <c r="A1057" s="54" t="n"/>
      <c r="B1057" s="61" t="n"/>
      <c r="C1057" s="61" t="n"/>
      <c r="D1057" s="61" t="n"/>
      <c r="E1057" s="61" t="n"/>
      <c r="F1057" s="55" t="n"/>
      <c r="G1057" s="56" t="n"/>
      <c r="H1057" s="55" t="n"/>
      <c r="I1057" s="62" t="n"/>
      <c r="J1057" s="58" t="n"/>
      <c r="K1057" s="63">
        <f>IF(tblMovement[[#This Row],[Source]]="","",IFERROR(INDEX(tblSources[Type],MATCH(tblMovement[[#This Row],[Source]],tblSources[Source],0)),"?"))</f>
        <v/>
      </c>
      <c r="L1057" s="63">
        <f>IF(tblMovement[[#This Row],[Destination]]="","",IFERROR(INDEX(tblDestinations[Type],MATCH(tblMovement[[#This Row],[Destination]],tblDestinations[Destination],0)),"?"))</f>
        <v/>
      </c>
      <c r="M1057" s="64">
        <f>IF(tblMovement[[#This Row],[Material]]="","",IF(LEFT(tblMovement[[#This Row],[Material]],3)="Ore",1,0))</f>
        <v/>
      </c>
      <c r="N1057" s="59">
        <f>IF(OR(tblMovement[[#This Row],[Tonnes_t]]="",tblMovement[[#This Row],[Grade_gpt]]=""),0,tblMovement[[#This Row],[Tonnes_t]]*tblMovement[[#This Row],[Grade_gpt]]/cfg_TroyOz)</f>
        <v/>
      </c>
      <c r="O1057" s="59">
        <f>IF(tblMovement[[#This Row],[Is_Ore]]=1,tblMovement[[#This Row],[Contained_oz]],0)</f>
        <v/>
      </c>
    </row>
    <row r="1058">
      <c r="A1058" s="54" t="n"/>
      <c r="B1058" s="61" t="n"/>
      <c r="C1058" s="61" t="n"/>
      <c r="D1058" s="61" t="n"/>
      <c r="E1058" s="61" t="n"/>
      <c r="F1058" s="55" t="n"/>
      <c r="G1058" s="56" t="n"/>
      <c r="H1058" s="55" t="n"/>
      <c r="I1058" s="62" t="n"/>
      <c r="J1058" s="58" t="n"/>
      <c r="K1058" s="63">
        <f>IF(tblMovement[[#This Row],[Source]]="","",IFERROR(INDEX(tblSources[Type],MATCH(tblMovement[[#This Row],[Source]],tblSources[Source],0)),"?"))</f>
        <v/>
      </c>
      <c r="L1058" s="63">
        <f>IF(tblMovement[[#This Row],[Destination]]="","",IFERROR(INDEX(tblDestinations[Type],MATCH(tblMovement[[#This Row],[Destination]],tblDestinations[Destination],0)),"?"))</f>
        <v/>
      </c>
      <c r="M1058" s="64">
        <f>IF(tblMovement[[#This Row],[Material]]="","",IF(LEFT(tblMovement[[#This Row],[Material]],3)="Ore",1,0))</f>
        <v/>
      </c>
      <c r="N1058" s="59">
        <f>IF(OR(tblMovement[[#This Row],[Tonnes_t]]="",tblMovement[[#This Row],[Grade_gpt]]=""),0,tblMovement[[#This Row],[Tonnes_t]]*tblMovement[[#This Row],[Grade_gpt]]/cfg_TroyOz)</f>
        <v/>
      </c>
      <c r="O1058" s="59">
        <f>IF(tblMovement[[#This Row],[Is_Ore]]=1,tblMovement[[#This Row],[Contained_oz]],0)</f>
        <v/>
      </c>
    </row>
    <row r="1059">
      <c r="A1059" s="54" t="n"/>
      <c r="B1059" s="61" t="n"/>
      <c r="C1059" s="61" t="n"/>
      <c r="D1059" s="61" t="n"/>
      <c r="E1059" s="61" t="n"/>
      <c r="F1059" s="55" t="n"/>
      <c r="G1059" s="56" t="n"/>
      <c r="H1059" s="55" t="n"/>
      <c r="I1059" s="62" t="n"/>
      <c r="J1059" s="58" t="n"/>
      <c r="K1059" s="63">
        <f>IF(tblMovement[[#This Row],[Source]]="","",IFERROR(INDEX(tblSources[Type],MATCH(tblMovement[[#This Row],[Source]],tblSources[Source],0)),"?"))</f>
        <v/>
      </c>
      <c r="L1059" s="63">
        <f>IF(tblMovement[[#This Row],[Destination]]="","",IFERROR(INDEX(tblDestinations[Type],MATCH(tblMovement[[#This Row],[Destination]],tblDestinations[Destination],0)),"?"))</f>
        <v/>
      </c>
      <c r="M1059" s="64">
        <f>IF(tblMovement[[#This Row],[Material]]="","",IF(LEFT(tblMovement[[#This Row],[Material]],3)="Ore",1,0))</f>
        <v/>
      </c>
      <c r="N1059" s="59">
        <f>IF(OR(tblMovement[[#This Row],[Tonnes_t]]="",tblMovement[[#This Row],[Grade_gpt]]=""),0,tblMovement[[#This Row],[Tonnes_t]]*tblMovement[[#This Row],[Grade_gpt]]/cfg_TroyOz)</f>
        <v/>
      </c>
      <c r="O1059" s="59">
        <f>IF(tblMovement[[#This Row],[Is_Ore]]=1,tblMovement[[#This Row],[Contained_oz]],0)</f>
        <v/>
      </c>
    </row>
    <row r="1060">
      <c r="A1060" s="54" t="n"/>
      <c r="B1060" s="61" t="n"/>
      <c r="C1060" s="61" t="n"/>
      <c r="D1060" s="61" t="n"/>
      <c r="E1060" s="61" t="n"/>
      <c r="F1060" s="55" t="n"/>
      <c r="G1060" s="56" t="n"/>
      <c r="H1060" s="55" t="n"/>
      <c r="I1060" s="62" t="n"/>
      <c r="J1060" s="58" t="n"/>
      <c r="K1060" s="63">
        <f>IF(tblMovement[[#This Row],[Source]]="","",IFERROR(INDEX(tblSources[Type],MATCH(tblMovement[[#This Row],[Source]],tblSources[Source],0)),"?"))</f>
        <v/>
      </c>
      <c r="L1060" s="63">
        <f>IF(tblMovement[[#This Row],[Destination]]="","",IFERROR(INDEX(tblDestinations[Type],MATCH(tblMovement[[#This Row],[Destination]],tblDestinations[Destination],0)),"?"))</f>
        <v/>
      </c>
      <c r="M1060" s="64">
        <f>IF(tblMovement[[#This Row],[Material]]="","",IF(LEFT(tblMovement[[#This Row],[Material]],3)="Ore",1,0))</f>
        <v/>
      </c>
      <c r="N1060" s="59">
        <f>IF(OR(tblMovement[[#This Row],[Tonnes_t]]="",tblMovement[[#This Row],[Grade_gpt]]=""),0,tblMovement[[#This Row],[Tonnes_t]]*tblMovement[[#This Row],[Grade_gpt]]/cfg_TroyOz)</f>
        <v/>
      </c>
      <c r="O1060" s="59">
        <f>IF(tblMovement[[#This Row],[Is_Ore]]=1,tblMovement[[#This Row],[Contained_oz]],0)</f>
        <v/>
      </c>
    </row>
    <row r="1061">
      <c r="A1061" s="54" t="n"/>
      <c r="B1061" s="61" t="n"/>
      <c r="C1061" s="61" t="n"/>
      <c r="D1061" s="61" t="n"/>
      <c r="E1061" s="61" t="n"/>
      <c r="F1061" s="55" t="n"/>
      <c r="G1061" s="56" t="n"/>
      <c r="H1061" s="55" t="n"/>
      <c r="I1061" s="62" t="n"/>
      <c r="J1061" s="58" t="n"/>
      <c r="K1061" s="63">
        <f>IF(tblMovement[[#This Row],[Source]]="","",IFERROR(INDEX(tblSources[Type],MATCH(tblMovement[[#This Row],[Source]],tblSources[Source],0)),"?"))</f>
        <v/>
      </c>
      <c r="L1061" s="63">
        <f>IF(tblMovement[[#This Row],[Destination]]="","",IFERROR(INDEX(tblDestinations[Type],MATCH(tblMovement[[#This Row],[Destination]],tblDestinations[Destination],0)),"?"))</f>
        <v/>
      </c>
      <c r="M1061" s="64">
        <f>IF(tblMovement[[#This Row],[Material]]="","",IF(LEFT(tblMovement[[#This Row],[Material]],3)="Ore",1,0))</f>
        <v/>
      </c>
      <c r="N1061" s="59">
        <f>IF(OR(tblMovement[[#This Row],[Tonnes_t]]="",tblMovement[[#This Row],[Grade_gpt]]=""),0,tblMovement[[#This Row],[Tonnes_t]]*tblMovement[[#This Row],[Grade_gpt]]/cfg_TroyOz)</f>
        <v/>
      </c>
      <c r="O1061" s="59">
        <f>IF(tblMovement[[#This Row],[Is_Ore]]=1,tblMovement[[#This Row],[Contained_oz]],0)</f>
        <v/>
      </c>
    </row>
    <row r="1062">
      <c r="A1062" s="54" t="n"/>
      <c r="B1062" s="61" t="n"/>
      <c r="C1062" s="61" t="n"/>
      <c r="D1062" s="61" t="n"/>
      <c r="E1062" s="61" t="n"/>
      <c r="F1062" s="55" t="n"/>
      <c r="G1062" s="56" t="n"/>
      <c r="H1062" s="55" t="n"/>
      <c r="I1062" s="62" t="n"/>
      <c r="J1062" s="58" t="n"/>
      <c r="K1062" s="63">
        <f>IF(tblMovement[[#This Row],[Source]]="","",IFERROR(INDEX(tblSources[Type],MATCH(tblMovement[[#This Row],[Source]],tblSources[Source],0)),"?"))</f>
        <v/>
      </c>
      <c r="L1062" s="63">
        <f>IF(tblMovement[[#This Row],[Destination]]="","",IFERROR(INDEX(tblDestinations[Type],MATCH(tblMovement[[#This Row],[Destination]],tblDestinations[Destination],0)),"?"))</f>
        <v/>
      </c>
      <c r="M1062" s="64">
        <f>IF(tblMovement[[#This Row],[Material]]="","",IF(LEFT(tblMovement[[#This Row],[Material]],3)="Ore",1,0))</f>
        <v/>
      </c>
      <c r="N1062" s="59">
        <f>IF(OR(tblMovement[[#This Row],[Tonnes_t]]="",tblMovement[[#This Row],[Grade_gpt]]=""),0,tblMovement[[#This Row],[Tonnes_t]]*tblMovement[[#This Row],[Grade_gpt]]/cfg_TroyOz)</f>
        <v/>
      </c>
      <c r="O1062" s="59">
        <f>IF(tblMovement[[#This Row],[Is_Ore]]=1,tblMovement[[#This Row],[Contained_oz]],0)</f>
        <v/>
      </c>
    </row>
    <row r="1063">
      <c r="A1063" s="54" t="n"/>
      <c r="B1063" s="61" t="n"/>
      <c r="C1063" s="61" t="n"/>
      <c r="D1063" s="61" t="n"/>
      <c r="E1063" s="61" t="n"/>
      <c r="F1063" s="55" t="n"/>
      <c r="G1063" s="56" t="n"/>
      <c r="H1063" s="55" t="n"/>
      <c r="I1063" s="62" t="n"/>
      <c r="J1063" s="58" t="n"/>
      <c r="K1063" s="63">
        <f>IF(tblMovement[[#This Row],[Source]]="","",IFERROR(INDEX(tblSources[Type],MATCH(tblMovement[[#This Row],[Source]],tblSources[Source],0)),"?"))</f>
        <v/>
      </c>
      <c r="L1063" s="63">
        <f>IF(tblMovement[[#This Row],[Destination]]="","",IFERROR(INDEX(tblDestinations[Type],MATCH(tblMovement[[#This Row],[Destination]],tblDestinations[Destination],0)),"?"))</f>
        <v/>
      </c>
      <c r="M1063" s="64">
        <f>IF(tblMovement[[#This Row],[Material]]="","",IF(LEFT(tblMovement[[#This Row],[Material]],3)="Ore",1,0))</f>
        <v/>
      </c>
      <c r="N1063" s="59">
        <f>IF(OR(tblMovement[[#This Row],[Tonnes_t]]="",tblMovement[[#This Row],[Grade_gpt]]=""),0,tblMovement[[#This Row],[Tonnes_t]]*tblMovement[[#This Row],[Grade_gpt]]/cfg_TroyOz)</f>
        <v/>
      </c>
      <c r="O1063" s="59">
        <f>IF(tblMovement[[#This Row],[Is_Ore]]=1,tblMovement[[#This Row],[Contained_oz]],0)</f>
        <v/>
      </c>
    </row>
    <row r="1064">
      <c r="A1064" s="54" t="n"/>
      <c r="B1064" s="61" t="n"/>
      <c r="C1064" s="61" t="n"/>
      <c r="D1064" s="61" t="n"/>
      <c r="E1064" s="61" t="n"/>
      <c r="F1064" s="55" t="n"/>
      <c r="G1064" s="56" t="n"/>
      <c r="H1064" s="55" t="n"/>
      <c r="I1064" s="62" t="n"/>
      <c r="J1064" s="58" t="n"/>
      <c r="K1064" s="63">
        <f>IF(tblMovement[[#This Row],[Source]]="","",IFERROR(INDEX(tblSources[Type],MATCH(tblMovement[[#This Row],[Source]],tblSources[Source],0)),"?"))</f>
        <v/>
      </c>
      <c r="L1064" s="63">
        <f>IF(tblMovement[[#This Row],[Destination]]="","",IFERROR(INDEX(tblDestinations[Type],MATCH(tblMovement[[#This Row],[Destination]],tblDestinations[Destination],0)),"?"))</f>
        <v/>
      </c>
      <c r="M1064" s="64">
        <f>IF(tblMovement[[#This Row],[Material]]="","",IF(LEFT(tblMovement[[#This Row],[Material]],3)="Ore",1,0))</f>
        <v/>
      </c>
      <c r="N1064" s="59">
        <f>IF(OR(tblMovement[[#This Row],[Tonnes_t]]="",tblMovement[[#This Row],[Grade_gpt]]=""),0,tblMovement[[#This Row],[Tonnes_t]]*tblMovement[[#This Row],[Grade_gpt]]/cfg_TroyOz)</f>
        <v/>
      </c>
      <c r="O1064" s="59">
        <f>IF(tblMovement[[#This Row],[Is_Ore]]=1,tblMovement[[#This Row],[Contained_oz]],0)</f>
        <v/>
      </c>
    </row>
    <row r="1065">
      <c r="A1065" s="54" t="n"/>
      <c r="B1065" s="61" t="n"/>
      <c r="C1065" s="61" t="n"/>
      <c r="D1065" s="61" t="n"/>
      <c r="E1065" s="61" t="n"/>
      <c r="F1065" s="55" t="n"/>
      <c r="G1065" s="56" t="n"/>
      <c r="H1065" s="55" t="n"/>
      <c r="I1065" s="62" t="n"/>
      <c r="J1065" s="58" t="n"/>
      <c r="K1065" s="63">
        <f>IF(tblMovement[[#This Row],[Source]]="","",IFERROR(INDEX(tblSources[Type],MATCH(tblMovement[[#This Row],[Source]],tblSources[Source],0)),"?"))</f>
        <v/>
      </c>
      <c r="L1065" s="63">
        <f>IF(tblMovement[[#This Row],[Destination]]="","",IFERROR(INDEX(tblDestinations[Type],MATCH(tblMovement[[#This Row],[Destination]],tblDestinations[Destination],0)),"?"))</f>
        <v/>
      </c>
      <c r="M1065" s="64">
        <f>IF(tblMovement[[#This Row],[Material]]="","",IF(LEFT(tblMovement[[#This Row],[Material]],3)="Ore",1,0))</f>
        <v/>
      </c>
      <c r="N1065" s="59">
        <f>IF(OR(tblMovement[[#This Row],[Tonnes_t]]="",tblMovement[[#This Row],[Grade_gpt]]=""),0,tblMovement[[#This Row],[Tonnes_t]]*tblMovement[[#This Row],[Grade_gpt]]/cfg_TroyOz)</f>
        <v/>
      </c>
      <c r="O1065" s="59">
        <f>IF(tblMovement[[#This Row],[Is_Ore]]=1,tblMovement[[#This Row],[Contained_oz]],0)</f>
        <v/>
      </c>
    </row>
    <row r="1066">
      <c r="A1066" s="54" t="n"/>
      <c r="B1066" s="61" t="n"/>
      <c r="C1066" s="61" t="n"/>
      <c r="D1066" s="61" t="n"/>
      <c r="E1066" s="61" t="n"/>
      <c r="F1066" s="55" t="n"/>
      <c r="G1066" s="56" t="n"/>
      <c r="H1066" s="55" t="n"/>
      <c r="I1066" s="62" t="n"/>
      <c r="J1066" s="58" t="n"/>
      <c r="K1066" s="63">
        <f>IF(tblMovement[[#This Row],[Source]]="","",IFERROR(INDEX(tblSources[Type],MATCH(tblMovement[[#This Row],[Source]],tblSources[Source],0)),"?"))</f>
        <v/>
      </c>
      <c r="L1066" s="63">
        <f>IF(tblMovement[[#This Row],[Destination]]="","",IFERROR(INDEX(tblDestinations[Type],MATCH(tblMovement[[#This Row],[Destination]],tblDestinations[Destination],0)),"?"))</f>
        <v/>
      </c>
      <c r="M1066" s="64">
        <f>IF(tblMovement[[#This Row],[Material]]="","",IF(LEFT(tblMovement[[#This Row],[Material]],3)="Ore",1,0))</f>
        <v/>
      </c>
      <c r="N1066" s="59">
        <f>IF(OR(tblMovement[[#This Row],[Tonnes_t]]="",tblMovement[[#This Row],[Grade_gpt]]=""),0,tblMovement[[#This Row],[Tonnes_t]]*tblMovement[[#This Row],[Grade_gpt]]/cfg_TroyOz)</f>
        <v/>
      </c>
      <c r="O1066" s="59">
        <f>IF(tblMovement[[#This Row],[Is_Ore]]=1,tblMovement[[#This Row],[Contained_oz]],0)</f>
        <v/>
      </c>
    </row>
    <row r="1067">
      <c r="A1067" s="54" t="n"/>
      <c r="B1067" s="61" t="n"/>
      <c r="C1067" s="61" t="n"/>
      <c r="D1067" s="61" t="n"/>
      <c r="E1067" s="61" t="n"/>
      <c r="F1067" s="55" t="n"/>
      <c r="G1067" s="56" t="n"/>
      <c r="H1067" s="55" t="n"/>
      <c r="I1067" s="62" t="n"/>
      <c r="J1067" s="58" t="n"/>
      <c r="K1067" s="63">
        <f>IF(tblMovement[[#This Row],[Source]]="","",IFERROR(INDEX(tblSources[Type],MATCH(tblMovement[[#This Row],[Source]],tblSources[Source],0)),"?"))</f>
        <v/>
      </c>
      <c r="L1067" s="63">
        <f>IF(tblMovement[[#This Row],[Destination]]="","",IFERROR(INDEX(tblDestinations[Type],MATCH(tblMovement[[#This Row],[Destination]],tblDestinations[Destination],0)),"?"))</f>
        <v/>
      </c>
      <c r="M1067" s="64">
        <f>IF(tblMovement[[#This Row],[Material]]="","",IF(LEFT(tblMovement[[#This Row],[Material]],3)="Ore",1,0))</f>
        <v/>
      </c>
      <c r="N1067" s="59">
        <f>IF(OR(tblMovement[[#This Row],[Tonnes_t]]="",tblMovement[[#This Row],[Grade_gpt]]=""),0,tblMovement[[#This Row],[Tonnes_t]]*tblMovement[[#This Row],[Grade_gpt]]/cfg_TroyOz)</f>
        <v/>
      </c>
      <c r="O1067" s="59">
        <f>IF(tblMovement[[#This Row],[Is_Ore]]=1,tblMovement[[#This Row],[Contained_oz]],0)</f>
        <v/>
      </c>
    </row>
    <row r="1068">
      <c r="A1068" s="54" t="n"/>
      <c r="B1068" s="61" t="n"/>
      <c r="C1068" s="61" t="n"/>
      <c r="D1068" s="61" t="n"/>
      <c r="E1068" s="61" t="n"/>
      <c r="F1068" s="55" t="n"/>
      <c r="G1068" s="56" t="n"/>
      <c r="H1068" s="55" t="n"/>
      <c r="I1068" s="62" t="n"/>
      <c r="J1068" s="58" t="n"/>
      <c r="K1068" s="63">
        <f>IF(tblMovement[[#This Row],[Source]]="","",IFERROR(INDEX(tblSources[Type],MATCH(tblMovement[[#This Row],[Source]],tblSources[Source],0)),"?"))</f>
        <v/>
      </c>
      <c r="L1068" s="63">
        <f>IF(tblMovement[[#This Row],[Destination]]="","",IFERROR(INDEX(tblDestinations[Type],MATCH(tblMovement[[#This Row],[Destination]],tblDestinations[Destination],0)),"?"))</f>
        <v/>
      </c>
      <c r="M1068" s="64">
        <f>IF(tblMovement[[#This Row],[Material]]="","",IF(LEFT(tblMovement[[#This Row],[Material]],3)="Ore",1,0))</f>
        <v/>
      </c>
      <c r="N1068" s="59">
        <f>IF(OR(tblMovement[[#This Row],[Tonnes_t]]="",tblMovement[[#This Row],[Grade_gpt]]=""),0,tblMovement[[#This Row],[Tonnes_t]]*tblMovement[[#This Row],[Grade_gpt]]/cfg_TroyOz)</f>
        <v/>
      </c>
      <c r="O1068" s="59">
        <f>IF(tblMovement[[#This Row],[Is_Ore]]=1,tblMovement[[#This Row],[Contained_oz]],0)</f>
        <v/>
      </c>
    </row>
    <row r="1069">
      <c r="A1069" s="54" t="n"/>
      <c r="B1069" s="61" t="n"/>
      <c r="C1069" s="61" t="n"/>
      <c r="D1069" s="61" t="n"/>
      <c r="E1069" s="61" t="n"/>
      <c r="F1069" s="55" t="n"/>
      <c r="G1069" s="56" t="n"/>
      <c r="H1069" s="55" t="n"/>
      <c r="I1069" s="62" t="n"/>
      <c r="J1069" s="58" t="n"/>
      <c r="K1069" s="63">
        <f>IF(tblMovement[[#This Row],[Source]]="","",IFERROR(INDEX(tblSources[Type],MATCH(tblMovement[[#This Row],[Source]],tblSources[Source],0)),"?"))</f>
        <v/>
      </c>
      <c r="L1069" s="63">
        <f>IF(tblMovement[[#This Row],[Destination]]="","",IFERROR(INDEX(tblDestinations[Type],MATCH(tblMovement[[#This Row],[Destination]],tblDestinations[Destination],0)),"?"))</f>
        <v/>
      </c>
      <c r="M1069" s="64">
        <f>IF(tblMovement[[#This Row],[Material]]="","",IF(LEFT(tblMovement[[#This Row],[Material]],3)="Ore",1,0))</f>
        <v/>
      </c>
      <c r="N1069" s="59">
        <f>IF(OR(tblMovement[[#This Row],[Tonnes_t]]="",tblMovement[[#This Row],[Grade_gpt]]=""),0,tblMovement[[#This Row],[Tonnes_t]]*tblMovement[[#This Row],[Grade_gpt]]/cfg_TroyOz)</f>
        <v/>
      </c>
      <c r="O1069" s="59">
        <f>IF(tblMovement[[#This Row],[Is_Ore]]=1,tblMovement[[#This Row],[Contained_oz]],0)</f>
        <v/>
      </c>
    </row>
    <row r="1070">
      <c r="A1070" s="54" t="n"/>
      <c r="B1070" s="61" t="n"/>
      <c r="C1070" s="61" t="n"/>
      <c r="D1070" s="61" t="n"/>
      <c r="E1070" s="61" t="n"/>
      <c r="F1070" s="55" t="n"/>
      <c r="G1070" s="56" t="n"/>
      <c r="H1070" s="55" t="n"/>
      <c r="I1070" s="62" t="n"/>
      <c r="J1070" s="58" t="n"/>
      <c r="K1070" s="63">
        <f>IF(tblMovement[[#This Row],[Source]]="","",IFERROR(INDEX(tblSources[Type],MATCH(tblMovement[[#This Row],[Source]],tblSources[Source],0)),"?"))</f>
        <v/>
      </c>
      <c r="L1070" s="63">
        <f>IF(tblMovement[[#This Row],[Destination]]="","",IFERROR(INDEX(tblDestinations[Type],MATCH(tblMovement[[#This Row],[Destination]],tblDestinations[Destination],0)),"?"))</f>
        <v/>
      </c>
      <c r="M1070" s="64">
        <f>IF(tblMovement[[#This Row],[Material]]="","",IF(LEFT(tblMovement[[#This Row],[Material]],3)="Ore",1,0))</f>
        <v/>
      </c>
      <c r="N1070" s="59">
        <f>IF(OR(tblMovement[[#This Row],[Tonnes_t]]="",tblMovement[[#This Row],[Grade_gpt]]=""),0,tblMovement[[#This Row],[Tonnes_t]]*tblMovement[[#This Row],[Grade_gpt]]/cfg_TroyOz)</f>
        <v/>
      </c>
      <c r="O1070" s="59">
        <f>IF(tblMovement[[#This Row],[Is_Ore]]=1,tblMovement[[#This Row],[Contained_oz]],0)</f>
        <v/>
      </c>
    </row>
    <row r="1071">
      <c r="A1071" s="54" t="n"/>
      <c r="B1071" s="61" t="n"/>
      <c r="C1071" s="61" t="n"/>
      <c r="D1071" s="61" t="n"/>
      <c r="E1071" s="61" t="n"/>
      <c r="F1071" s="55" t="n"/>
      <c r="G1071" s="56" t="n"/>
      <c r="H1071" s="55" t="n"/>
      <c r="I1071" s="62" t="n"/>
      <c r="J1071" s="58" t="n"/>
      <c r="K1071" s="63">
        <f>IF(tblMovement[[#This Row],[Source]]="","",IFERROR(INDEX(tblSources[Type],MATCH(tblMovement[[#This Row],[Source]],tblSources[Source],0)),"?"))</f>
        <v/>
      </c>
      <c r="L1071" s="63">
        <f>IF(tblMovement[[#This Row],[Destination]]="","",IFERROR(INDEX(tblDestinations[Type],MATCH(tblMovement[[#This Row],[Destination]],tblDestinations[Destination],0)),"?"))</f>
        <v/>
      </c>
      <c r="M1071" s="64">
        <f>IF(tblMovement[[#This Row],[Material]]="","",IF(LEFT(tblMovement[[#This Row],[Material]],3)="Ore",1,0))</f>
        <v/>
      </c>
      <c r="N1071" s="59">
        <f>IF(OR(tblMovement[[#This Row],[Tonnes_t]]="",tblMovement[[#This Row],[Grade_gpt]]=""),0,tblMovement[[#This Row],[Tonnes_t]]*tblMovement[[#This Row],[Grade_gpt]]/cfg_TroyOz)</f>
        <v/>
      </c>
      <c r="O1071" s="59">
        <f>IF(tblMovement[[#This Row],[Is_Ore]]=1,tblMovement[[#This Row],[Contained_oz]],0)</f>
        <v/>
      </c>
    </row>
    <row r="1072">
      <c r="A1072" s="54" t="n"/>
      <c r="B1072" s="61" t="n"/>
      <c r="C1072" s="61" t="n"/>
      <c r="D1072" s="61" t="n"/>
      <c r="E1072" s="61" t="n"/>
      <c r="F1072" s="55" t="n"/>
      <c r="G1072" s="56" t="n"/>
      <c r="H1072" s="55" t="n"/>
      <c r="I1072" s="62" t="n"/>
      <c r="J1072" s="58" t="n"/>
      <c r="K1072" s="63">
        <f>IF(tblMovement[[#This Row],[Source]]="","",IFERROR(INDEX(tblSources[Type],MATCH(tblMovement[[#This Row],[Source]],tblSources[Source],0)),"?"))</f>
        <v/>
      </c>
      <c r="L1072" s="63">
        <f>IF(tblMovement[[#This Row],[Destination]]="","",IFERROR(INDEX(tblDestinations[Type],MATCH(tblMovement[[#This Row],[Destination]],tblDestinations[Destination],0)),"?"))</f>
        <v/>
      </c>
      <c r="M1072" s="64">
        <f>IF(tblMovement[[#This Row],[Material]]="","",IF(LEFT(tblMovement[[#This Row],[Material]],3)="Ore",1,0))</f>
        <v/>
      </c>
      <c r="N1072" s="59">
        <f>IF(OR(tblMovement[[#This Row],[Tonnes_t]]="",tblMovement[[#This Row],[Grade_gpt]]=""),0,tblMovement[[#This Row],[Tonnes_t]]*tblMovement[[#This Row],[Grade_gpt]]/cfg_TroyOz)</f>
        <v/>
      </c>
      <c r="O1072" s="59">
        <f>IF(tblMovement[[#This Row],[Is_Ore]]=1,tblMovement[[#This Row],[Contained_oz]],0)</f>
        <v/>
      </c>
    </row>
    <row r="1073">
      <c r="A1073" s="54" t="n"/>
      <c r="B1073" s="61" t="n"/>
      <c r="C1073" s="61" t="n"/>
      <c r="D1073" s="61" t="n"/>
      <c r="E1073" s="61" t="n"/>
      <c r="F1073" s="55" t="n"/>
      <c r="G1073" s="56" t="n"/>
      <c r="H1073" s="55" t="n"/>
      <c r="I1073" s="62" t="n"/>
      <c r="J1073" s="58" t="n"/>
      <c r="K1073" s="63">
        <f>IF(tblMovement[[#This Row],[Source]]="","",IFERROR(INDEX(tblSources[Type],MATCH(tblMovement[[#This Row],[Source]],tblSources[Source],0)),"?"))</f>
        <v/>
      </c>
      <c r="L1073" s="63">
        <f>IF(tblMovement[[#This Row],[Destination]]="","",IFERROR(INDEX(tblDestinations[Type],MATCH(tblMovement[[#This Row],[Destination]],tblDestinations[Destination],0)),"?"))</f>
        <v/>
      </c>
      <c r="M1073" s="64">
        <f>IF(tblMovement[[#This Row],[Material]]="","",IF(LEFT(tblMovement[[#This Row],[Material]],3)="Ore",1,0))</f>
        <v/>
      </c>
      <c r="N1073" s="59">
        <f>IF(OR(tblMovement[[#This Row],[Tonnes_t]]="",tblMovement[[#This Row],[Grade_gpt]]=""),0,tblMovement[[#This Row],[Tonnes_t]]*tblMovement[[#This Row],[Grade_gpt]]/cfg_TroyOz)</f>
        <v/>
      </c>
      <c r="O1073" s="59">
        <f>IF(tblMovement[[#This Row],[Is_Ore]]=1,tblMovement[[#This Row],[Contained_oz]],0)</f>
        <v/>
      </c>
    </row>
    <row r="1074">
      <c r="A1074" s="54" t="n"/>
      <c r="B1074" s="61" t="n"/>
      <c r="C1074" s="61" t="n"/>
      <c r="D1074" s="61" t="n"/>
      <c r="E1074" s="61" t="n"/>
      <c r="F1074" s="55" t="n"/>
      <c r="G1074" s="56" t="n"/>
      <c r="H1074" s="55" t="n"/>
      <c r="I1074" s="62" t="n"/>
      <c r="J1074" s="58" t="n"/>
      <c r="K1074" s="63">
        <f>IF(tblMovement[[#This Row],[Source]]="","",IFERROR(INDEX(tblSources[Type],MATCH(tblMovement[[#This Row],[Source]],tblSources[Source],0)),"?"))</f>
        <v/>
      </c>
      <c r="L1074" s="63">
        <f>IF(tblMovement[[#This Row],[Destination]]="","",IFERROR(INDEX(tblDestinations[Type],MATCH(tblMovement[[#This Row],[Destination]],tblDestinations[Destination],0)),"?"))</f>
        <v/>
      </c>
      <c r="M1074" s="64">
        <f>IF(tblMovement[[#This Row],[Material]]="","",IF(LEFT(tblMovement[[#This Row],[Material]],3)="Ore",1,0))</f>
        <v/>
      </c>
      <c r="N1074" s="59">
        <f>IF(OR(tblMovement[[#This Row],[Tonnes_t]]="",tblMovement[[#This Row],[Grade_gpt]]=""),0,tblMovement[[#This Row],[Tonnes_t]]*tblMovement[[#This Row],[Grade_gpt]]/cfg_TroyOz)</f>
        <v/>
      </c>
      <c r="O1074" s="59">
        <f>IF(tblMovement[[#This Row],[Is_Ore]]=1,tblMovement[[#This Row],[Contained_oz]],0)</f>
        <v/>
      </c>
    </row>
    <row r="1075">
      <c r="A1075" s="54" t="n"/>
      <c r="B1075" s="61" t="n"/>
      <c r="C1075" s="61" t="n"/>
      <c r="D1075" s="61" t="n"/>
      <c r="E1075" s="61" t="n"/>
      <c r="F1075" s="55" t="n"/>
      <c r="G1075" s="56" t="n"/>
      <c r="H1075" s="55" t="n"/>
      <c r="I1075" s="62" t="n"/>
      <c r="J1075" s="58" t="n"/>
      <c r="K1075" s="63">
        <f>IF(tblMovement[[#This Row],[Source]]="","",IFERROR(INDEX(tblSources[Type],MATCH(tblMovement[[#This Row],[Source]],tblSources[Source],0)),"?"))</f>
        <v/>
      </c>
      <c r="L1075" s="63">
        <f>IF(tblMovement[[#This Row],[Destination]]="","",IFERROR(INDEX(tblDestinations[Type],MATCH(tblMovement[[#This Row],[Destination]],tblDestinations[Destination],0)),"?"))</f>
        <v/>
      </c>
      <c r="M1075" s="64">
        <f>IF(tblMovement[[#This Row],[Material]]="","",IF(LEFT(tblMovement[[#This Row],[Material]],3)="Ore",1,0))</f>
        <v/>
      </c>
      <c r="N1075" s="59">
        <f>IF(OR(tblMovement[[#This Row],[Tonnes_t]]="",tblMovement[[#This Row],[Grade_gpt]]=""),0,tblMovement[[#This Row],[Tonnes_t]]*tblMovement[[#This Row],[Grade_gpt]]/cfg_TroyOz)</f>
        <v/>
      </c>
      <c r="O1075" s="59">
        <f>IF(tblMovement[[#This Row],[Is_Ore]]=1,tblMovement[[#This Row],[Contained_oz]],0)</f>
        <v/>
      </c>
    </row>
    <row r="1076">
      <c r="A1076" s="54" t="n"/>
      <c r="B1076" s="61" t="n"/>
      <c r="C1076" s="61" t="n"/>
      <c r="D1076" s="61" t="n"/>
      <c r="E1076" s="61" t="n"/>
      <c r="F1076" s="55" t="n"/>
      <c r="G1076" s="56" t="n"/>
      <c r="H1076" s="55" t="n"/>
      <c r="I1076" s="62" t="n"/>
      <c r="J1076" s="58" t="n"/>
      <c r="K1076" s="63">
        <f>IF(tblMovement[[#This Row],[Source]]="","",IFERROR(INDEX(tblSources[Type],MATCH(tblMovement[[#This Row],[Source]],tblSources[Source],0)),"?"))</f>
        <v/>
      </c>
      <c r="L1076" s="63">
        <f>IF(tblMovement[[#This Row],[Destination]]="","",IFERROR(INDEX(tblDestinations[Type],MATCH(tblMovement[[#This Row],[Destination]],tblDestinations[Destination],0)),"?"))</f>
        <v/>
      </c>
      <c r="M1076" s="64">
        <f>IF(tblMovement[[#This Row],[Material]]="","",IF(LEFT(tblMovement[[#This Row],[Material]],3)="Ore",1,0))</f>
        <v/>
      </c>
      <c r="N1076" s="59">
        <f>IF(OR(tblMovement[[#This Row],[Tonnes_t]]="",tblMovement[[#This Row],[Grade_gpt]]=""),0,tblMovement[[#This Row],[Tonnes_t]]*tblMovement[[#This Row],[Grade_gpt]]/cfg_TroyOz)</f>
        <v/>
      </c>
      <c r="O1076" s="59">
        <f>IF(tblMovement[[#This Row],[Is_Ore]]=1,tblMovement[[#This Row],[Contained_oz]],0)</f>
        <v/>
      </c>
    </row>
    <row r="1077">
      <c r="A1077" s="54" t="n"/>
      <c r="B1077" s="61" t="n"/>
      <c r="C1077" s="61" t="n"/>
      <c r="D1077" s="61" t="n"/>
      <c r="E1077" s="61" t="n"/>
      <c r="F1077" s="55" t="n"/>
      <c r="G1077" s="56" t="n"/>
      <c r="H1077" s="55" t="n"/>
      <c r="I1077" s="62" t="n"/>
      <c r="J1077" s="58" t="n"/>
      <c r="K1077" s="63">
        <f>IF(tblMovement[[#This Row],[Source]]="","",IFERROR(INDEX(tblSources[Type],MATCH(tblMovement[[#This Row],[Source]],tblSources[Source],0)),"?"))</f>
        <v/>
      </c>
      <c r="L1077" s="63">
        <f>IF(tblMovement[[#This Row],[Destination]]="","",IFERROR(INDEX(tblDestinations[Type],MATCH(tblMovement[[#This Row],[Destination]],tblDestinations[Destination],0)),"?"))</f>
        <v/>
      </c>
      <c r="M1077" s="64">
        <f>IF(tblMovement[[#This Row],[Material]]="","",IF(LEFT(tblMovement[[#This Row],[Material]],3)="Ore",1,0))</f>
        <v/>
      </c>
      <c r="N1077" s="59">
        <f>IF(OR(tblMovement[[#This Row],[Tonnes_t]]="",tblMovement[[#This Row],[Grade_gpt]]=""),0,tblMovement[[#This Row],[Tonnes_t]]*tblMovement[[#This Row],[Grade_gpt]]/cfg_TroyOz)</f>
        <v/>
      </c>
      <c r="O1077" s="59">
        <f>IF(tblMovement[[#This Row],[Is_Ore]]=1,tblMovement[[#This Row],[Contained_oz]],0)</f>
        <v/>
      </c>
    </row>
    <row r="1078">
      <c r="A1078" s="54" t="n"/>
      <c r="B1078" s="61" t="n"/>
      <c r="C1078" s="61" t="n"/>
      <c r="D1078" s="61" t="n"/>
      <c r="E1078" s="61" t="n"/>
      <c r="F1078" s="55" t="n"/>
      <c r="G1078" s="56" t="n"/>
      <c r="H1078" s="55" t="n"/>
      <c r="I1078" s="62" t="n"/>
      <c r="J1078" s="58" t="n"/>
      <c r="K1078" s="63">
        <f>IF(tblMovement[[#This Row],[Source]]="","",IFERROR(INDEX(tblSources[Type],MATCH(tblMovement[[#This Row],[Source]],tblSources[Source],0)),"?"))</f>
        <v/>
      </c>
      <c r="L1078" s="63">
        <f>IF(tblMovement[[#This Row],[Destination]]="","",IFERROR(INDEX(tblDestinations[Type],MATCH(tblMovement[[#This Row],[Destination]],tblDestinations[Destination],0)),"?"))</f>
        <v/>
      </c>
      <c r="M1078" s="64">
        <f>IF(tblMovement[[#This Row],[Material]]="","",IF(LEFT(tblMovement[[#This Row],[Material]],3)="Ore",1,0))</f>
        <v/>
      </c>
      <c r="N1078" s="59">
        <f>IF(OR(tblMovement[[#This Row],[Tonnes_t]]="",tblMovement[[#This Row],[Grade_gpt]]=""),0,tblMovement[[#This Row],[Tonnes_t]]*tblMovement[[#This Row],[Grade_gpt]]/cfg_TroyOz)</f>
        <v/>
      </c>
      <c r="O1078" s="59">
        <f>IF(tblMovement[[#This Row],[Is_Ore]]=1,tblMovement[[#This Row],[Contained_oz]],0)</f>
        <v/>
      </c>
    </row>
    <row r="1079">
      <c r="A1079" s="54" t="n"/>
      <c r="B1079" s="61" t="n"/>
      <c r="C1079" s="61" t="n"/>
      <c r="D1079" s="61" t="n"/>
      <c r="E1079" s="61" t="n"/>
      <c r="F1079" s="55" t="n"/>
      <c r="G1079" s="56" t="n"/>
      <c r="H1079" s="55" t="n"/>
      <c r="I1079" s="62" t="n"/>
      <c r="J1079" s="58" t="n"/>
      <c r="K1079" s="63">
        <f>IF(tblMovement[[#This Row],[Source]]="","",IFERROR(INDEX(tblSources[Type],MATCH(tblMovement[[#This Row],[Source]],tblSources[Source],0)),"?"))</f>
        <v/>
      </c>
      <c r="L1079" s="63">
        <f>IF(tblMovement[[#This Row],[Destination]]="","",IFERROR(INDEX(tblDestinations[Type],MATCH(tblMovement[[#This Row],[Destination]],tblDestinations[Destination],0)),"?"))</f>
        <v/>
      </c>
      <c r="M1079" s="64">
        <f>IF(tblMovement[[#This Row],[Material]]="","",IF(LEFT(tblMovement[[#This Row],[Material]],3)="Ore",1,0))</f>
        <v/>
      </c>
      <c r="N1079" s="59">
        <f>IF(OR(tblMovement[[#This Row],[Tonnes_t]]="",tblMovement[[#This Row],[Grade_gpt]]=""),0,tblMovement[[#This Row],[Tonnes_t]]*tblMovement[[#This Row],[Grade_gpt]]/cfg_TroyOz)</f>
        <v/>
      </c>
      <c r="O1079" s="59">
        <f>IF(tblMovement[[#This Row],[Is_Ore]]=1,tblMovement[[#This Row],[Contained_oz]],0)</f>
        <v/>
      </c>
    </row>
    <row r="1080">
      <c r="A1080" s="54" t="n"/>
      <c r="B1080" s="61" t="n"/>
      <c r="C1080" s="61" t="n"/>
      <c r="D1080" s="61" t="n"/>
      <c r="E1080" s="61" t="n"/>
      <c r="F1080" s="55" t="n"/>
      <c r="G1080" s="56" t="n"/>
      <c r="H1080" s="55" t="n"/>
      <c r="I1080" s="62" t="n"/>
      <c r="J1080" s="58" t="n"/>
      <c r="K1080" s="63">
        <f>IF(tblMovement[[#This Row],[Source]]="","",IFERROR(INDEX(tblSources[Type],MATCH(tblMovement[[#This Row],[Source]],tblSources[Source],0)),"?"))</f>
        <v/>
      </c>
      <c r="L1080" s="63">
        <f>IF(tblMovement[[#This Row],[Destination]]="","",IFERROR(INDEX(tblDestinations[Type],MATCH(tblMovement[[#This Row],[Destination]],tblDestinations[Destination],0)),"?"))</f>
        <v/>
      </c>
      <c r="M1080" s="64">
        <f>IF(tblMovement[[#This Row],[Material]]="","",IF(LEFT(tblMovement[[#This Row],[Material]],3)="Ore",1,0))</f>
        <v/>
      </c>
      <c r="N1080" s="59">
        <f>IF(OR(tblMovement[[#This Row],[Tonnes_t]]="",tblMovement[[#This Row],[Grade_gpt]]=""),0,tblMovement[[#This Row],[Tonnes_t]]*tblMovement[[#This Row],[Grade_gpt]]/cfg_TroyOz)</f>
        <v/>
      </c>
      <c r="O1080" s="59">
        <f>IF(tblMovement[[#This Row],[Is_Ore]]=1,tblMovement[[#This Row],[Contained_oz]],0)</f>
        <v/>
      </c>
    </row>
    <row r="1081">
      <c r="A1081" s="54" t="n"/>
      <c r="B1081" s="61" t="n"/>
      <c r="C1081" s="61" t="n"/>
      <c r="D1081" s="61" t="n"/>
      <c r="E1081" s="61" t="n"/>
      <c r="F1081" s="55" t="n"/>
      <c r="G1081" s="56" t="n"/>
      <c r="H1081" s="55" t="n"/>
      <c r="I1081" s="62" t="n"/>
      <c r="J1081" s="58" t="n"/>
      <c r="K1081" s="63">
        <f>IF(tblMovement[[#This Row],[Source]]="","",IFERROR(INDEX(tblSources[Type],MATCH(tblMovement[[#This Row],[Source]],tblSources[Source],0)),"?"))</f>
        <v/>
      </c>
      <c r="L1081" s="63">
        <f>IF(tblMovement[[#This Row],[Destination]]="","",IFERROR(INDEX(tblDestinations[Type],MATCH(tblMovement[[#This Row],[Destination]],tblDestinations[Destination],0)),"?"))</f>
        <v/>
      </c>
      <c r="M1081" s="64">
        <f>IF(tblMovement[[#This Row],[Material]]="","",IF(LEFT(tblMovement[[#This Row],[Material]],3)="Ore",1,0))</f>
        <v/>
      </c>
      <c r="N1081" s="59">
        <f>IF(OR(tblMovement[[#This Row],[Tonnes_t]]="",tblMovement[[#This Row],[Grade_gpt]]=""),0,tblMovement[[#This Row],[Tonnes_t]]*tblMovement[[#This Row],[Grade_gpt]]/cfg_TroyOz)</f>
        <v/>
      </c>
      <c r="O1081" s="59">
        <f>IF(tblMovement[[#This Row],[Is_Ore]]=1,tblMovement[[#This Row],[Contained_oz]],0)</f>
        <v/>
      </c>
    </row>
    <row r="1082">
      <c r="A1082" s="54" t="n"/>
      <c r="B1082" s="61" t="n"/>
      <c r="C1082" s="61" t="n"/>
      <c r="D1082" s="61" t="n"/>
      <c r="E1082" s="61" t="n"/>
      <c r="F1082" s="55" t="n"/>
      <c r="G1082" s="56" t="n"/>
      <c r="H1082" s="55" t="n"/>
      <c r="I1082" s="62" t="n"/>
      <c r="J1082" s="58" t="n"/>
      <c r="K1082" s="63">
        <f>IF(tblMovement[[#This Row],[Source]]="","",IFERROR(INDEX(tblSources[Type],MATCH(tblMovement[[#This Row],[Source]],tblSources[Source],0)),"?"))</f>
        <v/>
      </c>
      <c r="L1082" s="63">
        <f>IF(tblMovement[[#This Row],[Destination]]="","",IFERROR(INDEX(tblDestinations[Type],MATCH(tblMovement[[#This Row],[Destination]],tblDestinations[Destination],0)),"?"))</f>
        <v/>
      </c>
      <c r="M1082" s="64">
        <f>IF(tblMovement[[#This Row],[Material]]="","",IF(LEFT(tblMovement[[#This Row],[Material]],3)="Ore",1,0))</f>
        <v/>
      </c>
      <c r="N1082" s="59">
        <f>IF(OR(tblMovement[[#This Row],[Tonnes_t]]="",tblMovement[[#This Row],[Grade_gpt]]=""),0,tblMovement[[#This Row],[Tonnes_t]]*tblMovement[[#This Row],[Grade_gpt]]/cfg_TroyOz)</f>
        <v/>
      </c>
      <c r="O1082" s="59">
        <f>IF(tblMovement[[#This Row],[Is_Ore]]=1,tblMovement[[#This Row],[Contained_oz]],0)</f>
        <v/>
      </c>
    </row>
    <row r="1083">
      <c r="A1083" s="54" t="n"/>
      <c r="B1083" s="61" t="n"/>
      <c r="C1083" s="61" t="n"/>
      <c r="D1083" s="61" t="n"/>
      <c r="E1083" s="61" t="n"/>
      <c r="F1083" s="55" t="n"/>
      <c r="G1083" s="56" t="n"/>
      <c r="H1083" s="55" t="n"/>
      <c r="I1083" s="62" t="n"/>
      <c r="J1083" s="58" t="n"/>
      <c r="K1083" s="63">
        <f>IF(tblMovement[[#This Row],[Source]]="","",IFERROR(INDEX(tblSources[Type],MATCH(tblMovement[[#This Row],[Source]],tblSources[Source],0)),"?"))</f>
        <v/>
      </c>
      <c r="L1083" s="63">
        <f>IF(tblMovement[[#This Row],[Destination]]="","",IFERROR(INDEX(tblDestinations[Type],MATCH(tblMovement[[#This Row],[Destination]],tblDestinations[Destination],0)),"?"))</f>
        <v/>
      </c>
      <c r="M1083" s="64">
        <f>IF(tblMovement[[#This Row],[Material]]="","",IF(LEFT(tblMovement[[#This Row],[Material]],3)="Ore",1,0))</f>
        <v/>
      </c>
      <c r="N1083" s="59">
        <f>IF(OR(tblMovement[[#This Row],[Tonnes_t]]="",tblMovement[[#This Row],[Grade_gpt]]=""),0,tblMovement[[#This Row],[Tonnes_t]]*tblMovement[[#This Row],[Grade_gpt]]/cfg_TroyOz)</f>
        <v/>
      </c>
      <c r="O1083" s="59">
        <f>IF(tblMovement[[#This Row],[Is_Ore]]=1,tblMovement[[#This Row],[Contained_oz]],0)</f>
        <v/>
      </c>
    </row>
    <row r="1084">
      <c r="A1084" s="54" t="n"/>
      <c r="B1084" s="61" t="n"/>
      <c r="C1084" s="61" t="n"/>
      <c r="D1084" s="61" t="n"/>
      <c r="E1084" s="61" t="n"/>
      <c r="F1084" s="55" t="n"/>
      <c r="G1084" s="56" t="n"/>
      <c r="H1084" s="55" t="n"/>
      <c r="I1084" s="62" t="n"/>
      <c r="J1084" s="58" t="n"/>
      <c r="K1084" s="63">
        <f>IF(tblMovement[[#This Row],[Source]]="","",IFERROR(INDEX(tblSources[Type],MATCH(tblMovement[[#This Row],[Source]],tblSources[Source],0)),"?"))</f>
        <v/>
      </c>
      <c r="L1084" s="63">
        <f>IF(tblMovement[[#This Row],[Destination]]="","",IFERROR(INDEX(tblDestinations[Type],MATCH(tblMovement[[#This Row],[Destination]],tblDestinations[Destination],0)),"?"))</f>
        <v/>
      </c>
      <c r="M1084" s="64">
        <f>IF(tblMovement[[#This Row],[Material]]="","",IF(LEFT(tblMovement[[#This Row],[Material]],3)="Ore",1,0))</f>
        <v/>
      </c>
      <c r="N1084" s="59">
        <f>IF(OR(tblMovement[[#This Row],[Tonnes_t]]="",tblMovement[[#This Row],[Grade_gpt]]=""),0,tblMovement[[#This Row],[Tonnes_t]]*tblMovement[[#This Row],[Grade_gpt]]/cfg_TroyOz)</f>
        <v/>
      </c>
      <c r="O1084" s="59">
        <f>IF(tblMovement[[#This Row],[Is_Ore]]=1,tblMovement[[#This Row],[Contained_oz]],0)</f>
        <v/>
      </c>
    </row>
    <row r="1085">
      <c r="A1085" s="54" t="n"/>
      <c r="B1085" s="61" t="n"/>
      <c r="C1085" s="61" t="n"/>
      <c r="D1085" s="61" t="n"/>
      <c r="E1085" s="61" t="n"/>
      <c r="F1085" s="55" t="n"/>
      <c r="G1085" s="56" t="n"/>
      <c r="H1085" s="55" t="n"/>
      <c r="I1085" s="62" t="n"/>
      <c r="J1085" s="58" t="n"/>
      <c r="K1085" s="63">
        <f>IF(tblMovement[[#This Row],[Source]]="","",IFERROR(INDEX(tblSources[Type],MATCH(tblMovement[[#This Row],[Source]],tblSources[Source],0)),"?"))</f>
        <v/>
      </c>
      <c r="L1085" s="63">
        <f>IF(tblMovement[[#This Row],[Destination]]="","",IFERROR(INDEX(tblDestinations[Type],MATCH(tblMovement[[#This Row],[Destination]],tblDestinations[Destination],0)),"?"))</f>
        <v/>
      </c>
      <c r="M1085" s="64">
        <f>IF(tblMovement[[#This Row],[Material]]="","",IF(LEFT(tblMovement[[#This Row],[Material]],3)="Ore",1,0))</f>
        <v/>
      </c>
      <c r="N1085" s="59">
        <f>IF(OR(tblMovement[[#This Row],[Tonnes_t]]="",tblMovement[[#This Row],[Grade_gpt]]=""),0,tblMovement[[#This Row],[Tonnes_t]]*tblMovement[[#This Row],[Grade_gpt]]/cfg_TroyOz)</f>
        <v/>
      </c>
      <c r="O1085" s="59">
        <f>IF(tblMovement[[#This Row],[Is_Ore]]=1,tblMovement[[#This Row],[Contained_oz]],0)</f>
        <v/>
      </c>
    </row>
    <row r="1086">
      <c r="A1086" s="54" t="n"/>
      <c r="B1086" s="61" t="n"/>
      <c r="C1086" s="61" t="n"/>
      <c r="D1086" s="61" t="n"/>
      <c r="E1086" s="61" t="n"/>
      <c r="F1086" s="55" t="n"/>
      <c r="G1086" s="56" t="n"/>
      <c r="H1086" s="55" t="n"/>
      <c r="I1086" s="62" t="n"/>
      <c r="J1086" s="58" t="n"/>
      <c r="K1086" s="63">
        <f>IF(tblMovement[[#This Row],[Source]]="","",IFERROR(INDEX(tblSources[Type],MATCH(tblMovement[[#This Row],[Source]],tblSources[Source],0)),"?"))</f>
        <v/>
      </c>
      <c r="L1086" s="63">
        <f>IF(tblMovement[[#This Row],[Destination]]="","",IFERROR(INDEX(tblDestinations[Type],MATCH(tblMovement[[#This Row],[Destination]],tblDestinations[Destination],0)),"?"))</f>
        <v/>
      </c>
      <c r="M1086" s="64">
        <f>IF(tblMovement[[#This Row],[Material]]="","",IF(LEFT(tblMovement[[#This Row],[Material]],3)="Ore",1,0))</f>
        <v/>
      </c>
      <c r="N1086" s="59">
        <f>IF(OR(tblMovement[[#This Row],[Tonnes_t]]="",tblMovement[[#This Row],[Grade_gpt]]=""),0,tblMovement[[#This Row],[Tonnes_t]]*tblMovement[[#This Row],[Grade_gpt]]/cfg_TroyOz)</f>
        <v/>
      </c>
      <c r="O1086" s="59">
        <f>IF(tblMovement[[#This Row],[Is_Ore]]=1,tblMovement[[#This Row],[Contained_oz]],0)</f>
        <v/>
      </c>
    </row>
    <row r="1087">
      <c r="A1087" s="54" t="n"/>
      <c r="B1087" s="61" t="n"/>
      <c r="C1087" s="61" t="n"/>
      <c r="D1087" s="61" t="n"/>
      <c r="E1087" s="61" t="n"/>
      <c r="F1087" s="55" t="n"/>
      <c r="G1087" s="56" t="n"/>
      <c r="H1087" s="55" t="n"/>
      <c r="I1087" s="62" t="n"/>
      <c r="J1087" s="58" t="n"/>
      <c r="K1087" s="63">
        <f>IF(tblMovement[[#This Row],[Source]]="","",IFERROR(INDEX(tblSources[Type],MATCH(tblMovement[[#This Row],[Source]],tblSources[Source],0)),"?"))</f>
        <v/>
      </c>
      <c r="L1087" s="63">
        <f>IF(tblMovement[[#This Row],[Destination]]="","",IFERROR(INDEX(tblDestinations[Type],MATCH(tblMovement[[#This Row],[Destination]],tblDestinations[Destination],0)),"?"))</f>
        <v/>
      </c>
      <c r="M1087" s="64">
        <f>IF(tblMovement[[#This Row],[Material]]="","",IF(LEFT(tblMovement[[#This Row],[Material]],3)="Ore",1,0))</f>
        <v/>
      </c>
      <c r="N1087" s="59">
        <f>IF(OR(tblMovement[[#This Row],[Tonnes_t]]="",tblMovement[[#This Row],[Grade_gpt]]=""),0,tblMovement[[#This Row],[Tonnes_t]]*tblMovement[[#This Row],[Grade_gpt]]/cfg_TroyOz)</f>
        <v/>
      </c>
      <c r="O1087" s="59">
        <f>IF(tblMovement[[#This Row],[Is_Ore]]=1,tblMovement[[#This Row],[Contained_oz]],0)</f>
        <v/>
      </c>
    </row>
    <row r="1088">
      <c r="A1088" s="54" t="n"/>
      <c r="B1088" s="61" t="n"/>
      <c r="C1088" s="61" t="n"/>
      <c r="D1088" s="61" t="n"/>
      <c r="E1088" s="61" t="n"/>
      <c r="F1088" s="55" t="n"/>
      <c r="G1088" s="56" t="n"/>
      <c r="H1088" s="55" t="n"/>
      <c r="I1088" s="62" t="n"/>
      <c r="J1088" s="58" t="n"/>
      <c r="K1088" s="63">
        <f>IF(tblMovement[[#This Row],[Source]]="","",IFERROR(INDEX(tblSources[Type],MATCH(tblMovement[[#This Row],[Source]],tblSources[Source],0)),"?"))</f>
        <v/>
      </c>
      <c r="L1088" s="63">
        <f>IF(tblMovement[[#This Row],[Destination]]="","",IFERROR(INDEX(tblDestinations[Type],MATCH(tblMovement[[#This Row],[Destination]],tblDestinations[Destination],0)),"?"))</f>
        <v/>
      </c>
      <c r="M1088" s="64">
        <f>IF(tblMovement[[#This Row],[Material]]="","",IF(LEFT(tblMovement[[#This Row],[Material]],3)="Ore",1,0))</f>
        <v/>
      </c>
      <c r="N1088" s="59">
        <f>IF(OR(tblMovement[[#This Row],[Tonnes_t]]="",tblMovement[[#This Row],[Grade_gpt]]=""),0,tblMovement[[#This Row],[Tonnes_t]]*tblMovement[[#This Row],[Grade_gpt]]/cfg_TroyOz)</f>
        <v/>
      </c>
      <c r="O1088" s="59">
        <f>IF(tblMovement[[#This Row],[Is_Ore]]=1,tblMovement[[#This Row],[Contained_oz]],0)</f>
        <v/>
      </c>
    </row>
    <row r="1089">
      <c r="A1089" s="54" t="n"/>
      <c r="B1089" s="61" t="n"/>
      <c r="C1089" s="61" t="n"/>
      <c r="D1089" s="61" t="n"/>
      <c r="E1089" s="61" t="n"/>
      <c r="F1089" s="55" t="n"/>
      <c r="G1089" s="56" t="n"/>
      <c r="H1089" s="55" t="n"/>
      <c r="I1089" s="62" t="n"/>
      <c r="J1089" s="58" t="n"/>
      <c r="K1089" s="63">
        <f>IF(tblMovement[[#This Row],[Source]]="","",IFERROR(INDEX(tblSources[Type],MATCH(tblMovement[[#This Row],[Source]],tblSources[Source],0)),"?"))</f>
        <v/>
      </c>
      <c r="L1089" s="63">
        <f>IF(tblMovement[[#This Row],[Destination]]="","",IFERROR(INDEX(tblDestinations[Type],MATCH(tblMovement[[#This Row],[Destination]],tblDestinations[Destination],0)),"?"))</f>
        <v/>
      </c>
      <c r="M1089" s="64">
        <f>IF(tblMovement[[#This Row],[Material]]="","",IF(LEFT(tblMovement[[#This Row],[Material]],3)="Ore",1,0))</f>
        <v/>
      </c>
      <c r="N1089" s="59">
        <f>IF(OR(tblMovement[[#This Row],[Tonnes_t]]="",tblMovement[[#This Row],[Grade_gpt]]=""),0,tblMovement[[#This Row],[Tonnes_t]]*tblMovement[[#This Row],[Grade_gpt]]/cfg_TroyOz)</f>
        <v/>
      </c>
      <c r="O1089" s="59">
        <f>IF(tblMovement[[#This Row],[Is_Ore]]=1,tblMovement[[#This Row],[Contained_oz]],0)</f>
        <v/>
      </c>
    </row>
    <row r="1090">
      <c r="A1090" s="54" t="n"/>
      <c r="B1090" s="61" t="n"/>
      <c r="C1090" s="61" t="n"/>
      <c r="D1090" s="61" t="n"/>
      <c r="E1090" s="61" t="n"/>
      <c r="F1090" s="55" t="n"/>
      <c r="G1090" s="56" t="n"/>
      <c r="H1090" s="55" t="n"/>
      <c r="I1090" s="62" t="n"/>
      <c r="J1090" s="58" t="n"/>
      <c r="K1090" s="63">
        <f>IF(tblMovement[[#This Row],[Source]]="","",IFERROR(INDEX(tblSources[Type],MATCH(tblMovement[[#This Row],[Source]],tblSources[Source],0)),"?"))</f>
        <v/>
      </c>
      <c r="L1090" s="63">
        <f>IF(tblMovement[[#This Row],[Destination]]="","",IFERROR(INDEX(tblDestinations[Type],MATCH(tblMovement[[#This Row],[Destination]],tblDestinations[Destination],0)),"?"))</f>
        <v/>
      </c>
      <c r="M1090" s="64">
        <f>IF(tblMovement[[#This Row],[Material]]="","",IF(LEFT(tblMovement[[#This Row],[Material]],3)="Ore",1,0))</f>
        <v/>
      </c>
      <c r="N1090" s="59">
        <f>IF(OR(tblMovement[[#This Row],[Tonnes_t]]="",tblMovement[[#This Row],[Grade_gpt]]=""),0,tblMovement[[#This Row],[Tonnes_t]]*tblMovement[[#This Row],[Grade_gpt]]/cfg_TroyOz)</f>
        <v/>
      </c>
      <c r="O1090" s="59">
        <f>IF(tblMovement[[#This Row],[Is_Ore]]=1,tblMovement[[#This Row],[Contained_oz]],0)</f>
        <v/>
      </c>
    </row>
    <row r="1091">
      <c r="A1091" s="54" t="n"/>
      <c r="B1091" s="61" t="n"/>
      <c r="C1091" s="61" t="n"/>
      <c r="D1091" s="61" t="n"/>
      <c r="E1091" s="61" t="n"/>
      <c r="F1091" s="55" t="n"/>
      <c r="G1091" s="56" t="n"/>
      <c r="H1091" s="55" t="n"/>
      <c r="I1091" s="62" t="n"/>
      <c r="J1091" s="58" t="n"/>
      <c r="K1091" s="63">
        <f>IF(tblMovement[[#This Row],[Source]]="","",IFERROR(INDEX(tblSources[Type],MATCH(tblMovement[[#This Row],[Source]],tblSources[Source],0)),"?"))</f>
        <v/>
      </c>
      <c r="L1091" s="63">
        <f>IF(tblMovement[[#This Row],[Destination]]="","",IFERROR(INDEX(tblDestinations[Type],MATCH(tblMovement[[#This Row],[Destination]],tblDestinations[Destination],0)),"?"))</f>
        <v/>
      </c>
      <c r="M1091" s="64">
        <f>IF(tblMovement[[#This Row],[Material]]="","",IF(LEFT(tblMovement[[#This Row],[Material]],3)="Ore",1,0))</f>
        <v/>
      </c>
      <c r="N1091" s="59">
        <f>IF(OR(tblMovement[[#This Row],[Tonnes_t]]="",tblMovement[[#This Row],[Grade_gpt]]=""),0,tblMovement[[#This Row],[Tonnes_t]]*tblMovement[[#This Row],[Grade_gpt]]/cfg_TroyOz)</f>
        <v/>
      </c>
      <c r="O1091" s="59">
        <f>IF(tblMovement[[#This Row],[Is_Ore]]=1,tblMovement[[#This Row],[Contained_oz]],0)</f>
        <v/>
      </c>
    </row>
    <row r="1092">
      <c r="A1092" s="54" t="n"/>
      <c r="B1092" s="61" t="n"/>
      <c r="C1092" s="61" t="n"/>
      <c r="D1092" s="61" t="n"/>
      <c r="E1092" s="61" t="n"/>
      <c r="F1092" s="55" t="n"/>
      <c r="G1092" s="56" t="n"/>
      <c r="H1092" s="55" t="n"/>
      <c r="I1092" s="62" t="n"/>
      <c r="J1092" s="58" t="n"/>
      <c r="K1092" s="63">
        <f>IF(tblMovement[[#This Row],[Source]]="","",IFERROR(INDEX(tblSources[Type],MATCH(tblMovement[[#This Row],[Source]],tblSources[Source],0)),"?"))</f>
        <v/>
      </c>
      <c r="L1092" s="63">
        <f>IF(tblMovement[[#This Row],[Destination]]="","",IFERROR(INDEX(tblDestinations[Type],MATCH(tblMovement[[#This Row],[Destination]],tblDestinations[Destination],0)),"?"))</f>
        <v/>
      </c>
      <c r="M1092" s="64">
        <f>IF(tblMovement[[#This Row],[Material]]="","",IF(LEFT(tblMovement[[#This Row],[Material]],3)="Ore",1,0))</f>
        <v/>
      </c>
      <c r="N1092" s="59">
        <f>IF(OR(tblMovement[[#This Row],[Tonnes_t]]="",tblMovement[[#This Row],[Grade_gpt]]=""),0,tblMovement[[#This Row],[Tonnes_t]]*tblMovement[[#This Row],[Grade_gpt]]/cfg_TroyOz)</f>
        <v/>
      </c>
      <c r="O1092" s="59">
        <f>IF(tblMovement[[#This Row],[Is_Ore]]=1,tblMovement[[#This Row],[Contained_oz]],0)</f>
        <v/>
      </c>
    </row>
    <row r="1093">
      <c r="A1093" s="54" t="n"/>
      <c r="B1093" s="61" t="n"/>
      <c r="C1093" s="61" t="n"/>
      <c r="D1093" s="61" t="n"/>
      <c r="E1093" s="61" t="n"/>
      <c r="F1093" s="55" t="n"/>
      <c r="G1093" s="56" t="n"/>
      <c r="H1093" s="55" t="n"/>
      <c r="I1093" s="62" t="n"/>
      <c r="J1093" s="58" t="n"/>
      <c r="K1093" s="63">
        <f>IF(tblMovement[[#This Row],[Source]]="","",IFERROR(INDEX(tblSources[Type],MATCH(tblMovement[[#This Row],[Source]],tblSources[Source],0)),"?"))</f>
        <v/>
      </c>
      <c r="L1093" s="63">
        <f>IF(tblMovement[[#This Row],[Destination]]="","",IFERROR(INDEX(tblDestinations[Type],MATCH(tblMovement[[#This Row],[Destination]],tblDestinations[Destination],0)),"?"))</f>
        <v/>
      </c>
      <c r="M1093" s="64">
        <f>IF(tblMovement[[#This Row],[Material]]="","",IF(LEFT(tblMovement[[#This Row],[Material]],3)="Ore",1,0))</f>
        <v/>
      </c>
      <c r="N1093" s="59">
        <f>IF(OR(tblMovement[[#This Row],[Tonnes_t]]="",tblMovement[[#This Row],[Grade_gpt]]=""),0,tblMovement[[#This Row],[Tonnes_t]]*tblMovement[[#This Row],[Grade_gpt]]/cfg_TroyOz)</f>
        <v/>
      </c>
      <c r="O1093" s="59">
        <f>IF(tblMovement[[#This Row],[Is_Ore]]=1,tblMovement[[#This Row],[Contained_oz]],0)</f>
        <v/>
      </c>
    </row>
    <row r="1094">
      <c r="A1094" s="54" t="n"/>
      <c r="B1094" s="61" t="n"/>
      <c r="C1094" s="61" t="n"/>
      <c r="D1094" s="61" t="n"/>
      <c r="E1094" s="61" t="n"/>
      <c r="F1094" s="55" t="n"/>
      <c r="G1094" s="56" t="n"/>
      <c r="H1094" s="55" t="n"/>
      <c r="I1094" s="62" t="n"/>
      <c r="J1094" s="58" t="n"/>
      <c r="K1094" s="63">
        <f>IF(tblMovement[[#This Row],[Source]]="","",IFERROR(INDEX(tblSources[Type],MATCH(tblMovement[[#This Row],[Source]],tblSources[Source],0)),"?"))</f>
        <v/>
      </c>
      <c r="L1094" s="63">
        <f>IF(tblMovement[[#This Row],[Destination]]="","",IFERROR(INDEX(tblDestinations[Type],MATCH(tblMovement[[#This Row],[Destination]],tblDestinations[Destination],0)),"?"))</f>
        <v/>
      </c>
      <c r="M1094" s="64">
        <f>IF(tblMovement[[#This Row],[Material]]="","",IF(LEFT(tblMovement[[#This Row],[Material]],3)="Ore",1,0))</f>
        <v/>
      </c>
      <c r="N1094" s="59">
        <f>IF(OR(tblMovement[[#This Row],[Tonnes_t]]="",tblMovement[[#This Row],[Grade_gpt]]=""),0,tblMovement[[#This Row],[Tonnes_t]]*tblMovement[[#This Row],[Grade_gpt]]/cfg_TroyOz)</f>
        <v/>
      </c>
      <c r="O1094" s="59">
        <f>IF(tblMovement[[#This Row],[Is_Ore]]=1,tblMovement[[#This Row],[Contained_oz]],0)</f>
        <v/>
      </c>
    </row>
    <row r="1095">
      <c r="A1095" s="54" t="n"/>
      <c r="B1095" s="61" t="n"/>
      <c r="C1095" s="61" t="n"/>
      <c r="D1095" s="61" t="n"/>
      <c r="E1095" s="61" t="n"/>
      <c r="F1095" s="55" t="n"/>
      <c r="G1095" s="56" t="n"/>
      <c r="H1095" s="55" t="n"/>
      <c r="I1095" s="62" t="n"/>
      <c r="J1095" s="58" t="n"/>
      <c r="K1095" s="63">
        <f>IF(tblMovement[[#This Row],[Source]]="","",IFERROR(INDEX(tblSources[Type],MATCH(tblMovement[[#This Row],[Source]],tblSources[Source],0)),"?"))</f>
        <v/>
      </c>
      <c r="L1095" s="63">
        <f>IF(tblMovement[[#This Row],[Destination]]="","",IFERROR(INDEX(tblDestinations[Type],MATCH(tblMovement[[#This Row],[Destination]],tblDestinations[Destination],0)),"?"))</f>
        <v/>
      </c>
      <c r="M1095" s="64">
        <f>IF(tblMovement[[#This Row],[Material]]="","",IF(LEFT(tblMovement[[#This Row],[Material]],3)="Ore",1,0))</f>
        <v/>
      </c>
      <c r="N1095" s="59">
        <f>IF(OR(tblMovement[[#This Row],[Tonnes_t]]="",tblMovement[[#This Row],[Grade_gpt]]=""),0,tblMovement[[#This Row],[Tonnes_t]]*tblMovement[[#This Row],[Grade_gpt]]/cfg_TroyOz)</f>
        <v/>
      </c>
      <c r="O1095" s="59">
        <f>IF(tblMovement[[#This Row],[Is_Ore]]=1,tblMovement[[#This Row],[Contained_oz]],0)</f>
        <v/>
      </c>
    </row>
    <row r="1096">
      <c r="A1096" s="54" t="n"/>
      <c r="B1096" s="61" t="n"/>
      <c r="C1096" s="61" t="n"/>
      <c r="D1096" s="61" t="n"/>
      <c r="E1096" s="61" t="n"/>
      <c r="F1096" s="55" t="n"/>
      <c r="G1096" s="56" t="n"/>
      <c r="H1096" s="55" t="n"/>
      <c r="I1096" s="62" t="n"/>
      <c r="J1096" s="58" t="n"/>
      <c r="K1096" s="63">
        <f>IF(tblMovement[[#This Row],[Source]]="","",IFERROR(INDEX(tblSources[Type],MATCH(tblMovement[[#This Row],[Source]],tblSources[Source],0)),"?"))</f>
        <v/>
      </c>
      <c r="L1096" s="63">
        <f>IF(tblMovement[[#This Row],[Destination]]="","",IFERROR(INDEX(tblDestinations[Type],MATCH(tblMovement[[#This Row],[Destination]],tblDestinations[Destination],0)),"?"))</f>
        <v/>
      </c>
      <c r="M1096" s="64">
        <f>IF(tblMovement[[#This Row],[Material]]="","",IF(LEFT(tblMovement[[#This Row],[Material]],3)="Ore",1,0))</f>
        <v/>
      </c>
      <c r="N1096" s="59">
        <f>IF(OR(tblMovement[[#This Row],[Tonnes_t]]="",tblMovement[[#This Row],[Grade_gpt]]=""),0,tblMovement[[#This Row],[Tonnes_t]]*tblMovement[[#This Row],[Grade_gpt]]/cfg_TroyOz)</f>
        <v/>
      </c>
      <c r="O1096" s="59">
        <f>IF(tblMovement[[#This Row],[Is_Ore]]=1,tblMovement[[#This Row],[Contained_oz]],0)</f>
        <v/>
      </c>
    </row>
    <row r="1097">
      <c r="A1097" s="54" t="n"/>
      <c r="B1097" s="61" t="n"/>
      <c r="C1097" s="61" t="n"/>
      <c r="D1097" s="61" t="n"/>
      <c r="E1097" s="61" t="n"/>
      <c r="F1097" s="55" t="n"/>
      <c r="G1097" s="56" t="n"/>
      <c r="H1097" s="55" t="n"/>
      <c r="I1097" s="62" t="n"/>
      <c r="J1097" s="58" t="n"/>
      <c r="K1097" s="63">
        <f>IF(tblMovement[[#This Row],[Source]]="","",IFERROR(INDEX(tblSources[Type],MATCH(tblMovement[[#This Row],[Source]],tblSources[Source],0)),"?"))</f>
        <v/>
      </c>
      <c r="L1097" s="63">
        <f>IF(tblMovement[[#This Row],[Destination]]="","",IFERROR(INDEX(tblDestinations[Type],MATCH(tblMovement[[#This Row],[Destination]],tblDestinations[Destination],0)),"?"))</f>
        <v/>
      </c>
      <c r="M1097" s="64">
        <f>IF(tblMovement[[#This Row],[Material]]="","",IF(LEFT(tblMovement[[#This Row],[Material]],3)="Ore",1,0))</f>
        <v/>
      </c>
      <c r="N1097" s="59">
        <f>IF(OR(tblMovement[[#This Row],[Tonnes_t]]="",tblMovement[[#This Row],[Grade_gpt]]=""),0,tblMovement[[#This Row],[Tonnes_t]]*tblMovement[[#This Row],[Grade_gpt]]/cfg_TroyOz)</f>
        <v/>
      </c>
      <c r="O1097" s="59">
        <f>IF(tblMovement[[#This Row],[Is_Ore]]=1,tblMovement[[#This Row],[Contained_oz]],0)</f>
        <v/>
      </c>
    </row>
    <row r="1098">
      <c r="A1098" s="54" t="n"/>
      <c r="B1098" s="61" t="n"/>
      <c r="C1098" s="61" t="n"/>
      <c r="D1098" s="61" t="n"/>
      <c r="E1098" s="61" t="n"/>
      <c r="F1098" s="55" t="n"/>
      <c r="G1098" s="56" t="n"/>
      <c r="H1098" s="55" t="n"/>
      <c r="I1098" s="62" t="n"/>
      <c r="J1098" s="58" t="n"/>
      <c r="K1098" s="63">
        <f>IF(tblMovement[[#This Row],[Source]]="","",IFERROR(INDEX(tblSources[Type],MATCH(tblMovement[[#This Row],[Source]],tblSources[Source],0)),"?"))</f>
        <v/>
      </c>
      <c r="L1098" s="63">
        <f>IF(tblMovement[[#This Row],[Destination]]="","",IFERROR(INDEX(tblDestinations[Type],MATCH(tblMovement[[#This Row],[Destination]],tblDestinations[Destination],0)),"?"))</f>
        <v/>
      </c>
      <c r="M1098" s="64">
        <f>IF(tblMovement[[#This Row],[Material]]="","",IF(LEFT(tblMovement[[#This Row],[Material]],3)="Ore",1,0))</f>
        <v/>
      </c>
      <c r="N1098" s="59">
        <f>IF(OR(tblMovement[[#This Row],[Tonnes_t]]="",tblMovement[[#This Row],[Grade_gpt]]=""),0,tblMovement[[#This Row],[Tonnes_t]]*tblMovement[[#This Row],[Grade_gpt]]/cfg_TroyOz)</f>
        <v/>
      </c>
      <c r="O1098" s="59">
        <f>IF(tblMovement[[#This Row],[Is_Ore]]=1,tblMovement[[#This Row],[Contained_oz]],0)</f>
        <v/>
      </c>
    </row>
    <row r="1099">
      <c r="A1099" s="54" t="n"/>
      <c r="B1099" s="61" t="n"/>
      <c r="C1099" s="61" t="n"/>
      <c r="D1099" s="61" t="n"/>
      <c r="E1099" s="61" t="n"/>
      <c r="F1099" s="55" t="n"/>
      <c r="G1099" s="56" t="n"/>
      <c r="H1099" s="55" t="n"/>
      <c r="I1099" s="62" t="n"/>
      <c r="J1099" s="58" t="n"/>
      <c r="K1099" s="63">
        <f>IF(tblMovement[[#This Row],[Source]]="","",IFERROR(INDEX(tblSources[Type],MATCH(tblMovement[[#This Row],[Source]],tblSources[Source],0)),"?"))</f>
        <v/>
      </c>
      <c r="L1099" s="63">
        <f>IF(tblMovement[[#This Row],[Destination]]="","",IFERROR(INDEX(tblDestinations[Type],MATCH(tblMovement[[#This Row],[Destination]],tblDestinations[Destination],0)),"?"))</f>
        <v/>
      </c>
      <c r="M1099" s="64">
        <f>IF(tblMovement[[#This Row],[Material]]="","",IF(LEFT(tblMovement[[#This Row],[Material]],3)="Ore",1,0))</f>
        <v/>
      </c>
      <c r="N1099" s="59">
        <f>IF(OR(tblMovement[[#This Row],[Tonnes_t]]="",tblMovement[[#This Row],[Grade_gpt]]=""),0,tblMovement[[#This Row],[Tonnes_t]]*tblMovement[[#This Row],[Grade_gpt]]/cfg_TroyOz)</f>
        <v/>
      </c>
      <c r="O1099" s="59">
        <f>IF(tblMovement[[#This Row],[Is_Ore]]=1,tblMovement[[#This Row],[Contained_oz]],0)</f>
        <v/>
      </c>
    </row>
    <row r="1100">
      <c r="A1100" s="54" t="n"/>
      <c r="B1100" s="61" t="n"/>
      <c r="C1100" s="61" t="n"/>
      <c r="D1100" s="61" t="n"/>
      <c r="E1100" s="61" t="n"/>
      <c r="F1100" s="55" t="n"/>
      <c r="G1100" s="56" t="n"/>
      <c r="H1100" s="55" t="n"/>
      <c r="I1100" s="62" t="n"/>
      <c r="J1100" s="58" t="n"/>
      <c r="K1100" s="63">
        <f>IF(tblMovement[[#This Row],[Source]]="","",IFERROR(INDEX(tblSources[Type],MATCH(tblMovement[[#This Row],[Source]],tblSources[Source],0)),"?"))</f>
        <v/>
      </c>
      <c r="L1100" s="63">
        <f>IF(tblMovement[[#This Row],[Destination]]="","",IFERROR(INDEX(tblDestinations[Type],MATCH(tblMovement[[#This Row],[Destination]],tblDestinations[Destination],0)),"?"))</f>
        <v/>
      </c>
      <c r="M1100" s="64">
        <f>IF(tblMovement[[#This Row],[Material]]="","",IF(LEFT(tblMovement[[#This Row],[Material]],3)="Ore",1,0))</f>
        <v/>
      </c>
      <c r="N1100" s="59">
        <f>IF(OR(tblMovement[[#This Row],[Tonnes_t]]="",tblMovement[[#This Row],[Grade_gpt]]=""),0,tblMovement[[#This Row],[Tonnes_t]]*tblMovement[[#This Row],[Grade_gpt]]/cfg_TroyOz)</f>
        <v/>
      </c>
      <c r="O1100" s="59">
        <f>IF(tblMovement[[#This Row],[Is_Ore]]=1,tblMovement[[#This Row],[Contained_oz]],0)</f>
        <v/>
      </c>
    </row>
    <row r="1101">
      <c r="A1101" s="54" t="n"/>
      <c r="B1101" s="61" t="n"/>
      <c r="C1101" s="61" t="n"/>
      <c r="D1101" s="61" t="n"/>
      <c r="E1101" s="61" t="n"/>
      <c r="F1101" s="55" t="n"/>
      <c r="G1101" s="56" t="n"/>
      <c r="H1101" s="55" t="n"/>
      <c r="I1101" s="62" t="n"/>
      <c r="J1101" s="58" t="n"/>
      <c r="K1101" s="63">
        <f>IF(tblMovement[[#This Row],[Source]]="","",IFERROR(INDEX(tblSources[Type],MATCH(tblMovement[[#This Row],[Source]],tblSources[Source],0)),"?"))</f>
        <v/>
      </c>
      <c r="L1101" s="63">
        <f>IF(tblMovement[[#This Row],[Destination]]="","",IFERROR(INDEX(tblDestinations[Type],MATCH(tblMovement[[#This Row],[Destination]],tblDestinations[Destination],0)),"?"))</f>
        <v/>
      </c>
      <c r="M1101" s="64">
        <f>IF(tblMovement[[#This Row],[Material]]="","",IF(LEFT(tblMovement[[#This Row],[Material]],3)="Ore",1,0))</f>
        <v/>
      </c>
      <c r="N1101" s="59">
        <f>IF(OR(tblMovement[[#This Row],[Tonnes_t]]="",tblMovement[[#This Row],[Grade_gpt]]=""),0,tblMovement[[#This Row],[Tonnes_t]]*tblMovement[[#This Row],[Grade_gpt]]/cfg_TroyOz)</f>
        <v/>
      </c>
      <c r="O1101" s="59">
        <f>IF(tblMovement[[#This Row],[Is_Ore]]=1,tblMovement[[#This Row],[Contained_oz]],0)</f>
        <v/>
      </c>
    </row>
    <row r="1102">
      <c r="A1102" s="54" t="n"/>
      <c r="B1102" s="61" t="n"/>
      <c r="C1102" s="61" t="n"/>
      <c r="D1102" s="61" t="n"/>
      <c r="E1102" s="61" t="n"/>
      <c r="F1102" s="55" t="n"/>
      <c r="G1102" s="56" t="n"/>
      <c r="H1102" s="55" t="n"/>
      <c r="I1102" s="62" t="n"/>
      <c r="J1102" s="58" t="n"/>
      <c r="K1102" s="63">
        <f>IF(tblMovement[[#This Row],[Source]]="","",IFERROR(INDEX(tblSources[Type],MATCH(tblMovement[[#This Row],[Source]],tblSources[Source],0)),"?"))</f>
        <v/>
      </c>
      <c r="L1102" s="63">
        <f>IF(tblMovement[[#This Row],[Destination]]="","",IFERROR(INDEX(tblDestinations[Type],MATCH(tblMovement[[#This Row],[Destination]],tblDestinations[Destination],0)),"?"))</f>
        <v/>
      </c>
      <c r="M1102" s="64">
        <f>IF(tblMovement[[#This Row],[Material]]="","",IF(LEFT(tblMovement[[#This Row],[Material]],3)="Ore",1,0))</f>
        <v/>
      </c>
      <c r="N1102" s="59">
        <f>IF(OR(tblMovement[[#This Row],[Tonnes_t]]="",tblMovement[[#This Row],[Grade_gpt]]=""),0,tblMovement[[#This Row],[Tonnes_t]]*tblMovement[[#This Row],[Grade_gpt]]/cfg_TroyOz)</f>
        <v/>
      </c>
      <c r="O1102" s="59">
        <f>IF(tblMovement[[#This Row],[Is_Ore]]=1,tblMovement[[#This Row],[Contained_oz]],0)</f>
        <v/>
      </c>
    </row>
    <row r="1103">
      <c r="A1103" s="54" t="n"/>
      <c r="B1103" s="61" t="n"/>
      <c r="C1103" s="61" t="n"/>
      <c r="D1103" s="61" t="n"/>
      <c r="E1103" s="61" t="n"/>
      <c r="F1103" s="55" t="n"/>
      <c r="G1103" s="56" t="n"/>
      <c r="H1103" s="55" t="n"/>
      <c r="I1103" s="62" t="n"/>
      <c r="J1103" s="58" t="n"/>
      <c r="K1103" s="63">
        <f>IF(tblMovement[[#This Row],[Source]]="","",IFERROR(INDEX(tblSources[Type],MATCH(tblMovement[[#This Row],[Source]],tblSources[Source],0)),"?"))</f>
        <v/>
      </c>
      <c r="L1103" s="63">
        <f>IF(tblMovement[[#This Row],[Destination]]="","",IFERROR(INDEX(tblDestinations[Type],MATCH(tblMovement[[#This Row],[Destination]],tblDestinations[Destination],0)),"?"))</f>
        <v/>
      </c>
      <c r="M1103" s="64">
        <f>IF(tblMovement[[#This Row],[Material]]="","",IF(LEFT(tblMovement[[#This Row],[Material]],3)="Ore",1,0))</f>
        <v/>
      </c>
      <c r="N1103" s="59">
        <f>IF(OR(tblMovement[[#This Row],[Tonnes_t]]="",tblMovement[[#This Row],[Grade_gpt]]=""),0,tblMovement[[#This Row],[Tonnes_t]]*tblMovement[[#This Row],[Grade_gpt]]/cfg_TroyOz)</f>
        <v/>
      </c>
      <c r="O1103" s="59">
        <f>IF(tblMovement[[#This Row],[Is_Ore]]=1,tblMovement[[#This Row],[Contained_oz]],0)</f>
        <v/>
      </c>
    </row>
    <row r="1104">
      <c r="A1104" s="54" t="n"/>
      <c r="B1104" s="61" t="n"/>
      <c r="C1104" s="61" t="n"/>
      <c r="D1104" s="61" t="n"/>
      <c r="E1104" s="61" t="n"/>
      <c r="F1104" s="55" t="n"/>
      <c r="G1104" s="56" t="n"/>
      <c r="H1104" s="55" t="n"/>
      <c r="I1104" s="62" t="n"/>
      <c r="J1104" s="58" t="n"/>
      <c r="K1104" s="63">
        <f>IF(tblMovement[[#This Row],[Source]]="","",IFERROR(INDEX(tblSources[Type],MATCH(tblMovement[[#This Row],[Source]],tblSources[Source],0)),"?"))</f>
        <v/>
      </c>
      <c r="L1104" s="63">
        <f>IF(tblMovement[[#This Row],[Destination]]="","",IFERROR(INDEX(tblDestinations[Type],MATCH(tblMovement[[#This Row],[Destination]],tblDestinations[Destination],0)),"?"))</f>
        <v/>
      </c>
      <c r="M1104" s="64">
        <f>IF(tblMovement[[#This Row],[Material]]="","",IF(LEFT(tblMovement[[#This Row],[Material]],3)="Ore",1,0))</f>
        <v/>
      </c>
      <c r="N1104" s="59">
        <f>IF(OR(tblMovement[[#This Row],[Tonnes_t]]="",tblMovement[[#This Row],[Grade_gpt]]=""),0,tblMovement[[#This Row],[Tonnes_t]]*tblMovement[[#This Row],[Grade_gpt]]/cfg_TroyOz)</f>
        <v/>
      </c>
      <c r="O1104" s="59">
        <f>IF(tblMovement[[#This Row],[Is_Ore]]=1,tblMovement[[#This Row],[Contained_oz]],0)</f>
        <v/>
      </c>
    </row>
    <row r="1105">
      <c r="A1105" s="54" t="n"/>
      <c r="B1105" s="61" t="n"/>
      <c r="C1105" s="61" t="n"/>
      <c r="D1105" s="61" t="n"/>
      <c r="E1105" s="61" t="n"/>
      <c r="F1105" s="55" t="n"/>
      <c r="G1105" s="56" t="n"/>
      <c r="H1105" s="55" t="n"/>
      <c r="I1105" s="62" t="n"/>
      <c r="J1105" s="58" t="n"/>
      <c r="K1105" s="63">
        <f>IF(tblMovement[[#This Row],[Source]]="","",IFERROR(INDEX(tblSources[Type],MATCH(tblMovement[[#This Row],[Source]],tblSources[Source],0)),"?"))</f>
        <v/>
      </c>
      <c r="L1105" s="63">
        <f>IF(tblMovement[[#This Row],[Destination]]="","",IFERROR(INDEX(tblDestinations[Type],MATCH(tblMovement[[#This Row],[Destination]],tblDestinations[Destination],0)),"?"))</f>
        <v/>
      </c>
      <c r="M1105" s="64">
        <f>IF(tblMovement[[#This Row],[Material]]="","",IF(LEFT(tblMovement[[#This Row],[Material]],3)="Ore",1,0))</f>
        <v/>
      </c>
      <c r="N1105" s="59">
        <f>IF(OR(tblMovement[[#This Row],[Tonnes_t]]="",tblMovement[[#This Row],[Grade_gpt]]=""),0,tblMovement[[#This Row],[Tonnes_t]]*tblMovement[[#This Row],[Grade_gpt]]/cfg_TroyOz)</f>
        <v/>
      </c>
      <c r="O1105" s="59">
        <f>IF(tblMovement[[#This Row],[Is_Ore]]=1,tblMovement[[#This Row],[Contained_oz]],0)</f>
        <v/>
      </c>
    </row>
    <row r="1106">
      <c r="A1106" s="54" t="n"/>
      <c r="B1106" s="61" t="n"/>
      <c r="C1106" s="61" t="n"/>
      <c r="D1106" s="61" t="n"/>
      <c r="E1106" s="61" t="n"/>
      <c r="F1106" s="55" t="n"/>
      <c r="G1106" s="56" t="n"/>
      <c r="H1106" s="55" t="n"/>
      <c r="I1106" s="62" t="n"/>
      <c r="J1106" s="58" t="n"/>
      <c r="K1106" s="63">
        <f>IF(tblMovement[[#This Row],[Source]]="","",IFERROR(INDEX(tblSources[Type],MATCH(tblMovement[[#This Row],[Source]],tblSources[Source],0)),"?"))</f>
        <v/>
      </c>
      <c r="L1106" s="63">
        <f>IF(tblMovement[[#This Row],[Destination]]="","",IFERROR(INDEX(tblDestinations[Type],MATCH(tblMovement[[#This Row],[Destination]],tblDestinations[Destination],0)),"?"))</f>
        <v/>
      </c>
      <c r="M1106" s="64">
        <f>IF(tblMovement[[#This Row],[Material]]="","",IF(LEFT(tblMovement[[#This Row],[Material]],3)="Ore",1,0))</f>
        <v/>
      </c>
      <c r="N1106" s="59">
        <f>IF(OR(tblMovement[[#This Row],[Tonnes_t]]="",tblMovement[[#This Row],[Grade_gpt]]=""),0,tblMovement[[#This Row],[Tonnes_t]]*tblMovement[[#This Row],[Grade_gpt]]/cfg_TroyOz)</f>
        <v/>
      </c>
      <c r="O1106" s="59">
        <f>IF(tblMovement[[#This Row],[Is_Ore]]=1,tblMovement[[#This Row],[Contained_oz]],0)</f>
        <v/>
      </c>
    </row>
    <row r="1107">
      <c r="A1107" s="54" t="n"/>
      <c r="B1107" s="61" t="n"/>
      <c r="C1107" s="61" t="n"/>
      <c r="D1107" s="61" t="n"/>
      <c r="E1107" s="61" t="n"/>
      <c r="F1107" s="55" t="n"/>
      <c r="G1107" s="56" t="n"/>
      <c r="H1107" s="55" t="n"/>
      <c r="I1107" s="62" t="n"/>
      <c r="J1107" s="58" t="n"/>
      <c r="K1107" s="63">
        <f>IF(tblMovement[[#This Row],[Source]]="","",IFERROR(INDEX(tblSources[Type],MATCH(tblMovement[[#This Row],[Source]],tblSources[Source],0)),"?"))</f>
        <v/>
      </c>
      <c r="L1107" s="63">
        <f>IF(tblMovement[[#This Row],[Destination]]="","",IFERROR(INDEX(tblDestinations[Type],MATCH(tblMovement[[#This Row],[Destination]],tblDestinations[Destination],0)),"?"))</f>
        <v/>
      </c>
      <c r="M1107" s="64">
        <f>IF(tblMovement[[#This Row],[Material]]="","",IF(LEFT(tblMovement[[#This Row],[Material]],3)="Ore",1,0))</f>
        <v/>
      </c>
      <c r="N1107" s="59">
        <f>IF(OR(tblMovement[[#This Row],[Tonnes_t]]="",tblMovement[[#This Row],[Grade_gpt]]=""),0,tblMovement[[#This Row],[Tonnes_t]]*tblMovement[[#This Row],[Grade_gpt]]/cfg_TroyOz)</f>
        <v/>
      </c>
      <c r="O1107" s="59">
        <f>IF(tblMovement[[#This Row],[Is_Ore]]=1,tblMovement[[#This Row],[Contained_oz]],0)</f>
        <v/>
      </c>
    </row>
    <row r="1108">
      <c r="A1108" s="54" t="n"/>
      <c r="B1108" s="61" t="n"/>
      <c r="C1108" s="61" t="n"/>
      <c r="D1108" s="61" t="n"/>
      <c r="E1108" s="61" t="n"/>
      <c r="F1108" s="55" t="n"/>
      <c r="G1108" s="56" t="n"/>
      <c r="H1108" s="55" t="n"/>
      <c r="I1108" s="62" t="n"/>
      <c r="J1108" s="58" t="n"/>
      <c r="K1108" s="63">
        <f>IF(tblMovement[[#This Row],[Source]]="","",IFERROR(INDEX(tblSources[Type],MATCH(tblMovement[[#This Row],[Source]],tblSources[Source],0)),"?"))</f>
        <v/>
      </c>
      <c r="L1108" s="63">
        <f>IF(tblMovement[[#This Row],[Destination]]="","",IFERROR(INDEX(tblDestinations[Type],MATCH(tblMovement[[#This Row],[Destination]],tblDestinations[Destination],0)),"?"))</f>
        <v/>
      </c>
      <c r="M1108" s="64">
        <f>IF(tblMovement[[#This Row],[Material]]="","",IF(LEFT(tblMovement[[#This Row],[Material]],3)="Ore",1,0))</f>
        <v/>
      </c>
      <c r="N1108" s="59">
        <f>IF(OR(tblMovement[[#This Row],[Tonnes_t]]="",tblMovement[[#This Row],[Grade_gpt]]=""),0,tblMovement[[#This Row],[Tonnes_t]]*tblMovement[[#This Row],[Grade_gpt]]/cfg_TroyOz)</f>
        <v/>
      </c>
      <c r="O1108" s="59">
        <f>IF(tblMovement[[#This Row],[Is_Ore]]=1,tblMovement[[#This Row],[Contained_oz]],0)</f>
        <v/>
      </c>
    </row>
    <row r="1109">
      <c r="A1109" s="54" t="n"/>
      <c r="B1109" s="61" t="n"/>
      <c r="C1109" s="61" t="n"/>
      <c r="D1109" s="61" t="n"/>
      <c r="E1109" s="61" t="n"/>
      <c r="F1109" s="55" t="n"/>
      <c r="G1109" s="56" t="n"/>
      <c r="H1109" s="55" t="n"/>
      <c r="I1109" s="62" t="n"/>
      <c r="J1109" s="58" t="n"/>
      <c r="K1109" s="63">
        <f>IF(tblMovement[[#This Row],[Source]]="","",IFERROR(INDEX(tblSources[Type],MATCH(tblMovement[[#This Row],[Source]],tblSources[Source],0)),"?"))</f>
        <v/>
      </c>
      <c r="L1109" s="63">
        <f>IF(tblMovement[[#This Row],[Destination]]="","",IFERROR(INDEX(tblDestinations[Type],MATCH(tblMovement[[#This Row],[Destination]],tblDestinations[Destination],0)),"?"))</f>
        <v/>
      </c>
      <c r="M1109" s="64">
        <f>IF(tblMovement[[#This Row],[Material]]="","",IF(LEFT(tblMovement[[#This Row],[Material]],3)="Ore",1,0))</f>
        <v/>
      </c>
      <c r="N1109" s="59">
        <f>IF(OR(tblMovement[[#This Row],[Tonnes_t]]="",tblMovement[[#This Row],[Grade_gpt]]=""),0,tblMovement[[#This Row],[Tonnes_t]]*tblMovement[[#This Row],[Grade_gpt]]/cfg_TroyOz)</f>
        <v/>
      </c>
      <c r="O1109" s="59">
        <f>IF(tblMovement[[#This Row],[Is_Ore]]=1,tblMovement[[#This Row],[Contained_oz]],0)</f>
        <v/>
      </c>
    </row>
    <row r="1110">
      <c r="A1110" s="54" t="n"/>
      <c r="B1110" s="61" t="n"/>
      <c r="C1110" s="61" t="n"/>
      <c r="D1110" s="61" t="n"/>
      <c r="E1110" s="61" t="n"/>
      <c r="F1110" s="55" t="n"/>
      <c r="G1110" s="56" t="n"/>
      <c r="H1110" s="55" t="n"/>
      <c r="I1110" s="62" t="n"/>
      <c r="J1110" s="58" t="n"/>
      <c r="K1110" s="63">
        <f>IF(tblMovement[[#This Row],[Source]]="","",IFERROR(INDEX(tblSources[Type],MATCH(tblMovement[[#This Row],[Source]],tblSources[Source],0)),"?"))</f>
        <v/>
      </c>
      <c r="L1110" s="63">
        <f>IF(tblMovement[[#This Row],[Destination]]="","",IFERROR(INDEX(tblDestinations[Type],MATCH(tblMovement[[#This Row],[Destination]],tblDestinations[Destination],0)),"?"))</f>
        <v/>
      </c>
      <c r="M1110" s="64">
        <f>IF(tblMovement[[#This Row],[Material]]="","",IF(LEFT(tblMovement[[#This Row],[Material]],3)="Ore",1,0))</f>
        <v/>
      </c>
      <c r="N1110" s="59">
        <f>IF(OR(tblMovement[[#This Row],[Tonnes_t]]="",tblMovement[[#This Row],[Grade_gpt]]=""),0,tblMovement[[#This Row],[Tonnes_t]]*tblMovement[[#This Row],[Grade_gpt]]/cfg_TroyOz)</f>
        <v/>
      </c>
      <c r="O1110" s="59">
        <f>IF(tblMovement[[#This Row],[Is_Ore]]=1,tblMovement[[#This Row],[Contained_oz]],0)</f>
        <v/>
      </c>
    </row>
    <row r="1111">
      <c r="A1111" s="54" t="n"/>
      <c r="B1111" s="61" t="n"/>
      <c r="C1111" s="61" t="n"/>
      <c r="D1111" s="61" t="n"/>
      <c r="E1111" s="61" t="n"/>
      <c r="F1111" s="55" t="n"/>
      <c r="G1111" s="56" t="n"/>
      <c r="H1111" s="55" t="n"/>
      <c r="I1111" s="62" t="n"/>
      <c r="J1111" s="58" t="n"/>
      <c r="K1111" s="63">
        <f>IF(tblMovement[[#This Row],[Source]]="","",IFERROR(INDEX(tblSources[Type],MATCH(tblMovement[[#This Row],[Source]],tblSources[Source],0)),"?"))</f>
        <v/>
      </c>
      <c r="L1111" s="63">
        <f>IF(tblMovement[[#This Row],[Destination]]="","",IFERROR(INDEX(tblDestinations[Type],MATCH(tblMovement[[#This Row],[Destination]],tblDestinations[Destination],0)),"?"))</f>
        <v/>
      </c>
      <c r="M1111" s="64">
        <f>IF(tblMovement[[#This Row],[Material]]="","",IF(LEFT(tblMovement[[#This Row],[Material]],3)="Ore",1,0))</f>
        <v/>
      </c>
      <c r="N1111" s="59">
        <f>IF(OR(tblMovement[[#This Row],[Tonnes_t]]="",tblMovement[[#This Row],[Grade_gpt]]=""),0,tblMovement[[#This Row],[Tonnes_t]]*tblMovement[[#This Row],[Grade_gpt]]/cfg_TroyOz)</f>
        <v/>
      </c>
      <c r="O1111" s="59">
        <f>IF(tblMovement[[#This Row],[Is_Ore]]=1,tblMovement[[#This Row],[Contained_oz]],0)</f>
        <v/>
      </c>
    </row>
    <row r="1112">
      <c r="A1112" s="54" t="n"/>
      <c r="B1112" s="61" t="n"/>
      <c r="C1112" s="61" t="n"/>
      <c r="D1112" s="61" t="n"/>
      <c r="E1112" s="61" t="n"/>
      <c r="F1112" s="55" t="n"/>
      <c r="G1112" s="56" t="n"/>
      <c r="H1112" s="55" t="n"/>
      <c r="I1112" s="62" t="n"/>
      <c r="J1112" s="58" t="n"/>
      <c r="K1112" s="63">
        <f>IF(tblMovement[[#This Row],[Source]]="","",IFERROR(INDEX(tblSources[Type],MATCH(tblMovement[[#This Row],[Source]],tblSources[Source],0)),"?"))</f>
        <v/>
      </c>
      <c r="L1112" s="63">
        <f>IF(tblMovement[[#This Row],[Destination]]="","",IFERROR(INDEX(tblDestinations[Type],MATCH(tblMovement[[#This Row],[Destination]],tblDestinations[Destination],0)),"?"))</f>
        <v/>
      </c>
      <c r="M1112" s="64">
        <f>IF(tblMovement[[#This Row],[Material]]="","",IF(LEFT(tblMovement[[#This Row],[Material]],3)="Ore",1,0))</f>
        <v/>
      </c>
      <c r="N1112" s="59">
        <f>IF(OR(tblMovement[[#This Row],[Tonnes_t]]="",tblMovement[[#This Row],[Grade_gpt]]=""),0,tblMovement[[#This Row],[Tonnes_t]]*tblMovement[[#This Row],[Grade_gpt]]/cfg_TroyOz)</f>
        <v/>
      </c>
      <c r="O1112" s="59">
        <f>IF(tblMovement[[#This Row],[Is_Ore]]=1,tblMovement[[#This Row],[Contained_oz]],0)</f>
        <v/>
      </c>
    </row>
    <row r="1113">
      <c r="A1113" s="54" t="n"/>
      <c r="B1113" s="61" t="n"/>
      <c r="C1113" s="61" t="n"/>
      <c r="D1113" s="61" t="n"/>
      <c r="E1113" s="61" t="n"/>
      <c r="F1113" s="55" t="n"/>
      <c r="G1113" s="56" t="n"/>
      <c r="H1113" s="55" t="n"/>
      <c r="I1113" s="62" t="n"/>
      <c r="J1113" s="58" t="n"/>
      <c r="K1113" s="63">
        <f>IF(tblMovement[[#This Row],[Source]]="","",IFERROR(INDEX(tblSources[Type],MATCH(tblMovement[[#This Row],[Source]],tblSources[Source],0)),"?"))</f>
        <v/>
      </c>
      <c r="L1113" s="63">
        <f>IF(tblMovement[[#This Row],[Destination]]="","",IFERROR(INDEX(tblDestinations[Type],MATCH(tblMovement[[#This Row],[Destination]],tblDestinations[Destination],0)),"?"))</f>
        <v/>
      </c>
      <c r="M1113" s="64">
        <f>IF(tblMovement[[#This Row],[Material]]="","",IF(LEFT(tblMovement[[#This Row],[Material]],3)="Ore",1,0))</f>
        <v/>
      </c>
      <c r="N1113" s="59">
        <f>IF(OR(tblMovement[[#This Row],[Tonnes_t]]="",tblMovement[[#This Row],[Grade_gpt]]=""),0,tblMovement[[#This Row],[Tonnes_t]]*tblMovement[[#This Row],[Grade_gpt]]/cfg_TroyOz)</f>
        <v/>
      </c>
      <c r="O1113" s="59">
        <f>IF(tblMovement[[#This Row],[Is_Ore]]=1,tblMovement[[#This Row],[Contained_oz]],0)</f>
        <v/>
      </c>
    </row>
    <row r="1114">
      <c r="A1114" s="54" t="n"/>
      <c r="B1114" s="61" t="n"/>
      <c r="C1114" s="61" t="n"/>
      <c r="D1114" s="61" t="n"/>
      <c r="E1114" s="61" t="n"/>
      <c r="F1114" s="55" t="n"/>
      <c r="G1114" s="56" t="n"/>
      <c r="H1114" s="55" t="n"/>
      <c r="I1114" s="62" t="n"/>
      <c r="J1114" s="58" t="n"/>
      <c r="K1114" s="63">
        <f>IF(tblMovement[[#This Row],[Source]]="","",IFERROR(INDEX(tblSources[Type],MATCH(tblMovement[[#This Row],[Source]],tblSources[Source],0)),"?"))</f>
        <v/>
      </c>
      <c r="L1114" s="63">
        <f>IF(tblMovement[[#This Row],[Destination]]="","",IFERROR(INDEX(tblDestinations[Type],MATCH(tblMovement[[#This Row],[Destination]],tblDestinations[Destination],0)),"?"))</f>
        <v/>
      </c>
      <c r="M1114" s="64">
        <f>IF(tblMovement[[#This Row],[Material]]="","",IF(LEFT(tblMovement[[#This Row],[Material]],3)="Ore",1,0))</f>
        <v/>
      </c>
      <c r="N1114" s="59">
        <f>IF(OR(tblMovement[[#This Row],[Tonnes_t]]="",tblMovement[[#This Row],[Grade_gpt]]=""),0,tblMovement[[#This Row],[Tonnes_t]]*tblMovement[[#This Row],[Grade_gpt]]/cfg_TroyOz)</f>
        <v/>
      </c>
      <c r="O1114" s="59">
        <f>IF(tblMovement[[#This Row],[Is_Ore]]=1,tblMovement[[#This Row],[Contained_oz]],0)</f>
        <v/>
      </c>
    </row>
    <row r="1115">
      <c r="A1115" s="54" t="n"/>
      <c r="B1115" s="61" t="n"/>
      <c r="C1115" s="61" t="n"/>
      <c r="D1115" s="61" t="n"/>
      <c r="E1115" s="61" t="n"/>
      <c r="F1115" s="55" t="n"/>
      <c r="G1115" s="56" t="n"/>
      <c r="H1115" s="55" t="n"/>
      <c r="I1115" s="62" t="n"/>
      <c r="J1115" s="58" t="n"/>
      <c r="K1115" s="63">
        <f>IF(tblMovement[[#This Row],[Source]]="","",IFERROR(INDEX(tblSources[Type],MATCH(tblMovement[[#This Row],[Source]],tblSources[Source],0)),"?"))</f>
        <v/>
      </c>
      <c r="L1115" s="63">
        <f>IF(tblMovement[[#This Row],[Destination]]="","",IFERROR(INDEX(tblDestinations[Type],MATCH(tblMovement[[#This Row],[Destination]],tblDestinations[Destination],0)),"?"))</f>
        <v/>
      </c>
      <c r="M1115" s="64">
        <f>IF(tblMovement[[#This Row],[Material]]="","",IF(LEFT(tblMovement[[#This Row],[Material]],3)="Ore",1,0))</f>
        <v/>
      </c>
      <c r="N1115" s="59">
        <f>IF(OR(tblMovement[[#This Row],[Tonnes_t]]="",tblMovement[[#This Row],[Grade_gpt]]=""),0,tblMovement[[#This Row],[Tonnes_t]]*tblMovement[[#This Row],[Grade_gpt]]/cfg_TroyOz)</f>
        <v/>
      </c>
      <c r="O1115" s="59">
        <f>IF(tblMovement[[#This Row],[Is_Ore]]=1,tblMovement[[#This Row],[Contained_oz]],0)</f>
        <v/>
      </c>
    </row>
    <row r="1116">
      <c r="A1116" s="54" t="n"/>
      <c r="B1116" s="61" t="n"/>
      <c r="C1116" s="61" t="n"/>
      <c r="D1116" s="61" t="n"/>
      <c r="E1116" s="61" t="n"/>
      <c r="F1116" s="55" t="n"/>
      <c r="G1116" s="56" t="n"/>
      <c r="H1116" s="55" t="n"/>
      <c r="I1116" s="62" t="n"/>
      <c r="J1116" s="58" t="n"/>
      <c r="K1116" s="63">
        <f>IF(tblMovement[[#This Row],[Source]]="","",IFERROR(INDEX(tblSources[Type],MATCH(tblMovement[[#This Row],[Source]],tblSources[Source],0)),"?"))</f>
        <v/>
      </c>
      <c r="L1116" s="63">
        <f>IF(tblMovement[[#This Row],[Destination]]="","",IFERROR(INDEX(tblDestinations[Type],MATCH(tblMovement[[#This Row],[Destination]],tblDestinations[Destination],0)),"?"))</f>
        <v/>
      </c>
      <c r="M1116" s="64">
        <f>IF(tblMovement[[#This Row],[Material]]="","",IF(LEFT(tblMovement[[#This Row],[Material]],3)="Ore",1,0))</f>
        <v/>
      </c>
      <c r="N1116" s="59">
        <f>IF(OR(tblMovement[[#This Row],[Tonnes_t]]="",tblMovement[[#This Row],[Grade_gpt]]=""),0,tblMovement[[#This Row],[Tonnes_t]]*tblMovement[[#This Row],[Grade_gpt]]/cfg_TroyOz)</f>
        <v/>
      </c>
      <c r="O1116" s="59">
        <f>IF(tblMovement[[#This Row],[Is_Ore]]=1,tblMovement[[#This Row],[Contained_oz]],0)</f>
        <v/>
      </c>
    </row>
    <row r="1117">
      <c r="A1117" s="54" t="n"/>
      <c r="B1117" s="61" t="n"/>
      <c r="C1117" s="61" t="n"/>
      <c r="D1117" s="61" t="n"/>
      <c r="E1117" s="61" t="n"/>
      <c r="F1117" s="55" t="n"/>
      <c r="G1117" s="56" t="n"/>
      <c r="H1117" s="55" t="n"/>
      <c r="I1117" s="62" t="n"/>
      <c r="J1117" s="58" t="n"/>
      <c r="K1117" s="63">
        <f>IF(tblMovement[[#This Row],[Source]]="","",IFERROR(INDEX(tblSources[Type],MATCH(tblMovement[[#This Row],[Source]],tblSources[Source],0)),"?"))</f>
        <v/>
      </c>
      <c r="L1117" s="63">
        <f>IF(tblMovement[[#This Row],[Destination]]="","",IFERROR(INDEX(tblDestinations[Type],MATCH(tblMovement[[#This Row],[Destination]],tblDestinations[Destination],0)),"?"))</f>
        <v/>
      </c>
      <c r="M1117" s="64">
        <f>IF(tblMovement[[#This Row],[Material]]="","",IF(LEFT(tblMovement[[#This Row],[Material]],3)="Ore",1,0))</f>
        <v/>
      </c>
      <c r="N1117" s="59">
        <f>IF(OR(tblMovement[[#This Row],[Tonnes_t]]="",tblMovement[[#This Row],[Grade_gpt]]=""),0,tblMovement[[#This Row],[Tonnes_t]]*tblMovement[[#This Row],[Grade_gpt]]/cfg_TroyOz)</f>
        <v/>
      </c>
      <c r="O1117" s="59">
        <f>IF(tblMovement[[#This Row],[Is_Ore]]=1,tblMovement[[#This Row],[Contained_oz]],0)</f>
        <v/>
      </c>
    </row>
    <row r="1118">
      <c r="A1118" s="54" t="n"/>
      <c r="B1118" s="61" t="n"/>
      <c r="C1118" s="61" t="n"/>
      <c r="D1118" s="61" t="n"/>
      <c r="E1118" s="61" t="n"/>
      <c r="F1118" s="55" t="n"/>
      <c r="G1118" s="56" t="n"/>
      <c r="H1118" s="55" t="n"/>
      <c r="I1118" s="62" t="n"/>
      <c r="J1118" s="58" t="n"/>
      <c r="K1118" s="63">
        <f>IF(tblMovement[[#This Row],[Source]]="","",IFERROR(INDEX(tblSources[Type],MATCH(tblMovement[[#This Row],[Source]],tblSources[Source],0)),"?"))</f>
        <v/>
      </c>
      <c r="L1118" s="63">
        <f>IF(tblMovement[[#This Row],[Destination]]="","",IFERROR(INDEX(tblDestinations[Type],MATCH(tblMovement[[#This Row],[Destination]],tblDestinations[Destination],0)),"?"))</f>
        <v/>
      </c>
      <c r="M1118" s="64">
        <f>IF(tblMovement[[#This Row],[Material]]="","",IF(LEFT(tblMovement[[#This Row],[Material]],3)="Ore",1,0))</f>
        <v/>
      </c>
      <c r="N1118" s="59">
        <f>IF(OR(tblMovement[[#This Row],[Tonnes_t]]="",tblMovement[[#This Row],[Grade_gpt]]=""),0,tblMovement[[#This Row],[Tonnes_t]]*tblMovement[[#This Row],[Grade_gpt]]/cfg_TroyOz)</f>
        <v/>
      </c>
      <c r="O1118" s="59">
        <f>IF(tblMovement[[#This Row],[Is_Ore]]=1,tblMovement[[#This Row],[Contained_oz]],0)</f>
        <v/>
      </c>
    </row>
    <row r="1119">
      <c r="A1119" s="54" t="n"/>
      <c r="B1119" s="61" t="n"/>
      <c r="C1119" s="61" t="n"/>
      <c r="D1119" s="61" t="n"/>
      <c r="E1119" s="61" t="n"/>
      <c r="F1119" s="55" t="n"/>
      <c r="G1119" s="56" t="n"/>
      <c r="H1119" s="55" t="n"/>
      <c r="I1119" s="62" t="n"/>
      <c r="J1119" s="58" t="n"/>
      <c r="K1119" s="63">
        <f>IF(tblMovement[[#This Row],[Source]]="","",IFERROR(INDEX(tblSources[Type],MATCH(tblMovement[[#This Row],[Source]],tblSources[Source],0)),"?"))</f>
        <v/>
      </c>
      <c r="L1119" s="63">
        <f>IF(tblMovement[[#This Row],[Destination]]="","",IFERROR(INDEX(tblDestinations[Type],MATCH(tblMovement[[#This Row],[Destination]],tblDestinations[Destination],0)),"?"))</f>
        <v/>
      </c>
      <c r="M1119" s="64">
        <f>IF(tblMovement[[#This Row],[Material]]="","",IF(LEFT(tblMovement[[#This Row],[Material]],3)="Ore",1,0))</f>
        <v/>
      </c>
      <c r="N1119" s="59">
        <f>IF(OR(tblMovement[[#This Row],[Tonnes_t]]="",tblMovement[[#This Row],[Grade_gpt]]=""),0,tblMovement[[#This Row],[Tonnes_t]]*tblMovement[[#This Row],[Grade_gpt]]/cfg_TroyOz)</f>
        <v/>
      </c>
      <c r="O1119" s="59">
        <f>IF(tblMovement[[#This Row],[Is_Ore]]=1,tblMovement[[#This Row],[Contained_oz]],0)</f>
        <v/>
      </c>
    </row>
    <row r="1120">
      <c r="A1120" s="54" t="n"/>
      <c r="B1120" s="61" t="n"/>
      <c r="C1120" s="61" t="n"/>
      <c r="D1120" s="61" t="n"/>
      <c r="E1120" s="61" t="n"/>
      <c r="F1120" s="55" t="n"/>
      <c r="G1120" s="56" t="n"/>
      <c r="H1120" s="55" t="n"/>
      <c r="I1120" s="62" t="n"/>
      <c r="J1120" s="58" t="n"/>
      <c r="K1120" s="63">
        <f>IF(tblMovement[[#This Row],[Source]]="","",IFERROR(INDEX(tblSources[Type],MATCH(tblMovement[[#This Row],[Source]],tblSources[Source],0)),"?"))</f>
        <v/>
      </c>
      <c r="L1120" s="63">
        <f>IF(tblMovement[[#This Row],[Destination]]="","",IFERROR(INDEX(tblDestinations[Type],MATCH(tblMovement[[#This Row],[Destination]],tblDestinations[Destination],0)),"?"))</f>
        <v/>
      </c>
      <c r="M1120" s="64">
        <f>IF(tblMovement[[#This Row],[Material]]="","",IF(LEFT(tblMovement[[#This Row],[Material]],3)="Ore",1,0))</f>
        <v/>
      </c>
      <c r="N1120" s="59">
        <f>IF(OR(tblMovement[[#This Row],[Tonnes_t]]="",tblMovement[[#This Row],[Grade_gpt]]=""),0,tblMovement[[#This Row],[Tonnes_t]]*tblMovement[[#This Row],[Grade_gpt]]/cfg_TroyOz)</f>
        <v/>
      </c>
      <c r="O1120" s="59">
        <f>IF(tblMovement[[#This Row],[Is_Ore]]=1,tblMovement[[#This Row],[Contained_oz]],0)</f>
        <v/>
      </c>
    </row>
    <row r="1121">
      <c r="A1121" s="54" t="n"/>
      <c r="B1121" s="61" t="n"/>
      <c r="C1121" s="61" t="n"/>
      <c r="D1121" s="61" t="n"/>
      <c r="E1121" s="61" t="n"/>
      <c r="F1121" s="55" t="n"/>
      <c r="G1121" s="56" t="n"/>
      <c r="H1121" s="55" t="n"/>
      <c r="I1121" s="62" t="n"/>
      <c r="J1121" s="58" t="n"/>
      <c r="K1121" s="63">
        <f>IF(tblMovement[[#This Row],[Source]]="","",IFERROR(INDEX(tblSources[Type],MATCH(tblMovement[[#This Row],[Source]],tblSources[Source],0)),"?"))</f>
        <v/>
      </c>
      <c r="L1121" s="63">
        <f>IF(tblMovement[[#This Row],[Destination]]="","",IFERROR(INDEX(tblDestinations[Type],MATCH(tblMovement[[#This Row],[Destination]],tblDestinations[Destination],0)),"?"))</f>
        <v/>
      </c>
      <c r="M1121" s="64">
        <f>IF(tblMovement[[#This Row],[Material]]="","",IF(LEFT(tblMovement[[#This Row],[Material]],3)="Ore",1,0))</f>
        <v/>
      </c>
      <c r="N1121" s="59">
        <f>IF(OR(tblMovement[[#This Row],[Tonnes_t]]="",tblMovement[[#This Row],[Grade_gpt]]=""),0,tblMovement[[#This Row],[Tonnes_t]]*tblMovement[[#This Row],[Grade_gpt]]/cfg_TroyOz)</f>
        <v/>
      </c>
      <c r="O1121" s="59">
        <f>IF(tblMovement[[#This Row],[Is_Ore]]=1,tblMovement[[#This Row],[Contained_oz]],0)</f>
        <v/>
      </c>
    </row>
    <row r="1122">
      <c r="A1122" s="54" t="n"/>
      <c r="B1122" s="61" t="n"/>
      <c r="C1122" s="61" t="n"/>
      <c r="D1122" s="61" t="n"/>
      <c r="E1122" s="61" t="n"/>
      <c r="F1122" s="55" t="n"/>
      <c r="G1122" s="56" t="n"/>
      <c r="H1122" s="55" t="n"/>
      <c r="I1122" s="62" t="n"/>
      <c r="J1122" s="58" t="n"/>
      <c r="K1122" s="63">
        <f>IF(tblMovement[[#This Row],[Source]]="","",IFERROR(INDEX(tblSources[Type],MATCH(tblMovement[[#This Row],[Source]],tblSources[Source],0)),"?"))</f>
        <v/>
      </c>
      <c r="L1122" s="63">
        <f>IF(tblMovement[[#This Row],[Destination]]="","",IFERROR(INDEX(tblDestinations[Type],MATCH(tblMovement[[#This Row],[Destination]],tblDestinations[Destination],0)),"?"))</f>
        <v/>
      </c>
      <c r="M1122" s="64">
        <f>IF(tblMovement[[#This Row],[Material]]="","",IF(LEFT(tblMovement[[#This Row],[Material]],3)="Ore",1,0))</f>
        <v/>
      </c>
      <c r="N1122" s="59">
        <f>IF(OR(tblMovement[[#This Row],[Tonnes_t]]="",tblMovement[[#This Row],[Grade_gpt]]=""),0,tblMovement[[#This Row],[Tonnes_t]]*tblMovement[[#This Row],[Grade_gpt]]/cfg_TroyOz)</f>
        <v/>
      </c>
      <c r="O1122" s="59">
        <f>IF(tblMovement[[#This Row],[Is_Ore]]=1,tblMovement[[#This Row],[Contained_oz]],0)</f>
        <v/>
      </c>
    </row>
    <row r="1123">
      <c r="A1123" s="54" t="n"/>
      <c r="B1123" s="61" t="n"/>
      <c r="C1123" s="61" t="n"/>
      <c r="D1123" s="61" t="n"/>
      <c r="E1123" s="61" t="n"/>
      <c r="F1123" s="55" t="n"/>
      <c r="G1123" s="56" t="n"/>
      <c r="H1123" s="55" t="n"/>
      <c r="I1123" s="62" t="n"/>
      <c r="J1123" s="58" t="n"/>
      <c r="K1123" s="63">
        <f>IF(tblMovement[[#This Row],[Source]]="","",IFERROR(INDEX(tblSources[Type],MATCH(tblMovement[[#This Row],[Source]],tblSources[Source],0)),"?"))</f>
        <v/>
      </c>
      <c r="L1123" s="63">
        <f>IF(tblMovement[[#This Row],[Destination]]="","",IFERROR(INDEX(tblDestinations[Type],MATCH(tblMovement[[#This Row],[Destination]],tblDestinations[Destination],0)),"?"))</f>
        <v/>
      </c>
      <c r="M1123" s="64">
        <f>IF(tblMovement[[#This Row],[Material]]="","",IF(LEFT(tblMovement[[#This Row],[Material]],3)="Ore",1,0))</f>
        <v/>
      </c>
      <c r="N1123" s="59">
        <f>IF(OR(tblMovement[[#This Row],[Tonnes_t]]="",tblMovement[[#This Row],[Grade_gpt]]=""),0,tblMovement[[#This Row],[Tonnes_t]]*tblMovement[[#This Row],[Grade_gpt]]/cfg_TroyOz)</f>
        <v/>
      </c>
      <c r="O1123" s="59">
        <f>IF(tblMovement[[#This Row],[Is_Ore]]=1,tblMovement[[#This Row],[Contained_oz]],0)</f>
        <v/>
      </c>
    </row>
    <row r="1124">
      <c r="A1124" s="54" t="n"/>
      <c r="B1124" s="61" t="n"/>
      <c r="C1124" s="61" t="n"/>
      <c r="D1124" s="61" t="n"/>
      <c r="E1124" s="61" t="n"/>
      <c r="F1124" s="55" t="n"/>
      <c r="G1124" s="56" t="n"/>
      <c r="H1124" s="55" t="n"/>
      <c r="I1124" s="62" t="n"/>
      <c r="J1124" s="58" t="n"/>
      <c r="K1124" s="63">
        <f>IF(tblMovement[[#This Row],[Source]]="","",IFERROR(INDEX(tblSources[Type],MATCH(tblMovement[[#This Row],[Source]],tblSources[Source],0)),"?"))</f>
        <v/>
      </c>
      <c r="L1124" s="63">
        <f>IF(tblMovement[[#This Row],[Destination]]="","",IFERROR(INDEX(tblDestinations[Type],MATCH(tblMovement[[#This Row],[Destination]],tblDestinations[Destination],0)),"?"))</f>
        <v/>
      </c>
      <c r="M1124" s="64">
        <f>IF(tblMovement[[#This Row],[Material]]="","",IF(LEFT(tblMovement[[#This Row],[Material]],3)="Ore",1,0))</f>
        <v/>
      </c>
      <c r="N1124" s="59">
        <f>IF(OR(tblMovement[[#This Row],[Tonnes_t]]="",tblMovement[[#This Row],[Grade_gpt]]=""),0,tblMovement[[#This Row],[Tonnes_t]]*tblMovement[[#This Row],[Grade_gpt]]/cfg_TroyOz)</f>
        <v/>
      </c>
      <c r="O1124" s="59">
        <f>IF(tblMovement[[#This Row],[Is_Ore]]=1,tblMovement[[#This Row],[Contained_oz]],0)</f>
        <v/>
      </c>
    </row>
    <row r="1125">
      <c r="A1125" s="54" t="n"/>
      <c r="B1125" s="61" t="n"/>
      <c r="C1125" s="61" t="n"/>
      <c r="D1125" s="61" t="n"/>
      <c r="E1125" s="61" t="n"/>
      <c r="F1125" s="55" t="n"/>
      <c r="G1125" s="56" t="n"/>
      <c r="H1125" s="55" t="n"/>
      <c r="I1125" s="62" t="n"/>
      <c r="J1125" s="58" t="n"/>
      <c r="K1125" s="63">
        <f>IF(tblMovement[[#This Row],[Source]]="","",IFERROR(INDEX(tblSources[Type],MATCH(tblMovement[[#This Row],[Source]],tblSources[Source],0)),"?"))</f>
        <v/>
      </c>
      <c r="L1125" s="63">
        <f>IF(tblMovement[[#This Row],[Destination]]="","",IFERROR(INDEX(tblDestinations[Type],MATCH(tblMovement[[#This Row],[Destination]],tblDestinations[Destination],0)),"?"))</f>
        <v/>
      </c>
      <c r="M1125" s="64">
        <f>IF(tblMovement[[#This Row],[Material]]="","",IF(LEFT(tblMovement[[#This Row],[Material]],3)="Ore",1,0))</f>
        <v/>
      </c>
      <c r="N1125" s="59">
        <f>IF(OR(tblMovement[[#This Row],[Tonnes_t]]="",tblMovement[[#This Row],[Grade_gpt]]=""),0,tblMovement[[#This Row],[Tonnes_t]]*tblMovement[[#This Row],[Grade_gpt]]/cfg_TroyOz)</f>
        <v/>
      </c>
      <c r="O1125" s="59">
        <f>IF(tblMovement[[#This Row],[Is_Ore]]=1,tblMovement[[#This Row],[Contained_oz]],0)</f>
        <v/>
      </c>
    </row>
    <row r="1126">
      <c r="A1126" s="54" t="n"/>
      <c r="B1126" s="61" t="n"/>
      <c r="C1126" s="61" t="n"/>
      <c r="D1126" s="61" t="n"/>
      <c r="E1126" s="61" t="n"/>
      <c r="F1126" s="55" t="n"/>
      <c r="G1126" s="56" t="n"/>
      <c r="H1126" s="55" t="n"/>
      <c r="I1126" s="62" t="n"/>
      <c r="J1126" s="58" t="n"/>
      <c r="K1126" s="63">
        <f>IF(tblMovement[[#This Row],[Source]]="","",IFERROR(INDEX(tblSources[Type],MATCH(tblMovement[[#This Row],[Source]],tblSources[Source],0)),"?"))</f>
        <v/>
      </c>
      <c r="L1126" s="63">
        <f>IF(tblMovement[[#This Row],[Destination]]="","",IFERROR(INDEX(tblDestinations[Type],MATCH(tblMovement[[#This Row],[Destination]],tblDestinations[Destination],0)),"?"))</f>
        <v/>
      </c>
      <c r="M1126" s="64">
        <f>IF(tblMovement[[#This Row],[Material]]="","",IF(LEFT(tblMovement[[#This Row],[Material]],3)="Ore",1,0))</f>
        <v/>
      </c>
      <c r="N1126" s="59">
        <f>IF(OR(tblMovement[[#This Row],[Tonnes_t]]="",tblMovement[[#This Row],[Grade_gpt]]=""),0,tblMovement[[#This Row],[Tonnes_t]]*tblMovement[[#This Row],[Grade_gpt]]/cfg_TroyOz)</f>
        <v/>
      </c>
      <c r="O1126" s="59">
        <f>IF(tblMovement[[#This Row],[Is_Ore]]=1,tblMovement[[#This Row],[Contained_oz]],0)</f>
        <v/>
      </c>
    </row>
    <row r="1127">
      <c r="A1127" s="54" t="n"/>
      <c r="B1127" s="61" t="n"/>
      <c r="C1127" s="61" t="n"/>
      <c r="D1127" s="61" t="n"/>
      <c r="E1127" s="61" t="n"/>
      <c r="F1127" s="55" t="n"/>
      <c r="G1127" s="56" t="n"/>
      <c r="H1127" s="55" t="n"/>
      <c r="I1127" s="62" t="n"/>
      <c r="J1127" s="58" t="n"/>
      <c r="K1127" s="63">
        <f>IF(tblMovement[[#This Row],[Source]]="","",IFERROR(INDEX(tblSources[Type],MATCH(tblMovement[[#This Row],[Source]],tblSources[Source],0)),"?"))</f>
        <v/>
      </c>
      <c r="L1127" s="63">
        <f>IF(tblMovement[[#This Row],[Destination]]="","",IFERROR(INDEX(tblDestinations[Type],MATCH(tblMovement[[#This Row],[Destination]],tblDestinations[Destination],0)),"?"))</f>
        <v/>
      </c>
      <c r="M1127" s="64">
        <f>IF(tblMovement[[#This Row],[Material]]="","",IF(LEFT(tblMovement[[#This Row],[Material]],3)="Ore",1,0))</f>
        <v/>
      </c>
      <c r="N1127" s="59">
        <f>IF(OR(tblMovement[[#This Row],[Tonnes_t]]="",tblMovement[[#This Row],[Grade_gpt]]=""),0,tblMovement[[#This Row],[Tonnes_t]]*tblMovement[[#This Row],[Grade_gpt]]/cfg_TroyOz)</f>
        <v/>
      </c>
      <c r="O1127" s="59">
        <f>IF(tblMovement[[#This Row],[Is_Ore]]=1,tblMovement[[#This Row],[Contained_oz]],0)</f>
        <v/>
      </c>
    </row>
    <row r="1128">
      <c r="A1128" s="54" t="n"/>
      <c r="B1128" s="61" t="n"/>
      <c r="C1128" s="61" t="n"/>
      <c r="D1128" s="61" t="n"/>
      <c r="E1128" s="61" t="n"/>
      <c r="F1128" s="55" t="n"/>
      <c r="G1128" s="56" t="n"/>
      <c r="H1128" s="55" t="n"/>
      <c r="I1128" s="62" t="n"/>
      <c r="J1128" s="58" t="n"/>
      <c r="K1128" s="63">
        <f>IF(tblMovement[[#This Row],[Source]]="","",IFERROR(INDEX(tblSources[Type],MATCH(tblMovement[[#This Row],[Source]],tblSources[Source],0)),"?"))</f>
        <v/>
      </c>
      <c r="L1128" s="63">
        <f>IF(tblMovement[[#This Row],[Destination]]="","",IFERROR(INDEX(tblDestinations[Type],MATCH(tblMovement[[#This Row],[Destination]],tblDestinations[Destination],0)),"?"))</f>
        <v/>
      </c>
      <c r="M1128" s="64">
        <f>IF(tblMovement[[#This Row],[Material]]="","",IF(LEFT(tblMovement[[#This Row],[Material]],3)="Ore",1,0))</f>
        <v/>
      </c>
      <c r="N1128" s="59">
        <f>IF(OR(tblMovement[[#This Row],[Tonnes_t]]="",tblMovement[[#This Row],[Grade_gpt]]=""),0,tblMovement[[#This Row],[Tonnes_t]]*tblMovement[[#This Row],[Grade_gpt]]/cfg_TroyOz)</f>
        <v/>
      </c>
      <c r="O1128" s="59">
        <f>IF(tblMovement[[#This Row],[Is_Ore]]=1,tblMovement[[#This Row],[Contained_oz]],0)</f>
        <v/>
      </c>
    </row>
    <row r="1129">
      <c r="A1129" s="54" t="n"/>
      <c r="B1129" s="61" t="n"/>
      <c r="C1129" s="61" t="n"/>
      <c r="D1129" s="61" t="n"/>
      <c r="E1129" s="61" t="n"/>
      <c r="F1129" s="55" t="n"/>
      <c r="G1129" s="56" t="n"/>
      <c r="H1129" s="55" t="n"/>
      <c r="I1129" s="62" t="n"/>
      <c r="J1129" s="58" t="n"/>
      <c r="K1129" s="63">
        <f>IF(tblMovement[[#This Row],[Source]]="","",IFERROR(INDEX(tblSources[Type],MATCH(tblMovement[[#This Row],[Source]],tblSources[Source],0)),"?"))</f>
        <v/>
      </c>
      <c r="L1129" s="63">
        <f>IF(tblMovement[[#This Row],[Destination]]="","",IFERROR(INDEX(tblDestinations[Type],MATCH(tblMovement[[#This Row],[Destination]],tblDestinations[Destination],0)),"?"))</f>
        <v/>
      </c>
      <c r="M1129" s="64">
        <f>IF(tblMovement[[#This Row],[Material]]="","",IF(LEFT(tblMovement[[#This Row],[Material]],3)="Ore",1,0))</f>
        <v/>
      </c>
      <c r="N1129" s="59">
        <f>IF(OR(tblMovement[[#This Row],[Tonnes_t]]="",tblMovement[[#This Row],[Grade_gpt]]=""),0,tblMovement[[#This Row],[Tonnes_t]]*tblMovement[[#This Row],[Grade_gpt]]/cfg_TroyOz)</f>
        <v/>
      </c>
      <c r="O1129" s="59">
        <f>IF(tblMovement[[#This Row],[Is_Ore]]=1,tblMovement[[#This Row],[Contained_oz]],0)</f>
        <v/>
      </c>
    </row>
    <row r="1130">
      <c r="A1130" s="54" t="n"/>
      <c r="B1130" s="61" t="n"/>
      <c r="C1130" s="61" t="n"/>
      <c r="D1130" s="61" t="n"/>
      <c r="E1130" s="61" t="n"/>
      <c r="F1130" s="55" t="n"/>
      <c r="G1130" s="56" t="n"/>
      <c r="H1130" s="55" t="n"/>
      <c r="I1130" s="62" t="n"/>
      <c r="J1130" s="58" t="n"/>
      <c r="K1130" s="63">
        <f>IF(tblMovement[[#This Row],[Source]]="","",IFERROR(INDEX(tblSources[Type],MATCH(tblMovement[[#This Row],[Source]],tblSources[Source],0)),"?"))</f>
        <v/>
      </c>
      <c r="L1130" s="63">
        <f>IF(tblMovement[[#This Row],[Destination]]="","",IFERROR(INDEX(tblDestinations[Type],MATCH(tblMovement[[#This Row],[Destination]],tblDestinations[Destination],0)),"?"))</f>
        <v/>
      </c>
      <c r="M1130" s="64">
        <f>IF(tblMovement[[#This Row],[Material]]="","",IF(LEFT(tblMovement[[#This Row],[Material]],3)="Ore",1,0))</f>
        <v/>
      </c>
      <c r="N1130" s="59">
        <f>IF(OR(tblMovement[[#This Row],[Tonnes_t]]="",tblMovement[[#This Row],[Grade_gpt]]=""),0,tblMovement[[#This Row],[Tonnes_t]]*tblMovement[[#This Row],[Grade_gpt]]/cfg_TroyOz)</f>
        <v/>
      </c>
      <c r="O1130" s="59">
        <f>IF(tblMovement[[#This Row],[Is_Ore]]=1,tblMovement[[#This Row],[Contained_oz]],0)</f>
        <v/>
      </c>
    </row>
    <row r="1131">
      <c r="A1131" s="54" t="n"/>
      <c r="B1131" s="61" t="n"/>
      <c r="C1131" s="61" t="n"/>
      <c r="D1131" s="61" t="n"/>
      <c r="E1131" s="61" t="n"/>
      <c r="F1131" s="55" t="n"/>
      <c r="G1131" s="56" t="n"/>
      <c r="H1131" s="55" t="n"/>
      <c r="I1131" s="62" t="n"/>
      <c r="J1131" s="58" t="n"/>
      <c r="K1131" s="63">
        <f>IF(tblMovement[[#This Row],[Source]]="","",IFERROR(INDEX(tblSources[Type],MATCH(tblMovement[[#This Row],[Source]],tblSources[Source],0)),"?"))</f>
        <v/>
      </c>
      <c r="L1131" s="63">
        <f>IF(tblMovement[[#This Row],[Destination]]="","",IFERROR(INDEX(tblDestinations[Type],MATCH(tblMovement[[#This Row],[Destination]],tblDestinations[Destination],0)),"?"))</f>
        <v/>
      </c>
      <c r="M1131" s="64">
        <f>IF(tblMovement[[#This Row],[Material]]="","",IF(LEFT(tblMovement[[#This Row],[Material]],3)="Ore",1,0))</f>
        <v/>
      </c>
      <c r="N1131" s="59">
        <f>IF(OR(tblMovement[[#This Row],[Tonnes_t]]="",tblMovement[[#This Row],[Grade_gpt]]=""),0,tblMovement[[#This Row],[Tonnes_t]]*tblMovement[[#This Row],[Grade_gpt]]/cfg_TroyOz)</f>
        <v/>
      </c>
      <c r="O1131" s="59">
        <f>IF(tblMovement[[#This Row],[Is_Ore]]=1,tblMovement[[#This Row],[Contained_oz]],0)</f>
        <v/>
      </c>
    </row>
    <row r="1132">
      <c r="A1132" s="54" t="n"/>
      <c r="B1132" s="61" t="n"/>
      <c r="C1132" s="61" t="n"/>
      <c r="D1132" s="61" t="n"/>
      <c r="E1132" s="61" t="n"/>
      <c r="F1132" s="55" t="n"/>
      <c r="G1132" s="56" t="n"/>
      <c r="H1132" s="55" t="n"/>
      <c r="I1132" s="62" t="n"/>
      <c r="J1132" s="58" t="n"/>
      <c r="K1132" s="63">
        <f>IF(tblMovement[[#This Row],[Source]]="","",IFERROR(INDEX(tblSources[Type],MATCH(tblMovement[[#This Row],[Source]],tblSources[Source],0)),"?"))</f>
        <v/>
      </c>
      <c r="L1132" s="63">
        <f>IF(tblMovement[[#This Row],[Destination]]="","",IFERROR(INDEX(tblDestinations[Type],MATCH(tblMovement[[#This Row],[Destination]],tblDestinations[Destination],0)),"?"))</f>
        <v/>
      </c>
      <c r="M1132" s="64">
        <f>IF(tblMovement[[#This Row],[Material]]="","",IF(LEFT(tblMovement[[#This Row],[Material]],3)="Ore",1,0))</f>
        <v/>
      </c>
      <c r="N1132" s="59">
        <f>IF(OR(tblMovement[[#This Row],[Tonnes_t]]="",tblMovement[[#This Row],[Grade_gpt]]=""),0,tblMovement[[#This Row],[Tonnes_t]]*tblMovement[[#This Row],[Grade_gpt]]/cfg_TroyOz)</f>
        <v/>
      </c>
      <c r="O1132" s="59">
        <f>IF(tblMovement[[#This Row],[Is_Ore]]=1,tblMovement[[#This Row],[Contained_oz]],0)</f>
        <v/>
      </c>
    </row>
    <row r="1133">
      <c r="A1133" s="54" t="n"/>
      <c r="B1133" s="61" t="n"/>
      <c r="C1133" s="61" t="n"/>
      <c r="D1133" s="61" t="n"/>
      <c r="E1133" s="61" t="n"/>
      <c r="F1133" s="55" t="n"/>
      <c r="G1133" s="56" t="n"/>
      <c r="H1133" s="55" t="n"/>
      <c r="I1133" s="62" t="n"/>
      <c r="J1133" s="58" t="n"/>
      <c r="K1133" s="63">
        <f>IF(tblMovement[[#This Row],[Source]]="","",IFERROR(INDEX(tblSources[Type],MATCH(tblMovement[[#This Row],[Source]],tblSources[Source],0)),"?"))</f>
        <v/>
      </c>
      <c r="L1133" s="63">
        <f>IF(tblMovement[[#This Row],[Destination]]="","",IFERROR(INDEX(tblDestinations[Type],MATCH(tblMovement[[#This Row],[Destination]],tblDestinations[Destination],0)),"?"))</f>
        <v/>
      </c>
      <c r="M1133" s="64">
        <f>IF(tblMovement[[#This Row],[Material]]="","",IF(LEFT(tblMovement[[#This Row],[Material]],3)="Ore",1,0))</f>
        <v/>
      </c>
      <c r="N1133" s="59">
        <f>IF(OR(tblMovement[[#This Row],[Tonnes_t]]="",tblMovement[[#This Row],[Grade_gpt]]=""),0,tblMovement[[#This Row],[Tonnes_t]]*tblMovement[[#This Row],[Grade_gpt]]/cfg_TroyOz)</f>
        <v/>
      </c>
      <c r="O1133" s="59">
        <f>IF(tblMovement[[#This Row],[Is_Ore]]=1,tblMovement[[#This Row],[Contained_oz]],0)</f>
        <v/>
      </c>
    </row>
    <row r="1134">
      <c r="A1134" s="54" t="n"/>
      <c r="B1134" s="61" t="n"/>
      <c r="C1134" s="61" t="n"/>
      <c r="D1134" s="61" t="n"/>
      <c r="E1134" s="61" t="n"/>
      <c r="F1134" s="55" t="n"/>
      <c r="G1134" s="56" t="n"/>
      <c r="H1134" s="55" t="n"/>
      <c r="I1134" s="62" t="n"/>
      <c r="J1134" s="58" t="n"/>
      <c r="K1134" s="63">
        <f>IF(tblMovement[[#This Row],[Source]]="","",IFERROR(INDEX(tblSources[Type],MATCH(tblMovement[[#This Row],[Source]],tblSources[Source],0)),"?"))</f>
        <v/>
      </c>
      <c r="L1134" s="63">
        <f>IF(tblMovement[[#This Row],[Destination]]="","",IFERROR(INDEX(tblDestinations[Type],MATCH(tblMovement[[#This Row],[Destination]],tblDestinations[Destination],0)),"?"))</f>
        <v/>
      </c>
      <c r="M1134" s="64">
        <f>IF(tblMovement[[#This Row],[Material]]="","",IF(LEFT(tblMovement[[#This Row],[Material]],3)="Ore",1,0))</f>
        <v/>
      </c>
      <c r="N1134" s="59">
        <f>IF(OR(tblMovement[[#This Row],[Tonnes_t]]="",tblMovement[[#This Row],[Grade_gpt]]=""),0,tblMovement[[#This Row],[Tonnes_t]]*tblMovement[[#This Row],[Grade_gpt]]/cfg_TroyOz)</f>
        <v/>
      </c>
      <c r="O1134" s="59">
        <f>IF(tblMovement[[#This Row],[Is_Ore]]=1,tblMovement[[#This Row],[Contained_oz]],0)</f>
        <v/>
      </c>
    </row>
    <row r="1135">
      <c r="A1135" s="54" t="n"/>
      <c r="B1135" s="61" t="n"/>
      <c r="C1135" s="61" t="n"/>
      <c r="D1135" s="61" t="n"/>
      <c r="E1135" s="61" t="n"/>
      <c r="F1135" s="55" t="n"/>
      <c r="G1135" s="56" t="n"/>
      <c r="H1135" s="55" t="n"/>
      <c r="I1135" s="62" t="n"/>
      <c r="J1135" s="58" t="n"/>
      <c r="K1135" s="63">
        <f>IF(tblMovement[[#This Row],[Source]]="","",IFERROR(INDEX(tblSources[Type],MATCH(tblMovement[[#This Row],[Source]],tblSources[Source],0)),"?"))</f>
        <v/>
      </c>
      <c r="L1135" s="63">
        <f>IF(tblMovement[[#This Row],[Destination]]="","",IFERROR(INDEX(tblDestinations[Type],MATCH(tblMovement[[#This Row],[Destination]],tblDestinations[Destination],0)),"?"))</f>
        <v/>
      </c>
      <c r="M1135" s="64">
        <f>IF(tblMovement[[#This Row],[Material]]="","",IF(LEFT(tblMovement[[#This Row],[Material]],3)="Ore",1,0))</f>
        <v/>
      </c>
      <c r="N1135" s="59">
        <f>IF(OR(tblMovement[[#This Row],[Tonnes_t]]="",tblMovement[[#This Row],[Grade_gpt]]=""),0,tblMovement[[#This Row],[Tonnes_t]]*tblMovement[[#This Row],[Grade_gpt]]/cfg_TroyOz)</f>
        <v/>
      </c>
      <c r="O1135" s="59">
        <f>IF(tblMovement[[#This Row],[Is_Ore]]=1,tblMovement[[#This Row],[Contained_oz]],0)</f>
        <v/>
      </c>
    </row>
    <row r="1136">
      <c r="A1136" s="54" t="n"/>
      <c r="B1136" s="61" t="n"/>
      <c r="C1136" s="61" t="n"/>
      <c r="D1136" s="61" t="n"/>
      <c r="E1136" s="61" t="n"/>
      <c r="F1136" s="55" t="n"/>
      <c r="G1136" s="56" t="n"/>
      <c r="H1136" s="55" t="n"/>
      <c r="I1136" s="62" t="n"/>
      <c r="J1136" s="58" t="n"/>
      <c r="K1136" s="63">
        <f>IF(tblMovement[[#This Row],[Source]]="","",IFERROR(INDEX(tblSources[Type],MATCH(tblMovement[[#This Row],[Source]],tblSources[Source],0)),"?"))</f>
        <v/>
      </c>
      <c r="L1136" s="63">
        <f>IF(tblMovement[[#This Row],[Destination]]="","",IFERROR(INDEX(tblDestinations[Type],MATCH(tblMovement[[#This Row],[Destination]],tblDestinations[Destination],0)),"?"))</f>
        <v/>
      </c>
      <c r="M1136" s="64">
        <f>IF(tblMovement[[#This Row],[Material]]="","",IF(LEFT(tblMovement[[#This Row],[Material]],3)="Ore",1,0))</f>
        <v/>
      </c>
      <c r="N1136" s="59">
        <f>IF(OR(tblMovement[[#This Row],[Tonnes_t]]="",tblMovement[[#This Row],[Grade_gpt]]=""),0,tblMovement[[#This Row],[Tonnes_t]]*tblMovement[[#This Row],[Grade_gpt]]/cfg_TroyOz)</f>
        <v/>
      </c>
      <c r="O1136" s="59">
        <f>IF(tblMovement[[#This Row],[Is_Ore]]=1,tblMovement[[#This Row],[Contained_oz]],0)</f>
        <v/>
      </c>
    </row>
    <row r="1137">
      <c r="A1137" s="54" t="n"/>
      <c r="B1137" s="61" t="n"/>
      <c r="C1137" s="61" t="n"/>
      <c r="D1137" s="61" t="n"/>
      <c r="E1137" s="61" t="n"/>
      <c r="F1137" s="55" t="n"/>
      <c r="G1137" s="56" t="n"/>
      <c r="H1137" s="55" t="n"/>
      <c r="I1137" s="62" t="n"/>
      <c r="J1137" s="58" t="n"/>
      <c r="K1137" s="63">
        <f>IF(tblMovement[[#This Row],[Source]]="","",IFERROR(INDEX(tblSources[Type],MATCH(tblMovement[[#This Row],[Source]],tblSources[Source],0)),"?"))</f>
        <v/>
      </c>
      <c r="L1137" s="63">
        <f>IF(tblMovement[[#This Row],[Destination]]="","",IFERROR(INDEX(tblDestinations[Type],MATCH(tblMovement[[#This Row],[Destination]],tblDestinations[Destination],0)),"?"))</f>
        <v/>
      </c>
      <c r="M1137" s="64">
        <f>IF(tblMovement[[#This Row],[Material]]="","",IF(LEFT(tblMovement[[#This Row],[Material]],3)="Ore",1,0))</f>
        <v/>
      </c>
      <c r="N1137" s="59">
        <f>IF(OR(tblMovement[[#This Row],[Tonnes_t]]="",tblMovement[[#This Row],[Grade_gpt]]=""),0,tblMovement[[#This Row],[Tonnes_t]]*tblMovement[[#This Row],[Grade_gpt]]/cfg_TroyOz)</f>
        <v/>
      </c>
      <c r="O1137" s="59">
        <f>IF(tblMovement[[#This Row],[Is_Ore]]=1,tblMovement[[#This Row],[Contained_oz]],0)</f>
        <v/>
      </c>
    </row>
    <row r="1138">
      <c r="A1138" s="54" t="n"/>
      <c r="B1138" s="61" t="n"/>
      <c r="C1138" s="61" t="n"/>
      <c r="D1138" s="61" t="n"/>
      <c r="E1138" s="61" t="n"/>
      <c r="F1138" s="55" t="n"/>
      <c r="G1138" s="56" t="n"/>
      <c r="H1138" s="55" t="n"/>
      <c r="I1138" s="62" t="n"/>
      <c r="J1138" s="58" t="n"/>
      <c r="K1138" s="63">
        <f>IF(tblMovement[[#This Row],[Source]]="","",IFERROR(INDEX(tblSources[Type],MATCH(tblMovement[[#This Row],[Source]],tblSources[Source],0)),"?"))</f>
        <v/>
      </c>
      <c r="L1138" s="63">
        <f>IF(tblMovement[[#This Row],[Destination]]="","",IFERROR(INDEX(tblDestinations[Type],MATCH(tblMovement[[#This Row],[Destination]],tblDestinations[Destination],0)),"?"))</f>
        <v/>
      </c>
      <c r="M1138" s="64">
        <f>IF(tblMovement[[#This Row],[Material]]="","",IF(LEFT(tblMovement[[#This Row],[Material]],3)="Ore",1,0))</f>
        <v/>
      </c>
      <c r="N1138" s="59">
        <f>IF(OR(tblMovement[[#This Row],[Tonnes_t]]="",tblMovement[[#This Row],[Grade_gpt]]=""),0,tblMovement[[#This Row],[Tonnes_t]]*tblMovement[[#This Row],[Grade_gpt]]/cfg_TroyOz)</f>
        <v/>
      </c>
      <c r="O1138" s="59">
        <f>IF(tblMovement[[#This Row],[Is_Ore]]=1,tblMovement[[#This Row],[Contained_oz]],0)</f>
        <v/>
      </c>
    </row>
    <row r="1139">
      <c r="A1139" s="54" t="n"/>
      <c r="B1139" s="61" t="n"/>
      <c r="C1139" s="61" t="n"/>
      <c r="D1139" s="61" t="n"/>
      <c r="E1139" s="61" t="n"/>
      <c r="F1139" s="55" t="n"/>
      <c r="G1139" s="56" t="n"/>
      <c r="H1139" s="55" t="n"/>
      <c r="I1139" s="62" t="n"/>
      <c r="J1139" s="58" t="n"/>
      <c r="K1139" s="63">
        <f>IF(tblMovement[[#This Row],[Source]]="","",IFERROR(INDEX(tblSources[Type],MATCH(tblMovement[[#This Row],[Source]],tblSources[Source],0)),"?"))</f>
        <v/>
      </c>
      <c r="L1139" s="63">
        <f>IF(tblMovement[[#This Row],[Destination]]="","",IFERROR(INDEX(tblDestinations[Type],MATCH(tblMovement[[#This Row],[Destination]],tblDestinations[Destination],0)),"?"))</f>
        <v/>
      </c>
      <c r="M1139" s="64">
        <f>IF(tblMovement[[#This Row],[Material]]="","",IF(LEFT(tblMovement[[#This Row],[Material]],3)="Ore",1,0))</f>
        <v/>
      </c>
      <c r="N1139" s="59">
        <f>IF(OR(tblMovement[[#This Row],[Tonnes_t]]="",tblMovement[[#This Row],[Grade_gpt]]=""),0,tblMovement[[#This Row],[Tonnes_t]]*tblMovement[[#This Row],[Grade_gpt]]/cfg_TroyOz)</f>
        <v/>
      </c>
      <c r="O1139" s="59">
        <f>IF(tblMovement[[#This Row],[Is_Ore]]=1,tblMovement[[#This Row],[Contained_oz]],0)</f>
        <v/>
      </c>
    </row>
    <row r="1140">
      <c r="A1140" s="54" t="n"/>
      <c r="B1140" s="61" t="n"/>
      <c r="C1140" s="61" t="n"/>
      <c r="D1140" s="61" t="n"/>
      <c r="E1140" s="61" t="n"/>
      <c r="F1140" s="55" t="n"/>
      <c r="G1140" s="56" t="n"/>
      <c r="H1140" s="55" t="n"/>
      <c r="I1140" s="62" t="n"/>
      <c r="J1140" s="58" t="n"/>
      <c r="K1140" s="63">
        <f>IF(tblMovement[[#This Row],[Source]]="","",IFERROR(INDEX(tblSources[Type],MATCH(tblMovement[[#This Row],[Source]],tblSources[Source],0)),"?"))</f>
        <v/>
      </c>
      <c r="L1140" s="63">
        <f>IF(tblMovement[[#This Row],[Destination]]="","",IFERROR(INDEX(tblDestinations[Type],MATCH(tblMovement[[#This Row],[Destination]],tblDestinations[Destination],0)),"?"))</f>
        <v/>
      </c>
      <c r="M1140" s="64">
        <f>IF(tblMovement[[#This Row],[Material]]="","",IF(LEFT(tblMovement[[#This Row],[Material]],3)="Ore",1,0))</f>
        <v/>
      </c>
      <c r="N1140" s="59">
        <f>IF(OR(tblMovement[[#This Row],[Tonnes_t]]="",tblMovement[[#This Row],[Grade_gpt]]=""),0,tblMovement[[#This Row],[Tonnes_t]]*tblMovement[[#This Row],[Grade_gpt]]/cfg_TroyOz)</f>
        <v/>
      </c>
      <c r="O1140" s="59">
        <f>IF(tblMovement[[#This Row],[Is_Ore]]=1,tblMovement[[#This Row],[Contained_oz]],0)</f>
        <v/>
      </c>
    </row>
    <row r="1141">
      <c r="A1141" s="54" t="n"/>
      <c r="B1141" s="61" t="n"/>
      <c r="C1141" s="61" t="n"/>
      <c r="D1141" s="61" t="n"/>
      <c r="E1141" s="61" t="n"/>
      <c r="F1141" s="55" t="n"/>
      <c r="G1141" s="56" t="n"/>
      <c r="H1141" s="55" t="n"/>
      <c r="I1141" s="62" t="n"/>
      <c r="J1141" s="58" t="n"/>
      <c r="K1141" s="63">
        <f>IF(tblMovement[[#This Row],[Source]]="","",IFERROR(INDEX(tblSources[Type],MATCH(tblMovement[[#This Row],[Source]],tblSources[Source],0)),"?"))</f>
        <v/>
      </c>
      <c r="L1141" s="63">
        <f>IF(tblMovement[[#This Row],[Destination]]="","",IFERROR(INDEX(tblDestinations[Type],MATCH(tblMovement[[#This Row],[Destination]],tblDestinations[Destination],0)),"?"))</f>
        <v/>
      </c>
      <c r="M1141" s="64">
        <f>IF(tblMovement[[#This Row],[Material]]="","",IF(LEFT(tblMovement[[#This Row],[Material]],3)="Ore",1,0))</f>
        <v/>
      </c>
      <c r="N1141" s="59">
        <f>IF(OR(tblMovement[[#This Row],[Tonnes_t]]="",tblMovement[[#This Row],[Grade_gpt]]=""),0,tblMovement[[#This Row],[Tonnes_t]]*tblMovement[[#This Row],[Grade_gpt]]/cfg_TroyOz)</f>
        <v/>
      </c>
      <c r="O1141" s="59">
        <f>IF(tblMovement[[#This Row],[Is_Ore]]=1,tblMovement[[#This Row],[Contained_oz]],0)</f>
        <v/>
      </c>
    </row>
    <row r="1142">
      <c r="A1142" s="54" t="n"/>
      <c r="B1142" s="61" t="n"/>
      <c r="C1142" s="61" t="n"/>
      <c r="D1142" s="61" t="n"/>
      <c r="E1142" s="61" t="n"/>
      <c r="F1142" s="55" t="n"/>
      <c r="G1142" s="56" t="n"/>
      <c r="H1142" s="55" t="n"/>
      <c r="I1142" s="62" t="n"/>
      <c r="J1142" s="58" t="n"/>
      <c r="K1142" s="63">
        <f>IF(tblMovement[[#This Row],[Source]]="","",IFERROR(INDEX(tblSources[Type],MATCH(tblMovement[[#This Row],[Source]],tblSources[Source],0)),"?"))</f>
        <v/>
      </c>
      <c r="L1142" s="63">
        <f>IF(tblMovement[[#This Row],[Destination]]="","",IFERROR(INDEX(tblDestinations[Type],MATCH(tblMovement[[#This Row],[Destination]],tblDestinations[Destination],0)),"?"))</f>
        <v/>
      </c>
      <c r="M1142" s="64">
        <f>IF(tblMovement[[#This Row],[Material]]="","",IF(LEFT(tblMovement[[#This Row],[Material]],3)="Ore",1,0))</f>
        <v/>
      </c>
      <c r="N1142" s="59">
        <f>IF(OR(tblMovement[[#This Row],[Tonnes_t]]="",tblMovement[[#This Row],[Grade_gpt]]=""),0,tblMovement[[#This Row],[Tonnes_t]]*tblMovement[[#This Row],[Grade_gpt]]/cfg_TroyOz)</f>
        <v/>
      </c>
      <c r="O1142" s="59">
        <f>IF(tblMovement[[#This Row],[Is_Ore]]=1,tblMovement[[#This Row],[Contained_oz]],0)</f>
        <v/>
      </c>
    </row>
    <row r="1143">
      <c r="A1143" s="54" t="n"/>
      <c r="B1143" s="61" t="n"/>
      <c r="C1143" s="61" t="n"/>
      <c r="D1143" s="61" t="n"/>
      <c r="E1143" s="61" t="n"/>
      <c r="F1143" s="55" t="n"/>
      <c r="G1143" s="56" t="n"/>
      <c r="H1143" s="55" t="n"/>
      <c r="I1143" s="62" t="n"/>
      <c r="J1143" s="58" t="n"/>
      <c r="K1143" s="63">
        <f>IF(tblMovement[[#This Row],[Source]]="","",IFERROR(INDEX(tblSources[Type],MATCH(tblMovement[[#This Row],[Source]],tblSources[Source],0)),"?"))</f>
        <v/>
      </c>
      <c r="L1143" s="63">
        <f>IF(tblMovement[[#This Row],[Destination]]="","",IFERROR(INDEX(tblDestinations[Type],MATCH(tblMovement[[#This Row],[Destination]],tblDestinations[Destination],0)),"?"))</f>
        <v/>
      </c>
      <c r="M1143" s="64">
        <f>IF(tblMovement[[#This Row],[Material]]="","",IF(LEFT(tblMovement[[#This Row],[Material]],3)="Ore",1,0))</f>
        <v/>
      </c>
      <c r="N1143" s="59">
        <f>IF(OR(tblMovement[[#This Row],[Tonnes_t]]="",tblMovement[[#This Row],[Grade_gpt]]=""),0,tblMovement[[#This Row],[Tonnes_t]]*tblMovement[[#This Row],[Grade_gpt]]/cfg_TroyOz)</f>
        <v/>
      </c>
      <c r="O1143" s="59">
        <f>IF(tblMovement[[#This Row],[Is_Ore]]=1,tblMovement[[#This Row],[Contained_oz]],0)</f>
        <v/>
      </c>
    </row>
    <row r="1144">
      <c r="A1144" s="54" t="n"/>
      <c r="B1144" s="61" t="n"/>
      <c r="C1144" s="61" t="n"/>
      <c r="D1144" s="61" t="n"/>
      <c r="E1144" s="61" t="n"/>
      <c r="F1144" s="55" t="n"/>
      <c r="G1144" s="56" t="n"/>
      <c r="H1144" s="55" t="n"/>
      <c r="I1144" s="62" t="n"/>
      <c r="J1144" s="58" t="n"/>
      <c r="K1144" s="63">
        <f>IF(tblMovement[[#This Row],[Source]]="","",IFERROR(INDEX(tblSources[Type],MATCH(tblMovement[[#This Row],[Source]],tblSources[Source],0)),"?"))</f>
        <v/>
      </c>
      <c r="L1144" s="63">
        <f>IF(tblMovement[[#This Row],[Destination]]="","",IFERROR(INDEX(tblDestinations[Type],MATCH(tblMovement[[#This Row],[Destination]],tblDestinations[Destination],0)),"?"))</f>
        <v/>
      </c>
      <c r="M1144" s="64">
        <f>IF(tblMovement[[#This Row],[Material]]="","",IF(LEFT(tblMovement[[#This Row],[Material]],3)="Ore",1,0))</f>
        <v/>
      </c>
      <c r="N1144" s="59">
        <f>IF(OR(tblMovement[[#This Row],[Tonnes_t]]="",tblMovement[[#This Row],[Grade_gpt]]=""),0,tblMovement[[#This Row],[Tonnes_t]]*tblMovement[[#This Row],[Grade_gpt]]/cfg_TroyOz)</f>
        <v/>
      </c>
      <c r="O1144" s="59">
        <f>IF(tblMovement[[#This Row],[Is_Ore]]=1,tblMovement[[#This Row],[Contained_oz]],0)</f>
        <v/>
      </c>
    </row>
    <row r="1145">
      <c r="A1145" s="54" t="n"/>
      <c r="B1145" s="61" t="n"/>
      <c r="C1145" s="61" t="n"/>
      <c r="D1145" s="61" t="n"/>
      <c r="E1145" s="61" t="n"/>
      <c r="F1145" s="55" t="n"/>
      <c r="G1145" s="56" t="n"/>
      <c r="H1145" s="55" t="n"/>
      <c r="I1145" s="62" t="n"/>
      <c r="J1145" s="58" t="n"/>
      <c r="K1145" s="63">
        <f>IF(tblMovement[[#This Row],[Source]]="","",IFERROR(INDEX(tblSources[Type],MATCH(tblMovement[[#This Row],[Source]],tblSources[Source],0)),"?"))</f>
        <v/>
      </c>
      <c r="L1145" s="63">
        <f>IF(tblMovement[[#This Row],[Destination]]="","",IFERROR(INDEX(tblDestinations[Type],MATCH(tblMovement[[#This Row],[Destination]],tblDestinations[Destination],0)),"?"))</f>
        <v/>
      </c>
      <c r="M1145" s="64">
        <f>IF(tblMovement[[#This Row],[Material]]="","",IF(LEFT(tblMovement[[#This Row],[Material]],3)="Ore",1,0))</f>
        <v/>
      </c>
      <c r="N1145" s="59">
        <f>IF(OR(tblMovement[[#This Row],[Tonnes_t]]="",tblMovement[[#This Row],[Grade_gpt]]=""),0,tblMovement[[#This Row],[Tonnes_t]]*tblMovement[[#This Row],[Grade_gpt]]/cfg_TroyOz)</f>
        <v/>
      </c>
      <c r="O1145" s="59">
        <f>IF(tblMovement[[#This Row],[Is_Ore]]=1,tblMovement[[#This Row],[Contained_oz]],0)</f>
        <v/>
      </c>
    </row>
    <row r="1146">
      <c r="A1146" s="54" t="n"/>
      <c r="B1146" s="61" t="n"/>
      <c r="C1146" s="61" t="n"/>
      <c r="D1146" s="61" t="n"/>
      <c r="E1146" s="61" t="n"/>
      <c r="F1146" s="55" t="n"/>
      <c r="G1146" s="56" t="n"/>
      <c r="H1146" s="55" t="n"/>
      <c r="I1146" s="62" t="n"/>
      <c r="J1146" s="58" t="n"/>
      <c r="K1146" s="63">
        <f>IF(tblMovement[[#This Row],[Source]]="","",IFERROR(INDEX(tblSources[Type],MATCH(tblMovement[[#This Row],[Source]],tblSources[Source],0)),"?"))</f>
        <v/>
      </c>
      <c r="L1146" s="63">
        <f>IF(tblMovement[[#This Row],[Destination]]="","",IFERROR(INDEX(tblDestinations[Type],MATCH(tblMovement[[#This Row],[Destination]],tblDestinations[Destination],0)),"?"))</f>
        <v/>
      </c>
      <c r="M1146" s="64">
        <f>IF(tblMovement[[#This Row],[Material]]="","",IF(LEFT(tblMovement[[#This Row],[Material]],3)="Ore",1,0))</f>
        <v/>
      </c>
      <c r="N1146" s="59">
        <f>IF(OR(tblMovement[[#This Row],[Tonnes_t]]="",tblMovement[[#This Row],[Grade_gpt]]=""),0,tblMovement[[#This Row],[Tonnes_t]]*tblMovement[[#This Row],[Grade_gpt]]/cfg_TroyOz)</f>
        <v/>
      </c>
      <c r="O1146" s="59">
        <f>IF(tblMovement[[#This Row],[Is_Ore]]=1,tblMovement[[#This Row],[Contained_oz]],0)</f>
        <v/>
      </c>
    </row>
    <row r="1147">
      <c r="A1147" s="54" t="n"/>
      <c r="B1147" s="61" t="n"/>
      <c r="C1147" s="61" t="n"/>
      <c r="D1147" s="61" t="n"/>
      <c r="E1147" s="61" t="n"/>
      <c r="F1147" s="55" t="n"/>
      <c r="G1147" s="56" t="n"/>
      <c r="H1147" s="55" t="n"/>
      <c r="I1147" s="62" t="n"/>
      <c r="J1147" s="58" t="n"/>
      <c r="K1147" s="63">
        <f>IF(tblMovement[[#This Row],[Source]]="","",IFERROR(INDEX(tblSources[Type],MATCH(tblMovement[[#This Row],[Source]],tblSources[Source],0)),"?"))</f>
        <v/>
      </c>
      <c r="L1147" s="63">
        <f>IF(tblMovement[[#This Row],[Destination]]="","",IFERROR(INDEX(tblDestinations[Type],MATCH(tblMovement[[#This Row],[Destination]],tblDestinations[Destination],0)),"?"))</f>
        <v/>
      </c>
      <c r="M1147" s="64">
        <f>IF(tblMovement[[#This Row],[Material]]="","",IF(LEFT(tblMovement[[#This Row],[Material]],3)="Ore",1,0))</f>
        <v/>
      </c>
      <c r="N1147" s="59">
        <f>IF(OR(tblMovement[[#This Row],[Tonnes_t]]="",tblMovement[[#This Row],[Grade_gpt]]=""),0,tblMovement[[#This Row],[Tonnes_t]]*tblMovement[[#This Row],[Grade_gpt]]/cfg_TroyOz)</f>
        <v/>
      </c>
      <c r="O1147" s="59">
        <f>IF(tblMovement[[#This Row],[Is_Ore]]=1,tblMovement[[#This Row],[Contained_oz]],0)</f>
        <v/>
      </c>
    </row>
    <row r="1148">
      <c r="A1148" s="54" t="n"/>
      <c r="B1148" s="61" t="n"/>
      <c r="C1148" s="61" t="n"/>
      <c r="D1148" s="61" t="n"/>
      <c r="E1148" s="61" t="n"/>
      <c r="F1148" s="55" t="n"/>
      <c r="G1148" s="56" t="n"/>
      <c r="H1148" s="55" t="n"/>
      <c r="I1148" s="62" t="n"/>
      <c r="J1148" s="58" t="n"/>
      <c r="K1148" s="63">
        <f>IF(tblMovement[[#This Row],[Source]]="","",IFERROR(INDEX(tblSources[Type],MATCH(tblMovement[[#This Row],[Source]],tblSources[Source],0)),"?"))</f>
        <v/>
      </c>
      <c r="L1148" s="63">
        <f>IF(tblMovement[[#This Row],[Destination]]="","",IFERROR(INDEX(tblDestinations[Type],MATCH(tblMovement[[#This Row],[Destination]],tblDestinations[Destination],0)),"?"))</f>
        <v/>
      </c>
      <c r="M1148" s="64">
        <f>IF(tblMovement[[#This Row],[Material]]="","",IF(LEFT(tblMovement[[#This Row],[Material]],3)="Ore",1,0))</f>
        <v/>
      </c>
      <c r="N1148" s="59">
        <f>IF(OR(tblMovement[[#This Row],[Tonnes_t]]="",tblMovement[[#This Row],[Grade_gpt]]=""),0,tblMovement[[#This Row],[Tonnes_t]]*tblMovement[[#This Row],[Grade_gpt]]/cfg_TroyOz)</f>
        <v/>
      </c>
      <c r="O1148" s="59">
        <f>IF(tblMovement[[#This Row],[Is_Ore]]=1,tblMovement[[#This Row],[Contained_oz]],0)</f>
        <v/>
      </c>
    </row>
    <row r="1149">
      <c r="A1149" s="54" t="n"/>
      <c r="B1149" s="61" t="n"/>
      <c r="C1149" s="61" t="n"/>
      <c r="D1149" s="61" t="n"/>
      <c r="E1149" s="61" t="n"/>
      <c r="F1149" s="55" t="n"/>
      <c r="G1149" s="56" t="n"/>
      <c r="H1149" s="55" t="n"/>
      <c r="I1149" s="62" t="n"/>
      <c r="J1149" s="58" t="n"/>
      <c r="K1149" s="63">
        <f>IF(tblMovement[[#This Row],[Source]]="","",IFERROR(INDEX(tblSources[Type],MATCH(tblMovement[[#This Row],[Source]],tblSources[Source],0)),"?"))</f>
        <v/>
      </c>
      <c r="L1149" s="63">
        <f>IF(tblMovement[[#This Row],[Destination]]="","",IFERROR(INDEX(tblDestinations[Type],MATCH(tblMovement[[#This Row],[Destination]],tblDestinations[Destination],0)),"?"))</f>
        <v/>
      </c>
      <c r="M1149" s="64">
        <f>IF(tblMovement[[#This Row],[Material]]="","",IF(LEFT(tblMovement[[#This Row],[Material]],3)="Ore",1,0))</f>
        <v/>
      </c>
      <c r="N1149" s="59">
        <f>IF(OR(tblMovement[[#This Row],[Tonnes_t]]="",tblMovement[[#This Row],[Grade_gpt]]=""),0,tblMovement[[#This Row],[Tonnes_t]]*tblMovement[[#This Row],[Grade_gpt]]/cfg_TroyOz)</f>
        <v/>
      </c>
      <c r="O1149" s="59">
        <f>IF(tblMovement[[#This Row],[Is_Ore]]=1,tblMovement[[#This Row],[Contained_oz]],0)</f>
        <v/>
      </c>
    </row>
    <row r="1150">
      <c r="A1150" s="54" t="n"/>
      <c r="B1150" s="61" t="n"/>
      <c r="C1150" s="61" t="n"/>
      <c r="D1150" s="61" t="n"/>
      <c r="E1150" s="61" t="n"/>
      <c r="F1150" s="55" t="n"/>
      <c r="G1150" s="56" t="n"/>
      <c r="H1150" s="55" t="n"/>
      <c r="I1150" s="62" t="n"/>
      <c r="J1150" s="58" t="n"/>
      <c r="K1150" s="63">
        <f>IF(tblMovement[[#This Row],[Source]]="","",IFERROR(INDEX(tblSources[Type],MATCH(tblMovement[[#This Row],[Source]],tblSources[Source],0)),"?"))</f>
        <v/>
      </c>
      <c r="L1150" s="63">
        <f>IF(tblMovement[[#This Row],[Destination]]="","",IFERROR(INDEX(tblDestinations[Type],MATCH(tblMovement[[#This Row],[Destination]],tblDestinations[Destination],0)),"?"))</f>
        <v/>
      </c>
      <c r="M1150" s="64">
        <f>IF(tblMovement[[#This Row],[Material]]="","",IF(LEFT(tblMovement[[#This Row],[Material]],3)="Ore",1,0))</f>
        <v/>
      </c>
      <c r="N1150" s="59">
        <f>IF(OR(tblMovement[[#This Row],[Tonnes_t]]="",tblMovement[[#This Row],[Grade_gpt]]=""),0,tblMovement[[#This Row],[Tonnes_t]]*tblMovement[[#This Row],[Grade_gpt]]/cfg_TroyOz)</f>
        <v/>
      </c>
      <c r="O1150" s="59">
        <f>IF(tblMovement[[#This Row],[Is_Ore]]=1,tblMovement[[#This Row],[Contained_oz]],0)</f>
        <v/>
      </c>
    </row>
    <row r="1151">
      <c r="A1151" s="54" t="n"/>
      <c r="B1151" s="61" t="n"/>
      <c r="C1151" s="61" t="n"/>
      <c r="D1151" s="61" t="n"/>
      <c r="E1151" s="61" t="n"/>
      <c r="F1151" s="55" t="n"/>
      <c r="G1151" s="56" t="n"/>
      <c r="H1151" s="55" t="n"/>
      <c r="I1151" s="62" t="n"/>
      <c r="J1151" s="58" t="n"/>
      <c r="K1151" s="63">
        <f>IF(tblMovement[[#This Row],[Source]]="","",IFERROR(INDEX(tblSources[Type],MATCH(tblMovement[[#This Row],[Source]],tblSources[Source],0)),"?"))</f>
        <v/>
      </c>
      <c r="L1151" s="63">
        <f>IF(tblMovement[[#This Row],[Destination]]="","",IFERROR(INDEX(tblDestinations[Type],MATCH(tblMovement[[#This Row],[Destination]],tblDestinations[Destination],0)),"?"))</f>
        <v/>
      </c>
      <c r="M1151" s="64">
        <f>IF(tblMovement[[#This Row],[Material]]="","",IF(LEFT(tblMovement[[#This Row],[Material]],3)="Ore",1,0))</f>
        <v/>
      </c>
      <c r="N1151" s="59">
        <f>IF(OR(tblMovement[[#This Row],[Tonnes_t]]="",tblMovement[[#This Row],[Grade_gpt]]=""),0,tblMovement[[#This Row],[Tonnes_t]]*tblMovement[[#This Row],[Grade_gpt]]/cfg_TroyOz)</f>
        <v/>
      </c>
      <c r="O1151" s="59">
        <f>IF(tblMovement[[#This Row],[Is_Ore]]=1,tblMovement[[#This Row],[Contained_oz]],0)</f>
        <v/>
      </c>
    </row>
    <row r="1152">
      <c r="A1152" s="54" t="n"/>
      <c r="B1152" s="61" t="n"/>
      <c r="C1152" s="61" t="n"/>
      <c r="D1152" s="61" t="n"/>
      <c r="E1152" s="61" t="n"/>
      <c r="F1152" s="55" t="n"/>
      <c r="G1152" s="56" t="n"/>
      <c r="H1152" s="55" t="n"/>
      <c r="I1152" s="62" t="n"/>
      <c r="J1152" s="58" t="n"/>
      <c r="K1152" s="63">
        <f>IF(tblMovement[[#This Row],[Source]]="","",IFERROR(INDEX(tblSources[Type],MATCH(tblMovement[[#This Row],[Source]],tblSources[Source],0)),"?"))</f>
        <v/>
      </c>
      <c r="L1152" s="63">
        <f>IF(tblMovement[[#This Row],[Destination]]="","",IFERROR(INDEX(tblDestinations[Type],MATCH(tblMovement[[#This Row],[Destination]],tblDestinations[Destination],0)),"?"))</f>
        <v/>
      </c>
      <c r="M1152" s="64">
        <f>IF(tblMovement[[#This Row],[Material]]="","",IF(LEFT(tblMovement[[#This Row],[Material]],3)="Ore",1,0))</f>
        <v/>
      </c>
      <c r="N1152" s="59">
        <f>IF(OR(tblMovement[[#This Row],[Tonnes_t]]="",tblMovement[[#This Row],[Grade_gpt]]=""),0,tblMovement[[#This Row],[Tonnes_t]]*tblMovement[[#This Row],[Grade_gpt]]/cfg_TroyOz)</f>
        <v/>
      </c>
      <c r="O1152" s="59">
        <f>IF(tblMovement[[#This Row],[Is_Ore]]=1,tblMovement[[#This Row],[Contained_oz]],0)</f>
        <v/>
      </c>
    </row>
    <row r="1153">
      <c r="A1153" s="54" t="n"/>
      <c r="B1153" s="61" t="n"/>
      <c r="C1153" s="61" t="n"/>
      <c r="D1153" s="61" t="n"/>
      <c r="E1153" s="61" t="n"/>
      <c r="F1153" s="55" t="n"/>
      <c r="G1153" s="56" t="n"/>
      <c r="H1153" s="55" t="n"/>
      <c r="I1153" s="62" t="n"/>
      <c r="J1153" s="58" t="n"/>
      <c r="K1153" s="63">
        <f>IF(tblMovement[[#This Row],[Source]]="","",IFERROR(INDEX(tblSources[Type],MATCH(tblMovement[[#This Row],[Source]],tblSources[Source],0)),"?"))</f>
        <v/>
      </c>
      <c r="L1153" s="63">
        <f>IF(tblMovement[[#This Row],[Destination]]="","",IFERROR(INDEX(tblDestinations[Type],MATCH(tblMovement[[#This Row],[Destination]],tblDestinations[Destination],0)),"?"))</f>
        <v/>
      </c>
      <c r="M1153" s="64">
        <f>IF(tblMovement[[#This Row],[Material]]="","",IF(LEFT(tblMovement[[#This Row],[Material]],3)="Ore",1,0))</f>
        <v/>
      </c>
      <c r="N1153" s="59">
        <f>IF(OR(tblMovement[[#This Row],[Tonnes_t]]="",tblMovement[[#This Row],[Grade_gpt]]=""),0,tblMovement[[#This Row],[Tonnes_t]]*tblMovement[[#This Row],[Grade_gpt]]/cfg_TroyOz)</f>
        <v/>
      </c>
      <c r="O1153" s="59">
        <f>IF(tblMovement[[#This Row],[Is_Ore]]=1,tblMovement[[#This Row],[Contained_oz]],0)</f>
        <v/>
      </c>
    </row>
    <row r="1154">
      <c r="A1154" s="54" t="n"/>
      <c r="B1154" s="61" t="n"/>
      <c r="C1154" s="61" t="n"/>
      <c r="D1154" s="61" t="n"/>
      <c r="E1154" s="61" t="n"/>
      <c r="F1154" s="55" t="n"/>
      <c r="G1154" s="56" t="n"/>
      <c r="H1154" s="55" t="n"/>
      <c r="I1154" s="62" t="n"/>
      <c r="J1154" s="58" t="n"/>
      <c r="K1154" s="63">
        <f>IF(tblMovement[[#This Row],[Source]]="","",IFERROR(INDEX(tblSources[Type],MATCH(tblMovement[[#This Row],[Source]],tblSources[Source],0)),"?"))</f>
        <v/>
      </c>
      <c r="L1154" s="63">
        <f>IF(tblMovement[[#This Row],[Destination]]="","",IFERROR(INDEX(tblDestinations[Type],MATCH(tblMovement[[#This Row],[Destination]],tblDestinations[Destination],0)),"?"))</f>
        <v/>
      </c>
      <c r="M1154" s="64">
        <f>IF(tblMovement[[#This Row],[Material]]="","",IF(LEFT(tblMovement[[#This Row],[Material]],3)="Ore",1,0))</f>
        <v/>
      </c>
      <c r="N1154" s="59">
        <f>IF(OR(tblMovement[[#This Row],[Tonnes_t]]="",tblMovement[[#This Row],[Grade_gpt]]=""),0,tblMovement[[#This Row],[Tonnes_t]]*tblMovement[[#This Row],[Grade_gpt]]/cfg_TroyOz)</f>
        <v/>
      </c>
      <c r="O1154" s="59">
        <f>IF(tblMovement[[#This Row],[Is_Ore]]=1,tblMovement[[#This Row],[Contained_oz]],0)</f>
        <v/>
      </c>
    </row>
    <row r="1155">
      <c r="A1155" s="54" t="n"/>
      <c r="B1155" s="61" t="n"/>
      <c r="C1155" s="61" t="n"/>
      <c r="D1155" s="61" t="n"/>
      <c r="E1155" s="61" t="n"/>
      <c r="F1155" s="55" t="n"/>
      <c r="G1155" s="56" t="n"/>
      <c r="H1155" s="55" t="n"/>
      <c r="I1155" s="62" t="n"/>
      <c r="J1155" s="58" t="n"/>
      <c r="K1155" s="63">
        <f>IF(tblMovement[[#This Row],[Source]]="","",IFERROR(INDEX(tblSources[Type],MATCH(tblMovement[[#This Row],[Source]],tblSources[Source],0)),"?"))</f>
        <v/>
      </c>
      <c r="L1155" s="63">
        <f>IF(tblMovement[[#This Row],[Destination]]="","",IFERROR(INDEX(tblDestinations[Type],MATCH(tblMovement[[#This Row],[Destination]],tblDestinations[Destination],0)),"?"))</f>
        <v/>
      </c>
      <c r="M1155" s="64">
        <f>IF(tblMovement[[#This Row],[Material]]="","",IF(LEFT(tblMovement[[#This Row],[Material]],3)="Ore",1,0))</f>
        <v/>
      </c>
      <c r="N1155" s="59">
        <f>IF(OR(tblMovement[[#This Row],[Tonnes_t]]="",tblMovement[[#This Row],[Grade_gpt]]=""),0,tblMovement[[#This Row],[Tonnes_t]]*tblMovement[[#This Row],[Grade_gpt]]/cfg_TroyOz)</f>
        <v/>
      </c>
      <c r="O1155" s="59">
        <f>IF(tblMovement[[#This Row],[Is_Ore]]=1,tblMovement[[#This Row],[Contained_oz]],0)</f>
        <v/>
      </c>
    </row>
    <row r="1156">
      <c r="A1156" s="54" t="n"/>
      <c r="B1156" s="61" t="n"/>
      <c r="C1156" s="61" t="n"/>
      <c r="D1156" s="61" t="n"/>
      <c r="E1156" s="61" t="n"/>
      <c r="F1156" s="55" t="n"/>
      <c r="G1156" s="56" t="n"/>
      <c r="H1156" s="55" t="n"/>
      <c r="I1156" s="62" t="n"/>
      <c r="J1156" s="58" t="n"/>
      <c r="K1156" s="63">
        <f>IF(tblMovement[[#This Row],[Source]]="","",IFERROR(INDEX(tblSources[Type],MATCH(tblMovement[[#This Row],[Source]],tblSources[Source],0)),"?"))</f>
        <v/>
      </c>
      <c r="L1156" s="63">
        <f>IF(tblMovement[[#This Row],[Destination]]="","",IFERROR(INDEX(tblDestinations[Type],MATCH(tblMovement[[#This Row],[Destination]],tblDestinations[Destination],0)),"?"))</f>
        <v/>
      </c>
      <c r="M1156" s="64">
        <f>IF(tblMovement[[#This Row],[Material]]="","",IF(LEFT(tblMovement[[#This Row],[Material]],3)="Ore",1,0))</f>
        <v/>
      </c>
      <c r="N1156" s="59">
        <f>IF(OR(tblMovement[[#This Row],[Tonnes_t]]="",tblMovement[[#This Row],[Grade_gpt]]=""),0,tblMovement[[#This Row],[Tonnes_t]]*tblMovement[[#This Row],[Grade_gpt]]/cfg_TroyOz)</f>
        <v/>
      </c>
      <c r="O1156" s="59">
        <f>IF(tblMovement[[#This Row],[Is_Ore]]=1,tblMovement[[#This Row],[Contained_oz]],0)</f>
        <v/>
      </c>
    </row>
    <row r="1157">
      <c r="A1157" s="54" t="n"/>
      <c r="B1157" s="61" t="n"/>
      <c r="C1157" s="61" t="n"/>
      <c r="D1157" s="61" t="n"/>
      <c r="E1157" s="61" t="n"/>
      <c r="F1157" s="55" t="n"/>
      <c r="G1157" s="56" t="n"/>
      <c r="H1157" s="55" t="n"/>
      <c r="I1157" s="62" t="n"/>
      <c r="J1157" s="58" t="n"/>
      <c r="K1157" s="63">
        <f>IF(tblMovement[[#This Row],[Source]]="","",IFERROR(INDEX(tblSources[Type],MATCH(tblMovement[[#This Row],[Source]],tblSources[Source],0)),"?"))</f>
        <v/>
      </c>
      <c r="L1157" s="63">
        <f>IF(tblMovement[[#This Row],[Destination]]="","",IFERROR(INDEX(tblDestinations[Type],MATCH(tblMovement[[#This Row],[Destination]],tblDestinations[Destination],0)),"?"))</f>
        <v/>
      </c>
      <c r="M1157" s="64">
        <f>IF(tblMovement[[#This Row],[Material]]="","",IF(LEFT(tblMovement[[#This Row],[Material]],3)="Ore",1,0))</f>
        <v/>
      </c>
      <c r="N1157" s="59">
        <f>IF(OR(tblMovement[[#This Row],[Tonnes_t]]="",tblMovement[[#This Row],[Grade_gpt]]=""),0,tblMovement[[#This Row],[Tonnes_t]]*tblMovement[[#This Row],[Grade_gpt]]/cfg_TroyOz)</f>
        <v/>
      </c>
      <c r="O1157" s="59">
        <f>IF(tblMovement[[#This Row],[Is_Ore]]=1,tblMovement[[#This Row],[Contained_oz]],0)</f>
        <v/>
      </c>
    </row>
    <row r="1158">
      <c r="A1158" s="54" t="n"/>
      <c r="B1158" s="61" t="n"/>
      <c r="C1158" s="61" t="n"/>
      <c r="D1158" s="61" t="n"/>
      <c r="E1158" s="61" t="n"/>
      <c r="F1158" s="55" t="n"/>
      <c r="G1158" s="56" t="n"/>
      <c r="H1158" s="55" t="n"/>
      <c r="I1158" s="62" t="n"/>
      <c r="J1158" s="58" t="n"/>
      <c r="K1158" s="63">
        <f>IF(tblMovement[[#This Row],[Source]]="","",IFERROR(INDEX(tblSources[Type],MATCH(tblMovement[[#This Row],[Source]],tblSources[Source],0)),"?"))</f>
        <v/>
      </c>
      <c r="L1158" s="63">
        <f>IF(tblMovement[[#This Row],[Destination]]="","",IFERROR(INDEX(tblDestinations[Type],MATCH(tblMovement[[#This Row],[Destination]],tblDestinations[Destination],0)),"?"))</f>
        <v/>
      </c>
      <c r="M1158" s="64">
        <f>IF(tblMovement[[#This Row],[Material]]="","",IF(LEFT(tblMovement[[#This Row],[Material]],3)="Ore",1,0))</f>
        <v/>
      </c>
      <c r="N1158" s="59">
        <f>IF(OR(tblMovement[[#This Row],[Tonnes_t]]="",tblMovement[[#This Row],[Grade_gpt]]=""),0,tblMovement[[#This Row],[Tonnes_t]]*tblMovement[[#This Row],[Grade_gpt]]/cfg_TroyOz)</f>
        <v/>
      </c>
      <c r="O1158" s="59">
        <f>IF(tblMovement[[#This Row],[Is_Ore]]=1,tblMovement[[#This Row],[Contained_oz]],0)</f>
        <v/>
      </c>
    </row>
    <row r="1159">
      <c r="A1159" s="54" t="n"/>
      <c r="B1159" s="61" t="n"/>
      <c r="C1159" s="61" t="n"/>
      <c r="D1159" s="61" t="n"/>
      <c r="E1159" s="61" t="n"/>
      <c r="F1159" s="55" t="n"/>
      <c r="G1159" s="56" t="n"/>
      <c r="H1159" s="55" t="n"/>
      <c r="I1159" s="62" t="n"/>
      <c r="J1159" s="58" t="n"/>
      <c r="K1159" s="63">
        <f>IF(tblMovement[[#This Row],[Source]]="","",IFERROR(INDEX(tblSources[Type],MATCH(tblMovement[[#This Row],[Source]],tblSources[Source],0)),"?"))</f>
        <v/>
      </c>
      <c r="L1159" s="63">
        <f>IF(tblMovement[[#This Row],[Destination]]="","",IFERROR(INDEX(tblDestinations[Type],MATCH(tblMovement[[#This Row],[Destination]],tblDestinations[Destination],0)),"?"))</f>
        <v/>
      </c>
      <c r="M1159" s="64">
        <f>IF(tblMovement[[#This Row],[Material]]="","",IF(LEFT(tblMovement[[#This Row],[Material]],3)="Ore",1,0))</f>
        <v/>
      </c>
      <c r="N1159" s="59">
        <f>IF(OR(tblMovement[[#This Row],[Tonnes_t]]="",tblMovement[[#This Row],[Grade_gpt]]=""),0,tblMovement[[#This Row],[Tonnes_t]]*tblMovement[[#This Row],[Grade_gpt]]/cfg_TroyOz)</f>
        <v/>
      </c>
      <c r="O1159" s="59">
        <f>IF(tblMovement[[#This Row],[Is_Ore]]=1,tblMovement[[#This Row],[Contained_oz]],0)</f>
        <v/>
      </c>
    </row>
    <row r="1160">
      <c r="A1160" s="54" t="n"/>
      <c r="B1160" s="61" t="n"/>
      <c r="C1160" s="61" t="n"/>
      <c r="D1160" s="61" t="n"/>
      <c r="E1160" s="61" t="n"/>
      <c r="F1160" s="55" t="n"/>
      <c r="G1160" s="56" t="n"/>
      <c r="H1160" s="55" t="n"/>
      <c r="I1160" s="62" t="n"/>
      <c r="J1160" s="58" t="n"/>
      <c r="K1160" s="63">
        <f>IF(tblMovement[[#This Row],[Source]]="","",IFERROR(INDEX(tblSources[Type],MATCH(tblMovement[[#This Row],[Source]],tblSources[Source],0)),"?"))</f>
        <v/>
      </c>
      <c r="L1160" s="63">
        <f>IF(tblMovement[[#This Row],[Destination]]="","",IFERROR(INDEX(tblDestinations[Type],MATCH(tblMovement[[#This Row],[Destination]],tblDestinations[Destination],0)),"?"))</f>
        <v/>
      </c>
      <c r="M1160" s="64">
        <f>IF(tblMovement[[#This Row],[Material]]="","",IF(LEFT(tblMovement[[#This Row],[Material]],3)="Ore",1,0))</f>
        <v/>
      </c>
      <c r="N1160" s="59">
        <f>IF(OR(tblMovement[[#This Row],[Tonnes_t]]="",tblMovement[[#This Row],[Grade_gpt]]=""),0,tblMovement[[#This Row],[Tonnes_t]]*tblMovement[[#This Row],[Grade_gpt]]/cfg_TroyOz)</f>
        <v/>
      </c>
      <c r="O1160" s="59">
        <f>IF(tblMovement[[#This Row],[Is_Ore]]=1,tblMovement[[#This Row],[Contained_oz]],0)</f>
        <v/>
      </c>
    </row>
    <row r="1161">
      <c r="A1161" s="54" t="n"/>
      <c r="B1161" s="61" t="n"/>
      <c r="C1161" s="61" t="n"/>
      <c r="D1161" s="61" t="n"/>
      <c r="E1161" s="61" t="n"/>
      <c r="F1161" s="55" t="n"/>
      <c r="G1161" s="56" t="n"/>
      <c r="H1161" s="55" t="n"/>
      <c r="I1161" s="62" t="n"/>
      <c r="J1161" s="58" t="n"/>
      <c r="K1161" s="63">
        <f>IF(tblMovement[[#This Row],[Source]]="","",IFERROR(INDEX(tblSources[Type],MATCH(tblMovement[[#This Row],[Source]],tblSources[Source],0)),"?"))</f>
        <v/>
      </c>
      <c r="L1161" s="63">
        <f>IF(tblMovement[[#This Row],[Destination]]="","",IFERROR(INDEX(tblDestinations[Type],MATCH(tblMovement[[#This Row],[Destination]],tblDestinations[Destination],0)),"?"))</f>
        <v/>
      </c>
      <c r="M1161" s="64">
        <f>IF(tblMovement[[#This Row],[Material]]="","",IF(LEFT(tblMovement[[#This Row],[Material]],3)="Ore",1,0))</f>
        <v/>
      </c>
      <c r="N1161" s="59">
        <f>IF(OR(tblMovement[[#This Row],[Tonnes_t]]="",tblMovement[[#This Row],[Grade_gpt]]=""),0,tblMovement[[#This Row],[Tonnes_t]]*tblMovement[[#This Row],[Grade_gpt]]/cfg_TroyOz)</f>
        <v/>
      </c>
      <c r="O1161" s="59">
        <f>IF(tblMovement[[#This Row],[Is_Ore]]=1,tblMovement[[#This Row],[Contained_oz]],0)</f>
        <v/>
      </c>
    </row>
    <row r="1162">
      <c r="A1162" s="54" t="n"/>
      <c r="B1162" s="61" t="n"/>
      <c r="C1162" s="61" t="n"/>
      <c r="D1162" s="61" t="n"/>
      <c r="E1162" s="61" t="n"/>
      <c r="F1162" s="55" t="n"/>
      <c r="G1162" s="56" t="n"/>
      <c r="H1162" s="55" t="n"/>
      <c r="I1162" s="62" t="n"/>
      <c r="J1162" s="58" t="n"/>
      <c r="K1162" s="63">
        <f>IF(tblMovement[[#This Row],[Source]]="","",IFERROR(INDEX(tblSources[Type],MATCH(tblMovement[[#This Row],[Source]],tblSources[Source],0)),"?"))</f>
        <v/>
      </c>
      <c r="L1162" s="63">
        <f>IF(tblMovement[[#This Row],[Destination]]="","",IFERROR(INDEX(tblDestinations[Type],MATCH(tblMovement[[#This Row],[Destination]],tblDestinations[Destination],0)),"?"))</f>
        <v/>
      </c>
      <c r="M1162" s="64">
        <f>IF(tblMovement[[#This Row],[Material]]="","",IF(LEFT(tblMovement[[#This Row],[Material]],3)="Ore",1,0))</f>
        <v/>
      </c>
      <c r="N1162" s="59">
        <f>IF(OR(tblMovement[[#This Row],[Tonnes_t]]="",tblMovement[[#This Row],[Grade_gpt]]=""),0,tblMovement[[#This Row],[Tonnes_t]]*tblMovement[[#This Row],[Grade_gpt]]/cfg_TroyOz)</f>
        <v/>
      </c>
      <c r="O1162" s="59">
        <f>IF(tblMovement[[#This Row],[Is_Ore]]=1,tblMovement[[#This Row],[Contained_oz]],0)</f>
        <v/>
      </c>
    </row>
    <row r="1163">
      <c r="A1163" s="54" t="n"/>
      <c r="B1163" s="61" t="n"/>
      <c r="C1163" s="61" t="n"/>
      <c r="D1163" s="61" t="n"/>
      <c r="E1163" s="61" t="n"/>
      <c r="F1163" s="55" t="n"/>
      <c r="G1163" s="56" t="n"/>
      <c r="H1163" s="55" t="n"/>
      <c r="I1163" s="62" t="n"/>
      <c r="J1163" s="58" t="n"/>
      <c r="K1163" s="63">
        <f>IF(tblMovement[[#This Row],[Source]]="","",IFERROR(INDEX(tblSources[Type],MATCH(tblMovement[[#This Row],[Source]],tblSources[Source],0)),"?"))</f>
        <v/>
      </c>
      <c r="L1163" s="63">
        <f>IF(tblMovement[[#This Row],[Destination]]="","",IFERROR(INDEX(tblDestinations[Type],MATCH(tblMovement[[#This Row],[Destination]],tblDestinations[Destination],0)),"?"))</f>
        <v/>
      </c>
      <c r="M1163" s="64">
        <f>IF(tblMovement[[#This Row],[Material]]="","",IF(LEFT(tblMovement[[#This Row],[Material]],3)="Ore",1,0))</f>
        <v/>
      </c>
      <c r="N1163" s="59">
        <f>IF(OR(tblMovement[[#This Row],[Tonnes_t]]="",tblMovement[[#This Row],[Grade_gpt]]=""),0,tblMovement[[#This Row],[Tonnes_t]]*tblMovement[[#This Row],[Grade_gpt]]/cfg_TroyOz)</f>
        <v/>
      </c>
      <c r="O1163" s="59">
        <f>IF(tblMovement[[#This Row],[Is_Ore]]=1,tblMovement[[#This Row],[Contained_oz]],0)</f>
        <v/>
      </c>
    </row>
    <row r="1164">
      <c r="A1164" s="54" t="n"/>
      <c r="B1164" s="61" t="n"/>
      <c r="C1164" s="61" t="n"/>
      <c r="D1164" s="61" t="n"/>
      <c r="E1164" s="61" t="n"/>
      <c r="F1164" s="55" t="n"/>
      <c r="G1164" s="56" t="n"/>
      <c r="H1164" s="55" t="n"/>
      <c r="I1164" s="62" t="n"/>
      <c r="J1164" s="58" t="n"/>
      <c r="K1164" s="63">
        <f>IF(tblMovement[[#This Row],[Source]]="","",IFERROR(INDEX(tblSources[Type],MATCH(tblMovement[[#This Row],[Source]],tblSources[Source],0)),"?"))</f>
        <v/>
      </c>
      <c r="L1164" s="63">
        <f>IF(tblMovement[[#This Row],[Destination]]="","",IFERROR(INDEX(tblDestinations[Type],MATCH(tblMovement[[#This Row],[Destination]],tblDestinations[Destination],0)),"?"))</f>
        <v/>
      </c>
      <c r="M1164" s="64">
        <f>IF(tblMovement[[#This Row],[Material]]="","",IF(LEFT(tblMovement[[#This Row],[Material]],3)="Ore",1,0))</f>
        <v/>
      </c>
      <c r="N1164" s="59">
        <f>IF(OR(tblMovement[[#This Row],[Tonnes_t]]="",tblMovement[[#This Row],[Grade_gpt]]=""),0,tblMovement[[#This Row],[Tonnes_t]]*tblMovement[[#This Row],[Grade_gpt]]/cfg_TroyOz)</f>
        <v/>
      </c>
      <c r="O1164" s="59">
        <f>IF(tblMovement[[#This Row],[Is_Ore]]=1,tblMovement[[#This Row],[Contained_oz]],0)</f>
        <v/>
      </c>
    </row>
    <row r="1165">
      <c r="A1165" s="54" t="n"/>
      <c r="B1165" s="61" t="n"/>
      <c r="C1165" s="61" t="n"/>
      <c r="D1165" s="61" t="n"/>
      <c r="E1165" s="61" t="n"/>
      <c r="F1165" s="55" t="n"/>
      <c r="G1165" s="56" t="n"/>
      <c r="H1165" s="55" t="n"/>
      <c r="I1165" s="62" t="n"/>
      <c r="J1165" s="58" t="n"/>
      <c r="K1165" s="63">
        <f>IF(tblMovement[[#This Row],[Source]]="","",IFERROR(INDEX(tblSources[Type],MATCH(tblMovement[[#This Row],[Source]],tblSources[Source],0)),"?"))</f>
        <v/>
      </c>
      <c r="L1165" s="63">
        <f>IF(tblMovement[[#This Row],[Destination]]="","",IFERROR(INDEX(tblDestinations[Type],MATCH(tblMovement[[#This Row],[Destination]],tblDestinations[Destination],0)),"?"))</f>
        <v/>
      </c>
      <c r="M1165" s="64">
        <f>IF(tblMovement[[#This Row],[Material]]="","",IF(LEFT(tblMovement[[#This Row],[Material]],3)="Ore",1,0))</f>
        <v/>
      </c>
      <c r="N1165" s="59">
        <f>IF(OR(tblMovement[[#This Row],[Tonnes_t]]="",tblMovement[[#This Row],[Grade_gpt]]=""),0,tblMovement[[#This Row],[Tonnes_t]]*tblMovement[[#This Row],[Grade_gpt]]/cfg_TroyOz)</f>
        <v/>
      </c>
      <c r="O1165" s="59">
        <f>IF(tblMovement[[#This Row],[Is_Ore]]=1,tblMovement[[#This Row],[Contained_oz]],0)</f>
        <v/>
      </c>
    </row>
    <row r="1166">
      <c r="A1166" s="54" t="n"/>
      <c r="B1166" s="61" t="n"/>
      <c r="C1166" s="61" t="n"/>
      <c r="D1166" s="61" t="n"/>
      <c r="E1166" s="61" t="n"/>
      <c r="F1166" s="55" t="n"/>
      <c r="G1166" s="56" t="n"/>
      <c r="H1166" s="55" t="n"/>
      <c r="I1166" s="62" t="n"/>
      <c r="J1166" s="58" t="n"/>
      <c r="K1166" s="63">
        <f>IF(tblMovement[[#This Row],[Source]]="","",IFERROR(INDEX(tblSources[Type],MATCH(tblMovement[[#This Row],[Source]],tblSources[Source],0)),"?"))</f>
        <v/>
      </c>
      <c r="L1166" s="63">
        <f>IF(tblMovement[[#This Row],[Destination]]="","",IFERROR(INDEX(tblDestinations[Type],MATCH(tblMovement[[#This Row],[Destination]],tblDestinations[Destination],0)),"?"))</f>
        <v/>
      </c>
      <c r="M1166" s="64">
        <f>IF(tblMovement[[#This Row],[Material]]="","",IF(LEFT(tblMovement[[#This Row],[Material]],3)="Ore",1,0))</f>
        <v/>
      </c>
      <c r="N1166" s="59">
        <f>IF(OR(tblMovement[[#This Row],[Tonnes_t]]="",tblMovement[[#This Row],[Grade_gpt]]=""),0,tblMovement[[#This Row],[Tonnes_t]]*tblMovement[[#This Row],[Grade_gpt]]/cfg_TroyOz)</f>
        <v/>
      </c>
      <c r="O1166" s="59">
        <f>IF(tblMovement[[#This Row],[Is_Ore]]=1,tblMovement[[#This Row],[Contained_oz]],0)</f>
        <v/>
      </c>
    </row>
    <row r="1167">
      <c r="A1167" s="54" t="n"/>
      <c r="B1167" s="61" t="n"/>
      <c r="C1167" s="61" t="n"/>
      <c r="D1167" s="61" t="n"/>
      <c r="E1167" s="61" t="n"/>
      <c r="F1167" s="55" t="n"/>
      <c r="G1167" s="56" t="n"/>
      <c r="H1167" s="55" t="n"/>
      <c r="I1167" s="62" t="n"/>
      <c r="J1167" s="58" t="n"/>
      <c r="K1167" s="63">
        <f>IF(tblMovement[[#This Row],[Source]]="","",IFERROR(INDEX(tblSources[Type],MATCH(tblMovement[[#This Row],[Source]],tblSources[Source],0)),"?"))</f>
        <v/>
      </c>
      <c r="L1167" s="63">
        <f>IF(tblMovement[[#This Row],[Destination]]="","",IFERROR(INDEX(tblDestinations[Type],MATCH(tblMovement[[#This Row],[Destination]],tblDestinations[Destination],0)),"?"))</f>
        <v/>
      </c>
      <c r="M1167" s="64">
        <f>IF(tblMovement[[#This Row],[Material]]="","",IF(LEFT(tblMovement[[#This Row],[Material]],3)="Ore",1,0))</f>
        <v/>
      </c>
      <c r="N1167" s="59">
        <f>IF(OR(tblMovement[[#This Row],[Tonnes_t]]="",tblMovement[[#This Row],[Grade_gpt]]=""),0,tblMovement[[#This Row],[Tonnes_t]]*tblMovement[[#This Row],[Grade_gpt]]/cfg_TroyOz)</f>
        <v/>
      </c>
      <c r="O1167" s="59">
        <f>IF(tblMovement[[#This Row],[Is_Ore]]=1,tblMovement[[#This Row],[Contained_oz]],0)</f>
        <v/>
      </c>
    </row>
    <row r="1168">
      <c r="A1168" s="54" t="n"/>
      <c r="B1168" s="61" t="n"/>
      <c r="C1168" s="61" t="n"/>
      <c r="D1168" s="61" t="n"/>
      <c r="E1168" s="61" t="n"/>
      <c r="F1168" s="55" t="n"/>
      <c r="G1168" s="56" t="n"/>
      <c r="H1168" s="55" t="n"/>
      <c r="I1168" s="62" t="n"/>
      <c r="J1168" s="58" t="n"/>
      <c r="K1168" s="63">
        <f>IF(tblMovement[[#This Row],[Source]]="","",IFERROR(INDEX(tblSources[Type],MATCH(tblMovement[[#This Row],[Source]],tblSources[Source],0)),"?"))</f>
        <v/>
      </c>
      <c r="L1168" s="63">
        <f>IF(tblMovement[[#This Row],[Destination]]="","",IFERROR(INDEX(tblDestinations[Type],MATCH(tblMovement[[#This Row],[Destination]],tblDestinations[Destination],0)),"?"))</f>
        <v/>
      </c>
      <c r="M1168" s="64">
        <f>IF(tblMovement[[#This Row],[Material]]="","",IF(LEFT(tblMovement[[#This Row],[Material]],3)="Ore",1,0))</f>
        <v/>
      </c>
      <c r="N1168" s="59">
        <f>IF(OR(tblMovement[[#This Row],[Tonnes_t]]="",tblMovement[[#This Row],[Grade_gpt]]=""),0,tblMovement[[#This Row],[Tonnes_t]]*tblMovement[[#This Row],[Grade_gpt]]/cfg_TroyOz)</f>
        <v/>
      </c>
      <c r="O1168" s="59">
        <f>IF(tblMovement[[#This Row],[Is_Ore]]=1,tblMovement[[#This Row],[Contained_oz]],0)</f>
        <v/>
      </c>
    </row>
    <row r="1169">
      <c r="A1169" s="54" t="n"/>
      <c r="B1169" s="61" t="n"/>
      <c r="C1169" s="61" t="n"/>
      <c r="D1169" s="61" t="n"/>
      <c r="E1169" s="61" t="n"/>
      <c r="F1169" s="55" t="n"/>
      <c r="G1169" s="56" t="n"/>
      <c r="H1169" s="55" t="n"/>
      <c r="I1169" s="62" t="n"/>
      <c r="J1169" s="58" t="n"/>
      <c r="K1169" s="63">
        <f>IF(tblMovement[[#This Row],[Source]]="","",IFERROR(INDEX(tblSources[Type],MATCH(tblMovement[[#This Row],[Source]],tblSources[Source],0)),"?"))</f>
        <v/>
      </c>
      <c r="L1169" s="63">
        <f>IF(tblMovement[[#This Row],[Destination]]="","",IFERROR(INDEX(tblDestinations[Type],MATCH(tblMovement[[#This Row],[Destination]],tblDestinations[Destination],0)),"?"))</f>
        <v/>
      </c>
      <c r="M1169" s="64">
        <f>IF(tblMovement[[#This Row],[Material]]="","",IF(LEFT(tblMovement[[#This Row],[Material]],3)="Ore",1,0))</f>
        <v/>
      </c>
      <c r="N1169" s="59">
        <f>IF(OR(tblMovement[[#This Row],[Tonnes_t]]="",tblMovement[[#This Row],[Grade_gpt]]=""),0,tblMovement[[#This Row],[Tonnes_t]]*tblMovement[[#This Row],[Grade_gpt]]/cfg_TroyOz)</f>
        <v/>
      </c>
      <c r="O1169" s="59">
        <f>IF(tblMovement[[#This Row],[Is_Ore]]=1,tblMovement[[#This Row],[Contained_oz]],0)</f>
        <v/>
      </c>
    </row>
    <row r="1170">
      <c r="A1170" s="54" t="n"/>
      <c r="B1170" s="61" t="n"/>
      <c r="C1170" s="61" t="n"/>
      <c r="D1170" s="61" t="n"/>
      <c r="E1170" s="61" t="n"/>
      <c r="F1170" s="55" t="n"/>
      <c r="G1170" s="56" t="n"/>
      <c r="H1170" s="55" t="n"/>
      <c r="I1170" s="62" t="n"/>
      <c r="J1170" s="58" t="n"/>
      <c r="K1170" s="63">
        <f>IF(tblMovement[[#This Row],[Source]]="","",IFERROR(INDEX(tblSources[Type],MATCH(tblMovement[[#This Row],[Source]],tblSources[Source],0)),"?"))</f>
        <v/>
      </c>
      <c r="L1170" s="63">
        <f>IF(tblMovement[[#This Row],[Destination]]="","",IFERROR(INDEX(tblDestinations[Type],MATCH(tblMovement[[#This Row],[Destination]],tblDestinations[Destination],0)),"?"))</f>
        <v/>
      </c>
      <c r="M1170" s="64">
        <f>IF(tblMovement[[#This Row],[Material]]="","",IF(LEFT(tblMovement[[#This Row],[Material]],3)="Ore",1,0))</f>
        <v/>
      </c>
      <c r="N1170" s="59">
        <f>IF(OR(tblMovement[[#This Row],[Tonnes_t]]="",tblMovement[[#This Row],[Grade_gpt]]=""),0,tblMovement[[#This Row],[Tonnes_t]]*tblMovement[[#This Row],[Grade_gpt]]/cfg_TroyOz)</f>
        <v/>
      </c>
      <c r="O1170" s="59">
        <f>IF(tblMovement[[#This Row],[Is_Ore]]=1,tblMovement[[#This Row],[Contained_oz]],0)</f>
        <v/>
      </c>
    </row>
    <row r="1171">
      <c r="A1171" s="54" t="n"/>
      <c r="B1171" s="61" t="n"/>
      <c r="C1171" s="61" t="n"/>
      <c r="D1171" s="61" t="n"/>
      <c r="E1171" s="61" t="n"/>
      <c r="F1171" s="55" t="n"/>
      <c r="G1171" s="56" t="n"/>
      <c r="H1171" s="55" t="n"/>
      <c r="I1171" s="62" t="n"/>
      <c r="J1171" s="58" t="n"/>
      <c r="K1171" s="63">
        <f>IF(tblMovement[[#This Row],[Source]]="","",IFERROR(INDEX(tblSources[Type],MATCH(tblMovement[[#This Row],[Source]],tblSources[Source],0)),"?"))</f>
        <v/>
      </c>
      <c r="L1171" s="63">
        <f>IF(tblMovement[[#This Row],[Destination]]="","",IFERROR(INDEX(tblDestinations[Type],MATCH(tblMovement[[#This Row],[Destination]],tblDestinations[Destination],0)),"?"))</f>
        <v/>
      </c>
      <c r="M1171" s="64">
        <f>IF(tblMovement[[#This Row],[Material]]="","",IF(LEFT(tblMovement[[#This Row],[Material]],3)="Ore",1,0))</f>
        <v/>
      </c>
      <c r="N1171" s="59">
        <f>IF(OR(tblMovement[[#This Row],[Tonnes_t]]="",tblMovement[[#This Row],[Grade_gpt]]=""),0,tblMovement[[#This Row],[Tonnes_t]]*tblMovement[[#This Row],[Grade_gpt]]/cfg_TroyOz)</f>
        <v/>
      </c>
      <c r="O1171" s="59">
        <f>IF(tblMovement[[#This Row],[Is_Ore]]=1,tblMovement[[#This Row],[Contained_oz]],0)</f>
        <v/>
      </c>
    </row>
    <row r="1172">
      <c r="A1172" s="54" t="n"/>
      <c r="B1172" s="61" t="n"/>
      <c r="C1172" s="61" t="n"/>
      <c r="D1172" s="61" t="n"/>
      <c r="E1172" s="61" t="n"/>
      <c r="F1172" s="55" t="n"/>
      <c r="G1172" s="56" t="n"/>
      <c r="H1172" s="55" t="n"/>
      <c r="I1172" s="62" t="n"/>
      <c r="J1172" s="58" t="n"/>
      <c r="K1172" s="63">
        <f>IF(tblMovement[[#This Row],[Source]]="","",IFERROR(INDEX(tblSources[Type],MATCH(tblMovement[[#This Row],[Source]],tblSources[Source],0)),"?"))</f>
        <v/>
      </c>
      <c r="L1172" s="63">
        <f>IF(tblMovement[[#This Row],[Destination]]="","",IFERROR(INDEX(tblDestinations[Type],MATCH(tblMovement[[#This Row],[Destination]],tblDestinations[Destination],0)),"?"))</f>
        <v/>
      </c>
      <c r="M1172" s="64">
        <f>IF(tblMovement[[#This Row],[Material]]="","",IF(LEFT(tblMovement[[#This Row],[Material]],3)="Ore",1,0))</f>
        <v/>
      </c>
      <c r="N1172" s="59">
        <f>IF(OR(tblMovement[[#This Row],[Tonnes_t]]="",tblMovement[[#This Row],[Grade_gpt]]=""),0,tblMovement[[#This Row],[Tonnes_t]]*tblMovement[[#This Row],[Grade_gpt]]/cfg_TroyOz)</f>
        <v/>
      </c>
      <c r="O1172" s="59">
        <f>IF(tblMovement[[#This Row],[Is_Ore]]=1,tblMovement[[#This Row],[Contained_oz]],0)</f>
        <v/>
      </c>
    </row>
    <row r="1173">
      <c r="A1173" s="54" t="n"/>
      <c r="B1173" s="61" t="n"/>
      <c r="C1173" s="61" t="n"/>
      <c r="D1173" s="61" t="n"/>
      <c r="E1173" s="61" t="n"/>
      <c r="F1173" s="55" t="n"/>
      <c r="G1173" s="56" t="n"/>
      <c r="H1173" s="55" t="n"/>
      <c r="I1173" s="62" t="n"/>
      <c r="J1173" s="58" t="n"/>
      <c r="K1173" s="63">
        <f>IF(tblMovement[[#This Row],[Source]]="","",IFERROR(INDEX(tblSources[Type],MATCH(tblMovement[[#This Row],[Source]],tblSources[Source],0)),"?"))</f>
        <v/>
      </c>
      <c r="L1173" s="63">
        <f>IF(tblMovement[[#This Row],[Destination]]="","",IFERROR(INDEX(tblDestinations[Type],MATCH(tblMovement[[#This Row],[Destination]],tblDestinations[Destination],0)),"?"))</f>
        <v/>
      </c>
      <c r="M1173" s="64">
        <f>IF(tblMovement[[#This Row],[Material]]="","",IF(LEFT(tblMovement[[#This Row],[Material]],3)="Ore",1,0))</f>
        <v/>
      </c>
      <c r="N1173" s="59">
        <f>IF(OR(tblMovement[[#This Row],[Tonnes_t]]="",tblMovement[[#This Row],[Grade_gpt]]=""),0,tblMovement[[#This Row],[Tonnes_t]]*tblMovement[[#This Row],[Grade_gpt]]/cfg_TroyOz)</f>
        <v/>
      </c>
      <c r="O1173" s="59">
        <f>IF(tblMovement[[#This Row],[Is_Ore]]=1,tblMovement[[#This Row],[Contained_oz]],0)</f>
        <v/>
      </c>
    </row>
    <row r="1174">
      <c r="A1174" s="54" t="n"/>
      <c r="B1174" s="61" t="n"/>
      <c r="C1174" s="61" t="n"/>
      <c r="D1174" s="61" t="n"/>
      <c r="E1174" s="61" t="n"/>
      <c r="F1174" s="55" t="n"/>
      <c r="G1174" s="56" t="n"/>
      <c r="H1174" s="55" t="n"/>
      <c r="I1174" s="62" t="n"/>
      <c r="J1174" s="58" t="n"/>
      <c r="K1174" s="63">
        <f>IF(tblMovement[[#This Row],[Source]]="","",IFERROR(INDEX(tblSources[Type],MATCH(tblMovement[[#This Row],[Source]],tblSources[Source],0)),"?"))</f>
        <v/>
      </c>
      <c r="L1174" s="63">
        <f>IF(tblMovement[[#This Row],[Destination]]="","",IFERROR(INDEX(tblDestinations[Type],MATCH(tblMovement[[#This Row],[Destination]],tblDestinations[Destination],0)),"?"))</f>
        <v/>
      </c>
      <c r="M1174" s="64">
        <f>IF(tblMovement[[#This Row],[Material]]="","",IF(LEFT(tblMovement[[#This Row],[Material]],3)="Ore",1,0))</f>
        <v/>
      </c>
      <c r="N1174" s="59">
        <f>IF(OR(tblMovement[[#This Row],[Tonnes_t]]="",tblMovement[[#This Row],[Grade_gpt]]=""),0,tblMovement[[#This Row],[Tonnes_t]]*tblMovement[[#This Row],[Grade_gpt]]/cfg_TroyOz)</f>
        <v/>
      </c>
      <c r="O1174" s="59">
        <f>IF(tblMovement[[#This Row],[Is_Ore]]=1,tblMovement[[#This Row],[Contained_oz]],0)</f>
        <v/>
      </c>
    </row>
    <row r="1175">
      <c r="A1175" s="54" t="n"/>
      <c r="B1175" s="61" t="n"/>
      <c r="C1175" s="61" t="n"/>
      <c r="D1175" s="61" t="n"/>
      <c r="E1175" s="61" t="n"/>
      <c r="F1175" s="55" t="n"/>
      <c r="G1175" s="56" t="n"/>
      <c r="H1175" s="55" t="n"/>
      <c r="I1175" s="62" t="n"/>
      <c r="J1175" s="58" t="n"/>
      <c r="K1175" s="63">
        <f>IF(tblMovement[[#This Row],[Source]]="","",IFERROR(INDEX(tblSources[Type],MATCH(tblMovement[[#This Row],[Source]],tblSources[Source],0)),"?"))</f>
        <v/>
      </c>
      <c r="L1175" s="63">
        <f>IF(tblMovement[[#This Row],[Destination]]="","",IFERROR(INDEX(tblDestinations[Type],MATCH(tblMovement[[#This Row],[Destination]],tblDestinations[Destination],0)),"?"))</f>
        <v/>
      </c>
      <c r="M1175" s="64">
        <f>IF(tblMovement[[#This Row],[Material]]="","",IF(LEFT(tblMovement[[#This Row],[Material]],3)="Ore",1,0))</f>
        <v/>
      </c>
      <c r="N1175" s="59">
        <f>IF(OR(tblMovement[[#This Row],[Tonnes_t]]="",tblMovement[[#This Row],[Grade_gpt]]=""),0,tblMovement[[#This Row],[Tonnes_t]]*tblMovement[[#This Row],[Grade_gpt]]/cfg_TroyOz)</f>
        <v/>
      </c>
      <c r="O1175" s="59">
        <f>IF(tblMovement[[#This Row],[Is_Ore]]=1,tblMovement[[#This Row],[Contained_oz]],0)</f>
        <v/>
      </c>
    </row>
    <row r="1176">
      <c r="A1176" s="54" t="n"/>
      <c r="B1176" s="61" t="n"/>
      <c r="C1176" s="61" t="n"/>
      <c r="D1176" s="61" t="n"/>
      <c r="E1176" s="61" t="n"/>
      <c r="F1176" s="55" t="n"/>
      <c r="G1176" s="56" t="n"/>
      <c r="H1176" s="55" t="n"/>
      <c r="I1176" s="62" t="n"/>
      <c r="J1176" s="58" t="n"/>
      <c r="K1176" s="63">
        <f>IF(tblMovement[[#This Row],[Source]]="","",IFERROR(INDEX(tblSources[Type],MATCH(tblMovement[[#This Row],[Source]],tblSources[Source],0)),"?"))</f>
        <v/>
      </c>
      <c r="L1176" s="63">
        <f>IF(tblMovement[[#This Row],[Destination]]="","",IFERROR(INDEX(tblDestinations[Type],MATCH(tblMovement[[#This Row],[Destination]],tblDestinations[Destination],0)),"?"))</f>
        <v/>
      </c>
      <c r="M1176" s="64">
        <f>IF(tblMovement[[#This Row],[Material]]="","",IF(LEFT(tblMovement[[#This Row],[Material]],3)="Ore",1,0))</f>
        <v/>
      </c>
      <c r="N1176" s="59">
        <f>IF(OR(tblMovement[[#This Row],[Tonnes_t]]="",tblMovement[[#This Row],[Grade_gpt]]=""),0,tblMovement[[#This Row],[Tonnes_t]]*tblMovement[[#This Row],[Grade_gpt]]/cfg_TroyOz)</f>
        <v/>
      </c>
      <c r="O1176" s="59">
        <f>IF(tblMovement[[#This Row],[Is_Ore]]=1,tblMovement[[#This Row],[Contained_oz]],0)</f>
        <v/>
      </c>
    </row>
    <row r="1177">
      <c r="A1177" s="54" t="n"/>
      <c r="B1177" s="61" t="n"/>
      <c r="C1177" s="61" t="n"/>
      <c r="D1177" s="61" t="n"/>
      <c r="E1177" s="61" t="n"/>
      <c r="F1177" s="55" t="n"/>
      <c r="G1177" s="56" t="n"/>
      <c r="H1177" s="55" t="n"/>
      <c r="I1177" s="62" t="n"/>
      <c r="J1177" s="58" t="n"/>
      <c r="K1177" s="63">
        <f>IF(tblMovement[[#This Row],[Source]]="","",IFERROR(INDEX(tblSources[Type],MATCH(tblMovement[[#This Row],[Source]],tblSources[Source],0)),"?"))</f>
        <v/>
      </c>
      <c r="L1177" s="63">
        <f>IF(tblMovement[[#This Row],[Destination]]="","",IFERROR(INDEX(tblDestinations[Type],MATCH(tblMovement[[#This Row],[Destination]],tblDestinations[Destination],0)),"?"))</f>
        <v/>
      </c>
      <c r="M1177" s="64">
        <f>IF(tblMovement[[#This Row],[Material]]="","",IF(LEFT(tblMovement[[#This Row],[Material]],3)="Ore",1,0))</f>
        <v/>
      </c>
      <c r="N1177" s="59">
        <f>IF(OR(tblMovement[[#This Row],[Tonnes_t]]="",tblMovement[[#This Row],[Grade_gpt]]=""),0,tblMovement[[#This Row],[Tonnes_t]]*tblMovement[[#This Row],[Grade_gpt]]/cfg_TroyOz)</f>
        <v/>
      </c>
      <c r="O1177" s="59">
        <f>IF(tblMovement[[#This Row],[Is_Ore]]=1,tblMovement[[#This Row],[Contained_oz]],0)</f>
        <v/>
      </c>
    </row>
    <row r="1178">
      <c r="A1178" s="54" t="n"/>
      <c r="B1178" s="61" t="n"/>
      <c r="C1178" s="61" t="n"/>
      <c r="D1178" s="61" t="n"/>
      <c r="E1178" s="61" t="n"/>
      <c r="F1178" s="55" t="n"/>
      <c r="G1178" s="56" t="n"/>
      <c r="H1178" s="55" t="n"/>
      <c r="I1178" s="62" t="n"/>
      <c r="J1178" s="58" t="n"/>
      <c r="K1178" s="63">
        <f>IF(tblMovement[[#This Row],[Source]]="","",IFERROR(INDEX(tblSources[Type],MATCH(tblMovement[[#This Row],[Source]],tblSources[Source],0)),"?"))</f>
        <v/>
      </c>
      <c r="L1178" s="63">
        <f>IF(tblMovement[[#This Row],[Destination]]="","",IFERROR(INDEX(tblDestinations[Type],MATCH(tblMovement[[#This Row],[Destination]],tblDestinations[Destination],0)),"?"))</f>
        <v/>
      </c>
      <c r="M1178" s="64">
        <f>IF(tblMovement[[#This Row],[Material]]="","",IF(LEFT(tblMovement[[#This Row],[Material]],3)="Ore",1,0))</f>
        <v/>
      </c>
      <c r="N1178" s="59">
        <f>IF(OR(tblMovement[[#This Row],[Tonnes_t]]="",tblMovement[[#This Row],[Grade_gpt]]=""),0,tblMovement[[#This Row],[Tonnes_t]]*tblMovement[[#This Row],[Grade_gpt]]/cfg_TroyOz)</f>
        <v/>
      </c>
      <c r="O1178" s="59">
        <f>IF(tblMovement[[#This Row],[Is_Ore]]=1,tblMovement[[#This Row],[Contained_oz]],0)</f>
        <v/>
      </c>
    </row>
    <row r="1179">
      <c r="A1179" s="54" t="n"/>
      <c r="B1179" s="61" t="n"/>
      <c r="C1179" s="61" t="n"/>
      <c r="D1179" s="61" t="n"/>
      <c r="E1179" s="61" t="n"/>
      <c r="F1179" s="55" t="n"/>
      <c r="G1179" s="56" t="n"/>
      <c r="H1179" s="55" t="n"/>
      <c r="I1179" s="62" t="n"/>
      <c r="J1179" s="58" t="n"/>
      <c r="K1179" s="63">
        <f>IF(tblMovement[[#This Row],[Source]]="","",IFERROR(INDEX(tblSources[Type],MATCH(tblMovement[[#This Row],[Source]],tblSources[Source],0)),"?"))</f>
        <v/>
      </c>
      <c r="L1179" s="63">
        <f>IF(tblMovement[[#This Row],[Destination]]="","",IFERROR(INDEX(tblDestinations[Type],MATCH(tblMovement[[#This Row],[Destination]],tblDestinations[Destination],0)),"?"))</f>
        <v/>
      </c>
      <c r="M1179" s="64">
        <f>IF(tblMovement[[#This Row],[Material]]="","",IF(LEFT(tblMovement[[#This Row],[Material]],3)="Ore",1,0))</f>
        <v/>
      </c>
      <c r="N1179" s="59">
        <f>IF(OR(tblMovement[[#This Row],[Tonnes_t]]="",tblMovement[[#This Row],[Grade_gpt]]=""),0,tblMovement[[#This Row],[Tonnes_t]]*tblMovement[[#This Row],[Grade_gpt]]/cfg_TroyOz)</f>
        <v/>
      </c>
      <c r="O1179" s="59">
        <f>IF(tblMovement[[#This Row],[Is_Ore]]=1,tblMovement[[#This Row],[Contained_oz]],0)</f>
        <v/>
      </c>
    </row>
    <row r="1180">
      <c r="A1180" s="54" t="n"/>
      <c r="B1180" s="61" t="n"/>
      <c r="C1180" s="61" t="n"/>
      <c r="D1180" s="61" t="n"/>
      <c r="E1180" s="61" t="n"/>
      <c r="F1180" s="55" t="n"/>
      <c r="G1180" s="56" t="n"/>
      <c r="H1180" s="55" t="n"/>
      <c r="I1180" s="62" t="n"/>
      <c r="J1180" s="58" t="n"/>
      <c r="K1180" s="63">
        <f>IF(tblMovement[[#This Row],[Source]]="","",IFERROR(INDEX(tblSources[Type],MATCH(tblMovement[[#This Row],[Source]],tblSources[Source],0)),"?"))</f>
        <v/>
      </c>
      <c r="L1180" s="63">
        <f>IF(tblMovement[[#This Row],[Destination]]="","",IFERROR(INDEX(tblDestinations[Type],MATCH(tblMovement[[#This Row],[Destination]],tblDestinations[Destination],0)),"?"))</f>
        <v/>
      </c>
      <c r="M1180" s="64">
        <f>IF(tblMovement[[#This Row],[Material]]="","",IF(LEFT(tblMovement[[#This Row],[Material]],3)="Ore",1,0))</f>
        <v/>
      </c>
      <c r="N1180" s="59">
        <f>IF(OR(tblMovement[[#This Row],[Tonnes_t]]="",tblMovement[[#This Row],[Grade_gpt]]=""),0,tblMovement[[#This Row],[Tonnes_t]]*tblMovement[[#This Row],[Grade_gpt]]/cfg_TroyOz)</f>
        <v/>
      </c>
      <c r="O1180" s="59">
        <f>IF(tblMovement[[#This Row],[Is_Ore]]=1,tblMovement[[#This Row],[Contained_oz]],0)</f>
        <v/>
      </c>
    </row>
    <row r="1181">
      <c r="A1181" s="54" t="n"/>
      <c r="B1181" s="61" t="n"/>
      <c r="C1181" s="61" t="n"/>
      <c r="D1181" s="61" t="n"/>
      <c r="E1181" s="61" t="n"/>
      <c r="F1181" s="55" t="n"/>
      <c r="G1181" s="56" t="n"/>
      <c r="H1181" s="55" t="n"/>
      <c r="I1181" s="62" t="n"/>
      <c r="J1181" s="58" t="n"/>
      <c r="K1181" s="63">
        <f>IF(tblMovement[[#This Row],[Source]]="","",IFERROR(INDEX(tblSources[Type],MATCH(tblMovement[[#This Row],[Source]],tblSources[Source],0)),"?"))</f>
        <v/>
      </c>
      <c r="L1181" s="63">
        <f>IF(tblMovement[[#This Row],[Destination]]="","",IFERROR(INDEX(tblDestinations[Type],MATCH(tblMovement[[#This Row],[Destination]],tblDestinations[Destination],0)),"?"))</f>
        <v/>
      </c>
      <c r="M1181" s="64">
        <f>IF(tblMovement[[#This Row],[Material]]="","",IF(LEFT(tblMovement[[#This Row],[Material]],3)="Ore",1,0))</f>
        <v/>
      </c>
      <c r="N1181" s="59">
        <f>IF(OR(tblMovement[[#This Row],[Tonnes_t]]="",tblMovement[[#This Row],[Grade_gpt]]=""),0,tblMovement[[#This Row],[Tonnes_t]]*tblMovement[[#This Row],[Grade_gpt]]/cfg_TroyOz)</f>
        <v/>
      </c>
      <c r="O1181" s="59">
        <f>IF(tblMovement[[#This Row],[Is_Ore]]=1,tblMovement[[#This Row],[Contained_oz]],0)</f>
        <v/>
      </c>
    </row>
    <row r="1182">
      <c r="A1182" s="54" t="n"/>
      <c r="B1182" s="61" t="n"/>
      <c r="C1182" s="61" t="n"/>
      <c r="D1182" s="61" t="n"/>
      <c r="E1182" s="61" t="n"/>
      <c r="F1182" s="55" t="n"/>
      <c r="G1182" s="56" t="n"/>
      <c r="H1182" s="55" t="n"/>
      <c r="I1182" s="62" t="n"/>
      <c r="J1182" s="58" t="n"/>
      <c r="K1182" s="63">
        <f>IF(tblMovement[[#This Row],[Source]]="","",IFERROR(INDEX(tblSources[Type],MATCH(tblMovement[[#This Row],[Source]],tblSources[Source],0)),"?"))</f>
        <v/>
      </c>
      <c r="L1182" s="63">
        <f>IF(tblMovement[[#This Row],[Destination]]="","",IFERROR(INDEX(tblDestinations[Type],MATCH(tblMovement[[#This Row],[Destination]],tblDestinations[Destination],0)),"?"))</f>
        <v/>
      </c>
      <c r="M1182" s="64">
        <f>IF(tblMovement[[#This Row],[Material]]="","",IF(LEFT(tblMovement[[#This Row],[Material]],3)="Ore",1,0))</f>
        <v/>
      </c>
      <c r="N1182" s="59">
        <f>IF(OR(tblMovement[[#This Row],[Tonnes_t]]="",tblMovement[[#This Row],[Grade_gpt]]=""),0,tblMovement[[#This Row],[Tonnes_t]]*tblMovement[[#This Row],[Grade_gpt]]/cfg_TroyOz)</f>
        <v/>
      </c>
      <c r="O1182" s="59">
        <f>IF(tblMovement[[#This Row],[Is_Ore]]=1,tblMovement[[#This Row],[Contained_oz]],0)</f>
        <v/>
      </c>
    </row>
    <row r="1183">
      <c r="A1183" s="54" t="n"/>
      <c r="B1183" s="61" t="n"/>
      <c r="C1183" s="61" t="n"/>
      <c r="D1183" s="61" t="n"/>
      <c r="E1183" s="61" t="n"/>
      <c r="F1183" s="55" t="n"/>
      <c r="G1183" s="56" t="n"/>
      <c r="H1183" s="55" t="n"/>
      <c r="I1183" s="62" t="n"/>
      <c r="J1183" s="58" t="n"/>
      <c r="K1183" s="63">
        <f>IF(tblMovement[[#This Row],[Source]]="","",IFERROR(INDEX(tblSources[Type],MATCH(tblMovement[[#This Row],[Source]],tblSources[Source],0)),"?"))</f>
        <v/>
      </c>
      <c r="L1183" s="63">
        <f>IF(tblMovement[[#This Row],[Destination]]="","",IFERROR(INDEX(tblDestinations[Type],MATCH(tblMovement[[#This Row],[Destination]],tblDestinations[Destination],0)),"?"))</f>
        <v/>
      </c>
      <c r="M1183" s="64">
        <f>IF(tblMovement[[#This Row],[Material]]="","",IF(LEFT(tblMovement[[#This Row],[Material]],3)="Ore",1,0))</f>
        <v/>
      </c>
      <c r="N1183" s="59">
        <f>IF(OR(tblMovement[[#This Row],[Tonnes_t]]="",tblMovement[[#This Row],[Grade_gpt]]=""),0,tblMovement[[#This Row],[Tonnes_t]]*tblMovement[[#This Row],[Grade_gpt]]/cfg_TroyOz)</f>
        <v/>
      </c>
      <c r="O1183" s="59">
        <f>IF(tblMovement[[#This Row],[Is_Ore]]=1,tblMovement[[#This Row],[Contained_oz]],0)</f>
        <v/>
      </c>
    </row>
    <row r="1184">
      <c r="A1184" s="54" t="n"/>
      <c r="B1184" s="61" t="n"/>
      <c r="C1184" s="61" t="n"/>
      <c r="D1184" s="61" t="n"/>
      <c r="E1184" s="61" t="n"/>
      <c r="F1184" s="55" t="n"/>
      <c r="G1184" s="56" t="n"/>
      <c r="H1184" s="55" t="n"/>
      <c r="I1184" s="62" t="n"/>
      <c r="J1184" s="58" t="n"/>
      <c r="K1184" s="63">
        <f>IF(tblMovement[[#This Row],[Source]]="","",IFERROR(INDEX(tblSources[Type],MATCH(tblMovement[[#This Row],[Source]],tblSources[Source],0)),"?"))</f>
        <v/>
      </c>
      <c r="L1184" s="63">
        <f>IF(tblMovement[[#This Row],[Destination]]="","",IFERROR(INDEX(tblDestinations[Type],MATCH(tblMovement[[#This Row],[Destination]],tblDestinations[Destination],0)),"?"))</f>
        <v/>
      </c>
      <c r="M1184" s="64">
        <f>IF(tblMovement[[#This Row],[Material]]="","",IF(LEFT(tblMovement[[#This Row],[Material]],3)="Ore",1,0))</f>
        <v/>
      </c>
      <c r="N1184" s="59">
        <f>IF(OR(tblMovement[[#This Row],[Tonnes_t]]="",tblMovement[[#This Row],[Grade_gpt]]=""),0,tblMovement[[#This Row],[Tonnes_t]]*tblMovement[[#This Row],[Grade_gpt]]/cfg_TroyOz)</f>
        <v/>
      </c>
      <c r="O1184" s="59">
        <f>IF(tblMovement[[#This Row],[Is_Ore]]=1,tblMovement[[#This Row],[Contained_oz]],0)</f>
        <v/>
      </c>
    </row>
    <row r="1185">
      <c r="A1185" s="54" t="n"/>
      <c r="B1185" s="61" t="n"/>
      <c r="C1185" s="61" t="n"/>
      <c r="D1185" s="61" t="n"/>
      <c r="E1185" s="61" t="n"/>
      <c r="F1185" s="55" t="n"/>
      <c r="G1185" s="56" t="n"/>
      <c r="H1185" s="55" t="n"/>
      <c r="I1185" s="62" t="n"/>
      <c r="J1185" s="58" t="n"/>
      <c r="K1185" s="63">
        <f>IF(tblMovement[[#This Row],[Source]]="","",IFERROR(INDEX(tblSources[Type],MATCH(tblMovement[[#This Row],[Source]],tblSources[Source],0)),"?"))</f>
        <v/>
      </c>
      <c r="L1185" s="63">
        <f>IF(tblMovement[[#This Row],[Destination]]="","",IFERROR(INDEX(tblDestinations[Type],MATCH(tblMovement[[#This Row],[Destination]],tblDestinations[Destination],0)),"?"))</f>
        <v/>
      </c>
      <c r="M1185" s="64">
        <f>IF(tblMovement[[#This Row],[Material]]="","",IF(LEFT(tblMovement[[#This Row],[Material]],3)="Ore",1,0))</f>
        <v/>
      </c>
      <c r="N1185" s="59">
        <f>IF(OR(tblMovement[[#This Row],[Tonnes_t]]="",tblMovement[[#This Row],[Grade_gpt]]=""),0,tblMovement[[#This Row],[Tonnes_t]]*tblMovement[[#This Row],[Grade_gpt]]/cfg_TroyOz)</f>
        <v/>
      </c>
      <c r="O1185" s="59">
        <f>IF(tblMovement[[#This Row],[Is_Ore]]=1,tblMovement[[#This Row],[Contained_oz]],0)</f>
        <v/>
      </c>
    </row>
    <row r="1186">
      <c r="A1186" s="54" t="n"/>
      <c r="B1186" s="61" t="n"/>
      <c r="C1186" s="61" t="n"/>
      <c r="D1186" s="61" t="n"/>
      <c r="E1186" s="61" t="n"/>
      <c r="F1186" s="55" t="n"/>
      <c r="G1186" s="56" t="n"/>
      <c r="H1186" s="55" t="n"/>
      <c r="I1186" s="62" t="n"/>
      <c r="J1186" s="58" t="n"/>
      <c r="K1186" s="63">
        <f>IF(tblMovement[[#This Row],[Source]]="","",IFERROR(INDEX(tblSources[Type],MATCH(tblMovement[[#This Row],[Source]],tblSources[Source],0)),"?"))</f>
        <v/>
      </c>
      <c r="L1186" s="63">
        <f>IF(tblMovement[[#This Row],[Destination]]="","",IFERROR(INDEX(tblDestinations[Type],MATCH(tblMovement[[#This Row],[Destination]],tblDestinations[Destination],0)),"?"))</f>
        <v/>
      </c>
      <c r="M1186" s="64">
        <f>IF(tblMovement[[#This Row],[Material]]="","",IF(LEFT(tblMovement[[#This Row],[Material]],3)="Ore",1,0))</f>
        <v/>
      </c>
      <c r="N1186" s="59">
        <f>IF(OR(tblMovement[[#This Row],[Tonnes_t]]="",tblMovement[[#This Row],[Grade_gpt]]=""),0,tblMovement[[#This Row],[Tonnes_t]]*tblMovement[[#This Row],[Grade_gpt]]/cfg_TroyOz)</f>
        <v/>
      </c>
      <c r="O1186" s="59">
        <f>IF(tblMovement[[#This Row],[Is_Ore]]=1,tblMovement[[#This Row],[Contained_oz]],0)</f>
        <v/>
      </c>
    </row>
    <row r="1187">
      <c r="A1187" s="54" t="n"/>
      <c r="B1187" s="61" t="n"/>
      <c r="C1187" s="61" t="n"/>
      <c r="D1187" s="61" t="n"/>
      <c r="E1187" s="61" t="n"/>
      <c r="F1187" s="55" t="n"/>
      <c r="G1187" s="56" t="n"/>
      <c r="H1187" s="55" t="n"/>
      <c r="I1187" s="62" t="n"/>
      <c r="J1187" s="58" t="n"/>
      <c r="K1187" s="63">
        <f>IF(tblMovement[[#This Row],[Source]]="","",IFERROR(INDEX(tblSources[Type],MATCH(tblMovement[[#This Row],[Source]],tblSources[Source],0)),"?"))</f>
        <v/>
      </c>
      <c r="L1187" s="63">
        <f>IF(tblMovement[[#This Row],[Destination]]="","",IFERROR(INDEX(tblDestinations[Type],MATCH(tblMovement[[#This Row],[Destination]],tblDestinations[Destination],0)),"?"))</f>
        <v/>
      </c>
      <c r="M1187" s="64">
        <f>IF(tblMovement[[#This Row],[Material]]="","",IF(LEFT(tblMovement[[#This Row],[Material]],3)="Ore",1,0))</f>
        <v/>
      </c>
      <c r="N1187" s="59">
        <f>IF(OR(tblMovement[[#This Row],[Tonnes_t]]="",tblMovement[[#This Row],[Grade_gpt]]=""),0,tblMovement[[#This Row],[Tonnes_t]]*tblMovement[[#This Row],[Grade_gpt]]/cfg_TroyOz)</f>
        <v/>
      </c>
      <c r="O1187" s="59">
        <f>IF(tblMovement[[#This Row],[Is_Ore]]=1,tblMovement[[#This Row],[Contained_oz]],0)</f>
        <v/>
      </c>
    </row>
    <row r="1188">
      <c r="A1188" s="54" t="n"/>
      <c r="B1188" s="61" t="n"/>
      <c r="C1188" s="61" t="n"/>
      <c r="D1188" s="61" t="n"/>
      <c r="E1188" s="61" t="n"/>
      <c r="F1188" s="55" t="n"/>
      <c r="G1188" s="56" t="n"/>
      <c r="H1188" s="55" t="n"/>
      <c r="I1188" s="62" t="n"/>
      <c r="J1188" s="58" t="n"/>
      <c r="K1188" s="63">
        <f>IF(tblMovement[[#This Row],[Source]]="","",IFERROR(INDEX(tblSources[Type],MATCH(tblMovement[[#This Row],[Source]],tblSources[Source],0)),"?"))</f>
        <v/>
      </c>
      <c r="L1188" s="63">
        <f>IF(tblMovement[[#This Row],[Destination]]="","",IFERROR(INDEX(tblDestinations[Type],MATCH(tblMovement[[#This Row],[Destination]],tblDestinations[Destination],0)),"?"))</f>
        <v/>
      </c>
      <c r="M1188" s="64">
        <f>IF(tblMovement[[#This Row],[Material]]="","",IF(LEFT(tblMovement[[#This Row],[Material]],3)="Ore",1,0))</f>
        <v/>
      </c>
      <c r="N1188" s="59">
        <f>IF(OR(tblMovement[[#This Row],[Tonnes_t]]="",tblMovement[[#This Row],[Grade_gpt]]=""),0,tblMovement[[#This Row],[Tonnes_t]]*tblMovement[[#This Row],[Grade_gpt]]/cfg_TroyOz)</f>
        <v/>
      </c>
      <c r="O1188" s="59">
        <f>IF(tblMovement[[#This Row],[Is_Ore]]=1,tblMovement[[#This Row],[Contained_oz]],0)</f>
        <v/>
      </c>
    </row>
    <row r="1189">
      <c r="A1189" s="54" t="n"/>
      <c r="B1189" s="61" t="n"/>
      <c r="C1189" s="61" t="n"/>
      <c r="D1189" s="61" t="n"/>
      <c r="E1189" s="61" t="n"/>
      <c r="F1189" s="55" t="n"/>
      <c r="G1189" s="56" t="n"/>
      <c r="H1189" s="55" t="n"/>
      <c r="I1189" s="62" t="n"/>
      <c r="J1189" s="58" t="n"/>
      <c r="K1189" s="63">
        <f>IF(tblMovement[[#This Row],[Source]]="","",IFERROR(INDEX(tblSources[Type],MATCH(tblMovement[[#This Row],[Source]],tblSources[Source],0)),"?"))</f>
        <v/>
      </c>
      <c r="L1189" s="63">
        <f>IF(tblMovement[[#This Row],[Destination]]="","",IFERROR(INDEX(tblDestinations[Type],MATCH(tblMovement[[#This Row],[Destination]],tblDestinations[Destination],0)),"?"))</f>
        <v/>
      </c>
      <c r="M1189" s="64">
        <f>IF(tblMovement[[#This Row],[Material]]="","",IF(LEFT(tblMovement[[#This Row],[Material]],3)="Ore",1,0))</f>
        <v/>
      </c>
      <c r="N1189" s="59">
        <f>IF(OR(tblMovement[[#This Row],[Tonnes_t]]="",tblMovement[[#This Row],[Grade_gpt]]=""),0,tblMovement[[#This Row],[Tonnes_t]]*tblMovement[[#This Row],[Grade_gpt]]/cfg_TroyOz)</f>
        <v/>
      </c>
      <c r="O1189" s="59">
        <f>IF(tblMovement[[#This Row],[Is_Ore]]=1,tblMovement[[#This Row],[Contained_oz]],0)</f>
        <v/>
      </c>
    </row>
    <row r="1190">
      <c r="A1190" s="54" t="n"/>
      <c r="B1190" s="61" t="n"/>
      <c r="C1190" s="61" t="n"/>
      <c r="D1190" s="61" t="n"/>
      <c r="E1190" s="61" t="n"/>
      <c r="F1190" s="55" t="n"/>
      <c r="G1190" s="56" t="n"/>
      <c r="H1190" s="55" t="n"/>
      <c r="I1190" s="62" t="n"/>
      <c r="J1190" s="58" t="n"/>
      <c r="K1190" s="63">
        <f>IF(tblMovement[[#This Row],[Source]]="","",IFERROR(INDEX(tblSources[Type],MATCH(tblMovement[[#This Row],[Source]],tblSources[Source],0)),"?"))</f>
        <v/>
      </c>
      <c r="L1190" s="63">
        <f>IF(tblMovement[[#This Row],[Destination]]="","",IFERROR(INDEX(tblDestinations[Type],MATCH(tblMovement[[#This Row],[Destination]],tblDestinations[Destination],0)),"?"))</f>
        <v/>
      </c>
      <c r="M1190" s="64">
        <f>IF(tblMovement[[#This Row],[Material]]="","",IF(LEFT(tblMovement[[#This Row],[Material]],3)="Ore",1,0))</f>
        <v/>
      </c>
      <c r="N1190" s="59">
        <f>IF(OR(tblMovement[[#This Row],[Tonnes_t]]="",tblMovement[[#This Row],[Grade_gpt]]=""),0,tblMovement[[#This Row],[Tonnes_t]]*tblMovement[[#This Row],[Grade_gpt]]/cfg_TroyOz)</f>
        <v/>
      </c>
      <c r="O1190" s="59">
        <f>IF(tblMovement[[#This Row],[Is_Ore]]=1,tblMovement[[#This Row],[Contained_oz]],0)</f>
        <v/>
      </c>
    </row>
    <row r="1191">
      <c r="A1191" s="54" t="n"/>
      <c r="B1191" s="61" t="n"/>
      <c r="C1191" s="61" t="n"/>
      <c r="D1191" s="61" t="n"/>
      <c r="E1191" s="61" t="n"/>
      <c r="F1191" s="55" t="n"/>
      <c r="G1191" s="56" t="n"/>
      <c r="H1191" s="55" t="n"/>
      <c r="I1191" s="62" t="n"/>
      <c r="J1191" s="58" t="n"/>
      <c r="K1191" s="63">
        <f>IF(tblMovement[[#This Row],[Source]]="","",IFERROR(INDEX(tblSources[Type],MATCH(tblMovement[[#This Row],[Source]],tblSources[Source],0)),"?"))</f>
        <v/>
      </c>
      <c r="L1191" s="63">
        <f>IF(tblMovement[[#This Row],[Destination]]="","",IFERROR(INDEX(tblDestinations[Type],MATCH(tblMovement[[#This Row],[Destination]],tblDestinations[Destination],0)),"?"))</f>
        <v/>
      </c>
      <c r="M1191" s="64">
        <f>IF(tblMovement[[#This Row],[Material]]="","",IF(LEFT(tblMovement[[#This Row],[Material]],3)="Ore",1,0))</f>
        <v/>
      </c>
      <c r="N1191" s="59">
        <f>IF(OR(tblMovement[[#This Row],[Tonnes_t]]="",tblMovement[[#This Row],[Grade_gpt]]=""),0,tblMovement[[#This Row],[Tonnes_t]]*tblMovement[[#This Row],[Grade_gpt]]/cfg_TroyOz)</f>
        <v/>
      </c>
      <c r="O1191" s="59">
        <f>IF(tblMovement[[#This Row],[Is_Ore]]=1,tblMovement[[#This Row],[Contained_oz]],0)</f>
        <v/>
      </c>
    </row>
    <row r="1192">
      <c r="A1192" s="54" t="n"/>
      <c r="B1192" s="61" t="n"/>
      <c r="C1192" s="61" t="n"/>
      <c r="D1192" s="61" t="n"/>
      <c r="E1192" s="61" t="n"/>
      <c r="F1192" s="55" t="n"/>
      <c r="G1192" s="56" t="n"/>
      <c r="H1192" s="55" t="n"/>
      <c r="I1192" s="62" t="n"/>
      <c r="J1192" s="58" t="n"/>
      <c r="K1192" s="63">
        <f>IF(tblMovement[[#This Row],[Source]]="","",IFERROR(INDEX(tblSources[Type],MATCH(tblMovement[[#This Row],[Source]],tblSources[Source],0)),"?"))</f>
        <v/>
      </c>
      <c r="L1192" s="63">
        <f>IF(tblMovement[[#This Row],[Destination]]="","",IFERROR(INDEX(tblDestinations[Type],MATCH(tblMovement[[#This Row],[Destination]],tblDestinations[Destination],0)),"?"))</f>
        <v/>
      </c>
      <c r="M1192" s="64">
        <f>IF(tblMovement[[#This Row],[Material]]="","",IF(LEFT(tblMovement[[#This Row],[Material]],3)="Ore",1,0))</f>
        <v/>
      </c>
      <c r="N1192" s="59">
        <f>IF(OR(tblMovement[[#This Row],[Tonnes_t]]="",tblMovement[[#This Row],[Grade_gpt]]=""),0,tblMovement[[#This Row],[Tonnes_t]]*tblMovement[[#This Row],[Grade_gpt]]/cfg_TroyOz)</f>
        <v/>
      </c>
      <c r="O1192" s="59">
        <f>IF(tblMovement[[#This Row],[Is_Ore]]=1,tblMovement[[#This Row],[Contained_oz]],0)</f>
        <v/>
      </c>
    </row>
    <row r="1193">
      <c r="A1193" s="54" t="n"/>
      <c r="B1193" s="61" t="n"/>
      <c r="C1193" s="61" t="n"/>
      <c r="D1193" s="61" t="n"/>
      <c r="E1193" s="61" t="n"/>
      <c r="F1193" s="55" t="n"/>
      <c r="G1193" s="56" t="n"/>
      <c r="H1193" s="55" t="n"/>
      <c r="I1193" s="62" t="n"/>
      <c r="J1193" s="58" t="n"/>
      <c r="K1193" s="63">
        <f>IF(tblMovement[[#This Row],[Source]]="","",IFERROR(INDEX(tblSources[Type],MATCH(tblMovement[[#This Row],[Source]],tblSources[Source],0)),"?"))</f>
        <v/>
      </c>
      <c r="L1193" s="63">
        <f>IF(tblMovement[[#This Row],[Destination]]="","",IFERROR(INDEX(tblDestinations[Type],MATCH(tblMovement[[#This Row],[Destination]],tblDestinations[Destination],0)),"?"))</f>
        <v/>
      </c>
      <c r="M1193" s="64">
        <f>IF(tblMovement[[#This Row],[Material]]="","",IF(LEFT(tblMovement[[#This Row],[Material]],3)="Ore",1,0))</f>
        <v/>
      </c>
      <c r="N1193" s="59">
        <f>IF(OR(tblMovement[[#This Row],[Tonnes_t]]="",tblMovement[[#This Row],[Grade_gpt]]=""),0,tblMovement[[#This Row],[Tonnes_t]]*tblMovement[[#This Row],[Grade_gpt]]/cfg_TroyOz)</f>
        <v/>
      </c>
      <c r="O1193" s="59">
        <f>IF(tblMovement[[#This Row],[Is_Ore]]=1,tblMovement[[#This Row],[Contained_oz]],0)</f>
        <v/>
      </c>
    </row>
    <row r="1194">
      <c r="A1194" s="54" t="n"/>
      <c r="B1194" s="61" t="n"/>
      <c r="C1194" s="61" t="n"/>
      <c r="D1194" s="61" t="n"/>
      <c r="E1194" s="61" t="n"/>
      <c r="F1194" s="55" t="n"/>
      <c r="G1194" s="56" t="n"/>
      <c r="H1194" s="55" t="n"/>
      <c r="I1194" s="62" t="n"/>
      <c r="J1194" s="58" t="n"/>
      <c r="K1194" s="63">
        <f>IF(tblMovement[[#This Row],[Source]]="","",IFERROR(INDEX(tblSources[Type],MATCH(tblMovement[[#This Row],[Source]],tblSources[Source],0)),"?"))</f>
        <v/>
      </c>
      <c r="L1194" s="63">
        <f>IF(tblMovement[[#This Row],[Destination]]="","",IFERROR(INDEX(tblDestinations[Type],MATCH(tblMovement[[#This Row],[Destination]],tblDestinations[Destination],0)),"?"))</f>
        <v/>
      </c>
      <c r="M1194" s="64">
        <f>IF(tblMovement[[#This Row],[Material]]="","",IF(LEFT(tblMovement[[#This Row],[Material]],3)="Ore",1,0))</f>
        <v/>
      </c>
      <c r="N1194" s="59">
        <f>IF(OR(tblMovement[[#This Row],[Tonnes_t]]="",tblMovement[[#This Row],[Grade_gpt]]=""),0,tblMovement[[#This Row],[Tonnes_t]]*tblMovement[[#This Row],[Grade_gpt]]/cfg_TroyOz)</f>
        <v/>
      </c>
      <c r="O1194" s="59">
        <f>IF(tblMovement[[#This Row],[Is_Ore]]=1,tblMovement[[#This Row],[Contained_oz]],0)</f>
        <v/>
      </c>
    </row>
    <row r="1195">
      <c r="A1195" s="54" t="n"/>
      <c r="B1195" s="61" t="n"/>
      <c r="C1195" s="61" t="n"/>
      <c r="D1195" s="61" t="n"/>
      <c r="E1195" s="61" t="n"/>
      <c r="F1195" s="55" t="n"/>
      <c r="G1195" s="56" t="n"/>
      <c r="H1195" s="55" t="n"/>
      <c r="I1195" s="62" t="n"/>
      <c r="J1195" s="58" t="n"/>
      <c r="K1195" s="63">
        <f>IF(tblMovement[[#This Row],[Source]]="","",IFERROR(INDEX(tblSources[Type],MATCH(tblMovement[[#This Row],[Source]],tblSources[Source],0)),"?"))</f>
        <v/>
      </c>
      <c r="L1195" s="63">
        <f>IF(tblMovement[[#This Row],[Destination]]="","",IFERROR(INDEX(tblDestinations[Type],MATCH(tblMovement[[#This Row],[Destination]],tblDestinations[Destination],0)),"?"))</f>
        <v/>
      </c>
      <c r="M1195" s="64">
        <f>IF(tblMovement[[#This Row],[Material]]="","",IF(LEFT(tblMovement[[#This Row],[Material]],3)="Ore",1,0))</f>
        <v/>
      </c>
      <c r="N1195" s="59">
        <f>IF(OR(tblMovement[[#This Row],[Tonnes_t]]="",tblMovement[[#This Row],[Grade_gpt]]=""),0,tblMovement[[#This Row],[Tonnes_t]]*tblMovement[[#This Row],[Grade_gpt]]/cfg_TroyOz)</f>
        <v/>
      </c>
      <c r="O1195" s="59">
        <f>IF(tblMovement[[#This Row],[Is_Ore]]=1,tblMovement[[#This Row],[Contained_oz]],0)</f>
        <v/>
      </c>
    </row>
    <row r="1196">
      <c r="A1196" s="54" t="n"/>
      <c r="B1196" s="61" t="n"/>
      <c r="C1196" s="61" t="n"/>
      <c r="D1196" s="61" t="n"/>
      <c r="E1196" s="61" t="n"/>
      <c r="F1196" s="55" t="n"/>
      <c r="G1196" s="56" t="n"/>
      <c r="H1196" s="55" t="n"/>
      <c r="I1196" s="62" t="n"/>
      <c r="J1196" s="58" t="n"/>
      <c r="K1196" s="63">
        <f>IF(tblMovement[[#This Row],[Source]]="","",IFERROR(INDEX(tblSources[Type],MATCH(tblMovement[[#This Row],[Source]],tblSources[Source],0)),"?"))</f>
        <v/>
      </c>
      <c r="L1196" s="63">
        <f>IF(tblMovement[[#This Row],[Destination]]="","",IFERROR(INDEX(tblDestinations[Type],MATCH(tblMovement[[#This Row],[Destination]],tblDestinations[Destination],0)),"?"))</f>
        <v/>
      </c>
      <c r="M1196" s="64">
        <f>IF(tblMovement[[#This Row],[Material]]="","",IF(LEFT(tblMovement[[#This Row],[Material]],3)="Ore",1,0))</f>
        <v/>
      </c>
      <c r="N1196" s="59">
        <f>IF(OR(tblMovement[[#This Row],[Tonnes_t]]="",tblMovement[[#This Row],[Grade_gpt]]=""),0,tblMovement[[#This Row],[Tonnes_t]]*tblMovement[[#This Row],[Grade_gpt]]/cfg_TroyOz)</f>
        <v/>
      </c>
      <c r="O1196" s="59">
        <f>IF(tblMovement[[#This Row],[Is_Ore]]=1,tblMovement[[#This Row],[Contained_oz]],0)</f>
        <v/>
      </c>
    </row>
    <row r="1197">
      <c r="A1197" s="54" t="n"/>
      <c r="B1197" s="61" t="n"/>
      <c r="C1197" s="61" t="n"/>
      <c r="D1197" s="61" t="n"/>
      <c r="E1197" s="61" t="n"/>
      <c r="F1197" s="55" t="n"/>
      <c r="G1197" s="56" t="n"/>
      <c r="H1197" s="55" t="n"/>
      <c r="I1197" s="62" t="n"/>
      <c r="J1197" s="58" t="n"/>
      <c r="K1197" s="63">
        <f>IF(tblMovement[[#This Row],[Source]]="","",IFERROR(INDEX(tblSources[Type],MATCH(tblMovement[[#This Row],[Source]],tblSources[Source],0)),"?"))</f>
        <v/>
      </c>
      <c r="L1197" s="63">
        <f>IF(tblMovement[[#This Row],[Destination]]="","",IFERROR(INDEX(tblDestinations[Type],MATCH(tblMovement[[#This Row],[Destination]],tblDestinations[Destination],0)),"?"))</f>
        <v/>
      </c>
      <c r="M1197" s="64">
        <f>IF(tblMovement[[#This Row],[Material]]="","",IF(LEFT(tblMovement[[#This Row],[Material]],3)="Ore",1,0))</f>
        <v/>
      </c>
      <c r="N1197" s="59">
        <f>IF(OR(tblMovement[[#This Row],[Tonnes_t]]="",tblMovement[[#This Row],[Grade_gpt]]=""),0,tblMovement[[#This Row],[Tonnes_t]]*tblMovement[[#This Row],[Grade_gpt]]/cfg_TroyOz)</f>
        <v/>
      </c>
      <c r="O1197" s="59">
        <f>IF(tblMovement[[#This Row],[Is_Ore]]=1,tblMovement[[#This Row],[Contained_oz]],0)</f>
        <v/>
      </c>
    </row>
    <row r="1198">
      <c r="A1198" s="54" t="n"/>
      <c r="B1198" s="61" t="n"/>
      <c r="C1198" s="61" t="n"/>
      <c r="D1198" s="61" t="n"/>
      <c r="E1198" s="61" t="n"/>
      <c r="F1198" s="55" t="n"/>
      <c r="G1198" s="56" t="n"/>
      <c r="H1198" s="55" t="n"/>
      <c r="I1198" s="62" t="n"/>
      <c r="J1198" s="58" t="n"/>
      <c r="K1198" s="63">
        <f>IF(tblMovement[[#This Row],[Source]]="","",IFERROR(INDEX(tblSources[Type],MATCH(tblMovement[[#This Row],[Source]],tblSources[Source],0)),"?"))</f>
        <v/>
      </c>
      <c r="L1198" s="63">
        <f>IF(tblMovement[[#This Row],[Destination]]="","",IFERROR(INDEX(tblDestinations[Type],MATCH(tblMovement[[#This Row],[Destination]],tblDestinations[Destination],0)),"?"))</f>
        <v/>
      </c>
      <c r="M1198" s="64">
        <f>IF(tblMovement[[#This Row],[Material]]="","",IF(LEFT(tblMovement[[#This Row],[Material]],3)="Ore",1,0))</f>
        <v/>
      </c>
      <c r="N1198" s="59">
        <f>IF(OR(tblMovement[[#This Row],[Tonnes_t]]="",tblMovement[[#This Row],[Grade_gpt]]=""),0,tblMovement[[#This Row],[Tonnes_t]]*tblMovement[[#This Row],[Grade_gpt]]/cfg_TroyOz)</f>
        <v/>
      </c>
      <c r="O1198" s="59">
        <f>IF(tblMovement[[#This Row],[Is_Ore]]=1,tblMovement[[#This Row],[Contained_oz]],0)</f>
        <v/>
      </c>
    </row>
    <row r="1199">
      <c r="A1199" s="54" t="n"/>
      <c r="B1199" s="61" t="n"/>
      <c r="C1199" s="61" t="n"/>
      <c r="D1199" s="61" t="n"/>
      <c r="E1199" s="61" t="n"/>
      <c r="F1199" s="55" t="n"/>
      <c r="G1199" s="56" t="n"/>
      <c r="H1199" s="55" t="n"/>
      <c r="I1199" s="62" t="n"/>
      <c r="J1199" s="58" t="n"/>
      <c r="K1199" s="63">
        <f>IF(tblMovement[[#This Row],[Source]]="","",IFERROR(INDEX(tblSources[Type],MATCH(tblMovement[[#This Row],[Source]],tblSources[Source],0)),"?"))</f>
        <v/>
      </c>
      <c r="L1199" s="63">
        <f>IF(tblMovement[[#This Row],[Destination]]="","",IFERROR(INDEX(tblDestinations[Type],MATCH(tblMovement[[#This Row],[Destination]],tblDestinations[Destination],0)),"?"))</f>
        <v/>
      </c>
      <c r="M1199" s="64">
        <f>IF(tblMovement[[#This Row],[Material]]="","",IF(LEFT(tblMovement[[#This Row],[Material]],3)="Ore",1,0))</f>
        <v/>
      </c>
      <c r="N1199" s="59">
        <f>IF(OR(tblMovement[[#This Row],[Tonnes_t]]="",tblMovement[[#This Row],[Grade_gpt]]=""),0,tblMovement[[#This Row],[Tonnes_t]]*tblMovement[[#This Row],[Grade_gpt]]/cfg_TroyOz)</f>
        <v/>
      </c>
      <c r="O1199" s="59">
        <f>IF(tblMovement[[#This Row],[Is_Ore]]=1,tblMovement[[#This Row],[Contained_oz]],0)</f>
        <v/>
      </c>
    </row>
    <row r="1200">
      <c r="A1200" s="54" t="n"/>
      <c r="B1200" s="61" t="n"/>
      <c r="C1200" s="61" t="n"/>
      <c r="D1200" s="61" t="n"/>
      <c r="E1200" s="61" t="n"/>
      <c r="F1200" s="55" t="n"/>
      <c r="G1200" s="56" t="n"/>
      <c r="H1200" s="55" t="n"/>
      <c r="I1200" s="62" t="n"/>
      <c r="J1200" s="58" t="n"/>
      <c r="K1200" s="63">
        <f>IF(tblMovement[[#This Row],[Source]]="","",IFERROR(INDEX(tblSources[Type],MATCH(tblMovement[[#This Row],[Source]],tblSources[Source],0)),"?"))</f>
        <v/>
      </c>
      <c r="L1200" s="63">
        <f>IF(tblMovement[[#This Row],[Destination]]="","",IFERROR(INDEX(tblDestinations[Type],MATCH(tblMovement[[#This Row],[Destination]],tblDestinations[Destination],0)),"?"))</f>
        <v/>
      </c>
      <c r="M1200" s="64">
        <f>IF(tblMovement[[#This Row],[Material]]="","",IF(LEFT(tblMovement[[#This Row],[Material]],3)="Ore",1,0))</f>
        <v/>
      </c>
      <c r="N1200" s="59">
        <f>IF(OR(tblMovement[[#This Row],[Tonnes_t]]="",tblMovement[[#This Row],[Grade_gpt]]=""),0,tblMovement[[#This Row],[Tonnes_t]]*tblMovement[[#This Row],[Grade_gpt]]/cfg_TroyOz)</f>
        <v/>
      </c>
      <c r="O1200" s="59">
        <f>IF(tblMovement[[#This Row],[Is_Ore]]=1,tblMovement[[#This Row],[Contained_oz]],0)</f>
        <v/>
      </c>
    </row>
    <row r="1201">
      <c r="A1201" s="54" t="n"/>
      <c r="B1201" s="61" t="n"/>
      <c r="C1201" s="61" t="n"/>
      <c r="D1201" s="61" t="n"/>
      <c r="E1201" s="61" t="n"/>
      <c r="F1201" s="55" t="n"/>
      <c r="G1201" s="56" t="n"/>
      <c r="H1201" s="55" t="n"/>
      <c r="I1201" s="62" t="n"/>
      <c r="J1201" s="58" t="n"/>
      <c r="K1201" s="63">
        <f>IF(tblMovement[[#This Row],[Source]]="","",IFERROR(INDEX(tblSources[Type],MATCH(tblMovement[[#This Row],[Source]],tblSources[Source],0)),"?"))</f>
        <v/>
      </c>
      <c r="L1201" s="63">
        <f>IF(tblMovement[[#This Row],[Destination]]="","",IFERROR(INDEX(tblDestinations[Type],MATCH(tblMovement[[#This Row],[Destination]],tblDestinations[Destination],0)),"?"))</f>
        <v/>
      </c>
      <c r="M1201" s="64">
        <f>IF(tblMovement[[#This Row],[Material]]="","",IF(LEFT(tblMovement[[#This Row],[Material]],3)="Ore",1,0))</f>
        <v/>
      </c>
      <c r="N1201" s="59">
        <f>IF(OR(tblMovement[[#This Row],[Tonnes_t]]="",tblMovement[[#This Row],[Grade_gpt]]=""),0,tblMovement[[#This Row],[Tonnes_t]]*tblMovement[[#This Row],[Grade_gpt]]/cfg_TroyOz)</f>
        <v/>
      </c>
      <c r="O1201" s="59">
        <f>IF(tblMovement[[#This Row],[Is_Ore]]=1,tblMovement[[#This Row],[Contained_oz]],0)</f>
        <v/>
      </c>
    </row>
    <row r="1202">
      <c r="A1202" s="54" t="n"/>
      <c r="B1202" s="61" t="n"/>
      <c r="C1202" s="61" t="n"/>
      <c r="D1202" s="61" t="n"/>
      <c r="E1202" s="61" t="n"/>
      <c r="F1202" s="55" t="n"/>
      <c r="G1202" s="56" t="n"/>
      <c r="H1202" s="55" t="n"/>
      <c r="I1202" s="62" t="n"/>
      <c r="J1202" s="58" t="n"/>
      <c r="K1202" s="63">
        <f>IF(tblMovement[[#This Row],[Source]]="","",IFERROR(INDEX(tblSources[Type],MATCH(tblMovement[[#This Row],[Source]],tblSources[Source],0)),"?"))</f>
        <v/>
      </c>
      <c r="L1202" s="63">
        <f>IF(tblMovement[[#This Row],[Destination]]="","",IFERROR(INDEX(tblDestinations[Type],MATCH(tblMovement[[#This Row],[Destination]],tblDestinations[Destination],0)),"?"))</f>
        <v/>
      </c>
      <c r="M1202" s="64">
        <f>IF(tblMovement[[#This Row],[Material]]="","",IF(LEFT(tblMovement[[#This Row],[Material]],3)="Ore",1,0))</f>
        <v/>
      </c>
      <c r="N1202" s="59">
        <f>IF(OR(tblMovement[[#This Row],[Tonnes_t]]="",tblMovement[[#This Row],[Grade_gpt]]=""),0,tblMovement[[#This Row],[Tonnes_t]]*tblMovement[[#This Row],[Grade_gpt]]/cfg_TroyOz)</f>
        <v/>
      </c>
      <c r="O1202" s="59">
        <f>IF(tblMovement[[#This Row],[Is_Ore]]=1,tblMovement[[#This Row],[Contained_oz]],0)</f>
        <v/>
      </c>
    </row>
    <row r="1203">
      <c r="A1203" s="54" t="n"/>
      <c r="B1203" s="61" t="n"/>
      <c r="C1203" s="61" t="n"/>
      <c r="D1203" s="61" t="n"/>
      <c r="E1203" s="61" t="n"/>
      <c r="F1203" s="55" t="n"/>
      <c r="G1203" s="56" t="n"/>
      <c r="H1203" s="55" t="n"/>
      <c r="I1203" s="62" t="n"/>
      <c r="J1203" s="58" t="n"/>
      <c r="K1203" s="63">
        <f>IF(tblMovement[[#This Row],[Source]]="","",IFERROR(INDEX(tblSources[Type],MATCH(tblMovement[[#This Row],[Source]],tblSources[Source],0)),"?"))</f>
        <v/>
      </c>
      <c r="L1203" s="63">
        <f>IF(tblMovement[[#This Row],[Destination]]="","",IFERROR(INDEX(tblDestinations[Type],MATCH(tblMovement[[#This Row],[Destination]],tblDestinations[Destination],0)),"?"))</f>
        <v/>
      </c>
      <c r="M1203" s="64">
        <f>IF(tblMovement[[#This Row],[Material]]="","",IF(LEFT(tblMovement[[#This Row],[Material]],3)="Ore",1,0))</f>
        <v/>
      </c>
      <c r="N1203" s="59">
        <f>IF(OR(tblMovement[[#This Row],[Tonnes_t]]="",tblMovement[[#This Row],[Grade_gpt]]=""),0,tblMovement[[#This Row],[Tonnes_t]]*tblMovement[[#This Row],[Grade_gpt]]/cfg_TroyOz)</f>
        <v/>
      </c>
      <c r="O1203" s="59">
        <f>IF(tblMovement[[#This Row],[Is_Ore]]=1,tblMovement[[#This Row],[Contained_oz]],0)</f>
        <v/>
      </c>
    </row>
    <row r="1204">
      <c r="A1204" s="54" t="n"/>
      <c r="B1204" s="61" t="n"/>
      <c r="C1204" s="61" t="n"/>
      <c r="D1204" s="61" t="n"/>
      <c r="E1204" s="61" t="n"/>
      <c r="F1204" s="55" t="n"/>
      <c r="G1204" s="56" t="n"/>
      <c r="H1204" s="55" t="n"/>
      <c r="I1204" s="62" t="n"/>
      <c r="J1204" s="58" t="n"/>
      <c r="K1204" s="63">
        <f>IF(tblMovement[[#This Row],[Source]]="","",IFERROR(INDEX(tblSources[Type],MATCH(tblMovement[[#This Row],[Source]],tblSources[Source],0)),"?"))</f>
        <v/>
      </c>
      <c r="L1204" s="63">
        <f>IF(tblMovement[[#This Row],[Destination]]="","",IFERROR(INDEX(tblDestinations[Type],MATCH(tblMovement[[#This Row],[Destination]],tblDestinations[Destination],0)),"?"))</f>
        <v/>
      </c>
      <c r="M1204" s="64">
        <f>IF(tblMovement[[#This Row],[Material]]="","",IF(LEFT(tblMovement[[#This Row],[Material]],3)="Ore",1,0))</f>
        <v/>
      </c>
      <c r="N1204" s="59">
        <f>IF(OR(tblMovement[[#This Row],[Tonnes_t]]="",tblMovement[[#This Row],[Grade_gpt]]=""),0,tblMovement[[#This Row],[Tonnes_t]]*tblMovement[[#This Row],[Grade_gpt]]/cfg_TroyOz)</f>
        <v/>
      </c>
      <c r="O1204" s="59">
        <f>IF(tblMovement[[#This Row],[Is_Ore]]=1,tblMovement[[#This Row],[Contained_oz]],0)</f>
        <v/>
      </c>
    </row>
    <row r="1205">
      <c r="A1205" s="54" t="n"/>
      <c r="B1205" s="61" t="n"/>
      <c r="C1205" s="61" t="n"/>
      <c r="D1205" s="61" t="n"/>
      <c r="E1205" s="61" t="n"/>
      <c r="F1205" s="55" t="n"/>
      <c r="G1205" s="56" t="n"/>
      <c r="H1205" s="55" t="n"/>
      <c r="I1205" s="62" t="n"/>
      <c r="J1205" s="58" t="n"/>
      <c r="K1205" s="63">
        <f>IF(tblMovement[[#This Row],[Source]]="","",IFERROR(INDEX(tblSources[Type],MATCH(tblMovement[[#This Row],[Source]],tblSources[Source],0)),"?"))</f>
        <v/>
      </c>
      <c r="L1205" s="63">
        <f>IF(tblMovement[[#This Row],[Destination]]="","",IFERROR(INDEX(tblDestinations[Type],MATCH(tblMovement[[#This Row],[Destination]],tblDestinations[Destination],0)),"?"))</f>
        <v/>
      </c>
      <c r="M1205" s="64">
        <f>IF(tblMovement[[#This Row],[Material]]="","",IF(LEFT(tblMovement[[#This Row],[Material]],3)="Ore",1,0))</f>
        <v/>
      </c>
      <c r="N1205" s="59">
        <f>IF(OR(tblMovement[[#This Row],[Tonnes_t]]="",tblMovement[[#This Row],[Grade_gpt]]=""),0,tblMovement[[#This Row],[Tonnes_t]]*tblMovement[[#This Row],[Grade_gpt]]/cfg_TroyOz)</f>
        <v/>
      </c>
      <c r="O1205" s="59">
        <f>IF(tblMovement[[#This Row],[Is_Ore]]=1,tblMovement[[#This Row],[Contained_oz]],0)</f>
        <v/>
      </c>
    </row>
    <row r="1206">
      <c r="A1206" s="54" t="n"/>
      <c r="B1206" s="61" t="n"/>
      <c r="C1206" s="61" t="n"/>
      <c r="D1206" s="61" t="n"/>
      <c r="E1206" s="61" t="n"/>
      <c r="F1206" s="55" t="n"/>
      <c r="G1206" s="56" t="n"/>
      <c r="H1206" s="55" t="n"/>
      <c r="I1206" s="62" t="n"/>
      <c r="J1206" s="58" t="n"/>
      <c r="K1206" s="63">
        <f>IF(tblMovement[[#This Row],[Source]]="","",IFERROR(INDEX(tblSources[Type],MATCH(tblMovement[[#This Row],[Source]],tblSources[Source],0)),"?"))</f>
        <v/>
      </c>
      <c r="L1206" s="63">
        <f>IF(tblMovement[[#This Row],[Destination]]="","",IFERROR(INDEX(tblDestinations[Type],MATCH(tblMovement[[#This Row],[Destination]],tblDestinations[Destination],0)),"?"))</f>
        <v/>
      </c>
      <c r="M1206" s="64">
        <f>IF(tblMovement[[#This Row],[Material]]="","",IF(LEFT(tblMovement[[#This Row],[Material]],3)="Ore",1,0))</f>
        <v/>
      </c>
      <c r="N1206" s="59">
        <f>IF(OR(tblMovement[[#This Row],[Tonnes_t]]="",tblMovement[[#This Row],[Grade_gpt]]=""),0,tblMovement[[#This Row],[Tonnes_t]]*tblMovement[[#This Row],[Grade_gpt]]/cfg_TroyOz)</f>
        <v/>
      </c>
      <c r="O1206" s="59">
        <f>IF(tblMovement[[#This Row],[Is_Ore]]=1,tblMovement[[#This Row],[Contained_oz]],0)</f>
        <v/>
      </c>
    </row>
    <row r="1207">
      <c r="A1207" s="54" t="n"/>
      <c r="B1207" s="61" t="n"/>
      <c r="C1207" s="61" t="n"/>
      <c r="D1207" s="61" t="n"/>
      <c r="E1207" s="61" t="n"/>
      <c r="F1207" s="55" t="n"/>
      <c r="G1207" s="56" t="n"/>
      <c r="H1207" s="55" t="n"/>
      <c r="I1207" s="62" t="n"/>
      <c r="J1207" s="58" t="n"/>
      <c r="K1207" s="63">
        <f>IF(tblMovement[[#This Row],[Source]]="","",IFERROR(INDEX(tblSources[Type],MATCH(tblMovement[[#This Row],[Source]],tblSources[Source],0)),"?"))</f>
        <v/>
      </c>
      <c r="L1207" s="63">
        <f>IF(tblMovement[[#This Row],[Destination]]="","",IFERROR(INDEX(tblDestinations[Type],MATCH(tblMovement[[#This Row],[Destination]],tblDestinations[Destination],0)),"?"))</f>
        <v/>
      </c>
      <c r="M1207" s="64">
        <f>IF(tblMovement[[#This Row],[Material]]="","",IF(LEFT(tblMovement[[#This Row],[Material]],3)="Ore",1,0))</f>
        <v/>
      </c>
      <c r="N1207" s="59">
        <f>IF(OR(tblMovement[[#This Row],[Tonnes_t]]="",tblMovement[[#This Row],[Grade_gpt]]=""),0,tblMovement[[#This Row],[Tonnes_t]]*tblMovement[[#This Row],[Grade_gpt]]/cfg_TroyOz)</f>
        <v/>
      </c>
      <c r="O1207" s="59">
        <f>IF(tblMovement[[#This Row],[Is_Ore]]=1,tblMovement[[#This Row],[Contained_oz]],0)</f>
        <v/>
      </c>
    </row>
    <row r="1208">
      <c r="A1208" s="54" t="n"/>
      <c r="B1208" s="61" t="n"/>
      <c r="C1208" s="61" t="n"/>
      <c r="D1208" s="61" t="n"/>
      <c r="E1208" s="61" t="n"/>
      <c r="F1208" s="55" t="n"/>
      <c r="G1208" s="56" t="n"/>
      <c r="H1208" s="55" t="n"/>
      <c r="I1208" s="62" t="n"/>
      <c r="J1208" s="58" t="n"/>
      <c r="K1208" s="63">
        <f>IF(tblMovement[[#This Row],[Source]]="","",IFERROR(INDEX(tblSources[Type],MATCH(tblMovement[[#This Row],[Source]],tblSources[Source],0)),"?"))</f>
        <v/>
      </c>
      <c r="L1208" s="63">
        <f>IF(tblMovement[[#This Row],[Destination]]="","",IFERROR(INDEX(tblDestinations[Type],MATCH(tblMovement[[#This Row],[Destination]],tblDestinations[Destination],0)),"?"))</f>
        <v/>
      </c>
      <c r="M1208" s="64">
        <f>IF(tblMovement[[#This Row],[Material]]="","",IF(LEFT(tblMovement[[#This Row],[Material]],3)="Ore",1,0))</f>
        <v/>
      </c>
      <c r="N1208" s="59">
        <f>IF(OR(tblMovement[[#This Row],[Tonnes_t]]="",tblMovement[[#This Row],[Grade_gpt]]=""),0,tblMovement[[#This Row],[Tonnes_t]]*tblMovement[[#This Row],[Grade_gpt]]/cfg_TroyOz)</f>
        <v/>
      </c>
      <c r="O1208" s="59">
        <f>IF(tblMovement[[#This Row],[Is_Ore]]=1,tblMovement[[#This Row],[Contained_oz]],0)</f>
        <v/>
      </c>
    </row>
    <row r="1209">
      <c r="A1209" s="54" t="n"/>
      <c r="B1209" s="61" t="n"/>
      <c r="C1209" s="61" t="n"/>
      <c r="D1209" s="61" t="n"/>
      <c r="E1209" s="61" t="n"/>
      <c r="F1209" s="55" t="n"/>
      <c r="G1209" s="56" t="n"/>
      <c r="H1209" s="55" t="n"/>
      <c r="I1209" s="62" t="n"/>
      <c r="J1209" s="58" t="n"/>
      <c r="K1209" s="63">
        <f>IF(tblMovement[[#This Row],[Source]]="","",IFERROR(INDEX(tblSources[Type],MATCH(tblMovement[[#This Row],[Source]],tblSources[Source],0)),"?"))</f>
        <v/>
      </c>
      <c r="L1209" s="63">
        <f>IF(tblMovement[[#This Row],[Destination]]="","",IFERROR(INDEX(tblDestinations[Type],MATCH(tblMovement[[#This Row],[Destination]],tblDestinations[Destination],0)),"?"))</f>
        <v/>
      </c>
      <c r="M1209" s="64">
        <f>IF(tblMovement[[#This Row],[Material]]="","",IF(LEFT(tblMovement[[#This Row],[Material]],3)="Ore",1,0))</f>
        <v/>
      </c>
      <c r="N1209" s="59">
        <f>IF(OR(tblMovement[[#This Row],[Tonnes_t]]="",tblMovement[[#This Row],[Grade_gpt]]=""),0,tblMovement[[#This Row],[Tonnes_t]]*tblMovement[[#This Row],[Grade_gpt]]/cfg_TroyOz)</f>
        <v/>
      </c>
      <c r="O1209" s="59">
        <f>IF(tblMovement[[#This Row],[Is_Ore]]=1,tblMovement[[#This Row],[Contained_oz]],0)</f>
        <v/>
      </c>
    </row>
    <row r="1210">
      <c r="A1210" s="54" t="n"/>
      <c r="B1210" s="61" t="n"/>
      <c r="C1210" s="61" t="n"/>
      <c r="D1210" s="61" t="n"/>
      <c r="E1210" s="61" t="n"/>
      <c r="F1210" s="55" t="n"/>
      <c r="G1210" s="56" t="n"/>
      <c r="H1210" s="55" t="n"/>
      <c r="I1210" s="62" t="n"/>
      <c r="J1210" s="58" t="n"/>
      <c r="K1210" s="63">
        <f>IF(tblMovement[[#This Row],[Source]]="","",IFERROR(INDEX(tblSources[Type],MATCH(tblMovement[[#This Row],[Source]],tblSources[Source],0)),"?"))</f>
        <v/>
      </c>
      <c r="L1210" s="63">
        <f>IF(tblMovement[[#This Row],[Destination]]="","",IFERROR(INDEX(tblDestinations[Type],MATCH(tblMovement[[#This Row],[Destination]],tblDestinations[Destination],0)),"?"))</f>
        <v/>
      </c>
      <c r="M1210" s="64">
        <f>IF(tblMovement[[#This Row],[Material]]="","",IF(LEFT(tblMovement[[#This Row],[Material]],3)="Ore",1,0))</f>
        <v/>
      </c>
      <c r="N1210" s="59">
        <f>IF(OR(tblMovement[[#This Row],[Tonnes_t]]="",tblMovement[[#This Row],[Grade_gpt]]=""),0,tblMovement[[#This Row],[Tonnes_t]]*tblMovement[[#This Row],[Grade_gpt]]/cfg_TroyOz)</f>
        <v/>
      </c>
      <c r="O1210" s="59">
        <f>IF(tblMovement[[#This Row],[Is_Ore]]=1,tblMovement[[#This Row],[Contained_oz]],0)</f>
        <v/>
      </c>
    </row>
    <row r="1211">
      <c r="A1211" s="54" t="n"/>
      <c r="B1211" s="61" t="n"/>
      <c r="C1211" s="61" t="n"/>
      <c r="D1211" s="61" t="n"/>
      <c r="E1211" s="61" t="n"/>
      <c r="F1211" s="55" t="n"/>
      <c r="G1211" s="56" t="n"/>
      <c r="H1211" s="55" t="n"/>
      <c r="I1211" s="62" t="n"/>
      <c r="J1211" s="58" t="n"/>
      <c r="K1211" s="63">
        <f>IF(tblMovement[[#This Row],[Source]]="","",IFERROR(INDEX(tblSources[Type],MATCH(tblMovement[[#This Row],[Source]],tblSources[Source],0)),"?"))</f>
        <v/>
      </c>
      <c r="L1211" s="63">
        <f>IF(tblMovement[[#This Row],[Destination]]="","",IFERROR(INDEX(tblDestinations[Type],MATCH(tblMovement[[#This Row],[Destination]],tblDestinations[Destination],0)),"?"))</f>
        <v/>
      </c>
      <c r="M1211" s="64">
        <f>IF(tblMovement[[#This Row],[Material]]="","",IF(LEFT(tblMovement[[#This Row],[Material]],3)="Ore",1,0))</f>
        <v/>
      </c>
      <c r="N1211" s="59">
        <f>IF(OR(tblMovement[[#This Row],[Tonnes_t]]="",tblMovement[[#This Row],[Grade_gpt]]=""),0,tblMovement[[#This Row],[Tonnes_t]]*tblMovement[[#This Row],[Grade_gpt]]/cfg_TroyOz)</f>
        <v/>
      </c>
      <c r="O1211" s="59">
        <f>IF(tblMovement[[#This Row],[Is_Ore]]=1,tblMovement[[#This Row],[Contained_oz]],0)</f>
        <v/>
      </c>
    </row>
    <row r="1212">
      <c r="A1212" s="54" t="n"/>
      <c r="B1212" s="61" t="n"/>
      <c r="C1212" s="61" t="n"/>
      <c r="D1212" s="61" t="n"/>
      <c r="E1212" s="61" t="n"/>
      <c r="F1212" s="55" t="n"/>
      <c r="G1212" s="56" t="n"/>
      <c r="H1212" s="55" t="n"/>
      <c r="I1212" s="62" t="n"/>
      <c r="J1212" s="58" t="n"/>
      <c r="K1212" s="63">
        <f>IF(tblMovement[[#This Row],[Source]]="","",IFERROR(INDEX(tblSources[Type],MATCH(tblMovement[[#This Row],[Source]],tblSources[Source],0)),"?"))</f>
        <v/>
      </c>
      <c r="L1212" s="63">
        <f>IF(tblMovement[[#This Row],[Destination]]="","",IFERROR(INDEX(tblDestinations[Type],MATCH(tblMovement[[#This Row],[Destination]],tblDestinations[Destination],0)),"?"))</f>
        <v/>
      </c>
      <c r="M1212" s="64">
        <f>IF(tblMovement[[#This Row],[Material]]="","",IF(LEFT(tblMovement[[#This Row],[Material]],3)="Ore",1,0))</f>
        <v/>
      </c>
      <c r="N1212" s="59">
        <f>IF(OR(tblMovement[[#This Row],[Tonnes_t]]="",tblMovement[[#This Row],[Grade_gpt]]=""),0,tblMovement[[#This Row],[Tonnes_t]]*tblMovement[[#This Row],[Grade_gpt]]/cfg_TroyOz)</f>
        <v/>
      </c>
      <c r="O1212" s="59">
        <f>IF(tblMovement[[#This Row],[Is_Ore]]=1,tblMovement[[#This Row],[Contained_oz]],0)</f>
        <v/>
      </c>
    </row>
    <row r="1213">
      <c r="A1213" s="54" t="n"/>
      <c r="B1213" s="61" t="n"/>
      <c r="C1213" s="61" t="n"/>
      <c r="D1213" s="61" t="n"/>
      <c r="E1213" s="61" t="n"/>
      <c r="F1213" s="55" t="n"/>
      <c r="G1213" s="56" t="n"/>
      <c r="H1213" s="55" t="n"/>
      <c r="I1213" s="62" t="n"/>
      <c r="J1213" s="58" t="n"/>
      <c r="K1213" s="63">
        <f>IF(tblMovement[[#This Row],[Source]]="","",IFERROR(INDEX(tblSources[Type],MATCH(tblMovement[[#This Row],[Source]],tblSources[Source],0)),"?"))</f>
        <v/>
      </c>
      <c r="L1213" s="63">
        <f>IF(tblMovement[[#This Row],[Destination]]="","",IFERROR(INDEX(tblDestinations[Type],MATCH(tblMovement[[#This Row],[Destination]],tblDestinations[Destination],0)),"?"))</f>
        <v/>
      </c>
      <c r="M1213" s="64">
        <f>IF(tblMovement[[#This Row],[Material]]="","",IF(LEFT(tblMovement[[#This Row],[Material]],3)="Ore",1,0))</f>
        <v/>
      </c>
      <c r="N1213" s="59">
        <f>IF(OR(tblMovement[[#This Row],[Tonnes_t]]="",tblMovement[[#This Row],[Grade_gpt]]=""),0,tblMovement[[#This Row],[Tonnes_t]]*tblMovement[[#This Row],[Grade_gpt]]/cfg_TroyOz)</f>
        <v/>
      </c>
      <c r="O1213" s="59">
        <f>IF(tblMovement[[#This Row],[Is_Ore]]=1,tblMovement[[#This Row],[Contained_oz]],0)</f>
        <v/>
      </c>
    </row>
    <row r="1214">
      <c r="A1214" s="54" t="n"/>
      <c r="B1214" s="61" t="n"/>
      <c r="C1214" s="61" t="n"/>
      <c r="D1214" s="61" t="n"/>
      <c r="E1214" s="61" t="n"/>
      <c r="F1214" s="55" t="n"/>
      <c r="G1214" s="56" t="n"/>
      <c r="H1214" s="55" t="n"/>
      <c r="I1214" s="62" t="n"/>
      <c r="J1214" s="58" t="n"/>
      <c r="K1214" s="63">
        <f>IF(tblMovement[[#This Row],[Source]]="","",IFERROR(INDEX(tblSources[Type],MATCH(tblMovement[[#This Row],[Source]],tblSources[Source],0)),"?"))</f>
        <v/>
      </c>
      <c r="L1214" s="63">
        <f>IF(tblMovement[[#This Row],[Destination]]="","",IFERROR(INDEX(tblDestinations[Type],MATCH(tblMovement[[#This Row],[Destination]],tblDestinations[Destination],0)),"?"))</f>
        <v/>
      </c>
      <c r="M1214" s="64">
        <f>IF(tblMovement[[#This Row],[Material]]="","",IF(LEFT(tblMovement[[#This Row],[Material]],3)="Ore",1,0))</f>
        <v/>
      </c>
      <c r="N1214" s="59">
        <f>IF(OR(tblMovement[[#This Row],[Tonnes_t]]="",tblMovement[[#This Row],[Grade_gpt]]=""),0,tblMovement[[#This Row],[Tonnes_t]]*tblMovement[[#This Row],[Grade_gpt]]/cfg_TroyOz)</f>
        <v/>
      </c>
      <c r="O1214" s="59">
        <f>IF(tblMovement[[#This Row],[Is_Ore]]=1,tblMovement[[#This Row],[Contained_oz]],0)</f>
        <v/>
      </c>
    </row>
    <row r="1215">
      <c r="A1215" s="54" t="n"/>
      <c r="B1215" s="61" t="n"/>
      <c r="C1215" s="61" t="n"/>
      <c r="D1215" s="61" t="n"/>
      <c r="E1215" s="61" t="n"/>
      <c r="F1215" s="55" t="n"/>
      <c r="G1215" s="56" t="n"/>
      <c r="H1215" s="55" t="n"/>
      <c r="I1215" s="62" t="n"/>
      <c r="J1215" s="58" t="n"/>
      <c r="K1215" s="63">
        <f>IF(tblMovement[[#This Row],[Source]]="","",IFERROR(INDEX(tblSources[Type],MATCH(tblMovement[[#This Row],[Source]],tblSources[Source],0)),"?"))</f>
        <v/>
      </c>
      <c r="L1215" s="63">
        <f>IF(tblMovement[[#This Row],[Destination]]="","",IFERROR(INDEX(tblDestinations[Type],MATCH(tblMovement[[#This Row],[Destination]],tblDestinations[Destination],0)),"?"))</f>
        <v/>
      </c>
      <c r="M1215" s="64">
        <f>IF(tblMovement[[#This Row],[Material]]="","",IF(LEFT(tblMovement[[#This Row],[Material]],3)="Ore",1,0))</f>
        <v/>
      </c>
      <c r="N1215" s="59">
        <f>IF(OR(tblMovement[[#This Row],[Tonnes_t]]="",tblMovement[[#This Row],[Grade_gpt]]=""),0,tblMovement[[#This Row],[Tonnes_t]]*tblMovement[[#This Row],[Grade_gpt]]/cfg_TroyOz)</f>
        <v/>
      </c>
      <c r="O1215" s="59">
        <f>IF(tblMovement[[#This Row],[Is_Ore]]=1,tblMovement[[#This Row],[Contained_oz]],0)</f>
        <v/>
      </c>
    </row>
    <row r="1216">
      <c r="A1216" s="54" t="n"/>
      <c r="B1216" s="61" t="n"/>
      <c r="C1216" s="61" t="n"/>
      <c r="D1216" s="61" t="n"/>
      <c r="E1216" s="61" t="n"/>
      <c r="F1216" s="55" t="n"/>
      <c r="G1216" s="56" t="n"/>
      <c r="H1216" s="55" t="n"/>
      <c r="I1216" s="62" t="n"/>
      <c r="J1216" s="58" t="n"/>
      <c r="K1216" s="63">
        <f>IF(tblMovement[[#This Row],[Source]]="","",IFERROR(INDEX(tblSources[Type],MATCH(tblMovement[[#This Row],[Source]],tblSources[Source],0)),"?"))</f>
        <v/>
      </c>
      <c r="L1216" s="63">
        <f>IF(tblMovement[[#This Row],[Destination]]="","",IFERROR(INDEX(tblDestinations[Type],MATCH(tblMovement[[#This Row],[Destination]],tblDestinations[Destination],0)),"?"))</f>
        <v/>
      </c>
      <c r="M1216" s="64">
        <f>IF(tblMovement[[#This Row],[Material]]="","",IF(LEFT(tblMovement[[#This Row],[Material]],3)="Ore",1,0))</f>
        <v/>
      </c>
      <c r="N1216" s="59">
        <f>IF(OR(tblMovement[[#This Row],[Tonnes_t]]="",tblMovement[[#This Row],[Grade_gpt]]=""),0,tblMovement[[#This Row],[Tonnes_t]]*tblMovement[[#This Row],[Grade_gpt]]/cfg_TroyOz)</f>
        <v/>
      </c>
      <c r="O1216" s="59">
        <f>IF(tblMovement[[#This Row],[Is_Ore]]=1,tblMovement[[#This Row],[Contained_oz]],0)</f>
        <v/>
      </c>
    </row>
    <row r="1217">
      <c r="A1217" s="54" t="n"/>
      <c r="B1217" s="61" t="n"/>
      <c r="C1217" s="61" t="n"/>
      <c r="D1217" s="61" t="n"/>
      <c r="E1217" s="61" t="n"/>
      <c r="F1217" s="55" t="n"/>
      <c r="G1217" s="56" t="n"/>
      <c r="H1217" s="55" t="n"/>
      <c r="I1217" s="62" t="n"/>
      <c r="J1217" s="58" t="n"/>
      <c r="K1217" s="63">
        <f>IF(tblMovement[[#This Row],[Source]]="","",IFERROR(INDEX(tblSources[Type],MATCH(tblMovement[[#This Row],[Source]],tblSources[Source],0)),"?"))</f>
        <v/>
      </c>
      <c r="L1217" s="63">
        <f>IF(tblMovement[[#This Row],[Destination]]="","",IFERROR(INDEX(tblDestinations[Type],MATCH(tblMovement[[#This Row],[Destination]],tblDestinations[Destination],0)),"?"))</f>
        <v/>
      </c>
      <c r="M1217" s="64">
        <f>IF(tblMovement[[#This Row],[Material]]="","",IF(LEFT(tblMovement[[#This Row],[Material]],3)="Ore",1,0))</f>
        <v/>
      </c>
      <c r="N1217" s="59">
        <f>IF(OR(tblMovement[[#This Row],[Tonnes_t]]="",tblMovement[[#This Row],[Grade_gpt]]=""),0,tblMovement[[#This Row],[Tonnes_t]]*tblMovement[[#This Row],[Grade_gpt]]/cfg_TroyOz)</f>
        <v/>
      </c>
      <c r="O1217" s="59">
        <f>IF(tblMovement[[#This Row],[Is_Ore]]=1,tblMovement[[#This Row],[Contained_oz]],0)</f>
        <v/>
      </c>
    </row>
    <row r="1218">
      <c r="A1218" s="54" t="n"/>
      <c r="B1218" s="61" t="n"/>
      <c r="C1218" s="61" t="n"/>
      <c r="D1218" s="61" t="n"/>
      <c r="E1218" s="61" t="n"/>
      <c r="F1218" s="55" t="n"/>
      <c r="G1218" s="56" t="n"/>
      <c r="H1218" s="55" t="n"/>
      <c r="I1218" s="62" t="n"/>
      <c r="J1218" s="58" t="n"/>
      <c r="K1218" s="63">
        <f>IF(tblMovement[[#This Row],[Source]]="","",IFERROR(INDEX(tblSources[Type],MATCH(tblMovement[[#This Row],[Source]],tblSources[Source],0)),"?"))</f>
        <v/>
      </c>
      <c r="L1218" s="63">
        <f>IF(tblMovement[[#This Row],[Destination]]="","",IFERROR(INDEX(tblDestinations[Type],MATCH(tblMovement[[#This Row],[Destination]],tblDestinations[Destination],0)),"?"))</f>
        <v/>
      </c>
      <c r="M1218" s="64">
        <f>IF(tblMovement[[#This Row],[Material]]="","",IF(LEFT(tblMovement[[#This Row],[Material]],3)="Ore",1,0))</f>
        <v/>
      </c>
      <c r="N1218" s="59">
        <f>IF(OR(tblMovement[[#This Row],[Tonnes_t]]="",tblMovement[[#This Row],[Grade_gpt]]=""),0,tblMovement[[#This Row],[Tonnes_t]]*tblMovement[[#This Row],[Grade_gpt]]/cfg_TroyOz)</f>
        <v/>
      </c>
      <c r="O1218" s="59">
        <f>IF(tblMovement[[#This Row],[Is_Ore]]=1,tblMovement[[#This Row],[Contained_oz]],0)</f>
        <v/>
      </c>
    </row>
    <row r="1219">
      <c r="A1219" s="54" t="n"/>
      <c r="B1219" s="61" t="n"/>
      <c r="C1219" s="61" t="n"/>
      <c r="D1219" s="61" t="n"/>
      <c r="E1219" s="61" t="n"/>
      <c r="F1219" s="55" t="n"/>
      <c r="G1219" s="56" t="n"/>
      <c r="H1219" s="55" t="n"/>
      <c r="I1219" s="62" t="n"/>
      <c r="J1219" s="58" t="n"/>
      <c r="K1219" s="63">
        <f>IF(tblMovement[[#This Row],[Source]]="","",IFERROR(INDEX(tblSources[Type],MATCH(tblMovement[[#This Row],[Source]],tblSources[Source],0)),"?"))</f>
        <v/>
      </c>
      <c r="L1219" s="63">
        <f>IF(tblMovement[[#This Row],[Destination]]="","",IFERROR(INDEX(tblDestinations[Type],MATCH(tblMovement[[#This Row],[Destination]],tblDestinations[Destination],0)),"?"))</f>
        <v/>
      </c>
      <c r="M1219" s="64">
        <f>IF(tblMovement[[#This Row],[Material]]="","",IF(LEFT(tblMovement[[#This Row],[Material]],3)="Ore",1,0))</f>
        <v/>
      </c>
      <c r="N1219" s="59">
        <f>IF(OR(tblMovement[[#This Row],[Tonnes_t]]="",tblMovement[[#This Row],[Grade_gpt]]=""),0,tblMovement[[#This Row],[Tonnes_t]]*tblMovement[[#This Row],[Grade_gpt]]/cfg_TroyOz)</f>
        <v/>
      </c>
      <c r="O1219" s="59">
        <f>IF(tblMovement[[#This Row],[Is_Ore]]=1,tblMovement[[#This Row],[Contained_oz]],0)</f>
        <v/>
      </c>
    </row>
    <row r="1220">
      <c r="A1220" s="54" t="n"/>
      <c r="B1220" s="61" t="n"/>
      <c r="C1220" s="61" t="n"/>
      <c r="D1220" s="61" t="n"/>
      <c r="E1220" s="61" t="n"/>
      <c r="F1220" s="55" t="n"/>
      <c r="G1220" s="56" t="n"/>
      <c r="H1220" s="55" t="n"/>
      <c r="I1220" s="62" t="n"/>
      <c r="J1220" s="58" t="n"/>
      <c r="K1220" s="63">
        <f>IF(tblMovement[[#This Row],[Source]]="","",IFERROR(INDEX(tblSources[Type],MATCH(tblMovement[[#This Row],[Source]],tblSources[Source],0)),"?"))</f>
        <v/>
      </c>
      <c r="L1220" s="63">
        <f>IF(tblMovement[[#This Row],[Destination]]="","",IFERROR(INDEX(tblDestinations[Type],MATCH(tblMovement[[#This Row],[Destination]],tblDestinations[Destination],0)),"?"))</f>
        <v/>
      </c>
      <c r="M1220" s="64">
        <f>IF(tblMovement[[#This Row],[Material]]="","",IF(LEFT(tblMovement[[#This Row],[Material]],3)="Ore",1,0))</f>
        <v/>
      </c>
      <c r="N1220" s="59">
        <f>IF(OR(tblMovement[[#This Row],[Tonnes_t]]="",tblMovement[[#This Row],[Grade_gpt]]=""),0,tblMovement[[#This Row],[Tonnes_t]]*tblMovement[[#This Row],[Grade_gpt]]/cfg_TroyOz)</f>
        <v/>
      </c>
      <c r="O1220" s="59">
        <f>IF(tblMovement[[#This Row],[Is_Ore]]=1,tblMovement[[#This Row],[Contained_oz]],0)</f>
        <v/>
      </c>
    </row>
    <row r="1221">
      <c r="A1221" s="54" t="n"/>
      <c r="B1221" s="61" t="n"/>
      <c r="C1221" s="61" t="n"/>
      <c r="D1221" s="61" t="n"/>
      <c r="E1221" s="61" t="n"/>
      <c r="F1221" s="55" t="n"/>
      <c r="G1221" s="56" t="n"/>
      <c r="H1221" s="55" t="n"/>
      <c r="I1221" s="62" t="n"/>
      <c r="J1221" s="58" t="n"/>
      <c r="K1221" s="63">
        <f>IF(tblMovement[[#This Row],[Source]]="","",IFERROR(INDEX(tblSources[Type],MATCH(tblMovement[[#This Row],[Source]],tblSources[Source],0)),"?"))</f>
        <v/>
      </c>
      <c r="L1221" s="63">
        <f>IF(tblMovement[[#This Row],[Destination]]="","",IFERROR(INDEX(tblDestinations[Type],MATCH(tblMovement[[#This Row],[Destination]],tblDestinations[Destination],0)),"?"))</f>
        <v/>
      </c>
      <c r="M1221" s="64">
        <f>IF(tblMovement[[#This Row],[Material]]="","",IF(LEFT(tblMovement[[#This Row],[Material]],3)="Ore",1,0))</f>
        <v/>
      </c>
      <c r="N1221" s="59">
        <f>IF(OR(tblMovement[[#This Row],[Tonnes_t]]="",tblMovement[[#This Row],[Grade_gpt]]=""),0,tblMovement[[#This Row],[Tonnes_t]]*tblMovement[[#This Row],[Grade_gpt]]/cfg_TroyOz)</f>
        <v/>
      </c>
      <c r="O1221" s="59">
        <f>IF(tblMovement[[#This Row],[Is_Ore]]=1,tblMovement[[#This Row],[Contained_oz]],0)</f>
        <v/>
      </c>
    </row>
    <row r="1222">
      <c r="A1222" s="54" t="n"/>
      <c r="B1222" s="61" t="n"/>
      <c r="C1222" s="61" t="n"/>
      <c r="D1222" s="61" t="n"/>
      <c r="E1222" s="61" t="n"/>
      <c r="F1222" s="55" t="n"/>
      <c r="G1222" s="56" t="n"/>
      <c r="H1222" s="55" t="n"/>
      <c r="I1222" s="62" t="n"/>
      <c r="J1222" s="58" t="n"/>
      <c r="K1222" s="63">
        <f>IF(tblMovement[[#This Row],[Source]]="","",IFERROR(INDEX(tblSources[Type],MATCH(tblMovement[[#This Row],[Source]],tblSources[Source],0)),"?"))</f>
        <v/>
      </c>
      <c r="L1222" s="63">
        <f>IF(tblMovement[[#This Row],[Destination]]="","",IFERROR(INDEX(tblDestinations[Type],MATCH(tblMovement[[#This Row],[Destination]],tblDestinations[Destination],0)),"?"))</f>
        <v/>
      </c>
      <c r="M1222" s="64">
        <f>IF(tblMovement[[#This Row],[Material]]="","",IF(LEFT(tblMovement[[#This Row],[Material]],3)="Ore",1,0))</f>
        <v/>
      </c>
      <c r="N1222" s="59">
        <f>IF(OR(tblMovement[[#This Row],[Tonnes_t]]="",tblMovement[[#This Row],[Grade_gpt]]=""),0,tblMovement[[#This Row],[Tonnes_t]]*tblMovement[[#This Row],[Grade_gpt]]/cfg_TroyOz)</f>
        <v/>
      </c>
      <c r="O1222" s="59">
        <f>IF(tblMovement[[#This Row],[Is_Ore]]=1,tblMovement[[#This Row],[Contained_oz]],0)</f>
        <v/>
      </c>
    </row>
    <row r="1223">
      <c r="A1223" s="54" t="n"/>
      <c r="B1223" s="61" t="n"/>
      <c r="C1223" s="61" t="n"/>
      <c r="D1223" s="61" t="n"/>
      <c r="E1223" s="61" t="n"/>
      <c r="F1223" s="55" t="n"/>
      <c r="G1223" s="56" t="n"/>
      <c r="H1223" s="55" t="n"/>
      <c r="I1223" s="62" t="n"/>
      <c r="J1223" s="58" t="n"/>
      <c r="K1223" s="63">
        <f>IF(tblMovement[[#This Row],[Source]]="","",IFERROR(INDEX(tblSources[Type],MATCH(tblMovement[[#This Row],[Source]],tblSources[Source],0)),"?"))</f>
        <v/>
      </c>
      <c r="L1223" s="63">
        <f>IF(tblMovement[[#This Row],[Destination]]="","",IFERROR(INDEX(tblDestinations[Type],MATCH(tblMovement[[#This Row],[Destination]],tblDestinations[Destination],0)),"?"))</f>
        <v/>
      </c>
      <c r="M1223" s="64">
        <f>IF(tblMovement[[#This Row],[Material]]="","",IF(LEFT(tblMovement[[#This Row],[Material]],3)="Ore",1,0))</f>
        <v/>
      </c>
      <c r="N1223" s="59">
        <f>IF(OR(tblMovement[[#This Row],[Tonnes_t]]="",tblMovement[[#This Row],[Grade_gpt]]=""),0,tblMovement[[#This Row],[Tonnes_t]]*tblMovement[[#This Row],[Grade_gpt]]/cfg_TroyOz)</f>
        <v/>
      </c>
      <c r="O1223" s="59">
        <f>IF(tblMovement[[#This Row],[Is_Ore]]=1,tblMovement[[#This Row],[Contained_oz]],0)</f>
        <v/>
      </c>
    </row>
    <row r="1224">
      <c r="A1224" s="54" t="n"/>
      <c r="B1224" s="61" t="n"/>
      <c r="C1224" s="61" t="n"/>
      <c r="D1224" s="61" t="n"/>
      <c r="E1224" s="61" t="n"/>
      <c r="F1224" s="55" t="n"/>
      <c r="G1224" s="56" t="n"/>
      <c r="H1224" s="55" t="n"/>
      <c r="I1224" s="62" t="n"/>
      <c r="J1224" s="58" t="n"/>
      <c r="K1224" s="63">
        <f>IF(tblMovement[[#This Row],[Source]]="","",IFERROR(INDEX(tblSources[Type],MATCH(tblMovement[[#This Row],[Source]],tblSources[Source],0)),"?"))</f>
        <v/>
      </c>
      <c r="L1224" s="63">
        <f>IF(tblMovement[[#This Row],[Destination]]="","",IFERROR(INDEX(tblDestinations[Type],MATCH(tblMovement[[#This Row],[Destination]],tblDestinations[Destination],0)),"?"))</f>
        <v/>
      </c>
      <c r="M1224" s="64">
        <f>IF(tblMovement[[#This Row],[Material]]="","",IF(LEFT(tblMovement[[#This Row],[Material]],3)="Ore",1,0))</f>
        <v/>
      </c>
      <c r="N1224" s="59">
        <f>IF(OR(tblMovement[[#This Row],[Tonnes_t]]="",tblMovement[[#This Row],[Grade_gpt]]=""),0,tblMovement[[#This Row],[Tonnes_t]]*tblMovement[[#This Row],[Grade_gpt]]/cfg_TroyOz)</f>
        <v/>
      </c>
      <c r="O1224" s="59">
        <f>IF(tblMovement[[#This Row],[Is_Ore]]=1,tblMovement[[#This Row],[Contained_oz]],0)</f>
        <v/>
      </c>
    </row>
    <row r="1225">
      <c r="A1225" s="54" t="n"/>
      <c r="B1225" s="61" t="n"/>
      <c r="C1225" s="61" t="n"/>
      <c r="D1225" s="61" t="n"/>
      <c r="E1225" s="61" t="n"/>
      <c r="F1225" s="55" t="n"/>
      <c r="G1225" s="56" t="n"/>
      <c r="H1225" s="55" t="n"/>
      <c r="I1225" s="62" t="n"/>
      <c r="J1225" s="58" t="n"/>
      <c r="K1225" s="63">
        <f>IF(tblMovement[[#This Row],[Source]]="","",IFERROR(INDEX(tblSources[Type],MATCH(tblMovement[[#This Row],[Source]],tblSources[Source],0)),"?"))</f>
        <v/>
      </c>
      <c r="L1225" s="63">
        <f>IF(tblMovement[[#This Row],[Destination]]="","",IFERROR(INDEX(tblDestinations[Type],MATCH(tblMovement[[#This Row],[Destination]],tblDestinations[Destination],0)),"?"))</f>
        <v/>
      </c>
      <c r="M1225" s="64">
        <f>IF(tblMovement[[#This Row],[Material]]="","",IF(LEFT(tblMovement[[#This Row],[Material]],3)="Ore",1,0))</f>
        <v/>
      </c>
      <c r="N1225" s="59">
        <f>IF(OR(tblMovement[[#This Row],[Tonnes_t]]="",tblMovement[[#This Row],[Grade_gpt]]=""),0,tblMovement[[#This Row],[Tonnes_t]]*tblMovement[[#This Row],[Grade_gpt]]/cfg_TroyOz)</f>
        <v/>
      </c>
      <c r="O1225" s="59">
        <f>IF(tblMovement[[#This Row],[Is_Ore]]=1,tblMovement[[#This Row],[Contained_oz]],0)</f>
        <v/>
      </c>
    </row>
    <row r="1226">
      <c r="A1226" s="54" t="n"/>
      <c r="B1226" s="61" t="n"/>
      <c r="C1226" s="61" t="n"/>
      <c r="D1226" s="61" t="n"/>
      <c r="E1226" s="61" t="n"/>
      <c r="F1226" s="55" t="n"/>
      <c r="G1226" s="56" t="n"/>
      <c r="H1226" s="55" t="n"/>
      <c r="I1226" s="62" t="n"/>
      <c r="J1226" s="58" t="n"/>
      <c r="K1226" s="63">
        <f>IF(tblMovement[[#This Row],[Source]]="","",IFERROR(INDEX(tblSources[Type],MATCH(tblMovement[[#This Row],[Source]],tblSources[Source],0)),"?"))</f>
        <v/>
      </c>
      <c r="L1226" s="63">
        <f>IF(tblMovement[[#This Row],[Destination]]="","",IFERROR(INDEX(tblDestinations[Type],MATCH(tblMovement[[#This Row],[Destination]],tblDestinations[Destination],0)),"?"))</f>
        <v/>
      </c>
      <c r="M1226" s="64">
        <f>IF(tblMovement[[#This Row],[Material]]="","",IF(LEFT(tblMovement[[#This Row],[Material]],3)="Ore",1,0))</f>
        <v/>
      </c>
      <c r="N1226" s="59">
        <f>IF(OR(tblMovement[[#This Row],[Tonnes_t]]="",tblMovement[[#This Row],[Grade_gpt]]=""),0,tblMovement[[#This Row],[Tonnes_t]]*tblMovement[[#This Row],[Grade_gpt]]/cfg_TroyOz)</f>
        <v/>
      </c>
      <c r="O1226" s="59">
        <f>IF(tblMovement[[#This Row],[Is_Ore]]=1,tblMovement[[#This Row],[Contained_oz]],0)</f>
        <v/>
      </c>
    </row>
    <row r="1227">
      <c r="A1227" s="54" t="n"/>
      <c r="B1227" s="61" t="n"/>
      <c r="C1227" s="61" t="n"/>
      <c r="D1227" s="61" t="n"/>
      <c r="E1227" s="61" t="n"/>
      <c r="F1227" s="55" t="n"/>
      <c r="G1227" s="56" t="n"/>
      <c r="H1227" s="55" t="n"/>
      <c r="I1227" s="62" t="n"/>
      <c r="J1227" s="58" t="n"/>
      <c r="K1227" s="63">
        <f>IF(tblMovement[[#This Row],[Source]]="","",IFERROR(INDEX(tblSources[Type],MATCH(tblMovement[[#This Row],[Source]],tblSources[Source],0)),"?"))</f>
        <v/>
      </c>
      <c r="L1227" s="63">
        <f>IF(tblMovement[[#This Row],[Destination]]="","",IFERROR(INDEX(tblDestinations[Type],MATCH(tblMovement[[#This Row],[Destination]],tblDestinations[Destination],0)),"?"))</f>
        <v/>
      </c>
      <c r="M1227" s="64">
        <f>IF(tblMovement[[#This Row],[Material]]="","",IF(LEFT(tblMovement[[#This Row],[Material]],3)="Ore",1,0))</f>
        <v/>
      </c>
      <c r="N1227" s="59">
        <f>IF(OR(tblMovement[[#This Row],[Tonnes_t]]="",tblMovement[[#This Row],[Grade_gpt]]=""),0,tblMovement[[#This Row],[Tonnes_t]]*tblMovement[[#This Row],[Grade_gpt]]/cfg_TroyOz)</f>
        <v/>
      </c>
      <c r="O1227" s="59">
        <f>IF(tblMovement[[#This Row],[Is_Ore]]=1,tblMovement[[#This Row],[Contained_oz]],0)</f>
        <v/>
      </c>
    </row>
    <row r="1228">
      <c r="A1228" s="54" t="n"/>
      <c r="B1228" s="61" t="n"/>
      <c r="C1228" s="61" t="n"/>
      <c r="D1228" s="61" t="n"/>
      <c r="E1228" s="61" t="n"/>
      <c r="F1228" s="55" t="n"/>
      <c r="G1228" s="56" t="n"/>
      <c r="H1228" s="55" t="n"/>
      <c r="I1228" s="62" t="n"/>
      <c r="J1228" s="58" t="n"/>
      <c r="K1228" s="63">
        <f>IF(tblMovement[[#This Row],[Source]]="","",IFERROR(INDEX(tblSources[Type],MATCH(tblMovement[[#This Row],[Source]],tblSources[Source],0)),"?"))</f>
        <v/>
      </c>
      <c r="L1228" s="63">
        <f>IF(tblMovement[[#This Row],[Destination]]="","",IFERROR(INDEX(tblDestinations[Type],MATCH(tblMovement[[#This Row],[Destination]],tblDestinations[Destination],0)),"?"))</f>
        <v/>
      </c>
      <c r="M1228" s="64">
        <f>IF(tblMovement[[#This Row],[Material]]="","",IF(LEFT(tblMovement[[#This Row],[Material]],3)="Ore",1,0))</f>
        <v/>
      </c>
      <c r="N1228" s="59">
        <f>IF(OR(tblMovement[[#This Row],[Tonnes_t]]="",tblMovement[[#This Row],[Grade_gpt]]=""),0,tblMovement[[#This Row],[Tonnes_t]]*tblMovement[[#This Row],[Grade_gpt]]/cfg_TroyOz)</f>
        <v/>
      </c>
      <c r="O1228" s="59">
        <f>IF(tblMovement[[#This Row],[Is_Ore]]=1,tblMovement[[#This Row],[Contained_oz]],0)</f>
        <v/>
      </c>
    </row>
    <row r="1229">
      <c r="A1229" s="54" t="n"/>
      <c r="B1229" s="61" t="n"/>
      <c r="C1229" s="61" t="n"/>
      <c r="D1229" s="61" t="n"/>
      <c r="E1229" s="61" t="n"/>
      <c r="F1229" s="55" t="n"/>
      <c r="G1229" s="56" t="n"/>
      <c r="H1229" s="55" t="n"/>
      <c r="I1229" s="62" t="n"/>
      <c r="J1229" s="58" t="n"/>
      <c r="K1229" s="63">
        <f>IF(tblMovement[[#This Row],[Source]]="","",IFERROR(INDEX(tblSources[Type],MATCH(tblMovement[[#This Row],[Source]],tblSources[Source],0)),"?"))</f>
        <v/>
      </c>
      <c r="L1229" s="63">
        <f>IF(tblMovement[[#This Row],[Destination]]="","",IFERROR(INDEX(tblDestinations[Type],MATCH(tblMovement[[#This Row],[Destination]],tblDestinations[Destination],0)),"?"))</f>
        <v/>
      </c>
      <c r="M1229" s="64">
        <f>IF(tblMovement[[#This Row],[Material]]="","",IF(LEFT(tblMovement[[#This Row],[Material]],3)="Ore",1,0))</f>
        <v/>
      </c>
      <c r="N1229" s="59">
        <f>IF(OR(tblMovement[[#This Row],[Tonnes_t]]="",tblMovement[[#This Row],[Grade_gpt]]=""),0,tblMovement[[#This Row],[Tonnes_t]]*tblMovement[[#This Row],[Grade_gpt]]/cfg_TroyOz)</f>
        <v/>
      </c>
      <c r="O1229" s="59">
        <f>IF(tblMovement[[#This Row],[Is_Ore]]=1,tblMovement[[#This Row],[Contained_oz]],0)</f>
        <v/>
      </c>
    </row>
    <row r="1230">
      <c r="A1230" s="54" t="n"/>
      <c r="B1230" s="61" t="n"/>
      <c r="C1230" s="61" t="n"/>
      <c r="D1230" s="61" t="n"/>
      <c r="E1230" s="61" t="n"/>
      <c r="F1230" s="55" t="n"/>
      <c r="G1230" s="56" t="n"/>
      <c r="H1230" s="55" t="n"/>
      <c r="I1230" s="62" t="n"/>
      <c r="J1230" s="58" t="n"/>
      <c r="K1230" s="63">
        <f>IF(tblMovement[[#This Row],[Source]]="","",IFERROR(INDEX(tblSources[Type],MATCH(tblMovement[[#This Row],[Source]],tblSources[Source],0)),"?"))</f>
        <v/>
      </c>
      <c r="L1230" s="63">
        <f>IF(tblMovement[[#This Row],[Destination]]="","",IFERROR(INDEX(tblDestinations[Type],MATCH(tblMovement[[#This Row],[Destination]],tblDestinations[Destination],0)),"?"))</f>
        <v/>
      </c>
      <c r="M1230" s="64">
        <f>IF(tblMovement[[#This Row],[Material]]="","",IF(LEFT(tblMovement[[#This Row],[Material]],3)="Ore",1,0))</f>
        <v/>
      </c>
      <c r="N1230" s="59">
        <f>IF(OR(tblMovement[[#This Row],[Tonnes_t]]="",tblMovement[[#This Row],[Grade_gpt]]=""),0,tblMovement[[#This Row],[Tonnes_t]]*tblMovement[[#This Row],[Grade_gpt]]/cfg_TroyOz)</f>
        <v/>
      </c>
      <c r="O1230" s="59">
        <f>IF(tblMovement[[#This Row],[Is_Ore]]=1,tblMovement[[#This Row],[Contained_oz]],0)</f>
        <v/>
      </c>
    </row>
    <row r="1231">
      <c r="A1231" s="54" t="n"/>
      <c r="B1231" s="61" t="n"/>
      <c r="C1231" s="61" t="n"/>
      <c r="D1231" s="61" t="n"/>
      <c r="E1231" s="61" t="n"/>
      <c r="F1231" s="55" t="n"/>
      <c r="G1231" s="56" t="n"/>
      <c r="H1231" s="55" t="n"/>
      <c r="I1231" s="62" t="n"/>
      <c r="J1231" s="58" t="n"/>
      <c r="K1231" s="63">
        <f>IF(tblMovement[[#This Row],[Source]]="","",IFERROR(INDEX(tblSources[Type],MATCH(tblMovement[[#This Row],[Source]],tblSources[Source],0)),"?"))</f>
        <v/>
      </c>
      <c r="L1231" s="63">
        <f>IF(tblMovement[[#This Row],[Destination]]="","",IFERROR(INDEX(tblDestinations[Type],MATCH(tblMovement[[#This Row],[Destination]],tblDestinations[Destination],0)),"?"))</f>
        <v/>
      </c>
      <c r="M1231" s="64">
        <f>IF(tblMovement[[#This Row],[Material]]="","",IF(LEFT(tblMovement[[#This Row],[Material]],3)="Ore",1,0))</f>
        <v/>
      </c>
      <c r="N1231" s="59">
        <f>IF(OR(tblMovement[[#This Row],[Tonnes_t]]="",tblMovement[[#This Row],[Grade_gpt]]=""),0,tblMovement[[#This Row],[Tonnes_t]]*tblMovement[[#This Row],[Grade_gpt]]/cfg_TroyOz)</f>
        <v/>
      </c>
      <c r="O1231" s="59">
        <f>IF(tblMovement[[#This Row],[Is_Ore]]=1,tblMovement[[#This Row],[Contained_oz]],0)</f>
        <v/>
      </c>
    </row>
    <row r="1232">
      <c r="A1232" s="54" t="n"/>
      <c r="B1232" s="61" t="n"/>
      <c r="C1232" s="61" t="n"/>
      <c r="D1232" s="61" t="n"/>
      <c r="E1232" s="61" t="n"/>
      <c r="F1232" s="55" t="n"/>
      <c r="G1232" s="56" t="n"/>
      <c r="H1232" s="55" t="n"/>
      <c r="I1232" s="62" t="n"/>
      <c r="J1232" s="58" t="n"/>
      <c r="K1232" s="63">
        <f>IF(tblMovement[[#This Row],[Source]]="","",IFERROR(INDEX(tblSources[Type],MATCH(tblMovement[[#This Row],[Source]],tblSources[Source],0)),"?"))</f>
        <v/>
      </c>
      <c r="L1232" s="63">
        <f>IF(tblMovement[[#This Row],[Destination]]="","",IFERROR(INDEX(tblDestinations[Type],MATCH(tblMovement[[#This Row],[Destination]],tblDestinations[Destination],0)),"?"))</f>
        <v/>
      </c>
      <c r="M1232" s="64">
        <f>IF(tblMovement[[#This Row],[Material]]="","",IF(LEFT(tblMovement[[#This Row],[Material]],3)="Ore",1,0))</f>
        <v/>
      </c>
      <c r="N1232" s="59">
        <f>IF(OR(tblMovement[[#This Row],[Tonnes_t]]="",tblMovement[[#This Row],[Grade_gpt]]=""),0,tblMovement[[#This Row],[Tonnes_t]]*tblMovement[[#This Row],[Grade_gpt]]/cfg_TroyOz)</f>
        <v/>
      </c>
      <c r="O1232" s="59">
        <f>IF(tblMovement[[#This Row],[Is_Ore]]=1,tblMovement[[#This Row],[Contained_oz]],0)</f>
        <v/>
      </c>
    </row>
    <row r="1233">
      <c r="A1233" s="54" t="n"/>
      <c r="B1233" s="61" t="n"/>
      <c r="C1233" s="61" t="n"/>
      <c r="D1233" s="61" t="n"/>
      <c r="E1233" s="61" t="n"/>
      <c r="F1233" s="55" t="n"/>
      <c r="G1233" s="56" t="n"/>
      <c r="H1233" s="55" t="n"/>
      <c r="I1233" s="62" t="n"/>
      <c r="J1233" s="58" t="n"/>
      <c r="K1233" s="63">
        <f>IF(tblMovement[[#This Row],[Source]]="","",IFERROR(INDEX(tblSources[Type],MATCH(tblMovement[[#This Row],[Source]],tblSources[Source],0)),"?"))</f>
        <v/>
      </c>
      <c r="L1233" s="63">
        <f>IF(tblMovement[[#This Row],[Destination]]="","",IFERROR(INDEX(tblDestinations[Type],MATCH(tblMovement[[#This Row],[Destination]],tblDestinations[Destination],0)),"?"))</f>
        <v/>
      </c>
      <c r="M1233" s="64">
        <f>IF(tblMovement[[#This Row],[Material]]="","",IF(LEFT(tblMovement[[#This Row],[Material]],3)="Ore",1,0))</f>
        <v/>
      </c>
      <c r="N1233" s="59">
        <f>IF(OR(tblMovement[[#This Row],[Tonnes_t]]="",tblMovement[[#This Row],[Grade_gpt]]=""),0,tblMovement[[#This Row],[Tonnes_t]]*tblMovement[[#This Row],[Grade_gpt]]/cfg_TroyOz)</f>
        <v/>
      </c>
      <c r="O1233" s="59">
        <f>IF(tblMovement[[#This Row],[Is_Ore]]=1,tblMovement[[#This Row],[Contained_oz]],0)</f>
        <v/>
      </c>
    </row>
    <row r="1234">
      <c r="A1234" s="54" t="n"/>
      <c r="B1234" s="61" t="n"/>
      <c r="C1234" s="61" t="n"/>
      <c r="D1234" s="61" t="n"/>
      <c r="E1234" s="61" t="n"/>
      <c r="F1234" s="55" t="n"/>
      <c r="G1234" s="56" t="n"/>
      <c r="H1234" s="55" t="n"/>
      <c r="I1234" s="62" t="n"/>
      <c r="J1234" s="58" t="n"/>
      <c r="K1234" s="63">
        <f>IF(tblMovement[[#This Row],[Source]]="","",IFERROR(INDEX(tblSources[Type],MATCH(tblMovement[[#This Row],[Source]],tblSources[Source],0)),"?"))</f>
        <v/>
      </c>
      <c r="L1234" s="63">
        <f>IF(tblMovement[[#This Row],[Destination]]="","",IFERROR(INDEX(tblDestinations[Type],MATCH(tblMovement[[#This Row],[Destination]],tblDestinations[Destination],0)),"?"))</f>
        <v/>
      </c>
      <c r="M1234" s="64">
        <f>IF(tblMovement[[#This Row],[Material]]="","",IF(LEFT(tblMovement[[#This Row],[Material]],3)="Ore",1,0))</f>
        <v/>
      </c>
      <c r="N1234" s="59">
        <f>IF(OR(tblMovement[[#This Row],[Tonnes_t]]="",tblMovement[[#This Row],[Grade_gpt]]=""),0,tblMovement[[#This Row],[Tonnes_t]]*tblMovement[[#This Row],[Grade_gpt]]/cfg_TroyOz)</f>
        <v/>
      </c>
      <c r="O1234" s="59">
        <f>IF(tblMovement[[#This Row],[Is_Ore]]=1,tblMovement[[#This Row],[Contained_oz]],0)</f>
        <v/>
      </c>
    </row>
    <row r="1235">
      <c r="A1235" s="54" t="n"/>
      <c r="B1235" s="61" t="n"/>
      <c r="C1235" s="61" t="n"/>
      <c r="D1235" s="61" t="n"/>
      <c r="E1235" s="61" t="n"/>
      <c r="F1235" s="55" t="n"/>
      <c r="G1235" s="56" t="n"/>
      <c r="H1235" s="55" t="n"/>
      <c r="I1235" s="62" t="n"/>
      <c r="J1235" s="58" t="n"/>
      <c r="K1235" s="63">
        <f>IF(tblMovement[[#This Row],[Source]]="","",IFERROR(INDEX(tblSources[Type],MATCH(tblMovement[[#This Row],[Source]],tblSources[Source],0)),"?"))</f>
        <v/>
      </c>
      <c r="L1235" s="63">
        <f>IF(tblMovement[[#This Row],[Destination]]="","",IFERROR(INDEX(tblDestinations[Type],MATCH(tblMovement[[#This Row],[Destination]],tblDestinations[Destination],0)),"?"))</f>
        <v/>
      </c>
      <c r="M1235" s="64">
        <f>IF(tblMovement[[#This Row],[Material]]="","",IF(LEFT(tblMovement[[#This Row],[Material]],3)="Ore",1,0))</f>
        <v/>
      </c>
      <c r="N1235" s="59">
        <f>IF(OR(tblMovement[[#This Row],[Tonnes_t]]="",tblMovement[[#This Row],[Grade_gpt]]=""),0,tblMovement[[#This Row],[Tonnes_t]]*tblMovement[[#This Row],[Grade_gpt]]/cfg_TroyOz)</f>
        <v/>
      </c>
      <c r="O1235" s="59">
        <f>IF(tblMovement[[#This Row],[Is_Ore]]=1,tblMovement[[#This Row],[Contained_oz]],0)</f>
        <v/>
      </c>
    </row>
    <row r="1236">
      <c r="A1236" s="54" t="n"/>
      <c r="B1236" s="61" t="n"/>
      <c r="C1236" s="61" t="n"/>
      <c r="D1236" s="61" t="n"/>
      <c r="E1236" s="61" t="n"/>
      <c r="F1236" s="55" t="n"/>
      <c r="G1236" s="56" t="n"/>
      <c r="H1236" s="55" t="n"/>
      <c r="I1236" s="62" t="n"/>
      <c r="J1236" s="58" t="n"/>
      <c r="K1236" s="63">
        <f>IF(tblMovement[[#This Row],[Source]]="","",IFERROR(INDEX(tblSources[Type],MATCH(tblMovement[[#This Row],[Source]],tblSources[Source],0)),"?"))</f>
        <v/>
      </c>
      <c r="L1236" s="63">
        <f>IF(tblMovement[[#This Row],[Destination]]="","",IFERROR(INDEX(tblDestinations[Type],MATCH(tblMovement[[#This Row],[Destination]],tblDestinations[Destination],0)),"?"))</f>
        <v/>
      </c>
      <c r="M1236" s="64">
        <f>IF(tblMovement[[#This Row],[Material]]="","",IF(LEFT(tblMovement[[#This Row],[Material]],3)="Ore",1,0))</f>
        <v/>
      </c>
      <c r="N1236" s="59">
        <f>IF(OR(tblMovement[[#This Row],[Tonnes_t]]="",tblMovement[[#This Row],[Grade_gpt]]=""),0,tblMovement[[#This Row],[Tonnes_t]]*tblMovement[[#This Row],[Grade_gpt]]/cfg_TroyOz)</f>
        <v/>
      </c>
      <c r="O1236" s="59">
        <f>IF(tblMovement[[#This Row],[Is_Ore]]=1,tblMovement[[#This Row],[Contained_oz]],0)</f>
        <v/>
      </c>
    </row>
    <row r="1237">
      <c r="A1237" s="54" t="n"/>
      <c r="B1237" s="61" t="n"/>
      <c r="C1237" s="61" t="n"/>
      <c r="D1237" s="61" t="n"/>
      <c r="E1237" s="61" t="n"/>
      <c r="F1237" s="55" t="n"/>
      <c r="G1237" s="56" t="n"/>
      <c r="H1237" s="55" t="n"/>
      <c r="I1237" s="62" t="n"/>
      <c r="J1237" s="58" t="n"/>
      <c r="K1237" s="63">
        <f>IF(tblMovement[[#This Row],[Source]]="","",IFERROR(INDEX(tblSources[Type],MATCH(tblMovement[[#This Row],[Source]],tblSources[Source],0)),"?"))</f>
        <v/>
      </c>
      <c r="L1237" s="63">
        <f>IF(tblMovement[[#This Row],[Destination]]="","",IFERROR(INDEX(tblDestinations[Type],MATCH(tblMovement[[#This Row],[Destination]],tblDestinations[Destination],0)),"?"))</f>
        <v/>
      </c>
      <c r="M1237" s="64">
        <f>IF(tblMovement[[#This Row],[Material]]="","",IF(LEFT(tblMovement[[#This Row],[Material]],3)="Ore",1,0))</f>
        <v/>
      </c>
      <c r="N1237" s="59">
        <f>IF(OR(tblMovement[[#This Row],[Tonnes_t]]="",tblMovement[[#This Row],[Grade_gpt]]=""),0,tblMovement[[#This Row],[Tonnes_t]]*tblMovement[[#This Row],[Grade_gpt]]/cfg_TroyOz)</f>
        <v/>
      </c>
      <c r="O1237" s="59">
        <f>IF(tblMovement[[#This Row],[Is_Ore]]=1,tblMovement[[#This Row],[Contained_oz]],0)</f>
        <v/>
      </c>
    </row>
    <row r="1238">
      <c r="A1238" s="54" t="n"/>
      <c r="B1238" s="61" t="n"/>
      <c r="C1238" s="61" t="n"/>
      <c r="D1238" s="61" t="n"/>
      <c r="E1238" s="61" t="n"/>
      <c r="F1238" s="55" t="n"/>
      <c r="G1238" s="56" t="n"/>
      <c r="H1238" s="55" t="n"/>
      <c r="I1238" s="62" t="n"/>
      <c r="J1238" s="58" t="n"/>
      <c r="K1238" s="63">
        <f>IF(tblMovement[[#This Row],[Source]]="","",IFERROR(INDEX(tblSources[Type],MATCH(tblMovement[[#This Row],[Source]],tblSources[Source],0)),"?"))</f>
        <v/>
      </c>
      <c r="L1238" s="63">
        <f>IF(tblMovement[[#This Row],[Destination]]="","",IFERROR(INDEX(tblDestinations[Type],MATCH(tblMovement[[#This Row],[Destination]],tblDestinations[Destination],0)),"?"))</f>
        <v/>
      </c>
      <c r="M1238" s="64">
        <f>IF(tblMovement[[#This Row],[Material]]="","",IF(LEFT(tblMovement[[#This Row],[Material]],3)="Ore",1,0))</f>
        <v/>
      </c>
      <c r="N1238" s="59">
        <f>IF(OR(tblMovement[[#This Row],[Tonnes_t]]="",tblMovement[[#This Row],[Grade_gpt]]=""),0,tblMovement[[#This Row],[Tonnes_t]]*tblMovement[[#This Row],[Grade_gpt]]/cfg_TroyOz)</f>
        <v/>
      </c>
      <c r="O1238" s="59">
        <f>IF(tblMovement[[#This Row],[Is_Ore]]=1,tblMovement[[#This Row],[Contained_oz]],0)</f>
        <v/>
      </c>
    </row>
    <row r="1239">
      <c r="A1239" s="54" t="n"/>
      <c r="B1239" s="61" t="n"/>
      <c r="C1239" s="61" t="n"/>
      <c r="D1239" s="61" t="n"/>
      <c r="E1239" s="61" t="n"/>
      <c r="F1239" s="55" t="n"/>
      <c r="G1239" s="56" t="n"/>
      <c r="H1239" s="55" t="n"/>
      <c r="I1239" s="62" t="n"/>
      <c r="J1239" s="58" t="n"/>
      <c r="K1239" s="63">
        <f>IF(tblMovement[[#This Row],[Source]]="","",IFERROR(INDEX(tblSources[Type],MATCH(tblMovement[[#This Row],[Source]],tblSources[Source],0)),"?"))</f>
        <v/>
      </c>
      <c r="L1239" s="63">
        <f>IF(tblMovement[[#This Row],[Destination]]="","",IFERROR(INDEX(tblDestinations[Type],MATCH(tblMovement[[#This Row],[Destination]],tblDestinations[Destination],0)),"?"))</f>
        <v/>
      </c>
      <c r="M1239" s="64">
        <f>IF(tblMovement[[#This Row],[Material]]="","",IF(LEFT(tblMovement[[#This Row],[Material]],3)="Ore",1,0))</f>
        <v/>
      </c>
      <c r="N1239" s="59">
        <f>IF(OR(tblMovement[[#This Row],[Tonnes_t]]="",tblMovement[[#This Row],[Grade_gpt]]=""),0,tblMovement[[#This Row],[Tonnes_t]]*tblMovement[[#This Row],[Grade_gpt]]/cfg_TroyOz)</f>
        <v/>
      </c>
      <c r="O1239" s="59">
        <f>IF(tblMovement[[#This Row],[Is_Ore]]=1,tblMovement[[#This Row],[Contained_oz]],0)</f>
        <v/>
      </c>
    </row>
    <row r="1240">
      <c r="A1240" s="54" t="n"/>
      <c r="B1240" s="61" t="n"/>
      <c r="C1240" s="61" t="n"/>
      <c r="D1240" s="61" t="n"/>
      <c r="E1240" s="61" t="n"/>
      <c r="F1240" s="55" t="n"/>
      <c r="G1240" s="56" t="n"/>
      <c r="H1240" s="55" t="n"/>
      <c r="I1240" s="62" t="n"/>
      <c r="J1240" s="58" t="n"/>
      <c r="K1240" s="63">
        <f>IF(tblMovement[[#This Row],[Source]]="","",IFERROR(INDEX(tblSources[Type],MATCH(tblMovement[[#This Row],[Source]],tblSources[Source],0)),"?"))</f>
        <v/>
      </c>
      <c r="L1240" s="63">
        <f>IF(tblMovement[[#This Row],[Destination]]="","",IFERROR(INDEX(tblDestinations[Type],MATCH(tblMovement[[#This Row],[Destination]],tblDestinations[Destination],0)),"?"))</f>
        <v/>
      </c>
      <c r="M1240" s="64">
        <f>IF(tblMovement[[#This Row],[Material]]="","",IF(LEFT(tblMovement[[#This Row],[Material]],3)="Ore",1,0))</f>
        <v/>
      </c>
      <c r="N1240" s="59">
        <f>IF(OR(tblMovement[[#This Row],[Tonnes_t]]="",tblMovement[[#This Row],[Grade_gpt]]=""),0,tblMovement[[#This Row],[Tonnes_t]]*tblMovement[[#This Row],[Grade_gpt]]/cfg_TroyOz)</f>
        <v/>
      </c>
      <c r="O1240" s="59">
        <f>IF(tblMovement[[#This Row],[Is_Ore]]=1,tblMovement[[#This Row],[Contained_oz]],0)</f>
        <v/>
      </c>
    </row>
    <row r="1241">
      <c r="A1241" s="54" t="n"/>
      <c r="B1241" s="61" t="n"/>
      <c r="C1241" s="61" t="n"/>
      <c r="D1241" s="61" t="n"/>
      <c r="E1241" s="61" t="n"/>
      <c r="F1241" s="55" t="n"/>
      <c r="G1241" s="56" t="n"/>
      <c r="H1241" s="55" t="n"/>
      <c r="I1241" s="62" t="n"/>
      <c r="J1241" s="58" t="n"/>
      <c r="K1241" s="63">
        <f>IF(tblMovement[[#This Row],[Source]]="","",IFERROR(INDEX(tblSources[Type],MATCH(tblMovement[[#This Row],[Source]],tblSources[Source],0)),"?"))</f>
        <v/>
      </c>
      <c r="L1241" s="63">
        <f>IF(tblMovement[[#This Row],[Destination]]="","",IFERROR(INDEX(tblDestinations[Type],MATCH(tblMovement[[#This Row],[Destination]],tblDestinations[Destination],0)),"?"))</f>
        <v/>
      </c>
      <c r="M1241" s="64">
        <f>IF(tblMovement[[#This Row],[Material]]="","",IF(LEFT(tblMovement[[#This Row],[Material]],3)="Ore",1,0))</f>
        <v/>
      </c>
      <c r="N1241" s="59">
        <f>IF(OR(tblMovement[[#This Row],[Tonnes_t]]="",tblMovement[[#This Row],[Grade_gpt]]=""),0,tblMovement[[#This Row],[Tonnes_t]]*tblMovement[[#This Row],[Grade_gpt]]/cfg_TroyOz)</f>
        <v/>
      </c>
      <c r="O1241" s="59">
        <f>IF(tblMovement[[#This Row],[Is_Ore]]=1,tblMovement[[#This Row],[Contained_oz]],0)</f>
        <v/>
      </c>
    </row>
    <row r="1242">
      <c r="A1242" s="54" t="n"/>
      <c r="B1242" s="61" t="n"/>
      <c r="C1242" s="61" t="n"/>
      <c r="D1242" s="61" t="n"/>
      <c r="E1242" s="61" t="n"/>
      <c r="F1242" s="55" t="n"/>
      <c r="G1242" s="56" t="n"/>
      <c r="H1242" s="55" t="n"/>
      <c r="I1242" s="62" t="n"/>
      <c r="J1242" s="58" t="n"/>
      <c r="K1242" s="63">
        <f>IF(tblMovement[[#This Row],[Source]]="","",IFERROR(INDEX(tblSources[Type],MATCH(tblMovement[[#This Row],[Source]],tblSources[Source],0)),"?"))</f>
        <v/>
      </c>
      <c r="L1242" s="63">
        <f>IF(tblMovement[[#This Row],[Destination]]="","",IFERROR(INDEX(tblDestinations[Type],MATCH(tblMovement[[#This Row],[Destination]],tblDestinations[Destination],0)),"?"))</f>
        <v/>
      </c>
      <c r="M1242" s="64">
        <f>IF(tblMovement[[#This Row],[Material]]="","",IF(LEFT(tblMovement[[#This Row],[Material]],3)="Ore",1,0))</f>
        <v/>
      </c>
      <c r="N1242" s="59">
        <f>IF(OR(tblMovement[[#This Row],[Tonnes_t]]="",tblMovement[[#This Row],[Grade_gpt]]=""),0,tblMovement[[#This Row],[Tonnes_t]]*tblMovement[[#This Row],[Grade_gpt]]/cfg_TroyOz)</f>
        <v/>
      </c>
      <c r="O1242" s="59">
        <f>IF(tblMovement[[#This Row],[Is_Ore]]=1,tblMovement[[#This Row],[Contained_oz]],0)</f>
        <v/>
      </c>
    </row>
    <row r="1243">
      <c r="A1243" s="54" t="n"/>
      <c r="B1243" s="61" t="n"/>
      <c r="C1243" s="61" t="n"/>
      <c r="D1243" s="61" t="n"/>
      <c r="E1243" s="61" t="n"/>
      <c r="F1243" s="55" t="n"/>
      <c r="G1243" s="56" t="n"/>
      <c r="H1243" s="55" t="n"/>
      <c r="I1243" s="62" t="n"/>
      <c r="J1243" s="58" t="n"/>
      <c r="K1243" s="63">
        <f>IF(tblMovement[[#This Row],[Source]]="","",IFERROR(INDEX(tblSources[Type],MATCH(tblMovement[[#This Row],[Source]],tblSources[Source],0)),"?"))</f>
        <v/>
      </c>
      <c r="L1243" s="63">
        <f>IF(tblMovement[[#This Row],[Destination]]="","",IFERROR(INDEX(tblDestinations[Type],MATCH(tblMovement[[#This Row],[Destination]],tblDestinations[Destination],0)),"?"))</f>
        <v/>
      </c>
      <c r="M1243" s="64">
        <f>IF(tblMovement[[#This Row],[Material]]="","",IF(LEFT(tblMovement[[#This Row],[Material]],3)="Ore",1,0))</f>
        <v/>
      </c>
      <c r="N1243" s="59">
        <f>IF(OR(tblMovement[[#This Row],[Tonnes_t]]="",tblMovement[[#This Row],[Grade_gpt]]=""),0,tblMovement[[#This Row],[Tonnes_t]]*tblMovement[[#This Row],[Grade_gpt]]/cfg_TroyOz)</f>
        <v/>
      </c>
      <c r="O1243" s="59">
        <f>IF(tblMovement[[#This Row],[Is_Ore]]=1,tblMovement[[#This Row],[Contained_oz]],0)</f>
        <v/>
      </c>
    </row>
    <row r="1244">
      <c r="A1244" s="54" t="n"/>
      <c r="B1244" s="61" t="n"/>
      <c r="C1244" s="61" t="n"/>
      <c r="D1244" s="61" t="n"/>
      <c r="E1244" s="61" t="n"/>
      <c r="F1244" s="55" t="n"/>
      <c r="G1244" s="56" t="n"/>
      <c r="H1244" s="55" t="n"/>
      <c r="I1244" s="62" t="n"/>
      <c r="J1244" s="58" t="n"/>
      <c r="K1244" s="63">
        <f>IF(tblMovement[[#This Row],[Source]]="","",IFERROR(INDEX(tblSources[Type],MATCH(tblMovement[[#This Row],[Source]],tblSources[Source],0)),"?"))</f>
        <v/>
      </c>
      <c r="L1244" s="63">
        <f>IF(tblMovement[[#This Row],[Destination]]="","",IFERROR(INDEX(tblDestinations[Type],MATCH(tblMovement[[#This Row],[Destination]],tblDestinations[Destination],0)),"?"))</f>
        <v/>
      </c>
      <c r="M1244" s="64">
        <f>IF(tblMovement[[#This Row],[Material]]="","",IF(LEFT(tblMovement[[#This Row],[Material]],3)="Ore",1,0))</f>
        <v/>
      </c>
      <c r="N1244" s="59">
        <f>IF(OR(tblMovement[[#This Row],[Tonnes_t]]="",tblMovement[[#This Row],[Grade_gpt]]=""),0,tblMovement[[#This Row],[Tonnes_t]]*tblMovement[[#This Row],[Grade_gpt]]/cfg_TroyOz)</f>
        <v/>
      </c>
      <c r="O1244" s="59">
        <f>IF(tblMovement[[#This Row],[Is_Ore]]=1,tblMovement[[#This Row],[Contained_oz]],0)</f>
        <v/>
      </c>
    </row>
    <row r="1245">
      <c r="A1245" s="54" t="n"/>
      <c r="B1245" s="61" t="n"/>
      <c r="C1245" s="61" t="n"/>
      <c r="D1245" s="61" t="n"/>
      <c r="E1245" s="61" t="n"/>
      <c r="F1245" s="55" t="n"/>
      <c r="G1245" s="56" t="n"/>
      <c r="H1245" s="55" t="n"/>
      <c r="I1245" s="62" t="n"/>
      <c r="J1245" s="58" t="n"/>
      <c r="K1245" s="63">
        <f>IF(tblMovement[[#This Row],[Source]]="","",IFERROR(INDEX(tblSources[Type],MATCH(tblMovement[[#This Row],[Source]],tblSources[Source],0)),"?"))</f>
        <v/>
      </c>
      <c r="L1245" s="63">
        <f>IF(tblMovement[[#This Row],[Destination]]="","",IFERROR(INDEX(tblDestinations[Type],MATCH(tblMovement[[#This Row],[Destination]],tblDestinations[Destination],0)),"?"))</f>
        <v/>
      </c>
      <c r="M1245" s="64">
        <f>IF(tblMovement[[#This Row],[Material]]="","",IF(LEFT(tblMovement[[#This Row],[Material]],3)="Ore",1,0))</f>
        <v/>
      </c>
      <c r="N1245" s="59">
        <f>IF(OR(tblMovement[[#This Row],[Tonnes_t]]="",tblMovement[[#This Row],[Grade_gpt]]=""),0,tblMovement[[#This Row],[Tonnes_t]]*tblMovement[[#This Row],[Grade_gpt]]/cfg_TroyOz)</f>
        <v/>
      </c>
      <c r="O1245" s="59">
        <f>IF(tblMovement[[#This Row],[Is_Ore]]=1,tblMovement[[#This Row],[Contained_oz]],0)</f>
        <v/>
      </c>
    </row>
    <row r="1246">
      <c r="A1246" s="54" t="n"/>
      <c r="B1246" s="61" t="n"/>
      <c r="C1246" s="61" t="n"/>
      <c r="D1246" s="61" t="n"/>
      <c r="E1246" s="61" t="n"/>
      <c r="F1246" s="55" t="n"/>
      <c r="G1246" s="56" t="n"/>
      <c r="H1246" s="55" t="n"/>
      <c r="I1246" s="62" t="n"/>
      <c r="J1246" s="58" t="n"/>
      <c r="K1246" s="63">
        <f>IF(tblMovement[[#This Row],[Source]]="","",IFERROR(INDEX(tblSources[Type],MATCH(tblMovement[[#This Row],[Source]],tblSources[Source],0)),"?"))</f>
        <v/>
      </c>
      <c r="L1246" s="63">
        <f>IF(tblMovement[[#This Row],[Destination]]="","",IFERROR(INDEX(tblDestinations[Type],MATCH(tblMovement[[#This Row],[Destination]],tblDestinations[Destination],0)),"?"))</f>
        <v/>
      </c>
      <c r="M1246" s="64">
        <f>IF(tblMovement[[#This Row],[Material]]="","",IF(LEFT(tblMovement[[#This Row],[Material]],3)="Ore",1,0))</f>
        <v/>
      </c>
      <c r="N1246" s="59">
        <f>IF(OR(tblMovement[[#This Row],[Tonnes_t]]="",tblMovement[[#This Row],[Grade_gpt]]=""),0,tblMovement[[#This Row],[Tonnes_t]]*tblMovement[[#This Row],[Grade_gpt]]/cfg_TroyOz)</f>
        <v/>
      </c>
      <c r="O1246" s="59">
        <f>IF(tblMovement[[#This Row],[Is_Ore]]=1,tblMovement[[#This Row],[Contained_oz]],0)</f>
        <v/>
      </c>
    </row>
    <row r="1247">
      <c r="A1247" s="54" t="n"/>
      <c r="B1247" s="61" t="n"/>
      <c r="C1247" s="61" t="n"/>
      <c r="D1247" s="61" t="n"/>
      <c r="E1247" s="61" t="n"/>
      <c r="F1247" s="55" t="n"/>
      <c r="G1247" s="56" t="n"/>
      <c r="H1247" s="55" t="n"/>
      <c r="I1247" s="62" t="n"/>
      <c r="J1247" s="58" t="n"/>
      <c r="K1247" s="63">
        <f>IF(tblMovement[[#This Row],[Source]]="","",IFERROR(INDEX(tblSources[Type],MATCH(tblMovement[[#This Row],[Source]],tblSources[Source],0)),"?"))</f>
        <v/>
      </c>
      <c r="L1247" s="63">
        <f>IF(tblMovement[[#This Row],[Destination]]="","",IFERROR(INDEX(tblDestinations[Type],MATCH(tblMovement[[#This Row],[Destination]],tblDestinations[Destination],0)),"?"))</f>
        <v/>
      </c>
      <c r="M1247" s="64">
        <f>IF(tblMovement[[#This Row],[Material]]="","",IF(LEFT(tblMovement[[#This Row],[Material]],3)="Ore",1,0))</f>
        <v/>
      </c>
      <c r="N1247" s="59">
        <f>IF(OR(tblMovement[[#This Row],[Tonnes_t]]="",tblMovement[[#This Row],[Grade_gpt]]=""),0,tblMovement[[#This Row],[Tonnes_t]]*tblMovement[[#This Row],[Grade_gpt]]/cfg_TroyOz)</f>
        <v/>
      </c>
      <c r="O1247" s="59">
        <f>IF(tblMovement[[#This Row],[Is_Ore]]=1,tblMovement[[#This Row],[Contained_oz]],0)</f>
        <v/>
      </c>
    </row>
    <row r="1248">
      <c r="A1248" s="54" t="n"/>
      <c r="B1248" s="61" t="n"/>
      <c r="C1248" s="61" t="n"/>
      <c r="D1248" s="61" t="n"/>
      <c r="E1248" s="61" t="n"/>
      <c r="F1248" s="55" t="n"/>
      <c r="G1248" s="56" t="n"/>
      <c r="H1248" s="55" t="n"/>
      <c r="I1248" s="62" t="n"/>
      <c r="J1248" s="58" t="n"/>
      <c r="K1248" s="63">
        <f>IF(tblMovement[[#This Row],[Source]]="","",IFERROR(INDEX(tblSources[Type],MATCH(tblMovement[[#This Row],[Source]],tblSources[Source],0)),"?"))</f>
        <v/>
      </c>
      <c r="L1248" s="63">
        <f>IF(tblMovement[[#This Row],[Destination]]="","",IFERROR(INDEX(tblDestinations[Type],MATCH(tblMovement[[#This Row],[Destination]],tblDestinations[Destination],0)),"?"))</f>
        <v/>
      </c>
      <c r="M1248" s="64">
        <f>IF(tblMovement[[#This Row],[Material]]="","",IF(LEFT(tblMovement[[#This Row],[Material]],3)="Ore",1,0))</f>
        <v/>
      </c>
      <c r="N1248" s="59">
        <f>IF(OR(tblMovement[[#This Row],[Tonnes_t]]="",tblMovement[[#This Row],[Grade_gpt]]=""),0,tblMovement[[#This Row],[Tonnes_t]]*tblMovement[[#This Row],[Grade_gpt]]/cfg_TroyOz)</f>
        <v/>
      </c>
      <c r="O1248" s="59">
        <f>IF(tblMovement[[#This Row],[Is_Ore]]=1,tblMovement[[#This Row],[Contained_oz]],0)</f>
        <v/>
      </c>
    </row>
    <row r="1249">
      <c r="A1249" s="54" t="n"/>
      <c r="B1249" s="61" t="n"/>
      <c r="C1249" s="61" t="n"/>
      <c r="D1249" s="61" t="n"/>
      <c r="E1249" s="61" t="n"/>
      <c r="F1249" s="55" t="n"/>
      <c r="G1249" s="56" t="n"/>
      <c r="H1249" s="55" t="n"/>
      <c r="I1249" s="62" t="n"/>
      <c r="J1249" s="58" t="n"/>
      <c r="K1249" s="63">
        <f>IF(tblMovement[[#This Row],[Source]]="","",IFERROR(INDEX(tblSources[Type],MATCH(tblMovement[[#This Row],[Source]],tblSources[Source],0)),"?"))</f>
        <v/>
      </c>
      <c r="L1249" s="63">
        <f>IF(tblMovement[[#This Row],[Destination]]="","",IFERROR(INDEX(tblDestinations[Type],MATCH(tblMovement[[#This Row],[Destination]],tblDestinations[Destination],0)),"?"))</f>
        <v/>
      </c>
      <c r="M1249" s="64">
        <f>IF(tblMovement[[#This Row],[Material]]="","",IF(LEFT(tblMovement[[#This Row],[Material]],3)="Ore",1,0))</f>
        <v/>
      </c>
      <c r="N1249" s="59">
        <f>IF(OR(tblMovement[[#This Row],[Tonnes_t]]="",tblMovement[[#This Row],[Grade_gpt]]=""),0,tblMovement[[#This Row],[Tonnes_t]]*tblMovement[[#This Row],[Grade_gpt]]/cfg_TroyOz)</f>
        <v/>
      </c>
      <c r="O1249" s="59">
        <f>IF(tblMovement[[#This Row],[Is_Ore]]=1,tblMovement[[#This Row],[Contained_oz]],0)</f>
        <v/>
      </c>
    </row>
    <row r="1250">
      <c r="A1250" s="54" t="n"/>
      <c r="B1250" s="61" t="n"/>
      <c r="C1250" s="61" t="n"/>
      <c r="D1250" s="61" t="n"/>
      <c r="E1250" s="61" t="n"/>
      <c r="F1250" s="55" t="n"/>
      <c r="G1250" s="56" t="n"/>
      <c r="H1250" s="55" t="n"/>
      <c r="I1250" s="62" t="n"/>
      <c r="J1250" s="58" t="n"/>
      <c r="K1250" s="63">
        <f>IF(tblMovement[[#This Row],[Source]]="","",IFERROR(INDEX(tblSources[Type],MATCH(tblMovement[[#This Row],[Source]],tblSources[Source],0)),"?"))</f>
        <v/>
      </c>
      <c r="L1250" s="63">
        <f>IF(tblMovement[[#This Row],[Destination]]="","",IFERROR(INDEX(tblDestinations[Type],MATCH(tblMovement[[#This Row],[Destination]],tblDestinations[Destination],0)),"?"))</f>
        <v/>
      </c>
      <c r="M1250" s="64">
        <f>IF(tblMovement[[#This Row],[Material]]="","",IF(LEFT(tblMovement[[#This Row],[Material]],3)="Ore",1,0))</f>
        <v/>
      </c>
      <c r="N1250" s="59">
        <f>IF(OR(tblMovement[[#This Row],[Tonnes_t]]="",tblMovement[[#This Row],[Grade_gpt]]=""),0,tblMovement[[#This Row],[Tonnes_t]]*tblMovement[[#This Row],[Grade_gpt]]/cfg_TroyOz)</f>
        <v/>
      </c>
      <c r="O1250" s="59">
        <f>IF(tblMovement[[#This Row],[Is_Ore]]=1,tblMovement[[#This Row],[Contained_oz]],0)</f>
        <v/>
      </c>
    </row>
    <row r="1251">
      <c r="A1251" s="54" t="n"/>
      <c r="B1251" s="61" t="n"/>
      <c r="C1251" s="61" t="n"/>
      <c r="D1251" s="61" t="n"/>
      <c r="E1251" s="61" t="n"/>
      <c r="F1251" s="55" t="n"/>
      <c r="G1251" s="56" t="n"/>
      <c r="H1251" s="55" t="n"/>
      <c r="I1251" s="62" t="n"/>
      <c r="J1251" s="58" t="n"/>
      <c r="K1251" s="63">
        <f>IF(tblMovement[[#This Row],[Source]]="","",IFERROR(INDEX(tblSources[Type],MATCH(tblMovement[[#This Row],[Source]],tblSources[Source],0)),"?"))</f>
        <v/>
      </c>
      <c r="L1251" s="63">
        <f>IF(tblMovement[[#This Row],[Destination]]="","",IFERROR(INDEX(tblDestinations[Type],MATCH(tblMovement[[#This Row],[Destination]],tblDestinations[Destination],0)),"?"))</f>
        <v/>
      </c>
      <c r="M1251" s="64">
        <f>IF(tblMovement[[#This Row],[Material]]="","",IF(LEFT(tblMovement[[#This Row],[Material]],3)="Ore",1,0))</f>
        <v/>
      </c>
      <c r="N1251" s="59">
        <f>IF(OR(tblMovement[[#This Row],[Tonnes_t]]="",tblMovement[[#This Row],[Grade_gpt]]=""),0,tblMovement[[#This Row],[Tonnes_t]]*tblMovement[[#This Row],[Grade_gpt]]/cfg_TroyOz)</f>
        <v/>
      </c>
      <c r="O1251" s="59">
        <f>IF(tblMovement[[#This Row],[Is_Ore]]=1,tblMovement[[#This Row],[Contained_oz]],0)</f>
        <v/>
      </c>
    </row>
    <row r="1252">
      <c r="A1252" s="54" t="n"/>
      <c r="B1252" s="61" t="n"/>
      <c r="C1252" s="61" t="n"/>
      <c r="D1252" s="61" t="n"/>
      <c r="E1252" s="61" t="n"/>
      <c r="F1252" s="55" t="n"/>
      <c r="G1252" s="56" t="n"/>
      <c r="H1252" s="55" t="n"/>
      <c r="I1252" s="62" t="n"/>
      <c r="J1252" s="58" t="n"/>
      <c r="K1252" s="63">
        <f>IF(tblMovement[[#This Row],[Source]]="","",IFERROR(INDEX(tblSources[Type],MATCH(tblMovement[[#This Row],[Source]],tblSources[Source],0)),"?"))</f>
        <v/>
      </c>
      <c r="L1252" s="63">
        <f>IF(tblMovement[[#This Row],[Destination]]="","",IFERROR(INDEX(tblDestinations[Type],MATCH(tblMovement[[#This Row],[Destination]],tblDestinations[Destination],0)),"?"))</f>
        <v/>
      </c>
      <c r="M1252" s="64">
        <f>IF(tblMovement[[#This Row],[Material]]="","",IF(LEFT(tblMovement[[#This Row],[Material]],3)="Ore",1,0))</f>
        <v/>
      </c>
      <c r="N1252" s="59">
        <f>IF(OR(tblMovement[[#This Row],[Tonnes_t]]="",tblMovement[[#This Row],[Grade_gpt]]=""),0,tblMovement[[#This Row],[Tonnes_t]]*tblMovement[[#This Row],[Grade_gpt]]/cfg_TroyOz)</f>
        <v/>
      </c>
      <c r="O1252" s="59">
        <f>IF(tblMovement[[#This Row],[Is_Ore]]=1,tblMovement[[#This Row],[Contained_oz]],0)</f>
        <v/>
      </c>
    </row>
    <row r="1253">
      <c r="A1253" s="54" t="n"/>
      <c r="B1253" s="61" t="n"/>
      <c r="C1253" s="61" t="n"/>
      <c r="D1253" s="61" t="n"/>
      <c r="E1253" s="61" t="n"/>
      <c r="F1253" s="55" t="n"/>
      <c r="G1253" s="56" t="n"/>
      <c r="H1253" s="55" t="n"/>
      <c r="I1253" s="62" t="n"/>
      <c r="J1253" s="58" t="n"/>
      <c r="K1253" s="63">
        <f>IF(tblMovement[[#This Row],[Source]]="","",IFERROR(INDEX(tblSources[Type],MATCH(tblMovement[[#This Row],[Source]],tblSources[Source],0)),"?"))</f>
        <v/>
      </c>
      <c r="L1253" s="63">
        <f>IF(tblMovement[[#This Row],[Destination]]="","",IFERROR(INDEX(tblDestinations[Type],MATCH(tblMovement[[#This Row],[Destination]],tblDestinations[Destination],0)),"?"))</f>
        <v/>
      </c>
      <c r="M1253" s="64">
        <f>IF(tblMovement[[#This Row],[Material]]="","",IF(LEFT(tblMovement[[#This Row],[Material]],3)="Ore",1,0))</f>
        <v/>
      </c>
      <c r="N1253" s="59">
        <f>IF(OR(tblMovement[[#This Row],[Tonnes_t]]="",tblMovement[[#This Row],[Grade_gpt]]=""),0,tblMovement[[#This Row],[Tonnes_t]]*tblMovement[[#This Row],[Grade_gpt]]/cfg_TroyOz)</f>
        <v/>
      </c>
      <c r="O1253" s="59">
        <f>IF(tblMovement[[#This Row],[Is_Ore]]=1,tblMovement[[#This Row],[Contained_oz]],0)</f>
        <v/>
      </c>
    </row>
    <row r="1254">
      <c r="A1254" s="54" t="n"/>
      <c r="B1254" s="61" t="n"/>
      <c r="C1254" s="61" t="n"/>
      <c r="D1254" s="61" t="n"/>
      <c r="E1254" s="61" t="n"/>
      <c r="F1254" s="55" t="n"/>
      <c r="G1254" s="56" t="n"/>
      <c r="H1254" s="55" t="n"/>
      <c r="I1254" s="62" t="n"/>
      <c r="J1254" s="58" t="n"/>
      <c r="K1254" s="63">
        <f>IF(tblMovement[[#This Row],[Source]]="","",IFERROR(INDEX(tblSources[Type],MATCH(tblMovement[[#This Row],[Source]],tblSources[Source],0)),"?"))</f>
        <v/>
      </c>
      <c r="L1254" s="63">
        <f>IF(tblMovement[[#This Row],[Destination]]="","",IFERROR(INDEX(tblDestinations[Type],MATCH(tblMovement[[#This Row],[Destination]],tblDestinations[Destination],0)),"?"))</f>
        <v/>
      </c>
      <c r="M1254" s="64">
        <f>IF(tblMovement[[#This Row],[Material]]="","",IF(LEFT(tblMovement[[#This Row],[Material]],3)="Ore",1,0))</f>
        <v/>
      </c>
      <c r="N1254" s="59">
        <f>IF(OR(tblMovement[[#This Row],[Tonnes_t]]="",tblMovement[[#This Row],[Grade_gpt]]=""),0,tblMovement[[#This Row],[Tonnes_t]]*tblMovement[[#This Row],[Grade_gpt]]/cfg_TroyOz)</f>
        <v/>
      </c>
      <c r="O1254" s="59">
        <f>IF(tblMovement[[#This Row],[Is_Ore]]=1,tblMovement[[#This Row],[Contained_oz]],0)</f>
        <v/>
      </c>
    </row>
    <row r="1255">
      <c r="A1255" s="54" t="n"/>
      <c r="B1255" s="61" t="n"/>
      <c r="C1255" s="61" t="n"/>
      <c r="D1255" s="61" t="n"/>
      <c r="E1255" s="61" t="n"/>
      <c r="F1255" s="55" t="n"/>
      <c r="G1255" s="56" t="n"/>
      <c r="H1255" s="55" t="n"/>
      <c r="I1255" s="62" t="n"/>
      <c r="J1255" s="58" t="n"/>
      <c r="K1255" s="63">
        <f>IF(tblMovement[[#This Row],[Source]]="","",IFERROR(INDEX(tblSources[Type],MATCH(tblMovement[[#This Row],[Source]],tblSources[Source],0)),"?"))</f>
        <v/>
      </c>
      <c r="L1255" s="63">
        <f>IF(tblMovement[[#This Row],[Destination]]="","",IFERROR(INDEX(tblDestinations[Type],MATCH(tblMovement[[#This Row],[Destination]],tblDestinations[Destination],0)),"?"))</f>
        <v/>
      </c>
      <c r="M1255" s="64">
        <f>IF(tblMovement[[#This Row],[Material]]="","",IF(LEFT(tblMovement[[#This Row],[Material]],3)="Ore",1,0))</f>
        <v/>
      </c>
      <c r="N1255" s="59">
        <f>IF(OR(tblMovement[[#This Row],[Tonnes_t]]="",tblMovement[[#This Row],[Grade_gpt]]=""),0,tblMovement[[#This Row],[Tonnes_t]]*tblMovement[[#This Row],[Grade_gpt]]/cfg_TroyOz)</f>
        <v/>
      </c>
      <c r="O1255" s="59">
        <f>IF(tblMovement[[#This Row],[Is_Ore]]=1,tblMovement[[#This Row],[Contained_oz]],0)</f>
        <v/>
      </c>
    </row>
    <row r="1256">
      <c r="A1256" s="54" t="n"/>
      <c r="B1256" s="61" t="n"/>
      <c r="C1256" s="61" t="n"/>
      <c r="D1256" s="61" t="n"/>
      <c r="E1256" s="61" t="n"/>
      <c r="F1256" s="55" t="n"/>
      <c r="G1256" s="56" t="n"/>
      <c r="H1256" s="55" t="n"/>
      <c r="I1256" s="62" t="n"/>
      <c r="J1256" s="58" t="n"/>
      <c r="K1256" s="63">
        <f>IF(tblMovement[[#This Row],[Source]]="","",IFERROR(INDEX(tblSources[Type],MATCH(tblMovement[[#This Row],[Source]],tblSources[Source],0)),"?"))</f>
        <v/>
      </c>
      <c r="L1256" s="63">
        <f>IF(tblMovement[[#This Row],[Destination]]="","",IFERROR(INDEX(tblDestinations[Type],MATCH(tblMovement[[#This Row],[Destination]],tblDestinations[Destination],0)),"?"))</f>
        <v/>
      </c>
      <c r="M1256" s="64">
        <f>IF(tblMovement[[#This Row],[Material]]="","",IF(LEFT(tblMovement[[#This Row],[Material]],3)="Ore",1,0))</f>
        <v/>
      </c>
      <c r="N1256" s="59">
        <f>IF(OR(tblMovement[[#This Row],[Tonnes_t]]="",tblMovement[[#This Row],[Grade_gpt]]=""),0,tblMovement[[#This Row],[Tonnes_t]]*tblMovement[[#This Row],[Grade_gpt]]/cfg_TroyOz)</f>
        <v/>
      </c>
      <c r="O1256" s="59">
        <f>IF(tblMovement[[#This Row],[Is_Ore]]=1,tblMovement[[#This Row],[Contained_oz]],0)</f>
        <v/>
      </c>
    </row>
    <row r="1257">
      <c r="A1257" s="54" t="n"/>
      <c r="B1257" s="61" t="n"/>
      <c r="C1257" s="61" t="n"/>
      <c r="D1257" s="61" t="n"/>
      <c r="E1257" s="61" t="n"/>
      <c r="F1257" s="55" t="n"/>
      <c r="G1257" s="56" t="n"/>
      <c r="H1257" s="55" t="n"/>
      <c r="I1257" s="62" t="n"/>
      <c r="J1257" s="58" t="n"/>
      <c r="K1257" s="63">
        <f>IF(tblMovement[[#This Row],[Source]]="","",IFERROR(INDEX(tblSources[Type],MATCH(tblMovement[[#This Row],[Source]],tblSources[Source],0)),"?"))</f>
        <v/>
      </c>
      <c r="L1257" s="63">
        <f>IF(tblMovement[[#This Row],[Destination]]="","",IFERROR(INDEX(tblDestinations[Type],MATCH(tblMovement[[#This Row],[Destination]],tblDestinations[Destination],0)),"?"))</f>
        <v/>
      </c>
      <c r="M1257" s="64">
        <f>IF(tblMovement[[#This Row],[Material]]="","",IF(LEFT(tblMovement[[#This Row],[Material]],3)="Ore",1,0))</f>
        <v/>
      </c>
      <c r="N1257" s="59">
        <f>IF(OR(tblMovement[[#This Row],[Tonnes_t]]="",tblMovement[[#This Row],[Grade_gpt]]=""),0,tblMovement[[#This Row],[Tonnes_t]]*tblMovement[[#This Row],[Grade_gpt]]/cfg_TroyOz)</f>
        <v/>
      </c>
      <c r="O1257" s="59">
        <f>IF(tblMovement[[#This Row],[Is_Ore]]=1,tblMovement[[#This Row],[Contained_oz]],0)</f>
        <v/>
      </c>
    </row>
    <row r="1258">
      <c r="A1258" s="54" t="n"/>
      <c r="B1258" s="61" t="n"/>
      <c r="C1258" s="61" t="n"/>
      <c r="D1258" s="61" t="n"/>
      <c r="E1258" s="61" t="n"/>
      <c r="F1258" s="55" t="n"/>
      <c r="G1258" s="56" t="n"/>
      <c r="H1258" s="55" t="n"/>
      <c r="I1258" s="62" t="n"/>
      <c r="J1258" s="58" t="n"/>
      <c r="K1258" s="63">
        <f>IF(tblMovement[[#This Row],[Source]]="","",IFERROR(INDEX(tblSources[Type],MATCH(tblMovement[[#This Row],[Source]],tblSources[Source],0)),"?"))</f>
        <v/>
      </c>
      <c r="L1258" s="63">
        <f>IF(tblMovement[[#This Row],[Destination]]="","",IFERROR(INDEX(tblDestinations[Type],MATCH(tblMovement[[#This Row],[Destination]],tblDestinations[Destination],0)),"?"))</f>
        <v/>
      </c>
      <c r="M1258" s="64">
        <f>IF(tblMovement[[#This Row],[Material]]="","",IF(LEFT(tblMovement[[#This Row],[Material]],3)="Ore",1,0))</f>
        <v/>
      </c>
      <c r="N1258" s="59">
        <f>IF(OR(tblMovement[[#This Row],[Tonnes_t]]="",tblMovement[[#This Row],[Grade_gpt]]=""),0,tblMovement[[#This Row],[Tonnes_t]]*tblMovement[[#This Row],[Grade_gpt]]/cfg_TroyOz)</f>
        <v/>
      </c>
      <c r="O1258" s="59">
        <f>IF(tblMovement[[#This Row],[Is_Ore]]=1,tblMovement[[#This Row],[Contained_oz]],0)</f>
        <v/>
      </c>
    </row>
    <row r="1259">
      <c r="A1259" s="54" t="n"/>
      <c r="B1259" s="61" t="n"/>
      <c r="C1259" s="61" t="n"/>
      <c r="D1259" s="61" t="n"/>
      <c r="E1259" s="61" t="n"/>
      <c r="F1259" s="55" t="n"/>
      <c r="G1259" s="56" t="n"/>
      <c r="H1259" s="55" t="n"/>
      <c r="I1259" s="62" t="n"/>
      <c r="J1259" s="58" t="n"/>
      <c r="K1259" s="63">
        <f>IF(tblMovement[[#This Row],[Source]]="","",IFERROR(INDEX(tblSources[Type],MATCH(tblMovement[[#This Row],[Source]],tblSources[Source],0)),"?"))</f>
        <v/>
      </c>
      <c r="L1259" s="63">
        <f>IF(tblMovement[[#This Row],[Destination]]="","",IFERROR(INDEX(tblDestinations[Type],MATCH(tblMovement[[#This Row],[Destination]],tblDestinations[Destination],0)),"?"))</f>
        <v/>
      </c>
      <c r="M1259" s="64">
        <f>IF(tblMovement[[#This Row],[Material]]="","",IF(LEFT(tblMovement[[#This Row],[Material]],3)="Ore",1,0))</f>
        <v/>
      </c>
      <c r="N1259" s="59">
        <f>IF(OR(tblMovement[[#This Row],[Tonnes_t]]="",tblMovement[[#This Row],[Grade_gpt]]=""),0,tblMovement[[#This Row],[Tonnes_t]]*tblMovement[[#This Row],[Grade_gpt]]/cfg_TroyOz)</f>
        <v/>
      </c>
      <c r="O1259" s="59">
        <f>IF(tblMovement[[#This Row],[Is_Ore]]=1,tblMovement[[#This Row],[Contained_oz]],0)</f>
        <v/>
      </c>
    </row>
    <row r="1260">
      <c r="A1260" s="54" t="n"/>
      <c r="B1260" s="61" t="n"/>
      <c r="C1260" s="61" t="n"/>
      <c r="D1260" s="61" t="n"/>
      <c r="E1260" s="61" t="n"/>
      <c r="F1260" s="55" t="n"/>
      <c r="G1260" s="56" t="n"/>
      <c r="H1260" s="55" t="n"/>
      <c r="I1260" s="62" t="n"/>
      <c r="J1260" s="58" t="n"/>
      <c r="K1260" s="63">
        <f>IF(tblMovement[[#This Row],[Source]]="","",IFERROR(INDEX(tblSources[Type],MATCH(tblMovement[[#This Row],[Source]],tblSources[Source],0)),"?"))</f>
        <v/>
      </c>
      <c r="L1260" s="63">
        <f>IF(tblMovement[[#This Row],[Destination]]="","",IFERROR(INDEX(tblDestinations[Type],MATCH(tblMovement[[#This Row],[Destination]],tblDestinations[Destination],0)),"?"))</f>
        <v/>
      </c>
      <c r="M1260" s="64">
        <f>IF(tblMovement[[#This Row],[Material]]="","",IF(LEFT(tblMovement[[#This Row],[Material]],3)="Ore",1,0))</f>
        <v/>
      </c>
      <c r="N1260" s="59">
        <f>IF(OR(tblMovement[[#This Row],[Tonnes_t]]="",tblMovement[[#This Row],[Grade_gpt]]=""),0,tblMovement[[#This Row],[Tonnes_t]]*tblMovement[[#This Row],[Grade_gpt]]/cfg_TroyOz)</f>
        <v/>
      </c>
      <c r="O1260" s="59">
        <f>IF(tblMovement[[#This Row],[Is_Ore]]=1,tblMovement[[#This Row],[Contained_oz]],0)</f>
        <v/>
      </c>
    </row>
    <row r="1261">
      <c r="A1261" s="54" t="n"/>
      <c r="B1261" s="61" t="n"/>
      <c r="C1261" s="61" t="n"/>
      <c r="D1261" s="61" t="n"/>
      <c r="E1261" s="61" t="n"/>
      <c r="F1261" s="55" t="n"/>
      <c r="G1261" s="56" t="n"/>
      <c r="H1261" s="55" t="n"/>
      <c r="I1261" s="62" t="n"/>
      <c r="J1261" s="58" t="n"/>
      <c r="K1261" s="63">
        <f>IF(tblMovement[[#This Row],[Source]]="","",IFERROR(INDEX(tblSources[Type],MATCH(tblMovement[[#This Row],[Source]],tblSources[Source],0)),"?"))</f>
        <v/>
      </c>
      <c r="L1261" s="63">
        <f>IF(tblMovement[[#This Row],[Destination]]="","",IFERROR(INDEX(tblDestinations[Type],MATCH(tblMovement[[#This Row],[Destination]],tblDestinations[Destination],0)),"?"))</f>
        <v/>
      </c>
      <c r="M1261" s="64">
        <f>IF(tblMovement[[#This Row],[Material]]="","",IF(LEFT(tblMovement[[#This Row],[Material]],3)="Ore",1,0))</f>
        <v/>
      </c>
      <c r="N1261" s="59">
        <f>IF(OR(tblMovement[[#This Row],[Tonnes_t]]="",tblMovement[[#This Row],[Grade_gpt]]=""),0,tblMovement[[#This Row],[Tonnes_t]]*tblMovement[[#This Row],[Grade_gpt]]/cfg_TroyOz)</f>
        <v/>
      </c>
      <c r="O1261" s="59">
        <f>IF(tblMovement[[#This Row],[Is_Ore]]=1,tblMovement[[#This Row],[Contained_oz]],0)</f>
        <v/>
      </c>
    </row>
    <row r="1262">
      <c r="A1262" s="54" t="n"/>
      <c r="B1262" s="61" t="n"/>
      <c r="C1262" s="61" t="n"/>
      <c r="D1262" s="61" t="n"/>
      <c r="E1262" s="61" t="n"/>
      <c r="F1262" s="55" t="n"/>
      <c r="G1262" s="56" t="n"/>
      <c r="H1262" s="55" t="n"/>
      <c r="I1262" s="62" t="n"/>
      <c r="J1262" s="58" t="n"/>
      <c r="K1262" s="63">
        <f>IF(tblMovement[[#This Row],[Source]]="","",IFERROR(INDEX(tblSources[Type],MATCH(tblMovement[[#This Row],[Source]],tblSources[Source],0)),"?"))</f>
        <v/>
      </c>
      <c r="L1262" s="63">
        <f>IF(tblMovement[[#This Row],[Destination]]="","",IFERROR(INDEX(tblDestinations[Type],MATCH(tblMovement[[#This Row],[Destination]],tblDestinations[Destination],0)),"?"))</f>
        <v/>
      </c>
      <c r="M1262" s="64">
        <f>IF(tblMovement[[#This Row],[Material]]="","",IF(LEFT(tblMovement[[#This Row],[Material]],3)="Ore",1,0))</f>
        <v/>
      </c>
      <c r="N1262" s="59">
        <f>IF(OR(tblMovement[[#This Row],[Tonnes_t]]="",tblMovement[[#This Row],[Grade_gpt]]=""),0,tblMovement[[#This Row],[Tonnes_t]]*tblMovement[[#This Row],[Grade_gpt]]/cfg_TroyOz)</f>
        <v/>
      </c>
      <c r="O1262" s="59">
        <f>IF(tblMovement[[#This Row],[Is_Ore]]=1,tblMovement[[#This Row],[Contained_oz]],0)</f>
        <v/>
      </c>
    </row>
    <row r="1263">
      <c r="A1263" s="54" t="n"/>
      <c r="B1263" s="61" t="n"/>
      <c r="C1263" s="61" t="n"/>
      <c r="D1263" s="61" t="n"/>
      <c r="E1263" s="61" t="n"/>
      <c r="F1263" s="55" t="n"/>
      <c r="G1263" s="56" t="n"/>
      <c r="H1263" s="55" t="n"/>
      <c r="I1263" s="62" t="n"/>
      <c r="J1263" s="58" t="n"/>
      <c r="K1263" s="63">
        <f>IF(tblMovement[[#This Row],[Source]]="","",IFERROR(INDEX(tblSources[Type],MATCH(tblMovement[[#This Row],[Source]],tblSources[Source],0)),"?"))</f>
        <v/>
      </c>
      <c r="L1263" s="63">
        <f>IF(tblMovement[[#This Row],[Destination]]="","",IFERROR(INDEX(tblDestinations[Type],MATCH(tblMovement[[#This Row],[Destination]],tblDestinations[Destination],0)),"?"))</f>
        <v/>
      </c>
      <c r="M1263" s="64">
        <f>IF(tblMovement[[#This Row],[Material]]="","",IF(LEFT(tblMovement[[#This Row],[Material]],3)="Ore",1,0))</f>
        <v/>
      </c>
      <c r="N1263" s="59">
        <f>IF(OR(tblMovement[[#This Row],[Tonnes_t]]="",tblMovement[[#This Row],[Grade_gpt]]=""),0,tblMovement[[#This Row],[Tonnes_t]]*tblMovement[[#This Row],[Grade_gpt]]/cfg_TroyOz)</f>
        <v/>
      </c>
      <c r="O1263" s="59">
        <f>IF(tblMovement[[#This Row],[Is_Ore]]=1,tblMovement[[#This Row],[Contained_oz]],0)</f>
        <v/>
      </c>
    </row>
    <row r="1264">
      <c r="A1264" s="54" t="n"/>
      <c r="B1264" s="61" t="n"/>
      <c r="C1264" s="61" t="n"/>
      <c r="D1264" s="61" t="n"/>
      <c r="E1264" s="61" t="n"/>
      <c r="F1264" s="55" t="n"/>
      <c r="G1264" s="56" t="n"/>
      <c r="H1264" s="55" t="n"/>
      <c r="I1264" s="62" t="n"/>
      <c r="J1264" s="58" t="n"/>
      <c r="K1264" s="63">
        <f>IF(tblMovement[[#This Row],[Source]]="","",IFERROR(INDEX(tblSources[Type],MATCH(tblMovement[[#This Row],[Source]],tblSources[Source],0)),"?"))</f>
        <v/>
      </c>
      <c r="L1264" s="63">
        <f>IF(tblMovement[[#This Row],[Destination]]="","",IFERROR(INDEX(tblDestinations[Type],MATCH(tblMovement[[#This Row],[Destination]],tblDestinations[Destination],0)),"?"))</f>
        <v/>
      </c>
      <c r="M1264" s="64">
        <f>IF(tblMovement[[#This Row],[Material]]="","",IF(LEFT(tblMovement[[#This Row],[Material]],3)="Ore",1,0))</f>
        <v/>
      </c>
      <c r="N1264" s="59">
        <f>IF(OR(tblMovement[[#This Row],[Tonnes_t]]="",tblMovement[[#This Row],[Grade_gpt]]=""),0,tblMovement[[#This Row],[Tonnes_t]]*tblMovement[[#This Row],[Grade_gpt]]/cfg_TroyOz)</f>
        <v/>
      </c>
      <c r="O1264" s="59">
        <f>IF(tblMovement[[#This Row],[Is_Ore]]=1,tblMovement[[#This Row],[Contained_oz]],0)</f>
        <v/>
      </c>
    </row>
    <row r="1265">
      <c r="A1265" s="54" t="n"/>
      <c r="B1265" s="61" t="n"/>
      <c r="C1265" s="61" t="n"/>
      <c r="D1265" s="61" t="n"/>
      <c r="E1265" s="61" t="n"/>
      <c r="F1265" s="55" t="n"/>
      <c r="G1265" s="56" t="n"/>
      <c r="H1265" s="55" t="n"/>
      <c r="I1265" s="62" t="n"/>
      <c r="J1265" s="58" t="n"/>
      <c r="K1265" s="63">
        <f>IF(tblMovement[[#This Row],[Source]]="","",IFERROR(INDEX(tblSources[Type],MATCH(tblMovement[[#This Row],[Source]],tblSources[Source],0)),"?"))</f>
        <v/>
      </c>
      <c r="L1265" s="63">
        <f>IF(tblMovement[[#This Row],[Destination]]="","",IFERROR(INDEX(tblDestinations[Type],MATCH(tblMovement[[#This Row],[Destination]],tblDestinations[Destination],0)),"?"))</f>
        <v/>
      </c>
      <c r="M1265" s="64">
        <f>IF(tblMovement[[#This Row],[Material]]="","",IF(LEFT(tblMovement[[#This Row],[Material]],3)="Ore",1,0))</f>
        <v/>
      </c>
      <c r="N1265" s="59">
        <f>IF(OR(tblMovement[[#This Row],[Tonnes_t]]="",tblMovement[[#This Row],[Grade_gpt]]=""),0,tblMovement[[#This Row],[Tonnes_t]]*tblMovement[[#This Row],[Grade_gpt]]/cfg_TroyOz)</f>
        <v/>
      </c>
      <c r="O1265" s="59">
        <f>IF(tblMovement[[#This Row],[Is_Ore]]=1,tblMovement[[#This Row],[Contained_oz]],0)</f>
        <v/>
      </c>
    </row>
    <row r="1266">
      <c r="A1266" s="54" t="n"/>
      <c r="B1266" s="61" t="n"/>
      <c r="C1266" s="61" t="n"/>
      <c r="D1266" s="61" t="n"/>
      <c r="E1266" s="61" t="n"/>
      <c r="F1266" s="55" t="n"/>
      <c r="G1266" s="56" t="n"/>
      <c r="H1266" s="55" t="n"/>
      <c r="I1266" s="62" t="n"/>
      <c r="J1266" s="58" t="n"/>
      <c r="K1266" s="63">
        <f>IF(tblMovement[[#This Row],[Source]]="","",IFERROR(INDEX(tblSources[Type],MATCH(tblMovement[[#This Row],[Source]],tblSources[Source],0)),"?"))</f>
        <v/>
      </c>
      <c r="L1266" s="63">
        <f>IF(tblMovement[[#This Row],[Destination]]="","",IFERROR(INDEX(tblDestinations[Type],MATCH(tblMovement[[#This Row],[Destination]],tblDestinations[Destination],0)),"?"))</f>
        <v/>
      </c>
      <c r="M1266" s="64">
        <f>IF(tblMovement[[#This Row],[Material]]="","",IF(LEFT(tblMovement[[#This Row],[Material]],3)="Ore",1,0))</f>
        <v/>
      </c>
      <c r="N1266" s="59">
        <f>IF(OR(tblMovement[[#This Row],[Tonnes_t]]="",tblMovement[[#This Row],[Grade_gpt]]=""),0,tblMovement[[#This Row],[Tonnes_t]]*tblMovement[[#This Row],[Grade_gpt]]/cfg_TroyOz)</f>
        <v/>
      </c>
      <c r="O1266" s="59">
        <f>IF(tblMovement[[#This Row],[Is_Ore]]=1,tblMovement[[#This Row],[Contained_oz]],0)</f>
        <v/>
      </c>
    </row>
    <row r="1267">
      <c r="A1267" s="54" t="n"/>
      <c r="B1267" s="61" t="n"/>
      <c r="C1267" s="61" t="n"/>
      <c r="D1267" s="61" t="n"/>
      <c r="E1267" s="61" t="n"/>
      <c r="F1267" s="55" t="n"/>
      <c r="G1267" s="56" t="n"/>
      <c r="H1267" s="55" t="n"/>
      <c r="I1267" s="62" t="n"/>
      <c r="J1267" s="58" t="n"/>
      <c r="K1267" s="63">
        <f>IF(tblMovement[[#This Row],[Source]]="","",IFERROR(INDEX(tblSources[Type],MATCH(tblMovement[[#This Row],[Source]],tblSources[Source],0)),"?"))</f>
        <v/>
      </c>
      <c r="L1267" s="63">
        <f>IF(tblMovement[[#This Row],[Destination]]="","",IFERROR(INDEX(tblDestinations[Type],MATCH(tblMovement[[#This Row],[Destination]],tblDestinations[Destination],0)),"?"))</f>
        <v/>
      </c>
      <c r="M1267" s="64">
        <f>IF(tblMovement[[#This Row],[Material]]="","",IF(LEFT(tblMovement[[#This Row],[Material]],3)="Ore",1,0))</f>
        <v/>
      </c>
      <c r="N1267" s="59">
        <f>IF(OR(tblMovement[[#This Row],[Tonnes_t]]="",tblMovement[[#This Row],[Grade_gpt]]=""),0,tblMovement[[#This Row],[Tonnes_t]]*tblMovement[[#This Row],[Grade_gpt]]/cfg_TroyOz)</f>
        <v/>
      </c>
      <c r="O1267" s="59">
        <f>IF(tblMovement[[#This Row],[Is_Ore]]=1,tblMovement[[#This Row],[Contained_oz]],0)</f>
        <v/>
      </c>
    </row>
    <row r="1268">
      <c r="A1268" s="54" t="n"/>
      <c r="B1268" s="61" t="n"/>
      <c r="C1268" s="61" t="n"/>
      <c r="D1268" s="61" t="n"/>
      <c r="E1268" s="61" t="n"/>
      <c r="F1268" s="55" t="n"/>
      <c r="G1268" s="56" t="n"/>
      <c r="H1268" s="55" t="n"/>
      <c r="I1268" s="62" t="n"/>
      <c r="J1268" s="58" t="n"/>
      <c r="K1268" s="63">
        <f>IF(tblMovement[[#This Row],[Source]]="","",IFERROR(INDEX(tblSources[Type],MATCH(tblMovement[[#This Row],[Source]],tblSources[Source],0)),"?"))</f>
        <v/>
      </c>
      <c r="L1268" s="63">
        <f>IF(tblMovement[[#This Row],[Destination]]="","",IFERROR(INDEX(tblDestinations[Type],MATCH(tblMovement[[#This Row],[Destination]],tblDestinations[Destination],0)),"?"))</f>
        <v/>
      </c>
      <c r="M1268" s="64">
        <f>IF(tblMovement[[#This Row],[Material]]="","",IF(LEFT(tblMovement[[#This Row],[Material]],3)="Ore",1,0))</f>
        <v/>
      </c>
      <c r="N1268" s="59">
        <f>IF(OR(tblMovement[[#This Row],[Tonnes_t]]="",tblMovement[[#This Row],[Grade_gpt]]=""),0,tblMovement[[#This Row],[Tonnes_t]]*tblMovement[[#This Row],[Grade_gpt]]/cfg_TroyOz)</f>
        <v/>
      </c>
      <c r="O1268" s="59">
        <f>IF(tblMovement[[#This Row],[Is_Ore]]=1,tblMovement[[#This Row],[Contained_oz]],0)</f>
        <v/>
      </c>
    </row>
    <row r="1269">
      <c r="A1269" s="54" t="n"/>
      <c r="B1269" s="61" t="n"/>
      <c r="C1269" s="61" t="n"/>
      <c r="D1269" s="61" t="n"/>
      <c r="E1269" s="61" t="n"/>
      <c r="F1269" s="55" t="n"/>
      <c r="G1269" s="56" t="n"/>
      <c r="H1269" s="55" t="n"/>
      <c r="I1269" s="62" t="n"/>
      <c r="J1269" s="58" t="n"/>
      <c r="K1269" s="63">
        <f>IF(tblMovement[[#This Row],[Source]]="","",IFERROR(INDEX(tblSources[Type],MATCH(tblMovement[[#This Row],[Source]],tblSources[Source],0)),"?"))</f>
        <v/>
      </c>
      <c r="L1269" s="63">
        <f>IF(tblMovement[[#This Row],[Destination]]="","",IFERROR(INDEX(tblDestinations[Type],MATCH(tblMovement[[#This Row],[Destination]],tblDestinations[Destination],0)),"?"))</f>
        <v/>
      </c>
      <c r="M1269" s="64">
        <f>IF(tblMovement[[#This Row],[Material]]="","",IF(LEFT(tblMovement[[#This Row],[Material]],3)="Ore",1,0))</f>
        <v/>
      </c>
      <c r="N1269" s="59">
        <f>IF(OR(tblMovement[[#This Row],[Tonnes_t]]="",tblMovement[[#This Row],[Grade_gpt]]=""),0,tblMovement[[#This Row],[Tonnes_t]]*tblMovement[[#This Row],[Grade_gpt]]/cfg_TroyOz)</f>
        <v/>
      </c>
      <c r="O1269" s="59">
        <f>IF(tblMovement[[#This Row],[Is_Ore]]=1,tblMovement[[#This Row],[Contained_oz]],0)</f>
        <v/>
      </c>
    </row>
    <row r="1270">
      <c r="A1270" s="54" t="n"/>
      <c r="B1270" s="61" t="n"/>
      <c r="C1270" s="61" t="n"/>
      <c r="D1270" s="61" t="n"/>
      <c r="E1270" s="61" t="n"/>
      <c r="F1270" s="55" t="n"/>
      <c r="G1270" s="56" t="n"/>
      <c r="H1270" s="55" t="n"/>
      <c r="I1270" s="62" t="n"/>
      <c r="J1270" s="58" t="n"/>
      <c r="K1270" s="63">
        <f>IF(tblMovement[[#This Row],[Source]]="","",IFERROR(INDEX(tblSources[Type],MATCH(tblMovement[[#This Row],[Source]],tblSources[Source],0)),"?"))</f>
        <v/>
      </c>
      <c r="L1270" s="63">
        <f>IF(tblMovement[[#This Row],[Destination]]="","",IFERROR(INDEX(tblDestinations[Type],MATCH(tblMovement[[#This Row],[Destination]],tblDestinations[Destination],0)),"?"))</f>
        <v/>
      </c>
      <c r="M1270" s="64">
        <f>IF(tblMovement[[#This Row],[Material]]="","",IF(LEFT(tblMovement[[#This Row],[Material]],3)="Ore",1,0))</f>
        <v/>
      </c>
      <c r="N1270" s="59">
        <f>IF(OR(tblMovement[[#This Row],[Tonnes_t]]="",tblMovement[[#This Row],[Grade_gpt]]=""),0,tblMovement[[#This Row],[Tonnes_t]]*tblMovement[[#This Row],[Grade_gpt]]/cfg_TroyOz)</f>
        <v/>
      </c>
      <c r="O1270" s="59">
        <f>IF(tblMovement[[#This Row],[Is_Ore]]=1,tblMovement[[#This Row],[Contained_oz]],0)</f>
        <v/>
      </c>
    </row>
    <row r="1271">
      <c r="A1271" s="54" t="n"/>
      <c r="B1271" s="61" t="n"/>
      <c r="C1271" s="61" t="n"/>
      <c r="D1271" s="61" t="n"/>
      <c r="E1271" s="61" t="n"/>
      <c r="F1271" s="55" t="n"/>
      <c r="G1271" s="56" t="n"/>
      <c r="H1271" s="55" t="n"/>
      <c r="I1271" s="62" t="n"/>
      <c r="J1271" s="58" t="n"/>
      <c r="K1271" s="63">
        <f>IF(tblMovement[[#This Row],[Source]]="","",IFERROR(INDEX(tblSources[Type],MATCH(tblMovement[[#This Row],[Source]],tblSources[Source],0)),"?"))</f>
        <v/>
      </c>
      <c r="L1271" s="63">
        <f>IF(tblMovement[[#This Row],[Destination]]="","",IFERROR(INDEX(tblDestinations[Type],MATCH(tblMovement[[#This Row],[Destination]],tblDestinations[Destination],0)),"?"))</f>
        <v/>
      </c>
      <c r="M1271" s="64">
        <f>IF(tblMovement[[#This Row],[Material]]="","",IF(LEFT(tblMovement[[#This Row],[Material]],3)="Ore",1,0))</f>
        <v/>
      </c>
      <c r="N1271" s="59">
        <f>IF(OR(tblMovement[[#This Row],[Tonnes_t]]="",tblMovement[[#This Row],[Grade_gpt]]=""),0,tblMovement[[#This Row],[Tonnes_t]]*tblMovement[[#This Row],[Grade_gpt]]/cfg_TroyOz)</f>
        <v/>
      </c>
      <c r="O1271" s="59">
        <f>IF(tblMovement[[#This Row],[Is_Ore]]=1,tblMovement[[#This Row],[Contained_oz]],0)</f>
        <v/>
      </c>
    </row>
    <row r="1272">
      <c r="A1272" s="54" t="n"/>
      <c r="B1272" s="61" t="n"/>
      <c r="C1272" s="61" t="n"/>
      <c r="D1272" s="61" t="n"/>
      <c r="E1272" s="61" t="n"/>
      <c r="F1272" s="55" t="n"/>
      <c r="G1272" s="56" t="n"/>
      <c r="H1272" s="55" t="n"/>
      <c r="I1272" s="62" t="n"/>
      <c r="J1272" s="58" t="n"/>
      <c r="K1272" s="63">
        <f>IF(tblMovement[[#This Row],[Source]]="","",IFERROR(INDEX(tblSources[Type],MATCH(tblMovement[[#This Row],[Source]],tblSources[Source],0)),"?"))</f>
        <v/>
      </c>
      <c r="L1272" s="63">
        <f>IF(tblMovement[[#This Row],[Destination]]="","",IFERROR(INDEX(tblDestinations[Type],MATCH(tblMovement[[#This Row],[Destination]],tblDestinations[Destination],0)),"?"))</f>
        <v/>
      </c>
      <c r="M1272" s="64">
        <f>IF(tblMovement[[#This Row],[Material]]="","",IF(LEFT(tblMovement[[#This Row],[Material]],3)="Ore",1,0))</f>
        <v/>
      </c>
      <c r="N1272" s="59">
        <f>IF(OR(tblMovement[[#This Row],[Tonnes_t]]="",tblMovement[[#This Row],[Grade_gpt]]=""),0,tblMovement[[#This Row],[Tonnes_t]]*tblMovement[[#This Row],[Grade_gpt]]/cfg_TroyOz)</f>
        <v/>
      </c>
      <c r="O1272" s="59">
        <f>IF(tblMovement[[#This Row],[Is_Ore]]=1,tblMovement[[#This Row],[Contained_oz]],0)</f>
        <v/>
      </c>
    </row>
    <row r="1273">
      <c r="A1273" s="54" t="n"/>
      <c r="B1273" s="61" t="n"/>
      <c r="C1273" s="61" t="n"/>
      <c r="D1273" s="61" t="n"/>
      <c r="E1273" s="61" t="n"/>
      <c r="F1273" s="55" t="n"/>
      <c r="G1273" s="56" t="n"/>
      <c r="H1273" s="55" t="n"/>
      <c r="I1273" s="62" t="n"/>
      <c r="J1273" s="58" t="n"/>
      <c r="K1273" s="63">
        <f>IF(tblMovement[[#This Row],[Source]]="","",IFERROR(INDEX(tblSources[Type],MATCH(tblMovement[[#This Row],[Source]],tblSources[Source],0)),"?"))</f>
        <v/>
      </c>
      <c r="L1273" s="63">
        <f>IF(tblMovement[[#This Row],[Destination]]="","",IFERROR(INDEX(tblDestinations[Type],MATCH(tblMovement[[#This Row],[Destination]],tblDestinations[Destination],0)),"?"))</f>
        <v/>
      </c>
      <c r="M1273" s="64">
        <f>IF(tblMovement[[#This Row],[Material]]="","",IF(LEFT(tblMovement[[#This Row],[Material]],3)="Ore",1,0))</f>
        <v/>
      </c>
      <c r="N1273" s="59">
        <f>IF(OR(tblMovement[[#This Row],[Tonnes_t]]="",tblMovement[[#This Row],[Grade_gpt]]=""),0,tblMovement[[#This Row],[Tonnes_t]]*tblMovement[[#This Row],[Grade_gpt]]/cfg_TroyOz)</f>
        <v/>
      </c>
      <c r="O1273" s="59">
        <f>IF(tblMovement[[#This Row],[Is_Ore]]=1,tblMovement[[#This Row],[Contained_oz]],0)</f>
        <v/>
      </c>
    </row>
    <row r="1274">
      <c r="A1274" s="54" t="n"/>
      <c r="B1274" s="61" t="n"/>
      <c r="C1274" s="61" t="n"/>
      <c r="D1274" s="61" t="n"/>
      <c r="E1274" s="61" t="n"/>
      <c r="F1274" s="55" t="n"/>
      <c r="G1274" s="56" t="n"/>
      <c r="H1274" s="55" t="n"/>
      <c r="I1274" s="62" t="n"/>
      <c r="J1274" s="58" t="n"/>
      <c r="K1274" s="63">
        <f>IF(tblMovement[[#This Row],[Source]]="","",IFERROR(INDEX(tblSources[Type],MATCH(tblMovement[[#This Row],[Source]],tblSources[Source],0)),"?"))</f>
        <v/>
      </c>
      <c r="L1274" s="63">
        <f>IF(tblMovement[[#This Row],[Destination]]="","",IFERROR(INDEX(tblDestinations[Type],MATCH(tblMovement[[#This Row],[Destination]],tblDestinations[Destination],0)),"?"))</f>
        <v/>
      </c>
      <c r="M1274" s="64">
        <f>IF(tblMovement[[#This Row],[Material]]="","",IF(LEFT(tblMovement[[#This Row],[Material]],3)="Ore",1,0))</f>
        <v/>
      </c>
      <c r="N1274" s="59">
        <f>IF(OR(tblMovement[[#This Row],[Tonnes_t]]="",tblMovement[[#This Row],[Grade_gpt]]=""),0,tblMovement[[#This Row],[Tonnes_t]]*tblMovement[[#This Row],[Grade_gpt]]/cfg_TroyOz)</f>
        <v/>
      </c>
      <c r="O1274" s="59">
        <f>IF(tblMovement[[#This Row],[Is_Ore]]=1,tblMovement[[#This Row],[Contained_oz]],0)</f>
        <v/>
      </c>
    </row>
    <row r="1275">
      <c r="A1275" s="54" t="n"/>
      <c r="B1275" s="61" t="n"/>
      <c r="C1275" s="61" t="n"/>
      <c r="D1275" s="61" t="n"/>
      <c r="E1275" s="61" t="n"/>
      <c r="F1275" s="55" t="n"/>
      <c r="G1275" s="56" t="n"/>
      <c r="H1275" s="55" t="n"/>
      <c r="I1275" s="62" t="n"/>
      <c r="J1275" s="58" t="n"/>
      <c r="K1275" s="63">
        <f>IF(tblMovement[[#This Row],[Source]]="","",IFERROR(INDEX(tblSources[Type],MATCH(tblMovement[[#This Row],[Source]],tblSources[Source],0)),"?"))</f>
        <v/>
      </c>
      <c r="L1275" s="63">
        <f>IF(tblMovement[[#This Row],[Destination]]="","",IFERROR(INDEX(tblDestinations[Type],MATCH(tblMovement[[#This Row],[Destination]],tblDestinations[Destination],0)),"?"))</f>
        <v/>
      </c>
      <c r="M1275" s="64">
        <f>IF(tblMovement[[#This Row],[Material]]="","",IF(LEFT(tblMovement[[#This Row],[Material]],3)="Ore",1,0))</f>
        <v/>
      </c>
      <c r="N1275" s="59">
        <f>IF(OR(tblMovement[[#This Row],[Tonnes_t]]="",tblMovement[[#This Row],[Grade_gpt]]=""),0,tblMovement[[#This Row],[Tonnes_t]]*tblMovement[[#This Row],[Grade_gpt]]/cfg_TroyOz)</f>
        <v/>
      </c>
      <c r="O1275" s="59">
        <f>IF(tblMovement[[#This Row],[Is_Ore]]=1,tblMovement[[#This Row],[Contained_oz]],0)</f>
        <v/>
      </c>
    </row>
    <row r="1276">
      <c r="A1276" s="54" t="n"/>
      <c r="B1276" s="61" t="n"/>
      <c r="C1276" s="61" t="n"/>
      <c r="D1276" s="61" t="n"/>
      <c r="E1276" s="61" t="n"/>
      <c r="F1276" s="55" t="n"/>
      <c r="G1276" s="56" t="n"/>
      <c r="H1276" s="55" t="n"/>
      <c r="I1276" s="62" t="n"/>
      <c r="J1276" s="58" t="n"/>
      <c r="K1276" s="63">
        <f>IF(tblMovement[[#This Row],[Source]]="","",IFERROR(INDEX(tblSources[Type],MATCH(tblMovement[[#This Row],[Source]],tblSources[Source],0)),"?"))</f>
        <v/>
      </c>
      <c r="L1276" s="63">
        <f>IF(tblMovement[[#This Row],[Destination]]="","",IFERROR(INDEX(tblDestinations[Type],MATCH(tblMovement[[#This Row],[Destination]],tblDestinations[Destination],0)),"?"))</f>
        <v/>
      </c>
      <c r="M1276" s="64">
        <f>IF(tblMovement[[#This Row],[Material]]="","",IF(LEFT(tblMovement[[#This Row],[Material]],3)="Ore",1,0))</f>
        <v/>
      </c>
      <c r="N1276" s="59">
        <f>IF(OR(tblMovement[[#This Row],[Tonnes_t]]="",tblMovement[[#This Row],[Grade_gpt]]=""),0,tblMovement[[#This Row],[Tonnes_t]]*tblMovement[[#This Row],[Grade_gpt]]/cfg_TroyOz)</f>
        <v/>
      </c>
      <c r="O1276" s="59">
        <f>IF(tblMovement[[#This Row],[Is_Ore]]=1,tblMovement[[#This Row],[Contained_oz]],0)</f>
        <v/>
      </c>
    </row>
    <row r="1277">
      <c r="A1277" s="54" t="n"/>
      <c r="B1277" s="61" t="n"/>
      <c r="C1277" s="61" t="n"/>
      <c r="D1277" s="61" t="n"/>
      <c r="E1277" s="61" t="n"/>
      <c r="F1277" s="55" t="n"/>
      <c r="G1277" s="56" t="n"/>
      <c r="H1277" s="55" t="n"/>
      <c r="I1277" s="62" t="n"/>
      <c r="J1277" s="58" t="n"/>
      <c r="K1277" s="63">
        <f>IF(tblMovement[[#This Row],[Source]]="","",IFERROR(INDEX(tblSources[Type],MATCH(tblMovement[[#This Row],[Source]],tblSources[Source],0)),"?"))</f>
        <v/>
      </c>
      <c r="L1277" s="63">
        <f>IF(tblMovement[[#This Row],[Destination]]="","",IFERROR(INDEX(tblDestinations[Type],MATCH(tblMovement[[#This Row],[Destination]],tblDestinations[Destination],0)),"?"))</f>
        <v/>
      </c>
      <c r="M1277" s="64">
        <f>IF(tblMovement[[#This Row],[Material]]="","",IF(LEFT(tblMovement[[#This Row],[Material]],3)="Ore",1,0))</f>
        <v/>
      </c>
      <c r="N1277" s="59">
        <f>IF(OR(tblMovement[[#This Row],[Tonnes_t]]="",tblMovement[[#This Row],[Grade_gpt]]=""),0,tblMovement[[#This Row],[Tonnes_t]]*tblMovement[[#This Row],[Grade_gpt]]/cfg_TroyOz)</f>
        <v/>
      </c>
      <c r="O1277" s="59">
        <f>IF(tblMovement[[#This Row],[Is_Ore]]=1,tblMovement[[#This Row],[Contained_oz]],0)</f>
        <v/>
      </c>
    </row>
    <row r="1278">
      <c r="A1278" s="54" t="n"/>
      <c r="B1278" s="61" t="n"/>
      <c r="C1278" s="61" t="n"/>
      <c r="D1278" s="61" t="n"/>
      <c r="E1278" s="61" t="n"/>
      <c r="F1278" s="55" t="n"/>
      <c r="G1278" s="56" t="n"/>
      <c r="H1278" s="55" t="n"/>
      <c r="I1278" s="62" t="n"/>
      <c r="J1278" s="58" t="n"/>
      <c r="K1278" s="63">
        <f>IF(tblMovement[[#This Row],[Source]]="","",IFERROR(INDEX(tblSources[Type],MATCH(tblMovement[[#This Row],[Source]],tblSources[Source],0)),"?"))</f>
        <v/>
      </c>
      <c r="L1278" s="63">
        <f>IF(tblMovement[[#This Row],[Destination]]="","",IFERROR(INDEX(tblDestinations[Type],MATCH(tblMovement[[#This Row],[Destination]],tblDestinations[Destination],0)),"?"))</f>
        <v/>
      </c>
      <c r="M1278" s="64">
        <f>IF(tblMovement[[#This Row],[Material]]="","",IF(LEFT(tblMovement[[#This Row],[Material]],3)="Ore",1,0))</f>
        <v/>
      </c>
      <c r="N1278" s="59">
        <f>IF(OR(tblMovement[[#This Row],[Tonnes_t]]="",tblMovement[[#This Row],[Grade_gpt]]=""),0,tblMovement[[#This Row],[Tonnes_t]]*tblMovement[[#This Row],[Grade_gpt]]/cfg_TroyOz)</f>
        <v/>
      </c>
      <c r="O1278" s="59">
        <f>IF(tblMovement[[#This Row],[Is_Ore]]=1,tblMovement[[#This Row],[Contained_oz]],0)</f>
        <v/>
      </c>
    </row>
    <row r="1279">
      <c r="A1279" s="54" t="n"/>
      <c r="B1279" s="61" t="n"/>
      <c r="C1279" s="61" t="n"/>
      <c r="D1279" s="61" t="n"/>
      <c r="E1279" s="61" t="n"/>
      <c r="F1279" s="55" t="n"/>
      <c r="G1279" s="56" t="n"/>
      <c r="H1279" s="55" t="n"/>
      <c r="I1279" s="62" t="n"/>
      <c r="J1279" s="58" t="n"/>
      <c r="K1279" s="63">
        <f>IF(tblMovement[[#This Row],[Source]]="","",IFERROR(INDEX(tblSources[Type],MATCH(tblMovement[[#This Row],[Source]],tblSources[Source],0)),"?"))</f>
        <v/>
      </c>
      <c r="L1279" s="63">
        <f>IF(tblMovement[[#This Row],[Destination]]="","",IFERROR(INDEX(tblDestinations[Type],MATCH(tblMovement[[#This Row],[Destination]],tblDestinations[Destination],0)),"?"))</f>
        <v/>
      </c>
      <c r="M1279" s="64">
        <f>IF(tblMovement[[#This Row],[Material]]="","",IF(LEFT(tblMovement[[#This Row],[Material]],3)="Ore",1,0))</f>
        <v/>
      </c>
      <c r="N1279" s="59">
        <f>IF(OR(tblMovement[[#This Row],[Tonnes_t]]="",tblMovement[[#This Row],[Grade_gpt]]=""),0,tblMovement[[#This Row],[Tonnes_t]]*tblMovement[[#This Row],[Grade_gpt]]/cfg_TroyOz)</f>
        <v/>
      </c>
      <c r="O1279" s="59">
        <f>IF(tblMovement[[#This Row],[Is_Ore]]=1,tblMovement[[#This Row],[Contained_oz]],0)</f>
        <v/>
      </c>
    </row>
    <row r="1280">
      <c r="A1280" s="54" t="n"/>
      <c r="B1280" s="61" t="n"/>
      <c r="C1280" s="61" t="n"/>
      <c r="D1280" s="61" t="n"/>
      <c r="E1280" s="61" t="n"/>
      <c r="F1280" s="55" t="n"/>
      <c r="G1280" s="56" t="n"/>
      <c r="H1280" s="55" t="n"/>
      <c r="I1280" s="62" t="n"/>
      <c r="J1280" s="58" t="n"/>
      <c r="K1280" s="63">
        <f>IF(tblMovement[[#This Row],[Source]]="","",IFERROR(INDEX(tblSources[Type],MATCH(tblMovement[[#This Row],[Source]],tblSources[Source],0)),"?"))</f>
        <v/>
      </c>
      <c r="L1280" s="63">
        <f>IF(tblMovement[[#This Row],[Destination]]="","",IFERROR(INDEX(tblDestinations[Type],MATCH(tblMovement[[#This Row],[Destination]],tblDestinations[Destination],0)),"?"))</f>
        <v/>
      </c>
      <c r="M1280" s="64">
        <f>IF(tblMovement[[#This Row],[Material]]="","",IF(LEFT(tblMovement[[#This Row],[Material]],3)="Ore",1,0))</f>
        <v/>
      </c>
      <c r="N1280" s="59">
        <f>IF(OR(tblMovement[[#This Row],[Tonnes_t]]="",tblMovement[[#This Row],[Grade_gpt]]=""),0,tblMovement[[#This Row],[Tonnes_t]]*tblMovement[[#This Row],[Grade_gpt]]/cfg_TroyOz)</f>
        <v/>
      </c>
      <c r="O1280" s="59">
        <f>IF(tblMovement[[#This Row],[Is_Ore]]=1,tblMovement[[#This Row],[Contained_oz]],0)</f>
        <v/>
      </c>
    </row>
    <row r="1281">
      <c r="A1281" s="54" t="n"/>
      <c r="B1281" s="61" t="n"/>
      <c r="C1281" s="61" t="n"/>
      <c r="D1281" s="61" t="n"/>
      <c r="E1281" s="61" t="n"/>
      <c r="F1281" s="55" t="n"/>
      <c r="G1281" s="56" t="n"/>
      <c r="H1281" s="55" t="n"/>
      <c r="I1281" s="62" t="n"/>
      <c r="J1281" s="58" t="n"/>
      <c r="K1281" s="63">
        <f>IF(tblMovement[[#This Row],[Source]]="","",IFERROR(INDEX(tblSources[Type],MATCH(tblMovement[[#This Row],[Source]],tblSources[Source],0)),"?"))</f>
        <v/>
      </c>
      <c r="L1281" s="63">
        <f>IF(tblMovement[[#This Row],[Destination]]="","",IFERROR(INDEX(tblDestinations[Type],MATCH(tblMovement[[#This Row],[Destination]],tblDestinations[Destination],0)),"?"))</f>
        <v/>
      </c>
      <c r="M1281" s="64">
        <f>IF(tblMovement[[#This Row],[Material]]="","",IF(LEFT(tblMovement[[#This Row],[Material]],3)="Ore",1,0))</f>
        <v/>
      </c>
      <c r="N1281" s="59">
        <f>IF(OR(tblMovement[[#This Row],[Tonnes_t]]="",tblMovement[[#This Row],[Grade_gpt]]=""),0,tblMovement[[#This Row],[Tonnes_t]]*tblMovement[[#This Row],[Grade_gpt]]/cfg_TroyOz)</f>
        <v/>
      </c>
      <c r="O1281" s="59">
        <f>IF(tblMovement[[#This Row],[Is_Ore]]=1,tblMovement[[#This Row],[Contained_oz]],0)</f>
        <v/>
      </c>
    </row>
    <row r="1282">
      <c r="A1282" s="54" t="n"/>
      <c r="B1282" s="61" t="n"/>
      <c r="C1282" s="61" t="n"/>
      <c r="D1282" s="61" t="n"/>
      <c r="E1282" s="61" t="n"/>
      <c r="F1282" s="55" t="n"/>
      <c r="G1282" s="56" t="n"/>
      <c r="H1282" s="55" t="n"/>
      <c r="I1282" s="62" t="n"/>
      <c r="J1282" s="58" t="n"/>
      <c r="K1282" s="63">
        <f>IF(tblMovement[[#This Row],[Source]]="","",IFERROR(INDEX(tblSources[Type],MATCH(tblMovement[[#This Row],[Source]],tblSources[Source],0)),"?"))</f>
        <v/>
      </c>
      <c r="L1282" s="63">
        <f>IF(tblMovement[[#This Row],[Destination]]="","",IFERROR(INDEX(tblDestinations[Type],MATCH(tblMovement[[#This Row],[Destination]],tblDestinations[Destination],0)),"?"))</f>
        <v/>
      </c>
      <c r="M1282" s="64">
        <f>IF(tblMovement[[#This Row],[Material]]="","",IF(LEFT(tblMovement[[#This Row],[Material]],3)="Ore",1,0))</f>
        <v/>
      </c>
      <c r="N1282" s="59">
        <f>IF(OR(tblMovement[[#This Row],[Tonnes_t]]="",tblMovement[[#This Row],[Grade_gpt]]=""),0,tblMovement[[#This Row],[Tonnes_t]]*tblMovement[[#This Row],[Grade_gpt]]/cfg_TroyOz)</f>
        <v/>
      </c>
      <c r="O1282" s="59">
        <f>IF(tblMovement[[#This Row],[Is_Ore]]=1,tblMovement[[#This Row],[Contained_oz]],0)</f>
        <v/>
      </c>
    </row>
    <row r="1283">
      <c r="A1283" s="54" t="n"/>
      <c r="B1283" s="61" t="n"/>
      <c r="C1283" s="61" t="n"/>
      <c r="D1283" s="61" t="n"/>
      <c r="E1283" s="61" t="n"/>
      <c r="F1283" s="55" t="n"/>
      <c r="G1283" s="56" t="n"/>
      <c r="H1283" s="55" t="n"/>
      <c r="I1283" s="62" t="n"/>
      <c r="J1283" s="58" t="n"/>
      <c r="K1283" s="63">
        <f>IF(tblMovement[[#This Row],[Source]]="","",IFERROR(INDEX(tblSources[Type],MATCH(tblMovement[[#This Row],[Source]],tblSources[Source],0)),"?"))</f>
        <v/>
      </c>
      <c r="L1283" s="63">
        <f>IF(tblMovement[[#This Row],[Destination]]="","",IFERROR(INDEX(tblDestinations[Type],MATCH(tblMovement[[#This Row],[Destination]],tblDestinations[Destination],0)),"?"))</f>
        <v/>
      </c>
      <c r="M1283" s="64">
        <f>IF(tblMovement[[#This Row],[Material]]="","",IF(LEFT(tblMovement[[#This Row],[Material]],3)="Ore",1,0))</f>
        <v/>
      </c>
      <c r="N1283" s="59">
        <f>IF(OR(tblMovement[[#This Row],[Tonnes_t]]="",tblMovement[[#This Row],[Grade_gpt]]=""),0,tblMovement[[#This Row],[Tonnes_t]]*tblMovement[[#This Row],[Grade_gpt]]/cfg_TroyOz)</f>
        <v/>
      </c>
      <c r="O1283" s="59">
        <f>IF(tblMovement[[#This Row],[Is_Ore]]=1,tblMovement[[#This Row],[Contained_oz]],0)</f>
        <v/>
      </c>
    </row>
    <row r="1284">
      <c r="A1284" s="54" t="n"/>
      <c r="B1284" s="61" t="n"/>
      <c r="C1284" s="61" t="n"/>
      <c r="D1284" s="61" t="n"/>
      <c r="E1284" s="61" t="n"/>
      <c r="F1284" s="55" t="n"/>
      <c r="G1284" s="56" t="n"/>
      <c r="H1284" s="55" t="n"/>
      <c r="I1284" s="62" t="n"/>
      <c r="J1284" s="58" t="n"/>
      <c r="K1284" s="63">
        <f>IF(tblMovement[[#This Row],[Source]]="","",IFERROR(INDEX(tblSources[Type],MATCH(tblMovement[[#This Row],[Source]],tblSources[Source],0)),"?"))</f>
        <v/>
      </c>
      <c r="L1284" s="63">
        <f>IF(tblMovement[[#This Row],[Destination]]="","",IFERROR(INDEX(tblDestinations[Type],MATCH(tblMovement[[#This Row],[Destination]],tblDestinations[Destination],0)),"?"))</f>
        <v/>
      </c>
      <c r="M1284" s="64">
        <f>IF(tblMovement[[#This Row],[Material]]="","",IF(LEFT(tblMovement[[#This Row],[Material]],3)="Ore",1,0))</f>
        <v/>
      </c>
      <c r="N1284" s="59">
        <f>IF(OR(tblMovement[[#This Row],[Tonnes_t]]="",tblMovement[[#This Row],[Grade_gpt]]=""),0,tblMovement[[#This Row],[Tonnes_t]]*tblMovement[[#This Row],[Grade_gpt]]/cfg_TroyOz)</f>
        <v/>
      </c>
      <c r="O1284" s="59">
        <f>IF(tblMovement[[#This Row],[Is_Ore]]=1,tblMovement[[#This Row],[Contained_oz]],0)</f>
        <v/>
      </c>
    </row>
    <row r="1285">
      <c r="A1285" s="54" t="n"/>
      <c r="B1285" s="61" t="n"/>
      <c r="C1285" s="61" t="n"/>
      <c r="D1285" s="61" t="n"/>
      <c r="E1285" s="61" t="n"/>
      <c r="F1285" s="55" t="n"/>
      <c r="G1285" s="56" t="n"/>
      <c r="H1285" s="55" t="n"/>
      <c r="I1285" s="62" t="n"/>
      <c r="J1285" s="58" t="n"/>
      <c r="K1285" s="63">
        <f>IF(tblMovement[[#This Row],[Source]]="","",IFERROR(INDEX(tblSources[Type],MATCH(tblMovement[[#This Row],[Source]],tblSources[Source],0)),"?"))</f>
        <v/>
      </c>
      <c r="L1285" s="63">
        <f>IF(tblMovement[[#This Row],[Destination]]="","",IFERROR(INDEX(tblDestinations[Type],MATCH(tblMovement[[#This Row],[Destination]],tblDestinations[Destination],0)),"?"))</f>
        <v/>
      </c>
      <c r="M1285" s="64">
        <f>IF(tblMovement[[#This Row],[Material]]="","",IF(LEFT(tblMovement[[#This Row],[Material]],3)="Ore",1,0))</f>
        <v/>
      </c>
      <c r="N1285" s="59">
        <f>IF(OR(tblMovement[[#This Row],[Tonnes_t]]="",tblMovement[[#This Row],[Grade_gpt]]=""),0,tblMovement[[#This Row],[Tonnes_t]]*tblMovement[[#This Row],[Grade_gpt]]/cfg_TroyOz)</f>
        <v/>
      </c>
      <c r="O1285" s="59">
        <f>IF(tblMovement[[#This Row],[Is_Ore]]=1,tblMovement[[#This Row],[Contained_oz]],0)</f>
        <v/>
      </c>
    </row>
    <row r="1286">
      <c r="A1286" s="54" t="n"/>
      <c r="B1286" s="61" t="n"/>
      <c r="C1286" s="61" t="n"/>
      <c r="D1286" s="61" t="n"/>
      <c r="E1286" s="61" t="n"/>
      <c r="F1286" s="55" t="n"/>
      <c r="G1286" s="56" t="n"/>
      <c r="H1286" s="55" t="n"/>
      <c r="I1286" s="62" t="n"/>
      <c r="J1286" s="58" t="n"/>
      <c r="K1286" s="63">
        <f>IF(tblMovement[[#This Row],[Source]]="","",IFERROR(INDEX(tblSources[Type],MATCH(tblMovement[[#This Row],[Source]],tblSources[Source],0)),"?"))</f>
        <v/>
      </c>
      <c r="L1286" s="63">
        <f>IF(tblMovement[[#This Row],[Destination]]="","",IFERROR(INDEX(tblDestinations[Type],MATCH(tblMovement[[#This Row],[Destination]],tblDestinations[Destination],0)),"?"))</f>
        <v/>
      </c>
      <c r="M1286" s="64">
        <f>IF(tblMovement[[#This Row],[Material]]="","",IF(LEFT(tblMovement[[#This Row],[Material]],3)="Ore",1,0))</f>
        <v/>
      </c>
      <c r="N1286" s="59">
        <f>IF(OR(tblMovement[[#This Row],[Tonnes_t]]="",tblMovement[[#This Row],[Grade_gpt]]=""),0,tblMovement[[#This Row],[Tonnes_t]]*tblMovement[[#This Row],[Grade_gpt]]/cfg_TroyOz)</f>
        <v/>
      </c>
      <c r="O1286" s="59">
        <f>IF(tblMovement[[#This Row],[Is_Ore]]=1,tblMovement[[#This Row],[Contained_oz]],0)</f>
        <v/>
      </c>
    </row>
    <row r="1287">
      <c r="A1287" s="54" t="n"/>
      <c r="B1287" s="61" t="n"/>
      <c r="C1287" s="61" t="n"/>
      <c r="D1287" s="61" t="n"/>
      <c r="E1287" s="61" t="n"/>
      <c r="F1287" s="55" t="n"/>
      <c r="G1287" s="56" t="n"/>
      <c r="H1287" s="55" t="n"/>
      <c r="I1287" s="62" t="n"/>
      <c r="J1287" s="58" t="n"/>
      <c r="K1287" s="63">
        <f>IF(tblMovement[[#This Row],[Source]]="","",IFERROR(INDEX(tblSources[Type],MATCH(tblMovement[[#This Row],[Source]],tblSources[Source],0)),"?"))</f>
        <v/>
      </c>
      <c r="L1287" s="63">
        <f>IF(tblMovement[[#This Row],[Destination]]="","",IFERROR(INDEX(tblDestinations[Type],MATCH(tblMovement[[#This Row],[Destination]],tblDestinations[Destination],0)),"?"))</f>
        <v/>
      </c>
      <c r="M1287" s="64">
        <f>IF(tblMovement[[#This Row],[Material]]="","",IF(LEFT(tblMovement[[#This Row],[Material]],3)="Ore",1,0))</f>
        <v/>
      </c>
      <c r="N1287" s="59">
        <f>IF(OR(tblMovement[[#This Row],[Tonnes_t]]="",tblMovement[[#This Row],[Grade_gpt]]=""),0,tblMovement[[#This Row],[Tonnes_t]]*tblMovement[[#This Row],[Grade_gpt]]/cfg_TroyOz)</f>
        <v/>
      </c>
      <c r="O1287" s="59">
        <f>IF(tblMovement[[#This Row],[Is_Ore]]=1,tblMovement[[#This Row],[Contained_oz]],0)</f>
        <v/>
      </c>
    </row>
    <row r="1288">
      <c r="A1288" s="54" t="n"/>
      <c r="B1288" s="61" t="n"/>
      <c r="C1288" s="61" t="n"/>
      <c r="D1288" s="61" t="n"/>
      <c r="E1288" s="61" t="n"/>
      <c r="F1288" s="55" t="n"/>
      <c r="G1288" s="56" t="n"/>
      <c r="H1288" s="55" t="n"/>
      <c r="I1288" s="62" t="n"/>
      <c r="J1288" s="58" t="n"/>
      <c r="K1288" s="63">
        <f>IF(tblMovement[[#This Row],[Source]]="","",IFERROR(INDEX(tblSources[Type],MATCH(tblMovement[[#This Row],[Source]],tblSources[Source],0)),"?"))</f>
        <v/>
      </c>
      <c r="L1288" s="63">
        <f>IF(tblMovement[[#This Row],[Destination]]="","",IFERROR(INDEX(tblDestinations[Type],MATCH(tblMovement[[#This Row],[Destination]],tblDestinations[Destination],0)),"?"))</f>
        <v/>
      </c>
      <c r="M1288" s="64">
        <f>IF(tblMovement[[#This Row],[Material]]="","",IF(LEFT(tblMovement[[#This Row],[Material]],3)="Ore",1,0))</f>
        <v/>
      </c>
      <c r="N1288" s="59">
        <f>IF(OR(tblMovement[[#This Row],[Tonnes_t]]="",tblMovement[[#This Row],[Grade_gpt]]=""),0,tblMovement[[#This Row],[Tonnes_t]]*tblMovement[[#This Row],[Grade_gpt]]/cfg_TroyOz)</f>
        <v/>
      </c>
      <c r="O1288" s="59">
        <f>IF(tblMovement[[#This Row],[Is_Ore]]=1,tblMovement[[#This Row],[Contained_oz]],0)</f>
        <v/>
      </c>
    </row>
    <row r="1289">
      <c r="A1289" s="54" t="n"/>
      <c r="B1289" s="61" t="n"/>
      <c r="C1289" s="61" t="n"/>
      <c r="D1289" s="61" t="n"/>
      <c r="E1289" s="61" t="n"/>
      <c r="F1289" s="55" t="n"/>
      <c r="G1289" s="56" t="n"/>
      <c r="H1289" s="55" t="n"/>
      <c r="I1289" s="62" t="n"/>
      <c r="J1289" s="58" t="n"/>
      <c r="K1289" s="63">
        <f>IF(tblMovement[[#This Row],[Source]]="","",IFERROR(INDEX(tblSources[Type],MATCH(tblMovement[[#This Row],[Source]],tblSources[Source],0)),"?"))</f>
        <v/>
      </c>
      <c r="L1289" s="63">
        <f>IF(tblMovement[[#This Row],[Destination]]="","",IFERROR(INDEX(tblDestinations[Type],MATCH(tblMovement[[#This Row],[Destination]],tblDestinations[Destination],0)),"?"))</f>
        <v/>
      </c>
      <c r="M1289" s="64">
        <f>IF(tblMovement[[#This Row],[Material]]="","",IF(LEFT(tblMovement[[#This Row],[Material]],3)="Ore",1,0))</f>
        <v/>
      </c>
      <c r="N1289" s="59">
        <f>IF(OR(tblMovement[[#This Row],[Tonnes_t]]="",tblMovement[[#This Row],[Grade_gpt]]=""),0,tblMovement[[#This Row],[Tonnes_t]]*tblMovement[[#This Row],[Grade_gpt]]/cfg_TroyOz)</f>
        <v/>
      </c>
      <c r="O1289" s="59">
        <f>IF(tblMovement[[#This Row],[Is_Ore]]=1,tblMovement[[#This Row],[Contained_oz]],0)</f>
        <v/>
      </c>
    </row>
    <row r="1290">
      <c r="A1290" s="54" t="n"/>
      <c r="B1290" s="61" t="n"/>
      <c r="C1290" s="61" t="n"/>
      <c r="D1290" s="61" t="n"/>
      <c r="E1290" s="61" t="n"/>
      <c r="F1290" s="55" t="n"/>
      <c r="G1290" s="56" t="n"/>
      <c r="H1290" s="55" t="n"/>
      <c r="I1290" s="62" t="n"/>
      <c r="J1290" s="58" t="n"/>
      <c r="K1290" s="63">
        <f>IF(tblMovement[[#This Row],[Source]]="","",IFERROR(INDEX(tblSources[Type],MATCH(tblMovement[[#This Row],[Source]],tblSources[Source],0)),"?"))</f>
        <v/>
      </c>
      <c r="L1290" s="63">
        <f>IF(tblMovement[[#This Row],[Destination]]="","",IFERROR(INDEX(tblDestinations[Type],MATCH(tblMovement[[#This Row],[Destination]],tblDestinations[Destination],0)),"?"))</f>
        <v/>
      </c>
      <c r="M1290" s="64">
        <f>IF(tblMovement[[#This Row],[Material]]="","",IF(LEFT(tblMovement[[#This Row],[Material]],3)="Ore",1,0))</f>
        <v/>
      </c>
      <c r="N1290" s="59">
        <f>IF(OR(tblMovement[[#This Row],[Tonnes_t]]="",tblMovement[[#This Row],[Grade_gpt]]=""),0,tblMovement[[#This Row],[Tonnes_t]]*tblMovement[[#This Row],[Grade_gpt]]/cfg_TroyOz)</f>
        <v/>
      </c>
      <c r="O1290" s="59">
        <f>IF(tblMovement[[#This Row],[Is_Ore]]=1,tblMovement[[#This Row],[Contained_oz]],0)</f>
        <v/>
      </c>
    </row>
    <row r="1291">
      <c r="A1291" s="54" t="n"/>
      <c r="B1291" s="61" t="n"/>
      <c r="C1291" s="61" t="n"/>
      <c r="D1291" s="61" t="n"/>
      <c r="E1291" s="61" t="n"/>
      <c r="F1291" s="55" t="n"/>
      <c r="G1291" s="56" t="n"/>
      <c r="H1291" s="55" t="n"/>
      <c r="I1291" s="62" t="n"/>
      <c r="J1291" s="58" t="n"/>
      <c r="K1291" s="63">
        <f>IF(tblMovement[[#This Row],[Source]]="","",IFERROR(INDEX(tblSources[Type],MATCH(tblMovement[[#This Row],[Source]],tblSources[Source],0)),"?"))</f>
        <v/>
      </c>
      <c r="L1291" s="63">
        <f>IF(tblMovement[[#This Row],[Destination]]="","",IFERROR(INDEX(tblDestinations[Type],MATCH(tblMovement[[#This Row],[Destination]],tblDestinations[Destination],0)),"?"))</f>
        <v/>
      </c>
      <c r="M1291" s="64">
        <f>IF(tblMovement[[#This Row],[Material]]="","",IF(LEFT(tblMovement[[#This Row],[Material]],3)="Ore",1,0))</f>
        <v/>
      </c>
      <c r="N1291" s="59">
        <f>IF(OR(tblMovement[[#This Row],[Tonnes_t]]="",tblMovement[[#This Row],[Grade_gpt]]=""),0,tblMovement[[#This Row],[Tonnes_t]]*tblMovement[[#This Row],[Grade_gpt]]/cfg_TroyOz)</f>
        <v/>
      </c>
      <c r="O1291" s="59">
        <f>IF(tblMovement[[#This Row],[Is_Ore]]=1,tblMovement[[#This Row],[Contained_oz]],0)</f>
        <v/>
      </c>
    </row>
    <row r="1292">
      <c r="A1292" s="54" t="n"/>
      <c r="B1292" s="61" t="n"/>
      <c r="C1292" s="61" t="n"/>
      <c r="D1292" s="61" t="n"/>
      <c r="E1292" s="61" t="n"/>
      <c r="F1292" s="55" t="n"/>
      <c r="G1292" s="56" t="n"/>
      <c r="H1292" s="55" t="n"/>
      <c r="I1292" s="62" t="n"/>
      <c r="J1292" s="58" t="n"/>
      <c r="K1292" s="63">
        <f>IF(tblMovement[[#This Row],[Source]]="","",IFERROR(INDEX(tblSources[Type],MATCH(tblMovement[[#This Row],[Source]],tblSources[Source],0)),"?"))</f>
        <v/>
      </c>
      <c r="L1292" s="63">
        <f>IF(tblMovement[[#This Row],[Destination]]="","",IFERROR(INDEX(tblDestinations[Type],MATCH(tblMovement[[#This Row],[Destination]],tblDestinations[Destination],0)),"?"))</f>
        <v/>
      </c>
      <c r="M1292" s="64">
        <f>IF(tblMovement[[#This Row],[Material]]="","",IF(LEFT(tblMovement[[#This Row],[Material]],3)="Ore",1,0))</f>
        <v/>
      </c>
      <c r="N1292" s="59">
        <f>IF(OR(tblMovement[[#This Row],[Tonnes_t]]="",tblMovement[[#This Row],[Grade_gpt]]=""),0,tblMovement[[#This Row],[Tonnes_t]]*tblMovement[[#This Row],[Grade_gpt]]/cfg_TroyOz)</f>
        <v/>
      </c>
      <c r="O1292" s="59">
        <f>IF(tblMovement[[#This Row],[Is_Ore]]=1,tblMovement[[#This Row],[Contained_oz]],0)</f>
        <v/>
      </c>
    </row>
    <row r="1293">
      <c r="A1293" s="54" t="n"/>
      <c r="B1293" s="61" t="n"/>
      <c r="C1293" s="61" t="n"/>
      <c r="D1293" s="61" t="n"/>
      <c r="E1293" s="61" t="n"/>
      <c r="F1293" s="55" t="n"/>
      <c r="G1293" s="56" t="n"/>
      <c r="H1293" s="55" t="n"/>
      <c r="I1293" s="62" t="n"/>
      <c r="J1293" s="58" t="n"/>
      <c r="K1293" s="63">
        <f>IF(tblMovement[[#This Row],[Source]]="","",IFERROR(INDEX(tblSources[Type],MATCH(tblMovement[[#This Row],[Source]],tblSources[Source],0)),"?"))</f>
        <v/>
      </c>
      <c r="L1293" s="63">
        <f>IF(tblMovement[[#This Row],[Destination]]="","",IFERROR(INDEX(tblDestinations[Type],MATCH(tblMovement[[#This Row],[Destination]],tblDestinations[Destination],0)),"?"))</f>
        <v/>
      </c>
      <c r="M1293" s="64">
        <f>IF(tblMovement[[#This Row],[Material]]="","",IF(LEFT(tblMovement[[#This Row],[Material]],3)="Ore",1,0))</f>
        <v/>
      </c>
      <c r="N1293" s="59">
        <f>IF(OR(tblMovement[[#This Row],[Tonnes_t]]="",tblMovement[[#This Row],[Grade_gpt]]=""),0,tblMovement[[#This Row],[Tonnes_t]]*tblMovement[[#This Row],[Grade_gpt]]/cfg_TroyOz)</f>
        <v/>
      </c>
      <c r="O1293" s="59">
        <f>IF(tblMovement[[#This Row],[Is_Ore]]=1,tblMovement[[#This Row],[Contained_oz]],0)</f>
        <v/>
      </c>
    </row>
    <row r="1294">
      <c r="A1294" s="54" t="n"/>
      <c r="B1294" s="61" t="n"/>
      <c r="C1294" s="61" t="n"/>
      <c r="D1294" s="61" t="n"/>
      <c r="E1294" s="61" t="n"/>
      <c r="F1294" s="55" t="n"/>
      <c r="G1294" s="56" t="n"/>
      <c r="H1294" s="55" t="n"/>
      <c r="I1294" s="62" t="n"/>
      <c r="J1294" s="58" t="n"/>
      <c r="K1294" s="63">
        <f>IF(tblMovement[[#This Row],[Source]]="","",IFERROR(INDEX(tblSources[Type],MATCH(tblMovement[[#This Row],[Source]],tblSources[Source],0)),"?"))</f>
        <v/>
      </c>
      <c r="L1294" s="63">
        <f>IF(tblMovement[[#This Row],[Destination]]="","",IFERROR(INDEX(tblDestinations[Type],MATCH(tblMovement[[#This Row],[Destination]],tblDestinations[Destination],0)),"?"))</f>
        <v/>
      </c>
      <c r="M1294" s="64">
        <f>IF(tblMovement[[#This Row],[Material]]="","",IF(LEFT(tblMovement[[#This Row],[Material]],3)="Ore",1,0))</f>
        <v/>
      </c>
      <c r="N1294" s="59">
        <f>IF(OR(tblMovement[[#This Row],[Tonnes_t]]="",tblMovement[[#This Row],[Grade_gpt]]=""),0,tblMovement[[#This Row],[Tonnes_t]]*tblMovement[[#This Row],[Grade_gpt]]/cfg_TroyOz)</f>
        <v/>
      </c>
      <c r="O1294" s="59">
        <f>IF(tblMovement[[#This Row],[Is_Ore]]=1,tblMovement[[#This Row],[Contained_oz]],0)</f>
        <v/>
      </c>
    </row>
    <row r="1295">
      <c r="A1295" s="54" t="n"/>
      <c r="B1295" s="61" t="n"/>
      <c r="C1295" s="61" t="n"/>
      <c r="D1295" s="61" t="n"/>
      <c r="E1295" s="61" t="n"/>
      <c r="F1295" s="55" t="n"/>
      <c r="G1295" s="56" t="n"/>
      <c r="H1295" s="55" t="n"/>
      <c r="I1295" s="62" t="n"/>
      <c r="J1295" s="58" t="n"/>
      <c r="K1295" s="63">
        <f>IF(tblMovement[[#This Row],[Source]]="","",IFERROR(INDEX(tblSources[Type],MATCH(tblMovement[[#This Row],[Source]],tblSources[Source],0)),"?"))</f>
        <v/>
      </c>
      <c r="L1295" s="63">
        <f>IF(tblMovement[[#This Row],[Destination]]="","",IFERROR(INDEX(tblDestinations[Type],MATCH(tblMovement[[#This Row],[Destination]],tblDestinations[Destination],0)),"?"))</f>
        <v/>
      </c>
      <c r="M1295" s="64">
        <f>IF(tblMovement[[#This Row],[Material]]="","",IF(LEFT(tblMovement[[#This Row],[Material]],3)="Ore",1,0))</f>
        <v/>
      </c>
      <c r="N1295" s="59">
        <f>IF(OR(tblMovement[[#This Row],[Tonnes_t]]="",tblMovement[[#This Row],[Grade_gpt]]=""),0,tblMovement[[#This Row],[Tonnes_t]]*tblMovement[[#This Row],[Grade_gpt]]/cfg_TroyOz)</f>
        <v/>
      </c>
      <c r="O1295" s="59">
        <f>IF(tblMovement[[#This Row],[Is_Ore]]=1,tblMovement[[#This Row],[Contained_oz]],0)</f>
        <v/>
      </c>
    </row>
    <row r="1296">
      <c r="A1296" s="54" t="n"/>
      <c r="B1296" s="61" t="n"/>
      <c r="C1296" s="61" t="n"/>
      <c r="D1296" s="61" t="n"/>
      <c r="E1296" s="61" t="n"/>
      <c r="F1296" s="55" t="n"/>
      <c r="G1296" s="56" t="n"/>
      <c r="H1296" s="55" t="n"/>
      <c r="I1296" s="62" t="n"/>
      <c r="J1296" s="58" t="n"/>
      <c r="K1296" s="63">
        <f>IF(tblMovement[[#This Row],[Source]]="","",IFERROR(INDEX(tblSources[Type],MATCH(tblMovement[[#This Row],[Source]],tblSources[Source],0)),"?"))</f>
        <v/>
      </c>
      <c r="L1296" s="63">
        <f>IF(tblMovement[[#This Row],[Destination]]="","",IFERROR(INDEX(tblDestinations[Type],MATCH(tblMovement[[#This Row],[Destination]],tblDestinations[Destination],0)),"?"))</f>
        <v/>
      </c>
      <c r="M1296" s="64">
        <f>IF(tblMovement[[#This Row],[Material]]="","",IF(LEFT(tblMovement[[#This Row],[Material]],3)="Ore",1,0))</f>
        <v/>
      </c>
      <c r="N1296" s="59">
        <f>IF(OR(tblMovement[[#This Row],[Tonnes_t]]="",tblMovement[[#This Row],[Grade_gpt]]=""),0,tblMovement[[#This Row],[Tonnes_t]]*tblMovement[[#This Row],[Grade_gpt]]/cfg_TroyOz)</f>
        <v/>
      </c>
      <c r="O1296" s="59">
        <f>IF(tblMovement[[#This Row],[Is_Ore]]=1,tblMovement[[#This Row],[Contained_oz]],0)</f>
        <v/>
      </c>
    </row>
    <row r="1297">
      <c r="A1297" s="54" t="n"/>
      <c r="B1297" s="61" t="n"/>
      <c r="C1297" s="61" t="n"/>
      <c r="D1297" s="61" t="n"/>
      <c r="E1297" s="61" t="n"/>
      <c r="F1297" s="55" t="n"/>
      <c r="G1297" s="56" t="n"/>
      <c r="H1297" s="55" t="n"/>
      <c r="I1297" s="62" t="n"/>
      <c r="J1297" s="58" t="n"/>
      <c r="K1297" s="63">
        <f>IF(tblMovement[[#This Row],[Source]]="","",IFERROR(INDEX(tblSources[Type],MATCH(tblMovement[[#This Row],[Source]],tblSources[Source],0)),"?"))</f>
        <v/>
      </c>
      <c r="L1297" s="63">
        <f>IF(tblMovement[[#This Row],[Destination]]="","",IFERROR(INDEX(tblDestinations[Type],MATCH(tblMovement[[#This Row],[Destination]],tblDestinations[Destination],0)),"?"))</f>
        <v/>
      </c>
      <c r="M1297" s="64">
        <f>IF(tblMovement[[#This Row],[Material]]="","",IF(LEFT(tblMovement[[#This Row],[Material]],3)="Ore",1,0))</f>
        <v/>
      </c>
      <c r="N1297" s="59">
        <f>IF(OR(tblMovement[[#This Row],[Tonnes_t]]="",tblMovement[[#This Row],[Grade_gpt]]=""),0,tblMovement[[#This Row],[Tonnes_t]]*tblMovement[[#This Row],[Grade_gpt]]/cfg_TroyOz)</f>
        <v/>
      </c>
      <c r="O1297" s="59">
        <f>IF(tblMovement[[#This Row],[Is_Ore]]=1,tblMovement[[#This Row],[Contained_oz]],0)</f>
        <v/>
      </c>
    </row>
    <row r="1298">
      <c r="A1298" s="54" t="n"/>
      <c r="B1298" s="61" t="n"/>
      <c r="C1298" s="61" t="n"/>
      <c r="D1298" s="61" t="n"/>
      <c r="E1298" s="61" t="n"/>
      <c r="F1298" s="55" t="n"/>
      <c r="G1298" s="56" t="n"/>
      <c r="H1298" s="55" t="n"/>
      <c r="I1298" s="62" t="n"/>
      <c r="J1298" s="58" t="n"/>
      <c r="K1298" s="63">
        <f>IF(tblMovement[[#This Row],[Source]]="","",IFERROR(INDEX(tblSources[Type],MATCH(tblMovement[[#This Row],[Source]],tblSources[Source],0)),"?"))</f>
        <v/>
      </c>
      <c r="L1298" s="63">
        <f>IF(tblMovement[[#This Row],[Destination]]="","",IFERROR(INDEX(tblDestinations[Type],MATCH(tblMovement[[#This Row],[Destination]],tblDestinations[Destination],0)),"?"))</f>
        <v/>
      </c>
      <c r="M1298" s="64">
        <f>IF(tblMovement[[#This Row],[Material]]="","",IF(LEFT(tblMovement[[#This Row],[Material]],3)="Ore",1,0))</f>
        <v/>
      </c>
      <c r="N1298" s="59">
        <f>IF(OR(tblMovement[[#This Row],[Tonnes_t]]="",tblMovement[[#This Row],[Grade_gpt]]=""),0,tblMovement[[#This Row],[Tonnes_t]]*tblMovement[[#This Row],[Grade_gpt]]/cfg_TroyOz)</f>
        <v/>
      </c>
      <c r="O1298" s="59">
        <f>IF(tblMovement[[#This Row],[Is_Ore]]=1,tblMovement[[#This Row],[Contained_oz]],0)</f>
        <v/>
      </c>
    </row>
    <row r="1299">
      <c r="A1299" s="54" t="n"/>
      <c r="B1299" s="61" t="n"/>
      <c r="C1299" s="61" t="n"/>
      <c r="D1299" s="61" t="n"/>
      <c r="E1299" s="61" t="n"/>
      <c r="F1299" s="55" t="n"/>
      <c r="G1299" s="56" t="n"/>
      <c r="H1299" s="55" t="n"/>
      <c r="I1299" s="62" t="n"/>
      <c r="J1299" s="58" t="n"/>
      <c r="K1299" s="63">
        <f>IF(tblMovement[[#This Row],[Source]]="","",IFERROR(INDEX(tblSources[Type],MATCH(tblMovement[[#This Row],[Source]],tblSources[Source],0)),"?"))</f>
        <v/>
      </c>
      <c r="L1299" s="63">
        <f>IF(tblMovement[[#This Row],[Destination]]="","",IFERROR(INDEX(tblDestinations[Type],MATCH(tblMovement[[#This Row],[Destination]],tblDestinations[Destination],0)),"?"))</f>
        <v/>
      </c>
      <c r="M1299" s="64">
        <f>IF(tblMovement[[#This Row],[Material]]="","",IF(LEFT(tblMovement[[#This Row],[Material]],3)="Ore",1,0))</f>
        <v/>
      </c>
      <c r="N1299" s="59">
        <f>IF(OR(tblMovement[[#This Row],[Tonnes_t]]="",tblMovement[[#This Row],[Grade_gpt]]=""),0,tblMovement[[#This Row],[Tonnes_t]]*tblMovement[[#This Row],[Grade_gpt]]/cfg_TroyOz)</f>
        <v/>
      </c>
      <c r="O1299" s="59">
        <f>IF(tblMovement[[#This Row],[Is_Ore]]=1,tblMovement[[#This Row],[Contained_oz]],0)</f>
        <v/>
      </c>
    </row>
    <row r="1300">
      <c r="A1300" s="54" t="n"/>
      <c r="B1300" s="61" t="n"/>
      <c r="C1300" s="61" t="n"/>
      <c r="D1300" s="61" t="n"/>
      <c r="E1300" s="61" t="n"/>
      <c r="F1300" s="55" t="n"/>
      <c r="G1300" s="56" t="n"/>
      <c r="H1300" s="55" t="n"/>
      <c r="I1300" s="62" t="n"/>
      <c r="J1300" s="58" t="n"/>
      <c r="K1300" s="63">
        <f>IF(tblMovement[[#This Row],[Source]]="","",IFERROR(INDEX(tblSources[Type],MATCH(tblMovement[[#This Row],[Source]],tblSources[Source],0)),"?"))</f>
        <v/>
      </c>
      <c r="L1300" s="63">
        <f>IF(tblMovement[[#This Row],[Destination]]="","",IFERROR(INDEX(tblDestinations[Type],MATCH(tblMovement[[#This Row],[Destination]],tblDestinations[Destination],0)),"?"))</f>
        <v/>
      </c>
      <c r="M1300" s="64">
        <f>IF(tblMovement[[#This Row],[Material]]="","",IF(LEFT(tblMovement[[#This Row],[Material]],3)="Ore",1,0))</f>
        <v/>
      </c>
      <c r="N1300" s="59">
        <f>IF(OR(tblMovement[[#This Row],[Tonnes_t]]="",tblMovement[[#This Row],[Grade_gpt]]=""),0,tblMovement[[#This Row],[Tonnes_t]]*tblMovement[[#This Row],[Grade_gpt]]/cfg_TroyOz)</f>
        <v/>
      </c>
      <c r="O1300" s="59">
        <f>IF(tblMovement[[#This Row],[Is_Ore]]=1,tblMovement[[#This Row],[Contained_oz]],0)</f>
        <v/>
      </c>
    </row>
    <row r="1301">
      <c r="A1301" s="54" t="n"/>
      <c r="B1301" s="61" t="n"/>
      <c r="C1301" s="61" t="n"/>
      <c r="D1301" s="61" t="n"/>
      <c r="E1301" s="61" t="n"/>
      <c r="F1301" s="55" t="n"/>
      <c r="G1301" s="56" t="n"/>
      <c r="H1301" s="55" t="n"/>
      <c r="I1301" s="62" t="n"/>
      <c r="J1301" s="58" t="n"/>
      <c r="K1301" s="63">
        <f>IF(tblMovement[[#This Row],[Source]]="","",IFERROR(INDEX(tblSources[Type],MATCH(tblMovement[[#This Row],[Source]],tblSources[Source],0)),"?"))</f>
        <v/>
      </c>
      <c r="L1301" s="63">
        <f>IF(tblMovement[[#This Row],[Destination]]="","",IFERROR(INDEX(tblDestinations[Type],MATCH(tblMovement[[#This Row],[Destination]],tblDestinations[Destination],0)),"?"))</f>
        <v/>
      </c>
      <c r="M1301" s="64">
        <f>IF(tblMovement[[#This Row],[Material]]="","",IF(LEFT(tblMovement[[#This Row],[Material]],3)="Ore",1,0))</f>
        <v/>
      </c>
      <c r="N1301" s="59">
        <f>IF(OR(tblMovement[[#This Row],[Tonnes_t]]="",tblMovement[[#This Row],[Grade_gpt]]=""),0,tblMovement[[#This Row],[Tonnes_t]]*tblMovement[[#This Row],[Grade_gpt]]/cfg_TroyOz)</f>
        <v/>
      </c>
      <c r="O1301" s="59">
        <f>IF(tblMovement[[#This Row],[Is_Ore]]=1,tblMovement[[#This Row],[Contained_oz]],0)</f>
        <v/>
      </c>
    </row>
    <row r="1302">
      <c r="A1302" s="54" t="n"/>
      <c r="B1302" s="61" t="n"/>
      <c r="C1302" s="61" t="n"/>
      <c r="D1302" s="61" t="n"/>
      <c r="E1302" s="61" t="n"/>
      <c r="F1302" s="55" t="n"/>
      <c r="G1302" s="56" t="n"/>
      <c r="H1302" s="55" t="n"/>
      <c r="I1302" s="62" t="n"/>
      <c r="J1302" s="58" t="n"/>
      <c r="K1302" s="63">
        <f>IF(tblMovement[[#This Row],[Source]]="","",IFERROR(INDEX(tblSources[Type],MATCH(tblMovement[[#This Row],[Source]],tblSources[Source],0)),"?"))</f>
        <v/>
      </c>
      <c r="L1302" s="63">
        <f>IF(tblMovement[[#This Row],[Destination]]="","",IFERROR(INDEX(tblDestinations[Type],MATCH(tblMovement[[#This Row],[Destination]],tblDestinations[Destination],0)),"?"))</f>
        <v/>
      </c>
      <c r="M1302" s="64">
        <f>IF(tblMovement[[#This Row],[Material]]="","",IF(LEFT(tblMovement[[#This Row],[Material]],3)="Ore",1,0))</f>
        <v/>
      </c>
      <c r="N1302" s="59">
        <f>IF(OR(tblMovement[[#This Row],[Tonnes_t]]="",tblMovement[[#This Row],[Grade_gpt]]=""),0,tblMovement[[#This Row],[Tonnes_t]]*tblMovement[[#This Row],[Grade_gpt]]/cfg_TroyOz)</f>
        <v/>
      </c>
      <c r="O1302" s="59">
        <f>IF(tblMovement[[#This Row],[Is_Ore]]=1,tblMovement[[#This Row],[Contained_oz]],0)</f>
        <v/>
      </c>
    </row>
    <row r="1303">
      <c r="A1303" s="54" t="n"/>
      <c r="B1303" s="61" t="n"/>
      <c r="C1303" s="61" t="n"/>
      <c r="D1303" s="61" t="n"/>
      <c r="E1303" s="61" t="n"/>
      <c r="F1303" s="55" t="n"/>
      <c r="G1303" s="56" t="n"/>
      <c r="H1303" s="55" t="n"/>
      <c r="I1303" s="62" t="n"/>
      <c r="J1303" s="58" t="n"/>
      <c r="K1303" s="63">
        <f>IF(tblMovement[[#This Row],[Source]]="","",IFERROR(INDEX(tblSources[Type],MATCH(tblMovement[[#This Row],[Source]],tblSources[Source],0)),"?"))</f>
        <v/>
      </c>
      <c r="L1303" s="63">
        <f>IF(tblMovement[[#This Row],[Destination]]="","",IFERROR(INDEX(tblDestinations[Type],MATCH(tblMovement[[#This Row],[Destination]],tblDestinations[Destination],0)),"?"))</f>
        <v/>
      </c>
      <c r="M1303" s="64">
        <f>IF(tblMovement[[#This Row],[Material]]="","",IF(LEFT(tblMovement[[#This Row],[Material]],3)="Ore",1,0))</f>
        <v/>
      </c>
      <c r="N1303" s="59">
        <f>IF(OR(tblMovement[[#This Row],[Tonnes_t]]="",tblMovement[[#This Row],[Grade_gpt]]=""),0,tblMovement[[#This Row],[Tonnes_t]]*tblMovement[[#This Row],[Grade_gpt]]/cfg_TroyOz)</f>
        <v/>
      </c>
      <c r="O1303" s="59">
        <f>IF(tblMovement[[#This Row],[Is_Ore]]=1,tblMovement[[#This Row],[Contained_oz]],0)</f>
        <v/>
      </c>
    </row>
    <row r="1304">
      <c r="A1304" s="54" t="n"/>
      <c r="B1304" s="61" t="n"/>
      <c r="C1304" s="61" t="n"/>
      <c r="D1304" s="61" t="n"/>
      <c r="E1304" s="61" t="n"/>
      <c r="F1304" s="55" t="n"/>
      <c r="G1304" s="56" t="n"/>
      <c r="H1304" s="55" t="n"/>
      <c r="I1304" s="62" t="n"/>
      <c r="J1304" s="58" t="n"/>
      <c r="K1304" s="63">
        <f>IF(tblMovement[[#This Row],[Source]]="","",IFERROR(INDEX(tblSources[Type],MATCH(tblMovement[[#This Row],[Source]],tblSources[Source],0)),"?"))</f>
        <v/>
      </c>
      <c r="L1304" s="63">
        <f>IF(tblMovement[[#This Row],[Destination]]="","",IFERROR(INDEX(tblDestinations[Type],MATCH(tblMovement[[#This Row],[Destination]],tblDestinations[Destination],0)),"?"))</f>
        <v/>
      </c>
      <c r="M1304" s="64">
        <f>IF(tblMovement[[#This Row],[Material]]="","",IF(LEFT(tblMovement[[#This Row],[Material]],3)="Ore",1,0))</f>
        <v/>
      </c>
      <c r="N1304" s="59">
        <f>IF(OR(tblMovement[[#This Row],[Tonnes_t]]="",tblMovement[[#This Row],[Grade_gpt]]=""),0,tblMovement[[#This Row],[Tonnes_t]]*tblMovement[[#This Row],[Grade_gpt]]/cfg_TroyOz)</f>
        <v/>
      </c>
      <c r="O1304" s="59">
        <f>IF(tblMovement[[#This Row],[Is_Ore]]=1,tblMovement[[#This Row],[Contained_oz]],0)</f>
        <v/>
      </c>
    </row>
    <row r="1305">
      <c r="A1305" s="54" t="n"/>
      <c r="B1305" s="61" t="n"/>
      <c r="C1305" s="61" t="n"/>
      <c r="D1305" s="61" t="n"/>
      <c r="E1305" s="61" t="n"/>
      <c r="F1305" s="55" t="n"/>
      <c r="G1305" s="56" t="n"/>
      <c r="H1305" s="55" t="n"/>
      <c r="I1305" s="62" t="n"/>
      <c r="J1305" s="58" t="n"/>
      <c r="K1305" s="63">
        <f>IF(tblMovement[[#This Row],[Source]]="","",IFERROR(INDEX(tblSources[Type],MATCH(tblMovement[[#This Row],[Source]],tblSources[Source],0)),"?"))</f>
        <v/>
      </c>
      <c r="L1305" s="63">
        <f>IF(tblMovement[[#This Row],[Destination]]="","",IFERROR(INDEX(tblDestinations[Type],MATCH(tblMovement[[#This Row],[Destination]],tblDestinations[Destination],0)),"?"))</f>
        <v/>
      </c>
      <c r="M1305" s="64">
        <f>IF(tblMovement[[#This Row],[Material]]="","",IF(LEFT(tblMovement[[#This Row],[Material]],3)="Ore",1,0))</f>
        <v/>
      </c>
      <c r="N1305" s="59">
        <f>IF(OR(tblMovement[[#This Row],[Tonnes_t]]="",tblMovement[[#This Row],[Grade_gpt]]=""),0,tblMovement[[#This Row],[Tonnes_t]]*tblMovement[[#This Row],[Grade_gpt]]/cfg_TroyOz)</f>
        <v/>
      </c>
      <c r="O1305" s="59">
        <f>IF(tblMovement[[#This Row],[Is_Ore]]=1,tblMovement[[#This Row],[Contained_oz]],0)</f>
        <v/>
      </c>
    </row>
    <row r="1306">
      <c r="A1306" s="54" t="n"/>
      <c r="B1306" s="61" t="n"/>
      <c r="C1306" s="61" t="n"/>
      <c r="D1306" s="61" t="n"/>
      <c r="E1306" s="61" t="n"/>
      <c r="F1306" s="55" t="n"/>
      <c r="G1306" s="56" t="n"/>
      <c r="H1306" s="55" t="n"/>
      <c r="I1306" s="62" t="n"/>
      <c r="J1306" s="58" t="n"/>
      <c r="K1306" s="63">
        <f>IF(tblMovement[[#This Row],[Source]]="","",IFERROR(INDEX(tblSources[Type],MATCH(tblMovement[[#This Row],[Source]],tblSources[Source],0)),"?"))</f>
        <v/>
      </c>
      <c r="L1306" s="63">
        <f>IF(tblMovement[[#This Row],[Destination]]="","",IFERROR(INDEX(tblDestinations[Type],MATCH(tblMovement[[#This Row],[Destination]],tblDestinations[Destination],0)),"?"))</f>
        <v/>
      </c>
      <c r="M1306" s="64">
        <f>IF(tblMovement[[#This Row],[Material]]="","",IF(LEFT(tblMovement[[#This Row],[Material]],3)="Ore",1,0))</f>
        <v/>
      </c>
      <c r="N1306" s="59">
        <f>IF(OR(tblMovement[[#This Row],[Tonnes_t]]="",tblMovement[[#This Row],[Grade_gpt]]=""),0,tblMovement[[#This Row],[Tonnes_t]]*tblMovement[[#This Row],[Grade_gpt]]/cfg_TroyOz)</f>
        <v/>
      </c>
      <c r="O1306" s="59">
        <f>IF(tblMovement[[#This Row],[Is_Ore]]=1,tblMovement[[#This Row],[Contained_oz]],0)</f>
        <v/>
      </c>
    </row>
    <row r="1307">
      <c r="A1307" s="54" t="n"/>
      <c r="B1307" s="61" t="n"/>
      <c r="C1307" s="61" t="n"/>
      <c r="D1307" s="61" t="n"/>
      <c r="E1307" s="61" t="n"/>
      <c r="F1307" s="55" t="n"/>
      <c r="G1307" s="56" t="n"/>
      <c r="H1307" s="55" t="n"/>
      <c r="I1307" s="62" t="n"/>
      <c r="J1307" s="58" t="n"/>
      <c r="K1307" s="63">
        <f>IF(tblMovement[[#This Row],[Source]]="","",IFERROR(INDEX(tblSources[Type],MATCH(tblMovement[[#This Row],[Source]],tblSources[Source],0)),"?"))</f>
        <v/>
      </c>
      <c r="L1307" s="63">
        <f>IF(tblMovement[[#This Row],[Destination]]="","",IFERROR(INDEX(tblDestinations[Type],MATCH(tblMovement[[#This Row],[Destination]],tblDestinations[Destination],0)),"?"))</f>
        <v/>
      </c>
      <c r="M1307" s="64">
        <f>IF(tblMovement[[#This Row],[Material]]="","",IF(LEFT(tblMovement[[#This Row],[Material]],3)="Ore",1,0))</f>
        <v/>
      </c>
      <c r="N1307" s="59">
        <f>IF(OR(tblMovement[[#This Row],[Tonnes_t]]="",tblMovement[[#This Row],[Grade_gpt]]=""),0,tblMovement[[#This Row],[Tonnes_t]]*tblMovement[[#This Row],[Grade_gpt]]/cfg_TroyOz)</f>
        <v/>
      </c>
      <c r="O1307" s="59">
        <f>IF(tblMovement[[#This Row],[Is_Ore]]=1,tblMovement[[#This Row],[Contained_oz]],0)</f>
        <v/>
      </c>
    </row>
    <row r="1308">
      <c r="A1308" s="54" t="n"/>
      <c r="B1308" s="61" t="n"/>
      <c r="C1308" s="61" t="n"/>
      <c r="D1308" s="61" t="n"/>
      <c r="E1308" s="61" t="n"/>
      <c r="F1308" s="55" t="n"/>
      <c r="G1308" s="56" t="n"/>
      <c r="H1308" s="55" t="n"/>
      <c r="I1308" s="62" t="n"/>
      <c r="J1308" s="58" t="n"/>
      <c r="K1308" s="63">
        <f>IF(tblMovement[[#This Row],[Source]]="","",IFERROR(INDEX(tblSources[Type],MATCH(tblMovement[[#This Row],[Source]],tblSources[Source],0)),"?"))</f>
        <v/>
      </c>
      <c r="L1308" s="63">
        <f>IF(tblMovement[[#This Row],[Destination]]="","",IFERROR(INDEX(tblDestinations[Type],MATCH(tblMovement[[#This Row],[Destination]],tblDestinations[Destination],0)),"?"))</f>
        <v/>
      </c>
      <c r="M1308" s="64">
        <f>IF(tblMovement[[#This Row],[Material]]="","",IF(LEFT(tblMovement[[#This Row],[Material]],3)="Ore",1,0))</f>
        <v/>
      </c>
      <c r="N1308" s="59">
        <f>IF(OR(tblMovement[[#This Row],[Tonnes_t]]="",tblMovement[[#This Row],[Grade_gpt]]=""),0,tblMovement[[#This Row],[Tonnes_t]]*tblMovement[[#This Row],[Grade_gpt]]/cfg_TroyOz)</f>
        <v/>
      </c>
      <c r="O1308" s="59">
        <f>IF(tblMovement[[#This Row],[Is_Ore]]=1,tblMovement[[#This Row],[Contained_oz]],0)</f>
        <v/>
      </c>
    </row>
    <row r="1309">
      <c r="A1309" s="54" t="n"/>
      <c r="B1309" s="61" t="n"/>
      <c r="C1309" s="61" t="n"/>
      <c r="D1309" s="61" t="n"/>
      <c r="E1309" s="61" t="n"/>
      <c r="F1309" s="55" t="n"/>
      <c r="G1309" s="56" t="n"/>
      <c r="H1309" s="55" t="n"/>
      <c r="I1309" s="62" t="n"/>
      <c r="J1309" s="58" t="n"/>
      <c r="K1309" s="63">
        <f>IF(tblMovement[[#This Row],[Source]]="","",IFERROR(INDEX(tblSources[Type],MATCH(tblMovement[[#This Row],[Source]],tblSources[Source],0)),"?"))</f>
        <v/>
      </c>
      <c r="L1309" s="63">
        <f>IF(tblMovement[[#This Row],[Destination]]="","",IFERROR(INDEX(tblDestinations[Type],MATCH(tblMovement[[#This Row],[Destination]],tblDestinations[Destination],0)),"?"))</f>
        <v/>
      </c>
      <c r="M1309" s="64">
        <f>IF(tblMovement[[#This Row],[Material]]="","",IF(LEFT(tblMovement[[#This Row],[Material]],3)="Ore",1,0))</f>
        <v/>
      </c>
      <c r="N1309" s="59">
        <f>IF(OR(tblMovement[[#This Row],[Tonnes_t]]="",tblMovement[[#This Row],[Grade_gpt]]=""),0,tblMovement[[#This Row],[Tonnes_t]]*tblMovement[[#This Row],[Grade_gpt]]/cfg_TroyOz)</f>
        <v/>
      </c>
      <c r="O1309" s="59">
        <f>IF(tblMovement[[#This Row],[Is_Ore]]=1,tblMovement[[#This Row],[Contained_oz]],0)</f>
        <v/>
      </c>
    </row>
    <row r="1310">
      <c r="A1310" s="54" t="n"/>
      <c r="B1310" s="61" t="n"/>
      <c r="C1310" s="61" t="n"/>
      <c r="D1310" s="61" t="n"/>
      <c r="E1310" s="61" t="n"/>
      <c r="F1310" s="55" t="n"/>
      <c r="G1310" s="56" t="n"/>
      <c r="H1310" s="55" t="n"/>
      <c r="I1310" s="62" t="n"/>
      <c r="J1310" s="58" t="n"/>
      <c r="K1310" s="63">
        <f>IF(tblMovement[[#This Row],[Source]]="","",IFERROR(INDEX(tblSources[Type],MATCH(tblMovement[[#This Row],[Source]],tblSources[Source],0)),"?"))</f>
        <v/>
      </c>
      <c r="L1310" s="63">
        <f>IF(tblMovement[[#This Row],[Destination]]="","",IFERROR(INDEX(tblDestinations[Type],MATCH(tblMovement[[#This Row],[Destination]],tblDestinations[Destination],0)),"?"))</f>
        <v/>
      </c>
      <c r="M1310" s="64">
        <f>IF(tblMovement[[#This Row],[Material]]="","",IF(LEFT(tblMovement[[#This Row],[Material]],3)="Ore",1,0))</f>
        <v/>
      </c>
      <c r="N1310" s="59">
        <f>IF(OR(tblMovement[[#This Row],[Tonnes_t]]="",tblMovement[[#This Row],[Grade_gpt]]=""),0,tblMovement[[#This Row],[Tonnes_t]]*tblMovement[[#This Row],[Grade_gpt]]/cfg_TroyOz)</f>
        <v/>
      </c>
      <c r="O1310" s="59">
        <f>IF(tblMovement[[#This Row],[Is_Ore]]=1,tblMovement[[#This Row],[Contained_oz]],0)</f>
        <v/>
      </c>
    </row>
    <row r="1311">
      <c r="A1311" s="54" t="n"/>
      <c r="B1311" s="61" t="n"/>
      <c r="C1311" s="61" t="n"/>
      <c r="D1311" s="61" t="n"/>
      <c r="E1311" s="61" t="n"/>
      <c r="F1311" s="55" t="n"/>
      <c r="G1311" s="56" t="n"/>
      <c r="H1311" s="55" t="n"/>
      <c r="I1311" s="62" t="n"/>
      <c r="J1311" s="58" t="n"/>
      <c r="K1311" s="63">
        <f>IF(tblMovement[[#This Row],[Source]]="","",IFERROR(INDEX(tblSources[Type],MATCH(tblMovement[[#This Row],[Source]],tblSources[Source],0)),"?"))</f>
        <v/>
      </c>
      <c r="L1311" s="63">
        <f>IF(tblMovement[[#This Row],[Destination]]="","",IFERROR(INDEX(tblDestinations[Type],MATCH(tblMovement[[#This Row],[Destination]],tblDestinations[Destination],0)),"?"))</f>
        <v/>
      </c>
      <c r="M1311" s="64">
        <f>IF(tblMovement[[#This Row],[Material]]="","",IF(LEFT(tblMovement[[#This Row],[Material]],3)="Ore",1,0))</f>
        <v/>
      </c>
      <c r="N1311" s="59">
        <f>IF(OR(tblMovement[[#This Row],[Tonnes_t]]="",tblMovement[[#This Row],[Grade_gpt]]=""),0,tblMovement[[#This Row],[Tonnes_t]]*tblMovement[[#This Row],[Grade_gpt]]/cfg_TroyOz)</f>
        <v/>
      </c>
      <c r="O1311" s="59">
        <f>IF(tblMovement[[#This Row],[Is_Ore]]=1,tblMovement[[#This Row],[Contained_oz]],0)</f>
        <v/>
      </c>
    </row>
    <row r="1312">
      <c r="A1312" s="54" t="n"/>
      <c r="B1312" s="61" t="n"/>
      <c r="C1312" s="61" t="n"/>
      <c r="D1312" s="61" t="n"/>
      <c r="E1312" s="61" t="n"/>
      <c r="F1312" s="55" t="n"/>
      <c r="G1312" s="56" t="n"/>
      <c r="H1312" s="55" t="n"/>
      <c r="I1312" s="62" t="n"/>
      <c r="J1312" s="58" t="n"/>
      <c r="K1312" s="63">
        <f>IF(tblMovement[[#This Row],[Source]]="","",IFERROR(INDEX(tblSources[Type],MATCH(tblMovement[[#This Row],[Source]],tblSources[Source],0)),"?"))</f>
        <v/>
      </c>
      <c r="L1312" s="63">
        <f>IF(tblMovement[[#This Row],[Destination]]="","",IFERROR(INDEX(tblDestinations[Type],MATCH(tblMovement[[#This Row],[Destination]],tblDestinations[Destination],0)),"?"))</f>
        <v/>
      </c>
      <c r="M1312" s="64">
        <f>IF(tblMovement[[#This Row],[Material]]="","",IF(LEFT(tblMovement[[#This Row],[Material]],3)="Ore",1,0))</f>
        <v/>
      </c>
      <c r="N1312" s="59">
        <f>IF(OR(tblMovement[[#This Row],[Tonnes_t]]="",tblMovement[[#This Row],[Grade_gpt]]=""),0,tblMovement[[#This Row],[Tonnes_t]]*tblMovement[[#This Row],[Grade_gpt]]/cfg_TroyOz)</f>
        <v/>
      </c>
      <c r="O1312" s="59">
        <f>IF(tblMovement[[#This Row],[Is_Ore]]=1,tblMovement[[#This Row],[Contained_oz]],0)</f>
        <v/>
      </c>
    </row>
    <row r="1313">
      <c r="A1313" s="54" t="n"/>
      <c r="B1313" s="61" t="n"/>
      <c r="C1313" s="61" t="n"/>
      <c r="D1313" s="61" t="n"/>
      <c r="E1313" s="61" t="n"/>
      <c r="F1313" s="55" t="n"/>
      <c r="G1313" s="56" t="n"/>
      <c r="H1313" s="55" t="n"/>
      <c r="I1313" s="62" t="n"/>
      <c r="J1313" s="58" t="n"/>
      <c r="K1313" s="63">
        <f>IF(tblMovement[[#This Row],[Source]]="","",IFERROR(INDEX(tblSources[Type],MATCH(tblMovement[[#This Row],[Source]],tblSources[Source],0)),"?"))</f>
        <v/>
      </c>
      <c r="L1313" s="63">
        <f>IF(tblMovement[[#This Row],[Destination]]="","",IFERROR(INDEX(tblDestinations[Type],MATCH(tblMovement[[#This Row],[Destination]],tblDestinations[Destination],0)),"?"))</f>
        <v/>
      </c>
      <c r="M1313" s="64">
        <f>IF(tblMovement[[#This Row],[Material]]="","",IF(LEFT(tblMovement[[#This Row],[Material]],3)="Ore",1,0))</f>
        <v/>
      </c>
      <c r="N1313" s="59">
        <f>IF(OR(tblMovement[[#This Row],[Tonnes_t]]="",tblMovement[[#This Row],[Grade_gpt]]=""),0,tblMovement[[#This Row],[Tonnes_t]]*tblMovement[[#This Row],[Grade_gpt]]/cfg_TroyOz)</f>
        <v/>
      </c>
      <c r="O1313" s="59">
        <f>IF(tblMovement[[#This Row],[Is_Ore]]=1,tblMovement[[#This Row],[Contained_oz]],0)</f>
        <v/>
      </c>
    </row>
    <row r="1314">
      <c r="A1314" s="54" t="n"/>
      <c r="B1314" s="61" t="n"/>
      <c r="C1314" s="61" t="n"/>
      <c r="D1314" s="61" t="n"/>
      <c r="E1314" s="61" t="n"/>
      <c r="F1314" s="55" t="n"/>
      <c r="G1314" s="56" t="n"/>
      <c r="H1314" s="55" t="n"/>
      <c r="I1314" s="62" t="n"/>
      <c r="J1314" s="58" t="n"/>
      <c r="K1314" s="63">
        <f>IF(tblMovement[[#This Row],[Source]]="","",IFERROR(INDEX(tblSources[Type],MATCH(tblMovement[[#This Row],[Source]],tblSources[Source],0)),"?"))</f>
        <v/>
      </c>
      <c r="L1314" s="63">
        <f>IF(tblMovement[[#This Row],[Destination]]="","",IFERROR(INDEX(tblDestinations[Type],MATCH(tblMovement[[#This Row],[Destination]],tblDestinations[Destination],0)),"?"))</f>
        <v/>
      </c>
      <c r="M1314" s="64">
        <f>IF(tblMovement[[#This Row],[Material]]="","",IF(LEFT(tblMovement[[#This Row],[Material]],3)="Ore",1,0))</f>
        <v/>
      </c>
      <c r="N1314" s="59">
        <f>IF(OR(tblMovement[[#This Row],[Tonnes_t]]="",tblMovement[[#This Row],[Grade_gpt]]=""),0,tblMovement[[#This Row],[Tonnes_t]]*tblMovement[[#This Row],[Grade_gpt]]/cfg_TroyOz)</f>
        <v/>
      </c>
      <c r="O1314" s="59">
        <f>IF(tblMovement[[#This Row],[Is_Ore]]=1,tblMovement[[#This Row],[Contained_oz]],0)</f>
        <v/>
      </c>
    </row>
    <row r="1315">
      <c r="A1315" s="54" t="n"/>
      <c r="B1315" s="61" t="n"/>
      <c r="C1315" s="61" t="n"/>
      <c r="D1315" s="61" t="n"/>
      <c r="E1315" s="61" t="n"/>
      <c r="F1315" s="55" t="n"/>
      <c r="G1315" s="56" t="n"/>
      <c r="H1315" s="55" t="n"/>
      <c r="I1315" s="62" t="n"/>
      <c r="J1315" s="58" t="n"/>
      <c r="K1315" s="63">
        <f>IF(tblMovement[[#This Row],[Source]]="","",IFERROR(INDEX(tblSources[Type],MATCH(tblMovement[[#This Row],[Source]],tblSources[Source],0)),"?"))</f>
        <v/>
      </c>
      <c r="L1315" s="63">
        <f>IF(tblMovement[[#This Row],[Destination]]="","",IFERROR(INDEX(tblDestinations[Type],MATCH(tblMovement[[#This Row],[Destination]],tblDestinations[Destination],0)),"?"))</f>
        <v/>
      </c>
      <c r="M1315" s="64">
        <f>IF(tblMovement[[#This Row],[Material]]="","",IF(LEFT(tblMovement[[#This Row],[Material]],3)="Ore",1,0))</f>
        <v/>
      </c>
      <c r="N1315" s="59">
        <f>IF(OR(tblMovement[[#This Row],[Tonnes_t]]="",tblMovement[[#This Row],[Grade_gpt]]=""),0,tblMovement[[#This Row],[Tonnes_t]]*tblMovement[[#This Row],[Grade_gpt]]/cfg_TroyOz)</f>
        <v/>
      </c>
      <c r="O1315" s="59">
        <f>IF(tblMovement[[#This Row],[Is_Ore]]=1,tblMovement[[#This Row],[Contained_oz]],0)</f>
        <v/>
      </c>
    </row>
    <row r="1316">
      <c r="A1316" s="54" t="n"/>
      <c r="B1316" s="61" t="n"/>
      <c r="C1316" s="61" t="n"/>
      <c r="D1316" s="61" t="n"/>
      <c r="E1316" s="61" t="n"/>
      <c r="F1316" s="55" t="n"/>
      <c r="G1316" s="56" t="n"/>
      <c r="H1316" s="55" t="n"/>
      <c r="I1316" s="62" t="n"/>
      <c r="J1316" s="58" t="n"/>
      <c r="K1316" s="63">
        <f>IF(tblMovement[[#This Row],[Source]]="","",IFERROR(INDEX(tblSources[Type],MATCH(tblMovement[[#This Row],[Source]],tblSources[Source],0)),"?"))</f>
        <v/>
      </c>
      <c r="L1316" s="63">
        <f>IF(tblMovement[[#This Row],[Destination]]="","",IFERROR(INDEX(tblDestinations[Type],MATCH(tblMovement[[#This Row],[Destination]],tblDestinations[Destination],0)),"?"))</f>
        <v/>
      </c>
      <c r="M1316" s="64">
        <f>IF(tblMovement[[#This Row],[Material]]="","",IF(LEFT(tblMovement[[#This Row],[Material]],3)="Ore",1,0))</f>
        <v/>
      </c>
      <c r="N1316" s="59">
        <f>IF(OR(tblMovement[[#This Row],[Tonnes_t]]="",tblMovement[[#This Row],[Grade_gpt]]=""),0,tblMovement[[#This Row],[Tonnes_t]]*tblMovement[[#This Row],[Grade_gpt]]/cfg_TroyOz)</f>
        <v/>
      </c>
      <c r="O1316" s="59">
        <f>IF(tblMovement[[#This Row],[Is_Ore]]=1,tblMovement[[#This Row],[Contained_oz]],0)</f>
        <v/>
      </c>
    </row>
    <row r="1317">
      <c r="A1317" s="54" t="n"/>
      <c r="B1317" s="61" t="n"/>
      <c r="C1317" s="61" t="n"/>
      <c r="D1317" s="61" t="n"/>
      <c r="E1317" s="61" t="n"/>
      <c r="F1317" s="55" t="n"/>
      <c r="G1317" s="56" t="n"/>
      <c r="H1317" s="55" t="n"/>
      <c r="I1317" s="62" t="n"/>
      <c r="J1317" s="58" t="n"/>
      <c r="K1317" s="63">
        <f>IF(tblMovement[[#This Row],[Source]]="","",IFERROR(INDEX(tblSources[Type],MATCH(tblMovement[[#This Row],[Source]],tblSources[Source],0)),"?"))</f>
        <v/>
      </c>
      <c r="L1317" s="63">
        <f>IF(tblMovement[[#This Row],[Destination]]="","",IFERROR(INDEX(tblDestinations[Type],MATCH(tblMovement[[#This Row],[Destination]],tblDestinations[Destination],0)),"?"))</f>
        <v/>
      </c>
      <c r="M1317" s="64">
        <f>IF(tblMovement[[#This Row],[Material]]="","",IF(LEFT(tblMovement[[#This Row],[Material]],3)="Ore",1,0))</f>
        <v/>
      </c>
      <c r="N1317" s="59">
        <f>IF(OR(tblMovement[[#This Row],[Tonnes_t]]="",tblMovement[[#This Row],[Grade_gpt]]=""),0,tblMovement[[#This Row],[Tonnes_t]]*tblMovement[[#This Row],[Grade_gpt]]/cfg_TroyOz)</f>
        <v/>
      </c>
      <c r="O1317" s="59">
        <f>IF(tblMovement[[#This Row],[Is_Ore]]=1,tblMovement[[#This Row],[Contained_oz]],0)</f>
        <v/>
      </c>
    </row>
    <row r="1318">
      <c r="A1318" s="54" t="n"/>
      <c r="B1318" s="61" t="n"/>
      <c r="C1318" s="61" t="n"/>
      <c r="D1318" s="61" t="n"/>
      <c r="E1318" s="61" t="n"/>
      <c r="F1318" s="55" t="n"/>
      <c r="G1318" s="56" t="n"/>
      <c r="H1318" s="55" t="n"/>
      <c r="I1318" s="62" t="n"/>
      <c r="J1318" s="58" t="n"/>
      <c r="K1318" s="63">
        <f>IF(tblMovement[[#This Row],[Source]]="","",IFERROR(INDEX(tblSources[Type],MATCH(tblMovement[[#This Row],[Source]],tblSources[Source],0)),"?"))</f>
        <v/>
      </c>
      <c r="L1318" s="63">
        <f>IF(tblMovement[[#This Row],[Destination]]="","",IFERROR(INDEX(tblDestinations[Type],MATCH(tblMovement[[#This Row],[Destination]],tblDestinations[Destination],0)),"?"))</f>
        <v/>
      </c>
      <c r="M1318" s="64">
        <f>IF(tblMovement[[#This Row],[Material]]="","",IF(LEFT(tblMovement[[#This Row],[Material]],3)="Ore",1,0))</f>
        <v/>
      </c>
      <c r="N1318" s="59">
        <f>IF(OR(tblMovement[[#This Row],[Tonnes_t]]="",tblMovement[[#This Row],[Grade_gpt]]=""),0,tblMovement[[#This Row],[Tonnes_t]]*tblMovement[[#This Row],[Grade_gpt]]/cfg_TroyOz)</f>
        <v/>
      </c>
      <c r="O1318" s="59">
        <f>IF(tblMovement[[#This Row],[Is_Ore]]=1,tblMovement[[#This Row],[Contained_oz]],0)</f>
        <v/>
      </c>
    </row>
    <row r="1319">
      <c r="A1319" s="54" t="n"/>
      <c r="B1319" s="61" t="n"/>
      <c r="C1319" s="61" t="n"/>
      <c r="D1319" s="61" t="n"/>
      <c r="E1319" s="61" t="n"/>
      <c r="F1319" s="55" t="n"/>
      <c r="G1319" s="56" t="n"/>
      <c r="H1319" s="55" t="n"/>
      <c r="I1319" s="62" t="n"/>
      <c r="J1319" s="58" t="n"/>
      <c r="K1319" s="63">
        <f>IF(tblMovement[[#This Row],[Source]]="","",IFERROR(INDEX(tblSources[Type],MATCH(tblMovement[[#This Row],[Source]],tblSources[Source],0)),"?"))</f>
        <v/>
      </c>
      <c r="L1319" s="63">
        <f>IF(tblMovement[[#This Row],[Destination]]="","",IFERROR(INDEX(tblDestinations[Type],MATCH(tblMovement[[#This Row],[Destination]],tblDestinations[Destination],0)),"?"))</f>
        <v/>
      </c>
      <c r="M1319" s="64">
        <f>IF(tblMovement[[#This Row],[Material]]="","",IF(LEFT(tblMovement[[#This Row],[Material]],3)="Ore",1,0))</f>
        <v/>
      </c>
      <c r="N1319" s="59">
        <f>IF(OR(tblMovement[[#This Row],[Tonnes_t]]="",tblMovement[[#This Row],[Grade_gpt]]=""),0,tblMovement[[#This Row],[Tonnes_t]]*tblMovement[[#This Row],[Grade_gpt]]/cfg_TroyOz)</f>
        <v/>
      </c>
      <c r="O1319" s="59">
        <f>IF(tblMovement[[#This Row],[Is_Ore]]=1,tblMovement[[#This Row],[Contained_oz]],0)</f>
        <v/>
      </c>
    </row>
    <row r="1320">
      <c r="A1320" s="54" t="n"/>
      <c r="B1320" s="61" t="n"/>
      <c r="C1320" s="61" t="n"/>
      <c r="D1320" s="61" t="n"/>
      <c r="E1320" s="61" t="n"/>
      <c r="F1320" s="55" t="n"/>
      <c r="G1320" s="56" t="n"/>
      <c r="H1320" s="55" t="n"/>
      <c r="I1320" s="62" t="n"/>
      <c r="J1320" s="58" t="n"/>
      <c r="K1320" s="63">
        <f>IF(tblMovement[[#This Row],[Source]]="","",IFERROR(INDEX(tblSources[Type],MATCH(tblMovement[[#This Row],[Source]],tblSources[Source],0)),"?"))</f>
        <v/>
      </c>
      <c r="L1320" s="63">
        <f>IF(tblMovement[[#This Row],[Destination]]="","",IFERROR(INDEX(tblDestinations[Type],MATCH(tblMovement[[#This Row],[Destination]],tblDestinations[Destination],0)),"?"))</f>
        <v/>
      </c>
      <c r="M1320" s="64">
        <f>IF(tblMovement[[#This Row],[Material]]="","",IF(LEFT(tblMovement[[#This Row],[Material]],3)="Ore",1,0))</f>
        <v/>
      </c>
      <c r="N1320" s="59">
        <f>IF(OR(tblMovement[[#This Row],[Tonnes_t]]="",tblMovement[[#This Row],[Grade_gpt]]=""),0,tblMovement[[#This Row],[Tonnes_t]]*tblMovement[[#This Row],[Grade_gpt]]/cfg_TroyOz)</f>
        <v/>
      </c>
      <c r="O1320" s="59">
        <f>IF(tblMovement[[#This Row],[Is_Ore]]=1,tblMovement[[#This Row],[Contained_oz]],0)</f>
        <v/>
      </c>
    </row>
    <row r="1321">
      <c r="A1321" s="54" t="n"/>
      <c r="B1321" s="61" t="n"/>
      <c r="C1321" s="61" t="n"/>
      <c r="D1321" s="61" t="n"/>
      <c r="E1321" s="61" t="n"/>
      <c r="F1321" s="55" t="n"/>
      <c r="G1321" s="56" t="n"/>
      <c r="H1321" s="55" t="n"/>
      <c r="I1321" s="62" t="n"/>
      <c r="J1321" s="58" t="n"/>
      <c r="K1321" s="63">
        <f>IF(tblMovement[[#This Row],[Source]]="","",IFERROR(INDEX(tblSources[Type],MATCH(tblMovement[[#This Row],[Source]],tblSources[Source],0)),"?"))</f>
        <v/>
      </c>
      <c r="L1321" s="63">
        <f>IF(tblMovement[[#This Row],[Destination]]="","",IFERROR(INDEX(tblDestinations[Type],MATCH(tblMovement[[#This Row],[Destination]],tblDestinations[Destination],0)),"?"))</f>
        <v/>
      </c>
      <c r="M1321" s="64">
        <f>IF(tblMovement[[#This Row],[Material]]="","",IF(LEFT(tblMovement[[#This Row],[Material]],3)="Ore",1,0))</f>
        <v/>
      </c>
      <c r="N1321" s="59">
        <f>IF(OR(tblMovement[[#This Row],[Tonnes_t]]="",tblMovement[[#This Row],[Grade_gpt]]=""),0,tblMovement[[#This Row],[Tonnes_t]]*tblMovement[[#This Row],[Grade_gpt]]/cfg_TroyOz)</f>
        <v/>
      </c>
      <c r="O1321" s="59">
        <f>IF(tblMovement[[#This Row],[Is_Ore]]=1,tblMovement[[#This Row],[Contained_oz]],0)</f>
        <v/>
      </c>
    </row>
    <row r="1322">
      <c r="A1322" s="54" t="n"/>
      <c r="B1322" s="61" t="n"/>
      <c r="C1322" s="61" t="n"/>
      <c r="D1322" s="61" t="n"/>
      <c r="E1322" s="61" t="n"/>
      <c r="F1322" s="55" t="n"/>
      <c r="G1322" s="56" t="n"/>
      <c r="H1322" s="55" t="n"/>
      <c r="I1322" s="62" t="n"/>
      <c r="J1322" s="58" t="n"/>
      <c r="K1322" s="63">
        <f>IF(tblMovement[[#This Row],[Source]]="","",IFERROR(INDEX(tblSources[Type],MATCH(tblMovement[[#This Row],[Source]],tblSources[Source],0)),"?"))</f>
        <v/>
      </c>
      <c r="L1322" s="63">
        <f>IF(tblMovement[[#This Row],[Destination]]="","",IFERROR(INDEX(tblDestinations[Type],MATCH(tblMovement[[#This Row],[Destination]],tblDestinations[Destination],0)),"?"))</f>
        <v/>
      </c>
      <c r="M1322" s="64">
        <f>IF(tblMovement[[#This Row],[Material]]="","",IF(LEFT(tblMovement[[#This Row],[Material]],3)="Ore",1,0))</f>
        <v/>
      </c>
      <c r="N1322" s="59">
        <f>IF(OR(tblMovement[[#This Row],[Tonnes_t]]="",tblMovement[[#This Row],[Grade_gpt]]=""),0,tblMovement[[#This Row],[Tonnes_t]]*tblMovement[[#This Row],[Grade_gpt]]/cfg_TroyOz)</f>
        <v/>
      </c>
      <c r="O1322" s="59">
        <f>IF(tblMovement[[#This Row],[Is_Ore]]=1,tblMovement[[#This Row],[Contained_oz]],0)</f>
        <v/>
      </c>
    </row>
    <row r="1323">
      <c r="A1323" s="54" t="n"/>
      <c r="B1323" s="61" t="n"/>
      <c r="C1323" s="61" t="n"/>
      <c r="D1323" s="61" t="n"/>
      <c r="E1323" s="61" t="n"/>
      <c r="F1323" s="55" t="n"/>
      <c r="G1323" s="56" t="n"/>
      <c r="H1323" s="55" t="n"/>
      <c r="I1323" s="62" t="n"/>
      <c r="J1323" s="58" t="n"/>
      <c r="K1323" s="63">
        <f>IF(tblMovement[[#This Row],[Source]]="","",IFERROR(INDEX(tblSources[Type],MATCH(tblMovement[[#This Row],[Source]],tblSources[Source],0)),"?"))</f>
        <v/>
      </c>
      <c r="L1323" s="63">
        <f>IF(tblMovement[[#This Row],[Destination]]="","",IFERROR(INDEX(tblDestinations[Type],MATCH(tblMovement[[#This Row],[Destination]],tblDestinations[Destination],0)),"?"))</f>
        <v/>
      </c>
      <c r="M1323" s="64">
        <f>IF(tblMovement[[#This Row],[Material]]="","",IF(LEFT(tblMovement[[#This Row],[Material]],3)="Ore",1,0))</f>
        <v/>
      </c>
      <c r="N1323" s="59">
        <f>IF(OR(tblMovement[[#This Row],[Tonnes_t]]="",tblMovement[[#This Row],[Grade_gpt]]=""),0,tblMovement[[#This Row],[Tonnes_t]]*tblMovement[[#This Row],[Grade_gpt]]/cfg_TroyOz)</f>
        <v/>
      </c>
      <c r="O1323" s="59">
        <f>IF(tblMovement[[#This Row],[Is_Ore]]=1,tblMovement[[#This Row],[Contained_oz]],0)</f>
        <v/>
      </c>
    </row>
    <row r="1324">
      <c r="A1324" s="54" t="n"/>
      <c r="B1324" s="61" t="n"/>
      <c r="C1324" s="61" t="n"/>
      <c r="D1324" s="61" t="n"/>
      <c r="E1324" s="61" t="n"/>
      <c r="F1324" s="55" t="n"/>
      <c r="G1324" s="56" t="n"/>
      <c r="H1324" s="55" t="n"/>
      <c r="I1324" s="62" t="n"/>
      <c r="J1324" s="58" t="n"/>
      <c r="K1324" s="63">
        <f>IF(tblMovement[[#This Row],[Source]]="","",IFERROR(INDEX(tblSources[Type],MATCH(tblMovement[[#This Row],[Source]],tblSources[Source],0)),"?"))</f>
        <v/>
      </c>
      <c r="L1324" s="63">
        <f>IF(tblMovement[[#This Row],[Destination]]="","",IFERROR(INDEX(tblDestinations[Type],MATCH(tblMovement[[#This Row],[Destination]],tblDestinations[Destination],0)),"?"))</f>
        <v/>
      </c>
      <c r="M1324" s="64">
        <f>IF(tblMovement[[#This Row],[Material]]="","",IF(LEFT(tblMovement[[#This Row],[Material]],3)="Ore",1,0))</f>
        <v/>
      </c>
      <c r="N1324" s="59">
        <f>IF(OR(tblMovement[[#This Row],[Tonnes_t]]="",tblMovement[[#This Row],[Grade_gpt]]=""),0,tblMovement[[#This Row],[Tonnes_t]]*tblMovement[[#This Row],[Grade_gpt]]/cfg_TroyOz)</f>
        <v/>
      </c>
      <c r="O1324" s="59">
        <f>IF(tblMovement[[#This Row],[Is_Ore]]=1,tblMovement[[#This Row],[Contained_oz]],0)</f>
        <v/>
      </c>
    </row>
    <row r="1325">
      <c r="A1325" s="54" t="n"/>
      <c r="B1325" s="61" t="n"/>
      <c r="C1325" s="61" t="n"/>
      <c r="D1325" s="61" t="n"/>
      <c r="E1325" s="61" t="n"/>
      <c r="F1325" s="55" t="n"/>
      <c r="G1325" s="56" t="n"/>
      <c r="H1325" s="55" t="n"/>
      <c r="I1325" s="62" t="n"/>
      <c r="J1325" s="58" t="n"/>
      <c r="K1325" s="63">
        <f>IF(tblMovement[[#This Row],[Source]]="","",IFERROR(INDEX(tblSources[Type],MATCH(tblMovement[[#This Row],[Source]],tblSources[Source],0)),"?"))</f>
        <v/>
      </c>
      <c r="L1325" s="63">
        <f>IF(tblMovement[[#This Row],[Destination]]="","",IFERROR(INDEX(tblDestinations[Type],MATCH(tblMovement[[#This Row],[Destination]],tblDestinations[Destination],0)),"?"))</f>
        <v/>
      </c>
      <c r="M1325" s="64">
        <f>IF(tblMovement[[#This Row],[Material]]="","",IF(LEFT(tblMovement[[#This Row],[Material]],3)="Ore",1,0))</f>
        <v/>
      </c>
      <c r="N1325" s="59">
        <f>IF(OR(tblMovement[[#This Row],[Tonnes_t]]="",tblMovement[[#This Row],[Grade_gpt]]=""),0,tblMovement[[#This Row],[Tonnes_t]]*tblMovement[[#This Row],[Grade_gpt]]/cfg_TroyOz)</f>
        <v/>
      </c>
      <c r="O1325" s="59">
        <f>IF(tblMovement[[#This Row],[Is_Ore]]=1,tblMovement[[#This Row],[Contained_oz]],0)</f>
        <v/>
      </c>
    </row>
    <row r="1326">
      <c r="A1326" s="54" t="n"/>
      <c r="B1326" s="61" t="n"/>
      <c r="C1326" s="61" t="n"/>
      <c r="D1326" s="61" t="n"/>
      <c r="E1326" s="61" t="n"/>
      <c r="F1326" s="55" t="n"/>
      <c r="G1326" s="56" t="n"/>
      <c r="H1326" s="55" t="n"/>
      <c r="I1326" s="62" t="n"/>
      <c r="J1326" s="58" t="n"/>
      <c r="K1326" s="63">
        <f>IF(tblMovement[[#This Row],[Source]]="","",IFERROR(INDEX(tblSources[Type],MATCH(tblMovement[[#This Row],[Source]],tblSources[Source],0)),"?"))</f>
        <v/>
      </c>
      <c r="L1326" s="63">
        <f>IF(tblMovement[[#This Row],[Destination]]="","",IFERROR(INDEX(tblDestinations[Type],MATCH(tblMovement[[#This Row],[Destination]],tblDestinations[Destination],0)),"?"))</f>
        <v/>
      </c>
      <c r="M1326" s="64">
        <f>IF(tblMovement[[#This Row],[Material]]="","",IF(LEFT(tblMovement[[#This Row],[Material]],3)="Ore",1,0))</f>
        <v/>
      </c>
      <c r="N1326" s="59">
        <f>IF(OR(tblMovement[[#This Row],[Tonnes_t]]="",tblMovement[[#This Row],[Grade_gpt]]=""),0,tblMovement[[#This Row],[Tonnes_t]]*tblMovement[[#This Row],[Grade_gpt]]/cfg_TroyOz)</f>
        <v/>
      </c>
      <c r="O1326" s="59">
        <f>IF(tblMovement[[#This Row],[Is_Ore]]=1,tblMovement[[#This Row],[Contained_oz]],0)</f>
        <v/>
      </c>
    </row>
    <row r="1327">
      <c r="A1327" s="54" t="n"/>
      <c r="B1327" s="61" t="n"/>
      <c r="C1327" s="61" t="n"/>
      <c r="D1327" s="61" t="n"/>
      <c r="E1327" s="61" t="n"/>
      <c r="F1327" s="55" t="n"/>
      <c r="G1327" s="56" t="n"/>
      <c r="H1327" s="55" t="n"/>
      <c r="I1327" s="62" t="n"/>
      <c r="J1327" s="58" t="n"/>
      <c r="K1327" s="63">
        <f>IF(tblMovement[[#This Row],[Source]]="","",IFERROR(INDEX(tblSources[Type],MATCH(tblMovement[[#This Row],[Source]],tblSources[Source],0)),"?"))</f>
        <v/>
      </c>
      <c r="L1327" s="63">
        <f>IF(tblMovement[[#This Row],[Destination]]="","",IFERROR(INDEX(tblDestinations[Type],MATCH(tblMovement[[#This Row],[Destination]],tblDestinations[Destination],0)),"?"))</f>
        <v/>
      </c>
      <c r="M1327" s="64">
        <f>IF(tblMovement[[#This Row],[Material]]="","",IF(LEFT(tblMovement[[#This Row],[Material]],3)="Ore",1,0))</f>
        <v/>
      </c>
      <c r="N1327" s="59">
        <f>IF(OR(tblMovement[[#This Row],[Tonnes_t]]="",tblMovement[[#This Row],[Grade_gpt]]=""),0,tblMovement[[#This Row],[Tonnes_t]]*tblMovement[[#This Row],[Grade_gpt]]/cfg_TroyOz)</f>
        <v/>
      </c>
      <c r="O1327" s="59">
        <f>IF(tblMovement[[#This Row],[Is_Ore]]=1,tblMovement[[#This Row],[Contained_oz]],0)</f>
        <v/>
      </c>
    </row>
    <row r="1328">
      <c r="A1328" s="54" t="n"/>
      <c r="B1328" s="61" t="n"/>
      <c r="C1328" s="61" t="n"/>
      <c r="D1328" s="61" t="n"/>
      <c r="E1328" s="61" t="n"/>
      <c r="F1328" s="55" t="n"/>
      <c r="G1328" s="56" t="n"/>
      <c r="H1328" s="55" t="n"/>
      <c r="I1328" s="62" t="n"/>
      <c r="J1328" s="58" t="n"/>
      <c r="K1328" s="63">
        <f>IF(tblMovement[[#This Row],[Source]]="","",IFERROR(INDEX(tblSources[Type],MATCH(tblMovement[[#This Row],[Source]],tblSources[Source],0)),"?"))</f>
        <v/>
      </c>
      <c r="L1328" s="63">
        <f>IF(tblMovement[[#This Row],[Destination]]="","",IFERROR(INDEX(tblDestinations[Type],MATCH(tblMovement[[#This Row],[Destination]],tblDestinations[Destination],0)),"?"))</f>
        <v/>
      </c>
      <c r="M1328" s="64">
        <f>IF(tblMovement[[#This Row],[Material]]="","",IF(LEFT(tblMovement[[#This Row],[Material]],3)="Ore",1,0))</f>
        <v/>
      </c>
      <c r="N1328" s="59">
        <f>IF(OR(tblMovement[[#This Row],[Tonnes_t]]="",tblMovement[[#This Row],[Grade_gpt]]=""),0,tblMovement[[#This Row],[Tonnes_t]]*tblMovement[[#This Row],[Grade_gpt]]/cfg_TroyOz)</f>
        <v/>
      </c>
      <c r="O1328" s="59">
        <f>IF(tblMovement[[#This Row],[Is_Ore]]=1,tblMovement[[#This Row],[Contained_oz]],0)</f>
        <v/>
      </c>
    </row>
    <row r="1329">
      <c r="A1329" s="54" t="n"/>
      <c r="B1329" s="61" t="n"/>
      <c r="C1329" s="61" t="n"/>
      <c r="D1329" s="61" t="n"/>
      <c r="E1329" s="61" t="n"/>
      <c r="F1329" s="55" t="n"/>
      <c r="G1329" s="56" t="n"/>
      <c r="H1329" s="55" t="n"/>
      <c r="I1329" s="62" t="n"/>
      <c r="J1329" s="58" t="n"/>
      <c r="K1329" s="63">
        <f>IF(tblMovement[[#This Row],[Source]]="","",IFERROR(INDEX(tblSources[Type],MATCH(tblMovement[[#This Row],[Source]],tblSources[Source],0)),"?"))</f>
        <v/>
      </c>
      <c r="L1329" s="63">
        <f>IF(tblMovement[[#This Row],[Destination]]="","",IFERROR(INDEX(tblDestinations[Type],MATCH(tblMovement[[#This Row],[Destination]],tblDestinations[Destination],0)),"?"))</f>
        <v/>
      </c>
      <c r="M1329" s="64">
        <f>IF(tblMovement[[#This Row],[Material]]="","",IF(LEFT(tblMovement[[#This Row],[Material]],3)="Ore",1,0))</f>
        <v/>
      </c>
      <c r="N1329" s="59">
        <f>IF(OR(tblMovement[[#This Row],[Tonnes_t]]="",tblMovement[[#This Row],[Grade_gpt]]=""),0,tblMovement[[#This Row],[Tonnes_t]]*tblMovement[[#This Row],[Grade_gpt]]/cfg_TroyOz)</f>
        <v/>
      </c>
      <c r="O1329" s="59">
        <f>IF(tblMovement[[#This Row],[Is_Ore]]=1,tblMovement[[#This Row],[Contained_oz]],0)</f>
        <v/>
      </c>
    </row>
    <row r="1330">
      <c r="A1330" s="54" t="n"/>
      <c r="B1330" s="61" t="n"/>
      <c r="C1330" s="61" t="n"/>
      <c r="D1330" s="61" t="n"/>
      <c r="E1330" s="61" t="n"/>
      <c r="F1330" s="55" t="n"/>
      <c r="G1330" s="56" t="n"/>
      <c r="H1330" s="55" t="n"/>
      <c r="I1330" s="62" t="n"/>
      <c r="J1330" s="58" t="n"/>
      <c r="K1330" s="63">
        <f>IF(tblMovement[[#This Row],[Source]]="","",IFERROR(INDEX(tblSources[Type],MATCH(tblMovement[[#This Row],[Source]],tblSources[Source],0)),"?"))</f>
        <v/>
      </c>
      <c r="L1330" s="63">
        <f>IF(tblMovement[[#This Row],[Destination]]="","",IFERROR(INDEX(tblDestinations[Type],MATCH(tblMovement[[#This Row],[Destination]],tblDestinations[Destination],0)),"?"))</f>
        <v/>
      </c>
      <c r="M1330" s="64">
        <f>IF(tblMovement[[#This Row],[Material]]="","",IF(LEFT(tblMovement[[#This Row],[Material]],3)="Ore",1,0))</f>
        <v/>
      </c>
      <c r="N1330" s="59">
        <f>IF(OR(tblMovement[[#This Row],[Tonnes_t]]="",tblMovement[[#This Row],[Grade_gpt]]=""),0,tblMovement[[#This Row],[Tonnes_t]]*tblMovement[[#This Row],[Grade_gpt]]/cfg_TroyOz)</f>
        <v/>
      </c>
      <c r="O1330" s="59">
        <f>IF(tblMovement[[#This Row],[Is_Ore]]=1,tblMovement[[#This Row],[Contained_oz]],0)</f>
        <v/>
      </c>
    </row>
    <row r="1331">
      <c r="A1331" s="54" t="n"/>
      <c r="B1331" s="61" t="n"/>
      <c r="C1331" s="61" t="n"/>
      <c r="D1331" s="61" t="n"/>
      <c r="E1331" s="61" t="n"/>
      <c r="F1331" s="55" t="n"/>
      <c r="G1331" s="56" t="n"/>
      <c r="H1331" s="55" t="n"/>
      <c r="I1331" s="62" t="n"/>
      <c r="J1331" s="58" t="n"/>
      <c r="K1331" s="63">
        <f>IF(tblMovement[[#This Row],[Source]]="","",IFERROR(INDEX(tblSources[Type],MATCH(tblMovement[[#This Row],[Source]],tblSources[Source],0)),"?"))</f>
        <v/>
      </c>
      <c r="L1331" s="63">
        <f>IF(tblMovement[[#This Row],[Destination]]="","",IFERROR(INDEX(tblDestinations[Type],MATCH(tblMovement[[#This Row],[Destination]],tblDestinations[Destination],0)),"?"))</f>
        <v/>
      </c>
      <c r="M1331" s="64">
        <f>IF(tblMovement[[#This Row],[Material]]="","",IF(LEFT(tblMovement[[#This Row],[Material]],3)="Ore",1,0))</f>
        <v/>
      </c>
      <c r="N1331" s="59">
        <f>IF(OR(tblMovement[[#This Row],[Tonnes_t]]="",tblMovement[[#This Row],[Grade_gpt]]=""),0,tblMovement[[#This Row],[Tonnes_t]]*tblMovement[[#This Row],[Grade_gpt]]/cfg_TroyOz)</f>
        <v/>
      </c>
      <c r="O1331" s="59">
        <f>IF(tblMovement[[#This Row],[Is_Ore]]=1,tblMovement[[#This Row],[Contained_oz]],0)</f>
        <v/>
      </c>
    </row>
    <row r="1332">
      <c r="A1332" s="54" t="n"/>
      <c r="B1332" s="61" t="n"/>
      <c r="C1332" s="61" t="n"/>
      <c r="D1332" s="61" t="n"/>
      <c r="E1332" s="61" t="n"/>
      <c r="F1332" s="55" t="n"/>
      <c r="G1332" s="56" t="n"/>
      <c r="H1332" s="55" t="n"/>
      <c r="I1332" s="62" t="n"/>
      <c r="J1332" s="58" t="n"/>
      <c r="K1332" s="63">
        <f>IF(tblMovement[[#This Row],[Source]]="","",IFERROR(INDEX(tblSources[Type],MATCH(tblMovement[[#This Row],[Source]],tblSources[Source],0)),"?"))</f>
        <v/>
      </c>
      <c r="L1332" s="63">
        <f>IF(tblMovement[[#This Row],[Destination]]="","",IFERROR(INDEX(tblDestinations[Type],MATCH(tblMovement[[#This Row],[Destination]],tblDestinations[Destination],0)),"?"))</f>
        <v/>
      </c>
      <c r="M1332" s="64">
        <f>IF(tblMovement[[#This Row],[Material]]="","",IF(LEFT(tblMovement[[#This Row],[Material]],3)="Ore",1,0))</f>
        <v/>
      </c>
      <c r="N1332" s="59">
        <f>IF(OR(tblMovement[[#This Row],[Tonnes_t]]="",tblMovement[[#This Row],[Grade_gpt]]=""),0,tblMovement[[#This Row],[Tonnes_t]]*tblMovement[[#This Row],[Grade_gpt]]/cfg_TroyOz)</f>
        <v/>
      </c>
      <c r="O1332" s="59">
        <f>IF(tblMovement[[#This Row],[Is_Ore]]=1,tblMovement[[#This Row],[Contained_oz]],0)</f>
        <v/>
      </c>
    </row>
    <row r="1333">
      <c r="A1333" s="54" t="n"/>
      <c r="B1333" s="61" t="n"/>
      <c r="C1333" s="61" t="n"/>
      <c r="D1333" s="61" t="n"/>
      <c r="E1333" s="61" t="n"/>
      <c r="F1333" s="55" t="n"/>
      <c r="G1333" s="56" t="n"/>
      <c r="H1333" s="55" t="n"/>
      <c r="I1333" s="62" t="n"/>
      <c r="J1333" s="58" t="n"/>
      <c r="K1333" s="63">
        <f>IF(tblMovement[[#This Row],[Source]]="","",IFERROR(INDEX(tblSources[Type],MATCH(tblMovement[[#This Row],[Source]],tblSources[Source],0)),"?"))</f>
        <v/>
      </c>
      <c r="L1333" s="63">
        <f>IF(tblMovement[[#This Row],[Destination]]="","",IFERROR(INDEX(tblDestinations[Type],MATCH(tblMovement[[#This Row],[Destination]],tblDestinations[Destination],0)),"?"))</f>
        <v/>
      </c>
      <c r="M1333" s="64">
        <f>IF(tblMovement[[#This Row],[Material]]="","",IF(LEFT(tblMovement[[#This Row],[Material]],3)="Ore",1,0))</f>
        <v/>
      </c>
      <c r="N1333" s="59">
        <f>IF(OR(tblMovement[[#This Row],[Tonnes_t]]="",tblMovement[[#This Row],[Grade_gpt]]=""),0,tblMovement[[#This Row],[Tonnes_t]]*tblMovement[[#This Row],[Grade_gpt]]/cfg_TroyOz)</f>
        <v/>
      </c>
      <c r="O1333" s="59">
        <f>IF(tblMovement[[#This Row],[Is_Ore]]=1,tblMovement[[#This Row],[Contained_oz]],0)</f>
        <v/>
      </c>
    </row>
    <row r="1334">
      <c r="A1334" s="54" t="n"/>
      <c r="B1334" s="61" t="n"/>
      <c r="C1334" s="61" t="n"/>
      <c r="D1334" s="61" t="n"/>
      <c r="E1334" s="61" t="n"/>
      <c r="F1334" s="55" t="n"/>
      <c r="G1334" s="56" t="n"/>
      <c r="H1334" s="55" t="n"/>
      <c r="I1334" s="62" t="n"/>
      <c r="J1334" s="58" t="n"/>
      <c r="K1334" s="63">
        <f>IF(tblMovement[[#This Row],[Source]]="","",IFERROR(INDEX(tblSources[Type],MATCH(tblMovement[[#This Row],[Source]],tblSources[Source],0)),"?"))</f>
        <v/>
      </c>
      <c r="L1334" s="63">
        <f>IF(tblMovement[[#This Row],[Destination]]="","",IFERROR(INDEX(tblDestinations[Type],MATCH(tblMovement[[#This Row],[Destination]],tblDestinations[Destination],0)),"?"))</f>
        <v/>
      </c>
      <c r="M1334" s="64">
        <f>IF(tblMovement[[#This Row],[Material]]="","",IF(LEFT(tblMovement[[#This Row],[Material]],3)="Ore",1,0))</f>
        <v/>
      </c>
      <c r="N1334" s="59">
        <f>IF(OR(tblMovement[[#This Row],[Tonnes_t]]="",tblMovement[[#This Row],[Grade_gpt]]=""),0,tblMovement[[#This Row],[Tonnes_t]]*tblMovement[[#This Row],[Grade_gpt]]/cfg_TroyOz)</f>
        <v/>
      </c>
      <c r="O1334" s="59">
        <f>IF(tblMovement[[#This Row],[Is_Ore]]=1,tblMovement[[#This Row],[Contained_oz]],0)</f>
        <v/>
      </c>
    </row>
    <row r="1335">
      <c r="A1335" s="54" t="n"/>
      <c r="B1335" s="61" t="n"/>
      <c r="C1335" s="61" t="n"/>
      <c r="D1335" s="61" t="n"/>
      <c r="E1335" s="61" t="n"/>
      <c r="F1335" s="55" t="n"/>
      <c r="G1335" s="56" t="n"/>
      <c r="H1335" s="55" t="n"/>
      <c r="I1335" s="62" t="n"/>
      <c r="J1335" s="58" t="n"/>
      <c r="K1335" s="63">
        <f>IF(tblMovement[[#This Row],[Source]]="","",IFERROR(INDEX(tblSources[Type],MATCH(tblMovement[[#This Row],[Source]],tblSources[Source],0)),"?"))</f>
        <v/>
      </c>
      <c r="L1335" s="63">
        <f>IF(tblMovement[[#This Row],[Destination]]="","",IFERROR(INDEX(tblDestinations[Type],MATCH(tblMovement[[#This Row],[Destination]],tblDestinations[Destination],0)),"?"))</f>
        <v/>
      </c>
      <c r="M1335" s="64">
        <f>IF(tblMovement[[#This Row],[Material]]="","",IF(LEFT(tblMovement[[#This Row],[Material]],3)="Ore",1,0))</f>
        <v/>
      </c>
      <c r="N1335" s="59">
        <f>IF(OR(tblMovement[[#This Row],[Tonnes_t]]="",tblMovement[[#This Row],[Grade_gpt]]=""),0,tblMovement[[#This Row],[Tonnes_t]]*tblMovement[[#This Row],[Grade_gpt]]/cfg_TroyOz)</f>
        <v/>
      </c>
      <c r="O1335" s="59">
        <f>IF(tblMovement[[#This Row],[Is_Ore]]=1,tblMovement[[#This Row],[Contained_oz]],0)</f>
        <v/>
      </c>
    </row>
    <row r="1336">
      <c r="A1336" s="54" t="n"/>
      <c r="B1336" s="61" t="n"/>
      <c r="C1336" s="61" t="n"/>
      <c r="D1336" s="61" t="n"/>
      <c r="E1336" s="61" t="n"/>
      <c r="F1336" s="55" t="n"/>
      <c r="G1336" s="56" t="n"/>
      <c r="H1336" s="55" t="n"/>
      <c r="I1336" s="62" t="n"/>
      <c r="J1336" s="58" t="n"/>
      <c r="K1336" s="63">
        <f>IF(tblMovement[[#This Row],[Source]]="","",IFERROR(INDEX(tblSources[Type],MATCH(tblMovement[[#This Row],[Source]],tblSources[Source],0)),"?"))</f>
        <v/>
      </c>
      <c r="L1336" s="63">
        <f>IF(tblMovement[[#This Row],[Destination]]="","",IFERROR(INDEX(tblDestinations[Type],MATCH(tblMovement[[#This Row],[Destination]],tblDestinations[Destination],0)),"?"))</f>
        <v/>
      </c>
      <c r="M1336" s="64">
        <f>IF(tblMovement[[#This Row],[Material]]="","",IF(LEFT(tblMovement[[#This Row],[Material]],3)="Ore",1,0))</f>
        <v/>
      </c>
      <c r="N1336" s="59">
        <f>IF(OR(tblMovement[[#This Row],[Tonnes_t]]="",tblMovement[[#This Row],[Grade_gpt]]=""),0,tblMovement[[#This Row],[Tonnes_t]]*tblMovement[[#This Row],[Grade_gpt]]/cfg_TroyOz)</f>
        <v/>
      </c>
      <c r="O1336" s="59">
        <f>IF(tblMovement[[#This Row],[Is_Ore]]=1,tblMovement[[#This Row],[Contained_oz]],0)</f>
        <v/>
      </c>
    </row>
    <row r="1337">
      <c r="A1337" s="54" t="n"/>
      <c r="B1337" s="61" t="n"/>
      <c r="C1337" s="61" t="n"/>
      <c r="D1337" s="61" t="n"/>
      <c r="E1337" s="61" t="n"/>
      <c r="F1337" s="55" t="n"/>
      <c r="G1337" s="56" t="n"/>
      <c r="H1337" s="55" t="n"/>
      <c r="I1337" s="62" t="n"/>
      <c r="J1337" s="58" t="n"/>
      <c r="K1337" s="63">
        <f>IF(tblMovement[[#This Row],[Source]]="","",IFERROR(INDEX(tblSources[Type],MATCH(tblMovement[[#This Row],[Source]],tblSources[Source],0)),"?"))</f>
        <v/>
      </c>
      <c r="L1337" s="63">
        <f>IF(tblMovement[[#This Row],[Destination]]="","",IFERROR(INDEX(tblDestinations[Type],MATCH(tblMovement[[#This Row],[Destination]],tblDestinations[Destination],0)),"?"))</f>
        <v/>
      </c>
      <c r="M1337" s="64">
        <f>IF(tblMovement[[#This Row],[Material]]="","",IF(LEFT(tblMovement[[#This Row],[Material]],3)="Ore",1,0))</f>
        <v/>
      </c>
      <c r="N1337" s="59">
        <f>IF(OR(tblMovement[[#This Row],[Tonnes_t]]="",tblMovement[[#This Row],[Grade_gpt]]=""),0,tblMovement[[#This Row],[Tonnes_t]]*tblMovement[[#This Row],[Grade_gpt]]/cfg_TroyOz)</f>
        <v/>
      </c>
      <c r="O1337" s="59">
        <f>IF(tblMovement[[#This Row],[Is_Ore]]=1,tblMovement[[#This Row],[Contained_oz]],0)</f>
        <v/>
      </c>
    </row>
    <row r="1338">
      <c r="A1338" s="54" t="n"/>
      <c r="B1338" s="61" t="n"/>
      <c r="C1338" s="61" t="n"/>
      <c r="D1338" s="61" t="n"/>
      <c r="E1338" s="61" t="n"/>
      <c r="F1338" s="55" t="n"/>
      <c r="G1338" s="56" t="n"/>
      <c r="H1338" s="55" t="n"/>
      <c r="I1338" s="62" t="n"/>
      <c r="J1338" s="58" t="n"/>
      <c r="K1338" s="63">
        <f>IF(tblMovement[[#This Row],[Source]]="","",IFERROR(INDEX(tblSources[Type],MATCH(tblMovement[[#This Row],[Source]],tblSources[Source],0)),"?"))</f>
        <v/>
      </c>
      <c r="L1338" s="63">
        <f>IF(tblMovement[[#This Row],[Destination]]="","",IFERROR(INDEX(tblDestinations[Type],MATCH(tblMovement[[#This Row],[Destination]],tblDestinations[Destination],0)),"?"))</f>
        <v/>
      </c>
      <c r="M1338" s="64">
        <f>IF(tblMovement[[#This Row],[Material]]="","",IF(LEFT(tblMovement[[#This Row],[Material]],3)="Ore",1,0))</f>
        <v/>
      </c>
      <c r="N1338" s="59">
        <f>IF(OR(tblMovement[[#This Row],[Tonnes_t]]="",tblMovement[[#This Row],[Grade_gpt]]=""),0,tblMovement[[#This Row],[Tonnes_t]]*tblMovement[[#This Row],[Grade_gpt]]/cfg_TroyOz)</f>
        <v/>
      </c>
      <c r="O1338" s="59">
        <f>IF(tblMovement[[#This Row],[Is_Ore]]=1,tblMovement[[#This Row],[Contained_oz]],0)</f>
        <v/>
      </c>
    </row>
    <row r="1339">
      <c r="A1339" s="54" t="n"/>
      <c r="B1339" s="61" t="n"/>
      <c r="C1339" s="61" t="n"/>
      <c r="D1339" s="61" t="n"/>
      <c r="E1339" s="61" t="n"/>
      <c r="F1339" s="55" t="n"/>
      <c r="G1339" s="56" t="n"/>
      <c r="H1339" s="55" t="n"/>
      <c r="I1339" s="62" t="n"/>
      <c r="J1339" s="58" t="n"/>
      <c r="K1339" s="63">
        <f>IF(tblMovement[[#This Row],[Source]]="","",IFERROR(INDEX(tblSources[Type],MATCH(tblMovement[[#This Row],[Source]],tblSources[Source],0)),"?"))</f>
        <v/>
      </c>
      <c r="L1339" s="63">
        <f>IF(tblMovement[[#This Row],[Destination]]="","",IFERROR(INDEX(tblDestinations[Type],MATCH(tblMovement[[#This Row],[Destination]],tblDestinations[Destination],0)),"?"))</f>
        <v/>
      </c>
      <c r="M1339" s="64">
        <f>IF(tblMovement[[#This Row],[Material]]="","",IF(LEFT(tblMovement[[#This Row],[Material]],3)="Ore",1,0))</f>
        <v/>
      </c>
      <c r="N1339" s="59">
        <f>IF(OR(tblMovement[[#This Row],[Tonnes_t]]="",tblMovement[[#This Row],[Grade_gpt]]=""),0,tblMovement[[#This Row],[Tonnes_t]]*tblMovement[[#This Row],[Grade_gpt]]/cfg_TroyOz)</f>
        <v/>
      </c>
      <c r="O1339" s="59">
        <f>IF(tblMovement[[#This Row],[Is_Ore]]=1,tblMovement[[#This Row],[Contained_oz]],0)</f>
        <v/>
      </c>
    </row>
    <row r="1340">
      <c r="A1340" s="54" t="n"/>
      <c r="B1340" s="61" t="n"/>
      <c r="C1340" s="61" t="n"/>
      <c r="D1340" s="61" t="n"/>
      <c r="E1340" s="61" t="n"/>
      <c r="F1340" s="55" t="n"/>
      <c r="G1340" s="56" t="n"/>
      <c r="H1340" s="55" t="n"/>
      <c r="I1340" s="62" t="n"/>
      <c r="J1340" s="58" t="n"/>
      <c r="K1340" s="63">
        <f>IF(tblMovement[[#This Row],[Source]]="","",IFERROR(INDEX(tblSources[Type],MATCH(tblMovement[[#This Row],[Source]],tblSources[Source],0)),"?"))</f>
        <v/>
      </c>
      <c r="L1340" s="63">
        <f>IF(tblMovement[[#This Row],[Destination]]="","",IFERROR(INDEX(tblDestinations[Type],MATCH(tblMovement[[#This Row],[Destination]],tblDestinations[Destination],0)),"?"))</f>
        <v/>
      </c>
      <c r="M1340" s="64">
        <f>IF(tblMovement[[#This Row],[Material]]="","",IF(LEFT(tblMovement[[#This Row],[Material]],3)="Ore",1,0))</f>
        <v/>
      </c>
      <c r="N1340" s="59">
        <f>IF(OR(tblMovement[[#This Row],[Tonnes_t]]="",tblMovement[[#This Row],[Grade_gpt]]=""),0,tblMovement[[#This Row],[Tonnes_t]]*tblMovement[[#This Row],[Grade_gpt]]/cfg_TroyOz)</f>
        <v/>
      </c>
      <c r="O1340" s="59">
        <f>IF(tblMovement[[#This Row],[Is_Ore]]=1,tblMovement[[#This Row],[Contained_oz]],0)</f>
        <v/>
      </c>
    </row>
    <row r="1341">
      <c r="A1341" s="54" t="n"/>
      <c r="B1341" s="61" t="n"/>
      <c r="C1341" s="61" t="n"/>
      <c r="D1341" s="61" t="n"/>
      <c r="E1341" s="61" t="n"/>
      <c r="F1341" s="55" t="n"/>
      <c r="G1341" s="56" t="n"/>
      <c r="H1341" s="55" t="n"/>
      <c r="I1341" s="62" t="n"/>
      <c r="J1341" s="58" t="n"/>
      <c r="K1341" s="63">
        <f>IF(tblMovement[[#This Row],[Source]]="","",IFERROR(INDEX(tblSources[Type],MATCH(tblMovement[[#This Row],[Source]],tblSources[Source],0)),"?"))</f>
        <v/>
      </c>
      <c r="L1341" s="63">
        <f>IF(tblMovement[[#This Row],[Destination]]="","",IFERROR(INDEX(tblDestinations[Type],MATCH(tblMovement[[#This Row],[Destination]],tblDestinations[Destination],0)),"?"))</f>
        <v/>
      </c>
      <c r="M1341" s="64">
        <f>IF(tblMovement[[#This Row],[Material]]="","",IF(LEFT(tblMovement[[#This Row],[Material]],3)="Ore",1,0))</f>
        <v/>
      </c>
      <c r="N1341" s="59">
        <f>IF(OR(tblMovement[[#This Row],[Tonnes_t]]="",tblMovement[[#This Row],[Grade_gpt]]=""),0,tblMovement[[#This Row],[Tonnes_t]]*tblMovement[[#This Row],[Grade_gpt]]/cfg_TroyOz)</f>
        <v/>
      </c>
      <c r="O1341" s="59">
        <f>IF(tblMovement[[#This Row],[Is_Ore]]=1,tblMovement[[#This Row],[Contained_oz]],0)</f>
        <v/>
      </c>
    </row>
    <row r="1342">
      <c r="A1342" s="54" t="n"/>
      <c r="B1342" s="61" t="n"/>
      <c r="C1342" s="61" t="n"/>
      <c r="D1342" s="61" t="n"/>
      <c r="E1342" s="61" t="n"/>
      <c r="F1342" s="55" t="n"/>
      <c r="G1342" s="56" t="n"/>
      <c r="H1342" s="55" t="n"/>
      <c r="I1342" s="62" t="n"/>
      <c r="J1342" s="58" t="n"/>
      <c r="K1342" s="63">
        <f>IF(tblMovement[[#This Row],[Source]]="","",IFERROR(INDEX(tblSources[Type],MATCH(tblMovement[[#This Row],[Source]],tblSources[Source],0)),"?"))</f>
        <v/>
      </c>
      <c r="L1342" s="63">
        <f>IF(tblMovement[[#This Row],[Destination]]="","",IFERROR(INDEX(tblDestinations[Type],MATCH(tblMovement[[#This Row],[Destination]],tblDestinations[Destination],0)),"?"))</f>
        <v/>
      </c>
      <c r="M1342" s="64">
        <f>IF(tblMovement[[#This Row],[Material]]="","",IF(LEFT(tblMovement[[#This Row],[Material]],3)="Ore",1,0))</f>
        <v/>
      </c>
      <c r="N1342" s="59">
        <f>IF(OR(tblMovement[[#This Row],[Tonnes_t]]="",tblMovement[[#This Row],[Grade_gpt]]=""),0,tblMovement[[#This Row],[Tonnes_t]]*tblMovement[[#This Row],[Grade_gpt]]/cfg_TroyOz)</f>
        <v/>
      </c>
      <c r="O1342" s="59">
        <f>IF(tblMovement[[#This Row],[Is_Ore]]=1,tblMovement[[#This Row],[Contained_oz]],0)</f>
        <v/>
      </c>
    </row>
    <row r="1343">
      <c r="A1343" s="54" t="n"/>
      <c r="B1343" s="61" t="n"/>
      <c r="C1343" s="61" t="n"/>
      <c r="D1343" s="61" t="n"/>
      <c r="E1343" s="61" t="n"/>
      <c r="F1343" s="55" t="n"/>
      <c r="G1343" s="56" t="n"/>
      <c r="H1343" s="55" t="n"/>
      <c r="I1343" s="62" t="n"/>
      <c r="J1343" s="58" t="n"/>
      <c r="K1343" s="63">
        <f>IF(tblMovement[[#This Row],[Source]]="","",IFERROR(INDEX(tblSources[Type],MATCH(tblMovement[[#This Row],[Source]],tblSources[Source],0)),"?"))</f>
        <v/>
      </c>
      <c r="L1343" s="63">
        <f>IF(tblMovement[[#This Row],[Destination]]="","",IFERROR(INDEX(tblDestinations[Type],MATCH(tblMovement[[#This Row],[Destination]],tblDestinations[Destination],0)),"?"))</f>
        <v/>
      </c>
      <c r="M1343" s="64">
        <f>IF(tblMovement[[#This Row],[Material]]="","",IF(LEFT(tblMovement[[#This Row],[Material]],3)="Ore",1,0))</f>
        <v/>
      </c>
      <c r="N1343" s="59">
        <f>IF(OR(tblMovement[[#This Row],[Tonnes_t]]="",tblMovement[[#This Row],[Grade_gpt]]=""),0,tblMovement[[#This Row],[Tonnes_t]]*tblMovement[[#This Row],[Grade_gpt]]/cfg_TroyOz)</f>
        <v/>
      </c>
      <c r="O1343" s="59">
        <f>IF(tblMovement[[#This Row],[Is_Ore]]=1,tblMovement[[#This Row],[Contained_oz]],0)</f>
        <v/>
      </c>
    </row>
    <row r="1344">
      <c r="A1344" s="54" t="n"/>
      <c r="B1344" s="61" t="n"/>
      <c r="C1344" s="61" t="n"/>
      <c r="D1344" s="61" t="n"/>
      <c r="E1344" s="61" t="n"/>
      <c r="F1344" s="55" t="n"/>
      <c r="G1344" s="56" t="n"/>
      <c r="H1344" s="55" t="n"/>
      <c r="I1344" s="62" t="n"/>
      <c r="J1344" s="58" t="n"/>
      <c r="K1344" s="63">
        <f>IF(tblMovement[[#This Row],[Source]]="","",IFERROR(INDEX(tblSources[Type],MATCH(tblMovement[[#This Row],[Source]],tblSources[Source],0)),"?"))</f>
        <v/>
      </c>
      <c r="L1344" s="63">
        <f>IF(tblMovement[[#This Row],[Destination]]="","",IFERROR(INDEX(tblDestinations[Type],MATCH(tblMovement[[#This Row],[Destination]],tblDestinations[Destination],0)),"?"))</f>
        <v/>
      </c>
      <c r="M1344" s="64">
        <f>IF(tblMovement[[#This Row],[Material]]="","",IF(LEFT(tblMovement[[#This Row],[Material]],3)="Ore",1,0))</f>
        <v/>
      </c>
      <c r="N1344" s="59">
        <f>IF(OR(tblMovement[[#This Row],[Tonnes_t]]="",tblMovement[[#This Row],[Grade_gpt]]=""),0,tblMovement[[#This Row],[Tonnes_t]]*tblMovement[[#This Row],[Grade_gpt]]/cfg_TroyOz)</f>
        <v/>
      </c>
      <c r="O1344" s="59">
        <f>IF(tblMovement[[#This Row],[Is_Ore]]=1,tblMovement[[#This Row],[Contained_oz]],0)</f>
        <v/>
      </c>
    </row>
    <row r="1345">
      <c r="A1345" s="54" t="n"/>
      <c r="B1345" s="61" t="n"/>
      <c r="C1345" s="61" t="n"/>
      <c r="D1345" s="61" t="n"/>
      <c r="E1345" s="61" t="n"/>
      <c r="F1345" s="55" t="n"/>
      <c r="G1345" s="56" t="n"/>
      <c r="H1345" s="55" t="n"/>
      <c r="I1345" s="62" t="n"/>
      <c r="J1345" s="58" t="n"/>
      <c r="K1345" s="63">
        <f>IF(tblMovement[[#This Row],[Source]]="","",IFERROR(INDEX(tblSources[Type],MATCH(tblMovement[[#This Row],[Source]],tblSources[Source],0)),"?"))</f>
        <v/>
      </c>
      <c r="L1345" s="63">
        <f>IF(tblMovement[[#This Row],[Destination]]="","",IFERROR(INDEX(tblDestinations[Type],MATCH(tblMovement[[#This Row],[Destination]],tblDestinations[Destination],0)),"?"))</f>
        <v/>
      </c>
      <c r="M1345" s="64">
        <f>IF(tblMovement[[#This Row],[Material]]="","",IF(LEFT(tblMovement[[#This Row],[Material]],3)="Ore",1,0))</f>
        <v/>
      </c>
      <c r="N1345" s="59">
        <f>IF(OR(tblMovement[[#This Row],[Tonnes_t]]="",tblMovement[[#This Row],[Grade_gpt]]=""),0,tblMovement[[#This Row],[Tonnes_t]]*tblMovement[[#This Row],[Grade_gpt]]/cfg_TroyOz)</f>
        <v/>
      </c>
      <c r="O1345" s="59">
        <f>IF(tblMovement[[#This Row],[Is_Ore]]=1,tblMovement[[#This Row],[Contained_oz]],0)</f>
        <v/>
      </c>
    </row>
    <row r="1346">
      <c r="A1346" s="54" t="n"/>
      <c r="B1346" s="61" t="n"/>
      <c r="C1346" s="61" t="n"/>
      <c r="D1346" s="61" t="n"/>
      <c r="E1346" s="61" t="n"/>
      <c r="F1346" s="55" t="n"/>
      <c r="G1346" s="56" t="n"/>
      <c r="H1346" s="55" t="n"/>
      <c r="I1346" s="62" t="n"/>
      <c r="J1346" s="58" t="n"/>
      <c r="K1346" s="63">
        <f>IF(tblMovement[[#This Row],[Source]]="","",IFERROR(INDEX(tblSources[Type],MATCH(tblMovement[[#This Row],[Source]],tblSources[Source],0)),"?"))</f>
        <v/>
      </c>
      <c r="L1346" s="63">
        <f>IF(tblMovement[[#This Row],[Destination]]="","",IFERROR(INDEX(tblDestinations[Type],MATCH(tblMovement[[#This Row],[Destination]],tblDestinations[Destination],0)),"?"))</f>
        <v/>
      </c>
      <c r="M1346" s="64">
        <f>IF(tblMovement[[#This Row],[Material]]="","",IF(LEFT(tblMovement[[#This Row],[Material]],3)="Ore",1,0))</f>
        <v/>
      </c>
      <c r="N1346" s="59">
        <f>IF(OR(tblMovement[[#This Row],[Tonnes_t]]="",tblMovement[[#This Row],[Grade_gpt]]=""),0,tblMovement[[#This Row],[Tonnes_t]]*tblMovement[[#This Row],[Grade_gpt]]/cfg_TroyOz)</f>
        <v/>
      </c>
      <c r="O1346" s="59">
        <f>IF(tblMovement[[#This Row],[Is_Ore]]=1,tblMovement[[#This Row],[Contained_oz]],0)</f>
        <v/>
      </c>
    </row>
    <row r="1347">
      <c r="A1347" s="54" t="n"/>
      <c r="B1347" s="61" t="n"/>
      <c r="C1347" s="61" t="n"/>
      <c r="D1347" s="61" t="n"/>
      <c r="E1347" s="61" t="n"/>
      <c r="F1347" s="55" t="n"/>
      <c r="G1347" s="56" t="n"/>
      <c r="H1347" s="55" t="n"/>
      <c r="I1347" s="62" t="n"/>
      <c r="J1347" s="58" t="n"/>
      <c r="K1347" s="63">
        <f>IF(tblMovement[[#This Row],[Source]]="","",IFERROR(INDEX(tblSources[Type],MATCH(tblMovement[[#This Row],[Source]],tblSources[Source],0)),"?"))</f>
        <v/>
      </c>
      <c r="L1347" s="63">
        <f>IF(tblMovement[[#This Row],[Destination]]="","",IFERROR(INDEX(tblDestinations[Type],MATCH(tblMovement[[#This Row],[Destination]],tblDestinations[Destination],0)),"?"))</f>
        <v/>
      </c>
      <c r="M1347" s="64">
        <f>IF(tblMovement[[#This Row],[Material]]="","",IF(LEFT(tblMovement[[#This Row],[Material]],3)="Ore",1,0))</f>
        <v/>
      </c>
      <c r="N1347" s="59">
        <f>IF(OR(tblMovement[[#This Row],[Tonnes_t]]="",tblMovement[[#This Row],[Grade_gpt]]=""),0,tblMovement[[#This Row],[Tonnes_t]]*tblMovement[[#This Row],[Grade_gpt]]/cfg_TroyOz)</f>
        <v/>
      </c>
      <c r="O1347" s="59">
        <f>IF(tblMovement[[#This Row],[Is_Ore]]=1,tblMovement[[#This Row],[Contained_oz]],0)</f>
        <v/>
      </c>
    </row>
    <row r="1348">
      <c r="A1348" s="54" t="n"/>
      <c r="B1348" s="61" t="n"/>
      <c r="C1348" s="61" t="n"/>
      <c r="D1348" s="61" t="n"/>
      <c r="E1348" s="61" t="n"/>
      <c r="F1348" s="55" t="n"/>
      <c r="G1348" s="56" t="n"/>
      <c r="H1348" s="55" t="n"/>
      <c r="I1348" s="62" t="n"/>
      <c r="J1348" s="58" t="n"/>
      <c r="K1348" s="63">
        <f>IF(tblMovement[[#This Row],[Source]]="","",IFERROR(INDEX(tblSources[Type],MATCH(tblMovement[[#This Row],[Source]],tblSources[Source],0)),"?"))</f>
        <v/>
      </c>
      <c r="L1348" s="63">
        <f>IF(tblMovement[[#This Row],[Destination]]="","",IFERROR(INDEX(tblDestinations[Type],MATCH(tblMovement[[#This Row],[Destination]],tblDestinations[Destination],0)),"?"))</f>
        <v/>
      </c>
      <c r="M1348" s="64">
        <f>IF(tblMovement[[#This Row],[Material]]="","",IF(LEFT(tblMovement[[#This Row],[Material]],3)="Ore",1,0))</f>
        <v/>
      </c>
      <c r="N1348" s="59">
        <f>IF(OR(tblMovement[[#This Row],[Tonnes_t]]="",tblMovement[[#This Row],[Grade_gpt]]=""),0,tblMovement[[#This Row],[Tonnes_t]]*tblMovement[[#This Row],[Grade_gpt]]/cfg_TroyOz)</f>
        <v/>
      </c>
      <c r="O1348" s="59">
        <f>IF(tblMovement[[#This Row],[Is_Ore]]=1,tblMovement[[#This Row],[Contained_oz]],0)</f>
        <v/>
      </c>
    </row>
    <row r="1349">
      <c r="A1349" s="54" t="n"/>
      <c r="B1349" s="61" t="n"/>
      <c r="C1349" s="61" t="n"/>
      <c r="D1349" s="61" t="n"/>
      <c r="E1349" s="61" t="n"/>
      <c r="F1349" s="55" t="n"/>
      <c r="G1349" s="56" t="n"/>
      <c r="H1349" s="55" t="n"/>
      <c r="I1349" s="62" t="n"/>
      <c r="J1349" s="58" t="n"/>
      <c r="K1349" s="63">
        <f>IF(tblMovement[[#This Row],[Source]]="","",IFERROR(INDEX(tblSources[Type],MATCH(tblMovement[[#This Row],[Source]],tblSources[Source],0)),"?"))</f>
        <v/>
      </c>
      <c r="L1349" s="63">
        <f>IF(tblMovement[[#This Row],[Destination]]="","",IFERROR(INDEX(tblDestinations[Type],MATCH(tblMovement[[#This Row],[Destination]],tblDestinations[Destination],0)),"?"))</f>
        <v/>
      </c>
      <c r="M1349" s="64">
        <f>IF(tblMovement[[#This Row],[Material]]="","",IF(LEFT(tblMovement[[#This Row],[Material]],3)="Ore",1,0))</f>
        <v/>
      </c>
      <c r="N1349" s="59">
        <f>IF(OR(tblMovement[[#This Row],[Tonnes_t]]="",tblMovement[[#This Row],[Grade_gpt]]=""),0,tblMovement[[#This Row],[Tonnes_t]]*tblMovement[[#This Row],[Grade_gpt]]/cfg_TroyOz)</f>
        <v/>
      </c>
      <c r="O1349" s="59">
        <f>IF(tblMovement[[#This Row],[Is_Ore]]=1,tblMovement[[#This Row],[Contained_oz]],0)</f>
        <v/>
      </c>
    </row>
    <row r="1350">
      <c r="A1350" s="54" t="n"/>
      <c r="B1350" s="61" t="n"/>
      <c r="C1350" s="61" t="n"/>
      <c r="D1350" s="61" t="n"/>
      <c r="E1350" s="61" t="n"/>
      <c r="F1350" s="55" t="n"/>
      <c r="G1350" s="56" t="n"/>
      <c r="H1350" s="55" t="n"/>
      <c r="I1350" s="62" t="n"/>
      <c r="J1350" s="58" t="n"/>
      <c r="K1350" s="63">
        <f>IF(tblMovement[[#This Row],[Source]]="","",IFERROR(INDEX(tblSources[Type],MATCH(tblMovement[[#This Row],[Source]],tblSources[Source],0)),"?"))</f>
        <v/>
      </c>
      <c r="L1350" s="63">
        <f>IF(tblMovement[[#This Row],[Destination]]="","",IFERROR(INDEX(tblDestinations[Type],MATCH(tblMovement[[#This Row],[Destination]],tblDestinations[Destination],0)),"?"))</f>
        <v/>
      </c>
      <c r="M1350" s="64">
        <f>IF(tblMovement[[#This Row],[Material]]="","",IF(LEFT(tblMovement[[#This Row],[Material]],3)="Ore",1,0))</f>
        <v/>
      </c>
      <c r="N1350" s="59">
        <f>IF(OR(tblMovement[[#This Row],[Tonnes_t]]="",tblMovement[[#This Row],[Grade_gpt]]=""),0,tblMovement[[#This Row],[Tonnes_t]]*tblMovement[[#This Row],[Grade_gpt]]/cfg_TroyOz)</f>
        <v/>
      </c>
      <c r="O1350" s="59">
        <f>IF(tblMovement[[#This Row],[Is_Ore]]=1,tblMovement[[#This Row],[Contained_oz]],0)</f>
        <v/>
      </c>
    </row>
    <row r="1351">
      <c r="A1351" s="54" t="n"/>
      <c r="B1351" s="61" t="n"/>
      <c r="C1351" s="61" t="n"/>
      <c r="D1351" s="61" t="n"/>
      <c r="E1351" s="61" t="n"/>
      <c r="F1351" s="55" t="n"/>
      <c r="G1351" s="56" t="n"/>
      <c r="H1351" s="55" t="n"/>
      <c r="I1351" s="62" t="n"/>
      <c r="J1351" s="58" t="n"/>
      <c r="K1351" s="63">
        <f>IF(tblMovement[[#This Row],[Source]]="","",IFERROR(INDEX(tblSources[Type],MATCH(tblMovement[[#This Row],[Source]],tblSources[Source],0)),"?"))</f>
        <v/>
      </c>
      <c r="L1351" s="63">
        <f>IF(tblMovement[[#This Row],[Destination]]="","",IFERROR(INDEX(tblDestinations[Type],MATCH(tblMovement[[#This Row],[Destination]],tblDestinations[Destination],0)),"?"))</f>
        <v/>
      </c>
      <c r="M1351" s="64">
        <f>IF(tblMovement[[#This Row],[Material]]="","",IF(LEFT(tblMovement[[#This Row],[Material]],3)="Ore",1,0))</f>
        <v/>
      </c>
      <c r="N1351" s="59">
        <f>IF(OR(tblMovement[[#This Row],[Tonnes_t]]="",tblMovement[[#This Row],[Grade_gpt]]=""),0,tblMovement[[#This Row],[Tonnes_t]]*tblMovement[[#This Row],[Grade_gpt]]/cfg_TroyOz)</f>
        <v/>
      </c>
      <c r="O1351" s="59">
        <f>IF(tblMovement[[#This Row],[Is_Ore]]=1,tblMovement[[#This Row],[Contained_oz]],0)</f>
        <v/>
      </c>
    </row>
    <row r="1352">
      <c r="A1352" s="54" t="n"/>
      <c r="B1352" s="61" t="n"/>
      <c r="C1352" s="61" t="n"/>
      <c r="D1352" s="61" t="n"/>
      <c r="E1352" s="61" t="n"/>
      <c r="F1352" s="55" t="n"/>
      <c r="G1352" s="56" t="n"/>
      <c r="H1352" s="55" t="n"/>
      <c r="I1352" s="62" t="n"/>
      <c r="J1352" s="58" t="n"/>
      <c r="K1352" s="63">
        <f>IF(tblMovement[[#This Row],[Source]]="","",IFERROR(INDEX(tblSources[Type],MATCH(tblMovement[[#This Row],[Source]],tblSources[Source],0)),"?"))</f>
        <v/>
      </c>
      <c r="L1352" s="63">
        <f>IF(tblMovement[[#This Row],[Destination]]="","",IFERROR(INDEX(tblDestinations[Type],MATCH(tblMovement[[#This Row],[Destination]],tblDestinations[Destination],0)),"?"))</f>
        <v/>
      </c>
      <c r="M1352" s="64">
        <f>IF(tblMovement[[#This Row],[Material]]="","",IF(LEFT(tblMovement[[#This Row],[Material]],3)="Ore",1,0))</f>
        <v/>
      </c>
      <c r="N1352" s="59">
        <f>IF(OR(tblMovement[[#This Row],[Tonnes_t]]="",tblMovement[[#This Row],[Grade_gpt]]=""),0,tblMovement[[#This Row],[Tonnes_t]]*tblMovement[[#This Row],[Grade_gpt]]/cfg_TroyOz)</f>
        <v/>
      </c>
      <c r="O1352" s="59">
        <f>IF(tblMovement[[#This Row],[Is_Ore]]=1,tblMovement[[#This Row],[Contained_oz]],0)</f>
        <v/>
      </c>
    </row>
    <row r="1353">
      <c r="A1353" s="54" t="n"/>
      <c r="B1353" s="61" t="n"/>
      <c r="C1353" s="61" t="n"/>
      <c r="D1353" s="61" t="n"/>
      <c r="E1353" s="61" t="n"/>
      <c r="F1353" s="55" t="n"/>
      <c r="G1353" s="56" t="n"/>
      <c r="H1353" s="55" t="n"/>
      <c r="I1353" s="62" t="n"/>
      <c r="J1353" s="58" t="n"/>
      <c r="K1353" s="63">
        <f>IF(tblMovement[[#This Row],[Source]]="","",IFERROR(INDEX(tblSources[Type],MATCH(tblMovement[[#This Row],[Source]],tblSources[Source],0)),"?"))</f>
        <v/>
      </c>
      <c r="L1353" s="63">
        <f>IF(tblMovement[[#This Row],[Destination]]="","",IFERROR(INDEX(tblDestinations[Type],MATCH(tblMovement[[#This Row],[Destination]],tblDestinations[Destination],0)),"?"))</f>
        <v/>
      </c>
      <c r="M1353" s="64">
        <f>IF(tblMovement[[#This Row],[Material]]="","",IF(LEFT(tblMovement[[#This Row],[Material]],3)="Ore",1,0))</f>
        <v/>
      </c>
      <c r="N1353" s="59">
        <f>IF(OR(tblMovement[[#This Row],[Tonnes_t]]="",tblMovement[[#This Row],[Grade_gpt]]=""),0,tblMovement[[#This Row],[Tonnes_t]]*tblMovement[[#This Row],[Grade_gpt]]/cfg_TroyOz)</f>
        <v/>
      </c>
      <c r="O1353" s="59">
        <f>IF(tblMovement[[#This Row],[Is_Ore]]=1,tblMovement[[#This Row],[Contained_oz]],0)</f>
        <v/>
      </c>
    </row>
    <row r="1354">
      <c r="A1354" s="54" t="n"/>
      <c r="B1354" s="61" t="n"/>
      <c r="C1354" s="61" t="n"/>
      <c r="D1354" s="61" t="n"/>
      <c r="E1354" s="61" t="n"/>
      <c r="F1354" s="55" t="n"/>
      <c r="G1354" s="56" t="n"/>
      <c r="H1354" s="55" t="n"/>
      <c r="I1354" s="62" t="n"/>
      <c r="J1354" s="58" t="n"/>
      <c r="K1354" s="63">
        <f>IF(tblMovement[[#This Row],[Source]]="","",IFERROR(INDEX(tblSources[Type],MATCH(tblMovement[[#This Row],[Source]],tblSources[Source],0)),"?"))</f>
        <v/>
      </c>
      <c r="L1354" s="63">
        <f>IF(tblMovement[[#This Row],[Destination]]="","",IFERROR(INDEX(tblDestinations[Type],MATCH(tblMovement[[#This Row],[Destination]],tblDestinations[Destination],0)),"?"))</f>
        <v/>
      </c>
      <c r="M1354" s="64">
        <f>IF(tblMovement[[#This Row],[Material]]="","",IF(LEFT(tblMovement[[#This Row],[Material]],3)="Ore",1,0))</f>
        <v/>
      </c>
      <c r="N1354" s="59">
        <f>IF(OR(tblMovement[[#This Row],[Tonnes_t]]="",tblMovement[[#This Row],[Grade_gpt]]=""),0,tblMovement[[#This Row],[Tonnes_t]]*tblMovement[[#This Row],[Grade_gpt]]/cfg_TroyOz)</f>
        <v/>
      </c>
      <c r="O1354" s="59">
        <f>IF(tblMovement[[#This Row],[Is_Ore]]=1,tblMovement[[#This Row],[Contained_oz]],0)</f>
        <v/>
      </c>
    </row>
    <row r="1355">
      <c r="A1355" s="54" t="n"/>
      <c r="B1355" s="61" t="n"/>
      <c r="C1355" s="61" t="n"/>
      <c r="D1355" s="61" t="n"/>
      <c r="E1355" s="61" t="n"/>
      <c r="F1355" s="55" t="n"/>
      <c r="G1355" s="56" t="n"/>
      <c r="H1355" s="55" t="n"/>
      <c r="I1355" s="62" t="n"/>
      <c r="J1355" s="58" t="n"/>
      <c r="K1355" s="63">
        <f>IF(tblMovement[[#This Row],[Source]]="","",IFERROR(INDEX(tblSources[Type],MATCH(tblMovement[[#This Row],[Source]],tblSources[Source],0)),"?"))</f>
        <v/>
      </c>
      <c r="L1355" s="63">
        <f>IF(tblMovement[[#This Row],[Destination]]="","",IFERROR(INDEX(tblDestinations[Type],MATCH(tblMovement[[#This Row],[Destination]],tblDestinations[Destination],0)),"?"))</f>
        <v/>
      </c>
      <c r="M1355" s="64">
        <f>IF(tblMovement[[#This Row],[Material]]="","",IF(LEFT(tblMovement[[#This Row],[Material]],3)="Ore",1,0))</f>
        <v/>
      </c>
      <c r="N1355" s="59">
        <f>IF(OR(tblMovement[[#This Row],[Tonnes_t]]="",tblMovement[[#This Row],[Grade_gpt]]=""),0,tblMovement[[#This Row],[Tonnes_t]]*tblMovement[[#This Row],[Grade_gpt]]/cfg_TroyOz)</f>
        <v/>
      </c>
      <c r="O1355" s="59">
        <f>IF(tblMovement[[#This Row],[Is_Ore]]=1,tblMovement[[#This Row],[Contained_oz]],0)</f>
        <v/>
      </c>
    </row>
    <row r="1356">
      <c r="A1356" s="54" t="n"/>
      <c r="B1356" s="61" t="n"/>
      <c r="C1356" s="61" t="n"/>
      <c r="D1356" s="61" t="n"/>
      <c r="E1356" s="61" t="n"/>
      <c r="F1356" s="55" t="n"/>
      <c r="G1356" s="56" t="n"/>
      <c r="H1356" s="55" t="n"/>
      <c r="I1356" s="62" t="n"/>
      <c r="J1356" s="58" t="n"/>
      <c r="K1356" s="63">
        <f>IF(tblMovement[[#This Row],[Source]]="","",IFERROR(INDEX(tblSources[Type],MATCH(tblMovement[[#This Row],[Source]],tblSources[Source],0)),"?"))</f>
        <v/>
      </c>
      <c r="L1356" s="63">
        <f>IF(tblMovement[[#This Row],[Destination]]="","",IFERROR(INDEX(tblDestinations[Type],MATCH(tblMovement[[#This Row],[Destination]],tblDestinations[Destination],0)),"?"))</f>
        <v/>
      </c>
      <c r="M1356" s="64">
        <f>IF(tblMovement[[#This Row],[Material]]="","",IF(LEFT(tblMovement[[#This Row],[Material]],3)="Ore",1,0))</f>
        <v/>
      </c>
      <c r="N1356" s="59">
        <f>IF(OR(tblMovement[[#This Row],[Tonnes_t]]="",tblMovement[[#This Row],[Grade_gpt]]=""),0,tblMovement[[#This Row],[Tonnes_t]]*tblMovement[[#This Row],[Grade_gpt]]/cfg_TroyOz)</f>
        <v/>
      </c>
      <c r="O1356" s="59">
        <f>IF(tblMovement[[#This Row],[Is_Ore]]=1,tblMovement[[#This Row],[Contained_oz]],0)</f>
        <v/>
      </c>
    </row>
    <row r="1357">
      <c r="A1357" s="54" t="n"/>
      <c r="B1357" s="61" t="n"/>
      <c r="C1357" s="61" t="n"/>
      <c r="D1357" s="61" t="n"/>
      <c r="E1357" s="61" t="n"/>
      <c r="F1357" s="55" t="n"/>
      <c r="G1357" s="56" t="n"/>
      <c r="H1357" s="55" t="n"/>
      <c r="I1357" s="62" t="n"/>
      <c r="J1357" s="58" t="n"/>
      <c r="K1357" s="63">
        <f>IF(tblMovement[[#This Row],[Source]]="","",IFERROR(INDEX(tblSources[Type],MATCH(tblMovement[[#This Row],[Source]],tblSources[Source],0)),"?"))</f>
        <v/>
      </c>
      <c r="L1357" s="63">
        <f>IF(tblMovement[[#This Row],[Destination]]="","",IFERROR(INDEX(tblDestinations[Type],MATCH(tblMovement[[#This Row],[Destination]],tblDestinations[Destination],0)),"?"))</f>
        <v/>
      </c>
      <c r="M1357" s="64">
        <f>IF(tblMovement[[#This Row],[Material]]="","",IF(LEFT(tblMovement[[#This Row],[Material]],3)="Ore",1,0))</f>
        <v/>
      </c>
      <c r="N1357" s="59">
        <f>IF(OR(tblMovement[[#This Row],[Tonnes_t]]="",tblMovement[[#This Row],[Grade_gpt]]=""),0,tblMovement[[#This Row],[Tonnes_t]]*tblMovement[[#This Row],[Grade_gpt]]/cfg_TroyOz)</f>
        <v/>
      </c>
      <c r="O1357" s="59">
        <f>IF(tblMovement[[#This Row],[Is_Ore]]=1,tblMovement[[#This Row],[Contained_oz]],0)</f>
        <v/>
      </c>
    </row>
    <row r="1358">
      <c r="A1358" s="54" t="n"/>
      <c r="B1358" s="61" t="n"/>
      <c r="C1358" s="61" t="n"/>
      <c r="D1358" s="61" t="n"/>
      <c r="E1358" s="61" t="n"/>
      <c r="F1358" s="55" t="n"/>
      <c r="G1358" s="56" t="n"/>
      <c r="H1358" s="55" t="n"/>
      <c r="I1358" s="62" t="n"/>
      <c r="J1358" s="58" t="n"/>
      <c r="K1358" s="63">
        <f>IF(tblMovement[[#This Row],[Source]]="","",IFERROR(INDEX(tblSources[Type],MATCH(tblMovement[[#This Row],[Source]],tblSources[Source],0)),"?"))</f>
        <v/>
      </c>
      <c r="L1358" s="63">
        <f>IF(tblMovement[[#This Row],[Destination]]="","",IFERROR(INDEX(tblDestinations[Type],MATCH(tblMovement[[#This Row],[Destination]],tblDestinations[Destination],0)),"?"))</f>
        <v/>
      </c>
      <c r="M1358" s="64">
        <f>IF(tblMovement[[#This Row],[Material]]="","",IF(LEFT(tblMovement[[#This Row],[Material]],3)="Ore",1,0))</f>
        <v/>
      </c>
      <c r="N1358" s="59">
        <f>IF(OR(tblMovement[[#This Row],[Tonnes_t]]="",tblMovement[[#This Row],[Grade_gpt]]=""),0,tblMovement[[#This Row],[Tonnes_t]]*tblMovement[[#This Row],[Grade_gpt]]/cfg_TroyOz)</f>
        <v/>
      </c>
      <c r="O1358" s="59">
        <f>IF(tblMovement[[#This Row],[Is_Ore]]=1,tblMovement[[#This Row],[Contained_oz]],0)</f>
        <v/>
      </c>
    </row>
    <row r="1359">
      <c r="A1359" s="54" t="n"/>
      <c r="B1359" s="61" t="n"/>
      <c r="C1359" s="61" t="n"/>
      <c r="D1359" s="61" t="n"/>
      <c r="E1359" s="61" t="n"/>
      <c r="F1359" s="55" t="n"/>
      <c r="G1359" s="56" t="n"/>
      <c r="H1359" s="55" t="n"/>
      <c r="I1359" s="62" t="n"/>
      <c r="J1359" s="58" t="n"/>
      <c r="K1359" s="63">
        <f>IF(tblMovement[[#This Row],[Source]]="","",IFERROR(INDEX(tblSources[Type],MATCH(tblMovement[[#This Row],[Source]],tblSources[Source],0)),"?"))</f>
        <v/>
      </c>
      <c r="L1359" s="63">
        <f>IF(tblMovement[[#This Row],[Destination]]="","",IFERROR(INDEX(tblDestinations[Type],MATCH(tblMovement[[#This Row],[Destination]],tblDestinations[Destination],0)),"?"))</f>
        <v/>
      </c>
      <c r="M1359" s="64">
        <f>IF(tblMovement[[#This Row],[Material]]="","",IF(LEFT(tblMovement[[#This Row],[Material]],3)="Ore",1,0))</f>
        <v/>
      </c>
      <c r="N1359" s="59">
        <f>IF(OR(tblMovement[[#This Row],[Tonnes_t]]="",tblMovement[[#This Row],[Grade_gpt]]=""),0,tblMovement[[#This Row],[Tonnes_t]]*tblMovement[[#This Row],[Grade_gpt]]/cfg_TroyOz)</f>
        <v/>
      </c>
      <c r="O1359" s="59">
        <f>IF(tblMovement[[#This Row],[Is_Ore]]=1,tblMovement[[#This Row],[Contained_oz]],0)</f>
        <v/>
      </c>
    </row>
    <row r="1360">
      <c r="A1360" s="54" t="n"/>
      <c r="B1360" s="61" t="n"/>
      <c r="C1360" s="61" t="n"/>
      <c r="D1360" s="61" t="n"/>
      <c r="E1360" s="61" t="n"/>
      <c r="F1360" s="55" t="n"/>
      <c r="G1360" s="56" t="n"/>
      <c r="H1360" s="55" t="n"/>
      <c r="I1360" s="62" t="n"/>
      <c r="J1360" s="58" t="n"/>
      <c r="K1360" s="63">
        <f>IF(tblMovement[[#This Row],[Source]]="","",IFERROR(INDEX(tblSources[Type],MATCH(tblMovement[[#This Row],[Source]],tblSources[Source],0)),"?"))</f>
        <v/>
      </c>
      <c r="L1360" s="63">
        <f>IF(tblMovement[[#This Row],[Destination]]="","",IFERROR(INDEX(tblDestinations[Type],MATCH(tblMovement[[#This Row],[Destination]],tblDestinations[Destination],0)),"?"))</f>
        <v/>
      </c>
      <c r="M1360" s="64">
        <f>IF(tblMovement[[#This Row],[Material]]="","",IF(LEFT(tblMovement[[#This Row],[Material]],3)="Ore",1,0))</f>
        <v/>
      </c>
      <c r="N1360" s="59">
        <f>IF(OR(tblMovement[[#This Row],[Tonnes_t]]="",tblMovement[[#This Row],[Grade_gpt]]=""),0,tblMovement[[#This Row],[Tonnes_t]]*tblMovement[[#This Row],[Grade_gpt]]/cfg_TroyOz)</f>
        <v/>
      </c>
      <c r="O1360" s="59">
        <f>IF(tblMovement[[#This Row],[Is_Ore]]=1,tblMovement[[#This Row],[Contained_oz]],0)</f>
        <v/>
      </c>
    </row>
    <row r="1361">
      <c r="A1361" s="54" t="n"/>
      <c r="B1361" s="61" t="n"/>
      <c r="C1361" s="61" t="n"/>
      <c r="D1361" s="61" t="n"/>
      <c r="E1361" s="61" t="n"/>
      <c r="F1361" s="55" t="n"/>
      <c r="G1361" s="56" t="n"/>
      <c r="H1361" s="55" t="n"/>
      <c r="I1361" s="62" t="n"/>
      <c r="J1361" s="58" t="n"/>
      <c r="K1361" s="63">
        <f>IF(tblMovement[[#This Row],[Source]]="","",IFERROR(INDEX(tblSources[Type],MATCH(tblMovement[[#This Row],[Source]],tblSources[Source],0)),"?"))</f>
        <v/>
      </c>
      <c r="L1361" s="63">
        <f>IF(tblMovement[[#This Row],[Destination]]="","",IFERROR(INDEX(tblDestinations[Type],MATCH(tblMovement[[#This Row],[Destination]],tblDestinations[Destination],0)),"?"))</f>
        <v/>
      </c>
      <c r="M1361" s="64">
        <f>IF(tblMovement[[#This Row],[Material]]="","",IF(LEFT(tblMovement[[#This Row],[Material]],3)="Ore",1,0))</f>
        <v/>
      </c>
      <c r="N1361" s="59">
        <f>IF(OR(tblMovement[[#This Row],[Tonnes_t]]="",tblMovement[[#This Row],[Grade_gpt]]=""),0,tblMovement[[#This Row],[Tonnes_t]]*tblMovement[[#This Row],[Grade_gpt]]/cfg_TroyOz)</f>
        <v/>
      </c>
      <c r="O1361" s="59">
        <f>IF(tblMovement[[#This Row],[Is_Ore]]=1,tblMovement[[#This Row],[Contained_oz]],0)</f>
        <v/>
      </c>
    </row>
    <row r="1362">
      <c r="A1362" s="54" t="n"/>
      <c r="B1362" s="61" t="n"/>
      <c r="C1362" s="61" t="n"/>
      <c r="D1362" s="61" t="n"/>
      <c r="E1362" s="61" t="n"/>
      <c r="F1362" s="55" t="n"/>
      <c r="G1362" s="56" t="n"/>
      <c r="H1362" s="55" t="n"/>
      <c r="I1362" s="62" t="n"/>
      <c r="J1362" s="58" t="n"/>
      <c r="K1362" s="63">
        <f>IF(tblMovement[[#This Row],[Source]]="","",IFERROR(INDEX(tblSources[Type],MATCH(tblMovement[[#This Row],[Source]],tblSources[Source],0)),"?"))</f>
        <v/>
      </c>
      <c r="L1362" s="63">
        <f>IF(tblMovement[[#This Row],[Destination]]="","",IFERROR(INDEX(tblDestinations[Type],MATCH(tblMovement[[#This Row],[Destination]],tblDestinations[Destination],0)),"?"))</f>
        <v/>
      </c>
      <c r="M1362" s="64">
        <f>IF(tblMovement[[#This Row],[Material]]="","",IF(LEFT(tblMovement[[#This Row],[Material]],3)="Ore",1,0))</f>
        <v/>
      </c>
      <c r="N1362" s="59">
        <f>IF(OR(tblMovement[[#This Row],[Tonnes_t]]="",tblMovement[[#This Row],[Grade_gpt]]=""),0,tblMovement[[#This Row],[Tonnes_t]]*tblMovement[[#This Row],[Grade_gpt]]/cfg_TroyOz)</f>
        <v/>
      </c>
      <c r="O1362" s="59">
        <f>IF(tblMovement[[#This Row],[Is_Ore]]=1,tblMovement[[#This Row],[Contained_oz]],0)</f>
        <v/>
      </c>
    </row>
    <row r="1363">
      <c r="A1363" s="54" t="n"/>
      <c r="B1363" s="61" t="n"/>
      <c r="C1363" s="61" t="n"/>
      <c r="D1363" s="61" t="n"/>
      <c r="E1363" s="61" t="n"/>
      <c r="F1363" s="55" t="n"/>
      <c r="G1363" s="56" t="n"/>
      <c r="H1363" s="55" t="n"/>
      <c r="I1363" s="62" t="n"/>
      <c r="J1363" s="58" t="n"/>
      <c r="K1363" s="63">
        <f>IF(tblMovement[[#This Row],[Source]]="","",IFERROR(INDEX(tblSources[Type],MATCH(tblMovement[[#This Row],[Source]],tblSources[Source],0)),"?"))</f>
        <v/>
      </c>
      <c r="L1363" s="63">
        <f>IF(tblMovement[[#This Row],[Destination]]="","",IFERROR(INDEX(tblDestinations[Type],MATCH(tblMovement[[#This Row],[Destination]],tblDestinations[Destination],0)),"?"))</f>
        <v/>
      </c>
      <c r="M1363" s="64">
        <f>IF(tblMovement[[#This Row],[Material]]="","",IF(LEFT(tblMovement[[#This Row],[Material]],3)="Ore",1,0))</f>
        <v/>
      </c>
      <c r="N1363" s="59">
        <f>IF(OR(tblMovement[[#This Row],[Tonnes_t]]="",tblMovement[[#This Row],[Grade_gpt]]=""),0,tblMovement[[#This Row],[Tonnes_t]]*tblMovement[[#This Row],[Grade_gpt]]/cfg_TroyOz)</f>
        <v/>
      </c>
      <c r="O1363" s="59">
        <f>IF(tblMovement[[#This Row],[Is_Ore]]=1,tblMovement[[#This Row],[Contained_oz]],0)</f>
        <v/>
      </c>
    </row>
    <row r="1364">
      <c r="A1364" s="54" t="n"/>
      <c r="B1364" s="61" t="n"/>
      <c r="C1364" s="61" t="n"/>
      <c r="D1364" s="61" t="n"/>
      <c r="E1364" s="61" t="n"/>
      <c r="F1364" s="55" t="n"/>
      <c r="G1364" s="56" t="n"/>
      <c r="H1364" s="55" t="n"/>
      <c r="I1364" s="62" t="n"/>
      <c r="J1364" s="58" t="n"/>
      <c r="K1364" s="63">
        <f>IF(tblMovement[[#This Row],[Source]]="","",IFERROR(INDEX(tblSources[Type],MATCH(tblMovement[[#This Row],[Source]],tblSources[Source],0)),"?"))</f>
        <v/>
      </c>
      <c r="L1364" s="63">
        <f>IF(tblMovement[[#This Row],[Destination]]="","",IFERROR(INDEX(tblDestinations[Type],MATCH(tblMovement[[#This Row],[Destination]],tblDestinations[Destination],0)),"?"))</f>
        <v/>
      </c>
      <c r="M1364" s="64">
        <f>IF(tblMovement[[#This Row],[Material]]="","",IF(LEFT(tblMovement[[#This Row],[Material]],3)="Ore",1,0))</f>
        <v/>
      </c>
      <c r="N1364" s="59">
        <f>IF(OR(tblMovement[[#This Row],[Tonnes_t]]="",tblMovement[[#This Row],[Grade_gpt]]=""),0,tblMovement[[#This Row],[Tonnes_t]]*tblMovement[[#This Row],[Grade_gpt]]/cfg_TroyOz)</f>
        <v/>
      </c>
      <c r="O1364" s="59">
        <f>IF(tblMovement[[#This Row],[Is_Ore]]=1,tblMovement[[#This Row],[Contained_oz]],0)</f>
        <v/>
      </c>
    </row>
    <row r="1365">
      <c r="A1365" s="54" t="n"/>
      <c r="B1365" s="61" t="n"/>
      <c r="C1365" s="61" t="n"/>
      <c r="D1365" s="61" t="n"/>
      <c r="E1365" s="61" t="n"/>
      <c r="F1365" s="55" t="n"/>
      <c r="G1365" s="56" t="n"/>
      <c r="H1365" s="55" t="n"/>
      <c r="I1365" s="62" t="n"/>
      <c r="J1365" s="58" t="n"/>
      <c r="K1365" s="63">
        <f>IF(tblMovement[[#This Row],[Source]]="","",IFERROR(INDEX(tblSources[Type],MATCH(tblMovement[[#This Row],[Source]],tblSources[Source],0)),"?"))</f>
        <v/>
      </c>
      <c r="L1365" s="63">
        <f>IF(tblMovement[[#This Row],[Destination]]="","",IFERROR(INDEX(tblDestinations[Type],MATCH(tblMovement[[#This Row],[Destination]],tblDestinations[Destination],0)),"?"))</f>
        <v/>
      </c>
      <c r="M1365" s="64">
        <f>IF(tblMovement[[#This Row],[Material]]="","",IF(LEFT(tblMovement[[#This Row],[Material]],3)="Ore",1,0))</f>
        <v/>
      </c>
      <c r="N1365" s="59">
        <f>IF(OR(tblMovement[[#This Row],[Tonnes_t]]="",tblMovement[[#This Row],[Grade_gpt]]=""),0,tblMovement[[#This Row],[Tonnes_t]]*tblMovement[[#This Row],[Grade_gpt]]/cfg_TroyOz)</f>
        <v/>
      </c>
      <c r="O1365" s="59">
        <f>IF(tblMovement[[#This Row],[Is_Ore]]=1,tblMovement[[#This Row],[Contained_oz]],0)</f>
        <v/>
      </c>
    </row>
    <row r="1366">
      <c r="A1366" s="54" t="n"/>
      <c r="B1366" s="61" t="n"/>
      <c r="C1366" s="61" t="n"/>
      <c r="D1366" s="61" t="n"/>
      <c r="E1366" s="61" t="n"/>
      <c r="F1366" s="55" t="n"/>
      <c r="G1366" s="56" t="n"/>
      <c r="H1366" s="55" t="n"/>
      <c r="I1366" s="62" t="n"/>
      <c r="J1366" s="58" t="n"/>
      <c r="K1366" s="63">
        <f>IF(tblMovement[[#This Row],[Source]]="","",IFERROR(INDEX(tblSources[Type],MATCH(tblMovement[[#This Row],[Source]],tblSources[Source],0)),"?"))</f>
        <v/>
      </c>
      <c r="L1366" s="63">
        <f>IF(tblMovement[[#This Row],[Destination]]="","",IFERROR(INDEX(tblDestinations[Type],MATCH(tblMovement[[#This Row],[Destination]],tblDestinations[Destination],0)),"?"))</f>
        <v/>
      </c>
      <c r="M1366" s="64">
        <f>IF(tblMovement[[#This Row],[Material]]="","",IF(LEFT(tblMovement[[#This Row],[Material]],3)="Ore",1,0))</f>
        <v/>
      </c>
      <c r="N1366" s="59">
        <f>IF(OR(tblMovement[[#This Row],[Tonnes_t]]="",tblMovement[[#This Row],[Grade_gpt]]=""),0,tblMovement[[#This Row],[Tonnes_t]]*tblMovement[[#This Row],[Grade_gpt]]/cfg_TroyOz)</f>
        <v/>
      </c>
      <c r="O1366" s="59">
        <f>IF(tblMovement[[#This Row],[Is_Ore]]=1,tblMovement[[#This Row],[Contained_oz]],0)</f>
        <v/>
      </c>
    </row>
    <row r="1367">
      <c r="A1367" s="54" t="n"/>
      <c r="B1367" s="61" t="n"/>
      <c r="C1367" s="61" t="n"/>
      <c r="D1367" s="61" t="n"/>
      <c r="E1367" s="61" t="n"/>
      <c r="F1367" s="55" t="n"/>
      <c r="G1367" s="56" t="n"/>
      <c r="H1367" s="55" t="n"/>
      <c r="I1367" s="62" t="n"/>
      <c r="J1367" s="58" t="n"/>
      <c r="K1367" s="63">
        <f>IF(tblMovement[[#This Row],[Source]]="","",IFERROR(INDEX(tblSources[Type],MATCH(tblMovement[[#This Row],[Source]],tblSources[Source],0)),"?"))</f>
        <v/>
      </c>
      <c r="L1367" s="63">
        <f>IF(tblMovement[[#This Row],[Destination]]="","",IFERROR(INDEX(tblDestinations[Type],MATCH(tblMovement[[#This Row],[Destination]],tblDestinations[Destination],0)),"?"))</f>
        <v/>
      </c>
      <c r="M1367" s="64">
        <f>IF(tblMovement[[#This Row],[Material]]="","",IF(LEFT(tblMovement[[#This Row],[Material]],3)="Ore",1,0))</f>
        <v/>
      </c>
      <c r="N1367" s="59">
        <f>IF(OR(tblMovement[[#This Row],[Tonnes_t]]="",tblMovement[[#This Row],[Grade_gpt]]=""),0,tblMovement[[#This Row],[Tonnes_t]]*tblMovement[[#This Row],[Grade_gpt]]/cfg_TroyOz)</f>
        <v/>
      </c>
      <c r="O1367" s="59">
        <f>IF(tblMovement[[#This Row],[Is_Ore]]=1,tblMovement[[#This Row],[Contained_oz]],0)</f>
        <v/>
      </c>
    </row>
    <row r="1368">
      <c r="A1368" s="54" t="n"/>
      <c r="B1368" s="61" t="n"/>
      <c r="C1368" s="61" t="n"/>
      <c r="D1368" s="61" t="n"/>
      <c r="E1368" s="61" t="n"/>
      <c r="F1368" s="55" t="n"/>
      <c r="G1368" s="56" t="n"/>
      <c r="H1368" s="55" t="n"/>
      <c r="I1368" s="62" t="n"/>
      <c r="J1368" s="58" t="n"/>
      <c r="K1368" s="63">
        <f>IF(tblMovement[[#This Row],[Source]]="","",IFERROR(INDEX(tblSources[Type],MATCH(tblMovement[[#This Row],[Source]],tblSources[Source],0)),"?"))</f>
        <v/>
      </c>
      <c r="L1368" s="63">
        <f>IF(tblMovement[[#This Row],[Destination]]="","",IFERROR(INDEX(tblDestinations[Type],MATCH(tblMovement[[#This Row],[Destination]],tblDestinations[Destination],0)),"?"))</f>
        <v/>
      </c>
      <c r="M1368" s="64">
        <f>IF(tblMovement[[#This Row],[Material]]="","",IF(LEFT(tblMovement[[#This Row],[Material]],3)="Ore",1,0))</f>
        <v/>
      </c>
      <c r="N1368" s="59">
        <f>IF(OR(tblMovement[[#This Row],[Tonnes_t]]="",tblMovement[[#This Row],[Grade_gpt]]=""),0,tblMovement[[#This Row],[Tonnes_t]]*tblMovement[[#This Row],[Grade_gpt]]/cfg_TroyOz)</f>
        <v/>
      </c>
      <c r="O1368" s="59">
        <f>IF(tblMovement[[#This Row],[Is_Ore]]=1,tblMovement[[#This Row],[Contained_oz]],0)</f>
        <v/>
      </c>
    </row>
    <row r="1369">
      <c r="A1369" s="54" t="n"/>
      <c r="B1369" s="61" t="n"/>
      <c r="C1369" s="61" t="n"/>
      <c r="D1369" s="61" t="n"/>
      <c r="E1369" s="61" t="n"/>
      <c r="F1369" s="55" t="n"/>
      <c r="G1369" s="56" t="n"/>
      <c r="H1369" s="55" t="n"/>
      <c r="I1369" s="62" t="n"/>
      <c r="J1369" s="58" t="n"/>
      <c r="K1369" s="63">
        <f>IF(tblMovement[[#This Row],[Source]]="","",IFERROR(INDEX(tblSources[Type],MATCH(tblMovement[[#This Row],[Source]],tblSources[Source],0)),"?"))</f>
        <v/>
      </c>
      <c r="L1369" s="63">
        <f>IF(tblMovement[[#This Row],[Destination]]="","",IFERROR(INDEX(tblDestinations[Type],MATCH(tblMovement[[#This Row],[Destination]],tblDestinations[Destination],0)),"?"))</f>
        <v/>
      </c>
      <c r="M1369" s="64">
        <f>IF(tblMovement[[#This Row],[Material]]="","",IF(LEFT(tblMovement[[#This Row],[Material]],3)="Ore",1,0))</f>
        <v/>
      </c>
      <c r="N1369" s="59">
        <f>IF(OR(tblMovement[[#This Row],[Tonnes_t]]="",tblMovement[[#This Row],[Grade_gpt]]=""),0,tblMovement[[#This Row],[Tonnes_t]]*tblMovement[[#This Row],[Grade_gpt]]/cfg_TroyOz)</f>
        <v/>
      </c>
      <c r="O1369" s="59">
        <f>IF(tblMovement[[#This Row],[Is_Ore]]=1,tblMovement[[#This Row],[Contained_oz]],0)</f>
        <v/>
      </c>
    </row>
    <row r="1370">
      <c r="A1370" s="54" t="n"/>
      <c r="B1370" s="61" t="n"/>
      <c r="C1370" s="61" t="n"/>
      <c r="D1370" s="61" t="n"/>
      <c r="E1370" s="61" t="n"/>
      <c r="F1370" s="55" t="n"/>
      <c r="G1370" s="56" t="n"/>
      <c r="H1370" s="55" t="n"/>
      <c r="I1370" s="62" t="n"/>
      <c r="J1370" s="58" t="n"/>
      <c r="K1370" s="63">
        <f>IF(tblMovement[[#This Row],[Source]]="","",IFERROR(INDEX(tblSources[Type],MATCH(tblMovement[[#This Row],[Source]],tblSources[Source],0)),"?"))</f>
        <v/>
      </c>
      <c r="L1370" s="63">
        <f>IF(tblMovement[[#This Row],[Destination]]="","",IFERROR(INDEX(tblDestinations[Type],MATCH(tblMovement[[#This Row],[Destination]],tblDestinations[Destination],0)),"?"))</f>
        <v/>
      </c>
      <c r="M1370" s="64">
        <f>IF(tblMovement[[#This Row],[Material]]="","",IF(LEFT(tblMovement[[#This Row],[Material]],3)="Ore",1,0))</f>
        <v/>
      </c>
      <c r="N1370" s="59">
        <f>IF(OR(tblMovement[[#This Row],[Tonnes_t]]="",tblMovement[[#This Row],[Grade_gpt]]=""),0,tblMovement[[#This Row],[Tonnes_t]]*tblMovement[[#This Row],[Grade_gpt]]/cfg_TroyOz)</f>
        <v/>
      </c>
      <c r="O1370" s="59">
        <f>IF(tblMovement[[#This Row],[Is_Ore]]=1,tblMovement[[#This Row],[Contained_oz]],0)</f>
        <v/>
      </c>
    </row>
    <row r="1371">
      <c r="A1371" s="54" t="n"/>
      <c r="B1371" s="61" t="n"/>
      <c r="C1371" s="61" t="n"/>
      <c r="D1371" s="61" t="n"/>
      <c r="E1371" s="61" t="n"/>
      <c r="F1371" s="55" t="n"/>
      <c r="G1371" s="56" t="n"/>
      <c r="H1371" s="55" t="n"/>
      <c r="I1371" s="62" t="n"/>
      <c r="J1371" s="58" t="n"/>
      <c r="K1371" s="63">
        <f>IF(tblMovement[[#This Row],[Source]]="","",IFERROR(INDEX(tblSources[Type],MATCH(tblMovement[[#This Row],[Source]],tblSources[Source],0)),"?"))</f>
        <v/>
      </c>
      <c r="L1371" s="63">
        <f>IF(tblMovement[[#This Row],[Destination]]="","",IFERROR(INDEX(tblDestinations[Type],MATCH(tblMovement[[#This Row],[Destination]],tblDestinations[Destination],0)),"?"))</f>
        <v/>
      </c>
      <c r="M1371" s="64">
        <f>IF(tblMovement[[#This Row],[Material]]="","",IF(LEFT(tblMovement[[#This Row],[Material]],3)="Ore",1,0))</f>
        <v/>
      </c>
      <c r="N1371" s="59">
        <f>IF(OR(tblMovement[[#This Row],[Tonnes_t]]="",tblMovement[[#This Row],[Grade_gpt]]=""),0,tblMovement[[#This Row],[Tonnes_t]]*tblMovement[[#This Row],[Grade_gpt]]/cfg_TroyOz)</f>
        <v/>
      </c>
      <c r="O1371" s="59">
        <f>IF(tblMovement[[#This Row],[Is_Ore]]=1,tblMovement[[#This Row],[Contained_oz]],0)</f>
        <v/>
      </c>
    </row>
    <row r="1372">
      <c r="A1372" s="54" t="n"/>
      <c r="B1372" s="61" t="n"/>
      <c r="C1372" s="61" t="n"/>
      <c r="D1372" s="61" t="n"/>
      <c r="E1372" s="61" t="n"/>
      <c r="F1372" s="55" t="n"/>
      <c r="G1372" s="56" t="n"/>
      <c r="H1372" s="55" t="n"/>
      <c r="I1372" s="62" t="n"/>
      <c r="J1372" s="58" t="n"/>
      <c r="K1372" s="63">
        <f>IF(tblMovement[[#This Row],[Source]]="","",IFERROR(INDEX(tblSources[Type],MATCH(tblMovement[[#This Row],[Source]],tblSources[Source],0)),"?"))</f>
        <v/>
      </c>
      <c r="L1372" s="63">
        <f>IF(tblMovement[[#This Row],[Destination]]="","",IFERROR(INDEX(tblDestinations[Type],MATCH(tblMovement[[#This Row],[Destination]],tblDestinations[Destination],0)),"?"))</f>
        <v/>
      </c>
      <c r="M1372" s="64">
        <f>IF(tblMovement[[#This Row],[Material]]="","",IF(LEFT(tblMovement[[#This Row],[Material]],3)="Ore",1,0))</f>
        <v/>
      </c>
      <c r="N1372" s="59">
        <f>IF(OR(tblMovement[[#This Row],[Tonnes_t]]="",tblMovement[[#This Row],[Grade_gpt]]=""),0,tblMovement[[#This Row],[Tonnes_t]]*tblMovement[[#This Row],[Grade_gpt]]/cfg_TroyOz)</f>
        <v/>
      </c>
      <c r="O1372" s="59">
        <f>IF(tblMovement[[#This Row],[Is_Ore]]=1,tblMovement[[#This Row],[Contained_oz]],0)</f>
        <v/>
      </c>
    </row>
    <row r="1373">
      <c r="A1373" s="54" t="n"/>
      <c r="B1373" s="61" t="n"/>
      <c r="C1373" s="61" t="n"/>
      <c r="D1373" s="61" t="n"/>
      <c r="E1373" s="61" t="n"/>
      <c r="F1373" s="55" t="n"/>
      <c r="G1373" s="56" t="n"/>
      <c r="H1373" s="55" t="n"/>
      <c r="I1373" s="62" t="n"/>
      <c r="J1373" s="58" t="n"/>
      <c r="K1373" s="63">
        <f>IF(tblMovement[[#This Row],[Source]]="","",IFERROR(INDEX(tblSources[Type],MATCH(tblMovement[[#This Row],[Source]],tblSources[Source],0)),"?"))</f>
        <v/>
      </c>
      <c r="L1373" s="63">
        <f>IF(tblMovement[[#This Row],[Destination]]="","",IFERROR(INDEX(tblDestinations[Type],MATCH(tblMovement[[#This Row],[Destination]],tblDestinations[Destination],0)),"?"))</f>
        <v/>
      </c>
      <c r="M1373" s="64">
        <f>IF(tblMovement[[#This Row],[Material]]="","",IF(LEFT(tblMovement[[#This Row],[Material]],3)="Ore",1,0))</f>
        <v/>
      </c>
      <c r="N1373" s="59">
        <f>IF(OR(tblMovement[[#This Row],[Tonnes_t]]="",tblMovement[[#This Row],[Grade_gpt]]=""),0,tblMovement[[#This Row],[Tonnes_t]]*tblMovement[[#This Row],[Grade_gpt]]/cfg_TroyOz)</f>
        <v/>
      </c>
      <c r="O1373" s="59">
        <f>IF(tblMovement[[#This Row],[Is_Ore]]=1,tblMovement[[#This Row],[Contained_oz]],0)</f>
        <v/>
      </c>
    </row>
    <row r="1374">
      <c r="A1374" s="54" t="n"/>
      <c r="B1374" s="61" t="n"/>
      <c r="C1374" s="61" t="n"/>
      <c r="D1374" s="61" t="n"/>
      <c r="E1374" s="61" t="n"/>
      <c r="F1374" s="55" t="n"/>
      <c r="G1374" s="56" t="n"/>
      <c r="H1374" s="55" t="n"/>
      <c r="I1374" s="62" t="n"/>
      <c r="J1374" s="58" t="n"/>
      <c r="K1374" s="63">
        <f>IF(tblMovement[[#This Row],[Source]]="","",IFERROR(INDEX(tblSources[Type],MATCH(tblMovement[[#This Row],[Source]],tblSources[Source],0)),"?"))</f>
        <v/>
      </c>
      <c r="L1374" s="63">
        <f>IF(tblMovement[[#This Row],[Destination]]="","",IFERROR(INDEX(tblDestinations[Type],MATCH(tblMovement[[#This Row],[Destination]],tblDestinations[Destination],0)),"?"))</f>
        <v/>
      </c>
      <c r="M1374" s="64">
        <f>IF(tblMovement[[#This Row],[Material]]="","",IF(LEFT(tblMovement[[#This Row],[Material]],3)="Ore",1,0))</f>
        <v/>
      </c>
      <c r="N1374" s="59">
        <f>IF(OR(tblMovement[[#This Row],[Tonnes_t]]="",tblMovement[[#This Row],[Grade_gpt]]=""),0,tblMovement[[#This Row],[Tonnes_t]]*tblMovement[[#This Row],[Grade_gpt]]/cfg_TroyOz)</f>
        <v/>
      </c>
      <c r="O1374" s="59">
        <f>IF(tblMovement[[#This Row],[Is_Ore]]=1,tblMovement[[#This Row],[Contained_oz]],0)</f>
        <v/>
      </c>
    </row>
    <row r="1375">
      <c r="A1375" s="54" t="n"/>
      <c r="B1375" s="61" t="n"/>
      <c r="C1375" s="61" t="n"/>
      <c r="D1375" s="61" t="n"/>
      <c r="E1375" s="61" t="n"/>
      <c r="F1375" s="55" t="n"/>
      <c r="G1375" s="56" t="n"/>
      <c r="H1375" s="55" t="n"/>
      <c r="I1375" s="62" t="n"/>
      <c r="J1375" s="58" t="n"/>
      <c r="K1375" s="63">
        <f>IF(tblMovement[[#This Row],[Source]]="","",IFERROR(INDEX(tblSources[Type],MATCH(tblMovement[[#This Row],[Source]],tblSources[Source],0)),"?"))</f>
        <v/>
      </c>
      <c r="L1375" s="63">
        <f>IF(tblMovement[[#This Row],[Destination]]="","",IFERROR(INDEX(tblDestinations[Type],MATCH(tblMovement[[#This Row],[Destination]],tblDestinations[Destination],0)),"?"))</f>
        <v/>
      </c>
      <c r="M1375" s="64">
        <f>IF(tblMovement[[#This Row],[Material]]="","",IF(LEFT(tblMovement[[#This Row],[Material]],3)="Ore",1,0))</f>
        <v/>
      </c>
      <c r="N1375" s="59">
        <f>IF(OR(tblMovement[[#This Row],[Tonnes_t]]="",tblMovement[[#This Row],[Grade_gpt]]=""),0,tblMovement[[#This Row],[Tonnes_t]]*tblMovement[[#This Row],[Grade_gpt]]/cfg_TroyOz)</f>
        <v/>
      </c>
      <c r="O1375" s="59">
        <f>IF(tblMovement[[#This Row],[Is_Ore]]=1,tblMovement[[#This Row],[Contained_oz]],0)</f>
        <v/>
      </c>
    </row>
    <row r="1376">
      <c r="A1376" s="54" t="n"/>
      <c r="B1376" s="61" t="n"/>
      <c r="C1376" s="61" t="n"/>
      <c r="D1376" s="61" t="n"/>
      <c r="E1376" s="61" t="n"/>
      <c r="F1376" s="55" t="n"/>
      <c r="G1376" s="56" t="n"/>
      <c r="H1376" s="55" t="n"/>
      <c r="I1376" s="62" t="n"/>
      <c r="J1376" s="58" t="n"/>
      <c r="K1376" s="63">
        <f>IF(tblMovement[[#This Row],[Source]]="","",IFERROR(INDEX(tblSources[Type],MATCH(tblMovement[[#This Row],[Source]],tblSources[Source],0)),"?"))</f>
        <v/>
      </c>
      <c r="L1376" s="63">
        <f>IF(tblMovement[[#This Row],[Destination]]="","",IFERROR(INDEX(tblDestinations[Type],MATCH(tblMovement[[#This Row],[Destination]],tblDestinations[Destination],0)),"?"))</f>
        <v/>
      </c>
      <c r="M1376" s="64">
        <f>IF(tblMovement[[#This Row],[Material]]="","",IF(LEFT(tblMovement[[#This Row],[Material]],3)="Ore",1,0))</f>
        <v/>
      </c>
      <c r="N1376" s="59">
        <f>IF(OR(tblMovement[[#This Row],[Tonnes_t]]="",tblMovement[[#This Row],[Grade_gpt]]=""),0,tblMovement[[#This Row],[Tonnes_t]]*tblMovement[[#This Row],[Grade_gpt]]/cfg_TroyOz)</f>
        <v/>
      </c>
      <c r="O1376" s="59">
        <f>IF(tblMovement[[#This Row],[Is_Ore]]=1,tblMovement[[#This Row],[Contained_oz]],0)</f>
        <v/>
      </c>
    </row>
    <row r="1377">
      <c r="A1377" s="54" t="n"/>
      <c r="B1377" s="61" t="n"/>
      <c r="C1377" s="61" t="n"/>
      <c r="D1377" s="61" t="n"/>
      <c r="E1377" s="61" t="n"/>
      <c r="F1377" s="55" t="n"/>
      <c r="G1377" s="56" t="n"/>
      <c r="H1377" s="55" t="n"/>
      <c r="I1377" s="62" t="n"/>
      <c r="J1377" s="58" t="n"/>
      <c r="K1377" s="63">
        <f>IF(tblMovement[[#This Row],[Source]]="","",IFERROR(INDEX(tblSources[Type],MATCH(tblMovement[[#This Row],[Source]],tblSources[Source],0)),"?"))</f>
        <v/>
      </c>
      <c r="L1377" s="63">
        <f>IF(tblMovement[[#This Row],[Destination]]="","",IFERROR(INDEX(tblDestinations[Type],MATCH(tblMovement[[#This Row],[Destination]],tblDestinations[Destination],0)),"?"))</f>
        <v/>
      </c>
      <c r="M1377" s="64">
        <f>IF(tblMovement[[#This Row],[Material]]="","",IF(LEFT(tblMovement[[#This Row],[Material]],3)="Ore",1,0))</f>
        <v/>
      </c>
      <c r="N1377" s="59">
        <f>IF(OR(tblMovement[[#This Row],[Tonnes_t]]="",tblMovement[[#This Row],[Grade_gpt]]=""),0,tblMovement[[#This Row],[Tonnes_t]]*tblMovement[[#This Row],[Grade_gpt]]/cfg_TroyOz)</f>
        <v/>
      </c>
      <c r="O1377" s="59">
        <f>IF(tblMovement[[#This Row],[Is_Ore]]=1,tblMovement[[#This Row],[Contained_oz]],0)</f>
        <v/>
      </c>
    </row>
    <row r="1378">
      <c r="A1378" s="54" t="n"/>
      <c r="B1378" s="61" t="n"/>
      <c r="C1378" s="61" t="n"/>
      <c r="D1378" s="61" t="n"/>
      <c r="E1378" s="61" t="n"/>
      <c r="F1378" s="55" t="n"/>
      <c r="G1378" s="56" t="n"/>
      <c r="H1378" s="55" t="n"/>
      <c r="I1378" s="62" t="n"/>
      <c r="J1378" s="58" t="n"/>
      <c r="K1378" s="63">
        <f>IF(tblMovement[[#This Row],[Source]]="","",IFERROR(INDEX(tblSources[Type],MATCH(tblMovement[[#This Row],[Source]],tblSources[Source],0)),"?"))</f>
        <v/>
      </c>
      <c r="L1378" s="63">
        <f>IF(tblMovement[[#This Row],[Destination]]="","",IFERROR(INDEX(tblDestinations[Type],MATCH(tblMovement[[#This Row],[Destination]],tblDestinations[Destination],0)),"?"))</f>
        <v/>
      </c>
      <c r="M1378" s="64">
        <f>IF(tblMovement[[#This Row],[Material]]="","",IF(LEFT(tblMovement[[#This Row],[Material]],3)="Ore",1,0))</f>
        <v/>
      </c>
      <c r="N1378" s="59">
        <f>IF(OR(tblMovement[[#This Row],[Tonnes_t]]="",tblMovement[[#This Row],[Grade_gpt]]=""),0,tblMovement[[#This Row],[Tonnes_t]]*tblMovement[[#This Row],[Grade_gpt]]/cfg_TroyOz)</f>
        <v/>
      </c>
      <c r="O1378" s="59">
        <f>IF(tblMovement[[#This Row],[Is_Ore]]=1,tblMovement[[#This Row],[Contained_oz]],0)</f>
        <v/>
      </c>
    </row>
    <row r="1379">
      <c r="A1379" s="54" t="n"/>
      <c r="B1379" s="61" t="n"/>
      <c r="C1379" s="61" t="n"/>
      <c r="D1379" s="61" t="n"/>
      <c r="E1379" s="61" t="n"/>
      <c r="F1379" s="55" t="n"/>
      <c r="G1379" s="56" t="n"/>
      <c r="H1379" s="55" t="n"/>
      <c r="I1379" s="62" t="n"/>
      <c r="J1379" s="58" t="n"/>
      <c r="K1379" s="63">
        <f>IF(tblMovement[[#This Row],[Source]]="","",IFERROR(INDEX(tblSources[Type],MATCH(tblMovement[[#This Row],[Source]],tblSources[Source],0)),"?"))</f>
        <v/>
      </c>
      <c r="L1379" s="63">
        <f>IF(tblMovement[[#This Row],[Destination]]="","",IFERROR(INDEX(tblDestinations[Type],MATCH(tblMovement[[#This Row],[Destination]],tblDestinations[Destination],0)),"?"))</f>
        <v/>
      </c>
      <c r="M1379" s="64">
        <f>IF(tblMovement[[#This Row],[Material]]="","",IF(LEFT(tblMovement[[#This Row],[Material]],3)="Ore",1,0))</f>
        <v/>
      </c>
      <c r="N1379" s="59">
        <f>IF(OR(tblMovement[[#This Row],[Tonnes_t]]="",tblMovement[[#This Row],[Grade_gpt]]=""),0,tblMovement[[#This Row],[Tonnes_t]]*tblMovement[[#This Row],[Grade_gpt]]/cfg_TroyOz)</f>
        <v/>
      </c>
      <c r="O1379" s="59">
        <f>IF(tblMovement[[#This Row],[Is_Ore]]=1,tblMovement[[#This Row],[Contained_oz]],0)</f>
        <v/>
      </c>
    </row>
    <row r="1380">
      <c r="A1380" s="54" t="n"/>
      <c r="B1380" s="61" t="n"/>
      <c r="C1380" s="61" t="n"/>
      <c r="D1380" s="61" t="n"/>
      <c r="E1380" s="61" t="n"/>
      <c r="F1380" s="55" t="n"/>
      <c r="G1380" s="56" t="n"/>
      <c r="H1380" s="55" t="n"/>
      <c r="I1380" s="62" t="n"/>
      <c r="J1380" s="58" t="n"/>
      <c r="K1380" s="63">
        <f>IF(tblMovement[[#This Row],[Source]]="","",IFERROR(INDEX(tblSources[Type],MATCH(tblMovement[[#This Row],[Source]],tblSources[Source],0)),"?"))</f>
        <v/>
      </c>
      <c r="L1380" s="63">
        <f>IF(tblMovement[[#This Row],[Destination]]="","",IFERROR(INDEX(tblDestinations[Type],MATCH(tblMovement[[#This Row],[Destination]],tblDestinations[Destination],0)),"?"))</f>
        <v/>
      </c>
      <c r="M1380" s="64">
        <f>IF(tblMovement[[#This Row],[Material]]="","",IF(LEFT(tblMovement[[#This Row],[Material]],3)="Ore",1,0))</f>
        <v/>
      </c>
      <c r="N1380" s="59">
        <f>IF(OR(tblMovement[[#This Row],[Tonnes_t]]="",tblMovement[[#This Row],[Grade_gpt]]=""),0,tblMovement[[#This Row],[Tonnes_t]]*tblMovement[[#This Row],[Grade_gpt]]/cfg_TroyOz)</f>
        <v/>
      </c>
      <c r="O1380" s="59">
        <f>IF(tblMovement[[#This Row],[Is_Ore]]=1,tblMovement[[#This Row],[Contained_oz]],0)</f>
        <v/>
      </c>
    </row>
    <row r="1381">
      <c r="A1381" s="54" t="n"/>
      <c r="B1381" s="61" t="n"/>
      <c r="C1381" s="61" t="n"/>
      <c r="D1381" s="61" t="n"/>
      <c r="E1381" s="61" t="n"/>
      <c r="F1381" s="55" t="n"/>
      <c r="G1381" s="56" t="n"/>
      <c r="H1381" s="55" t="n"/>
      <c r="I1381" s="62" t="n"/>
      <c r="J1381" s="58" t="n"/>
      <c r="K1381" s="63">
        <f>IF(tblMovement[[#This Row],[Source]]="","",IFERROR(INDEX(tblSources[Type],MATCH(tblMovement[[#This Row],[Source]],tblSources[Source],0)),"?"))</f>
        <v/>
      </c>
      <c r="L1381" s="63">
        <f>IF(tblMovement[[#This Row],[Destination]]="","",IFERROR(INDEX(tblDestinations[Type],MATCH(tblMovement[[#This Row],[Destination]],tblDestinations[Destination],0)),"?"))</f>
        <v/>
      </c>
      <c r="M1381" s="64">
        <f>IF(tblMovement[[#This Row],[Material]]="","",IF(LEFT(tblMovement[[#This Row],[Material]],3)="Ore",1,0))</f>
        <v/>
      </c>
      <c r="N1381" s="59">
        <f>IF(OR(tblMovement[[#This Row],[Tonnes_t]]="",tblMovement[[#This Row],[Grade_gpt]]=""),0,tblMovement[[#This Row],[Tonnes_t]]*tblMovement[[#This Row],[Grade_gpt]]/cfg_TroyOz)</f>
        <v/>
      </c>
      <c r="O1381" s="59">
        <f>IF(tblMovement[[#This Row],[Is_Ore]]=1,tblMovement[[#This Row],[Contained_oz]],0)</f>
        <v/>
      </c>
    </row>
    <row r="1382">
      <c r="A1382" s="54" t="n"/>
      <c r="B1382" s="61" t="n"/>
      <c r="C1382" s="61" t="n"/>
      <c r="D1382" s="61" t="n"/>
      <c r="E1382" s="61" t="n"/>
      <c r="F1382" s="55" t="n"/>
      <c r="G1382" s="56" t="n"/>
      <c r="H1382" s="55" t="n"/>
      <c r="I1382" s="62" t="n"/>
      <c r="J1382" s="58" t="n"/>
      <c r="K1382" s="63">
        <f>IF(tblMovement[[#This Row],[Source]]="","",IFERROR(INDEX(tblSources[Type],MATCH(tblMovement[[#This Row],[Source]],tblSources[Source],0)),"?"))</f>
        <v/>
      </c>
      <c r="L1382" s="63">
        <f>IF(tblMovement[[#This Row],[Destination]]="","",IFERROR(INDEX(tblDestinations[Type],MATCH(tblMovement[[#This Row],[Destination]],tblDestinations[Destination],0)),"?"))</f>
        <v/>
      </c>
      <c r="M1382" s="64">
        <f>IF(tblMovement[[#This Row],[Material]]="","",IF(LEFT(tblMovement[[#This Row],[Material]],3)="Ore",1,0))</f>
        <v/>
      </c>
      <c r="N1382" s="59">
        <f>IF(OR(tblMovement[[#This Row],[Tonnes_t]]="",tblMovement[[#This Row],[Grade_gpt]]=""),0,tblMovement[[#This Row],[Tonnes_t]]*tblMovement[[#This Row],[Grade_gpt]]/cfg_TroyOz)</f>
        <v/>
      </c>
      <c r="O1382" s="59">
        <f>IF(tblMovement[[#This Row],[Is_Ore]]=1,tblMovement[[#This Row],[Contained_oz]],0)</f>
        <v/>
      </c>
    </row>
    <row r="1383">
      <c r="A1383" s="54" t="n"/>
      <c r="B1383" s="61" t="n"/>
      <c r="C1383" s="61" t="n"/>
      <c r="D1383" s="61" t="n"/>
      <c r="E1383" s="61" t="n"/>
      <c r="F1383" s="55" t="n"/>
      <c r="G1383" s="56" t="n"/>
      <c r="H1383" s="55" t="n"/>
      <c r="I1383" s="62" t="n"/>
      <c r="J1383" s="58" t="n"/>
      <c r="K1383" s="63">
        <f>IF(tblMovement[[#This Row],[Source]]="","",IFERROR(INDEX(tblSources[Type],MATCH(tblMovement[[#This Row],[Source]],tblSources[Source],0)),"?"))</f>
        <v/>
      </c>
      <c r="L1383" s="63">
        <f>IF(tblMovement[[#This Row],[Destination]]="","",IFERROR(INDEX(tblDestinations[Type],MATCH(tblMovement[[#This Row],[Destination]],tblDestinations[Destination],0)),"?"))</f>
        <v/>
      </c>
      <c r="M1383" s="64">
        <f>IF(tblMovement[[#This Row],[Material]]="","",IF(LEFT(tblMovement[[#This Row],[Material]],3)="Ore",1,0))</f>
        <v/>
      </c>
      <c r="N1383" s="59">
        <f>IF(OR(tblMovement[[#This Row],[Tonnes_t]]="",tblMovement[[#This Row],[Grade_gpt]]=""),0,tblMovement[[#This Row],[Tonnes_t]]*tblMovement[[#This Row],[Grade_gpt]]/cfg_TroyOz)</f>
        <v/>
      </c>
      <c r="O1383" s="59">
        <f>IF(tblMovement[[#This Row],[Is_Ore]]=1,tblMovement[[#This Row],[Contained_oz]],0)</f>
        <v/>
      </c>
    </row>
    <row r="1384">
      <c r="A1384" s="54" t="n"/>
      <c r="B1384" s="61" t="n"/>
      <c r="C1384" s="61" t="n"/>
      <c r="D1384" s="61" t="n"/>
      <c r="E1384" s="61" t="n"/>
      <c r="F1384" s="55" t="n"/>
      <c r="G1384" s="56" t="n"/>
      <c r="H1384" s="55" t="n"/>
      <c r="I1384" s="62" t="n"/>
      <c r="J1384" s="58" t="n"/>
      <c r="K1384" s="63">
        <f>IF(tblMovement[[#This Row],[Source]]="","",IFERROR(INDEX(tblSources[Type],MATCH(tblMovement[[#This Row],[Source]],tblSources[Source],0)),"?"))</f>
        <v/>
      </c>
      <c r="L1384" s="63">
        <f>IF(tblMovement[[#This Row],[Destination]]="","",IFERROR(INDEX(tblDestinations[Type],MATCH(tblMovement[[#This Row],[Destination]],tblDestinations[Destination],0)),"?"))</f>
        <v/>
      </c>
      <c r="M1384" s="64">
        <f>IF(tblMovement[[#This Row],[Material]]="","",IF(LEFT(tblMovement[[#This Row],[Material]],3)="Ore",1,0))</f>
        <v/>
      </c>
      <c r="N1384" s="59">
        <f>IF(OR(tblMovement[[#This Row],[Tonnes_t]]="",tblMovement[[#This Row],[Grade_gpt]]=""),0,tblMovement[[#This Row],[Tonnes_t]]*tblMovement[[#This Row],[Grade_gpt]]/cfg_TroyOz)</f>
        <v/>
      </c>
      <c r="O1384" s="59">
        <f>IF(tblMovement[[#This Row],[Is_Ore]]=1,tblMovement[[#This Row],[Contained_oz]],0)</f>
        <v/>
      </c>
    </row>
    <row r="1385">
      <c r="A1385" s="54" t="n"/>
      <c r="B1385" s="61" t="n"/>
      <c r="C1385" s="61" t="n"/>
      <c r="D1385" s="61" t="n"/>
      <c r="E1385" s="61" t="n"/>
      <c r="F1385" s="55" t="n"/>
      <c r="G1385" s="56" t="n"/>
      <c r="H1385" s="55" t="n"/>
      <c r="I1385" s="62" t="n"/>
      <c r="J1385" s="58" t="n"/>
      <c r="K1385" s="63">
        <f>IF(tblMovement[[#This Row],[Source]]="","",IFERROR(INDEX(tblSources[Type],MATCH(tblMovement[[#This Row],[Source]],tblSources[Source],0)),"?"))</f>
        <v/>
      </c>
      <c r="L1385" s="63">
        <f>IF(tblMovement[[#This Row],[Destination]]="","",IFERROR(INDEX(tblDestinations[Type],MATCH(tblMovement[[#This Row],[Destination]],tblDestinations[Destination],0)),"?"))</f>
        <v/>
      </c>
      <c r="M1385" s="64">
        <f>IF(tblMovement[[#This Row],[Material]]="","",IF(LEFT(tblMovement[[#This Row],[Material]],3)="Ore",1,0))</f>
        <v/>
      </c>
      <c r="N1385" s="59">
        <f>IF(OR(tblMovement[[#This Row],[Tonnes_t]]="",tblMovement[[#This Row],[Grade_gpt]]=""),0,tblMovement[[#This Row],[Tonnes_t]]*tblMovement[[#This Row],[Grade_gpt]]/cfg_TroyOz)</f>
        <v/>
      </c>
      <c r="O1385" s="59">
        <f>IF(tblMovement[[#This Row],[Is_Ore]]=1,tblMovement[[#This Row],[Contained_oz]],0)</f>
        <v/>
      </c>
    </row>
    <row r="1386">
      <c r="A1386" s="54" t="n"/>
      <c r="B1386" s="61" t="n"/>
      <c r="C1386" s="61" t="n"/>
      <c r="D1386" s="61" t="n"/>
      <c r="E1386" s="61" t="n"/>
      <c r="F1386" s="55" t="n"/>
      <c r="G1386" s="56" t="n"/>
      <c r="H1386" s="55" t="n"/>
      <c r="I1386" s="62" t="n"/>
      <c r="J1386" s="58" t="n"/>
      <c r="K1386" s="63">
        <f>IF(tblMovement[[#This Row],[Source]]="","",IFERROR(INDEX(tblSources[Type],MATCH(tblMovement[[#This Row],[Source]],tblSources[Source],0)),"?"))</f>
        <v/>
      </c>
      <c r="L1386" s="63">
        <f>IF(tblMovement[[#This Row],[Destination]]="","",IFERROR(INDEX(tblDestinations[Type],MATCH(tblMovement[[#This Row],[Destination]],tblDestinations[Destination],0)),"?"))</f>
        <v/>
      </c>
      <c r="M1386" s="64">
        <f>IF(tblMovement[[#This Row],[Material]]="","",IF(LEFT(tblMovement[[#This Row],[Material]],3)="Ore",1,0))</f>
        <v/>
      </c>
      <c r="N1386" s="59">
        <f>IF(OR(tblMovement[[#This Row],[Tonnes_t]]="",tblMovement[[#This Row],[Grade_gpt]]=""),0,tblMovement[[#This Row],[Tonnes_t]]*tblMovement[[#This Row],[Grade_gpt]]/cfg_TroyOz)</f>
        <v/>
      </c>
      <c r="O1386" s="59">
        <f>IF(tblMovement[[#This Row],[Is_Ore]]=1,tblMovement[[#This Row],[Contained_oz]],0)</f>
        <v/>
      </c>
    </row>
    <row r="1387">
      <c r="A1387" s="54" t="n"/>
      <c r="B1387" s="61" t="n"/>
      <c r="C1387" s="61" t="n"/>
      <c r="D1387" s="61" t="n"/>
      <c r="E1387" s="61" t="n"/>
      <c r="F1387" s="55" t="n"/>
      <c r="G1387" s="56" t="n"/>
      <c r="H1387" s="55" t="n"/>
      <c r="I1387" s="62" t="n"/>
      <c r="J1387" s="58" t="n"/>
      <c r="K1387" s="63">
        <f>IF(tblMovement[[#This Row],[Source]]="","",IFERROR(INDEX(tblSources[Type],MATCH(tblMovement[[#This Row],[Source]],tblSources[Source],0)),"?"))</f>
        <v/>
      </c>
      <c r="L1387" s="63">
        <f>IF(tblMovement[[#This Row],[Destination]]="","",IFERROR(INDEX(tblDestinations[Type],MATCH(tblMovement[[#This Row],[Destination]],tblDestinations[Destination],0)),"?"))</f>
        <v/>
      </c>
      <c r="M1387" s="64">
        <f>IF(tblMovement[[#This Row],[Material]]="","",IF(LEFT(tblMovement[[#This Row],[Material]],3)="Ore",1,0))</f>
        <v/>
      </c>
      <c r="N1387" s="59">
        <f>IF(OR(tblMovement[[#This Row],[Tonnes_t]]="",tblMovement[[#This Row],[Grade_gpt]]=""),0,tblMovement[[#This Row],[Tonnes_t]]*tblMovement[[#This Row],[Grade_gpt]]/cfg_TroyOz)</f>
        <v/>
      </c>
      <c r="O1387" s="59">
        <f>IF(tblMovement[[#This Row],[Is_Ore]]=1,tblMovement[[#This Row],[Contained_oz]],0)</f>
        <v/>
      </c>
    </row>
    <row r="1388">
      <c r="A1388" s="54" t="n"/>
      <c r="B1388" s="61" t="n"/>
      <c r="C1388" s="61" t="n"/>
      <c r="D1388" s="61" t="n"/>
      <c r="E1388" s="61" t="n"/>
      <c r="F1388" s="55" t="n"/>
      <c r="G1388" s="56" t="n"/>
      <c r="H1388" s="55" t="n"/>
      <c r="I1388" s="62" t="n"/>
      <c r="J1388" s="58" t="n"/>
      <c r="K1388" s="63">
        <f>IF(tblMovement[[#This Row],[Source]]="","",IFERROR(INDEX(tblSources[Type],MATCH(tblMovement[[#This Row],[Source]],tblSources[Source],0)),"?"))</f>
        <v/>
      </c>
      <c r="L1388" s="63">
        <f>IF(tblMovement[[#This Row],[Destination]]="","",IFERROR(INDEX(tblDestinations[Type],MATCH(tblMovement[[#This Row],[Destination]],tblDestinations[Destination],0)),"?"))</f>
        <v/>
      </c>
      <c r="M1388" s="64">
        <f>IF(tblMovement[[#This Row],[Material]]="","",IF(LEFT(tblMovement[[#This Row],[Material]],3)="Ore",1,0))</f>
        <v/>
      </c>
      <c r="N1388" s="59">
        <f>IF(OR(tblMovement[[#This Row],[Tonnes_t]]="",tblMovement[[#This Row],[Grade_gpt]]=""),0,tblMovement[[#This Row],[Tonnes_t]]*tblMovement[[#This Row],[Grade_gpt]]/cfg_TroyOz)</f>
        <v/>
      </c>
      <c r="O1388" s="59">
        <f>IF(tblMovement[[#This Row],[Is_Ore]]=1,tblMovement[[#This Row],[Contained_oz]],0)</f>
        <v/>
      </c>
    </row>
    <row r="1389">
      <c r="A1389" s="54" t="n"/>
      <c r="B1389" s="61" t="n"/>
      <c r="C1389" s="61" t="n"/>
      <c r="D1389" s="61" t="n"/>
      <c r="E1389" s="61" t="n"/>
      <c r="F1389" s="55" t="n"/>
      <c r="G1389" s="56" t="n"/>
      <c r="H1389" s="55" t="n"/>
      <c r="I1389" s="62" t="n"/>
      <c r="J1389" s="58" t="n"/>
      <c r="K1389" s="63">
        <f>IF(tblMovement[[#This Row],[Source]]="","",IFERROR(INDEX(tblSources[Type],MATCH(tblMovement[[#This Row],[Source]],tblSources[Source],0)),"?"))</f>
        <v/>
      </c>
      <c r="L1389" s="63">
        <f>IF(tblMovement[[#This Row],[Destination]]="","",IFERROR(INDEX(tblDestinations[Type],MATCH(tblMovement[[#This Row],[Destination]],tblDestinations[Destination],0)),"?"))</f>
        <v/>
      </c>
      <c r="M1389" s="64">
        <f>IF(tblMovement[[#This Row],[Material]]="","",IF(LEFT(tblMovement[[#This Row],[Material]],3)="Ore",1,0))</f>
        <v/>
      </c>
      <c r="N1389" s="59">
        <f>IF(OR(tblMovement[[#This Row],[Tonnes_t]]="",tblMovement[[#This Row],[Grade_gpt]]=""),0,tblMovement[[#This Row],[Tonnes_t]]*tblMovement[[#This Row],[Grade_gpt]]/cfg_TroyOz)</f>
        <v/>
      </c>
      <c r="O1389" s="59">
        <f>IF(tblMovement[[#This Row],[Is_Ore]]=1,tblMovement[[#This Row],[Contained_oz]],0)</f>
        <v/>
      </c>
    </row>
    <row r="1390">
      <c r="A1390" s="54" t="n"/>
      <c r="B1390" s="61" t="n"/>
      <c r="C1390" s="61" t="n"/>
      <c r="D1390" s="61" t="n"/>
      <c r="E1390" s="61" t="n"/>
      <c r="F1390" s="55" t="n"/>
      <c r="G1390" s="56" t="n"/>
      <c r="H1390" s="55" t="n"/>
      <c r="I1390" s="62" t="n"/>
      <c r="J1390" s="58" t="n"/>
      <c r="K1390" s="63">
        <f>IF(tblMovement[[#This Row],[Source]]="","",IFERROR(INDEX(tblSources[Type],MATCH(tblMovement[[#This Row],[Source]],tblSources[Source],0)),"?"))</f>
        <v/>
      </c>
      <c r="L1390" s="63">
        <f>IF(tblMovement[[#This Row],[Destination]]="","",IFERROR(INDEX(tblDestinations[Type],MATCH(tblMovement[[#This Row],[Destination]],tblDestinations[Destination],0)),"?"))</f>
        <v/>
      </c>
      <c r="M1390" s="64">
        <f>IF(tblMovement[[#This Row],[Material]]="","",IF(LEFT(tblMovement[[#This Row],[Material]],3)="Ore",1,0))</f>
        <v/>
      </c>
      <c r="N1390" s="59">
        <f>IF(OR(tblMovement[[#This Row],[Tonnes_t]]="",tblMovement[[#This Row],[Grade_gpt]]=""),0,tblMovement[[#This Row],[Tonnes_t]]*tblMovement[[#This Row],[Grade_gpt]]/cfg_TroyOz)</f>
        <v/>
      </c>
      <c r="O1390" s="59">
        <f>IF(tblMovement[[#This Row],[Is_Ore]]=1,tblMovement[[#This Row],[Contained_oz]],0)</f>
        <v/>
      </c>
    </row>
    <row r="1391">
      <c r="A1391" s="54" t="n"/>
      <c r="B1391" s="61" t="n"/>
      <c r="C1391" s="61" t="n"/>
      <c r="D1391" s="61" t="n"/>
      <c r="E1391" s="61" t="n"/>
      <c r="F1391" s="55" t="n"/>
      <c r="G1391" s="56" t="n"/>
      <c r="H1391" s="55" t="n"/>
      <c r="I1391" s="62" t="n"/>
      <c r="J1391" s="58" t="n"/>
      <c r="K1391" s="63">
        <f>IF(tblMovement[[#This Row],[Source]]="","",IFERROR(INDEX(tblSources[Type],MATCH(tblMovement[[#This Row],[Source]],tblSources[Source],0)),"?"))</f>
        <v/>
      </c>
      <c r="L1391" s="63">
        <f>IF(tblMovement[[#This Row],[Destination]]="","",IFERROR(INDEX(tblDestinations[Type],MATCH(tblMovement[[#This Row],[Destination]],tblDestinations[Destination],0)),"?"))</f>
        <v/>
      </c>
      <c r="M1391" s="64">
        <f>IF(tblMovement[[#This Row],[Material]]="","",IF(LEFT(tblMovement[[#This Row],[Material]],3)="Ore",1,0))</f>
        <v/>
      </c>
      <c r="N1391" s="59">
        <f>IF(OR(tblMovement[[#This Row],[Tonnes_t]]="",tblMovement[[#This Row],[Grade_gpt]]=""),0,tblMovement[[#This Row],[Tonnes_t]]*tblMovement[[#This Row],[Grade_gpt]]/cfg_TroyOz)</f>
        <v/>
      </c>
      <c r="O1391" s="59">
        <f>IF(tblMovement[[#This Row],[Is_Ore]]=1,tblMovement[[#This Row],[Contained_oz]],0)</f>
        <v/>
      </c>
    </row>
    <row r="1392">
      <c r="A1392" s="54" t="n"/>
      <c r="B1392" s="61" t="n"/>
      <c r="C1392" s="61" t="n"/>
      <c r="D1392" s="61" t="n"/>
      <c r="E1392" s="61" t="n"/>
      <c r="F1392" s="55" t="n"/>
      <c r="G1392" s="56" t="n"/>
      <c r="H1392" s="55" t="n"/>
      <c r="I1392" s="62" t="n"/>
      <c r="J1392" s="58" t="n"/>
      <c r="K1392" s="63">
        <f>IF(tblMovement[[#This Row],[Source]]="","",IFERROR(INDEX(tblSources[Type],MATCH(tblMovement[[#This Row],[Source]],tblSources[Source],0)),"?"))</f>
        <v/>
      </c>
      <c r="L1392" s="63">
        <f>IF(tblMovement[[#This Row],[Destination]]="","",IFERROR(INDEX(tblDestinations[Type],MATCH(tblMovement[[#This Row],[Destination]],tblDestinations[Destination],0)),"?"))</f>
        <v/>
      </c>
      <c r="M1392" s="64">
        <f>IF(tblMovement[[#This Row],[Material]]="","",IF(LEFT(tblMovement[[#This Row],[Material]],3)="Ore",1,0))</f>
        <v/>
      </c>
      <c r="N1392" s="59">
        <f>IF(OR(tblMovement[[#This Row],[Tonnes_t]]="",tblMovement[[#This Row],[Grade_gpt]]=""),0,tblMovement[[#This Row],[Tonnes_t]]*tblMovement[[#This Row],[Grade_gpt]]/cfg_TroyOz)</f>
        <v/>
      </c>
      <c r="O1392" s="59">
        <f>IF(tblMovement[[#This Row],[Is_Ore]]=1,tblMovement[[#This Row],[Contained_oz]],0)</f>
        <v/>
      </c>
    </row>
    <row r="1393">
      <c r="A1393" s="54" t="n"/>
      <c r="B1393" s="61" t="n"/>
      <c r="C1393" s="61" t="n"/>
      <c r="D1393" s="61" t="n"/>
      <c r="E1393" s="61" t="n"/>
      <c r="F1393" s="55" t="n"/>
      <c r="G1393" s="56" t="n"/>
      <c r="H1393" s="55" t="n"/>
      <c r="I1393" s="62" t="n"/>
      <c r="J1393" s="58" t="n"/>
      <c r="K1393" s="63">
        <f>IF(tblMovement[[#This Row],[Source]]="","",IFERROR(INDEX(tblSources[Type],MATCH(tblMovement[[#This Row],[Source]],tblSources[Source],0)),"?"))</f>
        <v/>
      </c>
      <c r="L1393" s="63">
        <f>IF(tblMovement[[#This Row],[Destination]]="","",IFERROR(INDEX(tblDestinations[Type],MATCH(tblMovement[[#This Row],[Destination]],tblDestinations[Destination],0)),"?"))</f>
        <v/>
      </c>
      <c r="M1393" s="64">
        <f>IF(tblMovement[[#This Row],[Material]]="","",IF(LEFT(tblMovement[[#This Row],[Material]],3)="Ore",1,0))</f>
        <v/>
      </c>
      <c r="N1393" s="59">
        <f>IF(OR(tblMovement[[#This Row],[Tonnes_t]]="",tblMovement[[#This Row],[Grade_gpt]]=""),0,tblMovement[[#This Row],[Tonnes_t]]*tblMovement[[#This Row],[Grade_gpt]]/cfg_TroyOz)</f>
        <v/>
      </c>
      <c r="O1393" s="59">
        <f>IF(tblMovement[[#This Row],[Is_Ore]]=1,tblMovement[[#This Row],[Contained_oz]],0)</f>
        <v/>
      </c>
    </row>
    <row r="1394">
      <c r="A1394" s="54" t="n"/>
      <c r="B1394" s="61" t="n"/>
      <c r="C1394" s="61" t="n"/>
      <c r="D1394" s="61" t="n"/>
      <c r="E1394" s="61" t="n"/>
      <c r="F1394" s="55" t="n"/>
      <c r="G1394" s="56" t="n"/>
      <c r="H1394" s="55" t="n"/>
      <c r="I1394" s="62" t="n"/>
      <c r="J1394" s="58" t="n"/>
      <c r="K1394" s="63">
        <f>IF(tblMovement[[#This Row],[Source]]="","",IFERROR(INDEX(tblSources[Type],MATCH(tblMovement[[#This Row],[Source]],tblSources[Source],0)),"?"))</f>
        <v/>
      </c>
      <c r="L1394" s="63">
        <f>IF(tblMovement[[#This Row],[Destination]]="","",IFERROR(INDEX(tblDestinations[Type],MATCH(tblMovement[[#This Row],[Destination]],tblDestinations[Destination],0)),"?"))</f>
        <v/>
      </c>
      <c r="M1394" s="64">
        <f>IF(tblMovement[[#This Row],[Material]]="","",IF(LEFT(tblMovement[[#This Row],[Material]],3)="Ore",1,0))</f>
        <v/>
      </c>
      <c r="N1394" s="59">
        <f>IF(OR(tblMovement[[#This Row],[Tonnes_t]]="",tblMovement[[#This Row],[Grade_gpt]]=""),0,tblMovement[[#This Row],[Tonnes_t]]*tblMovement[[#This Row],[Grade_gpt]]/cfg_TroyOz)</f>
        <v/>
      </c>
      <c r="O1394" s="59">
        <f>IF(tblMovement[[#This Row],[Is_Ore]]=1,tblMovement[[#This Row],[Contained_oz]],0)</f>
        <v/>
      </c>
    </row>
    <row r="1395">
      <c r="A1395" s="54" t="n"/>
      <c r="B1395" s="61" t="n"/>
      <c r="C1395" s="61" t="n"/>
      <c r="D1395" s="61" t="n"/>
      <c r="E1395" s="61" t="n"/>
      <c r="F1395" s="55" t="n"/>
      <c r="G1395" s="56" t="n"/>
      <c r="H1395" s="55" t="n"/>
      <c r="I1395" s="62" t="n"/>
      <c r="J1395" s="58" t="n"/>
      <c r="K1395" s="63">
        <f>IF(tblMovement[[#This Row],[Source]]="","",IFERROR(INDEX(tblSources[Type],MATCH(tblMovement[[#This Row],[Source]],tblSources[Source],0)),"?"))</f>
        <v/>
      </c>
      <c r="L1395" s="63">
        <f>IF(tblMovement[[#This Row],[Destination]]="","",IFERROR(INDEX(tblDestinations[Type],MATCH(tblMovement[[#This Row],[Destination]],tblDestinations[Destination],0)),"?"))</f>
        <v/>
      </c>
      <c r="M1395" s="64">
        <f>IF(tblMovement[[#This Row],[Material]]="","",IF(LEFT(tblMovement[[#This Row],[Material]],3)="Ore",1,0))</f>
        <v/>
      </c>
      <c r="N1395" s="59">
        <f>IF(OR(tblMovement[[#This Row],[Tonnes_t]]="",tblMovement[[#This Row],[Grade_gpt]]=""),0,tblMovement[[#This Row],[Tonnes_t]]*tblMovement[[#This Row],[Grade_gpt]]/cfg_TroyOz)</f>
        <v/>
      </c>
      <c r="O1395" s="59">
        <f>IF(tblMovement[[#This Row],[Is_Ore]]=1,tblMovement[[#This Row],[Contained_oz]],0)</f>
        <v/>
      </c>
    </row>
    <row r="1396">
      <c r="A1396" s="54" t="n"/>
      <c r="B1396" s="61" t="n"/>
      <c r="C1396" s="61" t="n"/>
      <c r="D1396" s="61" t="n"/>
      <c r="E1396" s="61" t="n"/>
      <c r="F1396" s="55" t="n"/>
      <c r="G1396" s="56" t="n"/>
      <c r="H1396" s="55" t="n"/>
      <c r="I1396" s="62" t="n"/>
      <c r="J1396" s="58" t="n"/>
      <c r="K1396" s="63">
        <f>IF(tblMovement[[#This Row],[Source]]="","",IFERROR(INDEX(tblSources[Type],MATCH(tblMovement[[#This Row],[Source]],tblSources[Source],0)),"?"))</f>
        <v/>
      </c>
      <c r="L1396" s="63">
        <f>IF(tblMovement[[#This Row],[Destination]]="","",IFERROR(INDEX(tblDestinations[Type],MATCH(tblMovement[[#This Row],[Destination]],tblDestinations[Destination],0)),"?"))</f>
        <v/>
      </c>
      <c r="M1396" s="64">
        <f>IF(tblMovement[[#This Row],[Material]]="","",IF(LEFT(tblMovement[[#This Row],[Material]],3)="Ore",1,0))</f>
        <v/>
      </c>
      <c r="N1396" s="59">
        <f>IF(OR(tblMovement[[#This Row],[Tonnes_t]]="",tblMovement[[#This Row],[Grade_gpt]]=""),0,tblMovement[[#This Row],[Tonnes_t]]*tblMovement[[#This Row],[Grade_gpt]]/cfg_TroyOz)</f>
        <v/>
      </c>
      <c r="O1396" s="59">
        <f>IF(tblMovement[[#This Row],[Is_Ore]]=1,tblMovement[[#This Row],[Contained_oz]],0)</f>
        <v/>
      </c>
    </row>
    <row r="1397">
      <c r="A1397" s="54" t="n"/>
      <c r="B1397" s="61" t="n"/>
      <c r="C1397" s="61" t="n"/>
      <c r="D1397" s="61" t="n"/>
      <c r="E1397" s="61" t="n"/>
      <c r="F1397" s="55" t="n"/>
      <c r="G1397" s="56" t="n"/>
      <c r="H1397" s="55" t="n"/>
      <c r="I1397" s="62" t="n"/>
      <c r="J1397" s="58" t="n"/>
      <c r="K1397" s="63">
        <f>IF(tblMovement[[#This Row],[Source]]="","",IFERROR(INDEX(tblSources[Type],MATCH(tblMovement[[#This Row],[Source]],tblSources[Source],0)),"?"))</f>
        <v/>
      </c>
      <c r="L1397" s="63">
        <f>IF(tblMovement[[#This Row],[Destination]]="","",IFERROR(INDEX(tblDestinations[Type],MATCH(tblMovement[[#This Row],[Destination]],tblDestinations[Destination],0)),"?"))</f>
        <v/>
      </c>
      <c r="M1397" s="64">
        <f>IF(tblMovement[[#This Row],[Material]]="","",IF(LEFT(tblMovement[[#This Row],[Material]],3)="Ore",1,0))</f>
        <v/>
      </c>
      <c r="N1397" s="59">
        <f>IF(OR(tblMovement[[#This Row],[Tonnes_t]]="",tblMovement[[#This Row],[Grade_gpt]]=""),0,tblMovement[[#This Row],[Tonnes_t]]*tblMovement[[#This Row],[Grade_gpt]]/cfg_TroyOz)</f>
        <v/>
      </c>
      <c r="O1397" s="59">
        <f>IF(tblMovement[[#This Row],[Is_Ore]]=1,tblMovement[[#This Row],[Contained_oz]],0)</f>
        <v/>
      </c>
    </row>
    <row r="1398">
      <c r="A1398" s="54" t="n"/>
      <c r="B1398" s="61" t="n"/>
      <c r="C1398" s="61" t="n"/>
      <c r="D1398" s="61" t="n"/>
      <c r="E1398" s="61" t="n"/>
      <c r="F1398" s="55" t="n"/>
      <c r="G1398" s="56" t="n"/>
      <c r="H1398" s="55" t="n"/>
      <c r="I1398" s="62" t="n"/>
      <c r="J1398" s="58" t="n"/>
      <c r="K1398" s="63">
        <f>IF(tblMovement[[#This Row],[Source]]="","",IFERROR(INDEX(tblSources[Type],MATCH(tblMovement[[#This Row],[Source]],tblSources[Source],0)),"?"))</f>
        <v/>
      </c>
      <c r="L1398" s="63">
        <f>IF(tblMovement[[#This Row],[Destination]]="","",IFERROR(INDEX(tblDestinations[Type],MATCH(tblMovement[[#This Row],[Destination]],tblDestinations[Destination],0)),"?"))</f>
        <v/>
      </c>
      <c r="M1398" s="64">
        <f>IF(tblMovement[[#This Row],[Material]]="","",IF(LEFT(tblMovement[[#This Row],[Material]],3)="Ore",1,0))</f>
        <v/>
      </c>
      <c r="N1398" s="59">
        <f>IF(OR(tblMovement[[#This Row],[Tonnes_t]]="",tblMovement[[#This Row],[Grade_gpt]]=""),0,tblMovement[[#This Row],[Tonnes_t]]*tblMovement[[#This Row],[Grade_gpt]]/cfg_TroyOz)</f>
        <v/>
      </c>
      <c r="O1398" s="59">
        <f>IF(tblMovement[[#This Row],[Is_Ore]]=1,tblMovement[[#This Row],[Contained_oz]],0)</f>
        <v/>
      </c>
    </row>
    <row r="1399">
      <c r="A1399" s="54" t="n"/>
      <c r="B1399" s="61" t="n"/>
      <c r="C1399" s="61" t="n"/>
      <c r="D1399" s="61" t="n"/>
      <c r="E1399" s="61" t="n"/>
      <c r="F1399" s="55" t="n"/>
      <c r="G1399" s="56" t="n"/>
      <c r="H1399" s="55" t="n"/>
      <c r="I1399" s="62" t="n"/>
      <c r="J1399" s="58" t="n"/>
      <c r="K1399" s="63">
        <f>IF(tblMovement[[#This Row],[Source]]="","",IFERROR(INDEX(tblSources[Type],MATCH(tblMovement[[#This Row],[Source]],tblSources[Source],0)),"?"))</f>
        <v/>
      </c>
      <c r="L1399" s="63">
        <f>IF(tblMovement[[#This Row],[Destination]]="","",IFERROR(INDEX(tblDestinations[Type],MATCH(tblMovement[[#This Row],[Destination]],tblDestinations[Destination],0)),"?"))</f>
        <v/>
      </c>
      <c r="M1399" s="64">
        <f>IF(tblMovement[[#This Row],[Material]]="","",IF(LEFT(tblMovement[[#This Row],[Material]],3)="Ore",1,0))</f>
        <v/>
      </c>
      <c r="N1399" s="59">
        <f>IF(OR(tblMovement[[#This Row],[Tonnes_t]]="",tblMovement[[#This Row],[Grade_gpt]]=""),0,tblMovement[[#This Row],[Tonnes_t]]*tblMovement[[#This Row],[Grade_gpt]]/cfg_TroyOz)</f>
        <v/>
      </c>
      <c r="O1399" s="59">
        <f>IF(tblMovement[[#This Row],[Is_Ore]]=1,tblMovement[[#This Row],[Contained_oz]],0)</f>
        <v/>
      </c>
    </row>
    <row r="1400">
      <c r="A1400" s="54" t="n"/>
      <c r="B1400" s="61" t="n"/>
      <c r="C1400" s="61" t="n"/>
      <c r="D1400" s="61" t="n"/>
      <c r="E1400" s="61" t="n"/>
      <c r="F1400" s="55" t="n"/>
      <c r="G1400" s="56" t="n"/>
      <c r="H1400" s="55" t="n"/>
      <c r="I1400" s="62" t="n"/>
      <c r="J1400" s="58" t="n"/>
      <c r="K1400" s="63">
        <f>IF(tblMovement[[#This Row],[Source]]="","",IFERROR(INDEX(tblSources[Type],MATCH(tblMovement[[#This Row],[Source]],tblSources[Source],0)),"?"))</f>
        <v/>
      </c>
      <c r="L1400" s="63">
        <f>IF(tblMovement[[#This Row],[Destination]]="","",IFERROR(INDEX(tblDestinations[Type],MATCH(tblMovement[[#This Row],[Destination]],tblDestinations[Destination],0)),"?"))</f>
        <v/>
      </c>
      <c r="M1400" s="64">
        <f>IF(tblMovement[[#This Row],[Material]]="","",IF(LEFT(tblMovement[[#This Row],[Material]],3)="Ore",1,0))</f>
        <v/>
      </c>
      <c r="N1400" s="59">
        <f>IF(OR(tblMovement[[#This Row],[Tonnes_t]]="",tblMovement[[#This Row],[Grade_gpt]]=""),0,tblMovement[[#This Row],[Tonnes_t]]*tblMovement[[#This Row],[Grade_gpt]]/cfg_TroyOz)</f>
        <v/>
      </c>
      <c r="O1400" s="59">
        <f>IF(tblMovement[[#This Row],[Is_Ore]]=1,tblMovement[[#This Row],[Contained_oz]],0)</f>
        <v/>
      </c>
    </row>
    <row r="1401">
      <c r="A1401" s="54" t="n"/>
      <c r="B1401" s="61" t="n"/>
      <c r="C1401" s="61" t="n"/>
      <c r="D1401" s="61" t="n"/>
      <c r="E1401" s="61" t="n"/>
      <c r="F1401" s="55" t="n"/>
      <c r="G1401" s="56" t="n"/>
      <c r="H1401" s="55" t="n"/>
      <c r="I1401" s="62" t="n"/>
      <c r="J1401" s="58" t="n"/>
      <c r="K1401" s="63">
        <f>IF(tblMovement[[#This Row],[Source]]="","",IFERROR(INDEX(tblSources[Type],MATCH(tblMovement[[#This Row],[Source]],tblSources[Source],0)),"?"))</f>
        <v/>
      </c>
      <c r="L1401" s="63">
        <f>IF(tblMovement[[#This Row],[Destination]]="","",IFERROR(INDEX(tblDestinations[Type],MATCH(tblMovement[[#This Row],[Destination]],tblDestinations[Destination],0)),"?"))</f>
        <v/>
      </c>
      <c r="M1401" s="64">
        <f>IF(tblMovement[[#This Row],[Material]]="","",IF(LEFT(tblMovement[[#This Row],[Material]],3)="Ore",1,0))</f>
        <v/>
      </c>
      <c r="N1401" s="59">
        <f>IF(OR(tblMovement[[#This Row],[Tonnes_t]]="",tblMovement[[#This Row],[Grade_gpt]]=""),0,tblMovement[[#This Row],[Tonnes_t]]*tblMovement[[#This Row],[Grade_gpt]]/cfg_TroyOz)</f>
        <v/>
      </c>
      <c r="O1401" s="59">
        <f>IF(tblMovement[[#This Row],[Is_Ore]]=1,tblMovement[[#This Row],[Contained_oz]],0)</f>
        <v/>
      </c>
    </row>
    <row r="1402">
      <c r="A1402" s="54" t="n"/>
      <c r="B1402" s="61" t="n"/>
      <c r="C1402" s="61" t="n"/>
      <c r="D1402" s="61" t="n"/>
      <c r="E1402" s="61" t="n"/>
      <c r="F1402" s="55" t="n"/>
      <c r="G1402" s="56" t="n"/>
      <c r="H1402" s="55" t="n"/>
      <c r="I1402" s="62" t="n"/>
      <c r="J1402" s="58" t="n"/>
      <c r="K1402" s="63">
        <f>IF(tblMovement[[#This Row],[Source]]="","",IFERROR(INDEX(tblSources[Type],MATCH(tblMovement[[#This Row],[Source]],tblSources[Source],0)),"?"))</f>
        <v/>
      </c>
      <c r="L1402" s="63">
        <f>IF(tblMovement[[#This Row],[Destination]]="","",IFERROR(INDEX(tblDestinations[Type],MATCH(tblMovement[[#This Row],[Destination]],tblDestinations[Destination],0)),"?"))</f>
        <v/>
      </c>
      <c r="M1402" s="64">
        <f>IF(tblMovement[[#This Row],[Material]]="","",IF(LEFT(tblMovement[[#This Row],[Material]],3)="Ore",1,0))</f>
        <v/>
      </c>
      <c r="N1402" s="59">
        <f>IF(OR(tblMovement[[#This Row],[Tonnes_t]]="",tblMovement[[#This Row],[Grade_gpt]]=""),0,tblMovement[[#This Row],[Tonnes_t]]*tblMovement[[#This Row],[Grade_gpt]]/cfg_TroyOz)</f>
        <v/>
      </c>
      <c r="O1402" s="59">
        <f>IF(tblMovement[[#This Row],[Is_Ore]]=1,tblMovement[[#This Row],[Contained_oz]],0)</f>
        <v/>
      </c>
    </row>
    <row r="1403">
      <c r="A1403" s="54" t="n"/>
      <c r="B1403" s="61" t="n"/>
      <c r="C1403" s="61" t="n"/>
      <c r="D1403" s="61" t="n"/>
      <c r="E1403" s="61" t="n"/>
      <c r="F1403" s="55" t="n"/>
      <c r="G1403" s="56" t="n"/>
      <c r="H1403" s="55" t="n"/>
      <c r="I1403" s="62" t="n"/>
      <c r="J1403" s="58" t="n"/>
      <c r="K1403" s="63">
        <f>IF(tblMovement[[#This Row],[Source]]="","",IFERROR(INDEX(tblSources[Type],MATCH(tblMovement[[#This Row],[Source]],tblSources[Source],0)),"?"))</f>
        <v/>
      </c>
      <c r="L1403" s="63">
        <f>IF(tblMovement[[#This Row],[Destination]]="","",IFERROR(INDEX(tblDestinations[Type],MATCH(tblMovement[[#This Row],[Destination]],tblDestinations[Destination],0)),"?"))</f>
        <v/>
      </c>
      <c r="M1403" s="64">
        <f>IF(tblMovement[[#This Row],[Material]]="","",IF(LEFT(tblMovement[[#This Row],[Material]],3)="Ore",1,0))</f>
        <v/>
      </c>
      <c r="N1403" s="59">
        <f>IF(OR(tblMovement[[#This Row],[Tonnes_t]]="",tblMovement[[#This Row],[Grade_gpt]]=""),0,tblMovement[[#This Row],[Tonnes_t]]*tblMovement[[#This Row],[Grade_gpt]]/cfg_TroyOz)</f>
        <v/>
      </c>
      <c r="O1403" s="59">
        <f>IF(tblMovement[[#This Row],[Is_Ore]]=1,tblMovement[[#This Row],[Contained_oz]],0)</f>
        <v/>
      </c>
    </row>
    <row r="1404">
      <c r="A1404" s="54" t="n"/>
      <c r="B1404" s="61" t="n"/>
      <c r="C1404" s="61" t="n"/>
      <c r="D1404" s="61" t="n"/>
      <c r="E1404" s="61" t="n"/>
      <c r="F1404" s="55" t="n"/>
      <c r="G1404" s="56" t="n"/>
      <c r="H1404" s="55" t="n"/>
      <c r="I1404" s="62" t="n"/>
      <c r="J1404" s="58" t="n"/>
      <c r="K1404" s="63">
        <f>IF(tblMovement[[#This Row],[Source]]="","",IFERROR(INDEX(tblSources[Type],MATCH(tblMovement[[#This Row],[Source]],tblSources[Source],0)),"?"))</f>
        <v/>
      </c>
      <c r="L1404" s="63">
        <f>IF(tblMovement[[#This Row],[Destination]]="","",IFERROR(INDEX(tblDestinations[Type],MATCH(tblMovement[[#This Row],[Destination]],tblDestinations[Destination],0)),"?"))</f>
        <v/>
      </c>
      <c r="M1404" s="64">
        <f>IF(tblMovement[[#This Row],[Material]]="","",IF(LEFT(tblMovement[[#This Row],[Material]],3)="Ore",1,0))</f>
        <v/>
      </c>
      <c r="N1404" s="59">
        <f>IF(OR(tblMovement[[#This Row],[Tonnes_t]]="",tblMovement[[#This Row],[Grade_gpt]]=""),0,tblMovement[[#This Row],[Tonnes_t]]*tblMovement[[#This Row],[Grade_gpt]]/cfg_TroyOz)</f>
        <v/>
      </c>
      <c r="O1404" s="59">
        <f>IF(tblMovement[[#This Row],[Is_Ore]]=1,tblMovement[[#This Row],[Contained_oz]],0)</f>
        <v/>
      </c>
    </row>
    <row r="1405">
      <c r="A1405" s="54" t="n"/>
      <c r="B1405" s="61" t="n"/>
      <c r="C1405" s="61" t="n"/>
      <c r="D1405" s="61" t="n"/>
      <c r="E1405" s="61" t="n"/>
      <c r="F1405" s="55" t="n"/>
      <c r="G1405" s="56" t="n"/>
      <c r="H1405" s="55" t="n"/>
      <c r="I1405" s="62" t="n"/>
      <c r="J1405" s="58" t="n"/>
      <c r="K1405" s="63">
        <f>IF(tblMovement[[#This Row],[Source]]="","",IFERROR(INDEX(tblSources[Type],MATCH(tblMovement[[#This Row],[Source]],tblSources[Source],0)),"?"))</f>
        <v/>
      </c>
      <c r="L1405" s="63">
        <f>IF(tblMovement[[#This Row],[Destination]]="","",IFERROR(INDEX(tblDestinations[Type],MATCH(tblMovement[[#This Row],[Destination]],tblDestinations[Destination],0)),"?"))</f>
        <v/>
      </c>
      <c r="M1405" s="64">
        <f>IF(tblMovement[[#This Row],[Material]]="","",IF(LEFT(tblMovement[[#This Row],[Material]],3)="Ore",1,0))</f>
        <v/>
      </c>
      <c r="N1405" s="59">
        <f>IF(OR(tblMovement[[#This Row],[Tonnes_t]]="",tblMovement[[#This Row],[Grade_gpt]]=""),0,tblMovement[[#This Row],[Tonnes_t]]*tblMovement[[#This Row],[Grade_gpt]]/cfg_TroyOz)</f>
        <v/>
      </c>
      <c r="O1405" s="59">
        <f>IF(tblMovement[[#This Row],[Is_Ore]]=1,tblMovement[[#This Row],[Contained_oz]],0)</f>
        <v/>
      </c>
    </row>
    <row r="1406">
      <c r="A1406" s="54" t="n"/>
      <c r="B1406" s="61" t="n"/>
      <c r="C1406" s="61" t="n"/>
      <c r="D1406" s="61" t="n"/>
      <c r="E1406" s="61" t="n"/>
      <c r="F1406" s="55" t="n"/>
      <c r="G1406" s="56" t="n"/>
      <c r="H1406" s="55" t="n"/>
      <c r="I1406" s="62" t="n"/>
      <c r="J1406" s="58" t="n"/>
      <c r="K1406" s="63">
        <f>IF(tblMovement[[#This Row],[Source]]="","",IFERROR(INDEX(tblSources[Type],MATCH(tblMovement[[#This Row],[Source]],tblSources[Source],0)),"?"))</f>
        <v/>
      </c>
      <c r="L1406" s="63">
        <f>IF(tblMovement[[#This Row],[Destination]]="","",IFERROR(INDEX(tblDestinations[Type],MATCH(tblMovement[[#This Row],[Destination]],tblDestinations[Destination],0)),"?"))</f>
        <v/>
      </c>
      <c r="M1406" s="64">
        <f>IF(tblMovement[[#This Row],[Material]]="","",IF(LEFT(tblMovement[[#This Row],[Material]],3)="Ore",1,0))</f>
        <v/>
      </c>
      <c r="N1406" s="59">
        <f>IF(OR(tblMovement[[#This Row],[Tonnes_t]]="",tblMovement[[#This Row],[Grade_gpt]]=""),0,tblMovement[[#This Row],[Tonnes_t]]*tblMovement[[#This Row],[Grade_gpt]]/cfg_TroyOz)</f>
        <v/>
      </c>
      <c r="O1406" s="59">
        <f>IF(tblMovement[[#This Row],[Is_Ore]]=1,tblMovement[[#This Row],[Contained_oz]],0)</f>
        <v/>
      </c>
    </row>
    <row r="1407">
      <c r="A1407" s="54" t="n"/>
      <c r="B1407" s="61" t="n"/>
      <c r="C1407" s="61" t="n"/>
      <c r="D1407" s="61" t="n"/>
      <c r="E1407" s="61" t="n"/>
      <c r="F1407" s="55" t="n"/>
      <c r="G1407" s="56" t="n"/>
      <c r="H1407" s="55" t="n"/>
      <c r="I1407" s="62" t="n"/>
      <c r="J1407" s="58" t="n"/>
      <c r="K1407" s="63">
        <f>IF(tblMovement[[#This Row],[Source]]="","",IFERROR(INDEX(tblSources[Type],MATCH(tblMovement[[#This Row],[Source]],tblSources[Source],0)),"?"))</f>
        <v/>
      </c>
      <c r="L1407" s="63">
        <f>IF(tblMovement[[#This Row],[Destination]]="","",IFERROR(INDEX(tblDestinations[Type],MATCH(tblMovement[[#This Row],[Destination]],tblDestinations[Destination],0)),"?"))</f>
        <v/>
      </c>
      <c r="M1407" s="64">
        <f>IF(tblMovement[[#This Row],[Material]]="","",IF(LEFT(tblMovement[[#This Row],[Material]],3)="Ore",1,0))</f>
        <v/>
      </c>
      <c r="N1407" s="59">
        <f>IF(OR(tblMovement[[#This Row],[Tonnes_t]]="",tblMovement[[#This Row],[Grade_gpt]]=""),0,tblMovement[[#This Row],[Tonnes_t]]*tblMovement[[#This Row],[Grade_gpt]]/cfg_TroyOz)</f>
        <v/>
      </c>
      <c r="O1407" s="59">
        <f>IF(tblMovement[[#This Row],[Is_Ore]]=1,tblMovement[[#This Row],[Contained_oz]],0)</f>
        <v/>
      </c>
    </row>
    <row r="1408">
      <c r="A1408" s="54" t="n"/>
      <c r="B1408" s="61" t="n"/>
      <c r="C1408" s="61" t="n"/>
      <c r="D1408" s="61" t="n"/>
      <c r="E1408" s="61" t="n"/>
      <c r="F1408" s="55" t="n"/>
      <c r="G1408" s="56" t="n"/>
      <c r="H1408" s="55" t="n"/>
      <c r="I1408" s="62" t="n"/>
      <c r="J1408" s="58" t="n"/>
      <c r="K1408" s="63">
        <f>IF(tblMovement[[#This Row],[Source]]="","",IFERROR(INDEX(tblSources[Type],MATCH(tblMovement[[#This Row],[Source]],tblSources[Source],0)),"?"))</f>
        <v/>
      </c>
      <c r="L1408" s="63">
        <f>IF(tblMovement[[#This Row],[Destination]]="","",IFERROR(INDEX(tblDestinations[Type],MATCH(tblMovement[[#This Row],[Destination]],tblDestinations[Destination],0)),"?"))</f>
        <v/>
      </c>
      <c r="M1408" s="64">
        <f>IF(tblMovement[[#This Row],[Material]]="","",IF(LEFT(tblMovement[[#This Row],[Material]],3)="Ore",1,0))</f>
        <v/>
      </c>
      <c r="N1408" s="59">
        <f>IF(OR(tblMovement[[#This Row],[Tonnes_t]]="",tblMovement[[#This Row],[Grade_gpt]]=""),0,tblMovement[[#This Row],[Tonnes_t]]*tblMovement[[#This Row],[Grade_gpt]]/cfg_TroyOz)</f>
        <v/>
      </c>
      <c r="O1408" s="59">
        <f>IF(tblMovement[[#This Row],[Is_Ore]]=1,tblMovement[[#This Row],[Contained_oz]],0)</f>
        <v/>
      </c>
    </row>
    <row r="1409">
      <c r="A1409" s="54" t="n"/>
      <c r="B1409" s="61" t="n"/>
      <c r="C1409" s="61" t="n"/>
      <c r="D1409" s="61" t="n"/>
      <c r="E1409" s="61" t="n"/>
      <c r="F1409" s="55" t="n"/>
      <c r="G1409" s="56" t="n"/>
      <c r="H1409" s="55" t="n"/>
      <c r="I1409" s="62" t="n"/>
      <c r="J1409" s="58" t="n"/>
      <c r="K1409" s="63">
        <f>IF(tblMovement[[#This Row],[Source]]="","",IFERROR(INDEX(tblSources[Type],MATCH(tblMovement[[#This Row],[Source]],tblSources[Source],0)),"?"))</f>
        <v/>
      </c>
      <c r="L1409" s="63">
        <f>IF(tblMovement[[#This Row],[Destination]]="","",IFERROR(INDEX(tblDestinations[Type],MATCH(tblMovement[[#This Row],[Destination]],tblDestinations[Destination],0)),"?"))</f>
        <v/>
      </c>
      <c r="M1409" s="64">
        <f>IF(tblMovement[[#This Row],[Material]]="","",IF(LEFT(tblMovement[[#This Row],[Material]],3)="Ore",1,0))</f>
        <v/>
      </c>
      <c r="N1409" s="59">
        <f>IF(OR(tblMovement[[#This Row],[Tonnes_t]]="",tblMovement[[#This Row],[Grade_gpt]]=""),0,tblMovement[[#This Row],[Tonnes_t]]*tblMovement[[#This Row],[Grade_gpt]]/cfg_TroyOz)</f>
        <v/>
      </c>
      <c r="O1409" s="59">
        <f>IF(tblMovement[[#This Row],[Is_Ore]]=1,tblMovement[[#This Row],[Contained_oz]],0)</f>
        <v/>
      </c>
    </row>
    <row r="1410">
      <c r="A1410" s="54" t="n"/>
      <c r="B1410" s="61" t="n"/>
      <c r="C1410" s="61" t="n"/>
      <c r="D1410" s="61" t="n"/>
      <c r="E1410" s="61" t="n"/>
      <c r="F1410" s="55" t="n"/>
      <c r="G1410" s="56" t="n"/>
      <c r="H1410" s="55" t="n"/>
      <c r="I1410" s="62" t="n"/>
      <c r="J1410" s="58" t="n"/>
      <c r="K1410" s="63">
        <f>IF(tblMovement[[#This Row],[Source]]="","",IFERROR(INDEX(tblSources[Type],MATCH(tblMovement[[#This Row],[Source]],tblSources[Source],0)),"?"))</f>
        <v/>
      </c>
      <c r="L1410" s="63">
        <f>IF(tblMovement[[#This Row],[Destination]]="","",IFERROR(INDEX(tblDestinations[Type],MATCH(tblMovement[[#This Row],[Destination]],tblDestinations[Destination],0)),"?"))</f>
        <v/>
      </c>
      <c r="M1410" s="64">
        <f>IF(tblMovement[[#This Row],[Material]]="","",IF(LEFT(tblMovement[[#This Row],[Material]],3)="Ore",1,0))</f>
        <v/>
      </c>
      <c r="N1410" s="59">
        <f>IF(OR(tblMovement[[#This Row],[Tonnes_t]]="",tblMovement[[#This Row],[Grade_gpt]]=""),0,tblMovement[[#This Row],[Tonnes_t]]*tblMovement[[#This Row],[Grade_gpt]]/cfg_TroyOz)</f>
        <v/>
      </c>
      <c r="O1410" s="59">
        <f>IF(tblMovement[[#This Row],[Is_Ore]]=1,tblMovement[[#This Row],[Contained_oz]],0)</f>
        <v/>
      </c>
    </row>
    <row r="1411">
      <c r="A1411" s="54" t="n"/>
      <c r="B1411" s="61" t="n"/>
      <c r="C1411" s="61" t="n"/>
      <c r="D1411" s="61" t="n"/>
      <c r="E1411" s="61" t="n"/>
      <c r="F1411" s="55" t="n"/>
      <c r="G1411" s="56" t="n"/>
      <c r="H1411" s="55" t="n"/>
      <c r="I1411" s="62" t="n"/>
      <c r="J1411" s="58" t="n"/>
      <c r="K1411" s="63">
        <f>IF(tblMovement[[#This Row],[Source]]="","",IFERROR(INDEX(tblSources[Type],MATCH(tblMovement[[#This Row],[Source]],tblSources[Source],0)),"?"))</f>
        <v/>
      </c>
      <c r="L1411" s="63">
        <f>IF(tblMovement[[#This Row],[Destination]]="","",IFERROR(INDEX(tblDestinations[Type],MATCH(tblMovement[[#This Row],[Destination]],tblDestinations[Destination],0)),"?"))</f>
        <v/>
      </c>
      <c r="M1411" s="64">
        <f>IF(tblMovement[[#This Row],[Material]]="","",IF(LEFT(tblMovement[[#This Row],[Material]],3)="Ore",1,0))</f>
        <v/>
      </c>
      <c r="N1411" s="59">
        <f>IF(OR(tblMovement[[#This Row],[Tonnes_t]]="",tblMovement[[#This Row],[Grade_gpt]]=""),0,tblMovement[[#This Row],[Tonnes_t]]*tblMovement[[#This Row],[Grade_gpt]]/cfg_TroyOz)</f>
        <v/>
      </c>
      <c r="O1411" s="59">
        <f>IF(tblMovement[[#This Row],[Is_Ore]]=1,tblMovement[[#This Row],[Contained_oz]],0)</f>
        <v/>
      </c>
    </row>
    <row r="1412">
      <c r="A1412" s="54" t="n"/>
      <c r="B1412" s="61" t="n"/>
      <c r="C1412" s="61" t="n"/>
      <c r="D1412" s="61" t="n"/>
      <c r="E1412" s="61" t="n"/>
      <c r="F1412" s="55" t="n"/>
      <c r="G1412" s="56" t="n"/>
      <c r="H1412" s="55" t="n"/>
      <c r="I1412" s="62" t="n"/>
      <c r="J1412" s="58" t="n"/>
      <c r="K1412" s="63">
        <f>IF(tblMovement[[#This Row],[Source]]="","",IFERROR(INDEX(tblSources[Type],MATCH(tblMovement[[#This Row],[Source]],tblSources[Source],0)),"?"))</f>
        <v/>
      </c>
      <c r="L1412" s="63">
        <f>IF(tblMovement[[#This Row],[Destination]]="","",IFERROR(INDEX(tblDestinations[Type],MATCH(tblMovement[[#This Row],[Destination]],tblDestinations[Destination],0)),"?"))</f>
        <v/>
      </c>
      <c r="M1412" s="64">
        <f>IF(tblMovement[[#This Row],[Material]]="","",IF(LEFT(tblMovement[[#This Row],[Material]],3)="Ore",1,0))</f>
        <v/>
      </c>
      <c r="N1412" s="59">
        <f>IF(OR(tblMovement[[#This Row],[Tonnes_t]]="",tblMovement[[#This Row],[Grade_gpt]]=""),0,tblMovement[[#This Row],[Tonnes_t]]*tblMovement[[#This Row],[Grade_gpt]]/cfg_TroyOz)</f>
        <v/>
      </c>
      <c r="O1412" s="59">
        <f>IF(tblMovement[[#This Row],[Is_Ore]]=1,tblMovement[[#This Row],[Contained_oz]],0)</f>
        <v/>
      </c>
    </row>
    <row r="1413">
      <c r="A1413" s="54" t="n"/>
      <c r="B1413" s="61" t="n"/>
      <c r="C1413" s="61" t="n"/>
      <c r="D1413" s="61" t="n"/>
      <c r="E1413" s="61" t="n"/>
      <c r="F1413" s="55" t="n"/>
      <c r="G1413" s="56" t="n"/>
      <c r="H1413" s="55" t="n"/>
      <c r="I1413" s="62" t="n"/>
      <c r="J1413" s="58" t="n"/>
      <c r="K1413" s="63">
        <f>IF(tblMovement[[#This Row],[Source]]="","",IFERROR(INDEX(tblSources[Type],MATCH(tblMovement[[#This Row],[Source]],tblSources[Source],0)),"?"))</f>
        <v/>
      </c>
      <c r="L1413" s="63">
        <f>IF(tblMovement[[#This Row],[Destination]]="","",IFERROR(INDEX(tblDestinations[Type],MATCH(tblMovement[[#This Row],[Destination]],tblDestinations[Destination],0)),"?"))</f>
        <v/>
      </c>
      <c r="M1413" s="64">
        <f>IF(tblMovement[[#This Row],[Material]]="","",IF(LEFT(tblMovement[[#This Row],[Material]],3)="Ore",1,0))</f>
        <v/>
      </c>
      <c r="N1413" s="59">
        <f>IF(OR(tblMovement[[#This Row],[Tonnes_t]]="",tblMovement[[#This Row],[Grade_gpt]]=""),0,tblMovement[[#This Row],[Tonnes_t]]*tblMovement[[#This Row],[Grade_gpt]]/cfg_TroyOz)</f>
        <v/>
      </c>
      <c r="O1413" s="59">
        <f>IF(tblMovement[[#This Row],[Is_Ore]]=1,tblMovement[[#This Row],[Contained_oz]],0)</f>
        <v/>
      </c>
    </row>
    <row r="1414">
      <c r="A1414" s="54" t="n"/>
      <c r="B1414" s="61" t="n"/>
      <c r="C1414" s="61" t="n"/>
      <c r="D1414" s="61" t="n"/>
      <c r="E1414" s="61" t="n"/>
      <c r="F1414" s="55" t="n"/>
      <c r="G1414" s="56" t="n"/>
      <c r="H1414" s="55" t="n"/>
      <c r="I1414" s="62" t="n"/>
      <c r="J1414" s="58" t="n"/>
      <c r="K1414" s="63">
        <f>IF(tblMovement[[#This Row],[Source]]="","",IFERROR(INDEX(tblSources[Type],MATCH(tblMovement[[#This Row],[Source]],tblSources[Source],0)),"?"))</f>
        <v/>
      </c>
      <c r="L1414" s="63">
        <f>IF(tblMovement[[#This Row],[Destination]]="","",IFERROR(INDEX(tblDestinations[Type],MATCH(tblMovement[[#This Row],[Destination]],tblDestinations[Destination],0)),"?"))</f>
        <v/>
      </c>
      <c r="M1414" s="64">
        <f>IF(tblMovement[[#This Row],[Material]]="","",IF(LEFT(tblMovement[[#This Row],[Material]],3)="Ore",1,0))</f>
        <v/>
      </c>
      <c r="N1414" s="59">
        <f>IF(OR(tblMovement[[#This Row],[Tonnes_t]]="",tblMovement[[#This Row],[Grade_gpt]]=""),0,tblMovement[[#This Row],[Tonnes_t]]*tblMovement[[#This Row],[Grade_gpt]]/cfg_TroyOz)</f>
        <v/>
      </c>
      <c r="O1414" s="59">
        <f>IF(tblMovement[[#This Row],[Is_Ore]]=1,tblMovement[[#This Row],[Contained_oz]],0)</f>
        <v/>
      </c>
    </row>
    <row r="1415">
      <c r="A1415" s="54" t="n"/>
      <c r="B1415" s="61" t="n"/>
      <c r="C1415" s="61" t="n"/>
      <c r="D1415" s="61" t="n"/>
      <c r="E1415" s="61" t="n"/>
      <c r="F1415" s="55" t="n"/>
      <c r="G1415" s="56" t="n"/>
      <c r="H1415" s="55" t="n"/>
      <c r="I1415" s="62" t="n"/>
      <c r="J1415" s="58" t="n"/>
      <c r="K1415" s="63">
        <f>IF(tblMovement[[#This Row],[Source]]="","",IFERROR(INDEX(tblSources[Type],MATCH(tblMovement[[#This Row],[Source]],tblSources[Source],0)),"?"))</f>
        <v/>
      </c>
      <c r="L1415" s="63">
        <f>IF(tblMovement[[#This Row],[Destination]]="","",IFERROR(INDEX(tblDestinations[Type],MATCH(tblMovement[[#This Row],[Destination]],tblDestinations[Destination],0)),"?"))</f>
        <v/>
      </c>
      <c r="M1415" s="64">
        <f>IF(tblMovement[[#This Row],[Material]]="","",IF(LEFT(tblMovement[[#This Row],[Material]],3)="Ore",1,0))</f>
        <v/>
      </c>
      <c r="N1415" s="59">
        <f>IF(OR(tblMovement[[#This Row],[Tonnes_t]]="",tblMovement[[#This Row],[Grade_gpt]]=""),0,tblMovement[[#This Row],[Tonnes_t]]*tblMovement[[#This Row],[Grade_gpt]]/cfg_TroyOz)</f>
        <v/>
      </c>
      <c r="O1415" s="59">
        <f>IF(tblMovement[[#This Row],[Is_Ore]]=1,tblMovement[[#This Row],[Contained_oz]],0)</f>
        <v/>
      </c>
    </row>
    <row r="1416">
      <c r="A1416" s="54" t="n"/>
      <c r="B1416" s="61" t="n"/>
      <c r="C1416" s="61" t="n"/>
      <c r="D1416" s="61" t="n"/>
      <c r="E1416" s="61" t="n"/>
      <c r="F1416" s="55" t="n"/>
      <c r="G1416" s="56" t="n"/>
      <c r="H1416" s="55" t="n"/>
      <c r="I1416" s="62" t="n"/>
      <c r="J1416" s="58" t="n"/>
      <c r="K1416" s="63">
        <f>IF(tblMovement[[#This Row],[Source]]="","",IFERROR(INDEX(tblSources[Type],MATCH(tblMovement[[#This Row],[Source]],tblSources[Source],0)),"?"))</f>
        <v/>
      </c>
      <c r="L1416" s="63">
        <f>IF(tblMovement[[#This Row],[Destination]]="","",IFERROR(INDEX(tblDestinations[Type],MATCH(tblMovement[[#This Row],[Destination]],tblDestinations[Destination],0)),"?"))</f>
        <v/>
      </c>
      <c r="M1416" s="64">
        <f>IF(tblMovement[[#This Row],[Material]]="","",IF(LEFT(tblMovement[[#This Row],[Material]],3)="Ore",1,0))</f>
        <v/>
      </c>
      <c r="N1416" s="59">
        <f>IF(OR(tblMovement[[#This Row],[Tonnes_t]]="",tblMovement[[#This Row],[Grade_gpt]]=""),0,tblMovement[[#This Row],[Tonnes_t]]*tblMovement[[#This Row],[Grade_gpt]]/cfg_TroyOz)</f>
        <v/>
      </c>
      <c r="O1416" s="59">
        <f>IF(tblMovement[[#This Row],[Is_Ore]]=1,tblMovement[[#This Row],[Contained_oz]],0)</f>
        <v/>
      </c>
    </row>
    <row r="1417">
      <c r="A1417" s="54" t="n"/>
      <c r="B1417" s="61" t="n"/>
      <c r="C1417" s="61" t="n"/>
      <c r="D1417" s="61" t="n"/>
      <c r="E1417" s="61" t="n"/>
      <c r="F1417" s="55" t="n"/>
      <c r="G1417" s="56" t="n"/>
      <c r="H1417" s="55" t="n"/>
      <c r="I1417" s="62" t="n"/>
      <c r="J1417" s="58" t="n"/>
      <c r="K1417" s="63">
        <f>IF(tblMovement[[#This Row],[Source]]="","",IFERROR(INDEX(tblSources[Type],MATCH(tblMovement[[#This Row],[Source]],tblSources[Source],0)),"?"))</f>
        <v/>
      </c>
      <c r="L1417" s="63">
        <f>IF(tblMovement[[#This Row],[Destination]]="","",IFERROR(INDEX(tblDestinations[Type],MATCH(tblMovement[[#This Row],[Destination]],tblDestinations[Destination],0)),"?"))</f>
        <v/>
      </c>
      <c r="M1417" s="64">
        <f>IF(tblMovement[[#This Row],[Material]]="","",IF(LEFT(tblMovement[[#This Row],[Material]],3)="Ore",1,0))</f>
        <v/>
      </c>
      <c r="N1417" s="59">
        <f>IF(OR(tblMovement[[#This Row],[Tonnes_t]]="",tblMovement[[#This Row],[Grade_gpt]]=""),0,tblMovement[[#This Row],[Tonnes_t]]*tblMovement[[#This Row],[Grade_gpt]]/cfg_TroyOz)</f>
        <v/>
      </c>
      <c r="O1417" s="59">
        <f>IF(tblMovement[[#This Row],[Is_Ore]]=1,tblMovement[[#This Row],[Contained_oz]],0)</f>
        <v/>
      </c>
    </row>
    <row r="1418">
      <c r="A1418" s="54" t="n"/>
      <c r="B1418" s="61" t="n"/>
      <c r="C1418" s="61" t="n"/>
      <c r="D1418" s="61" t="n"/>
      <c r="E1418" s="61" t="n"/>
      <c r="F1418" s="55" t="n"/>
      <c r="G1418" s="56" t="n"/>
      <c r="H1418" s="55" t="n"/>
      <c r="I1418" s="62" t="n"/>
      <c r="J1418" s="58" t="n"/>
      <c r="K1418" s="63">
        <f>IF(tblMovement[[#This Row],[Source]]="","",IFERROR(INDEX(tblSources[Type],MATCH(tblMovement[[#This Row],[Source]],tblSources[Source],0)),"?"))</f>
        <v/>
      </c>
      <c r="L1418" s="63">
        <f>IF(tblMovement[[#This Row],[Destination]]="","",IFERROR(INDEX(tblDestinations[Type],MATCH(tblMovement[[#This Row],[Destination]],tblDestinations[Destination],0)),"?"))</f>
        <v/>
      </c>
      <c r="M1418" s="64">
        <f>IF(tblMovement[[#This Row],[Material]]="","",IF(LEFT(tblMovement[[#This Row],[Material]],3)="Ore",1,0))</f>
        <v/>
      </c>
      <c r="N1418" s="59">
        <f>IF(OR(tblMovement[[#This Row],[Tonnes_t]]="",tblMovement[[#This Row],[Grade_gpt]]=""),0,tblMovement[[#This Row],[Tonnes_t]]*tblMovement[[#This Row],[Grade_gpt]]/cfg_TroyOz)</f>
        <v/>
      </c>
      <c r="O1418" s="59">
        <f>IF(tblMovement[[#This Row],[Is_Ore]]=1,tblMovement[[#This Row],[Contained_oz]],0)</f>
        <v/>
      </c>
    </row>
    <row r="1419">
      <c r="A1419" s="54" t="n"/>
      <c r="B1419" s="61" t="n"/>
      <c r="C1419" s="61" t="n"/>
      <c r="D1419" s="61" t="n"/>
      <c r="E1419" s="61" t="n"/>
      <c r="F1419" s="55" t="n"/>
      <c r="G1419" s="56" t="n"/>
      <c r="H1419" s="55" t="n"/>
      <c r="I1419" s="62" t="n"/>
      <c r="J1419" s="58" t="n"/>
      <c r="K1419" s="63">
        <f>IF(tblMovement[[#This Row],[Source]]="","",IFERROR(INDEX(tblSources[Type],MATCH(tblMovement[[#This Row],[Source]],tblSources[Source],0)),"?"))</f>
        <v/>
      </c>
      <c r="L1419" s="63">
        <f>IF(tblMovement[[#This Row],[Destination]]="","",IFERROR(INDEX(tblDestinations[Type],MATCH(tblMovement[[#This Row],[Destination]],tblDestinations[Destination],0)),"?"))</f>
        <v/>
      </c>
      <c r="M1419" s="64">
        <f>IF(tblMovement[[#This Row],[Material]]="","",IF(LEFT(tblMovement[[#This Row],[Material]],3)="Ore",1,0))</f>
        <v/>
      </c>
      <c r="N1419" s="59">
        <f>IF(OR(tblMovement[[#This Row],[Tonnes_t]]="",tblMovement[[#This Row],[Grade_gpt]]=""),0,tblMovement[[#This Row],[Tonnes_t]]*tblMovement[[#This Row],[Grade_gpt]]/cfg_TroyOz)</f>
        <v/>
      </c>
      <c r="O1419" s="59">
        <f>IF(tblMovement[[#This Row],[Is_Ore]]=1,tblMovement[[#This Row],[Contained_oz]],0)</f>
        <v/>
      </c>
    </row>
    <row r="1420">
      <c r="A1420" s="54" t="n"/>
      <c r="B1420" s="61" t="n"/>
      <c r="C1420" s="61" t="n"/>
      <c r="D1420" s="61" t="n"/>
      <c r="E1420" s="61" t="n"/>
      <c r="F1420" s="55" t="n"/>
      <c r="G1420" s="56" t="n"/>
      <c r="H1420" s="55" t="n"/>
      <c r="I1420" s="62" t="n"/>
      <c r="J1420" s="58" t="n"/>
      <c r="K1420" s="63">
        <f>IF(tblMovement[[#This Row],[Source]]="","",IFERROR(INDEX(tblSources[Type],MATCH(tblMovement[[#This Row],[Source]],tblSources[Source],0)),"?"))</f>
        <v/>
      </c>
      <c r="L1420" s="63">
        <f>IF(tblMovement[[#This Row],[Destination]]="","",IFERROR(INDEX(tblDestinations[Type],MATCH(tblMovement[[#This Row],[Destination]],tblDestinations[Destination],0)),"?"))</f>
        <v/>
      </c>
      <c r="M1420" s="64">
        <f>IF(tblMovement[[#This Row],[Material]]="","",IF(LEFT(tblMovement[[#This Row],[Material]],3)="Ore",1,0))</f>
        <v/>
      </c>
      <c r="N1420" s="59">
        <f>IF(OR(tblMovement[[#This Row],[Tonnes_t]]="",tblMovement[[#This Row],[Grade_gpt]]=""),0,tblMovement[[#This Row],[Tonnes_t]]*tblMovement[[#This Row],[Grade_gpt]]/cfg_TroyOz)</f>
        <v/>
      </c>
      <c r="O1420" s="59">
        <f>IF(tblMovement[[#This Row],[Is_Ore]]=1,tblMovement[[#This Row],[Contained_oz]],0)</f>
        <v/>
      </c>
    </row>
    <row r="1421">
      <c r="A1421" s="54" t="n"/>
      <c r="B1421" s="61" t="n"/>
      <c r="C1421" s="61" t="n"/>
      <c r="D1421" s="61" t="n"/>
      <c r="E1421" s="61" t="n"/>
      <c r="F1421" s="55" t="n"/>
      <c r="G1421" s="56" t="n"/>
      <c r="H1421" s="55" t="n"/>
      <c r="I1421" s="62" t="n"/>
      <c r="J1421" s="58" t="n"/>
      <c r="K1421" s="63">
        <f>IF(tblMovement[[#This Row],[Source]]="","",IFERROR(INDEX(tblSources[Type],MATCH(tblMovement[[#This Row],[Source]],tblSources[Source],0)),"?"))</f>
        <v/>
      </c>
      <c r="L1421" s="63">
        <f>IF(tblMovement[[#This Row],[Destination]]="","",IFERROR(INDEX(tblDestinations[Type],MATCH(tblMovement[[#This Row],[Destination]],tblDestinations[Destination],0)),"?"))</f>
        <v/>
      </c>
      <c r="M1421" s="64">
        <f>IF(tblMovement[[#This Row],[Material]]="","",IF(LEFT(tblMovement[[#This Row],[Material]],3)="Ore",1,0))</f>
        <v/>
      </c>
      <c r="N1421" s="59">
        <f>IF(OR(tblMovement[[#This Row],[Tonnes_t]]="",tblMovement[[#This Row],[Grade_gpt]]=""),0,tblMovement[[#This Row],[Tonnes_t]]*tblMovement[[#This Row],[Grade_gpt]]/cfg_TroyOz)</f>
        <v/>
      </c>
      <c r="O1421" s="59">
        <f>IF(tblMovement[[#This Row],[Is_Ore]]=1,tblMovement[[#This Row],[Contained_oz]],0)</f>
        <v/>
      </c>
    </row>
    <row r="1422">
      <c r="A1422" s="54" t="n"/>
      <c r="B1422" s="61" t="n"/>
      <c r="C1422" s="61" t="n"/>
      <c r="D1422" s="61" t="n"/>
      <c r="E1422" s="61" t="n"/>
      <c r="F1422" s="55" t="n"/>
      <c r="G1422" s="56" t="n"/>
      <c r="H1422" s="55" t="n"/>
      <c r="I1422" s="62" t="n"/>
      <c r="J1422" s="58" t="n"/>
      <c r="K1422" s="63">
        <f>IF(tblMovement[[#This Row],[Source]]="","",IFERROR(INDEX(tblSources[Type],MATCH(tblMovement[[#This Row],[Source]],tblSources[Source],0)),"?"))</f>
        <v/>
      </c>
      <c r="L1422" s="63">
        <f>IF(tblMovement[[#This Row],[Destination]]="","",IFERROR(INDEX(tblDestinations[Type],MATCH(tblMovement[[#This Row],[Destination]],tblDestinations[Destination],0)),"?"))</f>
        <v/>
      </c>
      <c r="M1422" s="64">
        <f>IF(tblMovement[[#This Row],[Material]]="","",IF(LEFT(tblMovement[[#This Row],[Material]],3)="Ore",1,0))</f>
        <v/>
      </c>
      <c r="N1422" s="59">
        <f>IF(OR(tblMovement[[#This Row],[Tonnes_t]]="",tblMovement[[#This Row],[Grade_gpt]]=""),0,tblMovement[[#This Row],[Tonnes_t]]*tblMovement[[#This Row],[Grade_gpt]]/cfg_TroyOz)</f>
        <v/>
      </c>
      <c r="O1422" s="59">
        <f>IF(tblMovement[[#This Row],[Is_Ore]]=1,tblMovement[[#This Row],[Contained_oz]],0)</f>
        <v/>
      </c>
    </row>
    <row r="1423">
      <c r="A1423" s="54" t="n"/>
      <c r="B1423" s="61" t="n"/>
      <c r="C1423" s="61" t="n"/>
      <c r="D1423" s="61" t="n"/>
      <c r="E1423" s="61" t="n"/>
      <c r="F1423" s="55" t="n"/>
      <c r="G1423" s="56" t="n"/>
      <c r="H1423" s="55" t="n"/>
      <c r="I1423" s="62" t="n"/>
      <c r="J1423" s="58" t="n"/>
      <c r="K1423" s="63">
        <f>IF(tblMovement[[#This Row],[Source]]="","",IFERROR(INDEX(tblSources[Type],MATCH(tblMovement[[#This Row],[Source]],tblSources[Source],0)),"?"))</f>
        <v/>
      </c>
      <c r="L1423" s="63">
        <f>IF(tblMovement[[#This Row],[Destination]]="","",IFERROR(INDEX(tblDestinations[Type],MATCH(tblMovement[[#This Row],[Destination]],tblDestinations[Destination],0)),"?"))</f>
        <v/>
      </c>
      <c r="M1423" s="64">
        <f>IF(tblMovement[[#This Row],[Material]]="","",IF(LEFT(tblMovement[[#This Row],[Material]],3)="Ore",1,0))</f>
        <v/>
      </c>
      <c r="N1423" s="59">
        <f>IF(OR(tblMovement[[#This Row],[Tonnes_t]]="",tblMovement[[#This Row],[Grade_gpt]]=""),0,tblMovement[[#This Row],[Tonnes_t]]*tblMovement[[#This Row],[Grade_gpt]]/cfg_TroyOz)</f>
        <v/>
      </c>
      <c r="O1423" s="59">
        <f>IF(tblMovement[[#This Row],[Is_Ore]]=1,tblMovement[[#This Row],[Contained_oz]],0)</f>
        <v/>
      </c>
    </row>
    <row r="1424">
      <c r="A1424" s="54" t="n"/>
      <c r="B1424" s="61" t="n"/>
      <c r="C1424" s="61" t="n"/>
      <c r="D1424" s="61" t="n"/>
      <c r="E1424" s="61" t="n"/>
      <c r="F1424" s="55" t="n"/>
      <c r="G1424" s="56" t="n"/>
      <c r="H1424" s="55" t="n"/>
      <c r="I1424" s="62" t="n"/>
      <c r="J1424" s="58" t="n"/>
      <c r="K1424" s="63">
        <f>IF(tblMovement[[#This Row],[Source]]="","",IFERROR(INDEX(tblSources[Type],MATCH(tblMovement[[#This Row],[Source]],tblSources[Source],0)),"?"))</f>
        <v/>
      </c>
      <c r="L1424" s="63">
        <f>IF(tblMovement[[#This Row],[Destination]]="","",IFERROR(INDEX(tblDestinations[Type],MATCH(tblMovement[[#This Row],[Destination]],tblDestinations[Destination],0)),"?"))</f>
        <v/>
      </c>
      <c r="M1424" s="64">
        <f>IF(tblMovement[[#This Row],[Material]]="","",IF(LEFT(tblMovement[[#This Row],[Material]],3)="Ore",1,0))</f>
        <v/>
      </c>
      <c r="N1424" s="59">
        <f>IF(OR(tblMovement[[#This Row],[Tonnes_t]]="",tblMovement[[#This Row],[Grade_gpt]]=""),0,tblMovement[[#This Row],[Tonnes_t]]*tblMovement[[#This Row],[Grade_gpt]]/cfg_TroyOz)</f>
        <v/>
      </c>
      <c r="O1424" s="59">
        <f>IF(tblMovement[[#This Row],[Is_Ore]]=1,tblMovement[[#This Row],[Contained_oz]],0)</f>
        <v/>
      </c>
    </row>
    <row r="1425">
      <c r="A1425" s="54" t="n"/>
      <c r="B1425" s="61" t="n"/>
      <c r="C1425" s="61" t="n"/>
      <c r="D1425" s="61" t="n"/>
      <c r="E1425" s="61" t="n"/>
      <c r="F1425" s="55" t="n"/>
      <c r="G1425" s="56" t="n"/>
      <c r="H1425" s="55" t="n"/>
      <c r="I1425" s="62" t="n"/>
      <c r="J1425" s="58" t="n"/>
      <c r="K1425" s="63">
        <f>IF(tblMovement[[#This Row],[Source]]="","",IFERROR(INDEX(tblSources[Type],MATCH(tblMovement[[#This Row],[Source]],tblSources[Source],0)),"?"))</f>
        <v/>
      </c>
      <c r="L1425" s="63">
        <f>IF(tblMovement[[#This Row],[Destination]]="","",IFERROR(INDEX(tblDestinations[Type],MATCH(tblMovement[[#This Row],[Destination]],tblDestinations[Destination],0)),"?"))</f>
        <v/>
      </c>
      <c r="M1425" s="64">
        <f>IF(tblMovement[[#This Row],[Material]]="","",IF(LEFT(tblMovement[[#This Row],[Material]],3)="Ore",1,0))</f>
        <v/>
      </c>
      <c r="N1425" s="59">
        <f>IF(OR(tblMovement[[#This Row],[Tonnes_t]]="",tblMovement[[#This Row],[Grade_gpt]]=""),0,tblMovement[[#This Row],[Tonnes_t]]*tblMovement[[#This Row],[Grade_gpt]]/cfg_TroyOz)</f>
        <v/>
      </c>
      <c r="O1425" s="59">
        <f>IF(tblMovement[[#This Row],[Is_Ore]]=1,tblMovement[[#This Row],[Contained_oz]],0)</f>
        <v/>
      </c>
    </row>
    <row r="1426">
      <c r="A1426" s="54" t="n"/>
      <c r="B1426" s="61" t="n"/>
      <c r="C1426" s="61" t="n"/>
      <c r="D1426" s="61" t="n"/>
      <c r="E1426" s="61" t="n"/>
      <c r="F1426" s="55" t="n"/>
      <c r="G1426" s="56" t="n"/>
      <c r="H1426" s="55" t="n"/>
      <c r="I1426" s="62" t="n"/>
      <c r="J1426" s="58" t="n"/>
      <c r="K1426" s="63">
        <f>IF(tblMovement[[#This Row],[Source]]="","",IFERROR(INDEX(tblSources[Type],MATCH(tblMovement[[#This Row],[Source]],tblSources[Source],0)),"?"))</f>
        <v/>
      </c>
      <c r="L1426" s="63">
        <f>IF(tblMovement[[#This Row],[Destination]]="","",IFERROR(INDEX(tblDestinations[Type],MATCH(tblMovement[[#This Row],[Destination]],tblDestinations[Destination],0)),"?"))</f>
        <v/>
      </c>
      <c r="M1426" s="64">
        <f>IF(tblMovement[[#This Row],[Material]]="","",IF(LEFT(tblMovement[[#This Row],[Material]],3)="Ore",1,0))</f>
        <v/>
      </c>
      <c r="N1426" s="59">
        <f>IF(OR(tblMovement[[#This Row],[Tonnes_t]]="",tblMovement[[#This Row],[Grade_gpt]]=""),0,tblMovement[[#This Row],[Tonnes_t]]*tblMovement[[#This Row],[Grade_gpt]]/cfg_TroyOz)</f>
        <v/>
      </c>
      <c r="O1426" s="59">
        <f>IF(tblMovement[[#This Row],[Is_Ore]]=1,tblMovement[[#This Row],[Contained_oz]],0)</f>
        <v/>
      </c>
    </row>
    <row r="1427">
      <c r="A1427" s="54" t="n"/>
      <c r="B1427" s="61" t="n"/>
      <c r="C1427" s="61" t="n"/>
      <c r="D1427" s="61" t="n"/>
      <c r="E1427" s="61" t="n"/>
      <c r="F1427" s="55" t="n"/>
      <c r="G1427" s="56" t="n"/>
      <c r="H1427" s="55" t="n"/>
      <c r="I1427" s="62" t="n"/>
      <c r="J1427" s="58" t="n"/>
      <c r="K1427" s="63">
        <f>IF(tblMovement[[#This Row],[Source]]="","",IFERROR(INDEX(tblSources[Type],MATCH(tblMovement[[#This Row],[Source]],tblSources[Source],0)),"?"))</f>
        <v/>
      </c>
      <c r="L1427" s="63">
        <f>IF(tblMovement[[#This Row],[Destination]]="","",IFERROR(INDEX(tblDestinations[Type],MATCH(tblMovement[[#This Row],[Destination]],tblDestinations[Destination],0)),"?"))</f>
        <v/>
      </c>
      <c r="M1427" s="64">
        <f>IF(tblMovement[[#This Row],[Material]]="","",IF(LEFT(tblMovement[[#This Row],[Material]],3)="Ore",1,0))</f>
        <v/>
      </c>
      <c r="N1427" s="59">
        <f>IF(OR(tblMovement[[#This Row],[Tonnes_t]]="",tblMovement[[#This Row],[Grade_gpt]]=""),0,tblMovement[[#This Row],[Tonnes_t]]*tblMovement[[#This Row],[Grade_gpt]]/cfg_TroyOz)</f>
        <v/>
      </c>
      <c r="O1427" s="59">
        <f>IF(tblMovement[[#This Row],[Is_Ore]]=1,tblMovement[[#This Row],[Contained_oz]],0)</f>
        <v/>
      </c>
    </row>
    <row r="1428">
      <c r="A1428" s="54" t="n"/>
      <c r="B1428" s="61" t="n"/>
      <c r="C1428" s="61" t="n"/>
      <c r="D1428" s="61" t="n"/>
      <c r="E1428" s="61" t="n"/>
      <c r="F1428" s="55" t="n"/>
      <c r="G1428" s="56" t="n"/>
      <c r="H1428" s="55" t="n"/>
      <c r="I1428" s="62" t="n"/>
      <c r="J1428" s="58" t="n"/>
      <c r="K1428" s="63">
        <f>IF(tblMovement[[#This Row],[Source]]="","",IFERROR(INDEX(tblSources[Type],MATCH(tblMovement[[#This Row],[Source]],tblSources[Source],0)),"?"))</f>
        <v/>
      </c>
      <c r="L1428" s="63">
        <f>IF(tblMovement[[#This Row],[Destination]]="","",IFERROR(INDEX(tblDestinations[Type],MATCH(tblMovement[[#This Row],[Destination]],tblDestinations[Destination],0)),"?"))</f>
        <v/>
      </c>
      <c r="M1428" s="64">
        <f>IF(tblMovement[[#This Row],[Material]]="","",IF(LEFT(tblMovement[[#This Row],[Material]],3)="Ore",1,0))</f>
        <v/>
      </c>
      <c r="N1428" s="59">
        <f>IF(OR(tblMovement[[#This Row],[Tonnes_t]]="",tblMovement[[#This Row],[Grade_gpt]]=""),0,tblMovement[[#This Row],[Tonnes_t]]*tblMovement[[#This Row],[Grade_gpt]]/cfg_TroyOz)</f>
        <v/>
      </c>
      <c r="O1428" s="59">
        <f>IF(tblMovement[[#This Row],[Is_Ore]]=1,tblMovement[[#This Row],[Contained_oz]],0)</f>
        <v/>
      </c>
    </row>
    <row r="1429">
      <c r="A1429" s="54" t="n"/>
      <c r="B1429" s="61" t="n"/>
      <c r="C1429" s="61" t="n"/>
      <c r="D1429" s="61" t="n"/>
      <c r="E1429" s="61" t="n"/>
      <c r="F1429" s="55" t="n"/>
      <c r="G1429" s="56" t="n"/>
      <c r="H1429" s="55" t="n"/>
      <c r="I1429" s="62" t="n"/>
      <c r="J1429" s="58" t="n"/>
      <c r="K1429" s="63">
        <f>IF(tblMovement[[#This Row],[Source]]="","",IFERROR(INDEX(tblSources[Type],MATCH(tblMovement[[#This Row],[Source]],tblSources[Source],0)),"?"))</f>
        <v/>
      </c>
      <c r="L1429" s="63">
        <f>IF(tblMovement[[#This Row],[Destination]]="","",IFERROR(INDEX(tblDestinations[Type],MATCH(tblMovement[[#This Row],[Destination]],tblDestinations[Destination],0)),"?"))</f>
        <v/>
      </c>
      <c r="M1429" s="64">
        <f>IF(tblMovement[[#This Row],[Material]]="","",IF(LEFT(tblMovement[[#This Row],[Material]],3)="Ore",1,0))</f>
        <v/>
      </c>
      <c r="N1429" s="59">
        <f>IF(OR(tblMovement[[#This Row],[Tonnes_t]]="",tblMovement[[#This Row],[Grade_gpt]]=""),0,tblMovement[[#This Row],[Tonnes_t]]*tblMovement[[#This Row],[Grade_gpt]]/cfg_TroyOz)</f>
        <v/>
      </c>
      <c r="O1429" s="59">
        <f>IF(tblMovement[[#This Row],[Is_Ore]]=1,tblMovement[[#This Row],[Contained_oz]],0)</f>
        <v/>
      </c>
    </row>
    <row r="1430">
      <c r="A1430" s="54" t="n"/>
      <c r="B1430" s="61" t="n"/>
      <c r="C1430" s="61" t="n"/>
      <c r="D1430" s="61" t="n"/>
      <c r="E1430" s="61" t="n"/>
      <c r="F1430" s="55" t="n"/>
      <c r="G1430" s="56" t="n"/>
      <c r="H1430" s="55" t="n"/>
      <c r="I1430" s="62" t="n"/>
      <c r="J1430" s="58" t="n"/>
      <c r="K1430" s="63">
        <f>IF(tblMovement[[#This Row],[Source]]="","",IFERROR(INDEX(tblSources[Type],MATCH(tblMovement[[#This Row],[Source]],tblSources[Source],0)),"?"))</f>
        <v/>
      </c>
      <c r="L1430" s="63">
        <f>IF(tblMovement[[#This Row],[Destination]]="","",IFERROR(INDEX(tblDestinations[Type],MATCH(tblMovement[[#This Row],[Destination]],tblDestinations[Destination],0)),"?"))</f>
        <v/>
      </c>
      <c r="M1430" s="64">
        <f>IF(tblMovement[[#This Row],[Material]]="","",IF(LEFT(tblMovement[[#This Row],[Material]],3)="Ore",1,0))</f>
        <v/>
      </c>
      <c r="N1430" s="59">
        <f>IF(OR(tblMovement[[#This Row],[Tonnes_t]]="",tblMovement[[#This Row],[Grade_gpt]]=""),0,tblMovement[[#This Row],[Tonnes_t]]*tblMovement[[#This Row],[Grade_gpt]]/cfg_TroyOz)</f>
        <v/>
      </c>
      <c r="O1430" s="59">
        <f>IF(tblMovement[[#This Row],[Is_Ore]]=1,tblMovement[[#This Row],[Contained_oz]],0)</f>
        <v/>
      </c>
    </row>
    <row r="1431">
      <c r="A1431" s="54" t="n"/>
      <c r="B1431" s="61" t="n"/>
      <c r="C1431" s="61" t="n"/>
      <c r="D1431" s="61" t="n"/>
      <c r="E1431" s="61" t="n"/>
      <c r="F1431" s="55" t="n"/>
      <c r="G1431" s="56" t="n"/>
      <c r="H1431" s="55" t="n"/>
      <c r="I1431" s="62" t="n"/>
      <c r="J1431" s="58" t="n"/>
      <c r="K1431" s="63">
        <f>IF(tblMovement[[#This Row],[Source]]="","",IFERROR(INDEX(tblSources[Type],MATCH(tblMovement[[#This Row],[Source]],tblSources[Source],0)),"?"))</f>
        <v/>
      </c>
      <c r="L1431" s="63">
        <f>IF(tblMovement[[#This Row],[Destination]]="","",IFERROR(INDEX(tblDestinations[Type],MATCH(tblMovement[[#This Row],[Destination]],tblDestinations[Destination],0)),"?"))</f>
        <v/>
      </c>
      <c r="M1431" s="64">
        <f>IF(tblMovement[[#This Row],[Material]]="","",IF(LEFT(tblMovement[[#This Row],[Material]],3)="Ore",1,0))</f>
        <v/>
      </c>
      <c r="N1431" s="59">
        <f>IF(OR(tblMovement[[#This Row],[Tonnes_t]]="",tblMovement[[#This Row],[Grade_gpt]]=""),0,tblMovement[[#This Row],[Tonnes_t]]*tblMovement[[#This Row],[Grade_gpt]]/cfg_TroyOz)</f>
        <v/>
      </c>
      <c r="O1431" s="59">
        <f>IF(tblMovement[[#This Row],[Is_Ore]]=1,tblMovement[[#This Row],[Contained_oz]],0)</f>
        <v/>
      </c>
    </row>
    <row r="1432">
      <c r="A1432" s="54" t="n"/>
      <c r="B1432" s="61" t="n"/>
      <c r="C1432" s="61" t="n"/>
      <c r="D1432" s="61" t="n"/>
      <c r="E1432" s="61" t="n"/>
      <c r="F1432" s="55" t="n"/>
      <c r="G1432" s="56" t="n"/>
      <c r="H1432" s="55" t="n"/>
      <c r="I1432" s="62" t="n"/>
      <c r="J1432" s="58" t="n"/>
      <c r="K1432" s="63">
        <f>IF(tblMovement[[#This Row],[Source]]="","",IFERROR(INDEX(tblSources[Type],MATCH(tblMovement[[#This Row],[Source]],tblSources[Source],0)),"?"))</f>
        <v/>
      </c>
      <c r="L1432" s="63">
        <f>IF(tblMovement[[#This Row],[Destination]]="","",IFERROR(INDEX(tblDestinations[Type],MATCH(tblMovement[[#This Row],[Destination]],tblDestinations[Destination],0)),"?"))</f>
        <v/>
      </c>
      <c r="M1432" s="64">
        <f>IF(tblMovement[[#This Row],[Material]]="","",IF(LEFT(tblMovement[[#This Row],[Material]],3)="Ore",1,0))</f>
        <v/>
      </c>
      <c r="N1432" s="59">
        <f>IF(OR(tblMovement[[#This Row],[Tonnes_t]]="",tblMovement[[#This Row],[Grade_gpt]]=""),0,tblMovement[[#This Row],[Tonnes_t]]*tblMovement[[#This Row],[Grade_gpt]]/cfg_TroyOz)</f>
        <v/>
      </c>
      <c r="O1432" s="59">
        <f>IF(tblMovement[[#This Row],[Is_Ore]]=1,tblMovement[[#This Row],[Contained_oz]],0)</f>
        <v/>
      </c>
    </row>
    <row r="1433">
      <c r="A1433" s="54" t="n"/>
      <c r="B1433" s="61" t="n"/>
      <c r="C1433" s="61" t="n"/>
      <c r="D1433" s="61" t="n"/>
      <c r="E1433" s="61" t="n"/>
      <c r="F1433" s="55" t="n"/>
      <c r="G1433" s="56" t="n"/>
      <c r="H1433" s="55" t="n"/>
      <c r="I1433" s="62" t="n"/>
      <c r="J1433" s="58" t="n"/>
      <c r="K1433" s="63">
        <f>IF(tblMovement[[#This Row],[Source]]="","",IFERROR(INDEX(tblSources[Type],MATCH(tblMovement[[#This Row],[Source]],tblSources[Source],0)),"?"))</f>
        <v/>
      </c>
      <c r="L1433" s="63">
        <f>IF(tblMovement[[#This Row],[Destination]]="","",IFERROR(INDEX(tblDestinations[Type],MATCH(tblMovement[[#This Row],[Destination]],tblDestinations[Destination],0)),"?"))</f>
        <v/>
      </c>
      <c r="M1433" s="64">
        <f>IF(tblMovement[[#This Row],[Material]]="","",IF(LEFT(tblMovement[[#This Row],[Material]],3)="Ore",1,0))</f>
        <v/>
      </c>
      <c r="N1433" s="59">
        <f>IF(OR(tblMovement[[#This Row],[Tonnes_t]]="",tblMovement[[#This Row],[Grade_gpt]]=""),0,tblMovement[[#This Row],[Tonnes_t]]*tblMovement[[#This Row],[Grade_gpt]]/cfg_TroyOz)</f>
        <v/>
      </c>
      <c r="O1433" s="59">
        <f>IF(tblMovement[[#This Row],[Is_Ore]]=1,tblMovement[[#This Row],[Contained_oz]],0)</f>
        <v/>
      </c>
    </row>
    <row r="1434">
      <c r="A1434" s="54" t="n"/>
      <c r="B1434" s="61" t="n"/>
      <c r="C1434" s="61" t="n"/>
      <c r="D1434" s="61" t="n"/>
      <c r="E1434" s="61" t="n"/>
      <c r="F1434" s="55" t="n"/>
      <c r="G1434" s="56" t="n"/>
      <c r="H1434" s="55" t="n"/>
      <c r="I1434" s="62" t="n"/>
      <c r="J1434" s="58" t="n"/>
      <c r="K1434" s="63">
        <f>IF(tblMovement[[#This Row],[Source]]="","",IFERROR(INDEX(tblSources[Type],MATCH(tblMovement[[#This Row],[Source]],tblSources[Source],0)),"?"))</f>
        <v/>
      </c>
      <c r="L1434" s="63">
        <f>IF(tblMovement[[#This Row],[Destination]]="","",IFERROR(INDEX(tblDestinations[Type],MATCH(tblMovement[[#This Row],[Destination]],tblDestinations[Destination],0)),"?"))</f>
        <v/>
      </c>
      <c r="M1434" s="64">
        <f>IF(tblMovement[[#This Row],[Material]]="","",IF(LEFT(tblMovement[[#This Row],[Material]],3)="Ore",1,0))</f>
        <v/>
      </c>
      <c r="N1434" s="59">
        <f>IF(OR(tblMovement[[#This Row],[Tonnes_t]]="",tblMovement[[#This Row],[Grade_gpt]]=""),0,tblMovement[[#This Row],[Tonnes_t]]*tblMovement[[#This Row],[Grade_gpt]]/cfg_TroyOz)</f>
        <v/>
      </c>
      <c r="O1434" s="59">
        <f>IF(tblMovement[[#This Row],[Is_Ore]]=1,tblMovement[[#This Row],[Contained_oz]],0)</f>
        <v/>
      </c>
    </row>
    <row r="1435">
      <c r="A1435" s="54" t="n"/>
      <c r="B1435" s="61" t="n"/>
      <c r="C1435" s="61" t="n"/>
      <c r="D1435" s="61" t="n"/>
      <c r="E1435" s="61" t="n"/>
      <c r="F1435" s="55" t="n"/>
      <c r="G1435" s="56" t="n"/>
      <c r="H1435" s="55" t="n"/>
      <c r="I1435" s="62" t="n"/>
      <c r="J1435" s="58" t="n"/>
      <c r="K1435" s="63">
        <f>IF(tblMovement[[#This Row],[Source]]="","",IFERROR(INDEX(tblSources[Type],MATCH(tblMovement[[#This Row],[Source]],tblSources[Source],0)),"?"))</f>
        <v/>
      </c>
      <c r="L1435" s="63">
        <f>IF(tblMovement[[#This Row],[Destination]]="","",IFERROR(INDEX(tblDestinations[Type],MATCH(tblMovement[[#This Row],[Destination]],tblDestinations[Destination],0)),"?"))</f>
        <v/>
      </c>
      <c r="M1435" s="64">
        <f>IF(tblMovement[[#This Row],[Material]]="","",IF(LEFT(tblMovement[[#This Row],[Material]],3)="Ore",1,0))</f>
        <v/>
      </c>
      <c r="N1435" s="59">
        <f>IF(OR(tblMovement[[#This Row],[Tonnes_t]]="",tblMovement[[#This Row],[Grade_gpt]]=""),0,tblMovement[[#This Row],[Tonnes_t]]*tblMovement[[#This Row],[Grade_gpt]]/cfg_TroyOz)</f>
        <v/>
      </c>
      <c r="O1435" s="59">
        <f>IF(tblMovement[[#This Row],[Is_Ore]]=1,tblMovement[[#This Row],[Contained_oz]],0)</f>
        <v/>
      </c>
    </row>
    <row r="1436">
      <c r="A1436" s="54" t="n"/>
      <c r="B1436" s="61" t="n"/>
      <c r="C1436" s="61" t="n"/>
      <c r="D1436" s="61" t="n"/>
      <c r="E1436" s="61" t="n"/>
      <c r="F1436" s="55" t="n"/>
      <c r="G1436" s="56" t="n"/>
      <c r="H1436" s="55" t="n"/>
      <c r="I1436" s="62" t="n"/>
      <c r="J1436" s="58" t="n"/>
      <c r="K1436" s="63">
        <f>IF(tblMovement[[#This Row],[Source]]="","",IFERROR(INDEX(tblSources[Type],MATCH(tblMovement[[#This Row],[Source]],tblSources[Source],0)),"?"))</f>
        <v/>
      </c>
      <c r="L1436" s="63">
        <f>IF(tblMovement[[#This Row],[Destination]]="","",IFERROR(INDEX(tblDestinations[Type],MATCH(tblMovement[[#This Row],[Destination]],tblDestinations[Destination],0)),"?"))</f>
        <v/>
      </c>
      <c r="M1436" s="64">
        <f>IF(tblMovement[[#This Row],[Material]]="","",IF(LEFT(tblMovement[[#This Row],[Material]],3)="Ore",1,0))</f>
        <v/>
      </c>
      <c r="N1436" s="59">
        <f>IF(OR(tblMovement[[#This Row],[Tonnes_t]]="",tblMovement[[#This Row],[Grade_gpt]]=""),0,tblMovement[[#This Row],[Tonnes_t]]*tblMovement[[#This Row],[Grade_gpt]]/cfg_TroyOz)</f>
        <v/>
      </c>
      <c r="O1436" s="59">
        <f>IF(tblMovement[[#This Row],[Is_Ore]]=1,tblMovement[[#This Row],[Contained_oz]],0)</f>
        <v/>
      </c>
    </row>
    <row r="1437">
      <c r="A1437" s="54" t="n"/>
      <c r="B1437" s="61" t="n"/>
      <c r="C1437" s="61" t="n"/>
      <c r="D1437" s="61" t="n"/>
      <c r="E1437" s="61" t="n"/>
      <c r="F1437" s="55" t="n"/>
      <c r="G1437" s="56" t="n"/>
      <c r="H1437" s="55" t="n"/>
      <c r="I1437" s="62" t="n"/>
      <c r="J1437" s="58" t="n"/>
      <c r="K1437" s="63">
        <f>IF(tblMovement[[#This Row],[Source]]="","",IFERROR(INDEX(tblSources[Type],MATCH(tblMovement[[#This Row],[Source]],tblSources[Source],0)),"?"))</f>
        <v/>
      </c>
      <c r="L1437" s="63">
        <f>IF(tblMovement[[#This Row],[Destination]]="","",IFERROR(INDEX(tblDestinations[Type],MATCH(tblMovement[[#This Row],[Destination]],tblDestinations[Destination],0)),"?"))</f>
        <v/>
      </c>
      <c r="M1437" s="64">
        <f>IF(tblMovement[[#This Row],[Material]]="","",IF(LEFT(tblMovement[[#This Row],[Material]],3)="Ore",1,0))</f>
        <v/>
      </c>
      <c r="N1437" s="59">
        <f>IF(OR(tblMovement[[#This Row],[Tonnes_t]]="",tblMovement[[#This Row],[Grade_gpt]]=""),0,tblMovement[[#This Row],[Tonnes_t]]*tblMovement[[#This Row],[Grade_gpt]]/cfg_TroyOz)</f>
        <v/>
      </c>
      <c r="O1437" s="59">
        <f>IF(tblMovement[[#This Row],[Is_Ore]]=1,tblMovement[[#This Row],[Contained_oz]],0)</f>
        <v/>
      </c>
    </row>
    <row r="1438">
      <c r="A1438" s="54" t="n"/>
      <c r="B1438" s="61" t="n"/>
      <c r="C1438" s="61" t="n"/>
      <c r="D1438" s="61" t="n"/>
      <c r="E1438" s="61" t="n"/>
      <c r="F1438" s="55" t="n"/>
      <c r="G1438" s="56" t="n"/>
      <c r="H1438" s="55" t="n"/>
      <c r="I1438" s="62" t="n"/>
      <c r="J1438" s="58" t="n"/>
      <c r="K1438" s="63">
        <f>IF(tblMovement[[#This Row],[Source]]="","",IFERROR(INDEX(tblSources[Type],MATCH(tblMovement[[#This Row],[Source]],tblSources[Source],0)),"?"))</f>
        <v/>
      </c>
      <c r="L1438" s="63">
        <f>IF(tblMovement[[#This Row],[Destination]]="","",IFERROR(INDEX(tblDestinations[Type],MATCH(tblMovement[[#This Row],[Destination]],tblDestinations[Destination],0)),"?"))</f>
        <v/>
      </c>
      <c r="M1438" s="64">
        <f>IF(tblMovement[[#This Row],[Material]]="","",IF(LEFT(tblMovement[[#This Row],[Material]],3)="Ore",1,0))</f>
        <v/>
      </c>
      <c r="N1438" s="59">
        <f>IF(OR(tblMovement[[#This Row],[Tonnes_t]]="",tblMovement[[#This Row],[Grade_gpt]]=""),0,tblMovement[[#This Row],[Tonnes_t]]*tblMovement[[#This Row],[Grade_gpt]]/cfg_TroyOz)</f>
        <v/>
      </c>
      <c r="O1438" s="59">
        <f>IF(tblMovement[[#This Row],[Is_Ore]]=1,tblMovement[[#This Row],[Contained_oz]],0)</f>
        <v/>
      </c>
    </row>
    <row r="1439">
      <c r="A1439" s="54" t="n"/>
      <c r="B1439" s="61" t="n"/>
      <c r="C1439" s="61" t="n"/>
      <c r="D1439" s="61" t="n"/>
      <c r="E1439" s="61" t="n"/>
      <c r="F1439" s="55" t="n"/>
      <c r="G1439" s="56" t="n"/>
      <c r="H1439" s="55" t="n"/>
      <c r="I1439" s="62" t="n"/>
      <c r="J1439" s="58" t="n"/>
      <c r="K1439" s="63">
        <f>IF(tblMovement[[#This Row],[Source]]="","",IFERROR(INDEX(tblSources[Type],MATCH(tblMovement[[#This Row],[Source]],tblSources[Source],0)),"?"))</f>
        <v/>
      </c>
      <c r="L1439" s="63">
        <f>IF(tblMovement[[#This Row],[Destination]]="","",IFERROR(INDEX(tblDestinations[Type],MATCH(tblMovement[[#This Row],[Destination]],tblDestinations[Destination],0)),"?"))</f>
        <v/>
      </c>
      <c r="M1439" s="64">
        <f>IF(tblMovement[[#This Row],[Material]]="","",IF(LEFT(tblMovement[[#This Row],[Material]],3)="Ore",1,0))</f>
        <v/>
      </c>
      <c r="N1439" s="59">
        <f>IF(OR(tblMovement[[#This Row],[Tonnes_t]]="",tblMovement[[#This Row],[Grade_gpt]]=""),0,tblMovement[[#This Row],[Tonnes_t]]*tblMovement[[#This Row],[Grade_gpt]]/cfg_TroyOz)</f>
        <v/>
      </c>
      <c r="O1439" s="59">
        <f>IF(tblMovement[[#This Row],[Is_Ore]]=1,tblMovement[[#This Row],[Contained_oz]],0)</f>
        <v/>
      </c>
    </row>
    <row r="1440">
      <c r="A1440" s="54" t="n"/>
      <c r="B1440" s="61" t="n"/>
      <c r="C1440" s="61" t="n"/>
      <c r="D1440" s="61" t="n"/>
      <c r="E1440" s="61" t="n"/>
      <c r="F1440" s="55" t="n"/>
      <c r="G1440" s="56" t="n"/>
      <c r="H1440" s="55" t="n"/>
      <c r="I1440" s="62" t="n"/>
      <c r="J1440" s="58" t="n"/>
      <c r="K1440" s="63">
        <f>IF(tblMovement[[#This Row],[Source]]="","",IFERROR(INDEX(tblSources[Type],MATCH(tblMovement[[#This Row],[Source]],tblSources[Source],0)),"?"))</f>
        <v/>
      </c>
      <c r="L1440" s="63">
        <f>IF(tblMovement[[#This Row],[Destination]]="","",IFERROR(INDEX(tblDestinations[Type],MATCH(tblMovement[[#This Row],[Destination]],tblDestinations[Destination],0)),"?"))</f>
        <v/>
      </c>
      <c r="M1440" s="64">
        <f>IF(tblMovement[[#This Row],[Material]]="","",IF(LEFT(tblMovement[[#This Row],[Material]],3)="Ore",1,0))</f>
        <v/>
      </c>
      <c r="N1440" s="59">
        <f>IF(OR(tblMovement[[#This Row],[Tonnes_t]]="",tblMovement[[#This Row],[Grade_gpt]]=""),0,tblMovement[[#This Row],[Tonnes_t]]*tblMovement[[#This Row],[Grade_gpt]]/cfg_TroyOz)</f>
        <v/>
      </c>
      <c r="O1440" s="59">
        <f>IF(tblMovement[[#This Row],[Is_Ore]]=1,tblMovement[[#This Row],[Contained_oz]],0)</f>
        <v/>
      </c>
    </row>
    <row r="1441">
      <c r="A1441" s="54" t="n"/>
      <c r="B1441" s="61" t="n"/>
      <c r="C1441" s="61" t="n"/>
      <c r="D1441" s="61" t="n"/>
      <c r="E1441" s="61" t="n"/>
      <c r="F1441" s="55" t="n"/>
      <c r="G1441" s="56" t="n"/>
      <c r="H1441" s="55" t="n"/>
      <c r="I1441" s="62" t="n"/>
      <c r="J1441" s="58" t="n"/>
      <c r="K1441" s="63">
        <f>IF(tblMovement[[#This Row],[Source]]="","",IFERROR(INDEX(tblSources[Type],MATCH(tblMovement[[#This Row],[Source]],tblSources[Source],0)),"?"))</f>
        <v/>
      </c>
      <c r="L1441" s="63">
        <f>IF(tblMovement[[#This Row],[Destination]]="","",IFERROR(INDEX(tblDestinations[Type],MATCH(tblMovement[[#This Row],[Destination]],tblDestinations[Destination],0)),"?"))</f>
        <v/>
      </c>
      <c r="M1441" s="64">
        <f>IF(tblMovement[[#This Row],[Material]]="","",IF(LEFT(tblMovement[[#This Row],[Material]],3)="Ore",1,0))</f>
        <v/>
      </c>
      <c r="N1441" s="59">
        <f>IF(OR(tblMovement[[#This Row],[Tonnes_t]]="",tblMovement[[#This Row],[Grade_gpt]]=""),0,tblMovement[[#This Row],[Tonnes_t]]*tblMovement[[#This Row],[Grade_gpt]]/cfg_TroyOz)</f>
        <v/>
      </c>
      <c r="O1441" s="59">
        <f>IF(tblMovement[[#This Row],[Is_Ore]]=1,tblMovement[[#This Row],[Contained_oz]],0)</f>
        <v/>
      </c>
    </row>
    <row r="1442">
      <c r="A1442" s="54" t="n"/>
      <c r="B1442" s="61" t="n"/>
      <c r="C1442" s="61" t="n"/>
      <c r="D1442" s="61" t="n"/>
      <c r="E1442" s="61" t="n"/>
      <c r="F1442" s="55" t="n"/>
      <c r="G1442" s="56" t="n"/>
      <c r="H1442" s="55" t="n"/>
      <c r="I1442" s="62" t="n"/>
      <c r="J1442" s="58" t="n"/>
      <c r="K1442" s="63">
        <f>IF(tblMovement[[#This Row],[Source]]="","",IFERROR(INDEX(tblSources[Type],MATCH(tblMovement[[#This Row],[Source]],tblSources[Source],0)),"?"))</f>
        <v/>
      </c>
      <c r="L1442" s="63">
        <f>IF(tblMovement[[#This Row],[Destination]]="","",IFERROR(INDEX(tblDestinations[Type],MATCH(tblMovement[[#This Row],[Destination]],tblDestinations[Destination],0)),"?"))</f>
        <v/>
      </c>
      <c r="M1442" s="64">
        <f>IF(tblMovement[[#This Row],[Material]]="","",IF(LEFT(tblMovement[[#This Row],[Material]],3)="Ore",1,0))</f>
        <v/>
      </c>
      <c r="N1442" s="59">
        <f>IF(OR(tblMovement[[#This Row],[Tonnes_t]]="",tblMovement[[#This Row],[Grade_gpt]]=""),0,tblMovement[[#This Row],[Tonnes_t]]*tblMovement[[#This Row],[Grade_gpt]]/cfg_TroyOz)</f>
        <v/>
      </c>
      <c r="O1442" s="59">
        <f>IF(tblMovement[[#This Row],[Is_Ore]]=1,tblMovement[[#This Row],[Contained_oz]],0)</f>
        <v/>
      </c>
    </row>
    <row r="1443">
      <c r="A1443" s="54" t="n"/>
      <c r="B1443" s="61" t="n"/>
      <c r="C1443" s="61" t="n"/>
      <c r="D1443" s="61" t="n"/>
      <c r="E1443" s="61" t="n"/>
      <c r="F1443" s="55" t="n"/>
      <c r="G1443" s="56" t="n"/>
      <c r="H1443" s="55" t="n"/>
      <c r="I1443" s="62" t="n"/>
      <c r="J1443" s="58" t="n"/>
      <c r="K1443" s="63">
        <f>IF(tblMovement[[#This Row],[Source]]="","",IFERROR(INDEX(tblSources[Type],MATCH(tblMovement[[#This Row],[Source]],tblSources[Source],0)),"?"))</f>
        <v/>
      </c>
      <c r="L1443" s="63">
        <f>IF(tblMovement[[#This Row],[Destination]]="","",IFERROR(INDEX(tblDestinations[Type],MATCH(tblMovement[[#This Row],[Destination]],tblDestinations[Destination],0)),"?"))</f>
        <v/>
      </c>
      <c r="M1443" s="64">
        <f>IF(tblMovement[[#This Row],[Material]]="","",IF(LEFT(tblMovement[[#This Row],[Material]],3)="Ore",1,0))</f>
        <v/>
      </c>
      <c r="N1443" s="59">
        <f>IF(OR(tblMovement[[#This Row],[Tonnes_t]]="",tblMovement[[#This Row],[Grade_gpt]]=""),0,tblMovement[[#This Row],[Tonnes_t]]*tblMovement[[#This Row],[Grade_gpt]]/cfg_TroyOz)</f>
        <v/>
      </c>
      <c r="O1443" s="59">
        <f>IF(tblMovement[[#This Row],[Is_Ore]]=1,tblMovement[[#This Row],[Contained_oz]],0)</f>
        <v/>
      </c>
    </row>
    <row r="1444">
      <c r="A1444" s="54" t="n"/>
      <c r="B1444" s="61" t="n"/>
      <c r="C1444" s="61" t="n"/>
      <c r="D1444" s="61" t="n"/>
      <c r="E1444" s="61" t="n"/>
      <c r="F1444" s="55" t="n"/>
      <c r="G1444" s="56" t="n"/>
      <c r="H1444" s="55" t="n"/>
      <c r="I1444" s="62" t="n"/>
      <c r="J1444" s="58" t="n"/>
      <c r="K1444" s="63">
        <f>IF(tblMovement[[#This Row],[Source]]="","",IFERROR(INDEX(tblSources[Type],MATCH(tblMovement[[#This Row],[Source]],tblSources[Source],0)),"?"))</f>
        <v/>
      </c>
      <c r="L1444" s="63">
        <f>IF(tblMovement[[#This Row],[Destination]]="","",IFERROR(INDEX(tblDestinations[Type],MATCH(tblMovement[[#This Row],[Destination]],tblDestinations[Destination],0)),"?"))</f>
        <v/>
      </c>
      <c r="M1444" s="64">
        <f>IF(tblMovement[[#This Row],[Material]]="","",IF(LEFT(tblMovement[[#This Row],[Material]],3)="Ore",1,0))</f>
        <v/>
      </c>
      <c r="N1444" s="59">
        <f>IF(OR(tblMovement[[#This Row],[Tonnes_t]]="",tblMovement[[#This Row],[Grade_gpt]]=""),0,tblMovement[[#This Row],[Tonnes_t]]*tblMovement[[#This Row],[Grade_gpt]]/cfg_TroyOz)</f>
        <v/>
      </c>
      <c r="O1444" s="59">
        <f>IF(tblMovement[[#This Row],[Is_Ore]]=1,tblMovement[[#This Row],[Contained_oz]],0)</f>
        <v/>
      </c>
    </row>
    <row r="1445">
      <c r="A1445" s="54" t="n"/>
      <c r="B1445" s="61" t="n"/>
      <c r="C1445" s="61" t="n"/>
      <c r="D1445" s="61" t="n"/>
      <c r="E1445" s="61" t="n"/>
      <c r="F1445" s="55" t="n"/>
      <c r="G1445" s="56" t="n"/>
      <c r="H1445" s="55" t="n"/>
      <c r="I1445" s="62" t="n"/>
      <c r="J1445" s="58" t="n"/>
      <c r="K1445" s="63">
        <f>IF(tblMovement[[#This Row],[Source]]="","",IFERROR(INDEX(tblSources[Type],MATCH(tblMovement[[#This Row],[Source]],tblSources[Source],0)),"?"))</f>
        <v/>
      </c>
      <c r="L1445" s="63">
        <f>IF(tblMovement[[#This Row],[Destination]]="","",IFERROR(INDEX(tblDestinations[Type],MATCH(tblMovement[[#This Row],[Destination]],tblDestinations[Destination],0)),"?"))</f>
        <v/>
      </c>
      <c r="M1445" s="64">
        <f>IF(tblMovement[[#This Row],[Material]]="","",IF(LEFT(tblMovement[[#This Row],[Material]],3)="Ore",1,0))</f>
        <v/>
      </c>
      <c r="N1445" s="59">
        <f>IF(OR(tblMovement[[#This Row],[Tonnes_t]]="",tblMovement[[#This Row],[Grade_gpt]]=""),0,tblMovement[[#This Row],[Tonnes_t]]*tblMovement[[#This Row],[Grade_gpt]]/cfg_TroyOz)</f>
        <v/>
      </c>
      <c r="O1445" s="59">
        <f>IF(tblMovement[[#This Row],[Is_Ore]]=1,tblMovement[[#This Row],[Contained_oz]],0)</f>
        <v/>
      </c>
    </row>
    <row r="1446">
      <c r="A1446" s="54" t="n"/>
      <c r="B1446" s="61" t="n"/>
      <c r="C1446" s="61" t="n"/>
      <c r="D1446" s="61" t="n"/>
      <c r="E1446" s="61" t="n"/>
      <c r="F1446" s="55" t="n"/>
      <c r="G1446" s="56" t="n"/>
      <c r="H1446" s="55" t="n"/>
      <c r="I1446" s="62" t="n"/>
      <c r="J1446" s="58" t="n"/>
      <c r="K1446" s="63">
        <f>IF(tblMovement[[#This Row],[Source]]="","",IFERROR(INDEX(tblSources[Type],MATCH(tblMovement[[#This Row],[Source]],tblSources[Source],0)),"?"))</f>
        <v/>
      </c>
      <c r="L1446" s="63">
        <f>IF(tblMovement[[#This Row],[Destination]]="","",IFERROR(INDEX(tblDestinations[Type],MATCH(tblMovement[[#This Row],[Destination]],tblDestinations[Destination],0)),"?"))</f>
        <v/>
      </c>
      <c r="M1446" s="64">
        <f>IF(tblMovement[[#This Row],[Material]]="","",IF(LEFT(tblMovement[[#This Row],[Material]],3)="Ore",1,0))</f>
        <v/>
      </c>
      <c r="N1446" s="59">
        <f>IF(OR(tblMovement[[#This Row],[Tonnes_t]]="",tblMovement[[#This Row],[Grade_gpt]]=""),0,tblMovement[[#This Row],[Tonnes_t]]*tblMovement[[#This Row],[Grade_gpt]]/cfg_TroyOz)</f>
        <v/>
      </c>
      <c r="O1446" s="59">
        <f>IF(tblMovement[[#This Row],[Is_Ore]]=1,tblMovement[[#This Row],[Contained_oz]],0)</f>
        <v/>
      </c>
    </row>
    <row r="1447">
      <c r="A1447" s="54" t="n"/>
      <c r="B1447" s="61" t="n"/>
      <c r="C1447" s="61" t="n"/>
      <c r="D1447" s="61" t="n"/>
      <c r="E1447" s="61" t="n"/>
      <c r="F1447" s="55" t="n"/>
      <c r="G1447" s="56" t="n"/>
      <c r="H1447" s="55" t="n"/>
      <c r="I1447" s="62" t="n"/>
      <c r="J1447" s="58" t="n"/>
      <c r="K1447" s="63">
        <f>IF(tblMovement[[#This Row],[Source]]="","",IFERROR(INDEX(tblSources[Type],MATCH(tblMovement[[#This Row],[Source]],tblSources[Source],0)),"?"))</f>
        <v/>
      </c>
      <c r="L1447" s="63">
        <f>IF(tblMovement[[#This Row],[Destination]]="","",IFERROR(INDEX(tblDestinations[Type],MATCH(tblMovement[[#This Row],[Destination]],tblDestinations[Destination],0)),"?"))</f>
        <v/>
      </c>
      <c r="M1447" s="64">
        <f>IF(tblMovement[[#This Row],[Material]]="","",IF(LEFT(tblMovement[[#This Row],[Material]],3)="Ore",1,0))</f>
        <v/>
      </c>
      <c r="N1447" s="59">
        <f>IF(OR(tblMovement[[#This Row],[Tonnes_t]]="",tblMovement[[#This Row],[Grade_gpt]]=""),0,tblMovement[[#This Row],[Tonnes_t]]*tblMovement[[#This Row],[Grade_gpt]]/cfg_TroyOz)</f>
        <v/>
      </c>
      <c r="O1447" s="59">
        <f>IF(tblMovement[[#This Row],[Is_Ore]]=1,tblMovement[[#This Row],[Contained_oz]],0)</f>
        <v/>
      </c>
    </row>
    <row r="1448">
      <c r="A1448" s="54" t="n"/>
      <c r="B1448" s="61" t="n"/>
      <c r="C1448" s="61" t="n"/>
      <c r="D1448" s="61" t="n"/>
      <c r="E1448" s="61" t="n"/>
      <c r="F1448" s="55" t="n"/>
      <c r="G1448" s="56" t="n"/>
      <c r="H1448" s="55" t="n"/>
      <c r="I1448" s="62" t="n"/>
      <c r="J1448" s="58" t="n"/>
      <c r="K1448" s="63">
        <f>IF(tblMovement[[#This Row],[Source]]="","",IFERROR(INDEX(tblSources[Type],MATCH(tblMovement[[#This Row],[Source]],tblSources[Source],0)),"?"))</f>
        <v/>
      </c>
      <c r="L1448" s="63">
        <f>IF(tblMovement[[#This Row],[Destination]]="","",IFERROR(INDEX(tblDestinations[Type],MATCH(tblMovement[[#This Row],[Destination]],tblDestinations[Destination],0)),"?"))</f>
        <v/>
      </c>
      <c r="M1448" s="64">
        <f>IF(tblMovement[[#This Row],[Material]]="","",IF(LEFT(tblMovement[[#This Row],[Material]],3)="Ore",1,0))</f>
        <v/>
      </c>
      <c r="N1448" s="59">
        <f>IF(OR(tblMovement[[#This Row],[Tonnes_t]]="",tblMovement[[#This Row],[Grade_gpt]]=""),0,tblMovement[[#This Row],[Tonnes_t]]*tblMovement[[#This Row],[Grade_gpt]]/cfg_TroyOz)</f>
        <v/>
      </c>
      <c r="O1448" s="59">
        <f>IF(tblMovement[[#This Row],[Is_Ore]]=1,tblMovement[[#This Row],[Contained_oz]],0)</f>
        <v/>
      </c>
    </row>
    <row r="1449">
      <c r="A1449" s="54" t="n"/>
      <c r="B1449" s="61" t="n"/>
      <c r="C1449" s="61" t="n"/>
      <c r="D1449" s="61" t="n"/>
      <c r="E1449" s="61" t="n"/>
      <c r="F1449" s="55" t="n"/>
      <c r="G1449" s="56" t="n"/>
      <c r="H1449" s="55" t="n"/>
      <c r="I1449" s="62" t="n"/>
      <c r="J1449" s="58" t="n"/>
      <c r="K1449" s="63">
        <f>IF(tblMovement[[#This Row],[Source]]="","",IFERROR(INDEX(tblSources[Type],MATCH(tblMovement[[#This Row],[Source]],tblSources[Source],0)),"?"))</f>
        <v/>
      </c>
      <c r="L1449" s="63">
        <f>IF(tblMovement[[#This Row],[Destination]]="","",IFERROR(INDEX(tblDestinations[Type],MATCH(tblMovement[[#This Row],[Destination]],tblDestinations[Destination],0)),"?"))</f>
        <v/>
      </c>
      <c r="M1449" s="64">
        <f>IF(tblMovement[[#This Row],[Material]]="","",IF(LEFT(tblMovement[[#This Row],[Material]],3)="Ore",1,0))</f>
        <v/>
      </c>
      <c r="N1449" s="59">
        <f>IF(OR(tblMovement[[#This Row],[Tonnes_t]]="",tblMovement[[#This Row],[Grade_gpt]]=""),0,tblMovement[[#This Row],[Tonnes_t]]*tblMovement[[#This Row],[Grade_gpt]]/cfg_TroyOz)</f>
        <v/>
      </c>
      <c r="O1449" s="59">
        <f>IF(tblMovement[[#This Row],[Is_Ore]]=1,tblMovement[[#This Row],[Contained_oz]],0)</f>
        <v/>
      </c>
    </row>
    <row r="1450">
      <c r="A1450" s="54" t="n"/>
      <c r="B1450" s="61" t="n"/>
      <c r="C1450" s="61" t="n"/>
      <c r="D1450" s="61" t="n"/>
      <c r="E1450" s="61" t="n"/>
      <c r="F1450" s="55" t="n"/>
      <c r="G1450" s="56" t="n"/>
      <c r="H1450" s="55" t="n"/>
      <c r="I1450" s="62" t="n"/>
      <c r="J1450" s="58" t="n"/>
      <c r="K1450" s="63">
        <f>IF(tblMovement[[#This Row],[Source]]="","",IFERROR(INDEX(tblSources[Type],MATCH(tblMovement[[#This Row],[Source]],tblSources[Source],0)),"?"))</f>
        <v/>
      </c>
      <c r="L1450" s="63">
        <f>IF(tblMovement[[#This Row],[Destination]]="","",IFERROR(INDEX(tblDestinations[Type],MATCH(tblMovement[[#This Row],[Destination]],tblDestinations[Destination],0)),"?"))</f>
        <v/>
      </c>
      <c r="M1450" s="64">
        <f>IF(tblMovement[[#This Row],[Material]]="","",IF(LEFT(tblMovement[[#This Row],[Material]],3)="Ore",1,0))</f>
        <v/>
      </c>
      <c r="N1450" s="59">
        <f>IF(OR(tblMovement[[#This Row],[Tonnes_t]]="",tblMovement[[#This Row],[Grade_gpt]]=""),0,tblMovement[[#This Row],[Tonnes_t]]*tblMovement[[#This Row],[Grade_gpt]]/cfg_TroyOz)</f>
        <v/>
      </c>
      <c r="O1450" s="59">
        <f>IF(tblMovement[[#This Row],[Is_Ore]]=1,tblMovement[[#This Row],[Contained_oz]],0)</f>
        <v/>
      </c>
    </row>
    <row r="1451">
      <c r="A1451" s="54" t="n"/>
      <c r="B1451" s="61" t="n"/>
      <c r="C1451" s="61" t="n"/>
      <c r="D1451" s="61" t="n"/>
      <c r="E1451" s="61" t="n"/>
      <c r="F1451" s="55" t="n"/>
      <c r="G1451" s="56" t="n"/>
      <c r="H1451" s="55" t="n"/>
      <c r="I1451" s="62" t="n"/>
      <c r="J1451" s="58" t="n"/>
      <c r="K1451" s="63">
        <f>IF(tblMovement[[#This Row],[Source]]="","",IFERROR(INDEX(tblSources[Type],MATCH(tblMovement[[#This Row],[Source]],tblSources[Source],0)),"?"))</f>
        <v/>
      </c>
      <c r="L1451" s="63">
        <f>IF(tblMovement[[#This Row],[Destination]]="","",IFERROR(INDEX(tblDestinations[Type],MATCH(tblMovement[[#This Row],[Destination]],tblDestinations[Destination],0)),"?"))</f>
        <v/>
      </c>
      <c r="M1451" s="64">
        <f>IF(tblMovement[[#This Row],[Material]]="","",IF(LEFT(tblMovement[[#This Row],[Material]],3)="Ore",1,0))</f>
        <v/>
      </c>
      <c r="N1451" s="59">
        <f>IF(OR(tblMovement[[#This Row],[Tonnes_t]]="",tblMovement[[#This Row],[Grade_gpt]]=""),0,tblMovement[[#This Row],[Tonnes_t]]*tblMovement[[#This Row],[Grade_gpt]]/cfg_TroyOz)</f>
        <v/>
      </c>
      <c r="O1451" s="59">
        <f>IF(tblMovement[[#This Row],[Is_Ore]]=1,tblMovement[[#This Row],[Contained_oz]],0)</f>
        <v/>
      </c>
    </row>
    <row r="1452">
      <c r="A1452" s="54" t="n"/>
      <c r="B1452" s="61" t="n"/>
      <c r="C1452" s="61" t="n"/>
      <c r="D1452" s="61" t="n"/>
      <c r="E1452" s="61" t="n"/>
      <c r="F1452" s="55" t="n"/>
      <c r="G1452" s="56" t="n"/>
      <c r="H1452" s="55" t="n"/>
      <c r="I1452" s="62" t="n"/>
      <c r="J1452" s="58" t="n"/>
      <c r="K1452" s="63">
        <f>IF(tblMovement[[#This Row],[Source]]="","",IFERROR(INDEX(tblSources[Type],MATCH(tblMovement[[#This Row],[Source]],tblSources[Source],0)),"?"))</f>
        <v/>
      </c>
      <c r="L1452" s="63">
        <f>IF(tblMovement[[#This Row],[Destination]]="","",IFERROR(INDEX(tblDestinations[Type],MATCH(tblMovement[[#This Row],[Destination]],tblDestinations[Destination],0)),"?"))</f>
        <v/>
      </c>
      <c r="M1452" s="64">
        <f>IF(tblMovement[[#This Row],[Material]]="","",IF(LEFT(tblMovement[[#This Row],[Material]],3)="Ore",1,0))</f>
        <v/>
      </c>
      <c r="N1452" s="59">
        <f>IF(OR(tblMovement[[#This Row],[Tonnes_t]]="",tblMovement[[#This Row],[Grade_gpt]]=""),0,tblMovement[[#This Row],[Tonnes_t]]*tblMovement[[#This Row],[Grade_gpt]]/cfg_TroyOz)</f>
        <v/>
      </c>
      <c r="O1452" s="59">
        <f>IF(tblMovement[[#This Row],[Is_Ore]]=1,tblMovement[[#This Row],[Contained_oz]],0)</f>
        <v/>
      </c>
    </row>
    <row r="1453">
      <c r="A1453" s="54" t="n"/>
      <c r="B1453" s="61" t="n"/>
      <c r="C1453" s="61" t="n"/>
      <c r="D1453" s="61" t="n"/>
      <c r="E1453" s="61" t="n"/>
      <c r="F1453" s="55" t="n"/>
      <c r="G1453" s="56" t="n"/>
      <c r="H1453" s="55" t="n"/>
      <c r="I1453" s="62" t="n"/>
      <c r="J1453" s="58" t="n"/>
      <c r="K1453" s="63">
        <f>IF(tblMovement[[#This Row],[Source]]="","",IFERROR(INDEX(tblSources[Type],MATCH(tblMovement[[#This Row],[Source]],tblSources[Source],0)),"?"))</f>
        <v/>
      </c>
      <c r="L1453" s="63">
        <f>IF(tblMovement[[#This Row],[Destination]]="","",IFERROR(INDEX(tblDestinations[Type],MATCH(tblMovement[[#This Row],[Destination]],tblDestinations[Destination],0)),"?"))</f>
        <v/>
      </c>
      <c r="M1453" s="64">
        <f>IF(tblMovement[[#This Row],[Material]]="","",IF(LEFT(tblMovement[[#This Row],[Material]],3)="Ore",1,0))</f>
        <v/>
      </c>
      <c r="N1453" s="59">
        <f>IF(OR(tblMovement[[#This Row],[Tonnes_t]]="",tblMovement[[#This Row],[Grade_gpt]]=""),0,tblMovement[[#This Row],[Tonnes_t]]*tblMovement[[#This Row],[Grade_gpt]]/cfg_TroyOz)</f>
        <v/>
      </c>
      <c r="O1453" s="59">
        <f>IF(tblMovement[[#This Row],[Is_Ore]]=1,tblMovement[[#This Row],[Contained_oz]],0)</f>
        <v/>
      </c>
    </row>
    <row r="1454">
      <c r="A1454" s="54" t="n"/>
      <c r="B1454" s="61" t="n"/>
      <c r="C1454" s="61" t="n"/>
      <c r="D1454" s="61" t="n"/>
      <c r="E1454" s="61" t="n"/>
      <c r="F1454" s="55" t="n"/>
      <c r="G1454" s="56" t="n"/>
      <c r="H1454" s="55" t="n"/>
      <c r="I1454" s="62" t="n"/>
      <c r="J1454" s="58" t="n"/>
      <c r="K1454" s="63">
        <f>IF(tblMovement[[#This Row],[Source]]="","",IFERROR(INDEX(tblSources[Type],MATCH(tblMovement[[#This Row],[Source]],tblSources[Source],0)),"?"))</f>
        <v/>
      </c>
      <c r="L1454" s="63">
        <f>IF(tblMovement[[#This Row],[Destination]]="","",IFERROR(INDEX(tblDestinations[Type],MATCH(tblMovement[[#This Row],[Destination]],tblDestinations[Destination],0)),"?"))</f>
        <v/>
      </c>
      <c r="M1454" s="64">
        <f>IF(tblMovement[[#This Row],[Material]]="","",IF(LEFT(tblMovement[[#This Row],[Material]],3)="Ore",1,0))</f>
        <v/>
      </c>
      <c r="N1454" s="59">
        <f>IF(OR(tblMovement[[#This Row],[Tonnes_t]]="",tblMovement[[#This Row],[Grade_gpt]]=""),0,tblMovement[[#This Row],[Tonnes_t]]*tblMovement[[#This Row],[Grade_gpt]]/cfg_TroyOz)</f>
        <v/>
      </c>
      <c r="O1454" s="59">
        <f>IF(tblMovement[[#This Row],[Is_Ore]]=1,tblMovement[[#This Row],[Contained_oz]],0)</f>
        <v/>
      </c>
    </row>
    <row r="1455">
      <c r="A1455" s="54" t="n"/>
      <c r="B1455" s="61" t="n"/>
      <c r="C1455" s="61" t="n"/>
      <c r="D1455" s="61" t="n"/>
      <c r="E1455" s="61" t="n"/>
      <c r="F1455" s="55" t="n"/>
      <c r="G1455" s="56" t="n"/>
      <c r="H1455" s="55" t="n"/>
      <c r="I1455" s="62" t="n"/>
      <c r="J1455" s="58" t="n"/>
      <c r="K1455" s="63">
        <f>IF(tblMovement[[#This Row],[Source]]="","",IFERROR(INDEX(tblSources[Type],MATCH(tblMovement[[#This Row],[Source]],tblSources[Source],0)),"?"))</f>
        <v/>
      </c>
      <c r="L1455" s="63">
        <f>IF(tblMovement[[#This Row],[Destination]]="","",IFERROR(INDEX(tblDestinations[Type],MATCH(tblMovement[[#This Row],[Destination]],tblDestinations[Destination],0)),"?"))</f>
        <v/>
      </c>
      <c r="M1455" s="64">
        <f>IF(tblMovement[[#This Row],[Material]]="","",IF(LEFT(tblMovement[[#This Row],[Material]],3)="Ore",1,0))</f>
        <v/>
      </c>
      <c r="N1455" s="59">
        <f>IF(OR(tblMovement[[#This Row],[Tonnes_t]]="",tblMovement[[#This Row],[Grade_gpt]]=""),0,tblMovement[[#This Row],[Tonnes_t]]*tblMovement[[#This Row],[Grade_gpt]]/cfg_TroyOz)</f>
        <v/>
      </c>
      <c r="O1455" s="59">
        <f>IF(tblMovement[[#This Row],[Is_Ore]]=1,tblMovement[[#This Row],[Contained_oz]],0)</f>
        <v/>
      </c>
    </row>
    <row r="1456">
      <c r="A1456" s="54" t="n"/>
      <c r="B1456" s="61" t="n"/>
      <c r="C1456" s="61" t="n"/>
      <c r="D1456" s="61" t="n"/>
      <c r="E1456" s="61" t="n"/>
      <c r="F1456" s="55" t="n"/>
      <c r="G1456" s="56" t="n"/>
      <c r="H1456" s="55" t="n"/>
      <c r="I1456" s="62" t="n"/>
      <c r="J1456" s="58" t="n"/>
      <c r="K1456" s="63">
        <f>IF(tblMovement[[#This Row],[Source]]="","",IFERROR(INDEX(tblSources[Type],MATCH(tblMovement[[#This Row],[Source]],tblSources[Source],0)),"?"))</f>
        <v/>
      </c>
      <c r="L1456" s="63">
        <f>IF(tblMovement[[#This Row],[Destination]]="","",IFERROR(INDEX(tblDestinations[Type],MATCH(tblMovement[[#This Row],[Destination]],tblDestinations[Destination],0)),"?"))</f>
        <v/>
      </c>
      <c r="M1456" s="64">
        <f>IF(tblMovement[[#This Row],[Material]]="","",IF(LEFT(tblMovement[[#This Row],[Material]],3)="Ore",1,0))</f>
        <v/>
      </c>
      <c r="N1456" s="59">
        <f>IF(OR(tblMovement[[#This Row],[Tonnes_t]]="",tblMovement[[#This Row],[Grade_gpt]]=""),0,tblMovement[[#This Row],[Tonnes_t]]*tblMovement[[#This Row],[Grade_gpt]]/cfg_TroyOz)</f>
        <v/>
      </c>
      <c r="O1456" s="59">
        <f>IF(tblMovement[[#This Row],[Is_Ore]]=1,tblMovement[[#This Row],[Contained_oz]],0)</f>
        <v/>
      </c>
    </row>
    <row r="1457">
      <c r="A1457" s="54" t="n"/>
      <c r="B1457" s="61" t="n"/>
      <c r="C1457" s="61" t="n"/>
      <c r="D1457" s="61" t="n"/>
      <c r="E1457" s="61" t="n"/>
      <c r="F1457" s="55" t="n"/>
      <c r="G1457" s="56" t="n"/>
      <c r="H1457" s="55" t="n"/>
      <c r="I1457" s="62" t="n"/>
      <c r="J1457" s="58" t="n"/>
      <c r="K1457" s="63">
        <f>IF(tblMovement[[#This Row],[Source]]="","",IFERROR(INDEX(tblSources[Type],MATCH(tblMovement[[#This Row],[Source]],tblSources[Source],0)),"?"))</f>
        <v/>
      </c>
      <c r="L1457" s="63">
        <f>IF(tblMovement[[#This Row],[Destination]]="","",IFERROR(INDEX(tblDestinations[Type],MATCH(tblMovement[[#This Row],[Destination]],tblDestinations[Destination],0)),"?"))</f>
        <v/>
      </c>
      <c r="M1457" s="64">
        <f>IF(tblMovement[[#This Row],[Material]]="","",IF(LEFT(tblMovement[[#This Row],[Material]],3)="Ore",1,0))</f>
        <v/>
      </c>
      <c r="N1457" s="59">
        <f>IF(OR(tblMovement[[#This Row],[Tonnes_t]]="",tblMovement[[#This Row],[Grade_gpt]]=""),0,tblMovement[[#This Row],[Tonnes_t]]*tblMovement[[#This Row],[Grade_gpt]]/cfg_TroyOz)</f>
        <v/>
      </c>
      <c r="O1457" s="59">
        <f>IF(tblMovement[[#This Row],[Is_Ore]]=1,tblMovement[[#This Row],[Contained_oz]],0)</f>
        <v/>
      </c>
    </row>
    <row r="1458">
      <c r="A1458" s="54" t="n"/>
      <c r="B1458" s="61" t="n"/>
      <c r="C1458" s="61" t="n"/>
      <c r="D1458" s="61" t="n"/>
      <c r="E1458" s="61" t="n"/>
      <c r="F1458" s="55" t="n"/>
      <c r="G1458" s="56" t="n"/>
      <c r="H1458" s="55" t="n"/>
      <c r="I1458" s="62" t="n"/>
      <c r="J1458" s="58" t="n"/>
      <c r="K1458" s="63">
        <f>IF(tblMovement[[#This Row],[Source]]="","",IFERROR(INDEX(tblSources[Type],MATCH(tblMovement[[#This Row],[Source]],tblSources[Source],0)),"?"))</f>
        <v/>
      </c>
      <c r="L1458" s="63">
        <f>IF(tblMovement[[#This Row],[Destination]]="","",IFERROR(INDEX(tblDestinations[Type],MATCH(tblMovement[[#This Row],[Destination]],tblDestinations[Destination],0)),"?"))</f>
        <v/>
      </c>
      <c r="M1458" s="64">
        <f>IF(tblMovement[[#This Row],[Material]]="","",IF(LEFT(tblMovement[[#This Row],[Material]],3)="Ore",1,0))</f>
        <v/>
      </c>
      <c r="N1458" s="59">
        <f>IF(OR(tblMovement[[#This Row],[Tonnes_t]]="",tblMovement[[#This Row],[Grade_gpt]]=""),0,tblMovement[[#This Row],[Tonnes_t]]*tblMovement[[#This Row],[Grade_gpt]]/cfg_TroyOz)</f>
        <v/>
      </c>
      <c r="O1458" s="59">
        <f>IF(tblMovement[[#This Row],[Is_Ore]]=1,tblMovement[[#This Row],[Contained_oz]],0)</f>
        <v/>
      </c>
    </row>
    <row r="1459">
      <c r="A1459" s="54" t="n"/>
      <c r="B1459" s="61" t="n"/>
      <c r="C1459" s="61" t="n"/>
      <c r="D1459" s="61" t="n"/>
      <c r="E1459" s="61" t="n"/>
      <c r="F1459" s="55" t="n"/>
      <c r="G1459" s="56" t="n"/>
      <c r="H1459" s="55" t="n"/>
      <c r="I1459" s="62" t="n"/>
      <c r="J1459" s="58" t="n"/>
      <c r="K1459" s="63">
        <f>IF(tblMovement[[#This Row],[Source]]="","",IFERROR(INDEX(tblSources[Type],MATCH(tblMovement[[#This Row],[Source]],tblSources[Source],0)),"?"))</f>
        <v/>
      </c>
      <c r="L1459" s="63">
        <f>IF(tblMovement[[#This Row],[Destination]]="","",IFERROR(INDEX(tblDestinations[Type],MATCH(tblMovement[[#This Row],[Destination]],tblDestinations[Destination],0)),"?"))</f>
        <v/>
      </c>
      <c r="M1459" s="64">
        <f>IF(tblMovement[[#This Row],[Material]]="","",IF(LEFT(tblMovement[[#This Row],[Material]],3)="Ore",1,0))</f>
        <v/>
      </c>
      <c r="N1459" s="59">
        <f>IF(OR(tblMovement[[#This Row],[Tonnes_t]]="",tblMovement[[#This Row],[Grade_gpt]]=""),0,tblMovement[[#This Row],[Tonnes_t]]*tblMovement[[#This Row],[Grade_gpt]]/cfg_TroyOz)</f>
        <v/>
      </c>
      <c r="O1459" s="59">
        <f>IF(tblMovement[[#This Row],[Is_Ore]]=1,tblMovement[[#This Row],[Contained_oz]],0)</f>
        <v/>
      </c>
    </row>
    <row r="1460">
      <c r="A1460" s="54" t="n"/>
      <c r="B1460" s="61" t="n"/>
      <c r="C1460" s="61" t="n"/>
      <c r="D1460" s="61" t="n"/>
      <c r="E1460" s="61" t="n"/>
      <c r="F1460" s="55" t="n"/>
      <c r="G1460" s="56" t="n"/>
      <c r="H1460" s="55" t="n"/>
      <c r="I1460" s="62" t="n"/>
      <c r="J1460" s="58" t="n"/>
      <c r="K1460" s="63">
        <f>IF(tblMovement[[#This Row],[Source]]="","",IFERROR(INDEX(tblSources[Type],MATCH(tblMovement[[#This Row],[Source]],tblSources[Source],0)),"?"))</f>
        <v/>
      </c>
      <c r="L1460" s="63">
        <f>IF(tblMovement[[#This Row],[Destination]]="","",IFERROR(INDEX(tblDestinations[Type],MATCH(tblMovement[[#This Row],[Destination]],tblDestinations[Destination],0)),"?"))</f>
        <v/>
      </c>
      <c r="M1460" s="64">
        <f>IF(tblMovement[[#This Row],[Material]]="","",IF(LEFT(tblMovement[[#This Row],[Material]],3)="Ore",1,0))</f>
        <v/>
      </c>
      <c r="N1460" s="59">
        <f>IF(OR(tblMovement[[#This Row],[Tonnes_t]]="",tblMovement[[#This Row],[Grade_gpt]]=""),0,tblMovement[[#This Row],[Tonnes_t]]*tblMovement[[#This Row],[Grade_gpt]]/cfg_TroyOz)</f>
        <v/>
      </c>
      <c r="O1460" s="59">
        <f>IF(tblMovement[[#This Row],[Is_Ore]]=1,tblMovement[[#This Row],[Contained_oz]],0)</f>
        <v/>
      </c>
    </row>
    <row r="1461">
      <c r="A1461" s="54" t="n"/>
      <c r="B1461" s="61" t="n"/>
      <c r="C1461" s="61" t="n"/>
      <c r="D1461" s="61" t="n"/>
      <c r="E1461" s="61" t="n"/>
      <c r="F1461" s="55" t="n"/>
      <c r="G1461" s="56" t="n"/>
      <c r="H1461" s="55" t="n"/>
      <c r="I1461" s="62" t="n"/>
      <c r="J1461" s="58" t="n"/>
      <c r="K1461" s="63">
        <f>IF(tblMovement[[#This Row],[Source]]="","",IFERROR(INDEX(tblSources[Type],MATCH(tblMovement[[#This Row],[Source]],tblSources[Source],0)),"?"))</f>
        <v/>
      </c>
      <c r="L1461" s="63">
        <f>IF(tblMovement[[#This Row],[Destination]]="","",IFERROR(INDEX(tblDestinations[Type],MATCH(tblMovement[[#This Row],[Destination]],tblDestinations[Destination],0)),"?"))</f>
        <v/>
      </c>
      <c r="M1461" s="64">
        <f>IF(tblMovement[[#This Row],[Material]]="","",IF(LEFT(tblMovement[[#This Row],[Material]],3)="Ore",1,0))</f>
        <v/>
      </c>
      <c r="N1461" s="59">
        <f>IF(OR(tblMovement[[#This Row],[Tonnes_t]]="",tblMovement[[#This Row],[Grade_gpt]]=""),0,tblMovement[[#This Row],[Tonnes_t]]*tblMovement[[#This Row],[Grade_gpt]]/cfg_TroyOz)</f>
        <v/>
      </c>
      <c r="O1461" s="59">
        <f>IF(tblMovement[[#This Row],[Is_Ore]]=1,tblMovement[[#This Row],[Contained_oz]],0)</f>
        <v/>
      </c>
    </row>
    <row r="1462">
      <c r="A1462" s="54" t="n"/>
      <c r="B1462" s="61" t="n"/>
      <c r="C1462" s="61" t="n"/>
      <c r="D1462" s="61" t="n"/>
      <c r="E1462" s="61" t="n"/>
      <c r="F1462" s="55" t="n"/>
      <c r="G1462" s="56" t="n"/>
      <c r="H1462" s="55" t="n"/>
      <c r="I1462" s="62" t="n"/>
      <c r="J1462" s="58" t="n"/>
      <c r="K1462" s="63">
        <f>IF(tblMovement[[#This Row],[Source]]="","",IFERROR(INDEX(tblSources[Type],MATCH(tblMovement[[#This Row],[Source]],tblSources[Source],0)),"?"))</f>
        <v/>
      </c>
      <c r="L1462" s="63">
        <f>IF(tblMovement[[#This Row],[Destination]]="","",IFERROR(INDEX(tblDestinations[Type],MATCH(tblMovement[[#This Row],[Destination]],tblDestinations[Destination],0)),"?"))</f>
        <v/>
      </c>
      <c r="M1462" s="64">
        <f>IF(tblMovement[[#This Row],[Material]]="","",IF(LEFT(tblMovement[[#This Row],[Material]],3)="Ore",1,0))</f>
        <v/>
      </c>
      <c r="N1462" s="59">
        <f>IF(OR(tblMovement[[#This Row],[Tonnes_t]]="",tblMovement[[#This Row],[Grade_gpt]]=""),0,tblMovement[[#This Row],[Tonnes_t]]*tblMovement[[#This Row],[Grade_gpt]]/cfg_TroyOz)</f>
        <v/>
      </c>
      <c r="O1462" s="59">
        <f>IF(tblMovement[[#This Row],[Is_Ore]]=1,tblMovement[[#This Row],[Contained_oz]],0)</f>
        <v/>
      </c>
    </row>
    <row r="1463">
      <c r="A1463" s="54" t="n"/>
      <c r="B1463" s="61" t="n"/>
      <c r="C1463" s="61" t="n"/>
      <c r="D1463" s="61" t="n"/>
      <c r="E1463" s="61" t="n"/>
      <c r="F1463" s="55" t="n"/>
      <c r="G1463" s="56" t="n"/>
      <c r="H1463" s="55" t="n"/>
      <c r="I1463" s="62" t="n"/>
      <c r="J1463" s="58" t="n"/>
      <c r="K1463" s="63">
        <f>IF(tblMovement[[#This Row],[Source]]="","",IFERROR(INDEX(tblSources[Type],MATCH(tblMovement[[#This Row],[Source]],tblSources[Source],0)),"?"))</f>
        <v/>
      </c>
      <c r="L1463" s="63">
        <f>IF(tblMovement[[#This Row],[Destination]]="","",IFERROR(INDEX(tblDestinations[Type],MATCH(tblMovement[[#This Row],[Destination]],tblDestinations[Destination],0)),"?"))</f>
        <v/>
      </c>
      <c r="M1463" s="64">
        <f>IF(tblMovement[[#This Row],[Material]]="","",IF(LEFT(tblMovement[[#This Row],[Material]],3)="Ore",1,0))</f>
        <v/>
      </c>
      <c r="N1463" s="59">
        <f>IF(OR(tblMovement[[#This Row],[Tonnes_t]]="",tblMovement[[#This Row],[Grade_gpt]]=""),0,tblMovement[[#This Row],[Tonnes_t]]*tblMovement[[#This Row],[Grade_gpt]]/cfg_TroyOz)</f>
        <v/>
      </c>
      <c r="O1463" s="59">
        <f>IF(tblMovement[[#This Row],[Is_Ore]]=1,tblMovement[[#This Row],[Contained_oz]],0)</f>
        <v/>
      </c>
    </row>
    <row r="1464">
      <c r="A1464" s="54" t="n"/>
      <c r="B1464" s="61" t="n"/>
      <c r="C1464" s="61" t="n"/>
      <c r="D1464" s="61" t="n"/>
      <c r="E1464" s="61" t="n"/>
      <c r="F1464" s="55" t="n"/>
      <c r="G1464" s="56" t="n"/>
      <c r="H1464" s="55" t="n"/>
      <c r="I1464" s="62" t="n"/>
      <c r="J1464" s="58" t="n"/>
      <c r="K1464" s="63">
        <f>IF(tblMovement[[#This Row],[Source]]="","",IFERROR(INDEX(tblSources[Type],MATCH(tblMovement[[#This Row],[Source]],tblSources[Source],0)),"?"))</f>
        <v/>
      </c>
      <c r="L1464" s="63">
        <f>IF(tblMovement[[#This Row],[Destination]]="","",IFERROR(INDEX(tblDestinations[Type],MATCH(tblMovement[[#This Row],[Destination]],tblDestinations[Destination],0)),"?"))</f>
        <v/>
      </c>
      <c r="M1464" s="64">
        <f>IF(tblMovement[[#This Row],[Material]]="","",IF(LEFT(tblMovement[[#This Row],[Material]],3)="Ore",1,0))</f>
        <v/>
      </c>
      <c r="N1464" s="59">
        <f>IF(OR(tblMovement[[#This Row],[Tonnes_t]]="",tblMovement[[#This Row],[Grade_gpt]]=""),0,tblMovement[[#This Row],[Tonnes_t]]*tblMovement[[#This Row],[Grade_gpt]]/cfg_TroyOz)</f>
        <v/>
      </c>
      <c r="O1464" s="59">
        <f>IF(tblMovement[[#This Row],[Is_Ore]]=1,tblMovement[[#This Row],[Contained_oz]],0)</f>
        <v/>
      </c>
    </row>
    <row r="1465">
      <c r="A1465" s="54" t="n"/>
      <c r="B1465" s="61" t="n"/>
      <c r="C1465" s="61" t="n"/>
      <c r="D1465" s="61" t="n"/>
      <c r="E1465" s="61" t="n"/>
      <c r="F1465" s="55" t="n"/>
      <c r="G1465" s="56" t="n"/>
      <c r="H1465" s="55" t="n"/>
      <c r="I1465" s="62" t="n"/>
      <c r="J1465" s="58" t="n"/>
      <c r="K1465" s="63">
        <f>IF(tblMovement[[#This Row],[Source]]="","",IFERROR(INDEX(tblSources[Type],MATCH(tblMovement[[#This Row],[Source]],tblSources[Source],0)),"?"))</f>
        <v/>
      </c>
      <c r="L1465" s="63">
        <f>IF(tblMovement[[#This Row],[Destination]]="","",IFERROR(INDEX(tblDestinations[Type],MATCH(tblMovement[[#This Row],[Destination]],tblDestinations[Destination],0)),"?"))</f>
        <v/>
      </c>
      <c r="M1465" s="64">
        <f>IF(tblMovement[[#This Row],[Material]]="","",IF(LEFT(tblMovement[[#This Row],[Material]],3)="Ore",1,0))</f>
        <v/>
      </c>
      <c r="N1465" s="59">
        <f>IF(OR(tblMovement[[#This Row],[Tonnes_t]]="",tblMovement[[#This Row],[Grade_gpt]]=""),0,tblMovement[[#This Row],[Tonnes_t]]*tblMovement[[#This Row],[Grade_gpt]]/cfg_TroyOz)</f>
        <v/>
      </c>
      <c r="O1465" s="59">
        <f>IF(tblMovement[[#This Row],[Is_Ore]]=1,tblMovement[[#This Row],[Contained_oz]],0)</f>
        <v/>
      </c>
    </row>
    <row r="1466">
      <c r="A1466" s="54" t="n"/>
      <c r="B1466" s="61" t="n"/>
      <c r="C1466" s="61" t="n"/>
      <c r="D1466" s="61" t="n"/>
      <c r="E1466" s="61" t="n"/>
      <c r="F1466" s="55" t="n"/>
      <c r="G1466" s="56" t="n"/>
      <c r="H1466" s="55" t="n"/>
      <c r="I1466" s="62" t="n"/>
      <c r="J1466" s="58" t="n"/>
      <c r="K1466" s="63">
        <f>IF(tblMovement[[#This Row],[Source]]="","",IFERROR(INDEX(tblSources[Type],MATCH(tblMovement[[#This Row],[Source]],tblSources[Source],0)),"?"))</f>
        <v/>
      </c>
      <c r="L1466" s="63">
        <f>IF(tblMovement[[#This Row],[Destination]]="","",IFERROR(INDEX(tblDestinations[Type],MATCH(tblMovement[[#This Row],[Destination]],tblDestinations[Destination],0)),"?"))</f>
        <v/>
      </c>
      <c r="M1466" s="64">
        <f>IF(tblMovement[[#This Row],[Material]]="","",IF(LEFT(tblMovement[[#This Row],[Material]],3)="Ore",1,0))</f>
        <v/>
      </c>
      <c r="N1466" s="59">
        <f>IF(OR(tblMovement[[#This Row],[Tonnes_t]]="",tblMovement[[#This Row],[Grade_gpt]]=""),0,tblMovement[[#This Row],[Tonnes_t]]*tblMovement[[#This Row],[Grade_gpt]]/cfg_TroyOz)</f>
        <v/>
      </c>
      <c r="O1466" s="59">
        <f>IF(tblMovement[[#This Row],[Is_Ore]]=1,tblMovement[[#This Row],[Contained_oz]],0)</f>
        <v/>
      </c>
    </row>
    <row r="1467">
      <c r="A1467" s="54" t="n"/>
      <c r="B1467" s="61" t="n"/>
      <c r="C1467" s="61" t="n"/>
      <c r="D1467" s="61" t="n"/>
      <c r="E1467" s="61" t="n"/>
      <c r="F1467" s="55" t="n"/>
      <c r="G1467" s="56" t="n"/>
      <c r="H1467" s="55" t="n"/>
      <c r="I1467" s="62" t="n"/>
      <c r="J1467" s="58" t="n"/>
      <c r="K1467" s="63">
        <f>IF(tblMovement[[#This Row],[Source]]="","",IFERROR(INDEX(tblSources[Type],MATCH(tblMovement[[#This Row],[Source]],tblSources[Source],0)),"?"))</f>
        <v/>
      </c>
      <c r="L1467" s="63">
        <f>IF(tblMovement[[#This Row],[Destination]]="","",IFERROR(INDEX(tblDestinations[Type],MATCH(tblMovement[[#This Row],[Destination]],tblDestinations[Destination],0)),"?"))</f>
        <v/>
      </c>
      <c r="M1467" s="64">
        <f>IF(tblMovement[[#This Row],[Material]]="","",IF(LEFT(tblMovement[[#This Row],[Material]],3)="Ore",1,0))</f>
        <v/>
      </c>
      <c r="N1467" s="59">
        <f>IF(OR(tblMovement[[#This Row],[Tonnes_t]]="",tblMovement[[#This Row],[Grade_gpt]]=""),0,tblMovement[[#This Row],[Tonnes_t]]*tblMovement[[#This Row],[Grade_gpt]]/cfg_TroyOz)</f>
        <v/>
      </c>
      <c r="O1467" s="59">
        <f>IF(tblMovement[[#This Row],[Is_Ore]]=1,tblMovement[[#This Row],[Contained_oz]],0)</f>
        <v/>
      </c>
    </row>
    <row r="1468">
      <c r="A1468" s="54" t="n"/>
      <c r="B1468" s="61" t="n"/>
      <c r="C1468" s="61" t="n"/>
      <c r="D1468" s="61" t="n"/>
      <c r="E1468" s="61" t="n"/>
      <c r="F1468" s="55" t="n"/>
      <c r="G1468" s="56" t="n"/>
      <c r="H1468" s="55" t="n"/>
      <c r="I1468" s="62" t="n"/>
      <c r="J1468" s="58" t="n"/>
      <c r="K1468" s="63">
        <f>IF(tblMovement[[#This Row],[Source]]="","",IFERROR(INDEX(tblSources[Type],MATCH(tblMovement[[#This Row],[Source]],tblSources[Source],0)),"?"))</f>
        <v/>
      </c>
      <c r="L1468" s="63">
        <f>IF(tblMovement[[#This Row],[Destination]]="","",IFERROR(INDEX(tblDestinations[Type],MATCH(tblMovement[[#This Row],[Destination]],tblDestinations[Destination],0)),"?"))</f>
        <v/>
      </c>
      <c r="M1468" s="64">
        <f>IF(tblMovement[[#This Row],[Material]]="","",IF(LEFT(tblMovement[[#This Row],[Material]],3)="Ore",1,0))</f>
        <v/>
      </c>
      <c r="N1468" s="59">
        <f>IF(OR(tblMovement[[#This Row],[Tonnes_t]]="",tblMovement[[#This Row],[Grade_gpt]]=""),0,tblMovement[[#This Row],[Tonnes_t]]*tblMovement[[#This Row],[Grade_gpt]]/cfg_TroyOz)</f>
        <v/>
      </c>
      <c r="O1468" s="59">
        <f>IF(tblMovement[[#This Row],[Is_Ore]]=1,tblMovement[[#This Row],[Contained_oz]],0)</f>
        <v/>
      </c>
    </row>
    <row r="1469">
      <c r="A1469" s="54" t="n"/>
      <c r="B1469" s="61" t="n"/>
      <c r="C1469" s="61" t="n"/>
      <c r="D1469" s="61" t="n"/>
      <c r="E1469" s="61" t="n"/>
      <c r="F1469" s="55" t="n"/>
      <c r="G1469" s="56" t="n"/>
      <c r="H1469" s="55" t="n"/>
      <c r="I1469" s="62" t="n"/>
      <c r="J1469" s="58" t="n"/>
      <c r="K1469" s="63">
        <f>IF(tblMovement[[#This Row],[Source]]="","",IFERROR(INDEX(tblSources[Type],MATCH(tblMovement[[#This Row],[Source]],tblSources[Source],0)),"?"))</f>
        <v/>
      </c>
      <c r="L1469" s="63">
        <f>IF(tblMovement[[#This Row],[Destination]]="","",IFERROR(INDEX(tblDestinations[Type],MATCH(tblMovement[[#This Row],[Destination]],tblDestinations[Destination],0)),"?"))</f>
        <v/>
      </c>
      <c r="M1469" s="64">
        <f>IF(tblMovement[[#This Row],[Material]]="","",IF(LEFT(tblMovement[[#This Row],[Material]],3)="Ore",1,0))</f>
        <v/>
      </c>
      <c r="N1469" s="59">
        <f>IF(OR(tblMovement[[#This Row],[Tonnes_t]]="",tblMovement[[#This Row],[Grade_gpt]]=""),0,tblMovement[[#This Row],[Tonnes_t]]*tblMovement[[#This Row],[Grade_gpt]]/cfg_TroyOz)</f>
        <v/>
      </c>
      <c r="O1469" s="59">
        <f>IF(tblMovement[[#This Row],[Is_Ore]]=1,tblMovement[[#This Row],[Contained_oz]],0)</f>
        <v/>
      </c>
    </row>
    <row r="1470">
      <c r="A1470" s="54" t="n"/>
      <c r="B1470" s="61" t="n"/>
      <c r="C1470" s="61" t="n"/>
      <c r="D1470" s="61" t="n"/>
      <c r="E1470" s="61" t="n"/>
      <c r="F1470" s="55" t="n"/>
      <c r="G1470" s="56" t="n"/>
      <c r="H1470" s="55" t="n"/>
      <c r="I1470" s="62" t="n"/>
      <c r="J1470" s="58" t="n"/>
      <c r="K1470" s="63">
        <f>IF(tblMovement[[#This Row],[Source]]="","",IFERROR(INDEX(tblSources[Type],MATCH(tblMovement[[#This Row],[Source]],tblSources[Source],0)),"?"))</f>
        <v/>
      </c>
      <c r="L1470" s="63">
        <f>IF(tblMovement[[#This Row],[Destination]]="","",IFERROR(INDEX(tblDestinations[Type],MATCH(tblMovement[[#This Row],[Destination]],tblDestinations[Destination],0)),"?"))</f>
        <v/>
      </c>
      <c r="M1470" s="64">
        <f>IF(tblMovement[[#This Row],[Material]]="","",IF(LEFT(tblMovement[[#This Row],[Material]],3)="Ore",1,0))</f>
        <v/>
      </c>
      <c r="N1470" s="59">
        <f>IF(OR(tblMovement[[#This Row],[Tonnes_t]]="",tblMovement[[#This Row],[Grade_gpt]]=""),0,tblMovement[[#This Row],[Tonnes_t]]*tblMovement[[#This Row],[Grade_gpt]]/cfg_TroyOz)</f>
        <v/>
      </c>
      <c r="O1470" s="59">
        <f>IF(tblMovement[[#This Row],[Is_Ore]]=1,tblMovement[[#This Row],[Contained_oz]],0)</f>
        <v/>
      </c>
    </row>
    <row r="1471">
      <c r="A1471" s="54" t="n"/>
      <c r="B1471" s="61" t="n"/>
      <c r="C1471" s="61" t="n"/>
      <c r="D1471" s="61" t="n"/>
      <c r="E1471" s="61" t="n"/>
      <c r="F1471" s="55" t="n"/>
      <c r="G1471" s="56" t="n"/>
      <c r="H1471" s="55" t="n"/>
      <c r="I1471" s="62" t="n"/>
      <c r="J1471" s="58" t="n"/>
      <c r="K1471" s="63">
        <f>IF(tblMovement[[#This Row],[Source]]="","",IFERROR(INDEX(tblSources[Type],MATCH(tblMovement[[#This Row],[Source]],tblSources[Source],0)),"?"))</f>
        <v/>
      </c>
      <c r="L1471" s="63">
        <f>IF(tblMovement[[#This Row],[Destination]]="","",IFERROR(INDEX(tblDestinations[Type],MATCH(tblMovement[[#This Row],[Destination]],tblDestinations[Destination],0)),"?"))</f>
        <v/>
      </c>
      <c r="M1471" s="64">
        <f>IF(tblMovement[[#This Row],[Material]]="","",IF(LEFT(tblMovement[[#This Row],[Material]],3)="Ore",1,0))</f>
        <v/>
      </c>
      <c r="N1471" s="59">
        <f>IF(OR(tblMovement[[#This Row],[Tonnes_t]]="",tblMovement[[#This Row],[Grade_gpt]]=""),0,tblMovement[[#This Row],[Tonnes_t]]*tblMovement[[#This Row],[Grade_gpt]]/cfg_TroyOz)</f>
        <v/>
      </c>
      <c r="O1471" s="59">
        <f>IF(tblMovement[[#This Row],[Is_Ore]]=1,tblMovement[[#This Row],[Contained_oz]],0)</f>
        <v/>
      </c>
    </row>
    <row r="1472">
      <c r="A1472" s="54" t="n"/>
      <c r="B1472" s="61" t="n"/>
      <c r="C1472" s="61" t="n"/>
      <c r="D1472" s="61" t="n"/>
      <c r="E1472" s="61" t="n"/>
      <c r="F1472" s="55" t="n"/>
      <c r="G1472" s="56" t="n"/>
      <c r="H1472" s="55" t="n"/>
      <c r="I1472" s="62" t="n"/>
      <c r="J1472" s="58" t="n"/>
      <c r="K1472" s="63">
        <f>IF(tblMovement[[#This Row],[Source]]="","",IFERROR(INDEX(tblSources[Type],MATCH(tblMovement[[#This Row],[Source]],tblSources[Source],0)),"?"))</f>
        <v/>
      </c>
      <c r="L1472" s="63">
        <f>IF(tblMovement[[#This Row],[Destination]]="","",IFERROR(INDEX(tblDestinations[Type],MATCH(tblMovement[[#This Row],[Destination]],tblDestinations[Destination],0)),"?"))</f>
        <v/>
      </c>
      <c r="M1472" s="64">
        <f>IF(tblMovement[[#This Row],[Material]]="","",IF(LEFT(tblMovement[[#This Row],[Material]],3)="Ore",1,0))</f>
        <v/>
      </c>
      <c r="N1472" s="59">
        <f>IF(OR(tblMovement[[#This Row],[Tonnes_t]]="",tblMovement[[#This Row],[Grade_gpt]]=""),0,tblMovement[[#This Row],[Tonnes_t]]*tblMovement[[#This Row],[Grade_gpt]]/cfg_TroyOz)</f>
        <v/>
      </c>
      <c r="O1472" s="59">
        <f>IF(tblMovement[[#This Row],[Is_Ore]]=1,tblMovement[[#This Row],[Contained_oz]],0)</f>
        <v/>
      </c>
    </row>
    <row r="1473">
      <c r="A1473" s="54" t="n"/>
      <c r="B1473" s="61" t="n"/>
      <c r="C1473" s="61" t="n"/>
      <c r="D1473" s="61" t="n"/>
      <c r="E1473" s="61" t="n"/>
      <c r="F1473" s="55" t="n"/>
      <c r="G1473" s="56" t="n"/>
      <c r="H1473" s="55" t="n"/>
      <c r="I1473" s="62" t="n"/>
      <c r="J1473" s="58" t="n"/>
      <c r="K1473" s="63">
        <f>IF(tblMovement[[#This Row],[Source]]="","",IFERROR(INDEX(tblSources[Type],MATCH(tblMovement[[#This Row],[Source]],tblSources[Source],0)),"?"))</f>
        <v/>
      </c>
      <c r="L1473" s="63">
        <f>IF(tblMovement[[#This Row],[Destination]]="","",IFERROR(INDEX(tblDestinations[Type],MATCH(tblMovement[[#This Row],[Destination]],tblDestinations[Destination],0)),"?"))</f>
        <v/>
      </c>
      <c r="M1473" s="64">
        <f>IF(tblMovement[[#This Row],[Material]]="","",IF(LEFT(tblMovement[[#This Row],[Material]],3)="Ore",1,0))</f>
        <v/>
      </c>
      <c r="N1473" s="59">
        <f>IF(OR(tblMovement[[#This Row],[Tonnes_t]]="",tblMovement[[#This Row],[Grade_gpt]]=""),0,tblMovement[[#This Row],[Tonnes_t]]*tblMovement[[#This Row],[Grade_gpt]]/cfg_TroyOz)</f>
        <v/>
      </c>
      <c r="O1473" s="59">
        <f>IF(tblMovement[[#This Row],[Is_Ore]]=1,tblMovement[[#This Row],[Contained_oz]],0)</f>
        <v/>
      </c>
    </row>
    <row r="1474">
      <c r="A1474" s="54" t="n"/>
      <c r="B1474" s="61" t="n"/>
      <c r="C1474" s="61" t="n"/>
      <c r="D1474" s="61" t="n"/>
      <c r="E1474" s="61" t="n"/>
      <c r="F1474" s="55" t="n"/>
      <c r="G1474" s="56" t="n"/>
      <c r="H1474" s="55" t="n"/>
      <c r="I1474" s="62" t="n"/>
      <c r="J1474" s="58" t="n"/>
      <c r="K1474" s="63">
        <f>IF(tblMovement[[#This Row],[Source]]="","",IFERROR(INDEX(tblSources[Type],MATCH(tblMovement[[#This Row],[Source]],tblSources[Source],0)),"?"))</f>
        <v/>
      </c>
      <c r="L1474" s="63">
        <f>IF(tblMovement[[#This Row],[Destination]]="","",IFERROR(INDEX(tblDestinations[Type],MATCH(tblMovement[[#This Row],[Destination]],tblDestinations[Destination],0)),"?"))</f>
        <v/>
      </c>
      <c r="M1474" s="64">
        <f>IF(tblMovement[[#This Row],[Material]]="","",IF(LEFT(tblMovement[[#This Row],[Material]],3)="Ore",1,0))</f>
        <v/>
      </c>
      <c r="N1474" s="59">
        <f>IF(OR(tblMovement[[#This Row],[Tonnes_t]]="",tblMovement[[#This Row],[Grade_gpt]]=""),0,tblMovement[[#This Row],[Tonnes_t]]*tblMovement[[#This Row],[Grade_gpt]]/cfg_TroyOz)</f>
        <v/>
      </c>
      <c r="O1474" s="59">
        <f>IF(tblMovement[[#This Row],[Is_Ore]]=1,tblMovement[[#This Row],[Contained_oz]],0)</f>
        <v/>
      </c>
    </row>
    <row r="1475">
      <c r="A1475" s="54" t="n"/>
      <c r="B1475" s="61" t="n"/>
      <c r="C1475" s="61" t="n"/>
      <c r="D1475" s="61" t="n"/>
      <c r="E1475" s="61" t="n"/>
      <c r="F1475" s="55" t="n"/>
      <c r="G1475" s="56" t="n"/>
      <c r="H1475" s="55" t="n"/>
      <c r="I1475" s="62" t="n"/>
      <c r="J1475" s="58" t="n"/>
      <c r="K1475" s="63">
        <f>IF(tblMovement[[#This Row],[Source]]="","",IFERROR(INDEX(tblSources[Type],MATCH(tblMovement[[#This Row],[Source]],tblSources[Source],0)),"?"))</f>
        <v/>
      </c>
      <c r="L1475" s="63">
        <f>IF(tblMovement[[#This Row],[Destination]]="","",IFERROR(INDEX(tblDestinations[Type],MATCH(tblMovement[[#This Row],[Destination]],tblDestinations[Destination],0)),"?"))</f>
        <v/>
      </c>
      <c r="M1475" s="64">
        <f>IF(tblMovement[[#This Row],[Material]]="","",IF(LEFT(tblMovement[[#This Row],[Material]],3)="Ore",1,0))</f>
        <v/>
      </c>
      <c r="N1475" s="59">
        <f>IF(OR(tblMovement[[#This Row],[Tonnes_t]]="",tblMovement[[#This Row],[Grade_gpt]]=""),0,tblMovement[[#This Row],[Tonnes_t]]*tblMovement[[#This Row],[Grade_gpt]]/cfg_TroyOz)</f>
        <v/>
      </c>
      <c r="O1475" s="59">
        <f>IF(tblMovement[[#This Row],[Is_Ore]]=1,tblMovement[[#This Row],[Contained_oz]],0)</f>
        <v/>
      </c>
    </row>
    <row r="1476">
      <c r="A1476" s="54" t="n"/>
      <c r="B1476" s="61" t="n"/>
      <c r="C1476" s="61" t="n"/>
      <c r="D1476" s="61" t="n"/>
      <c r="E1476" s="61" t="n"/>
      <c r="F1476" s="55" t="n"/>
      <c r="G1476" s="56" t="n"/>
      <c r="H1476" s="55" t="n"/>
      <c r="I1476" s="62" t="n"/>
      <c r="J1476" s="58" t="n"/>
      <c r="K1476" s="63">
        <f>IF(tblMovement[[#This Row],[Source]]="","",IFERROR(INDEX(tblSources[Type],MATCH(tblMovement[[#This Row],[Source]],tblSources[Source],0)),"?"))</f>
        <v/>
      </c>
      <c r="L1476" s="63">
        <f>IF(tblMovement[[#This Row],[Destination]]="","",IFERROR(INDEX(tblDestinations[Type],MATCH(tblMovement[[#This Row],[Destination]],tblDestinations[Destination],0)),"?"))</f>
        <v/>
      </c>
      <c r="M1476" s="64">
        <f>IF(tblMovement[[#This Row],[Material]]="","",IF(LEFT(tblMovement[[#This Row],[Material]],3)="Ore",1,0))</f>
        <v/>
      </c>
      <c r="N1476" s="59">
        <f>IF(OR(tblMovement[[#This Row],[Tonnes_t]]="",tblMovement[[#This Row],[Grade_gpt]]=""),0,tblMovement[[#This Row],[Tonnes_t]]*tblMovement[[#This Row],[Grade_gpt]]/cfg_TroyOz)</f>
        <v/>
      </c>
      <c r="O1476" s="59">
        <f>IF(tblMovement[[#This Row],[Is_Ore]]=1,tblMovement[[#This Row],[Contained_oz]],0)</f>
        <v/>
      </c>
    </row>
    <row r="1477">
      <c r="A1477" s="54" t="n"/>
      <c r="B1477" s="61" t="n"/>
      <c r="C1477" s="61" t="n"/>
      <c r="D1477" s="61" t="n"/>
      <c r="E1477" s="61" t="n"/>
      <c r="F1477" s="55" t="n"/>
      <c r="G1477" s="56" t="n"/>
      <c r="H1477" s="55" t="n"/>
      <c r="I1477" s="62" t="n"/>
      <c r="J1477" s="58" t="n"/>
      <c r="K1477" s="63">
        <f>IF(tblMovement[[#This Row],[Source]]="","",IFERROR(INDEX(tblSources[Type],MATCH(tblMovement[[#This Row],[Source]],tblSources[Source],0)),"?"))</f>
        <v/>
      </c>
      <c r="L1477" s="63">
        <f>IF(tblMovement[[#This Row],[Destination]]="","",IFERROR(INDEX(tblDestinations[Type],MATCH(tblMovement[[#This Row],[Destination]],tblDestinations[Destination],0)),"?"))</f>
        <v/>
      </c>
      <c r="M1477" s="64">
        <f>IF(tblMovement[[#This Row],[Material]]="","",IF(LEFT(tblMovement[[#This Row],[Material]],3)="Ore",1,0))</f>
        <v/>
      </c>
      <c r="N1477" s="59">
        <f>IF(OR(tblMovement[[#This Row],[Tonnes_t]]="",tblMovement[[#This Row],[Grade_gpt]]=""),0,tblMovement[[#This Row],[Tonnes_t]]*tblMovement[[#This Row],[Grade_gpt]]/cfg_TroyOz)</f>
        <v/>
      </c>
      <c r="O1477" s="59">
        <f>IF(tblMovement[[#This Row],[Is_Ore]]=1,tblMovement[[#This Row],[Contained_oz]],0)</f>
        <v/>
      </c>
    </row>
    <row r="1478">
      <c r="A1478" s="54" t="n"/>
      <c r="B1478" s="61" t="n"/>
      <c r="C1478" s="61" t="n"/>
      <c r="D1478" s="61" t="n"/>
      <c r="E1478" s="61" t="n"/>
      <c r="F1478" s="55" t="n"/>
      <c r="G1478" s="56" t="n"/>
      <c r="H1478" s="55" t="n"/>
      <c r="I1478" s="62" t="n"/>
      <c r="J1478" s="58" t="n"/>
      <c r="K1478" s="63">
        <f>IF(tblMovement[[#This Row],[Source]]="","",IFERROR(INDEX(tblSources[Type],MATCH(tblMovement[[#This Row],[Source]],tblSources[Source],0)),"?"))</f>
        <v/>
      </c>
      <c r="L1478" s="63">
        <f>IF(tblMovement[[#This Row],[Destination]]="","",IFERROR(INDEX(tblDestinations[Type],MATCH(tblMovement[[#This Row],[Destination]],tblDestinations[Destination],0)),"?"))</f>
        <v/>
      </c>
      <c r="M1478" s="64">
        <f>IF(tblMovement[[#This Row],[Material]]="","",IF(LEFT(tblMovement[[#This Row],[Material]],3)="Ore",1,0))</f>
        <v/>
      </c>
      <c r="N1478" s="59">
        <f>IF(OR(tblMovement[[#This Row],[Tonnes_t]]="",tblMovement[[#This Row],[Grade_gpt]]=""),0,tblMovement[[#This Row],[Tonnes_t]]*tblMovement[[#This Row],[Grade_gpt]]/cfg_TroyOz)</f>
        <v/>
      </c>
      <c r="O1478" s="59">
        <f>IF(tblMovement[[#This Row],[Is_Ore]]=1,tblMovement[[#This Row],[Contained_oz]],0)</f>
        <v/>
      </c>
    </row>
    <row r="1479">
      <c r="A1479" s="54" t="n"/>
      <c r="B1479" s="61" t="n"/>
      <c r="C1479" s="61" t="n"/>
      <c r="D1479" s="61" t="n"/>
      <c r="E1479" s="61" t="n"/>
      <c r="F1479" s="55" t="n"/>
      <c r="G1479" s="56" t="n"/>
      <c r="H1479" s="55" t="n"/>
      <c r="I1479" s="62" t="n"/>
      <c r="J1479" s="58" t="n"/>
      <c r="K1479" s="63">
        <f>IF(tblMovement[[#This Row],[Source]]="","",IFERROR(INDEX(tblSources[Type],MATCH(tblMovement[[#This Row],[Source]],tblSources[Source],0)),"?"))</f>
        <v/>
      </c>
      <c r="L1479" s="63">
        <f>IF(tblMovement[[#This Row],[Destination]]="","",IFERROR(INDEX(tblDestinations[Type],MATCH(tblMovement[[#This Row],[Destination]],tblDestinations[Destination],0)),"?"))</f>
        <v/>
      </c>
      <c r="M1479" s="64">
        <f>IF(tblMovement[[#This Row],[Material]]="","",IF(LEFT(tblMovement[[#This Row],[Material]],3)="Ore",1,0))</f>
        <v/>
      </c>
      <c r="N1479" s="59">
        <f>IF(OR(tblMovement[[#This Row],[Tonnes_t]]="",tblMovement[[#This Row],[Grade_gpt]]=""),0,tblMovement[[#This Row],[Tonnes_t]]*tblMovement[[#This Row],[Grade_gpt]]/cfg_TroyOz)</f>
        <v/>
      </c>
      <c r="O1479" s="59">
        <f>IF(tblMovement[[#This Row],[Is_Ore]]=1,tblMovement[[#This Row],[Contained_oz]],0)</f>
        <v/>
      </c>
    </row>
    <row r="1480">
      <c r="A1480" s="54" t="n"/>
      <c r="B1480" s="61" t="n"/>
      <c r="C1480" s="61" t="n"/>
      <c r="D1480" s="61" t="n"/>
      <c r="E1480" s="61" t="n"/>
      <c r="F1480" s="55" t="n"/>
      <c r="G1480" s="56" t="n"/>
      <c r="H1480" s="55" t="n"/>
      <c r="I1480" s="62" t="n"/>
      <c r="J1480" s="58" t="n"/>
      <c r="K1480" s="63">
        <f>IF(tblMovement[[#This Row],[Source]]="","",IFERROR(INDEX(tblSources[Type],MATCH(tblMovement[[#This Row],[Source]],tblSources[Source],0)),"?"))</f>
        <v/>
      </c>
      <c r="L1480" s="63">
        <f>IF(tblMovement[[#This Row],[Destination]]="","",IFERROR(INDEX(tblDestinations[Type],MATCH(tblMovement[[#This Row],[Destination]],tblDestinations[Destination],0)),"?"))</f>
        <v/>
      </c>
      <c r="M1480" s="64">
        <f>IF(tblMovement[[#This Row],[Material]]="","",IF(LEFT(tblMovement[[#This Row],[Material]],3)="Ore",1,0))</f>
        <v/>
      </c>
      <c r="N1480" s="59">
        <f>IF(OR(tblMovement[[#This Row],[Tonnes_t]]="",tblMovement[[#This Row],[Grade_gpt]]=""),0,tblMovement[[#This Row],[Tonnes_t]]*tblMovement[[#This Row],[Grade_gpt]]/cfg_TroyOz)</f>
        <v/>
      </c>
      <c r="O1480" s="59">
        <f>IF(tblMovement[[#This Row],[Is_Ore]]=1,tblMovement[[#This Row],[Contained_oz]],0)</f>
        <v/>
      </c>
    </row>
    <row r="1481">
      <c r="A1481" s="54" t="n"/>
      <c r="B1481" s="61" t="n"/>
      <c r="C1481" s="61" t="n"/>
      <c r="D1481" s="61" t="n"/>
      <c r="E1481" s="61" t="n"/>
      <c r="F1481" s="55" t="n"/>
      <c r="G1481" s="56" t="n"/>
      <c r="H1481" s="55" t="n"/>
      <c r="I1481" s="62" t="n"/>
      <c r="J1481" s="58" t="n"/>
      <c r="K1481" s="63">
        <f>IF(tblMovement[[#This Row],[Source]]="","",IFERROR(INDEX(tblSources[Type],MATCH(tblMovement[[#This Row],[Source]],tblSources[Source],0)),"?"))</f>
        <v/>
      </c>
      <c r="L1481" s="63">
        <f>IF(tblMovement[[#This Row],[Destination]]="","",IFERROR(INDEX(tblDestinations[Type],MATCH(tblMovement[[#This Row],[Destination]],tblDestinations[Destination],0)),"?"))</f>
        <v/>
      </c>
      <c r="M1481" s="64">
        <f>IF(tblMovement[[#This Row],[Material]]="","",IF(LEFT(tblMovement[[#This Row],[Material]],3)="Ore",1,0))</f>
        <v/>
      </c>
      <c r="N1481" s="59">
        <f>IF(OR(tblMovement[[#This Row],[Tonnes_t]]="",tblMovement[[#This Row],[Grade_gpt]]=""),0,tblMovement[[#This Row],[Tonnes_t]]*tblMovement[[#This Row],[Grade_gpt]]/cfg_TroyOz)</f>
        <v/>
      </c>
      <c r="O1481" s="59">
        <f>IF(tblMovement[[#This Row],[Is_Ore]]=1,tblMovement[[#This Row],[Contained_oz]],0)</f>
        <v/>
      </c>
    </row>
    <row r="1482">
      <c r="A1482" s="54" t="n"/>
      <c r="B1482" s="61" t="n"/>
      <c r="C1482" s="61" t="n"/>
      <c r="D1482" s="61" t="n"/>
      <c r="E1482" s="61" t="n"/>
      <c r="F1482" s="55" t="n"/>
      <c r="G1482" s="56" t="n"/>
      <c r="H1482" s="55" t="n"/>
      <c r="I1482" s="62" t="n"/>
      <c r="J1482" s="58" t="n"/>
      <c r="K1482" s="63">
        <f>IF(tblMovement[[#This Row],[Source]]="","",IFERROR(INDEX(tblSources[Type],MATCH(tblMovement[[#This Row],[Source]],tblSources[Source],0)),"?"))</f>
        <v/>
      </c>
      <c r="L1482" s="63">
        <f>IF(tblMovement[[#This Row],[Destination]]="","",IFERROR(INDEX(tblDestinations[Type],MATCH(tblMovement[[#This Row],[Destination]],tblDestinations[Destination],0)),"?"))</f>
        <v/>
      </c>
      <c r="M1482" s="64">
        <f>IF(tblMovement[[#This Row],[Material]]="","",IF(LEFT(tblMovement[[#This Row],[Material]],3)="Ore",1,0))</f>
        <v/>
      </c>
      <c r="N1482" s="59">
        <f>IF(OR(tblMovement[[#This Row],[Tonnes_t]]="",tblMovement[[#This Row],[Grade_gpt]]=""),0,tblMovement[[#This Row],[Tonnes_t]]*tblMovement[[#This Row],[Grade_gpt]]/cfg_TroyOz)</f>
        <v/>
      </c>
      <c r="O1482" s="59">
        <f>IF(tblMovement[[#This Row],[Is_Ore]]=1,tblMovement[[#This Row],[Contained_oz]],0)</f>
        <v/>
      </c>
    </row>
    <row r="1483">
      <c r="A1483" s="54" t="n"/>
      <c r="B1483" s="61" t="n"/>
      <c r="C1483" s="61" t="n"/>
      <c r="D1483" s="61" t="n"/>
      <c r="E1483" s="61" t="n"/>
      <c r="F1483" s="55" t="n"/>
      <c r="G1483" s="56" t="n"/>
      <c r="H1483" s="55" t="n"/>
      <c r="I1483" s="62" t="n"/>
      <c r="J1483" s="58" t="n"/>
      <c r="K1483" s="63">
        <f>IF(tblMovement[[#This Row],[Source]]="","",IFERROR(INDEX(tblSources[Type],MATCH(tblMovement[[#This Row],[Source]],tblSources[Source],0)),"?"))</f>
        <v/>
      </c>
      <c r="L1483" s="63">
        <f>IF(tblMovement[[#This Row],[Destination]]="","",IFERROR(INDEX(tblDestinations[Type],MATCH(tblMovement[[#This Row],[Destination]],tblDestinations[Destination],0)),"?"))</f>
        <v/>
      </c>
      <c r="M1483" s="64">
        <f>IF(tblMovement[[#This Row],[Material]]="","",IF(LEFT(tblMovement[[#This Row],[Material]],3)="Ore",1,0))</f>
        <v/>
      </c>
      <c r="N1483" s="59">
        <f>IF(OR(tblMovement[[#This Row],[Tonnes_t]]="",tblMovement[[#This Row],[Grade_gpt]]=""),0,tblMovement[[#This Row],[Tonnes_t]]*tblMovement[[#This Row],[Grade_gpt]]/cfg_TroyOz)</f>
        <v/>
      </c>
      <c r="O1483" s="59">
        <f>IF(tblMovement[[#This Row],[Is_Ore]]=1,tblMovement[[#This Row],[Contained_oz]],0)</f>
        <v/>
      </c>
    </row>
    <row r="1484">
      <c r="A1484" s="54" t="n"/>
      <c r="B1484" s="61" t="n"/>
      <c r="C1484" s="61" t="n"/>
      <c r="D1484" s="61" t="n"/>
      <c r="E1484" s="61" t="n"/>
      <c r="F1484" s="55" t="n"/>
      <c r="G1484" s="56" t="n"/>
      <c r="H1484" s="55" t="n"/>
      <c r="I1484" s="62" t="n"/>
      <c r="J1484" s="58" t="n"/>
      <c r="K1484" s="63">
        <f>IF(tblMovement[[#This Row],[Source]]="","",IFERROR(INDEX(tblSources[Type],MATCH(tblMovement[[#This Row],[Source]],tblSources[Source],0)),"?"))</f>
        <v/>
      </c>
      <c r="L1484" s="63">
        <f>IF(tblMovement[[#This Row],[Destination]]="","",IFERROR(INDEX(tblDestinations[Type],MATCH(tblMovement[[#This Row],[Destination]],tblDestinations[Destination],0)),"?"))</f>
        <v/>
      </c>
      <c r="M1484" s="64">
        <f>IF(tblMovement[[#This Row],[Material]]="","",IF(LEFT(tblMovement[[#This Row],[Material]],3)="Ore",1,0))</f>
        <v/>
      </c>
      <c r="N1484" s="59">
        <f>IF(OR(tblMovement[[#This Row],[Tonnes_t]]="",tblMovement[[#This Row],[Grade_gpt]]=""),0,tblMovement[[#This Row],[Tonnes_t]]*tblMovement[[#This Row],[Grade_gpt]]/cfg_TroyOz)</f>
        <v/>
      </c>
      <c r="O1484" s="59">
        <f>IF(tblMovement[[#This Row],[Is_Ore]]=1,tblMovement[[#This Row],[Contained_oz]],0)</f>
        <v/>
      </c>
    </row>
    <row r="1485">
      <c r="A1485" s="54" t="n"/>
      <c r="B1485" s="61" t="n"/>
      <c r="C1485" s="61" t="n"/>
      <c r="D1485" s="61" t="n"/>
      <c r="E1485" s="61" t="n"/>
      <c r="F1485" s="55" t="n"/>
      <c r="G1485" s="56" t="n"/>
      <c r="H1485" s="55" t="n"/>
      <c r="I1485" s="62" t="n"/>
      <c r="J1485" s="58" t="n"/>
      <c r="K1485" s="63">
        <f>IF(tblMovement[[#This Row],[Source]]="","",IFERROR(INDEX(tblSources[Type],MATCH(tblMovement[[#This Row],[Source]],tblSources[Source],0)),"?"))</f>
        <v/>
      </c>
      <c r="L1485" s="63">
        <f>IF(tblMovement[[#This Row],[Destination]]="","",IFERROR(INDEX(tblDestinations[Type],MATCH(tblMovement[[#This Row],[Destination]],tblDestinations[Destination],0)),"?"))</f>
        <v/>
      </c>
      <c r="M1485" s="64">
        <f>IF(tblMovement[[#This Row],[Material]]="","",IF(LEFT(tblMovement[[#This Row],[Material]],3)="Ore",1,0))</f>
        <v/>
      </c>
      <c r="N1485" s="59">
        <f>IF(OR(tblMovement[[#This Row],[Tonnes_t]]="",tblMovement[[#This Row],[Grade_gpt]]=""),0,tblMovement[[#This Row],[Tonnes_t]]*tblMovement[[#This Row],[Grade_gpt]]/cfg_TroyOz)</f>
        <v/>
      </c>
      <c r="O1485" s="59">
        <f>IF(tblMovement[[#This Row],[Is_Ore]]=1,tblMovement[[#This Row],[Contained_oz]],0)</f>
        <v/>
      </c>
    </row>
    <row r="1486">
      <c r="A1486" s="54" t="n"/>
      <c r="B1486" s="61" t="n"/>
      <c r="C1486" s="61" t="n"/>
      <c r="D1486" s="61" t="n"/>
      <c r="E1486" s="61" t="n"/>
      <c r="F1486" s="55" t="n"/>
      <c r="G1486" s="56" t="n"/>
      <c r="H1486" s="55" t="n"/>
      <c r="I1486" s="62" t="n"/>
      <c r="J1486" s="58" t="n"/>
      <c r="K1486" s="63">
        <f>IF(tblMovement[[#This Row],[Source]]="","",IFERROR(INDEX(tblSources[Type],MATCH(tblMovement[[#This Row],[Source]],tblSources[Source],0)),"?"))</f>
        <v/>
      </c>
      <c r="L1486" s="63">
        <f>IF(tblMovement[[#This Row],[Destination]]="","",IFERROR(INDEX(tblDestinations[Type],MATCH(tblMovement[[#This Row],[Destination]],tblDestinations[Destination],0)),"?"))</f>
        <v/>
      </c>
      <c r="M1486" s="64">
        <f>IF(tblMovement[[#This Row],[Material]]="","",IF(LEFT(tblMovement[[#This Row],[Material]],3)="Ore",1,0))</f>
        <v/>
      </c>
      <c r="N1486" s="59">
        <f>IF(OR(tblMovement[[#This Row],[Tonnes_t]]="",tblMovement[[#This Row],[Grade_gpt]]=""),0,tblMovement[[#This Row],[Tonnes_t]]*tblMovement[[#This Row],[Grade_gpt]]/cfg_TroyOz)</f>
        <v/>
      </c>
      <c r="O1486" s="59">
        <f>IF(tblMovement[[#This Row],[Is_Ore]]=1,tblMovement[[#This Row],[Contained_oz]],0)</f>
        <v/>
      </c>
    </row>
    <row r="1487">
      <c r="A1487" s="54" t="n"/>
      <c r="B1487" s="61" t="n"/>
      <c r="C1487" s="61" t="n"/>
      <c r="D1487" s="61" t="n"/>
      <c r="E1487" s="61" t="n"/>
      <c r="F1487" s="55" t="n"/>
      <c r="G1487" s="56" t="n"/>
      <c r="H1487" s="55" t="n"/>
      <c r="I1487" s="62" t="n"/>
      <c r="J1487" s="58" t="n"/>
      <c r="K1487" s="63">
        <f>IF(tblMovement[[#This Row],[Source]]="","",IFERROR(INDEX(tblSources[Type],MATCH(tblMovement[[#This Row],[Source]],tblSources[Source],0)),"?"))</f>
        <v/>
      </c>
      <c r="L1487" s="63">
        <f>IF(tblMovement[[#This Row],[Destination]]="","",IFERROR(INDEX(tblDestinations[Type],MATCH(tblMovement[[#This Row],[Destination]],tblDestinations[Destination],0)),"?"))</f>
        <v/>
      </c>
      <c r="M1487" s="64">
        <f>IF(tblMovement[[#This Row],[Material]]="","",IF(LEFT(tblMovement[[#This Row],[Material]],3)="Ore",1,0))</f>
        <v/>
      </c>
      <c r="N1487" s="59">
        <f>IF(OR(tblMovement[[#This Row],[Tonnes_t]]="",tblMovement[[#This Row],[Grade_gpt]]=""),0,tblMovement[[#This Row],[Tonnes_t]]*tblMovement[[#This Row],[Grade_gpt]]/cfg_TroyOz)</f>
        <v/>
      </c>
      <c r="O1487" s="59">
        <f>IF(tblMovement[[#This Row],[Is_Ore]]=1,tblMovement[[#This Row],[Contained_oz]],0)</f>
        <v/>
      </c>
    </row>
    <row r="1488">
      <c r="A1488" s="54" t="n"/>
      <c r="B1488" s="61" t="n"/>
      <c r="C1488" s="61" t="n"/>
      <c r="D1488" s="61" t="n"/>
      <c r="E1488" s="61" t="n"/>
      <c r="F1488" s="55" t="n"/>
      <c r="G1488" s="56" t="n"/>
      <c r="H1488" s="55" t="n"/>
      <c r="I1488" s="62" t="n"/>
      <c r="J1488" s="58" t="n"/>
      <c r="K1488" s="63">
        <f>IF(tblMovement[[#This Row],[Source]]="","",IFERROR(INDEX(tblSources[Type],MATCH(tblMovement[[#This Row],[Source]],tblSources[Source],0)),"?"))</f>
        <v/>
      </c>
      <c r="L1488" s="63">
        <f>IF(tblMovement[[#This Row],[Destination]]="","",IFERROR(INDEX(tblDestinations[Type],MATCH(tblMovement[[#This Row],[Destination]],tblDestinations[Destination],0)),"?"))</f>
        <v/>
      </c>
      <c r="M1488" s="64">
        <f>IF(tblMovement[[#This Row],[Material]]="","",IF(LEFT(tblMovement[[#This Row],[Material]],3)="Ore",1,0))</f>
        <v/>
      </c>
      <c r="N1488" s="59">
        <f>IF(OR(tblMovement[[#This Row],[Tonnes_t]]="",tblMovement[[#This Row],[Grade_gpt]]=""),0,tblMovement[[#This Row],[Tonnes_t]]*tblMovement[[#This Row],[Grade_gpt]]/cfg_TroyOz)</f>
        <v/>
      </c>
      <c r="O1488" s="59">
        <f>IF(tblMovement[[#This Row],[Is_Ore]]=1,tblMovement[[#This Row],[Contained_oz]],0)</f>
        <v/>
      </c>
    </row>
    <row r="1489">
      <c r="A1489" s="54" t="n"/>
      <c r="B1489" s="61" t="n"/>
      <c r="C1489" s="61" t="n"/>
      <c r="D1489" s="61" t="n"/>
      <c r="E1489" s="61" t="n"/>
      <c r="F1489" s="55" t="n"/>
      <c r="G1489" s="56" t="n"/>
      <c r="H1489" s="55" t="n"/>
      <c r="I1489" s="62" t="n"/>
      <c r="J1489" s="58" t="n"/>
      <c r="K1489" s="63">
        <f>IF(tblMovement[[#This Row],[Source]]="","",IFERROR(INDEX(tblSources[Type],MATCH(tblMovement[[#This Row],[Source]],tblSources[Source],0)),"?"))</f>
        <v/>
      </c>
      <c r="L1489" s="63">
        <f>IF(tblMovement[[#This Row],[Destination]]="","",IFERROR(INDEX(tblDestinations[Type],MATCH(tblMovement[[#This Row],[Destination]],tblDestinations[Destination],0)),"?"))</f>
        <v/>
      </c>
      <c r="M1489" s="64">
        <f>IF(tblMovement[[#This Row],[Material]]="","",IF(LEFT(tblMovement[[#This Row],[Material]],3)="Ore",1,0))</f>
        <v/>
      </c>
      <c r="N1489" s="59">
        <f>IF(OR(tblMovement[[#This Row],[Tonnes_t]]="",tblMovement[[#This Row],[Grade_gpt]]=""),0,tblMovement[[#This Row],[Tonnes_t]]*tblMovement[[#This Row],[Grade_gpt]]/cfg_TroyOz)</f>
        <v/>
      </c>
      <c r="O1489" s="59">
        <f>IF(tblMovement[[#This Row],[Is_Ore]]=1,tblMovement[[#This Row],[Contained_oz]],0)</f>
        <v/>
      </c>
    </row>
    <row r="1490">
      <c r="A1490" s="54" t="n"/>
      <c r="B1490" s="61" t="n"/>
      <c r="C1490" s="61" t="n"/>
      <c r="D1490" s="61" t="n"/>
      <c r="E1490" s="61" t="n"/>
      <c r="F1490" s="55" t="n"/>
      <c r="G1490" s="56" t="n"/>
      <c r="H1490" s="55" t="n"/>
      <c r="I1490" s="62" t="n"/>
      <c r="J1490" s="58" t="n"/>
      <c r="K1490" s="63">
        <f>IF(tblMovement[[#This Row],[Source]]="","",IFERROR(INDEX(tblSources[Type],MATCH(tblMovement[[#This Row],[Source]],tblSources[Source],0)),"?"))</f>
        <v/>
      </c>
      <c r="L1490" s="63">
        <f>IF(tblMovement[[#This Row],[Destination]]="","",IFERROR(INDEX(tblDestinations[Type],MATCH(tblMovement[[#This Row],[Destination]],tblDestinations[Destination],0)),"?"))</f>
        <v/>
      </c>
      <c r="M1490" s="64">
        <f>IF(tblMovement[[#This Row],[Material]]="","",IF(LEFT(tblMovement[[#This Row],[Material]],3)="Ore",1,0))</f>
        <v/>
      </c>
      <c r="N1490" s="59">
        <f>IF(OR(tblMovement[[#This Row],[Tonnes_t]]="",tblMovement[[#This Row],[Grade_gpt]]=""),0,tblMovement[[#This Row],[Tonnes_t]]*tblMovement[[#This Row],[Grade_gpt]]/cfg_TroyOz)</f>
        <v/>
      </c>
      <c r="O1490" s="59">
        <f>IF(tblMovement[[#This Row],[Is_Ore]]=1,tblMovement[[#This Row],[Contained_oz]],0)</f>
        <v/>
      </c>
    </row>
    <row r="1491">
      <c r="A1491" s="54" t="n"/>
      <c r="B1491" s="61" t="n"/>
      <c r="C1491" s="61" t="n"/>
      <c r="D1491" s="61" t="n"/>
      <c r="E1491" s="61" t="n"/>
      <c r="F1491" s="55" t="n"/>
      <c r="G1491" s="56" t="n"/>
      <c r="H1491" s="55" t="n"/>
      <c r="I1491" s="62" t="n"/>
      <c r="J1491" s="58" t="n"/>
      <c r="K1491" s="63">
        <f>IF(tblMovement[[#This Row],[Source]]="","",IFERROR(INDEX(tblSources[Type],MATCH(tblMovement[[#This Row],[Source]],tblSources[Source],0)),"?"))</f>
        <v/>
      </c>
      <c r="L1491" s="63">
        <f>IF(tblMovement[[#This Row],[Destination]]="","",IFERROR(INDEX(tblDestinations[Type],MATCH(tblMovement[[#This Row],[Destination]],tblDestinations[Destination],0)),"?"))</f>
        <v/>
      </c>
      <c r="M1491" s="64">
        <f>IF(tblMovement[[#This Row],[Material]]="","",IF(LEFT(tblMovement[[#This Row],[Material]],3)="Ore",1,0))</f>
        <v/>
      </c>
      <c r="N1491" s="59">
        <f>IF(OR(tblMovement[[#This Row],[Tonnes_t]]="",tblMovement[[#This Row],[Grade_gpt]]=""),0,tblMovement[[#This Row],[Tonnes_t]]*tblMovement[[#This Row],[Grade_gpt]]/cfg_TroyOz)</f>
        <v/>
      </c>
      <c r="O1491" s="59">
        <f>IF(tblMovement[[#This Row],[Is_Ore]]=1,tblMovement[[#This Row],[Contained_oz]],0)</f>
        <v/>
      </c>
    </row>
    <row r="1492">
      <c r="A1492" s="54" t="n"/>
      <c r="B1492" s="61" t="n"/>
      <c r="C1492" s="61" t="n"/>
      <c r="D1492" s="61" t="n"/>
      <c r="E1492" s="61" t="n"/>
      <c r="F1492" s="55" t="n"/>
      <c r="G1492" s="56" t="n"/>
      <c r="H1492" s="55" t="n"/>
      <c r="I1492" s="62" t="n"/>
      <c r="J1492" s="58" t="n"/>
      <c r="K1492" s="63">
        <f>IF(tblMovement[[#This Row],[Source]]="","",IFERROR(INDEX(tblSources[Type],MATCH(tblMovement[[#This Row],[Source]],tblSources[Source],0)),"?"))</f>
        <v/>
      </c>
      <c r="L1492" s="63">
        <f>IF(tblMovement[[#This Row],[Destination]]="","",IFERROR(INDEX(tblDestinations[Type],MATCH(tblMovement[[#This Row],[Destination]],tblDestinations[Destination],0)),"?"))</f>
        <v/>
      </c>
      <c r="M1492" s="64">
        <f>IF(tblMovement[[#This Row],[Material]]="","",IF(LEFT(tblMovement[[#This Row],[Material]],3)="Ore",1,0))</f>
        <v/>
      </c>
      <c r="N1492" s="59">
        <f>IF(OR(tblMovement[[#This Row],[Tonnes_t]]="",tblMovement[[#This Row],[Grade_gpt]]=""),0,tblMovement[[#This Row],[Tonnes_t]]*tblMovement[[#This Row],[Grade_gpt]]/cfg_TroyOz)</f>
        <v/>
      </c>
      <c r="O1492" s="59">
        <f>IF(tblMovement[[#This Row],[Is_Ore]]=1,tblMovement[[#This Row],[Contained_oz]],0)</f>
        <v/>
      </c>
    </row>
    <row r="1493">
      <c r="A1493" s="54" t="n"/>
      <c r="B1493" s="61" t="n"/>
      <c r="C1493" s="61" t="n"/>
      <c r="D1493" s="61" t="n"/>
      <c r="E1493" s="61" t="n"/>
      <c r="F1493" s="55" t="n"/>
      <c r="G1493" s="56" t="n"/>
      <c r="H1493" s="55" t="n"/>
      <c r="I1493" s="62" t="n"/>
      <c r="J1493" s="58" t="n"/>
      <c r="K1493" s="63">
        <f>IF(tblMovement[[#This Row],[Source]]="","",IFERROR(INDEX(tblSources[Type],MATCH(tblMovement[[#This Row],[Source]],tblSources[Source],0)),"?"))</f>
        <v/>
      </c>
      <c r="L1493" s="63">
        <f>IF(tblMovement[[#This Row],[Destination]]="","",IFERROR(INDEX(tblDestinations[Type],MATCH(tblMovement[[#This Row],[Destination]],tblDestinations[Destination],0)),"?"))</f>
        <v/>
      </c>
      <c r="M1493" s="64">
        <f>IF(tblMovement[[#This Row],[Material]]="","",IF(LEFT(tblMovement[[#This Row],[Material]],3)="Ore",1,0))</f>
        <v/>
      </c>
      <c r="N1493" s="59">
        <f>IF(OR(tblMovement[[#This Row],[Tonnes_t]]="",tblMovement[[#This Row],[Grade_gpt]]=""),0,tblMovement[[#This Row],[Tonnes_t]]*tblMovement[[#This Row],[Grade_gpt]]/cfg_TroyOz)</f>
        <v/>
      </c>
      <c r="O1493" s="59">
        <f>IF(tblMovement[[#This Row],[Is_Ore]]=1,tblMovement[[#This Row],[Contained_oz]],0)</f>
        <v/>
      </c>
    </row>
    <row r="1494">
      <c r="A1494" s="54" t="n"/>
      <c r="B1494" s="61" t="n"/>
      <c r="C1494" s="61" t="n"/>
      <c r="D1494" s="61" t="n"/>
      <c r="E1494" s="61" t="n"/>
      <c r="F1494" s="55" t="n"/>
      <c r="G1494" s="56" t="n"/>
      <c r="H1494" s="55" t="n"/>
      <c r="I1494" s="62" t="n"/>
      <c r="J1494" s="58" t="n"/>
      <c r="K1494" s="63">
        <f>IF(tblMovement[[#This Row],[Source]]="","",IFERROR(INDEX(tblSources[Type],MATCH(tblMovement[[#This Row],[Source]],tblSources[Source],0)),"?"))</f>
        <v/>
      </c>
      <c r="L1494" s="63">
        <f>IF(tblMovement[[#This Row],[Destination]]="","",IFERROR(INDEX(tblDestinations[Type],MATCH(tblMovement[[#This Row],[Destination]],tblDestinations[Destination],0)),"?"))</f>
        <v/>
      </c>
      <c r="M1494" s="64">
        <f>IF(tblMovement[[#This Row],[Material]]="","",IF(LEFT(tblMovement[[#This Row],[Material]],3)="Ore",1,0))</f>
        <v/>
      </c>
      <c r="N1494" s="59">
        <f>IF(OR(tblMovement[[#This Row],[Tonnes_t]]="",tblMovement[[#This Row],[Grade_gpt]]=""),0,tblMovement[[#This Row],[Tonnes_t]]*tblMovement[[#This Row],[Grade_gpt]]/cfg_TroyOz)</f>
        <v/>
      </c>
      <c r="O1494" s="59">
        <f>IF(tblMovement[[#This Row],[Is_Ore]]=1,tblMovement[[#This Row],[Contained_oz]],0)</f>
        <v/>
      </c>
    </row>
    <row r="1495">
      <c r="A1495" s="54" t="n"/>
      <c r="B1495" s="61" t="n"/>
      <c r="C1495" s="61" t="n"/>
      <c r="D1495" s="61" t="n"/>
      <c r="E1495" s="61" t="n"/>
      <c r="F1495" s="55" t="n"/>
      <c r="G1495" s="56" t="n"/>
      <c r="H1495" s="55" t="n"/>
      <c r="I1495" s="62" t="n"/>
      <c r="J1495" s="58" t="n"/>
      <c r="K1495" s="63">
        <f>IF(tblMovement[[#This Row],[Source]]="","",IFERROR(INDEX(tblSources[Type],MATCH(tblMovement[[#This Row],[Source]],tblSources[Source],0)),"?"))</f>
        <v/>
      </c>
      <c r="L1495" s="63">
        <f>IF(tblMovement[[#This Row],[Destination]]="","",IFERROR(INDEX(tblDestinations[Type],MATCH(tblMovement[[#This Row],[Destination]],tblDestinations[Destination],0)),"?"))</f>
        <v/>
      </c>
      <c r="M1495" s="64">
        <f>IF(tblMovement[[#This Row],[Material]]="","",IF(LEFT(tblMovement[[#This Row],[Material]],3)="Ore",1,0))</f>
        <v/>
      </c>
      <c r="N1495" s="59">
        <f>IF(OR(tblMovement[[#This Row],[Tonnes_t]]="",tblMovement[[#This Row],[Grade_gpt]]=""),0,tblMovement[[#This Row],[Tonnes_t]]*tblMovement[[#This Row],[Grade_gpt]]/cfg_TroyOz)</f>
        <v/>
      </c>
      <c r="O1495" s="59">
        <f>IF(tblMovement[[#This Row],[Is_Ore]]=1,tblMovement[[#This Row],[Contained_oz]],0)</f>
        <v/>
      </c>
    </row>
    <row r="1496">
      <c r="A1496" s="54" t="n"/>
      <c r="B1496" s="61" t="n"/>
      <c r="C1496" s="61" t="n"/>
      <c r="D1496" s="61" t="n"/>
      <c r="E1496" s="61" t="n"/>
      <c r="F1496" s="55" t="n"/>
      <c r="G1496" s="56" t="n"/>
      <c r="H1496" s="55" t="n"/>
      <c r="I1496" s="62" t="n"/>
      <c r="J1496" s="58" t="n"/>
      <c r="K1496" s="63">
        <f>IF(tblMovement[[#This Row],[Source]]="","",IFERROR(INDEX(tblSources[Type],MATCH(tblMovement[[#This Row],[Source]],tblSources[Source],0)),"?"))</f>
        <v/>
      </c>
      <c r="L1496" s="63">
        <f>IF(tblMovement[[#This Row],[Destination]]="","",IFERROR(INDEX(tblDestinations[Type],MATCH(tblMovement[[#This Row],[Destination]],tblDestinations[Destination],0)),"?"))</f>
        <v/>
      </c>
      <c r="M1496" s="64">
        <f>IF(tblMovement[[#This Row],[Material]]="","",IF(LEFT(tblMovement[[#This Row],[Material]],3)="Ore",1,0))</f>
        <v/>
      </c>
      <c r="N1496" s="59">
        <f>IF(OR(tblMovement[[#This Row],[Tonnes_t]]="",tblMovement[[#This Row],[Grade_gpt]]=""),0,tblMovement[[#This Row],[Tonnes_t]]*tblMovement[[#This Row],[Grade_gpt]]/cfg_TroyOz)</f>
        <v/>
      </c>
      <c r="O1496" s="59">
        <f>IF(tblMovement[[#This Row],[Is_Ore]]=1,tblMovement[[#This Row],[Contained_oz]],0)</f>
        <v/>
      </c>
    </row>
    <row r="1497">
      <c r="A1497" s="54" t="n"/>
      <c r="B1497" s="61" t="n"/>
      <c r="C1497" s="61" t="n"/>
      <c r="D1497" s="61" t="n"/>
      <c r="E1497" s="61" t="n"/>
      <c r="F1497" s="55" t="n"/>
      <c r="G1497" s="56" t="n"/>
      <c r="H1497" s="55" t="n"/>
      <c r="I1497" s="62" t="n"/>
      <c r="J1497" s="58" t="n"/>
      <c r="K1497" s="63">
        <f>IF(tblMovement[[#This Row],[Source]]="","",IFERROR(INDEX(tblSources[Type],MATCH(tblMovement[[#This Row],[Source]],tblSources[Source],0)),"?"))</f>
        <v/>
      </c>
      <c r="L1497" s="63">
        <f>IF(tblMovement[[#This Row],[Destination]]="","",IFERROR(INDEX(tblDestinations[Type],MATCH(tblMovement[[#This Row],[Destination]],tblDestinations[Destination],0)),"?"))</f>
        <v/>
      </c>
      <c r="M1497" s="64">
        <f>IF(tblMovement[[#This Row],[Material]]="","",IF(LEFT(tblMovement[[#This Row],[Material]],3)="Ore",1,0))</f>
        <v/>
      </c>
      <c r="N1497" s="59">
        <f>IF(OR(tblMovement[[#This Row],[Tonnes_t]]="",tblMovement[[#This Row],[Grade_gpt]]=""),0,tblMovement[[#This Row],[Tonnes_t]]*tblMovement[[#This Row],[Grade_gpt]]/cfg_TroyOz)</f>
        <v/>
      </c>
      <c r="O1497" s="59">
        <f>IF(tblMovement[[#This Row],[Is_Ore]]=1,tblMovement[[#This Row],[Contained_oz]],0)</f>
        <v/>
      </c>
    </row>
    <row r="1498">
      <c r="A1498" s="54" t="n"/>
      <c r="B1498" s="61" t="n"/>
      <c r="C1498" s="61" t="n"/>
      <c r="D1498" s="61" t="n"/>
      <c r="E1498" s="61" t="n"/>
      <c r="F1498" s="55" t="n"/>
      <c r="G1498" s="56" t="n"/>
      <c r="H1498" s="55" t="n"/>
      <c r="I1498" s="62" t="n"/>
      <c r="J1498" s="58" t="n"/>
      <c r="K1498" s="63">
        <f>IF(tblMovement[[#This Row],[Source]]="","",IFERROR(INDEX(tblSources[Type],MATCH(tblMovement[[#This Row],[Source]],tblSources[Source],0)),"?"))</f>
        <v/>
      </c>
      <c r="L1498" s="63">
        <f>IF(tblMovement[[#This Row],[Destination]]="","",IFERROR(INDEX(tblDestinations[Type],MATCH(tblMovement[[#This Row],[Destination]],tblDestinations[Destination],0)),"?"))</f>
        <v/>
      </c>
      <c r="M1498" s="64">
        <f>IF(tblMovement[[#This Row],[Material]]="","",IF(LEFT(tblMovement[[#This Row],[Material]],3)="Ore",1,0))</f>
        <v/>
      </c>
      <c r="N1498" s="59">
        <f>IF(OR(tblMovement[[#This Row],[Tonnes_t]]="",tblMovement[[#This Row],[Grade_gpt]]=""),0,tblMovement[[#This Row],[Tonnes_t]]*tblMovement[[#This Row],[Grade_gpt]]/cfg_TroyOz)</f>
        <v/>
      </c>
      <c r="O1498" s="59">
        <f>IF(tblMovement[[#This Row],[Is_Ore]]=1,tblMovement[[#This Row],[Contained_oz]],0)</f>
        <v/>
      </c>
    </row>
    <row r="1499">
      <c r="A1499" s="54" t="n"/>
      <c r="B1499" s="61" t="n"/>
      <c r="C1499" s="61" t="n"/>
      <c r="D1499" s="61" t="n"/>
      <c r="E1499" s="61" t="n"/>
      <c r="F1499" s="55" t="n"/>
      <c r="G1499" s="56" t="n"/>
      <c r="H1499" s="55" t="n"/>
      <c r="I1499" s="62" t="n"/>
      <c r="J1499" s="58" t="n"/>
      <c r="K1499" s="63">
        <f>IF(tblMovement[[#This Row],[Source]]="","",IFERROR(INDEX(tblSources[Type],MATCH(tblMovement[[#This Row],[Source]],tblSources[Source],0)),"?"))</f>
        <v/>
      </c>
      <c r="L1499" s="63">
        <f>IF(tblMovement[[#This Row],[Destination]]="","",IFERROR(INDEX(tblDestinations[Type],MATCH(tblMovement[[#This Row],[Destination]],tblDestinations[Destination],0)),"?"))</f>
        <v/>
      </c>
      <c r="M1499" s="64">
        <f>IF(tblMovement[[#This Row],[Material]]="","",IF(LEFT(tblMovement[[#This Row],[Material]],3)="Ore",1,0))</f>
        <v/>
      </c>
      <c r="N1499" s="59">
        <f>IF(OR(tblMovement[[#This Row],[Tonnes_t]]="",tblMovement[[#This Row],[Grade_gpt]]=""),0,tblMovement[[#This Row],[Tonnes_t]]*tblMovement[[#This Row],[Grade_gpt]]/cfg_TroyOz)</f>
        <v/>
      </c>
      <c r="O1499" s="59">
        <f>IF(tblMovement[[#This Row],[Is_Ore]]=1,tblMovement[[#This Row],[Contained_oz]],0)</f>
        <v/>
      </c>
    </row>
    <row r="1500">
      <c r="A1500" s="54" t="n"/>
      <c r="B1500" s="61" t="n"/>
      <c r="C1500" s="61" t="n"/>
      <c r="D1500" s="61" t="n"/>
      <c r="E1500" s="61" t="n"/>
      <c r="F1500" s="55" t="n"/>
      <c r="G1500" s="56" t="n"/>
      <c r="H1500" s="55" t="n"/>
      <c r="I1500" s="62" t="n"/>
      <c r="J1500" s="58" t="n"/>
      <c r="K1500" s="63">
        <f>IF(tblMovement[[#This Row],[Source]]="","",IFERROR(INDEX(tblSources[Type],MATCH(tblMovement[[#This Row],[Source]],tblSources[Source],0)),"?"))</f>
        <v/>
      </c>
      <c r="L1500" s="63">
        <f>IF(tblMovement[[#This Row],[Destination]]="","",IFERROR(INDEX(tblDestinations[Type],MATCH(tblMovement[[#This Row],[Destination]],tblDestinations[Destination],0)),"?"))</f>
        <v/>
      </c>
      <c r="M1500" s="64">
        <f>IF(tblMovement[[#This Row],[Material]]="","",IF(LEFT(tblMovement[[#This Row],[Material]],3)="Ore",1,0))</f>
        <v/>
      </c>
      <c r="N1500" s="59">
        <f>IF(OR(tblMovement[[#This Row],[Tonnes_t]]="",tblMovement[[#This Row],[Grade_gpt]]=""),0,tblMovement[[#This Row],[Tonnes_t]]*tblMovement[[#This Row],[Grade_gpt]]/cfg_TroyOz)</f>
        <v/>
      </c>
      <c r="O1500" s="59">
        <f>IF(tblMovement[[#This Row],[Is_Ore]]=1,tblMovement[[#This Row],[Contained_oz]],0)</f>
        <v/>
      </c>
    </row>
    <row r="1501">
      <c r="A1501" s="54" t="n"/>
      <c r="B1501" s="61" t="n"/>
      <c r="C1501" s="61" t="n"/>
      <c r="D1501" s="61" t="n"/>
      <c r="E1501" s="61" t="n"/>
      <c r="F1501" s="55" t="n"/>
      <c r="G1501" s="56" t="n"/>
      <c r="H1501" s="55" t="n"/>
      <c r="I1501" s="62" t="n"/>
      <c r="J1501" s="58" t="n"/>
      <c r="K1501" s="63">
        <f>IF(tblMovement[[#This Row],[Source]]="","",IFERROR(INDEX(tblSources[Type],MATCH(tblMovement[[#This Row],[Source]],tblSources[Source],0)),"?"))</f>
        <v/>
      </c>
      <c r="L1501" s="63">
        <f>IF(tblMovement[[#This Row],[Destination]]="","",IFERROR(INDEX(tblDestinations[Type],MATCH(tblMovement[[#This Row],[Destination]],tblDestinations[Destination],0)),"?"))</f>
        <v/>
      </c>
      <c r="M1501" s="64">
        <f>IF(tblMovement[[#This Row],[Material]]="","",IF(LEFT(tblMovement[[#This Row],[Material]],3)="Ore",1,0))</f>
        <v/>
      </c>
      <c r="N1501" s="59">
        <f>IF(OR(tblMovement[[#This Row],[Tonnes_t]]="",tblMovement[[#This Row],[Grade_gpt]]=""),0,tblMovement[[#This Row],[Tonnes_t]]*tblMovement[[#This Row],[Grade_gpt]]/cfg_TroyOz)</f>
        <v/>
      </c>
      <c r="O1501" s="59">
        <f>IF(tblMovement[[#This Row],[Is_Ore]]=1,tblMovement[[#This Row],[Contained_oz]],0)</f>
        <v/>
      </c>
    </row>
    <row r="1502">
      <c r="A1502" s="54" t="n"/>
      <c r="B1502" s="61" t="n"/>
      <c r="C1502" s="61" t="n"/>
      <c r="D1502" s="61" t="n"/>
      <c r="E1502" s="61" t="n"/>
      <c r="F1502" s="55" t="n"/>
      <c r="G1502" s="56" t="n"/>
      <c r="H1502" s="55" t="n"/>
      <c r="I1502" s="62" t="n"/>
      <c r="J1502" s="58" t="n"/>
      <c r="K1502" s="63">
        <f>IF(tblMovement[[#This Row],[Source]]="","",IFERROR(INDEX(tblSources[Type],MATCH(tblMovement[[#This Row],[Source]],tblSources[Source],0)),"?"))</f>
        <v/>
      </c>
      <c r="L1502" s="63">
        <f>IF(tblMovement[[#This Row],[Destination]]="","",IFERROR(INDEX(tblDestinations[Type],MATCH(tblMovement[[#This Row],[Destination]],tblDestinations[Destination],0)),"?"))</f>
        <v/>
      </c>
      <c r="M1502" s="64">
        <f>IF(tblMovement[[#This Row],[Material]]="","",IF(LEFT(tblMovement[[#This Row],[Material]],3)="Ore",1,0))</f>
        <v/>
      </c>
      <c r="N1502" s="59">
        <f>IF(OR(tblMovement[[#This Row],[Tonnes_t]]="",tblMovement[[#This Row],[Grade_gpt]]=""),0,tblMovement[[#This Row],[Tonnes_t]]*tblMovement[[#This Row],[Grade_gpt]]/cfg_TroyOz)</f>
        <v/>
      </c>
      <c r="O1502" s="59">
        <f>IF(tblMovement[[#This Row],[Is_Ore]]=1,tblMovement[[#This Row],[Contained_oz]],0)</f>
        <v/>
      </c>
    </row>
    <row r="1503">
      <c r="A1503" s="54" t="n"/>
      <c r="B1503" s="61" t="n"/>
      <c r="C1503" s="61" t="n"/>
      <c r="D1503" s="61" t="n"/>
      <c r="E1503" s="61" t="n"/>
      <c r="F1503" s="55" t="n"/>
      <c r="G1503" s="56" t="n"/>
      <c r="H1503" s="55" t="n"/>
      <c r="I1503" s="62" t="n"/>
      <c r="J1503" s="58" t="n"/>
      <c r="K1503" s="63">
        <f>IF(tblMovement[[#This Row],[Source]]="","",IFERROR(INDEX(tblSources[Type],MATCH(tblMovement[[#This Row],[Source]],tblSources[Source],0)),"?"))</f>
        <v/>
      </c>
      <c r="L1503" s="63">
        <f>IF(tblMovement[[#This Row],[Destination]]="","",IFERROR(INDEX(tblDestinations[Type],MATCH(tblMovement[[#This Row],[Destination]],tblDestinations[Destination],0)),"?"))</f>
        <v/>
      </c>
      <c r="M1503" s="64">
        <f>IF(tblMovement[[#This Row],[Material]]="","",IF(LEFT(tblMovement[[#This Row],[Material]],3)="Ore",1,0))</f>
        <v/>
      </c>
      <c r="N1503" s="59">
        <f>IF(OR(tblMovement[[#This Row],[Tonnes_t]]="",tblMovement[[#This Row],[Grade_gpt]]=""),0,tblMovement[[#This Row],[Tonnes_t]]*tblMovement[[#This Row],[Grade_gpt]]/cfg_TroyOz)</f>
        <v/>
      </c>
      <c r="O1503" s="59">
        <f>IF(tblMovement[[#This Row],[Is_Ore]]=1,tblMovement[[#This Row],[Contained_oz]],0)</f>
        <v/>
      </c>
    </row>
    <row r="1504">
      <c r="A1504" s="54" t="n"/>
      <c r="B1504" s="61" t="n"/>
      <c r="C1504" s="61" t="n"/>
      <c r="D1504" s="61" t="n"/>
      <c r="E1504" s="61" t="n"/>
      <c r="F1504" s="55" t="n"/>
      <c r="G1504" s="56" t="n"/>
      <c r="H1504" s="55" t="n"/>
      <c r="I1504" s="62" t="n"/>
      <c r="J1504" s="58" t="n"/>
      <c r="K1504" s="63">
        <f>IF(tblMovement[[#This Row],[Source]]="","",IFERROR(INDEX(tblSources[Type],MATCH(tblMovement[[#This Row],[Source]],tblSources[Source],0)),"?"))</f>
        <v/>
      </c>
      <c r="L1504" s="63">
        <f>IF(tblMovement[[#This Row],[Destination]]="","",IFERROR(INDEX(tblDestinations[Type],MATCH(tblMovement[[#This Row],[Destination]],tblDestinations[Destination],0)),"?"))</f>
        <v/>
      </c>
      <c r="M1504" s="64">
        <f>IF(tblMovement[[#This Row],[Material]]="","",IF(LEFT(tblMovement[[#This Row],[Material]],3)="Ore",1,0))</f>
        <v/>
      </c>
      <c r="N1504" s="59">
        <f>IF(OR(tblMovement[[#This Row],[Tonnes_t]]="",tblMovement[[#This Row],[Grade_gpt]]=""),0,tblMovement[[#This Row],[Tonnes_t]]*tblMovement[[#This Row],[Grade_gpt]]/cfg_TroyOz)</f>
        <v/>
      </c>
      <c r="O1504" s="59">
        <f>IF(tblMovement[[#This Row],[Is_Ore]]=1,tblMovement[[#This Row],[Contained_oz]],0)</f>
        <v/>
      </c>
    </row>
    <row r="1505">
      <c r="A1505" s="54" t="n"/>
      <c r="B1505" s="61" t="n"/>
      <c r="C1505" s="61" t="n"/>
      <c r="D1505" s="61" t="n"/>
      <c r="E1505" s="61" t="n"/>
      <c r="F1505" s="55" t="n"/>
      <c r="G1505" s="56" t="n"/>
      <c r="H1505" s="55" t="n"/>
      <c r="I1505" s="62" t="n"/>
      <c r="J1505" s="58" t="n"/>
      <c r="K1505" s="63">
        <f>IF(tblMovement[[#This Row],[Source]]="","",IFERROR(INDEX(tblSources[Type],MATCH(tblMovement[[#This Row],[Source]],tblSources[Source],0)),"?"))</f>
        <v/>
      </c>
      <c r="L1505" s="63">
        <f>IF(tblMovement[[#This Row],[Destination]]="","",IFERROR(INDEX(tblDestinations[Type],MATCH(tblMovement[[#This Row],[Destination]],tblDestinations[Destination],0)),"?"))</f>
        <v/>
      </c>
      <c r="M1505" s="64">
        <f>IF(tblMovement[[#This Row],[Material]]="","",IF(LEFT(tblMovement[[#This Row],[Material]],3)="Ore",1,0))</f>
        <v/>
      </c>
      <c r="N1505" s="59">
        <f>IF(OR(tblMovement[[#This Row],[Tonnes_t]]="",tblMovement[[#This Row],[Grade_gpt]]=""),0,tblMovement[[#This Row],[Tonnes_t]]*tblMovement[[#This Row],[Grade_gpt]]/cfg_TroyOz)</f>
        <v/>
      </c>
      <c r="O1505" s="59">
        <f>IF(tblMovement[[#This Row],[Is_Ore]]=1,tblMovement[[#This Row],[Contained_oz]],0)</f>
        <v/>
      </c>
    </row>
    <row r="1506">
      <c r="A1506" s="54" t="n"/>
      <c r="B1506" s="61" t="n"/>
      <c r="C1506" s="61" t="n"/>
      <c r="D1506" s="61" t="n"/>
      <c r="E1506" s="61" t="n"/>
      <c r="F1506" s="55" t="n"/>
      <c r="G1506" s="56" t="n"/>
      <c r="H1506" s="55" t="n"/>
      <c r="I1506" s="62" t="n"/>
      <c r="J1506" s="58" t="n"/>
      <c r="K1506" s="63">
        <f>IF(tblMovement[[#This Row],[Source]]="","",IFERROR(INDEX(tblSources[Type],MATCH(tblMovement[[#This Row],[Source]],tblSources[Source],0)),"?"))</f>
        <v/>
      </c>
      <c r="L1506" s="63">
        <f>IF(tblMovement[[#This Row],[Destination]]="","",IFERROR(INDEX(tblDestinations[Type],MATCH(tblMovement[[#This Row],[Destination]],tblDestinations[Destination],0)),"?"))</f>
        <v/>
      </c>
      <c r="M1506" s="64">
        <f>IF(tblMovement[[#This Row],[Material]]="","",IF(LEFT(tblMovement[[#This Row],[Material]],3)="Ore",1,0))</f>
        <v/>
      </c>
      <c r="N1506" s="59">
        <f>IF(OR(tblMovement[[#This Row],[Tonnes_t]]="",tblMovement[[#This Row],[Grade_gpt]]=""),0,tblMovement[[#This Row],[Tonnes_t]]*tblMovement[[#This Row],[Grade_gpt]]/cfg_TroyOz)</f>
        <v/>
      </c>
      <c r="O1506" s="59">
        <f>IF(tblMovement[[#This Row],[Is_Ore]]=1,tblMovement[[#This Row],[Contained_oz]],0)</f>
        <v/>
      </c>
    </row>
    <row r="1507">
      <c r="A1507" s="54" t="n"/>
      <c r="B1507" s="61" t="n"/>
      <c r="C1507" s="61" t="n"/>
      <c r="D1507" s="61" t="n"/>
      <c r="E1507" s="61" t="n"/>
      <c r="F1507" s="55" t="n"/>
      <c r="G1507" s="56" t="n"/>
      <c r="H1507" s="55" t="n"/>
      <c r="I1507" s="62" t="n"/>
      <c r="J1507" s="58" t="n"/>
      <c r="K1507" s="63">
        <f>IF(tblMovement[[#This Row],[Source]]="","",IFERROR(INDEX(tblSources[Type],MATCH(tblMovement[[#This Row],[Source]],tblSources[Source],0)),"?"))</f>
        <v/>
      </c>
      <c r="L1507" s="63">
        <f>IF(tblMovement[[#This Row],[Destination]]="","",IFERROR(INDEX(tblDestinations[Type],MATCH(tblMovement[[#This Row],[Destination]],tblDestinations[Destination],0)),"?"))</f>
        <v/>
      </c>
      <c r="M1507" s="64">
        <f>IF(tblMovement[[#This Row],[Material]]="","",IF(LEFT(tblMovement[[#This Row],[Material]],3)="Ore",1,0))</f>
        <v/>
      </c>
      <c r="N1507" s="59">
        <f>IF(OR(tblMovement[[#This Row],[Tonnes_t]]="",tblMovement[[#This Row],[Grade_gpt]]=""),0,tblMovement[[#This Row],[Tonnes_t]]*tblMovement[[#This Row],[Grade_gpt]]/cfg_TroyOz)</f>
        <v/>
      </c>
      <c r="O1507" s="59">
        <f>IF(tblMovement[[#This Row],[Is_Ore]]=1,tblMovement[[#This Row],[Contained_oz]],0)</f>
        <v/>
      </c>
    </row>
    <row r="1508">
      <c r="A1508" s="54" t="n"/>
      <c r="B1508" s="61" t="n"/>
      <c r="C1508" s="61" t="n"/>
      <c r="D1508" s="61" t="n"/>
      <c r="E1508" s="61" t="n"/>
      <c r="F1508" s="55" t="n"/>
      <c r="G1508" s="56" t="n"/>
      <c r="H1508" s="55" t="n"/>
      <c r="I1508" s="62" t="n"/>
      <c r="J1508" s="58" t="n"/>
      <c r="K1508" s="63">
        <f>IF(tblMovement[[#This Row],[Source]]="","",IFERROR(INDEX(tblSources[Type],MATCH(tblMovement[[#This Row],[Source]],tblSources[Source],0)),"?"))</f>
        <v/>
      </c>
      <c r="L1508" s="63">
        <f>IF(tblMovement[[#This Row],[Destination]]="","",IFERROR(INDEX(tblDestinations[Type],MATCH(tblMovement[[#This Row],[Destination]],tblDestinations[Destination],0)),"?"))</f>
        <v/>
      </c>
      <c r="M1508" s="64">
        <f>IF(tblMovement[[#This Row],[Material]]="","",IF(LEFT(tblMovement[[#This Row],[Material]],3)="Ore",1,0))</f>
        <v/>
      </c>
      <c r="N1508" s="59">
        <f>IF(OR(tblMovement[[#This Row],[Tonnes_t]]="",tblMovement[[#This Row],[Grade_gpt]]=""),0,tblMovement[[#This Row],[Tonnes_t]]*tblMovement[[#This Row],[Grade_gpt]]/cfg_TroyOz)</f>
        <v/>
      </c>
      <c r="O1508" s="59">
        <f>IF(tblMovement[[#This Row],[Is_Ore]]=1,tblMovement[[#This Row],[Contained_oz]],0)</f>
        <v/>
      </c>
    </row>
    <row r="1509">
      <c r="A1509" s="54" t="n"/>
      <c r="B1509" s="61" t="n"/>
      <c r="C1509" s="61" t="n"/>
      <c r="D1509" s="61" t="n"/>
      <c r="E1509" s="61" t="n"/>
      <c r="F1509" s="55" t="n"/>
      <c r="G1509" s="56" t="n"/>
      <c r="H1509" s="55" t="n"/>
      <c r="I1509" s="62" t="n"/>
      <c r="J1509" s="58" t="n"/>
      <c r="K1509" s="63">
        <f>IF(tblMovement[[#This Row],[Source]]="","",IFERROR(INDEX(tblSources[Type],MATCH(tblMovement[[#This Row],[Source]],tblSources[Source],0)),"?"))</f>
        <v/>
      </c>
      <c r="L1509" s="63">
        <f>IF(tblMovement[[#This Row],[Destination]]="","",IFERROR(INDEX(tblDestinations[Type],MATCH(tblMovement[[#This Row],[Destination]],tblDestinations[Destination],0)),"?"))</f>
        <v/>
      </c>
      <c r="M1509" s="64">
        <f>IF(tblMovement[[#This Row],[Material]]="","",IF(LEFT(tblMovement[[#This Row],[Material]],3)="Ore",1,0))</f>
        <v/>
      </c>
      <c r="N1509" s="59">
        <f>IF(OR(tblMovement[[#This Row],[Tonnes_t]]="",tblMovement[[#This Row],[Grade_gpt]]=""),0,tblMovement[[#This Row],[Tonnes_t]]*tblMovement[[#This Row],[Grade_gpt]]/cfg_TroyOz)</f>
        <v/>
      </c>
      <c r="O1509" s="59">
        <f>IF(tblMovement[[#This Row],[Is_Ore]]=1,tblMovement[[#This Row],[Contained_oz]],0)</f>
        <v/>
      </c>
    </row>
    <row r="1510">
      <c r="A1510" s="54" t="n"/>
      <c r="B1510" s="61" t="n"/>
      <c r="C1510" s="61" t="n"/>
      <c r="D1510" s="61" t="n"/>
      <c r="E1510" s="61" t="n"/>
      <c r="F1510" s="55" t="n"/>
      <c r="G1510" s="56" t="n"/>
      <c r="H1510" s="55" t="n"/>
      <c r="I1510" s="62" t="n"/>
      <c r="J1510" s="58" t="n"/>
      <c r="K1510" s="63">
        <f>IF(tblMovement[[#This Row],[Source]]="","",IFERROR(INDEX(tblSources[Type],MATCH(tblMovement[[#This Row],[Source]],tblSources[Source],0)),"?"))</f>
        <v/>
      </c>
      <c r="L1510" s="63">
        <f>IF(tblMovement[[#This Row],[Destination]]="","",IFERROR(INDEX(tblDestinations[Type],MATCH(tblMovement[[#This Row],[Destination]],tblDestinations[Destination],0)),"?"))</f>
        <v/>
      </c>
      <c r="M1510" s="64">
        <f>IF(tblMovement[[#This Row],[Material]]="","",IF(LEFT(tblMovement[[#This Row],[Material]],3)="Ore",1,0))</f>
        <v/>
      </c>
      <c r="N1510" s="59">
        <f>IF(OR(tblMovement[[#This Row],[Tonnes_t]]="",tblMovement[[#This Row],[Grade_gpt]]=""),0,tblMovement[[#This Row],[Tonnes_t]]*tblMovement[[#This Row],[Grade_gpt]]/cfg_TroyOz)</f>
        <v/>
      </c>
      <c r="O1510" s="59">
        <f>IF(tblMovement[[#This Row],[Is_Ore]]=1,tblMovement[[#This Row],[Contained_oz]],0)</f>
        <v/>
      </c>
    </row>
    <row r="1511">
      <c r="A1511" s="54" t="n"/>
      <c r="B1511" s="61" t="n"/>
      <c r="C1511" s="61" t="n"/>
      <c r="D1511" s="61" t="n"/>
      <c r="E1511" s="61" t="n"/>
      <c r="F1511" s="55" t="n"/>
      <c r="G1511" s="56" t="n"/>
      <c r="H1511" s="55" t="n"/>
      <c r="I1511" s="62" t="n"/>
      <c r="J1511" s="58" t="n"/>
      <c r="K1511" s="63">
        <f>IF(tblMovement[[#This Row],[Source]]="","",IFERROR(INDEX(tblSources[Type],MATCH(tblMovement[[#This Row],[Source]],tblSources[Source],0)),"?"))</f>
        <v/>
      </c>
      <c r="L1511" s="63">
        <f>IF(tblMovement[[#This Row],[Destination]]="","",IFERROR(INDEX(tblDestinations[Type],MATCH(tblMovement[[#This Row],[Destination]],tblDestinations[Destination],0)),"?"))</f>
        <v/>
      </c>
      <c r="M1511" s="64">
        <f>IF(tblMovement[[#This Row],[Material]]="","",IF(LEFT(tblMovement[[#This Row],[Material]],3)="Ore",1,0))</f>
        <v/>
      </c>
      <c r="N1511" s="59">
        <f>IF(OR(tblMovement[[#This Row],[Tonnes_t]]="",tblMovement[[#This Row],[Grade_gpt]]=""),0,tblMovement[[#This Row],[Tonnes_t]]*tblMovement[[#This Row],[Grade_gpt]]/cfg_TroyOz)</f>
        <v/>
      </c>
      <c r="O1511" s="59">
        <f>IF(tblMovement[[#This Row],[Is_Ore]]=1,tblMovement[[#This Row],[Contained_oz]],0)</f>
        <v/>
      </c>
    </row>
    <row r="1512">
      <c r="A1512" s="54" t="n"/>
      <c r="B1512" s="61" t="n"/>
      <c r="C1512" s="61" t="n"/>
      <c r="D1512" s="61" t="n"/>
      <c r="E1512" s="61" t="n"/>
      <c r="F1512" s="55" t="n"/>
      <c r="G1512" s="56" t="n"/>
      <c r="H1512" s="55" t="n"/>
      <c r="I1512" s="62" t="n"/>
      <c r="J1512" s="58" t="n"/>
      <c r="K1512" s="63">
        <f>IF(tblMovement[[#This Row],[Source]]="","",IFERROR(INDEX(tblSources[Type],MATCH(tblMovement[[#This Row],[Source]],tblSources[Source],0)),"?"))</f>
        <v/>
      </c>
      <c r="L1512" s="63">
        <f>IF(tblMovement[[#This Row],[Destination]]="","",IFERROR(INDEX(tblDestinations[Type],MATCH(tblMovement[[#This Row],[Destination]],tblDestinations[Destination],0)),"?"))</f>
        <v/>
      </c>
      <c r="M1512" s="64">
        <f>IF(tblMovement[[#This Row],[Material]]="","",IF(LEFT(tblMovement[[#This Row],[Material]],3)="Ore",1,0))</f>
        <v/>
      </c>
      <c r="N1512" s="59">
        <f>IF(OR(tblMovement[[#This Row],[Tonnes_t]]="",tblMovement[[#This Row],[Grade_gpt]]=""),0,tblMovement[[#This Row],[Tonnes_t]]*tblMovement[[#This Row],[Grade_gpt]]/cfg_TroyOz)</f>
        <v/>
      </c>
      <c r="O1512" s="59">
        <f>IF(tblMovement[[#This Row],[Is_Ore]]=1,tblMovement[[#This Row],[Contained_oz]],0)</f>
        <v/>
      </c>
    </row>
    <row r="1513">
      <c r="A1513" s="54" t="n"/>
      <c r="B1513" s="61" t="n"/>
      <c r="C1513" s="61" t="n"/>
      <c r="D1513" s="61" t="n"/>
      <c r="E1513" s="61" t="n"/>
      <c r="F1513" s="55" t="n"/>
      <c r="G1513" s="56" t="n"/>
      <c r="H1513" s="55" t="n"/>
      <c r="I1513" s="62" t="n"/>
      <c r="J1513" s="58" t="n"/>
      <c r="K1513" s="63">
        <f>IF(tblMovement[[#This Row],[Source]]="","",IFERROR(INDEX(tblSources[Type],MATCH(tblMovement[[#This Row],[Source]],tblSources[Source],0)),"?"))</f>
        <v/>
      </c>
      <c r="L1513" s="63">
        <f>IF(tblMovement[[#This Row],[Destination]]="","",IFERROR(INDEX(tblDestinations[Type],MATCH(tblMovement[[#This Row],[Destination]],tblDestinations[Destination],0)),"?"))</f>
        <v/>
      </c>
      <c r="M1513" s="64">
        <f>IF(tblMovement[[#This Row],[Material]]="","",IF(LEFT(tblMovement[[#This Row],[Material]],3)="Ore",1,0))</f>
        <v/>
      </c>
      <c r="N1513" s="59">
        <f>IF(OR(tblMovement[[#This Row],[Tonnes_t]]="",tblMovement[[#This Row],[Grade_gpt]]=""),0,tblMovement[[#This Row],[Tonnes_t]]*tblMovement[[#This Row],[Grade_gpt]]/cfg_TroyOz)</f>
        <v/>
      </c>
      <c r="O1513" s="59">
        <f>IF(tblMovement[[#This Row],[Is_Ore]]=1,tblMovement[[#This Row],[Contained_oz]],0)</f>
        <v/>
      </c>
    </row>
    <row r="1514">
      <c r="A1514" s="54" t="n"/>
      <c r="B1514" s="61" t="n"/>
      <c r="C1514" s="61" t="n"/>
      <c r="D1514" s="61" t="n"/>
      <c r="E1514" s="61" t="n"/>
      <c r="F1514" s="55" t="n"/>
      <c r="G1514" s="56" t="n"/>
      <c r="H1514" s="55" t="n"/>
      <c r="I1514" s="62" t="n"/>
      <c r="J1514" s="58" t="n"/>
      <c r="K1514" s="63">
        <f>IF(tblMovement[[#This Row],[Source]]="","",IFERROR(INDEX(tblSources[Type],MATCH(tblMovement[[#This Row],[Source]],tblSources[Source],0)),"?"))</f>
        <v/>
      </c>
      <c r="L1514" s="63">
        <f>IF(tblMovement[[#This Row],[Destination]]="","",IFERROR(INDEX(tblDestinations[Type],MATCH(tblMovement[[#This Row],[Destination]],tblDestinations[Destination],0)),"?"))</f>
        <v/>
      </c>
      <c r="M1514" s="64">
        <f>IF(tblMovement[[#This Row],[Material]]="","",IF(LEFT(tblMovement[[#This Row],[Material]],3)="Ore",1,0))</f>
        <v/>
      </c>
      <c r="N1514" s="59">
        <f>IF(OR(tblMovement[[#This Row],[Tonnes_t]]="",tblMovement[[#This Row],[Grade_gpt]]=""),0,tblMovement[[#This Row],[Tonnes_t]]*tblMovement[[#This Row],[Grade_gpt]]/cfg_TroyOz)</f>
        <v/>
      </c>
      <c r="O1514" s="59">
        <f>IF(tblMovement[[#This Row],[Is_Ore]]=1,tblMovement[[#This Row],[Contained_oz]],0)</f>
        <v/>
      </c>
    </row>
    <row r="1515">
      <c r="A1515" s="54" t="n"/>
      <c r="B1515" s="61" t="n"/>
      <c r="C1515" s="61" t="n"/>
      <c r="D1515" s="61" t="n"/>
      <c r="E1515" s="61" t="n"/>
      <c r="F1515" s="55" t="n"/>
      <c r="G1515" s="56" t="n"/>
      <c r="H1515" s="55" t="n"/>
      <c r="I1515" s="62" t="n"/>
      <c r="J1515" s="58" t="n"/>
      <c r="K1515" s="63">
        <f>IF(tblMovement[[#This Row],[Source]]="","",IFERROR(INDEX(tblSources[Type],MATCH(tblMovement[[#This Row],[Source]],tblSources[Source],0)),"?"))</f>
        <v/>
      </c>
      <c r="L1515" s="63">
        <f>IF(tblMovement[[#This Row],[Destination]]="","",IFERROR(INDEX(tblDestinations[Type],MATCH(tblMovement[[#This Row],[Destination]],tblDestinations[Destination],0)),"?"))</f>
        <v/>
      </c>
      <c r="M1515" s="64">
        <f>IF(tblMovement[[#This Row],[Material]]="","",IF(LEFT(tblMovement[[#This Row],[Material]],3)="Ore",1,0))</f>
        <v/>
      </c>
      <c r="N1515" s="59">
        <f>IF(OR(tblMovement[[#This Row],[Tonnes_t]]="",tblMovement[[#This Row],[Grade_gpt]]=""),0,tblMovement[[#This Row],[Tonnes_t]]*tblMovement[[#This Row],[Grade_gpt]]/cfg_TroyOz)</f>
        <v/>
      </c>
      <c r="O1515" s="59">
        <f>IF(tblMovement[[#This Row],[Is_Ore]]=1,tblMovement[[#This Row],[Contained_oz]],0)</f>
        <v/>
      </c>
    </row>
    <row r="1516">
      <c r="A1516" s="54" t="n"/>
      <c r="B1516" s="61" t="n"/>
      <c r="C1516" s="61" t="n"/>
      <c r="D1516" s="61" t="n"/>
      <c r="E1516" s="61" t="n"/>
      <c r="F1516" s="55" t="n"/>
      <c r="G1516" s="56" t="n"/>
      <c r="H1516" s="55" t="n"/>
      <c r="I1516" s="62" t="n"/>
      <c r="J1516" s="58" t="n"/>
      <c r="K1516" s="63">
        <f>IF(tblMovement[[#This Row],[Source]]="","",IFERROR(INDEX(tblSources[Type],MATCH(tblMovement[[#This Row],[Source]],tblSources[Source],0)),"?"))</f>
        <v/>
      </c>
      <c r="L1516" s="63">
        <f>IF(tblMovement[[#This Row],[Destination]]="","",IFERROR(INDEX(tblDestinations[Type],MATCH(tblMovement[[#This Row],[Destination]],tblDestinations[Destination],0)),"?"))</f>
        <v/>
      </c>
      <c r="M1516" s="64">
        <f>IF(tblMovement[[#This Row],[Material]]="","",IF(LEFT(tblMovement[[#This Row],[Material]],3)="Ore",1,0))</f>
        <v/>
      </c>
      <c r="N1516" s="59">
        <f>IF(OR(tblMovement[[#This Row],[Tonnes_t]]="",tblMovement[[#This Row],[Grade_gpt]]=""),0,tblMovement[[#This Row],[Tonnes_t]]*tblMovement[[#This Row],[Grade_gpt]]/cfg_TroyOz)</f>
        <v/>
      </c>
      <c r="O1516" s="59">
        <f>IF(tblMovement[[#This Row],[Is_Ore]]=1,tblMovement[[#This Row],[Contained_oz]],0)</f>
        <v/>
      </c>
    </row>
    <row r="1517">
      <c r="A1517" s="54" t="n"/>
      <c r="B1517" s="61" t="n"/>
      <c r="C1517" s="61" t="n"/>
      <c r="D1517" s="61" t="n"/>
      <c r="E1517" s="61" t="n"/>
      <c r="F1517" s="55" t="n"/>
      <c r="G1517" s="56" t="n"/>
      <c r="H1517" s="55" t="n"/>
      <c r="I1517" s="62" t="n"/>
      <c r="J1517" s="58" t="n"/>
      <c r="K1517" s="63">
        <f>IF(tblMovement[[#This Row],[Source]]="","",IFERROR(INDEX(tblSources[Type],MATCH(tblMovement[[#This Row],[Source]],tblSources[Source],0)),"?"))</f>
        <v/>
      </c>
      <c r="L1517" s="63">
        <f>IF(tblMovement[[#This Row],[Destination]]="","",IFERROR(INDEX(tblDestinations[Type],MATCH(tblMovement[[#This Row],[Destination]],tblDestinations[Destination],0)),"?"))</f>
        <v/>
      </c>
      <c r="M1517" s="64">
        <f>IF(tblMovement[[#This Row],[Material]]="","",IF(LEFT(tblMovement[[#This Row],[Material]],3)="Ore",1,0))</f>
        <v/>
      </c>
      <c r="N1517" s="59">
        <f>IF(OR(tblMovement[[#This Row],[Tonnes_t]]="",tblMovement[[#This Row],[Grade_gpt]]=""),0,tblMovement[[#This Row],[Tonnes_t]]*tblMovement[[#This Row],[Grade_gpt]]/cfg_TroyOz)</f>
        <v/>
      </c>
      <c r="O1517" s="59">
        <f>IF(tblMovement[[#This Row],[Is_Ore]]=1,tblMovement[[#This Row],[Contained_oz]],0)</f>
        <v/>
      </c>
    </row>
    <row r="1518">
      <c r="A1518" s="54" t="n"/>
      <c r="B1518" s="61" t="n"/>
      <c r="C1518" s="61" t="n"/>
      <c r="D1518" s="61" t="n"/>
      <c r="E1518" s="61" t="n"/>
      <c r="F1518" s="55" t="n"/>
      <c r="G1518" s="56" t="n"/>
      <c r="H1518" s="55" t="n"/>
      <c r="I1518" s="62" t="n"/>
      <c r="J1518" s="58" t="n"/>
      <c r="K1518" s="63">
        <f>IF(tblMovement[[#This Row],[Source]]="","",IFERROR(INDEX(tblSources[Type],MATCH(tblMovement[[#This Row],[Source]],tblSources[Source],0)),"?"))</f>
        <v/>
      </c>
      <c r="L1518" s="63">
        <f>IF(tblMovement[[#This Row],[Destination]]="","",IFERROR(INDEX(tblDestinations[Type],MATCH(tblMovement[[#This Row],[Destination]],tblDestinations[Destination],0)),"?"))</f>
        <v/>
      </c>
      <c r="M1518" s="64">
        <f>IF(tblMovement[[#This Row],[Material]]="","",IF(LEFT(tblMovement[[#This Row],[Material]],3)="Ore",1,0))</f>
        <v/>
      </c>
      <c r="N1518" s="59">
        <f>IF(OR(tblMovement[[#This Row],[Tonnes_t]]="",tblMovement[[#This Row],[Grade_gpt]]=""),0,tblMovement[[#This Row],[Tonnes_t]]*tblMovement[[#This Row],[Grade_gpt]]/cfg_TroyOz)</f>
        <v/>
      </c>
      <c r="O1518" s="59">
        <f>IF(tblMovement[[#This Row],[Is_Ore]]=1,tblMovement[[#This Row],[Contained_oz]],0)</f>
        <v/>
      </c>
    </row>
    <row r="1519">
      <c r="A1519" s="54" t="n"/>
      <c r="B1519" s="61" t="n"/>
      <c r="C1519" s="61" t="n"/>
      <c r="D1519" s="61" t="n"/>
      <c r="E1519" s="61" t="n"/>
      <c r="F1519" s="55" t="n"/>
      <c r="G1519" s="56" t="n"/>
      <c r="H1519" s="55" t="n"/>
      <c r="I1519" s="62" t="n"/>
      <c r="J1519" s="58" t="n"/>
      <c r="K1519" s="63">
        <f>IF(tblMovement[[#This Row],[Source]]="","",IFERROR(INDEX(tblSources[Type],MATCH(tblMovement[[#This Row],[Source]],tblSources[Source],0)),"?"))</f>
        <v/>
      </c>
      <c r="L1519" s="63">
        <f>IF(tblMovement[[#This Row],[Destination]]="","",IFERROR(INDEX(tblDestinations[Type],MATCH(tblMovement[[#This Row],[Destination]],tblDestinations[Destination],0)),"?"))</f>
        <v/>
      </c>
      <c r="M1519" s="64">
        <f>IF(tblMovement[[#This Row],[Material]]="","",IF(LEFT(tblMovement[[#This Row],[Material]],3)="Ore",1,0))</f>
        <v/>
      </c>
      <c r="N1519" s="59">
        <f>IF(OR(tblMovement[[#This Row],[Tonnes_t]]="",tblMovement[[#This Row],[Grade_gpt]]=""),0,tblMovement[[#This Row],[Tonnes_t]]*tblMovement[[#This Row],[Grade_gpt]]/cfg_TroyOz)</f>
        <v/>
      </c>
      <c r="O1519" s="59">
        <f>IF(tblMovement[[#This Row],[Is_Ore]]=1,tblMovement[[#This Row],[Contained_oz]],0)</f>
        <v/>
      </c>
    </row>
    <row r="1520">
      <c r="A1520" s="54" t="n"/>
      <c r="B1520" s="61" t="n"/>
      <c r="C1520" s="61" t="n"/>
      <c r="D1520" s="61" t="n"/>
      <c r="E1520" s="61" t="n"/>
      <c r="F1520" s="55" t="n"/>
      <c r="G1520" s="56" t="n"/>
      <c r="H1520" s="55" t="n"/>
      <c r="I1520" s="62" t="n"/>
      <c r="J1520" s="58" t="n"/>
      <c r="K1520" s="63">
        <f>IF(tblMovement[[#This Row],[Source]]="","",IFERROR(INDEX(tblSources[Type],MATCH(tblMovement[[#This Row],[Source]],tblSources[Source],0)),"?"))</f>
        <v/>
      </c>
      <c r="L1520" s="63">
        <f>IF(tblMovement[[#This Row],[Destination]]="","",IFERROR(INDEX(tblDestinations[Type],MATCH(tblMovement[[#This Row],[Destination]],tblDestinations[Destination],0)),"?"))</f>
        <v/>
      </c>
      <c r="M1520" s="64">
        <f>IF(tblMovement[[#This Row],[Material]]="","",IF(LEFT(tblMovement[[#This Row],[Material]],3)="Ore",1,0))</f>
        <v/>
      </c>
      <c r="N1520" s="59">
        <f>IF(OR(tblMovement[[#This Row],[Tonnes_t]]="",tblMovement[[#This Row],[Grade_gpt]]=""),0,tblMovement[[#This Row],[Tonnes_t]]*tblMovement[[#This Row],[Grade_gpt]]/cfg_TroyOz)</f>
        <v/>
      </c>
      <c r="O1520" s="59">
        <f>IF(tblMovement[[#This Row],[Is_Ore]]=1,tblMovement[[#This Row],[Contained_oz]],0)</f>
        <v/>
      </c>
    </row>
    <row r="1521">
      <c r="A1521" s="54" t="n"/>
      <c r="B1521" s="61" t="n"/>
      <c r="C1521" s="61" t="n"/>
      <c r="D1521" s="61" t="n"/>
      <c r="E1521" s="61" t="n"/>
      <c r="F1521" s="55" t="n"/>
      <c r="G1521" s="56" t="n"/>
      <c r="H1521" s="55" t="n"/>
      <c r="I1521" s="62" t="n"/>
      <c r="J1521" s="58" t="n"/>
      <c r="K1521" s="63">
        <f>IF(tblMovement[[#This Row],[Source]]="","",IFERROR(INDEX(tblSources[Type],MATCH(tblMovement[[#This Row],[Source]],tblSources[Source],0)),"?"))</f>
        <v/>
      </c>
      <c r="L1521" s="63">
        <f>IF(tblMovement[[#This Row],[Destination]]="","",IFERROR(INDEX(tblDestinations[Type],MATCH(tblMovement[[#This Row],[Destination]],tblDestinations[Destination],0)),"?"))</f>
        <v/>
      </c>
      <c r="M1521" s="64">
        <f>IF(tblMovement[[#This Row],[Material]]="","",IF(LEFT(tblMovement[[#This Row],[Material]],3)="Ore",1,0))</f>
        <v/>
      </c>
      <c r="N1521" s="59">
        <f>IF(OR(tblMovement[[#This Row],[Tonnes_t]]="",tblMovement[[#This Row],[Grade_gpt]]=""),0,tblMovement[[#This Row],[Tonnes_t]]*tblMovement[[#This Row],[Grade_gpt]]/cfg_TroyOz)</f>
        <v/>
      </c>
      <c r="O1521" s="59">
        <f>IF(tblMovement[[#This Row],[Is_Ore]]=1,tblMovement[[#This Row],[Contained_oz]],0)</f>
        <v/>
      </c>
    </row>
    <row r="1522">
      <c r="A1522" s="54" t="n"/>
      <c r="B1522" s="61" t="n"/>
      <c r="C1522" s="61" t="n"/>
      <c r="D1522" s="61" t="n"/>
      <c r="E1522" s="61" t="n"/>
      <c r="F1522" s="55" t="n"/>
      <c r="G1522" s="56" t="n"/>
      <c r="H1522" s="55" t="n"/>
      <c r="I1522" s="62" t="n"/>
      <c r="J1522" s="58" t="n"/>
      <c r="K1522" s="63">
        <f>IF(tblMovement[[#This Row],[Source]]="","",IFERROR(INDEX(tblSources[Type],MATCH(tblMovement[[#This Row],[Source]],tblSources[Source],0)),"?"))</f>
        <v/>
      </c>
      <c r="L1522" s="63">
        <f>IF(tblMovement[[#This Row],[Destination]]="","",IFERROR(INDEX(tblDestinations[Type],MATCH(tblMovement[[#This Row],[Destination]],tblDestinations[Destination],0)),"?"))</f>
        <v/>
      </c>
      <c r="M1522" s="64">
        <f>IF(tblMovement[[#This Row],[Material]]="","",IF(LEFT(tblMovement[[#This Row],[Material]],3)="Ore",1,0))</f>
        <v/>
      </c>
      <c r="N1522" s="59">
        <f>IF(OR(tblMovement[[#This Row],[Tonnes_t]]="",tblMovement[[#This Row],[Grade_gpt]]=""),0,tblMovement[[#This Row],[Tonnes_t]]*tblMovement[[#This Row],[Grade_gpt]]/cfg_TroyOz)</f>
        <v/>
      </c>
      <c r="O1522" s="59">
        <f>IF(tblMovement[[#This Row],[Is_Ore]]=1,tblMovement[[#This Row],[Contained_oz]],0)</f>
        <v/>
      </c>
    </row>
    <row r="1523">
      <c r="A1523" s="54" t="n"/>
      <c r="B1523" s="61" t="n"/>
      <c r="C1523" s="61" t="n"/>
      <c r="D1523" s="61" t="n"/>
      <c r="E1523" s="61" t="n"/>
      <c r="F1523" s="55" t="n"/>
      <c r="G1523" s="56" t="n"/>
      <c r="H1523" s="55" t="n"/>
      <c r="I1523" s="62" t="n"/>
      <c r="J1523" s="58" t="n"/>
      <c r="K1523" s="63">
        <f>IF(tblMovement[[#This Row],[Source]]="","",IFERROR(INDEX(tblSources[Type],MATCH(tblMovement[[#This Row],[Source]],tblSources[Source],0)),"?"))</f>
        <v/>
      </c>
      <c r="L1523" s="63">
        <f>IF(tblMovement[[#This Row],[Destination]]="","",IFERROR(INDEX(tblDestinations[Type],MATCH(tblMovement[[#This Row],[Destination]],tblDestinations[Destination],0)),"?"))</f>
        <v/>
      </c>
      <c r="M1523" s="64">
        <f>IF(tblMovement[[#This Row],[Material]]="","",IF(LEFT(tblMovement[[#This Row],[Material]],3)="Ore",1,0))</f>
        <v/>
      </c>
      <c r="N1523" s="59">
        <f>IF(OR(tblMovement[[#This Row],[Tonnes_t]]="",tblMovement[[#This Row],[Grade_gpt]]=""),0,tblMovement[[#This Row],[Tonnes_t]]*tblMovement[[#This Row],[Grade_gpt]]/cfg_TroyOz)</f>
        <v/>
      </c>
      <c r="O1523" s="59">
        <f>IF(tblMovement[[#This Row],[Is_Ore]]=1,tblMovement[[#This Row],[Contained_oz]],0)</f>
        <v/>
      </c>
    </row>
    <row r="1524">
      <c r="A1524" s="54" t="n"/>
      <c r="B1524" s="61" t="n"/>
      <c r="C1524" s="61" t="n"/>
      <c r="D1524" s="61" t="n"/>
      <c r="E1524" s="61" t="n"/>
      <c r="F1524" s="55" t="n"/>
      <c r="G1524" s="56" t="n"/>
      <c r="H1524" s="55" t="n"/>
      <c r="I1524" s="62" t="n"/>
      <c r="J1524" s="58" t="n"/>
      <c r="K1524" s="63">
        <f>IF(tblMovement[[#This Row],[Source]]="","",IFERROR(INDEX(tblSources[Type],MATCH(tblMovement[[#This Row],[Source]],tblSources[Source],0)),"?"))</f>
        <v/>
      </c>
      <c r="L1524" s="63">
        <f>IF(tblMovement[[#This Row],[Destination]]="","",IFERROR(INDEX(tblDestinations[Type],MATCH(tblMovement[[#This Row],[Destination]],tblDestinations[Destination],0)),"?"))</f>
        <v/>
      </c>
      <c r="M1524" s="64">
        <f>IF(tblMovement[[#This Row],[Material]]="","",IF(LEFT(tblMovement[[#This Row],[Material]],3)="Ore",1,0))</f>
        <v/>
      </c>
      <c r="N1524" s="59">
        <f>IF(OR(tblMovement[[#This Row],[Tonnes_t]]="",tblMovement[[#This Row],[Grade_gpt]]=""),0,tblMovement[[#This Row],[Tonnes_t]]*tblMovement[[#This Row],[Grade_gpt]]/cfg_TroyOz)</f>
        <v/>
      </c>
      <c r="O1524" s="59">
        <f>IF(tblMovement[[#This Row],[Is_Ore]]=1,tblMovement[[#This Row],[Contained_oz]],0)</f>
        <v/>
      </c>
    </row>
    <row r="1525">
      <c r="A1525" s="54" t="n"/>
      <c r="B1525" s="61" t="n"/>
      <c r="C1525" s="61" t="n"/>
      <c r="D1525" s="61" t="n"/>
      <c r="E1525" s="61" t="n"/>
      <c r="F1525" s="55" t="n"/>
      <c r="G1525" s="56" t="n"/>
      <c r="H1525" s="55" t="n"/>
      <c r="I1525" s="62" t="n"/>
      <c r="J1525" s="58" t="n"/>
      <c r="K1525" s="63">
        <f>IF(tblMovement[[#This Row],[Source]]="","",IFERROR(INDEX(tblSources[Type],MATCH(tblMovement[[#This Row],[Source]],tblSources[Source],0)),"?"))</f>
        <v/>
      </c>
      <c r="L1525" s="63">
        <f>IF(tblMovement[[#This Row],[Destination]]="","",IFERROR(INDEX(tblDestinations[Type],MATCH(tblMovement[[#This Row],[Destination]],tblDestinations[Destination],0)),"?"))</f>
        <v/>
      </c>
      <c r="M1525" s="64">
        <f>IF(tblMovement[[#This Row],[Material]]="","",IF(LEFT(tblMovement[[#This Row],[Material]],3)="Ore",1,0))</f>
        <v/>
      </c>
      <c r="N1525" s="59">
        <f>IF(OR(tblMovement[[#This Row],[Tonnes_t]]="",tblMovement[[#This Row],[Grade_gpt]]=""),0,tblMovement[[#This Row],[Tonnes_t]]*tblMovement[[#This Row],[Grade_gpt]]/cfg_TroyOz)</f>
        <v/>
      </c>
      <c r="O1525" s="59">
        <f>IF(tblMovement[[#This Row],[Is_Ore]]=1,tblMovement[[#This Row],[Contained_oz]],0)</f>
        <v/>
      </c>
    </row>
    <row r="1526">
      <c r="A1526" s="54" t="n"/>
      <c r="B1526" s="61" t="n"/>
      <c r="C1526" s="61" t="n"/>
      <c r="D1526" s="61" t="n"/>
      <c r="E1526" s="61" t="n"/>
      <c r="F1526" s="55" t="n"/>
      <c r="G1526" s="56" t="n"/>
      <c r="H1526" s="55" t="n"/>
      <c r="I1526" s="62" t="n"/>
      <c r="J1526" s="58" t="n"/>
      <c r="K1526" s="63">
        <f>IF(tblMovement[[#This Row],[Source]]="","",IFERROR(INDEX(tblSources[Type],MATCH(tblMovement[[#This Row],[Source]],tblSources[Source],0)),"?"))</f>
        <v/>
      </c>
      <c r="L1526" s="63">
        <f>IF(tblMovement[[#This Row],[Destination]]="","",IFERROR(INDEX(tblDestinations[Type],MATCH(tblMovement[[#This Row],[Destination]],tblDestinations[Destination],0)),"?"))</f>
        <v/>
      </c>
      <c r="M1526" s="64">
        <f>IF(tblMovement[[#This Row],[Material]]="","",IF(LEFT(tblMovement[[#This Row],[Material]],3)="Ore",1,0))</f>
        <v/>
      </c>
      <c r="N1526" s="59">
        <f>IF(OR(tblMovement[[#This Row],[Tonnes_t]]="",tblMovement[[#This Row],[Grade_gpt]]=""),0,tblMovement[[#This Row],[Tonnes_t]]*tblMovement[[#This Row],[Grade_gpt]]/cfg_TroyOz)</f>
        <v/>
      </c>
      <c r="O1526" s="59">
        <f>IF(tblMovement[[#This Row],[Is_Ore]]=1,tblMovement[[#This Row],[Contained_oz]],0)</f>
        <v/>
      </c>
    </row>
    <row r="1527">
      <c r="A1527" s="54" t="n"/>
      <c r="B1527" s="61" t="n"/>
      <c r="C1527" s="61" t="n"/>
      <c r="D1527" s="61" t="n"/>
      <c r="E1527" s="61" t="n"/>
      <c r="F1527" s="55" t="n"/>
      <c r="G1527" s="56" t="n"/>
      <c r="H1527" s="55" t="n"/>
      <c r="I1527" s="62" t="n"/>
      <c r="J1527" s="58" t="n"/>
      <c r="K1527" s="63">
        <f>IF(tblMovement[[#This Row],[Source]]="","",IFERROR(INDEX(tblSources[Type],MATCH(tblMovement[[#This Row],[Source]],tblSources[Source],0)),"?"))</f>
        <v/>
      </c>
      <c r="L1527" s="63">
        <f>IF(tblMovement[[#This Row],[Destination]]="","",IFERROR(INDEX(tblDestinations[Type],MATCH(tblMovement[[#This Row],[Destination]],tblDestinations[Destination],0)),"?"))</f>
        <v/>
      </c>
      <c r="M1527" s="64">
        <f>IF(tblMovement[[#This Row],[Material]]="","",IF(LEFT(tblMovement[[#This Row],[Material]],3)="Ore",1,0))</f>
        <v/>
      </c>
      <c r="N1527" s="59">
        <f>IF(OR(tblMovement[[#This Row],[Tonnes_t]]="",tblMovement[[#This Row],[Grade_gpt]]=""),0,tblMovement[[#This Row],[Tonnes_t]]*tblMovement[[#This Row],[Grade_gpt]]/cfg_TroyOz)</f>
        <v/>
      </c>
      <c r="O1527" s="59">
        <f>IF(tblMovement[[#This Row],[Is_Ore]]=1,tblMovement[[#This Row],[Contained_oz]],0)</f>
        <v/>
      </c>
    </row>
    <row r="1528">
      <c r="A1528" s="54" t="n"/>
      <c r="B1528" s="61" t="n"/>
      <c r="C1528" s="61" t="n"/>
      <c r="D1528" s="61" t="n"/>
      <c r="E1528" s="61" t="n"/>
      <c r="F1528" s="55" t="n"/>
      <c r="G1528" s="56" t="n"/>
      <c r="H1528" s="55" t="n"/>
      <c r="I1528" s="62" t="n"/>
      <c r="J1528" s="58" t="n"/>
      <c r="K1528" s="63">
        <f>IF(tblMovement[[#This Row],[Source]]="","",IFERROR(INDEX(tblSources[Type],MATCH(tblMovement[[#This Row],[Source]],tblSources[Source],0)),"?"))</f>
        <v/>
      </c>
      <c r="L1528" s="63">
        <f>IF(tblMovement[[#This Row],[Destination]]="","",IFERROR(INDEX(tblDestinations[Type],MATCH(tblMovement[[#This Row],[Destination]],tblDestinations[Destination],0)),"?"))</f>
        <v/>
      </c>
      <c r="M1528" s="64">
        <f>IF(tblMovement[[#This Row],[Material]]="","",IF(LEFT(tblMovement[[#This Row],[Material]],3)="Ore",1,0))</f>
        <v/>
      </c>
      <c r="N1528" s="59">
        <f>IF(OR(tblMovement[[#This Row],[Tonnes_t]]="",tblMovement[[#This Row],[Grade_gpt]]=""),0,tblMovement[[#This Row],[Tonnes_t]]*tblMovement[[#This Row],[Grade_gpt]]/cfg_TroyOz)</f>
        <v/>
      </c>
      <c r="O1528" s="59">
        <f>IF(tblMovement[[#This Row],[Is_Ore]]=1,tblMovement[[#This Row],[Contained_oz]],0)</f>
        <v/>
      </c>
    </row>
    <row r="1529">
      <c r="A1529" s="54" t="n"/>
      <c r="B1529" s="61" t="n"/>
      <c r="C1529" s="61" t="n"/>
      <c r="D1529" s="61" t="n"/>
      <c r="E1529" s="61" t="n"/>
      <c r="F1529" s="55" t="n"/>
      <c r="G1529" s="56" t="n"/>
      <c r="H1529" s="55" t="n"/>
      <c r="I1529" s="62" t="n"/>
      <c r="J1529" s="58" t="n"/>
      <c r="K1529" s="63">
        <f>IF(tblMovement[[#This Row],[Source]]="","",IFERROR(INDEX(tblSources[Type],MATCH(tblMovement[[#This Row],[Source]],tblSources[Source],0)),"?"))</f>
        <v/>
      </c>
      <c r="L1529" s="63">
        <f>IF(tblMovement[[#This Row],[Destination]]="","",IFERROR(INDEX(tblDestinations[Type],MATCH(tblMovement[[#This Row],[Destination]],tblDestinations[Destination],0)),"?"))</f>
        <v/>
      </c>
      <c r="M1529" s="64">
        <f>IF(tblMovement[[#This Row],[Material]]="","",IF(LEFT(tblMovement[[#This Row],[Material]],3)="Ore",1,0))</f>
        <v/>
      </c>
      <c r="N1529" s="59">
        <f>IF(OR(tblMovement[[#This Row],[Tonnes_t]]="",tblMovement[[#This Row],[Grade_gpt]]=""),0,tblMovement[[#This Row],[Tonnes_t]]*tblMovement[[#This Row],[Grade_gpt]]/cfg_TroyOz)</f>
        <v/>
      </c>
      <c r="O1529" s="59">
        <f>IF(tblMovement[[#This Row],[Is_Ore]]=1,tblMovement[[#This Row],[Contained_oz]],0)</f>
        <v/>
      </c>
    </row>
    <row r="1530">
      <c r="A1530" s="54" t="n"/>
      <c r="B1530" s="61" t="n"/>
      <c r="C1530" s="61" t="n"/>
      <c r="D1530" s="61" t="n"/>
      <c r="E1530" s="61" t="n"/>
      <c r="F1530" s="55" t="n"/>
      <c r="G1530" s="56" t="n"/>
      <c r="H1530" s="55" t="n"/>
      <c r="I1530" s="62" t="n"/>
      <c r="J1530" s="58" t="n"/>
      <c r="K1530" s="63">
        <f>IF(tblMovement[[#This Row],[Source]]="","",IFERROR(INDEX(tblSources[Type],MATCH(tblMovement[[#This Row],[Source]],tblSources[Source],0)),"?"))</f>
        <v/>
      </c>
      <c r="L1530" s="63">
        <f>IF(tblMovement[[#This Row],[Destination]]="","",IFERROR(INDEX(tblDestinations[Type],MATCH(tblMovement[[#This Row],[Destination]],tblDestinations[Destination],0)),"?"))</f>
        <v/>
      </c>
      <c r="M1530" s="64">
        <f>IF(tblMovement[[#This Row],[Material]]="","",IF(LEFT(tblMovement[[#This Row],[Material]],3)="Ore",1,0))</f>
        <v/>
      </c>
      <c r="N1530" s="59">
        <f>IF(OR(tblMovement[[#This Row],[Tonnes_t]]="",tblMovement[[#This Row],[Grade_gpt]]=""),0,tblMovement[[#This Row],[Tonnes_t]]*tblMovement[[#This Row],[Grade_gpt]]/cfg_TroyOz)</f>
        <v/>
      </c>
      <c r="O1530" s="59">
        <f>IF(tblMovement[[#This Row],[Is_Ore]]=1,tblMovement[[#This Row],[Contained_oz]],0)</f>
        <v/>
      </c>
    </row>
    <row r="1531">
      <c r="A1531" s="54" t="n"/>
      <c r="B1531" s="61" t="n"/>
      <c r="C1531" s="61" t="n"/>
      <c r="D1531" s="61" t="n"/>
      <c r="E1531" s="61" t="n"/>
      <c r="F1531" s="55" t="n"/>
      <c r="G1531" s="56" t="n"/>
      <c r="H1531" s="55" t="n"/>
      <c r="I1531" s="62" t="n"/>
      <c r="J1531" s="58" t="n"/>
      <c r="K1531" s="63">
        <f>IF(tblMovement[[#This Row],[Source]]="","",IFERROR(INDEX(tblSources[Type],MATCH(tblMovement[[#This Row],[Source]],tblSources[Source],0)),"?"))</f>
        <v/>
      </c>
      <c r="L1531" s="63">
        <f>IF(tblMovement[[#This Row],[Destination]]="","",IFERROR(INDEX(tblDestinations[Type],MATCH(tblMovement[[#This Row],[Destination]],tblDestinations[Destination],0)),"?"))</f>
        <v/>
      </c>
      <c r="M1531" s="64">
        <f>IF(tblMovement[[#This Row],[Material]]="","",IF(LEFT(tblMovement[[#This Row],[Material]],3)="Ore",1,0))</f>
        <v/>
      </c>
      <c r="N1531" s="59">
        <f>IF(OR(tblMovement[[#This Row],[Tonnes_t]]="",tblMovement[[#This Row],[Grade_gpt]]=""),0,tblMovement[[#This Row],[Tonnes_t]]*tblMovement[[#This Row],[Grade_gpt]]/cfg_TroyOz)</f>
        <v/>
      </c>
      <c r="O1531" s="59">
        <f>IF(tblMovement[[#This Row],[Is_Ore]]=1,tblMovement[[#This Row],[Contained_oz]],0)</f>
        <v/>
      </c>
    </row>
    <row r="1532">
      <c r="A1532" s="54" t="n"/>
      <c r="B1532" s="61" t="n"/>
      <c r="C1532" s="61" t="n"/>
      <c r="D1532" s="61" t="n"/>
      <c r="E1532" s="61" t="n"/>
      <c r="F1532" s="55" t="n"/>
      <c r="G1532" s="56" t="n"/>
      <c r="H1532" s="55" t="n"/>
      <c r="I1532" s="62" t="n"/>
      <c r="J1532" s="58" t="n"/>
      <c r="K1532" s="63">
        <f>IF(tblMovement[[#This Row],[Source]]="","",IFERROR(INDEX(tblSources[Type],MATCH(tblMovement[[#This Row],[Source]],tblSources[Source],0)),"?"))</f>
        <v/>
      </c>
      <c r="L1532" s="63">
        <f>IF(tblMovement[[#This Row],[Destination]]="","",IFERROR(INDEX(tblDestinations[Type],MATCH(tblMovement[[#This Row],[Destination]],tblDestinations[Destination],0)),"?"))</f>
        <v/>
      </c>
      <c r="M1532" s="64">
        <f>IF(tblMovement[[#This Row],[Material]]="","",IF(LEFT(tblMovement[[#This Row],[Material]],3)="Ore",1,0))</f>
        <v/>
      </c>
      <c r="N1532" s="59">
        <f>IF(OR(tblMovement[[#This Row],[Tonnes_t]]="",tblMovement[[#This Row],[Grade_gpt]]=""),0,tblMovement[[#This Row],[Tonnes_t]]*tblMovement[[#This Row],[Grade_gpt]]/cfg_TroyOz)</f>
        <v/>
      </c>
      <c r="O1532" s="59">
        <f>IF(tblMovement[[#This Row],[Is_Ore]]=1,tblMovement[[#This Row],[Contained_oz]],0)</f>
        <v/>
      </c>
    </row>
    <row r="1533">
      <c r="A1533" s="54" t="n"/>
      <c r="B1533" s="61" t="n"/>
      <c r="C1533" s="61" t="n"/>
      <c r="D1533" s="61" t="n"/>
      <c r="E1533" s="61" t="n"/>
      <c r="F1533" s="55" t="n"/>
      <c r="G1533" s="56" t="n"/>
      <c r="H1533" s="55" t="n"/>
      <c r="I1533" s="62" t="n"/>
      <c r="J1533" s="58" t="n"/>
      <c r="K1533" s="63">
        <f>IF(tblMovement[[#This Row],[Source]]="","",IFERROR(INDEX(tblSources[Type],MATCH(tblMovement[[#This Row],[Source]],tblSources[Source],0)),"?"))</f>
        <v/>
      </c>
      <c r="L1533" s="63">
        <f>IF(tblMovement[[#This Row],[Destination]]="","",IFERROR(INDEX(tblDestinations[Type],MATCH(tblMovement[[#This Row],[Destination]],tblDestinations[Destination],0)),"?"))</f>
        <v/>
      </c>
      <c r="M1533" s="64">
        <f>IF(tblMovement[[#This Row],[Material]]="","",IF(LEFT(tblMovement[[#This Row],[Material]],3)="Ore",1,0))</f>
        <v/>
      </c>
      <c r="N1533" s="59">
        <f>IF(OR(tblMovement[[#This Row],[Tonnes_t]]="",tblMovement[[#This Row],[Grade_gpt]]=""),0,tblMovement[[#This Row],[Tonnes_t]]*tblMovement[[#This Row],[Grade_gpt]]/cfg_TroyOz)</f>
        <v/>
      </c>
      <c r="O1533" s="59">
        <f>IF(tblMovement[[#This Row],[Is_Ore]]=1,tblMovement[[#This Row],[Contained_oz]],0)</f>
        <v/>
      </c>
    </row>
    <row r="1534">
      <c r="A1534" s="54" t="n"/>
      <c r="B1534" s="61" t="n"/>
      <c r="C1534" s="61" t="n"/>
      <c r="D1534" s="61" t="n"/>
      <c r="E1534" s="61" t="n"/>
      <c r="F1534" s="55" t="n"/>
      <c r="G1534" s="56" t="n"/>
      <c r="H1534" s="55" t="n"/>
      <c r="I1534" s="62" t="n"/>
      <c r="J1534" s="58" t="n"/>
      <c r="K1534" s="63">
        <f>IF(tblMovement[[#This Row],[Source]]="","",IFERROR(INDEX(tblSources[Type],MATCH(tblMovement[[#This Row],[Source]],tblSources[Source],0)),"?"))</f>
        <v/>
      </c>
      <c r="L1534" s="63">
        <f>IF(tblMovement[[#This Row],[Destination]]="","",IFERROR(INDEX(tblDestinations[Type],MATCH(tblMovement[[#This Row],[Destination]],tblDestinations[Destination],0)),"?"))</f>
        <v/>
      </c>
      <c r="M1534" s="64">
        <f>IF(tblMovement[[#This Row],[Material]]="","",IF(LEFT(tblMovement[[#This Row],[Material]],3)="Ore",1,0))</f>
        <v/>
      </c>
      <c r="N1534" s="59">
        <f>IF(OR(tblMovement[[#This Row],[Tonnes_t]]="",tblMovement[[#This Row],[Grade_gpt]]=""),0,tblMovement[[#This Row],[Tonnes_t]]*tblMovement[[#This Row],[Grade_gpt]]/cfg_TroyOz)</f>
        <v/>
      </c>
      <c r="O1534" s="59">
        <f>IF(tblMovement[[#This Row],[Is_Ore]]=1,tblMovement[[#This Row],[Contained_oz]],0)</f>
        <v/>
      </c>
    </row>
    <row r="1535">
      <c r="A1535" s="54" t="n"/>
      <c r="B1535" s="61" t="n"/>
      <c r="C1535" s="61" t="n"/>
      <c r="D1535" s="61" t="n"/>
      <c r="E1535" s="61" t="n"/>
      <c r="F1535" s="55" t="n"/>
      <c r="G1535" s="56" t="n"/>
      <c r="H1535" s="55" t="n"/>
      <c r="I1535" s="62" t="n"/>
      <c r="J1535" s="58" t="n"/>
      <c r="K1535" s="63">
        <f>IF(tblMovement[[#This Row],[Source]]="","",IFERROR(INDEX(tblSources[Type],MATCH(tblMovement[[#This Row],[Source]],tblSources[Source],0)),"?"))</f>
        <v/>
      </c>
      <c r="L1535" s="63">
        <f>IF(tblMovement[[#This Row],[Destination]]="","",IFERROR(INDEX(tblDestinations[Type],MATCH(tblMovement[[#This Row],[Destination]],tblDestinations[Destination],0)),"?"))</f>
        <v/>
      </c>
      <c r="M1535" s="64">
        <f>IF(tblMovement[[#This Row],[Material]]="","",IF(LEFT(tblMovement[[#This Row],[Material]],3)="Ore",1,0))</f>
        <v/>
      </c>
      <c r="N1535" s="59">
        <f>IF(OR(tblMovement[[#This Row],[Tonnes_t]]="",tblMovement[[#This Row],[Grade_gpt]]=""),0,tblMovement[[#This Row],[Tonnes_t]]*tblMovement[[#This Row],[Grade_gpt]]/cfg_TroyOz)</f>
        <v/>
      </c>
      <c r="O1535" s="59">
        <f>IF(tblMovement[[#This Row],[Is_Ore]]=1,tblMovement[[#This Row],[Contained_oz]],0)</f>
        <v/>
      </c>
    </row>
    <row r="1536">
      <c r="A1536" s="54" t="n"/>
      <c r="B1536" s="61" t="n"/>
      <c r="C1536" s="61" t="n"/>
      <c r="D1536" s="61" t="n"/>
      <c r="E1536" s="61" t="n"/>
      <c r="F1536" s="55" t="n"/>
      <c r="G1536" s="56" t="n"/>
      <c r="H1536" s="55" t="n"/>
      <c r="I1536" s="62" t="n"/>
      <c r="J1536" s="58" t="n"/>
      <c r="K1536" s="63">
        <f>IF(tblMovement[[#This Row],[Source]]="","",IFERROR(INDEX(tblSources[Type],MATCH(tblMovement[[#This Row],[Source]],tblSources[Source],0)),"?"))</f>
        <v/>
      </c>
      <c r="L1536" s="63">
        <f>IF(tblMovement[[#This Row],[Destination]]="","",IFERROR(INDEX(tblDestinations[Type],MATCH(tblMovement[[#This Row],[Destination]],tblDestinations[Destination],0)),"?"))</f>
        <v/>
      </c>
      <c r="M1536" s="64">
        <f>IF(tblMovement[[#This Row],[Material]]="","",IF(LEFT(tblMovement[[#This Row],[Material]],3)="Ore",1,0))</f>
        <v/>
      </c>
      <c r="N1536" s="59">
        <f>IF(OR(tblMovement[[#This Row],[Tonnes_t]]="",tblMovement[[#This Row],[Grade_gpt]]=""),0,tblMovement[[#This Row],[Tonnes_t]]*tblMovement[[#This Row],[Grade_gpt]]/cfg_TroyOz)</f>
        <v/>
      </c>
      <c r="O1536" s="59">
        <f>IF(tblMovement[[#This Row],[Is_Ore]]=1,tblMovement[[#This Row],[Contained_oz]],0)</f>
        <v/>
      </c>
    </row>
    <row r="1537">
      <c r="A1537" s="54" t="n"/>
      <c r="B1537" s="61" t="n"/>
      <c r="C1537" s="61" t="n"/>
      <c r="D1537" s="61" t="n"/>
      <c r="E1537" s="61" t="n"/>
      <c r="F1537" s="55" t="n"/>
      <c r="G1537" s="56" t="n"/>
      <c r="H1537" s="55" t="n"/>
      <c r="I1537" s="62" t="n"/>
      <c r="J1537" s="58" t="n"/>
      <c r="K1537" s="63">
        <f>IF(tblMovement[[#This Row],[Source]]="","",IFERROR(INDEX(tblSources[Type],MATCH(tblMovement[[#This Row],[Source]],tblSources[Source],0)),"?"))</f>
        <v/>
      </c>
      <c r="L1537" s="63">
        <f>IF(tblMovement[[#This Row],[Destination]]="","",IFERROR(INDEX(tblDestinations[Type],MATCH(tblMovement[[#This Row],[Destination]],tblDestinations[Destination],0)),"?"))</f>
        <v/>
      </c>
      <c r="M1537" s="64">
        <f>IF(tblMovement[[#This Row],[Material]]="","",IF(LEFT(tblMovement[[#This Row],[Material]],3)="Ore",1,0))</f>
        <v/>
      </c>
      <c r="N1537" s="59">
        <f>IF(OR(tblMovement[[#This Row],[Tonnes_t]]="",tblMovement[[#This Row],[Grade_gpt]]=""),0,tblMovement[[#This Row],[Tonnes_t]]*tblMovement[[#This Row],[Grade_gpt]]/cfg_TroyOz)</f>
        <v/>
      </c>
      <c r="O1537" s="59">
        <f>IF(tblMovement[[#This Row],[Is_Ore]]=1,tblMovement[[#This Row],[Contained_oz]],0)</f>
        <v/>
      </c>
    </row>
    <row r="1538">
      <c r="A1538" s="54" t="n"/>
      <c r="B1538" s="61" t="n"/>
      <c r="C1538" s="61" t="n"/>
      <c r="D1538" s="61" t="n"/>
      <c r="E1538" s="61" t="n"/>
      <c r="F1538" s="55" t="n"/>
      <c r="G1538" s="56" t="n"/>
      <c r="H1538" s="55" t="n"/>
      <c r="I1538" s="62" t="n"/>
      <c r="J1538" s="58" t="n"/>
      <c r="K1538" s="63">
        <f>IF(tblMovement[[#This Row],[Source]]="","",IFERROR(INDEX(tblSources[Type],MATCH(tblMovement[[#This Row],[Source]],tblSources[Source],0)),"?"))</f>
        <v/>
      </c>
      <c r="L1538" s="63">
        <f>IF(tblMovement[[#This Row],[Destination]]="","",IFERROR(INDEX(tblDestinations[Type],MATCH(tblMovement[[#This Row],[Destination]],tblDestinations[Destination],0)),"?"))</f>
        <v/>
      </c>
      <c r="M1538" s="64">
        <f>IF(tblMovement[[#This Row],[Material]]="","",IF(LEFT(tblMovement[[#This Row],[Material]],3)="Ore",1,0))</f>
        <v/>
      </c>
      <c r="N1538" s="59">
        <f>IF(OR(tblMovement[[#This Row],[Tonnes_t]]="",tblMovement[[#This Row],[Grade_gpt]]=""),0,tblMovement[[#This Row],[Tonnes_t]]*tblMovement[[#This Row],[Grade_gpt]]/cfg_TroyOz)</f>
        <v/>
      </c>
      <c r="O1538" s="59">
        <f>IF(tblMovement[[#This Row],[Is_Ore]]=1,tblMovement[[#This Row],[Contained_oz]],0)</f>
        <v/>
      </c>
    </row>
    <row r="1539">
      <c r="A1539" s="54" t="n"/>
      <c r="B1539" s="61" t="n"/>
      <c r="C1539" s="61" t="n"/>
      <c r="D1539" s="61" t="n"/>
      <c r="E1539" s="61" t="n"/>
      <c r="F1539" s="55" t="n"/>
      <c r="G1539" s="56" t="n"/>
      <c r="H1539" s="55" t="n"/>
      <c r="I1539" s="62" t="n"/>
      <c r="J1539" s="58" t="n"/>
      <c r="K1539" s="63">
        <f>IF(tblMovement[[#This Row],[Source]]="","",IFERROR(INDEX(tblSources[Type],MATCH(tblMovement[[#This Row],[Source]],tblSources[Source],0)),"?"))</f>
        <v/>
      </c>
      <c r="L1539" s="63">
        <f>IF(tblMovement[[#This Row],[Destination]]="","",IFERROR(INDEX(tblDestinations[Type],MATCH(tblMovement[[#This Row],[Destination]],tblDestinations[Destination],0)),"?"))</f>
        <v/>
      </c>
      <c r="M1539" s="64">
        <f>IF(tblMovement[[#This Row],[Material]]="","",IF(LEFT(tblMovement[[#This Row],[Material]],3)="Ore",1,0))</f>
        <v/>
      </c>
      <c r="N1539" s="59">
        <f>IF(OR(tblMovement[[#This Row],[Tonnes_t]]="",tblMovement[[#This Row],[Grade_gpt]]=""),0,tblMovement[[#This Row],[Tonnes_t]]*tblMovement[[#This Row],[Grade_gpt]]/cfg_TroyOz)</f>
        <v/>
      </c>
      <c r="O1539" s="59">
        <f>IF(tblMovement[[#This Row],[Is_Ore]]=1,tblMovement[[#This Row],[Contained_oz]],0)</f>
        <v/>
      </c>
    </row>
    <row r="1540">
      <c r="A1540" s="54" t="n"/>
      <c r="B1540" s="61" t="n"/>
      <c r="C1540" s="61" t="n"/>
      <c r="D1540" s="61" t="n"/>
      <c r="E1540" s="61" t="n"/>
      <c r="F1540" s="55" t="n"/>
      <c r="G1540" s="56" t="n"/>
      <c r="H1540" s="55" t="n"/>
      <c r="I1540" s="62" t="n"/>
      <c r="J1540" s="58" t="n"/>
      <c r="K1540" s="63">
        <f>IF(tblMovement[[#This Row],[Source]]="","",IFERROR(INDEX(tblSources[Type],MATCH(tblMovement[[#This Row],[Source]],tblSources[Source],0)),"?"))</f>
        <v/>
      </c>
      <c r="L1540" s="63">
        <f>IF(tblMovement[[#This Row],[Destination]]="","",IFERROR(INDEX(tblDestinations[Type],MATCH(tblMovement[[#This Row],[Destination]],tblDestinations[Destination],0)),"?"))</f>
        <v/>
      </c>
      <c r="M1540" s="64">
        <f>IF(tblMovement[[#This Row],[Material]]="","",IF(LEFT(tblMovement[[#This Row],[Material]],3)="Ore",1,0))</f>
        <v/>
      </c>
      <c r="N1540" s="59">
        <f>IF(OR(tblMovement[[#This Row],[Tonnes_t]]="",tblMovement[[#This Row],[Grade_gpt]]=""),0,tblMovement[[#This Row],[Tonnes_t]]*tblMovement[[#This Row],[Grade_gpt]]/cfg_TroyOz)</f>
        <v/>
      </c>
      <c r="O1540" s="59">
        <f>IF(tblMovement[[#This Row],[Is_Ore]]=1,tblMovement[[#This Row],[Contained_oz]],0)</f>
        <v/>
      </c>
    </row>
    <row r="1541">
      <c r="A1541" s="54" t="n"/>
      <c r="B1541" s="61" t="n"/>
      <c r="C1541" s="61" t="n"/>
      <c r="D1541" s="61" t="n"/>
      <c r="E1541" s="61" t="n"/>
      <c r="F1541" s="55" t="n"/>
      <c r="G1541" s="56" t="n"/>
      <c r="H1541" s="55" t="n"/>
      <c r="I1541" s="62" t="n"/>
      <c r="J1541" s="58" t="n"/>
      <c r="K1541" s="63">
        <f>IF(tblMovement[[#This Row],[Source]]="","",IFERROR(INDEX(tblSources[Type],MATCH(tblMovement[[#This Row],[Source]],tblSources[Source],0)),"?"))</f>
        <v/>
      </c>
      <c r="L1541" s="63">
        <f>IF(tblMovement[[#This Row],[Destination]]="","",IFERROR(INDEX(tblDestinations[Type],MATCH(tblMovement[[#This Row],[Destination]],tblDestinations[Destination],0)),"?"))</f>
        <v/>
      </c>
      <c r="M1541" s="64">
        <f>IF(tblMovement[[#This Row],[Material]]="","",IF(LEFT(tblMovement[[#This Row],[Material]],3)="Ore",1,0))</f>
        <v/>
      </c>
      <c r="N1541" s="59">
        <f>IF(OR(tblMovement[[#This Row],[Tonnes_t]]="",tblMovement[[#This Row],[Grade_gpt]]=""),0,tblMovement[[#This Row],[Tonnes_t]]*tblMovement[[#This Row],[Grade_gpt]]/cfg_TroyOz)</f>
        <v/>
      </c>
      <c r="O1541" s="59">
        <f>IF(tblMovement[[#This Row],[Is_Ore]]=1,tblMovement[[#This Row],[Contained_oz]],0)</f>
        <v/>
      </c>
    </row>
    <row r="1542">
      <c r="A1542" s="54" t="n"/>
      <c r="B1542" s="61" t="n"/>
      <c r="C1542" s="61" t="n"/>
      <c r="D1542" s="61" t="n"/>
      <c r="E1542" s="61" t="n"/>
      <c r="F1542" s="55" t="n"/>
      <c r="G1542" s="56" t="n"/>
      <c r="H1542" s="55" t="n"/>
      <c r="I1542" s="62" t="n"/>
      <c r="J1542" s="58" t="n"/>
      <c r="K1542" s="63">
        <f>IF(tblMovement[[#This Row],[Source]]="","",IFERROR(INDEX(tblSources[Type],MATCH(tblMovement[[#This Row],[Source]],tblSources[Source],0)),"?"))</f>
        <v/>
      </c>
      <c r="L1542" s="63">
        <f>IF(tblMovement[[#This Row],[Destination]]="","",IFERROR(INDEX(tblDestinations[Type],MATCH(tblMovement[[#This Row],[Destination]],tblDestinations[Destination],0)),"?"))</f>
        <v/>
      </c>
      <c r="M1542" s="64">
        <f>IF(tblMovement[[#This Row],[Material]]="","",IF(LEFT(tblMovement[[#This Row],[Material]],3)="Ore",1,0))</f>
        <v/>
      </c>
      <c r="N1542" s="59">
        <f>IF(OR(tblMovement[[#This Row],[Tonnes_t]]="",tblMovement[[#This Row],[Grade_gpt]]=""),0,tblMovement[[#This Row],[Tonnes_t]]*tblMovement[[#This Row],[Grade_gpt]]/cfg_TroyOz)</f>
        <v/>
      </c>
      <c r="O1542" s="59">
        <f>IF(tblMovement[[#This Row],[Is_Ore]]=1,tblMovement[[#This Row],[Contained_oz]],0)</f>
        <v/>
      </c>
    </row>
    <row r="1543">
      <c r="A1543" s="54" t="n"/>
      <c r="B1543" s="61" t="n"/>
      <c r="C1543" s="61" t="n"/>
      <c r="D1543" s="61" t="n"/>
      <c r="E1543" s="61" t="n"/>
      <c r="F1543" s="55" t="n"/>
      <c r="G1543" s="56" t="n"/>
      <c r="H1543" s="55" t="n"/>
      <c r="I1543" s="62" t="n"/>
      <c r="J1543" s="58" t="n"/>
      <c r="K1543" s="63">
        <f>IF(tblMovement[[#This Row],[Source]]="","",IFERROR(INDEX(tblSources[Type],MATCH(tblMovement[[#This Row],[Source]],tblSources[Source],0)),"?"))</f>
        <v/>
      </c>
      <c r="L1543" s="63">
        <f>IF(tblMovement[[#This Row],[Destination]]="","",IFERROR(INDEX(tblDestinations[Type],MATCH(tblMovement[[#This Row],[Destination]],tblDestinations[Destination],0)),"?"))</f>
        <v/>
      </c>
      <c r="M1543" s="64">
        <f>IF(tblMovement[[#This Row],[Material]]="","",IF(LEFT(tblMovement[[#This Row],[Material]],3)="Ore",1,0))</f>
        <v/>
      </c>
      <c r="N1543" s="59">
        <f>IF(OR(tblMovement[[#This Row],[Tonnes_t]]="",tblMovement[[#This Row],[Grade_gpt]]=""),0,tblMovement[[#This Row],[Tonnes_t]]*tblMovement[[#This Row],[Grade_gpt]]/cfg_TroyOz)</f>
        <v/>
      </c>
      <c r="O1543" s="59">
        <f>IF(tblMovement[[#This Row],[Is_Ore]]=1,tblMovement[[#This Row],[Contained_oz]],0)</f>
        <v/>
      </c>
    </row>
    <row r="1544">
      <c r="A1544" s="54" t="n"/>
      <c r="B1544" s="61" t="n"/>
      <c r="C1544" s="61" t="n"/>
      <c r="D1544" s="61" t="n"/>
      <c r="E1544" s="61" t="n"/>
      <c r="F1544" s="55" t="n"/>
      <c r="G1544" s="56" t="n"/>
      <c r="H1544" s="55" t="n"/>
      <c r="I1544" s="62" t="n"/>
      <c r="J1544" s="58" t="n"/>
      <c r="K1544" s="63">
        <f>IF(tblMovement[[#This Row],[Source]]="","",IFERROR(INDEX(tblSources[Type],MATCH(tblMovement[[#This Row],[Source]],tblSources[Source],0)),"?"))</f>
        <v/>
      </c>
      <c r="L1544" s="63">
        <f>IF(tblMovement[[#This Row],[Destination]]="","",IFERROR(INDEX(tblDestinations[Type],MATCH(tblMovement[[#This Row],[Destination]],tblDestinations[Destination],0)),"?"))</f>
        <v/>
      </c>
      <c r="M1544" s="64">
        <f>IF(tblMovement[[#This Row],[Material]]="","",IF(LEFT(tblMovement[[#This Row],[Material]],3)="Ore",1,0))</f>
        <v/>
      </c>
      <c r="N1544" s="59">
        <f>IF(OR(tblMovement[[#This Row],[Tonnes_t]]="",tblMovement[[#This Row],[Grade_gpt]]=""),0,tblMovement[[#This Row],[Tonnes_t]]*tblMovement[[#This Row],[Grade_gpt]]/cfg_TroyOz)</f>
        <v/>
      </c>
      <c r="O1544" s="59">
        <f>IF(tblMovement[[#This Row],[Is_Ore]]=1,tblMovement[[#This Row],[Contained_oz]],0)</f>
        <v/>
      </c>
    </row>
    <row r="1545">
      <c r="A1545" s="54" t="n"/>
      <c r="B1545" s="61" t="n"/>
      <c r="C1545" s="61" t="n"/>
      <c r="D1545" s="61" t="n"/>
      <c r="E1545" s="61" t="n"/>
      <c r="F1545" s="55" t="n"/>
      <c r="G1545" s="56" t="n"/>
      <c r="H1545" s="55" t="n"/>
      <c r="I1545" s="62" t="n"/>
      <c r="J1545" s="58" t="n"/>
      <c r="K1545" s="63">
        <f>IF(tblMovement[[#This Row],[Source]]="","",IFERROR(INDEX(tblSources[Type],MATCH(tblMovement[[#This Row],[Source]],tblSources[Source],0)),"?"))</f>
        <v/>
      </c>
      <c r="L1545" s="63">
        <f>IF(tblMovement[[#This Row],[Destination]]="","",IFERROR(INDEX(tblDestinations[Type],MATCH(tblMovement[[#This Row],[Destination]],tblDestinations[Destination],0)),"?"))</f>
        <v/>
      </c>
      <c r="M1545" s="64">
        <f>IF(tblMovement[[#This Row],[Material]]="","",IF(LEFT(tblMovement[[#This Row],[Material]],3)="Ore",1,0))</f>
        <v/>
      </c>
      <c r="N1545" s="59">
        <f>IF(OR(tblMovement[[#This Row],[Tonnes_t]]="",tblMovement[[#This Row],[Grade_gpt]]=""),0,tblMovement[[#This Row],[Tonnes_t]]*tblMovement[[#This Row],[Grade_gpt]]/cfg_TroyOz)</f>
        <v/>
      </c>
      <c r="O1545" s="59">
        <f>IF(tblMovement[[#This Row],[Is_Ore]]=1,tblMovement[[#This Row],[Contained_oz]],0)</f>
        <v/>
      </c>
    </row>
    <row r="1546">
      <c r="A1546" s="54" t="n"/>
      <c r="B1546" s="61" t="n"/>
      <c r="C1546" s="61" t="n"/>
      <c r="D1546" s="61" t="n"/>
      <c r="E1546" s="61" t="n"/>
      <c r="F1546" s="55" t="n"/>
      <c r="G1546" s="56" t="n"/>
      <c r="H1546" s="55" t="n"/>
      <c r="I1546" s="62" t="n"/>
      <c r="J1546" s="58" t="n"/>
      <c r="K1546" s="63">
        <f>IF(tblMovement[[#This Row],[Source]]="","",IFERROR(INDEX(tblSources[Type],MATCH(tblMovement[[#This Row],[Source]],tblSources[Source],0)),"?"))</f>
        <v/>
      </c>
      <c r="L1546" s="63">
        <f>IF(tblMovement[[#This Row],[Destination]]="","",IFERROR(INDEX(tblDestinations[Type],MATCH(tblMovement[[#This Row],[Destination]],tblDestinations[Destination],0)),"?"))</f>
        <v/>
      </c>
      <c r="M1546" s="64">
        <f>IF(tblMovement[[#This Row],[Material]]="","",IF(LEFT(tblMovement[[#This Row],[Material]],3)="Ore",1,0))</f>
        <v/>
      </c>
      <c r="N1546" s="59">
        <f>IF(OR(tblMovement[[#This Row],[Tonnes_t]]="",tblMovement[[#This Row],[Grade_gpt]]=""),0,tblMovement[[#This Row],[Tonnes_t]]*tblMovement[[#This Row],[Grade_gpt]]/cfg_TroyOz)</f>
        <v/>
      </c>
      <c r="O1546" s="59">
        <f>IF(tblMovement[[#This Row],[Is_Ore]]=1,tblMovement[[#This Row],[Contained_oz]],0)</f>
        <v/>
      </c>
    </row>
    <row r="1547">
      <c r="A1547" s="54" t="n"/>
      <c r="B1547" s="61" t="n"/>
      <c r="C1547" s="61" t="n"/>
      <c r="D1547" s="61" t="n"/>
      <c r="E1547" s="61" t="n"/>
      <c r="F1547" s="55" t="n"/>
      <c r="G1547" s="56" t="n"/>
      <c r="H1547" s="55" t="n"/>
      <c r="I1547" s="62" t="n"/>
      <c r="J1547" s="58" t="n"/>
      <c r="K1547" s="63">
        <f>IF(tblMovement[[#This Row],[Source]]="","",IFERROR(INDEX(tblSources[Type],MATCH(tblMovement[[#This Row],[Source]],tblSources[Source],0)),"?"))</f>
        <v/>
      </c>
      <c r="L1547" s="63">
        <f>IF(tblMovement[[#This Row],[Destination]]="","",IFERROR(INDEX(tblDestinations[Type],MATCH(tblMovement[[#This Row],[Destination]],tblDestinations[Destination],0)),"?"))</f>
        <v/>
      </c>
      <c r="M1547" s="64">
        <f>IF(tblMovement[[#This Row],[Material]]="","",IF(LEFT(tblMovement[[#This Row],[Material]],3)="Ore",1,0))</f>
        <v/>
      </c>
      <c r="N1547" s="59">
        <f>IF(OR(tblMovement[[#This Row],[Tonnes_t]]="",tblMovement[[#This Row],[Grade_gpt]]=""),0,tblMovement[[#This Row],[Tonnes_t]]*tblMovement[[#This Row],[Grade_gpt]]/cfg_TroyOz)</f>
        <v/>
      </c>
      <c r="O1547" s="59">
        <f>IF(tblMovement[[#This Row],[Is_Ore]]=1,tblMovement[[#This Row],[Contained_oz]],0)</f>
        <v/>
      </c>
    </row>
    <row r="1548">
      <c r="A1548" s="54" t="n"/>
      <c r="B1548" s="61" t="n"/>
      <c r="C1548" s="61" t="n"/>
      <c r="D1548" s="61" t="n"/>
      <c r="E1548" s="61" t="n"/>
      <c r="F1548" s="55" t="n"/>
      <c r="G1548" s="56" t="n"/>
      <c r="H1548" s="55" t="n"/>
      <c r="I1548" s="62" t="n"/>
      <c r="J1548" s="58" t="n"/>
      <c r="K1548" s="63">
        <f>IF(tblMovement[[#This Row],[Source]]="","",IFERROR(INDEX(tblSources[Type],MATCH(tblMovement[[#This Row],[Source]],tblSources[Source],0)),"?"))</f>
        <v/>
      </c>
      <c r="L1548" s="63">
        <f>IF(tblMovement[[#This Row],[Destination]]="","",IFERROR(INDEX(tblDestinations[Type],MATCH(tblMovement[[#This Row],[Destination]],tblDestinations[Destination],0)),"?"))</f>
        <v/>
      </c>
      <c r="M1548" s="64">
        <f>IF(tblMovement[[#This Row],[Material]]="","",IF(LEFT(tblMovement[[#This Row],[Material]],3)="Ore",1,0))</f>
        <v/>
      </c>
      <c r="N1548" s="59">
        <f>IF(OR(tblMovement[[#This Row],[Tonnes_t]]="",tblMovement[[#This Row],[Grade_gpt]]=""),0,tblMovement[[#This Row],[Tonnes_t]]*tblMovement[[#This Row],[Grade_gpt]]/cfg_TroyOz)</f>
        <v/>
      </c>
      <c r="O1548" s="59">
        <f>IF(tblMovement[[#This Row],[Is_Ore]]=1,tblMovement[[#This Row],[Contained_oz]],0)</f>
        <v/>
      </c>
    </row>
    <row r="1549">
      <c r="A1549" s="54" t="n"/>
      <c r="B1549" s="61" t="n"/>
      <c r="C1549" s="61" t="n"/>
      <c r="D1549" s="61" t="n"/>
      <c r="E1549" s="61" t="n"/>
      <c r="F1549" s="55" t="n"/>
      <c r="G1549" s="56" t="n"/>
      <c r="H1549" s="55" t="n"/>
      <c r="I1549" s="62" t="n"/>
      <c r="J1549" s="58" t="n"/>
      <c r="K1549" s="63">
        <f>IF(tblMovement[[#This Row],[Source]]="","",IFERROR(INDEX(tblSources[Type],MATCH(tblMovement[[#This Row],[Source]],tblSources[Source],0)),"?"))</f>
        <v/>
      </c>
      <c r="L1549" s="63">
        <f>IF(tblMovement[[#This Row],[Destination]]="","",IFERROR(INDEX(tblDestinations[Type],MATCH(tblMovement[[#This Row],[Destination]],tblDestinations[Destination],0)),"?"))</f>
        <v/>
      </c>
      <c r="M1549" s="64">
        <f>IF(tblMovement[[#This Row],[Material]]="","",IF(LEFT(tblMovement[[#This Row],[Material]],3)="Ore",1,0))</f>
        <v/>
      </c>
      <c r="N1549" s="59">
        <f>IF(OR(tblMovement[[#This Row],[Tonnes_t]]="",tblMovement[[#This Row],[Grade_gpt]]=""),0,tblMovement[[#This Row],[Tonnes_t]]*tblMovement[[#This Row],[Grade_gpt]]/cfg_TroyOz)</f>
        <v/>
      </c>
      <c r="O1549" s="59">
        <f>IF(tblMovement[[#This Row],[Is_Ore]]=1,tblMovement[[#This Row],[Contained_oz]],0)</f>
        <v/>
      </c>
    </row>
    <row r="1550">
      <c r="A1550" s="54" t="n"/>
      <c r="B1550" s="61" t="n"/>
      <c r="C1550" s="61" t="n"/>
      <c r="D1550" s="61" t="n"/>
      <c r="E1550" s="61" t="n"/>
      <c r="F1550" s="55" t="n"/>
      <c r="G1550" s="56" t="n"/>
      <c r="H1550" s="55" t="n"/>
      <c r="I1550" s="62" t="n"/>
      <c r="J1550" s="58" t="n"/>
      <c r="K1550" s="63">
        <f>IF(tblMovement[[#This Row],[Source]]="","",IFERROR(INDEX(tblSources[Type],MATCH(tblMovement[[#This Row],[Source]],tblSources[Source],0)),"?"))</f>
        <v/>
      </c>
      <c r="L1550" s="63">
        <f>IF(tblMovement[[#This Row],[Destination]]="","",IFERROR(INDEX(tblDestinations[Type],MATCH(tblMovement[[#This Row],[Destination]],tblDestinations[Destination],0)),"?"))</f>
        <v/>
      </c>
      <c r="M1550" s="64">
        <f>IF(tblMovement[[#This Row],[Material]]="","",IF(LEFT(tblMovement[[#This Row],[Material]],3)="Ore",1,0))</f>
        <v/>
      </c>
      <c r="N1550" s="59">
        <f>IF(OR(tblMovement[[#This Row],[Tonnes_t]]="",tblMovement[[#This Row],[Grade_gpt]]=""),0,tblMovement[[#This Row],[Tonnes_t]]*tblMovement[[#This Row],[Grade_gpt]]/cfg_TroyOz)</f>
        <v/>
      </c>
      <c r="O1550" s="59">
        <f>IF(tblMovement[[#This Row],[Is_Ore]]=1,tblMovement[[#This Row],[Contained_oz]],0)</f>
        <v/>
      </c>
    </row>
    <row r="1551">
      <c r="A1551" s="54" t="n"/>
      <c r="B1551" s="61" t="n"/>
      <c r="C1551" s="61" t="n"/>
      <c r="D1551" s="61" t="n"/>
      <c r="E1551" s="61" t="n"/>
      <c r="F1551" s="55" t="n"/>
      <c r="G1551" s="56" t="n"/>
      <c r="H1551" s="55" t="n"/>
      <c r="I1551" s="62" t="n"/>
      <c r="J1551" s="58" t="n"/>
      <c r="K1551" s="63">
        <f>IF(tblMovement[[#This Row],[Source]]="","",IFERROR(INDEX(tblSources[Type],MATCH(tblMovement[[#This Row],[Source]],tblSources[Source],0)),"?"))</f>
        <v/>
      </c>
      <c r="L1551" s="63">
        <f>IF(tblMovement[[#This Row],[Destination]]="","",IFERROR(INDEX(tblDestinations[Type],MATCH(tblMovement[[#This Row],[Destination]],tblDestinations[Destination],0)),"?"))</f>
        <v/>
      </c>
      <c r="M1551" s="64">
        <f>IF(tblMovement[[#This Row],[Material]]="","",IF(LEFT(tblMovement[[#This Row],[Material]],3)="Ore",1,0))</f>
        <v/>
      </c>
      <c r="N1551" s="59">
        <f>IF(OR(tblMovement[[#This Row],[Tonnes_t]]="",tblMovement[[#This Row],[Grade_gpt]]=""),0,tblMovement[[#This Row],[Tonnes_t]]*tblMovement[[#This Row],[Grade_gpt]]/cfg_TroyOz)</f>
        <v/>
      </c>
      <c r="O1551" s="59">
        <f>IF(tblMovement[[#This Row],[Is_Ore]]=1,tblMovement[[#This Row],[Contained_oz]],0)</f>
        <v/>
      </c>
    </row>
    <row r="1552">
      <c r="A1552" s="54" t="n"/>
      <c r="B1552" s="61" t="n"/>
      <c r="C1552" s="61" t="n"/>
      <c r="D1552" s="61" t="n"/>
      <c r="E1552" s="61" t="n"/>
      <c r="F1552" s="55" t="n"/>
      <c r="G1552" s="56" t="n"/>
      <c r="H1552" s="55" t="n"/>
      <c r="I1552" s="62" t="n"/>
      <c r="J1552" s="58" t="n"/>
      <c r="K1552" s="63">
        <f>IF(tblMovement[[#This Row],[Source]]="","",IFERROR(INDEX(tblSources[Type],MATCH(tblMovement[[#This Row],[Source]],tblSources[Source],0)),"?"))</f>
        <v/>
      </c>
      <c r="L1552" s="63">
        <f>IF(tblMovement[[#This Row],[Destination]]="","",IFERROR(INDEX(tblDestinations[Type],MATCH(tblMovement[[#This Row],[Destination]],tblDestinations[Destination],0)),"?"))</f>
        <v/>
      </c>
      <c r="M1552" s="64">
        <f>IF(tblMovement[[#This Row],[Material]]="","",IF(LEFT(tblMovement[[#This Row],[Material]],3)="Ore",1,0))</f>
        <v/>
      </c>
      <c r="N1552" s="59">
        <f>IF(OR(tblMovement[[#This Row],[Tonnes_t]]="",tblMovement[[#This Row],[Grade_gpt]]=""),0,tblMovement[[#This Row],[Tonnes_t]]*tblMovement[[#This Row],[Grade_gpt]]/cfg_TroyOz)</f>
        <v/>
      </c>
      <c r="O1552" s="59">
        <f>IF(tblMovement[[#This Row],[Is_Ore]]=1,tblMovement[[#This Row],[Contained_oz]],0)</f>
        <v/>
      </c>
    </row>
    <row r="1553">
      <c r="A1553" s="54" t="n"/>
      <c r="B1553" s="61" t="n"/>
      <c r="C1553" s="61" t="n"/>
      <c r="D1553" s="61" t="n"/>
      <c r="E1553" s="61" t="n"/>
      <c r="F1553" s="55" t="n"/>
      <c r="G1553" s="56" t="n"/>
      <c r="H1553" s="55" t="n"/>
      <c r="I1553" s="62" t="n"/>
      <c r="J1553" s="58" t="n"/>
      <c r="K1553" s="63">
        <f>IF(tblMovement[[#This Row],[Source]]="","",IFERROR(INDEX(tblSources[Type],MATCH(tblMovement[[#This Row],[Source]],tblSources[Source],0)),"?"))</f>
        <v/>
      </c>
      <c r="L1553" s="63">
        <f>IF(tblMovement[[#This Row],[Destination]]="","",IFERROR(INDEX(tblDestinations[Type],MATCH(tblMovement[[#This Row],[Destination]],tblDestinations[Destination],0)),"?"))</f>
        <v/>
      </c>
      <c r="M1553" s="64">
        <f>IF(tblMovement[[#This Row],[Material]]="","",IF(LEFT(tblMovement[[#This Row],[Material]],3)="Ore",1,0))</f>
        <v/>
      </c>
      <c r="N1553" s="59">
        <f>IF(OR(tblMovement[[#This Row],[Tonnes_t]]="",tblMovement[[#This Row],[Grade_gpt]]=""),0,tblMovement[[#This Row],[Tonnes_t]]*tblMovement[[#This Row],[Grade_gpt]]/cfg_TroyOz)</f>
        <v/>
      </c>
      <c r="O1553" s="59">
        <f>IF(tblMovement[[#This Row],[Is_Ore]]=1,tblMovement[[#This Row],[Contained_oz]],0)</f>
        <v/>
      </c>
    </row>
    <row r="1554">
      <c r="A1554" s="54" t="n"/>
      <c r="B1554" s="61" t="n"/>
      <c r="C1554" s="61" t="n"/>
      <c r="D1554" s="61" t="n"/>
      <c r="E1554" s="61" t="n"/>
      <c r="F1554" s="55" t="n"/>
      <c r="G1554" s="56" t="n"/>
      <c r="H1554" s="55" t="n"/>
      <c r="I1554" s="62" t="n"/>
      <c r="J1554" s="58" t="n"/>
      <c r="K1554" s="63">
        <f>IF(tblMovement[[#This Row],[Source]]="","",IFERROR(INDEX(tblSources[Type],MATCH(tblMovement[[#This Row],[Source]],tblSources[Source],0)),"?"))</f>
        <v/>
      </c>
      <c r="L1554" s="63">
        <f>IF(tblMovement[[#This Row],[Destination]]="","",IFERROR(INDEX(tblDestinations[Type],MATCH(tblMovement[[#This Row],[Destination]],tblDestinations[Destination],0)),"?"))</f>
        <v/>
      </c>
      <c r="M1554" s="64">
        <f>IF(tblMovement[[#This Row],[Material]]="","",IF(LEFT(tblMovement[[#This Row],[Material]],3)="Ore",1,0))</f>
        <v/>
      </c>
      <c r="N1554" s="59">
        <f>IF(OR(tblMovement[[#This Row],[Tonnes_t]]="",tblMovement[[#This Row],[Grade_gpt]]=""),0,tblMovement[[#This Row],[Tonnes_t]]*tblMovement[[#This Row],[Grade_gpt]]/cfg_TroyOz)</f>
        <v/>
      </c>
      <c r="O1554" s="59">
        <f>IF(tblMovement[[#This Row],[Is_Ore]]=1,tblMovement[[#This Row],[Contained_oz]],0)</f>
        <v/>
      </c>
    </row>
    <row r="1555">
      <c r="A1555" s="54" t="n"/>
      <c r="B1555" s="61" t="n"/>
      <c r="C1555" s="61" t="n"/>
      <c r="D1555" s="61" t="n"/>
      <c r="E1555" s="61" t="n"/>
      <c r="F1555" s="55" t="n"/>
      <c r="G1555" s="56" t="n"/>
      <c r="H1555" s="55" t="n"/>
      <c r="I1555" s="62" t="n"/>
      <c r="J1555" s="58" t="n"/>
      <c r="K1555" s="63">
        <f>IF(tblMovement[[#This Row],[Source]]="","",IFERROR(INDEX(tblSources[Type],MATCH(tblMovement[[#This Row],[Source]],tblSources[Source],0)),"?"))</f>
        <v/>
      </c>
      <c r="L1555" s="63">
        <f>IF(tblMovement[[#This Row],[Destination]]="","",IFERROR(INDEX(tblDestinations[Type],MATCH(tblMovement[[#This Row],[Destination]],tblDestinations[Destination],0)),"?"))</f>
        <v/>
      </c>
      <c r="M1555" s="64">
        <f>IF(tblMovement[[#This Row],[Material]]="","",IF(LEFT(tblMovement[[#This Row],[Material]],3)="Ore",1,0))</f>
        <v/>
      </c>
      <c r="N1555" s="59">
        <f>IF(OR(tblMovement[[#This Row],[Tonnes_t]]="",tblMovement[[#This Row],[Grade_gpt]]=""),0,tblMovement[[#This Row],[Tonnes_t]]*tblMovement[[#This Row],[Grade_gpt]]/cfg_TroyOz)</f>
        <v/>
      </c>
      <c r="O1555" s="59">
        <f>IF(tblMovement[[#This Row],[Is_Ore]]=1,tblMovement[[#This Row],[Contained_oz]],0)</f>
        <v/>
      </c>
    </row>
    <row r="1556">
      <c r="A1556" s="54" t="n"/>
      <c r="B1556" s="61" t="n"/>
      <c r="C1556" s="61" t="n"/>
      <c r="D1556" s="61" t="n"/>
      <c r="E1556" s="61" t="n"/>
      <c r="F1556" s="55" t="n"/>
      <c r="G1556" s="56" t="n"/>
      <c r="H1556" s="55" t="n"/>
      <c r="I1556" s="62" t="n"/>
      <c r="J1556" s="58" t="n"/>
      <c r="K1556" s="63">
        <f>IF(tblMovement[[#This Row],[Source]]="","",IFERROR(INDEX(tblSources[Type],MATCH(tblMovement[[#This Row],[Source]],tblSources[Source],0)),"?"))</f>
        <v/>
      </c>
      <c r="L1556" s="63">
        <f>IF(tblMovement[[#This Row],[Destination]]="","",IFERROR(INDEX(tblDestinations[Type],MATCH(tblMovement[[#This Row],[Destination]],tblDestinations[Destination],0)),"?"))</f>
        <v/>
      </c>
      <c r="M1556" s="64">
        <f>IF(tblMovement[[#This Row],[Material]]="","",IF(LEFT(tblMovement[[#This Row],[Material]],3)="Ore",1,0))</f>
        <v/>
      </c>
      <c r="N1556" s="59">
        <f>IF(OR(tblMovement[[#This Row],[Tonnes_t]]="",tblMovement[[#This Row],[Grade_gpt]]=""),0,tblMovement[[#This Row],[Tonnes_t]]*tblMovement[[#This Row],[Grade_gpt]]/cfg_TroyOz)</f>
        <v/>
      </c>
      <c r="O1556" s="59">
        <f>IF(tblMovement[[#This Row],[Is_Ore]]=1,tblMovement[[#This Row],[Contained_oz]],0)</f>
        <v/>
      </c>
    </row>
    <row r="1557">
      <c r="A1557" s="54" t="n"/>
      <c r="B1557" s="61" t="n"/>
      <c r="C1557" s="61" t="n"/>
      <c r="D1557" s="61" t="n"/>
      <c r="E1557" s="61" t="n"/>
      <c r="F1557" s="55" t="n"/>
      <c r="G1557" s="56" t="n"/>
      <c r="H1557" s="55" t="n"/>
      <c r="I1557" s="62" t="n"/>
      <c r="J1557" s="58" t="n"/>
      <c r="K1557" s="63">
        <f>IF(tblMovement[[#This Row],[Source]]="","",IFERROR(INDEX(tblSources[Type],MATCH(tblMovement[[#This Row],[Source]],tblSources[Source],0)),"?"))</f>
        <v/>
      </c>
      <c r="L1557" s="63">
        <f>IF(tblMovement[[#This Row],[Destination]]="","",IFERROR(INDEX(tblDestinations[Type],MATCH(tblMovement[[#This Row],[Destination]],tblDestinations[Destination],0)),"?"))</f>
        <v/>
      </c>
      <c r="M1557" s="64">
        <f>IF(tblMovement[[#This Row],[Material]]="","",IF(LEFT(tblMovement[[#This Row],[Material]],3)="Ore",1,0))</f>
        <v/>
      </c>
      <c r="N1557" s="59">
        <f>IF(OR(tblMovement[[#This Row],[Tonnes_t]]="",tblMovement[[#This Row],[Grade_gpt]]=""),0,tblMovement[[#This Row],[Tonnes_t]]*tblMovement[[#This Row],[Grade_gpt]]/cfg_TroyOz)</f>
        <v/>
      </c>
      <c r="O1557" s="59">
        <f>IF(tblMovement[[#This Row],[Is_Ore]]=1,tblMovement[[#This Row],[Contained_oz]],0)</f>
        <v/>
      </c>
    </row>
    <row r="1558">
      <c r="A1558" s="54" t="n"/>
      <c r="B1558" s="61" t="n"/>
      <c r="C1558" s="61" t="n"/>
      <c r="D1558" s="61" t="n"/>
      <c r="E1558" s="61" t="n"/>
      <c r="F1558" s="55" t="n"/>
      <c r="G1558" s="56" t="n"/>
      <c r="H1558" s="55" t="n"/>
      <c r="I1558" s="62" t="n"/>
      <c r="J1558" s="58" t="n"/>
      <c r="K1558" s="63">
        <f>IF(tblMovement[[#This Row],[Source]]="","",IFERROR(INDEX(tblSources[Type],MATCH(tblMovement[[#This Row],[Source]],tblSources[Source],0)),"?"))</f>
        <v/>
      </c>
      <c r="L1558" s="63">
        <f>IF(tblMovement[[#This Row],[Destination]]="","",IFERROR(INDEX(tblDestinations[Type],MATCH(tblMovement[[#This Row],[Destination]],tblDestinations[Destination],0)),"?"))</f>
        <v/>
      </c>
      <c r="M1558" s="64">
        <f>IF(tblMovement[[#This Row],[Material]]="","",IF(LEFT(tblMovement[[#This Row],[Material]],3)="Ore",1,0))</f>
        <v/>
      </c>
      <c r="N1558" s="59">
        <f>IF(OR(tblMovement[[#This Row],[Tonnes_t]]="",tblMovement[[#This Row],[Grade_gpt]]=""),0,tblMovement[[#This Row],[Tonnes_t]]*tblMovement[[#This Row],[Grade_gpt]]/cfg_TroyOz)</f>
        <v/>
      </c>
      <c r="O1558" s="59">
        <f>IF(tblMovement[[#This Row],[Is_Ore]]=1,tblMovement[[#This Row],[Contained_oz]],0)</f>
        <v/>
      </c>
    </row>
    <row r="1559">
      <c r="A1559" s="54" t="n"/>
      <c r="B1559" s="61" t="n"/>
      <c r="C1559" s="61" t="n"/>
      <c r="D1559" s="61" t="n"/>
      <c r="E1559" s="61" t="n"/>
      <c r="F1559" s="55" t="n"/>
      <c r="G1559" s="56" t="n"/>
      <c r="H1559" s="55" t="n"/>
      <c r="I1559" s="62" t="n"/>
      <c r="J1559" s="58" t="n"/>
      <c r="K1559" s="63">
        <f>IF(tblMovement[[#This Row],[Source]]="","",IFERROR(INDEX(tblSources[Type],MATCH(tblMovement[[#This Row],[Source]],tblSources[Source],0)),"?"))</f>
        <v/>
      </c>
      <c r="L1559" s="63">
        <f>IF(tblMovement[[#This Row],[Destination]]="","",IFERROR(INDEX(tblDestinations[Type],MATCH(tblMovement[[#This Row],[Destination]],tblDestinations[Destination],0)),"?"))</f>
        <v/>
      </c>
      <c r="M1559" s="64">
        <f>IF(tblMovement[[#This Row],[Material]]="","",IF(LEFT(tblMovement[[#This Row],[Material]],3)="Ore",1,0))</f>
        <v/>
      </c>
      <c r="N1559" s="59">
        <f>IF(OR(tblMovement[[#This Row],[Tonnes_t]]="",tblMovement[[#This Row],[Grade_gpt]]=""),0,tblMovement[[#This Row],[Tonnes_t]]*tblMovement[[#This Row],[Grade_gpt]]/cfg_TroyOz)</f>
        <v/>
      </c>
      <c r="O1559" s="59">
        <f>IF(tblMovement[[#This Row],[Is_Ore]]=1,tblMovement[[#This Row],[Contained_oz]],0)</f>
        <v/>
      </c>
    </row>
    <row r="1560">
      <c r="A1560" s="54" t="n"/>
      <c r="B1560" s="61" t="n"/>
      <c r="C1560" s="61" t="n"/>
      <c r="D1560" s="61" t="n"/>
      <c r="E1560" s="61" t="n"/>
      <c r="F1560" s="55" t="n"/>
      <c r="G1560" s="56" t="n"/>
      <c r="H1560" s="55" t="n"/>
      <c r="I1560" s="62" t="n"/>
      <c r="J1560" s="58" t="n"/>
      <c r="K1560" s="63">
        <f>IF(tblMovement[[#This Row],[Source]]="","",IFERROR(INDEX(tblSources[Type],MATCH(tblMovement[[#This Row],[Source]],tblSources[Source],0)),"?"))</f>
        <v/>
      </c>
      <c r="L1560" s="63">
        <f>IF(tblMovement[[#This Row],[Destination]]="","",IFERROR(INDEX(tblDestinations[Type],MATCH(tblMovement[[#This Row],[Destination]],tblDestinations[Destination],0)),"?"))</f>
        <v/>
      </c>
      <c r="M1560" s="64">
        <f>IF(tblMovement[[#This Row],[Material]]="","",IF(LEFT(tblMovement[[#This Row],[Material]],3)="Ore",1,0))</f>
        <v/>
      </c>
      <c r="N1560" s="59">
        <f>IF(OR(tblMovement[[#This Row],[Tonnes_t]]="",tblMovement[[#This Row],[Grade_gpt]]=""),0,tblMovement[[#This Row],[Tonnes_t]]*tblMovement[[#This Row],[Grade_gpt]]/cfg_TroyOz)</f>
        <v/>
      </c>
      <c r="O1560" s="59">
        <f>IF(tblMovement[[#This Row],[Is_Ore]]=1,tblMovement[[#This Row],[Contained_oz]],0)</f>
        <v/>
      </c>
    </row>
    <row r="1561">
      <c r="A1561" s="54" t="n"/>
      <c r="B1561" s="61" t="n"/>
      <c r="C1561" s="61" t="n"/>
      <c r="D1561" s="61" t="n"/>
      <c r="E1561" s="61" t="n"/>
      <c r="F1561" s="55" t="n"/>
      <c r="G1561" s="56" t="n"/>
      <c r="H1561" s="55" t="n"/>
      <c r="I1561" s="62" t="n"/>
      <c r="J1561" s="58" t="n"/>
      <c r="K1561" s="63">
        <f>IF(tblMovement[[#This Row],[Source]]="","",IFERROR(INDEX(tblSources[Type],MATCH(tblMovement[[#This Row],[Source]],tblSources[Source],0)),"?"))</f>
        <v/>
      </c>
      <c r="L1561" s="63">
        <f>IF(tblMovement[[#This Row],[Destination]]="","",IFERROR(INDEX(tblDestinations[Type],MATCH(tblMovement[[#This Row],[Destination]],tblDestinations[Destination],0)),"?"))</f>
        <v/>
      </c>
      <c r="M1561" s="64">
        <f>IF(tblMovement[[#This Row],[Material]]="","",IF(LEFT(tblMovement[[#This Row],[Material]],3)="Ore",1,0))</f>
        <v/>
      </c>
      <c r="N1561" s="59">
        <f>IF(OR(tblMovement[[#This Row],[Tonnes_t]]="",tblMovement[[#This Row],[Grade_gpt]]=""),0,tblMovement[[#This Row],[Tonnes_t]]*tblMovement[[#This Row],[Grade_gpt]]/cfg_TroyOz)</f>
        <v/>
      </c>
      <c r="O1561" s="59">
        <f>IF(tblMovement[[#This Row],[Is_Ore]]=1,tblMovement[[#This Row],[Contained_oz]],0)</f>
        <v/>
      </c>
    </row>
    <row r="1562">
      <c r="A1562" s="54" t="n"/>
      <c r="B1562" s="61" t="n"/>
      <c r="C1562" s="61" t="n"/>
      <c r="D1562" s="61" t="n"/>
      <c r="E1562" s="61" t="n"/>
      <c r="F1562" s="55" t="n"/>
      <c r="G1562" s="56" t="n"/>
      <c r="H1562" s="55" t="n"/>
      <c r="I1562" s="62" t="n"/>
      <c r="J1562" s="58" t="n"/>
      <c r="K1562" s="63">
        <f>IF(tblMovement[[#This Row],[Source]]="","",IFERROR(INDEX(tblSources[Type],MATCH(tblMovement[[#This Row],[Source]],tblSources[Source],0)),"?"))</f>
        <v/>
      </c>
      <c r="L1562" s="63">
        <f>IF(tblMovement[[#This Row],[Destination]]="","",IFERROR(INDEX(tblDestinations[Type],MATCH(tblMovement[[#This Row],[Destination]],tblDestinations[Destination],0)),"?"))</f>
        <v/>
      </c>
      <c r="M1562" s="64">
        <f>IF(tblMovement[[#This Row],[Material]]="","",IF(LEFT(tblMovement[[#This Row],[Material]],3)="Ore",1,0))</f>
        <v/>
      </c>
      <c r="N1562" s="59">
        <f>IF(OR(tblMovement[[#This Row],[Tonnes_t]]="",tblMovement[[#This Row],[Grade_gpt]]=""),0,tblMovement[[#This Row],[Tonnes_t]]*tblMovement[[#This Row],[Grade_gpt]]/cfg_TroyOz)</f>
        <v/>
      </c>
      <c r="O1562" s="59">
        <f>IF(tblMovement[[#This Row],[Is_Ore]]=1,tblMovement[[#This Row],[Contained_oz]],0)</f>
        <v/>
      </c>
    </row>
    <row r="1563">
      <c r="A1563" s="54" t="n"/>
      <c r="B1563" s="61" t="n"/>
      <c r="C1563" s="61" t="n"/>
      <c r="D1563" s="61" t="n"/>
      <c r="E1563" s="61" t="n"/>
      <c r="F1563" s="55" t="n"/>
      <c r="G1563" s="56" t="n"/>
      <c r="H1563" s="55" t="n"/>
      <c r="I1563" s="62" t="n"/>
      <c r="J1563" s="58" t="n"/>
      <c r="K1563" s="63">
        <f>IF(tblMovement[[#This Row],[Source]]="","",IFERROR(INDEX(tblSources[Type],MATCH(tblMovement[[#This Row],[Source]],tblSources[Source],0)),"?"))</f>
        <v/>
      </c>
      <c r="L1563" s="63">
        <f>IF(tblMovement[[#This Row],[Destination]]="","",IFERROR(INDEX(tblDestinations[Type],MATCH(tblMovement[[#This Row],[Destination]],tblDestinations[Destination],0)),"?"))</f>
        <v/>
      </c>
      <c r="M1563" s="64">
        <f>IF(tblMovement[[#This Row],[Material]]="","",IF(LEFT(tblMovement[[#This Row],[Material]],3)="Ore",1,0))</f>
        <v/>
      </c>
      <c r="N1563" s="59">
        <f>IF(OR(tblMovement[[#This Row],[Tonnes_t]]="",tblMovement[[#This Row],[Grade_gpt]]=""),0,tblMovement[[#This Row],[Tonnes_t]]*tblMovement[[#This Row],[Grade_gpt]]/cfg_TroyOz)</f>
        <v/>
      </c>
      <c r="O1563" s="59">
        <f>IF(tblMovement[[#This Row],[Is_Ore]]=1,tblMovement[[#This Row],[Contained_oz]],0)</f>
        <v/>
      </c>
    </row>
    <row r="1564">
      <c r="A1564" s="54" t="n"/>
      <c r="B1564" s="61" t="n"/>
      <c r="C1564" s="61" t="n"/>
      <c r="D1564" s="61" t="n"/>
      <c r="E1564" s="61" t="n"/>
      <c r="F1564" s="55" t="n"/>
      <c r="G1564" s="56" t="n"/>
      <c r="H1564" s="55" t="n"/>
      <c r="I1564" s="62" t="n"/>
      <c r="J1564" s="58" t="n"/>
      <c r="K1564" s="63">
        <f>IF(tblMovement[[#This Row],[Source]]="","",IFERROR(INDEX(tblSources[Type],MATCH(tblMovement[[#This Row],[Source]],tblSources[Source],0)),"?"))</f>
        <v/>
      </c>
      <c r="L1564" s="63">
        <f>IF(tblMovement[[#This Row],[Destination]]="","",IFERROR(INDEX(tblDestinations[Type],MATCH(tblMovement[[#This Row],[Destination]],tblDestinations[Destination],0)),"?"))</f>
        <v/>
      </c>
      <c r="M1564" s="64">
        <f>IF(tblMovement[[#This Row],[Material]]="","",IF(LEFT(tblMovement[[#This Row],[Material]],3)="Ore",1,0))</f>
        <v/>
      </c>
      <c r="N1564" s="59">
        <f>IF(OR(tblMovement[[#This Row],[Tonnes_t]]="",tblMovement[[#This Row],[Grade_gpt]]=""),0,tblMovement[[#This Row],[Tonnes_t]]*tblMovement[[#This Row],[Grade_gpt]]/cfg_TroyOz)</f>
        <v/>
      </c>
      <c r="O1564" s="59">
        <f>IF(tblMovement[[#This Row],[Is_Ore]]=1,tblMovement[[#This Row],[Contained_oz]],0)</f>
        <v/>
      </c>
    </row>
    <row r="1565">
      <c r="A1565" s="54" t="n"/>
      <c r="B1565" s="61" t="n"/>
      <c r="C1565" s="61" t="n"/>
      <c r="D1565" s="61" t="n"/>
      <c r="E1565" s="61" t="n"/>
      <c r="F1565" s="55" t="n"/>
      <c r="G1565" s="56" t="n"/>
      <c r="H1565" s="55" t="n"/>
      <c r="I1565" s="62" t="n"/>
      <c r="J1565" s="58" t="n"/>
      <c r="K1565" s="63">
        <f>IF(tblMovement[[#This Row],[Source]]="","",IFERROR(INDEX(tblSources[Type],MATCH(tblMovement[[#This Row],[Source]],tblSources[Source],0)),"?"))</f>
        <v/>
      </c>
      <c r="L1565" s="63">
        <f>IF(tblMovement[[#This Row],[Destination]]="","",IFERROR(INDEX(tblDestinations[Type],MATCH(tblMovement[[#This Row],[Destination]],tblDestinations[Destination],0)),"?"))</f>
        <v/>
      </c>
      <c r="M1565" s="64">
        <f>IF(tblMovement[[#This Row],[Material]]="","",IF(LEFT(tblMovement[[#This Row],[Material]],3)="Ore",1,0))</f>
        <v/>
      </c>
      <c r="N1565" s="59">
        <f>IF(OR(tblMovement[[#This Row],[Tonnes_t]]="",tblMovement[[#This Row],[Grade_gpt]]=""),0,tblMovement[[#This Row],[Tonnes_t]]*tblMovement[[#This Row],[Grade_gpt]]/cfg_TroyOz)</f>
        <v/>
      </c>
      <c r="O1565" s="59">
        <f>IF(tblMovement[[#This Row],[Is_Ore]]=1,tblMovement[[#This Row],[Contained_oz]],0)</f>
        <v/>
      </c>
    </row>
    <row r="1566">
      <c r="A1566" s="54" t="n"/>
      <c r="B1566" s="61" t="n"/>
      <c r="C1566" s="61" t="n"/>
      <c r="D1566" s="61" t="n"/>
      <c r="E1566" s="61" t="n"/>
      <c r="F1566" s="55" t="n"/>
      <c r="G1566" s="56" t="n"/>
      <c r="H1566" s="55" t="n"/>
      <c r="I1566" s="62" t="n"/>
      <c r="J1566" s="58" t="n"/>
      <c r="K1566" s="63">
        <f>IF(tblMovement[[#This Row],[Source]]="","",IFERROR(INDEX(tblSources[Type],MATCH(tblMovement[[#This Row],[Source]],tblSources[Source],0)),"?"))</f>
        <v/>
      </c>
      <c r="L1566" s="63">
        <f>IF(tblMovement[[#This Row],[Destination]]="","",IFERROR(INDEX(tblDestinations[Type],MATCH(tblMovement[[#This Row],[Destination]],tblDestinations[Destination],0)),"?"))</f>
        <v/>
      </c>
      <c r="M1566" s="64">
        <f>IF(tblMovement[[#This Row],[Material]]="","",IF(LEFT(tblMovement[[#This Row],[Material]],3)="Ore",1,0))</f>
        <v/>
      </c>
      <c r="N1566" s="59">
        <f>IF(OR(tblMovement[[#This Row],[Tonnes_t]]="",tblMovement[[#This Row],[Grade_gpt]]=""),0,tblMovement[[#This Row],[Tonnes_t]]*tblMovement[[#This Row],[Grade_gpt]]/cfg_TroyOz)</f>
        <v/>
      </c>
      <c r="O1566" s="59">
        <f>IF(tblMovement[[#This Row],[Is_Ore]]=1,tblMovement[[#This Row],[Contained_oz]],0)</f>
        <v/>
      </c>
    </row>
    <row r="1567">
      <c r="A1567" s="54" t="n"/>
      <c r="B1567" s="61" t="n"/>
      <c r="C1567" s="61" t="n"/>
      <c r="D1567" s="61" t="n"/>
      <c r="E1567" s="61" t="n"/>
      <c r="F1567" s="55" t="n"/>
      <c r="G1567" s="56" t="n"/>
      <c r="H1567" s="55" t="n"/>
      <c r="I1567" s="62" t="n"/>
      <c r="J1567" s="58" t="n"/>
      <c r="K1567" s="63">
        <f>IF(tblMovement[[#This Row],[Source]]="","",IFERROR(INDEX(tblSources[Type],MATCH(tblMovement[[#This Row],[Source]],tblSources[Source],0)),"?"))</f>
        <v/>
      </c>
      <c r="L1567" s="63">
        <f>IF(tblMovement[[#This Row],[Destination]]="","",IFERROR(INDEX(tblDestinations[Type],MATCH(tblMovement[[#This Row],[Destination]],tblDestinations[Destination],0)),"?"))</f>
        <v/>
      </c>
      <c r="M1567" s="64">
        <f>IF(tblMovement[[#This Row],[Material]]="","",IF(LEFT(tblMovement[[#This Row],[Material]],3)="Ore",1,0))</f>
        <v/>
      </c>
      <c r="N1567" s="59">
        <f>IF(OR(tblMovement[[#This Row],[Tonnes_t]]="",tblMovement[[#This Row],[Grade_gpt]]=""),0,tblMovement[[#This Row],[Tonnes_t]]*tblMovement[[#This Row],[Grade_gpt]]/cfg_TroyOz)</f>
        <v/>
      </c>
      <c r="O1567" s="59">
        <f>IF(tblMovement[[#This Row],[Is_Ore]]=1,tblMovement[[#This Row],[Contained_oz]],0)</f>
        <v/>
      </c>
    </row>
    <row r="1568">
      <c r="A1568" s="54" t="n"/>
      <c r="B1568" s="61" t="n"/>
      <c r="C1568" s="61" t="n"/>
      <c r="D1568" s="61" t="n"/>
      <c r="E1568" s="61" t="n"/>
      <c r="F1568" s="55" t="n"/>
      <c r="G1568" s="56" t="n"/>
      <c r="H1568" s="55" t="n"/>
      <c r="I1568" s="62" t="n"/>
      <c r="J1568" s="58" t="n"/>
      <c r="K1568" s="63">
        <f>IF(tblMovement[[#This Row],[Source]]="","",IFERROR(INDEX(tblSources[Type],MATCH(tblMovement[[#This Row],[Source]],tblSources[Source],0)),"?"))</f>
        <v/>
      </c>
      <c r="L1568" s="63">
        <f>IF(tblMovement[[#This Row],[Destination]]="","",IFERROR(INDEX(tblDestinations[Type],MATCH(tblMovement[[#This Row],[Destination]],tblDestinations[Destination],0)),"?"))</f>
        <v/>
      </c>
      <c r="M1568" s="64">
        <f>IF(tblMovement[[#This Row],[Material]]="","",IF(LEFT(tblMovement[[#This Row],[Material]],3)="Ore",1,0))</f>
        <v/>
      </c>
      <c r="N1568" s="59">
        <f>IF(OR(tblMovement[[#This Row],[Tonnes_t]]="",tblMovement[[#This Row],[Grade_gpt]]=""),0,tblMovement[[#This Row],[Tonnes_t]]*tblMovement[[#This Row],[Grade_gpt]]/cfg_TroyOz)</f>
        <v/>
      </c>
      <c r="O1568" s="59">
        <f>IF(tblMovement[[#This Row],[Is_Ore]]=1,tblMovement[[#This Row],[Contained_oz]],0)</f>
        <v/>
      </c>
    </row>
    <row r="1569">
      <c r="A1569" s="54" t="n"/>
      <c r="B1569" s="61" t="n"/>
      <c r="C1569" s="61" t="n"/>
      <c r="D1569" s="61" t="n"/>
      <c r="E1569" s="61" t="n"/>
      <c r="F1569" s="55" t="n"/>
      <c r="G1569" s="56" t="n"/>
      <c r="H1569" s="55" t="n"/>
      <c r="I1569" s="62" t="n"/>
      <c r="J1569" s="58" t="n"/>
      <c r="K1569" s="63">
        <f>IF(tblMovement[[#This Row],[Source]]="","",IFERROR(INDEX(tblSources[Type],MATCH(tblMovement[[#This Row],[Source]],tblSources[Source],0)),"?"))</f>
        <v/>
      </c>
      <c r="L1569" s="63">
        <f>IF(tblMovement[[#This Row],[Destination]]="","",IFERROR(INDEX(tblDestinations[Type],MATCH(tblMovement[[#This Row],[Destination]],tblDestinations[Destination],0)),"?"))</f>
        <v/>
      </c>
      <c r="M1569" s="64">
        <f>IF(tblMovement[[#This Row],[Material]]="","",IF(LEFT(tblMovement[[#This Row],[Material]],3)="Ore",1,0))</f>
        <v/>
      </c>
      <c r="N1569" s="59">
        <f>IF(OR(tblMovement[[#This Row],[Tonnes_t]]="",tblMovement[[#This Row],[Grade_gpt]]=""),0,tblMovement[[#This Row],[Tonnes_t]]*tblMovement[[#This Row],[Grade_gpt]]/cfg_TroyOz)</f>
        <v/>
      </c>
      <c r="O1569" s="59">
        <f>IF(tblMovement[[#This Row],[Is_Ore]]=1,tblMovement[[#This Row],[Contained_oz]],0)</f>
        <v/>
      </c>
    </row>
    <row r="1570">
      <c r="A1570" s="54" t="n"/>
      <c r="B1570" s="61" t="n"/>
      <c r="C1570" s="61" t="n"/>
      <c r="D1570" s="61" t="n"/>
      <c r="E1570" s="61" t="n"/>
      <c r="F1570" s="55" t="n"/>
      <c r="G1570" s="56" t="n"/>
      <c r="H1570" s="55" t="n"/>
      <c r="I1570" s="62" t="n"/>
      <c r="J1570" s="58" t="n"/>
      <c r="K1570" s="63">
        <f>IF(tblMovement[[#This Row],[Source]]="","",IFERROR(INDEX(tblSources[Type],MATCH(tblMovement[[#This Row],[Source]],tblSources[Source],0)),"?"))</f>
        <v/>
      </c>
      <c r="L1570" s="63">
        <f>IF(tblMovement[[#This Row],[Destination]]="","",IFERROR(INDEX(tblDestinations[Type],MATCH(tblMovement[[#This Row],[Destination]],tblDestinations[Destination],0)),"?"))</f>
        <v/>
      </c>
      <c r="M1570" s="64">
        <f>IF(tblMovement[[#This Row],[Material]]="","",IF(LEFT(tblMovement[[#This Row],[Material]],3)="Ore",1,0))</f>
        <v/>
      </c>
      <c r="N1570" s="59">
        <f>IF(OR(tblMovement[[#This Row],[Tonnes_t]]="",tblMovement[[#This Row],[Grade_gpt]]=""),0,tblMovement[[#This Row],[Tonnes_t]]*tblMovement[[#This Row],[Grade_gpt]]/cfg_TroyOz)</f>
        <v/>
      </c>
      <c r="O1570" s="59">
        <f>IF(tblMovement[[#This Row],[Is_Ore]]=1,tblMovement[[#This Row],[Contained_oz]],0)</f>
        <v/>
      </c>
    </row>
    <row r="1571">
      <c r="A1571" s="54" t="n"/>
      <c r="B1571" s="61" t="n"/>
      <c r="C1571" s="61" t="n"/>
      <c r="D1571" s="61" t="n"/>
      <c r="E1571" s="61" t="n"/>
      <c r="F1571" s="55" t="n"/>
      <c r="G1571" s="56" t="n"/>
      <c r="H1571" s="55" t="n"/>
      <c r="I1571" s="62" t="n"/>
      <c r="J1571" s="58" t="n"/>
      <c r="K1571" s="63">
        <f>IF(tblMovement[[#This Row],[Source]]="","",IFERROR(INDEX(tblSources[Type],MATCH(tblMovement[[#This Row],[Source]],tblSources[Source],0)),"?"))</f>
        <v/>
      </c>
      <c r="L1571" s="63">
        <f>IF(tblMovement[[#This Row],[Destination]]="","",IFERROR(INDEX(tblDestinations[Type],MATCH(tblMovement[[#This Row],[Destination]],tblDestinations[Destination],0)),"?"))</f>
        <v/>
      </c>
      <c r="M1571" s="64">
        <f>IF(tblMovement[[#This Row],[Material]]="","",IF(LEFT(tblMovement[[#This Row],[Material]],3)="Ore",1,0))</f>
        <v/>
      </c>
      <c r="N1571" s="59">
        <f>IF(OR(tblMovement[[#This Row],[Tonnes_t]]="",tblMovement[[#This Row],[Grade_gpt]]=""),0,tblMovement[[#This Row],[Tonnes_t]]*tblMovement[[#This Row],[Grade_gpt]]/cfg_TroyOz)</f>
        <v/>
      </c>
      <c r="O1571" s="59">
        <f>IF(tblMovement[[#This Row],[Is_Ore]]=1,tblMovement[[#This Row],[Contained_oz]],0)</f>
        <v/>
      </c>
    </row>
    <row r="1572">
      <c r="A1572" s="54" t="n"/>
      <c r="B1572" s="61" t="n"/>
      <c r="C1572" s="61" t="n"/>
      <c r="D1572" s="61" t="n"/>
      <c r="E1572" s="61" t="n"/>
      <c r="F1572" s="55" t="n"/>
      <c r="G1572" s="56" t="n"/>
      <c r="H1572" s="55" t="n"/>
      <c r="I1572" s="62" t="n"/>
      <c r="J1572" s="58" t="n"/>
      <c r="K1572" s="63">
        <f>IF(tblMovement[[#This Row],[Source]]="","",IFERROR(INDEX(tblSources[Type],MATCH(tblMovement[[#This Row],[Source]],tblSources[Source],0)),"?"))</f>
        <v/>
      </c>
      <c r="L1572" s="63">
        <f>IF(tblMovement[[#This Row],[Destination]]="","",IFERROR(INDEX(tblDestinations[Type],MATCH(tblMovement[[#This Row],[Destination]],tblDestinations[Destination],0)),"?"))</f>
        <v/>
      </c>
      <c r="M1572" s="64">
        <f>IF(tblMovement[[#This Row],[Material]]="","",IF(LEFT(tblMovement[[#This Row],[Material]],3)="Ore",1,0))</f>
        <v/>
      </c>
      <c r="N1572" s="59">
        <f>IF(OR(tblMovement[[#This Row],[Tonnes_t]]="",tblMovement[[#This Row],[Grade_gpt]]=""),0,tblMovement[[#This Row],[Tonnes_t]]*tblMovement[[#This Row],[Grade_gpt]]/cfg_TroyOz)</f>
        <v/>
      </c>
      <c r="O1572" s="59">
        <f>IF(tblMovement[[#This Row],[Is_Ore]]=1,tblMovement[[#This Row],[Contained_oz]],0)</f>
        <v/>
      </c>
    </row>
    <row r="1573">
      <c r="A1573" s="54" t="n"/>
      <c r="B1573" s="61" t="n"/>
      <c r="C1573" s="61" t="n"/>
      <c r="D1573" s="61" t="n"/>
      <c r="E1573" s="61" t="n"/>
      <c r="F1573" s="55" t="n"/>
      <c r="G1573" s="56" t="n"/>
      <c r="H1573" s="55" t="n"/>
      <c r="I1573" s="62" t="n"/>
      <c r="J1573" s="58" t="n"/>
      <c r="K1573" s="63">
        <f>IF(tblMovement[[#This Row],[Source]]="","",IFERROR(INDEX(tblSources[Type],MATCH(tblMovement[[#This Row],[Source]],tblSources[Source],0)),"?"))</f>
        <v/>
      </c>
      <c r="L1573" s="63">
        <f>IF(tblMovement[[#This Row],[Destination]]="","",IFERROR(INDEX(tblDestinations[Type],MATCH(tblMovement[[#This Row],[Destination]],tblDestinations[Destination],0)),"?"))</f>
        <v/>
      </c>
      <c r="M1573" s="64">
        <f>IF(tblMovement[[#This Row],[Material]]="","",IF(LEFT(tblMovement[[#This Row],[Material]],3)="Ore",1,0))</f>
        <v/>
      </c>
      <c r="N1573" s="59">
        <f>IF(OR(tblMovement[[#This Row],[Tonnes_t]]="",tblMovement[[#This Row],[Grade_gpt]]=""),0,tblMovement[[#This Row],[Tonnes_t]]*tblMovement[[#This Row],[Grade_gpt]]/cfg_TroyOz)</f>
        <v/>
      </c>
      <c r="O1573" s="59">
        <f>IF(tblMovement[[#This Row],[Is_Ore]]=1,tblMovement[[#This Row],[Contained_oz]],0)</f>
        <v/>
      </c>
    </row>
    <row r="1574">
      <c r="A1574" s="54" t="n"/>
      <c r="B1574" s="61" t="n"/>
      <c r="C1574" s="61" t="n"/>
      <c r="D1574" s="61" t="n"/>
      <c r="E1574" s="61" t="n"/>
      <c r="F1574" s="55" t="n"/>
      <c r="G1574" s="56" t="n"/>
      <c r="H1574" s="55" t="n"/>
      <c r="I1574" s="62" t="n"/>
      <c r="J1574" s="58" t="n"/>
      <c r="K1574" s="63">
        <f>IF(tblMovement[[#This Row],[Source]]="","",IFERROR(INDEX(tblSources[Type],MATCH(tblMovement[[#This Row],[Source]],tblSources[Source],0)),"?"))</f>
        <v/>
      </c>
      <c r="L1574" s="63">
        <f>IF(tblMovement[[#This Row],[Destination]]="","",IFERROR(INDEX(tblDestinations[Type],MATCH(tblMovement[[#This Row],[Destination]],tblDestinations[Destination],0)),"?"))</f>
        <v/>
      </c>
      <c r="M1574" s="64">
        <f>IF(tblMovement[[#This Row],[Material]]="","",IF(LEFT(tblMovement[[#This Row],[Material]],3)="Ore",1,0))</f>
        <v/>
      </c>
      <c r="N1574" s="59">
        <f>IF(OR(tblMovement[[#This Row],[Tonnes_t]]="",tblMovement[[#This Row],[Grade_gpt]]=""),0,tblMovement[[#This Row],[Tonnes_t]]*tblMovement[[#This Row],[Grade_gpt]]/cfg_TroyOz)</f>
        <v/>
      </c>
      <c r="O1574" s="59">
        <f>IF(tblMovement[[#This Row],[Is_Ore]]=1,tblMovement[[#This Row],[Contained_oz]],0)</f>
        <v/>
      </c>
    </row>
    <row r="1575">
      <c r="A1575" s="54" t="n"/>
      <c r="B1575" s="61" t="n"/>
      <c r="C1575" s="61" t="n"/>
      <c r="D1575" s="61" t="n"/>
      <c r="E1575" s="61" t="n"/>
      <c r="F1575" s="55" t="n"/>
      <c r="G1575" s="56" t="n"/>
      <c r="H1575" s="55" t="n"/>
      <c r="I1575" s="62" t="n"/>
      <c r="J1575" s="58" t="n"/>
      <c r="K1575" s="63">
        <f>IF(tblMovement[[#This Row],[Source]]="","",IFERROR(INDEX(tblSources[Type],MATCH(tblMovement[[#This Row],[Source]],tblSources[Source],0)),"?"))</f>
        <v/>
      </c>
      <c r="L1575" s="63">
        <f>IF(tblMovement[[#This Row],[Destination]]="","",IFERROR(INDEX(tblDestinations[Type],MATCH(tblMovement[[#This Row],[Destination]],tblDestinations[Destination],0)),"?"))</f>
        <v/>
      </c>
      <c r="M1575" s="64">
        <f>IF(tblMovement[[#This Row],[Material]]="","",IF(LEFT(tblMovement[[#This Row],[Material]],3)="Ore",1,0))</f>
        <v/>
      </c>
      <c r="N1575" s="59">
        <f>IF(OR(tblMovement[[#This Row],[Tonnes_t]]="",tblMovement[[#This Row],[Grade_gpt]]=""),0,tblMovement[[#This Row],[Tonnes_t]]*tblMovement[[#This Row],[Grade_gpt]]/cfg_TroyOz)</f>
        <v/>
      </c>
      <c r="O1575" s="59">
        <f>IF(tblMovement[[#This Row],[Is_Ore]]=1,tblMovement[[#This Row],[Contained_oz]],0)</f>
        <v/>
      </c>
    </row>
    <row r="1576">
      <c r="A1576" s="54" t="n"/>
      <c r="B1576" s="61" t="n"/>
      <c r="C1576" s="61" t="n"/>
      <c r="D1576" s="61" t="n"/>
      <c r="E1576" s="61" t="n"/>
      <c r="F1576" s="55" t="n"/>
      <c r="G1576" s="56" t="n"/>
      <c r="H1576" s="55" t="n"/>
      <c r="I1576" s="62" t="n"/>
      <c r="J1576" s="58" t="n"/>
      <c r="K1576" s="63">
        <f>IF(tblMovement[[#This Row],[Source]]="","",IFERROR(INDEX(tblSources[Type],MATCH(tblMovement[[#This Row],[Source]],tblSources[Source],0)),"?"))</f>
        <v/>
      </c>
      <c r="L1576" s="63">
        <f>IF(tblMovement[[#This Row],[Destination]]="","",IFERROR(INDEX(tblDestinations[Type],MATCH(tblMovement[[#This Row],[Destination]],tblDestinations[Destination],0)),"?"))</f>
        <v/>
      </c>
      <c r="M1576" s="64">
        <f>IF(tblMovement[[#This Row],[Material]]="","",IF(LEFT(tblMovement[[#This Row],[Material]],3)="Ore",1,0))</f>
        <v/>
      </c>
      <c r="N1576" s="59">
        <f>IF(OR(tblMovement[[#This Row],[Tonnes_t]]="",tblMovement[[#This Row],[Grade_gpt]]=""),0,tblMovement[[#This Row],[Tonnes_t]]*tblMovement[[#This Row],[Grade_gpt]]/cfg_TroyOz)</f>
        <v/>
      </c>
      <c r="O1576" s="59">
        <f>IF(tblMovement[[#This Row],[Is_Ore]]=1,tblMovement[[#This Row],[Contained_oz]],0)</f>
        <v/>
      </c>
    </row>
    <row r="1577">
      <c r="A1577" s="54" t="n"/>
      <c r="B1577" s="61" t="n"/>
      <c r="C1577" s="61" t="n"/>
      <c r="D1577" s="61" t="n"/>
      <c r="E1577" s="61" t="n"/>
      <c r="F1577" s="55" t="n"/>
      <c r="G1577" s="56" t="n"/>
      <c r="H1577" s="55" t="n"/>
      <c r="I1577" s="62" t="n"/>
      <c r="J1577" s="58" t="n"/>
      <c r="K1577" s="63">
        <f>IF(tblMovement[[#This Row],[Source]]="","",IFERROR(INDEX(tblSources[Type],MATCH(tblMovement[[#This Row],[Source]],tblSources[Source],0)),"?"))</f>
        <v/>
      </c>
      <c r="L1577" s="63">
        <f>IF(tblMovement[[#This Row],[Destination]]="","",IFERROR(INDEX(tblDestinations[Type],MATCH(tblMovement[[#This Row],[Destination]],tblDestinations[Destination],0)),"?"))</f>
        <v/>
      </c>
      <c r="M1577" s="64">
        <f>IF(tblMovement[[#This Row],[Material]]="","",IF(LEFT(tblMovement[[#This Row],[Material]],3)="Ore",1,0))</f>
        <v/>
      </c>
      <c r="N1577" s="59">
        <f>IF(OR(tblMovement[[#This Row],[Tonnes_t]]="",tblMovement[[#This Row],[Grade_gpt]]=""),0,tblMovement[[#This Row],[Tonnes_t]]*tblMovement[[#This Row],[Grade_gpt]]/cfg_TroyOz)</f>
        <v/>
      </c>
      <c r="O1577" s="59">
        <f>IF(tblMovement[[#This Row],[Is_Ore]]=1,tblMovement[[#This Row],[Contained_oz]],0)</f>
        <v/>
      </c>
    </row>
    <row r="1578">
      <c r="A1578" s="54" t="n"/>
      <c r="B1578" s="61" t="n"/>
      <c r="C1578" s="61" t="n"/>
      <c r="D1578" s="61" t="n"/>
      <c r="E1578" s="61" t="n"/>
      <c r="F1578" s="55" t="n"/>
      <c r="G1578" s="56" t="n"/>
      <c r="H1578" s="55" t="n"/>
      <c r="I1578" s="62" t="n"/>
      <c r="J1578" s="58" t="n"/>
      <c r="K1578" s="63">
        <f>IF(tblMovement[[#This Row],[Source]]="","",IFERROR(INDEX(tblSources[Type],MATCH(tblMovement[[#This Row],[Source]],tblSources[Source],0)),"?"))</f>
        <v/>
      </c>
      <c r="L1578" s="63">
        <f>IF(tblMovement[[#This Row],[Destination]]="","",IFERROR(INDEX(tblDestinations[Type],MATCH(tblMovement[[#This Row],[Destination]],tblDestinations[Destination],0)),"?"))</f>
        <v/>
      </c>
      <c r="M1578" s="64">
        <f>IF(tblMovement[[#This Row],[Material]]="","",IF(LEFT(tblMovement[[#This Row],[Material]],3)="Ore",1,0))</f>
        <v/>
      </c>
      <c r="N1578" s="59">
        <f>IF(OR(tblMovement[[#This Row],[Tonnes_t]]="",tblMovement[[#This Row],[Grade_gpt]]=""),0,tblMovement[[#This Row],[Tonnes_t]]*tblMovement[[#This Row],[Grade_gpt]]/cfg_TroyOz)</f>
        <v/>
      </c>
      <c r="O1578" s="59">
        <f>IF(tblMovement[[#This Row],[Is_Ore]]=1,tblMovement[[#This Row],[Contained_oz]],0)</f>
        <v/>
      </c>
    </row>
    <row r="1579">
      <c r="A1579" s="54" t="n"/>
      <c r="B1579" s="61" t="n"/>
      <c r="C1579" s="61" t="n"/>
      <c r="D1579" s="61" t="n"/>
      <c r="E1579" s="61" t="n"/>
      <c r="F1579" s="55" t="n"/>
      <c r="G1579" s="56" t="n"/>
      <c r="H1579" s="55" t="n"/>
      <c r="I1579" s="62" t="n"/>
      <c r="J1579" s="58" t="n"/>
      <c r="K1579" s="63">
        <f>IF(tblMovement[[#This Row],[Source]]="","",IFERROR(INDEX(tblSources[Type],MATCH(tblMovement[[#This Row],[Source]],tblSources[Source],0)),"?"))</f>
        <v/>
      </c>
      <c r="L1579" s="63">
        <f>IF(tblMovement[[#This Row],[Destination]]="","",IFERROR(INDEX(tblDestinations[Type],MATCH(tblMovement[[#This Row],[Destination]],tblDestinations[Destination],0)),"?"))</f>
        <v/>
      </c>
      <c r="M1579" s="64">
        <f>IF(tblMovement[[#This Row],[Material]]="","",IF(LEFT(tblMovement[[#This Row],[Material]],3)="Ore",1,0))</f>
        <v/>
      </c>
      <c r="N1579" s="59">
        <f>IF(OR(tblMovement[[#This Row],[Tonnes_t]]="",tblMovement[[#This Row],[Grade_gpt]]=""),0,tblMovement[[#This Row],[Tonnes_t]]*tblMovement[[#This Row],[Grade_gpt]]/cfg_TroyOz)</f>
        <v/>
      </c>
      <c r="O1579" s="59">
        <f>IF(tblMovement[[#This Row],[Is_Ore]]=1,tblMovement[[#This Row],[Contained_oz]],0)</f>
        <v/>
      </c>
    </row>
    <row r="1580">
      <c r="A1580" s="54" t="n"/>
      <c r="B1580" s="61" t="n"/>
      <c r="C1580" s="61" t="n"/>
      <c r="D1580" s="61" t="n"/>
      <c r="E1580" s="61" t="n"/>
      <c r="F1580" s="55" t="n"/>
      <c r="G1580" s="56" t="n"/>
      <c r="H1580" s="55" t="n"/>
      <c r="I1580" s="62" t="n"/>
      <c r="J1580" s="58" t="n"/>
      <c r="K1580" s="63">
        <f>IF(tblMovement[[#This Row],[Source]]="","",IFERROR(INDEX(tblSources[Type],MATCH(tblMovement[[#This Row],[Source]],tblSources[Source],0)),"?"))</f>
        <v/>
      </c>
      <c r="L1580" s="63">
        <f>IF(tblMovement[[#This Row],[Destination]]="","",IFERROR(INDEX(tblDestinations[Type],MATCH(tblMovement[[#This Row],[Destination]],tblDestinations[Destination],0)),"?"))</f>
        <v/>
      </c>
      <c r="M1580" s="64">
        <f>IF(tblMovement[[#This Row],[Material]]="","",IF(LEFT(tblMovement[[#This Row],[Material]],3)="Ore",1,0))</f>
        <v/>
      </c>
      <c r="N1580" s="59">
        <f>IF(OR(tblMovement[[#This Row],[Tonnes_t]]="",tblMovement[[#This Row],[Grade_gpt]]=""),0,tblMovement[[#This Row],[Tonnes_t]]*tblMovement[[#This Row],[Grade_gpt]]/cfg_TroyOz)</f>
        <v/>
      </c>
      <c r="O1580" s="59">
        <f>IF(tblMovement[[#This Row],[Is_Ore]]=1,tblMovement[[#This Row],[Contained_oz]],0)</f>
        <v/>
      </c>
    </row>
    <row r="1581">
      <c r="A1581" s="54" t="n"/>
      <c r="B1581" s="61" t="n"/>
      <c r="C1581" s="61" t="n"/>
      <c r="D1581" s="61" t="n"/>
      <c r="E1581" s="61" t="n"/>
      <c r="F1581" s="55" t="n"/>
      <c r="G1581" s="56" t="n"/>
      <c r="H1581" s="55" t="n"/>
      <c r="I1581" s="62" t="n"/>
      <c r="J1581" s="58" t="n"/>
      <c r="K1581" s="63">
        <f>IF(tblMovement[[#This Row],[Source]]="","",IFERROR(INDEX(tblSources[Type],MATCH(tblMovement[[#This Row],[Source]],tblSources[Source],0)),"?"))</f>
        <v/>
      </c>
      <c r="L1581" s="63">
        <f>IF(tblMovement[[#This Row],[Destination]]="","",IFERROR(INDEX(tblDestinations[Type],MATCH(tblMovement[[#This Row],[Destination]],tblDestinations[Destination],0)),"?"))</f>
        <v/>
      </c>
      <c r="M1581" s="64">
        <f>IF(tblMovement[[#This Row],[Material]]="","",IF(LEFT(tblMovement[[#This Row],[Material]],3)="Ore",1,0))</f>
        <v/>
      </c>
      <c r="N1581" s="59">
        <f>IF(OR(tblMovement[[#This Row],[Tonnes_t]]="",tblMovement[[#This Row],[Grade_gpt]]=""),0,tblMovement[[#This Row],[Tonnes_t]]*tblMovement[[#This Row],[Grade_gpt]]/cfg_TroyOz)</f>
        <v/>
      </c>
      <c r="O1581" s="59">
        <f>IF(tblMovement[[#This Row],[Is_Ore]]=1,tblMovement[[#This Row],[Contained_oz]],0)</f>
        <v/>
      </c>
    </row>
    <row r="1582">
      <c r="A1582" s="54" t="n"/>
      <c r="B1582" s="61" t="n"/>
      <c r="C1582" s="61" t="n"/>
      <c r="D1582" s="61" t="n"/>
      <c r="E1582" s="61" t="n"/>
      <c r="F1582" s="55" t="n"/>
      <c r="G1582" s="56" t="n"/>
      <c r="H1582" s="55" t="n"/>
      <c r="I1582" s="62" t="n"/>
      <c r="J1582" s="58" t="n"/>
      <c r="K1582" s="63">
        <f>IF(tblMovement[[#This Row],[Source]]="","",IFERROR(INDEX(tblSources[Type],MATCH(tblMovement[[#This Row],[Source]],tblSources[Source],0)),"?"))</f>
        <v/>
      </c>
      <c r="L1582" s="63">
        <f>IF(tblMovement[[#This Row],[Destination]]="","",IFERROR(INDEX(tblDestinations[Type],MATCH(tblMovement[[#This Row],[Destination]],tblDestinations[Destination],0)),"?"))</f>
        <v/>
      </c>
      <c r="M1582" s="64">
        <f>IF(tblMovement[[#This Row],[Material]]="","",IF(LEFT(tblMovement[[#This Row],[Material]],3)="Ore",1,0))</f>
        <v/>
      </c>
      <c r="N1582" s="59">
        <f>IF(OR(tblMovement[[#This Row],[Tonnes_t]]="",tblMovement[[#This Row],[Grade_gpt]]=""),0,tblMovement[[#This Row],[Tonnes_t]]*tblMovement[[#This Row],[Grade_gpt]]/cfg_TroyOz)</f>
        <v/>
      </c>
      <c r="O1582" s="59">
        <f>IF(tblMovement[[#This Row],[Is_Ore]]=1,tblMovement[[#This Row],[Contained_oz]],0)</f>
        <v/>
      </c>
    </row>
    <row r="1583">
      <c r="A1583" s="54" t="n"/>
      <c r="B1583" s="61" t="n"/>
      <c r="C1583" s="61" t="n"/>
      <c r="D1583" s="61" t="n"/>
      <c r="E1583" s="61" t="n"/>
      <c r="F1583" s="55" t="n"/>
      <c r="G1583" s="56" t="n"/>
      <c r="H1583" s="55" t="n"/>
      <c r="I1583" s="62" t="n"/>
      <c r="J1583" s="58" t="n"/>
      <c r="K1583" s="63">
        <f>IF(tblMovement[[#This Row],[Source]]="","",IFERROR(INDEX(tblSources[Type],MATCH(tblMovement[[#This Row],[Source]],tblSources[Source],0)),"?"))</f>
        <v/>
      </c>
      <c r="L1583" s="63">
        <f>IF(tblMovement[[#This Row],[Destination]]="","",IFERROR(INDEX(tblDestinations[Type],MATCH(tblMovement[[#This Row],[Destination]],tblDestinations[Destination],0)),"?"))</f>
        <v/>
      </c>
      <c r="M1583" s="64">
        <f>IF(tblMovement[[#This Row],[Material]]="","",IF(LEFT(tblMovement[[#This Row],[Material]],3)="Ore",1,0))</f>
        <v/>
      </c>
      <c r="N1583" s="59">
        <f>IF(OR(tblMovement[[#This Row],[Tonnes_t]]="",tblMovement[[#This Row],[Grade_gpt]]=""),0,tblMovement[[#This Row],[Tonnes_t]]*tblMovement[[#This Row],[Grade_gpt]]/cfg_TroyOz)</f>
        <v/>
      </c>
      <c r="O1583" s="59">
        <f>IF(tblMovement[[#This Row],[Is_Ore]]=1,tblMovement[[#This Row],[Contained_oz]],0)</f>
        <v/>
      </c>
    </row>
    <row r="1584">
      <c r="A1584" s="54" t="n"/>
      <c r="B1584" s="61" t="n"/>
      <c r="C1584" s="61" t="n"/>
      <c r="D1584" s="61" t="n"/>
      <c r="E1584" s="61" t="n"/>
      <c r="F1584" s="55" t="n"/>
      <c r="G1584" s="56" t="n"/>
      <c r="H1584" s="55" t="n"/>
      <c r="I1584" s="62" t="n"/>
      <c r="J1584" s="58" t="n"/>
      <c r="K1584" s="63">
        <f>IF(tblMovement[[#This Row],[Source]]="","",IFERROR(INDEX(tblSources[Type],MATCH(tblMovement[[#This Row],[Source]],tblSources[Source],0)),"?"))</f>
        <v/>
      </c>
      <c r="L1584" s="63">
        <f>IF(tblMovement[[#This Row],[Destination]]="","",IFERROR(INDEX(tblDestinations[Type],MATCH(tblMovement[[#This Row],[Destination]],tblDestinations[Destination],0)),"?"))</f>
        <v/>
      </c>
      <c r="M1584" s="64">
        <f>IF(tblMovement[[#This Row],[Material]]="","",IF(LEFT(tblMovement[[#This Row],[Material]],3)="Ore",1,0))</f>
        <v/>
      </c>
      <c r="N1584" s="59">
        <f>IF(OR(tblMovement[[#This Row],[Tonnes_t]]="",tblMovement[[#This Row],[Grade_gpt]]=""),0,tblMovement[[#This Row],[Tonnes_t]]*tblMovement[[#This Row],[Grade_gpt]]/cfg_TroyOz)</f>
        <v/>
      </c>
      <c r="O1584" s="59">
        <f>IF(tblMovement[[#This Row],[Is_Ore]]=1,tblMovement[[#This Row],[Contained_oz]],0)</f>
        <v/>
      </c>
    </row>
    <row r="1585">
      <c r="A1585" s="54" t="n"/>
      <c r="B1585" s="61" t="n"/>
      <c r="C1585" s="61" t="n"/>
      <c r="D1585" s="61" t="n"/>
      <c r="E1585" s="61" t="n"/>
      <c r="F1585" s="55" t="n"/>
      <c r="G1585" s="56" t="n"/>
      <c r="H1585" s="55" t="n"/>
      <c r="I1585" s="62" t="n"/>
      <c r="J1585" s="58" t="n"/>
      <c r="K1585" s="63">
        <f>IF(tblMovement[[#This Row],[Source]]="","",IFERROR(INDEX(tblSources[Type],MATCH(tblMovement[[#This Row],[Source]],tblSources[Source],0)),"?"))</f>
        <v/>
      </c>
      <c r="L1585" s="63">
        <f>IF(tblMovement[[#This Row],[Destination]]="","",IFERROR(INDEX(tblDestinations[Type],MATCH(tblMovement[[#This Row],[Destination]],tblDestinations[Destination],0)),"?"))</f>
        <v/>
      </c>
      <c r="M1585" s="64">
        <f>IF(tblMovement[[#This Row],[Material]]="","",IF(LEFT(tblMovement[[#This Row],[Material]],3)="Ore",1,0))</f>
        <v/>
      </c>
      <c r="N1585" s="59">
        <f>IF(OR(tblMovement[[#This Row],[Tonnes_t]]="",tblMovement[[#This Row],[Grade_gpt]]=""),0,tblMovement[[#This Row],[Tonnes_t]]*tblMovement[[#This Row],[Grade_gpt]]/cfg_TroyOz)</f>
        <v/>
      </c>
      <c r="O1585" s="59">
        <f>IF(tblMovement[[#This Row],[Is_Ore]]=1,tblMovement[[#This Row],[Contained_oz]],0)</f>
        <v/>
      </c>
    </row>
    <row r="1586">
      <c r="A1586" s="54" t="n"/>
      <c r="B1586" s="61" t="n"/>
      <c r="C1586" s="61" t="n"/>
      <c r="D1586" s="61" t="n"/>
      <c r="E1586" s="61" t="n"/>
      <c r="F1586" s="55" t="n"/>
      <c r="G1586" s="56" t="n"/>
      <c r="H1586" s="55" t="n"/>
      <c r="I1586" s="62" t="n"/>
      <c r="J1586" s="58" t="n"/>
      <c r="K1586" s="63">
        <f>IF(tblMovement[[#This Row],[Source]]="","",IFERROR(INDEX(tblSources[Type],MATCH(tblMovement[[#This Row],[Source]],tblSources[Source],0)),"?"))</f>
        <v/>
      </c>
      <c r="L1586" s="63">
        <f>IF(tblMovement[[#This Row],[Destination]]="","",IFERROR(INDEX(tblDestinations[Type],MATCH(tblMovement[[#This Row],[Destination]],tblDestinations[Destination],0)),"?"))</f>
        <v/>
      </c>
      <c r="M1586" s="64">
        <f>IF(tblMovement[[#This Row],[Material]]="","",IF(LEFT(tblMovement[[#This Row],[Material]],3)="Ore",1,0))</f>
        <v/>
      </c>
      <c r="N1586" s="59">
        <f>IF(OR(tblMovement[[#This Row],[Tonnes_t]]="",tblMovement[[#This Row],[Grade_gpt]]=""),0,tblMovement[[#This Row],[Tonnes_t]]*tblMovement[[#This Row],[Grade_gpt]]/cfg_TroyOz)</f>
        <v/>
      </c>
      <c r="O1586" s="59">
        <f>IF(tblMovement[[#This Row],[Is_Ore]]=1,tblMovement[[#This Row],[Contained_oz]],0)</f>
        <v/>
      </c>
    </row>
    <row r="1587">
      <c r="A1587" s="54" t="n"/>
      <c r="B1587" s="61" t="n"/>
      <c r="C1587" s="61" t="n"/>
      <c r="D1587" s="61" t="n"/>
      <c r="E1587" s="61" t="n"/>
      <c r="F1587" s="55" t="n"/>
      <c r="G1587" s="56" t="n"/>
      <c r="H1587" s="55" t="n"/>
      <c r="I1587" s="62" t="n"/>
      <c r="J1587" s="58" t="n"/>
      <c r="K1587" s="63">
        <f>IF(tblMovement[[#This Row],[Source]]="","",IFERROR(INDEX(tblSources[Type],MATCH(tblMovement[[#This Row],[Source]],tblSources[Source],0)),"?"))</f>
        <v/>
      </c>
      <c r="L1587" s="63">
        <f>IF(tblMovement[[#This Row],[Destination]]="","",IFERROR(INDEX(tblDestinations[Type],MATCH(tblMovement[[#This Row],[Destination]],tblDestinations[Destination],0)),"?"))</f>
        <v/>
      </c>
      <c r="M1587" s="64">
        <f>IF(tblMovement[[#This Row],[Material]]="","",IF(LEFT(tblMovement[[#This Row],[Material]],3)="Ore",1,0))</f>
        <v/>
      </c>
      <c r="N1587" s="59">
        <f>IF(OR(tblMovement[[#This Row],[Tonnes_t]]="",tblMovement[[#This Row],[Grade_gpt]]=""),0,tblMovement[[#This Row],[Tonnes_t]]*tblMovement[[#This Row],[Grade_gpt]]/cfg_TroyOz)</f>
        <v/>
      </c>
      <c r="O1587" s="59">
        <f>IF(tblMovement[[#This Row],[Is_Ore]]=1,tblMovement[[#This Row],[Contained_oz]],0)</f>
        <v/>
      </c>
    </row>
    <row r="1588">
      <c r="A1588" s="54" t="n"/>
      <c r="B1588" s="61" t="n"/>
      <c r="C1588" s="61" t="n"/>
      <c r="D1588" s="61" t="n"/>
      <c r="E1588" s="61" t="n"/>
      <c r="F1588" s="55" t="n"/>
      <c r="G1588" s="56" t="n"/>
      <c r="H1588" s="55" t="n"/>
      <c r="I1588" s="62" t="n"/>
      <c r="J1588" s="58" t="n"/>
      <c r="K1588" s="63">
        <f>IF(tblMovement[[#This Row],[Source]]="","",IFERROR(INDEX(tblSources[Type],MATCH(tblMovement[[#This Row],[Source]],tblSources[Source],0)),"?"))</f>
        <v/>
      </c>
      <c r="L1588" s="63">
        <f>IF(tblMovement[[#This Row],[Destination]]="","",IFERROR(INDEX(tblDestinations[Type],MATCH(tblMovement[[#This Row],[Destination]],tblDestinations[Destination],0)),"?"))</f>
        <v/>
      </c>
      <c r="M1588" s="64">
        <f>IF(tblMovement[[#This Row],[Material]]="","",IF(LEFT(tblMovement[[#This Row],[Material]],3)="Ore",1,0))</f>
        <v/>
      </c>
      <c r="N1588" s="59">
        <f>IF(OR(tblMovement[[#This Row],[Tonnes_t]]="",tblMovement[[#This Row],[Grade_gpt]]=""),0,tblMovement[[#This Row],[Tonnes_t]]*tblMovement[[#This Row],[Grade_gpt]]/cfg_TroyOz)</f>
        <v/>
      </c>
      <c r="O1588" s="59">
        <f>IF(tblMovement[[#This Row],[Is_Ore]]=1,tblMovement[[#This Row],[Contained_oz]],0)</f>
        <v/>
      </c>
    </row>
    <row r="1589">
      <c r="A1589" s="54" t="n"/>
      <c r="B1589" s="61" t="n"/>
      <c r="C1589" s="61" t="n"/>
      <c r="D1589" s="61" t="n"/>
      <c r="E1589" s="61" t="n"/>
      <c r="F1589" s="55" t="n"/>
      <c r="G1589" s="56" t="n"/>
      <c r="H1589" s="55" t="n"/>
      <c r="I1589" s="62" t="n"/>
      <c r="J1589" s="58" t="n"/>
      <c r="K1589" s="63">
        <f>IF(tblMovement[[#This Row],[Source]]="","",IFERROR(INDEX(tblSources[Type],MATCH(tblMovement[[#This Row],[Source]],tblSources[Source],0)),"?"))</f>
        <v/>
      </c>
      <c r="L1589" s="63">
        <f>IF(tblMovement[[#This Row],[Destination]]="","",IFERROR(INDEX(tblDestinations[Type],MATCH(tblMovement[[#This Row],[Destination]],tblDestinations[Destination],0)),"?"))</f>
        <v/>
      </c>
      <c r="M1589" s="64">
        <f>IF(tblMovement[[#This Row],[Material]]="","",IF(LEFT(tblMovement[[#This Row],[Material]],3)="Ore",1,0))</f>
        <v/>
      </c>
      <c r="N1589" s="59">
        <f>IF(OR(tblMovement[[#This Row],[Tonnes_t]]="",tblMovement[[#This Row],[Grade_gpt]]=""),0,tblMovement[[#This Row],[Tonnes_t]]*tblMovement[[#This Row],[Grade_gpt]]/cfg_TroyOz)</f>
        <v/>
      </c>
      <c r="O1589" s="59">
        <f>IF(tblMovement[[#This Row],[Is_Ore]]=1,tblMovement[[#This Row],[Contained_oz]],0)</f>
        <v/>
      </c>
    </row>
    <row r="1590">
      <c r="A1590" s="54" t="n"/>
      <c r="B1590" s="61" t="n"/>
      <c r="C1590" s="61" t="n"/>
      <c r="D1590" s="61" t="n"/>
      <c r="E1590" s="61" t="n"/>
      <c r="F1590" s="55" t="n"/>
      <c r="G1590" s="56" t="n"/>
      <c r="H1590" s="55" t="n"/>
      <c r="I1590" s="62" t="n"/>
      <c r="J1590" s="58" t="n"/>
      <c r="K1590" s="63">
        <f>IF(tblMovement[[#This Row],[Source]]="","",IFERROR(INDEX(tblSources[Type],MATCH(tblMovement[[#This Row],[Source]],tblSources[Source],0)),"?"))</f>
        <v/>
      </c>
      <c r="L1590" s="63">
        <f>IF(tblMovement[[#This Row],[Destination]]="","",IFERROR(INDEX(tblDestinations[Type],MATCH(tblMovement[[#This Row],[Destination]],tblDestinations[Destination],0)),"?"))</f>
        <v/>
      </c>
      <c r="M1590" s="64">
        <f>IF(tblMovement[[#This Row],[Material]]="","",IF(LEFT(tblMovement[[#This Row],[Material]],3)="Ore",1,0))</f>
        <v/>
      </c>
      <c r="N1590" s="59">
        <f>IF(OR(tblMovement[[#This Row],[Tonnes_t]]="",tblMovement[[#This Row],[Grade_gpt]]=""),0,tblMovement[[#This Row],[Tonnes_t]]*tblMovement[[#This Row],[Grade_gpt]]/cfg_TroyOz)</f>
        <v/>
      </c>
      <c r="O1590" s="59">
        <f>IF(tblMovement[[#This Row],[Is_Ore]]=1,tblMovement[[#This Row],[Contained_oz]],0)</f>
        <v/>
      </c>
    </row>
    <row r="1591">
      <c r="A1591" s="54" t="n"/>
      <c r="B1591" s="61" t="n"/>
      <c r="C1591" s="61" t="n"/>
      <c r="D1591" s="61" t="n"/>
      <c r="E1591" s="61" t="n"/>
      <c r="F1591" s="55" t="n"/>
      <c r="G1591" s="56" t="n"/>
      <c r="H1591" s="55" t="n"/>
      <c r="I1591" s="62" t="n"/>
      <c r="J1591" s="58" t="n"/>
      <c r="K1591" s="63">
        <f>IF(tblMovement[[#This Row],[Source]]="","",IFERROR(INDEX(tblSources[Type],MATCH(tblMovement[[#This Row],[Source]],tblSources[Source],0)),"?"))</f>
        <v/>
      </c>
      <c r="L1591" s="63">
        <f>IF(tblMovement[[#This Row],[Destination]]="","",IFERROR(INDEX(tblDestinations[Type],MATCH(tblMovement[[#This Row],[Destination]],tblDestinations[Destination],0)),"?"))</f>
        <v/>
      </c>
      <c r="M1591" s="64">
        <f>IF(tblMovement[[#This Row],[Material]]="","",IF(LEFT(tblMovement[[#This Row],[Material]],3)="Ore",1,0))</f>
        <v/>
      </c>
      <c r="N1591" s="59">
        <f>IF(OR(tblMovement[[#This Row],[Tonnes_t]]="",tblMovement[[#This Row],[Grade_gpt]]=""),0,tblMovement[[#This Row],[Tonnes_t]]*tblMovement[[#This Row],[Grade_gpt]]/cfg_TroyOz)</f>
        <v/>
      </c>
      <c r="O1591" s="59">
        <f>IF(tblMovement[[#This Row],[Is_Ore]]=1,tblMovement[[#This Row],[Contained_oz]],0)</f>
        <v/>
      </c>
    </row>
    <row r="1592">
      <c r="A1592" s="54" t="n"/>
      <c r="B1592" s="61" t="n"/>
      <c r="C1592" s="61" t="n"/>
      <c r="D1592" s="61" t="n"/>
      <c r="E1592" s="61" t="n"/>
      <c r="F1592" s="55" t="n"/>
      <c r="G1592" s="56" t="n"/>
      <c r="H1592" s="55" t="n"/>
      <c r="I1592" s="62" t="n"/>
      <c r="J1592" s="58" t="n"/>
      <c r="K1592" s="63">
        <f>IF(tblMovement[[#This Row],[Source]]="","",IFERROR(INDEX(tblSources[Type],MATCH(tblMovement[[#This Row],[Source]],tblSources[Source],0)),"?"))</f>
        <v/>
      </c>
      <c r="L1592" s="63">
        <f>IF(tblMovement[[#This Row],[Destination]]="","",IFERROR(INDEX(tblDestinations[Type],MATCH(tblMovement[[#This Row],[Destination]],tblDestinations[Destination],0)),"?"))</f>
        <v/>
      </c>
      <c r="M1592" s="64">
        <f>IF(tblMovement[[#This Row],[Material]]="","",IF(LEFT(tblMovement[[#This Row],[Material]],3)="Ore",1,0))</f>
        <v/>
      </c>
      <c r="N1592" s="59">
        <f>IF(OR(tblMovement[[#This Row],[Tonnes_t]]="",tblMovement[[#This Row],[Grade_gpt]]=""),0,tblMovement[[#This Row],[Tonnes_t]]*tblMovement[[#This Row],[Grade_gpt]]/cfg_TroyOz)</f>
        <v/>
      </c>
      <c r="O1592" s="59">
        <f>IF(tblMovement[[#This Row],[Is_Ore]]=1,tblMovement[[#This Row],[Contained_oz]],0)</f>
        <v/>
      </c>
    </row>
    <row r="1593">
      <c r="A1593" s="54" t="n"/>
      <c r="B1593" s="61" t="n"/>
      <c r="C1593" s="61" t="n"/>
      <c r="D1593" s="61" t="n"/>
      <c r="E1593" s="61" t="n"/>
      <c r="F1593" s="55" t="n"/>
      <c r="G1593" s="56" t="n"/>
      <c r="H1593" s="55" t="n"/>
      <c r="I1593" s="62" t="n"/>
      <c r="J1593" s="58" t="n"/>
      <c r="K1593" s="63">
        <f>IF(tblMovement[[#This Row],[Source]]="","",IFERROR(INDEX(tblSources[Type],MATCH(tblMovement[[#This Row],[Source]],tblSources[Source],0)),"?"))</f>
        <v/>
      </c>
      <c r="L1593" s="63">
        <f>IF(tblMovement[[#This Row],[Destination]]="","",IFERROR(INDEX(tblDestinations[Type],MATCH(tblMovement[[#This Row],[Destination]],tblDestinations[Destination],0)),"?"))</f>
        <v/>
      </c>
      <c r="M1593" s="64">
        <f>IF(tblMovement[[#This Row],[Material]]="","",IF(LEFT(tblMovement[[#This Row],[Material]],3)="Ore",1,0))</f>
        <v/>
      </c>
      <c r="N1593" s="59">
        <f>IF(OR(tblMovement[[#This Row],[Tonnes_t]]="",tblMovement[[#This Row],[Grade_gpt]]=""),0,tblMovement[[#This Row],[Tonnes_t]]*tblMovement[[#This Row],[Grade_gpt]]/cfg_TroyOz)</f>
        <v/>
      </c>
      <c r="O1593" s="59">
        <f>IF(tblMovement[[#This Row],[Is_Ore]]=1,tblMovement[[#This Row],[Contained_oz]],0)</f>
        <v/>
      </c>
    </row>
    <row r="1594">
      <c r="A1594" s="54" t="n"/>
      <c r="B1594" s="61" t="n"/>
      <c r="C1594" s="61" t="n"/>
      <c r="D1594" s="61" t="n"/>
      <c r="E1594" s="61" t="n"/>
      <c r="F1594" s="55" t="n"/>
      <c r="G1594" s="56" t="n"/>
      <c r="H1594" s="55" t="n"/>
      <c r="I1594" s="62" t="n"/>
      <c r="J1594" s="58" t="n"/>
      <c r="K1594" s="63">
        <f>IF(tblMovement[[#This Row],[Source]]="","",IFERROR(INDEX(tblSources[Type],MATCH(tblMovement[[#This Row],[Source]],tblSources[Source],0)),"?"))</f>
        <v/>
      </c>
      <c r="L1594" s="63">
        <f>IF(tblMovement[[#This Row],[Destination]]="","",IFERROR(INDEX(tblDestinations[Type],MATCH(tblMovement[[#This Row],[Destination]],tblDestinations[Destination],0)),"?"))</f>
        <v/>
      </c>
      <c r="M1594" s="64">
        <f>IF(tblMovement[[#This Row],[Material]]="","",IF(LEFT(tblMovement[[#This Row],[Material]],3)="Ore",1,0))</f>
        <v/>
      </c>
      <c r="N1594" s="59">
        <f>IF(OR(tblMovement[[#This Row],[Tonnes_t]]="",tblMovement[[#This Row],[Grade_gpt]]=""),0,tblMovement[[#This Row],[Tonnes_t]]*tblMovement[[#This Row],[Grade_gpt]]/cfg_TroyOz)</f>
        <v/>
      </c>
      <c r="O1594" s="59">
        <f>IF(tblMovement[[#This Row],[Is_Ore]]=1,tblMovement[[#This Row],[Contained_oz]],0)</f>
        <v/>
      </c>
    </row>
    <row r="1595">
      <c r="A1595" s="54" t="n"/>
      <c r="B1595" s="61" t="n"/>
      <c r="C1595" s="61" t="n"/>
      <c r="D1595" s="61" t="n"/>
      <c r="E1595" s="61" t="n"/>
      <c r="F1595" s="55" t="n"/>
      <c r="G1595" s="56" t="n"/>
      <c r="H1595" s="55" t="n"/>
      <c r="I1595" s="62" t="n"/>
      <c r="J1595" s="58" t="n"/>
      <c r="K1595" s="63">
        <f>IF(tblMovement[[#This Row],[Source]]="","",IFERROR(INDEX(tblSources[Type],MATCH(tblMovement[[#This Row],[Source]],tblSources[Source],0)),"?"))</f>
        <v/>
      </c>
      <c r="L1595" s="63">
        <f>IF(tblMovement[[#This Row],[Destination]]="","",IFERROR(INDEX(tblDestinations[Type],MATCH(tblMovement[[#This Row],[Destination]],tblDestinations[Destination],0)),"?"))</f>
        <v/>
      </c>
      <c r="M1595" s="64">
        <f>IF(tblMovement[[#This Row],[Material]]="","",IF(LEFT(tblMovement[[#This Row],[Material]],3)="Ore",1,0))</f>
        <v/>
      </c>
      <c r="N1595" s="59">
        <f>IF(OR(tblMovement[[#This Row],[Tonnes_t]]="",tblMovement[[#This Row],[Grade_gpt]]=""),0,tblMovement[[#This Row],[Tonnes_t]]*tblMovement[[#This Row],[Grade_gpt]]/cfg_TroyOz)</f>
        <v/>
      </c>
      <c r="O1595" s="59">
        <f>IF(tblMovement[[#This Row],[Is_Ore]]=1,tblMovement[[#This Row],[Contained_oz]],0)</f>
        <v/>
      </c>
    </row>
    <row r="1596">
      <c r="A1596" s="54" t="n"/>
      <c r="B1596" s="61" t="n"/>
      <c r="C1596" s="61" t="n"/>
      <c r="D1596" s="61" t="n"/>
      <c r="E1596" s="61" t="n"/>
      <c r="F1596" s="55" t="n"/>
      <c r="G1596" s="56" t="n"/>
      <c r="H1596" s="55" t="n"/>
      <c r="I1596" s="62" t="n"/>
      <c r="J1596" s="58" t="n"/>
      <c r="K1596" s="63">
        <f>IF(tblMovement[[#This Row],[Source]]="","",IFERROR(INDEX(tblSources[Type],MATCH(tblMovement[[#This Row],[Source]],tblSources[Source],0)),"?"))</f>
        <v/>
      </c>
      <c r="L1596" s="63">
        <f>IF(tblMovement[[#This Row],[Destination]]="","",IFERROR(INDEX(tblDestinations[Type],MATCH(tblMovement[[#This Row],[Destination]],tblDestinations[Destination],0)),"?"))</f>
        <v/>
      </c>
      <c r="M1596" s="64">
        <f>IF(tblMovement[[#This Row],[Material]]="","",IF(LEFT(tblMovement[[#This Row],[Material]],3)="Ore",1,0))</f>
        <v/>
      </c>
      <c r="N1596" s="59">
        <f>IF(OR(tblMovement[[#This Row],[Tonnes_t]]="",tblMovement[[#This Row],[Grade_gpt]]=""),0,tblMovement[[#This Row],[Tonnes_t]]*tblMovement[[#This Row],[Grade_gpt]]/cfg_TroyOz)</f>
        <v/>
      </c>
      <c r="O1596" s="59">
        <f>IF(tblMovement[[#This Row],[Is_Ore]]=1,tblMovement[[#This Row],[Contained_oz]],0)</f>
        <v/>
      </c>
    </row>
    <row r="1597">
      <c r="A1597" s="54" t="n"/>
      <c r="B1597" s="61" t="n"/>
      <c r="C1597" s="61" t="n"/>
      <c r="D1597" s="61" t="n"/>
      <c r="E1597" s="61" t="n"/>
      <c r="F1597" s="55" t="n"/>
      <c r="G1597" s="56" t="n"/>
      <c r="H1597" s="55" t="n"/>
      <c r="I1597" s="62" t="n"/>
      <c r="J1597" s="58" t="n"/>
      <c r="K1597" s="63">
        <f>IF(tblMovement[[#This Row],[Source]]="","",IFERROR(INDEX(tblSources[Type],MATCH(tblMovement[[#This Row],[Source]],tblSources[Source],0)),"?"))</f>
        <v/>
      </c>
      <c r="L1597" s="63">
        <f>IF(tblMovement[[#This Row],[Destination]]="","",IFERROR(INDEX(tblDestinations[Type],MATCH(tblMovement[[#This Row],[Destination]],tblDestinations[Destination],0)),"?"))</f>
        <v/>
      </c>
      <c r="M1597" s="64">
        <f>IF(tblMovement[[#This Row],[Material]]="","",IF(LEFT(tblMovement[[#This Row],[Material]],3)="Ore",1,0))</f>
        <v/>
      </c>
      <c r="N1597" s="59">
        <f>IF(OR(tblMovement[[#This Row],[Tonnes_t]]="",tblMovement[[#This Row],[Grade_gpt]]=""),0,tblMovement[[#This Row],[Tonnes_t]]*tblMovement[[#This Row],[Grade_gpt]]/cfg_TroyOz)</f>
        <v/>
      </c>
      <c r="O1597" s="59">
        <f>IF(tblMovement[[#This Row],[Is_Ore]]=1,tblMovement[[#This Row],[Contained_oz]],0)</f>
        <v/>
      </c>
    </row>
    <row r="1598">
      <c r="A1598" s="54" t="n"/>
      <c r="B1598" s="61" t="n"/>
      <c r="C1598" s="61" t="n"/>
      <c r="D1598" s="61" t="n"/>
      <c r="E1598" s="61" t="n"/>
      <c r="F1598" s="55" t="n"/>
      <c r="G1598" s="56" t="n"/>
      <c r="H1598" s="55" t="n"/>
      <c r="I1598" s="62" t="n"/>
      <c r="J1598" s="58" t="n"/>
      <c r="K1598" s="63">
        <f>IF(tblMovement[[#This Row],[Source]]="","",IFERROR(INDEX(tblSources[Type],MATCH(tblMovement[[#This Row],[Source]],tblSources[Source],0)),"?"))</f>
        <v/>
      </c>
      <c r="L1598" s="63">
        <f>IF(tblMovement[[#This Row],[Destination]]="","",IFERROR(INDEX(tblDestinations[Type],MATCH(tblMovement[[#This Row],[Destination]],tblDestinations[Destination],0)),"?"))</f>
        <v/>
      </c>
      <c r="M1598" s="64">
        <f>IF(tblMovement[[#This Row],[Material]]="","",IF(LEFT(tblMovement[[#This Row],[Material]],3)="Ore",1,0))</f>
        <v/>
      </c>
      <c r="N1598" s="59">
        <f>IF(OR(tblMovement[[#This Row],[Tonnes_t]]="",tblMovement[[#This Row],[Grade_gpt]]=""),0,tblMovement[[#This Row],[Tonnes_t]]*tblMovement[[#This Row],[Grade_gpt]]/cfg_TroyOz)</f>
        <v/>
      </c>
      <c r="O1598" s="59">
        <f>IF(tblMovement[[#This Row],[Is_Ore]]=1,tblMovement[[#This Row],[Contained_oz]],0)</f>
        <v/>
      </c>
    </row>
    <row r="1599">
      <c r="A1599" s="54" t="n"/>
      <c r="B1599" s="61" t="n"/>
      <c r="C1599" s="61" t="n"/>
      <c r="D1599" s="61" t="n"/>
      <c r="E1599" s="61" t="n"/>
      <c r="F1599" s="55" t="n"/>
      <c r="G1599" s="56" t="n"/>
      <c r="H1599" s="55" t="n"/>
      <c r="I1599" s="62" t="n"/>
      <c r="J1599" s="58" t="n"/>
      <c r="K1599" s="63">
        <f>IF(tblMovement[[#This Row],[Source]]="","",IFERROR(INDEX(tblSources[Type],MATCH(tblMovement[[#This Row],[Source]],tblSources[Source],0)),"?"))</f>
        <v/>
      </c>
      <c r="L1599" s="63">
        <f>IF(tblMovement[[#This Row],[Destination]]="","",IFERROR(INDEX(tblDestinations[Type],MATCH(tblMovement[[#This Row],[Destination]],tblDestinations[Destination],0)),"?"))</f>
        <v/>
      </c>
      <c r="M1599" s="64">
        <f>IF(tblMovement[[#This Row],[Material]]="","",IF(LEFT(tblMovement[[#This Row],[Material]],3)="Ore",1,0))</f>
        <v/>
      </c>
      <c r="N1599" s="59">
        <f>IF(OR(tblMovement[[#This Row],[Tonnes_t]]="",tblMovement[[#This Row],[Grade_gpt]]=""),0,tblMovement[[#This Row],[Tonnes_t]]*tblMovement[[#This Row],[Grade_gpt]]/cfg_TroyOz)</f>
        <v/>
      </c>
      <c r="O1599" s="59">
        <f>IF(tblMovement[[#This Row],[Is_Ore]]=1,tblMovement[[#This Row],[Contained_oz]],0)</f>
        <v/>
      </c>
    </row>
    <row r="1600">
      <c r="A1600" s="54" t="n"/>
      <c r="B1600" s="61" t="n"/>
      <c r="C1600" s="61" t="n"/>
      <c r="D1600" s="61" t="n"/>
      <c r="E1600" s="61" t="n"/>
      <c r="F1600" s="55" t="n"/>
      <c r="G1600" s="56" t="n"/>
      <c r="H1600" s="55" t="n"/>
      <c r="I1600" s="62" t="n"/>
      <c r="J1600" s="58" t="n"/>
      <c r="K1600" s="63">
        <f>IF(tblMovement[[#This Row],[Source]]="","",IFERROR(INDEX(tblSources[Type],MATCH(tblMovement[[#This Row],[Source]],tblSources[Source],0)),"?"))</f>
        <v/>
      </c>
      <c r="L1600" s="63">
        <f>IF(tblMovement[[#This Row],[Destination]]="","",IFERROR(INDEX(tblDestinations[Type],MATCH(tblMovement[[#This Row],[Destination]],tblDestinations[Destination],0)),"?"))</f>
        <v/>
      </c>
      <c r="M1600" s="64">
        <f>IF(tblMovement[[#This Row],[Material]]="","",IF(LEFT(tblMovement[[#This Row],[Material]],3)="Ore",1,0))</f>
        <v/>
      </c>
      <c r="N1600" s="59">
        <f>IF(OR(tblMovement[[#This Row],[Tonnes_t]]="",tblMovement[[#This Row],[Grade_gpt]]=""),0,tblMovement[[#This Row],[Tonnes_t]]*tblMovement[[#This Row],[Grade_gpt]]/cfg_TroyOz)</f>
        <v/>
      </c>
      <c r="O1600" s="59">
        <f>IF(tblMovement[[#This Row],[Is_Ore]]=1,tblMovement[[#This Row],[Contained_oz]],0)</f>
        <v/>
      </c>
    </row>
    <row r="1601">
      <c r="A1601" s="54" t="n"/>
      <c r="B1601" s="61" t="n"/>
      <c r="C1601" s="61" t="n"/>
      <c r="D1601" s="61" t="n"/>
      <c r="E1601" s="61" t="n"/>
      <c r="F1601" s="55" t="n"/>
      <c r="G1601" s="56" t="n"/>
      <c r="H1601" s="55" t="n"/>
      <c r="I1601" s="62" t="n"/>
      <c r="J1601" s="58" t="n"/>
      <c r="K1601" s="63">
        <f>IF(tblMovement[[#This Row],[Source]]="","",IFERROR(INDEX(tblSources[Type],MATCH(tblMovement[[#This Row],[Source]],tblSources[Source],0)),"?"))</f>
        <v/>
      </c>
      <c r="L1601" s="63">
        <f>IF(tblMovement[[#This Row],[Destination]]="","",IFERROR(INDEX(tblDestinations[Type],MATCH(tblMovement[[#This Row],[Destination]],tblDestinations[Destination],0)),"?"))</f>
        <v/>
      </c>
      <c r="M1601" s="64">
        <f>IF(tblMovement[[#This Row],[Material]]="","",IF(LEFT(tblMovement[[#This Row],[Material]],3)="Ore",1,0))</f>
        <v/>
      </c>
      <c r="N1601" s="59">
        <f>IF(OR(tblMovement[[#This Row],[Tonnes_t]]="",tblMovement[[#This Row],[Grade_gpt]]=""),0,tblMovement[[#This Row],[Tonnes_t]]*tblMovement[[#This Row],[Grade_gpt]]/cfg_TroyOz)</f>
        <v/>
      </c>
      <c r="O1601" s="59">
        <f>IF(tblMovement[[#This Row],[Is_Ore]]=1,tblMovement[[#This Row],[Contained_oz]],0)</f>
        <v/>
      </c>
    </row>
    <row r="1602">
      <c r="A1602" s="54" t="n"/>
      <c r="B1602" s="61" t="n"/>
      <c r="C1602" s="61" t="n"/>
      <c r="D1602" s="61" t="n"/>
      <c r="E1602" s="61" t="n"/>
      <c r="F1602" s="55" t="n"/>
      <c r="G1602" s="56" t="n"/>
      <c r="H1602" s="55" t="n"/>
      <c r="I1602" s="62" t="n"/>
      <c r="J1602" s="58" t="n"/>
      <c r="K1602" s="63">
        <f>IF(tblMovement[[#This Row],[Source]]="","",IFERROR(INDEX(tblSources[Type],MATCH(tblMovement[[#This Row],[Source]],tblSources[Source],0)),"?"))</f>
        <v/>
      </c>
      <c r="L1602" s="63">
        <f>IF(tblMovement[[#This Row],[Destination]]="","",IFERROR(INDEX(tblDestinations[Type],MATCH(tblMovement[[#This Row],[Destination]],tblDestinations[Destination],0)),"?"))</f>
        <v/>
      </c>
      <c r="M1602" s="64">
        <f>IF(tblMovement[[#This Row],[Material]]="","",IF(LEFT(tblMovement[[#This Row],[Material]],3)="Ore",1,0))</f>
        <v/>
      </c>
      <c r="N1602" s="59">
        <f>IF(OR(tblMovement[[#This Row],[Tonnes_t]]="",tblMovement[[#This Row],[Grade_gpt]]=""),0,tblMovement[[#This Row],[Tonnes_t]]*tblMovement[[#This Row],[Grade_gpt]]/cfg_TroyOz)</f>
        <v/>
      </c>
      <c r="O1602" s="59">
        <f>IF(tblMovement[[#This Row],[Is_Ore]]=1,tblMovement[[#This Row],[Contained_oz]],0)</f>
        <v/>
      </c>
    </row>
    <row r="1603">
      <c r="A1603" s="54" t="n"/>
      <c r="B1603" s="61" t="n"/>
      <c r="C1603" s="61" t="n"/>
      <c r="D1603" s="61" t="n"/>
      <c r="E1603" s="61" t="n"/>
      <c r="F1603" s="55" t="n"/>
      <c r="G1603" s="56" t="n"/>
      <c r="H1603" s="55" t="n"/>
      <c r="I1603" s="62" t="n"/>
      <c r="J1603" s="58" t="n"/>
      <c r="K1603" s="63">
        <f>IF(tblMovement[[#This Row],[Source]]="","",IFERROR(INDEX(tblSources[Type],MATCH(tblMovement[[#This Row],[Source]],tblSources[Source],0)),"?"))</f>
        <v/>
      </c>
      <c r="L1603" s="63">
        <f>IF(tblMovement[[#This Row],[Destination]]="","",IFERROR(INDEX(tblDestinations[Type],MATCH(tblMovement[[#This Row],[Destination]],tblDestinations[Destination],0)),"?"))</f>
        <v/>
      </c>
      <c r="M1603" s="64">
        <f>IF(tblMovement[[#This Row],[Material]]="","",IF(LEFT(tblMovement[[#This Row],[Material]],3)="Ore",1,0))</f>
        <v/>
      </c>
      <c r="N1603" s="59">
        <f>IF(OR(tblMovement[[#This Row],[Tonnes_t]]="",tblMovement[[#This Row],[Grade_gpt]]=""),0,tblMovement[[#This Row],[Tonnes_t]]*tblMovement[[#This Row],[Grade_gpt]]/cfg_TroyOz)</f>
        <v/>
      </c>
      <c r="O1603" s="59">
        <f>IF(tblMovement[[#This Row],[Is_Ore]]=1,tblMovement[[#This Row],[Contained_oz]],0)</f>
        <v/>
      </c>
    </row>
    <row r="1604">
      <c r="A1604" s="54" t="n"/>
      <c r="B1604" s="61" t="n"/>
      <c r="C1604" s="61" t="n"/>
      <c r="D1604" s="61" t="n"/>
      <c r="E1604" s="61" t="n"/>
      <c r="F1604" s="55" t="n"/>
      <c r="G1604" s="56" t="n"/>
      <c r="H1604" s="55" t="n"/>
      <c r="I1604" s="62" t="n"/>
      <c r="J1604" s="58" t="n"/>
      <c r="K1604" s="63">
        <f>IF(tblMovement[[#This Row],[Source]]="","",IFERROR(INDEX(tblSources[Type],MATCH(tblMovement[[#This Row],[Source]],tblSources[Source],0)),"?"))</f>
        <v/>
      </c>
      <c r="L1604" s="63">
        <f>IF(tblMovement[[#This Row],[Destination]]="","",IFERROR(INDEX(tblDestinations[Type],MATCH(tblMovement[[#This Row],[Destination]],tblDestinations[Destination],0)),"?"))</f>
        <v/>
      </c>
      <c r="M1604" s="64">
        <f>IF(tblMovement[[#This Row],[Material]]="","",IF(LEFT(tblMovement[[#This Row],[Material]],3)="Ore",1,0))</f>
        <v/>
      </c>
      <c r="N1604" s="59">
        <f>IF(OR(tblMovement[[#This Row],[Tonnes_t]]="",tblMovement[[#This Row],[Grade_gpt]]=""),0,tblMovement[[#This Row],[Tonnes_t]]*tblMovement[[#This Row],[Grade_gpt]]/cfg_TroyOz)</f>
        <v/>
      </c>
      <c r="O1604" s="59">
        <f>IF(tblMovement[[#This Row],[Is_Ore]]=1,tblMovement[[#This Row],[Contained_oz]],0)</f>
        <v/>
      </c>
    </row>
    <row r="1605">
      <c r="A1605" s="54" t="n"/>
      <c r="B1605" s="61" t="n"/>
      <c r="C1605" s="61" t="n"/>
      <c r="D1605" s="61" t="n"/>
      <c r="E1605" s="61" t="n"/>
      <c r="F1605" s="55" t="n"/>
      <c r="G1605" s="56" t="n"/>
      <c r="H1605" s="55" t="n"/>
      <c r="I1605" s="62" t="n"/>
      <c r="J1605" s="58" t="n"/>
      <c r="K1605" s="63">
        <f>IF(tblMovement[[#This Row],[Source]]="","",IFERROR(INDEX(tblSources[Type],MATCH(tblMovement[[#This Row],[Source]],tblSources[Source],0)),"?"))</f>
        <v/>
      </c>
      <c r="L1605" s="63">
        <f>IF(tblMovement[[#This Row],[Destination]]="","",IFERROR(INDEX(tblDestinations[Type],MATCH(tblMovement[[#This Row],[Destination]],tblDestinations[Destination],0)),"?"))</f>
        <v/>
      </c>
      <c r="M1605" s="64">
        <f>IF(tblMovement[[#This Row],[Material]]="","",IF(LEFT(tblMovement[[#This Row],[Material]],3)="Ore",1,0))</f>
        <v/>
      </c>
      <c r="N1605" s="59">
        <f>IF(OR(tblMovement[[#This Row],[Tonnes_t]]="",tblMovement[[#This Row],[Grade_gpt]]=""),0,tblMovement[[#This Row],[Tonnes_t]]*tblMovement[[#This Row],[Grade_gpt]]/cfg_TroyOz)</f>
        <v/>
      </c>
      <c r="O1605" s="59">
        <f>IF(tblMovement[[#This Row],[Is_Ore]]=1,tblMovement[[#This Row],[Contained_oz]],0)</f>
        <v/>
      </c>
    </row>
    <row r="1606">
      <c r="A1606" s="54" t="n"/>
      <c r="B1606" s="61" t="n"/>
      <c r="C1606" s="61" t="n"/>
      <c r="D1606" s="61" t="n"/>
      <c r="E1606" s="61" t="n"/>
      <c r="F1606" s="55" t="n"/>
      <c r="G1606" s="56" t="n"/>
      <c r="H1606" s="55" t="n"/>
      <c r="I1606" s="62" t="n"/>
      <c r="J1606" s="58" t="n"/>
      <c r="K1606" s="63">
        <f>IF(tblMovement[[#This Row],[Source]]="","",IFERROR(INDEX(tblSources[Type],MATCH(tblMovement[[#This Row],[Source]],tblSources[Source],0)),"?"))</f>
        <v/>
      </c>
      <c r="L1606" s="63">
        <f>IF(tblMovement[[#This Row],[Destination]]="","",IFERROR(INDEX(tblDestinations[Type],MATCH(tblMovement[[#This Row],[Destination]],tblDestinations[Destination],0)),"?"))</f>
        <v/>
      </c>
      <c r="M1606" s="64">
        <f>IF(tblMovement[[#This Row],[Material]]="","",IF(LEFT(tblMovement[[#This Row],[Material]],3)="Ore",1,0))</f>
        <v/>
      </c>
      <c r="N1606" s="59">
        <f>IF(OR(tblMovement[[#This Row],[Tonnes_t]]="",tblMovement[[#This Row],[Grade_gpt]]=""),0,tblMovement[[#This Row],[Tonnes_t]]*tblMovement[[#This Row],[Grade_gpt]]/cfg_TroyOz)</f>
        <v/>
      </c>
      <c r="O1606" s="59">
        <f>IF(tblMovement[[#This Row],[Is_Ore]]=1,tblMovement[[#This Row],[Contained_oz]],0)</f>
        <v/>
      </c>
    </row>
    <row r="1607">
      <c r="A1607" s="54" t="n"/>
      <c r="B1607" s="61" t="n"/>
      <c r="C1607" s="61" t="n"/>
      <c r="D1607" s="61" t="n"/>
      <c r="E1607" s="61" t="n"/>
      <c r="F1607" s="55" t="n"/>
      <c r="G1607" s="56" t="n"/>
      <c r="H1607" s="55" t="n"/>
      <c r="I1607" s="62" t="n"/>
      <c r="J1607" s="58" t="n"/>
      <c r="K1607" s="63">
        <f>IF(tblMovement[[#This Row],[Source]]="","",IFERROR(INDEX(tblSources[Type],MATCH(tblMovement[[#This Row],[Source]],tblSources[Source],0)),"?"))</f>
        <v/>
      </c>
      <c r="L1607" s="63">
        <f>IF(tblMovement[[#This Row],[Destination]]="","",IFERROR(INDEX(tblDestinations[Type],MATCH(tblMovement[[#This Row],[Destination]],tblDestinations[Destination],0)),"?"))</f>
        <v/>
      </c>
      <c r="M1607" s="64">
        <f>IF(tblMovement[[#This Row],[Material]]="","",IF(LEFT(tblMovement[[#This Row],[Material]],3)="Ore",1,0))</f>
        <v/>
      </c>
      <c r="N1607" s="59">
        <f>IF(OR(tblMovement[[#This Row],[Tonnes_t]]="",tblMovement[[#This Row],[Grade_gpt]]=""),0,tblMovement[[#This Row],[Tonnes_t]]*tblMovement[[#This Row],[Grade_gpt]]/cfg_TroyOz)</f>
        <v/>
      </c>
      <c r="O1607" s="59">
        <f>IF(tblMovement[[#This Row],[Is_Ore]]=1,tblMovement[[#This Row],[Contained_oz]],0)</f>
        <v/>
      </c>
    </row>
    <row r="1608">
      <c r="A1608" s="54" t="n"/>
      <c r="B1608" s="61" t="n"/>
      <c r="C1608" s="61" t="n"/>
      <c r="D1608" s="61" t="n"/>
      <c r="E1608" s="61" t="n"/>
      <c r="F1608" s="55" t="n"/>
      <c r="G1608" s="56" t="n"/>
      <c r="H1608" s="55" t="n"/>
      <c r="I1608" s="62" t="n"/>
      <c r="J1608" s="58" t="n"/>
      <c r="K1608" s="63">
        <f>IF(tblMovement[[#This Row],[Source]]="","",IFERROR(INDEX(tblSources[Type],MATCH(tblMovement[[#This Row],[Source]],tblSources[Source],0)),"?"))</f>
        <v/>
      </c>
      <c r="L1608" s="63">
        <f>IF(tblMovement[[#This Row],[Destination]]="","",IFERROR(INDEX(tblDestinations[Type],MATCH(tblMovement[[#This Row],[Destination]],tblDestinations[Destination],0)),"?"))</f>
        <v/>
      </c>
      <c r="M1608" s="64">
        <f>IF(tblMovement[[#This Row],[Material]]="","",IF(LEFT(tblMovement[[#This Row],[Material]],3)="Ore",1,0))</f>
        <v/>
      </c>
      <c r="N1608" s="59">
        <f>IF(OR(tblMovement[[#This Row],[Tonnes_t]]="",tblMovement[[#This Row],[Grade_gpt]]=""),0,tblMovement[[#This Row],[Tonnes_t]]*tblMovement[[#This Row],[Grade_gpt]]/cfg_TroyOz)</f>
        <v/>
      </c>
      <c r="O1608" s="59">
        <f>IF(tblMovement[[#This Row],[Is_Ore]]=1,tblMovement[[#This Row],[Contained_oz]],0)</f>
        <v/>
      </c>
    </row>
    <row r="1609">
      <c r="A1609" s="54" t="n"/>
      <c r="B1609" s="61" t="n"/>
      <c r="C1609" s="61" t="n"/>
      <c r="D1609" s="61" t="n"/>
      <c r="E1609" s="61" t="n"/>
      <c r="F1609" s="55" t="n"/>
      <c r="G1609" s="56" t="n"/>
      <c r="H1609" s="55" t="n"/>
      <c r="I1609" s="62" t="n"/>
      <c r="J1609" s="58" t="n"/>
      <c r="K1609" s="63">
        <f>IF(tblMovement[[#This Row],[Source]]="","",IFERROR(INDEX(tblSources[Type],MATCH(tblMovement[[#This Row],[Source]],tblSources[Source],0)),"?"))</f>
        <v/>
      </c>
      <c r="L1609" s="63">
        <f>IF(tblMovement[[#This Row],[Destination]]="","",IFERROR(INDEX(tblDestinations[Type],MATCH(tblMovement[[#This Row],[Destination]],tblDestinations[Destination],0)),"?"))</f>
        <v/>
      </c>
      <c r="M1609" s="64">
        <f>IF(tblMovement[[#This Row],[Material]]="","",IF(LEFT(tblMovement[[#This Row],[Material]],3)="Ore",1,0))</f>
        <v/>
      </c>
      <c r="N1609" s="59">
        <f>IF(OR(tblMovement[[#This Row],[Tonnes_t]]="",tblMovement[[#This Row],[Grade_gpt]]=""),0,tblMovement[[#This Row],[Tonnes_t]]*tblMovement[[#This Row],[Grade_gpt]]/cfg_TroyOz)</f>
        <v/>
      </c>
      <c r="O1609" s="59">
        <f>IF(tblMovement[[#This Row],[Is_Ore]]=1,tblMovement[[#This Row],[Contained_oz]],0)</f>
        <v/>
      </c>
    </row>
    <row r="1610">
      <c r="A1610" s="54" t="n"/>
      <c r="B1610" s="61" t="n"/>
      <c r="C1610" s="61" t="n"/>
      <c r="D1610" s="61" t="n"/>
      <c r="E1610" s="61" t="n"/>
      <c r="F1610" s="55" t="n"/>
      <c r="G1610" s="56" t="n"/>
      <c r="H1610" s="55" t="n"/>
      <c r="I1610" s="62" t="n"/>
      <c r="J1610" s="58" t="n"/>
      <c r="K1610" s="63">
        <f>IF(tblMovement[[#This Row],[Source]]="","",IFERROR(INDEX(tblSources[Type],MATCH(tblMovement[[#This Row],[Source]],tblSources[Source],0)),"?"))</f>
        <v/>
      </c>
      <c r="L1610" s="63">
        <f>IF(tblMovement[[#This Row],[Destination]]="","",IFERROR(INDEX(tblDestinations[Type],MATCH(tblMovement[[#This Row],[Destination]],tblDestinations[Destination],0)),"?"))</f>
        <v/>
      </c>
      <c r="M1610" s="64">
        <f>IF(tblMovement[[#This Row],[Material]]="","",IF(LEFT(tblMovement[[#This Row],[Material]],3)="Ore",1,0))</f>
        <v/>
      </c>
      <c r="N1610" s="59">
        <f>IF(OR(tblMovement[[#This Row],[Tonnes_t]]="",tblMovement[[#This Row],[Grade_gpt]]=""),0,tblMovement[[#This Row],[Tonnes_t]]*tblMovement[[#This Row],[Grade_gpt]]/cfg_TroyOz)</f>
        <v/>
      </c>
      <c r="O1610" s="59">
        <f>IF(tblMovement[[#This Row],[Is_Ore]]=1,tblMovement[[#This Row],[Contained_oz]],0)</f>
        <v/>
      </c>
    </row>
    <row r="1611">
      <c r="A1611" s="54" t="n"/>
      <c r="B1611" s="61" t="n"/>
      <c r="C1611" s="61" t="n"/>
      <c r="D1611" s="61" t="n"/>
      <c r="E1611" s="61" t="n"/>
      <c r="F1611" s="55" t="n"/>
      <c r="G1611" s="56" t="n"/>
      <c r="H1611" s="55" t="n"/>
      <c r="I1611" s="62" t="n"/>
      <c r="J1611" s="58" t="n"/>
      <c r="K1611" s="63">
        <f>IF(tblMovement[[#This Row],[Source]]="","",IFERROR(INDEX(tblSources[Type],MATCH(tblMovement[[#This Row],[Source]],tblSources[Source],0)),"?"))</f>
        <v/>
      </c>
      <c r="L1611" s="63">
        <f>IF(tblMovement[[#This Row],[Destination]]="","",IFERROR(INDEX(tblDestinations[Type],MATCH(tblMovement[[#This Row],[Destination]],tblDestinations[Destination],0)),"?"))</f>
        <v/>
      </c>
      <c r="M1611" s="64">
        <f>IF(tblMovement[[#This Row],[Material]]="","",IF(LEFT(tblMovement[[#This Row],[Material]],3)="Ore",1,0))</f>
        <v/>
      </c>
      <c r="N1611" s="59">
        <f>IF(OR(tblMovement[[#This Row],[Tonnes_t]]="",tblMovement[[#This Row],[Grade_gpt]]=""),0,tblMovement[[#This Row],[Tonnes_t]]*tblMovement[[#This Row],[Grade_gpt]]/cfg_TroyOz)</f>
        <v/>
      </c>
      <c r="O1611" s="59">
        <f>IF(tblMovement[[#This Row],[Is_Ore]]=1,tblMovement[[#This Row],[Contained_oz]],0)</f>
        <v/>
      </c>
    </row>
    <row r="1612">
      <c r="A1612" s="54" t="n"/>
      <c r="B1612" s="61" t="n"/>
      <c r="C1612" s="61" t="n"/>
      <c r="D1612" s="61" t="n"/>
      <c r="E1612" s="61" t="n"/>
      <c r="F1612" s="55" t="n"/>
      <c r="G1612" s="56" t="n"/>
      <c r="H1612" s="55" t="n"/>
      <c r="I1612" s="62" t="n"/>
      <c r="J1612" s="58" t="n"/>
      <c r="K1612" s="63">
        <f>IF(tblMovement[[#This Row],[Source]]="","",IFERROR(INDEX(tblSources[Type],MATCH(tblMovement[[#This Row],[Source]],tblSources[Source],0)),"?"))</f>
        <v/>
      </c>
      <c r="L1612" s="63">
        <f>IF(tblMovement[[#This Row],[Destination]]="","",IFERROR(INDEX(tblDestinations[Type],MATCH(tblMovement[[#This Row],[Destination]],tblDestinations[Destination],0)),"?"))</f>
        <v/>
      </c>
      <c r="M1612" s="64">
        <f>IF(tblMovement[[#This Row],[Material]]="","",IF(LEFT(tblMovement[[#This Row],[Material]],3)="Ore",1,0))</f>
        <v/>
      </c>
      <c r="N1612" s="59">
        <f>IF(OR(tblMovement[[#This Row],[Tonnes_t]]="",tblMovement[[#This Row],[Grade_gpt]]=""),0,tblMovement[[#This Row],[Tonnes_t]]*tblMovement[[#This Row],[Grade_gpt]]/cfg_TroyOz)</f>
        <v/>
      </c>
      <c r="O1612" s="59">
        <f>IF(tblMovement[[#This Row],[Is_Ore]]=1,tblMovement[[#This Row],[Contained_oz]],0)</f>
        <v/>
      </c>
    </row>
    <row r="1613">
      <c r="A1613" s="54" t="n"/>
      <c r="B1613" s="61" t="n"/>
      <c r="C1613" s="61" t="n"/>
      <c r="D1613" s="61" t="n"/>
      <c r="E1613" s="61" t="n"/>
      <c r="F1613" s="55" t="n"/>
      <c r="G1613" s="56" t="n"/>
      <c r="H1613" s="55" t="n"/>
      <c r="I1613" s="62" t="n"/>
      <c r="J1613" s="58" t="n"/>
      <c r="K1613" s="63">
        <f>IF(tblMovement[[#This Row],[Source]]="","",IFERROR(INDEX(tblSources[Type],MATCH(tblMovement[[#This Row],[Source]],tblSources[Source],0)),"?"))</f>
        <v/>
      </c>
      <c r="L1613" s="63">
        <f>IF(tblMovement[[#This Row],[Destination]]="","",IFERROR(INDEX(tblDestinations[Type],MATCH(tblMovement[[#This Row],[Destination]],tblDestinations[Destination],0)),"?"))</f>
        <v/>
      </c>
      <c r="M1613" s="64">
        <f>IF(tblMovement[[#This Row],[Material]]="","",IF(LEFT(tblMovement[[#This Row],[Material]],3)="Ore",1,0))</f>
        <v/>
      </c>
      <c r="N1613" s="59">
        <f>IF(OR(tblMovement[[#This Row],[Tonnes_t]]="",tblMovement[[#This Row],[Grade_gpt]]=""),0,tblMovement[[#This Row],[Tonnes_t]]*tblMovement[[#This Row],[Grade_gpt]]/cfg_TroyOz)</f>
        <v/>
      </c>
      <c r="O1613" s="59">
        <f>IF(tblMovement[[#This Row],[Is_Ore]]=1,tblMovement[[#This Row],[Contained_oz]],0)</f>
        <v/>
      </c>
    </row>
    <row r="1614">
      <c r="A1614" s="54" t="n"/>
      <c r="B1614" s="61" t="n"/>
      <c r="C1614" s="61" t="n"/>
      <c r="D1614" s="61" t="n"/>
      <c r="E1614" s="61" t="n"/>
      <c r="F1614" s="55" t="n"/>
      <c r="G1614" s="56" t="n"/>
      <c r="H1614" s="55" t="n"/>
      <c r="I1614" s="62" t="n"/>
      <c r="J1614" s="58" t="n"/>
      <c r="K1614" s="63">
        <f>IF(tblMovement[[#This Row],[Source]]="","",IFERROR(INDEX(tblSources[Type],MATCH(tblMovement[[#This Row],[Source]],tblSources[Source],0)),"?"))</f>
        <v/>
      </c>
      <c r="L1614" s="63">
        <f>IF(tblMovement[[#This Row],[Destination]]="","",IFERROR(INDEX(tblDestinations[Type],MATCH(tblMovement[[#This Row],[Destination]],tblDestinations[Destination],0)),"?"))</f>
        <v/>
      </c>
      <c r="M1614" s="64">
        <f>IF(tblMovement[[#This Row],[Material]]="","",IF(LEFT(tblMovement[[#This Row],[Material]],3)="Ore",1,0))</f>
        <v/>
      </c>
      <c r="N1614" s="59">
        <f>IF(OR(tblMovement[[#This Row],[Tonnes_t]]="",tblMovement[[#This Row],[Grade_gpt]]=""),0,tblMovement[[#This Row],[Tonnes_t]]*tblMovement[[#This Row],[Grade_gpt]]/cfg_TroyOz)</f>
        <v/>
      </c>
      <c r="O1614" s="59">
        <f>IF(tblMovement[[#This Row],[Is_Ore]]=1,tblMovement[[#This Row],[Contained_oz]],0)</f>
        <v/>
      </c>
    </row>
    <row r="1615">
      <c r="A1615" s="54" t="n"/>
      <c r="B1615" s="61" t="n"/>
      <c r="C1615" s="61" t="n"/>
      <c r="D1615" s="61" t="n"/>
      <c r="E1615" s="61" t="n"/>
      <c r="F1615" s="55" t="n"/>
      <c r="G1615" s="56" t="n"/>
      <c r="H1615" s="55" t="n"/>
      <c r="I1615" s="62" t="n"/>
      <c r="J1615" s="58" t="n"/>
      <c r="K1615" s="63">
        <f>IF(tblMovement[[#This Row],[Source]]="","",IFERROR(INDEX(tblSources[Type],MATCH(tblMovement[[#This Row],[Source]],tblSources[Source],0)),"?"))</f>
        <v/>
      </c>
      <c r="L1615" s="63">
        <f>IF(tblMovement[[#This Row],[Destination]]="","",IFERROR(INDEX(tblDestinations[Type],MATCH(tblMovement[[#This Row],[Destination]],tblDestinations[Destination],0)),"?"))</f>
        <v/>
      </c>
      <c r="M1615" s="64">
        <f>IF(tblMovement[[#This Row],[Material]]="","",IF(LEFT(tblMovement[[#This Row],[Material]],3)="Ore",1,0))</f>
        <v/>
      </c>
      <c r="N1615" s="59">
        <f>IF(OR(tblMovement[[#This Row],[Tonnes_t]]="",tblMovement[[#This Row],[Grade_gpt]]=""),0,tblMovement[[#This Row],[Tonnes_t]]*tblMovement[[#This Row],[Grade_gpt]]/cfg_TroyOz)</f>
        <v/>
      </c>
      <c r="O1615" s="59">
        <f>IF(tblMovement[[#This Row],[Is_Ore]]=1,tblMovement[[#This Row],[Contained_oz]],0)</f>
        <v/>
      </c>
    </row>
    <row r="1616">
      <c r="A1616" s="54" t="n"/>
      <c r="B1616" s="61" t="n"/>
      <c r="C1616" s="61" t="n"/>
      <c r="D1616" s="61" t="n"/>
      <c r="E1616" s="61" t="n"/>
      <c r="F1616" s="55" t="n"/>
      <c r="G1616" s="56" t="n"/>
      <c r="H1616" s="55" t="n"/>
      <c r="I1616" s="62" t="n"/>
      <c r="J1616" s="58" t="n"/>
      <c r="K1616" s="63">
        <f>IF(tblMovement[[#This Row],[Source]]="","",IFERROR(INDEX(tblSources[Type],MATCH(tblMovement[[#This Row],[Source]],tblSources[Source],0)),"?"))</f>
        <v/>
      </c>
      <c r="L1616" s="63">
        <f>IF(tblMovement[[#This Row],[Destination]]="","",IFERROR(INDEX(tblDestinations[Type],MATCH(tblMovement[[#This Row],[Destination]],tblDestinations[Destination],0)),"?"))</f>
        <v/>
      </c>
      <c r="M1616" s="64">
        <f>IF(tblMovement[[#This Row],[Material]]="","",IF(LEFT(tblMovement[[#This Row],[Material]],3)="Ore",1,0))</f>
        <v/>
      </c>
      <c r="N1616" s="59">
        <f>IF(OR(tblMovement[[#This Row],[Tonnes_t]]="",tblMovement[[#This Row],[Grade_gpt]]=""),0,tblMovement[[#This Row],[Tonnes_t]]*tblMovement[[#This Row],[Grade_gpt]]/cfg_TroyOz)</f>
        <v/>
      </c>
      <c r="O1616" s="59">
        <f>IF(tblMovement[[#This Row],[Is_Ore]]=1,tblMovement[[#This Row],[Contained_oz]],0)</f>
        <v/>
      </c>
    </row>
    <row r="1617">
      <c r="A1617" s="54" t="n"/>
      <c r="B1617" s="61" t="n"/>
      <c r="C1617" s="61" t="n"/>
      <c r="D1617" s="61" t="n"/>
      <c r="E1617" s="61" t="n"/>
      <c r="F1617" s="55" t="n"/>
      <c r="G1617" s="56" t="n"/>
      <c r="H1617" s="55" t="n"/>
      <c r="I1617" s="62" t="n"/>
      <c r="J1617" s="58" t="n"/>
      <c r="K1617" s="63">
        <f>IF(tblMovement[[#This Row],[Source]]="","",IFERROR(INDEX(tblSources[Type],MATCH(tblMovement[[#This Row],[Source]],tblSources[Source],0)),"?"))</f>
        <v/>
      </c>
      <c r="L1617" s="63">
        <f>IF(tblMovement[[#This Row],[Destination]]="","",IFERROR(INDEX(tblDestinations[Type],MATCH(tblMovement[[#This Row],[Destination]],tblDestinations[Destination],0)),"?"))</f>
        <v/>
      </c>
      <c r="M1617" s="64">
        <f>IF(tblMovement[[#This Row],[Material]]="","",IF(LEFT(tblMovement[[#This Row],[Material]],3)="Ore",1,0))</f>
        <v/>
      </c>
      <c r="N1617" s="59">
        <f>IF(OR(tblMovement[[#This Row],[Tonnes_t]]="",tblMovement[[#This Row],[Grade_gpt]]=""),0,tblMovement[[#This Row],[Tonnes_t]]*tblMovement[[#This Row],[Grade_gpt]]/cfg_TroyOz)</f>
        <v/>
      </c>
      <c r="O1617" s="59">
        <f>IF(tblMovement[[#This Row],[Is_Ore]]=1,tblMovement[[#This Row],[Contained_oz]],0)</f>
        <v/>
      </c>
    </row>
    <row r="1618">
      <c r="A1618" s="54" t="n"/>
      <c r="B1618" s="61" t="n"/>
      <c r="C1618" s="61" t="n"/>
      <c r="D1618" s="61" t="n"/>
      <c r="E1618" s="61" t="n"/>
      <c r="F1618" s="55" t="n"/>
      <c r="G1618" s="56" t="n"/>
      <c r="H1618" s="55" t="n"/>
      <c r="I1618" s="62" t="n"/>
      <c r="J1618" s="58" t="n"/>
      <c r="K1618" s="63">
        <f>IF(tblMovement[[#This Row],[Source]]="","",IFERROR(INDEX(tblSources[Type],MATCH(tblMovement[[#This Row],[Source]],tblSources[Source],0)),"?"))</f>
        <v/>
      </c>
      <c r="L1618" s="63">
        <f>IF(tblMovement[[#This Row],[Destination]]="","",IFERROR(INDEX(tblDestinations[Type],MATCH(tblMovement[[#This Row],[Destination]],tblDestinations[Destination],0)),"?"))</f>
        <v/>
      </c>
      <c r="M1618" s="64">
        <f>IF(tblMovement[[#This Row],[Material]]="","",IF(LEFT(tblMovement[[#This Row],[Material]],3)="Ore",1,0))</f>
        <v/>
      </c>
      <c r="N1618" s="59">
        <f>IF(OR(tblMovement[[#This Row],[Tonnes_t]]="",tblMovement[[#This Row],[Grade_gpt]]=""),0,tblMovement[[#This Row],[Tonnes_t]]*tblMovement[[#This Row],[Grade_gpt]]/cfg_TroyOz)</f>
        <v/>
      </c>
      <c r="O1618" s="59">
        <f>IF(tblMovement[[#This Row],[Is_Ore]]=1,tblMovement[[#This Row],[Contained_oz]],0)</f>
        <v/>
      </c>
    </row>
    <row r="1619">
      <c r="A1619" s="54" t="n"/>
      <c r="B1619" s="61" t="n"/>
      <c r="C1619" s="61" t="n"/>
      <c r="D1619" s="61" t="n"/>
      <c r="E1619" s="61" t="n"/>
      <c r="F1619" s="55" t="n"/>
      <c r="G1619" s="56" t="n"/>
      <c r="H1619" s="55" t="n"/>
      <c r="I1619" s="62" t="n"/>
      <c r="J1619" s="58" t="n"/>
      <c r="K1619" s="63">
        <f>IF(tblMovement[[#This Row],[Source]]="","",IFERROR(INDEX(tblSources[Type],MATCH(tblMovement[[#This Row],[Source]],tblSources[Source],0)),"?"))</f>
        <v/>
      </c>
      <c r="L1619" s="63">
        <f>IF(tblMovement[[#This Row],[Destination]]="","",IFERROR(INDEX(tblDestinations[Type],MATCH(tblMovement[[#This Row],[Destination]],tblDestinations[Destination],0)),"?"))</f>
        <v/>
      </c>
      <c r="M1619" s="64">
        <f>IF(tblMovement[[#This Row],[Material]]="","",IF(LEFT(tblMovement[[#This Row],[Material]],3)="Ore",1,0))</f>
        <v/>
      </c>
      <c r="N1619" s="59">
        <f>IF(OR(tblMovement[[#This Row],[Tonnes_t]]="",tblMovement[[#This Row],[Grade_gpt]]=""),0,tblMovement[[#This Row],[Tonnes_t]]*tblMovement[[#This Row],[Grade_gpt]]/cfg_TroyOz)</f>
        <v/>
      </c>
      <c r="O1619" s="59">
        <f>IF(tblMovement[[#This Row],[Is_Ore]]=1,tblMovement[[#This Row],[Contained_oz]],0)</f>
        <v/>
      </c>
    </row>
    <row r="1620">
      <c r="A1620" s="54" t="n"/>
      <c r="B1620" s="61" t="n"/>
      <c r="C1620" s="61" t="n"/>
      <c r="D1620" s="61" t="n"/>
      <c r="E1620" s="61" t="n"/>
      <c r="F1620" s="55" t="n"/>
      <c r="G1620" s="56" t="n"/>
      <c r="H1620" s="55" t="n"/>
      <c r="I1620" s="62" t="n"/>
      <c r="J1620" s="58" t="n"/>
      <c r="K1620" s="63">
        <f>IF(tblMovement[[#This Row],[Source]]="","",IFERROR(INDEX(tblSources[Type],MATCH(tblMovement[[#This Row],[Source]],tblSources[Source],0)),"?"))</f>
        <v/>
      </c>
      <c r="L1620" s="63">
        <f>IF(tblMovement[[#This Row],[Destination]]="","",IFERROR(INDEX(tblDestinations[Type],MATCH(tblMovement[[#This Row],[Destination]],tblDestinations[Destination],0)),"?"))</f>
        <v/>
      </c>
      <c r="M1620" s="64">
        <f>IF(tblMovement[[#This Row],[Material]]="","",IF(LEFT(tblMovement[[#This Row],[Material]],3)="Ore",1,0))</f>
        <v/>
      </c>
      <c r="N1620" s="59">
        <f>IF(OR(tblMovement[[#This Row],[Tonnes_t]]="",tblMovement[[#This Row],[Grade_gpt]]=""),0,tblMovement[[#This Row],[Tonnes_t]]*tblMovement[[#This Row],[Grade_gpt]]/cfg_TroyOz)</f>
        <v/>
      </c>
      <c r="O1620" s="59">
        <f>IF(tblMovement[[#This Row],[Is_Ore]]=1,tblMovement[[#This Row],[Contained_oz]],0)</f>
        <v/>
      </c>
    </row>
    <row r="1621">
      <c r="A1621" s="54" t="n"/>
      <c r="B1621" s="61" t="n"/>
      <c r="C1621" s="61" t="n"/>
      <c r="D1621" s="61" t="n"/>
      <c r="E1621" s="61" t="n"/>
      <c r="F1621" s="55" t="n"/>
      <c r="G1621" s="56" t="n"/>
      <c r="H1621" s="55" t="n"/>
      <c r="I1621" s="62" t="n"/>
      <c r="J1621" s="58" t="n"/>
      <c r="K1621" s="63">
        <f>IF(tblMovement[[#This Row],[Source]]="","",IFERROR(INDEX(tblSources[Type],MATCH(tblMovement[[#This Row],[Source]],tblSources[Source],0)),"?"))</f>
        <v/>
      </c>
      <c r="L1621" s="63">
        <f>IF(tblMovement[[#This Row],[Destination]]="","",IFERROR(INDEX(tblDestinations[Type],MATCH(tblMovement[[#This Row],[Destination]],tblDestinations[Destination],0)),"?"))</f>
        <v/>
      </c>
      <c r="M1621" s="64">
        <f>IF(tblMovement[[#This Row],[Material]]="","",IF(LEFT(tblMovement[[#This Row],[Material]],3)="Ore",1,0))</f>
        <v/>
      </c>
      <c r="N1621" s="59">
        <f>IF(OR(tblMovement[[#This Row],[Tonnes_t]]="",tblMovement[[#This Row],[Grade_gpt]]=""),0,tblMovement[[#This Row],[Tonnes_t]]*tblMovement[[#This Row],[Grade_gpt]]/cfg_TroyOz)</f>
        <v/>
      </c>
      <c r="O1621" s="59">
        <f>IF(tblMovement[[#This Row],[Is_Ore]]=1,tblMovement[[#This Row],[Contained_oz]],0)</f>
        <v/>
      </c>
    </row>
    <row r="1622">
      <c r="A1622" s="54" t="n"/>
      <c r="B1622" s="61" t="n"/>
      <c r="C1622" s="61" t="n"/>
      <c r="D1622" s="61" t="n"/>
      <c r="E1622" s="61" t="n"/>
      <c r="F1622" s="55" t="n"/>
      <c r="G1622" s="56" t="n"/>
      <c r="H1622" s="55" t="n"/>
      <c r="I1622" s="62" t="n"/>
      <c r="J1622" s="58" t="n"/>
      <c r="K1622" s="63">
        <f>IF(tblMovement[[#This Row],[Source]]="","",IFERROR(INDEX(tblSources[Type],MATCH(tblMovement[[#This Row],[Source]],tblSources[Source],0)),"?"))</f>
        <v/>
      </c>
      <c r="L1622" s="63">
        <f>IF(tblMovement[[#This Row],[Destination]]="","",IFERROR(INDEX(tblDestinations[Type],MATCH(tblMovement[[#This Row],[Destination]],tblDestinations[Destination],0)),"?"))</f>
        <v/>
      </c>
      <c r="M1622" s="64">
        <f>IF(tblMovement[[#This Row],[Material]]="","",IF(LEFT(tblMovement[[#This Row],[Material]],3)="Ore",1,0))</f>
        <v/>
      </c>
      <c r="N1622" s="59">
        <f>IF(OR(tblMovement[[#This Row],[Tonnes_t]]="",tblMovement[[#This Row],[Grade_gpt]]=""),0,tblMovement[[#This Row],[Tonnes_t]]*tblMovement[[#This Row],[Grade_gpt]]/cfg_TroyOz)</f>
        <v/>
      </c>
      <c r="O1622" s="59">
        <f>IF(tblMovement[[#This Row],[Is_Ore]]=1,tblMovement[[#This Row],[Contained_oz]],0)</f>
        <v/>
      </c>
    </row>
    <row r="1623">
      <c r="A1623" s="54" t="n"/>
      <c r="B1623" s="61" t="n"/>
      <c r="C1623" s="61" t="n"/>
      <c r="D1623" s="61" t="n"/>
      <c r="E1623" s="61" t="n"/>
      <c r="F1623" s="55" t="n"/>
      <c r="G1623" s="56" t="n"/>
      <c r="H1623" s="55" t="n"/>
      <c r="I1623" s="62" t="n"/>
      <c r="J1623" s="58" t="n"/>
      <c r="K1623" s="63">
        <f>IF(tblMovement[[#This Row],[Source]]="","",IFERROR(INDEX(tblSources[Type],MATCH(tblMovement[[#This Row],[Source]],tblSources[Source],0)),"?"))</f>
        <v/>
      </c>
      <c r="L1623" s="63">
        <f>IF(tblMovement[[#This Row],[Destination]]="","",IFERROR(INDEX(tblDestinations[Type],MATCH(tblMovement[[#This Row],[Destination]],tblDestinations[Destination],0)),"?"))</f>
        <v/>
      </c>
      <c r="M1623" s="64">
        <f>IF(tblMovement[[#This Row],[Material]]="","",IF(LEFT(tblMovement[[#This Row],[Material]],3)="Ore",1,0))</f>
        <v/>
      </c>
      <c r="N1623" s="59">
        <f>IF(OR(tblMovement[[#This Row],[Tonnes_t]]="",tblMovement[[#This Row],[Grade_gpt]]=""),0,tblMovement[[#This Row],[Tonnes_t]]*tblMovement[[#This Row],[Grade_gpt]]/cfg_TroyOz)</f>
        <v/>
      </c>
      <c r="O1623" s="59">
        <f>IF(tblMovement[[#This Row],[Is_Ore]]=1,tblMovement[[#This Row],[Contained_oz]],0)</f>
        <v/>
      </c>
    </row>
    <row r="1624">
      <c r="A1624" s="54" t="n"/>
      <c r="B1624" s="61" t="n"/>
      <c r="C1624" s="61" t="n"/>
      <c r="D1624" s="61" t="n"/>
      <c r="E1624" s="61" t="n"/>
      <c r="F1624" s="55" t="n"/>
      <c r="G1624" s="56" t="n"/>
      <c r="H1624" s="55" t="n"/>
      <c r="I1624" s="62" t="n"/>
      <c r="J1624" s="58" t="n"/>
      <c r="K1624" s="63">
        <f>IF(tblMovement[[#This Row],[Source]]="","",IFERROR(INDEX(tblSources[Type],MATCH(tblMovement[[#This Row],[Source]],tblSources[Source],0)),"?"))</f>
        <v/>
      </c>
      <c r="L1624" s="63">
        <f>IF(tblMovement[[#This Row],[Destination]]="","",IFERROR(INDEX(tblDestinations[Type],MATCH(tblMovement[[#This Row],[Destination]],tblDestinations[Destination],0)),"?"))</f>
        <v/>
      </c>
      <c r="M1624" s="64">
        <f>IF(tblMovement[[#This Row],[Material]]="","",IF(LEFT(tblMovement[[#This Row],[Material]],3)="Ore",1,0))</f>
        <v/>
      </c>
      <c r="N1624" s="59">
        <f>IF(OR(tblMovement[[#This Row],[Tonnes_t]]="",tblMovement[[#This Row],[Grade_gpt]]=""),0,tblMovement[[#This Row],[Tonnes_t]]*tblMovement[[#This Row],[Grade_gpt]]/cfg_TroyOz)</f>
        <v/>
      </c>
      <c r="O1624" s="59">
        <f>IF(tblMovement[[#This Row],[Is_Ore]]=1,tblMovement[[#This Row],[Contained_oz]],0)</f>
        <v/>
      </c>
    </row>
    <row r="1625">
      <c r="A1625" s="54" t="n"/>
      <c r="B1625" s="61" t="n"/>
      <c r="C1625" s="61" t="n"/>
      <c r="D1625" s="61" t="n"/>
      <c r="E1625" s="61" t="n"/>
      <c r="F1625" s="55" t="n"/>
      <c r="G1625" s="56" t="n"/>
      <c r="H1625" s="55" t="n"/>
      <c r="I1625" s="62" t="n"/>
      <c r="J1625" s="58" t="n"/>
      <c r="K1625" s="63">
        <f>IF(tblMovement[[#This Row],[Source]]="","",IFERROR(INDEX(tblSources[Type],MATCH(tblMovement[[#This Row],[Source]],tblSources[Source],0)),"?"))</f>
        <v/>
      </c>
      <c r="L1625" s="63">
        <f>IF(tblMovement[[#This Row],[Destination]]="","",IFERROR(INDEX(tblDestinations[Type],MATCH(tblMovement[[#This Row],[Destination]],tblDestinations[Destination],0)),"?"))</f>
        <v/>
      </c>
      <c r="M1625" s="64">
        <f>IF(tblMovement[[#This Row],[Material]]="","",IF(LEFT(tblMovement[[#This Row],[Material]],3)="Ore",1,0))</f>
        <v/>
      </c>
      <c r="N1625" s="59">
        <f>IF(OR(tblMovement[[#This Row],[Tonnes_t]]="",tblMovement[[#This Row],[Grade_gpt]]=""),0,tblMovement[[#This Row],[Tonnes_t]]*tblMovement[[#This Row],[Grade_gpt]]/cfg_TroyOz)</f>
        <v/>
      </c>
      <c r="O1625" s="59">
        <f>IF(tblMovement[[#This Row],[Is_Ore]]=1,tblMovement[[#This Row],[Contained_oz]],0)</f>
        <v/>
      </c>
    </row>
    <row r="1626">
      <c r="A1626" s="54" t="n"/>
      <c r="B1626" s="61" t="n"/>
      <c r="C1626" s="61" t="n"/>
      <c r="D1626" s="61" t="n"/>
      <c r="E1626" s="61" t="n"/>
      <c r="F1626" s="55" t="n"/>
      <c r="G1626" s="56" t="n"/>
      <c r="H1626" s="55" t="n"/>
      <c r="I1626" s="62" t="n"/>
      <c r="J1626" s="58" t="n"/>
      <c r="K1626" s="63">
        <f>IF(tblMovement[[#This Row],[Source]]="","",IFERROR(INDEX(tblSources[Type],MATCH(tblMovement[[#This Row],[Source]],tblSources[Source],0)),"?"))</f>
        <v/>
      </c>
      <c r="L1626" s="63">
        <f>IF(tblMovement[[#This Row],[Destination]]="","",IFERROR(INDEX(tblDestinations[Type],MATCH(tblMovement[[#This Row],[Destination]],tblDestinations[Destination],0)),"?"))</f>
        <v/>
      </c>
      <c r="M1626" s="64">
        <f>IF(tblMovement[[#This Row],[Material]]="","",IF(LEFT(tblMovement[[#This Row],[Material]],3)="Ore",1,0))</f>
        <v/>
      </c>
      <c r="N1626" s="59">
        <f>IF(OR(tblMovement[[#This Row],[Tonnes_t]]="",tblMovement[[#This Row],[Grade_gpt]]=""),0,tblMovement[[#This Row],[Tonnes_t]]*tblMovement[[#This Row],[Grade_gpt]]/cfg_TroyOz)</f>
        <v/>
      </c>
      <c r="O1626" s="59">
        <f>IF(tblMovement[[#This Row],[Is_Ore]]=1,tblMovement[[#This Row],[Contained_oz]],0)</f>
        <v/>
      </c>
    </row>
    <row r="1627">
      <c r="A1627" s="54" t="n"/>
      <c r="B1627" s="61" t="n"/>
      <c r="C1627" s="61" t="n"/>
      <c r="D1627" s="61" t="n"/>
      <c r="E1627" s="61" t="n"/>
      <c r="F1627" s="55" t="n"/>
      <c r="G1627" s="56" t="n"/>
      <c r="H1627" s="55" t="n"/>
      <c r="I1627" s="62" t="n"/>
      <c r="J1627" s="58" t="n"/>
      <c r="K1627" s="63">
        <f>IF(tblMovement[[#This Row],[Source]]="","",IFERROR(INDEX(tblSources[Type],MATCH(tblMovement[[#This Row],[Source]],tblSources[Source],0)),"?"))</f>
        <v/>
      </c>
      <c r="L1627" s="63">
        <f>IF(tblMovement[[#This Row],[Destination]]="","",IFERROR(INDEX(tblDestinations[Type],MATCH(tblMovement[[#This Row],[Destination]],tblDestinations[Destination],0)),"?"))</f>
        <v/>
      </c>
      <c r="M1627" s="64">
        <f>IF(tblMovement[[#This Row],[Material]]="","",IF(LEFT(tblMovement[[#This Row],[Material]],3)="Ore",1,0))</f>
        <v/>
      </c>
      <c r="N1627" s="59">
        <f>IF(OR(tblMovement[[#This Row],[Tonnes_t]]="",tblMovement[[#This Row],[Grade_gpt]]=""),0,tblMovement[[#This Row],[Tonnes_t]]*tblMovement[[#This Row],[Grade_gpt]]/cfg_TroyOz)</f>
        <v/>
      </c>
      <c r="O1627" s="59">
        <f>IF(tblMovement[[#This Row],[Is_Ore]]=1,tblMovement[[#This Row],[Contained_oz]],0)</f>
        <v/>
      </c>
    </row>
    <row r="1628">
      <c r="A1628" s="54" t="n"/>
      <c r="B1628" s="61" t="n"/>
      <c r="C1628" s="61" t="n"/>
      <c r="D1628" s="61" t="n"/>
      <c r="E1628" s="61" t="n"/>
      <c r="F1628" s="55" t="n"/>
      <c r="G1628" s="56" t="n"/>
      <c r="H1628" s="55" t="n"/>
      <c r="I1628" s="62" t="n"/>
      <c r="J1628" s="58" t="n"/>
      <c r="K1628" s="63">
        <f>IF(tblMovement[[#This Row],[Source]]="","",IFERROR(INDEX(tblSources[Type],MATCH(tblMovement[[#This Row],[Source]],tblSources[Source],0)),"?"))</f>
        <v/>
      </c>
      <c r="L1628" s="63">
        <f>IF(tblMovement[[#This Row],[Destination]]="","",IFERROR(INDEX(tblDestinations[Type],MATCH(tblMovement[[#This Row],[Destination]],tblDestinations[Destination],0)),"?"))</f>
        <v/>
      </c>
      <c r="M1628" s="64">
        <f>IF(tblMovement[[#This Row],[Material]]="","",IF(LEFT(tblMovement[[#This Row],[Material]],3)="Ore",1,0))</f>
        <v/>
      </c>
      <c r="N1628" s="59">
        <f>IF(OR(tblMovement[[#This Row],[Tonnes_t]]="",tblMovement[[#This Row],[Grade_gpt]]=""),0,tblMovement[[#This Row],[Tonnes_t]]*tblMovement[[#This Row],[Grade_gpt]]/cfg_TroyOz)</f>
        <v/>
      </c>
      <c r="O1628" s="59">
        <f>IF(tblMovement[[#This Row],[Is_Ore]]=1,tblMovement[[#This Row],[Contained_oz]],0)</f>
        <v/>
      </c>
    </row>
    <row r="1629">
      <c r="A1629" s="54" t="n"/>
      <c r="B1629" s="61" t="n"/>
      <c r="C1629" s="61" t="n"/>
      <c r="D1629" s="61" t="n"/>
      <c r="E1629" s="61" t="n"/>
      <c r="F1629" s="55" t="n"/>
      <c r="G1629" s="56" t="n"/>
      <c r="H1629" s="55" t="n"/>
      <c r="I1629" s="62" t="n"/>
      <c r="J1629" s="58" t="n"/>
      <c r="K1629" s="63">
        <f>IF(tblMovement[[#This Row],[Source]]="","",IFERROR(INDEX(tblSources[Type],MATCH(tblMovement[[#This Row],[Source]],tblSources[Source],0)),"?"))</f>
        <v/>
      </c>
      <c r="L1629" s="63">
        <f>IF(tblMovement[[#This Row],[Destination]]="","",IFERROR(INDEX(tblDestinations[Type],MATCH(tblMovement[[#This Row],[Destination]],tblDestinations[Destination],0)),"?"))</f>
        <v/>
      </c>
      <c r="M1629" s="64">
        <f>IF(tblMovement[[#This Row],[Material]]="","",IF(LEFT(tblMovement[[#This Row],[Material]],3)="Ore",1,0))</f>
        <v/>
      </c>
      <c r="N1629" s="59">
        <f>IF(OR(tblMovement[[#This Row],[Tonnes_t]]="",tblMovement[[#This Row],[Grade_gpt]]=""),0,tblMovement[[#This Row],[Tonnes_t]]*tblMovement[[#This Row],[Grade_gpt]]/cfg_TroyOz)</f>
        <v/>
      </c>
      <c r="O1629" s="59">
        <f>IF(tblMovement[[#This Row],[Is_Ore]]=1,tblMovement[[#This Row],[Contained_oz]],0)</f>
        <v/>
      </c>
    </row>
    <row r="1630">
      <c r="A1630" s="54" t="n"/>
      <c r="B1630" s="61" t="n"/>
      <c r="C1630" s="61" t="n"/>
      <c r="D1630" s="61" t="n"/>
      <c r="E1630" s="61" t="n"/>
      <c r="F1630" s="55" t="n"/>
      <c r="G1630" s="56" t="n"/>
      <c r="H1630" s="55" t="n"/>
      <c r="I1630" s="62" t="n"/>
      <c r="J1630" s="58" t="n"/>
      <c r="K1630" s="63">
        <f>IF(tblMovement[[#This Row],[Source]]="","",IFERROR(INDEX(tblSources[Type],MATCH(tblMovement[[#This Row],[Source]],tblSources[Source],0)),"?"))</f>
        <v/>
      </c>
      <c r="L1630" s="63">
        <f>IF(tblMovement[[#This Row],[Destination]]="","",IFERROR(INDEX(tblDestinations[Type],MATCH(tblMovement[[#This Row],[Destination]],tblDestinations[Destination],0)),"?"))</f>
        <v/>
      </c>
      <c r="M1630" s="64">
        <f>IF(tblMovement[[#This Row],[Material]]="","",IF(LEFT(tblMovement[[#This Row],[Material]],3)="Ore",1,0))</f>
        <v/>
      </c>
      <c r="N1630" s="59">
        <f>IF(OR(tblMovement[[#This Row],[Tonnes_t]]="",tblMovement[[#This Row],[Grade_gpt]]=""),0,tblMovement[[#This Row],[Tonnes_t]]*tblMovement[[#This Row],[Grade_gpt]]/cfg_TroyOz)</f>
        <v/>
      </c>
      <c r="O1630" s="59">
        <f>IF(tblMovement[[#This Row],[Is_Ore]]=1,tblMovement[[#This Row],[Contained_oz]],0)</f>
        <v/>
      </c>
    </row>
    <row r="1631">
      <c r="A1631" s="54" t="n"/>
      <c r="B1631" s="61" t="n"/>
      <c r="C1631" s="61" t="n"/>
      <c r="D1631" s="61" t="n"/>
      <c r="E1631" s="61" t="n"/>
      <c r="F1631" s="55" t="n"/>
      <c r="G1631" s="56" t="n"/>
      <c r="H1631" s="55" t="n"/>
      <c r="I1631" s="62" t="n"/>
      <c r="J1631" s="58" t="n"/>
      <c r="K1631" s="63">
        <f>IF(tblMovement[[#This Row],[Source]]="","",IFERROR(INDEX(tblSources[Type],MATCH(tblMovement[[#This Row],[Source]],tblSources[Source],0)),"?"))</f>
        <v/>
      </c>
      <c r="L1631" s="63">
        <f>IF(tblMovement[[#This Row],[Destination]]="","",IFERROR(INDEX(tblDestinations[Type],MATCH(tblMovement[[#This Row],[Destination]],tblDestinations[Destination],0)),"?"))</f>
        <v/>
      </c>
      <c r="M1631" s="64">
        <f>IF(tblMovement[[#This Row],[Material]]="","",IF(LEFT(tblMovement[[#This Row],[Material]],3)="Ore",1,0))</f>
        <v/>
      </c>
      <c r="N1631" s="59">
        <f>IF(OR(tblMovement[[#This Row],[Tonnes_t]]="",tblMovement[[#This Row],[Grade_gpt]]=""),0,tblMovement[[#This Row],[Tonnes_t]]*tblMovement[[#This Row],[Grade_gpt]]/cfg_TroyOz)</f>
        <v/>
      </c>
      <c r="O1631" s="59">
        <f>IF(tblMovement[[#This Row],[Is_Ore]]=1,tblMovement[[#This Row],[Contained_oz]],0)</f>
        <v/>
      </c>
    </row>
    <row r="1632">
      <c r="A1632" s="54" t="n"/>
      <c r="B1632" s="61" t="n"/>
      <c r="C1632" s="61" t="n"/>
      <c r="D1632" s="61" t="n"/>
      <c r="E1632" s="61" t="n"/>
      <c r="F1632" s="55" t="n"/>
      <c r="G1632" s="56" t="n"/>
      <c r="H1632" s="55" t="n"/>
      <c r="I1632" s="62" t="n"/>
      <c r="J1632" s="58" t="n"/>
      <c r="K1632" s="63">
        <f>IF(tblMovement[[#This Row],[Source]]="","",IFERROR(INDEX(tblSources[Type],MATCH(tblMovement[[#This Row],[Source]],tblSources[Source],0)),"?"))</f>
        <v/>
      </c>
      <c r="L1632" s="63">
        <f>IF(tblMovement[[#This Row],[Destination]]="","",IFERROR(INDEX(tblDestinations[Type],MATCH(tblMovement[[#This Row],[Destination]],tblDestinations[Destination],0)),"?"))</f>
        <v/>
      </c>
      <c r="M1632" s="64">
        <f>IF(tblMovement[[#This Row],[Material]]="","",IF(LEFT(tblMovement[[#This Row],[Material]],3)="Ore",1,0))</f>
        <v/>
      </c>
      <c r="N1632" s="59">
        <f>IF(OR(tblMovement[[#This Row],[Tonnes_t]]="",tblMovement[[#This Row],[Grade_gpt]]=""),0,tblMovement[[#This Row],[Tonnes_t]]*tblMovement[[#This Row],[Grade_gpt]]/cfg_TroyOz)</f>
        <v/>
      </c>
      <c r="O1632" s="59">
        <f>IF(tblMovement[[#This Row],[Is_Ore]]=1,tblMovement[[#This Row],[Contained_oz]],0)</f>
        <v/>
      </c>
    </row>
    <row r="1633">
      <c r="A1633" s="54" t="n"/>
      <c r="B1633" s="61" t="n"/>
      <c r="C1633" s="61" t="n"/>
      <c r="D1633" s="61" t="n"/>
      <c r="E1633" s="61" t="n"/>
      <c r="F1633" s="55" t="n"/>
      <c r="G1633" s="56" t="n"/>
      <c r="H1633" s="55" t="n"/>
      <c r="I1633" s="62" t="n"/>
      <c r="J1633" s="58" t="n"/>
      <c r="K1633" s="63">
        <f>IF(tblMovement[[#This Row],[Source]]="","",IFERROR(INDEX(tblSources[Type],MATCH(tblMovement[[#This Row],[Source]],tblSources[Source],0)),"?"))</f>
        <v/>
      </c>
      <c r="L1633" s="63">
        <f>IF(tblMovement[[#This Row],[Destination]]="","",IFERROR(INDEX(tblDestinations[Type],MATCH(tblMovement[[#This Row],[Destination]],tblDestinations[Destination],0)),"?"))</f>
        <v/>
      </c>
      <c r="M1633" s="64">
        <f>IF(tblMovement[[#This Row],[Material]]="","",IF(LEFT(tblMovement[[#This Row],[Material]],3)="Ore",1,0))</f>
        <v/>
      </c>
      <c r="N1633" s="59">
        <f>IF(OR(tblMovement[[#This Row],[Tonnes_t]]="",tblMovement[[#This Row],[Grade_gpt]]=""),0,tblMovement[[#This Row],[Tonnes_t]]*tblMovement[[#This Row],[Grade_gpt]]/cfg_TroyOz)</f>
        <v/>
      </c>
      <c r="O1633" s="59">
        <f>IF(tblMovement[[#This Row],[Is_Ore]]=1,tblMovement[[#This Row],[Contained_oz]],0)</f>
        <v/>
      </c>
    </row>
    <row r="1634">
      <c r="A1634" s="54" t="n"/>
      <c r="B1634" s="61" t="n"/>
      <c r="C1634" s="61" t="n"/>
      <c r="D1634" s="61" t="n"/>
      <c r="E1634" s="61" t="n"/>
      <c r="F1634" s="55" t="n"/>
      <c r="G1634" s="56" t="n"/>
      <c r="H1634" s="55" t="n"/>
      <c r="I1634" s="62" t="n"/>
      <c r="J1634" s="58" t="n"/>
      <c r="K1634" s="63">
        <f>IF(tblMovement[[#This Row],[Source]]="","",IFERROR(INDEX(tblSources[Type],MATCH(tblMovement[[#This Row],[Source]],tblSources[Source],0)),"?"))</f>
        <v/>
      </c>
      <c r="L1634" s="63">
        <f>IF(tblMovement[[#This Row],[Destination]]="","",IFERROR(INDEX(tblDestinations[Type],MATCH(tblMovement[[#This Row],[Destination]],tblDestinations[Destination],0)),"?"))</f>
        <v/>
      </c>
      <c r="M1634" s="64">
        <f>IF(tblMovement[[#This Row],[Material]]="","",IF(LEFT(tblMovement[[#This Row],[Material]],3)="Ore",1,0))</f>
        <v/>
      </c>
      <c r="N1634" s="59">
        <f>IF(OR(tblMovement[[#This Row],[Tonnes_t]]="",tblMovement[[#This Row],[Grade_gpt]]=""),0,tblMovement[[#This Row],[Tonnes_t]]*tblMovement[[#This Row],[Grade_gpt]]/cfg_TroyOz)</f>
        <v/>
      </c>
      <c r="O1634" s="59">
        <f>IF(tblMovement[[#This Row],[Is_Ore]]=1,tblMovement[[#This Row],[Contained_oz]],0)</f>
        <v/>
      </c>
    </row>
    <row r="1635">
      <c r="A1635" s="54" t="n"/>
      <c r="B1635" s="61" t="n"/>
      <c r="C1635" s="61" t="n"/>
      <c r="D1635" s="61" t="n"/>
      <c r="E1635" s="61" t="n"/>
      <c r="F1635" s="55" t="n"/>
      <c r="G1635" s="56" t="n"/>
      <c r="H1635" s="55" t="n"/>
      <c r="I1635" s="62" t="n"/>
      <c r="J1635" s="58" t="n"/>
      <c r="K1635" s="63">
        <f>IF(tblMovement[[#This Row],[Source]]="","",IFERROR(INDEX(tblSources[Type],MATCH(tblMovement[[#This Row],[Source]],tblSources[Source],0)),"?"))</f>
        <v/>
      </c>
      <c r="L1635" s="63">
        <f>IF(tblMovement[[#This Row],[Destination]]="","",IFERROR(INDEX(tblDestinations[Type],MATCH(tblMovement[[#This Row],[Destination]],tblDestinations[Destination],0)),"?"))</f>
        <v/>
      </c>
      <c r="M1635" s="64">
        <f>IF(tblMovement[[#This Row],[Material]]="","",IF(LEFT(tblMovement[[#This Row],[Material]],3)="Ore",1,0))</f>
        <v/>
      </c>
      <c r="N1635" s="59">
        <f>IF(OR(tblMovement[[#This Row],[Tonnes_t]]="",tblMovement[[#This Row],[Grade_gpt]]=""),0,tblMovement[[#This Row],[Tonnes_t]]*tblMovement[[#This Row],[Grade_gpt]]/cfg_TroyOz)</f>
        <v/>
      </c>
      <c r="O1635" s="59">
        <f>IF(tblMovement[[#This Row],[Is_Ore]]=1,tblMovement[[#This Row],[Contained_oz]],0)</f>
        <v/>
      </c>
    </row>
    <row r="1636">
      <c r="A1636" s="54" t="n"/>
      <c r="B1636" s="61" t="n"/>
      <c r="C1636" s="61" t="n"/>
      <c r="D1636" s="61" t="n"/>
      <c r="E1636" s="61" t="n"/>
      <c r="F1636" s="55" t="n"/>
      <c r="G1636" s="56" t="n"/>
      <c r="H1636" s="55" t="n"/>
      <c r="I1636" s="62" t="n"/>
      <c r="J1636" s="58" t="n"/>
      <c r="K1636" s="63">
        <f>IF(tblMovement[[#This Row],[Source]]="","",IFERROR(INDEX(tblSources[Type],MATCH(tblMovement[[#This Row],[Source]],tblSources[Source],0)),"?"))</f>
        <v/>
      </c>
      <c r="L1636" s="63">
        <f>IF(tblMovement[[#This Row],[Destination]]="","",IFERROR(INDEX(tblDestinations[Type],MATCH(tblMovement[[#This Row],[Destination]],tblDestinations[Destination],0)),"?"))</f>
        <v/>
      </c>
      <c r="M1636" s="64">
        <f>IF(tblMovement[[#This Row],[Material]]="","",IF(LEFT(tblMovement[[#This Row],[Material]],3)="Ore",1,0))</f>
        <v/>
      </c>
      <c r="N1636" s="59">
        <f>IF(OR(tblMovement[[#This Row],[Tonnes_t]]="",tblMovement[[#This Row],[Grade_gpt]]=""),0,tblMovement[[#This Row],[Tonnes_t]]*tblMovement[[#This Row],[Grade_gpt]]/cfg_TroyOz)</f>
        <v/>
      </c>
      <c r="O1636" s="59">
        <f>IF(tblMovement[[#This Row],[Is_Ore]]=1,tblMovement[[#This Row],[Contained_oz]],0)</f>
        <v/>
      </c>
    </row>
    <row r="1637">
      <c r="A1637" s="54" t="n"/>
      <c r="B1637" s="61" t="n"/>
      <c r="C1637" s="61" t="n"/>
      <c r="D1637" s="61" t="n"/>
      <c r="E1637" s="61" t="n"/>
      <c r="F1637" s="55" t="n"/>
      <c r="G1637" s="56" t="n"/>
      <c r="H1637" s="55" t="n"/>
      <c r="I1637" s="62" t="n"/>
      <c r="J1637" s="58" t="n"/>
      <c r="K1637" s="63">
        <f>IF(tblMovement[[#This Row],[Source]]="","",IFERROR(INDEX(tblSources[Type],MATCH(tblMovement[[#This Row],[Source]],tblSources[Source],0)),"?"))</f>
        <v/>
      </c>
      <c r="L1637" s="63">
        <f>IF(tblMovement[[#This Row],[Destination]]="","",IFERROR(INDEX(tblDestinations[Type],MATCH(tblMovement[[#This Row],[Destination]],tblDestinations[Destination],0)),"?"))</f>
        <v/>
      </c>
      <c r="M1637" s="64">
        <f>IF(tblMovement[[#This Row],[Material]]="","",IF(LEFT(tblMovement[[#This Row],[Material]],3)="Ore",1,0))</f>
        <v/>
      </c>
      <c r="N1637" s="59">
        <f>IF(OR(tblMovement[[#This Row],[Tonnes_t]]="",tblMovement[[#This Row],[Grade_gpt]]=""),0,tblMovement[[#This Row],[Tonnes_t]]*tblMovement[[#This Row],[Grade_gpt]]/cfg_TroyOz)</f>
        <v/>
      </c>
      <c r="O1637" s="59">
        <f>IF(tblMovement[[#This Row],[Is_Ore]]=1,tblMovement[[#This Row],[Contained_oz]],0)</f>
        <v/>
      </c>
    </row>
    <row r="1638">
      <c r="A1638" s="54" t="n"/>
      <c r="B1638" s="61" t="n"/>
      <c r="C1638" s="61" t="n"/>
      <c r="D1638" s="61" t="n"/>
      <c r="E1638" s="61" t="n"/>
      <c r="F1638" s="55" t="n"/>
      <c r="G1638" s="56" t="n"/>
      <c r="H1638" s="55" t="n"/>
      <c r="I1638" s="62" t="n"/>
      <c r="J1638" s="58" t="n"/>
      <c r="K1638" s="63">
        <f>IF(tblMovement[[#This Row],[Source]]="","",IFERROR(INDEX(tblSources[Type],MATCH(tblMovement[[#This Row],[Source]],tblSources[Source],0)),"?"))</f>
        <v/>
      </c>
      <c r="L1638" s="63">
        <f>IF(tblMovement[[#This Row],[Destination]]="","",IFERROR(INDEX(tblDestinations[Type],MATCH(tblMovement[[#This Row],[Destination]],tblDestinations[Destination],0)),"?"))</f>
        <v/>
      </c>
      <c r="M1638" s="64">
        <f>IF(tblMovement[[#This Row],[Material]]="","",IF(LEFT(tblMovement[[#This Row],[Material]],3)="Ore",1,0))</f>
        <v/>
      </c>
      <c r="N1638" s="59">
        <f>IF(OR(tblMovement[[#This Row],[Tonnes_t]]="",tblMovement[[#This Row],[Grade_gpt]]=""),0,tblMovement[[#This Row],[Tonnes_t]]*tblMovement[[#This Row],[Grade_gpt]]/cfg_TroyOz)</f>
        <v/>
      </c>
      <c r="O1638" s="59">
        <f>IF(tblMovement[[#This Row],[Is_Ore]]=1,tblMovement[[#This Row],[Contained_oz]],0)</f>
        <v/>
      </c>
    </row>
    <row r="1639">
      <c r="A1639" s="54" t="n"/>
      <c r="B1639" s="61" t="n"/>
      <c r="C1639" s="61" t="n"/>
      <c r="D1639" s="61" t="n"/>
      <c r="E1639" s="61" t="n"/>
      <c r="F1639" s="55" t="n"/>
      <c r="G1639" s="56" t="n"/>
      <c r="H1639" s="55" t="n"/>
      <c r="I1639" s="62" t="n"/>
      <c r="J1639" s="58" t="n"/>
      <c r="K1639" s="63">
        <f>IF(tblMovement[[#This Row],[Source]]="","",IFERROR(INDEX(tblSources[Type],MATCH(tblMovement[[#This Row],[Source]],tblSources[Source],0)),"?"))</f>
        <v/>
      </c>
      <c r="L1639" s="63">
        <f>IF(tblMovement[[#This Row],[Destination]]="","",IFERROR(INDEX(tblDestinations[Type],MATCH(tblMovement[[#This Row],[Destination]],tblDestinations[Destination],0)),"?"))</f>
        <v/>
      </c>
      <c r="M1639" s="64">
        <f>IF(tblMovement[[#This Row],[Material]]="","",IF(LEFT(tblMovement[[#This Row],[Material]],3)="Ore",1,0))</f>
        <v/>
      </c>
      <c r="N1639" s="59">
        <f>IF(OR(tblMovement[[#This Row],[Tonnes_t]]="",tblMovement[[#This Row],[Grade_gpt]]=""),0,tblMovement[[#This Row],[Tonnes_t]]*tblMovement[[#This Row],[Grade_gpt]]/cfg_TroyOz)</f>
        <v/>
      </c>
      <c r="O1639" s="59">
        <f>IF(tblMovement[[#This Row],[Is_Ore]]=1,tblMovement[[#This Row],[Contained_oz]],0)</f>
        <v/>
      </c>
    </row>
    <row r="1640">
      <c r="A1640" s="54" t="n"/>
      <c r="B1640" s="61" t="n"/>
      <c r="C1640" s="61" t="n"/>
      <c r="D1640" s="61" t="n"/>
      <c r="E1640" s="61" t="n"/>
      <c r="F1640" s="55" t="n"/>
      <c r="G1640" s="56" t="n"/>
      <c r="H1640" s="55" t="n"/>
      <c r="I1640" s="62" t="n"/>
      <c r="J1640" s="58" t="n"/>
      <c r="K1640" s="63">
        <f>IF(tblMovement[[#This Row],[Source]]="","",IFERROR(INDEX(tblSources[Type],MATCH(tblMovement[[#This Row],[Source]],tblSources[Source],0)),"?"))</f>
        <v/>
      </c>
      <c r="L1640" s="63">
        <f>IF(tblMovement[[#This Row],[Destination]]="","",IFERROR(INDEX(tblDestinations[Type],MATCH(tblMovement[[#This Row],[Destination]],tblDestinations[Destination],0)),"?"))</f>
        <v/>
      </c>
      <c r="M1640" s="64">
        <f>IF(tblMovement[[#This Row],[Material]]="","",IF(LEFT(tblMovement[[#This Row],[Material]],3)="Ore",1,0))</f>
        <v/>
      </c>
      <c r="N1640" s="59">
        <f>IF(OR(tblMovement[[#This Row],[Tonnes_t]]="",tblMovement[[#This Row],[Grade_gpt]]=""),0,tblMovement[[#This Row],[Tonnes_t]]*tblMovement[[#This Row],[Grade_gpt]]/cfg_TroyOz)</f>
        <v/>
      </c>
      <c r="O1640" s="59">
        <f>IF(tblMovement[[#This Row],[Is_Ore]]=1,tblMovement[[#This Row],[Contained_oz]],0)</f>
        <v/>
      </c>
    </row>
    <row r="1641">
      <c r="A1641" s="54" t="n"/>
      <c r="B1641" s="61" t="n"/>
      <c r="C1641" s="61" t="n"/>
      <c r="D1641" s="61" t="n"/>
      <c r="E1641" s="61" t="n"/>
      <c r="F1641" s="55" t="n"/>
      <c r="G1641" s="56" t="n"/>
      <c r="H1641" s="55" t="n"/>
      <c r="I1641" s="62" t="n"/>
      <c r="J1641" s="58" t="n"/>
      <c r="K1641" s="63">
        <f>IF(tblMovement[[#This Row],[Source]]="","",IFERROR(INDEX(tblSources[Type],MATCH(tblMovement[[#This Row],[Source]],tblSources[Source],0)),"?"))</f>
        <v/>
      </c>
      <c r="L1641" s="63">
        <f>IF(tblMovement[[#This Row],[Destination]]="","",IFERROR(INDEX(tblDestinations[Type],MATCH(tblMovement[[#This Row],[Destination]],tblDestinations[Destination],0)),"?"))</f>
        <v/>
      </c>
      <c r="M1641" s="64">
        <f>IF(tblMovement[[#This Row],[Material]]="","",IF(LEFT(tblMovement[[#This Row],[Material]],3)="Ore",1,0))</f>
        <v/>
      </c>
      <c r="N1641" s="59">
        <f>IF(OR(tblMovement[[#This Row],[Tonnes_t]]="",tblMovement[[#This Row],[Grade_gpt]]=""),0,tblMovement[[#This Row],[Tonnes_t]]*tblMovement[[#This Row],[Grade_gpt]]/cfg_TroyOz)</f>
        <v/>
      </c>
      <c r="O1641" s="59">
        <f>IF(tblMovement[[#This Row],[Is_Ore]]=1,tblMovement[[#This Row],[Contained_oz]],0)</f>
        <v/>
      </c>
    </row>
    <row r="1642">
      <c r="A1642" s="54" t="n"/>
      <c r="B1642" s="61" t="n"/>
      <c r="C1642" s="61" t="n"/>
      <c r="D1642" s="61" t="n"/>
      <c r="E1642" s="61" t="n"/>
      <c r="F1642" s="55" t="n"/>
      <c r="G1642" s="56" t="n"/>
      <c r="H1642" s="55" t="n"/>
      <c r="I1642" s="62" t="n"/>
      <c r="J1642" s="58" t="n"/>
      <c r="K1642" s="63">
        <f>IF(tblMovement[[#This Row],[Source]]="","",IFERROR(INDEX(tblSources[Type],MATCH(tblMovement[[#This Row],[Source]],tblSources[Source],0)),"?"))</f>
        <v/>
      </c>
      <c r="L1642" s="63">
        <f>IF(tblMovement[[#This Row],[Destination]]="","",IFERROR(INDEX(tblDestinations[Type],MATCH(tblMovement[[#This Row],[Destination]],tblDestinations[Destination],0)),"?"))</f>
        <v/>
      </c>
      <c r="M1642" s="64">
        <f>IF(tblMovement[[#This Row],[Material]]="","",IF(LEFT(tblMovement[[#This Row],[Material]],3)="Ore",1,0))</f>
        <v/>
      </c>
      <c r="N1642" s="59">
        <f>IF(OR(tblMovement[[#This Row],[Tonnes_t]]="",tblMovement[[#This Row],[Grade_gpt]]=""),0,tblMovement[[#This Row],[Tonnes_t]]*tblMovement[[#This Row],[Grade_gpt]]/cfg_TroyOz)</f>
        <v/>
      </c>
      <c r="O1642" s="59">
        <f>IF(tblMovement[[#This Row],[Is_Ore]]=1,tblMovement[[#This Row],[Contained_oz]],0)</f>
        <v/>
      </c>
    </row>
    <row r="1643">
      <c r="A1643" s="54" t="n"/>
      <c r="B1643" s="61" t="n"/>
      <c r="C1643" s="61" t="n"/>
      <c r="D1643" s="61" t="n"/>
      <c r="E1643" s="61" t="n"/>
      <c r="F1643" s="55" t="n"/>
      <c r="G1643" s="56" t="n"/>
      <c r="H1643" s="55" t="n"/>
      <c r="I1643" s="62" t="n"/>
      <c r="J1643" s="58" t="n"/>
      <c r="K1643" s="63">
        <f>IF(tblMovement[[#This Row],[Source]]="","",IFERROR(INDEX(tblSources[Type],MATCH(tblMovement[[#This Row],[Source]],tblSources[Source],0)),"?"))</f>
        <v/>
      </c>
      <c r="L1643" s="63">
        <f>IF(tblMovement[[#This Row],[Destination]]="","",IFERROR(INDEX(tblDestinations[Type],MATCH(tblMovement[[#This Row],[Destination]],tblDestinations[Destination],0)),"?"))</f>
        <v/>
      </c>
      <c r="M1643" s="64">
        <f>IF(tblMovement[[#This Row],[Material]]="","",IF(LEFT(tblMovement[[#This Row],[Material]],3)="Ore",1,0))</f>
        <v/>
      </c>
      <c r="N1643" s="59">
        <f>IF(OR(tblMovement[[#This Row],[Tonnes_t]]="",tblMovement[[#This Row],[Grade_gpt]]=""),0,tblMovement[[#This Row],[Tonnes_t]]*tblMovement[[#This Row],[Grade_gpt]]/cfg_TroyOz)</f>
        <v/>
      </c>
      <c r="O1643" s="59">
        <f>IF(tblMovement[[#This Row],[Is_Ore]]=1,tblMovement[[#This Row],[Contained_oz]],0)</f>
        <v/>
      </c>
    </row>
    <row r="1644">
      <c r="A1644" s="54" t="n"/>
      <c r="B1644" s="61" t="n"/>
      <c r="C1644" s="61" t="n"/>
      <c r="D1644" s="61" t="n"/>
      <c r="E1644" s="61" t="n"/>
      <c r="F1644" s="55" t="n"/>
      <c r="G1644" s="56" t="n"/>
      <c r="H1644" s="55" t="n"/>
      <c r="I1644" s="62" t="n"/>
      <c r="J1644" s="58" t="n"/>
      <c r="K1644" s="63">
        <f>IF(tblMovement[[#This Row],[Source]]="","",IFERROR(INDEX(tblSources[Type],MATCH(tblMovement[[#This Row],[Source]],tblSources[Source],0)),"?"))</f>
        <v/>
      </c>
      <c r="L1644" s="63">
        <f>IF(tblMovement[[#This Row],[Destination]]="","",IFERROR(INDEX(tblDestinations[Type],MATCH(tblMovement[[#This Row],[Destination]],tblDestinations[Destination],0)),"?"))</f>
        <v/>
      </c>
      <c r="M1644" s="64">
        <f>IF(tblMovement[[#This Row],[Material]]="","",IF(LEFT(tblMovement[[#This Row],[Material]],3)="Ore",1,0))</f>
        <v/>
      </c>
      <c r="N1644" s="59">
        <f>IF(OR(tblMovement[[#This Row],[Tonnes_t]]="",tblMovement[[#This Row],[Grade_gpt]]=""),0,tblMovement[[#This Row],[Tonnes_t]]*tblMovement[[#This Row],[Grade_gpt]]/cfg_TroyOz)</f>
        <v/>
      </c>
      <c r="O1644" s="59">
        <f>IF(tblMovement[[#This Row],[Is_Ore]]=1,tblMovement[[#This Row],[Contained_oz]],0)</f>
        <v/>
      </c>
    </row>
    <row r="1645">
      <c r="A1645" s="54" t="n"/>
      <c r="B1645" s="61" t="n"/>
      <c r="C1645" s="61" t="n"/>
      <c r="D1645" s="61" t="n"/>
      <c r="E1645" s="61" t="n"/>
      <c r="F1645" s="55" t="n"/>
      <c r="G1645" s="56" t="n"/>
      <c r="H1645" s="55" t="n"/>
      <c r="I1645" s="62" t="n"/>
      <c r="J1645" s="58" t="n"/>
      <c r="K1645" s="63">
        <f>IF(tblMovement[[#This Row],[Source]]="","",IFERROR(INDEX(tblSources[Type],MATCH(tblMovement[[#This Row],[Source]],tblSources[Source],0)),"?"))</f>
        <v/>
      </c>
      <c r="L1645" s="63">
        <f>IF(tblMovement[[#This Row],[Destination]]="","",IFERROR(INDEX(tblDestinations[Type],MATCH(tblMovement[[#This Row],[Destination]],tblDestinations[Destination],0)),"?"))</f>
        <v/>
      </c>
      <c r="M1645" s="64">
        <f>IF(tblMovement[[#This Row],[Material]]="","",IF(LEFT(tblMovement[[#This Row],[Material]],3)="Ore",1,0))</f>
        <v/>
      </c>
      <c r="N1645" s="59">
        <f>IF(OR(tblMovement[[#This Row],[Tonnes_t]]="",tblMovement[[#This Row],[Grade_gpt]]=""),0,tblMovement[[#This Row],[Tonnes_t]]*tblMovement[[#This Row],[Grade_gpt]]/cfg_TroyOz)</f>
        <v/>
      </c>
      <c r="O1645" s="59">
        <f>IF(tblMovement[[#This Row],[Is_Ore]]=1,tblMovement[[#This Row],[Contained_oz]],0)</f>
        <v/>
      </c>
    </row>
    <row r="1646">
      <c r="A1646" s="54" t="n"/>
      <c r="B1646" s="61" t="n"/>
      <c r="C1646" s="61" t="n"/>
      <c r="D1646" s="61" t="n"/>
      <c r="E1646" s="61" t="n"/>
      <c r="F1646" s="55" t="n"/>
      <c r="G1646" s="56" t="n"/>
      <c r="H1646" s="55" t="n"/>
      <c r="I1646" s="62" t="n"/>
      <c r="J1646" s="58" t="n"/>
      <c r="K1646" s="63">
        <f>IF(tblMovement[[#This Row],[Source]]="","",IFERROR(INDEX(tblSources[Type],MATCH(tblMovement[[#This Row],[Source]],tblSources[Source],0)),"?"))</f>
        <v/>
      </c>
      <c r="L1646" s="63">
        <f>IF(tblMovement[[#This Row],[Destination]]="","",IFERROR(INDEX(tblDestinations[Type],MATCH(tblMovement[[#This Row],[Destination]],tblDestinations[Destination],0)),"?"))</f>
        <v/>
      </c>
      <c r="M1646" s="64">
        <f>IF(tblMovement[[#This Row],[Material]]="","",IF(LEFT(tblMovement[[#This Row],[Material]],3)="Ore",1,0))</f>
        <v/>
      </c>
      <c r="N1646" s="59">
        <f>IF(OR(tblMovement[[#This Row],[Tonnes_t]]="",tblMovement[[#This Row],[Grade_gpt]]=""),0,tblMovement[[#This Row],[Tonnes_t]]*tblMovement[[#This Row],[Grade_gpt]]/cfg_TroyOz)</f>
        <v/>
      </c>
      <c r="O1646" s="59">
        <f>IF(tblMovement[[#This Row],[Is_Ore]]=1,tblMovement[[#This Row],[Contained_oz]],0)</f>
        <v/>
      </c>
    </row>
    <row r="1647">
      <c r="A1647" s="54" t="n"/>
      <c r="B1647" s="61" t="n"/>
      <c r="C1647" s="61" t="n"/>
      <c r="D1647" s="61" t="n"/>
      <c r="E1647" s="61" t="n"/>
      <c r="F1647" s="55" t="n"/>
      <c r="G1647" s="56" t="n"/>
      <c r="H1647" s="55" t="n"/>
      <c r="I1647" s="62" t="n"/>
      <c r="J1647" s="58" t="n"/>
      <c r="K1647" s="63">
        <f>IF(tblMovement[[#This Row],[Source]]="","",IFERROR(INDEX(tblSources[Type],MATCH(tblMovement[[#This Row],[Source]],tblSources[Source],0)),"?"))</f>
        <v/>
      </c>
      <c r="L1647" s="63">
        <f>IF(tblMovement[[#This Row],[Destination]]="","",IFERROR(INDEX(tblDestinations[Type],MATCH(tblMovement[[#This Row],[Destination]],tblDestinations[Destination],0)),"?"))</f>
        <v/>
      </c>
      <c r="M1647" s="64">
        <f>IF(tblMovement[[#This Row],[Material]]="","",IF(LEFT(tblMovement[[#This Row],[Material]],3)="Ore",1,0))</f>
        <v/>
      </c>
      <c r="N1647" s="59">
        <f>IF(OR(tblMovement[[#This Row],[Tonnes_t]]="",tblMovement[[#This Row],[Grade_gpt]]=""),0,tblMovement[[#This Row],[Tonnes_t]]*tblMovement[[#This Row],[Grade_gpt]]/cfg_TroyOz)</f>
        <v/>
      </c>
      <c r="O1647" s="59">
        <f>IF(tblMovement[[#This Row],[Is_Ore]]=1,tblMovement[[#This Row],[Contained_oz]],0)</f>
        <v/>
      </c>
    </row>
    <row r="1648">
      <c r="A1648" s="54" t="n"/>
      <c r="B1648" s="61" t="n"/>
      <c r="C1648" s="61" t="n"/>
      <c r="D1648" s="61" t="n"/>
      <c r="E1648" s="61" t="n"/>
      <c r="F1648" s="55" t="n"/>
      <c r="G1648" s="56" t="n"/>
      <c r="H1648" s="55" t="n"/>
      <c r="I1648" s="62" t="n"/>
      <c r="J1648" s="58" t="n"/>
      <c r="K1648" s="63">
        <f>IF(tblMovement[[#This Row],[Source]]="","",IFERROR(INDEX(tblSources[Type],MATCH(tblMovement[[#This Row],[Source]],tblSources[Source],0)),"?"))</f>
        <v/>
      </c>
      <c r="L1648" s="63">
        <f>IF(tblMovement[[#This Row],[Destination]]="","",IFERROR(INDEX(tblDestinations[Type],MATCH(tblMovement[[#This Row],[Destination]],tblDestinations[Destination],0)),"?"))</f>
        <v/>
      </c>
      <c r="M1648" s="64">
        <f>IF(tblMovement[[#This Row],[Material]]="","",IF(LEFT(tblMovement[[#This Row],[Material]],3)="Ore",1,0))</f>
        <v/>
      </c>
      <c r="N1648" s="59">
        <f>IF(OR(tblMovement[[#This Row],[Tonnes_t]]="",tblMovement[[#This Row],[Grade_gpt]]=""),0,tblMovement[[#This Row],[Tonnes_t]]*tblMovement[[#This Row],[Grade_gpt]]/cfg_TroyOz)</f>
        <v/>
      </c>
      <c r="O1648" s="59">
        <f>IF(tblMovement[[#This Row],[Is_Ore]]=1,tblMovement[[#This Row],[Contained_oz]],0)</f>
        <v/>
      </c>
    </row>
    <row r="1649">
      <c r="A1649" s="54" t="n"/>
      <c r="B1649" s="61" t="n"/>
      <c r="C1649" s="61" t="n"/>
      <c r="D1649" s="61" t="n"/>
      <c r="E1649" s="61" t="n"/>
      <c r="F1649" s="55" t="n"/>
      <c r="G1649" s="56" t="n"/>
      <c r="H1649" s="55" t="n"/>
      <c r="I1649" s="62" t="n"/>
      <c r="J1649" s="58" t="n"/>
      <c r="K1649" s="63">
        <f>IF(tblMovement[[#This Row],[Source]]="","",IFERROR(INDEX(tblSources[Type],MATCH(tblMovement[[#This Row],[Source]],tblSources[Source],0)),"?"))</f>
        <v/>
      </c>
      <c r="L1649" s="63">
        <f>IF(tblMovement[[#This Row],[Destination]]="","",IFERROR(INDEX(tblDestinations[Type],MATCH(tblMovement[[#This Row],[Destination]],tblDestinations[Destination],0)),"?"))</f>
        <v/>
      </c>
      <c r="M1649" s="64">
        <f>IF(tblMovement[[#This Row],[Material]]="","",IF(LEFT(tblMovement[[#This Row],[Material]],3)="Ore",1,0))</f>
        <v/>
      </c>
      <c r="N1649" s="59">
        <f>IF(OR(tblMovement[[#This Row],[Tonnes_t]]="",tblMovement[[#This Row],[Grade_gpt]]=""),0,tblMovement[[#This Row],[Tonnes_t]]*tblMovement[[#This Row],[Grade_gpt]]/cfg_TroyOz)</f>
        <v/>
      </c>
      <c r="O1649" s="59">
        <f>IF(tblMovement[[#This Row],[Is_Ore]]=1,tblMovement[[#This Row],[Contained_oz]],0)</f>
        <v/>
      </c>
    </row>
    <row r="1650">
      <c r="A1650" s="54" t="n"/>
      <c r="B1650" s="61" t="n"/>
      <c r="C1650" s="61" t="n"/>
      <c r="D1650" s="61" t="n"/>
      <c r="E1650" s="61" t="n"/>
      <c r="F1650" s="55" t="n"/>
      <c r="G1650" s="56" t="n"/>
      <c r="H1650" s="55" t="n"/>
      <c r="I1650" s="62" t="n"/>
      <c r="J1650" s="58" t="n"/>
      <c r="K1650" s="63">
        <f>IF(tblMovement[[#This Row],[Source]]="","",IFERROR(INDEX(tblSources[Type],MATCH(tblMovement[[#This Row],[Source]],tblSources[Source],0)),"?"))</f>
        <v/>
      </c>
      <c r="L1650" s="63">
        <f>IF(tblMovement[[#This Row],[Destination]]="","",IFERROR(INDEX(tblDestinations[Type],MATCH(tblMovement[[#This Row],[Destination]],tblDestinations[Destination],0)),"?"))</f>
        <v/>
      </c>
      <c r="M1650" s="64">
        <f>IF(tblMovement[[#This Row],[Material]]="","",IF(LEFT(tblMovement[[#This Row],[Material]],3)="Ore",1,0))</f>
        <v/>
      </c>
      <c r="N1650" s="59">
        <f>IF(OR(tblMovement[[#This Row],[Tonnes_t]]="",tblMovement[[#This Row],[Grade_gpt]]=""),0,tblMovement[[#This Row],[Tonnes_t]]*tblMovement[[#This Row],[Grade_gpt]]/cfg_TroyOz)</f>
        <v/>
      </c>
      <c r="O1650" s="59">
        <f>IF(tblMovement[[#This Row],[Is_Ore]]=1,tblMovement[[#This Row],[Contained_oz]],0)</f>
        <v/>
      </c>
    </row>
    <row r="1651">
      <c r="A1651" s="54" t="n"/>
      <c r="B1651" s="61" t="n"/>
      <c r="C1651" s="61" t="n"/>
      <c r="D1651" s="61" t="n"/>
      <c r="E1651" s="61" t="n"/>
      <c r="F1651" s="55" t="n"/>
      <c r="G1651" s="56" t="n"/>
      <c r="H1651" s="55" t="n"/>
      <c r="I1651" s="62" t="n"/>
      <c r="J1651" s="58" t="n"/>
      <c r="K1651" s="63">
        <f>IF(tblMovement[[#This Row],[Source]]="","",IFERROR(INDEX(tblSources[Type],MATCH(tblMovement[[#This Row],[Source]],tblSources[Source],0)),"?"))</f>
        <v/>
      </c>
      <c r="L1651" s="63">
        <f>IF(tblMovement[[#This Row],[Destination]]="","",IFERROR(INDEX(tblDestinations[Type],MATCH(tblMovement[[#This Row],[Destination]],tblDestinations[Destination],0)),"?"))</f>
        <v/>
      </c>
      <c r="M1651" s="64">
        <f>IF(tblMovement[[#This Row],[Material]]="","",IF(LEFT(tblMovement[[#This Row],[Material]],3)="Ore",1,0))</f>
        <v/>
      </c>
      <c r="N1651" s="59">
        <f>IF(OR(tblMovement[[#This Row],[Tonnes_t]]="",tblMovement[[#This Row],[Grade_gpt]]=""),0,tblMovement[[#This Row],[Tonnes_t]]*tblMovement[[#This Row],[Grade_gpt]]/cfg_TroyOz)</f>
        <v/>
      </c>
      <c r="O1651" s="59">
        <f>IF(tblMovement[[#This Row],[Is_Ore]]=1,tblMovement[[#This Row],[Contained_oz]],0)</f>
        <v/>
      </c>
    </row>
    <row r="1652">
      <c r="A1652" s="54" t="n"/>
      <c r="B1652" s="61" t="n"/>
      <c r="C1652" s="61" t="n"/>
      <c r="D1652" s="61" t="n"/>
      <c r="E1652" s="61" t="n"/>
      <c r="F1652" s="55" t="n"/>
      <c r="G1652" s="56" t="n"/>
      <c r="H1652" s="55" t="n"/>
      <c r="I1652" s="62" t="n"/>
      <c r="J1652" s="58" t="n"/>
      <c r="K1652" s="63">
        <f>IF(tblMovement[[#This Row],[Source]]="","",IFERROR(INDEX(tblSources[Type],MATCH(tblMovement[[#This Row],[Source]],tblSources[Source],0)),"?"))</f>
        <v/>
      </c>
      <c r="L1652" s="63">
        <f>IF(tblMovement[[#This Row],[Destination]]="","",IFERROR(INDEX(tblDestinations[Type],MATCH(tblMovement[[#This Row],[Destination]],tblDestinations[Destination],0)),"?"))</f>
        <v/>
      </c>
      <c r="M1652" s="64">
        <f>IF(tblMovement[[#This Row],[Material]]="","",IF(LEFT(tblMovement[[#This Row],[Material]],3)="Ore",1,0))</f>
        <v/>
      </c>
      <c r="N1652" s="59">
        <f>IF(OR(tblMovement[[#This Row],[Tonnes_t]]="",tblMovement[[#This Row],[Grade_gpt]]=""),0,tblMovement[[#This Row],[Tonnes_t]]*tblMovement[[#This Row],[Grade_gpt]]/cfg_TroyOz)</f>
        <v/>
      </c>
      <c r="O1652" s="59">
        <f>IF(tblMovement[[#This Row],[Is_Ore]]=1,tblMovement[[#This Row],[Contained_oz]],0)</f>
        <v/>
      </c>
    </row>
    <row r="1653">
      <c r="A1653" s="54" t="n"/>
      <c r="B1653" s="61" t="n"/>
      <c r="C1653" s="61" t="n"/>
      <c r="D1653" s="61" t="n"/>
      <c r="E1653" s="61" t="n"/>
      <c r="F1653" s="55" t="n"/>
      <c r="G1653" s="56" t="n"/>
      <c r="H1653" s="55" t="n"/>
      <c r="I1653" s="62" t="n"/>
      <c r="J1653" s="58" t="n"/>
      <c r="K1653" s="63">
        <f>IF(tblMovement[[#This Row],[Source]]="","",IFERROR(INDEX(tblSources[Type],MATCH(tblMovement[[#This Row],[Source]],tblSources[Source],0)),"?"))</f>
        <v/>
      </c>
      <c r="L1653" s="63">
        <f>IF(tblMovement[[#This Row],[Destination]]="","",IFERROR(INDEX(tblDestinations[Type],MATCH(tblMovement[[#This Row],[Destination]],tblDestinations[Destination],0)),"?"))</f>
        <v/>
      </c>
      <c r="M1653" s="64">
        <f>IF(tblMovement[[#This Row],[Material]]="","",IF(LEFT(tblMovement[[#This Row],[Material]],3)="Ore",1,0))</f>
        <v/>
      </c>
      <c r="N1653" s="59">
        <f>IF(OR(tblMovement[[#This Row],[Tonnes_t]]="",tblMovement[[#This Row],[Grade_gpt]]=""),0,tblMovement[[#This Row],[Tonnes_t]]*tblMovement[[#This Row],[Grade_gpt]]/cfg_TroyOz)</f>
        <v/>
      </c>
      <c r="O1653" s="59">
        <f>IF(tblMovement[[#This Row],[Is_Ore]]=1,tblMovement[[#This Row],[Contained_oz]],0)</f>
        <v/>
      </c>
    </row>
    <row r="1654">
      <c r="A1654" s="54" t="n"/>
      <c r="B1654" s="61" t="n"/>
      <c r="C1654" s="61" t="n"/>
      <c r="D1654" s="61" t="n"/>
      <c r="E1654" s="61" t="n"/>
      <c r="F1654" s="55" t="n"/>
      <c r="G1654" s="56" t="n"/>
      <c r="H1654" s="55" t="n"/>
      <c r="I1654" s="62" t="n"/>
      <c r="J1654" s="58" t="n"/>
      <c r="K1654" s="63">
        <f>IF(tblMovement[[#This Row],[Source]]="","",IFERROR(INDEX(tblSources[Type],MATCH(tblMovement[[#This Row],[Source]],tblSources[Source],0)),"?"))</f>
        <v/>
      </c>
      <c r="L1654" s="63">
        <f>IF(tblMovement[[#This Row],[Destination]]="","",IFERROR(INDEX(tblDestinations[Type],MATCH(tblMovement[[#This Row],[Destination]],tblDestinations[Destination],0)),"?"))</f>
        <v/>
      </c>
      <c r="M1654" s="64">
        <f>IF(tblMovement[[#This Row],[Material]]="","",IF(LEFT(tblMovement[[#This Row],[Material]],3)="Ore",1,0))</f>
        <v/>
      </c>
      <c r="N1654" s="59">
        <f>IF(OR(tblMovement[[#This Row],[Tonnes_t]]="",tblMovement[[#This Row],[Grade_gpt]]=""),0,tblMovement[[#This Row],[Tonnes_t]]*tblMovement[[#This Row],[Grade_gpt]]/cfg_TroyOz)</f>
        <v/>
      </c>
      <c r="O1654" s="59">
        <f>IF(tblMovement[[#This Row],[Is_Ore]]=1,tblMovement[[#This Row],[Contained_oz]],0)</f>
        <v/>
      </c>
    </row>
    <row r="1655">
      <c r="A1655" s="54" t="n"/>
      <c r="B1655" s="61" t="n"/>
      <c r="C1655" s="61" t="n"/>
      <c r="D1655" s="61" t="n"/>
      <c r="E1655" s="61" t="n"/>
      <c r="F1655" s="55" t="n"/>
      <c r="G1655" s="56" t="n"/>
      <c r="H1655" s="55" t="n"/>
      <c r="I1655" s="62" t="n"/>
      <c r="J1655" s="58" t="n"/>
      <c r="K1655" s="63">
        <f>IF(tblMovement[[#This Row],[Source]]="","",IFERROR(INDEX(tblSources[Type],MATCH(tblMovement[[#This Row],[Source]],tblSources[Source],0)),"?"))</f>
        <v/>
      </c>
      <c r="L1655" s="63">
        <f>IF(tblMovement[[#This Row],[Destination]]="","",IFERROR(INDEX(tblDestinations[Type],MATCH(tblMovement[[#This Row],[Destination]],tblDestinations[Destination],0)),"?"))</f>
        <v/>
      </c>
      <c r="M1655" s="64">
        <f>IF(tblMovement[[#This Row],[Material]]="","",IF(LEFT(tblMovement[[#This Row],[Material]],3)="Ore",1,0))</f>
        <v/>
      </c>
      <c r="N1655" s="59">
        <f>IF(OR(tblMovement[[#This Row],[Tonnes_t]]="",tblMovement[[#This Row],[Grade_gpt]]=""),0,tblMovement[[#This Row],[Tonnes_t]]*tblMovement[[#This Row],[Grade_gpt]]/cfg_TroyOz)</f>
        <v/>
      </c>
      <c r="O1655" s="59">
        <f>IF(tblMovement[[#This Row],[Is_Ore]]=1,tblMovement[[#This Row],[Contained_oz]],0)</f>
        <v/>
      </c>
    </row>
    <row r="1656">
      <c r="A1656" s="54" t="n"/>
      <c r="B1656" s="61" t="n"/>
      <c r="C1656" s="61" t="n"/>
      <c r="D1656" s="61" t="n"/>
      <c r="E1656" s="61" t="n"/>
      <c r="F1656" s="55" t="n"/>
      <c r="G1656" s="56" t="n"/>
      <c r="H1656" s="55" t="n"/>
      <c r="I1656" s="62" t="n"/>
      <c r="J1656" s="58" t="n"/>
      <c r="K1656" s="63">
        <f>IF(tblMovement[[#This Row],[Source]]="","",IFERROR(INDEX(tblSources[Type],MATCH(tblMovement[[#This Row],[Source]],tblSources[Source],0)),"?"))</f>
        <v/>
      </c>
      <c r="L1656" s="63">
        <f>IF(tblMovement[[#This Row],[Destination]]="","",IFERROR(INDEX(tblDestinations[Type],MATCH(tblMovement[[#This Row],[Destination]],tblDestinations[Destination],0)),"?"))</f>
        <v/>
      </c>
      <c r="M1656" s="64">
        <f>IF(tblMovement[[#This Row],[Material]]="","",IF(LEFT(tblMovement[[#This Row],[Material]],3)="Ore",1,0))</f>
        <v/>
      </c>
      <c r="N1656" s="59">
        <f>IF(OR(tblMovement[[#This Row],[Tonnes_t]]="",tblMovement[[#This Row],[Grade_gpt]]=""),0,tblMovement[[#This Row],[Tonnes_t]]*tblMovement[[#This Row],[Grade_gpt]]/cfg_TroyOz)</f>
        <v/>
      </c>
      <c r="O1656" s="59">
        <f>IF(tblMovement[[#This Row],[Is_Ore]]=1,tblMovement[[#This Row],[Contained_oz]],0)</f>
        <v/>
      </c>
    </row>
    <row r="1657">
      <c r="A1657" s="54" t="n"/>
      <c r="B1657" s="61" t="n"/>
      <c r="C1657" s="61" t="n"/>
      <c r="D1657" s="61" t="n"/>
      <c r="E1657" s="61" t="n"/>
      <c r="F1657" s="55" t="n"/>
      <c r="G1657" s="56" t="n"/>
      <c r="H1657" s="55" t="n"/>
      <c r="I1657" s="62" t="n"/>
      <c r="J1657" s="58" t="n"/>
      <c r="K1657" s="63">
        <f>IF(tblMovement[[#This Row],[Source]]="","",IFERROR(INDEX(tblSources[Type],MATCH(tblMovement[[#This Row],[Source]],tblSources[Source],0)),"?"))</f>
        <v/>
      </c>
      <c r="L1657" s="63">
        <f>IF(tblMovement[[#This Row],[Destination]]="","",IFERROR(INDEX(tblDestinations[Type],MATCH(tblMovement[[#This Row],[Destination]],tblDestinations[Destination],0)),"?"))</f>
        <v/>
      </c>
      <c r="M1657" s="64">
        <f>IF(tblMovement[[#This Row],[Material]]="","",IF(LEFT(tblMovement[[#This Row],[Material]],3)="Ore",1,0))</f>
        <v/>
      </c>
      <c r="N1657" s="59">
        <f>IF(OR(tblMovement[[#This Row],[Tonnes_t]]="",tblMovement[[#This Row],[Grade_gpt]]=""),0,tblMovement[[#This Row],[Tonnes_t]]*tblMovement[[#This Row],[Grade_gpt]]/cfg_TroyOz)</f>
        <v/>
      </c>
      <c r="O1657" s="59">
        <f>IF(tblMovement[[#This Row],[Is_Ore]]=1,tblMovement[[#This Row],[Contained_oz]],0)</f>
        <v/>
      </c>
    </row>
    <row r="1658">
      <c r="A1658" s="54" t="n"/>
      <c r="B1658" s="61" t="n"/>
      <c r="C1658" s="61" t="n"/>
      <c r="D1658" s="61" t="n"/>
      <c r="E1658" s="61" t="n"/>
      <c r="F1658" s="55" t="n"/>
      <c r="G1658" s="56" t="n"/>
      <c r="H1658" s="55" t="n"/>
      <c r="I1658" s="62" t="n"/>
      <c r="J1658" s="58" t="n"/>
      <c r="K1658" s="63">
        <f>IF(tblMovement[[#This Row],[Source]]="","",IFERROR(INDEX(tblSources[Type],MATCH(tblMovement[[#This Row],[Source]],tblSources[Source],0)),"?"))</f>
        <v/>
      </c>
      <c r="L1658" s="63">
        <f>IF(tblMovement[[#This Row],[Destination]]="","",IFERROR(INDEX(tblDestinations[Type],MATCH(tblMovement[[#This Row],[Destination]],tblDestinations[Destination],0)),"?"))</f>
        <v/>
      </c>
      <c r="M1658" s="64">
        <f>IF(tblMovement[[#This Row],[Material]]="","",IF(LEFT(tblMovement[[#This Row],[Material]],3)="Ore",1,0))</f>
        <v/>
      </c>
      <c r="N1658" s="59">
        <f>IF(OR(tblMovement[[#This Row],[Tonnes_t]]="",tblMovement[[#This Row],[Grade_gpt]]=""),0,tblMovement[[#This Row],[Tonnes_t]]*tblMovement[[#This Row],[Grade_gpt]]/cfg_TroyOz)</f>
        <v/>
      </c>
      <c r="O1658" s="59">
        <f>IF(tblMovement[[#This Row],[Is_Ore]]=1,tblMovement[[#This Row],[Contained_oz]],0)</f>
        <v/>
      </c>
    </row>
    <row r="1659">
      <c r="A1659" s="54" t="n"/>
      <c r="B1659" s="61" t="n"/>
      <c r="C1659" s="61" t="n"/>
      <c r="D1659" s="61" t="n"/>
      <c r="E1659" s="61" t="n"/>
      <c r="F1659" s="55" t="n"/>
      <c r="G1659" s="56" t="n"/>
      <c r="H1659" s="55" t="n"/>
      <c r="I1659" s="62" t="n"/>
      <c r="J1659" s="58" t="n"/>
      <c r="K1659" s="63">
        <f>IF(tblMovement[[#This Row],[Source]]="","",IFERROR(INDEX(tblSources[Type],MATCH(tblMovement[[#This Row],[Source]],tblSources[Source],0)),"?"))</f>
        <v/>
      </c>
      <c r="L1659" s="63">
        <f>IF(tblMovement[[#This Row],[Destination]]="","",IFERROR(INDEX(tblDestinations[Type],MATCH(tblMovement[[#This Row],[Destination]],tblDestinations[Destination],0)),"?"))</f>
        <v/>
      </c>
      <c r="M1659" s="64">
        <f>IF(tblMovement[[#This Row],[Material]]="","",IF(LEFT(tblMovement[[#This Row],[Material]],3)="Ore",1,0))</f>
        <v/>
      </c>
      <c r="N1659" s="59">
        <f>IF(OR(tblMovement[[#This Row],[Tonnes_t]]="",tblMovement[[#This Row],[Grade_gpt]]=""),0,tblMovement[[#This Row],[Tonnes_t]]*tblMovement[[#This Row],[Grade_gpt]]/cfg_TroyOz)</f>
        <v/>
      </c>
      <c r="O1659" s="59">
        <f>IF(tblMovement[[#This Row],[Is_Ore]]=1,tblMovement[[#This Row],[Contained_oz]],0)</f>
        <v/>
      </c>
    </row>
    <row r="1660">
      <c r="A1660" s="54" t="n"/>
      <c r="B1660" s="61" t="n"/>
      <c r="C1660" s="61" t="n"/>
      <c r="D1660" s="61" t="n"/>
      <c r="E1660" s="61" t="n"/>
      <c r="F1660" s="55" t="n"/>
      <c r="G1660" s="56" t="n"/>
      <c r="H1660" s="55" t="n"/>
      <c r="I1660" s="62" t="n"/>
      <c r="J1660" s="58" t="n"/>
      <c r="K1660" s="63">
        <f>IF(tblMovement[[#This Row],[Source]]="","",IFERROR(INDEX(tblSources[Type],MATCH(tblMovement[[#This Row],[Source]],tblSources[Source],0)),"?"))</f>
        <v/>
      </c>
      <c r="L1660" s="63">
        <f>IF(tblMovement[[#This Row],[Destination]]="","",IFERROR(INDEX(tblDestinations[Type],MATCH(tblMovement[[#This Row],[Destination]],tblDestinations[Destination],0)),"?"))</f>
        <v/>
      </c>
      <c r="M1660" s="64">
        <f>IF(tblMovement[[#This Row],[Material]]="","",IF(LEFT(tblMovement[[#This Row],[Material]],3)="Ore",1,0))</f>
        <v/>
      </c>
      <c r="N1660" s="59">
        <f>IF(OR(tblMovement[[#This Row],[Tonnes_t]]="",tblMovement[[#This Row],[Grade_gpt]]=""),0,tblMovement[[#This Row],[Tonnes_t]]*tblMovement[[#This Row],[Grade_gpt]]/cfg_TroyOz)</f>
        <v/>
      </c>
      <c r="O1660" s="59">
        <f>IF(tblMovement[[#This Row],[Is_Ore]]=1,tblMovement[[#This Row],[Contained_oz]],0)</f>
        <v/>
      </c>
    </row>
    <row r="1661">
      <c r="A1661" s="54" t="n"/>
      <c r="B1661" s="61" t="n"/>
      <c r="C1661" s="61" t="n"/>
      <c r="D1661" s="61" t="n"/>
      <c r="E1661" s="61" t="n"/>
      <c r="F1661" s="55" t="n"/>
      <c r="G1661" s="56" t="n"/>
      <c r="H1661" s="55" t="n"/>
      <c r="I1661" s="62" t="n"/>
      <c r="J1661" s="58" t="n"/>
      <c r="K1661" s="63">
        <f>IF(tblMovement[[#This Row],[Source]]="","",IFERROR(INDEX(tblSources[Type],MATCH(tblMovement[[#This Row],[Source]],tblSources[Source],0)),"?"))</f>
        <v/>
      </c>
      <c r="L1661" s="63">
        <f>IF(tblMovement[[#This Row],[Destination]]="","",IFERROR(INDEX(tblDestinations[Type],MATCH(tblMovement[[#This Row],[Destination]],tblDestinations[Destination],0)),"?"))</f>
        <v/>
      </c>
      <c r="M1661" s="64">
        <f>IF(tblMovement[[#This Row],[Material]]="","",IF(LEFT(tblMovement[[#This Row],[Material]],3)="Ore",1,0))</f>
        <v/>
      </c>
      <c r="N1661" s="59">
        <f>IF(OR(tblMovement[[#This Row],[Tonnes_t]]="",tblMovement[[#This Row],[Grade_gpt]]=""),0,tblMovement[[#This Row],[Tonnes_t]]*tblMovement[[#This Row],[Grade_gpt]]/cfg_TroyOz)</f>
        <v/>
      </c>
      <c r="O1661" s="59">
        <f>IF(tblMovement[[#This Row],[Is_Ore]]=1,tblMovement[[#This Row],[Contained_oz]],0)</f>
        <v/>
      </c>
    </row>
    <row r="1662">
      <c r="A1662" s="54" t="n"/>
      <c r="B1662" s="61" t="n"/>
      <c r="C1662" s="61" t="n"/>
      <c r="D1662" s="61" t="n"/>
      <c r="E1662" s="61" t="n"/>
      <c r="F1662" s="55" t="n"/>
      <c r="G1662" s="56" t="n"/>
      <c r="H1662" s="55" t="n"/>
      <c r="I1662" s="62" t="n"/>
      <c r="J1662" s="58" t="n"/>
      <c r="K1662" s="63">
        <f>IF(tblMovement[[#This Row],[Source]]="","",IFERROR(INDEX(tblSources[Type],MATCH(tblMovement[[#This Row],[Source]],tblSources[Source],0)),"?"))</f>
        <v/>
      </c>
      <c r="L1662" s="63">
        <f>IF(tblMovement[[#This Row],[Destination]]="","",IFERROR(INDEX(tblDestinations[Type],MATCH(tblMovement[[#This Row],[Destination]],tblDestinations[Destination],0)),"?"))</f>
        <v/>
      </c>
      <c r="M1662" s="64">
        <f>IF(tblMovement[[#This Row],[Material]]="","",IF(LEFT(tblMovement[[#This Row],[Material]],3)="Ore",1,0))</f>
        <v/>
      </c>
      <c r="N1662" s="59">
        <f>IF(OR(tblMovement[[#This Row],[Tonnes_t]]="",tblMovement[[#This Row],[Grade_gpt]]=""),0,tblMovement[[#This Row],[Tonnes_t]]*tblMovement[[#This Row],[Grade_gpt]]/cfg_TroyOz)</f>
        <v/>
      </c>
      <c r="O1662" s="59">
        <f>IF(tblMovement[[#This Row],[Is_Ore]]=1,tblMovement[[#This Row],[Contained_oz]],0)</f>
        <v/>
      </c>
    </row>
    <row r="1663">
      <c r="A1663" s="54" t="n"/>
      <c r="B1663" s="61" t="n"/>
      <c r="C1663" s="61" t="n"/>
      <c r="D1663" s="61" t="n"/>
      <c r="E1663" s="61" t="n"/>
      <c r="F1663" s="55" t="n"/>
      <c r="G1663" s="56" t="n"/>
      <c r="H1663" s="55" t="n"/>
      <c r="I1663" s="62" t="n"/>
      <c r="J1663" s="58" t="n"/>
      <c r="K1663" s="63">
        <f>IF(tblMovement[[#This Row],[Source]]="","",IFERROR(INDEX(tblSources[Type],MATCH(tblMovement[[#This Row],[Source]],tblSources[Source],0)),"?"))</f>
        <v/>
      </c>
      <c r="L1663" s="63">
        <f>IF(tblMovement[[#This Row],[Destination]]="","",IFERROR(INDEX(tblDestinations[Type],MATCH(tblMovement[[#This Row],[Destination]],tblDestinations[Destination],0)),"?"))</f>
        <v/>
      </c>
      <c r="M1663" s="64">
        <f>IF(tblMovement[[#This Row],[Material]]="","",IF(LEFT(tblMovement[[#This Row],[Material]],3)="Ore",1,0))</f>
        <v/>
      </c>
      <c r="N1663" s="59">
        <f>IF(OR(tblMovement[[#This Row],[Tonnes_t]]="",tblMovement[[#This Row],[Grade_gpt]]=""),0,tblMovement[[#This Row],[Tonnes_t]]*tblMovement[[#This Row],[Grade_gpt]]/cfg_TroyOz)</f>
        <v/>
      </c>
      <c r="O1663" s="59">
        <f>IF(tblMovement[[#This Row],[Is_Ore]]=1,tblMovement[[#This Row],[Contained_oz]],0)</f>
        <v/>
      </c>
    </row>
    <row r="1664">
      <c r="A1664" s="54" t="n"/>
      <c r="B1664" s="61" t="n"/>
      <c r="C1664" s="61" t="n"/>
      <c r="D1664" s="61" t="n"/>
      <c r="E1664" s="61" t="n"/>
      <c r="F1664" s="55" t="n"/>
      <c r="G1664" s="56" t="n"/>
      <c r="H1664" s="55" t="n"/>
      <c r="I1664" s="62" t="n"/>
      <c r="J1664" s="58" t="n"/>
      <c r="K1664" s="63">
        <f>IF(tblMovement[[#This Row],[Source]]="","",IFERROR(INDEX(tblSources[Type],MATCH(tblMovement[[#This Row],[Source]],tblSources[Source],0)),"?"))</f>
        <v/>
      </c>
      <c r="L1664" s="63">
        <f>IF(tblMovement[[#This Row],[Destination]]="","",IFERROR(INDEX(tblDestinations[Type],MATCH(tblMovement[[#This Row],[Destination]],tblDestinations[Destination],0)),"?"))</f>
        <v/>
      </c>
      <c r="M1664" s="64">
        <f>IF(tblMovement[[#This Row],[Material]]="","",IF(LEFT(tblMovement[[#This Row],[Material]],3)="Ore",1,0))</f>
        <v/>
      </c>
      <c r="N1664" s="59">
        <f>IF(OR(tblMovement[[#This Row],[Tonnes_t]]="",tblMovement[[#This Row],[Grade_gpt]]=""),0,tblMovement[[#This Row],[Tonnes_t]]*tblMovement[[#This Row],[Grade_gpt]]/cfg_TroyOz)</f>
        <v/>
      </c>
      <c r="O1664" s="59">
        <f>IF(tblMovement[[#This Row],[Is_Ore]]=1,tblMovement[[#This Row],[Contained_oz]],0)</f>
        <v/>
      </c>
    </row>
    <row r="1665">
      <c r="A1665" s="54" t="n"/>
      <c r="B1665" s="61" t="n"/>
      <c r="C1665" s="61" t="n"/>
      <c r="D1665" s="61" t="n"/>
      <c r="E1665" s="61" t="n"/>
      <c r="F1665" s="55" t="n"/>
      <c r="G1665" s="56" t="n"/>
      <c r="H1665" s="55" t="n"/>
      <c r="I1665" s="62" t="n"/>
      <c r="J1665" s="58" t="n"/>
      <c r="K1665" s="63">
        <f>IF(tblMovement[[#This Row],[Source]]="","",IFERROR(INDEX(tblSources[Type],MATCH(tblMovement[[#This Row],[Source]],tblSources[Source],0)),"?"))</f>
        <v/>
      </c>
      <c r="L1665" s="63">
        <f>IF(tblMovement[[#This Row],[Destination]]="","",IFERROR(INDEX(tblDestinations[Type],MATCH(tblMovement[[#This Row],[Destination]],tblDestinations[Destination],0)),"?"))</f>
        <v/>
      </c>
      <c r="M1665" s="64">
        <f>IF(tblMovement[[#This Row],[Material]]="","",IF(LEFT(tblMovement[[#This Row],[Material]],3)="Ore",1,0))</f>
        <v/>
      </c>
      <c r="N1665" s="59">
        <f>IF(OR(tblMovement[[#This Row],[Tonnes_t]]="",tblMovement[[#This Row],[Grade_gpt]]=""),0,tblMovement[[#This Row],[Tonnes_t]]*tblMovement[[#This Row],[Grade_gpt]]/cfg_TroyOz)</f>
        <v/>
      </c>
      <c r="O1665" s="59">
        <f>IF(tblMovement[[#This Row],[Is_Ore]]=1,tblMovement[[#This Row],[Contained_oz]],0)</f>
        <v/>
      </c>
    </row>
    <row r="1666">
      <c r="A1666" s="54" t="n"/>
      <c r="B1666" s="61" t="n"/>
      <c r="C1666" s="61" t="n"/>
      <c r="D1666" s="61" t="n"/>
      <c r="E1666" s="61" t="n"/>
      <c r="F1666" s="55" t="n"/>
      <c r="G1666" s="56" t="n"/>
      <c r="H1666" s="55" t="n"/>
      <c r="I1666" s="62" t="n"/>
      <c r="J1666" s="58" t="n"/>
      <c r="K1666" s="63">
        <f>IF(tblMovement[[#This Row],[Source]]="","",IFERROR(INDEX(tblSources[Type],MATCH(tblMovement[[#This Row],[Source]],tblSources[Source],0)),"?"))</f>
        <v/>
      </c>
      <c r="L1666" s="63">
        <f>IF(tblMovement[[#This Row],[Destination]]="","",IFERROR(INDEX(tblDestinations[Type],MATCH(tblMovement[[#This Row],[Destination]],tblDestinations[Destination],0)),"?"))</f>
        <v/>
      </c>
      <c r="M1666" s="64">
        <f>IF(tblMovement[[#This Row],[Material]]="","",IF(LEFT(tblMovement[[#This Row],[Material]],3)="Ore",1,0))</f>
        <v/>
      </c>
      <c r="N1666" s="59">
        <f>IF(OR(tblMovement[[#This Row],[Tonnes_t]]="",tblMovement[[#This Row],[Grade_gpt]]=""),0,tblMovement[[#This Row],[Tonnes_t]]*tblMovement[[#This Row],[Grade_gpt]]/cfg_TroyOz)</f>
        <v/>
      </c>
      <c r="O1666" s="59">
        <f>IF(tblMovement[[#This Row],[Is_Ore]]=1,tblMovement[[#This Row],[Contained_oz]],0)</f>
        <v/>
      </c>
    </row>
    <row r="1667">
      <c r="A1667" s="54" t="n"/>
      <c r="B1667" s="61" t="n"/>
      <c r="C1667" s="61" t="n"/>
      <c r="D1667" s="61" t="n"/>
      <c r="E1667" s="61" t="n"/>
      <c r="F1667" s="55" t="n"/>
      <c r="G1667" s="56" t="n"/>
      <c r="H1667" s="55" t="n"/>
      <c r="I1667" s="62" t="n"/>
      <c r="J1667" s="58" t="n"/>
      <c r="K1667" s="63">
        <f>IF(tblMovement[[#This Row],[Source]]="","",IFERROR(INDEX(tblSources[Type],MATCH(tblMovement[[#This Row],[Source]],tblSources[Source],0)),"?"))</f>
        <v/>
      </c>
      <c r="L1667" s="63">
        <f>IF(tblMovement[[#This Row],[Destination]]="","",IFERROR(INDEX(tblDestinations[Type],MATCH(tblMovement[[#This Row],[Destination]],tblDestinations[Destination],0)),"?"))</f>
        <v/>
      </c>
      <c r="M1667" s="64">
        <f>IF(tblMovement[[#This Row],[Material]]="","",IF(LEFT(tblMovement[[#This Row],[Material]],3)="Ore",1,0))</f>
        <v/>
      </c>
      <c r="N1667" s="59">
        <f>IF(OR(tblMovement[[#This Row],[Tonnes_t]]="",tblMovement[[#This Row],[Grade_gpt]]=""),0,tblMovement[[#This Row],[Tonnes_t]]*tblMovement[[#This Row],[Grade_gpt]]/cfg_TroyOz)</f>
        <v/>
      </c>
      <c r="O1667" s="59">
        <f>IF(tblMovement[[#This Row],[Is_Ore]]=1,tblMovement[[#This Row],[Contained_oz]],0)</f>
        <v/>
      </c>
    </row>
    <row r="1668">
      <c r="A1668" s="54" t="n"/>
      <c r="B1668" s="61" t="n"/>
      <c r="C1668" s="61" t="n"/>
      <c r="D1668" s="61" t="n"/>
      <c r="E1668" s="61" t="n"/>
      <c r="F1668" s="55" t="n"/>
      <c r="G1668" s="56" t="n"/>
      <c r="H1668" s="55" t="n"/>
      <c r="I1668" s="62" t="n"/>
      <c r="J1668" s="58" t="n"/>
      <c r="K1668" s="63">
        <f>IF(tblMovement[[#This Row],[Source]]="","",IFERROR(INDEX(tblSources[Type],MATCH(tblMovement[[#This Row],[Source]],tblSources[Source],0)),"?"))</f>
        <v/>
      </c>
      <c r="L1668" s="63">
        <f>IF(tblMovement[[#This Row],[Destination]]="","",IFERROR(INDEX(tblDestinations[Type],MATCH(tblMovement[[#This Row],[Destination]],tblDestinations[Destination],0)),"?"))</f>
        <v/>
      </c>
      <c r="M1668" s="64">
        <f>IF(tblMovement[[#This Row],[Material]]="","",IF(LEFT(tblMovement[[#This Row],[Material]],3)="Ore",1,0))</f>
        <v/>
      </c>
      <c r="N1668" s="59">
        <f>IF(OR(tblMovement[[#This Row],[Tonnes_t]]="",tblMovement[[#This Row],[Grade_gpt]]=""),0,tblMovement[[#This Row],[Tonnes_t]]*tblMovement[[#This Row],[Grade_gpt]]/cfg_TroyOz)</f>
        <v/>
      </c>
      <c r="O1668" s="59">
        <f>IF(tblMovement[[#This Row],[Is_Ore]]=1,tblMovement[[#This Row],[Contained_oz]],0)</f>
        <v/>
      </c>
    </row>
    <row r="1669">
      <c r="A1669" s="54" t="n"/>
      <c r="B1669" s="61" t="n"/>
      <c r="C1669" s="61" t="n"/>
      <c r="D1669" s="61" t="n"/>
      <c r="E1669" s="61" t="n"/>
      <c r="F1669" s="55" t="n"/>
      <c r="G1669" s="56" t="n"/>
      <c r="H1669" s="55" t="n"/>
      <c r="I1669" s="62" t="n"/>
      <c r="J1669" s="58" t="n"/>
      <c r="K1669" s="63">
        <f>IF(tblMovement[[#This Row],[Source]]="","",IFERROR(INDEX(tblSources[Type],MATCH(tblMovement[[#This Row],[Source]],tblSources[Source],0)),"?"))</f>
        <v/>
      </c>
      <c r="L1669" s="63">
        <f>IF(tblMovement[[#This Row],[Destination]]="","",IFERROR(INDEX(tblDestinations[Type],MATCH(tblMovement[[#This Row],[Destination]],tblDestinations[Destination],0)),"?"))</f>
        <v/>
      </c>
      <c r="M1669" s="64">
        <f>IF(tblMovement[[#This Row],[Material]]="","",IF(LEFT(tblMovement[[#This Row],[Material]],3)="Ore",1,0))</f>
        <v/>
      </c>
      <c r="N1669" s="59">
        <f>IF(OR(tblMovement[[#This Row],[Tonnes_t]]="",tblMovement[[#This Row],[Grade_gpt]]=""),0,tblMovement[[#This Row],[Tonnes_t]]*tblMovement[[#This Row],[Grade_gpt]]/cfg_TroyOz)</f>
        <v/>
      </c>
      <c r="O1669" s="59">
        <f>IF(tblMovement[[#This Row],[Is_Ore]]=1,tblMovement[[#This Row],[Contained_oz]],0)</f>
        <v/>
      </c>
    </row>
    <row r="1670">
      <c r="A1670" s="54" t="n"/>
      <c r="B1670" s="61" t="n"/>
      <c r="C1670" s="61" t="n"/>
      <c r="D1670" s="61" t="n"/>
      <c r="E1670" s="61" t="n"/>
      <c r="F1670" s="55" t="n"/>
      <c r="G1670" s="56" t="n"/>
      <c r="H1670" s="55" t="n"/>
      <c r="I1670" s="62" t="n"/>
      <c r="J1670" s="58" t="n"/>
      <c r="K1670" s="63">
        <f>IF(tblMovement[[#This Row],[Source]]="","",IFERROR(INDEX(tblSources[Type],MATCH(tblMovement[[#This Row],[Source]],tblSources[Source],0)),"?"))</f>
        <v/>
      </c>
      <c r="L1670" s="63">
        <f>IF(tblMovement[[#This Row],[Destination]]="","",IFERROR(INDEX(tblDestinations[Type],MATCH(tblMovement[[#This Row],[Destination]],tblDestinations[Destination],0)),"?"))</f>
        <v/>
      </c>
      <c r="M1670" s="64">
        <f>IF(tblMovement[[#This Row],[Material]]="","",IF(LEFT(tblMovement[[#This Row],[Material]],3)="Ore",1,0))</f>
        <v/>
      </c>
      <c r="N1670" s="59">
        <f>IF(OR(tblMovement[[#This Row],[Tonnes_t]]="",tblMovement[[#This Row],[Grade_gpt]]=""),0,tblMovement[[#This Row],[Tonnes_t]]*tblMovement[[#This Row],[Grade_gpt]]/cfg_TroyOz)</f>
        <v/>
      </c>
      <c r="O1670" s="59">
        <f>IF(tblMovement[[#This Row],[Is_Ore]]=1,tblMovement[[#This Row],[Contained_oz]],0)</f>
        <v/>
      </c>
    </row>
    <row r="1671">
      <c r="A1671" s="54" t="n"/>
      <c r="B1671" s="61" t="n"/>
      <c r="C1671" s="61" t="n"/>
      <c r="D1671" s="61" t="n"/>
      <c r="E1671" s="61" t="n"/>
      <c r="F1671" s="55" t="n"/>
      <c r="G1671" s="56" t="n"/>
      <c r="H1671" s="55" t="n"/>
      <c r="I1671" s="62" t="n"/>
      <c r="J1671" s="58" t="n"/>
      <c r="K1671" s="63">
        <f>IF(tblMovement[[#This Row],[Source]]="","",IFERROR(INDEX(tblSources[Type],MATCH(tblMovement[[#This Row],[Source]],tblSources[Source],0)),"?"))</f>
        <v/>
      </c>
      <c r="L1671" s="63">
        <f>IF(tblMovement[[#This Row],[Destination]]="","",IFERROR(INDEX(tblDestinations[Type],MATCH(tblMovement[[#This Row],[Destination]],tblDestinations[Destination],0)),"?"))</f>
        <v/>
      </c>
      <c r="M1671" s="64">
        <f>IF(tblMovement[[#This Row],[Material]]="","",IF(LEFT(tblMovement[[#This Row],[Material]],3)="Ore",1,0))</f>
        <v/>
      </c>
      <c r="N1671" s="59">
        <f>IF(OR(tblMovement[[#This Row],[Tonnes_t]]="",tblMovement[[#This Row],[Grade_gpt]]=""),0,tblMovement[[#This Row],[Tonnes_t]]*tblMovement[[#This Row],[Grade_gpt]]/cfg_TroyOz)</f>
        <v/>
      </c>
      <c r="O1671" s="59">
        <f>IF(tblMovement[[#This Row],[Is_Ore]]=1,tblMovement[[#This Row],[Contained_oz]],0)</f>
        <v/>
      </c>
    </row>
    <row r="1672">
      <c r="A1672" s="54" t="n"/>
      <c r="B1672" s="61" t="n"/>
      <c r="C1672" s="61" t="n"/>
      <c r="D1672" s="61" t="n"/>
      <c r="E1672" s="61" t="n"/>
      <c r="F1672" s="55" t="n"/>
      <c r="G1672" s="56" t="n"/>
      <c r="H1672" s="55" t="n"/>
      <c r="I1672" s="62" t="n"/>
      <c r="J1672" s="58" t="n"/>
      <c r="K1672" s="63">
        <f>IF(tblMovement[[#This Row],[Source]]="","",IFERROR(INDEX(tblSources[Type],MATCH(tblMovement[[#This Row],[Source]],tblSources[Source],0)),"?"))</f>
        <v/>
      </c>
      <c r="L1672" s="63">
        <f>IF(tblMovement[[#This Row],[Destination]]="","",IFERROR(INDEX(tblDestinations[Type],MATCH(tblMovement[[#This Row],[Destination]],tblDestinations[Destination],0)),"?"))</f>
        <v/>
      </c>
      <c r="M1672" s="64">
        <f>IF(tblMovement[[#This Row],[Material]]="","",IF(LEFT(tblMovement[[#This Row],[Material]],3)="Ore",1,0))</f>
        <v/>
      </c>
      <c r="N1672" s="59">
        <f>IF(OR(tblMovement[[#This Row],[Tonnes_t]]="",tblMovement[[#This Row],[Grade_gpt]]=""),0,tblMovement[[#This Row],[Tonnes_t]]*tblMovement[[#This Row],[Grade_gpt]]/cfg_TroyOz)</f>
        <v/>
      </c>
      <c r="O1672" s="59">
        <f>IF(tblMovement[[#This Row],[Is_Ore]]=1,tblMovement[[#This Row],[Contained_oz]],0)</f>
        <v/>
      </c>
    </row>
    <row r="1673">
      <c r="A1673" s="54" t="n"/>
      <c r="B1673" s="61" t="n"/>
      <c r="C1673" s="61" t="n"/>
      <c r="D1673" s="61" t="n"/>
      <c r="E1673" s="61" t="n"/>
      <c r="F1673" s="55" t="n"/>
      <c r="G1673" s="56" t="n"/>
      <c r="H1673" s="55" t="n"/>
      <c r="I1673" s="62" t="n"/>
      <c r="J1673" s="58" t="n"/>
      <c r="K1673" s="63">
        <f>IF(tblMovement[[#This Row],[Source]]="","",IFERROR(INDEX(tblSources[Type],MATCH(tblMovement[[#This Row],[Source]],tblSources[Source],0)),"?"))</f>
        <v/>
      </c>
      <c r="L1673" s="63">
        <f>IF(tblMovement[[#This Row],[Destination]]="","",IFERROR(INDEX(tblDestinations[Type],MATCH(tblMovement[[#This Row],[Destination]],tblDestinations[Destination],0)),"?"))</f>
        <v/>
      </c>
      <c r="M1673" s="64">
        <f>IF(tblMovement[[#This Row],[Material]]="","",IF(LEFT(tblMovement[[#This Row],[Material]],3)="Ore",1,0))</f>
        <v/>
      </c>
      <c r="N1673" s="59">
        <f>IF(OR(tblMovement[[#This Row],[Tonnes_t]]="",tblMovement[[#This Row],[Grade_gpt]]=""),0,tblMovement[[#This Row],[Tonnes_t]]*tblMovement[[#This Row],[Grade_gpt]]/cfg_TroyOz)</f>
        <v/>
      </c>
      <c r="O1673" s="59">
        <f>IF(tblMovement[[#This Row],[Is_Ore]]=1,tblMovement[[#This Row],[Contained_oz]],0)</f>
        <v/>
      </c>
    </row>
    <row r="1674">
      <c r="A1674" s="54" t="n"/>
      <c r="B1674" s="61" t="n"/>
      <c r="C1674" s="61" t="n"/>
      <c r="D1674" s="61" t="n"/>
      <c r="E1674" s="61" t="n"/>
      <c r="F1674" s="55" t="n"/>
      <c r="G1674" s="56" t="n"/>
      <c r="H1674" s="55" t="n"/>
      <c r="I1674" s="62" t="n"/>
      <c r="J1674" s="58" t="n"/>
      <c r="K1674" s="63">
        <f>IF(tblMovement[[#This Row],[Source]]="","",IFERROR(INDEX(tblSources[Type],MATCH(tblMovement[[#This Row],[Source]],tblSources[Source],0)),"?"))</f>
        <v/>
      </c>
      <c r="L1674" s="63">
        <f>IF(tblMovement[[#This Row],[Destination]]="","",IFERROR(INDEX(tblDestinations[Type],MATCH(tblMovement[[#This Row],[Destination]],tblDestinations[Destination],0)),"?"))</f>
        <v/>
      </c>
      <c r="M1674" s="64">
        <f>IF(tblMovement[[#This Row],[Material]]="","",IF(LEFT(tblMovement[[#This Row],[Material]],3)="Ore",1,0))</f>
        <v/>
      </c>
      <c r="N1674" s="59">
        <f>IF(OR(tblMovement[[#This Row],[Tonnes_t]]="",tblMovement[[#This Row],[Grade_gpt]]=""),0,tblMovement[[#This Row],[Tonnes_t]]*tblMovement[[#This Row],[Grade_gpt]]/cfg_TroyOz)</f>
        <v/>
      </c>
      <c r="O1674" s="59">
        <f>IF(tblMovement[[#This Row],[Is_Ore]]=1,tblMovement[[#This Row],[Contained_oz]],0)</f>
        <v/>
      </c>
    </row>
    <row r="1675">
      <c r="A1675" s="54" t="n"/>
      <c r="B1675" s="61" t="n"/>
      <c r="C1675" s="61" t="n"/>
      <c r="D1675" s="61" t="n"/>
      <c r="E1675" s="61" t="n"/>
      <c r="F1675" s="55" t="n"/>
      <c r="G1675" s="56" t="n"/>
      <c r="H1675" s="55" t="n"/>
      <c r="I1675" s="62" t="n"/>
      <c r="J1675" s="58" t="n"/>
      <c r="K1675" s="63">
        <f>IF(tblMovement[[#This Row],[Source]]="","",IFERROR(INDEX(tblSources[Type],MATCH(tblMovement[[#This Row],[Source]],tblSources[Source],0)),"?"))</f>
        <v/>
      </c>
      <c r="L1675" s="63">
        <f>IF(tblMovement[[#This Row],[Destination]]="","",IFERROR(INDEX(tblDestinations[Type],MATCH(tblMovement[[#This Row],[Destination]],tblDestinations[Destination],0)),"?"))</f>
        <v/>
      </c>
      <c r="M1675" s="64">
        <f>IF(tblMovement[[#This Row],[Material]]="","",IF(LEFT(tblMovement[[#This Row],[Material]],3)="Ore",1,0))</f>
        <v/>
      </c>
      <c r="N1675" s="59">
        <f>IF(OR(tblMovement[[#This Row],[Tonnes_t]]="",tblMovement[[#This Row],[Grade_gpt]]=""),0,tblMovement[[#This Row],[Tonnes_t]]*tblMovement[[#This Row],[Grade_gpt]]/cfg_TroyOz)</f>
        <v/>
      </c>
      <c r="O1675" s="59">
        <f>IF(tblMovement[[#This Row],[Is_Ore]]=1,tblMovement[[#This Row],[Contained_oz]],0)</f>
        <v/>
      </c>
    </row>
    <row r="1676">
      <c r="A1676" s="54" t="n"/>
      <c r="B1676" s="61" t="n"/>
      <c r="C1676" s="61" t="n"/>
      <c r="D1676" s="61" t="n"/>
      <c r="E1676" s="61" t="n"/>
      <c r="F1676" s="55" t="n"/>
      <c r="G1676" s="56" t="n"/>
      <c r="H1676" s="55" t="n"/>
      <c r="I1676" s="62" t="n"/>
      <c r="J1676" s="58" t="n"/>
      <c r="K1676" s="63">
        <f>IF(tblMovement[[#This Row],[Source]]="","",IFERROR(INDEX(tblSources[Type],MATCH(tblMovement[[#This Row],[Source]],tblSources[Source],0)),"?"))</f>
        <v/>
      </c>
      <c r="L1676" s="63">
        <f>IF(tblMovement[[#This Row],[Destination]]="","",IFERROR(INDEX(tblDestinations[Type],MATCH(tblMovement[[#This Row],[Destination]],tblDestinations[Destination],0)),"?"))</f>
        <v/>
      </c>
      <c r="M1676" s="64">
        <f>IF(tblMovement[[#This Row],[Material]]="","",IF(LEFT(tblMovement[[#This Row],[Material]],3)="Ore",1,0))</f>
        <v/>
      </c>
      <c r="N1676" s="59">
        <f>IF(OR(tblMovement[[#This Row],[Tonnes_t]]="",tblMovement[[#This Row],[Grade_gpt]]=""),0,tblMovement[[#This Row],[Tonnes_t]]*tblMovement[[#This Row],[Grade_gpt]]/cfg_TroyOz)</f>
        <v/>
      </c>
      <c r="O1676" s="59">
        <f>IF(tblMovement[[#This Row],[Is_Ore]]=1,tblMovement[[#This Row],[Contained_oz]],0)</f>
        <v/>
      </c>
    </row>
    <row r="1677">
      <c r="A1677" s="54" t="n"/>
      <c r="B1677" s="61" t="n"/>
      <c r="C1677" s="61" t="n"/>
      <c r="D1677" s="61" t="n"/>
      <c r="E1677" s="61" t="n"/>
      <c r="F1677" s="55" t="n"/>
      <c r="G1677" s="56" t="n"/>
      <c r="H1677" s="55" t="n"/>
      <c r="I1677" s="62" t="n"/>
      <c r="J1677" s="58" t="n"/>
      <c r="K1677" s="63">
        <f>IF(tblMovement[[#This Row],[Source]]="","",IFERROR(INDEX(tblSources[Type],MATCH(tblMovement[[#This Row],[Source]],tblSources[Source],0)),"?"))</f>
        <v/>
      </c>
      <c r="L1677" s="63">
        <f>IF(tblMovement[[#This Row],[Destination]]="","",IFERROR(INDEX(tblDestinations[Type],MATCH(tblMovement[[#This Row],[Destination]],tblDestinations[Destination],0)),"?"))</f>
        <v/>
      </c>
      <c r="M1677" s="64">
        <f>IF(tblMovement[[#This Row],[Material]]="","",IF(LEFT(tblMovement[[#This Row],[Material]],3)="Ore",1,0))</f>
        <v/>
      </c>
      <c r="N1677" s="59">
        <f>IF(OR(tblMovement[[#This Row],[Tonnes_t]]="",tblMovement[[#This Row],[Grade_gpt]]=""),0,tblMovement[[#This Row],[Tonnes_t]]*tblMovement[[#This Row],[Grade_gpt]]/cfg_TroyOz)</f>
        <v/>
      </c>
      <c r="O1677" s="59">
        <f>IF(tblMovement[[#This Row],[Is_Ore]]=1,tblMovement[[#This Row],[Contained_oz]],0)</f>
        <v/>
      </c>
    </row>
    <row r="1678">
      <c r="A1678" s="54" t="n"/>
      <c r="B1678" s="61" t="n"/>
      <c r="C1678" s="61" t="n"/>
      <c r="D1678" s="61" t="n"/>
      <c r="E1678" s="61" t="n"/>
      <c r="F1678" s="55" t="n"/>
      <c r="G1678" s="56" t="n"/>
      <c r="H1678" s="55" t="n"/>
      <c r="I1678" s="62" t="n"/>
      <c r="J1678" s="58" t="n"/>
      <c r="K1678" s="63">
        <f>IF(tblMovement[[#This Row],[Source]]="","",IFERROR(INDEX(tblSources[Type],MATCH(tblMovement[[#This Row],[Source]],tblSources[Source],0)),"?"))</f>
        <v/>
      </c>
      <c r="L1678" s="63">
        <f>IF(tblMovement[[#This Row],[Destination]]="","",IFERROR(INDEX(tblDestinations[Type],MATCH(tblMovement[[#This Row],[Destination]],tblDestinations[Destination],0)),"?"))</f>
        <v/>
      </c>
      <c r="M1678" s="64">
        <f>IF(tblMovement[[#This Row],[Material]]="","",IF(LEFT(tblMovement[[#This Row],[Material]],3)="Ore",1,0))</f>
        <v/>
      </c>
      <c r="N1678" s="59">
        <f>IF(OR(tblMovement[[#This Row],[Tonnes_t]]="",tblMovement[[#This Row],[Grade_gpt]]=""),0,tblMovement[[#This Row],[Tonnes_t]]*tblMovement[[#This Row],[Grade_gpt]]/cfg_TroyOz)</f>
        <v/>
      </c>
      <c r="O1678" s="59">
        <f>IF(tblMovement[[#This Row],[Is_Ore]]=1,tblMovement[[#This Row],[Contained_oz]],0)</f>
        <v/>
      </c>
    </row>
    <row r="1679">
      <c r="A1679" s="54" t="n"/>
      <c r="B1679" s="61" t="n"/>
      <c r="C1679" s="61" t="n"/>
      <c r="D1679" s="61" t="n"/>
      <c r="E1679" s="61" t="n"/>
      <c r="F1679" s="55" t="n"/>
      <c r="G1679" s="56" t="n"/>
      <c r="H1679" s="55" t="n"/>
      <c r="I1679" s="62" t="n"/>
      <c r="J1679" s="58" t="n"/>
      <c r="K1679" s="63">
        <f>IF(tblMovement[[#This Row],[Source]]="","",IFERROR(INDEX(tblSources[Type],MATCH(tblMovement[[#This Row],[Source]],tblSources[Source],0)),"?"))</f>
        <v/>
      </c>
      <c r="L1679" s="63">
        <f>IF(tblMovement[[#This Row],[Destination]]="","",IFERROR(INDEX(tblDestinations[Type],MATCH(tblMovement[[#This Row],[Destination]],tblDestinations[Destination],0)),"?"))</f>
        <v/>
      </c>
      <c r="M1679" s="64">
        <f>IF(tblMovement[[#This Row],[Material]]="","",IF(LEFT(tblMovement[[#This Row],[Material]],3)="Ore",1,0))</f>
        <v/>
      </c>
      <c r="N1679" s="59">
        <f>IF(OR(tblMovement[[#This Row],[Tonnes_t]]="",tblMovement[[#This Row],[Grade_gpt]]=""),0,tblMovement[[#This Row],[Tonnes_t]]*tblMovement[[#This Row],[Grade_gpt]]/cfg_TroyOz)</f>
        <v/>
      </c>
      <c r="O1679" s="59">
        <f>IF(tblMovement[[#This Row],[Is_Ore]]=1,tblMovement[[#This Row],[Contained_oz]],0)</f>
        <v/>
      </c>
    </row>
    <row r="1680">
      <c r="A1680" s="54" t="n"/>
      <c r="B1680" s="61" t="n"/>
      <c r="C1680" s="61" t="n"/>
      <c r="D1680" s="61" t="n"/>
      <c r="E1680" s="61" t="n"/>
      <c r="F1680" s="55" t="n"/>
      <c r="G1680" s="56" t="n"/>
      <c r="H1680" s="55" t="n"/>
      <c r="I1680" s="62" t="n"/>
      <c r="J1680" s="58" t="n"/>
      <c r="K1680" s="63">
        <f>IF(tblMovement[[#This Row],[Source]]="","",IFERROR(INDEX(tblSources[Type],MATCH(tblMovement[[#This Row],[Source]],tblSources[Source],0)),"?"))</f>
        <v/>
      </c>
      <c r="L1680" s="63">
        <f>IF(tblMovement[[#This Row],[Destination]]="","",IFERROR(INDEX(tblDestinations[Type],MATCH(tblMovement[[#This Row],[Destination]],tblDestinations[Destination],0)),"?"))</f>
        <v/>
      </c>
      <c r="M1680" s="64">
        <f>IF(tblMovement[[#This Row],[Material]]="","",IF(LEFT(tblMovement[[#This Row],[Material]],3)="Ore",1,0))</f>
        <v/>
      </c>
      <c r="N1680" s="59">
        <f>IF(OR(tblMovement[[#This Row],[Tonnes_t]]="",tblMovement[[#This Row],[Grade_gpt]]=""),0,tblMovement[[#This Row],[Tonnes_t]]*tblMovement[[#This Row],[Grade_gpt]]/cfg_TroyOz)</f>
        <v/>
      </c>
      <c r="O1680" s="59">
        <f>IF(tblMovement[[#This Row],[Is_Ore]]=1,tblMovement[[#This Row],[Contained_oz]],0)</f>
        <v/>
      </c>
    </row>
    <row r="1681">
      <c r="A1681" s="54" t="n"/>
      <c r="B1681" s="61" t="n"/>
      <c r="C1681" s="61" t="n"/>
      <c r="D1681" s="61" t="n"/>
      <c r="E1681" s="61" t="n"/>
      <c r="F1681" s="55" t="n"/>
      <c r="G1681" s="56" t="n"/>
      <c r="H1681" s="55" t="n"/>
      <c r="I1681" s="62" t="n"/>
      <c r="J1681" s="58" t="n"/>
      <c r="K1681" s="63">
        <f>IF(tblMovement[[#This Row],[Source]]="","",IFERROR(INDEX(tblSources[Type],MATCH(tblMovement[[#This Row],[Source]],tblSources[Source],0)),"?"))</f>
        <v/>
      </c>
      <c r="L1681" s="63">
        <f>IF(tblMovement[[#This Row],[Destination]]="","",IFERROR(INDEX(tblDestinations[Type],MATCH(tblMovement[[#This Row],[Destination]],tblDestinations[Destination],0)),"?"))</f>
        <v/>
      </c>
      <c r="M1681" s="64">
        <f>IF(tblMovement[[#This Row],[Material]]="","",IF(LEFT(tblMovement[[#This Row],[Material]],3)="Ore",1,0))</f>
        <v/>
      </c>
      <c r="N1681" s="59">
        <f>IF(OR(tblMovement[[#This Row],[Tonnes_t]]="",tblMovement[[#This Row],[Grade_gpt]]=""),0,tblMovement[[#This Row],[Tonnes_t]]*tblMovement[[#This Row],[Grade_gpt]]/cfg_TroyOz)</f>
        <v/>
      </c>
      <c r="O1681" s="59">
        <f>IF(tblMovement[[#This Row],[Is_Ore]]=1,tblMovement[[#This Row],[Contained_oz]],0)</f>
        <v/>
      </c>
    </row>
    <row r="1682">
      <c r="A1682" s="54" t="n"/>
      <c r="B1682" s="61" t="n"/>
      <c r="C1682" s="61" t="n"/>
      <c r="D1682" s="61" t="n"/>
      <c r="E1682" s="61" t="n"/>
      <c r="F1682" s="55" t="n"/>
      <c r="G1682" s="56" t="n"/>
      <c r="H1682" s="55" t="n"/>
      <c r="I1682" s="62" t="n"/>
      <c r="J1682" s="58" t="n"/>
      <c r="K1682" s="63">
        <f>IF(tblMovement[[#This Row],[Source]]="","",IFERROR(INDEX(tblSources[Type],MATCH(tblMovement[[#This Row],[Source]],tblSources[Source],0)),"?"))</f>
        <v/>
      </c>
      <c r="L1682" s="63">
        <f>IF(tblMovement[[#This Row],[Destination]]="","",IFERROR(INDEX(tblDestinations[Type],MATCH(tblMovement[[#This Row],[Destination]],tblDestinations[Destination],0)),"?"))</f>
        <v/>
      </c>
      <c r="M1682" s="64">
        <f>IF(tblMovement[[#This Row],[Material]]="","",IF(LEFT(tblMovement[[#This Row],[Material]],3)="Ore",1,0))</f>
        <v/>
      </c>
      <c r="N1682" s="59">
        <f>IF(OR(tblMovement[[#This Row],[Tonnes_t]]="",tblMovement[[#This Row],[Grade_gpt]]=""),0,tblMovement[[#This Row],[Tonnes_t]]*tblMovement[[#This Row],[Grade_gpt]]/cfg_TroyOz)</f>
        <v/>
      </c>
      <c r="O1682" s="59">
        <f>IF(tblMovement[[#This Row],[Is_Ore]]=1,tblMovement[[#This Row],[Contained_oz]],0)</f>
        <v/>
      </c>
    </row>
    <row r="1683">
      <c r="A1683" s="54" t="n"/>
      <c r="B1683" s="61" t="n"/>
      <c r="C1683" s="61" t="n"/>
      <c r="D1683" s="61" t="n"/>
      <c r="E1683" s="61" t="n"/>
      <c r="F1683" s="55" t="n"/>
      <c r="G1683" s="56" t="n"/>
      <c r="H1683" s="55" t="n"/>
      <c r="I1683" s="62" t="n"/>
      <c r="J1683" s="58" t="n"/>
      <c r="K1683" s="63">
        <f>IF(tblMovement[[#This Row],[Source]]="","",IFERROR(INDEX(tblSources[Type],MATCH(tblMovement[[#This Row],[Source]],tblSources[Source],0)),"?"))</f>
        <v/>
      </c>
      <c r="L1683" s="63">
        <f>IF(tblMovement[[#This Row],[Destination]]="","",IFERROR(INDEX(tblDestinations[Type],MATCH(tblMovement[[#This Row],[Destination]],tblDestinations[Destination],0)),"?"))</f>
        <v/>
      </c>
      <c r="M1683" s="64">
        <f>IF(tblMovement[[#This Row],[Material]]="","",IF(LEFT(tblMovement[[#This Row],[Material]],3)="Ore",1,0))</f>
        <v/>
      </c>
      <c r="N1683" s="59">
        <f>IF(OR(tblMovement[[#This Row],[Tonnes_t]]="",tblMovement[[#This Row],[Grade_gpt]]=""),0,tblMovement[[#This Row],[Tonnes_t]]*tblMovement[[#This Row],[Grade_gpt]]/cfg_TroyOz)</f>
        <v/>
      </c>
      <c r="O1683" s="59">
        <f>IF(tblMovement[[#This Row],[Is_Ore]]=1,tblMovement[[#This Row],[Contained_oz]],0)</f>
        <v/>
      </c>
    </row>
    <row r="1684">
      <c r="A1684" s="54" t="n"/>
      <c r="B1684" s="61" t="n"/>
      <c r="C1684" s="61" t="n"/>
      <c r="D1684" s="61" t="n"/>
      <c r="E1684" s="61" t="n"/>
      <c r="F1684" s="55" t="n"/>
      <c r="G1684" s="56" t="n"/>
      <c r="H1684" s="55" t="n"/>
      <c r="I1684" s="62" t="n"/>
      <c r="J1684" s="58" t="n"/>
      <c r="K1684" s="63">
        <f>IF(tblMovement[[#This Row],[Source]]="","",IFERROR(INDEX(tblSources[Type],MATCH(tblMovement[[#This Row],[Source]],tblSources[Source],0)),"?"))</f>
        <v/>
      </c>
      <c r="L1684" s="63">
        <f>IF(tblMovement[[#This Row],[Destination]]="","",IFERROR(INDEX(tblDestinations[Type],MATCH(tblMovement[[#This Row],[Destination]],tblDestinations[Destination],0)),"?"))</f>
        <v/>
      </c>
      <c r="M1684" s="64">
        <f>IF(tblMovement[[#This Row],[Material]]="","",IF(LEFT(tblMovement[[#This Row],[Material]],3)="Ore",1,0))</f>
        <v/>
      </c>
      <c r="N1684" s="59">
        <f>IF(OR(tblMovement[[#This Row],[Tonnes_t]]="",tblMovement[[#This Row],[Grade_gpt]]=""),0,tblMovement[[#This Row],[Tonnes_t]]*tblMovement[[#This Row],[Grade_gpt]]/cfg_TroyOz)</f>
        <v/>
      </c>
      <c r="O1684" s="59">
        <f>IF(tblMovement[[#This Row],[Is_Ore]]=1,tblMovement[[#This Row],[Contained_oz]],0)</f>
        <v/>
      </c>
    </row>
    <row r="1685">
      <c r="A1685" s="54" t="n"/>
      <c r="B1685" s="61" t="n"/>
      <c r="C1685" s="61" t="n"/>
      <c r="D1685" s="61" t="n"/>
      <c r="E1685" s="61" t="n"/>
      <c r="F1685" s="55" t="n"/>
      <c r="G1685" s="56" t="n"/>
      <c r="H1685" s="55" t="n"/>
      <c r="I1685" s="62" t="n"/>
      <c r="J1685" s="58" t="n"/>
      <c r="K1685" s="63">
        <f>IF(tblMovement[[#This Row],[Source]]="","",IFERROR(INDEX(tblSources[Type],MATCH(tblMovement[[#This Row],[Source]],tblSources[Source],0)),"?"))</f>
        <v/>
      </c>
      <c r="L1685" s="63">
        <f>IF(tblMovement[[#This Row],[Destination]]="","",IFERROR(INDEX(tblDestinations[Type],MATCH(tblMovement[[#This Row],[Destination]],tblDestinations[Destination],0)),"?"))</f>
        <v/>
      </c>
      <c r="M1685" s="64">
        <f>IF(tblMovement[[#This Row],[Material]]="","",IF(LEFT(tblMovement[[#This Row],[Material]],3)="Ore",1,0))</f>
        <v/>
      </c>
      <c r="N1685" s="59">
        <f>IF(OR(tblMovement[[#This Row],[Tonnes_t]]="",tblMovement[[#This Row],[Grade_gpt]]=""),0,tblMovement[[#This Row],[Tonnes_t]]*tblMovement[[#This Row],[Grade_gpt]]/cfg_TroyOz)</f>
        <v/>
      </c>
      <c r="O1685" s="59">
        <f>IF(tblMovement[[#This Row],[Is_Ore]]=1,tblMovement[[#This Row],[Contained_oz]],0)</f>
        <v/>
      </c>
    </row>
    <row r="1686">
      <c r="A1686" s="54" t="n"/>
      <c r="B1686" s="61" t="n"/>
      <c r="C1686" s="61" t="n"/>
      <c r="D1686" s="61" t="n"/>
      <c r="E1686" s="61" t="n"/>
      <c r="F1686" s="55" t="n"/>
      <c r="G1686" s="56" t="n"/>
      <c r="H1686" s="55" t="n"/>
      <c r="I1686" s="62" t="n"/>
      <c r="J1686" s="58" t="n"/>
      <c r="K1686" s="63">
        <f>IF(tblMovement[[#This Row],[Source]]="","",IFERROR(INDEX(tblSources[Type],MATCH(tblMovement[[#This Row],[Source]],tblSources[Source],0)),"?"))</f>
        <v/>
      </c>
      <c r="L1686" s="63">
        <f>IF(tblMovement[[#This Row],[Destination]]="","",IFERROR(INDEX(tblDestinations[Type],MATCH(tblMovement[[#This Row],[Destination]],tblDestinations[Destination],0)),"?"))</f>
        <v/>
      </c>
      <c r="M1686" s="64">
        <f>IF(tblMovement[[#This Row],[Material]]="","",IF(LEFT(tblMovement[[#This Row],[Material]],3)="Ore",1,0))</f>
        <v/>
      </c>
      <c r="N1686" s="59">
        <f>IF(OR(tblMovement[[#This Row],[Tonnes_t]]="",tblMovement[[#This Row],[Grade_gpt]]=""),0,tblMovement[[#This Row],[Tonnes_t]]*tblMovement[[#This Row],[Grade_gpt]]/cfg_TroyOz)</f>
        <v/>
      </c>
      <c r="O1686" s="59">
        <f>IF(tblMovement[[#This Row],[Is_Ore]]=1,tblMovement[[#This Row],[Contained_oz]],0)</f>
        <v/>
      </c>
    </row>
    <row r="1687">
      <c r="A1687" s="54" t="n"/>
      <c r="B1687" s="61" t="n"/>
      <c r="C1687" s="61" t="n"/>
      <c r="D1687" s="61" t="n"/>
      <c r="E1687" s="61" t="n"/>
      <c r="F1687" s="55" t="n"/>
      <c r="G1687" s="56" t="n"/>
      <c r="H1687" s="55" t="n"/>
      <c r="I1687" s="62" t="n"/>
      <c r="J1687" s="58" t="n"/>
      <c r="K1687" s="63">
        <f>IF(tblMovement[[#This Row],[Source]]="","",IFERROR(INDEX(tblSources[Type],MATCH(tblMovement[[#This Row],[Source]],tblSources[Source],0)),"?"))</f>
        <v/>
      </c>
      <c r="L1687" s="63">
        <f>IF(tblMovement[[#This Row],[Destination]]="","",IFERROR(INDEX(tblDestinations[Type],MATCH(tblMovement[[#This Row],[Destination]],tblDestinations[Destination],0)),"?"))</f>
        <v/>
      </c>
      <c r="M1687" s="64">
        <f>IF(tblMovement[[#This Row],[Material]]="","",IF(LEFT(tblMovement[[#This Row],[Material]],3)="Ore",1,0))</f>
        <v/>
      </c>
      <c r="N1687" s="59">
        <f>IF(OR(tblMovement[[#This Row],[Tonnes_t]]="",tblMovement[[#This Row],[Grade_gpt]]=""),0,tblMovement[[#This Row],[Tonnes_t]]*tblMovement[[#This Row],[Grade_gpt]]/cfg_TroyOz)</f>
        <v/>
      </c>
      <c r="O1687" s="59">
        <f>IF(tblMovement[[#This Row],[Is_Ore]]=1,tblMovement[[#This Row],[Contained_oz]],0)</f>
        <v/>
      </c>
    </row>
    <row r="1688">
      <c r="A1688" s="54" t="n"/>
      <c r="B1688" s="61" t="n"/>
      <c r="C1688" s="61" t="n"/>
      <c r="D1688" s="61" t="n"/>
      <c r="E1688" s="61" t="n"/>
      <c r="F1688" s="55" t="n"/>
      <c r="G1688" s="56" t="n"/>
      <c r="H1688" s="55" t="n"/>
      <c r="I1688" s="62" t="n"/>
      <c r="J1688" s="58" t="n"/>
      <c r="K1688" s="63">
        <f>IF(tblMovement[[#This Row],[Source]]="","",IFERROR(INDEX(tblSources[Type],MATCH(tblMovement[[#This Row],[Source]],tblSources[Source],0)),"?"))</f>
        <v/>
      </c>
      <c r="L1688" s="63">
        <f>IF(tblMovement[[#This Row],[Destination]]="","",IFERROR(INDEX(tblDestinations[Type],MATCH(tblMovement[[#This Row],[Destination]],tblDestinations[Destination],0)),"?"))</f>
        <v/>
      </c>
      <c r="M1688" s="64">
        <f>IF(tblMovement[[#This Row],[Material]]="","",IF(LEFT(tblMovement[[#This Row],[Material]],3)="Ore",1,0))</f>
        <v/>
      </c>
      <c r="N1688" s="59">
        <f>IF(OR(tblMovement[[#This Row],[Tonnes_t]]="",tblMovement[[#This Row],[Grade_gpt]]=""),0,tblMovement[[#This Row],[Tonnes_t]]*tblMovement[[#This Row],[Grade_gpt]]/cfg_TroyOz)</f>
        <v/>
      </c>
      <c r="O1688" s="59">
        <f>IF(tblMovement[[#This Row],[Is_Ore]]=1,tblMovement[[#This Row],[Contained_oz]],0)</f>
        <v/>
      </c>
    </row>
    <row r="1689">
      <c r="A1689" s="54" t="n"/>
      <c r="B1689" s="61" t="n"/>
      <c r="C1689" s="61" t="n"/>
      <c r="D1689" s="61" t="n"/>
      <c r="E1689" s="61" t="n"/>
      <c r="F1689" s="55" t="n"/>
      <c r="G1689" s="56" t="n"/>
      <c r="H1689" s="55" t="n"/>
      <c r="I1689" s="62" t="n"/>
      <c r="J1689" s="58" t="n"/>
      <c r="K1689" s="63">
        <f>IF(tblMovement[[#This Row],[Source]]="","",IFERROR(INDEX(tblSources[Type],MATCH(tblMovement[[#This Row],[Source]],tblSources[Source],0)),"?"))</f>
        <v/>
      </c>
      <c r="L1689" s="63">
        <f>IF(tblMovement[[#This Row],[Destination]]="","",IFERROR(INDEX(tblDestinations[Type],MATCH(tblMovement[[#This Row],[Destination]],tblDestinations[Destination],0)),"?"))</f>
        <v/>
      </c>
      <c r="M1689" s="64">
        <f>IF(tblMovement[[#This Row],[Material]]="","",IF(LEFT(tblMovement[[#This Row],[Material]],3)="Ore",1,0))</f>
        <v/>
      </c>
      <c r="N1689" s="59">
        <f>IF(OR(tblMovement[[#This Row],[Tonnes_t]]="",tblMovement[[#This Row],[Grade_gpt]]=""),0,tblMovement[[#This Row],[Tonnes_t]]*tblMovement[[#This Row],[Grade_gpt]]/cfg_TroyOz)</f>
        <v/>
      </c>
      <c r="O1689" s="59">
        <f>IF(tblMovement[[#This Row],[Is_Ore]]=1,tblMovement[[#This Row],[Contained_oz]],0)</f>
        <v/>
      </c>
    </row>
    <row r="1690">
      <c r="A1690" s="54" t="n"/>
      <c r="B1690" s="61" t="n"/>
      <c r="C1690" s="61" t="n"/>
      <c r="D1690" s="61" t="n"/>
      <c r="E1690" s="61" t="n"/>
      <c r="F1690" s="55" t="n"/>
      <c r="G1690" s="56" t="n"/>
      <c r="H1690" s="55" t="n"/>
      <c r="I1690" s="62" t="n"/>
      <c r="J1690" s="58" t="n"/>
      <c r="K1690" s="63">
        <f>IF(tblMovement[[#This Row],[Source]]="","",IFERROR(INDEX(tblSources[Type],MATCH(tblMovement[[#This Row],[Source]],tblSources[Source],0)),"?"))</f>
        <v/>
      </c>
      <c r="L1690" s="63">
        <f>IF(tblMovement[[#This Row],[Destination]]="","",IFERROR(INDEX(tblDestinations[Type],MATCH(tblMovement[[#This Row],[Destination]],tblDestinations[Destination],0)),"?"))</f>
        <v/>
      </c>
      <c r="M1690" s="64">
        <f>IF(tblMovement[[#This Row],[Material]]="","",IF(LEFT(tblMovement[[#This Row],[Material]],3)="Ore",1,0))</f>
        <v/>
      </c>
      <c r="N1690" s="59">
        <f>IF(OR(tblMovement[[#This Row],[Tonnes_t]]="",tblMovement[[#This Row],[Grade_gpt]]=""),0,tblMovement[[#This Row],[Tonnes_t]]*tblMovement[[#This Row],[Grade_gpt]]/cfg_TroyOz)</f>
        <v/>
      </c>
      <c r="O1690" s="59">
        <f>IF(tblMovement[[#This Row],[Is_Ore]]=1,tblMovement[[#This Row],[Contained_oz]],0)</f>
        <v/>
      </c>
    </row>
    <row r="1691">
      <c r="A1691" s="54" t="n"/>
      <c r="B1691" s="61" t="n"/>
      <c r="C1691" s="61" t="n"/>
      <c r="D1691" s="61" t="n"/>
      <c r="E1691" s="61" t="n"/>
      <c r="F1691" s="55" t="n"/>
      <c r="G1691" s="56" t="n"/>
      <c r="H1691" s="55" t="n"/>
      <c r="I1691" s="62" t="n"/>
      <c r="J1691" s="58" t="n"/>
      <c r="K1691" s="63">
        <f>IF(tblMovement[[#This Row],[Source]]="","",IFERROR(INDEX(tblSources[Type],MATCH(tblMovement[[#This Row],[Source]],tblSources[Source],0)),"?"))</f>
        <v/>
      </c>
      <c r="L1691" s="63">
        <f>IF(tblMovement[[#This Row],[Destination]]="","",IFERROR(INDEX(tblDestinations[Type],MATCH(tblMovement[[#This Row],[Destination]],tblDestinations[Destination],0)),"?"))</f>
        <v/>
      </c>
      <c r="M1691" s="64">
        <f>IF(tblMovement[[#This Row],[Material]]="","",IF(LEFT(tblMovement[[#This Row],[Material]],3)="Ore",1,0))</f>
        <v/>
      </c>
      <c r="N1691" s="59">
        <f>IF(OR(tblMovement[[#This Row],[Tonnes_t]]="",tblMovement[[#This Row],[Grade_gpt]]=""),0,tblMovement[[#This Row],[Tonnes_t]]*tblMovement[[#This Row],[Grade_gpt]]/cfg_TroyOz)</f>
        <v/>
      </c>
      <c r="O1691" s="59">
        <f>IF(tblMovement[[#This Row],[Is_Ore]]=1,tblMovement[[#This Row],[Contained_oz]],0)</f>
        <v/>
      </c>
    </row>
    <row r="1692">
      <c r="A1692" s="54" t="n"/>
      <c r="B1692" s="61" t="n"/>
      <c r="C1692" s="61" t="n"/>
      <c r="D1692" s="61" t="n"/>
      <c r="E1692" s="61" t="n"/>
      <c r="F1692" s="55" t="n"/>
      <c r="G1692" s="56" t="n"/>
      <c r="H1692" s="55" t="n"/>
      <c r="I1692" s="62" t="n"/>
      <c r="J1692" s="58" t="n"/>
      <c r="K1692" s="63">
        <f>IF(tblMovement[[#This Row],[Source]]="","",IFERROR(INDEX(tblSources[Type],MATCH(tblMovement[[#This Row],[Source]],tblSources[Source],0)),"?"))</f>
        <v/>
      </c>
      <c r="L1692" s="63">
        <f>IF(tblMovement[[#This Row],[Destination]]="","",IFERROR(INDEX(tblDestinations[Type],MATCH(tblMovement[[#This Row],[Destination]],tblDestinations[Destination],0)),"?"))</f>
        <v/>
      </c>
      <c r="M1692" s="64">
        <f>IF(tblMovement[[#This Row],[Material]]="","",IF(LEFT(tblMovement[[#This Row],[Material]],3)="Ore",1,0))</f>
        <v/>
      </c>
      <c r="N1692" s="59">
        <f>IF(OR(tblMovement[[#This Row],[Tonnes_t]]="",tblMovement[[#This Row],[Grade_gpt]]=""),0,tblMovement[[#This Row],[Tonnes_t]]*tblMovement[[#This Row],[Grade_gpt]]/cfg_TroyOz)</f>
        <v/>
      </c>
      <c r="O1692" s="59">
        <f>IF(tblMovement[[#This Row],[Is_Ore]]=1,tblMovement[[#This Row],[Contained_oz]],0)</f>
        <v/>
      </c>
    </row>
    <row r="1693">
      <c r="A1693" s="54" t="n"/>
      <c r="B1693" s="61" t="n"/>
      <c r="C1693" s="61" t="n"/>
      <c r="D1693" s="61" t="n"/>
      <c r="E1693" s="61" t="n"/>
      <c r="F1693" s="55" t="n"/>
      <c r="G1693" s="56" t="n"/>
      <c r="H1693" s="55" t="n"/>
      <c r="I1693" s="62" t="n"/>
      <c r="J1693" s="58" t="n"/>
      <c r="K1693" s="63">
        <f>IF(tblMovement[[#This Row],[Source]]="","",IFERROR(INDEX(tblSources[Type],MATCH(tblMovement[[#This Row],[Source]],tblSources[Source],0)),"?"))</f>
        <v/>
      </c>
      <c r="L1693" s="63">
        <f>IF(tblMovement[[#This Row],[Destination]]="","",IFERROR(INDEX(tblDestinations[Type],MATCH(tblMovement[[#This Row],[Destination]],tblDestinations[Destination],0)),"?"))</f>
        <v/>
      </c>
      <c r="M1693" s="64">
        <f>IF(tblMovement[[#This Row],[Material]]="","",IF(LEFT(tblMovement[[#This Row],[Material]],3)="Ore",1,0))</f>
        <v/>
      </c>
      <c r="N1693" s="59">
        <f>IF(OR(tblMovement[[#This Row],[Tonnes_t]]="",tblMovement[[#This Row],[Grade_gpt]]=""),0,tblMovement[[#This Row],[Tonnes_t]]*tblMovement[[#This Row],[Grade_gpt]]/cfg_TroyOz)</f>
        <v/>
      </c>
      <c r="O1693" s="59">
        <f>IF(tblMovement[[#This Row],[Is_Ore]]=1,tblMovement[[#This Row],[Contained_oz]],0)</f>
        <v/>
      </c>
    </row>
    <row r="1694">
      <c r="A1694" s="54" t="n"/>
      <c r="B1694" s="61" t="n"/>
      <c r="C1694" s="61" t="n"/>
      <c r="D1694" s="61" t="n"/>
      <c r="E1694" s="61" t="n"/>
      <c r="F1694" s="55" t="n"/>
      <c r="G1694" s="56" t="n"/>
      <c r="H1694" s="55" t="n"/>
      <c r="I1694" s="62" t="n"/>
      <c r="J1694" s="58" t="n"/>
      <c r="K1694" s="63">
        <f>IF(tblMovement[[#This Row],[Source]]="","",IFERROR(INDEX(tblSources[Type],MATCH(tblMovement[[#This Row],[Source]],tblSources[Source],0)),"?"))</f>
        <v/>
      </c>
      <c r="L1694" s="63">
        <f>IF(tblMovement[[#This Row],[Destination]]="","",IFERROR(INDEX(tblDestinations[Type],MATCH(tblMovement[[#This Row],[Destination]],tblDestinations[Destination],0)),"?"))</f>
        <v/>
      </c>
      <c r="M1694" s="64">
        <f>IF(tblMovement[[#This Row],[Material]]="","",IF(LEFT(tblMovement[[#This Row],[Material]],3)="Ore",1,0))</f>
        <v/>
      </c>
      <c r="N1694" s="59">
        <f>IF(OR(tblMovement[[#This Row],[Tonnes_t]]="",tblMovement[[#This Row],[Grade_gpt]]=""),0,tblMovement[[#This Row],[Tonnes_t]]*tblMovement[[#This Row],[Grade_gpt]]/cfg_TroyOz)</f>
        <v/>
      </c>
      <c r="O1694" s="59">
        <f>IF(tblMovement[[#This Row],[Is_Ore]]=1,tblMovement[[#This Row],[Contained_oz]],0)</f>
        <v/>
      </c>
    </row>
    <row r="1695">
      <c r="A1695" s="54" t="n"/>
      <c r="B1695" s="61" t="n"/>
      <c r="C1695" s="61" t="n"/>
      <c r="D1695" s="61" t="n"/>
      <c r="E1695" s="61" t="n"/>
      <c r="F1695" s="55" t="n"/>
      <c r="G1695" s="56" t="n"/>
      <c r="H1695" s="55" t="n"/>
      <c r="I1695" s="62" t="n"/>
      <c r="J1695" s="58" t="n"/>
      <c r="K1695" s="63">
        <f>IF(tblMovement[[#This Row],[Source]]="","",IFERROR(INDEX(tblSources[Type],MATCH(tblMovement[[#This Row],[Source]],tblSources[Source],0)),"?"))</f>
        <v/>
      </c>
      <c r="L1695" s="63">
        <f>IF(tblMovement[[#This Row],[Destination]]="","",IFERROR(INDEX(tblDestinations[Type],MATCH(tblMovement[[#This Row],[Destination]],tblDestinations[Destination],0)),"?"))</f>
        <v/>
      </c>
      <c r="M1695" s="64">
        <f>IF(tblMovement[[#This Row],[Material]]="","",IF(LEFT(tblMovement[[#This Row],[Material]],3)="Ore",1,0))</f>
        <v/>
      </c>
      <c r="N1695" s="59">
        <f>IF(OR(tblMovement[[#This Row],[Tonnes_t]]="",tblMovement[[#This Row],[Grade_gpt]]=""),0,tblMovement[[#This Row],[Tonnes_t]]*tblMovement[[#This Row],[Grade_gpt]]/cfg_TroyOz)</f>
        <v/>
      </c>
      <c r="O1695" s="59">
        <f>IF(tblMovement[[#This Row],[Is_Ore]]=1,tblMovement[[#This Row],[Contained_oz]],0)</f>
        <v/>
      </c>
    </row>
    <row r="1696">
      <c r="A1696" s="54" t="n"/>
      <c r="B1696" s="61" t="n"/>
      <c r="C1696" s="61" t="n"/>
      <c r="D1696" s="61" t="n"/>
      <c r="E1696" s="61" t="n"/>
      <c r="F1696" s="55" t="n"/>
      <c r="G1696" s="56" t="n"/>
      <c r="H1696" s="55" t="n"/>
      <c r="I1696" s="62" t="n"/>
      <c r="J1696" s="58" t="n"/>
      <c r="K1696" s="63">
        <f>IF(tblMovement[[#This Row],[Source]]="","",IFERROR(INDEX(tblSources[Type],MATCH(tblMovement[[#This Row],[Source]],tblSources[Source],0)),"?"))</f>
        <v/>
      </c>
      <c r="L1696" s="63">
        <f>IF(tblMovement[[#This Row],[Destination]]="","",IFERROR(INDEX(tblDestinations[Type],MATCH(tblMovement[[#This Row],[Destination]],tblDestinations[Destination],0)),"?"))</f>
        <v/>
      </c>
      <c r="M1696" s="64">
        <f>IF(tblMovement[[#This Row],[Material]]="","",IF(LEFT(tblMovement[[#This Row],[Material]],3)="Ore",1,0))</f>
        <v/>
      </c>
      <c r="N1696" s="59">
        <f>IF(OR(tblMovement[[#This Row],[Tonnes_t]]="",tblMovement[[#This Row],[Grade_gpt]]=""),0,tblMovement[[#This Row],[Tonnes_t]]*tblMovement[[#This Row],[Grade_gpt]]/cfg_TroyOz)</f>
        <v/>
      </c>
      <c r="O1696" s="59">
        <f>IF(tblMovement[[#This Row],[Is_Ore]]=1,tblMovement[[#This Row],[Contained_oz]],0)</f>
        <v/>
      </c>
    </row>
    <row r="1697">
      <c r="A1697" s="54" t="n"/>
      <c r="B1697" s="61" t="n"/>
      <c r="C1697" s="61" t="n"/>
      <c r="D1697" s="61" t="n"/>
      <c r="E1697" s="61" t="n"/>
      <c r="F1697" s="55" t="n"/>
      <c r="G1697" s="56" t="n"/>
      <c r="H1697" s="55" t="n"/>
      <c r="I1697" s="62" t="n"/>
      <c r="J1697" s="58" t="n"/>
      <c r="K1697" s="63">
        <f>IF(tblMovement[[#This Row],[Source]]="","",IFERROR(INDEX(tblSources[Type],MATCH(tblMovement[[#This Row],[Source]],tblSources[Source],0)),"?"))</f>
        <v/>
      </c>
      <c r="L1697" s="63">
        <f>IF(tblMovement[[#This Row],[Destination]]="","",IFERROR(INDEX(tblDestinations[Type],MATCH(tblMovement[[#This Row],[Destination]],tblDestinations[Destination],0)),"?"))</f>
        <v/>
      </c>
      <c r="M1697" s="64">
        <f>IF(tblMovement[[#This Row],[Material]]="","",IF(LEFT(tblMovement[[#This Row],[Material]],3)="Ore",1,0))</f>
        <v/>
      </c>
      <c r="N1697" s="59">
        <f>IF(OR(tblMovement[[#This Row],[Tonnes_t]]="",tblMovement[[#This Row],[Grade_gpt]]=""),0,tblMovement[[#This Row],[Tonnes_t]]*tblMovement[[#This Row],[Grade_gpt]]/cfg_TroyOz)</f>
        <v/>
      </c>
      <c r="O1697" s="59">
        <f>IF(tblMovement[[#This Row],[Is_Ore]]=1,tblMovement[[#This Row],[Contained_oz]],0)</f>
        <v/>
      </c>
    </row>
    <row r="1698">
      <c r="A1698" s="54" t="n"/>
      <c r="B1698" s="61" t="n"/>
      <c r="C1698" s="61" t="n"/>
      <c r="D1698" s="61" t="n"/>
      <c r="E1698" s="61" t="n"/>
      <c r="F1698" s="55" t="n"/>
      <c r="G1698" s="56" t="n"/>
      <c r="H1698" s="55" t="n"/>
      <c r="I1698" s="62" t="n"/>
      <c r="J1698" s="58" t="n"/>
      <c r="K1698" s="63">
        <f>IF(tblMovement[[#This Row],[Source]]="","",IFERROR(INDEX(tblSources[Type],MATCH(tblMovement[[#This Row],[Source]],tblSources[Source],0)),"?"))</f>
        <v/>
      </c>
      <c r="L1698" s="63">
        <f>IF(tblMovement[[#This Row],[Destination]]="","",IFERROR(INDEX(tblDestinations[Type],MATCH(tblMovement[[#This Row],[Destination]],tblDestinations[Destination],0)),"?"))</f>
        <v/>
      </c>
      <c r="M1698" s="64">
        <f>IF(tblMovement[[#This Row],[Material]]="","",IF(LEFT(tblMovement[[#This Row],[Material]],3)="Ore",1,0))</f>
        <v/>
      </c>
      <c r="N1698" s="59">
        <f>IF(OR(tblMovement[[#This Row],[Tonnes_t]]="",tblMovement[[#This Row],[Grade_gpt]]=""),0,tblMovement[[#This Row],[Tonnes_t]]*tblMovement[[#This Row],[Grade_gpt]]/cfg_TroyOz)</f>
        <v/>
      </c>
      <c r="O1698" s="59">
        <f>IF(tblMovement[[#This Row],[Is_Ore]]=1,tblMovement[[#This Row],[Contained_oz]],0)</f>
        <v/>
      </c>
    </row>
    <row r="1699">
      <c r="A1699" s="54" t="n"/>
      <c r="B1699" s="61" t="n"/>
      <c r="C1699" s="61" t="n"/>
      <c r="D1699" s="61" t="n"/>
      <c r="E1699" s="61" t="n"/>
      <c r="F1699" s="55" t="n"/>
      <c r="G1699" s="56" t="n"/>
      <c r="H1699" s="55" t="n"/>
      <c r="I1699" s="62" t="n"/>
      <c r="J1699" s="58" t="n"/>
      <c r="K1699" s="63">
        <f>IF(tblMovement[[#This Row],[Source]]="","",IFERROR(INDEX(tblSources[Type],MATCH(tblMovement[[#This Row],[Source]],tblSources[Source],0)),"?"))</f>
        <v/>
      </c>
      <c r="L1699" s="63">
        <f>IF(tblMovement[[#This Row],[Destination]]="","",IFERROR(INDEX(tblDestinations[Type],MATCH(tblMovement[[#This Row],[Destination]],tblDestinations[Destination],0)),"?"))</f>
        <v/>
      </c>
      <c r="M1699" s="64">
        <f>IF(tblMovement[[#This Row],[Material]]="","",IF(LEFT(tblMovement[[#This Row],[Material]],3)="Ore",1,0))</f>
        <v/>
      </c>
      <c r="N1699" s="59">
        <f>IF(OR(tblMovement[[#This Row],[Tonnes_t]]="",tblMovement[[#This Row],[Grade_gpt]]=""),0,tblMovement[[#This Row],[Tonnes_t]]*tblMovement[[#This Row],[Grade_gpt]]/cfg_TroyOz)</f>
        <v/>
      </c>
      <c r="O1699" s="59">
        <f>IF(tblMovement[[#This Row],[Is_Ore]]=1,tblMovement[[#This Row],[Contained_oz]],0)</f>
        <v/>
      </c>
    </row>
    <row r="1700">
      <c r="A1700" s="54" t="n"/>
      <c r="B1700" s="61" t="n"/>
      <c r="C1700" s="61" t="n"/>
      <c r="D1700" s="61" t="n"/>
      <c r="E1700" s="61" t="n"/>
      <c r="F1700" s="55" t="n"/>
      <c r="G1700" s="56" t="n"/>
      <c r="H1700" s="55" t="n"/>
      <c r="I1700" s="62" t="n"/>
      <c r="J1700" s="58" t="n"/>
      <c r="K1700" s="63">
        <f>IF(tblMovement[[#This Row],[Source]]="","",IFERROR(INDEX(tblSources[Type],MATCH(tblMovement[[#This Row],[Source]],tblSources[Source],0)),"?"))</f>
        <v/>
      </c>
      <c r="L1700" s="63">
        <f>IF(tblMovement[[#This Row],[Destination]]="","",IFERROR(INDEX(tblDestinations[Type],MATCH(tblMovement[[#This Row],[Destination]],tblDestinations[Destination],0)),"?"))</f>
        <v/>
      </c>
      <c r="M1700" s="64">
        <f>IF(tblMovement[[#This Row],[Material]]="","",IF(LEFT(tblMovement[[#This Row],[Material]],3)="Ore",1,0))</f>
        <v/>
      </c>
      <c r="N1700" s="59">
        <f>IF(OR(tblMovement[[#This Row],[Tonnes_t]]="",tblMovement[[#This Row],[Grade_gpt]]=""),0,tblMovement[[#This Row],[Tonnes_t]]*tblMovement[[#This Row],[Grade_gpt]]/cfg_TroyOz)</f>
        <v/>
      </c>
      <c r="O1700" s="59">
        <f>IF(tblMovement[[#This Row],[Is_Ore]]=1,tblMovement[[#This Row],[Contained_oz]],0)</f>
        <v/>
      </c>
    </row>
    <row r="1701">
      <c r="A1701" s="54" t="n"/>
      <c r="B1701" s="61" t="n"/>
      <c r="C1701" s="61" t="n"/>
      <c r="D1701" s="61" t="n"/>
      <c r="E1701" s="61" t="n"/>
      <c r="F1701" s="55" t="n"/>
      <c r="G1701" s="56" t="n"/>
      <c r="H1701" s="55" t="n"/>
      <c r="I1701" s="62" t="n"/>
      <c r="J1701" s="58" t="n"/>
      <c r="K1701" s="63">
        <f>IF(tblMovement[[#This Row],[Source]]="","",IFERROR(INDEX(tblSources[Type],MATCH(tblMovement[[#This Row],[Source]],tblSources[Source],0)),"?"))</f>
        <v/>
      </c>
      <c r="L1701" s="63">
        <f>IF(tblMovement[[#This Row],[Destination]]="","",IFERROR(INDEX(tblDestinations[Type],MATCH(tblMovement[[#This Row],[Destination]],tblDestinations[Destination],0)),"?"))</f>
        <v/>
      </c>
      <c r="M1701" s="64">
        <f>IF(tblMovement[[#This Row],[Material]]="","",IF(LEFT(tblMovement[[#This Row],[Material]],3)="Ore",1,0))</f>
        <v/>
      </c>
      <c r="N1701" s="59">
        <f>IF(OR(tblMovement[[#This Row],[Tonnes_t]]="",tblMovement[[#This Row],[Grade_gpt]]=""),0,tblMovement[[#This Row],[Tonnes_t]]*tblMovement[[#This Row],[Grade_gpt]]/cfg_TroyOz)</f>
        <v/>
      </c>
      <c r="O1701" s="59">
        <f>IF(tblMovement[[#This Row],[Is_Ore]]=1,tblMovement[[#This Row],[Contained_oz]],0)</f>
        <v/>
      </c>
    </row>
    <row r="1702">
      <c r="A1702" s="54" t="n"/>
      <c r="B1702" s="61" t="n"/>
      <c r="C1702" s="61" t="n"/>
      <c r="D1702" s="61" t="n"/>
      <c r="E1702" s="61" t="n"/>
      <c r="F1702" s="55" t="n"/>
      <c r="G1702" s="56" t="n"/>
      <c r="H1702" s="55" t="n"/>
      <c r="I1702" s="62" t="n"/>
      <c r="J1702" s="58" t="n"/>
      <c r="K1702" s="63">
        <f>IF(tblMovement[[#This Row],[Source]]="","",IFERROR(INDEX(tblSources[Type],MATCH(tblMovement[[#This Row],[Source]],tblSources[Source],0)),"?"))</f>
        <v/>
      </c>
      <c r="L1702" s="63">
        <f>IF(tblMovement[[#This Row],[Destination]]="","",IFERROR(INDEX(tblDestinations[Type],MATCH(tblMovement[[#This Row],[Destination]],tblDestinations[Destination],0)),"?"))</f>
        <v/>
      </c>
      <c r="M1702" s="64">
        <f>IF(tblMovement[[#This Row],[Material]]="","",IF(LEFT(tblMovement[[#This Row],[Material]],3)="Ore",1,0))</f>
        <v/>
      </c>
      <c r="N1702" s="59">
        <f>IF(OR(tblMovement[[#This Row],[Tonnes_t]]="",tblMovement[[#This Row],[Grade_gpt]]=""),0,tblMovement[[#This Row],[Tonnes_t]]*tblMovement[[#This Row],[Grade_gpt]]/cfg_TroyOz)</f>
        <v/>
      </c>
      <c r="O1702" s="59">
        <f>IF(tblMovement[[#This Row],[Is_Ore]]=1,tblMovement[[#This Row],[Contained_oz]],0)</f>
        <v/>
      </c>
    </row>
    <row r="1703">
      <c r="A1703" s="54" t="n"/>
      <c r="B1703" s="61" t="n"/>
      <c r="C1703" s="61" t="n"/>
      <c r="D1703" s="61" t="n"/>
      <c r="E1703" s="61" t="n"/>
      <c r="F1703" s="55" t="n"/>
      <c r="G1703" s="56" t="n"/>
      <c r="H1703" s="55" t="n"/>
      <c r="I1703" s="62" t="n"/>
      <c r="J1703" s="58" t="n"/>
      <c r="K1703" s="63">
        <f>IF(tblMovement[[#This Row],[Source]]="","",IFERROR(INDEX(tblSources[Type],MATCH(tblMovement[[#This Row],[Source]],tblSources[Source],0)),"?"))</f>
        <v/>
      </c>
      <c r="L1703" s="63">
        <f>IF(tblMovement[[#This Row],[Destination]]="","",IFERROR(INDEX(tblDestinations[Type],MATCH(tblMovement[[#This Row],[Destination]],tblDestinations[Destination],0)),"?"))</f>
        <v/>
      </c>
      <c r="M1703" s="64">
        <f>IF(tblMovement[[#This Row],[Material]]="","",IF(LEFT(tblMovement[[#This Row],[Material]],3)="Ore",1,0))</f>
        <v/>
      </c>
      <c r="N1703" s="59">
        <f>IF(OR(tblMovement[[#This Row],[Tonnes_t]]="",tblMovement[[#This Row],[Grade_gpt]]=""),0,tblMovement[[#This Row],[Tonnes_t]]*tblMovement[[#This Row],[Grade_gpt]]/cfg_TroyOz)</f>
        <v/>
      </c>
      <c r="O1703" s="59">
        <f>IF(tblMovement[[#This Row],[Is_Ore]]=1,tblMovement[[#This Row],[Contained_oz]],0)</f>
        <v/>
      </c>
    </row>
    <row r="1704">
      <c r="A1704" s="54" t="n"/>
      <c r="B1704" s="61" t="n"/>
      <c r="C1704" s="61" t="n"/>
      <c r="D1704" s="61" t="n"/>
      <c r="E1704" s="61" t="n"/>
      <c r="F1704" s="55" t="n"/>
      <c r="G1704" s="56" t="n"/>
      <c r="H1704" s="55" t="n"/>
      <c r="I1704" s="62" t="n"/>
      <c r="J1704" s="58" t="n"/>
      <c r="K1704" s="63">
        <f>IF(tblMovement[[#This Row],[Source]]="","",IFERROR(INDEX(tblSources[Type],MATCH(tblMovement[[#This Row],[Source]],tblSources[Source],0)),"?"))</f>
        <v/>
      </c>
      <c r="L1704" s="63">
        <f>IF(tblMovement[[#This Row],[Destination]]="","",IFERROR(INDEX(tblDestinations[Type],MATCH(tblMovement[[#This Row],[Destination]],tblDestinations[Destination],0)),"?"))</f>
        <v/>
      </c>
      <c r="M1704" s="64">
        <f>IF(tblMovement[[#This Row],[Material]]="","",IF(LEFT(tblMovement[[#This Row],[Material]],3)="Ore",1,0))</f>
        <v/>
      </c>
      <c r="N1704" s="59">
        <f>IF(OR(tblMovement[[#This Row],[Tonnes_t]]="",tblMovement[[#This Row],[Grade_gpt]]=""),0,tblMovement[[#This Row],[Tonnes_t]]*tblMovement[[#This Row],[Grade_gpt]]/cfg_TroyOz)</f>
        <v/>
      </c>
      <c r="O1704" s="59">
        <f>IF(tblMovement[[#This Row],[Is_Ore]]=1,tblMovement[[#This Row],[Contained_oz]],0)</f>
        <v/>
      </c>
    </row>
    <row r="1705">
      <c r="A1705" s="54" t="n"/>
      <c r="B1705" s="61" t="n"/>
      <c r="C1705" s="61" t="n"/>
      <c r="D1705" s="61" t="n"/>
      <c r="E1705" s="61" t="n"/>
      <c r="F1705" s="55" t="n"/>
      <c r="G1705" s="56" t="n"/>
      <c r="H1705" s="55" t="n"/>
      <c r="I1705" s="62" t="n"/>
      <c r="J1705" s="58" t="n"/>
      <c r="K1705" s="63">
        <f>IF(tblMovement[[#This Row],[Source]]="","",IFERROR(INDEX(tblSources[Type],MATCH(tblMovement[[#This Row],[Source]],tblSources[Source],0)),"?"))</f>
        <v/>
      </c>
      <c r="L1705" s="63">
        <f>IF(tblMovement[[#This Row],[Destination]]="","",IFERROR(INDEX(tblDestinations[Type],MATCH(tblMovement[[#This Row],[Destination]],tblDestinations[Destination],0)),"?"))</f>
        <v/>
      </c>
      <c r="M1705" s="64">
        <f>IF(tblMovement[[#This Row],[Material]]="","",IF(LEFT(tblMovement[[#This Row],[Material]],3)="Ore",1,0))</f>
        <v/>
      </c>
      <c r="N1705" s="59">
        <f>IF(OR(tblMovement[[#This Row],[Tonnes_t]]="",tblMovement[[#This Row],[Grade_gpt]]=""),0,tblMovement[[#This Row],[Tonnes_t]]*tblMovement[[#This Row],[Grade_gpt]]/cfg_TroyOz)</f>
        <v/>
      </c>
      <c r="O1705" s="59">
        <f>IF(tblMovement[[#This Row],[Is_Ore]]=1,tblMovement[[#This Row],[Contained_oz]],0)</f>
        <v/>
      </c>
    </row>
    <row r="1706">
      <c r="A1706" s="54" t="n"/>
      <c r="B1706" s="61" t="n"/>
      <c r="C1706" s="61" t="n"/>
      <c r="D1706" s="61" t="n"/>
      <c r="E1706" s="61" t="n"/>
      <c r="F1706" s="55" t="n"/>
      <c r="G1706" s="56" t="n"/>
      <c r="H1706" s="55" t="n"/>
      <c r="I1706" s="62" t="n"/>
      <c r="J1706" s="58" t="n"/>
      <c r="K1706" s="63">
        <f>IF(tblMovement[[#This Row],[Source]]="","",IFERROR(INDEX(tblSources[Type],MATCH(tblMovement[[#This Row],[Source]],tblSources[Source],0)),"?"))</f>
        <v/>
      </c>
      <c r="L1706" s="63">
        <f>IF(tblMovement[[#This Row],[Destination]]="","",IFERROR(INDEX(tblDestinations[Type],MATCH(tblMovement[[#This Row],[Destination]],tblDestinations[Destination],0)),"?"))</f>
        <v/>
      </c>
      <c r="M1706" s="64">
        <f>IF(tblMovement[[#This Row],[Material]]="","",IF(LEFT(tblMovement[[#This Row],[Material]],3)="Ore",1,0))</f>
        <v/>
      </c>
      <c r="N1706" s="59">
        <f>IF(OR(tblMovement[[#This Row],[Tonnes_t]]="",tblMovement[[#This Row],[Grade_gpt]]=""),0,tblMovement[[#This Row],[Tonnes_t]]*tblMovement[[#This Row],[Grade_gpt]]/cfg_TroyOz)</f>
        <v/>
      </c>
      <c r="O1706" s="59">
        <f>IF(tblMovement[[#This Row],[Is_Ore]]=1,tblMovement[[#This Row],[Contained_oz]],0)</f>
        <v/>
      </c>
    </row>
    <row r="1707">
      <c r="A1707" s="54" t="n"/>
      <c r="B1707" s="61" t="n"/>
      <c r="C1707" s="61" t="n"/>
      <c r="D1707" s="61" t="n"/>
      <c r="E1707" s="61" t="n"/>
      <c r="F1707" s="55" t="n"/>
      <c r="G1707" s="56" t="n"/>
      <c r="H1707" s="55" t="n"/>
      <c r="I1707" s="62" t="n"/>
      <c r="J1707" s="58" t="n"/>
      <c r="K1707" s="63">
        <f>IF(tblMovement[[#This Row],[Source]]="","",IFERROR(INDEX(tblSources[Type],MATCH(tblMovement[[#This Row],[Source]],tblSources[Source],0)),"?"))</f>
        <v/>
      </c>
      <c r="L1707" s="63">
        <f>IF(tblMovement[[#This Row],[Destination]]="","",IFERROR(INDEX(tblDestinations[Type],MATCH(tblMovement[[#This Row],[Destination]],tblDestinations[Destination],0)),"?"))</f>
        <v/>
      </c>
      <c r="M1707" s="64">
        <f>IF(tblMovement[[#This Row],[Material]]="","",IF(LEFT(tblMovement[[#This Row],[Material]],3)="Ore",1,0))</f>
        <v/>
      </c>
      <c r="N1707" s="59">
        <f>IF(OR(tblMovement[[#This Row],[Tonnes_t]]="",tblMovement[[#This Row],[Grade_gpt]]=""),0,tblMovement[[#This Row],[Tonnes_t]]*tblMovement[[#This Row],[Grade_gpt]]/cfg_TroyOz)</f>
        <v/>
      </c>
      <c r="O1707" s="59">
        <f>IF(tblMovement[[#This Row],[Is_Ore]]=1,tblMovement[[#This Row],[Contained_oz]],0)</f>
        <v/>
      </c>
    </row>
    <row r="1708">
      <c r="A1708" s="54" t="n"/>
      <c r="B1708" s="61" t="n"/>
      <c r="C1708" s="61" t="n"/>
      <c r="D1708" s="61" t="n"/>
      <c r="E1708" s="61" t="n"/>
      <c r="F1708" s="55" t="n"/>
      <c r="G1708" s="56" t="n"/>
      <c r="H1708" s="55" t="n"/>
      <c r="I1708" s="62" t="n"/>
      <c r="J1708" s="58" t="n"/>
      <c r="K1708" s="63">
        <f>IF(tblMovement[[#This Row],[Source]]="","",IFERROR(INDEX(tblSources[Type],MATCH(tblMovement[[#This Row],[Source]],tblSources[Source],0)),"?"))</f>
        <v/>
      </c>
      <c r="L1708" s="63">
        <f>IF(tblMovement[[#This Row],[Destination]]="","",IFERROR(INDEX(tblDestinations[Type],MATCH(tblMovement[[#This Row],[Destination]],tblDestinations[Destination],0)),"?"))</f>
        <v/>
      </c>
      <c r="M1708" s="64">
        <f>IF(tblMovement[[#This Row],[Material]]="","",IF(LEFT(tblMovement[[#This Row],[Material]],3)="Ore",1,0))</f>
        <v/>
      </c>
      <c r="N1708" s="59">
        <f>IF(OR(tblMovement[[#This Row],[Tonnes_t]]="",tblMovement[[#This Row],[Grade_gpt]]=""),0,tblMovement[[#This Row],[Tonnes_t]]*tblMovement[[#This Row],[Grade_gpt]]/cfg_TroyOz)</f>
        <v/>
      </c>
      <c r="O1708" s="59">
        <f>IF(tblMovement[[#This Row],[Is_Ore]]=1,tblMovement[[#This Row],[Contained_oz]],0)</f>
        <v/>
      </c>
    </row>
    <row r="1709">
      <c r="A1709" s="54" t="n"/>
      <c r="B1709" s="61" t="n"/>
      <c r="C1709" s="61" t="n"/>
      <c r="D1709" s="61" t="n"/>
      <c r="E1709" s="61" t="n"/>
      <c r="F1709" s="55" t="n"/>
      <c r="G1709" s="56" t="n"/>
      <c r="H1709" s="55" t="n"/>
      <c r="I1709" s="62" t="n"/>
      <c r="J1709" s="58" t="n"/>
      <c r="K1709" s="63">
        <f>IF(tblMovement[[#This Row],[Source]]="","",IFERROR(INDEX(tblSources[Type],MATCH(tblMovement[[#This Row],[Source]],tblSources[Source],0)),"?"))</f>
        <v/>
      </c>
      <c r="L1709" s="63">
        <f>IF(tblMovement[[#This Row],[Destination]]="","",IFERROR(INDEX(tblDestinations[Type],MATCH(tblMovement[[#This Row],[Destination]],tblDestinations[Destination],0)),"?"))</f>
        <v/>
      </c>
      <c r="M1709" s="64">
        <f>IF(tblMovement[[#This Row],[Material]]="","",IF(LEFT(tblMovement[[#This Row],[Material]],3)="Ore",1,0))</f>
        <v/>
      </c>
      <c r="N1709" s="59">
        <f>IF(OR(tblMovement[[#This Row],[Tonnes_t]]="",tblMovement[[#This Row],[Grade_gpt]]=""),0,tblMovement[[#This Row],[Tonnes_t]]*tblMovement[[#This Row],[Grade_gpt]]/cfg_TroyOz)</f>
        <v/>
      </c>
      <c r="O1709" s="59">
        <f>IF(tblMovement[[#This Row],[Is_Ore]]=1,tblMovement[[#This Row],[Contained_oz]],0)</f>
        <v/>
      </c>
    </row>
    <row r="1710">
      <c r="A1710" s="54" t="n"/>
      <c r="B1710" s="61" t="n"/>
      <c r="C1710" s="61" t="n"/>
      <c r="D1710" s="61" t="n"/>
      <c r="E1710" s="61" t="n"/>
      <c r="F1710" s="55" t="n"/>
      <c r="G1710" s="56" t="n"/>
      <c r="H1710" s="55" t="n"/>
      <c r="I1710" s="62" t="n"/>
      <c r="J1710" s="58" t="n"/>
      <c r="K1710" s="63">
        <f>IF(tblMovement[[#This Row],[Source]]="","",IFERROR(INDEX(tblSources[Type],MATCH(tblMovement[[#This Row],[Source]],tblSources[Source],0)),"?"))</f>
        <v/>
      </c>
      <c r="L1710" s="63">
        <f>IF(tblMovement[[#This Row],[Destination]]="","",IFERROR(INDEX(tblDestinations[Type],MATCH(tblMovement[[#This Row],[Destination]],tblDestinations[Destination],0)),"?"))</f>
        <v/>
      </c>
      <c r="M1710" s="64">
        <f>IF(tblMovement[[#This Row],[Material]]="","",IF(LEFT(tblMovement[[#This Row],[Material]],3)="Ore",1,0))</f>
        <v/>
      </c>
      <c r="N1710" s="59">
        <f>IF(OR(tblMovement[[#This Row],[Tonnes_t]]="",tblMovement[[#This Row],[Grade_gpt]]=""),0,tblMovement[[#This Row],[Tonnes_t]]*tblMovement[[#This Row],[Grade_gpt]]/cfg_TroyOz)</f>
        <v/>
      </c>
      <c r="O1710" s="59">
        <f>IF(tblMovement[[#This Row],[Is_Ore]]=1,tblMovement[[#This Row],[Contained_oz]],0)</f>
        <v/>
      </c>
    </row>
    <row r="1711">
      <c r="A1711" s="54" t="n"/>
      <c r="B1711" s="61" t="n"/>
      <c r="C1711" s="61" t="n"/>
      <c r="D1711" s="61" t="n"/>
      <c r="E1711" s="61" t="n"/>
      <c r="F1711" s="55" t="n"/>
      <c r="G1711" s="56" t="n"/>
      <c r="H1711" s="55" t="n"/>
      <c r="I1711" s="62" t="n"/>
      <c r="J1711" s="58" t="n"/>
      <c r="K1711" s="63">
        <f>IF(tblMovement[[#This Row],[Source]]="","",IFERROR(INDEX(tblSources[Type],MATCH(tblMovement[[#This Row],[Source]],tblSources[Source],0)),"?"))</f>
        <v/>
      </c>
      <c r="L1711" s="63">
        <f>IF(tblMovement[[#This Row],[Destination]]="","",IFERROR(INDEX(tblDestinations[Type],MATCH(tblMovement[[#This Row],[Destination]],tblDestinations[Destination],0)),"?"))</f>
        <v/>
      </c>
      <c r="M1711" s="64">
        <f>IF(tblMovement[[#This Row],[Material]]="","",IF(LEFT(tblMovement[[#This Row],[Material]],3)="Ore",1,0))</f>
        <v/>
      </c>
      <c r="N1711" s="59">
        <f>IF(OR(tblMovement[[#This Row],[Tonnes_t]]="",tblMovement[[#This Row],[Grade_gpt]]=""),0,tblMovement[[#This Row],[Tonnes_t]]*tblMovement[[#This Row],[Grade_gpt]]/cfg_TroyOz)</f>
        <v/>
      </c>
      <c r="O1711" s="59">
        <f>IF(tblMovement[[#This Row],[Is_Ore]]=1,tblMovement[[#This Row],[Contained_oz]],0)</f>
        <v/>
      </c>
    </row>
    <row r="1712">
      <c r="A1712" s="54" t="n"/>
      <c r="B1712" s="61" t="n"/>
      <c r="C1712" s="61" t="n"/>
      <c r="D1712" s="61" t="n"/>
      <c r="E1712" s="61" t="n"/>
      <c r="F1712" s="55" t="n"/>
      <c r="G1712" s="56" t="n"/>
      <c r="H1712" s="55" t="n"/>
      <c r="I1712" s="62" t="n"/>
      <c r="J1712" s="58" t="n"/>
      <c r="K1712" s="63">
        <f>IF(tblMovement[[#This Row],[Source]]="","",IFERROR(INDEX(tblSources[Type],MATCH(tblMovement[[#This Row],[Source]],tblSources[Source],0)),"?"))</f>
        <v/>
      </c>
      <c r="L1712" s="63">
        <f>IF(tblMovement[[#This Row],[Destination]]="","",IFERROR(INDEX(tblDestinations[Type],MATCH(tblMovement[[#This Row],[Destination]],tblDestinations[Destination],0)),"?"))</f>
        <v/>
      </c>
      <c r="M1712" s="64">
        <f>IF(tblMovement[[#This Row],[Material]]="","",IF(LEFT(tblMovement[[#This Row],[Material]],3)="Ore",1,0))</f>
        <v/>
      </c>
      <c r="N1712" s="59">
        <f>IF(OR(tblMovement[[#This Row],[Tonnes_t]]="",tblMovement[[#This Row],[Grade_gpt]]=""),0,tblMovement[[#This Row],[Tonnes_t]]*tblMovement[[#This Row],[Grade_gpt]]/cfg_TroyOz)</f>
        <v/>
      </c>
      <c r="O1712" s="59">
        <f>IF(tblMovement[[#This Row],[Is_Ore]]=1,tblMovement[[#This Row],[Contained_oz]],0)</f>
        <v/>
      </c>
    </row>
    <row r="1713">
      <c r="A1713" s="54" t="n"/>
      <c r="B1713" s="61" t="n"/>
      <c r="C1713" s="61" t="n"/>
      <c r="D1713" s="61" t="n"/>
      <c r="E1713" s="61" t="n"/>
      <c r="F1713" s="55" t="n"/>
      <c r="G1713" s="56" t="n"/>
      <c r="H1713" s="55" t="n"/>
      <c r="I1713" s="62" t="n"/>
      <c r="J1713" s="58" t="n"/>
      <c r="K1713" s="63">
        <f>IF(tblMovement[[#This Row],[Source]]="","",IFERROR(INDEX(tblSources[Type],MATCH(tblMovement[[#This Row],[Source]],tblSources[Source],0)),"?"))</f>
        <v/>
      </c>
      <c r="L1713" s="63">
        <f>IF(tblMovement[[#This Row],[Destination]]="","",IFERROR(INDEX(tblDestinations[Type],MATCH(tblMovement[[#This Row],[Destination]],tblDestinations[Destination],0)),"?"))</f>
        <v/>
      </c>
      <c r="M1713" s="64">
        <f>IF(tblMovement[[#This Row],[Material]]="","",IF(LEFT(tblMovement[[#This Row],[Material]],3)="Ore",1,0))</f>
        <v/>
      </c>
      <c r="N1713" s="59">
        <f>IF(OR(tblMovement[[#This Row],[Tonnes_t]]="",tblMovement[[#This Row],[Grade_gpt]]=""),0,tblMovement[[#This Row],[Tonnes_t]]*tblMovement[[#This Row],[Grade_gpt]]/cfg_TroyOz)</f>
        <v/>
      </c>
      <c r="O1713" s="59">
        <f>IF(tblMovement[[#This Row],[Is_Ore]]=1,tblMovement[[#This Row],[Contained_oz]],0)</f>
        <v/>
      </c>
    </row>
    <row r="1714">
      <c r="A1714" s="54" t="n"/>
      <c r="B1714" s="61" t="n"/>
      <c r="C1714" s="61" t="n"/>
      <c r="D1714" s="61" t="n"/>
      <c r="E1714" s="61" t="n"/>
      <c r="F1714" s="55" t="n"/>
      <c r="G1714" s="56" t="n"/>
      <c r="H1714" s="55" t="n"/>
      <c r="I1714" s="62" t="n"/>
      <c r="J1714" s="58" t="n"/>
      <c r="K1714" s="63">
        <f>IF(tblMovement[[#This Row],[Source]]="","",IFERROR(INDEX(tblSources[Type],MATCH(tblMovement[[#This Row],[Source]],tblSources[Source],0)),"?"))</f>
        <v/>
      </c>
      <c r="L1714" s="63">
        <f>IF(tblMovement[[#This Row],[Destination]]="","",IFERROR(INDEX(tblDestinations[Type],MATCH(tblMovement[[#This Row],[Destination]],tblDestinations[Destination],0)),"?"))</f>
        <v/>
      </c>
      <c r="M1714" s="64">
        <f>IF(tblMovement[[#This Row],[Material]]="","",IF(LEFT(tblMovement[[#This Row],[Material]],3)="Ore",1,0))</f>
        <v/>
      </c>
      <c r="N1714" s="59">
        <f>IF(OR(tblMovement[[#This Row],[Tonnes_t]]="",tblMovement[[#This Row],[Grade_gpt]]=""),0,tblMovement[[#This Row],[Tonnes_t]]*tblMovement[[#This Row],[Grade_gpt]]/cfg_TroyOz)</f>
        <v/>
      </c>
      <c r="O1714" s="59">
        <f>IF(tblMovement[[#This Row],[Is_Ore]]=1,tblMovement[[#This Row],[Contained_oz]],0)</f>
        <v/>
      </c>
    </row>
    <row r="1715">
      <c r="A1715" s="54" t="n"/>
      <c r="B1715" s="61" t="n"/>
      <c r="C1715" s="61" t="n"/>
      <c r="D1715" s="61" t="n"/>
      <c r="E1715" s="61" t="n"/>
      <c r="F1715" s="55" t="n"/>
      <c r="G1715" s="56" t="n"/>
      <c r="H1715" s="55" t="n"/>
      <c r="I1715" s="62" t="n"/>
      <c r="J1715" s="58" t="n"/>
      <c r="K1715" s="63">
        <f>IF(tblMovement[[#This Row],[Source]]="","",IFERROR(INDEX(tblSources[Type],MATCH(tblMovement[[#This Row],[Source]],tblSources[Source],0)),"?"))</f>
        <v/>
      </c>
      <c r="L1715" s="63">
        <f>IF(tblMovement[[#This Row],[Destination]]="","",IFERROR(INDEX(tblDestinations[Type],MATCH(tblMovement[[#This Row],[Destination]],tblDestinations[Destination],0)),"?"))</f>
        <v/>
      </c>
      <c r="M1715" s="64">
        <f>IF(tblMovement[[#This Row],[Material]]="","",IF(LEFT(tblMovement[[#This Row],[Material]],3)="Ore",1,0))</f>
        <v/>
      </c>
      <c r="N1715" s="59">
        <f>IF(OR(tblMovement[[#This Row],[Tonnes_t]]="",tblMovement[[#This Row],[Grade_gpt]]=""),0,tblMovement[[#This Row],[Tonnes_t]]*tblMovement[[#This Row],[Grade_gpt]]/cfg_TroyOz)</f>
        <v/>
      </c>
      <c r="O1715" s="59">
        <f>IF(tblMovement[[#This Row],[Is_Ore]]=1,tblMovement[[#This Row],[Contained_oz]],0)</f>
        <v/>
      </c>
    </row>
    <row r="1716">
      <c r="A1716" s="54" t="n"/>
      <c r="B1716" s="61" t="n"/>
      <c r="C1716" s="61" t="n"/>
      <c r="D1716" s="61" t="n"/>
      <c r="E1716" s="61" t="n"/>
      <c r="F1716" s="55" t="n"/>
      <c r="G1716" s="56" t="n"/>
      <c r="H1716" s="55" t="n"/>
      <c r="I1716" s="62" t="n"/>
      <c r="J1716" s="58" t="n"/>
      <c r="K1716" s="63">
        <f>IF(tblMovement[[#This Row],[Source]]="","",IFERROR(INDEX(tblSources[Type],MATCH(tblMovement[[#This Row],[Source]],tblSources[Source],0)),"?"))</f>
        <v/>
      </c>
      <c r="L1716" s="63">
        <f>IF(tblMovement[[#This Row],[Destination]]="","",IFERROR(INDEX(tblDestinations[Type],MATCH(tblMovement[[#This Row],[Destination]],tblDestinations[Destination],0)),"?"))</f>
        <v/>
      </c>
      <c r="M1716" s="64">
        <f>IF(tblMovement[[#This Row],[Material]]="","",IF(LEFT(tblMovement[[#This Row],[Material]],3)="Ore",1,0))</f>
        <v/>
      </c>
      <c r="N1716" s="59">
        <f>IF(OR(tblMovement[[#This Row],[Tonnes_t]]="",tblMovement[[#This Row],[Grade_gpt]]=""),0,tblMovement[[#This Row],[Tonnes_t]]*tblMovement[[#This Row],[Grade_gpt]]/cfg_TroyOz)</f>
        <v/>
      </c>
      <c r="O1716" s="59">
        <f>IF(tblMovement[[#This Row],[Is_Ore]]=1,tblMovement[[#This Row],[Contained_oz]],0)</f>
        <v/>
      </c>
    </row>
    <row r="1717">
      <c r="A1717" s="54" t="n"/>
      <c r="B1717" s="61" t="n"/>
      <c r="C1717" s="61" t="n"/>
      <c r="D1717" s="61" t="n"/>
      <c r="E1717" s="61" t="n"/>
      <c r="F1717" s="55" t="n"/>
      <c r="G1717" s="56" t="n"/>
      <c r="H1717" s="55" t="n"/>
      <c r="I1717" s="62" t="n"/>
      <c r="J1717" s="58" t="n"/>
      <c r="K1717" s="63">
        <f>IF(tblMovement[[#This Row],[Source]]="","",IFERROR(INDEX(tblSources[Type],MATCH(tblMovement[[#This Row],[Source]],tblSources[Source],0)),"?"))</f>
        <v/>
      </c>
      <c r="L1717" s="63">
        <f>IF(tblMovement[[#This Row],[Destination]]="","",IFERROR(INDEX(tblDestinations[Type],MATCH(tblMovement[[#This Row],[Destination]],tblDestinations[Destination],0)),"?"))</f>
        <v/>
      </c>
      <c r="M1717" s="64">
        <f>IF(tblMovement[[#This Row],[Material]]="","",IF(LEFT(tblMovement[[#This Row],[Material]],3)="Ore",1,0))</f>
        <v/>
      </c>
      <c r="N1717" s="59">
        <f>IF(OR(tblMovement[[#This Row],[Tonnes_t]]="",tblMovement[[#This Row],[Grade_gpt]]=""),0,tblMovement[[#This Row],[Tonnes_t]]*tblMovement[[#This Row],[Grade_gpt]]/cfg_TroyOz)</f>
        <v/>
      </c>
      <c r="O1717" s="59">
        <f>IF(tblMovement[[#This Row],[Is_Ore]]=1,tblMovement[[#This Row],[Contained_oz]],0)</f>
        <v/>
      </c>
    </row>
    <row r="1718">
      <c r="A1718" s="54" t="n"/>
      <c r="B1718" s="61" t="n"/>
      <c r="C1718" s="61" t="n"/>
      <c r="D1718" s="61" t="n"/>
      <c r="E1718" s="61" t="n"/>
      <c r="F1718" s="55" t="n"/>
      <c r="G1718" s="56" t="n"/>
      <c r="H1718" s="55" t="n"/>
      <c r="I1718" s="62" t="n"/>
      <c r="J1718" s="58" t="n"/>
      <c r="K1718" s="63">
        <f>IF(tblMovement[[#This Row],[Source]]="","",IFERROR(INDEX(tblSources[Type],MATCH(tblMovement[[#This Row],[Source]],tblSources[Source],0)),"?"))</f>
        <v/>
      </c>
      <c r="L1718" s="63">
        <f>IF(tblMovement[[#This Row],[Destination]]="","",IFERROR(INDEX(tblDestinations[Type],MATCH(tblMovement[[#This Row],[Destination]],tblDestinations[Destination],0)),"?"))</f>
        <v/>
      </c>
      <c r="M1718" s="64">
        <f>IF(tblMovement[[#This Row],[Material]]="","",IF(LEFT(tblMovement[[#This Row],[Material]],3)="Ore",1,0))</f>
        <v/>
      </c>
      <c r="N1718" s="59">
        <f>IF(OR(tblMovement[[#This Row],[Tonnes_t]]="",tblMovement[[#This Row],[Grade_gpt]]=""),0,tblMovement[[#This Row],[Tonnes_t]]*tblMovement[[#This Row],[Grade_gpt]]/cfg_TroyOz)</f>
        <v/>
      </c>
      <c r="O1718" s="59">
        <f>IF(tblMovement[[#This Row],[Is_Ore]]=1,tblMovement[[#This Row],[Contained_oz]],0)</f>
        <v/>
      </c>
    </row>
    <row r="1719">
      <c r="A1719" s="54" t="n"/>
      <c r="B1719" s="61" t="n"/>
      <c r="C1719" s="61" t="n"/>
      <c r="D1719" s="61" t="n"/>
      <c r="E1719" s="61" t="n"/>
      <c r="F1719" s="55" t="n"/>
      <c r="G1719" s="56" t="n"/>
      <c r="H1719" s="55" t="n"/>
      <c r="I1719" s="62" t="n"/>
      <c r="J1719" s="58" t="n"/>
      <c r="K1719" s="63">
        <f>IF(tblMovement[[#This Row],[Source]]="","",IFERROR(INDEX(tblSources[Type],MATCH(tblMovement[[#This Row],[Source]],tblSources[Source],0)),"?"))</f>
        <v/>
      </c>
      <c r="L1719" s="63">
        <f>IF(tblMovement[[#This Row],[Destination]]="","",IFERROR(INDEX(tblDestinations[Type],MATCH(tblMovement[[#This Row],[Destination]],tblDestinations[Destination],0)),"?"))</f>
        <v/>
      </c>
      <c r="M1719" s="64">
        <f>IF(tblMovement[[#This Row],[Material]]="","",IF(LEFT(tblMovement[[#This Row],[Material]],3)="Ore",1,0))</f>
        <v/>
      </c>
      <c r="N1719" s="59">
        <f>IF(OR(tblMovement[[#This Row],[Tonnes_t]]="",tblMovement[[#This Row],[Grade_gpt]]=""),0,tblMovement[[#This Row],[Tonnes_t]]*tblMovement[[#This Row],[Grade_gpt]]/cfg_TroyOz)</f>
        <v/>
      </c>
      <c r="O1719" s="59">
        <f>IF(tblMovement[[#This Row],[Is_Ore]]=1,tblMovement[[#This Row],[Contained_oz]],0)</f>
        <v/>
      </c>
    </row>
    <row r="1720">
      <c r="A1720" s="54" t="n"/>
      <c r="B1720" s="61" t="n"/>
      <c r="C1720" s="61" t="n"/>
      <c r="D1720" s="61" t="n"/>
      <c r="E1720" s="61" t="n"/>
      <c r="F1720" s="55" t="n"/>
      <c r="G1720" s="56" t="n"/>
      <c r="H1720" s="55" t="n"/>
      <c r="I1720" s="62" t="n"/>
      <c r="J1720" s="58" t="n"/>
      <c r="K1720" s="63">
        <f>IF(tblMovement[[#This Row],[Source]]="","",IFERROR(INDEX(tblSources[Type],MATCH(tblMovement[[#This Row],[Source]],tblSources[Source],0)),"?"))</f>
        <v/>
      </c>
      <c r="L1720" s="63">
        <f>IF(tblMovement[[#This Row],[Destination]]="","",IFERROR(INDEX(tblDestinations[Type],MATCH(tblMovement[[#This Row],[Destination]],tblDestinations[Destination],0)),"?"))</f>
        <v/>
      </c>
      <c r="M1720" s="64">
        <f>IF(tblMovement[[#This Row],[Material]]="","",IF(LEFT(tblMovement[[#This Row],[Material]],3)="Ore",1,0))</f>
        <v/>
      </c>
      <c r="N1720" s="59">
        <f>IF(OR(tblMovement[[#This Row],[Tonnes_t]]="",tblMovement[[#This Row],[Grade_gpt]]=""),0,tblMovement[[#This Row],[Tonnes_t]]*tblMovement[[#This Row],[Grade_gpt]]/cfg_TroyOz)</f>
        <v/>
      </c>
      <c r="O1720" s="59">
        <f>IF(tblMovement[[#This Row],[Is_Ore]]=1,tblMovement[[#This Row],[Contained_oz]],0)</f>
        <v/>
      </c>
    </row>
    <row r="1721">
      <c r="A1721" s="54" t="n"/>
      <c r="B1721" s="61" t="n"/>
      <c r="C1721" s="61" t="n"/>
      <c r="D1721" s="61" t="n"/>
      <c r="E1721" s="61" t="n"/>
      <c r="F1721" s="55" t="n"/>
      <c r="G1721" s="56" t="n"/>
      <c r="H1721" s="55" t="n"/>
      <c r="I1721" s="62" t="n"/>
      <c r="J1721" s="58" t="n"/>
      <c r="K1721" s="63">
        <f>IF(tblMovement[[#This Row],[Source]]="","",IFERROR(INDEX(tblSources[Type],MATCH(tblMovement[[#This Row],[Source]],tblSources[Source],0)),"?"))</f>
        <v/>
      </c>
      <c r="L1721" s="63">
        <f>IF(tblMovement[[#This Row],[Destination]]="","",IFERROR(INDEX(tblDestinations[Type],MATCH(tblMovement[[#This Row],[Destination]],tblDestinations[Destination],0)),"?"))</f>
        <v/>
      </c>
      <c r="M1721" s="64">
        <f>IF(tblMovement[[#This Row],[Material]]="","",IF(LEFT(tblMovement[[#This Row],[Material]],3)="Ore",1,0))</f>
        <v/>
      </c>
      <c r="N1721" s="59">
        <f>IF(OR(tblMovement[[#This Row],[Tonnes_t]]="",tblMovement[[#This Row],[Grade_gpt]]=""),0,tblMovement[[#This Row],[Tonnes_t]]*tblMovement[[#This Row],[Grade_gpt]]/cfg_TroyOz)</f>
        <v/>
      </c>
      <c r="O1721" s="59">
        <f>IF(tblMovement[[#This Row],[Is_Ore]]=1,tblMovement[[#This Row],[Contained_oz]],0)</f>
        <v/>
      </c>
    </row>
    <row r="1722">
      <c r="A1722" s="54" t="n"/>
      <c r="B1722" s="61" t="n"/>
      <c r="C1722" s="61" t="n"/>
      <c r="D1722" s="61" t="n"/>
      <c r="E1722" s="61" t="n"/>
      <c r="F1722" s="55" t="n"/>
      <c r="G1722" s="56" t="n"/>
      <c r="H1722" s="55" t="n"/>
      <c r="I1722" s="62" t="n"/>
      <c r="J1722" s="58" t="n"/>
      <c r="K1722" s="63">
        <f>IF(tblMovement[[#This Row],[Source]]="","",IFERROR(INDEX(tblSources[Type],MATCH(tblMovement[[#This Row],[Source]],tblSources[Source],0)),"?"))</f>
        <v/>
      </c>
      <c r="L1722" s="63">
        <f>IF(tblMovement[[#This Row],[Destination]]="","",IFERROR(INDEX(tblDestinations[Type],MATCH(tblMovement[[#This Row],[Destination]],tblDestinations[Destination],0)),"?"))</f>
        <v/>
      </c>
      <c r="M1722" s="64">
        <f>IF(tblMovement[[#This Row],[Material]]="","",IF(LEFT(tblMovement[[#This Row],[Material]],3)="Ore",1,0))</f>
        <v/>
      </c>
      <c r="N1722" s="59">
        <f>IF(OR(tblMovement[[#This Row],[Tonnes_t]]="",tblMovement[[#This Row],[Grade_gpt]]=""),0,tblMovement[[#This Row],[Tonnes_t]]*tblMovement[[#This Row],[Grade_gpt]]/cfg_TroyOz)</f>
        <v/>
      </c>
      <c r="O1722" s="59">
        <f>IF(tblMovement[[#This Row],[Is_Ore]]=1,tblMovement[[#This Row],[Contained_oz]],0)</f>
        <v/>
      </c>
    </row>
    <row r="1723">
      <c r="A1723" s="54" t="n"/>
      <c r="B1723" s="61" t="n"/>
      <c r="C1723" s="61" t="n"/>
      <c r="D1723" s="61" t="n"/>
      <c r="E1723" s="61" t="n"/>
      <c r="F1723" s="55" t="n"/>
      <c r="G1723" s="56" t="n"/>
      <c r="H1723" s="55" t="n"/>
      <c r="I1723" s="62" t="n"/>
      <c r="J1723" s="58" t="n"/>
      <c r="K1723" s="63">
        <f>IF(tblMovement[[#This Row],[Source]]="","",IFERROR(INDEX(tblSources[Type],MATCH(tblMovement[[#This Row],[Source]],tblSources[Source],0)),"?"))</f>
        <v/>
      </c>
      <c r="L1723" s="63">
        <f>IF(tblMovement[[#This Row],[Destination]]="","",IFERROR(INDEX(tblDestinations[Type],MATCH(tblMovement[[#This Row],[Destination]],tblDestinations[Destination],0)),"?"))</f>
        <v/>
      </c>
      <c r="M1723" s="64">
        <f>IF(tblMovement[[#This Row],[Material]]="","",IF(LEFT(tblMovement[[#This Row],[Material]],3)="Ore",1,0))</f>
        <v/>
      </c>
      <c r="N1723" s="59">
        <f>IF(OR(tblMovement[[#This Row],[Tonnes_t]]="",tblMovement[[#This Row],[Grade_gpt]]=""),0,tblMovement[[#This Row],[Tonnes_t]]*tblMovement[[#This Row],[Grade_gpt]]/cfg_TroyOz)</f>
        <v/>
      </c>
      <c r="O1723" s="59">
        <f>IF(tblMovement[[#This Row],[Is_Ore]]=1,tblMovement[[#This Row],[Contained_oz]],0)</f>
        <v/>
      </c>
    </row>
    <row r="1724">
      <c r="A1724" s="54" t="n"/>
      <c r="B1724" s="61" t="n"/>
      <c r="C1724" s="61" t="n"/>
      <c r="D1724" s="61" t="n"/>
      <c r="E1724" s="61" t="n"/>
      <c r="F1724" s="55" t="n"/>
      <c r="G1724" s="56" t="n"/>
      <c r="H1724" s="55" t="n"/>
      <c r="I1724" s="62" t="n"/>
      <c r="J1724" s="58" t="n"/>
      <c r="K1724" s="63">
        <f>IF(tblMovement[[#This Row],[Source]]="","",IFERROR(INDEX(tblSources[Type],MATCH(tblMovement[[#This Row],[Source]],tblSources[Source],0)),"?"))</f>
        <v/>
      </c>
      <c r="L1724" s="63">
        <f>IF(tblMovement[[#This Row],[Destination]]="","",IFERROR(INDEX(tblDestinations[Type],MATCH(tblMovement[[#This Row],[Destination]],tblDestinations[Destination],0)),"?"))</f>
        <v/>
      </c>
      <c r="M1724" s="64">
        <f>IF(tblMovement[[#This Row],[Material]]="","",IF(LEFT(tblMovement[[#This Row],[Material]],3)="Ore",1,0))</f>
        <v/>
      </c>
      <c r="N1724" s="59">
        <f>IF(OR(tblMovement[[#This Row],[Tonnes_t]]="",tblMovement[[#This Row],[Grade_gpt]]=""),0,tblMovement[[#This Row],[Tonnes_t]]*tblMovement[[#This Row],[Grade_gpt]]/cfg_TroyOz)</f>
        <v/>
      </c>
      <c r="O1724" s="59">
        <f>IF(tblMovement[[#This Row],[Is_Ore]]=1,tblMovement[[#This Row],[Contained_oz]],0)</f>
        <v/>
      </c>
    </row>
    <row r="1725">
      <c r="A1725" s="54" t="n"/>
      <c r="B1725" s="61" t="n"/>
      <c r="C1725" s="61" t="n"/>
      <c r="D1725" s="61" t="n"/>
      <c r="E1725" s="61" t="n"/>
      <c r="F1725" s="55" t="n"/>
      <c r="G1725" s="56" t="n"/>
      <c r="H1725" s="55" t="n"/>
      <c r="I1725" s="62" t="n"/>
      <c r="J1725" s="58" t="n"/>
      <c r="K1725" s="63">
        <f>IF(tblMovement[[#This Row],[Source]]="","",IFERROR(INDEX(tblSources[Type],MATCH(tblMovement[[#This Row],[Source]],tblSources[Source],0)),"?"))</f>
        <v/>
      </c>
      <c r="L1725" s="63">
        <f>IF(tblMovement[[#This Row],[Destination]]="","",IFERROR(INDEX(tblDestinations[Type],MATCH(tblMovement[[#This Row],[Destination]],tblDestinations[Destination],0)),"?"))</f>
        <v/>
      </c>
      <c r="M1725" s="64">
        <f>IF(tblMovement[[#This Row],[Material]]="","",IF(LEFT(tblMovement[[#This Row],[Material]],3)="Ore",1,0))</f>
        <v/>
      </c>
      <c r="N1725" s="59">
        <f>IF(OR(tblMovement[[#This Row],[Tonnes_t]]="",tblMovement[[#This Row],[Grade_gpt]]=""),0,tblMovement[[#This Row],[Tonnes_t]]*tblMovement[[#This Row],[Grade_gpt]]/cfg_TroyOz)</f>
        <v/>
      </c>
      <c r="O1725" s="59">
        <f>IF(tblMovement[[#This Row],[Is_Ore]]=1,tblMovement[[#This Row],[Contained_oz]],0)</f>
        <v/>
      </c>
    </row>
    <row r="1726">
      <c r="A1726" s="54" t="n"/>
      <c r="B1726" s="61" t="n"/>
      <c r="C1726" s="61" t="n"/>
      <c r="D1726" s="61" t="n"/>
      <c r="E1726" s="61" t="n"/>
      <c r="F1726" s="55" t="n"/>
      <c r="G1726" s="56" t="n"/>
      <c r="H1726" s="55" t="n"/>
      <c r="I1726" s="62" t="n"/>
      <c r="J1726" s="58" t="n"/>
      <c r="K1726" s="63">
        <f>IF(tblMovement[[#This Row],[Source]]="","",IFERROR(INDEX(tblSources[Type],MATCH(tblMovement[[#This Row],[Source]],tblSources[Source],0)),"?"))</f>
        <v/>
      </c>
      <c r="L1726" s="63">
        <f>IF(tblMovement[[#This Row],[Destination]]="","",IFERROR(INDEX(tblDestinations[Type],MATCH(tblMovement[[#This Row],[Destination]],tblDestinations[Destination],0)),"?"))</f>
        <v/>
      </c>
      <c r="M1726" s="64">
        <f>IF(tblMovement[[#This Row],[Material]]="","",IF(LEFT(tblMovement[[#This Row],[Material]],3)="Ore",1,0))</f>
        <v/>
      </c>
      <c r="N1726" s="59">
        <f>IF(OR(tblMovement[[#This Row],[Tonnes_t]]="",tblMovement[[#This Row],[Grade_gpt]]=""),0,tblMovement[[#This Row],[Tonnes_t]]*tblMovement[[#This Row],[Grade_gpt]]/cfg_TroyOz)</f>
        <v/>
      </c>
      <c r="O1726" s="59">
        <f>IF(tblMovement[[#This Row],[Is_Ore]]=1,tblMovement[[#This Row],[Contained_oz]],0)</f>
        <v/>
      </c>
    </row>
    <row r="1727">
      <c r="A1727" s="54" t="n"/>
      <c r="B1727" s="61" t="n"/>
      <c r="C1727" s="61" t="n"/>
      <c r="D1727" s="61" t="n"/>
      <c r="E1727" s="61" t="n"/>
      <c r="F1727" s="55" t="n"/>
      <c r="G1727" s="56" t="n"/>
      <c r="H1727" s="55" t="n"/>
      <c r="I1727" s="62" t="n"/>
      <c r="J1727" s="58" t="n"/>
      <c r="K1727" s="63">
        <f>IF(tblMovement[[#This Row],[Source]]="","",IFERROR(INDEX(tblSources[Type],MATCH(tblMovement[[#This Row],[Source]],tblSources[Source],0)),"?"))</f>
        <v/>
      </c>
      <c r="L1727" s="63">
        <f>IF(tblMovement[[#This Row],[Destination]]="","",IFERROR(INDEX(tblDestinations[Type],MATCH(tblMovement[[#This Row],[Destination]],tblDestinations[Destination],0)),"?"))</f>
        <v/>
      </c>
      <c r="M1727" s="64">
        <f>IF(tblMovement[[#This Row],[Material]]="","",IF(LEFT(tblMovement[[#This Row],[Material]],3)="Ore",1,0))</f>
        <v/>
      </c>
      <c r="N1727" s="59">
        <f>IF(OR(tblMovement[[#This Row],[Tonnes_t]]="",tblMovement[[#This Row],[Grade_gpt]]=""),0,tblMovement[[#This Row],[Tonnes_t]]*tblMovement[[#This Row],[Grade_gpt]]/cfg_TroyOz)</f>
        <v/>
      </c>
      <c r="O1727" s="59">
        <f>IF(tblMovement[[#This Row],[Is_Ore]]=1,tblMovement[[#This Row],[Contained_oz]],0)</f>
        <v/>
      </c>
    </row>
    <row r="1728">
      <c r="A1728" s="54" t="n"/>
      <c r="B1728" s="61" t="n"/>
      <c r="C1728" s="61" t="n"/>
      <c r="D1728" s="61" t="n"/>
      <c r="E1728" s="61" t="n"/>
      <c r="F1728" s="55" t="n"/>
      <c r="G1728" s="56" t="n"/>
      <c r="H1728" s="55" t="n"/>
      <c r="I1728" s="62" t="n"/>
      <c r="J1728" s="58" t="n"/>
      <c r="K1728" s="63">
        <f>IF(tblMovement[[#This Row],[Source]]="","",IFERROR(INDEX(tblSources[Type],MATCH(tblMovement[[#This Row],[Source]],tblSources[Source],0)),"?"))</f>
        <v/>
      </c>
      <c r="L1728" s="63">
        <f>IF(tblMovement[[#This Row],[Destination]]="","",IFERROR(INDEX(tblDestinations[Type],MATCH(tblMovement[[#This Row],[Destination]],tblDestinations[Destination],0)),"?"))</f>
        <v/>
      </c>
      <c r="M1728" s="64">
        <f>IF(tblMovement[[#This Row],[Material]]="","",IF(LEFT(tblMovement[[#This Row],[Material]],3)="Ore",1,0))</f>
        <v/>
      </c>
      <c r="N1728" s="59">
        <f>IF(OR(tblMovement[[#This Row],[Tonnes_t]]="",tblMovement[[#This Row],[Grade_gpt]]=""),0,tblMovement[[#This Row],[Tonnes_t]]*tblMovement[[#This Row],[Grade_gpt]]/cfg_TroyOz)</f>
        <v/>
      </c>
      <c r="O1728" s="59">
        <f>IF(tblMovement[[#This Row],[Is_Ore]]=1,tblMovement[[#This Row],[Contained_oz]],0)</f>
        <v/>
      </c>
    </row>
    <row r="1729">
      <c r="A1729" s="54" t="n"/>
      <c r="B1729" s="61" t="n"/>
      <c r="C1729" s="61" t="n"/>
      <c r="D1729" s="61" t="n"/>
      <c r="E1729" s="61" t="n"/>
      <c r="F1729" s="55" t="n"/>
      <c r="G1729" s="56" t="n"/>
      <c r="H1729" s="55" t="n"/>
      <c r="I1729" s="62" t="n"/>
      <c r="J1729" s="58" t="n"/>
      <c r="K1729" s="63">
        <f>IF(tblMovement[[#This Row],[Source]]="","",IFERROR(INDEX(tblSources[Type],MATCH(tblMovement[[#This Row],[Source]],tblSources[Source],0)),"?"))</f>
        <v/>
      </c>
      <c r="L1729" s="63">
        <f>IF(tblMovement[[#This Row],[Destination]]="","",IFERROR(INDEX(tblDestinations[Type],MATCH(tblMovement[[#This Row],[Destination]],tblDestinations[Destination],0)),"?"))</f>
        <v/>
      </c>
      <c r="M1729" s="64">
        <f>IF(tblMovement[[#This Row],[Material]]="","",IF(LEFT(tblMovement[[#This Row],[Material]],3)="Ore",1,0))</f>
        <v/>
      </c>
      <c r="N1729" s="59">
        <f>IF(OR(tblMovement[[#This Row],[Tonnes_t]]="",tblMovement[[#This Row],[Grade_gpt]]=""),0,tblMovement[[#This Row],[Tonnes_t]]*tblMovement[[#This Row],[Grade_gpt]]/cfg_TroyOz)</f>
        <v/>
      </c>
      <c r="O1729" s="59">
        <f>IF(tblMovement[[#This Row],[Is_Ore]]=1,tblMovement[[#This Row],[Contained_oz]],0)</f>
        <v/>
      </c>
    </row>
    <row r="1730">
      <c r="A1730" s="54" t="n"/>
      <c r="B1730" s="61" t="n"/>
      <c r="C1730" s="61" t="n"/>
      <c r="D1730" s="61" t="n"/>
      <c r="E1730" s="61" t="n"/>
      <c r="F1730" s="55" t="n"/>
      <c r="G1730" s="56" t="n"/>
      <c r="H1730" s="55" t="n"/>
      <c r="I1730" s="62" t="n"/>
      <c r="J1730" s="58" t="n"/>
      <c r="K1730" s="63">
        <f>IF(tblMovement[[#This Row],[Source]]="","",IFERROR(INDEX(tblSources[Type],MATCH(tblMovement[[#This Row],[Source]],tblSources[Source],0)),"?"))</f>
        <v/>
      </c>
      <c r="L1730" s="63">
        <f>IF(tblMovement[[#This Row],[Destination]]="","",IFERROR(INDEX(tblDestinations[Type],MATCH(tblMovement[[#This Row],[Destination]],tblDestinations[Destination],0)),"?"))</f>
        <v/>
      </c>
      <c r="M1730" s="64">
        <f>IF(tblMovement[[#This Row],[Material]]="","",IF(LEFT(tblMovement[[#This Row],[Material]],3)="Ore",1,0))</f>
        <v/>
      </c>
      <c r="N1730" s="59">
        <f>IF(OR(tblMovement[[#This Row],[Tonnes_t]]="",tblMovement[[#This Row],[Grade_gpt]]=""),0,tblMovement[[#This Row],[Tonnes_t]]*tblMovement[[#This Row],[Grade_gpt]]/cfg_TroyOz)</f>
        <v/>
      </c>
      <c r="O1730" s="59">
        <f>IF(tblMovement[[#This Row],[Is_Ore]]=1,tblMovement[[#This Row],[Contained_oz]],0)</f>
        <v/>
      </c>
    </row>
    <row r="1731">
      <c r="A1731" s="54" t="n"/>
      <c r="B1731" s="61" t="n"/>
      <c r="C1731" s="61" t="n"/>
      <c r="D1731" s="61" t="n"/>
      <c r="E1731" s="61" t="n"/>
      <c r="F1731" s="55" t="n"/>
      <c r="G1731" s="56" t="n"/>
      <c r="H1731" s="55" t="n"/>
      <c r="I1731" s="62" t="n"/>
      <c r="J1731" s="58" t="n"/>
      <c r="K1731" s="63">
        <f>IF(tblMovement[[#This Row],[Source]]="","",IFERROR(INDEX(tblSources[Type],MATCH(tblMovement[[#This Row],[Source]],tblSources[Source],0)),"?"))</f>
        <v/>
      </c>
      <c r="L1731" s="63">
        <f>IF(tblMovement[[#This Row],[Destination]]="","",IFERROR(INDEX(tblDestinations[Type],MATCH(tblMovement[[#This Row],[Destination]],tblDestinations[Destination],0)),"?"))</f>
        <v/>
      </c>
      <c r="M1731" s="64">
        <f>IF(tblMovement[[#This Row],[Material]]="","",IF(LEFT(tblMovement[[#This Row],[Material]],3)="Ore",1,0))</f>
        <v/>
      </c>
      <c r="N1731" s="59">
        <f>IF(OR(tblMovement[[#This Row],[Tonnes_t]]="",tblMovement[[#This Row],[Grade_gpt]]=""),0,tblMovement[[#This Row],[Tonnes_t]]*tblMovement[[#This Row],[Grade_gpt]]/cfg_TroyOz)</f>
        <v/>
      </c>
      <c r="O1731" s="59">
        <f>IF(tblMovement[[#This Row],[Is_Ore]]=1,tblMovement[[#This Row],[Contained_oz]],0)</f>
        <v/>
      </c>
    </row>
    <row r="1732">
      <c r="A1732" s="54" t="n"/>
      <c r="B1732" s="61" t="n"/>
      <c r="C1732" s="61" t="n"/>
      <c r="D1732" s="61" t="n"/>
      <c r="E1732" s="61" t="n"/>
      <c r="F1732" s="55" t="n"/>
      <c r="G1732" s="56" t="n"/>
      <c r="H1732" s="55" t="n"/>
      <c r="I1732" s="62" t="n"/>
      <c r="J1732" s="58" t="n"/>
      <c r="K1732" s="63">
        <f>IF(tblMovement[[#This Row],[Source]]="","",IFERROR(INDEX(tblSources[Type],MATCH(tblMovement[[#This Row],[Source]],tblSources[Source],0)),"?"))</f>
        <v/>
      </c>
      <c r="L1732" s="63">
        <f>IF(tblMovement[[#This Row],[Destination]]="","",IFERROR(INDEX(tblDestinations[Type],MATCH(tblMovement[[#This Row],[Destination]],tblDestinations[Destination],0)),"?"))</f>
        <v/>
      </c>
      <c r="M1732" s="64">
        <f>IF(tblMovement[[#This Row],[Material]]="","",IF(LEFT(tblMovement[[#This Row],[Material]],3)="Ore",1,0))</f>
        <v/>
      </c>
      <c r="N1732" s="59">
        <f>IF(OR(tblMovement[[#This Row],[Tonnes_t]]="",tblMovement[[#This Row],[Grade_gpt]]=""),0,tblMovement[[#This Row],[Tonnes_t]]*tblMovement[[#This Row],[Grade_gpt]]/cfg_TroyOz)</f>
        <v/>
      </c>
      <c r="O1732" s="59">
        <f>IF(tblMovement[[#This Row],[Is_Ore]]=1,tblMovement[[#This Row],[Contained_oz]],0)</f>
        <v/>
      </c>
    </row>
    <row r="1733">
      <c r="A1733" s="54" t="n"/>
      <c r="B1733" s="61" t="n"/>
      <c r="C1733" s="61" t="n"/>
      <c r="D1733" s="61" t="n"/>
      <c r="E1733" s="61" t="n"/>
      <c r="F1733" s="55" t="n"/>
      <c r="G1733" s="56" t="n"/>
      <c r="H1733" s="55" t="n"/>
      <c r="I1733" s="62" t="n"/>
      <c r="J1733" s="58" t="n"/>
      <c r="K1733" s="63">
        <f>IF(tblMovement[[#This Row],[Source]]="","",IFERROR(INDEX(tblSources[Type],MATCH(tblMovement[[#This Row],[Source]],tblSources[Source],0)),"?"))</f>
        <v/>
      </c>
      <c r="L1733" s="63">
        <f>IF(tblMovement[[#This Row],[Destination]]="","",IFERROR(INDEX(tblDestinations[Type],MATCH(tblMovement[[#This Row],[Destination]],tblDestinations[Destination],0)),"?"))</f>
        <v/>
      </c>
      <c r="M1733" s="64">
        <f>IF(tblMovement[[#This Row],[Material]]="","",IF(LEFT(tblMovement[[#This Row],[Material]],3)="Ore",1,0))</f>
        <v/>
      </c>
      <c r="N1733" s="59">
        <f>IF(OR(tblMovement[[#This Row],[Tonnes_t]]="",tblMovement[[#This Row],[Grade_gpt]]=""),0,tblMovement[[#This Row],[Tonnes_t]]*tblMovement[[#This Row],[Grade_gpt]]/cfg_TroyOz)</f>
        <v/>
      </c>
      <c r="O1733" s="59">
        <f>IF(tblMovement[[#This Row],[Is_Ore]]=1,tblMovement[[#This Row],[Contained_oz]],0)</f>
        <v/>
      </c>
    </row>
    <row r="1734">
      <c r="A1734" s="54" t="n"/>
      <c r="B1734" s="61" t="n"/>
      <c r="C1734" s="61" t="n"/>
      <c r="D1734" s="61" t="n"/>
      <c r="E1734" s="61" t="n"/>
      <c r="F1734" s="55" t="n"/>
      <c r="G1734" s="56" t="n"/>
      <c r="H1734" s="55" t="n"/>
      <c r="I1734" s="62" t="n"/>
      <c r="J1734" s="58" t="n"/>
      <c r="K1734" s="63">
        <f>IF(tblMovement[[#This Row],[Source]]="","",IFERROR(INDEX(tblSources[Type],MATCH(tblMovement[[#This Row],[Source]],tblSources[Source],0)),"?"))</f>
        <v/>
      </c>
      <c r="L1734" s="63">
        <f>IF(tblMovement[[#This Row],[Destination]]="","",IFERROR(INDEX(tblDestinations[Type],MATCH(tblMovement[[#This Row],[Destination]],tblDestinations[Destination],0)),"?"))</f>
        <v/>
      </c>
      <c r="M1734" s="64">
        <f>IF(tblMovement[[#This Row],[Material]]="","",IF(LEFT(tblMovement[[#This Row],[Material]],3)="Ore",1,0))</f>
        <v/>
      </c>
      <c r="N1734" s="59">
        <f>IF(OR(tblMovement[[#This Row],[Tonnes_t]]="",tblMovement[[#This Row],[Grade_gpt]]=""),0,tblMovement[[#This Row],[Tonnes_t]]*tblMovement[[#This Row],[Grade_gpt]]/cfg_TroyOz)</f>
        <v/>
      </c>
      <c r="O1734" s="59">
        <f>IF(tblMovement[[#This Row],[Is_Ore]]=1,tblMovement[[#This Row],[Contained_oz]],0)</f>
        <v/>
      </c>
    </row>
    <row r="1735">
      <c r="A1735" s="54" t="n"/>
      <c r="B1735" s="61" t="n"/>
      <c r="C1735" s="61" t="n"/>
      <c r="D1735" s="61" t="n"/>
      <c r="E1735" s="61" t="n"/>
      <c r="F1735" s="55" t="n"/>
      <c r="G1735" s="56" t="n"/>
      <c r="H1735" s="55" t="n"/>
      <c r="I1735" s="62" t="n"/>
      <c r="J1735" s="58" t="n"/>
      <c r="K1735" s="63">
        <f>IF(tblMovement[[#This Row],[Source]]="","",IFERROR(INDEX(tblSources[Type],MATCH(tblMovement[[#This Row],[Source]],tblSources[Source],0)),"?"))</f>
        <v/>
      </c>
      <c r="L1735" s="63">
        <f>IF(tblMovement[[#This Row],[Destination]]="","",IFERROR(INDEX(tblDestinations[Type],MATCH(tblMovement[[#This Row],[Destination]],tblDestinations[Destination],0)),"?"))</f>
        <v/>
      </c>
      <c r="M1735" s="64">
        <f>IF(tblMovement[[#This Row],[Material]]="","",IF(LEFT(tblMovement[[#This Row],[Material]],3)="Ore",1,0))</f>
        <v/>
      </c>
      <c r="N1735" s="59">
        <f>IF(OR(tblMovement[[#This Row],[Tonnes_t]]="",tblMovement[[#This Row],[Grade_gpt]]=""),0,tblMovement[[#This Row],[Tonnes_t]]*tblMovement[[#This Row],[Grade_gpt]]/cfg_TroyOz)</f>
        <v/>
      </c>
      <c r="O1735" s="59">
        <f>IF(tblMovement[[#This Row],[Is_Ore]]=1,tblMovement[[#This Row],[Contained_oz]],0)</f>
        <v/>
      </c>
    </row>
    <row r="1736">
      <c r="A1736" s="54" t="n"/>
      <c r="B1736" s="61" t="n"/>
      <c r="C1736" s="61" t="n"/>
      <c r="D1736" s="61" t="n"/>
      <c r="E1736" s="61" t="n"/>
      <c r="F1736" s="55" t="n"/>
      <c r="G1736" s="56" t="n"/>
      <c r="H1736" s="55" t="n"/>
      <c r="I1736" s="62" t="n"/>
      <c r="J1736" s="58" t="n"/>
      <c r="K1736" s="63">
        <f>IF(tblMovement[[#This Row],[Source]]="","",IFERROR(INDEX(tblSources[Type],MATCH(tblMovement[[#This Row],[Source]],tblSources[Source],0)),"?"))</f>
        <v/>
      </c>
      <c r="L1736" s="63">
        <f>IF(tblMovement[[#This Row],[Destination]]="","",IFERROR(INDEX(tblDestinations[Type],MATCH(tblMovement[[#This Row],[Destination]],tblDestinations[Destination],0)),"?"))</f>
        <v/>
      </c>
      <c r="M1736" s="64">
        <f>IF(tblMovement[[#This Row],[Material]]="","",IF(LEFT(tblMovement[[#This Row],[Material]],3)="Ore",1,0))</f>
        <v/>
      </c>
      <c r="N1736" s="59">
        <f>IF(OR(tblMovement[[#This Row],[Tonnes_t]]="",tblMovement[[#This Row],[Grade_gpt]]=""),0,tblMovement[[#This Row],[Tonnes_t]]*tblMovement[[#This Row],[Grade_gpt]]/cfg_TroyOz)</f>
        <v/>
      </c>
      <c r="O1736" s="59">
        <f>IF(tblMovement[[#This Row],[Is_Ore]]=1,tblMovement[[#This Row],[Contained_oz]],0)</f>
        <v/>
      </c>
    </row>
    <row r="1737">
      <c r="A1737" s="54" t="n"/>
      <c r="B1737" s="61" t="n"/>
      <c r="C1737" s="61" t="n"/>
      <c r="D1737" s="61" t="n"/>
      <c r="E1737" s="61" t="n"/>
      <c r="F1737" s="55" t="n"/>
      <c r="G1737" s="56" t="n"/>
      <c r="H1737" s="55" t="n"/>
      <c r="I1737" s="62" t="n"/>
      <c r="J1737" s="58" t="n"/>
      <c r="K1737" s="63">
        <f>IF(tblMovement[[#This Row],[Source]]="","",IFERROR(INDEX(tblSources[Type],MATCH(tblMovement[[#This Row],[Source]],tblSources[Source],0)),"?"))</f>
        <v/>
      </c>
      <c r="L1737" s="63">
        <f>IF(tblMovement[[#This Row],[Destination]]="","",IFERROR(INDEX(tblDestinations[Type],MATCH(tblMovement[[#This Row],[Destination]],tblDestinations[Destination],0)),"?"))</f>
        <v/>
      </c>
      <c r="M1737" s="64">
        <f>IF(tblMovement[[#This Row],[Material]]="","",IF(LEFT(tblMovement[[#This Row],[Material]],3)="Ore",1,0))</f>
        <v/>
      </c>
      <c r="N1737" s="59">
        <f>IF(OR(tblMovement[[#This Row],[Tonnes_t]]="",tblMovement[[#This Row],[Grade_gpt]]=""),0,tblMovement[[#This Row],[Tonnes_t]]*tblMovement[[#This Row],[Grade_gpt]]/cfg_TroyOz)</f>
        <v/>
      </c>
      <c r="O1737" s="59">
        <f>IF(tblMovement[[#This Row],[Is_Ore]]=1,tblMovement[[#This Row],[Contained_oz]],0)</f>
        <v/>
      </c>
    </row>
    <row r="1738">
      <c r="A1738" s="54" t="n"/>
      <c r="B1738" s="61" t="n"/>
      <c r="C1738" s="61" t="n"/>
      <c r="D1738" s="61" t="n"/>
      <c r="E1738" s="61" t="n"/>
      <c r="F1738" s="55" t="n"/>
      <c r="G1738" s="56" t="n"/>
      <c r="H1738" s="55" t="n"/>
      <c r="I1738" s="62" t="n"/>
      <c r="J1738" s="58" t="n"/>
      <c r="K1738" s="63">
        <f>IF(tblMovement[[#This Row],[Source]]="","",IFERROR(INDEX(tblSources[Type],MATCH(tblMovement[[#This Row],[Source]],tblSources[Source],0)),"?"))</f>
        <v/>
      </c>
      <c r="L1738" s="63">
        <f>IF(tblMovement[[#This Row],[Destination]]="","",IFERROR(INDEX(tblDestinations[Type],MATCH(tblMovement[[#This Row],[Destination]],tblDestinations[Destination],0)),"?"))</f>
        <v/>
      </c>
      <c r="M1738" s="64">
        <f>IF(tblMovement[[#This Row],[Material]]="","",IF(LEFT(tblMovement[[#This Row],[Material]],3)="Ore",1,0))</f>
        <v/>
      </c>
      <c r="N1738" s="59">
        <f>IF(OR(tblMovement[[#This Row],[Tonnes_t]]="",tblMovement[[#This Row],[Grade_gpt]]=""),0,tblMovement[[#This Row],[Tonnes_t]]*tblMovement[[#This Row],[Grade_gpt]]/cfg_TroyOz)</f>
        <v/>
      </c>
      <c r="O1738" s="59">
        <f>IF(tblMovement[[#This Row],[Is_Ore]]=1,tblMovement[[#This Row],[Contained_oz]],0)</f>
        <v/>
      </c>
    </row>
    <row r="1739">
      <c r="A1739" s="54" t="n"/>
      <c r="B1739" s="61" t="n"/>
      <c r="C1739" s="61" t="n"/>
      <c r="D1739" s="61" t="n"/>
      <c r="E1739" s="61" t="n"/>
      <c r="F1739" s="55" t="n"/>
      <c r="G1739" s="56" t="n"/>
      <c r="H1739" s="55" t="n"/>
      <c r="I1739" s="62" t="n"/>
      <c r="J1739" s="58" t="n"/>
      <c r="K1739" s="63">
        <f>IF(tblMovement[[#This Row],[Source]]="","",IFERROR(INDEX(tblSources[Type],MATCH(tblMovement[[#This Row],[Source]],tblSources[Source],0)),"?"))</f>
        <v/>
      </c>
      <c r="L1739" s="63">
        <f>IF(tblMovement[[#This Row],[Destination]]="","",IFERROR(INDEX(tblDestinations[Type],MATCH(tblMovement[[#This Row],[Destination]],tblDestinations[Destination],0)),"?"))</f>
        <v/>
      </c>
      <c r="M1739" s="64">
        <f>IF(tblMovement[[#This Row],[Material]]="","",IF(LEFT(tblMovement[[#This Row],[Material]],3)="Ore",1,0))</f>
        <v/>
      </c>
      <c r="N1739" s="59">
        <f>IF(OR(tblMovement[[#This Row],[Tonnes_t]]="",tblMovement[[#This Row],[Grade_gpt]]=""),0,tblMovement[[#This Row],[Tonnes_t]]*tblMovement[[#This Row],[Grade_gpt]]/cfg_TroyOz)</f>
        <v/>
      </c>
      <c r="O1739" s="59">
        <f>IF(tblMovement[[#This Row],[Is_Ore]]=1,tblMovement[[#This Row],[Contained_oz]],0)</f>
        <v/>
      </c>
    </row>
    <row r="1740">
      <c r="A1740" s="54" t="n"/>
      <c r="B1740" s="61" t="n"/>
      <c r="C1740" s="61" t="n"/>
      <c r="D1740" s="61" t="n"/>
      <c r="E1740" s="61" t="n"/>
      <c r="F1740" s="55" t="n"/>
      <c r="G1740" s="56" t="n"/>
      <c r="H1740" s="55" t="n"/>
      <c r="I1740" s="62" t="n"/>
      <c r="J1740" s="58" t="n"/>
      <c r="K1740" s="63">
        <f>IF(tblMovement[[#This Row],[Source]]="","",IFERROR(INDEX(tblSources[Type],MATCH(tblMovement[[#This Row],[Source]],tblSources[Source],0)),"?"))</f>
        <v/>
      </c>
      <c r="L1740" s="63">
        <f>IF(tblMovement[[#This Row],[Destination]]="","",IFERROR(INDEX(tblDestinations[Type],MATCH(tblMovement[[#This Row],[Destination]],tblDestinations[Destination],0)),"?"))</f>
        <v/>
      </c>
      <c r="M1740" s="64">
        <f>IF(tblMovement[[#This Row],[Material]]="","",IF(LEFT(tblMovement[[#This Row],[Material]],3)="Ore",1,0))</f>
        <v/>
      </c>
      <c r="N1740" s="59">
        <f>IF(OR(tblMovement[[#This Row],[Tonnes_t]]="",tblMovement[[#This Row],[Grade_gpt]]=""),0,tblMovement[[#This Row],[Tonnes_t]]*tblMovement[[#This Row],[Grade_gpt]]/cfg_TroyOz)</f>
        <v/>
      </c>
      <c r="O1740" s="59">
        <f>IF(tblMovement[[#This Row],[Is_Ore]]=1,tblMovement[[#This Row],[Contained_oz]],0)</f>
        <v/>
      </c>
    </row>
    <row r="1741">
      <c r="A1741" s="54" t="n"/>
      <c r="B1741" s="61" t="n"/>
      <c r="C1741" s="61" t="n"/>
      <c r="D1741" s="61" t="n"/>
      <c r="E1741" s="61" t="n"/>
      <c r="F1741" s="55" t="n"/>
      <c r="G1741" s="56" t="n"/>
      <c r="H1741" s="55" t="n"/>
      <c r="I1741" s="62" t="n"/>
      <c r="J1741" s="58" t="n"/>
      <c r="K1741" s="63">
        <f>IF(tblMovement[[#This Row],[Source]]="","",IFERROR(INDEX(tblSources[Type],MATCH(tblMovement[[#This Row],[Source]],tblSources[Source],0)),"?"))</f>
        <v/>
      </c>
      <c r="L1741" s="63">
        <f>IF(tblMovement[[#This Row],[Destination]]="","",IFERROR(INDEX(tblDestinations[Type],MATCH(tblMovement[[#This Row],[Destination]],tblDestinations[Destination],0)),"?"))</f>
        <v/>
      </c>
      <c r="M1741" s="64">
        <f>IF(tblMovement[[#This Row],[Material]]="","",IF(LEFT(tblMovement[[#This Row],[Material]],3)="Ore",1,0))</f>
        <v/>
      </c>
      <c r="N1741" s="59">
        <f>IF(OR(tblMovement[[#This Row],[Tonnes_t]]="",tblMovement[[#This Row],[Grade_gpt]]=""),0,tblMovement[[#This Row],[Tonnes_t]]*tblMovement[[#This Row],[Grade_gpt]]/cfg_TroyOz)</f>
        <v/>
      </c>
      <c r="O1741" s="59">
        <f>IF(tblMovement[[#This Row],[Is_Ore]]=1,tblMovement[[#This Row],[Contained_oz]],0)</f>
        <v/>
      </c>
    </row>
    <row r="1742">
      <c r="A1742" s="54" t="n"/>
      <c r="B1742" s="61" t="n"/>
      <c r="C1742" s="61" t="n"/>
      <c r="D1742" s="61" t="n"/>
      <c r="E1742" s="61" t="n"/>
      <c r="F1742" s="55" t="n"/>
      <c r="G1742" s="56" t="n"/>
      <c r="H1742" s="55" t="n"/>
      <c r="I1742" s="62" t="n"/>
      <c r="J1742" s="58" t="n"/>
      <c r="K1742" s="63">
        <f>IF(tblMovement[[#This Row],[Source]]="","",IFERROR(INDEX(tblSources[Type],MATCH(tblMovement[[#This Row],[Source]],tblSources[Source],0)),"?"))</f>
        <v/>
      </c>
      <c r="L1742" s="63">
        <f>IF(tblMovement[[#This Row],[Destination]]="","",IFERROR(INDEX(tblDestinations[Type],MATCH(tblMovement[[#This Row],[Destination]],tblDestinations[Destination],0)),"?"))</f>
        <v/>
      </c>
      <c r="M1742" s="64">
        <f>IF(tblMovement[[#This Row],[Material]]="","",IF(LEFT(tblMovement[[#This Row],[Material]],3)="Ore",1,0))</f>
        <v/>
      </c>
      <c r="N1742" s="59">
        <f>IF(OR(tblMovement[[#This Row],[Tonnes_t]]="",tblMovement[[#This Row],[Grade_gpt]]=""),0,tblMovement[[#This Row],[Tonnes_t]]*tblMovement[[#This Row],[Grade_gpt]]/cfg_TroyOz)</f>
        <v/>
      </c>
      <c r="O1742" s="59">
        <f>IF(tblMovement[[#This Row],[Is_Ore]]=1,tblMovement[[#This Row],[Contained_oz]],0)</f>
        <v/>
      </c>
    </row>
    <row r="1743">
      <c r="A1743" s="54" t="n"/>
      <c r="B1743" s="61" t="n"/>
      <c r="C1743" s="61" t="n"/>
      <c r="D1743" s="61" t="n"/>
      <c r="E1743" s="61" t="n"/>
      <c r="F1743" s="55" t="n"/>
      <c r="G1743" s="56" t="n"/>
      <c r="H1743" s="55" t="n"/>
      <c r="I1743" s="62" t="n"/>
      <c r="J1743" s="58" t="n"/>
      <c r="K1743" s="63">
        <f>IF(tblMovement[[#This Row],[Source]]="","",IFERROR(INDEX(tblSources[Type],MATCH(tblMovement[[#This Row],[Source]],tblSources[Source],0)),"?"))</f>
        <v/>
      </c>
      <c r="L1743" s="63">
        <f>IF(tblMovement[[#This Row],[Destination]]="","",IFERROR(INDEX(tblDestinations[Type],MATCH(tblMovement[[#This Row],[Destination]],tblDestinations[Destination],0)),"?"))</f>
        <v/>
      </c>
      <c r="M1743" s="64">
        <f>IF(tblMovement[[#This Row],[Material]]="","",IF(LEFT(tblMovement[[#This Row],[Material]],3)="Ore",1,0))</f>
        <v/>
      </c>
      <c r="N1743" s="59">
        <f>IF(OR(tblMovement[[#This Row],[Tonnes_t]]="",tblMovement[[#This Row],[Grade_gpt]]=""),0,tblMovement[[#This Row],[Tonnes_t]]*tblMovement[[#This Row],[Grade_gpt]]/cfg_TroyOz)</f>
        <v/>
      </c>
      <c r="O1743" s="59">
        <f>IF(tblMovement[[#This Row],[Is_Ore]]=1,tblMovement[[#This Row],[Contained_oz]],0)</f>
        <v/>
      </c>
    </row>
    <row r="1744">
      <c r="A1744" s="54" t="n"/>
      <c r="B1744" s="61" t="n"/>
      <c r="C1744" s="61" t="n"/>
      <c r="D1744" s="61" t="n"/>
      <c r="E1744" s="61" t="n"/>
      <c r="F1744" s="55" t="n"/>
      <c r="G1744" s="56" t="n"/>
      <c r="H1744" s="55" t="n"/>
      <c r="I1744" s="62" t="n"/>
      <c r="J1744" s="58" t="n"/>
      <c r="K1744" s="63">
        <f>IF(tblMovement[[#This Row],[Source]]="","",IFERROR(INDEX(tblSources[Type],MATCH(tblMovement[[#This Row],[Source]],tblSources[Source],0)),"?"))</f>
        <v/>
      </c>
      <c r="L1744" s="63">
        <f>IF(tblMovement[[#This Row],[Destination]]="","",IFERROR(INDEX(tblDestinations[Type],MATCH(tblMovement[[#This Row],[Destination]],tblDestinations[Destination],0)),"?"))</f>
        <v/>
      </c>
      <c r="M1744" s="64">
        <f>IF(tblMovement[[#This Row],[Material]]="","",IF(LEFT(tblMovement[[#This Row],[Material]],3)="Ore",1,0))</f>
        <v/>
      </c>
      <c r="N1744" s="59">
        <f>IF(OR(tblMovement[[#This Row],[Tonnes_t]]="",tblMovement[[#This Row],[Grade_gpt]]=""),0,tblMovement[[#This Row],[Tonnes_t]]*tblMovement[[#This Row],[Grade_gpt]]/cfg_TroyOz)</f>
        <v/>
      </c>
      <c r="O1744" s="59">
        <f>IF(tblMovement[[#This Row],[Is_Ore]]=1,tblMovement[[#This Row],[Contained_oz]],0)</f>
        <v/>
      </c>
    </row>
    <row r="1745">
      <c r="A1745" s="54" t="n"/>
      <c r="B1745" s="61" t="n"/>
      <c r="C1745" s="61" t="n"/>
      <c r="D1745" s="61" t="n"/>
      <c r="E1745" s="61" t="n"/>
      <c r="F1745" s="55" t="n"/>
      <c r="G1745" s="56" t="n"/>
      <c r="H1745" s="55" t="n"/>
      <c r="I1745" s="62" t="n"/>
      <c r="J1745" s="58" t="n"/>
      <c r="K1745" s="63">
        <f>IF(tblMovement[[#This Row],[Source]]="","",IFERROR(INDEX(tblSources[Type],MATCH(tblMovement[[#This Row],[Source]],tblSources[Source],0)),"?"))</f>
        <v/>
      </c>
      <c r="L1745" s="63">
        <f>IF(tblMovement[[#This Row],[Destination]]="","",IFERROR(INDEX(tblDestinations[Type],MATCH(tblMovement[[#This Row],[Destination]],tblDestinations[Destination],0)),"?"))</f>
        <v/>
      </c>
      <c r="M1745" s="64">
        <f>IF(tblMovement[[#This Row],[Material]]="","",IF(LEFT(tblMovement[[#This Row],[Material]],3)="Ore",1,0))</f>
        <v/>
      </c>
      <c r="N1745" s="59">
        <f>IF(OR(tblMovement[[#This Row],[Tonnes_t]]="",tblMovement[[#This Row],[Grade_gpt]]=""),0,tblMovement[[#This Row],[Tonnes_t]]*tblMovement[[#This Row],[Grade_gpt]]/cfg_TroyOz)</f>
        <v/>
      </c>
      <c r="O1745" s="59">
        <f>IF(tblMovement[[#This Row],[Is_Ore]]=1,tblMovement[[#This Row],[Contained_oz]],0)</f>
        <v/>
      </c>
    </row>
    <row r="1746">
      <c r="A1746" s="54" t="n"/>
      <c r="B1746" s="61" t="n"/>
      <c r="C1746" s="61" t="n"/>
      <c r="D1746" s="61" t="n"/>
      <c r="E1746" s="61" t="n"/>
      <c r="F1746" s="55" t="n"/>
      <c r="G1746" s="56" t="n"/>
      <c r="H1746" s="55" t="n"/>
      <c r="I1746" s="62" t="n"/>
      <c r="J1746" s="58" t="n"/>
      <c r="K1746" s="63">
        <f>IF(tblMovement[[#This Row],[Source]]="","",IFERROR(INDEX(tblSources[Type],MATCH(tblMovement[[#This Row],[Source]],tblSources[Source],0)),"?"))</f>
        <v/>
      </c>
      <c r="L1746" s="63">
        <f>IF(tblMovement[[#This Row],[Destination]]="","",IFERROR(INDEX(tblDestinations[Type],MATCH(tblMovement[[#This Row],[Destination]],tblDestinations[Destination],0)),"?"))</f>
        <v/>
      </c>
      <c r="M1746" s="64">
        <f>IF(tblMovement[[#This Row],[Material]]="","",IF(LEFT(tblMovement[[#This Row],[Material]],3)="Ore",1,0))</f>
        <v/>
      </c>
      <c r="N1746" s="59">
        <f>IF(OR(tblMovement[[#This Row],[Tonnes_t]]="",tblMovement[[#This Row],[Grade_gpt]]=""),0,tblMovement[[#This Row],[Tonnes_t]]*tblMovement[[#This Row],[Grade_gpt]]/cfg_TroyOz)</f>
        <v/>
      </c>
      <c r="O1746" s="59">
        <f>IF(tblMovement[[#This Row],[Is_Ore]]=1,tblMovement[[#This Row],[Contained_oz]],0)</f>
        <v/>
      </c>
    </row>
    <row r="1747">
      <c r="A1747" s="54" t="n"/>
      <c r="B1747" s="61" t="n"/>
      <c r="C1747" s="61" t="n"/>
      <c r="D1747" s="61" t="n"/>
      <c r="E1747" s="61" t="n"/>
      <c r="F1747" s="55" t="n"/>
      <c r="G1747" s="56" t="n"/>
      <c r="H1747" s="55" t="n"/>
      <c r="I1747" s="62" t="n"/>
      <c r="J1747" s="58" t="n"/>
      <c r="K1747" s="63">
        <f>IF(tblMovement[[#This Row],[Source]]="","",IFERROR(INDEX(tblSources[Type],MATCH(tblMovement[[#This Row],[Source]],tblSources[Source],0)),"?"))</f>
        <v/>
      </c>
      <c r="L1747" s="63">
        <f>IF(tblMovement[[#This Row],[Destination]]="","",IFERROR(INDEX(tblDestinations[Type],MATCH(tblMovement[[#This Row],[Destination]],tblDestinations[Destination],0)),"?"))</f>
        <v/>
      </c>
      <c r="M1747" s="64">
        <f>IF(tblMovement[[#This Row],[Material]]="","",IF(LEFT(tblMovement[[#This Row],[Material]],3)="Ore",1,0))</f>
        <v/>
      </c>
      <c r="N1747" s="59">
        <f>IF(OR(tblMovement[[#This Row],[Tonnes_t]]="",tblMovement[[#This Row],[Grade_gpt]]=""),0,tblMovement[[#This Row],[Tonnes_t]]*tblMovement[[#This Row],[Grade_gpt]]/cfg_TroyOz)</f>
        <v/>
      </c>
      <c r="O1747" s="59">
        <f>IF(tblMovement[[#This Row],[Is_Ore]]=1,tblMovement[[#This Row],[Contained_oz]],0)</f>
        <v/>
      </c>
    </row>
    <row r="1748">
      <c r="A1748" s="54" t="n"/>
      <c r="B1748" s="61" t="n"/>
      <c r="C1748" s="61" t="n"/>
      <c r="D1748" s="61" t="n"/>
      <c r="E1748" s="61" t="n"/>
      <c r="F1748" s="55" t="n"/>
      <c r="G1748" s="56" t="n"/>
      <c r="H1748" s="55" t="n"/>
      <c r="I1748" s="62" t="n"/>
      <c r="J1748" s="58" t="n"/>
      <c r="K1748" s="63">
        <f>IF(tblMovement[[#This Row],[Source]]="","",IFERROR(INDEX(tblSources[Type],MATCH(tblMovement[[#This Row],[Source]],tblSources[Source],0)),"?"))</f>
        <v/>
      </c>
      <c r="L1748" s="63">
        <f>IF(tblMovement[[#This Row],[Destination]]="","",IFERROR(INDEX(tblDestinations[Type],MATCH(tblMovement[[#This Row],[Destination]],tblDestinations[Destination],0)),"?"))</f>
        <v/>
      </c>
      <c r="M1748" s="64">
        <f>IF(tblMovement[[#This Row],[Material]]="","",IF(LEFT(tblMovement[[#This Row],[Material]],3)="Ore",1,0))</f>
        <v/>
      </c>
      <c r="N1748" s="59">
        <f>IF(OR(tblMovement[[#This Row],[Tonnes_t]]="",tblMovement[[#This Row],[Grade_gpt]]=""),0,tblMovement[[#This Row],[Tonnes_t]]*tblMovement[[#This Row],[Grade_gpt]]/cfg_TroyOz)</f>
        <v/>
      </c>
      <c r="O1748" s="59">
        <f>IF(tblMovement[[#This Row],[Is_Ore]]=1,tblMovement[[#This Row],[Contained_oz]],0)</f>
        <v/>
      </c>
    </row>
    <row r="1749">
      <c r="A1749" s="54" t="n"/>
      <c r="B1749" s="61" t="n"/>
      <c r="C1749" s="61" t="n"/>
      <c r="D1749" s="61" t="n"/>
      <c r="E1749" s="61" t="n"/>
      <c r="F1749" s="55" t="n"/>
      <c r="G1749" s="56" t="n"/>
      <c r="H1749" s="55" t="n"/>
      <c r="I1749" s="62" t="n"/>
      <c r="J1749" s="58" t="n"/>
      <c r="K1749" s="63">
        <f>IF(tblMovement[[#This Row],[Source]]="","",IFERROR(INDEX(tblSources[Type],MATCH(tblMovement[[#This Row],[Source]],tblSources[Source],0)),"?"))</f>
        <v/>
      </c>
      <c r="L1749" s="63">
        <f>IF(tblMovement[[#This Row],[Destination]]="","",IFERROR(INDEX(tblDestinations[Type],MATCH(tblMovement[[#This Row],[Destination]],tblDestinations[Destination],0)),"?"))</f>
        <v/>
      </c>
      <c r="M1749" s="64">
        <f>IF(tblMovement[[#This Row],[Material]]="","",IF(LEFT(tblMovement[[#This Row],[Material]],3)="Ore",1,0))</f>
        <v/>
      </c>
      <c r="N1749" s="59">
        <f>IF(OR(tblMovement[[#This Row],[Tonnes_t]]="",tblMovement[[#This Row],[Grade_gpt]]=""),0,tblMovement[[#This Row],[Tonnes_t]]*tblMovement[[#This Row],[Grade_gpt]]/cfg_TroyOz)</f>
        <v/>
      </c>
      <c r="O1749" s="59">
        <f>IF(tblMovement[[#This Row],[Is_Ore]]=1,tblMovement[[#This Row],[Contained_oz]],0)</f>
        <v/>
      </c>
    </row>
    <row r="1750">
      <c r="A1750" s="54" t="n"/>
      <c r="B1750" s="61" t="n"/>
      <c r="C1750" s="61" t="n"/>
      <c r="D1750" s="61" t="n"/>
      <c r="E1750" s="61" t="n"/>
      <c r="F1750" s="55" t="n"/>
      <c r="G1750" s="56" t="n"/>
      <c r="H1750" s="55" t="n"/>
      <c r="I1750" s="62" t="n"/>
      <c r="J1750" s="58" t="n"/>
      <c r="K1750" s="63">
        <f>IF(tblMovement[[#This Row],[Source]]="","",IFERROR(INDEX(tblSources[Type],MATCH(tblMovement[[#This Row],[Source]],tblSources[Source],0)),"?"))</f>
        <v/>
      </c>
      <c r="L1750" s="63">
        <f>IF(tblMovement[[#This Row],[Destination]]="","",IFERROR(INDEX(tblDestinations[Type],MATCH(tblMovement[[#This Row],[Destination]],tblDestinations[Destination],0)),"?"))</f>
        <v/>
      </c>
      <c r="M1750" s="64">
        <f>IF(tblMovement[[#This Row],[Material]]="","",IF(LEFT(tblMovement[[#This Row],[Material]],3)="Ore",1,0))</f>
        <v/>
      </c>
      <c r="N1750" s="59">
        <f>IF(OR(tblMovement[[#This Row],[Tonnes_t]]="",tblMovement[[#This Row],[Grade_gpt]]=""),0,tblMovement[[#This Row],[Tonnes_t]]*tblMovement[[#This Row],[Grade_gpt]]/cfg_TroyOz)</f>
        <v/>
      </c>
      <c r="O1750" s="59">
        <f>IF(tblMovement[[#This Row],[Is_Ore]]=1,tblMovement[[#This Row],[Contained_oz]],0)</f>
        <v/>
      </c>
    </row>
    <row r="1751">
      <c r="A1751" s="54" t="n"/>
      <c r="B1751" s="61" t="n"/>
      <c r="C1751" s="61" t="n"/>
      <c r="D1751" s="61" t="n"/>
      <c r="E1751" s="61" t="n"/>
      <c r="F1751" s="55" t="n"/>
      <c r="G1751" s="56" t="n"/>
      <c r="H1751" s="55" t="n"/>
      <c r="I1751" s="62" t="n"/>
      <c r="J1751" s="58" t="n"/>
      <c r="K1751" s="63">
        <f>IF(tblMovement[[#This Row],[Source]]="","",IFERROR(INDEX(tblSources[Type],MATCH(tblMovement[[#This Row],[Source]],tblSources[Source],0)),"?"))</f>
        <v/>
      </c>
      <c r="L1751" s="63">
        <f>IF(tblMovement[[#This Row],[Destination]]="","",IFERROR(INDEX(tblDestinations[Type],MATCH(tblMovement[[#This Row],[Destination]],tblDestinations[Destination],0)),"?"))</f>
        <v/>
      </c>
      <c r="M1751" s="64">
        <f>IF(tblMovement[[#This Row],[Material]]="","",IF(LEFT(tblMovement[[#This Row],[Material]],3)="Ore",1,0))</f>
        <v/>
      </c>
      <c r="N1751" s="59">
        <f>IF(OR(tblMovement[[#This Row],[Tonnes_t]]="",tblMovement[[#This Row],[Grade_gpt]]=""),0,tblMovement[[#This Row],[Tonnes_t]]*tblMovement[[#This Row],[Grade_gpt]]/cfg_TroyOz)</f>
        <v/>
      </c>
      <c r="O1751" s="59">
        <f>IF(tblMovement[[#This Row],[Is_Ore]]=1,tblMovement[[#This Row],[Contained_oz]],0)</f>
        <v/>
      </c>
    </row>
    <row r="1752">
      <c r="A1752" s="54" t="n"/>
      <c r="B1752" s="61" t="n"/>
      <c r="C1752" s="61" t="n"/>
      <c r="D1752" s="61" t="n"/>
      <c r="E1752" s="61" t="n"/>
      <c r="F1752" s="55" t="n"/>
      <c r="G1752" s="56" t="n"/>
      <c r="H1752" s="55" t="n"/>
      <c r="I1752" s="62" t="n"/>
      <c r="J1752" s="58" t="n"/>
      <c r="K1752" s="63">
        <f>IF(tblMovement[[#This Row],[Source]]="","",IFERROR(INDEX(tblSources[Type],MATCH(tblMovement[[#This Row],[Source]],tblSources[Source],0)),"?"))</f>
        <v/>
      </c>
      <c r="L1752" s="63">
        <f>IF(tblMovement[[#This Row],[Destination]]="","",IFERROR(INDEX(tblDestinations[Type],MATCH(tblMovement[[#This Row],[Destination]],tblDestinations[Destination],0)),"?"))</f>
        <v/>
      </c>
      <c r="M1752" s="64">
        <f>IF(tblMovement[[#This Row],[Material]]="","",IF(LEFT(tblMovement[[#This Row],[Material]],3)="Ore",1,0))</f>
        <v/>
      </c>
      <c r="N1752" s="59">
        <f>IF(OR(tblMovement[[#This Row],[Tonnes_t]]="",tblMovement[[#This Row],[Grade_gpt]]=""),0,tblMovement[[#This Row],[Tonnes_t]]*tblMovement[[#This Row],[Grade_gpt]]/cfg_TroyOz)</f>
        <v/>
      </c>
      <c r="O1752" s="59">
        <f>IF(tblMovement[[#This Row],[Is_Ore]]=1,tblMovement[[#This Row],[Contained_oz]],0)</f>
        <v/>
      </c>
    </row>
    <row r="1753">
      <c r="A1753" s="54" t="n"/>
      <c r="B1753" s="61" t="n"/>
      <c r="C1753" s="61" t="n"/>
      <c r="D1753" s="61" t="n"/>
      <c r="E1753" s="61" t="n"/>
      <c r="F1753" s="55" t="n"/>
      <c r="G1753" s="56" t="n"/>
      <c r="H1753" s="55" t="n"/>
      <c r="I1753" s="62" t="n"/>
      <c r="J1753" s="58" t="n"/>
      <c r="K1753" s="63">
        <f>IF(tblMovement[[#This Row],[Source]]="","",IFERROR(INDEX(tblSources[Type],MATCH(tblMovement[[#This Row],[Source]],tblSources[Source],0)),"?"))</f>
        <v/>
      </c>
      <c r="L1753" s="63">
        <f>IF(tblMovement[[#This Row],[Destination]]="","",IFERROR(INDEX(tblDestinations[Type],MATCH(tblMovement[[#This Row],[Destination]],tblDestinations[Destination],0)),"?"))</f>
        <v/>
      </c>
      <c r="M1753" s="64">
        <f>IF(tblMovement[[#This Row],[Material]]="","",IF(LEFT(tblMovement[[#This Row],[Material]],3)="Ore",1,0))</f>
        <v/>
      </c>
      <c r="N1753" s="59">
        <f>IF(OR(tblMovement[[#This Row],[Tonnes_t]]="",tblMovement[[#This Row],[Grade_gpt]]=""),0,tblMovement[[#This Row],[Tonnes_t]]*tblMovement[[#This Row],[Grade_gpt]]/cfg_TroyOz)</f>
        <v/>
      </c>
      <c r="O1753" s="59">
        <f>IF(tblMovement[[#This Row],[Is_Ore]]=1,tblMovement[[#This Row],[Contained_oz]],0)</f>
        <v/>
      </c>
    </row>
    <row r="1754">
      <c r="A1754" s="54" t="n"/>
      <c r="B1754" s="61" t="n"/>
      <c r="C1754" s="61" t="n"/>
      <c r="D1754" s="61" t="n"/>
      <c r="E1754" s="61" t="n"/>
      <c r="F1754" s="55" t="n"/>
      <c r="G1754" s="56" t="n"/>
      <c r="H1754" s="55" t="n"/>
      <c r="I1754" s="62" t="n"/>
      <c r="J1754" s="58" t="n"/>
      <c r="K1754" s="63">
        <f>IF(tblMovement[[#This Row],[Source]]="","",IFERROR(INDEX(tblSources[Type],MATCH(tblMovement[[#This Row],[Source]],tblSources[Source],0)),"?"))</f>
        <v/>
      </c>
      <c r="L1754" s="63">
        <f>IF(tblMovement[[#This Row],[Destination]]="","",IFERROR(INDEX(tblDestinations[Type],MATCH(tblMovement[[#This Row],[Destination]],tblDestinations[Destination],0)),"?"))</f>
        <v/>
      </c>
      <c r="M1754" s="64">
        <f>IF(tblMovement[[#This Row],[Material]]="","",IF(LEFT(tblMovement[[#This Row],[Material]],3)="Ore",1,0))</f>
        <v/>
      </c>
      <c r="N1754" s="59">
        <f>IF(OR(tblMovement[[#This Row],[Tonnes_t]]="",tblMovement[[#This Row],[Grade_gpt]]=""),0,tblMovement[[#This Row],[Tonnes_t]]*tblMovement[[#This Row],[Grade_gpt]]/cfg_TroyOz)</f>
        <v/>
      </c>
      <c r="O1754" s="59">
        <f>IF(tblMovement[[#This Row],[Is_Ore]]=1,tblMovement[[#This Row],[Contained_oz]],0)</f>
        <v/>
      </c>
    </row>
    <row r="1755">
      <c r="A1755" s="54" t="n"/>
      <c r="B1755" s="61" t="n"/>
      <c r="C1755" s="61" t="n"/>
      <c r="D1755" s="61" t="n"/>
      <c r="E1755" s="61" t="n"/>
      <c r="F1755" s="55" t="n"/>
      <c r="G1755" s="56" t="n"/>
      <c r="H1755" s="55" t="n"/>
      <c r="I1755" s="62" t="n"/>
      <c r="J1755" s="58" t="n"/>
      <c r="K1755" s="63">
        <f>IF(tblMovement[[#This Row],[Source]]="","",IFERROR(INDEX(tblSources[Type],MATCH(tblMovement[[#This Row],[Source]],tblSources[Source],0)),"?"))</f>
        <v/>
      </c>
      <c r="L1755" s="63">
        <f>IF(tblMovement[[#This Row],[Destination]]="","",IFERROR(INDEX(tblDestinations[Type],MATCH(tblMovement[[#This Row],[Destination]],tblDestinations[Destination],0)),"?"))</f>
        <v/>
      </c>
      <c r="M1755" s="64">
        <f>IF(tblMovement[[#This Row],[Material]]="","",IF(LEFT(tblMovement[[#This Row],[Material]],3)="Ore",1,0))</f>
        <v/>
      </c>
      <c r="N1755" s="59">
        <f>IF(OR(tblMovement[[#This Row],[Tonnes_t]]="",tblMovement[[#This Row],[Grade_gpt]]=""),0,tblMovement[[#This Row],[Tonnes_t]]*tblMovement[[#This Row],[Grade_gpt]]/cfg_TroyOz)</f>
        <v/>
      </c>
      <c r="O1755" s="59">
        <f>IF(tblMovement[[#This Row],[Is_Ore]]=1,tblMovement[[#This Row],[Contained_oz]],0)</f>
        <v/>
      </c>
    </row>
    <row r="1756">
      <c r="A1756" s="54" t="n"/>
      <c r="B1756" s="61" t="n"/>
      <c r="C1756" s="61" t="n"/>
      <c r="D1756" s="61" t="n"/>
      <c r="E1756" s="61" t="n"/>
      <c r="F1756" s="55" t="n"/>
      <c r="G1756" s="56" t="n"/>
      <c r="H1756" s="55" t="n"/>
      <c r="I1756" s="62" t="n"/>
      <c r="J1756" s="58" t="n"/>
      <c r="K1756" s="63">
        <f>IF(tblMovement[[#This Row],[Source]]="","",IFERROR(INDEX(tblSources[Type],MATCH(tblMovement[[#This Row],[Source]],tblSources[Source],0)),"?"))</f>
        <v/>
      </c>
      <c r="L1756" s="63">
        <f>IF(tblMovement[[#This Row],[Destination]]="","",IFERROR(INDEX(tblDestinations[Type],MATCH(tblMovement[[#This Row],[Destination]],tblDestinations[Destination],0)),"?"))</f>
        <v/>
      </c>
      <c r="M1756" s="64">
        <f>IF(tblMovement[[#This Row],[Material]]="","",IF(LEFT(tblMovement[[#This Row],[Material]],3)="Ore",1,0))</f>
        <v/>
      </c>
      <c r="N1756" s="59">
        <f>IF(OR(tblMovement[[#This Row],[Tonnes_t]]="",tblMovement[[#This Row],[Grade_gpt]]=""),0,tblMovement[[#This Row],[Tonnes_t]]*tblMovement[[#This Row],[Grade_gpt]]/cfg_TroyOz)</f>
        <v/>
      </c>
      <c r="O1756" s="59">
        <f>IF(tblMovement[[#This Row],[Is_Ore]]=1,tblMovement[[#This Row],[Contained_oz]],0)</f>
        <v/>
      </c>
    </row>
    <row r="1757">
      <c r="A1757" s="54" t="n"/>
      <c r="B1757" s="61" t="n"/>
      <c r="C1757" s="61" t="n"/>
      <c r="D1757" s="61" t="n"/>
      <c r="E1757" s="61" t="n"/>
      <c r="F1757" s="55" t="n"/>
      <c r="G1757" s="56" t="n"/>
      <c r="H1757" s="55" t="n"/>
      <c r="I1757" s="62" t="n"/>
      <c r="J1757" s="58" t="n"/>
      <c r="K1757" s="63">
        <f>IF(tblMovement[[#This Row],[Source]]="","",IFERROR(INDEX(tblSources[Type],MATCH(tblMovement[[#This Row],[Source]],tblSources[Source],0)),"?"))</f>
        <v/>
      </c>
      <c r="L1757" s="63">
        <f>IF(tblMovement[[#This Row],[Destination]]="","",IFERROR(INDEX(tblDestinations[Type],MATCH(tblMovement[[#This Row],[Destination]],tblDestinations[Destination],0)),"?"))</f>
        <v/>
      </c>
      <c r="M1757" s="64">
        <f>IF(tblMovement[[#This Row],[Material]]="","",IF(LEFT(tblMovement[[#This Row],[Material]],3)="Ore",1,0))</f>
        <v/>
      </c>
      <c r="N1757" s="59">
        <f>IF(OR(tblMovement[[#This Row],[Tonnes_t]]="",tblMovement[[#This Row],[Grade_gpt]]=""),0,tblMovement[[#This Row],[Tonnes_t]]*tblMovement[[#This Row],[Grade_gpt]]/cfg_TroyOz)</f>
        <v/>
      </c>
      <c r="O1757" s="59">
        <f>IF(tblMovement[[#This Row],[Is_Ore]]=1,tblMovement[[#This Row],[Contained_oz]],0)</f>
        <v/>
      </c>
    </row>
    <row r="1758">
      <c r="A1758" s="54" t="n"/>
      <c r="B1758" s="61" t="n"/>
      <c r="C1758" s="61" t="n"/>
      <c r="D1758" s="61" t="n"/>
      <c r="E1758" s="61" t="n"/>
      <c r="F1758" s="55" t="n"/>
      <c r="G1758" s="56" t="n"/>
      <c r="H1758" s="55" t="n"/>
      <c r="I1758" s="62" t="n"/>
      <c r="J1758" s="58" t="n"/>
      <c r="K1758" s="63">
        <f>IF(tblMovement[[#This Row],[Source]]="","",IFERROR(INDEX(tblSources[Type],MATCH(tblMovement[[#This Row],[Source]],tblSources[Source],0)),"?"))</f>
        <v/>
      </c>
      <c r="L1758" s="63">
        <f>IF(tblMovement[[#This Row],[Destination]]="","",IFERROR(INDEX(tblDestinations[Type],MATCH(tblMovement[[#This Row],[Destination]],tblDestinations[Destination],0)),"?"))</f>
        <v/>
      </c>
      <c r="M1758" s="64">
        <f>IF(tblMovement[[#This Row],[Material]]="","",IF(LEFT(tblMovement[[#This Row],[Material]],3)="Ore",1,0))</f>
        <v/>
      </c>
      <c r="N1758" s="59">
        <f>IF(OR(tblMovement[[#This Row],[Tonnes_t]]="",tblMovement[[#This Row],[Grade_gpt]]=""),0,tblMovement[[#This Row],[Tonnes_t]]*tblMovement[[#This Row],[Grade_gpt]]/cfg_TroyOz)</f>
        <v/>
      </c>
      <c r="O1758" s="59">
        <f>IF(tblMovement[[#This Row],[Is_Ore]]=1,tblMovement[[#This Row],[Contained_oz]],0)</f>
        <v/>
      </c>
    </row>
    <row r="1759">
      <c r="A1759" s="54" t="n"/>
      <c r="B1759" s="61" t="n"/>
      <c r="C1759" s="61" t="n"/>
      <c r="D1759" s="61" t="n"/>
      <c r="E1759" s="61" t="n"/>
      <c r="F1759" s="55" t="n"/>
      <c r="G1759" s="56" t="n"/>
      <c r="H1759" s="55" t="n"/>
      <c r="I1759" s="62" t="n"/>
      <c r="J1759" s="58" t="n"/>
      <c r="K1759" s="63">
        <f>IF(tblMovement[[#This Row],[Source]]="","",IFERROR(INDEX(tblSources[Type],MATCH(tblMovement[[#This Row],[Source]],tblSources[Source],0)),"?"))</f>
        <v/>
      </c>
      <c r="L1759" s="63">
        <f>IF(tblMovement[[#This Row],[Destination]]="","",IFERROR(INDEX(tblDestinations[Type],MATCH(tblMovement[[#This Row],[Destination]],tblDestinations[Destination],0)),"?"))</f>
        <v/>
      </c>
      <c r="M1759" s="64">
        <f>IF(tblMovement[[#This Row],[Material]]="","",IF(LEFT(tblMovement[[#This Row],[Material]],3)="Ore",1,0))</f>
        <v/>
      </c>
      <c r="N1759" s="59">
        <f>IF(OR(tblMovement[[#This Row],[Tonnes_t]]="",tblMovement[[#This Row],[Grade_gpt]]=""),0,tblMovement[[#This Row],[Tonnes_t]]*tblMovement[[#This Row],[Grade_gpt]]/cfg_TroyOz)</f>
        <v/>
      </c>
      <c r="O1759" s="59">
        <f>IF(tblMovement[[#This Row],[Is_Ore]]=1,tblMovement[[#This Row],[Contained_oz]],0)</f>
        <v/>
      </c>
    </row>
    <row r="1760">
      <c r="A1760" s="54" t="n"/>
      <c r="B1760" s="61" t="n"/>
      <c r="C1760" s="61" t="n"/>
      <c r="D1760" s="61" t="n"/>
      <c r="E1760" s="61" t="n"/>
      <c r="F1760" s="55" t="n"/>
      <c r="G1760" s="56" t="n"/>
      <c r="H1760" s="55" t="n"/>
      <c r="I1760" s="62" t="n"/>
      <c r="J1760" s="58" t="n"/>
      <c r="K1760" s="63">
        <f>IF(tblMovement[[#This Row],[Source]]="","",IFERROR(INDEX(tblSources[Type],MATCH(tblMovement[[#This Row],[Source]],tblSources[Source],0)),"?"))</f>
        <v/>
      </c>
      <c r="L1760" s="63">
        <f>IF(tblMovement[[#This Row],[Destination]]="","",IFERROR(INDEX(tblDestinations[Type],MATCH(tblMovement[[#This Row],[Destination]],tblDestinations[Destination],0)),"?"))</f>
        <v/>
      </c>
      <c r="M1760" s="64">
        <f>IF(tblMovement[[#This Row],[Material]]="","",IF(LEFT(tblMovement[[#This Row],[Material]],3)="Ore",1,0))</f>
        <v/>
      </c>
      <c r="N1760" s="59">
        <f>IF(OR(tblMovement[[#This Row],[Tonnes_t]]="",tblMovement[[#This Row],[Grade_gpt]]=""),0,tblMovement[[#This Row],[Tonnes_t]]*tblMovement[[#This Row],[Grade_gpt]]/cfg_TroyOz)</f>
        <v/>
      </c>
      <c r="O1760" s="59">
        <f>IF(tblMovement[[#This Row],[Is_Ore]]=1,tblMovement[[#This Row],[Contained_oz]],0)</f>
        <v/>
      </c>
    </row>
    <row r="1761">
      <c r="A1761" s="54" t="n"/>
      <c r="B1761" s="61" t="n"/>
      <c r="C1761" s="61" t="n"/>
      <c r="D1761" s="61" t="n"/>
      <c r="E1761" s="61" t="n"/>
      <c r="F1761" s="55" t="n"/>
      <c r="G1761" s="56" t="n"/>
      <c r="H1761" s="55" t="n"/>
      <c r="I1761" s="62" t="n"/>
      <c r="J1761" s="58" t="n"/>
      <c r="K1761" s="63">
        <f>IF(tblMovement[[#This Row],[Source]]="","",IFERROR(INDEX(tblSources[Type],MATCH(tblMovement[[#This Row],[Source]],tblSources[Source],0)),"?"))</f>
        <v/>
      </c>
      <c r="L1761" s="63">
        <f>IF(tblMovement[[#This Row],[Destination]]="","",IFERROR(INDEX(tblDestinations[Type],MATCH(tblMovement[[#This Row],[Destination]],tblDestinations[Destination],0)),"?"))</f>
        <v/>
      </c>
      <c r="M1761" s="64">
        <f>IF(tblMovement[[#This Row],[Material]]="","",IF(LEFT(tblMovement[[#This Row],[Material]],3)="Ore",1,0))</f>
        <v/>
      </c>
      <c r="N1761" s="59">
        <f>IF(OR(tblMovement[[#This Row],[Tonnes_t]]="",tblMovement[[#This Row],[Grade_gpt]]=""),0,tblMovement[[#This Row],[Tonnes_t]]*tblMovement[[#This Row],[Grade_gpt]]/cfg_TroyOz)</f>
        <v/>
      </c>
      <c r="O1761" s="59">
        <f>IF(tblMovement[[#This Row],[Is_Ore]]=1,tblMovement[[#This Row],[Contained_oz]],0)</f>
        <v/>
      </c>
    </row>
    <row r="1762">
      <c r="A1762" s="54" t="n"/>
      <c r="B1762" s="61" t="n"/>
      <c r="C1762" s="61" t="n"/>
      <c r="D1762" s="61" t="n"/>
      <c r="E1762" s="61" t="n"/>
      <c r="F1762" s="55" t="n"/>
      <c r="G1762" s="56" t="n"/>
      <c r="H1762" s="55" t="n"/>
      <c r="I1762" s="62" t="n"/>
      <c r="J1762" s="58" t="n"/>
      <c r="K1762" s="63">
        <f>IF(tblMovement[[#This Row],[Source]]="","",IFERROR(INDEX(tblSources[Type],MATCH(tblMovement[[#This Row],[Source]],tblSources[Source],0)),"?"))</f>
        <v/>
      </c>
      <c r="L1762" s="63">
        <f>IF(tblMovement[[#This Row],[Destination]]="","",IFERROR(INDEX(tblDestinations[Type],MATCH(tblMovement[[#This Row],[Destination]],tblDestinations[Destination],0)),"?"))</f>
        <v/>
      </c>
      <c r="M1762" s="64">
        <f>IF(tblMovement[[#This Row],[Material]]="","",IF(LEFT(tblMovement[[#This Row],[Material]],3)="Ore",1,0))</f>
        <v/>
      </c>
      <c r="N1762" s="59">
        <f>IF(OR(tblMovement[[#This Row],[Tonnes_t]]="",tblMovement[[#This Row],[Grade_gpt]]=""),0,tblMovement[[#This Row],[Tonnes_t]]*tblMovement[[#This Row],[Grade_gpt]]/cfg_TroyOz)</f>
        <v/>
      </c>
      <c r="O1762" s="59">
        <f>IF(tblMovement[[#This Row],[Is_Ore]]=1,tblMovement[[#This Row],[Contained_oz]],0)</f>
        <v/>
      </c>
    </row>
    <row r="1763">
      <c r="A1763" s="54" t="n"/>
      <c r="B1763" s="61" t="n"/>
      <c r="C1763" s="61" t="n"/>
      <c r="D1763" s="61" t="n"/>
      <c r="E1763" s="61" t="n"/>
      <c r="F1763" s="55" t="n"/>
      <c r="G1763" s="56" t="n"/>
      <c r="H1763" s="55" t="n"/>
      <c r="I1763" s="62" t="n"/>
      <c r="J1763" s="58" t="n"/>
      <c r="K1763" s="63">
        <f>IF(tblMovement[[#This Row],[Source]]="","",IFERROR(INDEX(tblSources[Type],MATCH(tblMovement[[#This Row],[Source]],tblSources[Source],0)),"?"))</f>
        <v/>
      </c>
      <c r="L1763" s="63">
        <f>IF(tblMovement[[#This Row],[Destination]]="","",IFERROR(INDEX(tblDestinations[Type],MATCH(tblMovement[[#This Row],[Destination]],tblDestinations[Destination],0)),"?"))</f>
        <v/>
      </c>
      <c r="M1763" s="64">
        <f>IF(tblMovement[[#This Row],[Material]]="","",IF(LEFT(tblMovement[[#This Row],[Material]],3)="Ore",1,0))</f>
        <v/>
      </c>
      <c r="N1763" s="59">
        <f>IF(OR(tblMovement[[#This Row],[Tonnes_t]]="",tblMovement[[#This Row],[Grade_gpt]]=""),0,tblMovement[[#This Row],[Tonnes_t]]*tblMovement[[#This Row],[Grade_gpt]]/cfg_TroyOz)</f>
        <v/>
      </c>
      <c r="O1763" s="59">
        <f>IF(tblMovement[[#This Row],[Is_Ore]]=1,tblMovement[[#This Row],[Contained_oz]],0)</f>
        <v/>
      </c>
    </row>
    <row r="1764">
      <c r="A1764" s="54" t="n"/>
      <c r="B1764" s="61" t="n"/>
      <c r="C1764" s="61" t="n"/>
      <c r="D1764" s="61" t="n"/>
      <c r="E1764" s="61" t="n"/>
      <c r="F1764" s="55" t="n"/>
      <c r="G1764" s="56" t="n"/>
      <c r="H1764" s="55" t="n"/>
      <c r="I1764" s="62" t="n"/>
      <c r="J1764" s="58" t="n"/>
      <c r="K1764" s="63">
        <f>IF(tblMovement[[#This Row],[Source]]="","",IFERROR(INDEX(tblSources[Type],MATCH(tblMovement[[#This Row],[Source]],tblSources[Source],0)),"?"))</f>
        <v/>
      </c>
      <c r="L1764" s="63">
        <f>IF(tblMovement[[#This Row],[Destination]]="","",IFERROR(INDEX(tblDestinations[Type],MATCH(tblMovement[[#This Row],[Destination]],tblDestinations[Destination],0)),"?"))</f>
        <v/>
      </c>
      <c r="M1764" s="64">
        <f>IF(tblMovement[[#This Row],[Material]]="","",IF(LEFT(tblMovement[[#This Row],[Material]],3)="Ore",1,0))</f>
        <v/>
      </c>
      <c r="N1764" s="59">
        <f>IF(OR(tblMovement[[#This Row],[Tonnes_t]]="",tblMovement[[#This Row],[Grade_gpt]]=""),0,tblMovement[[#This Row],[Tonnes_t]]*tblMovement[[#This Row],[Grade_gpt]]/cfg_TroyOz)</f>
        <v/>
      </c>
      <c r="O1764" s="59">
        <f>IF(tblMovement[[#This Row],[Is_Ore]]=1,tblMovement[[#This Row],[Contained_oz]],0)</f>
        <v/>
      </c>
    </row>
    <row r="1765">
      <c r="A1765" s="54" t="n"/>
      <c r="B1765" s="61" t="n"/>
      <c r="C1765" s="61" t="n"/>
      <c r="D1765" s="61" t="n"/>
      <c r="E1765" s="61" t="n"/>
      <c r="F1765" s="55" t="n"/>
      <c r="G1765" s="56" t="n"/>
      <c r="H1765" s="55" t="n"/>
      <c r="I1765" s="62" t="n"/>
      <c r="J1765" s="58" t="n"/>
      <c r="K1765" s="63">
        <f>IF(tblMovement[[#This Row],[Source]]="","",IFERROR(INDEX(tblSources[Type],MATCH(tblMovement[[#This Row],[Source]],tblSources[Source],0)),"?"))</f>
        <v/>
      </c>
      <c r="L1765" s="63">
        <f>IF(tblMovement[[#This Row],[Destination]]="","",IFERROR(INDEX(tblDestinations[Type],MATCH(tblMovement[[#This Row],[Destination]],tblDestinations[Destination],0)),"?"))</f>
        <v/>
      </c>
      <c r="M1765" s="64">
        <f>IF(tblMovement[[#This Row],[Material]]="","",IF(LEFT(tblMovement[[#This Row],[Material]],3)="Ore",1,0))</f>
        <v/>
      </c>
      <c r="N1765" s="59">
        <f>IF(OR(tblMovement[[#This Row],[Tonnes_t]]="",tblMovement[[#This Row],[Grade_gpt]]=""),0,tblMovement[[#This Row],[Tonnes_t]]*tblMovement[[#This Row],[Grade_gpt]]/cfg_TroyOz)</f>
        <v/>
      </c>
      <c r="O1765" s="59">
        <f>IF(tblMovement[[#This Row],[Is_Ore]]=1,tblMovement[[#This Row],[Contained_oz]],0)</f>
        <v/>
      </c>
    </row>
    <row r="1766">
      <c r="A1766" s="54" t="n"/>
      <c r="B1766" s="61" t="n"/>
      <c r="C1766" s="61" t="n"/>
      <c r="D1766" s="61" t="n"/>
      <c r="E1766" s="61" t="n"/>
      <c r="F1766" s="55" t="n"/>
      <c r="G1766" s="56" t="n"/>
      <c r="H1766" s="55" t="n"/>
      <c r="I1766" s="62" t="n"/>
      <c r="J1766" s="58" t="n"/>
      <c r="K1766" s="63">
        <f>IF(tblMovement[[#This Row],[Source]]="","",IFERROR(INDEX(tblSources[Type],MATCH(tblMovement[[#This Row],[Source]],tblSources[Source],0)),"?"))</f>
        <v/>
      </c>
      <c r="L1766" s="63">
        <f>IF(tblMovement[[#This Row],[Destination]]="","",IFERROR(INDEX(tblDestinations[Type],MATCH(tblMovement[[#This Row],[Destination]],tblDestinations[Destination],0)),"?"))</f>
        <v/>
      </c>
      <c r="M1766" s="64">
        <f>IF(tblMovement[[#This Row],[Material]]="","",IF(LEFT(tblMovement[[#This Row],[Material]],3)="Ore",1,0))</f>
        <v/>
      </c>
      <c r="N1766" s="59">
        <f>IF(OR(tblMovement[[#This Row],[Tonnes_t]]="",tblMovement[[#This Row],[Grade_gpt]]=""),0,tblMovement[[#This Row],[Tonnes_t]]*tblMovement[[#This Row],[Grade_gpt]]/cfg_TroyOz)</f>
        <v/>
      </c>
      <c r="O1766" s="59">
        <f>IF(tblMovement[[#This Row],[Is_Ore]]=1,tblMovement[[#This Row],[Contained_oz]],0)</f>
        <v/>
      </c>
    </row>
    <row r="1767">
      <c r="A1767" s="54" t="n"/>
      <c r="B1767" s="61" t="n"/>
      <c r="C1767" s="61" t="n"/>
      <c r="D1767" s="61" t="n"/>
      <c r="E1767" s="61" t="n"/>
      <c r="F1767" s="55" t="n"/>
      <c r="G1767" s="56" t="n"/>
      <c r="H1767" s="55" t="n"/>
      <c r="I1767" s="62" t="n"/>
      <c r="J1767" s="58" t="n"/>
      <c r="K1767" s="63">
        <f>IF(tblMovement[[#This Row],[Source]]="","",IFERROR(INDEX(tblSources[Type],MATCH(tblMovement[[#This Row],[Source]],tblSources[Source],0)),"?"))</f>
        <v/>
      </c>
      <c r="L1767" s="63">
        <f>IF(tblMovement[[#This Row],[Destination]]="","",IFERROR(INDEX(tblDestinations[Type],MATCH(tblMovement[[#This Row],[Destination]],tblDestinations[Destination],0)),"?"))</f>
        <v/>
      </c>
      <c r="M1767" s="64">
        <f>IF(tblMovement[[#This Row],[Material]]="","",IF(LEFT(tblMovement[[#This Row],[Material]],3)="Ore",1,0))</f>
        <v/>
      </c>
      <c r="N1767" s="59">
        <f>IF(OR(tblMovement[[#This Row],[Tonnes_t]]="",tblMovement[[#This Row],[Grade_gpt]]=""),0,tblMovement[[#This Row],[Tonnes_t]]*tblMovement[[#This Row],[Grade_gpt]]/cfg_TroyOz)</f>
        <v/>
      </c>
      <c r="O1767" s="59">
        <f>IF(tblMovement[[#This Row],[Is_Ore]]=1,tblMovement[[#This Row],[Contained_oz]],0)</f>
        <v/>
      </c>
    </row>
    <row r="1768">
      <c r="A1768" s="54" t="n"/>
      <c r="B1768" s="61" t="n"/>
      <c r="C1768" s="61" t="n"/>
      <c r="D1768" s="61" t="n"/>
      <c r="E1768" s="61" t="n"/>
      <c r="F1768" s="55" t="n"/>
      <c r="G1768" s="56" t="n"/>
      <c r="H1768" s="55" t="n"/>
      <c r="I1768" s="62" t="n"/>
      <c r="J1768" s="58" t="n"/>
      <c r="K1768" s="63">
        <f>IF(tblMovement[[#This Row],[Source]]="","",IFERROR(INDEX(tblSources[Type],MATCH(tblMovement[[#This Row],[Source]],tblSources[Source],0)),"?"))</f>
        <v/>
      </c>
      <c r="L1768" s="63">
        <f>IF(tblMovement[[#This Row],[Destination]]="","",IFERROR(INDEX(tblDestinations[Type],MATCH(tblMovement[[#This Row],[Destination]],tblDestinations[Destination],0)),"?"))</f>
        <v/>
      </c>
      <c r="M1768" s="64">
        <f>IF(tblMovement[[#This Row],[Material]]="","",IF(LEFT(tblMovement[[#This Row],[Material]],3)="Ore",1,0))</f>
        <v/>
      </c>
      <c r="N1768" s="59">
        <f>IF(OR(tblMovement[[#This Row],[Tonnes_t]]="",tblMovement[[#This Row],[Grade_gpt]]=""),0,tblMovement[[#This Row],[Tonnes_t]]*tblMovement[[#This Row],[Grade_gpt]]/cfg_TroyOz)</f>
        <v/>
      </c>
      <c r="O1768" s="59">
        <f>IF(tblMovement[[#This Row],[Is_Ore]]=1,tblMovement[[#This Row],[Contained_oz]],0)</f>
        <v/>
      </c>
    </row>
    <row r="1769">
      <c r="A1769" s="54" t="n"/>
      <c r="B1769" s="61" t="n"/>
      <c r="C1769" s="61" t="n"/>
      <c r="D1769" s="61" t="n"/>
      <c r="E1769" s="61" t="n"/>
      <c r="F1769" s="55" t="n"/>
      <c r="G1769" s="56" t="n"/>
      <c r="H1769" s="55" t="n"/>
      <c r="I1769" s="62" t="n"/>
      <c r="J1769" s="58" t="n"/>
      <c r="K1769" s="63">
        <f>IF(tblMovement[[#This Row],[Source]]="","",IFERROR(INDEX(tblSources[Type],MATCH(tblMovement[[#This Row],[Source]],tblSources[Source],0)),"?"))</f>
        <v/>
      </c>
      <c r="L1769" s="63">
        <f>IF(tblMovement[[#This Row],[Destination]]="","",IFERROR(INDEX(tblDestinations[Type],MATCH(tblMovement[[#This Row],[Destination]],tblDestinations[Destination],0)),"?"))</f>
        <v/>
      </c>
      <c r="M1769" s="64">
        <f>IF(tblMovement[[#This Row],[Material]]="","",IF(LEFT(tblMovement[[#This Row],[Material]],3)="Ore",1,0))</f>
        <v/>
      </c>
      <c r="N1769" s="59">
        <f>IF(OR(tblMovement[[#This Row],[Tonnes_t]]="",tblMovement[[#This Row],[Grade_gpt]]=""),0,tblMovement[[#This Row],[Tonnes_t]]*tblMovement[[#This Row],[Grade_gpt]]/cfg_TroyOz)</f>
        <v/>
      </c>
      <c r="O1769" s="59">
        <f>IF(tblMovement[[#This Row],[Is_Ore]]=1,tblMovement[[#This Row],[Contained_oz]],0)</f>
        <v/>
      </c>
    </row>
    <row r="1770">
      <c r="A1770" s="54" t="n"/>
      <c r="B1770" s="61" t="n"/>
      <c r="C1770" s="61" t="n"/>
      <c r="D1770" s="61" t="n"/>
      <c r="E1770" s="61" t="n"/>
      <c r="F1770" s="55" t="n"/>
      <c r="G1770" s="56" t="n"/>
      <c r="H1770" s="55" t="n"/>
      <c r="I1770" s="62" t="n"/>
      <c r="J1770" s="58" t="n"/>
      <c r="K1770" s="63">
        <f>IF(tblMovement[[#This Row],[Source]]="","",IFERROR(INDEX(tblSources[Type],MATCH(tblMovement[[#This Row],[Source]],tblSources[Source],0)),"?"))</f>
        <v/>
      </c>
      <c r="L1770" s="63">
        <f>IF(tblMovement[[#This Row],[Destination]]="","",IFERROR(INDEX(tblDestinations[Type],MATCH(tblMovement[[#This Row],[Destination]],tblDestinations[Destination],0)),"?"))</f>
        <v/>
      </c>
      <c r="M1770" s="64">
        <f>IF(tblMovement[[#This Row],[Material]]="","",IF(LEFT(tblMovement[[#This Row],[Material]],3)="Ore",1,0))</f>
        <v/>
      </c>
      <c r="N1770" s="59">
        <f>IF(OR(tblMovement[[#This Row],[Tonnes_t]]="",tblMovement[[#This Row],[Grade_gpt]]=""),0,tblMovement[[#This Row],[Tonnes_t]]*tblMovement[[#This Row],[Grade_gpt]]/cfg_TroyOz)</f>
        <v/>
      </c>
      <c r="O1770" s="59">
        <f>IF(tblMovement[[#This Row],[Is_Ore]]=1,tblMovement[[#This Row],[Contained_oz]],0)</f>
        <v/>
      </c>
    </row>
    <row r="1771">
      <c r="A1771" s="54" t="n"/>
      <c r="B1771" s="61" t="n"/>
      <c r="C1771" s="61" t="n"/>
      <c r="D1771" s="61" t="n"/>
      <c r="E1771" s="61" t="n"/>
      <c r="F1771" s="55" t="n"/>
      <c r="G1771" s="56" t="n"/>
      <c r="H1771" s="55" t="n"/>
      <c r="I1771" s="62" t="n"/>
      <c r="J1771" s="58" t="n"/>
      <c r="K1771" s="63">
        <f>IF(tblMovement[[#This Row],[Source]]="","",IFERROR(INDEX(tblSources[Type],MATCH(tblMovement[[#This Row],[Source]],tblSources[Source],0)),"?"))</f>
        <v/>
      </c>
      <c r="L1771" s="63">
        <f>IF(tblMovement[[#This Row],[Destination]]="","",IFERROR(INDEX(tblDestinations[Type],MATCH(tblMovement[[#This Row],[Destination]],tblDestinations[Destination],0)),"?"))</f>
        <v/>
      </c>
      <c r="M1771" s="64">
        <f>IF(tblMovement[[#This Row],[Material]]="","",IF(LEFT(tblMovement[[#This Row],[Material]],3)="Ore",1,0))</f>
        <v/>
      </c>
      <c r="N1771" s="59">
        <f>IF(OR(tblMovement[[#This Row],[Tonnes_t]]="",tblMovement[[#This Row],[Grade_gpt]]=""),0,tblMovement[[#This Row],[Tonnes_t]]*tblMovement[[#This Row],[Grade_gpt]]/cfg_TroyOz)</f>
        <v/>
      </c>
      <c r="O1771" s="59">
        <f>IF(tblMovement[[#This Row],[Is_Ore]]=1,tblMovement[[#This Row],[Contained_oz]],0)</f>
        <v/>
      </c>
    </row>
    <row r="1772">
      <c r="A1772" s="54" t="n"/>
      <c r="B1772" s="61" t="n"/>
      <c r="C1772" s="61" t="n"/>
      <c r="D1772" s="61" t="n"/>
      <c r="E1772" s="61" t="n"/>
      <c r="F1772" s="55" t="n"/>
      <c r="G1772" s="56" t="n"/>
      <c r="H1772" s="55" t="n"/>
      <c r="I1772" s="62" t="n"/>
      <c r="J1772" s="58" t="n"/>
      <c r="K1772" s="63">
        <f>IF(tblMovement[[#This Row],[Source]]="","",IFERROR(INDEX(tblSources[Type],MATCH(tblMovement[[#This Row],[Source]],tblSources[Source],0)),"?"))</f>
        <v/>
      </c>
      <c r="L1772" s="63">
        <f>IF(tblMovement[[#This Row],[Destination]]="","",IFERROR(INDEX(tblDestinations[Type],MATCH(tblMovement[[#This Row],[Destination]],tblDestinations[Destination],0)),"?"))</f>
        <v/>
      </c>
      <c r="M1772" s="64">
        <f>IF(tblMovement[[#This Row],[Material]]="","",IF(LEFT(tblMovement[[#This Row],[Material]],3)="Ore",1,0))</f>
        <v/>
      </c>
      <c r="N1772" s="59">
        <f>IF(OR(tblMovement[[#This Row],[Tonnes_t]]="",tblMovement[[#This Row],[Grade_gpt]]=""),0,tblMovement[[#This Row],[Tonnes_t]]*tblMovement[[#This Row],[Grade_gpt]]/cfg_TroyOz)</f>
        <v/>
      </c>
      <c r="O1772" s="59">
        <f>IF(tblMovement[[#This Row],[Is_Ore]]=1,tblMovement[[#This Row],[Contained_oz]],0)</f>
        <v/>
      </c>
    </row>
    <row r="1773">
      <c r="A1773" s="54" t="n"/>
      <c r="B1773" s="61" t="n"/>
      <c r="C1773" s="61" t="n"/>
      <c r="D1773" s="61" t="n"/>
      <c r="E1773" s="61" t="n"/>
      <c r="F1773" s="55" t="n"/>
      <c r="G1773" s="56" t="n"/>
      <c r="H1773" s="55" t="n"/>
      <c r="I1773" s="62" t="n"/>
      <c r="J1773" s="58" t="n"/>
      <c r="K1773" s="63">
        <f>IF(tblMovement[[#This Row],[Source]]="","",IFERROR(INDEX(tblSources[Type],MATCH(tblMovement[[#This Row],[Source]],tblSources[Source],0)),"?"))</f>
        <v/>
      </c>
      <c r="L1773" s="63">
        <f>IF(tblMovement[[#This Row],[Destination]]="","",IFERROR(INDEX(tblDestinations[Type],MATCH(tblMovement[[#This Row],[Destination]],tblDestinations[Destination],0)),"?"))</f>
        <v/>
      </c>
      <c r="M1773" s="64">
        <f>IF(tblMovement[[#This Row],[Material]]="","",IF(LEFT(tblMovement[[#This Row],[Material]],3)="Ore",1,0))</f>
        <v/>
      </c>
      <c r="N1773" s="59">
        <f>IF(OR(tblMovement[[#This Row],[Tonnes_t]]="",tblMovement[[#This Row],[Grade_gpt]]=""),0,tblMovement[[#This Row],[Tonnes_t]]*tblMovement[[#This Row],[Grade_gpt]]/cfg_TroyOz)</f>
        <v/>
      </c>
      <c r="O1773" s="59">
        <f>IF(tblMovement[[#This Row],[Is_Ore]]=1,tblMovement[[#This Row],[Contained_oz]],0)</f>
        <v/>
      </c>
    </row>
    <row r="1774">
      <c r="A1774" s="54" t="n"/>
      <c r="B1774" s="61" t="n"/>
      <c r="C1774" s="61" t="n"/>
      <c r="D1774" s="61" t="n"/>
      <c r="E1774" s="61" t="n"/>
      <c r="F1774" s="55" t="n"/>
      <c r="G1774" s="56" t="n"/>
      <c r="H1774" s="55" t="n"/>
      <c r="I1774" s="62" t="n"/>
      <c r="J1774" s="58" t="n"/>
      <c r="K1774" s="63">
        <f>IF(tblMovement[[#This Row],[Source]]="","",IFERROR(INDEX(tblSources[Type],MATCH(tblMovement[[#This Row],[Source]],tblSources[Source],0)),"?"))</f>
        <v/>
      </c>
      <c r="L1774" s="63">
        <f>IF(tblMovement[[#This Row],[Destination]]="","",IFERROR(INDEX(tblDestinations[Type],MATCH(tblMovement[[#This Row],[Destination]],tblDestinations[Destination],0)),"?"))</f>
        <v/>
      </c>
      <c r="M1774" s="64">
        <f>IF(tblMovement[[#This Row],[Material]]="","",IF(LEFT(tblMovement[[#This Row],[Material]],3)="Ore",1,0))</f>
        <v/>
      </c>
      <c r="N1774" s="59">
        <f>IF(OR(tblMovement[[#This Row],[Tonnes_t]]="",tblMovement[[#This Row],[Grade_gpt]]=""),0,tblMovement[[#This Row],[Tonnes_t]]*tblMovement[[#This Row],[Grade_gpt]]/cfg_TroyOz)</f>
        <v/>
      </c>
      <c r="O1774" s="59">
        <f>IF(tblMovement[[#This Row],[Is_Ore]]=1,tblMovement[[#This Row],[Contained_oz]],0)</f>
        <v/>
      </c>
    </row>
    <row r="1775">
      <c r="A1775" s="54" t="n"/>
      <c r="B1775" s="61" t="n"/>
      <c r="C1775" s="61" t="n"/>
      <c r="D1775" s="61" t="n"/>
      <c r="E1775" s="61" t="n"/>
      <c r="F1775" s="55" t="n"/>
      <c r="G1775" s="56" t="n"/>
      <c r="H1775" s="55" t="n"/>
      <c r="I1775" s="62" t="n"/>
      <c r="J1775" s="58" t="n"/>
      <c r="K1775" s="63">
        <f>IF(tblMovement[[#This Row],[Source]]="","",IFERROR(INDEX(tblSources[Type],MATCH(tblMovement[[#This Row],[Source]],tblSources[Source],0)),"?"))</f>
        <v/>
      </c>
      <c r="L1775" s="63">
        <f>IF(tblMovement[[#This Row],[Destination]]="","",IFERROR(INDEX(tblDestinations[Type],MATCH(tblMovement[[#This Row],[Destination]],tblDestinations[Destination],0)),"?"))</f>
        <v/>
      </c>
      <c r="M1775" s="64">
        <f>IF(tblMovement[[#This Row],[Material]]="","",IF(LEFT(tblMovement[[#This Row],[Material]],3)="Ore",1,0))</f>
        <v/>
      </c>
      <c r="N1775" s="59">
        <f>IF(OR(tblMovement[[#This Row],[Tonnes_t]]="",tblMovement[[#This Row],[Grade_gpt]]=""),0,tblMovement[[#This Row],[Tonnes_t]]*tblMovement[[#This Row],[Grade_gpt]]/cfg_TroyOz)</f>
        <v/>
      </c>
      <c r="O1775" s="59">
        <f>IF(tblMovement[[#This Row],[Is_Ore]]=1,tblMovement[[#This Row],[Contained_oz]],0)</f>
        <v/>
      </c>
    </row>
    <row r="1776">
      <c r="A1776" s="54" t="n"/>
      <c r="B1776" s="61" t="n"/>
      <c r="C1776" s="61" t="n"/>
      <c r="D1776" s="61" t="n"/>
      <c r="E1776" s="61" t="n"/>
      <c r="F1776" s="55" t="n"/>
      <c r="G1776" s="56" t="n"/>
      <c r="H1776" s="55" t="n"/>
      <c r="I1776" s="62" t="n"/>
      <c r="J1776" s="58" t="n"/>
      <c r="K1776" s="63">
        <f>IF(tblMovement[[#This Row],[Source]]="","",IFERROR(INDEX(tblSources[Type],MATCH(tblMovement[[#This Row],[Source]],tblSources[Source],0)),"?"))</f>
        <v/>
      </c>
      <c r="L1776" s="63">
        <f>IF(tblMovement[[#This Row],[Destination]]="","",IFERROR(INDEX(tblDestinations[Type],MATCH(tblMovement[[#This Row],[Destination]],tblDestinations[Destination],0)),"?"))</f>
        <v/>
      </c>
      <c r="M1776" s="64">
        <f>IF(tblMovement[[#This Row],[Material]]="","",IF(LEFT(tblMovement[[#This Row],[Material]],3)="Ore",1,0))</f>
        <v/>
      </c>
      <c r="N1776" s="59">
        <f>IF(OR(tblMovement[[#This Row],[Tonnes_t]]="",tblMovement[[#This Row],[Grade_gpt]]=""),0,tblMovement[[#This Row],[Tonnes_t]]*tblMovement[[#This Row],[Grade_gpt]]/cfg_TroyOz)</f>
        <v/>
      </c>
      <c r="O1776" s="59">
        <f>IF(tblMovement[[#This Row],[Is_Ore]]=1,tblMovement[[#This Row],[Contained_oz]],0)</f>
        <v/>
      </c>
    </row>
    <row r="1777">
      <c r="A1777" s="54" t="n"/>
      <c r="B1777" s="61" t="n"/>
      <c r="C1777" s="61" t="n"/>
      <c r="D1777" s="61" t="n"/>
      <c r="E1777" s="61" t="n"/>
      <c r="F1777" s="55" t="n"/>
      <c r="G1777" s="56" t="n"/>
      <c r="H1777" s="55" t="n"/>
      <c r="I1777" s="62" t="n"/>
      <c r="J1777" s="58" t="n"/>
      <c r="K1777" s="63">
        <f>IF(tblMovement[[#This Row],[Source]]="","",IFERROR(INDEX(tblSources[Type],MATCH(tblMovement[[#This Row],[Source]],tblSources[Source],0)),"?"))</f>
        <v/>
      </c>
      <c r="L1777" s="63">
        <f>IF(tblMovement[[#This Row],[Destination]]="","",IFERROR(INDEX(tblDestinations[Type],MATCH(tblMovement[[#This Row],[Destination]],tblDestinations[Destination],0)),"?"))</f>
        <v/>
      </c>
      <c r="M1777" s="64">
        <f>IF(tblMovement[[#This Row],[Material]]="","",IF(LEFT(tblMovement[[#This Row],[Material]],3)="Ore",1,0))</f>
        <v/>
      </c>
      <c r="N1777" s="59">
        <f>IF(OR(tblMovement[[#This Row],[Tonnes_t]]="",tblMovement[[#This Row],[Grade_gpt]]=""),0,tblMovement[[#This Row],[Tonnes_t]]*tblMovement[[#This Row],[Grade_gpt]]/cfg_TroyOz)</f>
        <v/>
      </c>
      <c r="O1777" s="59">
        <f>IF(tblMovement[[#This Row],[Is_Ore]]=1,tblMovement[[#This Row],[Contained_oz]],0)</f>
        <v/>
      </c>
    </row>
    <row r="1778">
      <c r="A1778" s="54" t="n"/>
      <c r="B1778" s="61" t="n"/>
      <c r="C1778" s="61" t="n"/>
      <c r="D1778" s="61" t="n"/>
      <c r="E1778" s="61" t="n"/>
      <c r="F1778" s="55" t="n"/>
      <c r="G1778" s="56" t="n"/>
      <c r="H1778" s="55" t="n"/>
      <c r="I1778" s="62" t="n"/>
      <c r="J1778" s="58" t="n"/>
      <c r="K1778" s="63">
        <f>IF(tblMovement[[#This Row],[Source]]="","",IFERROR(INDEX(tblSources[Type],MATCH(tblMovement[[#This Row],[Source]],tblSources[Source],0)),"?"))</f>
        <v/>
      </c>
      <c r="L1778" s="63">
        <f>IF(tblMovement[[#This Row],[Destination]]="","",IFERROR(INDEX(tblDestinations[Type],MATCH(tblMovement[[#This Row],[Destination]],tblDestinations[Destination],0)),"?"))</f>
        <v/>
      </c>
      <c r="M1778" s="64">
        <f>IF(tblMovement[[#This Row],[Material]]="","",IF(LEFT(tblMovement[[#This Row],[Material]],3)="Ore",1,0))</f>
        <v/>
      </c>
      <c r="N1778" s="59">
        <f>IF(OR(tblMovement[[#This Row],[Tonnes_t]]="",tblMovement[[#This Row],[Grade_gpt]]=""),0,tblMovement[[#This Row],[Tonnes_t]]*tblMovement[[#This Row],[Grade_gpt]]/cfg_TroyOz)</f>
        <v/>
      </c>
      <c r="O1778" s="59">
        <f>IF(tblMovement[[#This Row],[Is_Ore]]=1,tblMovement[[#This Row],[Contained_oz]],0)</f>
        <v/>
      </c>
    </row>
    <row r="1779">
      <c r="A1779" s="54" t="n"/>
      <c r="B1779" s="61" t="n"/>
      <c r="C1779" s="61" t="n"/>
      <c r="D1779" s="61" t="n"/>
      <c r="E1779" s="61" t="n"/>
      <c r="F1779" s="55" t="n"/>
      <c r="G1779" s="56" t="n"/>
      <c r="H1779" s="55" t="n"/>
      <c r="I1779" s="62" t="n"/>
      <c r="J1779" s="58" t="n"/>
      <c r="K1779" s="63">
        <f>IF(tblMovement[[#This Row],[Source]]="","",IFERROR(INDEX(tblSources[Type],MATCH(tblMovement[[#This Row],[Source]],tblSources[Source],0)),"?"))</f>
        <v/>
      </c>
      <c r="L1779" s="63">
        <f>IF(tblMovement[[#This Row],[Destination]]="","",IFERROR(INDEX(tblDestinations[Type],MATCH(tblMovement[[#This Row],[Destination]],tblDestinations[Destination],0)),"?"))</f>
        <v/>
      </c>
      <c r="M1779" s="64">
        <f>IF(tblMovement[[#This Row],[Material]]="","",IF(LEFT(tblMovement[[#This Row],[Material]],3)="Ore",1,0))</f>
        <v/>
      </c>
      <c r="N1779" s="59">
        <f>IF(OR(tblMovement[[#This Row],[Tonnes_t]]="",tblMovement[[#This Row],[Grade_gpt]]=""),0,tblMovement[[#This Row],[Tonnes_t]]*tblMovement[[#This Row],[Grade_gpt]]/cfg_TroyOz)</f>
        <v/>
      </c>
      <c r="O1779" s="59">
        <f>IF(tblMovement[[#This Row],[Is_Ore]]=1,tblMovement[[#This Row],[Contained_oz]],0)</f>
        <v/>
      </c>
    </row>
    <row r="1780">
      <c r="A1780" s="54" t="n"/>
      <c r="B1780" s="61" t="n"/>
      <c r="C1780" s="61" t="n"/>
      <c r="D1780" s="61" t="n"/>
      <c r="E1780" s="61" t="n"/>
      <c r="F1780" s="55" t="n"/>
      <c r="G1780" s="56" t="n"/>
      <c r="H1780" s="55" t="n"/>
      <c r="I1780" s="62" t="n"/>
      <c r="J1780" s="58" t="n"/>
      <c r="K1780" s="63">
        <f>IF(tblMovement[[#This Row],[Source]]="","",IFERROR(INDEX(tblSources[Type],MATCH(tblMovement[[#This Row],[Source]],tblSources[Source],0)),"?"))</f>
        <v/>
      </c>
      <c r="L1780" s="63">
        <f>IF(tblMovement[[#This Row],[Destination]]="","",IFERROR(INDEX(tblDestinations[Type],MATCH(tblMovement[[#This Row],[Destination]],tblDestinations[Destination],0)),"?"))</f>
        <v/>
      </c>
      <c r="M1780" s="64">
        <f>IF(tblMovement[[#This Row],[Material]]="","",IF(LEFT(tblMovement[[#This Row],[Material]],3)="Ore",1,0))</f>
        <v/>
      </c>
      <c r="N1780" s="59">
        <f>IF(OR(tblMovement[[#This Row],[Tonnes_t]]="",tblMovement[[#This Row],[Grade_gpt]]=""),0,tblMovement[[#This Row],[Tonnes_t]]*tblMovement[[#This Row],[Grade_gpt]]/cfg_TroyOz)</f>
        <v/>
      </c>
      <c r="O1780" s="59">
        <f>IF(tblMovement[[#This Row],[Is_Ore]]=1,tblMovement[[#This Row],[Contained_oz]],0)</f>
        <v/>
      </c>
    </row>
    <row r="1781">
      <c r="A1781" s="54" t="n"/>
      <c r="B1781" s="61" t="n"/>
      <c r="C1781" s="61" t="n"/>
      <c r="D1781" s="61" t="n"/>
      <c r="E1781" s="61" t="n"/>
      <c r="F1781" s="55" t="n"/>
      <c r="G1781" s="56" t="n"/>
      <c r="H1781" s="55" t="n"/>
      <c r="I1781" s="62" t="n"/>
      <c r="J1781" s="58" t="n"/>
      <c r="K1781" s="63">
        <f>IF(tblMovement[[#This Row],[Source]]="","",IFERROR(INDEX(tblSources[Type],MATCH(tblMovement[[#This Row],[Source]],tblSources[Source],0)),"?"))</f>
        <v/>
      </c>
      <c r="L1781" s="63">
        <f>IF(tblMovement[[#This Row],[Destination]]="","",IFERROR(INDEX(tblDestinations[Type],MATCH(tblMovement[[#This Row],[Destination]],tblDestinations[Destination],0)),"?"))</f>
        <v/>
      </c>
      <c r="M1781" s="64">
        <f>IF(tblMovement[[#This Row],[Material]]="","",IF(LEFT(tblMovement[[#This Row],[Material]],3)="Ore",1,0))</f>
        <v/>
      </c>
      <c r="N1781" s="59">
        <f>IF(OR(tblMovement[[#This Row],[Tonnes_t]]="",tblMovement[[#This Row],[Grade_gpt]]=""),0,tblMovement[[#This Row],[Tonnes_t]]*tblMovement[[#This Row],[Grade_gpt]]/cfg_TroyOz)</f>
        <v/>
      </c>
      <c r="O1781" s="59">
        <f>IF(tblMovement[[#This Row],[Is_Ore]]=1,tblMovement[[#This Row],[Contained_oz]],0)</f>
        <v/>
      </c>
    </row>
    <row r="1782">
      <c r="A1782" s="54" t="n"/>
      <c r="B1782" s="61" t="n"/>
      <c r="C1782" s="61" t="n"/>
      <c r="D1782" s="61" t="n"/>
      <c r="E1782" s="61" t="n"/>
      <c r="F1782" s="55" t="n"/>
      <c r="G1782" s="56" t="n"/>
      <c r="H1782" s="55" t="n"/>
      <c r="I1782" s="62" t="n"/>
      <c r="J1782" s="58" t="n"/>
      <c r="K1782" s="63">
        <f>IF(tblMovement[[#This Row],[Source]]="","",IFERROR(INDEX(tblSources[Type],MATCH(tblMovement[[#This Row],[Source]],tblSources[Source],0)),"?"))</f>
        <v/>
      </c>
      <c r="L1782" s="63">
        <f>IF(tblMovement[[#This Row],[Destination]]="","",IFERROR(INDEX(tblDestinations[Type],MATCH(tblMovement[[#This Row],[Destination]],tblDestinations[Destination],0)),"?"))</f>
        <v/>
      </c>
      <c r="M1782" s="64">
        <f>IF(tblMovement[[#This Row],[Material]]="","",IF(LEFT(tblMovement[[#This Row],[Material]],3)="Ore",1,0))</f>
        <v/>
      </c>
      <c r="N1782" s="59">
        <f>IF(OR(tblMovement[[#This Row],[Tonnes_t]]="",tblMovement[[#This Row],[Grade_gpt]]=""),0,tblMovement[[#This Row],[Tonnes_t]]*tblMovement[[#This Row],[Grade_gpt]]/cfg_TroyOz)</f>
        <v/>
      </c>
      <c r="O1782" s="59">
        <f>IF(tblMovement[[#This Row],[Is_Ore]]=1,tblMovement[[#This Row],[Contained_oz]],0)</f>
        <v/>
      </c>
    </row>
    <row r="1783">
      <c r="A1783" s="54" t="n"/>
      <c r="B1783" s="61" t="n"/>
      <c r="C1783" s="61" t="n"/>
      <c r="D1783" s="61" t="n"/>
      <c r="E1783" s="61" t="n"/>
      <c r="F1783" s="55" t="n"/>
      <c r="G1783" s="56" t="n"/>
      <c r="H1783" s="55" t="n"/>
      <c r="I1783" s="62" t="n"/>
      <c r="J1783" s="58" t="n"/>
      <c r="K1783" s="63">
        <f>IF(tblMovement[[#This Row],[Source]]="","",IFERROR(INDEX(tblSources[Type],MATCH(tblMovement[[#This Row],[Source]],tblSources[Source],0)),"?"))</f>
        <v/>
      </c>
      <c r="L1783" s="63">
        <f>IF(tblMovement[[#This Row],[Destination]]="","",IFERROR(INDEX(tblDestinations[Type],MATCH(tblMovement[[#This Row],[Destination]],tblDestinations[Destination],0)),"?"))</f>
        <v/>
      </c>
      <c r="M1783" s="64">
        <f>IF(tblMovement[[#This Row],[Material]]="","",IF(LEFT(tblMovement[[#This Row],[Material]],3)="Ore",1,0))</f>
        <v/>
      </c>
      <c r="N1783" s="59">
        <f>IF(OR(tblMovement[[#This Row],[Tonnes_t]]="",tblMovement[[#This Row],[Grade_gpt]]=""),0,tblMovement[[#This Row],[Tonnes_t]]*tblMovement[[#This Row],[Grade_gpt]]/cfg_TroyOz)</f>
        <v/>
      </c>
      <c r="O1783" s="59">
        <f>IF(tblMovement[[#This Row],[Is_Ore]]=1,tblMovement[[#This Row],[Contained_oz]],0)</f>
        <v/>
      </c>
    </row>
    <row r="1784">
      <c r="A1784" s="54" t="n"/>
      <c r="B1784" s="61" t="n"/>
      <c r="C1784" s="61" t="n"/>
      <c r="D1784" s="61" t="n"/>
      <c r="E1784" s="61" t="n"/>
      <c r="F1784" s="55" t="n"/>
      <c r="G1784" s="56" t="n"/>
      <c r="H1784" s="55" t="n"/>
      <c r="I1784" s="62" t="n"/>
      <c r="J1784" s="58" t="n"/>
      <c r="K1784" s="63">
        <f>IF(tblMovement[[#This Row],[Source]]="","",IFERROR(INDEX(tblSources[Type],MATCH(tblMovement[[#This Row],[Source]],tblSources[Source],0)),"?"))</f>
        <v/>
      </c>
      <c r="L1784" s="63">
        <f>IF(tblMovement[[#This Row],[Destination]]="","",IFERROR(INDEX(tblDestinations[Type],MATCH(tblMovement[[#This Row],[Destination]],tblDestinations[Destination],0)),"?"))</f>
        <v/>
      </c>
      <c r="M1784" s="64">
        <f>IF(tblMovement[[#This Row],[Material]]="","",IF(LEFT(tblMovement[[#This Row],[Material]],3)="Ore",1,0))</f>
        <v/>
      </c>
      <c r="N1784" s="59">
        <f>IF(OR(tblMovement[[#This Row],[Tonnes_t]]="",tblMovement[[#This Row],[Grade_gpt]]=""),0,tblMovement[[#This Row],[Tonnes_t]]*tblMovement[[#This Row],[Grade_gpt]]/cfg_TroyOz)</f>
        <v/>
      </c>
      <c r="O1784" s="59">
        <f>IF(tblMovement[[#This Row],[Is_Ore]]=1,tblMovement[[#This Row],[Contained_oz]],0)</f>
        <v/>
      </c>
    </row>
    <row r="1785">
      <c r="A1785" s="54" t="n"/>
      <c r="B1785" s="61" t="n"/>
      <c r="C1785" s="61" t="n"/>
      <c r="D1785" s="61" t="n"/>
      <c r="E1785" s="61" t="n"/>
      <c r="F1785" s="55" t="n"/>
      <c r="G1785" s="56" t="n"/>
      <c r="H1785" s="55" t="n"/>
      <c r="I1785" s="62" t="n"/>
      <c r="J1785" s="58" t="n"/>
      <c r="K1785" s="63">
        <f>IF(tblMovement[[#This Row],[Source]]="","",IFERROR(INDEX(tblSources[Type],MATCH(tblMovement[[#This Row],[Source]],tblSources[Source],0)),"?"))</f>
        <v/>
      </c>
      <c r="L1785" s="63">
        <f>IF(tblMovement[[#This Row],[Destination]]="","",IFERROR(INDEX(tblDestinations[Type],MATCH(tblMovement[[#This Row],[Destination]],tblDestinations[Destination],0)),"?"))</f>
        <v/>
      </c>
      <c r="M1785" s="64">
        <f>IF(tblMovement[[#This Row],[Material]]="","",IF(LEFT(tblMovement[[#This Row],[Material]],3)="Ore",1,0))</f>
        <v/>
      </c>
      <c r="N1785" s="59">
        <f>IF(OR(tblMovement[[#This Row],[Tonnes_t]]="",tblMovement[[#This Row],[Grade_gpt]]=""),0,tblMovement[[#This Row],[Tonnes_t]]*tblMovement[[#This Row],[Grade_gpt]]/cfg_TroyOz)</f>
        <v/>
      </c>
      <c r="O1785" s="59">
        <f>IF(tblMovement[[#This Row],[Is_Ore]]=1,tblMovement[[#This Row],[Contained_oz]],0)</f>
        <v/>
      </c>
    </row>
    <row r="1786">
      <c r="A1786" s="54" t="n"/>
      <c r="B1786" s="61" t="n"/>
      <c r="C1786" s="61" t="n"/>
      <c r="D1786" s="61" t="n"/>
      <c r="E1786" s="61" t="n"/>
      <c r="F1786" s="55" t="n"/>
      <c r="G1786" s="56" t="n"/>
      <c r="H1786" s="55" t="n"/>
      <c r="I1786" s="62" t="n"/>
      <c r="J1786" s="58" t="n"/>
      <c r="K1786" s="63">
        <f>IF(tblMovement[[#This Row],[Source]]="","",IFERROR(INDEX(tblSources[Type],MATCH(tblMovement[[#This Row],[Source]],tblSources[Source],0)),"?"))</f>
        <v/>
      </c>
      <c r="L1786" s="63">
        <f>IF(tblMovement[[#This Row],[Destination]]="","",IFERROR(INDEX(tblDestinations[Type],MATCH(tblMovement[[#This Row],[Destination]],tblDestinations[Destination],0)),"?"))</f>
        <v/>
      </c>
      <c r="M1786" s="64">
        <f>IF(tblMovement[[#This Row],[Material]]="","",IF(LEFT(tblMovement[[#This Row],[Material]],3)="Ore",1,0))</f>
        <v/>
      </c>
      <c r="N1786" s="59">
        <f>IF(OR(tblMovement[[#This Row],[Tonnes_t]]="",tblMovement[[#This Row],[Grade_gpt]]=""),0,tblMovement[[#This Row],[Tonnes_t]]*tblMovement[[#This Row],[Grade_gpt]]/cfg_TroyOz)</f>
        <v/>
      </c>
      <c r="O1786" s="59">
        <f>IF(tblMovement[[#This Row],[Is_Ore]]=1,tblMovement[[#This Row],[Contained_oz]],0)</f>
        <v/>
      </c>
    </row>
    <row r="1787">
      <c r="A1787" s="54" t="n"/>
      <c r="B1787" s="61" t="n"/>
      <c r="C1787" s="61" t="n"/>
      <c r="D1787" s="61" t="n"/>
      <c r="E1787" s="61" t="n"/>
      <c r="F1787" s="55" t="n"/>
      <c r="G1787" s="56" t="n"/>
      <c r="H1787" s="55" t="n"/>
      <c r="I1787" s="62" t="n"/>
      <c r="J1787" s="58" t="n"/>
      <c r="K1787" s="63">
        <f>IF(tblMovement[[#This Row],[Source]]="","",IFERROR(INDEX(tblSources[Type],MATCH(tblMovement[[#This Row],[Source]],tblSources[Source],0)),"?"))</f>
        <v/>
      </c>
      <c r="L1787" s="63">
        <f>IF(tblMovement[[#This Row],[Destination]]="","",IFERROR(INDEX(tblDestinations[Type],MATCH(tblMovement[[#This Row],[Destination]],tblDestinations[Destination],0)),"?"))</f>
        <v/>
      </c>
      <c r="M1787" s="64">
        <f>IF(tblMovement[[#This Row],[Material]]="","",IF(LEFT(tblMovement[[#This Row],[Material]],3)="Ore",1,0))</f>
        <v/>
      </c>
      <c r="N1787" s="59">
        <f>IF(OR(tblMovement[[#This Row],[Tonnes_t]]="",tblMovement[[#This Row],[Grade_gpt]]=""),0,tblMovement[[#This Row],[Tonnes_t]]*tblMovement[[#This Row],[Grade_gpt]]/cfg_TroyOz)</f>
        <v/>
      </c>
      <c r="O1787" s="59">
        <f>IF(tblMovement[[#This Row],[Is_Ore]]=1,tblMovement[[#This Row],[Contained_oz]],0)</f>
        <v/>
      </c>
    </row>
    <row r="1788">
      <c r="A1788" s="54" t="n"/>
      <c r="B1788" s="61" t="n"/>
      <c r="C1788" s="61" t="n"/>
      <c r="D1788" s="61" t="n"/>
      <c r="E1788" s="61" t="n"/>
      <c r="F1788" s="55" t="n"/>
      <c r="G1788" s="56" t="n"/>
      <c r="H1788" s="55" t="n"/>
      <c r="I1788" s="62" t="n"/>
      <c r="J1788" s="58" t="n"/>
      <c r="K1788" s="63">
        <f>IF(tblMovement[[#This Row],[Source]]="","",IFERROR(INDEX(tblSources[Type],MATCH(tblMovement[[#This Row],[Source]],tblSources[Source],0)),"?"))</f>
        <v/>
      </c>
      <c r="L1788" s="63">
        <f>IF(tblMovement[[#This Row],[Destination]]="","",IFERROR(INDEX(tblDestinations[Type],MATCH(tblMovement[[#This Row],[Destination]],tblDestinations[Destination],0)),"?"))</f>
        <v/>
      </c>
      <c r="M1788" s="64">
        <f>IF(tblMovement[[#This Row],[Material]]="","",IF(LEFT(tblMovement[[#This Row],[Material]],3)="Ore",1,0))</f>
        <v/>
      </c>
      <c r="N1788" s="59">
        <f>IF(OR(tblMovement[[#This Row],[Tonnes_t]]="",tblMovement[[#This Row],[Grade_gpt]]=""),0,tblMovement[[#This Row],[Tonnes_t]]*tblMovement[[#This Row],[Grade_gpt]]/cfg_TroyOz)</f>
        <v/>
      </c>
      <c r="O1788" s="59">
        <f>IF(tblMovement[[#This Row],[Is_Ore]]=1,tblMovement[[#This Row],[Contained_oz]],0)</f>
        <v/>
      </c>
    </row>
    <row r="1789">
      <c r="A1789" s="54" t="n"/>
      <c r="B1789" s="61" t="n"/>
      <c r="C1789" s="61" t="n"/>
      <c r="D1789" s="61" t="n"/>
      <c r="E1789" s="61" t="n"/>
      <c r="F1789" s="55" t="n"/>
      <c r="G1789" s="56" t="n"/>
      <c r="H1789" s="55" t="n"/>
      <c r="I1789" s="62" t="n"/>
      <c r="J1789" s="58" t="n"/>
      <c r="K1789" s="63">
        <f>IF(tblMovement[[#This Row],[Source]]="","",IFERROR(INDEX(tblSources[Type],MATCH(tblMovement[[#This Row],[Source]],tblSources[Source],0)),"?"))</f>
        <v/>
      </c>
      <c r="L1789" s="63">
        <f>IF(tblMovement[[#This Row],[Destination]]="","",IFERROR(INDEX(tblDestinations[Type],MATCH(tblMovement[[#This Row],[Destination]],tblDestinations[Destination],0)),"?"))</f>
        <v/>
      </c>
      <c r="M1789" s="64">
        <f>IF(tblMovement[[#This Row],[Material]]="","",IF(LEFT(tblMovement[[#This Row],[Material]],3)="Ore",1,0))</f>
        <v/>
      </c>
      <c r="N1789" s="59">
        <f>IF(OR(tblMovement[[#This Row],[Tonnes_t]]="",tblMovement[[#This Row],[Grade_gpt]]=""),0,tblMovement[[#This Row],[Tonnes_t]]*tblMovement[[#This Row],[Grade_gpt]]/cfg_TroyOz)</f>
        <v/>
      </c>
      <c r="O1789" s="59">
        <f>IF(tblMovement[[#This Row],[Is_Ore]]=1,tblMovement[[#This Row],[Contained_oz]],0)</f>
        <v/>
      </c>
    </row>
    <row r="1790">
      <c r="A1790" s="54" t="n"/>
      <c r="B1790" s="61" t="n"/>
      <c r="C1790" s="61" t="n"/>
      <c r="D1790" s="61" t="n"/>
      <c r="E1790" s="61" t="n"/>
      <c r="F1790" s="55" t="n"/>
      <c r="G1790" s="56" t="n"/>
      <c r="H1790" s="55" t="n"/>
      <c r="I1790" s="62" t="n"/>
      <c r="J1790" s="58" t="n"/>
      <c r="K1790" s="63">
        <f>IF(tblMovement[[#This Row],[Source]]="","",IFERROR(INDEX(tblSources[Type],MATCH(tblMovement[[#This Row],[Source]],tblSources[Source],0)),"?"))</f>
        <v/>
      </c>
      <c r="L1790" s="63">
        <f>IF(tblMovement[[#This Row],[Destination]]="","",IFERROR(INDEX(tblDestinations[Type],MATCH(tblMovement[[#This Row],[Destination]],tblDestinations[Destination],0)),"?"))</f>
        <v/>
      </c>
      <c r="M1790" s="64">
        <f>IF(tblMovement[[#This Row],[Material]]="","",IF(LEFT(tblMovement[[#This Row],[Material]],3)="Ore",1,0))</f>
        <v/>
      </c>
      <c r="N1790" s="59">
        <f>IF(OR(tblMovement[[#This Row],[Tonnes_t]]="",tblMovement[[#This Row],[Grade_gpt]]=""),0,tblMovement[[#This Row],[Tonnes_t]]*tblMovement[[#This Row],[Grade_gpt]]/cfg_TroyOz)</f>
        <v/>
      </c>
      <c r="O1790" s="59">
        <f>IF(tblMovement[[#This Row],[Is_Ore]]=1,tblMovement[[#This Row],[Contained_oz]],0)</f>
        <v/>
      </c>
    </row>
    <row r="1791">
      <c r="A1791" s="54" t="n"/>
      <c r="B1791" s="61" t="n"/>
      <c r="C1791" s="61" t="n"/>
      <c r="D1791" s="61" t="n"/>
      <c r="E1791" s="61" t="n"/>
      <c r="F1791" s="55" t="n"/>
      <c r="G1791" s="56" t="n"/>
      <c r="H1791" s="55" t="n"/>
      <c r="I1791" s="62" t="n"/>
      <c r="J1791" s="58" t="n"/>
      <c r="K1791" s="63">
        <f>IF(tblMovement[[#This Row],[Source]]="","",IFERROR(INDEX(tblSources[Type],MATCH(tblMovement[[#This Row],[Source]],tblSources[Source],0)),"?"))</f>
        <v/>
      </c>
      <c r="L1791" s="63">
        <f>IF(tblMovement[[#This Row],[Destination]]="","",IFERROR(INDEX(tblDestinations[Type],MATCH(tblMovement[[#This Row],[Destination]],tblDestinations[Destination],0)),"?"))</f>
        <v/>
      </c>
      <c r="M1791" s="64">
        <f>IF(tblMovement[[#This Row],[Material]]="","",IF(LEFT(tblMovement[[#This Row],[Material]],3)="Ore",1,0))</f>
        <v/>
      </c>
      <c r="N1791" s="59">
        <f>IF(OR(tblMovement[[#This Row],[Tonnes_t]]="",tblMovement[[#This Row],[Grade_gpt]]=""),0,tblMovement[[#This Row],[Tonnes_t]]*tblMovement[[#This Row],[Grade_gpt]]/cfg_TroyOz)</f>
        <v/>
      </c>
      <c r="O1791" s="59">
        <f>IF(tblMovement[[#This Row],[Is_Ore]]=1,tblMovement[[#This Row],[Contained_oz]],0)</f>
        <v/>
      </c>
    </row>
    <row r="1792">
      <c r="A1792" s="54" t="n"/>
      <c r="B1792" s="61" t="n"/>
      <c r="C1792" s="61" t="n"/>
      <c r="D1792" s="61" t="n"/>
      <c r="E1792" s="61" t="n"/>
      <c r="F1792" s="55" t="n"/>
      <c r="G1792" s="56" t="n"/>
      <c r="H1792" s="55" t="n"/>
      <c r="I1792" s="62" t="n"/>
      <c r="J1792" s="58" t="n"/>
      <c r="K1792" s="63">
        <f>IF(tblMovement[[#This Row],[Source]]="","",IFERROR(INDEX(tblSources[Type],MATCH(tblMovement[[#This Row],[Source]],tblSources[Source],0)),"?"))</f>
        <v/>
      </c>
      <c r="L1792" s="63">
        <f>IF(tblMovement[[#This Row],[Destination]]="","",IFERROR(INDEX(tblDestinations[Type],MATCH(tblMovement[[#This Row],[Destination]],tblDestinations[Destination],0)),"?"))</f>
        <v/>
      </c>
      <c r="M1792" s="64">
        <f>IF(tblMovement[[#This Row],[Material]]="","",IF(LEFT(tblMovement[[#This Row],[Material]],3)="Ore",1,0))</f>
        <v/>
      </c>
      <c r="N1792" s="59">
        <f>IF(OR(tblMovement[[#This Row],[Tonnes_t]]="",tblMovement[[#This Row],[Grade_gpt]]=""),0,tblMovement[[#This Row],[Tonnes_t]]*tblMovement[[#This Row],[Grade_gpt]]/cfg_TroyOz)</f>
        <v/>
      </c>
      <c r="O1792" s="59">
        <f>IF(tblMovement[[#This Row],[Is_Ore]]=1,tblMovement[[#This Row],[Contained_oz]],0)</f>
        <v/>
      </c>
    </row>
    <row r="1793">
      <c r="A1793" s="54" t="n"/>
      <c r="B1793" s="61" t="n"/>
      <c r="C1793" s="61" t="n"/>
      <c r="D1793" s="61" t="n"/>
      <c r="E1793" s="61" t="n"/>
      <c r="F1793" s="55" t="n"/>
      <c r="G1793" s="56" t="n"/>
      <c r="H1793" s="55" t="n"/>
      <c r="I1793" s="62" t="n"/>
      <c r="J1793" s="58" t="n"/>
      <c r="K1793" s="63">
        <f>IF(tblMovement[[#This Row],[Source]]="","",IFERROR(INDEX(tblSources[Type],MATCH(tblMovement[[#This Row],[Source]],tblSources[Source],0)),"?"))</f>
        <v/>
      </c>
      <c r="L1793" s="63">
        <f>IF(tblMovement[[#This Row],[Destination]]="","",IFERROR(INDEX(tblDestinations[Type],MATCH(tblMovement[[#This Row],[Destination]],tblDestinations[Destination],0)),"?"))</f>
        <v/>
      </c>
      <c r="M1793" s="64">
        <f>IF(tblMovement[[#This Row],[Material]]="","",IF(LEFT(tblMovement[[#This Row],[Material]],3)="Ore",1,0))</f>
        <v/>
      </c>
      <c r="N1793" s="59">
        <f>IF(OR(tblMovement[[#This Row],[Tonnes_t]]="",tblMovement[[#This Row],[Grade_gpt]]=""),0,tblMovement[[#This Row],[Tonnes_t]]*tblMovement[[#This Row],[Grade_gpt]]/cfg_TroyOz)</f>
        <v/>
      </c>
      <c r="O1793" s="59">
        <f>IF(tblMovement[[#This Row],[Is_Ore]]=1,tblMovement[[#This Row],[Contained_oz]],0)</f>
        <v/>
      </c>
    </row>
    <row r="1794">
      <c r="A1794" s="54" t="n"/>
      <c r="B1794" s="61" t="n"/>
      <c r="C1794" s="61" t="n"/>
      <c r="D1794" s="61" t="n"/>
      <c r="E1794" s="61" t="n"/>
      <c r="F1794" s="55" t="n"/>
      <c r="G1794" s="56" t="n"/>
      <c r="H1794" s="55" t="n"/>
      <c r="I1794" s="62" t="n"/>
      <c r="J1794" s="58" t="n"/>
      <c r="K1794" s="63">
        <f>IF(tblMovement[[#This Row],[Source]]="","",IFERROR(INDEX(tblSources[Type],MATCH(tblMovement[[#This Row],[Source]],tblSources[Source],0)),"?"))</f>
        <v/>
      </c>
      <c r="L1794" s="63">
        <f>IF(tblMovement[[#This Row],[Destination]]="","",IFERROR(INDEX(tblDestinations[Type],MATCH(tblMovement[[#This Row],[Destination]],tblDestinations[Destination],0)),"?"))</f>
        <v/>
      </c>
      <c r="M1794" s="64">
        <f>IF(tblMovement[[#This Row],[Material]]="","",IF(LEFT(tblMovement[[#This Row],[Material]],3)="Ore",1,0))</f>
        <v/>
      </c>
      <c r="N1794" s="59">
        <f>IF(OR(tblMovement[[#This Row],[Tonnes_t]]="",tblMovement[[#This Row],[Grade_gpt]]=""),0,tblMovement[[#This Row],[Tonnes_t]]*tblMovement[[#This Row],[Grade_gpt]]/cfg_TroyOz)</f>
        <v/>
      </c>
      <c r="O1794" s="59">
        <f>IF(tblMovement[[#This Row],[Is_Ore]]=1,tblMovement[[#This Row],[Contained_oz]],0)</f>
        <v/>
      </c>
    </row>
    <row r="1795">
      <c r="A1795" s="54" t="n"/>
      <c r="B1795" s="61" t="n"/>
      <c r="C1795" s="61" t="n"/>
      <c r="D1795" s="61" t="n"/>
      <c r="E1795" s="61" t="n"/>
      <c r="F1795" s="55" t="n"/>
      <c r="G1795" s="56" t="n"/>
      <c r="H1795" s="55" t="n"/>
      <c r="I1795" s="62" t="n"/>
      <c r="J1795" s="58" t="n"/>
      <c r="K1795" s="63">
        <f>IF(tblMovement[[#This Row],[Source]]="","",IFERROR(INDEX(tblSources[Type],MATCH(tblMovement[[#This Row],[Source]],tblSources[Source],0)),"?"))</f>
        <v/>
      </c>
      <c r="L1795" s="63">
        <f>IF(tblMovement[[#This Row],[Destination]]="","",IFERROR(INDEX(tblDestinations[Type],MATCH(tblMovement[[#This Row],[Destination]],tblDestinations[Destination],0)),"?"))</f>
        <v/>
      </c>
      <c r="M1795" s="64">
        <f>IF(tblMovement[[#This Row],[Material]]="","",IF(LEFT(tblMovement[[#This Row],[Material]],3)="Ore",1,0))</f>
        <v/>
      </c>
      <c r="N1795" s="59">
        <f>IF(OR(tblMovement[[#This Row],[Tonnes_t]]="",tblMovement[[#This Row],[Grade_gpt]]=""),0,tblMovement[[#This Row],[Tonnes_t]]*tblMovement[[#This Row],[Grade_gpt]]/cfg_TroyOz)</f>
        <v/>
      </c>
      <c r="O1795" s="59">
        <f>IF(tblMovement[[#This Row],[Is_Ore]]=1,tblMovement[[#This Row],[Contained_oz]],0)</f>
        <v/>
      </c>
    </row>
    <row r="1796">
      <c r="A1796" s="54" t="n"/>
      <c r="B1796" s="61" t="n"/>
      <c r="C1796" s="61" t="n"/>
      <c r="D1796" s="61" t="n"/>
      <c r="E1796" s="61" t="n"/>
      <c r="F1796" s="55" t="n"/>
      <c r="G1796" s="56" t="n"/>
      <c r="H1796" s="55" t="n"/>
      <c r="I1796" s="62" t="n"/>
      <c r="J1796" s="58" t="n"/>
      <c r="K1796" s="63">
        <f>IF(tblMovement[[#This Row],[Source]]="","",IFERROR(INDEX(tblSources[Type],MATCH(tblMovement[[#This Row],[Source]],tblSources[Source],0)),"?"))</f>
        <v/>
      </c>
      <c r="L1796" s="63">
        <f>IF(tblMovement[[#This Row],[Destination]]="","",IFERROR(INDEX(tblDestinations[Type],MATCH(tblMovement[[#This Row],[Destination]],tblDestinations[Destination],0)),"?"))</f>
        <v/>
      </c>
      <c r="M1796" s="64">
        <f>IF(tblMovement[[#This Row],[Material]]="","",IF(LEFT(tblMovement[[#This Row],[Material]],3)="Ore",1,0))</f>
        <v/>
      </c>
      <c r="N1796" s="59">
        <f>IF(OR(tblMovement[[#This Row],[Tonnes_t]]="",tblMovement[[#This Row],[Grade_gpt]]=""),0,tblMovement[[#This Row],[Tonnes_t]]*tblMovement[[#This Row],[Grade_gpt]]/cfg_TroyOz)</f>
        <v/>
      </c>
      <c r="O1796" s="59">
        <f>IF(tblMovement[[#This Row],[Is_Ore]]=1,tblMovement[[#This Row],[Contained_oz]],0)</f>
        <v/>
      </c>
    </row>
    <row r="1797">
      <c r="A1797" s="54" t="n"/>
      <c r="B1797" s="61" t="n"/>
      <c r="C1797" s="61" t="n"/>
      <c r="D1797" s="61" t="n"/>
      <c r="E1797" s="61" t="n"/>
      <c r="F1797" s="55" t="n"/>
      <c r="G1797" s="56" t="n"/>
      <c r="H1797" s="55" t="n"/>
      <c r="I1797" s="62" t="n"/>
      <c r="J1797" s="58" t="n"/>
      <c r="K1797" s="63">
        <f>IF(tblMovement[[#This Row],[Source]]="","",IFERROR(INDEX(tblSources[Type],MATCH(tblMovement[[#This Row],[Source]],tblSources[Source],0)),"?"))</f>
        <v/>
      </c>
      <c r="L1797" s="63">
        <f>IF(tblMovement[[#This Row],[Destination]]="","",IFERROR(INDEX(tblDestinations[Type],MATCH(tblMovement[[#This Row],[Destination]],tblDestinations[Destination],0)),"?"))</f>
        <v/>
      </c>
      <c r="M1797" s="64">
        <f>IF(tblMovement[[#This Row],[Material]]="","",IF(LEFT(tblMovement[[#This Row],[Material]],3)="Ore",1,0))</f>
        <v/>
      </c>
      <c r="N1797" s="59">
        <f>IF(OR(tblMovement[[#This Row],[Tonnes_t]]="",tblMovement[[#This Row],[Grade_gpt]]=""),0,tblMovement[[#This Row],[Tonnes_t]]*tblMovement[[#This Row],[Grade_gpt]]/cfg_TroyOz)</f>
        <v/>
      </c>
      <c r="O1797" s="59">
        <f>IF(tblMovement[[#This Row],[Is_Ore]]=1,tblMovement[[#This Row],[Contained_oz]],0)</f>
        <v/>
      </c>
    </row>
    <row r="1798">
      <c r="A1798" s="54" t="n"/>
      <c r="B1798" s="61" t="n"/>
      <c r="C1798" s="61" t="n"/>
      <c r="D1798" s="61" t="n"/>
      <c r="E1798" s="61" t="n"/>
      <c r="F1798" s="55" t="n"/>
      <c r="G1798" s="56" t="n"/>
      <c r="H1798" s="55" t="n"/>
      <c r="I1798" s="62" t="n"/>
      <c r="J1798" s="58" t="n"/>
      <c r="K1798" s="63">
        <f>IF(tblMovement[[#This Row],[Source]]="","",IFERROR(INDEX(tblSources[Type],MATCH(tblMovement[[#This Row],[Source]],tblSources[Source],0)),"?"))</f>
        <v/>
      </c>
      <c r="L1798" s="63">
        <f>IF(tblMovement[[#This Row],[Destination]]="","",IFERROR(INDEX(tblDestinations[Type],MATCH(tblMovement[[#This Row],[Destination]],tblDestinations[Destination],0)),"?"))</f>
        <v/>
      </c>
      <c r="M1798" s="64">
        <f>IF(tblMovement[[#This Row],[Material]]="","",IF(LEFT(tblMovement[[#This Row],[Material]],3)="Ore",1,0))</f>
        <v/>
      </c>
      <c r="N1798" s="59">
        <f>IF(OR(tblMovement[[#This Row],[Tonnes_t]]="",tblMovement[[#This Row],[Grade_gpt]]=""),0,tblMovement[[#This Row],[Tonnes_t]]*tblMovement[[#This Row],[Grade_gpt]]/cfg_TroyOz)</f>
        <v/>
      </c>
      <c r="O1798" s="59">
        <f>IF(tblMovement[[#This Row],[Is_Ore]]=1,tblMovement[[#This Row],[Contained_oz]],0)</f>
        <v/>
      </c>
    </row>
    <row r="1799">
      <c r="A1799" s="54" t="n"/>
      <c r="B1799" s="61" t="n"/>
      <c r="C1799" s="61" t="n"/>
      <c r="D1799" s="61" t="n"/>
      <c r="E1799" s="61" t="n"/>
      <c r="F1799" s="55" t="n"/>
      <c r="G1799" s="56" t="n"/>
      <c r="H1799" s="55" t="n"/>
      <c r="I1799" s="62" t="n"/>
      <c r="J1799" s="58" t="n"/>
      <c r="K1799" s="63">
        <f>IF(tblMovement[[#This Row],[Source]]="","",IFERROR(INDEX(tblSources[Type],MATCH(tblMovement[[#This Row],[Source]],tblSources[Source],0)),"?"))</f>
        <v/>
      </c>
      <c r="L1799" s="63">
        <f>IF(tblMovement[[#This Row],[Destination]]="","",IFERROR(INDEX(tblDestinations[Type],MATCH(tblMovement[[#This Row],[Destination]],tblDestinations[Destination],0)),"?"))</f>
        <v/>
      </c>
      <c r="M1799" s="64">
        <f>IF(tblMovement[[#This Row],[Material]]="","",IF(LEFT(tblMovement[[#This Row],[Material]],3)="Ore",1,0))</f>
        <v/>
      </c>
      <c r="N1799" s="59">
        <f>IF(OR(tblMovement[[#This Row],[Tonnes_t]]="",tblMovement[[#This Row],[Grade_gpt]]=""),0,tblMovement[[#This Row],[Tonnes_t]]*tblMovement[[#This Row],[Grade_gpt]]/cfg_TroyOz)</f>
        <v/>
      </c>
      <c r="O1799" s="59">
        <f>IF(tblMovement[[#This Row],[Is_Ore]]=1,tblMovement[[#This Row],[Contained_oz]],0)</f>
        <v/>
      </c>
    </row>
    <row r="1800">
      <c r="A1800" s="54" t="n"/>
      <c r="B1800" s="61" t="n"/>
      <c r="C1800" s="61" t="n"/>
      <c r="D1800" s="61" t="n"/>
      <c r="E1800" s="61" t="n"/>
      <c r="F1800" s="55" t="n"/>
      <c r="G1800" s="56" t="n"/>
      <c r="H1800" s="55" t="n"/>
      <c r="I1800" s="62" t="n"/>
      <c r="J1800" s="58" t="n"/>
      <c r="K1800" s="63">
        <f>IF(tblMovement[[#This Row],[Source]]="","",IFERROR(INDEX(tblSources[Type],MATCH(tblMovement[[#This Row],[Source]],tblSources[Source],0)),"?"))</f>
        <v/>
      </c>
      <c r="L1800" s="63">
        <f>IF(tblMovement[[#This Row],[Destination]]="","",IFERROR(INDEX(tblDestinations[Type],MATCH(tblMovement[[#This Row],[Destination]],tblDestinations[Destination],0)),"?"))</f>
        <v/>
      </c>
      <c r="M1800" s="64">
        <f>IF(tblMovement[[#This Row],[Material]]="","",IF(LEFT(tblMovement[[#This Row],[Material]],3)="Ore",1,0))</f>
        <v/>
      </c>
      <c r="N1800" s="59">
        <f>IF(OR(tblMovement[[#This Row],[Tonnes_t]]="",tblMovement[[#This Row],[Grade_gpt]]=""),0,tblMovement[[#This Row],[Tonnes_t]]*tblMovement[[#This Row],[Grade_gpt]]/cfg_TroyOz)</f>
        <v/>
      </c>
      <c r="O1800" s="59">
        <f>IF(tblMovement[[#This Row],[Is_Ore]]=1,tblMovement[[#This Row],[Contained_oz]],0)</f>
        <v/>
      </c>
    </row>
    <row r="1801">
      <c r="A1801" s="54" t="n"/>
      <c r="B1801" s="61" t="n"/>
      <c r="C1801" s="61" t="n"/>
      <c r="D1801" s="61" t="n"/>
      <c r="E1801" s="61" t="n"/>
      <c r="F1801" s="55" t="n"/>
      <c r="G1801" s="56" t="n"/>
      <c r="H1801" s="55" t="n"/>
      <c r="I1801" s="62" t="n"/>
      <c r="J1801" s="58" t="n"/>
      <c r="K1801" s="63">
        <f>IF(tblMovement[[#This Row],[Source]]="","",IFERROR(INDEX(tblSources[Type],MATCH(tblMovement[[#This Row],[Source]],tblSources[Source],0)),"?"))</f>
        <v/>
      </c>
      <c r="L1801" s="63">
        <f>IF(tblMovement[[#This Row],[Destination]]="","",IFERROR(INDEX(tblDestinations[Type],MATCH(tblMovement[[#This Row],[Destination]],tblDestinations[Destination],0)),"?"))</f>
        <v/>
      </c>
      <c r="M1801" s="64">
        <f>IF(tblMovement[[#This Row],[Material]]="","",IF(LEFT(tblMovement[[#This Row],[Material]],3)="Ore",1,0))</f>
        <v/>
      </c>
      <c r="N1801" s="59">
        <f>IF(OR(tblMovement[[#This Row],[Tonnes_t]]="",tblMovement[[#This Row],[Grade_gpt]]=""),0,tblMovement[[#This Row],[Tonnes_t]]*tblMovement[[#This Row],[Grade_gpt]]/cfg_TroyOz)</f>
        <v/>
      </c>
      <c r="O1801" s="59">
        <f>IF(tblMovement[[#This Row],[Is_Ore]]=1,tblMovement[[#This Row],[Contained_oz]],0)</f>
        <v/>
      </c>
    </row>
    <row r="1802">
      <c r="A1802" s="54" t="n"/>
      <c r="B1802" s="61" t="n"/>
      <c r="C1802" s="61" t="n"/>
      <c r="D1802" s="61" t="n"/>
      <c r="E1802" s="61" t="n"/>
      <c r="F1802" s="55" t="n"/>
      <c r="G1802" s="56" t="n"/>
      <c r="H1802" s="55" t="n"/>
      <c r="I1802" s="62" t="n"/>
      <c r="J1802" s="58" t="n"/>
      <c r="K1802" s="63">
        <f>IF(tblMovement[[#This Row],[Source]]="","",IFERROR(INDEX(tblSources[Type],MATCH(tblMovement[[#This Row],[Source]],tblSources[Source],0)),"?"))</f>
        <v/>
      </c>
      <c r="L1802" s="63">
        <f>IF(tblMovement[[#This Row],[Destination]]="","",IFERROR(INDEX(tblDestinations[Type],MATCH(tblMovement[[#This Row],[Destination]],tblDestinations[Destination],0)),"?"))</f>
        <v/>
      </c>
      <c r="M1802" s="64">
        <f>IF(tblMovement[[#This Row],[Material]]="","",IF(LEFT(tblMovement[[#This Row],[Material]],3)="Ore",1,0))</f>
        <v/>
      </c>
      <c r="N1802" s="59">
        <f>IF(OR(tblMovement[[#This Row],[Tonnes_t]]="",tblMovement[[#This Row],[Grade_gpt]]=""),0,tblMovement[[#This Row],[Tonnes_t]]*tblMovement[[#This Row],[Grade_gpt]]/cfg_TroyOz)</f>
        <v/>
      </c>
      <c r="O1802" s="59">
        <f>IF(tblMovement[[#This Row],[Is_Ore]]=1,tblMovement[[#This Row],[Contained_oz]],0)</f>
        <v/>
      </c>
    </row>
    <row r="1803">
      <c r="A1803" s="54" t="n"/>
      <c r="B1803" s="61" t="n"/>
      <c r="C1803" s="61" t="n"/>
      <c r="D1803" s="61" t="n"/>
      <c r="E1803" s="61" t="n"/>
      <c r="F1803" s="55" t="n"/>
      <c r="G1803" s="56" t="n"/>
      <c r="H1803" s="55" t="n"/>
      <c r="I1803" s="62" t="n"/>
      <c r="J1803" s="58" t="n"/>
      <c r="K1803" s="63">
        <f>IF(tblMovement[[#This Row],[Source]]="","",IFERROR(INDEX(tblSources[Type],MATCH(tblMovement[[#This Row],[Source]],tblSources[Source],0)),"?"))</f>
        <v/>
      </c>
      <c r="L1803" s="63">
        <f>IF(tblMovement[[#This Row],[Destination]]="","",IFERROR(INDEX(tblDestinations[Type],MATCH(tblMovement[[#This Row],[Destination]],tblDestinations[Destination],0)),"?"))</f>
        <v/>
      </c>
      <c r="M1803" s="64">
        <f>IF(tblMovement[[#This Row],[Material]]="","",IF(LEFT(tblMovement[[#This Row],[Material]],3)="Ore",1,0))</f>
        <v/>
      </c>
      <c r="N1803" s="59">
        <f>IF(OR(tblMovement[[#This Row],[Tonnes_t]]="",tblMovement[[#This Row],[Grade_gpt]]=""),0,tblMovement[[#This Row],[Tonnes_t]]*tblMovement[[#This Row],[Grade_gpt]]/cfg_TroyOz)</f>
        <v/>
      </c>
      <c r="O1803" s="59">
        <f>IF(tblMovement[[#This Row],[Is_Ore]]=1,tblMovement[[#This Row],[Contained_oz]],0)</f>
        <v/>
      </c>
    </row>
    <row r="1804">
      <c r="A1804" s="54" t="n"/>
      <c r="B1804" s="61" t="n"/>
      <c r="C1804" s="61" t="n"/>
      <c r="D1804" s="61" t="n"/>
      <c r="E1804" s="61" t="n"/>
      <c r="F1804" s="55" t="n"/>
      <c r="G1804" s="56" t="n"/>
      <c r="H1804" s="55" t="n"/>
      <c r="I1804" s="62" t="n"/>
      <c r="J1804" s="58" t="n"/>
      <c r="K1804" s="63">
        <f>IF(tblMovement[[#This Row],[Source]]="","",IFERROR(INDEX(tblSources[Type],MATCH(tblMovement[[#This Row],[Source]],tblSources[Source],0)),"?"))</f>
        <v/>
      </c>
      <c r="L1804" s="63">
        <f>IF(tblMovement[[#This Row],[Destination]]="","",IFERROR(INDEX(tblDestinations[Type],MATCH(tblMovement[[#This Row],[Destination]],tblDestinations[Destination],0)),"?"))</f>
        <v/>
      </c>
      <c r="M1804" s="64">
        <f>IF(tblMovement[[#This Row],[Material]]="","",IF(LEFT(tblMovement[[#This Row],[Material]],3)="Ore",1,0))</f>
        <v/>
      </c>
      <c r="N1804" s="59">
        <f>IF(OR(tblMovement[[#This Row],[Tonnes_t]]="",tblMovement[[#This Row],[Grade_gpt]]=""),0,tblMovement[[#This Row],[Tonnes_t]]*tblMovement[[#This Row],[Grade_gpt]]/cfg_TroyOz)</f>
        <v/>
      </c>
      <c r="O1804" s="59">
        <f>IF(tblMovement[[#This Row],[Is_Ore]]=1,tblMovement[[#This Row],[Contained_oz]],0)</f>
        <v/>
      </c>
    </row>
    <row r="1805">
      <c r="A1805" s="54" t="n"/>
      <c r="B1805" s="61" t="n"/>
      <c r="C1805" s="61" t="n"/>
      <c r="D1805" s="61" t="n"/>
      <c r="E1805" s="61" t="n"/>
      <c r="F1805" s="55" t="n"/>
      <c r="G1805" s="56" t="n"/>
      <c r="H1805" s="55" t="n"/>
      <c r="I1805" s="62" t="n"/>
      <c r="J1805" s="58" t="n"/>
      <c r="K1805" s="63">
        <f>IF(tblMovement[[#This Row],[Source]]="","",IFERROR(INDEX(tblSources[Type],MATCH(tblMovement[[#This Row],[Source]],tblSources[Source],0)),"?"))</f>
        <v/>
      </c>
      <c r="L1805" s="63">
        <f>IF(tblMovement[[#This Row],[Destination]]="","",IFERROR(INDEX(tblDestinations[Type],MATCH(tblMovement[[#This Row],[Destination]],tblDestinations[Destination],0)),"?"))</f>
        <v/>
      </c>
      <c r="M1805" s="64">
        <f>IF(tblMovement[[#This Row],[Material]]="","",IF(LEFT(tblMovement[[#This Row],[Material]],3)="Ore",1,0))</f>
        <v/>
      </c>
      <c r="N1805" s="59">
        <f>IF(OR(tblMovement[[#This Row],[Tonnes_t]]="",tblMovement[[#This Row],[Grade_gpt]]=""),0,tblMovement[[#This Row],[Tonnes_t]]*tblMovement[[#This Row],[Grade_gpt]]/cfg_TroyOz)</f>
        <v/>
      </c>
      <c r="O1805" s="59">
        <f>IF(tblMovement[[#This Row],[Is_Ore]]=1,tblMovement[[#This Row],[Contained_oz]],0)</f>
        <v/>
      </c>
    </row>
    <row r="1806">
      <c r="A1806" s="54" t="n"/>
      <c r="B1806" s="61" t="n"/>
      <c r="C1806" s="61" t="n"/>
      <c r="D1806" s="61" t="n"/>
      <c r="E1806" s="61" t="n"/>
      <c r="F1806" s="55" t="n"/>
      <c r="G1806" s="56" t="n"/>
      <c r="H1806" s="55" t="n"/>
      <c r="I1806" s="62" t="n"/>
      <c r="J1806" s="58" t="n"/>
      <c r="K1806" s="63">
        <f>IF(tblMovement[[#This Row],[Source]]="","",IFERROR(INDEX(tblSources[Type],MATCH(tblMovement[[#This Row],[Source]],tblSources[Source],0)),"?"))</f>
        <v/>
      </c>
      <c r="L1806" s="63">
        <f>IF(tblMovement[[#This Row],[Destination]]="","",IFERROR(INDEX(tblDestinations[Type],MATCH(tblMovement[[#This Row],[Destination]],tblDestinations[Destination],0)),"?"))</f>
        <v/>
      </c>
      <c r="M1806" s="64">
        <f>IF(tblMovement[[#This Row],[Material]]="","",IF(LEFT(tblMovement[[#This Row],[Material]],3)="Ore",1,0))</f>
        <v/>
      </c>
      <c r="N1806" s="59">
        <f>IF(OR(tblMovement[[#This Row],[Tonnes_t]]="",tblMovement[[#This Row],[Grade_gpt]]=""),0,tblMovement[[#This Row],[Tonnes_t]]*tblMovement[[#This Row],[Grade_gpt]]/cfg_TroyOz)</f>
        <v/>
      </c>
      <c r="O1806" s="59">
        <f>IF(tblMovement[[#This Row],[Is_Ore]]=1,tblMovement[[#This Row],[Contained_oz]],0)</f>
        <v/>
      </c>
    </row>
    <row r="1807">
      <c r="A1807" s="54" t="n"/>
      <c r="B1807" s="61" t="n"/>
      <c r="C1807" s="61" t="n"/>
      <c r="D1807" s="61" t="n"/>
      <c r="E1807" s="61" t="n"/>
      <c r="F1807" s="55" t="n"/>
      <c r="G1807" s="56" t="n"/>
      <c r="H1807" s="55" t="n"/>
      <c r="I1807" s="62" t="n"/>
      <c r="J1807" s="58" t="n"/>
      <c r="K1807" s="63">
        <f>IF(tblMovement[[#This Row],[Source]]="","",IFERROR(INDEX(tblSources[Type],MATCH(tblMovement[[#This Row],[Source]],tblSources[Source],0)),"?"))</f>
        <v/>
      </c>
      <c r="L1807" s="63">
        <f>IF(tblMovement[[#This Row],[Destination]]="","",IFERROR(INDEX(tblDestinations[Type],MATCH(tblMovement[[#This Row],[Destination]],tblDestinations[Destination],0)),"?"))</f>
        <v/>
      </c>
      <c r="M1807" s="64">
        <f>IF(tblMovement[[#This Row],[Material]]="","",IF(LEFT(tblMovement[[#This Row],[Material]],3)="Ore",1,0))</f>
        <v/>
      </c>
      <c r="N1807" s="59">
        <f>IF(OR(tblMovement[[#This Row],[Tonnes_t]]="",tblMovement[[#This Row],[Grade_gpt]]=""),0,tblMovement[[#This Row],[Tonnes_t]]*tblMovement[[#This Row],[Grade_gpt]]/cfg_TroyOz)</f>
        <v/>
      </c>
      <c r="O1807" s="59">
        <f>IF(tblMovement[[#This Row],[Is_Ore]]=1,tblMovement[[#This Row],[Contained_oz]],0)</f>
        <v/>
      </c>
    </row>
    <row r="1808">
      <c r="A1808" s="54" t="n"/>
      <c r="B1808" s="61" t="n"/>
      <c r="C1808" s="61" t="n"/>
      <c r="D1808" s="61" t="n"/>
      <c r="E1808" s="61" t="n"/>
      <c r="F1808" s="55" t="n"/>
      <c r="G1808" s="56" t="n"/>
      <c r="H1808" s="55" t="n"/>
      <c r="I1808" s="62" t="n"/>
      <c r="J1808" s="58" t="n"/>
      <c r="K1808" s="63">
        <f>IF(tblMovement[[#This Row],[Source]]="","",IFERROR(INDEX(tblSources[Type],MATCH(tblMovement[[#This Row],[Source]],tblSources[Source],0)),"?"))</f>
        <v/>
      </c>
      <c r="L1808" s="63">
        <f>IF(tblMovement[[#This Row],[Destination]]="","",IFERROR(INDEX(tblDestinations[Type],MATCH(tblMovement[[#This Row],[Destination]],tblDestinations[Destination],0)),"?"))</f>
        <v/>
      </c>
      <c r="M1808" s="64">
        <f>IF(tblMovement[[#This Row],[Material]]="","",IF(LEFT(tblMovement[[#This Row],[Material]],3)="Ore",1,0))</f>
        <v/>
      </c>
      <c r="N1808" s="59">
        <f>IF(OR(tblMovement[[#This Row],[Tonnes_t]]="",tblMovement[[#This Row],[Grade_gpt]]=""),0,tblMovement[[#This Row],[Tonnes_t]]*tblMovement[[#This Row],[Grade_gpt]]/cfg_TroyOz)</f>
        <v/>
      </c>
      <c r="O1808" s="59">
        <f>IF(tblMovement[[#This Row],[Is_Ore]]=1,tblMovement[[#This Row],[Contained_oz]],0)</f>
        <v/>
      </c>
    </row>
    <row r="1809">
      <c r="A1809" s="54" t="n"/>
      <c r="B1809" s="61" t="n"/>
      <c r="C1809" s="61" t="n"/>
      <c r="D1809" s="61" t="n"/>
      <c r="E1809" s="61" t="n"/>
      <c r="F1809" s="55" t="n"/>
      <c r="G1809" s="56" t="n"/>
      <c r="H1809" s="55" t="n"/>
      <c r="I1809" s="62" t="n"/>
      <c r="J1809" s="58" t="n"/>
      <c r="K1809" s="63">
        <f>IF(tblMovement[[#This Row],[Source]]="","",IFERROR(INDEX(tblSources[Type],MATCH(tblMovement[[#This Row],[Source]],tblSources[Source],0)),"?"))</f>
        <v/>
      </c>
      <c r="L1809" s="63">
        <f>IF(tblMovement[[#This Row],[Destination]]="","",IFERROR(INDEX(tblDestinations[Type],MATCH(tblMovement[[#This Row],[Destination]],tblDestinations[Destination],0)),"?"))</f>
        <v/>
      </c>
      <c r="M1809" s="64">
        <f>IF(tblMovement[[#This Row],[Material]]="","",IF(LEFT(tblMovement[[#This Row],[Material]],3)="Ore",1,0))</f>
        <v/>
      </c>
      <c r="N1809" s="59">
        <f>IF(OR(tblMovement[[#This Row],[Tonnes_t]]="",tblMovement[[#This Row],[Grade_gpt]]=""),0,tblMovement[[#This Row],[Tonnes_t]]*tblMovement[[#This Row],[Grade_gpt]]/cfg_TroyOz)</f>
        <v/>
      </c>
      <c r="O1809" s="59">
        <f>IF(tblMovement[[#This Row],[Is_Ore]]=1,tblMovement[[#This Row],[Contained_oz]],0)</f>
        <v/>
      </c>
    </row>
    <row r="1810">
      <c r="A1810" s="54" t="n"/>
      <c r="B1810" s="61" t="n"/>
      <c r="C1810" s="61" t="n"/>
      <c r="D1810" s="61" t="n"/>
      <c r="E1810" s="61" t="n"/>
      <c r="F1810" s="55" t="n"/>
      <c r="G1810" s="56" t="n"/>
      <c r="H1810" s="55" t="n"/>
      <c r="I1810" s="62" t="n"/>
      <c r="J1810" s="58" t="n"/>
      <c r="K1810" s="63">
        <f>IF(tblMovement[[#This Row],[Source]]="","",IFERROR(INDEX(tblSources[Type],MATCH(tblMovement[[#This Row],[Source]],tblSources[Source],0)),"?"))</f>
        <v/>
      </c>
      <c r="L1810" s="63">
        <f>IF(tblMovement[[#This Row],[Destination]]="","",IFERROR(INDEX(tblDestinations[Type],MATCH(tblMovement[[#This Row],[Destination]],tblDestinations[Destination],0)),"?"))</f>
        <v/>
      </c>
      <c r="M1810" s="64">
        <f>IF(tblMovement[[#This Row],[Material]]="","",IF(LEFT(tblMovement[[#This Row],[Material]],3)="Ore",1,0))</f>
        <v/>
      </c>
      <c r="N1810" s="59">
        <f>IF(OR(tblMovement[[#This Row],[Tonnes_t]]="",tblMovement[[#This Row],[Grade_gpt]]=""),0,tblMovement[[#This Row],[Tonnes_t]]*tblMovement[[#This Row],[Grade_gpt]]/cfg_TroyOz)</f>
        <v/>
      </c>
      <c r="O1810" s="59">
        <f>IF(tblMovement[[#This Row],[Is_Ore]]=1,tblMovement[[#This Row],[Contained_oz]],0)</f>
        <v/>
      </c>
    </row>
    <row r="1811">
      <c r="A1811" s="54" t="n"/>
      <c r="B1811" s="61" t="n"/>
      <c r="C1811" s="61" t="n"/>
      <c r="D1811" s="61" t="n"/>
      <c r="E1811" s="61" t="n"/>
      <c r="F1811" s="55" t="n"/>
      <c r="G1811" s="56" t="n"/>
      <c r="H1811" s="55" t="n"/>
      <c r="I1811" s="62" t="n"/>
      <c r="J1811" s="58" t="n"/>
      <c r="K1811" s="63">
        <f>IF(tblMovement[[#This Row],[Source]]="","",IFERROR(INDEX(tblSources[Type],MATCH(tblMovement[[#This Row],[Source]],tblSources[Source],0)),"?"))</f>
        <v/>
      </c>
      <c r="L1811" s="63">
        <f>IF(tblMovement[[#This Row],[Destination]]="","",IFERROR(INDEX(tblDestinations[Type],MATCH(tblMovement[[#This Row],[Destination]],tblDestinations[Destination],0)),"?"))</f>
        <v/>
      </c>
      <c r="M1811" s="64">
        <f>IF(tblMovement[[#This Row],[Material]]="","",IF(LEFT(tblMovement[[#This Row],[Material]],3)="Ore",1,0))</f>
        <v/>
      </c>
      <c r="N1811" s="59">
        <f>IF(OR(tblMovement[[#This Row],[Tonnes_t]]="",tblMovement[[#This Row],[Grade_gpt]]=""),0,tblMovement[[#This Row],[Tonnes_t]]*tblMovement[[#This Row],[Grade_gpt]]/cfg_TroyOz)</f>
        <v/>
      </c>
      <c r="O1811" s="59">
        <f>IF(tblMovement[[#This Row],[Is_Ore]]=1,tblMovement[[#This Row],[Contained_oz]],0)</f>
        <v/>
      </c>
    </row>
    <row r="1812">
      <c r="A1812" s="54" t="n"/>
      <c r="B1812" s="61" t="n"/>
      <c r="C1812" s="61" t="n"/>
      <c r="D1812" s="61" t="n"/>
      <c r="E1812" s="61" t="n"/>
      <c r="F1812" s="55" t="n"/>
      <c r="G1812" s="56" t="n"/>
      <c r="H1812" s="55" t="n"/>
      <c r="I1812" s="62" t="n"/>
      <c r="J1812" s="58" t="n"/>
      <c r="K1812" s="63">
        <f>IF(tblMovement[[#This Row],[Source]]="","",IFERROR(INDEX(tblSources[Type],MATCH(tblMovement[[#This Row],[Source]],tblSources[Source],0)),"?"))</f>
        <v/>
      </c>
      <c r="L1812" s="63">
        <f>IF(tblMovement[[#This Row],[Destination]]="","",IFERROR(INDEX(tblDestinations[Type],MATCH(tblMovement[[#This Row],[Destination]],tblDestinations[Destination],0)),"?"))</f>
        <v/>
      </c>
      <c r="M1812" s="64">
        <f>IF(tblMovement[[#This Row],[Material]]="","",IF(LEFT(tblMovement[[#This Row],[Material]],3)="Ore",1,0))</f>
        <v/>
      </c>
      <c r="N1812" s="59">
        <f>IF(OR(tblMovement[[#This Row],[Tonnes_t]]="",tblMovement[[#This Row],[Grade_gpt]]=""),0,tblMovement[[#This Row],[Tonnes_t]]*tblMovement[[#This Row],[Grade_gpt]]/cfg_TroyOz)</f>
        <v/>
      </c>
      <c r="O1812" s="59">
        <f>IF(tblMovement[[#This Row],[Is_Ore]]=1,tblMovement[[#This Row],[Contained_oz]],0)</f>
        <v/>
      </c>
    </row>
    <row r="1813">
      <c r="A1813" s="54" t="n"/>
      <c r="B1813" s="61" t="n"/>
      <c r="C1813" s="61" t="n"/>
      <c r="D1813" s="61" t="n"/>
      <c r="E1813" s="61" t="n"/>
      <c r="F1813" s="55" t="n"/>
      <c r="G1813" s="56" t="n"/>
      <c r="H1813" s="55" t="n"/>
      <c r="I1813" s="62" t="n"/>
      <c r="J1813" s="58" t="n"/>
      <c r="K1813" s="63">
        <f>IF(tblMovement[[#This Row],[Source]]="","",IFERROR(INDEX(tblSources[Type],MATCH(tblMovement[[#This Row],[Source]],tblSources[Source],0)),"?"))</f>
        <v/>
      </c>
      <c r="L1813" s="63">
        <f>IF(tblMovement[[#This Row],[Destination]]="","",IFERROR(INDEX(tblDestinations[Type],MATCH(tblMovement[[#This Row],[Destination]],tblDestinations[Destination],0)),"?"))</f>
        <v/>
      </c>
      <c r="M1813" s="64">
        <f>IF(tblMovement[[#This Row],[Material]]="","",IF(LEFT(tblMovement[[#This Row],[Material]],3)="Ore",1,0))</f>
        <v/>
      </c>
      <c r="N1813" s="59">
        <f>IF(OR(tblMovement[[#This Row],[Tonnes_t]]="",tblMovement[[#This Row],[Grade_gpt]]=""),0,tblMovement[[#This Row],[Tonnes_t]]*tblMovement[[#This Row],[Grade_gpt]]/cfg_TroyOz)</f>
        <v/>
      </c>
      <c r="O1813" s="59">
        <f>IF(tblMovement[[#This Row],[Is_Ore]]=1,tblMovement[[#This Row],[Contained_oz]],0)</f>
        <v/>
      </c>
    </row>
    <row r="1814">
      <c r="A1814" s="54" t="n"/>
      <c r="B1814" s="61" t="n"/>
      <c r="C1814" s="61" t="n"/>
      <c r="D1814" s="61" t="n"/>
      <c r="E1814" s="61" t="n"/>
      <c r="F1814" s="55" t="n"/>
      <c r="G1814" s="56" t="n"/>
      <c r="H1814" s="55" t="n"/>
      <c r="I1814" s="62" t="n"/>
      <c r="J1814" s="58" t="n"/>
      <c r="K1814" s="63">
        <f>IF(tblMovement[[#This Row],[Source]]="","",IFERROR(INDEX(tblSources[Type],MATCH(tblMovement[[#This Row],[Source]],tblSources[Source],0)),"?"))</f>
        <v/>
      </c>
      <c r="L1814" s="63">
        <f>IF(tblMovement[[#This Row],[Destination]]="","",IFERROR(INDEX(tblDestinations[Type],MATCH(tblMovement[[#This Row],[Destination]],tblDestinations[Destination],0)),"?"))</f>
        <v/>
      </c>
      <c r="M1814" s="64">
        <f>IF(tblMovement[[#This Row],[Material]]="","",IF(LEFT(tblMovement[[#This Row],[Material]],3)="Ore",1,0))</f>
        <v/>
      </c>
      <c r="N1814" s="59">
        <f>IF(OR(tblMovement[[#This Row],[Tonnes_t]]="",tblMovement[[#This Row],[Grade_gpt]]=""),0,tblMovement[[#This Row],[Tonnes_t]]*tblMovement[[#This Row],[Grade_gpt]]/cfg_TroyOz)</f>
        <v/>
      </c>
      <c r="O1814" s="59">
        <f>IF(tblMovement[[#This Row],[Is_Ore]]=1,tblMovement[[#This Row],[Contained_oz]],0)</f>
        <v/>
      </c>
    </row>
    <row r="1815">
      <c r="A1815" s="54" t="n"/>
      <c r="B1815" s="61" t="n"/>
      <c r="C1815" s="61" t="n"/>
      <c r="D1815" s="61" t="n"/>
      <c r="E1815" s="61" t="n"/>
      <c r="F1815" s="55" t="n"/>
      <c r="G1815" s="56" t="n"/>
      <c r="H1815" s="55" t="n"/>
      <c r="I1815" s="62" t="n"/>
      <c r="J1815" s="58" t="n"/>
      <c r="K1815" s="63">
        <f>IF(tblMovement[[#This Row],[Source]]="","",IFERROR(INDEX(tblSources[Type],MATCH(tblMovement[[#This Row],[Source]],tblSources[Source],0)),"?"))</f>
        <v/>
      </c>
      <c r="L1815" s="63">
        <f>IF(tblMovement[[#This Row],[Destination]]="","",IFERROR(INDEX(tblDestinations[Type],MATCH(tblMovement[[#This Row],[Destination]],tblDestinations[Destination],0)),"?"))</f>
        <v/>
      </c>
      <c r="M1815" s="64">
        <f>IF(tblMovement[[#This Row],[Material]]="","",IF(LEFT(tblMovement[[#This Row],[Material]],3)="Ore",1,0))</f>
        <v/>
      </c>
      <c r="N1815" s="59">
        <f>IF(OR(tblMovement[[#This Row],[Tonnes_t]]="",tblMovement[[#This Row],[Grade_gpt]]=""),0,tblMovement[[#This Row],[Tonnes_t]]*tblMovement[[#This Row],[Grade_gpt]]/cfg_TroyOz)</f>
        <v/>
      </c>
      <c r="O1815" s="59">
        <f>IF(tblMovement[[#This Row],[Is_Ore]]=1,tblMovement[[#This Row],[Contained_oz]],0)</f>
        <v/>
      </c>
    </row>
    <row r="1816">
      <c r="A1816" s="54" t="n"/>
      <c r="B1816" s="61" t="n"/>
      <c r="C1816" s="61" t="n"/>
      <c r="D1816" s="61" t="n"/>
      <c r="E1816" s="61" t="n"/>
      <c r="F1816" s="55" t="n"/>
      <c r="G1816" s="56" t="n"/>
      <c r="H1816" s="55" t="n"/>
      <c r="I1816" s="62" t="n"/>
      <c r="J1816" s="58" t="n"/>
      <c r="K1816" s="63">
        <f>IF(tblMovement[[#This Row],[Source]]="","",IFERROR(INDEX(tblSources[Type],MATCH(tblMovement[[#This Row],[Source]],tblSources[Source],0)),"?"))</f>
        <v/>
      </c>
      <c r="L1816" s="63">
        <f>IF(tblMovement[[#This Row],[Destination]]="","",IFERROR(INDEX(tblDestinations[Type],MATCH(tblMovement[[#This Row],[Destination]],tblDestinations[Destination],0)),"?"))</f>
        <v/>
      </c>
      <c r="M1816" s="64">
        <f>IF(tblMovement[[#This Row],[Material]]="","",IF(LEFT(tblMovement[[#This Row],[Material]],3)="Ore",1,0))</f>
        <v/>
      </c>
      <c r="N1816" s="59">
        <f>IF(OR(tblMovement[[#This Row],[Tonnes_t]]="",tblMovement[[#This Row],[Grade_gpt]]=""),0,tblMovement[[#This Row],[Tonnes_t]]*tblMovement[[#This Row],[Grade_gpt]]/cfg_TroyOz)</f>
        <v/>
      </c>
      <c r="O1816" s="59">
        <f>IF(tblMovement[[#This Row],[Is_Ore]]=1,tblMovement[[#This Row],[Contained_oz]],0)</f>
        <v/>
      </c>
    </row>
    <row r="1817">
      <c r="A1817" s="54" t="n"/>
      <c r="B1817" s="61" t="n"/>
      <c r="C1817" s="61" t="n"/>
      <c r="D1817" s="61" t="n"/>
      <c r="E1817" s="61" t="n"/>
      <c r="F1817" s="55" t="n"/>
      <c r="G1817" s="56" t="n"/>
      <c r="H1817" s="55" t="n"/>
      <c r="I1817" s="62" t="n"/>
      <c r="J1817" s="58" t="n"/>
      <c r="K1817" s="63">
        <f>IF(tblMovement[[#This Row],[Source]]="","",IFERROR(INDEX(tblSources[Type],MATCH(tblMovement[[#This Row],[Source]],tblSources[Source],0)),"?"))</f>
        <v/>
      </c>
      <c r="L1817" s="63">
        <f>IF(tblMovement[[#This Row],[Destination]]="","",IFERROR(INDEX(tblDestinations[Type],MATCH(tblMovement[[#This Row],[Destination]],tblDestinations[Destination],0)),"?"))</f>
        <v/>
      </c>
      <c r="M1817" s="64">
        <f>IF(tblMovement[[#This Row],[Material]]="","",IF(LEFT(tblMovement[[#This Row],[Material]],3)="Ore",1,0))</f>
        <v/>
      </c>
      <c r="N1817" s="59">
        <f>IF(OR(tblMovement[[#This Row],[Tonnes_t]]="",tblMovement[[#This Row],[Grade_gpt]]=""),0,tblMovement[[#This Row],[Tonnes_t]]*tblMovement[[#This Row],[Grade_gpt]]/cfg_TroyOz)</f>
        <v/>
      </c>
      <c r="O1817" s="59">
        <f>IF(tblMovement[[#This Row],[Is_Ore]]=1,tblMovement[[#This Row],[Contained_oz]],0)</f>
        <v/>
      </c>
    </row>
    <row r="1818">
      <c r="A1818" s="54" t="n"/>
      <c r="B1818" s="61" t="n"/>
      <c r="C1818" s="61" t="n"/>
      <c r="D1818" s="61" t="n"/>
      <c r="E1818" s="61" t="n"/>
      <c r="F1818" s="55" t="n"/>
      <c r="G1818" s="56" t="n"/>
      <c r="H1818" s="55" t="n"/>
      <c r="I1818" s="62" t="n"/>
      <c r="J1818" s="58" t="n"/>
      <c r="K1818" s="63">
        <f>IF(tblMovement[[#This Row],[Source]]="","",IFERROR(INDEX(tblSources[Type],MATCH(tblMovement[[#This Row],[Source]],tblSources[Source],0)),"?"))</f>
        <v/>
      </c>
      <c r="L1818" s="63">
        <f>IF(tblMovement[[#This Row],[Destination]]="","",IFERROR(INDEX(tblDestinations[Type],MATCH(tblMovement[[#This Row],[Destination]],tblDestinations[Destination],0)),"?"))</f>
        <v/>
      </c>
      <c r="M1818" s="64">
        <f>IF(tblMovement[[#This Row],[Material]]="","",IF(LEFT(tblMovement[[#This Row],[Material]],3)="Ore",1,0))</f>
        <v/>
      </c>
      <c r="N1818" s="59">
        <f>IF(OR(tblMovement[[#This Row],[Tonnes_t]]="",tblMovement[[#This Row],[Grade_gpt]]=""),0,tblMovement[[#This Row],[Tonnes_t]]*tblMovement[[#This Row],[Grade_gpt]]/cfg_TroyOz)</f>
        <v/>
      </c>
      <c r="O1818" s="59">
        <f>IF(tblMovement[[#This Row],[Is_Ore]]=1,tblMovement[[#This Row],[Contained_oz]],0)</f>
        <v/>
      </c>
    </row>
    <row r="1819">
      <c r="A1819" s="54" t="n"/>
      <c r="B1819" s="61" t="n"/>
      <c r="C1819" s="61" t="n"/>
      <c r="D1819" s="61" t="n"/>
      <c r="E1819" s="61" t="n"/>
      <c r="F1819" s="55" t="n"/>
      <c r="G1819" s="56" t="n"/>
      <c r="H1819" s="55" t="n"/>
      <c r="I1819" s="62" t="n"/>
      <c r="J1819" s="58" t="n"/>
      <c r="K1819" s="63">
        <f>IF(tblMovement[[#This Row],[Source]]="","",IFERROR(INDEX(tblSources[Type],MATCH(tblMovement[[#This Row],[Source]],tblSources[Source],0)),"?"))</f>
        <v/>
      </c>
      <c r="L1819" s="63">
        <f>IF(tblMovement[[#This Row],[Destination]]="","",IFERROR(INDEX(tblDestinations[Type],MATCH(tblMovement[[#This Row],[Destination]],tblDestinations[Destination],0)),"?"))</f>
        <v/>
      </c>
      <c r="M1819" s="64">
        <f>IF(tblMovement[[#This Row],[Material]]="","",IF(LEFT(tblMovement[[#This Row],[Material]],3)="Ore",1,0))</f>
        <v/>
      </c>
      <c r="N1819" s="59">
        <f>IF(OR(tblMovement[[#This Row],[Tonnes_t]]="",tblMovement[[#This Row],[Grade_gpt]]=""),0,tblMovement[[#This Row],[Tonnes_t]]*tblMovement[[#This Row],[Grade_gpt]]/cfg_TroyOz)</f>
        <v/>
      </c>
      <c r="O1819" s="59">
        <f>IF(tblMovement[[#This Row],[Is_Ore]]=1,tblMovement[[#This Row],[Contained_oz]],0)</f>
        <v/>
      </c>
    </row>
    <row r="1820">
      <c r="A1820" s="54" t="n"/>
      <c r="B1820" s="61" t="n"/>
      <c r="C1820" s="61" t="n"/>
      <c r="D1820" s="61" t="n"/>
      <c r="E1820" s="61" t="n"/>
      <c r="F1820" s="55" t="n"/>
      <c r="G1820" s="56" t="n"/>
      <c r="H1820" s="55" t="n"/>
      <c r="I1820" s="62" t="n"/>
      <c r="J1820" s="58" t="n"/>
      <c r="K1820" s="63">
        <f>IF(tblMovement[[#This Row],[Source]]="","",IFERROR(INDEX(tblSources[Type],MATCH(tblMovement[[#This Row],[Source]],tblSources[Source],0)),"?"))</f>
        <v/>
      </c>
      <c r="L1820" s="63">
        <f>IF(tblMovement[[#This Row],[Destination]]="","",IFERROR(INDEX(tblDestinations[Type],MATCH(tblMovement[[#This Row],[Destination]],tblDestinations[Destination],0)),"?"))</f>
        <v/>
      </c>
      <c r="M1820" s="64">
        <f>IF(tblMovement[[#This Row],[Material]]="","",IF(LEFT(tblMovement[[#This Row],[Material]],3)="Ore",1,0))</f>
        <v/>
      </c>
      <c r="N1820" s="59">
        <f>IF(OR(tblMovement[[#This Row],[Tonnes_t]]="",tblMovement[[#This Row],[Grade_gpt]]=""),0,tblMovement[[#This Row],[Tonnes_t]]*tblMovement[[#This Row],[Grade_gpt]]/cfg_TroyOz)</f>
        <v/>
      </c>
      <c r="O1820" s="59">
        <f>IF(tblMovement[[#This Row],[Is_Ore]]=1,tblMovement[[#This Row],[Contained_oz]],0)</f>
        <v/>
      </c>
    </row>
    <row r="1821">
      <c r="A1821" s="54" t="n"/>
      <c r="B1821" s="61" t="n"/>
      <c r="C1821" s="61" t="n"/>
      <c r="D1821" s="61" t="n"/>
      <c r="E1821" s="61" t="n"/>
      <c r="F1821" s="55" t="n"/>
      <c r="G1821" s="56" t="n"/>
      <c r="H1821" s="55" t="n"/>
      <c r="I1821" s="62" t="n"/>
      <c r="J1821" s="58" t="n"/>
      <c r="K1821" s="63">
        <f>IF(tblMovement[[#This Row],[Source]]="","",IFERROR(INDEX(tblSources[Type],MATCH(tblMovement[[#This Row],[Source]],tblSources[Source],0)),"?"))</f>
        <v/>
      </c>
      <c r="L1821" s="63">
        <f>IF(tblMovement[[#This Row],[Destination]]="","",IFERROR(INDEX(tblDestinations[Type],MATCH(tblMovement[[#This Row],[Destination]],tblDestinations[Destination],0)),"?"))</f>
        <v/>
      </c>
      <c r="M1821" s="64">
        <f>IF(tblMovement[[#This Row],[Material]]="","",IF(LEFT(tblMovement[[#This Row],[Material]],3)="Ore",1,0))</f>
        <v/>
      </c>
      <c r="N1821" s="59">
        <f>IF(OR(tblMovement[[#This Row],[Tonnes_t]]="",tblMovement[[#This Row],[Grade_gpt]]=""),0,tblMovement[[#This Row],[Tonnes_t]]*tblMovement[[#This Row],[Grade_gpt]]/cfg_TroyOz)</f>
        <v/>
      </c>
      <c r="O1821" s="59">
        <f>IF(tblMovement[[#This Row],[Is_Ore]]=1,tblMovement[[#This Row],[Contained_oz]],0)</f>
        <v/>
      </c>
    </row>
    <row r="1822">
      <c r="A1822" s="54" t="n"/>
      <c r="B1822" s="61" t="n"/>
      <c r="C1822" s="61" t="n"/>
      <c r="D1822" s="61" t="n"/>
      <c r="E1822" s="61" t="n"/>
      <c r="F1822" s="55" t="n"/>
      <c r="G1822" s="56" t="n"/>
      <c r="H1822" s="55" t="n"/>
      <c r="I1822" s="62" t="n"/>
      <c r="J1822" s="58" t="n"/>
      <c r="K1822" s="63">
        <f>IF(tblMovement[[#This Row],[Source]]="","",IFERROR(INDEX(tblSources[Type],MATCH(tblMovement[[#This Row],[Source]],tblSources[Source],0)),"?"))</f>
        <v/>
      </c>
      <c r="L1822" s="63">
        <f>IF(tblMovement[[#This Row],[Destination]]="","",IFERROR(INDEX(tblDestinations[Type],MATCH(tblMovement[[#This Row],[Destination]],tblDestinations[Destination],0)),"?"))</f>
        <v/>
      </c>
      <c r="M1822" s="64">
        <f>IF(tblMovement[[#This Row],[Material]]="","",IF(LEFT(tblMovement[[#This Row],[Material]],3)="Ore",1,0))</f>
        <v/>
      </c>
      <c r="N1822" s="59">
        <f>IF(OR(tblMovement[[#This Row],[Tonnes_t]]="",tblMovement[[#This Row],[Grade_gpt]]=""),0,tblMovement[[#This Row],[Tonnes_t]]*tblMovement[[#This Row],[Grade_gpt]]/cfg_TroyOz)</f>
        <v/>
      </c>
      <c r="O1822" s="59">
        <f>IF(tblMovement[[#This Row],[Is_Ore]]=1,tblMovement[[#This Row],[Contained_oz]],0)</f>
        <v/>
      </c>
    </row>
    <row r="1823">
      <c r="A1823" s="54" t="n"/>
      <c r="B1823" s="61" t="n"/>
      <c r="C1823" s="61" t="n"/>
      <c r="D1823" s="61" t="n"/>
      <c r="E1823" s="61" t="n"/>
      <c r="F1823" s="55" t="n"/>
      <c r="G1823" s="56" t="n"/>
      <c r="H1823" s="55" t="n"/>
      <c r="I1823" s="62" t="n"/>
      <c r="J1823" s="58" t="n"/>
      <c r="K1823" s="63">
        <f>IF(tblMovement[[#This Row],[Source]]="","",IFERROR(INDEX(tblSources[Type],MATCH(tblMovement[[#This Row],[Source]],tblSources[Source],0)),"?"))</f>
        <v/>
      </c>
      <c r="L1823" s="63">
        <f>IF(tblMovement[[#This Row],[Destination]]="","",IFERROR(INDEX(tblDestinations[Type],MATCH(tblMovement[[#This Row],[Destination]],tblDestinations[Destination],0)),"?"))</f>
        <v/>
      </c>
      <c r="M1823" s="64">
        <f>IF(tblMovement[[#This Row],[Material]]="","",IF(LEFT(tblMovement[[#This Row],[Material]],3)="Ore",1,0))</f>
        <v/>
      </c>
      <c r="N1823" s="59">
        <f>IF(OR(tblMovement[[#This Row],[Tonnes_t]]="",tblMovement[[#This Row],[Grade_gpt]]=""),0,tblMovement[[#This Row],[Tonnes_t]]*tblMovement[[#This Row],[Grade_gpt]]/cfg_TroyOz)</f>
        <v/>
      </c>
      <c r="O1823" s="59">
        <f>IF(tblMovement[[#This Row],[Is_Ore]]=1,tblMovement[[#This Row],[Contained_oz]],0)</f>
        <v/>
      </c>
    </row>
    <row r="1824">
      <c r="A1824" s="54" t="n"/>
      <c r="B1824" s="61" t="n"/>
      <c r="C1824" s="61" t="n"/>
      <c r="D1824" s="61" t="n"/>
      <c r="E1824" s="61" t="n"/>
      <c r="F1824" s="55" t="n"/>
      <c r="G1824" s="56" t="n"/>
      <c r="H1824" s="55" t="n"/>
      <c r="I1824" s="62" t="n"/>
      <c r="J1824" s="58" t="n"/>
      <c r="K1824" s="63">
        <f>IF(tblMovement[[#This Row],[Source]]="","",IFERROR(INDEX(tblSources[Type],MATCH(tblMovement[[#This Row],[Source]],tblSources[Source],0)),"?"))</f>
        <v/>
      </c>
      <c r="L1824" s="63">
        <f>IF(tblMovement[[#This Row],[Destination]]="","",IFERROR(INDEX(tblDestinations[Type],MATCH(tblMovement[[#This Row],[Destination]],tblDestinations[Destination],0)),"?"))</f>
        <v/>
      </c>
      <c r="M1824" s="64">
        <f>IF(tblMovement[[#This Row],[Material]]="","",IF(LEFT(tblMovement[[#This Row],[Material]],3)="Ore",1,0))</f>
        <v/>
      </c>
      <c r="N1824" s="59">
        <f>IF(OR(tblMovement[[#This Row],[Tonnes_t]]="",tblMovement[[#This Row],[Grade_gpt]]=""),0,tblMovement[[#This Row],[Tonnes_t]]*tblMovement[[#This Row],[Grade_gpt]]/cfg_TroyOz)</f>
        <v/>
      </c>
      <c r="O1824" s="59">
        <f>IF(tblMovement[[#This Row],[Is_Ore]]=1,tblMovement[[#This Row],[Contained_oz]],0)</f>
        <v/>
      </c>
    </row>
    <row r="1825">
      <c r="A1825" s="54" t="n"/>
      <c r="B1825" s="61" t="n"/>
      <c r="C1825" s="61" t="n"/>
      <c r="D1825" s="61" t="n"/>
      <c r="E1825" s="61" t="n"/>
      <c r="F1825" s="55" t="n"/>
      <c r="G1825" s="56" t="n"/>
      <c r="H1825" s="55" t="n"/>
      <c r="I1825" s="62" t="n"/>
      <c r="J1825" s="58" t="n"/>
      <c r="K1825" s="63">
        <f>IF(tblMovement[[#This Row],[Source]]="","",IFERROR(INDEX(tblSources[Type],MATCH(tblMovement[[#This Row],[Source]],tblSources[Source],0)),"?"))</f>
        <v/>
      </c>
      <c r="L1825" s="63">
        <f>IF(tblMovement[[#This Row],[Destination]]="","",IFERROR(INDEX(tblDestinations[Type],MATCH(tblMovement[[#This Row],[Destination]],tblDestinations[Destination],0)),"?"))</f>
        <v/>
      </c>
      <c r="M1825" s="64">
        <f>IF(tblMovement[[#This Row],[Material]]="","",IF(LEFT(tblMovement[[#This Row],[Material]],3)="Ore",1,0))</f>
        <v/>
      </c>
      <c r="N1825" s="59">
        <f>IF(OR(tblMovement[[#This Row],[Tonnes_t]]="",tblMovement[[#This Row],[Grade_gpt]]=""),0,tblMovement[[#This Row],[Tonnes_t]]*tblMovement[[#This Row],[Grade_gpt]]/cfg_TroyOz)</f>
        <v/>
      </c>
      <c r="O1825" s="59">
        <f>IF(tblMovement[[#This Row],[Is_Ore]]=1,tblMovement[[#This Row],[Contained_oz]],0)</f>
        <v/>
      </c>
    </row>
    <row r="1826">
      <c r="A1826" s="54" t="n"/>
      <c r="B1826" s="61" t="n"/>
      <c r="C1826" s="61" t="n"/>
      <c r="D1826" s="61" t="n"/>
      <c r="E1826" s="61" t="n"/>
      <c r="F1826" s="55" t="n"/>
      <c r="G1826" s="56" t="n"/>
      <c r="H1826" s="55" t="n"/>
      <c r="I1826" s="62" t="n"/>
      <c r="J1826" s="58" t="n"/>
      <c r="K1826" s="63">
        <f>IF(tblMovement[[#This Row],[Source]]="","",IFERROR(INDEX(tblSources[Type],MATCH(tblMovement[[#This Row],[Source]],tblSources[Source],0)),"?"))</f>
        <v/>
      </c>
      <c r="L1826" s="63">
        <f>IF(tblMovement[[#This Row],[Destination]]="","",IFERROR(INDEX(tblDestinations[Type],MATCH(tblMovement[[#This Row],[Destination]],tblDestinations[Destination],0)),"?"))</f>
        <v/>
      </c>
      <c r="M1826" s="64">
        <f>IF(tblMovement[[#This Row],[Material]]="","",IF(LEFT(tblMovement[[#This Row],[Material]],3)="Ore",1,0))</f>
        <v/>
      </c>
      <c r="N1826" s="59">
        <f>IF(OR(tblMovement[[#This Row],[Tonnes_t]]="",tblMovement[[#This Row],[Grade_gpt]]=""),0,tblMovement[[#This Row],[Tonnes_t]]*tblMovement[[#This Row],[Grade_gpt]]/cfg_TroyOz)</f>
        <v/>
      </c>
      <c r="O1826" s="59">
        <f>IF(tblMovement[[#This Row],[Is_Ore]]=1,tblMovement[[#This Row],[Contained_oz]],0)</f>
        <v/>
      </c>
    </row>
    <row r="1827">
      <c r="A1827" s="54" t="n"/>
      <c r="B1827" s="61" t="n"/>
      <c r="C1827" s="61" t="n"/>
      <c r="D1827" s="61" t="n"/>
      <c r="E1827" s="61" t="n"/>
      <c r="F1827" s="55" t="n"/>
      <c r="G1827" s="56" t="n"/>
      <c r="H1827" s="55" t="n"/>
      <c r="I1827" s="62" t="n"/>
      <c r="J1827" s="58" t="n"/>
      <c r="K1827" s="63">
        <f>IF(tblMovement[[#This Row],[Source]]="","",IFERROR(INDEX(tblSources[Type],MATCH(tblMovement[[#This Row],[Source]],tblSources[Source],0)),"?"))</f>
        <v/>
      </c>
      <c r="L1827" s="63">
        <f>IF(tblMovement[[#This Row],[Destination]]="","",IFERROR(INDEX(tblDestinations[Type],MATCH(tblMovement[[#This Row],[Destination]],tblDestinations[Destination],0)),"?"))</f>
        <v/>
      </c>
      <c r="M1827" s="64">
        <f>IF(tblMovement[[#This Row],[Material]]="","",IF(LEFT(tblMovement[[#This Row],[Material]],3)="Ore",1,0))</f>
        <v/>
      </c>
      <c r="N1827" s="59">
        <f>IF(OR(tblMovement[[#This Row],[Tonnes_t]]="",tblMovement[[#This Row],[Grade_gpt]]=""),0,tblMovement[[#This Row],[Tonnes_t]]*tblMovement[[#This Row],[Grade_gpt]]/cfg_TroyOz)</f>
        <v/>
      </c>
      <c r="O1827" s="59">
        <f>IF(tblMovement[[#This Row],[Is_Ore]]=1,tblMovement[[#This Row],[Contained_oz]],0)</f>
        <v/>
      </c>
    </row>
    <row r="1828">
      <c r="A1828" s="54" t="n"/>
      <c r="B1828" s="61" t="n"/>
      <c r="C1828" s="61" t="n"/>
      <c r="D1828" s="61" t="n"/>
      <c r="E1828" s="61" t="n"/>
      <c r="F1828" s="55" t="n"/>
      <c r="G1828" s="56" t="n"/>
      <c r="H1828" s="55" t="n"/>
      <c r="I1828" s="62" t="n"/>
      <c r="J1828" s="58" t="n"/>
      <c r="K1828" s="63">
        <f>IF(tblMovement[[#This Row],[Source]]="","",IFERROR(INDEX(tblSources[Type],MATCH(tblMovement[[#This Row],[Source]],tblSources[Source],0)),"?"))</f>
        <v/>
      </c>
      <c r="L1828" s="63">
        <f>IF(tblMovement[[#This Row],[Destination]]="","",IFERROR(INDEX(tblDestinations[Type],MATCH(tblMovement[[#This Row],[Destination]],tblDestinations[Destination],0)),"?"))</f>
        <v/>
      </c>
      <c r="M1828" s="64">
        <f>IF(tblMovement[[#This Row],[Material]]="","",IF(LEFT(tblMovement[[#This Row],[Material]],3)="Ore",1,0))</f>
        <v/>
      </c>
      <c r="N1828" s="59">
        <f>IF(OR(tblMovement[[#This Row],[Tonnes_t]]="",tblMovement[[#This Row],[Grade_gpt]]=""),0,tblMovement[[#This Row],[Tonnes_t]]*tblMovement[[#This Row],[Grade_gpt]]/cfg_TroyOz)</f>
        <v/>
      </c>
      <c r="O1828" s="59">
        <f>IF(tblMovement[[#This Row],[Is_Ore]]=1,tblMovement[[#This Row],[Contained_oz]],0)</f>
        <v/>
      </c>
    </row>
    <row r="1829">
      <c r="A1829" s="54" t="n"/>
      <c r="B1829" s="61" t="n"/>
      <c r="C1829" s="61" t="n"/>
      <c r="D1829" s="61" t="n"/>
      <c r="E1829" s="61" t="n"/>
      <c r="F1829" s="55" t="n"/>
      <c r="G1829" s="56" t="n"/>
      <c r="H1829" s="55" t="n"/>
      <c r="I1829" s="62" t="n"/>
      <c r="J1829" s="58" t="n"/>
      <c r="K1829" s="63">
        <f>IF(tblMovement[[#This Row],[Source]]="","",IFERROR(INDEX(tblSources[Type],MATCH(tblMovement[[#This Row],[Source]],tblSources[Source],0)),"?"))</f>
        <v/>
      </c>
      <c r="L1829" s="63">
        <f>IF(tblMovement[[#This Row],[Destination]]="","",IFERROR(INDEX(tblDestinations[Type],MATCH(tblMovement[[#This Row],[Destination]],tblDestinations[Destination],0)),"?"))</f>
        <v/>
      </c>
      <c r="M1829" s="64">
        <f>IF(tblMovement[[#This Row],[Material]]="","",IF(LEFT(tblMovement[[#This Row],[Material]],3)="Ore",1,0))</f>
        <v/>
      </c>
      <c r="N1829" s="59">
        <f>IF(OR(tblMovement[[#This Row],[Tonnes_t]]="",tblMovement[[#This Row],[Grade_gpt]]=""),0,tblMovement[[#This Row],[Tonnes_t]]*tblMovement[[#This Row],[Grade_gpt]]/cfg_TroyOz)</f>
        <v/>
      </c>
      <c r="O1829" s="59">
        <f>IF(tblMovement[[#This Row],[Is_Ore]]=1,tblMovement[[#This Row],[Contained_oz]],0)</f>
        <v/>
      </c>
    </row>
    <row r="1830">
      <c r="A1830" s="54" t="n"/>
      <c r="B1830" s="61" t="n"/>
      <c r="C1830" s="61" t="n"/>
      <c r="D1830" s="61" t="n"/>
      <c r="E1830" s="61" t="n"/>
      <c r="F1830" s="55" t="n"/>
      <c r="G1830" s="56" t="n"/>
      <c r="H1830" s="55" t="n"/>
      <c r="I1830" s="62" t="n"/>
      <c r="J1830" s="58" t="n"/>
      <c r="K1830" s="63">
        <f>IF(tblMovement[[#This Row],[Source]]="","",IFERROR(INDEX(tblSources[Type],MATCH(tblMovement[[#This Row],[Source]],tblSources[Source],0)),"?"))</f>
        <v/>
      </c>
      <c r="L1830" s="63">
        <f>IF(tblMovement[[#This Row],[Destination]]="","",IFERROR(INDEX(tblDestinations[Type],MATCH(tblMovement[[#This Row],[Destination]],tblDestinations[Destination],0)),"?"))</f>
        <v/>
      </c>
      <c r="M1830" s="64">
        <f>IF(tblMovement[[#This Row],[Material]]="","",IF(LEFT(tblMovement[[#This Row],[Material]],3)="Ore",1,0))</f>
        <v/>
      </c>
      <c r="N1830" s="59">
        <f>IF(OR(tblMovement[[#This Row],[Tonnes_t]]="",tblMovement[[#This Row],[Grade_gpt]]=""),0,tblMovement[[#This Row],[Tonnes_t]]*tblMovement[[#This Row],[Grade_gpt]]/cfg_TroyOz)</f>
        <v/>
      </c>
      <c r="O1830" s="59">
        <f>IF(tblMovement[[#This Row],[Is_Ore]]=1,tblMovement[[#This Row],[Contained_oz]],0)</f>
        <v/>
      </c>
    </row>
    <row r="1831">
      <c r="A1831" s="54" t="n"/>
      <c r="B1831" s="61" t="n"/>
      <c r="C1831" s="61" t="n"/>
      <c r="D1831" s="61" t="n"/>
      <c r="E1831" s="61" t="n"/>
      <c r="F1831" s="55" t="n"/>
      <c r="G1831" s="56" t="n"/>
      <c r="H1831" s="55" t="n"/>
      <c r="I1831" s="62" t="n"/>
      <c r="J1831" s="58" t="n"/>
      <c r="K1831" s="63">
        <f>IF(tblMovement[[#This Row],[Source]]="","",IFERROR(INDEX(tblSources[Type],MATCH(tblMovement[[#This Row],[Source]],tblSources[Source],0)),"?"))</f>
        <v/>
      </c>
      <c r="L1831" s="63">
        <f>IF(tblMovement[[#This Row],[Destination]]="","",IFERROR(INDEX(tblDestinations[Type],MATCH(tblMovement[[#This Row],[Destination]],tblDestinations[Destination],0)),"?"))</f>
        <v/>
      </c>
      <c r="M1831" s="64">
        <f>IF(tblMovement[[#This Row],[Material]]="","",IF(LEFT(tblMovement[[#This Row],[Material]],3)="Ore",1,0))</f>
        <v/>
      </c>
      <c r="N1831" s="59">
        <f>IF(OR(tblMovement[[#This Row],[Tonnes_t]]="",tblMovement[[#This Row],[Grade_gpt]]=""),0,tblMovement[[#This Row],[Tonnes_t]]*tblMovement[[#This Row],[Grade_gpt]]/cfg_TroyOz)</f>
        <v/>
      </c>
      <c r="O1831" s="59">
        <f>IF(tblMovement[[#This Row],[Is_Ore]]=1,tblMovement[[#This Row],[Contained_oz]],0)</f>
        <v/>
      </c>
    </row>
    <row r="1832">
      <c r="A1832" s="54" t="n"/>
      <c r="B1832" s="61" t="n"/>
      <c r="C1832" s="61" t="n"/>
      <c r="D1832" s="61" t="n"/>
      <c r="E1832" s="61" t="n"/>
      <c r="F1832" s="55" t="n"/>
      <c r="G1832" s="56" t="n"/>
      <c r="H1832" s="55" t="n"/>
      <c r="I1832" s="62" t="n"/>
      <c r="J1832" s="58" t="n"/>
      <c r="K1832" s="63">
        <f>IF(tblMovement[[#This Row],[Source]]="","",IFERROR(INDEX(tblSources[Type],MATCH(tblMovement[[#This Row],[Source]],tblSources[Source],0)),"?"))</f>
        <v/>
      </c>
      <c r="L1832" s="63">
        <f>IF(tblMovement[[#This Row],[Destination]]="","",IFERROR(INDEX(tblDestinations[Type],MATCH(tblMovement[[#This Row],[Destination]],tblDestinations[Destination],0)),"?"))</f>
        <v/>
      </c>
      <c r="M1832" s="64">
        <f>IF(tblMovement[[#This Row],[Material]]="","",IF(LEFT(tblMovement[[#This Row],[Material]],3)="Ore",1,0))</f>
        <v/>
      </c>
      <c r="N1832" s="59">
        <f>IF(OR(tblMovement[[#This Row],[Tonnes_t]]="",tblMovement[[#This Row],[Grade_gpt]]=""),0,tblMovement[[#This Row],[Tonnes_t]]*tblMovement[[#This Row],[Grade_gpt]]/cfg_TroyOz)</f>
        <v/>
      </c>
      <c r="O1832" s="59">
        <f>IF(tblMovement[[#This Row],[Is_Ore]]=1,tblMovement[[#This Row],[Contained_oz]],0)</f>
        <v/>
      </c>
    </row>
    <row r="1833">
      <c r="A1833" s="54" t="n"/>
      <c r="B1833" s="61" t="n"/>
      <c r="C1833" s="61" t="n"/>
      <c r="D1833" s="61" t="n"/>
      <c r="E1833" s="61" t="n"/>
      <c r="F1833" s="55" t="n"/>
      <c r="G1833" s="56" t="n"/>
      <c r="H1833" s="55" t="n"/>
      <c r="I1833" s="62" t="n"/>
      <c r="J1833" s="58" t="n"/>
      <c r="K1833" s="63">
        <f>IF(tblMovement[[#This Row],[Source]]="","",IFERROR(INDEX(tblSources[Type],MATCH(tblMovement[[#This Row],[Source]],tblSources[Source],0)),"?"))</f>
        <v/>
      </c>
      <c r="L1833" s="63">
        <f>IF(tblMovement[[#This Row],[Destination]]="","",IFERROR(INDEX(tblDestinations[Type],MATCH(tblMovement[[#This Row],[Destination]],tblDestinations[Destination],0)),"?"))</f>
        <v/>
      </c>
      <c r="M1833" s="64">
        <f>IF(tblMovement[[#This Row],[Material]]="","",IF(LEFT(tblMovement[[#This Row],[Material]],3)="Ore",1,0))</f>
        <v/>
      </c>
      <c r="N1833" s="59">
        <f>IF(OR(tblMovement[[#This Row],[Tonnes_t]]="",tblMovement[[#This Row],[Grade_gpt]]=""),0,tblMovement[[#This Row],[Tonnes_t]]*tblMovement[[#This Row],[Grade_gpt]]/cfg_TroyOz)</f>
        <v/>
      </c>
      <c r="O1833" s="59">
        <f>IF(tblMovement[[#This Row],[Is_Ore]]=1,tblMovement[[#This Row],[Contained_oz]],0)</f>
        <v/>
      </c>
    </row>
    <row r="1834">
      <c r="A1834" s="54" t="n"/>
      <c r="B1834" s="61" t="n"/>
      <c r="C1834" s="61" t="n"/>
      <c r="D1834" s="61" t="n"/>
      <c r="E1834" s="61" t="n"/>
      <c r="F1834" s="55" t="n"/>
      <c r="G1834" s="56" t="n"/>
      <c r="H1834" s="55" t="n"/>
      <c r="I1834" s="62" t="n"/>
      <c r="J1834" s="58" t="n"/>
      <c r="K1834" s="63">
        <f>IF(tblMovement[[#This Row],[Source]]="","",IFERROR(INDEX(tblSources[Type],MATCH(tblMovement[[#This Row],[Source]],tblSources[Source],0)),"?"))</f>
        <v/>
      </c>
      <c r="L1834" s="63">
        <f>IF(tblMovement[[#This Row],[Destination]]="","",IFERROR(INDEX(tblDestinations[Type],MATCH(tblMovement[[#This Row],[Destination]],tblDestinations[Destination],0)),"?"))</f>
        <v/>
      </c>
      <c r="M1834" s="64">
        <f>IF(tblMovement[[#This Row],[Material]]="","",IF(LEFT(tblMovement[[#This Row],[Material]],3)="Ore",1,0))</f>
        <v/>
      </c>
      <c r="N1834" s="59">
        <f>IF(OR(tblMovement[[#This Row],[Tonnes_t]]="",tblMovement[[#This Row],[Grade_gpt]]=""),0,tblMovement[[#This Row],[Tonnes_t]]*tblMovement[[#This Row],[Grade_gpt]]/cfg_TroyOz)</f>
        <v/>
      </c>
      <c r="O1834" s="59">
        <f>IF(tblMovement[[#This Row],[Is_Ore]]=1,tblMovement[[#This Row],[Contained_oz]],0)</f>
        <v/>
      </c>
    </row>
    <row r="1835">
      <c r="A1835" s="54" t="n"/>
      <c r="B1835" s="61" t="n"/>
      <c r="C1835" s="61" t="n"/>
      <c r="D1835" s="61" t="n"/>
      <c r="E1835" s="61" t="n"/>
      <c r="F1835" s="55" t="n"/>
      <c r="G1835" s="56" t="n"/>
      <c r="H1835" s="55" t="n"/>
      <c r="I1835" s="62" t="n"/>
      <c r="J1835" s="58" t="n"/>
      <c r="K1835" s="63">
        <f>IF(tblMovement[[#This Row],[Source]]="","",IFERROR(INDEX(tblSources[Type],MATCH(tblMovement[[#This Row],[Source]],tblSources[Source],0)),"?"))</f>
        <v/>
      </c>
      <c r="L1835" s="63">
        <f>IF(tblMovement[[#This Row],[Destination]]="","",IFERROR(INDEX(tblDestinations[Type],MATCH(tblMovement[[#This Row],[Destination]],tblDestinations[Destination],0)),"?"))</f>
        <v/>
      </c>
      <c r="M1835" s="64">
        <f>IF(tblMovement[[#This Row],[Material]]="","",IF(LEFT(tblMovement[[#This Row],[Material]],3)="Ore",1,0))</f>
        <v/>
      </c>
      <c r="N1835" s="59">
        <f>IF(OR(tblMovement[[#This Row],[Tonnes_t]]="",tblMovement[[#This Row],[Grade_gpt]]=""),0,tblMovement[[#This Row],[Tonnes_t]]*tblMovement[[#This Row],[Grade_gpt]]/cfg_TroyOz)</f>
        <v/>
      </c>
      <c r="O1835" s="59">
        <f>IF(tblMovement[[#This Row],[Is_Ore]]=1,tblMovement[[#This Row],[Contained_oz]],0)</f>
        <v/>
      </c>
    </row>
    <row r="1836">
      <c r="A1836" s="54" t="n"/>
      <c r="B1836" s="61" t="n"/>
      <c r="C1836" s="61" t="n"/>
      <c r="D1836" s="61" t="n"/>
      <c r="E1836" s="61" t="n"/>
      <c r="F1836" s="55" t="n"/>
      <c r="G1836" s="56" t="n"/>
      <c r="H1836" s="55" t="n"/>
      <c r="I1836" s="62" t="n"/>
      <c r="J1836" s="58" t="n"/>
      <c r="K1836" s="63">
        <f>IF(tblMovement[[#This Row],[Source]]="","",IFERROR(INDEX(tblSources[Type],MATCH(tblMovement[[#This Row],[Source]],tblSources[Source],0)),"?"))</f>
        <v/>
      </c>
      <c r="L1836" s="63">
        <f>IF(tblMovement[[#This Row],[Destination]]="","",IFERROR(INDEX(tblDestinations[Type],MATCH(tblMovement[[#This Row],[Destination]],tblDestinations[Destination],0)),"?"))</f>
        <v/>
      </c>
      <c r="M1836" s="64">
        <f>IF(tblMovement[[#This Row],[Material]]="","",IF(LEFT(tblMovement[[#This Row],[Material]],3)="Ore",1,0))</f>
        <v/>
      </c>
      <c r="N1836" s="59">
        <f>IF(OR(tblMovement[[#This Row],[Tonnes_t]]="",tblMovement[[#This Row],[Grade_gpt]]=""),0,tblMovement[[#This Row],[Tonnes_t]]*tblMovement[[#This Row],[Grade_gpt]]/cfg_TroyOz)</f>
        <v/>
      </c>
      <c r="O1836" s="59">
        <f>IF(tblMovement[[#This Row],[Is_Ore]]=1,tblMovement[[#This Row],[Contained_oz]],0)</f>
        <v/>
      </c>
    </row>
    <row r="1837">
      <c r="A1837" s="54" t="n"/>
      <c r="B1837" s="61" t="n"/>
      <c r="C1837" s="61" t="n"/>
      <c r="D1837" s="61" t="n"/>
      <c r="E1837" s="61" t="n"/>
      <c r="F1837" s="55" t="n"/>
      <c r="G1837" s="56" t="n"/>
      <c r="H1837" s="55" t="n"/>
      <c r="I1837" s="62" t="n"/>
      <c r="J1837" s="58" t="n"/>
      <c r="K1837" s="63">
        <f>IF(tblMovement[[#This Row],[Source]]="","",IFERROR(INDEX(tblSources[Type],MATCH(tblMovement[[#This Row],[Source]],tblSources[Source],0)),"?"))</f>
        <v/>
      </c>
      <c r="L1837" s="63">
        <f>IF(tblMovement[[#This Row],[Destination]]="","",IFERROR(INDEX(tblDestinations[Type],MATCH(tblMovement[[#This Row],[Destination]],tblDestinations[Destination],0)),"?"))</f>
        <v/>
      </c>
      <c r="M1837" s="64">
        <f>IF(tblMovement[[#This Row],[Material]]="","",IF(LEFT(tblMovement[[#This Row],[Material]],3)="Ore",1,0))</f>
        <v/>
      </c>
      <c r="N1837" s="59">
        <f>IF(OR(tblMovement[[#This Row],[Tonnes_t]]="",tblMovement[[#This Row],[Grade_gpt]]=""),0,tblMovement[[#This Row],[Tonnes_t]]*tblMovement[[#This Row],[Grade_gpt]]/cfg_TroyOz)</f>
        <v/>
      </c>
      <c r="O1837" s="59">
        <f>IF(tblMovement[[#This Row],[Is_Ore]]=1,tblMovement[[#This Row],[Contained_oz]],0)</f>
        <v/>
      </c>
    </row>
    <row r="1838">
      <c r="A1838" s="54" t="n"/>
      <c r="B1838" s="61" t="n"/>
      <c r="C1838" s="61" t="n"/>
      <c r="D1838" s="61" t="n"/>
      <c r="E1838" s="61" t="n"/>
      <c r="F1838" s="55" t="n"/>
      <c r="G1838" s="56" t="n"/>
      <c r="H1838" s="55" t="n"/>
      <c r="I1838" s="62" t="n"/>
      <c r="J1838" s="58" t="n"/>
      <c r="K1838" s="63">
        <f>IF(tblMovement[[#This Row],[Source]]="","",IFERROR(INDEX(tblSources[Type],MATCH(tblMovement[[#This Row],[Source]],tblSources[Source],0)),"?"))</f>
        <v/>
      </c>
      <c r="L1838" s="63">
        <f>IF(tblMovement[[#This Row],[Destination]]="","",IFERROR(INDEX(tblDestinations[Type],MATCH(tblMovement[[#This Row],[Destination]],tblDestinations[Destination],0)),"?"))</f>
        <v/>
      </c>
      <c r="M1838" s="64">
        <f>IF(tblMovement[[#This Row],[Material]]="","",IF(LEFT(tblMovement[[#This Row],[Material]],3)="Ore",1,0))</f>
        <v/>
      </c>
      <c r="N1838" s="59">
        <f>IF(OR(tblMovement[[#This Row],[Tonnes_t]]="",tblMovement[[#This Row],[Grade_gpt]]=""),0,tblMovement[[#This Row],[Tonnes_t]]*tblMovement[[#This Row],[Grade_gpt]]/cfg_TroyOz)</f>
        <v/>
      </c>
      <c r="O1838" s="59">
        <f>IF(tblMovement[[#This Row],[Is_Ore]]=1,tblMovement[[#This Row],[Contained_oz]],0)</f>
        <v/>
      </c>
    </row>
    <row r="1839">
      <c r="A1839" s="54" t="n"/>
      <c r="B1839" s="61" t="n"/>
      <c r="C1839" s="61" t="n"/>
      <c r="D1839" s="61" t="n"/>
      <c r="E1839" s="61" t="n"/>
      <c r="F1839" s="55" t="n"/>
      <c r="G1839" s="56" t="n"/>
      <c r="H1839" s="55" t="n"/>
      <c r="I1839" s="62" t="n"/>
      <c r="J1839" s="58" t="n"/>
      <c r="K1839" s="63">
        <f>IF(tblMovement[[#This Row],[Source]]="","",IFERROR(INDEX(tblSources[Type],MATCH(tblMovement[[#This Row],[Source]],tblSources[Source],0)),"?"))</f>
        <v/>
      </c>
      <c r="L1839" s="63">
        <f>IF(tblMovement[[#This Row],[Destination]]="","",IFERROR(INDEX(tblDestinations[Type],MATCH(tblMovement[[#This Row],[Destination]],tblDestinations[Destination],0)),"?"))</f>
        <v/>
      </c>
      <c r="M1839" s="64">
        <f>IF(tblMovement[[#This Row],[Material]]="","",IF(LEFT(tblMovement[[#This Row],[Material]],3)="Ore",1,0))</f>
        <v/>
      </c>
      <c r="N1839" s="59">
        <f>IF(OR(tblMovement[[#This Row],[Tonnes_t]]="",tblMovement[[#This Row],[Grade_gpt]]=""),0,tblMovement[[#This Row],[Tonnes_t]]*tblMovement[[#This Row],[Grade_gpt]]/cfg_TroyOz)</f>
        <v/>
      </c>
      <c r="O1839" s="59">
        <f>IF(tblMovement[[#This Row],[Is_Ore]]=1,tblMovement[[#This Row],[Contained_oz]],0)</f>
        <v/>
      </c>
    </row>
    <row r="1840">
      <c r="A1840" s="54" t="n"/>
      <c r="B1840" s="61" t="n"/>
      <c r="C1840" s="61" t="n"/>
      <c r="D1840" s="61" t="n"/>
      <c r="E1840" s="61" t="n"/>
      <c r="F1840" s="55" t="n"/>
      <c r="G1840" s="56" t="n"/>
      <c r="H1840" s="55" t="n"/>
      <c r="I1840" s="62" t="n"/>
      <c r="J1840" s="58" t="n"/>
      <c r="K1840" s="63">
        <f>IF(tblMovement[[#This Row],[Source]]="","",IFERROR(INDEX(tblSources[Type],MATCH(tblMovement[[#This Row],[Source]],tblSources[Source],0)),"?"))</f>
        <v/>
      </c>
      <c r="L1840" s="63">
        <f>IF(tblMovement[[#This Row],[Destination]]="","",IFERROR(INDEX(tblDestinations[Type],MATCH(tblMovement[[#This Row],[Destination]],tblDestinations[Destination],0)),"?"))</f>
        <v/>
      </c>
      <c r="M1840" s="64">
        <f>IF(tblMovement[[#This Row],[Material]]="","",IF(LEFT(tblMovement[[#This Row],[Material]],3)="Ore",1,0))</f>
        <v/>
      </c>
      <c r="N1840" s="59">
        <f>IF(OR(tblMovement[[#This Row],[Tonnes_t]]="",tblMovement[[#This Row],[Grade_gpt]]=""),0,tblMovement[[#This Row],[Tonnes_t]]*tblMovement[[#This Row],[Grade_gpt]]/cfg_TroyOz)</f>
        <v/>
      </c>
      <c r="O1840" s="59">
        <f>IF(tblMovement[[#This Row],[Is_Ore]]=1,tblMovement[[#This Row],[Contained_oz]],0)</f>
        <v/>
      </c>
    </row>
    <row r="1841">
      <c r="A1841" s="54" t="n"/>
      <c r="B1841" s="61" t="n"/>
      <c r="C1841" s="61" t="n"/>
      <c r="D1841" s="61" t="n"/>
      <c r="E1841" s="61" t="n"/>
      <c r="F1841" s="55" t="n"/>
      <c r="G1841" s="56" t="n"/>
      <c r="H1841" s="55" t="n"/>
      <c r="I1841" s="62" t="n"/>
      <c r="J1841" s="58" t="n"/>
      <c r="K1841" s="63">
        <f>IF(tblMovement[[#This Row],[Source]]="","",IFERROR(INDEX(tblSources[Type],MATCH(tblMovement[[#This Row],[Source]],tblSources[Source],0)),"?"))</f>
        <v/>
      </c>
      <c r="L1841" s="63">
        <f>IF(tblMovement[[#This Row],[Destination]]="","",IFERROR(INDEX(tblDestinations[Type],MATCH(tblMovement[[#This Row],[Destination]],tblDestinations[Destination],0)),"?"))</f>
        <v/>
      </c>
      <c r="M1841" s="64">
        <f>IF(tblMovement[[#This Row],[Material]]="","",IF(LEFT(tblMovement[[#This Row],[Material]],3)="Ore",1,0))</f>
        <v/>
      </c>
      <c r="N1841" s="59">
        <f>IF(OR(tblMovement[[#This Row],[Tonnes_t]]="",tblMovement[[#This Row],[Grade_gpt]]=""),0,tblMovement[[#This Row],[Tonnes_t]]*tblMovement[[#This Row],[Grade_gpt]]/cfg_TroyOz)</f>
        <v/>
      </c>
      <c r="O1841" s="59">
        <f>IF(tblMovement[[#This Row],[Is_Ore]]=1,tblMovement[[#This Row],[Contained_oz]],0)</f>
        <v/>
      </c>
    </row>
    <row r="1842">
      <c r="A1842" s="54" t="n"/>
      <c r="B1842" s="61" t="n"/>
      <c r="C1842" s="61" t="n"/>
      <c r="D1842" s="61" t="n"/>
      <c r="E1842" s="61" t="n"/>
      <c r="F1842" s="55" t="n"/>
      <c r="G1842" s="56" t="n"/>
      <c r="H1842" s="55" t="n"/>
      <c r="I1842" s="62" t="n"/>
      <c r="J1842" s="58" t="n"/>
      <c r="K1842" s="63">
        <f>IF(tblMovement[[#This Row],[Source]]="","",IFERROR(INDEX(tblSources[Type],MATCH(tblMovement[[#This Row],[Source]],tblSources[Source],0)),"?"))</f>
        <v/>
      </c>
      <c r="L1842" s="63">
        <f>IF(tblMovement[[#This Row],[Destination]]="","",IFERROR(INDEX(tblDestinations[Type],MATCH(tblMovement[[#This Row],[Destination]],tblDestinations[Destination],0)),"?"))</f>
        <v/>
      </c>
      <c r="M1842" s="64">
        <f>IF(tblMovement[[#This Row],[Material]]="","",IF(LEFT(tblMovement[[#This Row],[Material]],3)="Ore",1,0))</f>
        <v/>
      </c>
      <c r="N1842" s="59">
        <f>IF(OR(tblMovement[[#This Row],[Tonnes_t]]="",tblMovement[[#This Row],[Grade_gpt]]=""),0,tblMovement[[#This Row],[Tonnes_t]]*tblMovement[[#This Row],[Grade_gpt]]/cfg_TroyOz)</f>
        <v/>
      </c>
      <c r="O1842" s="59">
        <f>IF(tblMovement[[#This Row],[Is_Ore]]=1,tblMovement[[#This Row],[Contained_oz]],0)</f>
        <v/>
      </c>
    </row>
    <row r="1843">
      <c r="A1843" s="54" t="n"/>
      <c r="B1843" s="61" t="n"/>
      <c r="C1843" s="61" t="n"/>
      <c r="D1843" s="61" t="n"/>
      <c r="E1843" s="61" t="n"/>
      <c r="F1843" s="55" t="n"/>
      <c r="G1843" s="56" t="n"/>
      <c r="H1843" s="55" t="n"/>
      <c r="I1843" s="62" t="n"/>
      <c r="J1843" s="58" t="n"/>
      <c r="K1843" s="63">
        <f>IF(tblMovement[[#This Row],[Source]]="","",IFERROR(INDEX(tblSources[Type],MATCH(tblMovement[[#This Row],[Source]],tblSources[Source],0)),"?"))</f>
        <v/>
      </c>
      <c r="L1843" s="63">
        <f>IF(tblMovement[[#This Row],[Destination]]="","",IFERROR(INDEX(tblDestinations[Type],MATCH(tblMovement[[#This Row],[Destination]],tblDestinations[Destination],0)),"?"))</f>
        <v/>
      </c>
      <c r="M1843" s="64">
        <f>IF(tblMovement[[#This Row],[Material]]="","",IF(LEFT(tblMovement[[#This Row],[Material]],3)="Ore",1,0))</f>
        <v/>
      </c>
      <c r="N1843" s="59">
        <f>IF(OR(tblMovement[[#This Row],[Tonnes_t]]="",tblMovement[[#This Row],[Grade_gpt]]=""),0,tblMovement[[#This Row],[Tonnes_t]]*tblMovement[[#This Row],[Grade_gpt]]/cfg_TroyOz)</f>
        <v/>
      </c>
      <c r="O1843" s="59">
        <f>IF(tblMovement[[#This Row],[Is_Ore]]=1,tblMovement[[#This Row],[Contained_oz]],0)</f>
        <v/>
      </c>
    </row>
    <row r="1844">
      <c r="A1844" s="54" t="n"/>
      <c r="B1844" s="61" t="n"/>
      <c r="C1844" s="61" t="n"/>
      <c r="D1844" s="61" t="n"/>
      <c r="E1844" s="61" t="n"/>
      <c r="F1844" s="55" t="n"/>
      <c r="G1844" s="56" t="n"/>
      <c r="H1844" s="55" t="n"/>
      <c r="I1844" s="62" t="n"/>
      <c r="J1844" s="58" t="n"/>
      <c r="K1844" s="63">
        <f>IF(tblMovement[[#This Row],[Source]]="","",IFERROR(INDEX(tblSources[Type],MATCH(tblMovement[[#This Row],[Source]],tblSources[Source],0)),"?"))</f>
        <v/>
      </c>
      <c r="L1844" s="63">
        <f>IF(tblMovement[[#This Row],[Destination]]="","",IFERROR(INDEX(tblDestinations[Type],MATCH(tblMovement[[#This Row],[Destination]],tblDestinations[Destination],0)),"?"))</f>
        <v/>
      </c>
      <c r="M1844" s="64">
        <f>IF(tblMovement[[#This Row],[Material]]="","",IF(LEFT(tblMovement[[#This Row],[Material]],3)="Ore",1,0))</f>
        <v/>
      </c>
      <c r="N1844" s="59">
        <f>IF(OR(tblMovement[[#This Row],[Tonnes_t]]="",tblMovement[[#This Row],[Grade_gpt]]=""),0,tblMovement[[#This Row],[Tonnes_t]]*tblMovement[[#This Row],[Grade_gpt]]/cfg_TroyOz)</f>
        <v/>
      </c>
      <c r="O1844" s="59">
        <f>IF(tblMovement[[#This Row],[Is_Ore]]=1,tblMovement[[#This Row],[Contained_oz]],0)</f>
        <v/>
      </c>
    </row>
    <row r="1845">
      <c r="A1845" s="54" t="n"/>
      <c r="B1845" s="61" t="n"/>
      <c r="C1845" s="61" t="n"/>
      <c r="D1845" s="61" t="n"/>
      <c r="E1845" s="61" t="n"/>
      <c r="F1845" s="55" t="n"/>
      <c r="G1845" s="56" t="n"/>
      <c r="H1845" s="55" t="n"/>
      <c r="I1845" s="62" t="n"/>
      <c r="J1845" s="58" t="n"/>
      <c r="K1845" s="63">
        <f>IF(tblMovement[[#This Row],[Source]]="","",IFERROR(INDEX(tblSources[Type],MATCH(tblMovement[[#This Row],[Source]],tblSources[Source],0)),"?"))</f>
        <v/>
      </c>
      <c r="L1845" s="63">
        <f>IF(tblMovement[[#This Row],[Destination]]="","",IFERROR(INDEX(tblDestinations[Type],MATCH(tblMovement[[#This Row],[Destination]],tblDestinations[Destination],0)),"?"))</f>
        <v/>
      </c>
      <c r="M1845" s="64">
        <f>IF(tblMovement[[#This Row],[Material]]="","",IF(LEFT(tblMovement[[#This Row],[Material]],3)="Ore",1,0))</f>
        <v/>
      </c>
      <c r="N1845" s="59">
        <f>IF(OR(tblMovement[[#This Row],[Tonnes_t]]="",tblMovement[[#This Row],[Grade_gpt]]=""),0,tblMovement[[#This Row],[Tonnes_t]]*tblMovement[[#This Row],[Grade_gpt]]/cfg_TroyOz)</f>
        <v/>
      </c>
      <c r="O1845" s="59">
        <f>IF(tblMovement[[#This Row],[Is_Ore]]=1,tblMovement[[#This Row],[Contained_oz]],0)</f>
        <v/>
      </c>
    </row>
    <row r="1846">
      <c r="A1846" s="54" t="n"/>
      <c r="B1846" s="61" t="n"/>
      <c r="C1846" s="61" t="n"/>
      <c r="D1846" s="61" t="n"/>
      <c r="E1846" s="61" t="n"/>
      <c r="F1846" s="55" t="n"/>
      <c r="G1846" s="56" t="n"/>
      <c r="H1846" s="55" t="n"/>
      <c r="I1846" s="62" t="n"/>
      <c r="J1846" s="58" t="n"/>
      <c r="K1846" s="63">
        <f>IF(tblMovement[[#This Row],[Source]]="","",IFERROR(INDEX(tblSources[Type],MATCH(tblMovement[[#This Row],[Source]],tblSources[Source],0)),"?"))</f>
        <v/>
      </c>
      <c r="L1846" s="63">
        <f>IF(tblMovement[[#This Row],[Destination]]="","",IFERROR(INDEX(tblDestinations[Type],MATCH(tblMovement[[#This Row],[Destination]],tblDestinations[Destination],0)),"?"))</f>
        <v/>
      </c>
      <c r="M1846" s="64">
        <f>IF(tblMovement[[#This Row],[Material]]="","",IF(LEFT(tblMovement[[#This Row],[Material]],3)="Ore",1,0))</f>
        <v/>
      </c>
      <c r="N1846" s="59">
        <f>IF(OR(tblMovement[[#This Row],[Tonnes_t]]="",tblMovement[[#This Row],[Grade_gpt]]=""),0,tblMovement[[#This Row],[Tonnes_t]]*tblMovement[[#This Row],[Grade_gpt]]/cfg_TroyOz)</f>
        <v/>
      </c>
      <c r="O1846" s="59">
        <f>IF(tblMovement[[#This Row],[Is_Ore]]=1,tblMovement[[#This Row],[Contained_oz]],0)</f>
        <v/>
      </c>
    </row>
    <row r="1847">
      <c r="A1847" s="54" t="n"/>
      <c r="B1847" s="61" t="n"/>
      <c r="C1847" s="61" t="n"/>
      <c r="D1847" s="61" t="n"/>
      <c r="E1847" s="61" t="n"/>
      <c r="F1847" s="55" t="n"/>
      <c r="G1847" s="56" t="n"/>
      <c r="H1847" s="55" t="n"/>
      <c r="I1847" s="62" t="n"/>
      <c r="J1847" s="58" t="n"/>
      <c r="K1847" s="63">
        <f>IF(tblMovement[[#This Row],[Source]]="","",IFERROR(INDEX(tblSources[Type],MATCH(tblMovement[[#This Row],[Source]],tblSources[Source],0)),"?"))</f>
        <v/>
      </c>
      <c r="L1847" s="63">
        <f>IF(tblMovement[[#This Row],[Destination]]="","",IFERROR(INDEX(tblDestinations[Type],MATCH(tblMovement[[#This Row],[Destination]],tblDestinations[Destination],0)),"?"))</f>
        <v/>
      </c>
      <c r="M1847" s="64">
        <f>IF(tblMovement[[#This Row],[Material]]="","",IF(LEFT(tblMovement[[#This Row],[Material]],3)="Ore",1,0))</f>
        <v/>
      </c>
      <c r="N1847" s="59">
        <f>IF(OR(tblMovement[[#This Row],[Tonnes_t]]="",tblMovement[[#This Row],[Grade_gpt]]=""),0,tblMovement[[#This Row],[Tonnes_t]]*tblMovement[[#This Row],[Grade_gpt]]/cfg_TroyOz)</f>
        <v/>
      </c>
      <c r="O1847" s="59">
        <f>IF(tblMovement[[#This Row],[Is_Ore]]=1,tblMovement[[#This Row],[Contained_oz]],0)</f>
        <v/>
      </c>
    </row>
    <row r="1848">
      <c r="A1848" s="54" t="n"/>
      <c r="B1848" s="61" t="n"/>
      <c r="C1848" s="61" t="n"/>
      <c r="D1848" s="61" t="n"/>
      <c r="E1848" s="61" t="n"/>
      <c r="F1848" s="55" t="n"/>
      <c r="G1848" s="56" t="n"/>
      <c r="H1848" s="55" t="n"/>
      <c r="I1848" s="62" t="n"/>
      <c r="J1848" s="58" t="n"/>
      <c r="K1848" s="63">
        <f>IF(tblMovement[[#This Row],[Source]]="","",IFERROR(INDEX(tblSources[Type],MATCH(tblMovement[[#This Row],[Source]],tblSources[Source],0)),"?"))</f>
        <v/>
      </c>
      <c r="L1848" s="63">
        <f>IF(tblMovement[[#This Row],[Destination]]="","",IFERROR(INDEX(tblDestinations[Type],MATCH(tblMovement[[#This Row],[Destination]],tblDestinations[Destination],0)),"?"))</f>
        <v/>
      </c>
      <c r="M1848" s="64">
        <f>IF(tblMovement[[#This Row],[Material]]="","",IF(LEFT(tblMovement[[#This Row],[Material]],3)="Ore",1,0))</f>
        <v/>
      </c>
      <c r="N1848" s="59">
        <f>IF(OR(tblMovement[[#This Row],[Tonnes_t]]="",tblMovement[[#This Row],[Grade_gpt]]=""),0,tblMovement[[#This Row],[Tonnes_t]]*tblMovement[[#This Row],[Grade_gpt]]/cfg_TroyOz)</f>
        <v/>
      </c>
      <c r="O1848" s="59">
        <f>IF(tblMovement[[#This Row],[Is_Ore]]=1,tblMovement[[#This Row],[Contained_oz]],0)</f>
        <v/>
      </c>
    </row>
    <row r="1849">
      <c r="A1849" s="54" t="n"/>
      <c r="B1849" s="61" t="n"/>
      <c r="C1849" s="61" t="n"/>
      <c r="D1849" s="61" t="n"/>
      <c r="E1849" s="61" t="n"/>
      <c r="F1849" s="55" t="n"/>
      <c r="G1849" s="56" t="n"/>
      <c r="H1849" s="55" t="n"/>
      <c r="I1849" s="62" t="n"/>
      <c r="J1849" s="58" t="n"/>
      <c r="K1849" s="63">
        <f>IF(tblMovement[[#This Row],[Source]]="","",IFERROR(INDEX(tblSources[Type],MATCH(tblMovement[[#This Row],[Source]],tblSources[Source],0)),"?"))</f>
        <v/>
      </c>
      <c r="L1849" s="63">
        <f>IF(tblMovement[[#This Row],[Destination]]="","",IFERROR(INDEX(tblDestinations[Type],MATCH(tblMovement[[#This Row],[Destination]],tblDestinations[Destination],0)),"?"))</f>
        <v/>
      </c>
      <c r="M1849" s="64">
        <f>IF(tblMovement[[#This Row],[Material]]="","",IF(LEFT(tblMovement[[#This Row],[Material]],3)="Ore",1,0))</f>
        <v/>
      </c>
      <c r="N1849" s="59">
        <f>IF(OR(tblMovement[[#This Row],[Tonnes_t]]="",tblMovement[[#This Row],[Grade_gpt]]=""),0,tblMovement[[#This Row],[Tonnes_t]]*tblMovement[[#This Row],[Grade_gpt]]/cfg_TroyOz)</f>
        <v/>
      </c>
      <c r="O1849" s="59">
        <f>IF(tblMovement[[#This Row],[Is_Ore]]=1,tblMovement[[#This Row],[Contained_oz]],0)</f>
        <v/>
      </c>
    </row>
    <row r="1850">
      <c r="A1850" s="54" t="n"/>
      <c r="B1850" s="61" t="n"/>
      <c r="C1850" s="61" t="n"/>
      <c r="D1850" s="61" t="n"/>
      <c r="E1850" s="61" t="n"/>
      <c r="F1850" s="55" t="n"/>
      <c r="G1850" s="56" t="n"/>
      <c r="H1850" s="55" t="n"/>
      <c r="I1850" s="62" t="n"/>
      <c r="J1850" s="58" t="n"/>
      <c r="K1850" s="63">
        <f>IF(tblMovement[[#This Row],[Source]]="","",IFERROR(INDEX(tblSources[Type],MATCH(tblMovement[[#This Row],[Source]],tblSources[Source],0)),"?"))</f>
        <v/>
      </c>
      <c r="L1850" s="63">
        <f>IF(tblMovement[[#This Row],[Destination]]="","",IFERROR(INDEX(tblDestinations[Type],MATCH(tblMovement[[#This Row],[Destination]],tblDestinations[Destination],0)),"?"))</f>
        <v/>
      </c>
      <c r="M1850" s="64">
        <f>IF(tblMovement[[#This Row],[Material]]="","",IF(LEFT(tblMovement[[#This Row],[Material]],3)="Ore",1,0))</f>
        <v/>
      </c>
      <c r="N1850" s="59">
        <f>IF(OR(tblMovement[[#This Row],[Tonnes_t]]="",tblMovement[[#This Row],[Grade_gpt]]=""),0,tblMovement[[#This Row],[Tonnes_t]]*tblMovement[[#This Row],[Grade_gpt]]/cfg_TroyOz)</f>
        <v/>
      </c>
      <c r="O1850" s="59">
        <f>IF(tblMovement[[#This Row],[Is_Ore]]=1,tblMovement[[#This Row],[Contained_oz]],0)</f>
        <v/>
      </c>
    </row>
    <row r="1851">
      <c r="A1851" s="54" t="n"/>
      <c r="B1851" s="61" t="n"/>
      <c r="C1851" s="61" t="n"/>
      <c r="D1851" s="61" t="n"/>
      <c r="E1851" s="61" t="n"/>
      <c r="F1851" s="55" t="n"/>
      <c r="G1851" s="56" t="n"/>
      <c r="H1851" s="55" t="n"/>
      <c r="I1851" s="62" t="n"/>
      <c r="J1851" s="58" t="n"/>
      <c r="K1851" s="63">
        <f>IF(tblMovement[[#This Row],[Source]]="","",IFERROR(INDEX(tblSources[Type],MATCH(tblMovement[[#This Row],[Source]],tblSources[Source],0)),"?"))</f>
        <v/>
      </c>
      <c r="L1851" s="63">
        <f>IF(tblMovement[[#This Row],[Destination]]="","",IFERROR(INDEX(tblDestinations[Type],MATCH(tblMovement[[#This Row],[Destination]],tblDestinations[Destination],0)),"?"))</f>
        <v/>
      </c>
      <c r="M1851" s="64">
        <f>IF(tblMovement[[#This Row],[Material]]="","",IF(LEFT(tblMovement[[#This Row],[Material]],3)="Ore",1,0))</f>
        <v/>
      </c>
      <c r="N1851" s="59">
        <f>IF(OR(tblMovement[[#This Row],[Tonnes_t]]="",tblMovement[[#This Row],[Grade_gpt]]=""),0,tblMovement[[#This Row],[Tonnes_t]]*tblMovement[[#This Row],[Grade_gpt]]/cfg_TroyOz)</f>
        <v/>
      </c>
      <c r="O1851" s="59">
        <f>IF(tblMovement[[#This Row],[Is_Ore]]=1,tblMovement[[#This Row],[Contained_oz]],0)</f>
        <v/>
      </c>
    </row>
    <row r="1852">
      <c r="A1852" s="54" t="n"/>
      <c r="B1852" s="61" t="n"/>
      <c r="C1852" s="61" t="n"/>
      <c r="D1852" s="61" t="n"/>
      <c r="E1852" s="61" t="n"/>
      <c r="F1852" s="55" t="n"/>
      <c r="G1852" s="56" t="n"/>
      <c r="H1852" s="55" t="n"/>
      <c r="I1852" s="62" t="n"/>
      <c r="J1852" s="58" t="n"/>
      <c r="K1852" s="63">
        <f>IF(tblMovement[[#This Row],[Source]]="","",IFERROR(INDEX(tblSources[Type],MATCH(tblMovement[[#This Row],[Source]],tblSources[Source],0)),"?"))</f>
        <v/>
      </c>
      <c r="L1852" s="63">
        <f>IF(tblMovement[[#This Row],[Destination]]="","",IFERROR(INDEX(tblDestinations[Type],MATCH(tblMovement[[#This Row],[Destination]],tblDestinations[Destination],0)),"?"))</f>
        <v/>
      </c>
      <c r="M1852" s="64">
        <f>IF(tblMovement[[#This Row],[Material]]="","",IF(LEFT(tblMovement[[#This Row],[Material]],3)="Ore",1,0))</f>
        <v/>
      </c>
      <c r="N1852" s="59">
        <f>IF(OR(tblMovement[[#This Row],[Tonnes_t]]="",tblMovement[[#This Row],[Grade_gpt]]=""),0,tblMovement[[#This Row],[Tonnes_t]]*tblMovement[[#This Row],[Grade_gpt]]/cfg_TroyOz)</f>
        <v/>
      </c>
      <c r="O1852" s="59">
        <f>IF(tblMovement[[#This Row],[Is_Ore]]=1,tblMovement[[#This Row],[Contained_oz]],0)</f>
        <v/>
      </c>
    </row>
    <row r="1853">
      <c r="A1853" s="54" t="n"/>
      <c r="B1853" s="61" t="n"/>
      <c r="C1853" s="61" t="n"/>
      <c r="D1853" s="61" t="n"/>
      <c r="E1853" s="61" t="n"/>
      <c r="F1853" s="55" t="n"/>
      <c r="G1853" s="56" t="n"/>
      <c r="H1853" s="55" t="n"/>
      <c r="I1853" s="62" t="n"/>
      <c r="J1853" s="58" t="n"/>
      <c r="K1853" s="63">
        <f>IF(tblMovement[[#This Row],[Source]]="","",IFERROR(INDEX(tblSources[Type],MATCH(tblMovement[[#This Row],[Source]],tblSources[Source],0)),"?"))</f>
        <v/>
      </c>
      <c r="L1853" s="63">
        <f>IF(tblMovement[[#This Row],[Destination]]="","",IFERROR(INDEX(tblDestinations[Type],MATCH(tblMovement[[#This Row],[Destination]],tblDestinations[Destination],0)),"?"))</f>
        <v/>
      </c>
      <c r="M1853" s="64">
        <f>IF(tblMovement[[#This Row],[Material]]="","",IF(LEFT(tblMovement[[#This Row],[Material]],3)="Ore",1,0))</f>
        <v/>
      </c>
      <c r="N1853" s="59">
        <f>IF(OR(tblMovement[[#This Row],[Tonnes_t]]="",tblMovement[[#This Row],[Grade_gpt]]=""),0,tblMovement[[#This Row],[Tonnes_t]]*tblMovement[[#This Row],[Grade_gpt]]/cfg_TroyOz)</f>
        <v/>
      </c>
      <c r="O1853" s="59">
        <f>IF(tblMovement[[#This Row],[Is_Ore]]=1,tblMovement[[#This Row],[Contained_oz]],0)</f>
        <v/>
      </c>
    </row>
    <row r="1854">
      <c r="A1854" s="54" t="n"/>
      <c r="B1854" s="61" t="n"/>
      <c r="C1854" s="61" t="n"/>
      <c r="D1854" s="61" t="n"/>
      <c r="E1854" s="61" t="n"/>
      <c r="F1854" s="55" t="n"/>
      <c r="G1854" s="56" t="n"/>
      <c r="H1854" s="55" t="n"/>
      <c r="I1854" s="62" t="n"/>
      <c r="J1854" s="58" t="n"/>
      <c r="K1854" s="63">
        <f>IF(tblMovement[[#This Row],[Source]]="","",IFERROR(INDEX(tblSources[Type],MATCH(tblMovement[[#This Row],[Source]],tblSources[Source],0)),"?"))</f>
        <v/>
      </c>
      <c r="L1854" s="63">
        <f>IF(tblMovement[[#This Row],[Destination]]="","",IFERROR(INDEX(tblDestinations[Type],MATCH(tblMovement[[#This Row],[Destination]],tblDestinations[Destination],0)),"?"))</f>
        <v/>
      </c>
      <c r="M1854" s="64">
        <f>IF(tblMovement[[#This Row],[Material]]="","",IF(LEFT(tblMovement[[#This Row],[Material]],3)="Ore",1,0))</f>
        <v/>
      </c>
      <c r="N1854" s="59">
        <f>IF(OR(tblMovement[[#This Row],[Tonnes_t]]="",tblMovement[[#This Row],[Grade_gpt]]=""),0,tblMovement[[#This Row],[Tonnes_t]]*tblMovement[[#This Row],[Grade_gpt]]/cfg_TroyOz)</f>
        <v/>
      </c>
      <c r="O1854" s="59">
        <f>IF(tblMovement[[#This Row],[Is_Ore]]=1,tblMovement[[#This Row],[Contained_oz]],0)</f>
        <v/>
      </c>
    </row>
    <row r="1855">
      <c r="A1855" s="54" t="n"/>
      <c r="B1855" s="61" t="n"/>
      <c r="C1855" s="61" t="n"/>
      <c r="D1855" s="61" t="n"/>
      <c r="E1855" s="61" t="n"/>
      <c r="F1855" s="55" t="n"/>
      <c r="G1855" s="56" t="n"/>
      <c r="H1855" s="55" t="n"/>
      <c r="I1855" s="62" t="n"/>
      <c r="J1855" s="58" t="n"/>
      <c r="K1855" s="63">
        <f>IF(tblMovement[[#This Row],[Source]]="","",IFERROR(INDEX(tblSources[Type],MATCH(tblMovement[[#This Row],[Source]],tblSources[Source],0)),"?"))</f>
        <v/>
      </c>
      <c r="L1855" s="63">
        <f>IF(tblMovement[[#This Row],[Destination]]="","",IFERROR(INDEX(tblDestinations[Type],MATCH(tblMovement[[#This Row],[Destination]],tblDestinations[Destination],0)),"?"))</f>
        <v/>
      </c>
      <c r="M1855" s="64">
        <f>IF(tblMovement[[#This Row],[Material]]="","",IF(LEFT(tblMovement[[#This Row],[Material]],3)="Ore",1,0))</f>
        <v/>
      </c>
      <c r="N1855" s="59">
        <f>IF(OR(tblMovement[[#This Row],[Tonnes_t]]="",tblMovement[[#This Row],[Grade_gpt]]=""),0,tblMovement[[#This Row],[Tonnes_t]]*tblMovement[[#This Row],[Grade_gpt]]/cfg_TroyOz)</f>
        <v/>
      </c>
      <c r="O1855" s="59">
        <f>IF(tblMovement[[#This Row],[Is_Ore]]=1,tblMovement[[#This Row],[Contained_oz]],0)</f>
        <v/>
      </c>
    </row>
    <row r="1856">
      <c r="A1856" s="54" t="n"/>
      <c r="B1856" s="61" t="n"/>
      <c r="C1856" s="61" t="n"/>
      <c r="D1856" s="61" t="n"/>
      <c r="E1856" s="61" t="n"/>
      <c r="F1856" s="55" t="n"/>
      <c r="G1856" s="56" t="n"/>
      <c r="H1856" s="55" t="n"/>
      <c r="I1856" s="62" t="n"/>
      <c r="J1856" s="58" t="n"/>
      <c r="K1856" s="63">
        <f>IF(tblMovement[[#This Row],[Source]]="","",IFERROR(INDEX(tblSources[Type],MATCH(tblMovement[[#This Row],[Source]],tblSources[Source],0)),"?"))</f>
        <v/>
      </c>
      <c r="L1856" s="63">
        <f>IF(tblMovement[[#This Row],[Destination]]="","",IFERROR(INDEX(tblDestinations[Type],MATCH(tblMovement[[#This Row],[Destination]],tblDestinations[Destination],0)),"?"))</f>
        <v/>
      </c>
      <c r="M1856" s="64">
        <f>IF(tblMovement[[#This Row],[Material]]="","",IF(LEFT(tblMovement[[#This Row],[Material]],3)="Ore",1,0))</f>
        <v/>
      </c>
      <c r="N1856" s="59">
        <f>IF(OR(tblMovement[[#This Row],[Tonnes_t]]="",tblMovement[[#This Row],[Grade_gpt]]=""),0,tblMovement[[#This Row],[Tonnes_t]]*tblMovement[[#This Row],[Grade_gpt]]/cfg_TroyOz)</f>
        <v/>
      </c>
      <c r="O1856" s="59">
        <f>IF(tblMovement[[#This Row],[Is_Ore]]=1,tblMovement[[#This Row],[Contained_oz]],0)</f>
        <v/>
      </c>
    </row>
    <row r="1857">
      <c r="A1857" s="54" t="n"/>
      <c r="B1857" s="61" t="n"/>
      <c r="C1857" s="61" t="n"/>
      <c r="D1857" s="61" t="n"/>
      <c r="E1857" s="61" t="n"/>
      <c r="F1857" s="55" t="n"/>
      <c r="G1857" s="56" t="n"/>
      <c r="H1857" s="55" t="n"/>
      <c r="I1857" s="62" t="n"/>
      <c r="J1857" s="58" t="n"/>
      <c r="K1857" s="63">
        <f>IF(tblMovement[[#This Row],[Source]]="","",IFERROR(INDEX(tblSources[Type],MATCH(tblMovement[[#This Row],[Source]],tblSources[Source],0)),"?"))</f>
        <v/>
      </c>
      <c r="L1857" s="63">
        <f>IF(tblMovement[[#This Row],[Destination]]="","",IFERROR(INDEX(tblDestinations[Type],MATCH(tblMovement[[#This Row],[Destination]],tblDestinations[Destination],0)),"?"))</f>
        <v/>
      </c>
      <c r="M1857" s="64">
        <f>IF(tblMovement[[#This Row],[Material]]="","",IF(LEFT(tblMovement[[#This Row],[Material]],3)="Ore",1,0))</f>
        <v/>
      </c>
      <c r="N1857" s="59">
        <f>IF(OR(tblMovement[[#This Row],[Tonnes_t]]="",tblMovement[[#This Row],[Grade_gpt]]=""),0,tblMovement[[#This Row],[Tonnes_t]]*tblMovement[[#This Row],[Grade_gpt]]/cfg_TroyOz)</f>
        <v/>
      </c>
      <c r="O1857" s="59">
        <f>IF(tblMovement[[#This Row],[Is_Ore]]=1,tblMovement[[#This Row],[Contained_oz]],0)</f>
        <v/>
      </c>
    </row>
    <row r="1858">
      <c r="A1858" s="54" t="n"/>
      <c r="B1858" s="61" t="n"/>
      <c r="C1858" s="61" t="n"/>
      <c r="D1858" s="61" t="n"/>
      <c r="E1858" s="61" t="n"/>
      <c r="F1858" s="55" t="n"/>
      <c r="G1858" s="56" t="n"/>
      <c r="H1858" s="55" t="n"/>
      <c r="I1858" s="62" t="n"/>
      <c r="J1858" s="58" t="n"/>
      <c r="K1858" s="63">
        <f>IF(tblMovement[[#This Row],[Source]]="","",IFERROR(INDEX(tblSources[Type],MATCH(tblMovement[[#This Row],[Source]],tblSources[Source],0)),"?"))</f>
        <v/>
      </c>
      <c r="L1858" s="63">
        <f>IF(tblMovement[[#This Row],[Destination]]="","",IFERROR(INDEX(tblDestinations[Type],MATCH(tblMovement[[#This Row],[Destination]],tblDestinations[Destination],0)),"?"))</f>
        <v/>
      </c>
      <c r="M1858" s="64">
        <f>IF(tblMovement[[#This Row],[Material]]="","",IF(LEFT(tblMovement[[#This Row],[Material]],3)="Ore",1,0))</f>
        <v/>
      </c>
      <c r="N1858" s="59">
        <f>IF(OR(tblMovement[[#This Row],[Tonnes_t]]="",tblMovement[[#This Row],[Grade_gpt]]=""),0,tblMovement[[#This Row],[Tonnes_t]]*tblMovement[[#This Row],[Grade_gpt]]/cfg_TroyOz)</f>
        <v/>
      </c>
      <c r="O1858" s="59">
        <f>IF(tblMovement[[#This Row],[Is_Ore]]=1,tblMovement[[#This Row],[Contained_oz]],0)</f>
        <v/>
      </c>
    </row>
    <row r="1859">
      <c r="A1859" s="54" t="n"/>
      <c r="B1859" s="61" t="n"/>
      <c r="C1859" s="61" t="n"/>
      <c r="D1859" s="61" t="n"/>
      <c r="E1859" s="61" t="n"/>
      <c r="F1859" s="55" t="n"/>
      <c r="G1859" s="56" t="n"/>
      <c r="H1859" s="55" t="n"/>
      <c r="I1859" s="62" t="n"/>
      <c r="J1859" s="58" t="n"/>
      <c r="K1859" s="63">
        <f>IF(tblMovement[[#This Row],[Source]]="","",IFERROR(INDEX(tblSources[Type],MATCH(tblMovement[[#This Row],[Source]],tblSources[Source],0)),"?"))</f>
        <v/>
      </c>
      <c r="L1859" s="63">
        <f>IF(tblMovement[[#This Row],[Destination]]="","",IFERROR(INDEX(tblDestinations[Type],MATCH(tblMovement[[#This Row],[Destination]],tblDestinations[Destination],0)),"?"))</f>
        <v/>
      </c>
      <c r="M1859" s="64">
        <f>IF(tblMovement[[#This Row],[Material]]="","",IF(LEFT(tblMovement[[#This Row],[Material]],3)="Ore",1,0))</f>
        <v/>
      </c>
      <c r="N1859" s="59">
        <f>IF(OR(tblMovement[[#This Row],[Tonnes_t]]="",tblMovement[[#This Row],[Grade_gpt]]=""),0,tblMovement[[#This Row],[Tonnes_t]]*tblMovement[[#This Row],[Grade_gpt]]/cfg_TroyOz)</f>
        <v/>
      </c>
      <c r="O1859" s="59">
        <f>IF(tblMovement[[#This Row],[Is_Ore]]=1,tblMovement[[#This Row],[Contained_oz]],0)</f>
        <v/>
      </c>
    </row>
    <row r="1860">
      <c r="A1860" s="54" t="n"/>
      <c r="B1860" s="61" t="n"/>
      <c r="C1860" s="61" t="n"/>
      <c r="D1860" s="61" t="n"/>
      <c r="E1860" s="61" t="n"/>
      <c r="F1860" s="55" t="n"/>
      <c r="G1860" s="56" t="n"/>
      <c r="H1860" s="55" t="n"/>
      <c r="I1860" s="62" t="n"/>
      <c r="J1860" s="58" t="n"/>
      <c r="K1860" s="63">
        <f>IF(tblMovement[[#This Row],[Source]]="","",IFERROR(INDEX(tblSources[Type],MATCH(tblMovement[[#This Row],[Source]],tblSources[Source],0)),"?"))</f>
        <v/>
      </c>
      <c r="L1860" s="63">
        <f>IF(tblMovement[[#This Row],[Destination]]="","",IFERROR(INDEX(tblDestinations[Type],MATCH(tblMovement[[#This Row],[Destination]],tblDestinations[Destination],0)),"?"))</f>
        <v/>
      </c>
      <c r="M1860" s="64">
        <f>IF(tblMovement[[#This Row],[Material]]="","",IF(LEFT(tblMovement[[#This Row],[Material]],3)="Ore",1,0))</f>
        <v/>
      </c>
      <c r="N1860" s="59">
        <f>IF(OR(tblMovement[[#This Row],[Tonnes_t]]="",tblMovement[[#This Row],[Grade_gpt]]=""),0,tblMovement[[#This Row],[Tonnes_t]]*tblMovement[[#This Row],[Grade_gpt]]/cfg_TroyOz)</f>
        <v/>
      </c>
      <c r="O1860" s="59">
        <f>IF(tblMovement[[#This Row],[Is_Ore]]=1,tblMovement[[#This Row],[Contained_oz]],0)</f>
        <v/>
      </c>
    </row>
    <row r="1861">
      <c r="A1861" s="54" t="n"/>
      <c r="B1861" s="61" t="n"/>
      <c r="C1861" s="61" t="n"/>
      <c r="D1861" s="61" t="n"/>
      <c r="E1861" s="61" t="n"/>
      <c r="F1861" s="55" t="n"/>
      <c r="G1861" s="56" t="n"/>
      <c r="H1861" s="55" t="n"/>
      <c r="I1861" s="62" t="n"/>
      <c r="J1861" s="58" t="n"/>
      <c r="K1861" s="63">
        <f>IF(tblMovement[[#This Row],[Source]]="","",IFERROR(INDEX(tblSources[Type],MATCH(tblMovement[[#This Row],[Source]],tblSources[Source],0)),"?"))</f>
        <v/>
      </c>
      <c r="L1861" s="63">
        <f>IF(tblMovement[[#This Row],[Destination]]="","",IFERROR(INDEX(tblDestinations[Type],MATCH(tblMovement[[#This Row],[Destination]],tblDestinations[Destination],0)),"?"))</f>
        <v/>
      </c>
      <c r="M1861" s="64">
        <f>IF(tblMovement[[#This Row],[Material]]="","",IF(LEFT(tblMovement[[#This Row],[Material]],3)="Ore",1,0))</f>
        <v/>
      </c>
      <c r="N1861" s="59">
        <f>IF(OR(tblMovement[[#This Row],[Tonnes_t]]="",tblMovement[[#This Row],[Grade_gpt]]=""),0,tblMovement[[#This Row],[Tonnes_t]]*tblMovement[[#This Row],[Grade_gpt]]/cfg_TroyOz)</f>
        <v/>
      </c>
      <c r="O1861" s="59">
        <f>IF(tblMovement[[#This Row],[Is_Ore]]=1,tblMovement[[#This Row],[Contained_oz]],0)</f>
        <v/>
      </c>
    </row>
    <row r="1862">
      <c r="A1862" s="54" t="n"/>
      <c r="B1862" s="61" t="n"/>
      <c r="C1862" s="61" t="n"/>
      <c r="D1862" s="61" t="n"/>
      <c r="E1862" s="61" t="n"/>
      <c r="F1862" s="55" t="n"/>
      <c r="G1862" s="56" t="n"/>
      <c r="H1862" s="55" t="n"/>
      <c r="I1862" s="62" t="n"/>
      <c r="J1862" s="58" t="n"/>
      <c r="K1862" s="63">
        <f>IF(tblMovement[[#This Row],[Source]]="","",IFERROR(INDEX(tblSources[Type],MATCH(tblMovement[[#This Row],[Source]],tblSources[Source],0)),"?"))</f>
        <v/>
      </c>
      <c r="L1862" s="63">
        <f>IF(tblMovement[[#This Row],[Destination]]="","",IFERROR(INDEX(tblDestinations[Type],MATCH(tblMovement[[#This Row],[Destination]],tblDestinations[Destination],0)),"?"))</f>
        <v/>
      </c>
      <c r="M1862" s="64">
        <f>IF(tblMovement[[#This Row],[Material]]="","",IF(LEFT(tblMovement[[#This Row],[Material]],3)="Ore",1,0))</f>
        <v/>
      </c>
      <c r="N1862" s="59">
        <f>IF(OR(tblMovement[[#This Row],[Tonnes_t]]="",tblMovement[[#This Row],[Grade_gpt]]=""),0,tblMovement[[#This Row],[Tonnes_t]]*tblMovement[[#This Row],[Grade_gpt]]/cfg_TroyOz)</f>
        <v/>
      </c>
      <c r="O1862" s="59">
        <f>IF(tblMovement[[#This Row],[Is_Ore]]=1,tblMovement[[#This Row],[Contained_oz]],0)</f>
        <v/>
      </c>
    </row>
    <row r="1863">
      <c r="A1863" s="54" t="n"/>
      <c r="B1863" s="61" t="n"/>
      <c r="C1863" s="61" t="n"/>
      <c r="D1863" s="61" t="n"/>
      <c r="E1863" s="61" t="n"/>
      <c r="F1863" s="55" t="n"/>
      <c r="G1863" s="56" t="n"/>
      <c r="H1863" s="55" t="n"/>
      <c r="I1863" s="62" t="n"/>
      <c r="J1863" s="58" t="n"/>
      <c r="K1863" s="63">
        <f>IF(tblMovement[[#This Row],[Source]]="","",IFERROR(INDEX(tblSources[Type],MATCH(tblMovement[[#This Row],[Source]],tblSources[Source],0)),"?"))</f>
        <v/>
      </c>
      <c r="L1863" s="63">
        <f>IF(tblMovement[[#This Row],[Destination]]="","",IFERROR(INDEX(tblDestinations[Type],MATCH(tblMovement[[#This Row],[Destination]],tblDestinations[Destination],0)),"?"))</f>
        <v/>
      </c>
      <c r="M1863" s="64">
        <f>IF(tblMovement[[#This Row],[Material]]="","",IF(LEFT(tblMovement[[#This Row],[Material]],3)="Ore",1,0))</f>
        <v/>
      </c>
      <c r="N1863" s="59">
        <f>IF(OR(tblMovement[[#This Row],[Tonnes_t]]="",tblMovement[[#This Row],[Grade_gpt]]=""),0,tblMovement[[#This Row],[Tonnes_t]]*tblMovement[[#This Row],[Grade_gpt]]/cfg_TroyOz)</f>
        <v/>
      </c>
      <c r="O1863" s="59">
        <f>IF(tblMovement[[#This Row],[Is_Ore]]=1,tblMovement[[#This Row],[Contained_oz]],0)</f>
        <v/>
      </c>
    </row>
    <row r="1864">
      <c r="A1864" s="54" t="n"/>
      <c r="B1864" s="61" t="n"/>
      <c r="C1864" s="61" t="n"/>
      <c r="D1864" s="61" t="n"/>
      <c r="E1864" s="61" t="n"/>
      <c r="F1864" s="55" t="n"/>
      <c r="G1864" s="56" t="n"/>
      <c r="H1864" s="55" t="n"/>
      <c r="I1864" s="62" t="n"/>
      <c r="J1864" s="58" t="n"/>
      <c r="K1864" s="63">
        <f>IF(tblMovement[[#This Row],[Source]]="","",IFERROR(INDEX(tblSources[Type],MATCH(tblMovement[[#This Row],[Source]],tblSources[Source],0)),"?"))</f>
        <v/>
      </c>
      <c r="L1864" s="63">
        <f>IF(tblMovement[[#This Row],[Destination]]="","",IFERROR(INDEX(tblDestinations[Type],MATCH(tblMovement[[#This Row],[Destination]],tblDestinations[Destination],0)),"?"))</f>
        <v/>
      </c>
      <c r="M1864" s="64">
        <f>IF(tblMovement[[#This Row],[Material]]="","",IF(LEFT(tblMovement[[#This Row],[Material]],3)="Ore",1,0))</f>
        <v/>
      </c>
      <c r="N1864" s="59">
        <f>IF(OR(tblMovement[[#This Row],[Tonnes_t]]="",tblMovement[[#This Row],[Grade_gpt]]=""),0,tblMovement[[#This Row],[Tonnes_t]]*tblMovement[[#This Row],[Grade_gpt]]/cfg_TroyOz)</f>
        <v/>
      </c>
      <c r="O1864" s="59">
        <f>IF(tblMovement[[#This Row],[Is_Ore]]=1,tblMovement[[#This Row],[Contained_oz]],0)</f>
        <v/>
      </c>
    </row>
    <row r="1865">
      <c r="A1865" s="54" t="n"/>
      <c r="B1865" s="61" t="n"/>
      <c r="C1865" s="61" t="n"/>
      <c r="D1865" s="61" t="n"/>
      <c r="E1865" s="61" t="n"/>
      <c r="F1865" s="55" t="n"/>
      <c r="G1865" s="56" t="n"/>
      <c r="H1865" s="55" t="n"/>
      <c r="I1865" s="62" t="n"/>
      <c r="J1865" s="58" t="n"/>
      <c r="K1865" s="63">
        <f>IF(tblMovement[[#This Row],[Source]]="","",IFERROR(INDEX(tblSources[Type],MATCH(tblMovement[[#This Row],[Source]],tblSources[Source],0)),"?"))</f>
        <v/>
      </c>
      <c r="L1865" s="63">
        <f>IF(tblMovement[[#This Row],[Destination]]="","",IFERROR(INDEX(tblDestinations[Type],MATCH(tblMovement[[#This Row],[Destination]],tblDestinations[Destination],0)),"?"))</f>
        <v/>
      </c>
      <c r="M1865" s="64">
        <f>IF(tblMovement[[#This Row],[Material]]="","",IF(LEFT(tblMovement[[#This Row],[Material]],3)="Ore",1,0))</f>
        <v/>
      </c>
      <c r="N1865" s="59">
        <f>IF(OR(tblMovement[[#This Row],[Tonnes_t]]="",tblMovement[[#This Row],[Grade_gpt]]=""),0,tblMovement[[#This Row],[Tonnes_t]]*tblMovement[[#This Row],[Grade_gpt]]/cfg_TroyOz)</f>
        <v/>
      </c>
      <c r="O1865" s="59">
        <f>IF(tblMovement[[#This Row],[Is_Ore]]=1,tblMovement[[#This Row],[Contained_oz]],0)</f>
        <v/>
      </c>
    </row>
    <row r="1866">
      <c r="A1866" s="54" t="n"/>
      <c r="B1866" s="61" t="n"/>
      <c r="C1866" s="61" t="n"/>
      <c r="D1866" s="61" t="n"/>
      <c r="E1866" s="61" t="n"/>
      <c r="F1866" s="55" t="n"/>
      <c r="G1866" s="56" t="n"/>
      <c r="H1866" s="55" t="n"/>
      <c r="I1866" s="62" t="n"/>
      <c r="J1866" s="58" t="n"/>
      <c r="K1866" s="63">
        <f>IF(tblMovement[[#This Row],[Source]]="","",IFERROR(INDEX(tblSources[Type],MATCH(tblMovement[[#This Row],[Source]],tblSources[Source],0)),"?"))</f>
        <v/>
      </c>
      <c r="L1866" s="63">
        <f>IF(tblMovement[[#This Row],[Destination]]="","",IFERROR(INDEX(tblDestinations[Type],MATCH(tblMovement[[#This Row],[Destination]],tblDestinations[Destination],0)),"?"))</f>
        <v/>
      </c>
      <c r="M1866" s="64">
        <f>IF(tblMovement[[#This Row],[Material]]="","",IF(LEFT(tblMovement[[#This Row],[Material]],3)="Ore",1,0))</f>
        <v/>
      </c>
      <c r="N1866" s="59">
        <f>IF(OR(tblMovement[[#This Row],[Tonnes_t]]="",tblMovement[[#This Row],[Grade_gpt]]=""),0,tblMovement[[#This Row],[Tonnes_t]]*tblMovement[[#This Row],[Grade_gpt]]/cfg_TroyOz)</f>
        <v/>
      </c>
      <c r="O1866" s="59">
        <f>IF(tblMovement[[#This Row],[Is_Ore]]=1,tblMovement[[#This Row],[Contained_oz]],0)</f>
        <v/>
      </c>
    </row>
    <row r="1867">
      <c r="A1867" s="54" t="n"/>
      <c r="B1867" s="61" t="n"/>
      <c r="C1867" s="61" t="n"/>
      <c r="D1867" s="61" t="n"/>
      <c r="E1867" s="61" t="n"/>
      <c r="F1867" s="55" t="n"/>
      <c r="G1867" s="56" t="n"/>
      <c r="H1867" s="55" t="n"/>
      <c r="I1867" s="62" t="n"/>
      <c r="J1867" s="58" t="n"/>
      <c r="K1867" s="63">
        <f>IF(tblMovement[[#This Row],[Source]]="","",IFERROR(INDEX(tblSources[Type],MATCH(tblMovement[[#This Row],[Source]],tblSources[Source],0)),"?"))</f>
        <v/>
      </c>
      <c r="L1867" s="63">
        <f>IF(tblMovement[[#This Row],[Destination]]="","",IFERROR(INDEX(tblDestinations[Type],MATCH(tblMovement[[#This Row],[Destination]],tblDestinations[Destination],0)),"?"))</f>
        <v/>
      </c>
      <c r="M1867" s="64">
        <f>IF(tblMovement[[#This Row],[Material]]="","",IF(LEFT(tblMovement[[#This Row],[Material]],3)="Ore",1,0))</f>
        <v/>
      </c>
      <c r="N1867" s="59">
        <f>IF(OR(tblMovement[[#This Row],[Tonnes_t]]="",tblMovement[[#This Row],[Grade_gpt]]=""),0,tblMovement[[#This Row],[Tonnes_t]]*tblMovement[[#This Row],[Grade_gpt]]/cfg_TroyOz)</f>
        <v/>
      </c>
      <c r="O1867" s="59">
        <f>IF(tblMovement[[#This Row],[Is_Ore]]=1,tblMovement[[#This Row],[Contained_oz]],0)</f>
        <v/>
      </c>
    </row>
    <row r="1868">
      <c r="A1868" s="54" t="n"/>
      <c r="B1868" s="61" t="n"/>
      <c r="C1868" s="61" t="n"/>
      <c r="D1868" s="61" t="n"/>
      <c r="E1868" s="61" t="n"/>
      <c r="F1868" s="55" t="n"/>
      <c r="G1868" s="56" t="n"/>
      <c r="H1868" s="55" t="n"/>
      <c r="I1868" s="62" t="n"/>
      <c r="J1868" s="58" t="n"/>
      <c r="K1868" s="63">
        <f>IF(tblMovement[[#This Row],[Source]]="","",IFERROR(INDEX(tblSources[Type],MATCH(tblMovement[[#This Row],[Source]],tblSources[Source],0)),"?"))</f>
        <v/>
      </c>
      <c r="L1868" s="63">
        <f>IF(tblMovement[[#This Row],[Destination]]="","",IFERROR(INDEX(tblDestinations[Type],MATCH(tblMovement[[#This Row],[Destination]],tblDestinations[Destination],0)),"?"))</f>
        <v/>
      </c>
      <c r="M1868" s="64">
        <f>IF(tblMovement[[#This Row],[Material]]="","",IF(LEFT(tblMovement[[#This Row],[Material]],3)="Ore",1,0))</f>
        <v/>
      </c>
      <c r="N1868" s="59">
        <f>IF(OR(tblMovement[[#This Row],[Tonnes_t]]="",tblMovement[[#This Row],[Grade_gpt]]=""),0,tblMovement[[#This Row],[Tonnes_t]]*tblMovement[[#This Row],[Grade_gpt]]/cfg_TroyOz)</f>
        <v/>
      </c>
      <c r="O1868" s="59">
        <f>IF(tblMovement[[#This Row],[Is_Ore]]=1,tblMovement[[#This Row],[Contained_oz]],0)</f>
        <v/>
      </c>
    </row>
    <row r="1869">
      <c r="A1869" s="54" t="n"/>
      <c r="B1869" s="61" t="n"/>
      <c r="C1869" s="61" t="n"/>
      <c r="D1869" s="61" t="n"/>
      <c r="E1869" s="61" t="n"/>
      <c r="F1869" s="55" t="n"/>
      <c r="G1869" s="56" t="n"/>
      <c r="H1869" s="55" t="n"/>
      <c r="I1869" s="62" t="n"/>
      <c r="J1869" s="58" t="n"/>
      <c r="K1869" s="63">
        <f>IF(tblMovement[[#This Row],[Source]]="","",IFERROR(INDEX(tblSources[Type],MATCH(tblMovement[[#This Row],[Source]],tblSources[Source],0)),"?"))</f>
        <v/>
      </c>
      <c r="L1869" s="63">
        <f>IF(tblMovement[[#This Row],[Destination]]="","",IFERROR(INDEX(tblDestinations[Type],MATCH(tblMovement[[#This Row],[Destination]],tblDestinations[Destination],0)),"?"))</f>
        <v/>
      </c>
      <c r="M1869" s="64">
        <f>IF(tblMovement[[#This Row],[Material]]="","",IF(LEFT(tblMovement[[#This Row],[Material]],3)="Ore",1,0))</f>
        <v/>
      </c>
      <c r="N1869" s="59">
        <f>IF(OR(tblMovement[[#This Row],[Tonnes_t]]="",tblMovement[[#This Row],[Grade_gpt]]=""),0,tblMovement[[#This Row],[Tonnes_t]]*tblMovement[[#This Row],[Grade_gpt]]/cfg_TroyOz)</f>
        <v/>
      </c>
      <c r="O1869" s="59">
        <f>IF(tblMovement[[#This Row],[Is_Ore]]=1,tblMovement[[#This Row],[Contained_oz]],0)</f>
        <v/>
      </c>
    </row>
    <row r="1870">
      <c r="A1870" s="54" t="n"/>
      <c r="B1870" s="61" t="n"/>
      <c r="C1870" s="61" t="n"/>
      <c r="D1870" s="61" t="n"/>
      <c r="E1870" s="61" t="n"/>
      <c r="F1870" s="55" t="n"/>
      <c r="G1870" s="56" t="n"/>
      <c r="H1870" s="55" t="n"/>
      <c r="I1870" s="62" t="n"/>
      <c r="J1870" s="58" t="n"/>
      <c r="K1870" s="63">
        <f>IF(tblMovement[[#This Row],[Source]]="","",IFERROR(INDEX(tblSources[Type],MATCH(tblMovement[[#This Row],[Source]],tblSources[Source],0)),"?"))</f>
        <v/>
      </c>
      <c r="L1870" s="63">
        <f>IF(tblMovement[[#This Row],[Destination]]="","",IFERROR(INDEX(tblDestinations[Type],MATCH(tblMovement[[#This Row],[Destination]],tblDestinations[Destination],0)),"?"))</f>
        <v/>
      </c>
      <c r="M1870" s="64">
        <f>IF(tblMovement[[#This Row],[Material]]="","",IF(LEFT(tblMovement[[#This Row],[Material]],3)="Ore",1,0))</f>
        <v/>
      </c>
      <c r="N1870" s="59">
        <f>IF(OR(tblMovement[[#This Row],[Tonnes_t]]="",tblMovement[[#This Row],[Grade_gpt]]=""),0,tblMovement[[#This Row],[Tonnes_t]]*tblMovement[[#This Row],[Grade_gpt]]/cfg_TroyOz)</f>
        <v/>
      </c>
      <c r="O1870" s="59">
        <f>IF(tblMovement[[#This Row],[Is_Ore]]=1,tblMovement[[#This Row],[Contained_oz]],0)</f>
        <v/>
      </c>
    </row>
    <row r="1871">
      <c r="A1871" s="54" t="n"/>
      <c r="B1871" s="61" t="n"/>
      <c r="C1871" s="61" t="n"/>
      <c r="D1871" s="61" t="n"/>
      <c r="E1871" s="61" t="n"/>
      <c r="F1871" s="55" t="n"/>
      <c r="G1871" s="56" t="n"/>
      <c r="H1871" s="55" t="n"/>
      <c r="I1871" s="62" t="n"/>
      <c r="J1871" s="58" t="n"/>
      <c r="K1871" s="63">
        <f>IF(tblMovement[[#This Row],[Source]]="","",IFERROR(INDEX(tblSources[Type],MATCH(tblMovement[[#This Row],[Source]],tblSources[Source],0)),"?"))</f>
        <v/>
      </c>
      <c r="L1871" s="63">
        <f>IF(tblMovement[[#This Row],[Destination]]="","",IFERROR(INDEX(tblDestinations[Type],MATCH(tblMovement[[#This Row],[Destination]],tblDestinations[Destination],0)),"?"))</f>
        <v/>
      </c>
      <c r="M1871" s="64">
        <f>IF(tblMovement[[#This Row],[Material]]="","",IF(LEFT(tblMovement[[#This Row],[Material]],3)="Ore",1,0))</f>
        <v/>
      </c>
      <c r="N1871" s="59">
        <f>IF(OR(tblMovement[[#This Row],[Tonnes_t]]="",tblMovement[[#This Row],[Grade_gpt]]=""),0,tblMovement[[#This Row],[Tonnes_t]]*tblMovement[[#This Row],[Grade_gpt]]/cfg_TroyOz)</f>
        <v/>
      </c>
      <c r="O1871" s="59">
        <f>IF(tblMovement[[#This Row],[Is_Ore]]=1,tblMovement[[#This Row],[Contained_oz]],0)</f>
        <v/>
      </c>
    </row>
    <row r="1872">
      <c r="A1872" s="54" t="n"/>
      <c r="B1872" s="61" t="n"/>
      <c r="C1872" s="61" t="n"/>
      <c r="D1872" s="61" t="n"/>
      <c r="E1872" s="61" t="n"/>
      <c r="F1872" s="55" t="n"/>
      <c r="G1872" s="56" t="n"/>
      <c r="H1872" s="55" t="n"/>
      <c r="I1872" s="62" t="n"/>
      <c r="J1872" s="58" t="n"/>
      <c r="K1872" s="63">
        <f>IF(tblMovement[[#This Row],[Source]]="","",IFERROR(INDEX(tblSources[Type],MATCH(tblMovement[[#This Row],[Source]],tblSources[Source],0)),"?"))</f>
        <v/>
      </c>
      <c r="L1872" s="63">
        <f>IF(tblMovement[[#This Row],[Destination]]="","",IFERROR(INDEX(tblDestinations[Type],MATCH(tblMovement[[#This Row],[Destination]],tblDestinations[Destination],0)),"?"))</f>
        <v/>
      </c>
      <c r="M1872" s="64">
        <f>IF(tblMovement[[#This Row],[Material]]="","",IF(LEFT(tblMovement[[#This Row],[Material]],3)="Ore",1,0))</f>
        <v/>
      </c>
      <c r="N1872" s="59">
        <f>IF(OR(tblMovement[[#This Row],[Tonnes_t]]="",tblMovement[[#This Row],[Grade_gpt]]=""),0,tblMovement[[#This Row],[Tonnes_t]]*tblMovement[[#This Row],[Grade_gpt]]/cfg_TroyOz)</f>
        <v/>
      </c>
      <c r="O1872" s="59">
        <f>IF(tblMovement[[#This Row],[Is_Ore]]=1,tblMovement[[#This Row],[Contained_oz]],0)</f>
        <v/>
      </c>
    </row>
    <row r="1873">
      <c r="A1873" s="54" t="n"/>
      <c r="B1873" s="61" t="n"/>
      <c r="C1873" s="61" t="n"/>
      <c r="D1873" s="61" t="n"/>
      <c r="E1873" s="61" t="n"/>
      <c r="F1873" s="55" t="n"/>
      <c r="G1873" s="56" t="n"/>
      <c r="H1873" s="55" t="n"/>
      <c r="I1873" s="62" t="n"/>
      <c r="J1873" s="58" t="n"/>
      <c r="K1873" s="63">
        <f>IF(tblMovement[[#This Row],[Source]]="","",IFERROR(INDEX(tblSources[Type],MATCH(tblMovement[[#This Row],[Source]],tblSources[Source],0)),"?"))</f>
        <v/>
      </c>
      <c r="L1873" s="63">
        <f>IF(tblMovement[[#This Row],[Destination]]="","",IFERROR(INDEX(tblDestinations[Type],MATCH(tblMovement[[#This Row],[Destination]],tblDestinations[Destination],0)),"?"))</f>
        <v/>
      </c>
      <c r="M1873" s="64">
        <f>IF(tblMovement[[#This Row],[Material]]="","",IF(LEFT(tblMovement[[#This Row],[Material]],3)="Ore",1,0))</f>
        <v/>
      </c>
      <c r="N1873" s="59">
        <f>IF(OR(tblMovement[[#This Row],[Tonnes_t]]="",tblMovement[[#This Row],[Grade_gpt]]=""),0,tblMovement[[#This Row],[Tonnes_t]]*tblMovement[[#This Row],[Grade_gpt]]/cfg_TroyOz)</f>
        <v/>
      </c>
      <c r="O1873" s="59">
        <f>IF(tblMovement[[#This Row],[Is_Ore]]=1,tblMovement[[#This Row],[Contained_oz]],0)</f>
        <v/>
      </c>
    </row>
    <row r="1874">
      <c r="A1874" s="54" t="n"/>
      <c r="B1874" s="61" t="n"/>
      <c r="C1874" s="61" t="n"/>
      <c r="D1874" s="61" t="n"/>
      <c r="E1874" s="61" t="n"/>
      <c r="F1874" s="55" t="n"/>
      <c r="G1874" s="56" t="n"/>
      <c r="H1874" s="55" t="n"/>
      <c r="I1874" s="62" t="n"/>
      <c r="J1874" s="58" t="n"/>
      <c r="K1874" s="63">
        <f>IF(tblMovement[[#This Row],[Source]]="","",IFERROR(INDEX(tblSources[Type],MATCH(tblMovement[[#This Row],[Source]],tblSources[Source],0)),"?"))</f>
        <v/>
      </c>
      <c r="L1874" s="63">
        <f>IF(tblMovement[[#This Row],[Destination]]="","",IFERROR(INDEX(tblDestinations[Type],MATCH(tblMovement[[#This Row],[Destination]],tblDestinations[Destination],0)),"?"))</f>
        <v/>
      </c>
      <c r="M1874" s="64">
        <f>IF(tblMovement[[#This Row],[Material]]="","",IF(LEFT(tblMovement[[#This Row],[Material]],3)="Ore",1,0))</f>
        <v/>
      </c>
      <c r="N1874" s="59">
        <f>IF(OR(tblMovement[[#This Row],[Tonnes_t]]="",tblMovement[[#This Row],[Grade_gpt]]=""),0,tblMovement[[#This Row],[Tonnes_t]]*tblMovement[[#This Row],[Grade_gpt]]/cfg_TroyOz)</f>
        <v/>
      </c>
      <c r="O1874" s="59">
        <f>IF(tblMovement[[#This Row],[Is_Ore]]=1,tblMovement[[#This Row],[Contained_oz]],0)</f>
        <v/>
      </c>
    </row>
    <row r="1875">
      <c r="A1875" s="54" t="n"/>
      <c r="B1875" s="61" t="n"/>
      <c r="C1875" s="61" t="n"/>
      <c r="D1875" s="61" t="n"/>
      <c r="E1875" s="61" t="n"/>
      <c r="F1875" s="55" t="n"/>
      <c r="G1875" s="56" t="n"/>
      <c r="H1875" s="55" t="n"/>
      <c r="I1875" s="62" t="n"/>
      <c r="J1875" s="58" t="n"/>
      <c r="K1875" s="63">
        <f>IF(tblMovement[[#This Row],[Source]]="","",IFERROR(INDEX(tblSources[Type],MATCH(tblMovement[[#This Row],[Source]],tblSources[Source],0)),"?"))</f>
        <v/>
      </c>
      <c r="L1875" s="63">
        <f>IF(tblMovement[[#This Row],[Destination]]="","",IFERROR(INDEX(tblDestinations[Type],MATCH(tblMovement[[#This Row],[Destination]],tblDestinations[Destination],0)),"?"))</f>
        <v/>
      </c>
      <c r="M1875" s="64">
        <f>IF(tblMovement[[#This Row],[Material]]="","",IF(LEFT(tblMovement[[#This Row],[Material]],3)="Ore",1,0))</f>
        <v/>
      </c>
      <c r="N1875" s="59">
        <f>IF(OR(tblMovement[[#This Row],[Tonnes_t]]="",tblMovement[[#This Row],[Grade_gpt]]=""),0,tblMovement[[#This Row],[Tonnes_t]]*tblMovement[[#This Row],[Grade_gpt]]/cfg_TroyOz)</f>
        <v/>
      </c>
      <c r="O1875" s="59">
        <f>IF(tblMovement[[#This Row],[Is_Ore]]=1,tblMovement[[#This Row],[Contained_oz]],0)</f>
        <v/>
      </c>
    </row>
    <row r="1876">
      <c r="A1876" s="54" t="n"/>
      <c r="B1876" s="61" t="n"/>
      <c r="C1876" s="61" t="n"/>
      <c r="D1876" s="61" t="n"/>
      <c r="E1876" s="61" t="n"/>
      <c r="F1876" s="55" t="n"/>
      <c r="G1876" s="56" t="n"/>
      <c r="H1876" s="55" t="n"/>
      <c r="I1876" s="62" t="n"/>
      <c r="J1876" s="58" t="n"/>
      <c r="K1876" s="63">
        <f>IF(tblMovement[[#This Row],[Source]]="","",IFERROR(INDEX(tblSources[Type],MATCH(tblMovement[[#This Row],[Source]],tblSources[Source],0)),"?"))</f>
        <v/>
      </c>
      <c r="L1876" s="63">
        <f>IF(tblMovement[[#This Row],[Destination]]="","",IFERROR(INDEX(tblDestinations[Type],MATCH(tblMovement[[#This Row],[Destination]],tblDestinations[Destination],0)),"?"))</f>
        <v/>
      </c>
      <c r="M1876" s="64">
        <f>IF(tblMovement[[#This Row],[Material]]="","",IF(LEFT(tblMovement[[#This Row],[Material]],3)="Ore",1,0))</f>
        <v/>
      </c>
      <c r="N1876" s="59">
        <f>IF(OR(tblMovement[[#This Row],[Tonnes_t]]="",tblMovement[[#This Row],[Grade_gpt]]=""),0,tblMovement[[#This Row],[Tonnes_t]]*tblMovement[[#This Row],[Grade_gpt]]/cfg_TroyOz)</f>
        <v/>
      </c>
      <c r="O1876" s="59">
        <f>IF(tblMovement[[#This Row],[Is_Ore]]=1,tblMovement[[#This Row],[Contained_oz]],0)</f>
        <v/>
      </c>
    </row>
    <row r="1877">
      <c r="A1877" s="54" t="n"/>
      <c r="B1877" s="61" t="n"/>
      <c r="C1877" s="61" t="n"/>
      <c r="D1877" s="61" t="n"/>
      <c r="E1877" s="61" t="n"/>
      <c r="F1877" s="55" t="n"/>
      <c r="G1877" s="56" t="n"/>
      <c r="H1877" s="55" t="n"/>
      <c r="I1877" s="62" t="n"/>
      <c r="J1877" s="58" t="n"/>
      <c r="K1877" s="63">
        <f>IF(tblMovement[[#This Row],[Source]]="","",IFERROR(INDEX(tblSources[Type],MATCH(tblMovement[[#This Row],[Source]],tblSources[Source],0)),"?"))</f>
        <v/>
      </c>
      <c r="L1877" s="63">
        <f>IF(tblMovement[[#This Row],[Destination]]="","",IFERROR(INDEX(tblDestinations[Type],MATCH(tblMovement[[#This Row],[Destination]],tblDestinations[Destination],0)),"?"))</f>
        <v/>
      </c>
      <c r="M1877" s="64">
        <f>IF(tblMovement[[#This Row],[Material]]="","",IF(LEFT(tblMovement[[#This Row],[Material]],3)="Ore",1,0))</f>
        <v/>
      </c>
      <c r="N1877" s="59">
        <f>IF(OR(tblMovement[[#This Row],[Tonnes_t]]="",tblMovement[[#This Row],[Grade_gpt]]=""),0,tblMovement[[#This Row],[Tonnes_t]]*tblMovement[[#This Row],[Grade_gpt]]/cfg_TroyOz)</f>
        <v/>
      </c>
      <c r="O1877" s="59">
        <f>IF(tblMovement[[#This Row],[Is_Ore]]=1,tblMovement[[#This Row],[Contained_oz]],0)</f>
        <v/>
      </c>
    </row>
    <row r="1878">
      <c r="A1878" s="54" t="n"/>
      <c r="B1878" s="61" t="n"/>
      <c r="C1878" s="61" t="n"/>
      <c r="D1878" s="61" t="n"/>
      <c r="E1878" s="61" t="n"/>
      <c r="F1878" s="55" t="n"/>
      <c r="G1878" s="56" t="n"/>
      <c r="H1878" s="55" t="n"/>
      <c r="I1878" s="62" t="n"/>
      <c r="J1878" s="58" t="n"/>
      <c r="K1878" s="63">
        <f>IF(tblMovement[[#This Row],[Source]]="","",IFERROR(INDEX(tblSources[Type],MATCH(tblMovement[[#This Row],[Source]],tblSources[Source],0)),"?"))</f>
        <v/>
      </c>
      <c r="L1878" s="63">
        <f>IF(tblMovement[[#This Row],[Destination]]="","",IFERROR(INDEX(tblDestinations[Type],MATCH(tblMovement[[#This Row],[Destination]],tblDestinations[Destination],0)),"?"))</f>
        <v/>
      </c>
      <c r="M1878" s="64">
        <f>IF(tblMovement[[#This Row],[Material]]="","",IF(LEFT(tblMovement[[#This Row],[Material]],3)="Ore",1,0))</f>
        <v/>
      </c>
      <c r="N1878" s="59">
        <f>IF(OR(tblMovement[[#This Row],[Tonnes_t]]="",tblMovement[[#This Row],[Grade_gpt]]=""),0,tblMovement[[#This Row],[Tonnes_t]]*tblMovement[[#This Row],[Grade_gpt]]/cfg_TroyOz)</f>
        <v/>
      </c>
      <c r="O1878" s="59">
        <f>IF(tblMovement[[#This Row],[Is_Ore]]=1,tblMovement[[#This Row],[Contained_oz]],0)</f>
        <v/>
      </c>
    </row>
    <row r="1879">
      <c r="A1879" s="54" t="n"/>
      <c r="B1879" s="61" t="n"/>
      <c r="C1879" s="61" t="n"/>
      <c r="D1879" s="61" t="n"/>
      <c r="E1879" s="61" t="n"/>
      <c r="F1879" s="55" t="n"/>
      <c r="G1879" s="56" t="n"/>
      <c r="H1879" s="55" t="n"/>
      <c r="I1879" s="62" t="n"/>
      <c r="J1879" s="58" t="n"/>
      <c r="K1879" s="63">
        <f>IF(tblMovement[[#This Row],[Source]]="","",IFERROR(INDEX(tblSources[Type],MATCH(tblMovement[[#This Row],[Source]],tblSources[Source],0)),"?"))</f>
        <v/>
      </c>
      <c r="L1879" s="63">
        <f>IF(tblMovement[[#This Row],[Destination]]="","",IFERROR(INDEX(tblDestinations[Type],MATCH(tblMovement[[#This Row],[Destination]],tblDestinations[Destination],0)),"?"))</f>
        <v/>
      </c>
      <c r="M1879" s="64">
        <f>IF(tblMovement[[#This Row],[Material]]="","",IF(LEFT(tblMovement[[#This Row],[Material]],3)="Ore",1,0))</f>
        <v/>
      </c>
      <c r="N1879" s="59">
        <f>IF(OR(tblMovement[[#This Row],[Tonnes_t]]="",tblMovement[[#This Row],[Grade_gpt]]=""),0,tblMovement[[#This Row],[Tonnes_t]]*tblMovement[[#This Row],[Grade_gpt]]/cfg_TroyOz)</f>
        <v/>
      </c>
      <c r="O1879" s="59">
        <f>IF(tblMovement[[#This Row],[Is_Ore]]=1,tblMovement[[#This Row],[Contained_oz]],0)</f>
        <v/>
      </c>
    </row>
    <row r="1880">
      <c r="A1880" s="54" t="n"/>
      <c r="B1880" s="61" t="n"/>
      <c r="C1880" s="61" t="n"/>
      <c r="D1880" s="61" t="n"/>
      <c r="E1880" s="61" t="n"/>
      <c r="F1880" s="55" t="n"/>
      <c r="G1880" s="56" t="n"/>
      <c r="H1880" s="55" t="n"/>
      <c r="I1880" s="62" t="n"/>
      <c r="J1880" s="58" t="n"/>
      <c r="K1880" s="63">
        <f>IF(tblMovement[[#This Row],[Source]]="","",IFERROR(INDEX(tblSources[Type],MATCH(tblMovement[[#This Row],[Source]],tblSources[Source],0)),"?"))</f>
        <v/>
      </c>
      <c r="L1880" s="63">
        <f>IF(tblMovement[[#This Row],[Destination]]="","",IFERROR(INDEX(tblDestinations[Type],MATCH(tblMovement[[#This Row],[Destination]],tblDestinations[Destination],0)),"?"))</f>
        <v/>
      </c>
      <c r="M1880" s="64">
        <f>IF(tblMovement[[#This Row],[Material]]="","",IF(LEFT(tblMovement[[#This Row],[Material]],3)="Ore",1,0))</f>
        <v/>
      </c>
      <c r="N1880" s="59">
        <f>IF(OR(tblMovement[[#This Row],[Tonnes_t]]="",tblMovement[[#This Row],[Grade_gpt]]=""),0,tblMovement[[#This Row],[Tonnes_t]]*tblMovement[[#This Row],[Grade_gpt]]/cfg_TroyOz)</f>
        <v/>
      </c>
      <c r="O1880" s="59">
        <f>IF(tblMovement[[#This Row],[Is_Ore]]=1,tblMovement[[#This Row],[Contained_oz]],0)</f>
        <v/>
      </c>
    </row>
    <row r="1881">
      <c r="A1881" s="54" t="n"/>
      <c r="B1881" s="61" t="n"/>
      <c r="C1881" s="61" t="n"/>
      <c r="D1881" s="61" t="n"/>
      <c r="E1881" s="61" t="n"/>
      <c r="F1881" s="55" t="n"/>
      <c r="G1881" s="56" t="n"/>
      <c r="H1881" s="55" t="n"/>
      <c r="I1881" s="62" t="n"/>
      <c r="J1881" s="58" t="n"/>
      <c r="K1881" s="63">
        <f>IF(tblMovement[[#This Row],[Source]]="","",IFERROR(INDEX(tblSources[Type],MATCH(tblMovement[[#This Row],[Source]],tblSources[Source],0)),"?"))</f>
        <v/>
      </c>
      <c r="L1881" s="63">
        <f>IF(tblMovement[[#This Row],[Destination]]="","",IFERROR(INDEX(tblDestinations[Type],MATCH(tblMovement[[#This Row],[Destination]],tblDestinations[Destination],0)),"?"))</f>
        <v/>
      </c>
      <c r="M1881" s="64">
        <f>IF(tblMovement[[#This Row],[Material]]="","",IF(LEFT(tblMovement[[#This Row],[Material]],3)="Ore",1,0))</f>
        <v/>
      </c>
      <c r="N1881" s="59">
        <f>IF(OR(tblMovement[[#This Row],[Tonnes_t]]="",tblMovement[[#This Row],[Grade_gpt]]=""),0,tblMovement[[#This Row],[Tonnes_t]]*tblMovement[[#This Row],[Grade_gpt]]/cfg_TroyOz)</f>
        <v/>
      </c>
      <c r="O1881" s="59">
        <f>IF(tblMovement[[#This Row],[Is_Ore]]=1,tblMovement[[#This Row],[Contained_oz]],0)</f>
        <v/>
      </c>
    </row>
    <row r="1882">
      <c r="A1882" s="54" t="n"/>
      <c r="B1882" s="61" t="n"/>
      <c r="C1882" s="61" t="n"/>
      <c r="D1882" s="61" t="n"/>
      <c r="E1882" s="61" t="n"/>
      <c r="F1882" s="55" t="n"/>
      <c r="G1882" s="56" t="n"/>
      <c r="H1882" s="55" t="n"/>
      <c r="I1882" s="62" t="n"/>
      <c r="J1882" s="58" t="n"/>
      <c r="K1882" s="63">
        <f>IF(tblMovement[[#This Row],[Source]]="","",IFERROR(INDEX(tblSources[Type],MATCH(tblMovement[[#This Row],[Source]],tblSources[Source],0)),"?"))</f>
        <v/>
      </c>
      <c r="L1882" s="63">
        <f>IF(tblMovement[[#This Row],[Destination]]="","",IFERROR(INDEX(tblDestinations[Type],MATCH(tblMovement[[#This Row],[Destination]],tblDestinations[Destination],0)),"?"))</f>
        <v/>
      </c>
      <c r="M1882" s="64">
        <f>IF(tblMovement[[#This Row],[Material]]="","",IF(LEFT(tblMovement[[#This Row],[Material]],3)="Ore",1,0))</f>
        <v/>
      </c>
      <c r="N1882" s="59">
        <f>IF(OR(tblMovement[[#This Row],[Tonnes_t]]="",tblMovement[[#This Row],[Grade_gpt]]=""),0,tblMovement[[#This Row],[Tonnes_t]]*tblMovement[[#This Row],[Grade_gpt]]/cfg_TroyOz)</f>
        <v/>
      </c>
      <c r="O1882" s="59">
        <f>IF(tblMovement[[#This Row],[Is_Ore]]=1,tblMovement[[#This Row],[Contained_oz]],0)</f>
        <v/>
      </c>
    </row>
    <row r="1883">
      <c r="A1883" s="54" t="n"/>
      <c r="B1883" s="61" t="n"/>
      <c r="C1883" s="61" t="n"/>
      <c r="D1883" s="61" t="n"/>
      <c r="E1883" s="61" t="n"/>
      <c r="F1883" s="55" t="n"/>
      <c r="G1883" s="56" t="n"/>
      <c r="H1883" s="55" t="n"/>
      <c r="I1883" s="62" t="n"/>
      <c r="J1883" s="58" t="n"/>
      <c r="K1883" s="63">
        <f>IF(tblMovement[[#This Row],[Source]]="","",IFERROR(INDEX(tblSources[Type],MATCH(tblMovement[[#This Row],[Source]],tblSources[Source],0)),"?"))</f>
        <v/>
      </c>
      <c r="L1883" s="63">
        <f>IF(tblMovement[[#This Row],[Destination]]="","",IFERROR(INDEX(tblDestinations[Type],MATCH(tblMovement[[#This Row],[Destination]],tblDestinations[Destination],0)),"?"))</f>
        <v/>
      </c>
      <c r="M1883" s="64">
        <f>IF(tblMovement[[#This Row],[Material]]="","",IF(LEFT(tblMovement[[#This Row],[Material]],3)="Ore",1,0))</f>
        <v/>
      </c>
      <c r="N1883" s="59">
        <f>IF(OR(tblMovement[[#This Row],[Tonnes_t]]="",tblMovement[[#This Row],[Grade_gpt]]=""),0,tblMovement[[#This Row],[Tonnes_t]]*tblMovement[[#This Row],[Grade_gpt]]/cfg_TroyOz)</f>
        <v/>
      </c>
      <c r="O1883" s="59">
        <f>IF(tblMovement[[#This Row],[Is_Ore]]=1,tblMovement[[#This Row],[Contained_oz]],0)</f>
        <v/>
      </c>
    </row>
    <row r="1884">
      <c r="A1884" s="54" t="n"/>
      <c r="B1884" s="61" t="n"/>
      <c r="C1884" s="61" t="n"/>
      <c r="D1884" s="61" t="n"/>
      <c r="E1884" s="61" t="n"/>
      <c r="F1884" s="55" t="n"/>
      <c r="G1884" s="56" t="n"/>
      <c r="H1884" s="55" t="n"/>
      <c r="I1884" s="62" t="n"/>
      <c r="J1884" s="58" t="n"/>
      <c r="K1884" s="63">
        <f>IF(tblMovement[[#This Row],[Source]]="","",IFERROR(INDEX(tblSources[Type],MATCH(tblMovement[[#This Row],[Source]],tblSources[Source],0)),"?"))</f>
        <v/>
      </c>
      <c r="L1884" s="63">
        <f>IF(tblMovement[[#This Row],[Destination]]="","",IFERROR(INDEX(tblDestinations[Type],MATCH(tblMovement[[#This Row],[Destination]],tblDestinations[Destination],0)),"?"))</f>
        <v/>
      </c>
      <c r="M1884" s="64">
        <f>IF(tblMovement[[#This Row],[Material]]="","",IF(LEFT(tblMovement[[#This Row],[Material]],3)="Ore",1,0))</f>
        <v/>
      </c>
      <c r="N1884" s="59">
        <f>IF(OR(tblMovement[[#This Row],[Tonnes_t]]="",tblMovement[[#This Row],[Grade_gpt]]=""),0,tblMovement[[#This Row],[Tonnes_t]]*tblMovement[[#This Row],[Grade_gpt]]/cfg_TroyOz)</f>
        <v/>
      </c>
      <c r="O1884" s="59">
        <f>IF(tblMovement[[#This Row],[Is_Ore]]=1,tblMovement[[#This Row],[Contained_oz]],0)</f>
        <v/>
      </c>
    </row>
    <row r="1885">
      <c r="A1885" s="54" t="n"/>
      <c r="B1885" s="61" t="n"/>
      <c r="C1885" s="61" t="n"/>
      <c r="D1885" s="61" t="n"/>
      <c r="E1885" s="61" t="n"/>
      <c r="F1885" s="55" t="n"/>
      <c r="G1885" s="56" t="n"/>
      <c r="H1885" s="55" t="n"/>
      <c r="I1885" s="62" t="n"/>
      <c r="J1885" s="58" t="n"/>
      <c r="K1885" s="63">
        <f>IF(tblMovement[[#This Row],[Source]]="","",IFERROR(INDEX(tblSources[Type],MATCH(tblMovement[[#This Row],[Source]],tblSources[Source],0)),"?"))</f>
        <v/>
      </c>
      <c r="L1885" s="63">
        <f>IF(tblMovement[[#This Row],[Destination]]="","",IFERROR(INDEX(tblDestinations[Type],MATCH(tblMovement[[#This Row],[Destination]],tblDestinations[Destination],0)),"?"))</f>
        <v/>
      </c>
      <c r="M1885" s="64">
        <f>IF(tblMovement[[#This Row],[Material]]="","",IF(LEFT(tblMovement[[#This Row],[Material]],3)="Ore",1,0))</f>
        <v/>
      </c>
      <c r="N1885" s="59">
        <f>IF(OR(tblMovement[[#This Row],[Tonnes_t]]="",tblMovement[[#This Row],[Grade_gpt]]=""),0,tblMovement[[#This Row],[Tonnes_t]]*tblMovement[[#This Row],[Grade_gpt]]/cfg_TroyOz)</f>
        <v/>
      </c>
      <c r="O1885" s="59">
        <f>IF(tblMovement[[#This Row],[Is_Ore]]=1,tblMovement[[#This Row],[Contained_oz]],0)</f>
        <v/>
      </c>
    </row>
    <row r="1886">
      <c r="A1886" s="54" t="n"/>
      <c r="B1886" s="61" t="n"/>
      <c r="C1886" s="61" t="n"/>
      <c r="D1886" s="61" t="n"/>
      <c r="E1886" s="61" t="n"/>
      <c r="F1886" s="55" t="n"/>
      <c r="G1886" s="56" t="n"/>
      <c r="H1886" s="55" t="n"/>
      <c r="I1886" s="62" t="n"/>
      <c r="J1886" s="58" t="n"/>
      <c r="K1886" s="63">
        <f>IF(tblMovement[[#This Row],[Source]]="","",IFERROR(INDEX(tblSources[Type],MATCH(tblMovement[[#This Row],[Source]],tblSources[Source],0)),"?"))</f>
        <v/>
      </c>
      <c r="L1886" s="63">
        <f>IF(tblMovement[[#This Row],[Destination]]="","",IFERROR(INDEX(tblDestinations[Type],MATCH(tblMovement[[#This Row],[Destination]],tblDestinations[Destination],0)),"?"))</f>
        <v/>
      </c>
      <c r="M1886" s="64">
        <f>IF(tblMovement[[#This Row],[Material]]="","",IF(LEFT(tblMovement[[#This Row],[Material]],3)="Ore",1,0))</f>
        <v/>
      </c>
      <c r="N1886" s="59">
        <f>IF(OR(tblMovement[[#This Row],[Tonnes_t]]="",tblMovement[[#This Row],[Grade_gpt]]=""),0,tblMovement[[#This Row],[Tonnes_t]]*tblMovement[[#This Row],[Grade_gpt]]/cfg_TroyOz)</f>
        <v/>
      </c>
      <c r="O1886" s="59">
        <f>IF(tblMovement[[#This Row],[Is_Ore]]=1,tblMovement[[#This Row],[Contained_oz]],0)</f>
        <v/>
      </c>
    </row>
    <row r="1887">
      <c r="A1887" s="54" t="n"/>
      <c r="B1887" s="61" t="n"/>
      <c r="C1887" s="61" t="n"/>
      <c r="D1887" s="61" t="n"/>
      <c r="E1887" s="61" t="n"/>
      <c r="F1887" s="55" t="n"/>
      <c r="G1887" s="56" t="n"/>
      <c r="H1887" s="55" t="n"/>
      <c r="I1887" s="62" t="n"/>
      <c r="J1887" s="58" t="n"/>
      <c r="K1887" s="63">
        <f>IF(tblMovement[[#This Row],[Source]]="","",IFERROR(INDEX(tblSources[Type],MATCH(tblMovement[[#This Row],[Source]],tblSources[Source],0)),"?"))</f>
        <v/>
      </c>
      <c r="L1887" s="63">
        <f>IF(tblMovement[[#This Row],[Destination]]="","",IFERROR(INDEX(tblDestinations[Type],MATCH(tblMovement[[#This Row],[Destination]],tblDestinations[Destination],0)),"?"))</f>
        <v/>
      </c>
      <c r="M1887" s="64">
        <f>IF(tblMovement[[#This Row],[Material]]="","",IF(LEFT(tblMovement[[#This Row],[Material]],3)="Ore",1,0))</f>
        <v/>
      </c>
      <c r="N1887" s="59">
        <f>IF(OR(tblMovement[[#This Row],[Tonnes_t]]="",tblMovement[[#This Row],[Grade_gpt]]=""),0,tblMovement[[#This Row],[Tonnes_t]]*tblMovement[[#This Row],[Grade_gpt]]/cfg_TroyOz)</f>
        <v/>
      </c>
      <c r="O1887" s="59">
        <f>IF(tblMovement[[#This Row],[Is_Ore]]=1,tblMovement[[#This Row],[Contained_oz]],0)</f>
        <v/>
      </c>
    </row>
    <row r="1888">
      <c r="A1888" s="54" t="n"/>
      <c r="B1888" s="61" t="n"/>
      <c r="C1888" s="61" t="n"/>
      <c r="D1888" s="61" t="n"/>
      <c r="E1888" s="61" t="n"/>
      <c r="F1888" s="55" t="n"/>
      <c r="G1888" s="56" t="n"/>
      <c r="H1888" s="55" t="n"/>
      <c r="I1888" s="62" t="n"/>
      <c r="J1888" s="58" t="n"/>
      <c r="K1888" s="63">
        <f>IF(tblMovement[[#This Row],[Source]]="","",IFERROR(INDEX(tblSources[Type],MATCH(tblMovement[[#This Row],[Source]],tblSources[Source],0)),"?"))</f>
        <v/>
      </c>
      <c r="L1888" s="63">
        <f>IF(tblMovement[[#This Row],[Destination]]="","",IFERROR(INDEX(tblDestinations[Type],MATCH(tblMovement[[#This Row],[Destination]],tblDestinations[Destination],0)),"?"))</f>
        <v/>
      </c>
      <c r="M1888" s="64">
        <f>IF(tblMovement[[#This Row],[Material]]="","",IF(LEFT(tblMovement[[#This Row],[Material]],3)="Ore",1,0))</f>
        <v/>
      </c>
      <c r="N1888" s="59">
        <f>IF(OR(tblMovement[[#This Row],[Tonnes_t]]="",tblMovement[[#This Row],[Grade_gpt]]=""),0,tblMovement[[#This Row],[Tonnes_t]]*tblMovement[[#This Row],[Grade_gpt]]/cfg_TroyOz)</f>
        <v/>
      </c>
      <c r="O1888" s="59">
        <f>IF(tblMovement[[#This Row],[Is_Ore]]=1,tblMovement[[#This Row],[Contained_oz]],0)</f>
        <v/>
      </c>
    </row>
    <row r="1889">
      <c r="A1889" s="54" t="n"/>
      <c r="B1889" s="61" t="n"/>
      <c r="C1889" s="61" t="n"/>
      <c r="D1889" s="61" t="n"/>
      <c r="E1889" s="61" t="n"/>
      <c r="F1889" s="55" t="n"/>
      <c r="G1889" s="56" t="n"/>
      <c r="H1889" s="55" t="n"/>
      <c r="I1889" s="62" t="n"/>
      <c r="J1889" s="58" t="n"/>
      <c r="K1889" s="63">
        <f>IF(tblMovement[[#This Row],[Source]]="","",IFERROR(INDEX(tblSources[Type],MATCH(tblMovement[[#This Row],[Source]],tblSources[Source],0)),"?"))</f>
        <v/>
      </c>
      <c r="L1889" s="63">
        <f>IF(tblMovement[[#This Row],[Destination]]="","",IFERROR(INDEX(tblDestinations[Type],MATCH(tblMovement[[#This Row],[Destination]],tblDestinations[Destination],0)),"?"))</f>
        <v/>
      </c>
      <c r="M1889" s="64">
        <f>IF(tblMovement[[#This Row],[Material]]="","",IF(LEFT(tblMovement[[#This Row],[Material]],3)="Ore",1,0))</f>
        <v/>
      </c>
      <c r="N1889" s="59">
        <f>IF(OR(tblMovement[[#This Row],[Tonnes_t]]="",tblMovement[[#This Row],[Grade_gpt]]=""),0,tblMovement[[#This Row],[Tonnes_t]]*tblMovement[[#This Row],[Grade_gpt]]/cfg_TroyOz)</f>
        <v/>
      </c>
      <c r="O1889" s="59">
        <f>IF(tblMovement[[#This Row],[Is_Ore]]=1,tblMovement[[#This Row],[Contained_oz]],0)</f>
        <v/>
      </c>
    </row>
    <row r="1890">
      <c r="A1890" s="54" t="n"/>
      <c r="B1890" s="61" t="n"/>
      <c r="C1890" s="61" t="n"/>
      <c r="D1890" s="61" t="n"/>
      <c r="E1890" s="61" t="n"/>
      <c r="F1890" s="55" t="n"/>
      <c r="G1890" s="56" t="n"/>
      <c r="H1890" s="55" t="n"/>
      <c r="I1890" s="62" t="n"/>
      <c r="J1890" s="58" t="n"/>
      <c r="K1890" s="63">
        <f>IF(tblMovement[[#This Row],[Source]]="","",IFERROR(INDEX(tblSources[Type],MATCH(tblMovement[[#This Row],[Source]],tblSources[Source],0)),"?"))</f>
        <v/>
      </c>
      <c r="L1890" s="63">
        <f>IF(tblMovement[[#This Row],[Destination]]="","",IFERROR(INDEX(tblDestinations[Type],MATCH(tblMovement[[#This Row],[Destination]],tblDestinations[Destination],0)),"?"))</f>
        <v/>
      </c>
      <c r="M1890" s="64">
        <f>IF(tblMovement[[#This Row],[Material]]="","",IF(LEFT(tblMovement[[#This Row],[Material]],3)="Ore",1,0))</f>
        <v/>
      </c>
      <c r="N1890" s="59">
        <f>IF(OR(tblMovement[[#This Row],[Tonnes_t]]="",tblMovement[[#This Row],[Grade_gpt]]=""),0,tblMovement[[#This Row],[Tonnes_t]]*tblMovement[[#This Row],[Grade_gpt]]/cfg_TroyOz)</f>
        <v/>
      </c>
      <c r="O1890" s="59">
        <f>IF(tblMovement[[#This Row],[Is_Ore]]=1,tblMovement[[#This Row],[Contained_oz]],0)</f>
        <v/>
      </c>
    </row>
    <row r="1891">
      <c r="A1891" s="54" t="n"/>
      <c r="B1891" s="61" t="n"/>
      <c r="C1891" s="61" t="n"/>
      <c r="D1891" s="61" t="n"/>
      <c r="E1891" s="61" t="n"/>
      <c r="F1891" s="55" t="n"/>
      <c r="G1891" s="56" t="n"/>
      <c r="H1891" s="55" t="n"/>
      <c r="I1891" s="62" t="n"/>
      <c r="J1891" s="58" t="n"/>
      <c r="K1891" s="63">
        <f>IF(tblMovement[[#This Row],[Source]]="","",IFERROR(INDEX(tblSources[Type],MATCH(tblMovement[[#This Row],[Source]],tblSources[Source],0)),"?"))</f>
        <v/>
      </c>
      <c r="L1891" s="63">
        <f>IF(tblMovement[[#This Row],[Destination]]="","",IFERROR(INDEX(tblDestinations[Type],MATCH(tblMovement[[#This Row],[Destination]],tblDestinations[Destination],0)),"?"))</f>
        <v/>
      </c>
      <c r="M1891" s="64">
        <f>IF(tblMovement[[#This Row],[Material]]="","",IF(LEFT(tblMovement[[#This Row],[Material]],3)="Ore",1,0))</f>
        <v/>
      </c>
      <c r="N1891" s="59">
        <f>IF(OR(tblMovement[[#This Row],[Tonnes_t]]="",tblMovement[[#This Row],[Grade_gpt]]=""),0,tblMovement[[#This Row],[Tonnes_t]]*tblMovement[[#This Row],[Grade_gpt]]/cfg_TroyOz)</f>
        <v/>
      </c>
      <c r="O1891" s="59">
        <f>IF(tblMovement[[#This Row],[Is_Ore]]=1,tblMovement[[#This Row],[Contained_oz]],0)</f>
        <v/>
      </c>
    </row>
    <row r="1892">
      <c r="A1892" s="54" t="n"/>
      <c r="B1892" s="61" t="n"/>
      <c r="C1892" s="61" t="n"/>
      <c r="D1892" s="61" t="n"/>
      <c r="E1892" s="61" t="n"/>
      <c r="F1892" s="55" t="n"/>
      <c r="G1892" s="56" t="n"/>
      <c r="H1892" s="55" t="n"/>
      <c r="I1892" s="62" t="n"/>
      <c r="J1892" s="58" t="n"/>
      <c r="K1892" s="63">
        <f>IF(tblMovement[[#This Row],[Source]]="","",IFERROR(INDEX(tblSources[Type],MATCH(tblMovement[[#This Row],[Source]],tblSources[Source],0)),"?"))</f>
        <v/>
      </c>
      <c r="L1892" s="63">
        <f>IF(tblMovement[[#This Row],[Destination]]="","",IFERROR(INDEX(tblDestinations[Type],MATCH(tblMovement[[#This Row],[Destination]],tblDestinations[Destination],0)),"?"))</f>
        <v/>
      </c>
      <c r="M1892" s="64">
        <f>IF(tblMovement[[#This Row],[Material]]="","",IF(LEFT(tblMovement[[#This Row],[Material]],3)="Ore",1,0))</f>
        <v/>
      </c>
      <c r="N1892" s="59">
        <f>IF(OR(tblMovement[[#This Row],[Tonnes_t]]="",tblMovement[[#This Row],[Grade_gpt]]=""),0,tblMovement[[#This Row],[Tonnes_t]]*tblMovement[[#This Row],[Grade_gpt]]/cfg_TroyOz)</f>
        <v/>
      </c>
      <c r="O1892" s="59">
        <f>IF(tblMovement[[#This Row],[Is_Ore]]=1,tblMovement[[#This Row],[Contained_oz]],0)</f>
        <v/>
      </c>
    </row>
    <row r="1893">
      <c r="A1893" s="54" t="n"/>
      <c r="B1893" s="61" t="n"/>
      <c r="C1893" s="61" t="n"/>
      <c r="D1893" s="61" t="n"/>
      <c r="E1893" s="61" t="n"/>
      <c r="F1893" s="55" t="n"/>
      <c r="G1893" s="56" t="n"/>
      <c r="H1893" s="55" t="n"/>
      <c r="I1893" s="62" t="n"/>
      <c r="J1893" s="58" t="n"/>
      <c r="K1893" s="63">
        <f>IF(tblMovement[[#This Row],[Source]]="","",IFERROR(INDEX(tblSources[Type],MATCH(tblMovement[[#This Row],[Source]],tblSources[Source],0)),"?"))</f>
        <v/>
      </c>
      <c r="L1893" s="63">
        <f>IF(tblMovement[[#This Row],[Destination]]="","",IFERROR(INDEX(tblDestinations[Type],MATCH(tblMovement[[#This Row],[Destination]],tblDestinations[Destination],0)),"?"))</f>
        <v/>
      </c>
      <c r="M1893" s="64">
        <f>IF(tblMovement[[#This Row],[Material]]="","",IF(LEFT(tblMovement[[#This Row],[Material]],3)="Ore",1,0))</f>
        <v/>
      </c>
      <c r="N1893" s="59">
        <f>IF(OR(tblMovement[[#This Row],[Tonnes_t]]="",tblMovement[[#This Row],[Grade_gpt]]=""),0,tblMovement[[#This Row],[Tonnes_t]]*tblMovement[[#This Row],[Grade_gpt]]/cfg_TroyOz)</f>
        <v/>
      </c>
      <c r="O1893" s="59">
        <f>IF(tblMovement[[#This Row],[Is_Ore]]=1,tblMovement[[#This Row],[Contained_oz]],0)</f>
        <v/>
      </c>
    </row>
    <row r="1894">
      <c r="A1894" s="54" t="n"/>
      <c r="B1894" s="61" t="n"/>
      <c r="C1894" s="61" t="n"/>
      <c r="D1894" s="61" t="n"/>
      <c r="E1894" s="61" t="n"/>
      <c r="F1894" s="55" t="n"/>
      <c r="G1894" s="56" t="n"/>
      <c r="H1894" s="55" t="n"/>
      <c r="I1894" s="62" t="n"/>
      <c r="J1894" s="58" t="n"/>
      <c r="K1894" s="63">
        <f>IF(tblMovement[[#This Row],[Source]]="","",IFERROR(INDEX(tblSources[Type],MATCH(tblMovement[[#This Row],[Source]],tblSources[Source],0)),"?"))</f>
        <v/>
      </c>
      <c r="L1894" s="63">
        <f>IF(tblMovement[[#This Row],[Destination]]="","",IFERROR(INDEX(tblDestinations[Type],MATCH(tblMovement[[#This Row],[Destination]],tblDestinations[Destination],0)),"?"))</f>
        <v/>
      </c>
      <c r="M1894" s="64">
        <f>IF(tblMovement[[#This Row],[Material]]="","",IF(LEFT(tblMovement[[#This Row],[Material]],3)="Ore",1,0))</f>
        <v/>
      </c>
      <c r="N1894" s="59">
        <f>IF(OR(tblMovement[[#This Row],[Tonnes_t]]="",tblMovement[[#This Row],[Grade_gpt]]=""),0,tblMovement[[#This Row],[Tonnes_t]]*tblMovement[[#This Row],[Grade_gpt]]/cfg_TroyOz)</f>
        <v/>
      </c>
      <c r="O1894" s="59">
        <f>IF(tblMovement[[#This Row],[Is_Ore]]=1,tblMovement[[#This Row],[Contained_oz]],0)</f>
        <v/>
      </c>
    </row>
    <row r="1895">
      <c r="A1895" s="54" t="n"/>
      <c r="B1895" s="61" t="n"/>
      <c r="C1895" s="61" t="n"/>
      <c r="D1895" s="61" t="n"/>
      <c r="E1895" s="61" t="n"/>
      <c r="F1895" s="55" t="n"/>
      <c r="G1895" s="56" t="n"/>
      <c r="H1895" s="55" t="n"/>
      <c r="I1895" s="62" t="n"/>
      <c r="J1895" s="58" t="n"/>
      <c r="K1895" s="63">
        <f>IF(tblMovement[[#This Row],[Source]]="","",IFERROR(INDEX(tblSources[Type],MATCH(tblMovement[[#This Row],[Source]],tblSources[Source],0)),"?"))</f>
        <v/>
      </c>
      <c r="L1895" s="63">
        <f>IF(tblMovement[[#This Row],[Destination]]="","",IFERROR(INDEX(tblDestinations[Type],MATCH(tblMovement[[#This Row],[Destination]],tblDestinations[Destination],0)),"?"))</f>
        <v/>
      </c>
      <c r="M1895" s="64">
        <f>IF(tblMovement[[#This Row],[Material]]="","",IF(LEFT(tblMovement[[#This Row],[Material]],3)="Ore",1,0))</f>
        <v/>
      </c>
      <c r="N1895" s="59">
        <f>IF(OR(tblMovement[[#This Row],[Tonnes_t]]="",tblMovement[[#This Row],[Grade_gpt]]=""),0,tblMovement[[#This Row],[Tonnes_t]]*tblMovement[[#This Row],[Grade_gpt]]/cfg_TroyOz)</f>
        <v/>
      </c>
      <c r="O1895" s="59">
        <f>IF(tblMovement[[#This Row],[Is_Ore]]=1,tblMovement[[#This Row],[Contained_oz]],0)</f>
        <v/>
      </c>
    </row>
    <row r="1896">
      <c r="A1896" s="54" t="n"/>
      <c r="B1896" s="61" t="n"/>
      <c r="C1896" s="61" t="n"/>
      <c r="D1896" s="61" t="n"/>
      <c r="E1896" s="61" t="n"/>
      <c r="F1896" s="55" t="n"/>
      <c r="G1896" s="56" t="n"/>
      <c r="H1896" s="55" t="n"/>
      <c r="I1896" s="62" t="n"/>
      <c r="J1896" s="58" t="n"/>
      <c r="K1896" s="63">
        <f>IF(tblMovement[[#This Row],[Source]]="","",IFERROR(INDEX(tblSources[Type],MATCH(tblMovement[[#This Row],[Source]],tblSources[Source],0)),"?"))</f>
        <v/>
      </c>
      <c r="L1896" s="63">
        <f>IF(tblMovement[[#This Row],[Destination]]="","",IFERROR(INDEX(tblDestinations[Type],MATCH(tblMovement[[#This Row],[Destination]],tblDestinations[Destination],0)),"?"))</f>
        <v/>
      </c>
      <c r="M1896" s="64">
        <f>IF(tblMovement[[#This Row],[Material]]="","",IF(LEFT(tblMovement[[#This Row],[Material]],3)="Ore",1,0))</f>
        <v/>
      </c>
      <c r="N1896" s="59">
        <f>IF(OR(tblMovement[[#This Row],[Tonnes_t]]="",tblMovement[[#This Row],[Grade_gpt]]=""),0,tblMovement[[#This Row],[Tonnes_t]]*tblMovement[[#This Row],[Grade_gpt]]/cfg_TroyOz)</f>
        <v/>
      </c>
      <c r="O1896" s="59">
        <f>IF(tblMovement[[#This Row],[Is_Ore]]=1,tblMovement[[#This Row],[Contained_oz]],0)</f>
        <v/>
      </c>
    </row>
    <row r="1897">
      <c r="A1897" s="54" t="n"/>
      <c r="B1897" s="61" t="n"/>
      <c r="C1897" s="61" t="n"/>
      <c r="D1897" s="61" t="n"/>
      <c r="E1897" s="61" t="n"/>
      <c r="F1897" s="55" t="n"/>
      <c r="G1897" s="56" t="n"/>
      <c r="H1897" s="55" t="n"/>
      <c r="I1897" s="62" t="n"/>
      <c r="J1897" s="58" t="n"/>
      <c r="K1897" s="63">
        <f>IF(tblMovement[[#This Row],[Source]]="","",IFERROR(INDEX(tblSources[Type],MATCH(tblMovement[[#This Row],[Source]],tblSources[Source],0)),"?"))</f>
        <v/>
      </c>
      <c r="L1897" s="63">
        <f>IF(tblMovement[[#This Row],[Destination]]="","",IFERROR(INDEX(tblDestinations[Type],MATCH(tblMovement[[#This Row],[Destination]],tblDestinations[Destination],0)),"?"))</f>
        <v/>
      </c>
      <c r="M1897" s="64">
        <f>IF(tblMovement[[#This Row],[Material]]="","",IF(LEFT(tblMovement[[#This Row],[Material]],3)="Ore",1,0))</f>
        <v/>
      </c>
      <c r="N1897" s="59">
        <f>IF(OR(tblMovement[[#This Row],[Tonnes_t]]="",tblMovement[[#This Row],[Grade_gpt]]=""),0,tblMovement[[#This Row],[Tonnes_t]]*tblMovement[[#This Row],[Grade_gpt]]/cfg_TroyOz)</f>
        <v/>
      </c>
      <c r="O1897" s="59">
        <f>IF(tblMovement[[#This Row],[Is_Ore]]=1,tblMovement[[#This Row],[Contained_oz]],0)</f>
        <v/>
      </c>
    </row>
    <row r="1898">
      <c r="A1898" s="54" t="n"/>
      <c r="B1898" s="61" t="n"/>
      <c r="C1898" s="61" t="n"/>
      <c r="D1898" s="61" t="n"/>
      <c r="E1898" s="61" t="n"/>
      <c r="F1898" s="55" t="n"/>
      <c r="G1898" s="56" t="n"/>
      <c r="H1898" s="55" t="n"/>
      <c r="I1898" s="62" t="n"/>
      <c r="J1898" s="58" t="n"/>
      <c r="K1898" s="63">
        <f>IF(tblMovement[[#This Row],[Source]]="","",IFERROR(INDEX(tblSources[Type],MATCH(tblMovement[[#This Row],[Source]],tblSources[Source],0)),"?"))</f>
        <v/>
      </c>
      <c r="L1898" s="63">
        <f>IF(tblMovement[[#This Row],[Destination]]="","",IFERROR(INDEX(tblDestinations[Type],MATCH(tblMovement[[#This Row],[Destination]],tblDestinations[Destination],0)),"?"))</f>
        <v/>
      </c>
      <c r="M1898" s="64">
        <f>IF(tblMovement[[#This Row],[Material]]="","",IF(LEFT(tblMovement[[#This Row],[Material]],3)="Ore",1,0))</f>
        <v/>
      </c>
      <c r="N1898" s="59">
        <f>IF(OR(tblMovement[[#This Row],[Tonnes_t]]="",tblMovement[[#This Row],[Grade_gpt]]=""),0,tblMovement[[#This Row],[Tonnes_t]]*tblMovement[[#This Row],[Grade_gpt]]/cfg_TroyOz)</f>
        <v/>
      </c>
      <c r="O1898" s="59">
        <f>IF(tblMovement[[#This Row],[Is_Ore]]=1,tblMovement[[#This Row],[Contained_oz]],0)</f>
        <v/>
      </c>
    </row>
    <row r="1899">
      <c r="A1899" s="54" t="n"/>
      <c r="B1899" s="61" t="n"/>
      <c r="C1899" s="61" t="n"/>
      <c r="D1899" s="61" t="n"/>
      <c r="E1899" s="61" t="n"/>
      <c r="F1899" s="55" t="n"/>
      <c r="G1899" s="56" t="n"/>
      <c r="H1899" s="55" t="n"/>
      <c r="I1899" s="62" t="n"/>
      <c r="J1899" s="58" t="n"/>
      <c r="K1899" s="63">
        <f>IF(tblMovement[[#This Row],[Source]]="","",IFERROR(INDEX(tblSources[Type],MATCH(tblMovement[[#This Row],[Source]],tblSources[Source],0)),"?"))</f>
        <v/>
      </c>
      <c r="L1899" s="63">
        <f>IF(tblMovement[[#This Row],[Destination]]="","",IFERROR(INDEX(tblDestinations[Type],MATCH(tblMovement[[#This Row],[Destination]],tblDestinations[Destination],0)),"?"))</f>
        <v/>
      </c>
      <c r="M1899" s="64">
        <f>IF(tblMovement[[#This Row],[Material]]="","",IF(LEFT(tblMovement[[#This Row],[Material]],3)="Ore",1,0))</f>
        <v/>
      </c>
      <c r="N1899" s="59">
        <f>IF(OR(tblMovement[[#This Row],[Tonnes_t]]="",tblMovement[[#This Row],[Grade_gpt]]=""),0,tblMovement[[#This Row],[Tonnes_t]]*tblMovement[[#This Row],[Grade_gpt]]/cfg_TroyOz)</f>
        <v/>
      </c>
      <c r="O1899" s="59">
        <f>IF(tblMovement[[#This Row],[Is_Ore]]=1,tblMovement[[#This Row],[Contained_oz]],0)</f>
        <v/>
      </c>
    </row>
    <row r="1900">
      <c r="A1900" s="54" t="n"/>
      <c r="B1900" s="61" t="n"/>
      <c r="C1900" s="61" t="n"/>
      <c r="D1900" s="61" t="n"/>
      <c r="E1900" s="61" t="n"/>
      <c r="F1900" s="55" t="n"/>
      <c r="G1900" s="56" t="n"/>
      <c r="H1900" s="55" t="n"/>
      <c r="I1900" s="62" t="n"/>
      <c r="J1900" s="58" t="n"/>
      <c r="K1900" s="63">
        <f>IF(tblMovement[[#This Row],[Source]]="","",IFERROR(INDEX(tblSources[Type],MATCH(tblMovement[[#This Row],[Source]],tblSources[Source],0)),"?"))</f>
        <v/>
      </c>
      <c r="L1900" s="63">
        <f>IF(tblMovement[[#This Row],[Destination]]="","",IFERROR(INDEX(tblDestinations[Type],MATCH(tblMovement[[#This Row],[Destination]],tblDestinations[Destination],0)),"?"))</f>
        <v/>
      </c>
      <c r="M1900" s="64">
        <f>IF(tblMovement[[#This Row],[Material]]="","",IF(LEFT(tblMovement[[#This Row],[Material]],3)="Ore",1,0))</f>
        <v/>
      </c>
      <c r="N1900" s="59">
        <f>IF(OR(tblMovement[[#This Row],[Tonnes_t]]="",tblMovement[[#This Row],[Grade_gpt]]=""),0,tblMovement[[#This Row],[Tonnes_t]]*tblMovement[[#This Row],[Grade_gpt]]/cfg_TroyOz)</f>
        <v/>
      </c>
      <c r="O1900" s="59">
        <f>IF(tblMovement[[#This Row],[Is_Ore]]=1,tblMovement[[#This Row],[Contained_oz]],0)</f>
        <v/>
      </c>
    </row>
    <row r="1901">
      <c r="A1901" s="54" t="n"/>
      <c r="B1901" s="61" t="n"/>
      <c r="C1901" s="61" t="n"/>
      <c r="D1901" s="61" t="n"/>
      <c r="E1901" s="61" t="n"/>
      <c r="F1901" s="55" t="n"/>
      <c r="G1901" s="56" t="n"/>
      <c r="H1901" s="55" t="n"/>
      <c r="I1901" s="62" t="n"/>
      <c r="J1901" s="58" t="n"/>
      <c r="K1901" s="63">
        <f>IF(tblMovement[[#This Row],[Source]]="","",IFERROR(INDEX(tblSources[Type],MATCH(tblMovement[[#This Row],[Source]],tblSources[Source],0)),"?"))</f>
        <v/>
      </c>
      <c r="L1901" s="63">
        <f>IF(tblMovement[[#This Row],[Destination]]="","",IFERROR(INDEX(tblDestinations[Type],MATCH(tblMovement[[#This Row],[Destination]],tblDestinations[Destination],0)),"?"))</f>
        <v/>
      </c>
      <c r="M1901" s="64">
        <f>IF(tblMovement[[#This Row],[Material]]="","",IF(LEFT(tblMovement[[#This Row],[Material]],3)="Ore",1,0))</f>
        <v/>
      </c>
      <c r="N1901" s="59">
        <f>IF(OR(tblMovement[[#This Row],[Tonnes_t]]="",tblMovement[[#This Row],[Grade_gpt]]=""),0,tblMovement[[#This Row],[Tonnes_t]]*tblMovement[[#This Row],[Grade_gpt]]/cfg_TroyOz)</f>
        <v/>
      </c>
      <c r="O1901" s="59">
        <f>IF(tblMovement[[#This Row],[Is_Ore]]=1,tblMovement[[#This Row],[Contained_oz]],0)</f>
        <v/>
      </c>
    </row>
    <row r="1902">
      <c r="A1902" s="54" t="n"/>
      <c r="B1902" s="61" t="n"/>
      <c r="C1902" s="61" t="n"/>
      <c r="D1902" s="61" t="n"/>
      <c r="E1902" s="61" t="n"/>
      <c r="F1902" s="55" t="n"/>
      <c r="G1902" s="56" t="n"/>
      <c r="H1902" s="55" t="n"/>
      <c r="I1902" s="62" t="n"/>
      <c r="J1902" s="58" t="n"/>
      <c r="K1902" s="63">
        <f>IF(tblMovement[[#This Row],[Source]]="","",IFERROR(INDEX(tblSources[Type],MATCH(tblMovement[[#This Row],[Source]],tblSources[Source],0)),"?"))</f>
        <v/>
      </c>
      <c r="L1902" s="63">
        <f>IF(tblMovement[[#This Row],[Destination]]="","",IFERROR(INDEX(tblDestinations[Type],MATCH(tblMovement[[#This Row],[Destination]],tblDestinations[Destination],0)),"?"))</f>
        <v/>
      </c>
      <c r="M1902" s="64">
        <f>IF(tblMovement[[#This Row],[Material]]="","",IF(LEFT(tblMovement[[#This Row],[Material]],3)="Ore",1,0))</f>
        <v/>
      </c>
      <c r="N1902" s="59">
        <f>IF(OR(tblMovement[[#This Row],[Tonnes_t]]="",tblMovement[[#This Row],[Grade_gpt]]=""),0,tblMovement[[#This Row],[Tonnes_t]]*tblMovement[[#This Row],[Grade_gpt]]/cfg_TroyOz)</f>
        <v/>
      </c>
      <c r="O1902" s="59">
        <f>IF(tblMovement[[#This Row],[Is_Ore]]=1,tblMovement[[#This Row],[Contained_oz]],0)</f>
        <v/>
      </c>
    </row>
    <row r="1903">
      <c r="A1903" s="54" t="n"/>
      <c r="B1903" s="61" t="n"/>
      <c r="C1903" s="61" t="n"/>
      <c r="D1903" s="61" t="n"/>
      <c r="E1903" s="61" t="n"/>
      <c r="F1903" s="55" t="n"/>
      <c r="G1903" s="56" t="n"/>
      <c r="H1903" s="55" t="n"/>
      <c r="I1903" s="62" t="n"/>
      <c r="J1903" s="58" t="n"/>
      <c r="K1903" s="63">
        <f>IF(tblMovement[[#This Row],[Source]]="","",IFERROR(INDEX(tblSources[Type],MATCH(tblMovement[[#This Row],[Source]],tblSources[Source],0)),"?"))</f>
        <v/>
      </c>
      <c r="L1903" s="63">
        <f>IF(tblMovement[[#This Row],[Destination]]="","",IFERROR(INDEX(tblDestinations[Type],MATCH(tblMovement[[#This Row],[Destination]],tblDestinations[Destination],0)),"?"))</f>
        <v/>
      </c>
      <c r="M1903" s="64">
        <f>IF(tblMovement[[#This Row],[Material]]="","",IF(LEFT(tblMovement[[#This Row],[Material]],3)="Ore",1,0))</f>
        <v/>
      </c>
      <c r="N1903" s="59">
        <f>IF(OR(tblMovement[[#This Row],[Tonnes_t]]="",tblMovement[[#This Row],[Grade_gpt]]=""),0,tblMovement[[#This Row],[Tonnes_t]]*tblMovement[[#This Row],[Grade_gpt]]/cfg_TroyOz)</f>
        <v/>
      </c>
      <c r="O1903" s="59">
        <f>IF(tblMovement[[#This Row],[Is_Ore]]=1,tblMovement[[#This Row],[Contained_oz]],0)</f>
        <v/>
      </c>
    </row>
    <row r="1904">
      <c r="A1904" s="54" t="n"/>
      <c r="B1904" s="61" t="n"/>
      <c r="C1904" s="61" t="n"/>
      <c r="D1904" s="61" t="n"/>
      <c r="E1904" s="61" t="n"/>
      <c r="F1904" s="55" t="n"/>
      <c r="G1904" s="56" t="n"/>
      <c r="H1904" s="55" t="n"/>
      <c r="I1904" s="62" t="n"/>
      <c r="J1904" s="58" t="n"/>
      <c r="K1904" s="63">
        <f>IF(tblMovement[[#This Row],[Source]]="","",IFERROR(INDEX(tblSources[Type],MATCH(tblMovement[[#This Row],[Source]],tblSources[Source],0)),"?"))</f>
        <v/>
      </c>
      <c r="L1904" s="63">
        <f>IF(tblMovement[[#This Row],[Destination]]="","",IFERROR(INDEX(tblDestinations[Type],MATCH(tblMovement[[#This Row],[Destination]],tblDestinations[Destination],0)),"?"))</f>
        <v/>
      </c>
      <c r="M1904" s="64">
        <f>IF(tblMovement[[#This Row],[Material]]="","",IF(LEFT(tblMovement[[#This Row],[Material]],3)="Ore",1,0))</f>
        <v/>
      </c>
      <c r="N1904" s="59">
        <f>IF(OR(tblMovement[[#This Row],[Tonnes_t]]="",tblMovement[[#This Row],[Grade_gpt]]=""),0,tblMovement[[#This Row],[Tonnes_t]]*tblMovement[[#This Row],[Grade_gpt]]/cfg_TroyOz)</f>
        <v/>
      </c>
      <c r="O1904" s="59">
        <f>IF(tblMovement[[#This Row],[Is_Ore]]=1,tblMovement[[#This Row],[Contained_oz]],0)</f>
        <v/>
      </c>
    </row>
    <row r="1905">
      <c r="A1905" s="54" t="n"/>
      <c r="B1905" s="61" t="n"/>
      <c r="C1905" s="61" t="n"/>
      <c r="D1905" s="61" t="n"/>
      <c r="E1905" s="61" t="n"/>
      <c r="F1905" s="55" t="n"/>
      <c r="G1905" s="56" t="n"/>
      <c r="H1905" s="55" t="n"/>
      <c r="I1905" s="62" t="n"/>
      <c r="J1905" s="58" t="n"/>
      <c r="K1905" s="63">
        <f>IF(tblMovement[[#This Row],[Source]]="","",IFERROR(INDEX(tblSources[Type],MATCH(tblMovement[[#This Row],[Source]],tblSources[Source],0)),"?"))</f>
        <v/>
      </c>
      <c r="L1905" s="63">
        <f>IF(tblMovement[[#This Row],[Destination]]="","",IFERROR(INDEX(tblDestinations[Type],MATCH(tblMovement[[#This Row],[Destination]],tblDestinations[Destination],0)),"?"))</f>
        <v/>
      </c>
      <c r="M1905" s="64">
        <f>IF(tblMovement[[#This Row],[Material]]="","",IF(LEFT(tblMovement[[#This Row],[Material]],3)="Ore",1,0))</f>
        <v/>
      </c>
      <c r="N1905" s="59">
        <f>IF(OR(tblMovement[[#This Row],[Tonnes_t]]="",tblMovement[[#This Row],[Grade_gpt]]=""),0,tblMovement[[#This Row],[Tonnes_t]]*tblMovement[[#This Row],[Grade_gpt]]/cfg_TroyOz)</f>
        <v/>
      </c>
      <c r="O1905" s="59">
        <f>IF(tblMovement[[#This Row],[Is_Ore]]=1,tblMovement[[#This Row],[Contained_oz]],0)</f>
        <v/>
      </c>
    </row>
    <row r="1906">
      <c r="A1906" s="54" t="n"/>
      <c r="B1906" s="61" t="n"/>
      <c r="C1906" s="61" t="n"/>
      <c r="D1906" s="61" t="n"/>
      <c r="E1906" s="61" t="n"/>
      <c r="F1906" s="55" t="n"/>
      <c r="G1906" s="56" t="n"/>
      <c r="H1906" s="55" t="n"/>
      <c r="I1906" s="62" t="n"/>
      <c r="J1906" s="58" t="n"/>
      <c r="K1906" s="63">
        <f>IF(tblMovement[[#This Row],[Source]]="","",IFERROR(INDEX(tblSources[Type],MATCH(tblMovement[[#This Row],[Source]],tblSources[Source],0)),"?"))</f>
        <v/>
      </c>
      <c r="L1906" s="63">
        <f>IF(tblMovement[[#This Row],[Destination]]="","",IFERROR(INDEX(tblDestinations[Type],MATCH(tblMovement[[#This Row],[Destination]],tblDestinations[Destination],0)),"?"))</f>
        <v/>
      </c>
      <c r="M1906" s="64">
        <f>IF(tblMovement[[#This Row],[Material]]="","",IF(LEFT(tblMovement[[#This Row],[Material]],3)="Ore",1,0))</f>
        <v/>
      </c>
      <c r="N1906" s="59">
        <f>IF(OR(tblMovement[[#This Row],[Tonnes_t]]="",tblMovement[[#This Row],[Grade_gpt]]=""),0,tblMovement[[#This Row],[Tonnes_t]]*tblMovement[[#This Row],[Grade_gpt]]/cfg_TroyOz)</f>
        <v/>
      </c>
      <c r="O1906" s="59">
        <f>IF(tblMovement[[#This Row],[Is_Ore]]=1,tblMovement[[#This Row],[Contained_oz]],0)</f>
        <v/>
      </c>
    </row>
    <row r="1907">
      <c r="A1907" s="54" t="n"/>
      <c r="B1907" s="61" t="n"/>
      <c r="C1907" s="61" t="n"/>
      <c r="D1907" s="61" t="n"/>
      <c r="E1907" s="61" t="n"/>
      <c r="F1907" s="55" t="n"/>
      <c r="G1907" s="56" t="n"/>
      <c r="H1907" s="55" t="n"/>
      <c r="I1907" s="62" t="n"/>
      <c r="J1907" s="58" t="n"/>
      <c r="K1907" s="63">
        <f>IF(tblMovement[[#This Row],[Source]]="","",IFERROR(INDEX(tblSources[Type],MATCH(tblMovement[[#This Row],[Source]],tblSources[Source],0)),"?"))</f>
        <v/>
      </c>
      <c r="L1907" s="63">
        <f>IF(tblMovement[[#This Row],[Destination]]="","",IFERROR(INDEX(tblDestinations[Type],MATCH(tblMovement[[#This Row],[Destination]],tblDestinations[Destination],0)),"?"))</f>
        <v/>
      </c>
      <c r="M1907" s="64">
        <f>IF(tblMovement[[#This Row],[Material]]="","",IF(LEFT(tblMovement[[#This Row],[Material]],3)="Ore",1,0))</f>
        <v/>
      </c>
      <c r="N1907" s="59">
        <f>IF(OR(tblMovement[[#This Row],[Tonnes_t]]="",tblMovement[[#This Row],[Grade_gpt]]=""),0,tblMovement[[#This Row],[Tonnes_t]]*tblMovement[[#This Row],[Grade_gpt]]/cfg_TroyOz)</f>
        <v/>
      </c>
      <c r="O1907" s="59">
        <f>IF(tblMovement[[#This Row],[Is_Ore]]=1,tblMovement[[#This Row],[Contained_oz]],0)</f>
        <v/>
      </c>
    </row>
    <row r="1908">
      <c r="A1908" s="54" t="n"/>
      <c r="B1908" s="61" t="n"/>
      <c r="C1908" s="61" t="n"/>
      <c r="D1908" s="61" t="n"/>
      <c r="E1908" s="61" t="n"/>
      <c r="F1908" s="55" t="n"/>
      <c r="G1908" s="56" t="n"/>
      <c r="H1908" s="55" t="n"/>
      <c r="I1908" s="62" t="n"/>
      <c r="J1908" s="58" t="n"/>
      <c r="K1908" s="63">
        <f>IF(tblMovement[[#This Row],[Source]]="","",IFERROR(INDEX(tblSources[Type],MATCH(tblMovement[[#This Row],[Source]],tblSources[Source],0)),"?"))</f>
        <v/>
      </c>
      <c r="L1908" s="63">
        <f>IF(tblMovement[[#This Row],[Destination]]="","",IFERROR(INDEX(tblDestinations[Type],MATCH(tblMovement[[#This Row],[Destination]],tblDestinations[Destination],0)),"?"))</f>
        <v/>
      </c>
      <c r="M1908" s="64">
        <f>IF(tblMovement[[#This Row],[Material]]="","",IF(LEFT(tblMovement[[#This Row],[Material]],3)="Ore",1,0))</f>
        <v/>
      </c>
      <c r="N1908" s="59">
        <f>IF(OR(tblMovement[[#This Row],[Tonnes_t]]="",tblMovement[[#This Row],[Grade_gpt]]=""),0,tblMovement[[#This Row],[Tonnes_t]]*tblMovement[[#This Row],[Grade_gpt]]/cfg_TroyOz)</f>
        <v/>
      </c>
      <c r="O1908" s="59">
        <f>IF(tblMovement[[#This Row],[Is_Ore]]=1,tblMovement[[#This Row],[Contained_oz]],0)</f>
        <v/>
      </c>
    </row>
    <row r="1909">
      <c r="A1909" s="54" t="n"/>
      <c r="B1909" s="61" t="n"/>
      <c r="C1909" s="61" t="n"/>
      <c r="D1909" s="61" t="n"/>
      <c r="E1909" s="61" t="n"/>
      <c r="F1909" s="55" t="n"/>
      <c r="G1909" s="56" t="n"/>
      <c r="H1909" s="55" t="n"/>
      <c r="I1909" s="62" t="n"/>
      <c r="J1909" s="58" t="n"/>
      <c r="K1909" s="63">
        <f>IF(tblMovement[[#This Row],[Source]]="","",IFERROR(INDEX(tblSources[Type],MATCH(tblMovement[[#This Row],[Source]],tblSources[Source],0)),"?"))</f>
        <v/>
      </c>
      <c r="L1909" s="63">
        <f>IF(tblMovement[[#This Row],[Destination]]="","",IFERROR(INDEX(tblDestinations[Type],MATCH(tblMovement[[#This Row],[Destination]],tblDestinations[Destination],0)),"?"))</f>
        <v/>
      </c>
      <c r="M1909" s="64">
        <f>IF(tblMovement[[#This Row],[Material]]="","",IF(LEFT(tblMovement[[#This Row],[Material]],3)="Ore",1,0))</f>
        <v/>
      </c>
      <c r="N1909" s="59">
        <f>IF(OR(tblMovement[[#This Row],[Tonnes_t]]="",tblMovement[[#This Row],[Grade_gpt]]=""),0,tblMovement[[#This Row],[Tonnes_t]]*tblMovement[[#This Row],[Grade_gpt]]/cfg_TroyOz)</f>
        <v/>
      </c>
      <c r="O1909" s="59">
        <f>IF(tblMovement[[#This Row],[Is_Ore]]=1,tblMovement[[#This Row],[Contained_oz]],0)</f>
        <v/>
      </c>
    </row>
    <row r="1910">
      <c r="A1910" s="54" t="n"/>
      <c r="B1910" s="61" t="n"/>
      <c r="C1910" s="61" t="n"/>
      <c r="D1910" s="61" t="n"/>
      <c r="E1910" s="61" t="n"/>
      <c r="F1910" s="55" t="n"/>
      <c r="G1910" s="56" t="n"/>
      <c r="H1910" s="55" t="n"/>
      <c r="I1910" s="62" t="n"/>
      <c r="J1910" s="58" t="n"/>
      <c r="K1910" s="63">
        <f>IF(tblMovement[[#This Row],[Source]]="","",IFERROR(INDEX(tblSources[Type],MATCH(tblMovement[[#This Row],[Source]],tblSources[Source],0)),"?"))</f>
        <v/>
      </c>
      <c r="L1910" s="63">
        <f>IF(tblMovement[[#This Row],[Destination]]="","",IFERROR(INDEX(tblDestinations[Type],MATCH(tblMovement[[#This Row],[Destination]],tblDestinations[Destination],0)),"?"))</f>
        <v/>
      </c>
      <c r="M1910" s="64">
        <f>IF(tblMovement[[#This Row],[Material]]="","",IF(LEFT(tblMovement[[#This Row],[Material]],3)="Ore",1,0))</f>
        <v/>
      </c>
      <c r="N1910" s="59">
        <f>IF(OR(tblMovement[[#This Row],[Tonnes_t]]="",tblMovement[[#This Row],[Grade_gpt]]=""),0,tblMovement[[#This Row],[Tonnes_t]]*tblMovement[[#This Row],[Grade_gpt]]/cfg_TroyOz)</f>
        <v/>
      </c>
      <c r="O1910" s="59">
        <f>IF(tblMovement[[#This Row],[Is_Ore]]=1,tblMovement[[#This Row],[Contained_oz]],0)</f>
        <v/>
      </c>
    </row>
    <row r="1911">
      <c r="A1911" s="54" t="n"/>
      <c r="B1911" s="61" t="n"/>
      <c r="C1911" s="61" t="n"/>
      <c r="D1911" s="61" t="n"/>
      <c r="E1911" s="61" t="n"/>
      <c r="F1911" s="55" t="n"/>
      <c r="G1911" s="56" t="n"/>
      <c r="H1911" s="55" t="n"/>
      <c r="I1911" s="62" t="n"/>
      <c r="J1911" s="58" t="n"/>
      <c r="K1911" s="63">
        <f>IF(tblMovement[[#This Row],[Source]]="","",IFERROR(INDEX(tblSources[Type],MATCH(tblMovement[[#This Row],[Source]],tblSources[Source],0)),"?"))</f>
        <v/>
      </c>
      <c r="L1911" s="63">
        <f>IF(tblMovement[[#This Row],[Destination]]="","",IFERROR(INDEX(tblDestinations[Type],MATCH(tblMovement[[#This Row],[Destination]],tblDestinations[Destination],0)),"?"))</f>
        <v/>
      </c>
      <c r="M1911" s="64">
        <f>IF(tblMovement[[#This Row],[Material]]="","",IF(LEFT(tblMovement[[#This Row],[Material]],3)="Ore",1,0))</f>
        <v/>
      </c>
      <c r="N1911" s="59">
        <f>IF(OR(tblMovement[[#This Row],[Tonnes_t]]="",tblMovement[[#This Row],[Grade_gpt]]=""),0,tblMovement[[#This Row],[Tonnes_t]]*tblMovement[[#This Row],[Grade_gpt]]/cfg_TroyOz)</f>
        <v/>
      </c>
      <c r="O1911" s="59">
        <f>IF(tblMovement[[#This Row],[Is_Ore]]=1,tblMovement[[#This Row],[Contained_oz]],0)</f>
        <v/>
      </c>
    </row>
    <row r="1912">
      <c r="A1912" s="54" t="n"/>
      <c r="B1912" s="61" t="n"/>
      <c r="C1912" s="61" t="n"/>
      <c r="D1912" s="61" t="n"/>
      <c r="E1912" s="61" t="n"/>
      <c r="F1912" s="55" t="n"/>
      <c r="G1912" s="56" t="n"/>
      <c r="H1912" s="55" t="n"/>
      <c r="I1912" s="62" t="n"/>
      <c r="J1912" s="58" t="n"/>
      <c r="K1912" s="63">
        <f>IF(tblMovement[[#This Row],[Source]]="","",IFERROR(INDEX(tblSources[Type],MATCH(tblMovement[[#This Row],[Source]],tblSources[Source],0)),"?"))</f>
        <v/>
      </c>
      <c r="L1912" s="63">
        <f>IF(tblMovement[[#This Row],[Destination]]="","",IFERROR(INDEX(tblDestinations[Type],MATCH(tblMovement[[#This Row],[Destination]],tblDestinations[Destination],0)),"?"))</f>
        <v/>
      </c>
      <c r="M1912" s="64">
        <f>IF(tblMovement[[#This Row],[Material]]="","",IF(LEFT(tblMovement[[#This Row],[Material]],3)="Ore",1,0))</f>
        <v/>
      </c>
      <c r="N1912" s="59">
        <f>IF(OR(tblMovement[[#This Row],[Tonnes_t]]="",tblMovement[[#This Row],[Grade_gpt]]=""),0,tblMovement[[#This Row],[Tonnes_t]]*tblMovement[[#This Row],[Grade_gpt]]/cfg_TroyOz)</f>
        <v/>
      </c>
      <c r="O1912" s="59">
        <f>IF(tblMovement[[#This Row],[Is_Ore]]=1,tblMovement[[#This Row],[Contained_oz]],0)</f>
        <v/>
      </c>
    </row>
    <row r="1913">
      <c r="A1913" s="54" t="n"/>
      <c r="B1913" s="61" t="n"/>
      <c r="C1913" s="61" t="n"/>
      <c r="D1913" s="61" t="n"/>
      <c r="E1913" s="61" t="n"/>
      <c r="F1913" s="55" t="n"/>
      <c r="G1913" s="56" t="n"/>
      <c r="H1913" s="55" t="n"/>
      <c r="I1913" s="62" t="n"/>
      <c r="J1913" s="58" t="n"/>
      <c r="K1913" s="63">
        <f>IF(tblMovement[[#This Row],[Source]]="","",IFERROR(INDEX(tblSources[Type],MATCH(tblMovement[[#This Row],[Source]],tblSources[Source],0)),"?"))</f>
        <v/>
      </c>
      <c r="L1913" s="63">
        <f>IF(tblMovement[[#This Row],[Destination]]="","",IFERROR(INDEX(tblDestinations[Type],MATCH(tblMovement[[#This Row],[Destination]],tblDestinations[Destination],0)),"?"))</f>
        <v/>
      </c>
      <c r="M1913" s="64">
        <f>IF(tblMovement[[#This Row],[Material]]="","",IF(LEFT(tblMovement[[#This Row],[Material]],3)="Ore",1,0))</f>
        <v/>
      </c>
      <c r="N1913" s="59">
        <f>IF(OR(tblMovement[[#This Row],[Tonnes_t]]="",tblMovement[[#This Row],[Grade_gpt]]=""),0,tblMovement[[#This Row],[Tonnes_t]]*tblMovement[[#This Row],[Grade_gpt]]/cfg_TroyOz)</f>
        <v/>
      </c>
      <c r="O1913" s="59">
        <f>IF(tblMovement[[#This Row],[Is_Ore]]=1,tblMovement[[#This Row],[Contained_oz]],0)</f>
        <v/>
      </c>
    </row>
    <row r="1914">
      <c r="A1914" s="54" t="n"/>
      <c r="B1914" s="61" t="n"/>
      <c r="C1914" s="61" t="n"/>
      <c r="D1914" s="61" t="n"/>
      <c r="E1914" s="61" t="n"/>
      <c r="F1914" s="55" t="n"/>
      <c r="G1914" s="56" t="n"/>
      <c r="H1914" s="55" t="n"/>
      <c r="I1914" s="62" t="n"/>
      <c r="J1914" s="58" t="n"/>
      <c r="K1914" s="63">
        <f>IF(tblMovement[[#This Row],[Source]]="","",IFERROR(INDEX(tblSources[Type],MATCH(tblMovement[[#This Row],[Source]],tblSources[Source],0)),"?"))</f>
        <v/>
      </c>
      <c r="L1914" s="63">
        <f>IF(tblMovement[[#This Row],[Destination]]="","",IFERROR(INDEX(tblDestinations[Type],MATCH(tblMovement[[#This Row],[Destination]],tblDestinations[Destination],0)),"?"))</f>
        <v/>
      </c>
      <c r="M1914" s="64">
        <f>IF(tblMovement[[#This Row],[Material]]="","",IF(LEFT(tblMovement[[#This Row],[Material]],3)="Ore",1,0))</f>
        <v/>
      </c>
      <c r="N1914" s="59">
        <f>IF(OR(tblMovement[[#This Row],[Tonnes_t]]="",tblMovement[[#This Row],[Grade_gpt]]=""),0,tblMovement[[#This Row],[Tonnes_t]]*tblMovement[[#This Row],[Grade_gpt]]/cfg_TroyOz)</f>
        <v/>
      </c>
      <c r="O1914" s="59">
        <f>IF(tblMovement[[#This Row],[Is_Ore]]=1,tblMovement[[#This Row],[Contained_oz]],0)</f>
        <v/>
      </c>
    </row>
    <row r="1915">
      <c r="A1915" s="54" t="n"/>
      <c r="B1915" s="61" t="n"/>
      <c r="C1915" s="61" t="n"/>
      <c r="D1915" s="61" t="n"/>
      <c r="E1915" s="61" t="n"/>
      <c r="F1915" s="55" t="n"/>
      <c r="G1915" s="56" t="n"/>
      <c r="H1915" s="55" t="n"/>
      <c r="I1915" s="62" t="n"/>
      <c r="J1915" s="58" t="n"/>
      <c r="K1915" s="63">
        <f>IF(tblMovement[[#This Row],[Source]]="","",IFERROR(INDEX(tblSources[Type],MATCH(tblMovement[[#This Row],[Source]],tblSources[Source],0)),"?"))</f>
        <v/>
      </c>
      <c r="L1915" s="63">
        <f>IF(tblMovement[[#This Row],[Destination]]="","",IFERROR(INDEX(tblDestinations[Type],MATCH(tblMovement[[#This Row],[Destination]],tblDestinations[Destination],0)),"?"))</f>
        <v/>
      </c>
      <c r="M1915" s="64">
        <f>IF(tblMovement[[#This Row],[Material]]="","",IF(LEFT(tblMovement[[#This Row],[Material]],3)="Ore",1,0))</f>
        <v/>
      </c>
      <c r="N1915" s="59">
        <f>IF(OR(tblMovement[[#This Row],[Tonnes_t]]="",tblMovement[[#This Row],[Grade_gpt]]=""),0,tblMovement[[#This Row],[Tonnes_t]]*tblMovement[[#This Row],[Grade_gpt]]/cfg_TroyOz)</f>
        <v/>
      </c>
      <c r="O1915" s="59">
        <f>IF(tblMovement[[#This Row],[Is_Ore]]=1,tblMovement[[#This Row],[Contained_oz]],0)</f>
        <v/>
      </c>
    </row>
    <row r="1916">
      <c r="A1916" s="54" t="n"/>
      <c r="B1916" s="61" t="n"/>
      <c r="C1916" s="61" t="n"/>
      <c r="D1916" s="61" t="n"/>
      <c r="E1916" s="61" t="n"/>
      <c r="F1916" s="55" t="n"/>
      <c r="G1916" s="56" t="n"/>
      <c r="H1916" s="55" t="n"/>
      <c r="I1916" s="62" t="n"/>
      <c r="J1916" s="58" t="n"/>
      <c r="K1916" s="63">
        <f>IF(tblMovement[[#This Row],[Source]]="","",IFERROR(INDEX(tblSources[Type],MATCH(tblMovement[[#This Row],[Source]],tblSources[Source],0)),"?"))</f>
        <v/>
      </c>
      <c r="L1916" s="63">
        <f>IF(tblMovement[[#This Row],[Destination]]="","",IFERROR(INDEX(tblDestinations[Type],MATCH(tblMovement[[#This Row],[Destination]],tblDestinations[Destination],0)),"?"))</f>
        <v/>
      </c>
      <c r="M1916" s="64">
        <f>IF(tblMovement[[#This Row],[Material]]="","",IF(LEFT(tblMovement[[#This Row],[Material]],3)="Ore",1,0))</f>
        <v/>
      </c>
      <c r="N1916" s="59">
        <f>IF(OR(tblMovement[[#This Row],[Tonnes_t]]="",tblMovement[[#This Row],[Grade_gpt]]=""),0,tblMovement[[#This Row],[Tonnes_t]]*tblMovement[[#This Row],[Grade_gpt]]/cfg_TroyOz)</f>
        <v/>
      </c>
      <c r="O1916" s="59">
        <f>IF(tblMovement[[#This Row],[Is_Ore]]=1,tblMovement[[#This Row],[Contained_oz]],0)</f>
        <v/>
      </c>
    </row>
    <row r="1917">
      <c r="A1917" s="54" t="n"/>
      <c r="B1917" s="61" t="n"/>
      <c r="C1917" s="61" t="n"/>
      <c r="D1917" s="61" t="n"/>
      <c r="E1917" s="61" t="n"/>
      <c r="F1917" s="55" t="n"/>
      <c r="G1917" s="56" t="n"/>
      <c r="H1917" s="55" t="n"/>
      <c r="I1917" s="62" t="n"/>
      <c r="J1917" s="58" t="n"/>
      <c r="K1917" s="63">
        <f>IF(tblMovement[[#This Row],[Source]]="","",IFERROR(INDEX(tblSources[Type],MATCH(tblMovement[[#This Row],[Source]],tblSources[Source],0)),"?"))</f>
        <v/>
      </c>
      <c r="L1917" s="63">
        <f>IF(tblMovement[[#This Row],[Destination]]="","",IFERROR(INDEX(tblDestinations[Type],MATCH(tblMovement[[#This Row],[Destination]],tblDestinations[Destination],0)),"?"))</f>
        <v/>
      </c>
      <c r="M1917" s="64">
        <f>IF(tblMovement[[#This Row],[Material]]="","",IF(LEFT(tblMovement[[#This Row],[Material]],3)="Ore",1,0))</f>
        <v/>
      </c>
      <c r="N1917" s="59">
        <f>IF(OR(tblMovement[[#This Row],[Tonnes_t]]="",tblMovement[[#This Row],[Grade_gpt]]=""),0,tblMovement[[#This Row],[Tonnes_t]]*tblMovement[[#This Row],[Grade_gpt]]/cfg_TroyOz)</f>
        <v/>
      </c>
      <c r="O1917" s="59">
        <f>IF(tblMovement[[#This Row],[Is_Ore]]=1,tblMovement[[#This Row],[Contained_oz]],0)</f>
        <v/>
      </c>
    </row>
    <row r="1918">
      <c r="A1918" s="54" t="n"/>
      <c r="B1918" s="61" t="n"/>
      <c r="C1918" s="61" t="n"/>
      <c r="D1918" s="61" t="n"/>
      <c r="E1918" s="61" t="n"/>
      <c r="F1918" s="55" t="n"/>
      <c r="G1918" s="56" t="n"/>
      <c r="H1918" s="55" t="n"/>
      <c r="I1918" s="62" t="n"/>
      <c r="J1918" s="58" t="n"/>
      <c r="K1918" s="63">
        <f>IF(tblMovement[[#This Row],[Source]]="","",IFERROR(INDEX(tblSources[Type],MATCH(tblMovement[[#This Row],[Source]],tblSources[Source],0)),"?"))</f>
        <v/>
      </c>
      <c r="L1918" s="63">
        <f>IF(tblMovement[[#This Row],[Destination]]="","",IFERROR(INDEX(tblDestinations[Type],MATCH(tblMovement[[#This Row],[Destination]],tblDestinations[Destination],0)),"?"))</f>
        <v/>
      </c>
      <c r="M1918" s="64">
        <f>IF(tblMovement[[#This Row],[Material]]="","",IF(LEFT(tblMovement[[#This Row],[Material]],3)="Ore",1,0))</f>
        <v/>
      </c>
      <c r="N1918" s="59">
        <f>IF(OR(tblMovement[[#This Row],[Tonnes_t]]="",tblMovement[[#This Row],[Grade_gpt]]=""),0,tblMovement[[#This Row],[Tonnes_t]]*tblMovement[[#This Row],[Grade_gpt]]/cfg_TroyOz)</f>
        <v/>
      </c>
      <c r="O1918" s="59">
        <f>IF(tblMovement[[#This Row],[Is_Ore]]=1,tblMovement[[#This Row],[Contained_oz]],0)</f>
        <v/>
      </c>
    </row>
    <row r="1919">
      <c r="A1919" s="54" t="n"/>
      <c r="B1919" s="61" t="n"/>
      <c r="C1919" s="61" t="n"/>
      <c r="D1919" s="61" t="n"/>
      <c r="E1919" s="61" t="n"/>
      <c r="F1919" s="55" t="n"/>
      <c r="G1919" s="56" t="n"/>
      <c r="H1919" s="55" t="n"/>
      <c r="I1919" s="62" t="n"/>
      <c r="J1919" s="58" t="n"/>
      <c r="K1919" s="63">
        <f>IF(tblMovement[[#This Row],[Source]]="","",IFERROR(INDEX(tblSources[Type],MATCH(tblMovement[[#This Row],[Source]],tblSources[Source],0)),"?"))</f>
        <v/>
      </c>
      <c r="L1919" s="63">
        <f>IF(tblMovement[[#This Row],[Destination]]="","",IFERROR(INDEX(tblDestinations[Type],MATCH(tblMovement[[#This Row],[Destination]],tblDestinations[Destination],0)),"?"))</f>
        <v/>
      </c>
      <c r="M1919" s="64">
        <f>IF(tblMovement[[#This Row],[Material]]="","",IF(LEFT(tblMovement[[#This Row],[Material]],3)="Ore",1,0))</f>
        <v/>
      </c>
      <c r="N1919" s="59">
        <f>IF(OR(tblMovement[[#This Row],[Tonnes_t]]="",tblMovement[[#This Row],[Grade_gpt]]=""),0,tblMovement[[#This Row],[Tonnes_t]]*tblMovement[[#This Row],[Grade_gpt]]/cfg_TroyOz)</f>
        <v/>
      </c>
      <c r="O1919" s="59">
        <f>IF(tblMovement[[#This Row],[Is_Ore]]=1,tblMovement[[#This Row],[Contained_oz]],0)</f>
        <v/>
      </c>
    </row>
    <row r="1920">
      <c r="A1920" s="54" t="n"/>
      <c r="B1920" s="61" t="n"/>
      <c r="C1920" s="61" t="n"/>
      <c r="D1920" s="61" t="n"/>
      <c r="E1920" s="61" t="n"/>
      <c r="F1920" s="55" t="n"/>
      <c r="G1920" s="56" t="n"/>
      <c r="H1920" s="55" t="n"/>
      <c r="I1920" s="62" t="n"/>
      <c r="J1920" s="58" t="n"/>
      <c r="K1920" s="63">
        <f>IF(tblMovement[[#This Row],[Source]]="","",IFERROR(INDEX(tblSources[Type],MATCH(tblMovement[[#This Row],[Source]],tblSources[Source],0)),"?"))</f>
        <v/>
      </c>
      <c r="L1920" s="63">
        <f>IF(tblMovement[[#This Row],[Destination]]="","",IFERROR(INDEX(tblDestinations[Type],MATCH(tblMovement[[#This Row],[Destination]],tblDestinations[Destination],0)),"?"))</f>
        <v/>
      </c>
      <c r="M1920" s="64">
        <f>IF(tblMovement[[#This Row],[Material]]="","",IF(LEFT(tblMovement[[#This Row],[Material]],3)="Ore",1,0))</f>
        <v/>
      </c>
      <c r="N1920" s="59">
        <f>IF(OR(tblMovement[[#This Row],[Tonnes_t]]="",tblMovement[[#This Row],[Grade_gpt]]=""),0,tblMovement[[#This Row],[Tonnes_t]]*tblMovement[[#This Row],[Grade_gpt]]/cfg_TroyOz)</f>
        <v/>
      </c>
      <c r="O1920" s="59">
        <f>IF(tblMovement[[#This Row],[Is_Ore]]=1,tblMovement[[#This Row],[Contained_oz]],0)</f>
        <v/>
      </c>
    </row>
    <row r="1921">
      <c r="A1921" s="54" t="n"/>
      <c r="B1921" s="61" t="n"/>
      <c r="C1921" s="61" t="n"/>
      <c r="D1921" s="61" t="n"/>
      <c r="E1921" s="61" t="n"/>
      <c r="F1921" s="55" t="n"/>
      <c r="G1921" s="56" t="n"/>
      <c r="H1921" s="55" t="n"/>
      <c r="I1921" s="62" t="n"/>
      <c r="J1921" s="58" t="n"/>
      <c r="K1921" s="63">
        <f>IF(tblMovement[[#This Row],[Source]]="","",IFERROR(INDEX(tblSources[Type],MATCH(tblMovement[[#This Row],[Source]],tblSources[Source],0)),"?"))</f>
        <v/>
      </c>
      <c r="L1921" s="63">
        <f>IF(tblMovement[[#This Row],[Destination]]="","",IFERROR(INDEX(tblDestinations[Type],MATCH(tblMovement[[#This Row],[Destination]],tblDestinations[Destination],0)),"?"))</f>
        <v/>
      </c>
      <c r="M1921" s="64">
        <f>IF(tblMovement[[#This Row],[Material]]="","",IF(LEFT(tblMovement[[#This Row],[Material]],3)="Ore",1,0))</f>
        <v/>
      </c>
      <c r="N1921" s="59">
        <f>IF(OR(tblMovement[[#This Row],[Tonnes_t]]="",tblMovement[[#This Row],[Grade_gpt]]=""),0,tblMovement[[#This Row],[Tonnes_t]]*tblMovement[[#This Row],[Grade_gpt]]/cfg_TroyOz)</f>
        <v/>
      </c>
      <c r="O1921" s="59">
        <f>IF(tblMovement[[#This Row],[Is_Ore]]=1,tblMovement[[#This Row],[Contained_oz]],0)</f>
        <v/>
      </c>
    </row>
    <row r="1922">
      <c r="A1922" s="54" t="n"/>
      <c r="B1922" s="61" t="n"/>
      <c r="C1922" s="61" t="n"/>
      <c r="D1922" s="61" t="n"/>
      <c r="E1922" s="61" t="n"/>
      <c r="F1922" s="55" t="n"/>
      <c r="G1922" s="56" t="n"/>
      <c r="H1922" s="55" t="n"/>
      <c r="I1922" s="62" t="n"/>
      <c r="J1922" s="58" t="n"/>
      <c r="K1922" s="63">
        <f>IF(tblMovement[[#This Row],[Source]]="","",IFERROR(INDEX(tblSources[Type],MATCH(tblMovement[[#This Row],[Source]],tblSources[Source],0)),"?"))</f>
        <v/>
      </c>
      <c r="L1922" s="63">
        <f>IF(tblMovement[[#This Row],[Destination]]="","",IFERROR(INDEX(tblDestinations[Type],MATCH(tblMovement[[#This Row],[Destination]],tblDestinations[Destination],0)),"?"))</f>
        <v/>
      </c>
      <c r="M1922" s="64">
        <f>IF(tblMovement[[#This Row],[Material]]="","",IF(LEFT(tblMovement[[#This Row],[Material]],3)="Ore",1,0))</f>
        <v/>
      </c>
      <c r="N1922" s="59">
        <f>IF(OR(tblMovement[[#This Row],[Tonnes_t]]="",tblMovement[[#This Row],[Grade_gpt]]=""),0,tblMovement[[#This Row],[Tonnes_t]]*tblMovement[[#This Row],[Grade_gpt]]/cfg_TroyOz)</f>
        <v/>
      </c>
      <c r="O1922" s="59">
        <f>IF(tblMovement[[#This Row],[Is_Ore]]=1,tblMovement[[#This Row],[Contained_oz]],0)</f>
        <v/>
      </c>
    </row>
    <row r="1923">
      <c r="A1923" s="54" t="n"/>
      <c r="B1923" s="61" t="n"/>
      <c r="C1923" s="61" t="n"/>
      <c r="D1923" s="61" t="n"/>
      <c r="E1923" s="61" t="n"/>
      <c r="F1923" s="55" t="n"/>
      <c r="G1923" s="56" t="n"/>
      <c r="H1923" s="55" t="n"/>
      <c r="I1923" s="62" t="n"/>
      <c r="J1923" s="58" t="n"/>
      <c r="K1923" s="63">
        <f>IF(tblMovement[[#This Row],[Source]]="","",IFERROR(INDEX(tblSources[Type],MATCH(tblMovement[[#This Row],[Source]],tblSources[Source],0)),"?"))</f>
        <v/>
      </c>
      <c r="L1923" s="63">
        <f>IF(tblMovement[[#This Row],[Destination]]="","",IFERROR(INDEX(tblDestinations[Type],MATCH(tblMovement[[#This Row],[Destination]],tblDestinations[Destination],0)),"?"))</f>
        <v/>
      </c>
      <c r="M1923" s="64">
        <f>IF(tblMovement[[#This Row],[Material]]="","",IF(LEFT(tblMovement[[#This Row],[Material]],3)="Ore",1,0))</f>
        <v/>
      </c>
      <c r="N1923" s="59">
        <f>IF(OR(tblMovement[[#This Row],[Tonnes_t]]="",tblMovement[[#This Row],[Grade_gpt]]=""),0,tblMovement[[#This Row],[Tonnes_t]]*tblMovement[[#This Row],[Grade_gpt]]/cfg_TroyOz)</f>
        <v/>
      </c>
      <c r="O1923" s="59">
        <f>IF(tblMovement[[#This Row],[Is_Ore]]=1,tblMovement[[#This Row],[Contained_oz]],0)</f>
        <v/>
      </c>
    </row>
    <row r="1924">
      <c r="A1924" s="54" t="n"/>
      <c r="B1924" s="61" t="n"/>
      <c r="C1924" s="61" t="n"/>
      <c r="D1924" s="61" t="n"/>
      <c r="E1924" s="61" t="n"/>
      <c r="F1924" s="55" t="n"/>
      <c r="G1924" s="56" t="n"/>
      <c r="H1924" s="55" t="n"/>
      <c r="I1924" s="62" t="n"/>
      <c r="J1924" s="58" t="n"/>
      <c r="K1924" s="63">
        <f>IF(tblMovement[[#This Row],[Source]]="","",IFERROR(INDEX(tblSources[Type],MATCH(tblMovement[[#This Row],[Source]],tblSources[Source],0)),"?"))</f>
        <v/>
      </c>
      <c r="L1924" s="63">
        <f>IF(tblMovement[[#This Row],[Destination]]="","",IFERROR(INDEX(tblDestinations[Type],MATCH(tblMovement[[#This Row],[Destination]],tblDestinations[Destination],0)),"?"))</f>
        <v/>
      </c>
      <c r="M1924" s="64">
        <f>IF(tblMovement[[#This Row],[Material]]="","",IF(LEFT(tblMovement[[#This Row],[Material]],3)="Ore",1,0))</f>
        <v/>
      </c>
      <c r="N1924" s="59">
        <f>IF(OR(tblMovement[[#This Row],[Tonnes_t]]="",tblMovement[[#This Row],[Grade_gpt]]=""),0,tblMovement[[#This Row],[Tonnes_t]]*tblMovement[[#This Row],[Grade_gpt]]/cfg_TroyOz)</f>
        <v/>
      </c>
      <c r="O1924" s="59">
        <f>IF(tblMovement[[#This Row],[Is_Ore]]=1,tblMovement[[#This Row],[Contained_oz]],0)</f>
        <v/>
      </c>
    </row>
    <row r="1925">
      <c r="A1925" s="54" t="n"/>
      <c r="B1925" s="61" t="n"/>
      <c r="C1925" s="61" t="n"/>
      <c r="D1925" s="61" t="n"/>
      <c r="E1925" s="61" t="n"/>
      <c r="F1925" s="55" t="n"/>
      <c r="G1925" s="56" t="n"/>
      <c r="H1925" s="55" t="n"/>
      <c r="I1925" s="62" t="n"/>
      <c r="J1925" s="58" t="n"/>
      <c r="K1925" s="63">
        <f>IF(tblMovement[[#This Row],[Source]]="","",IFERROR(INDEX(tblSources[Type],MATCH(tblMovement[[#This Row],[Source]],tblSources[Source],0)),"?"))</f>
        <v/>
      </c>
      <c r="L1925" s="63">
        <f>IF(tblMovement[[#This Row],[Destination]]="","",IFERROR(INDEX(tblDestinations[Type],MATCH(tblMovement[[#This Row],[Destination]],tblDestinations[Destination],0)),"?"))</f>
        <v/>
      </c>
      <c r="M1925" s="64">
        <f>IF(tblMovement[[#This Row],[Material]]="","",IF(LEFT(tblMovement[[#This Row],[Material]],3)="Ore",1,0))</f>
        <v/>
      </c>
      <c r="N1925" s="59">
        <f>IF(OR(tblMovement[[#This Row],[Tonnes_t]]="",tblMovement[[#This Row],[Grade_gpt]]=""),0,tblMovement[[#This Row],[Tonnes_t]]*tblMovement[[#This Row],[Grade_gpt]]/cfg_TroyOz)</f>
        <v/>
      </c>
      <c r="O1925" s="59">
        <f>IF(tblMovement[[#This Row],[Is_Ore]]=1,tblMovement[[#This Row],[Contained_oz]],0)</f>
        <v/>
      </c>
    </row>
    <row r="1926">
      <c r="A1926" s="54" t="n"/>
      <c r="B1926" s="61" t="n"/>
      <c r="C1926" s="61" t="n"/>
      <c r="D1926" s="61" t="n"/>
      <c r="E1926" s="61" t="n"/>
      <c r="F1926" s="55" t="n"/>
      <c r="G1926" s="56" t="n"/>
      <c r="H1926" s="55" t="n"/>
      <c r="I1926" s="62" t="n"/>
      <c r="J1926" s="58" t="n"/>
      <c r="K1926" s="63">
        <f>IF(tblMovement[[#This Row],[Source]]="","",IFERROR(INDEX(tblSources[Type],MATCH(tblMovement[[#This Row],[Source]],tblSources[Source],0)),"?"))</f>
        <v/>
      </c>
      <c r="L1926" s="63">
        <f>IF(tblMovement[[#This Row],[Destination]]="","",IFERROR(INDEX(tblDestinations[Type],MATCH(tblMovement[[#This Row],[Destination]],tblDestinations[Destination],0)),"?"))</f>
        <v/>
      </c>
      <c r="M1926" s="64">
        <f>IF(tblMovement[[#This Row],[Material]]="","",IF(LEFT(tblMovement[[#This Row],[Material]],3)="Ore",1,0))</f>
        <v/>
      </c>
      <c r="N1926" s="59">
        <f>IF(OR(tblMovement[[#This Row],[Tonnes_t]]="",tblMovement[[#This Row],[Grade_gpt]]=""),0,tblMovement[[#This Row],[Tonnes_t]]*tblMovement[[#This Row],[Grade_gpt]]/cfg_TroyOz)</f>
        <v/>
      </c>
      <c r="O1926" s="59">
        <f>IF(tblMovement[[#This Row],[Is_Ore]]=1,tblMovement[[#This Row],[Contained_oz]],0)</f>
        <v/>
      </c>
    </row>
    <row r="1927">
      <c r="A1927" s="54" t="n"/>
      <c r="B1927" s="61" t="n"/>
      <c r="C1927" s="61" t="n"/>
      <c r="D1927" s="61" t="n"/>
      <c r="E1927" s="61" t="n"/>
      <c r="F1927" s="55" t="n"/>
      <c r="G1927" s="56" t="n"/>
      <c r="H1927" s="55" t="n"/>
      <c r="I1927" s="62" t="n"/>
      <c r="J1927" s="58" t="n"/>
      <c r="K1927" s="63">
        <f>IF(tblMovement[[#This Row],[Source]]="","",IFERROR(INDEX(tblSources[Type],MATCH(tblMovement[[#This Row],[Source]],tblSources[Source],0)),"?"))</f>
        <v/>
      </c>
      <c r="L1927" s="63">
        <f>IF(tblMovement[[#This Row],[Destination]]="","",IFERROR(INDEX(tblDestinations[Type],MATCH(tblMovement[[#This Row],[Destination]],tblDestinations[Destination],0)),"?"))</f>
        <v/>
      </c>
      <c r="M1927" s="64">
        <f>IF(tblMovement[[#This Row],[Material]]="","",IF(LEFT(tblMovement[[#This Row],[Material]],3)="Ore",1,0))</f>
        <v/>
      </c>
      <c r="N1927" s="59">
        <f>IF(OR(tblMovement[[#This Row],[Tonnes_t]]="",tblMovement[[#This Row],[Grade_gpt]]=""),0,tblMovement[[#This Row],[Tonnes_t]]*tblMovement[[#This Row],[Grade_gpt]]/cfg_TroyOz)</f>
        <v/>
      </c>
      <c r="O1927" s="59">
        <f>IF(tblMovement[[#This Row],[Is_Ore]]=1,tblMovement[[#This Row],[Contained_oz]],0)</f>
        <v/>
      </c>
    </row>
    <row r="1928">
      <c r="A1928" s="54" t="n"/>
      <c r="B1928" s="61" t="n"/>
      <c r="C1928" s="61" t="n"/>
      <c r="D1928" s="61" t="n"/>
      <c r="E1928" s="61" t="n"/>
      <c r="F1928" s="55" t="n"/>
      <c r="G1928" s="56" t="n"/>
      <c r="H1928" s="55" t="n"/>
      <c r="I1928" s="62" t="n"/>
      <c r="J1928" s="58" t="n"/>
      <c r="K1928" s="63">
        <f>IF(tblMovement[[#This Row],[Source]]="","",IFERROR(INDEX(tblSources[Type],MATCH(tblMovement[[#This Row],[Source]],tblSources[Source],0)),"?"))</f>
        <v/>
      </c>
      <c r="L1928" s="63">
        <f>IF(tblMovement[[#This Row],[Destination]]="","",IFERROR(INDEX(tblDestinations[Type],MATCH(tblMovement[[#This Row],[Destination]],tblDestinations[Destination],0)),"?"))</f>
        <v/>
      </c>
      <c r="M1928" s="64">
        <f>IF(tblMovement[[#This Row],[Material]]="","",IF(LEFT(tblMovement[[#This Row],[Material]],3)="Ore",1,0))</f>
        <v/>
      </c>
      <c r="N1928" s="59">
        <f>IF(OR(tblMovement[[#This Row],[Tonnes_t]]="",tblMovement[[#This Row],[Grade_gpt]]=""),0,tblMovement[[#This Row],[Tonnes_t]]*tblMovement[[#This Row],[Grade_gpt]]/cfg_TroyOz)</f>
        <v/>
      </c>
      <c r="O1928" s="59">
        <f>IF(tblMovement[[#This Row],[Is_Ore]]=1,tblMovement[[#This Row],[Contained_oz]],0)</f>
        <v/>
      </c>
    </row>
    <row r="1929">
      <c r="A1929" s="54" t="n"/>
      <c r="B1929" s="61" t="n"/>
      <c r="C1929" s="61" t="n"/>
      <c r="D1929" s="61" t="n"/>
      <c r="E1929" s="61" t="n"/>
      <c r="F1929" s="55" t="n"/>
      <c r="G1929" s="56" t="n"/>
      <c r="H1929" s="55" t="n"/>
      <c r="I1929" s="62" t="n"/>
      <c r="J1929" s="58" t="n"/>
      <c r="K1929" s="63">
        <f>IF(tblMovement[[#This Row],[Source]]="","",IFERROR(INDEX(tblSources[Type],MATCH(tblMovement[[#This Row],[Source]],tblSources[Source],0)),"?"))</f>
        <v/>
      </c>
      <c r="L1929" s="63">
        <f>IF(tblMovement[[#This Row],[Destination]]="","",IFERROR(INDEX(tblDestinations[Type],MATCH(tblMovement[[#This Row],[Destination]],tblDestinations[Destination],0)),"?"))</f>
        <v/>
      </c>
      <c r="M1929" s="64">
        <f>IF(tblMovement[[#This Row],[Material]]="","",IF(LEFT(tblMovement[[#This Row],[Material]],3)="Ore",1,0))</f>
        <v/>
      </c>
      <c r="N1929" s="59">
        <f>IF(OR(tblMovement[[#This Row],[Tonnes_t]]="",tblMovement[[#This Row],[Grade_gpt]]=""),0,tblMovement[[#This Row],[Tonnes_t]]*tblMovement[[#This Row],[Grade_gpt]]/cfg_TroyOz)</f>
        <v/>
      </c>
      <c r="O1929" s="59">
        <f>IF(tblMovement[[#This Row],[Is_Ore]]=1,tblMovement[[#This Row],[Contained_oz]],0)</f>
        <v/>
      </c>
    </row>
    <row r="1930">
      <c r="A1930" s="54" t="n"/>
      <c r="B1930" s="61" t="n"/>
      <c r="C1930" s="61" t="n"/>
      <c r="D1930" s="61" t="n"/>
      <c r="E1930" s="61" t="n"/>
      <c r="F1930" s="55" t="n"/>
      <c r="G1930" s="56" t="n"/>
      <c r="H1930" s="55" t="n"/>
      <c r="I1930" s="62" t="n"/>
      <c r="J1930" s="58" t="n"/>
      <c r="K1930" s="63">
        <f>IF(tblMovement[[#This Row],[Source]]="","",IFERROR(INDEX(tblSources[Type],MATCH(tblMovement[[#This Row],[Source]],tblSources[Source],0)),"?"))</f>
        <v/>
      </c>
      <c r="L1930" s="63">
        <f>IF(tblMovement[[#This Row],[Destination]]="","",IFERROR(INDEX(tblDestinations[Type],MATCH(tblMovement[[#This Row],[Destination]],tblDestinations[Destination],0)),"?"))</f>
        <v/>
      </c>
      <c r="M1930" s="64">
        <f>IF(tblMovement[[#This Row],[Material]]="","",IF(LEFT(tblMovement[[#This Row],[Material]],3)="Ore",1,0))</f>
        <v/>
      </c>
      <c r="N1930" s="59">
        <f>IF(OR(tblMovement[[#This Row],[Tonnes_t]]="",tblMovement[[#This Row],[Grade_gpt]]=""),0,tblMovement[[#This Row],[Tonnes_t]]*tblMovement[[#This Row],[Grade_gpt]]/cfg_TroyOz)</f>
        <v/>
      </c>
      <c r="O1930" s="59">
        <f>IF(tblMovement[[#This Row],[Is_Ore]]=1,tblMovement[[#This Row],[Contained_oz]],0)</f>
        <v/>
      </c>
    </row>
    <row r="1931">
      <c r="A1931" s="54" t="n"/>
      <c r="B1931" s="61" t="n"/>
      <c r="C1931" s="61" t="n"/>
      <c r="D1931" s="61" t="n"/>
      <c r="E1931" s="61" t="n"/>
      <c r="F1931" s="55" t="n"/>
      <c r="G1931" s="56" t="n"/>
      <c r="H1931" s="55" t="n"/>
      <c r="I1931" s="62" t="n"/>
      <c r="J1931" s="58" t="n"/>
      <c r="K1931" s="63">
        <f>IF(tblMovement[[#This Row],[Source]]="","",IFERROR(INDEX(tblSources[Type],MATCH(tblMovement[[#This Row],[Source]],tblSources[Source],0)),"?"))</f>
        <v/>
      </c>
      <c r="L1931" s="63">
        <f>IF(tblMovement[[#This Row],[Destination]]="","",IFERROR(INDEX(tblDestinations[Type],MATCH(tblMovement[[#This Row],[Destination]],tblDestinations[Destination],0)),"?"))</f>
        <v/>
      </c>
      <c r="M1931" s="64">
        <f>IF(tblMovement[[#This Row],[Material]]="","",IF(LEFT(tblMovement[[#This Row],[Material]],3)="Ore",1,0))</f>
        <v/>
      </c>
      <c r="N1931" s="59">
        <f>IF(OR(tblMovement[[#This Row],[Tonnes_t]]="",tblMovement[[#This Row],[Grade_gpt]]=""),0,tblMovement[[#This Row],[Tonnes_t]]*tblMovement[[#This Row],[Grade_gpt]]/cfg_TroyOz)</f>
        <v/>
      </c>
      <c r="O1931" s="59">
        <f>IF(tblMovement[[#This Row],[Is_Ore]]=1,tblMovement[[#This Row],[Contained_oz]],0)</f>
        <v/>
      </c>
    </row>
    <row r="1932">
      <c r="A1932" s="54" t="n"/>
      <c r="B1932" s="61" t="n"/>
      <c r="C1932" s="61" t="n"/>
      <c r="D1932" s="61" t="n"/>
      <c r="E1932" s="61" t="n"/>
      <c r="F1932" s="55" t="n"/>
      <c r="G1932" s="56" t="n"/>
      <c r="H1932" s="55" t="n"/>
      <c r="I1932" s="62" t="n"/>
      <c r="J1932" s="58" t="n"/>
      <c r="K1932" s="63">
        <f>IF(tblMovement[[#This Row],[Source]]="","",IFERROR(INDEX(tblSources[Type],MATCH(tblMovement[[#This Row],[Source]],tblSources[Source],0)),"?"))</f>
        <v/>
      </c>
      <c r="L1932" s="63">
        <f>IF(tblMovement[[#This Row],[Destination]]="","",IFERROR(INDEX(tblDestinations[Type],MATCH(tblMovement[[#This Row],[Destination]],tblDestinations[Destination],0)),"?"))</f>
        <v/>
      </c>
      <c r="M1932" s="64">
        <f>IF(tblMovement[[#This Row],[Material]]="","",IF(LEFT(tblMovement[[#This Row],[Material]],3)="Ore",1,0))</f>
        <v/>
      </c>
      <c r="N1932" s="59">
        <f>IF(OR(tblMovement[[#This Row],[Tonnes_t]]="",tblMovement[[#This Row],[Grade_gpt]]=""),0,tblMovement[[#This Row],[Tonnes_t]]*tblMovement[[#This Row],[Grade_gpt]]/cfg_TroyOz)</f>
        <v/>
      </c>
      <c r="O1932" s="59">
        <f>IF(tblMovement[[#This Row],[Is_Ore]]=1,tblMovement[[#This Row],[Contained_oz]],0)</f>
        <v/>
      </c>
    </row>
    <row r="1933">
      <c r="A1933" s="54" t="n"/>
      <c r="B1933" s="61" t="n"/>
      <c r="C1933" s="61" t="n"/>
      <c r="D1933" s="61" t="n"/>
      <c r="E1933" s="61" t="n"/>
      <c r="F1933" s="55" t="n"/>
      <c r="G1933" s="56" t="n"/>
      <c r="H1933" s="55" t="n"/>
      <c r="I1933" s="62" t="n"/>
      <c r="J1933" s="58" t="n"/>
      <c r="K1933" s="63">
        <f>IF(tblMovement[[#This Row],[Source]]="","",IFERROR(INDEX(tblSources[Type],MATCH(tblMovement[[#This Row],[Source]],tblSources[Source],0)),"?"))</f>
        <v/>
      </c>
      <c r="L1933" s="63">
        <f>IF(tblMovement[[#This Row],[Destination]]="","",IFERROR(INDEX(tblDestinations[Type],MATCH(tblMovement[[#This Row],[Destination]],tblDestinations[Destination],0)),"?"))</f>
        <v/>
      </c>
      <c r="M1933" s="64">
        <f>IF(tblMovement[[#This Row],[Material]]="","",IF(LEFT(tblMovement[[#This Row],[Material]],3)="Ore",1,0))</f>
        <v/>
      </c>
      <c r="N1933" s="59">
        <f>IF(OR(tblMovement[[#This Row],[Tonnes_t]]="",tblMovement[[#This Row],[Grade_gpt]]=""),0,tblMovement[[#This Row],[Tonnes_t]]*tblMovement[[#This Row],[Grade_gpt]]/cfg_TroyOz)</f>
        <v/>
      </c>
      <c r="O1933" s="59">
        <f>IF(tblMovement[[#This Row],[Is_Ore]]=1,tblMovement[[#This Row],[Contained_oz]],0)</f>
        <v/>
      </c>
    </row>
    <row r="1934">
      <c r="A1934" s="54" t="n"/>
      <c r="B1934" s="61" t="n"/>
      <c r="C1934" s="61" t="n"/>
      <c r="D1934" s="61" t="n"/>
      <c r="E1934" s="61" t="n"/>
      <c r="F1934" s="55" t="n"/>
      <c r="G1934" s="56" t="n"/>
      <c r="H1934" s="55" t="n"/>
      <c r="I1934" s="62" t="n"/>
      <c r="J1934" s="58" t="n"/>
      <c r="K1934" s="63">
        <f>IF(tblMovement[[#This Row],[Source]]="","",IFERROR(INDEX(tblSources[Type],MATCH(tblMovement[[#This Row],[Source]],tblSources[Source],0)),"?"))</f>
        <v/>
      </c>
      <c r="L1934" s="63">
        <f>IF(tblMovement[[#This Row],[Destination]]="","",IFERROR(INDEX(tblDestinations[Type],MATCH(tblMovement[[#This Row],[Destination]],tblDestinations[Destination],0)),"?"))</f>
        <v/>
      </c>
      <c r="M1934" s="64">
        <f>IF(tblMovement[[#This Row],[Material]]="","",IF(LEFT(tblMovement[[#This Row],[Material]],3)="Ore",1,0))</f>
        <v/>
      </c>
      <c r="N1934" s="59">
        <f>IF(OR(tblMovement[[#This Row],[Tonnes_t]]="",tblMovement[[#This Row],[Grade_gpt]]=""),0,tblMovement[[#This Row],[Tonnes_t]]*tblMovement[[#This Row],[Grade_gpt]]/cfg_TroyOz)</f>
        <v/>
      </c>
      <c r="O1934" s="59">
        <f>IF(tblMovement[[#This Row],[Is_Ore]]=1,tblMovement[[#This Row],[Contained_oz]],0)</f>
        <v/>
      </c>
    </row>
    <row r="1935">
      <c r="A1935" s="54" t="n"/>
      <c r="B1935" s="61" t="n"/>
      <c r="C1935" s="61" t="n"/>
      <c r="D1935" s="61" t="n"/>
      <c r="E1935" s="61" t="n"/>
      <c r="F1935" s="55" t="n"/>
      <c r="G1935" s="56" t="n"/>
      <c r="H1935" s="55" t="n"/>
      <c r="I1935" s="62" t="n"/>
      <c r="J1935" s="58" t="n"/>
      <c r="K1935" s="63">
        <f>IF(tblMovement[[#This Row],[Source]]="","",IFERROR(INDEX(tblSources[Type],MATCH(tblMovement[[#This Row],[Source]],tblSources[Source],0)),"?"))</f>
        <v/>
      </c>
      <c r="L1935" s="63">
        <f>IF(tblMovement[[#This Row],[Destination]]="","",IFERROR(INDEX(tblDestinations[Type],MATCH(tblMovement[[#This Row],[Destination]],tblDestinations[Destination],0)),"?"))</f>
        <v/>
      </c>
      <c r="M1935" s="64">
        <f>IF(tblMovement[[#This Row],[Material]]="","",IF(LEFT(tblMovement[[#This Row],[Material]],3)="Ore",1,0))</f>
        <v/>
      </c>
      <c r="N1935" s="59">
        <f>IF(OR(tblMovement[[#This Row],[Tonnes_t]]="",tblMovement[[#This Row],[Grade_gpt]]=""),0,tblMovement[[#This Row],[Tonnes_t]]*tblMovement[[#This Row],[Grade_gpt]]/cfg_TroyOz)</f>
        <v/>
      </c>
      <c r="O1935" s="59">
        <f>IF(tblMovement[[#This Row],[Is_Ore]]=1,tblMovement[[#This Row],[Contained_oz]],0)</f>
        <v/>
      </c>
    </row>
    <row r="1936">
      <c r="A1936" s="54" t="n"/>
      <c r="B1936" s="61" t="n"/>
      <c r="C1936" s="61" t="n"/>
      <c r="D1936" s="61" t="n"/>
      <c r="E1936" s="61" t="n"/>
      <c r="F1936" s="55" t="n"/>
      <c r="G1936" s="56" t="n"/>
      <c r="H1936" s="55" t="n"/>
      <c r="I1936" s="62" t="n"/>
      <c r="J1936" s="58" t="n"/>
      <c r="K1936" s="63">
        <f>IF(tblMovement[[#This Row],[Source]]="","",IFERROR(INDEX(tblSources[Type],MATCH(tblMovement[[#This Row],[Source]],tblSources[Source],0)),"?"))</f>
        <v/>
      </c>
      <c r="L1936" s="63">
        <f>IF(tblMovement[[#This Row],[Destination]]="","",IFERROR(INDEX(tblDestinations[Type],MATCH(tblMovement[[#This Row],[Destination]],tblDestinations[Destination],0)),"?"))</f>
        <v/>
      </c>
      <c r="M1936" s="64">
        <f>IF(tblMovement[[#This Row],[Material]]="","",IF(LEFT(tblMovement[[#This Row],[Material]],3)="Ore",1,0))</f>
        <v/>
      </c>
      <c r="N1936" s="59">
        <f>IF(OR(tblMovement[[#This Row],[Tonnes_t]]="",tblMovement[[#This Row],[Grade_gpt]]=""),0,tblMovement[[#This Row],[Tonnes_t]]*tblMovement[[#This Row],[Grade_gpt]]/cfg_TroyOz)</f>
        <v/>
      </c>
      <c r="O1936" s="59">
        <f>IF(tblMovement[[#This Row],[Is_Ore]]=1,tblMovement[[#This Row],[Contained_oz]],0)</f>
        <v/>
      </c>
    </row>
    <row r="1937">
      <c r="A1937" s="54" t="n"/>
      <c r="B1937" s="61" t="n"/>
      <c r="C1937" s="61" t="n"/>
      <c r="D1937" s="61" t="n"/>
      <c r="E1937" s="61" t="n"/>
      <c r="F1937" s="55" t="n"/>
      <c r="G1937" s="56" t="n"/>
      <c r="H1937" s="55" t="n"/>
      <c r="I1937" s="62" t="n"/>
      <c r="J1937" s="58" t="n"/>
      <c r="K1937" s="63">
        <f>IF(tblMovement[[#This Row],[Source]]="","",IFERROR(INDEX(tblSources[Type],MATCH(tblMovement[[#This Row],[Source]],tblSources[Source],0)),"?"))</f>
        <v/>
      </c>
      <c r="L1937" s="63">
        <f>IF(tblMovement[[#This Row],[Destination]]="","",IFERROR(INDEX(tblDestinations[Type],MATCH(tblMovement[[#This Row],[Destination]],tblDestinations[Destination],0)),"?"))</f>
        <v/>
      </c>
      <c r="M1937" s="64">
        <f>IF(tblMovement[[#This Row],[Material]]="","",IF(LEFT(tblMovement[[#This Row],[Material]],3)="Ore",1,0))</f>
        <v/>
      </c>
      <c r="N1937" s="59">
        <f>IF(OR(tblMovement[[#This Row],[Tonnes_t]]="",tblMovement[[#This Row],[Grade_gpt]]=""),0,tblMovement[[#This Row],[Tonnes_t]]*tblMovement[[#This Row],[Grade_gpt]]/cfg_TroyOz)</f>
        <v/>
      </c>
      <c r="O1937" s="59">
        <f>IF(tblMovement[[#This Row],[Is_Ore]]=1,tblMovement[[#This Row],[Contained_oz]],0)</f>
        <v/>
      </c>
    </row>
    <row r="1938">
      <c r="A1938" s="54" t="n"/>
      <c r="B1938" s="61" t="n"/>
      <c r="C1938" s="61" t="n"/>
      <c r="D1938" s="61" t="n"/>
      <c r="E1938" s="61" t="n"/>
      <c r="F1938" s="55" t="n"/>
      <c r="G1938" s="56" t="n"/>
      <c r="H1938" s="55" t="n"/>
      <c r="I1938" s="62" t="n"/>
      <c r="J1938" s="58" t="n"/>
      <c r="K1938" s="63">
        <f>IF(tblMovement[[#This Row],[Source]]="","",IFERROR(INDEX(tblSources[Type],MATCH(tblMovement[[#This Row],[Source]],tblSources[Source],0)),"?"))</f>
        <v/>
      </c>
      <c r="L1938" s="63">
        <f>IF(tblMovement[[#This Row],[Destination]]="","",IFERROR(INDEX(tblDestinations[Type],MATCH(tblMovement[[#This Row],[Destination]],tblDestinations[Destination],0)),"?"))</f>
        <v/>
      </c>
      <c r="M1938" s="64">
        <f>IF(tblMovement[[#This Row],[Material]]="","",IF(LEFT(tblMovement[[#This Row],[Material]],3)="Ore",1,0))</f>
        <v/>
      </c>
      <c r="N1938" s="59">
        <f>IF(OR(tblMovement[[#This Row],[Tonnes_t]]="",tblMovement[[#This Row],[Grade_gpt]]=""),0,tblMovement[[#This Row],[Tonnes_t]]*tblMovement[[#This Row],[Grade_gpt]]/cfg_TroyOz)</f>
        <v/>
      </c>
      <c r="O1938" s="59">
        <f>IF(tblMovement[[#This Row],[Is_Ore]]=1,tblMovement[[#This Row],[Contained_oz]],0)</f>
        <v/>
      </c>
    </row>
    <row r="1939">
      <c r="A1939" s="54" t="n"/>
      <c r="B1939" s="61" t="n"/>
      <c r="C1939" s="61" t="n"/>
      <c r="D1939" s="61" t="n"/>
      <c r="E1939" s="61" t="n"/>
      <c r="F1939" s="55" t="n"/>
      <c r="G1939" s="56" t="n"/>
      <c r="H1939" s="55" t="n"/>
      <c r="I1939" s="62" t="n"/>
      <c r="J1939" s="58" t="n"/>
      <c r="K1939" s="63">
        <f>IF(tblMovement[[#This Row],[Source]]="","",IFERROR(INDEX(tblSources[Type],MATCH(tblMovement[[#This Row],[Source]],tblSources[Source],0)),"?"))</f>
        <v/>
      </c>
      <c r="L1939" s="63">
        <f>IF(tblMovement[[#This Row],[Destination]]="","",IFERROR(INDEX(tblDestinations[Type],MATCH(tblMovement[[#This Row],[Destination]],tblDestinations[Destination],0)),"?"))</f>
        <v/>
      </c>
      <c r="M1939" s="64">
        <f>IF(tblMovement[[#This Row],[Material]]="","",IF(LEFT(tblMovement[[#This Row],[Material]],3)="Ore",1,0))</f>
        <v/>
      </c>
      <c r="N1939" s="59">
        <f>IF(OR(tblMovement[[#This Row],[Tonnes_t]]="",tblMovement[[#This Row],[Grade_gpt]]=""),0,tblMovement[[#This Row],[Tonnes_t]]*tblMovement[[#This Row],[Grade_gpt]]/cfg_TroyOz)</f>
        <v/>
      </c>
      <c r="O1939" s="59">
        <f>IF(tblMovement[[#This Row],[Is_Ore]]=1,tblMovement[[#This Row],[Contained_oz]],0)</f>
        <v/>
      </c>
    </row>
    <row r="1940">
      <c r="A1940" s="54" t="n"/>
      <c r="B1940" s="61" t="n"/>
      <c r="C1940" s="61" t="n"/>
      <c r="D1940" s="61" t="n"/>
      <c r="E1940" s="61" t="n"/>
      <c r="F1940" s="55" t="n"/>
      <c r="G1940" s="56" t="n"/>
      <c r="H1940" s="55" t="n"/>
      <c r="I1940" s="62" t="n"/>
      <c r="J1940" s="58" t="n"/>
      <c r="K1940" s="63">
        <f>IF(tblMovement[[#This Row],[Source]]="","",IFERROR(INDEX(tblSources[Type],MATCH(tblMovement[[#This Row],[Source]],tblSources[Source],0)),"?"))</f>
        <v/>
      </c>
      <c r="L1940" s="63">
        <f>IF(tblMovement[[#This Row],[Destination]]="","",IFERROR(INDEX(tblDestinations[Type],MATCH(tblMovement[[#This Row],[Destination]],tblDestinations[Destination],0)),"?"))</f>
        <v/>
      </c>
      <c r="M1940" s="64">
        <f>IF(tblMovement[[#This Row],[Material]]="","",IF(LEFT(tblMovement[[#This Row],[Material]],3)="Ore",1,0))</f>
        <v/>
      </c>
      <c r="N1940" s="59">
        <f>IF(OR(tblMovement[[#This Row],[Tonnes_t]]="",tblMovement[[#This Row],[Grade_gpt]]=""),0,tblMovement[[#This Row],[Tonnes_t]]*tblMovement[[#This Row],[Grade_gpt]]/cfg_TroyOz)</f>
        <v/>
      </c>
      <c r="O1940" s="59">
        <f>IF(tblMovement[[#This Row],[Is_Ore]]=1,tblMovement[[#This Row],[Contained_oz]],0)</f>
        <v/>
      </c>
    </row>
    <row r="1941">
      <c r="A1941" s="54" t="n"/>
      <c r="B1941" s="61" t="n"/>
      <c r="C1941" s="61" t="n"/>
      <c r="D1941" s="61" t="n"/>
      <c r="E1941" s="61" t="n"/>
      <c r="F1941" s="55" t="n"/>
      <c r="G1941" s="56" t="n"/>
      <c r="H1941" s="55" t="n"/>
      <c r="I1941" s="62" t="n"/>
      <c r="J1941" s="58" t="n"/>
      <c r="K1941" s="63">
        <f>IF(tblMovement[[#This Row],[Source]]="","",IFERROR(INDEX(tblSources[Type],MATCH(tblMovement[[#This Row],[Source]],tblSources[Source],0)),"?"))</f>
        <v/>
      </c>
      <c r="L1941" s="63">
        <f>IF(tblMovement[[#This Row],[Destination]]="","",IFERROR(INDEX(tblDestinations[Type],MATCH(tblMovement[[#This Row],[Destination]],tblDestinations[Destination],0)),"?"))</f>
        <v/>
      </c>
      <c r="M1941" s="64">
        <f>IF(tblMovement[[#This Row],[Material]]="","",IF(LEFT(tblMovement[[#This Row],[Material]],3)="Ore",1,0))</f>
        <v/>
      </c>
      <c r="N1941" s="59">
        <f>IF(OR(tblMovement[[#This Row],[Tonnes_t]]="",tblMovement[[#This Row],[Grade_gpt]]=""),0,tblMovement[[#This Row],[Tonnes_t]]*tblMovement[[#This Row],[Grade_gpt]]/cfg_TroyOz)</f>
        <v/>
      </c>
      <c r="O1941" s="59">
        <f>IF(tblMovement[[#This Row],[Is_Ore]]=1,tblMovement[[#This Row],[Contained_oz]],0)</f>
        <v/>
      </c>
    </row>
    <row r="1942">
      <c r="A1942" s="54" t="n"/>
      <c r="B1942" s="61" t="n"/>
      <c r="C1942" s="61" t="n"/>
      <c r="D1942" s="61" t="n"/>
      <c r="E1942" s="61" t="n"/>
      <c r="F1942" s="55" t="n"/>
      <c r="G1942" s="56" t="n"/>
      <c r="H1942" s="55" t="n"/>
      <c r="I1942" s="62" t="n"/>
      <c r="J1942" s="58" t="n"/>
      <c r="K1942" s="63">
        <f>IF(tblMovement[[#This Row],[Source]]="","",IFERROR(INDEX(tblSources[Type],MATCH(tblMovement[[#This Row],[Source]],tblSources[Source],0)),"?"))</f>
        <v/>
      </c>
      <c r="L1942" s="63">
        <f>IF(tblMovement[[#This Row],[Destination]]="","",IFERROR(INDEX(tblDestinations[Type],MATCH(tblMovement[[#This Row],[Destination]],tblDestinations[Destination],0)),"?"))</f>
        <v/>
      </c>
      <c r="M1942" s="64">
        <f>IF(tblMovement[[#This Row],[Material]]="","",IF(LEFT(tblMovement[[#This Row],[Material]],3)="Ore",1,0))</f>
        <v/>
      </c>
      <c r="N1942" s="59">
        <f>IF(OR(tblMovement[[#This Row],[Tonnes_t]]="",tblMovement[[#This Row],[Grade_gpt]]=""),0,tblMovement[[#This Row],[Tonnes_t]]*tblMovement[[#This Row],[Grade_gpt]]/cfg_TroyOz)</f>
        <v/>
      </c>
      <c r="O1942" s="59">
        <f>IF(tblMovement[[#This Row],[Is_Ore]]=1,tblMovement[[#This Row],[Contained_oz]],0)</f>
        <v/>
      </c>
    </row>
    <row r="1943">
      <c r="A1943" s="54" t="n"/>
      <c r="B1943" s="61" t="n"/>
      <c r="C1943" s="61" t="n"/>
      <c r="D1943" s="61" t="n"/>
      <c r="E1943" s="61" t="n"/>
      <c r="F1943" s="55" t="n"/>
      <c r="G1943" s="56" t="n"/>
      <c r="H1943" s="55" t="n"/>
      <c r="I1943" s="62" t="n"/>
      <c r="J1943" s="58" t="n"/>
      <c r="K1943" s="63">
        <f>IF(tblMovement[[#This Row],[Source]]="","",IFERROR(INDEX(tblSources[Type],MATCH(tblMovement[[#This Row],[Source]],tblSources[Source],0)),"?"))</f>
        <v/>
      </c>
      <c r="L1943" s="63">
        <f>IF(tblMovement[[#This Row],[Destination]]="","",IFERROR(INDEX(tblDestinations[Type],MATCH(tblMovement[[#This Row],[Destination]],tblDestinations[Destination],0)),"?"))</f>
        <v/>
      </c>
      <c r="M1943" s="64">
        <f>IF(tblMovement[[#This Row],[Material]]="","",IF(LEFT(tblMovement[[#This Row],[Material]],3)="Ore",1,0))</f>
        <v/>
      </c>
      <c r="N1943" s="59">
        <f>IF(OR(tblMovement[[#This Row],[Tonnes_t]]="",tblMovement[[#This Row],[Grade_gpt]]=""),0,tblMovement[[#This Row],[Tonnes_t]]*tblMovement[[#This Row],[Grade_gpt]]/cfg_TroyOz)</f>
        <v/>
      </c>
      <c r="O1943" s="59">
        <f>IF(tblMovement[[#This Row],[Is_Ore]]=1,tblMovement[[#This Row],[Contained_oz]],0)</f>
        <v/>
      </c>
    </row>
    <row r="1944">
      <c r="A1944" s="54" t="n"/>
      <c r="B1944" s="61" t="n"/>
      <c r="C1944" s="61" t="n"/>
      <c r="D1944" s="61" t="n"/>
      <c r="E1944" s="61" t="n"/>
      <c r="F1944" s="55" t="n"/>
      <c r="G1944" s="56" t="n"/>
      <c r="H1944" s="55" t="n"/>
      <c r="I1944" s="62" t="n"/>
      <c r="J1944" s="58" t="n"/>
      <c r="K1944" s="63">
        <f>IF(tblMovement[[#This Row],[Source]]="","",IFERROR(INDEX(tblSources[Type],MATCH(tblMovement[[#This Row],[Source]],tblSources[Source],0)),"?"))</f>
        <v/>
      </c>
      <c r="L1944" s="63">
        <f>IF(tblMovement[[#This Row],[Destination]]="","",IFERROR(INDEX(tblDestinations[Type],MATCH(tblMovement[[#This Row],[Destination]],tblDestinations[Destination],0)),"?"))</f>
        <v/>
      </c>
      <c r="M1944" s="64">
        <f>IF(tblMovement[[#This Row],[Material]]="","",IF(LEFT(tblMovement[[#This Row],[Material]],3)="Ore",1,0))</f>
        <v/>
      </c>
      <c r="N1944" s="59">
        <f>IF(OR(tblMovement[[#This Row],[Tonnes_t]]="",tblMovement[[#This Row],[Grade_gpt]]=""),0,tblMovement[[#This Row],[Tonnes_t]]*tblMovement[[#This Row],[Grade_gpt]]/cfg_TroyOz)</f>
        <v/>
      </c>
      <c r="O1944" s="59">
        <f>IF(tblMovement[[#This Row],[Is_Ore]]=1,tblMovement[[#This Row],[Contained_oz]],0)</f>
        <v/>
      </c>
    </row>
    <row r="1945">
      <c r="A1945" s="54" t="n"/>
      <c r="B1945" s="61" t="n"/>
      <c r="C1945" s="61" t="n"/>
      <c r="D1945" s="61" t="n"/>
      <c r="E1945" s="61" t="n"/>
      <c r="F1945" s="55" t="n"/>
      <c r="G1945" s="56" t="n"/>
      <c r="H1945" s="55" t="n"/>
      <c r="I1945" s="62" t="n"/>
      <c r="J1945" s="58" t="n"/>
      <c r="K1945" s="63">
        <f>IF(tblMovement[[#This Row],[Source]]="","",IFERROR(INDEX(tblSources[Type],MATCH(tblMovement[[#This Row],[Source]],tblSources[Source],0)),"?"))</f>
        <v/>
      </c>
      <c r="L1945" s="63">
        <f>IF(tblMovement[[#This Row],[Destination]]="","",IFERROR(INDEX(tblDestinations[Type],MATCH(tblMovement[[#This Row],[Destination]],tblDestinations[Destination],0)),"?"))</f>
        <v/>
      </c>
      <c r="M1945" s="64">
        <f>IF(tblMovement[[#This Row],[Material]]="","",IF(LEFT(tblMovement[[#This Row],[Material]],3)="Ore",1,0))</f>
        <v/>
      </c>
      <c r="N1945" s="59">
        <f>IF(OR(tblMovement[[#This Row],[Tonnes_t]]="",tblMovement[[#This Row],[Grade_gpt]]=""),0,tblMovement[[#This Row],[Tonnes_t]]*tblMovement[[#This Row],[Grade_gpt]]/cfg_TroyOz)</f>
        <v/>
      </c>
      <c r="O1945" s="59">
        <f>IF(tblMovement[[#This Row],[Is_Ore]]=1,tblMovement[[#This Row],[Contained_oz]],0)</f>
        <v/>
      </c>
    </row>
    <row r="1946">
      <c r="A1946" s="54" t="n"/>
      <c r="B1946" s="61" t="n"/>
      <c r="C1946" s="61" t="n"/>
      <c r="D1946" s="61" t="n"/>
      <c r="E1946" s="61" t="n"/>
      <c r="F1946" s="55" t="n"/>
      <c r="G1946" s="56" t="n"/>
      <c r="H1946" s="55" t="n"/>
      <c r="I1946" s="62" t="n"/>
      <c r="J1946" s="58" t="n"/>
      <c r="K1946" s="63">
        <f>IF(tblMovement[[#This Row],[Source]]="","",IFERROR(INDEX(tblSources[Type],MATCH(tblMovement[[#This Row],[Source]],tblSources[Source],0)),"?"))</f>
        <v/>
      </c>
      <c r="L1946" s="63">
        <f>IF(tblMovement[[#This Row],[Destination]]="","",IFERROR(INDEX(tblDestinations[Type],MATCH(tblMovement[[#This Row],[Destination]],tblDestinations[Destination],0)),"?"))</f>
        <v/>
      </c>
      <c r="M1946" s="64">
        <f>IF(tblMovement[[#This Row],[Material]]="","",IF(LEFT(tblMovement[[#This Row],[Material]],3)="Ore",1,0))</f>
        <v/>
      </c>
      <c r="N1946" s="59">
        <f>IF(OR(tblMovement[[#This Row],[Tonnes_t]]="",tblMovement[[#This Row],[Grade_gpt]]=""),0,tblMovement[[#This Row],[Tonnes_t]]*tblMovement[[#This Row],[Grade_gpt]]/cfg_TroyOz)</f>
        <v/>
      </c>
      <c r="O1946" s="59">
        <f>IF(tblMovement[[#This Row],[Is_Ore]]=1,tblMovement[[#This Row],[Contained_oz]],0)</f>
        <v/>
      </c>
    </row>
    <row r="1947">
      <c r="A1947" s="54" t="n"/>
      <c r="B1947" s="61" t="n"/>
      <c r="C1947" s="61" t="n"/>
      <c r="D1947" s="61" t="n"/>
      <c r="E1947" s="61" t="n"/>
      <c r="F1947" s="55" t="n"/>
      <c r="G1947" s="56" t="n"/>
      <c r="H1947" s="55" t="n"/>
      <c r="I1947" s="62" t="n"/>
      <c r="J1947" s="58" t="n"/>
      <c r="K1947" s="63">
        <f>IF(tblMovement[[#This Row],[Source]]="","",IFERROR(INDEX(tblSources[Type],MATCH(tblMovement[[#This Row],[Source]],tblSources[Source],0)),"?"))</f>
        <v/>
      </c>
      <c r="L1947" s="63">
        <f>IF(tblMovement[[#This Row],[Destination]]="","",IFERROR(INDEX(tblDestinations[Type],MATCH(tblMovement[[#This Row],[Destination]],tblDestinations[Destination],0)),"?"))</f>
        <v/>
      </c>
      <c r="M1947" s="64">
        <f>IF(tblMovement[[#This Row],[Material]]="","",IF(LEFT(tblMovement[[#This Row],[Material]],3)="Ore",1,0))</f>
        <v/>
      </c>
      <c r="N1947" s="59">
        <f>IF(OR(tblMovement[[#This Row],[Tonnes_t]]="",tblMovement[[#This Row],[Grade_gpt]]=""),0,tblMovement[[#This Row],[Tonnes_t]]*tblMovement[[#This Row],[Grade_gpt]]/cfg_TroyOz)</f>
        <v/>
      </c>
      <c r="O1947" s="59">
        <f>IF(tblMovement[[#This Row],[Is_Ore]]=1,tblMovement[[#This Row],[Contained_oz]],0)</f>
        <v/>
      </c>
    </row>
    <row r="1948">
      <c r="A1948" s="54" t="n"/>
      <c r="B1948" s="61" t="n"/>
      <c r="C1948" s="61" t="n"/>
      <c r="D1948" s="61" t="n"/>
      <c r="E1948" s="61" t="n"/>
      <c r="F1948" s="55" t="n"/>
      <c r="G1948" s="56" t="n"/>
      <c r="H1948" s="55" t="n"/>
      <c r="I1948" s="62" t="n"/>
      <c r="J1948" s="58" t="n"/>
      <c r="K1948" s="63">
        <f>IF(tblMovement[[#This Row],[Source]]="","",IFERROR(INDEX(tblSources[Type],MATCH(tblMovement[[#This Row],[Source]],tblSources[Source],0)),"?"))</f>
        <v/>
      </c>
      <c r="L1948" s="63">
        <f>IF(tblMovement[[#This Row],[Destination]]="","",IFERROR(INDEX(tblDestinations[Type],MATCH(tblMovement[[#This Row],[Destination]],tblDestinations[Destination],0)),"?"))</f>
        <v/>
      </c>
      <c r="M1948" s="64">
        <f>IF(tblMovement[[#This Row],[Material]]="","",IF(LEFT(tblMovement[[#This Row],[Material]],3)="Ore",1,0))</f>
        <v/>
      </c>
      <c r="N1948" s="59">
        <f>IF(OR(tblMovement[[#This Row],[Tonnes_t]]="",tblMovement[[#This Row],[Grade_gpt]]=""),0,tblMovement[[#This Row],[Tonnes_t]]*tblMovement[[#This Row],[Grade_gpt]]/cfg_TroyOz)</f>
        <v/>
      </c>
      <c r="O1948" s="59">
        <f>IF(tblMovement[[#This Row],[Is_Ore]]=1,tblMovement[[#This Row],[Contained_oz]],0)</f>
        <v/>
      </c>
    </row>
    <row r="1949">
      <c r="A1949" s="54" t="n"/>
      <c r="B1949" s="61" t="n"/>
      <c r="C1949" s="61" t="n"/>
      <c r="D1949" s="61" t="n"/>
      <c r="E1949" s="61" t="n"/>
      <c r="F1949" s="55" t="n"/>
      <c r="G1949" s="56" t="n"/>
      <c r="H1949" s="55" t="n"/>
      <c r="I1949" s="62" t="n"/>
      <c r="J1949" s="58" t="n"/>
      <c r="K1949" s="63">
        <f>IF(tblMovement[[#This Row],[Source]]="","",IFERROR(INDEX(tblSources[Type],MATCH(tblMovement[[#This Row],[Source]],tblSources[Source],0)),"?"))</f>
        <v/>
      </c>
      <c r="L1949" s="63">
        <f>IF(tblMovement[[#This Row],[Destination]]="","",IFERROR(INDEX(tblDestinations[Type],MATCH(tblMovement[[#This Row],[Destination]],tblDestinations[Destination],0)),"?"))</f>
        <v/>
      </c>
      <c r="M1949" s="64">
        <f>IF(tblMovement[[#This Row],[Material]]="","",IF(LEFT(tblMovement[[#This Row],[Material]],3)="Ore",1,0))</f>
        <v/>
      </c>
      <c r="N1949" s="59">
        <f>IF(OR(tblMovement[[#This Row],[Tonnes_t]]="",tblMovement[[#This Row],[Grade_gpt]]=""),0,tblMovement[[#This Row],[Tonnes_t]]*tblMovement[[#This Row],[Grade_gpt]]/cfg_TroyOz)</f>
        <v/>
      </c>
      <c r="O1949" s="59">
        <f>IF(tblMovement[[#This Row],[Is_Ore]]=1,tblMovement[[#This Row],[Contained_oz]],0)</f>
        <v/>
      </c>
    </row>
    <row r="1950">
      <c r="A1950" s="54" t="n"/>
      <c r="B1950" s="61" t="n"/>
      <c r="C1950" s="61" t="n"/>
      <c r="D1950" s="61" t="n"/>
      <c r="E1950" s="61" t="n"/>
      <c r="F1950" s="55" t="n"/>
      <c r="G1950" s="56" t="n"/>
      <c r="H1950" s="55" t="n"/>
      <c r="I1950" s="62" t="n"/>
      <c r="J1950" s="58" t="n"/>
      <c r="K1950" s="63">
        <f>IF(tblMovement[[#This Row],[Source]]="","",IFERROR(INDEX(tblSources[Type],MATCH(tblMovement[[#This Row],[Source]],tblSources[Source],0)),"?"))</f>
        <v/>
      </c>
      <c r="L1950" s="63">
        <f>IF(tblMovement[[#This Row],[Destination]]="","",IFERROR(INDEX(tblDestinations[Type],MATCH(tblMovement[[#This Row],[Destination]],tblDestinations[Destination],0)),"?"))</f>
        <v/>
      </c>
      <c r="M1950" s="64">
        <f>IF(tblMovement[[#This Row],[Material]]="","",IF(LEFT(tblMovement[[#This Row],[Material]],3)="Ore",1,0))</f>
        <v/>
      </c>
      <c r="N1950" s="59">
        <f>IF(OR(tblMovement[[#This Row],[Tonnes_t]]="",tblMovement[[#This Row],[Grade_gpt]]=""),0,tblMovement[[#This Row],[Tonnes_t]]*tblMovement[[#This Row],[Grade_gpt]]/cfg_TroyOz)</f>
        <v/>
      </c>
      <c r="O1950" s="59">
        <f>IF(tblMovement[[#This Row],[Is_Ore]]=1,tblMovement[[#This Row],[Contained_oz]],0)</f>
        <v/>
      </c>
    </row>
    <row r="1951">
      <c r="A1951" s="54" t="n"/>
      <c r="B1951" s="61" t="n"/>
      <c r="C1951" s="61" t="n"/>
      <c r="D1951" s="61" t="n"/>
      <c r="E1951" s="61" t="n"/>
      <c r="F1951" s="55" t="n"/>
      <c r="G1951" s="56" t="n"/>
      <c r="H1951" s="55" t="n"/>
      <c r="I1951" s="62" t="n"/>
      <c r="J1951" s="58" t="n"/>
      <c r="K1951" s="63">
        <f>IF(tblMovement[[#This Row],[Source]]="","",IFERROR(INDEX(tblSources[Type],MATCH(tblMovement[[#This Row],[Source]],tblSources[Source],0)),"?"))</f>
        <v/>
      </c>
      <c r="L1951" s="63">
        <f>IF(tblMovement[[#This Row],[Destination]]="","",IFERROR(INDEX(tblDestinations[Type],MATCH(tblMovement[[#This Row],[Destination]],tblDestinations[Destination],0)),"?"))</f>
        <v/>
      </c>
      <c r="M1951" s="64">
        <f>IF(tblMovement[[#This Row],[Material]]="","",IF(LEFT(tblMovement[[#This Row],[Material]],3)="Ore",1,0))</f>
        <v/>
      </c>
      <c r="N1951" s="59">
        <f>IF(OR(tblMovement[[#This Row],[Tonnes_t]]="",tblMovement[[#This Row],[Grade_gpt]]=""),0,tblMovement[[#This Row],[Tonnes_t]]*tblMovement[[#This Row],[Grade_gpt]]/cfg_TroyOz)</f>
        <v/>
      </c>
      <c r="O1951" s="59">
        <f>IF(tblMovement[[#This Row],[Is_Ore]]=1,tblMovement[[#This Row],[Contained_oz]],0)</f>
        <v/>
      </c>
    </row>
    <row r="1952">
      <c r="A1952" s="54" t="n"/>
      <c r="B1952" s="61" t="n"/>
      <c r="C1952" s="61" t="n"/>
      <c r="D1952" s="61" t="n"/>
      <c r="E1952" s="61" t="n"/>
      <c r="F1952" s="55" t="n"/>
      <c r="G1952" s="56" t="n"/>
      <c r="H1952" s="55" t="n"/>
      <c r="I1952" s="62" t="n"/>
      <c r="J1952" s="58" t="n"/>
      <c r="K1952" s="63">
        <f>IF(tblMovement[[#This Row],[Source]]="","",IFERROR(INDEX(tblSources[Type],MATCH(tblMovement[[#This Row],[Source]],tblSources[Source],0)),"?"))</f>
        <v/>
      </c>
      <c r="L1952" s="63">
        <f>IF(tblMovement[[#This Row],[Destination]]="","",IFERROR(INDEX(tblDestinations[Type],MATCH(tblMovement[[#This Row],[Destination]],tblDestinations[Destination],0)),"?"))</f>
        <v/>
      </c>
      <c r="M1952" s="64">
        <f>IF(tblMovement[[#This Row],[Material]]="","",IF(LEFT(tblMovement[[#This Row],[Material]],3)="Ore",1,0))</f>
        <v/>
      </c>
      <c r="N1952" s="59">
        <f>IF(OR(tblMovement[[#This Row],[Tonnes_t]]="",tblMovement[[#This Row],[Grade_gpt]]=""),0,tblMovement[[#This Row],[Tonnes_t]]*tblMovement[[#This Row],[Grade_gpt]]/cfg_TroyOz)</f>
        <v/>
      </c>
      <c r="O1952" s="59">
        <f>IF(tblMovement[[#This Row],[Is_Ore]]=1,tblMovement[[#This Row],[Contained_oz]],0)</f>
        <v/>
      </c>
    </row>
    <row r="1953">
      <c r="A1953" s="54" t="n"/>
      <c r="B1953" s="61" t="n"/>
      <c r="C1953" s="61" t="n"/>
      <c r="D1953" s="61" t="n"/>
      <c r="E1953" s="61" t="n"/>
      <c r="F1953" s="55" t="n"/>
      <c r="G1953" s="56" t="n"/>
      <c r="H1953" s="55" t="n"/>
      <c r="I1953" s="62" t="n"/>
      <c r="J1953" s="58" t="n"/>
      <c r="K1953" s="63">
        <f>IF(tblMovement[[#This Row],[Source]]="","",IFERROR(INDEX(tblSources[Type],MATCH(tblMovement[[#This Row],[Source]],tblSources[Source],0)),"?"))</f>
        <v/>
      </c>
      <c r="L1953" s="63">
        <f>IF(tblMovement[[#This Row],[Destination]]="","",IFERROR(INDEX(tblDestinations[Type],MATCH(tblMovement[[#This Row],[Destination]],tblDestinations[Destination],0)),"?"))</f>
        <v/>
      </c>
      <c r="M1953" s="64">
        <f>IF(tblMovement[[#This Row],[Material]]="","",IF(LEFT(tblMovement[[#This Row],[Material]],3)="Ore",1,0))</f>
        <v/>
      </c>
      <c r="N1953" s="59">
        <f>IF(OR(tblMovement[[#This Row],[Tonnes_t]]="",tblMovement[[#This Row],[Grade_gpt]]=""),0,tblMovement[[#This Row],[Tonnes_t]]*tblMovement[[#This Row],[Grade_gpt]]/cfg_TroyOz)</f>
        <v/>
      </c>
      <c r="O1953" s="59">
        <f>IF(tblMovement[[#This Row],[Is_Ore]]=1,tblMovement[[#This Row],[Contained_oz]],0)</f>
        <v/>
      </c>
    </row>
    <row r="1954">
      <c r="A1954" s="54" t="n"/>
      <c r="B1954" s="61" t="n"/>
      <c r="C1954" s="61" t="n"/>
      <c r="D1954" s="61" t="n"/>
      <c r="E1954" s="61" t="n"/>
      <c r="F1954" s="55" t="n"/>
      <c r="G1954" s="56" t="n"/>
      <c r="H1954" s="55" t="n"/>
      <c r="I1954" s="62" t="n"/>
      <c r="J1954" s="58" t="n"/>
      <c r="K1954" s="63">
        <f>IF(tblMovement[[#This Row],[Source]]="","",IFERROR(INDEX(tblSources[Type],MATCH(tblMovement[[#This Row],[Source]],tblSources[Source],0)),"?"))</f>
        <v/>
      </c>
      <c r="L1954" s="63">
        <f>IF(tblMovement[[#This Row],[Destination]]="","",IFERROR(INDEX(tblDestinations[Type],MATCH(tblMovement[[#This Row],[Destination]],tblDestinations[Destination],0)),"?"))</f>
        <v/>
      </c>
      <c r="M1954" s="64">
        <f>IF(tblMovement[[#This Row],[Material]]="","",IF(LEFT(tblMovement[[#This Row],[Material]],3)="Ore",1,0))</f>
        <v/>
      </c>
      <c r="N1954" s="59">
        <f>IF(OR(tblMovement[[#This Row],[Tonnes_t]]="",tblMovement[[#This Row],[Grade_gpt]]=""),0,tblMovement[[#This Row],[Tonnes_t]]*tblMovement[[#This Row],[Grade_gpt]]/cfg_TroyOz)</f>
        <v/>
      </c>
      <c r="O1954" s="59">
        <f>IF(tblMovement[[#This Row],[Is_Ore]]=1,tblMovement[[#This Row],[Contained_oz]],0)</f>
        <v/>
      </c>
    </row>
    <row r="1955">
      <c r="A1955" s="54" t="n"/>
      <c r="B1955" s="61" t="n"/>
      <c r="C1955" s="61" t="n"/>
      <c r="D1955" s="61" t="n"/>
      <c r="E1955" s="61" t="n"/>
      <c r="F1955" s="55" t="n"/>
      <c r="G1955" s="56" t="n"/>
      <c r="H1955" s="55" t="n"/>
      <c r="I1955" s="62" t="n"/>
      <c r="J1955" s="58" t="n"/>
      <c r="K1955" s="63">
        <f>IF(tblMovement[[#This Row],[Source]]="","",IFERROR(INDEX(tblSources[Type],MATCH(tblMovement[[#This Row],[Source]],tblSources[Source],0)),"?"))</f>
        <v/>
      </c>
      <c r="L1955" s="63">
        <f>IF(tblMovement[[#This Row],[Destination]]="","",IFERROR(INDEX(tblDestinations[Type],MATCH(tblMovement[[#This Row],[Destination]],tblDestinations[Destination],0)),"?"))</f>
        <v/>
      </c>
      <c r="M1955" s="64">
        <f>IF(tblMovement[[#This Row],[Material]]="","",IF(LEFT(tblMovement[[#This Row],[Material]],3)="Ore",1,0))</f>
        <v/>
      </c>
      <c r="N1955" s="59">
        <f>IF(OR(tblMovement[[#This Row],[Tonnes_t]]="",tblMovement[[#This Row],[Grade_gpt]]=""),0,tblMovement[[#This Row],[Tonnes_t]]*tblMovement[[#This Row],[Grade_gpt]]/cfg_TroyOz)</f>
        <v/>
      </c>
      <c r="O1955" s="59">
        <f>IF(tblMovement[[#This Row],[Is_Ore]]=1,tblMovement[[#This Row],[Contained_oz]],0)</f>
        <v/>
      </c>
    </row>
    <row r="1956">
      <c r="A1956" s="54" t="n"/>
      <c r="B1956" s="61" t="n"/>
      <c r="C1956" s="61" t="n"/>
      <c r="D1956" s="61" t="n"/>
      <c r="E1956" s="61" t="n"/>
      <c r="F1956" s="55" t="n"/>
      <c r="G1956" s="56" t="n"/>
      <c r="H1956" s="55" t="n"/>
      <c r="I1956" s="62" t="n"/>
      <c r="J1956" s="58" t="n"/>
      <c r="K1956" s="63">
        <f>IF(tblMovement[[#This Row],[Source]]="","",IFERROR(INDEX(tblSources[Type],MATCH(tblMovement[[#This Row],[Source]],tblSources[Source],0)),"?"))</f>
        <v/>
      </c>
      <c r="L1956" s="63">
        <f>IF(tblMovement[[#This Row],[Destination]]="","",IFERROR(INDEX(tblDestinations[Type],MATCH(tblMovement[[#This Row],[Destination]],tblDestinations[Destination],0)),"?"))</f>
        <v/>
      </c>
      <c r="M1956" s="64">
        <f>IF(tblMovement[[#This Row],[Material]]="","",IF(LEFT(tblMovement[[#This Row],[Material]],3)="Ore",1,0))</f>
        <v/>
      </c>
      <c r="N1956" s="59">
        <f>IF(OR(tblMovement[[#This Row],[Tonnes_t]]="",tblMovement[[#This Row],[Grade_gpt]]=""),0,tblMovement[[#This Row],[Tonnes_t]]*tblMovement[[#This Row],[Grade_gpt]]/cfg_TroyOz)</f>
        <v/>
      </c>
      <c r="O1956" s="59">
        <f>IF(tblMovement[[#This Row],[Is_Ore]]=1,tblMovement[[#This Row],[Contained_oz]],0)</f>
        <v/>
      </c>
    </row>
    <row r="1957">
      <c r="A1957" s="54" t="n"/>
      <c r="B1957" s="61" t="n"/>
      <c r="C1957" s="61" t="n"/>
      <c r="D1957" s="61" t="n"/>
      <c r="E1957" s="61" t="n"/>
      <c r="F1957" s="55" t="n"/>
      <c r="G1957" s="56" t="n"/>
      <c r="H1957" s="55" t="n"/>
      <c r="I1957" s="62" t="n"/>
      <c r="J1957" s="58" t="n"/>
      <c r="K1957" s="63">
        <f>IF(tblMovement[[#This Row],[Source]]="","",IFERROR(INDEX(tblSources[Type],MATCH(tblMovement[[#This Row],[Source]],tblSources[Source],0)),"?"))</f>
        <v/>
      </c>
      <c r="L1957" s="63">
        <f>IF(tblMovement[[#This Row],[Destination]]="","",IFERROR(INDEX(tblDestinations[Type],MATCH(tblMovement[[#This Row],[Destination]],tblDestinations[Destination],0)),"?"))</f>
        <v/>
      </c>
      <c r="M1957" s="64">
        <f>IF(tblMovement[[#This Row],[Material]]="","",IF(LEFT(tblMovement[[#This Row],[Material]],3)="Ore",1,0))</f>
        <v/>
      </c>
      <c r="N1957" s="59">
        <f>IF(OR(tblMovement[[#This Row],[Tonnes_t]]="",tblMovement[[#This Row],[Grade_gpt]]=""),0,tblMovement[[#This Row],[Tonnes_t]]*tblMovement[[#This Row],[Grade_gpt]]/cfg_TroyOz)</f>
        <v/>
      </c>
      <c r="O1957" s="59">
        <f>IF(tblMovement[[#This Row],[Is_Ore]]=1,tblMovement[[#This Row],[Contained_oz]],0)</f>
        <v/>
      </c>
    </row>
    <row r="1958">
      <c r="A1958" s="54" t="n"/>
      <c r="B1958" s="61" t="n"/>
      <c r="C1958" s="61" t="n"/>
      <c r="D1958" s="61" t="n"/>
      <c r="E1958" s="61" t="n"/>
      <c r="F1958" s="55" t="n"/>
      <c r="G1958" s="56" t="n"/>
      <c r="H1958" s="55" t="n"/>
      <c r="I1958" s="62" t="n"/>
      <c r="J1958" s="58" t="n"/>
      <c r="K1958" s="63">
        <f>IF(tblMovement[[#This Row],[Source]]="","",IFERROR(INDEX(tblSources[Type],MATCH(tblMovement[[#This Row],[Source]],tblSources[Source],0)),"?"))</f>
        <v/>
      </c>
      <c r="L1958" s="63">
        <f>IF(tblMovement[[#This Row],[Destination]]="","",IFERROR(INDEX(tblDestinations[Type],MATCH(tblMovement[[#This Row],[Destination]],tblDestinations[Destination],0)),"?"))</f>
        <v/>
      </c>
      <c r="M1958" s="64">
        <f>IF(tblMovement[[#This Row],[Material]]="","",IF(LEFT(tblMovement[[#This Row],[Material]],3)="Ore",1,0))</f>
        <v/>
      </c>
      <c r="N1958" s="59">
        <f>IF(OR(tblMovement[[#This Row],[Tonnes_t]]="",tblMovement[[#This Row],[Grade_gpt]]=""),0,tblMovement[[#This Row],[Tonnes_t]]*tblMovement[[#This Row],[Grade_gpt]]/cfg_TroyOz)</f>
        <v/>
      </c>
      <c r="O1958" s="59">
        <f>IF(tblMovement[[#This Row],[Is_Ore]]=1,tblMovement[[#This Row],[Contained_oz]],0)</f>
        <v/>
      </c>
    </row>
    <row r="1959">
      <c r="A1959" s="54" t="n"/>
      <c r="B1959" s="61" t="n"/>
      <c r="C1959" s="61" t="n"/>
      <c r="D1959" s="61" t="n"/>
      <c r="E1959" s="61" t="n"/>
      <c r="F1959" s="55" t="n"/>
      <c r="G1959" s="56" t="n"/>
      <c r="H1959" s="55" t="n"/>
      <c r="I1959" s="62" t="n"/>
      <c r="J1959" s="58" t="n"/>
      <c r="K1959" s="63">
        <f>IF(tblMovement[[#This Row],[Source]]="","",IFERROR(INDEX(tblSources[Type],MATCH(tblMovement[[#This Row],[Source]],tblSources[Source],0)),"?"))</f>
        <v/>
      </c>
      <c r="L1959" s="63">
        <f>IF(tblMovement[[#This Row],[Destination]]="","",IFERROR(INDEX(tblDestinations[Type],MATCH(tblMovement[[#This Row],[Destination]],tblDestinations[Destination],0)),"?"))</f>
        <v/>
      </c>
      <c r="M1959" s="64">
        <f>IF(tblMovement[[#This Row],[Material]]="","",IF(LEFT(tblMovement[[#This Row],[Material]],3)="Ore",1,0))</f>
        <v/>
      </c>
      <c r="N1959" s="59">
        <f>IF(OR(tblMovement[[#This Row],[Tonnes_t]]="",tblMovement[[#This Row],[Grade_gpt]]=""),0,tblMovement[[#This Row],[Tonnes_t]]*tblMovement[[#This Row],[Grade_gpt]]/cfg_TroyOz)</f>
        <v/>
      </c>
      <c r="O1959" s="59">
        <f>IF(tblMovement[[#This Row],[Is_Ore]]=1,tblMovement[[#This Row],[Contained_oz]],0)</f>
        <v/>
      </c>
    </row>
    <row r="1960">
      <c r="A1960" s="54" t="n"/>
      <c r="B1960" s="61" t="n"/>
      <c r="C1960" s="61" t="n"/>
      <c r="D1960" s="61" t="n"/>
      <c r="E1960" s="61" t="n"/>
      <c r="F1960" s="55" t="n"/>
      <c r="G1960" s="56" t="n"/>
      <c r="H1960" s="55" t="n"/>
      <c r="I1960" s="62" t="n"/>
      <c r="J1960" s="58" t="n"/>
      <c r="K1960" s="63">
        <f>IF(tblMovement[[#This Row],[Source]]="","",IFERROR(INDEX(tblSources[Type],MATCH(tblMovement[[#This Row],[Source]],tblSources[Source],0)),"?"))</f>
        <v/>
      </c>
      <c r="L1960" s="63">
        <f>IF(tblMovement[[#This Row],[Destination]]="","",IFERROR(INDEX(tblDestinations[Type],MATCH(tblMovement[[#This Row],[Destination]],tblDestinations[Destination],0)),"?"))</f>
        <v/>
      </c>
      <c r="M1960" s="64">
        <f>IF(tblMovement[[#This Row],[Material]]="","",IF(LEFT(tblMovement[[#This Row],[Material]],3)="Ore",1,0))</f>
        <v/>
      </c>
      <c r="N1960" s="59">
        <f>IF(OR(tblMovement[[#This Row],[Tonnes_t]]="",tblMovement[[#This Row],[Grade_gpt]]=""),0,tblMovement[[#This Row],[Tonnes_t]]*tblMovement[[#This Row],[Grade_gpt]]/cfg_TroyOz)</f>
        <v/>
      </c>
      <c r="O1960" s="59">
        <f>IF(tblMovement[[#This Row],[Is_Ore]]=1,tblMovement[[#This Row],[Contained_oz]],0)</f>
        <v/>
      </c>
    </row>
    <row r="1961">
      <c r="A1961" s="54" t="n"/>
      <c r="B1961" s="61" t="n"/>
      <c r="C1961" s="61" t="n"/>
      <c r="D1961" s="61" t="n"/>
      <c r="E1961" s="61" t="n"/>
      <c r="F1961" s="55" t="n"/>
      <c r="G1961" s="56" t="n"/>
      <c r="H1961" s="55" t="n"/>
      <c r="I1961" s="62" t="n"/>
      <c r="J1961" s="58" t="n"/>
      <c r="K1961" s="63">
        <f>IF(tblMovement[[#This Row],[Source]]="","",IFERROR(INDEX(tblSources[Type],MATCH(tblMovement[[#This Row],[Source]],tblSources[Source],0)),"?"))</f>
        <v/>
      </c>
      <c r="L1961" s="63">
        <f>IF(tblMovement[[#This Row],[Destination]]="","",IFERROR(INDEX(tblDestinations[Type],MATCH(tblMovement[[#This Row],[Destination]],tblDestinations[Destination],0)),"?"))</f>
        <v/>
      </c>
      <c r="M1961" s="64">
        <f>IF(tblMovement[[#This Row],[Material]]="","",IF(LEFT(tblMovement[[#This Row],[Material]],3)="Ore",1,0))</f>
        <v/>
      </c>
      <c r="N1961" s="59">
        <f>IF(OR(tblMovement[[#This Row],[Tonnes_t]]="",tblMovement[[#This Row],[Grade_gpt]]=""),0,tblMovement[[#This Row],[Tonnes_t]]*tblMovement[[#This Row],[Grade_gpt]]/cfg_TroyOz)</f>
        <v/>
      </c>
      <c r="O1961" s="59">
        <f>IF(tblMovement[[#This Row],[Is_Ore]]=1,tblMovement[[#This Row],[Contained_oz]],0)</f>
        <v/>
      </c>
    </row>
    <row r="1962">
      <c r="A1962" s="54" t="n"/>
      <c r="B1962" s="61" t="n"/>
      <c r="C1962" s="61" t="n"/>
      <c r="D1962" s="61" t="n"/>
      <c r="E1962" s="61" t="n"/>
      <c r="F1962" s="55" t="n"/>
      <c r="G1962" s="56" t="n"/>
      <c r="H1962" s="55" t="n"/>
      <c r="I1962" s="62" t="n"/>
      <c r="J1962" s="58" t="n"/>
      <c r="K1962" s="63">
        <f>IF(tblMovement[[#This Row],[Source]]="","",IFERROR(INDEX(tblSources[Type],MATCH(tblMovement[[#This Row],[Source]],tblSources[Source],0)),"?"))</f>
        <v/>
      </c>
      <c r="L1962" s="63">
        <f>IF(tblMovement[[#This Row],[Destination]]="","",IFERROR(INDEX(tblDestinations[Type],MATCH(tblMovement[[#This Row],[Destination]],tblDestinations[Destination],0)),"?"))</f>
        <v/>
      </c>
      <c r="M1962" s="64">
        <f>IF(tblMovement[[#This Row],[Material]]="","",IF(LEFT(tblMovement[[#This Row],[Material]],3)="Ore",1,0))</f>
        <v/>
      </c>
      <c r="N1962" s="59">
        <f>IF(OR(tblMovement[[#This Row],[Tonnes_t]]="",tblMovement[[#This Row],[Grade_gpt]]=""),0,tblMovement[[#This Row],[Tonnes_t]]*tblMovement[[#This Row],[Grade_gpt]]/cfg_TroyOz)</f>
        <v/>
      </c>
      <c r="O1962" s="59">
        <f>IF(tblMovement[[#This Row],[Is_Ore]]=1,tblMovement[[#This Row],[Contained_oz]],0)</f>
        <v/>
      </c>
    </row>
    <row r="1963">
      <c r="A1963" s="54" t="n"/>
      <c r="B1963" s="61" t="n"/>
      <c r="C1963" s="61" t="n"/>
      <c r="D1963" s="61" t="n"/>
      <c r="E1963" s="61" t="n"/>
      <c r="F1963" s="55" t="n"/>
      <c r="G1963" s="56" t="n"/>
      <c r="H1963" s="55" t="n"/>
      <c r="I1963" s="62" t="n"/>
      <c r="J1963" s="58" t="n"/>
      <c r="K1963" s="63">
        <f>IF(tblMovement[[#This Row],[Source]]="","",IFERROR(INDEX(tblSources[Type],MATCH(tblMovement[[#This Row],[Source]],tblSources[Source],0)),"?"))</f>
        <v/>
      </c>
      <c r="L1963" s="63">
        <f>IF(tblMovement[[#This Row],[Destination]]="","",IFERROR(INDEX(tblDestinations[Type],MATCH(tblMovement[[#This Row],[Destination]],tblDestinations[Destination],0)),"?"))</f>
        <v/>
      </c>
      <c r="M1963" s="64">
        <f>IF(tblMovement[[#This Row],[Material]]="","",IF(LEFT(tblMovement[[#This Row],[Material]],3)="Ore",1,0))</f>
        <v/>
      </c>
      <c r="N1963" s="59">
        <f>IF(OR(tblMovement[[#This Row],[Tonnes_t]]="",tblMovement[[#This Row],[Grade_gpt]]=""),0,tblMovement[[#This Row],[Tonnes_t]]*tblMovement[[#This Row],[Grade_gpt]]/cfg_TroyOz)</f>
        <v/>
      </c>
      <c r="O1963" s="59">
        <f>IF(tblMovement[[#This Row],[Is_Ore]]=1,tblMovement[[#This Row],[Contained_oz]],0)</f>
        <v/>
      </c>
    </row>
    <row r="1964">
      <c r="A1964" s="54" t="n"/>
      <c r="B1964" s="61" t="n"/>
      <c r="C1964" s="61" t="n"/>
      <c r="D1964" s="61" t="n"/>
      <c r="E1964" s="61" t="n"/>
      <c r="F1964" s="55" t="n"/>
      <c r="G1964" s="56" t="n"/>
      <c r="H1964" s="55" t="n"/>
      <c r="I1964" s="62" t="n"/>
      <c r="J1964" s="58" t="n"/>
      <c r="K1964" s="63">
        <f>IF(tblMovement[[#This Row],[Source]]="","",IFERROR(INDEX(tblSources[Type],MATCH(tblMovement[[#This Row],[Source]],tblSources[Source],0)),"?"))</f>
        <v/>
      </c>
      <c r="L1964" s="63">
        <f>IF(tblMovement[[#This Row],[Destination]]="","",IFERROR(INDEX(tblDestinations[Type],MATCH(tblMovement[[#This Row],[Destination]],tblDestinations[Destination],0)),"?"))</f>
        <v/>
      </c>
      <c r="M1964" s="64">
        <f>IF(tblMovement[[#This Row],[Material]]="","",IF(LEFT(tblMovement[[#This Row],[Material]],3)="Ore",1,0))</f>
        <v/>
      </c>
      <c r="N1964" s="59">
        <f>IF(OR(tblMovement[[#This Row],[Tonnes_t]]="",tblMovement[[#This Row],[Grade_gpt]]=""),0,tblMovement[[#This Row],[Tonnes_t]]*tblMovement[[#This Row],[Grade_gpt]]/cfg_TroyOz)</f>
        <v/>
      </c>
      <c r="O1964" s="59">
        <f>IF(tblMovement[[#This Row],[Is_Ore]]=1,tblMovement[[#This Row],[Contained_oz]],0)</f>
        <v/>
      </c>
    </row>
    <row r="1965">
      <c r="A1965" s="54" t="n"/>
      <c r="B1965" s="61" t="n"/>
      <c r="C1965" s="61" t="n"/>
      <c r="D1965" s="61" t="n"/>
      <c r="E1965" s="61" t="n"/>
      <c r="F1965" s="55" t="n"/>
      <c r="G1965" s="56" t="n"/>
      <c r="H1965" s="55" t="n"/>
      <c r="I1965" s="62" t="n"/>
      <c r="J1965" s="58" t="n"/>
      <c r="K1965" s="63">
        <f>IF(tblMovement[[#This Row],[Source]]="","",IFERROR(INDEX(tblSources[Type],MATCH(tblMovement[[#This Row],[Source]],tblSources[Source],0)),"?"))</f>
        <v/>
      </c>
      <c r="L1965" s="63">
        <f>IF(tblMovement[[#This Row],[Destination]]="","",IFERROR(INDEX(tblDestinations[Type],MATCH(tblMovement[[#This Row],[Destination]],tblDestinations[Destination],0)),"?"))</f>
        <v/>
      </c>
      <c r="M1965" s="64">
        <f>IF(tblMovement[[#This Row],[Material]]="","",IF(LEFT(tblMovement[[#This Row],[Material]],3)="Ore",1,0))</f>
        <v/>
      </c>
      <c r="N1965" s="59">
        <f>IF(OR(tblMovement[[#This Row],[Tonnes_t]]="",tblMovement[[#This Row],[Grade_gpt]]=""),0,tblMovement[[#This Row],[Tonnes_t]]*tblMovement[[#This Row],[Grade_gpt]]/cfg_TroyOz)</f>
        <v/>
      </c>
      <c r="O1965" s="59">
        <f>IF(tblMovement[[#This Row],[Is_Ore]]=1,tblMovement[[#This Row],[Contained_oz]],0)</f>
        <v/>
      </c>
    </row>
    <row r="1966">
      <c r="A1966" s="54" t="n"/>
      <c r="B1966" s="61" t="n"/>
      <c r="C1966" s="61" t="n"/>
      <c r="D1966" s="61" t="n"/>
      <c r="E1966" s="61" t="n"/>
      <c r="F1966" s="55" t="n"/>
      <c r="G1966" s="56" t="n"/>
      <c r="H1966" s="55" t="n"/>
      <c r="I1966" s="62" t="n"/>
      <c r="J1966" s="58" t="n"/>
      <c r="K1966" s="63">
        <f>IF(tblMovement[[#This Row],[Source]]="","",IFERROR(INDEX(tblSources[Type],MATCH(tblMovement[[#This Row],[Source]],tblSources[Source],0)),"?"))</f>
        <v/>
      </c>
      <c r="L1966" s="63">
        <f>IF(tblMovement[[#This Row],[Destination]]="","",IFERROR(INDEX(tblDestinations[Type],MATCH(tblMovement[[#This Row],[Destination]],tblDestinations[Destination],0)),"?"))</f>
        <v/>
      </c>
      <c r="M1966" s="64">
        <f>IF(tblMovement[[#This Row],[Material]]="","",IF(LEFT(tblMovement[[#This Row],[Material]],3)="Ore",1,0))</f>
        <v/>
      </c>
      <c r="N1966" s="59">
        <f>IF(OR(tblMovement[[#This Row],[Tonnes_t]]="",tblMovement[[#This Row],[Grade_gpt]]=""),0,tblMovement[[#This Row],[Tonnes_t]]*tblMovement[[#This Row],[Grade_gpt]]/cfg_TroyOz)</f>
        <v/>
      </c>
      <c r="O1966" s="59">
        <f>IF(tblMovement[[#This Row],[Is_Ore]]=1,tblMovement[[#This Row],[Contained_oz]],0)</f>
        <v/>
      </c>
    </row>
    <row r="1967">
      <c r="A1967" s="54" t="n"/>
      <c r="B1967" s="61" t="n"/>
      <c r="C1967" s="61" t="n"/>
      <c r="D1967" s="61" t="n"/>
      <c r="E1967" s="61" t="n"/>
      <c r="F1967" s="55" t="n"/>
      <c r="G1967" s="56" t="n"/>
      <c r="H1967" s="55" t="n"/>
      <c r="I1967" s="62" t="n"/>
      <c r="J1967" s="58" t="n"/>
      <c r="K1967" s="63">
        <f>IF(tblMovement[[#This Row],[Source]]="","",IFERROR(INDEX(tblSources[Type],MATCH(tblMovement[[#This Row],[Source]],tblSources[Source],0)),"?"))</f>
        <v/>
      </c>
      <c r="L1967" s="63">
        <f>IF(tblMovement[[#This Row],[Destination]]="","",IFERROR(INDEX(tblDestinations[Type],MATCH(tblMovement[[#This Row],[Destination]],tblDestinations[Destination],0)),"?"))</f>
        <v/>
      </c>
      <c r="M1967" s="64">
        <f>IF(tblMovement[[#This Row],[Material]]="","",IF(LEFT(tblMovement[[#This Row],[Material]],3)="Ore",1,0))</f>
        <v/>
      </c>
      <c r="N1967" s="59">
        <f>IF(OR(tblMovement[[#This Row],[Tonnes_t]]="",tblMovement[[#This Row],[Grade_gpt]]=""),0,tblMovement[[#This Row],[Tonnes_t]]*tblMovement[[#This Row],[Grade_gpt]]/cfg_TroyOz)</f>
        <v/>
      </c>
      <c r="O1967" s="59">
        <f>IF(tblMovement[[#This Row],[Is_Ore]]=1,tblMovement[[#This Row],[Contained_oz]],0)</f>
        <v/>
      </c>
    </row>
    <row r="1968">
      <c r="A1968" s="54" t="n"/>
      <c r="B1968" s="61" t="n"/>
      <c r="C1968" s="61" t="n"/>
      <c r="D1968" s="61" t="n"/>
      <c r="E1968" s="61" t="n"/>
      <c r="F1968" s="55" t="n"/>
      <c r="G1968" s="56" t="n"/>
      <c r="H1968" s="55" t="n"/>
      <c r="I1968" s="62" t="n"/>
      <c r="J1968" s="58" t="n"/>
      <c r="K1968" s="63">
        <f>IF(tblMovement[[#This Row],[Source]]="","",IFERROR(INDEX(tblSources[Type],MATCH(tblMovement[[#This Row],[Source]],tblSources[Source],0)),"?"))</f>
        <v/>
      </c>
      <c r="L1968" s="63">
        <f>IF(tblMovement[[#This Row],[Destination]]="","",IFERROR(INDEX(tblDestinations[Type],MATCH(tblMovement[[#This Row],[Destination]],tblDestinations[Destination],0)),"?"))</f>
        <v/>
      </c>
      <c r="M1968" s="64">
        <f>IF(tblMovement[[#This Row],[Material]]="","",IF(LEFT(tblMovement[[#This Row],[Material]],3)="Ore",1,0))</f>
        <v/>
      </c>
      <c r="N1968" s="59">
        <f>IF(OR(tblMovement[[#This Row],[Tonnes_t]]="",tblMovement[[#This Row],[Grade_gpt]]=""),0,tblMovement[[#This Row],[Tonnes_t]]*tblMovement[[#This Row],[Grade_gpt]]/cfg_TroyOz)</f>
        <v/>
      </c>
      <c r="O1968" s="59">
        <f>IF(tblMovement[[#This Row],[Is_Ore]]=1,tblMovement[[#This Row],[Contained_oz]],0)</f>
        <v/>
      </c>
    </row>
    <row r="1969">
      <c r="A1969" s="54" t="n"/>
      <c r="B1969" s="61" t="n"/>
      <c r="C1969" s="61" t="n"/>
      <c r="D1969" s="61" t="n"/>
      <c r="E1969" s="61" t="n"/>
      <c r="F1969" s="55" t="n"/>
      <c r="G1969" s="56" t="n"/>
      <c r="H1969" s="55" t="n"/>
      <c r="I1969" s="62" t="n"/>
      <c r="J1969" s="58" t="n"/>
      <c r="K1969" s="63">
        <f>IF(tblMovement[[#This Row],[Source]]="","",IFERROR(INDEX(tblSources[Type],MATCH(tblMovement[[#This Row],[Source]],tblSources[Source],0)),"?"))</f>
        <v/>
      </c>
      <c r="L1969" s="63">
        <f>IF(tblMovement[[#This Row],[Destination]]="","",IFERROR(INDEX(tblDestinations[Type],MATCH(tblMovement[[#This Row],[Destination]],tblDestinations[Destination],0)),"?"))</f>
        <v/>
      </c>
      <c r="M1969" s="64">
        <f>IF(tblMovement[[#This Row],[Material]]="","",IF(LEFT(tblMovement[[#This Row],[Material]],3)="Ore",1,0))</f>
        <v/>
      </c>
      <c r="N1969" s="59">
        <f>IF(OR(tblMovement[[#This Row],[Tonnes_t]]="",tblMovement[[#This Row],[Grade_gpt]]=""),0,tblMovement[[#This Row],[Tonnes_t]]*tblMovement[[#This Row],[Grade_gpt]]/cfg_TroyOz)</f>
        <v/>
      </c>
      <c r="O1969" s="59">
        <f>IF(tblMovement[[#This Row],[Is_Ore]]=1,tblMovement[[#This Row],[Contained_oz]],0)</f>
        <v/>
      </c>
    </row>
    <row r="1970">
      <c r="A1970" s="54" t="n"/>
      <c r="B1970" s="61" t="n"/>
      <c r="C1970" s="61" t="n"/>
      <c r="D1970" s="61" t="n"/>
      <c r="E1970" s="61" t="n"/>
      <c r="F1970" s="55" t="n"/>
      <c r="G1970" s="56" t="n"/>
      <c r="H1970" s="55" t="n"/>
      <c r="I1970" s="62" t="n"/>
      <c r="J1970" s="58" t="n"/>
      <c r="K1970" s="63">
        <f>IF(tblMovement[[#This Row],[Source]]="","",IFERROR(INDEX(tblSources[Type],MATCH(tblMovement[[#This Row],[Source]],tblSources[Source],0)),"?"))</f>
        <v/>
      </c>
      <c r="L1970" s="63">
        <f>IF(tblMovement[[#This Row],[Destination]]="","",IFERROR(INDEX(tblDestinations[Type],MATCH(tblMovement[[#This Row],[Destination]],tblDestinations[Destination],0)),"?"))</f>
        <v/>
      </c>
      <c r="M1970" s="64">
        <f>IF(tblMovement[[#This Row],[Material]]="","",IF(LEFT(tblMovement[[#This Row],[Material]],3)="Ore",1,0))</f>
        <v/>
      </c>
      <c r="N1970" s="59">
        <f>IF(OR(tblMovement[[#This Row],[Tonnes_t]]="",tblMovement[[#This Row],[Grade_gpt]]=""),0,tblMovement[[#This Row],[Tonnes_t]]*tblMovement[[#This Row],[Grade_gpt]]/cfg_TroyOz)</f>
        <v/>
      </c>
      <c r="O1970" s="59">
        <f>IF(tblMovement[[#This Row],[Is_Ore]]=1,tblMovement[[#This Row],[Contained_oz]],0)</f>
        <v/>
      </c>
    </row>
    <row r="1971">
      <c r="A1971" s="54" t="n"/>
      <c r="B1971" s="61" t="n"/>
      <c r="C1971" s="61" t="n"/>
      <c r="D1971" s="61" t="n"/>
      <c r="E1971" s="61" t="n"/>
      <c r="F1971" s="55" t="n"/>
      <c r="G1971" s="56" t="n"/>
      <c r="H1971" s="55" t="n"/>
      <c r="I1971" s="62" t="n"/>
      <c r="J1971" s="58" t="n"/>
      <c r="K1971" s="63">
        <f>IF(tblMovement[[#This Row],[Source]]="","",IFERROR(INDEX(tblSources[Type],MATCH(tblMovement[[#This Row],[Source]],tblSources[Source],0)),"?"))</f>
        <v/>
      </c>
      <c r="L1971" s="63">
        <f>IF(tblMovement[[#This Row],[Destination]]="","",IFERROR(INDEX(tblDestinations[Type],MATCH(tblMovement[[#This Row],[Destination]],tblDestinations[Destination],0)),"?"))</f>
        <v/>
      </c>
      <c r="M1971" s="64">
        <f>IF(tblMovement[[#This Row],[Material]]="","",IF(LEFT(tblMovement[[#This Row],[Material]],3)="Ore",1,0))</f>
        <v/>
      </c>
      <c r="N1971" s="59">
        <f>IF(OR(tblMovement[[#This Row],[Tonnes_t]]="",tblMovement[[#This Row],[Grade_gpt]]=""),0,tblMovement[[#This Row],[Tonnes_t]]*tblMovement[[#This Row],[Grade_gpt]]/cfg_TroyOz)</f>
        <v/>
      </c>
      <c r="O1971" s="59">
        <f>IF(tblMovement[[#This Row],[Is_Ore]]=1,tblMovement[[#This Row],[Contained_oz]],0)</f>
        <v/>
      </c>
    </row>
    <row r="1972">
      <c r="A1972" s="54" t="n"/>
      <c r="B1972" s="61" t="n"/>
      <c r="C1972" s="61" t="n"/>
      <c r="D1972" s="61" t="n"/>
      <c r="E1972" s="61" t="n"/>
      <c r="F1972" s="55" t="n"/>
      <c r="G1972" s="56" t="n"/>
      <c r="H1972" s="55" t="n"/>
      <c r="I1972" s="62" t="n"/>
      <c r="J1972" s="58" t="n"/>
      <c r="K1972" s="63">
        <f>IF(tblMovement[[#This Row],[Source]]="","",IFERROR(INDEX(tblSources[Type],MATCH(tblMovement[[#This Row],[Source]],tblSources[Source],0)),"?"))</f>
        <v/>
      </c>
      <c r="L1972" s="63">
        <f>IF(tblMovement[[#This Row],[Destination]]="","",IFERROR(INDEX(tblDestinations[Type],MATCH(tblMovement[[#This Row],[Destination]],tblDestinations[Destination],0)),"?"))</f>
        <v/>
      </c>
      <c r="M1972" s="64">
        <f>IF(tblMovement[[#This Row],[Material]]="","",IF(LEFT(tblMovement[[#This Row],[Material]],3)="Ore",1,0))</f>
        <v/>
      </c>
      <c r="N1972" s="59">
        <f>IF(OR(tblMovement[[#This Row],[Tonnes_t]]="",tblMovement[[#This Row],[Grade_gpt]]=""),0,tblMovement[[#This Row],[Tonnes_t]]*tblMovement[[#This Row],[Grade_gpt]]/cfg_TroyOz)</f>
        <v/>
      </c>
      <c r="O1972" s="59">
        <f>IF(tblMovement[[#This Row],[Is_Ore]]=1,tblMovement[[#This Row],[Contained_oz]],0)</f>
        <v/>
      </c>
    </row>
    <row r="1973">
      <c r="A1973" s="54" t="n"/>
      <c r="B1973" s="61" t="n"/>
      <c r="C1973" s="61" t="n"/>
      <c r="D1973" s="61" t="n"/>
      <c r="E1973" s="61" t="n"/>
      <c r="F1973" s="55" t="n"/>
      <c r="G1973" s="56" t="n"/>
      <c r="H1973" s="55" t="n"/>
      <c r="I1973" s="62" t="n"/>
      <c r="J1973" s="58" t="n"/>
      <c r="K1973" s="63">
        <f>IF(tblMovement[[#This Row],[Source]]="","",IFERROR(INDEX(tblSources[Type],MATCH(tblMovement[[#This Row],[Source]],tblSources[Source],0)),"?"))</f>
        <v/>
      </c>
      <c r="L1973" s="63">
        <f>IF(tblMovement[[#This Row],[Destination]]="","",IFERROR(INDEX(tblDestinations[Type],MATCH(tblMovement[[#This Row],[Destination]],tblDestinations[Destination],0)),"?"))</f>
        <v/>
      </c>
      <c r="M1973" s="64">
        <f>IF(tblMovement[[#This Row],[Material]]="","",IF(LEFT(tblMovement[[#This Row],[Material]],3)="Ore",1,0))</f>
        <v/>
      </c>
      <c r="N1973" s="59">
        <f>IF(OR(tblMovement[[#This Row],[Tonnes_t]]="",tblMovement[[#This Row],[Grade_gpt]]=""),0,tblMovement[[#This Row],[Tonnes_t]]*tblMovement[[#This Row],[Grade_gpt]]/cfg_TroyOz)</f>
        <v/>
      </c>
      <c r="O1973" s="59">
        <f>IF(tblMovement[[#This Row],[Is_Ore]]=1,tblMovement[[#This Row],[Contained_oz]],0)</f>
        <v/>
      </c>
    </row>
    <row r="1974">
      <c r="A1974" s="54" t="n"/>
      <c r="B1974" s="61" t="n"/>
      <c r="C1974" s="61" t="n"/>
      <c r="D1974" s="61" t="n"/>
      <c r="E1974" s="61" t="n"/>
      <c r="F1974" s="55" t="n"/>
      <c r="G1974" s="56" t="n"/>
      <c r="H1974" s="55" t="n"/>
      <c r="I1974" s="62" t="n"/>
      <c r="J1974" s="58" t="n"/>
      <c r="K1974" s="63">
        <f>IF(tblMovement[[#This Row],[Source]]="","",IFERROR(INDEX(tblSources[Type],MATCH(tblMovement[[#This Row],[Source]],tblSources[Source],0)),"?"))</f>
        <v/>
      </c>
      <c r="L1974" s="63">
        <f>IF(tblMovement[[#This Row],[Destination]]="","",IFERROR(INDEX(tblDestinations[Type],MATCH(tblMovement[[#This Row],[Destination]],tblDestinations[Destination],0)),"?"))</f>
        <v/>
      </c>
      <c r="M1974" s="64">
        <f>IF(tblMovement[[#This Row],[Material]]="","",IF(LEFT(tblMovement[[#This Row],[Material]],3)="Ore",1,0))</f>
        <v/>
      </c>
      <c r="N1974" s="59">
        <f>IF(OR(tblMovement[[#This Row],[Tonnes_t]]="",tblMovement[[#This Row],[Grade_gpt]]=""),0,tblMovement[[#This Row],[Tonnes_t]]*tblMovement[[#This Row],[Grade_gpt]]/cfg_TroyOz)</f>
        <v/>
      </c>
      <c r="O1974" s="59">
        <f>IF(tblMovement[[#This Row],[Is_Ore]]=1,tblMovement[[#This Row],[Contained_oz]],0)</f>
        <v/>
      </c>
    </row>
    <row r="1975">
      <c r="A1975" s="54" t="n"/>
      <c r="B1975" s="61" t="n"/>
      <c r="C1975" s="61" t="n"/>
      <c r="D1975" s="61" t="n"/>
      <c r="E1975" s="61" t="n"/>
      <c r="F1975" s="55" t="n"/>
      <c r="G1975" s="56" t="n"/>
      <c r="H1975" s="55" t="n"/>
      <c r="I1975" s="62" t="n"/>
      <c r="J1975" s="58" t="n"/>
      <c r="K1975" s="63">
        <f>IF(tblMovement[[#This Row],[Source]]="","",IFERROR(INDEX(tblSources[Type],MATCH(tblMovement[[#This Row],[Source]],tblSources[Source],0)),"?"))</f>
        <v/>
      </c>
      <c r="L1975" s="63">
        <f>IF(tblMovement[[#This Row],[Destination]]="","",IFERROR(INDEX(tblDestinations[Type],MATCH(tblMovement[[#This Row],[Destination]],tblDestinations[Destination],0)),"?"))</f>
        <v/>
      </c>
      <c r="M1975" s="64">
        <f>IF(tblMovement[[#This Row],[Material]]="","",IF(LEFT(tblMovement[[#This Row],[Material]],3)="Ore",1,0))</f>
        <v/>
      </c>
      <c r="N1975" s="59">
        <f>IF(OR(tblMovement[[#This Row],[Tonnes_t]]="",tblMovement[[#This Row],[Grade_gpt]]=""),0,tblMovement[[#This Row],[Tonnes_t]]*tblMovement[[#This Row],[Grade_gpt]]/cfg_TroyOz)</f>
        <v/>
      </c>
      <c r="O1975" s="59">
        <f>IF(tblMovement[[#This Row],[Is_Ore]]=1,tblMovement[[#This Row],[Contained_oz]],0)</f>
        <v/>
      </c>
    </row>
    <row r="1976">
      <c r="A1976" s="54" t="n"/>
      <c r="B1976" s="61" t="n"/>
      <c r="C1976" s="61" t="n"/>
      <c r="D1976" s="61" t="n"/>
      <c r="E1976" s="61" t="n"/>
      <c r="F1976" s="55" t="n"/>
      <c r="G1976" s="56" t="n"/>
      <c r="H1976" s="55" t="n"/>
      <c r="I1976" s="62" t="n"/>
      <c r="J1976" s="58" t="n"/>
      <c r="K1976" s="63">
        <f>IF(tblMovement[[#This Row],[Source]]="","",IFERROR(INDEX(tblSources[Type],MATCH(tblMovement[[#This Row],[Source]],tblSources[Source],0)),"?"))</f>
        <v/>
      </c>
      <c r="L1976" s="63">
        <f>IF(tblMovement[[#This Row],[Destination]]="","",IFERROR(INDEX(tblDestinations[Type],MATCH(tblMovement[[#This Row],[Destination]],tblDestinations[Destination],0)),"?"))</f>
        <v/>
      </c>
      <c r="M1976" s="64">
        <f>IF(tblMovement[[#This Row],[Material]]="","",IF(LEFT(tblMovement[[#This Row],[Material]],3)="Ore",1,0))</f>
        <v/>
      </c>
      <c r="N1976" s="59">
        <f>IF(OR(tblMovement[[#This Row],[Tonnes_t]]="",tblMovement[[#This Row],[Grade_gpt]]=""),0,tblMovement[[#This Row],[Tonnes_t]]*tblMovement[[#This Row],[Grade_gpt]]/cfg_TroyOz)</f>
        <v/>
      </c>
      <c r="O1976" s="59">
        <f>IF(tblMovement[[#This Row],[Is_Ore]]=1,tblMovement[[#This Row],[Contained_oz]],0)</f>
        <v/>
      </c>
    </row>
    <row r="1977">
      <c r="A1977" s="54" t="n"/>
      <c r="B1977" s="61" t="n"/>
      <c r="C1977" s="61" t="n"/>
      <c r="D1977" s="61" t="n"/>
      <c r="E1977" s="61" t="n"/>
      <c r="F1977" s="55" t="n"/>
      <c r="G1977" s="56" t="n"/>
      <c r="H1977" s="55" t="n"/>
      <c r="I1977" s="62" t="n"/>
      <c r="J1977" s="58" t="n"/>
      <c r="K1977" s="63">
        <f>IF(tblMovement[[#This Row],[Source]]="","",IFERROR(INDEX(tblSources[Type],MATCH(tblMovement[[#This Row],[Source]],tblSources[Source],0)),"?"))</f>
        <v/>
      </c>
      <c r="L1977" s="63">
        <f>IF(tblMovement[[#This Row],[Destination]]="","",IFERROR(INDEX(tblDestinations[Type],MATCH(tblMovement[[#This Row],[Destination]],tblDestinations[Destination],0)),"?"))</f>
        <v/>
      </c>
      <c r="M1977" s="64">
        <f>IF(tblMovement[[#This Row],[Material]]="","",IF(LEFT(tblMovement[[#This Row],[Material]],3)="Ore",1,0))</f>
        <v/>
      </c>
      <c r="N1977" s="59">
        <f>IF(OR(tblMovement[[#This Row],[Tonnes_t]]="",tblMovement[[#This Row],[Grade_gpt]]=""),0,tblMovement[[#This Row],[Tonnes_t]]*tblMovement[[#This Row],[Grade_gpt]]/cfg_TroyOz)</f>
        <v/>
      </c>
      <c r="O1977" s="59">
        <f>IF(tblMovement[[#This Row],[Is_Ore]]=1,tblMovement[[#This Row],[Contained_oz]],0)</f>
        <v/>
      </c>
    </row>
    <row r="1978">
      <c r="A1978" s="54" t="n"/>
      <c r="B1978" s="61" t="n"/>
      <c r="C1978" s="61" t="n"/>
      <c r="D1978" s="61" t="n"/>
      <c r="E1978" s="61" t="n"/>
      <c r="F1978" s="55" t="n"/>
      <c r="G1978" s="56" t="n"/>
      <c r="H1978" s="55" t="n"/>
      <c r="I1978" s="62" t="n"/>
      <c r="J1978" s="58" t="n"/>
      <c r="K1978" s="63">
        <f>IF(tblMovement[[#This Row],[Source]]="","",IFERROR(INDEX(tblSources[Type],MATCH(tblMovement[[#This Row],[Source]],tblSources[Source],0)),"?"))</f>
        <v/>
      </c>
      <c r="L1978" s="63">
        <f>IF(tblMovement[[#This Row],[Destination]]="","",IFERROR(INDEX(tblDestinations[Type],MATCH(tblMovement[[#This Row],[Destination]],tblDestinations[Destination],0)),"?"))</f>
        <v/>
      </c>
      <c r="M1978" s="64">
        <f>IF(tblMovement[[#This Row],[Material]]="","",IF(LEFT(tblMovement[[#This Row],[Material]],3)="Ore",1,0))</f>
        <v/>
      </c>
      <c r="N1978" s="59">
        <f>IF(OR(tblMovement[[#This Row],[Tonnes_t]]="",tblMovement[[#This Row],[Grade_gpt]]=""),0,tblMovement[[#This Row],[Tonnes_t]]*tblMovement[[#This Row],[Grade_gpt]]/cfg_TroyOz)</f>
        <v/>
      </c>
      <c r="O1978" s="59">
        <f>IF(tblMovement[[#This Row],[Is_Ore]]=1,tblMovement[[#This Row],[Contained_oz]],0)</f>
        <v/>
      </c>
    </row>
    <row r="1979">
      <c r="A1979" s="54" t="n"/>
      <c r="B1979" s="61" t="n"/>
      <c r="C1979" s="61" t="n"/>
      <c r="D1979" s="61" t="n"/>
      <c r="E1979" s="61" t="n"/>
      <c r="F1979" s="55" t="n"/>
      <c r="G1979" s="56" t="n"/>
      <c r="H1979" s="55" t="n"/>
      <c r="I1979" s="62" t="n"/>
      <c r="J1979" s="58" t="n"/>
      <c r="K1979" s="63">
        <f>IF(tblMovement[[#This Row],[Source]]="","",IFERROR(INDEX(tblSources[Type],MATCH(tblMovement[[#This Row],[Source]],tblSources[Source],0)),"?"))</f>
        <v/>
      </c>
      <c r="L1979" s="63">
        <f>IF(tblMovement[[#This Row],[Destination]]="","",IFERROR(INDEX(tblDestinations[Type],MATCH(tblMovement[[#This Row],[Destination]],tblDestinations[Destination],0)),"?"))</f>
        <v/>
      </c>
      <c r="M1979" s="64">
        <f>IF(tblMovement[[#This Row],[Material]]="","",IF(LEFT(tblMovement[[#This Row],[Material]],3)="Ore",1,0))</f>
        <v/>
      </c>
      <c r="N1979" s="59">
        <f>IF(OR(tblMovement[[#This Row],[Tonnes_t]]="",tblMovement[[#This Row],[Grade_gpt]]=""),0,tblMovement[[#This Row],[Tonnes_t]]*tblMovement[[#This Row],[Grade_gpt]]/cfg_TroyOz)</f>
        <v/>
      </c>
      <c r="O1979" s="59">
        <f>IF(tblMovement[[#This Row],[Is_Ore]]=1,tblMovement[[#This Row],[Contained_oz]],0)</f>
        <v/>
      </c>
    </row>
    <row r="1980">
      <c r="A1980" s="54" t="n"/>
      <c r="B1980" s="61" t="n"/>
      <c r="C1980" s="61" t="n"/>
      <c r="D1980" s="61" t="n"/>
      <c r="E1980" s="61" t="n"/>
      <c r="F1980" s="55" t="n"/>
      <c r="G1980" s="56" t="n"/>
      <c r="H1980" s="55" t="n"/>
      <c r="I1980" s="62" t="n"/>
      <c r="J1980" s="58" t="n"/>
      <c r="K1980" s="63">
        <f>IF(tblMovement[[#This Row],[Source]]="","",IFERROR(INDEX(tblSources[Type],MATCH(tblMovement[[#This Row],[Source]],tblSources[Source],0)),"?"))</f>
        <v/>
      </c>
      <c r="L1980" s="63">
        <f>IF(tblMovement[[#This Row],[Destination]]="","",IFERROR(INDEX(tblDestinations[Type],MATCH(tblMovement[[#This Row],[Destination]],tblDestinations[Destination],0)),"?"))</f>
        <v/>
      </c>
      <c r="M1980" s="64">
        <f>IF(tblMovement[[#This Row],[Material]]="","",IF(LEFT(tblMovement[[#This Row],[Material]],3)="Ore",1,0))</f>
        <v/>
      </c>
      <c r="N1980" s="59">
        <f>IF(OR(tblMovement[[#This Row],[Tonnes_t]]="",tblMovement[[#This Row],[Grade_gpt]]=""),0,tblMovement[[#This Row],[Tonnes_t]]*tblMovement[[#This Row],[Grade_gpt]]/cfg_TroyOz)</f>
        <v/>
      </c>
      <c r="O1980" s="59">
        <f>IF(tblMovement[[#This Row],[Is_Ore]]=1,tblMovement[[#This Row],[Contained_oz]],0)</f>
        <v/>
      </c>
    </row>
    <row r="1981">
      <c r="A1981" s="54" t="n"/>
      <c r="B1981" s="61" t="n"/>
      <c r="C1981" s="61" t="n"/>
      <c r="D1981" s="61" t="n"/>
      <c r="E1981" s="61" t="n"/>
      <c r="F1981" s="55" t="n"/>
      <c r="G1981" s="56" t="n"/>
      <c r="H1981" s="55" t="n"/>
      <c r="I1981" s="62" t="n"/>
      <c r="J1981" s="58" t="n"/>
      <c r="K1981" s="63">
        <f>IF(tblMovement[[#This Row],[Source]]="","",IFERROR(INDEX(tblSources[Type],MATCH(tblMovement[[#This Row],[Source]],tblSources[Source],0)),"?"))</f>
        <v/>
      </c>
      <c r="L1981" s="63">
        <f>IF(tblMovement[[#This Row],[Destination]]="","",IFERROR(INDEX(tblDestinations[Type],MATCH(tblMovement[[#This Row],[Destination]],tblDestinations[Destination],0)),"?"))</f>
        <v/>
      </c>
      <c r="M1981" s="64">
        <f>IF(tblMovement[[#This Row],[Material]]="","",IF(LEFT(tblMovement[[#This Row],[Material]],3)="Ore",1,0))</f>
        <v/>
      </c>
      <c r="N1981" s="59">
        <f>IF(OR(tblMovement[[#This Row],[Tonnes_t]]="",tblMovement[[#This Row],[Grade_gpt]]=""),0,tblMovement[[#This Row],[Tonnes_t]]*tblMovement[[#This Row],[Grade_gpt]]/cfg_TroyOz)</f>
        <v/>
      </c>
      <c r="O1981" s="59">
        <f>IF(tblMovement[[#This Row],[Is_Ore]]=1,tblMovement[[#This Row],[Contained_oz]],0)</f>
        <v/>
      </c>
    </row>
    <row r="1982">
      <c r="A1982" s="54" t="n"/>
      <c r="B1982" s="61" t="n"/>
      <c r="C1982" s="61" t="n"/>
      <c r="D1982" s="61" t="n"/>
      <c r="E1982" s="61" t="n"/>
      <c r="F1982" s="55" t="n"/>
      <c r="G1982" s="56" t="n"/>
      <c r="H1982" s="55" t="n"/>
      <c r="I1982" s="62" t="n"/>
      <c r="J1982" s="58" t="n"/>
      <c r="K1982" s="63">
        <f>IF(tblMovement[[#This Row],[Source]]="","",IFERROR(INDEX(tblSources[Type],MATCH(tblMovement[[#This Row],[Source]],tblSources[Source],0)),"?"))</f>
        <v/>
      </c>
      <c r="L1982" s="63">
        <f>IF(tblMovement[[#This Row],[Destination]]="","",IFERROR(INDEX(tblDestinations[Type],MATCH(tblMovement[[#This Row],[Destination]],tblDestinations[Destination],0)),"?"))</f>
        <v/>
      </c>
      <c r="M1982" s="64">
        <f>IF(tblMovement[[#This Row],[Material]]="","",IF(LEFT(tblMovement[[#This Row],[Material]],3)="Ore",1,0))</f>
        <v/>
      </c>
      <c r="N1982" s="59">
        <f>IF(OR(tblMovement[[#This Row],[Tonnes_t]]="",tblMovement[[#This Row],[Grade_gpt]]=""),0,tblMovement[[#This Row],[Tonnes_t]]*tblMovement[[#This Row],[Grade_gpt]]/cfg_TroyOz)</f>
        <v/>
      </c>
      <c r="O1982" s="59">
        <f>IF(tblMovement[[#This Row],[Is_Ore]]=1,tblMovement[[#This Row],[Contained_oz]],0)</f>
        <v/>
      </c>
    </row>
    <row r="1983">
      <c r="A1983" s="54" t="n"/>
      <c r="B1983" s="61" t="n"/>
      <c r="C1983" s="61" t="n"/>
      <c r="D1983" s="61" t="n"/>
      <c r="E1983" s="61" t="n"/>
      <c r="F1983" s="55" t="n"/>
      <c r="G1983" s="56" t="n"/>
      <c r="H1983" s="55" t="n"/>
      <c r="I1983" s="62" t="n"/>
      <c r="J1983" s="58" t="n"/>
      <c r="K1983" s="63">
        <f>IF(tblMovement[[#This Row],[Source]]="","",IFERROR(INDEX(tblSources[Type],MATCH(tblMovement[[#This Row],[Source]],tblSources[Source],0)),"?"))</f>
        <v/>
      </c>
      <c r="L1983" s="63">
        <f>IF(tblMovement[[#This Row],[Destination]]="","",IFERROR(INDEX(tblDestinations[Type],MATCH(tblMovement[[#This Row],[Destination]],tblDestinations[Destination],0)),"?"))</f>
        <v/>
      </c>
      <c r="M1983" s="64">
        <f>IF(tblMovement[[#This Row],[Material]]="","",IF(LEFT(tblMovement[[#This Row],[Material]],3)="Ore",1,0))</f>
        <v/>
      </c>
      <c r="N1983" s="59">
        <f>IF(OR(tblMovement[[#This Row],[Tonnes_t]]="",tblMovement[[#This Row],[Grade_gpt]]=""),0,tblMovement[[#This Row],[Tonnes_t]]*tblMovement[[#This Row],[Grade_gpt]]/cfg_TroyOz)</f>
        <v/>
      </c>
      <c r="O1983" s="59">
        <f>IF(tblMovement[[#This Row],[Is_Ore]]=1,tblMovement[[#This Row],[Contained_oz]],0)</f>
        <v/>
      </c>
    </row>
    <row r="1984">
      <c r="A1984" s="54" t="n"/>
      <c r="B1984" s="61" t="n"/>
      <c r="C1984" s="61" t="n"/>
      <c r="D1984" s="61" t="n"/>
      <c r="E1984" s="61" t="n"/>
      <c r="F1984" s="55" t="n"/>
      <c r="G1984" s="56" t="n"/>
      <c r="H1984" s="55" t="n"/>
      <c r="I1984" s="62" t="n"/>
      <c r="J1984" s="58" t="n"/>
      <c r="K1984" s="63">
        <f>IF(tblMovement[[#This Row],[Source]]="","",IFERROR(INDEX(tblSources[Type],MATCH(tblMovement[[#This Row],[Source]],tblSources[Source],0)),"?"))</f>
        <v/>
      </c>
      <c r="L1984" s="63">
        <f>IF(tblMovement[[#This Row],[Destination]]="","",IFERROR(INDEX(tblDestinations[Type],MATCH(tblMovement[[#This Row],[Destination]],tblDestinations[Destination],0)),"?"))</f>
        <v/>
      </c>
      <c r="M1984" s="64">
        <f>IF(tblMovement[[#This Row],[Material]]="","",IF(LEFT(tblMovement[[#This Row],[Material]],3)="Ore",1,0))</f>
        <v/>
      </c>
      <c r="N1984" s="59">
        <f>IF(OR(tblMovement[[#This Row],[Tonnes_t]]="",tblMovement[[#This Row],[Grade_gpt]]=""),0,tblMovement[[#This Row],[Tonnes_t]]*tblMovement[[#This Row],[Grade_gpt]]/cfg_TroyOz)</f>
        <v/>
      </c>
      <c r="O1984" s="59">
        <f>IF(tblMovement[[#This Row],[Is_Ore]]=1,tblMovement[[#This Row],[Contained_oz]],0)</f>
        <v/>
      </c>
    </row>
    <row r="1985">
      <c r="A1985" s="54" t="n"/>
      <c r="B1985" s="61" t="n"/>
      <c r="C1985" s="61" t="n"/>
      <c r="D1985" s="61" t="n"/>
      <c r="E1985" s="61" t="n"/>
      <c r="F1985" s="55" t="n"/>
      <c r="G1985" s="56" t="n"/>
      <c r="H1985" s="55" t="n"/>
      <c r="I1985" s="62" t="n"/>
      <c r="J1985" s="58" t="n"/>
      <c r="K1985" s="63">
        <f>IF(tblMovement[[#This Row],[Source]]="","",IFERROR(INDEX(tblSources[Type],MATCH(tblMovement[[#This Row],[Source]],tblSources[Source],0)),"?"))</f>
        <v/>
      </c>
      <c r="L1985" s="63">
        <f>IF(tblMovement[[#This Row],[Destination]]="","",IFERROR(INDEX(tblDestinations[Type],MATCH(tblMovement[[#This Row],[Destination]],tblDestinations[Destination],0)),"?"))</f>
        <v/>
      </c>
      <c r="M1985" s="64">
        <f>IF(tblMovement[[#This Row],[Material]]="","",IF(LEFT(tblMovement[[#This Row],[Material]],3)="Ore",1,0))</f>
        <v/>
      </c>
      <c r="N1985" s="59">
        <f>IF(OR(tblMovement[[#This Row],[Tonnes_t]]="",tblMovement[[#This Row],[Grade_gpt]]=""),0,tblMovement[[#This Row],[Tonnes_t]]*tblMovement[[#This Row],[Grade_gpt]]/cfg_TroyOz)</f>
        <v/>
      </c>
      <c r="O1985" s="59">
        <f>IF(tblMovement[[#This Row],[Is_Ore]]=1,tblMovement[[#This Row],[Contained_oz]],0)</f>
        <v/>
      </c>
    </row>
    <row r="1986">
      <c r="A1986" s="54" t="n"/>
      <c r="B1986" s="61" t="n"/>
      <c r="C1986" s="61" t="n"/>
      <c r="D1986" s="61" t="n"/>
      <c r="E1986" s="61" t="n"/>
      <c r="F1986" s="55" t="n"/>
      <c r="G1986" s="56" t="n"/>
      <c r="H1986" s="55" t="n"/>
      <c r="I1986" s="62" t="n"/>
      <c r="J1986" s="58" t="n"/>
      <c r="K1986" s="63">
        <f>IF(tblMovement[[#This Row],[Source]]="","",IFERROR(INDEX(tblSources[Type],MATCH(tblMovement[[#This Row],[Source]],tblSources[Source],0)),"?"))</f>
        <v/>
      </c>
      <c r="L1986" s="63">
        <f>IF(tblMovement[[#This Row],[Destination]]="","",IFERROR(INDEX(tblDestinations[Type],MATCH(tblMovement[[#This Row],[Destination]],tblDestinations[Destination],0)),"?"))</f>
        <v/>
      </c>
      <c r="M1986" s="64">
        <f>IF(tblMovement[[#This Row],[Material]]="","",IF(LEFT(tblMovement[[#This Row],[Material]],3)="Ore",1,0))</f>
        <v/>
      </c>
      <c r="N1986" s="59">
        <f>IF(OR(tblMovement[[#This Row],[Tonnes_t]]="",tblMovement[[#This Row],[Grade_gpt]]=""),0,tblMovement[[#This Row],[Tonnes_t]]*tblMovement[[#This Row],[Grade_gpt]]/cfg_TroyOz)</f>
        <v/>
      </c>
      <c r="O1986" s="59">
        <f>IF(tblMovement[[#This Row],[Is_Ore]]=1,tblMovement[[#This Row],[Contained_oz]],0)</f>
        <v/>
      </c>
    </row>
    <row r="1987">
      <c r="A1987" s="54" t="n"/>
      <c r="B1987" s="61" t="n"/>
      <c r="C1987" s="61" t="n"/>
      <c r="D1987" s="61" t="n"/>
      <c r="E1987" s="61" t="n"/>
      <c r="F1987" s="55" t="n"/>
      <c r="G1987" s="56" t="n"/>
      <c r="H1987" s="55" t="n"/>
      <c r="I1987" s="62" t="n"/>
      <c r="J1987" s="58" t="n"/>
      <c r="K1987" s="63">
        <f>IF(tblMovement[[#This Row],[Source]]="","",IFERROR(INDEX(tblSources[Type],MATCH(tblMovement[[#This Row],[Source]],tblSources[Source],0)),"?"))</f>
        <v/>
      </c>
      <c r="L1987" s="63">
        <f>IF(tblMovement[[#This Row],[Destination]]="","",IFERROR(INDEX(tblDestinations[Type],MATCH(tblMovement[[#This Row],[Destination]],tblDestinations[Destination],0)),"?"))</f>
        <v/>
      </c>
      <c r="M1987" s="64">
        <f>IF(tblMovement[[#This Row],[Material]]="","",IF(LEFT(tblMovement[[#This Row],[Material]],3)="Ore",1,0))</f>
        <v/>
      </c>
      <c r="N1987" s="59">
        <f>IF(OR(tblMovement[[#This Row],[Tonnes_t]]="",tblMovement[[#This Row],[Grade_gpt]]=""),0,tblMovement[[#This Row],[Tonnes_t]]*tblMovement[[#This Row],[Grade_gpt]]/cfg_TroyOz)</f>
        <v/>
      </c>
      <c r="O1987" s="59">
        <f>IF(tblMovement[[#This Row],[Is_Ore]]=1,tblMovement[[#This Row],[Contained_oz]],0)</f>
        <v/>
      </c>
    </row>
    <row r="1988">
      <c r="A1988" s="54" t="n"/>
      <c r="B1988" s="61" t="n"/>
      <c r="C1988" s="61" t="n"/>
      <c r="D1988" s="61" t="n"/>
      <c r="E1988" s="61" t="n"/>
      <c r="F1988" s="55" t="n"/>
      <c r="G1988" s="56" t="n"/>
      <c r="H1988" s="55" t="n"/>
      <c r="I1988" s="62" t="n"/>
      <c r="J1988" s="58" t="n"/>
      <c r="K1988" s="63">
        <f>IF(tblMovement[[#This Row],[Source]]="","",IFERROR(INDEX(tblSources[Type],MATCH(tblMovement[[#This Row],[Source]],tblSources[Source],0)),"?"))</f>
        <v/>
      </c>
      <c r="L1988" s="63">
        <f>IF(tblMovement[[#This Row],[Destination]]="","",IFERROR(INDEX(tblDestinations[Type],MATCH(tblMovement[[#This Row],[Destination]],tblDestinations[Destination],0)),"?"))</f>
        <v/>
      </c>
      <c r="M1988" s="64">
        <f>IF(tblMovement[[#This Row],[Material]]="","",IF(LEFT(tblMovement[[#This Row],[Material]],3)="Ore",1,0))</f>
        <v/>
      </c>
      <c r="N1988" s="59">
        <f>IF(OR(tblMovement[[#This Row],[Tonnes_t]]="",tblMovement[[#This Row],[Grade_gpt]]=""),0,tblMovement[[#This Row],[Tonnes_t]]*tblMovement[[#This Row],[Grade_gpt]]/cfg_TroyOz)</f>
        <v/>
      </c>
      <c r="O1988" s="59">
        <f>IF(tblMovement[[#This Row],[Is_Ore]]=1,tblMovement[[#This Row],[Contained_oz]],0)</f>
        <v/>
      </c>
    </row>
    <row r="1989">
      <c r="A1989" s="54" t="n"/>
      <c r="B1989" s="61" t="n"/>
      <c r="C1989" s="61" t="n"/>
      <c r="D1989" s="61" t="n"/>
      <c r="E1989" s="61" t="n"/>
      <c r="F1989" s="55" t="n"/>
      <c r="G1989" s="56" t="n"/>
      <c r="H1989" s="55" t="n"/>
      <c r="I1989" s="62" t="n"/>
      <c r="J1989" s="58" t="n"/>
      <c r="K1989" s="63">
        <f>IF(tblMovement[[#This Row],[Source]]="","",IFERROR(INDEX(tblSources[Type],MATCH(tblMovement[[#This Row],[Source]],tblSources[Source],0)),"?"))</f>
        <v/>
      </c>
      <c r="L1989" s="63">
        <f>IF(tblMovement[[#This Row],[Destination]]="","",IFERROR(INDEX(tblDestinations[Type],MATCH(tblMovement[[#This Row],[Destination]],tblDestinations[Destination],0)),"?"))</f>
        <v/>
      </c>
      <c r="M1989" s="64">
        <f>IF(tblMovement[[#This Row],[Material]]="","",IF(LEFT(tblMovement[[#This Row],[Material]],3)="Ore",1,0))</f>
        <v/>
      </c>
      <c r="N1989" s="59">
        <f>IF(OR(tblMovement[[#This Row],[Tonnes_t]]="",tblMovement[[#This Row],[Grade_gpt]]=""),0,tblMovement[[#This Row],[Tonnes_t]]*tblMovement[[#This Row],[Grade_gpt]]/cfg_TroyOz)</f>
        <v/>
      </c>
      <c r="O1989" s="59">
        <f>IF(tblMovement[[#This Row],[Is_Ore]]=1,tblMovement[[#This Row],[Contained_oz]],0)</f>
        <v/>
      </c>
    </row>
    <row r="1990">
      <c r="A1990" s="54" t="n"/>
      <c r="B1990" s="61" t="n"/>
      <c r="C1990" s="61" t="n"/>
      <c r="D1990" s="61" t="n"/>
      <c r="E1990" s="61" t="n"/>
      <c r="F1990" s="55" t="n"/>
      <c r="G1990" s="56" t="n"/>
      <c r="H1990" s="55" t="n"/>
      <c r="I1990" s="62" t="n"/>
      <c r="J1990" s="58" t="n"/>
      <c r="K1990" s="63">
        <f>IF(tblMovement[[#This Row],[Source]]="","",IFERROR(INDEX(tblSources[Type],MATCH(tblMovement[[#This Row],[Source]],tblSources[Source],0)),"?"))</f>
        <v/>
      </c>
      <c r="L1990" s="63">
        <f>IF(tblMovement[[#This Row],[Destination]]="","",IFERROR(INDEX(tblDestinations[Type],MATCH(tblMovement[[#This Row],[Destination]],tblDestinations[Destination],0)),"?"))</f>
        <v/>
      </c>
      <c r="M1990" s="64">
        <f>IF(tblMovement[[#This Row],[Material]]="","",IF(LEFT(tblMovement[[#This Row],[Material]],3)="Ore",1,0))</f>
        <v/>
      </c>
      <c r="N1990" s="59">
        <f>IF(OR(tblMovement[[#This Row],[Tonnes_t]]="",tblMovement[[#This Row],[Grade_gpt]]=""),0,tblMovement[[#This Row],[Tonnes_t]]*tblMovement[[#This Row],[Grade_gpt]]/cfg_TroyOz)</f>
        <v/>
      </c>
      <c r="O1990" s="59">
        <f>IF(tblMovement[[#This Row],[Is_Ore]]=1,tblMovement[[#This Row],[Contained_oz]],0)</f>
        <v/>
      </c>
    </row>
    <row r="1991">
      <c r="A1991" s="54" t="n"/>
      <c r="B1991" s="61" t="n"/>
      <c r="C1991" s="61" t="n"/>
      <c r="D1991" s="61" t="n"/>
      <c r="E1991" s="61" t="n"/>
      <c r="F1991" s="55" t="n"/>
      <c r="G1991" s="56" t="n"/>
      <c r="H1991" s="55" t="n"/>
      <c r="I1991" s="62" t="n"/>
      <c r="J1991" s="58" t="n"/>
      <c r="K1991" s="63">
        <f>IF(tblMovement[[#This Row],[Source]]="","",IFERROR(INDEX(tblSources[Type],MATCH(tblMovement[[#This Row],[Source]],tblSources[Source],0)),"?"))</f>
        <v/>
      </c>
      <c r="L1991" s="63">
        <f>IF(tblMovement[[#This Row],[Destination]]="","",IFERROR(INDEX(tblDestinations[Type],MATCH(tblMovement[[#This Row],[Destination]],tblDestinations[Destination],0)),"?"))</f>
        <v/>
      </c>
      <c r="M1991" s="64">
        <f>IF(tblMovement[[#This Row],[Material]]="","",IF(LEFT(tblMovement[[#This Row],[Material]],3)="Ore",1,0))</f>
        <v/>
      </c>
      <c r="N1991" s="59">
        <f>IF(OR(tblMovement[[#This Row],[Tonnes_t]]="",tblMovement[[#This Row],[Grade_gpt]]=""),0,tblMovement[[#This Row],[Tonnes_t]]*tblMovement[[#This Row],[Grade_gpt]]/cfg_TroyOz)</f>
        <v/>
      </c>
      <c r="O1991" s="59">
        <f>IF(tblMovement[[#This Row],[Is_Ore]]=1,tblMovement[[#This Row],[Contained_oz]],0)</f>
        <v/>
      </c>
    </row>
    <row r="1992">
      <c r="A1992" s="54" t="n"/>
      <c r="B1992" s="61" t="n"/>
      <c r="C1992" s="61" t="n"/>
      <c r="D1992" s="61" t="n"/>
      <c r="E1992" s="61" t="n"/>
      <c r="F1992" s="55" t="n"/>
      <c r="G1992" s="56" t="n"/>
      <c r="H1992" s="55" t="n"/>
      <c r="I1992" s="62" t="n"/>
      <c r="J1992" s="58" t="n"/>
      <c r="K1992" s="63">
        <f>IF(tblMovement[[#This Row],[Source]]="","",IFERROR(INDEX(tblSources[Type],MATCH(tblMovement[[#This Row],[Source]],tblSources[Source],0)),"?"))</f>
        <v/>
      </c>
      <c r="L1992" s="63">
        <f>IF(tblMovement[[#This Row],[Destination]]="","",IFERROR(INDEX(tblDestinations[Type],MATCH(tblMovement[[#This Row],[Destination]],tblDestinations[Destination],0)),"?"))</f>
        <v/>
      </c>
      <c r="M1992" s="64">
        <f>IF(tblMovement[[#This Row],[Material]]="","",IF(LEFT(tblMovement[[#This Row],[Material]],3)="Ore",1,0))</f>
        <v/>
      </c>
      <c r="N1992" s="59">
        <f>IF(OR(tblMovement[[#This Row],[Tonnes_t]]="",tblMovement[[#This Row],[Grade_gpt]]=""),0,tblMovement[[#This Row],[Tonnes_t]]*tblMovement[[#This Row],[Grade_gpt]]/cfg_TroyOz)</f>
        <v/>
      </c>
      <c r="O1992" s="59">
        <f>IF(tblMovement[[#This Row],[Is_Ore]]=1,tblMovement[[#This Row],[Contained_oz]],0)</f>
        <v/>
      </c>
    </row>
    <row r="1993">
      <c r="A1993" s="54" t="n"/>
      <c r="B1993" s="61" t="n"/>
      <c r="C1993" s="61" t="n"/>
      <c r="D1993" s="61" t="n"/>
      <c r="E1993" s="61" t="n"/>
      <c r="F1993" s="55" t="n"/>
      <c r="G1993" s="56" t="n"/>
      <c r="H1993" s="55" t="n"/>
      <c r="I1993" s="62" t="n"/>
      <c r="J1993" s="58" t="n"/>
      <c r="K1993" s="63">
        <f>IF(tblMovement[[#This Row],[Source]]="","",IFERROR(INDEX(tblSources[Type],MATCH(tblMovement[[#This Row],[Source]],tblSources[Source],0)),"?"))</f>
        <v/>
      </c>
      <c r="L1993" s="63">
        <f>IF(tblMovement[[#This Row],[Destination]]="","",IFERROR(INDEX(tblDestinations[Type],MATCH(tblMovement[[#This Row],[Destination]],tblDestinations[Destination],0)),"?"))</f>
        <v/>
      </c>
      <c r="M1993" s="64">
        <f>IF(tblMovement[[#This Row],[Material]]="","",IF(LEFT(tblMovement[[#This Row],[Material]],3)="Ore",1,0))</f>
        <v/>
      </c>
      <c r="N1993" s="59">
        <f>IF(OR(tblMovement[[#This Row],[Tonnes_t]]="",tblMovement[[#This Row],[Grade_gpt]]=""),0,tblMovement[[#This Row],[Tonnes_t]]*tblMovement[[#This Row],[Grade_gpt]]/cfg_TroyOz)</f>
        <v/>
      </c>
      <c r="O1993" s="59">
        <f>IF(tblMovement[[#This Row],[Is_Ore]]=1,tblMovement[[#This Row],[Contained_oz]],0)</f>
        <v/>
      </c>
    </row>
    <row r="1994">
      <c r="A1994" s="54" t="n"/>
      <c r="B1994" s="61" t="n"/>
      <c r="C1994" s="61" t="n"/>
      <c r="D1994" s="61" t="n"/>
      <c r="E1994" s="61" t="n"/>
      <c r="F1994" s="55" t="n"/>
      <c r="G1994" s="56" t="n"/>
      <c r="H1994" s="55" t="n"/>
      <c r="I1994" s="62" t="n"/>
      <c r="J1994" s="58" t="n"/>
      <c r="K1994" s="63">
        <f>IF(tblMovement[[#This Row],[Source]]="","",IFERROR(INDEX(tblSources[Type],MATCH(tblMovement[[#This Row],[Source]],tblSources[Source],0)),"?"))</f>
        <v/>
      </c>
      <c r="L1994" s="63">
        <f>IF(tblMovement[[#This Row],[Destination]]="","",IFERROR(INDEX(tblDestinations[Type],MATCH(tblMovement[[#This Row],[Destination]],tblDestinations[Destination],0)),"?"))</f>
        <v/>
      </c>
      <c r="M1994" s="64">
        <f>IF(tblMovement[[#This Row],[Material]]="","",IF(LEFT(tblMovement[[#This Row],[Material]],3)="Ore",1,0))</f>
        <v/>
      </c>
      <c r="N1994" s="59">
        <f>IF(OR(tblMovement[[#This Row],[Tonnes_t]]="",tblMovement[[#This Row],[Grade_gpt]]=""),0,tblMovement[[#This Row],[Tonnes_t]]*tblMovement[[#This Row],[Grade_gpt]]/cfg_TroyOz)</f>
        <v/>
      </c>
      <c r="O1994" s="59">
        <f>IF(tblMovement[[#This Row],[Is_Ore]]=1,tblMovement[[#This Row],[Contained_oz]],0)</f>
        <v/>
      </c>
    </row>
    <row r="1995">
      <c r="A1995" s="54" t="n"/>
      <c r="B1995" s="61" t="n"/>
      <c r="C1995" s="61" t="n"/>
      <c r="D1995" s="61" t="n"/>
      <c r="E1995" s="61" t="n"/>
      <c r="F1995" s="55" t="n"/>
      <c r="G1995" s="56" t="n"/>
      <c r="H1995" s="55" t="n"/>
      <c r="I1995" s="62" t="n"/>
      <c r="J1995" s="58" t="n"/>
      <c r="K1995" s="63">
        <f>IF(tblMovement[[#This Row],[Source]]="","",IFERROR(INDEX(tblSources[Type],MATCH(tblMovement[[#This Row],[Source]],tblSources[Source],0)),"?"))</f>
        <v/>
      </c>
      <c r="L1995" s="63">
        <f>IF(tblMovement[[#This Row],[Destination]]="","",IFERROR(INDEX(tblDestinations[Type],MATCH(tblMovement[[#This Row],[Destination]],tblDestinations[Destination],0)),"?"))</f>
        <v/>
      </c>
      <c r="M1995" s="64">
        <f>IF(tblMovement[[#This Row],[Material]]="","",IF(LEFT(tblMovement[[#This Row],[Material]],3)="Ore",1,0))</f>
        <v/>
      </c>
      <c r="N1995" s="59">
        <f>IF(OR(tblMovement[[#This Row],[Tonnes_t]]="",tblMovement[[#This Row],[Grade_gpt]]=""),0,tblMovement[[#This Row],[Tonnes_t]]*tblMovement[[#This Row],[Grade_gpt]]/cfg_TroyOz)</f>
        <v/>
      </c>
      <c r="O1995" s="59">
        <f>IF(tblMovement[[#This Row],[Is_Ore]]=1,tblMovement[[#This Row],[Contained_oz]],0)</f>
        <v/>
      </c>
    </row>
    <row r="1996">
      <c r="A1996" s="54" t="n"/>
      <c r="B1996" s="61" t="n"/>
      <c r="C1996" s="61" t="n"/>
      <c r="D1996" s="61" t="n"/>
      <c r="E1996" s="61" t="n"/>
      <c r="F1996" s="55" t="n"/>
      <c r="G1996" s="56" t="n"/>
      <c r="H1996" s="55" t="n"/>
      <c r="I1996" s="62" t="n"/>
      <c r="J1996" s="58" t="n"/>
      <c r="K1996" s="63">
        <f>IF(tblMovement[[#This Row],[Source]]="","",IFERROR(INDEX(tblSources[Type],MATCH(tblMovement[[#This Row],[Source]],tblSources[Source],0)),"?"))</f>
        <v/>
      </c>
      <c r="L1996" s="63">
        <f>IF(tblMovement[[#This Row],[Destination]]="","",IFERROR(INDEX(tblDestinations[Type],MATCH(tblMovement[[#This Row],[Destination]],tblDestinations[Destination],0)),"?"))</f>
        <v/>
      </c>
      <c r="M1996" s="64">
        <f>IF(tblMovement[[#This Row],[Material]]="","",IF(LEFT(tblMovement[[#This Row],[Material]],3)="Ore",1,0))</f>
        <v/>
      </c>
      <c r="N1996" s="59">
        <f>IF(OR(tblMovement[[#This Row],[Tonnes_t]]="",tblMovement[[#This Row],[Grade_gpt]]=""),0,tblMovement[[#This Row],[Tonnes_t]]*tblMovement[[#This Row],[Grade_gpt]]/cfg_TroyOz)</f>
        <v/>
      </c>
      <c r="O1996" s="59">
        <f>IF(tblMovement[[#This Row],[Is_Ore]]=1,tblMovement[[#This Row],[Contained_oz]],0)</f>
        <v/>
      </c>
    </row>
    <row r="1997">
      <c r="A1997" s="54" t="n"/>
      <c r="B1997" s="61" t="n"/>
      <c r="C1997" s="61" t="n"/>
      <c r="D1997" s="61" t="n"/>
      <c r="E1997" s="61" t="n"/>
      <c r="F1997" s="55" t="n"/>
      <c r="G1997" s="56" t="n"/>
      <c r="H1997" s="55" t="n"/>
      <c r="I1997" s="62" t="n"/>
      <c r="J1997" s="58" t="n"/>
      <c r="K1997" s="63">
        <f>IF(tblMovement[[#This Row],[Source]]="","",IFERROR(INDEX(tblSources[Type],MATCH(tblMovement[[#This Row],[Source]],tblSources[Source],0)),"?"))</f>
        <v/>
      </c>
      <c r="L1997" s="63">
        <f>IF(tblMovement[[#This Row],[Destination]]="","",IFERROR(INDEX(tblDestinations[Type],MATCH(tblMovement[[#This Row],[Destination]],tblDestinations[Destination],0)),"?"))</f>
        <v/>
      </c>
      <c r="M1997" s="64">
        <f>IF(tblMovement[[#This Row],[Material]]="","",IF(LEFT(tblMovement[[#This Row],[Material]],3)="Ore",1,0))</f>
        <v/>
      </c>
      <c r="N1997" s="59">
        <f>IF(OR(tblMovement[[#This Row],[Tonnes_t]]="",tblMovement[[#This Row],[Grade_gpt]]=""),0,tblMovement[[#This Row],[Tonnes_t]]*tblMovement[[#This Row],[Grade_gpt]]/cfg_TroyOz)</f>
        <v/>
      </c>
      <c r="O1997" s="59">
        <f>IF(tblMovement[[#This Row],[Is_Ore]]=1,tblMovement[[#This Row],[Contained_oz]],0)</f>
        <v/>
      </c>
    </row>
    <row r="1998">
      <c r="A1998" s="54" t="n"/>
      <c r="B1998" s="61" t="n"/>
      <c r="C1998" s="61" t="n"/>
      <c r="D1998" s="61" t="n"/>
      <c r="E1998" s="61" t="n"/>
      <c r="F1998" s="55" t="n"/>
      <c r="G1998" s="56" t="n"/>
      <c r="H1998" s="55" t="n"/>
      <c r="I1998" s="62" t="n"/>
      <c r="J1998" s="58" t="n"/>
      <c r="K1998" s="63">
        <f>IF(tblMovement[[#This Row],[Source]]="","",IFERROR(INDEX(tblSources[Type],MATCH(tblMovement[[#This Row],[Source]],tblSources[Source],0)),"?"))</f>
        <v/>
      </c>
      <c r="L1998" s="63">
        <f>IF(tblMovement[[#This Row],[Destination]]="","",IFERROR(INDEX(tblDestinations[Type],MATCH(tblMovement[[#This Row],[Destination]],tblDestinations[Destination],0)),"?"))</f>
        <v/>
      </c>
      <c r="M1998" s="64">
        <f>IF(tblMovement[[#This Row],[Material]]="","",IF(LEFT(tblMovement[[#This Row],[Material]],3)="Ore",1,0))</f>
        <v/>
      </c>
      <c r="N1998" s="59">
        <f>IF(OR(tblMovement[[#This Row],[Tonnes_t]]="",tblMovement[[#This Row],[Grade_gpt]]=""),0,tblMovement[[#This Row],[Tonnes_t]]*tblMovement[[#This Row],[Grade_gpt]]/cfg_TroyOz)</f>
        <v/>
      </c>
      <c r="O1998" s="59">
        <f>IF(tblMovement[[#This Row],[Is_Ore]]=1,tblMovement[[#This Row],[Contained_oz]],0)</f>
        <v/>
      </c>
    </row>
    <row r="1999">
      <c r="A1999" s="54" t="n"/>
      <c r="B1999" s="61" t="n"/>
      <c r="C1999" s="61" t="n"/>
      <c r="D1999" s="61" t="n"/>
      <c r="E1999" s="61" t="n"/>
      <c r="F1999" s="55" t="n"/>
      <c r="G1999" s="56" t="n"/>
      <c r="H1999" s="55" t="n"/>
      <c r="I1999" s="62" t="n"/>
      <c r="J1999" s="58" t="n"/>
      <c r="K1999" s="63">
        <f>IF(tblMovement[[#This Row],[Source]]="","",IFERROR(INDEX(tblSources[Type],MATCH(tblMovement[[#This Row],[Source]],tblSources[Source],0)),"?"))</f>
        <v/>
      </c>
      <c r="L1999" s="63">
        <f>IF(tblMovement[[#This Row],[Destination]]="","",IFERROR(INDEX(tblDestinations[Type],MATCH(tblMovement[[#This Row],[Destination]],tblDestinations[Destination],0)),"?"))</f>
        <v/>
      </c>
      <c r="M1999" s="64">
        <f>IF(tblMovement[[#This Row],[Material]]="","",IF(LEFT(tblMovement[[#This Row],[Material]],3)="Ore",1,0))</f>
        <v/>
      </c>
      <c r="N1999" s="59">
        <f>IF(OR(tblMovement[[#This Row],[Tonnes_t]]="",tblMovement[[#This Row],[Grade_gpt]]=""),0,tblMovement[[#This Row],[Tonnes_t]]*tblMovement[[#This Row],[Grade_gpt]]/cfg_TroyOz)</f>
        <v/>
      </c>
      <c r="O1999" s="59">
        <f>IF(tblMovement[[#This Row],[Is_Ore]]=1,tblMovement[[#This Row],[Contained_oz]],0)</f>
        <v/>
      </c>
    </row>
    <row r="2000">
      <c r="A2000" s="54" t="n"/>
      <c r="B2000" s="61" t="n"/>
      <c r="C2000" s="61" t="n"/>
      <c r="D2000" s="61" t="n"/>
      <c r="E2000" s="61" t="n"/>
      <c r="F2000" s="55" t="n"/>
      <c r="G2000" s="56" t="n"/>
      <c r="H2000" s="55" t="n"/>
      <c r="I2000" s="62" t="n"/>
      <c r="J2000" s="58" t="n"/>
      <c r="K2000" s="63">
        <f>IF(tblMovement[[#This Row],[Source]]="","",IFERROR(INDEX(tblSources[Type],MATCH(tblMovement[[#This Row],[Source]],tblSources[Source],0)),"?"))</f>
        <v/>
      </c>
      <c r="L2000" s="63">
        <f>IF(tblMovement[[#This Row],[Destination]]="","",IFERROR(INDEX(tblDestinations[Type],MATCH(tblMovement[[#This Row],[Destination]],tblDestinations[Destination],0)),"?"))</f>
        <v/>
      </c>
      <c r="M2000" s="64">
        <f>IF(tblMovement[[#This Row],[Material]]="","",IF(LEFT(tblMovement[[#This Row],[Material]],3)="Ore",1,0))</f>
        <v/>
      </c>
      <c r="N2000" s="59">
        <f>IF(OR(tblMovement[[#This Row],[Tonnes_t]]="",tblMovement[[#This Row],[Grade_gpt]]=""),0,tblMovement[[#This Row],[Tonnes_t]]*tblMovement[[#This Row],[Grade_gpt]]/cfg_TroyOz)</f>
        <v/>
      </c>
      <c r="O2000" s="59">
        <f>IF(tblMovement[[#This Row],[Is_Ore]]=1,tblMovement[[#This Row],[Contained_oz]],0)</f>
        <v/>
      </c>
    </row>
    <row r="2001">
      <c r="A2001" s="54" t="n"/>
      <c r="B2001" s="61" t="n"/>
      <c r="C2001" s="61" t="n"/>
      <c r="D2001" s="61" t="n"/>
      <c r="E2001" s="61" t="n"/>
      <c r="F2001" s="55" t="n"/>
      <c r="G2001" s="56" t="n"/>
      <c r="H2001" s="55" t="n"/>
      <c r="I2001" s="62" t="n"/>
      <c r="J2001" s="58" t="n"/>
      <c r="K2001" s="63">
        <f>IF(tblMovement[[#This Row],[Source]]="","",IFERROR(INDEX(tblSources[Type],MATCH(tblMovement[[#This Row],[Source]],tblSources[Source],0)),"?"))</f>
        <v/>
      </c>
      <c r="L2001" s="63">
        <f>IF(tblMovement[[#This Row],[Destination]]="","",IFERROR(INDEX(tblDestinations[Type],MATCH(tblMovement[[#This Row],[Destination]],tblDestinations[Destination],0)),"?"))</f>
        <v/>
      </c>
      <c r="M2001" s="64">
        <f>IF(tblMovement[[#This Row],[Material]]="","",IF(LEFT(tblMovement[[#This Row],[Material]],3)="Ore",1,0))</f>
        <v/>
      </c>
      <c r="N2001" s="59">
        <f>IF(OR(tblMovement[[#This Row],[Tonnes_t]]="",tblMovement[[#This Row],[Grade_gpt]]=""),0,tblMovement[[#This Row],[Tonnes_t]]*tblMovement[[#This Row],[Grade_gpt]]/cfg_TroyOz)</f>
        <v/>
      </c>
      <c r="O2001" s="59">
        <f>IF(tblMovement[[#This Row],[Is_Ore]]=1,tblMovement[[#This Row],[Contained_oz]],0)</f>
        <v/>
      </c>
    </row>
    <row r="2002">
      <c r="A2002" s="54" t="n"/>
      <c r="B2002" s="61" t="n"/>
      <c r="C2002" s="61" t="n"/>
      <c r="D2002" s="61" t="n"/>
      <c r="E2002" s="61" t="n"/>
      <c r="F2002" s="55" t="n"/>
      <c r="G2002" s="56" t="n"/>
      <c r="H2002" s="55" t="n"/>
      <c r="I2002" s="62" t="n"/>
      <c r="J2002" s="58" t="n"/>
      <c r="K2002" s="63">
        <f>IF(tblMovement[[#This Row],[Source]]="","",IFERROR(INDEX(tblSources[Type],MATCH(tblMovement[[#This Row],[Source]],tblSources[Source],0)),"?"))</f>
        <v/>
      </c>
      <c r="L2002" s="63">
        <f>IF(tblMovement[[#This Row],[Destination]]="","",IFERROR(INDEX(tblDestinations[Type],MATCH(tblMovement[[#This Row],[Destination]],tblDestinations[Destination],0)),"?"))</f>
        <v/>
      </c>
      <c r="M2002" s="64">
        <f>IF(tblMovement[[#This Row],[Material]]="","",IF(LEFT(tblMovement[[#This Row],[Material]],3)="Ore",1,0))</f>
        <v/>
      </c>
      <c r="N2002" s="59">
        <f>IF(OR(tblMovement[[#This Row],[Tonnes_t]]="",tblMovement[[#This Row],[Grade_gpt]]=""),0,tblMovement[[#This Row],[Tonnes_t]]*tblMovement[[#This Row],[Grade_gpt]]/cfg_TroyOz)</f>
        <v/>
      </c>
      <c r="O2002" s="59">
        <f>IF(tblMovement[[#This Row],[Is_Ore]]=1,tblMovement[[#This Row],[Contained_oz]],0)</f>
        <v/>
      </c>
    </row>
    <row r="2003">
      <c r="A2003" s="54" t="n"/>
      <c r="B2003" s="61" t="n"/>
      <c r="C2003" s="61" t="n"/>
      <c r="D2003" s="61" t="n"/>
      <c r="E2003" s="61" t="n"/>
      <c r="F2003" s="55" t="n"/>
      <c r="G2003" s="56" t="n"/>
      <c r="H2003" s="55" t="n"/>
      <c r="I2003" s="62" t="n"/>
      <c r="J2003" s="58" t="n"/>
      <c r="K2003" s="63">
        <f>IF(tblMovement[[#This Row],[Source]]="","",IFERROR(INDEX(tblSources[Type],MATCH(tblMovement[[#This Row],[Source]],tblSources[Source],0)),"?"))</f>
        <v/>
      </c>
      <c r="L2003" s="63">
        <f>IF(tblMovement[[#This Row],[Destination]]="","",IFERROR(INDEX(tblDestinations[Type],MATCH(tblMovement[[#This Row],[Destination]],tblDestinations[Destination],0)),"?"))</f>
        <v/>
      </c>
      <c r="M2003" s="64">
        <f>IF(tblMovement[[#This Row],[Material]]="","",IF(LEFT(tblMovement[[#This Row],[Material]],3)="Ore",1,0))</f>
        <v/>
      </c>
      <c r="N2003" s="59">
        <f>IF(OR(tblMovement[[#This Row],[Tonnes_t]]="",tblMovement[[#This Row],[Grade_gpt]]=""),0,tblMovement[[#This Row],[Tonnes_t]]*tblMovement[[#This Row],[Grade_gpt]]/cfg_TroyOz)</f>
        <v/>
      </c>
      <c r="O2003" s="59">
        <f>IF(tblMovement[[#This Row],[Is_Ore]]=1,tblMovement[[#This Row],[Contained_oz]],0)</f>
        <v/>
      </c>
    </row>
    <row r="2004">
      <c r="A2004" s="54" t="n"/>
      <c r="B2004" s="61" t="n"/>
      <c r="C2004" s="61" t="n"/>
      <c r="D2004" s="61" t="n"/>
      <c r="E2004" s="61" t="n"/>
      <c r="F2004" s="55" t="n"/>
      <c r="G2004" s="56" t="n"/>
      <c r="H2004" s="55" t="n"/>
      <c r="I2004" s="62" t="n"/>
      <c r="J2004" s="58" t="n"/>
      <c r="K2004" s="63">
        <f>IF(tblMovement[[#This Row],[Source]]="","",IFERROR(INDEX(tblSources[Type],MATCH(tblMovement[[#This Row],[Source]],tblSources[Source],0)),"?"))</f>
        <v/>
      </c>
      <c r="L2004" s="63">
        <f>IF(tblMovement[[#This Row],[Destination]]="","",IFERROR(INDEX(tblDestinations[Type],MATCH(tblMovement[[#This Row],[Destination]],tblDestinations[Destination],0)),"?"))</f>
        <v/>
      </c>
      <c r="M2004" s="64">
        <f>IF(tblMovement[[#This Row],[Material]]="","",IF(LEFT(tblMovement[[#This Row],[Material]],3)="Ore",1,0))</f>
        <v/>
      </c>
      <c r="N2004" s="59">
        <f>IF(OR(tblMovement[[#This Row],[Tonnes_t]]="",tblMovement[[#This Row],[Grade_gpt]]=""),0,tblMovement[[#This Row],[Tonnes_t]]*tblMovement[[#This Row],[Grade_gpt]]/cfg_TroyOz)</f>
        <v/>
      </c>
      <c r="O2004" s="59">
        <f>IF(tblMovement[[#This Row],[Is_Ore]]=1,tblMovement[[#This Row],[Contained_oz]],0)</f>
        <v/>
      </c>
    </row>
    <row r="2005">
      <c r="A2005" s="54" t="n"/>
      <c r="B2005" s="61" t="n"/>
      <c r="C2005" s="61" t="n"/>
      <c r="D2005" s="61" t="n"/>
      <c r="E2005" s="61" t="n"/>
      <c r="F2005" s="55" t="n"/>
      <c r="G2005" s="56" t="n"/>
      <c r="H2005" s="55" t="n"/>
      <c r="I2005" s="62" t="n"/>
      <c r="J2005" s="58" t="n"/>
      <c r="K2005" s="63">
        <f>IF(tblMovement[[#This Row],[Source]]="","",IFERROR(INDEX(tblSources[Type],MATCH(tblMovement[[#This Row],[Source]],tblSources[Source],0)),"?"))</f>
        <v/>
      </c>
      <c r="L2005" s="63">
        <f>IF(tblMovement[[#This Row],[Destination]]="","",IFERROR(INDEX(tblDestinations[Type],MATCH(tblMovement[[#This Row],[Destination]],tblDestinations[Destination],0)),"?"))</f>
        <v/>
      </c>
      <c r="M2005" s="64">
        <f>IF(tblMovement[[#This Row],[Material]]="","",IF(LEFT(tblMovement[[#This Row],[Material]],3)="Ore",1,0))</f>
        <v/>
      </c>
      <c r="N2005" s="59">
        <f>IF(OR(tblMovement[[#This Row],[Tonnes_t]]="",tblMovement[[#This Row],[Grade_gpt]]=""),0,tblMovement[[#This Row],[Tonnes_t]]*tblMovement[[#This Row],[Grade_gpt]]/cfg_TroyOz)</f>
        <v/>
      </c>
      <c r="O2005" s="59">
        <f>IF(tblMovement[[#This Row],[Is_Ore]]=1,tblMovement[[#This Row],[Contained_oz]],0)</f>
        <v/>
      </c>
    </row>
    <row r="2006">
      <c r="A2006" s="54" t="n"/>
      <c r="B2006" s="61" t="n"/>
      <c r="C2006" s="61" t="n"/>
      <c r="D2006" s="61" t="n"/>
      <c r="E2006" s="61" t="n"/>
      <c r="F2006" s="55" t="n"/>
      <c r="G2006" s="56" t="n"/>
      <c r="H2006" s="55" t="n"/>
      <c r="I2006" s="62" t="n"/>
      <c r="J2006" s="58" t="n"/>
      <c r="K2006" s="63">
        <f>IF(tblMovement[[#This Row],[Source]]="","",IFERROR(INDEX(tblSources[Type],MATCH(tblMovement[[#This Row],[Source]],tblSources[Source],0)),"?"))</f>
        <v/>
      </c>
      <c r="L2006" s="63">
        <f>IF(tblMovement[[#This Row],[Destination]]="","",IFERROR(INDEX(tblDestinations[Type],MATCH(tblMovement[[#This Row],[Destination]],tblDestinations[Destination],0)),"?"))</f>
        <v/>
      </c>
      <c r="M2006" s="64">
        <f>IF(tblMovement[[#This Row],[Material]]="","",IF(LEFT(tblMovement[[#This Row],[Material]],3)="Ore",1,0))</f>
        <v/>
      </c>
      <c r="N2006" s="59">
        <f>IF(OR(tblMovement[[#This Row],[Tonnes_t]]="",tblMovement[[#This Row],[Grade_gpt]]=""),0,tblMovement[[#This Row],[Tonnes_t]]*tblMovement[[#This Row],[Grade_gpt]]/cfg_TroyOz)</f>
        <v/>
      </c>
      <c r="O2006" s="59">
        <f>IF(tblMovement[[#This Row],[Is_Ore]]=1,tblMovement[[#This Row],[Contained_oz]],0)</f>
        <v/>
      </c>
    </row>
    <row r="2007">
      <c r="A2007" s="54" t="n"/>
      <c r="B2007" s="61" t="n"/>
      <c r="C2007" s="61" t="n"/>
      <c r="D2007" s="61" t="n"/>
      <c r="E2007" s="61" t="n"/>
      <c r="F2007" s="55" t="n"/>
      <c r="G2007" s="56" t="n"/>
      <c r="H2007" s="55" t="n"/>
      <c r="I2007" s="62" t="n"/>
      <c r="J2007" s="58" t="n"/>
      <c r="K2007" s="63">
        <f>IF(tblMovement[[#This Row],[Source]]="","",IFERROR(INDEX(tblSources[Type],MATCH(tblMovement[[#This Row],[Source]],tblSources[Source],0)),"?"))</f>
        <v/>
      </c>
      <c r="L2007" s="63">
        <f>IF(tblMovement[[#This Row],[Destination]]="","",IFERROR(INDEX(tblDestinations[Type],MATCH(tblMovement[[#This Row],[Destination]],tblDestinations[Destination],0)),"?"))</f>
        <v/>
      </c>
      <c r="M2007" s="64">
        <f>IF(tblMovement[[#This Row],[Material]]="","",IF(LEFT(tblMovement[[#This Row],[Material]],3)="Ore",1,0))</f>
        <v/>
      </c>
      <c r="N2007" s="59">
        <f>IF(OR(tblMovement[[#This Row],[Tonnes_t]]="",tblMovement[[#This Row],[Grade_gpt]]=""),0,tblMovement[[#This Row],[Tonnes_t]]*tblMovement[[#This Row],[Grade_gpt]]/cfg_TroyOz)</f>
        <v/>
      </c>
      <c r="O2007" s="59">
        <f>IF(tblMovement[[#This Row],[Is_Ore]]=1,tblMovement[[#This Row],[Contained_oz]],0)</f>
        <v/>
      </c>
    </row>
    <row r="2008">
      <c r="A2008" s="54" t="n"/>
      <c r="B2008" s="61" t="n"/>
      <c r="C2008" s="61" t="n"/>
      <c r="D2008" s="61" t="n"/>
      <c r="E2008" s="61" t="n"/>
      <c r="F2008" s="55" t="n"/>
      <c r="G2008" s="56" t="n"/>
      <c r="H2008" s="55" t="n"/>
      <c r="I2008" s="62" t="n"/>
      <c r="J2008" s="58" t="n"/>
      <c r="K2008" s="63">
        <f>IF(tblMovement[[#This Row],[Source]]="","",IFERROR(INDEX(tblSources[Type],MATCH(tblMovement[[#This Row],[Source]],tblSources[Source],0)),"?"))</f>
        <v/>
      </c>
      <c r="L2008" s="63">
        <f>IF(tblMovement[[#This Row],[Destination]]="","",IFERROR(INDEX(tblDestinations[Type],MATCH(tblMovement[[#This Row],[Destination]],tblDestinations[Destination],0)),"?"))</f>
        <v/>
      </c>
      <c r="M2008" s="64">
        <f>IF(tblMovement[[#This Row],[Material]]="","",IF(LEFT(tblMovement[[#This Row],[Material]],3)="Ore",1,0))</f>
        <v/>
      </c>
      <c r="N2008" s="59">
        <f>IF(OR(tblMovement[[#This Row],[Tonnes_t]]="",tblMovement[[#This Row],[Grade_gpt]]=""),0,tblMovement[[#This Row],[Tonnes_t]]*tblMovement[[#This Row],[Grade_gpt]]/cfg_TroyOz)</f>
        <v/>
      </c>
      <c r="O2008" s="59">
        <f>IF(tblMovement[[#This Row],[Is_Ore]]=1,tblMovement[[#This Row],[Contained_oz]],0)</f>
        <v/>
      </c>
    </row>
    <row r="2009">
      <c r="A2009" s="54" t="n"/>
      <c r="B2009" s="61" t="n"/>
      <c r="C2009" s="61" t="n"/>
      <c r="D2009" s="61" t="n"/>
      <c r="E2009" s="61" t="n"/>
      <c r="F2009" s="55" t="n"/>
      <c r="G2009" s="56" t="n"/>
      <c r="H2009" s="55" t="n"/>
      <c r="I2009" s="62" t="n"/>
      <c r="J2009" s="58" t="n"/>
      <c r="K2009" s="63">
        <f>IF(tblMovement[[#This Row],[Source]]="","",IFERROR(INDEX(tblSources[Type],MATCH(tblMovement[[#This Row],[Source]],tblSources[Source],0)),"?"))</f>
        <v/>
      </c>
      <c r="L2009" s="63">
        <f>IF(tblMovement[[#This Row],[Destination]]="","",IFERROR(INDEX(tblDestinations[Type],MATCH(tblMovement[[#This Row],[Destination]],tblDestinations[Destination],0)),"?"))</f>
        <v/>
      </c>
      <c r="M2009" s="64">
        <f>IF(tblMovement[[#This Row],[Material]]="","",IF(LEFT(tblMovement[[#This Row],[Material]],3)="Ore",1,0))</f>
        <v/>
      </c>
      <c r="N2009" s="59">
        <f>IF(OR(tblMovement[[#This Row],[Tonnes_t]]="",tblMovement[[#This Row],[Grade_gpt]]=""),0,tblMovement[[#This Row],[Tonnes_t]]*tblMovement[[#This Row],[Grade_gpt]]/cfg_TroyOz)</f>
        <v/>
      </c>
      <c r="O2009" s="59">
        <f>IF(tblMovement[[#This Row],[Is_Ore]]=1,tblMovement[[#This Row],[Contained_oz]],0)</f>
        <v/>
      </c>
    </row>
    <row r="2010">
      <c r="A2010" s="54" t="n"/>
      <c r="B2010" s="61" t="n"/>
      <c r="C2010" s="61" t="n"/>
      <c r="D2010" s="61" t="n"/>
      <c r="E2010" s="61" t="n"/>
      <c r="F2010" s="55" t="n"/>
      <c r="G2010" s="56" t="n"/>
      <c r="H2010" s="55" t="n"/>
      <c r="I2010" s="62" t="n"/>
      <c r="J2010" s="58" t="n"/>
      <c r="K2010" s="63">
        <f>IF(tblMovement[[#This Row],[Source]]="","",IFERROR(INDEX(tblSources[Type],MATCH(tblMovement[[#This Row],[Source]],tblSources[Source],0)),"?"))</f>
        <v/>
      </c>
      <c r="L2010" s="63">
        <f>IF(tblMovement[[#This Row],[Destination]]="","",IFERROR(INDEX(tblDestinations[Type],MATCH(tblMovement[[#This Row],[Destination]],tblDestinations[Destination],0)),"?"))</f>
        <v/>
      </c>
      <c r="M2010" s="64">
        <f>IF(tblMovement[[#This Row],[Material]]="","",IF(LEFT(tblMovement[[#This Row],[Material]],3)="Ore",1,0))</f>
        <v/>
      </c>
      <c r="N2010" s="59">
        <f>IF(OR(tblMovement[[#This Row],[Tonnes_t]]="",tblMovement[[#This Row],[Grade_gpt]]=""),0,tblMovement[[#This Row],[Tonnes_t]]*tblMovement[[#This Row],[Grade_gpt]]/cfg_TroyOz)</f>
        <v/>
      </c>
      <c r="O2010" s="59">
        <f>IF(tblMovement[[#This Row],[Is_Ore]]=1,tblMovement[[#This Row],[Contained_oz]],0)</f>
        <v/>
      </c>
    </row>
    <row r="2011">
      <c r="A2011" s="54" t="n"/>
      <c r="B2011" s="61" t="n"/>
      <c r="C2011" s="61" t="n"/>
      <c r="D2011" s="61" t="n"/>
      <c r="E2011" s="61" t="n"/>
      <c r="F2011" s="55" t="n"/>
      <c r="G2011" s="56" t="n"/>
      <c r="H2011" s="55" t="n"/>
      <c r="I2011" s="62" t="n"/>
      <c r="J2011" s="58" t="n"/>
      <c r="K2011" s="63">
        <f>IF(tblMovement[[#This Row],[Source]]="","",IFERROR(INDEX(tblSources[Type],MATCH(tblMovement[[#This Row],[Source]],tblSources[Source],0)),"?"))</f>
        <v/>
      </c>
      <c r="L2011" s="63">
        <f>IF(tblMovement[[#This Row],[Destination]]="","",IFERROR(INDEX(tblDestinations[Type],MATCH(tblMovement[[#This Row],[Destination]],tblDestinations[Destination],0)),"?"))</f>
        <v/>
      </c>
      <c r="M2011" s="64">
        <f>IF(tblMovement[[#This Row],[Material]]="","",IF(LEFT(tblMovement[[#This Row],[Material]],3)="Ore",1,0))</f>
        <v/>
      </c>
      <c r="N2011" s="59">
        <f>IF(OR(tblMovement[[#This Row],[Tonnes_t]]="",tblMovement[[#This Row],[Grade_gpt]]=""),0,tblMovement[[#This Row],[Tonnes_t]]*tblMovement[[#This Row],[Grade_gpt]]/cfg_TroyOz)</f>
        <v/>
      </c>
      <c r="O2011" s="59">
        <f>IF(tblMovement[[#This Row],[Is_Ore]]=1,tblMovement[[#This Row],[Contained_oz]],0)</f>
        <v/>
      </c>
    </row>
    <row r="2012">
      <c r="A2012" s="54" t="n"/>
      <c r="B2012" s="61" t="n"/>
      <c r="C2012" s="61" t="n"/>
      <c r="D2012" s="61" t="n"/>
      <c r="E2012" s="61" t="n"/>
      <c r="F2012" s="55" t="n"/>
      <c r="G2012" s="56" t="n"/>
      <c r="H2012" s="55" t="n"/>
      <c r="I2012" s="62" t="n"/>
      <c r="J2012" s="58" t="n"/>
      <c r="K2012" s="63">
        <f>IF(tblMovement[[#This Row],[Source]]="","",IFERROR(INDEX(tblSources[Type],MATCH(tblMovement[[#This Row],[Source]],tblSources[Source],0)),"?"))</f>
        <v/>
      </c>
      <c r="L2012" s="63">
        <f>IF(tblMovement[[#This Row],[Destination]]="","",IFERROR(INDEX(tblDestinations[Type],MATCH(tblMovement[[#This Row],[Destination]],tblDestinations[Destination],0)),"?"))</f>
        <v/>
      </c>
      <c r="M2012" s="64">
        <f>IF(tblMovement[[#This Row],[Material]]="","",IF(LEFT(tblMovement[[#This Row],[Material]],3)="Ore",1,0))</f>
        <v/>
      </c>
      <c r="N2012" s="59">
        <f>IF(OR(tblMovement[[#This Row],[Tonnes_t]]="",tblMovement[[#This Row],[Grade_gpt]]=""),0,tblMovement[[#This Row],[Tonnes_t]]*tblMovement[[#This Row],[Grade_gpt]]/cfg_TroyOz)</f>
        <v/>
      </c>
      <c r="O2012" s="59">
        <f>IF(tblMovement[[#This Row],[Is_Ore]]=1,tblMovement[[#This Row],[Contained_oz]],0)</f>
        <v/>
      </c>
    </row>
    <row r="2013">
      <c r="A2013" s="54" t="n"/>
      <c r="B2013" s="61" t="n"/>
      <c r="C2013" s="61" t="n"/>
      <c r="D2013" s="61" t="n"/>
      <c r="E2013" s="61" t="n"/>
      <c r="F2013" s="55" t="n"/>
      <c r="G2013" s="56" t="n"/>
      <c r="H2013" s="55" t="n"/>
      <c r="I2013" s="62" t="n"/>
      <c r="J2013" s="58" t="n"/>
      <c r="K2013" s="63">
        <f>IF(tblMovement[[#This Row],[Source]]="","",IFERROR(INDEX(tblSources[Type],MATCH(tblMovement[[#This Row],[Source]],tblSources[Source],0)),"?"))</f>
        <v/>
      </c>
      <c r="L2013" s="63">
        <f>IF(tblMovement[[#This Row],[Destination]]="","",IFERROR(INDEX(tblDestinations[Type],MATCH(tblMovement[[#This Row],[Destination]],tblDestinations[Destination],0)),"?"))</f>
        <v/>
      </c>
      <c r="M2013" s="64">
        <f>IF(tblMovement[[#This Row],[Material]]="","",IF(LEFT(tblMovement[[#This Row],[Material]],3)="Ore",1,0))</f>
        <v/>
      </c>
      <c r="N2013" s="59">
        <f>IF(OR(tblMovement[[#This Row],[Tonnes_t]]="",tblMovement[[#This Row],[Grade_gpt]]=""),0,tblMovement[[#This Row],[Tonnes_t]]*tblMovement[[#This Row],[Grade_gpt]]/cfg_TroyOz)</f>
        <v/>
      </c>
      <c r="O2013" s="59">
        <f>IF(tblMovement[[#This Row],[Is_Ore]]=1,tblMovement[[#This Row],[Contained_oz]],0)</f>
        <v/>
      </c>
    </row>
    <row r="2014">
      <c r="A2014" s="54" t="n"/>
      <c r="B2014" s="61" t="n"/>
      <c r="C2014" s="61" t="n"/>
      <c r="D2014" s="61" t="n"/>
      <c r="E2014" s="61" t="n"/>
      <c r="F2014" s="55" t="n"/>
      <c r="G2014" s="56" t="n"/>
      <c r="H2014" s="55" t="n"/>
      <c r="I2014" s="62" t="n"/>
      <c r="J2014" s="58" t="n"/>
      <c r="K2014" s="63">
        <f>IF(tblMovement[[#This Row],[Source]]="","",IFERROR(INDEX(tblSources[Type],MATCH(tblMovement[[#This Row],[Source]],tblSources[Source],0)),"?"))</f>
        <v/>
      </c>
      <c r="L2014" s="63">
        <f>IF(tblMovement[[#This Row],[Destination]]="","",IFERROR(INDEX(tblDestinations[Type],MATCH(tblMovement[[#This Row],[Destination]],tblDestinations[Destination],0)),"?"))</f>
        <v/>
      </c>
      <c r="M2014" s="64">
        <f>IF(tblMovement[[#This Row],[Material]]="","",IF(LEFT(tblMovement[[#This Row],[Material]],3)="Ore",1,0))</f>
        <v/>
      </c>
      <c r="N2014" s="59">
        <f>IF(OR(tblMovement[[#This Row],[Tonnes_t]]="",tblMovement[[#This Row],[Grade_gpt]]=""),0,tblMovement[[#This Row],[Tonnes_t]]*tblMovement[[#This Row],[Grade_gpt]]/cfg_TroyOz)</f>
        <v/>
      </c>
      <c r="O2014" s="59">
        <f>IF(tblMovement[[#This Row],[Is_Ore]]=1,tblMovement[[#This Row],[Contained_oz]],0)</f>
        <v/>
      </c>
    </row>
    <row r="2015">
      <c r="A2015" s="54" t="n"/>
      <c r="B2015" s="61" t="n"/>
      <c r="C2015" s="61" t="n"/>
      <c r="D2015" s="61" t="n"/>
      <c r="E2015" s="61" t="n"/>
      <c r="F2015" s="55" t="n"/>
      <c r="G2015" s="56" t="n"/>
      <c r="H2015" s="55" t="n"/>
      <c r="I2015" s="62" t="n"/>
      <c r="J2015" s="58" t="n"/>
      <c r="K2015" s="63">
        <f>IF(tblMovement[[#This Row],[Source]]="","",IFERROR(INDEX(tblSources[Type],MATCH(tblMovement[[#This Row],[Source]],tblSources[Source],0)),"?"))</f>
        <v/>
      </c>
      <c r="L2015" s="63">
        <f>IF(tblMovement[[#This Row],[Destination]]="","",IFERROR(INDEX(tblDestinations[Type],MATCH(tblMovement[[#This Row],[Destination]],tblDestinations[Destination],0)),"?"))</f>
        <v/>
      </c>
      <c r="M2015" s="64">
        <f>IF(tblMovement[[#This Row],[Material]]="","",IF(LEFT(tblMovement[[#This Row],[Material]],3)="Ore",1,0))</f>
        <v/>
      </c>
      <c r="N2015" s="59">
        <f>IF(OR(tblMovement[[#This Row],[Tonnes_t]]="",tblMovement[[#This Row],[Grade_gpt]]=""),0,tblMovement[[#This Row],[Tonnes_t]]*tblMovement[[#This Row],[Grade_gpt]]/cfg_TroyOz)</f>
        <v/>
      </c>
      <c r="O2015" s="59">
        <f>IF(tblMovement[[#This Row],[Is_Ore]]=1,tblMovement[[#This Row],[Contained_oz]],0)</f>
        <v/>
      </c>
    </row>
    <row r="2016">
      <c r="A2016" s="54" t="n"/>
      <c r="B2016" s="61" t="n"/>
      <c r="C2016" s="61" t="n"/>
      <c r="D2016" s="61" t="n"/>
      <c r="E2016" s="61" t="n"/>
      <c r="F2016" s="55" t="n"/>
      <c r="G2016" s="56" t="n"/>
      <c r="H2016" s="55" t="n"/>
      <c r="I2016" s="62" t="n"/>
      <c r="J2016" s="58" t="n"/>
      <c r="K2016" s="63">
        <f>IF(tblMovement[[#This Row],[Source]]="","",IFERROR(INDEX(tblSources[Type],MATCH(tblMovement[[#This Row],[Source]],tblSources[Source],0)),"?"))</f>
        <v/>
      </c>
      <c r="L2016" s="63">
        <f>IF(tblMovement[[#This Row],[Destination]]="","",IFERROR(INDEX(tblDestinations[Type],MATCH(tblMovement[[#This Row],[Destination]],tblDestinations[Destination],0)),"?"))</f>
        <v/>
      </c>
      <c r="M2016" s="64">
        <f>IF(tblMovement[[#This Row],[Material]]="","",IF(LEFT(tblMovement[[#This Row],[Material]],3)="Ore",1,0))</f>
        <v/>
      </c>
      <c r="N2016" s="59">
        <f>IF(OR(tblMovement[[#This Row],[Tonnes_t]]="",tblMovement[[#This Row],[Grade_gpt]]=""),0,tblMovement[[#This Row],[Tonnes_t]]*tblMovement[[#This Row],[Grade_gpt]]/cfg_TroyOz)</f>
        <v/>
      </c>
      <c r="O2016" s="59">
        <f>IF(tblMovement[[#This Row],[Is_Ore]]=1,tblMovement[[#This Row],[Contained_oz]],0)</f>
        <v/>
      </c>
    </row>
    <row r="2017">
      <c r="A2017" s="54" t="n"/>
      <c r="B2017" s="61" t="n"/>
      <c r="C2017" s="61" t="n"/>
      <c r="D2017" s="61" t="n"/>
      <c r="E2017" s="61" t="n"/>
      <c r="F2017" s="55" t="n"/>
      <c r="G2017" s="56" t="n"/>
      <c r="H2017" s="55" t="n"/>
      <c r="I2017" s="62" t="n"/>
      <c r="J2017" s="58" t="n"/>
      <c r="K2017" s="63">
        <f>IF(tblMovement[[#This Row],[Source]]="","",IFERROR(INDEX(tblSources[Type],MATCH(tblMovement[[#This Row],[Source]],tblSources[Source],0)),"?"))</f>
        <v/>
      </c>
      <c r="L2017" s="63">
        <f>IF(tblMovement[[#This Row],[Destination]]="","",IFERROR(INDEX(tblDestinations[Type],MATCH(tblMovement[[#This Row],[Destination]],tblDestinations[Destination],0)),"?"))</f>
        <v/>
      </c>
      <c r="M2017" s="64">
        <f>IF(tblMovement[[#This Row],[Material]]="","",IF(LEFT(tblMovement[[#This Row],[Material]],3)="Ore",1,0))</f>
        <v/>
      </c>
      <c r="N2017" s="59">
        <f>IF(OR(tblMovement[[#This Row],[Tonnes_t]]="",tblMovement[[#This Row],[Grade_gpt]]=""),0,tblMovement[[#This Row],[Tonnes_t]]*tblMovement[[#This Row],[Grade_gpt]]/cfg_TroyOz)</f>
        <v/>
      </c>
      <c r="O2017" s="59">
        <f>IF(tblMovement[[#This Row],[Is_Ore]]=1,tblMovement[[#This Row],[Contained_oz]],0)</f>
        <v/>
      </c>
    </row>
    <row r="2018">
      <c r="A2018" s="54" t="n"/>
      <c r="B2018" s="61" t="n"/>
      <c r="C2018" s="61" t="n"/>
      <c r="D2018" s="61" t="n"/>
      <c r="E2018" s="61" t="n"/>
      <c r="F2018" s="55" t="n"/>
      <c r="G2018" s="56" t="n"/>
      <c r="H2018" s="55" t="n"/>
      <c r="I2018" s="62" t="n"/>
      <c r="J2018" s="58" t="n"/>
      <c r="K2018" s="63">
        <f>IF(tblMovement[[#This Row],[Source]]="","",IFERROR(INDEX(tblSources[Type],MATCH(tblMovement[[#This Row],[Source]],tblSources[Source],0)),"?"))</f>
        <v/>
      </c>
      <c r="L2018" s="63">
        <f>IF(tblMovement[[#This Row],[Destination]]="","",IFERROR(INDEX(tblDestinations[Type],MATCH(tblMovement[[#This Row],[Destination]],tblDestinations[Destination],0)),"?"))</f>
        <v/>
      </c>
      <c r="M2018" s="64">
        <f>IF(tblMovement[[#This Row],[Material]]="","",IF(LEFT(tblMovement[[#This Row],[Material]],3)="Ore",1,0))</f>
        <v/>
      </c>
      <c r="N2018" s="59">
        <f>IF(OR(tblMovement[[#This Row],[Tonnes_t]]="",tblMovement[[#This Row],[Grade_gpt]]=""),0,tblMovement[[#This Row],[Tonnes_t]]*tblMovement[[#This Row],[Grade_gpt]]/cfg_TroyOz)</f>
        <v/>
      </c>
      <c r="O2018" s="59">
        <f>IF(tblMovement[[#This Row],[Is_Ore]]=1,tblMovement[[#This Row],[Contained_oz]],0)</f>
        <v/>
      </c>
    </row>
    <row r="2019">
      <c r="A2019" s="54" t="n"/>
      <c r="B2019" s="61" t="n"/>
      <c r="C2019" s="61" t="n"/>
      <c r="D2019" s="61" t="n"/>
      <c r="E2019" s="61" t="n"/>
      <c r="F2019" s="55" t="n"/>
      <c r="G2019" s="56" t="n"/>
      <c r="H2019" s="55" t="n"/>
      <c r="I2019" s="62" t="n"/>
      <c r="J2019" s="58" t="n"/>
      <c r="K2019" s="63">
        <f>IF(tblMovement[[#This Row],[Source]]="","",IFERROR(INDEX(tblSources[Type],MATCH(tblMovement[[#This Row],[Source]],tblSources[Source],0)),"?"))</f>
        <v/>
      </c>
      <c r="L2019" s="63">
        <f>IF(tblMovement[[#This Row],[Destination]]="","",IFERROR(INDEX(tblDestinations[Type],MATCH(tblMovement[[#This Row],[Destination]],tblDestinations[Destination],0)),"?"))</f>
        <v/>
      </c>
      <c r="M2019" s="64">
        <f>IF(tblMovement[[#This Row],[Material]]="","",IF(LEFT(tblMovement[[#This Row],[Material]],3)="Ore",1,0))</f>
        <v/>
      </c>
      <c r="N2019" s="59">
        <f>IF(OR(tblMovement[[#This Row],[Tonnes_t]]="",tblMovement[[#This Row],[Grade_gpt]]=""),0,tblMovement[[#This Row],[Tonnes_t]]*tblMovement[[#This Row],[Grade_gpt]]/cfg_TroyOz)</f>
        <v/>
      </c>
      <c r="O2019" s="59">
        <f>IF(tblMovement[[#This Row],[Is_Ore]]=1,tblMovement[[#This Row],[Contained_oz]],0)</f>
        <v/>
      </c>
    </row>
    <row r="2020">
      <c r="A2020" s="54" t="n"/>
      <c r="B2020" s="61" t="n"/>
      <c r="C2020" s="61" t="n"/>
      <c r="D2020" s="61" t="n"/>
      <c r="E2020" s="61" t="n"/>
      <c r="F2020" s="55" t="n"/>
      <c r="G2020" s="56" t="n"/>
      <c r="H2020" s="55" t="n"/>
      <c r="I2020" s="62" t="n"/>
      <c r="J2020" s="58" t="n"/>
      <c r="K2020" s="63">
        <f>IF(tblMovement[[#This Row],[Source]]="","",IFERROR(INDEX(tblSources[Type],MATCH(tblMovement[[#This Row],[Source]],tblSources[Source],0)),"?"))</f>
        <v/>
      </c>
      <c r="L2020" s="63">
        <f>IF(tblMovement[[#This Row],[Destination]]="","",IFERROR(INDEX(tblDestinations[Type],MATCH(tblMovement[[#This Row],[Destination]],tblDestinations[Destination],0)),"?"))</f>
        <v/>
      </c>
      <c r="M2020" s="64">
        <f>IF(tblMovement[[#This Row],[Material]]="","",IF(LEFT(tblMovement[[#This Row],[Material]],3)="Ore",1,0))</f>
        <v/>
      </c>
      <c r="N2020" s="59">
        <f>IF(OR(tblMovement[[#This Row],[Tonnes_t]]="",tblMovement[[#This Row],[Grade_gpt]]=""),0,tblMovement[[#This Row],[Tonnes_t]]*tblMovement[[#This Row],[Grade_gpt]]/cfg_TroyOz)</f>
        <v/>
      </c>
      <c r="O2020" s="59">
        <f>IF(tblMovement[[#This Row],[Is_Ore]]=1,tblMovement[[#This Row],[Contained_oz]],0)</f>
        <v/>
      </c>
    </row>
    <row r="2021">
      <c r="A2021" s="54" t="n"/>
      <c r="B2021" s="61" t="n"/>
      <c r="C2021" s="61" t="n"/>
      <c r="D2021" s="61" t="n"/>
      <c r="E2021" s="61" t="n"/>
      <c r="F2021" s="55" t="n"/>
      <c r="G2021" s="56" t="n"/>
      <c r="H2021" s="55" t="n"/>
      <c r="I2021" s="62" t="n"/>
      <c r="J2021" s="58" t="n"/>
      <c r="K2021" s="63">
        <f>IF(tblMovement[[#This Row],[Source]]="","",IFERROR(INDEX(tblSources[Type],MATCH(tblMovement[[#This Row],[Source]],tblSources[Source],0)),"?"))</f>
        <v/>
      </c>
      <c r="L2021" s="63">
        <f>IF(tblMovement[[#This Row],[Destination]]="","",IFERROR(INDEX(tblDestinations[Type],MATCH(tblMovement[[#This Row],[Destination]],tblDestinations[Destination],0)),"?"))</f>
        <v/>
      </c>
      <c r="M2021" s="64">
        <f>IF(tblMovement[[#This Row],[Material]]="","",IF(LEFT(tblMovement[[#This Row],[Material]],3)="Ore",1,0))</f>
        <v/>
      </c>
      <c r="N2021" s="59">
        <f>IF(OR(tblMovement[[#This Row],[Tonnes_t]]="",tblMovement[[#This Row],[Grade_gpt]]=""),0,tblMovement[[#This Row],[Tonnes_t]]*tblMovement[[#This Row],[Grade_gpt]]/cfg_TroyOz)</f>
        <v/>
      </c>
      <c r="O2021" s="59">
        <f>IF(tblMovement[[#This Row],[Is_Ore]]=1,tblMovement[[#This Row],[Contained_oz]],0)</f>
        <v/>
      </c>
    </row>
    <row r="2022">
      <c r="A2022" s="54" t="n"/>
      <c r="B2022" s="61" t="n"/>
      <c r="C2022" s="61" t="n"/>
      <c r="D2022" s="61" t="n"/>
      <c r="E2022" s="61" t="n"/>
      <c r="F2022" s="55" t="n"/>
      <c r="G2022" s="56" t="n"/>
      <c r="H2022" s="55" t="n"/>
      <c r="I2022" s="62" t="n"/>
      <c r="J2022" s="58" t="n"/>
      <c r="K2022" s="63">
        <f>IF(tblMovement[[#This Row],[Source]]="","",IFERROR(INDEX(tblSources[Type],MATCH(tblMovement[[#This Row],[Source]],tblSources[Source],0)),"?"))</f>
        <v/>
      </c>
      <c r="L2022" s="63">
        <f>IF(tblMovement[[#This Row],[Destination]]="","",IFERROR(INDEX(tblDestinations[Type],MATCH(tblMovement[[#This Row],[Destination]],tblDestinations[Destination],0)),"?"))</f>
        <v/>
      </c>
      <c r="M2022" s="64">
        <f>IF(tblMovement[[#This Row],[Material]]="","",IF(LEFT(tblMovement[[#This Row],[Material]],3)="Ore",1,0))</f>
        <v/>
      </c>
      <c r="N2022" s="59">
        <f>IF(OR(tblMovement[[#This Row],[Tonnes_t]]="",tblMovement[[#This Row],[Grade_gpt]]=""),0,tblMovement[[#This Row],[Tonnes_t]]*tblMovement[[#This Row],[Grade_gpt]]/cfg_TroyOz)</f>
        <v/>
      </c>
      <c r="O2022" s="59">
        <f>IF(tblMovement[[#This Row],[Is_Ore]]=1,tblMovement[[#This Row],[Contained_oz]],0)</f>
        <v/>
      </c>
    </row>
    <row r="2023">
      <c r="A2023" s="54" t="n"/>
      <c r="B2023" s="61" t="n"/>
      <c r="C2023" s="61" t="n"/>
      <c r="D2023" s="61" t="n"/>
      <c r="E2023" s="61" t="n"/>
      <c r="F2023" s="55" t="n"/>
      <c r="G2023" s="56" t="n"/>
      <c r="H2023" s="55" t="n"/>
      <c r="I2023" s="62" t="n"/>
      <c r="J2023" s="58" t="n"/>
      <c r="K2023" s="63">
        <f>IF(tblMovement[[#This Row],[Source]]="","",IFERROR(INDEX(tblSources[Type],MATCH(tblMovement[[#This Row],[Source]],tblSources[Source],0)),"?"))</f>
        <v/>
      </c>
      <c r="L2023" s="63">
        <f>IF(tblMovement[[#This Row],[Destination]]="","",IFERROR(INDEX(tblDestinations[Type],MATCH(tblMovement[[#This Row],[Destination]],tblDestinations[Destination],0)),"?"))</f>
        <v/>
      </c>
      <c r="M2023" s="64">
        <f>IF(tblMovement[[#This Row],[Material]]="","",IF(LEFT(tblMovement[[#This Row],[Material]],3)="Ore",1,0))</f>
        <v/>
      </c>
      <c r="N2023" s="59">
        <f>IF(OR(tblMovement[[#This Row],[Tonnes_t]]="",tblMovement[[#This Row],[Grade_gpt]]=""),0,tblMovement[[#This Row],[Tonnes_t]]*tblMovement[[#This Row],[Grade_gpt]]/cfg_TroyOz)</f>
        <v/>
      </c>
      <c r="O2023" s="59">
        <f>IF(tblMovement[[#This Row],[Is_Ore]]=1,tblMovement[[#This Row],[Contained_oz]],0)</f>
        <v/>
      </c>
    </row>
    <row r="2024">
      <c r="A2024" s="54" t="n"/>
      <c r="B2024" s="61" t="n"/>
      <c r="C2024" s="61" t="n"/>
      <c r="D2024" s="61" t="n"/>
      <c r="E2024" s="61" t="n"/>
      <c r="F2024" s="55" t="n"/>
      <c r="G2024" s="56" t="n"/>
      <c r="H2024" s="55" t="n"/>
      <c r="I2024" s="62" t="n"/>
      <c r="J2024" s="58" t="n"/>
      <c r="K2024" s="63">
        <f>IF(tblMovement[[#This Row],[Source]]="","",IFERROR(INDEX(tblSources[Type],MATCH(tblMovement[[#This Row],[Source]],tblSources[Source],0)),"?"))</f>
        <v/>
      </c>
      <c r="L2024" s="63">
        <f>IF(tblMovement[[#This Row],[Destination]]="","",IFERROR(INDEX(tblDestinations[Type],MATCH(tblMovement[[#This Row],[Destination]],tblDestinations[Destination],0)),"?"))</f>
        <v/>
      </c>
      <c r="M2024" s="64">
        <f>IF(tblMovement[[#This Row],[Material]]="","",IF(LEFT(tblMovement[[#This Row],[Material]],3)="Ore",1,0))</f>
        <v/>
      </c>
      <c r="N2024" s="59">
        <f>IF(OR(tblMovement[[#This Row],[Tonnes_t]]="",tblMovement[[#This Row],[Grade_gpt]]=""),0,tblMovement[[#This Row],[Tonnes_t]]*tblMovement[[#This Row],[Grade_gpt]]/cfg_TroyOz)</f>
        <v/>
      </c>
      <c r="O2024" s="59">
        <f>IF(tblMovement[[#This Row],[Is_Ore]]=1,tblMovement[[#This Row],[Contained_oz]],0)</f>
        <v/>
      </c>
    </row>
    <row r="2025">
      <c r="A2025" s="54" t="n"/>
      <c r="B2025" s="61" t="n"/>
      <c r="C2025" s="61" t="n"/>
      <c r="D2025" s="61" t="n"/>
      <c r="E2025" s="61" t="n"/>
      <c r="F2025" s="55" t="n"/>
      <c r="G2025" s="56" t="n"/>
      <c r="H2025" s="55" t="n"/>
      <c r="I2025" s="62" t="n"/>
      <c r="J2025" s="58" t="n"/>
      <c r="K2025" s="63">
        <f>IF(tblMovement[[#This Row],[Source]]="","",IFERROR(INDEX(tblSources[Type],MATCH(tblMovement[[#This Row],[Source]],tblSources[Source],0)),"?"))</f>
        <v/>
      </c>
      <c r="L2025" s="63">
        <f>IF(tblMovement[[#This Row],[Destination]]="","",IFERROR(INDEX(tblDestinations[Type],MATCH(tblMovement[[#This Row],[Destination]],tblDestinations[Destination],0)),"?"))</f>
        <v/>
      </c>
      <c r="M2025" s="64">
        <f>IF(tblMovement[[#This Row],[Material]]="","",IF(LEFT(tblMovement[[#This Row],[Material]],3)="Ore",1,0))</f>
        <v/>
      </c>
      <c r="N2025" s="59">
        <f>IF(OR(tblMovement[[#This Row],[Tonnes_t]]="",tblMovement[[#This Row],[Grade_gpt]]=""),0,tblMovement[[#This Row],[Tonnes_t]]*tblMovement[[#This Row],[Grade_gpt]]/cfg_TroyOz)</f>
        <v/>
      </c>
      <c r="O2025" s="59">
        <f>IF(tblMovement[[#This Row],[Is_Ore]]=1,tblMovement[[#This Row],[Contained_oz]],0)</f>
        <v/>
      </c>
    </row>
    <row r="2026">
      <c r="A2026" s="54" t="n"/>
      <c r="B2026" s="61" t="n"/>
      <c r="C2026" s="61" t="n"/>
      <c r="D2026" s="61" t="n"/>
      <c r="E2026" s="61" t="n"/>
      <c r="F2026" s="55" t="n"/>
      <c r="G2026" s="56" t="n"/>
      <c r="H2026" s="55" t="n"/>
      <c r="I2026" s="62" t="n"/>
      <c r="J2026" s="58" t="n"/>
      <c r="K2026" s="63">
        <f>IF(tblMovement[[#This Row],[Source]]="","",IFERROR(INDEX(tblSources[Type],MATCH(tblMovement[[#This Row],[Source]],tblSources[Source],0)),"?"))</f>
        <v/>
      </c>
      <c r="L2026" s="63">
        <f>IF(tblMovement[[#This Row],[Destination]]="","",IFERROR(INDEX(tblDestinations[Type],MATCH(tblMovement[[#This Row],[Destination]],tblDestinations[Destination],0)),"?"))</f>
        <v/>
      </c>
      <c r="M2026" s="64">
        <f>IF(tblMovement[[#This Row],[Material]]="","",IF(LEFT(tblMovement[[#This Row],[Material]],3)="Ore",1,0))</f>
        <v/>
      </c>
      <c r="N2026" s="59">
        <f>IF(OR(tblMovement[[#This Row],[Tonnes_t]]="",tblMovement[[#This Row],[Grade_gpt]]=""),0,tblMovement[[#This Row],[Tonnes_t]]*tblMovement[[#This Row],[Grade_gpt]]/cfg_TroyOz)</f>
        <v/>
      </c>
      <c r="O2026" s="59">
        <f>IF(tblMovement[[#This Row],[Is_Ore]]=1,tblMovement[[#This Row],[Contained_oz]],0)</f>
        <v/>
      </c>
    </row>
    <row r="2027">
      <c r="A2027" s="54" t="n"/>
      <c r="B2027" s="61" t="n"/>
      <c r="C2027" s="61" t="n"/>
      <c r="D2027" s="61" t="n"/>
      <c r="E2027" s="61" t="n"/>
      <c r="F2027" s="55" t="n"/>
      <c r="G2027" s="56" t="n"/>
      <c r="H2027" s="55" t="n"/>
      <c r="I2027" s="62" t="n"/>
      <c r="J2027" s="58" t="n"/>
      <c r="K2027" s="63">
        <f>IF(tblMovement[[#This Row],[Source]]="","",IFERROR(INDEX(tblSources[Type],MATCH(tblMovement[[#This Row],[Source]],tblSources[Source],0)),"?"))</f>
        <v/>
      </c>
      <c r="L2027" s="63">
        <f>IF(tblMovement[[#This Row],[Destination]]="","",IFERROR(INDEX(tblDestinations[Type],MATCH(tblMovement[[#This Row],[Destination]],tblDestinations[Destination],0)),"?"))</f>
        <v/>
      </c>
      <c r="M2027" s="64">
        <f>IF(tblMovement[[#This Row],[Material]]="","",IF(LEFT(tblMovement[[#This Row],[Material]],3)="Ore",1,0))</f>
        <v/>
      </c>
      <c r="N2027" s="59">
        <f>IF(OR(tblMovement[[#This Row],[Tonnes_t]]="",tblMovement[[#This Row],[Grade_gpt]]=""),0,tblMovement[[#This Row],[Tonnes_t]]*tblMovement[[#This Row],[Grade_gpt]]/cfg_TroyOz)</f>
        <v/>
      </c>
      <c r="O2027" s="59">
        <f>IF(tblMovement[[#This Row],[Is_Ore]]=1,tblMovement[[#This Row],[Contained_oz]],0)</f>
        <v/>
      </c>
    </row>
    <row r="2028">
      <c r="A2028" s="54" t="n"/>
      <c r="B2028" s="61" t="n"/>
      <c r="C2028" s="61" t="n"/>
      <c r="D2028" s="61" t="n"/>
      <c r="E2028" s="61" t="n"/>
      <c r="F2028" s="55" t="n"/>
      <c r="G2028" s="56" t="n"/>
      <c r="H2028" s="55" t="n"/>
      <c r="I2028" s="62" t="n"/>
      <c r="J2028" s="58" t="n"/>
      <c r="K2028" s="63">
        <f>IF(tblMovement[[#This Row],[Source]]="","",IFERROR(INDEX(tblSources[Type],MATCH(tblMovement[[#This Row],[Source]],tblSources[Source],0)),"?"))</f>
        <v/>
      </c>
      <c r="L2028" s="63">
        <f>IF(tblMovement[[#This Row],[Destination]]="","",IFERROR(INDEX(tblDestinations[Type],MATCH(tblMovement[[#This Row],[Destination]],tblDestinations[Destination],0)),"?"))</f>
        <v/>
      </c>
      <c r="M2028" s="64">
        <f>IF(tblMovement[[#This Row],[Material]]="","",IF(LEFT(tblMovement[[#This Row],[Material]],3)="Ore",1,0))</f>
        <v/>
      </c>
      <c r="N2028" s="59">
        <f>IF(OR(tblMovement[[#This Row],[Tonnes_t]]="",tblMovement[[#This Row],[Grade_gpt]]=""),0,tblMovement[[#This Row],[Tonnes_t]]*tblMovement[[#This Row],[Grade_gpt]]/cfg_TroyOz)</f>
        <v/>
      </c>
      <c r="O2028" s="59">
        <f>IF(tblMovement[[#This Row],[Is_Ore]]=1,tblMovement[[#This Row],[Contained_oz]],0)</f>
        <v/>
      </c>
    </row>
    <row r="2029">
      <c r="A2029" s="54" t="n"/>
      <c r="B2029" s="61" t="n"/>
      <c r="C2029" s="61" t="n"/>
      <c r="D2029" s="61" t="n"/>
      <c r="E2029" s="61" t="n"/>
      <c r="F2029" s="55" t="n"/>
      <c r="G2029" s="56" t="n"/>
      <c r="H2029" s="55" t="n"/>
      <c r="I2029" s="62" t="n"/>
      <c r="J2029" s="58" t="n"/>
      <c r="K2029" s="63">
        <f>IF(tblMovement[[#This Row],[Source]]="","",IFERROR(INDEX(tblSources[Type],MATCH(tblMovement[[#This Row],[Source]],tblSources[Source],0)),"?"))</f>
        <v/>
      </c>
      <c r="L2029" s="63">
        <f>IF(tblMovement[[#This Row],[Destination]]="","",IFERROR(INDEX(tblDestinations[Type],MATCH(tblMovement[[#This Row],[Destination]],tblDestinations[Destination],0)),"?"))</f>
        <v/>
      </c>
      <c r="M2029" s="64">
        <f>IF(tblMovement[[#This Row],[Material]]="","",IF(LEFT(tblMovement[[#This Row],[Material]],3)="Ore",1,0))</f>
        <v/>
      </c>
      <c r="N2029" s="59">
        <f>IF(OR(tblMovement[[#This Row],[Tonnes_t]]="",tblMovement[[#This Row],[Grade_gpt]]=""),0,tblMovement[[#This Row],[Tonnes_t]]*tblMovement[[#This Row],[Grade_gpt]]/cfg_TroyOz)</f>
        <v/>
      </c>
      <c r="O2029" s="59">
        <f>IF(tblMovement[[#This Row],[Is_Ore]]=1,tblMovement[[#This Row],[Contained_oz]],0)</f>
        <v/>
      </c>
    </row>
    <row r="2030">
      <c r="A2030" s="54" t="n"/>
      <c r="B2030" s="61" t="n"/>
      <c r="C2030" s="61" t="n"/>
      <c r="D2030" s="61" t="n"/>
      <c r="E2030" s="61" t="n"/>
      <c r="F2030" s="55" t="n"/>
      <c r="G2030" s="56" t="n"/>
      <c r="H2030" s="55" t="n"/>
      <c r="I2030" s="62" t="n"/>
      <c r="J2030" s="58" t="n"/>
      <c r="K2030" s="63">
        <f>IF(tblMovement[[#This Row],[Source]]="","",IFERROR(INDEX(tblSources[Type],MATCH(tblMovement[[#This Row],[Source]],tblSources[Source],0)),"?"))</f>
        <v/>
      </c>
      <c r="L2030" s="63">
        <f>IF(tblMovement[[#This Row],[Destination]]="","",IFERROR(INDEX(tblDestinations[Type],MATCH(tblMovement[[#This Row],[Destination]],tblDestinations[Destination],0)),"?"))</f>
        <v/>
      </c>
      <c r="M2030" s="64">
        <f>IF(tblMovement[[#This Row],[Material]]="","",IF(LEFT(tblMovement[[#This Row],[Material]],3)="Ore",1,0))</f>
        <v/>
      </c>
      <c r="N2030" s="59">
        <f>IF(OR(tblMovement[[#This Row],[Tonnes_t]]="",tblMovement[[#This Row],[Grade_gpt]]=""),0,tblMovement[[#This Row],[Tonnes_t]]*tblMovement[[#This Row],[Grade_gpt]]/cfg_TroyOz)</f>
        <v/>
      </c>
      <c r="O2030" s="59">
        <f>IF(tblMovement[[#This Row],[Is_Ore]]=1,tblMovement[[#This Row],[Contained_oz]],0)</f>
        <v/>
      </c>
    </row>
    <row r="2031">
      <c r="A2031" s="54" t="n"/>
      <c r="B2031" s="61" t="n"/>
      <c r="C2031" s="61" t="n"/>
      <c r="D2031" s="61" t="n"/>
      <c r="E2031" s="61" t="n"/>
      <c r="F2031" s="55" t="n"/>
      <c r="G2031" s="56" t="n"/>
      <c r="H2031" s="55" t="n"/>
      <c r="I2031" s="62" t="n"/>
      <c r="J2031" s="58" t="n"/>
      <c r="K2031" s="63">
        <f>IF(tblMovement[[#This Row],[Source]]="","",IFERROR(INDEX(tblSources[Type],MATCH(tblMovement[[#This Row],[Source]],tblSources[Source],0)),"?"))</f>
        <v/>
      </c>
      <c r="L2031" s="63">
        <f>IF(tblMovement[[#This Row],[Destination]]="","",IFERROR(INDEX(tblDestinations[Type],MATCH(tblMovement[[#This Row],[Destination]],tblDestinations[Destination],0)),"?"))</f>
        <v/>
      </c>
      <c r="M2031" s="64">
        <f>IF(tblMovement[[#This Row],[Material]]="","",IF(LEFT(tblMovement[[#This Row],[Material]],3)="Ore",1,0))</f>
        <v/>
      </c>
      <c r="N2031" s="59">
        <f>IF(OR(tblMovement[[#This Row],[Tonnes_t]]="",tblMovement[[#This Row],[Grade_gpt]]=""),0,tblMovement[[#This Row],[Tonnes_t]]*tblMovement[[#This Row],[Grade_gpt]]/cfg_TroyOz)</f>
        <v/>
      </c>
      <c r="O2031" s="59">
        <f>IF(tblMovement[[#This Row],[Is_Ore]]=1,tblMovement[[#This Row],[Contained_oz]],0)</f>
        <v/>
      </c>
    </row>
    <row r="2032">
      <c r="A2032" s="54" t="n"/>
      <c r="B2032" s="61" t="n"/>
      <c r="C2032" s="61" t="n"/>
      <c r="D2032" s="61" t="n"/>
      <c r="E2032" s="61" t="n"/>
      <c r="F2032" s="55" t="n"/>
      <c r="G2032" s="56" t="n"/>
      <c r="H2032" s="55" t="n"/>
      <c r="I2032" s="62" t="n"/>
      <c r="J2032" s="58" t="n"/>
      <c r="K2032" s="63">
        <f>IF(tblMovement[[#This Row],[Source]]="","",IFERROR(INDEX(tblSources[Type],MATCH(tblMovement[[#This Row],[Source]],tblSources[Source],0)),"?"))</f>
        <v/>
      </c>
      <c r="L2032" s="63">
        <f>IF(tblMovement[[#This Row],[Destination]]="","",IFERROR(INDEX(tblDestinations[Type],MATCH(tblMovement[[#This Row],[Destination]],tblDestinations[Destination],0)),"?"))</f>
        <v/>
      </c>
      <c r="M2032" s="64">
        <f>IF(tblMovement[[#This Row],[Material]]="","",IF(LEFT(tblMovement[[#This Row],[Material]],3)="Ore",1,0))</f>
        <v/>
      </c>
      <c r="N2032" s="59">
        <f>IF(OR(tblMovement[[#This Row],[Tonnes_t]]="",tblMovement[[#This Row],[Grade_gpt]]=""),0,tblMovement[[#This Row],[Tonnes_t]]*tblMovement[[#This Row],[Grade_gpt]]/cfg_TroyOz)</f>
        <v/>
      </c>
      <c r="O2032" s="59">
        <f>IF(tblMovement[[#This Row],[Is_Ore]]=1,tblMovement[[#This Row],[Contained_oz]],0)</f>
        <v/>
      </c>
    </row>
    <row r="2033">
      <c r="A2033" s="54" t="n"/>
      <c r="B2033" s="61" t="n"/>
      <c r="C2033" s="61" t="n"/>
      <c r="D2033" s="61" t="n"/>
      <c r="E2033" s="61" t="n"/>
      <c r="F2033" s="55" t="n"/>
      <c r="G2033" s="56" t="n"/>
      <c r="H2033" s="55" t="n"/>
      <c r="I2033" s="62" t="n"/>
      <c r="J2033" s="58" t="n"/>
      <c r="K2033" s="63">
        <f>IF(tblMovement[[#This Row],[Source]]="","",IFERROR(INDEX(tblSources[Type],MATCH(tblMovement[[#This Row],[Source]],tblSources[Source],0)),"?"))</f>
        <v/>
      </c>
      <c r="L2033" s="63">
        <f>IF(tblMovement[[#This Row],[Destination]]="","",IFERROR(INDEX(tblDestinations[Type],MATCH(tblMovement[[#This Row],[Destination]],tblDestinations[Destination],0)),"?"))</f>
        <v/>
      </c>
      <c r="M2033" s="64">
        <f>IF(tblMovement[[#This Row],[Material]]="","",IF(LEFT(tblMovement[[#This Row],[Material]],3)="Ore",1,0))</f>
        <v/>
      </c>
      <c r="N2033" s="59">
        <f>IF(OR(tblMovement[[#This Row],[Tonnes_t]]="",tblMovement[[#This Row],[Grade_gpt]]=""),0,tblMovement[[#This Row],[Tonnes_t]]*tblMovement[[#This Row],[Grade_gpt]]/cfg_TroyOz)</f>
        <v/>
      </c>
      <c r="O2033" s="59">
        <f>IF(tblMovement[[#This Row],[Is_Ore]]=1,tblMovement[[#This Row],[Contained_oz]],0)</f>
        <v/>
      </c>
    </row>
    <row r="2034">
      <c r="A2034" s="54" t="n"/>
      <c r="B2034" s="61" t="n"/>
      <c r="C2034" s="61" t="n"/>
      <c r="D2034" s="61" t="n"/>
      <c r="E2034" s="61" t="n"/>
      <c r="F2034" s="55" t="n"/>
      <c r="G2034" s="56" t="n"/>
      <c r="H2034" s="55" t="n"/>
      <c r="I2034" s="62" t="n"/>
      <c r="J2034" s="58" t="n"/>
      <c r="K2034" s="63">
        <f>IF(tblMovement[[#This Row],[Source]]="","",IFERROR(INDEX(tblSources[Type],MATCH(tblMovement[[#This Row],[Source]],tblSources[Source],0)),"?"))</f>
        <v/>
      </c>
      <c r="L2034" s="63">
        <f>IF(tblMovement[[#This Row],[Destination]]="","",IFERROR(INDEX(tblDestinations[Type],MATCH(tblMovement[[#This Row],[Destination]],tblDestinations[Destination],0)),"?"))</f>
        <v/>
      </c>
      <c r="M2034" s="64">
        <f>IF(tblMovement[[#This Row],[Material]]="","",IF(LEFT(tblMovement[[#This Row],[Material]],3)="Ore",1,0))</f>
        <v/>
      </c>
      <c r="N2034" s="59">
        <f>IF(OR(tblMovement[[#This Row],[Tonnes_t]]="",tblMovement[[#This Row],[Grade_gpt]]=""),0,tblMovement[[#This Row],[Tonnes_t]]*tblMovement[[#This Row],[Grade_gpt]]/cfg_TroyOz)</f>
        <v/>
      </c>
      <c r="O2034" s="59">
        <f>IF(tblMovement[[#This Row],[Is_Ore]]=1,tblMovement[[#This Row],[Contained_oz]],0)</f>
        <v/>
      </c>
    </row>
    <row r="2035">
      <c r="A2035" s="54" t="n"/>
      <c r="B2035" s="61" t="n"/>
      <c r="C2035" s="61" t="n"/>
      <c r="D2035" s="61" t="n"/>
      <c r="E2035" s="61" t="n"/>
      <c r="F2035" s="55" t="n"/>
      <c r="G2035" s="56" t="n"/>
      <c r="H2035" s="55" t="n"/>
      <c r="I2035" s="62" t="n"/>
      <c r="J2035" s="58" t="n"/>
      <c r="K2035" s="63">
        <f>IF(tblMovement[[#This Row],[Source]]="","",IFERROR(INDEX(tblSources[Type],MATCH(tblMovement[[#This Row],[Source]],tblSources[Source],0)),"?"))</f>
        <v/>
      </c>
      <c r="L2035" s="63">
        <f>IF(tblMovement[[#This Row],[Destination]]="","",IFERROR(INDEX(tblDestinations[Type],MATCH(tblMovement[[#This Row],[Destination]],tblDestinations[Destination],0)),"?"))</f>
        <v/>
      </c>
      <c r="M2035" s="64">
        <f>IF(tblMovement[[#This Row],[Material]]="","",IF(LEFT(tblMovement[[#This Row],[Material]],3)="Ore",1,0))</f>
        <v/>
      </c>
      <c r="N2035" s="59">
        <f>IF(OR(tblMovement[[#This Row],[Tonnes_t]]="",tblMovement[[#This Row],[Grade_gpt]]=""),0,tblMovement[[#This Row],[Tonnes_t]]*tblMovement[[#This Row],[Grade_gpt]]/cfg_TroyOz)</f>
        <v/>
      </c>
      <c r="O2035" s="59">
        <f>IF(tblMovement[[#This Row],[Is_Ore]]=1,tblMovement[[#This Row],[Contained_oz]],0)</f>
        <v/>
      </c>
    </row>
    <row r="2036">
      <c r="A2036" s="54" t="n"/>
      <c r="B2036" s="61" t="n"/>
      <c r="C2036" s="61" t="n"/>
      <c r="D2036" s="61" t="n"/>
      <c r="E2036" s="61" t="n"/>
      <c r="F2036" s="55" t="n"/>
      <c r="G2036" s="56" t="n"/>
      <c r="H2036" s="55" t="n"/>
      <c r="I2036" s="62" t="n"/>
      <c r="J2036" s="58" t="n"/>
      <c r="K2036" s="63">
        <f>IF(tblMovement[[#This Row],[Source]]="","",IFERROR(INDEX(tblSources[Type],MATCH(tblMovement[[#This Row],[Source]],tblSources[Source],0)),"?"))</f>
        <v/>
      </c>
      <c r="L2036" s="63">
        <f>IF(tblMovement[[#This Row],[Destination]]="","",IFERROR(INDEX(tblDestinations[Type],MATCH(tblMovement[[#This Row],[Destination]],tblDestinations[Destination],0)),"?"))</f>
        <v/>
      </c>
      <c r="M2036" s="64">
        <f>IF(tblMovement[[#This Row],[Material]]="","",IF(LEFT(tblMovement[[#This Row],[Material]],3)="Ore",1,0))</f>
        <v/>
      </c>
      <c r="N2036" s="59">
        <f>IF(OR(tblMovement[[#This Row],[Tonnes_t]]="",tblMovement[[#This Row],[Grade_gpt]]=""),0,tblMovement[[#This Row],[Tonnes_t]]*tblMovement[[#This Row],[Grade_gpt]]/cfg_TroyOz)</f>
        <v/>
      </c>
      <c r="O2036" s="59">
        <f>IF(tblMovement[[#This Row],[Is_Ore]]=1,tblMovement[[#This Row],[Contained_oz]],0)</f>
        <v/>
      </c>
    </row>
    <row r="2037">
      <c r="A2037" s="54" t="n"/>
      <c r="B2037" s="61" t="n"/>
      <c r="C2037" s="61" t="n"/>
      <c r="D2037" s="61" t="n"/>
      <c r="E2037" s="61" t="n"/>
      <c r="F2037" s="55" t="n"/>
      <c r="G2037" s="56" t="n"/>
      <c r="H2037" s="55" t="n"/>
      <c r="I2037" s="62" t="n"/>
      <c r="J2037" s="58" t="n"/>
      <c r="K2037" s="63">
        <f>IF(tblMovement[[#This Row],[Source]]="","",IFERROR(INDEX(tblSources[Type],MATCH(tblMovement[[#This Row],[Source]],tblSources[Source],0)),"?"))</f>
        <v/>
      </c>
      <c r="L2037" s="63">
        <f>IF(tblMovement[[#This Row],[Destination]]="","",IFERROR(INDEX(tblDestinations[Type],MATCH(tblMovement[[#This Row],[Destination]],tblDestinations[Destination],0)),"?"))</f>
        <v/>
      </c>
      <c r="M2037" s="64">
        <f>IF(tblMovement[[#This Row],[Material]]="","",IF(LEFT(tblMovement[[#This Row],[Material]],3)="Ore",1,0))</f>
        <v/>
      </c>
      <c r="N2037" s="59">
        <f>IF(OR(tblMovement[[#This Row],[Tonnes_t]]="",tblMovement[[#This Row],[Grade_gpt]]=""),0,tblMovement[[#This Row],[Tonnes_t]]*tblMovement[[#This Row],[Grade_gpt]]/cfg_TroyOz)</f>
        <v/>
      </c>
      <c r="O2037" s="59">
        <f>IF(tblMovement[[#This Row],[Is_Ore]]=1,tblMovement[[#This Row],[Contained_oz]],0)</f>
        <v/>
      </c>
    </row>
    <row r="2038">
      <c r="A2038" s="54" t="n"/>
      <c r="B2038" s="61" t="n"/>
      <c r="C2038" s="61" t="n"/>
      <c r="D2038" s="61" t="n"/>
      <c r="E2038" s="61" t="n"/>
      <c r="F2038" s="55" t="n"/>
      <c r="G2038" s="56" t="n"/>
      <c r="H2038" s="55" t="n"/>
      <c r="I2038" s="62" t="n"/>
      <c r="J2038" s="58" t="n"/>
      <c r="K2038" s="63">
        <f>IF(tblMovement[[#This Row],[Source]]="","",IFERROR(INDEX(tblSources[Type],MATCH(tblMovement[[#This Row],[Source]],tblSources[Source],0)),"?"))</f>
        <v/>
      </c>
      <c r="L2038" s="63">
        <f>IF(tblMovement[[#This Row],[Destination]]="","",IFERROR(INDEX(tblDestinations[Type],MATCH(tblMovement[[#This Row],[Destination]],tblDestinations[Destination],0)),"?"))</f>
        <v/>
      </c>
      <c r="M2038" s="64">
        <f>IF(tblMovement[[#This Row],[Material]]="","",IF(LEFT(tblMovement[[#This Row],[Material]],3)="Ore",1,0))</f>
        <v/>
      </c>
      <c r="N2038" s="59">
        <f>IF(OR(tblMovement[[#This Row],[Tonnes_t]]="",tblMovement[[#This Row],[Grade_gpt]]=""),0,tblMovement[[#This Row],[Tonnes_t]]*tblMovement[[#This Row],[Grade_gpt]]/cfg_TroyOz)</f>
        <v/>
      </c>
      <c r="O2038" s="59">
        <f>IF(tblMovement[[#This Row],[Is_Ore]]=1,tblMovement[[#This Row],[Contained_oz]],0)</f>
        <v/>
      </c>
    </row>
    <row r="2039">
      <c r="A2039" s="54" t="n"/>
      <c r="B2039" s="61" t="n"/>
      <c r="C2039" s="61" t="n"/>
      <c r="D2039" s="61" t="n"/>
      <c r="E2039" s="61" t="n"/>
      <c r="F2039" s="55" t="n"/>
      <c r="G2039" s="56" t="n"/>
      <c r="H2039" s="55" t="n"/>
      <c r="I2039" s="62" t="n"/>
      <c r="J2039" s="58" t="n"/>
      <c r="K2039" s="63">
        <f>IF(tblMovement[[#This Row],[Source]]="","",IFERROR(INDEX(tblSources[Type],MATCH(tblMovement[[#This Row],[Source]],tblSources[Source],0)),"?"))</f>
        <v/>
      </c>
      <c r="L2039" s="63">
        <f>IF(tblMovement[[#This Row],[Destination]]="","",IFERROR(INDEX(tblDestinations[Type],MATCH(tblMovement[[#This Row],[Destination]],tblDestinations[Destination],0)),"?"))</f>
        <v/>
      </c>
      <c r="M2039" s="64">
        <f>IF(tblMovement[[#This Row],[Material]]="","",IF(LEFT(tblMovement[[#This Row],[Material]],3)="Ore",1,0))</f>
        <v/>
      </c>
      <c r="N2039" s="59">
        <f>IF(OR(tblMovement[[#This Row],[Tonnes_t]]="",tblMovement[[#This Row],[Grade_gpt]]=""),0,tblMovement[[#This Row],[Tonnes_t]]*tblMovement[[#This Row],[Grade_gpt]]/cfg_TroyOz)</f>
        <v/>
      </c>
      <c r="O2039" s="59">
        <f>IF(tblMovement[[#This Row],[Is_Ore]]=1,tblMovement[[#This Row],[Contained_oz]],0)</f>
        <v/>
      </c>
    </row>
    <row r="2040">
      <c r="A2040" s="54" t="n"/>
      <c r="B2040" s="61" t="n"/>
      <c r="C2040" s="61" t="n"/>
      <c r="D2040" s="61" t="n"/>
      <c r="E2040" s="61" t="n"/>
      <c r="F2040" s="55" t="n"/>
      <c r="G2040" s="56" t="n"/>
      <c r="H2040" s="55" t="n"/>
      <c r="I2040" s="62" t="n"/>
      <c r="J2040" s="58" t="n"/>
      <c r="K2040" s="63">
        <f>IF(tblMovement[[#This Row],[Source]]="","",IFERROR(INDEX(tblSources[Type],MATCH(tblMovement[[#This Row],[Source]],tblSources[Source],0)),"?"))</f>
        <v/>
      </c>
      <c r="L2040" s="63">
        <f>IF(tblMovement[[#This Row],[Destination]]="","",IFERROR(INDEX(tblDestinations[Type],MATCH(tblMovement[[#This Row],[Destination]],tblDestinations[Destination],0)),"?"))</f>
        <v/>
      </c>
      <c r="M2040" s="64">
        <f>IF(tblMovement[[#This Row],[Material]]="","",IF(LEFT(tblMovement[[#This Row],[Material]],3)="Ore",1,0))</f>
        <v/>
      </c>
      <c r="N2040" s="59">
        <f>IF(OR(tblMovement[[#This Row],[Tonnes_t]]="",tblMovement[[#This Row],[Grade_gpt]]=""),0,tblMovement[[#This Row],[Tonnes_t]]*tblMovement[[#This Row],[Grade_gpt]]/cfg_TroyOz)</f>
        <v/>
      </c>
      <c r="O2040" s="59">
        <f>IF(tblMovement[[#This Row],[Is_Ore]]=1,tblMovement[[#This Row],[Contained_oz]],0)</f>
        <v/>
      </c>
    </row>
    <row r="2041">
      <c r="A2041" s="54" t="n"/>
      <c r="B2041" s="61" t="n"/>
      <c r="C2041" s="61" t="n"/>
      <c r="D2041" s="61" t="n"/>
      <c r="E2041" s="61" t="n"/>
      <c r="F2041" s="55" t="n"/>
      <c r="G2041" s="56" t="n"/>
      <c r="H2041" s="55" t="n"/>
      <c r="I2041" s="62" t="n"/>
      <c r="J2041" s="58" t="n"/>
      <c r="K2041" s="63">
        <f>IF(tblMovement[[#This Row],[Source]]="","",IFERROR(INDEX(tblSources[Type],MATCH(tblMovement[[#This Row],[Source]],tblSources[Source],0)),"?"))</f>
        <v/>
      </c>
      <c r="L2041" s="63">
        <f>IF(tblMovement[[#This Row],[Destination]]="","",IFERROR(INDEX(tblDestinations[Type],MATCH(tblMovement[[#This Row],[Destination]],tblDestinations[Destination],0)),"?"))</f>
        <v/>
      </c>
      <c r="M2041" s="64">
        <f>IF(tblMovement[[#This Row],[Material]]="","",IF(LEFT(tblMovement[[#This Row],[Material]],3)="Ore",1,0))</f>
        <v/>
      </c>
      <c r="N2041" s="59">
        <f>IF(OR(tblMovement[[#This Row],[Tonnes_t]]="",tblMovement[[#This Row],[Grade_gpt]]=""),0,tblMovement[[#This Row],[Tonnes_t]]*tblMovement[[#This Row],[Grade_gpt]]/cfg_TroyOz)</f>
        <v/>
      </c>
      <c r="O2041" s="59">
        <f>IF(tblMovement[[#This Row],[Is_Ore]]=1,tblMovement[[#This Row],[Contained_oz]],0)</f>
        <v/>
      </c>
    </row>
    <row r="2042">
      <c r="A2042" s="54" t="n"/>
      <c r="B2042" s="61" t="n"/>
      <c r="C2042" s="61" t="n"/>
      <c r="D2042" s="61" t="n"/>
      <c r="E2042" s="61" t="n"/>
      <c r="F2042" s="55" t="n"/>
      <c r="G2042" s="56" t="n"/>
      <c r="H2042" s="55" t="n"/>
      <c r="I2042" s="62" t="n"/>
      <c r="J2042" s="58" t="n"/>
      <c r="K2042" s="63">
        <f>IF(tblMovement[[#This Row],[Source]]="","",IFERROR(INDEX(tblSources[Type],MATCH(tblMovement[[#This Row],[Source]],tblSources[Source],0)),"?"))</f>
        <v/>
      </c>
      <c r="L2042" s="63">
        <f>IF(tblMovement[[#This Row],[Destination]]="","",IFERROR(INDEX(tblDestinations[Type],MATCH(tblMovement[[#This Row],[Destination]],tblDestinations[Destination],0)),"?"))</f>
        <v/>
      </c>
      <c r="M2042" s="64">
        <f>IF(tblMovement[[#This Row],[Material]]="","",IF(LEFT(tblMovement[[#This Row],[Material]],3)="Ore",1,0))</f>
        <v/>
      </c>
      <c r="N2042" s="59">
        <f>IF(OR(tblMovement[[#This Row],[Tonnes_t]]="",tblMovement[[#This Row],[Grade_gpt]]=""),0,tblMovement[[#This Row],[Tonnes_t]]*tblMovement[[#This Row],[Grade_gpt]]/cfg_TroyOz)</f>
        <v/>
      </c>
      <c r="O2042" s="59">
        <f>IF(tblMovement[[#This Row],[Is_Ore]]=1,tblMovement[[#This Row],[Contained_oz]],0)</f>
        <v/>
      </c>
    </row>
    <row r="2043">
      <c r="A2043" s="54" t="n"/>
      <c r="B2043" s="61" t="n"/>
      <c r="C2043" s="61" t="n"/>
      <c r="D2043" s="61" t="n"/>
      <c r="E2043" s="61" t="n"/>
      <c r="F2043" s="55" t="n"/>
      <c r="G2043" s="56" t="n"/>
      <c r="H2043" s="55" t="n"/>
      <c r="I2043" s="62" t="n"/>
      <c r="J2043" s="58" t="n"/>
      <c r="K2043" s="63">
        <f>IF(tblMovement[[#This Row],[Source]]="","",IFERROR(INDEX(tblSources[Type],MATCH(tblMovement[[#This Row],[Source]],tblSources[Source],0)),"?"))</f>
        <v/>
      </c>
      <c r="L2043" s="63">
        <f>IF(tblMovement[[#This Row],[Destination]]="","",IFERROR(INDEX(tblDestinations[Type],MATCH(tblMovement[[#This Row],[Destination]],tblDestinations[Destination],0)),"?"))</f>
        <v/>
      </c>
      <c r="M2043" s="64">
        <f>IF(tblMovement[[#This Row],[Material]]="","",IF(LEFT(tblMovement[[#This Row],[Material]],3)="Ore",1,0))</f>
        <v/>
      </c>
      <c r="N2043" s="59">
        <f>IF(OR(tblMovement[[#This Row],[Tonnes_t]]="",tblMovement[[#This Row],[Grade_gpt]]=""),0,tblMovement[[#This Row],[Tonnes_t]]*tblMovement[[#This Row],[Grade_gpt]]/cfg_TroyOz)</f>
        <v/>
      </c>
      <c r="O2043" s="59">
        <f>IF(tblMovement[[#This Row],[Is_Ore]]=1,tblMovement[[#This Row],[Contained_oz]],0)</f>
        <v/>
      </c>
    </row>
    <row r="2044">
      <c r="A2044" s="54" t="n"/>
      <c r="B2044" s="61" t="n"/>
      <c r="C2044" s="61" t="n"/>
      <c r="D2044" s="61" t="n"/>
      <c r="E2044" s="61" t="n"/>
      <c r="F2044" s="55" t="n"/>
      <c r="G2044" s="56" t="n"/>
      <c r="H2044" s="55" t="n"/>
      <c r="I2044" s="62" t="n"/>
      <c r="J2044" s="58" t="n"/>
      <c r="K2044" s="63">
        <f>IF(tblMovement[[#This Row],[Source]]="","",IFERROR(INDEX(tblSources[Type],MATCH(tblMovement[[#This Row],[Source]],tblSources[Source],0)),"?"))</f>
        <v/>
      </c>
      <c r="L2044" s="63">
        <f>IF(tblMovement[[#This Row],[Destination]]="","",IFERROR(INDEX(tblDestinations[Type],MATCH(tblMovement[[#This Row],[Destination]],tblDestinations[Destination],0)),"?"))</f>
        <v/>
      </c>
      <c r="M2044" s="64">
        <f>IF(tblMovement[[#This Row],[Material]]="","",IF(LEFT(tblMovement[[#This Row],[Material]],3)="Ore",1,0))</f>
        <v/>
      </c>
      <c r="N2044" s="59">
        <f>IF(OR(tblMovement[[#This Row],[Tonnes_t]]="",tblMovement[[#This Row],[Grade_gpt]]=""),0,tblMovement[[#This Row],[Tonnes_t]]*tblMovement[[#This Row],[Grade_gpt]]/cfg_TroyOz)</f>
        <v/>
      </c>
      <c r="O2044" s="59">
        <f>IF(tblMovement[[#This Row],[Is_Ore]]=1,tblMovement[[#This Row],[Contained_oz]],0)</f>
        <v/>
      </c>
    </row>
    <row r="2045">
      <c r="A2045" s="54" t="n"/>
      <c r="B2045" s="61" t="n"/>
      <c r="C2045" s="61" t="n"/>
      <c r="D2045" s="61" t="n"/>
      <c r="E2045" s="61" t="n"/>
      <c r="F2045" s="55" t="n"/>
      <c r="G2045" s="56" t="n"/>
      <c r="H2045" s="55" t="n"/>
      <c r="I2045" s="62" t="n"/>
      <c r="J2045" s="58" t="n"/>
      <c r="K2045" s="63">
        <f>IF(tblMovement[[#This Row],[Source]]="","",IFERROR(INDEX(tblSources[Type],MATCH(tblMovement[[#This Row],[Source]],tblSources[Source],0)),"?"))</f>
        <v/>
      </c>
      <c r="L2045" s="63">
        <f>IF(tblMovement[[#This Row],[Destination]]="","",IFERROR(INDEX(tblDestinations[Type],MATCH(tblMovement[[#This Row],[Destination]],tblDestinations[Destination],0)),"?"))</f>
        <v/>
      </c>
      <c r="M2045" s="64">
        <f>IF(tblMovement[[#This Row],[Material]]="","",IF(LEFT(tblMovement[[#This Row],[Material]],3)="Ore",1,0))</f>
        <v/>
      </c>
      <c r="N2045" s="59">
        <f>IF(OR(tblMovement[[#This Row],[Tonnes_t]]="",tblMovement[[#This Row],[Grade_gpt]]=""),0,tblMovement[[#This Row],[Tonnes_t]]*tblMovement[[#This Row],[Grade_gpt]]/cfg_TroyOz)</f>
        <v/>
      </c>
      <c r="O2045" s="59">
        <f>IF(tblMovement[[#This Row],[Is_Ore]]=1,tblMovement[[#This Row],[Contained_oz]],0)</f>
        <v/>
      </c>
    </row>
    <row r="2046">
      <c r="A2046" s="54" t="n"/>
      <c r="B2046" s="61" t="n"/>
      <c r="C2046" s="61" t="n"/>
      <c r="D2046" s="61" t="n"/>
      <c r="E2046" s="61" t="n"/>
      <c r="F2046" s="55" t="n"/>
      <c r="G2046" s="56" t="n"/>
      <c r="H2046" s="55" t="n"/>
      <c r="I2046" s="62" t="n"/>
      <c r="J2046" s="58" t="n"/>
      <c r="K2046" s="63">
        <f>IF(tblMovement[[#This Row],[Source]]="","",IFERROR(INDEX(tblSources[Type],MATCH(tblMovement[[#This Row],[Source]],tblSources[Source],0)),"?"))</f>
        <v/>
      </c>
      <c r="L2046" s="63">
        <f>IF(tblMovement[[#This Row],[Destination]]="","",IFERROR(INDEX(tblDestinations[Type],MATCH(tblMovement[[#This Row],[Destination]],tblDestinations[Destination],0)),"?"))</f>
        <v/>
      </c>
      <c r="M2046" s="64">
        <f>IF(tblMovement[[#This Row],[Material]]="","",IF(LEFT(tblMovement[[#This Row],[Material]],3)="Ore",1,0))</f>
        <v/>
      </c>
      <c r="N2046" s="59">
        <f>IF(OR(tblMovement[[#This Row],[Tonnes_t]]="",tblMovement[[#This Row],[Grade_gpt]]=""),0,tblMovement[[#This Row],[Tonnes_t]]*tblMovement[[#This Row],[Grade_gpt]]/cfg_TroyOz)</f>
        <v/>
      </c>
      <c r="O2046" s="59">
        <f>IF(tblMovement[[#This Row],[Is_Ore]]=1,tblMovement[[#This Row],[Contained_oz]],0)</f>
        <v/>
      </c>
    </row>
    <row r="2047">
      <c r="A2047" s="54" t="n"/>
      <c r="B2047" s="61" t="n"/>
      <c r="C2047" s="61" t="n"/>
      <c r="D2047" s="61" t="n"/>
      <c r="E2047" s="61" t="n"/>
      <c r="F2047" s="55" t="n"/>
      <c r="G2047" s="56" t="n"/>
      <c r="H2047" s="55" t="n"/>
      <c r="I2047" s="62" t="n"/>
      <c r="J2047" s="58" t="n"/>
      <c r="K2047" s="63">
        <f>IF(tblMovement[[#This Row],[Source]]="","",IFERROR(INDEX(tblSources[Type],MATCH(tblMovement[[#This Row],[Source]],tblSources[Source],0)),"?"))</f>
        <v/>
      </c>
      <c r="L2047" s="63">
        <f>IF(tblMovement[[#This Row],[Destination]]="","",IFERROR(INDEX(tblDestinations[Type],MATCH(tblMovement[[#This Row],[Destination]],tblDestinations[Destination],0)),"?"))</f>
        <v/>
      </c>
      <c r="M2047" s="64">
        <f>IF(tblMovement[[#This Row],[Material]]="","",IF(LEFT(tblMovement[[#This Row],[Material]],3)="Ore",1,0))</f>
        <v/>
      </c>
      <c r="N2047" s="59">
        <f>IF(OR(tblMovement[[#This Row],[Tonnes_t]]="",tblMovement[[#This Row],[Grade_gpt]]=""),0,tblMovement[[#This Row],[Tonnes_t]]*tblMovement[[#This Row],[Grade_gpt]]/cfg_TroyOz)</f>
        <v/>
      </c>
      <c r="O2047" s="59">
        <f>IF(tblMovement[[#This Row],[Is_Ore]]=1,tblMovement[[#This Row],[Contained_oz]],0)</f>
        <v/>
      </c>
    </row>
    <row r="2048">
      <c r="A2048" s="54" t="n"/>
      <c r="B2048" s="61" t="n"/>
      <c r="C2048" s="61" t="n"/>
      <c r="D2048" s="61" t="n"/>
      <c r="E2048" s="61" t="n"/>
      <c r="F2048" s="55" t="n"/>
      <c r="G2048" s="56" t="n"/>
      <c r="H2048" s="55" t="n"/>
      <c r="I2048" s="62" t="n"/>
      <c r="J2048" s="58" t="n"/>
      <c r="K2048" s="63">
        <f>IF(tblMovement[[#This Row],[Source]]="","",IFERROR(INDEX(tblSources[Type],MATCH(tblMovement[[#This Row],[Source]],tblSources[Source],0)),"?"))</f>
        <v/>
      </c>
      <c r="L2048" s="63">
        <f>IF(tblMovement[[#This Row],[Destination]]="","",IFERROR(INDEX(tblDestinations[Type],MATCH(tblMovement[[#This Row],[Destination]],tblDestinations[Destination],0)),"?"))</f>
        <v/>
      </c>
      <c r="M2048" s="64">
        <f>IF(tblMovement[[#This Row],[Material]]="","",IF(LEFT(tblMovement[[#This Row],[Material]],3)="Ore",1,0))</f>
        <v/>
      </c>
      <c r="N2048" s="59">
        <f>IF(OR(tblMovement[[#This Row],[Tonnes_t]]="",tblMovement[[#This Row],[Grade_gpt]]=""),0,tblMovement[[#This Row],[Tonnes_t]]*tblMovement[[#This Row],[Grade_gpt]]/cfg_TroyOz)</f>
        <v/>
      </c>
      <c r="O2048" s="59">
        <f>IF(tblMovement[[#This Row],[Is_Ore]]=1,tblMovement[[#This Row],[Contained_oz]],0)</f>
        <v/>
      </c>
    </row>
    <row r="2049">
      <c r="A2049" s="54" t="n"/>
      <c r="B2049" s="61" t="n"/>
      <c r="C2049" s="61" t="n"/>
      <c r="D2049" s="61" t="n"/>
      <c r="E2049" s="61" t="n"/>
      <c r="F2049" s="55" t="n"/>
      <c r="G2049" s="56" t="n"/>
      <c r="H2049" s="55" t="n"/>
      <c r="I2049" s="62" t="n"/>
      <c r="J2049" s="58" t="n"/>
      <c r="K2049" s="63">
        <f>IF(tblMovement[[#This Row],[Source]]="","",IFERROR(INDEX(tblSources[Type],MATCH(tblMovement[[#This Row],[Source]],tblSources[Source],0)),"?"))</f>
        <v/>
      </c>
      <c r="L2049" s="63">
        <f>IF(tblMovement[[#This Row],[Destination]]="","",IFERROR(INDEX(tblDestinations[Type],MATCH(tblMovement[[#This Row],[Destination]],tblDestinations[Destination],0)),"?"))</f>
        <v/>
      </c>
      <c r="M2049" s="64">
        <f>IF(tblMovement[[#This Row],[Material]]="","",IF(LEFT(tblMovement[[#This Row],[Material]],3)="Ore",1,0))</f>
        <v/>
      </c>
      <c r="N2049" s="59">
        <f>IF(OR(tblMovement[[#This Row],[Tonnes_t]]="",tblMovement[[#This Row],[Grade_gpt]]=""),0,tblMovement[[#This Row],[Tonnes_t]]*tblMovement[[#This Row],[Grade_gpt]]/cfg_TroyOz)</f>
        <v/>
      </c>
      <c r="O2049" s="59">
        <f>IF(tblMovement[[#This Row],[Is_Ore]]=1,tblMovement[[#This Row],[Contained_oz]],0)</f>
        <v/>
      </c>
    </row>
    <row r="2050">
      <c r="A2050" s="54" t="n"/>
      <c r="B2050" s="61" t="n"/>
      <c r="C2050" s="61" t="n"/>
      <c r="D2050" s="61" t="n"/>
      <c r="E2050" s="61" t="n"/>
      <c r="F2050" s="55" t="n"/>
      <c r="G2050" s="56" t="n"/>
      <c r="H2050" s="55" t="n"/>
      <c r="I2050" s="62" t="n"/>
      <c r="J2050" s="58" t="n"/>
      <c r="K2050" s="63">
        <f>IF(tblMovement[[#This Row],[Source]]="","",IFERROR(INDEX(tblSources[Type],MATCH(tblMovement[[#This Row],[Source]],tblSources[Source],0)),"?"))</f>
        <v/>
      </c>
      <c r="L2050" s="63">
        <f>IF(tblMovement[[#This Row],[Destination]]="","",IFERROR(INDEX(tblDestinations[Type],MATCH(tblMovement[[#This Row],[Destination]],tblDestinations[Destination],0)),"?"))</f>
        <v/>
      </c>
      <c r="M2050" s="64">
        <f>IF(tblMovement[[#This Row],[Material]]="","",IF(LEFT(tblMovement[[#This Row],[Material]],3)="Ore",1,0))</f>
        <v/>
      </c>
      <c r="N2050" s="59">
        <f>IF(OR(tblMovement[[#This Row],[Tonnes_t]]="",tblMovement[[#This Row],[Grade_gpt]]=""),0,tblMovement[[#This Row],[Tonnes_t]]*tblMovement[[#This Row],[Grade_gpt]]/cfg_TroyOz)</f>
        <v/>
      </c>
      <c r="O2050" s="59">
        <f>IF(tblMovement[[#This Row],[Is_Ore]]=1,tblMovement[[#This Row],[Contained_oz]],0)</f>
        <v/>
      </c>
    </row>
    <row r="2051">
      <c r="A2051" s="54" t="n"/>
      <c r="B2051" s="61" t="n"/>
      <c r="C2051" s="61" t="n"/>
      <c r="D2051" s="61" t="n"/>
      <c r="E2051" s="61" t="n"/>
      <c r="F2051" s="55" t="n"/>
      <c r="G2051" s="56" t="n"/>
      <c r="H2051" s="55" t="n"/>
      <c r="I2051" s="62" t="n"/>
      <c r="J2051" s="58" t="n"/>
      <c r="K2051" s="63">
        <f>IF(tblMovement[[#This Row],[Source]]="","",IFERROR(INDEX(tblSources[Type],MATCH(tblMovement[[#This Row],[Source]],tblSources[Source],0)),"?"))</f>
        <v/>
      </c>
      <c r="L2051" s="63">
        <f>IF(tblMovement[[#This Row],[Destination]]="","",IFERROR(INDEX(tblDestinations[Type],MATCH(tblMovement[[#This Row],[Destination]],tblDestinations[Destination],0)),"?"))</f>
        <v/>
      </c>
      <c r="M2051" s="64">
        <f>IF(tblMovement[[#This Row],[Material]]="","",IF(LEFT(tblMovement[[#This Row],[Material]],3)="Ore",1,0))</f>
        <v/>
      </c>
      <c r="N2051" s="59">
        <f>IF(OR(tblMovement[[#This Row],[Tonnes_t]]="",tblMovement[[#This Row],[Grade_gpt]]=""),0,tblMovement[[#This Row],[Tonnes_t]]*tblMovement[[#This Row],[Grade_gpt]]/cfg_TroyOz)</f>
        <v/>
      </c>
      <c r="O2051" s="59">
        <f>IF(tblMovement[[#This Row],[Is_Ore]]=1,tblMovement[[#This Row],[Contained_oz]],0)</f>
        <v/>
      </c>
    </row>
    <row r="2052">
      <c r="A2052" s="54" t="n"/>
      <c r="B2052" s="61" t="n"/>
      <c r="C2052" s="61" t="n"/>
      <c r="D2052" s="61" t="n"/>
      <c r="E2052" s="61" t="n"/>
      <c r="F2052" s="55" t="n"/>
      <c r="G2052" s="56" t="n"/>
      <c r="H2052" s="55" t="n"/>
      <c r="I2052" s="62" t="n"/>
      <c r="J2052" s="58" t="n"/>
      <c r="K2052" s="63">
        <f>IF(tblMovement[[#This Row],[Source]]="","",IFERROR(INDEX(tblSources[Type],MATCH(tblMovement[[#This Row],[Source]],tblSources[Source],0)),"?"))</f>
        <v/>
      </c>
      <c r="L2052" s="63">
        <f>IF(tblMovement[[#This Row],[Destination]]="","",IFERROR(INDEX(tblDestinations[Type],MATCH(tblMovement[[#This Row],[Destination]],tblDestinations[Destination],0)),"?"))</f>
        <v/>
      </c>
      <c r="M2052" s="64">
        <f>IF(tblMovement[[#This Row],[Material]]="","",IF(LEFT(tblMovement[[#This Row],[Material]],3)="Ore",1,0))</f>
        <v/>
      </c>
      <c r="N2052" s="59">
        <f>IF(OR(tblMovement[[#This Row],[Tonnes_t]]="",tblMovement[[#This Row],[Grade_gpt]]=""),0,tblMovement[[#This Row],[Tonnes_t]]*tblMovement[[#This Row],[Grade_gpt]]/cfg_TroyOz)</f>
        <v/>
      </c>
      <c r="O2052" s="59">
        <f>IF(tblMovement[[#This Row],[Is_Ore]]=1,tblMovement[[#This Row],[Contained_oz]],0)</f>
        <v/>
      </c>
    </row>
    <row r="2053">
      <c r="A2053" s="54" t="n"/>
      <c r="B2053" s="61" t="n"/>
      <c r="C2053" s="61" t="n"/>
      <c r="D2053" s="61" t="n"/>
      <c r="E2053" s="61" t="n"/>
      <c r="F2053" s="55" t="n"/>
      <c r="G2053" s="56" t="n"/>
      <c r="H2053" s="55" t="n"/>
      <c r="I2053" s="62" t="n"/>
      <c r="J2053" s="58" t="n"/>
      <c r="K2053" s="63">
        <f>IF(tblMovement[[#This Row],[Source]]="","",IFERROR(INDEX(tblSources[Type],MATCH(tblMovement[[#This Row],[Source]],tblSources[Source],0)),"?"))</f>
        <v/>
      </c>
      <c r="L2053" s="63">
        <f>IF(tblMovement[[#This Row],[Destination]]="","",IFERROR(INDEX(tblDestinations[Type],MATCH(tblMovement[[#This Row],[Destination]],tblDestinations[Destination],0)),"?"))</f>
        <v/>
      </c>
      <c r="M2053" s="64">
        <f>IF(tblMovement[[#This Row],[Material]]="","",IF(LEFT(tblMovement[[#This Row],[Material]],3)="Ore",1,0))</f>
        <v/>
      </c>
      <c r="N2053" s="59">
        <f>IF(OR(tblMovement[[#This Row],[Tonnes_t]]="",tblMovement[[#This Row],[Grade_gpt]]=""),0,tblMovement[[#This Row],[Tonnes_t]]*tblMovement[[#This Row],[Grade_gpt]]/cfg_TroyOz)</f>
        <v/>
      </c>
      <c r="O2053" s="59">
        <f>IF(tblMovement[[#This Row],[Is_Ore]]=1,tblMovement[[#This Row],[Contained_oz]],0)</f>
        <v/>
      </c>
    </row>
    <row r="2054">
      <c r="A2054" s="54" t="n"/>
      <c r="B2054" s="61" t="n"/>
      <c r="C2054" s="61" t="n"/>
      <c r="D2054" s="61" t="n"/>
      <c r="E2054" s="61" t="n"/>
      <c r="F2054" s="55" t="n"/>
      <c r="G2054" s="56" t="n"/>
      <c r="H2054" s="55" t="n"/>
      <c r="I2054" s="62" t="n"/>
      <c r="J2054" s="58" t="n"/>
      <c r="K2054" s="63">
        <f>IF(tblMovement[[#This Row],[Source]]="","",IFERROR(INDEX(tblSources[Type],MATCH(tblMovement[[#This Row],[Source]],tblSources[Source],0)),"?"))</f>
        <v/>
      </c>
      <c r="L2054" s="63">
        <f>IF(tblMovement[[#This Row],[Destination]]="","",IFERROR(INDEX(tblDestinations[Type],MATCH(tblMovement[[#This Row],[Destination]],tblDestinations[Destination],0)),"?"))</f>
        <v/>
      </c>
      <c r="M2054" s="64">
        <f>IF(tblMovement[[#This Row],[Material]]="","",IF(LEFT(tblMovement[[#This Row],[Material]],3)="Ore",1,0))</f>
        <v/>
      </c>
      <c r="N2054" s="59">
        <f>IF(OR(tblMovement[[#This Row],[Tonnes_t]]="",tblMovement[[#This Row],[Grade_gpt]]=""),0,tblMovement[[#This Row],[Tonnes_t]]*tblMovement[[#This Row],[Grade_gpt]]/cfg_TroyOz)</f>
        <v/>
      </c>
      <c r="O2054" s="59">
        <f>IF(tblMovement[[#This Row],[Is_Ore]]=1,tblMovement[[#This Row],[Contained_oz]],0)</f>
        <v/>
      </c>
    </row>
    <row r="2055">
      <c r="A2055" s="54" t="n"/>
      <c r="B2055" s="61" t="n"/>
      <c r="C2055" s="61" t="n"/>
      <c r="D2055" s="61" t="n"/>
      <c r="E2055" s="61" t="n"/>
      <c r="F2055" s="55" t="n"/>
      <c r="G2055" s="56" t="n"/>
      <c r="H2055" s="55" t="n"/>
      <c r="I2055" s="62" t="n"/>
      <c r="J2055" s="58" t="n"/>
      <c r="K2055" s="63">
        <f>IF(tblMovement[[#This Row],[Source]]="","",IFERROR(INDEX(tblSources[Type],MATCH(tblMovement[[#This Row],[Source]],tblSources[Source],0)),"?"))</f>
        <v/>
      </c>
      <c r="L2055" s="63">
        <f>IF(tblMovement[[#This Row],[Destination]]="","",IFERROR(INDEX(tblDestinations[Type],MATCH(tblMovement[[#This Row],[Destination]],tblDestinations[Destination],0)),"?"))</f>
        <v/>
      </c>
      <c r="M2055" s="64">
        <f>IF(tblMovement[[#This Row],[Material]]="","",IF(LEFT(tblMovement[[#This Row],[Material]],3)="Ore",1,0))</f>
        <v/>
      </c>
      <c r="N2055" s="59">
        <f>IF(OR(tblMovement[[#This Row],[Tonnes_t]]="",tblMovement[[#This Row],[Grade_gpt]]=""),0,tblMovement[[#This Row],[Tonnes_t]]*tblMovement[[#This Row],[Grade_gpt]]/cfg_TroyOz)</f>
        <v/>
      </c>
      <c r="O2055" s="59">
        <f>IF(tblMovement[[#This Row],[Is_Ore]]=1,tblMovement[[#This Row],[Contained_oz]],0)</f>
        <v/>
      </c>
    </row>
    <row r="2056">
      <c r="A2056" s="54" t="n"/>
      <c r="B2056" s="61" t="n"/>
      <c r="C2056" s="61" t="n"/>
      <c r="D2056" s="61" t="n"/>
      <c r="E2056" s="61" t="n"/>
      <c r="F2056" s="55" t="n"/>
      <c r="G2056" s="56" t="n"/>
      <c r="H2056" s="55" t="n"/>
      <c r="I2056" s="62" t="n"/>
      <c r="J2056" s="58" t="n"/>
      <c r="K2056" s="63">
        <f>IF(tblMovement[[#This Row],[Source]]="","",IFERROR(INDEX(tblSources[Type],MATCH(tblMovement[[#This Row],[Source]],tblSources[Source],0)),"?"))</f>
        <v/>
      </c>
      <c r="L2056" s="63">
        <f>IF(tblMovement[[#This Row],[Destination]]="","",IFERROR(INDEX(tblDestinations[Type],MATCH(tblMovement[[#This Row],[Destination]],tblDestinations[Destination],0)),"?"))</f>
        <v/>
      </c>
      <c r="M2056" s="64">
        <f>IF(tblMovement[[#This Row],[Material]]="","",IF(LEFT(tblMovement[[#This Row],[Material]],3)="Ore",1,0))</f>
        <v/>
      </c>
      <c r="N2056" s="59">
        <f>IF(OR(tblMovement[[#This Row],[Tonnes_t]]="",tblMovement[[#This Row],[Grade_gpt]]=""),0,tblMovement[[#This Row],[Tonnes_t]]*tblMovement[[#This Row],[Grade_gpt]]/cfg_TroyOz)</f>
        <v/>
      </c>
      <c r="O2056" s="59">
        <f>IF(tblMovement[[#This Row],[Is_Ore]]=1,tblMovement[[#This Row],[Contained_oz]],0)</f>
        <v/>
      </c>
    </row>
    <row r="2057">
      <c r="A2057" s="54" t="n"/>
      <c r="B2057" s="61" t="n"/>
      <c r="C2057" s="61" t="n"/>
      <c r="D2057" s="61" t="n"/>
      <c r="E2057" s="61" t="n"/>
      <c r="F2057" s="55" t="n"/>
      <c r="G2057" s="56" t="n"/>
      <c r="H2057" s="55" t="n"/>
      <c r="I2057" s="62" t="n"/>
      <c r="J2057" s="58" t="n"/>
      <c r="K2057" s="63">
        <f>IF(tblMovement[[#This Row],[Source]]="","",IFERROR(INDEX(tblSources[Type],MATCH(tblMovement[[#This Row],[Source]],tblSources[Source],0)),"?"))</f>
        <v/>
      </c>
      <c r="L2057" s="63">
        <f>IF(tblMovement[[#This Row],[Destination]]="","",IFERROR(INDEX(tblDestinations[Type],MATCH(tblMovement[[#This Row],[Destination]],tblDestinations[Destination],0)),"?"))</f>
        <v/>
      </c>
      <c r="M2057" s="64">
        <f>IF(tblMovement[[#This Row],[Material]]="","",IF(LEFT(tblMovement[[#This Row],[Material]],3)="Ore",1,0))</f>
        <v/>
      </c>
      <c r="N2057" s="59">
        <f>IF(OR(tblMovement[[#This Row],[Tonnes_t]]="",tblMovement[[#This Row],[Grade_gpt]]=""),0,tblMovement[[#This Row],[Tonnes_t]]*tblMovement[[#This Row],[Grade_gpt]]/cfg_TroyOz)</f>
        <v/>
      </c>
      <c r="O2057" s="59">
        <f>IF(tblMovement[[#This Row],[Is_Ore]]=1,tblMovement[[#This Row],[Contained_oz]],0)</f>
        <v/>
      </c>
    </row>
    <row r="2058">
      <c r="A2058" s="54" t="n"/>
      <c r="B2058" s="61" t="n"/>
      <c r="C2058" s="61" t="n"/>
      <c r="D2058" s="61" t="n"/>
      <c r="E2058" s="61" t="n"/>
      <c r="F2058" s="55" t="n"/>
      <c r="G2058" s="56" t="n"/>
      <c r="H2058" s="55" t="n"/>
      <c r="I2058" s="62" t="n"/>
      <c r="J2058" s="58" t="n"/>
      <c r="K2058" s="63">
        <f>IF(tblMovement[[#This Row],[Source]]="","",IFERROR(INDEX(tblSources[Type],MATCH(tblMovement[[#This Row],[Source]],tblSources[Source],0)),"?"))</f>
        <v/>
      </c>
      <c r="L2058" s="63">
        <f>IF(tblMovement[[#This Row],[Destination]]="","",IFERROR(INDEX(tblDestinations[Type],MATCH(tblMovement[[#This Row],[Destination]],tblDestinations[Destination],0)),"?"))</f>
        <v/>
      </c>
      <c r="M2058" s="64">
        <f>IF(tblMovement[[#This Row],[Material]]="","",IF(LEFT(tblMovement[[#This Row],[Material]],3)="Ore",1,0))</f>
        <v/>
      </c>
      <c r="N2058" s="59">
        <f>IF(OR(tblMovement[[#This Row],[Tonnes_t]]="",tblMovement[[#This Row],[Grade_gpt]]=""),0,tblMovement[[#This Row],[Tonnes_t]]*tblMovement[[#This Row],[Grade_gpt]]/cfg_TroyOz)</f>
        <v/>
      </c>
      <c r="O2058" s="59">
        <f>IF(tblMovement[[#This Row],[Is_Ore]]=1,tblMovement[[#This Row],[Contained_oz]],0)</f>
        <v/>
      </c>
    </row>
    <row r="2059">
      <c r="A2059" s="54" t="n"/>
      <c r="B2059" s="61" t="n"/>
      <c r="C2059" s="61" t="n"/>
      <c r="D2059" s="61" t="n"/>
      <c r="E2059" s="61" t="n"/>
      <c r="F2059" s="55" t="n"/>
      <c r="G2059" s="56" t="n"/>
      <c r="H2059" s="55" t="n"/>
      <c r="I2059" s="62" t="n"/>
      <c r="J2059" s="58" t="n"/>
      <c r="K2059" s="63">
        <f>IF(tblMovement[[#This Row],[Source]]="","",IFERROR(INDEX(tblSources[Type],MATCH(tblMovement[[#This Row],[Source]],tblSources[Source],0)),"?"))</f>
        <v/>
      </c>
      <c r="L2059" s="63">
        <f>IF(tblMovement[[#This Row],[Destination]]="","",IFERROR(INDEX(tblDestinations[Type],MATCH(tblMovement[[#This Row],[Destination]],tblDestinations[Destination],0)),"?"))</f>
        <v/>
      </c>
      <c r="M2059" s="64">
        <f>IF(tblMovement[[#This Row],[Material]]="","",IF(LEFT(tblMovement[[#This Row],[Material]],3)="Ore",1,0))</f>
        <v/>
      </c>
      <c r="N2059" s="59">
        <f>IF(OR(tblMovement[[#This Row],[Tonnes_t]]="",tblMovement[[#This Row],[Grade_gpt]]=""),0,tblMovement[[#This Row],[Tonnes_t]]*tblMovement[[#This Row],[Grade_gpt]]/cfg_TroyOz)</f>
        <v/>
      </c>
      <c r="O2059" s="59">
        <f>IF(tblMovement[[#This Row],[Is_Ore]]=1,tblMovement[[#This Row],[Contained_oz]],0)</f>
        <v/>
      </c>
    </row>
    <row r="2060">
      <c r="A2060" s="54" t="n"/>
      <c r="B2060" s="61" t="n"/>
      <c r="C2060" s="61" t="n"/>
      <c r="D2060" s="61" t="n"/>
      <c r="E2060" s="61" t="n"/>
      <c r="F2060" s="55" t="n"/>
      <c r="G2060" s="56" t="n"/>
      <c r="H2060" s="55" t="n"/>
      <c r="I2060" s="62" t="n"/>
      <c r="J2060" s="58" t="n"/>
      <c r="K2060" s="63">
        <f>IF(tblMovement[[#This Row],[Source]]="","",IFERROR(INDEX(tblSources[Type],MATCH(tblMovement[[#This Row],[Source]],tblSources[Source],0)),"?"))</f>
        <v/>
      </c>
      <c r="L2060" s="63">
        <f>IF(tblMovement[[#This Row],[Destination]]="","",IFERROR(INDEX(tblDestinations[Type],MATCH(tblMovement[[#This Row],[Destination]],tblDestinations[Destination],0)),"?"))</f>
        <v/>
      </c>
      <c r="M2060" s="64">
        <f>IF(tblMovement[[#This Row],[Material]]="","",IF(LEFT(tblMovement[[#This Row],[Material]],3)="Ore",1,0))</f>
        <v/>
      </c>
      <c r="N2060" s="59">
        <f>IF(OR(tblMovement[[#This Row],[Tonnes_t]]="",tblMovement[[#This Row],[Grade_gpt]]=""),0,tblMovement[[#This Row],[Tonnes_t]]*tblMovement[[#This Row],[Grade_gpt]]/cfg_TroyOz)</f>
        <v/>
      </c>
      <c r="O2060" s="59">
        <f>IF(tblMovement[[#This Row],[Is_Ore]]=1,tblMovement[[#This Row],[Contained_oz]],0)</f>
        <v/>
      </c>
    </row>
    <row r="2061">
      <c r="A2061" s="54" t="n"/>
      <c r="B2061" s="61" t="n"/>
      <c r="C2061" s="61" t="n"/>
      <c r="D2061" s="61" t="n"/>
      <c r="E2061" s="61" t="n"/>
      <c r="F2061" s="55" t="n"/>
      <c r="G2061" s="56" t="n"/>
      <c r="H2061" s="55" t="n"/>
      <c r="I2061" s="62" t="n"/>
      <c r="J2061" s="58" t="n"/>
      <c r="K2061" s="63">
        <f>IF(tblMovement[[#This Row],[Source]]="","",IFERROR(INDEX(tblSources[Type],MATCH(tblMovement[[#This Row],[Source]],tblSources[Source],0)),"?"))</f>
        <v/>
      </c>
      <c r="L2061" s="63">
        <f>IF(tblMovement[[#This Row],[Destination]]="","",IFERROR(INDEX(tblDestinations[Type],MATCH(tblMovement[[#This Row],[Destination]],tblDestinations[Destination],0)),"?"))</f>
        <v/>
      </c>
      <c r="M2061" s="64">
        <f>IF(tblMovement[[#This Row],[Material]]="","",IF(LEFT(tblMovement[[#This Row],[Material]],3)="Ore",1,0))</f>
        <v/>
      </c>
      <c r="N2061" s="59">
        <f>IF(OR(tblMovement[[#This Row],[Tonnes_t]]="",tblMovement[[#This Row],[Grade_gpt]]=""),0,tblMovement[[#This Row],[Tonnes_t]]*tblMovement[[#This Row],[Grade_gpt]]/cfg_TroyOz)</f>
        <v/>
      </c>
      <c r="O2061" s="59">
        <f>IF(tblMovement[[#This Row],[Is_Ore]]=1,tblMovement[[#This Row],[Contained_oz]],0)</f>
        <v/>
      </c>
    </row>
    <row r="2062">
      <c r="A2062" s="54" t="n"/>
      <c r="B2062" s="61" t="n"/>
      <c r="C2062" s="61" t="n"/>
      <c r="D2062" s="61" t="n"/>
      <c r="E2062" s="61" t="n"/>
      <c r="F2062" s="55" t="n"/>
      <c r="G2062" s="56" t="n"/>
      <c r="H2062" s="55" t="n"/>
      <c r="I2062" s="62" t="n"/>
      <c r="J2062" s="58" t="n"/>
      <c r="K2062" s="63">
        <f>IF(tblMovement[[#This Row],[Source]]="","",IFERROR(INDEX(tblSources[Type],MATCH(tblMovement[[#This Row],[Source]],tblSources[Source],0)),"?"))</f>
        <v/>
      </c>
      <c r="L2062" s="63">
        <f>IF(tblMovement[[#This Row],[Destination]]="","",IFERROR(INDEX(tblDestinations[Type],MATCH(tblMovement[[#This Row],[Destination]],tblDestinations[Destination],0)),"?"))</f>
        <v/>
      </c>
      <c r="M2062" s="64">
        <f>IF(tblMovement[[#This Row],[Material]]="","",IF(LEFT(tblMovement[[#This Row],[Material]],3)="Ore",1,0))</f>
        <v/>
      </c>
      <c r="N2062" s="59">
        <f>IF(OR(tblMovement[[#This Row],[Tonnes_t]]="",tblMovement[[#This Row],[Grade_gpt]]=""),0,tblMovement[[#This Row],[Tonnes_t]]*tblMovement[[#This Row],[Grade_gpt]]/cfg_TroyOz)</f>
        <v/>
      </c>
      <c r="O2062" s="59">
        <f>IF(tblMovement[[#This Row],[Is_Ore]]=1,tblMovement[[#This Row],[Contained_oz]],0)</f>
        <v/>
      </c>
    </row>
    <row r="2063">
      <c r="A2063" s="54" t="n"/>
      <c r="B2063" s="61" t="n"/>
      <c r="C2063" s="61" t="n"/>
      <c r="D2063" s="61" t="n"/>
      <c r="E2063" s="61" t="n"/>
      <c r="F2063" s="55" t="n"/>
      <c r="G2063" s="56" t="n"/>
      <c r="H2063" s="55" t="n"/>
      <c r="I2063" s="62" t="n"/>
      <c r="J2063" s="58" t="n"/>
      <c r="K2063" s="63">
        <f>IF(tblMovement[[#This Row],[Source]]="","",IFERROR(INDEX(tblSources[Type],MATCH(tblMovement[[#This Row],[Source]],tblSources[Source],0)),"?"))</f>
        <v/>
      </c>
      <c r="L2063" s="63">
        <f>IF(tblMovement[[#This Row],[Destination]]="","",IFERROR(INDEX(tblDestinations[Type],MATCH(tblMovement[[#This Row],[Destination]],tblDestinations[Destination],0)),"?"))</f>
        <v/>
      </c>
      <c r="M2063" s="64">
        <f>IF(tblMovement[[#This Row],[Material]]="","",IF(LEFT(tblMovement[[#This Row],[Material]],3)="Ore",1,0))</f>
        <v/>
      </c>
      <c r="N2063" s="59">
        <f>IF(OR(tblMovement[[#This Row],[Tonnes_t]]="",tblMovement[[#This Row],[Grade_gpt]]=""),0,tblMovement[[#This Row],[Tonnes_t]]*tblMovement[[#This Row],[Grade_gpt]]/cfg_TroyOz)</f>
        <v/>
      </c>
      <c r="O2063" s="59">
        <f>IF(tblMovement[[#This Row],[Is_Ore]]=1,tblMovement[[#This Row],[Contained_oz]],0)</f>
        <v/>
      </c>
    </row>
    <row r="2064">
      <c r="A2064" s="54" t="n"/>
      <c r="B2064" s="61" t="n"/>
      <c r="C2064" s="61" t="n"/>
      <c r="D2064" s="61" t="n"/>
      <c r="E2064" s="61" t="n"/>
      <c r="F2064" s="55" t="n"/>
      <c r="G2064" s="56" t="n"/>
      <c r="H2064" s="55" t="n"/>
      <c r="I2064" s="62" t="n"/>
      <c r="J2064" s="58" t="n"/>
      <c r="K2064" s="63">
        <f>IF(tblMovement[[#This Row],[Source]]="","",IFERROR(INDEX(tblSources[Type],MATCH(tblMovement[[#This Row],[Source]],tblSources[Source],0)),"?"))</f>
        <v/>
      </c>
      <c r="L2064" s="63">
        <f>IF(tblMovement[[#This Row],[Destination]]="","",IFERROR(INDEX(tblDestinations[Type],MATCH(tblMovement[[#This Row],[Destination]],tblDestinations[Destination],0)),"?"))</f>
        <v/>
      </c>
      <c r="M2064" s="64">
        <f>IF(tblMovement[[#This Row],[Material]]="","",IF(LEFT(tblMovement[[#This Row],[Material]],3)="Ore",1,0))</f>
        <v/>
      </c>
      <c r="N2064" s="59">
        <f>IF(OR(tblMovement[[#This Row],[Tonnes_t]]="",tblMovement[[#This Row],[Grade_gpt]]=""),0,tblMovement[[#This Row],[Tonnes_t]]*tblMovement[[#This Row],[Grade_gpt]]/cfg_TroyOz)</f>
        <v/>
      </c>
      <c r="O2064" s="59">
        <f>IF(tblMovement[[#This Row],[Is_Ore]]=1,tblMovement[[#This Row],[Contained_oz]],0)</f>
        <v/>
      </c>
    </row>
    <row r="2065">
      <c r="A2065" s="54" t="n"/>
      <c r="B2065" s="61" t="n"/>
      <c r="C2065" s="61" t="n"/>
      <c r="D2065" s="61" t="n"/>
      <c r="E2065" s="61" t="n"/>
      <c r="F2065" s="55" t="n"/>
      <c r="G2065" s="56" t="n"/>
      <c r="H2065" s="55" t="n"/>
      <c r="I2065" s="62" t="n"/>
      <c r="J2065" s="58" t="n"/>
      <c r="K2065" s="63">
        <f>IF(tblMovement[[#This Row],[Source]]="","",IFERROR(INDEX(tblSources[Type],MATCH(tblMovement[[#This Row],[Source]],tblSources[Source],0)),"?"))</f>
        <v/>
      </c>
      <c r="L2065" s="63">
        <f>IF(tblMovement[[#This Row],[Destination]]="","",IFERROR(INDEX(tblDestinations[Type],MATCH(tblMovement[[#This Row],[Destination]],tblDestinations[Destination],0)),"?"))</f>
        <v/>
      </c>
      <c r="M2065" s="64">
        <f>IF(tblMovement[[#This Row],[Material]]="","",IF(LEFT(tblMovement[[#This Row],[Material]],3)="Ore",1,0))</f>
        <v/>
      </c>
      <c r="N2065" s="59">
        <f>IF(OR(tblMovement[[#This Row],[Tonnes_t]]="",tblMovement[[#This Row],[Grade_gpt]]=""),0,tblMovement[[#This Row],[Tonnes_t]]*tblMovement[[#This Row],[Grade_gpt]]/cfg_TroyOz)</f>
        <v/>
      </c>
      <c r="O2065" s="59">
        <f>IF(tblMovement[[#This Row],[Is_Ore]]=1,tblMovement[[#This Row],[Contained_oz]],0)</f>
        <v/>
      </c>
    </row>
    <row r="2066">
      <c r="A2066" s="54" t="n"/>
      <c r="B2066" s="61" t="n"/>
      <c r="C2066" s="61" t="n"/>
      <c r="D2066" s="61" t="n"/>
      <c r="E2066" s="61" t="n"/>
      <c r="F2066" s="55" t="n"/>
      <c r="G2066" s="56" t="n"/>
      <c r="H2066" s="55" t="n"/>
      <c r="I2066" s="62" t="n"/>
      <c r="J2066" s="58" t="n"/>
      <c r="K2066" s="63">
        <f>IF(tblMovement[[#This Row],[Source]]="","",IFERROR(INDEX(tblSources[Type],MATCH(tblMovement[[#This Row],[Source]],tblSources[Source],0)),"?"))</f>
        <v/>
      </c>
      <c r="L2066" s="63">
        <f>IF(tblMovement[[#This Row],[Destination]]="","",IFERROR(INDEX(tblDestinations[Type],MATCH(tblMovement[[#This Row],[Destination]],tblDestinations[Destination],0)),"?"))</f>
        <v/>
      </c>
      <c r="M2066" s="64">
        <f>IF(tblMovement[[#This Row],[Material]]="","",IF(LEFT(tblMovement[[#This Row],[Material]],3)="Ore",1,0))</f>
        <v/>
      </c>
      <c r="N2066" s="59">
        <f>IF(OR(tblMovement[[#This Row],[Tonnes_t]]="",tblMovement[[#This Row],[Grade_gpt]]=""),0,tblMovement[[#This Row],[Tonnes_t]]*tblMovement[[#This Row],[Grade_gpt]]/cfg_TroyOz)</f>
        <v/>
      </c>
      <c r="O2066" s="59">
        <f>IF(tblMovement[[#This Row],[Is_Ore]]=1,tblMovement[[#This Row],[Contained_oz]],0)</f>
        <v/>
      </c>
    </row>
    <row r="2067">
      <c r="A2067" s="54" t="n"/>
      <c r="B2067" s="61" t="n"/>
      <c r="C2067" s="61" t="n"/>
      <c r="D2067" s="61" t="n"/>
      <c r="E2067" s="61" t="n"/>
      <c r="F2067" s="55" t="n"/>
      <c r="G2067" s="56" t="n"/>
      <c r="H2067" s="55" t="n"/>
      <c r="I2067" s="62" t="n"/>
      <c r="J2067" s="58" t="n"/>
      <c r="K2067" s="63">
        <f>IF(tblMovement[[#This Row],[Source]]="","",IFERROR(INDEX(tblSources[Type],MATCH(tblMovement[[#This Row],[Source]],tblSources[Source],0)),"?"))</f>
        <v/>
      </c>
      <c r="L2067" s="63">
        <f>IF(tblMovement[[#This Row],[Destination]]="","",IFERROR(INDEX(tblDestinations[Type],MATCH(tblMovement[[#This Row],[Destination]],tblDestinations[Destination],0)),"?"))</f>
        <v/>
      </c>
      <c r="M2067" s="64">
        <f>IF(tblMovement[[#This Row],[Material]]="","",IF(LEFT(tblMovement[[#This Row],[Material]],3)="Ore",1,0))</f>
        <v/>
      </c>
      <c r="N2067" s="59">
        <f>IF(OR(tblMovement[[#This Row],[Tonnes_t]]="",tblMovement[[#This Row],[Grade_gpt]]=""),0,tblMovement[[#This Row],[Tonnes_t]]*tblMovement[[#This Row],[Grade_gpt]]/cfg_TroyOz)</f>
        <v/>
      </c>
      <c r="O2067" s="59">
        <f>IF(tblMovement[[#This Row],[Is_Ore]]=1,tblMovement[[#This Row],[Contained_oz]],0)</f>
        <v/>
      </c>
    </row>
    <row r="2068">
      <c r="A2068" s="54" t="n"/>
      <c r="B2068" s="61" t="n"/>
      <c r="C2068" s="61" t="n"/>
      <c r="D2068" s="61" t="n"/>
      <c r="E2068" s="61" t="n"/>
      <c r="F2068" s="55" t="n"/>
      <c r="G2068" s="56" t="n"/>
      <c r="H2068" s="55" t="n"/>
      <c r="I2068" s="62" t="n"/>
      <c r="J2068" s="58" t="n"/>
      <c r="K2068" s="63">
        <f>IF(tblMovement[[#This Row],[Source]]="","",IFERROR(INDEX(tblSources[Type],MATCH(tblMovement[[#This Row],[Source]],tblSources[Source],0)),"?"))</f>
        <v/>
      </c>
      <c r="L2068" s="63">
        <f>IF(tblMovement[[#This Row],[Destination]]="","",IFERROR(INDEX(tblDestinations[Type],MATCH(tblMovement[[#This Row],[Destination]],tblDestinations[Destination],0)),"?"))</f>
        <v/>
      </c>
      <c r="M2068" s="64">
        <f>IF(tblMovement[[#This Row],[Material]]="","",IF(LEFT(tblMovement[[#This Row],[Material]],3)="Ore",1,0))</f>
        <v/>
      </c>
      <c r="N2068" s="59">
        <f>IF(OR(tblMovement[[#This Row],[Tonnes_t]]="",tblMovement[[#This Row],[Grade_gpt]]=""),0,tblMovement[[#This Row],[Tonnes_t]]*tblMovement[[#This Row],[Grade_gpt]]/cfg_TroyOz)</f>
        <v/>
      </c>
      <c r="O2068" s="59">
        <f>IF(tblMovement[[#This Row],[Is_Ore]]=1,tblMovement[[#This Row],[Contained_oz]],0)</f>
        <v/>
      </c>
    </row>
    <row r="2069">
      <c r="A2069" s="54" t="n"/>
      <c r="B2069" s="61" t="n"/>
      <c r="C2069" s="61" t="n"/>
      <c r="D2069" s="61" t="n"/>
      <c r="E2069" s="61" t="n"/>
      <c r="F2069" s="55" t="n"/>
      <c r="G2069" s="56" t="n"/>
      <c r="H2069" s="55" t="n"/>
      <c r="I2069" s="62" t="n"/>
      <c r="J2069" s="58" t="n"/>
      <c r="K2069" s="63">
        <f>IF(tblMovement[[#This Row],[Source]]="","",IFERROR(INDEX(tblSources[Type],MATCH(tblMovement[[#This Row],[Source]],tblSources[Source],0)),"?"))</f>
        <v/>
      </c>
      <c r="L2069" s="63">
        <f>IF(tblMovement[[#This Row],[Destination]]="","",IFERROR(INDEX(tblDestinations[Type],MATCH(tblMovement[[#This Row],[Destination]],tblDestinations[Destination],0)),"?"))</f>
        <v/>
      </c>
      <c r="M2069" s="64">
        <f>IF(tblMovement[[#This Row],[Material]]="","",IF(LEFT(tblMovement[[#This Row],[Material]],3)="Ore",1,0))</f>
        <v/>
      </c>
      <c r="N2069" s="59">
        <f>IF(OR(tblMovement[[#This Row],[Tonnes_t]]="",tblMovement[[#This Row],[Grade_gpt]]=""),0,tblMovement[[#This Row],[Tonnes_t]]*tblMovement[[#This Row],[Grade_gpt]]/cfg_TroyOz)</f>
        <v/>
      </c>
      <c r="O2069" s="59">
        <f>IF(tblMovement[[#This Row],[Is_Ore]]=1,tblMovement[[#This Row],[Contained_oz]],0)</f>
        <v/>
      </c>
    </row>
    <row r="2070">
      <c r="A2070" s="54" t="n"/>
      <c r="B2070" s="61" t="n"/>
      <c r="C2070" s="61" t="n"/>
      <c r="D2070" s="61" t="n"/>
      <c r="E2070" s="61" t="n"/>
      <c r="F2070" s="55" t="n"/>
      <c r="G2070" s="56" t="n"/>
      <c r="H2070" s="55" t="n"/>
      <c r="I2070" s="62" t="n"/>
      <c r="J2070" s="58" t="n"/>
      <c r="K2070" s="63">
        <f>IF(tblMovement[[#This Row],[Source]]="","",IFERROR(INDEX(tblSources[Type],MATCH(tblMovement[[#This Row],[Source]],tblSources[Source],0)),"?"))</f>
        <v/>
      </c>
      <c r="L2070" s="63">
        <f>IF(tblMovement[[#This Row],[Destination]]="","",IFERROR(INDEX(tblDestinations[Type],MATCH(tblMovement[[#This Row],[Destination]],tblDestinations[Destination],0)),"?"))</f>
        <v/>
      </c>
      <c r="M2070" s="64">
        <f>IF(tblMovement[[#This Row],[Material]]="","",IF(LEFT(tblMovement[[#This Row],[Material]],3)="Ore",1,0))</f>
        <v/>
      </c>
      <c r="N2070" s="59">
        <f>IF(OR(tblMovement[[#This Row],[Tonnes_t]]="",tblMovement[[#This Row],[Grade_gpt]]=""),0,tblMovement[[#This Row],[Tonnes_t]]*tblMovement[[#This Row],[Grade_gpt]]/cfg_TroyOz)</f>
        <v/>
      </c>
      <c r="O2070" s="59">
        <f>IF(tblMovement[[#This Row],[Is_Ore]]=1,tblMovement[[#This Row],[Contained_oz]],0)</f>
        <v/>
      </c>
    </row>
    <row r="2071">
      <c r="A2071" s="54" t="n"/>
      <c r="B2071" s="61" t="n"/>
      <c r="C2071" s="61" t="n"/>
      <c r="D2071" s="61" t="n"/>
      <c r="E2071" s="61" t="n"/>
      <c r="F2071" s="55" t="n"/>
      <c r="G2071" s="56" t="n"/>
      <c r="H2071" s="55" t="n"/>
      <c r="I2071" s="62" t="n"/>
      <c r="J2071" s="58" t="n"/>
      <c r="K2071" s="63">
        <f>IF(tblMovement[[#This Row],[Source]]="","",IFERROR(INDEX(tblSources[Type],MATCH(tblMovement[[#This Row],[Source]],tblSources[Source],0)),"?"))</f>
        <v/>
      </c>
      <c r="L2071" s="63">
        <f>IF(tblMovement[[#This Row],[Destination]]="","",IFERROR(INDEX(tblDestinations[Type],MATCH(tblMovement[[#This Row],[Destination]],tblDestinations[Destination],0)),"?"))</f>
        <v/>
      </c>
      <c r="M2071" s="64">
        <f>IF(tblMovement[[#This Row],[Material]]="","",IF(LEFT(tblMovement[[#This Row],[Material]],3)="Ore",1,0))</f>
        <v/>
      </c>
      <c r="N2071" s="59">
        <f>IF(OR(tblMovement[[#This Row],[Tonnes_t]]="",tblMovement[[#This Row],[Grade_gpt]]=""),0,tblMovement[[#This Row],[Tonnes_t]]*tblMovement[[#This Row],[Grade_gpt]]/cfg_TroyOz)</f>
        <v/>
      </c>
      <c r="O2071" s="59">
        <f>IF(tblMovement[[#This Row],[Is_Ore]]=1,tblMovement[[#This Row],[Contained_oz]],0)</f>
        <v/>
      </c>
    </row>
    <row r="2072">
      <c r="A2072" s="54" t="n"/>
      <c r="B2072" s="61" t="n"/>
      <c r="C2072" s="61" t="n"/>
      <c r="D2072" s="61" t="n"/>
      <c r="E2072" s="61" t="n"/>
      <c r="F2072" s="55" t="n"/>
      <c r="G2072" s="56" t="n"/>
      <c r="H2072" s="55" t="n"/>
      <c r="I2072" s="62" t="n"/>
      <c r="J2072" s="58" t="n"/>
      <c r="K2072" s="63">
        <f>IF(tblMovement[[#This Row],[Source]]="","",IFERROR(INDEX(tblSources[Type],MATCH(tblMovement[[#This Row],[Source]],tblSources[Source],0)),"?"))</f>
        <v/>
      </c>
      <c r="L2072" s="63">
        <f>IF(tblMovement[[#This Row],[Destination]]="","",IFERROR(INDEX(tblDestinations[Type],MATCH(tblMovement[[#This Row],[Destination]],tblDestinations[Destination],0)),"?"))</f>
        <v/>
      </c>
      <c r="M2072" s="64">
        <f>IF(tblMovement[[#This Row],[Material]]="","",IF(LEFT(tblMovement[[#This Row],[Material]],3)="Ore",1,0))</f>
        <v/>
      </c>
      <c r="N2072" s="59">
        <f>IF(OR(tblMovement[[#This Row],[Tonnes_t]]="",tblMovement[[#This Row],[Grade_gpt]]=""),0,tblMovement[[#This Row],[Tonnes_t]]*tblMovement[[#This Row],[Grade_gpt]]/cfg_TroyOz)</f>
        <v/>
      </c>
      <c r="O2072" s="59">
        <f>IF(tblMovement[[#This Row],[Is_Ore]]=1,tblMovement[[#This Row],[Contained_oz]],0)</f>
        <v/>
      </c>
    </row>
    <row r="2073">
      <c r="A2073" s="54" t="n"/>
      <c r="B2073" s="61" t="n"/>
      <c r="C2073" s="61" t="n"/>
      <c r="D2073" s="61" t="n"/>
      <c r="E2073" s="61" t="n"/>
      <c r="F2073" s="55" t="n"/>
      <c r="G2073" s="56" t="n"/>
      <c r="H2073" s="55" t="n"/>
      <c r="I2073" s="62" t="n"/>
      <c r="J2073" s="58" t="n"/>
      <c r="K2073" s="63">
        <f>IF(tblMovement[[#This Row],[Source]]="","",IFERROR(INDEX(tblSources[Type],MATCH(tblMovement[[#This Row],[Source]],tblSources[Source],0)),"?"))</f>
        <v/>
      </c>
      <c r="L2073" s="63">
        <f>IF(tblMovement[[#This Row],[Destination]]="","",IFERROR(INDEX(tblDestinations[Type],MATCH(tblMovement[[#This Row],[Destination]],tblDestinations[Destination],0)),"?"))</f>
        <v/>
      </c>
      <c r="M2073" s="64">
        <f>IF(tblMovement[[#This Row],[Material]]="","",IF(LEFT(tblMovement[[#This Row],[Material]],3)="Ore",1,0))</f>
        <v/>
      </c>
      <c r="N2073" s="59">
        <f>IF(OR(tblMovement[[#This Row],[Tonnes_t]]="",tblMovement[[#This Row],[Grade_gpt]]=""),0,tblMovement[[#This Row],[Tonnes_t]]*tblMovement[[#This Row],[Grade_gpt]]/cfg_TroyOz)</f>
        <v/>
      </c>
      <c r="O2073" s="59">
        <f>IF(tblMovement[[#This Row],[Is_Ore]]=1,tblMovement[[#This Row],[Contained_oz]],0)</f>
        <v/>
      </c>
    </row>
    <row r="2074">
      <c r="A2074" s="54" t="n"/>
      <c r="B2074" s="61" t="n"/>
      <c r="C2074" s="61" t="n"/>
      <c r="D2074" s="61" t="n"/>
      <c r="E2074" s="61" t="n"/>
      <c r="F2074" s="55" t="n"/>
      <c r="G2074" s="56" t="n"/>
      <c r="H2074" s="55" t="n"/>
      <c r="I2074" s="62" t="n"/>
      <c r="J2074" s="58" t="n"/>
      <c r="K2074" s="63">
        <f>IF(tblMovement[[#This Row],[Source]]="","",IFERROR(INDEX(tblSources[Type],MATCH(tblMovement[[#This Row],[Source]],tblSources[Source],0)),"?"))</f>
        <v/>
      </c>
      <c r="L2074" s="63">
        <f>IF(tblMovement[[#This Row],[Destination]]="","",IFERROR(INDEX(tblDestinations[Type],MATCH(tblMovement[[#This Row],[Destination]],tblDestinations[Destination],0)),"?"))</f>
        <v/>
      </c>
      <c r="M2074" s="64">
        <f>IF(tblMovement[[#This Row],[Material]]="","",IF(LEFT(tblMovement[[#This Row],[Material]],3)="Ore",1,0))</f>
        <v/>
      </c>
      <c r="N2074" s="59">
        <f>IF(OR(tblMovement[[#This Row],[Tonnes_t]]="",tblMovement[[#This Row],[Grade_gpt]]=""),0,tblMovement[[#This Row],[Tonnes_t]]*tblMovement[[#This Row],[Grade_gpt]]/cfg_TroyOz)</f>
        <v/>
      </c>
      <c r="O2074" s="59">
        <f>IF(tblMovement[[#This Row],[Is_Ore]]=1,tblMovement[[#This Row],[Contained_oz]],0)</f>
        <v/>
      </c>
    </row>
    <row r="2075">
      <c r="A2075" s="54" t="n"/>
      <c r="B2075" s="61" t="n"/>
      <c r="C2075" s="61" t="n"/>
      <c r="D2075" s="61" t="n"/>
      <c r="E2075" s="61" t="n"/>
      <c r="F2075" s="55" t="n"/>
      <c r="G2075" s="56" t="n"/>
      <c r="H2075" s="55" t="n"/>
      <c r="I2075" s="62" t="n"/>
      <c r="J2075" s="58" t="n"/>
      <c r="K2075" s="63">
        <f>IF(tblMovement[[#This Row],[Source]]="","",IFERROR(INDEX(tblSources[Type],MATCH(tblMovement[[#This Row],[Source]],tblSources[Source],0)),"?"))</f>
        <v/>
      </c>
      <c r="L2075" s="63">
        <f>IF(tblMovement[[#This Row],[Destination]]="","",IFERROR(INDEX(tblDestinations[Type],MATCH(tblMovement[[#This Row],[Destination]],tblDestinations[Destination],0)),"?"))</f>
        <v/>
      </c>
      <c r="M2075" s="64">
        <f>IF(tblMovement[[#This Row],[Material]]="","",IF(LEFT(tblMovement[[#This Row],[Material]],3)="Ore",1,0))</f>
        <v/>
      </c>
      <c r="N2075" s="59">
        <f>IF(OR(tblMovement[[#This Row],[Tonnes_t]]="",tblMovement[[#This Row],[Grade_gpt]]=""),0,tblMovement[[#This Row],[Tonnes_t]]*tblMovement[[#This Row],[Grade_gpt]]/cfg_TroyOz)</f>
        <v/>
      </c>
      <c r="O2075" s="59">
        <f>IF(tblMovement[[#This Row],[Is_Ore]]=1,tblMovement[[#This Row],[Contained_oz]],0)</f>
        <v/>
      </c>
    </row>
    <row r="2076">
      <c r="A2076" s="54" t="n"/>
      <c r="B2076" s="61" t="n"/>
      <c r="C2076" s="61" t="n"/>
      <c r="D2076" s="61" t="n"/>
      <c r="E2076" s="61" t="n"/>
      <c r="F2076" s="55" t="n"/>
      <c r="G2076" s="56" t="n"/>
      <c r="H2076" s="55" t="n"/>
      <c r="I2076" s="62" t="n"/>
      <c r="J2076" s="58" t="n"/>
      <c r="K2076" s="63">
        <f>IF(tblMovement[[#This Row],[Source]]="","",IFERROR(INDEX(tblSources[Type],MATCH(tblMovement[[#This Row],[Source]],tblSources[Source],0)),"?"))</f>
        <v/>
      </c>
      <c r="L2076" s="63">
        <f>IF(tblMovement[[#This Row],[Destination]]="","",IFERROR(INDEX(tblDestinations[Type],MATCH(tblMovement[[#This Row],[Destination]],tblDestinations[Destination],0)),"?"))</f>
        <v/>
      </c>
      <c r="M2076" s="64">
        <f>IF(tblMovement[[#This Row],[Material]]="","",IF(LEFT(tblMovement[[#This Row],[Material]],3)="Ore",1,0))</f>
        <v/>
      </c>
      <c r="N2076" s="59">
        <f>IF(OR(tblMovement[[#This Row],[Tonnes_t]]="",tblMovement[[#This Row],[Grade_gpt]]=""),0,tblMovement[[#This Row],[Tonnes_t]]*tblMovement[[#This Row],[Grade_gpt]]/cfg_TroyOz)</f>
        <v/>
      </c>
      <c r="O2076" s="59">
        <f>IF(tblMovement[[#This Row],[Is_Ore]]=1,tblMovement[[#This Row],[Contained_oz]],0)</f>
        <v/>
      </c>
    </row>
    <row r="2077">
      <c r="A2077" s="54" t="n"/>
      <c r="B2077" s="61" t="n"/>
      <c r="C2077" s="61" t="n"/>
      <c r="D2077" s="61" t="n"/>
      <c r="E2077" s="61" t="n"/>
      <c r="F2077" s="55" t="n"/>
      <c r="G2077" s="56" t="n"/>
      <c r="H2077" s="55" t="n"/>
      <c r="I2077" s="62" t="n"/>
      <c r="J2077" s="58" t="n"/>
      <c r="K2077" s="63">
        <f>IF(tblMovement[[#This Row],[Source]]="","",IFERROR(INDEX(tblSources[Type],MATCH(tblMovement[[#This Row],[Source]],tblSources[Source],0)),"?"))</f>
        <v/>
      </c>
      <c r="L2077" s="63">
        <f>IF(tblMovement[[#This Row],[Destination]]="","",IFERROR(INDEX(tblDestinations[Type],MATCH(tblMovement[[#This Row],[Destination]],tblDestinations[Destination],0)),"?"))</f>
        <v/>
      </c>
      <c r="M2077" s="64">
        <f>IF(tblMovement[[#This Row],[Material]]="","",IF(LEFT(tblMovement[[#This Row],[Material]],3)="Ore",1,0))</f>
        <v/>
      </c>
      <c r="N2077" s="59">
        <f>IF(OR(tblMovement[[#This Row],[Tonnes_t]]="",tblMovement[[#This Row],[Grade_gpt]]=""),0,tblMovement[[#This Row],[Tonnes_t]]*tblMovement[[#This Row],[Grade_gpt]]/cfg_TroyOz)</f>
        <v/>
      </c>
      <c r="O2077" s="59">
        <f>IF(tblMovement[[#This Row],[Is_Ore]]=1,tblMovement[[#This Row],[Contained_oz]],0)</f>
        <v/>
      </c>
    </row>
    <row r="2078">
      <c r="A2078" s="54" t="n"/>
      <c r="B2078" s="61" t="n"/>
      <c r="C2078" s="61" t="n"/>
      <c r="D2078" s="61" t="n"/>
      <c r="E2078" s="61" t="n"/>
      <c r="F2078" s="55" t="n"/>
      <c r="G2078" s="56" t="n"/>
      <c r="H2078" s="55" t="n"/>
      <c r="I2078" s="62" t="n"/>
      <c r="J2078" s="58" t="n"/>
      <c r="K2078" s="63">
        <f>IF(tblMovement[[#This Row],[Source]]="","",IFERROR(INDEX(tblSources[Type],MATCH(tblMovement[[#This Row],[Source]],tblSources[Source],0)),"?"))</f>
        <v/>
      </c>
      <c r="L2078" s="63">
        <f>IF(tblMovement[[#This Row],[Destination]]="","",IFERROR(INDEX(tblDestinations[Type],MATCH(tblMovement[[#This Row],[Destination]],tblDestinations[Destination],0)),"?"))</f>
        <v/>
      </c>
      <c r="M2078" s="64">
        <f>IF(tblMovement[[#This Row],[Material]]="","",IF(LEFT(tblMovement[[#This Row],[Material]],3)="Ore",1,0))</f>
        <v/>
      </c>
      <c r="N2078" s="59">
        <f>IF(OR(tblMovement[[#This Row],[Tonnes_t]]="",tblMovement[[#This Row],[Grade_gpt]]=""),0,tblMovement[[#This Row],[Tonnes_t]]*tblMovement[[#This Row],[Grade_gpt]]/cfg_TroyOz)</f>
        <v/>
      </c>
      <c r="O2078" s="59">
        <f>IF(tblMovement[[#This Row],[Is_Ore]]=1,tblMovement[[#This Row],[Contained_oz]],0)</f>
        <v/>
      </c>
    </row>
    <row r="2079">
      <c r="A2079" s="54" t="n"/>
      <c r="B2079" s="61" t="n"/>
      <c r="C2079" s="61" t="n"/>
      <c r="D2079" s="61" t="n"/>
      <c r="E2079" s="61" t="n"/>
      <c r="F2079" s="55" t="n"/>
      <c r="G2079" s="56" t="n"/>
      <c r="H2079" s="55" t="n"/>
      <c r="I2079" s="62" t="n"/>
      <c r="J2079" s="58" t="n"/>
      <c r="K2079" s="63">
        <f>IF(tblMovement[[#This Row],[Source]]="","",IFERROR(INDEX(tblSources[Type],MATCH(tblMovement[[#This Row],[Source]],tblSources[Source],0)),"?"))</f>
        <v/>
      </c>
      <c r="L2079" s="63">
        <f>IF(tblMovement[[#This Row],[Destination]]="","",IFERROR(INDEX(tblDestinations[Type],MATCH(tblMovement[[#This Row],[Destination]],tblDestinations[Destination],0)),"?"))</f>
        <v/>
      </c>
      <c r="M2079" s="64">
        <f>IF(tblMovement[[#This Row],[Material]]="","",IF(LEFT(tblMovement[[#This Row],[Material]],3)="Ore",1,0))</f>
        <v/>
      </c>
      <c r="N2079" s="59">
        <f>IF(OR(tblMovement[[#This Row],[Tonnes_t]]="",tblMovement[[#This Row],[Grade_gpt]]=""),0,tblMovement[[#This Row],[Tonnes_t]]*tblMovement[[#This Row],[Grade_gpt]]/cfg_TroyOz)</f>
        <v/>
      </c>
      <c r="O2079" s="59">
        <f>IF(tblMovement[[#This Row],[Is_Ore]]=1,tblMovement[[#This Row],[Contained_oz]],0)</f>
        <v/>
      </c>
    </row>
    <row r="2080">
      <c r="A2080" s="54" t="n"/>
      <c r="B2080" s="61" t="n"/>
      <c r="C2080" s="61" t="n"/>
      <c r="D2080" s="61" t="n"/>
      <c r="E2080" s="61" t="n"/>
      <c r="F2080" s="55" t="n"/>
      <c r="G2080" s="56" t="n"/>
      <c r="H2080" s="55" t="n"/>
      <c r="I2080" s="62" t="n"/>
      <c r="J2080" s="58" t="n"/>
      <c r="K2080" s="63">
        <f>IF(tblMovement[[#This Row],[Source]]="","",IFERROR(INDEX(tblSources[Type],MATCH(tblMovement[[#This Row],[Source]],tblSources[Source],0)),"?"))</f>
        <v/>
      </c>
      <c r="L2080" s="63">
        <f>IF(tblMovement[[#This Row],[Destination]]="","",IFERROR(INDEX(tblDestinations[Type],MATCH(tblMovement[[#This Row],[Destination]],tblDestinations[Destination],0)),"?"))</f>
        <v/>
      </c>
      <c r="M2080" s="64">
        <f>IF(tblMovement[[#This Row],[Material]]="","",IF(LEFT(tblMovement[[#This Row],[Material]],3)="Ore",1,0))</f>
        <v/>
      </c>
      <c r="N2080" s="59">
        <f>IF(OR(tblMovement[[#This Row],[Tonnes_t]]="",tblMovement[[#This Row],[Grade_gpt]]=""),0,tblMovement[[#This Row],[Tonnes_t]]*tblMovement[[#This Row],[Grade_gpt]]/cfg_TroyOz)</f>
        <v/>
      </c>
      <c r="O2080" s="59">
        <f>IF(tblMovement[[#This Row],[Is_Ore]]=1,tblMovement[[#This Row],[Contained_oz]],0)</f>
        <v/>
      </c>
    </row>
    <row r="2081">
      <c r="A2081" s="54" t="n"/>
      <c r="B2081" s="61" t="n"/>
      <c r="C2081" s="61" t="n"/>
      <c r="D2081" s="61" t="n"/>
      <c r="E2081" s="61" t="n"/>
      <c r="F2081" s="55" t="n"/>
      <c r="G2081" s="56" t="n"/>
      <c r="H2081" s="55" t="n"/>
      <c r="I2081" s="62" t="n"/>
      <c r="J2081" s="58" t="n"/>
      <c r="K2081" s="63">
        <f>IF(tblMovement[[#This Row],[Source]]="","",IFERROR(INDEX(tblSources[Type],MATCH(tblMovement[[#This Row],[Source]],tblSources[Source],0)),"?"))</f>
        <v/>
      </c>
      <c r="L2081" s="63">
        <f>IF(tblMovement[[#This Row],[Destination]]="","",IFERROR(INDEX(tblDestinations[Type],MATCH(tblMovement[[#This Row],[Destination]],tblDestinations[Destination],0)),"?"))</f>
        <v/>
      </c>
      <c r="M2081" s="64">
        <f>IF(tblMovement[[#This Row],[Material]]="","",IF(LEFT(tblMovement[[#This Row],[Material]],3)="Ore",1,0))</f>
        <v/>
      </c>
      <c r="N2081" s="59">
        <f>IF(OR(tblMovement[[#This Row],[Tonnes_t]]="",tblMovement[[#This Row],[Grade_gpt]]=""),0,tblMovement[[#This Row],[Tonnes_t]]*tblMovement[[#This Row],[Grade_gpt]]/cfg_TroyOz)</f>
        <v/>
      </c>
      <c r="O2081" s="59">
        <f>IF(tblMovement[[#This Row],[Is_Ore]]=1,tblMovement[[#This Row],[Contained_oz]],0)</f>
        <v/>
      </c>
    </row>
    <row r="2082">
      <c r="A2082" s="54" t="n"/>
      <c r="B2082" s="61" t="n"/>
      <c r="C2082" s="61" t="n"/>
      <c r="D2082" s="61" t="n"/>
      <c r="E2082" s="61" t="n"/>
      <c r="F2082" s="55" t="n"/>
      <c r="G2082" s="56" t="n"/>
      <c r="H2082" s="55" t="n"/>
      <c r="I2082" s="62" t="n"/>
      <c r="J2082" s="58" t="n"/>
      <c r="K2082" s="63">
        <f>IF(tblMovement[[#This Row],[Source]]="","",IFERROR(INDEX(tblSources[Type],MATCH(tblMovement[[#This Row],[Source]],tblSources[Source],0)),"?"))</f>
        <v/>
      </c>
      <c r="L2082" s="63">
        <f>IF(tblMovement[[#This Row],[Destination]]="","",IFERROR(INDEX(tblDestinations[Type],MATCH(tblMovement[[#This Row],[Destination]],tblDestinations[Destination],0)),"?"))</f>
        <v/>
      </c>
      <c r="M2082" s="64">
        <f>IF(tblMovement[[#This Row],[Material]]="","",IF(LEFT(tblMovement[[#This Row],[Material]],3)="Ore",1,0))</f>
        <v/>
      </c>
      <c r="N2082" s="59">
        <f>IF(OR(tblMovement[[#This Row],[Tonnes_t]]="",tblMovement[[#This Row],[Grade_gpt]]=""),0,tblMovement[[#This Row],[Tonnes_t]]*tblMovement[[#This Row],[Grade_gpt]]/cfg_TroyOz)</f>
        <v/>
      </c>
      <c r="O2082" s="59">
        <f>IF(tblMovement[[#This Row],[Is_Ore]]=1,tblMovement[[#This Row],[Contained_oz]],0)</f>
        <v/>
      </c>
    </row>
    <row r="2083">
      <c r="A2083" s="54" t="n"/>
      <c r="B2083" s="61" t="n"/>
      <c r="C2083" s="61" t="n"/>
      <c r="D2083" s="61" t="n"/>
      <c r="E2083" s="61" t="n"/>
      <c r="F2083" s="55" t="n"/>
      <c r="G2083" s="56" t="n"/>
      <c r="H2083" s="55" t="n"/>
      <c r="I2083" s="62" t="n"/>
      <c r="J2083" s="58" t="n"/>
      <c r="K2083" s="63">
        <f>IF(tblMovement[[#This Row],[Source]]="","",IFERROR(INDEX(tblSources[Type],MATCH(tblMovement[[#This Row],[Source]],tblSources[Source],0)),"?"))</f>
        <v/>
      </c>
      <c r="L2083" s="63">
        <f>IF(tblMovement[[#This Row],[Destination]]="","",IFERROR(INDEX(tblDestinations[Type],MATCH(tblMovement[[#This Row],[Destination]],tblDestinations[Destination],0)),"?"))</f>
        <v/>
      </c>
      <c r="M2083" s="64">
        <f>IF(tblMovement[[#This Row],[Material]]="","",IF(LEFT(tblMovement[[#This Row],[Material]],3)="Ore",1,0))</f>
        <v/>
      </c>
      <c r="N2083" s="59">
        <f>IF(OR(tblMovement[[#This Row],[Tonnes_t]]="",tblMovement[[#This Row],[Grade_gpt]]=""),0,tblMovement[[#This Row],[Tonnes_t]]*tblMovement[[#This Row],[Grade_gpt]]/cfg_TroyOz)</f>
        <v/>
      </c>
      <c r="O2083" s="59">
        <f>IF(tblMovement[[#This Row],[Is_Ore]]=1,tblMovement[[#This Row],[Contained_oz]],0)</f>
        <v/>
      </c>
    </row>
    <row r="2084">
      <c r="A2084" s="54" t="n"/>
      <c r="B2084" s="61" t="n"/>
      <c r="C2084" s="61" t="n"/>
      <c r="D2084" s="61" t="n"/>
      <c r="E2084" s="61" t="n"/>
      <c r="F2084" s="55" t="n"/>
      <c r="G2084" s="56" t="n"/>
      <c r="H2084" s="55" t="n"/>
      <c r="I2084" s="62" t="n"/>
      <c r="J2084" s="58" t="n"/>
      <c r="K2084" s="63">
        <f>IF(tblMovement[[#This Row],[Source]]="","",IFERROR(INDEX(tblSources[Type],MATCH(tblMovement[[#This Row],[Source]],tblSources[Source],0)),"?"))</f>
        <v/>
      </c>
      <c r="L2084" s="63">
        <f>IF(tblMovement[[#This Row],[Destination]]="","",IFERROR(INDEX(tblDestinations[Type],MATCH(tblMovement[[#This Row],[Destination]],tblDestinations[Destination],0)),"?"))</f>
        <v/>
      </c>
      <c r="M2084" s="64">
        <f>IF(tblMovement[[#This Row],[Material]]="","",IF(LEFT(tblMovement[[#This Row],[Material]],3)="Ore",1,0))</f>
        <v/>
      </c>
      <c r="N2084" s="59">
        <f>IF(OR(tblMovement[[#This Row],[Tonnes_t]]="",tblMovement[[#This Row],[Grade_gpt]]=""),0,tblMovement[[#This Row],[Tonnes_t]]*tblMovement[[#This Row],[Grade_gpt]]/cfg_TroyOz)</f>
        <v/>
      </c>
      <c r="O2084" s="59">
        <f>IF(tblMovement[[#This Row],[Is_Ore]]=1,tblMovement[[#This Row],[Contained_oz]],0)</f>
        <v/>
      </c>
    </row>
    <row r="2085">
      <c r="A2085" s="54" t="n"/>
      <c r="B2085" s="61" t="n"/>
      <c r="C2085" s="61" t="n"/>
      <c r="D2085" s="61" t="n"/>
      <c r="E2085" s="61" t="n"/>
      <c r="F2085" s="55" t="n"/>
      <c r="G2085" s="56" t="n"/>
      <c r="H2085" s="55" t="n"/>
      <c r="I2085" s="62" t="n"/>
      <c r="J2085" s="58" t="n"/>
      <c r="K2085" s="63">
        <f>IF(tblMovement[[#This Row],[Source]]="","",IFERROR(INDEX(tblSources[Type],MATCH(tblMovement[[#This Row],[Source]],tblSources[Source],0)),"?"))</f>
        <v/>
      </c>
      <c r="L2085" s="63">
        <f>IF(tblMovement[[#This Row],[Destination]]="","",IFERROR(INDEX(tblDestinations[Type],MATCH(tblMovement[[#This Row],[Destination]],tblDestinations[Destination],0)),"?"))</f>
        <v/>
      </c>
      <c r="M2085" s="64">
        <f>IF(tblMovement[[#This Row],[Material]]="","",IF(LEFT(tblMovement[[#This Row],[Material]],3)="Ore",1,0))</f>
        <v/>
      </c>
      <c r="N2085" s="59">
        <f>IF(OR(tblMovement[[#This Row],[Tonnes_t]]="",tblMovement[[#This Row],[Grade_gpt]]=""),0,tblMovement[[#This Row],[Tonnes_t]]*tblMovement[[#This Row],[Grade_gpt]]/cfg_TroyOz)</f>
        <v/>
      </c>
      <c r="O2085" s="59">
        <f>IF(tblMovement[[#This Row],[Is_Ore]]=1,tblMovement[[#This Row],[Contained_oz]],0)</f>
        <v/>
      </c>
    </row>
    <row r="2086">
      <c r="A2086" s="54" t="n"/>
      <c r="B2086" s="61" t="n"/>
      <c r="C2086" s="61" t="n"/>
      <c r="D2086" s="61" t="n"/>
      <c r="E2086" s="61" t="n"/>
      <c r="F2086" s="55" t="n"/>
      <c r="G2086" s="56" t="n"/>
      <c r="H2086" s="55" t="n"/>
      <c r="I2086" s="62" t="n"/>
      <c r="J2086" s="58" t="n"/>
      <c r="K2086" s="63">
        <f>IF(tblMovement[[#This Row],[Source]]="","",IFERROR(INDEX(tblSources[Type],MATCH(tblMovement[[#This Row],[Source]],tblSources[Source],0)),"?"))</f>
        <v/>
      </c>
      <c r="L2086" s="63">
        <f>IF(tblMovement[[#This Row],[Destination]]="","",IFERROR(INDEX(tblDestinations[Type],MATCH(tblMovement[[#This Row],[Destination]],tblDestinations[Destination],0)),"?"))</f>
        <v/>
      </c>
      <c r="M2086" s="64">
        <f>IF(tblMovement[[#This Row],[Material]]="","",IF(LEFT(tblMovement[[#This Row],[Material]],3)="Ore",1,0))</f>
        <v/>
      </c>
      <c r="N2086" s="59">
        <f>IF(OR(tblMovement[[#This Row],[Tonnes_t]]="",tblMovement[[#This Row],[Grade_gpt]]=""),0,tblMovement[[#This Row],[Tonnes_t]]*tblMovement[[#This Row],[Grade_gpt]]/cfg_TroyOz)</f>
        <v/>
      </c>
      <c r="O2086" s="59">
        <f>IF(tblMovement[[#This Row],[Is_Ore]]=1,tblMovement[[#This Row],[Contained_oz]],0)</f>
        <v/>
      </c>
    </row>
    <row r="2087">
      <c r="A2087" s="54" t="n"/>
      <c r="B2087" s="61" t="n"/>
      <c r="C2087" s="61" t="n"/>
      <c r="D2087" s="61" t="n"/>
      <c r="E2087" s="61" t="n"/>
      <c r="F2087" s="55" t="n"/>
      <c r="G2087" s="56" t="n"/>
      <c r="H2087" s="55" t="n"/>
      <c r="I2087" s="62" t="n"/>
      <c r="J2087" s="58" t="n"/>
      <c r="K2087" s="63">
        <f>IF(tblMovement[[#This Row],[Source]]="","",IFERROR(INDEX(tblSources[Type],MATCH(tblMovement[[#This Row],[Source]],tblSources[Source],0)),"?"))</f>
        <v/>
      </c>
      <c r="L2087" s="63">
        <f>IF(tblMovement[[#This Row],[Destination]]="","",IFERROR(INDEX(tblDestinations[Type],MATCH(tblMovement[[#This Row],[Destination]],tblDestinations[Destination],0)),"?"))</f>
        <v/>
      </c>
      <c r="M2087" s="64">
        <f>IF(tblMovement[[#This Row],[Material]]="","",IF(LEFT(tblMovement[[#This Row],[Material]],3)="Ore",1,0))</f>
        <v/>
      </c>
      <c r="N2087" s="59">
        <f>IF(OR(tblMovement[[#This Row],[Tonnes_t]]="",tblMovement[[#This Row],[Grade_gpt]]=""),0,tblMovement[[#This Row],[Tonnes_t]]*tblMovement[[#This Row],[Grade_gpt]]/cfg_TroyOz)</f>
        <v/>
      </c>
      <c r="O2087" s="59">
        <f>IF(tblMovement[[#This Row],[Is_Ore]]=1,tblMovement[[#This Row],[Contained_oz]],0)</f>
        <v/>
      </c>
    </row>
    <row r="2088">
      <c r="A2088" s="54" t="n"/>
      <c r="B2088" s="61" t="n"/>
      <c r="C2088" s="61" t="n"/>
      <c r="D2088" s="61" t="n"/>
      <c r="E2088" s="61" t="n"/>
      <c r="F2088" s="55" t="n"/>
      <c r="G2088" s="56" t="n"/>
      <c r="H2088" s="55" t="n"/>
      <c r="I2088" s="62" t="n"/>
      <c r="J2088" s="58" t="n"/>
      <c r="K2088" s="63">
        <f>IF(tblMovement[[#This Row],[Source]]="","",IFERROR(INDEX(tblSources[Type],MATCH(tblMovement[[#This Row],[Source]],tblSources[Source],0)),"?"))</f>
        <v/>
      </c>
      <c r="L2088" s="63">
        <f>IF(tblMovement[[#This Row],[Destination]]="","",IFERROR(INDEX(tblDestinations[Type],MATCH(tblMovement[[#This Row],[Destination]],tblDestinations[Destination],0)),"?"))</f>
        <v/>
      </c>
      <c r="M2088" s="64">
        <f>IF(tblMovement[[#This Row],[Material]]="","",IF(LEFT(tblMovement[[#This Row],[Material]],3)="Ore",1,0))</f>
        <v/>
      </c>
      <c r="N2088" s="59">
        <f>IF(OR(tblMovement[[#This Row],[Tonnes_t]]="",tblMovement[[#This Row],[Grade_gpt]]=""),0,tblMovement[[#This Row],[Tonnes_t]]*tblMovement[[#This Row],[Grade_gpt]]/cfg_TroyOz)</f>
        <v/>
      </c>
      <c r="O2088" s="59">
        <f>IF(tblMovement[[#This Row],[Is_Ore]]=1,tblMovement[[#This Row],[Contained_oz]],0)</f>
        <v/>
      </c>
    </row>
    <row r="2089">
      <c r="A2089" s="54" t="n"/>
      <c r="B2089" s="61" t="n"/>
      <c r="C2089" s="61" t="n"/>
      <c r="D2089" s="61" t="n"/>
      <c r="E2089" s="61" t="n"/>
      <c r="F2089" s="55" t="n"/>
      <c r="G2089" s="56" t="n"/>
      <c r="H2089" s="55" t="n"/>
      <c r="I2089" s="62" t="n"/>
      <c r="J2089" s="58" t="n"/>
      <c r="K2089" s="63">
        <f>IF(tblMovement[[#This Row],[Source]]="","",IFERROR(INDEX(tblSources[Type],MATCH(tblMovement[[#This Row],[Source]],tblSources[Source],0)),"?"))</f>
        <v/>
      </c>
      <c r="L2089" s="63">
        <f>IF(tblMovement[[#This Row],[Destination]]="","",IFERROR(INDEX(tblDestinations[Type],MATCH(tblMovement[[#This Row],[Destination]],tblDestinations[Destination],0)),"?"))</f>
        <v/>
      </c>
      <c r="M2089" s="64">
        <f>IF(tblMovement[[#This Row],[Material]]="","",IF(LEFT(tblMovement[[#This Row],[Material]],3)="Ore",1,0))</f>
        <v/>
      </c>
      <c r="N2089" s="59">
        <f>IF(OR(tblMovement[[#This Row],[Tonnes_t]]="",tblMovement[[#This Row],[Grade_gpt]]=""),0,tblMovement[[#This Row],[Tonnes_t]]*tblMovement[[#This Row],[Grade_gpt]]/cfg_TroyOz)</f>
        <v/>
      </c>
      <c r="O2089" s="59">
        <f>IF(tblMovement[[#This Row],[Is_Ore]]=1,tblMovement[[#This Row],[Contained_oz]],0)</f>
        <v/>
      </c>
    </row>
    <row r="2090">
      <c r="A2090" s="54" t="n"/>
      <c r="B2090" s="61" t="n"/>
      <c r="C2090" s="61" t="n"/>
      <c r="D2090" s="61" t="n"/>
      <c r="E2090" s="61" t="n"/>
      <c r="F2090" s="55" t="n"/>
      <c r="G2090" s="56" t="n"/>
      <c r="H2090" s="55" t="n"/>
      <c r="I2090" s="62" t="n"/>
      <c r="J2090" s="58" t="n"/>
      <c r="K2090" s="63">
        <f>IF(tblMovement[[#This Row],[Source]]="","",IFERROR(INDEX(tblSources[Type],MATCH(tblMovement[[#This Row],[Source]],tblSources[Source],0)),"?"))</f>
        <v/>
      </c>
      <c r="L2090" s="63">
        <f>IF(tblMovement[[#This Row],[Destination]]="","",IFERROR(INDEX(tblDestinations[Type],MATCH(tblMovement[[#This Row],[Destination]],tblDestinations[Destination],0)),"?"))</f>
        <v/>
      </c>
      <c r="M2090" s="64">
        <f>IF(tblMovement[[#This Row],[Material]]="","",IF(LEFT(tblMovement[[#This Row],[Material]],3)="Ore",1,0))</f>
        <v/>
      </c>
      <c r="N2090" s="59">
        <f>IF(OR(tblMovement[[#This Row],[Tonnes_t]]="",tblMovement[[#This Row],[Grade_gpt]]=""),0,tblMovement[[#This Row],[Tonnes_t]]*tblMovement[[#This Row],[Grade_gpt]]/cfg_TroyOz)</f>
        <v/>
      </c>
      <c r="O2090" s="59">
        <f>IF(tblMovement[[#This Row],[Is_Ore]]=1,tblMovement[[#This Row],[Contained_oz]],0)</f>
        <v/>
      </c>
    </row>
    <row r="2091">
      <c r="A2091" s="54" t="n"/>
      <c r="B2091" s="61" t="n"/>
      <c r="C2091" s="61" t="n"/>
      <c r="D2091" s="61" t="n"/>
      <c r="E2091" s="61" t="n"/>
      <c r="F2091" s="55" t="n"/>
      <c r="G2091" s="56" t="n"/>
      <c r="H2091" s="55" t="n"/>
      <c r="I2091" s="62" t="n"/>
      <c r="J2091" s="58" t="n"/>
      <c r="K2091" s="63">
        <f>IF(tblMovement[[#This Row],[Source]]="","",IFERROR(INDEX(tblSources[Type],MATCH(tblMovement[[#This Row],[Source]],tblSources[Source],0)),"?"))</f>
        <v/>
      </c>
      <c r="L2091" s="63">
        <f>IF(tblMovement[[#This Row],[Destination]]="","",IFERROR(INDEX(tblDestinations[Type],MATCH(tblMovement[[#This Row],[Destination]],tblDestinations[Destination],0)),"?"))</f>
        <v/>
      </c>
      <c r="M2091" s="64">
        <f>IF(tblMovement[[#This Row],[Material]]="","",IF(LEFT(tblMovement[[#This Row],[Material]],3)="Ore",1,0))</f>
        <v/>
      </c>
      <c r="N2091" s="59">
        <f>IF(OR(tblMovement[[#This Row],[Tonnes_t]]="",tblMovement[[#This Row],[Grade_gpt]]=""),0,tblMovement[[#This Row],[Tonnes_t]]*tblMovement[[#This Row],[Grade_gpt]]/cfg_TroyOz)</f>
        <v/>
      </c>
      <c r="O2091" s="59">
        <f>IF(tblMovement[[#This Row],[Is_Ore]]=1,tblMovement[[#This Row],[Contained_oz]],0)</f>
        <v/>
      </c>
    </row>
    <row r="2092">
      <c r="A2092" s="54" t="n"/>
      <c r="B2092" s="61" t="n"/>
      <c r="C2092" s="61" t="n"/>
      <c r="D2092" s="61" t="n"/>
      <c r="E2092" s="61" t="n"/>
      <c r="F2092" s="55" t="n"/>
      <c r="G2092" s="56" t="n"/>
      <c r="H2092" s="55" t="n"/>
      <c r="I2092" s="62" t="n"/>
      <c r="J2092" s="58" t="n"/>
      <c r="K2092" s="63">
        <f>IF(tblMovement[[#This Row],[Source]]="","",IFERROR(INDEX(tblSources[Type],MATCH(tblMovement[[#This Row],[Source]],tblSources[Source],0)),"?"))</f>
        <v/>
      </c>
      <c r="L2092" s="63">
        <f>IF(tblMovement[[#This Row],[Destination]]="","",IFERROR(INDEX(tblDestinations[Type],MATCH(tblMovement[[#This Row],[Destination]],tblDestinations[Destination],0)),"?"))</f>
        <v/>
      </c>
      <c r="M2092" s="64">
        <f>IF(tblMovement[[#This Row],[Material]]="","",IF(LEFT(tblMovement[[#This Row],[Material]],3)="Ore",1,0))</f>
        <v/>
      </c>
      <c r="N2092" s="59">
        <f>IF(OR(tblMovement[[#This Row],[Tonnes_t]]="",tblMovement[[#This Row],[Grade_gpt]]=""),0,tblMovement[[#This Row],[Tonnes_t]]*tblMovement[[#This Row],[Grade_gpt]]/cfg_TroyOz)</f>
        <v/>
      </c>
      <c r="O2092" s="59">
        <f>IF(tblMovement[[#This Row],[Is_Ore]]=1,tblMovement[[#This Row],[Contained_oz]],0)</f>
        <v/>
      </c>
    </row>
    <row r="2093">
      <c r="A2093" s="54" t="n"/>
      <c r="B2093" s="61" t="n"/>
      <c r="C2093" s="61" t="n"/>
      <c r="D2093" s="61" t="n"/>
      <c r="E2093" s="61" t="n"/>
      <c r="F2093" s="55" t="n"/>
      <c r="G2093" s="56" t="n"/>
      <c r="H2093" s="55" t="n"/>
      <c r="I2093" s="62" t="n"/>
      <c r="J2093" s="58" t="n"/>
      <c r="K2093" s="63">
        <f>IF(tblMovement[[#This Row],[Source]]="","",IFERROR(INDEX(tblSources[Type],MATCH(tblMovement[[#This Row],[Source]],tblSources[Source],0)),"?"))</f>
        <v/>
      </c>
      <c r="L2093" s="63">
        <f>IF(tblMovement[[#This Row],[Destination]]="","",IFERROR(INDEX(tblDestinations[Type],MATCH(tblMovement[[#This Row],[Destination]],tblDestinations[Destination],0)),"?"))</f>
        <v/>
      </c>
      <c r="M2093" s="64">
        <f>IF(tblMovement[[#This Row],[Material]]="","",IF(LEFT(tblMovement[[#This Row],[Material]],3)="Ore",1,0))</f>
        <v/>
      </c>
      <c r="N2093" s="59">
        <f>IF(OR(tblMovement[[#This Row],[Tonnes_t]]="",tblMovement[[#This Row],[Grade_gpt]]=""),0,tblMovement[[#This Row],[Tonnes_t]]*tblMovement[[#This Row],[Grade_gpt]]/cfg_TroyOz)</f>
        <v/>
      </c>
      <c r="O2093" s="59">
        <f>IF(tblMovement[[#This Row],[Is_Ore]]=1,tblMovement[[#This Row],[Contained_oz]],0)</f>
        <v/>
      </c>
    </row>
    <row r="2094">
      <c r="A2094" s="54" t="n"/>
      <c r="B2094" s="61" t="n"/>
      <c r="C2094" s="61" t="n"/>
      <c r="D2094" s="61" t="n"/>
      <c r="E2094" s="61" t="n"/>
      <c r="F2094" s="55" t="n"/>
      <c r="G2094" s="56" t="n"/>
      <c r="H2094" s="55" t="n"/>
      <c r="I2094" s="62" t="n"/>
      <c r="J2094" s="58" t="n"/>
      <c r="K2094" s="63">
        <f>IF(tblMovement[[#This Row],[Source]]="","",IFERROR(INDEX(tblSources[Type],MATCH(tblMovement[[#This Row],[Source]],tblSources[Source],0)),"?"))</f>
        <v/>
      </c>
      <c r="L2094" s="63">
        <f>IF(tblMovement[[#This Row],[Destination]]="","",IFERROR(INDEX(tblDestinations[Type],MATCH(tblMovement[[#This Row],[Destination]],tblDestinations[Destination],0)),"?"))</f>
        <v/>
      </c>
      <c r="M2094" s="64">
        <f>IF(tblMovement[[#This Row],[Material]]="","",IF(LEFT(tblMovement[[#This Row],[Material]],3)="Ore",1,0))</f>
        <v/>
      </c>
      <c r="N2094" s="59">
        <f>IF(OR(tblMovement[[#This Row],[Tonnes_t]]="",tblMovement[[#This Row],[Grade_gpt]]=""),0,tblMovement[[#This Row],[Tonnes_t]]*tblMovement[[#This Row],[Grade_gpt]]/cfg_TroyOz)</f>
        <v/>
      </c>
      <c r="O2094" s="59">
        <f>IF(tblMovement[[#This Row],[Is_Ore]]=1,tblMovement[[#This Row],[Contained_oz]],0)</f>
        <v/>
      </c>
    </row>
    <row r="2095">
      <c r="A2095" s="54" t="n"/>
      <c r="B2095" s="61" t="n"/>
      <c r="C2095" s="61" t="n"/>
      <c r="D2095" s="61" t="n"/>
      <c r="E2095" s="61" t="n"/>
      <c r="F2095" s="55" t="n"/>
      <c r="G2095" s="56" t="n"/>
      <c r="H2095" s="55" t="n"/>
      <c r="I2095" s="62" t="n"/>
      <c r="J2095" s="58" t="n"/>
      <c r="K2095" s="63">
        <f>IF(tblMovement[[#This Row],[Source]]="","",IFERROR(INDEX(tblSources[Type],MATCH(tblMovement[[#This Row],[Source]],tblSources[Source],0)),"?"))</f>
        <v/>
      </c>
      <c r="L2095" s="63">
        <f>IF(tblMovement[[#This Row],[Destination]]="","",IFERROR(INDEX(tblDestinations[Type],MATCH(tblMovement[[#This Row],[Destination]],tblDestinations[Destination],0)),"?"))</f>
        <v/>
      </c>
      <c r="M2095" s="64">
        <f>IF(tblMovement[[#This Row],[Material]]="","",IF(LEFT(tblMovement[[#This Row],[Material]],3)="Ore",1,0))</f>
        <v/>
      </c>
      <c r="N2095" s="59">
        <f>IF(OR(tblMovement[[#This Row],[Tonnes_t]]="",tblMovement[[#This Row],[Grade_gpt]]=""),0,tblMovement[[#This Row],[Tonnes_t]]*tblMovement[[#This Row],[Grade_gpt]]/cfg_TroyOz)</f>
        <v/>
      </c>
      <c r="O2095" s="59">
        <f>IF(tblMovement[[#This Row],[Is_Ore]]=1,tblMovement[[#This Row],[Contained_oz]],0)</f>
        <v/>
      </c>
    </row>
    <row r="2096">
      <c r="A2096" s="54" t="n"/>
      <c r="B2096" s="61" t="n"/>
      <c r="C2096" s="61" t="n"/>
      <c r="D2096" s="61" t="n"/>
      <c r="E2096" s="61" t="n"/>
      <c r="F2096" s="55" t="n"/>
      <c r="G2096" s="56" t="n"/>
      <c r="H2096" s="55" t="n"/>
      <c r="I2096" s="62" t="n"/>
      <c r="J2096" s="58" t="n"/>
      <c r="K2096" s="63">
        <f>IF(tblMovement[[#This Row],[Source]]="","",IFERROR(INDEX(tblSources[Type],MATCH(tblMovement[[#This Row],[Source]],tblSources[Source],0)),"?"))</f>
        <v/>
      </c>
      <c r="L2096" s="63">
        <f>IF(tblMovement[[#This Row],[Destination]]="","",IFERROR(INDEX(tblDestinations[Type],MATCH(tblMovement[[#This Row],[Destination]],tblDestinations[Destination],0)),"?"))</f>
        <v/>
      </c>
      <c r="M2096" s="64">
        <f>IF(tblMovement[[#This Row],[Material]]="","",IF(LEFT(tblMovement[[#This Row],[Material]],3)="Ore",1,0))</f>
        <v/>
      </c>
      <c r="N2096" s="59">
        <f>IF(OR(tblMovement[[#This Row],[Tonnes_t]]="",tblMovement[[#This Row],[Grade_gpt]]=""),0,tblMovement[[#This Row],[Tonnes_t]]*tblMovement[[#This Row],[Grade_gpt]]/cfg_TroyOz)</f>
        <v/>
      </c>
      <c r="O2096" s="59">
        <f>IF(tblMovement[[#This Row],[Is_Ore]]=1,tblMovement[[#This Row],[Contained_oz]],0)</f>
        <v/>
      </c>
    </row>
    <row r="2097">
      <c r="A2097" s="54" t="n"/>
      <c r="B2097" s="61" t="n"/>
      <c r="C2097" s="61" t="n"/>
      <c r="D2097" s="61" t="n"/>
      <c r="E2097" s="61" t="n"/>
      <c r="F2097" s="55" t="n"/>
      <c r="G2097" s="56" t="n"/>
      <c r="H2097" s="55" t="n"/>
      <c r="I2097" s="62" t="n"/>
      <c r="J2097" s="58" t="n"/>
      <c r="K2097" s="63">
        <f>IF(tblMovement[[#This Row],[Source]]="","",IFERROR(INDEX(tblSources[Type],MATCH(tblMovement[[#This Row],[Source]],tblSources[Source],0)),"?"))</f>
        <v/>
      </c>
      <c r="L2097" s="63">
        <f>IF(tblMovement[[#This Row],[Destination]]="","",IFERROR(INDEX(tblDestinations[Type],MATCH(tblMovement[[#This Row],[Destination]],tblDestinations[Destination],0)),"?"))</f>
        <v/>
      </c>
      <c r="M2097" s="64">
        <f>IF(tblMovement[[#This Row],[Material]]="","",IF(LEFT(tblMovement[[#This Row],[Material]],3)="Ore",1,0))</f>
        <v/>
      </c>
      <c r="N2097" s="59">
        <f>IF(OR(tblMovement[[#This Row],[Tonnes_t]]="",tblMovement[[#This Row],[Grade_gpt]]=""),0,tblMovement[[#This Row],[Tonnes_t]]*tblMovement[[#This Row],[Grade_gpt]]/cfg_TroyOz)</f>
        <v/>
      </c>
      <c r="O2097" s="59">
        <f>IF(tblMovement[[#This Row],[Is_Ore]]=1,tblMovement[[#This Row],[Contained_oz]],0)</f>
        <v/>
      </c>
    </row>
    <row r="2098">
      <c r="A2098" s="54" t="n"/>
      <c r="B2098" s="61" t="n"/>
      <c r="C2098" s="61" t="n"/>
      <c r="D2098" s="61" t="n"/>
      <c r="E2098" s="61" t="n"/>
      <c r="F2098" s="55" t="n"/>
      <c r="G2098" s="56" t="n"/>
      <c r="H2098" s="55" t="n"/>
      <c r="I2098" s="62" t="n"/>
      <c r="J2098" s="58" t="n"/>
      <c r="K2098" s="63">
        <f>IF(tblMovement[[#This Row],[Source]]="","",IFERROR(INDEX(tblSources[Type],MATCH(tblMovement[[#This Row],[Source]],tblSources[Source],0)),"?"))</f>
        <v/>
      </c>
      <c r="L2098" s="63">
        <f>IF(tblMovement[[#This Row],[Destination]]="","",IFERROR(INDEX(tblDestinations[Type],MATCH(tblMovement[[#This Row],[Destination]],tblDestinations[Destination],0)),"?"))</f>
        <v/>
      </c>
      <c r="M2098" s="64">
        <f>IF(tblMovement[[#This Row],[Material]]="","",IF(LEFT(tblMovement[[#This Row],[Material]],3)="Ore",1,0))</f>
        <v/>
      </c>
      <c r="N2098" s="59">
        <f>IF(OR(tblMovement[[#This Row],[Tonnes_t]]="",tblMovement[[#This Row],[Grade_gpt]]=""),0,tblMovement[[#This Row],[Tonnes_t]]*tblMovement[[#This Row],[Grade_gpt]]/cfg_TroyOz)</f>
        <v/>
      </c>
      <c r="O2098" s="59">
        <f>IF(tblMovement[[#This Row],[Is_Ore]]=1,tblMovement[[#This Row],[Contained_oz]],0)</f>
        <v/>
      </c>
    </row>
    <row r="2099">
      <c r="A2099" s="54" t="n"/>
      <c r="B2099" s="61" t="n"/>
      <c r="C2099" s="61" t="n"/>
      <c r="D2099" s="61" t="n"/>
      <c r="E2099" s="61" t="n"/>
      <c r="F2099" s="55" t="n"/>
      <c r="G2099" s="56" t="n"/>
      <c r="H2099" s="55" t="n"/>
      <c r="I2099" s="62" t="n"/>
      <c r="J2099" s="58" t="n"/>
      <c r="K2099" s="63">
        <f>IF(tblMovement[[#This Row],[Source]]="","",IFERROR(INDEX(tblSources[Type],MATCH(tblMovement[[#This Row],[Source]],tblSources[Source],0)),"?"))</f>
        <v/>
      </c>
      <c r="L2099" s="63">
        <f>IF(tblMovement[[#This Row],[Destination]]="","",IFERROR(INDEX(tblDestinations[Type],MATCH(tblMovement[[#This Row],[Destination]],tblDestinations[Destination],0)),"?"))</f>
        <v/>
      </c>
      <c r="M2099" s="64">
        <f>IF(tblMovement[[#This Row],[Material]]="","",IF(LEFT(tblMovement[[#This Row],[Material]],3)="Ore",1,0))</f>
        <v/>
      </c>
      <c r="N2099" s="59">
        <f>IF(OR(tblMovement[[#This Row],[Tonnes_t]]="",tblMovement[[#This Row],[Grade_gpt]]=""),0,tblMovement[[#This Row],[Tonnes_t]]*tblMovement[[#This Row],[Grade_gpt]]/cfg_TroyOz)</f>
        <v/>
      </c>
      <c r="O2099" s="59">
        <f>IF(tblMovement[[#This Row],[Is_Ore]]=1,tblMovement[[#This Row],[Contained_oz]],0)</f>
        <v/>
      </c>
    </row>
    <row r="2100">
      <c r="A2100" s="54" t="n"/>
      <c r="B2100" s="61" t="n"/>
      <c r="C2100" s="61" t="n"/>
      <c r="D2100" s="61" t="n"/>
      <c r="E2100" s="61" t="n"/>
      <c r="F2100" s="55" t="n"/>
      <c r="G2100" s="56" t="n"/>
      <c r="H2100" s="55" t="n"/>
      <c r="I2100" s="62" t="n"/>
      <c r="J2100" s="58" t="n"/>
      <c r="K2100" s="63">
        <f>IF(tblMovement[[#This Row],[Source]]="","",IFERROR(INDEX(tblSources[Type],MATCH(tblMovement[[#This Row],[Source]],tblSources[Source],0)),"?"))</f>
        <v/>
      </c>
      <c r="L2100" s="63">
        <f>IF(tblMovement[[#This Row],[Destination]]="","",IFERROR(INDEX(tblDestinations[Type],MATCH(tblMovement[[#This Row],[Destination]],tblDestinations[Destination],0)),"?"))</f>
        <v/>
      </c>
      <c r="M2100" s="64">
        <f>IF(tblMovement[[#This Row],[Material]]="","",IF(LEFT(tblMovement[[#This Row],[Material]],3)="Ore",1,0))</f>
        <v/>
      </c>
      <c r="N2100" s="59">
        <f>IF(OR(tblMovement[[#This Row],[Tonnes_t]]="",tblMovement[[#This Row],[Grade_gpt]]=""),0,tblMovement[[#This Row],[Tonnes_t]]*tblMovement[[#This Row],[Grade_gpt]]/cfg_TroyOz)</f>
        <v/>
      </c>
      <c r="O2100" s="59">
        <f>IF(tblMovement[[#This Row],[Is_Ore]]=1,tblMovement[[#This Row],[Contained_oz]],0)</f>
        <v/>
      </c>
    </row>
    <row r="2101">
      <c r="A2101" s="54" t="n"/>
      <c r="B2101" s="61" t="n"/>
      <c r="C2101" s="61" t="n"/>
      <c r="D2101" s="61" t="n"/>
      <c r="E2101" s="61" t="n"/>
      <c r="F2101" s="55" t="n"/>
      <c r="G2101" s="56" t="n"/>
      <c r="H2101" s="55" t="n"/>
      <c r="I2101" s="62" t="n"/>
      <c r="J2101" s="58" t="n"/>
      <c r="K2101" s="63">
        <f>IF(tblMovement[[#This Row],[Source]]="","",IFERROR(INDEX(tblSources[Type],MATCH(tblMovement[[#This Row],[Source]],tblSources[Source],0)),"?"))</f>
        <v/>
      </c>
      <c r="L2101" s="63">
        <f>IF(tblMovement[[#This Row],[Destination]]="","",IFERROR(INDEX(tblDestinations[Type],MATCH(tblMovement[[#This Row],[Destination]],tblDestinations[Destination],0)),"?"))</f>
        <v/>
      </c>
      <c r="M2101" s="64">
        <f>IF(tblMovement[[#This Row],[Material]]="","",IF(LEFT(tblMovement[[#This Row],[Material]],3)="Ore",1,0))</f>
        <v/>
      </c>
      <c r="N2101" s="59">
        <f>IF(OR(tblMovement[[#This Row],[Tonnes_t]]="",tblMovement[[#This Row],[Grade_gpt]]=""),0,tblMovement[[#This Row],[Tonnes_t]]*tblMovement[[#This Row],[Grade_gpt]]/cfg_TroyOz)</f>
        <v/>
      </c>
      <c r="O2101" s="59">
        <f>IF(tblMovement[[#This Row],[Is_Ore]]=1,tblMovement[[#This Row],[Contained_oz]],0)</f>
        <v/>
      </c>
    </row>
    <row r="2102">
      <c r="A2102" s="54" t="n"/>
      <c r="B2102" s="61" t="n"/>
      <c r="C2102" s="61" t="n"/>
      <c r="D2102" s="61" t="n"/>
      <c r="E2102" s="61" t="n"/>
      <c r="F2102" s="55" t="n"/>
      <c r="G2102" s="56" t="n"/>
      <c r="H2102" s="55" t="n"/>
      <c r="I2102" s="62" t="n"/>
      <c r="J2102" s="58" t="n"/>
      <c r="K2102" s="63">
        <f>IF(tblMovement[[#This Row],[Source]]="","",IFERROR(INDEX(tblSources[Type],MATCH(tblMovement[[#This Row],[Source]],tblSources[Source],0)),"?"))</f>
        <v/>
      </c>
      <c r="L2102" s="63">
        <f>IF(tblMovement[[#This Row],[Destination]]="","",IFERROR(INDEX(tblDestinations[Type],MATCH(tblMovement[[#This Row],[Destination]],tblDestinations[Destination],0)),"?"))</f>
        <v/>
      </c>
      <c r="M2102" s="64">
        <f>IF(tblMovement[[#This Row],[Material]]="","",IF(LEFT(tblMovement[[#This Row],[Material]],3)="Ore",1,0))</f>
        <v/>
      </c>
      <c r="N2102" s="59">
        <f>IF(OR(tblMovement[[#This Row],[Tonnes_t]]="",tblMovement[[#This Row],[Grade_gpt]]=""),0,tblMovement[[#This Row],[Tonnes_t]]*tblMovement[[#This Row],[Grade_gpt]]/cfg_TroyOz)</f>
        <v/>
      </c>
      <c r="O2102" s="59">
        <f>IF(tblMovement[[#This Row],[Is_Ore]]=1,tblMovement[[#This Row],[Contained_oz]],0)</f>
        <v/>
      </c>
    </row>
    <row r="2103">
      <c r="A2103" s="54" t="n"/>
      <c r="B2103" s="61" t="n"/>
      <c r="C2103" s="61" t="n"/>
      <c r="D2103" s="61" t="n"/>
      <c r="E2103" s="61" t="n"/>
      <c r="F2103" s="55" t="n"/>
      <c r="G2103" s="56" t="n"/>
      <c r="H2103" s="55" t="n"/>
      <c r="I2103" s="62" t="n"/>
      <c r="J2103" s="58" t="n"/>
      <c r="K2103" s="63">
        <f>IF(tblMovement[[#This Row],[Source]]="","",IFERROR(INDEX(tblSources[Type],MATCH(tblMovement[[#This Row],[Source]],tblSources[Source],0)),"?"))</f>
        <v/>
      </c>
      <c r="L2103" s="63">
        <f>IF(tblMovement[[#This Row],[Destination]]="","",IFERROR(INDEX(tblDestinations[Type],MATCH(tblMovement[[#This Row],[Destination]],tblDestinations[Destination],0)),"?"))</f>
        <v/>
      </c>
      <c r="M2103" s="64">
        <f>IF(tblMovement[[#This Row],[Material]]="","",IF(LEFT(tblMovement[[#This Row],[Material]],3)="Ore",1,0))</f>
        <v/>
      </c>
      <c r="N2103" s="59">
        <f>IF(OR(tblMovement[[#This Row],[Tonnes_t]]="",tblMovement[[#This Row],[Grade_gpt]]=""),0,tblMovement[[#This Row],[Tonnes_t]]*tblMovement[[#This Row],[Grade_gpt]]/cfg_TroyOz)</f>
        <v/>
      </c>
      <c r="O2103" s="59">
        <f>IF(tblMovement[[#This Row],[Is_Ore]]=1,tblMovement[[#This Row],[Contained_oz]],0)</f>
        <v/>
      </c>
    </row>
    <row r="2104">
      <c r="A2104" s="54" t="n"/>
      <c r="B2104" s="61" t="n"/>
      <c r="C2104" s="61" t="n"/>
      <c r="D2104" s="61" t="n"/>
      <c r="E2104" s="61" t="n"/>
      <c r="F2104" s="55" t="n"/>
      <c r="G2104" s="56" t="n"/>
      <c r="H2104" s="55" t="n"/>
      <c r="I2104" s="62" t="n"/>
      <c r="J2104" s="58" t="n"/>
      <c r="K2104" s="63">
        <f>IF(tblMovement[[#This Row],[Source]]="","",IFERROR(INDEX(tblSources[Type],MATCH(tblMovement[[#This Row],[Source]],tblSources[Source],0)),"?"))</f>
        <v/>
      </c>
      <c r="L2104" s="63">
        <f>IF(tblMovement[[#This Row],[Destination]]="","",IFERROR(INDEX(tblDestinations[Type],MATCH(tblMovement[[#This Row],[Destination]],tblDestinations[Destination],0)),"?"))</f>
        <v/>
      </c>
      <c r="M2104" s="64">
        <f>IF(tblMovement[[#This Row],[Material]]="","",IF(LEFT(tblMovement[[#This Row],[Material]],3)="Ore",1,0))</f>
        <v/>
      </c>
      <c r="N2104" s="59">
        <f>IF(OR(tblMovement[[#This Row],[Tonnes_t]]="",tblMovement[[#This Row],[Grade_gpt]]=""),0,tblMovement[[#This Row],[Tonnes_t]]*tblMovement[[#This Row],[Grade_gpt]]/cfg_TroyOz)</f>
        <v/>
      </c>
      <c r="O2104" s="59">
        <f>IF(tblMovement[[#This Row],[Is_Ore]]=1,tblMovement[[#This Row],[Contained_oz]],0)</f>
        <v/>
      </c>
    </row>
    <row r="2105">
      <c r="A2105" s="54" t="n"/>
      <c r="B2105" s="61" t="n"/>
      <c r="C2105" s="61" t="n"/>
      <c r="D2105" s="61" t="n"/>
      <c r="E2105" s="61" t="n"/>
      <c r="F2105" s="55" t="n"/>
      <c r="G2105" s="56" t="n"/>
      <c r="H2105" s="55" t="n"/>
      <c r="I2105" s="62" t="n"/>
      <c r="J2105" s="58" t="n"/>
      <c r="K2105" s="63">
        <f>IF(tblMovement[[#This Row],[Source]]="","",IFERROR(INDEX(tblSources[Type],MATCH(tblMovement[[#This Row],[Source]],tblSources[Source],0)),"?"))</f>
        <v/>
      </c>
      <c r="L2105" s="63">
        <f>IF(tblMovement[[#This Row],[Destination]]="","",IFERROR(INDEX(tblDestinations[Type],MATCH(tblMovement[[#This Row],[Destination]],tblDestinations[Destination],0)),"?"))</f>
        <v/>
      </c>
      <c r="M2105" s="64">
        <f>IF(tblMovement[[#This Row],[Material]]="","",IF(LEFT(tblMovement[[#This Row],[Material]],3)="Ore",1,0))</f>
        <v/>
      </c>
      <c r="N2105" s="59">
        <f>IF(OR(tblMovement[[#This Row],[Tonnes_t]]="",tblMovement[[#This Row],[Grade_gpt]]=""),0,tblMovement[[#This Row],[Tonnes_t]]*tblMovement[[#This Row],[Grade_gpt]]/cfg_TroyOz)</f>
        <v/>
      </c>
      <c r="O2105" s="59">
        <f>IF(tblMovement[[#This Row],[Is_Ore]]=1,tblMovement[[#This Row],[Contained_oz]],0)</f>
        <v/>
      </c>
    </row>
    <row r="2106">
      <c r="A2106" s="54" t="n"/>
      <c r="B2106" s="61" t="n"/>
      <c r="C2106" s="61" t="n"/>
      <c r="D2106" s="61" t="n"/>
      <c r="E2106" s="61" t="n"/>
      <c r="F2106" s="55" t="n"/>
      <c r="G2106" s="56" t="n"/>
      <c r="H2106" s="55" t="n"/>
      <c r="I2106" s="62" t="n"/>
      <c r="J2106" s="58" t="n"/>
      <c r="K2106" s="63">
        <f>IF(tblMovement[[#This Row],[Source]]="","",IFERROR(INDEX(tblSources[Type],MATCH(tblMovement[[#This Row],[Source]],tblSources[Source],0)),"?"))</f>
        <v/>
      </c>
      <c r="L2106" s="63">
        <f>IF(tblMovement[[#This Row],[Destination]]="","",IFERROR(INDEX(tblDestinations[Type],MATCH(tblMovement[[#This Row],[Destination]],tblDestinations[Destination],0)),"?"))</f>
        <v/>
      </c>
      <c r="M2106" s="64">
        <f>IF(tblMovement[[#This Row],[Material]]="","",IF(LEFT(tblMovement[[#This Row],[Material]],3)="Ore",1,0))</f>
        <v/>
      </c>
      <c r="N2106" s="59">
        <f>IF(OR(tblMovement[[#This Row],[Tonnes_t]]="",tblMovement[[#This Row],[Grade_gpt]]=""),0,tblMovement[[#This Row],[Tonnes_t]]*tblMovement[[#This Row],[Grade_gpt]]/cfg_TroyOz)</f>
        <v/>
      </c>
      <c r="O2106" s="59">
        <f>IF(tblMovement[[#This Row],[Is_Ore]]=1,tblMovement[[#This Row],[Contained_oz]],0)</f>
        <v/>
      </c>
    </row>
    <row r="2107">
      <c r="A2107" s="54" t="n"/>
      <c r="B2107" s="61" t="n"/>
      <c r="C2107" s="61" t="n"/>
      <c r="D2107" s="61" t="n"/>
      <c r="E2107" s="61" t="n"/>
      <c r="F2107" s="55" t="n"/>
      <c r="G2107" s="56" t="n"/>
      <c r="H2107" s="55" t="n"/>
      <c r="I2107" s="62" t="n"/>
      <c r="J2107" s="58" t="n"/>
      <c r="K2107" s="63">
        <f>IF(tblMovement[[#This Row],[Source]]="","",IFERROR(INDEX(tblSources[Type],MATCH(tblMovement[[#This Row],[Source]],tblSources[Source],0)),"?"))</f>
        <v/>
      </c>
      <c r="L2107" s="63">
        <f>IF(tblMovement[[#This Row],[Destination]]="","",IFERROR(INDEX(tblDestinations[Type],MATCH(tblMovement[[#This Row],[Destination]],tblDestinations[Destination],0)),"?"))</f>
        <v/>
      </c>
      <c r="M2107" s="64">
        <f>IF(tblMovement[[#This Row],[Material]]="","",IF(LEFT(tblMovement[[#This Row],[Material]],3)="Ore",1,0))</f>
        <v/>
      </c>
      <c r="N2107" s="59">
        <f>IF(OR(tblMovement[[#This Row],[Tonnes_t]]="",tblMovement[[#This Row],[Grade_gpt]]=""),0,tblMovement[[#This Row],[Tonnes_t]]*tblMovement[[#This Row],[Grade_gpt]]/cfg_TroyOz)</f>
        <v/>
      </c>
      <c r="O2107" s="59">
        <f>IF(tblMovement[[#This Row],[Is_Ore]]=1,tblMovement[[#This Row],[Contained_oz]],0)</f>
        <v/>
      </c>
    </row>
    <row r="2108">
      <c r="A2108" s="54" t="n"/>
      <c r="B2108" s="61" t="n"/>
      <c r="C2108" s="61" t="n"/>
      <c r="D2108" s="61" t="n"/>
      <c r="E2108" s="61" t="n"/>
      <c r="F2108" s="55" t="n"/>
      <c r="G2108" s="56" t="n"/>
      <c r="H2108" s="55" t="n"/>
      <c r="I2108" s="62" t="n"/>
      <c r="J2108" s="58" t="n"/>
      <c r="K2108" s="63">
        <f>IF(tblMovement[[#This Row],[Source]]="","",IFERROR(INDEX(tblSources[Type],MATCH(tblMovement[[#This Row],[Source]],tblSources[Source],0)),"?"))</f>
        <v/>
      </c>
      <c r="L2108" s="63">
        <f>IF(tblMovement[[#This Row],[Destination]]="","",IFERROR(INDEX(tblDestinations[Type],MATCH(tblMovement[[#This Row],[Destination]],tblDestinations[Destination],0)),"?"))</f>
        <v/>
      </c>
      <c r="M2108" s="64">
        <f>IF(tblMovement[[#This Row],[Material]]="","",IF(LEFT(tblMovement[[#This Row],[Material]],3)="Ore",1,0))</f>
        <v/>
      </c>
      <c r="N2108" s="59">
        <f>IF(OR(tblMovement[[#This Row],[Tonnes_t]]="",tblMovement[[#This Row],[Grade_gpt]]=""),0,tblMovement[[#This Row],[Tonnes_t]]*tblMovement[[#This Row],[Grade_gpt]]/cfg_TroyOz)</f>
        <v/>
      </c>
      <c r="O2108" s="59">
        <f>IF(tblMovement[[#This Row],[Is_Ore]]=1,tblMovement[[#This Row],[Contained_oz]],0)</f>
        <v/>
      </c>
    </row>
    <row r="2109">
      <c r="A2109" s="54" t="n"/>
      <c r="B2109" s="61" t="n"/>
      <c r="C2109" s="61" t="n"/>
      <c r="D2109" s="61" t="n"/>
      <c r="E2109" s="61" t="n"/>
      <c r="F2109" s="55" t="n"/>
      <c r="G2109" s="56" t="n"/>
      <c r="H2109" s="55" t="n"/>
      <c r="I2109" s="62" t="n"/>
      <c r="J2109" s="58" t="n"/>
      <c r="K2109" s="63">
        <f>IF(tblMovement[[#This Row],[Source]]="","",IFERROR(INDEX(tblSources[Type],MATCH(tblMovement[[#This Row],[Source]],tblSources[Source],0)),"?"))</f>
        <v/>
      </c>
      <c r="L2109" s="63">
        <f>IF(tblMovement[[#This Row],[Destination]]="","",IFERROR(INDEX(tblDestinations[Type],MATCH(tblMovement[[#This Row],[Destination]],tblDestinations[Destination],0)),"?"))</f>
        <v/>
      </c>
      <c r="M2109" s="64">
        <f>IF(tblMovement[[#This Row],[Material]]="","",IF(LEFT(tblMovement[[#This Row],[Material]],3)="Ore",1,0))</f>
        <v/>
      </c>
      <c r="N2109" s="59">
        <f>IF(OR(tblMovement[[#This Row],[Tonnes_t]]="",tblMovement[[#This Row],[Grade_gpt]]=""),0,tblMovement[[#This Row],[Tonnes_t]]*tblMovement[[#This Row],[Grade_gpt]]/cfg_TroyOz)</f>
        <v/>
      </c>
      <c r="O2109" s="59">
        <f>IF(tblMovement[[#This Row],[Is_Ore]]=1,tblMovement[[#This Row],[Contained_oz]],0)</f>
        <v/>
      </c>
    </row>
    <row r="2110">
      <c r="A2110" s="54" t="n"/>
      <c r="B2110" s="61" t="n"/>
      <c r="C2110" s="61" t="n"/>
      <c r="D2110" s="61" t="n"/>
      <c r="E2110" s="61" t="n"/>
      <c r="F2110" s="55" t="n"/>
      <c r="G2110" s="56" t="n"/>
      <c r="H2110" s="55" t="n"/>
      <c r="I2110" s="62" t="n"/>
      <c r="J2110" s="58" t="n"/>
      <c r="K2110" s="63">
        <f>IF(tblMovement[[#This Row],[Source]]="","",IFERROR(INDEX(tblSources[Type],MATCH(tblMovement[[#This Row],[Source]],tblSources[Source],0)),"?"))</f>
        <v/>
      </c>
      <c r="L2110" s="63">
        <f>IF(tblMovement[[#This Row],[Destination]]="","",IFERROR(INDEX(tblDestinations[Type],MATCH(tblMovement[[#This Row],[Destination]],tblDestinations[Destination],0)),"?"))</f>
        <v/>
      </c>
      <c r="M2110" s="64">
        <f>IF(tblMovement[[#This Row],[Material]]="","",IF(LEFT(tblMovement[[#This Row],[Material]],3)="Ore",1,0))</f>
        <v/>
      </c>
      <c r="N2110" s="59">
        <f>IF(OR(tblMovement[[#This Row],[Tonnes_t]]="",tblMovement[[#This Row],[Grade_gpt]]=""),0,tblMovement[[#This Row],[Tonnes_t]]*tblMovement[[#This Row],[Grade_gpt]]/cfg_TroyOz)</f>
        <v/>
      </c>
      <c r="O2110" s="59">
        <f>IF(tblMovement[[#This Row],[Is_Ore]]=1,tblMovement[[#This Row],[Contained_oz]],0)</f>
        <v/>
      </c>
    </row>
    <row r="2111">
      <c r="A2111" s="54" t="n"/>
      <c r="B2111" s="61" t="n"/>
      <c r="C2111" s="61" t="n"/>
      <c r="D2111" s="61" t="n"/>
      <c r="E2111" s="61" t="n"/>
      <c r="F2111" s="55" t="n"/>
      <c r="G2111" s="56" t="n"/>
      <c r="H2111" s="55" t="n"/>
      <c r="I2111" s="62" t="n"/>
      <c r="J2111" s="58" t="n"/>
      <c r="K2111" s="63">
        <f>IF(tblMovement[[#This Row],[Source]]="","",IFERROR(INDEX(tblSources[Type],MATCH(tblMovement[[#This Row],[Source]],tblSources[Source],0)),"?"))</f>
        <v/>
      </c>
      <c r="L2111" s="63">
        <f>IF(tblMovement[[#This Row],[Destination]]="","",IFERROR(INDEX(tblDestinations[Type],MATCH(tblMovement[[#This Row],[Destination]],tblDestinations[Destination],0)),"?"))</f>
        <v/>
      </c>
      <c r="M2111" s="64">
        <f>IF(tblMovement[[#This Row],[Material]]="","",IF(LEFT(tblMovement[[#This Row],[Material]],3)="Ore",1,0))</f>
        <v/>
      </c>
      <c r="N2111" s="59">
        <f>IF(OR(tblMovement[[#This Row],[Tonnes_t]]="",tblMovement[[#This Row],[Grade_gpt]]=""),0,tblMovement[[#This Row],[Tonnes_t]]*tblMovement[[#This Row],[Grade_gpt]]/cfg_TroyOz)</f>
        <v/>
      </c>
      <c r="O2111" s="59">
        <f>IF(tblMovement[[#This Row],[Is_Ore]]=1,tblMovement[[#This Row],[Contained_oz]],0)</f>
        <v/>
      </c>
    </row>
    <row r="2112">
      <c r="A2112" s="54" t="n"/>
      <c r="B2112" s="61" t="n"/>
      <c r="C2112" s="61" t="n"/>
      <c r="D2112" s="61" t="n"/>
      <c r="E2112" s="61" t="n"/>
      <c r="F2112" s="55" t="n"/>
      <c r="G2112" s="56" t="n"/>
      <c r="H2112" s="55" t="n"/>
      <c r="I2112" s="62" t="n"/>
      <c r="J2112" s="58" t="n"/>
      <c r="K2112" s="63">
        <f>IF(tblMovement[[#This Row],[Source]]="","",IFERROR(INDEX(tblSources[Type],MATCH(tblMovement[[#This Row],[Source]],tblSources[Source],0)),"?"))</f>
        <v/>
      </c>
      <c r="L2112" s="63">
        <f>IF(tblMovement[[#This Row],[Destination]]="","",IFERROR(INDEX(tblDestinations[Type],MATCH(tblMovement[[#This Row],[Destination]],tblDestinations[Destination],0)),"?"))</f>
        <v/>
      </c>
      <c r="M2112" s="64">
        <f>IF(tblMovement[[#This Row],[Material]]="","",IF(LEFT(tblMovement[[#This Row],[Material]],3)="Ore",1,0))</f>
        <v/>
      </c>
      <c r="N2112" s="59">
        <f>IF(OR(tblMovement[[#This Row],[Tonnes_t]]="",tblMovement[[#This Row],[Grade_gpt]]=""),0,tblMovement[[#This Row],[Tonnes_t]]*tblMovement[[#This Row],[Grade_gpt]]/cfg_TroyOz)</f>
        <v/>
      </c>
      <c r="O2112" s="59">
        <f>IF(tblMovement[[#This Row],[Is_Ore]]=1,tblMovement[[#This Row],[Contained_oz]],0)</f>
        <v/>
      </c>
    </row>
    <row r="2113">
      <c r="A2113" s="54" t="n"/>
      <c r="B2113" s="61" t="n"/>
      <c r="C2113" s="61" t="n"/>
      <c r="D2113" s="61" t="n"/>
      <c r="E2113" s="61" t="n"/>
      <c r="F2113" s="55" t="n"/>
      <c r="G2113" s="56" t="n"/>
      <c r="H2113" s="55" t="n"/>
      <c r="I2113" s="62" t="n"/>
      <c r="J2113" s="58" t="n"/>
      <c r="K2113" s="63">
        <f>IF(tblMovement[[#This Row],[Source]]="","",IFERROR(INDEX(tblSources[Type],MATCH(tblMovement[[#This Row],[Source]],tblSources[Source],0)),"?"))</f>
        <v/>
      </c>
      <c r="L2113" s="63">
        <f>IF(tblMovement[[#This Row],[Destination]]="","",IFERROR(INDEX(tblDestinations[Type],MATCH(tblMovement[[#This Row],[Destination]],tblDestinations[Destination],0)),"?"))</f>
        <v/>
      </c>
      <c r="M2113" s="64">
        <f>IF(tblMovement[[#This Row],[Material]]="","",IF(LEFT(tblMovement[[#This Row],[Material]],3)="Ore",1,0))</f>
        <v/>
      </c>
      <c r="N2113" s="59">
        <f>IF(OR(tblMovement[[#This Row],[Tonnes_t]]="",tblMovement[[#This Row],[Grade_gpt]]=""),0,tblMovement[[#This Row],[Tonnes_t]]*tblMovement[[#This Row],[Grade_gpt]]/cfg_TroyOz)</f>
        <v/>
      </c>
      <c r="O2113" s="59">
        <f>IF(tblMovement[[#This Row],[Is_Ore]]=1,tblMovement[[#This Row],[Contained_oz]],0)</f>
        <v/>
      </c>
    </row>
    <row r="2114">
      <c r="A2114" s="54" t="n"/>
      <c r="B2114" s="61" t="n"/>
      <c r="C2114" s="61" t="n"/>
      <c r="D2114" s="61" t="n"/>
      <c r="E2114" s="61" t="n"/>
      <c r="F2114" s="55" t="n"/>
      <c r="G2114" s="56" t="n"/>
      <c r="H2114" s="55" t="n"/>
      <c r="I2114" s="62" t="n"/>
      <c r="J2114" s="58" t="n"/>
      <c r="K2114" s="63">
        <f>IF(tblMovement[[#This Row],[Source]]="","",IFERROR(INDEX(tblSources[Type],MATCH(tblMovement[[#This Row],[Source]],tblSources[Source],0)),"?"))</f>
        <v/>
      </c>
      <c r="L2114" s="63">
        <f>IF(tblMovement[[#This Row],[Destination]]="","",IFERROR(INDEX(tblDestinations[Type],MATCH(tblMovement[[#This Row],[Destination]],tblDestinations[Destination],0)),"?"))</f>
        <v/>
      </c>
      <c r="M2114" s="64">
        <f>IF(tblMovement[[#This Row],[Material]]="","",IF(LEFT(tblMovement[[#This Row],[Material]],3)="Ore",1,0))</f>
        <v/>
      </c>
      <c r="N2114" s="59">
        <f>IF(OR(tblMovement[[#This Row],[Tonnes_t]]="",tblMovement[[#This Row],[Grade_gpt]]=""),0,tblMovement[[#This Row],[Tonnes_t]]*tblMovement[[#This Row],[Grade_gpt]]/cfg_TroyOz)</f>
        <v/>
      </c>
      <c r="O2114" s="59">
        <f>IF(tblMovement[[#This Row],[Is_Ore]]=1,tblMovement[[#This Row],[Contained_oz]],0)</f>
        <v/>
      </c>
    </row>
    <row r="2115">
      <c r="A2115" s="54" t="n"/>
      <c r="B2115" s="61" t="n"/>
      <c r="C2115" s="61" t="n"/>
      <c r="D2115" s="61" t="n"/>
      <c r="E2115" s="61" t="n"/>
      <c r="F2115" s="55" t="n"/>
      <c r="G2115" s="56" t="n"/>
      <c r="H2115" s="55" t="n"/>
      <c r="I2115" s="62" t="n"/>
      <c r="J2115" s="58" t="n"/>
      <c r="K2115" s="63">
        <f>IF(tblMovement[[#This Row],[Source]]="","",IFERROR(INDEX(tblSources[Type],MATCH(tblMovement[[#This Row],[Source]],tblSources[Source],0)),"?"))</f>
        <v/>
      </c>
      <c r="L2115" s="63">
        <f>IF(tblMovement[[#This Row],[Destination]]="","",IFERROR(INDEX(tblDestinations[Type],MATCH(tblMovement[[#This Row],[Destination]],tblDestinations[Destination],0)),"?"))</f>
        <v/>
      </c>
      <c r="M2115" s="64">
        <f>IF(tblMovement[[#This Row],[Material]]="","",IF(LEFT(tblMovement[[#This Row],[Material]],3)="Ore",1,0))</f>
        <v/>
      </c>
      <c r="N2115" s="59">
        <f>IF(OR(tblMovement[[#This Row],[Tonnes_t]]="",tblMovement[[#This Row],[Grade_gpt]]=""),0,tblMovement[[#This Row],[Tonnes_t]]*tblMovement[[#This Row],[Grade_gpt]]/cfg_TroyOz)</f>
        <v/>
      </c>
      <c r="O2115" s="59">
        <f>IF(tblMovement[[#This Row],[Is_Ore]]=1,tblMovement[[#This Row],[Contained_oz]],0)</f>
        <v/>
      </c>
    </row>
    <row r="2116">
      <c r="A2116" s="54" t="n"/>
      <c r="B2116" s="61" t="n"/>
      <c r="C2116" s="61" t="n"/>
      <c r="D2116" s="61" t="n"/>
      <c r="E2116" s="61" t="n"/>
      <c r="F2116" s="55" t="n"/>
      <c r="G2116" s="56" t="n"/>
      <c r="H2116" s="55" t="n"/>
      <c r="I2116" s="62" t="n"/>
      <c r="J2116" s="58" t="n"/>
      <c r="K2116" s="63">
        <f>IF(tblMovement[[#This Row],[Source]]="","",IFERROR(INDEX(tblSources[Type],MATCH(tblMovement[[#This Row],[Source]],tblSources[Source],0)),"?"))</f>
        <v/>
      </c>
      <c r="L2116" s="63">
        <f>IF(tblMovement[[#This Row],[Destination]]="","",IFERROR(INDEX(tblDestinations[Type],MATCH(tblMovement[[#This Row],[Destination]],tblDestinations[Destination],0)),"?"))</f>
        <v/>
      </c>
      <c r="M2116" s="64">
        <f>IF(tblMovement[[#This Row],[Material]]="","",IF(LEFT(tblMovement[[#This Row],[Material]],3)="Ore",1,0))</f>
        <v/>
      </c>
      <c r="N2116" s="59">
        <f>IF(OR(tblMovement[[#This Row],[Tonnes_t]]="",tblMovement[[#This Row],[Grade_gpt]]=""),0,tblMovement[[#This Row],[Tonnes_t]]*tblMovement[[#This Row],[Grade_gpt]]/cfg_TroyOz)</f>
        <v/>
      </c>
      <c r="O2116" s="59">
        <f>IF(tblMovement[[#This Row],[Is_Ore]]=1,tblMovement[[#This Row],[Contained_oz]],0)</f>
        <v/>
      </c>
    </row>
    <row r="2117">
      <c r="A2117" s="54" t="n"/>
      <c r="B2117" s="61" t="n"/>
      <c r="C2117" s="61" t="n"/>
      <c r="D2117" s="61" t="n"/>
      <c r="E2117" s="61" t="n"/>
      <c r="F2117" s="55" t="n"/>
      <c r="G2117" s="56" t="n"/>
      <c r="H2117" s="55" t="n"/>
      <c r="I2117" s="62" t="n"/>
      <c r="J2117" s="58" t="n"/>
      <c r="K2117" s="63">
        <f>IF(tblMovement[[#This Row],[Source]]="","",IFERROR(INDEX(tblSources[Type],MATCH(tblMovement[[#This Row],[Source]],tblSources[Source],0)),"?"))</f>
        <v/>
      </c>
      <c r="L2117" s="63">
        <f>IF(tblMovement[[#This Row],[Destination]]="","",IFERROR(INDEX(tblDestinations[Type],MATCH(tblMovement[[#This Row],[Destination]],tblDestinations[Destination],0)),"?"))</f>
        <v/>
      </c>
      <c r="M2117" s="64">
        <f>IF(tblMovement[[#This Row],[Material]]="","",IF(LEFT(tblMovement[[#This Row],[Material]],3)="Ore",1,0))</f>
        <v/>
      </c>
      <c r="N2117" s="59">
        <f>IF(OR(tblMovement[[#This Row],[Tonnes_t]]="",tblMovement[[#This Row],[Grade_gpt]]=""),0,tblMovement[[#This Row],[Tonnes_t]]*tblMovement[[#This Row],[Grade_gpt]]/cfg_TroyOz)</f>
        <v/>
      </c>
      <c r="O2117" s="59">
        <f>IF(tblMovement[[#This Row],[Is_Ore]]=1,tblMovement[[#This Row],[Contained_oz]],0)</f>
        <v/>
      </c>
    </row>
    <row r="2118">
      <c r="A2118" s="54" t="n"/>
      <c r="B2118" s="61" t="n"/>
      <c r="C2118" s="61" t="n"/>
      <c r="D2118" s="61" t="n"/>
      <c r="E2118" s="61" t="n"/>
      <c r="F2118" s="55" t="n"/>
      <c r="G2118" s="56" t="n"/>
      <c r="H2118" s="55" t="n"/>
      <c r="I2118" s="62" t="n"/>
      <c r="J2118" s="58" t="n"/>
      <c r="K2118" s="63">
        <f>IF(tblMovement[[#This Row],[Source]]="","",IFERROR(INDEX(tblSources[Type],MATCH(tblMovement[[#This Row],[Source]],tblSources[Source],0)),"?"))</f>
        <v/>
      </c>
      <c r="L2118" s="63">
        <f>IF(tblMovement[[#This Row],[Destination]]="","",IFERROR(INDEX(tblDestinations[Type],MATCH(tblMovement[[#This Row],[Destination]],tblDestinations[Destination],0)),"?"))</f>
        <v/>
      </c>
      <c r="M2118" s="64">
        <f>IF(tblMovement[[#This Row],[Material]]="","",IF(LEFT(tblMovement[[#This Row],[Material]],3)="Ore",1,0))</f>
        <v/>
      </c>
      <c r="N2118" s="59">
        <f>IF(OR(tblMovement[[#This Row],[Tonnes_t]]="",tblMovement[[#This Row],[Grade_gpt]]=""),0,tblMovement[[#This Row],[Tonnes_t]]*tblMovement[[#This Row],[Grade_gpt]]/cfg_TroyOz)</f>
        <v/>
      </c>
      <c r="O2118" s="59">
        <f>IF(tblMovement[[#This Row],[Is_Ore]]=1,tblMovement[[#This Row],[Contained_oz]],0)</f>
        <v/>
      </c>
    </row>
    <row r="2119">
      <c r="A2119" s="54" t="n"/>
      <c r="B2119" s="61" t="n"/>
      <c r="C2119" s="61" t="n"/>
      <c r="D2119" s="61" t="n"/>
      <c r="E2119" s="61" t="n"/>
      <c r="F2119" s="55" t="n"/>
      <c r="G2119" s="56" t="n"/>
      <c r="H2119" s="55" t="n"/>
      <c r="I2119" s="62" t="n"/>
      <c r="J2119" s="58" t="n"/>
      <c r="K2119" s="63">
        <f>IF(tblMovement[[#This Row],[Source]]="","",IFERROR(INDEX(tblSources[Type],MATCH(tblMovement[[#This Row],[Source]],tblSources[Source],0)),"?"))</f>
        <v/>
      </c>
      <c r="L2119" s="63">
        <f>IF(tblMovement[[#This Row],[Destination]]="","",IFERROR(INDEX(tblDestinations[Type],MATCH(tblMovement[[#This Row],[Destination]],tblDestinations[Destination],0)),"?"))</f>
        <v/>
      </c>
      <c r="M2119" s="64">
        <f>IF(tblMovement[[#This Row],[Material]]="","",IF(LEFT(tblMovement[[#This Row],[Material]],3)="Ore",1,0))</f>
        <v/>
      </c>
      <c r="N2119" s="59">
        <f>IF(OR(tblMovement[[#This Row],[Tonnes_t]]="",tblMovement[[#This Row],[Grade_gpt]]=""),0,tblMovement[[#This Row],[Tonnes_t]]*tblMovement[[#This Row],[Grade_gpt]]/cfg_TroyOz)</f>
        <v/>
      </c>
      <c r="O2119" s="59">
        <f>IF(tblMovement[[#This Row],[Is_Ore]]=1,tblMovement[[#This Row],[Contained_oz]],0)</f>
        <v/>
      </c>
    </row>
    <row r="2120">
      <c r="A2120" s="54" t="n"/>
      <c r="B2120" s="61" t="n"/>
      <c r="C2120" s="61" t="n"/>
      <c r="D2120" s="61" t="n"/>
      <c r="E2120" s="61" t="n"/>
      <c r="F2120" s="55" t="n"/>
      <c r="G2120" s="56" t="n"/>
      <c r="H2120" s="55" t="n"/>
      <c r="I2120" s="62" t="n"/>
      <c r="J2120" s="58" t="n"/>
      <c r="K2120" s="63">
        <f>IF(tblMovement[[#This Row],[Source]]="","",IFERROR(INDEX(tblSources[Type],MATCH(tblMovement[[#This Row],[Source]],tblSources[Source],0)),"?"))</f>
        <v/>
      </c>
      <c r="L2120" s="63">
        <f>IF(tblMovement[[#This Row],[Destination]]="","",IFERROR(INDEX(tblDestinations[Type],MATCH(tblMovement[[#This Row],[Destination]],tblDestinations[Destination],0)),"?"))</f>
        <v/>
      </c>
      <c r="M2120" s="64">
        <f>IF(tblMovement[[#This Row],[Material]]="","",IF(LEFT(tblMovement[[#This Row],[Material]],3)="Ore",1,0))</f>
        <v/>
      </c>
      <c r="N2120" s="59">
        <f>IF(OR(tblMovement[[#This Row],[Tonnes_t]]="",tblMovement[[#This Row],[Grade_gpt]]=""),0,tblMovement[[#This Row],[Tonnes_t]]*tblMovement[[#This Row],[Grade_gpt]]/cfg_TroyOz)</f>
        <v/>
      </c>
      <c r="O2120" s="59">
        <f>IF(tblMovement[[#This Row],[Is_Ore]]=1,tblMovement[[#This Row],[Contained_oz]],0)</f>
        <v/>
      </c>
    </row>
    <row r="2121">
      <c r="A2121" s="54" t="n"/>
      <c r="B2121" s="61" t="n"/>
      <c r="C2121" s="61" t="n"/>
      <c r="D2121" s="61" t="n"/>
      <c r="E2121" s="61" t="n"/>
      <c r="F2121" s="55" t="n"/>
      <c r="G2121" s="56" t="n"/>
      <c r="H2121" s="55" t="n"/>
      <c r="I2121" s="62" t="n"/>
      <c r="J2121" s="58" t="n"/>
      <c r="K2121" s="63">
        <f>IF(tblMovement[[#This Row],[Source]]="","",IFERROR(INDEX(tblSources[Type],MATCH(tblMovement[[#This Row],[Source]],tblSources[Source],0)),"?"))</f>
        <v/>
      </c>
      <c r="L2121" s="63">
        <f>IF(tblMovement[[#This Row],[Destination]]="","",IFERROR(INDEX(tblDestinations[Type],MATCH(tblMovement[[#This Row],[Destination]],tblDestinations[Destination],0)),"?"))</f>
        <v/>
      </c>
      <c r="M2121" s="64">
        <f>IF(tblMovement[[#This Row],[Material]]="","",IF(LEFT(tblMovement[[#This Row],[Material]],3)="Ore",1,0))</f>
        <v/>
      </c>
      <c r="N2121" s="59">
        <f>IF(OR(tblMovement[[#This Row],[Tonnes_t]]="",tblMovement[[#This Row],[Grade_gpt]]=""),0,tblMovement[[#This Row],[Tonnes_t]]*tblMovement[[#This Row],[Grade_gpt]]/cfg_TroyOz)</f>
        <v/>
      </c>
      <c r="O2121" s="59">
        <f>IF(tblMovement[[#This Row],[Is_Ore]]=1,tblMovement[[#This Row],[Contained_oz]],0)</f>
        <v/>
      </c>
    </row>
    <row r="2122">
      <c r="A2122" s="54" t="n"/>
      <c r="B2122" s="61" t="n"/>
      <c r="C2122" s="61" t="n"/>
      <c r="D2122" s="61" t="n"/>
      <c r="E2122" s="61" t="n"/>
      <c r="F2122" s="55" t="n"/>
      <c r="G2122" s="56" t="n"/>
      <c r="H2122" s="55" t="n"/>
      <c r="I2122" s="62" t="n"/>
      <c r="J2122" s="58" t="n"/>
      <c r="K2122" s="63">
        <f>IF(tblMovement[[#This Row],[Source]]="","",IFERROR(INDEX(tblSources[Type],MATCH(tblMovement[[#This Row],[Source]],tblSources[Source],0)),"?"))</f>
        <v/>
      </c>
      <c r="L2122" s="63">
        <f>IF(tblMovement[[#This Row],[Destination]]="","",IFERROR(INDEX(tblDestinations[Type],MATCH(tblMovement[[#This Row],[Destination]],tblDestinations[Destination],0)),"?"))</f>
        <v/>
      </c>
      <c r="M2122" s="64">
        <f>IF(tblMovement[[#This Row],[Material]]="","",IF(LEFT(tblMovement[[#This Row],[Material]],3)="Ore",1,0))</f>
        <v/>
      </c>
      <c r="N2122" s="59">
        <f>IF(OR(tblMovement[[#This Row],[Tonnes_t]]="",tblMovement[[#This Row],[Grade_gpt]]=""),0,tblMovement[[#This Row],[Tonnes_t]]*tblMovement[[#This Row],[Grade_gpt]]/cfg_TroyOz)</f>
        <v/>
      </c>
      <c r="O2122" s="59">
        <f>IF(tblMovement[[#This Row],[Is_Ore]]=1,tblMovement[[#This Row],[Contained_oz]],0)</f>
        <v/>
      </c>
    </row>
    <row r="2123">
      <c r="A2123" s="54" t="n"/>
      <c r="B2123" s="61" t="n"/>
      <c r="C2123" s="61" t="n"/>
      <c r="D2123" s="61" t="n"/>
      <c r="E2123" s="61" t="n"/>
      <c r="F2123" s="55" t="n"/>
      <c r="G2123" s="56" t="n"/>
      <c r="H2123" s="55" t="n"/>
      <c r="I2123" s="62" t="n"/>
      <c r="J2123" s="58" t="n"/>
      <c r="K2123" s="63">
        <f>IF(tblMovement[[#This Row],[Source]]="","",IFERROR(INDEX(tblSources[Type],MATCH(tblMovement[[#This Row],[Source]],tblSources[Source],0)),"?"))</f>
        <v/>
      </c>
      <c r="L2123" s="63">
        <f>IF(tblMovement[[#This Row],[Destination]]="","",IFERROR(INDEX(tblDestinations[Type],MATCH(tblMovement[[#This Row],[Destination]],tblDestinations[Destination],0)),"?"))</f>
        <v/>
      </c>
      <c r="M2123" s="64">
        <f>IF(tblMovement[[#This Row],[Material]]="","",IF(LEFT(tblMovement[[#This Row],[Material]],3)="Ore",1,0))</f>
        <v/>
      </c>
      <c r="N2123" s="59">
        <f>IF(OR(tblMovement[[#This Row],[Tonnes_t]]="",tblMovement[[#This Row],[Grade_gpt]]=""),0,tblMovement[[#This Row],[Tonnes_t]]*tblMovement[[#This Row],[Grade_gpt]]/cfg_TroyOz)</f>
        <v/>
      </c>
      <c r="O2123" s="59">
        <f>IF(tblMovement[[#This Row],[Is_Ore]]=1,tblMovement[[#This Row],[Contained_oz]],0)</f>
        <v/>
      </c>
    </row>
    <row r="2124">
      <c r="A2124" s="54" t="n"/>
      <c r="B2124" s="61" t="n"/>
      <c r="C2124" s="61" t="n"/>
      <c r="D2124" s="61" t="n"/>
      <c r="E2124" s="61" t="n"/>
      <c r="F2124" s="55" t="n"/>
      <c r="G2124" s="56" t="n"/>
      <c r="H2124" s="55" t="n"/>
      <c r="I2124" s="62" t="n"/>
      <c r="J2124" s="58" t="n"/>
      <c r="K2124" s="63">
        <f>IF(tblMovement[[#This Row],[Source]]="","",IFERROR(INDEX(tblSources[Type],MATCH(tblMovement[[#This Row],[Source]],tblSources[Source],0)),"?"))</f>
        <v/>
      </c>
      <c r="L2124" s="63">
        <f>IF(tblMovement[[#This Row],[Destination]]="","",IFERROR(INDEX(tblDestinations[Type],MATCH(tblMovement[[#This Row],[Destination]],tblDestinations[Destination],0)),"?"))</f>
        <v/>
      </c>
      <c r="M2124" s="64">
        <f>IF(tblMovement[[#This Row],[Material]]="","",IF(LEFT(tblMovement[[#This Row],[Material]],3)="Ore",1,0))</f>
        <v/>
      </c>
      <c r="N2124" s="59">
        <f>IF(OR(tblMovement[[#This Row],[Tonnes_t]]="",tblMovement[[#This Row],[Grade_gpt]]=""),0,tblMovement[[#This Row],[Tonnes_t]]*tblMovement[[#This Row],[Grade_gpt]]/cfg_TroyOz)</f>
        <v/>
      </c>
      <c r="O2124" s="59">
        <f>IF(tblMovement[[#This Row],[Is_Ore]]=1,tblMovement[[#This Row],[Contained_oz]],0)</f>
        <v/>
      </c>
    </row>
    <row r="2125">
      <c r="A2125" s="54" t="n"/>
      <c r="B2125" s="61" t="n"/>
      <c r="C2125" s="61" t="n"/>
      <c r="D2125" s="61" t="n"/>
      <c r="E2125" s="61" t="n"/>
      <c r="F2125" s="55" t="n"/>
      <c r="G2125" s="56" t="n"/>
      <c r="H2125" s="55" t="n"/>
      <c r="I2125" s="62" t="n"/>
      <c r="J2125" s="58" t="n"/>
      <c r="K2125" s="63">
        <f>IF(tblMovement[[#This Row],[Source]]="","",IFERROR(INDEX(tblSources[Type],MATCH(tblMovement[[#This Row],[Source]],tblSources[Source],0)),"?"))</f>
        <v/>
      </c>
      <c r="L2125" s="63">
        <f>IF(tblMovement[[#This Row],[Destination]]="","",IFERROR(INDEX(tblDestinations[Type],MATCH(tblMovement[[#This Row],[Destination]],tblDestinations[Destination],0)),"?"))</f>
        <v/>
      </c>
      <c r="M2125" s="64">
        <f>IF(tblMovement[[#This Row],[Material]]="","",IF(LEFT(tblMovement[[#This Row],[Material]],3)="Ore",1,0))</f>
        <v/>
      </c>
      <c r="N2125" s="59">
        <f>IF(OR(tblMovement[[#This Row],[Tonnes_t]]="",tblMovement[[#This Row],[Grade_gpt]]=""),0,tblMovement[[#This Row],[Tonnes_t]]*tblMovement[[#This Row],[Grade_gpt]]/cfg_TroyOz)</f>
        <v/>
      </c>
      <c r="O2125" s="59">
        <f>IF(tblMovement[[#This Row],[Is_Ore]]=1,tblMovement[[#This Row],[Contained_oz]],0)</f>
        <v/>
      </c>
    </row>
    <row r="2126">
      <c r="A2126" s="54" t="n"/>
      <c r="B2126" s="61" t="n"/>
      <c r="C2126" s="61" t="n"/>
      <c r="D2126" s="61" t="n"/>
      <c r="E2126" s="61" t="n"/>
      <c r="F2126" s="55" t="n"/>
      <c r="G2126" s="56" t="n"/>
      <c r="H2126" s="55" t="n"/>
      <c r="I2126" s="62" t="n"/>
      <c r="J2126" s="58" t="n"/>
      <c r="K2126" s="63">
        <f>IF(tblMovement[[#This Row],[Source]]="","",IFERROR(INDEX(tblSources[Type],MATCH(tblMovement[[#This Row],[Source]],tblSources[Source],0)),"?"))</f>
        <v/>
      </c>
      <c r="L2126" s="63">
        <f>IF(tblMovement[[#This Row],[Destination]]="","",IFERROR(INDEX(tblDestinations[Type],MATCH(tblMovement[[#This Row],[Destination]],tblDestinations[Destination],0)),"?"))</f>
        <v/>
      </c>
      <c r="M2126" s="64">
        <f>IF(tblMovement[[#This Row],[Material]]="","",IF(LEFT(tblMovement[[#This Row],[Material]],3)="Ore",1,0))</f>
        <v/>
      </c>
      <c r="N2126" s="59">
        <f>IF(OR(tblMovement[[#This Row],[Tonnes_t]]="",tblMovement[[#This Row],[Grade_gpt]]=""),0,tblMovement[[#This Row],[Tonnes_t]]*tblMovement[[#This Row],[Grade_gpt]]/cfg_TroyOz)</f>
        <v/>
      </c>
      <c r="O2126" s="59">
        <f>IF(tblMovement[[#This Row],[Is_Ore]]=1,tblMovement[[#This Row],[Contained_oz]],0)</f>
        <v/>
      </c>
    </row>
    <row r="2127">
      <c r="A2127" s="54" t="n"/>
      <c r="B2127" s="61" t="n"/>
      <c r="C2127" s="61" t="n"/>
      <c r="D2127" s="61" t="n"/>
      <c r="E2127" s="61" t="n"/>
      <c r="F2127" s="55" t="n"/>
      <c r="G2127" s="56" t="n"/>
      <c r="H2127" s="55" t="n"/>
      <c r="I2127" s="62" t="n"/>
      <c r="J2127" s="58" t="n"/>
      <c r="K2127" s="63">
        <f>IF(tblMovement[[#This Row],[Source]]="","",IFERROR(INDEX(tblSources[Type],MATCH(tblMovement[[#This Row],[Source]],tblSources[Source],0)),"?"))</f>
        <v/>
      </c>
      <c r="L2127" s="63">
        <f>IF(tblMovement[[#This Row],[Destination]]="","",IFERROR(INDEX(tblDestinations[Type],MATCH(tblMovement[[#This Row],[Destination]],tblDestinations[Destination],0)),"?"))</f>
        <v/>
      </c>
      <c r="M2127" s="64">
        <f>IF(tblMovement[[#This Row],[Material]]="","",IF(LEFT(tblMovement[[#This Row],[Material]],3)="Ore",1,0))</f>
        <v/>
      </c>
      <c r="N2127" s="59">
        <f>IF(OR(tblMovement[[#This Row],[Tonnes_t]]="",tblMovement[[#This Row],[Grade_gpt]]=""),0,tblMovement[[#This Row],[Tonnes_t]]*tblMovement[[#This Row],[Grade_gpt]]/cfg_TroyOz)</f>
        <v/>
      </c>
      <c r="O2127" s="59">
        <f>IF(tblMovement[[#This Row],[Is_Ore]]=1,tblMovement[[#This Row],[Contained_oz]],0)</f>
        <v/>
      </c>
    </row>
    <row r="2128">
      <c r="A2128" s="54" t="n"/>
      <c r="B2128" s="61" t="n"/>
      <c r="C2128" s="61" t="n"/>
      <c r="D2128" s="61" t="n"/>
      <c r="E2128" s="61" t="n"/>
      <c r="F2128" s="55" t="n"/>
      <c r="G2128" s="56" t="n"/>
      <c r="H2128" s="55" t="n"/>
      <c r="I2128" s="62" t="n"/>
      <c r="J2128" s="58" t="n"/>
      <c r="K2128" s="63">
        <f>IF(tblMovement[[#This Row],[Source]]="","",IFERROR(INDEX(tblSources[Type],MATCH(tblMovement[[#This Row],[Source]],tblSources[Source],0)),"?"))</f>
        <v/>
      </c>
      <c r="L2128" s="63">
        <f>IF(tblMovement[[#This Row],[Destination]]="","",IFERROR(INDEX(tblDestinations[Type],MATCH(tblMovement[[#This Row],[Destination]],tblDestinations[Destination],0)),"?"))</f>
        <v/>
      </c>
      <c r="M2128" s="64">
        <f>IF(tblMovement[[#This Row],[Material]]="","",IF(LEFT(tblMovement[[#This Row],[Material]],3)="Ore",1,0))</f>
        <v/>
      </c>
      <c r="N2128" s="59">
        <f>IF(OR(tblMovement[[#This Row],[Tonnes_t]]="",tblMovement[[#This Row],[Grade_gpt]]=""),0,tblMovement[[#This Row],[Tonnes_t]]*tblMovement[[#This Row],[Grade_gpt]]/cfg_TroyOz)</f>
        <v/>
      </c>
      <c r="O2128" s="59">
        <f>IF(tblMovement[[#This Row],[Is_Ore]]=1,tblMovement[[#This Row],[Contained_oz]],0)</f>
        <v/>
      </c>
    </row>
    <row r="2129">
      <c r="A2129" s="54" t="n"/>
      <c r="B2129" s="61" t="n"/>
      <c r="C2129" s="61" t="n"/>
      <c r="D2129" s="61" t="n"/>
      <c r="E2129" s="61" t="n"/>
      <c r="F2129" s="55" t="n"/>
      <c r="G2129" s="56" t="n"/>
      <c r="H2129" s="55" t="n"/>
      <c r="I2129" s="62" t="n"/>
      <c r="J2129" s="58" t="n"/>
      <c r="K2129" s="63">
        <f>IF(tblMovement[[#This Row],[Source]]="","",IFERROR(INDEX(tblSources[Type],MATCH(tblMovement[[#This Row],[Source]],tblSources[Source],0)),"?"))</f>
        <v/>
      </c>
      <c r="L2129" s="63">
        <f>IF(tblMovement[[#This Row],[Destination]]="","",IFERROR(INDEX(tblDestinations[Type],MATCH(tblMovement[[#This Row],[Destination]],tblDestinations[Destination],0)),"?"))</f>
        <v/>
      </c>
      <c r="M2129" s="64">
        <f>IF(tblMovement[[#This Row],[Material]]="","",IF(LEFT(tblMovement[[#This Row],[Material]],3)="Ore",1,0))</f>
        <v/>
      </c>
      <c r="N2129" s="59">
        <f>IF(OR(tblMovement[[#This Row],[Tonnes_t]]="",tblMovement[[#This Row],[Grade_gpt]]=""),0,tblMovement[[#This Row],[Tonnes_t]]*tblMovement[[#This Row],[Grade_gpt]]/cfg_TroyOz)</f>
        <v/>
      </c>
      <c r="O2129" s="59">
        <f>IF(tblMovement[[#This Row],[Is_Ore]]=1,tblMovement[[#This Row],[Contained_oz]],0)</f>
        <v/>
      </c>
    </row>
    <row r="2130">
      <c r="A2130" s="54" t="n"/>
      <c r="B2130" s="61" t="n"/>
      <c r="C2130" s="61" t="n"/>
      <c r="D2130" s="61" t="n"/>
      <c r="E2130" s="61" t="n"/>
      <c r="F2130" s="55" t="n"/>
      <c r="G2130" s="56" t="n"/>
      <c r="H2130" s="55" t="n"/>
      <c r="I2130" s="62" t="n"/>
      <c r="J2130" s="58" t="n"/>
      <c r="K2130" s="63">
        <f>IF(tblMovement[[#This Row],[Source]]="","",IFERROR(INDEX(tblSources[Type],MATCH(tblMovement[[#This Row],[Source]],tblSources[Source],0)),"?"))</f>
        <v/>
      </c>
      <c r="L2130" s="63">
        <f>IF(tblMovement[[#This Row],[Destination]]="","",IFERROR(INDEX(tblDestinations[Type],MATCH(tblMovement[[#This Row],[Destination]],tblDestinations[Destination],0)),"?"))</f>
        <v/>
      </c>
      <c r="M2130" s="64">
        <f>IF(tblMovement[[#This Row],[Material]]="","",IF(LEFT(tblMovement[[#This Row],[Material]],3)="Ore",1,0))</f>
        <v/>
      </c>
      <c r="N2130" s="59">
        <f>IF(OR(tblMovement[[#This Row],[Tonnes_t]]="",tblMovement[[#This Row],[Grade_gpt]]=""),0,tblMovement[[#This Row],[Tonnes_t]]*tblMovement[[#This Row],[Grade_gpt]]/cfg_TroyOz)</f>
        <v/>
      </c>
      <c r="O2130" s="59">
        <f>IF(tblMovement[[#This Row],[Is_Ore]]=1,tblMovement[[#This Row],[Contained_oz]],0)</f>
        <v/>
      </c>
    </row>
    <row r="2131">
      <c r="A2131" s="54" t="n"/>
      <c r="B2131" s="61" t="n"/>
      <c r="C2131" s="61" t="n"/>
      <c r="D2131" s="61" t="n"/>
      <c r="E2131" s="61" t="n"/>
      <c r="F2131" s="55" t="n"/>
      <c r="G2131" s="56" t="n"/>
      <c r="H2131" s="55" t="n"/>
      <c r="I2131" s="62" t="n"/>
      <c r="J2131" s="58" t="n"/>
      <c r="K2131" s="63">
        <f>IF(tblMovement[[#This Row],[Source]]="","",IFERROR(INDEX(tblSources[Type],MATCH(tblMovement[[#This Row],[Source]],tblSources[Source],0)),"?"))</f>
        <v/>
      </c>
      <c r="L2131" s="63">
        <f>IF(tblMovement[[#This Row],[Destination]]="","",IFERROR(INDEX(tblDestinations[Type],MATCH(tblMovement[[#This Row],[Destination]],tblDestinations[Destination],0)),"?"))</f>
        <v/>
      </c>
      <c r="M2131" s="64">
        <f>IF(tblMovement[[#This Row],[Material]]="","",IF(LEFT(tblMovement[[#This Row],[Material]],3)="Ore",1,0))</f>
        <v/>
      </c>
      <c r="N2131" s="59">
        <f>IF(OR(tblMovement[[#This Row],[Tonnes_t]]="",tblMovement[[#This Row],[Grade_gpt]]=""),0,tblMovement[[#This Row],[Tonnes_t]]*tblMovement[[#This Row],[Grade_gpt]]/cfg_TroyOz)</f>
        <v/>
      </c>
      <c r="O2131" s="59">
        <f>IF(tblMovement[[#This Row],[Is_Ore]]=1,tblMovement[[#This Row],[Contained_oz]],0)</f>
        <v/>
      </c>
    </row>
    <row r="2132">
      <c r="A2132" s="54" t="n"/>
      <c r="B2132" s="61" t="n"/>
      <c r="C2132" s="61" t="n"/>
      <c r="D2132" s="61" t="n"/>
      <c r="E2132" s="61" t="n"/>
      <c r="F2132" s="55" t="n"/>
      <c r="G2132" s="56" t="n"/>
      <c r="H2132" s="55" t="n"/>
      <c r="I2132" s="62" t="n"/>
      <c r="J2132" s="58" t="n"/>
      <c r="K2132" s="63">
        <f>IF(tblMovement[[#This Row],[Source]]="","",IFERROR(INDEX(tblSources[Type],MATCH(tblMovement[[#This Row],[Source]],tblSources[Source],0)),"?"))</f>
        <v/>
      </c>
      <c r="L2132" s="63">
        <f>IF(tblMovement[[#This Row],[Destination]]="","",IFERROR(INDEX(tblDestinations[Type],MATCH(tblMovement[[#This Row],[Destination]],tblDestinations[Destination],0)),"?"))</f>
        <v/>
      </c>
      <c r="M2132" s="64">
        <f>IF(tblMovement[[#This Row],[Material]]="","",IF(LEFT(tblMovement[[#This Row],[Material]],3)="Ore",1,0))</f>
        <v/>
      </c>
      <c r="N2132" s="59">
        <f>IF(OR(tblMovement[[#This Row],[Tonnes_t]]="",tblMovement[[#This Row],[Grade_gpt]]=""),0,tblMovement[[#This Row],[Tonnes_t]]*tblMovement[[#This Row],[Grade_gpt]]/cfg_TroyOz)</f>
        <v/>
      </c>
      <c r="O2132" s="59">
        <f>IF(tblMovement[[#This Row],[Is_Ore]]=1,tblMovement[[#This Row],[Contained_oz]],0)</f>
        <v/>
      </c>
    </row>
    <row r="2133">
      <c r="A2133" s="54" t="n"/>
      <c r="B2133" s="61" t="n"/>
      <c r="C2133" s="61" t="n"/>
      <c r="D2133" s="61" t="n"/>
      <c r="E2133" s="61" t="n"/>
      <c r="F2133" s="55" t="n"/>
      <c r="G2133" s="56" t="n"/>
      <c r="H2133" s="55" t="n"/>
      <c r="I2133" s="62" t="n"/>
      <c r="J2133" s="58" t="n"/>
      <c r="K2133" s="63">
        <f>IF(tblMovement[[#This Row],[Source]]="","",IFERROR(INDEX(tblSources[Type],MATCH(tblMovement[[#This Row],[Source]],tblSources[Source],0)),"?"))</f>
        <v/>
      </c>
      <c r="L2133" s="63">
        <f>IF(tblMovement[[#This Row],[Destination]]="","",IFERROR(INDEX(tblDestinations[Type],MATCH(tblMovement[[#This Row],[Destination]],tblDestinations[Destination],0)),"?"))</f>
        <v/>
      </c>
      <c r="M2133" s="64">
        <f>IF(tblMovement[[#This Row],[Material]]="","",IF(LEFT(tblMovement[[#This Row],[Material]],3)="Ore",1,0))</f>
        <v/>
      </c>
      <c r="N2133" s="59">
        <f>IF(OR(tblMovement[[#This Row],[Tonnes_t]]="",tblMovement[[#This Row],[Grade_gpt]]=""),0,tblMovement[[#This Row],[Tonnes_t]]*tblMovement[[#This Row],[Grade_gpt]]/cfg_TroyOz)</f>
        <v/>
      </c>
      <c r="O2133" s="59">
        <f>IF(tblMovement[[#This Row],[Is_Ore]]=1,tblMovement[[#This Row],[Contained_oz]],0)</f>
        <v/>
      </c>
    </row>
    <row r="2134">
      <c r="A2134" s="54" t="n"/>
      <c r="B2134" s="61" t="n"/>
      <c r="C2134" s="61" t="n"/>
      <c r="D2134" s="61" t="n"/>
      <c r="E2134" s="61" t="n"/>
      <c r="F2134" s="55" t="n"/>
      <c r="G2134" s="56" t="n"/>
      <c r="H2134" s="55" t="n"/>
      <c r="I2134" s="62" t="n"/>
      <c r="J2134" s="58" t="n"/>
      <c r="K2134" s="63">
        <f>IF(tblMovement[[#This Row],[Source]]="","",IFERROR(INDEX(tblSources[Type],MATCH(tblMovement[[#This Row],[Source]],tblSources[Source],0)),"?"))</f>
        <v/>
      </c>
      <c r="L2134" s="63">
        <f>IF(tblMovement[[#This Row],[Destination]]="","",IFERROR(INDEX(tblDestinations[Type],MATCH(tblMovement[[#This Row],[Destination]],tblDestinations[Destination],0)),"?"))</f>
        <v/>
      </c>
      <c r="M2134" s="64">
        <f>IF(tblMovement[[#This Row],[Material]]="","",IF(LEFT(tblMovement[[#This Row],[Material]],3)="Ore",1,0))</f>
        <v/>
      </c>
      <c r="N2134" s="59">
        <f>IF(OR(tblMovement[[#This Row],[Tonnes_t]]="",tblMovement[[#This Row],[Grade_gpt]]=""),0,tblMovement[[#This Row],[Tonnes_t]]*tblMovement[[#This Row],[Grade_gpt]]/cfg_TroyOz)</f>
        <v/>
      </c>
      <c r="O2134" s="59">
        <f>IF(tblMovement[[#This Row],[Is_Ore]]=1,tblMovement[[#This Row],[Contained_oz]],0)</f>
        <v/>
      </c>
    </row>
    <row r="2135">
      <c r="A2135" s="54" t="n"/>
      <c r="B2135" s="61" t="n"/>
      <c r="C2135" s="61" t="n"/>
      <c r="D2135" s="61" t="n"/>
      <c r="E2135" s="61" t="n"/>
      <c r="F2135" s="55" t="n"/>
      <c r="G2135" s="56" t="n"/>
      <c r="H2135" s="55" t="n"/>
      <c r="I2135" s="62" t="n"/>
      <c r="J2135" s="58" t="n"/>
      <c r="K2135" s="63">
        <f>IF(tblMovement[[#This Row],[Source]]="","",IFERROR(INDEX(tblSources[Type],MATCH(tblMovement[[#This Row],[Source]],tblSources[Source],0)),"?"))</f>
        <v/>
      </c>
      <c r="L2135" s="63">
        <f>IF(tblMovement[[#This Row],[Destination]]="","",IFERROR(INDEX(tblDestinations[Type],MATCH(tblMovement[[#This Row],[Destination]],tblDestinations[Destination],0)),"?"))</f>
        <v/>
      </c>
      <c r="M2135" s="64">
        <f>IF(tblMovement[[#This Row],[Material]]="","",IF(LEFT(tblMovement[[#This Row],[Material]],3)="Ore",1,0))</f>
        <v/>
      </c>
      <c r="N2135" s="59">
        <f>IF(OR(tblMovement[[#This Row],[Tonnes_t]]="",tblMovement[[#This Row],[Grade_gpt]]=""),0,tblMovement[[#This Row],[Tonnes_t]]*tblMovement[[#This Row],[Grade_gpt]]/cfg_TroyOz)</f>
        <v/>
      </c>
      <c r="O2135" s="59">
        <f>IF(tblMovement[[#This Row],[Is_Ore]]=1,tblMovement[[#This Row],[Contained_oz]],0)</f>
        <v/>
      </c>
    </row>
    <row r="2136">
      <c r="A2136" s="54" t="n"/>
      <c r="B2136" s="61" t="n"/>
      <c r="C2136" s="61" t="n"/>
      <c r="D2136" s="61" t="n"/>
      <c r="E2136" s="61" t="n"/>
      <c r="F2136" s="55" t="n"/>
      <c r="G2136" s="56" t="n"/>
      <c r="H2136" s="55" t="n"/>
      <c r="I2136" s="62" t="n"/>
      <c r="J2136" s="58" t="n"/>
      <c r="K2136" s="63">
        <f>IF(tblMovement[[#This Row],[Source]]="","",IFERROR(INDEX(tblSources[Type],MATCH(tblMovement[[#This Row],[Source]],tblSources[Source],0)),"?"))</f>
        <v/>
      </c>
      <c r="L2136" s="63">
        <f>IF(tblMovement[[#This Row],[Destination]]="","",IFERROR(INDEX(tblDestinations[Type],MATCH(tblMovement[[#This Row],[Destination]],tblDestinations[Destination],0)),"?"))</f>
        <v/>
      </c>
      <c r="M2136" s="64">
        <f>IF(tblMovement[[#This Row],[Material]]="","",IF(LEFT(tblMovement[[#This Row],[Material]],3)="Ore",1,0))</f>
        <v/>
      </c>
      <c r="N2136" s="59">
        <f>IF(OR(tblMovement[[#This Row],[Tonnes_t]]="",tblMovement[[#This Row],[Grade_gpt]]=""),0,tblMovement[[#This Row],[Tonnes_t]]*tblMovement[[#This Row],[Grade_gpt]]/cfg_TroyOz)</f>
        <v/>
      </c>
      <c r="O2136" s="59">
        <f>IF(tblMovement[[#This Row],[Is_Ore]]=1,tblMovement[[#This Row],[Contained_oz]],0)</f>
        <v/>
      </c>
    </row>
    <row r="2137">
      <c r="A2137" s="54" t="n"/>
      <c r="B2137" s="61" t="n"/>
      <c r="C2137" s="61" t="n"/>
      <c r="D2137" s="61" t="n"/>
      <c r="E2137" s="61" t="n"/>
      <c r="F2137" s="55" t="n"/>
      <c r="G2137" s="56" t="n"/>
      <c r="H2137" s="55" t="n"/>
      <c r="I2137" s="62" t="n"/>
      <c r="J2137" s="58" t="n"/>
      <c r="K2137" s="63">
        <f>IF(tblMovement[[#This Row],[Source]]="","",IFERROR(INDEX(tblSources[Type],MATCH(tblMovement[[#This Row],[Source]],tblSources[Source],0)),"?"))</f>
        <v/>
      </c>
      <c r="L2137" s="63">
        <f>IF(tblMovement[[#This Row],[Destination]]="","",IFERROR(INDEX(tblDestinations[Type],MATCH(tblMovement[[#This Row],[Destination]],tblDestinations[Destination],0)),"?"))</f>
        <v/>
      </c>
      <c r="M2137" s="64">
        <f>IF(tblMovement[[#This Row],[Material]]="","",IF(LEFT(tblMovement[[#This Row],[Material]],3)="Ore",1,0))</f>
        <v/>
      </c>
      <c r="N2137" s="59">
        <f>IF(OR(tblMovement[[#This Row],[Tonnes_t]]="",tblMovement[[#This Row],[Grade_gpt]]=""),0,tblMovement[[#This Row],[Tonnes_t]]*tblMovement[[#This Row],[Grade_gpt]]/cfg_TroyOz)</f>
        <v/>
      </c>
      <c r="O2137" s="59">
        <f>IF(tblMovement[[#This Row],[Is_Ore]]=1,tblMovement[[#This Row],[Contained_oz]],0)</f>
        <v/>
      </c>
    </row>
    <row r="2138">
      <c r="A2138" s="54" t="n"/>
      <c r="B2138" s="61" t="n"/>
      <c r="C2138" s="61" t="n"/>
      <c r="D2138" s="61" t="n"/>
      <c r="E2138" s="61" t="n"/>
      <c r="F2138" s="55" t="n"/>
      <c r="G2138" s="56" t="n"/>
      <c r="H2138" s="55" t="n"/>
      <c r="I2138" s="62" t="n"/>
      <c r="J2138" s="58" t="n"/>
      <c r="K2138" s="63">
        <f>IF(tblMovement[[#This Row],[Source]]="","",IFERROR(INDEX(tblSources[Type],MATCH(tblMovement[[#This Row],[Source]],tblSources[Source],0)),"?"))</f>
        <v/>
      </c>
      <c r="L2138" s="63">
        <f>IF(tblMovement[[#This Row],[Destination]]="","",IFERROR(INDEX(tblDestinations[Type],MATCH(tblMovement[[#This Row],[Destination]],tblDestinations[Destination],0)),"?"))</f>
        <v/>
      </c>
      <c r="M2138" s="64">
        <f>IF(tblMovement[[#This Row],[Material]]="","",IF(LEFT(tblMovement[[#This Row],[Material]],3)="Ore",1,0))</f>
        <v/>
      </c>
      <c r="N2138" s="59">
        <f>IF(OR(tblMovement[[#This Row],[Tonnes_t]]="",tblMovement[[#This Row],[Grade_gpt]]=""),0,tblMovement[[#This Row],[Tonnes_t]]*tblMovement[[#This Row],[Grade_gpt]]/cfg_TroyOz)</f>
        <v/>
      </c>
      <c r="O2138" s="59">
        <f>IF(tblMovement[[#This Row],[Is_Ore]]=1,tblMovement[[#This Row],[Contained_oz]],0)</f>
        <v/>
      </c>
    </row>
    <row r="2139">
      <c r="A2139" s="54" t="n"/>
      <c r="B2139" s="61" t="n"/>
      <c r="C2139" s="61" t="n"/>
      <c r="D2139" s="61" t="n"/>
      <c r="E2139" s="61" t="n"/>
      <c r="F2139" s="55" t="n"/>
      <c r="G2139" s="56" t="n"/>
      <c r="H2139" s="55" t="n"/>
      <c r="I2139" s="62" t="n"/>
      <c r="J2139" s="58" t="n"/>
      <c r="K2139" s="63">
        <f>IF(tblMovement[[#This Row],[Source]]="","",IFERROR(INDEX(tblSources[Type],MATCH(tblMovement[[#This Row],[Source]],tblSources[Source],0)),"?"))</f>
        <v/>
      </c>
      <c r="L2139" s="63">
        <f>IF(tblMovement[[#This Row],[Destination]]="","",IFERROR(INDEX(tblDestinations[Type],MATCH(tblMovement[[#This Row],[Destination]],tblDestinations[Destination],0)),"?"))</f>
        <v/>
      </c>
      <c r="M2139" s="64">
        <f>IF(tblMovement[[#This Row],[Material]]="","",IF(LEFT(tblMovement[[#This Row],[Material]],3)="Ore",1,0))</f>
        <v/>
      </c>
      <c r="N2139" s="59">
        <f>IF(OR(tblMovement[[#This Row],[Tonnes_t]]="",tblMovement[[#This Row],[Grade_gpt]]=""),0,tblMovement[[#This Row],[Tonnes_t]]*tblMovement[[#This Row],[Grade_gpt]]/cfg_TroyOz)</f>
        <v/>
      </c>
      <c r="O2139" s="59">
        <f>IF(tblMovement[[#This Row],[Is_Ore]]=1,tblMovement[[#This Row],[Contained_oz]],0)</f>
        <v/>
      </c>
    </row>
    <row r="2140">
      <c r="A2140" s="54" t="n"/>
      <c r="B2140" s="61" t="n"/>
      <c r="C2140" s="61" t="n"/>
      <c r="D2140" s="61" t="n"/>
      <c r="E2140" s="61" t="n"/>
      <c r="F2140" s="55" t="n"/>
      <c r="G2140" s="56" t="n"/>
      <c r="H2140" s="55" t="n"/>
      <c r="I2140" s="62" t="n"/>
      <c r="J2140" s="58" t="n"/>
      <c r="K2140" s="63">
        <f>IF(tblMovement[[#This Row],[Source]]="","",IFERROR(INDEX(tblSources[Type],MATCH(tblMovement[[#This Row],[Source]],tblSources[Source],0)),"?"))</f>
        <v/>
      </c>
      <c r="L2140" s="63">
        <f>IF(tblMovement[[#This Row],[Destination]]="","",IFERROR(INDEX(tblDestinations[Type],MATCH(tblMovement[[#This Row],[Destination]],tblDestinations[Destination],0)),"?"))</f>
        <v/>
      </c>
      <c r="M2140" s="64">
        <f>IF(tblMovement[[#This Row],[Material]]="","",IF(LEFT(tblMovement[[#This Row],[Material]],3)="Ore",1,0))</f>
        <v/>
      </c>
      <c r="N2140" s="59">
        <f>IF(OR(tblMovement[[#This Row],[Tonnes_t]]="",tblMovement[[#This Row],[Grade_gpt]]=""),0,tblMovement[[#This Row],[Tonnes_t]]*tblMovement[[#This Row],[Grade_gpt]]/cfg_TroyOz)</f>
        <v/>
      </c>
      <c r="O2140" s="59">
        <f>IF(tblMovement[[#This Row],[Is_Ore]]=1,tblMovement[[#This Row],[Contained_oz]],0)</f>
        <v/>
      </c>
    </row>
    <row r="2141">
      <c r="A2141" s="54" t="n"/>
      <c r="B2141" s="61" t="n"/>
      <c r="C2141" s="61" t="n"/>
      <c r="D2141" s="61" t="n"/>
      <c r="E2141" s="61" t="n"/>
      <c r="F2141" s="55" t="n"/>
      <c r="G2141" s="56" t="n"/>
      <c r="H2141" s="55" t="n"/>
      <c r="I2141" s="62" t="n"/>
      <c r="J2141" s="58" t="n"/>
      <c r="K2141" s="63">
        <f>IF(tblMovement[[#This Row],[Source]]="","",IFERROR(INDEX(tblSources[Type],MATCH(tblMovement[[#This Row],[Source]],tblSources[Source],0)),"?"))</f>
        <v/>
      </c>
      <c r="L2141" s="63">
        <f>IF(tblMovement[[#This Row],[Destination]]="","",IFERROR(INDEX(tblDestinations[Type],MATCH(tblMovement[[#This Row],[Destination]],tblDestinations[Destination],0)),"?"))</f>
        <v/>
      </c>
      <c r="M2141" s="64">
        <f>IF(tblMovement[[#This Row],[Material]]="","",IF(LEFT(tblMovement[[#This Row],[Material]],3)="Ore",1,0))</f>
        <v/>
      </c>
      <c r="N2141" s="59">
        <f>IF(OR(tblMovement[[#This Row],[Tonnes_t]]="",tblMovement[[#This Row],[Grade_gpt]]=""),0,tblMovement[[#This Row],[Tonnes_t]]*tblMovement[[#This Row],[Grade_gpt]]/cfg_TroyOz)</f>
        <v/>
      </c>
      <c r="O2141" s="59">
        <f>IF(tblMovement[[#This Row],[Is_Ore]]=1,tblMovement[[#This Row],[Contained_oz]],0)</f>
        <v/>
      </c>
    </row>
    <row r="2142">
      <c r="A2142" s="54" t="n"/>
      <c r="B2142" s="61" t="n"/>
      <c r="C2142" s="61" t="n"/>
      <c r="D2142" s="61" t="n"/>
      <c r="E2142" s="61" t="n"/>
      <c r="F2142" s="55" t="n"/>
      <c r="G2142" s="56" t="n"/>
      <c r="H2142" s="55" t="n"/>
      <c r="I2142" s="62" t="n"/>
      <c r="J2142" s="58" t="n"/>
      <c r="K2142" s="63">
        <f>IF(tblMovement[[#This Row],[Source]]="","",IFERROR(INDEX(tblSources[Type],MATCH(tblMovement[[#This Row],[Source]],tblSources[Source],0)),"?"))</f>
        <v/>
      </c>
      <c r="L2142" s="63">
        <f>IF(tblMovement[[#This Row],[Destination]]="","",IFERROR(INDEX(tblDestinations[Type],MATCH(tblMovement[[#This Row],[Destination]],tblDestinations[Destination],0)),"?"))</f>
        <v/>
      </c>
      <c r="M2142" s="64">
        <f>IF(tblMovement[[#This Row],[Material]]="","",IF(LEFT(tblMovement[[#This Row],[Material]],3)="Ore",1,0))</f>
        <v/>
      </c>
      <c r="N2142" s="59">
        <f>IF(OR(tblMovement[[#This Row],[Tonnes_t]]="",tblMovement[[#This Row],[Grade_gpt]]=""),0,tblMovement[[#This Row],[Tonnes_t]]*tblMovement[[#This Row],[Grade_gpt]]/cfg_TroyOz)</f>
        <v/>
      </c>
      <c r="O2142" s="59">
        <f>IF(tblMovement[[#This Row],[Is_Ore]]=1,tblMovement[[#This Row],[Contained_oz]],0)</f>
        <v/>
      </c>
    </row>
    <row r="2143">
      <c r="A2143" s="54" t="n"/>
      <c r="B2143" s="61" t="n"/>
      <c r="C2143" s="61" t="n"/>
      <c r="D2143" s="61" t="n"/>
      <c r="E2143" s="61" t="n"/>
      <c r="F2143" s="55" t="n"/>
      <c r="G2143" s="56" t="n"/>
      <c r="H2143" s="55" t="n"/>
      <c r="I2143" s="62" t="n"/>
      <c r="J2143" s="58" t="n"/>
      <c r="K2143" s="63">
        <f>IF(tblMovement[[#This Row],[Source]]="","",IFERROR(INDEX(tblSources[Type],MATCH(tblMovement[[#This Row],[Source]],tblSources[Source],0)),"?"))</f>
        <v/>
      </c>
      <c r="L2143" s="63">
        <f>IF(tblMovement[[#This Row],[Destination]]="","",IFERROR(INDEX(tblDestinations[Type],MATCH(tblMovement[[#This Row],[Destination]],tblDestinations[Destination],0)),"?"))</f>
        <v/>
      </c>
      <c r="M2143" s="64">
        <f>IF(tblMovement[[#This Row],[Material]]="","",IF(LEFT(tblMovement[[#This Row],[Material]],3)="Ore",1,0))</f>
        <v/>
      </c>
      <c r="N2143" s="59">
        <f>IF(OR(tblMovement[[#This Row],[Tonnes_t]]="",tblMovement[[#This Row],[Grade_gpt]]=""),0,tblMovement[[#This Row],[Tonnes_t]]*tblMovement[[#This Row],[Grade_gpt]]/cfg_TroyOz)</f>
        <v/>
      </c>
      <c r="O2143" s="59">
        <f>IF(tblMovement[[#This Row],[Is_Ore]]=1,tblMovement[[#This Row],[Contained_oz]],0)</f>
        <v/>
      </c>
    </row>
    <row r="2144">
      <c r="A2144" s="54" t="n"/>
      <c r="B2144" s="61" t="n"/>
      <c r="C2144" s="61" t="n"/>
      <c r="D2144" s="61" t="n"/>
      <c r="E2144" s="61" t="n"/>
      <c r="F2144" s="55" t="n"/>
      <c r="G2144" s="56" t="n"/>
      <c r="H2144" s="55" t="n"/>
      <c r="I2144" s="62" t="n"/>
      <c r="J2144" s="58" t="n"/>
      <c r="K2144" s="63">
        <f>IF(tblMovement[[#This Row],[Source]]="","",IFERROR(INDEX(tblSources[Type],MATCH(tblMovement[[#This Row],[Source]],tblSources[Source],0)),"?"))</f>
        <v/>
      </c>
      <c r="L2144" s="63">
        <f>IF(tblMovement[[#This Row],[Destination]]="","",IFERROR(INDEX(tblDestinations[Type],MATCH(tblMovement[[#This Row],[Destination]],tblDestinations[Destination],0)),"?"))</f>
        <v/>
      </c>
      <c r="M2144" s="64">
        <f>IF(tblMovement[[#This Row],[Material]]="","",IF(LEFT(tblMovement[[#This Row],[Material]],3)="Ore",1,0))</f>
        <v/>
      </c>
      <c r="N2144" s="59">
        <f>IF(OR(tblMovement[[#This Row],[Tonnes_t]]="",tblMovement[[#This Row],[Grade_gpt]]=""),0,tblMovement[[#This Row],[Tonnes_t]]*tblMovement[[#This Row],[Grade_gpt]]/cfg_TroyOz)</f>
        <v/>
      </c>
      <c r="O2144" s="59">
        <f>IF(tblMovement[[#This Row],[Is_Ore]]=1,tblMovement[[#This Row],[Contained_oz]],0)</f>
        <v/>
      </c>
    </row>
    <row r="2145">
      <c r="A2145" s="54" t="n"/>
      <c r="B2145" s="61" t="n"/>
      <c r="C2145" s="61" t="n"/>
      <c r="D2145" s="61" t="n"/>
      <c r="E2145" s="61" t="n"/>
      <c r="F2145" s="55" t="n"/>
      <c r="G2145" s="56" t="n"/>
      <c r="H2145" s="55" t="n"/>
      <c r="I2145" s="62" t="n"/>
      <c r="J2145" s="58" t="n"/>
      <c r="K2145" s="63">
        <f>IF(tblMovement[[#This Row],[Source]]="","",IFERROR(INDEX(tblSources[Type],MATCH(tblMovement[[#This Row],[Source]],tblSources[Source],0)),"?"))</f>
        <v/>
      </c>
      <c r="L2145" s="63">
        <f>IF(tblMovement[[#This Row],[Destination]]="","",IFERROR(INDEX(tblDestinations[Type],MATCH(tblMovement[[#This Row],[Destination]],tblDestinations[Destination],0)),"?"))</f>
        <v/>
      </c>
      <c r="M2145" s="64">
        <f>IF(tblMovement[[#This Row],[Material]]="","",IF(LEFT(tblMovement[[#This Row],[Material]],3)="Ore",1,0))</f>
        <v/>
      </c>
      <c r="N2145" s="59">
        <f>IF(OR(tblMovement[[#This Row],[Tonnes_t]]="",tblMovement[[#This Row],[Grade_gpt]]=""),0,tblMovement[[#This Row],[Tonnes_t]]*tblMovement[[#This Row],[Grade_gpt]]/cfg_TroyOz)</f>
        <v/>
      </c>
      <c r="O2145" s="59">
        <f>IF(tblMovement[[#This Row],[Is_Ore]]=1,tblMovement[[#This Row],[Contained_oz]],0)</f>
        <v/>
      </c>
    </row>
    <row r="2146">
      <c r="A2146" s="54" t="n"/>
      <c r="B2146" s="61" t="n"/>
      <c r="C2146" s="61" t="n"/>
      <c r="D2146" s="61" t="n"/>
      <c r="E2146" s="61" t="n"/>
      <c r="F2146" s="55" t="n"/>
      <c r="G2146" s="56" t="n"/>
      <c r="H2146" s="55" t="n"/>
      <c r="I2146" s="62" t="n"/>
      <c r="J2146" s="58" t="n"/>
      <c r="K2146" s="63">
        <f>IF(tblMovement[[#This Row],[Source]]="","",IFERROR(INDEX(tblSources[Type],MATCH(tblMovement[[#This Row],[Source]],tblSources[Source],0)),"?"))</f>
        <v/>
      </c>
      <c r="L2146" s="63">
        <f>IF(tblMovement[[#This Row],[Destination]]="","",IFERROR(INDEX(tblDestinations[Type],MATCH(tblMovement[[#This Row],[Destination]],tblDestinations[Destination],0)),"?"))</f>
        <v/>
      </c>
      <c r="M2146" s="64">
        <f>IF(tblMovement[[#This Row],[Material]]="","",IF(LEFT(tblMovement[[#This Row],[Material]],3)="Ore",1,0))</f>
        <v/>
      </c>
      <c r="N2146" s="59">
        <f>IF(OR(tblMovement[[#This Row],[Tonnes_t]]="",tblMovement[[#This Row],[Grade_gpt]]=""),0,tblMovement[[#This Row],[Tonnes_t]]*tblMovement[[#This Row],[Grade_gpt]]/cfg_TroyOz)</f>
        <v/>
      </c>
      <c r="O2146" s="59">
        <f>IF(tblMovement[[#This Row],[Is_Ore]]=1,tblMovement[[#This Row],[Contained_oz]],0)</f>
        <v/>
      </c>
    </row>
    <row r="2147">
      <c r="A2147" s="54" t="n"/>
      <c r="B2147" s="61" t="n"/>
      <c r="C2147" s="61" t="n"/>
      <c r="D2147" s="61" t="n"/>
      <c r="E2147" s="61" t="n"/>
      <c r="F2147" s="55" t="n"/>
      <c r="G2147" s="56" t="n"/>
      <c r="H2147" s="55" t="n"/>
      <c r="I2147" s="62" t="n"/>
      <c r="J2147" s="58" t="n"/>
      <c r="K2147" s="63">
        <f>IF(tblMovement[[#This Row],[Source]]="","",IFERROR(INDEX(tblSources[Type],MATCH(tblMovement[[#This Row],[Source]],tblSources[Source],0)),"?"))</f>
        <v/>
      </c>
      <c r="L2147" s="63">
        <f>IF(tblMovement[[#This Row],[Destination]]="","",IFERROR(INDEX(tblDestinations[Type],MATCH(tblMovement[[#This Row],[Destination]],tblDestinations[Destination],0)),"?"))</f>
        <v/>
      </c>
      <c r="M2147" s="64">
        <f>IF(tblMovement[[#This Row],[Material]]="","",IF(LEFT(tblMovement[[#This Row],[Material]],3)="Ore",1,0))</f>
        <v/>
      </c>
      <c r="N2147" s="59">
        <f>IF(OR(tblMovement[[#This Row],[Tonnes_t]]="",tblMovement[[#This Row],[Grade_gpt]]=""),0,tblMovement[[#This Row],[Tonnes_t]]*tblMovement[[#This Row],[Grade_gpt]]/cfg_TroyOz)</f>
        <v/>
      </c>
      <c r="O2147" s="59">
        <f>IF(tblMovement[[#This Row],[Is_Ore]]=1,tblMovement[[#This Row],[Contained_oz]],0)</f>
        <v/>
      </c>
    </row>
    <row r="2148">
      <c r="A2148" s="54" t="n"/>
      <c r="B2148" s="61" t="n"/>
      <c r="C2148" s="61" t="n"/>
      <c r="D2148" s="61" t="n"/>
      <c r="E2148" s="61" t="n"/>
      <c r="F2148" s="55" t="n"/>
      <c r="G2148" s="56" t="n"/>
      <c r="H2148" s="55" t="n"/>
      <c r="I2148" s="62" t="n"/>
      <c r="J2148" s="58" t="n"/>
      <c r="K2148" s="63">
        <f>IF(tblMovement[[#This Row],[Source]]="","",IFERROR(INDEX(tblSources[Type],MATCH(tblMovement[[#This Row],[Source]],tblSources[Source],0)),"?"))</f>
        <v/>
      </c>
      <c r="L2148" s="63">
        <f>IF(tblMovement[[#This Row],[Destination]]="","",IFERROR(INDEX(tblDestinations[Type],MATCH(tblMovement[[#This Row],[Destination]],tblDestinations[Destination],0)),"?"))</f>
        <v/>
      </c>
      <c r="M2148" s="64">
        <f>IF(tblMovement[[#This Row],[Material]]="","",IF(LEFT(tblMovement[[#This Row],[Material]],3)="Ore",1,0))</f>
        <v/>
      </c>
      <c r="N2148" s="59">
        <f>IF(OR(tblMovement[[#This Row],[Tonnes_t]]="",tblMovement[[#This Row],[Grade_gpt]]=""),0,tblMovement[[#This Row],[Tonnes_t]]*tblMovement[[#This Row],[Grade_gpt]]/cfg_TroyOz)</f>
        <v/>
      </c>
      <c r="O2148" s="59">
        <f>IF(tblMovement[[#This Row],[Is_Ore]]=1,tblMovement[[#This Row],[Contained_oz]],0)</f>
        <v/>
      </c>
    </row>
    <row r="2149">
      <c r="A2149" s="54" t="n"/>
      <c r="B2149" s="61" t="n"/>
      <c r="C2149" s="61" t="n"/>
      <c r="D2149" s="61" t="n"/>
      <c r="E2149" s="61" t="n"/>
      <c r="F2149" s="55" t="n"/>
      <c r="G2149" s="56" t="n"/>
      <c r="H2149" s="55" t="n"/>
      <c r="I2149" s="62" t="n"/>
      <c r="J2149" s="58" t="n"/>
      <c r="K2149" s="63">
        <f>IF(tblMovement[[#This Row],[Source]]="","",IFERROR(INDEX(tblSources[Type],MATCH(tblMovement[[#This Row],[Source]],tblSources[Source],0)),"?"))</f>
        <v/>
      </c>
      <c r="L2149" s="63">
        <f>IF(tblMovement[[#This Row],[Destination]]="","",IFERROR(INDEX(tblDestinations[Type],MATCH(tblMovement[[#This Row],[Destination]],tblDestinations[Destination],0)),"?"))</f>
        <v/>
      </c>
      <c r="M2149" s="64">
        <f>IF(tblMovement[[#This Row],[Material]]="","",IF(LEFT(tblMovement[[#This Row],[Material]],3)="Ore",1,0))</f>
        <v/>
      </c>
      <c r="N2149" s="59">
        <f>IF(OR(tblMovement[[#This Row],[Tonnes_t]]="",tblMovement[[#This Row],[Grade_gpt]]=""),0,tblMovement[[#This Row],[Tonnes_t]]*tblMovement[[#This Row],[Grade_gpt]]/cfg_TroyOz)</f>
        <v/>
      </c>
      <c r="O2149" s="59">
        <f>IF(tblMovement[[#This Row],[Is_Ore]]=1,tblMovement[[#This Row],[Contained_oz]],0)</f>
        <v/>
      </c>
    </row>
    <row r="2150">
      <c r="A2150" s="54" t="n"/>
      <c r="B2150" s="61" t="n"/>
      <c r="C2150" s="61" t="n"/>
      <c r="D2150" s="61" t="n"/>
      <c r="E2150" s="61" t="n"/>
      <c r="F2150" s="55" t="n"/>
      <c r="G2150" s="56" t="n"/>
      <c r="H2150" s="55" t="n"/>
      <c r="I2150" s="62" t="n"/>
      <c r="J2150" s="58" t="n"/>
      <c r="K2150" s="63">
        <f>IF(tblMovement[[#This Row],[Source]]="","",IFERROR(INDEX(tblSources[Type],MATCH(tblMovement[[#This Row],[Source]],tblSources[Source],0)),"?"))</f>
        <v/>
      </c>
      <c r="L2150" s="63">
        <f>IF(tblMovement[[#This Row],[Destination]]="","",IFERROR(INDEX(tblDestinations[Type],MATCH(tblMovement[[#This Row],[Destination]],tblDestinations[Destination],0)),"?"))</f>
        <v/>
      </c>
      <c r="M2150" s="64">
        <f>IF(tblMovement[[#This Row],[Material]]="","",IF(LEFT(tblMovement[[#This Row],[Material]],3)="Ore",1,0))</f>
        <v/>
      </c>
      <c r="N2150" s="59">
        <f>IF(OR(tblMovement[[#This Row],[Tonnes_t]]="",tblMovement[[#This Row],[Grade_gpt]]=""),0,tblMovement[[#This Row],[Tonnes_t]]*tblMovement[[#This Row],[Grade_gpt]]/cfg_TroyOz)</f>
        <v/>
      </c>
      <c r="O2150" s="59">
        <f>IF(tblMovement[[#This Row],[Is_Ore]]=1,tblMovement[[#This Row],[Contained_oz]],0)</f>
        <v/>
      </c>
    </row>
    <row r="2151">
      <c r="A2151" s="54" t="n"/>
      <c r="B2151" s="61" t="n"/>
      <c r="C2151" s="61" t="n"/>
      <c r="D2151" s="61" t="n"/>
      <c r="E2151" s="61" t="n"/>
      <c r="F2151" s="55" t="n"/>
      <c r="G2151" s="56" t="n"/>
      <c r="H2151" s="55" t="n"/>
      <c r="I2151" s="62" t="n"/>
      <c r="J2151" s="58" t="n"/>
      <c r="K2151" s="63">
        <f>IF(tblMovement[[#This Row],[Source]]="","",IFERROR(INDEX(tblSources[Type],MATCH(tblMovement[[#This Row],[Source]],tblSources[Source],0)),"?"))</f>
        <v/>
      </c>
      <c r="L2151" s="63">
        <f>IF(tblMovement[[#This Row],[Destination]]="","",IFERROR(INDEX(tblDestinations[Type],MATCH(tblMovement[[#This Row],[Destination]],tblDestinations[Destination],0)),"?"))</f>
        <v/>
      </c>
      <c r="M2151" s="64">
        <f>IF(tblMovement[[#This Row],[Material]]="","",IF(LEFT(tblMovement[[#This Row],[Material]],3)="Ore",1,0))</f>
        <v/>
      </c>
      <c r="N2151" s="59">
        <f>IF(OR(tblMovement[[#This Row],[Tonnes_t]]="",tblMovement[[#This Row],[Grade_gpt]]=""),0,tblMovement[[#This Row],[Tonnes_t]]*tblMovement[[#This Row],[Grade_gpt]]/cfg_TroyOz)</f>
        <v/>
      </c>
      <c r="O2151" s="59">
        <f>IF(tblMovement[[#This Row],[Is_Ore]]=1,tblMovement[[#This Row],[Contained_oz]],0)</f>
        <v/>
      </c>
    </row>
    <row r="2152">
      <c r="A2152" s="54" t="n"/>
      <c r="B2152" s="61" t="n"/>
      <c r="C2152" s="61" t="n"/>
      <c r="D2152" s="61" t="n"/>
      <c r="E2152" s="61" t="n"/>
      <c r="F2152" s="55" t="n"/>
      <c r="G2152" s="56" t="n"/>
      <c r="H2152" s="55" t="n"/>
      <c r="I2152" s="62" t="n"/>
      <c r="J2152" s="58" t="n"/>
      <c r="K2152" s="63">
        <f>IF(tblMovement[[#This Row],[Source]]="","",IFERROR(INDEX(tblSources[Type],MATCH(tblMovement[[#This Row],[Source]],tblSources[Source],0)),"?"))</f>
        <v/>
      </c>
      <c r="L2152" s="63">
        <f>IF(tblMovement[[#This Row],[Destination]]="","",IFERROR(INDEX(tblDestinations[Type],MATCH(tblMovement[[#This Row],[Destination]],tblDestinations[Destination],0)),"?"))</f>
        <v/>
      </c>
      <c r="M2152" s="64">
        <f>IF(tblMovement[[#This Row],[Material]]="","",IF(LEFT(tblMovement[[#This Row],[Material]],3)="Ore",1,0))</f>
        <v/>
      </c>
      <c r="N2152" s="59">
        <f>IF(OR(tblMovement[[#This Row],[Tonnes_t]]="",tblMovement[[#This Row],[Grade_gpt]]=""),0,tblMovement[[#This Row],[Tonnes_t]]*tblMovement[[#This Row],[Grade_gpt]]/cfg_TroyOz)</f>
        <v/>
      </c>
      <c r="O2152" s="59">
        <f>IF(tblMovement[[#This Row],[Is_Ore]]=1,tblMovement[[#This Row],[Contained_oz]],0)</f>
        <v/>
      </c>
    </row>
    <row r="2153">
      <c r="A2153" s="54" t="n"/>
      <c r="B2153" s="61" t="n"/>
      <c r="C2153" s="61" t="n"/>
      <c r="D2153" s="61" t="n"/>
      <c r="E2153" s="61" t="n"/>
      <c r="F2153" s="55" t="n"/>
      <c r="G2153" s="56" t="n"/>
      <c r="H2153" s="55" t="n"/>
      <c r="I2153" s="62" t="n"/>
      <c r="J2153" s="58" t="n"/>
      <c r="K2153" s="63">
        <f>IF(tblMovement[[#This Row],[Source]]="","",IFERROR(INDEX(tblSources[Type],MATCH(tblMovement[[#This Row],[Source]],tblSources[Source],0)),"?"))</f>
        <v/>
      </c>
      <c r="L2153" s="63">
        <f>IF(tblMovement[[#This Row],[Destination]]="","",IFERROR(INDEX(tblDestinations[Type],MATCH(tblMovement[[#This Row],[Destination]],tblDestinations[Destination],0)),"?"))</f>
        <v/>
      </c>
      <c r="M2153" s="64">
        <f>IF(tblMovement[[#This Row],[Material]]="","",IF(LEFT(tblMovement[[#This Row],[Material]],3)="Ore",1,0))</f>
        <v/>
      </c>
      <c r="N2153" s="59">
        <f>IF(OR(tblMovement[[#This Row],[Tonnes_t]]="",tblMovement[[#This Row],[Grade_gpt]]=""),0,tblMovement[[#This Row],[Tonnes_t]]*tblMovement[[#This Row],[Grade_gpt]]/cfg_TroyOz)</f>
        <v/>
      </c>
      <c r="O2153" s="59">
        <f>IF(tblMovement[[#This Row],[Is_Ore]]=1,tblMovement[[#This Row],[Contained_oz]],0)</f>
        <v/>
      </c>
    </row>
    <row r="2154">
      <c r="A2154" s="54" t="n"/>
      <c r="B2154" s="61" t="n"/>
      <c r="C2154" s="61" t="n"/>
      <c r="D2154" s="61" t="n"/>
      <c r="E2154" s="61" t="n"/>
      <c r="F2154" s="55" t="n"/>
      <c r="G2154" s="56" t="n"/>
      <c r="H2154" s="55" t="n"/>
      <c r="I2154" s="62" t="n"/>
      <c r="J2154" s="58" t="n"/>
      <c r="K2154" s="63">
        <f>IF(tblMovement[[#This Row],[Source]]="","",IFERROR(INDEX(tblSources[Type],MATCH(tblMovement[[#This Row],[Source]],tblSources[Source],0)),"?"))</f>
        <v/>
      </c>
      <c r="L2154" s="63">
        <f>IF(tblMovement[[#This Row],[Destination]]="","",IFERROR(INDEX(tblDestinations[Type],MATCH(tblMovement[[#This Row],[Destination]],tblDestinations[Destination],0)),"?"))</f>
        <v/>
      </c>
      <c r="M2154" s="64">
        <f>IF(tblMovement[[#This Row],[Material]]="","",IF(LEFT(tblMovement[[#This Row],[Material]],3)="Ore",1,0))</f>
        <v/>
      </c>
      <c r="N2154" s="59">
        <f>IF(OR(tblMovement[[#This Row],[Tonnes_t]]="",tblMovement[[#This Row],[Grade_gpt]]=""),0,tblMovement[[#This Row],[Tonnes_t]]*tblMovement[[#This Row],[Grade_gpt]]/cfg_TroyOz)</f>
        <v/>
      </c>
      <c r="O2154" s="59">
        <f>IF(tblMovement[[#This Row],[Is_Ore]]=1,tblMovement[[#This Row],[Contained_oz]],0)</f>
        <v/>
      </c>
    </row>
    <row r="2155">
      <c r="A2155" s="54" t="n"/>
      <c r="B2155" s="61" t="n"/>
      <c r="C2155" s="61" t="n"/>
      <c r="D2155" s="61" t="n"/>
      <c r="E2155" s="61" t="n"/>
      <c r="F2155" s="55" t="n"/>
      <c r="G2155" s="56" t="n"/>
      <c r="H2155" s="55" t="n"/>
      <c r="I2155" s="62" t="n"/>
      <c r="J2155" s="58" t="n"/>
      <c r="K2155" s="63">
        <f>IF(tblMovement[[#This Row],[Source]]="","",IFERROR(INDEX(tblSources[Type],MATCH(tblMovement[[#This Row],[Source]],tblSources[Source],0)),"?"))</f>
        <v/>
      </c>
      <c r="L2155" s="63">
        <f>IF(tblMovement[[#This Row],[Destination]]="","",IFERROR(INDEX(tblDestinations[Type],MATCH(tblMovement[[#This Row],[Destination]],tblDestinations[Destination],0)),"?"))</f>
        <v/>
      </c>
      <c r="M2155" s="64">
        <f>IF(tblMovement[[#This Row],[Material]]="","",IF(LEFT(tblMovement[[#This Row],[Material]],3)="Ore",1,0))</f>
        <v/>
      </c>
      <c r="N2155" s="59">
        <f>IF(OR(tblMovement[[#This Row],[Tonnes_t]]="",tblMovement[[#This Row],[Grade_gpt]]=""),0,tblMovement[[#This Row],[Tonnes_t]]*tblMovement[[#This Row],[Grade_gpt]]/cfg_TroyOz)</f>
        <v/>
      </c>
      <c r="O2155" s="59">
        <f>IF(tblMovement[[#This Row],[Is_Ore]]=1,tblMovement[[#This Row],[Contained_oz]],0)</f>
        <v/>
      </c>
    </row>
    <row r="2156">
      <c r="A2156" s="54" t="n"/>
      <c r="B2156" s="61" t="n"/>
      <c r="C2156" s="61" t="n"/>
      <c r="D2156" s="61" t="n"/>
      <c r="E2156" s="61" t="n"/>
      <c r="F2156" s="55" t="n"/>
      <c r="G2156" s="56" t="n"/>
      <c r="H2156" s="55" t="n"/>
      <c r="I2156" s="62" t="n"/>
      <c r="J2156" s="58" t="n"/>
      <c r="K2156" s="63">
        <f>IF(tblMovement[[#This Row],[Source]]="","",IFERROR(INDEX(tblSources[Type],MATCH(tblMovement[[#This Row],[Source]],tblSources[Source],0)),"?"))</f>
        <v/>
      </c>
      <c r="L2156" s="63">
        <f>IF(tblMovement[[#This Row],[Destination]]="","",IFERROR(INDEX(tblDestinations[Type],MATCH(tblMovement[[#This Row],[Destination]],tblDestinations[Destination],0)),"?"))</f>
        <v/>
      </c>
      <c r="M2156" s="64">
        <f>IF(tblMovement[[#This Row],[Material]]="","",IF(LEFT(tblMovement[[#This Row],[Material]],3)="Ore",1,0))</f>
        <v/>
      </c>
      <c r="N2156" s="59">
        <f>IF(OR(tblMovement[[#This Row],[Tonnes_t]]="",tblMovement[[#This Row],[Grade_gpt]]=""),0,tblMovement[[#This Row],[Tonnes_t]]*tblMovement[[#This Row],[Grade_gpt]]/cfg_TroyOz)</f>
        <v/>
      </c>
      <c r="O2156" s="59">
        <f>IF(tblMovement[[#This Row],[Is_Ore]]=1,tblMovement[[#This Row],[Contained_oz]],0)</f>
        <v/>
      </c>
    </row>
    <row r="2157">
      <c r="A2157" s="54" t="n"/>
      <c r="B2157" s="61" t="n"/>
      <c r="C2157" s="61" t="n"/>
      <c r="D2157" s="61" t="n"/>
      <c r="E2157" s="61" t="n"/>
      <c r="F2157" s="55" t="n"/>
      <c r="G2157" s="56" t="n"/>
      <c r="H2157" s="55" t="n"/>
      <c r="I2157" s="62" t="n"/>
      <c r="J2157" s="58" t="n"/>
      <c r="K2157" s="63">
        <f>IF(tblMovement[[#This Row],[Source]]="","",IFERROR(INDEX(tblSources[Type],MATCH(tblMovement[[#This Row],[Source]],tblSources[Source],0)),"?"))</f>
        <v/>
      </c>
      <c r="L2157" s="63">
        <f>IF(tblMovement[[#This Row],[Destination]]="","",IFERROR(INDEX(tblDestinations[Type],MATCH(tblMovement[[#This Row],[Destination]],tblDestinations[Destination],0)),"?"))</f>
        <v/>
      </c>
      <c r="M2157" s="64">
        <f>IF(tblMovement[[#This Row],[Material]]="","",IF(LEFT(tblMovement[[#This Row],[Material]],3)="Ore",1,0))</f>
        <v/>
      </c>
      <c r="N2157" s="59">
        <f>IF(OR(tblMovement[[#This Row],[Tonnes_t]]="",tblMovement[[#This Row],[Grade_gpt]]=""),0,tblMovement[[#This Row],[Tonnes_t]]*tblMovement[[#This Row],[Grade_gpt]]/cfg_TroyOz)</f>
        <v/>
      </c>
      <c r="O2157" s="59">
        <f>IF(tblMovement[[#This Row],[Is_Ore]]=1,tblMovement[[#This Row],[Contained_oz]],0)</f>
        <v/>
      </c>
    </row>
    <row r="2158">
      <c r="A2158" s="54" t="n"/>
      <c r="B2158" s="61" t="n"/>
      <c r="C2158" s="61" t="n"/>
      <c r="D2158" s="61" t="n"/>
      <c r="E2158" s="61" t="n"/>
      <c r="F2158" s="55" t="n"/>
      <c r="G2158" s="56" t="n"/>
      <c r="H2158" s="55" t="n"/>
      <c r="I2158" s="62" t="n"/>
      <c r="J2158" s="58" t="n"/>
      <c r="K2158" s="63">
        <f>IF(tblMovement[[#This Row],[Source]]="","",IFERROR(INDEX(tblSources[Type],MATCH(tblMovement[[#This Row],[Source]],tblSources[Source],0)),"?"))</f>
        <v/>
      </c>
      <c r="L2158" s="63">
        <f>IF(tblMovement[[#This Row],[Destination]]="","",IFERROR(INDEX(tblDestinations[Type],MATCH(tblMovement[[#This Row],[Destination]],tblDestinations[Destination],0)),"?"))</f>
        <v/>
      </c>
      <c r="M2158" s="64">
        <f>IF(tblMovement[[#This Row],[Material]]="","",IF(LEFT(tblMovement[[#This Row],[Material]],3)="Ore",1,0))</f>
        <v/>
      </c>
      <c r="N2158" s="59">
        <f>IF(OR(tblMovement[[#This Row],[Tonnes_t]]="",tblMovement[[#This Row],[Grade_gpt]]=""),0,tblMovement[[#This Row],[Tonnes_t]]*tblMovement[[#This Row],[Grade_gpt]]/cfg_TroyOz)</f>
        <v/>
      </c>
      <c r="O2158" s="59">
        <f>IF(tblMovement[[#This Row],[Is_Ore]]=1,tblMovement[[#This Row],[Contained_oz]],0)</f>
        <v/>
      </c>
    </row>
    <row r="2159">
      <c r="A2159" s="54" t="n"/>
      <c r="B2159" s="61" t="n"/>
      <c r="C2159" s="61" t="n"/>
      <c r="D2159" s="61" t="n"/>
      <c r="E2159" s="61" t="n"/>
      <c r="F2159" s="55" t="n"/>
      <c r="G2159" s="56" t="n"/>
      <c r="H2159" s="55" t="n"/>
      <c r="I2159" s="62" t="n"/>
      <c r="J2159" s="58" t="n"/>
      <c r="K2159" s="63">
        <f>IF(tblMovement[[#This Row],[Source]]="","",IFERROR(INDEX(tblSources[Type],MATCH(tblMovement[[#This Row],[Source]],tblSources[Source],0)),"?"))</f>
        <v/>
      </c>
      <c r="L2159" s="63">
        <f>IF(tblMovement[[#This Row],[Destination]]="","",IFERROR(INDEX(tblDestinations[Type],MATCH(tblMovement[[#This Row],[Destination]],tblDestinations[Destination],0)),"?"))</f>
        <v/>
      </c>
      <c r="M2159" s="64">
        <f>IF(tblMovement[[#This Row],[Material]]="","",IF(LEFT(tblMovement[[#This Row],[Material]],3)="Ore",1,0))</f>
        <v/>
      </c>
      <c r="N2159" s="59">
        <f>IF(OR(tblMovement[[#This Row],[Tonnes_t]]="",tblMovement[[#This Row],[Grade_gpt]]=""),0,tblMovement[[#This Row],[Tonnes_t]]*tblMovement[[#This Row],[Grade_gpt]]/cfg_TroyOz)</f>
        <v/>
      </c>
      <c r="O2159" s="59">
        <f>IF(tblMovement[[#This Row],[Is_Ore]]=1,tblMovement[[#This Row],[Contained_oz]],0)</f>
        <v/>
      </c>
    </row>
    <row r="2160">
      <c r="A2160" s="54" t="n"/>
      <c r="B2160" s="61" t="n"/>
      <c r="C2160" s="61" t="n"/>
      <c r="D2160" s="61" t="n"/>
      <c r="E2160" s="61" t="n"/>
      <c r="F2160" s="55" t="n"/>
      <c r="G2160" s="56" t="n"/>
      <c r="H2160" s="55" t="n"/>
      <c r="I2160" s="62" t="n"/>
      <c r="J2160" s="58" t="n"/>
      <c r="K2160" s="63">
        <f>IF(tblMovement[[#This Row],[Source]]="","",IFERROR(INDEX(tblSources[Type],MATCH(tblMovement[[#This Row],[Source]],tblSources[Source],0)),"?"))</f>
        <v/>
      </c>
      <c r="L2160" s="63">
        <f>IF(tblMovement[[#This Row],[Destination]]="","",IFERROR(INDEX(tblDestinations[Type],MATCH(tblMovement[[#This Row],[Destination]],tblDestinations[Destination],0)),"?"))</f>
        <v/>
      </c>
      <c r="M2160" s="64">
        <f>IF(tblMovement[[#This Row],[Material]]="","",IF(LEFT(tblMovement[[#This Row],[Material]],3)="Ore",1,0))</f>
        <v/>
      </c>
      <c r="N2160" s="59">
        <f>IF(OR(tblMovement[[#This Row],[Tonnes_t]]="",tblMovement[[#This Row],[Grade_gpt]]=""),0,tblMovement[[#This Row],[Tonnes_t]]*tblMovement[[#This Row],[Grade_gpt]]/cfg_TroyOz)</f>
        <v/>
      </c>
      <c r="O2160" s="59">
        <f>IF(tblMovement[[#This Row],[Is_Ore]]=1,tblMovement[[#This Row],[Contained_oz]],0)</f>
        <v/>
      </c>
    </row>
    <row r="2161">
      <c r="A2161" s="54" t="n"/>
      <c r="B2161" s="61" t="n"/>
      <c r="C2161" s="61" t="n"/>
      <c r="D2161" s="61" t="n"/>
      <c r="E2161" s="61" t="n"/>
      <c r="F2161" s="55" t="n"/>
      <c r="G2161" s="56" t="n"/>
      <c r="H2161" s="55" t="n"/>
      <c r="I2161" s="62" t="n"/>
      <c r="J2161" s="58" t="n"/>
      <c r="K2161" s="63">
        <f>IF(tblMovement[[#This Row],[Source]]="","",IFERROR(INDEX(tblSources[Type],MATCH(tblMovement[[#This Row],[Source]],tblSources[Source],0)),"?"))</f>
        <v/>
      </c>
      <c r="L2161" s="63">
        <f>IF(tblMovement[[#This Row],[Destination]]="","",IFERROR(INDEX(tblDestinations[Type],MATCH(tblMovement[[#This Row],[Destination]],tblDestinations[Destination],0)),"?"))</f>
        <v/>
      </c>
      <c r="M2161" s="64">
        <f>IF(tblMovement[[#This Row],[Material]]="","",IF(LEFT(tblMovement[[#This Row],[Material]],3)="Ore",1,0))</f>
        <v/>
      </c>
      <c r="N2161" s="59">
        <f>IF(OR(tblMovement[[#This Row],[Tonnes_t]]="",tblMovement[[#This Row],[Grade_gpt]]=""),0,tblMovement[[#This Row],[Tonnes_t]]*tblMovement[[#This Row],[Grade_gpt]]/cfg_TroyOz)</f>
        <v/>
      </c>
      <c r="O2161" s="59">
        <f>IF(tblMovement[[#This Row],[Is_Ore]]=1,tblMovement[[#This Row],[Contained_oz]],0)</f>
        <v/>
      </c>
    </row>
    <row r="2162">
      <c r="A2162" s="54" t="n"/>
      <c r="B2162" s="61" t="n"/>
      <c r="C2162" s="61" t="n"/>
      <c r="D2162" s="61" t="n"/>
      <c r="E2162" s="61" t="n"/>
      <c r="F2162" s="55" t="n"/>
      <c r="G2162" s="56" t="n"/>
      <c r="H2162" s="55" t="n"/>
      <c r="I2162" s="62" t="n"/>
      <c r="J2162" s="58" t="n"/>
      <c r="K2162" s="63">
        <f>IF(tblMovement[[#This Row],[Source]]="","",IFERROR(INDEX(tblSources[Type],MATCH(tblMovement[[#This Row],[Source]],tblSources[Source],0)),"?"))</f>
        <v/>
      </c>
      <c r="L2162" s="63">
        <f>IF(tblMovement[[#This Row],[Destination]]="","",IFERROR(INDEX(tblDestinations[Type],MATCH(tblMovement[[#This Row],[Destination]],tblDestinations[Destination],0)),"?"))</f>
        <v/>
      </c>
      <c r="M2162" s="64">
        <f>IF(tblMovement[[#This Row],[Material]]="","",IF(LEFT(tblMovement[[#This Row],[Material]],3)="Ore",1,0))</f>
        <v/>
      </c>
      <c r="N2162" s="59">
        <f>IF(OR(tblMovement[[#This Row],[Tonnes_t]]="",tblMovement[[#This Row],[Grade_gpt]]=""),0,tblMovement[[#This Row],[Tonnes_t]]*tblMovement[[#This Row],[Grade_gpt]]/cfg_TroyOz)</f>
        <v/>
      </c>
      <c r="O2162" s="59">
        <f>IF(tblMovement[[#This Row],[Is_Ore]]=1,tblMovement[[#This Row],[Contained_oz]],0)</f>
        <v/>
      </c>
    </row>
    <row r="2163">
      <c r="A2163" s="54" t="n"/>
      <c r="B2163" s="61" t="n"/>
      <c r="C2163" s="61" t="n"/>
      <c r="D2163" s="61" t="n"/>
      <c r="E2163" s="61" t="n"/>
      <c r="F2163" s="55" t="n"/>
      <c r="G2163" s="56" t="n"/>
      <c r="H2163" s="55" t="n"/>
      <c r="I2163" s="62" t="n"/>
      <c r="J2163" s="58" t="n"/>
      <c r="K2163" s="63">
        <f>IF(tblMovement[[#This Row],[Source]]="","",IFERROR(INDEX(tblSources[Type],MATCH(tblMovement[[#This Row],[Source]],tblSources[Source],0)),"?"))</f>
        <v/>
      </c>
      <c r="L2163" s="63">
        <f>IF(tblMovement[[#This Row],[Destination]]="","",IFERROR(INDEX(tblDestinations[Type],MATCH(tblMovement[[#This Row],[Destination]],tblDestinations[Destination],0)),"?"))</f>
        <v/>
      </c>
      <c r="M2163" s="64">
        <f>IF(tblMovement[[#This Row],[Material]]="","",IF(LEFT(tblMovement[[#This Row],[Material]],3)="Ore",1,0))</f>
        <v/>
      </c>
      <c r="N2163" s="59">
        <f>IF(OR(tblMovement[[#This Row],[Tonnes_t]]="",tblMovement[[#This Row],[Grade_gpt]]=""),0,tblMovement[[#This Row],[Tonnes_t]]*tblMovement[[#This Row],[Grade_gpt]]/cfg_TroyOz)</f>
        <v/>
      </c>
      <c r="O2163" s="59">
        <f>IF(tblMovement[[#This Row],[Is_Ore]]=1,tblMovement[[#This Row],[Contained_oz]],0)</f>
        <v/>
      </c>
    </row>
    <row r="2164">
      <c r="A2164" s="54" t="n"/>
      <c r="B2164" s="61" t="n"/>
      <c r="C2164" s="61" t="n"/>
      <c r="D2164" s="61" t="n"/>
      <c r="E2164" s="61" t="n"/>
      <c r="F2164" s="55" t="n"/>
      <c r="G2164" s="56" t="n"/>
      <c r="H2164" s="55" t="n"/>
      <c r="I2164" s="62" t="n"/>
      <c r="J2164" s="58" t="n"/>
      <c r="K2164" s="63">
        <f>IF(tblMovement[[#This Row],[Source]]="","",IFERROR(INDEX(tblSources[Type],MATCH(tblMovement[[#This Row],[Source]],tblSources[Source],0)),"?"))</f>
        <v/>
      </c>
      <c r="L2164" s="63">
        <f>IF(tblMovement[[#This Row],[Destination]]="","",IFERROR(INDEX(tblDestinations[Type],MATCH(tblMovement[[#This Row],[Destination]],tblDestinations[Destination],0)),"?"))</f>
        <v/>
      </c>
      <c r="M2164" s="64">
        <f>IF(tblMovement[[#This Row],[Material]]="","",IF(LEFT(tblMovement[[#This Row],[Material]],3)="Ore",1,0))</f>
        <v/>
      </c>
      <c r="N2164" s="59">
        <f>IF(OR(tblMovement[[#This Row],[Tonnes_t]]="",tblMovement[[#This Row],[Grade_gpt]]=""),0,tblMovement[[#This Row],[Tonnes_t]]*tblMovement[[#This Row],[Grade_gpt]]/cfg_TroyOz)</f>
        <v/>
      </c>
      <c r="O2164" s="59">
        <f>IF(tblMovement[[#This Row],[Is_Ore]]=1,tblMovement[[#This Row],[Contained_oz]],0)</f>
        <v/>
      </c>
    </row>
    <row r="2165">
      <c r="A2165" s="54" t="n"/>
      <c r="B2165" s="61" t="n"/>
      <c r="C2165" s="61" t="n"/>
      <c r="D2165" s="61" t="n"/>
      <c r="E2165" s="61" t="n"/>
      <c r="F2165" s="55" t="n"/>
      <c r="G2165" s="56" t="n"/>
      <c r="H2165" s="55" t="n"/>
      <c r="I2165" s="62" t="n"/>
      <c r="J2165" s="58" t="n"/>
      <c r="K2165" s="63">
        <f>IF(tblMovement[[#This Row],[Source]]="","",IFERROR(INDEX(tblSources[Type],MATCH(tblMovement[[#This Row],[Source]],tblSources[Source],0)),"?"))</f>
        <v/>
      </c>
      <c r="L2165" s="63">
        <f>IF(tblMovement[[#This Row],[Destination]]="","",IFERROR(INDEX(tblDestinations[Type],MATCH(tblMovement[[#This Row],[Destination]],tblDestinations[Destination],0)),"?"))</f>
        <v/>
      </c>
      <c r="M2165" s="64">
        <f>IF(tblMovement[[#This Row],[Material]]="","",IF(LEFT(tblMovement[[#This Row],[Material]],3)="Ore",1,0))</f>
        <v/>
      </c>
      <c r="N2165" s="59">
        <f>IF(OR(tblMovement[[#This Row],[Tonnes_t]]="",tblMovement[[#This Row],[Grade_gpt]]=""),0,tblMovement[[#This Row],[Tonnes_t]]*tblMovement[[#This Row],[Grade_gpt]]/cfg_TroyOz)</f>
        <v/>
      </c>
      <c r="O2165" s="59">
        <f>IF(tblMovement[[#This Row],[Is_Ore]]=1,tblMovement[[#This Row],[Contained_oz]],0)</f>
        <v/>
      </c>
    </row>
    <row r="2166">
      <c r="A2166" s="54" t="n"/>
      <c r="B2166" s="61" t="n"/>
      <c r="C2166" s="61" t="n"/>
      <c r="D2166" s="61" t="n"/>
      <c r="E2166" s="61" t="n"/>
      <c r="F2166" s="55" t="n"/>
      <c r="G2166" s="56" t="n"/>
      <c r="H2166" s="55" t="n"/>
      <c r="I2166" s="62" t="n"/>
      <c r="J2166" s="58" t="n"/>
      <c r="K2166" s="63">
        <f>IF(tblMovement[[#This Row],[Source]]="","",IFERROR(INDEX(tblSources[Type],MATCH(tblMovement[[#This Row],[Source]],tblSources[Source],0)),"?"))</f>
        <v/>
      </c>
      <c r="L2166" s="63">
        <f>IF(tblMovement[[#This Row],[Destination]]="","",IFERROR(INDEX(tblDestinations[Type],MATCH(tblMovement[[#This Row],[Destination]],tblDestinations[Destination],0)),"?"))</f>
        <v/>
      </c>
      <c r="M2166" s="64">
        <f>IF(tblMovement[[#This Row],[Material]]="","",IF(LEFT(tblMovement[[#This Row],[Material]],3)="Ore",1,0))</f>
        <v/>
      </c>
      <c r="N2166" s="59">
        <f>IF(OR(tblMovement[[#This Row],[Tonnes_t]]="",tblMovement[[#This Row],[Grade_gpt]]=""),0,tblMovement[[#This Row],[Tonnes_t]]*tblMovement[[#This Row],[Grade_gpt]]/cfg_TroyOz)</f>
        <v/>
      </c>
      <c r="O2166" s="59">
        <f>IF(tblMovement[[#This Row],[Is_Ore]]=1,tblMovement[[#This Row],[Contained_oz]],0)</f>
        <v/>
      </c>
    </row>
    <row r="2167">
      <c r="A2167" s="54" t="n"/>
      <c r="B2167" s="61" t="n"/>
      <c r="C2167" s="61" t="n"/>
      <c r="D2167" s="61" t="n"/>
      <c r="E2167" s="61" t="n"/>
      <c r="F2167" s="55" t="n"/>
      <c r="G2167" s="56" t="n"/>
      <c r="H2167" s="55" t="n"/>
      <c r="I2167" s="62" t="n"/>
      <c r="J2167" s="58" t="n"/>
      <c r="K2167" s="63">
        <f>IF(tblMovement[[#This Row],[Source]]="","",IFERROR(INDEX(tblSources[Type],MATCH(tblMovement[[#This Row],[Source]],tblSources[Source],0)),"?"))</f>
        <v/>
      </c>
      <c r="L2167" s="63">
        <f>IF(tblMovement[[#This Row],[Destination]]="","",IFERROR(INDEX(tblDestinations[Type],MATCH(tblMovement[[#This Row],[Destination]],tblDestinations[Destination],0)),"?"))</f>
        <v/>
      </c>
      <c r="M2167" s="64">
        <f>IF(tblMovement[[#This Row],[Material]]="","",IF(LEFT(tblMovement[[#This Row],[Material]],3)="Ore",1,0))</f>
        <v/>
      </c>
      <c r="N2167" s="59">
        <f>IF(OR(tblMovement[[#This Row],[Tonnes_t]]="",tblMovement[[#This Row],[Grade_gpt]]=""),0,tblMovement[[#This Row],[Tonnes_t]]*tblMovement[[#This Row],[Grade_gpt]]/cfg_TroyOz)</f>
        <v/>
      </c>
      <c r="O2167" s="59">
        <f>IF(tblMovement[[#This Row],[Is_Ore]]=1,tblMovement[[#This Row],[Contained_oz]],0)</f>
        <v/>
      </c>
    </row>
    <row r="2168">
      <c r="A2168" s="54" t="n"/>
      <c r="B2168" s="61" t="n"/>
      <c r="C2168" s="61" t="n"/>
      <c r="D2168" s="61" t="n"/>
      <c r="E2168" s="61" t="n"/>
      <c r="F2168" s="55" t="n"/>
      <c r="G2168" s="56" t="n"/>
      <c r="H2168" s="55" t="n"/>
      <c r="I2168" s="62" t="n"/>
      <c r="J2168" s="58" t="n"/>
      <c r="K2168" s="63">
        <f>IF(tblMovement[[#This Row],[Source]]="","",IFERROR(INDEX(tblSources[Type],MATCH(tblMovement[[#This Row],[Source]],tblSources[Source],0)),"?"))</f>
        <v/>
      </c>
      <c r="L2168" s="63">
        <f>IF(tblMovement[[#This Row],[Destination]]="","",IFERROR(INDEX(tblDestinations[Type],MATCH(tblMovement[[#This Row],[Destination]],tblDestinations[Destination],0)),"?"))</f>
        <v/>
      </c>
      <c r="M2168" s="64">
        <f>IF(tblMovement[[#This Row],[Material]]="","",IF(LEFT(tblMovement[[#This Row],[Material]],3)="Ore",1,0))</f>
        <v/>
      </c>
      <c r="N2168" s="59">
        <f>IF(OR(tblMovement[[#This Row],[Tonnes_t]]="",tblMovement[[#This Row],[Grade_gpt]]=""),0,tblMovement[[#This Row],[Tonnes_t]]*tblMovement[[#This Row],[Grade_gpt]]/cfg_TroyOz)</f>
        <v/>
      </c>
      <c r="O2168" s="59">
        <f>IF(tblMovement[[#This Row],[Is_Ore]]=1,tblMovement[[#This Row],[Contained_oz]],0)</f>
        <v/>
      </c>
    </row>
    <row r="2169">
      <c r="A2169" s="54" t="n"/>
      <c r="B2169" s="61" t="n"/>
      <c r="C2169" s="61" t="n"/>
      <c r="D2169" s="61" t="n"/>
      <c r="E2169" s="61" t="n"/>
      <c r="F2169" s="55" t="n"/>
      <c r="G2169" s="56" t="n"/>
      <c r="H2169" s="55" t="n"/>
      <c r="I2169" s="62" t="n"/>
      <c r="J2169" s="58" t="n"/>
      <c r="K2169" s="63">
        <f>IF(tblMovement[[#This Row],[Source]]="","",IFERROR(INDEX(tblSources[Type],MATCH(tblMovement[[#This Row],[Source]],tblSources[Source],0)),"?"))</f>
        <v/>
      </c>
      <c r="L2169" s="63">
        <f>IF(tblMovement[[#This Row],[Destination]]="","",IFERROR(INDEX(tblDestinations[Type],MATCH(tblMovement[[#This Row],[Destination]],tblDestinations[Destination],0)),"?"))</f>
        <v/>
      </c>
      <c r="M2169" s="64">
        <f>IF(tblMovement[[#This Row],[Material]]="","",IF(LEFT(tblMovement[[#This Row],[Material]],3)="Ore",1,0))</f>
        <v/>
      </c>
      <c r="N2169" s="59">
        <f>IF(OR(tblMovement[[#This Row],[Tonnes_t]]="",tblMovement[[#This Row],[Grade_gpt]]=""),0,tblMovement[[#This Row],[Tonnes_t]]*tblMovement[[#This Row],[Grade_gpt]]/cfg_TroyOz)</f>
        <v/>
      </c>
      <c r="O2169" s="59">
        <f>IF(tblMovement[[#This Row],[Is_Ore]]=1,tblMovement[[#This Row],[Contained_oz]],0)</f>
        <v/>
      </c>
    </row>
    <row r="2170">
      <c r="A2170" s="54" t="n"/>
      <c r="B2170" s="61" t="n"/>
      <c r="C2170" s="61" t="n"/>
      <c r="D2170" s="61" t="n"/>
      <c r="E2170" s="61" t="n"/>
      <c r="F2170" s="55" t="n"/>
      <c r="G2170" s="56" t="n"/>
      <c r="H2170" s="55" t="n"/>
      <c r="I2170" s="62" t="n"/>
      <c r="J2170" s="58" t="n"/>
      <c r="K2170" s="63">
        <f>IF(tblMovement[[#This Row],[Source]]="","",IFERROR(INDEX(tblSources[Type],MATCH(tblMovement[[#This Row],[Source]],tblSources[Source],0)),"?"))</f>
        <v/>
      </c>
      <c r="L2170" s="63">
        <f>IF(tblMovement[[#This Row],[Destination]]="","",IFERROR(INDEX(tblDestinations[Type],MATCH(tblMovement[[#This Row],[Destination]],tblDestinations[Destination],0)),"?"))</f>
        <v/>
      </c>
      <c r="M2170" s="64">
        <f>IF(tblMovement[[#This Row],[Material]]="","",IF(LEFT(tblMovement[[#This Row],[Material]],3)="Ore",1,0))</f>
        <v/>
      </c>
      <c r="N2170" s="59">
        <f>IF(OR(tblMovement[[#This Row],[Tonnes_t]]="",tblMovement[[#This Row],[Grade_gpt]]=""),0,tblMovement[[#This Row],[Tonnes_t]]*tblMovement[[#This Row],[Grade_gpt]]/cfg_TroyOz)</f>
        <v/>
      </c>
      <c r="O2170" s="59">
        <f>IF(tblMovement[[#This Row],[Is_Ore]]=1,tblMovement[[#This Row],[Contained_oz]],0)</f>
        <v/>
      </c>
    </row>
    <row r="2171">
      <c r="A2171" s="54" t="n"/>
      <c r="B2171" s="61" t="n"/>
      <c r="C2171" s="61" t="n"/>
      <c r="D2171" s="61" t="n"/>
      <c r="E2171" s="61" t="n"/>
      <c r="F2171" s="55" t="n"/>
      <c r="G2171" s="56" t="n"/>
      <c r="H2171" s="55" t="n"/>
      <c r="I2171" s="62" t="n"/>
      <c r="J2171" s="58" t="n"/>
      <c r="K2171" s="63">
        <f>IF(tblMovement[[#This Row],[Source]]="","",IFERROR(INDEX(tblSources[Type],MATCH(tblMovement[[#This Row],[Source]],tblSources[Source],0)),"?"))</f>
        <v/>
      </c>
      <c r="L2171" s="63">
        <f>IF(tblMovement[[#This Row],[Destination]]="","",IFERROR(INDEX(tblDestinations[Type],MATCH(tblMovement[[#This Row],[Destination]],tblDestinations[Destination],0)),"?"))</f>
        <v/>
      </c>
      <c r="M2171" s="64">
        <f>IF(tblMovement[[#This Row],[Material]]="","",IF(LEFT(tblMovement[[#This Row],[Material]],3)="Ore",1,0))</f>
        <v/>
      </c>
      <c r="N2171" s="59">
        <f>IF(OR(tblMovement[[#This Row],[Tonnes_t]]="",tblMovement[[#This Row],[Grade_gpt]]=""),0,tblMovement[[#This Row],[Tonnes_t]]*tblMovement[[#This Row],[Grade_gpt]]/cfg_TroyOz)</f>
        <v/>
      </c>
      <c r="O2171" s="59">
        <f>IF(tblMovement[[#This Row],[Is_Ore]]=1,tblMovement[[#This Row],[Contained_oz]],0)</f>
        <v/>
      </c>
    </row>
    <row r="2172">
      <c r="A2172" s="54" t="n"/>
      <c r="B2172" s="61" t="n"/>
      <c r="C2172" s="61" t="n"/>
      <c r="D2172" s="61" t="n"/>
      <c r="E2172" s="61" t="n"/>
      <c r="F2172" s="55" t="n"/>
      <c r="G2172" s="56" t="n"/>
      <c r="H2172" s="55" t="n"/>
      <c r="I2172" s="62" t="n"/>
      <c r="J2172" s="58" t="n"/>
      <c r="K2172" s="63">
        <f>IF(tblMovement[[#This Row],[Source]]="","",IFERROR(INDEX(tblSources[Type],MATCH(tblMovement[[#This Row],[Source]],tblSources[Source],0)),"?"))</f>
        <v/>
      </c>
      <c r="L2172" s="63">
        <f>IF(tblMovement[[#This Row],[Destination]]="","",IFERROR(INDEX(tblDestinations[Type],MATCH(tblMovement[[#This Row],[Destination]],tblDestinations[Destination],0)),"?"))</f>
        <v/>
      </c>
      <c r="M2172" s="64">
        <f>IF(tblMovement[[#This Row],[Material]]="","",IF(LEFT(tblMovement[[#This Row],[Material]],3)="Ore",1,0))</f>
        <v/>
      </c>
      <c r="N2172" s="59">
        <f>IF(OR(tblMovement[[#This Row],[Tonnes_t]]="",tblMovement[[#This Row],[Grade_gpt]]=""),0,tblMovement[[#This Row],[Tonnes_t]]*tblMovement[[#This Row],[Grade_gpt]]/cfg_TroyOz)</f>
        <v/>
      </c>
      <c r="O2172" s="59">
        <f>IF(tblMovement[[#This Row],[Is_Ore]]=1,tblMovement[[#This Row],[Contained_oz]],0)</f>
        <v/>
      </c>
    </row>
    <row r="2173">
      <c r="A2173" s="54" t="n"/>
      <c r="B2173" s="61" t="n"/>
      <c r="C2173" s="61" t="n"/>
      <c r="D2173" s="61" t="n"/>
      <c r="E2173" s="61" t="n"/>
      <c r="F2173" s="55" t="n"/>
      <c r="G2173" s="56" t="n"/>
      <c r="H2173" s="55" t="n"/>
      <c r="I2173" s="62" t="n"/>
      <c r="J2173" s="58" t="n"/>
      <c r="K2173" s="63">
        <f>IF(tblMovement[[#This Row],[Source]]="","",IFERROR(INDEX(tblSources[Type],MATCH(tblMovement[[#This Row],[Source]],tblSources[Source],0)),"?"))</f>
        <v/>
      </c>
      <c r="L2173" s="63">
        <f>IF(tblMovement[[#This Row],[Destination]]="","",IFERROR(INDEX(tblDestinations[Type],MATCH(tblMovement[[#This Row],[Destination]],tblDestinations[Destination],0)),"?"))</f>
        <v/>
      </c>
      <c r="M2173" s="64">
        <f>IF(tblMovement[[#This Row],[Material]]="","",IF(LEFT(tblMovement[[#This Row],[Material]],3)="Ore",1,0))</f>
        <v/>
      </c>
      <c r="N2173" s="59">
        <f>IF(OR(tblMovement[[#This Row],[Tonnes_t]]="",tblMovement[[#This Row],[Grade_gpt]]=""),0,tblMovement[[#This Row],[Tonnes_t]]*tblMovement[[#This Row],[Grade_gpt]]/cfg_TroyOz)</f>
        <v/>
      </c>
      <c r="O2173" s="59">
        <f>IF(tblMovement[[#This Row],[Is_Ore]]=1,tblMovement[[#This Row],[Contained_oz]],0)</f>
        <v/>
      </c>
    </row>
    <row r="2174">
      <c r="A2174" s="54" t="n"/>
      <c r="B2174" s="61" t="n"/>
      <c r="C2174" s="61" t="n"/>
      <c r="D2174" s="61" t="n"/>
      <c r="E2174" s="61" t="n"/>
      <c r="F2174" s="55" t="n"/>
      <c r="G2174" s="56" t="n"/>
      <c r="H2174" s="55" t="n"/>
      <c r="I2174" s="62" t="n"/>
      <c r="J2174" s="58" t="n"/>
      <c r="K2174" s="63">
        <f>IF(tblMovement[[#This Row],[Source]]="","",IFERROR(INDEX(tblSources[Type],MATCH(tblMovement[[#This Row],[Source]],tblSources[Source],0)),"?"))</f>
        <v/>
      </c>
      <c r="L2174" s="63">
        <f>IF(tblMovement[[#This Row],[Destination]]="","",IFERROR(INDEX(tblDestinations[Type],MATCH(tblMovement[[#This Row],[Destination]],tblDestinations[Destination],0)),"?"))</f>
        <v/>
      </c>
      <c r="M2174" s="64">
        <f>IF(tblMovement[[#This Row],[Material]]="","",IF(LEFT(tblMovement[[#This Row],[Material]],3)="Ore",1,0))</f>
        <v/>
      </c>
      <c r="N2174" s="59">
        <f>IF(OR(tblMovement[[#This Row],[Tonnes_t]]="",tblMovement[[#This Row],[Grade_gpt]]=""),0,tblMovement[[#This Row],[Tonnes_t]]*tblMovement[[#This Row],[Grade_gpt]]/cfg_TroyOz)</f>
        <v/>
      </c>
      <c r="O2174" s="59">
        <f>IF(tblMovement[[#This Row],[Is_Ore]]=1,tblMovement[[#This Row],[Contained_oz]],0)</f>
        <v/>
      </c>
    </row>
    <row r="2175">
      <c r="A2175" s="54" t="n"/>
      <c r="B2175" s="61" t="n"/>
      <c r="C2175" s="61" t="n"/>
      <c r="D2175" s="61" t="n"/>
      <c r="E2175" s="61" t="n"/>
      <c r="F2175" s="55" t="n"/>
      <c r="G2175" s="56" t="n"/>
      <c r="H2175" s="55" t="n"/>
      <c r="I2175" s="62" t="n"/>
      <c r="J2175" s="58" t="n"/>
      <c r="K2175" s="63">
        <f>IF(tblMovement[[#This Row],[Source]]="","",IFERROR(INDEX(tblSources[Type],MATCH(tblMovement[[#This Row],[Source]],tblSources[Source],0)),"?"))</f>
        <v/>
      </c>
      <c r="L2175" s="63">
        <f>IF(tblMovement[[#This Row],[Destination]]="","",IFERROR(INDEX(tblDestinations[Type],MATCH(tblMovement[[#This Row],[Destination]],tblDestinations[Destination],0)),"?"))</f>
        <v/>
      </c>
      <c r="M2175" s="64">
        <f>IF(tblMovement[[#This Row],[Material]]="","",IF(LEFT(tblMovement[[#This Row],[Material]],3)="Ore",1,0))</f>
        <v/>
      </c>
      <c r="N2175" s="59">
        <f>IF(OR(tblMovement[[#This Row],[Tonnes_t]]="",tblMovement[[#This Row],[Grade_gpt]]=""),0,tblMovement[[#This Row],[Tonnes_t]]*tblMovement[[#This Row],[Grade_gpt]]/cfg_TroyOz)</f>
        <v/>
      </c>
      <c r="O2175" s="59">
        <f>IF(tblMovement[[#This Row],[Is_Ore]]=1,tblMovement[[#This Row],[Contained_oz]],0)</f>
        <v/>
      </c>
    </row>
    <row r="2176">
      <c r="A2176" s="54" t="n"/>
      <c r="B2176" s="61" t="n"/>
      <c r="C2176" s="61" t="n"/>
      <c r="D2176" s="61" t="n"/>
      <c r="E2176" s="61" t="n"/>
      <c r="F2176" s="55" t="n"/>
      <c r="G2176" s="56" t="n"/>
      <c r="H2176" s="55" t="n"/>
      <c r="I2176" s="62" t="n"/>
      <c r="J2176" s="58" t="n"/>
      <c r="K2176" s="63">
        <f>IF(tblMovement[[#This Row],[Source]]="","",IFERROR(INDEX(tblSources[Type],MATCH(tblMovement[[#This Row],[Source]],tblSources[Source],0)),"?"))</f>
        <v/>
      </c>
      <c r="L2176" s="63">
        <f>IF(tblMovement[[#This Row],[Destination]]="","",IFERROR(INDEX(tblDestinations[Type],MATCH(tblMovement[[#This Row],[Destination]],tblDestinations[Destination],0)),"?"))</f>
        <v/>
      </c>
      <c r="M2176" s="64">
        <f>IF(tblMovement[[#This Row],[Material]]="","",IF(LEFT(tblMovement[[#This Row],[Material]],3)="Ore",1,0))</f>
        <v/>
      </c>
      <c r="N2176" s="59">
        <f>IF(OR(tblMovement[[#This Row],[Tonnes_t]]="",tblMovement[[#This Row],[Grade_gpt]]=""),0,tblMovement[[#This Row],[Tonnes_t]]*tblMovement[[#This Row],[Grade_gpt]]/cfg_TroyOz)</f>
        <v/>
      </c>
      <c r="O2176" s="59">
        <f>IF(tblMovement[[#This Row],[Is_Ore]]=1,tblMovement[[#This Row],[Contained_oz]],0)</f>
        <v/>
      </c>
    </row>
    <row r="2177">
      <c r="A2177" s="54" t="n"/>
      <c r="B2177" s="61" t="n"/>
      <c r="C2177" s="61" t="n"/>
      <c r="D2177" s="61" t="n"/>
      <c r="E2177" s="61" t="n"/>
      <c r="F2177" s="55" t="n"/>
      <c r="G2177" s="56" t="n"/>
      <c r="H2177" s="55" t="n"/>
      <c r="I2177" s="62" t="n"/>
      <c r="J2177" s="58" t="n"/>
      <c r="K2177" s="63">
        <f>IF(tblMovement[[#This Row],[Source]]="","",IFERROR(INDEX(tblSources[Type],MATCH(tblMovement[[#This Row],[Source]],tblSources[Source],0)),"?"))</f>
        <v/>
      </c>
      <c r="L2177" s="63">
        <f>IF(tblMovement[[#This Row],[Destination]]="","",IFERROR(INDEX(tblDestinations[Type],MATCH(tblMovement[[#This Row],[Destination]],tblDestinations[Destination],0)),"?"))</f>
        <v/>
      </c>
      <c r="M2177" s="64">
        <f>IF(tblMovement[[#This Row],[Material]]="","",IF(LEFT(tblMovement[[#This Row],[Material]],3)="Ore",1,0))</f>
        <v/>
      </c>
      <c r="N2177" s="59">
        <f>IF(OR(tblMovement[[#This Row],[Tonnes_t]]="",tblMovement[[#This Row],[Grade_gpt]]=""),0,tblMovement[[#This Row],[Tonnes_t]]*tblMovement[[#This Row],[Grade_gpt]]/cfg_TroyOz)</f>
        <v/>
      </c>
      <c r="O2177" s="59">
        <f>IF(tblMovement[[#This Row],[Is_Ore]]=1,tblMovement[[#This Row],[Contained_oz]],0)</f>
        <v/>
      </c>
    </row>
    <row r="2178">
      <c r="A2178" s="54" t="n"/>
      <c r="B2178" s="61" t="n"/>
      <c r="C2178" s="61" t="n"/>
      <c r="D2178" s="61" t="n"/>
      <c r="E2178" s="61" t="n"/>
      <c r="F2178" s="55" t="n"/>
      <c r="G2178" s="56" t="n"/>
      <c r="H2178" s="55" t="n"/>
      <c r="I2178" s="62" t="n"/>
      <c r="J2178" s="58" t="n"/>
      <c r="K2178" s="63">
        <f>IF(tblMovement[[#This Row],[Source]]="","",IFERROR(INDEX(tblSources[Type],MATCH(tblMovement[[#This Row],[Source]],tblSources[Source],0)),"?"))</f>
        <v/>
      </c>
      <c r="L2178" s="63">
        <f>IF(tblMovement[[#This Row],[Destination]]="","",IFERROR(INDEX(tblDestinations[Type],MATCH(tblMovement[[#This Row],[Destination]],tblDestinations[Destination],0)),"?"))</f>
        <v/>
      </c>
      <c r="M2178" s="64">
        <f>IF(tblMovement[[#This Row],[Material]]="","",IF(LEFT(tblMovement[[#This Row],[Material]],3)="Ore",1,0))</f>
        <v/>
      </c>
      <c r="N2178" s="59">
        <f>IF(OR(tblMovement[[#This Row],[Tonnes_t]]="",tblMovement[[#This Row],[Grade_gpt]]=""),0,tblMovement[[#This Row],[Tonnes_t]]*tblMovement[[#This Row],[Grade_gpt]]/cfg_TroyOz)</f>
        <v/>
      </c>
      <c r="O2178" s="59">
        <f>IF(tblMovement[[#This Row],[Is_Ore]]=1,tblMovement[[#This Row],[Contained_oz]],0)</f>
        <v/>
      </c>
    </row>
    <row r="2179">
      <c r="A2179" s="54" t="n"/>
      <c r="B2179" s="61" t="n"/>
      <c r="C2179" s="61" t="n"/>
      <c r="D2179" s="61" t="n"/>
      <c r="E2179" s="61" t="n"/>
      <c r="F2179" s="55" t="n"/>
      <c r="G2179" s="56" t="n"/>
      <c r="H2179" s="55" t="n"/>
      <c r="I2179" s="62" t="n"/>
      <c r="J2179" s="58" t="n"/>
      <c r="K2179" s="63">
        <f>IF(tblMovement[[#This Row],[Source]]="","",IFERROR(INDEX(tblSources[Type],MATCH(tblMovement[[#This Row],[Source]],tblSources[Source],0)),"?"))</f>
        <v/>
      </c>
      <c r="L2179" s="63">
        <f>IF(tblMovement[[#This Row],[Destination]]="","",IFERROR(INDEX(tblDestinations[Type],MATCH(tblMovement[[#This Row],[Destination]],tblDestinations[Destination],0)),"?"))</f>
        <v/>
      </c>
      <c r="M2179" s="64">
        <f>IF(tblMovement[[#This Row],[Material]]="","",IF(LEFT(tblMovement[[#This Row],[Material]],3)="Ore",1,0))</f>
        <v/>
      </c>
      <c r="N2179" s="59">
        <f>IF(OR(tblMovement[[#This Row],[Tonnes_t]]="",tblMovement[[#This Row],[Grade_gpt]]=""),0,tblMovement[[#This Row],[Tonnes_t]]*tblMovement[[#This Row],[Grade_gpt]]/cfg_TroyOz)</f>
        <v/>
      </c>
      <c r="O2179" s="59">
        <f>IF(tblMovement[[#This Row],[Is_Ore]]=1,tblMovement[[#This Row],[Contained_oz]],0)</f>
        <v/>
      </c>
    </row>
    <row r="2180">
      <c r="A2180" s="54" t="n"/>
      <c r="B2180" s="61" t="n"/>
      <c r="C2180" s="61" t="n"/>
      <c r="D2180" s="61" t="n"/>
      <c r="E2180" s="61" t="n"/>
      <c r="F2180" s="55" t="n"/>
      <c r="G2180" s="56" t="n"/>
      <c r="H2180" s="55" t="n"/>
      <c r="I2180" s="62" t="n"/>
      <c r="J2180" s="58" t="n"/>
      <c r="K2180" s="63">
        <f>IF(tblMovement[[#This Row],[Source]]="","",IFERROR(INDEX(tblSources[Type],MATCH(tblMovement[[#This Row],[Source]],tblSources[Source],0)),"?"))</f>
        <v/>
      </c>
      <c r="L2180" s="63">
        <f>IF(tblMovement[[#This Row],[Destination]]="","",IFERROR(INDEX(tblDestinations[Type],MATCH(tblMovement[[#This Row],[Destination]],tblDestinations[Destination],0)),"?"))</f>
        <v/>
      </c>
      <c r="M2180" s="64">
        <f>IF(tblMovement[[#This Row],[Material]]="","",IF(LEFT(tblMovement[[#This Row],[Material]],3)="Ore",1,0))</f>
        <v/>
      </c>
      <c r="N2180" s="59">
        <f>IF(OR(tblMovement[[#This Row],[Tonnes_t]]="",tblMovement[[#This Row],[Grade_gpt]]=""),0,tblMovement[[#This Row],[Tonnes_t]]*tblMovement[[#This Row],[Grade_gpt]]/cfg_TroyOz)</f>
        <v/>
      </c>
      <c r="O2180" s="59">
        <f>IF(tblMovement[[#This Row],[Is_Ore]]=1,tblMovement[[#This Row],[Contained_oz]],0)</f>
        <v/>
      </c>
    </row>
    <row r="2181">
      <c r="A2181" s="54" t="n"/>
      <c r="B2181" s="61" t="n"/>
      <c r="C2181" s="61" t="n"/>
      <c r="D2181" s="61" t="n"/>
      <c r="E2181" s="61" t="n"/>
      <c r="F2181" s="55" t="n"/>
      <c r="G2181" s="56" t="n"/>
      <c r="H2181" s="55" t="n"/>
      <c r="I2181" s="62" t="n"/>
      <c r="J2181" s="58" t="n"/>
      <c r="K2181" s="63">
        <f>IF(tblMovement[[#This Row],[Source]]="","",IFERROR(INDEX(tblSources[Type],MATCH(tblMovement[[#This Row],[Source]],tblSources[Source],0)),"?"))</f>
        <v/>
      </c>
      <c r="L2181" s="63">
        <f>IF(tblMovement[[#This Row],[Destination]]="","",IFERROR(INDEX(tblDestinations[Type],MATCH(tblMovement[[#This Row],[Destination]],tblDestinations[Destination],0)),"?"))</f>
        <v/>
      </c>
      <c r="M2181" s="64">
        <f>IF(tblMovement[[#This Row],[Material]]="","",IF(LEFT(tblMovement[[#This Row],[Material]],3)="Ore",1,0))</f>
        <v/>
      </c>
      <c r="N2181" s="59">
        <f>IF(OR(tblMovement[[#This Row],[Tonnes_t]]="",tblMovement[[#This Row],[Grade_gpt]]=""),0,tblMovement[[#This Row],[Tonnes_t]]*tblMovement[[#This Row],[Grade_gpt]]/cfg_TroyOz)</f>
        <v/>
      </c>
      <c r="O2181" s="59">
        <f>IF(tblMovement[[#This Row],[Is_Ore]]=1,tblMovement[[#This Row],[Contained_oz]],0)</f>
        <v/>
      </c>
    </row>
    <row r="2182">
      <c r="A2182" s="54" t="n"/>
      <c r="B2182" s="61" t="n"/>
      <c r="C2182" s="61" t="n"/>
      <c r="D2182" s="61" t="n"/>
      <c r="E2182" s="61" t="n"/>
      <c r="F2182" s="55" t="n"/>
      <c r="G2182" s="56" t="n"/>
      <c r="H2182" s="55" t="n"/>
      <c r="I2182" s="62" t="n"/>
      <c r="J2182" s="58" t="n"/>
      <c r="K2182" s="63">
        <f>IF(tblMovement[[#This Row],[Source]]="","",IFERROR(INDEX(tblSources[Type],MATCH(tblMovement[[#This Row],[Source]],tblSources[Source],0)),"?"))</f>
        <v/>
      </c>
      <c r="L2182" s="63">
        <f>IF(tblMovement[[#This Row],[Destination]]="","",IFERROR(INDEX(tblDestinations[Type],MATCH(tblMovement[[#This Row],[Destination]],tblDestinations[Destination],0)),"?"))</f>
        <v/>
      </c>
      <c r="M2182" s="64">
        <f>IF(tblMovement[[#This Row],[Material]]="","",IF(LEFT(tblMovement[[#This Row],[Material]],3)="Ore",1,0))</f>
        <v/>
      </c>
      <c r="N2182" s="59">
        <f>IF(OR(tblMovement[[#This Row],[Tonnes_t]]="",tblMovement[[#This Row],[Grade_gpt]]=""),0,tblMovement[[#This Row],[Tonnes_t]]*tblMovement[[#This Row],[Grade_gpt]]/cfg_TroyOz)</f>
        <v/>
      </c>
      <c r="O2182" s="59">
        <f>IF(tblMovement[[#This Row],[Is_Ore]]=1,tblMovement[[#This Row],[Contained_oz]],0)</f>
        <v/>
      </c>
    </row>
    <row r="2183">
      <c r="A2183" s="54" t="n"/>
      <c r="B2183" s="61" t="n"/>
      <c r="C2183" s="61" t="n"/>
      <c r="D2183" s="61" t="n"/>
      <c r="E2183" s="61" t="n"/>
      <c r="F2183" s="55" t="n"/>
      <c r="G2183" s="56" t="n"/>
      <c r="H2183" s="55" t="n"/>
      <c r="I2183" s="62" t="n"/>
      <c r="J2183" s="58" t="n"/>
      <c r="K2183" s="63">
        <f>IF(tblMovement[[#This Row],[Source]]="","",IFERROR(INDEX(tblSources[Type],MATCH(tblMovement[[#This Row],[Source]],tblSources[Source],0)),"?"))</f>
        <v/>
      </c>
      <c r="L2183" s="63">
        <f>IF(tblMovement[[#This Row],[Destination]]="","",IFERROR(INDEX(tblDestinations[Type],MATCH(tblMovement[[#This Row],[Destination]],tblDestinations[Destination],0)),"?"))</f>
        <v/>
      </c>
      <c r="M2183" s="64">
        <f>IF(tblMovement[[#This Row],[Material]]="","",IF(LEFT(tblMovement[[#This Row],[Material]],3)="Ore",1,0))</f>
        <v/>
      </c>
      <c r="N2183" s="59">
        <f>IF(OR(tblMovement[[#This Row],[Tonnes_t]]="",tblMovement[[#This Row],[Grade_gpt]]=""),0,tblMovement[[#This Row],[Tonnes_t]]*tblMovement[[#This Row],[Grade_gpt]]/cfg_TroyOz)</f>
        <v/>
      </c>
      <c r="O2183" s="59">
        <f>IF(tblMovement[[#This Row],[Is_Ore]]=1,tblMovement[[#This Row],[Contained_oz]],0)</f>
        <v/>
      </c>
    </row>
    <row r="2184">
      <c r="A2184" s="54" t="n"/>
      <c r="B2184" s="61" t="n"/>
      <c r="C2184" s="61" t="n"/>
      <c r="D2184" s="61" t="n"/>
      <c r="E2184" s="61" t="n"/>
      <c r="F2184" s="55" t="n"/>
      <c r="G2184" s="56" t="n"/>
      <c r="H2184" s="55" t="n"/>
      <c r="I2184" s="62" t="n"/>
      <c r="J2184" s="58" t="n"/>
      <c r="K2184" s="63">
        <f>IF(tblMovement[[#This Row],[Source]]="","",IFERROR(INDEX(tblSources[Type],MATCH(tblMovement[[#This Row],[Source]],tblSources[Source],0)),"?"))</f>
        <v/>
      </c>
      <c r="L2184" s="63">
        <f>IF(tblMovement[[#This Row],[Destination]]="","",IFERROR(INDEX(tblDestinations[Type],MATCH(tblMovement[[#This Row],[Destination]],tblDestinations[Destination],0)),"?"))</f>
        <v/>
      </c>
      <c r="M2184" s="64">
        <f>IF(tblMovement[[#This Row],[Material]]="","",IF(LEFT(tblMovement[[#This Row],[Material]],3)="Ore",1,0))</f>
        <v/>
      </c>
      <c r="N2184" s="59">
        <f>IF(OR(tblMovement[[#This Row],[Tonnes_t]]="",tblMovement[[#This Row],[Grade_gpt]]=""),0,tblMovement[[#This Row],[Tonnes_t]]*tblMovement[[#This Row],[Grade_gpt]]/cfg_TroyOz)</f>
        <v/>
      </c>
      <c r="O2184" s="59">
        <f>IF(tblMovement[[#This Row],[Is_Ore]]=1,tblMovement[[#This Row],[Contained_oz]],0)</f>
        <v/>
      </c>
    </row>
    <row r="2185">
      <c r="A2185" s="54" t="n"/>
      <c r="B2185" s="61" t="n"/>
      <c r="C2185" s="61" t="n"/>
      <c r="D2185" s="61" t="n"/>
      <c r="E2185" s="61" t="n"/>
      <c r="F2185" s="55" t="n"/>
      <c r="G2185" s="56" t="n"/>
      <c r="H2185" s="55" t="n"/>
      <c r="I2185" s="62" t="n"/>
      <c r="J2185" s="58" t="n"/>
      <c r="K2185" s="63">
        <f>IF(tblMovement[[#This Row],[Source]]="","",IFERROR(INDEX(tblSources[Type],MATCH(tblMovement[[#This Row],[Source]],tblSources[Source],0)),"?"))</f>
        <v/>
      </c>
      <c r="L2185" s="63">
        <f>IF(tblMovement[[#This Row],[Destination]]="","",IFERROR(INDEX(tblDestinations[Type],MATCH(tblMovement[[#This Row],[Destination]],tblDestinations[Destination],0)),"?"))</f>
        <v/>
      </c>
      <c r="M2185" s="64">
        <f>IF(tblMovement[[#This Row],[Material]]="","",IF(LEFT(tblMovement[[#This Row],[Material]],3)="Ore",1,0))</f>
        <v/>
      </c>
      <c r="N2185" s="59">
        <f>IF(OR(tblMovement[[#This Row],[Tonnes_t]]="",tblMovement[[#This Row],[Grade_gpt]]=""),0,tblMovement[[#This Row],[Tonnes_t]]*tblMovement[[#This Row],[Grade_gpt]]/cfg_TroyOz)</f>
        <v/>
      </c>
      <c r="O2185" s="59">
        <f>IF(tblMovement[[#This Row],[Is_Ore]]=1,tblMovement[[#This Row],[Contained_oz]],0)</f>
        <v/>
      </c>
    </row>
    <row r="2186">
      <c r="A2186" s="54" t="n"/>
      <c r="B2186" s="61" t="n"/>
      <c r="C2186" s="61" t="n"/>
      <c r="D2186" s="61" t="n"/>
      <c r="E2186" s="61" t="n"/>
      <c r="F2186" s="55" t="n"/>
      <c r="G2186" s="56" t="n"/>
      <c r="H2186" s="55" t="n"/>
      <c r="I2186" s="62" t="n"/>
      <c r="J2186" s="58" t="n"/>
      <c r="K2186" s="63">
        <f>IF(tblMovement[[#This Row],[Source]]="","",IFERROR(INDEX(tblSources[Type],MATCH(tblMovement[[#This Row],[Source]],tblSources[Source],0)),"?"))</f>
        <v/>
      </c>
      <c r="L2186" s="63">
        <f>IF(tblMovement[[#This Row],[Destination]]="","",IFERROR(INDEX(tblDestinations[Type],MATCH(tblMovement[[#This Row],[Destination]],tblDestinations[Destination],0)),"?"))</f>
        <v/>
      </c>
      <c r="M2186" s="64">
        <f>IF(tblMovement[[#This Row],[Material]]="","",IF(LEFT(tblMovement[[#This Row],[Material]],3)="Ore",1,0))</f>
        <v/>
      </c>
      <c r="N2186" s="59">
        <f>IF(OR(tblMovement[[#This Row],[Tonnes_t]]="",tblMovement[[#This Row],[Grade_gpt]]=""),0,tblMovement[[#This Row],[Tonnes_t]]*tblMovement[[#This Row],[Grade_gpt]]/cfg_TroyOz)</f>
        <v/>
      </c>
      <c r="O2186" s="59">
        <f>IF(tblMovement[[#This Row],[Is_Ore]]=1,tblMovement[[#This Row],[Contained_oz]],0)</f>
        <v/>
      </c>
    </row>
    <row r="2187">
      <c r="A2187" s="54" t="n"/>
      <c r="B2187" s="61" t="n"/>
      <c r="C2187" s="61" t="n"/>
      <c r="D2187" s="61" t="n"/>
      <c r="E2187" s="61" t="n"/>
      <c r="F2187" s="55" t="n"/>
      <c r="G2187" s="56" t="n"/>
      <c r="H2187" s="55" t="n"/>
      <c r="I2187" s="62" t="n"/>
      <c r="J2187" s="58" t="n"/>
      <c r="K2187" s="63">
        <f>IF(tblMovement[[#This Row],[Source]]="","",IFERROR(INDEX(tblSources[Type],MATCH(tblMovement[[#This Row],[Source]],tblSources[Source],0)),"?"))</f>
        <v/>
      </c>
      <c r="L2187" s="63">
        <f>IF(tblMovement[[#This Row],[Destination]]="","",IFERROR(INDEX(tblDestinations[Type],MATCH(tblMovement[[#This Row],[Destination]],tblDestinations[Destination],0)),"?"))</f>
        <v/>
      </c>
      <c r="M2187" s="64">
        <f>IF(tblMovement[[#This Row],[Material]]="","",IF(LEFT(tblMovement[[#This Row],[Material]],3)="Ore",1,0))</f>
        <v/>
      </c>
      <c r="N2187" s="59">
        <f>IF(OR(tblMovement[[#This Row],[Tonnes_t]]="",tblMovement[[#This Row],[Grade_gpt]]=""),0,tblMovement[[#This Row],[Tonnes_t]]*tblMovement[[#This Row],[Grade_gpt]]/cfg_TroyOz)</f>
        <v/>
      </c>
      <c r="O2187" s="59">
        <f>IF(tblMovement[[#This Row],[Is_Ore]]=1,tblMovement[[#This Row],[Contained_oz]],0)</f>
        <v/>
      </c>
    </row>
    <row r="2188">
      <c r="A2188" s="54" t="n"/>
      <c r="B2188" s="61" t="n"/>
      <c r="C2188" s="61" t="n"/>
      <c r="D2188" s="61" t="n"/>
      <c r="E2188" s="61" t="n"/>
      <c r="F2188" s="55" t="n"/>
      <c r="G2188" s="56" t="n"/>
      <c r="H2188" s="55" t="n"/>
      <c r="I2188" s="62" t="n"/>
      <c r="J2188" s="58" t="n"/>
      <c r="K2188" s="63">
        <f>IF(tblMovement[[#This Row],[Source]]="","",IFERROR(INDEX(tblSources[Type],MATCH(tblMovement[[#This Row],[Source]],tblSources[Source],0)),"?"))</f>
        <v/>
      </c>
      <c r="L2188" s="63">
        <f>IF(tblMovement[[#This Row],[Destination]]="","",IFERROR(INDEX(tblDestinations[Type],MATCH(tblMovement[[#This Row],[Destination]],tblDestinations[Destination],0)),"?"))</f>
        <v/>
      </c>
      <c r="M2188" s="64">
        <f>IF(tblMovement[[#This Row],[Material]]="","",IF(LEFT(tblMovement[[#This Row],[Material]],3)="Ore",1,0))</f>
        <v/>
      </c>
      <c r="N2188" s="59">
        <f>IF(OR(tblMovement[[#This Row],[Tonnes_t]]="",tblMovement[[#This Row],[Grade_gpt]]=""),0,tblMovement[[#This Row],[Tonnes_t]]*tblMovement[[#This Row],[Grade_gpt]]/cfg_TroyOz)</f>
        <v/>
      </c>
      <c r="O2188" s="59">
        <f>IF(tblMovement[[#This Row],[Is_Ore]]=1,tblMovement[[#This Row],[Contained_oz]],0)</f>
        <v/>
      </c>
    </row>
    <row r="2189">
      <c r="A2189" s="54" t="n"/>
      <c r="B2189" s="61" t="n"/>
      <c r="C2189" s="61" t="n"/>
      <c r="D2189" s="61" t="n"/>
      <c r="E2189" s="61" t="n"/>
      <c r="F2189" s="55" t="n"/>
      <c r="G2189" s="56" t="n"/>
      <c r="H2189" s="55" t="n"/>
      <c r="I2189" s="62" t="n"/>
      <c r="J2189" s="58" t="n"/>
      <c r="K2189" s="63">
        <f>IF(tblMovement[[#This Row],[Source]]="","",IFERROR(INDEX(tblSources[Type],MATCH(tblMovement[[#This Row],[Source]],tblSources[Source],0)),"?"))</f>
        <v/>
      </c>
      <c r="L2189" s="63">
        <f>IF(tblMovement[[#This Row],[Destination]]="","",IFERROR(INDEX(tblDestinations[Type],MATCH(tblMovement[[#This Row],[Destination]],tblDestinations[Destination],0)),"?"))</f>
        <v/>
      </c>
      <c r="M2189" s="64">
        <f>IF(tblMovement[[#This Row],[Material]]="","",IF(LEFT(tblMovement[[#This Row],[Material]],3)="Ore",1,0))</f>
        <v/>
      </c>
      <c r="N2189" s="59">
        <f>IF(OR(tblMovement[[#This Row],[Tonnes_t]]="",tblMovement[[#This Row],[Grade_gpt]]=""),0,tblMovement[[#This Row],[Tonnes_t]]*tblMovement[[#This Row],[Grade_gpt]]/cfg_TroyOz)</f>
        <v/>
      </c>
      <c r="O2189" s="59">
        <f>IF(tblMovement[[#This Row],[Is_Ore]]=1,tblMovement[[#This Row],[Contained_oz]],0)</f>
        <v/>
      </c>
    </row>
    <row r="2190">
      <c r="A2190" s="54" t="n"/>
      <c r="B2190" s="61" t="n"/>
      <c r="C2190" s="61" t="n"/>
      <c r="D2190" s="61" t="n"/>
      <c r="E2190" s="61" t="n"/>
      <c r="F2190" s="55" t="n"/>
      <c r="G2190" s="56" t="n"/>
      <c r="H2190" s="55" t="n"/>
      <c r="I2190" s="62" t="n"/>
      <c r="J2190" s="58" t="n"/>
      <c r="K2190" s="63">
        <f>IF(tblMovement[[#This Row],[Source]]="","",IFERROR(INDEX(tblSources[Type],MATCH(tblMovement[[#This Row],[Source]],tblSources[Source],0)),"?"))</f>
        <v/>
      </c>
      <c r="L2190" s="63">
        <f>IF(tblMovement[[#This Row],[Destination]]="","",IFERROR(INDEX(tblDestinations[Type],MATCH(tblMovement[[#This Row],[Destination]],tblDestinations[Destination],0)),"?"))</f>
        <v/>
      </c>
      <c r="M2190" s="64">
        <f>IF(tblMovement[[#This Row],[Material]]="","",IF(LEFT(tblMovement[[#This Row],[Material]],3)="Ore",1,0))</f>
        <v/>
      </c>
      <c r="N2190" s="59">
        <f>IF(OR(tblMovement[[#This Row],[Tonnes_t]]="",tblMovement[[#This Row],[Grade_gpt]]=""),0,tblMovement[[#This Row],[Tonnes_t]]*tblMovement[[#This Row],[Grade_gpt]]/cfg_TroyOz)</f>
        <v/>
      </c>
      <c r="O2190" s="59">
        <f>IF(tblMovement[[#This Row],[Is_Ore]]=1,tblMovement[[#This Row],[Contained_oz]],0)</f>
        <v/>
      </c>
    </row>
    <row r="2191">
      <c r="A2191" s="54" t="n"/>
      <c r="B2191" s="61" t="n"/>
      <c r="C2191" s="61" t="n"/>
      <c r="D2191" s="61" t="n"/>
      <c r="E2191" s="61" t="n"/>
      <c r="F2191" s="55" t="n"/>
      <c r="G2191" s="56" t="n"/>
      <c r="H2191" s="55" t="n"/>
      <c r="I2191" s="62" t="n"/>
      <c r="J2191" s="58" t="n"/>
      <c r="K2191" s="63">
        <f>IF(tblMovement[[#This Row],[Source]]="","",IFERROR(INDEX(tblSources[Type],MATCH(tblMovement[[#This Row],[Source]],tblSources[Source],0)),"?"))</f>
        <v/>
      </c>
      <c r="L2191" s="63">
        <f>IF(tblMovement[[#This Row],[Destination]]="","",IFERROR(INDEX(tblDestinations[Type],MATCH(tblMovement[[#This Row],[Destination]],tblDestinations[Destination],0)),"?"))</f>
        <v/>
      </c>
      <c r="M2191" s="64">
        <f>IF(tblMovement[[#This Row],[Material]]="","",IF(LEFT(tblMovement[[#This Row],[Material]],3)="Ore",1,0))</f>
        <v/>
      </c>
      <c r="N2191" s="59">
        <f>IF(OR(tblMovement[[#This Row],[Tonnes_t]]="",tblMovement[[#This Row],[Grade_gpt]]=""),0,tblMovement[[#This Row],[Tonnes_t]]*tblMovement[[#This Row],[Grade_gpt]]/cfg_TroyOz)</f>
        <v/>
      </c>
      <c r="O2191" s="59">
        <f>IF(tblMovement[[#This Row],[Is_Ore]]=1,tblMovement[[#This Row],[Contained_oz]],0)</f>
        <v/>
      </c>
    </row>
    <row r="2192">
      <c r="A2192" s="54" t="n"/>
      <c r="B2192" s="61" t="n"/>
      <c r="C2192" s="61" t="n"/>
      <c r="D2192" s="61" t="n"/>
      <c r="E2192" s="61" t="n"/>
      <c r="F2192" s="55" t="n"/>
      <c r="G2192" s="56" t="n"/>
      <c r="H2192" s="55" t="n"/>
      <c r="I2192" s="62" t="n"/>
      <c r="J2192" s="58" t="n"/>
      <c r="K2192" s="63">
        <f>IF(tblMovement[[#This Row],[Source]]="","",IFERROR(INDEX(tblSources[Type],MATCH(tblMovement[[#This Row],[Source]],tblSources[Source],0)),"?"))</f>
        <v/>
      </c>
      <c r="L2192" s="63">
        <f>IF(tblMovement[[#This Row],[Destination]]="","",IFERROR(INDEX(tblDestinations[Type],MATCH(tblMovement[[#This Row],[Destination]],tblDestinations[Destination],0)),"?"))</f>
        <v/>
      </c>
      <c r="M2192" s="64">
        <f>IF(tblMovement[[#This Row],[Material]]="","",IF(LEFT(tblMovement[[#This Row],[Material]],3)="Ore",1,0))</f>
        <v/>
      </c>
      <c r="N2192" s="59">
        <f>IF(OR(tblMovement[[#This Row],[Tonnes_t]]="",tblMovement[[#This Row],[Grade_gpt]]=""),0,tblMovement[[#This Row],[Tonnes_t]]*tblMovement[[#This Row],[Grade_gpt]]/cfg_TroyOz)</f>
        <v/>
      </c>
      <c r="O2192" s="59">
        <f>IF(tblMovement[[#This Row],[Is_Ore]]=1,tblMovement[[#This Row],[Contained_oz]],0)</f>
        <v/>
      </c>
    </row>
    <row r="2193">
      <c r="A2193" s="54" t="n"/>
      <c r="B2193" s="61" t="n"/>
      <c r="C2193" s="61" t="n"/>
      <c r="D2193" s="61" t="n"/>
      <c r="E2193" s="61" t="n"/>
      <c r="F2193" s="55" t="n"/>
      <c r="G2193" s="56" t="n"/>
      <c r="H2193" s="55" t="n"/>
      <c r="I2193" s="62" t="n"/>
      <c r="J2193" s="58" t="n"/>
      <c r="K2193" s="63">
        <f>IF(tblMovement[[#This Row],[Source]]="","",IFERROR(INDEX(tblSources[Type],MATCH(tblMovement[[#This Row],[Source]],tblSources[Source],0)),"?"))</f>
        <v/>
      </c>
      <c r="L2193" s="63">
        <f>IF(tblMovement[[#This Row],[Destination]]="","",IFERROR(INDEX(tblDestinations[Type],MATCH(tblMovement[[#This Row],[Destination]],tblDestinations[Destination],0)),"?"))</f>
        <v/>
      </c>
      <c r="M2193" s="64">
        <f>IF(tblMovement[[#This Row],[Material]]="","",IF(LEFT(tblMovement[[#This Row],[Material]],3)="Ore",1,0))</f>
        <v/>
      </c>
      <c r="N2193" s="59">
        <f>IF(OR(tblMovement[[#This Row],[Tonnes_t]]="",tblMovement[[#This Row],[Grade_gpt]]=""),0,tblMovement[[#This Row],[Tonnes_t]]*tblMovement[[#This Row],[Grade_gpt]]/cfg_TroyOz)</f>
        <v/>
      </c>
      <c r="O2193" s="59">
        <f>IF(tblMovement[[#This Row],[Is_Ore]]=1,tblMovement[[#This Row],[Contained_oz]],0)</f>
        <v/>
      </c>
    </row>
    <row r="2194">
      <c r="A2194" s="54" t="n"/>
      <c r="B2194" s="61" t="n"/>
      <c r="C2194" s="61" t="n"/>
      <c r="D2194" s="61" t="n"/>
      <c r="E2194" s="61" t="n"/>
      <c r="F2194" s="55" t="n"/>
      <c r="G2194" s="56" t="n"/>
      <c r="H2194" s="55" t="n"/>
      <c r="I2194" s="62" t="n"/>
      <c r="J2194" s="58" t="n"/>
      <c r="K2194" s="63">
        <f>IF(tblMovement[[#This Row],[Source]]="","",IFERROR(INDEX(tblSources[Type],MATCH(tblMovement[[#This Row],[Source]],tblSources[Source],0)),"?"))</f>
        <v/>
      </c>
      <c r="L2194" s="63">
        <f>IF(tblMovement[[#This Row],[Destination]]="","",IFERROR(INDEX(tblDestinations[Type],MATCH(tblMovement[[#This Row],[Destination]],tblDestinations[Destination],0)),"?"))</f>
        <v/>
      </c>
      <c r="M2194" s="64">
        <f>IF(tblMovement[[#This Row],[Material]]="","",IF(LEFT(tblMovement[[#This Row],[Material]],3)="Ore",1,0))</f>
        <v/>
      </c>
      <c r="N2194" s="59">
        <f>IF(OR(tblMovement[[#This Row],[Tonnes_t]]="",tblMovement[[#This Row],[Grade_gpt]]=""),0,tblMovement[[#This Row],[Tonnes_t]]*tblMovement[[#This Row],[Grade_gpt]]/cfg_TroyOz)</f>
        <v/>
      </c>
      <c r="O2194" s="59">
        <f>IF(tblMovement[[#This Row],[Is_Ore]]=1,tblMovement[[#This Row],[Contained_oz]],0)</f>
        <v/>
      </c>
    </row>
    <row r="2195">
      <c r="A2195" s="54" t="n"/>
      <c r="B2195" s="61" t="n"/>
      <c r="C2195" s="61" t="n"/>
      <c r="D2195" s="61" t="n"/>
      <c r="E2195" s="61" t="n"/>
      <c r="F2195" s="55" t="n"/>
      <c r="G2195" s="56" t="n"/>
      <c r="H2195" s="55" t="n"/>
      <c r="I2195" s="62" t="n"/>
      <c r="J2195" s="58" t="n"/>
      <c r="K2195" s="63">
        <f>IF(tblMovement[[#This Row],[Source]]="","",IFERROR(INDEX(tblSources[Type],MATCH(tblMovement[[#This Row],[Source]],tblSources[Source],0)),"?"))</f>
        <v/>
      </c>
      <c r="L2195" s="63">
        <f>IF(tblMovement[[#This Row],[Destination]]="","",IFERROR(INDEX(tblDestinations[Type],MATCH(tblMovement[[#This Row],[Destination]],tblDestinations[Destination],0)),"?"))</f>
        <v/>
      </c>
      <c r="M2195" s="64">
        <f>IF(tblMovement[[#This Row],[Material]]="","",IF(LEFT(tblMovement[[#This Row],[Material]],3)="Ore",1,0))</f>
        <v/>
      </c>
      <c r="N2195" s="59">
        <f>IF(OR(tblMovement[[#This Row],[Tonnes_t]]="",tblMovement[[#This Row],[Grade_gpt]]=""),0,tblMovement[[#This Row],[Tonnes_t]]*tblMovement[[#This Row],[Grade_gpt]]/cfg_TroyOz)</f>
        <v/>
      </c>
      <c r="O2195" s="59">
        <f>IF(tblMovement[[#This Row],[Is_Ore]]=1,tblMovement[[#This Row],[Contained_oz]],0)</f>
        <v/>
      </c>
    </row>
    <row r="2196">
      <c r="A2196" s="54" t="n"/>
      <c r="B2196" s="61" t="n"/>
      <c r="C2196" s="61" t="n"/>
      <c r="D2196" s="61" t="n"/>
      <c r="E2196" s="61" t="n"/>
      <c r="F2196" s="55" t="n"/>
      <c r="G2196" s="56" t="n"/>
      <c r="H2196" s="55" t="n"/>
      <c r="I2196" s="62" t="n"/>
      <c r="J2196" s="58" t="n"/>
      <c r="K2196" s="63">
        <f>IF(tblMovement[[#This Row],[Source]]="","",IFERROR(INDEX(tblSources[Type],MATCH(tblMovement[[#This Row],[Source]],tblSources[Source],0)),"?"))</f>
        <v/>
      </c>
      <c r="L2196" s="63">
        <f>IF(tblMovement[[#This Row],[Destination]]="","",IFERROR(INDEX(tblDestinations[Type],MATCH(tblMovement[[#This Row],[Destination]],tblDestinations[Destination],0)),"?"))</f>
        <v/>
      </c>
      <c r="M2196" s="64">
        <f>IF(tblMovement[[#This Row],[Material]]="","",IF(LEFT(tblMovement[[#This Row],[Material]],3)="Ore",1,0))</f>
        <v/>
      </c>
      <c r="N2196" s="59">
        <f>IF(OR(tblMovement[[#This Row],[Tonnes_t]]="",tblMovement[[#This Row],[Grade_gpt]]=""),0,tblMovement[[#This Row],[Tonnes_t]]*tblMovement[[#This Row],[Grade_gpt]]/cfg_TroyOz)</f>
        <v/>
      </c>
      <c r="O2196" s="59">
        <f>IF(tblMovement[[#This Row],[Is_Ore]]=1,tblMovement[[#This Row],[Contained_oz]],0)</f>
        <v/>
      </c>
    </row>
    <row r="2197">
      <c r="A2197" s="54" t="n"/>
      <c r="B2197" s="61" t="n"/>
      <c r="C2197" s="61" t="n"/>
      <c r="D2197" s="61" t="n"/>
      <c r="E2197" s="61" t="n"/>
      <c r="F2197" s="55" t="n"/>
      <c r="G2197" s="56" t="n"/>
      <c r="H2197" s="55" t="n"/>
      <c r="I2197" s="62" t="n"/>
      <c r="J2197" s="58" t="n"/>
      <c r="K2197" s="63">
        <f>IF(tblMovement[[#This Row],[Source]]="","",IFERROR(INDEX(tblSources[Type],MATCH(tblMovement[[#This Row],[Source]],tblSources[Source],0)),"?"))</f>
        <v/>
      </c>
      <c r="L2197" s="63">
        <f>IF(tblMovement[[#This Row],[Destination]]="","",IFERROR(INDEX(tblDestinations[Type],MATCH(tblMovement[[#This Row],[Destination]],tblDestinations[Destination],0)),"?"))</f>
        <v/>
      </c>
      <c r="M2197" s="64">
        <f>IF(tblMovement[[#This Row],[Material]]="","",IF(LEFT(tblMovement[[#This Row],[Material]],3)="Ore",1,0))</f>
        <v/>
      </c>
      <c r="N2197" s="59">
        <f>IF(OR(tblMovement[[#This Row],[Tonnes_t]]="",tblMovement[[#This Row],[Grade_gpt]]=""),0,tblMovement[[#This Row],[Tonnes_t]]*tblMovement[[#This Row],[Grade_gpt]]/cfg_TroyOz)</f>
        <v/>
      </c>
      <c r="O2197" s="59">
        <f>IF(tblMovement[[#This Row],[Is_Ore]]=1,tblMovement[[#This Row],[Contained_oz]],0)</f>
        <v/>
      </c>
    </row>
    <row r="2198">
      <c r="A2198" s="54" t="n"/>
      <c r="B2198" s="61" t="n"/>
      <c r="C2198" s="61" t="n"/>
      <c r="D2198" s="61" t="n"/>
      <c r="E2198" s="61" t="n"/>
      <c r="F2198" s="55" t="n"/>
      <c r="G2198" s="56" t="n"/>
      <c r="H2198" s="55" t="n"/>
      <c r="I2198" s="62" t="n"/>
      <c r="J2198" s="58" t="n"/>
      <c r="K2198" s="63">
        <f>IF(tblMovement[[#This Row],[Source]]="","",IFERROR(INDEX(tblSources[Type],MATCH(tblMovement[[#This Row],[Source]],tblSources[Source],0)),"?"))</f>
        <v/>
      </c>
      <c r="L2198" s="63">
        <f>IF(tblMovement[[#This Row],[Destination]]="","",IFERROR(INDEX(tblDestinations[Type],MATCH(tblMovement[[#This Row],[Destination]],tblDestinations[Destination],0)),"?"))</f>
        <v/>
      </c>
      <c r="M2198" s="64">
        <f>IF(tblMovement[[#This Row],[Material]]="","",IF(LEFT(tblMovement[[#This Row],[Material]],3)="Ore",1,0))</f>
        <v/>
      </c>
      <c r="N2198" s="59">
        <f>IF(OR(tblMovement[[#This Row],[Tonnes_t]]="",tblMovement[[#This Row],[Grade_gpt]]=""),0,tblMovement[[#This Row],[Tonnes_t]]*tblMovement[[#This Row],[Grade_gpt]]/cfg_TroyOz)</f>
        <v/>
      </c>
      <c r="O2198" s="59">
        <f>IF(tblMovement[[#This Row],[Is_Ore]]=1,tblMovement[[#This Row],[Contained_oz]],0)</f>
        <v/>
      </c>
    </row>
    <row r="2199">
      <c r="A2199" s="54" t="n"/>
      <c r="B2199" s="61" t="n"/>
      <c r="C2199" s="61" t="n"/>
      <c r="D2199" s="61" t="n"/>
      <c r="E2199" s="61" t="n"/>
      <c r="F2199" s="55" t="n"/>
      <c r="G2199" s="56" t="n"/>
      <c r="H2199" s="55" t="n"/>
      <c r="I2199" s="62" t="n"/>
      <c r="J2199" s="58" t="n"/>
      <c r="K2199" s="63">
        <f>IF(tblMovement[[#This Row],[Source]]="","",IFERROR(INDEX(tblSources[Type],MATCH(tblMovement[[#This Row],[Source]],tblSources[Source],0)),"?"))</f>
        <v/>
      </c>
      <c r="L2199" s="63">
        <f>IF(tblMovement[[#This Row],[Destination]]="","",IFERROR(INDEX(tblDestinations[Type],MATCH(tblMovement[[#This Row],[Destination]],tblDestinations[Destination],0)),"?"))</f>
        <v/>
      </c>
      <c r="M2199" s="64">
        <f>IF(tblMovement[[#This Row],[Material]]="","",IF(LEFT(tblMovement[[#This Row],[Material]],3)="Ore",1,0))</f>
        <v/>
      </c>
      <c r="N2199" s="59">
        <f>IF(OR(tblMovement[[#This Row],[Tonnes_t]]="",tblMovement[[#This Row],[Grade_gpt]]=""),0,tblMovement[[#This Row],[Tonnes_t]]*tblMovement[[#This Row],[Grade_gpt]]/cfg_TroyOz)</f>
        <v/>
      </c>
      <c r="O2199" s="59">
        <f>IF(tblMovement[[#This Row],[Is_Ore]]=1,tblMovement[[#This Row],[Contained_oz]],0)</f>
        <v/>
      </c>
    </row>
    <row r="2200">
      <c r="A2200" s="54" t="n"/>
      <c r="B2200" s="61" t="n"/>
      <c r="C2200" s="61" t="n"/>
      <c r="D2200" s="61" t="n"/>
      <c r="E2200" s="61" t="n"/>
      <c r="F2200" s="55" t="n"/>
      <c r="G2200" s="56" t="n"/>
      <c r="H2200" s="55" t="n"/>
      <c r="I2200" s="62" t="n"/>
      <c r="J2200" s="58" t="n"/>
      <c r="K2200" s="63">
        <f>IF(tblMovement[[#This Row],[Source]]="","",IFERROR(INDEX(tblSources[Type],MATCH(tblMovement[[#This Row],[Source]],tblSources[Source],0)),"?"))</f>
        <v/>
      </c>
      <c r="L2200" s="63">
        <f>IF(tblMovement[[#This Row],[Destination]]="","",IFERROR(INDEX(tblDestinations[Type],MATCH(tblMovement[[#This Row],[Destination]],tblDestinations[Destination],0)),"?"))</f>
        <v/>
      </c>
      <c r="M2200" s="64">
        <f>IF(tblMovement[[#This Row],[Material]]="","",IF(LEFT(tblMovement[[#This Row],[Material]],3)="Ore",1,0))</f>
        <v/>
      </c>
      <c r="N2200" s="59">
        <f>IF(OR(tblMovement[[#This Row],[Tonnes_t]]="",tblMovement[[#This Row],[Grade_gpt]]=""),0,tblMovement[[#This Row],[Tonnes_t]]*tblMovement[[#This Row],[Grade_gpt]]/cfg_TroyOz)</f>
        <v/>
      </c>
      <c r="O2200" s="59">
        <f>IF(tblMovement[[#This Row],[Is_Ore]]=1,tblMovement[[#This Row],[Contained_oz]],0)</f>
        <v/>
      </c>
    </row>
    <row r="2201">
      <c r="A2201" s="54" t="n"/>
      <c r="B2201" s="61" t="n"/>
      <c r="C2201" s="61" t="n"/>
      <c r="D2201" s="61" t="n"/>
      <c r="E2201" s="61" t="n"/>
      <c r="F2201" s="55" t="n"/>
      <c r="G2201" s="56" t="n"/>
      <c r="H2201" s="55" t="n"/>
      <c r="I2201" s="62" t="n"/>
      <c r="J2201" s="58" t="n"/>
      <c r="K2201" s="63">
        <f>IF(tblMovement[[#This Row],[Source]]="","",IFERROR(INDEX(tblSources[Type],MATCH(tblMovement[[#This Row],[Source]],tblSources[Source],0)),"?"))</f>
        <v/>
      </c>
      <c r="L2201" s="63">
        <f>IF(tblMovement[[#This Row],[Destination]]="","",IFERROR(INDEX(tblDestinations[Type],MATCH(tblMovement[[#This Row],[Destination]],tblDestinations[Destination],0)),"?"))</f>
        <v/>
      </c>
      <c r="M2201" s="64">
        <f>IF(tblMovement[[#This Row],[Material]]="","",IF(LEFT(tblMovement[[#This Row],[Material]],3)="Ore",1,0))</f>
        <v/>
      </c>
      <c r="N2201" s="59">
        <f>IF(OR(tblMovement[[#This Row],[Tonnes_t]]="",tblMovement[[#This Row],[Grade_gpt]]=""),0,tblMovement[[#This Row],[Tonnes_t]]*tblMovement[[#This Row],[Grade_gpt]]/cfg_TroyOz)</f>
        <v/>
      </c>
      <c r="O2201" s="59">
        <f>IF(tblMovement[[#This Row],[Is_Ore]]=1,tblMovement[[#This Row],[Contained_oz]],0)</f>
        <v/>
      </c>
    </row>
    <row r="2202">
      <c r="A2202" s="54" t="n"/>
      <c r="B2202" s="61" t="n"/>
      <c r="C2202" s="61" t="n"/>
      <c r="D2202" s="61" t="n"/>
      <c r="E2202" s="61" t="n"/>
      <c r="F2202" s="55" t="n"/>
      <c r="G2202" s="56" t="n"/>
      <c r="H2202" s="55" t="n"/>
      <c r="I2202" s="62" t="n"/>
      <c r="J2202" s="58" t="n"/>
      <c r="K2202" s="63">
        <f>IF(tblMovement[[#This Row],[Source]]="","",IFERROR(INDEX(tblSources[Type],MATCH(tblMovement[[#This Row],[Source]],tblSources[Source],0)),"?"))</f>
        <v/>
      </c>
      <c r="L2202" s="63">
        <f>IF(tblMovement[[#This Row],[Destination]]="","",IFERROR(INDEX(tblDestinations[Type],MATCH(tblMovement[[#This Row],[Destination]],tblDestinations[Destination],0)),"?"))</f>
        <v/>
      </c>
      <c r="M2202" s="64">
        <f>IF(tblMovement[[#This Row],[Material]]="","",IF(LEFT(tblMovement[[#This Row],[Material]],3)="Ore",1,0))</f>
        <v/>
      </c>
      <c r="N2202" s="59">
        <f>IF(OR(tblMovement[[#This Row],[Tonnes_t]]="",tblMovement[[#This Row],[Grade_gpt]]=""),0,tblMovement[[#This Row],[Tonnes_t]]*tblMovement[[#This Row],[Grade_gpt]]/cfg_TroyOz)</f>
        <v/>
      </c>
      <c r="O2202" s="59">
        <f>IF(tblMovement[[#This Row],[Is_Ore]]=1,tblMovement[[#This Row],[Contained_oz]],0)</f>
        <v/>
      </c>
    </row>
    <row r="2203">
      <c r="A2203" s="54" t="n"/>
      <c r="B2203" s="61" t="n"/>
      <c r="C2203" s="61" t="n"/>
      <c r="D2203" s="61" t="n"/>
      <c r="E2203" s="61" t="n"/>
      <c r="F2203" s="55" t="n"/>
      <c r="G2203" s="56" t="n"/>
      <c r="H2203" s="55" t="n"/>
      <c r="I2203" s="62" t="n"/>
      <c r="J2203" s="58" t="n"/>
      <c r="K2203" s="63">
        <f>IF(tblMovement[[#This Row],[Source]]="","",IFERROR(INDEX(tblSources[Type],MATCH(tblMovement[[#This Row],[Source]],tblSources[Source],0)),"?"))</f>
        <v/>
      </c>
      <c r="L2203" s="63">
        <f>IF(tblMovement[[#This Row],[Destination]]="","",IFERROR(INDEX(tblDestinations[Type],MATCH(tblMovement[[#This Row],[Destination]],tblDestinations[Destination],0)),"?"))</f>
        <v/>
      </c>
      <c r="M2203" s="64">
        <f>IF(tblMovement[[#This Row],[Material]]="","",IF(LEFT(tblMovement[[#This Row],[Material]],3)="Ore",1,0))</f>
        <v/>
      </c>
      <c r="N2203" s="59">
        <f>IF(OR(tblMovement[[#This Row],[Tonnes_t]]="",tblMovement[[#This Row],[Grade_gpt]]=""),0,tblMovement[[#This Row],[Tonnes_t]]*tblMovement[[#This Row],[Grade_gpt]]/cfg_TroyOz)</f>
        <v/>
      </c>
      <c r="O2203" s="59">
        <f>IF(tblMovement[[#This Row],[Is_Ore]]=1,tblMovement[[#This Row],[Contained_oz]],0)</f>
        <v/>
      </c>
    </row>
    <row r="2204">
      <c r="A2204" s="54" t="n"/>
      <c r="B2204" s="61" t="n"/>
      <c r="C2204" s="61" t="n"/>
      <c r="D2204" s="61" t="n"/>
      <c r="E2204" s="61" t="n"/>
      <c r="F2204" s="55" t="n"/>
      <c r="G2204" s="56" t="n"/>
      <c r="H2204" s="55" t="n"/>
      <c r="I2204" s="62" t="n"/>
      <c r="J2204" s="58" t="n"/>
      <c r="K2204" s="63">
        <f>IF(tblMovement[[#This Row],[Source]]="","",IFERROR(INDEX(tblSources[Type],MATCH(tblMovement[[#This Row],[Source]],tblSources[Source],0)),"?"))</f>
        <v/>
      </c>
      <c r="L2204" s="63">
        <f>IF(tblMovement[[#This Row],[Destination]]="","",IFERROR(INDEX(tblDestinations[Type],MATCH(tblMovement[[#This Row],[Destination]],tblDestinations[Destination],0)),"?"))</f>
        <v/>
      </c>
      <c r="M2204" s="64">
        <f>IF(tblMovement[[#This Row],[Material]]="","",IF(LEFT(tblMovement[[#This Row],[Material]],3)="Ore",1,0))</f>
        <v/>
      </c>
      <c r="N2204" s="59">
        <f>IF(OR(tblMovement[[#This Row],[Tonnes_t]]="",tblMovement[[#This Row],[Grade_gpt]]=""),0,tblMovement[[#This Row],[Tonnes_t]]*tblMovement[[#This Row],[Grade_gpt]]/cfg_TroyOz)</f>
        <v/>
      </c>
      <c r="O2204" s="59">
        <f>IF(tblMovement[[#This Row],[Is_Ore]]=1,tblMovement[[#This Row],[Contained_oz]],0)</f>
        <v/>
      </c>
    </row>
    <row r="2205">
      <c r="A2205" s="54" t="n"/>
      <c r="B2205" s="61" t="n"/>
      <c r="C2205" s="61" t="n"/>
      <c r="D2205" s="61" t="n"/>
      <c r="E2205" s="61" t="n"/>
      <c r="F2205" s="55" t="n"/>
      <c r="G2205" s="56" t="n"/>
      <c r="H2205" s="55" t="n"/>
      <c r="I2205" s="62" t="n"/>
      <c r="J2205" s="58" t="n"/>
      <c r="K2205" s="63">
        <f>IF(tblMovement[[#This Row],[Source]]="","",IFERROR(INDEX(tblSources[Type],MATCH(tblMovement[[#This Row],[Source]],tblSources[Source],0)),"?"))</f>
        <v/>
      </c>
      <c r="L2205" s="63">
        <f>IF(tblMovement[[#This Row],[Destination]]="","",IFERROR(INDEX(tblDestinations[Type],MATCH(tblMovement[[#This Row],[Destination]],tblDestinations[Destination],0)),"?"))</f>
        <v/>
      </c>
      <c r="M2205" s="64">
        <f>IF(tblMovement[[#This Row],[Material]]="","",IF(LEFT(tblMovement[[#This Row],[Material]],3)="Ore",1,0))</f>
        <v/>
      </c>
      <c r="N2205" s="59">
        <f>IF(OR(tblMovement[[#This Row],[Tonnes_t]]="",tblMovement[[#This Row],[Grade_gpt]]=""),0,tblMovement[[#This Row],[Tonnes_t]]*tblMovement[[#This Row],[Grade_gpt]]/cfg_TroyOz)</f>
        <v/>
      </c>
      <c r="O2205" s="59">
        <f>IF(tblMovement[[#This Row],[Is_Ore]]=1,tblMovement[[#This Row],[Contained_oz]],0)</f>
        <v/>
      </c>
    </row>
    <row r="2206">
      <c r="A2206" s="54" t="n"/>
      <c r="B2206" s="61" t="n"/>
      <c r="C2206" s="61" t="n"/>
      <c r="D2206" s="61" t="n"/>
      <c r="E2206" s="61" t="n"/>
      <c r="F2206" s="55" t="n"/>
      <c r="G2206" s="56" t="n"/>
      <c r="H2206" s="55" t="n"/>
      <c r="I2206" s="62" t="n"/>
      <c r="J2206" s="58" t="n"/>
      <c r="K2206" s="63">
        <f>IF(tblMovement[[#This Row],[Source]]="","",IFERROR(INDEX(tblSources[Type],MATCH(tblMovement[[#This Row],[Source]],tblSources[Source],0)),"?"))</f>
        <v/>
      </c>
      <c r="L2206" s="63">
        <f>IF(tblMovement[[#This Row],[Destination]]="","",IFERROR(INDEX(tblDestinations[Type],MATCH(tblMovement[[#This Row],[Destination]],tblDestinations[Destination],0)),"?"))</f>
        <v/>
      </c>
      <c r="M2206" s="64">
        <f>IF(tblMovement[[#This Row],[Material]]="","",IF(LEFT(tblMovement[[#This Row],[Material]],3)="Ore",1,0))</f>
        <v/>
      </c>
      <c r="N2206" s="59">
        <f>IF(OR(tblMovement[[#This Row],[Tonnes_t]]="",tblMovement[[#This Row],[Grade_gpt]]=""),0,tblMovement[[#This Row],[Tonnes_t]]*tblMovement[[#This Row],[Grade_gpt]]/cfg_TroyOz)</f>
        <v/>
      </c>
      <c r="O2206" s="59">
        <f>IF(tblMovement[[#This Row],[Is_Ore]]=1,tblMovement[[#This Row],[Contained_oz]],0)</f>
        <v/>
      </c>
    </row>
    <row r="2207">
      <c r="A2207" s="54" t="n"/>
      <c r="B2207" s="61" t="n"/>
      <c r="C2207" s="61" t="n"/>
      <c r="D2207" s="61" t="n"/>
      <c r="E2207" s="61" t="n"/>
      <c r="F2207" s="55" t="n"/>
      <c r="G2207" s="56" t="n"/>
      <c r="H2207" s="55" t="n"/>
      <c r="I2207" s="62" t="n"/>
      <c r="J2207" s="58" t="n"/>
      <c r="K2207" s="63">
        <f>IF(tblMovement[[#This Row],[Source]]="","",IFERROR(INDEX(tblSources[Type],MATCH(tblMovement[[#This Row],[Source]],tblSources[Source],0)),"?"))</f>
        <v/>
      </c>
      <c r="L2207" s="63">
        <f>IF(tblMovement[[#This Row],[Destination]]="","",IFERROR(INDEX(tblDestinations[Type],MATCH(tblMovement[[#This Row],[Destination]],tblDestinations[Destination],0)),"?"))</f>
        <v/>
      </c>
      <c r="M2207" s="64">
        <f>IF(tblMovement[[#This Row],[Material]]="","",IF(LEFT(tblMovement[[#This Row],[Material]],3)="Ore",1,0))</f>
        <v/>
      </c>
      <c r="N2207" s="59">
        <f>IF(OR(tblMovement[[#This Row],[Tonnes_t]]="",tblMovement[[#This Row],[Grade_gpt]]=""),0,tblMovement[[#This Row],[Tonnes_t]]*tblMovement[[#This Row],[Grade_gpt]]/cfg_TroyOz)</f>
        <v/>
      </c>
      <c r="O2207" s="59">
        <f>IF(tblMovement[[#This Row],[Is_Ore]]=1,tblMovement[[#This Row],[Contained_oz]],0)</f>
        <v/>
      </c>
    </row>
    <row r="2208">
      <c r="A2208" s="54" t="n"/>
      <c r="B2208" s="61" t="n"/>
      <c r="C2208" s="61" t="n"/>
      <c r="D2208" s="61" t="n"/>
      <c r="E2208" s="61" t="n"/>
      <c r="F2208" s="55" t="n"/>
      <c r="G2208" s="56" t="n"/>
      <c r="H2208" s="55" t="n"/>
      <c r="I2208" s="62" t="n"/>
      <c r="J2208" s="58" t="n"/>
      <c r="K2208" s="63">
        <f>IF(tblMovement[[#This Row],[Source]]="","",IFERROR(INDEX(tblSources[Type],MATCH(tblMovement[[#This Row],[Source]],tblSources[Source],0)),"?"))</f>
        <v/>
      </c>
      <c r="L2208" s="63">
        <f>IF(tblMovement[[#This Row],[Destination]]="","",IFERROR(INDEX(tblDestinations[Type],MATCH(tblMovement[[#This Row],[Destination]],tblDestinations[Destination],0)),"?"))</f>
        <v/>
      </c>
      <c r="M2208" s="64">
        <f>IF(tblMovement[[#This Row],[Material]]="","",IF(LEFT(tblMovement[[#This Row],[Material]],3)="Ore",1,0))</f>
        <v/>
      </c>
      <c r="N2208" s="59">
        <f>IF(OR(tblMovement[[#This Row],[Tonnes_t]]="",tblMovement[[#This Row],[Grade_gpt]]=""),0,tblMovement[[#This Row],[Tonnes_t]]*tblMovement[[#This Row],[Grade_gpt]]/cfg_TroyOz)</f>
        <v/>
      </c>
      <c r="O2208" s="59">
        <f>IF(tblMovement[[#This Row],[Is_Ore]]=1,tblMovement[[#This Row],[Contained_oz]],0)</f>
        <v/>
      </c>
    </row>
    <row r="2209">
      <c r="A2209" s="54" t="n"/>
      <c r="B2209" s="61" t="n"/>
      <c r="C2209" s="61" t="n"/>
      <c r="D2209" s="61" t="n"/>
      <c r="E2209" s="61" t="n"/>
      <c r="F2209" s="55" t="n"/>
      <c r="G2209" s="56" t="n"/>
      <c r="H2209" s="55" t="n"/>
      <c r="I2209" s="62" t="n"/>
      <c r="J2209" s="58" t="n"/>
      <c r="K2209" s="63">
        <f>IF(tblMovement[[#This Row],[Source]]="","",IFERROR(INDEX(tblSources[Type],MATCH(tblMovement[[#This Row],[Source]],tblSources[Source],0)),"?"))</f>
        <v/>
      </c>
      <c r="L2209" s="63">
        <f>IF(tblMovement[[#This Row],[Destination]]="","",IFERROR(INDEX(tblDestinations[Type],MATCH(tblMovement[[#This Row],[Destination]],tblDestinations[Destination],0)),"?"))</f>
        <v/>
      </c>
      <c r="M2209" s="64">
        <f>IF(tblMovement[[#This Row],[Material]]="","",IF(LEFT(tblMovement[[#This Row],[Material]],3)="Ore",1,0))</f>
        <v/>
      </c>
      <c r="N2209" s="59">
        <f>IF(OR(tblMovement[[#This Row],[Tonnes_t]]="",tblMovement[[#This Row],[Grade_gpt]]=""),0,tblMovement[[#This Row],[Tonnes_t]]*tblMovement[[#This Row],[Grade_gpt]]/cfg_TroyOz)</f>
        <v/>
      </c>
      <c r="O2209" s="59">
        <f>IF(tblMovement[[#This Row],[Is_Ore]]=1,tblMovement[[#This Row],[Contained_oz]],0)</f>
        <v/>
      </c>
    </row>
    <row r="2210">
      <c r="A2210" s="54" t="n"/>
      <c r="B2210" s="61" t="n"/>
      <c r="C2210" s="61" t="n"/>
      <c r="D2210" s="61" t="n"/>
      <c r="E2210" s="61" t="n"/>
      <c r="F2210" s="55" t="n"/>
      <c r="G2210" s="56" t="n"/>
      <c r="H2210" s="55" t="n"/>
      <c r="I2210" s="62" t="n"/>
      <c r="J2210" s="58" t="n"/>
      <c r="K2210" s="63">
        <f>IF(tblMovement[[#This Row],[Source]]="","",IFERROR(INDEX(tblSources[Type],MATCH(tblMovement[[#This Row],[Source]],tblSources[Source],0)),"?"))</f>
        <v/>
      </c>
      <c r="L2210" s="63">
        <f>IF(tblMovement[[#This Row],[Destination]]="","",IFERROR(INDEX(tblDestinations[Type],MATCH(tblMovement[[#This Row],[Destination]],tblDestinations[Destination],0)),"?"))</f>
        <v/>
      </c>
      <c r="M2210" s="64">
        <f>IF(tblMovement[[#This Row],[Material]]="","",IF(LEFT(tblMovement[[#This Row],[Material]],3)="Ore",1,0))</f>
        <v/>
      </c>
      <c r="N2210" s="59">
        <f>IF(OR(tblMovement[[#This Row],[Tonnes_t]]="",tblMovement[[#This Row],[Grade_gpt]]=""),0,tblMovement[[#This Row],[Tonnes_t]]*tblMovement[[#This Row],[Grade_gpt]]/cfg_TroyOz)</f>
        <v/>
      </c>
      <c r="O2210" s="59">
        <f>IF(tblMovement[[#This Row],[Is_Ore]]=1,tblMovement[[#This Row],[Contained_oz]],0)</f>
        <v/>
      </c>
    </row>
    <row r="2211">
      <c r="A2211" s="54" t="n"/>
      <c r="B2211" s="61" t="n"/>
      <c r="C2211" s="61" t="n"/>
      <c r="D2211" s="61" t="n"/>
      <c r="E2211" s="61" t="n"/>
      <c r="F2211" s="55" t="n"/>
      <c r="G2211" s="56" t="n"/>
      <c r="H2211" s="55" t="n"/>
      <c r="I2211" s="62" t="n"/>
      <c r="J2211" s="58" t="n"/>
      <c r="K2211" s="63">
        <f>IF(tblMovement[[#This Row],[Source]]="","",IFERROR(INDEX(tblSources[Type],MATCH(tblMovement[[#This Row],[Source]],tblSources[Source],0)),"?"))</f>
        <v/>
      </c>
      <c r="L2211" s="63">
        <f>IF(tblMovement[[#This Row],[Destination]]="","",IFERROR(INDEX(tblDestinations[Type],MATCH(tblMovement[[#This Row],[Destination]],tblDestinations[Destination],0)),"?"))</f>
        <v/>
      </c>
      <c r="M2211" s="64">
        <f>IF(tblMovement[[#This Row],[Material]]="","",IF(LEFT(tblMovement[[#This Row],[Material]],3)="Ore",1,0))</f>
        <v/>
      </c>
      <c r="N2211" s="59">
        <f>IF(OR(tblMovement[[#This Row],[Tonnes_t]]="",tblMovement[[#This Row],[Grade_gpt]]=""),0,tblMovement[[#This Row],[Tonnes_t]]*tblMovement[[#This Row],[Grade_gpt]]/cfg_TroyOz)</f>
        <v/>
      </c>
      <c r="O2211" s="59">
        <f>IF(tblMovement[[#This Row],[Is_Ore]]=1,tblMovement[[#This Row],[Contained_oz]],0)</f>
        <v/>
      </c>
    </row>
    <row r="2212">
      <c r="A2212" s="54" t="n"/>
      <c r="B2212" s="61" t="n"/>
      <c r="C2212" s="61" t="n"/>
      <c r="D2212" s="61" t="n"/>
      <c r="E2212" s="61" t="n"/>
      <c r="F2212" s="55" t="n"/>
      <c r="G2212" s="56" t="n"/>
      <c r="H2212" s="55" t="n"/>
      <c r="I2212" s="62" t="n"/>
      <c r="J2212" s="58" t="n"/>
      <c r="K2212" s="63">
        <f>IF(tblMovement[[#This Row],[Source]]="","",IFERROR(INDEX(tblSources[Type],MATCH(tblMovement[[#This Row],[Source]],tblSources[Source],0)),"?"))</f>
        <v/>
      </c>
      <c r="L2212" s="63">
        <f>IF(tblMovement[[#This Row],[Destination]]="","",IFERROR(INDEX(tblDestinations[Type],MATCH(tblMovement[[#This Row],[Destination]],tblDestinations[Destination],0)),"?"))</f>
        <v/>
      </c>
      <c r="M2212" s="64">
        <f>IF(tblMovement[[#This Row],[Material]]="","",IF(LEFT(tblMovement[[#This Row],[Material]],3)="Ore",1,0))</f>
        <v/>
      </c>
      <c r="N2212" s="59">
        <f>IF(OR(tblMovement[[#This Row],[Tonnes_t]]="",tblMovement[[#This Row],[Grade_gpt]]=""),0,tblMovement[[#This Row],[Tonnes_t]]*tblMovement[[#This Row],[Grade_gpt]]/cfg_TroyOz)</f>
        <v/>
      </c>
      <c r="O2212" s="59">
        <f>IF(tblMovement[[#This Row],[Is_Ore]]=1,tblMovement[[#This Row],[Contained_oz]],0)</f>
        <v/>
      </c>
    </row>
    <row r="2213">
      <c r="A2213" s="54" t="n"/>
      <c r="B2213" s="61" t="n"/>
      <c r="C2213" s="61" t="n"/>
      <c r="D2213" s="61" t="n"/>
      <c r="E2213" s="61" t="n"/>
      <c r="F2213" s="55" t="n"/>
      <c r="G2213" s="56" t="n"/>
      <c r="H2213" s="55" t="n"/>
      <c r="I2213" s="62" t="n"/>
      <c r="J2213" s="58" t="n"/>
      <c r="K2213" s="63">
        <f>IF(tblMovement[[#This Row],[Source]]="","",IFERROR(INDEX(tblSources[Type],MATCH(tblMovement[[#This Row],[Source]],tblSources[Source],0)),"?"))</f>
        <v/>
      </c>
      <c r="L2213" s="63">
        <f>IF(tblMovement[[#This Row],[Destination]]="","",IFERROR(INDEX(tblDestinations[Type],MATCH(tblMovement[[#This Row],[Destination]],tblDestinations[Destination],0)),"?"))</f>
        <v/>
      </c>
      <c r="M2213" s="64">
        <f>IF(tblMovement[[#This Row],[Material]]="","",IF(LEFT(tblMovement[[#This Row],[Material]],3)="Ore",1,0))</f>
        <v/>
      </c>
      <c r="N2213" s="59">
        <f>IF(OR(tblMovement[[#This Row],[Tonnes_t]]="",tblMovement[[#This Row],[Grade_gpt]]=""),0,tblMovement[[#This Row],[Tonnes_t]]*tblMovement[[#This Row],[Grade_gpt]]/cfg_TroyOz)</f>
        <v/>
      </c>
      <c r="O2213" s="59">
        <f>IF(tblMovement[[#This Row],[Is_Ore]]=1,tblMovement[[#This Row],[Contained_oz]],0)</f>
        <v/>
      </c>
    </row>
    <row r="2214">
      <c r="A2214" s="54" t="n"/>
      <c r="B2214" s="61" t="n"/>
      <c r="C2214" s="61" t="n"/>
      <c r="D2214" s="61" t="n"/>
      <c r="E2214" s="61" t="n"/>
      <c r="F2214" s="55" t="n"/>
      <c r="G2214" s="56" t="n"/>
      <c r="H2214" s="55" t="n"/>
      <c r="I2214" s="62" t="n"/>
      <c r="J2214" s="58" t="n"/>
      <c r="K2214" s="63">
        <f>IF(tblMovement[[#This Row],[Source]]="","",IFERROR(INDEX(tblSources[Type],MATCH(tblMovement[[#This Row],[Source]],tblSources[Source],0)),"?"))</f>
        <v/>
      </c>
      <c r="L2214" s="63">
        <f>IF(tblMovement[[#This Row],[Destination]]="","",IFERROR(INDEX(tblDestinations[Type],MATCH(tblMovement[[#This Row],[Destination]],tblDestinations[Destination],0)),"?"))</f>
        <v/>
      </c>
      <c r="M2214" s="64">
        <f>IF(tblMovement[[#This Row],[Material]]="","",IF(LEFT(tblMovement[[#This Row],[Material]],3)="Ore",1,0))</f>
        <v/>
      </c>
      <c r="N2214" s="59">
        <f>IF(OR(tblMovement[[#This Row],[Tonnes_t]]="",tblMovement[[#This Row],[Grade_gpt]]=""),0,tblMovement[[#This Row],[Tonnes_t]]*tblMovement[[#This Row],[Grade_gpt]]/cfg_TroyOz)</f>
        <v/>
      </c>
      <c r="O2214" s="59">
        <f>IF(tblMovement[[#This Row],[Is_Ore]]=1,tblMovement[[#This Row],[Contained_oz]],0)</f>
        <v/>
      </c>
    </row>
    <row r="2215">
      <c r="A2215" s="54" t="n"/>
      <c r="B2215" s="61" t="n"/>
      <c r="C2215" s="61" t="n"/>
      <c r="D2215" s="61" t="n"/>
      <c r="E2215" s="61" t="n"/>
      <c r="F2215" s="55" t="n"/>
      <c r="G2215" s="56" t="n"/>
      <c r="H2215" s="55" t="n"/>
      <c r="I2215" s="62" t="n"/>
      <c r="J2215" s="58" t="n"/>
      <c r="K2215" s="63">
        <f>IF(tblMovement[[#This Row],[Source]]="","",IFERROR(INDEX(tblSources[Type],MATCH(tblMovement[[#This Row],[Source]],tblSources[Source],0)),"?"))</f>
        <v/>
      </c>
      <c r="L2215" s="63">
        <f>IF(tblMovement[[#This Row],[Destination]]="","",IFERROR(INDEX(tblDestinations[Type],MATCH(tblMovement[[#This Row],[Destination]],tblDestinations[Destination],0)),"?"))</f>
        <v/>
      </c>
      <c r="M2215" s="64">
        <f>IF(tblMovement[[#This Row],[Material]]="","",IF(LEFT(tblMovement[[#This Row],[Material]],3)="Ore",1,0))</f>
        <v/>
      </c>
      <c r="N2215" s="59">
        <f>IF(OR(tblMovement[[#This Row],[Tonnes_t]]="",tblMovement[[#This Row],[Grade_gpt]]=""),0,tblMovement[[#This Row],[Tonnes_t]]*tblMovement[[#This Row],[Grade_gpt]]/cfg_TroyOz)</f>
        <v/>
      </c>
      <c r="O2215" s="59">
        <f>IF(tblMovement[[#This Row],[Is_Ore]]=1,tblMovement[[#This Row],[Contained_oz]],0)</f>
        <v/>
      </c>
    </row>
    <row r="2216">
      <c r="A2216" s="54" t="n"/>
      <c r="B2216" s="61" t="n"/>
      <c r="C2216" s="61" t="n"/>
      <c r="D2216" s="61" t="n"/>
      <c r="E2216" s="61" t="n"/>
      <c r="F2216" s="55" t="n"/>
      <c r="G2216" s="56" t="n"/>
      <c r="H2216" s="55" t="n"/>
      <c r="I2216" s="62" t="n"/>
      <c r="J2216" s="58" t="n"/>
      <c r="K2216" s="63">
        <f>IF(tblMovement[[#This Row],[Source]]="","",IFERROR(INDEX(tblSources[Type],MATCH(tblMovement[[#This Row],[Source]],tblSources[Source],0)),"?"))</f>
        <v/>
      </c>
      <c r="L2216" s="63">
        <f>IF(tblMovement[[#This Row],[Destination]]="","",IFERROR(INDEX(tblDestinations[Type],MATCH(tblMovement[[#This Row],[Destination]],tblDestinations[Destination],0)),"?"))</f>
        <v/>
      </c>
      <c r="M2216" s="64">
        <f>IF(tblMovement[[#This Row],[Material]]="","",IF(LEFT(tblMovement[[#This Row],[Material]],3)="Ore",1,0))</f>
        <v/>
      </c>
      <c r="N2216" s="59">
        <f>IF(OR(tblMovement[[#This Row],[Tonnes_t]]="",tblMovement[[#This Row],[Grade_gpt]]=""),0,tblMovement[[#This Row],[Tonnes_t]]*tblMovement[[#This Row],[Grade_gpt]]/cfg_TroyOz)</f>
        <v/>
      </c>
      <c r="O2216" s="59">
        <f>IF(tblMovement[[#This Row],[Is_Ore]]=1,tblMovement[[#This Row],[Contained_oz]],0)</f>
        <v/>
      </c>
    </row>
    <row r="2217">
      <c r="A2217" s="54" t="n"/>
      <c r="B2217" s="61" t="n"/>
      <c r="C2217" s="61" t="n"/>
      <c r="D2217" s="61" t="n"/>
      <c r="E2217" s="61" t="n"/>
      <c r="F2217" s="55" t="n"/>
      <c r="G2217" s="56" t="n"/>
      <c r="H2217" s="55" t="n"/>
      <c r="I2217" s="62" t="n"/>
      <c r="J2217" s="58" t="n"/>
      <c r="K2217" s="63">
        <f>IF(tblMovement[[#This Row],[Source]]="","",IFERROR(INDEX(tblSources[Type],MATCH(tblMovement[[#This Row],[Source]],tblSources[Source],0)),"?"))</f>
        <v/>
      </c>
      <c r="L2217" s="63">
        <f>IF(tblMovement[[#This Row],[Destination]]="","",IFERROR(INDEX(tblDestinations[Type],MATCH(tblMovement[[#This Row],[Destination]],tblDestinations[Destination],0)),"?"))</f>
        <v/>
      </c>
      <c r="M2217" s="64">
        <f>IF(tblMovement[[#This Row],[Material]]="","",IF(LEFT(tblMovement[[#This Row],[Material]],3)="Ore",1,0))</f>
        <v/>
      </c>
      <c r="N2217" s="59">
        <f>IF(OR(tblMovement[[#This Row],[Tonnes_t]]="",tblMovement[[#This Row],[Grade_gpt]]=""),0,tblMovement[[#This Row],[Tonnes_t]]*tblMovement[[#This Row],[Grade_gpt]]/cfg_TroyOz)</f>
        <v/>
      </c>
      <c r="O2217" s="59">
        <f>IF(tblMovement[[#This Row],[Is_Ore]]=1,tblMovement[[#This Row],[Contained_oz]],0)</f>
        <v/>
      </c>
    </row>
    <row r="2218">
      <c r="A2218" s="54" t="n"/>
      <c r="B2218" s="61" t="n"/>
      <c r="C2218" s="61" t="n"/>
      <c r="D2218" s="61" t="n"/>
      <c r="E2218" s="61" t="n"/>
      <c r="F2218" s="55" t="n"/>
      <c r="G2218" s="56" t="n"/>
      <c r="H2218" s="55" t="n"/>
      <c r="I2218" s="62" t="n"/>
      <c r="J2218" s="58" t="n"/>
      <c r="K2218" s="63">
        <f>IF(tblMovement[[#This Row],[Source]]="","",IFERROR(INDEX(tblSources[Type],MATCH(tblMovement[[#This Row],[Source]],tblSources[Source],0)),"?"))</f>
        <v/>
      </c>
      <c r="L2218" s="63">
        <f>IF(tblMovement[[#This Row],[Destination]]="","",IFERROR(INDEX(tblDestinations[Type],MATCH(tblMovement[[#This Row],[Destination]],tblDestinations[Destination],0)),"?"))</f>
        <v/>
      </c>
      <c r="M2218" s="64">
        <f>IF(tblMovement[[#This Row],[Material]]="","",IF(LEFT(tblMovement[[#This Row],[Material]],3)="Ore",1,0))</f>
        <v/>
      </c>
      <c r="N2218" s="59">
        <f>IF(OR(tblMovement[[#This Row],[Tonnes_t]]="",tblMovement[[#This Row],[Grade_gpt]]=""),0,tblMovement[[#This Row],[Tonnes_t]]*tblMovement[[#This Row],[Grade_gpt]]/cfg_TroyOz)</f>
        <v/>
      </c>
      <c r="O2218" s="59">
        <f>IF(tblMovement[[#This Row],[Is_Ore]]=1,tblMovement[[#This Row],[Contained_oz]],0)</f>
        <v/>
      </c>
    </row>
    <row r="2219">
      <c r="A2219" s="54" t="n"/>
      <c r="B2219" s="61" t="n"/>
      <c r="C2219" s="61" t="n"/>
      <c r="D2219" s="61" t="n"/>
      <c r="E2219" s="61" t="n"/>
      <c r="F2219" s="55" t="n"/>
      <c r="G2219" s="56" t="n"/>
      <c r="H2219" s="55" t="n"/>
      <c r="I2219" s="62" t="n"/>
      <c r="J2219" s="58" t="n"/>
      <c r="K2219" s="63">
        <f>IF(tblMovement[[#This Row],[Source]]="","",IFERROR(INDEX(tblSources[Type],MATCH(tblMovement[[#This Row],[Source]],tblSources[Source],0)),"?"))</f>
        <v/>
      </c>
      <c r="L2219" s="63">
        <f>IF(tblMovement[[#This Row],[Destination]]="","",IFERROR(INDEX(tblDestinations[Type],MATCH(tblMovement[[#This Row],[Destination]],tblDestinations[Destination],0)),"?"))</f>
        <v/>
      </c>
      <c r="M2219" s="64">
        <f>IF(tblMovement[[#This Row],[Material]]="","",IF(LEFT(tblMovement[[#This Row],[Material]],3)="Ore",1,0))</f>
        <v/>
      </c>
      <c r="N2219" s="59">
        <f>IF(OR(tblMovement[[#This Row],[Tonnes_t]]="",tblMovement[[#This Row],[Grade_gpt]]=""),0,tblMovement[[#This Row],[Tonnes_t]]*tblMovement[[#This Row],[Grade_gpt]]/cfg_TroyOz)</f>
        <v/>
      </c>
      <c r="O2219" s="59">
        <f>IF(tblMovement[[#This Row],[Is_Ore]]=1,tblMovement[[#This Row],[Contained_oz]],0)</f>
        <v/>
      </c>
    </row>
    <row r="2220">
      <c r="A2220" s="54" t="n"/>
      <c r="B2220" s="61" t="n"/>
      <c r="C2220" s="61" t="n"/>
      <c r="D2220" s="61" t="n"/>
      <c r="E2220" s="61" t="n"/>
      <c r="F2220" s="55" t="n"/>
      <c r="G2220" s="56" t="n"/>
      <c r="H2220" s="55" t="n"/>
      <c r="I2220" s="62" t="n"/>
      <c r="J2220" s="58" t="n"/>
      <c r="K2220" s="63">
        <f>IF(tblMovement[[#This Row],[Source]]="","",IFERROR(INDEX(tblSources[Type],MATCH(tblMovement[[#This Row],[Source]],tblSources[Source],0)),"?"))</f>
        <v/>
      </c>
      <c r="L2220" s="63">
        <f>IF(tblMovement[[#This Row],[Destination]]="","",IFERROR(INDEX(tblDestinations[Type],MATCH(tblMovement[[#This Row],[Destination]],tblDestinations[Destination],0)),"?"))</f>
        <v/>
      </c>
      <c r="M2220" s="64">
        <f>IF(tblMovement[[#This Row],[Material]]="","",IF(LEFT(tblMovement[[#This Row],[Material]],3)="Ore",1,0))</f>
        <v/>
      </c>
      <c r="N2220" s="59">
        <f>IF(OR(tblMovement[[#This Row],[Tonnes_t]]="",tblMovement[[#This Row],[Grade_gpt]]=""),0,tblMovement[[#This Row],[Tonnes_t]]*tblMovement[[#This Row],[Grade_gpt]]/cfg_TroyOz)</f>
        <v/>
      </c>
      <c r="O2220" s="59">
        <f>IF(tblMovement[[#This Row],[Is_Ore]]=1,tblMovement[[#This Row],[Contained_oz]],0)</f>
        <v/>
      </c>
    </row>
    <row r="2221">
      <c r="A2221" s="54" t="n"/>
      <c r="B2221" s="61" t="n"/>
      <c r="C2221" s="61" t="n"/>
      <c r="D2221" s="61" t="n"/>
      <c r="E2221" s="61" t="n"/>
      <c r="F2221" s="55" t="n"/>
      <c r="G2221" s="56" t="n"/>
      <c r="H2221" s="55" t="n"/>
      <c r="I2221" s="62" t="n"/>
      <c r="J2221" s="58" t="n"/>
      <c r="K2221" s="63">
        <f>IF(tblMovement[[#This Row],[Source]]="","",IFERROR(INDEX(tblSources[Type],MATCH(tblMovement[[#This Row],[Source]],tblSources[Source],0)),"?"))</f>
        <v/>
      </c>
      <c r="L2221" s="63">
        <f>IF(tblMovement[[#This Row],[Destination]]="","",IFERROR(INDEX(tblDestinations[Type],MATCH(tblMovement[[#This Row],[Destination]],tblDestinations[Destination],0)),"?"))</f>
        <v/>
      </c>
      <c r="M2221" s="64">
        <f>IF(tblMovement[[#This Row],[Material]]="","",IF(LEFT(tblMovement[[#This Row],[Material]],3)="Ore",1,0))</f>
        <v/>
      </c>
      <c r="N2221" s="59">
        <f>IF(OR(tblMovement[[#This Row],[Tonnes_t]]="",tblMovement[[#This Row],[Grade_gpt]]=""),0,tblMovement[[#This Row],[Tonnes_t]]*tblMovement[[#This Row],[Grade_gpt]]/cfg_TroyOz)</f>
        <v/>
      </c>
      <c r="O2221" s="59">
        <f>IF(tblMovement[[#This Row],[Is_Ore]]=1,tblMovement[[#This Row],[Contained_oz]],0)</f>
        <v/>
      </c>
    </row>
    <row r="2222">
      <c r="A2222" s="54" t="n"/>
      <c r="B2222" s="61" t="n"/>
      <c r="C2222" s="61" t="n"/>
      <c r="D2222" s="61" t="n"/>
      <c r="E2222" s="61" t="n"/>
      <c r="F2222" s="55" t="n"/>
      <c r="G2222" s="56" t="n"/>
      <c r="H2222" s="55" t="n"/>
      <c r="I2222" s="62" t="n"/>
      <c r="J2222" s="58" t="n"/>
      <c r="K2222" s="63">
        <f>IF(tblMovement[[#This Row],[Source]]="","",IFERROR(INDEX(tblSources[Type],MATCH(tblMovement[[#This Row],[Source]],tblSources[Source],0)),"?"))</f>
        <v/>
      </c>
      <c r="L2222" s="63">
        <f>IF(tblMovement[[#This Row],[Destination]]="","",IFERROR(INDEX(tblDestinations[Type],MATCH(tblMovement[[#This Row],[Destination]],tblDestinations[Destination],0)),"?"))</f>
        <v/>
      </c>
      <c r="M2222" s="64">
        <f>IF(tblMovement[[#This Row],[Material]]="","",IF(LEFT(tblMovement[[#This Row],[Material]],3)="Ore",1,0))</f>
        <v/>
      </c>
      <c r="N2222" s="59">
        <f>IF(OR(tblMovement[[#This Row],[Tonnes_t]]="",tblMovement[[#This Row],[Grade_gpt]]=""),0,tblMovement[[#This Row],[Tonnes_t]]*tblMovement[[#This Row],[Grade_gpt]]/cfg_TroyOz)</f>
        <v/>
      </c>
      <c r="O2222" s="59">
        <f>IF(tblMovement[[#This Row],[Is_Ore]]=1,tblMovement[[#This Row],[Contained_oz]],0)</f>
        <v/>
      </c>
    </row>
    <row r="2223">
      <c r="A2223" s="54" t="n"/>
      <c r="B2223" s="61" t="n"/>
      <c r="C2223" s="61" t="n"/>
      <c r="D2223" s="61" t="n"/>
      <c r="E2223" s="61" t="n"/>
      <c r="F2223" s="55" t="n"/>
      <c r="G2223" s="56" t="n"/>
      <c r="H2223" s="55" t="n"/>
      <c r="I2223" s="62" t="n"/>
      <c r="J2223" s="58" t="n"/>
      <c r="K2223" s="63">
        <f>IF(tblMovement[[#This Row],[Source]]="","",IFERROR(INDEX(tblSources[Type],MATCH(tblMovement[[#This Row],[Source]],tblSources[Source],0)),"?"))</f>
        <v/>
      </c>
      <c r="L2223" s="63">
        <f>IF(tblMovement[[#This Row],[Destination]]="","",IFERROR(INDEX(tblDestinations[Type],MATCH(tblMovement[[#This Row],[Destination]],tblDestinations[Destination],0)),"?"))</f>
        <v/>
      </c>
      <c r="M2223" s="64">
        <f>IF(tblMovement[[#This Row],[Material]]="","",IF(LEFT(tblMovement[[#This Row],[Material]],3)="Ore",1,0))</f>
        <v/>
      </c>
      <c r="N2223" s="59">
        <f>IF(OR(tblMovement[[#This Row],[Tonnes_t]]="",tblMovement[[#This Row],[Grade_gpt]]=""),0,tblMovement[[#This Row],[Tonnes_t]]*tblMovement[[#This Row],[Grade_gpt]]/cfg_TroyOz)</f>
        <v/>
      </c>
      <c r="O2223" s="59">
        <f>IF(tblMovement[[#This Row],[Is_Ore]]=1,tblMovement[[#This Row],[Contained_oz]],0)</f>
        <v/>
      </c>
    </row>
    <row r="2224">
      <c r="A2224" s="54" t="n"/>
      <c r="B2224" s="61" t="n"/>
      <c r="C2224" s="61" t="n"/>
      <c r="D2224" s="61" t="n"/>
      <c r="E2224" s="61" t="n"/>
      <c r="F2224" s="55" t="n"/>
      <c r="G2224" s="56" t="n"/>
      <c r="H2224" s="55" t="n"/>
      <c r="I2224" s="62" t="n"/>
      <c r="J2224" s="58" t="n"/>
      <c r="K2224" s="63">
        <f>IF(tblMovement[[#This Row],[Source]]="","",IFERROR(INDEX(tblSources[Type],MATCH(tblMovement[[#This Row],[Source]],tblSources[Source],0)),"?"))</f>
        <v/>
      </c>
      <c r="L2224" s="63">
        <f>IF(tblMovement[[#This Row],[Destination]]="","",IFERROR(INDEX(tblDestinations[Type],MATCH(tblMovement[[#This Row],[Destination]],tblDestinations[Destination],0)),"?"))</f>
        <v/>
      </c>
      <c r="M2224" s="64">
        <f>IF(tblMovement[[#This Row],[Material]]="","",IF(LEFT(tblMovement[[#This Row],[Material]],3)="Ore",1,0))</f>
        <v/>
      </c>
      <c r="N2224" s="59">
        <f>IF(OR(tblMovement[[#This Row],[Tonnes_t]]="",tblMovement[[#This Row],[Grade_gpt]]=""),0,tblMovement[[#This Row],[Tonnes_t]]*tblMovement[[#This Row],[Grade_gpt]]/cfg_TroyOz)</f>
        <v/>
      </c>
      <c r="O2224" s="59">
        <f>IF(tblMovement[[#This Row],[Is_Ore]]=1,tblMovement[[#This Row],[Contained_oz]],0)</f>
        <v/>
      </c>
    </row>
    <row r="2225">
      <c r="A2225" s="54" t="n"/>
      <c r="B2225" s="61" t="n"/>
      <c r="C2225" s="61" t="n"/>
      <c r="D2225" s="61" t="n"/>
      <c r="E2225" s="61" t="n"/>
      <c r="F2225" s="55" t="n"/>
      <c r="G2225" s="56" t="n"/>
      <c r="H2225" s="55" t="n"/>
      <c r="I2225" s="62" t="n"/>
      <c r="J2225" s="58" t="n"/>
      <c r="K2225" s="63">
        <f>IF(tblMovement[[#This Row],[Source]]="","",IFERROR(INDEX(tblSources[Type],MATCH(tblMovement[[#This Row],[Source]],tblSources[Source],0)),"?"))</f>
        <v/>
      </c>
      <c r="L2225" s="63">
        <f>IF(tblMovement[[#This Row],[Destination]]="","",IFERROR(INDEX(tblDestinations[Type],MATCH(tblMovement[[#This Row],[Destination]],tblDestinations[Destination],0)),"?"))</f>
        <v/>
      </c>
      <c r="M2225" s="64">
        <f>IF(tblMovement[[#This Row],[Material]]="","",IF(LEFT(tblMovement[[#This Row],[Material]],3)="Ore",1,0))</f>
        <v/>
      </c>
      <c r="N2225" s="59">
        <f>IF(OR(tblMovement[[#This Row],[Tonnes_t]]="",tblMovement[[#This Row],[Grade_gpt]]=""),0,tblMovement[[#This Row],[Tonnes_t]]*tblMovement[[#This Row],[Grade_gpt]]/cfg_TroyOz)</f>
        <v/>
      </c>
      <c r="O2225" s="59">
        <f>IF(tblMovement[[#This Row],[Is_Ore]]=1,tblMovement[[#This Row],[Contained_oz]],0)</f>
        <v/>
      </c>
    </row>
    <row r="2226">
      <c r="A2226" s="54" t="n"/>
      <c r="B2226" s="61" t="n"/>
      <c r="C2226" s="61" t="n"/>
      <c r="D2226" s="61" t="n"/>
      <c r="E2226" s="61" t="n"/>
      <c r="F2226" s="55" t="n"/>
      <c r="G2226" s="56" t="n"/>
      <c r="H2226" s="55" t="n"/>
      <c r="I2226" s="62" t="n"/>
      <c r="J2226" s="58" t="n"/>
      <c r="K2226" s="63">
        <f>IF(tblMovement[[#This Row],[Source]]="","",IFERROR(INDEX(tblSources[Type],MATCH(tblMovement[[#This Row],[Source]],tblSources[Source],0)),"?"))</f>
        <v/>
      </c>
      <c r="L2226" s="63">
        <f>IF(tblMovement[[#This Row],[Destination]]="","",IFERROR(INDEX(tblDestinations[Type],MATCH(tblMovement[[#This Row],[Destination]],tblDestinations[Destination],0)),"?"))</f>
        <v/>
      </c>
      <c r="M2226" s="64">
        <f>IF(tblMovement[[#This Row],[Material]]="","",IF(LEFT(tblMovement[[#This Row],[Material]],3)="Ore",1,0))</f>
        <v/>
      </c>
      <c r="N2226" s="59">
        <f>IF(OR(tblMovement[[#This Row],[Tonnes_t]]="",tblMovement[[#This Row],[Grade_gpt]]=""),0,tblMovement[[#This Row],[Tonnes_t]]*tblMovement[[#This Row],[Grade_gpt]]/cfg_TroyOz)</f>
        <v/>
      </c>
      <c r="O2226" s="59">
        <f>IF(tblMovement[[#This Row],[Is_Ore]]=1,tblMovement[[#This Row],[Contained_oz]],0)</f>
        <v/>
      </c>
    </row>
    <row r="2227">
      <c r="A2227" s="54" t="n"/>
      <c r="B2227" s="61" t="n"/>
      <c r="C2227" s="61" t="n"/>
      <c r="D2227" s="61" t="n"/>
      <c r="E2227" s="61" t="n"/>
      <c r="F2227" s="55" t="n"/>
      <c r="G2227" s="56" t="n"/>
      <c r="H2227" s="55" t="n"/>
      <c r="I2227" s="62" t="n"/>
      <c r="J2227" s="58" t="n"/>
      <c r="K2227" s="63">
        <f>IF(tblMovement[[#This Row],[Source]]="","",IFERROR(INDEX(tblSources[Type],MATCH(tblMovement[[#This Row],[Source]],tblSources[Source],0)),"?"))</f>
        <v/>
      </c>
      <c r="L2227" s="63">
        <f>IF(tblMovement[[#This Row],[Destination]]="","",IFERROR(INDEX(tblDestinations[Type],MATCH(tblMovement[[#This Row],[Destination]],tblDestinations[Destination],0)),"?"))</f>
        <v/>
      </c>
      <c r="M2227" s="64">
        <f>IF(tblMovement[[#This Row],[Material]]="","",IF(LEFT(tblMovement[[#This Row],[Material]],3)="Ore",1,0))</f>
        <v/>
      </c>
      <c r="N2227" s="59">
        <f>IF(OR(tblMovement[[#This Row],[Tonnes_t]]="",tblMovement[[#This Row],[Grade_gpt]]=""),0,tblMovement[[#This Row],[Tonnes_t]]*tblMovement[[#This Row],[Grade_gpt]]/cfg_TroyOz)</f>
        <v/>
      </c>
      <c r="O2227" s="59">
        <f>IF(tblMovement[[#This Row],[Is_Ore]]=1,tblMovement[[#This Row],[Contained_oz]],0)</f>
        <v/>
      </c>
    </row>
    <row r="2228">
      <c r="A2228" s="54" t="n"/>
      <c r="B2228" s="61" t="n"/>
      <c r="C2228" s="61" t="n"/>
      <c r="D2228" s="61" t="n"/>
      <c r="E2228" s="61" t="n"/>
      <c r="F2228" s="55" t="n"/>
      <c r="G2228" s="56" t="n"/>
      <c r="H2228" s="55" t="n"/>
      <c r="I2228" s="62" t="n"/>
      <c r="J2228" s="58" t="n"/>
      <c r="K2228" s="63">
        <f>IF(tblMovement[[#This Row],[Source]]="","",IFERROR(INDEX(tblSources[Type],MATCH(tblMovement[[#This Row],[Source]],tblSources[Source],0)),"?"))</f>
        <v/>
      </c>
      <c r="L2228" s="63">
        <f>IF(tblMovement[[#This Row],[Destination]]="","",IFERROR(INDEX(tblDestinations[Type],MATCH(tblMovement[[#This Row],[Destination]],tblDestinations[Destination],0)),"?"))</f>
        <v/>
      </c>
      <c r="M2228" s="64">
        <f>IF(tblMovement[[#This Row],[Material]]="","",IF(LEFT(tblMovement[[#This Row],[Material]],3)="Ore",1,0))</f>
        <v/>
      </c>
      <c r="N2228" s="59">
        <f>IF(OR(tblMovement[[#This Row],[Tonnes_t]]="",tblMovement[[#This Row],[Grade_gpt]]=""),0,tblMovement[[#This Row],[Tonnes_t]]*tblMovement[[#This Row],[Grade_gpt]]/cfg_TroyOz)</f>
        <v/>
      </c>
      <c r="O2228" s="59">
        <f>IF(tblMovement[[#This Row],[Is_Ore]]=1,tblMovement[[#This Row],[Contained_oz]],0)</f>
        <v/>
      </c>
    </row>
    <row r="2229">
      <c r="A2229" s="54" t="n"/>
      <c r="B2229" s="61" t="n"/>
      <c r="C2229" s="61" t="n"/>
      <c r="D2229" s="61" t="n"/>
      <c r="E2229" s="61" t="n"/>
      <c r="F2229" s="55" t="n"/>
      <c r="G2229" s="56" t="n"/>
      <c r="H2229" s="55" t="n"/>
      <c r="I2229" s="62" t="n"/>
      <c r="J2229" s="58" t="n"/>
      <c r="K2229" s="63">
        <f>IF(tblMovement[[#This Row],[Source]]="","",IFERROR(INDEX(tblSources[Type],MATCH(tblMovement[[#This Row],[Source]],tblSources[Source],0)),"?"))</f>
        <v/>
      </c>
      <c r="L2229" s="63">
        <f>IF(tblMovement[[#This Row],[Destination]]="","",IFERROR(INDEX(tblDestinations[Type],MATCH(tblMovement[[#This Row],[Destination]],tblDestinations[Destination],0)),"?"))</f>
        <v/>
      </c>
      <c r="M2229" s="64">
        <f>IF(tblMovement[[#This Row],[Material]]="","",IF(LEFT(tblMovement[[#This Row],[Material]],3)="Ore",1,0))</f>
        <v/>
      </c>
      <c r="N2229" s="59">
        <f>IF(OR(tblMovement[[#This Row],[Tonnes_t]]="",tblMovement[[#This Row],[Grade_gpt]]=""),0,tblMovement[[#This Row],[Tonnes_t]]*tblMovement[[#This Row],[Grade_gpt]]/cfg_TroyOz)</f>
        <v/>
      </c>
      <c r="O2229" s="59">
        <f>IF(tblMovement[[#This Row],[Is_Ore]]=1,tblMovement[[#This Row],[Contained_oz]],0)</f>
        <v/>
      </c>
    </row>
    <row r="2230">
      <c r="A2230" s="54" t="n"/>
      <c r="B2230" s="61" t="n"/>
      <c r="C2230" s="61" t="n"/>
      <c r="D2230" s="61" t="n"/>
      <c r="E2230" s="61" t="n"/>
      <c r="F2230" s="55" t="n"/>
      <c r="G2230" s="56" t="n"/>
      <c r="H2230" s="55" t="n"/>
      <c r="I2230" s="62" t="n"/>
      <c r="J2230" s="58" t="n"/>
      <c r="K2230" s="63">
        <f>IF(tblMovement[[#This Row],[Source]]="","",IFERROR(INDEX(tblSources[Type],MATCH(tblMovement[[#This Row],[Source]],tblSources[Source],0)),"?"))</f>
        <v/>
      </c>
      <c r="L2230" s="63">
        <f>IF(tblMovement[[#This Row],[Destination]]="","",IFERROR(INDEX(tblDestinations[Type],MATCH(tblMovement[[#This Row],[Destination]],tblDestinations[Destination],0)),"?"))</f>
        <v/>
      </c>
      <c r="M2230" s="64">
        <f>IF(tblMovement[[#This Row],[Material]]="","",IF(LEFT(tblMovement[[#This Row],[Material]],3)="Ore",1,0))</f>
        <v/>
      </c>
      <c r="N2230" s="59">
        <f>IF(OR(tblMovement[[#This Row],[Tonnes_t]]="",tblMovement[[#This Row],[Grade_gpt]]=""),0,tblMovement[[#This Row],[Tonnes_t]]*tblMovement[[#This Row],[Grade_gpt]]/cfg_TroyOz)</f>
        <v/>
      </c>
      <c r="O2230" s="59">
        <f>IF(tblMovement[[#This Row],[Is_Ore]]=1,tblMovement[[#This Row],[Contained_oz]],0)</f>
        <v/>
      </c>
    </row>
    <row r="2231">
      <c r="A2231" s="54" t="n"/>
      <c r="B2231" s="61" t="n"/>
      <c r="C2231" s="61" t="n"/>
      <c r="D2231" s="61" t="n"/>
      <c r="E2231" s="61" t="n"/>
      <c r="F2231" s="55" t="n"/>
      <c r="G2231" s="56" t="n"/>
      <c r="H2231" s="55" t="n"/>
      <c r="I2231" s="62" t="n"/>
      <c r="J2231" s="58" t="n"/>
      <c r="K2231" s="63">
        <f>IF(tblMovement[[#This Row],[Source]]="","",IFERROR(INDEX(tblSources[Type],MATCH(tblMovement[[#This Row],[Source]],tblSources[Source],0)),"?"))</f>
        <v/>
      </c>
      <c r="L2231" s="63">
        <f>IF(tblMovement[[#This Row],[Destination]]="","",IFERROR(INDEX(tblDestinations[Type],MATCH(tblMovement[[#This Row],[Destination]],tblDestinations[Destination],0)),"?"))</f>
        <v/>
      </c>
      <c r="M2231" s="64">
        <f>IF(tblMovement[[#This Row],[Material]]="","",IF(LEFT(tblMovement[[#This Row],[Material]],3)="Ore",1,0))</f>
        <v/>
      </c>
      <c r="N2231" s="59">
        <f>IF(OR(tblMovement[[#This Row],[Tonnes_t]]="",tblMovement[[#This Row],[Grade_gpt]]=""),0,tblMovement[[#This Row],[Tonnes_t]]*tblMovement[[#This Row],[Grade_gpt]]/cfg_TroyOz)</f>
        <v/>
      </c>
      <c r="O2231" s="59">
        <f>IF(tblMovement[[#This Row],[Is_Ore]]=1,tblMovement[[#This Row],[Contained_oz]],0)</f>
        <v/>
      </c>
    </row>
    <row r="2232">
      <c r="A2232" s="54" t="n"/>
      <c r="B2232" s="61" t="n"/>
      <c r="C2232" s="61" t="n"/>
      <c r="D2232" s="61" t="n"/>
      <c r="E2232" s="61" t="n"/>
      <c r="F2232" s="55" t="n"/>
      <c r="G2232" s="56" t="n"/>
      <c r="H2232" s="55" t="n"/>
      <c r="I2232" s="62" t="n"/>
      <c r="J2232" s="58" t="n"/>
      <c r="K2232" s="63">
        <f>IF(tblMovement[[#This Row],[Source]]="","",IFERROR(INDEX(tblSources[Type],MATCH(tblMovement[[#This Row],[Source]],tblSources[Source],0)),"?"))</f>
        <v/>
      </c>
      <c r="L2232" s="63">
        <f>IF(tblMovement[[#This Row],[Destination]]="","",IFERROR(INDEX(tblDestinations[Type],MATCH(tblMovement[[#This Row],[Destination]],tblDestinations[Destination],0)),"?"))</f>
        <v/>
      </c>
      <c r="M2232" s="64">
        <f>IF(tblMovement[[#This Row],[Material]]="","",IF(LEFT(tblMovement[[#This Row],[Material]],3)="Ore",1,0))</f>
        <v/>
      </c>
      <c r="N2232" s="59">
        <f>IF(OR(tblMovement[[#This Row],[Tonnes_t]]="",tblMovement[[#This Row],[Grade_gpt]]=""),0,tblMovement[[#This Row],[Tonnes_t]]*tblMovement[[#This Row],[Grade_gpt]]/cfg_TroyOz)</f>
        <v/>
      </c>
      <c r="O2232" s="59">
        <f>IF(tblMovement[[#This Row],[Is_Ore]]=1,tblMovement[[#This Row],[Contained_oz]],0)</f>
        <v/>
      </c>
    </row>
    <row r="2233">
      <c r="A2233" s="54" t="n"/>
      <c r="B2233" s="61" t="n"/>
      <c r="C2233" s="61" t="n"/>
      <c r="D2233" s="61" t="n"/>
      <c r="E2233" s="61" t="n"/>
      <c r="F2233" s="55" t="n"/>
      <c r="G2233" s="56" t="n"/>
      <c r="H2233" s="55" t="n"/>
      <c r="I2233" s="62" t="n"/>
      <c r="J2233" s="58" t="n"/>
      <c r="K2233" s="63">
        <f>IF(tblMovement[[#This Row],[Source]]="","",IFERROR(INDEX(tblSources[Type],MATCH(tblMovement[[#This Row],[Source]],tblSources[Source],0)),"?"))</f>
        <v/>
      </c>
      <c r="L2233" s="63">
        <f>IF(tblMovement[[#This Row],[Destination]]="","",IFERROR(INDEX(tblDestinations[Type],MATCH(tblMovement[[#This Row],[Destination]],tblDestinations[Destination],0)),"?"))</f>
        <v/>
      </c>
      <c r="M2233" s="64">
        <f>IF(tblMovement[[#This Row],[Material]]="","",IF(LEFT(tblMovement[[#This Row],[Material]],3)="Ore",1,0))</f>
        <v/>
      </c>
      <c r="N2233" s="59">
        <f>IF(OR(tblMovement[[#This Row],[Tonnes_t]]="",tblMovement[[#This Row],[Grade_gpt]]=""),0,tblMovement[[#This Row],[Tonnes_t]]*tblMovement[[#This Row],[Grade_gpt]]/cfg_TroyOz)</f>
        <v/>
      </c>
      <c r="O2233" s="59">
        <f>IF(tblMovement[[#This Row],[Is_Ore]]=1,tblMovement[[#This Row],[Contained_oz]],0)</f>
        <v/>
      </c>
    </row>
    <row r="2234">
      <c r="A2234" s="54" t="n"/>
      <c r="B2234" s="61" t="n"/>
      <c r="C2234" s="61" t="n"/>
      <c r="D2234" s="61" t="n"/>
      <c r="E2234" s="61" t="n"/>
      <c r="F2234" s="55" t="n"/>
      <c r="G2234" s="56" t="n"/>
      <c r="H2234" s="55" t="n"/>
      <c r="I2234" s="62" t="n"/>
      <c r="J2234" s="58" t="n"/>
      <c r="K2234" s="63">
        <f>IF(tblMovement[[#This Row],[Source]]="","",IFERROR(INDEX(tblSources[Type],MATCH(tblMovement[[#This Row],[Source]],tblSources[Source],0)),"?"))</f>
        <v/>
      </c>
      <c r="L2234" s="63">
        <f>IF(tblMovement[[#This Row],[Destination]]="","",IFERROR(INDEX(tblDestinations[Type],MATCH(tblMovement[[#This Row],[Destination]],tblDestinations[Destination],0)),"?"))</f>
        <v/>
      </c>
      <c r="M2234" s="64">
        <f>IF(tblMovement[[#This Row],[Material]]="","",IF(LEFT(tblMovement[[#This Row],[Material]],3)="Ore",1,0))</f>
        <v/>
      </c>
      <c r="N2234" s="59">
        <f>IF(OR(tblMovement[[#This Row],[Tonnes_t]]="",tblMovement[[#This Row],[Grade_gpt]]=""),0,tblMovement[[#This Row],[Tonnes_t]]*tblMovement[[#This Row],[Grade_gpt]]/cfg_TroyOz)</f>
        <v/>
      </c>
      <c r="O2234" s="59">
        <f>IF(tblMovement[[#This Row],[Is_Ore]]=1,tblMovement[[#This Row],[Contained_oz]],0)</f>
        <v/>
      </c>
    </row>
    <row r="2235">
      <c r="A2235" s="54" t="n"/>
      <c r="B2235" s="61" t="n"/>
      <c r="C2235" s="61" t="n"/>
      <c r="D2235" s="61" t="n"/>
      <c r="E2235" s="61" t="n"/>
      <c r="F2235" s="55" t="n"/>
      <c r="G2235" s="56" t="n"/>
      <c r="H2235" s="55" t="n"/>
      <c r="I2235" s="62" t="n"/>
      <c r="J2235" s="58" t="n"/>
      <c r="K2235" s="63">
        <f>IF(tblMovement[[#This Row],[Source]]="","",IFERROR(INDEX(tblSources[Type],MATCH(tblMovement[[#This Row],[Source]],tblSources[Source],0)),"?"))</f>
        <v/>
      </c>
      <c r="L2235" s="63">
        <f>IF(tblMovement[[#This Row],[Destination]]="","",IFERROR(INDEX(tblDestinations[Type],MATCH(tblMovement[[#This Row],[Destination]],tblDestinations[Destination],0)),"?"))</f>
        <v/>
      </c>
      <c r="M2235" s="64">
        <f>IF(tblMovement[[#This Row],[Material]]="","",IF(LEFT(tblMovement[[#This Row],[Material]],3)="Ore",1,0))</f>
        <v/>
      </c>
      <c r="N2235" s="59">
        <f>IF(OR(tblMovement[[#This Row],[Tonnes_t]]="",tblMovement[[#This Row],[Grade_gpt]]=""),0,tblMovement[[#This Row],[Tonnes_t]]*tblMovement[[#This Row],[Grade_gpt]]/cfg_TroyOz)</f>
        <v/>
      </c>
      <c r="O2235" s="59">
        <f>IF(tblMovement[[#This Row],[Is_Ore]]=1,tblMovement[[#This Row],[Contained_oz]],0)</f>
        <v/>
      </c>
    </row>
    <row r="2236">
      <c r="A2236" s="54" t="n"/>
      <c r="B2236" s="61" t="n"/>
      <c r="C2236" s="61" t="n"/>
      <c r="D2236" s="61" t="n"/>
      <c r="E2236" s="61" t="n"/>
      <c r="F2236" s="55" t="n"/>
      <c r="G2236" s="56" t="n"/>
      <c r="H2236" s="55" t="n"/>
      <c r="I2236" s="62" t="n"/>
      <c r="J2236" s="58" t="n"/>
      <c r="K2236" s="63">
        <f>IF(tblMovement[[#This Row],[Source]]="","",IFERROR(INDEX(tblSources[Type],MATCH(tblMovement[[#This Row],[Source]],tblSources[Source],0)),"?"))</f>
        <v/>
      </c>
      <c r="L2236" s="63">
        <f>IF(tblMovement[[#This Row],[Destination]]="","",IFERROR(INDEX(tblDestinations[Type],MATCH(tblMovement[[#This Row],[Destination]],tblDestinations[Destination],0)),"?"))</f>
        <v/>
      </c>
      <c r="M2236" s="64">
        <f>IF(tblMovement[[#This Row],[Material]]="","",IF(LEFT(tblMovement[[#This Row],[Material]],3)="Ore",1,0))</f>
        <v/>
      </c>
      <c r="N2236" s="59">
        <f>IF(OR(tblMovement[[#This Row],[Tonnes_t]]="",tblMovement[[#This Row],[Grade_gpt]]=""),0,tblMovement[[#This Row],[Tonnes_t]]*tblMovement[[#This Row],[Grade_gpt]]/cfg_TroyOz)</f>
        <v/>
      </c>
      <c r="O2236" s="59">
        <f>IF(tblMovement[[#This Row],[Is_Ore]]=1,tblMovement[[#This Row],[Contained_oz]],0)</f>
        <v/>
      </c>
    </row>
    <row r="2237">
      <c r="A2237" s="54" t="n"/>
      <c r="B2237" s="61" t="n"/>
      <c r="C2237" s="61" t="n"/>
      <c r="D2237" s="61" t="n"/>
      <c r="E2237" s="61" t="n"/>
      <c r="F2237" s="55" t="n"/>
      <c r="G2237" s="56" t="n"/>
      <c r="H2237" s="55" t="n"/>
      <c r="I2237" s="62" t="n"/>
      <c r="J2237" s="58" t="n"/>
      <c r="K2237" s="63">
        <f>IF(tblMovement[[#This Row],[Source]]="","",IFERROR(INDEX(tblSources[Type],MATCH(tblMovement[[#This Row],[Source]],tblSources[Source],0)),"?"))</f>
        <v/>
      </c>
      <c r="L2237" s="63">
        <f>IF(tblMovement[[#This Row],[Destination]]="","",IFERROR(INDEX(tblDestinations[Type],MATCH(tblMovement[[#This Row],[Destination]],tblDestinations[Destination],0)),"?"))</f>
        <v/>
      </c>
      <c r="M2237" s="64">
        <f>IF(tblMovement[[#This Row],[Material]]="","",IF(LEFT(tblMovement[[#This Row],[Material]],3)="Ore",1,0))</f>
        <v/>
      </c>
      <c r="N2237" s="59">
        <f>IF(OR(tblMovement[[#This Row],[Tonnes_t]]="",tblMovement[[#This Row],[Grade_gpt]]=""),0,tblMovement[[#This Row],[Tonnes_t]]*tblMovement[[#This Row],[Grade_gpt]]/cfg_TroyOz)</f>
        <v/>
      </c>
      <c r="O2237" s="59">
        <f>IF(tblMovement[[#This Row],[Is_Ore]]=1,tblMovement[[#This Row],[Contained_oz]],0)</f>
        <v/>
      </c>
    </row>
    <row r="2238">
      <c r="A2238" s="54" t="n"/>
      <c r="B2238" s="61" t="n"/>
      <c r="C2238" s="61" t="n"/>
      <c r="D2238" s="61" t="n"/>
      <c r="E2238" s="61" t="n"/>
      <c r="F2238" s="55" t="n"/>
      <c r="G2238" s="56" t="n"/>
      <c r="H2238" s="55" t="n"/>
      <c r="I2238" s="62" t="n"/>
      <c r="J2238" s="58" t="n"/>
      <c r="K2238" s="63">
        <f>IF(tblMovement[[#This Row],[Source]]="","",IFERROR(INDEX(tblSources[Type],MATCH(tblMovement[[#This Row],[Source]],tblSources[Source],0)),"?"))</f>
        <v/>
      </c>
      <c r="L2238" s="63">
        <f>IF(tblMovement[[#This Row],[Destination]]="","",IFERROR(INDEX(tblDestinations[Type],MATCH(tblMovement[[#This Row],[Destination]],tblDestinations[Destination],0)),"?"))</f>
        <v/>
      </c>
      <c r="M2238" s="64">
        <f>IF(tblMovement[[#This Row],[Material]]="","",IF(LEFT(tblMovement[[#This Row],[Material]],3)="Ore",1,0))</f>
        <v/>
      </c>
      <c r="N2238" s="59">
        <f>IF(OR(tblMovement[[#This Row],[Tonnes_t]]="",tblMovement[[#This Row],[Grade_gpt]]=""),0,tblMovement[[#This Row],[Tonnes_t]]*tblMovement[[#This Row],[Grade_gpt]]/cfg_TroyOz)</f>
        <v/>
      </c>
      <c r="O2238" s="59">
        <f>IF(tblMovement[[#This Row],[Is_Ore]]=1,tblMovement[[#This Row],[Contained_oz]],0)</f>
        <v/>
      </c>
    </row>
    <row r="2239">
      <c r="A2239" s="54" t="n"/>
      <c r="B2239" s="61" t="n"/>
      <c r="C2239" s="61" t="n"/>
      <c r="D2239" s="61" t="n"/>
      <c r="E2239" s="61" t="n"/>
      <c r="F2239" s="55" t="n"/>
      <c r="G2239" s="56" t="n"/>
      <c r="H2239" s="55" t="n"/>
      <c r="I2239" s="62" t="n"/>
      <c r="J2239" s="58" t="n"/>
      <c r="K2239" s="63">
        <f>IF(tblMovement[[#This Row],[Source]]="","",IFERROR(INDEX(tblSources[Type],MATCH(tblMovement[[#This Row],[Source]],tblSources[Source],0)),"?"))</f>
        <v/>
      </c>
      <c r="L2239" s="63">
        <f>IF(tblMovement[[#This Row],[Destination]]="","",IFERROR(INDEX(tblDestinations[Type],MATCH(tblMovement[[#This Row],[Destination]],tblDestinations[Destination],0)),"?"))</f>
        <v/>
      </c>
      <c r="M2239" s="64">
        <f>IF(tblMovement[[#This Row],[Material]]="","",IF(LEFT(tblMovement[[#This Row],[Material]],3)="Ore",1,0))</f>
        <v/>
      </c>
      <c r="N2239" s="59">
        <f>IF(OR(tblMovement[[#This Row],[Tonnes_t]]="",tblMovement[[#This Row],[Grade_gpt]]=""),0,tblMovement[[#This Row],[Tonnes_t]]*tblMovement[[#This Row],[Grade_gpt]]/cfg_TroyOz)</f>
        <v/>
      </c>
      <c r="O2239" s="59">
        <f>IF(tblMovement[[#This Row],[Is_Ore]]=1,tblMovement[[#This Row],[Contained_oz]],0)</f>
        <v/>
      </c>
    </row>
    <row r="2240">
      <c r="A2240" s="54" t="n"/>
      <c r="B2240" s="61" t="n"/>
      <c r="C2240" s="61" t="n"/>
      <c r="D2240" s="61" t="n"/>
      <c r="E2240" s="61" t="n"/>
      <c r="F2240" s="55" t="n"/>
      <c r="G2240" s="56" t="n"/>
      <c r="H2240" s="55" t="n"/>
      <c r="I2240" s="62" t="n"/>
      <c r="J2240" s="58" t="n"/>
      <c r="K2240" s="63">
        <f>IF(tblMovement[[#This Row],[Source]]="","",IFERROR(INDEX(tblSources[Type],MATCH(tblMovement[[#This Row],[Source]],tblSources[Source],0)),"?"))</f>
        <v/>
      </c>
      <c r="L2240" s="63">
        <f>IF(tblMovement[[#This Row],[Destination]]="","",IFERROR(INDEX(tblDestinations[Type],MATCH(tblMovement[[#This Row],[Destination]],tblDestinations[Destination],0)),"?"))</f>
        <v/>
      </c>
      <c r="M2240" s="64">
        <f>IF(tblMovement[[#This Row],[Material]]="","",IF(LEFT(tblMovement[[#This Row],[Material]],3)="Ore",1,0))</f>
        <v/>
      </c>
      <c r="N2240" s="59">
        <f>IF(OR(tblMovement[[#This Row],[Tonnes_t]]="",tblMovement[[#This Row],[Grade_gpt]]=""),0,tblMovement[[#This Row],[Tonnes_t]]*tblMovement[[#This Row],[Grade_gpt]]/cfg_TroyOz)</f>
        <v/>
      </c>
      <c r="O2240" s="59">
        <f>IF(tblMovement[[#This Row],[Is_Ore]]=1,tblMovement[[#This Row],[Contained_oz]],0)</f>
        <v/>
      </c>
    </row>
    <row r="2241">
      <c r="A2241" s="54" t="n"/>
      <c r="B2241" s="61" t="n"/>
      <c r="C2241" s="61" t="n"/>
      <c r="D2241" s="61" t="n"/>
      <c r="E2241" s="61" t="n"/>
      <c r="F2241" s="55" t="n"/>
      <c r="G2241" s="56" t="n"/>
      <c r="H2241" s="55" t="n"/>
      <c r="I2241" s="62" t="n"/>
      <c r="J2241" s="58" t="n"/>
      <c r="K2241" s="63">
        <f>IF(tblMovement[[#This Row],[Source]]="","",IFERROR(INDEX(tblSources[Type],MATCH(tblMovement[[#This Row],[Source]],tblSources[Source],0)),"?"))</f>
        <v/>
      </c>
      <c r="L2241" s="63">
        <f>IF(tblMovement[[#This Row],[Destination]]="","",IFERROR(INDEX(tblDestinations[Type],MATCH(tblMovement[[#This Row],[Destination]],tblDestinations[Destination],0)),"?"))</f>
        <v/>
      </c>
      <c r="M2241" s="64">
        <f>IF(tblMovement[[#This Row],[Material]]="","",IF(LEFT(tblMovement[[#This Row],[Material]],3)="Ore",1,0))</f>
        <v/>
      </c>
      <c r="N2241" s="59">
        <f>IF(OR(tblMovement[[#This Row],[Tonnes_t]]="",tblMovement[[#This Row],[Grade_gpt]]=""),0,tblMovement[[#This Row],[Tonnes_t]]*tblMovement[[#This Row],[Grade_gpt]]/cfg_TroyOz)</f>
        <v/>
      </c>
      <c r="O2241" s="59">
        <f>IF(tblMovement[[#This Row],[Is_Ore]]=1,tblMovement[[#This Row],[Contained_oz]],0)</f>
        <v/>
      </c>
    </row>
    <row r="2242">
      <c r="A2242" s="54" t="n"/>
      <c r="B2242" s="61" t="n"/>
      <c r="C2242" s="61" t="n"/>
      <c r="D2242" s="61" t="n"/>
      <c r="E2242" s="61" t="n"/>
      <c r="F2242" s="55" t="n"/>
      <c r="G2242" s="56" t="n"/>
      <c r="H2242" s="55" t="n"/>
      <c r="I2242" s="62" t="n"/>
      <c r="J2242" s="58" t="n"/>
      <c r="K2242" s="63">
        <f>IF(tblMovement[[#This Row],[Source]]="","",IFERROR(INDEX(tblSources[Type],MATCH(tblMovement[[#This Row],[Source]],tblSources[Source],0)),"?"))</f>
        <v/>
      </c>
      <c r="L2242" s="63">
        <f>IF(tblMovement[[#This Row],[Destination]]="","",IFERROR(INDEX(tblDestinations[Type],MATCH(tblMovement[[#This Row],[Destination]],tblDestinations[Destination],0)),"?"))</f>
        <v/>
      </c>
      <c r="M2242" s="64">
        <f>IF(tblMovement[[#This Row],[Material]]="","",IF(LEFT(tblMovement[[#This Row],[Material]],3)="Ore",1,0))</f>
        <v/>
      </c>
      <c r="N2242" s="59">
        <f>IF(OR(tblMovement[[#This Row],[Tonnes_t]]="",tblMovement[[#This Row],[Grade_gpt]]=""),0,tblMovement[[#This Row],[Tonnes_t]]*tblMovement[[#This Row],[Grade_gpt]]/cfg_TroyOz)</f>
        <v/>
      </c>
      <c r="O2242" s="59">
        <f>IF(tblMovement[[#This Row],[Is_Ore]]=1,tblMovement[[#This Row],[Contained_oz]],0)</f>
        <v/>
      </c>
    </row>
    <row r="2243">
      <c r="A2243" s="54" t="n"/>
      <c r="B2243" s="61" t="n"/>
      <c r="C2243" s="61" t="n"/>
      <c r="D2243" s="61" t="n"/>
      <c r="E2243" s="61" t="n"/>
      <c r="F2243" s="55" t="n"/>
      <c r="G2243" s="56" t="n"/>
      <c r="H2243" s="55" t="n"/>
      <c r="I2243" s="62" t="n"/>
      <c r="J2243" s="58" t="n"/>
      <c r="K2243" s="63">
        <f>IF(tblMovement[[#This Row],[Source]]="","",IFERROR(INDEX(tblSources[Type],MATCH(tblMovement[[#This Row],[Source]],tblSources[Source],0)),"?"))</f>
        <v/>
      </c>
      <c r="L2243" s="63">
        <f>IF(tblMovement[[#This Row],[Destination]]="","",IFERROR(INDEX(tblDestinations[Type],MATCH(tblMovement[[#This Row],[Destination]],tblDestinations[Destination],0)),"?"))</f>
        <v/>
      </c>
      <c r="M2243" s="64">
        <f>IF(tblMovement[[#This Row],[Material]]="","",IF(LEFT(tblMovement[[#This Row],[Material]],3)="Ore",1,0))</f>
        <v/>
      </c>
      <c r="N2243" s="59">
        <f>IF(OR(tblMovement[[#This Row],[Tonnes_t]]="",tblMovement[[#This Row],[Grade_gpt]]=""),0,tblMovement[[#This Row],[Tonnes_t]]*tblMovement[[#This Row],[Grade_gpt]]/cfg_TroyOz)</f>
        <v/>
      </c>
      <c r="O2243" s="59">
        <f>IF(tblMovement[[#This Row],[Is_Ore]]=1,tblMovement[[#This Row],[Contained_oz]],0)</f>
        <v/>
      </c>
    </row>
    <row r="2244">
      <c r="A2244" s="54" t="n"/>
      <c r="B2244" s="61" t="n"/>
      <c r="C2244" s="61" t="n"/>
      <c r="D2244" s="61" t="n"/>
      <c r="E2244" s="61" t="n"/>
      <c r="F2244" s="55" t="n"/>
      <c r="G2244" s="56" t="n"/>
      <c r="H2244" s="55" t="n"/>
      <c r="I2244" s="62" t="n"/>
      <c r="J2244" s="58" t="n"/>
      <c r="K2244" s="63">
        <f>IF(tblMovement[[#This Row],[Source]]="","",IFERROR(INDEX(tblSources[Type],MATCH(tblMovement[[#This Row],[Source]],tblSources[Source],0)),"?"))</f>
        <v/>
      </c>
      <c r="L2244" s="63">
        <f>IF(tblMovement[[#This Row],[Destination]]="","",IFERROR(INDEX(tblDestinations[Type],MATCH(tblMovement[[#This Row],[Destination]],tblDestinations[Destination],0)),"?"))</f>
        <v/>
      </c>
      <c r="M2244" s="64">
        <f>IF(tblMovement[[#This Row],[Material]]="","",IF(LEFT(tblMovement[[#This Row],[Material]],3)="Ore",1,0))</f>
        <v/>
      </c>
      <c r="N2244" s="59">
        <f>IF(OR(tblMovement[[#This Row],[Tonnes_t]]="",tblMovement[[#This Row],[Grade_gpt]]=""),0,tblMovement[[#This Row],[Tonnes_t]]*tblMovement[[#This Row],[Grade_gpt]]/cfg_TroyOz)</f>
        <v/>
      </c>
      <c r="O2244" s="59">
        <f>IF(tblMovement[[#This Row],[Is_Ore]]=1,tblMovement[[#This Row],[Contained_oz]],0)</f>
        <v/>
      </c>
    </row>
    <row r="2245">
      <c r="A2245" s="54" t="n"/>
      <c r="B2245" s="61" t="n"/>
      <c r="C2245" s="61" t="n"/>
      <c r="D2245" s="61" t="n"/>
      <c r="E2245" s="61" t="n"/>
      <c r="F2245" s="55" t="n"/>
      <c r="G2245" s="56" t="n"/>
      <c r="H2245" s="55" t="n"/>
      <c r="I2245" s="62" t="n"/>
      <c r="J2245" s="58" t="n"/>
      <c r="K2245" s="63">
        <f>IF(tblMovement[[#This Row],[Source]]="","",IFERROR(INDEX(tblSources[Type],MATCH(tblMovement[[#This Row],[Source]],tblSources[Source],0)),"?"))</f>
        <v/>
      </c>
      <c r="L2245" s="63">
        <f>IF(tblMovement[[#This Row],[Destination]]="","",IFERROR(INDEX(tblDestinations[Type],MATCH(tblMovement[[#This Row],[Destination]],tblDestinations[Destination],0)),"?"))</f>
        <v/>
      </c>
      <c r="M2245" s="64">
        <f>IF(tblMovement[[#This Row],[Material]]="","",IF(LEFT(tblMovement[[#This Row],[Material]],3)="Ore",1,0))</f>
        <v/>
      </c>
      <c r="N2245" s="59">
        <f>IF(OR(tblMovement[[#This Row],[Tonnes_t]]="",tblMovement[[#This Row],[Grade_gpt]]=""),0,tblMovement[[#This Row],[Tonnes_t]]*tblMovement[[#This Row],[Grade_gpt]]/cfg_TroyOz)</f>
        <v/>
      </c>
      <c r="O2245" s="59">
        <f>IF(tblMovement[[#This Row],[Is_Ore]]=1,tblMovement[[#This Row],[Contained_oz]],0)</f>
        <v/>
      </c>
    </row>
    <row r="2246">
      <c r="A2246" s="54" t="n"/>
      <c r="B2246" s="61" t="n"/>
      <c r="C2246" s="61" t="n"/>
      <c r="D2246" s="61" t="n"/>
      <c r="E2246" s="61" t="n"/>
      <c r="F2246" s="55" t="n"/>
      <c r="G2246" s="56" t="n"/>
      <c r="H2246" s="55" t="n"/>
      <c r="I2246" s="62" t="n"/>
      <c r="J2246" s="58" t="n"/>
      <c r="K2246" s="63">
        <f>IF(tblMovement[[#This Row],[Source]]="","",IFERROR(INDEX(tblSources[Type],MATCH(tblMovement[[#This Row],[Source]],tblSources[Source],0)),"?"))</f>
        <v/>
      </c>
      <c r="L2246" s="63">
        <f>IF(tblMovement[[#This Row],[Destination]]="","",IFERROR(INDEX(tblDestinations[Type],MATCH(tblMovement[[#This Row],[Destination]],tblDestinations[Destination],0)),"?"))</f>
        <v/>
      </c>
      <c r="M2246" s="64">
        <f>IF(tblMovement[[#This Row],[Material]]="","",IF(LEFT(tblMovement[[#This Row],[Material]],3)="Ore",1,0))</f>
        <v/>
      </c>
      <c r="N2246" s="59">
        <f>IF(OR(tblMovement[[#This Row],[Tonnes_t]]="",tblMovement[[#This Row],[Grade_gpt]]=""),0,tblMovement[[#This Row],[Tonnes_t]]*tblMovement[[#This Row],[Grade_gpt]]/cfg_TroyOz)</f>
        <v/>
      </c>
      <c r="O2246" s="59">
        <f>IF(tblMovement[[#This Row],[Is_Ore]]=1,tblMovement[[#This Row],[Contained_oz]],0)</f>
        <v/>
      </c>
    </row>
    <row r="2247">
      <c r="A2247" s="54" t="n"/>
      <c r="B2247" s="61" t="n"/>
      <c r="C2247" s="61" t="n"/>
      <c r="D2247" s="61" t="n"/>
      <c r="E2247" s="61" t="n"/>
      <c r="F2247" s="55" t="n"/>
      <c r="G2247" s="56" t="n"/>
      <c r="H2247" s="55" t="n"/>
      <c r="I2247" s="62" t="n"/>
      <c r="J2247" s="58" t="n"/>
      <c r="K2247" s="63">
        <f>IF(tblMovement[[#This Row],[Source]]="","",IFERROR(INDEX(tblSources[Type],MATCH(tblMovement[[#This Row],[Source]],tblSources[Source],0)),"?"))</f>
        <v/>
      </c>
      <c r="L2247" s="63">
        <f>IF(tblMovement[[#This Row],[Destination]]="","",IFERROR(INDEX(tblDestinations[Type],MATCH(tblMovement[[#This Row],[Destination]],tblDestinations[Destination],0)),"?"))</f>
        <v/>
      </c>
      <c r="M2247" s="64">
        <f>IF(tblMovement[[#This Row],[Material]]="","",IF(LEFT(tblMovement[[#This Row],[Material]],3)="Ore",1,0))</f>
        <v/>
      </c>
      <c r="N2247" s="59">
        <f>IF(OR(tblMovement[[#This Row],[Tonnes_t]]="",tblMovement[[#This Row],[Grade_gpt]]=""),0,tblMovement[[#This Row],[Tonnes_t]]*tblMovement[[#This Row],[Grade_gpt]]/cfg_TroyOz)</f>
        <v/>
      </c>
      <c r="O2247" s="59">
        <f>IF(tblMovement[[#This Row],[Is_Ore]]=1,tblMovement[[#This Row],[Contained_oz]],0)</f>
        <v/>
      </c>
    </row>
    <row r="2248">
      <c r="A2248" s="54" t="n"/>
      <c r="B2248" s="61" t="n"/>
      <c r="C2248" s="61" t="n"/>
      <c r="D2248" s="61" t="n"/>
      <c r="E2248" s="61" t="n"/>
      <c r="F2248" s="55" t="n"/>
      <c r="G2248" s="56" t="n"/>
      <c r="H2248" s="55" t="n"/>
      <c r="I2248" s="62" t="n"/>
      <c r="J2248" s="58" t="n"/>
      <c r="K2248" s="63">
        <f>IF(tblMovement[[#This Row],[Source]]="","",IFERROR(INDEX(tblSources[Type],MATCH(tblMovement[[#This Row],[Source]],tblSources[Source],0)),"?"))</f>
        <v/>
      </c>
      <c r="L2248" s="63">
        <f>IF(tblMovement[[#This Row],[Destination]]="","",IFERROR(INDEX(tblDestinations[Type],MATCH(tblMovement[[#This Row],[Destination]],tblDestinations[Destination],0)),"?"))</f>
        <v/>
      </c>
      <c r="M2248" s="64">
        <f>IF(tblMovement[[#This Row],[Material]]="","",IF(LEFT(tblMovement[[#This Row],[Material]],3)="Ore",1,0))</f>
        <v/>
      </c>
      <c r="N2248" s="59">
        <f>IF(OR(tblMovement[[#This Row],[Tonnes_t]]="",tblMovement[[#This Row],[Grade_gpt]]=""),0,tblMovement[[#This Row],[Tonnes_t]]*tblMovement[[#This Row],[Grade_gpt]]/cfg_TroyOz)</f>
        <v/>
      </c>
      <c r="O2248" s="59">
        <f>IF(tblMovement[[#This Row],[Is_Ore]]=1,tblMovement[[#This Row],[Contained_oz]],0)</f>
        <v/>
      </c>
    </row>
    <row r="2249">
      <c r="A2249" s="54" t="n"/>
      <c r="B2249" s="61" t="n"/>
      <c r="C2249" s="61" t="n"/>
      <c r="D2249" s="61" t="n"/>
      <c r="E2249" s="61" t="n"/>
      <c r="F2249" s="55" t="n"/>
      <c r="G2249" s="56" t="n"/>
      <c r="H2249" s="55" t="n"/>
      <c r="I2249" s="62" t="n"/>
      <c r="J2249" s="58" t="n"/>
      <c r="K2249" s="63">
        <f>IF(tblMovement[[#This Row],[Source]]="","",IFERROR(INDEX(tblSources[Type],MATCH(tblMovement[[#This Row],[Source]],tblSources[Source],0)),"?"))</f>
        <v/>
      </c>
      <c r="L2249" s="63">
        <f>IF(tblMovement[[#This Row],[Destination]]="","",IFERROR(INDEX(tblDestinations[Type],MATCH(tblMovement[[#This Row],[Destination]],tblDestinations[Destination],0)),"?"))</f>
        <v/>
      </c>
      <c r="M2249" s="64">
        <f>IF(tblMovement[[#This Row],[Material]]="","",IF(LEFT(tblMovement[[#This Row],[Material]],3)="Ore",1,0))</f>
        <v/>
      </c>
      <c r="N2249" s="59">
        <f>IF(OR(tblMovement[[#This Row],[Tonnes_t]]="",tblMovement[[#This Row],[Grade_gpt]]=""),0,tblMovement[[#This Row],[Tonnes_t]]*tblMovement[[#This Row],[Grade_gpt]]/cfg_TroyOz)</f>
        <v/>
      </c>
      <c r="O2249" s="59">
        <f>IF(tblMovement[[#This Row],[Is_Ore]]=1,tblMovement[[#This Row],[Contained_oz]],0)</f>
        <v/>
      </c>
    </row>
    <row r="2250">
      <c r="A2250" s="54" t="n"/>
      <c r="B2250" s="61" t="n"/>
      <c r="C2250" s="61" t="n"/>
      <c r="D2250" s="61" t="n"/>
      <c r="E2250" s="61" t="n"/>
      <c r="F2250" s="55" t="n"/>
      <c r="G2250" s="56" t="n"/>
      <c r="H2250" s="55" t="n"/>
      <c r="I2250" s="62" t="n"/>
      <c r="J2250" s="58" t="n"/>
      <c r="K2250" s="63">
        <f>IF(tblMovement[[#This Row],[Source]]="","",IFERROR(INDEX(tblSources[Type],MATCH(tblMovement[[#This Row],[Source]],tblSources[Source],0)),"?"))</f>
        <v/>
      </c>
      <c r="L2250" s="63">
        <f>IF(tblMovement[[#This Row],[Destination]]="","",IFERROR(INDEX(tblDestinations[Type],MATCH(tblMovement[[#This Row],[Destination]],tblDestinations[Destination],0)),"?"))</f>
        <v/>
      </c>
      <c r="M2250" s="64">
        <f>IF(tblMovement[[#This Row],[Material]]="","",IF(LEFT(tblMovement[[#This Row],[Material]],3)="Ore",1,0))</f>
        <v/>
      </c>
      <c r="N2250" s="59">
        <f>IF(OR(tblMovement[[#This Row],[Tonnes_t]]="",tblMovement[[#This Row],[Grade_gpt]]=""),0,tblMovement[[#This Row],[Tonnes_t]]*tblMovement[[#This Row],[Grade_gpt]]/cfg_TroyOz)</f>
        <v/>
      </c>
      <c r="O2250" s="59">
        <f>IF(tblMovement[[#This Row],[Is_Ore]]=1,tblMovement[[#This Row],[Contained_oz]],0)</f>
        <v/>
      </c>
    </row>
    <row r="2251">
      <c r="A2251" s="54" t="n"/>
      <c r="B2251" s="61" t="n"/>
      <c r="C2251" s="61" t="n"/>
      <c r="D2251" s="61" t="n"/>
      <c r="E2251" s="61" t="n"/>
      <c r="F2251" s="55" t="n"/>
      <c r="G2251" s="56" t="n"/>
      <c r="H2251" s="55" t="n"/>
      <c r="I2251" s="62" t="n"/>
      <c r="J2251" s="58" t="n"/>
      <c r="K2251" s="63">
        <f>IF(tblMovement[[#This Row],[Source]]="","",IFERROR(INDEX(tblSources[Type],MATCH(tblMovement[[#This Row],[Source]],tblSources[Source],0)),"?"))</f>
        <v/>
      </c>
      <c r="L2251" s="63">
        <f>IF(tblMovement[[#This Row],[Destination]]="","",IFERROR(INDEX(tblDestinations[Type],MATCH(tblMovement[[#This Row],[Destination]],tblDestinations[Destination],0)),"?"))</f>
        <v/>
      </c>
      <c r="M2251" s="64">
        <f>IF(tblMovement[[#This Row],[Material]]="","",IF(LEFT(tblMovement[[#This Row],[Material]],3)="Ore",1,0))</f>
        <v/>
      </c>
      <c r="N2251" s="59">
        <f>IF(OR(tblMovement[[#This Row],[Tonnes_t]]="",tblMovement[[#This Row],[Grade_gpt]]=""),0,tblMovement[[#This Row],[Tonnes_t]]*tblMovement[[#This Row],[Grade_gpt]]/cfg_TroyOz)</f>
        <v/>
      </c>
      <c r="O2251" s="59">
        <f>IF(tblMovement[[#This Row],[Is_Ore]]=1,tblMovement[[#This Row],[Contained_oz]],0)</f>
        <v/>
      </c>
    </row>
    <row r="2252">
      <c r="A2252" s="54" t="n"/>
      <c r="B2252" s="61" t="n"/>
      <c r="C2252" s="61" t="n"/>
      <c r="D2252" s="61" t="n"/>
      <c r="E2252" s="61" t="n"/>
      <c r="F2252" s="55" t="n"/>
      <c r="G2252" s="56" t="n"/>
      <c r="H2252" s="55" t="n"/>
      <c r="I2252" s="62" t="n"/>
      <c r="J2252" s="58" t="n"/>
      <c r="K2252" s="63">
        <f>IF(tblMovement[[#This Row],[Source]]="","",IFERROR(INDEX(tblSources[Type],MATCH(tblMovement[[#This Row],[Source]],tblSources[Source],0)),"?"))</f>
        <v/>
      </c>
      <c r="L2252" s="63">
        <f>IF(tblMovement[[#This Row],[Destination]]="","",IFERROR(INDEX(tblDestinations[Type],MATCH(tblMovement[[#This Row],[Destination]],tblDestinations[Destination],0)),"?"))</f>
        <v/>
      </c>
      <c r="M2252" s="64">
        <f>IF(tblMovement[[#This Row],[Material]]="","",IF(LEFT(tblMovement[[#This Row],[Material]],3)="Ore",1,0))</f>
        <v/>
      </c>
      <c r="N2252" s="59">
        <f>IF(OR(tblMovement[[#This Row],[Tonnes_t]]="",tblMovement[[#This Row],[Grade_gpt]]=""),0,tblMovement[[#This Row],[Tonnes_t]]*tblMovement[[#This Row],[Grade_gpt]]/cfg_TroyOz)</f>
        <v/>
      </c>
      <c r="O2252" s="59">
        <f>IF(tblMovement[[#This Row],[Is_Ore]]=1,tblMovement[[#This Row],[Contained_oz]],0)</f>
        <v/>
      </c>
    </row>
    <row r="2253">
      <c r="A2253" s="54" t="n"/>
      <c r="B2253" s="61" t="n"/>
      <c r="C2253" s="61" t="n"/>
      <c r="D2253" s="61" t="n"/>
      <c r="E2253" s="61" t="n"/>
      <c r="F2253" s="55" t="n"/>
      <c r="G2253" s="56" t="n"/>
      <c r="H2253" s="55" t="n"/>
      <c r="I2253" s="62" t="n"/>
      <c r="J2253" s="58" t="n"/>
      <c r="K2253" s="63">
        <f>IF(tblMovement[[#This Row],[Source]]="","",IFERROR(INDEX(tblSources[Type],MATCH(tblMovement[[#This Row],[Source]],tblSources[Source],0)),"?"))</f>
        <v/>
      </c>
      <c r="L2253" s="63">
        <f>IF(tblMovement[[#This Row],[Destination]]="","",IFERROR(INDEX(tblDestinations[Type],MATCH(tblMovement[[#This Row],[Destination]],tblDestinations[Destination],0)),"?"))</f>
        <v/>
      </c>
      <c r="M2253" s="64">
        <f>IF(tblMovement[[#This Row],[Material]]="","",IF(LEFT(tblMovement[[#This Row],[Material]],3)="Ore",1,0))</f>
        <v/>
      </c>
      <c r="N2253" s="59">
        <f>IF(OR(tblMovement[[#This Row],[Tonnes_t]]="",tblMovement[[#This Row],[Grade_gpt]]=""),0,tblMovement[[#This Row],[Tonnes_t]]*tblMovement[[#This Row],[Grade_gpt]]/cfg_TroyOz)</f>
        <v/>
      </c>
      <c r="O2253" s="59">
        <f>IF(tblMovement[[#This Row],[Is_Ore]]=1,tblMovement[[#This Row],[Contained_oz]],0)</f>
        <v/>
      </c>
    </row>
    <row r="2254">
      <c r="A2254" s="54" t="n"/>
      <c r="B2254" s="61" t="n"/>
      <c r="C2254" s="61" t="n"/>
      <c r="D2254" s="61" t="n"/>
      <c r="E2254" s="61" t="n"/>
      <c r="F2254" s="55" t="n"/>
      <c r="G2254" s="56" t="n"/>
      <c r="H2254" s="55" t="n"/>
      <c r="I2254" s="62" t="n"/>
      <c r="J2254" s="58" t="n"/>
      <c r="K2254" s="63">
        <f>IF(tblMovement[[#This Row],[Source]]="","",IFERROR(INDEX(tblSources[Type],MATCH(tblMovement[[#This Row],[Source]],tblSources[Source],0)),"?"))</f>
        <v/>
      </c>
      <c r="L2254" s="63">
        <f>IF(tblMovement[[#This Row],[Destination]]="","",IFERROR(INDEX(tblDestinations[Type],MATCH(tblMovement[[#This Row],[Destination]],tblDestinations[Destination],0)),"?"))</f>
        <v/>
      </c>
      <c r="M2254" s="64">
        <f>IF(tblMovement[[#This Row],[Material]]="","",IF(LEFT(tblMovement[[#This Row],[Material]],3)="Ore",1,0))</f>
        <v/>
      </c>
      <c r="N2254" s="59">
        <f>IF(OR(tblMovement[[#This Row],[Tonnes_t]]="",tblMovement[[#This Row],[Grade_gpt]]=""),0,tblMovement[[#This Row],[Tonnes_t]]*tblMovement[[#This Row],[Grade_gpt]]/cfg_TroyOz)</f>
        <v/>
      </c>
      <c r="O2254" s="59">
        <f>IF(tblMovement[[#This Row],[Is_Ore]]=1,tblMovement[[#This Row],[Contained_oz]],0)</f>
        <v/>
      </c>
    </row>
    <row r="2255">
      <c r="A2255" s="54" t="n"/>
      <c r="B2255" s="61" t="n"/>
      <c r="C2255" s="61" t="n"/>
      <c r="D2255" s="61" t="n"/>
      <c r="E2255" s="61" t="n"/>
      <c r="F2255" s="55" t="n"/>
      <c r="G2255" s="56" t="n"/>
      <c r="H2255" s="55" t="n"/>
      <c r="I2255" s="62" t="n"/>
      <c r="J2255" s="58" t="n"/>
      <c r="K2255" s="63">
        <f>IF(tblMovement[[#This Row],[Source]]="","",IFERROR(INDEX(tblSources[Type],MATCH(tblMovement[[#This Row],[Source]],tblSources[Source],0)),"?"))</f>
        <v/>
      </c>
      <c r="L2255" s="63">
        <f>IF(tblMovement[[#This Row],[Destination]]="","",IFERROR(INDEX(tblDestinations[Type],MATCH(tblMovement[[#This Row],[Destination]],tblDestinations[Destination],0)),"?"))</f>
        <v/>
      </c>
      <c r="M2255" s="64">
        <f>IF(tblMovement[[#This Row],[Material]]="","",IF(LEFT(tblMovement[[#This Row],[Material]],3)="Ore",1,0))</f>
        <v/>
      </c>
      <c r="N2255" s="59">
        <f>IF(OR(tblMovement[[#This Row],[Tonnes_t]]="",tblMovement[[#This Row],[Grade_gpt]]=""),0,tblMovement[[#This Row],[Tonnes_t]]*tblMovement[[#This Row],[Grade_gpt]]/cfg_TroyOz)</f>
        <v/>
      </c>
      <c r="O2255" s="59">
        <f>IF(tblMovement[[#This Row],[Is_Ore]]=1,tblMovement[[#This Row],[Contained_oz]],0)</f>
        <v/>
      </c>
    </row>
    <row r="2256">
      <c r="A2256" s="54" t="n"/>
      <c r="B2256" s="61" t="n"/>
      <c r="C2256" s="61" t="n"/>
      <c r="D2256" s="61" t="n"/>
      <c r="E2256" s="61" t="n"/>
      <c r="F2256" s="55" t="n"/>
      <c r="G2256" s="56" t="n"/>
      <c r="H2256" s="55" t="n"/>
      <c r="I2256" s="62" t="n"/>
      <c r="J2256" s="58" t="n"/>
      <c r="K2256" s="63">
        <f>IF(tblMovement[[#This Row],[Source]]="","",IFERROR(INDEX(tblSources[Type],MATCH(tblMovement[[#This Row],[Source]],tblSources[Source],0)),"?"))</f>
        <v/>
      </c>
      <c r="L2256" s="63">
        <f>IF(tblMovement[[#This Row],[Destination]]="","",IFERROR(INDEX(tblDestinations[Type],MATCH(tblMovement[[#This Row],[Destination]],tblDestinations[Destination],0)),"?"))</f>
        <v/>
      </c>
      <c r="M2256" s="64">
        <f>IF(tblMovement[[#This Row],[Material]]="","",IF(LEFT(tblMovement[[#This Row],[Material]],3)="Ore",1,0))</f>
        <v/>
      </c>
      <c r="N2256" s="59">
        <f>IF(OR(tblMovement[[#This Row],[Tonnes_t]]="",tblMovement[[#This Row],[Grade_gpt]]=""),0,tblMovement[[#This Row],[Tonnes_t]]*tblMovement[[#This Row],[Grade_gpt]]/cfg_TroyOz)</f>
        <v/>
      </c>
      <c r="O2256" s="59">
        <f>IF(tblMovement[[#This Row],[Is_Ore]]=1,tblMovement[[#This Row],[Contained_oz]],0)</f>
        <v/>
      </c>
    </row>
    <row r="2257">
      <c r="A2257" s="54" t="n"/>
      <c r="B2257" s="61" t="n"/>
      <c r="C2257" s="61" t="n"/>
      <c r="D2257" s="61" t="n"/>
      <c r="E2257" s="61" t="n"/>
      <c r="F2257" s="55" t="n"/>
      <c r="G2257" s="56" t="n"/>
      <c r="H2257" s="55" t="n"/>
      <c r="I2257" s="62" t="n"/>
      <c r="J2257" s="58" t="n"/>
      <c r="K2257" s="63">
        <f>IF(tblMovement[[#This Row],[Source]]="","",IFERROR(INDEX(tblSources[Type],MATCH(tblMovement[[#This Row],[Source]],tblSources[Source],0)),"?"))</f>
        <v/>
      </c>
      <c r="L2257" s="63">
        <f>IF(tblMovement[[#This Row],[Destination]]="","",IFERROR(INDEX(tblDestinations[Type],MATCH(tblMovement[[#This Row],[Destination]],tblDestinations[Destination],0)),"?"))</f>
        <v/>
      </c>
      <c r="M2257" s="64">
        <f>IF(tblMovement[[#This Row],[Material]]="","",IF(LEFT(tblMovement[[#This Row],[Material]],3)="Ore",1,0))</f>
        <v/>
      </c>
      <c r="N2257" s="59">
        <f>IF(OR(tblMovement[[#This Row],[Tonnes_t]]="",tblMovement[[#This Row],[Grade_gpt]]=""),0,tblMovement[[#This Row],[Tonnes_t]]*tblMovement[[#This Row],[Grade_gpt]]/cfg_TroyOz)</f>
        <v/>
      </c>
      <c r="O2257" s="59">
        <f>IF(tblMovement[[#This Row],[Is_Ore]]=1,tblMovement[[#This Row],[Contained_oz]],0)</f>
        <v/>
      </c>
    </row>
    <row r="2258">
      <c r="A2258" s="54" t="n"/>
      <c r="B2258" s="61" t="n"/>
      <c r="C2258" s="61" t="n"/>
      <c r="D2258" s="61" t="n"/>
      <c r="E2258" s="61" t="n"/>
      <c r="F2258" s="55" t="n"/>
      <c r="G2258" s="56" t="n"/>
      <c r="H2258" s="55" t="n"/>
      <c r="I2258" s="62" t="n"/>
      <c r="J2258" s="58" t="n"/>
      <c r="K2258" s="63">
        <f>IF(tblMovement[[#This Row],[Source]]="","",IFERROR(INDEX(tblSources[Type],MATCH(tblMovement[[#This Row],[Source]],tblSources[Source],0)),"?"))</f>
        <v/>
      </c>
      <c r="L2258" s="63">
        <f>IF(tblMovement[[#This Row],[Destination]]="","",IFERROR(INDEX(tblDestinations[Type],MATCH(tblMovement[[#This Row],[Destination]],tblDestinations[Destination],0)),"?"))</f>
        <v/>
      </c>
      <c r="M2258" s="64">
        <f>IF(tblMovement[[#This Row],[Material]]="","",IF(LEFT(tblMovement[[#This Row],[Material]],3)="Ore",1,0))</f>
        <v/>
      </c>
      <c r="N2258" s="59">
        <f>IF(OR(tblMovement[[#This Row],[Tonnes_t]]="",tblMovement[[#This Row],[Grade_gpt]]=""),0,tblMovement[[#This Row],[Tonnes_t]]*tblMovement[[#This Row],[Grade_gpt]]/cfg_TroyOz)</f>
        <v/>
      </c>
      <c r="O2258" s="59">
        <f>IF(tblMovement[[#This Row],[Is_Ore]]=1,tblMovement[[#This Row],[Contained_oz]],0)</f>
        <v/>
      </c>
    </row>
    <row r="2259">
      <c r="A2259" s="54" t="n"/>
      <c r="B2259" s="61" t="n"/>
      <c r="C2259" s="61" t="n"/>
      <c r="D2259" s="61" t="n"/>
      <c r="E2259" s="61" t="n"/>
      <c r="F2259" s="55" t="n"/>
      <c r="G2259" s="56" t="n"/>
      <c r="H2259" s="55" t="n"/>
      <c r="I2259" s="62" t="n"/>
      <c r="J2259" s="58" t="n"/>
      <c r="K2259" s="63">
        <f>IF(tblMovement[[#This Row],[Source]]="","",IFERROR(INDEX(tblSources[Type],MATCH(tblMovement[[#This Row],[Source]],tblSources[Source],0)),"?"))</f>
        <v/>
      </c>
      <c r="L2259" s="63">
        <f>IF(tblMovement[[#This Row],[Destination]]="","",IFERROR(INDEX(tblDestinations[Type],MATCH(tblMovement[[#This Row],[Destination]],tblDestinations[Destination],0)),"?"))</f>
        <v/>
      </c>
      <c r="M2259" s="64">
        <f>IF(tblMovement[[#This Row],[Material]]="","",IF(LEFT(tblMovement[[#This Row],[Material]],3)="Ore",1,0))</f>
        <v/>
      </c>
      <c r="N2259" s="59">
        <f>IF(OR(tblMovement[[#This Row],[Tonnes_t]]="",tblMovement[[#This Row],[Grade_gpt]]=""),0,tblMovement[[#This Row],[Tonnes_t]]*tblMovement[[#This Row],[Grade_gpt]]/cfg_TroyOz)</f>
        <v/>
      </c>
      <c r="O2259" s="59">
        <f>IF(tblMovement[[#This Row],[Is_Ore]]=1,tblMovement[[#This Row],[Contained_oz]],0)</f>
        <v/>
      </c>
    </row>
    <row r="2260">
      <c r="A2260" s="54" t="n"/>
      <c r="B2260" s="61" t="n"/>
      <c r="C2260" s="61" t="n"/>
      <c r="D2260" s="61" t="n"/>
      <c r="E2260" s="61" t="n"/>
      <c r="F2260" s="55" t="n"/>
      <c r="G2260" s="56" t="n"/>
      <c r="H2260" s="55" t="n"/>
      <c r="I2260" s="62" t="n"/>
      <c r="J2260" s="58" t="n"/>
      <c r="K2260" s="63">
        <f>IF(tblMovement[[#This Row],[Source]]="","",IFERROR(INDEX(tblSources[Type],MATCH(tblMovement[[#This Row],[Source]],tblSources[Source],0)),"?"))</f>
        <v/>
      </c>
      <c r="L2260" s="63">
        <f>IF(tblMovement[[#This Row],[Destination]]="","",IFERROR(INDEX(tblDestinations[Type],MATCH(tblMovement[[#This Row],[Destination]],tblDestinations[Destination],0)),"?"))</f>
        <v/>
      </c>
      <c r="M2260" s="64">
        <f>IF(tblMovement[[#This Row],[Material]]="","",IF(LEFT(tblMovement[[#This Row],[Material]],3)="Ore",1,0))</f>
        <v/>
      </c>
      <c r="N2260" s="59">
        <f>IF(OR(tblMovement[[#This Row],[Tonnes_t]]="",tblMovement[[#This Row],[Grade_gpt]]=""),0,tblMovement[[#This Row],[Tonnes_t]]*tblMovement[[#This Row],[Grade_gpt]]/cfg_TroyOz)</f>
        <v/>
      </c>
      <c r="O2260" s="59">
        <f>IF(tblMovement[[#This Row],[Is_Ore]]=1,tblMovement[[#This Row],[Contained_oz]],0)</f>
        <v/>
      </c>
    </row>
    <row r="2261">
      <c r="A2261" s="54" t="n"/>
      <c r="B2261" s="61" t="n"/>
      <c r="C2261" s="61" t="n"/>
      <c r="D2261" s="61" t="n"/>
      <c r="E2261" s="61" t="n"/>
      <c r="F2261" s="55" t="n"/>
      <c r="G2261" s="56" t="n"/>
      <c r="H2261" s="55" t="n"/>
      <c r="I2261" s="62" t="n"/>
      <c r="J2261" s="58" t="n"/>
      <c r="K2261" s="63">
        <f>IF(tblMovement[[#This Row],[Source]]="","",IFERROR(INDEX(tblSources[Type],MATCH(tblMovement[[#This Row],[Source]],tblSources[Source],0)),"?"))</f>
        <v/>
      </c>
      <c r="L2261" s="63">
        <f>IF(tblMovement[[#This Row],[Destination]]="","",IFERROR(INDEX(tblDestinations[Type],MATCH(tblMovement[[#This Row],[Destination]],tblDestinations[Destination],0)),"?"))</f>
        <v/>
      </c>
      <c r="M2261" s="64">
        <f>IF(tblMovement[[#This Row],[Material]]="","",IF(LEFT(tblMovement[[#This Row],[Material]],3)="Ore",1,0))</f>
        <v/>
      </c>
      <c r="N2261" s="59">
        <f>IF(OR(tblMovement[[#This Row],[Tonnes_t]]="",tblMovement[[#This Row],[Grade_gpt]]=""),0,tblMovement[[#This Row],[Tonnes_t]]*tblMovement[[#This Row],[Grade_gpt]]/cfg_TroyOz)</f>
        <v/>
      </c>
      <c r="O2261" s="59">
        <f>IF(tblMovement[[#This Row],[Is_Ore]]=1,tblMovement[[#This Row],[Contained_oz]],0)</f>
        <v/>
      </c>
    </row>
    <row r="2262">
      <c r="A2262" s="54" t="n"/>
      <c r="B2262" s="61" t="n"/>
      <c r="C2262" s="61" t="n"/>
      <c r="D2262" s="61" t="n"/>
      <c r="E2262" s="61" t="n"/>
      <c r="F2262" s="55" t="n"/>
      <c r="G2262" s="56" t="n"/>
      <c r="H2262" s="55" t="n"/>
      <c r="I2262" s="62" t="n"/>
      <c r="J2262" s="58" t="n"/>
      <c r="K2262" s="63">
        <f>IF(tblMovement[[#This Row],[Source]]="","",IFERROR(INDEX(tblSources[Type],MATCH(tblMovement[[#This Row],[Source]],tblSources[Source],0)),"?"))</f>
        <v/>
      </c>
      <c r="L2262" s="63">
        <f>IF(tblMovement[[#This Row],[Destination]]="","",IFERROR(INDEX(tblDestinations[Type],MATCH(tblMovement[[#This Row],[Destination]],tblDestinations[Destination],0)),"?"))</f>
        <v/>
      </c>
      <c r="M2262" s="64">
        <f>IF(tblMovement[[#This Row],[Material]]="","",IF(LEFT(tblMovement[[#This Row],[Material]],3)="Ore",1,0))</f>
        <v/>
      </c>
      <c r="N2262" s="59">
        <f>IF(OR(tblMovement[[#This Row],[Tonnes_t]]="",tblMovement[[#This Row],[Grade_gpt]]=""),0,tblMovement[[#This Row],[Tonnes_t]]*tblMovement[[#This Row],[Grade_gpt]]/cfg_TroyOz)</f>
        <v/>
      </c>
      <c r="O2262" s="59">
        <f>IF(tblMovement[[#This Row],[Is_Ore]]=1,tblMovement[[#This Row],[Contained_oz]],0)</f>
        <v/>
      </c>
    </row>
    <row r="2263">
      <c r="A2263" s="54" t="n"/>
      <c r="B2263" s="61" t="n"/>
      <c r="C2263" s="61" t="n"/>
      <c r="D2263" s="61" t="n"/>
      <c r="E2263" s="61" t="n"/>
      <c r="F2263" s="55" t="n"/>
      <c r="G2263" s="56" t="n"/>
      <c r="H2263" s="55" t="n"/>
      <c r="I2263" s="62" t="n"/>
      <c r="J2263" s="58" t="n"/>
      <c r="K2263" s="63">
        <f>IF(tblMovement[[#This Row],[Source]]="","",IFERROR(INDEX(tblSources[Type],MATCH(tblMovement[[#This Row],[Source]],tblSources[Source],0)),"?"))</f>
        <v/>
      </c>
      <c r="L2263" s="63">
        <f>IF(tblMovement[[#This Row],[Destination]]="","",IFERROR(INDEX(tblDestinations[Type],MATCH(tblMovement[[#This Row],[Destination]],tblDestinations[Destination],0)),"?"))</f>
        <v/>
      </c>
      <c r="M2263" s="64">
        <f>IF(tblMovement[[#This Row],[Material]]="","",IF(LEFT(tblMovement[[#This Row],[Material]],3)="Ore",1,0))</f>
        <v/>
      </c>
      <c r="N2263" s="59">
        <f>IF(OR(tblMovement[[#This Row],[Tonnes_t]]="",tblMovement[[#This Row],[Grade_gpt]]=""),0,tblMovement[[#This Row],[Tonnes_t]]*tblMovement[[#This Row],[Grade_gpt]]/cfg_TroyOz)</f>
        <v/>
      </c>
      <c r="O2263" s="59">
        <f>IF(tblMovement[[#This Row],[Is_Ore]]=1,tblMovement[[#This Row],[Contained_oz]],0)</f>
        <v/>
      </c>
    </row>
    <row r="2264">
      <c r="A2264" s="54" t="n"/>
      <c r="B2264" s="61" t="n"/>
      <c r="C2264" s="61" t="n"/>
      <c r="D2264" s="61" t="n"/>
      <c r="E2264" s="61" t="n"/>
      <c r="F2264" s="55" t="n"/>
      <c r="G2264" s="56" t="n"/>
      <c r="H2264" s="55" t="n"/>
      <c r="I2264" s="62" t="n"/>
      <c r="J2264" s="58" t="n"/>
      <c r="K2264" s="63">
        <f>IF(tblMovement[[#This Row],[Source]]="","",IFERROR(INDEX(tblSources[Type],MATCH(tblMovement[[#This Row],[Source]],tblSources[Source],0)),"?"))</f>
        <v/>
      </c>
      <c r="L2264" s="63">
        <f>IF(tblMovement[[#This Row],[Destination]]="","",IFERROR(INDEX(tblDestinations[Type],MATCH(tblMovement[[#This Row],[Destination]],tblDestinations[Destination],0)),"?"))</f>
        <v/>
      </c>
      <c r="M2264" s="64">
        <f>IF(tblMovement[[#This Row],[Material]]="","",IF(LEFT(tblMovement[[#This Row],[Material]],3)="Ore",1,0))</f>
        <v/>
      </c>
      <c r="N2264" s="59">
        <f>IF(OR(tblMovement[[#This Row],[Tonnes_t]]="",tblMovement[[#This Row],[Grade_gpt]]=""),0,tblMovement[[#This Row],[Tonnes_t]]*tblMovement[[#This Row],[Grade_gpt]]/cfg_TroyOz)</f>
        <v/>
      </c>
      <c r="O2264" s="59">
        <f>IF(tblMovement[[#This Row],[Is_Ore]]=1,tblMovement[[#This Row],[Contained_oz]],0)</f>
        <v/>
      </c>
    </row>
    <row r="2265">
      <c r="A2265" s="54" t="n"/>
      <c r="B2265" s="61" t="n"/>
      <c r="C2265" s="61" t="n"/>
      <c r="D2265" s="61" t="n"/>
      <c r="E2265" s="61" t="n"/>
      <c r="F2265" s="55" t="n"/>
      <c r="G2265" s="56" t="n"/>
      <c r="H2265" s="55" t="n"/>
      <c r="I2265" s="62" t="n"/>
      <c r="J2265" s="58" t="n"/>
      <c r="K2265" s="63">
        <f>IF(tblMovement[[#This Row],[Source]]="","",IFERROR(INDEX(tblSources[Type],MATCH(tblMovement[[#This Row],[Source]],tblSources[Source],0)),"?"))</f>
        <v/>
      </c>
      <c r="L2265" s="63">
        <f>IF(tblMovement[[#This Row],[Destination]]="","",IFERROR(INDEX(tblDestinations[Type],MATCH(tblMovement[[#This Row],[Destination]],tblDestinations[Destination],0)),"?"))</f>
        <v/>
      </c>
      <c r="M2265" s="64">
        <f>IF(tblMovement[[#This Row],[Material]]="","",IF(LEFT(tblMovement[[#This Row],[Material]],3)="Ore",1,0))</f>
        <v/>
      </c>
      <c r="N2265" s="59">
        <f>IF(OR(tblMovement[[#This Row],[Tonnes_t]]="",tblMovement[[#This Row],[Grade_gpt]]=""),0,tblMovement[[#This Row],[Tonnes_t]]*tblMovement[[#This Row],[Grade_gpt]]/cfg_TroyOz)</f>
        <v/>
      </c>
      <c r="O2265" s="59">
        <f>IF(tblMovement[[#This Row],[Is_Ore]]=1,tblMovement[[#This Row],[Contained_oz]],0)</f>
        <v/>
      </c>
    </row>
    <row r="2266">
      <c r="A2266" s="54" t="n"/>
      <c r="B2266" s="61" t="n"/>
      <c r="C2266" s="61" t="n"/>
      <c r="D2266" s="61" t="n"/>
      <c r="E2266" s="61" t="n"/>
      <c r="F2266" s="55" t="n"/>
      <c r="G2266" s="56" t="n"/>
      <c r="H2266" s="55" t="n"/>
      <c r="I2266" s="62" t="n"/>
      <c r="J2266" s="58" t="n"/>
      <c r="K2266" s="63">
        <f>IF(tblMovement[[#This Row],[Source]]="","",IFERROR(INDEX(tblSources[Type],MATCH(tblMovement[[#This Row],[Source]],tblSources[Source],0)),"?"))</f>
        <v/>
      </c>
      <c r="L2266" s="63">
        <f>IF(tblMovement[[#This Row],[Destination]]="","",IFERROR(INDEX(tblDestinations[Type],MATCH(tblMovement[[#This Row],[Destination]],tblDestinations[Destination],0)),"?"))</f>
        <v/>
      </c>
      <c r="M2266" s="64">
        <f>IF(tblMovement[[#This Row],[Material]]="","",IF(LEFT(tblMovement[[#This Row],[Material]],3)="Ore",1,0))</f>
        <v/>
      </c>
      <c r="N2266" s="59">
        <f>IF(OR(tblMovement[[#This Row],[Tonnes_t]]="",tblMovement[[#This Row],[Grade_gpt]]=""),0,tblMovement[[#This Row],[Tonnes_t]]*tblMovement[[#This Row],[Grade_gpt]]/cfg_TroyOz)</f>
        <v/>
      </c>
      <c r="O2266" s="59">
        <f>IF(tblMovement[[#This Row],[Is_Ore]]=1,tblMovement[[#This Row],[Contained_oz]],0)</f>
        <v/>
      </c>
    </row>
    <row r="2267">
      <c r="A2267" s="54" t="n"/>
      <c r="B2267" s="61" t="n"/>
      <c r="C2267" s="61" t="n"/>
      <c r="D2267" s="61" t="n"/>
      <c r="E2267" s="61" t="n"/>
      <c r="F2267" s="55" t="n"/>
      <c r="G2267" s="56" t="n"/>
      <c r="H2267" s="55" t="n"/>
      <c r="I2267" s="62" t="n"/>
      <c r="J2267" s="58" t="n"/>
      <c r="K2267" s="63">
        <f>IF(tblMovement[[#This Row],[Source]]="","",IFERROR(INDEX(tblSources[Type],MATCH(tblMovement[[#This Row],[Source]],tblSources[Source],0)),"?"))</f>
        <v/>
      </c>
      <c r="L2267" s="63">
        <f>IF(tblMovement[[#This Row],[Destination]]="","",IFERROR(INDEX(tblDestinations[Type],MATCH(tblMovement[[#This Row],[Destination]],tblDestinations[Destination],0)),"?"))</f>
        <v/>
      </c>
      <c r="M2267" s="64">
        <f>IF(tblMovement[[#This Row],[Material]]="","",IF(LEFT(tblMovement[[#This Row],[Material]],3)="Ore",1,0))</f>
        <v/>
      </c>
      <c r="N2267" s="59">
        <f>IF(OR(tblMovement[[#This Row],[Tonnes_t]]="",tblMovement[[#This Row],[Grade_gpt]]=""),0,tblMovement[[#This Row],[Tonnes_t]]*tblMovement[[#This Row],[Grade_gpt]]/cfg_TroyOz)</f>
        <v/>
      </c>
      <c r="O2267" s="59">
        <f>IF(tblMovement[[#This Row],[Is_Ore]]=1,tblMovement[[#This Row],[Contained_oz]],0)</f>
        <v/>
      </c>
    </row>
    <row r="2268">
      <c r="A2268" s="54" t="n"/>
      <c r="B2268" s="61" t="n"/>
      <c r="C2268" s="61" t="n"/>
      <c r="D2268" s="61" t="n"/>
      <c r="E2268" s="61" t="n"/>
      <c r="F2268" s="55" t="n"/>
      <c r="G2268" s="56" t="n"/>
      <c r="H2268" s="55" t="n"/>
      <c r="I2268" s="62" t="n"/>
      <c r="J2268" s="58" t="n"/>
      <c r="K2268" s="63">
        <f>IF(tblMovement[[#This Row],[Source]]="","",IFERROR(INDEX(tblSources[Type],MATCH(tblMovement[[#This Row],[Source]],tblSources[Source],0)),"?"))</f>
        <v/>
      </c>
      <c r="L2268" s="63">
        <f>IF(tblMovement[[#This Row],[Destination]]="","",IFERROR(INDEX(tblDestinations[Type],MATCH(tblMovement[[#This Row],[Destination]],tblDestinations[Destination],0)),"?"))</f>
        <v/>
      </c>
      <c r="M2268" s="64">
        <f>IF(tblMovement[[#This Row],[Material]]="","",IF(LEFT(tblMovement[[#This Row],[Material]],3)="Ore",1,0))</f>
        <v/>
      </c>
      <c r="N2268" s="59">
        <f>IF(OR(tblMovement[[#This Row],[Tonnes_t]]="",tblMovement[[#This Row],[Grade_gpt]]=""),0,tblMovement[[#This Row],[Tonnes_t]]*tblMovement[[#This Row],[Grade_gpt]]/cfg_TroyOz)</f>
        <v/>
      </c>
      <c r="O2268" s="59">
        <f>IF(tblMovement[[#This Row],[Is_Ore]]=1,tblMovement[[#This Row],[Contained_oz]],0)</f>
        <v/>
      </c>
    </row>
    <row r="2269">
      <c r="A2269" s="54" t="n"/>
      <c r="B2269" s="61" t="n"/>
      <c r="C2269" s="61" t="n"/>
      <c r="D2269" s="61" t="n"/>
      <c r="E2269" s="61" t="n"/>
      <c r="F2269" s="55" t="n"/>
      <c r="G2269" s="56" t="n"/>
      <c r="H2269" s="55" t="n"/>
      <c r="I2269" s="62" t="n"/>
      <c r="J2269" s="58" t="n"/>
      <c r="K2269" s="63">
        <f>IF(tblMovement[[#This Row],[Source]]="","",IFERROR(INDEX(tblSources[Type],MATCH(tblMovement[[#This Row],[Source]],tblSources[Source],0)),"?"))</f>
        <v/>
      </c>
      <c r="L2269" s="63">
        <f>IF(tblMovement[[#This Row],[Destination]]="","",IFERROR(INDEX(tblDestinations[Type],MATCH(tblMovement[[#This Row],[Destination]],tblDestinations[Destination],0)),"?"))</f>
        <v/>
      </c>
      <c r="M2269" s="64">
        <f>IF(tblMovement[[#This Row],[Material]]="","",IF(LEFT(tblMovement[[#This Row],[Material]],3)="Ore",1,0))</f>
        <v/>
      </c>
      <c r="N2269" s="59">
        <f>IF(OR(tblMovement[[#This Row],[Tonnes_t]]="",tblMovement[[#This Row],[Grade_gpt]]=""),0,tblMovement[[#This Row],[Tonnes_t]]*tblMovement[[#This Row],[Grade_gpt]]/cfg_TroyOz)</f>
        <v/>
      </c>
      <c r="O2269" s="59">
        <f>IF(tblMovement[[#This Row],[Is_Ore]]=1,tblMovement[[#This Row],[Contained_oz]],0)</f>
        <v/>
      </c>
    </row>
    <row r="2270">
      <c r="A2270" s="54" t="n"/>
      <c r="B2270" s="61" t="n"/>
      <c r="C2270" s="61" t="n"/>
      <c r="D2270" s="61" t="n"/>
      <c r="E2270" s="61" t="n"/>
      <c r="F2270" s="55" t="n"/>
      <c r="G2270" s="56" t="n"/>
      <c r="H2270" s="55" t="n"/>
      <c r="I2270" s="62" t="n"/>
      <c r="J2270" s="58" t="n"/>
      <c r="K2270" s="63">
        <f>IF(tblMovement[[#This Row],[Source]]="","",IFERROR(INDEX(tblSources[Type],MATCH(tblMovement[[#This Row],[Source]],tblSources[Source],0)),"?"))</f>
        <v/>
      </c>
      <c r="L2270" s="63">
        <f>IF(tblMovement[[#This Row],[Destination]]="","",IFERROR(INDEX(tblDestinations[Type],MATCH(tblMovement[[#This Row],[Destination]],tblDestinations[Destination],0)),"?"))</f>
        <v/>
      </c>
      <c r="M2270" s="64">
        <f>IF(tblMovement[[#This Row],[Material]]="","",IF(LEFT(tblMovement[[#This Row],[Material]],3)="Ore",1,0))</f>
        <v/>
      </c>
      <c r="N2270" s="59">
        <f>IF(OR(tblMovement[[#This Row],[Tonnes_t]]="",tblMovement[[#This Row],[Grade_gpt]]=""),0,tblMovement[[#This Row],[Tonnes_t]]*tblMovement[[#This Row],[Grade_gpt]]/cfg_TroyOz)</f>
        <v/>
      </c>
      <c r="O2270" s="59">
        <f>IF(tblMovement[[#This Row],[Is_Ore]]=1,tblMovement[[#This Row],[Contained_oz]],0)</f>
        <v/>
      </c>
    </row>
    <row r="2271">
      <c r="A2271" s="54" t="n"/>
      <c r="B2271" s="61" t="n"/>
      <c r="C2271" s="61" t="n"/>
      <c r="D2271" s="61" t="n"/>
      <c r="E2271" s="61" t="n"/>
      <c r="F2271" s="55" t="n"/>
      <c r="G2271" s="56" t="n"/>
      <c r="H2271" s="55" t="n"/>
      <c r="I2271" s="62" t="n"/>
      <c r="J2271" s="58" t="n"/>
      <c r="K2271" s="63">
        <f>IF(tblMovement[[#This Row],[Source]]="","",IFERROR(INDEX(tblSources[Type],MATCH(tblMovement[[#This Row],[Source]],tblSources[Source],0)),"?"))</f>
        <v/>
      </c>
      <c r="L2271" s="63">
        <f>IF(tblMovement[[#This Row],[Destination]]="","",IFERROR(INDEX(tblDestinations[Type],MATCH(tblMovement[[#This Row],[Destination]],tblDestinations[Destination],0)),"?"))</f>
        <v/>
      </c>
      <c r="M2271" s="64">
        <f>IF(tblMovement[[#This Row],[Material]]="","",IF(LEFT(tblMovement[[#This Row],[Material]],3)="Ore",1,0))</f>
        <v/>
      </c>
      <c r="N2271" s="59">
        <f>IF(OR(tblMovement[[#This Row],[Tonnes_t]]="",tblMovement[[#This Row],[Grade_gpt]]=""),0,tblMovement[[#This Row],[Tonnes_t]]*tblMovement[[#This Row],[Grade_gpt]]/cfg_TroyOz)</f>
        <v/>
      </c>
      <c r="O2271" s="59">
        <f>IF(tblMovement[[#This Row],[Is_Ore]]=1,tblMovement[[#This Row],[Contained_oz]],0)</f>
        <v/>
      </c>
    </row>
    <row r="2272">
      <c r="A2272" s="54" t="n"/>
      <c r="B2272" s="61" t="n"/>
      <c r="C2272" s="61" t="n"/>
      <c r="D2272" s="61" t="n"/>
      <c r="E2272" s="61" t="n"/>
      <c r="F2272" s="55" t="n"/>
      <c r="G2272" s="56" t="n"/>
      <c r="H2272" s="55" t="n"/>
      <c r="I2272" s="62" t="n"/>
      <c r="J2272" s="58" t="n"/>
      <c r="K2272" s="63">
        <f>IF(tblMovement[[#This Row],[Source]]="","",IFERROR(INDEX(tblSources[Type],MATCH(tblMovement[[#This Row],[Source]],tblSources[Source],0)),"?"))</f>
        <v/>
      </c>
      <c r="L2272" s="63">
        <f>IF(tblMovement[[#This Row],[Destination]]="","",IFERROR(INDEX(tblDestinations[Type],MATCH(tblMovement[[#This Row],[Destination]],tblDestinations[Destination],0)),"?"))</f>
        <v/>
      </c>
      <c r="M2272" s="64">
        <f>IF(tblMovement[[#This Row],[Material]]="","",IF(LEFT(tblMovement[[#This Row],[Material]],3)="Ore",1,0))</f>
        <v/>
      </c>
      <c r="N2272" s="59">
        <f>IF(OR(tblMovement[[#This Row],[Tonnes_t]]="",tblMovement[[#This Row],[Grade_gpt]]=""),0,tblMovement[[#This Row],[Tonnes_t]]*tblMovement[[#This Row],[Grade_gpt]]/cfg_TroyOz)</f>
        <v/>
      </c>
      <c r="O2272" s="59">
        <f>IF(tblMovement[[#This Row],[Is_Ore]]=1,tblMovement[[#This Row],[Contained_oz]],0)</f>
        <v/>
      </c>
    </row>
    <row r="2273">
      <c r="A2273" s="54" t="n"/>
      <c r="B2273" s="61" t="n"/>
      <c r="C2273" s="61" t="n"/>
      <c r="D2273" s="61" t="n"/>
      <c r="E2273" s="61" t="n"/>
      <c r="F2273" s="55" t="n"/>
      <c r="G2273" s="56" t="n"/>
      <c r="H2273" s="55" t="n"/>
      <c r="I2273" s="62" t="n"/>
      <c r="J2273" s="58" t="n"/>
      <c r="K2273" s="63">
        <f>IF(tblMovement[[#This Row],[Source]]="","",IFERROR(INDEX(tblSources[Type],MATCH(tblMovement[[#This Row],[Source]],tblSources[Source],0)),"?"))</f>
        <v/>
      </c>
      <c r="L2273" s="63">
        <f>IF(tblMovement[[#This Row],[Destination]]="","",IFERROR(INDEX(tblDestinations[Type],MATCH(tblMovement[[#This Row],[Destination]],tblDestinations[Destination],0)),"?"))</f>
        <v/>
      </c>
      <c r="M2273" s="64">
        <f>IF(tblMovement[[#This Row],[Material]]="","",IF(LEFT(tblMovement[[#This Row],[Material]],3)="Ore",1,0))</f>
        <v/>
      </c>
      <c r="N2273" s="59">
        <f>IF(OR(tblMovement[[#This Row],[Tonnes_t]]="",tblMovement[[#This Row],[Grade_gpt]]=""),0,tblMovement[[#This Row],[Tonnes_t]]*tblMovement[[#This Row],[Grade_gpt]]/cfg_TroyOz)</f>
        <v/>
      </c>
      <c r="O2273" s="59">
        <f>IF(tblMovement[[#This Row],[Is_Ore]]=1,tblMovement[[#This Row],[Contained_oz]],0)</f>
        <v/>
      </c>
    </row>
    <row r="2274">
      <c r="A2274" s="54" t="n"/>
      <c r="B2274" s="61" t="n"/>
      <c r="C2274" s="61" t="n"/>
      <c r="D2274" s="61" t="n"/>
      <c r="E2274" s="61" t="n"/>
      <c r="F2274" s="55" t="n"/>
      <c r="G2274" s="56" t="n"/>
      <c r="H2274" s="55" t="n"/>
      <c r="I2274" s="62" t="n"/>
      <c r="J2274" s="58" t="n"/>
      <c r="K2274" s="63">
        <f>IF(tblMovement[[#This Row],[Source]]="","",IFERROR(INDEX(tblSources[Type],MATCH(tblMovement[[#This Row],[Source]],tblSources[Source],0)),"?"))</f>
        <v/>
      </c>
      <c r="L2274" s="63">
        <f>IF(tblMovement[[#This Row],[Destination]]="","",IFERROR(INDEX(tblDestinations[Type],MATCH(tblMovement[[#This Row],[Destination]],tblDestinations[Destination],0)),"?"))</f>
        <v/>
      </c>
      <c r="M2274" s="64">
        <f>IF(tblMovement[[#This Row],[Material]]="","",IF(LEFT(tblMovement[[#This Row],[Material]],3)="Ore",1,0))</f>
        <v/>
      </c>
      <c r="N2274" s="59">
        <f>IF(OR(tblMovement[[#This Row],[Tonnes_t]]="",tblMovement[[#This Row],[Grade_gpt]]=""),0,tblMovement[[#This Row],[Tonnes_t]]*tblMovement[[#This Row],[Grade_gpt]]/cfg_TroyOz)</f>
        <v/>
      </c>
      <c r="O2274" s="59">
        <f>IF(tblMovement[[#This Row],[Is_Ore]]=1,tblMovement[[#This Row],[Contained_oz]],0)</f>
        <v/>
      </c>
    </row>
    <row r="2275">
      <c r="A2275" s="54" t="n"/>
      <c r="B2275" s="61" t="n"/>
      <c r="C2275" s="61" t="n"/>
      <c r="D2275" s="61" t="n"/>
      <c r="E2275" s="61" t="n"/>
      <c r="F2275" s="55" t="n"/>
      <c r="G2275" s="56" t="n"/>
      <c r="H2275" s="55" t="n"/>
      <c r="I2275" s="62" t="n"/>
      <c r="J2275" s="58" t="n"/>
      <c r="K2275" s="63">
        <f>IF(tblMovement[[#This Row],[Source]]="","",IFERROR(INDEX(tblSources[Type],MATCH(tblMovement[[#This Row],[Source]],tblSources[Source],0)),"?"))</f>
        <v/>
      </c>
      <c r="L2275" s="63">
        <f>IF(tblMovement[[#This Row],[Destination]]="","",IFERROR(INDEX(tblDestinations[Type],MATCH(tblMovement[[#This Row],[Destination]],tblDestinations[Destination],0)),"?"))</f>
        <v/>
      </c>
      <c r="M2275" s="64">
        <f>IF(tblMovement[[#This Row],[Material]]="","",IF(LEFT(tblMovement[[#This Row],[Material]],3)="Ore",1,0))</f>
        <v/>
      </c>
      <c r="N2275" s="59">
        <f>IF(OR(tblMovement[[#This Row],[Tonnes_t]]="",tblMovement[[#This Row],[Grade_gpt]]=""),0,tblMovement[[#This Row],[Tonnes_t]]*tblMovement[[#This Row],[Grade_gpt]]/cfg_TroyOz)</f>
        <v/>
      </c>
      <c r="O2275" s="59">
        <f>IF(tblMovement[[#This Row],[Is_Ore]]=1,tblMovement[[#This Row],[Contained_oz]],0)</f>
        <v/>
      </c>
    </row>
    <row r="2276">
      <c r="A2276" s="54" t="n"/>
      <c r="B2276" s="61" t="n"/>
      <c r="C2276" s="61" t="n"/>
      <c r="D2276" s="61" t="n"/>
      <c r="E2276" s="61" t="n"/>
      <c r="F2276" s="55" t="n"/>
      <c r="G2276" s="56" t="n"/>
      <c r="H2276" s="55" t="n"/>
      <c r="I2276" s="62" t="n"/>
      <c r="J2276" s="58" t="n"/>
      <c r="K2276" s="63">
        <f>IF(tblMovement[[#This Row],[Source]]="","",IFERROR(INDEX(tblSources[Type],MATCH(tblMovement[[#This Row],[Source]],tblSources[Source],0)),"?"))</f>
        <v/>
      </c>
      <c r="L2276" s="63">
        <f>IF(tblMovement[[#This Row],[Destination]]="","",IFERROR(INDEX(tblDestinations[Type],MATCH(tblMovement[[#This Row],[Destination]],tblDestinations[Destination],0)),"?"))</f>
        <v/>
      </c>
      <c r="M2276" s="64">
        <f>IF(tblMovement[[#This Row],[Material]]="","",IF(LEFT(tblMovement[[#This Row],[Material]],3)="Ore",1,0))</f>
        <v/>
      </c>
      <c r="N2276" s="59">
        <f>IF(OR(tblMovement[[#This Row],[Tonnes_t]]="",tblMovement[[#This Row],[Grade_gpt]]=""),0,tblMovement[[#This Row],[Tonnes_t]]*tblMovement[[#This Row],[Grade_gpt]]/cfg_TroyOz)</f>
        <v/>
      </c>
      <c r="O2276" s="59">
        <f>IF(tblMovement[[#This Row],[Is_Ore]]=1,tblMovement[[#This Row],[Contained_oz]],0)</f>
        <v/>
      </c>
    </row>
    <row r="2277">
      <c r="A2277" s="54" t="n"/>
      <c r="B2277" s="61" t="n"/>
      <c r="C2277" s="61" t="n"/>
      <c r="D2277" s="61" t="n"/>
      <c r="E2277" s="61" t="n"/>
      <c r="F2277" s="55" t="n"/>
      <c r="G2277" s="56" t="n"/>
      <c r="H2277" s="55" t="n"/>
      <c r="I2277" s="62" t="n"/>
      <c r="J2277" s="58" t="n"/>
      <c r="K2277" s="63">
        <f>IF(tblMovement[[#This Row],[Source]]="","",IFERROR(INDEX(tblSources[Type],MATCH(tblMovement[[#This Row],[Source]],tblSources[Source],0)),"?"))</f>
        <v/>
      </c>
      <c r="L2277" s="63">
        <f>IF(tblMovement[[#This Row],[Destination]]="","",IFERROR(INDEX(tblDestinations[Type],MATCH(tblMovement[[#This Row],[Destination]],tblDestinations[Destination],0)),"?"))</f>
        <v/>
      </c>
      <c r="M2277" s="64">
        <f>IF(tblMovement[[#This Row],[Material]]="","",IF(LEFT(tblMovement[[#This Row],[Material]],3)="Ore",1,0))</f>
        <v/>
      </c>
      <c r="N2277" s="59">
        <f>IF(OR(tblMovement[[#This Row],[Tonnes_t]]="",tblMovement[[#This Row],[Grade_gpt]]=""),0,tblMovement[[#This Row],[Tonnes_t]]*tblMovement[[#This Row],[Grade_gpt]]/cfg_TroyOz)</f>
        <v/>
      </c>
      <c r="O2277" s="59">
        <f>IF(tblMovement[[#This Row],[Is_Ore]]=1,tblMovement[[#This Row],[Contained_oz]],0)</f>
        <v/>
      </c>
    </row>
    <row r="2278">
      <c r="A2278" s="54" t="n"/>
      <c r="B2278" s="61" t="n"/>
      <c r="C2278" s="61" t="n"/>
      <c r="D2278" s="61" t="n"/>
      <c r="E2278" s="61" t="n"/>
      <c r="F2278" s="55" t="n"/>
      <c r="G2278" s="56" t="n"/>
      <c r="H2278" s="55" t="n"/>
      <c r="I2278" s="62" t="n"/>
      <c r="J2278" s="58" t="n"/>
      <c r="K2278" s="63">
        <f>IF(tblMovement[[#This Row],[Source]]="","",IFERROR(INDEX(tblSources[Type],MATCH(tblMovement[[#This Row],[Source]],tblSources[Source],0)),"?"))</f>
        <v/>
      </c>
      <c r="L2278" s="63">
        <f>IF(tblMovement[[#This Row],[Destination]]="","",IFERROR(INDEX(tblDestinations[Type],MATCH(tblMovement[[#This Row],[Destination]],tblDestinations[Destination],0)),"?"))</f>
        <v/>
      </c>
      <c r="M2278" s="64">
        <f>IF(tblMovement[[#This Row],[Material]]="","",IF(LEFT(tblMovement[[#This Row],[Material]],3)="Ore",1,0))</f>
        <v/>
      </c>
      <c r="N2278" s="59">
        <f>IF(OR(tblMovement[[#This Row],[Tonnes_t]]="",tblMovement[[#This Row],[Grade_gpt]]=""),0,tblMovement[[#This Row],[Tonnes_t]]*tblMovement[[#This Row],[Grade_gpt]]/cfg_TroyOz)</f>
        <v/>
      </c>
      <c r="O2278" s="59">
        <f>IF(tblMovement[[#This Row],[Is_Ore]]=1,tblMovement[[#This Row],[Contained_oz]],0)</f>
        <v/>
      </c>
    </row>
    <row r="2279">
      <c r="A2279" s="54" t="n"/>
      <c r="B2279" s="61" t="n"/>
      <c r="C2279" s="61" t="n"/>
      <c r="D2279" s="61" t="n"/>
      <c r="E2279" s="61" t="n"/>
      <c r="F2279" s="55" t="n"/>
      <c r="G2279" s="56" t="n"/>
      <c r="H2279" s="55" t="n"/>
      <c r="I2279" s="62" t="n"/>
      <c r="J2279" s="58" t="n"/>
      <c r="K2279" s="63">
        <f>IF(tblMovement[[#This Row],[Source]]="","",IFERROR(INDEX(tblSources[Type],MATCH(tblMovement[[#This Row],[Source]],tblSources[Source],0)),"?"))</f>
        <v/>
      </c>
      <c r="L2279" s="63">
        <f>IF(tblMovement[[#This Row],[Destination]]="","",IFERROR(INDEX(tblDestinations[Type],MATCH(tblMovement[[#This Row],[Destination]],tblDestinations[Destination],0)),"?"))</f>
        <v/>
      </c>
      <c r="M2279" s="64">
        <f>IF(tblMovement[[#This Row],[Material]]="","",IF(LEFT(tblMovement[[#This Row],[Material]],3)="Ore",1,0))</f>
        <v/>
      </c>
      <c r="N2279" s="59">
        <f>IF(OR(tblMovement[[#This Row],[Tonnes_t]]="",tblMovement[[#This Row],[Grade_gpt]]=""),0,tblMovement[[#This Row],[Tonnes_t]]*tblMovement[[#This Row],[Grade_gpt]]/cfg_TroyOz)</f>
        <v/>
      </c>
      <c r="O2279" s="59">
        <f>IF(tblMovement[[#This Row],[Is_Ore]]=1,tblMovement[[#This Row],[Contained_oz]],0)</f>
        <v/>
      </c>
    </row>
    <row r="2280">
      <c r="A2280" s="54" t="n"/>
      <c r="B2280" s="61" t="n"/>
      <c r="C2280" s="61" t="n"/>
      <c r="D2280" s="61" t="n"/>
      <c r="E2280" s="61" t="n"/>
      <c r="F2280" s="55" t="n"/>
      <c r="G2280" s="56" t="n"/>
      <c r="H2280" s="55" t="n"/>
      <c r="I2280" s="62" t="n"/>
      <c r="J2280" s="58" t="n"/>
      <c r="K2280" s="63">
        <f>IF(tblMovement[[#This Row],[Source]]="","",IFERROR(INDEX(tblSources[Type],MATCH(tblMovement[[#This Row],[Source]],tblSources[Source],0)),"?"))</f>
        <v/>
      </c>
      <c r="L2280" s="63">
        <f>IF(tblMovement[[#This Row],[Destination]]="","",IFERROR(INDEX(tblDestinations[Type],MATCH(tblMovement[[#This Row],[Destination]],tblDestinations[Destination],0)),"?"))</f>
        <v/>
      </c>
      <c r="M2280" s="64">
        <f>IF(tblMovement[[#This Row],[Material]]="","",IF(LEFT(tblMovement[[#This Row],[Material]],3)="Ore",1,0))</f>
        <v/>
      </c>
      <c r="N2280" s="59">
        <f>IF(OR(tblMovement[[#This Row],[Tonnes_t]]="",tblMovement[[#This Row],[Grade_gpt]]=""),0,tblMovement[[#This Row],[Tonnes_t]]*tblMovement[[#This Row],[Grade_gpt]]/cfg_TroyOz)</f>
        <v/>
      </c>
      <c r="O2280" s="59">
        <f>IF(tblMovement[[#This Row],[Is_Ore]]=1,tblMovement[[#This Row],[Contained_oz]],0)</f>
        <v/>
      </c>
    </row>
    <row r="2281">
      <c r="A2281" s="54" t="n"/>
      <c r="B2281" s="61" t="n"/>
      <c r="C2281" s="61" t="n"/>
      <c r="D2281" s="61" t="n"/>
      <c r="E2281" s="61" t="n"/>
      <c r="F2281" s="55" t="n"/>
      <c r="G2281" s="56" t="n"/>
      <c r="H2281" s="55" t="n"/>
      <c r="I2281" s="62" t="n"/>
      <c r="J2281" s="58" t="n"/>
      <c r="K2281" s="63">
        <f>IF(tblMovement[[#This Row],[Source]]="","",IFERROR(INDEX(tblSources[Type],MATCH(tblMovement[[#This Row],[Source]],tblSources[Source],0)),"?"))</f>
        <v/>
      </c>
      <c r="L2281" s="63">
        <f>IF(tblMovement[[#This Row],[Destination]]="","",IFERROR(INDEX(tblDestinations[Type],MATCH(tblMovement[[#This Row],[Destination]],tblDestinations[Destination],0)),"?"))</f>
        <v/>
      </c>
      <c r="M2281" s="64">
        <f>IF(tblMovement[[#This Row],[Material]]="","",IF(LEFT(tblMovement[[#This Row],[Material]],3)="Ore",1,0))</f>
        <v/>
      </c>
      <c r="N2281" s="59">
        <f>IF(OR(tblMovement[[#This Row],[Tonnes_t]]="",tblMovement[[#This Row],[Grade_gpt]]=""),0,tblMovement[[#This Row],[Tonnes_t]]*tblMovement[[#This Row],[Grade_gpt]]/cfg_TroyOz)</f>
        <v/>
      </c>
      <c r="O2281" s="59">
        <f>IF(tblMovement[[#This Row],[Is_Ore]]=1,tblMovement[[#This Row],[Contained_oz]],0)</f>
        <v/>
      </c>
    </row>
    <row r="2282">
      <c r="A2282" s="54" t="n"/>
      <c r="B2282" s="61" t="n"/>
      <c r="C2282" s="61" t="n"/>
      <c r="D2282" s="61" t="n"/>
      <c r="E2282" s="61" t="n"/>
      <c r="F2282" s="55" t="n"/>
      <c r="G2282" s="56" t="n"/>
      <c r="H2282" s="55" t="n"/>
      <c r="I2282" s="62" t="n"/>
      <c r="J2282" s="58" t="n"/>
      <c r="K2282" s="63">
        <f>IF(tblMovement[[#This Row],[Source]]="","",IFERROR(INDEX(tblSources[Type],MATCH(tblMovement[[#This Row],[Source]],tblSources[Source],0)),"?"))</f>
        <v/>
      </c>
      <c r="L2282" s="63">
        <f>IF(tblMovement[[#This Row],[Destination]]="","",IFERROR(INDEX(tblDestinations[Type],MATCH(tblMovement[[#This Row],[Destination]],tblDestinations[Destination],0)),"?"))</f>
        <v/>
      </c>
      <c r="M2282" s="64">
        <f>IF(tblMovement[[#This Row],[Material]]="","",IF(LEFT(tblMovement[[#This Row],[Material]],3)="Ore",1,0))</f>
        <v/>
      </c>
      <c r="N2282" s="59">
        <f>IF(OR(tblMovement[[#This Row],[Tonnes_t]]="",tblMovement[[#This Row],[Grade_gpt]]=""),0,tblMovement[[#This Row],[Tonnes_t]]*tblMovement[[#This Row],[Grade_gpt]]/cfg_TroyOz)</f>
        <v/>
      </c>
      <c r="O2282" s="59">
        <f>IF(tblMovement[[#This Row],[Is_Ore]]=1,tblMovement[[#This Row],[Contained_oz]],0)</f>
        <v/>
      </c>
    </row>
    <row r="2283">
      <c r="A2283" s="54" t="n"/>
      <c r="B2283" s="61" t="n"/>
      <c r="C2283" s="61" t="n"/>
      <c r="D2283" s="61" t="n"/>
      <c r="E2283" s="61" t="n"/>
      <c r="F2283" s="55" t="n"/>
      <c r="G2283" s="56" t="n"/>
      <c r="H2283" s="55" t="n"/>
      <c r="I2283" s="62" t="n"/>
      <c r="J2283" s="58" t="n"/>
      <c r="K2283" s="63">
        <f>IF(tblMovement[[#This Row],[Source]]="","",IFERROR(INDEX(tblSources[Type],MATCH(tblMovement[[#This Row],[Source]],tblSources[Source],0)),"?"))</f>
        <v/>
      </c>
      <c r="L2283" s="63">
        <f>IF(tblMovement[[#This Row],[Destination]]="","",IFERROR(INDEX(tblDestinations[Type],MATCH(tblMovement[[#This Row],[Destination]],tblDestinations[Destination],0)),"?"))</f>
        <v/>
      </c>
      <c r="M2283" s="64">
        <f>IF(tblMovement[[#This Row],[Material]]="","",IF(LEFT(tblMovement[[#This Row],[Material]],3)="Ore",1,0))</f>
        <v/>
      </c>
      <c r="N2283" s="59">
        <f>IF(OR(tblMovement[[#This Row],[Tonnes_t]]="",tblMovement[[#This Row],[Grade_gpt]]=""),0,tblMovement[[#This Row],[Tonnes_t]]*tblMovement[[#This Row],[Grade_gpt]]/cfg_TroyOz)</f>
        <v/>
      </c>
      <c r="O2283" s="59">
        <f>IF(tblMovement[[#This Row],[Is_Ore]]=1,tblMovement[[#This Row],[Contained_oz]],0)</f>
        <v/>
      </c>
    </row>
    <row r="2284">
      <c r="A2284" s="54" t="n"/>
      <c r="B2284" s="61" t="n"/>
      <c r="C2284" s="61" t="n"/>
      <c r="D2284" s="61" t="n"/>
      <c r="E2284" s="61" t="n"/>
      <c r="F2284" s="55" t="n"/>
      <c r="G2284" s="56" t="n"/>
      <c r="H2284" s="55" t="n"/>
      <c r="I2284" s="62" t="n"/>
      <c r="J2284" s="58" t="n"/>
      <c r="K2284" s="63">
        <f>IF(tblMovement[[#This Row],[Source]]="","",IFERROR(INDEX(tblSources[Type],MATCH(tblMovement[[#This Row],[Source]],tblSources[Source],0)),"?"))</f>
        <v/>
      </c>
      <c r="L2284" s="63">
        <f>IF(tblMovement[[#This Row],[Destination]]="","",IFERROR(INDEX(tblDestinations[Type],MATCH(tblMovement[[#This Row],[Destination]],tblDestinations[Destination],0)),"?"))</f>
        <v/>
      </c>
      <c r="M2284" s="64">
        <f>IF(tblMovement[[#This Row],[Material]]="","",IF(LEFT(tblMovement[[#This Row],[Material]],3)="Ore",1,0))</f>
        <v/>
      </c>
      <c r="N2284" s="59">
        <f>IF(OR(tblMovement[[#This Row],[Tonnes_t]]="",tblMovement[[#This Row],[Grade_gpt]]=""),0,tblMovement[[#This Row],[Tonnes_t]]*tblMovement[[#This Row],[Grade_gpt]]/cfg_TroyOz)</f>
        <v/>
      </c>
      <c r="O2284" s="59">
        <f>IF(tblMovement[[#This Row],[Is_Ore]]=1,tblMovement[[#This Row],[Contained_oz]],0)</f>
        <v/>
      </c>
    </row>
    <row r="2285">
      <c r="A2285" s="54" t="n"/>
      <c r="B2285" s="61" t="n"/>
      <c r="C2285" s="61" t="n"/>
      <c r="D2285" s="61" t="n"/>
      <c r="E2285" s="61" t="n"/>
      <c r="F2285" s="55" t="n"/>
      <c r="G2285" s="56" t="n"/>
      <c r="H2285" s="55" t="n"/>
      <c r="I2285" s="62" t="n"/>
      <c r="J2285" s="58" t="n"/>
      <c r="K2285" s="63">
        <f>IF(tblMovement[[#This Row],[Source]]="","",IFERROR(INDEX(tblSources[Type],MATCH(tblMovement[[#This Row],[Source]],tblSources[Source],0)),"?"))</f>
        <v/>
      </c>
      <c r="L2285" s="63">
        <f>IF(tblMovement[[#This Row],[Destination]]="","",IFERROR(INDEX(tblDestinations[Type],MATCH(tblMovement[[#This Row],[Destination]],tblDestinations[Destination],0)),"?"))</f>
        <v/>
      </c>
      <c r="M2285" s="64">
        <f>IF(tblMovement[[#This Row],[Material]]="","",IF(LEFT(tblMovement[[#This Row],[Material]],3)="Ore",1,0))</f>
        <v/>
      </c>
      <c r="N2285" s="59">
        <f>IF(OR(tblMovement[[#This Row],[Tonnes_t]]="",tblMovement[[#This Row],[Grade_gpt]]=""),0,tblMovement[[#This Row],[Tonnes_t]]*tblMovement[[#This Row],[Grade_gpt]]/cfg_TroyOz)</f>
        <v/>
      </c>
      <c r="O2285" s="59">
        <f>IF(tblMovement[[#This Row],[Is_Ore]]=1,tblMovement[[#This Row],[Contained_oz]],0)</f>
        <v/>
      </c>
    </row>
    <row r="2286">
      <c r="A2286" s="54" t="n"/>
      <c r="B2286" s="61" t="n"/>
      <c r="C2286" s="61" t="n"/>
      <c r="D2286" s="61" t="n"/>
      <c r="E2286" s="61" t="n"/>
      <c r="F2286" s="55" t="n"/>
      <c r="G2286" s="56" t="n"/>
      <c r="H2286" s="55" t="n"/>
      <c r="I2286" s="62" t="n"/>
      <c r="J2286" s="58" t="n"/>
      <c r="K2286" s="63">
        <f>IF(tblMovement[[#This Row],[Source]]="","",IFERROR(INDEX(tblSources[Type],MATCH(tblMovement[[#This Row],[Source]],tblSources[Source],0)),"?"))</f>
        <v/>
      </c>
      <c r="L2286" s="63">
        <f>IF(tblMovement[[#This Row],[Destination]]="","",IFERROR(INDEX(tblDestinations[Type],MATCH(tblMovement[[#This Row],[Destination]],tblDestinations[Destination],0)),"?"))</f>
        <v/>
      </c>
      <c r="M2286" s="64">
        <f>IF(tblMovement[[#This Row],[Material]]="","",IF(LEFT(tblMovement[[#This Row],[Material]],3)="Ore",1,0))</f>
        <v/>
      </c>
      <c r="N2286" s="59">
        <f>IF(OR(tblMovement[[#This Row],[Tonnes_t]]="",tblMovement[[#This Row],[Grade_gpt]]=""),0,tblMovement[[#This Row],[Tonnes_t]]*tblMovement[[#This Row],[Grade_gpt]]/cfg_TroyOz)</f>
        <v/>
      </c>
      <c r="O2286" s="59">
        <f>IF(tblMovement[[#This Row],[Is_Ore]]=1,tblMovement[[#This Row],[Contained_oz]],0)</f>
        <v/>
      </c>
    </row>
    <row r="2287">
      <c r="A2287" s="54" t="n"/>
      <c r="B2287" s="61" t="n"/>
      <c r="C2287" s="61" t="n"/>
      <c r="D2287" s="61" t="n"/>
      <c r="E2287" s="61" t="n"/>
      <c r="F2287" s="55" t="n"/>
      <c r="G2287" s="56" t="n"/>
      <c r="H2287" s="55" t="n"/>
      <c r="I2287" s="62" t="n"/>
      <c r="J2287" s="58" t="n"/>
      <c r="K2287" s="63">
        <f>IF(tblMovement[[#This Row],[Source]]="","",IFERROR(INDEX(tblSources[Type],MATCH(tblMovement[[#This Row],[Source]],tblSources[Source],0)),"?"))</f>
        <v/>
      </c>
      <c r="L2287" s="63">
        <f>IF(tblMovement[[#This Row],[Destination]]="","",IFERROR(INDEX(tblDestinations[Type],MATCH(tblMovement[[#This Row],[Destination]],tblDestinations[Destination],0)),"?"))</f>
        <v/>
      </c>
      <c r="M2287" s="64">
        <f>IF(tblMovement[[#This Row],[Material]]="","",IF(LEFT(tblMovement[[#This Row],[Material]],3)="Ore",1,0))</f>
        <v/>
      </c>
      <c r="N2287" s="59">
        <f>IF(OR(tblMovement[[#This Row],[Tonnes_t]]="",tblMovement[[#This Row],[Grade_gpt]]=""),0,tblMovement[[#This Row],[Tonnes_t]]*tblMovement[[#This Row],[Grade_gpt]]/cfg_TroyOz)</f>
        <v/>
      </c>
      <c r="O2287" s="59">
        <f>IF(tblMovement[[#This Row],[Is_Ore]]=1,tblMovement[[#This Row],[Contained_oz]],0)</f>
        <v/>
      </c>
    </row>
    <row r="2288">
      <c r="A2288" s="54" t="n"/>
      <c r="B2288" s="61" t="n"/>
      <c r="C2288" s="61" t="n"/>
      <c r="D2288" s="61" t="n"/>
      <c r="E2288" s="61" t="n"/>
      <c r="F2288" s="55" t="n"/>
      <c r="G2288" s="56" t="n"/>
      <c r="H2288" s="55" t="n"/>
      <c r="I2288" s="62" t="n"/>
      <c r="J2288" s="58" t="n"/>
      <c r="K2288" s="63">
        <f>IF(tblMovement[[#This Row],[Source]]="","",IFERROR(INDEX(tblSources[Type],MATCH(tblMovement[[#This Row],[Source]],tblSources[Source],0)),"?"))</f>
        <v/>
      </c>
      <c r="L2288" s="63">
        <f>IF(tblMovement[[#This Row],[Destination]]="","",IFERROR(INDEX(tblDestinations[Type],MATCH(tblMovement[[#This Row],[Destination]],tblDestinations[Destination],0)),"?"))</f>
        <v/>
      </c>
      <c r="M2288" s="64">
        <f>IF(tblMovement[[#This Row],[Material]]="","",IF(LEFT(tblMovement[[#This Row],[Material]],3)="Ore",1,0))</f>
        <v/>
      </c>
      <c r="N2288" s="59">
        <f>IF(OR(tblMovement[[#This Row],[Tonnes_t]]="",tblMovement[[#This Row],[Grade_gpt]]=""),0,tblMovement[[#This Row],[Tonnes_t]]*tblMovement[[#This Row],[Grade_gpt]]/cfg_TroyOz)</f>
        <v/>
      </c>
      <c r="O2288" s="59">
        <f>IF(tblMovement[[#This Row],[Is_Ore]]=1,tblMovement[[#This Row],[Contained_oz]],0)</f>
        <v/>
      </c>
    </row>
    <row r="2289">
      <c r="A2289" s="54" t="n"/>
      <c r="B2289" s="61" t="n"/>
      <c r="C2289" s="61" t="n"/>
      <c r="D2289" s="61" t="n"/>
      <c r="E2289" s="61" t="n"/>
      <c r="F2289" s="55" t="n"/>
      <c r="G2289" s="56" t="n"/>
      <c r="H2289" s="55" t="n"/>
      <c r="I2289" s="62" t="n"/>
      <c r="J2289" s="58" t="n"/>
      <c r="K2289" s="63">
        <f>IF(tblMovement[[#This Row],[Source]]="","",IFERROR(INDEX(tblSources[Type],MATCH(tblMovement[[#This Row],[Source]],tblSources[Source],0)),"?"))</f>
        <v/>
      </c>
      <c r="L2289" s="63">
        <f>IF(tblMovement[[#This Row],[Destination]]="","",IFERROR(INDEX(tblDestinations[Type],MATCH(tblMovement[[#This Row],[Destination]],tblDestinations[Destination],0)),"?"))</f>
        <v/>
      </c>
      <c r="M2289" s="64">
        <f>IF(tblMovement[[#This Row],[Material]]="","",IF(LEFT(tblMovement[[#This Row],[Material]],3)="Ore",1,0))</f>
        <v/>
      </c>
      <c r="N2289" s="59">
        <f>IF(OR(tblMovement[[#This Row],[Tonnes_t]]="",tblMovement[[#This Row],[Grade_gpt]]=""),0,tblMovement[[#This Row],[Tonnes_t]]*tblMovement[[#This Row],[Grade_gpt]]/cfg_TroyOz)</f>
        <v/>
      </c>
      <c r="O2289" s="59">
        <f>IF(tblMovement[[#This Row],[Is_Ore]]=1,tblMovement[[#This Row],[Contained_oz]],0)</f>
        <v/>
      </c>
    </row>
    <row r="2290">
      <c r="A2290" s="54" t="n"/>
      <c r="B2290" s="61" t="n"/>
      <c r="C2290" s="61" t="n"/>
      <c r="D2290" s="61" t="n"/>
      <c r="E2290" s="61" t="n"/>
      <c r="F2290" s="55" t="n"/>
      <c r="G2290" s="56" t="n"/>
      <c r="H2290" s="55" t="n"/>
      <c r="I2290" s="62" t="n"/>
      <c r="J2290" s="58" t="n"/>
      <c r="K2290" s="63">
        <f>IF(tblMovement[[#This Row],[Source]]="","",IFERROR(INDEX(tblSources[Type],MATCH(tblMovement[[#This Row],[Source]],tblSources[Source],0)),"?"))</f>
        <v/>
      </c>
      <c r="L2290" s="63">
        <f>IF(tblMovement[[#This Row],[Destination]]="","",IFERROR(INDEX(tblDestinations[Type],MATCH(tblMovement[[#This Row],[Destination]],tblDestinations[Destination],0)),"?"))</f>
        <v/>
      </c>
      <c r="M2290" s="64">
        <f>IF(tblMovement[[#This Row],[Material]]="","",IF(LEFT(tblMovement[[#This Row],[Material]],3)="Ore",1,0))</f>
        <v/>
      </c>
      <c r="N2290" s="59">
        <f>IF(OR(tblMovement[[#This Row],[Tonnes_t]]="",tblMovement[[#This Row],[Grade_gpt]]=""),0,tblMovement[[#This Row],[Tonnes_t]]*tblMovement[[#This Row],[Grade_gpt]]/cfg_TroyOz)</f>
        <v/>
      </c>
      <c r="O2290" s="59">
        <f>IF(tblMovement[[#This Row],[Is_Ore]]=1,tblMovement[[#This Row],[Contained_oz]],0)</f>
        <v/>
      </c>
    </row>
    <row r="2291">
      <c r="A2291" s="54" t="n"/>
      <c r="B2291" s="61" t="n"/>
      <c r="C2291" s="61" t="n"/>
      <c r="D2291" s="61" t="n"/>
      <c r="E2291" s="61" t="n"/>
      <c r="F2291" s="55" t="n"/>
      <c r="G2291" s="56" t="n"/>
      <c r="H2291" s="55" t="n"/>
      <c r="I2291" s="62" t="n"/>
      <c r="J2291" s="58" t="n"/>
      <c r="K2291" s="63">
        <f>IF(tblMovement[[#This Row],[Source]]="","",IFERROR(INDEX(tblSources[Type],MATCH(tblMovement[[#This Row],[Source]],tblSources[Source],0)),"?"))</f>
        <v/>
      </c>
      <c r="L2291" s="63">
        <f>IF(tblMovement[[#This Row],[Destination]]="","",IFERROR(INDEX(tblDestinations[Type],MATCH(tblMovement[[#This Row],[Destination]],tblDestinations[Destination],0)),"?"))</f>
        <v/>
      </c>
      <c r="M2291" s="64">
        <f>IF(tblMovement[[#This Row],[Material]]="","",IF(LEFT(tblMovement[[#This Row],[Material]],3)="Ore",1,0))</f>
        <v/>
      </c>
      <c r="N2291" s="59">
        <f>IF(OR(tblMovement[[#This Row],[Tonnes_t]]="",tblMovement[[#This Row],[Grade_gpt]]=""),0,tblMovement[[#This Row],[Tonnes_t]]*tblMovement[[#This Row],[Grade_gpt]]/cfg_TroyOz)</f>
        <v/>
      </c>
      <c r="O2291" s="59">
        <f>IF(tblMovement[[#This Row],[Is_Ore]]=1,tblMovement[[#This Row],[Contained_oz]],0)</f>
        <v/>
      </c>
    </row>
    <row r="2292">
      <c r="A2292" s="54" t="n"/>
      <c r="B2292" s="61" t="n"/>
      <c r="C2292" s="61" t="n"/>
      <c r="D2292" s="61" t="n"/>
      <c r="E2292" s="61" t="n"/>
      <c r="F2292" s="55" t="n"/>
      <c r="G2292" s="56" t="n"/>
      <c r="H2292" s="55" t="n"/>
      <c r="I2292" s="62" t="n"/>
      <c r="J2292" s="58" t="n"/>
      <c r="K2292" s="63">
        <f>IF(tblMovement[[#This Row],[Source]]="","",IFERROR(INDEX(tblSources[Type],MATCH(tblMovement[[#This Row],[Source]],tblSources[Source],0)),"?"))</f>
        <v/>
      </c>
      <c r="L2292" s="63">
        <f>IF(tblMovement[[#This Row],[Destination]]="","",IFERROR(INDEX(tblDestinations[Type],MATCH(tblMovement[[#This Row],[Destination]],tblDestinations[Destination],0)),"?"))</f>
        <v/>
      </c>
      <c r="M2292" s="64">
        <f>IF(tblMovement[[#This Row],[Material]]="","",IF(LEFT(tblMovement[[#This Row],[Material]],3)="Ore",1,0))</f>
        <v/>
      </c>
      <c r="N2292" s="59">
        <f>IF(OR(tblMovement[[#This Row],[Tonnes_t]]="",tblMovement[[#This Row],[Grade_gpt]]=""),0,tblMovement[[#This Row],[Tonnes_t]]*tblMovement[[#This Row],[Grade_gpt]]/cfg_TroyOz)</f>
        <v/>
      </c>
      <c r="O2292" s="59">
        <f>IF(tblMovement[[#This Row],[Is_Ore]]=1,tblMovement[[#This Row],[Contained_oz]],0)</f>
        <v/>
      </c>
    </row>
    <row r="2293">
      <c r="A2293" s="54" t="n"/>
      <c r="B2293" s="61" t="n"/>
      <c r="C2293" s="61" t="n"/>
      <c r="D2293" s="61" t="n"/>
      <c r="E2293" s="61" t="n"/>
      <c r="F2293" s="55" t="n"/>
      <c r="G2293" s="56" t="n"/>
      <c r="H2293" s="55" t="n"/>
      <c r="I2293" s="62" t="n"/>
      <c r="J2293" s="58" t="n"/>
      <c r="K2293" s="63">
        <f>IF(tblMovement[[#This Row],[Source]]="","",IFERROR(INDEX(tblSources[Type],MATCH(tblMovement[[#This Row],[Source]],tblSources[Source],0)),"?"))</f>
        <v/>
      </c>
      <c r="L2293" s="63">
        <f>IF(tblMovement[[#This Row],[Destination]]="","",IFERROR(INDEX(tblDestinations[Type],MATCH(tblMovement[[#This Row],[Destination]],tblDestinations[Destination],0)),"?"))</f>
        <v/>
      </c>
      <c r="M2293" s="64">
        <f>IF(tblMovement[[#This Row],[Material]]="","",IF(LEFT(tblMovement[[#This Row],[Material]],3)="Ore",1,0))</f>
        <v/>
      </c>
      <c r="N2293" s="59">
        <f>IF(OR(tblMovement[[#This Row],[Tonnes_t]]="",tblMovement[[#This Row],[Grade_gpt]]=""),0,tblMovement[[#This Row],[Tonnes_t]]*tblMovement[[#This Row],[Grade_gpt]]/cfg_TroyOz)</f>
        <v/>
      </c>
      <c r="O2293" s="59">
        <f>IF(tblMovement[[#This Row],[Is_Ore]]=1,tblMovement[[#This Row],[Contained_oz]],0)</f>
        <v/>
      </c>
    </row>
    <row r="2294">
      <c r="A2294" s="54" t="n"/>
      <c r="B2294" s="61" t="n"/>
      <c r="C2294" s="61" t="n"/>
      <c r="D2294" s="61" t="n"/>
      <c r="E2294" s="61" t="n"/>
      <c r="F2294" s="55" t="n"/>
      <c r="G2294" s="56" t="n"/>
      <c r="H2294" s="55" t="n"/>
      <c r="I2294" s="62" t="n"/>
      <c r="J2294" s="58" t="n"/>
      <c r="K2294" s="63">
        <f>IF(tblMovement[[#This Row],[Source]]="","",IFERROR(INDEX(tblSources[Type],MATCH(tblMovement[[#This Row],[Source]],tblSources[Source],0)),"?"))</f>
        <v/>
      </c>
      <c r="L2294" s="63">
        <f>IF(tblMovement[[#This Row],[Destination]]="","",IFERROR(INDEX(tblDestinations[Type],MATCH(tblMovement[[#This Row],[Destination]],tblDestinations[Destination],0)),"?"))</f>
        <v/>
      </c>
      <c r="M2294" s="64">
        <f>IF(tblMovement[[#This Row],[Material]]="","",IF(LEFT(tblMovement[[#This Row],[Material]],3)="Ore",1,0))</f>
        <v/>
      </c>
      <c r="N2294" s="59">
        <f>IF(OR(tblMovement[[#This Row],[Tonnes_t]]="",tblMovement[[#This Row],[Grade_gpt]]=""),0,tblMovement[[#This Row],[Tonnes_t]]*tblMovement[[#This Row],[Grade_gpt]]/cfg_TroyOz)</f>
        <v/>
      </c>
      <c r="O2294" s="59">
        <f>IF(tblMovement[[#This Row],[Is_Ore]]=1,tblMovement[[#This Row],[Contained_oz]],0)</f>
        <v/>
      </c>
    </row>
    <row r="2295">
      <c r="A2295" s="54" t="n"/>
      <c r="B2295" s="61" t="n"/>
      <c r="C2295" s="61" t="n"/>
      <c r="D2295" s="61" t="n"/>
      <c r="E2295" s="61" t="n"/>
      <c r="F2295" s="55" t="n"/>
      <c r="G2295" s="56" t="n"/>
      <c r="H2295" s="55" t="n"/>
      <c r="I2295" s="62" t="n"/>
      <c r="J2295" s="58" t="n"/>
      <c r="K2295" s="63">
        <f>IF(tblMovement[[#This Row],[Source]]="","",IFERROR(INDEX(tblSources[Type],MATCH(tblMovement[[#This Row],[Source]],tblSources[Source],0)),"?"))</f>
        <v/>
      </c>
      <c r="L2295" s="63">
        <f>IF(tblMovement[[#This Row],[Destination]]="","",IFERROR(INDEX(tblDestinations[Type],MATCH(tblMovement[[#This Row],[Destination]],tblDestinations[Destination],0)),"?"))</f>
        <v/>
      </c>
      <c r="M2295" s="64">
        <f>IF(tblMovement[[#This Row],[Material]]="","",IF(LEFT(tblMovement[[#This Row],[Material]],3)="Ore",1,0))</f>
        <v/>
      </c>
      <c r="N2295" s="59">
        <f>IF(OR(tblMovement[[#This Row],[Tonnes_t]]="",tblMovement[[#This Row],[Grade_gpt]]=""),0,tblMovement[[#This Row],[Tonnes_t]]*tblMovement[[#This Row],[Grade_gpt]]/cfg_TroyOz)</f>
        <v/>
      </c>
      <c r="O2295" s="59">
        <f>IF(tblMovement[[#This Row],[Is_Ore]]=1,tblMovement[[#This Row],[Contained_oz]],0)</f>
        <v/>
      </c>
    </row>
    <row r="2296">
      <c r="A2296" s="54" t="n"/>
      <c r="B2296" s="61" t="n"/>
      <c r="C2296" s="61" t="n"/>
      <c r="D2296" s="61" t="n"/>
      <c r="E2296" s="61" t="n"/>
      <c r="F2296" s="55" t="n"/>
      <c r="G2296" s="56" t="n"/>
      <c r="H2296" s="55" t="n"/>
      <c r="I2296" s="62" t="n"/>
      <c r="J2296" s="58" t="n"/>
      <c r="K2296" s="63">
        <f>IF(tblMovement[[#This Row],[Source]]="","",IFERROR(INDEX(tblSources[Type],MATCH(tblMovement[[#This Row],[Source]],tblSources[Source],0)),"?"))</f>
        <v/>
      </c>
      <c r="L2296" s="63">
        <f>IF(tblMovement[[#This Row],[Destination]]="","",IFERROR(INDEX(tblDestinations[Type],MATCH(tblMovement[[#This Row],[Destination]],tblDestinations[Destination],0)),"?"))</f>
        <v/>
      </c>
      <c r="M2296" s="64">
        <f>IF(tblMovement[[#This Row],[Material]]="","",IF(LEFT(tblMovement[[#This Row],[Material]],3)="Ore",1,0))</f>
        <v/>
      </c>
      <c r="N2296" s="59">
        <f>IF(OR(tblMovement[[#This Row],[Tonnes_t]]="",tblMovement[[#This Row],[Grade_gpt]]=""),0,tblMovement[[#This Row],[Tonnes_t]]*tblMovement[[#This Row],[Grade_gpt]]/cfg_TroyOz)</f>
        <v/>
      </c>
      <c r="O2296" s="59">
        <f>IF(tblMovement[[#This Row],[Is_Ore]]=1,tblMovement[[#This Row],[Contained_oz]],0)</f>
        <v/>
      </c>
    </row>
    <row r="2297">
      <c r="A2297" s="54" t="n"/>
      <c r="B2297" s="61" t="n"/>
      <c r="C2297" s="61" t="n"/>
      <c r="D2297" s="61" t="n"/>
      <c r="E2297" s="61" t="n"/>
      <c r="F2297" s="55" t="n"/>
      <c r="G2297" s="56" t="n"/>
      <c r="H2297" s="55" t="n"/>
      <c r="I2297" s="62" t="n"/>
      <c r="J2297" s="58" t="n"/>
      <c r="K2297" s="63">
        <f>IF(tblMovement[[#This Row],[Source]]="","",IFERROR(INDEX(tblSources[Type],MATCH(tblMovement[[#This Row],[Source]],tblSources[Source],0)),"?"))</f>
        <v/>
      </c>
      <c r="L2297" s="63">
        <f>IF(tblMovement[[#This Row],[Destination]]="","",IFERROR(INDEX(tblDestinations[Type],MATCH(tblMovement[[#This Row],[Destination]],tblDestinations[Destination],0)),"?"))</f>
        <v/>
      </c>
      <c r="M2297" s="64">
        <f>IF(tblMovement[[#This Row],[Material]]="","",IF(LEFT(tblMovement[[#This Row],[Material]],3)="Ore",1,0))</f>
        <v/>
      </c>
      <c r="N2297" s="59">
        <f>IF(OR(tblMovement[[#This Row],[Tonnes_t]]="",tblMovement[[#This Row],[Grade_gpt]]=""),0,tblMovement[[#This Row],[Tonnes_t]]*tblMovement[[#This Row],[Grade_gpt]]/cfg_TroyOz)</f>
        <v/>
      </c>
      <c r="O2297" s="59">
        <f>IF(tblMovement[[#This Row],[Is_Ore]]=1,tblMovement[[#This Row],[Contained_oz]],0)</f>
        <v/>
      </c>
    </row>
    <row r="2298">
      <c r="A2298" s="54" t="n"/>
      <c r="B2298" s="61" t="n"/>
      <c r="C2298" s="61" t="n"/>
      <c r="D2298" s="61" t="n"/>
      <c r="E2298" s="61" t="n"/>
      <c r="F2298" s="55" t="n"/>
      <c r="G2298" s="56" t="n"/>
      <c r="H2298" s="55" t="n"/>
      <c r="I2298" s="62" t="n"/>
      <c r="J2298" s="58" t="n"/>
      <c r="K2298" s="63">
        <f>IF(tblMovement[[#This Row],[Source]]="","",IFERROR(INDEX(tblSources[Type],MATCH(tblMovement[[#This Row],[Source]],tblSources[Source],0)),"?"))</f>
        <v/>
      </c>
      <c r="L2298" s="63">
        <f>IF(tblMovement[[#This Row],[Destination]]="","",IFERROR(INDEX(tblDestinations[Type],MATCH(tblMovement[[#This Row],[Destination]],tblDestinations[Destination],0)),"?"))</f>
        <v/>
      </c>
      <c r="M2298" s="64">
        <f>IF(tblMovement[[#This Row],[Material]]="","",IF(LEFT(tblMovement[[#This Row],[Material]],3)="Ore",1,0))</f>
        <v/>
      </c>
      <c r="N2298" s="59">
        <f>IF(OR(tblMovement[[#This Row],[Tonnes_t]]="",tblMovement[[#This Row],[Grade_gpt]]=""),0,tblMovement[[#This Row],[Tonnes_t]]*tblMovement[[#This Row],[Grade_gpt]]/cfg_TroyOz)</f>
        <v/>
      </c>
      <c r="O2298" s="59">
        <f>IF(tblMovement[[#This Row],[Is_Ore]]=1,tblMovement[[#This Row],[Contained_oz]],0)</f>
        <v/>
      </c>
    </row>
    <row r="2299">
      <c r="A2299" s="54" t="n"/>
      <c r="B2299" s="61" t="n"/>
      <c r="C2299" s="61" t="n"/>
      <c r="D2299" s="61" t="n"/>
      <c r="E2299" s="61" t="n"/>
      <c r="F2299" s="55" t="n"/>
      <c r="G2299" s="56" t="n"/>
      <c r="H2299" s="55" t="n"/>
      <c r="I2299" s="62" t="n"/>
      <c r="J2299" s="58" t="n"/>
      <c r="K2299" s="63">
        <f>IF(tblMovement[[#This Row],[Source]]="","",IFERROR(INDEX(tblSources[Type],MATCH(tblMovement[[#This Row],[Source]],tblSources[Source],0)),"?"))</f>
        <v/>
      </c>
      <c r="L2299" s="63">
        <f>IF(tblMovement[[#This Row],[Destination]]="","",IFERROR(INDEX(tblDestinations[Type],MATCH(tblMovement[[#This Row],[Destination]],tblDestinations[Destination],0)),"?"))</f>
        <v/>
      </c>
      <c r="M2299" s="64">
        <f>IF(tblMovement[[#This Row],[Material]]="","",IF(LEFT(tblMovement[[#This Row],[Material]],3)="Ore",1,0))</f>
        <v/>
      </c>
      <c r="N2299" s="59">
        <f>IF(OR(tblMovement[[#This Row],[Tonnes_t]]="",tblMovement[[#This Row],[Grade_gpt]]=""),0,tblMovement[[#This Row],[Tonnes_t]]*tblMovement[[#This Row],[Grade_gpt]]/cfg_TroyOz)</f>
        <v/>
      </c>
      <c r="O2299" s="59">
        <f>IF(tblMovement[[#This Row],[Is_Ore]]=1,tblMovement[[#This Row],[Contained_oz]],0)</f>
        <v/>
      </c>
    </row>
    <row r="2300">
      <c r="A2300" s="54" t="n"/>
      <c r="B2300" s="61" t="n"/>
      <c r="C2300" s="61" t="n"/>
      <c r="D2300" s="61" t="n"/>
      <c r="E2300" s="61" t="n"/>
      <c r="F2300" s="55" t="n"/>
      <c r="G2300" s="56" t="n"/>
      <c r="H2300" s="55" t="n"/>
      <c r="I2300" s="62" t="n"/>
      <c r="J2300" s="58" t="n"/>
      <c r="K2300" s="63">
        <f>IF(tblMovement[[#This Row],[Source]]="","",IFERROR(INDEX(tblSources[Type],MATCH(tblMovement[[#This Row],[Source]],tblSources[Source],0)),"?"))</f>
        <v/>
      </c>
      <c r="L2300" s="63">
        <f>IF(tblMovement[[#This Row],[Destination]]="","",IFERROR(INDEX(tblDestinations[Type],MATCH(tblMovement[[#This Row],[Destination]],tblDestinations[Destination],0)),"?"))</f>
        <v/>
      </c>
      <c r="M2300" s="64">
        <f>IF(tblMovement[[#This Row],[Material]]="","",IF(LEFT(tblMovement[[#This Row],[Material]],3)="Ore",1,0))</f>
        <v/>
      </c>
      <c r="N2300" s="59">
        <f>IF(OR(tblMovement[[#This Row],[Tonnes_t]]="",tblMovement[[#This Row],[Grade_gpt]]=""),0,tblMovement[[#This Row],[Tonnes_t]]*tblMovement[[#This Row],[Grade_gpt]]/cfg_TroyOz)</f>
        <v/>
      </c>
      <c r="O2300" s="59">
        <f>IF(tblMovement[[#This Row],[Is_Ore]]=1,tblMovement[[#This Row],[Contained_oz]],0)</f>
        <v/>
      </c>
    </row>
    <row r="2301">
      <c r="A2301" s="54" t="n"/>
      <c r="B2301" s="61" t="n"/>
      <c r="C2301" s="61" t="n"/>
      <c r="D2301" s="61" t="n"/>
      <c r="E2301" s="61" t="n"/>
      <c r="F2301" s="55" t="n"/>
      <c r="G2301" s="56" t="n"/>
      <c r="H2301" s="55" t="n"/>
      <c r="I2301" s="62" t="n"/>
      <c r="J2301" s="58" t="n"/>
      <c r="K2301" s="63">
        <f>IF(tblMovement[[#This Row],[Source]]="","",IFERROR(INDEX(tblSources[Type],MATCH(tblMovement[[#This Row],[Source]],tblSources[Source],0)),"?"))</f>
        <v/>
      </c>
      <c r="L2301" s="63">
        <f>IF(tblMovement[[#This Row],[Destination]]="","",IFERROR(INDEX(tblDestinations[Type],MATCH(tblMovement[[#This Row],[Destination]],tblDestinations[Destination],0)),"?"))</f>
        <v/>
      </c>
      <c r="M2301" s="64">
        <f>IF(tblMovement[[#This Row],[Material]]="","",IF(LEFT(tblMovement[[#This Row],[Material]],3)="Ore",1,0))</f>
        <v/>
      </c>
      <c r="N2301" s="59">
        <f>IF(OR(tblMovement[[#This Row],[Tonnes_t]]="",tblMovement[[#This Row],[Grade_gpt]]=""),0,tblMovement[[#This Row],[Tonnes_t]]*tblMovement[[#This Row],[Grade_gpt]]/cfg_TroyOz)</f>
        <v/>
      </c>
      <c r="O2301" s="59">
        <f>IF(tblMovement[[#This Row],[Is_Ore]]=1,tblMovement[[#This Row],[Contained_oz]],0)</f>
        <v/>
      </c>
    </row>
    <row r="2302">
      <c r="A2302" s="54" t="n"/>
      <c r="B2302" s="61" t="n"/>
      <c r="C2302" s="61" t="n"/>
      <c r="D2302" s="61" t="n"/>
      <c r="E2302" s="61" t="n"/>
      <c r="F2302" s="55" t="n"/>
      <c r="G2302" s="56" t="n"/>
      <c r="H2302" s="55" t="n"/>
      <c r="I2302" s="62" t="n"/>
      <c r="J2302" s="58" t="n"/>
      <c r="K2302" s="63">
        <f>IF(tblMovement[[#This Row],[Source]]="","",IFERROR(INDEX(tblSources[Type],MATCH(tblMovement[[#This Row],[Source]],tblSources[Source],0)),"?"))</f>
        <v/>
      </c>
      <c r="L2302" s="63">
        <f>IF(tblMovement[[#This Row],[Destination]]="","",IFERROR(INDEX(tblDestinations[Type],MATCH(tblMovement[[#This Row],[Destination]],tblDestinations[Destination],0)),"?"))</f>
        <v/>
      </c>
      <c r="M2302" s="64">
        <f>IF(tblMovement[[#This Row],[Material]]="","",IF(LEFT(tblMovement[[#This Row],[Material]],3)="Ore",1,0))</f>
        <v/>
      </c>
      <c r="N2302" s="59">
        <f>IF(OR(tblMovement[[#This Row],[Tonnes_t]]="",tblMovement[[#This Row],[Grade_gpt]]=""),0,tblMovement[[#This Row],[Tonnes_t]]*tblMovement[[#This Row],[Grade_gpt]]/cfg_TroyOz)</f>
        <v/>
      </c>
      <c r="O2302" s="59">
        <f>IF(tblMovement[[#This Row],[Is_Ore]]=1,tblMovement[[#This Row],[Contained_oz]],0)</f>
        <v/>
      </c>
    </row>
    <row r="2303">
      <c r="A2303" s="54" t="n"/>
      <c r="B2303" s="61" t="n"/>
      <c r="C2303" s="61" t="n"/>
      <c r="D2303" s="61" t="n"/>
      <c r="E2303" s="61" t="n"/>
      <c r="F2303" s="55" t="n"/>
      <c r="G2303" s="56" t="n"/>
      <c r="H2303" s="55" t="n"/>
      <c r="I2303" s="62" t="n"/>
      <c r="J2303" s="58" t="n"/>
      <c r="K2303" s="63">
        <f>IF(tblMovement[[#This Row],[Source]]="","",IFERROR(INDEX(tblSources[Type],MATCH(tblMovement[[#This Row],[Source]],tblSources[Source],0)),"?"))</f>
        <v/>
      </c>
      <c r="L2303" s="63">
        <f>IF(tblMovement[[#This Row],[Destination]]="","",IFERROR(INDEX(tblDestinations[Type],MATCH(tblMovement[[#This Row],[Destination]],tblDestinations[Destination],0)),"?"))</f>
        <v/>
      </c>
      <c r="M2303" s="64">
        <f>IF(tblMovement[[#This Row],[Material]]="","",IF(LEFT(tblMovement[[#This Row],[Material]],3)="Ore",1,0))</f>
        <v/>
      </c>
      <c r="N2303" s="59">
        <f>IF(OR(tblMovement[[#This Row],[Tonnes_t]]="",tblMovement[[#This Row],[Grade_gpt]]=""),0,tblMovement[[#This Row],[Tonnes_t]]*tblMovement[[#This Row],[Grade_gpt]]/cfg_TroyOz)</f>
        <v/>
      </c>
      <c r="O2303" s="59">
        <f>IF(tblMovement[[#This Row],[Is_Ore]]=1,tblMovement[[#This Row],[Contained_oz]],0)</f>
        <v/>
      </c>
    </row>
    <row r="2304">
      <c r="A2304" s="54" t="n"/>
      <c r="B2304" s="61" t="n"/>
      <c r="C2304" s="61" t="n"/>
      <c r="D2304" s="61" t="n"/>
      <c r="E2304" s="61" t="n"/>
      <c r="F2304" s="55" t="n"/>
      <c r="G2304" s="56" t="n"/>
      <c r="H2304" s="55" t="n"/>
      <c r="I2304" s="62" t="n"/>
      <c r="J2304" s="58" t="n"/>
      <c r="K2304" s="63">
        <f>IF(tblMovement[[#This Row],[Source]]="","",IFERROR(INDEX(tblSources[Type],MATCH(tblMovement[[#This Row],[Source]],tblSources[Source],0)),"?"))</f>
        <v/>
      </c>
      <c r="L2304" s="63">
        <f>IF(tblMovement[[#This Row],[Destination]]="","",IFERROR(INDEX(tblDestinations[Type],MATCH(tblMovement[[#This Row],[Destination]],tblDestinations[Destination],0)),"?"))</f>
        <v/>
      </c>
      <c r="M2304" s="64">
        <f>IF(tblMovement[[#This Row],[Material]]="","",IF(LEFT(tblMovement[[#This Row],[Material]],3)="Ore",1,0))</f>
        <v/>
      </c>
      <c r="N2304" s="59">
        <f>IF(OR(tblMovement[[#This Row],[Tonnes_t]]="",tblMovement[[#This Row],[Grade_gpt]]=""),0,tblMovement[[#This Row],[Tonnes_t]]*tblMovement[[#This Row],[Grade_gpt]]/cfg_TroyOz)</f>
        <v/>
      </c>
      <c r="O2304" s="59">
        <f>IF(tblMovement[[#This Row],[Is_Ore]]=1,tblMovement[[#This Row],[Contained_oz]],0)</f>
        <v/>
      </c>
    </row>
    <row r="2305">
      <c r="A2305" s="54" t="n"/>
      <c r="B2305" s="61" t="n"/>
      <c r="C2305" s="61" t="n"/>
      <c r="D2305" s="61" t="n"/>
      <c r="E2305" s="61" t="n"/>
      <c r="F2305" s="55" t="n"/>
      <c r="G2305" s="56" t="n"/>
      <c r="H2305" s="55" t="n"/>
      <c r="I2305" s="62" t="n"/>
      <c r="J2305" s="58" t="n"/>
      <c r="K2305" s="63">
        <f>IF(tblMovement[[#This Row],[Source]]="","",IFERROR(INDEX(tblSources[Type],MATCH(tblMovement[[#This Row],[Source]],tblSources[Source],0)),"?"))</f>
        <v/>
      </c>
      <c r="L2305" s="63">
        <f>IF(tblMovement[[#This Row],[Destination]]="","",IFERROR(INDEX(tblDestinations[Type],MATCH(tblMovement[[#This Row],[Destination]],tblDestinations[Destination],0)),"?"))</f>
        <v/>
      </c>
      <c r="M2305" s="64">
        <f>IF(tblMovement[[#This Row],[Material]]="","",IF(LEFT(tblMovement[[#This Row],[Material]],3)="Ore",1,0))</f>
        <v/>
      </c>
      <c r="N2305" s="59">
        <f>IF(OR(tblMovement[[#This Row],[Tonnes_t]]="",tblMovement[[#This Row],[Grade_gpt]]=""),0,tblMovement[[#This Row],[Tonnes_t]]*tblMovement[[#This Row],[Grade_gpt]]/cfg_TroyOz)</f>
        <v/>
      </c>
      <c r="O2305" s="59">
        <f>IF(tblMovement[[#This Row],[Is_Ore]]=1,tblMovement[[#This Row],[Contained_oz]],0)</f>
        <v/>
      </c>
    </row>
    <row r="2306">
      <c r="A2306" s="54" t="n"/>
      <c r="B2306" s="61" t="n"/>
      <c r="C2306" s="61" t="n"/>
      <c r="D2306" s="61" t="n"/>
      <c r="E2306" s="61" t="n"/>
      <c r="F2306" s="55" t="n"/>
      <c r="G2306" s="56" t="n"/>
      <c r="H2306" s="55" t="n"/>
      <c r="I2306" s="62" t="n"/>
      <c r="J2306" s="58" t="n"/>
      <c r="K2306" s="63">
        <f>IF(tblMovement[[#This Row],[Source]]="","",IFERROR(INDEX(tblSources[Type],MATCH(tblMovement[[#This Row],[Source]],tblSources[Source],0)),"?"))</f>
        <v/>
      </c>
      <c r="L2306" s="63">
        <f>IF(tblMovement[[#This Row],[Destination]]="","",IFERROR(INDEX(tblDestinations[Type],MATCH(tblMovement[[#This Row],[Destination]],tblDestinations[Destination],0)),"?"))</f>
        <v/>
      </c>
      <c r="M2306" s="64">
        <f>IF(tblMovement[[#This Row],[Material]]="","",IF(LEFT(tblMovement[[#This Row],[Material]],3)="Ore",1,0))</f>
        <v/>
      </c>
      <c r="N2306" s="59">
        <f>IF(OR(tblMovement[[#This Row],[Tonnes_t]]="",tblMovement[[#This Row],[Grade_gpt]]=""),0,tblMovement[[#This Row],[Tonnes_t]]*tblMovement[[#This Row],[Grade_gpt]]/cfg_TroyOz)</f>
        <v/>
      </c>
      <c r="O2306" s="59">
        <f>IF(tblMovement[[#This Row],[Is_Ore]]=1,tblMovement[[#This Row],[Contained_oz]],0)</f>
        <v/>
      </c>
    </row>
    <row r="2307">
      <c r="A2307" s="54" t="n"/>
      <c r="B2307" s="61" t="n"/>
      <c r="C2307" s="61" t="n"/>
      <c r="D2307" s="61" t="n"/>
      <c r="E2307" s="61" t="n"/>
      <c r="F2307" s="55" t="n"/>
      <c r="G2307" s="56" t="n"/>
      <c r="H2307" s="55" t="n"/>
      <c r="I2307" s="62" t="n"/>
      <c r="J2307" s="58" t="n"/>
      <c r="K2307" s="63">
        <f>IF(tblMovement[[#This Row],[Source]]="","",IFERROR(INDEX(tblSources[Type],MATCH(tblMovement[[#This Row],[Source]],tblSources[Source],0)),"?"))</f>
        <v/>
      </c>
      <c r="L2307" s="63">
        <f>IF(tblMovement[[#This Row],[Destination]]="","",IFERROR(INDEX(tblDestinations[Type],MATCH(tblMovement[[#This Row],[Destination]],tblDestinations[Destination],0)),"?"))</f>
        <v/>
      </c>
      <c r="M2307" s="64">
        <f>IF(tblMovement[[#This Row],[Material]]="","",IF(LEFT(tblMovement[[#This Row],[Material]],3)="Ore",1,0))</f>
        <v/>
      </c>
      <c r="N2307" s="59">
        <f>IF(OR(tblMovement[[#This Row],[Tonnes_t]]="",tblMovement[[#This Row],[Grade_gpt]]=""),0,tblMovement[[#This Row],[Tonnes_t]]*tblMovement[[#This Row],[Grade_gpt]]/cfg_TroyOz)</f>
        <v/>
      </c>
      <c r="O2307" s="59">
        <f>IF(tblMovement[[#This Row],[Is_Ore]]=1,tblMovement[[#This Row],[Contained_oz]],0)</f>
        <v/>
      </c>
    </row>
    <row r="2308">
      <c r="A2308" s="54" t="n"/>
      <c r="B2308" s="61" t="n"/>
      <c r="C2308" s="61" t="n"/>
      <c r="D2308" s="61" t="n"/>
      <c r="E2308" s="61" t="n"/>
      <c r="F2308" s="55" t="n"/>
      <c r="G2308" s="56" t="n"/>
      <c r="H2308" s="55" t="n"/>
      <c r="I2308" s="62" t="n"/>
      <c r="J2308" s="58" t="n"/>
      <c r="K2308" s="63">
        <f>IF(tblMovement[[#This Row],[Source]]="","",IFERROR(INDEX(tblSources[Type],MATCH(tblMovement[[#This Row],[Source]],tblSources[Source],0)),"?"))</f>
        <v/>
      </c>
      <c r="L2308" s="63">
        <f>IF(tblMovement[[#This Row],[Destination]]="","",IFERROR(INDEX(tblDestinations[Type],MATCH(tblMovement[[#This Row],[Destination]],tblDestinations[Destination],0)),"?"))</f>
        <v/>
      </c>
      <c r="M2308" s="64">
        <f>IF(tblMovement[[#This Row],[Material]]="","",IF(LEFT(tblMovement[[#This Row],[Material]],3)="Ore",1,0))</f>
        <v/>
      </c>
      <c r="N2308" s="59">
        <f>IF(OR(tblMovement[[#This Row],[Tonnes_t]]="",tblMovement[[#This Row],[Grade_gpt]]=""),0,tblMovement[[#This Row],[Tonnes_t]]*tblMovement[[#This Row],[Grade_gpt]]/cfg_TroyOz)</f>
        <v/>
      </c>
      <c r="O2308" s="59">
        <f>IF(tblMovement[[#This Row],[Is_Ore]]=1,tblMovement[[#This Row],[Contained_oz]],0)</f>
        <v/>
      </c>
    </row>
    <row r="2309">
      <c r="A2309" s="54" t="n"/>
      <c r="B2309" s="61" t="n"/>
      <c r="C2309" s="61" t="n"/>
      <c r="D2309" s="61" t="n"/>
      <c r="E2309" s="61" t="n"/>
      <c r="F2309" s="55" t="n"/>
      <c r="G2309" s="56" t="n"/>
      <c r="H2309" s="55" t="n"/>
      <c r="I2309" s="62" t="n"/>
      <c r="J2309" s="58" t="n"/>
      <c r="K2309" s="63">
        <f>IF(tblMovement[[#This Row],[Source]]="","",IFERROR(INDEX(tblSources[Type],MATCH(tblMovement[[#This Row],[Source]],tblSources[Source],0)),"?"))</f>
        <v/>
      </c>
      <c r="L2309" s="63">
        <f>IF(tblMovement[[#This Row],[Destination]]="","",IFERROR(INDEX(tblDestinations[Type],MATCH(tblMovement[[#This Row],[Destination]],tblDestinations[Destination],0)),"?"))</f>
        <v/>
      </c>
      <c r="M2309" s="64">
        <f>IF(tblMovement[[#This Row],[Material]]="","",IF(LEFT(tblMovement[[#This Row],[Material]],3)="Ore",1,0))</f>
        <v/>
      </c>
      <c r="N2309" s="59">
        <f>IF(OR(tblMovement[[#This Row],[Tonnes_t]]="",tblMovement[[#This Row],[Grade_gpt]]=""),0,tblMovement[[#This Row],[Tonnes_t]]*tblMovement[[#This Row],[Grade_gpt]]/cfg_TroyOz)</f>
        <v/>
      </c>
      <c r="O2309" s="59">
        <f>IF(tblMovement[[#This Row],[Is_Ore]]=1,tblMovement[[#This Row],[Contained_oz]],0)</f>
        <v/>
      </c>
    </row>
    <row r="2310">
      <c r="A2310" s="54" t="n"/>
      <c r="B2310" s="61" t="n"/>
      <c r="C2310" s="61" t="n"/>
      <c r="D2310" s="61" t="n"/>
      <c r="E2310" s="61" t="n"/>
      <c r="F2310" s="55" t="n"/>
      <c r="G2310" s="56" t="n"/>
      <c r="H2310" s="55" t="n"/>
      <c r="I2310" s="62" t="n"/>
      <c r="J2310" s="58" t="n"/>
      <c r="K2310" s="63">
        <f>IF(tblMovement[[#This Row],[Source]]="","",IFERROR(INDEX(tblSources[Type],MATCH(tblMovement[[#This Row],[Source]],tblSources[Source],0)),"?"))</f>
        <v/>
      </c>
      <c r="L2310" s="63">
        <f>IF(tblMovement[[#This Row],[Destination]]="","",IFERROR(INDEX(tblDestinations[Type],MATCH(tblMovement[[#This Row],[Destination]],tblDestinations[Destination],0)),"?"))</f>
        <v/>
      </c>
      <c r="M2310" s="64">
        <f>IF(tblMovement[[#This Row],[Material]]="","",IF(LEFT(tblMovement[[#This Row],[Material]],3)="Ore",1,0))</f>
        <v/>
      </c>
      <c r="N2310" s="59">
        <f>IF(OR(tblMovement[[#This Row],[Tonnes_t]]="",tblMovement[[#This Row],[Grade_gpt]]=""),0,tblMovement[[#This Row],[Tonnes_t]]*tblMovement[[#This Row],[Grade_gpt]]/cfg_TroyOz)</f>
        <v/>
      </c>
      <c r="O2310" s="59">
        <f>IF(tblMovement[[#This Row],[Is_Ore]]=1,tblMovement[[#This Row],[Contained_oz]],0)</f>
        <v/>
      </c>
    </row>
    <row r="2311">
      <c r="A2311" s="54" t="n"/>
      <c r="B2311" s="61" t="n"/>
      <c r="C2311" s="61" t="n"/>
      <c r="D2311" s="61" t="n"/>
      <c r="E2311" s="61" t="n"/>
      <c r="F2311" s="55" t="n"/>
      <c r="G2311" s="56" t="n"/>
      <c r="H2311" s="55" t="n"/>
      <c r="I2311" s="62" t="n"/>
      <c r="J2311" s="58" t="n"/>
      <c r="K2311" s="63">
        <f>IF(tblMovement[[#This Row],[Source]]="","",IFERROR(INDEX(tblSources[Type],MATCH(tblMovement[[#This Row],[Source]],tblSources[Source],0)),"?"))</f>
        <v/>
      </c>
      <c r="L2311" s="63">
        <f>IF(tblMovement[[#This Row],[Destination]]="","",IFERROR(INDEX(tblDestinations[Type],MATCH(tblMovement[[#This Row],[Destination]],tblDestinations[Destination],0)),"?"))</f>
        <v/>
      </c>
      <c r="M2311" s="64">
        <f>IF(tblMovement[[#This Row],[Material]]="","",IF(LEFT(tblMovement[[#This Row],[Material]],3)="Ore",1,0))</f>
        <v/>
      </c>
      <c r="N2311" s="59">
        <f>IF(OR(tblMovement[[#This Row],[Tonnes_t]]="",tblMovement[[#This Row],[Grade_gpt]]=""),0,tblMovement[[#This Row],[Tonnes_t]]*tblMovement[[#This Row],[Grade_gpt]]/cfg_TroyOz)</f>
        <v/>
      </c>
      <c r="O2311" s="59">
        <f>IF(tblMovement[[#This Row],[Is_Ore]]=1,tblMovement[[#This Row],[Contained_oz]],0)</f>
        <v/>
      </c>
    </row>
    <row r="2312">
      <c r="A2312" s="54" t="n"/>
      <c r="B2312" s="61" t="n"/>
      <c r="C2312" s="61" t="n"/>
      <c r="D2312" s="61" t="n"/>
      <c r="E2312" s="61" t="n"/>
      <c r="F2312" s="55" t="n"/>
      <c r="G2312" s="56" t="n"/>
      <c r="H2312" s="55" t="n"/>
      <c r="I2312" s="62" t="n"/>
      <c r="J2312" s="58" t="n"/>
      <c r="K2312" s="63">
        <f>IF(tblMovement[[#This Row],[Source]]="","",IFERROR(INDEX(tblSources[Type],MATCH(tblMovement[[#This Row],[Source]],tblSources[Source],0)),"?"))</f>
        <v/>
      </c>
      <c r="L2312" s="63">
        <f>IF(tblMovement[[#This Row],[Destination]]="","",IFERROR(INDEX(tblDestinations[Type],MATCH(tblMovement[[#This Row],[Destination]],tblDestinations[Destination],0)),"?"))</f>
        <v/>
      </c>
      <c r="M2312" s="64">
        <f>IF(tblMovement[[#This Row],[Material]]="","",IF(LEFT(tblMovement[[#This Row],[Material]],3)="Ore",1,0))</f>
        <v/>
      </c>
      <c r="N2312" s="59">
        <f>IF(OR(tblMovement[[#This Row],[Tonnes_t]]="",tblMovement[[#This Row],[Grade_gpt]]=""),0,tblMovement[[#This Row],[Tonnes_t]]*tblMovement[[#This Row],[Grade_gpt]]/cfg_TroyOz)</f>
        <v/>
      </c>
      <c r="O2312" s="59">
        <f>IF(tblMovement[[#This Row],[Is_Ore]]=1,tblMovement[[#This Row],[Contained_oz]],0)</f>
        <v/>
      </c>
    </row>
    <row r="2313">
      <c r="A2313" s="54" t="n"/>
      <c r="B2313" s="61" t="n"/>
      <c r="C2313" s="61" t="n"/>
      <c r="D2313" s="61" t="n"/>
      <c r="E2313" s="61" t="n"/>
      <c r="F2313" s="55" t="n"/>
      <c r="G2313" s="56" t="n"/>
      <c r="H2313" s="55" t="n"/>
      <c r="I2313" s="62" t="n"/>
      <c r="J2313" s="58" t="n"/>
      <c r="K2313" s="63">
        <f>IF(tblMovement[[#This Row],[Source]]="","",IFERROR(INDEX(tblSources[Type],MATCH(tblMovement[[#This Row],[Source]],tblSources[Source],0)),"?"))</f>
        <v/>
      </c>
      <c r="L2313" s="63">
        <f>IF(tblMovement[[#This Row],[Destination]]="","",IFERROR(INDEX(tblDestinations[Type],MATCH(tblMovement[[#This Row],[Destination]],tblDestinations[Destination],0)),"?"))</f>
        <v/>
      </c>
      <c r="M2313" s="64">
        <f>IF(tblMovement[[#This Row],[Material]]="","",IF(LEFT(tblMovement[[#This Row],[Material]],3)="Ore",1,0))</f>
        <v/>
      </c>
      <c r="N2313" s="59">
        <f>IF(OR(tblMovement[[#This Row],[Tonnes_t]]="",tblMovement[[#This Row],[Grade_gpt]]=""),0,tblMovement[[#This Row],[Tonnes_t]]*tblMovement[[#This Row],[Grade_gpt]]/cfg_TroyOz)</f>
        <v/>
      </c>
      <c r="O2313" s="59">
        <f>IF(tblMovement[[#This Row],[Is_Ore]]=1,tblMovement[[#This Row],[Contained_oz]],0)</f>
        <v/>
      </c>
    </row>
    <row r="2314">
      <c r="A2314" s="54" t="n"/>
      <c r="B2314" s="61" t="n"/>
      <c r="C2314" s="61" t="n"/>
      <c r="D2314" s="61" t="n"/>
      <c r="E2314" s="61" t="n"/>
      <c r="F2314" s="55" t="n"/>
      <c r="G2314" s="56" t="n"/>
      <c r="H2314" s="55" t="n"/>
      <c r="I2314" s="62" t="n"/>
      <c r="J2314" s="58" t="n"/>
      <c r="K2314" s="63">
        <f>IF(tblMovement[[#This Row],[Source]]="","",IFERROR(INDEX(tblSources[Type],MATCH(tblMovement[[#This Row],[Source]],tblSources[Source],0)),"?"))</f>
        <v/>
      </c>
      <c r="L2314" s="63">
        <f>IF(tblMovement[[#This Row],[Destination]]="","",IFERROR(INDEX(tblDestinations[Type],MATCH(tblMovement[[#This Row],[Destination]],tblDestinations[Destination],0)),"?"))</f>
        <v/>
      </c>
      <c r="M2314" s="64">
        <f>IF(tblMovement[[#This Row],[Material]]="","",IF(LEFT(tblMovement[[#This Row],[Material]],3)="Ore",1,0))</f>
        <v/>
      </c>
      <c r="N2314" s="59">
        <f>IF(OR(tblMovement[[#This Row],[Tonnes_t]]="",tblMovement[[#This Row],[Grade_gpt]]=""),0,tblMovement[[#This Row],[Tonnes_t]]*tblMovement[[#This Row],[Grade_gpt]]/cfg_TroyOz)</f>
        <v/>
      </c>
      <c r="O2314" s="59">
        <f>IF(tblMovement[[#This Row],[Is_Ore]]=1,tblMovement[[#This Row],[Contained_oz]],0)</f>
        <v/>
      </c>
    </row>
    <row r="2315">
      <c r="A2315" s="54" t="n"/>
      <c r="B2315" s="61" t="n"/>
      <c r="C2315" s="61" t="n"/>
      <c r="D2315" s="61" t="n"/>
      <c r="E2315" s="61" t="n"/>
      <c r="F2315" s="55" t="n"/>
      <c r="G2315" s="56" t="n"/>
      <c r="H2315" s="55" t="n"/>
      <c r="I2315" s="62" t="n"/>
      <c r="J2315" s="58" t="n"/>
      <c r="K2315" s="63">
        <f>IF(tblMovement[[#This Row],[Source]]="","",IFERROR(INDEX(tblSources[Type],MATCH(tblMovement[[#This Row],[Source]],tblSources[Source],0)),"?"))</f>
        <v/>
      </c>
      <c r="L2315" s="63">
        <f>IF(tblMovement[[#This Row],[Destination]]="","",IFERROR(INDEX(tblDestinations[Type],MATCH(tblMovement[[#This Row],[Destination]],tblDestinations[Destination],0)),"?"))</f>
        <v/>
      </c>
      <c r="M2315" s="64">
        <f>IF(tblMovement[[#This Row],[Material]]="","",IF(LEFT(tblMovement[[#This Row],[Material]],3)="Ore",1,0))</f>
        <v/>
      </c>
      <c r="N2315" s="59">
        <f>IF(OR(tblMovement[[#This Row],[Tonnes_t]]="",tblMovement[[#This Row],[Grade_gpt]]=""),0,tblMovement[[#This Row],[Tonnes_t]]*tblMovement[[#This Row],[Grade_gpt]]/cfg_TroyOz)</f>
        <v/>
      </c>
      <c r="O2315" s="59">
        <f>IF(tblMovement[[#This Row],[Is_Ore]]=1,tblMovement[[#This Row],[Contained_oz]],0)</f>
        <v/>
      </c>
    </row>
    <row r="2316">
      <c r="A2316" s="54" t="n"/>
      <c r="B2316" s="61" t="n"/>
      <c r="C2316" s="61" t="n"/>
      <c r="D2316" s="61" t="n"/>
      <c r="E2316" s="61" t="n"/>
      <c r="F2316" s="55" t="n"/>
      <c r="G2316" s="56" t="n"/>
      <c r="H2316" s="55" t="n"/>
      <c r="I2316" s="62" t="n"/>
      <c r="J2316" s="58" t="n"/>
      <c r="K2316" s="63">
        <f>IF(tblMovement[[#This Row],[Source]]="","",IFERROR(INDEX(tblSources[Type],MATCH(tblMovement[[#This Row],[Source]],tblSources[Source],0)),"?"))</f>
        <v/>
      </c>
      <c r="L2316" s="63">
        <f>IF(tblMovement[[#This Row],[Destination]]="","",IFERROR(INDEX(tblDestinations[Type],MATCH(tblMovement[[#This Row],[Destination]],tblDestinations[Destination],0)),"?"))</f>
        <v/>
      </c>
      <c r="M2316" s="64">
        <f>IF(tblMovement[[#This Row],[Material]]="","",IF(LEFT(tblMovement[[#This Row],[Material]],3)="Ore",1,0))</f>
        <v/>
      </c>
      <c r="N2316" s="59">
        <f>IF(OR(tblMovement[[#This Row],[Tonnes_t]]="",tblMovement[[#This Row],[Grade_gpt]]=""),0,tblMovement[[#This Row],[Tonnes_t]]*tblMovement[[#This Row],[Grade_gpt]]/cfg_TroyOz)</f>
        <v/>
      </c>
      <c r="O2316" s="59">
        <f>IF(tblMovement[[#This Row],[Is_Ore]]=1,tblMovement[[#This Row],[Contained_oz]],0)</f>
        <v/>
      </c>
    </row>
    <row r="2317">
      <c r="A2317" s="54" t="n"/>
      <c r="B2317" s="61" t="n"/>
      <c r="C2317" s="61" t="n"/>
      <c r="D2317" s="61" t="n"/>
      <c r="E2317" s="61" t="n"/>
      <c r="F2317" s="55" t="n"/>
      <c r="G2317" s="56" t="n"/>
      <c r="H2317" s="55" t="n"/>
      <c r="I2317" s="62" t="n"/>
      <c r="J2317" s="58" t="n"/>
      <c r="K2317" s="63">
        <f>IF(tblMovement[[#This Row],[Source]]="","",IFERROR(INDEX(tblSources[Type],MATCH(tblMovement[[#This Row],[Source]],tblSources[Source],0)),"?"))</f>
        <v/>
      </c>
      <c r="L2317" s="63">
        <f>IF(tblMovement[[#This Row],[Destination]]="","",IFERROR(INDEX(tblDestinations[Type],MATCH(tblMovement[[#This Row],[Destination]],tblDestinations[Destination],0)),"?"))</f>
        <v/>
      </c>
      <c r="M2317" s="64">
        <f>IF(tblMovement[[#This Row],[Material]]="","",IF(LEFT(tblMovement[[#This Row],[Material]],3)="Ore",1,0))</f>
        <v/>
      </c>
      <c r="N2317" s="59">
        <f>IF(OR(tblMovement[[#This Row],[Tonnes_t]]="",tblMovement[[#This Row],[Grade_gpt]]=""),0,tblMovement[[#This Row],[Tonnes_t]]*tblMovement[[#This Row],[Grade_gpt]]/cfg_TroyOz)</f>
        <v/>
      </c>
      <c r="O2317" s="59">
        <f>IF(tblMovement[[#This Row],[Is_Ore]]=1,tblMovement[[#This Row],[Contained_oz]],0)</f>
        <v/>
      </c>
    </row>
    <row r="2318">
      <c r="A2318" s="54" t="n"/>
      <c r="B2318" s="61" t="n"/>
      <c r="C2318" s="61" t="n"/>
      <c r="D2318" s="61" t="n"/>
      <c r="E2318" s="61" t="n"/>
      <c r="F2318" s="55" t="n"/>
      <c r="G2318" s="56" t="n"/>
      <c r="H2318" s="55" t="n"/>
      <c r="I2318" s="62" t="n"/>
      <c r="J2318" s="58" t="n"/>
      <c r="K2318" s="63">
        <f>IF(tblMovement[[#This Row],[Source]]="","",IFERROR(INDEX(tblSources[Type],MATCH(tblMovement[[#This Row],[Source]],tblSources[Source],0)),"?"))</f>
        <v/>
      </c>
      <c r="L2318" s="63">
        <f>IF(tblMovement[[#This Row],[Destination]]="","",IFERROR(INDEX(tblDestinations[Type],MATCH(tblMovement[[#This Row],[Destination]],tblDestinations[Destination],0)),"?"))</f>
        <v/>
      </c>
      <c r="M2318" s="64">
        <f>IF(tblMovement[[#This Row],[Material]]="","",IF(LEFT(tblMovement[[#This Row],[Material]],3)="Ore",1,0))</f>
        <v/>
      </c>
      <c r="N2318" s="59">
        <f>IF(OR(tblMovement[[#This Row],[Tonnes_t]]="",tblMovement[[#This Row],[Grade_gpt]]=""),0,tblMovement[[#This Row],[Tonnes_t]]*tblMovement[[#This Row],[Grade_gpt]]/cfg_TroyOz)</f>
        <v/>
      </c>
      <c r="O2318" s="59">
        <f>IF(tblMovement[[#This Row],[Is_Ore]]=1,tblMovement[[#This Row],[Contained_oz]],0)</f>
        <v/>
      </c>
    </row>
    <row r="2319">
      <c r="A2319" s="54" t="n"/>
      <c r="B2319" s="61" t="n"/>
      <c r="C2319" s="61" t="n"/>
      <c r="D2319" s="61" t="n"/>
      <c r="E2319" s="61" t="n"/>
      <c r="F2319" s="55" t="n"/>
      <c r="G2319" s="56" t="n"/>
      <c r="H2319" s="55" t="n"/>
      <c r="I2319" s="62" t="n"/>
      <c r="J2319" s="58" t="n"/>
      <c r="K2319" s="63">
        <f>IF(tblMovement[[#This Row],[Source]]="","",IFERROR(INDEX(tblSources[Type],MATCH(tblMovement[[#This Row],[Source]],tblSources[Source],0)),"?"))</f>
        <v/>
      </c>
      <c r="L2319" s="63">
        <f>IF(tblMovement[[#This Row],[Destination]]="","",IFERROR(INDEX(tblDestinations[Type],MATCH(tblMovement[[#This Row],[Destination]],tblDestinations[Destination],0)),"?"))</f>
        <v/>
      </c>
      <c r="M2319" s="64">
        <f>IF(tblMovement[[#This Row],[Material]]="","",IF(LEFT(tblMovement[[#This Row],[Material]],3)="Ore",1,0))</f>
        <v/>
      </c>
      <c r="N2319" s="59">
        <f>IF(OR(tblMovement[[#This Row],[Tonnes_t]]="",tblMovement[[#This Row],[Grade_gpt]]=""),0,tblMovement[[#This Row],[Tonnes_t]]*tblMovement[[#This Row],[Grade_gpt]]/cfg_TroyOz)</f>
        <v/>
      </c>
      <c r="O2319" s="59">
        <f>IF(tblMovement[[#This Row],[Is_Ore]]=1,tblMovement[[#This Row],[Contained_oz]],0)</f>
        <v/>
      </c>
    </row>
    <row r="2320">
      <c r="A2320" s="54" t="n"/>
      <c r="B2320" s="61" t="n"/>
      <c r="C2320" s="61" t="n"/>
      <c r="D2320" s="61" t="n"/>
      <c r="E2320" s="61" t="n"/>
      <c r="F2320" s="55" t="n"/>
      <c r="G2320" s="56" t="n"/>
      <c r="H2320" s="55" t="n"/>
      <c r="I2320" s="62" t="n"/>
      <c r="J2320" s="58" t="n"/>
      <c r="K2320" s="63">
        <f>IF(tblMovement[[#This Row],[Source]]="","",IFERROR(INDEX(tblSources[Type],MATCH(tblMovement[[#This Row],[Source]],tblSources[Source],0)),"?"))</f>
        <v/>
      </c>
      <c r="L2320" s="63">
        <f>IF(tblMovement[[#This Row],[Destination]]="","",IFERROR(INDEX(tblDestinations[Type],MATCH(tblMovement[[#This Row],[Destination]],tblDestinations[Destination],0)),"?"))</f>
        <v/>
      </c>
      <c r="M2320" s="64">
        <f>IF(tblMovement[[#This Row],[Material]]="","",IF(LEFT(tblMovement[[#This Row],[Material]],3)="Ore",1,0))</f>
        <v/>
      </c>
      <c r="N2320" s="59">
        <f>IF(OR(tblMovement[[#This Row],[Tonnes_t]]="",tblMovement[[#This Row],[Grade_gpt]]=""),0,tblMovement[[#This Row],[Tonnes_t]]*tblMovement[[#This Row],[Grade_gpt]]/cfg_TroyOz)</f>
        <v/>
      </c>
      <c r="O2320" s="59">
        <f>IF(tblMovement[[#This Row],[Is_Ore]]=1,tblMovement[[#This Row],[Contained_oz]],0)</f>
        <v/>
      </c>
    </row>
    <row r="2321">
      <c r="A2321" s="54" t="n"/>
      <c r="B2321" s="61" t="n"/>
      <c r="C2321" s="61" t="n"/>
      <c r="D2321" s="61" t="n"/>
      <c r="E2321" s="61" t="n"/>
      <c r="F2321" s="55" t="n"/>
      <c r="G2321" s="56" t="n"/>
      <c r="H2321" s="55" t="n"/>
      <c r="I2321" s="62" t="n"/>
      <c r="J2321" s="58" t="n"/>
      <c r="K2321" s="63">
        <f>IF(tblMovement[[#This Row],[Source]]="","",IFERROR(INDEX(tblSources[Type],MATCH(tblMovement[[#This Row],[Source]],tblSources[Source],0)),"?"))</f>
        <v/>
      </c>
      <c r="L2321" s="63">
        <f>IF(tblMovement[[#This Row],[Destination]]="","",IFERROR(INDEX(tblDestinations[Type],MATCH(tblMovement[[#This Row],[Destination]],tblDestinations[Destination],0)),"?"))</f>
        <v/>
      </c>
      <c r="M2321" s="64">
        <f>IF(tblMovement[[#This Row],[Material]]="","",IF(LEFT(tblMovement[[#This Row],[Material]],3)="Ore",1,0))</f>
        <v/>
      </c>
      <c r="N2321" s="59">
        <f>IF(OR(tblMovement[[#This Row],[Tonnes_t]]="",tblMovement[[#This Row],[Grade_gpt]]=""),0,tblMovement[[#This Row],[Tonnes_t]]*tblMovement[[#This Row],[Grade_gpt]]/cfg_TroyOz)</f>
        <v/>
      </c>
      <c r="O2321" s="59">
        <f>IF(tblMovement[[#This Row],[Is_Ore]]=1,tblMovement[[#This Row],[Contained_oz]],0)</f>
        <v/>
      </c>
    </row>
    <row r="2322">
      <c r="A2322" s="54" t="n"/>
      <c r="B2322" s="61" t="n"/>
      <c r="C2322" s="61" t="n"/>
      <c r="D2322" s="61" t="n"/>
      <c r="E2322" s="61" t="n"/>
      <c r="F2322" s="55" t="n"/>
      <c r="G2322" s="56" t="n"/>
      <c r="H2322" s="55" t="n"/>
      <c r="I2322" s="62" t="n"/>
      <c r="J2322" s="58" t="n"/>
      <c r="K2322" s="63">
        <f>IF(tblMovement[[#This Row],[Source]]="","",IFERROR(INDEX(tblSources[Type],MATCH(tblMovement[[#This Row],[Source]],tblSources[Source],0)),"?"))</f>
        <v/>
      </c>
      <c r="L2322" s="63">
        <f>IF(tblMovement[[#This Row],[Destination]]="","",IFERROR(INDEX(tblDestinations[Type],MATCH(tblMovement[[#This Row],[Destination]],tblDestinations[Destination],0)),"?"))</f>
        <v/>
      </c>
      <c r="M2322" s="64">
        <f>IF(tblMovement[[#This Row],[Material]]="","",IF(LEFT(tblMovement[[#This Row],[Material]],3)="Ore",1,0))</f>
        <v/>
      </c>
      <c r="N2322" s="59">
        <f>IF(OR(tblMovement[[#This Row],[Tonnes_t]]="",tblMovement[[#This Row],[Grade_gpt]]=""),0,tblMovement[[#This Row],[Tonnes_t]]*tblMovement[[#This Row],[Grade_gpt]]/cfg_TroyOz)</f>
        <v/>
      </c>
      <c r="O2322" s="59">
        <f>IF(tblMovement[[#This Row],[Is_Ore]]=1,tblMovement[[#This Row],[Contained_oz]],0)</f>
        <v/>
      </c>
    </row>
    <row r="2323">
      <c r="A2323" s="54" t="n"/>
      <c r="B2323" s="61" t="n"/>
      <c r="C2323" s="61" t="n"/>
      <c r="D2323" s="61" t="n"/>
      <c r="E2323" s="61" t="n"/>
      <c r="F2323" s="55" t="n"/>
      <c r="G2323" s="56" t="n"/>
      <c r="H2323" s="55" t="n"/>
      <c r="I2323" s="62" t="n"/>
      <c r="J2323" s="58" t="n"/>
      <c r="K2323" s="63">
        <f>IF(tblMovement[[#This Row],[Source]]="","",IFERROR(INDEX(tblSources[Type],MATCH(tblMovement[[#This Row],[Source]],tblSources[Source],0)),"?"))</f>
        <v/>
      </c>
      <c r="L2323" s="63">
        <f>IF(tblMovement[[#This Row],[Destination]]="","",IFERROR(INDEX(tblDestinations[Type],MATCH(tblMovement[[#This Row],[Destination]],tblDestinations[Destination],0)),"?"))</f>
        <v/>
      </c>
      <c r="M2323" s="64">
        <f>IF(tblMovement[[#This Row],[Material]]="","",IF(LEFT(tblMovement[[#This Row],[Material]],3)="Ore",1,0))</f>
        <v/>
      </c>
      <c r="N2323" s="59">
        <f>IF(OR(tblMovement[[#This Row],[Tonnes_t]]="",tblMovement[[#This Row],[Grade_gpt]]=""),0,tblMovement[[#This Row],[Tonnes_t]]*tblMovement[[#This Row],[Grade_gpt]]/cfg_TroyOz)</f>
        <v/>
      </c>
      <c r="O2323" s="59">
        <f>IF(tblMovement[[#This Row],[Is_Ore]]=1,tblMovement[[#This Row],[Contained_oz]],0)</f>
        <v/>
      </c>
    </row>
    <row r="2324">
      <c r="A2324" s="54" t="n"/>
      <c r="B2324" s="61" t="n"/>
      <c r="C2324" s="61" t="n"/>
      <c r="D2324" s="61" t="n"/>
      <c r="E2324" s="61" t="n"/>
      <c r="F2324" s="55" t="n"/>
      <c r="G2324" s="56" t="n"/>
      <c r="H2324" s="55" t="n"/>
      <c r="I2324" s="62" t="n"/>
      <c r="J2324" s="58" t="n"/>
      <c r="K2324" s="63">
        <f>IF(tblMovement[[#This Row],[Source]]="","",IFERROR(INDEX(tblSources[Type],MATCH(tblMovement[[#This Row],[Source]],tblSources[Source],0)),"?"))</f>
        <v/>
      </c>
      <c r="L2324" s="63">
        <f>IF(tblMovement[[#This Row],[Destination]]="","",IFERROR(INDEX(tblDestinations[Type],MATCH(tblMovement[[#This Row],[Destination]],tblDestinations[Destination],0)),"?"))</f>
        <v/>
      </c>
      <c r="M2324" s="64">
        <f>IF(tblMovement[[#This Row],[Material]]="","",IF(LEFT(tblMovement[[#This Row],[Material]],3)="Ore",1,0))</f>
        <v/>
      </c>
      <c r="N2324" s="59">
        <f>IF(OR(tblMovement[[#This Row],[Tonnes_t]]="",tblMovement[[#This Row],[Grade_gpt]]=""),0,tblMovement[[#This Row],[Tonnes_t]]*tblMovement[[#This Row],[Grade_gpt]]/cfg_TroyOz)</f>
        <v/>
      </c>
      <c r="O2324" s="59">
        <f>IF(tblMovement[[#This Row],[Is_Ore]]=1,tblMovement[[#This Row],[Contained_oz]],0)</f>
        <v/>
      </c>
    </row>
    <row r="2325">
      <c r="A2325" s="54" t="n"/>
      <c r="B2325" s="61" t="n"/>
      <c r="C2325" s="61" t="n"/>
      <c r="D2325" s="61" t="n"/>
      <c r="E2325" s="61" t="n"/>
      <c r="F2325" s="55" t="n"/>
      <c r="G2325" s="56" t="n"/>
      <c r="H2325" s="55" t="n"/>
      <c r="I2325" s="62" t="n"/>
      <c r="J2325" s="58" t="n"/>
      <c r="K2325" s="63">
        <f>IF(tblMovement[[#This Row],[Source]]="","",IFERROR(INDEX(tblSources[Type],MATCH(tblMovement[[#This Row],[Source]],tblSources[Source],0)),"?"))</f>
        <v/>
      </c>
      <c r="L2325" s="63">
        <f>IF(tblMovement[[#This Row],[Destination]]="","",IFERROR(INDEX(tblDestinations[Type],MATCH(tblMovement[[#This Row],[Destination]],tblDestinations[Destination],0)),"?"))</f>
        <v/>
      </c>
      <c r="M2325" s="64">
        <f>IF(tblMovement[[#This Row],[Material]]="","",IF(LEFT(tblMovement[[#This Row],[Material]],3)="Ore",1,0))</f>
        <v/>
      </c>
      <c r="N2325" s="59">
        <f>IF(OR(tblMovement[[#This Row],[Tonnes_t]]="",tblMovement[[#This Row],[Grade_gpt]]=""),0,tblMovement[[#This Row],[Tonnes_t]]*tblMovement[[#This Row],[Grade_gpt]]/cfg_TroyOz)</f>
        <v/>
      </c>
      <c r="O2325" s="59">
        <f>IF(tblMovement[[#This Row],[Is_Ore]]=1,tblMovement[[#This Row],[Contained_oz]],0)</f>
        <v/>
      </c>
    </row>
    <row r="2326">
      <c r="A2326" s="54" t="n"/>
      <c r="B2326" s="61" t="n"/>
      <c r="C2326" s="61" t="n"/>
      <c r="D2326" s="61" t="n"/>
      <c r="E2326" s="61" t="n"/>
      <c r="F2326" s="55" t="n"/>
      <c r="G2326" s="56" t="n"/>
      <c r="H2326" s="55" t="n"/>
      <c r="I2326" s="62" t="n"/>
      <c r="J2326" s="58" t="n"/>
      <c r="K2326" s="63">
        <f>IF(tblMovement[[#This Row],[Source]]="","",IFERROR(INDEX(tblSources[Type],MATCH(tblMovement[[#This Row],[Source]],tblSources[Source],0)),"?"))</f>
        <v/>
      </c>
      <c r="L2326" s="63">
        <f>IF(tblMovement[[#This Row],[Destination]]="","",IFERROR(INDEX(tblDestinations[Type],MATCH(tblMovement[[#This Row],[Destination]],tblDestinations[Destination],0)),"?"))</f>
        <v/>
      </c>
      <c r="M2326" s="64">
        <f>IF(tblMovement[[#This Row],[Material]]="","",IF(LEFT(tblMovement[[#This Row],[Material]],3)="Ore",1,0))</f>
        <v/>
      </c>
      <c r="N2326" s="59">
        <f>IF(OR(tblMovement[[#This Row],[Tonnes_t]]="",tblMovement[[#This Row],[Grade_gpt]]=""),0,tblMovement[[#This Row],[Tonnes_t]]*tblMovement[[#This Row],[Grade_gpt]]/cfg_TroyOz)</f>
        <v/>
      </c>
      <c r="O2326" s="59">
        <f>IF(tblMovement[[#This Row],[Is_Ore]]=1,tblMovement[[#This Row],[Contained_oz]],0)</f>
        <v/>
      </c>
    </row>
    <row r="2327">
      <c r="A2327" s="54" t="n"/>
      <c r="B2327" s="61" t="n"/>
      <c r="C2327" s="61" t="n"/>
      <c r="D2327" s="61" t="n"/>
      <c r="E2327" s="61" t="n"/>
      <c r="F2327" s="55" t="n"/>
      <c r="G2327" s="56" t="n"/>
      <c r="H2327" s="55" t="n"/>
      <c r="I2327" s="62" t="n"/>
      <c r="J2327" s="58" t="n"/>
      <c r="K2327" s="63">
        <f>IF(tblMovement[[#This Row],[Source]]="","",IFERROR(INDEX(tblSources[Type],MATCH(tblMovement[[#This Row],[Source]],tblSources[Source],0)),"?"))</f>
        <v/>
      </c>
      <c r="L2327" s="63">
        <f>IF(tblMovement[[#This Row],[Destination]]="","",IFERROR(INDEX(tblDestinations[Type],MATCH(tblMovement[[#This Row],[Destination]],tblDestinations[Destination],0)),"?"))</f>
        <v/>
      </c>
      <c r="M2327" s="64">
        <f>IF(tblMovement[[#This Row],[Material]]="","",IF(LEFT(tblMovement[[#This Row],[Material]],3)="Ore",1,0))</f>
        <v/>
      </c>
      <c r="N2327" s="59">
        <f>IF(OR(tblMovement[[#This Row],[Tonnes_t]]="",tblMovement[[#This Row],[Grade_gpt]]=""),0,tblMovement[[#This Row],[Tonnes_t]]*tblMovement[[#This Row],[Grade_gpt]]/cfg_TroyOz)</f>
        <v/>
      </c>
      <c r="O2327" s="59">
        <f>IF(tblMovement[[#This Row],[Is_Ore]]=1,tblMovement[[#This Row],[Contained_oz]],0)</f>
        <v/>
      </c>
    </row>
    <row r="2328">
      <c r="A2328" s="54" t="n"/>
      <c r="B2328" s="61" t="n"/>
      <c r="C2328" s="61" t="n"/>
      <c r="D2328" s="61" t="n"/>
      <c r="E2328" s="61" t="n"/>
      <c r="F2328" s="55" t="n"/>
      <c r="G2328" s="56" t="n"/>
      <c r="H2328" s="55" t="n"/>
      <c r="I2328" s="62" t="n"/>
      <c r="J2328" s="58" t="n"/>
      <c r="K2328" s="63">
        <f>IF(tblMovement[[#This Row],[Source]]="","",IFERROR(INDEX(tblSources[Type],MATCH(tblMovement[[#This Row],[Source]],tblSources[Source],0)),"?"))</f>
        <v/>
      </c>
      <c r="L2328" s="63">
        <f>IF(tblMovement[[#This Row],[Destination]]="","",IFERROR(INDEX(tblDestinations[Type],MATCH(tblMovement[[#This Row],[Destination]],tblDestinations[Destination],0)),"?"))</f>
        <v/>
      </c>
      <c r="M2328" s="64">
        <f>IF(tblMovement[[#This Row],[Material]]="","",IF(LEFT(tblMovement[[#This Row],[Material]],3)="Ore",1,0))</f>
        <v/>
      </c>
      <c r="N2328" s="59">
        <f>IF(OR(tblMovement[[#This Row],[Tonnes_t]]="",tblMovement[[#This Row],[Grade_gpt]]=""),0,tblMovement[[#This Row],[Tonnes_t]]*tblMovement[[#This Row],[Grade_gpt]]/cfg_TroyOz)</f>
        <v/>
      </c>
      <c r="O2328" s="59">
        <f>IF(tblMovement[[#This Row],[Is_Ore]]=1,tblMovement[[#This Row],[Contained_oz]],0)</f>
        <v/>
      </c>
    </row>
    <row r="2329">
      <c r="A2329" s="54" t="n"/>
      <c r="B2329" s="61" t="n"/>
      <c r="C2329" s="61" t="n"/>
      <c r="D2329" s="61" t="n"/>
      <c r="E2329" s="61" t="n"/>
      <c r="F2329" s="55" t="n"/>
      <c r="G2329" s="56" t="n"/>
      <c r="H2329" s="55" t="n"/>
      <c r="I2329" s="62" t="n"/>
      <c r="J2329" s="58" t="n"/>
      <c r="K2329" s="63">
        <f>IF(tblMovement[[#This Row],[Source]]="","",IFERROR(INDEX(tblSources[Type],MATCH(tblMovement[[#This Row],[Source]],tblSources[Source],0)),"?"))</f>
        <v/>
      </c>
      <c r="L2329" s="63">
        <f>IF(tblMovement[[#This Row],[Destination]]="","",IFERROR(INDEX(tblDestinations[Type],MATCH(tblMovement[[#This Row],[Destination]],tblDestinations[Destination],0)),"?"))</f>
        <v/>
      </c>
      <c r="M2329" s="64">
        <f>IF(tblMovement[[#This Row],[Material]]="","",IF(LEFT(tblMovement[[#This Row],[Material]],3)="Ore",1,0))</f>
        <v/>
      </c>
      <c r="N2329" s="59">
        <f>IF(OR(tblMovement[[#This Row],[Tonnes_t]]="",tblMovement[[#This Row],[Grade_gpt]]=""),0,tblMovement[[#This Row],[Tonnes_t]]*tblMovement[[#This Row],[Grade_gpt]]/cfg_TroyOz)</f>
        <v/>
      </c>
      <c r="O2329" s="59">
        <f>IF(tblMovement[[#This Row],[Is_Ore]]=1,tblMovement[[#This Row],[Contained_oz]],0)</f>
        <v/>
      </c>
    </row>
    <row r="2330">
      <c r="A2330" s="54" t="n"/>
      <c r="B2330" s="61" t="n"/>
      <c r="C2330" s="61" t="n"/>
      <c r="D2330" s="61" t="n"/>
      <c r="E2330" s="61" t="n"/>
      <c r="F2330" s="55" t="n"/>
      <c r="G2330" s="56" t="n"/>
      <c r="H2330" s="55" t="n"/>
      <c r="I2330" s="62" t="n"/>
      <c r="J2330" s="58" t="n"/>
      <c r="K2330" s="63">
        <f>IF(tblMovement[[#This Row],[Source]]="","",IFERROR(INDEX(tblSources[Type],MATCH(tblMovement[[#This Row],[Source]],tblSources[Source],0)),"?"))</f>
        <v/>
      </c>
      <c r="L2330" s="63">
        <f>IF(tblMovement[[#This Row],[Destination]]="","",IFERROR(INDEX(tblDestinations[Type],MATCH(tblMovement[[#This Row],[Destination]],tblDestinations[Destination],0)),"?"))</f>
        <v/>
      </c>
      <c r="M2330" s="64">
        <f>IF(tblMovement[[#This Row],[Material]]="","",IF(LEFT(tblMovement[[#This Row],[Material]],3)="Ore",1,0))</f>
        <v/>
      </c>
      <c r="N2330" s="59">
        <f>IF(OR(tblMovement[[#This Row],[Tonnes_t]]="",tblMovement[[#This Row],[Grade_gpt]]=""),0,tblMovement[[#This Row],[Tonnes_t]]*tblMovement[[#This Row],[Grade_gpt]]/cfg_TroyOz)</f>
        <v/>
      </c>
      <c r="O2330" s="59">
        <f>IF(tblMovement[[#This Row],[Is_Ore]]=1,tblMovement[[#This Row],[Contained_oz]],0)</f>
        <v/>
      </c>
    </row>
    <row r="2331">
      <c r="A2331" s="54" t="n"/>
      <c r="B2331" s="61" t="n"/>
      <c r="C2331" s="61" t="n"/>
      <c r="D2331" s="61" t="n"/>
      <c r="E2331" s="61" t="n"/>
      <c r="F2331" s="55" t="n"/>
      <c r="G2331" s="56" t="n"/>
      <c r="H2331" s="55" t="n"/>
      <c r="I2331" s="62" t="n"/>
      <c r="J2331" s="58" t="n"/>
      <c r="K2331" s="63">
        <f>IF(tblMovement[[#This Row],[Source]]="","",IFERROR(INDEX(tblSources[Type],MATCH(tblMovement[[#This Row],[Source]],tblSources[Source],0)),"?"))</f>
        <v/>
      </c>
      <c r="L2331" s="63">
        <f>IF(tblMovement[[#This Row],[Destination]]="","",IFERROR(INDEX(tblDestinations[Type],MATCH(tblMovement[[#This Row],[Destination]],tblDestinations[Destination],0)),"?"))</f>
        <v/>
      </c>
      <c r="M2331" s="64">
        <f>IF(tblMovement[[#This Row],[Material]]="","",IF(LEFT(tblMovement[[#This Row],[Material]],3)="Ore",1,0))</f>
        <v/>
      </c>
      <c r="N2331" s="59">
        <f>IF(OR(tblMovement[[#This Row],[Tonnes_t]]="",tblMovement[[#This Row],[Grade_gpt]]=""),0,tblMovement[[#This Row],[Tonnes_t]]*tblMovement[[#This Row],[Grade_gpt]]/cfg_TroyOz)</f>
        <v/>
      </c>
      <c r="O2331" s="59">
        <f>IF(tblMovement[[#This Row],[Is_Ore]]=1,tblMovement[[#This Row],[Contained_oz]],0)</f>
        <v/>
      </c>
    </row>
    <row r="2332">
      <c r="A2332" s="54" t="n"/>
      <c r="B2332" s="61" t="n"/>
      <c r="C2332" s="61" t="n"/>
      <c r="D2332" s="61" t="n"/>
      <c r="E2332" s="61" t="n"/>
      <c r="F2332" s="55" t="n"/>
      <c r="G2332" s="56" t="n"/>
      <c r="H2332" s="55" t="n"/>
      <c r="I2332" s="62" t="n"/>
      <c r="J2332" s="58" t="n"/>
      <c r="K2332" s="63">
        <f>IF(tblMovement[[#This Row],[Source]]="","",IFERROR(INDEX(tblSources[Type],MATCH(tblMovement[[#This Row],[Source]],tblSources[Source],0)),"?"))</f>
        <v/>
      </c>
      <c r="L2332" s="63">
        <f>IF(tblMovement[[#This Row],[Destination]]="","",IFERROR(INDEX(tblDestinations[Type],MATCH(tblMovement[[#This Row],[Destination]],tblDestinations[Destination],0)),"?"))</f>
        <v/>
      </c>
      <c r="M2332" s="64">
        <f>IF(tblMovement[[#This Row],[Material]]="","",IF(LEFT(tblMovement[[#This Row],[Material]],3)="Ore",1,0))</f>
        <v/>
      </c>
      <c r="N2332" s="59">
        <f>IF(OR(tblMovement[[#This Row],[Tonnes_t]]="",tblMovement[[#This Row],[Grade_gpt]]=""),0,tblMovement[[#This Row],[Tonnes_t]]*tblMovement[[#This Row],[Grade_gpt]]/cfg_TroyOz)</f>
        <v/>
      </c>
      <c r="O2332" s="59">
        <f>IF(tblMovement[[#This Row],[Is_Ore]]=1,tblMovement[[#This Row],[Contained_oz]],0)</f>
        <v/>
      </c>
    </row>
    <row r="2333">
      <c r="A2333" s="54" t="n"/>
      <c r="B2333" s="61" t="n"/>
      <c r="C2333" s="61" t="n"/>
      <c r="D2333" s="61" t="n"/>
      <c r="E2333" s="61" t="n"/>
      <c r="F2333" s="55" t="n"/>
      <c r="G2333" s="56" t="n"/>
      <c r="H2333" s="55" t="n"/>
      <c r="I2333" s="62" t="n"/>
      <c r="J2333" s="58" t="n"/>
      <c r="K2333" s="63">
        <f>IF(tblMovement[[#This Row],[Source]]="","",IFERROR(INDEX(tblSources[Type],MATCH(tblMovement[[#This Row],[Source]],tblSources[Source],0)),"?"))</f>
        <v/>
      </c>
      <c r="L2333" s="63">
        <f>IF(tblMovement[[#This Row],[Destination]]="","",IFERROR(INDEX(tblDestinations[Type],MATCH(tblMovement[[#This Row],[Destination]],tblDestinations[Destination],0)),"?"))</f>
        <v/>
      </c>
      <c r="M2333" s="64">
        <f>IF(tblMovement[[#This Row],[Material]]="","",IF(LEFT(tblMovement[[#This Row],[Material]],3)="Ore",1,0))</f>
        <v/>
      </c>
      <c r="N2333" s="59">
        <f>IF(OR(tblMovement[[#This Row],[Tonnes_t]]="",tblMovement[[#This Row],[Grade_gpt]]=""),0,tblMovement[[#This Row],[Tonnes_t]]*tblMovement[[#This Row],[Grade_gpt]]/cfg_TroyOz)</f>
        <v/>
      </c>
      <c r="O2333" s="59">
        <f>IF(tblMovement[[#This Row],[Is_Ore]]=1,tblMovement[[#This Row],[Contained_oz]],0)</f>
        <v/>
      </c>
    </row>
    <row r="2334">
      <c r="A2334" s="54" t="n"/>
      <c r="B2334" s="61" t="n"/>
      <c r="C2334" s="61" t="n"/>
      <c r="D2334" s="61" t="n"/>
      <c r="E2334" s="61" t="n"/>
      <c r="F2334" s="55" t="n"/>
      <c r="G2334" s="56" t="n"/>
      <c r="H2334" s="55" t="n"/>
      <c r="I2334" s="62" t="n"/>
      <c r="J2334" s="58" t="n"/>
      <c r="K2334" s="63">
        <f>IF(tblMovement[[#This Row],[Source]]="","",IFERROR(INDEX(tblSources[Type],MATCH(tblMovement[[#This Row],[Source]],tblSources[Source],0)),"?"))</f>
        <v/>
      </c>
      <c r="L2334" s="63">
        <f>IF(tblMovement[[#This Row],[Destination]]="","",IFERROR(INDEX(tblDestinations[Type],MATCH(tblMovement[[#This Row],[Destination]],tblDestinations[Destination],0)),"?"))</f>
        <v/>
      </c>
      <c r="M2334" s="64">
        <f>IF(tblMovement[[#This Row],[Material]]="","",IF(LEFT(tblMovement[[#This Row],[Material]],3)="Ore",1,0))</f>
        <v/>
      </c>
      <c r="N2334" s="59">
        <f>IF(OR(tblMovement[[#This Row],[Tonnes_t]]="",tblMovement[[#This Row],[Grade_gpt]]=""),0,tblMovement[[#This Row],[Tonnes_t]]*tblMovement[[#This Row],[Grade_gpt]]/cfg_TroyOz)</f>
        <v/>
      </c>
      <c r="O2334" s="59">
        <f>IF(tblMovement[[#This Row],[Is_Ore]]=1,tblMovement[[#This Row],[Contained_oz]],0)</f>
        <v/>
      </c>
    </row>
    <row r="2335">
      <c r="A2335" s="54" t="n"/>
      <c r="B2335" s="61" t="n"/>
      <c r="C2335" s="61" t="n"/>
      <c r="D2335" s="61" t="n"/>
      <c r="E2335" s="61" t="n"/>
      <c r="F2335" s="55" t="n"/>
      <c r="G2335" s="56" t="n"/>
      <c r="H2335" s="55" t="n"/>
      <c r="I2335" s="62" t="n"/>
      <c r="J2335" s="58" t="n"/>
      <c r="K2335" s="63">
        <f>IF(tblMovement[[#This Row],[Source]]="","",IFERROR(INDEX(tblSources[Type],MATCH(tblMovement[[#This Row],[Source]],tblSources[Source],0)),"?"))</f>
        <v/>
      </c>
      <c r="L2335" s="63">
        <f>IF(tblMovement[[#This Row],[Destination]]="","",IFERROR(INDEX(tblDestinations[Type],MATCH(tblMovement[[#This Row],[Destination]],tblDestinations[Destination],0)),"?"))</f>
        <v/>
      </c>
      <c r="M2335" s="64">
        <f>IF(tblMovement[[#This Row],[Material]]="","",IF(LEFT(tblMovement[[#This Row],[Material]],3)="Ore",1,0))</f>
        <v/>
      </c>
      <c r="N2335" s="59">
        <f>IF(OR(tblMovement[[#This Row],[Tonnes_t]]="",tblMovement[[#This Row],[Grade_gpt]]=""),0,tblMovement[[#This Row],[Tonnes_t]]*tblMovement[[#This Row],[Grade_gpt]]/cfg_TroyOz)</f>
        <v/>
      </c>
      <c r="O2335" s="59">
        <f>IF(tblMovement[[#This Row],[Is_Ore]]=1,tblMovement[[#This Row],[Contained_oz]],0)</f>
        <v/>
      </c>
    </row>
    <row r="2336">
      <c r="A2336" s="54" t="n"/>
      <c r="B2336" s="61" t="n"/>
      <c r="C2336" s="61" t="n"/>
      <c r="D2336" s="61" t="n"/>
      <c r="E2336" s="61" t="n"/>
      <c r="F2336" s="55" t="n"/>
      <c r="G2336" s="56" t="n"/>
      <c r="H2336" s="55" t="n"/>
      <c r="I2336" s="62" t="n"/>
      <c r="J2336" s="58" t="n"/>
      <c r="K2336" s="63">
        <f>IF(tblMovement[[#This Row],[Source]]="","",IFERROR(INDEX(tblSources[Type],MATCH(tblMovement[[#This Row],[Source]],tblSources[Source],0)),"?"))</f>
        <v/>
      </c>
      <c r="L2336" s="63">
        <f>IF(tblMovement[[#This Row],[Destination]]="","",IFERROR(INDEX(tblDestinations[Type],MATCH(tblMovement[[#This Row],[Destination]],tblDestinations[Destination],0)),"?"))</f>
        <v/>
      </c>
      <c r="M2336" s="64">
        <f>IF(tblMovement[[#This Row],[Material]]="","",IF(LEFT(tblMovement[[#This Row],[Material]],3)="Ore",1,0))</f>
        <v/>
      </c>
      <c r="N2336" s="59">
        <f>IF(OR(tblMovement[[#This Row],[Tonnes_t]]="",tblMovement[[#This Row],[Grade_gpt]]=""),0,tblMovement[[#This Row],[Tonnes_t]]*tblMovement[[#This Row],[Grade_gpt]]/cfg_TroyOz)</f>
        <v/>
      </c>
      <c r="O2336" s="59">
        <f>IF(tblMovement[[#This Row],[Is_Ore]]=1,tblMovement[[#This Row],[Contained_oz]],0)</f>
        <v/>
      </c>
    </row>
    <row r="2337">
      <c r="A2337" s="54" t="n"/>
      <c r="B2337" s="61" t="n"/>
      <c r="C2337" s="61" t="n"/>
      <c r="D2337" s="61" t="n"/>
      <c r="E2337" s="61" t="n"/>
      <c r="F2337" s="55" t="n"/>
      <c r="G2337" s="56" t="n"/>
      <c r="H2337" s="55" t="n"/>
      <c r="I2337" s="62" t="n"/>
      <c r="J2337" s="58" t="n"/>
      <c r="K2337" s="63">
        <f>IF(tblMovement[[#This Row],[Source]]="","",IFERROR(INDEX(tblSources[Type],MATCH(tblMovement[[#This Row],[Source]],tblSources[Source],0)),"?"))</f>
        <v/>
      </c>
      <c r="L2337" s="63">
        <f>IF(tblMovement[[#This Row],[Destination]]="","",IFERROR(INDEX(tblDestinations[Type],MATCH(tblMovement[[#This Row],[Destination]],tblDestinations[Destination],0)),"?"))</f>
        <v/>
      </c>
      <c r="M2337" s="64">
        <f>IF(tblMovement[[#This Row],[Material]]="","",IF(LEFT(tblMovement[[#This Row],[Material]],3)="Ore",1,0))</f>
        <v/>
      </c>
      <c r="N2337" s="59">
        <f>IF(OR(tblMovement[[#This Row],[Tonnes_t]]="",tblMovement[[#This Row],[Grade_gpt]]=""),0,tblMovement[[#This Row],[Tonnes_t]]*tblMovement[[#This Row],[Grade_gpt]]/cfg_TroyOz)</f>
        <v/>
      </c>
      <c r="O2337" s="59">
        <f>IF(tblMovement[[#This Row],[Is_Ore]]=1,tblMovement[[#This Row],[Contained_oz]],0)</f>
        <v/>
      </c>
    </row>
    <row r="2338">
      <c r="A2338" s="54" t="n"/>
      <c r="B2338" s="61" t="n"/>
      <c r="C2338" s="61" t="n"/>
      <c r="D2338" s="61" t="n"/>
      <c r="E2338" s="61" t="n"/>
      <c r="F2338" s="55" t="n"/>
      <c r="G2338" s="56" t="n"/>
      <c r="H2338" s="55" t="n"/>
      <c r="I2338" s="62" t="n"/>
      <c r="J2338" s="58" t="n"/>
      <c r="K2338" s="63">
        <f>IF(tblMovement[[#This Row],[Source]]="","",IFERROR(INDEX(tblSources[Type],MATCH(tblMovement[[#This Row],[Source]],tblSources[Source],0)),"?"))</f>
        <v/>
      </c>
      <c r="L2338" s="63">
        <f>IF(tblMovement[[#This Row],[Destination]]="","",IFERROR(INDEX(tblDestinations[Type],MATCH(tblMovement[[#This Row],[Destination]],tblDestinations[Destination],0)),"?"))</f>
        <v/>
      </c>
      <c r="M2338" s="64">
        <f>IF(tblMovement[[#This Row],[Material]]="","",IF(LEFT(tblMovement[[#This Row],[Material]],3)="Ore",1,0))</f>
        <v/>
      </c>
      <c r="N2338" s="59">
        <f>IF(OR(tblMovement[[#This Row],[Tonnes_t]]="",tblMovement[[#This Row],[Grade_gpt]]=""),0,tblMovement[[#This Row],[Tonnes_t]]*tblMovement[[#This Row],[Grade_gpt]]/cfg_TroyOz)</f>
        <v/>
      </c>
      <c r="O2338" s="59">
        <f>IF(tblMovement[[#This Row],[Is_Ore]]=1,tblMovement[[#This Row],[Contained_oz]],0)</f>
        <v/>
      </c>
    </row>
    <row r="2339">
      <c r="A2339" s="54" t="n"/>
      <c r="B2339" s="61" t="n"/>
      <c r="C2339" s="61" t="n"/>
      <c r="D2339" s="61" t="n"/>
      <c r="E2339" s="61" t="n"/>
      <c r="F2339" s="55" t="n"/>
      <c r="G2339" s="56" t="n"/>
      <c r="H2339" s="55" t="n"/>
      <c r="I2339" s="62" t="n"/>
      <c r="J2339" s="58" t="n"/>
      <c r="K2339" s="63">
        <f>IF(tblMovement[[#This Row],[Source]]="","",IFERROR(INDEX(tblSources[Type],MATCH(tblMovement[[#This Row],[Source]],tblSources[Source],0)),"?"))</f>
        <v/>
      </c>
      <c r="L2339" s="63">
        <f>IF(tblMovement[[#This Row],[Destination]]="","",IFERROR(INDEX(tblDestinations[Type],MATCH(tblMovement[[#This Row],[Destination]],tblDestinations[Destination],0)),"?"))</f>
        <v/>
      </c>
      <c r="M2339" s="64">
        <f>IF(tblMovement[[#This Row],[Material]]="","",IF(LEFT(tblMovement[[#This Row],[Material]],3)="Ore",1,0))</f>
        <v/>
      </c>
      <c r="N2339" s="59">
        <f>IF(OR(tblMovement[[#This Row],[Tonnes_t]]="",tblMovement[[#This Row],[Grade_gpt]]=""),0,tblMovement[[#This Row],[Tonnes_t]]*tblMovement[[#This Row],[Grade_gpt]]/cfg_TroyOz)</f>
        <v/>
      </c>
      <c r="O2339" s="59">
        <f>IF(tblMovement[[#This Row],[Is_Ore]]=1,tblMovement[[#This Row],[Contained_oz]],0)</f>
        <v/>
      </c>
    </row>
    <row r="2340">
      <c r="A2340" s="54" t="n"/>
      <c r="B2340" s="61" t="n"/>
      <c r="C2340" s="61" t="n"/>
      <c r="D2340" s="61" t="n"/>
      <c r="E2340" s="61" t="n"/>
      <c r="F2340" s="55" t="n"/>
      <c r="G2340" s="56" t="n"/>
      <c r="H2340" s="55" t="n"/>
      <c r="I2340" s="62" t="n"/>
      <c r="J2340" s="58" t="n"/>
      <c r="K2340" s="63">
        <f>IF(tblMovement[[#This Row],[Source]]="","",IFERROR(INDEX(tblSources[Type],MATCH(tblMovement[[#This Row],[Source]],tblSources[Source],0)),"?"))</f>
        <v/>
      </c>
      <c r="L2340" s="63">
        <f>IF(tblMovement[[#This Row],[Destination]]="","",IFERROR(INDEX(tblDestinations[Type],MATCH(tblMovement[[#This Row],[Destination]],tblDestinations[Destination],0)),"?"))</f>
        <v/>
      </c>
      <c r="M2340" s="64">
        <f>IF(tblMovement[[#This Row],[Material]]="","",IF(LEFT(tblMovement[[#This Row],[Material]],3)="Ore",1,0))</f>
        <v/>
      </c>
      <c r="N2340" s="59">
        <f>IF(OR(tblMovement[[#This Row],[Tonnes_t]]="",tblMovement[[#This Row],[Grade_gpt]]=""),0,tblMovement[[#This Row],[Tonnes_t]]*tblMovement[[#This Row],[Grade_gpt]]/cfg_TroyOz)</f>
        <v/>
      </c>
      <c r="O2340" s="59">
        <f>IF(tblMovement[[#This Row],[Is_Ore]]=1,tblMovement[[#This Row],[Contained_oz]],0)</f>
        <v/>
      </c>
    </row>
    <row r="2341">
      <c r="A2341" s="54" t="n"/>
      <c r="B2341" s="61" t="n"/>
      <c r="C2341" s="61" t="n"/>
      <c r="D2341" s="61" t="n"/>
      <c r="E2341" s="61" t="n"/>
      <c r="F2341" s="55" t="n"/>
      <c r="G2341" s="56" t="n"/>
      <c r="H2341" s="55" t="n"/>
      <c r="I2341" s="62" t="n"/>
      <c r="J2341" s="58" t="n"/>
      <c r="K2341" s="63">
        <f>IF(tblMovement[[#This Row],[Source]]="","",IFERROR(INDEX(tblSources[Type],MATCH(tblMovement[[#This Row],[Source]],tblSources[Source],0)),"?"))</f>
        <v/>
      </c>
      <c r="L2341" s="63">
        <f>IF(tblMovement[[#This Row],[Destination]]="","",IFERROR(INDEX(tblDestinations[Type],MATCH(tblMovement[[#This Row],[Destination]],tblDestinations[Destination],0)),"?"))</f>
        <v/>
      </c>
      <c r="M2341" s="64">
        <f>IF(tblMovement[[#This Row],[Material]]="","",IF(LEFT(tblMovement[[#This Row],[Material]],3)="Ore",1,0))</f>
        <v/>
      </c>
      <c r="N2341" s="59">
        <f>IF(OR(tblMovement[[#This Row],[Tonnes_t]]="",tblMovement[[#This Row],[Grade_gpt]]=""),0,tblMovement[[#This Row],[Tonnes_t]]*tblMovement[[#This Row],[Grade_gpt]]/cfg_TroyOz)</f>
        <v/>
      </c>
      <c r="O2341" s="59">
        <f>IF(tblMovement[[#This Row],[Is_Ore]]=1,tblMovement[[#This Row],[Contained_oz]],0)</f>
        <v/>
      </c>
    </row>
    <row r="2342">
      <c r="A2342" s="54" t="n"/>
      <c r="B2342" s="61" t="n"/>
      <c r="C2342" s="61" t="n"/>
      <c r="D2342" s="61" t="n"/>
      <c r="E2342" s="61" t="n"/>
      <c r="F2342" s="55" t="n"/>
      <c r="G2342" s="56" t="n"/>
      <c r="H2342" s="55" t="n"/>
      <c r="I2342" s="62" t="n"/>
      <c r="J2342" s="58" t="n"/>
      <c r="K2342" s="63">
        <f>IF(tblMovement[[#This Row],[Source]]="","",IFERROR(INDEX(tblSources[Type],MATCH(tblMovement[[#This Row],[Source]],tblSources[Source],0)),"?"))</f>
        <v/>
      </c>
      <c r="L2342" s="63">
        <f>IF(tblMovement[[#This Row],[Destination]]="","",IFERROR(INDEX(tblDestinations[Type],MATCH(tblMovement[[#This Row],[Destination]],tblDestinations[Destination],0)),"?"))</f>
        <v/>
      </c>
      <c r="M2342" s="64">
        <f>IF(tblMovement[[#This Row],[Material]]="","",IF(LEFT(tblMovement[[#This Row],[Material]],3)="Ore",1,0))</f>
        <v/>
      </c>
      <c r="N2342" s="59">
        <f>IF(OR(tblMovement[[#This Row],[Tonnes_t]]="",tblMovement[[#This Row],[Grade_gpt]]=""),0,tblMovement[[#This Row],[Tonnes_t]]*tblMovement[[#This Row],[Grade_gpt]]/cfg_TroyOz)</f>
        <v/>
      </c>
      <c r="O2342" s="59">
        <f>IF(tblMovement[[#This Row],[Is_Ore]]=1,tblMovement[[#This Row],[Contained_oz]],0)</f>
        <v/>
      </c>
    </row>
    <row r="2343">
      <c r="A2343" s="54" t="n"/>
      <c r="B2343" s="61" t="n"/>
      <c r="C2343" s="61" t="n"/>
      <c r="D2343" s="61" t="n"/>
      <c r="E2343" s="61" t="n"/>
      <c r="F2343" s="55" t="n"/>
      <c r="G2343" s="56" t="n"/>
      <c r="H2343" s="55" t="n"/>
      <c r="I2343" s="62" t="n"/>
      <c r="J2343" s="58" t="n"/>
      <c r="K2343" s="63">
        <f>IF(tblMovement[[#This Row],[Source]]="","",IFERROR(INDEX(tblSources[Type],MATCH(tblMovement[[#This Row],[Source]],tblSources[Source],0)),"?"))</f>
        <v/>
      </c>
      <c r="L2343" s="63">
        <f>IF(tblMovement[[#This Row],[Destination]]="","",IFERROR(INDEX(tblDestinations[Type],MATCH(tblMovement[[#This Row],[Destination]],tblDestinations[Destination],0)),"?"))</f>
        <v/>
      </c>
      <c r="M2343" s="64">
        <f>IF(tblMovement[[#This Row],[Material]]="","",IF(LEFT(tblMovement[[#This Row],[Material]],3)="Ore",1,0))</f>
        <v/>
      </c>
      <c r="N2343" s="59">
        <f>IF(OR(tblMovement[[#This Row],[Tonnes_t]]="",tblMovement[[#This Row],[Grade_gpt]]=""),0,tblMovement[[#This Row],[Tonnes_t]]*tblMovement[[#This Row],[Grade_gpt]]/cfg_TroyOz)</f>
        <v/>
      </c>
      <c r="O2343" s="59">
        <f>IF(tblMovement[[#This Row],[Is_Ore]]=1,tblMovement[[#This Row],[Contained_oz]],0)</f>
        <v/>
      </c>
    </row>
    <row r="2344">
      <c r="A2344" s="54" t="n"/>
      <c r="B2344" s="61" t="n"/>
      <c r="C2344" s="61" t="n"/>
      <c r="D2344" s="61" t="n"/>
      <c r="E2344" s="61" t="n"/>
      <c r="F2344" s="55" t="n"/>
      <c r="G2344" s="56" t="n"/>
      <c r="H2344" s="55" t="n"/>
      <c r="I2344" s="62" t="n"/>
      <c r="J2344" s="58" t="n"/>
      <c r="K2344" s="63">
        <f>IF(tblMovement[[#This Row],[Source]]="","",IFERROR(INDEX(tblSources[Type],MATCH(tblMovement[[#This Row],[Source]],tblSources[Source],0)),"?"))</f>
        <v/>
      </c>
      <c r="L2344" s="63">
        <f>IF(tblMovement[[#This Row],[Destination]]="","",IFERROR(INDEX(tblDestinations[Type],MATCH(tblMovement[[#This Row],[Destination]],tblDestinations[Destination],0)),"?"))</f>
        <v/>
      </c>
      <c r="M2344" s="64">
        <f>IF(tblMovement[[#This Row],[Material]]="","",IF(LEFT(tblMovement[[#This Row],[Material]],3)="Ore",1,0))</f>
        <v/>
      </c>
      <c r="N2344" s="59">
        <f>IF(OR(tblMovement[[#This Row],[Tonnes_t]]="",tblMovement[[#This Row],[Grade_gpt]]=""),0,tblMovement[[#This Row],[Tonnes_t]]*tblMovement[[#This Row],[Grade_gpt]]/cfg_TroyOz)</f>
        <v/>
      </c>
      <c r="O2344" s="59">
        <f>IF(tblMovement[[#This Row],[Is_Ore]]=1,tblMovement[[#This Row],[Contained_oz]],0)</f>
        <v/>
      </c>
    </row>
    <row r="2345">
      <c r="A2345" s="54" t="n"/>
      <c r="B2345" s="61" t="n"/>
      <c r="C2345" s="61" t="n"/>
      <c r="D2345" s="61" t="n"/>
      <c r="E2345" s="61" t="n"/>
      <c r="F2345" s="55" t="n"/>
      <c r="G2345" s="56" t="n"/>
      <c r="H2345" s="55" t="n"/>
      <c r="I2345" s="62" t="n"/>
      <c r="J2345" s="58" t="n"/>
      <c r="K2345" s="63">
        <f>IF(tblMovement[[#This Row],[Source]]="","",IFERROR(INDEX(tblSources[Type],MATCH(tblMovement[[#This Row],[Source]],tblSources[Source],0)),"?"))</f>
        <v/>
      </c>
      <c r="L2345" s="63">
        <f>IF(tblMovement[[#This Row],[Destination]]="","",IFERROR(INDEX(tblDestinations[Type],MATCH(tblMovement[[#This Row],[Destination]],tblDestinations[Destination],0)),"?"))</f>
        <v/>
      </c>
      <c r="M2345" s="64">
        <f>IF(tblMovement[[#This Row],[Material]]="","",IF(LEFT(tblMovement[[#This Row],[Material]],3)="Ore",1,0))</f>
        <v/>
      </c>
      <c r="N2345" s="59">
        <f>IF(OR(tblMovement[[#This Row],[Tonnes_t]]="",tblMovement[[#This Row],[Grade_gpt]]=""),0,tblMovement[[#This Row],[Tonnes_t]]*tblMovement[[#This Row],[Grade_gpt]]/cfg_TroyOz)</f>
        <v/>
      </c>
      <c r="O2345" s="59">
        <f>IF(tblMovement[[#This Row],[Is_Ore]]=1,tblMovement[[#This Row],[Contained_oz]],0)</f>
        <v/>
      </c>
    </row>
    <row r="2346">
      <c r="A2346" s="54" t="n"/>
      <c r="B2346" s="61" t="n"/>
      <c r="C2346" s="61" t="n"/>
      <c r="D2346" s="61" t="n"/>
      <c r="E2346" s="61" t="n"/>
      <c r="F2346" s="55" t="n"/>
      <c r="G2346" s="56" t="n"/>
      <c r="H2346" s="55" t="n"/>
      <c r="I2346" s="62" t="n"/>
      <c r="J2346" s="58" t="n"/>
      <c r="K2346" s="63">
        <f>IF(tblMovement[[#This Row],[Source]]="","",IFERROR(INDEX(tblSources[Type],MATCH(tblMovement[[#This Row],[Source]],tblSources[Source],0)),"?"))</f>
        <v/>
      </c>
      <c r="L2346" s="63">
        <f>IF(tblMovement[[#This Row],[Destination]]="","",IFERROR(INDEX(tblDestinations[Type],MATCH(tblMovement[[#This Row],[Destination]],tblDestinations[Destination],0)),"?"))</f>
        <v/>
      </c>
      <c r="M2346" s="64">
        <f>IF(tblMovement[[#This Row],[Material]]="","",IF(LEFT(tblMovement[[#This Row],[Material]],3)="Ore",1,0))</f>
        <v/>
      </c>
      <c r="N2346" s="59">
        <f>IF(OR(tblMovement[[#This Row],[Tonnes_t]]="",tblMovement[[#This Row],[Grade_gpt]]=""),0,tblMovement[[#This Row],[Tonnes_t]]*tblMovement[[#This Row],[Grade_gpt]]/cfg_TroyOz)</f>
        <v/>
      </c>
      <c r="O2346" s="59">
        <f>IF(tblMovement[[#This Row],[Is_Ore]]=1,tblMovement[[#This Row],[Contained_oz]],0)</f>
        <v/>
      </c>
    </row>
    <row r="2347">
      <c r="A2347" s="54" t="n"/>
      <c r="B2347" s="61" t="n"/>
      <c r="C2347" s="61" t="n"/>
      <c r="D2347" s="61" t="n"/>
      <c r="E2347" s="61" t="n"/>
      <c r="F2347" s="55" t="n"/>
      <c r="G2347" s="56" t="n"/>
      <c r="H2347" s="55" t="n"/>
      <c r="I2347" s="62" t="n"/>
      <c r="J2347" s="58" t="n"/>
      <c r="K2347" s="63">
        <f>IF(tblMovement[[#This Row],[Source]]="","",IFERROR(INDEX(tblSources[Type],MATCH(tblMovement[[#This Row],[Source]],tblSources[Source],0)),"?"))</f>
        <v/>
      </c>
      <c r="L2347" s="63">
        <f>IF(tblMovement[[#This Row],[Destination]]="","",IFERROR(INDEX(tblDestinations[Type],MATCH(tblMovement[[#This Row],[Destination]],tblDestinations[Destination],0)),"?"))</f>
        <v/>
      </c>
      <c r="M2347" s="64">
        <f>IF(tblMovement[[#This Row],[Material]]="","",IF(LEFT(tblMovement[[#This Row],[Material]],3)="Ore",1,0))</f>
        <v/>
      </c>
      <c r="N2347" s="59">
        <f>IF(OR(tblMovement[[#This Row],[Tonnes_t]]="",tblMovement[[#This Row],[Grade_gpt]]=""),0,tblMovement[[#This Row],[Tonnes_t]]*tblMovement[[#This Row],[Grade_gpt]]/cfg_TroyOz)</f>
        <v/>
      </c>
      <c r="O2347" s="59">
        <f>IF(tblMovement[[#This Row],[Is_Ore]]=1,tblMovement[[#This Row],[Contained_oz]],0)</f>
        <v/>
      </c>
    </row>
    <row r="2348">
      <c r="A2348" s="54" t="n"/>
      <c r="B2348" s="61" t="n"/>
      <c r="C2348" s="61" t="n"/>
      <c r="D2348" s="61" t="n"/>
      <c r="E2348" s="61" t="n"/>
      <c r="F2348" s="55" t="n"/>
      <c r="G2348" s="56" t="n"/>
      <c r="H2348" s="55" t="n"/>
      <c r="I2348" s="62" t="n"/>
      <c r="J2348" s="58" t="n"/>
      <c r="K2348" s="63">
        <f>IF(tblMovement[[#This Row],[Source]]="","",IFERROR(INDEX(tblSources[Type],MATCH(tblMovement[[#This Row],[Source]],tblSources[Source],0)),"?"))</f>
        <v/>
      </c>
      <c r="L2348" s="63">
        <f>IF(tblMovement[[#This Row],[Destination]]="","",IFERROR(INDEX(tblDestinations[Type],MATCH(tblMovement[[#This Row],[Destination]],tblDestinations[Destination],0)),"?"))</f>
        <v/>
      </c>
      <c r="M2348" s="64">
        <f>IF(tblMovement[[#This Row],[Material]]="","",IF(LEFT(tblMovement[[#This Row],[Material]],3)="Ore",1,0))</f>
        <v/>
      </c>
      <c r="N2348" s="59">
        <f>IF(OR(tblMovement[[#This Row],[Tonnes_t]]="",tblMovement[[#This Row],[Grade_gpt]]=""),0,tblMovement[[#This Row],[Tonnes_t]]*tblMovement[[#This Row],[Grade_gpt]]/cfg_TroyOz)</f>
        <v/>
      </c>
      <c r="O2348" s="59">
        <f>IF(tblMovement[[#This Row],[Is_Ore]]=1,tblMovement[[#This Row],[Contained_oz]],0)</f>
        <v/>
      </c>
    </row>
    <row r="2349">
      <c r="A2349" s="54" t="n"/>
      <c r="B2349" s="61" t="n"/>
      <c r="C2349" s="61" t="n"/>
      <c r="D2349" s="61" t="n"/>
      <c r="E2349" s="61" t="n"/>
      <c r="F2349" s="55" t="n"/>
      <c r="G2349" s="56" t="n"/>
      <c r="H2349" s="55" t="n"/>
      <c r="I2349" s="62" t="n"/>
      <c r="J2349" s="58" t="n"/>
      <c r="K2349" s="63">
        <f>IF(tblMovement[[#This Row],[Source]]="","",IFERROR(INDEX(tblSources[Type],MATCH(tblMovement[[#This Row],[Source]],tblSources[Source],0)),"?"))</f>
        <v/>
      </c>
      <c r="L2349" s="63">
        <f>IF(tblMovement[[#This Row],[Destination]]="","",IFERROR(INDEX(tblDestinations[Type],MATCH(tblMovement[[#This Row],[Destination]],tblDestinations[Destination],0)),"?"))</f>
        <v/>
      </c>
      <c r="M2349" s="64">
        <f>IF(tblMovement[[#This Row],[Material]]="","",IF(LEFT(tblMovement[[#This Row],[Material]],3)="Ore",1,0))</f>
        <v/>
      </c>
      <c r="N2349" s="59">
        <f>IF(OR(tblMovement[[#This Row],[Tonnes_t]]="",tblMovement[[#This Row],[Grade_gpt]]=""),0,tblMovement[[#This Row],[Tonnes_t]]*tblMovement[[#This Row],[Grade_gpt]]/cfg_TroyOz)</f>
        <v/>
      </c>
      <c r="O2349" s="59">
        <f>IF(tblMovement[[#This Row],[Is_Ore]]=1,tblMovement[[#This Row],[Contained_oz]],0)</f>
        <v/>
      </c>
    </row>
    <row r="2350">
      <c r="A2350" s="54" t="n"/>
      <c r="B2350" s="61" t="n"/>
      <c r="C2350" s="61" t="n"/>
      <c r="D2350" s="61" t="n"/>
      <c r="E2350" s="61" t="n"/>
      <c r="F2350" s="55" t="n"/>
      <c r="G2350" s="56" t="n"/>
      <c r="H2350" s="55" t="n"/>
      <c r="I2350" s="62" t="n"/>
      <c r="J2350" s="58" t="n"/>
      <c r="K2350" s="63">
        <f>IF(tblMovement[[#This Row],[Source]]="","",IFERROR(INDEX(tblSources[Type],MATCH(tblMovement[[#This Row],[Source]],tblSources[Source],0)),"?"))</f>
        <v/>
      </c>
      <c r="L2350" s="63">
        <f>IF(tblMovement[[#This Row],[Destination]]="","",IFERROR(INDEX(tblDestinations[Type],MATCH(tblMovement[[#This Row],[Destination]],tblDestinations[Destination],0)),"?"))</f>
        <v/>
      </c>
      <c r="M2350" s="64">
        <f>IF(tblMovement[[#This Row],[Material]]="","",IF(LEFT(tblMovement[[#This Row],[Material]],3)="Ore",1,0))</f>
        <v/>
      </c>
      <c r="N2350" s="59">
        <f>IF(OR(tblMovement[[#This Row],[Tonnes_t]]="",tblMovement[[#This Row],[Grade_gpt]]=""),0,tblMovement[[#This Row],[Tonnes_t]]*tblMovement[[#This Row],[Grade_gpt]]/cfg_TroyOz)</f>
        <v/>
      </c>
      <c r="O2350" s="59">
        <f>IF(tblMovement[[#This Row],[Is_Ore]]=1,tblMovement[[#This Row],[Contained_oz]],0)</f>
        <v/>
      </c>
    </row>
    <row r="2351">
      <c r="A2351" s="54" t="n"/>
      <c r="B2351" s="61" t="n"/>
      <c r="C2351" s="61" t="n"/>
      <c r="D2351" s="61" t="n"/>
      <c r="E2351" s="61" t="n"/>
      <c r="F2351" s="55" t="n"/>
      <c r="G2351" s="56" t="n"/>
      <c r="H2351" s="55" t="n"/>
      <c r="I2351" s="62" t="n"/>
      <c r="J2351" s="58" t="n"/>
      <c r="K2351" s="63">
        <f>IF(tblMovement[[#This Row],[Source]]="","",IFERROR(INDEX(tblSources[Type],MATCH(tblMovement[[#This Row],[Source]],tblSources[Source],0)),"?"))</f>
        <v/>
      </c>
      <c r="L2351" s="63">
        <f>IF(tblMovement[[#This Row],[Destination]]="","",IFERROR(INDEX(tblDestinations[Type],MATCH(tblMovement[[#This Row],[Destination]],tblDestinations[Destination],0)),"?"))</f>
        <v/>
      </c>
      <c r="M2351" s="64">
        <f>IF(tblMovement[[#This Row],[Material]]="","",IF(LEFT(tblMovement[[#This Row],[Material]],3)="Ore",1,0))</f>
        <v/>
      </c>
      <c r="N2351" s="59">
        <f>IF(OR(tblMovement[[#This Row],[Tonnes_t]]="",tblMovement[[#This Row],[Grade_gpt]]=""),0,tblMovement[[#This Row],[Tonnes_t]]*tblMovement[[#This Row],[Grade_gpt]]/cfg_TroyOz)</f>
        <v/>
      </c>
      <c r="O2351" s="59">
        <f>IF(tblMovement[[#This Row],[Is_Ore]]=1,tblMovement[[#This Row],[Contained_oz]],0)</f>
        <v/>
      </c>
    </row>
    <row r="2352">
      <c r="A2352" s="54" t="n"/>
      <c r="B2352" s="61" t="n"/>
      <c r="C2352" s="61" t="n"/>
      <c r="D2352" s="61" t="n"/>
      <c r="E2352" s="61" t="n"/>
      <c r="F2352" s="55" t="n"/>
      <c r="G2352" s="56" t="n"/>
      <c r="H2352" s="55" t="n"/>
      <c r="I2352" s="62" t="n"/>
      <c r="J2352" s="58" t="n"/>
      <c r="K2352" s="63">
        <f>IF(tblMovement[[#This Row],[Source]]="","",IFERROR(INDEX(tblSources[Type],MATCH(tblMovement[[#This Row],[Source]],tblSources[Source],0)),"?"))</f>
        <v/>
      </c>
      <c r="L2352" s="63">
        <f>IF(tblMovement[[#This Row],[Destination]]="","",IFERROR(INDEX(tblDestinations[Type],MATCH(tblMovement[[#This Row],[Destination]],tblDestinations[Destination],0)),"?"))</f>
        <v/>
      </c>
      <c r="M2352" s="64">
        <f>IF(tblMovement[[#This Row],[Material]]="","",IF(LEFT(tblMovement[[#This Row],[Material]],3)="Ore",1,0))</f>
        <v/>
      </c>
      <c r="N2352" s="59">
        <f>IF(OR(tblMovement[[#This Row],[Tonnes_t]]="",tblMovement[[#This Row],[Grade_gpt]]=""),0,tblMovement[[#This Row],[Tonnes_t]]*tblMovement[[#This Row],[Grade_gpt]]/cfg_TroyOz)</f>
        <v/>
      </c>
      <c r="O2352" s="59">
        <f>IF(tblMovement[[#This Row],[Is_Ore]]=1,tblMovement[[#This Row],[Contained_oz]],0)</f>
        <v/>
      </c>
    </row>
    <row r="2353">
      <c r="A2353" s="54" t="n"/>
      <c r="B2353" s="61" t="n"/>
      <c r="C2353" s="61" t="n"/>
      <c r="D2353" s="61" t="n"/>
      <c r="E2353" s="61" t="n"/>
      <c r="F2353" s="55" t="n"/>
      <c r="G2353" s="56" t="n"/>
      <c r="H2353" s="55" t="n"/>
      <c r="I2353" s="62" t="n"/>
      <c r="J2353" s="58" t="n"/>
      <c r="K2353" s="63">
        <f>IF(tblMovement[[#This Row],[Source]]="","",IFERROR(INDEX(tblSources[Type],MATCH(tblMovement[[#This Row],[Source]],tblSources[Source],0)),"?"))</f>
        <v/>
      </c>
      <c r="L2353" s="63">
        <f>IF(tblMovement[[#This Row],[Destination]]="","",IFERROR(INDEX(tblDestinations[Type],MATCH(tblMovement[[#This Row],[Destination]],tblDestinations[Destination],0)),"?"))</f>
        <v/>
      </c>
      <c r="M2353" s="64">
        <f>IF(tblMovement[[#This Row],[Material]]="","",IF(LEFT(tblMovement[[#This Row],[Material]],3)="Ore",1,0))</f>
        <v/>
      </c>
      <c r="N2353" s="59">
        <f>IF(OR(tblMovement[[#This Row],[Tonnes_t]]="",tblMovement[[#This Row],[Grade_gpt]]=""),0,tblMovement[[#This Row],[Tonnes_t]]*tblMovement[[#This Row],[Grade_gpt]]/cfg_TroyOz)</f>
        <v/>
      </c>
      <c r="O2353" s="59">
        <f>IF(tblMovement[[#This Row],[Is_Ore]]=1,tblMovement[[#This Row],[Contained_oz]],0)</f>
        <v/>
      </c>
    </row>
    <row r="2354">
      <c r="A2354" s="54" t="n"/>
      <c r="B2354" s="61" t="n"/>
      <c r="C2354" s="61" t="n"/>
      <c r="D2354" s="61" t="n"/>
      <c r="E2354" s="61" t="n"/>
      <c r="F2354" s="55" t="n"/>
      <c r="G2354" s="56" t="n"/>
      <c r="H2354" s="55" t="n"/>
      <c r="I2354" s="62" t="n"/>
      <c r="J2354" s="58" t="n"/>
      <c r="K2354" s="63">
        <f>IF(tblMovement[[#This Row],[Source]]="","",IFERROR(INDEX(tblSources[Type],MATCH(tblMovement[[#This Row],[Source]],tblSources[Source],0)),"?"))</f>
        <v/>
      </c>
      <c r="L2354" s="63">
        <f>IF(tblMovement[[#This Row],[Destination]]="","",IFERROR(INDEX(tblDestinations[Type],MATCH(tblMovement[[#This Row],[Destination]],tblDestinations[Destination],0)),"?"))</f>
        <v/>
      </c>
      <c r="M2354" s="64">
        <f>IF(tblMovement[[#This Row],[Material]]="","",IF(LEFT(tblMovement[[#This Row],[Material]],3)="Ore",1,0))</f>
        <v/>
      </c>
      <c r="N2354" s="59">
        <f>IF(OR(tblMovement[[#This Row],[Tonnes_t]]="",tblMovement[[#This Row],[Grade_gpt]]=""),0,tblMovement[[#This Row],[Tonnes_t]]*tblMovement[[#This Row],[Grade_gpt]]/cfg_TroyOz)</f>
        <v/>
      </c>
      <c r="O2354" s="59">
        <f>IF(tblMovement[[#This Row],[Is_Ore]]=1,tblMovement[[#This Row],[Contained_oz]],0)</f>
        <v/>
      </c>
    </row>
    <row r="2355">
      <c r="A2355" s="54" t="n"/>
      <c r="B2355" s="61" t="n"/>
      <c r="C2355" s="61" t="n"/>
      <c r="D2355" s="61" t="n"/>
      <c r="E2355" s="61" t="n"/>
      <c r="F2355" s="55" t="n"/>
      <c r="G2355" s="56" t="n"/>
      <c r="H2355" s="55" t="n"/>
      <c r="I2355" s="62" t="n"/>
      <c r="J2355" s="58" t="n"/>
      <c r="K2355" s="63">
        <f>IF(tblMovement[[#This Row],[Source]]="","",IFERROR(INDEX(tblSources[Type],MATCH(tblMovement[[#This Row],[Source]],tblSources[Source],0)),"?"))</f>
        <v/>
      </c>
      <c r="L2355" s="63">
        <f>IF(tblMovement[[#This Row],[Destination]]="","",IFERROR(INDEX(tblDestinations[Type],MATCH(tblMovement[[#This Row],[Destination]],tblDestinations[Destination],0)),"?"))</f>
        <v/>
      </c>
      <c r="M2355" s="64">
        <f>IF(tblMovement[[#This Row],[Material]]="","",IF(LEFT(tblMovement[[#This Row],[Material]],3)="Ore",1,0))</f>
        <v/>
      </c>
      <c r="N2355" s="59">
        <f>IF(OR(tblMovement[[#This Row],[Tonnes_t]]="",tblMovement[[#This Row],[Grade_gpt]]=""),0,tblMovement[[#This Row],[Tonnes_t]]*tblMovement[[#This Row],[Grade_gpt]]/cfg_TroyOz)</f>
        <v/>
      </c>
      <c r="O2355" s="59">
        <f>IF(tblMovement[[#This Row],[Is_Ore]]=1,tblMovement[[#This Row],[Contained_oz]],0)</f>
        <v/>
      </c>
    </row>
    <row r="2356">
      <c r="A2356" s="54" t="n"/>
      <c r="B2356" s="61" t="n"/>
      <c r="C2356" s="61" t="n"/>
      <c r="D2356" s="61" t="n"/>
      <c r="E2356" s="61" t="n"/>
      <c r="F2356" s="55" t="n"/>
      <c r="G2356" s="56" t="n"/>
      <c r="H2356" s="55" t="n"/>
      <c r="I2356" s="62" t="n"/>
      <c r="J2356" s="58" t="n"/>
      <c r="K2356" s="63">
        <f>IF(tblMovement[[#This Row],[Source]]="","",IFERROR(INDEX(tblSources[Type],MATCH(tblMovement[[#This Row],[Source]],tblSources[Source],0)),"?"))</f>
        <v/>
      </c>
      <c r="L2356" s="63">
        <f>IF(tblMovement[[#This Row],[Destination]]="","",IFERROR(INDEX(tblDestinations[Type],MATCH(tblMovement[[#This Row],[Destination]],tblDestinations[Destination],0)),"?"))</f>
        <v/>
      </c>
      <c r="M2356" s="64">
        <f>IF(tblMovement[[#This Row],[Material]]="","",IF(LEFT(tblMovement[[#This Row],[Material]],3)="Ore",1,0))</f>
        <v/>
      </c>
      <c r="N2356" s="59">
        <f>IF(OR(tblMovement[[#This Row],[Tonnes_t]]="",tblMovement[[#This Row],[Grade_gpt]]=""),0,tblMovement[[#This Row],[Tonnes_t]]*tblMovement[[#This Row],[Grade_gpt]]/cfg_TroyOz)</f>
        <v/>
      </c>
      <c r="O2356" s="59">
        <f>IF(tblMovement[[#This Row],[Is_Ore]]=1,tblMovement[[#This Row],[Contained_oz]],0)</f>
        <v/>
      </c>
    </row>
    <row r="2357">
      <c r="A2357" s="54" t="n"/>
      <c r="B2357" s="61" t="n"/>
      <c r="C2357" s="61" t="n"/>
      <c r="D2357" s="61" t="n"/>
      <c r="E2357" s="61" t="n"/>
      <c r="F2357" s="55" t="n"/>
      <c r="G2357" s="56" t="n"/>
      <c r="H2357" s="55" t="n"/>
      <c r="I2357" s="62" t="n"/>
      <c r="J2357" s="58" t="n"/>
      <c r="K2357" s="63">
        <f>IF(tblMovement[[#This Row],[Source]]="","",IFERROR(INDEX(tblSources[Type],MATCH(tblMovement[[#This Row],[Source]],tblSources[Source],0)),"?"))</f>
        <v/>
      </c>
      <c r="L2357" s="63">
        <f>IF(tblMovement[[#This Row],[Destination]]="","",IFERROR(INDEX(tblDestinations[Type],MATCH(tblMovement[[#This Row],[Destination]],tblDestinations[Destination],0)),"?"))</f>
        <v/>
      </c>
      <c r="M2357" s="64">
        <f>IF(tblMovement[[#This Row],[Material]]="","",IF(LEFT(tblMovement[[#This Row],[Material]],3)="Ore",1,0))</f>
        <v/>
      </c>
      <c r="N2357" s="59">
        <f>IF(OR(tblMovement[[#This Row],[Tonnes_t]]="",tblMovement[[#This Row],[Grade_gpt]]=""),0,tblMovement[[#This Row],[Tonnes_t]]*tblMovement[[#This Row],[Grade_gpt]]/cfg_TroyOz)</f>
        <v/>
      </c>
      <c r="O2357" s="59">
        <f>IF(tblMovement[[#This Row],[Is_Ore]]=1,tblMovement[[#This Row],[Contained_oz]],0)</f>
        <v/>
      </c>
    </row>
    <row r="2358">
      <c r="A2358" s="54" t="n"/>
      <c r="B2358" s="61" t="n"/>
      <c r="C2358" s="61" t="n"/>
      <c r="D2358" s="61" t="n"/>
      <c r="E2358" s="61" t="n"/>
      <c r="F2358" s="55" t="n"/>
      <c r="G2358" s="56" t="n"/>
      <c r="H2358" s="55" t="n"/>
      <c r="I2358" s="62" t="n"/>
      <c r="J2358" s="58" t="n"/>
      <c r="K2358" s="63">
        <f>IF(tblMovement[[#This Row],[Source]]="","",IFERROR(INDEX(tblSources[Type],MATCH(tblMovement[[#This Row],[Source]],tblSources[Source],0)),"?"))</f>
        <v/>
      </c>
      <c r="L2358" s="63">
        <f>IF(tblMovement[[#This Row],[Destination]]="","",IFERROR(INDEX(tblDestinations[Type],MATCH(tblMovement[[#This Row],[Destination]],tblDestinations[Destination],0)),"?"))</f>
        <v/>
      </c>
      <c r="M2358" s="64">
        <f>IF(tblMovement[[#This Row],[Material]]="","",IF(LEFT(tblMovement[[#This Row],[Material]],3)="Ore",1,0))</f>
        <v/>
      </c>
      <c r="N2358" s="59">
        <f>IF(OR(tblMovement[[#This Row],[Tonnes_t]]="",tblMovement[[#This Row],[Grade_gpt]]=""),0,tblMovement[[#This Row],[Tonnes_t]]*tblMovement[[#This Row],[Grade_gpt]]/cfg_TroyOz)</f>
        <v/>
      </c>
      <c r="O2358" s="59">
        <f>IF(tblMovement[[#This Row],[Is_Ore]]=1,tblMovement[[#This Row],[Contained_oz]],0)</f>
        <v/>
      </c>
    </row>
    <row r="2359">
      <c r="A2359" s="54" t="n"/>
      <c r="B2359" s="61" t="n"/>
      <c r="C2359" s="61" t="n"/>
      <c r="D2359" s="61" t="n"/>
      <c r="E2359" s="61" t="n"/>
      <c r="F2359" s="55" t="n"/>
      <c r="G2359" s="56" t="n"/>
      <c r="H2359" s="55" t="n"/>
      <c r="I2359" s="62" t="n"/>
      <c r="J2359" s="58" t="n"/>
      <c r="K2359" s="63">
        <f>IF(tblMovement[[#This Row],[Source]]="","",IFERROR(INDEX(tblSources[Type],MATCH(tblMovement[[#This Row],[Source]],tblSources[Source],0)),"?"))</f>
        <v/>
      </c>
      <c r="L2359" s="63">
        <f>IF(tblMovement[[#This Row],[Destination]]="","",IFERROR(INDEX(tblDestinations[Type],MATCH(tblMovement[[#This Row],[Destination]],tblDestinations[Destination],0)),"?"))</f>
        <v/>
      </c>
      <c r="M2359" s="64">
        <f>IF(tblMovement[[#This Row],[Material]]="","",IF(LEFT(tblMovement[[#This Row],[Material]],3)="Ore",1,0))</f>
        <v/>
      </c>
      <c r="N2359" s="59">
        <f>IF(OR(tblMovement[[#This Row],[Tonnes_t]]="",tblMovement[[#This Row],[Grade_gpt]]=""),0,tblMovement[[#This Row],[Tonnes_t]]*tblMovement[[#This Row],[Grade_gpt]]/cfg_TroyOz)</f>
        <v/>
      </c>
      <c r="O2359" s="59">
        <f>IF(tblMovement[[#This Row],[Is_Ore]]=1,tblMovement[[#This Row],[Contained_oz]],0)</f>
        <v/>
      </c>
    </row>
    <row r="2360">
      <c r="A2360" s="54" t="n"/>
      <c r="B2360" s="61" t="n"/>
      <c r="C2360" s="61" t="n"/>
      <c r="D2360" s="61" t="n"/>
      <c r="E2360" s="61" t="n"/>
      <c r="F2360" s="55" t="n"/>
      <c r="G2360" s="56" t="n"/>
      <c r="H2360" s="55" t="n"/>
      <c r="I2360" s="62" t="n"/>
      <c r="J2360" s="58" t="n"/>
      <c r="K2360" s="63">
        <f>IF(tblMovement[[#This Row],[Source]]="","",IFERROR(INDEX(tblSources[Type],MATCH(tblMovement[[#This Row],[Source]],tblSources[Source],0)),"?"))</f>
        <v/>
      </c>
      <c r="L2360" s="63">
        <f>IF(tblMovement[[#This Row],[Destination]]="","",IFERROR(INDEX(tblDestinations[Type],MATCH(tblMovement[[#This Row],[Destination]],tblDestinations[Destination],0)),"?"))</f>
        <v/>
      </c>
      <c r="M2360" s="64">
        <f>IF(tblMovement[[#This Row],[Material]]="","",IF(LEFT(tblMovement[[#This Row],[Material]],3)="Ore",1,0))</f>
        <v/>
      </c>
      <c r="N2360" s="59">
        <f>IF(OR(tblMovement[[#This Row],[Tonnes_t]]="",tblMovement[[#This Row],[Grade_gpt]]=""),0,tblMovement[[#This Row],[Tonnes_t]]*tblMovement[[#This Row],[Grade_gpt]]/cfg_TroyOz)</f>
        <v/>
      </c>
      <c r="O2360" s="59">
        <f>IF(tblMovement[[#This Row],[Is_Ore]]=1,tblMovement[[#This Row],[Contained_oz]],0)</f>
        <v/>
      </c>
    </row>
    <row r="2361">
      <c r="A2361" s="54" t="n"/>
      <c r="B2361" s="61" t="n"/>
      <c r="C2361" s="61" t="n"/>
      <c r="D2361" s="61" t="n"/>
      <c r="E2361" s="61" t="n"/>
      <c r="F2361" s="55" t="n"/>
      <c r="G2361" s="56" t="n"/>
      <c r="H2361" s="55" t="n"/>
      <c r="I2361" s="62" t="n"/>
      <c r="J2361" s="58" t="n"/>
      <c r="K2361" s="63">
        <f>IF(tblMovement[[#This Row],[Source]]="","",IFERROR(INDEX(tblSources[Type],MATCH(tblMovement[[#This Row],[Source]],tblSources[Source],0)),"?"))</f>
        <v/>
      </c>
      <c r="L2361" s="63">
        <f>IF(tblMovement[[#This Row],[Destination]]="","",IFERROR(INDEX(tblDestinations[Type],MATCH(tblMovement[[#This Row],[Destination]],tblDestinations[Destination],0)),"?"))</f>
        <v/>
      </c>
      <c r="M2361" s="64">
        <f>IF(tblMovement[[#This Row],[Material]]="","",IF(LEFT(tblMovement[[#This Row],[Material]],3)="Ore",1,0))</f>
        <v/>
      </c>
      <c r="N2361" s="59">
        <f>IF(OR(tblMovement[[#This Row],[Tonnes_t]]="",tblMovement[[#This Row],[Grade_gpt]]=""),0,tblMovement[[#This Row],[Tonnes_t]]*tblMovement[[#This Row],[Grade_gpt]]/cfg_TroyOz)</f>
        <v/>
      </c>
      <c r="O2361" s="59">
        <f>IF(tblMovement[[#This Row],[Is_Ore]]=1,tblMovement[[#This Row],[Contained_oz]],0)</f>
        <v/>
      </c>
    </row>
    <row r="2362">
      <c r="A2362" s="54" t="n"/>
      <c r="B2362" s="61" t="n"/>
      <c r="C2362" s="61" t="n"/>
      <c r="D2362" s="61" t="n"/>
      <c r="E2362" s="61" t="n"/>
      <c r="F2362" s="55" t="n"/>
      <c r="G2362" s="56" t="n"/>
      <c r="H2362" s="55" t="n"/>
      <c r="I2362" s="62" t="n"/>
      <c r="J2362" s="58" t="n"/>
      <c r="K2362" s="63">
        <f>IF(tblMovement[[#This Row],[Source]]="","",IFERROR(INDEX(tblSources[Type],MATCH(tblMovement[[#This Row],[Source]],tblSources[Source],0)),"?"))</f>
        <v/>
      </c>
      <c r="L2362" s="63">
        <f>IF(tblMovement[[#This Row],[Destination]]="","",IFERROR(INDEX(tblDestinations[Type],MATCH(tblMovement[[#This Row],[Destination]],tblDestinations[Destination],0)),"?"))</f>
        <v/>
      </c>
      <c r="M2362" s="64">
        <f>IF(tblMovement[[#This Row],[Material]]="","",IF(LEFT(tblMovement[[#This Row],[Material]],3)="Ore",1,0))</f>
        <v/>
      </c>
      <c r="N2362" s="59">
        <f>IF(OR(tblMovement[[#This Row],[Tonnes_t]]="",tblMovement[[#This Row],[Grade_gpt]]=""),0,tblMovement[[#This Row],[Tonnes_t]]*tblMovement[[#This Row],[Grade_gpt]]/cfg_TroyOz)</f>
        <v/>
      </c>
      <c r="O2362" s="59">
        <f>IF(tblMovement[[#This Row],[Is_Ore]]=1,tblMovement[[#This Row],[Contained_oz]],0)</f>
        <v/>
      </c>
    </row>
    <row r="2363">
      <c r="A2363" s="54" t="n"/>
      <c r="B2363" s="61" t="n"/>
      <c r="C2363" s="61" t="n"/>
      <c r="D2363" s="61" t="n"/>
      <c r="E2363" s="61" t="n"/>
      <c r="F2363" s="55" t="n"/>
      <c r="G2363" s="56" t="n"/>
      <c r="H2363" s="55" t="n"/>
      <c r="I2363" s="62" t="n"/>
      <c r="J2363" s="58" t="n"/>
      <c r="K2363" s="63">
        <f>IF(tblMovement[[#This Row],[Source]]="","",IFERROR(INDEX(tblSources[Type],MATCH(tblMovement[[#This Row],[Source]],tblSources[Source],0)),"?"))</f>
        <v/>
      </c>
      <c r="L2363" s="63">
        <f>IF(tblMovement[[#This Row],[Destination]]="","",IFERROR(INDEX(tblDestinations[Type],MATCH(tblMovement[[#This Row],[Destination]],tblDestinations[Destination],0)),"?"))</f>
        <v/>
      </c>
      <c r="M2363" s="64">
        <f>IF(tblMovement[[#This Row],[Material]]="","",IF(LEFT(tblMovement[[#This Row],[Material]],3)="Ore",1,0))</f>
        <v/>
      </c>
      <c r="N2363" s="59">
        <f>IF(OR(tblMovement[[#This Row],[Tonnes_t]]="",tblMovement[[#This Row],[Grade_gpt]]=""),0,tblMovement[[#This Row],[Tonnes_t]]*tblMovement[[#This Row],[Grade_gpt]]/cfg_TroyOz)</f>
        <v/>
      </c>
      <c r="O2363" s="59">
        <f>IF(tblMovement[[#This Row],[Is_Ore]]=1,tblMovement[[#This Row],[Contained_oz]],0)</f>
        <v/>
      </c>
    </row>
    <row r="2364">
      <c r="A2364" s="54" t="n"/>
      <c r="B2364" s="61" t="n"/>
      <c r="C2364" s="61" t="n"/>
      <c r="D2364" s="61" t="n"/>
      <c r="E2364" s="61" t="n"/>
      <c r="F2364" s="55" t="n"/>
      <c r="G2364" s="56" t="n"/>
      <c r="H2364" s="55" t="n"/>
      <c r="I2364" s="62" t="n"/>
      <c r="J2364" s="58" t="n"/>
      <c r="K2364" s="63">
        <f>IF(tblMovement[[#This Row],[Source]]="","",IFERROR(INDEX(tblSources[Type],MATCH(tblMovement[[#This Row],[Source]],tblSources[Source],0)),"?"))</f>
        <v/>
      </c>
      <c r="L2364" s="63">
        <f>IF(tblMovement[[#This Row],[Destination]]="","",IFERROR(INDEX(tblDestinations[Type],MATCH(tblMovement[[#This Row],[Destination]],tblDestinations[Destination],0)),"?"))</f>
        <v/>
      </c>
      <c r="M2364" s="64">
        <f>IF(tblMovement[[#This Row],[Material]]="","",IF(LEFT(tblMovement[[#This Row],[Material]],3)="Ore",1,0))</f>
        <v/>
      </c>
      <c r="N2364" s="59">
        <f>IF(OR(tblMovement[[#This Row],[Tonnes_t]]="",tblMovement[[#This Row],[Grade_gpt]]=""),0,tblMovement[[#This Row],[Tonnes_t]]*tblMovement[[#This Row],[Grade_gpt]]/cfg_TroyOz)</f>
        <v/>
      </c>
      <c r="O2364" s="59">
        <f>IF(tblMovement[[#This Row],[Is_Ore]]=1,tblMovement[[#This Row],[Contained_oz]],0)</f>
        <v/>
      </c>
    </row>
    <row r="2365">
      <c r="A2365" s="54" t="n"/>
      <c r="B2365" s="61" t="n"/>
      <c r="C2365" s="61" t="n"/>
      <c r="D2365" s="61" t="n"/>
      <c r="E2365" s="61" t="n"/>
      <c r="F2365" s="55" t="n"/>
      <c r="G2365" s="56" t="n"/>
      <c r="H2365" s="55" t="n"/>
      <c r="I2365" s="62" t="n"/>
      <c r="J2365" s="58" t="n"/>
      <c r="K2365" s="63">
        <f>IF(tblMovement[[#This Row],[Source]]="","",IFERROR(INDEX(tblSources[Type],MATCH(tblMovement[[#This Row],[Source]],tblSources[Source],0)),"?"))</f>
        <v/>
      </c>
      <c r="L2365" s="63">
        <f>IF(tblMovement[[#This Row],[Destination]]="","",IFERROR(INDEX(tblDestinations[Type],MATCH(tblMovement[[#This Row],[Destination]],tblDestinations[Destination],0)),"?"))</f>
        <v/>
      </c>
      <c r="M2365" s="64">
        <f>IF(tblMovement[[#This Row],[Material]]="","",IF(LEFT(tblMovement[[#This Row],[Material]],3)="Ore",1,0))</f>
        <v/>
      </c>
      <c r="N2365" s="59">
        <f>IF(OR(tblMovement[[#This Row],[Tonnes_t]]="",tblMovement[[#This Row],[Grade_gpt]]=""),0,tblMovement[[#This Row],[Tonnes_t]]*tblMovement[[#This Row],[Grade_gpt]]/cfg_TroyOz)</f>
        <v/>
      </c>
      <c r="O2365" s="59">
        <f>IF(tblMovement[[#This Row],[Is_Ore]]=1,tblMovement[[#This Row],[Contained_oz]],0)</f>
        <v/>
      </c>
    </row>
    <row r="2366">
      <c r="A2366" s="54" t="n"/>
      <c r="B2366" s="61" t="n"/>
      <c r="C2366" s="61" t="n"/>
      <c r="D2366" s="61" t="n"/>
      <c r="E2366" s="61" t="n"/>
      <c r="F2366" s="55" t="n"/>
      <c r="G2366" s="56" t="n"/>
      <c r="H2366" s="55" t="n"/>
      <c r="I2366" s="62" t="n"/>
      <c r="J2366" s="58" t="n"/>
      <c r="K2366" s="63">
        <f>IF(tblMovement[[#This Row],[Source]]="","",IFERROR(INDEX(tblSources[Type],MATCH(tblMovement[[#This Row],[Source]],tblSources[Source],0)),"?"))</f>
        <v/>
      </c>
      <c r="L2366" s="63">
        <f>IF(tblMovement[[#This Row],[Destination]]="","",IFERROR(INDEX(tblDestinations[Type],MATCH(tblMovement[[#This Row],[Destination]],tblDestinations[Destination],0)),"?"))</f>
        <v/>
      </c>
      <c r="M2366" s="64">
        <f>IF(tblMovement[[#This Row],[Material]]="","",IF(LEFT(tblMovement[[#This Row],[Material]],3)="Ore",1,0))</f>
        <v/>
      </c>
      <c r="N2366" s="59">
        <f>IF(OR(tblMovement[[#This Row],[Tonnes_t]]="",tblMovement[[#This Row],[Grade_gpt]]=""),0,tblMovement[[#This Row],[Tonnes_t]]*tblMovement[[#This Row],[Grade_gpt]]/cfg_TroyOz)</f>
        <v/>
      </c>
      <c r="O2366" s="59">
        <f>IF(tblMovement[[#This Row],[Is_Ore]]=1,tblMovement[[#This Row],[Contained_oz]],0)</f>
        <v/>
      </c>
    </row>
    <row r="2367">
      <c r="A2367" s="54" t="n"/>
      <c r="B2367" s="61" t="n"/>
      <c r="C2367" s="61" t="n"/>
      <c r="D2367" s="61" t="n"/>
      <c r="E2367" s="61" t="n"/>
      <c r="F2367" s="55" t="n"/>
      <c r="G2367" s="56" t="n"/>
      <c r="H2367" s="55" t="n"/>
      <c r="I2367" s="62" t="n"/>
      <c r="J2367" s="58" t="n"/>
      <c r="K2367" s="63">
        <f>IF(tblMovement[[#This Row],[Source]]="","",IFERROR(INDEX(tblSources[Type],MATCH(tblMovement[[#This Row],[Source]],tblSources[Source],0)),"?"))</f>
        <v/>
      </c>
      <c r="L2367" s="63">
        <f>IF(tblMovement[[#This Row],[Destination]]="","",IFERROR(INDEX(tblDestinations[Type],MATCH(tblMovement[[#This Row],[Destination]],tblDestinations[Destination],0)),"?"))</f>
        <v/>
      </c>
      <c r="M2367" s="64">
        <f>IF(tblMovement[[#This Row],[Material]]="","",IF(LEFT(tblMovement[[#This Row],[Material]],3)="Ore",1,0))</f>
        <v/>
      </c>
      <c r="N2367" s="59">
        <f>IF(OR(tblMovement[[#This Row],[Tonnes_t]]="",tblMovement[[#This Row],[Grade_gpt]]=""),0,tblMovement[[#This Row],[Tonnes_t]]*tblMovement[[#This Row],[Grade_gpt]]/cfg_TroyOz)</f>
        <v/>
      </c>
      <c r="O2367" s="59">
        <f>IF(tblMovement[[#This Row],[Is_Ore]]=1,tblMovement[[#This Row],[Contained_oz]],0)</f>
        <v/>
      </c>
    </row>
    <row r="2368">
      <c r="A2368" s="54" t="n"/>
      <c r="B2368" s="61" t="n"/>
      <c r="C2368" s="61" t="n"/>
      <c r="D2368" s="61" t="n"/>
      <c r="E2368" s="61" t="n"/>
      <c r="F2368" s="55" t="n"/>
      <c r="G2368" s="56" t="n"/>
      <c r="H2368" s="55" t="n"/>
      <c r="I2368" s="62" t="n"/>
      <c r="J2368" s="58" t="n"/>
      <c r="K2368" s="63">
        <f>IF(tblMovement[[#This Row],[Source]]="","",IFERROR(INDEX(tblSources[Type],MATCH(tblMovement[[#This Row],[Source]],tblSources[Source],0)),"?"))</f>
        <v/>
      </c>
      <c r="L2368" s="63">
        <f>IF(tblMovement[[#This Row],[Destination]]="","",IFERROR(INDEX(tblDestinations[Type],MATCH(tblMovement[[#This Row],[Destination]],tblDestinations[Destination],0)),"?"))</f>
        <v/>
      </c>
      <c r="M2368" s="64">
        <f>IF(tblMovement[[#This Row],[Material]]="","",IF(LEFT(tblMovement[[#This Row],[Material]],3)="Ore",1,0))</f>
        <v/>
      </c>
      <c r="N2368" s="59">
        <f>IF(OR(tblMovement[[#This Row],[Tonnes_t]]="",tblMovement[[#This Row],[Grade_gpt]]=""),0,tblMovement[[#This Row],[Tonnes_t]]*tblMovement[[#This Row],[Grade_gpt]]/cfg_TroyOz)</f>
        <v/>
      </c>
      <c r="O2368" s="59">
        <f>IF(tblMovement[[#This Row],[Is_Ore]]=1,tblMovement[[#This Row],[Contained_oz]],0)</f>
        <v/>
      </c>
    </row>
    <row r="2369">
      <c r="A2369" s="54" t="n"/>
      <c r="B2369" s="61" t="n"/>
      <c r="C2369" s="61" t="n"/>
      <c r="D2369" s="61" t="n"/>
      <c r="E2369" s="61" t="n"/>
      <c r="F2369" s="55" t="n"/>
      <c r="G2369" s="56" t="n"/>
      <c r="H2369" s="55" t="n"/>
      <c r="I2369" s="62" t="n"/>
      <c r="J2369" s="58" t="n"/>
      <c r="K2369" s="63">
        <f>IF(tblMovement[[#This Row],[Source]]="","",IFERROR(INDEX(tblSources[Type],MATCH(tblMovement[[#This Row],[Source]],tblSources[Source],0)),"?"))</f>
        <v/>
      </c>
      <c r="L2369" s="63">
        <f>IF(tblMovement[[#This Row],[Destination]]="","",IFERROR(INDEX(tblDestinations[Type],MATCH(tblMovement[[#This Row],[Destination]],tblDestinations[Destination],0)),"?"))</f>
        <v/>
      </c>
      <c r="M2369" s="64">
        <f>IF(tblMovement[[#This Row],[Material]]="","",IF(LEFT(tblMovement[[#This Row],[Material]],3)="Ore",1,0))</f>
        <v/>
      </c>
      <c r="N2369" s="59">
        <f>IF(OR(tblMovement[[#This Row],[Tonnes_t]]="",tblMovement[[#This Row],[Grade_gpt]]=""),0,tblMovement[[#This Row],[Tonnes_t]]*tblMovement[[#This Row],[Grade_gpt]]/cfg_TroyOz)</f>
        <v/>
      </c>
      <c r="O2369" s="59">
        <f>IF(tblMovement[[#This Row],[Is_Ore]]=1,tblMovement[[#This Row],[Contained_oz]],0)</f>
        <v/>
      </c>
    </row>
    <row r="2370">
      <c r="A2370" s="54" t="n"/>
      <c r="B2370" s="61" t="n"/>
      <c r="C2370" s="61" t="n"/>
      <c r="D2370" s="61" t="n"/>
      <c r="E2370" s="61" t="n"/>
      <c r="F2370" s="55" t="n"/>
      <c r="G2370" s="56" t="n"/>
      <c r="H2370" s="55" t="n"/>
      <c r="I2370" s="62" t="n"/>
      <c r="J2370" s="58" t="n"/>
      <c r="K2370" s="63">
        <f>IF(tblMovement[[#This Row],[Source]]="","",IFERROR(INDEX(tblSources[Type],MATCH(tblMovement[[#This Row],[Source]],tblSources[Source],0)),"?"))</f>
        <v/>
      </c>
      <c r="L2370" s="63">
        <f>IF(tblMovement[[#This Row],[Destination]]="","",IFERROR(INDEX(tblDestinations[Type],MATCH(tblMovement[[#This Row],[Destination]],tblDestinations[Destination],0)),"?"))</f>
        <v/>
      </c>
      <c r="M2370" s="64">
        <f>IF(tblMovement[[#This Row],[Material]]="","",IF(LEFT(tblMovement[[#This Row],[Material]],3)="Ore",1,0))</f>
        <v/>
      </c>
      <c r="N2370" s="59">
        <f>IF(OR(tblMovement[[#This Row],[Tonnes_t]]="",tblMovement[[#This Row],[Grade_gpt]]=""),0,tblMovement[[#This Row],[Tonnes_t]]*tblMovement[[#This Row],[Grade_gpt]]/cfg_TroyOz)</f>
        <v/>
      </c>
      <c r="O2370" s="59">
        <f>IF(tblMovement[[#This Row],[Is_Ore]]=1,tblMovement[[#This Row],[Contained_oz]],0)</f>
        <v/>
      </c>
    </row>
    <row r="2371">
      <c r="A2371" s="54" t="n"/>
      <c r="B2371" s="61" t="n"/>
      <c r="C2371" s="61" t="n"/>
      <c r="D2371" s="61" t="n"/>
      <c r="E2371" s="61" t="n"/>
      <c r="F2371" s="55" t="n"/>
      <c r="G2371" s="56" t="n"/>
      <c r="H2371" s="55" t="n"/>
      <c r="I2371" s="62" t="n"/>
      <c r="J2371" s="58" t="n"/>
      <c r="K2371" s="63">
        <f>IF(tblMovement[[#This Row],[Source]]="","",IFERROR(INDEX(tblSources[Type],MATCH(tblMovement[[#This Row],[Source]],tblSources[Source],0)),"?"))</f>
        <v/>
      </c>
      <c r="L2371" s="63">
        <f>IF(tblMovement[[#This Row],[Destination]]="","",IFERROR(INDEX(tblDestinations[Type],MATCH(tblMovement[[#This Row],[Destination]],tblDestinations[Destination],0)),"?"))</f>
        <v/>
      </c>
      <c r="M2371" s="64">
        <f>IF(tblMovement[[#This Row],[Material]]="","",IF(LEFT(tblMovement[[#This Row],[Material]],3)="Ore",1,0))</f>
        <v/>
      </c>
      <c r="N2371" s="59">
        <f>IF(OR(tblMovement[[#This Row],[Tonnes_t]]="",tblMovement[[#This Row],[Grade_gpt]]=""),0,tblMovement[[#This Row],[Tonnes_t]]*tblMovement[[#This Row],[Grade_gpt]]/cfg_TroyOz)</f>
        <v/>
      </c>
      <c r="O2371" s="59">
        <f>IF(tblMovement[[#This Row],[Is_Ore]]=1,tblMovement[[#This Row],[Contained_oz]],0)</f>
        <v/>
      </c>
    </row>
    <row r="2372">
      <c r="A2372" s="54" t="n"/>
      <c r="B2372" s="61" t="n"/>
      <c r="C2372" s="61" t="n"/>
      <c r="D2372" s="61" t="n"/>
      <c r="E2372" s="61" t="n"/>
      <c r="F2372" s="55" t="n"/>
      <c r="G2372" s="56" t="n"/>
      <c r="H2372" s="55" t="n"/>
      <c r="I2372" s="62" t="n"/>
      <c r="J2372" s="58" t="n"/>
      <c r="K2372" s="63">
        <f>IF(tblMovement[[#This Row],[Source]]="","",IFERROR(INDEX(tblSources[Type],MATCH(tblMovement[[#This Row],[Source]],tblSources[Source],0)),"?"))</f>
        <v/>
      </c>
      <c r="L2372" s="63">
        <f>IF(tblMovement[[#This Row],[Destination]]="","",IFERROR(INDEX(tblDestinations[Type],MATCH(tblMovement[[#This Row],[Destination]],tblDestinations[Destination],0)),"?"))</f>
        <v/>
      </c>
      <c r="M2372" s="64">
        <f>IF(tblMovement[[#This Row],[Material]]="","",IF(LEFT(tblMovement[[#This Row],[Material]],3)="Ore",1,0))</f>
        <v/>
      </c>
      <c r="N2372" s="59">
        <f>IF(OR(tblMovement[[#This Row],[Tonnes_t]]="",tblMovement[[#This Row],[Grade_gpt]]=""),0,tblMovement[[#This Row],[Tonnes_t]]*tblMovement[[#This Row],[Grade_gpt]]/cfg_TroyOz)</f>
        <v/>
      </c>
      <c r="O2372" s="59">
        <f>IF(tblMovement[[#This Row],[Is_Ore]]=1,tblMovement[[#This Row],[Contained_oz]],0)</f>
        <v/>
      </c>
    </row>
    <row r="2373">
      <c r="A2373" s="54" t="n"/>
      <c r="B2373" s="61" t="n"/>
      <c r="C2373" s="61" t="n"/>
      <c r="D2373" s="61" t="n"/>
      <c r="E2373" s="61" t="n"/>
      <c r="F2373" s="55" t="n"/>
      <c r="G2373" s="56" t="n"/>
      <c r="H2373" s="55" t="n"/>
      <c r="I2373" s="62" t="n"/>
      <c r="J2373" s="58" t="n"/>
      <c r="K2373" s="63">
        <f>IF(tblMovement[[#This Row],[Source]]="","",IFERROR(INDEX(tblSources[Type],MATCH(tblMovement[[#This Row],[Source]],tblSources[Source],0)),"?"))</f>
        <v/>
      </c>
      <c r="L2373" s="63">
        <f>IF(tblMovement[[#This Row],[Destination]]="","",IFERROR(INDEX(tblDestinations[Type],MATCH(tblMovement[[#This Row],[Destination]],tblDestinations[Destination],0)),"?"))</f>
        <v/>
      </c>
      <c r="M2373" s="64">
        <f>IF(tblMovement[[#This Row],[Material]]="","",IF(LEFT(tblMovement[[#This Row],[Material]],3)="Ore",1,0))</f>
        <v/>
      </c>
      <c r="N2373" s="59">
        <f>IF(OR(tblMovement[[#This Row],[Tonnes_t]]="",tblMovement[[#This Row],[Grade_gpt]]=""),0,tblMovement[[#This Row],[Tonnes_t]]*tblMovement[[#This Row],[Grade_gpt]]/cfg_TroyOz)</f>
        <v/>
      </c>
      <c r="O2373" s="59">
        <f>IF(tblMovement[[#This Row],[Is_Ore]]=1,tblMovement[[#This Row],[Contained_oz]],0)</f>
        <v/>
      </c>
    </row>
    <row r="2374">
      <c r="A2374" s="54" t="n"/>
      <c r="B2374" s="61" t="n"/>
      <c r="C2374" s="61" t="n"/>
      <c r="D2374" s="61" t="n"/>
      <c r="E2374" s="61" t="n"/>
      <c r="F2374" s="55" t="n"/>
      <c r="G2374" s="56" t="n"/>
      <c r="H2374" s="55" t="n"/>
      <c r="I2374" s="62" t="n"/>
      <c r="J2374" s="58" t="n"/>
      <c r="K2374" s="63">
        <f>IF(tblMovement[[#This Row],[Source]]="","",IFERROR(INDEX(tblSources[Type],MATCH(tblMovement[[#This Row],[Source]],tblSources[Source],0)),"?"))</f>
        <v/>
      </c>
      <c r="L2374" s="63">
        <f>IF(tblMovement[[#This Row],[Destination]]="","",IFERROR(INDEX(tblDestinations[Type],MATCH(tblMovement[[#This Row],[Destination]],tblDestinations[Destination],0)),"?"))</f>
        <v/>
      </c>
      <c r="M2374" s="64">
        <f>IF(tblMovement[[#This Row],[Material]]="","",IF(LEFT(tblMovement[[#This Row],[Material]],3)="Ore",1,0))</f>
        <v/>
      </c>
      <c r="N2374" s="59">
        <f>IF(OR(tblMovement[[#This Row],[Tonnes_t]]="",tblMovement[[#This Row],[Grade_gpt]]=""),0,tblMovement[[#This Row],[Tonnes_t]]*tblMovement[[#This Row],[Grade_gpt]]/cfg_TroyOz)</f>
        <v/>
      </c>
      <c r="O2374" s="59">
        <f>IF(tblMovement[[#This Row],[Is_Ore]]=1,tblMovement[[#This Row],[Contained_oz]],0)</f>
        <v/>
      </c>
    </row>
    <row r="2375">
      <c r="A2375" s="54" t="n"/>
      <c r="B2375" s="61" t="n"/>
      <c r="C2375" s="61" t="n"/>
      <c r="D2375" s="61" t="n"/>
      <c r="E2375" s="61" t="n"/>
      <c r="F2375" s="55" t="n"/>
      <c r="G2375" s="56" t="n"/>
      <c r="H2375" s="55" t="n"/>
      <c r="I2375" s="62" t="n"/>
      <c r="J2375" s="58" t="n"/>
      <c r="K2375" s="63">
        <f>IF(tblMovement[[#This Row],[Source]]="","",IFERROR(INDEX(tblSources[Type],MATCH(tblMovement[[#This Row],[Source]],tblSources[Source],0)),"?"))</f>
        <v/>
      </c>
      <c r="L2375" s="63">
        <f>IF(tblMovement[[#This Row],[Destination]]="","",IFERROR(INDEX(tblDestinations[Type],MATCH(tblMovement[[#This Row],[Destination]],tblDestinations[Destination],0)),"?"))</f>
        <v/>
      </c>
      <c r="M2375" s="64">
        <f>IF(tblMovement[[#This Row],[Material]]="","",IF(LEFT(tblMovement[[#This Row],[Material]],3)="Ore",1,0))</f>
        <v/>
      </c>
      <c r="N2375" s="59">
        <f>IF(OR(tblMovement[[#This Row],[Tonnes_t]]="",tblMovement[[#This Row],[Grade_gpt]]=""),0,tblMovement[[#This Row],[Tonnes_t]]*tblMovement[[#This Row],[Grade_gpt]]/cfg_TroyOz)</f>
        <v/>
      </c>
      <c r="O2375" s="59">
        <f>IF(tblMovement[[#This Row],[Is_Ore]]=1,tblMovement[[#This Row],[Contained_oz]],0)</f>
        <v/>
      </c>
    </row>
    <row r="2376">
      <c r="A2376" s="54" t="n"/>
      <c r="B2376" s="61" t="n"/>
      <c r="C2376" s="61" t="n"/>
      <c r="D2376" s="61" t="n"/>
      <c r="E2376" s="61" t="n"/>
      <c r="F2376" s="55" t="n"/>
      <c r="G2376" s="56" t="n"/>
      <c r="H2376" s="55" t="n"/>
      <c r="I2376" s="62" t="n"/>
      <c r="J2376" s="58" t="n"/>
      <c r="K2376" s="63">
        <f>IF(tblMovement[[#This Row],[Source]]="","",IFERROR(INDEX(tblSources[Type],MATCH(tblMovement[[#This Row],[Source]],tblSources[Source],0)),"?"))</f>
        <v/>
      </c>
      <c r="L2376" s="63">
        <f>IF(tblMovement[[#This Row],[Destination]]="","",IFERROR(INDEX(tblDestinations[Type],MATCH(tblMovement[[#This Row],[Destination]],tblDestinations[Destination],0)),"?"))</f>
        <v/>
      </c>
      <c r="M2376" s="64">
        <f>IF(tblMovement[[#This Row],[Material]]="","",IF(LEFT(tblMovement[[#This Row],[Material]],3)="Ore",1,0))</f>
        <v/>
      </c>
      <c r="N2376" s="59">
        <f>IF(OR(tblMovement[[#This Row],[Tonnes_t]]="",tblMovement[[#This Row],[Grade_gpt]]=""),0,tblMovement[[#This Row],[Tonnes_t]]*tblMovement[[#This Row],[Grade_gpt]]/cfg_TroyOz)</f>
        <v/>
      </c>
      <c r="O2376" s="59">
        <f>IF(tblMovement[[#This Row],[Is_Ore]]=1,tblMovement[[#This Row],[Contained_oz]],0)</f>
        <v/>
      </c>
    </row>
    <row r="2377">
      <c r="A2377" s="54" t="n"/>
      <c r="B2377" s="61" t="n"/>
      <c r="C2377" s="61" t="n"/>
      <c r="D2377" s="61" t="n"/>
      <c r="E2377" s="61" t="n"/>
      <c r="F2377" s="55" t="n"/>
      <c r="G2377" s="56" t="n"/>
      <c r="H2377" s="55" t="n"/>
      <c r="I2377" s="62" t="n"/>
      <c r="J2377" s="58" t="n"/>
      <c r="K2377" s="63">
        <f>IF(tblMovement[[#This Row],[Source]]="","",IFERROR(INDEX(tblSources[Type],MATCH(tblMovement[[#This Row],[Source]],tblSources[Source],0)),"?"))</f>
        <v/>
      </c>
      <c r="L2377" s="63">
        <f>IF(tblMovement[[#This Row],[Destination]]="","",IFERROR(INDEX(tblDestinations[Type],MATCH(tblMovement[[#This Row],[Destination]],tblDestinations[Destination],0)),"?"))</f>
        <v/>
      </c>
      <c r="M2377" s="64">
        <f>IF(tblMovement[[#This Row],[Material]]="","",IF(LEFT(tblMovement[[#This Row],[Material]],3)="Ore",1,0))</f>
        <v/>
      </c>
      <c r="N2377" s="59">
        <f>IF(OR(tblMovement[[#This Row],[Tonnes_t]]="",tblMovement[[#This Row],[Grade_gpt]]=""),0,tblMovement[[#This Row],[Tonnes_t]]*tblMovement[[#This Row],[Grade_gpt]]/cfg_TroyOz)</f>
        <v/>
      </c>
      <c r="O2377" s="59">
        <f>IF(tblMovement[[#This Row],[Is_Ore]]=1,tblMovement[[#This Row],[Contained_oz]],0)</f>
        <v/>
      </c>
    </row>
    <row r="2378">
      <c r="A2378" s="54" t="n"/>
      <c r="B2378" s="61" t="n"/>
      <c r="C2378" s="61" t="n"/>
      <c r="D2378" s="61" t="n"/>
      <c r="E2378" s="61" t="n"/>
      <c r="F2378" s="55" t="n"/>
      <c r="G2378" s="56" t="n"/>
      <c r="H2378" s="55" t="n"/>
      <c r="I2378" s="62" t="n"/>
      <c r="J2378" s="58" t="n"/>
      <c r="K2378" s="63">
        <f>IF(tblMovement[[#This Row],[Source]]="","",IFERROR(INDEX(tblSources[Type],MATCH(tblMovement[[#This Row],[Source]],tblSources[Source],0)),"?"))</f>
        <v/>
      </c>
      <c r="L2378" s="63">
        <f>IF(tblMovement[[#This Row],[Destination]]="","",IFERROR(INDEX(tblDestinations[Type],MATCH(tblMovement[[#This Row],[Destination]],tblDestinations[Destination],0)),"?"))</f>
        <v/>
      </c>
      <c r="M2378" s="64">
        <f>IF(tblMovement[[#This Row],[Material]]="","",IF(LEFT(tblMovement[[#This Row],[Material]],3)="Ore",1,0))</f>
        <v/>
      </c>
      <c r="N2378" s="59">
        <f>IF(OR(tblMovement[[#This Row],[Tonnes_t]]="",tblMovement[[#This Row],[Grade_gpt]]=""),0,tblMovement[[#This Row],[Tonnes_t]]*tblMovement[[#This Row],[Grade_gpt]]/cfg_TroyOz)</f>
        <v/>
      </c>
      <c r="O2378" s="59">
        <f>IF(tblMovement[[#This Row],[Is_Ore]]=1,tblMovement[[#This Row],[Contained_oz]],0)</f>
        <v/>
      </c>
    </row>
    <row r="2379">
      <c r="A2379" s="54" t="n"/>
      <c r="B2379" s="61" t="n"/>
      <c r="C2379" s="61" t="n"/>
      <c r="D2379" s="61" t="n"/>
      <c r="E2379" s="61" t="n"/>
      <c r="F2379" s="55" t="n"/>
      <c r="G2379" s="56" t="n"/>
      <c r="H2379" s="55" t="n"/>
      <c r="I2379" s="62" t="n"/>
      <c r="J2379" s="58" t="n"/>
      <c r="K2379" s="63">
        <f>IF(tblMovement[[#This Row],[Source]]="","",IFERROR(INDEX(tblSources[Type],MATCH(tblMovement[[#This Row],[Source]],tblSources[Source],0)),"?"))</f>
        <v/>
      </c>
      <c r="L2379" s="63">
        <f>IF(tblMovement[[#This Row],[Destination]]="","",IFERROR(INDEX(tblDestinations[Type],MATCH(tblMovement[[#This Row],[Destination]],tblDestinations[Destination],0)),"?"))</f>
        <v/>
      </c>
      <c r="M2379" s="64">
        <f>IF(tblMovement[[#This Row],[Material]]="","",IF(LEFT(tblMovement[[#This Row],[Material]],3)="Ore",1,0))</f>
        <v/>
      </c>
      <c r="N2379" s="59">
        <f>IF(OR(tblMovement[[#This Row],[Tonnes_t]]="",tblMovement[[#This Row],[Grade_gpt]]=""),0,tblMovement[[#This Row],[Tonnes_t]]*tblMovement[[#This Row],[Grade_gpt]]/cfg_TroyOz)</f>
        <v/>
      </c>
      <c r="O2379" s="59">
        <f>IF(tblMovement[[#This Row],[Is_Ore]]=1,tblMovement[[#This Row],[Contained_oz]],0)</f>
        <v/>
      </c>
    </row>
    <row r="2380">
      <c r="A2380" s="54" t="n"/>
      <c r="B2380" s="61" t="n"/>
      <c r="C2380" s="61" t="n"/>
      <c r="D2380" s="61" t="n"/>
      <c r="E2380" s="61" t="n"/>
      <c r="F2380" s="55" t="n"/>
      <c r="G2380" s="56" t="n"/>
      <c r="H2380" s="55" t="n"/>
      <c r="I2380" s="62" t="n"/>
      <c r="J2380" s="58" t="n"/>
      <c r="K2380" s="63">
        <f>IF(tblMovement[[#This Row],[Source]]="","",IFERROR(INDEX(tblSources[Type],MATCH(tblMovement[[#This Row],[Source]],tblSources[Source],0)),"?"))</f>
        <v/>
      </c>
      <c r="L2380" s="63">
        <f>IF(tblMovement[[#This Row],[Destination]]="","",IFERROR(INDEX(tblDestinations[Type],MATCH(tblMovement[[#This Row],[Destination]],tblDestinations[Destination],0)),"?"))</f>
        <v/>
      </c>
      <c r="M2380" s="64">
        <f>IF(tblMovement[[#This Row],[Material]]="","",IF(LEFT(tblMovement[[#This Row],[Material]],3)="Ore",1,0))</f>
        <v/>
      </c>
      <c r="N2380" s="59">
        <f>IF(OR(tblMovement[[#This Row],[Tonnes_t]]="",tblMovement[[#This Row],[Grade_gpt]]=""),0,tblMovement[[#This Row],[Tonnes_t]]*tblMovement[[#This Row],[Grade_gpt]]/cfg_TroyOz)</f>
        <v/>
      </c>
      <c r="O2380" s="59">
        <f>IF(tblMovement[[#This Row],[Is_Ore]]=1,tblMovement[[#This Row],[Contained_oz]],0)</f>
        <v/>
      </c>
    </row>
    <row r="2381">
      <c r="A2381" s="54" t="n"/>
      <c r="B2381" s="61" t="n"/>
      <c r="C2381" s="61" t="n"/>
      <c r="D2381" s="61" t="n"/>
      <c r="E2381" s="61" t="n"/>
      <c r="F2381" s="55" t="n"/>
      <c r="G2381" s="56" t="n"/>
      <c r="H2381" s="55" t="n"/>
      <c r="I2381" s="62" t="n"/>
      <c r="J2381" s="58" t="n"/>
      <c r="K2381" s="63">
        <f>IF(tblMovement[[#This Row],[Source]]="","",IFERROR(INDEX(tblSources[Type],MATCH(tblMovement[[#This Row],[Source]],tblSources[Source],0)),"?"))</f>
        <v/>
      </c>
      <c r="L2381" s="63">
        <f>IF(tblMovement[[#This Row],[Destination]]="","",IFERROR(INDEX(tblDestinations[Type],MATCH(tblMovement[[#This Row],[Destination]],tblDestinations[Destination],0)),"?"))</f>
        <v/>
      </c>
      <c r="M2381" s="64">
        <f>IF(tblMovement[[#This Row],[Material]]="","",IF(LEFT(tblMovement[[#This Row],[Material]],3)="Ore",1,0))</f>
        <v/>
      </c>
      <c r="N2381" s="59">
        <f>IF(OR(tblMovement[[#This Row],[Tonnes_t]]="",tblMovement[[#This Row],[Grade_gpt]]=""),0,tblMovement[[#This Row],[Tonnes_t]]*tblMovement[[#This Row],[Grade_gpt]]/cfg_TroyOz)</f>
        <v/>
      </c>
      <c r="O2381" s="59">
        <f>IF(tblMovement[[#This Row],[Is_Ore]]=1,tblMovement[[#This Row],[Contained_oz]],0)</f>
        <v/>
      </c>
    </row>
    <row r="2382">
      <c r="A2382" s="54" t="n"/>
      <c r="B2382" s="61" t="n"/>
      <c r="C2382" s="61" t="n"/>
      <c r="D2382" s="61" t="n"/>
      <c r="E2382" s="61" t="n"/>
      <c r="F2382" s="55" t="n"/>
      <c r="G2382" s="56" t="n"/>
      <c r="H2382" s="55" t="n"/>
      <c r="I2382" s="62" t="n"/>
      <c r="J2382" s="58" t="n"/>
      <c r="K2382" s="63">
        <f>IF(tblMovement[[#This Row],[Source]]="","",IFERROR(INDEX(tblSources[Type],MATCH(tblMovement[[#This Row],[Source]],tblSources[Source],0)),"?"))</f>
        <v/>
      </c>
      <c r="L2382" s="63">
        <f>IF(tblMovement[[#This Row],[Destination]]="","",IFERROR(INDEX(tblDestinations[Type],MATCH(tblMovement[[#This Row],[Destination]],tblDestinations[Destination],0)),"?"))</f>
        <v/>
      </c>
      <c r="M2382" s="64">
        <f>IF(tblMovement[[#This Row],[Material]]="","",IF(LEFT(tblMovement[[#This Row],[Material]],3)="Ore",1,0))</f>
        <v/>
      </c>
      <c r="N2382" s="59">
        <f>IF(OR(tblMovement[[#This Row],[Tonnes_t]]="",tblMovement[[#This Row],[Grade_gpt]]=""),0,tblMovement[[#This Row],[Tonnes_t]]*tblMovement[[#This Row],[Grade_gpt]]/cfg_TroyOz)</f>
        <v/>
      </c>
      <c r="O2382" s="59">
        <f>IF(tblMovement[[#This Row],[Is_Ore]]=1,tblMovement[[#This Row],[Contained_oz]],0)</f>
        <v/>
      </c>
    </row>
    <row r="2383">
      <c r="A2383" s="54" t="n"/>
      <c r="B2383" s="61" t="n"/>
      <c r="C2383" s="61" t="n"/>
      <c r="D2383" s="61" t="n"/>
      <c r="E2383" s="61" t="n"/>
      <c r="F2383" s="55" t="n"/>
      <c r="G2383" s="56" t="n"/>
      <c r="H2383" s="55" t="n"/>
      <c r="I2383" s="62" t="n"/>
      <c r="J2383" s="58" t="n"/>
      <c r="K2383" s="63">
        <f>IF(tblMovement[[#This Row],[Source]]="","",IFERROR(INDEX(tblSources[Type],MATCH(tblMovement[[#This Row],[Source]],tblSources[Source],0)),"?"))</f>
        <v/>
      </c>
      <c r="L2383" s="63">
        <f>IF(tblMovement[[#This Row],[Destination]]="","",IFERROR(INDEX(tblDestinations[Type],MATCH(tblMovement[[#This Row],[Destination]],tblDestinations[Destination],0)),"?"))</f>
        <v/>
      </c>
      <c r="M2383" s="64">
        <f>IF(tblMovement[[#This Row],[Material]]="","",IF(LEFT(tblMovement[[#This Row],[Material]],3)="Ore",1,0))</f>
        <v/>
      </c>
      <c r="N2383" s="59">
        <f>IF(OR(tblMovement[[#This Row],[Tonnes_t]]="",tblMovement[[#This Row],[Grade_gpt]]=""),0,tblMovement[[#This Row],[Tonnes_t]]*tblMovement[[#This Row],[Grade_gpt]]/cfg_TroyOz)</f>
        <v/>
      </c>
      <c r="O2383" s="59">
        <f>IF(tblMovement[[#This Row],[Is_Ore]]=1,tblMovement[[#This Row],[Contained_oz]],0)</f>
        <v/>
      </c>
    </row>
    <row r="2384">
      <c r="A2384" s="54" t="n"/>
      <c r="B2384" s="61" t="n"/>
      <c r="C2384" s="61" t="n"/>
      <c r="D2384" s="61" t="n"/>
      <c r="E2384" s="61" t="n"/>
      <c r="F2384" s="55" t="n"/>
      <c r="G2384" s="56" t="n"/>
      <c r="H2384" s="55" t="n"/>
      <c r="I2384" s="62" t="n"/>
      <c r="J2384" s="58" t="n"/>
      <c r="K2384" s="63">
        <f>IF(tblMovement[[#This Row],[Source]]="","",IFERROR(INDEX(tblSources[Type],MATCH(tblMovement[[#This Row],[Source]],tblSources[Source],0)),"?"))</f>
        <v/>
      </c>
      <c r="L2384" s="63">
        <f>IF(tblMovement[[#This Row],[Destination]]="","",IFERROR(INDEX(tblDestinations[Type],MATCH(tblMovement[[#This Row],[Destination]],tblDestinations[Destination],0)),"?"))</f>
        <v/>
      </c>
      <c r="M2384" s="64">
        <f>IF(tblMovement[[#This Row],[Material]]="","",IF(LEFT(tblMovement[[#This Row],[Material]],3)="Ore",1,0))</f>
        <v/>
      </c>
      <c r="N2384" s="59">
        <f>IF(OR(tblMovement[[#This Row],[Tonnes_t]]="",tblMovement[[#This Row],[Grade_gpt]]=""),0,tblMovement[[#This Row],[Tonnes_t]]*tblMovement[[#This Row],[Grade_gpt]]/cfg_TroyOz)</f>
        <v/>
      </c>
      <c r="O2384" s="59">
        <f>IF(tblMovement[[#This Row],[Is_Ore]]=1,tblMovement[[#This Row],[Contained_oz]],0)</f>
        <v/>
      </c>
    </row>
    <row r="2385">
      <c r="A2385" s="54" t="n"/>
      <c r="B2385" s="61" t="n"/>
      <c r="C2385" s="61" t="n"/>
      <c r="D2385" s="61" t="n"/>
      <c r="E2385" s="61" t="n"/>
      <c r="F2385" s="55" t="n"/>
      <c r="G2385" s="56" t="n"/>
      <c r="H2385" s="55" t="n"/>
      <c r="I2385" s="62" t="n"/>
      <c r="J2385" s="58" t="n"/>
      <c r="K2385" s="63">
        <f>IF(tblMovement[[#This Row],[Source]]="","",IFERROR(INDEX(tblSources[Type],MATCH(tblMovement[[#This Row],[Source]],tblSources[Source],0)),"?"))</f>
        <v/>
      </c>
      <c r="L2385" s="63">
        <f>IF(tblMovement[[#This Row],[Destination]]="","",IFERROR(INDEX(tblDestinations[Type],MATCH(tblMovement[[#This Row],[Destination]],tblDestinations[Destination],0)),"?"))</f>
        <v/>
      </c>
      <c r="M2385" s="64">
        <f>IF(tblMovement[[#This Row],[Material]]="","",IF(LEFT(tblMovement[[#This Row],[Material]],3)="Ore",1,0))</f>
        <v/>
      </c>
      <c r="N2385" s="59">
        <f>IF(OR(tblMovement[[#This Row],[Tonnes_t]]="",tblMovement[[#This Row],[Grade_gpt]]=""),0,tblMovement[[#This Row],[Tonnes_t]]*tblMovement[[#This Row],[Grade_gpt]]/cfg_TroyOz)</f>
        <v/>
      </c>
      <c r="O2385" s="59">
        <f>IF(tblMovement[[#This Row],[Is_Ore]]=1,tblMovement[[#This Row],[Contained_oz]],0)</f>
        <v/>
      </c>
    </row>
    <row r="2386">
      <c r="A2386" s="54" t="n"/>
      <c r="B2386" s="61" t="n"/>
      <c r="C2386" s="61" t="n"/>
      <c r="D2386" s="61" t="n"/>
      <c r="E2386" s="61" t="n"/>
      <c r="F2386" s="55" t="n"/>
      <c r="G2386" s="56" t="n"/>
      <c r="H2386" s="55" t="n"/>
      <c r="I2386" s="62" t="n"/>
      <c r="J2386" s="58" t="n"/>
      <c r="K2386" s="63">
        <f>IF(tblMovement[[#This Row],[Source]]="","",IFERROR(INDEX(tblSources[Type],MATCH(tblMovement[[#This Row],[Source]],tblSources[Source],0)),"?"))</f>
        <v/>
      </c>
      <c r="L2386" s="63">
        <f>IF(tblMovement[[#This Row],[Destination]]="","",IFERROR(INDEX(tblDestinations[Type],MATCH(tblMovement[[#This Row],[Destination]],tblDestinations[Destination],0)),"?"))</f>
        <v/>
      </c>
      <c r="M2386" s="64">
        <f>IF(tblMovement[[#This Row],[Material]]="","",IF(LEFT(tblMovement[[#This Row],[Material]],3)="Ore",1,0))</f>
        <v/>
      </c>
      <c r="N2386" s="59">
        <f>IF(OR(tblMovement[[#This Row],[Tonnes_t]]="",tblMovement[[#This Row],[Grade_gpt]]=""),0,tblMovement[[#This Row],[Tonnes_t]]*tblMovement[[#This Row],[Grade_gpt]]/cfg_TroyOz)</f>
        <v/>
      </c>
      <c r="O2386" s="59">
        <f>IF(tblMovement[[#This Row],[Is_Ore]]=1,tblMovement[[#This Row],[Contained_oz]],0)</f>
        <v/>
      </c>
    </row>
    <row r="2387">
      <c r="A2387" s="54" t="n"/>
      <c r="B2387" s="61" t="n"/>
      <c r="C2387" s="61" t="n"/>
      <c r="D2387" s="61" t="n"/>
      <c r="E2387" s="61" t="n"/>
      <c r="F2387" s="55" t="n"/>
      <c r="G2387" s="56" t="n"/>
      <c r="H2387" s="55" t="n"/>
      <c r="I2387" s="62" t="n"/>
      <c r="J2387" s="58" t="n"/>
      <c r="K2387" s="63">
        <f>IF(tblMovement[[#This Row],[Source]]="","",IFERROR(INDEX(tblSources[Type],MATCH(tblMovement[[#This Row],[Source]],tblSources[Source],0)),"?"))</f>
        <v/>
      </c>
      <c r="L2387" s="63">
        <f>IF(tblMovement[[#This Row],[Destination]]="","",IFERROR(INDEX(tblDestinations[Type],MATCH(tblMovement[[#This Row],[Destination]],tblDestinations[Destination],0)),"?"))</f>
        <v/>
      </c>
      <c r="M2387" s="64">
        <f>IF(tblMovement[[#This Row],[Material]]="","",IF(LEFT(tblMovement[[#This Row],[Material]],3)="Ore",1,0))</f>
        <v/>
      </c>
      <c r="N2387" s="59">
        <f>IF(OR(tblMovement[[#This Row],[Tonnes_t]]="",tblMovement[[#This Row],[Grade_gpt]]=""),0,tblMovement[[#This Row],[Tonnes_t]]*tblMovement[[#This Row],[Grade_gpt]]/cfg_TroyOz)</f>
        <v/>
      </c>
      <c r="O2387" s="59">
        <f>IF(tblMovement[[#This Row],[Is_Ore]]=1,tblMovement[[#This Row],[Contained_oz]],0)</f>
        <v/>
      </c>
    </row>
    <row r="2388">
      <c r="A2388" s="54" t="n"/>
      <c r="B2388" s="61" t="n"/>
      <c r="C2388" s="61" t="n"/>
      <c r="D2388" s="61" t="n"/>
      <c r="E2388" s="61" t="n"/>
      <c r="F2388" s="55" t="n"/>
      <c r="G2388" s="56" t="n"/>
      <c r="H2388" s="55" t="n"/>
      <c r="I2388" s="62" t="n"/>
      <c r="J2388" s="58" t="n"/>
      <c r="K2388" s="63">
        <f>IF(tblMovement[[#This Row],[Source]]="","",IFERROR(INDEX(tblSources[Type],MATCH(tblMovement[[#This Row],[Source]],tblSources[Source],0)),"?"))</f>
        <v/>
      </c>
      <c r="L2388" s="63">
        <f>IF(tblMovement[[#This Row],[Destination]]="","",IFERROR(INDEX(tblDestinations[Type],MATCH(tblMovement[[#This Row],[Destination]],tblDestinations[Destination],0)),"?"))</f>
        <v/>
      </c>
      <c r="M2388" s="64">
        <f>IF(tblMovement[[#This Row],[Material]]="","",IF(LEFT(tblMovement[[#This Row],[Material]],3)="Ore",1,0))</f>
        <v/>
      </c>
      <c r="N2388" s="59">
        <f>IF(OR(tblMovement[[#This Row],[Tonnes_t]]="",tblMovement[[#This Row],[Grade_gpt]]=""),0,tblMovement[[#This Row],[Tonnes_t]]*tblMovement[[#This Row],[Grade_gpt]]/cfg_TroyOz)</f>
        <v/>
      </c>
      <c r="O2388" s="59">
        <f>IF(tblMovement[[#This Row],[Is_Ore]]=1,tblMovement[[#This Row],[Contained_oz]],0)</f>
        <v/>
      </c>
    </row>
    <row r="2389">
      <c r="A2389" s="54" t="n"/>
      <c r="B2389" s="61" t="n"/>
      <c r="C2389" s="61" t="n"/>
      <c r="D2389" s="61" t="n"/>
      <c r="E2389" s="61" t="n"/>
      <c r="F2389" s="55" t="n"/>
      <c r="G2389" s="56" t="n"/>
      <c r="H2389" s="55" t="n"/>
      <c r="I2389" s="62" t="n"/>
      <c r="J2389" s="58" t="n"/>
      <c r="K2389" s="63">
        <f>IF(tblMovement[[#This Row],[Source]]="","",IFERROR(INDEX(tblSources[Type],MATCH(tblMovement[[#This Row],[Source]],tblSources[Source],0)),"?"))</f>
        <v/>
      </c>
      <c r="L2389" s="63">
        <f>IF(tblMovement[[#This Row],[Destination]]="","",IFERROR(INDEX(tblDestinations[Type],MATCH(tblMovement[[#This Row],[Destination]],tblDestinations[Destination],0)),"?"))</f>
        <v/>
      </c>
      <c r="M2389" s="64">
        <f>IF(tblMovement[[#This Row],[Material]]="","",IF(LEFT(tblMovement[[#This Row],[Material]],3)="Ore",1,0))</f>
        <v/>
      </c>
      <c r="N2389" s="59">
        <f>IF(OR(tblMovement[[#This Row],[Tonnes_t]]="",tblMovement[[#This Row],[Grade_gpt]]=""),0,tblMovement[[#This Row],[Tonnes_t]]*tblMovement[[#This Row],[Grade_gpt]]/cfg_TroyOz)</f>
        <v/>
      </c>
      <c r="O2389" s="59">
        <f>IF(tblMovement[[#This Row],[Is_Ore]]=1,tblMovement[[#This Row],[Contained_oz]],0)</f>
        <v/>
      </c>
    </row>
    <row r="2390">
      <c r="A2390" s="54" t="n"/>
      <c r="B2390" s="61" t="n"/>
      <c r="C2390" s="61" t="n"/>
      <c r="D2390" s="61" t="n"/>
      <c r="E2390" s="61" t="n"/>
      <c r="F2390" s="55" t="n"/>
      <c r="G2390" s="56" t="n"/>
      <c r="H2390" s="55" t="n"/>
      <c r="I2390" s="62" t="n"/>
      <c r="J2390" s="58" t="n"/>
      <c r="K2390" s="63">
        <f>IF(tblMovement[[#This Row],[Source]]="","",IFERROR(INDEX(tblSources[Type],MATCH(tblMovement[[#This Row],[Source]],tblSources[Source],0)),"?"))</f>
        <v/>
      </c>
      <c r="L2390" s="63">
        <f>IF(tblMovement[[#This Row],[Destination]]="","",IFERROR(INDEX(tblDestinations[Type],MATCH(tblMovement[[#This Row],[Destination]],tblDestinations[Destination],0)),"?"))</f>
        <v/>
      </c>
      <c r="M2390" s="64">
        <f>IF(tblMovement[[#This Row],[Material]]="","",IF(LEFT(tblMovement[[#This Row],[Material]],3)="Ore",1,0))</f>
        <v/>
      </c>
      <c r="N2390" s="59">
        <f>IF(OR(tblMovement[[#This Row],[Tonnes_t]]="",tblMovement[[#This Row],[Grade_gpt]]=""),0,tblMovement[[#This Row],[Tonnes_t]]*tblMovement[[#This Row],[Grade_gpt]]/cfg_TroyOz)</f>
        <v/>
      </c>
      <c r="O2390" s="59">
        <f>IF(tblMovement[[#This Row],[Is_Ore]]=1,tblMovement[[#This Row],[Contained_oz]],0)</f>
        <v/>
      </c>
    </row>
    <row r="2391">
      <c r="A2391" s="54" t="n"/>
      <c r="B2391" s="61" t="n"/>
      <c r="C2391" s="61" t="n"/>
      <c r="D2391" s="61" t="n"/>
      <c r="E2391" s="61" t="n"/>
      <c r="F2391" s="55" t="n"/>
      <c r="G2391" s="56" t="n"/>
      <c r="H2391" s="55" t="n"/>
      <c r="I2391" s="62" t="n"/>
      <c r="J2391" s="58" t="n"/>
      <c r="K2391" s="63">
        <f>IF(tblMovement[[#This Row],[Source]]="","",IFERROR(INDEX(tblSources[Type],MATCH(tblMovement[[#This Row],[Source]],tblSources[Source],0)),"?"))</f>
        <v/>
      </c>
      <c r="L2391" s="63">
        <f>IF(tblMovement[[#This Row],[Destination]]="","",IFERROR(INDEX(tblDestinations[Type],MATCH(tblMovement[[#This Row],[Destination]],tblDestinations[Destination],0)),"?"))</f>
        <v/>
      </c>
      <c r="M2391" s="64">
        <f>IF(tblMovement[[#This Row],[Material]]="","",IF(LEFT(tblMovement[[#This Row],[Material]],3)="Ore",1,0))</f>
        <v/>
      </c>
      <c r="N2391" s="59">
        <f>IF(OR(tblMovement[[#This Row],[Tonnes_t]]="",tblMovement[[#This Row],[Grade_gpt]]=""),0,tblMovement[[#This Row],[Tonnes_t]]*tblMovement[[#This Row],[Grade_gpt]]/cfg_TroyOz)</f>
        <v/>
      </c>
      <c r="O2391" s="59">
        <f>IF(tblMovement[[#This Row],[Is_Ore]]=1,tblMovement[[#This Row],[Contained_oz]],0)</f>
        <v/>
      </c>
    </row>
    <row r="2392">
      <c r="A2392" s="54" t="n"/>
      <c r="B2392" s="61" t="n"/>
      <c r="C2392" s="61" t="n"/>
      <c r="D2392" s="61" t="n"/>
      <c r="E2392" s="61" t="n"/>
      <c r="F2392" s="55" t="n"/>
      <c r="G2392" s="56" t="n"/>
      <c r="H2392" s="55" t="n"/>
      <c r="I2392" s="62" t="n"/>
      <c r="J2392" s="58" t="n"/>
      <c r="K2392" s="63">
        <f>IF(tblMovement[[#This Row],[Source]]="","",IFERROR(INDEX(tblSources[Type],MATCH(tblMovement[[#This Row],[Source]],tblSources[Source],0)),"?"))</f>
        <v/>
      </c>
      <c r="L2392" s="63">
        <f>IF(tblMovement[[#This Row],[Destination]]="","",IFERROR(INDEX(tblDestinations[Type],MATCH(tblMovement[[#This Row],[Destination]],tblDestinations[Destination],0)),"?"))</f>
        <v/>
      </c>
      <c r="M2392" s="64">
        <f>IF(tblMovement[[#This Row],[Material]]="","",IF(LEFT(tblMovement[[#This Row],[Material]],3)="Ore",1,0))</f>
        <v/>
      </c>
      <c r="N2392" s="59">
        <f>IF(OR(tblMovement[[#This Row],[Tonnes_t]]="",tblMovement[[#This Row],[Grade_gpt]]=""),0,tblMovement[[#This Row],[Tonnes_t]]*tblMovement[[#This Row],[Grade_gpt]]/cfg_TroyOz)</f>
        <v/>
      </c>
      <c r="O2392" s="59">
        <f>IF(tblMovement[[#This Row],[Is_Ore]]=1,tblMovement[[#This Row],[Contained_oz]],0)</f>
        <v/>
      </c>
    </row>
    <row r="2393">
      <c r="A2393" s="54" t="n"/>
      <c r="B2393" s="61" t="n"/>
      <c r="C2393" s="61" t="n"/>
      <c r="D2393" s="61" t="n"/>
      <c r="E2393" s="61" t="n"/>
      <c r="F2393" s="55" t="n"/>
      <c r="G2393" s="56" t="n"/>
      <c r="H2393" s="55" t="n"/>
      <c r="I2393" s="62" t="n"/>
      <c r="J2393" s="58" t="n"/>
      <c r="K2393" s="63">
        <f>IF(tblMovement[[#This Row],[Source]]="","",IFERROR(INDEX(tblSources[Type],MATCH(tblMovement[[#This Row],[Source]],tblSources[Source],0)),"?"))</f>
        <v/>
      </c>
      <c r="L2393" s="63">
        <f>IF(tblMovement[[#This Row],[Destination]]="","",IFERROR(INDEX(tblDestinations[Type],MATCH(tblMovement[[#This Row],[Destination]],tblDestinations[Destination],0)),"?"))</f>
        <v/>
      </c>
      <c r="M2393" s="64">
        <f>IF(tblMovement[[#This Row],[Material]]="","",IF(LEFT(tblMovement[[#This Row],[Material]],3)="Ore",1,0))</f>
        <v/>
      </c>
      <c r="N2393" s="59">
        <f>IF(OR(tblMovement[[#This Row],[Tonnes_t]]="",tblMovement[[#This Row],[Grade_gpt]]=""),0,tblMovement[[#This Row],[Tonnes_t]]*tblMovement[[#This Row],[Grade_gpt]]/cfg_TroyOz)</f>
        <v/>
      </c>
      <c r="O2393" s="59">
        <f>IF(tblMovement[[#This Row],[Is_Ore]]=1,tblMovement[[#This Row],[Contained_oz]],0)</f>
        <v/>
      </c>
    </row>
    <row r="2394">
      <c r="A2394" s="54" t="n"/>
      <c r="B2394" s="61" t="n"/>
      <c r="C2394" s="61" t="n"/>
      <c r="D2394" s="61" t="n"/>
      <c r="E2394" s="61" t="n"/>
      <c r="F2394" s="55" t="n"/>
      <c r="G2394" s="56" t="n"/>
      <c r="H2394" s="55" t="n"/>
      <c r="I2394" s="62" t="n"/>
      <c r="J2394" s="58" t="n"/>
      <c r="K2394" s="63">
        <f>IF(tblMovement[[#This Row],[Source]]="","",IFERROR(INDEX(tblSources[Type],MATCH(tblMovement[[#This Row],[Source]],tblSources[Source],0)),"?"))</f>
        <v/>
      </c>
      <c r="L2394" s="63">
        <f>IF(tblMovement[[#This Row],[Destination]]="","",IFERROR(INDEX(tblDestinations[Type],MATCH(tblMovement[[#This Row],[Destination]],tblDestinations[Destination],0)),"?"))</f>
        <v/>
      </c>
      <c r="M2394" s="64">
        <f>IF(tblMovement[[#This Row],[Material]]="","",IF(LEFT(tblMovement[[#This Row],[Material]],3)="Ore",1,0))</f>
        <v/>
      </c>
      <c r="N2394" s="59">
        <f>IF(OR(tblMovement[[#This Row],[Tonnes_t]]="",tblMovement[[#This Row],[Grade_gpt]]=""),0,tblMovement[[#This Row],[Tonnes_t]]*tblMovement[[#This Row],[Grade_gpt]]/cfg_TroyOz)</f>
        <v/>
      </c>
      <c r="O2394" s="59">
        <f>IF(tblMovement[[#This Row],[Is_Ore]]=1,tblMovement[[#This Row],[Contained_oz]],0)</f>
        <v/>
      </c>
    </row>
    <row r="2395">
      <c r="A2395" s="54" t="n"/>
      <c r="B2395" s="61" t="n"/>
      <c r="C2395" s="61" t="n"/>
      <c r="D2395" s="61" t="n"/>
      <c r="E2395" s="61" t="n"/>
      <c r="F2395" s="55" t="n"/>
      <c r="G2395" s="56" t="n"/>
      <c r="H2395" s="55" t="n"/>
      <c r="I2395" s="62" t="n"/>
      <c r="J2395" s="58" t="n"/>
      <c r="K2395" s="63">
        <f>IF(tblMovement[[#This Row],[Source]]="","",IFERROR(INDEX(tblSources[Type],MATCH(tblMovement[[#This Row],[Source]],tblSources[Source],0)),"?"))</f>
        <v/>
      </c>
      <c r="L2395" s="63">
        <f>IF(tblMovement[[#This Row],[Destination]]="","",IFERROR(INDEX(tblDestinations[Type],MATCH(tblMovement[[#This Row],[Destination]],tblDestinations[Destination],0)),"?"))</f>
        <v/>
      </c>
      <c r="M2395" s="64">
        <f>IF(tblMovement[[#This Row],[Material]]="","",IF(LEFT(tblMovement[[#This Row],[Material]],3)="Ore",1,0))</f>
        <v/>
      </c>
      <c r="N2395" s="59">
        <f>IF(OR(tblMovement[[#This Row],[Tonnes_t]]="",tblMovement[[#This Row],[Grade_gpt]]=""),0,tblMovement[[#This Row],[Tonnes_t]]*tblMovement[[#This Row],[Grade_gpt]]/cfg_TroyOz)</f>
        <v/>
      </c>
      <c r="O2395" s="59">
        <f>IF(tblMovement[[#This Row],[Is_Ore]]=1,tblMovement[[#This Row],[Contained_oz]],0)</f>
        <v/>
      </c>
    </row>
    <row r="2396">
      <c r="A2396" s="54" t="n"/>
      <c r="B2396" s="61" t="n"/>
      <c r="C2396" s="61" t="n"/>
      <c r="D2396" s="61" t="n"/>
      <c r="E2396" s="61" t="n"/>
      <c r="F2396" s="55" t="n"/>
      <c r="G2396" s="56" t="n"/>
      <c r="H2396" s="55" t="n"/>
      <c r="I2396" s="62" t="n"/>
      <c r="J2396" s="58" t="n"/>
      <c r="K2396" s="63">
        <f>IF(tblMovement[[#This Row],[Source]]="","",IFERROR(INDEX(tblSources[Type],MATCH(tblMovement[[#This Row],[Source]],tblSources[Source],0)),"?"))</f>
        <v/>
      </c>
      <c r="L2396" s="63">
        <f>IF(tblMovement[[#This Row],[Destination]]="","",IFERROR(INDEX(tblDestinations[Type],MATCH(tblMovement[[#This Row],[Destination]],tblDestinations[Destination],0)),"?"))</f>
        <v/>
      </c>
      <c r="M2396" s="64">
        <f>IF(tblMovement[[#This Row],[Material]]="","",IF(LEFT(tblMovement[[#This Row],[Material]],3)="Ore",1,0))</f>
        <v/>
      </c>
      <c r="N2396" s="59">
        <f>IF(OR(tblMovement[[#This Row],[Tonnes_t]]="",tblMovement[[#This Row],[Grade_gpt]]=""),0,tblMovement[[#This Row],[Tonnes_t]]*tblMovement[[#This Row],[Grade_gpt]]/cfg_TroyOz)</f>
        <v/>
      </c>
      <c r="O2396" s="59">
        <f>IF(tblMovement[[#This Row],[Is_Ore]]=1,tblMovement[[#This Row],[Contained_oz]],0)</f>
        <v/>
      </c>
    </row>
    <row r="2397">
      <c r="A2397" s="54" t="n"/>
      <c r="B2397" s="61" t="n"/>
      <c r="C2397" s="61" t="n"/>
      <c r="D2397" s="61" t="n"/>
      <c r="E2397" s="61" t="n"/>
      <c r="F2397" s="55" t="n"/>
      <c r="G2397" s="56" t="n"/>
      <c r="H2397" s="55" t="n"/>
      <c r="I2397" s="62" t="n"/>
      <c r="J2397" s="58" t="n"/>
      <c r="K2397" s="63">
        <f>IF(tblMovement[[#This Row],[Source]]="","",IFERROR(INDEX(tblSources[Type],MATCH(tblMovement[[#This Row],[Source]],tblSources[Source],0)),"?"))</f>
        <v/>
      </c>
      <c r="L2397" s="63">
        <f>IF(tblMovement[[#This Row],[Destination]]="","",IFERROR(INDEX(tblDestinations[Type],MATCH(tblMovement[[#This Row],[Destination]],tblDestinations[Destination],0)),"?"))</f>
        <v/>
      </c>
      <c r="M2397" s="64">
        <f>IF(tblMovement[[#This Row],[Material]]="","",IF(LEFT(tblMovement[[#This Row],[Material]],3)="Ore",1,0))</f>
        <v/>
      </c>
      <c r="N2397" s="59">
        <f>IF(OR(tblMovement[[#This Row],[Tonnes_t]]="",tblMovement[[#This Row],[Grade_gpt]]=""),0,tblMovement[[#This Row],[Tonnes_t]]*tblMovement[[#This Row],[Grade_gpt]]/cfg_TroyOz)</f>
        <v/>
      </c>
      <c r="O2397" s="59">
        <f>IF(tblMovement[[#This Row],[Is_Ore]]=1,tblMovement[[#This Row],[Contained_oz]],0)</f>
        <v/>
      </c>
    </row>
    <row r="2398">
      <c r="A2398" s="54" t="n"/>
      <c r="B2398" s="61" t="n"/>
      <c r="C2398" s="61" t="n"/>
      <c r="D2398" s="61" t="n"/>
      <c r="E2398" s="61" t="n"/>
      <c r="F2398" s="55" t="n"/>
      <c r="G2398" s="56" t="n"/>
      <c r="H2398" s="55" t="n"/>
      <c r="I2398" s="62" t="n"/>
      <c r="J2398" s="58" t="n"/>
      <c r="K2398" s="63">
        <f>IF(tblMovement[[#This Row],[Source]]="","",IFERROR(INDEX(tblSources[Type],MATCH(tblMovement[[#This Row],[Source]],tblSources[Source],0)),"?"))</f>
        <v/>
      </c>
      <c r="L2398" s="63">
        <f>IF(tblMovement[[#This Row],[Destination]]="","",IFERROR(INDEX(tblDestinations[Type],MATCH(tblMovement[[#This Row],[Destination]],tblDestinations[Destination],0)),"?"))</f>
        <v/>
      </c>
      <c r="M2398" s="64">
        <f>IF(tblMovement[[#This Row],[Material]]="","",IF(LEFT(tblMovement[[#This Row],[Material]],3)="Ore",1,0))</f>
        <v/>
      </c>
      <c r="N2398" s="59">
        <f>IF(OR(tblMovement[[#This Row],[Tonnes_t]]="",tblMovement[[#This Row],[Grade_gpt]]=""),0,tblMovement[[#This Row],[Tonnes_t]]*tblMovement[[#This Row],[Grade_gpt]]/cfg_TroyOz)</f>
        <v/>
      </c>
      <c r="O2398" s="59">
        <f>IF(tblMovement[[#This Row],[Is_Ore]]=1,tblMovement[[#This Row],[Contained_oz]],0)</f>
        <v/>
      </c>
    </row>
    <row r="2399">
      <c r="A2399" s="54" t="n"/>
      <c r="B2399" s="61" t="n"/>
      <c r="C2399" s="61" t="n"/>
      <c r="D2399" s="61" t="n"/>
      <c r="E2399" s="61" t="n"/>
      <c r="F2399" s="55" t="n"/>
      <c r="G2399" s="56" t="n"/>
      <c r="H2399" s="55" t="n"/>
      <c r="I2399" s="62" t="n"/>
      <c r="J2399" s="58" t="n"/>
      <c r="K2399" s="63">
        <f>IF(tblMovement[[#This Row],[Source]]="","",IFERROR(INDEX(tblSources[Type],MATCH(tblMovement[[#This Row],[Source]],tblSources[Source],0)),"?"))</f>
        <v/>
      </c>
      <c r="L2399" s="63">
        <f>IF(tblMovement[[#This Row],[Destination]]="","",IFERROR(INDEX(tblDestinations[Type],MATCH(tblMovement[[#This Row],[Destination]],tblDestinations[Destination],0)),"?"))</f>
        <v/>
      </c>
      <c r="M2399" s="64">
        <f>IF(tblMovement[[#This Row],[Material]]="","",IF(LEFT(tblMovement[[#This Row],[Material]],3)="Ore",1,0))</f>
        <v/>
      </c>
      <c r="N2399" s="59">
        <f>IF(OR(tblMovement[[#This Row],[Tonnes_t]]="",tblMovement[[#This Row],[Grade_gpt]]=""),0,tblMovement[[#This Row],[Tonnes_t]]*tblMovement[[#This Row],[Grade_gpt]]/cfg_TroyOz)</f>
        <v/>
      </c>
      <c r="O2399" s="59">
        <f>IF(tblMovement[[#This Row],[Is_Ore]]=1,tblMovement[[#This Row],[Contained_oz]],0)</f>
        <v/>
      </c>
    </row>
    <row r="2400">
      <c r="A2400" s="54" t="n"/>
      <c r="B2400" s="61" t="n"/>
      <c r="C2400" s="61" t="n"/>
      <c r="D2400" s="61" t="n"/>
      <c r="E2400" s="61" t="n"/>
      <c r="F2400" s="55" t="n"/>
      <c r="G2400" s="56" t="n"/>
      <c r="H2400" s="55" t="n"/>
      <c r="I2400" s="62" t="n"/>
      <c r="J2400" s="58" t="n"/>
      <c r="K2400" s="63">
        <f>IF(tblMovement[[#This Row],[Source]]="","",IFERROR(INDEX(tblSources[Type],MATCH(tblMovement[[#This Row],[Source]],tblSources[Source],0)),"?"))</f>
        <v/>
      </c>
      <c r="L2400" s="63">
        <f>IF(tblMovement[[#This Row],[Destination]]="","",IFERROR(INDEX(tblDestinations[Type],MATCH(tblMovement[[#This Row],[Destination]],tblDestinations[Destination],0)),"?"))</f>
        <v/>
      </c>
      <c r="M2400" s="64">
        <f>IF(tblMovement[[#This Row],[Material]]="","",IF(LEFT(tblMovement[[#This Row],[Material]],3)="Ore",1,0))</f>
        <v/>
      </c>
      <c r="N2400" s="59">
        <f>IF(OR(tblMovement[[#This Row],[Tonnes_t]]="",tblMovement[[#This Row],[Grade_gpt]]=""),0,tblMovement[[#This Row],[Tonnes_t]]*tblMovement[[#This Row],[Grade_gpt]]/cfg_TroyOz)</f>
        <v/>
      </c>
      <c r="O2400" s="59">
        <f>IF(tblMovement[[#This Row],[Is_Ore]]=1,tblMovement[[#This Row],[Contained_oz]],0)</f>
        <v/>
      </c>
    </row>
    <row r="2401">
      <c r="A2401" s="54" t="n"/>
      <c r="B2401" s="61" t="n"/>
      <c r="C2401" s="61" t="n"/>
      <c r="D2401" s="61" t="n"/>
      <c r="E2401" s="61" t="n"/>
      <c r="F2401" s="55" t="n"/>
      <c r="G2401" s="56" t="n"/>
      <c r="H2401" s="55" t="n"/>
      <c r="I2401" s="62" t="n"/>
      <c r="J2401" s="58" t="n"/>
      <c r="K2401" s="63">
        <f>IF(tblMovement[[#This Row],[Source]]="","",IFERROR(INDEX(tblSources[Type],MATCH(tblMovement[[#This Row],[Source]],tblSources[Source],0)),"?"))</f>
        <v/>
      </c>
      <c r="L2401" s="63">
        <f>IF(tblMovement[[#This Row],[Destination]]="","",IFERROR(INDEX(tblDestinations[Type],MATCH(tblMovement[[#This Row],[Destination]],tblDestinations[Destination],0)),"?"))</f>
        <v/>
      </c>
      <c r="M2401" s="64">
        <f>IF(tblMovement[[#This Row],[Material]]="","",IF(LEFT(tblMovement[[#This Row],[Material]],3)="Ore",1,0))</f>
        <v/>
      </c>
      <c r="N2401" s="59">
        <f>IF(OR(tblMovement[[#This Row],[Tonnes_t]]="",tblMovement[[#This Row],[Grade_gpt]]=""),0,tblMovement[[#This Row],[Tonnes_t]]*tblMovement[[#This Row],[Grade_gpt]]/cfg_TroyOz)</f>
        <v/>
      </c>
      <c r="O2401" s="59">
        <f>IF(tblMovement[[#This Row],[Is_Ore]]=1,tblMovement[[#This Row],[Contained_oz]],0)</f>
        <v/>
      </c>
    </row>
    <row r="2402">
      <c r="A2402" s="54" t="n"/>
      <c r="B2402" s="61" t="n"/>
      <c r="C2402" s="61" t="n"/>
      <c r="D2402" s="61" t="n"/>
      <c r="E2402" s="61" t="n"/>
      <c r="F2402" s="55" t="n"/>
      <c r="G2402" s="56" t="n"/>
      <c r="H2402" s="55" t="n"/>
      <c r="I2402" s="62" t="n"/>
      <c r="J2402" s="58" t="n"/>
      <c r="K2402" s="63">
        <f>IF(tblMovement[[#This Row],[Source]]="","",IFERROR(INDEX(tblSources[Type],MATCH(tblMovement[[#This Row],[Source]],tblSources[Source],0)),"?"))</f>
        <v/>
      </c>
      <c r="L2402" s="63">
        <f>IF(tblMovement[[#This Row],[Destination]]="","",IFERROR(INDEX(tblDestinations[Type],MATCH(tblMovement[[#This Row],[Destination]],tblDestinations[Destination],0)),"?"))</f>
        <v/>
      </c>
      <c r="M2402" s="64">
        <f>IF(tblMovement[[#This Row],[Material]]="","",IF(LEFT(tblMovement[[#This Row],[Material]],3)="Ore",1,0))</f>
        <v/>
      </c>
      <c r="N2402" s="59">
        <f>IF(OR(tblMovement[[#This Row],[Tonnes_t]]="",tblMovement[[#This Row],[Grade_gpt]]=""),0,tblMovement[[#This Row],[Tonnes_t]]*tblMovement[[#This Row],[Grade_gpt]]/cfg_TroyOz)</f>
        <v/>
      </c>
      <c r="O2402" s="59">
        <f>IF(tblMovement[[#This Row],[Is_Ore]]=1,tblMovement[[#This Row],[Contained_oz]],0)</f>
        <v/>
      </c>
    </row>
    <row r="2403">
      <c r="A2403" s="54" t="n"/>
      <c r="B2403" s="61" t="n"/>
      <c r="C2403" s="61" t="n"/>
      <c r="D2403" s="61" t="n"/>
      <c r="E2403" s="61" t="n"/>
      <c r="F2403" s="55" t="n"/>
      <c r="G2403" s="56" t="n"/>
      <c r="H2403" s="55" t="n"/>
      <c r="I2403" s="62" t="n"/>
      <c r="J2403" s="58" t="n"/>
      <c r="K2403" s="63">
        <f>IF(tblMovement[[#This Row],[Source]]="","",IFERROR(INDEX(tblSources[Type],MATCH(tblMovement[[#This Row],[Source]],tblSources[Source],0)),"?"))</f>
        <v/>
      </c>
      <c r="L2403" s="63">
        <f>IF(tblMovement[[#This Row],[Destination]]="","",IFERROR(INDEX(tblDestinations[Type],MATCH(tblMovement[[#This Row],[Destination]],tblDestinations[Destination],0)),"?"))</f>
        <v/>
      </c>
      <c r="M2403" s="64">
        <f>IF(tblMovement[[#This Row],[Material]]="","",IF(LEFT(tblMovement[[#This Row],[Material]],3)="Ore",1,0))</f>
        <v/>
      </c>
      <c r="N2403" s="59">
        <f>IF(OR(tblMovement[[#This Row],[Tonnes_t]]="",tblMovement[[#This Row],[Grade_gpt]]=""),0,tblMovement[[#This Row],[Tonnes_t]]*tblMovement[[#This Row],[Grade_gpt]]/cfg_TroyOz)</f>
        <v/>
      </c>
      <c r="O2403" s="59">
        <f>IF(tblMovement[[#This Row],[Is_Ore]]=1,tblMovement[[#This Row],[Contained_oz]],0)</f>
        <v/>
      </c>
    </row>
    <row r="2404">
      <c r="A2404" s="54" t="n"/>
      <c r="B2404" s="61" t="n"/>
      <c r="C2404" s="61" t="n"/>
      <c r="D2404" s="61" t="n"/>
      <c r="E2404" s="61" t="n"/>
      <c r="F2404" s="55" t="n"/>
      <c r="G2404" s="56" t="n"/>
      <c r="H2404" s="55" t="n"/>
      <c r="I2404" s="62" t="n"/>
      <c r="J2404" s="58" t="n"/>
      <c r="K2404" s="63">
        <f>IF(tblMovement[[#This Row],[Source]]="","",IFERROR(INDEX(tblSources[Type],MATCH(tblMovement[[#This Row],[Source]],tblSources[Source],0)),"?"))</f>
        <v/>
      </c>
      <c r="L2404" s="63">
        <f>IF(tblMovement[[#This Row],[Destination]]="","",IFERROR(INDEX(tblDestinations[Type],MATCH(tblMovement[[#This Row],[Destination]],tblDestinations[Destination],0)),"?"))</f>
        <v/>
      </c>
      <c r="M2404" s="64">
        <f>IF(tblMovement[[#This Row],[Material]]="","",IF(LEFT(tblMovement[[#This Row],[Material]],3)="Ore",1,0))</f>
        <v/>
      </c>
      <c r="N2404" s="59">
        <f>IF(OR(tblMovement[[#This Row],[Tonnes_t]]="",tblMovement[[#This Row],[Grade_gpt]]=""),0,tblMovement[[#This Row],[Tonnes_t]]*tblMovement[[#This Row],[Grade_gpt]]/cfg_TroyOz)</f>
        <v/>
      </c>
      <c r="O2404" s="59">
        <f>IF(tblMovement[[#This Row],[Is_Ore]]=1,tblMovement[[#This Row],[Contained_oz]],0)</f>
        <v/>
      </c>
    </row>
    <row r="2405">
      <c r="A2405" s="54" t="n"/>
      <c r="B2405" s="61" t="n"/>
      <c r="C2405" s="61" t="n"/>
      <c r="D2405" s="61" t="n"/>
      <c r="E2405" s="61" t="n"/>
      <c r="F2405" s="55" t="n"/>
      <c r="G2405" s="56" t="n"/>
      <c r="H2405" s="55" t="n"/>
      <c r="I2405" s="62" t="n"/>
      <c r="J2405" s="58" t="n"/>
      <c r="K2405" s="63">
        <f>IF(tblMovement[[#This Row],[Source]]="","",IFERROR(INDEX(tblSources[Type],MATCH(tblMovement[[#This Row],[Source]],tblSources[Source],0)),"?"))</f>
        <v/>
      </c>
      <c r="L2405" s="63">
        <f>IF(tblMovement[[#This Row],[Destination]]="","",IFERROR(INDEX(tblDestinations[Type],MATCH(tblMovement[[#This Row],[Destination]],tblDestinations[Destination],0)),"?"))</f>
        <v/>
      </c>
      <c r="M2405" s="64">
        <f>IF(tblMovement[[#This Row],[Material]]="","",IF(LEFT(tblMovement[[#This Row],[Material]],3)="Ore",1,0))</f>
        <v/>
      </c>
      <c r="N2405" s="59">
        <f>IF(OR(tblMovement[[#This Row],[Tonnes_t]]="",tblMovement[[#This Row],[Grade_gpt]]=""),0,tblMovement[[#This Row],[Tonnes_t]]*tblMovement[[#This Row],[Grade_gpt]]/cfg_TroyOz)</f>
        <v/>
      </c>
      <c r="O2405" s="59">
        <f>IF(tblMovement[[#This Row],[Is_Ore]]=1,tblMovement[[#This Row],[Contained_oz]],0)</f>
        <v/>
      </c>
    </row>
    <row r="2406">
      <c r="A2406" s="54" t="n"/>
      <c r="B2406" s="61" t="n"/>
      <c r="C2406" s="61" t="n"/>
      <c r="D2406" s="61" t="n"/>
      <c r="E2406" s="61" t="n"/>
      <c r="F2406" s="55" t="n"/>
      <c r="G2406" s="56" t="n"/>
      <c r="H2406" s="55" t="n"/>
      <c r="I2406" s="62" t="n"/>
      <c r="J2406" s="58" t="n"/>
      <c r="K2406" s="63">
        <f>IF(tblMovement[[#This Row],[Source]]="","",IFERROR(INDEX(tblSources[Type],MATCH(tblMovement[[#This Row],[Source]],tblSources[Source],0)),"?"))</f>
        <v/>
      </c>
      <c r="L2406" s="63">
        <f>IF(tblMovement[[#This Row],[Destination]]="","",IFERROR(INDEX(tblDestinations[Type],MATCH(tblMovement[[#This Row],[Destination]],tblDestinations[Destination],0)),"?"))</f>
        <v/>
      </c>
      <c r="M2406" s="64">
        <f>IF(tblMovement[[#This Row],[Material]]="","",IF(LEFT(tblMovement[[#This Row],[Material]],3)="Ore",1,0))</f>
        <v/>
      </c>
      <c r="N2406" s="59">
        <f>IF(OR(tblMovement[[#This Row],[Tonnes_t]]="",tblMovement[[#This Row],[Grade_gpt]]=""),0,tblMovement[[#This Row],[Tonnes_t]]*tblMovement[[#This Row],[Grade_gpt]]/cfg_TroyOz)</f>
        <v/>
      </c>
      <c r="O2406" s="59">
        <f>IF(tblMovement[[#This Row],[Is_Ore]]=1,tblMovement[[#This Row],[Contained_oz]],0)</f>
        <v/>
      </c>
    </row>
    <row r="2407">
      <c r="A2407" s="54" t="n"/>
      <c r="B2407" s="61" t="n"/>
      <c r="C2407" s="61" t="n"/>
      <c r="D2407" s="61" t="n"/>
      <c r="E2407" s="61" t="n"/>
      <c r="F2407" s="55" t="n"/>
      <c r="G2407" s="56" t="n"/>
      <c r="H2407" s="55" t="n"/>
      <c r="I2407" s="62" t="n"/>
      <c r="J2407" s="58" t="n"/>
      <c r="K2407" s="63">
        <f>IF(tblMovement[[#This Row],[Source]]="","",IFERROR(INDEX(tblSources[Type],MATCH(tblMovement[[#This Row],[Source]],tblSources[Source],0)),"?"))</f>
        <v/>
      </c>
      <c r="L2407" s="63">
        <f>IF(tblMovement[[#This Row],[Destination]]="","",IFERROR(INDEX(tblDestinations[Type],MATCH(tblMovement[[#This Row],[Destination]],tblDestinations[Destination],0)),"?"))</f>
        <v/>
      </c>
      <c r="M2407" s="64">
        <f>IF(tblMovement[[#This Row],[Material]]="","",IF(LEFT(tblMovement[[#This Row],[Material]],3)="Ore",1,0))</f>
        <v/>
      </c>
      <c r="N2407" s="59">
        <f>IF(OR(tblMovement[[#This Row],[Tonnes_t]]="",tblMovement[[#This Row],[Grade_gpt]]=""),0,tblMovement[[#This Row],[Tonnes_t]]*tblMovement[[#This Row],[Grade_gpt]]/cfg_TroyOz)</f>
        <v/>
      </c>
      <c r="O2407" s="59">
        <f>IF(tblMovement[[#This Row],[Is_Ore]]=1,tblMovement[[#This Row],[Contained_oz]],0)</f>
        <v/>
      </c>
    </row>
    <row r="2408">
      <c r="A2408" s="54" t="n"/>
      <c r="B2408" s="61" t="n"/>
      <c r="C2408" s="61" t="n"/>
      <c r="D2408" s="61" t="n"/>
      <c r="E2408" s="61" t="n"/>
      <c r="F2408" s="55" t="n"/>
      <c r="G2408" s="56" t="n"/>
      <c r="H2408" s="55" t="n"/>
      <c r="I2408" s="62" t="n"/>
      <c r="J2408" s="58" t="n"/>
      <c r="K2408" s="63">
        <f>IF(tblMovement[[#This Row],[Source]]="","",IFERROR(INDEX(tblSources[Type],MATCH(tblMovement[[#This Row],[Source]],tblSources[Source],0)),"?"))</f>
        <v/>
      </c>
      <c r="L2408" s="63">
        <f>IF(tblMovement[[#This Row],[Destination]]="","",IFERROR(INDEX(tblDestinations[Type],MATCH(tblMovement[[#This Row],[Destination]],tblDestinations[Destination],0)),"?"))</f>
        <v/>
      </c>
      <c r="M2408" s="64">
        <f>IF(tblMovement[[#This Row],[Material]]="","",IF(LEFT(tblMovement[[#This Row],[Material]],3)="Ore",1,0))</f>
        <v/>
      </c>
      <c r="N2408" s="59">
        <f>IF(OR(tblMovement[[#This Row],[Tonnes_t]]="",tblMovement[[#This Row],[Grade_gpt]]=""),0,tblMovement[[#This Row],[Tonnes_t]]*tblMovement[[#This Row],[Grade_gpt]]/cfg_TroyOz)</f>
        <v/>
      </c>
      <c r="O2408" s="59">
        <f>IF(tblMovement[[#This Row],[Is_Ore]]=1,tblMovement[[#This Row],[Contained_oz]],0)</f>
        <v/>
      </c>
    </row>
    <row r="2409">
      <c r="A2409" s="54" t="n"/>
      <c r="B2409" s="61" t="n"/>
      <c r="C2409" s="61" t="n"/>
      <c r="D2409" s="61" t="n"/>
      <c r="E2409" s="61" t="n"/>
      <c r="F2409" s="55" t="n"/>
      <c r="G2409" s="56" t="n"/>
      <c r="H2409" s="55" t="n"/>
      <c r="I2409" s="62" t="n"/>
      <c r="J2409" s="58" t="n"/>
      <c r="K2409" s="63">
        <f>IF(tblMovement[[#This Row],[Source]]="","",IFERROR(INDEX(tblSources[Type],MATCH(tblMovement[[#This Row],[Source]],tblSources[Source],0)),"?"))</f>
        <v/>
      </c>
      <c r="L2409" s="63">
        <f>IF(tblMovement[[#This Row],[Destination]]="","",IFERROR(INDEX(tblDestinations[Type],MATCH(tblMovement[[#This Row],[Destination]],tblDestinations[Destination],0)),"?"))</f>
        <v/>
      </c>
      <c r="M2409" s="64">
        <f>IF(tblMovement[[#This Row],[Material]]="","",IF(LEFT(tblMovement[[#This Row],[Material]],3)="Ore",1,0))</f>
        <v/>
      </c>
      <c r="N2409" s="59">
        <f>IF(OR(tblMovement[[#This Row],[Tonnes_t]]="",tblMovement[[#This Row],[Grade_gpt]]=""),0,tblMovement[[#This Row],[Tonnes_t]]*tblMovement[[#This Row],[Grade_gpt]]/cfg_TroyOz)</f>
        <v/>
      </c>
      <c r="O2409" s="59">
        <f>IF(tblMovement[[#This Row],[Is_Ore]]=1,tblMovement[[#This Row],[Contained_oz]],0)</f>
        <v/>
      </c>
    </row>
    <row r="2410">
      <c r="A2410" s="54" t="n"/>
      <c r="B2410" s="61" t="n"/>
      <c r="C2410" s="61" t="n"/>
      <c r="D2410" s="61" t="n"/>
      <c r="E2410" s="61" t="n"/>
      <c r="F2410" s="55" t="n"/>
      <c r="G2410" s="56" t="n"/>
      <c r="H2410" s="55" t="n"/>
      <c r="I2410" s="62" t="n"/>
      <c r="J2410" s="58" t="n"/>
      <c r="K2410" s="63">
        <f>IF(tblMovement[[#This Row],[Source]]="","",IFERROR(INDEX(tblSources[Type],MATCH(tblMovement[[#This Row],[Source]],tblSources[Source],0)),"?"))</f>
        <v/>
      </c>
      <c r="L2410" s="63">
        <f>IF(tblMovement[[#This Row],[Destination]]="","",IFERROR(INDEX(tblDestinations[Type],MATCH(tblMovement[[#This Row],[Destination]],tblDestinations[Destination],0)),"?"))</f>
        <v/>
      </c>
      <c r="M2410" s="64">
        <f>IF(tblMovement[[#This Row],[Material]]="","",IF(LEFT(tblMovement[[#This Row],[Material]],3)="Ore",1,0))</f>
        <v/>
      </c>
      <c r="N2410" s="59">
        <f>IF(OR(tblMovement[[#This Row],[Tonnes_t]]="",tblMovement[[#This Row],[Grade_gpt]]=""),0,tblMovement[[#This Row],[Tonnes_t]]*tblMovement[[#This Row],[Grade_gpt]]/cfg_TroyOz)</f>
        <v/>
      </c>
      <c r="O2410" s="59">
        <f>IF(tblMovement[[#This Row],[Is_Ore]]=1,tblMovement[[#This Row],[Contained_oz]],0)</f>
        <v/>
      </c>
    </row>
    <row r="2411">
      <c r="A2411" s="54" t="n"/>
      <c r="B2411" s="61" t="n"/>
      <c r="C2411" s="61" t="n"/>
      <c r="D2411" s="61" t="n"/>
      <c r="E2411" s="61" t="n"/>
      <c r="F2411" s="55" t="n"/>
      <c r="G2411" s="56" t="n"/>
      <c r="H2411" s="55" t="n"/>
      <c r="I2411" s="62" t="n"/>
      <c r="J2411" s="58" t="n"/>
      <c r="K2411" s="63">
        <f>IF(tblMovement[[#This Row],[Source]]="","",IFERROR(INDEX(tblSources[Type],MATCH(tblMovement[[#This Row],[Source]],tblSources[Source],0)),"?"))</f>
        <v/>
      </c>
      <c r="L2411" s="63">
        <f>IF(tblMovement[[#This Row],[Destination]]="","",IFERROR(INDEX(tblDestinations[Type],MATCH(tblMovement[[#This Row],[Destination]],tblDestinations[Destination],0)),"?"))</f>
        <v/>
      </c>
      <c r="M2411" s="64">
        <f>IF(tblMovement[[#This Row],[Material]]="","",IF(LEFT(tblMovement[[#This Row],[Material]],3)="Ore",1,0))</f>
        <v/>
      </c>
      <c r="N2411" s="59">
        <f>IF(OR(tblMovement[[#This Row],[Tonnes_t]]="",tblMovement[[#This Row],[Grade_gpt]]=""),0,tblMovement[[#This Row],[Tonnes_t]]*tblMovement[[#This Row],[Grade_gpt]]/cfg_TroyOz)</f>
        <v/>
      </c>
      <c r="O2411" s="59">
        <f>IF(tblMovement[[#This Row],[Is_Ore]]=1,tblMovement[[#This Row],[Contained_oz]],0)</f>
        <v/>
      </c>
    </row>
    <row r="2412">
      <c r="A2412" s="54" t="n"/>
      <c r="B2412" s="61" t="n"/>
      <c r="C2412" s="61" t="n"/>
      <c r="D2412" s="61" t="n"/>
      <c r="E2412" s="61" t="n"/>
      <c r="F2412" s="55" t="n"/>
      <c r="G2412" s="56" t="n"/>
      <c r="H2412" s="55" t="n"/>
      <c r="I2412" s="62" t="n"/>
      <c r="J2412" s="58" t="n"/>
      <c r="K2412" s="63">
        <f>IF(tblMovement[[#This Row],[Source]]="","",IFERROR(INDEX(tblSources[Type],MATCH(tblMovement[[#This Row],[Source]],tblSources[Source],0)),"?"))</f>
        <v/>
      </c>
      <c r="L2412" s="63">
        <f>IF(tblMovement[[#This Row],[Destination]]="","",IFERROR(INDEX(tblDestinations[Type],MATCH(tblMovement[[#This Row],[Destination]],tblDestinations[Destination],0)),"?"))</f>
        <v/>
      </c>
      <c r="M2412" s="64">
        <f>IF(tblMovement[[#This Row],[Material]]="","",IF(LEFT(tblMovement[[#This Row],[Material]],3)="Ore",1,0))</f>
        <v/>
      </c>
      <c r="N2412" s="59">
        <f>IF(OR(tblMovement[[#This Row],[Tonnes_t]]="",tblMovement[[#This Row],[Grade_gpt]]=""),0,tblMovement[[#This Row],[Tonnes_t]]*tblMovement[[#This Row],[Grade_gpt]]/cfg_TroyOz)</f>
        <v/>
      </c>
      <c r="O2412" s="59">
        <f>IF(tblMovement[[#This Row],[Is_Ore]]=1,tblMovement[[#This Row],[Contained_oz]],0)</f>
        <v/>
      </c>
    </row>
    <row r="2413">
      <c r="A2413" s="54" t="n"/>
      <c r="B2413" s="61" t="n"/>
      <c r="C2413" s="61" t="n"/>
      <c r="D2413" s="61" t="n"/>
      <c r="E2413" s="61" t="n"/>
      <c r="F2413" s="55" t="n"/>
      <c r="G2413" s="56" t="n"/>
      <c r="H2413" s="55" t="n"/>
      <c r="I2413" s="62" t="n"/>
      <c r="J2413" s="58" t="n"/>
      <c r="K2413" s="63">
        <f>IF(tblMovement[[#This Row],[Source]]="","",IFERROR(INDEX(tblSources[Type],MATCH(tblMovement[[#This Row],[Source]],tblSources[Source],0)),"?"))</f>
        <v/>
      </c>
      <c r="L2413" s="63">
        <f>IF(tblMovement[[#This Row],[Destination]]="","",IFERROR(INDEX(tblDestinations[Type],MATCH(tblMovement[[#This Row],[Destination]],tblDestinations[Destination],0)),"?"))</f>
        <v/>
      </c>
      <c r="M2413" s="64">
        <f>IF(tblMovement[[#This Row],[Material]]="","",IF(LEFT(tblMovement[[#This Row],[Material]],3)="Ore",1,0))</f>
        <v/>
      </c>
      <c r="N2413" s="59">
        <f>IF(OR(tblMovement[[#This Row],[Tonnes_t]]="",tblMovement[[#This Row],[Grade_gpt]]=""),0,tblMovement[[#This Row],[Tonnes_t]]*tblMovement[[#This Row],[Grade_gpt]]/cfg_TroyOz)</f>
        <v/>
      </c>
      <c r="O2413" s="59">
        <f>IF(tblMovement[[#This Row],[Is_Ore]]=1,tblMovement[[#This Row],[Contained_oz]],0)</f>
        <v/>
      </c>
    </row>
    <row r="2414">
      <c r="A2414" s="54" t="n"/>
      <c r="B2414" s="61" t="n"/>
      <c r="C2414" s="61" t="n"/>
      <c r="D2414" s="61" t="n"/>
      <c r="E2414" s="61" t="n"/>
      <c r="F2414" s="55" t="n"/>
      <c r="G2414" s="56" t="n"/>
      <c r="H2414" s="55" t="n"/>
      <c r="I2414" s="62" t="n"/>
      <c r="J2414" s="58" t="n"/>
      <c r="K2414" s="63">
        <f>IF(tblMovement[[#This Row],[Source]]="","",IFERROR(INDEX(tblSources[Type],MATCH(tblMovement[[#This Row],[Source]],tblSources[Source],0)),"?"))</f>
        <v/>
      </c>
      <c r="L2414" s="63">
        <f>IF(tblMovement[[#This Row],[Destination]]="","",IFERROR(INDEX(tblDestinations[Type],MATCH(tblMovement[[#This Row],[Destination]],tblDestinations[Destination],0)),"?"))</f>
        <v/>
      </c>
      <c r="M2414" s="64">
        <f>IF(tblMovement[[#This Row],[Material]]="","",IF(LEFT(tblMovement[[#This Row],[Material]],3)="Ore",1,0))</f>
        <v/>
      </c>
      <c r="N2414" s="59">
        <f>IF(OR(tblMovement[[#This Row],[Tonnes_t]]="",tblMovement[[#This Row],[Grade_gpt]]=""),0,tblMovement[[#This Row],[Tonnes_t]]*tblMovement[[#This Row],[Grade_gpt]]/cfg_TroyOz)</f>
        <v/>
      </c>
      <c r="O2414" s="59">
        <f>IF(tblMovement[[#This Row],[Is_Ore]]=1,tblMovement[[#This Row],[Contained_oz]],0)</f>
        <v/>
      </c>
    </row>
    <row r="2415">
      <c r="A2415" s="54" t="n"/>
      <c r="B2415" s="61" t="n"/>
      <c r="C2415" s="61" t="n"/>
      <c r="D2415" s="61" t="n"/>
      <c r="E2415" s="61" t="n"/>
      <c r="F2415" s="55" t="n"/>
      <c r="G2415" s="56" t="n"/>
      <c r="H2415" s="55" t="n"/>
      <c r="I2415" s="62" t="n"/>
      <c r="J2415" s="58" t="n"/>
      <c r="K2415" s="63">
        <f>IF(tblMovement[[#This Row],[Source]]="","",IFERROR(INDEX(tblSources[Type],MATCH(tblMovement[[#This Row],[Source]],tblSources[Source],0)),"?"))</f>
        <v/>
      </c>
      <c r="L2415" s="63">
        <f>IF(tblMovement[[#This Row],[Destination]]="","",IFERROR(INDEX(tblDestinations[Type],MATCH(tblMovement[[#This Row],[Destination]],tblDestinations[Destination],0)),"?"))</f>
        <v/>
      </c>
      <c r="M2415" s="64">
        <f>IF(tblMovement[[#This Row],[Material]]="","",IF(LEFT(tblMovement[[#This Row],[Material]],3)="Ore",1,0))</f>
        <v/>
      </c>
      <c r="N2415" s="59">
        <f>IF(OR(tblMovement[[#This Row],[Tonnes_t]]="",tblMovement[[#This Row],[Grade_gpt]]=""),0,tblMovement[[#This Row],[Tonnes_t]]*tblMovement[[#This Row],[Grade_gpt]]/cfg_TroyOz)</f>
        <v/>
      </c>
      <c r="O2415" s="59">
        <f>IF(tblMovement[[#This Row],[Is_Ore]]=1,tblMovement[[#This Row],[Contained_oz]],0)</f>
        <v/>
      </c>
    </row>
    <row r="2416">
      <c r="A2416" s="54" t="n"/>
      <c r="B2416" s="61" t="n"/>
      <c r="C2416" s="61" t="n"/>
      <c r="D2416" s="61" t="n"/>
      <c r="E2416" s="61" t="n"/>
      <c r="F2416" s="55" t="n"/>
      <c r="G2416" s="56" t="n"/>
      <c r="H2416" s="55" t="n"/>
      <c r="I2416" s="62" t="n"/>
      <c r="J2416" s="58" t="n"/>
      <c r="K2416" s="63">
        <f>IF(tblMovement[[#This Row],[Source]]="","",IFERROR(INDEX(tblSources[Type],MATCH(tblMovement[[#This Row],[Source]],tblSources[Source],0)),"?"))</f>
        <v/>
      </c>
      <c r="L2416" s="63">
        <f>IF(tblMovement[[#This Row],[Destination]]="","",IFERROR(INDEX(tblDestinations[Type],MATCH(tblMovement[[#This Row],[Destination]],tblDestinations[Destination],0)),"?"))</f>
        <v/>
      </c>
      <c r="M2416" s="64">
        <f>IF(tblMovement[[#This Row],[Material]]="","",IF(LEFT(tblMovement[[#This Row],[Material]],3)="Ore",1,0))</f>
        <v/>
      </c>
      <c r="N2416" s="59">
        <f>IF(OR(tblMovement[[#This Row],[Tonnes_t]]="",tblMovement[[#This Row],[Grade_gpt]]=""),0,tblMovement[[#This Row],[Tonnes_t]]*tblMovement[[#This Row],[Grade_gpt]]/cfg_TroyOz)</f>
        <v/>
      </c>
      <c r="O2416" s="59">
        <f>IF(tblMovement[[#This Row],[Is_Ore]]=1,tblMovement[[#This Row],[Contained_oz]],0)</f>
        <v/>
      </c>
    </row>
    <row r="2417">
      <c r="A2417" s="54" t="n"/>
      <c r="B2417" s="61" t="n"/>
      <c r="C2417" s="61" t="n"/>
      <c r="D2417" s="61" t="n"/>
      <c r="E2417" s="61" t="n"/>
      <c r="F2417" s="55" t="n"/>
      <c r="G2417" s="56" t="n"/>
      <c r="H2417" s="55" t="n"/>
      <c r="I2417" s="62" t="n"/>
      <c r="J2417" s="58" t="n"/>
      <c r="K2417" s="63">
        <f>IF(tblMovement[[#This Row],[Source]]="","",IFERROR(INDEX(tblSources[Type],MATCH(tblMovement[[#This Row],[Source]],tblSources[Source],0)),"?"))</f>
        <v/>
      </c>
      <c r="L2417" s="63">
        <f>IF(tblMovement[[#This Row],[Destination]]="","",IFERROR(INDEX(tblDestinations[Type],MATCH(tblMovement[[#This Row],[Destination]],tblDestinations[Destination],0)),"?"))</f>
        <v/>
      </c>
      <c r="M2417" s="64">
        <f>IF(tblMovement[[#This Row],[Material]]="","",IF(LEFT(tblMovement[[#This Row],[Material]],3)="Ore",1,0))</f>
        <v/>
      </c>
      <c r="N2417" s="59">
        <f>IF(OR(tblMovement[[#This Row],[Tonnes_t]]="",tblMovement[[#This Row],[Grade_gpt]]=""),0,tblMovement[[#This Row],[Tonnes_t]]*tblMovement[[#This Row],[Grade_gpt]]/cfg_TroyOz)</f>
        <v/>
      </c>
      <c r="O2417" s="59">
        <f>IF(tblMovement[[#This Row],[Is_Ore]]=1,tblMovement[[#This Row],[Contained_oz]],0)</f>
        <v/>
      </c>
    </row>
    <row r="2418">
      <c r="A2418" s="54" t="n"/>
      <c r="B2418" s="61" t="n"/>
      <c r="C2418" s="61" t="n"/>
      <c r="D2418" s="61" t="n"/>
      <c r="E2418" s="61" t="n"/>
      <c r="F2418" s="55" t="n"/>
      <c r="G2418" s="56" t="n"/>
      <c r="H2418" s="55" t="n"/>
      <c r="I2418" s="62" t="n"/>
      <c r="J2418" s="58" t="n"/>
      <c r="K2418" s="63">
        <f>IF(tblMovement[[#This Row],[Source]]="","",IFERROR(INDEX(tblSources[Type],MATCH(tblMovement[[#This Row],[Source]],tblSources[Source],0)),"?"))</f>
        <v/>
      </c>
      <c r="L2418" s="63">
        <f>IF(tblMovement[[#This Row],[Destination]]="","",IFERROR(INDEX(tblDestinations[Type],MATCH(tblMovement[[#This Row],[Destination]],tblDestinations[Destination],0)),"?"))</f>
        <v/>
      </c>
      <c r="M2418" s="64">
        <f>IF(tblMovement[[#This Row],[Material]]="","",IF(LEFT(tblMovement[[#This Row],[Material]],3)="Ore",1,0))</f>
        <v/>
      </c>
      <c r="N2418" s="59">
        <f>IF(OR(tblMovement[[#This Row],[Tonnes_t]]="",tblMovement[[#This Row],[Grade_gpt]]=""),0,tblMovement[[#This Row],[Tonnes_t]]*tblMovement[[#This Row],[Grade_gpt]]/cfg_TroyOz)</f>
        <v/>
      </c>
      <c r="O2418" s="59">
        <f>IF(tblMovement[[#This Row],[Is_Ore]]=1,tblMovement[[#This Row],[Contained_oz]],0)</f>
        <v/>
      </c>
    </row>
    <row r="2419">
      <c r="A2419" s="54" t="n"/>
      <c r="B2419" s="61" t="n"/>
      <c r="C2419" s="61" t="n"/>
      <c r="D2419" s="61" t="n"/>
      <c r="E2419" s="61" t="n"/>
      <c r="F2419" s="55" t="n"/>
      <c r="G2419" s="56" t="n"/>
      <c r="H2419" s="55" t="n"/>
      <c r="I2419" s="62" t="n"/>
      <c r="J2419" s="58" t="n"/>
      <c r="K2419" s="63">
        <f>IF(tblMovement[[#This Row],[Source]]="","",IFERROR(INDEX(tblSources[Type],MATCH(tblMovement[[#This Row],[Source]],tblSources[Source],0)),"?"))</f>
        <v/>
      </c>
      <c r="L2419" s="63">
        <f>IF(tblMovement[[#This Row],[Destination]]="","",IFERROR(INDEX(tblDestinations[Type],MATCH(tblMovement[[#This Row],[Destination]],tblDestinations[Destination],0)),"?"))</f>
        <v/>
      </c>
      <c r="M2419" s="64">
        <f>IF(tblMovement[[#This Row],[Material]]="","",IF(LEFT(tblMovement[[#This Row],[Material]],3)="Ore",1,0))</f>
        <v/>
      </c>
      <c r="N2419" s="59">
        <f>IF(OR(tblMovement[[#This Row],[Tonnes_t]]="",tblMovement[[#This Row],[Grade_gpt]]=""),0,tblMovement[[#This Row],[Tonnes_t]]*tblMovement[[#This Row],[Grade_gpt]]/cfg_TroyOz)</f>
        <v/>
      </c>
      <c r="O2419" s="59">
        <f>IF(tblMovement[[#This Row],[Is_Ore]]=1,tblMovement[[#This Row],[Contained_oz]],0)</f>
        <v/>
      </c>
    </row>
    <row r="2420">
      <c r="A2420" s="54" t="n"/>
      <c r="B2420" s="61" t="n"/>
      <c r="C2420" s="61" t="n"/>
      <c r="D2420" s="61" t="n"/>
      <c r="E2420" s="61" t="n"/>
      <c r="F2420" s="55" t="n"/>
      <c r="G2420" s="56" t="n"/>
      <c r="H2420" s="55" t="n"/>
      <c r="I2420" s="62" t="n"/>
      <c r="J2420" s="58" t="n"/>
      <c r="K2420" s="63">
        <f>IF(tblMovement[[#This Row],[Source]]="","",IFERROR(INDEX(tblSources[Type],MATCH(tblMovement[[#This Row],[Source]],tblSources[Source],0)),"?"))</f>
        <v/>
      </c>
      <c r="L2420" s="63">
        <f>IF(tblMovement[[#This Row],[Destination]]="","",IFERROR(INDEX(tblDestinations[Type],MATCH(tblMovement[[#This Row],[Destination]],tblDestinations[Destination],0)),"?"))</f>
        <v/>
      </c>
      <c r="M2420" s="64">
        <f>IF(tblMovement[[#This Row],[Material]]="","",IF(LEFT(tblMovement[[#This Row],[Material]],3)="Ore",1,0))</f>
        <v/>
      </c>
      <c r="N2420" s="59">
        <f>IF(OR(tblMovement[[#This Row],[Tonnes_t]]="",tblMovement[[#This Row],[Grade_gpt]]=""),0,tblMovement[[#This Row],[Tonnes_t]]*tblMovement[[#This Row],[Grade_gpt]]/cfg_TroyOz)</f>
        <v/>
      </c>
      <c r="O2420" s="59">
        <f>IF(tblMovement[[#This Row],[Is_Ore]]=1,tblMovement[[#This Row],[Contained_oz]],0)</f>
        <v/>
      </c>
    </row>
    <row r="2421">
      <c r="A2421" s="54" t="n"/>
      <c r="B2421" s="61" t="n"/>
      <c r="C2421" s="61" t="n"/>
      <c r="D2421" s="61" t="n"/>
      <c r="E2421" s="61" t="n"/>
      <c r="F2421" s="55" t="n"/>
      <c r="G2421" s="56" t="n"/>
      <c r="H2421" s="55" t="n"/>
      <c r="I2421" s="62" t="n"/>
      <c r="J2421" s="58" t="n"/>
      <c r="K2421" s="63">
        <f>IF(tblMovement[[#This Row],[Source]]="","",IFERROR(INDEX(tblSources[Type],MATCH(tblMovement[[#This Row],[Source]],tblSources[Source],0)),"?"))</f>
        <v/>
      </c>
      <c r="L2421" s="63">
        <f>IF(tblMovement[[#This Row],[Destination]]="","",IFERROR(INDEX(tblDestinations[Type],MATCH(tblMovement[[#This Row],[Destination]],tblDestinations[Destination],0)),"?"))</f>
        <v/>
      </c>
      <c r="M2421" s="64">
        <f>IF(tblMovement[[#This Row],[Material]]="","",IF(LEFT(tblMovement[[#This Row],[Material]],3)="Ore",1,0))</f>
        <v/>
      </c>
      <c r="N2421" s="59">
        <f>IF(OR(tblMovement[[#This Row],[Tonnes_t]]="",tblMovement[[#This Row],[Grade_gpt]]=""),0,tblMovement[[#This Row],[Tonnes_t]]*tblMovement[[#This Row],[Grade_gpt]]/cfg_TroyOz)</f>
        <v/>
      </c>
      <c r="O2421" s="59">
        <f>IF(tblMovement[[#This Row],[Is_Ore]]=1,tblMovement[[#This Row],[Contained_oz]],0)</f>
        <v/>
      </c>
    </row>
    <row r="2422">
      <c r="A2422" s="54" t="n"/>
      <c r="B2422" s="61" t="n"/>
      <c r="C2422" s="61" t="n"/>
      <c r="D2422" s="61" t="n"/>
      <c r="E2422" s="61" t="n"/>
      <c r="F2422" s="55" t="n"/>
      <c r="G2422" s="56" t="n"/>
      <c r="H2422" s="55" t="n"/>
      <c r="I2422" s="62" t="n"/>
      <c r="J2422" s="58" t="n"/>
      <c r="K2422" s="63">
        <f>IF(tblMovement[[#This Row],[Source]]="","",IFERROR(INDEX(tblSources[Type],MATCH(tblMovement[[#This Row],[Source]],tblSources[Source],0)),"?"))</f>
        <v/>
      </c>
      <c r="L2422" s="63">
        <f>IF(tblMovement[[#This Row],[Destination]]="","",IFERROR(INDEX(tblDestinations[Type],MATCH(tblMovement[[#This Row],[Destination]],tblDestinations[Destination],0)),"?"))</f>
        <v/>
      </c>
      <c r="M2422" s="64">
        <f>IF(tblMovement[[#This Row],[Material]]="","",IF(LEFT(tblMovement[[#This Row],[Material]],3)="Ore",1,0))</f>
        <v/>
      </c>
      <c r="N2422" s="59">
        <f>IF(OR(tblMovement[[#This Row],[Tonnes_t]]="",tblMovement[[#This Row],[Grade_gpt]]=""),0,tblMovement[[#This Row],[Tonnes_t]]*tblMovement[[#This Row],[Grade_gpt]]/cfg_TroyOz)</f>
        <v/>
      </c>
      <c r="O2422" s="59">
        <f>IF(tblMovement[[#This Row],[Is_Ore]]=1,tblMovement[[#This Row],[Contained_oz]],0)</f>
        <v/>
      </c>
    </row>
    <row r="2423">
      <c r="A2423" s="54" t="n"/>
      <c r="B2423" s="61" t="n"/>
      <c r="C2423" s="61" t="n"/>
      <c r="D2423" s="61" t="n"/>
      <c r="E2423" s="61" t="n"/>
      <c r="F2423" s="55" t="n"/>
      <c r="G2423" s="56" t="n"/>
      <c r="H2423" s="55" t="n"/>
      <c r="I2423" s="62" t="n"/>
      <c r="J2423" s="58" t="n"/>
      <c r="K2423" s="63">
        <f>IF(tblMovement[[#This Row],[Source]]="","",IFERROR(INDEX(tblSources[Type],MATCH(tblMovement[[#This Row],[Source]],tblSources[Source],0)),"?"))</f>
        <v/>
      </c>
      <c r="L2423" s="63">
        <f>IF(tblMovement[[#This Row],[Destination]]="","",IFERROR(INDEX(tblDestinations[Type],MATCH(tblMovement[[#This Row],[Destination]],tblDestinations[Destination],0)),"?"))</f>
        <v/>
      </c>
      <c r="M2423" s="64">
        <f>IF(tblMovement[[#This Row],[Material]]="","",IF(LEFT(tblMovement[[#This Row],[Material]],3)="Ore",1,0))</f>
        <v/>
      </c>
      <c r="N2423" s="59">
        <f>IF(OR(tblMovement[[#This Row],[Tonnes_t]]="",tblMovement[[#This Row],[Grade_gpt]]=""),0,tblMovement[[#This Row],[Tonnes_t]]*tblMovement[[#This Row],[Grade_gpt]]/cfg_TroyOz)</f>
        <v/>
      </c>
      <c r="O2423" s="59">
        <f>IF(tblMovement[[#This Row],[Is_Ore]]=1,tblMovement[[#This Row],[Contained_oz]],0)</f>
        <v/>
      </c>
    </row>
    <row r="2424">
      <c r="A2424" s="54" t="n"/>
      <c r="B2424" s="61" t="n"/>
      <c r="C2424" s="61" t="n"/>
      <c r="D2424" s="61" t="n"/>
      <c r="E2424" s="61" t="n"/>
      <c r="F2424" s="55" t="n"/>
      <c r="G2424" s="56" t="n"/>
      <c r="H2424" s="55" t="n"/>
      <c r="I2424" s="62" t="n"/>
      <c r="J2424" s="58" t="n"/>
      <c r="K2424" s="63">
        <f>IF(tblMovement[[#This Row],[Source]]="","",IFERROR(INDEX(tblSources[Type],MATCH(tblMovement[[#This Row],[Source]],tblSources[Source],0)),"?"))</f>
        <v/>
      </c>
      <c r="L2424" s="63">
        <f>IF(tblMovement[[#This Row],[Destination]]="","",IFERROR(INDEX(tblDestinations[Type],MATCH(tblMovement[[#This Row],[Destination]],tblDestinations[Destination],0)),"?"))</f>
        <v/>
      </c>
      <c r="M2424" s="64">
        <f>IF(tblMovement[[#This Row],[Material]]="","",IF(LEFT(tblMovement[[#This Row],[Material]],3)="Ore",1,0))</f>
        <v/>
      </c>
      <c r="N2424" s="59">
        <f>IF(OR(tblMovement[[#This Row],[Tonnes_t]]="",tblMovement[[#This Row],[Grade_gpt]]=""),0,tblMovement[[#This Row],[Tonnes_t]]*tblMovement[[#This Row],[Grade_gpt]]/cfg_TroyOz)</f>
        <v/>
      </c>
      <c r="O2424" s="59">
        <f>IF(tblMovement[[#This Row],[Is_Ore]]=1,tblMovement[[#This Row],[Contained_oz]],0)</f>
        <v/>
      </c>
    </row>
    <row r="2425">
      <c r="A2425" s="54" t="n"/>
      <c r="B2425" s="61" t="n"/>
      <c r="C2425" s="61" t="n"/>
      <c r="D2425" s="61" t="n"/>
      <c r="E2425" s="61" t="n"/>
      <c r="F2425" s="55" t="n"/>
      <c r="G2425" s="56" t="n"/>
      <c r="H2425" s="55" t="n"/>
      <c r="I2425" s="62" t="n"/>
      <c r="J2425" s="58" t="n"/>
      <c r="K2425" s="63">
        <f>IF(tblMovement[[#This Row],[Source]]="","",IFERROR(INDEX(tblSources[Type],MATCH(tblMovement[[#This Row],[Source]],tblSources[Source],0)),"?"))</f>
        <v/>
      </c>
      <c r="L2425" s="63">
        <f>IF(tblMovement[[#This Row],[Destination]]="","",IFERROR(INDEX(tblDestinations[Type],MATCH(tblMovement[[#This Row],[Destination]],tblDestinations[Destination],0)),"?"))</f>
        <v/>
      </c>
      <c r="M2425" s="64">
        <f>IF(tblMovement[[#This Row],[Material]]="","",IF(LEFT(tblMovement[[#This Row],[Material]],3)="Ore",1,0))</f>
        <v/>
      </c>
      <c r="N2425" s="59">
        <f>IF(OR(tblMovement[[#This Row],[Tonnes_t]]="",tblMovement[[#This Row],[Grade_gpt]]=""),0,tblMovement[[#This Row],[Tonnes_t]]*tblMovement[[#This Row],[Grade_gpt]]/cfg_TroyOz)</f>
        <v/>
      </c>
      <c r="O2425" s="59">
        <f>IF(tblMovement[[#This Row],[Is_Ore]]=1,tblMovement[[#This Row],[Contained_oz]],0)</f>
        <v/>
      </c>
    </row>
    <row r="2426">
      <c r="A2426" s="54" t="n"/>
      <c r="B2426" s="61" t="n"/>
      <c r="C2426" s="61" t="n"/>
      <c r="D2426" s="61" t="n"/>
      <c r="E2426" s="61" t="n"/>
      <c r="F2426" s="55" t="n"/>
      <c r="G2426" s="56" t="n"/>
      <c r="H2426" s="55" t="n"/>
      <c r="I2426" s="62" t="n"/>
      <c r="J2426" s="58" t="n"/>
      <c r="K2426" s="63">
        <f>IF(tblMovement[[#This Row],[Source]]="","",IFERROR(INDEX(tblSources[Type],MATCH(tblMovement[[#This Row],[Source]],tblSources[Source],0)),"?"))</f>
        <v/>
      </c>
      <c r="L2426" s="63">
        <f>IF(tblMovement[[#This Row],[Destination]]="","",IFERROR(INDEX(tblDestinations[Type],MATCH(tblMovement[[#This Row],[Destination]],tblDestinations[Destination],0)),"?"))</f>
        <v/>
      </c>
      <c r="M2426" s="64">
        <f>IF(tblMovement[[#This Row],[Material]]="","",IF(LEFT(tblMovement[[#This Row],[Material]],3)="Ore",1,0))</f>
        <v/>
      </c>
      <c r="N2426" s="59">
        <f>IF(OR(tblMovement[[#This Row],[Tonnes_t]]="",tblMovement[[#This Row],[Grade_gpt]]=""),0,tblMovement[[#This Row],[Tonnes_t]]*tblMovement[[#This Row],[Grade_gpt]]/cfg_TroyOz)</f>
        <v/>
      </c>
      <c r="O2426" s="59">
        <f>IF(tblMovement[[#This Row],[Is_Ore]]=1,tblMovement[[#This Row],[Contained_oz]],0)</f>
        <v/>
      </c>
    </row>
    <row r="2427">
      <c r="A2427" s="54" t="n"/>
      <c r="B2427" s="61" t="n"/>
      <c r="C2427" s="61" t="n"/>
      <c r="D2427" s="61" t="n"/>
      <c r="E2427" s="61" t="n"/>
      <c r="F2427" s="55" t="n"/>
      <c r="G2427" s="56" t="n"/>
      <c r="H2427" s="55" t="n"/>
      <c r="I2427" s="62" t="n"/>
      <c r="J2427" s="58" t="n"/>
      <c r="K2427" s="63">
        <f>IF(tblMovement[[#This Row],[Source]]="","",IFERROR(INDEX(tblSources[Type],MATCH(tblMovement[[#This Row],[Source]],tblSources[Source],0)),"?"))</f>
        <v/>
      </c>
      <c r="L2427" s="63">
        <f>IF(tblMovement[[#This Row],[Destination]]="","",IFERROR(INDEX(tblDestinations[Type],MATCH(tblMovement[[#This Row],[Destination]],tblDestinations[Destination],0)),"?"))</f>
        <v/>
      </c>
      <c r="M2427" s="64">
        <f>IF(tblMovement[[#This Row],[Material]]="","",IF(LEFT(tblMovement[[#This Row],[Material]],3)="Ore",1,0))</f>
        <v/>
      </c>
      <c r="N2427" s="59">
        <f>IF(OR(tblMovement[[#This Row],[Tonnes_t]]="",tblMovement[[#This Row],[Grade_gpt]]=""),0,tblMovement[[#This Row],[Tonnes_t]]*tblMovement[[#This Row],[Grade_gpt]]/cfg_TroyOz)</f>
        <v/>
      </c>
      <c r="O2427" s="59">
        <f>IF(tblMovement[[#This Row],[Is_Ore]]=1,tblMovement[[#This Row],[Contained_oz]],0)</f>
        <v/>
      </c>
    </row>
    <row r="2428">
      <c r="A2428" s="54" t="n"/>
      <c r="B2428" s="61" t="n"/>
      <c r="C2428" s="61" t="n"/>
      <c r="D2428" s="61" t="n"/>
      <c r="E2428" s="61" t="n"/>
      <c r="F2428" s="55" t="n"/>
      <c r="G2428" s="56" t="n"/>
      <c r="H2428" s="55" t="n"/>
      <c r="I2428" s="62" t="n"/>
      <c r="J2428" s="58" t="n"/>
      <c r="K2428" s="63">
        <f>IF(tblMovement[[#This Row],[Source]]="","",IFERROR(INDEX(tblSources[Type],MATCH(tblMovement[[#This Row],[Source]],tblSources[Source],0)),"?"))</f>
        <v/>
      </c>
      <c r="L2428" s="63">
        <f>IF(tblMovement[[#This Row],[Destination]]="","",IFERROR(INDEX(tblDestinations[Type],MATCH(tblMovement[[#This Row],[Destination]],tblDestinations[Destination],0)),"?"))</f>
        <v/>
      </c>
      <c r="M2428" s="64">
        <f>IF(tblMovement[[#This Row],[Material]]="","",IF(LEFT(tblMovement[[#This Row],[Material]],3)="Ore",1,0))</f>
        <v/>
      </c>
      <c r="N2428" s="59">
        <f>IF(OR(tblMovement[[#This Row],[Tonnes_t]]="",tblMovement[[#This Row],[Grade_gpt]]=""),0,tblMovement[[#This Row],[Tonnes_t]]*tblMovement[[#This Row],[Grade_gpt]]/cfg_TroyOz)</f>
        <v/>
      </c>
      <c r="O2428" s="59">
        <f>IF(tblMovement[[#This Row],[Is_Ore]]=1,tblMovement[[#This Row],[Contained_oz]],0)</f>
        <v/>
      </c>
    </row>
    <row r="2429">
      <c r="A2429" s="54" t="n"/>
      <c r="B2429" s="61" t="n"/>
      <c r="C2429" s="61" t="n"/>
      <c r="D2429" s="61" t="n"/>
      <c r="E2429" s="61" t="n"/>
      <c r="F2429" s="55" t="n"/>
      <c r="G2429" s="56" t="n"/>
      <c r="H2429" s="55" t="n"/>
      <c r="I2429" s="62" t="n"/>
      <c r="J2429" s="58" t="n"/>
      <c r="K2429" s="63">
        <f>IF(tblMovement[[#This Row],[Source]]="","",IFERROR(INDEX(tblSources[Type],MATCH(tblMovement[[#This Row],[Source]],tblSources[Source],0)),"?"))</f>
        <v/>
      </c>
      <c r="L2429" s="63">
        <f>IF(tblMovement[[#This Row],[Destination]]="","",IFERROR(INDEX(tblDestinations[Type],MATCH(tblMovement[[#This Row],[Destination]],tblDestinations[Destination],0)),"?"))</f>
        <v/>
      </c>
      <c r="M2429" s="64">
        <f>IF(tblMovement[[#This Row],[Material]]="","",IF(LEFT(tblMovement[[#This Row],[Material]],3)="Ore",1,0))</f>
        <v/>
      </c>
      <c r="N2429" s="59">
        <f>IF(OR(tblMovement[[#This Row],[Tonnes_t]]="",tblMovement[[#This Row],[Grade_gpt]]=""),0,tblMovement[[#This Row],[Tonnes_t]]*tblMovement[[#This Row],[Grade_gpt]]/cfg_TroyOz)</f>
        <v/>
      </c>
      <c r="O2429" s="59">
        <f>IF(tblMovement[[#This Row],[Is_Ore]]=1,tblMovement[[#This Row],[Contained_oz]],0)</f>
        <v/>
      </c>
    </row>
    <row r="2430">
      <c r="A2430" s="54" t="n"/>
      <c r="B2430" s="61" t="n"/>
      <c r="C2430" s="61" t="n"/>
      <c r="D2430" s="61" t="n"/>
      <c r="E2430" s="61" t="n"/>
      <c r="F2430" s="55" t="n"/>
      <c r="G2430" s="56" t="n"/>
      <c r="H2430" s="55" t="n"/>
      <c r="I2430" s="62" t="n"/>
      <c r="J2430" s="58" t="n"/>
      <c r="K2430" s="63">
        <f>IF(tblMovement[[#This Row],[Source]]="","",IFERROR(INDEX(tblSources[Type],MATCH(tblMovement[[#This Row],[Source]],tblSources[Source],0)),"?"))</f>
        <v/>
      </c>
      <c r="L2430" s="63">
        <f>IF(tblMovement[[#This Row],[Destination]]="","",IFERROR(INDEX(tblDestinations[Type],MATCH(tblMovement[[#This Row],[Destination]],tblDestinations[Destination],0)),"?"))</f>
        <v/>
      </c>
      <c r="M2430" s="64">
        <f>IF(tblMovement[[#This Row],[Material]]="","",IF(LEFT(tblMovement[[#This Row],[Material]],3)="Ore",1,0))</f>
        <v/>
      </c>
      <c r="N2430" s="59">
        <f>IF(OR(tblMovement[[#This Row],[Tonnes_t]]="",tblMovement[[#This Row],[Grade_gpt]]=""),0,tblMovement[[#This Row],[Tonnes_t]]*tblMovement[[#This Row],[Grade_gpt]]/cfg_TroyOz)</f>
        <v/>
      </c>
      <c r="O2430" s="59">
        <f>IF(tblMovement[[#This Row],[Is_Ore]]=1,tblMovement[[#This Row],[Contained_oz]],0)</f>
        <v/>
      </c>
    </row>
    <row r="2431">
      <c r="A2431" s="54" t="n"/>
      <c r="B2431" s="61" t="n"/>
      <c r="C2431" s="61" t="n"/>
      <c r="D2431" s="61" t="n"/>
      <c r="E2431" s="61" t="n"/>
      <c r="F2431" s="55" t="n"/>
      <c r="G2431" s="56" t="n"/>
      <c r="H2431" s="55" t="n"/>
      <c r="I2431" s="62" t="n"/>
      <c r="J2431" s="58" t="n"/>
      <c r="K2431" s="63">
        <f>IF(tblMovement[[#This Row],[Source]]="","",IFERROR(INDEX(tblSources[Type],MATCH(tblMovement[[#This Row],[Source]],tblSources[Source],0)),"?"))</f>
        <v/>
      </c>
      <c r="L2431" s="63">
        <f>IF(tblMovement[[#This Row],[Destination]]="","",IFERROR(INDEX(tblDestinations[Type],MATCH(tblMovement[[#This Row],[Destination]],tblDestinations[Destination],0)),"?"))</f>
        <v/>
      </c>
      <c r="M2431" s="64">
        <f>IF(tblMovement[[#This Row],[Material]]="","",IF(LEFT(tblMovement[[#This Row],[Material]],3)="Ore",1,0))</f>
        <v/>
      </c>
      <c r="N2431" s="59">
        <f>IF(OR(tblMovement[[#This Row],[Tonnes_t]]="",tblMovement[[#This Row],[Grade_gpt]]=""),0,tblMovement[[#This Row],[Tonnes_t]]*tblMovement[[#This Row],[Grade_gpt]]/cfg_TroyOz)</f>
        <v/>
      </c>
      <c r="O2431" s="59">
        <f>IF(tblMovement[[#This Row],[Is_Ore]]=1,tblMovement[[#This Row],[Contained_oz]],0)</f>
        <v/>
      </c>
    </row>
    <row r="2432">
      <c r="A2432" s="54" t="n"/>
      <c r="B2432" s="61" t="n"/>
      <c r="C2432" s="61" t="n"/>
      <c r="D2432" s="61" t="n"/>
      <c r="E2432" s="61" t="n"/>
      <c r="F2432" s="55" t="n"/>
      <c r="G2432" s="56" t="n"/>
      <c r="H2432" s="55" t="n"/>
      <c r="I2432" s="62" t="n"/>
      <c r="J2432" s="58" t="n"/>
      <c r="K2432" s="63">
        <f>IF(tblMovement[[#This Row],[Source]]="","",IFERROR(INDEX(tblSources[Type],MATCH(tblMovement[[#This Row],[Source]],tblSources[Source],0)),"?"))</f>
        <v/>
      </c>
      <c r="L2432" s="63">
        <f>IF(tblMovement[[#This Row],[Destination]]="","",IFERROR(INDEX(tblDestinations[Type],MATCH(tblMovement[[#This Row],[Destination]],tblDestinations[Destination],0)),"?"))</f>
        <v/>
      </c>
      <c r="M2432" s="64">
        <f>IF(tblMovement[[#This Row],[Material]]="","",IF(LEFT(tblMovement[[#This Row],[Material]],3)="Ore",1,0))</f>
        <v/>
      </c>
      <c r="N2432" s="59">
        <f>IF(OR(tblMovement[[#This Row],[Tonnes_t]]="",tblMovement[[#This Row],[Grade_gpt]]=""),0,tblMovement[[#This Row],[Tonnes_t]]*tblMovement[[#This Row],[Grade_gpt]]/cfg_TroyOz)</f>
        <v/>
      </c>
      <c r="O2432" s="59">
        <f>IF(tblMovement[[#This Row],[Is_Ore]]=1,tblMovement[[#This Row],[Contained_oz]],0)</f>
        <v/>
      </c>
    </row>
    <row r="2433">
      <c r="A2433" s="54" t="n"/>
      <c r="B2433" s="61" t="n"/>
      <c r="C2433" s="61" t="n"/>
      <c r="D2433" s="61" t="n"/>
      <c r="E2433" s="61" t="n"/>
      <c r="F2433" s="55" t="n"/>
      <c r="G2433" s="56" t="n"/>
      <c r="H2433" s="55" t="n"/>
      <c r="I2433" s="62" t="n"/>
      <c r="J2433" s="58" t="n"/>
      <c r="K2433" s="63">
        <f>IF(tblMovement[[#This Row],[Source]]="","",IFERROR(INDEX(tblSources[Type],MATCH(tblMovement[[#This Row],[Source]],tblSources[Source],0)),"?"))</f>
        <v/>
      </c>
      <c r="L2433" s="63">
        <f>IF(tblMovement[[#This Row],[Destination]]="","",IFERROR(INDEX(tblDestinations[Type],MATCH(tblMovement[[#This Row],[Destination]],tblDestinations[Destination],0)),"?"))</f>
        <v/>
      </c>
      <c r="M2433" s="64">
        <f>IF(tblMovement[[#This Row],[Material]]="","",IF(LEFT(tblMovement[[#This Row],[Material]],3)="Ore",1,0))</f>
        <v/>
      </c>
      <c r="N2433" s="59">
        <f>IF(OR(tblMovement[[#This Row],[Tonnes_t]]="",tblMovement[[#This Row],[Grade_gpt]]=""),0,tblMovement[[#This Row],[Tonnes_t]]*tblMovement[[#This Row],[Grade_gpt]]/cfg_TroyOz)</f>
        <v/>
      </c>
      <c r="O2433" s="59">
        <f>IF(tblMovement[[#This Row],[Is_Ore]]=1,tblMovement[[#This Row],[Contained_oz]],0)</f>
        <v/>
      </c>
    </row>
    <row r="2434">
      <c r="A2434" s="54" t="n"/>
      <c r="B2434" s="61" t="n"/>
      <c r="C2434" s="61" t="n"/>
      <c r="D2434" s="61" t="n"/>
      <c r="E2434" s="61" t="n"/>
      <c r="F2434" s="55" t="n"/>
      <c r="G2434" s="56" t="n"/>
      <c r="H2434" s="55" t="n"/>
      <c r="I2434" s="62" t="n"/>
      <c r="J2434" s="58" t="n"/>
      <c r="K2434" s="63">
        <f>IF(tblMovement[[#This Row],[Source]]="","",IFERROR(INDEX(tblSources[Type],MATCH(tblMovement[[#This Row],[Source]],tblSources[Source],0)),"?"))</f>
        <v/>
      </c>
      <c r="L2434" s="63">
        <f>IF(tblMovement[[#This Row],[Destination]]="","",IFERROR(INDEX(tblDestinations[Type],MATCH(tblMovement[[#This Row],[Destination]],tblDestinations[Destination],0)),"?"))</f>
        <v/>
      </c>
      <c r="M2434" s="64">
        <f>IF(tblMovement[[#This Row],[Material]]="","",IF(LEFT(tblMovement[[#This Row],[Material]],3)="Ore",1,0))</f>
        <v/>
      </c>
      <c r="N2434" s="59">
        <f>IF(OR(tblMovement[[#This Row],[Tonnes_t]]="",tblMovement[[#This Row],[Grade_gpt]]=""),0,tblMovement[[#This Row],[Tonnes_t]]*tblMovement[[#This Row],[Grade_gpt]]/cfg_TroyOz)</f>
        <v/>
      </c>
      <c r="O2434" s="59">
        <f>IF(tblMovement[[#This Row],[Is_Ore]]=1,tblMovement[[#This Row],[Contained_oz]],0)</f>
        <v/>
      </c>
    </row>
    <row r="2435">
      <c r="A2435" s="54" t="n"/>
      <c r="B2435" s="61" t="n"/>
      <c r="C2435" s="61" t="n"/>
      <c r="D2435" s="61" t="n"/>
      <c r="E2435" s="61" t="n"/>
      <c r="F2435" s="55" t="n"/>
      <c r="G2435" s="56" t="n"/>
      <c r="H2435" s="55" t="n"/>
      <c r="I2435" s="62" t="n"/>
      <c r="J2435" s="58" t="n"/>
      <c r="K2435" s="63">
        <f>IF(tblMovement[[#This Row],[Source]]="","",IFERROR(INDEX(tblSources[Type],MATCH(tblMovement[[#This Row],[Source]],tblSources[Source],0)),"?"))</f>
        <v/>
      </c>
      <c r="L2435" s="63">
        <f>IF(tblMovement[[#This Row],[Destination]]="","",IFERROR(INDEX(tblDestinations[Type],MATCH(tblMovement[[#This Row],[Destination]],tblDestinations[Destination],0)),"?"))</f>
        <v/>
      </c>
      <c r="M2435" s="64">
        <f>IF(tblMovement[[#This Row],[Material]]="","",IF(LEFT(tblMovement[[#This Row],[Material]],3)="Ore",1,0))</f>
        <v/>
      </c>
      <c r="N2435" s="59">
        <f>IF(OR(tblMovement[[#This Row],[Tonnes_t]]="",tblMovement[[#This Row],[Grade_gpt]]=""),0,tblMovement[[#This Row],[Tonnes_t]]*tblMovement[[#This Row],[Grade_gpt]]/cfg_TroyOz)</f>
        <v/>
      </c>
      <c r="O2435" s="59">
        <f>IF(tblMovement[[#This Row],[Is_Ore]]=1,tblMovement[[#This Row],[Contained_oz]],0)</f>
        <v/>
      </c>
    </row>
    <row r="2436">
      <c r="A2436" s="54" t="n"/>
      <c r="B2436" s="61" t="n"/>
      <c r="C2436" s="61" t="n"/>
      <c r="D2436" s="61" t="n"/>
      <c r="E2436" s="61" t="n"/>
      <c r="F2436" s="55" t="n"/>
      <c r="G2436" s="56" t="n"/>
      <c r="H2436" s="55" t="n"/>
      <c r="I2436" s="62" t="n"/>
      <c r="J2436" s="58" t="n"/>
      <c r="K2436" s="63">
        <f>IF(tblMovement[[#This Row],[Source]]="","",IFERROR(INDEX(tblSources[Type],MATCH(tblMovement[[#This Row],[Source]],tblSources[Source],0)),"?"))</f>
        <v/>
      </c>
      <c r="L2436" s="63">
        <f>IF(tblMovement[[#This Row],[Destination]]="","",IFERROR(INDEX(tblDestinations[Type],MATCH(tblMovement[[#This Row],[Destination]],tblDestinations[Destination],0)),"?"))</f>
        <v/>
      </c>
      <c r="M2436" s="64">
        <f>IF(tblMovement[[#This Row],[Material]]="","",IF(LEFT(tblMovement[[#This Row],[Material]],3)="Ore",1,0))</f>
        <v/>
      </c>
      <c r="N2436" s="59">
        <f>IF(OR(tblMovement[[#This Row],[Tonnes_t]]="",tblMovement[[#This Row],[Grade_gpt]]=""),0,tblMovement[[#This Row],[Tonnes_t]]*tblMovement[[#This Row],[Grade_gpt]]/cfg_TroyOz)</f>
        <v/>
      </c>
      <c r="O2436" s="59">
        <f>IF(tblMovement[[#This Row],[Is_Ore]]=1,tblMovement[[#This Row],[Contained_oz]],0)</f>
        <v/>
      </c>
    </row>
    <row r="2437">
      <c r="A2437" s="54" t="n"/>
      <c r="B2437" s="61" t="n"/>
      <c r="C2437" s="61" t="n"/>
      <c r="D2437" s="61" t="n"/>
      <c r="E2437" s="61" t="n"/>
      <c r="F2437" s="55" t="n"/>
      <c r="G2437" s="56" t="n"/>
      <c r="H2437" s="55" t="n"/>
      <c r="I2437" s="62" t="n"/>
      <c r="J2437" s="58" t="n"/>
      <c r="K2437" s="63">
        <f>IF(tblMovement[[#This Row],[Source]]="","",IFERROR(INDEX(tblSources[Type],MATCH(tblMovement[[#This Row],[Source]],tblSources[Source],0)),"?"))</f>
        <v/>
      </c>
      <c r="L2437" s="63">
        <f>IF(tblMovement[[#This Row],[Destination]]="","",IFERROR(INDEX(tblDestinations[Type],MATCH(tblMovement[[#This Row],[Destination]],tblDestinations[Destination],0)),"?"))</f>
        <v/>
      </c>
      <c r="M2437" s="64">
        <f>IF(tblMovement[[#This Row],[Material]]="","",IF(LEFT(tblMovement[[#This Row],[Material]],3)="Ore",1,0))</f>
        <v/>
      </c>
      <c r="N2437" s="59">
        <f>IF(OR(tblMovement[[#This Row],[Tonnes_t]]="",tblMovement[[#This Row],[Grade_gpt]]=""),0,tblMovement[[#This Row],[Tonnes_t]]*tblMovement[[#This Row],[Grade_gpt]]/cfg_TroyOz)</f>
        <v/>
      </c>
      <c r="O2437" s="59">
        <f>IF(tblMovement[[#This Row],[Is_Ore]]=1,tblMovement[[#This Row],[Contained_oz]],0)</f>
        <v/>
      </c>
    </row>
    <row r="2438">
      <c r="A2438" s="54" t="n"/>
      <c r="B2438" s="61" t="n"/>
      <c r="C2438" s="61" t="n"/>
      <c r="D2438" s="61" t="n"/>
      <c r="E2438" s="61" t="n"/>
      <c r="F2438" s="55" t="n"/>
      <c r="G2438" s="56" t="n"/>
      <c r="H2438" s="55" t="n"/>
      <c r="I2438" s="62" t="n"/>
      <c r="J2438" s="58" t="n"/>
      <c r="K2438" s="63">
        <f>IF(tblMovement[[#This Row],[Source]]="","",IFERROR(INDEX(tblSources[Type],MATCH(tblMovement[[#This Row],[Source]],tblSources[Source],0)),"?"))</f>
        <v/>
      </c>
      <c r="L2438" s="63">
        <f>IF(tblMovement[[#This Row],[Destination]]="","",IFERROR(INDEX(tblDestinations[Type],MATCH(tblMovement[[#This Row],[Destination]],tblDestinations[Destination],0)),"?"))</f>
        <v/>
      </c>
      <c r="M2438" s="64">
        <f>IF(tblMovement[[#This Row],[Material]]="","",IF(LEFT(tblMovement[[#This Row],[Material]],3)="Ore",1,0))</f>
        <v/>
      </c>
      <c r="N2438" s="59">
        <f>IF(OR(tblMovement[[#This Row],[Tonnes_t]]="",tblMovement[[#This Row],[Grade_gpt]]=""),0,tblMovement[[#This Row],[Tonnes_t]]*tblMovement[[#This Row],[Grade_gpt]]/cfg_TroyOz)</f>
        <v/>
      </c>
      <c r="O2438" s="59">
        <f>IF(tblMovement[[#This Row],[Is_Ore]]=1,tblMovement[[#This Row],[Contained_oz]],0)</f>
        <v/>
      </c>
    </row>
    <row r="2439">
      <c r="A2439" s="54" t="n"/>
      <c r="B2439" s="61" t="n"/>
      <c r="C2439" s="61" t="n"/>
      <c r="D2439" s="61" t="n"/>
      <c r="E2439" s="61" t="n"/>
      <c r="F2439" s="55" t="n"/>
      <c r="G2439" s="56" t="n"/>
      <c r="H2439" s="55" t="n"/>
      <c r="I2439" s="62" t="n"/>
      <c r="J2439" s="58" t="n"/>
      <c r="K2439" s="63">
        <f>IF(tblMovement[[#This Row],[Source]]="","",IFERROR(INDEX(tblSources[Type],MATCH(tblMovement[[#This Row],[Source]],tblSources[Source],0)),"?"))</f>
        <v/>
      </c>
      <c r="L2439" s="63">
        <f>IF(tblMovement[[#This Row],[Destination]]="","",IFERROR(INDEX(tblDestinations[Type],MATCH(tblMovement[[#This Row],[Destination]],tblDestinations[Destination],0)),"?"))</f>
        <v/>
      </c>
      <c r="M2439" s="64">
        <f>IF(tblMovement[[#This Row],[Material]]="","",IF(LEFT(tblMovement[[#This Row],[Material]],3)="Ore",1,0))</f>
        <v/>
      </c>
      <c r="N2439" s="59">
        <f>IF(OR(tblMovement[[#This Row],[Tonnes_t]]="",tblMovement[[#This Row],[Grade_gpt]]=""),0,tblMovement[[#This Row],[Tonnes_t]]*tblMovement[[#This Row],[Grade_gpt]]/cfg_TroyOz)</f>
        <v/>
      </c>
      <c r="O2439" s="59">
        <f>IF(tblMovement[[#This Row],[Is_Ore]]=1,tblMovement[[#This Row],[Contained_oz]],0)</f>
        <v/>
      </c>
    </row>
    <row r="2440">
      <c r="A2440" s="54" t="n"/>
      <c r="B2440" s="61" t="n"/>
      <c r="C2440" s="61" t="n"/>
      <c r="D2440" s="61" t="n"/>
      <c r="E2440" s="61" t="n"/>
      <c r="F2440" s="55" t="n"/>
      <c r="G2440" s="56" t="n"/>
      <c r="H2440" s="55" t="n"/>
      <c r="I2440" s="62" t="n"/>
      <c r="J2440" s="58" t="n"/>
      <c r="K2440" s="63">
        <f>IF(tblMovement[[#This Row],[Source]]="","",IFERROR(INDEX(tblSources[Type],MATCH(tblMovement[[#This Row],[Source]],tblSources[Source],0)),"?"))</f>
        <v/>
      </c>
      <c r="L2440" s="63">
        <f>IF(tblMovement[[#This Row],[Destination]]="","",IFERROR(INDEX(tblDestinations[Type],MATCH(tblMovement[[#This Row],[Destination]],tblDestinations[Destination],0)),"?"))</f>
        <v/>
      </c>
      <c r="M2440" s="64">
        <f>IF(tblMovement[[#This Row],[Material]]="","",IF(LEFT(tblMovement[[#This Row],[Material]],3)="Ore",1,0))</f>
        <v/>
      </c>
      <c r="N2440" s="59">
        <f>IF(OR(tblMovement[[#This Row],[Tonnes_t]]="",tblMovement[[#This Row],[Grade_gpt]]=""),0,tblMovement[[#This Row],[Tonnes_t]]*tblMovement[[#This Row],[Grade_gpt]]/cfg_TroyOz)</f>
        <v/>
      </c>
      <c r="O2440" s="59">
        <f>IF(tblMovement[[#This Row],[Is_Ore]]=1,tblMovement[[#This Row],[Contained_oz]],0)</f>
        <v/>
      </c>
    </row>
    <row r="2441">
      <c r="A2441" s="54" t="n"/>
      <c r="B2441" s="61" t="n"/>
      <c r="C2441" s="61" t="n"/>
      <c r="D2441" s="61" t="n"/>
      <c r="E2441" s="61" t="n"/>
      <c r="F2441" s="55" t="n"/>
      <c r="G2441" s="56" t="n"/>
      <c r="H2441" s="55" t="n"/>
      <c r="I2441" s="62" t="n"/>
      <c r="J2441" s="58" t="n"/>
      <c r="K2441" s="63">
        <f>IF(tblMovement[[#This Row],[Source]]="","",IFERROR(INDEX(tblSources[Type],MATCH(tblMovement[[#This Row],[Source]],tblSources[Source],0)),"?"))</f>
        <v/>
      </c>
      <c r="L2441" s="63">
        <f>IF(tblMovement[[#This Row],[Destination]]="","",IFERROR(INDEX(tblDestinations[Type],MATCH(tblMovement[[#This Row],[Destination]],tblDestinations[Destination],0)),"?"))</f>
        <v/>
      </c>
      <c r="M2441" s="64">
        <f>IF(tblMovement[[#This Row],[Material]]="","",IF(LEFT(tblMovement[[#This Row],[Material]],3)="Ore",1,0))</f>
        <v/>
      </c>
      <c r="N2441" s="59">
        <f>IF(OR(tblMovement[[#This Row],[Tonnes_t]]="",tblMovement[[#This Row],[Grade_gpt]]=""),0,tblMovement[[#This Row],[Tonnes_t]]*tblMovement[[#This Row],[Grade_gpt]]/cfg_TroyOz)</f>
        <v/>
      </c>
      <c r="O2441" s="59">
        <f>IF(tblMovement[[#This Row],[Is_Ore]]=1,tblMovement[[#This Row],[Contained_oz]],0)</f>
        <v/>
      </c>
    </row>
    <row r="2442">
      <c r="A2442" s="54" t="n"/>
      <c r="B2442" s="61" t="n"/>
      <c r="C2442" s="61" t="n"/>
      <c r="D2442" s="61" t="n"/>
      <c r="E2442" s="61" t="n"/>
      <c r="F2442" s="55" t="n"/>
      <c r="G2442" s="56" t="n"/>
      <c r="H2442" s="55" t="n"/>
      <c r="I2442" s="62" t="n"/>
      <c r="J2442" s="58" t="n"/>
      <c r="K2442" s="63">
        <f>IF(tblMovement[[#This Row],[Source]]="","",IFERROR(INDEX(tblSources[Type],MATCH(tblMovement[[#This Row],[Source]],tblSources[Source],0)),"?"))</f>
        <v/>
      </c>
      <c r="L2442" s="63">
        <f>IF(tblMovement[[#This Row],[Destination]]="","",IFERROR(INDEX(tblDestinations[Type],MATCH(tblMovement[[#This Row],[Destination]],tblDestinations[Destination],0)),"?"))</f>
        <v/>
      </c>
      <c r="M2442" s="64">
        <f>IF(tblMovement[[#This Row],[Material]]="","",IF(LEFT(tblMovement[[#This Row],[Material]],3)="Ore",1,0))</f>
        <v/>
      </c>
      <c r="N2442" s="59">
        <f>IF(OR(tblMovement[[#This Row],[Tonnes_t]]="",tblMovement[[#This Row],[Grade_gpt]]=""),0,tblMovement[[#This Row],[Tonnes_t]]*tblMovement[[#This Row],[Grade_gpt]]/cfg_TroyOz)</f>
        <v/>
      </c>
      <c r="O2442" s="59">
        <f>IF(tblMovement[[#This Row],[Is_Ore]]=1,tblMovement[[#This Row],[Contained_oz]],0)</f>
        <v/>
      </c>
    </row>
    <row r="2443">
      <c r="A2443" s="54" t="n"/>
      <c r="B2443" s="61" t="n"/>
      <c r="C2443" s="61" t="n"/>
      <c r="D2443" s="61" t="n"/>
      <c r="E2443" s="61" t="n"/>
      <c r="F2443" s="55" t="n"/>
      <c r="G2443" s="56" t="n"/>
      <c r="H2443" s="55" t="n"/>
      <c r="I2443" s="62" t="n"/>
      <c r="J2443" s="58" t="n"/>
      <c r="K2443" s="63">
        <f>IF(tblMovement[[#This Row],[Source]]="","",IFERROR(INDEX(tblSources[Type],MATCH(tblMovement[[#This Row],[Source]],tblSources[Source],0)),"?"))</f>
        <v/>
      </c>
      <c r="L2443" s="63">
        <f>IF(tblMovement[[#This Row],[Destination]]="","",IFERROR(INDEX(tblDestinations[Type],MATCH(tblMovement[[#This Row],[Destination]],tblDestinations[Destination],0)),"?"))</f>
        <v/>
      </c>
      <c r="M2443" s="64">
        <f>IF(tblMovement[[#This Row],[Material]]="","",IF(LEFT(tblMovement[[#This Row],[Material]],3)="Ore",1,0))</f>
        <v/>
      </c>
      <c r="N2443" s="59">
        <f>IF(OR(tblMovement[[#This Row],[Tonnes_t]]="",tblMovement[[#This Row],[Grade_gpt]]=""),0,tblMovement[[#This Row],[Tonnes_t]]*tblMovement[[#This Row],[Grade_gpt]]/cfg_TroyOz)</f>
        <v/>
      </c>
      <c r="O2443" s="59">
        <f>IF(tblMovement[[#This Row],[Is_Ore]]=1,tblMovement[[#This Row],[Contained_oz]],0)</f>
        <v/>
      </c>
    </row>
    <row r="2444">
      <c r="A2444" s="54" t="n"/>
      <c r="B2444" s="61" t="n"/>
      <c r="C2444" s="61" t="n"/>
      <c r="D2444" s="61" t="n"/>
      <c r="E2444" s="61" t="n"/>
      <c r="F2444" s="55" t="n"/>
      <c r="G2444" s="56" t="n"/>
      <c r="H2444" s="55" t="n"/>
      <c r="I2444" s="62" t="n"/>
      <c r="J2444" s="58" t="n"/>
      <c r="K2444" s="63">
        <f>IF(tblMovement[[#This Row],[Source]]="","",IFERROR(INDEX(tblSources[Type],MATCH(tblMovement[[#This Row],[Source]],tblSources[Source],0)),"?"))</f>
        <v/>
      </c>
      <c r="L2444" s="63">
        <f>IF(tblMovement[[#This Row],[Destination]]="","",IFERROR(INDEX(tblDestinations[Type],MATCH(tblMovement[[#This Row],[Destination]],tblDestinations[Destination],0)),"?"))</f>
        <v/>
      </c>
      <c r="M2444" s="64">
        <f>IF(tblMovement[[#This Row],[Material]]="","",IF(LEFT(tblMovement[[#This Row],[Material]],3)="Ore",1,0))</f>
        <v/>
      </c>
      <c r="N2444" s="59">
        <f>IF(OR(tblMovement[[#This Row],[Tonnes_t]]="",tblMovement[[#This Row],[Grade_gpt]]=""),0,tblMovement[[#This Row],[Tonnes_t]]*tblMovement[[#This Row],[Grade_gpt]]/cfg_TroyOz)</f>
        <v/>
      </c>
      <c r="O2444" s="59">
        <f>IF(tblMovement[[#This Row],[Is_Ore]]=1,tblMovement[[#This Row],[Contained_oz]],0)</f>
        <v/>
      </c>
    </row>
    <row r="2445">
      <c r="A2445" s="54" t="n"/>
      <c r="B2445" s="61" t="n"/>
      <c r="C2445" s="61" t="n"/>
      <c r="D2445" s="61" t="n"/>
      <c r="E2445" s="61" t="n"/>
      <c r="F2445" s="55" t="n"/>
      <c r="G2445" s="56" t="n"/>
      <c r="H2445" s="55" t="n"/>
      <c r="I2445" s="62" t="n"/>
      <c r="J2445" s="58" t="n"/>
      <c r="K2445" s="63">
        <f>IF(tblMovement[[#This Row],[Source]]="","",IFERROR(INDEX(tblSources[Type],MATCH(tblMovement[[#This Row],[Source]],tblSources[Source],0)),"?"))</f>
        <v/>
      </c>
      <c r="L2445" s="63">
        <f>IF(tblMovement[[#This Row],[Destination]]="","",IFERROR(INDEX(tblDestinations[Type],MATCH(tblMovement[[#This Row],[Destination]],tblDestinations[Destination],0)),"?"))</f>
        <v/>
      </c>
      <c r="M2445" s="64">
        <f>IF(tblMovement[[#This Row],[Material]]="","",IF(LEFT(tblMovement[[#This Row],[Material]],3)="Ore",1,0))</f>
        <v/>
      </c>
      <c r="N2445" s="59">
        <f>IF(OR(tblMovement[[#This Row],[Tonnes_t]]="",tblMovement[[#This Row],[Grade_gpt]]=""),0,tblMovement[[#This Row],[Tonnes_t]]*tblMovement[[#This Row],[Grade_gpt]]/cfg_TroyOz)</f>
        <v/>
      </c>
      <c r="O2445" s="59">
        <f>IF(tblMovement[[#This Row],[Is_Ore]]=1,tblMovement[[#This Row],[Contained_oz]],0)</f>
        <v/>
      </c>
    </row>
    <row r="2446">
      <c r="A2446" s="54" t="n"/>
      <c r="B2446" s="61" t="n"/>
      <c r="C2446" s="61" t="n"/>
      <c r="D2446" s="61" t="n"/>
      <c r="E2446" s="61" t="n"/>
      <c r="F2446" s="55" t="n"/>
      <c r="G2446" s="56" t="n"/>
      <c r="H2446" s="55" t="n"/>
      <c r="I2446" s="62" t="n"/>
      <c r="J2446" s="58" t="n"/>
      <c r="K2446" s="63">
        <f>IF(tblMovement[[#This Row],[Source]]="","",IFERROR(INDEX(tblSources[Type],MATCH(tblMovement[[#This Row],[Source]],tblSources[Source],0)),"?"))</f>
        <v/>
      </c>
      <c r="L2446" s="63">
        <f>IF(tblMovement[[#This Row],[Destination]]="","",IFERROR(INDEX(tblDestinations[Type],MATCH(tblMovement[[#This Row],[Destination]],tblDestinations[Destination],0)),"?"))</f>
        <v/>
      </c>
      <c r="M2446" s="64">
        <f>IF(tblMovement[[#This Row],[Material]]="","",IF(LEFT(tblMovement[[#This Row],[Material]],3)="Ore",1,0))</f>
        <v/>
      </c>
      <c r="N2446" s="59">
        <f>IF(OR(tblMovement[[#This Row],[Tonnes_t]]="",tblMovement[[#This Row],[Grade_gpt]]=""),0,tblMovement[[#This Row],[Tonnes_t]]*tblMovement[[#This Row],[Grade_gpt]]/cfg_TroyOz)</f>
        <v/>
      </c>
      <c r="O2446" s="59">
        <f>IF(tblMovement[[#This Row],[Is_Ore]]=1,tblMovement[[#This Row],[Contained_oz]],0)</f>
        <v/>
      </c>
    </row>
    <row r="2447">
      <c r="A2447" s="54" t="n"/>
      <c r="B2447" s="61" t="n"/>
      <c r="C2447" s="61" t="n"/>
      <c r="D2447" s="61" t="n"/>
      <c r="E2447" s="61" t="n"/>
      <c r="F2447" s="55" t="n"/>
      <c r="G2447" s="56" t="n"/>
      <c r="H2447" s="55" t="n"/>
      <c r="I2447" s="62" t="n"/>
      <c r="J2447" s="58" t="n"/>
      <c r="K2447" s="63">
        <f>IF(tblMovement[[#This Row],[Source]]="","",IFERROR(INDEX(tblSources[Type],MATCH(tblMovement[[#This Row],[Source]],tblSources[Source],0)),"?"))</f>
        <v/>
      </c>
      <c r="L2447" s="63">
        <f>IF(tblMovement[[#This Row],[Destination]]="","",IFERROR(INDEX(tblDestinations[Type],MATCH(tblMovement[[#This Row],[Destination]],tblDestinations[Destination],0)),"?"))</f>
        <v/>
      </c>
      <c r="M2447" s="64">
        <f>IF(tblMovement[[#This Row],[Material]]="","",IF(LEFT(tblMovement[[#This Row],[Material]],3)="Ore",1,0))</f>
        <v/>
      </c>
      <c r="N2447" s="59">
        <f>IF(OR(tblMovement[[#This Row],[Tonnes_t]]="",tblMovement[[#This Row],[Grade_gpt]]=""),0,tblMovement[[#This Row],[Tonnes_t]]*tblMovement[[#This Row],[Grade_gpt]]/cfg_TroyOz)</f>
        <v/>
      </c>
      <c r="O2447" s="59">
        <f>IF(tblMovement[[#This Row],[Is_Ore]]=1,tblMovement[[#This Row],[Contained_oz]],0)</f>
        <v/>
      </c>
    </row>
    <row r="2448">
      <c r="A2448" s="54" t="n"/>
      <c r="B2448" s="61" t="n"/>
      <c r="C2448" s="61" t="n"/>
      <c r="D2448" s="61" t="n"/>
      <c r="E2448" s="61" t="n"/>
      <c r="F2448" s="55" t="n"/>
      <c r="G2448" s="56" t="n"/>
      <c r="H2448" s="55" t="n"/>
      <c r="I2448" s="62" t="n"/>
      <c r="J2448" s="58" t="n"/>
      <c r="K2448" s="63">
        <f>IF(tblMovement[[#This Row],[Source]]="","",IFERROR(INDEX(tblSources[Type],MATCH(tblMovement[[#This Row],[Source]],tblSources[Source],0)),"?"))</f>
        <v/>
      </c>
      <c r="L2448" s="63">
        <f>IF(tblMovement[[#This Row],[Destination]]="","",IFERROR(INDEX(tblDestinations[Type],MATCH(tblMovement[[#This Row],[Destination]],tblDestinations[Destination],0)),"?"))</f>
        <v/>
      </c>
      <c r="M2448" s="64">
        <f>IF(tblMovement[[#This Row],[Material]]="","",IF(LEFT(tblMovement[[#This Row],[Material]],3)="Ore",1,0))</f>
        <v/>
      </c>
      <c r="N2448" s="59">
        <f>IF(OR(tblMovement[[#This Row],[Tonnes_t]]="",tblMovement[[#This Row],[Grade_gpt]]=""),0,tblMovement[[#This Row],[Tonnes_t]]*tblMovement[[#This Row],[Grade_gpt]]/cfg_TroyOz)</f>
        <v/>
      </c>
      <c r="O2448" s="59">
        <f>IF(tblMovement[[#This Row],[Is_Ore]]=1,tblMovement[[#This Row],[Contained_oz]],0)</f>
        <v/>
      </c>
    </row>
    <row r="2449">
      <c r="A2449" s="54" t="n"/>
      <c r="B2449" s="61" t="n"/>
      <c r="C2449" s="61" t="n"/>
      <c r="D2449" s="61" t="n"/>
      <c r="E2449" s="61" t="n"/>
      <c r="F2449" s="55" t="n"/>
      <c r="G2449" s="56" t="n"/>
      <c r="H2449" s="55" t="n"/>
      <c r="I2449" s="62" t="n"/>
      <c r="J2449" s="58" t="n"/>
      <c r="K2449" s="63">
        <f>IF(tblMovement[[#This Row],[Source]]="","",IFERROR(INDEX(tblSources[Type],MATCH(tblMovement[[#This Row],[Source]],tblSources[Source],0)),"?"))</f>
        <v/>
      </c>
      <c r="L2449" s="63">
        <f>IF(tblMovement[[#This Row],[Destination]]="","",IFERROR(INDEX(tblDestinations[Type],MATCH(tblMovement[[#This Row],[Destination]],tblDestinations[Destination],0)),"?"))</f>
        <v/>
      </c>
      <c r="M2449" s="64">
        <f>IF(tblMovement[[#This Row],[Material]]="","",IF(LEFT(tblMovement[[#This Row],[Material]],3)="Ore",1,0))</f>
        <v/>
      </c>
      <c r="N2449" s="59">
        <f>IF(OR(tblMovement[[#This Row],[Tonnes_t]]="",tblMovement[[#This Row],[Grade_gpt]]=""),0,tblMovement[[#This Row],[Tonnes_t]]*tblMovement[[#This Row],[Grade_gpt]]/cfg_TroyOz)</f>
        <v/>
      </c>
      <c r="O2449" s="59">
        <f>IF(tblMovement[[#This Row],[Is_Ore]]=1,tblMovement[[#This Row],[Contained_oz]],0)</f>
        <v/>
      </c>
    </row>
    <row r="2450">
      <c r="A2450" s="54" t="n"/>
      <c r="B2450" s="61" t="n"/>
      <c r="C2450" s="61" t="n"/>
      <c r="D2450" s="61" t="n"/>
      <c r="E2450" s="61" t="n"/>
      <c r="F2450" s="55" t="n"/>
      <c r="G2450" s="56" t="n"/>
      <c r="H2450" s="55" t="n"/>
      <c r="I2450" s="62" t="n"/>
      <c r="J2450" s="58" t="n"/>
      <c r="K2450" s="63">
        <f>IF(tblMovement[[#This Row],[Source]]="","",IFERROR(INDEX(tblSources[Type],MATCH(tblMovement[[#This Row],[Source]],tblSources[Source],0)),"?"))</f>
        <v/>
      </c>
      <c r="L2450" s="63">
        <f>IF(tblMovement[[#This Row],[Destination]]="","",IFERROR(INDEX(tblDestinations[Type],MATCH(tblMovement[[#This Row],[Destination]],tblDestinations[Destination],0)),"?"))</f>
        <v/>
      </c>
      <c r="M2450" s="64">
        <f>IF(tblMovement[[#This Row],[Material]]="","",IF(LEFT(tblMovement[[#This Row],[Material]],3)="Ore",1,0))</f>
        <v/>
      </c>
      <c r="N2450" s="59">
        <f>IF(OR(tblMovement[[#This Row],[Tonnes_t]]="",tblMovement[[#This Row],[Grade_gpt]]=""),0,tblMovement[[#This Row],[Tonnes_t]]*tblMovement[[#This Row],[Grade_gpt]]/cfg_TroyOz)</f>
        <v/>
      </c>
      <c r="O2450" s="59">
        <f>IF(tblMovement[[#This Row],[Is_Ore]]=1,tblMovement[[#This Row],[Contained_oz]],0)</f>
        <v/>
      </c>
    </row>
    <row r="2451">
      <c r="A2451" s="54" t="n"/>
      <c r="B2451" s="61" t="n"/>
      <c r="C2451" s="61" t="n"/>
      <c r="D2451" s="61" t="n"/>
      <c r="E2451" s="61" t="n"/>
      <c r="F2451" s="55" t="n"/>
      <c r="G2451" s="56" t="n"/>
      <c r="H2451" s="55" t="n"/>
      <c r="I2451" s="62" t="n"/>
      <c r="J2451" s="58" t="n"/>
      <c r="K2451" s="63">
        <f>IF(tblMovement[[#This Row],[Source]]="","",IFERROR(INDEX(tblSources[Type],MATCH(tblMovement[[#This Row],[Source]],tblSources[Source],0)),"?"))</f>
        <v/>
      </c>
      <c r="L2451" s="63">
        <f>IF(tblMovement[[#This Row],[Destination]]="","",IFERROR(INDEX(tblDestinations[Type],MATCH(tblMovement[[#This Row],[Destination]],tblDestinations[Destination],0)),"?"))</f>
        <v/>
      </c>
      <c r="M2451" s="64">
        <f>IF(tblMovement[[#This Row],[Material]]="","",IF(LEFT(tblMovement[[#This Row],[Material]],3)="Ore",1,0))</f>
        <v/>
      </c>
      <c r="N2451" s="59">
        <f>IF(OR(tblMovement[[#This Row],[Tonnes_t]]="",tblMovement[[#This Row],[Grade_gpt]]=""),0,tblMovement[[#This Row],[Tonnes_t]]*tblMovement[[#This Row],[Grade_gpt]]/cfg_TroyOz)</f>
        <v/>
      </c>
      <c r="O2451" s="59">
        <f>IF(tblMovement[[#This Row],[Is_Ore]]=1,tblMovement[[#This Row],[Contained_oz]],0)</f>
        <v/>
      </c>
    </row>
    <row r="2452">
      <c r="A2452" s="54" t="n"/>
      <c r="B2452" s="61" t="n"/>
      <c r="C2452" s="61" t="n"/>
      <c r="D2452" s="61" t="n"/>
      <c r="E2452" s="61" t="n"/>
      <c r="F2452" s="55" t="n"/>
      <c r="G2452" s="56" t="n"/>
      <c r="H2452" s="55" t="n"/>
      <c r="I2452" s="62" t="n"/>
      <c r="J2452" s="58" t="n"/>
      <c r="K2452" s="63">
        <f>IF(tblMovement[[#This Row],[Source]]="","",IFERROR(INDEX(tblSources[Type],MATCH(tblMovement[[#This Row],[Source]],tblSources[Source],0)),"?"))</f>
        <v/>
      </c>
      <c r="L2452" s="63">
        <f>IF(tblMovement[[#This Row],[Destination]]="","",IFERROR(INDEX(tblDestinations[Type],MATCH(tblMovement[[#This Row],[Destination]],tblDestinations[Destination],0)),"?"))</f>
        <v/>
      </c>
      <c r="M2452" s="64">
        <f>IF(tblMovement[[#This Row],[Material]]="","",IF(LEFT(tblMovement[[#This Row],[Material]],3)="Ore",1,0))</f>
        <v/>
      </c>
      <c r="N2452" s="59">
        <f>IF(OR(tblMovement[[#This Row],[Tonnes_t]]="",tblMovement[[#This Row],[Grade_gpt]]=""),0,tblMovement[[#This Row],[Tonnes_t]]*tblMovement[[#This Row],[Grade_gpt]]/cfg_TroyOz)</f>
        <v/>
      </c>
      <c r="O2452" s="59">
        <f>IF(tblMovement[[#This Row],[Is_Ore]]=1,tblMovement[[#This Row],[Contained_oz]],0)</f>
        <v/>
      </c>
    </row>
    <row r="2453">
      <c r="A2453" s="54" t="n"/>
      <c r="B2453" s="61" t="n"/>
      <c r="C2453" s="61" t="n"/>
      <c r="D2453" s="61" t="n"/>
      <c r="E2453" s="61" t="n"/>
      <c r="F2453" s="55" t="n"/>
      <c r="G2453" s="56" t="n"/>
      <c r="H2453" s="55" t="n"/>
      <c r="I2453" s="62" t="n"/>
      <c r="J2453" s="58" t="n"/>
      <c r="K2453" s="63">
        <f>IF(tblMovement[[#This Row],[Source]]="","",IFERROR(INDEX(tblSources[Type],MATCH(tblMovement[[#This Row],[Source]],tblSources[Source],0)),"?"))</f>
        <v/>
      </c>
      <c r="L2453" s="63">
        <f>IF(tblMovement[[#This Row],[Destination]]="","",IFERROR(INDEX(tblDestinations[Type],MATCH(tblMovement[[#This Row],[Destination]],tblDestinations[Destination],0)),"?"))</f>
        <v/>
      </c>
      <c r="M2453" s="64">
        <f>IF(tblMovement[[#This Row],[Material]]="","",IF(LEFT(tblMovement[[#This Row],[Material]],3)="Ore",1,0))</f>
        <v/>
      </c>
      <c r="N2453" s="59">
        <f>IF(OR(tblMovement[[#This Row],[Tonnes_t]]="",tblMovement[[#This Row],[Grade_gpt]]=""),0,tblMovement[[#This Row],[Tonnes_t]]*tblMovement[[#This Row],[Grade_gpt]]/cfg_TroyOz)</f>
        <v/>
      </c>
      <c r="O2453" s="59">
        <f>IF(tblMovement[[#This Row],[Is_Ore]]=1,tblMovement[[#This Row],[Contained_oz]],0)</f>
        <v/>
      </c>
    </row>
    <row r="2454">
      <c r="A2454" s="54" t="n"/>
      <c r="B2454" s="61" t="n"/>
      <c r="C2454" s="61" t="n"/>
      <c r="D2454" s="61" t="n"/>
      <c r="E2454" s="61" t="n"/>
      <c r="F2454" s="55" t="n"/>
      <c r="G2454" s="56" t="n"/>
      <c r="H2454" s="55" t="n"/>
      <c r="I2454" s="62" t="n"/>
      <c r="J2454" s="58" t="n"/>
      <c r="K2454" s="63">
        <f>IF(tblMovement[[#This Row],[Source]]="","",IFERROR(INDEX(tblSources[Type],MATCH(tblMovement[[#This Row],[Source]],tblSources[Source],0)),"?"))</f>
        <v/>
      </c>
      <c r="L2454" s="63">
        <f>IF(tblMovement[[#This Row],[Destination]]="","",IFERROR(INDEX(tblDestinations[Type],MATCH(tblMovement[[#This Row],[Destination]],tblDestinations[Destination],0)),"?"))</f>
        <v/>
      </c>
      <c r="M2454" s="64">
        <f>IF(tblMovement[[#This Row],[Material]]="","",IF(LEFT(tblMovement[[#This Row],[Material]],3)="Ore",1,0))</f>
        <v/>
      </c>
      <c r="N2454" s="59">
        <f>IF(OR(tblMovement[[#This Row],[Tonnes_t]]="",tblMovement[[#This Row],[Grade_gpt]]=""),0,tblMovement[[#This Row],[Tonnes_t]]*tblMovement[[#This Row],[Grade_gpt]]/cfg_TroyOz)</f>
        <v/>
      </c>
      <c r="O2454" s="59">
        <f>IF(tblMovement[[#This Row],[Is_Ore]]=1,tblMovement[[#This Row],[Contained_oz]],0)</f>
        <v/>
      </c>
    </row>
    <row r="2455">
      <c r="A2455" s="54" t="n"/>
      <c r="B2455" s="61" t="n"/>
      <c r="C2455" s="61" t="n"/>
      <c r="D2455" s="61" t="n"/>
      <c r="E2455" s="61" t="n"/>
      <c r="F2455" s="55" t="n"/>
      <c r="G2455" s="56" t="n"/>
      <c r="H2455" s="55" t="n"/>
      <c r="I2455" s="62" t="n"/>
      <c r="J2455" s="58" t="n"/>
      <c r="K2455" s="63">
        <f>IF(tblMovement[[#This Row],[Source]]="","",IFERROR(INDEX(tblSources[Type],MATCH(tblMovement[[#This Row],[Source]],tblSources[Source],0)),"?"))</f>
        <v/>
      </c>
      <c r="L2455" s="63">
        <f>IF(tblMovement[[#This Row],[Destination]]="","",IFERROR(INDEX(tblDestinations[Type],MATCH(tblMovement[[#This Row],[Destination]],tblDestinations[Destination],0)),"?"))</f>
        <v/>
      </c>
      <c r="M2455" s="64">
        <f>IF(tblMovement[[#This Row],[Material]]="","",IF(LEFT(tblMovement[[#This Row],[Material]],3)="Ore",1,0))</f>
        <v/>
      </c>
      <c r="N2455" s="59">
        <f>IF(OR(tblMovement[[#This Row],[Tonnes_t]]="",tblMovement[[#This Row],[Grade_gpt]]=""),0,tblMovement[[#This Row],[Tonnes_t]]*tblMovement[[#This Row],[Grade_gpt]]/cfg_TroyOz)</f>
        <v/>
      </c>
      <c r="O2455" s="59">
        <f>IF(tblMovement[[#This Row],[Is_Ore]]=1,tblMovement[[#This Row],[Contained_oz]],0)</f>
        <v/>
      </c>
    </row>
    <row r="2456">
      <c r="A2456" s="54" t="n"/>
      <c r="B2456" s="61" t="n"/>
      <c r="C2456" s="61" t="n"/>
      <c r="D2456" s="61" t="n"/>
      <c r="E2456" s="61" t="n"/>
      <c r="F2456" s="55" t="n"/>
      <c r="G2456" s="56" t="n"/>
      <c r="H2456" s="55" t="n"/>
      <c r="I2456" s="62" t="n"/>
      <c r="J2456" s="58" t="n"/>
      <c r="K2456" s="63">
        <f>IF(tblMovement[[#This Row],[Source]]="","",IFERROR(INDEX(tblSources[Type],MATCH(tblMovement[[#This Row],[Source]],tblSources[Source],0)),"?"))</f>
        <v/>
      </c>
      <c r="L2456" s="63">
        <f>IF(tblMovement[[#This Row],[Destination]]="","",IFERROR(INDEX(tblDestinations[Type],MATCH(tblMovement[[#This Row],[Destination]],tblDestinations[Destination],0)),"?"))</f>
        <v/>
      </c>
      <c r="M2456" s="64">
        <f>IF(tblMovement[[#This Row],[Material]]="","",IF(LEFT(tblMovement[[#This Row],[Material]],3)="Ore",1,0))</f>
        <v/>
      </c>
      <c r="N2456" s="59">
        <f>IF(OR(tblMovement[[#This Row],[Tonnes_t]]="",tblMovement[[#This Row],[Grade_gpt]]=""),0,tblMovement[[#This Row],[Tonnes_t]]*tblMovement[[#This Row],[Grade_gpt]]/cfg_TroyOz)</f>
        <v/>
      </c>
      <c r="O2456" s="59">
        <f>IF(tblMovement[[#This Row],[Is_Ore]]=1,tblMovement[[#This Row],[Contained_oz]],0)</f>
        <v/>
      </c>
    </row>
    <row r="2457">
      <c r="A2457" s="54" t="n"/>
      <c r="B2457" s="61" t="n"/>
      <c r="C2457" s="61" t="n"/>
      <c r="D2457" s="61" t="n"/>
      <c r="E2457" s="61" t="n"/>
      <c r="F2457" s="55" t="n"/>
      <c r="G2457" s="56" t="n"/>
      <c r="H2457" s="55" t="n"/>
      <c r="I2457" s="62" t="n"/>
      <c r="J2457" s="58" t="n"/>
      <c r="K2457" s="63">
        <f>IF(tblMovement[[#This Row],[Source]]="","",IFERROR(INDEX(tblSources[Type],MATCH(tblMovement[[#This Row],[Source]],tblSources[Source],0)),"?"))</f>
        <v/>
      </c>
      <c r="L2457" s="63">
        <f>IF(tblMovement[[#This Row],[Destination]]="","",IFERROR(INDEX(tblDestinations[Type],MATCH(tblMovement[[#This Row],[Destination]],tblDestinations[Destination],0)),"?"))</f>
        <v/>
      </c>
      <c r="M2457" s="64">
        <f>IF(tblMovement[[#This Row],[Material]]="","",IF(LEFT(tblMovement[[#This Row],[Material]],3)="Ore",1,0))</f>
        <v/>
      </c>
      <c r="N2457" s="59">
        <f>IF(OR(tblMovement[[#This Row],[Tonnes_t]]="",tblMovement[[#This Row],[Grade_gpt]]=""),0,tblMovement[[#This Row],[Tonnes_t]]*tblMovement[[#This Row],[Grade_gpt]]/cfg_TroyOz)</f>
        <v/>
      </c>
      <c r="O2457" s="59">
        <f>IF(tblMovement[[#This Row],[Is_Ore]]=1,tblMovement[[#This Row],[Contained_oz]],0)</f>
        <v/>
      </c>
    </row>
    <row r="2458">
      <c r="A2458" s="54" t="n"/>
      <c r="B2458" s="61" t="n"/>
      <c r="C2458" s="61" t="n"/>
      <c r="D2458" s="61" t="n"/>
      <c r="E2458" s="61" t="n"/>
      <c r="F2458" s="55" t="n"/>
      <c r="G2458" s="56" t="n"/>
      <c r="H2458" s="55" t="n"/>
      <c r="I2458" s="62" t="n"/>
      <c r="J2458" s="58" t="n"/>
      <c r="K2458" s="63">
        <f>IF(tblMovement[[#This Row],[Source]]="","",IFERROR(INDEX(tblSources[Type],MATCH(tblMovement[[#This Row],[Source]],tblSources[Source],0)),"?"))</f>
        <v/>
      </c>
      <c r="L2458" s="63">
        <f>IF(tblMovement[[#This Row],[Destination]]="","",IFERROR(INDEX(tblDestinations[Type],MATCH(tblMovement[[#This Row],[Destination]],tblDestinations[Destination],0)),"?"))</f>
        <v/>
      </c>
      <c r="M2458" s="64">
        <f>IF(tblMovement[[#This Row],[Material]]="","",IF(LEFT(tblMovement[[#This Row],[Material]],3)="Ore",1,0))</f>
        <v/>
      </c>
      <c r="N2458" s="59">
        <f>IF(OR(tblMovement[[#This Row],[Tonnes_t]]="",tblMovement[[#This Row],[Grade_gpt]]=""),0,tblMovement[[#This Row],[Tonnes_t]]*tblMovement[[#This Row],[Grade_gpt]]/cfg_TroyOz)</f>
        <v/>
      </c>
      <c r="O2458" s="59">
        <f>IF(tblMovement[[#This Row],[Is_Ore]]=1,tblMovement[[#This Row],[Contained_oz]],0)</f>
        <v/>
      </c>
    </row>
    <row r="2459">
      <c r="A2459" s="54" t="n"/>
      <c r="B2459" s="61" t="n"/>
      <c r="C2459" s="61" t="n"/>
      <c r="D2459" s="61" t="n"/>
      <c r="E2459" s="61" t="n"/>
      <c r="F2459" s="55" t="n"/>
      <c r="G2459" s="56" t="n"/>
      <c r="H2459" s="55" t="n"/>
      <c r="I2459" s="62" t="n"/>
      <c r="J2459" s="58" t="n"/>
      <c r="K2459" s="63">
        <f>IF(tblMovement[[#This Row],[Source]]="","",IFERROR(INDEX(tblSources[Type],MATCH(tblMovement[[#This Row],[Source]],tblSources[Source],0)),"?"))</f>
        <v/>
      </c>
      <c r="L2459" s="63">
        <f>IF(tblMovement[[#This Row],[Destination]]="","",IFERROR(INDEX(tblDestinations[Type],MATCH(tblMovement[[#This Row],[Destination]],tblDestinations[Destination],0)),"?"))</f>
        <v/>
      </c>
      <c r="M2459" s="64">
        <f>IF(tblMovement[[#This Row],[Material]]="","",IF(LEFT(tblMovement[[#This Row],[Material]],3)="Ore",1,0))</f>
        <v/>
      </c>
      <c r="N2459" s="59">
        <f>IF(OR(tblMovement[[#This Row],[Tonnes_t]]="",tblMovement[[#This Row],[Grade_gpt]]=""),0,tblMovement[[#This Row],[Tonnes_t]]*tblMovement[[#This Row],[Grade_gpt]]/cfg_TroyOz)</f>
        <v/>
      </c>
      <c r="O2459" s="59">
        <f>IF(tblMovement[[#This Row],[Is_Ore]]=1,tblMovement[[#This Row],[Contained_oz]],0)</f>
        <v/>
      </c>
    </row>
    <row r="2460">
      <c r="A2460" s="54" t="n"/>
      <c r="B2460" s="61" t="n"/>
      <c r="C2460" s="61" t="n"/>
      <c r="D2460" s="61" t="n"/>
      <c r="E2460" s="61" t="n"/>
      <c r="F2460" s="55" t="n"/>
      <c r="G2460" s="56" t="n"/>
      <c r="H2460" s="55" t="n"/>
      <c r="I2460" s="62" t="n"/>
      <c r="J2460" s="58" t="n"/>
      <c r="K2460" s="63">
        <f>IF(tblMovement[[#This Row],[Source]]="","",IFERROR(INDEX(tblSources[Type],MATCH(tblMovement[[#This Row],[Source]],tblSources[Source],0)),"?"))</f>
        <v/>
      </c>
      <c r="L2460" s="63">
        <f>IF(tblMovement[[#This Row],[Destination]]="","",IFERROR(INDEX(tblDestinations[Type],MATCH(tblMovement[[#This Row],[Destination]],tblDestinations[Destination],0)),"?"))</f>
        <v/>
      </c>
      <c r="M2460" s="64">
        <f>IF(tblMovement[[#This Row],[Material]]="","",IF(LEFT(tblMovement[[#This Row],[Material]],3)="Ore",1,0))</f>
        <v/>
      </c>
      <c r="N2460" s="59">
        <f>IF(OR(tblMovement[[#This Row],[Tonnes_t]]="",tblMovement[[#This Row],[Grade_gpt]]=""),0,tblMovement[[#This Row],[Tonnes_t]]*tblMovement[[#This Row],[Grade_gpt]]/cfg_TroyOz)</f>
        <v/>
      </c>
      <c r="O2460" s="59">
        <f>IF(tblMovement[[#This Row],[Is_Ore]]=1,tblMovement[[#This Row],[Contained_oz]],0)</f>
        <v/>
      </c>
    </row>
    <row r="2461">
      <c r="A2461" s="54" t="n"/>
      <c r="B2461" s="61" t="n"/>
      <c r="C2461" s="61" t="n"/>
      <c r="D2461" s="61" t="n"/>
      <c r="E2461" s="61" t="n"/>
      <c r="F2461" s="55" t="n"/>
      <c r="G2461" s="56" t="n"/>
      <c r="H2461" s="55" t="n"/>
      <c r="I2461" s="62" t="n"/>
      <c r="J2461" s="58" t="n"/>
      <c r="K2461" s="63">
        <f>IF(tblMovement[[#This Row],[Source]]="","",IFERROR(INDEX(tblSources[Type],MATCH(tblMovement[[#This Row],[Source]],tblSources[Source],0)),"?"))</f>
        <v/>
      </c>
      <c r="L2461" s="63">
        <f>IF(tblMovement[[#This Row],[Destination]]="","",IFERROR(INDEX(tblDestinations[Type],MATCH(tblMovement[[#This Row],[Destination]],tblDestinations[Destination],0)),"?"))</f>
        <v/>
      </c>
      <c r="M2461" s="64">
        <f>IF(tblMovement[[#This Row],[Material]]="","",IF(LEFT(tblMovement[[#This Row],[Material]],3)="Ore",1,0))</f>
        <v/>
      </c>
      <c r="N2461" s="59">
        <f>IF(OR(tblMovement[[#This Row],[Tonnes_t]]="",tblMovement[[#This Row],[Grade_gpt]]=""),0,tblMovement[[#This Row],[Tonnes_t]]*tblMovement[[#This Row],[Grade_gpt]]/cfg_TroyOz)</f>
        <v/>
      </c>
      <c r="O2461" s="59">
        <f>IF(tblMovement[[#This Row],[Is_Ore]]=1,tblMovement[[#This Row],[Contained_oz]],0)</f>
        <v/>
      </c>
    </row>
    <row r="2462">
      <c r="A2462" s="54" t="n"/>
      <c r="B2462" s="61" t="n"/>
      <c r="C2462" s="61" t="n"/>
      <c r="D2462" s="61" t="n"/>
      <c r="E2462" s="61" t="n"/>
      <c r="F2462" s="55" t="n"/>
      <c r="G2462" s="56" t="n"/>
      <c r="H2462" s="55" t="n"/>
      <c r="I2462" s="62" t="n"/>
      <c r="J2462" s="58" t="n"/>
      <c r="K2462" s="63">
        <f>IF(tblMovement[[#This Row],[Source]]="","",IFERROR(INDEX(tblSources[Type],MATCH(tblMovement[[#This Row],[Source]],tblSources[Source],0)),"?"))</f>
        <v/>
      </c>
      <c r="L2462" s="63">
        <f>IF(tblMovement[[#This Row],[Destination]]="","",IFERROR(INDEX(tblDestinations[Type],MATCH(tblMovement[[#This Row],[Destination]],tblDestinations[Destination],0)),"?"))</f>
        <v/>
      </c>
      <c r="M2462" s="64">
        <f>IF(tblMovement[[#This Row],[Material]]="","",IF(LEFT(tblMovement[[#This Row],[Material]],3)="Ore",1,0))</f>
        <v/>
      </c>
      <c r="N2462" s="59">
        <f>IF(OR(tblMovement[[#This Row],[Tonnes_t]]="",tblMovement[[#This Row],[Grade_gpt]]=""),0,tblMovement[[#This Row],[Tonnes_t]]*tblMovement[[#This Row],[Grade_gpt]]/cfg_TroyOz)</f>
        <v/>
      </c>
      <c r="O2462" s="59">
        <f>IF(tblMovement[[#This Row],[Is_Ore]]=1,tblMovement[[#This Row],[Contained_oz]],0)</f>
        <v/>
      </c>
    </row>
    <row r="2463">
      <c r="A2463" s="54" t="n"/>
      <c r="B2463" s="61" t="n"/>
      <c r="C2463" s="61" t="n"/>
      <c r="D2463" s="61" t="n"/>
      <c r="E2463" s="61" t="n"/>
      <c r="F2463" s="55" t="n"/>
      <c r="G2463" s="56" t="n"/>
      <c r="H2463" s="55" t="n"/>
      <c r="I2463" s="62" t="n"/>
      <c r="J2463" s="58" t="n"/>
      <c r="K2463" s="63">
        <f>IF(tblMovement[[#This Row],[Source]]="","",IFERROR(INDEX(tblSources[Type],MATCH(tblMovement[[#This Row],[Source]],tblSources[Source],0)),"?"))</f>
        <v/>
      </c>
      <c r="L2463" s="63">
        <f>IF(tblMovement[[#This Row],[Destination]]="","",IFERROR(INDEX(tblDestinations[Type],MATCH(tblMovement[[#This Row],[Destination]],tblDestinations[Destination],0)),"?"))</f>
        <v/>
      </c>
      <c r="M2463" s="64">
        <f>IF(tblMovement[[#This Row],[Material]]="","",IF(LEFT(tblMovement[[#This Row],[Material]],3)="Ore",1,0))</f>
        <v/>
      </c>
      <c r="N2463" s="59">
        <f>IF(OR(tblMovement[[#This Row],[Tonnes_t]]="",tblMovement[[#This Row],[Grade_gpt]]=""),0,tblMovement[[#This Row],[Tonnes_t]]*tblMovement[[#This Row],[Grade_gpt]]/cfg_TroyOz)</f>
        <v/>
      </c>
      <c r="O2463" s="59">
        <f>IF(tblMovement[[#This Row],[Is_Ore]]=1,tblMovement[[#This Row],[Contained_oz]],0)</f>
        <v/>
      </c>
    </row>
    <row r="2464">
      <c r="A2464" s="54" t="n"/>
      <c r="B2464" s="61" t="n"/>
      <c r="C2464" s="61" t="n"/>
      <c r="D2464" s="61" t="n"/>
      <c r="E2464" s="61" t="n"/>
      <c r="F2464" s="55" t="n"/>
      <c r="G2464" s="56" t="n"/>
      <c r="H2464" s="55" t="n"/>
      <c r="I2464" s="62" t="n"/>
      <c r="J2464" s="58" t="n"/>
      <c r="K2464" s="63">
        <f>IF(tblMovement[[#This Row],[Source]]="","",IFERROR(INDEX(tblSources[Type],MATCH(tblMovement[[#This Row],[Source]],tblSources[Source],0)),"?"))</f>
        <v/>
      </c>
      <c r="L2464" s="63">
        <f>IF(tblMovement[[#This Row],[Destination]]="","",IFERROR(INDEX(tblDestinations[Type],MATCH(tblMovement[[#This Row],[Destination]],tblDestinations[Destination],0)),"?"))</f>
        <v/>
      </c>
      <c r="M2464" s="64">
        <f>IF(tblMovement[[#This Row],[Material]]="","",IF(LEFT(tblMovement[[#This Row],[Material]],3)="Ore",1,0))</f>
        <v/>
      </c>
      <c r="N2464" s="59">
        <f>IF(OR(tblMovement[[#This Row],[Tonnes_t]]="",tblMovement[[#This Row],[Grade_gpt]]=""),0,tblMovement[[#This Row],[Tonnes_t]]*tblMovement[[#This Row],[Grade_gpt]]/cfg_TroyOz)</f>
        <v/>
      </c>
      <c r="O2464" s="59">
        <f>IF(tblMovement[[#This Row],[Is_Ore]]=1,tblMovement[[#This Row],[Contained_oz]],0)</f>
        <v/>
      </c>
    </row>
    <row r="2465">
      <c r="A2465" s="54" t="n"/>
      <c r="B2465" s="61" t="n"/>
      <c r="C2465" s="61" t="n"/>
      <c r="D2465" s="61" t="n"/>
      <c r="E2465" s="61" t="n"/>
      <c r="F2465" s="55" t="n"/>
      <c r="G2465" s="56" t="n"/>
      <c r="H2465" s="55" t="n"/>
      <c r="I2465" s="62" t="n"/>
      <c r="J2465" s="58" t="n"/>
      <c r="K2465" s="63">
        <f>IF(tblMovement[[#This Row],[Source]]="","",IFERROR(INDEX(tblSources[Type],MATCH(tblMovement[[#This Row],[Source]],tblSources[Source],0)),"?"))</f>
        <v/>
      </c>
      <c r="L2465" s="63">
        <f>IF(tblMovement[[#This Row],[Destination]]="","",IFERROR(INDEX(tblDestinations[Type],MATCH(tblMovement[[#This Row],[Destination]],tblDestinations[Destination],0)),"?"))</f>
        <v/>
      </c>
      <c r="M2465" s="64">
        <f>IF(tblMovement[[#This Row],[Material]]="","",IF(LEFT(tblMovement[[#This Row],[Material]],3)="Ore",1,0))</f>
        <v/>
      </c>
      <c r="N2465" s="59">
        <f>IF(OR(tblMovement[[#This Row],[Tonnes_t]]="",tblMovement[[#This Row],[Grade_gpt]]=""),0,tblMovement[[#This Row],[Tonnes_t]]*tblMovement[[#This Row],[Grade_gpt]]/cfg_TroyOz)</f>
        <v/>
      </c>
      <c r="O2465" s="59">
        <f>IF(tblMovement[[#This Row],[Is_Ore]]=1,tblMovement[[#This Row],[Contained_oz]],0)</f>
        <v/>
      </c>
    </row>
    <row r="2466">
      <c r="A2466" s="54" t="n"/>
      <c r="B2466" s="61" t="n"/>
      <c r="C2466" s="61" t="n"/>
      <c r="D2466" s="61" t="n"/>
      <c r="E2466" s="61" t="n"/>
      <c r="F2466" s="55" t="n"/>
      <c r="G2466" s="56" t="n"/>
      <c r="H2466" s="55" t="n"/>
      <c r="I2466" s="62" t="n"/>
      <c r="J2466" s="58" t="n"/>
      <c r="K2466" s="63">
        <f>IF(tblMovement[[#This Row],[Source]]="","",IFERROR(INDEX(tblSources[Type],MATCH(tblMovement[[#This Row],[Source]],tblSources[Source],0)),"?"))</f>
        <v/>
      </c>
      <c r="L2466" s="63">
        <f>IF(tblMovement[[#This Row],[Destination]]="","",IFERROR(INDEX(tblDestinations[Type],MATCH(tblMovement[[#This Row],[Destination]],tblDestinations[Destination],0)),"?"))</f>
        <v/>
      </c>
      <c r="M2466" s="64">
        <f>IF(tblMovement[[#This Row],[Material]]="","",IF(LEFT(tblMovement[[#This Row],[Material]],3)="Ore",1,0))</f>
        <v/>
      </c>
      <c r="N2466" s="59">
        <f>IF(OR(tblMovement[[#This Row],[Tonnes_t]]="",tblMovement[[#This Row],[Grade_gpt]]=""),0,tblMovement[[#This Row],[Tonnes_t]]*tblMovement[[#This Row],[Grade_gpt]]/cfg_TroyOz)</f>
        <v/>
      </c>
      <c r="O2466" s="59">
        <f>IF(tblMovement[[#This Row],[Is_Ore]]=1,tblMovement[[#This Row],[Contained_oz]],0)</f>
        <v/>
      </c>
    </row>
    <row r="2467">
      <c r="A2467" s="54" t="n"/>
      <c r="B2467" s="61" t="n"/>
      <c r="C2467" s="61" t="n"/>
      <c r="D2467" s="61" t="n"/>
      <c r="E2467" s="61" t="n"/>
      <c r="F2467" s="55" t="n"/>
      <c r="G2467" s="56" t="n"/>
      <c r="H2467" s="55" t="n"/>
      <c r="I2467" s="62" t="n"/>
      <c r="J2467" s="58" t="n"/>
      <c r="K2467" s="63">
        <f>IF(tblMovement[[#This Row],[Source]]="","",IFERROR(INDEX(tblSources[Type],MATCH(tblMovement[[#This Row],[Source]],tblSources[Source],0)),"?"))</f>
        <v/>
      </c>
      <c r="L2467" s="63">
        <f>IF(tblMovement[[#This Row],[Destination]]="","",IFERROR(INDEX(tblDestinations[Type],MATCH(tblMovement[[#This Row],[Destination]],tblDestinations[Destination],0)),"?"))</f>
        <v/>
      </c>
      <c r="M2467" s="64">
        <f>IF(tblMovement[[#This Row],[Material]]="","",IF(LEFT(tblMovement[[#This Row],[Material]],3)="Ore",1,0))</f>
        <v/>
      </c>
      <c r="N2467" s="59">
        <f>IF(OR(tblMovement[[#This Row],[Tonnes_t]]="",tblMovement[[#This Row],[Grade_gpt]]=""),0,tblMovement[[#This Row],[Tonnes_t]]*tblMovement[[#This Row],[Grade_gpt]]/cfg_TroyOz)</f>
        <v/>
      </c>
      <c r="O2467" s="59">
        <f>IF(tblMovement[[#This Row],[Is_Ore]]=1,tblMovement[[#This Row],[Contained_oz]],0)</f>
        <v/>
      </c>
    </row>
    <row r="2468">
      <c r="A2468" s="54" t="n"/>
      <c r="B2468" s="61" t="n"/>
      <c r="C2468" s="61" t="n"/>
      <c r="D2468" s="61" t="n"/>
      <c r="E2468" s="61" t="n"/>
      <c r="F2468" s="55" t="n"/>
      <c r="G2468" s="56" t="n"/>
      <c r="H2468" s="55" t="n"/>
      <c r="I2468" s="62" t="n"/>
      <c r="J2468" s="58" t="n"/>
      <c r="K2468" s="63">
        <f>IF(tblMovement[[#This Row],[Source]]="","",IFERROR(INDEX(tblSources[Type],MATCH(tblMovement[[#This Row],[Source]],tblSources[Source],0)),"?"))</f>
        <v/>
      </c>
      <c r="L2468" s="63">
        <f>IF(tblMovement[[#This Row],[Destination]]="","",IFERROR(INDEX(tblDestinations[Type],MATCH(tblMovement[[#This Row],[Destination]],tblDestinations[Destination],0)),"?"))</f>
        <v/>
      </c>
      <c r="M2468" s="64">
        <f>IF(tblMovement[[#This Row],[Material]]="","",IF(LEFT(tblMovement[[#This Row],[Material]],3)="Ore",1,0))</f>
        <v/>
      </c>
      <c r="N2468" s="59">
        <f>IF(OR(tblMovement[[#This Row],[Tonnes_t]]="",tblMovement[[#This Row],[Grade_gpt]]=""),0,tblMovement[[#This Row],[Tonnes_t]]*tblMovement[[#This Row],[Grade_gpt]]/cfg_TroyOz)</f>
        <v/>
      </c>
      <c r="O2468" s="59">
        <f>IF(tblMovement[[#This Row],[Is_Ore]]=1,tblMovement[[#This Row],[Contained_oz]],0)</f>
        <v/>
      </c>
    </row>
    <row r="2469">
      <c r="A2469" s="54" t="n"/>
      <c r="B2469" s="61" t="n"/>
      <c r="C2469" s="61" t="n"/>
      <c r="D2469" s="61" t="n"/>
      <c r="E2469" s="61" t="n"/>
      <c r="F2469" s="55" t="n"/>
      <c r="G2469" s="56" t="n"/>
      <c r="H2469" s="55" t="n"/>
      <c r="I2469" s="62" t="n"/>
      <c r="J2469" s="58" t="n"/>
      <c r="K2469" s="63">
        <f>IF(tblMovement[[#This Row],[Source]]="","",IFERROR(INDEX(tblSources[Type],MATCH(tblMovement[[#This Row],[Source]],tblSources[Source],0)),"?"))</f>
        <v/>
      </c>
      <c r="L2469" s="63">
        <f>IF(tblMovement[[#This Row],[Destination]]="","",IFERROR(INDEX(tblDestinations[Type],MATCH(tblMovement[[#This Row],[Destination]],tblDestinations[Destination],0)),"?"))</f>
        <v/>
      </c>
      <c r="M2469" s="64">
        <f>IF(tblMovement[[#This Row],[Material]]="","",IF(LEFT(tblMovement[[#This Row],[Material]],3)="Ore",1,0))</f>
        <v/>
      </c>
      <c r="N2469" s="59">
        <f>IF(OR(tblMovement[[#This Row],[Tonnes_t]]="",tblMovement[[#This Row],[Grade_gpt]]=""),0,tblMovement[[#This Row],[Tonnes_t]]*tblMovement[[#This Row],[Grade_gpt]]/cfg_TroyOz)</f>
        <v/>
      </c>
      <c r="O2469" s="59">
        <f>IF(tblMovement[[#This Row],[Is_Ore]]=1,tblMovement[[#This Row],[Contained_oz]],0)</f>
        <v/>
      </c>
    </row>
    <row r="2470">
      <c r="A2470" s="54" t="n"/>
      <c r="B2470" s="61" t="n"/>
      <c r="C2470" s="61" t="n"/>
      <c r="D2470" s="61" t="n"/>
      <c r="E2470" s="61" t="n"/>
      <c r="F2470" s="55" t="n"/>
      <c r="G2470" s="56" t="n"/>
      <c r="H2470" s="55" t="n"/>
      <c r="I2470" s="62" t="n"/>
      <c r="J2470" s="58" t="n"/>
      <c r="K2470" s="63">
        <f>IF(tblMovement[[#This Row],[Source]]="","",IFERROR(INDEX(tblSources[Type],MATCH(tblMovement[[#This Row],[Source]],tblSources[Source],0)),"?"))</f>
        <v/>
      </c>
      <c r="L2470" s="63">
        <f>IF(tblMovement[[#This Row],[Destination]]="","",IFERROR(INDEX(tblDestinations[Type],MATCH(tblMovement[[#This Row],[Destination]],tblDestinations[Destination],0)),"?"))</f>
        <v/>
      </c>
      <c r="M2470" s="64">
        <f>IF(tblMovement[[#This Row],[Material]]="","",IF(LEFT(tblMovement[[#This Row],[Material]],3)="Ore",1,0))</f>
        <v/>
      </c>
      <c r="N2470" s="59">
        <f>IF(OR(tblMovement[[#This Row],[Tonnes_t]]="",tblMovement[[#This Row],[Grade_gpt]]=""),0,tblMovement[[#This Row],[Tonnes_t]]*tblMovement[[#This Row],[Grade_gpt]]/cfg_TroyOz)</f>
        <v/>
      </c>
      <c r="O2470" s="59">
        <f>IF(tblMovement[[#This Row],[Is_Ore]]=1,tblMovement[[#This Row],[Contained_oz]],0)</f>
        <v/>
      </c>
    </row>
    <row r="2471">
      <c r="A2471" s="54" t="n"/>
      <c r="B2471" s="61" t="n"/>
      <c r="C2471" s="61" t="n"/>
      <c r="D2471" s="61" t="n"/>
      <c r="E2471" s="61" t="n"/>
      <c r="F2471" s="55" t="n"/>
      <c r="G2471" s="56" t="n"/>
      <c r="H2471" s="55" t="n"/>
      <c r="I2471" s="62" t="n"/>
      <c r="J2471" s="58" t="n"/>
      <c r="K2471" s="63">
        <f>IF(tblMovement[[#This Row],[Source]]="","",IFERROR(INDEX(tblSources[Type],MATCH(tblMovement[[#This Row],[Source]],tblSources[Source],0)),"?"))</f>
        <v/>
      </c>
      <c r="L2471" s="63">
        <f>IF(tblMovement[[#This Row],[Destination]]="","",IFERROR(INDEX(tblDestinations[Type],MATCH(tblMovement[[#This Row],[Destination]],tblDestinations[Destination],0)),"?"))</f>
        <v/>
      </c>
      <c r="M2471" s="64">
        <f>IF(tblMovement[[#This Row],[Material]]="","",IF(LEFT(tblMovement[[#This Row],[Material]],3)="Ore",1,0))</f>
        <v/>
      </c>
      <c r="N2471" s="59">
        <f>IF(OR(tblMovement[[#This Row],[Tonnes_t]]="",tblMovement[[#This Row],[Grade_gpt]]=""),0,tblMovement[[#This Row],[Tonnes_t]]*tblMovement[[#This Row],[Grade_gpt]]/cfg_TroyOz)</f>
        <v/>
      </c>
      <c r="O2471" s="59">
        <f>IF(tblMovement[[#This Row],[Is_Ore]]=1,tblMovement[[#This Row],[Contained_oz]],0)</f>
        <v/>
      </c>
    </row>
    <row r="2472">
      <c r="A2472" s="54" t="n"/>
      <c r="B2472" s="61" t="n"/>
      <c r="C2472" s="61" t="n"/>
      <c r="D2472" s="61" t="n"/>
      <c r="E2472" s="61" t="n"/>
      <c r="F2472" s="55" t="n"/>
      <c r="G2472" s="56" t="n"/>
      <c r="H2472" s="55" t="n"/>
      <c r="I2472" s="62" t="n"/>
      <c r="J2472" s="58" t="n"/>
      <c r="K2472" s="63">
        <f>IF(tblMovement[[#This Row],[Source]]="","",IFERROR(INDEX(tblSources[Type],MATCH(tblMovement[[#This Row],[Source]],tblSources[Source],0)),"?"))</f>
        <v/>
      </c>
      <c r="L2472" s="63">
        <f>IF(tblMovement[[#This Row],[Destination]]="","",IFERROR(INDEX(tblDestinations[Type],MATCH(tblMovement[[#This Row],[Destination]],tblDestinations[Destination],0)),"?"))</f>
        <v/>
      </c>
      <c r="M2472" s="64">
        <f>IF(tblMovement[[#This Row],[Material]]="","",IF(LEFT(tblMovement[[#This Row],[Material]],3)="Ore",1,0))</f>
        <v/>
      </c>
      <c r="N2472" s="59">
        <f>IF(OR(tblMovement[[#This Row],[Tonnes_t]]="",tblMovement[[#This Row],[Grade_gpt]]=""),0,tblMovement[[#This Row],[Tonnes_t]]*tblMovement[[#This Row],[Grade_gpt]]/cfg_TroyOz)</f>
        <v/>
      </c>
      <c r="O2472" s="59">
        <f>IF(tblMovement[[#This Row],[Is_Ore]]=1,tblMovement[[#This Row],[Contained_oz]],0)</f>
        <v/>
      </c>
    </row>
    <row r="2473">
      <c r="A2473" s="54" t="n"/>
      <c r="B2473" s="61" t="n"/>
      <c r="C2473" s="61" t="n"/>
      <c r="D2473" s="61" t="n"/>
      <c r="E2473" s="61" t="n"/>
      <c r="F2473" s="55" t="n"/>
      <c r="G2473" s="56" t="n"/>
      <c r="H2473" s="55" t="n"/>
      <c r="I2473" s="62" t="n"/>
      <c r="J2473" s="58" t="n"/>
      <c r="K2473" s="63">
        <f>IF(tblMovement[[#This Row],[Source]]="","",IFERROR(INDEX(tblSources[Type],MATCH(tblMovement[[#This Row],[Source]],tblSources[Source],0)),"?"))</f>
        <v/>
      </c>
      <c r="L2473" s="63">
        <f>IF(tblMovement[[#This Row],[Destination]]="","",IFERROR(INDEX(tblDestinations[Type],MATCH(tblMovement[[#This Row],[Destination]],tblDestinations[Destination],0)),"?"))</f>
        <v/>
      </c>
      <c r="M2473" s="64">
        <f>IF(tblMovement[[#This Row],[Material]]="","",IF(LEFT(tblMovement[[#This Row],[Material]],3)="Ore",1,0))</f>
        <v/>
      </c>
      <c r="N2473" s="59">
        <f>IF(OR(tblMovement[[#This Row],[Tonnes_t]]="",tblMovement[[#This Row],[Grade_gpt]]=""),0,tblMovement[[#This Row],[Tonnes_t]]*tblMovement[[#This Row],[Grade_gpt]]/cfg_TroyOz)</f>
        <v/>
      </c>
      <c r="O2473" s="59">
        <f>IF(tblMovement[[#This Row],[Is_Ore]]=1,tblMovement[[#This Row],[Contained_oz]],0)</f>
        <v/>
      </c>
    </row>
    <row r="2474">
      <c r="A2474" s="54" t="n"/>
      <c r="B2474" s="61" t="n"/>
      <c r="C2474" s="61" t="n"/>
      <c r="D2474" s="61" t="n"/>
      <c r="E2474" s="61" t="n"/>
      <c r="F2474" s="55" t="n"/>
      <c r="G2474" s="56" t="n"/>
      <c r="H2474" s="55" t="n"/>
      <c r="I2474" s="62" t="n"/>
      <c r="J2474" s="58" t="n"/>
      <c r="K2474" s="63">
        <f>IF(tblMovement[[#This Row],[Source]]="","",IFERROR(INDEX(tblSources[Type],MATCH(tblMovement[[#This Row],[Source]],tblSources[Source],0)),"?"))</f>
        <v/>
      </c>
      <c r="L2474" s="63">
        <f>IF(tblMovement[[#This Row],[Destination]]="","",IFERROR(INDEX(tblDestinations[Type],MATCH(tblMovement[[#This Row],[Destination]],tblDestinations[Destination],0)),"?"))</f>
        <v/>
      </c>
      <c r="M2474" s="64">
        <f>IF(tblMovement[[#This Row],[Material]]="","",IF(LEFT(tblMovement[[#This Row],[Material]],3)="Ore",1,0))</f>
        <v/>
      </c>
      <c r="N2474" s="59">
        <f>IF(OR(tblMovement[[#This Row],[Tonnes_t]]="",tblMovement[[#This Row],[Grade_gpt]]=""),0,tblMovement[[#This Row],[Tonnes_t]]*tblMovement[[#This Row],[Grade_gpt]]/cfg_TroyOz)</f>
        <v/>
      </c>
      <c r="O2474" s="59">
        <f>IF(tblMovement[[#This Row],[Is_Ore]]=1,tblMovement[[#This Row],[Contained_oz]],0)</f>
        <v/>
      </c>
    </row>
    <row r="2475">
      <c r="A2475" s="54" t="n"/>
      <c r="B2475" s="61" t="n"/>
      <c r="C2475" s="61" t="n"/>
      <c r="D2475" s="61" t="n"/>
      <c r="E2475" s="61" t="n"/>
      <c r="F2475" s="55" t="n"/>
      <c r="G2475" s="56" t="n"/>
      <c r="H2475" s="55" t="n"/>
      <c r="I2475" s="62" t="n"/>
      <c r="J2475" s="58" t="n"/>
      <c r="K2475" s="63">
        <f>IF(tblMovement[[#This Row],[Source]]="","",IFERROR(INDEX(tblSources[Type],MATCH(tblMovement[[#This Row],[Source]],tblSources[Source],0)),"?"))</f>
        <v/>
      </c>
      <c r="L2475" s="63">
        <f>IF(tblMovement[[#This Row],[Destination]]="","",IFERROR(INDEX(tblDestinations[Type],MATCH(tblMovement[[#This Row],[Destination]],tblDestinations[Destination],0)),"?"))</f>
        <v/>
      </c>
      <c r="M2475" s="64">
        <f>IF(tblMovement[[#This Row],[Material]]="","",IF(LEFT(tblMovement[[#This Row],[Material]],3)="Ore",1,0))</f>
        <v/>
      </c>
      <c r="N2475" s="59">
        <f>IF(OR(tblMovement[[#This Row],[Tonnes_t]]="",tblMovement[[#This Row],[Grade_gpt]]=""),0,tblMovement[[#This Row],[Tonnes_t]]*tblMovement[[#This Row],[Grade_gpt]]/cfg_TroyOz)</f>
        <v/>
      </c>
      <c r="O2475" s="59">
        <f>IF(tblMovement[[#This Row],[Is_Ore]]=1,tblMovement[[#This Row],[Contained_oz]],0)</f>
        <v/>
      </c>
    </row>
    <row r="2476">
      <c r="A2476" s="54" t="n"/>
      <c r="B2476" s="61" t="n"/>
      <c r="C2476" s="61" t="n"/>
      <c r="D2476" s="61" t="n"/>
      <c r="E2476" s="61" t="n"/>
      <c r="F2476" s="55" t="n"/>
      <c r="G2476" s="56" t="n"/>
      <c r="H2476" s="55" t="n"/>
      <c r="I2476" s="62" t="n"/>
      <c r="J2476" s="58" t="n"/>
      <c r="K2476" s="63">
        <f>IF(tblMovement[[#This Row],[Source]]="","",IFERROR(INDEX(tblSources[Type],MATCH(tblMovement[[#This Row],[Source]],tblSources[Source],0)),"?"))</f>
        <v/>
      </c>
      <c r="L2476" s="63">
        <f>IF(tblMovement[[#This Row],[Destination]]="","",IFERROR(INDEX(tblDestinations[Type],MATCH(tblMovement[[#This Row],[Destination]],tblDestinations[Destination],0)),"?"))</f>
        <v/>
      </c>
      <c r="M2476" s="64">
        <f>IF(tblMovement[[#This Row],[Material]]="","",IF(LEFT(tblMovement[[#This Row],[Material]],3)="Ore",1,0))</f>
        <v/>
      </c>
      <c r="N2476" s="59">
        <f>IF(OR(tblMovement[[#This Row],[Tonnes_t]]="",tblMovement[[#This Row],[Grade_gpt]]=""),0,tblMovement[[#This Row],[Tonnes_t]]*tblMovement[[#This Row],[Grade_gpt]]/cfg_TroyOz)</f>
        <v/>
      </c>
      <c r="O2476" s="59">
        <f>IF(tblMovement[[#This Row],[Is_Ore]]=1,tblMovement[[#This Row],[Contained_oz]],0)</f>
        <v/>
      </c>
    </row>
    <row r="2477">
      <c r="A2477" s="54" t="n"/>
      <c r="B2477" s="61" t="n"/>
      <c r="C2477" s="61" t="n"/>
      <c r="D2477" s="61" t="n"/>
      <c r="E2477" s="61" t="n"/>
      <c r="F2477" s="55" t="n"/>
      <c r="G2477" s="56" t="n"/>
      <c r="H2477" s="55" t="n"/>
      <c r="I2477" s="62" t="n"/>
      <c r="J2477" s="58" t="n"/>
      <c r="K2477" s="63">
        <f>IF(tblMovement[[#This Row],[Source]]="","",IFERROR(INDEX(tblSources[Type],MATCH(tblMovement[[#This Row],[Source]],tblSources[Source],0)),"?"))</f>
        <v/>
      </c>
      <c r="L2477" s="63">
        <f>IF(tblMovement[[#This Row],[Destination]]="","",IFERROR(INDEX(tblDestinations[Type],MATCH(tblMovement[[#This Row],[Destination]],tblDestinations[Destination],0)),"?"))</f>
        <v/>
      </c>
      <c r="M2477" s="64">
        <f>IF(tblMovement[[#This Row],[Material]]="","",IF(LEFT(tblMovement[[#This Row],[Material]],3)="Ore",1,0))</f>
        <v/>
      </c>
      <c r="N2477" s="59">
        <f>IF(OR(tblMovement[[#This Row],[Tonnes_t]]="",tblMovement[[#This Row],[Grade_gpt]]=""),0,tblMovement[[#This Row],[Tonnes_t]]*tblMovement[[#This Row],[Grade_gpt]]/cfg_TroyOz)</f>
        <v/>
      </c>
      <c r="O2477" s="59">
        <f>IF(tblMovement[[#This Row],[Is_Ore]]=1,tblMovement[[#This Row],[Contained_oz]],0)</f>
        <v/>
      </c>
    </row>
    <row r="2478">
      <c r="A2478" s="54" t="n"/>
      <c r="B2478" s="61" t="n"/>
      <c r="C2478" s="61" t="n"/>
      <c r="D2478" s="61" t="n"/>
      <c r="E2478" s="61" t="n"/>
      <c r="F2478" s="55" t="n"/>
      <c r="G2478" s="56" t="n"/>
      <c r="H2478" s="55" t="n"/>
      <c r="I2478" s="62" t="n"/>
      <c r="J2478" s="58" t="n"/>
      <c r="K2478" s="63">
        <f>IF(tblMovement[[#This Row],[Source]]="","",IFERROR(INDEX(tblSources[Type],MATCH(tblMovement[[#This Row],[Source]],tblSources[Source],0)),"?"))</f>
        <v/>
      </c>
      <c r="L2478" s="63">
        <f>IF(tblMovement[[#This Row],[Destination]]="","",IFERROR(INDEX(tblDestinations[Type],MATCH(tblMovement[[#This Row],[Destination]],tblDestinations[Destination],0)),"?"))</f>
        <v/>
      </c>
      <c r="M2478" s="64">
        <f>IF(tblMovement[[#This Row],[Material]]="","",IF(LEFT(tblMovement[[#This Row],[Material]],3)="Ore",1,0))</f>
        <v/>
      </c>
      <c r="N2478" s="59">
        <f>IF(OR(tblMovement[[#This Row],[Tonnes_t]]="",tblMovement[[#This Row],[Grade_gpt]]=""),0,tblMovement[[#This Row],[Tonnes_t]]*tblMovement[[#This Row],[Grade_gpt]]/cfg_TroyOz)</f>
        <v/>
      </c>
      <c r="O2478" s="59">
        <f>IF(tblMovement[[#This Row],[Is_Ore]]=1,tblMovement[[#This Row],[Contained_oz]],0)</f>
        <v/>
      </c>
    </row>
    <row r="2479">
      <c r="A2479" s="54" t="n"/>
      <c r="B2479" s="61" t="n"/>
      <c r="C2479" s="61" t="n"/>
      <c r="D2479" s="61" t="n"/>
      <c r="E2479" s="61" t="n"/>
      <c r="F2479" s="55" t="n"/>
      <c r="G2479" s="56" t="n"/>
      <c r="H2479" s="55" t="n"/>
      <c r="I2479" s="62" t="n"/>
      <c r="J2479" s="58" t="n"/>
      <c r="K2479" s="63">
        <f>IF(tblMovement[[#This Row],[Source]]="","",IFERROR(INDEX(tblSources[Type],MATCH(tblMovement[[#This Row],[Source]],tblSources[Source],0)),"?"))</f>
        <v/>
      </c>
      <c r="L2479" s="63">
        <f>IF(tblMovement[[#This Row],[Destination]]="","",IFERROR(INDEX(tblDestinations[Type],MATCH(tblMovement[[#This Row],[Destination]],tblDestinations[Destination],0)),"?"))</f>
        <v/>
      </c>
      <c r="M2479" s="64">
        <f>IF(tblMovement[[#This Row],[Material]]="","",IF(LEFT(tblMovement[[#This Row],[Material]],3)="Ore",1,0))</f>
        <v/>
      </c>
      <c r="N2479" s="59">
        <f>IF(OR(tblMovement[[#This Row],[Tonnes_t]]="",tblMovement[[#This Row],[Grade_gpt]]=""),0,tblMovement[[#This Row],[Tonnes_t]]*tblMovement[[#This Row],[Grade_gpt]]/cfg_TroyOz)</f>
        <v/>
      </c>
      <c r="O2479" s="59">
        <f>IF(tblMovement[[#This Row],[Is_Ore]]=1,tblMovement[[#This Row],[Contained_oz]],0)</f>
        <v/>
      </c>
    </row>
    <row r="2480">
      <c r="A2480" s="54" t="n"/>
      <c r="B2480" s="61" t="n"/>
      <c r="C2480" s="61" t="n"/>
      <c r="D2480" s="61" t="n"/>
      <c r="E2480" s="61" t="n"/>
      <c r="F2480" s="55" t="n"/>
      <c r="G2480" s="56" t="n"/>
      <c r="H2480" s="55" t="n"/>
      <c r="I2480" s="62" t="n"/>
      <c r="J2480" s="58" t="n"/>
      <c r="K2480" s="63">
        <f>IF(tblMovement[[#This Row],[Source]]="","",IFERROR(INDEX(tblSources[Type],MATCH(tblMovement[[#This Row],[Source]],tblSources[Source],0)),"?"))</f>
        <v/>
      </c>
      <c r="L2480" s="63">
        <f>IF(tblMovement[[#This Row],[Destination]]="","",IFERROR(INDEX(tblDestinations[Type],MATCH(tblMovement[[#This Row],[Destination]],tblDestinations[Destination],0)),"?"))</f>
        <v/>
      </c>
      <c r="M2480" s="64">
        <f>IF(tblMovement[[#This Row],[Material]]="","",IF(LEFT(tblMovement[[#This Row],[Material]],3)="Ore",1,0))</f>
        <v/>
      </c>
      <c r="N2480" s="59">
        <f>IF(OR(tblMovement[[#This Row],[Tonnes_t]]="",tblMovement[[#This Row],[Grade_gpt]]=""),0,tblMovement[[#This Row],[Tonnes_t]]*tblMovement[[#This Row],[Grade_gpt]]/cfg_TroyOz)</f>
        <v/>
      </c>
      <c r="O2480" s="59">
        <f>IF(tblMovement[[#This Row],[Is_Ore]]=1,tblMovement[[#This Row],[Contained_oz]],0)</f>
        <v/>
      </c>
    </row>
    <row r="2481">
      <c r="A2481" s="54" t="n"/>
      <c r="B2481" s="61" t="n"/>
      <c r="C2481" s="61" t="n"/>
      <c r="D2481" s="61" t="n"/>
      <c r="E2481" s="61" t="n"/>
      <c r="F2481" s="55" t="n"/>
      <c r="G2481" s="56" t="n"/>
      <c r="H2481" s="55" t="n"/>
      <c r="I2481" s="62" t="n"/>
      <c r="J2481" s="58" t="n"/>
      <c r="K2481" s="63">
        <f>IF(tblMovement[[#This Row],[Source]]="","",IFERROR(INDEX(tblSources[Type],MATCH(tblMovement[[#This Row],[Source]],tblSources[Source],0)),"?"))</f>
        <v/>
      </c>
      <c r="L2481" s="63">
        <f>IF(tblMovement[[#This Row],[Destination]]="","",IFERROR(INDEX(tblDestinations[Type],MATCH(tblMovement[[#This Row],[Destination]],tblDestinations[Destination],0)),"?"))</f>
        <v/>
      </c>
      <c r="M2481" s="64">
        <f>IF(tblMovement[[#This Row],[Material]]="","",IF(LEFT(tblMovement[[#This Row],[Material]],3)="Ore",1,0))</f>
        <v/>
      </c>
      <c r="N2481" s="59">
        <f>IF(OR(tblMovement[[#This Row],[Tonnes_t]]="",tblMovement[[#This Row],[Grade_gpt]]=""),0,tblMovement[[#This Row],[Tonnes_t]]*tblMovement[[#This Row],[Grade_gpt]]/cfg_TroyOz)</f>
        <v/>
      </c>
      <c r="O2481" s="59">
        <f>IF(tblMovement[[#This Row],[Is_Ore]]=1,tblMovement[[#This Row],[Contained_oz]],0)</f>
        <v/>
      </c>
    </row>
    <row r="2482">
      <c r="A2482" s="54" t="n"/>
      <c r="B2482" s="61" t="n"/>
      <c r="C2482" s="61" t="n"/>
      <c r="D2482" s="61" t="n"/>
      <c r="E2482" s="61" t="n"/>
      <c r="F2482" s="55" t="n"/>
      <c r="G2482" s="56" t="n"/>
      <c r="H2482" s="55" t="n"/>
      <c r="I2482" s="62" t="n"/>
      <c r="J2482" s="58" t="n"/>
      <c r="K2482" s="63">
        <f>IF(tblMovement[[#This Row],[Source]]="","",IFERROR(INDEX(tblSources[Type],MATCH(tblMovement[[#This Row],[Source]],tblSources[Source],0)),"?"))</f>
        <v/>
      </c>
      <c r="L2482" s="63">
        <f>IF(tblMovement[[#This Row],[Destination]]="","",IFERROR(INDEX(tblDestinations[Type],MATCH(tblMovement[[#This Row],[Destination]],tblDestinations[Destination],0)),"?"))</f>
        <v/>
      </c>
      <c r="M2482" s="64">
        <f>IF(tblMovement[[#This Row],[Material]]="","",IF(LEFT(tblMovement[[#This Row],[Material]],3)="Ore",1,0))</f>
        <v/>
      </c>
      <c r="N2482" s="59">
        <f>IF(OR(tblMovement[[#This Row],[Tonnes_t]]="",tblMovement[[#This Row],[Grade_gpt]]=""),0,tblMovement[[#This Row],[Tonnes_t]]*tblMovement[[#This Row],[Grade_gpt]]/cfg_TroyOz)</f>
        <v/>
      </c>
      <c r="O2482" s="59">
        <f>IF(tblMovement[[#This Row],[Is_Ore]]=1,tblMovement[[#This Row],[Contained_oz]],0)</f>
        <v/>
      </c>
    </row>
    <row r="2483">
      <c r="A2483" s="54" t="n"/>
      <c r="B2483" s="61" t="n"/>
      <c r="C2483" s="61" t="n"/>
      <c r="D2483" s="61" t="n"/>
      <c r="E2483" s="61" t="n"/>
      <c r="F2483" s="55" t="n"/>
      <c r="G2483" s="56" t="n"/>
      <c r="H2483" s="55" t="n"/>
      <c r="I2483" s="62" t="n"/>
      <c r="J2483" s="58" t="n"/>
      <c r="K2483" s="63">
        <f>IF(tblMovement[[#This Row],[Source]]="","",IFERROR(INDEX(tblSources[Type],MATCH(tblMovement[[#This Row],[Source]],tblSources[Source],0)),"?"))</f>
        <v/>
      </c>
      <c r="L2483" s="63">
        <f>IF(tblMovement[[#This Row],[Destination]]="","",IFERROR(INDEX(tblDestinations[Type],MATCH(tblMovement[[#This Row],[Destination]],tblDestinations[Destination],0)),"?"))</f>
        <v/>
      </c>
      <c r="M2483" s="64">
        <f>IF(tblMovement[[#This Row],[Material]]="","",IF(LEFT(tblMovement[[#This Row],[Material]],3)="Ore",1,0))</f>
        <v/>
      </c>
      <c r="N2483" s="59">
        <f>IF(OR(tblMovement[[#This Row],[Tonnes_t]]="",tblMovement[[#This Row],[Grade_gpt]]=""),0,tblMovement[[#This Row],[Tonnes_t]]*tblMovement[[#This Row],[Grade_gpt]]/cfg_TroyOz)</f>
        <v/>
      </c>
      <c r="O2483" s="59">
        <f>IF(tblMovement[[#This Row],[Is_Ore]]=1,tblMovement[[#This Row],[Contained_oz]],0)</f>
        <v/>
      </c>
    </row>
    <row r="2484">
      <c r="A2484" s="54" t="n"/>
      <c r="B2484" s="61" t="n"/>
      <c r="C2484" s="61" t="n"/>
      <c r="D2484" s="61" t="n"/>
      <c r="E2484" s="61" t="n"/>
      <c r="F2484" s="55" t="n"/>
      <c r="G2484" s="56" t="n"/>
      <c r="H2484" s="55" t="n"/>
      <c r="I2484" s="62" t="n"/>
      <c r="J2484" s="58" t="n"/>
      <c r="K2484" s="63">
        <f>IF(tblMovement[[#This Row],[Source]]="","",IFERROR(INDEX(tblSources[Type],MATCH(tblMovement[[#This Row],[Source]],tblSources[Source],0)),"?"))</f>
        <v/>
      </c>
      <c r="L2484" s="63">
        <f>IF(tblMovement[[#This Row],[Destination]]="","",IFERROR(INDEX(tblDestinations[Type],MATCH(tblMovement[[#This Row],[Destination]],tblDestinations[Destination],0)),"?"))</f>
        <v/>
      </c>
      <c r="M2484" s="64">
        <f>IF(tblMovement[[#This Row],[Material]]="","",IF(LEFT(tblMovement[[#This Row],[Material]],3)="Ore",1,0))</f>
        <v/>
      </c>
      <c r="N2484" s="59">
        <f>IF(OR(tblMovement[[#This Row],[Tonnes_t]]="",tblMovement[[#This Row],[Grade_gpt]]=""),0,tblMovement[[#This Row],[Tonnes_t]]*tblMovement[[#This Row],[Grade_gpt]]/cfg_TroyOz)</f>
        <v/>
      </c>
      <c r="O2484" s="59">
        <f>IF(tblMovement[[#This Row],[Is_Ore]]=1,tblMovement[[#This Row],[Contained_oz]],0)</f>
        <v/>
      </c>
    </row>
    <row r="2485">
      <c r="A2485" s="54" t="n"/>
      <c r="B2485" s="61" t="n"/>
      <c r="C2485" s="61" t="n"/>
      <c r="D2485" s="61" t="n"/>
      <c r="E2485" s="61" t="n"/>
      <c r="F2485" s="55" t="n"/>
      <c r="G2485" s="56" t="n"/>
      <c r="H2485" s="55" t="n"/>
      <c r="I2485" s="62" t="n"/>
      <c r="J2485" s="58" t="n"/>
      <c r="K2485" s="63">
        <f>IF(tblMovement[[#This Row],[Source]]="","",IFERROR(INDEX(tblSources[Type],MATCH(tblMovement[[#This Row],[Source]],tblSources[Source],0)),"?"))</f>
        <v/>
      </c>
      <c r="L2485" s="63">
        <f>IF(tblMovement[[#This Row],[Destination]]="","",IFERROR(INDEX(tblDestinations[Type],MATCH(tblMovement[[#This Row],[Destination]],tblDestinations[Destination],0)),"?"))</f>
        <v/>
      </c>
      <c r="M2485" s="64">
        <f>IF(tblMovement[[#This Row],[Material]]="","",IF(LEFT(tblMovement[[#This Row],[Material]],3)="Ore",1,0))</f>
        <v/>
      </c>
      <c r="N2485" s="59">
        <f>IF(OR(tblMovement[[#This Row],[Tonnes_t]]="",tblMovement[[#This Row],[Grade_gpt]]=""),0,tblMovement[[#This Row],[Tonnes_t]]*tblMovement[[#This Row],[Grade_gpt]]/cfg_TroyOz)</f>
        <v/>
      </c>
      <c r="O2485" s="59">
        <f>IF(tblMovement[[#This Row],[Is_Ore]]=1,tblMovement[[#This Row],[Contained_oz]],0)</f>
        <v/>
      </c>
    </row>
    <row r="2486">
      <c r="A2486" s="54" t="n"/>
      <c r="B2486" s="61" t="n"/>
      <c r="C2486" s="61" t="n"/>
      <c r="D2486" s="61" t="n"/>
      <c r="E2486" s="61" t="n"/>
      <c r="F2486" s="55" t="n"/>
      <c r="G2486" s="56" t="n"/>
      <c r="H2486" s="55" t="n"/>
      <c r="I2486" s="62" t="n"/>
      <c r="J2486" s="58" t="n"/>
      <c r="K2486" s="63">
        <f>IF(tblMovement[[#This Row],[Source]]="","",IFERROR(INDEX(tblSources[Type],MATCH(tblMovement[[#This Row],[Source]],tblSources[Source],0)),"?"))</f>
        <v/>
      </c>
      <c r="L2486" s="63">
        <f>IF(tblMovement[[#This Row],[Destination]]="","",IFERROR(INDEX(tblDestinations[Type],MATCH(tblMovement[[#This Row],[Destination]],tblDestinations[Destination],0)),"?"))</f>
        <v/>
      </c>
      <c r="M2486" s="64">
        <f>IF(tblMovement[[#This Row],[Material]]="","",IF(LEFT(tblMovement[[#This Row],[Material]],3)="Ore",1,0))</f>
        <v/>
      </c>
      <c r="N2486" s="59">
        <f>IF(OR(tblMovement[[#This Row],[Tonnes_t]]="",tblMovement[[#This Row],[Grade_gpt]]=""),0,tblMovement[[#This Row],[Tonnes_t]]*tblMovement[[#This Row],[Grade_gpt]]/cfg_TroyOz)</f>
        <v/>
      </c>
      <c r="O2486" s="59">
        <f>IF(tblMovement[[#This Row],[Is_Ore]]=1,tblMovement[[#This Row],[Contained_oz]],0)</f>
        <v/>
      </c>
    </row>
    <row r="2487">
      <c r="A2487" s="54" t="n"/>
      <c r="B2487" s="61" t="n"/>
      <c r="C2487" s="61" t="n"/>
      <c r="D2487" s="61" t="n"/>
      <c r="E2487" s="61" t="n"/>
      <c r="F2487" s="55" t="n"/>
      <c r="G2487" s="56" t="n"/>
      <c r="H2487" s="55" t="n"/>
      <c r="I2487" s="62" t="n"/>
      <c r="J2487" s="58" t="n"/>
      <c r="K2487" s="63">
        <f>IF(tblMovement[[#This Row],[Source]]="","",IFERROR(INDEX(tblSources[Type],MATCH(tblMovement[[#This Row],[Source]],tblSources[Source],0)),"?"))</f>
        <v/>
      </c>
      <c r="L2487" s="63">
        <f>IF(tblMovement[[#This Row],[Destination]]="","",IFERROR(INDEX(tblDestinations[Type],MATCH(tblMovement[[#This Row],[Destination]],tblDestinations[Destination],0)),"?"))</f>
        <v/>
      </c>
      <c r="M2487" s="64">
        <f>IF(tblMovement[[#This Row],[Material]]="","",IF(LEFT(tblMovement[[#This Row],[Material]],3)="Ore",1,0))</f>
        <v/>
      </c>
      <c r="N2487" s="59">
        <f>IF(OR(tblMovement[[#This Row],[Tonnes_t]]="",tblMovement[[#This Row],[Grade_gpt]]=""),0,tblMovement[[#This Row],[Tonnes_t]]*tblMovement[[#This Row],[Grade_gpt]]/cfg_TroyOz)</f>
        <v/>
      </c>
      <c r="O2487" s="59">
        <f>IF(tblMovement[[#This Row],[Is_Ore]]=1,tblMovement[[#This Row],[Contained_oz]],0)</f>
        <v/>
      </c>
    </row>
    <row r="2488">
      <c r="A2488" s="54" t="n"/>
      <c r="B2488" s="61" t="n"/>
      <c r="C2488" s="61" t="n"/>
      <c r="D2488" s="61" t="n"/>
      <c r="E2488" s="61" t="n"/>
      <c r="F2488" s="55" t="n"/>
      <c r="G2488" s="56" t="n"/>
      <c r="H2488" s="55" t="n"/>
      <c r="I2488" s="62" t="n"/>
      <c r="J2488" s="58" t="n"/>
      <c r="K2488" s="63">
        <f>IF(tblMovement[[#This Row],[Source]]="","",IFERROR(INDEX(tblSources[Type],MATCH(tblMovement[[#This Row],[Source]],tblSources[Source],0)),"?"))</f>
        <v/>
      </c>
      <c r="L2488" s="63">
        <f>IF(tblMovement[[#This Row],[Destination]]="","",IFERROR(INDEX(tblDestinations[Type],MATCH(tblMovement[[#This Row],[Destination]],tblDestinations[Destination],0)),"?"))</f>
        <v/>
      </c>
      <c r="M2488" s="64">
        <f>IF(tblMovement[[#This Row],[Material]]="","",IF(LEFT(tblMovement[[#This Row],[Material]],3)="Ore",1,0))</f>
        <v/>
      </c>
      <c r="N2488" s="59">
        <f>IF(OR(tblMovement[[#This Row],[Tonnes_t]]="",tblMovement[[#This Row],[Grade_gpt]]=""),0,tblMovement[[#This Row],[Tonnes_t]]*tblMovement[[#This Row],[Grade_gpt]]/cfg_TroyOz)</f>
        <v/>
      </c>
      <c r="O2488" s="59">
        <f>IF(tblMovement[[#This Row],[Is_Ore]]=1,tblMovement[[#This Row],[Contained_oz]],0)</f>
        <v/>
      </c>
    </row>
    <row r="2489">
      <c r="A2489" s="54" t="n"/>
      <c r="B2489" s="61" t="n"/>
      <c r="C2489" s="61" t="n"/>
      <c r="D2489" s="61" t="n"/>
      <c r="E2489" s="61" t="n"/>
      <c r="F2489" s="55" t="n"/>
      <c r="G2489" s="56" t="n"/>
      <c r="H2489" s="55" t="n"/>
      <c r="I2489" s="62" t="n"/>
      <c r="J2489" s="58" t="n"/>
      <c r="K2489" s="63">
        <f>IF(tblMovement[[#This Row],[Source]]="","",IFERROR(INDEX(tblSources[Type],MATCH(tblMovement[[#This Row],[Source]],tblSources[Source],0)),"?"))</f>
        <v/>
      </c>
      <c r="L2489" s="63">
        <f>IF(tblMovement[[#This Row],[Destination]]="","",IFERROR(INDEX(tblDestinations[Type],MATCH(tblMovement[[#This Row],[Destination]],tblDestinations[Destination],0)),"?"))</f>
        <v/>
      </c>
      <c r="M2489" s="64">
        <f>IF(tblMovement[[#This Row],[Material]]="","",IF(LEFT(tblMovement[[#This Row],[Material]],3)="Ore",1,0))</f>
        <v/>
      </c>
      <c r="N2489" s="59">
        <f>IF(OR(tblMovement[[#This Row],[Tonnes_t]]="",tblMovement[[#This Row],[Grade_gpt]]=""),0,tblMovement[[#This Row],[Tonnes_t]]*tblMovement[[#This Row],[Grade_gpt]]/cfg_TroyOz)</f>
        <v/>
      </c>
      <c r="O2489" s="59">
        <f>IF(tblMovement[[#This Row],[Is_Ore]]=1,tblMovement[[#This Row],[Contained_oz]],0)</f>
        <v/>
      </c>
    </row>
    <row r="2490">
      <c r="A2490" s="54" t="n"/>
      <c r="B2490" s="61" t="n"/>
      <c r="C2490" s="61" t="n"/>
      <c r="D2490" s="61" t="n"/>
      <c r="E2490" s="61" t="n"/>
      <c r="F2490" s="55" t="n"/>
      <c r="G2490" s="56" t="n"/>
      <c r="H2490" s="55" t="n"/>
      <c r="I2490" s="62" t="n"/>
      <c r="J2490" s="58" t="n"/>
      <c r="K2490" s="63">
        <f>IF(tblMovement[[#This Row],[Source]]="","",IFERROR(INDEX(tblSources[Type],MATCH(tblMovement[[#This Row],[Source]],tblSources[Source],0)),"?"))</f>
        <v/>
      </c>
      <c r="L2490" s="63">
        <f>IF(tblMovement[[#This Row],[Destination]]="","",IFERROR(INDEX(tblDestinations[Type],MATCH(tblMovement[[#This Row],[Destination]],tblDestinations[Destination],0)),"?"))</f>
        <v/>
      </c>
      <c r="M2490" s="64">
        <f>IF(tblMovement[[#This Row],[Material]]="","",IF(LEFT(tblMovement[[#This Row],[Material]],3)="Ore",1,0))</f>
        <v/>
      </c>
      <c r="N2490" s="59">
        <f>IF(OR(tblMovement[[#This Row],[Tonnes_t]]="",tblMovement[[#This Row],[Grade_gpt]]=""),0,tblMovement[[#This Row],[Tonnes_t]]*tblMovement[[#This Row],[Grade_gpt]]/cfg_TroyOz)</f>
        <v/>
      </c>
      <c r="O2490" s="59">
        <f>IF(tblMovement[[#This Row],[Is_Ore]]=1,tblMovement[[#This Row],[Contained_oz]],0)</f>
        <v/>
      </c>
    </row>
    <row r="2491">
      <c r="A2491" s="54" t="n"/>
      <c r="B2491" s="61" t="n"/>
      <c r="C2491" s="61" t="n"/>
      <c r="D2491" s="61" t="n"/>
      <c r="E2491" s="61" t="n"/>
      <c r="F2491" s="55" t="n"/>
      <c r="G2491" s="56" t="n"/>
      <c r="H2491" s="55" t="n"/>
      <c r="I2491" s="62" t="n"/>
      <c r="J2491" s="58" t="n"/>
      <c r="K2491" s="63">
        <f>IF(tblMovement[[#This Row],[Source]]="","",IFERROR(INDEX(tblSources[Type],MATCH(tblMovement[[#This Row],[Source]],tblSources[Source],0)),"?"))</f>
        <v/>
      </c>
      <c r="L2491" s="63">
        <f>IF(tblMovement[[#This Row],[Destination]]="","",IFERROR(INDEX(tblDestinations[Type],MATCH(tblMovement[[#This Row],[Destination]],tblDestinations[Destination],0)),"?"))</f>
        <v/>
      </c>
      <c r="M2491" s="64">
        <f>IF(tblMovement[[#This Row],[Material]]="","",IF(LEFT(tblMovement[[#This Row],[Material]],3)="Ore",1,0))</f>
        <v/>
      </c>
      <c r="N2491" s="59">
        <f>IF(OR(tblMovement[[#This Row],[Tonnes_t]]="",tblMovement[[#This Row],[Grade_gpt]]=""),0,tblMovement[[#This Row],[Tonnes_t]]*tblMovement[[#This Row],[Grade_gpt]]/cfg_TroyOz)</f>
        <v/>
      </c>
      <c r="O2491" s="59">
        <f>IF(tblMovement[[#This Row],[Is_Ore]]=1,tblMovement[[#This Row],[Contained_oz]],0)</f>
        <v/>
      </c>
    </row>
    <row r="2492">
      <c r="A2492" s="54" t="n"/>
      <c r="B2492" s="61" t="n"/>
      <c r="C2492" s="61" t="n"/>
      <c r="D2492" s="61" t="n"/>
      <c r="E2492" s="61" t="n"/>
      <c r="F2492" s="55" t="n"/>
      <c r="G2492" s="56" t="n"/>
      <c r="H2492" s="55" t="n"/>
      <c r="I2492" s="62" t="n"/>
      <c r="J2492" s="58" t="n"/>
      <c r="K2492" s="63">
        <f>IF(tblMovement[[#This Row],[Source]]="","",IFERROR(INDEX(tblSources[Type],MATCH(tblMovement[[#This Row],[Source]],tblSources[Source],0)),"?"))</f>
        <v/>
      </c>
      <c r="L2492" s="63">
        <f>IF(tblMovement[[#This Row],[Destination]]="","",IFERROR(INDEX(tblDestinations[Type],MATCH(tblMovement[[#This Row],[Destination]],tblDestinations[Destination],0)),"?"))</f>
        <v/>
      </c>
      <c r="M2492" s="64">
        <f>IF(tblMovement[[#This Row],[Material]]="","",IF(LEFT(tblMovement[[#This Row],[Material]],3)="Ore",1,0))</f>
        <v/>
      </c>
      <c r="N2492" s="59">
        <f>IF(OR(tblMovement[[#This Row],[Tonnes_t]]="",tblMovement[[#This Row],[Grade_gpt]]=""),0,tblMovement[[#This Row],[Tonnes_t]]*tblMovement[[#This Row],[Grade_gpt]]/cfg_TroyOz)</f>
        <v/>
      </c>
      <c r="O2492" s="59">
        <f>IF(tblMovement[[#This Row],[Is_Ore]]=1,tblMovement[[#This Row],[Contained_oz]],0)</f>
        <v/>
      </c>
    </row>
    <row r="2493">
      <c r="A2493" s="54" t="n"/>
      <c r="B2493" s="61" t="n"/>
      <c r="C2493" s="61" t="n"/>
      <c r="D2493" s="61" t="n"/>
      <c r="E2493" s="61" t="n"/>
      <c r="F2493" s="55" t="n"/>
      <c r="G2493" s="56" t="n"/>
      <c r="H2493" s="55" t="n"/>
      <c r="I2493" s="62" t="n"/>
      <c r="J2493" s="58" t="n"/>
      <c r="K2493" s="63">
        <f>IF(tblMovement[[#This Row],[Source]]="","",IFERROR(INDEX(tblSources[Type],MATCH(tblMovement[[#This Row],[Source]],tblSources[Source],0)),"?"))</f>
        <v/>
      </c>
      <c r="L2493" s="63">
        <f>IF(tblMovement[[#This Row],[Destination]]="","",IFERROR(INDEX(tblDestinations[Type],MATCH(tblMovement[[#This Row],[Destination]],tblDestinations[Destination],0)),"?"))</f>
        <v/>
      </c>
      <c r="M2493" s="64">
        <f>IF(tblMovement[[#This Row],[Material]]="","",IF(LEFT(tblMovement[[#This Row],[Material]],3)="Ore",1,0))</f>
        <v/>
      </c>
      <c r="N2493" s="59">
        <f>IF(OR(tblMovement[[#This Row],[Tonnes_t]]="",tblMovement[[#This Row],[Grade_gpt]]=""),0,tblMovement[[#This Row],[Tonnes_t]]*tblMovement[[#This Row],[Grade_gpt]]/cfg_TroyOz)</f>
        <v/>
      </c>
      <c r="O2493" s="59">
        <f>IF(tblMovement[[#This Row],[Is_Ore]]=1,tblMovement[[#This Row],[Contained_oz]],0)</f>
        <v/>
      </c>
    </row>
    <row r="2494">
      <c r="A2494" s="54" t="n"/>
      <c r="B2494" s="61" t="n"/>
      <c r="C2494" s="61" t="n"/>
      <c r="D2494" s="61" t="n"/>
      <c r="E2494" s="61" t="n"/>
      <c r="F2494" s="55" t="n"/>
      <c r="G2494" s="56" t="n"/>
      <c r="H2494" s="55" t="n"/>
      <c r="I2494" s="62" t="n"/>
      <c r="J2494" s="58" t="n"/>
      <c r="K2494" s="63">
        <f>IF(tblMovement[[#This Row],[Source]]="","",IFERROR(INDEX(tblSources[Type],MATCH(tblMovement[[#This Row],[Source]],tblSources[Source],0)),"?"))</f>
        <v/>
      </c>
      <c r="L2494" s="63">
        <f>IF(tblMovement[[#This Row],[Destination]]="","",IFERROR(INDEX(tblDestinations[Type],MATCH(tblMovement[[#This Row],[Destination]],tblDestinations[Destination],0)),"?"))</f>
        <v/>
      </c>
      <c r="M2494" s="64">
        <f>IF(tblMovement[[#This Row],[Material]]="","",IF(LEFT(tblMovement[[#This Row],[Material]],3)="Ore",1,0))</f>
        <v/>
      </c>
      <c r="N2494" s="59">
        <f>IF(OR(tblMovement[[#This Row],[Tonnes_t]]="",tblMovement[[#This Row],[Grade_gpt]]=""),0,tblMovement[[#This Row],[Tonnes_t]]*tblMovement[[#This Row],[Grade_gpt]]/cfg_TroyOz)</f>
        <v/>
      </c>
      <c r="O2494" s="59">
        <f>IF(tblMovement[[#This Row],[Is_Ore]]=1,tblMovement[[#This Row],[Contained_oz]],0)</f>
        <v/>
      </c>
    </row>
    <row r="2495">
      <c r="A2495" s="54" t="n"/>
      <c r="B2495" s="61" t="n"/>
      <c r="C2495" s="61" t="n"/>
      <c r="D2495" s="61" t="n"/>
      <c r="E2495" s="61" t="n"/>
      <c r="F2495" s="55" t="n"/>
      <c r="G2495" s="56" t="n"/>
      <c r="H2495" s="55" t="n"/>
      <c r="I2495" s="62" t="n"/>
      <c r="J2495" s="58" t="n"/>
      <c r="K2495" s="63">
        <f>IF(tblMovement[[#This Row],[Source]]="","",IFERROR(INDEX(tblSources[Type],MATCH(tblMovement[[#This Row],[Source]],tblSources[Source],0)),"?"))</f>
        <v/>
      </c>
      <c r="L2495" s="63">
        <f>IF(tblMovement[[#This Row],[Destination]]="","",IFERROR(INDEX(tblDestinations[Type],MATCH(tblMovement[[#This Row],[Destination]],tblDestinations[Destination],0)),"?"))</f>
        <v/>
      </c>
      <c r="M2495" s="64">
        <f>IF(tblMovement[[#This Row],[Material]]="","",IF(LEFT(tblMovement[[#This Row],[Material]],3)="Ore",1,0))</f>
        <v/>
      </c>
      <c r="N2495" s="59">
        <f>IF(OR(tblMovement[[#This Row],[Tonnes_t]]="",tblMovement[[#This Row],[Grade_gpt]]=""),0,tblMovement[[#This Row],[Tonnes_t]]*tblMovement[[#This Row],[Grade_gpt]]/cfg_TroyOz)</f>
        <v/>
      </c>
      <c r="O2495" s="59">
        <f>IF(tblMovement[[#This Row],[Is_Ore]]=1,tblMovement[[#This Row],[Contained_oz]],0)</f>
        <v/>
      </c>
    </row>
    <row r="2496">
      <c r="A2496" s="54" t="n"/>
      <c r="B2496" s="61" t="n"/>
      <c r="C2496" s="61" t="n"/>
      <c r="D2496" s="61" t="n"/>
      <c r="E2496" s="61" t="n"/>
      <c r="F2496" s="55" t="n"/>
      <c r="G2496" s="56" t="n"/>
      <c r="H2496" s="55" t="n"/>
      <c r="I2496" s="62" t="n"/>
      <c r="J2496" s="58" t="n"/>
      <c r="K2496" s="63">
        <f>IF(tblMovement[[#This Row],[Source]]="","",IFERROR(INDEX(tblSources[Type],MATCH(tblMovement[[#This Row],[Source]],tblSources[Source],0)),"?"))</f>
        <v/>
      </c>
      <c r="L2496" s="63">
        <f>IF(tblMovement[[#This Row],[Destination]]="","",IFERROR(INDEX(tblDestinations[Type],MATCH(tblMovement[[#This Row],[Destination]],tblDestinations[Destination],0)),"?"))</f>
        <v/>
      </c>
      <c r="M2496" s="64">
        <f>IF(tblMovement[[#This Row],[Material]]="","",IF(LEFT(tblMovement[[#This Row],[Material]],3)="Ore",1,0))</f>
        <v/>
      </c>
      <c r="N2496" s="59">
        <f>IF(OR(tblMovement[[#This Row],[Tonnes_t]]="",tblMovement[[#This Row],[Grade_gpt]]=""),0,tblMovement[[#This Row],[Tonnes_t]]*tblMovement[[#This Row],[Grade_gpt]]/cfg_TroyOz)</f>
        <v/>
      </c>
      <c r="O2496" s="59">
        <f>IF(tblMovement[[#This Row],[Is_Ore]]=1,tblMovement[[#This Row],[Contained_oz]],0)</f>
        <v/>
      </c>
    </row>
    <row r="2497">
      <c r="A2497" s="54" t="n"/>
      <c r="B2497" s="61" t="n"/>
      <c r="C2497" s="61" t="n"/>
      <c r="D2497" s="61" t="n"/>
      <c r="E2497" s="61" t="n"/>
      <c r="F2497" s="55" t="n"/>
      <c r="G2497" s="56" t="n"/>
      <c r="H2497" s="55" t="n"/>
      <c r="I2497" s="62" t="n"/>
      <c r="J2497" s="58" t="n"/>
      <c r="K2497" s="63">
        <f>IF(tblMovement[[#This Row],[Source]]="","",IFERROR(INDEX(tblSources[Type],MATCH(tblMovement[[#This Row],[Source]],tblSources[Source],0)),"?"))</f>
        <v/>
      </c>
      <c r="L2497" s="63">
        <f>IF(tblMovement[[#This Row],[Destination]]="","",IFERROR(INDEX(tblDestinations[Type],MATCH(tblMovement[[#This Row],[Destination]],tblDestinations[Destination],0)),"?"))</f>
        <v/>
      </c>
      <c r="M2497" s="64">
        <f>IF(tblMovement[[#This Row],[Material]]="","",IF(LEFT(tblMovement[[#This Row],[Material]],3)="Ore",1,0))</f>
        <v/>
      </c>
      <c r="N2497" s="59">
        <f>IF(OR(tblMovement[[#This Row],[Tonnes_t]]="",tblMovement[[#This Row],[Grade_gpt]]=""),0,tblMovement[[#This Row],[Tonnes_t]]*tblMovement[[#This Row],[Grade_gpt]]/cfg_TroyOz)</f>
        <v/>
      </c>
      <c r="O2497" s="59">
        <f>IF(tblMovement[[#This Row],[Is_Ore]]=1,tblMovement[[#This Row],[Contained_oz]],0)</f>
        <v/>
      </c>
    </row>
    <row r="2498">
      <c r="A2498" s="54" t="n"/>
      <c r="B2498" s="61" t="n"/>
      <c r="C2498" s="61" t="n"/>
      <c r="D2498" s="61" t="n"/>
      <c r="E2498" s="61" t="n"/>
      <c r="F2498" s="55" t="n"/>
      <c r="G2498" s="56" t="n"/>
      <c r="H2498" s="55" t="n"/>
      <c r="I2498" s="62" t="n"/>
      <c r="J2498" s="58" t="n"/>
      <c r="K2498" s="63">
        <f>IF(tblMovement[[#This Row],[Source]]="","",IFERROR(INDEX(tblSources[Type],MATCH(tblMovement[[#This Row],[Source]],tblSources[Source],0)),"?"))</f>
        <v/>
      </c>
      <c r="L2498" s="63">
        <f>IF(tblMovement[[#This Row],[Destination]]="","",IFERROR(INDEX(tblDestinations[Type],MATCH(tblMovement[[#This Row],[Destination]],tblDestinations[Destination],0)),"?"))</f>
        <v/>
      </c>
      <c r="M2498" s="64">
        <f>IF(tblMovement[[#This Row],[Material]]="","",IF(LEFT(tblMovement[[#This Row],[Material]],3)="Ore",1,0))</f>
        <v/>
      </c>
      <c r="N2498" s="59">
        <f>IF(OR(tblMovement[[#This Row],[Tonnes_t]]="",tblMovement[[#This Row],[Grade_gpt]]=""),0,tblMovement[[#This Row],[Tonnes_t]]*tblMovement[[#This Row],[Grade_gpt]]/cfg_TroyOz)</f>
        <v/>
      </c>
      <c r="O2498" s="59">
        <f>IF(tblMovement[[#This Row],[Is_Ore]]=1,tblMovement[[#This Row],[Contained_oz]],0)</f>
        <v/>
      </c>
    </row>
    <row r="2499">
      <c r="A2499" s="54" t="n"/>
      <c r="B2499" s="61" t="n"/>
      <c r="C2499" s="61" t="n"/>
      <c r="D2499" s="61" t="n"/>
      <c r="E2499" s="61" t="n"/>
      <c r="F2499" s="55" t="n"/>
      <c r="G2499" s="56" t="n"/>
      <c r="H2499" s="55" t="n"/>
      <c r="I2499" s="62" t="n"/>
      <c r="J2499" s="58" t="n"/>
      <c r="K2499" s="63">
        <f>IF(tblMovement[[#This Row],[Source]]="","",IFERROR(INDEX(tblSources[Type],MATCH(tblMovement[[#This Row],[Source]],tblSources[Source],0)),"?"))</f>
        <v/>
      </c>
      <c r="L2499" s="63">
        <f>IF(tblMovement[[#This Row],[Destination]]="","",IFERROR(INDEX(tblDestinations[Type],MATCH(tblMovement[[#This Row],[Destination]],tblDestinations[Destination],0)),"?"))</f>
        <v/>
      </c>
      <c r="M2499" s="64">
        <f>IF(tblMovement[[#This Row],[Material]]="","",IF(LEFT(tblMovement[[#This Row],[Material]],3)="Ore",1,0))</f>
        <v/>
      </c>
      <c r="N2499" s="59">
        <f>IF(OR(tblMovement[[#This Row],[Tonnes_t]]="",tblMovement[[#This Row],[Grade_gpt]]=""),0,tblMovement[[#This Row],[Tonnes_t]]*tblMovement[[#This Row],[Grade_gpt]]/cfg_TroyOz)</f>
        <v/>
      </c>
      <c r="O2499" s="59">
        <f>IF(tblMovement[[#This Row],[Is_Ore]]=1,tblMovement[[#This Row],[Contained_oz]],0)</f>
        <v/>
      </c>
    </row>
    <row r="2500">
      <c r="A2500" s="54" t="n"/>
      <c r="B2500" s="61" t="n"/>
      <c r="C2500" s="61" t="n"/>
      <c r="D2500" s="61" t="n"/>
      <c r="E2500" s="61" t="n"/>
      <c r="F2500" s="55" t="n"/>
      <c r="G2500" s="56" t="n"/>
      <c r="H2500" s="55" t="n"/>
      <c r="I2500" s="62" t="n"/>
      <c r="J2500" s="58" t="n"/>
      <c r="K2500" s="63">
        <f>IF(tblMovement[[#This Row],[Source]]="","",IFERROR(INDEX(tblSources[Type],MATCH(tblMovement[[#This Row],[Source]],tblSources[Source],0)),"?"))</f>
        <v/>
      </c>
      <c r="L2500" s="63">
        <f>IF(tblMovement[[#This Row],[Destination]]="","",IFERROR(INDEX(tblDestinations[Type],MATCH(tblMovement[[#This Row],[Destination]],tblDestinations[Destination],0)),"?"))</f>
        <v/>
      </c>
      <c r="M2500" s="64">
        <f>IF(tblMovement[[#This Row],[Material]]="","",IF(LEFT(tblMovement[[#This Row],[Material]],3)="Ore",1,0))</f>
        <v/>
      </c>
      <c r="N2500" s="59">
        <f>IF(OR(tblMovement[[#This Row],[Tonnes_t]]="",tblMovement[[#This Row],[Grade_gpt]]=""),0,tblMovement[[#This Row],[Tonnes_t]]*tblMovement[[#This Row],[Grade_gpt]]/cfg_TroyOz)</f>
        <v/>
      </c>
      <c r="O2500" s="59">
        <f>IF(tblMovement[[#This Row],[Is_Ore]]=1,tblMovement[[#This Row],[Contained_oz]],0)</f>
        <v/>
      </c>
    </row>
    <row r="2501">
      <c r="A2501" s="54" t="n"/>
      <c r="B2501" s="61" t="n"/>
      <c r="C2501" s="61" t="n"/>
      <c r="D2501" s="61" t="n"/>
      <c r="E2501" s="61" t="n"/>
      <c r="F2501" s="55" t="n"/>
      <c r="G2501" s="56" t="n"/>
      <c r="H2501" s="55" t="n"/>
      <c r="I2501" s="62" t="n"/>
      <c r="J2501" s="58" t="n"/>
      <c r="K2501" s="63">
        <f>IF(tblMovement[[#This Row],[Source]]="","",IFERROR(INDEX(tblSources[Type],MATCH(tblMovement[[#This Row],[Source]],tblSources[Source],0)),"?"))</f>
        <v/>
      </c>
      <c r="L2501" s="63">
        <f>IF(tblMovement[[#This Row],[Destination]]="","",IFERROR(INDEX(tblDestinations[Type],MATCH(tblMovement[[#This Row],[Destination]],tblDestinations[Destination],0)),"?"))</f>
        <v/>
      </c>
      <c r="M2501" s="64">
        <f>IF(tblMovement[[#This Row],[Material]]="","",IF(LEFT(tblMovement[[#This Row],[Material]],3)="Ore",1,0))</f>
        <v/>
      </c>
      <c r="N2501" s="59">
        <f>IF(OR(tblMovement[[#This Row],[Tonnes_t]]="",tblMovement[[#This Row],[Grade_gpt]]=""),0,tblMovement[[#This Row],[Tonnes_t]]*tblMovement[[#This Row],[Grade_gpt]]/cfg_TroyOz)</f>
        <v/>
      </c>
      <c r="O2501" s="59">
        <f>IF(tblMovement[[#This Row],[Is_Ore]]=1,tblMovement[[#This Row],[Contained_oz]],0)</f>
        <v/>
      </c>
    </row>
    <row r="2502">
      <c r="A2502" s="54" t="n"/>
      <c r="B2502" s="61" t="n"/>
      <c r="C2502" s="61" t="n"/>
      <c r="D2502" s="61" t="n"/>
      <c r="E2502" s="61" t="n"/>
      <c r="F2502" s="55" t="n"/>
      <c r="G2502" s="56" t="n"/>
      <c r="H2502" s="55" t="n"/>
      <c r="I2502" s="62" t="n"/>
      <c r="J2502" s="58" t="n"/>
      <c r="K2502" s="63">
        <f>IF(tblMovement[[#This Row],[Source]]="","",IFERROR(INDEX(tblSources[Type],MATCH(tblMovement[[#This Row],[Source]],tblSources[Source],0)),"?"))</f>
        <v/>
      </c>
      <c r="L2502" s="63">
        <f>IF(tblMovement[[#This Row],[Destination]]="","",IFERROR(INDEX(tblDestinations[Type],MATCH(tblMovement[[#This Row],[Destination]],tblDestinations[Destination],0)),"?"))</f>
        <v/>
      </c>
      <c r="M2502" s="64">
        <f>IF(tblMovement[[#This Row],[Material]]="","",IF(LEFT(tblMovement[[#This Row],[Material]],3)="Ore",1,0))</f>
        <v/>
      </c>
      <c r="N2502" s="59">
        <f>IF(OR(tblMovement[[#This Row],[Tonnes_t]]="",tblMovement[[#This Row],[Grade_gpt]]=""),0,tblMovement[[#This Row],[Tonnes_t]]*tblMovement[[#This Row],[Grade_gpt]]/cfg_TroyOz)</f>
        <v/>
      </c>
      <c r="O2502" s="59">
        <f>IF(tblMovement[[#This Row],[Is_Ore]]=1,tblMovement[[#This Row],[Contained_oz]],0)</f>
        <v/>
      </c>
    </row>
    <row r="2503">
      <c r="A2503" s="54" t="n"/>
      <c r="B2503" s="61" t="n"/>
      <c r="C2503" s="61" t="n"/>
      <c r="D2503" s="61" t="n"/>
      <c r="E2503" s="61" t="n"/>
      <c r="F2503" s="55" t="n"/>
      <c r="G2503" s="56" t="n"/>
      <c r="H2503" s="55" t="n"/>
      <c r="I2503" s="62" t="n"/>
      <c r="J2503" s="58" t="n"/>
      <c r="K2503" s="63">
        <f>IF(tblMovement[[#This Row],[Source]]="","",IFERROR(INDEX(tblSources[Type],MATCH(tblMovement[[#This Row],[Source]],tblSources[Source],0)),"?"))</f>
        <v/>
      </c>
      <c r="L2503" s="63">
        <f>IF(tblMovement[[#This Row],[Destination]]="","",IFERROR(INDEX(tblDestinations[Type],MATCH(tblMovement[[#This Row],[Destination]],tblDestinations[Destination],0)),"?"))</f>
        <v/>
      </c>
      <c r="M2503" s="64">
        <f>IF(tblMovement[[#This Row],[Material]]="","",IF(LEFT(tblMovement[[#This Row],[Material]],3)="Ore",1,0))</f>
        <v/>
      </c>
      <c r="N2503" s="59">
        <f>IF(OR(tblMovement[[#This Row],[Tonnes_t]]="",tblMovement[[#This Row],[Grade_gpt]]=""),0,tblMovement[[#This Row],[Tonnes_t]]*tblMovement[[#This Row],[Grade_gpt]]/cfg_TroyOz)</f>
        <v/>
      </c>
      <c r="O2503" s="59">
        <f>IF(tblMovement[[#This Row],[Is_Ore]]=1,tblMovement[[#This Row],[Contained_oz]],0)</f>
        <v/>
      </c>
    </row>
    <row r="2504">
      <c r="A2504" s="54" t="n"/>
      <c r="B2504" s="61" t="n"/>
      <c r="C2504" s="61" t="n"/>
      <c r="D2504" s="61" t="n"/>
      <c r="E2504" s="61" t="n"/>
      <c r="F2504" s="55" t="n"/>
      <c r="G2504" s="56" t="n"/>
      <c r="H2504" s="55" t="n"/>
      <c r="I2504" s="62" t="n"/>
      <c r="J2504" s="58" t="n"/>
      <c r="K2504" s="63">
        <f>IF(tblMovement[[#This Row],[Source]]="","",IFERROR(INDEX(tblSources[Type],MATCH(tblMovement[[#This Row],[Source]],tblSources[Source],0)),"?"))</f>
        <v/>
      </c>
      <c r="L2504" s="63">
        <f>IF(tblMovement[[#This Row],[Destination]]="","",IFERROR(INDEX(tblDestinations[Type],MATCH(tblMovement[[#This Row],[Destination]],tblDestinations[Destination],0)),"?"))</f>
        <v/>
      </c>
      <c r="M2504" s="64">
        <f>IF(tblMovement[[#This Row],[Material]]="","",IF(LEFT(tblMovement[[#This Row],[Material]],3)="Ore",1,0))</f>
        <v/>
      </c>
      <c r="N2504" s="59">
        <f>IF(OR(tblMovement[[#This Row],[Tonnes_t]]="",tblMovement[[#This Row],[Grade_gpt]]=""),0,tblMovement[[#This Row],[Tonnes_t]]*tblMovement[[#This Row],[Grade_gpt]]/cfg_TroyOz)</f>
        <v/>
      </c>
      <c r="O2504" s="59">
        <f>IF(tblMovement[[#This Row],[Is_Ore]]=1,tblMovement[[#This Row],[Contained_oz]],0)</f>
        <v/>
      </c>
    </row>
    <row r="2505">
      <c r="A2505" s="54" t="n"/>
      <c r="B2505" s="61" t="n"/>
      <c r="C2505" s="61" t="n"/>
      <c r="D2505" s="61" t="n"/>
      <c r="E2505" s="61" t="n"/>
      <c r="F2505" s="55" t="n"/>
      <c r="G2505" s="56" t="n"/>
      <c r="H2505" s="55" t="n"/>
      <c r="I2505" s="62" t="n"/>
      <c r="J2505" s="58" t="n"/>
      <c r="K2505" s="63">
        <f>IF(tblMovement[[#This Row],[Source]]="","",IFERROR(INDEX(tblSources[Type],MATCH(tblMovement[[#This Row],[Source]],tblSources[Source],0)),"?"))</f>
        <v/>
      </c>
      <c r="L2505" s="63">
        <f>IF(tblMovement[[#This Row],[Destination]]="","",IFERROR(INDEX(tblDestinations[Type],MATCH(tblMovement[[#This Row],[Destination]],tblDestinations[Destination],0)),"?"))</f>
        <v/>
      </c>
      <c r="M2505" s="64">
        <f>IF(tblMovement[[#This Row],[Material]]="","",IF(LEFT(tblMovement[[#This Row],[Material]],3)="Ore",1,0))</f>
        <v/>
      </c>
      <c r="N2505" s="59">
        <f>IF(OR(tblMovement[[#This Row],[Tonnes_t]]="",tblMovement[[#This Row],[Grade_gpt]]=""),0,tblMovement[[#This Row],[Tonnes_t]]*tblMovement[[#This Row],[Grade_gpt]]/cfg_TroyOz)</f>
        <v/>
      </c>
      <c r="O2505" s="59">
        <f>IF(tblMovement[[#This Row],[Is_Ore]]=1,tblMovement[[#This Row],[Contained_oz]],0)</f>
        <v/>
      </c>
    </row>
    <row r="2506">
      <c r="A2506" s="54" t="n"/>
      <c r="B2506" s="61" t="n"/>
      <c r="C2506" s="61" t="n"/>
      <c r="D2506" s="61" t="n"/>
      <c r="E2506" s="61" t="n"/>
      <c r="F2506" s="55" t="n"/>
      <c r="G2506" s="56" t="n"/>
      <c r="H2506" s="55" t="n"/>
      <c r="I2506" s="62" t="n"/>
      <c r="J2506" s="58" t="n"/>
      <c r="K2506" s="63">
        <f>IF(tblMovement[[#This Row],[Source]]="","",IFERROR(INDEX(tblSources[Type],MATCH(tblMovement[[#This Row],[Source]],tblSources[Source],0)),"?"))</f>
        <v/>
      </c>
      <c r="L2506" s="63">
        <f>IF(tblMovement[[#This Row],[Destination]]="","",IFERROR(INDEX(tblDestinations[Type],MATCH(tblMovement[[#This Row],[Destination]],tblDestinations[Destination],0)),"?"))</f>
        <v/>
      </c>
      <c r="M2506" s="64">
        <f>IF(tblMovement[[#This Row],[Material]]="","",IF(LEFT(tblMovement[[#This Row],[Material]],3)="Ore",1,0))</f>
        <v/>
      </c>
      <c r="N2506" s="59">
        <f>IF(OR(tblMovement[[#This Row],[Tonnes_t]]="",tblMovement[[#This Row],[Grade_gpt]]=""),0,tblMovement[[#This Row],[Tonnes_t]]*tblMovement[[#This Row],[Grade_gpt]]/cfg_TroyOz)</f>
        <v/>
      </c>
      <c r="O2506" s="59">
        <f>IF(tblMovement[[#This Row],[Is_Ore]]=1,tblMovement[[#This Row],[Contained_oz]],0)</f>
        <v/>
      </c>
    </row>
    <row r="2507">
      <c r="A2507" s="54" t="n"/>
      <c r="B2507" s="61" t="n"/>
      <c r="C2507" s="61" t="n"/>
      <c r="D2507" s="61" t="n"/>
      <c r="E2507" s="61" t="n"/>
      <c r="F2507" s="55" t="n"/>
      <c r="G2507" s="56" t="n"/>
      <c r="H2507" s="55" t="n"/>
      <c r="I2507" s="62" t="n"/>
      <c r="J2507" s="58" t="n"/>
      <c r="K2507" s="63">
        <f>IF(tblMovement[[#This Row],[Source]]="","",IFERROR(INDEX(tblSources[Type],MATCH(tblMovement[[#This Row],[Source]],tblSources[Source],0)),"?"))</f>
        <v/>
      </c>
      <c r="L2507" s="63">
        <f>IF(tblMovement[[#This Row],[Destination]]="","",IFERROR(INDEX(tblDestinations[Type],MATCH(tblMovement[[#This Row],[Destination]],tblDestinations[Destination],0)),"?"))</f>
        <v/>
      </c>
      <c r="M2507" s="64">
        <f>IF(tblMovement[[#This Row],[Material]]="","",IF(LEFT(tblMovement[[#This Row],[Material]],3)="Ore",1,0))</f>
        <v/>
      </c>
      <c r="N2507" s="59">
        <f>IF(OR(tblMovement[[#This Row],[Tonnes_t]]="",tblMovement[[#This Row],[Grade_gpt]]=""),0,tblMovement[[#This Row],[Tonnes_t]]*tblMovement[[#This Row],[Grade_gpt]]/cfg_TroyOz)</f>
        <v/>
      </c>
      <c r="O2507" s="59">
        <f>IF(tblMovement[[#This Row],[Is_Ore]]=1,tblMovement[[#This Row],[Contained_oz]],0)</f>
        <v/>
      </c>
    </row>
    <row r="2508">
      <c r="A2508" s="54" t="n"/>
      <c r="B2508" s="61" t="n"/>
      <c r="C2508" s="61" t="n"/>
      <c r="D2508" s="61" t="n"/>
      <c r="E2508" s="61" t="n"/>
      <c r="F2508" s="55" t="n"/>
      <c r="G2508" s="56" t="n"/>
      <c r="H2508" s="55" t="n"/>
      <c r="I2508" s="62" t="n"/>
      <c r="J2508" s="58" t="n"/>
      <c r="K2508" s="63">
        <f>IF(tblMovement[[#This Row],[Source]]="","",IFERROR(INDEX(tblSources[Type],MATCH(tblMovement[[#This Row],[Source]],tblSources[Source],0)),"?"))</f>
        <v/>
      </c>
      <c r="L2508" s="63">
        <f>IF(tblMovement[[#This Row],[Destination]]="","",IFERROR(INDEX(tblDestinations[Type],MATCH(tblMovement[[#This Row],[Destination]],tblDestinations[Destination],0)),"?"))</f>
        <v/>
      </c>
      <c r="M2508" s="64">
        <f>IF(tblMovement[[#This Row],[Material]]="","",IF(LEFT(tblMovement[[#This Row],[Material]],3)="Ore",1,0))</f>
        <v/>
      </c>
      <c r="N2508" s="59">
        <f>IF(OR(tblMovement[[#This Row],[Tonnes_t]]="",tblMovement[[#This Row],[Grade_gpt]]=""),0,tblMovement[[#This Row],[Tonnes_t]]*tblMovement[[#This Row],[Grade_gpt]]/cfg_TroyOz)</f>
        <v/>
      </c>
      <c r="O2508" s="59">
        <f>IF(tblMovement[[#This Row],[Is_Ore]]=1,tblMovement[[#This Row],[Contained_oz]],0)</f>
        <v/>
      </c>
    </row>
    <row r="2509">
      <c r="A2509" s="54" t="n"/>
      <c r="B2509" s="61" t="n"/>
      <c r="C2509" s="61" t="n"/>
      <c r="D2509" s="61" t="n"/>
      <c r="E2509" s="61" t="n"/>
      <c r="F2509" s="55" t="n"/>
      <c r="G2509" s="56" t="n"/>
      <c r="H2509" s="55" t="n"/>
      <c r="I2509" s="62" t="n"/>
      <c r="J2509" s="58" t="n"/>
      <c r="K2509" s="63">
        <f>IF(tblMovement[[#This Row],[Source]]="","",IFERROR(INDEX(tblSources[Type],MATCH(tblMovement[[#This Row],[Source]],tblSources[Source],0)),"?"))</f>
        <v/>
      </c>
      <c r="L2509" s="63">
        <f>IF(tblMovement[[#This Row],[Destination]]="","",IFERROR(INDEX(tblDestinations[Type],MATCH(tblMovement[[#This Row],[Destination]],tblDestinations[Destination],0)),"?"))</f>
        <v/>
      </c>
      <c r="M2509" s="64">
        <f>IF(tblMovement[[#This Row],[Material]]="","",IF(LEFT(tblMovement[[#This Row],[Material]],3)="Ore",1,0))</f>
        <v/>
      </c>
      <c r="N2509" s="59">
        <f>IF(OR(tblMovement[[#This Row],[Tonnes_t]]="",tblMovement[[#This Row],[Grade_gpt]]=""),0,tblMovement[[#This Row],[Tonnes_t]]*tblMovement[[#This Row],[Grade_gpt]]/cfg_TroyOz)</f>
        <v/>
      </c>
      <c r="O2509" s="59">
        <f>IF(tblMovement[[#This Row],[Is_Ore]]=1,tblMovement[[#This Row],[Contained_oz]],0)</f>
        <v/>
      </c>
    </row>
    <row r="2510">
      <c r="A2510" s="54" t="n"/>
      <c r="B2510" s="61" t="n"/>
      <c r="C2510" s="61" t="n"/>
      <c r="D2510" s="61" t="n"/>
      <c r="E2510" s="61" t="n"/>
      <c r="F2510" s="55" t="n"/>
      <c r="G2510" s="56" t="n"/>
      <c r="H2510" s="55" t="n"/>
      <c r="I2510" s="62" t="n"/>
      <c r="J2510" s="58" t="n"/>
      <c r="K2510" s="63">
        <f>IF(tblMovement[[#This Row],[Source]]="","",IFERROR(INDEX(tblSources[Type],MATCH(tblMovement[[#This Row],[Source]],tblSources[Source],0)),"?"))</f>
        <v/>
      </c>
      <c r="L2510" s="63">
        <f>IF(tblMovement[[#This Row],[Destination]]="","",IFERROR(INDEX(tblDestinations[Type],MATCH(tblMovement[[#This Row],[Destination]],tblDestinations[Destination],0)),"?"))</f>
        <v/>
      </c>
      <c r="M2510" s="64">
        <f>IF(tblMovement[[#This Row],[Material]]="","",IF(LEFT(tblMovement[[#This Row],[Material]],3)="Ore",1,0))</f>
        <v/>
      </c>
      <c r="N2510" s="59">
        <f>IF(OR(tblMovement[[#This Row],[Tonnes_t]]="",tblMovement[[#This Row],[Grade_gpt]]=""),0,tblMovement[[#This Row],[Tonnes_t]]*tblMovement[[#This Row],[Grade_gpt]]/cfg_TroyOz)</f>
        <v/>
      </c>
      <c r="O2510" s="59">
        <f>IF(tblMovement[[#This Row],[Is_Ore]]=1,tblMovement[[#This Row],[Contained_oz]],0)</f>
        <v/>
      </c>
    </row>
    <row r="2511">
      <c r="A2511" s="54" t="n"/>
      <c r="B2511" s="61" t="n"/>
      <c r="C2511" s="61" t="n"/>
      <c r="D2511" s="61" t="n"/>
      <c r="E2511" s="61" t="n"/>
      <c r="F2511" s="55" t="n"/>
      <c r="G2511" s="56" t="n"/>
      <c r="H2511" s="55" t="n"/>
      <c r="I2511" s="62" t="n"/>
      <c r="J2511" s="58" t="n"/>
      <c r="K2511" s="63">
        <f>IF(tblMovement[[#This Row],[Source]]="","",IFERROR(INDEX(tblSources[Type],MATCH(tblMovement[[#This Row],[Source]],tblSources[Source],0)),"?"))</f>
        <v/>
      </c>
      <c r="L2511" s="63">
        <f>IF(tblMovement[[#This Row],[Destination]]="","",IFERROR(INDEX(tblDestinations[Type],MATCH(tblMovement[[#This Row],[Destination]],tblDestinations[Destination],0)),"?"))</f>
        <v/>
      </c>
      <c r="M2511" s="64">
        <f>IF(tblMovement[[#This Row],[Material]]="","",IF(LEFT(tblMovement[[#This Row],[Material]],3)="Ore",1,0))</f>
        <v/>
      </c>
      <c r="N2511" s="59">
        <f>IF(OR(tblMovement[[#This Row],[Tonnes_t]]="",tblMovement[[#This Row],[Grade_gpt]]=""),0,tblMovement[[#This Row],[Tonnes_t]]*tblMovement[[#This Row],[Grade_gpt]]/cfg_TroyOz)</f>
        <v/>
      </c>
      <c r="O2511" s="59">
        <f>IF(tblMovement[[#This Row],[Is_Ore]]=1,tblMovement[[#This Row],[Contained_oz]],0)</f>
        <v/>
      </c>
    </row>
    <row r="2512">
      <c r="A2512" s="54" t="n"/>
      <c r="B2512" s="61" t="n"/>
      <c r="C2512" s="61" t="n"/>
      <c r="D2512" s="61" t="n"/>
      <c r="E2512" s="61" t="n"/>
      <c r="F2512" s="55" t="n"/>
      <c r="G2512" s="56" t="n"/>
      <c r="H2512" s="55" t="n"/>
      <c r="I2512" s="62" t="n"/>
      <c r="J2512" s="58" t="n"/>
      <c r="K2512" s="63">
        <f>IF(tblMovement[[#This Row],[Source]]="","",IFERROR(INDEX(tblSources[Type],MATCH(tblMovement[[#This Row],[Source]],tblSources[Source],0)),"?"))</f>
        <v/>
      </c>
      <c r="L2512" s="63">
        <f>IF(tblMovement[[#This Row],[Destination]]="","",IFERROR(INDEX(tblDestinations[Type],MATCH(tblMovement[[#This Row],[Destination]],tblDestinations[Destination],0)),"?"))</f>
        <v/>
      </c>
      <c r="M2512" s="64">
        <f>IF(tblMovement[[#This Row],[Material]]="","",IF(LEFT(tblMovement[[#This Row],[Material]],3)="Ore",1,0))</f>
        <v/>
      </c>
      <c r="N2512" s="59">
        <f>IF(OR(tblMovement[[#This Row],[Tonnes_t]]="",tblMovement[[#This Row],[Grade_gpt]]=""),0,tblMovement[[#This Row],[Tonnes_t]]*tblMovement[[#This Row],[Grade_gpt]]/cfg_TroyOz)</f>
        <v/>
      </c>
      <c r="O2512" s="59">
        <f>IF(tblMovement[[#This Row],[Is_Ore]]=1,tblMovement[[#This Row],[Contained_oz]],0)</f>
        <v/>
      </c>
    </row>
    <row r="2513">
      <c r="A2513" s="54" t="n"/>
      <c r="B2513" s="61" t="n"/>
      <c r="C2513" s="61" t="n"/>
      <c r="D2513" s="61" t="n"/>
      <c r="E2513" s="61" t="n"/>
      <c r="F2513" s="55" t="n"/>
      <c r="G2513" s="56" t="n"/>
      <c r="H2513" s="55" t="n"/>
      <c r="I2513" s="62" t="n"/>
      <c r="J2513" s="58" t="n"/>
      <c r="K2513" s="63">
        <f>IF(tblMovement[[#This Row],[Source]]="","",IFERROR(INDEX(tblSources[Type],MATCH(tblMovement[[#This Row],[Source]],tblSources[Source],0)),"?"))</f>
        <v/>
      </c>
      <c r="L2513" s="63">
        <f>IF(tblMovement[[#This Row],[Destination]]="","",IFERROR(INDEX(tblDestinations[Type],MATCH(tblMovement[[#This Row],[Destination]],tblDestinations[Destination],0)),"?"))</f>
        <v/>
      </c>
      <c r="M2513" s="64">
        <f>IF(tblMovement[[#This Row],[Material]]="","",IF(LEFT(tblMovement[[#This Row],[Material]],3)="Ore",1,0))</f>
        <v/>
      </c>
      <c r="N2513" s="59">
        <f>IF(OR(tblMovement[[#This Row],[Tonnes_t]]="",tblMovement[[#This Row],[Grade_gpt]]=""),0,tblMovement[[#This Row],[Tonnes_t]]*tblMovement[[#This Row],[Grade_gpt]]/cfg_TroyOz)</f>
        <v/>
      </c>
      <c r="O2513" s="59">
        <f>IF(tblMovement[[#This Row],[Is_Ore]]=1,tblMovement[[#This Row],[Contained_oz]],0)</f>
        <v/>
      </c>
    </row>
    <row r="2514">
      <c r="A2514" s="54" t="n"/>
      <c r="B2514" s="61" t="n"/>
      <c r="C2514" s="61" t="n"/>
      <c r="D2514" s="61" t="n"/>
      <c r="E2514" s="61" t="n"/>
      <c r="F2514" s="55" t="n"/>
      <c r="G2514" s="56" t="n"/>
      <c r="H2514" s="55" t="n"/>
      <c r="I2514" s="62" t="n"/>
      <c r="J2514" s="58" t="n"/>
      <c r="K2514" s="63">
        <f>IF(tblMovement[[#This Row],[Source]]="","",IFERROR(INDEX(tblSources[Type],MATCH(tblMovement[[#This Row],[Source]],tblSources[Source],0)),"?"))</f>
        <v/>
      </c>
      <c r="L2514" s="63">
        <f>IF(tblMovement[[#This Row],[Destination]]="","",IFERROR(INDEX(tblDestinations[Type],MATCH(tblMovement[[#This Row],[Destination]],tblDestinations[Destination],0)),"?"))</f>
        <v/>
      </c>
      <c r="M2514" s="64">
        <f>IF(tblMovement[[#This Row],[Material]]="","",IF(LEFT(tblMovement[[#This Row],[Material]],3)="Ore",1,0))</f>
        <v/>
      </c>
      <c r="N2514" s="59">
        <f>IF(OR(tblMovement[[#This Row],[Tonnes_t]]="",tblMovement[[#This Row],[Grade_gpt]]=""),0,tblMovement[[#This Row],[Tonnes_t]]*tblMovement[[#This Row],[Grade_gpt]]/cfg_TroyOz)</f>
        <v/>
      </c>
      <c r="O2514" s="59">
        <f>IF(tblMovement[[#This Row],[Is_Ore]]=1,tblMovement[[#This Row],[Contained_oz]],0)</f>
        <v/>
      </c>
    </row>
    <row r="2515">
      <c r="A2515" s="54" t="n"/>
      <c r="B2515" s="61" t="n"/>
      <c r="C2515" s="61" t="n"/>
      <c r="D2515" s="61" t="n"/>
      <c r="E2515" s="61" t="n"/>
      <c r="F2515" s="55" t="n"/>
      <c r="G2515" s="56" t="n"/>
      <c r="H2515" s="55" t="n"/>
      <c r="I2515" s="62" t="n"/>
      <c r="J2515" s="58" t="n"/>
      <c r="K2515" s="63">
        <f>IF(tblMovement[[#This Row],[Source]]="","",IFERROR(INDEX(tblSources[Type],MATCH(tblMovement[[#This Row],[Source]],tblSources[Source],0)),"?"))</f>
        <v/>
      </c>
      <c r="L2515" s="63">
        <f>IF(tblMovement[[#This Row],[Destination]]="","",IFERROR(INDEX(tblDestinations[Type],MATCH(tblMovement[[#This Row],[Destination]],tblDestinations[Destination],0)),"?"))</f>
        <v/>
      </c>
      <c r="M2515" s="64">
        <f>IF(tblMovement[[#This Row],[Material]]="","",IF(LEFT(tblMovement[[#This Row],[Material]],3)="Ore",1,0))</f>
        <v/>
      </c>
      <c r="N2515" s="59">
        <f>IF(OR(tblMovement[[#This Row],[Tonnes_t]]="",tblMovement[[#This Row],[Grade_gpt]]=""),0,tblMovement[[#This Row],[Tonnes_t]]*tblMovement[[#This Row],[Grade_gpt]]/cfg_TroyOz)</f>
        <v/>
      </c>
      <c r="O2515" s="59">
        <f>IF(tblMovement[[#This Row],[Is_Ore]]=1,tblMovement[[#This Row],[Contained_oz]],0)</f>
        <v/>
      </c>
    </row>
    <row r="2516">
      <c r="A2516" s="54" t="n"/>
      <c r="B2516" s="61" t="n"/>
      <c r="C2516" s="61" t="n"/>
      <c r="D2516" s="61" t="n"/>
      <c r="E2516" s="61" t="n"/>
      <c r="F2516" s="55" t="n"/>
      <c r="G2516" s="56" t="n"/>
      <c r="H2516" s="55" t="n"/>
      <c r="I2516" s="62" t="n"/>
      <c r="J2516" s="58" t="n"/>
      <c r="K2516" s="63">
        <f>IF(tblMovement[[#This Row],[Source]]="","",IFERROR(INDEX(tblSources[Type],MATCH(tblMovement[[#This Row],[Source]],tblSources[Source],0)),"?"))</f>
        <v/>
      </c>
      <c r="L2516" s="63">
        <f>IF(tblMovement[[#This Row],[Destination]]="","",IFERROR(INDEX(tblDestinations[Type],MATCH(tblMovement[[#This Row],[Destination]],tblDestinations[Destination],0)),"?"))</f>
        <v/>
      </c>
      <c r="M2516" s="64">
        <f>IF(tblMovement[[#This Row],[Material]]="","",IF(LEFT(tblMovement[[#This Row],[Material]],3)="Ore",1,0))</f>
        <v/>
      </c>
      <c r="N2516" s="59">
        <f>IF(OR(tblMovement[[#This Row],[Tonnes_t]]="",tblMovement[[#This Row],[Grade_gpt]]=""),0,tblMovement[[#This Row],[Tonnes_t]]*tblMovement[[#This Row],[Grade_gpt]]/cfg_TroyOz)</f>
        <v/>
      </c>
      <c r="O2516" s="59">
        <f>IF(tblMovement[[#This Row],[Is_Ore]]=1,tblMovement[[#This Row],[Contained_oz]],0)</f>
        <v/>
      </c>
    </row>
    <row r="2517">
      <c r="A2517" s="54" t="n"/>
      <c r="B2517" s="61" t="n"/>
      <c r="C2517" s="61" t="n"/>
      <c r="D2517" s="61" t="n"/>
      <c r="E2517" s="61" t="n"/>
      <c r="F2517" s="55" t="n"/>
      <c r="G2517" s="56" t="n"/>
      <c r="H2517" s="55" t="n"/>
      <c r="I2517" s="62" t="n"/>
      <c r="J2517" s="58" t="n"/>
      <c r="K2517" s="63">
        <f>IF(tblMovement[[#This Row],[Source]]="","",IFERROR(INDEX(tblSources[Type],MATCH(tblMovement[[#This Row],[Source]],tblSources[Source],0)),"?"))</f>
        <v/>
      </c>
      <c r="L2517" s="63">
        <f>IF(tblMovement[[#This Row],[Destination]]="","",IFERROR(INDEX(tblDestinations[Type],MATCH(tblMovement[[#This Row],[Destination]],tblDestinations[Destination],0)),"?"))</f>
        <v/>
      </c>
      <c r="M2517" s="64">
        <f>IF(tblMovement[[#This Row],[Material]]="","",IF(LEFT(tblMovement[[#This Row],[Material]],3)="Ore",1,0))</f>
        <v/>
      </c>
      <c r="N2517" s="59">
        <f>IF(OR(tblMovement[[#This Row],[Tonnes_t]]="",tblMovement[[#This Row],[Grade_gpt]]=""),0,tblMovement[[#This Row],[Tonnes_t]]*tblMovement[[#This Row],[Grade_gpt]]/cfg_TroyOz)</f>
        <v/>
      </c>
      <c r="O2517" s="59">
        <f>IF(tblMovement[[#This Row],[Is_Ore]]=1,tblMovement[[#This Row],[Contained_oz]],0)</f>
        <v/>
      </c>
    </row>
    <row r="2518">
      <c r="A2518" s="54" t="n"/>
      <c r="B2518" s="61" t="n"/>
      <c r="C2518" s="61" t="n"/>
      <c r="D2518" s="61" t="n"/>
      <c r="E2518" s="61" t="n"/>
      <c r="F2518" s="55" t="n"/>
      <c r="G2518" s="56" t="n"/>
      <c r="H2518" s="55" t="n"/>
      <c r="I2518" s="62" t="n"/>
      <c r="J2518" s="58" t="n"/>
      <c r="K2518" s="63">
        <f>IF(tblMovement[[#This Row],[Source]]="","",IFERROR(INDEX(tblSources[Type],MATCH(tblMovement[[#This Row],[Source]],tblSources[Source],0)),"?"))</f>
        <v/>
      </c>
      <c r="L2518" s="63">
        <f>IF(tblMovement[[#This Row],[Destination]]="","",IFERROR(INDEX(tblDestinations[Type],MATCH(tblMovement[[#This Row],[Destination]],tblDestinations[Destination],0)),"?"))</f>
        <v/>
      </c>
      <c r="M2518" s="64">
        <f>IF(tblMovement[[#This Row],[Material]]="","",IF(LEFT(tblMovement[[#This Row],[Material]],3)="Ore",1,0))</f>
        <v/>
      </c>
      <c r="N2518" s="59">
        <f>IF(OR(tblMovement[[#This Row],[Tonnes_t]]="",tblMovement[[#This Row],[Grade_gpt]]=""),0,tblMovement[[#This Row],[Tonnes_t]]*tblMovement[[#This Row],[Grade_gpt]]/cfg_TroyOz)</f>
        <v/>
      </c>
      <c r="O2518" s="59">
        <f>IF(tblMovement[[#This Row],[Is_Ore]]=1,tblMovement[[#This Row],[Contained_oz]],0)</f>
        <v/>
      </c>
    </row>
    <row r="2519">
      <c r="A2519" s="54" t="n"/>
      <c r="B2519" s="61" t="n"/>
      <c r="C2519" s="61" t="n"/>
      <c r="D2519" s="61" t="n"/>
      <c r="E2519" s="61" t="n"/>
      <c r="F2519" s="55" t="n"/>
      <c r="G2519" s="56" t="n"/>
      <c r="H2519" s="55" t="n"/>
      <c r="I2519" s="62" t="n"/>
      <c r="J2519" s="58" t="n"/>
      <c r="K2519" s="63">
        <f>IF(tblMovement[[#This Row],[Source]]="","",IFERROR(INDEX(tblSources[Type],MATCH(tblMovement[[#This Row],[Source]],tblSources[Source],0)),"?"))</f>
        <v/>
      </c>
      <c r="L2519" s="63">
        <f>IF(tblMovement[[#This Row],[Destination]]="","",IFERROR(INDEX(tblDestinations[Type],MATCH(tblMovement[[#This Row],[Destination]],tblDestinations[Destination],0)),"?"))</f>
        <v/>
      </c>
      <c r="M2519" s="64">
        <f>IF(tblMovement[[#This Row],[Material]]="","",IF(LEFT(tblMovement[[#This Row],[Material]],3)="Ore",1,0))</f>
        <v/>
      </c>
      <c r="N2519" s="59">
        <f>IF(OR(tblMovement[[#This Row],[Tonnes_t]]="",tblMovement[[#This Row],[Grade_gpt]]=""),0,tblMovement[[#This Row],[Tonnes_t]]*tblMovement[[#This Row],[Grade_gpt]]/cfg_TroyOz)</f>
        <v/>
      </c>
      <c r="O2519" s="59">
        <f>IF(tblMovement[[#This Row],[Is_Ore]]=1,tblMovement[[#This Row],[Contained_oz]],0)</f>
        <v/>
      </c>
    </row>
    <row r="2520">
      <c r="A2520" s="54" t="n"/>
      <c r="B2520" s="61" t="n"/>
      <c r="C2520" s="61" t="n"/>
      <c r="D2520" s="61" t="n"/>
      <c r="E2520" s="61" t="n"/>
      <c r="F2520" s="55" t="n"/>
      <c r="G2520" s="56" t="n"/>
      <c r="H2520" s="55" t="n"/>
      <c r="I2520" s="62" t="n"/>
      <c r="J2520" s="58" t="n"/>
      <c r="K2520" s="63">
        <f>IF(tblMovement[[#This Row],[Source]]="","",IFERROR(INDEX(tblSources[Type],MATCH(tblMovement[[#This Row],[Source]],tblSources[Source],0)),"?"))</f>
        <v/>
      </c>
      <c r="L2520" s="63">
        <f>IF(tblMovement[[#This Row],[Destination]]="","",IFERROR(INDEX(tblDestinations[Type],MATCH(tblMovement[[#This Row],[Destination]],tblDestinations[Destination],0)),"?"))</f>
        <v/>
      </c>
      <c r="M2520" s="64">
        <f>IF(tblMovement[[#This Row],[Material]]="","",IF(LEFT(tblMovement[[#This Row],[Material]],3)="Ore",1,0))</f>
        <v/>
      </c>
      <c r="N2520" s="59">
        <f>IF(OR(tblMovement[[#This Row],[Tonnes_t]]="",tblMovement[[#This Row],[Grade_gpt]]=""),0,tblMovement[[#This Row],[Tonnes_t]]*tblMovement[[#This Row],[Grade_gpt]]/cfg_TroyOz)</f>
        <v/>
      </c>
      <c r="O2520" s="59">
        <f>IF(tblMovement[[#This Row],[Is_Ore]]=1,tblMovement[[#This Row],[Contained_oz]],0)</f>
        <v/>
      </c>
    </row>
    <row r="2521">
      <c r="A2521" s="54" t="n"/>
      <c r="B2521" s="61" t="n"/>
      <c r="C2521" s="61" t="n"/>
      <c r="D2521" s="61" t="n"/>
      <c r="E2521" s="61" t="n"/>
      <c r="F2521" s="55" t="n"/>
      <c r="G2521" s="56" t="n"/>
      <c r="H2521" s="55" t="n"/>
      <c r="I2521" s="62" t="n"/>
      <c r="J2521" s="58" t="n"/>
      <c r="K2521" s="63">
        <f>IF(tblMovement[[#This Row],[Source]]="","",IFERROR(INDEX(tblSources[Type],MATCH(tblMovement[[#This Row],[Source]],tblSources[Source],0)),"?"))</f>
        <v/>
      </c>
      <c r="L2521" s="63">
        <f>IF(tblMovement[[#This Row],[Destination]]="","",IFERROR(INDEX(tblDestinations[Type],MATCH(tblMovement[[#This Row],[Destination]],tblDestinations[Destination],0)),"?"))</f>
        <v/>
      </c>
      <c r="M2521" s="64">
        <f>IF(tblMovement[[#This Row],[Material]]="","",IF(LEFT(tblMovement[[#This Row],[Material]],3)="Ore",1,0))</f>
        <v/>
      </c>
      <c r="N2521" s="59">
        <f>IF(OR(tblMovement[[#This Row],[Tonnes_t]]="",tblMovement[[#This Row],[Grade_gpt]]=""),0,tblMovement[[#This Row],[Tonnes_t]]*tblMovement[[#This Row],[Grade_gpt]]/cfg_TroyOz)</f>
        <v/>
      </c>
      <c r="O2521" s="59">
        <f>IF(tblMovement[[#This Row],[Is_Ore]]=1,tblMovement[[#This Row],[Contained_oz]],0)</f>
        <v/>
      </c>
    </row>
    <row r="2522">
      <c r="A2522" s="54" t="n"/>
      <c r="B2522" s="61" t="n"/>
      <c r="C2522" s="61" t="n"/>
      <c r="D2522" s="61" t="n"/>
      <c r="E2522" s="61" t="n"/>
      <c r="F2522" s="55" t="n"/>
      <c r="G2522" s="56" t="n"/>
      <c r="H2522" s="55" t="n"/>
      <c r="I2522" s="62" t="n"/>
      <c r="J2522" s="58" t="n"/>
      <c r="K2522" s="63">
        <f>IF(tblMovement[[#This Row],[Source]]="","",IFERROR(INDEX(tblSources[Type],MATCH(tblMovement[[#This Row],[Source]],tblSources[Source],0)),"?"))</f>
        <v/>
      </c>
      <c r="L2522" s="63">
        <f>IF(tblMovement[[#This Row],[Destination]]="","",IFERROR(INDEX(tblDestinations[Type],MATCH(tblMovement[[#This Row],[Destination]],tblDestinations[Destination],0)),"?"))</f>
        <v/>
      </c>
      <c r="M2522" s="64">
        <f>IF(tblMovement[[#This Row],[Material]]="","",IF(LEFT(tblMovement[[#This Row],[Material]],3)="Ore",1,0))</f>
        <v/>
      </c>
      <c r="N2522" s="59">
        <f>IF(OR(tblMovement[[#This Row],[Tonnes_t]]="",tblMovement[[#This Row],[Grade_gpt]]=""),0,tblMovement[[#This Row],[Tonnes_t]]*tblMovement[[#This Row],[Grade_gpt]]/cfg_TroyOz)</f>
        <v/>
      </c>
      <c r="O2522" s="59">
        <f>IF(tblMovement[[#This Row],[Is_Ore]]=1,tblMovement[[#This Row],[Contained_oz]],0)</f>
        <v/>
      </c>
    </row>
    <row r="2523">
      <c r="A2523" s="54" t="n"/>
      <c r="B2523" s="61" t="n"/>
      <c r="C2523" s="61" t="n"/>
      <c r="D2523" s="61" t="n"/>
      <c r="E2523" s="61" t="n"/>
      <c r="F2523" s="55" t="n"/>
      <c r="G2523" s="56" t="n"/>
      <c r="H2523" s="55" t="n"/>
      <c r="I2523" s="62" t="n"/>
      <c r="J2523" s="58" t="n"/>
      <c r="K2523" s="63">
        <f>IF(tblMovement[[#This Row],[Source]]="","",IFERROR(INDEX(tblSources[Type],MATCH(tblMovement[[#This Row],[Source]],tblSources[Source],0)),"?"))</f>
        <v/>
      </c>
      <c r="L2523" s="63">
        <f>IF(tblMovement[[#This Row],[Destination]]="","",IFERROR(INDEX(tblDestinations[Type],MATCH(tblMovement[[#This Row],[Destination]],tblDestinations[Destination],0)),"?"))</f>
        <v/>
      </c>
      <c r="M2523" s="64">
        <f>IF(tblMovement[[#This Row],[Material]]="","",IF(LEFT(tblMovement[[#This Row],[Material]],3)="Ore",1,0))</f>
        <v/>
      </c>
      <c r="N2523" s="59">
        <f>IF(OR(tblMovement[[#This Row],[Tonnes_t]]="",tblMovement[[#This Row],[Grade_gpt]]=""),0,tblMovement[[#This Row],[Tonnes_t]]*tblMovement[[#This Row],[Grade_gpt]]/cfg_TroyOz)</f>
        <v/>
      </c>
      <c r="O2523" s="59">
        <f>IF(tblMovement[[#This Row],[Is_Ore]]=1,tblMovement[[#This Row],[Contained_oz]],0)</f>
        <v/>
      </c>
    </row>
    <row r="2524">
      <c r="A2524" s="54" t="n"/>
      <c r="B2524" s="61" t="n"/>
      <c r="C2524" s="61" t="n"/>
      <c r="D2524" s="61" t="n"/>
      <c r="E2524" s="61" t="n"/>
      <c r="F2524" s="55" t="n"/>
      <c r="G2524" s="56" t="n"/>
      <c r="H2524" s="55" t="n"/>
      <c r="I2524" s="62" t="n"/>
      <c r="J2524" s="58" t="n"/>
      <c r="K2524" s="63">
        <f>IF(tblMovement[[#This Row],[Source]]="","",IFERROR(INDEX(tblSources[Type],MATCH(tblMovement[[#This Row],[Source]],tblSources[Source],0)),"?"))</f>
        <v/>
      </c>
      <c r="L2524" s="63">
        <f>IF(tblMovement[[#This Row],[Destination]]="","",IFERROR(INDEX(tblDestinations[Type],MATCH(tblMovement[[#This Row],[Destination]],tblDestinations[Destination],0)),"?"))</f>
        <v/>
      </c>
      <c r="M2524" s="64">
        <f>IF(tblMovement[[#This Row],[Material]]="","",IF(LEFT(tblMovement[[#This Row],[Material]],3)="Ore",1,0))</f>
        <v/>
      </c>
      <c r="N2524" s="59">
        <f>IF(OR(tblMovement[[#This Row],[Tonnes_t]]="",tblMovement[[#This Row],[Grade_gpt]]=""),0,tblMovement[[#This Row],[Tonnes_t]]*tblMovement[[#This Row],[Grade_gpt]]/cfg_TroyOz)</f>
        <v/>
      </c>
      <c r="O2524" s="59">
        <f>IF(tblMovement[[#This Row],[Is_Ore]]=1,tblMovement[[#This Row],[Contained_oz]],0)</f>
        <v/>
      </c>
    </row>
    <row r="2525">
      <c r="A2525" s="54" t="n"/>
      <c r="B2525" s="61" t="n"/>
      <c r="C2525" s="61" t="n"/>
      <c r="D2525" s="61" t="n"/>
      <c r="E2525" s="61" t="n"/>
      <c r="F2525" s="55" t="n"/>
      <c r="G2525" s="56" t="n"/>
      <c r="H2525" s="55" t="n"/>
      <c r="I2525" s="62" t="n"/>
      <c r="J2525" s="58" t="n"/>
      <c r="K2525" s="63">
        <f>IF(tblMovement[[#This Row],[Source]]="","",IFERROR(INDEX(tblSources[Type],MATCH(tblMovement[[#This Row],[Source]],tblSources[Source],0)),"?"))</f>
        <v/>
      </c>
      <c r="L2525" s="63">
        <f>IF(tblMovement[[#This Row],[Destination]]="","",IFERROR(INDEX(tblDestinations[Type],MATCH(tblMovement[[#This Row],[Destination]],tblDestinations[Destination],0)),"?"))</f>
        <v/>
      </c>
      <c r="M2525" s="64">
        <f>IF(tblMovement[[#This Row],[Material]]="","",IF(LEFT(tblMovement[[#This Row],[Material]],3)="Ore",1,0))</f>
        <v/>
      </c>
      <c r="N2525" s="59">
        <f>IF(OR(tblMovement[[#This Row],[Tonnes_t]]="",tblMovement[[#This Row],[Grade_gpt]]=""),0,tblMovement[[#This Row],[Tonnes_t]]*tblMovement[[#This Row],[Grade_gpt]]/cfg_TroyOz)</f>
        <v/>
      </c>
      <c r="O2525" s="59">
        <f>IF(tblMovement[[#This Row],[Is_Ore]]=1,tblMovement[[#This Row],[Contained_oz]],0)</f>
        <v/>
      </c>
    </row>
    <row r="2526">
      <c r="A2526" s="54" t="n"/>
      <c r="B2526" s="61" t="n"/>
      <c r="C2526" s="61" t="n"/>
      <c r="D2526" s="61" t="n"/>
      <c r="E2526" s="61" t="n"/>
      <c r="F2526" s="55" t="n"/>
      <c r="G2526" s="56" t="n"/>
      <c r="H2526" s="55" t="n"/>
      <c r="I2526" s="62" t="n"/>
      <c r="J2526" s="58" t="n"/>
      <c r="K2526" s="63">
        <f>IF(tblMovement[[#This Row],[Source]]="","",IFERROR(INDEX(tblSources[Type],MATCH(tblMovement[[#This Row],[Source]],tblSources[Source],0)),"?"))</f>
        <v/>
      </c>
      <c r="L2526" s="63">
        <f>IF(tblMovement[[#This Row],[Destination]]="","",IFERROR(INDEX(tblDestinations[Type],MATCH(tblMovement[[#This Row],[Destination]],tblDestinations[Destination],0)),"?"))</f>
        <v/>
      </c>
      <c r="M2526" s="64">
        <f>IF(tblMovement[[#This Row],[Material]]="","",IF(LEFT(tblMovement[[#This Row],[Material]],3)="Ore",1,0))</f>
        <v/>
      </c>
      <c r="N2526" s="59">
        <f>IF(OR(tblMovement[[#This Row],[Tonnes_t]]="",tblMovement[[#This Row],[Grade_gpt]]=""),0,tblMovement[[#This Row],[Tonnes_t]]*tblMovement[[#This Row],[Grade_gpt]]/cfg_TroyOz)</f>
        <v/>
      </c>
      <c r="O2526" s="59">
        <f>IF(tblMovement[[#This Row],[Is_Ore]]=1,tblMovement[[#This Row],[Contained_oz]],0)</f>
        <v/>
      </c>
    </row>
    <row r="2527">
      <c r="A2527" s="54" t="n"/>
      <c r="B2527" s="61" t="n"/>
      <c r="C2527" s="61" t="n"/>
      <c r="D2527" s="61" t="n"/>
      <c r="E2527" s="61" t="n"/>
      <c r="F2527" s="55" t="n"/>
      <c r="G2527" s="56" t="n"/>
      <c r="H2527" s="55" t="n"/>
      <c r="I2527" s="62" t="n"/>
      <c r="J2527" s="58" t="n"/>
      <c r="K2527" s="63">
        <f>IF(tblMovement[[#This Row],[Source]]="","",IFERROR(INDEX(tblSources[Type],MATCH(tblMovement[[#This Row],[Source]],tblSources[Source],0)),"?"))</f>
        <v/>
      </c>
      <c r="L2527" s="63">
        <f>IF(tblMovement[[#This Row],[Destination]]="","",IFERROR(INDEX(tblDestinations[Type],MATCH(tblMovement[[#This Row],[Destination]],tblDestinations[Destination],0)),"?"))</f>
        <v/>
      </c>
      <c r="M2527" s="64">
        <f>IF(tblMovement[[#This Row],[Material]]="","",IF(LEFT(tblMovement[[#This Row],[Material]],3)="Ore",1,0))</f>
        <v/>
      </c>
      <c r="N2527" s="59">
        <f>IF(OR(tblMovement[[#This Row],[Tonnes_t]]="",tblMovement[[#This Row],[Grade_gpt]]=""),0,tblMovement[[#This Row],[Tonnes_t]]*tblMovement[[#This Row],[Grade_gpt]]/cfg_TroyOz)</f>
        <v/>
      </c>
      <c r="O2527" s="59">
        <f>IF(tblMovement[[#This Row],[Is_Ore]]=1,tblMovement[[#This Row],[Contained_oz]],0)</f>
        <v/>
      </c>
    </row>
    <row r="2528">
      <c r="A2528" s="54" t="n"/>
      <c r="B2528" s="61" t="n"/>
      <c r="C2528" s="61" t="n"/>
      <c r="D2528" s="61" t="n"/>
      <c r="E2528" s="61" t="n"/>
      <c r="F2528" s="55" t="n"/>
      <c r="G2528" s="56" t="n"/>
      <c r="H2528" s="55" t="n"/>
      <c r="I2528" s="62" t="n"/>
      <c r="J2528" s="58" t="n"/>
      <c r="K2528" s="63">
        <f>IF(tblMovement[[#This Row],[Source]]="","",IFERROR(INDEX(tblSources[Type],MATCH(tblMovement[[#This Row],[Source]],tblSources[Source],0)),"?"))</f>
        <v/>
      </c>
      <c r="L2528" s="63">
        <f>IF(tblMovement[[#This Row],[Destination]]="","",IFERROR(INDEX(tblDestinations[Type],MATCH(tblMovement[[#This Row],[Destination]],tblDestinations[Destination],0)),"?"))</f>
        <v/>
      </c>
      <c r="M2528" s="64">
        <f>IF(tblMovement[[#This Row],[Material]]="","",IF(LEFT(tblMovement[[#This Row],[Material]],3)="Ore",1,0))</f>
        <v/>
      </c>
      <c r="N2528" s="59">
        <f>IF(OR(tblMovement[[#This Row],[Tonnes_t]]="",tblMovement[[#This Row],[Grade_gpt]]=""),0,tblMovement[[#This Row],[Tonnes_t]]*tblMovement[[#This Row],[Grade_gpt]]/cfg_TroyOz)</f>
        <v/>
      </c>
      <c r="O2528" s="59">
        <f>IF(tblMovement[[#This Row],[Is_Ore]]=1,tblMovement[[#This Row],[Contained_oz]],0)</f>
        <v/>
      </c>
    </row>
    <row r="2529">
      <c r="A2529" s="54" t="n"/>
      <c r="B2529" s="61" t="n"/>
      <c r="C2529" s="61" t="n"/>
      <c r="D2529" s="61" t="n"/>
      <c r="E2529" s="61" t="n"/>
      <c r="F2529" s="55" t="n"/>
      <c r="G2529" s="56" t="n"/>
      <c r="H2529" s="55" t="n"/>
      <c r="I2529" s="62" t="n"/>
      <c r="J2529" s="58" t="n"/>
      <c r="K2529" s="63">
        <f>IF(tblMovement[[#This Row],[Source]]="","",IFERROR(INDEX(tblSources[Type],MATCH(tblMovement[[#This Row],[Source]],tblSources[Source],0)),"?"))</f>
        <v/>
      </c>
      <c r="L2529" s="63">
        <f>IF(tblMovement[[#This Row],[Destination]]="","",IFERROR(INDEX(tblDestinations[Type],MATCH(tblMovement[[#This Row],[Destination]],tblDestinations[Destination],0)),"?"))</f>
        <v/>
      </c>
      <c r="M2529" s="64">
        <f>IF(tblMovement[[#This Row],[Material]]="","",IF(LEFT(tblMovement[[#This Row],[Material]],3)="Ore",1,0))</f>
        <v/>
      </c>
      <c r="N2529" s="59">
        <f>IF(OR(tblMovement[[#This Row],[Tonnes_t]]="",tblMovement[[#This Row],[Grade_gpt]]=""),0,tblMovement[[#This Row],[Tonnes_t]]*tblMovement[[#This Row],[Grade_gpt]]/cfg_TroyOz)</f>
        <v/>
      </c>
      <c r="O2529" s="59">
        <f>IF(tblMovement[[#This Row],[Is_Ore]]=1,tblMovement[[#This Row],[Contained_oz]],0)</f>
        <v/>
      </c>
    </row>
    <row r="2530">
      <c r="A2530" s="54" t="n"/>
      <c r="B2530" s="61" t="n"/>
      <c r="C2530" s="61" t="n"/>
      <c r="D2530" s="61" t="n"/>
      <c r="E2530" s="61" t="n"/>
      <c r="F2530" s="55" t="n"/>
      <c r="G2530" s="56" t="n"/>
      <c r="H2530" s="55" t="n"/>
      <c r="I2530" s="62" t="n"/>
      <c r="J2530" s="58" t="n"/>
      <c r="K2530" s="63">
        <f>IF(tblMovement[[#This Row],[Source]]="","",IFERROR(INDEX(tblSources[Type],MATCH(tblMovement[[#This Row],[Source]],tblSources[Source],0)),"?"))</f>
        <v/>
      </c>
      <c r="L2530" s="63">
        <f>IF(tblMovement[[#This Row],[Destination]]="","",IFERROR(INDEX(tblDestinations[Type],MATCH(tblMovement[[#This Row],[Destination]],tblDestinations[Destination],0)),"?"))</f>
        <v/>
      </c>
      <c r="M2530" s="64">
        <f>IF(tblMovement[[#This Row],[Material]]="","",IF(LEFT(tblMovement[[#This Row],[Material]],3)="Ore",1,0))</f>
        <v/>
      </c>
      <c r="N2530" s="59">
        <f>IF(OR(tblMovement[[#This Row],[Tonnes_t]]="",tblMovement[[#This Row],[Grade_gpt]]=""),0,tblMovement[[#This Row],[Tonnes_t]]*tblMovement[[#This Row],[Grade_gpt]]/cfg_TroyOz)</f>
        <v/>
      </c>
      <c r="O2530" s="59">
        <f>IF(tblMovement[[#This Row],[Is_Ore]]=1,tblMovement[[#This Row],[Contained_oz]],0)</f>
        <v/>
      </c>
    </row>
    <row r="2531">
      <c r="A2531" s="54" t="n"/>
      <c r="B2531" s="61" t="n"/>
      <c r="C2531" s="61" t="n"/>
      <c r="D2531" s="61" t="n"/>
      <c r="E2531" s="61" t="n"/>
      <c r="F2531" s="55" t="n"/>
      <c r="G2531" s="56" t="n"/>
      <c r="H2531" s="55" t="n"/>
      <c r="I2531" s="62" t="n"/>
      <c r="J2531" s="58" t="n"/>
      <c r="K2531" s="63">
        <f>IF(tblMovement[[#This Row],[Source]]="","",IFERROR(INDEX(tblSources[Type],MATCH(tblMovement[[#This Row],[Source]],tblSources[Source],0)),"?"))</f>
        <v/>
      </c>
      <c r="L2531" s="63">
        <f>IF(tblMovement[[#This Row],[Destination]]="","",IFERROR(INDEX(tblDestinations[Type],MATCH(tblMovement[[#This Row],[Destination]],tblDestinations[Destination],0)),"?"))</f>
        <v/>
      </c>
      <c r="M2531" s="64">
        <f>IF(tblMovement[[#This Row],[Material]]="","",IF(LEFT(tblMovement[[#This Row],[Material]],3)="Ore",1,0))</f>
        <v/>
      </c>
      <c r="N2531" s="59">
        <f>IF(OR(tblMovement[[#This Row],[Tonnes_t]]="",tblMovement[[#This Row],[Grade_gpt]]=""),0,tblMovement[[#This Row],[Tonnes_t]]*tblMovement[[#This Row],[Grade_gpt]]/cfg_TroyOz)</f>
        <v/>
      </c>
      <c r="O2531" s="59">
        <f>IF(tblMovement[[#This Row],[Is_Ore]]=1,tblMovement[[#This Row],[Contained_oz]],0)</f>
        <v/>
      </c>
    </row>
    <row r="2532">
      <c r="A2532" s="54" t="n"/>
      <c r="B2532" s="61" t="n"/>
      <c r="C2532" s="61" t="n"/>
      <c r="D2532" s="61" t="n"/>
      <c r="E2532" s="61" t="n"/>
      <c r="F2532" s="55" t="n"/>
      <c r="G2532" s="56" t="n"/>
      <c r="H2532" s="55" t="n"/>
      <c r="I2532" s="62" t="n"/>
      <c r="J2532" s="58" t="n"/>
      <c r="K2532" s="63">
        <f>IF(tblMovement[[#This Row],[Source]]="","",IFERROR(INDEX(tblSources[Type],MATCH(tblMovement[[#This Row],[Source]],tblSources[Source],0)),"?"))</f>
        <v/>
      </c>
      <c r="L2532" s="63">
        <f>IF(tblMovement[[#This Row],[Destination]]="","",IFERROR(INDEX(tblDestinations[Type],MATCH(tblMovement[[#This Row],[Destination]],tblDestinations[Destination],0)),"?"))</f>
        <v/>
      </c>
      <c r="M2532" s="64">
        <f>IF(tblMovement[[#This Row],[Material]]="","",IF(LEFT(tblMovement[[#This Row],[Material]],3)="Ore",1,0))</f>
        <v/>
      </c>
      <c r="N2532" s="59">
        <f>IF(OR(tblMovement[[#This Row],[Tonnes_t]]="",tblMovement[[#This Row],[Grade_gpt]]=""),0,tblMovement[[#This Row],[Tonnes_t]]*tblMovement[[#This Row],[Grade_gpt]]/cfg_TroyOz)</f>
        <v/>
      </c>
      <c r="O2532" s="59">
        <f>IF(tblMovement[[#This Row],[Is_Ore]]=1,tblMovement[[#This Row],[Contained_oz]],0)</f>
        <v/>
      </c>
    </row>
    <row r="2533">
      <c r="A2533" s="54" t="n"/>
      <c r="B2533" s="61" t="n"/>
      <c r="C2533" s="61" t="n"/>
      <c r="D2533" s="61" t="n"/>
      <c r="E2533" s="61" t="n"/>
      <c r="F2533" s="55" t="n"/>
      <c r="G2533" s="56" t="n"/>
      <c r="H2533" s="55" t="n"/>
      <c r="I2533" s="62" t="n"/>
      <c r="J2533" s="58" t="n"/>
      <c r="K2533" s="63">
        <f>IF(tblMovement[[#This Row],[Source]]="","",IFERROR(INDEX(tblSources[Type],MATCH(tblMovement[[#This Row],[Source]],tblSources[Source],0)),"?"))</f>
        <v/>
      </c>
      <c r="L2533" s="63">
        <f>IF(tblMovement[[#This Row],[Destination]]="","",IFERROR(INDEX(tblDestinations[Type],MATCH(tblMovement[[#This Row],[Destination]],tblDestinations[Destination],0)),"?"))</f>
        <v/>
      </c>
      <c r="M2533" s="64">
        <f>IF(tblMovement[[#This Row],[Material]]="","",IF(LEFT(tblMovement[[#This Row],[Material]],3)="Ore",1,0))</f>
        <v/>
      </c>
      <c r="N2533" s="59">
        <f>IF(OR(tblMovement[[#This Row],[Tonnes_t]]="",tblMovement[[#This Row],[Grade_gpt]]=""),0,tblMovement[[#This Row],[Tonnes_t]]*tblMovement[[#This Row],[Grade_gpt]]/cfg_TroyOz)</f>
        <v/>
      </c>
      <c r="O2533" s="59">
        <f>IF(tblMovement[[#This Row],[Is_Ore]]=1,tblMovement[[#This Row],[Contained_oz]],0)</f>
        <v/>
      </c>
    </row>
    <row r="2534">
      <c r="A2534" s="54" t="n"/>
      <c r="B2534" s="61" t="n"/>
      <c r="C2534" s="61" t="n"/>
      <c r="D2534" s="61" t="n"/>
      <c r="E2534" s="61" t="n"/>
      <c r="F2534" s="55" t="n"/>
      <c r="G2534" s="56" t="n"/>
      <c r="H2534" s="55" t="n"/>
      <c r="I2534" s="62" t="n"/>
      <c r="J2534" s="58" t="n"/>
      <c r="K2534" s="63">
        <f>IF(tblMovement[[#This Row],[Source]]="","",IFERROR(INDEX(tblSources[Type],MATCH(tblMovement[[#This Row],[Source]],tblSources[Source],0)),"?"))</f>
        <v/>
      </c>
      <c r="L2534" s="63">
        <f>IF(tblMovement[[#This Row],[Destination]]="","",IFERROR(INDEX(tblDestinations[Type],MATCH(tblMovement[[#This Row],[Destination]],tblDestinations[Destination],0)),"?"))</f>
        <v/>
      </c>
      <c r="M2534" s="64">
        <f>IF(tblMovement[[#This Row],[Material]]="","",IF(LEFT(tblMovement[[#This Row],[Material]],3)="Ore",1,0))</f>
        <v/>
      </c>
      <c r="N2534" s="59">
        <f>IF(OR(tblMovement[[#This Row],[Tonnes_t]]="",tblMovement[[#This Row],[Grade_gpt]]=""),0,tblMovement[[#This Row],[Tonnes_t]]*tblMovement[[#This Row],[Grade_gpt]]/cfg_TroyOz)</f>
        <v/>
      </c>
      <c r="O2534" s="59">
        <f>IF(tblMovement[[#This Row],[Is_Ore]]=1,tblMovement[[#This Row],[Contained_oz]],0)</f>
        <v/>
      </c>
    </row>
    <row r="2535">
      <c r="A2535" s="54" t="n"/>
      <c r="B2535" s="61" t="n"/>
      <c r="C2535" s="61" t="n"/>
      <c r="D2535" s="61" t="n"/>
      <c r="E2535" s="61" t="n"/>
      <c r="F2535" s="55" t="n"/>
      <c r="G2535" s="56" t="n"/>
      <c r="H2535" s="55" t="n"/>
      <c r="I2535" s="62" t="n"/>
      <c r="J2535" s="58" t="n"/>
      <c r="K2535" s="63">
        <f>IF(tblMovement[[#This Row],[Source]]="","",IFERROR(INDEX(tblSources[Type],MATCH(tblMovement[[#This Row],[Source]],tblSources[Source],0)),"?"))</f>
        <v/>
      </c>
      <c r="L2535" s="63">
        <f>IF(tblMovement[[#This Row],[Destination]]="","",IFERROR(INDEX(tblDestinations[Type],MATCH(tblMovement[[#This Row],[Destination]],tblDestinations[Destination],0)),"?"))</f>
        <v/>
      </c>
      <c r="M2535" s="64">
        <f>IF(tblMovement[[#This Row],[Material]]="","",IF(LEFT(tblMovement[[#This Row],[Material]],3)="Ore",1,0))</f>
        <v/>
      </c>
      <c r="N2535" s="59">
        <f>IF(OR(tblMovement[[#This Row],[Tonnes_t]]="",tblMovement[[#This Row],[Grade_gpt]]=""),0,tblMovement[[#This Row],[Tonnes_t]]*tblMovement[[#This Row],[Grade_gpt]]/cfg_TroyOz)</f>
        <v/>
      </c>
      <c r="O2535" s="59">
        <f>IF(tblMovement[[#This Row],[Is_Ore]]=1,tblMovement[[#This Row],[Contained_oz]],0)</f>
        <v/>
      </c>
    </row>
    <row r="2536">
      <c r="A2536" s="54" t="n"/>
      <c r="B2536" s="61" t="n"/>
      <c r="C2536" s="61" t="n"/>
      <c r="D2536" s="61" t="n"/>
      <c r="E2536" s="61" t="n"/>
      <c r="F2536" s="55" t="n"/>
      <c r="G2536" s="56" t="n"/>
      <c r="H2536" s="55" t="n"/>
      <c r="I2536" s="62" t="n"/>
      <c r="J2536" s="58" t="n"/>
      <c r="K2536" s="63">
        <f>IF(tblMovement[[#This Row],[Source]]="","",IFERROR(INDEX(tblSources[Type],MATCH(tblMovement[[#This Row],[Source]],tblSources[Source],0)),"?"))</f>
        <v/>
      </c>
      <c r="L2536" s="63">
        <f>IF(tblMovement[[#This Row],[Destination]]="","",IFERROR(INDEX(tblDestinations[Type],MATCH(tblMovement[[#This Row],[Destination]],tblDestinations[Destination],0)),"?"))</f>
        <v/>
      </c>
      <c r="M2536" s="64">
        <f>IF(tblMovement[[#This Row],[Material]]="","",IF(LEFT(tblMovement[[#This Row],[Material]],3)="Ore",1,0))</f>
        <v/>
      </c>
      <c r="N2536" s="59">
        <f>IF(OR(tblMovement[[#This Row],[Tonnes_t]]="",tblMovement[[#This Row],[Grade_gpt]]=""),0,tblMovement[[#This Row],[Tonnes_t]]*tblMovement[[#This Row],[Grade_gpt]]/cfg_TroyOz)</f>
        <v/>
      </c>
      <c r="O2536" s="59">
        <f>IF(tblMovement[[#This Row],[Is_Ore]]=1,tblMovement[[#This Row],[Contained_oz]],0)</f>
        <v/>
      </c>
    </row>
    <row r="2537">
      <c r="A2537" s="54" t="n"/>
      <c r="B2537" s="61" t="n"/>
      <c r="C2537" s="61" t="n"/>
      <c r="D2537" s="61" t="n"/>
      <c r="E2537" s="61" t="n"/>
      <c r="F2537" s="55" t="n"/>
      <c r="G2537" s="56" t="n"/>
      <c r="H2537" s="55" t="n"/>
      <c r="I2537" s="62" t="n"/>
      <c r="J2537" s="58" t="n"/>
      <c r="K2537" s="63">
        <f>IF(tblMovement[[#This Row],[Source]]="","",IFERROR(INDEX(tblSources[Type],MATCH(tblMovement[[#This Row],[Source]],tblSources[Source],0)),"?"))</f>
        <v/>
      </c>
      <c r="L2537" s="63">
        <f>IF(tblMovement[[#This Row],[Destination]]="","",IFERROR(INDEX(tblDestinations[Type],MATCH(tblMovement[[#This Row],[Destination]],tblDestinations[Destination],0)),"?"))</f>
        <v/>
      </c>
      <c r="M2537" s="64">
        <f>IF(tblMovement[[#This Row],[Material]]="","",IF(LEFT(tblMovement[[#This Row],[Material]],3)="Ore",1,0))</f>
        <v/>
      </c>
      <c r="N2537" s="59">
        <f>IF(OR(tblMovement[[#This Row],[Tonnes_t]]="",tblMovement[[#This Row],[Grade_gpt]]=""),0,tblMovement[[#This Row],[Tonnes_t]]*tblMovement[[#This Row],[Grade_gpt]]/cfg_TroyOz)</f>
        <v/>
      </c>
      <c r="O2537" s="59">
        <f>IF(tblMovement[[#This Row],[Is_Ore]]=1,tblMovement[[#This Row],[Contained_oz]],0)</f>
        <v/>
      </c>
    </row>
    <row r="2538">
      <c r="A2538" s="54" t="n"/>
      <c r="B2538" s="61" t="n"/>
      <c r="C2538" s="61" t="n"/>
      <c r="D2538" s="61" t="n"/>
      <c r="E2538" s="61" t="n"/>
      <c r="F2538" s="55" t="n"/>
      <c r="G2538" s="56" t="n"/>
      <c r="H2538" s="55" t="n"/>
      <c r="I2538" s="62" t="n"/>
      <c r="J2538" s="58" t="n"/>
      <c r="K2538" s="63">
        <f>IF(tblMovement[[#This Row],[Source]]="","",IFERROR(INDEX(tblSources[Type],MATCH(tblMovement[[#This Row],[Source]],tblSources[Source],0)),"?"))</f>
        <v/>
      </c>
      <c r="L2538" s="63">
        <f>IF(tblMovement[[#This Row],[Destination]]="","",IFERROR(INDEX(tblDestinations[Type],MATCH(tblMovement[[#This Row],[Destination]],tblDestinations[Destination],0)),"?"))</f>
        <v/>
      </c>
      <c r="M2538" s="64">
        <f>IF(tblMovement[[#This Row],[Material]]="","",IF(LEFT(tblMovement[[#This Row],[Material]],3)="Ore",1,0))</f>
        <v/>
      </c>
      <c r="N2538" s="59">
        <f>IF(OR(tblMovement[[#This Row],[Tonnes_t]]="",tblMovement[[#This Row],[Grade_gpt]]=""),0,tblMovement[[#This Row],[Tonnes_t]]*tblMovement[[#This Row],[Grade_gpt]]/cfg_TroyOz)</f>
        <v/>
      </c>
      <c r="O2538" s="59">
        <f>IF(tblMovement[[#This Row],[Is_Ore]]=1,tblMovement[[#This Row],[Contained_oz]],0)</f>
        <v/>
      </c>
    </row>
    <row r="2539">
      <c r="A2539" s="54" t="n"/>
      <c r="B2539" s="61" t="n"/>
      <c r="C2539" s="61" t="n"/>
      <c r="D2539" s="61" t="n"/>
      <c r="E2539" s="61" t="n"/>
      <c r="F2539" s="55" t="n"/>
      <c r="G2539" s="56" t="n"/>
      <c r="H2539" s="55" t="n"/>
      <c r="I2539" s="62" t="n"/>
      <c r="J2539" s="58" t="n"/>
      <c r="K2539" s="63">
        <f>IF(tblMovement[[#This Row],[Source]]="","",IFERROR(INDEX(tblSources[Type],MATCH(tblMovement[[#This Row],[Source]],tblSources[Source],0)),"?"))</f>
        <v/>
      </c>
      <c r="L2539" s="63">
        <f>IF(tblMovement[[#This Row],[Destination]]="","",IFERROR(INDEX(tblDestinations[Type],MATCH(tblMovement[[#This Row],[Destination]],tblDestinations[Destination],0)),"?"))</f>
        <v/>
      </c>
      <c r="M2539" s="64">
        <f>IF(tblMovement[[#This Row],[Material]]="","",IF(LEFT(tblMovement[[#This Row],[Material]],3)="Ore",1,0))</f>
        <v/>
      </c>
      <c r="N2539" s="59">
        <f>IF(OR(tblMovement[[#This Row],[Tonnes_t]]="",tblMovement[[#This Row],[Grade_gpt]]=""),0,tblMovement[[#This Row],[Tonnes_t]]*tblMovement[[#This Row],[Grade_gpt]]/cfg_TroyOz)</f>
        <v/>
      </c>
      <c r="O2539" s="59">
        <f>IF(tblMovement[[#This Row],[Is_Ore]]=1,tblMovement[[#This Row],[Contained_oz]],0)</f>
        <v/>
      </c>
    </row>
    <row r="2540">
      <c r="A2540" s="54" t="n"/>
      <c r="B2540" s="61" t="n"/>
      <c r="C2540" s="61" t="n"/>
      <c r="D2540" s="61" t="n"/>
      <c r="E2540" s="61" t="n"/>
      <c r="F2540" s="55" t="n"/>
      <c r="G2540" s="56" t="n"/>
      <c r="H2540" s="55" t="n"/>
      <c r="I2540" s="62" t="n"/>
      <c r="J2540" s="58" t="n"/>
      <c r="K2540" s="63">
        <f>IF(tblMovement[[#This Row],[Source]]="","",IFERROR(INDEX(tblSources[Type],MATCH(tblMovement[[#This Row],[Source]],tblSources[Source],0)),"?"))</f>
        <v/>
      </c>
      <c r="L2540" s="63">
        <f>IF(tblMovement[[#This Row],[Destination]]="","",IFERROR(INDEX(tblDestinations[Type],MATCH(tblMovement[[#This Row],[Destination]],tblDestinations[Destination],0)),"?"))</f>
        <v/>
      </c>
      <c r="M2540" s="64">
        <f>IF(tblMovement[[#This Row],[Material]]="","",IF(LEFT(tblMovement[[#This Row],[Material]],3)="Ore",1,0))</f>
        <v/>
      </c>
      <c r="N2540" s="59">
        <f>IF(OR(tblMovement[[#This Row],[Tonnes_t]]="",tblMovement[[#This Row],[Grade_gpt]]=""),0,tblMovement[[#This Row],[Tonnes_t]]*tblMovement[[#This Row],[Grade_gpt]]/cfg_TroyOz)</f>
        <v/>
      </c>
      <c r="O2540" s="59">
        <f>IF(tblMovement[[#This Row],[Is_Ore]]=1,tblMovement[[#This Row],[Contained_oz]],0)</f>
        <v/>
      </c>
    </row>
    <row r="2541">
      <c r="A2541" s="54" t="n"/>
      <c r="B2541" s="61" t="n"/>
      <c r="C2541" s="61" t="n"/>
      <c r="D2541" s="61" t="n"/>
      <c r="E2541" s="61" t="n"/>
      <c r="F2541" s="55" t="n"/>
      <c r="G2541" s="56" t="n"/>
      <c r="H2541" s="55" t="n"/>
      <c r="I2541" s="62" t="n"/>
      <c r="J2541" s="58" t="n"/>
      <c r="K2541" s="63">
        <f>IF(tblMovement[[#This Row],[Source]]="","",IFERROR(INDEX(tblSources[Type],MATCH(tblMovement[[#This Row],[Source]],tblSources[Source],0)),"?"))</f>
        <v/>
      </c>
      <c r="L2541" s="63">
        <f>IF(tblMovement[[#This Row],[Destination]]="","",IFERROR(INDEX(tblDestinations[Type],MATCH(tblMovement[[#This Row],[Destination]],tblDestinations[Destination],0)),"?"))</f>
        <v/>
      </c>
      <c r="M2541" s="64">
        <f>IF(tblMovement[[#This Row],[Material]]="","",IF(LEFT(tblMovement[[#This Row],[Material]],3)="Ore",1,0))</f>
        <v/>
      </c>
      <c r="N2541" s="59">
        <f>IF(OR(tblMovement[[#This Row],[Tonnes_t]]="",tblMovement[[#This Row],[Grade_gpt]]=""),0,tblMovement[[#This Row],[Tonnes_t]]*tblMovement[[#This Row],[Grade_gpt]]/cfg_TroyOz)</f>
        <v/>
      </c>
      <c r="O2541" s="59">
        <f>IF(tblMovement[[#This Row],[Is_Ore]]=1,tblMovement[[#This Row],[Contained_oz]],0)</f>
        <v/>
      </c>
    </row>
    <row r="2542">
      <c r="A2542" s="54" t="n"/>
      <c r="B2542" s="61" t="n"/>
      <c r="C2542" s="61" t="n"/>
      <c r="D2542" s="61" t="n"/>
      <c r="E2542" s="61" t="n"/>
      <c r="F2542" s="55" t="n"/>
      <c r="G2542" s="56" t="n"/>
      <c r="H2542" s="55" t="n"/>
      <c r="I2542" s="62" t="n"/>
      <c r="J2542" s="58" t="n"/>
      <c r="K2542" s="63">
        <f>IF(tblMovement[[#This Row],[Source]]="","",IFERROR(INDEX(tblSources[Type],MATCH(tblMovement[[#This Row],[Source]],tblSources[Source],0)),"?"))</f>
        <v/>
      </c>
      <c r="L2542" s="63">
        <f>IF(tblMovement[[#This Row],[Destination]]="","",IFERROR(INDEX(tblDestinations[Type],MATCH(tblMovement[[#This Row],[Destination]],tblDestinations[Destination],0)),"?"))</f>
        <v/>
      </c>
      <c r="M2542" s="64">
        <f>IF(tblMovement[[#This Row],[Material]]="","",IF(LEFT(tblMovement[[#This Row],[Material]],3)="Ore",1,0))</f>
        <v/>
      </c>
      <c r="N2542" s="59">
        <f>IF(OR(tblMovement[[#This Row],[Tonnes_t]]="",tblMovement[[#This Row],[Grade_gpt]]=""),0,tblMovement[[#This Row],[Tonnes_t]]*tblMovement[[#This Row],[Grade_gpt]]/cfg_TroyOz)</f>
        <v/>
      </c>
      <c r="O2542" s="59">
        <f>IF(tblMovement[[#This Row],[Is_Ore]]=1,tblMovement[[#This Row],[Contained_oz]],0)</f>
        <v/>
      </c>
    </row>
    <row r="2543">
      <c r="A2543" s="54" t="n"/>
      <c r="B2543" s="61" t="n"/>
      <c r="C2543" s="61" t="n"/>
      <c r="D2543" s="61" t="n"/>
      <c r="E2543" s="61" t="n"/>
      <c r="F2543" s="55" t="n"/>
      <c r="G2543" s="56" t="n"/>
      <c r="H2543" s="55" t="n"/>
      <c r="I2543" s="62" t="n"/>
      <c r="J2543" s="58" t="n"/>
      <c r="K2543" s="63">
        <f>IF(tblMovement[[#This Row],[Source]]="","",IFERROR(INDEX(tblSources[Type],MATCH(tblMovement[[#This Row],[Source]],tblSources[Source],0)),"?"))</f>
        <v/>
      </c>
      <c r="L2543" s="63">
        <f>IF(tblMovement[[#This Row],[Destination]]="","",IFERROR(INDEX(tblDestinations[Type],MATCH(tblMovement[[#This Row],[Destination]],tblDestinations[Destination],0)),"?"))</f>
        <v/>
      </c>
      <c r="M2543" s="64">
        <f>IF(tblMovement[[#This Row],[Material]]="","",IF(LEFT(tblMovement[[#This Row],[Material]],3)="Ore",1,0))</f>
        <v/>
      </c>
      <c r="N2543" s="59">
        <f>IF(OR(tblMovement[[#This Row],[Tonnes_t]]="",tblMovement[[#This Row],[Grade_gpt]]=""),0,tblMovement[[#This Row],[Tonnes_t]]*tblMovement[[#This Row],[Grade_gpt]]/cfg_TroyOz)</f>
        <v/>
      </c>
      <c r="O2543" s="59">
        <f>IF(tblMovement[[#This Row],[Is_Ore]]=1,tblMovement[[#This Row],[Contained_oz]],0)</f>
        <v/>
      </c>
    </row>
    <row r="2544">
      <c r="A2544" s="54" t="n"/>
      <c r="B2544" s="61" t="n"/>
      <c r="C2544" s="61" t="n"/>
      <c r="D2544" s="61" t="n"/>
      <c r="E2544" s="61" t="n"/>
      <c r="F2544" s="55" t="n"/>
      <c r="G2544" s="56" t="n"/>
      <c r="H2544" s="55" t="n"/>
      <c r="I2544" s="62" t="n"/>
      <c r="J2544" s="58" t="n"/>
      <c r="K2544" s="63">
        <f>IF(tblMovement[[#This Row],[Source]]="","",IFERROR(INDEX(tblSources[Type],MATCH(tblMovement[[#This Row],[Source]],tblSources[Source],0)),"?"))</f>
        <v/>
      </c>
      <c r="L2544" s="63">
        <f>IF(tblMovement[[#This Row],[Destination]]="","",IFERROR(INDEX(tblDestinations[Type],MATCH(tblMovement[[#This Row],[Destination]],tblDestinations[Destination],0)),"?"))</f>
        <v/>
      </c>
      <c r="M2544" s="64">
        <f>IF(tblMovement[[#This Row],[Material]]="","",IF(LEFT(tblMovement[[#This Row],[Material]],3)="Ore",1,0))</f>
        <v/>
      </c>
      <c r="N2544" s="59">
        <f>IF(OR(tblMovement[[#This Row],[Tonnes_t]]="",tblMovement[[#This Row],[Grade_gpt]]=""),0,tblMovement[[#This Row],[Tonnes_t]]*tblMovement[[#This Row],[Grade_gpt]]/cfg_TroyOz)</f>
        <v/>
      </c>
      <c r="O2544" s="59">
        <f>IF(tblMovement[[#This Row],[Is_Ore]]=1,tblMovement[[#This Row],[Contained_oz]],0)</f>
        <v/>
      </c>
    </row>
    <row r="2545">
      <c r="A2545" s="54" t="n"/>
      <c r="B2545" s="61" t="n"/>
      <c r="C2545" s="61" t="n"/>
      <c r="D2545" s="61" t="n"/>
      <c r="E2545" s="61" t="n"/>
      <c r="F2545" s="55" t="n"/>
      <c r="G2545" s="56" t="n"/>
      <c r="H2545" s="55" t="n"/>
      <c r="I2545" s="62" t="n"/>
      <c r="J2545" s="58" t="n"/>
      <c r="K2545" s="63">
        <f>IF(tblMovement[[#This Row],[Source]]="","",IFERROR(INDEX(tblSources[Type],MATCH(tblMovement[[#This Row],[Source]],tblSources[Source],0)),"?"))</f>
        <v/>
      </c>
      <c r="L2545" s="63">
        <f>IF(tblMovement[[#This Row],[Destination]]="","",IFERROR(INDEX(tblDestinations[Type],MATCH(tblMovement[[#This Row],[Destination]],tblDestinations[Destination],0)),"?"))</f>
        <v/>
      </c>
      <c r="M2545" s="64">
        <f>IF(tblMovement[[#This Row],[Material]]="","",IF(LEFT(tblMovement[[#This Row],[Material]],3)="Ore",1,0))</f>
        <v/>
      </c>
      <c r="N2545" s="59">
        <f>IF(OR(tblMovement[[#This Row],[Tonnes_t]]="",tblMovement[[#This Row],[Grade_gpt]]=""),0,tblMovement[[#This Row],[Tonnes_t]]*tblMovement[[#This Row],[Grade_gpt]]/cfg_TroyOz)</f>
        <v/>
      </c>
      <c r="O2545" s="59">
        <f>IF(tblMovement[[#This Row],[Is_Ore]]=1,tblMovement[[#This Row],[Contained_oz]],0)</f>
        <v/>
      </c>
    </row>
    <row r="2546">
      <c r="A2546" s="54" t="n"/>
      <c r="B2546" s="61" t="n"/>
      <c r="C2546" s="61" t="n"/>
      <c r="D2546" s="61" t="n"/>
      <c r="E2546" s="61" t="n"/>
      <c r="F2546" s="55" t="n"/>
      <c r="G2546" s="56" t="n"/>
      <c r="H2546" s="55" t="n"/>
      <c r="I2546" s="62" t="n"/>
      <c r="J2546" s="58" t="n"/>
      <c r="K2546" s="63">
        <f>IF(tblMovement[[#This Row],[Source]]="","",IFERROR(INDEX(tblSources[Type],MATCH(tblMovement[[#This Row],[Source]],tblSources[Source],0)),"?"))</f>
        <v/>
      </c>
      <c r="L2546" s="63">
        <f>IF(tblMovement[[#This Row],[Destination]]="","",IFERROR(INDEX(tblDestinations[Type],MATCH(tblMovement[[#This Row],[Destination]],tblDestinations[Destination],0)),"?"))</f>
        <v/>
      </c>
      <c r="M2546" s="64">
        <f>IF(tblMovement[[#This Row],[Material]]="","",IF(LEFT(tblMovement[[#This Row],[Material]],3)="Ore",1,0))</f>
        <v/>
      </c>
      <c r="N2546" s="59">
        <f>IF(OR(tblMovement[[#This Row],[Tonnes_t]]="",tblMovement[[#This Row],[Grade_gpt]]=""),0,tblMovement[[#This Row],[Tonnes_t]]*tblMovement[[#This Row],[Grade_gpt]]/cfg_TroyOz)</f>
        <v/>
      </c>
      <c r="O2546" s="59">
        <f>IF(tblMovement[[#This Row],[Is_Ore]]=1,tblMovement[[#This Row],[Contained_oz]],0)</f>
        <v/>
      </c>
    </row>
    <row r="2547">
      <c r="A2547" s="54" t="n"/>
      <c r="B2547" s="61" t="n"/>
      <c r="C2547" s="61" t="n"/>
      <c r="D2547" s="61" t="n"/>
      <c r="E2547" s="61" t="n"/>
      <c r="F2547" s="55" t="n"/>
      <c r="G2547" s="56" t="n"/>
      <c r="H2547" s="55" t="n"/>
      <c r="I2547" s="62" t="n"/>
      <c r="J2547" s="58" t="n"/>
      <c r="K2547" s="63">
        <f>IF(tblMovement[[#This Row],[Source]]="","",IFERROR(INDEX(tblSources[Type],MATCH(tblMovement[[#This Row],[Source]],tblSources[Source],0)),"?"))</f>
        <v/>
      </c>
      <c r="L2547" s="63">
        <f>IF(tblMovement[[#This Row],[Destination]]="","",IFERROR(INDEX(tblDestinations[Type],MATCH(tblMovement[[#This Row],[Destination]],tblDestinations[Destination],0)),"?"))</f>
        <v/>
      </c>
      <c r="M2547" s="64">
        <f>IF(tblMovement[[#This Row],[Material]]="","",IF(LEFT(tblMovement[[#This Row],[Material]],3)="Ore",1,0))</f>
        <v/>
      </c>
      <c r="N2547" s="59">
        <f>IF(OR(tblMovement[[#This Row],[Tonnes_t]]="",tblMovement[[#This Row],[Grade_gpt]]=""),0,tblMovement[[#This Row],[Tonnes_t]]*tblMovement[[#This Row],[Grade_gpt]]/cfg_TroyOz)</f>
        <v/>
      </c>
      <c r="O2547" s="59">
        <f>IF(tblMovement[[#This Row],[Is_Ore]]=1,tblMovement[[#This Row],[Contained_oz]],0)</f>
        <v/>
      </c>
    </row>
    <row r="2548">
      <c r="A2548" s="54" t="n"/>
      <c r="B2548" s="61" t="n"/>
      <c r="C2548" s="61" t="n"/>
      <c r="D2548" s="61" t="n"/>
      <c r="E2548" s="61" t="n"/>
      <c r="F2548" s="55" t="n"/>
      <c r="G2548" s="56" t="n"/>
      <c r="H2548" s="55" t="n"/>
      <c r="I2548" s="62" t="n"/>
      <c r="J2548" s="58" t="n"/>
      <c r="K2548" s="63">
        <f>IF(tblMovement[[#This Row],[Source]]="","",IFERROR(INDEX(tblSources[Type],MATCH(tblMovement[[#This Row],[Source]],tblSources[Source],0)),"?"))</f>
        <v/>
      </c>
      <c r="L2548" s="63">
        <f>IF(tblMovement[[#This Row],[Destination]]="","",IFERROR(INDEX(tblDestinations[Type],MATCH(tblMovement[[#This Row],[Destination]],tblDestinations[Destination],0)),"?"))</f>
        <v/>
      </c>
      <c r="M2548" s="64">
        <f>IF(tblMovement[[#This Row],[Material]]="","",IF(LEFT(tblMovement[[#This Row],[Material]],3)="Ore",1,0))</f>
        <v/>
      </c>
      <c r="N2548" s="59">
        <f>IF(OR(tblMovement[[#This Row],[Tonnes_t]]="",tblMovement[[#This Row],[Grade_gpt]]=""),0,tblMovement[[#This Row],[Tonnes_t]]*tblMovement[[#This Row],[Grade_gpt]]/cfg_TroyOz)</f>
        <v/>
      </c>
      <c r="O2548" s="59">
        <f>IF(tblMovement[[#This Row],[Is_Ore]]=1,tblMovement[[#This Row],[Contained_oz]],0)</f>
        <v/>
      </c>
    </row>
    <row r="2549">
      <c r="A2549" s="54" t="n"/>
      <c r="B2549" s="61" t="n"/>
      <c r="C2549" s="61" t="n"/>
      <c r="D2549" s="61" t="n"/>
      <c r="E2549" s="61" t="n"/>
      <c r="F2549" s="55" t="n"/>
      <c r="G2549" s="56" t="n"/>
      <c r="H2549" s="55" t="n"/>
      <c r="I2549" s="62" t="n"/>
      <c r="J2549" s="58" t="n"/>
      <c r="K2549" s="63">
        <f>IF(tblMovement[[#This Row],[Source]]="","",IFERROR(INDEX(tblSources[Type],MATCH(tblMovement[[#This Row],[Source]],tblSources[Source],0)),"?"))</f>
        <v/>
      </c>
      <c r="L2549" s="63">
        <f>IF(tblMovement[[#This Row],[Destination]]="","",IFERROR(INDEX(tblDestinations[Type],MATCH(tblMovement[[#This Row],[Destination]],tblDestinations[Destination],0)),"?"))</f>
        <v/>
      </c>
      <c r="M2549" s="64">
        <f>IF(tblMovement[[#This Row],[Material]]="","",IF(LEFT(tblMovement[[#This Row],[Material]],3)="Ore",1,0))</f>
        <v/>
      </c>
      <c r="N2549" s="59">
        <f>IF(OR(tblMovement[[#This Row],[Tonnes_t]]="",tblMovement[[#This Row],[Grade_gpt]]=""),0,tblMovement[[#This Row],[Tonnes_t]]*tblMovement[[#This Row],[Grade_gpt]]/cfg_TroyOz)</f>
        <v/>
      </c>
      <c r="O2549" s="59">
        <f>IF(tblMovement[[#This Row],[Is_Ore]]=1,tblMovement[[#This Row],[Contained_oz]],0)</f>
        <v/>
      </c>
    </row>
    <row r="2550">
      <c r="A2550" s="54" t="n"/>
      <c r="B2550" s="61" t="n"/>
      <c r="C2550" s="61" t="n"/>
      <c r="D2550" s="61" t="n"/>
      <c r="E2550" s="61" t="n"/>
      <c r="F2550" s="55" t="n"/>
      <c r="G2550" s="56" t="n"/>
      <c r="H2550" s="55" t="n"/>
      <c r="I2550" s="62" t="n"/>
      <c r="J2550" s="58" t="n"/>
      <c r="K2550" s="63">
        <f>IF(tblMovement[[#This Row],[Source]]="","",IFERROR(INDEX(tblSources[Type],MATCH(tblMovement[[#This Row],[Source]],tblSources[Source],0)),"?"))</f>
        <v/>
      </c>
      <c r="L2550" s="63">
        <f>IF(tblMovement[[#This Row],[Destination]]="","",IFERROR(INDEX(tblDestinations[Type],MATCH(tblMovement[[#This Row],[Destination]],tblDestinations[Destination],0)),"?"))</f>
        <v/>
      </c>
      <c r="M2550" s="64">
        <f>IF(tblMovement[[#This Row],[Material]]="","",IF(LEFT(tblMovement[[#This Row],[Material]],3)="Ore",1,0))</f>
        <v/>
      </c>
      <c r="N2550" s="59">
        <f>IF(OR(tblMovement[[#This Row],[Tonnes_t]]="",tblMovement[[#This Row],[Grade_gpt]]=""),0,tblMovement[[#This Row],[Tonnes_t]]*tblMovement[[#This Row],[Grade_gpt]]/cfg_TroyOz)</f>
        <v/>
      </c>
      <c r="O2550" s="59">
        <f>IF(tblMovement[[#This Row],[Is_Ore]]=1,tblMovement[[#This Row],[Contained_oz]],0)</f>
        <v/>
      </c>
    </row>
    <row r="2551">
      <c r="A2551" s="54" t="n"/>
      <c r="B2551" s="61" t="n"/>
      <c r="C2551" s="61" t="n"/>
      <c r="D2551" s="61" t="n"/>
      <c r="E2551" s="61" t="n"/>
      <c r="F2551" s="55" t="n"/>
      <c r="G2551" s="56" t="n"/>
      <c r="H2551" s="55" t="n"/>
      <c r="I2551" s="62" t="n"/>
      <c r="J2551" s="58" t="n"/>
      <c r="K2551" s="63">
        <f>IF(tblMovement[[#This Row],[Source]]="","",IFERROR(INDEX(tblSources[Type],MATCH(tblMovement[[#This Row],[Source]],tblSources[Source],0)),"?"))</f>
        <v/>
      </c>
      <c r="L2551" s="63">
        <f>IF(tblMovement[[#This Row],[Destination]]="","",IFERROR(INDEX(tblDestinations[Type],MATCH(tblMovement[[#This Row],[Destination]],tblDestinations[Destination],0)),"?"))</f>
        <v/>
      </c>
      <c r="M2551" s="64">
        <f>IF(tblMovement[[#This Row],[Material]]="","",IF(LEFT(tblMovement[[#This Row],[Material]],3)="Ore",1,0))</f>
        <v/>
      </c>
      <c r="N2551" s="59">
        <f>IF(OR(tblMovement[[#This Row],[Tonnes_t]]="",tblMovement[[#This Row],[Grade_gpt]]=""),0,tblMovement[[#This Row],[Tonnes_t]]*tblMovement[[#This Row],[Grade_gpt]]/cfg_TroyOz)</f>
        <v/>
      </c>
      <c r="O2551" s="59">
        <f>IF(tblMovement[[#This Row],[Is_Ore]]=1,tblMovement[[#This Row],[Contained_oz]],0)</f>
        <v/>
      </c>
    </row>
    <row r="2552">
      <c r="A2552" s="54" t="n"/>
      <c r="B2552" s="61" t="n"/>
      <c r="C2552" s="61" t="n"/>
      <c r="D2552" s="61" t="n"/>
      <c r="E2552" s="61" t="n"/>
      <c r="F2552" s="55" t="n"/>
      <c r="G2552" s="56" t="n"/>
      <c r="H2552" s="55" t="n"/>
      <c r="I2552" s="62" t="n"/>
      <c r="J2552" s="58" t="n"/>
      <c r="K2552" s="63">
        <f>IF(tblMovement[[#This Row],[Source]]="","",IFERROR(INDEX(tblSources[Type],MATCH(tblMovement[[#This Row],[Source]],tblSources[Source],0)),"?"))</f>
        <v/>
      </c>
      <c r="L2552" s="63">
        <f>IF(tblMovement[[#This Row],[Destination]]="","",IFERROR(INDEX(tblDestinations[Type],MATCH(tblMovement[[#This Row],[Destination]],tblDestinations[Destination],0)),"?"))</f>
        <v/>
      </c>
      <c r="M2552" s="64">
        <f>IF(tblMovement[[#This Row],[Material]]="","",IF(LEFT(tblMovement[[#This Row],[Material]],3)="Ore",1,0))</f>
        <v/>
      </c>
      <c r="N2552" s="59">
        <f>IF(OR(tblMovement[[#This Row],[Tonnes_t]]="",tblMovement[[#This Row],[Grade_gpt]]=""),0,tblMovement[[#This Row],[Tonnes_t]]*tblMovement[[#This Row],[Grade_gpt]]/cfg_TroyOz)</f>
        <v/>
      </c>
      <c r="O2552" s="59">
        <f>IF(tblMovement[[#This Row],[Is_Ore]]=1,tblMovement[[#This Row],[Contained_oz]],0)</f>
        <v/>
      </c>
    </row>
    <row r="2553">
      <c r="A2553" s="54" t="n"/>
      <c r="B2553" s="61" t="n"/>
      <c r="C2553" s="61" t="n"/>
      <c r="D2553" s="61" t="n"/>
      <c r="E2553" s="61" t="n"/>
      <c r="F2553" s="55" t="n"/>
      <c r="G2553" s="56" t="n"/>
      <c r="H2553" s="55" t="n"/>
      <c r="I2553" s="62" t="n"/>
      <c r="J2553" s="58" t="n"/>
      <c r="K2553" s="63">
        <f>IF(tblMovement[[#This Row],[Source]]="","",IFERROR(INDEX(tblSources[Type],MATCH(tblMovement[[#This Row],[Source]],tblSources[Source],0)),"?"))</f>
        <v/>
      </c>
      <c r="L2553" s="63">
        <f>IF(tblMovement[[#This Row],[Destination]]="","",IFERROR(INDEX(tblDestinations[Type],MATCH(tblMovement[[#This Row],[Destination]],tblDestinations[Destination],0)),"?"))</f>
        <v/>
      </c>
      <c r="M2553" s="64">
        <f>IF(tblMovement[[#This Row],[Material]]="","",IF(LEFT(tblMovement[[#This Row],[Material]],3)="Ore",1,0))</f>
        <v/>
      </c>
      <c r="N2553" s="59">
        <f>IF(OR(tblMovement[[#This Row],[Tonnes_t]]="",tblMovement[[#This Row],[Grade_gpt]]=""),0,tblMovement[[#This Row],[Tonnes_t]]*tblMovement[[#This Row],[Grade_gpt]]/cfg_TroyOz)</f>
        <v/>
      </c>
      <c r="O2553" s="59">
        <f>IF(tblMovement[[#This Row],[Is_Ore]]=1,tblMovement[[#This Row],[Contained_oz]],0)</f>
        <v/>
      </c>
    </row>
    <row r="2554">
      <c r="A2554" s="54" t="n"/>
      <c r="B2554" s="61" t="n"/>
      <c r="C2554" s="61" t="n"/>
      <c r="D2554" s="61" t="n"/>
      <c r="E2554" s="61" t="n"/>
      <c r="F2554" s="55" t="n"/>
      <c r="G2554" s="56" t="n"/>
      <c r="H2554" s="55" t="n"/>
      <c r="I2554" s="62" t="n"/>
      <c r="J2554" s="58" t="n"/>
      <c r="K2554" s="63">
        <f>IF(tblMovement[[#This Row],[Source]]="","",IFERROR(INDEX(tblSources[Type],MATCH(tblMovement[[#This Row],[Source]],tblSources[Source],0)),"?"))</f>
        <v/>
      </c>
      <c r="L2554" s="63">
        <f>IF(tblMovement[[#This Row],[Destination]]="","",IFERROR(INDEX(tblDestinations[Type],MATCH(tblMovement[[#This Row],[Destination]],tblDestinations[Destination],0)),"?"))</f>
        <v/>
      </c>
      <c r="M2554" s="64">
        <f>IF(tblMovement[[#This Row],[Material]]="","",IF(LEFT(tblMovement[[#This Row],[Material]],3)="Ore",1,0))</f>
        <v/>
      </c>
      <c r="N2554" s="59">
        <f>IF(OR(tblMovement[[#This Row],[Tonnes_t]]="",tblMovement[[#This Row],[Grade_gpt]]=""),0,tblMovement[[#This Row],[Tonnes_t]]*tblMovement[[#This Row],[Grade_gpt]]/cfg_TroyOz)</f>
        <v/>
      </c>
      <c r="O2554" s="59">
        <f>IF(tblMovement[[#This Row],[Is_Ore]]=1,tblMovement[[#This Row],[Contained_oz]],0)</f>
        <v/>
      </c>
    </row>
    <row r="2555">
      <c r="A2555" s="54" t="n"/>
      <c r="B2555" s="61" t="n"/>
      <c r="C2555" s="61" t="n"/>
      <c r="D2555" s="61" t="n"/>
      <c r="E2555" s="61" t="n"/>
      <c r="F2555" s="55" t="n"/>
      <c r="G2555" s="56" t="n"/>
      <c r="H2555" s="55" t="n"/>
      <c r="I2555" s="62" t="n"/>
      <c r="J2555" s="58" t="n"/>
      <c r="K2555" s="63">
        <f>IF(tblMovement[[#This Row],[Source]]="","",IFERROR(INDEX(tblSources[Type],MATCH(tblMovement[[#This Row],[Source]],tblSources[Source],0)),"?"))</f>
        <v/>
      </c>
      <c r="L2555" s="63">
        <f>IF(tblMovement[[#This Row],[Destination]]="","",IFERROR(INDEX(tblDestinations[Type],MATCH(tblMovement[[#This Row],[Destination]],tblDestinations[Destination],0)),"?"))</f>
        <v/>
      </c>
      <c r="M2555" s="64">
        <f>IF(tblMovement[[#This Row],[Material]]="","",IF(LEFT(tblMovement[[#This Row],[Material]],3)="Ore",1,0))</f>
        <v/>
      </c>
      <c r="N2555" s="59">
        <f>IF(OR(tblMovement[[#This Row],[Tonnes_t]]="",tblMovement[[#This Row],[Grade_gpt]]=""),0,tblMovement[[#This Row],[Tonnes_t]]*tblMovement[[#This Row],[Grade_gpt]]/cfg_TroyOz)</f>
        <v/>
      </c>
      <c r="O2555" s="59">
        <f>IF(tblMovement[[#This Row],[Is_Ore]]=1,tblMovement[[#This Row],[Contained_oz]],0)</f>
        <v/>
      </c>
    </row>
    <row r="2556">
      <c r="A2556" s="54" t="n"/>
      <c r="B2556" s="61" t="n"/>
      <c r="C2556" s="61" t="n"/>
      <c r="D2556" s="61" t="n"/>
      <c r="E2556" s="61" t="n"/>
      <c r="F2556" s="55" t="n"/>
      <c r="G2556" s="56" t="n"/>
      <c r="H2556" s="55" t="n"/>
      <c r="I2556" s="62" t="n"/>
      <c r="J2556" s="58" t="n"/>
      <c r="K2556" s="63">
        <f>IF(tblMovement[[#This Row],[Source]]="","",IFERROR(INDEX(tblSources[Type],MATCH(tblMovement[[#This Row],[Source]],tblSources[Source],0)),"?"))</f>
        <v/>
      </c>
      <c r="L2556" s="63">
        <f>IF(tblMovement[[#This Row],[Destination]]="","",IFERROR(INDEX(tblDestinations[Type],MATCH(tblMovement[[#This Row],[Destination]],tblDestinations[Destination],0)),"?"))</f>
        <v/>
      </c>
      <c r="M2556" s="64">
        <f>IF(tblMovement[[#This Row],[Material]]="","",IF(LEFT(tblMovement[[#This Row],[Material]],3)="Ore",1,0))</f>
        <v/>
      </c>
      <c r="N2556" s="59">
        <f>IF(OR(tblMovement[[#This Row],[Tonnes_t]]="",tblMovement[[#This Row],[Grade_gpt]]=""),0,tblMovement[[#This Row],[Tonnes_t]]*tblMovement[[#This Row],[Grade_gpt]]/cfg_TroyOz)</f>
        <v/>
      </c>
      <c r="O2556" s="59">
        <f>IF(tblMovement[[#This Row],[Is_Ore]]=1,tblMovement[[#This Row],[Contained_oz]],0)</f>
        <v/>
      </c>
    </row>
    <row r="2557">
      <c r="A2557" s="54" t="n"/>
      <c r="B2557" s="61" t="n"/>
      <c r="C2557" s="61" t="n"/>
      <c r="D2557" s="61" t="n"/>
      <c r="E2557" s="61" t="n"/>
      <c r="F2557" s="55" t="n"/>
      <c r="G2557" s="56" t="n"/>
      <c r="H2557" s="55" t="n"/>
      <c r="I2557" s="62" t="n"/>
      <c r="J2557" s="58" t="n"/>
      <c r="K2557" s="63">
        <f>IF(tblMovement[[#This Row],[Source]]="","",IFERROR(INDEX(tblSources[Type],MATCH(tblMovement[[#This Row],[Source]],tblSources[Source],0)),"?"))</f>
        <v/>
      </c>
      <c r="L2557" s="63">
        <f>IF(tblMovement[[#This Row],[Destination]]="","",IFERROR(INDEX(tblDestinations[Type],MATCH(tblMovement[[#This Row],[Destination]],tblDestinations[Destination],0)),"?"))</f>
        <v/>
      </c>
      <c r="M2557" s="64">
        <f>IF(tblMovement[[#This Row],[Material]]="","",IF(LEFT(tblMovement[[#This Row],[Material]],3)="Ore",1,0))</f>
        <v/>
      </c>
      <c r="N2557" s="59">
        <f>IF(OR(tblMovement[[#This Row],[Tonnes_t]]="",tblMovement[[#This Row],[Grade_gpt]]=""),0,tblMovement[[#This Row],[Tonnes_t]]*tblMovement[[#This Row],[Grade_gpt]]/cfg_TroyOz)</f>
        <v/>
      </c>
      <c r="O2557" s="59">
        <f>IF(tblMovement[[#This Row],[Is_Ore]]=1,tblMovement[[#This Row],[Contained_oz]],0)</f>
        <v/>
      </c>
    </row>
    <row r="2558">
      <c r="A2558" s="54" t="n"/>
      <c r="B2558" s="61" t="n"/>
      <c r="C2558" s="61" t="n"/>
      <c r="D2558" s="61" t="n"/>
      <c r="E2558" s="61" t="n"/>
      <c r="F2558" s="55" t="n"/>
      <c r="G2558" s="56" t="n"/>
      <c r="H2558" s="55" t="n"/>
      <c r="I2558" s="62" t="n"/>
      <c r="J2558" s="58" t="n"/>
      <c r="K2558" s="63">
        <f>IF(tblMovement[[#This Row],[Source]]="","",IFERROR(INDEX(tblSources[Type],MATCH(tblMovement[[#This Row],[Source]],tblSources[Source],0)),"?"))</f>
        <v/>
      </c>
      <c r="L2558" s="63">
        <f>IF(tblMovement[[#This Row],[Destination]]="","",IFERROR(INDEX(tblDestinations[Type],MATCH(tblMovement[[#This Row],[Destination]],tblDestinations[Destination],0)),"?"))</f>
        <v/>
      </c>
      <c r="M2558" s="64">
        <f>IF(tblMovement[[#This Row],[Material]]="","",IF(LEFT(tblMovement[[#This Row],[Material]],3)="Ore",1,0))</f>
        <v/>
      </c>
      <c r="N2558" s="59">
        <f>IF(OR(tblMovement[[#This Row],[Tonnes_t]]="",tblMovement[[#This Row],[Grade_gpt]]=""),0,tblMovement[[#This Row],[Tonnes_t]]*tblMovement[[#This Row],[Grade_gpt]]/cfg_TroyOz)</f>
        <v/>
      </c>
      <c r="O2558" s="59">
        <f>IF(tblMovement[[#This Row],[Is_Ore]]=1,tblMovement[[#This Row],[Contained_oz]],0)</f>
        <v/>
      </c>
    </row>
    <row r="2559">
      <c r="A2559" s="54" t="n"/>
      <c r="B2559" s="61" t="n"/>
      <c r="C2559" s="61" t="n"/>
      <c r="D2559" s="61" t="n"/>
      <c r="E2559" s="61" t="n"/>
      <c r="F2559" s="55" t="n"/>
      <c r="G2559" s="56" t="n"/>
      <c r="H2559" s="55" t="n"/>
      <c r="I2559" s="62" t="n"/>
      <c r="J2559" s="58" t="n"/>
      <c r="K2559" s="63">
        <f>IF(tblMovement[[#This Row],[Source]]="","",IFERROR(INDEX(tblSources[Type],MATCH(tblMovement[[#This Row],[Source]],tblSources[Source],0)),"?"))</f>
        <v/>
      </c>
      <c r="L2559" s="63">
        <f>IF(tblMovement[[#This Row],[Destination]]="","",IFERROR(INDEX(tblDestinations[Type],MATCH(tblMovement[[#This Row],[Destination]],tblDestinations[Destination],0)),"?"))</f>
        <v/>
      </c>
      <c r="M2559" s="64">
        <f>IF(tblMovement[[#This Row],[Material]]="","",IF(LEFT(tblMovement[[#This Row],[Material]],3)="Ore",1,0))</f>
        <v/>
      </c>
      <c r="N2559" s="59">
        <f>IF(OR(tblMovement[[#This Row],[Tonnes_t]]="",tblMovement[[#This Row],[Grade_gpt]]=""),0,tblMovement[[#This Row],[Tonnes_t]]*tblMovement[[#This Row],[Grade_gpt]]/cfg_TroyOz)</f>
        <v/>
      </c>
      <c r="O2559" s="59">
        <f>IF(tblMovement[[#This Row],[Is_Ore]]=1,tblMovement[[#This Row],[Contained_oz]],0)</f>
        <v/>
      </c>
    </row>
    <row r="2560">
      <c r="A2560" s="54" t="n"/>
      <c r="B2560" s="61" t="n"/>
      <c r="C2560" s="61" t="n"/>
      <c r="D2560" s="61" t="n"/>
      <c r="E2560" s="61" t="n"/>
      <c r="F2560" s="55" t="n"/>
      <c r="G2560" s="56" t="n"/>
      <c r="H2560" s="55" t="n"/>
      <c r="I2560" s="62" t="n"/>
      <c r="J2560" s="58" t="n"/>
      <c r="K2560" s="63">
        <f>IF(tblMovement[[#This Row],[Source]]="","",IFERROR(INDEX(tblSources[Type],MATCH(tblMovement[[#This Row],[Source]],tblSources[Source],0)),"?"))</f>
        <v/>
      </c>
      <c r="L2560" s="63">
        <f>IF(tblMovement[[#This Row],[Destination]]="","",IFERROR(INDEX(tblDestinations[Type],MATCH(tblMovement[[#This Row],[Destination]],tblDestinations[Destination],0)),"?"))</f>
        <v/>
      </c>
      <c r="M2560" s="64">
        <f>IF(tblMovement[[#This Row],[Material]]="","",IF(LEFT(tblMovement[[#This Row],[Material]],3)="Ore",1,0))</f>
        <v/>
      </c>
      <c r="N2560" s="59">
        <f>IF(OR(tblMovement[[#This Row],[Tonnes_t]]="",tblMovement[[#This Row],[Grade_gpt]]=""),0,tblMovement[[#This Row],[Tonnes_t]]*tblMovement[[#This Row],[Grade_gpt]]/cfg_TroyOz)</f>
        <v/>
      </c>
      <c r="O2560" s="59">
        <f>IF(tblMovement[[#This Row],[Is_Ore]]=1,tblMovement[[#This Row],[Contained_oz]],0)</f>
        <v/>
      </c>
    </row>
    <row r="2561">
      <c r="A2561" s="54" t="n"/>
      <c r="B2561" s="61" t="n"/>
      <c r="C2561" s="61" t="n"/>
      <c r="D2561" s="61" t="n"/>
      <c r="E2561" s="61" t="n"/>
      <c r="F2561" s="55" t="n"/>
      <c r="G2561" s="56" t="n"/>
      <c r="H2561" s="55" t="n"/>
      <c r="I2561" s="62" t="n"/>
      <c r="J2561" s="58" t="n"/>
      <c r="K2561" s="63">
        <f>IF(tblMovement[[#This Row],[Source]]="","",IFERROR(INDEX(tblSources[Type],MATCH(tblMovement[[#This Row],[Source]],tblSources[Source],0)),"?"))</f>
        <v/>
      </c>
      <c r="L2561" s="63">
        <f>IF(tblMovement[[#This Row],[Destination]]="","",IFERROR(INDEX(tblDestinations[Type],MATCH(tblMovement[[#This Row],[Destination]],tblDestinations[Destination],0)),"?"))</f>
        <v/>
      </c>
      <c r="M2561" s="64">
        <f>IF(tblMovement[[#This Row],[Material]]="","",IF(LEFT(tblMovement[[#This Row],[Material]],3)="Ore",1,0))</f>
        <v/>
      </c>
      <c r="N2561" s="59">
        <f>IF(OR(tblMovement[[#This Row],[Tonnes_t]]="",tblMovement[[#This Row],[Grade_gpt]]=""),0,tblMovement[[#This Row],[Tonnes_t]]*tblMovement[[#This Row],[Grade_gpt]]/cfg_TroyOz)</f>
        <v/>
      </c>
      <c r="O2561" s="59">
        <f>IF(tblMovement[[#This Row],[Is_Ore]]=1,tblMovement[[#This Row],[Contained_oz]],0)</f>
        <v/>
      </c>
    </row>
    <row r="2562">
      <c r="A2562" s="54" t="n"/>
      <c r="B2562" s="61" t="n"/>
      <c r="C2562" s="61" t="n"/>
      <c r="D2562" s="61" t="n"/>
      <c r="E2562" s="61" t="n"/>
      <c r="F2562" s="55" t="n"/>
      <c r="G2562" s="56" t="n"/>
      <c r="H2562" s="55" t="n"/>
      <c r="I2562" s="62" t="n"/>
      <c r="J2562" s="58" t="n"/>
      <c r="K2562" s="63">
        <f>IF(tblMovement[[#This Row],[Source]]="","",IFERROR(INDEX(tblSources[Type],MATCH(tblMovement[[#This Row],[Source]],tblSources[Source],0)),"?"))</f>
        <v/>
      </c>
      <c r="L2562" s="63">
        <f>IF(tblMovement[[#This Row],[Destination]]="","",IFERROR(INDEX(tblDestinations[Type],MATCH(tblMovement[[#This Row],[Destination]],tblDestinations[Destination],0)),"?"))</f>
        <v/>
      </c>
      <c r="M2562" s="64">
        <f>IF(tblMovement[[#This Row],[Material]]="","",IF(LEFT(tblMovement[[#This Row],[Material]],3)="Ore",1,0))</f>
        <v/>
      </c>
      <c r="N2562" s="59">
        <f>IF(OR(tblMovement[[#This Row],[Tonnes_t]]="",tblMovement[[#This Row],[Grade_gpt]]=""),0,tblMovement[[#This Row],[Tonnes_t]]*tblMovement[[#This Row],[Grade_gpt]]/cfg_TroyOz)</f>
        <v/>
      </c>
      <c r="O2562" s="59">
        <f>IF(tblMovement[[#This Row],[Is_Ore]]=1,tblMovement[[#This Row],[Contained_oz]],0)</f>
        <v/>
      </c>
    </row>
    <row r="2563">
      <c r="A2563" s="54" t="n"/>
      <c r="B2563" s="61" t="n"/>
      <c r="C2563" s="61" t="n"/>
      <c r="D2563" s="61" t="n"/>
      <c r="E2563" s="61" t="n"/>
      <c r="F2563" s="55" t="n"/>
      <c r="G2563" s="56" t="n"/>
      <c r="H2563" s="55" t="n"/>
      <c r="I2563" s="62" t="n"/>
      <c r="J2563" s="58" t="n"/>
      <c r="K2563" s="63">
        <f>IF(tblMovement[[#This Row],[Source]]="","",IFERROR(INDEX(tblSources[Type],MATCH(tblMovement[[#This Row],[Source]],tblSources[Source],0)),"?"))</f>
        <v/>
      </c>
      <c r="L2563" s="63">
        <f>IF(tblMovement[[#This Row],[Destination]]="","",IFERROR(INDEX(tblDestinations[Type],MATCH(tblMovement[[#This Row],[Destination]],tblDestinations[Destination],0)),"?"))</f>
        <v/>
      </c>
      <c r="M2563" s="64">
        <f>IF(tblMovement[[#This Row],[Material]]="","",IF(LEFT(tblMovement[[#This Row],[Material]],3)="Ore",1,0))</f>
        <v/>
      </c>
      <c r="N2563" s="59">
        <f>IF(OR(tblMovement[[#This Row],[Tonnes_t]]="",tblMovement[[#This Row],[Grade_gpt]]=""),0,tblMovement[[#This Row],[Tonnes_t]]*tblMovement[[#This Row],[Grade_gpt]]/cfg_TroyOz)</f>
        <v/>
      </c>
      <c r="O2563" s="59">
        <f>IF(tblMovement[[#This Row],[Is_Ore]]=1,tblMovement[[#This Row],[Contained_oz]],0)</f>
        <v/>
      </c>
    </row>
    <row r="2564">
      <c r="A2564" s="54" t="n"/>
      <c r="B2564" s="61" t="n"/>
      <c r="C2564" s="61" t="n"/>
      <c r="D2564" s="61" t="n"/>
      <c r="E2564" s="61" t="n"/>
      <c r="F2564" s="55" t="n"/>
      <c r="G2564" s="56" t="n"/>
      <c r="H2564" s="55" t="n"/>
      <c r="I2564" s="62" t="n"/>
      <c r="J2564" s="58" t="n"/>
      <c r="K2564" s="63">
        <f>IF(tblMovement[[#This Row],[Source]]="","",IFERROR(INDEX(tblSources[Type],MATCH(tblMovement[[#This Row],[Source]],tblSources[Source],0)),"?"))</f>
        <v/>
      </c>
      <c r="L2564" s="63">
        <f>IF(tblMovement[[#This Row],[Destination]]="","",IFERROR(INDEX(tblDestinations[Type],MATCH(tblMovement[[#This Row],[Destination]],tblDestinations[Destination],0)),"?"))</f>
        <v/>
      </c>
      <c r="M2564" s="64">
        <f>IF(tblMovement[[#This Row],[Material]]="","",IF(LEFT(tblMovement[[#This Row],[Material]],3)="Ore",1,0))</f>
        <v/>
      </c>
      <c r="N2564" s="59">
        <f>IF(OR(tblMovement[[#This Row],[Tonnes_t]]="",tblMovement[[#This Row],[Grade_gpt]]=""),0,tblMovement[[#This Row],[Tonnes_t]]*tblMovement[[#This Row],[Grade_gpt]]/cfg_TroyOz)</f>
        <v/>
      </c>
      <c r="O2564" s="59">
        <f>IF(tblMovement[[#This Row],[Is_Ore]]=1,tblMovement[[#This Row],[Contained_oz]],0)</f>
        <v/>
      </c>
    </row>
    <row r="2565">
      <c r="A2565" s="54" t="n"/>
      <c r="B2565" s="61" t="n"/>
      <c r="C2565" s="61" t="n"/>
      <c r="D2565" s="61" t="n"/>
      <c r="E2565" s="61" t="n"/>
      <c r="F2565" s="55" t="n"/>
      <c r="G2565" s="56" t="n"/>
      <c r="H2565" s="55" t="n"/>
      <c r="I2565" s="62" t="n"/>
      <c r="J2565" s="58" t="n"/>
      <c r="K2565" s="63">
        <f>IF(tblMovement[[#This Row],[Source]]="","",IFERROR(INDEX(tblSources[Type],MATCH(tblMovement[[#This Row],[Source]],tblSources[Source],0)),"?"))</f>
        <v/>
      </c>
      <c r="L2565" s="63">
        <f>IF(tblMovement[[#This Row],[Destination]]="","",IFERROR(INDEX(tblDestinations[Type],MATCH(tblMovement[[#This Row],[Destination]],tblDestinations[Destination],0)),"?"))</f>
        <v/>
      </c>
      <c r="M2565" s="64">
        <f>IF(tblMovement[[#This Row],[Material]]="","",IF(LEFT(tblMovement[[#This Row],[Material]],3)="Ore",1,0))</f>
        <v/>
      </c>
      <c r="N2565" s="59">
        <f>IF(OR(tblMovement[[#This Row],[Tonnes_t]]="",tblMovement[[#This Row],[Grade_gpt]]=""),0,tblMovement[[#This Row],[Tonnes_t]]*tblMovement[[#This Row],[Grade_gpt]]/cfg_TroyOz)</f>
        <v/>
      </c>
      <c r="O2565" s="59">
        <f>IF(tblMovement[[#This Row],[Is_Ore]]=1,tblMovement[[#This Row],[Contained_oz]],0)</f>
        <v/>
      </c>
    </row>
    <row r="2566">
      <c r="A2566" s="54" t="n"/>
      <c r="B2566" s="61" t="n"/>
      <c r="C2566" s="61" t="n"/>
      <c r="D2566" s="61" t="n"/>
      <c r="E2566" s="61" t="n"/>
      <c r="F2566" s="55" t="n"/>
      <c r="G2566" s="56" t="n"/>
      <c r="H2566" s="55" t="n"/>
      <c r="I2566" s="62" t="n"/>
      <c r="J2566" s="58" t="n"/>
      <c r="K2566" s="63">
        <f>IF(tblMovement[[#This Row],[Source]]="","",IFERROR(INDEX(tblSources[Type],MATCH(tblMovement[[#This Row],[Source]],tblSources[Source],0)),"?"))</f>
        <v/>
      </c>
      <c r="L2566" s="63">
        <f>IF(tblMovement[[#This Row],[Destination]]="","",IFERROR(INDEX(tblDestinations[Type],MATCH(tblMovement[[#This Row],[Destination]],tblDestinations[Destination],0)),"?"))</f>
        <v/>
      </c>
      <c r="M2566" s="64">
        <f>IF(tblMovement[[#This Row],[Material]]="","",IF(LEFT(tblMovement[[#This Row],[Material]],3)="Ore",1,0))</f>
        <v/>
      </c>
      <c r="N2566" s="59">
        <f>IF(OR(tblMovement[[#This Row],[Tonnes_t]]="",tblMovement[[#This Row],[Grade_gpt]]=""),0,tblMovement[[#This Row],[Tonnes_t]]*tblMovement[[#This Row],[Grade_gpt]]/cfg_TroyOz)</f>
        <v/>
      </c>
      <c r="O2566" s="59">
        <f>IF(tblMovement[[#This Row],[Is_Ore]]=1,tblMovement[[#This Row],[Contained_oz]],0)</f>
        <v/>
      </c>
    </row>
    <row r="2567">
      <c r="A2567" s="54" t="n"/>
      <c r="B2567" s="61" t="n"/>
      <c r="C2567" s="61" t="n"/>
      <c r="D2567" s="61" t="n"/>
      <c r="E2567" s="61" t="n"/>
      <c r="F2567" s="55" t="n"/>
      <c r="G2567" s="56" t="n"/>
      <c r="H2567" s="55" t="n"/>
      <c r="I2567" s="62" t="n"/>
      <c r="J2567" s="58" t="n"/>
      <c r="K2567" s="63">
        <f>IF(tblMovement[[#This Row],[Source]]="","",IFERROR(INDEX(tblSources[Type],MATCH(tblMovement[[#This Row],[Source]],tblSources[Source],0)),"?"))</f>
        <v/>
      </c>
      <c r="L2567" s="63">
        <f>IF(tblMovement[[#This Row],[Destination]]="","",IFERROR(INDEX(tblDestinations[Type],MATCH(tblMovement[[#This Row],[Destination]],tblDestinations[Destination],0)),"?"))</f>
        <v/>
      </c>
      <c r="M2567" s="64">
        <f>IF(tblMovement[[#This Row],[Material]]="","",IF(LEFT(tblMovement[[#This Row],[Material]],3)="Ore",1,0))</f>
        <v/>
      </c>
      <c r="N2567" s="59">
        <f>IF(OR(tblMovement[[#This Row],[Tonnes_t]]="",tblMovement[[#This Row],[Grade_gpt]]=""),0,tblMovement[[#This Row],[Tonnes_t]]*tblMovement[[#This Row],[Grade_gpt]]/cfg_TroyOz)</f>
        <v/>
      </c>
      <c r="O2567" s="59">
        <f>IF(tblMovement[[#This Row],[Is_Ore]]=1,tblMovement[[#This Row],[Contained_oz]],0)</f>
        <v/>
      </c>
    </row>
    <row r="2568">
      <c r="A2568" s="54" t="n"/>
      <c r="B2568" s="61" t="n"/>
      <c r="C2568" s="61" t="n"/>
      <c r="D2568" s="61" t="n"/>
      <c r="E2568" s="61" t="n"/>
      <c r="F2568" s="55" t="n"/>
      <c r="G2568" s="56" t="n"/>
      <c r="H2568" s="55" t="n"/>
      <c r="I2568" s="62" t="n"/>
      <c r="J2568" s="58" t="n"/>
      <c r="K2568" s="63">
        <f>IF(tblMovement[[#This Row],[Source]]="","",IFERROR(INDEX(tblSources[Type],MATCH(tblMovement[[#This Row],[Source]],tblSources[Source],0)),"?"))</f>
        <v/>
      </c>
      <c r="L2568" s="63">
        <f>IF(tblMovement[[#This Row],[Destination]]="","",IFERROR(INDEX(tblDestinations[Type],MATCH(tblMovement[[#This Row],[Destination]],tblDestinations[Destination],0)),"?"))</f>
        <v/>
      </c>
      <c r="M2568" s="64">
        <f>IF(tblMovement[[#This Row],[Material]]="","",IF(LEFT(tblMovement[[#This Row],[Material]],3)="Ore",1,0))</f>
        <v/>
      </c>
      <c r="N2568" s="59">
        <f>IF(OR(tblMovement[[#This Row],[Tonnes_t]]="",tblMovement[[#This Row],[Grade_gpt]]=""),0,tblMovement[[#This Row],[Tonnes_t]]*tblMovement[[#This Row],[Grade_gpt]]/cfg_TroyOz)</f>
        <v/>
      </c>
      <c r="O2568" s="59">
        <f>IF(tblMovement[[#This Row],[Is_Ore]]=1,tblMovement[[#This Row],[Contained_oz]],0)</f>
        <v/>
      </c>
    </row>
    <row r="2569">
      <c r="A2569" s="54" t="n"/>
      <c r="B2569" s="61" t="n"/>
      <c r="C2569" s="61" t="n"/>
      <c r="D2569" s="61" t="n"/>
      <c r="E2569" s="61" t="n"/>
      <c r="F2569" s="55" t="n"/>
      <c r="G2569" s="56" t="n"/>
      <c r="H2569" s="55" t="n"/>
      <c r="I2569" s="62" t="n"/>
      <c r="J2569" s="58" t="n"/>
      <c r="K2569" s="63">
        <f>IF(tblMovement[[#This Row],[Source]]="","",IFERROR(INDEX(tblSources[Type],MATCH(tblMovement[[#This Row],[Source]],tblSources[Source],0)),"?"))</f>
        <v/>
      </c>
      <c r="L2569" s="63">
        <f>IF(tblMovement[[#This Row],[Destination]]="","",IFERROR(INDEX(tblDestinations[Type],MATCH(tblMovement[[#This Row],[Destination]],tblDestinations[Destination],0)),"?"))</f>
        <v/>
      </c>
      <c r="M2569" s="64">
        <f>IF(tblMovement[[#This Row],[Material]]="","",IF(LEFT(tblMovement[[#This Row],[Material]],3)="Ore",1,0))</f>
        <v/>
      </c>
      <c r="N2569" s="59">
        <f>IF(OR(tblMovement[[#This Row],[Tonnes_t]]="",tblMovement[[#This Row],[Grade_gpt]]=""),0,tblMovement[[#This Row],[Tonnes_t]]*tblMovement[[#This Row],[Grade_gpt]]/cfg_TroyOz)</f>
        <v/>
      </c>
      <c r="O2569" s="59">
        <f>IF(tblMovement[[#This Row],[Is_Ore]]=1,tblMovement[[#This Row],[Contained_oz]],0)</f>
        <v/>
      </c>
    </row>
    <row r="2570">
      <c r="A2570" s="54" t="n"/>
      <c r="B2570" s="61" t="n"/>
      <c r="C2570" s="61" t="n"/>
      <c r="D2570" s="61" t="n"/>
      <c r="E2570" s="61" t="n"/>
      <c r="F2570" s="55" t="n"/>
      <c r="G2570" s="56" t="n"/>
      <c r="H2570" s="55" t="n"/>
      <c r="I2570" s="62" t="n"/>
      <c r="J2570" s="58" t="n"/>
      <c r="K2570" s="63">
        <f>IF(tblMovement[[#This Row],[Source]]="","",IFERROR(INDEX(tblSources[Type],MATCH(tblMovement[[#This Row],[Source]],tblSources[Source],0)),"?"))</f>
        <v/>
      </c>
      <c r="L2570" s="63">
        <f>IF(tblMovement[[#This Row],[Destination]]="","",IFERROR(INDEX(tblDestinations[Type],MATCH(tblMovement[[#This Row],[Destination]],tblDestinations[Destination],0)),"?"))</f>
        <v/>
      </c>
      <c r="M2570" s="64">
        <f>IF(tblMovement[[#This Row],[Material]]="","",IF(LEFT(tblMovement[[#This Row],[Material]],3)="Ore",1,0))</f>
        <v/>
      </c>
      <c r="N2570" s="59">
        <f>IF(OR(tblMovement[[#This Row],[Tonnes_t]]="",tblMovement[[#This Row],[Grade_gpt]]=""),0,tblMovement[[#This Row],[Tonnes_t]]*tblMovement[[#This Row],[Grade_gpt]]/cfg_TroyOz)</f>
        <v/>
      </c>
      <c r="O2570" s="59">
        <f>IF(tblMovement[[#This Row],[Is_Ore]]=1,tblMovement[[#This Row],[Contained_oz]],0)</f>
        <v/>
      </c>
    </row>
    <row r="2571">
      <c r="A2571" s="54" t="n"/>
      <c r="B2571" s="61" t="n"/>
      <c r="C2571" s="61" t="n"/>
      <c r="D2571" s="61" t="n"/>
      <c r="E2571" s="61" t="n"/>
      <c r="F2571" s="55" t="n"/>
      <c r="G2571" s="56" t="n"/>
      <c r="H2571" s="55" t="n"/>
      <c r="I2571" s="62" t="n"/>
      <c r="J2571" s="58" t="n"/>
      <c r="K2571" s="63">
        <f>IF(tblMovement[[#This Row],[Source]]="","",IFERROR(INDEX(tblSources[Type],MATCH(tblMovement[[#This Row],[Source]],tblSources[Source],0)),"?"))</f>
        <v/>
      </c>
      <c r="L2571" s="63">
        <f>IF(tblMovement[[#This Row],[Destination]]="","",IFERROR(INDEX(tblDestinations[Type],MATCH(tblMovement[[#This Row],[Destination]],tblDestinations[Destination],0)),"?"))</f>
        <v/>
      </c>
      <c r="M2571" s="64">
        <f>IF(tblMovement[[#This Row],[Material]]="","",IF(LEFT(tblMovement[[#This Row],[Material]],3)="Ore",1,0))</f>
        <v/>
      </c>
      <c r="N2571" s="59">
        <f>IF(OR(tblMovement[[#This Row],[Tonnes_t]]="",tblMovement[[#This Row],[Grade_gpt]]=""),0,tblMovement[[#This Row],[Tonnes_t]]*tblMovement[[#This Row],[Grade_gpt]]/cfg_TroyOz)</f>
        <v/>
      </c>
      <c r="O2571" s="59">
        <f>IF(tblMovement[[#This Row],[Is_Ore]]=1,tblMovement[[#This Row],[Contained_oz]],0)</f>
        <v/>
      </c>
    </row>
    <row r="2572">
      <c r="A2572" s="54" t="n"/>
      <c r="B2572" s="61" t="n"/>
      <c r="C2572" s="61" t="n"/>
      <c r="D2572" s="61" t="n"/>
      <c r="E2572" s="61" t="n"/>
      <c r="F2572" s="55" t="n"/>
      <c r="G2572" s="56" t="n"/>
      <c r="H2572" s="55" t="n"/>
      <c r="I2572" s="62" t="n"/>
      <c r="J2572" s="58" t="n"/>
      <c r="K2572" s="63">
        <f>IF(tblMovement[[#This Row],[Source]]="","",IFERROR(INDEX(tblSources[Type],MATCH(tblMovement[[#This Row],[Source]],tblSources[Source],0)),"?"))</f>
        <v/>
      </c>
      <c r="L2572" s="63">
        <f>IF(tblMovement[[#This Row],[Destination]]="","",IFERROR(INDEX(tblDestinations[Type],MATCH(tblMovement[[#This Row],[Destination]],tblDestinations[Destination],0)),"?"))</f>
        <v/>
      </c>
      <c r="M2572" s="64">
        <f>IF(tblMovement[[#This Row],[Material]]="","",IF(LEFT(tblMovement[[#This Row],[Material]],3)="Ore",1,0))</f>
        <v/>
      </c>
      <c r="N2572" s="59">
        <f>IF(OR(tblMovement[[#This Row],[Tonnes_t]]="",tblMovement[[#This Row],[Grade_gpt]]=""),0,tblMovement[[#This Row],[Tonnes_t]]*tblMovement[[#This Row],[Grade_gpt]]/cfg_TroyOz)</f>
        <v/>
      </c>
      <c r="O2572" s="59">
        <f>IF(tblMovement[[#This Row],[Is_Ore]]=1,tblMovement[[#This Row],[Contained_oz]],0)</f>
        <v/>
      </c>
    </row>
    <row r="2573">
      <c r="A2573" s="54" t="n"/>
      <c r="B2573" s="61" t="n"/>
      <c r="C2573" s="61" t="n"/>
      <c r="D2573" s="61" t="n"/>
      <c r="E2573" s="61" t="n"/>
      <c r="F2573" s="55" t="n"/>
      <c r="G2573" s="56" t="n"/>
      <c r="H2573" s="55" t="n"/>
      <c r="I2573" s="62" t="n"/>
      <c r="J2573" s="58" t="n"/>
      <c r="K2573" s="63">
        <f>IF(tblMovement[[#This Row],[Source]]="","",IFERROR(INDEX(tblSources[Type],MATCH(tblMovement[[#This Row],[Source]],tblSources[Source],0)),"?"))</f>
        <v/>
      </c>
      <c r="L2573" s="63">
        <f>IF(tblMovement[[#This Row],[Destination]]="","",IFERROR(INDEX(tblDestinations[Type],MATCH(tblMovement[[#This Row],[Destination]],tblDestinations[Destination],0)),"?"))</f>
        <v/>
      </c>
      <c r="M2573" s="64">
        <f>IF(tblMovement[[#This Row],[Material]]="","",IF(LEFT(tblMovement[[#This Row],[Material]],3)="Ore",1,0))</f>
        <v/>
      </c>
      <c r="N2573" s="59">
        <f>IF(OR(tblMovement[[#This Row],[Tonnes_t]]="",tblMovement[[#This Row],[Grade_gpt]]=""),0,tblMovement[[#This Row],[Tonnes_t]]*tblMovement[[#This Row],[Grade_gpt]]/cfg_TroyOz)</f>
        <v/>
      </c>
      <c r="O2573" s="59">
        <f>IF(tblMovement[[#This Row],[Is_Ore]]=1,tblMovement[[#This Row],[Contained_oz]],0)</f>
        <v/>
      </c>
    </row>
    <row r="2574">
      <c r="A2574" s="54" t="n"/>
      <c r="B2574" s="61" t="n"/>
      <c r="C2574" s="61" t="n"/>
      <c r="D2574" s="61" t="n"/>
      <c r="E2574" s="61" t="n"/>
      <c r="F2574" s="55" t="n"/>
      <c r="G2574" s="56" t="n"/>
      <c r="H2574" s="55" t="n"/>
      <c r="I2574" s="62" t="n"/>
      <c r="J2574" s="58" t="n"/>
      <c r="K2574" s="63">
        <f>IF(tblMovement[[#This Row],[Source]]="","",IFERROR(INDEX(tblSources[Type],MATCH(tblMovement[[#This Row],[Source]],tblSources[Source],0)),"?"))</f>
        <v/>
      </c>
      <c r="L2574" s="63">
        <f>IF(tblMovement[[#This Row],[Destination]]="","",IFERROR(INDEX(tblDestinations[Type],MATCH(tblMovement[[#This Row],[Destination]],tblDestinations[Destination],0)),"?"))</f>
        <v/>
      </c>
      <c r="M2574" s="64">
        <f>IF(tblMovement[[#This Row],[Material]]="","",IF(LEFT(tblMovement[[#This Row],[Material]],3)="Ore",1,0))</f>
        <v/>
      </c>
      <c r="N2574" s="59">
        <f>IF(OR(tblMovement[[#This Row],[Tonnes_t]]="",tblMovement[[#This Row],[Grade_gpt]]=""),0,tblMovement[[#This Row],[Tonnes_t]]*tblMovement[[#This Row],[Grade_gpt]]/cfg_TroyOz)</f>
        <v/>
      </c>
      <c r="O2574" s="59">
        <f>IF(tblMovement[[#This Row],[Is_Ore]]=1,tblMovement[[#This Row],[Contained_oz]],0)</f>
        <v/>
      </c>
    </row>
    <row r="2575">
      <c r="A2575" s="54" t="n"/>
      <c r="B2575" s="61" t="n"/>
      <c r="C2575" s="61" t="n"/>
      <c r="D2575" s="61" t="n"/>
      <c r="E2575" s="61" t="n"/>
      <c r="F2575" s="55" t="n"/>
      <c r="G2575" s="56" t="n"/>
      <c r="H2575" s="55" t="n"/>
      <c r="I2575" s="62" t="n"/>
      <c r="J2575" s="58" t="n"/>
      <c r="K2575" s="63">
        <f>IF(tblMovement[[#This Row],[Source]]="","",IFERROR(INDEX(tblSources[Type],MATCH(tblMovement[[#This Row],[Source]],tblSources[Source],0)),"?"))</f>
        <v/>
      </c>
      <c r="L2575" s="63">
        <f>IF(tblMovement[[#This Row],[Destination]]="","",IFERROR(INDEX(tblDestinations[Type],MATCH(tblMovement[[#This Row],[Destination]],tblDestinations[Destination],0)),"?"))</f>
        <v/>
      </c>
      <c r="M2575" s="64">
        <f>IF(tblMovement[[#This Row],[Material]]="","",IF(LEFT(tblMovement[[#This Row],[Material]],3)="Ore",1,0))</f>
        <v/>
      </c>
      <c r="N2575" s="59">
        <f>IF(OR(tblMovement[[#This Row],[Tonnes_t]]="",tblMovement[[#This Row],[Grade_gpt]]=""),0,tblMovement[[#This Row],[Tonnes_t]]*tblMovement[[#This Row],[Grade_gpt]]/cfg_TroyOz)</f>
        <v/>
      </c>
      <c r="O2575" s="59">
        <f>IF(tblMovement[[#This Row],[Is_Ore]]=1,tblMovement[[#This Row],[Contained_oz]],0)</f>
        <v/>
      </c>
    </row>
    <row r="2576">
      <c r="A2576" s="54" t="n"/>
      <c r="B2576" s="61" t="n"/>
      <c r="C2576" s="61" t="n"/>
      <c r="D2576" s="61" t="n"/>
      <c r="E2576" s="61" t="n"/>
      <c r="F2576" s="55" t="n"/>
      <c r="G2576" s="56" t="n"/>
      <c r="H2576" s="55" t="n"/>
      <c r="I2576" s="62" t="n"/>
      <c r="J2576" s="58" t="n"/>
      <c r="K2576" s="63">
        <f>IF(tblMovement[[#This Row],[Source]]="","",IFERROR(INDEX(tblSources[Type],MATCH(tblMovement[[#This Row],[Source]],tblSources[Source],0)),"?"))</f>
        <v/>
      </c>
      <c r="L2576" s="63">
        <f>IF(tblMovement[[#This Row],[Destination]]="","",IFERROR(INDEX(tblDestinations[Type],MATCH(tblMovement[[#This Row],[Destination]],tblDestinations[Destination],0)),"?"))</f>
        <v/>
      </c>
      <c r="M2576" s="64">
        <f>IF(tblMovement[[#This Row],[Material]]="","",IF(LEFT(tblMovement[[#This Row],[Material]],3)="Ore",1,0))</f>
        <v/>
      </c>
      <c r="N2576" s="59">
        <f>IF(OR(tblMovement[[#This Row],[Tonnes_t]]="",tblMovement[[#This Row],[Grade_gpt]]=""),0,tblMovement[[#This Row],[Tonnes_t]]*tblMovement[[#This Row],[Grade_gpt]]/cfg_TroyOz)</f>
        <v/>
      </c>
      <c r="O2576" s="59">
        <f>IF(tblMovement[[#This Row],[Is_Ore]]=1,tblMovement[[#This Row],[Contained_oz]],0)</f>
        <v/>
      </c>
    </row>
    <row r="2577">
      <c r="A2577" s="54" t="n"/>
      <c r="B2577" s="61" t="n"/>
      <c r="C2577" s="61" t="n"/>
      <c r="D2577" s="61" t="n"/>
      <c r="E2577" s="61" t="n"/>
      <c r="F2577" s="55" t="n"/>
      <c r="G2577" s="56" t="n"/>
      <c r="H2577" s="55" t="n"/>
      <c r="I2577" s="62" t="n"/>
      <c r="J2577" s="58" t="n"/>
      <c r="K2577" s="63">
        <f>IF(tblMovement[[#This Row],[Source]]="","",IFERROR(INDEX(tblSources[Type],MATCH(tblMovement[[#This Row],[Source]],tblSources[Source],0)),"?"))</f>
        <v/>
      </c>
      <c r="L2577" s="63">
        <f>IF(tblMovement[[#This Row],[Destination]]="","",IFERROR(INDEX(tblDestinations[Type],MATCH(tblMovement[[#This Row],[Destination]],tblDestinations[Destination],0)),"?"))</f>
        <v/>
      </c>
      <c r="M2577" s="64">
        <f>IF(tblMovement[[#This Row],[Material]]="","",IF(LEFT(tblMovement[[#This Row],[Material]],3)="Ore",1,0))</f>
        <v/>
      </c>
      <c r="N2577" s="59">
        <f>IF(OR(tblMovement[[#This Row],[Tonnes_t]]="",tblMovement[[#This Row],[Grade_gpt]]=""),0,tblMovement[[#This Row],[Tonnes_t]]*tblMovement[[#This Row],[Grade_gpt]]/cfg_TroyOz)</f>
        <v/>
      </c>
      <c r="O2577" s="59">
        <f>IF(tblMovement[[#This Row],[Is_Ore]]=1,tblMovement[[#This Row],[Contained_oz]],0)</f>
        <v/>
      </c>
    </row>
    <row r="2578">
      <c r="A2578" s="54" t="n"/>
      <c r="B2578" s="61" t="n"/>
      <c r="C2578" s="61" t="n"/>
      <c r="D2578" s="61" t="n"/>
      <c r="E2578" s="61" t="n"/>
      <c r="F2578" s="55" t="n"/>
      <c r="G2578" s="56" t="n"/>
      <c r="H2578" s="55" t="n"/>
      <c r="I2578" s="62" t="n"/>
      <c r="J2578" s="58" t="n"/>
      <c r="K2578" s="63">
        <f>IF(tblMovement[[#This Row],[Source]]="","",IFERROR(INDEX(tblSources[Type],MATCH(tblMovement[[#This Row],[Source]],tblSources[Source],0)),"?"))</f>
        <v/>
      </c>
      <c r="L2578" s="63">
        <f>IF(tblMovement[[#This Row],[Destination]]="","",IFERROR(INDEX(tblDestinations[Type],MATCH(tblMovement[[#This Row],[Destination]],tblDestinations[Destination],0)),"?"))</f>
        <v/>
      </c>
      <c r="M2578" s="64">
        <f>IF(tblMovement[[#This Row],[Material]]="","",IF(LEFT(tblMovement[[#This Row],[Material]],3)="Ore",1,0))</f>
        <v/>
      </c>
      <c r="N2578" s="59">
        <f>IF(OR(tblMovement[[#This Row],[Tonnes_t]]="",tblMovement[[#This Row],[Grade_gpt]]=""),0,tblMovement[[#This Row],[Tonnes_t]]*tblMovement[[#This Row],[Grade_gpt]]/cfg_TroyOz)</f>
        <v/>
      </c>
      <c r="O2578" s="59">
        <f>IF(tblMovement[[#This Row],[Is_Ore]]=1,tblMovement[[#This Row],[Contained_oz]],0)</f>
        <v/>
      </c>
    </row>
    <row r="2579">
      <c r="A2579" s="54" t="n"/>
      <c r="B2579" s="61" t="n"/>
      <c r="C2579" s="61" t="n"/>
      <c r="D2579" s="61" t="n"/>
      <c r="E2579" s="61" t="n"/>
      <c r="F2579" s="55" t="n"/>
      <c r="G2579" s="56" t="n"/>
      <c r="H2579" s="55" t="n"/>
      <c r="I2579" s="62" t="n"/>
      <c r="J2579" s="58" t="n"/>
      <c r="K2579" s="63">
        <f>IF(tblMovement[[#This Row],[Source]]="","",IFERROR(INDEX(tblSources[Type],MATCH(tblMovement[[#This Row],[Source]],tblSources[Source],0)),"?"))</f>
        <v/>
      </c>
      <c r="L2579" s="63">
        <f>IF(tblMovement[[#This Row],[Destination]]="","",IFERROR(INDEX(tblDestinations[Type],MATCH(tblMovement[[#This Row],[Destination]],tblDestinations[Destination],0)),"?"))</f>
        <v/>
      </c>
      <c r="M2579" s="64">
        <f>IF(tblMovement[[#This Row],[Material]]="","",IF(LEFT(tblMovement[[#This Row],[Material]],3)="Ore",1,0))</f>
        <v/>
      </c>
      <c r="N2579" s="59">
        <f>IF(OR(tblMovement[[#This Row],[Tonnes_t]]="",tblMovement[[#This Row],[Grade_gpt]]=""),0,tblMovement[[#This Row],[Tonnes_t]]*tblMovement[[#This Row],[Grade_gpt]]/cfg_TroyOz)</f>
        <v/>
      </c>
      <c r="O2579" s="59">
        <f>IF(tblMovement[[#This Row],[Is_Ore]]=1,tblMovement[[#This Row],[Contained_oz]],0)</f>
        <v/>
      </c>
    </row>
    <row r="2580">
      <c r="A2580" s="54" t="n"/>
      <c r="B2580" s="61" t="n"/>
      <c r="C2580" s="61" t="n"/>
      <c r="D2580" s="61" t="n"/>
      <c r="E2580" s="61" t="n"/>
      <c r="F2580" s="55" t="n"/>
      <c r="G2580" s="56" t="n"/>
      <c r="H2580" s="55" t="n"/>
      <c r="I2580" s="62" t="n"/>
      <c r="J2580" s="58" t="n"/>
      <c r="K2580" s="63">
        <f>IF(tblMovement[[#This Row],[Source]]="","",IFERROR(INDEX(tblSources[Type],MATCH(tblMovement[[#This Row],[Source]],tblSources[Source],0)),"?"))</f>
        <v/>
      </c>
      <c r="L2580" s="63">
        <f>IF(tblMovement[[#This Row],[Destination]]="","",IFERROR(INDEX(tblDestinations[Type],MATCH(tblMovement[[#This Row],[Destination]],tblDestinations[Destination],0)),"?"))</f>
        <v/>
      </c>
      <c r="M2580" s="64">
        <f>IF(tblMovement[[#This Row],[Material]]="","",IF(LEFT(tblMovement[[#This Row],[Material]],3)="Ore",1,0))</f>
        <v/>
      </c>
      <c r="N2580" s="59">
        <f>IF(OR(tblMovement[[#This Row],[Tonnes_t]]="",tblMovement[[#This Row],[Grade_gpt]]=""),0,tblMovement[[#This Row],[Tonnes_t]]*tblMovement[[#This Row],[Grade_gpt]]/cfg_TroyOz)</f>
        <v/>
      </c>
      <c r="O2580" s="59">
        <f>IF(tblMovement[[#This Row],[Is_Ore]]=1,tblMovement[[#This Row],[Contained_oz]],0)</f>
        <v/>
      </c>
    </row>
    <row r="2581">
      <c r="A2581" s="54" t="n"/>
      <c r="B2581" s="61" t="n"/>
      <c r="C2581" s="61" t="n"/>
      <c r="D2581" s="61" t="n"/>
      <c r="E2581" s="61" t="n"/>
      <c r="F2581" s="55" t="n"/>
      <c r="G2581" s="56" t="n"/>
      <c r="H2581" s="55" t="n"/>
      <c r="I2581" s="62" t="n"/>
      <c r="J2581" s="58" t="n"/>
      <c r="K2581" s="63">
        <f>IF(tblMovement[[#This Row],[Source]]="","",IFERROR(INDEX(tblSources[Type],MATCH(tblMovement[[#This Row],[Source]],tblSources[Source],0)),"?"))</f>
        <v/>
      </c>
      <c r="L2581" s="63">
        <f>IF(tblMovement[[#This Row],[Destination]]="","",IFERROR(INDEX(tblDestinations[Type],MATCH(tblMovement[[#This Row],[Destination]],tblDestinations[Destination],0)),"?"))</f>
        <v/>
      </c>
      <c r="M2581" s="64">
        <f>IF(tblMovement[[#This Row],[Material]]="","",IF(LEFT(tblMovement[[#This Row],[Material]],3)="Ore",1,0))</f>
        <v/>
      </c>
      <c r="N2581" s="59">
        <f>IF(OR(tblMovement[[#This Row],[Tonnes_t]]="",tblMovement[[#This Row],[Grade_gpt]]=""),0,tblMovement[[#This Row],[Tonnes_t]]*tblMovement[[#This Row],[Grade_gpt]]/cfg_TroyOz)</f>
        <v/>
      </c>
      <c r="O2581" s="59">
        <f>IF(tblMovement[[#This Row],[Is_Ore]]=1,tblMovement[[#This Row],[Contained_oz]],0)</f>
        <v/>
      </c>
    </row>
    <row r="2582">
      <c r="A2582" s="54" t="n"/>
      <c r="B2582" s="61" t="n"/>
      <c r="C2582" s="61" t="n"/>
      <c r="D2582" s="61" t="n"/>
      <c r="E2582" s="61" t="n"/>
      <c r="F2582" s="55" t="n"/>
      <c r="G2582" s="56" t="n"/>
      <c r="H2582" s="55" t="n"/>
      <c r="I2582" s="62" t="n"/>
      <c r="J2582" s="58" t="n"/>
      <c r="K2582" s="63">
        <f>IF(tblMovement[[#This Row],[Source]]="","",IFERROR(INDEX(tblSources[Type],MATCH(tblMovement[[#This Row],[Source]],tblSources[Source],0)),"?"))</f>
        <v/>
      </c>
      <c r="L2582" s="63">
        <f>IF(tblMovement[[#This Row],[Destination]]="","",IFERROR(INDEX(tblDestinations[Type],MATCH(tblMovement[[#This Row],[Destination]],tblDestinations[Destination],0)),"?"))</f>
        <v/>
      </c>
      <c r="M2582" s="64">
        <f>IF(tblMovement[[#This Row],[Material]]="","",IF(LEFT(tblMovement[[#This Row],[Material]],3)="Ore",1,0))</f>
        <v/>
      </c>
      <c r="N2582" s="59">
        <f>IF(OR(tblMovement[[#This Row],[Tonnes_t]]="",tblMovement[[#This Row],[Grade_gpt]]=""),0,tblMovement[[#This Row],[Tonnes_t]]*tblMovement[[#This Row],[Grade_gpt]]/cfg_TroyOz)</f>
        <v/>
      </c>
      <c r="O2582" s="59">
        <f>IF(tblMovement[[#This Row],[Is_Ore]]=1,tblMovement[[#This Row],[Contained_oz]],0)</f>
        <v/>
      </c>
    </row>
    <row r="2583">
      <c r="A2583" s="54" t="n"/>
      <c r="B2583" s="61" t="n"/>
      <c r="C2583" s="61" t="n"/>
      <c r="D2583" s="61" t="n"/>
      <c r="E2583" s="61" t="n"/>
      <c r="F2583" s="55" t="n"/>
      <c r="G2583" s="56" t="n"/>
      <c r="H2583" s="55" t="n"/>
      <c r="I2583" s="62" t="n"/>
      <c r="J2583" s="58" t="n"/>
      <c r="K2583" s="63">
        <f>IF(tblMovement[[#This Row],[Source]]="","",IFERROR(INDEX(tblSources[Type],MATCH(tblMovement[[#This Row],[Source]],tblSources[Source],0)),"?"))</f>
        <v/>
      </c>
      <c r="L2583" s="63">
        <f>IF(tblMovement[[#This Row],[Destination]]="","",IFERROR(INDEX(tblDestinations[Type],MATCH(tblMovement[[#This Row],[Destination]],tblDestinations[Destination],0)),"?"))</f>
        <v/>
      </c>
      <c r="M2583" s="64">
        <f>IF(tblMovement[[#This Row],[Material]]="","",IF(LEFT(tblMovement[[#This Row],[Material]],3)="Ore",1,0))</f>
        <v/>
      </c>
      <c r="N2583" s="59">
        <f>IF(OR(tblMovement[[#This Row],[Tonnes_t]]="",tblMovement[[#This Row],[Grade_gpt]]=""),0,tblMovement[[#This Row],[Tonnes_t]]*tblMovement[[#This Row],[Grade_gpt]]/cfg_TroyOz)</f>
        <v/>
      </c>
      <c r="O2583" s="59">
        <f>IF(tblMovement[[#This Row],[Is_Ore]]=1,tblMovement[[#This Row],[Contained_oz]],0)</f>
        <v/>
      </c>
    </row>
    <row r="2584">
      <c r="A2584" s="54" t="n"/>
      <c r="B2584" s="61" t="n"/>
      <c r="C2584" s="61" t="n"/>
      <c r="D2584" s="61" t="n"/>
      <c r="E2584" s="61" t="n"/>
      <c r="F2584" s="55" t="n"/>
      <c r="G2584" s="56" t="n"/>
      <c r="H2584" s="55" t="n"/>
      <c r="I2584" s="62" t="n"/>
      <c r="J2584" s="58" t="n"/>
      <c r="K2584" s="63">
        <f>IF(tblMovement[[#This Row],[Source]]="","",IFERROR(INDEX(tblSources[Type],MATCH(tblMovement[[#This Row],[Source]],tblSources[Source],0)),"?"))</f>
        <v/>
      </c>
      <c r="L2584" s="63">
        <f>IF(tblMovement[[#This Row],[Destination]]="","",IFERROR(INDEX(tblDestinations[Type],MATCH(tblMovement[[#This Row],[Destination]],tblDestinations[Destination],0)),"?"))</f>
        <v/>
      </c>
      <c r="M2584" s="64">
        <f>IF(tblMovement[[#This Row],[Material]]="","",IF(LEFT(tblMovement[[#This Row],[Material]],3)="Ore",1,0))</f>
        <v/>
      </c>
      <c r="N2584" s="59">
        <f>IF(OR(tblMovement[[#This Row],[Tonnes_t]]="",tblMovement[[#This Row],[Grade_gpt]]=""),0,tblMovement[[#This Row],[Tonnes_t]]*tblMovement[[#This Row],[Grade_gpt]]/cfg_TroyOz)</f>
        <v/>
      </c>
      <c r="O2584" s="59">
        <f>IF(tblMovement[[#This Row],[Is_Ore]]=1,tblMovement[[#This Row],[Contained_oz]],0)</f>
        <v/>
      </c>
    </row>
    <row r="2585">
      <c r="A2585" s="54" t="n"/>
      <c r="B2585" s="61" t="n"/>
      <c r="C2585" s="61" t="n"/>
      <c r="D2585" s="61" t="n"/>
      <c r="E2585" s="61" t="n"/>
      <c r="F2585" s="55" t="n"/>
      <c r="G2585" s="56" t="n"/>
      <c r="H2585" s="55" t="n"/>
      <c r="I2585" s="62" t="n"/>
      <c r="J2585" s="58" t="n"/>
      <c r="K2585" s="63">
        <f>IF(tblMovement[[#This Row],[Source]]="","",IFERROR(INDEX(tblSources[Type],MATCH(tblMovement[[#This Row],[Source]],tblSources[Source],0)),"?"))</f>
        <v/>
      </c>
      <c r="L2585" s="63">
        <f>IF(tblMovement[[#This Row],[Destination]]="","",IFERROR(INDEX(tblDestinations[Type],MATCH(tblMovement[[#This Row],[Destination]],tblDestinations[Destination],0)),"?"))</f>
        <v/>
      </c>
      <c r="M2585" s="64">
        <f>IF(tblMovement[[#This Row],[Material]]="","",IF(LEFT(tblMovement[[#This Row],[Material]],3)="Ore",1,0))</f>
        <v/>
      </c>
      <c r="N2585" s="59">
        <f>IF(OR(tblMovement[[#This Row],[Tonnes_t]]="",tblMovement[[#This Row],[Grade_gpt]]=""),0,tblMovement[[#This Row],[Tonnes_t]]*tblMovement[[#This Row],[Grade_gpt]]/cfg_TroyOz)</f>
        <v/>
      </c>
      <c r="O2585" s="59">
        <f>IF(tblMovement[[#This Row],[Is_Ore]]=1,tblMovement[[#This Row],[Contained_oz]],0)</f>
        <v/>
      </c>
    </row>
    <row r="2586">
      <c r="A2586" s="54" t="n"/>
      <c r="B2586" s="61" t="n"/>
      <c r="C2586" s="61" t="n"/>
      <c r="D2586" s="61" t="n"/>
      <c r="E2586" s="61" t="n"/>
      <c r="F2586" s="55" t="n"/>
      <c r="G2586" s="56" t="n"/>
      <c r="H2586" s="55" t="n"/>
      <c r="I2586" s="62" t="n"/>
      <c r="J2586" s="58" t="n"/>
      <c r="K2586" s="63">
        <f>IF(tblMovement[[#This Row],[Source]]="","",IFERROR(INDEX(tblSources[Type],MATCH(tblMovement[[#This Row],[Source]],tblSources[Source],0)),"?"))</f>
        <v/>
      </c>
      <c r="L2586" s="63">
        <f>IF(tblMovement[[#This Row],[Destination]]="","",IFERROR(INDEX(tblDestinations[Type],MATCH(tblMovement[[#This Row],[Destination]],tblDestinations[Destination],0)),"?"))</f>
        <v/>
      </c>
      <c r="M2586" s="64">
        <f>IF(tblMovement[[#This Row],[Material]]="","",IF(LEFT(tblMovement[[#This Row],[Material]],3)="Ore",1,0))</f>
        <v/>
      </c>
      <c r="N2586" s="59">
        <f>IF(OR(tblMovement[[#This Row],[Tonnes_t]]="",tblMovement[[#This Row],[Grade_gpt]]=""),0,tblMovement[[#This Row],[Tonnes_t]]*tblMovement[[#This Row],[Grade_gpt]]/cfg_TroyOz)</f>
        <v/>
      </c>
      <c r="O2586" s="59">
        <f>IF(tblMovement[[#This Row],[Is_Ore]]=1,tblMovement[[#This Row],[Contained_oz]],0)</f>
        <v/>
      </c>
    </row>
    <row r="2587">
      <c r="A2587" s="54" t="n"/>
      <c r="B2587" s="61" t="n"/>
      <c r="C2587" s="61" t="n"/>
      <c r="D2587" s="61" t="n"/>
      <c r="E2587" s="61" t="n"/>
      <c r="F2587" s="55" t="n"/>
      <c r="G2587" s="56" t="n"/>
      <c r="H2587" s="55" t="n"/>
      <c r="I2587" s="62" t="n"/>
      <c r="J2587" s="58" t="n"/>
      <c r="K2587" s="63">
        <f>IF(tblMovement[[#This Row],[Source]]="","",IFERROR(INDEX(tblSources[Type],MATCH(tblMovement[[#This Row],[Source]],tblSources[Source],0)),"?"))</f>
        <v/>
      </c>
      <c r="L2587" s="63">
        <f>IF(tblMovement[[#This Row],[Destination]]="","",IFERROR(INDEX(tblDestinations[Type],MATCH(tblMovement[[#This Row],[Destination]],tblDestinations[Destination],0)),"?"))</f>
        <v/>
      </c>
      <c r="M2587" s="64">
        <f>IF(tblMovement[[#This Row],[Material]]="","",IF(LEFT(tblMovement[[#This Row],[Material]],3)="Ore",1,0))</f>
        <v/>
      </c>
      <c r="N2587" s="59">
        <f>IF(OR(tblMovement[[#This Row],[Tonnes_t]]="",tblMovement[[#This Row],[Grade_gpt]]=""),0,tblMovement[[#This Row],[Tonnes_t]]*tblMovement[[#This Row],[Grade_gpt]]/cfg_TroyOz)</f>
        <v/>
      </c>
      <c r="O2587" s="59">
        <f>IF(tblMovement[[#This Row],[Is_Ore]]=1,tblMovement[[#This Row],[Contained_oz]],0)</f>
        <v/>
      </c>
    </row>
    <row r="2588">
      <c r="A2588" s="54" t="n"/>
      <c r="B2588" s="61" t="n"/>
      <c r="C2588" s="61" t="n"/>
      <c r="D2588" s="61" t="n"/>
      <c r="E2588" s="61" t="n"/>
      <c r="F2588" s="55" t="n"/>
      <c r="G2588" s="56" t="n"/>
      <c r="H2588" s="55" t="n"/>
      <c r="I2588" s="62" t="n"/>
      <c r="J2588" s="58" t="n"/>
      <c r="K2588" s="63">
        <f>IF(tblMovement[[#This Row],[Source]]="","",IFERROR(INDEX(tblSources[Type],MATCH(tblMovement[[#This Row],[Source]],tblSources[Source],0)),"?"))</f>
        <v/>
      </c>
      <c r="L2588" s="63">
        <f>IF(tblMovement[[#This Row],[Destination]]="","",IFERROR(INDEX(tblDestinations[Type],MATCH(tblMovement[[#This Row],[Destination]],tblDestinations[Destination],0)),"?"))</f>
        <v/>
      </c>
      <c r="M2588" s="64">
        <f>IF(tblMovement[[#This Row],[Material]]="","",IF(LEFT(tblMovement[[#This Row],[Material]],3)="Ore",1,0))</f>
        <v/>
      </c>
      <c r="N2588" s="59">
        <f>IF(OR(tblMovement[[#This Row],[Tonnes_t]]="",tblMovement[[#This Row],[Grade_gpt]]=""),0,tblMovement[[#This Row],[Tonnes_t]]*tblMovement[[#This Row],[Grade_gpt]]/cfg_TroyOz)</f>
        <v/>
      </c>
      <c r="O2588" s="59">
        <f>IF(tblMovement[[#This Row],[Is_Ore]]=1,tblMovement[[#This Row],[Contained_oz]],0)</f>
        <v/>
      </c>
    </row>
    <row r="2589">
      <c r="A2589" s="54" t="n"/>
      <c r="B2589" s="61" t="n"/>
      <c r="C2589" s="61" t="n"/>
      <c r="D2589" s="61" t="n"/>
      <c r="E2589" s="61" t="n"/>
      <c r="F2589" s="55" t="n"/>
      <c r="G2589" s="56" t="n"/>
      <c r="H2589" s="55" t="n"/>
      <c r="I2589" s="62" t="n"/>
      <c r="J2589" s="58" t="n"/>
      <c r="K2589" s="63">
        <f>IF(tblMovement[[#This Row],[Source]]="","",IFERROR(INDEX(tblSources[Type],MATCH(tblMovement[[#This Row],[Source]],tblSources[Source],0)),"?"))</f>
        <v/>
      </c>
      <c r="L2589" s="63">
        <f>IF(tblMovement[[#This Row],[Destination]]="","",IFERROR(INDEX(tblDestinations[Type],MATCH(tblMovement[[#This Row],[Destination]],tblDestinations[Destination],0)),"?"))</f>
        <v/>
      </c>
      <c r="M2589" s="64">
        <f>IF(tblMovement[[#This Row],[Material]]="","",IF(LEFT(tblMovement[[#This Row],[Material]],3)="Ore",1,0))</f>
        <v/>
      </c>
      <c r="N2589" s="59">
        <f>IF(OR(tblMovement[[#This Row],[Tonnes_t]]="",tblMovement[[#This Row],[Grade_gpt]]=""),0,tblMovement[[#This Row],[Tonnes_t]]*tblMovement[[#This Row],[Grade_gpt]]/cfg_TroyOz)</f>
        <v/>
      </c>
      <c r="O2589" s="59">
        <f>IF(tblMovement[[#This Row],[Is_Ore]]=1,tblMovement[[#This Row],[Contained_oz]],0)</f>
        <v/>
      </c>
    </row>
    <row r="2590">
      <c r="A2590" s="54" t="n"/>
      <c r="B2590" s="61" t="n"/>
      <c r="C2590" s="61" t="n"/>
      <c r="D2590" s="61" t="n"/>
      <c r="E2590" s="61" t="n"/>
      <c r="F2590" s="55" t="n"/>
      <c r="G2590" s="56" t="n"/>
      <c r="H2590" s="55" t="n"/>
      <c r="I2590" s="62" t="n"/>
      <c r="J2590" s="58" t="n"/>
      <c r="K2590" s="63">
        <f>IF(tblMovement[[#This Row],[Source]]="","",IFERROR(INDEX(tblSources[Type],MATCH(tblMovement[[#This Row],[Source]],tblSources[Source],0)),"?"))</f>
        <v/>
      </c>
      <c r="L2590" s="63">
        <f>IF(tblMovement[[#This Row],[Destination]]="","",IFERROR(INDEX(tblDestinations[Type],MATCH(tblMovement[[#This Row],[Destination]],tblDestinations[Destination],0)),"?"))</f>
        <v/>
      </c>
      <c r="M2590" s="64">
        <f>IF(tblMovement[[#This Row],[Material]]="","",IF(LEFT(tblMovement[[#This Row],[Material]],3)="Ore",1,0))</f>
        <v/>
      </c>
      <c r="N2590" s="59">
        <f>IF(OR(tblMovement[[#This Row],[Tonnes_t]]="",tblMovement[[#This Row],[Grade_gpt]]=""),0,tblMovement[[#This Row],[Tonnes_t]]*tblMovement[[#This Row],[Grade_gpt]]/cfg_TroyOz)</f>
        <v/>
      </c>
      <c r="O2590" s="59">
        <f>IF(tblMovement[[#This Row],[Is_Ore]]=1,tblMovement[[#This Row],[Contained_oz]],0)</f>
        <v/>
      </c>
    </row>
    <row r="2591">
      <c r="A2591" s="54" t="n"/>
      <c r="B2591" s="61" t="n"/>
      <c r="C2591" s="61" t="n"/>
      <c r="D2591" s="61" t="n"/>
      <c r="E2591" s="61" t="n"/>
      <c r="F2591" s="55" t="n"/>
      <c r="G2591" s="56" t="n"/>
      <c r="H2591" s="55" t="n"/>
      <c r="I2591" s="62" t="n"/>
      <c r="J2591" s="58" t="n"/>
      <c r="K2591" s="63">
        <f>IF(tblMovement[[#This Row],[Source]]="","",IFERROR(INDEX(tblSources[Type],MATCH(tblMovement[[#This Row],[Source]],tblSources[Source],0)),"?"))</f>
        <v/>
      </c>
      <c r="L2591" s="63">
        <f>IF(tblMovement[[#This Row],[Destination]]="","",IFERROR(INDEX(tblDestinations[Type],MATCH(tblMovement[[#This Row],[Destination]],tblDestinations[Destination],0)),"?"))</f>
        <v/>
      </c>
      <c r="M2591" s="64">
        <f>IF(tblMovement[[#This Row],[Material]]="","",IF(LEFT(tblMovement[[#This Row],[Material]],3)="Ore",1,0))</f>
        <v/>
      </c>
      <c r="N2591" s="59">
        <f>IF(OR(tblMovement[[#This Row],[Tonnes_t]]="",tblMovement[[#This Row],[Grade_gpt]]=""),0,tblMovement[[#This Row],[Tonnes_t]]*tblMovement[[#This Row],[Grade_gpt]]/cfg_TroyOz)</f>
        <v/>
      </c>
      <c r="O2591" s="59">
        <f>IF(tblMovement[[#This Row],[Is_Ore]]=1,tblMovement[[#This Row],[Contained_oz]],0)</f>
        <v/>
      </c>
    </row>
    <row r="2592">
      <c r="A2592" s="54" t="n"/>
      <c r="B2592" s="61" t="n"/>
      <c r="C2592" s="61" t="n"/>
      <c r="D2592" s="61" t="n"/>
      <c r="E2592" s="61" t="n"/>
      <c r="F2592" s="55" t="n"/>
      <c r="G2592" s="56" t="n"/>
      <c r="H2592" s="55" t="n"/>
      <c r="I2592" s="62" t="n"/>
      <c r="J2592" s="58" t="n"/>
      <c r="K2592" s="63">
        <f>IF(tblMovement[[#This Row],[Source]]="","",IFERROR(INDEX(tblSources[Type],MATCH(tblMovement[[#This Row],[Source]],tblSources[Source],0)),"?"))</f>
        <v/>
      </c>
      <c r="L2592" s="63">
        <f>IF(tblMovement[[#This Row],[Destination]]="","",IFERROR(INDEX(tblDestinations[Type],MATCH(tblMovement[[#This Row],[Destination]],tblDestinations[Destination],0)),"?"))</f>
        <v/>
      </c>
      <c r="M2592" s="64">
        <f>IF(tblMovement[[#This Row],[Material]]="","",IF(LEFT(tblMovement[[#This Row],[Material]],3)="Ore",1,0))</f>
        <v/>
      </c>
      <c r="N2592" s="59">
        <f>IF(OR(tblMovement[[#This Row],[Tonnes_t]]="",tblMovement[[#This Row],[Grade_gpt]]=""),0,tblMovement[[#This Row],[Tonnes_t]]*tblMovement[[#This Row],[Grade_gpt]]/cfg_TroyOz)</f>
        <v/>
      </c>
      <c r="O2592" s="59">
        <f>IF(tblMovement[[#This Row],[Is_Ore]]=1,tblMovement[[#This Row],[Contained_oz]],0)</f>
        <v/>
      </c>
    </row>
    <row r="2593">
      <c r="A2593" s="54" t="n"/>
      <c r="B2593" s="61" t="n"/>
      <c r="C2593" s="61" t="n"/>
      <c r="D2593" s="61" t="n"/>
      <c r="E2593" s="61" t="n"/>
      <c r="F2593" s="55" t="n"/>
      <c r="G2593" s="56" t="n"/>
      <c r="H2593" s="55" t="n"/>
      <c r="I2593" s="62" t="n"/>
      <c r="J2593" s="58" t="n"/>
      <c r="K2593" s="63">
        <f>IF(tblMovement[[#This Row],[Source]]="","",IFERROR(INDEX(tblSources[Type],MATCH(tblMovement[[#This Row],[Source]],tblSources[Source],0)),"?"))</f>
        <v/>
      </c>
      <c r="L2593" s="63">
        <f>IF(tblMovement[[#This Row],[Destination]]="","",IFERROR(INDEX(tblDestinations[Type],MATCH(tblMovement[[#This Row],[Destination]],tblDestinations[Destination],0)),"?"))</f>
        <v/>
      </c>
      <c r="M2593" s="64">
        <f>IF(tblMovement[[#This Row],[Material]]="","",IF(LEFT(tblMovement[[#This Row],[Material]],3)="Ore",1,0))</f>
        <v/>
      </c>
      <c r="N2593" s="59">
        <f>IF(OR(tblMovement[[#This Row],[Tonnes_t]]="",tblMovement[[#This Row],[Grade_gpt]]=""),0,tblMovement[[#This Row],[Tonnes_t]]*tblMovement[[#This Row],[Grade_gpt]]/cfg_TroyOz)</f>
        <v/>
      </c>
      <c r="O2593" s="59">
        <f>IF(tblMovement[[#This Row],[Is_Ore]]=1,tblMovement[[#This Row],[Contained_oz]],0)</f>
        <v/>
      </c>
    </row>
    <row r="2594">
      <c r="A2594" s="54" t="n"/>
      <c r="B2594" s="61" t="n"/>
      <c r="C2594" s="61" t="n"/>
      <c r="D2594" s="61" t="n"/>
      <c r="E2594" s="61" t="n"/>
      <c r="F2594" s="55" t="n"/>
      <c r="G2594" s="56" t="n"/>
      <c r="H2594" s="55" t="n"/>
      <c r="I2594" s="62" t="n"/>
      <c r="J2594" s="58" t="n"/>
      <c r="K2594" s="63">
        <f>IF(tblMovement[[#This Row],[Source]]="","",IFERROR(INDEX(tblSources[Type],MATCH(tblMovement[[#This Row],[Source]],tblSources[Source],0)),"?"))</f>
        <v/>
      </c>
      <c r="L2594" s="63">
        <f>IF(tblMovement[[#This Row],[Destination]]="","",IFERROR(INDEX(tblDestinations[Type],MATCH(tblMovement[[#This Row],[Destination]],tblDestinations[Destination],0)),"?"))</f>
        <v/>
      </c>
      <c r="M2594" s="64">
        <f>IF(tblMovement[[#This Row],[Material]]="","",IF(LEFT(tblMovement[[#This Row],[Material]],3)="Ore",1,0))</f>
        <v/>
      </c>
      <c r="N2594" s="59">
        <f>IF(OR(tblMovement[[#This Row],[Tonnes_t]]="",tblMovement[[#This Row],[Grade_gpt]]=""),0,tblMovement[[#This Row],[Tonnes_t]]*tblMovement[[#This Row],[Grade_gpt]]/cfg_TroyOz)</f>
        <v/>
      </c>
      <c r="O2594" s="59">
        <f>IF(tblMovement[[#This Row],[Is_Ore]]=1,tblMovement[[#This Row],[Contained_oz]],0)</f>
        <v/>
      </c>
    </row>
    <row r="2595">
      <c r="A2595" s="54" t="n"/>
      <c r="B2595" s="61" t="n"/>
      <c r="C2595" s="61" t="n"/>
      <c r="D2595" s="61" t="n"/>
      <c r="E2595" s="61" t="n"/>
      <c r="F2595" s="55" t="n"/>
      <c r="G2595" s="56" t="n"/>
      <c r="H2595" s="55" t="n"/>
      <c r="I2595" s="62" t="n"/>
      <c r="J2595" s="58" t="n"/>
      <c r="K2595" s="63">
        <f>IF(tblMovement[[#This Row],[Source]]="","",IFERROR(INDEX(tblSources[Type],MATCH(tblMovement[[#This Row],[Source]],tblSources[Source],0)),"?"))</f>
        <v/>
      </c>
      <c r="L2595" s="63">
        <f>IF(tblMovement[[#This Row],[Destination]]="","",IFERROR(INDEX(tblDestinations[Type],MATCH(tblMovement[[#This Row],[Destination]],tblDestinations[Destination],0)),"?"))</f>
        <v/>
      </c>
      <c r="M2595" s="64">
        <f>IF(tblMovement[[#This Row],[Material]]="","",IF(LEFT(tblMovement[[#This Row],[Material]],3)="Ore",1,0))</f>
        <v/>
      </c>
      <c r="N2595" s="59">
        <f>IF(OR(tblMovement[[#This Row],[Tonnes_t]]="",tblMovement[[#This Row],[Grade_gpt]]=""),0,tblMovement[[#This Row],[Tonnes_t]]*tblMovement[[#This Row],[Grade_gpt]]/cfg_TroyOz)</f>
        <v/>
      </c>
      <c r="O2595" s="59">
        <f>IF(tblMovement[[#This Row],[Is_Ore]]=1,tblMovement[[#This Row],[Contained_oz]],0)</f>
        <v/>
      </c>
    </row>
    <row r="2596">
      <c r="A2596" s="54" t="n"/>
      <c r="B2596" s="61" t="n"/>
      <c r="C2596" s="61" t="n"/>
      <c r="D2596" s="61" t="n"/>
      <c r="E2596" s="61" t="n"/>
      <c r="F2596" s="55" t="n"/>
      <c r="G2596" s="56" t="n"/>
      <c r="H2596" s="55" t="n"/>
      <c r="I2596" s="62" t="n"/>
      <c r="J2596" s="58" t="n"/>
      <c r="K2596" s="63">
        <f>IF(tblMovement[[#This Row],[Source]]="","",IFERROR(INDEX(tblSources[Type],MATCH(tblMovement[[#This Row],[Source]],tblSources[Source],0)),"?"))</f>
        <v/>
      </c>
      <c r="L2596" s="63">
        <f>IF(tblMovement[[#This Row],[Destination]]="","",IFERROR(INDEX(tblDestinations[Type],MATCH(tblMovement[[#This Row],[Destination]],tblDestinations[Destination],0)),"?"))</f>
        <v/>
      </c>
      <c r="M2596" s="64">
        <f>IF(tblMovement[[#This Row],[Material]]="","",IF(LEFT(tblMovement[[#This Row],[Material]],3)="Ore",1,0))</f>
        <v/>
      </c>
      <c r="N2596" s="59">
        <f>IF(OR(tblMovement[[#This Row],[Tonnes_t]]="",tblMovement[[#This Row],[Grade_gpt]]=""),0,tblMovement[[#This Row],[Tonnes_t]]*tblMovement[[#This Row],[Grade_gpt]]/cfg_TroyOz)</f>
        <v/>
      </c>
      <c r="O2596" s="59">
        <f>IF(tblMovement[[#This Row],[Is_Ore]]=1,tblMovement[[#This Row],[Contained_oz]],0)</f>
        <v/>
      </c>
    </row>
    <row r="2597">
      <c r="A2597" s="54" t="n"/>
      <c r="B2597" s="61" t="n"/>
      <c r="C2597" s="61" t="n"/>
      <c r="D2597" s="61" t="n"/>
      <c r="E2597" s="61" t="n"/>
      <c r="F2597" s="55" t="n"/>
      <c r="G2597" s="56" t="n"/>
      <c r="H2597" s="55" t="n"/>
      <c r="I2597" s="62" t="n"/>
      <c r="J2597" s="58" t="n"/>
      <c r="K2597" s="63">
        <f>IF(tblMovement[[#This Row],[Source]]="","",IFERROR(INDEX(tblSources[Type],MATCH(tblMovement[[#This Row],[Source]],tblSources[Source],0)),"?"))</f>
        <v/>
      </c>
      <c r="L2597" s="63">
        <f>IF(tblMovement[[#This Row],[Destination]]="","",IFERROR(INDEX(tblDestinations[Type],MATCH(tblMovement[[#This Row],[Destination]],tblDestinations[Destination],0)),"?"))</f>
        <v/>
      </c>
      <c r="M2597" s="64">
        <f>IF(tblMovement[[#This Row],[Material]]="","",IF(LEFT(tblMovement[[#This Row],[Material]],3)="Ore",1,0))</f>
        <v/>
      </c>
      <c r="N2597" s="59">
        <f>IF(OR(tblMovement[[#This Row],[Tonnes_t]]="",tblMovement[[#This Row],[Grade_gpt]]=""),0,tblMovement[[#This Row],[Tonnes_t]]*tblMovement[[#This Row],[Grade_gpt]]/cfg_TroyOz)</f>
        <v/>
      </c>
      <c r="O2597" s="59">
        <f>IF(tblMovement[[#This Row],[Is_Ore]]=1,tblMovement[[#This Row],[Contained_oz]],0)</f>
        <v/>
      </c>
    </row>
    <row r="2598">
      <c r="A2598" s="54" t="n"/>
      <c r="B2598" s="61" t="n"/>
      <c r="C2598" s="61" t="n"/>
      <c r="D2598" s="61" t="n"/>
      <c r="E2598" s="61" t="n"/>
      <c r="F2598" s="55" t="n"/>
      <c r="G2598" s="56" t="n"/>
      <c r="H2598" s="55" t="n"/>
      <c r="I2598" s="62" t="n"/>
      <c r="J2598" s="58" t="n"/>
      <c r="K2598" s="63">
        <f>IF(tblMovement[[#This Row],[Source]]="","",IFERROR(INDEX(tblSources[Type],MATCH(tblMovement[[#This Row],[Source]],tblSources[Source],0)),"?"))</f>
        <v/>
      </c>
      <c r="L2598" s="63">
        <f>IF(tblMovement[[#This Row],[Destination]]="","",IFERROR(INDEX(tblDestinations[Type],MATCH(tblMovement[[#This Row],[Destination]],tblDestinations[Destination],0)),"?"))</f>
        <v/>
      </c>
      <c r="M2598" s="64">
        <f>IF(tblMovement[[#This Row],[Material]]="","",IF(LEFT(tblMovement[[#This Row],[Material]],3)="Ore",1,0))</f>
        <v/>
      </c>
      <c r="N2598" s="59">
        <f>IF(OR(tblMovement[[#This Row],[Tonnes_t]]="",tblMovement[[#This Row],[Grade_gpt]]=""),0,tblMovement[[#This Row],[Tonnes_t]]*tblMovement[[#This Row],[Grade_gpt]]/cfg_TroyOz)</f>
        <v/>
      </c>
      <c r="O2598" s="59">
        <f>IF(tblMovement[[#This Row],[Is_Ore]]=1,tblMovement[[#This Row],[Contained_oz]],0)</f>
        <v/>
      </c>
    </row>
    <row r="2599">
      <c r="A2599" s="54" t="n"/>
      <c r="B2599" s="61" t="n"/>
      <c r="C2599" s="61" t="n"/>
      <c r="D2599" s="61" t="n"/>
      <c r="E2599" s="61" t="n"/>
      <c r="F2599" s="55" t="n"/>
      <c r="G2599" s="56" t="n"/>
      <c r="H2599" s="55" t="n"/>
      <c r="I2599" s="62" t="n"/>
      <c r="J2599" s="58" t="n"/>
      <c r="K2599" s="63">
        <f>IF(tblMovement[[#This Row],[Source]]="","",IFERROR(INDEX(tblSources[Type],MATCH(tblMovement[[#This Row],[Source]],tblSources[Source],0)),"?"))</f>
        <v/>
      </c>
      <c r="L2599" s="63">
        <f>IF(tblMovement[[#This Row],[Destination]]="","",IFERROR(INDEX(tblDestinations[Type],MATCH(tblMovement[[#This Row],[Destination]],tblDestinations[Destination],0)),"?"))</f>
        <v/>
      </c>
      <c r="M2599" s="64">
        <f>IF(tblMovement[[#This Row],[Material]]="","",IF(LEFT(tblMovement[[#This Row],[Material]],3)="Ore",1,0))</f>
        <v/>
      </c>
      <c r="N2599" s="59">
        <f>IF(OR(tblMovement[[#This Row],[Tonnes_t]]="",tblMovement[[#This Row],[Grade_gpt]]=""),0,tblMovement[[#This Row],[Tonnes_t]]*tblMovement[[#This Row],[Grade_gpt]]/cfg_TroyOz)</f>
        <v/>
      </c>
      <c r="O2599" s="59">
        <f>IF(tblMovement[[#This Row],[Is_Ore]]=1,tblMovement[[#This Row],[Contained_oz]],0)</f>
        <v/>
      </c>
    </row>
    <row r="2600">
      <c r="A2600" s="54" t="n"/>
      <c r="B2600" s="61" t="n"/>
      <c r="C2600" s="61" t="n"/>
      <c r="D2600" s="61" t="n"/>
      <c r="E2600" s="61" t="n"/>
      <c r="F2600" s="55" t="n"/>
      <c r="G2600" s="56" t="n"/>
      <c r="H2600" s="55" t="n"/>
      <c r="I2600" s="62" t="n"/>
      <c r="J2600" s="58" t="n"/>
      <c r="K2600" s="63">
        <f>IF(tblMovement[[#This Row],[Source]]="","",IFERROR(INDEX(tblSources[Type],MATCH(tblMovement[[#This Row],[Source]],tblSources[Source],0)),"?"))</f>
        <v/>
      </c>
      <c r="L2600" s="63">
        <f>IF(tblMovement[[#This Row],[Destination]]="","",IFERROR(INDEX(tblDestinations[Type],MATCH(tblMovement[[#This Row],[Destination]],tblDestinations[Destination],0)),"?"))</f>
        <v/>
      </c>
      <c r="M2600" s="64">
        <f>IF(tblMovement[[#This Row],[Material]]="","",IF(LEFT(tblMovement[[#This Row],[Material]],3)="Ore",1,0))</f>
        <v/>
      </c>
      <c r="N2600" s="59">
        <f>IF(OR(tblMovement[[#This Row],[Tonnes_t]]="",tblMovement[[#This Row],[Grade_gpt]]=""),0,tblMovement[[#This Row],[Tonnes_t]]*tblMovement[[#This Row],[Grade_gpt]]/cfg_TroyOz)</f>
        <v/>
      </c>
      <c r="O2600" s="59">
        <f>IF(tblMovement[[#This Row],[Is_Ore]]=1,tblMovement[[#This Row],[Contained_oz]],0)</f>
        <v/>
      </c>
    </row>
    <row r="2601">
      <c r="A2601" s="54" t="n"/>
      <c r="B2601" s="61" t="n"/>
      <c r="C2601" s="61" t="n"/>
      <c r="D2601" s="61" t="n"/>
      <c r="E2601" s="61" t="n"/>
      <c r="F2601" s="55" t="n"/>
      <c r="G2601" s="56" t="n"/>
      <c r="H2601" s="55" t="n"/>
      <c r="I2601" s="62" t="n"/>
      <c r="J2601" s="58" t="n"/>
      <c r="K2601" s="63">
        <f>IF(tblMovement[[#This Row],[Source]]="","",IFERROR(INDEX(tblSources[Type],MATCH(tblMovement[[#This Row],[Source]],tblSources[Source],0)),"?"))</f>
        <v/>
      </c>
      <c r="L2601" s="63">
        <f>IF(tblMovement[[#This Row],[Destination]]="","",IFERROR(INDEX(tblDestinations[Type],MATCH(tblMovement[[#This Row],[Destination]],tblDestinations[Destination],0)),"?"))</f>
        <v/>
      </c>
      <c r="M2601" s="64">
        <f>IF(tblMovement[[#This Row],[Material]]="","",IF(LEFT(tblMovement[[#This Row],[Material]],3)="Ore",1,0))</f>
        <v/>
      </c>
      <c r="N2601" s="59">
        <f>IF(OR(tblMovement[[#This Row],[Tonnes_t]]="",tblMovement[[#This Row],[Grade_gpt]]=""),0,tblMovement[[#This Row],[Tonnes_t]]*tblMovement[[#This Row],[Grade_gpt]]/cfg_TroyOz)</f>
        <v/>
      </c>
      <c r="O2601" s="59">
        <f>IF(tblMovement[[#This Row],[Is_Ore]]=1,tblMovement[[#This Row],[Contained_oz]],0)</f>
        <v/>
      </c>
    </row>
    <row r="2602">
      <c r="A2602" s="54" t="n"/>
      <c r="B2602" s="61" t="n"/>
      <c r="C2602" s="61" t="n"/>
      <c r="D2602" s="61" t="n"/>
      <c r="E2602" s="61" t="n"/>
      <c r="F2602" s="55" t="n"/>
      <c r="G2602" s="56" t="n"/>
      <c r="H2602" s="55" t="n"/>
      <c r="I2602" s="62" t="n"/>
      <c r="J2602" s="58" t="n"/>
      <c r="K2602" s="63">
        <f>IF(tblMovement[[#This Row],[Source]]="","",IFERROR(INDEX(tblSources[Type],MATCH(tblMovement[[#This Row],[Source]],tblSources[Source],0)),"?"))</f>
        <v/>
      </c>
      <c r="L2602" s="63">
        <f>IF(tblMovement[[#This Row],[Destination]]="","",IFERROR(INDEX(tblDestinations[Type],MATCH(tblMovement[[#This Row],[Destination]],tblDestinations[Destination],0)),"?"))</f>
        <v/>
      </c>
      <c r="M2602" s="64">
        <f>IF(tblMovement[[#This Row],[Material]]="","",IF(LEFT(tblMovement[[#This Row],[Material]],3)="Ore",1,0))</f>
        <v/>
      </c>
      <c r="N2602" s="59">
        <f>IF(OR(tblMovement[[#This Row],[Tonnes_t]]="",tblMovement[[#This Row],[Grade_gpt]]=""),0,tblMovement[[#This Row],[Tonnes_t]]*tblMovement[[#This Row],[Grade_gpt]]/cfg_TroyOz)</f>
        <v/>
      </c>
      <c r="O2602" s="59">
        <f>IF(tblMovement[[#This Row],[Is_Ore]]=1,tblMovement[[#This Row],[Contained_oz]],0)</f>
        <v/>
      </c>
    </row>
    <row r="2603">
      <c r="A2603" s="54" t="n"/>
      <c r="B2603" s="61" t="n"/>
      <c r="C2603" s="61" t="n"/>
      <c r="D2603" s="61" t="n"/>
      <c r="E2603" s="61" t="n"/>
      <c r="F2603" s="55" t="n"/>
      <c r="G2603" s="56" t="n"/>
      <c r="H2603" s="55" t="n"/>
      <c r="I2603" s="62" t="n"/>
      <c r="J2603" s="58" t="n"/>
      <c r="K2603" s="63">
        <f>IF(tblMovement[[#This Row],[Source]]="","",IFERROR(INDEX(tblSources[Type],MATCH(tblMovement[[#This Row],[Source]],tblSources[Source],0)),"?"))</f>
        <v/>
      </c>
      <c r="L2603" s="63">
        <f>IF(tblMovement[[#This Row],[Destination]]="","",IFERROR(INDEX(tblDestinations[Type],MATCH(tblMovement[[#This Row],[Destination]],tblDestinations[Destination],0)),"?"))</f>
        <v/>
      </c>
      <c r="M2603" s="64">
        <f>IF(tblMovement[[#This Row],[Material]]="","",IF(LEFT(tblMovement[[#This Row],[Material]],3)="Ore",1,0))</f>
        <v/>
      </c>
      <c r="N2603" s="59">
        <f>IF(OR(tblMovement[[#This Row],[Tonnes_t]]="",tblMovement[[#This Row],[Grade_gpt]]=""),0,tblMovement[[#This Row],[Tonnes_t]]*tblMovement[[#This Row],[Grade_gpt]]/cfg_TroyOz)</f>
        <v/>
      </c>
      <c r="O2603" s="59">
        <f>IF(tblMovement[[#This Row],[Is_Ore]]=1,tblMovement[[#This Row],[Contained_oz]],0)</f>
        <v/>
      </c>
    </row>
    <row r="2604">
      <c r="A2604" s="54" t="n"/>
      <c r="B2604" s="61" t="n"/>
      <c r="C2604" s="61" t="n"/>
      <c r="D2604" s="61" t="n"/>
      <c r="E2604" s="61" t="n"/>
      <c r="F2604" s="55" t="n"/>
      <c r="G2604" s="56" t="n"/>
      <c r="H2604" s="55" t="n"/>
      <c r="I2604" s="62" t="n"/>
      <c r="J2604" s="58" t="n"/>
      <c r="K2604" s="63">
        <f>IF(tblMovement[[#This Row],[Source]]="","",IFERROR(INDEX(tblSources[Type],MATCH(tblMovement[[#This Row],[Source]],tblSources[Source],0)),"?"))</f>
        <v/>
      </c>
      <c r="L2604" s="63">
        <f>IF(tblMovement[[#This Row],[Destination]]="","",IFERROR(INDEX(tblDestinations[Type],MATCH(tblMovement[[#This Row],[Destination]],tblDestinations[Destination],0)),"?"))</f>
        <v/>
      </c>
      <c r="M2604" s="64">
        <f>IF(tblMovement[[#This Row],[Material]]="","",IF(LEFT(tblMovement[[#This Row],[Material]],3)="Ore",1,0))</f>
        <v/>
      </c>
      <c r="N2604" s="59">
        <f>IF(OR(tblMovement[[#This Row],[Tonnes_t]]="",tblMovement[[#This Row],[Grade_gpt]]=""),0,tblMovement[[#This Row],[Tonnes_t]]*tblMovement[[#This Row],[Grade_gpt]]/cfg_TroyOz)</f>
        <v/>
      </c>
      <c r="O2604" s="59">
        <f>IF(tblMovement[[#This Row],[Is_Ore]]=1,tblMovement[[#This Row],[Contained_oz]],0)</f>
        <v/>
      </c>
    </row>
    <row r="2605">
      <c r="A2605" s="54" t="n"/>
      <c r="B2605" s="61" t="n"/>
      <c r="C2605" s="61" t="n"/>
      <c r="D2605" s="61" t="n"/>
      <c r="E2605" s="61" t="n"/>
      <c r="F2605" s="55" t="n"/>
      <c r="G2605" s="56" t="n"/>
      <c r="H2605" s="55" t="n"/>
      <c r="I2605" s="62" t="n"/>
      <c r="J2605" s="58" t="n"/>
      <c r="K2605" s="63">
        <f>IF(tblMovement[[#This Row],[Source]]="","",IFERROR(INDEX(tblSources[Type],MATCH(tblMovement[[#This Row],[Source]],tblSources[Source],0)),"?"))</f>
        <v/>
      </c>
      <c r="L2605" s="63">
        <f>IF(tblMovement[[#This Row],[Destination]]="","",IFERROR(INDEX(tblDestinations[Type],MATCH(tblMovement[[#This Row],[Destination]],tblDestinations[Destination],0)),"?"))</f>
        <v/>
      </c>
      <c r="M2605" s="64">
        <f>IF(tblMovement[[#This Row],[Material]]="","",IF(LEFT(tblMovement[[#This Row],[Material]],3)="Ore",1,0))</f>
        <v/>
      </c>
      <c r="N2605" s="59">
        <f>IF(OR(tblMovement[[#This Row],[Tonnes_t]]="",tblMovement[[#This Row],[Grade_gpt]]=""),0,tblMovement[[#This Row],[Tonnes_t]]*tblMovement[[#This Row],[Grade_gpt]]/cfg_TroyOz)</f>
        <v/>
      </c>
      <c r="O2605" s="59">
        <f>IF(tblMovement[[#This Row],[Is_Ore]]=1,tblMovement[[#This Row],[Contained_oz]],0)</f>
        <v/>
      </c>
    </row>
    <row r="2606">
      <c r="A2606" s="54" t="n"/>
      <c r="B2606" s="61" t="n"/>
      <c r="C2606" s="61" t="n"/>
      <c r="D2606" s="61" t="n"/>
      <c r="E2606" s="61" t="n"/>
      <c r="F2606" s="55" t="n"/>
      <c r="G2606" s="56" t="n"/>
      <c r="H2606" s="55" t="n"/>
      <c r="I2606" s="62" t="n"/>
      <c r="J2606" s="58" t="n"/>
      <c r="K2606" s="63">
        <f>IF(tblMovement[[#This Row],[Source]]="","",IFERROR(INDEX(tblSources[Type],MATCH(tblMovement[[#This Row],[Source]],tblSources[Source],0)),"?"))</f>
        <v/>
      </c>
      <c r="L2606" s="63">
        <f>IF(tblMovement[[#This Row],[Destination]]="","",IFERROR(INDEX(tblDestinations[Type],MATCH(tblMovement[[#This Row],[Destination]],tblDestinations[Destination],0)),"?"))</f>
        <v/>
      </c>
      <c r="M2606" s="64">
        <f>IF(tblMovement[[#This Row],[Material]]="","",IF(LEFT(tblMovement[[#This Row],[Material]],3)="Ore",1,0))</f>
        <v/>
      </c>
      <c r="N2606" s="59">
        <f>IF(OR(tblMovement[[#This Row],[Tonnes_t]]="",tblMovement[[#This Row],[Grade_gpt]]=""),0,tblMovement[[#This Row],[Tonnes_t]]*tblMovement[[#This Row],[Grade_gpt]]/cfg_TroyOz)</f>
        <v/>
      </c>
      <c r="O2606" s="59">
        <f>IF(tblMovement[[#This Row],[Is_Ore]]=1,tblMovement[[#This Row],[Contained_oz]],0)</f>
        <v/>
      </c>
    </row>
    <row r="2607">
      <c r="A2607" s="54" t="n"/>
      <c r="B2607" s="61" t="n"/>
      <c r="C2607" s="61" t="n"/>
      <c r="D2607" s="61" t="n"/>
      <c r="E2607" s="61" t="n"/>
      <c r="F2607" s="55" t="n"/>
      <c r="G2607" s="56" t="n"/>
      <c r="H2607" s="55" t="n"/>
      <c r="I2607" s="62" t="n"/>
      <c r="J2607" s="58" t="n"/>
      <c r="K2607" s="63">
        <f>IF(tblMovement[[#This Row],[Source]]="","",IFERROR(INDEX(tblSources[Type],MATCH(tblMovement[[#This Row],[Source]],tblSources[Source],0)),"?"))</f>
        <v/>
      </c>
      <c r="L2607" s="63">
        <f>IF(tblMovement[[#This Row],[Destination]]="","",IFERROR(INDEX(tblDestinations[Type],MATCH(tblMovement[[#This Row],[Destination]],tblDestinations[Destination],0)),"?"))</f>
        <v/>
      </c>
      <c r="M2607" s="64">
        <f>IF(tblMovement[[#This Row],[Material]]="","",IF(LEFT(tblMovement[[#This Row],[Material]],3)="Ore",1,0))</f>
        <v/>
      </c>
      <c r="N2607" s="59">
        <f>IF(OR(tblMovement[[#This Row],[Tonnes_t]]="",tblMovement[[#This Row],[Grade_gpt]]=""),0,tblMovement[[#This Row],[Tonnes_t]]*tblMovement[[#This Row],[Grade_gpt]]/cfg_TroyOz)</f>
        <v/>
      </c>
      <c r="O2607" s="59">
        <f>IF(tblMovement[[#This Row],[Is_Ore]]=1,tblMovement[[#This Row],[Contained_oz]],0)</f>
        <v/>
      </c>
    </row>
    <row r="2608">
      <c r="A2608" s="54" t="n"/>
      <c r="B2608" s="61" t="n"/>
      <c r="C2608" s="61" t="n"/>
      <c r="D2608" s="61" t="n"/>
      <c r="E2608" s="61" t="n"/>
      <c r="F2608" s="55" t="n"/>
      <c r="G2608" s="56" t="n"/>
      <c r="H2608" s="55" t="n"/>
      <c r="I2608" s="62" t="n"/>
      <c r="J2608" s="58" t="n"/>
      <c r="K2608" s="63">
        <f>IF(tblMovement[[#This Row],[Source]]="","",IFERROR(INDEX(tblSources[Type],MATCH(tblMovement[[#This Row],[Source]],tblSources[Source],0)),"?"))</f>
        <v/>
      </c>
      <c r="L2608" s="63">
        <f>IF(tblMovement[[#This Row],[Destination]]="","",IFERROR(INDEX(tblDestinations[Type],MATCH(tblMovement[[#This Row],[Destination]],tblDestinations[Destination],0)),"?"))</f>
        <v/>
      </c>
      <c r="M2608" s="64">
        <f>IF(tblMovement[[#This Row],[Material]]="","",IF(LEFT(tblMovement[[#This Row],[Material]],3)="Ore",1,0))</f>
        <v/>
      </c>
      <c r="N2608" s="59">
        <f>IF(OR(tblMovement[[#This Row],[Tonnes_t]]="",tblMovement[[#This Row],[Grade_gpt]]=""),0,tblMovement[[#This Row],[Tonnes_t]]*tblMovement[[#This Row],[Grade_gpt]]/cfg_TroyOz)</f>
        <v/>
      </c>
      <c r="O2608" s="59">
        <f>IF(tblMovement[[#This Row],[Is_Ore]]=1,tblMovement[[#This Row],[Contained_oz]],0)</f>
        <v/>
      </c>
    </row>
    <row r="2609">
      <c r="A2609" s="54" t="n"/>
      <c r="B2609" s="61" t="n"/>
      <c r="C2609" s="61" t="n"/>
      <c r="D2609" s="61" t="n"/>
      <c r="E2609" s="61" t="n"/>
      <c r="F2609" s="55" t="n"/>
      <c r="G2609" s="56" t="n"/>
      <c r="H2609" s="55" t="n"/>
      <c r="I2609" s="62" t="n"/>
      <c r="J2609" s="58" t="n"/>
      <c r="K2609" s="63">
        <f>IF(tblMovement[[#This Row],[Source]]="","",IFERROR(INDEX(tblSources[Type],MATCH(tblMovement[[#This Row],[Source]],tblSources[Source],0)),"?"))</f>
        <v/>
      </c>
      <c r="L2609" s="63">
        <f>IF(tblMovement[[#This Row],[Destination]]="","",IFERROR(INDEX(tblDestinations[Type],MATCH(tblMovement[[#This Row],[Destination]],tblDestinations[Destination],0)),"?"))</f>
        <v/>
      </c>
      <c r="M2609" s="64">
        <f>IF(tblMovement[[#This Row],[Material]]="","",IF(LEFT(tblMovement[[#This Row],[Material]],3)="Ore",1,0))</f>
        <v/>
      </c>
      <c r="N2609" s="59">
        <f>IF(OR(tblMovement[[#This Row],[Tonnes_t]]="",tblMovement[[#This Row],[Grade_gpt]]=""),0,tblMovement[[#This Row],[Tonnes_t]]*tblMovement[[#This Row],[Grade_gpt]]/cfg_TroyOz)</f>
        <v/>
      </c>
      <c r="O2609" s="59">
        <f>IF(tblMovement[[#This Row],[Is_Ore]]=1,tblMovement[[#This Row],[Contained_oz]],0)</f>
        <v/>
      </c>
    </row>
    <row r="2610">
      <c r="A2610" s="54" t="n"/>
      <c r="B2610" s="61" t="n"/>
      <c r="C2610" s="61" t="n"/>
      <c r="D2610" s="61" t="n"/>
      <c r="E2610" s="61" t="n"/>
      <c r="F2610" s="55" t="n"/>
      <c r="G2610" s="56" t="n"/>
      <c r="H2610" s="55" t="n"/>
      <c r="I2610" s="62" t="n"/>
      <c r="J2610" s="58" t="n"/>
      <c r="K2610" s="63">
        <f>IF(tblMovement[[#This Row],[Source]]="","",IFERROR(INDEX(tblSources[Type],MATCH(tblMovement[[#This Row],[Source]],tblSources[Source],0)),"?"))</f>
        <v/>
      </c>
      <c r="L2610" s="63">
        <f>IF(tblMovement[[#This Row],[Destination]]="","",IFERROR(INDEX(tblDestinations[Type],MATCH(tblMovement[[#This Row],[Destination]],tblDestinations[Destination],0)),"?"))</f>
        <v/>
      </c>
      <c r="M2610" s="64">
        <f>IF(tblMovement[[#This Row],[Material]]="","",IF(LEFT(tblMovement[[#This Row],[Material]],3)="Ore",1,0))</f>
        <v/>
      </c>
      <c r="N2610" s="59">
        <f>IF(OR(tblMovement[[#This Row],[Tonnes_t]]="",tblMovement[[#This Row],[Grade_gpt]]=""),0,tblMovement[[#This Row],[Tonnes_t]]*tblMovement[[#This Row],[Grade_gpt]]/cfg_TroyOz)</f>
        <v/>
      </c>
      <c r="O2610" s="59">
        <f>IF(tblMovement[[#This Row],[Is_Ore]]=1,tblMovement[[#This Row],[Contained_oz]],0)</f>
        <v/>
      </c>
    </row>
    <row r="2611">
      <c r="A2611" s="54" t="n"/>
      <c r="B2611" s="61" t="n"/>
      <c r="C2611" s="61" t="n"/>
      <c r="D2611" s="61" t="n"/>
      <c r="E2611" s="61" t="n"/>
      <c r="F2611" s="55" t="n"/>
      <c r="G2611" s="56" t="n"/>
      <c r="H2611" s="55" t="n"/>
      <c r="I2611" s="62" t="n"/>
      <c r="J2611" s="58" t="n"/>
      <c r="K2611" s="63">
        <f>IF(tblMovement[[#This Row],[Source]]="","",IFERROR(INDEX(tblSources[Type],MATCH(tblMovement[[#This Row],[Source]],tblSources[Source],0)),"?"))</f>
        <v/>
      </c>
      <c r="L2611" s="63">
        <f>IF(tblMovement[[#This Row],[Destination]]="","",IFERROR(INDEX(tblDestinations[Type],MATCH(tblMovement[[#This Row],[Destination]],tblDestinations[Destination],0)),"?"))</f>
        <v/>
      </c>
      <c r="M2611" s="64">
        <f>IF(tblMovement[[#This Row],[Material]]="","",IF(LEFT(tblMovement[[#This Row],[Material]],3)="Ore",1,0))</f>
        <v/>
      </c>
      <c r="N2611" s="59">
        <f>IF(OR(tblMovement[[#This Row],[Tonnes_t]]="",tblMovement[[#This Row],[Grade_gpt]]=""),0,tblMovement[[#This Row],[Tonnes_t]]*tblMovement[[#This Row],[Grade_gpt]]/cfg_TroyOz)</f>
        <v/>
      </c>
      <c r="O2611" s="59">
        <f>IF(tblMovement[[#This Row],[Is_Ore]]=1,tblMovement[[#This Row],[Contained_oz]],0)</f>
        <v/>
      </c>
    </row>
    <row r="2612">
      <c r="A2612" s="54" t="n"/>
      <c r="B2612" s="61" t="n"/>
      <c r="C2612" s="61" t="n"/>
      <c r="D2612" s="61" t="n"/>
      <c r="E2612" s="61" t="n"/>
      <c r="F2612" s="55" t="n"/>
      <c r="G2612" s="56" t="n"/>
      <c r="H2612" s="55" t="n"/>
      <c r="I2612" s="62" t="n"/>
      <c r="J2612" s="58" t="n"/>
      <c r="K2612" s="63">
        <f>IF(tblMovement[[#This Row],[Source]]="","",IFERROR(INDEX(tblSources[Type],MATCH(tblMovement[[#This Row],[Source]],tblSources[Source],0)),"?"))</f>
        <v/>
      </c>
      <c r="L2612" s="63">
        <f>IF(tblMovement[[#This Row],[Destination]]="","",IFERROR(INDEX(tblDestinations[Type],MATCH(tblMovement[[#This Row],[Destination]],tblDestinations[Destination],0)),"?"))</f>
        <v/>
      </c>
      <c r="M2612" s="64">
        <f>IF(tblMovement[[#This Row],[Material]]="","",IF(LEFT(tblMovement[[#This Row],[Material]],3)="Ore",1,0))</f>
        <v/>
      </c>
      <c r="N2612" s="59">
        <f>IF(OR(tblMovement[[#This Row],[Tonnes_t]]="",tblMovement[[#This Row],[Grade_gpt]]=""),0,tblMovement[[#This Row],[Tonnes_t]]*tblMovement[[#This Row],[Grade_gpt]]/cfg_TroyOz)</f>
        <v/>
      </c>
      <c r="O2612" s="59">
        <f>IF(tblMovement[[#This Row],[Is_Ore]]=1,tblMovement[[#This Row],[Contained_oz]],0)</f>
        <v/>
      </c>
    </row>
    <row r="2613">
      <c r="A2613" s="54" t="n"/>
      <c r="B2613" s="61" t="n"/>
      <c r="C2613" s="61" t="n"/>
      <c r="D2613" s="61" t="n"/>
      <c r="E2613" s="61" t="n"/>
      <c r="F2613" s="55" t="n"/>
      <c r="G2613" s="56" t="n"/>
      <c r="H2613" s="55" t="n"/>
      <c r="I2613" s="62" t="n"/>
      <c r="J2613" s="58" t="n"/>
      <c r="K2613" s="63">
        <f>IF(tblMovement[[#This Row],[Source]]="","",IFERROR(INDEX(tblSources[Type],MATCH(tblMovement[[#This Row],[Source]],tblSources[Source],0)),"?"))</f>
        <v/>
      </c>
      <c r="L2613" s="63">
        <f>IF(tblMovement[[#This Row],[Destination]]="","",IFERROR(INDEX(tblDestinations[Type],MATCH(tblMovement[[#This Row],[Destination]],tblDestinations[Destination],0)),"?"))</f>
        <v/>
      </c>
      <c r="M2613" s="64">
        <f>IF(tblMovement[[#This Row],[Material]]="","",IF(LEFT(tblMovement[[#This Row],[Material]],3)="Ore",1,0))</f>
        <v/>
      </c>
      <c r="N2613" s="59">
        <f>IF(OR(tblMovement[[#This Row],[Tonnes_t]]="",tblMovement[[#This Row],[Grade_gpt]]=""),0,tblMovement[[#This Row],[Tonnes_t]]*tblMovement[[#This Row],[Grade_gpt]]/cfg_TroyOz)</f>
        <v/>
      </c>
      <c r="O2613" s="59">
        <f>IF(tblMovement[[#This Row],[Is_Ore]]=1,tblMovement[[#This Row],[Contained_oz]],0)</f>
        <v/>
      </c>
    </row>
    <row r="2614">
      <c r="A2614" s="54" t="n"/>
      <c r="B2614" s="61" t="n"/>
      <c r="C2614" s="61" t="n"/>
      <c r="D2614" s="61" t="n"/>
      <c r="E2614" s="61" t="n"/>
      <c r="F2614" s="55" t="n"/>
      <c r="G2614" s="56" t="n"/>
      <c r="H2614" s="55" t="n"/>
      <c r="I2614" s="62" t="n"/>
      <c r="J2614" s="58" t="n"/>
      <c r="K2614" s="63">
        <f>IF(tblMovement[[#This Row],[Source]]="","",IFERROR(INDEX(tblSources[Type],MATCH(tblMovement[[#This Row],[Source]],tblSources[Source],0)),"?"))</f>
        <v/>
      </c>
      <c r="L2614" s="63">
        <f>IF(tblMovement[[#This Row],[Destination]]="","",IFERROR(INDEX(tblDestinations[Type],MATCH(tblMovement[[#This Row],[Destination]],tblDestinations[Destination],0)),"?"))</f>
        <v/>
      </c>
      <c r="M2614" s="64">
        <f>IF(tblMovement[[#This Row],[Material]]="","",IF(LEFT(tblMovement[[#This Row],[Material]],3)="Ore",1,0))</f>
        <v/>
      </c>
      <c r="N2614" s="59">
        <f>IF(OR(tblMovement[[#This Row],[Tonnes_t]]="",tblMovement[[#This Row],[Grade_gpt]]=""),0,tblMovement[[#This Row],[Tonnes_t]]*tblMovement[[#This Row],[Grade_gpt]]/cfg_TroyOz)</f>
        <v/>
      </c>
      <c r="O2614" s="59">
        <f>IF(tblMovement[[#This Row],[Is_Ore]]=1,tblMovement[[#This Row],[Contained_oz]],0)</f>
        <v/>
      </c>
    </row>
    <row r="2615">
      <c r="A2615" s="54" t="n"/>
      <c r="B2615" s="61" t="n"/>
      <c r="C2615" s="61" t="n"/>
      <c r="D2615" s="61" t="n"/>
      <c r="E2615" s="61" t="n"/>
      <c r="F2615" s="55" t="n"/>
      <c r="G2615" s="56" t="n"/>
      <c r="H2615" s="55" t="n"/>
      <c r="I2615" s="62" t="n"/>
      <c r="J2615" s="58" t="n"/>
      <c r="K2615" s="63">
        <f>IF(tblMovement[[#This Row],[Source]]="","",IFERROR(INDEX(tblSources[Type],MATCH(tblMovement[[#This Row],[Source]],tblSources[Source],0)),"?"))</f>
        <v/>
      </c>
      <c r="L2615" s="63">
        <f>IF(tblMovement[[#This Row],[Destination]]="","",IFERROR(INDEX(tblDestinations[Type],MATCH(tblMovement[[#This Row],[Destination]],tblDestinations[Destination],0)),"?"))</f>
        <v/>
      </c>
      <c r="M2615" s="64">
        <f>IF(tblMovement[[#This Row],[Material]]="","",IF(LEFT(tblMovement[[#This Row],[Material]],3)="Ore",1,0))</f>
        <v/>
      </c>
      <c r="N2615" s="59">
        <f>IF(OR(tblMovement[[#This Row],[Tonnes_t]]="",tblMovement[[#This Row],[Grade_gpt]]=""),0,tblMovement[[#This Row],[Tonnes_t]]*tblMovement[[#This Row],[Grade_gpt]]/cfg_TroyOz)</f>
        <v/>
      </c>
      <c r="O2615" s="59">
        <f>IF(tblMovement[[#This Row],[Is_Ore]]=1,tblMovement[[#This Row],[Contained_oz]],0)</f>
        <v/>
      </c>
    </row>
    <row r="2616">
      <c r="A2616" s="54" t="n"/>
      <c r="B2616" s="61" t="n"/>
      <c r="C2616" s="61" t="n"/>
      <c r="D2616" s="61" t="n"/>
      <c r="E2616" s="61" t="n"/>
      <c r="F2616" s="55" t="n"/>
      <c r="G2616" s="56" t="n"/>
      <c r="H2616" s="55" t="n"/>
      <c r="I2616" s="62" t="n"/>
      <c r="J2616" s="58" t="n"/>
      <c r="K2616" s="63">
        <f>IF(tblMovement[[#This Row],[Source]]="","",IFERROR(INDEX(tblSources[Type],MATCH(tblMovement[[#This Row],[Source]],tblSources[Source],0)),"?"))</f>
        <v/>
      </c>
      <c r="L2616" s="63">
        <f>IF(tblMovement[[#This Row],[Destination]]="","",IFERROR(INDEX(tblDestinations[Type],MATCH(tblMovement[[#This Row],[Destination]],tblDestinations[Destination],0)),"?"))</f>
        <v/>
      </c>
      <c r="M2616" s="64">
        <f>IF(tblMovement[[#This Row],[Material]]="","",IF(LEFT(tblMovement[[#This Row],[Material]],3)="Ore",1,0))</f>
        <v/>
      </c>
      <c r="N2616" s="59">
        <f>IF(OR(tblMovement[[#This Row],[Tonnes_t]]="",tblMovement[[#This Row],[Grade_gpt]]=""),0,tblMovement[[#This Row],[Tonnes_t]]*tblMovement[[#This Row],[Grade_gpt]]/cfg_TroyOz)</f>
        <v/>
      </c>
      <c r="O2616" s="59">
        <f>IF(tblMovement[[#This Row],[Is_Ore]]=1,tblMovement[[#This Row],[Contained_oz]],0)</f>
        <v/>
      </c>
    </row>
    <row r="2617">
      <c r="A2617" s="54" t="n"/>
      <c r="B2617" s="61" t="n"/>
      <c r="C2617" s="61" t="n"/>
      <c r="D2617" s="61" t="n"/>
      <c r="E2617" s="61" t="n"/>
      <c r="F2617" s="55" t="n"/>
      <c r="G2617" s="56" t="n"/>
      <c r="H2617" s="55" t="n"/>
      <c r="I2617" s="62" t="n"/>
      <c r="J2617" s="58" t="n"/>
      <c r="K2617" s="63">
        <f>IF(tblMovement[[#This Row],[Source]]="","",IFERROR(INDEX(tblSources[Type],MATCH(tblMovement[[#This Row],[Source]],tblSources[Source],0)),"?"))</f>
        <v/>
      </c>
      <c r="L2617" s="63">
        <f>IF(tblMovement[[#This Row],[Destination]]="","",IFERROR(INDEX(tblDestinations[Type],MATCH(tblMovement[[#This Row],[Destination]],tblDestinations[Destination],0)),"?"))</f>
        <v/>
      </c>
      <c r="M2617" s="64">
        <f>IF(tblMovement[[#This Row],[Material]]="","",IF(LEFT(tblMovement[[#This Row],[Material]],3)="Ore",1,0))</f>
        <v/>
      </c>
      <c r="N2617" s="59">
        <f>IF(OR(tblMovement[[#This Row],[Tonnes_t]]="",tblMovement[[#This Row],[Grade_gpt]]=""),0,tblMovement[[#This Row],[Tonnes_t]]*tblMovement[[#This Row],[Grade_gpt]]/cfg_TroyOz)</f>
        <v/>
      </c>
      <c r="O2617" s="59">
        <f>IF(tblMovement[[#This Row],[Is_Ore]]=1,tblMovement[[#This Row],[Contained_oz]],0)</f>
        <v/>
      </c>
    </row>
    <row r="2618">
      <c r="A2618" s="54" t="n"/>
      <c r="B2618" s="61" t="n"/>
      <c r="C2618" s="61" t="n"/>
      <c r="D2618" s="61" t="n"/>
      <c r="E2618" s="61" t="n"/>
      <c r="F2618" s="55" t="n"/>
      <c r="G2618" s="56" t="n"/>
      <c r="H2618" s="55" t="n"/>
      <c r="I2618" s="62" t="n"/>
      <c r="J2618" s="58" t="n"/>
      <c r="K2618" s="63">
        <f>IF(tblMovement[[#This Row],[Source]]="","",IFERROR(INDEX(tblSources[Type],MATCH(tblMovement[[#This Row],[Source]],tblSources[Source],0)),"?"))</f>
        <v/>
      </c>
      <c r="L2618" s="63">
        <f>IF(tblMovement[[#This Row],[Destination]]="","",IFERROR(INDEX(tblDestinations[Type],MATCH(tblMovement[[#This Row],[Destination]],tblDestinations[Destination],0)),"?"))</f>
        <v/>
      </c>
      <c r="M2618" s="64">
        <f>IF(tblMovement[[#This Row],[Material]]="","",IF(LEFT(tblMovement[[#This Row],[Material]],3)="Ore",1,0))</f>
        <v/>
      </c>
      <c r="N2618" s="59">
        <f>IF(OR(tblMovement[[#This Row],[Tonnes_t]]="",tblMovement[[#This Row],[Grade_gpt]]=""),0,tblMovement[[#This Row],[Tonnes_t]]*tblMovement[[#This Row],[Grade_gpt]]/cfg_TroyOz)</f>
        <v/>
      </c>
      <c r="O2618" s="59">
        <f>IF(tblMovement[[#This Row],[Is_Ore]]=1,tblMovement[[#This Row],[Contained_oz]],0)</f>
        <v/>
      </c>
    </row>
    <row r="2619">
      <c r="A2619" s="54" t="n"/>
      <c r="B2619" s="61" t="n"/>
      <c r="C2619" s="61" t="n"/>
      <c r="D2619" s="61" t="n"/>
      <c r="E2619" s="61" t="n"/>
      <c r="F2619" s="55" t="n"/>
      <c r="G2619" s="56" t="n"/>
      <c r="H2619" s="55" t="n"/>
      <c r="I2619" s="62" t="n"/>
      <c r="J2619" s="58" t="n"/>
      <c r="K2619" s="63">
        <f>IF(tblMovement[[#This Row],[Source]]="","",IFERROR(INDEX(tblSources[Type],MATCH(tblMovement[[#This Row],[Source]],tblSources[Source],0)),"?"))</f>
        <v/>
      </c>
      <c r="L2619" s="63">
        <f>IF(tblMovement[[#This Row],[Destination]]="","",IFERROR(INDEX(tblDestinations[Type],MATCH(tblMovement[[#This Row],[Destination]],tblDestinations[Destination],0)),"?"))</f>
        <v/>
      </c>
      <c r="M2619" s="64">
        <f>IF(tblMovement[[#This Row],[Material]]="","",IF(LEFT(tblMovement[[#This Row],[Material]],3)="Ore",1,0))</f>
        <v/>
      </c>
      <c r="N2619" s="59">
        <f>IF(OR(tblMovement[[#This Row],[Tonnes_t]]="",tblMovement[[#This Row],[Grade_gpt]]=""),0,tblMovement[[#This Row],[Tonnes_t]]*tblMovement[[#This Row],[Grade_gpt]]/cfg_TroyOz)</f>
        <v/>
      </c>
      <c r="O2619" s="59">
        <f>IF(tblMovement[[#This Row],[Is_Ore]]=1,tblMovement[[#This Row],[Contained_oz]],0)</f>
        <v/>
      </c>
    </row>
    <row r="2620">
      <c r="A2620" s="54" t="n"/>
      <c r="B2620" s="61" t="n"/>
      <c r="C2620" s="61" t="n"/>
      <c r="D2620" s="61" t="n"/>
      <c r="E2620" s="61" t="n"/>
      <c r="F2620" s="55" t="n"/>
      <c r="G2620" s="56" t="n"/>
      <c r="H2620" s="55" t="n"/>
      <c r="I2620" s="62" t="n"/>
      <c r="J2620" s="58" t="n"/>
      <c r="K2620" s="63">
        <f>IF(tblMovement[[#This Row],[Source]]="","",IFERROR(INDEX(tblSources[Type],MATCH(tblMovement[[#This Row],[Source]],tblSources[Source],0)),"?"))</f>
        <v/>
      </c>
      <c r="L2620" s="63">
        <f>IF(tblMovement[[#This Row],[Destination]]="","",IFERROR(INDEX(tblDestinations[Type],MATCH(tblMovement[[#This Row],[Destination]],tblDestinations[Destination],0)),"?"))</f>
        <v/>
      </c>
      <c r="M2620" s="64">
        <f>IF(tblMovement[[#This Row],[Material]]="","",IF(LEFT(tblMovement[[#This Row],[Material]],3)="Ore",1,0))</f>
        <v/>
      </c>
      <c r="N2620" s="59">
        <f>IF(OR(tblMovement[[#This Row],[Tonnes_t]]="",tblMovement[[#This Row],[Grade_gpt]]=""),0,tblMovement[[#This Row],[Tonnes_t]]*tblMovement[[#This Row],[Grade_gpt]]/cfg_TroyOz)</f>
        <v/>
      </c>
      <c r="O2620" s="59">
        <f>IF(tblMovement[[#This Row],[Is_Ore]]=1,tblMovement[[#This Row],[Contained_oz]],0)</f>
        <v/>
      </c>
    </row>
    <row r="2621">
      <c r="A2621" s="54" t="n"/>
      <c r="B2621" s="61" t="n"/>
      <c r="C2621" s="61" t="n"/>
      <c r="D2621" s="61" t="n"/>
      <c r="E2621" s="61" t="n"/>
      <c r="F2621" s="55" t="n"/>
      <c r="G2621" s="56" t="n"/>
      <c r="H2621" s="55" t="n"/>
      <c r="I2621" s="62" t="n"/>
      <c r="J2621" s="58" t="n"/>
      <c r="K2621" s="63">
        <f>IF(tblMovement[[#This Row],[Source]]="","",IFERROR(INDEX(tblSources[Type],MATCH(tblMovement[[#This Row],[Source]],tblSources[Source],0)),"?"))</f>
        <v/>
      </c>
      <c r="L2621" s="63">
        <f>IF(tblMovement[[#This Row],[Destination]]="","",IFERROR(INDEX(tblDestinations[Type],MATCH(tblMovement[[#This Row],[Destination]],tblDestinations[Destination],0)),"?"))</f>
        <v/>
      </c>
      <c r="M2621" s="64">
        <f>IF(tblMovement[[#This Row],[Material]]="","",IF(LEFT(tblMovement[[#This Row],[Material]],3)="Ore",1,0))</f>
        <v/>
      </c>
      <c r="N2621" s="59">
        <f>IF(OR(tblMovement[[#This Row],[Tonnes_t]]="",tblMovement[[#This Row],[Grade_gpt]]=""),0,tblMovement[[#This Row],[Tonnes_t]]*tblMovement[[#This Row],[Grade_gpt]]/cfg_TroyOz)</f>
        <v/>
      </c>
      <c r="O2621" s="59">
        <f>IF(tblMovement[[#This Row],[Is_Ore]]=1,tblMovement[[#This Row],[Contained_oz]],0)</f>
        <v/>
      </c>
    </row>
    <row r="2622">
      <c r="A2622" s="54" t="n"/>
      <c r="B2622" s="61" t="n"/>
      <c r="C2622" s="61" t="n"/>
      <c r="D2622" s="61" t="n"/>
      <c r="E2622" s="61" t="n"/>
      <c r="F2622" s="55" t="n"/>
      <c r="G2622" s="56" t="n"/>
      <c r="H2622" s="55" t="n"/>
      <c r="I2622" s="62" t="n"/>
      <c r="J2622" s="58" t="n"/>
      <c r="K2622" s="63">
        <f>IF(tblMovement[[#This Row],[Source]]="","",IFERROR(INDEX(tblSources[Type],MATCH(tblMovement[[#This Row],[Source]],tblSources[Source],0)),"?"))</f>
        <v/>
      </c>
      <c r="L2622" s="63">
        <f>IF(tblMovement[[#This Row],[Destination]]="","",IFERROR(INDEX(tblDestinations[Type],MATCH(tblMovement[[#This Row],[Destination]],tblDestinations[Destination],0)),"?"))</f>
        <v/>
      </c>
      <c r="M2622" s="64">
        <f>IF(tblMovement[[#This Row],[Material]]="","",IF(LEFT(tblMovement[[#This Row],[Material]],3)="Ore",1,0))</f>
        <v/>
      </c>
      <c r="N2622" s="59">
        <f>IF(OR(tblMovement[[#This Row],[Tonnes_t]]="",tblMovement[[#This Row],[Grade_gpt]]=""),0,tblMovement[[#This Row],[Tonnes_t]]*tblMovement[[#This Row],[Grade_gpt]]/cfg_TroyOz)</f>
        <v/>
      </c>
      <c r="O2622" s="59">
        <f>IF(tblMovement[[#This Row],[Is_Ore]]=1,tblMovement[[#This Row],[Contained_oz]],0)</f>
        <v/>
      </c>
    </row>
    <row r="2623">
      <c r="A2623" s="54" t="n"/>
      <c r="B2623" s="61" t="n"/>
      <c r="C2623" s="61" t="n"/>
      <c r="D2623" s="61" t="n"/>
      <c r="E2623" s="61" t="n"/>
      <c r="F2623" s="55" t="n"/>
      <c r="G2623" s="56" t="n"/>
      <c r="H2623" s="55" t="n"/>
      <c r="I2623" s="62" t="n"/>
      <c r="J2623" s="58" t="n"/>
      <c r="K2623" s="63">
        <f>IF(tblMovement[[#This Row],[Source]]="","",IFERROR(INDEX(tblSources[Type],MATCH(tblMovement[[#This Row],[Source]],tblSources[Source],0)),"?"))</f>
        <v/>
      </c>
      <c r="L2623" s="63">
        <f>IF(tblMovement[[#This Row],[Destination]]="","",IFERROR(INDEX(tblDestinations[Type],MATCH(tblMovement[[#This Row],[Destination]],tblDestinations[Destination],0)),"?"))</f>
        <v/>
      </c>
      <c r="M2623" s="64">
        <f>IF(tblMovement[[#This Row],[Material]]="","",IF(LEFT(tblMovement[[#This Row],[Material]],3)="Ore",1,0))</f>
        <v/>
      </c>
      <c r="N2623" s="59">
        <f>IF(OR(tblMovement[[#This Row],[Tonnes_t]]="",tblMovement[[#This Row],[Grade_gpt]]=""),0,tblMovement[[#This Row],[Tonnes_t]]*tblMovement[[#This Row],[Grade_gpt]]/cfg_TroyOz)</f>
        <v/>
      </c>
      <c r="O2623" s="59">
        <f>IF(tblMovement[[#This Row],[Is_Ore]]=1,tblMovement[[#This Row],[Contained_oz]],0)</f>
        <v/>
      </c>
    </row>
    <row r="2624">
      <c r="A2624" s="54" t="n"/>
      <c r="B2624" s="61" t="n"/>
      <c r="C2624" s="61" t="n"/>
      <c r="D2624" s="61" t="n"/>
      <c r="E2624" s="61" t="n"/>
      <c r="F2624" s="55" t="n"/>
      <c r="G2624" s="56" t="n"/>
      <c r="H2624" s="55" t="n"/>
      <c r="I2624" s="62" t="n"/>
      <c r="J2624" s="58" t="n"/>
      <c r="K2624" s="63">
        <f>IF(tblMovement[[#This Row],[Source]]="","",IFERROR(INDEX(tblSources[Type],MATCH(tblMovement[[#This Row],[Source]],tblSources[Source],0)),"?"))</f>
        <v/>
      </c>
      <c r="L2624" s="63">
        <f>IF(tblMovement[[#This Row],[Destination]]="","",IFERROR(INDEX(tblDestinations[Type],MATCH(tblMovement[[#This Row],[Destination]],tblDestinations[Destination],0)),"?"))</f>
        <v/>
      </c>
      <c r="M2624" s="64">
        <f>IF(tblMovement[[#This Row],[Material]]="","",IF(LEFT(tblMovement[[#This Row],[Material]],3)="Ore",1,0))</f>
        <v/>
      </c>
      <c r="N2624" s="59">
        <f>IF(OR(tblMovement[[#This Row],[Tonnes_t]]="",tblMovement[[#This Row],[Grade_gpt]]=""),0,tblMovement[[#This Row],[Tonnes_t]]*tblMovement[[#This Row],[Grade_gpt]]/cfg_TroyOz)</f>
        <v/>
      </c>
      <c r="O2624" s="59">
        <f>IF(tblMovement[[#This Row],[Is_Ore]]=1,tblMovement[[#This Row],[Contained_oz]],0)</f>
        <v/>
      </c>
    </row>
    <row r="2625">
      <c r="A2625" s="54" t="n"/>
      <c r="B2625" s="61" t="n"/>
      <c r="C2625" s="61" t="n"/>
      <c r="D2625" s="61" t="n"/>
      <c r="E2625" s="61" t="n"/>
      <c r="F2625" s="55" t="n"/>
      <c r="G2625" s="56" t="n"/>
      <c r="H2625" s="55" t="n"/>
      <c r="I2625" s="62" t="n"/>
      <c r="J2625" s="58" t="n"/>
      <c r="K2625" s="63">
        <f>IF(tblMovement[[#This Row],[Source]]="","",IFERROR(INDEX(tblSources[Type],MATCH(tblMovement[[#This Row],[Source]],tblSources[Source],0)),"?"))</f>
        <v/>
      </c>
      <c r="L2625" s="63">
        <f>IF(tblMovement[[#This Row],[Destination]]="","",IFERROR(INDEX(tblDestinations[Type],MATCH(tblMovement[[#This Row],[Destination]],tblDestinations[Destination],0)),"?"))</f>
        <v/>
      </c>
      <c r="M2625" s="64">
        <f>IF(tblMovement[[#This Row],[Material]]="","",IF(LEFT(tblMovement[[#This Row],[Material]],3)="Ore",1,0))</f>
        <v/>
      </c>
      <c r="N2625" s="59">
        <f>IF(OR(tblMovement[[#This Row],[Tonnes_t]]="",tblMovement[[#This Row],[Grade_gpt]]=""),0,tblMovement[[#This Row],[Tonnes_t]]*tblMovement[[#This Row],[Grade_gpt]]/cfg_TroyOz)</f>
        <v/>
      </c>
      <c r="O2625" s="59">
        <f>IF(tblMovement[[#This Row],[Is_Ore]]=1,tblMovement[[#This Row],[Contained_oz]],0)</f>
        <v/>
      </c>
    </row>
    <row r="2626">
      <c r="A2626" s="54" t="n"/>
      <c r="B2626" s="61" t="n"/>
      <c r="C2626" s="61" t="n"/>
      <c r="D2626" s="61" t="n"/>
      <c r="E2626" s="61" t="n"/>
      <c r="F2626" s="55" t="n"/>
      <c r="G2626" s="56" t="n"/>
      <c r="H2626" s="55" t="n"/>
      <c r="I2626" s="62" t="n"/>
      <c r="J2626" s="58" t="n"/>
      <c r="K2626" s="63">
        <f>IF(tblMovement[[#This Row],[Source]]="","",IFERROR(INDEX(tblSources[Type],MATCH(tblMovement[[#This Row],[Source]],tblSources[Source],0)),"?"))</f>
        <v/>
      </c>
      <c r="L2626" s="63">
        <f>IF(tblMovement[[#This Row],[Destination]]="","",IFERROR(INDEX(tblDestinations[Type],MATCH(tblMovement[[#This Row],[Destination]],tblDestinations[Destination],0)),"?"))</f>
        <v/>
      </c>
      <c r="M2626" s="64">
        <f>IF(tblMovement[[#This Row],[Material]]="","",IF(LEFT(tblMovement[[#This Row],[Material]],3)="Ore",1,0))</f>
        <v/>
      </c>
      <c r="N2626" s="59">
        <f>IF(OR(tblMovement[[#This Row],[Tonnes_t]]="",tblMovement[[#This Row],[Grade_gpt]]=""),0,tblMovement[[#This Row],[Tonnes_t]]*tblMovement[[#This Row],[Grade_gpt]]/cfg_TroyOz)</f>
        <v/>
      </c>
      <c r="O2626" s="59">
        <f>IF(tblMovement[[#This Row],[Is_Ore]]=1,tblMovement[[#This Row],[Contained_oz]],0)</f>
        <v/>
      </c>
    </row>
    <row r="2627">
      <c r="A2627" s="54" t="n"/>
      <c r="B2627" s="61" t="n"/>
      <c r="C2627" s="61" t="n"/>
      <c r="D2627" s="61" t="n"/>
      <c r="E2627" s="61" t="n"/>
      <c r="F2627" s="55" t="n"/>
      <c r="G2627" s="56" t="n"/>
      <c r="H2627" s="55" t="n"/>
      <c r="I2627" s="62" t="n"/>
      <c r="J2627" s="58" t="n"/>
      <c r="K2627" s="63">
        <f>IF(tblMovement[[#This Row],[Source]]="","",IFERROR(INDEX(tblSources[Type],MATCH(tblMovement[[#This Row],[Source]],tblSources[Source],0)),"?"))</f>
        <v/>
      </c>
      <c r="L2627" s="63">
        <f>IF(tblMovement[[#This Row],[Destination]]="","",IFERROR(INDEX(tblDestinations[Type],MATCH(tblMovement[[#This Row],[Destination]],tblDestinations[Destination],0)),"?"))</f>
        <v/>
      </c>
      <c r="M2627" s="64">
        <f>IF(tblMovement[[#This Row],[Material]]="","",IF(LEFT(tblMovement[[#This Row],[Material]],3)="Ore",1,0))</f>
        <v/>
      </c>
      <c r="N2627" s="59">
        <f>IF(OR(tblMovement[[#This Row],[Tonnes_t]]="",tblMovement[[#This Row],[Grade_gpt]]=""),0,tblMovement[[#This Row],[Tonnes_t]]*tblMovement[[#This Row],[Grade_gpt]]/cfg_TroyOz)</f>
        <v/>
      </c>
      <c r="O2627" s="59">
        <f>IF(tblMovement[[#This Row],[Is_Ore]]=1,tblMovement[[#This Row],[Contained_oz]],0)</f>
        <v/>
      </c>
    </row>
    <row r="2628">
      <c r="A2628" s="54" t="n"/>
      <c r="B2628" s="61" t="n"/>
      <c r="C2628" s="61" t="n"/>
      <c r="D2628" s="61" t="n"/>
      <c r="E2628" s="61" t="n"/>
      <c r="F2628" s="55" t="n"/>
      <c r="G2628" s="56" t="n"/>
      <c r="H2628" s="55" t="n"/>
      <c r="I2628" s="62" t="n"/>
      <c r="J2628" s="58" t="n"/>
      <c r="K2628" s="63">
        <f>IF(tblMovement[[#This Row],[Source]]="","",IFERROR(INDEX(tblSources[Type],MATCH(tblMovement[[#This Row],[Source]],tblSources[Source],0)),"?"))</f>
        <v/>
      </c>
      <c r="L2628" s="63">
        <f>IF(tblMovement[[#This Row],[Destination]]="","",IFERROR(INDEX(tblDestinations[Type],MATCH(tblMovement[[#This Row],[Destination]],tblDestinations[Destination],0)),"?"))</f>
        <v/>
      </c>
      <c r="M2628" s="64">
        <f>IF(tblMovement[[#This Row],[Material]]="","",IF(LEFT(tblMovement[[#This Row],[Material]],3)="Ore",1,0))</f>
        <v/>
      </c>
      <c r="N2628" s="59">
        <f>IF(OR(tblMovement[[#This Row],[Tonnes_t]]="",tblMovement[[#This Row],[Grade_gpt]]=""),0,tblMovement[[#This Row],[Tonnes_t]]*tblMovement[[#This Row],[Grade_gpt]]/cfg_TroyOz)</f>
        <v/>
      </c>
      <c r="O2628" s="59">
        <f>IF(tblMovement[[#This Row],[Is_Ore]]=1,tblMovement[[#This Row],[Contained_oz]],0)</f>
        <v/>
      </c>
    </row>
    <row r="2629">
      <c r="A2629" s="54" t="n"/>
      <c r="B2629" s="61" t="n"/>
      <c r="C2629" s="61" t="n"/>
      <c r="D2629" s="61" t="n"/>
      <c r="E2629" s="61" t="n"/>
      <c r="F2629" s="55" t="n"/>
      <c r="G2629" s="56" t="n"/>
      <c r="H2629" s="55" t="n"/>
      <c r="I2629" s="62" t="n"/>
      <c r="J2629" s="58" t="n"/>
      <c r="K2629" s="63">
        <f>IF(tblMovement[[#This Row],[Source]]="","",IFERROR(INDEX(tblSources[Type],MATCH(tblMovement[[#This Row],[Source]],tblSources[Source],0)),"?"))</f>
        <v/>
      </c>
      <c r="L2629" s="63">
        <f>IF(tblMovement[[#This Row],[Destination]]="","",IFERROR(INDEX(tblDestinations[Type],MATCH(tblMovement[[#This Row],[Destination]],tblDestinations[Destination],0)),"?"))</f>
        <v/>
      </c>
      <c r="M2629" s="64">
        <f>IF(tblMovement[[#This Row],[Material]]="","",IF(LEFT(tblMovement[[#This Row],[Material]],3)="Ore",1,0))</f>
        <v/>
      </c>
      <c r="N2629" s="59">
        <f>IF(OR(tblMovement[[#This Row],[Tonnes_t]]="",tblMovement[[#This Row],[Grade_gpt]]=""),0,tblMovement[[#This Row],[Tonnes_t]]*tblMovement[[#This Row],[Grade_gpt]]/cfg_TroyOz)</f>
        <v/>
      </c>
      <c r="O2629" s="59">
        <f>IF(tblMovement[[#This Row],[Is_Ore]]=1,tblMovement[[#This Row],[Contained_oz]],0)</f>
        <v/>
      </c>
    </row>
    <row r="2630">
      <c r="A2630" s="54" t="n"/>
      <c r="B2630" s="61" t="n"/>
      <c r="C2630" s="61" t="n"/>
      <c r="D2630" s="61" t="n"/>
      <c r="E2630" s="61" t="n"/>
      <c r="F2630" s="55" t="n"/>
      <c r="G2630" s="56" t="n"/>
      <c r="H2630" s="55" t="n"/>
      <c r="I2630" s="62" t="n"/>
      <c r="J2630" s="58" t="n"/>
      <c r="K2630" s="63">
        <f>IF(tblMovement[[#This Row],[Source]]="","",IFERROR(INDEX(tblSources[Type],MATCH(tblMovement[[#This Row],[Source]],tblSources[Source],0)),"?"))</f>
        <v/>
      </c>
      <c r="L2630" s="63">
        <f>IF(tblMovement[[#This Row],[Destination]]="","",IFERROR(INDEX(tblDestinations[Type],MATCH(tblMovement[[#This Row],[Destination]],tblDestinations[Destination],0)),"?"))</f>
        <v/>
      </c>
      <c r="M2630" s="64">
        <f>IF(tblMovement[[#This Row],[Material]]="","",IF(LEFT(tblMovement[[#This Row],[Material]],3)="Ore",1,0))</f>
        <v/>
      </c>
      <c r="N2630" s="59">
        <f>IF(OR(tblMovement[[#This Row],[Tonnes_t]]="",tblMovement[[#This Row],[Grade_gpt]]=""),0,tblMovement[[#This Row],[Tonnes_t]]*tblMovement[[#This Row],[Grade_gpt]]/cfg_TroyOz)</f>
        <v/>
      </c>
      <c r="O2630" s="59">
        <f>IF(tblMovement[[#This Row],[Is_Ore]]=1,tblMovement[[#This Row],[Contained_oz]],0)</f>
        <v/>
      </c>
    </row>
    <row r="2631">
      <c r="A2631" s="54" t="n"/>
      <c r="B2631" s="61" t="n"/>
      <c r="C2631" s="61" t="n"/>
      <c r="D2631" s="61" t="n"/>
      <c r="E2631" s="61" t="n"/>
      <c r="F2631" s="55" t="n"/>
      <c r="G2631" s="56" t="n"/>
      <c r="H2631" s="55" t="n"/>
      <c r="I2631" s="62" t="n"/>
      <c r="J2631" s="58" t="n"/>
      <c r="K2631" s="63">
        <f>IF(tblMovement[[#This Row],[Source]]="","",IFERROR(INDEX(tblSources[Type],MATCH(tblMovement[[#This Row],[Source]],tblSources[Source],0)),"?"))</f>
        <v/>
      </c>
      <c r="L2631" s="63">
        <f>IF(tblMovement[[#This Row],[Destination]]="","",IFERROR(INDEX(tblDestinations[Type],MATCH(tblMovement[[#This Row],[Destination]],tblDestinations[Destination],0)),"?"))</f>
        <v/>
      </c>
      <c r="M2631" s="64">
        <f>IF(tblMovement[[#This Row],[Material]]="","",IF(LEFT(tblMovement[[#This Row],[Material]],3)="Ore",1,0))</f>
        <v/>
      </c>
      <c r="N2631" s="59">
        <f>IF(OR(tblMovement[[#This Row],[Tonnes_t]]="",tblMovement[[#This Row],[Grade_gpt]]=""),0,tblMovement[[#This Row],[Tonnes_t]]*tblMovement[[#This Row],[Grade_gpt]]/cfg_TroyOz)</f>
        <v/>
      </c>
      <c r="O2631" s="59">
        <f>IF(tblMovement[[#This Row],[Is_Ore]]=1,tblMovement[[#This Row],[Contained_oz]],0)</f>
        <v/>
      </c>
    </row>
    <row r="2632">
      <c r="A2632" s="54" t="n"/>
      <c r="B2632" s="61" t="n"/>
      <c r="C2632" s="61" t="n"/>
      <c r="D2632" s="61" t="n"/>
      <c r="E2632" s="61" t="n"/>
      <c r="F2632" s="55" t="n"/>
      <c r="G2632" s="56" t="n"/>
      <c r="H2632" s="55" t="n"/>
      <c r="I2632" s="62" t="n"/>
      <c r="J2632" s="58" t="n"/>
      <c r="K2632" s="63">
        <f>IF(tblMovement[[#This Row],[Source]]="","",IFERROR(INDEX(tblSources[Type],MATCH(tblMovement[[#This Row],[Source]],tblSources[Source],0)),"?"))</f>
        <v/>
      </c>
      <c r="L2632" s="63">
        <f>IF(tblMovement[[#This Row],[Destination]]="","",IFERROR(INDEX(tblDestinations[Type],MATCH(tblMovement[[#This Row],[Destination]],tblDestinations[Destination],0)),"?"))</f>
        <v/>
      </c>
      <c r="M2632" s="64">
        <f>IF(tblMovement[[#This Row],[Material]]="","",IF(LEFT(tblMovement[[#This Row],[Material]],3)="Ore",1,0))</f>
        <v/>
      </c>
      <c r="N2632" s="59">
        <f>IF(OR(tblMovement[[#This Row],[Tonnes_t]]="",tblMovement[[#This Row],[Grade_gpt]]=""),0,tblMovement[[#This Row],[Tonnes_t]]*tblMovement[[#This Row],[Grade_gpt]]/cfg_TroyOz)</f>
        <v/>
      </c>
      <c r="O2632" s="59">
        <f>IF(tblMovement[[#This Row],[Is_Ore]]=1,tblMovement[[#This Row],[Contained_oz]],0)</f>
        <v/>
      </c>
    </row>
    <row r="2633">
      <c r="A2633" s="54" t="n"/>
      <c r="B2633" s="61" t="n"/>
      <c r="C2633" s="61" t="n"/>
      <c r="D2633" s="61" t="n"/>
      <c r="E2633" s="61" t="n"/>
      <c r="F2633" s="55" t="n"/>
      <c r="G2633" s="56" t="n"/>
      <c r="H2633" s="55" t="n"/>
      <c r="I2633" s="62" t="n"/>
      <c r="J2633" s="58" t="n"/>
      <c r="K2633" s="63">
        <f>IF(tblMovement[[#This Row],[Source]]="","",IFERROR(INDEX(tblSources[Type],MATCH(tblMovement[[#This Row],[Source]],tblSources[Source],0)),"?"))</f>
        <v/>
      </c>
      <c r="L2633" s="63">
        <f>IF(tblMovement[[#This Row],[Destination]]="","",IFERROR(INDEX(tblDestinations[Type],MATCH(tblMovement[[#This Row],[Destination]],tblDestinations[Destination],0)),"?"))</f>
        <v/>
      </c>
      <c r="M2633" s="64">
        <f>IF(tblMovement[[#This Row],[Material]]="","",IF(LEFT(tblMovement[[#This Row],[Material]],3)="Ore",1,0))</f>
        <v/>
      </c>
      <c r="N2633" s="59">
        <f>IF(OR(tblMovement[[#This Row],[Tonnes_t]]="",tblMovement[[#This Row],[Grade_gpt]]=""),0,tblMovement[[#This Row],[Tonnes_t]]*tblMovement[[#This Row],[Grade_gpt]]/cfg_TroyOz)</f>
        <v/>
      </c>
      <c r="O2633" s="59">
        <f>IF(tblMovement[[#This Row],[Is_Ore]]=1,tblMovement[[#This Row],[Contained_oz]],0)</f>
        <v/>
      </c>
    </row>
    <row r="2634">
      <c r="A2634" s="54" t="n"/>
      <c r="B2634" s="61" t="n"/>
      <c r="C2634" s="61" t="n"/>
      <c r="D2634" s="61" t="n"/>
      <c r="E2634" s="61" t="n"/>
      <c r="F2634" s="55" t="n"/>
      <c r="G2634" s="56" t="n"/>
      <c r="H2634" s="55" t="n"/>
      <c r="I2634" s="62" t="n"/>
      <c r="J2634" s="58" t="n"/>
      <c r="K2634" s="63">
        <f>IF(tblMovement[[#This Row],[Source]]="","",IFERROR(INDEX(tblSources[Type],MATCH(tblMovement[[#This Row],[Source]],tblSources[Source],0)),"?"))</f>
        <v/>
      </c>
      <c r="L2634" s="63">
        <f>IF(tblMovement[[#This Row],[Destination]]="","",IFERROR(INDEX(tblDestinations[Type],MATCH(tblMovement[[#This Row],[Destination]],tblDestinations[Destination],0)),"?"))</f>
        <v/>
      </c>
      <c r="M2634" s="64">
        <f>IF(tblMovement[[#This Row],[Material]]="","",IF(LEFT(tblMovement[[#This Row],[Material]],3)="Ore",1,0))</f>
        <v/>
      </c>
      <c r="N2634" s="59">
        <f>IF(OR(tblMovement[[#This Row],[Tonnes_t]]="",tblMovement[[#This Row],[Grade_gpt]]=""),0,tblMovement[[#This Row],[Tonnes_t]]*tblMovement[[#This Row],[Grade_gpt]]/cfg_TroyOz)</f>
        <v/>
      </c>
      <c r="O2634" s="59">
        <f>IF(tblMovement[[#This Row],[Is_Ore]]=1,tblMovement[[#This Row],[Contained_oz]],0)</f>
        <v/>
      </c>
    </row>
    <row r="2635">
      <c r="A2635" s="54" t="n"/>
      <c r="B2635" s="61" t="n"/>
      <c r="C2635" s="61" t="n"/>
      <c r="D2635" s="61" t="n"/>
      <c r="E2635" s="61" t="n"/>
      <c r="F2635" s="55" t="n"/>
      <c r="G2635" s="56" t="n"/>
      <c r="H2635" s="55" t="n"/>
      <c r="I2635" s="62" t="n"/>
      <c r="J2635" s="58" t="n"/>
      <c r="K2635" s="63">
        <f>IF(tblMovement[[#This Row],[Source]]="","",IFERROR(INDEX(tblSources[Type],MATCH(tblMovement[[#This Row],[Source]],tblSources[Source],0)),"?"))</f>
        <v/>
      </c>
      <c r="L2635" s="63">
        <f>IF(tblMovement[[#This Row],[Destination]]="","",IFERROR(INDEX(tblDestinations[Type],MATCH(tblMovement[[#This Row],[Destination]],tblDestinations[Destination],0)),"?"))</f>
        <v/>
      </c>
      <c r="M2635" s="64">
        <f>IF(tblMovement[[#This Row],[Material]]="","",IF(LEFT(tblMovement[[#This Row],[Material]],3)="Ore",1,0))</f>
        <v/>
      </c>
      <c r="N2635" s="59">
        <f>IF(OR(tblMovement[[#This Row],[Tonnes_t]]="",tblMovement[[#This Row],[Grade_gpt]]=""),0,tblMovement[[#This Row],[Tonnes_t]]*tblMovement[[#This Row],[Grade_gpt]]/cfg_TroyOz)</f>
        <v/>
      </c>
      <c r="O2635" s="59">
        <f>IF(tblMovement[[#This Row],[Is_Ore]]=1,tblMovement[[#This Row],[Contained_oz]],0)</f>
        <v/>
      </c>
    </row>
    <row r="2636">
      <c r="A2636" s="54" t="n"/>
      <c r="B2636" s="61" t="n"/>
      <c r="C2636" s="61" t="n"/>
      <c r="D2636" s="61" t="n"/>
      <c r="E2636" s="61" t="n"/>
      <c r="F2636" s="55" t="n"/>
      <c r="G2636" s="56" t="n"/>
      <c r="H2636" s="55" t="n"/>
      <c r="I2636" s="62" t="n"/>
      <c r="J2636" s="58" t="n"/>
      <c r="K2636" s="63">
        <f>IF(tblMovement[[#This Row],[Source]]="","",IFERROR(INDEX(tblSources[Type],MATCH(tblMovement[[#This Row],[Source]],tblSources[Source],0)),"?"))</f>
        <v/>
      </c>
      <c r="L2636" s="63">
        <f>IF(tblMovement[[#This Row],[Destination]]="","",IFERROR(INDEX(tblDestinations[Type],MATCH(tblMovement[[#This Row],[Destination]],tblDestinations[Destination],0)),"?"))</f>
        <v/>
      </c>
      <c r="M2636" s="64">
        <f>IF(tblMovement[[#This Row],[Material]]="","",IF(LEFT(tblMovement[[#This Row],[Material]],3)="Ore",1,0))</f>
        <v/>
      </c>
      <c r="N2636" s="59">
        <f>IF(OR(tblMovement[[#This Row],[Tonnes_t]]="",tblMovement[[#This Row],[Grade_gpt]]=""),0,tblMovement[[#This Row],[Tonnes_t]]*tblMovement[[#This Row],[Grade_gpt]]/cfg_TroyOz)</f>
        <v/>
      </c>
      <c r="O2636" s="59">
        <f>IF(tblMovement[[#This Row],[Is_Ore]]=1,tblMovement[[#This Row],[Contained_oz]],0)</f>
        <v/>
      </c>
    </row>
    <row r="2637">
      <c r="A2637" s="54" t="n"/>
      <c r="B2637" s="61" t="n"/>
      <c r="C2637" s="61" t="n"/>
      <c r="D2637" s="61" t="n"/>
      <c r="E2637" s="61" t="n"/>
      <c r="F2637" s="55" t="n"/>
      <c r="G2637" s="56" t="n"/>
      <c r="H2637" s="55" t="n"/>
      <c r="I2637" s="62" t="n"/>
      <c r="J2637" s="58" t="n"/>
      <c r="K2637" s="63">
        <f>IF(tblMovement[[#This Row],[Source]]="","",IFERROR(INDEX(tblSources[Type],MATCH(tblMovement[[#This Row],[Source]],tblSources[Source],0)),"?"))</f>
        <v/>
      </c>
      <c r="L2637" s="63">
        <f>IF(tblMovement[[#This Row],[Destination]]="","",IFERROR(INDEX(tblDestinations[Type],MATCH(tblMovement[[#This Row],[Destination]],tblDestinations[Destination],0)),"?"))</f>
        <v/>
      </c>
      <c r="M2637" s="64">
        <f>IF(tblMovement[[#This Row],[Material]]="","",IF(LEFT(tblMovement[[#This Row],[Material]],3)="Ore",1,0))</f>
        <v/>
      </c>
      <c r="N2637" s="59">
        <f>IF(OR(tblMovement[[#This Row],[Tonnes_t]]="",tblMovement[[#This Row],[Grade_gpt]]=""),0,tblMovement[[#This Row],[Tonnes_t]]*tblMovement[[#This Row],[Grade_gpt]]/cfg_TroyOz)</f>
        <v/>
      </c>
      <c r="O2637" s="59">
        <f>IF(tblMovement[[#This Row],[Is_Ore]]=1,tblMovement[[#This Row],[Contained_oz]],0)</f>
        <v/>
      </c>
    </row>
    <row r="2638">
      <c r="A2638" s="54" t="n"/>
      <c r="B2638" s="61" t="n"/>
      <c r="C2638" s="61" t="n"/>
      <c r="D2638" s="61" t="n"/>
      <c r="E2638" s="61" t="n"/>
      <c r="F2638" s="55" t="n"/>
      <c r="G2638" s="56" t="n"/>
      <c r="H2638" s="55" t="n"/>
      <c r="I2638" s="62" t="n"/>
      <c r="J2638" s="58" t="n"/>
      <c r="K2638" s="63">
        <f>IF(tblMovement[[#This Row],[Source]]="","",IFERROR(INDEX(tblSources[Type],MATCH(tblMovement[[#This Row],[Source]],tblSources[Source],0)),"?"))</f>
        <v/>
      </c>
      <c r="L2638" s="63">
        <f>IF(tblMovement[[#This Row],[Destination]]="","",IFERROR(INDEX(tblDestinations[Type],MATCH(tblMovement[[#This Row],[Destination]],tblDestinations[Destination],0)),"?"))</f>
        <v/>
      </c>
      <c r="M2638" s="64">
        <f>IF(tblMovement[[#This Row],[Material]]="","",IF(LEFT(tblMovement[[#This Row],[Material]],3)="Ore",1,0))</f>
        <v/>
      </c>
      <c r="N2638" s="59">
        <f>IF(OR(tblMovement[[#This Row],[Tonnes_t]]="",tblMovement[[#This Row],[Grade_gpt]]=""),0,tblMovement[[#This Row],[Tonnes_t]]*tblMovement[[#This Row],[Grade_gpt]]/cfg_TroyOz)</f>
        <v/>
      </c>
      <c r="O2638" s="59">
        <f>IF(tblMovement[[#This Row],[Is_Ore]]=1,tblMovement[[#This Row],[Contained_oz]],0)</f>
        <v/>
      </c>
    </row>
    <row r="2639">
      <c r="A2639" s="54" t="n"/>
      <c r="B2639" s="61" t="n"/>
      <c r="C2639" s="61" t="n"/>
      <c r="D2639" s="61" t="n"/>
      <c r="E2639" s="61" t="n"/>
      <c r="F2639" s="55" t="n"/>
      <c r="G2639" s="56" t="n"/>
      <c r="H2639" s="55" t="n"/>
      <c r="I2639" s="62" t="n"/>
      <c r="J2639" s="58" t="n"/>
      <c r="K2639" s="63">
        <f>IF(tblMovement[[#This Row],[Source]]="","",IFERROR(INDEX(tblSources[Type],MATCH(tblMovement[[#This Row],[Source]],tblSources[Source],0)),"?"))</f>
        <v/>
      </c>
      <c r="L2639" s="63">
        <f>IF(tblMovement[[#This Row],[Destination]]="","",IFERROR(INDEX(tblDestinations[Type],MATCH(tblMovement[[#This Row],[Destination]],tblDestinations[Destination],0)),"?"))</f>
        <v/>
      </c>
      <c r="M2639" s="64">
        <f>IF(tblMovement[[#This Row],[Material]]="","",IF(LEFT(tblMovement[[#This Row],[Material]],3)="Ore",1,0))</f>
        <v/>
      </c>
      <c r="N2639" s="59">
        <f>IF(OR(tblMovement[[#This Row],[Tonnes_t]]="",tblMovement[[#This Row],[Grade_gpt]]=""),0,tblMovement[[#This Row],[Tonnes_t]]*tblMovement[[#This Row],[Grade_gpt]]/cfg_TroyOz)</f>
        <v/>
      </c>
      <c r="O2639" s="59">
        <f>IF(tblMovement[[#This Row],[Is_Ore]]=1,tblMovement[[#This Row],[Contained_oz]],0)</f>
        <v/>
      </c>
    </row>
    <row r="2640">
      <c r="A2640" s="54" t="n"/>
      <c r="B2640" s="61" t="n"/>
      <c r="C2640" s="61" t="n"/>
      <c r="D2640" s="61" t="n"/>
      <c r="E2640" s="61" t="n"/>
      <c r="F2640" s="55" t="n"/>
      <c r="G2640" s="56" t="n"/>
      <c r="H2640" s="55" t="n"/>
      <c r="I2640" s="62" t="n"/>
      <c r="J2640" s="58" t="n"/>
      <c r="K2640" s="63">
        <f>IF(tblMovement[[#This Row],[Source]]="","",IFERROR(INDEX(tblSources[Type],MATCH(tblMovement[[#This Row],[Source]],tblSources[Source],0)),"?"))</f>
        <v/>
      </c>
      <c r="L2640" s="63">
        <f>IF(tblMovement[[#This Row],[Destination]]="","",IFERROR(INDEX(tblDestinations[Type],MATCH(tblMovement[[#This Row],[Destination]],tblDestinations[Destination],0)),"?"))</f>
        <v/>
      </c>
      <c r="M2640" s="64">
        <f>IF(tblMovement[[#This Row],[Material]]="","",IF(LEFT(tblMovement[[#This Row],[Material]],3)="Ore",1,0))</f>
        <v/>
      </c>
      <c r="N2640" s="59">
        <f>IF(OR(tblMovement[[#This Row],[Tonnes_t]]="",tblMovement[[#This Row],[Grade_gpt]]=""),0,tblMovement[[#This Row],[Tonnes_t]]*tblMovement[[#This Row],[Grade_gpt]]/cfg_TroyOz)</f>
        <v/>
      </c>
      <c r="O2640" s="59">
        <f>IF(tblMovement[[#This Row],[Is_Ore]]=1,tblMovement[[#This Row],[Contained_oz]],0)</f>
        <v/>
      </c>
    </row>
    <row r="2641">
      <c r="A2641" s="54" t="n"/>
      <c r="B2641" s="61" t="n"/>
      <c r="C2641" s="61" t="n"/>
      <c r="D2641" s="61" t="n"/>
      <c r="E2641" s="61" t="n"/>
      <c r="F2641" s="55" t="n"/>
      <c r="G2641" s="56" t="n"/>
      <c r="H2641" s="55" t="n"/>
      <c r="I2641" s="62" t="n"/>
      <c r="J2641" s="58" t="n"/>
      <c r="K2641" s="63">
        <f>IF(tblMovement[[#This Row],[Source]]="","",IFERROR(INDEX(tblSources[Type],MATCH(tblMovement[[#This Row],[Source]],tblSources[Source],0)),"?"))</f>
        <v/>
      </c>
      <c r="L2641" s="63">
        <f>IF(tblMovement[[#This Row],[Destination]]="","",IFERROR(INDEX(tblDestinations[Type],MATCH(tblMovement[[#This Row],[Destination]],tblDestinations[Destination],0)),"?"))</f>
        <v/>
      </c>
      <c r="M2641" s="64">
        <f>IF(tblMovement[[#This Row],[Material]]="","",IF(LEFT(tblMovement[[#This Row],[Material]],3)="Ore",1,0))</f>
        <v/>
      </c>
      <c r="N2641" s="59">
        <f>IF(OR(tblMovement[[#This Row],[Tonnes_t]]="",tblMovement[[#This Row],[Grade_gpt]]=""),0,tblMovement[[#This Row],[Tonnes_t]]*tblMovement[[#This Row],[Grade_gpt]]/cfg_TroyOz)</f>
        <v/>
      </c>
      <c r="O2641" s="59">
        <f>IF(tblMovement[[#This Row],[Is_Ore]]=1,tblMovement[[#This Row],[Contained_oz]],0)</f>
        <v/>
      </c>
    </row>
    <row r="2642">
      <c r="A2642" s="54" t="n"/>
      <c r="B2642" s="61" t="n"/>
      <c r="C2642" s="61" t="n"/>
      <c r="D2642" s="61" t="n"/>
      <c r="E2642" s="61" t="n"/>
      <c r="F2642" s="55" t="n"/>
      <c r="G2642" s="56" t="n"/>
      <c r="H2642" s="55" t="n"/>
      <c r="I2642" s="62" t="n"/>
      <c r="J2642" s="58" t="n"/>
      <c r="K2642" s="63">
        <f>IF(tblMovement[[#This Row],[Source]]="","",IFERROR(INDEX(tblSources[Type],MATCH(tblMovement[[#This Row],[Source]],tblSources[Source],0)),"?"))</f>
        <v/>
      </c>
      <c r="L2642" s="63">
        <f>IF(tblMovement[[#This Row],[Destination]]="","",IFERROR(INDEX(tblDestinations[Type],MATCH(tblMovement[[#This Row],[Destination]],tblDestinations[Destination],0)),"?"))</f>
        <v/>
      </c>
      <c r="M2642" s="64">
        <f>IF(tblMovement[[#This Row],[Material]]="","",IF(LEFT(tblMovement[[#This Row],[Material]],3)="Ore",1,0))</f>
        <v/>
      </c>
      <c r="N2642" s="59">
        <f>IF(OR(tblMovement[[#This Row],[Tonnes_t]]="",tblMovement[[#This Row],[Grade_gpt]]=""),0,tblMovement[[#This Row],[Tonnes_t]]*tblMovement[[#This Row],[Grade_gpt]]/cfg_TroyOz)</f>
        <v/>
      </c>
      <c r="O2642" s="59">
        <f>IF(tblMovement[[#This Row],[Is_Ore]]=1,tblMovement[[#This Row],[Contained_oz]],0)</f>
        <v/>
      </c>
    </row>
    <row r="2643">
      <c r="A2643" s="54" t="n"/>
      <c r="B2643" s="61" t="n"/>
      <c r="C2643" s="61" t="n"/>
      <c r="D2643" s="61" t="n"/>
      <c r="E2643" s="61" t="n"/>
      <c r="F2643" s="55" t="n"/>
      <c r="G2643" s="56" t="n"/>
      <c r="H2643" s="55" t="n"/>
      <c r="I2643" s="62" t="n"/>
      <c r="J2643" s="58" t="n"/>
      <c r="K2643" s="63">
        <f>IF(tblMovement[[#This Row],[Source]]="","",IFERROR(INDEX(tblSources[Type],MATCH(tblMovement[[#This Row],[Source]],tblSources[Source],0)),"?"))</f>
        <v/>
      </c>
      <c r="L2643" s="63">
        <f>IF(tblMovement[[#This Row],[Destination]]="","",IFERROR(INDEX(tblDestinations[Type],MATCH(tblMovement[[#This Row],[Destination]],tblDestinations[Destination],0)),"?"))</f>
        <v/>
      </c>
      <c r="M2643" s="64">
        <f>IF(tblMovement[[#This Row],[Material]]="","",IF(LEFT(tblMovement[[#This Row],[Material]],3)="Ore",1,0))</f>
        <v/>
      </c>
      <c r="N2643" s="59">
        <f>IF(OR(tblMovement[[#This Row],[Tonnes_t]]="",tblMovement[[#This Row],[Grade_gpt]]=""),0,tblMovement[[#This Row],[Tonnes_t]]*tblMovement[[#This Row],[Grade_gpt]]/cfg_TroyOz)</f>
        <v/>
      </c>
      <c r="O2643" s="59">
        <f>IF(tblMovement[[#This Row],[Is_Ore]]=1,tblMovement[[#This Row],[Contained_oz]],0)</f>
        <v/>
      </c>
    </row>
    <row r="2644">
      <c r="A2644" s="54" t="n"/>
      <c r="B2644" s="61" t="n"/>
      <c r="C2644" s="61" t="n"/>
      <c r="D2644" s="61" t="n"/>
      <c r="E2644" s="61" t="n"/>
      <c r="F2644" s="55" t="n"/>
      <c r="G2644" s="56" t="n"/>
      <c r="H2644" s="55" t="n"/>
      <c r="I2644" s="62" t="n"/>
      <c r="J2644" s="58" t="n"/>
      <c r="K2644" s="63">
        <f>IF(tblMovement[[#This Row],[Source]]="","",IFERROR(INDEX(tblSources[Type],MATCH(tblMovement[[#This Row],[Source]],tblSources[Source],0)),"?"))</f>
        <v/>
      </c>
      <c r="L2644" s="63">
        <f>IF(tblMovement[[#This Row],[Destination]]="","",IFERROR(INDEX(tblDestinations[Type],MATCH(tblMovement[[#This Row],[Destination]],tblDestinations[Destination],0)),"?"))</f>
        <v/>
      </c>
      <c r="M2644" s="64">
        <f>IF(tblMovement[[#This Row],[Material]]="","",IF(LEFT(tblMovement[[#This Row],[Material]],3)="Ore",1,0))</f>
        <v/>
      </c>
      <c r="N2644" s="59">
        <f>IF(OR(tblMovement[[#This Row],[Tonnes_t]]="",tblMovement[[#This Row],[Grade_gpt]]=""),0,tblMovement[[#This Row],[Tonnes_t]]*tblMovement[[#This Row],[Grade_gpt]]/cfg_TroyOz)</f>
        <v/>
      </c>
      <c r="O2644" s="59">
        <f>IF(tblMovement[[#This Row],[Is_Ore]]=1,tblMovement[[#This Row],[Contained_oz]],0)</f>
        <v/>
      </c>
    </row>
    <row r="2645">
      <c r="A2645" s="54" t="n"/>
      <c r="B2645" s="61" t="n"/>
      <c r="C2645" s="61" t="n"/>
      <c r="D2645" s="61" t="n"/>
      <c r="E2645" s="61" t="n"/>
      <c r="F2645" s="55" t="n"/>
      <c r="G2645" s="56" t="n"/>
      <c r="H2645" s="55" t="n"/>
      <c r="I2645" s="62" t="n"/>
      <c r="J2645" s="58" t="n"/>
      <c r="K2645" s="63">
        <f>IF(tblMovement[[#This Row],[Source]]="","",IFERROR(INDEX(tblSources[Type],MATCH(tblMovement[[#This Row],[Source]],tblSources[Source],0)),"?"))</f>
        <v/>
      </c>
      <c r="L2645" s="63">
        <f>IF(tblMovement[[#This Row],[Destination]]="","",IFERROR(INDEX(tblDestinations[Type],MATCH(tblMovement[[#This Row],[Destination]],tblDestinations[Destination],0)),"?"))</f>
        <v/>
      </c>
      <c r="M2645" s="64">
        <f>IF(tblMovement[[#This Row],[Material]]="","",IF(LEFT(tblMovement[[#This Row],[Material]],3)="Ore",1,0))</f>
        <v/>
      </c>
      <c r="N2645" s="59">
        <f>IF(OR(tblMovement[[#This Row],[Tonnes_t]]="",tblMovement[[#This Row],[Grade_gpt]]=""),0,tblMovement[[#This Row],[Tonnes_t]]*tblMovement[[#This Row],[Grade_gpt]]/cfg_TroyOz)</f>
        <v/>
      </c>
      <c r="O2645" s="59">
        <f>IF(tblMovement[[#This Row],[Is_Ore]]=1,tblMovement[[#This Row],[Contained_oz]],0)</f>
        <v/>
      </c>
    </row>
    <row r="2646">
      <c r="A2646" s="54" t="n"/>
      <c r="B2646" s="61" t="n"/>
      <c r="C2646" s="61" t="n"/>
      <c r="D2646" s="61" t="n"/>
      <c r="E2646" s="61" t="n"/>
      <c r="F2646" s="55" t="n"/>
      <c r="G2646" s="56" t="n"/>
      <c r="H2646" s="55" t="n"/>
      <c r="I2646" s="62" t="n"/>
      <c r="J2646" s="58" t="n"/>
      <c r="K2646" s="63">
        <f>IF(tblMovement[[#This Row],[Source]]="","",IFERROR(INDEX(tblSources[Type],MATCH(tblMovement[[#This Row],[Source]],tblSources[Source],0)),"?"))</f>
        <v/>
      </c>
      <c r="L2646" s="63">
        <f>IF(tblMovement[[#This Row],[Destination]]="","",IFERROR(INDEX(tblDestinations[Type],MATCH(tblMovement[[#This Row],[Destination]],tblDestinations[Destination],0)),"?"))</f>
        <v/>
      </c>
      <c r="M2646" s="64">
        <f>IF(tblMovement[[#This Row],[Material]]="","",IF(LEFT(tblMovement[[#This Row],[Material]],3)="Ore",1,0))</f>
        <v/>
      </c>
      <c r="N2646" s="59">
        <f>IF(OR(tblMovement[[#This Row],[Tonnes_t]]="",tblMovement[[#This Row],[Grade_gpt]]=""),0,tblMovement[[#This Row],[Tonnes_t]]*tblMovement[[#This Row],[Grade_gpt]]/cfg_TroyOz)</f>
        <v/>
      </c>
      <c r="O2646" s="59">
        <f>IF(tblMovement[[#This Row],[Is_Ore]]=1,tblMovement[[#This Row],[Contained_oz]],0)</f>
        <v/>
      </c>
    </row>
    <row r="2647">
      <c r="A2647" s="54" t="n"/>
      <c r="B2647" s="61" t="n"/>
      <c r="C2647" s="61" t="n"/>
      <c r="D2647" s="61" t="n"/>
      <c r="E2647" s="61" t="n"/>
      <c r="F2647" s="55" t="n"/>
      <c r="G2647" s="56" t="n"/>
      <c r="H2647" s="55" t="n"/>
      <c r="I2647" s="62" t="n"/>
      <c r="J2647" s="58" t="n"/>
      <c r="K2647" s="63">
        <f>IF(tblMovement[[#This Row],[Source]]="","",IFERROR(INDEX(tblSources[Type],MATCH(tblMovement[[#This Row],[Source]],tblSources[Source],0)),"?"))</f>
        <v/>
      </c>
      <c r="L2647" s="63">
        <f>IF(tblMovement[[#This Row],[Destination]]="","",IFERROR(INDEX(tblDestinations[Type],MATCH(tblMovement[[#This Row],[Destination]],tblDestinations[Destination],0)),"?"))</f>
        <v/>
      </c>
      <c r="M2647" s="64">
        <f>IF(tblMovement[[#This Row],[Material]]="","",IF(LEFT(tblMovement[[#This Row],[Material]],3)="Ore",1,0))</f>
        <v/>
      </c>
      <c r="N2647" s="59">
        <f>IF(OR(tblMovement[[#This Row],[Tonnes_t]]="",tblMovement[[#This Row],[Grade_gpt]]=""),0,tblMovement[[#This Row],[Tonnes_t]]*tblMovement[[#This Row],[Grade_gpt]]/cfg_TroyOz)</f>
        <v/>
      </c>
      <c r="O2647" s="59">
        <f>IF(tblMovement[[#This Row],[Is_Ore]]=1,tblMovement[[#This Row],[Contained_oz]],0)</f>
        <v/>
      </c>
    </row>
    <row r="2648">
      <c r="A2648" s="54" t="n"/>
      <c r="B2648" s="61" t="n"/>
      <c r="C2648" s="61" t="n"/>
      <c r="D2648" s="61" t="n"/>
      <c r="E2648" s="61" t="n"/>
      <c r="F2648" s="55" t="n"/>
      <c r="G2648" s="56" t="n"/>
      <c r="H2648" s="55" t="n"/>
      <c r="I2648" s="62" t="n"/>
      <c r="J2648" s="58" t="n"/>
      <c r="K2648" s="63">
        <f>IF(tblMovement[[#This Row],[Source]]="","",IFERROR(INDEX(tblSources[Type],MATCH(tblMovement[[#This Row],[Source]],tblSources[Source],0)),"?"))</f>
        <v/>
      </c>
      <c r="L2648" s="63">
        <f>IF(tblMovement[[#This Row],[Destination]]="","",IFERROR(INDEX(tblDestinations[Type],MATCH(tblMovement[[#This Row],[Destination]],tblDestinations[Destination],0)),"?"))</f>
        <v/>
      </c>
      <c r="M2648" s="64">
        <f>IF(tblMovement[[#This Row],[Material]]="","",IF(LEFT(tblMovement[[#This Row],[Material]],3)="Ore",1,0))</f>
        <v/>
      </c>
      <c r="N2648" s="59">
        <f>IF(OR(tblMovement[[#This Row],[Tonnes_t]]="",tblMovement[[#This Row],[Grade_gpt]]=""),0,tblMovement[[#This Row],[Tonnes_t]]*tblMovement[[#This Row],[Grade_gpt]]/cfg_TroyOz)</f>
        <v/>
      </c>
      <c r="O2648" s="59">
        <f>IF(tblMovement[[#This Row],[Is_Ore]]=1,tblMovement[[#This Row],[Contained_oz]],0)</f>
        <v/>
      </c>
    </row>
    <row r="2649">
      <c r="A2649" s="54" t="n"/>
      <c r="B2649" s="61" t="n"/>
      <c r="C2649" s="61" t="n"/>
      <c r="D2649" s="61" t="n"/>
      <c r="E2649" s="61" t="n"/>
      <c r="F2649" s="55" t="n"/>
      <c r="G2649" s="56" t="n"/>
      <c r="H2649" s="55" t="n"/>
      <c r="I2649" s="62" t="n"/>
      <c r="J2649" s="58" t="n"/>
      <c r="K2649" s="63">
        <f>IF(tblMovement[[#This Row],[Source]]="","",IFERROR(INDEX(tblSources[Type],MATCH(tblMovement[[#This Row],[Source]],tblSources[Source],0)),"?"))</f>
        <v/>
      </c>
      <c r="L2649" s="63">
        <f>IF(tblMovement[[#This Row],[Destination]]="","",IFERROR(INDEX(tblDestinations[Type],MATCH(tblMovement[[#This Row],[Destination]],tblDestinations[Destination],0)),"?"))</f>
        <v/>
      </c>
      <c r="M2649" s="64">
        <f>IF(tblMovement[[#This Row],[Material]]="","",IF(LEFT(tblMovement[[#This Row],[Material]],3)="Ore",1,0))</f>
        <v/>
      </c>
      <c r="N2649" s="59">
        <f>IF(OR(tblMovement[[#This Row],[Tonnes_t]]="",tblMovement[[#This Row],[Grade_gpt]]=""),0,tblMovement[[#This Row],[Tonnes_t]]*tblMovement[[#This Row],[Grade_gpt]]/cfg_TroyOz)</f>
        <v/>
      </c>
      <c r="O2649" s="59">
        <f>IF(tblMovement[[#This Row],[Is_Ore]]=1,tblMovement[[#This Row],[Contained_oz]],0)</f>
        <v/>
      </c>
    </row>
    <row r="2650">
      <c r="A2650" s="54" t="n"/>
      <c r="B2650" s="61" t="n"/>
      <c r="C2650" s="61" t="n"/>
      <c r="D2650" s="61" t="n"/>
      <c r="E2650" s="61" t="n"/>
      <c r="F2650" s="55" t="n"/>
      <c r="G2650" s="56" t="n"/>
      <c r="H2650" s="55" t="n"/>
      <c r="I2650" s="62" t="n"/>
      <c r="J2650" s="58" t="n"/>
      <c r="K2650" s="63">
        <f>IF(tblMovement[[#This Row],[Source]]="","",IFERROR(INDEX(tblSources[Type],MATCH(tblMovement[[#This Row],[Source]],tblSources[Source],0)),"?"))</f>
        <v/>
      </c>
      <c r="L2650" s="63">
        <f>IF(tblMovement[[#This Row],[Destination]]="","",IFERROR(INDEX(tblDestinations[Type],MATCH(tblMovement[[#This Row],[Destination]],tblDestinations[Destination],0)),"?"))</f>
        <v/>
      </c>
      <c r="M2650" s="64">
        <f>IF(tblMovement[[#This Row],[Material]]="","",IF(LEFT(tblMovement[[#This Row],[Material]],3)="Ore",1,0))</f>
        <v/>
      </c>
      <c r="N2650" s="59">
        <f>IF(OR(tblMovement[[#This Row],[Tonnes_t]]="",tblMovement[[#This Row],[Grade_gpt]]=""),0,tblMovement[[#This Row],[Tonnes_t]]*tblMovement[[#This Row],[Grade_gpt]]/cfg_TroyOz)</f>
        <v/>
      </c>
      <c r="O2650" s="59">
        <f>IF(tblMovement[[#This Row],[Is_Ore]]=1,tblMovement[[#This Row],[Contained_oz]],0)</f>
        <v/>
      </c>
    </row>
    <row r="2651">
      <c r="A2651" s="54" t="n"/>
      <c r="B2651" s="61" t="n"/>
      <c r="C2651" s="61" t="n"/>
      <c r="D2651" s="61" t="n"/>
      <c r="E2651" s="61" t="n"/>
      <c r="F2651" s="55" t="n"/>
      <c r="G2651" s="56" t="n"/>
      <c r="H2651" s="55" t="n"/>
      <c r="I2651" s="62" t="n"/>
      <c r="J2651" s="58" t="n"/>
      <c r="K2651" s="63">
        <f>IF(tblMovement[[#This Row],[Source]]="","",IFERROR(INDEX(tblSources[Type],MATCH(tblMovement[[#This Row],[Source]],tblSources[Source],0)),"?"))</f>
        <v/>
      </c>
      <c r="L2651" s="63">
        <f>IF(tblMovement[[#This Row],[Destination]]="","",IFERROR(INDEX(tblDestinations[Type],MATCH(tblMovement[[#This Row],[Destination]],tblDestinations[Destination],0)),"?"))</f>
        <v/>
      </c>
      <c r="M2651" s="64">
        <f>IF(tblMovement[[#This Row],[Material]]="","",IF(LEFT(tblMovement[[#This Row],[Material]],3)="Ore",1,0))</f>
        <v/>
      </c>
      <c r="N2651" s="59">
        <f>IF(OR(tblMovement[[#This Row],[Tonnes_t]]="",tblMovement[[#This Row],[Grade_gpt]]=""),0,tblMovement[[#This Row],[Tonnes_t]]*tblMovement[[#This Row],[Grade_gpt]]/cfg_TroyOz)</f>
        <v/>
      </c>
      <c r="O2651" s="59">
        <f>IF(tblMovement[[#This Row],[Is_Ore]]=1,tblMovement[[#This Row],[Contained_oz]],0)</f>
        <v/>
      </c>
    </row>
    <row r="2652">
      <c r="A2652" s="54" t="n"/>
      <c r="B2652" s="61" t="n"/>
      <c r="C2652" s="61" t="n"/>
      <c r="D2652" s="61" t="n"/>
      <c r="E2652" s="61" t="n"/>
      <c r="F2652" s="55" t="n"/>
      <c r="G2652" s="56" t="n"/>
      <c r="H2652" s="55" t="n"/>
      <c r="I2652" s="62" t="n"/>
      <c r="J2652" s="58" t="n"/>
      <c r="K2652" s="63">
        <f>IF(tblMovement[[#This Row],[Source]]="","",IFERROR(INDEX(tblSources[Type],MATCH(tblMovement[[#This Row],[Source]],tblSources[Source],0)),"?"))</f>
        <v/>
      </c>
      <c r="L2652" s="63">
        <f>IF(tblMovement[[#This Row],[Destination]]="","",IFERROR(INDEX(tblDestinations[Type],MATCH(tblMovement[[#This Row],[Destination]],tblDestinations[Destination],0)),"?"))</f>
        <v/>
      </c>
      <c r="M2652" s="64">
        <f>IF(tblMovement[[#This Row],[Material]]="","",IF(LEFT(tblMovement[[#This Row],[Material]],3)="Ore",1,0))</f>
        <v/>
      </c>
      <c r="N2652" s="59">
        <f>IF(OR(tblMovement[[#This Row],[Tonnes_t]]="",tblMovement[[#This Row],[Grade_gpt]]=""),0,tblMovement[[#This Row],[Tonnes_t]]*tblMovement[[#This Row],[Grade_gpt]]/cfg_TroyOz)</f>
        <v/>
      </c>
      <c r="O2652" s="59">
        <f>IF(tblMovement[[#This Row],[Is_Ore]]=1,tblMovement[[#This Row],[Contained_oz]],0)</f>
        <v/>
      </c>
    </row>
    <row r="2653">
      <c r="A2653" s="54" t="n"/>
      <c r="B2653" s="61" t="n"/>
      <c r="C2653" s="61" t="n"/>
      <c r="D2653" s="61" t="n"/>
      <c r="E2653" s="61" t="n"/>
      <c r="F2653" s="55" t="n"/>
      <c r="G2653" s="56" t="n"/>
      <c r="H2653" s="55" t="n"/>
      <c r="I2653" s="62" t="n"/>
      <c r="J2653" s="58" t="n"/>
      <c r="K2653" s="63">
        <f>IF(tblMovement[[#This Row],[Source]]="","",IFERROR(INDEX(tblSources[Type],MATCH(tblMovement[[#This Row],[Source]],tblSources[Source],0)),"?"))</f>
        <v/>
      </c>
      <c r="L2653" s="63">
        <f>IF(tblMovement[[#This Row],[Destination]]="","",IFERROR(INDEX(tblDestinations[Type],MATCH(tblMovement[[#This Row],[Destination]],tblDestinations[Destination],0)),"?"))</f>
        <v/>
      </c>
      <c r="M2653" s="64">
        <f>IF(tblMovement[[#This Row],[Material]]="","",IF(LEFT(tblMovement[[#This Row],[Material]],3)="Ore",1,0))</f>
        <v/>
      </c>
      <c r="N2653" s="59">
        <f>IF(OR(tblMovement[[#This Row],[Tonnes_t]]="",tblMovement[[#This Row],[Grade_gpt]]=""),0,tblMovement[[#This Row],[Tonnes_t]]*tblMovement[[#This Row],[Grade_gpt]]/cfg_TroyOz)</f>
        <v/>
      </c>
      <c r="O2653" s="59">
        <f>IF(tblMovement[[#This Row],[Is_Ore]]=1,tblMovement[[#This Row],[Contained_oz]],0)</f>
        <v/>
      </c>
    </row>
    <row r="2654">
      <c r="A2654" s="54" t="n"/>
      <c r="B2654" s="61" t="n"/>
      <c r="C2654" s="61" t="n"/>
      <c r="D2654" s="61" t="n"/>
      <c r="E2654" s="61" t="n"/>
      <c r="F2654" s="55" t="n"/>
      <c r="G2654" s="56" t="n"/>
      <c r="H2654" s="55" t="n"/>
      <c r="I2654" s="62" t="n"/>
      <c r="J2654" s="58" t="n"/>
      <c r="K2654" s="63">
        <f>IF(tblMovement[[#This Row],[Source]]="","",IFERROR(INDEX(tblSources[Type],MATCH(tblMovement[[#This Row],[Source]],tblSources[Source],0)),"?"))</f>
        <v/>
      </c>
      <c r="L2654" s="63">
        <f>IF(tblMovement[[#This Row],[Destination]]="","",IFERROR(INDEX(tblDestinations[Type],MATCH(tblMovement[[#This Row],[Destination]],tblDestinations[Destination],0)),"?"))</f>
        <v/>
      </c>
      <c r="M2654" s="64">
        <f>IF(tblMovement[[#This Row],[Material]]="","",IF(LEFT(tblMovement[[#This Row],[Material]],3)="Ore",1,0))</f>
        <v/>
      </c>
      <c r="N2654" s="59">
        <f>IF(OR(tblMovement[[#This Row],[Tonnes_t]]="",tblMovement[[#This Row],[Grade_gpt]]=""),0,tblMovement[[#This Row],[Tonnes_t]]*tblMovement[[#This Row],[Grade_gpt]]/cfg_TroyOz)</f>
        <v/>
      </c>
      <c r="O2654" s="59">
        <f>IF(tblMovement[[#This Row],[Is_Ore]]=1,tblMovement[[#This Row],[Contained_oz]],0)</f>
        <v/>
      </c>
    </row>
    <row r="2655">
      <c r="A2655" s="54" t="n"/>
      <c r="B2655" s="61" t="n"/>
      <c r="C2655" s="61" t="n"/>
      <c r="D2655" s="61" t="n"/>
      <c r="E2655" s="61" t="n"/>
      <c r="F2655" s="55" t="n"/>
      <c r="G2655" s="56" t="n"/>
      <c r="H2655" s="55" t="n"/>
      <c r="I2655" s="62" t="n"/>
      <c r="J2655" s="58" t="n"/>
      <c r="K2655" s="63">
        <f>IF(tblMovement[[#This Row],[Source]]="","",IFERROR(INDEX(tblSources[Type],MATCH(tblMovement[[#This Row],[Source]],tblSources[Source],0)),"?"))</f>
        <v/>
      </c>
      <c r="L2655" s="63">
        <f>IF(tblMovement[[#This Row],[Destination]]="","",IFERROR(INDEX(tblDestinations[Type],MATCH(tblMovement[[#This Row],[Destination]],tblDestinations[Destination],0)),"?"))</f>
        <v/>
      </c>
      <c r="M2655" s="64">
        <f>IF(tblMovement[[#This Row],[Material]]="","",IF(LEFT(tblMovement[[#This Row],[Material]],3)="Ore",1,0))</f>
        <v/>
      </c>
      <c r="N2655" s="59">
        <f>IF(OR(tblMovement[[#This Row],[Tonnes_t]]="",tblMovement[[#This Row],[Grade_gpt]]=""),0,tblMovement[[#This Row],[Tonnes_t]]*tblMovement[[#This Row],[Grade_gpt]]/cfg_TroyOz)</f>
        <v/>
      </c>
      <c r="O2655" s="59">
        <f>IF(tblMovement[[#This Row],[Is_Ore]]=1,tblMovement[[#This Row],[Contained_oz]],0)</f>
        <v/>
      </c>
    </row>
    <row r="2656">
      <c r="A2656" s="54" t="n"/>
      <c r="B2656" s="61" t="n"/>
      <c r="C2656" s="61" t="n"/>
      <c r="D2656" s="61" t="n"/>
      <c r="E2656" s="61" t="n"/>
      <c r="F2656" s="55" t="n"/>
      <c r="G2656" s="56" t="n"/>
      <c r="H2656" s="55" t="n"/>
      <c r="I2656" s="62" t="n"/>
      <c r="J2656" s="58" t="n"/>
      <c r="K2656" s="63">
        <f>IF(tblMovement[[#This Row],[Source]]="","",IFERROR(INDEX(tblSources[Type],MATCH(tblMovement[[#This Row],[Source]],tblSources[Source],0)),"?"))</f>
        <v/>
      </c>
      <c r="L2656" s="63">
        <f>IF(tblMovement[[#This Row],[Destination]]="","",IFERROR(INDEX(tblDestinations[Type],MATCH(tblMovement[[#This Row],[Destination]],tblDestinations[Destination],0)),"?"))</f>
        <v/>
      </c>
      <c r="M2656" s="64">
        <f>IF(tblMovement[[#This Row],[Material]]="","",IF(LEFT(tblMovement[[#This Row],[Material]],3)="Ore",1,0))</f>
        <v/>
      </c>
      <c r="N2656" s="59">
        <f>IF(OR(tblMovement[[#This Row],[Tonnes_t]]="",tblMovement[[#This Row],[Grade_gpt]]=""),0,tblMovement[[#This Row],[Tonnes_t]]*tblMovement[[#This Row],[Grade_gpt]]/cfg_TroyOz)</f>
        <v/>
      </c>
      <c r="O2656" s="59">
        <f>IF(tblMovement[[#This Row],[Is_Ore]]=1,tblMovement[[#This Row],[Contained_oz]],0)</f>
        <v/>
      </c>
    </row>
    <row r="2657">
      <c r="A2657" s="54" t="n"/>
      <c r="B2657" s="61" t="n"/>
      <c r="C2657" s="61" t="n"/>
      <c r="D2657" s="61" t="n"/>
      <c r="E2657" s="61" t="n"/>
      <c r="F2657" s="55" t="n"/>
      <c r="G2657" s="56" t="n"/>
      <c r="H2657" s="55" t="n"/>
      <c r="I2657" s="62" t="n"/>
      <c r="J2657" s="58" t="n"/>
      <c r="K2657" s="63">
        <f>IF(tblMovement[[#This Row],[Source]]="","",IFERROR(INDEX(tblSources[Type],MATCH(tblMovement[[#This Row],[Source]],tblSources[Source],0)),"?"))</f>
        <v/>
      </c>
      <c r="L2657" s="63">
        <f>IF(tblMovement[[#This Row],[Destination]]="","",IFERROR(INDEX(tblDestinations[Type],MATCH(tblMovement[[#This Row],[Destination]],tblDestinations[Destination],0)),"?"))</f>
        <v/>
      </c>
      <c r="M2657" s="64">
        <f>IF(tblMovement[[#This Row],[Material]]="","",IF(LEFT(tblMovement[[#This Row],[Material]],3)="Ore",1,0))</f>
        <v/>
      </c>
      <c r="N2657" s="59">
        <f>IF(OR(tblMovement[[#This Row],[Tonnes_t]]="",tblMovement[[#This Row],[Grade_gpt]]=""),0,tblMovement[[#This Row],[Tonnes_t]]*tblMovement[[#This Row],[Grade_gpt]]/cfg_TroyOz)</f>
        <v/>
      </c>
      <c r="O2657" s="59">
        <f>IF(tblMovement[[#This Row],[Is_Ore]]=1,tblMovement[[#This Row],[Contained_oz]],0)</f>
        <v/>
      </c>
    </row>
    <row r="2658">
      <c r="A2658" s="54" t="n"/>
      <c r="B2658" s="61" t="n"/>
      <c r="C2658" s="61" t="n"/>
      <c r="D2658" s="61" t="n"/>
      <c r="E2658" s="61" t="n"/>
      <c r="F2658" s="55" t="n"/>
      <c r="G2658" s="56" t="n"/>
      <c r="H2658" s="55" t="n"/>
      <c r="I2658" s="62" t="n"/>
      <c r="J2658" s="58" t="n"/>
      <c r="K2658" s="63">
        <f>IF(tblMovement[[#This Row],[Source]]="","",IFERROR(INDEX(tblSources[Type],MATCH(tblMovement[[#This Row],[Source]],tblSources[Source],0)),"?"))</f>
        <v/>
      </c>
      <c r="L2658" s="63">
        <f>IF(tblMovement[[#This Row],[Destination]]="","",IFERROR(INDEX(tblDestinations[Type],MATCH(tblMovement[[#This Row],[Destination]],tblDestinations[Destination],0)),"?"))</f>
        <v/>
      </c>
      <c r="M2658" s="64">
        <f>IF(tblMovement[[#This Row],[Material]]="","",IF(LEFT(tblMovement[[#This Row],[Material]],3)="Ore",1,0))</f>
        <v/>
      </c>
      <c r="N2658" s="59">
        <f>IF(OR(tblMovement[[#This Row],[Tonnes_t]]="",tblMovement[[#This Row],[Grade_gpt]]=""),0,tblMovement[[#This Row],[Tonnes_t]]*tblMovement[[#This Row],[Grade_gpt]]/cfg_TroyOz)</f>
        <v/>
      </c>
      <c r="O2658" s="59">
        <f>IF(tblMovement[[#This Row],[Is_Ore]]=1,tblMovement[[#This Row],[Contained_oz]],0)</f>
        <v/>
      </c>
    </row>
    <row r="2659">
      <c r="A2659" s="54" t="n"/>
      <c r="B2659" s="61" t="n"/>
      <c r="C2659" s="61" t="n"/>
      <c r="D2659" s="61" t="n"/>
      <c r="E2659" s="61" t="n"/>
      <c r="F2659" s="55" t="n"/>
      <c r="G2659" s="56" t="n"/>
      <c r="H2659" s="55" t="n"/>
      <c r="I2659" s="62" t="n"/>
      <c r="J2659" s="58" t="n"/>
      <c r="K2659" s="63">
        <f>IF(tblMovement[[#This Row],[Source]]="","",IFERROR(INDEX(tblSources[Type],MATCH(tblMovement[[#This Row],[Source]],tblSources[Source],0)),"?"))</f>
        <v/>
      </c>
      <c r="L2659" s="63">
        <f>IF(tblMovement[[#This Row],[Destination]]="","",IFERROR(INDEX(tblDestinations[Type],MATCH(tblMovement[[#This Row],[Destination]],tblDestinations[Destination],0)),"?"))</f>
        <v/>
      </c>
      <c r="M2659" s="64">
        <f>IF(tblMovement[[#This Row],[Material]]="","",IF(LEFT(tblMovement[[#This Row],[Material]],3)="Ore",1,0))</f>
        <v/>
      </c>
      <c r="N2659" s="59">
        <f>IF(OR(tblMovement[[#This Row],[Tonnes_t]]="",tblMovement[[#This Row],[Grade_gpt]]=""),0,tblMovement[[#This Row],[Tonnes_t]]*tblMovement[[#This Row],[Grade_gpt]]/cfg_TroyOz)</f>
        <v/>
      </c>
      <c r="O2659" s="59">
        <f>IF(tblMovement[[#This Row],[Is_Ore]]=1,tblMovement[[#This Row],[Contained_oz]],0)</f>
        <v/>
      </c>
    </row>
    <row r="2660">
      <c r="A2660" s="54" t="n"/>
      <c r="B2660" s="61" t="n"/>
      <c r="C2660" s="61" t="n"/>
      <c r="D2660" s="61" t="n"/>
      <c r="E2660" s="61" t="n"/>
      <c r="F2660" s="55" t="n"/>
      <c r="G2660" s="56" t="n"/>
      <c r="H2660" s="55" t="n"/>
      <c r="I2660" s="62" t="n"/>
      <c r="J2660" s="58" t="n"/>
      <c r="K2660" s="63">
        <f>IF(tblMovement[[#This Row],[Source]]="","",IFERROR(INDEX(tblSources[Type],MATCH(tblMovement[[#This Row],[Source]],tblSources[Source],0)),"?"))</f>
        <v/>
      </c>
      <c r="L2660" s="63">
        <f>IF(tblMovement[[#This Row],[Destination]]="","",IFERROR(INDEX(tblDestinations[Type],MATCH(tblMovement[[#This Row],[Destination]],tblDestinations[Destination],0)),"?"))</f>
        <v/>
      </c>
      <c r="M2660" s="64">
        <f>IF(tblMovement[[#This Row],[Material]]="","",IF(LEFT(tblMovement[[#This Row],[Material]],3)="Ore",1,0))</f>
        <v/>
      </c>
      <c r="N2660" s="59">
        <f>IF(OR(tblMovement[[#This Row],[Tonnes_t]]="",tblMovement[[#This Row],[Grade_gpt]]=""),0,tblMovement[[#This Row],[Tonnes_t]]*tblMovement[[#This Row],[Grade_gpt]]/cfg_TroyOz)</f>
        <v/>
      </c>
      <c r="O2660" s="59">
        <f>IF(tblMovement[[#This Row],[Is_Ore]]=1,tblMovement[[#This Row],[Contained_oz]],0)</f>
        <v/>
      </c>
    </row>
    <row r="2661">
      <c r="A2661" s="54" t="n"/>
      <c r="B2661" s="61" t="n"/>
      <c r="C2661" s="61" t="n"/>
      <c r="D2661" s="61" t="n"/>
      <c r="E2661" s="61" t="n"/>
      <c r="F2661" s="55" t="n"/>
      <c r="G2661" s="56" t="n"/>
      <c r="H2661" s="55" t="n"/>
      <c r="I2661" s="62" t="n"/>
      <c r="J2661" s="58" t="n"/>
      <c r="K2661" s="63">
        <f>IF(tblMovement[[#This Row],[Source]]="","",IFERROR(INDEX(tblSources[Type],MATCH(tblMovement[[#This Row],[Source]],tblSources[Source],0)),"?"))</f>
        <v/>
      </c>
      <c r="L2661" s="63">
        <f>IF(tblMovement[[#This Row],[Destination]]="","",IFERROR(INDEX(tblDestinations[Type],MATCH(tblMovement[[#This Row],[Destination]],tblDestinations[Destination],0)),"?"))</f>
        <v/>
      </c>
      <c r="M2661" s="64">
        <f>IF(tblMovement[[#This Row],[Material]]="","",IF(LEFT(tblMovement[[#This Row],[Material]],3)="Ore",1,0))</f>
        <v/>
      </c>
      <c r="N2661" s="59">
        <f>IF(OR(tblMovement[[#This Row],[Tonnes_t]]="",tblMovement[[#This Row],[Grade_gpt]]=""),0,tblMovement[[#This Row],[Tonnes_t]]*tblMovement[[#This Row],[Grade_gpt]]/cfg_TroyOz)</f>
        <v/>
      </c>
      <c r="O2661" s="59">
        <f>IF(tblMovement[[#This Row],[Is_Ore]]=1,tblMovement[[#This Row],[Contained_oz]],0)</f>
        <v/>
      </c>
    </row>
    <row r="2662">
      <c r="A2662" s="54" t="n"/>
      <c r="B2662" s="61" t="n"/>
      <c r="C2662" s="61" t="n"/>
      <c r="D2662" s="61" t="n"/>
      <c r="E2662" s="61" t="n"/>
      <c r="F2662" s="55" t="n"/>
      <c r="G2662" s="56" t="n"/>
      <c r="H2662" s="55" t="n"/>
      <c r="I2662" s="62" t="n"/>
      <c r="J2662" s="58" t="n"/>
      <c r="K2662" s="63">
        <f>IF(tblMovement[[#This Row],[Source]]="","",IFERROR(INDEX(tblSources[Type],MATCH(tblMovement[[#This Row],[Source]],tblSources[Source],0)),"?"))</f>
        <v/>
      </c>
      <c r="L2662" s="63">
        <f>IF(tblMovement[[#This Row],[Destination]]="","",IFERROR(INDEX(tblDestinations[Type],MATCH(tblMovement[[#This Row],[Destination]],tblDestinations[Destination],0)),"?"))</f>
        <v/>
      </c>
      <c r="M2662" s="64">
        <f>IF(tblMovement[[#This Row],[Material]]="","",IF(LEFT(tblMovement[[#This Row],[Material]],3)="Ore",1,0))</f>
        <v/>
      </c>
      <c r="N2662" s="59">
        <f>IF(OR(tblMovement[[#This Row],[Tonnes_t]]="",tblMovement[[#This Row],[Grade_gpt]]=""),0,tblMovement[[#This Row],[Tonnes_t]]*tblMovement[[#This Row],[Grade_gpt]]/cfg_TroyOz)</f>
        <v/>
      </c>
      <c r="O2662" s="59">
        <f>IF(tblMovement[[#This Row],[Is_Ore]]=1,tblMovement[[#This Row],[Contained_oz]],0)</f>
        <v/>
      </c>
    </row>
    <row r="2663">
      <c r="A2663" s="54" t="n"/>
      <c r="B2663" s="61" t="n"/>
      <c r="C2663" s="61" t="n"/>
      <c r="D2663" s="61" t="n"/>
      <c r="E2663" s="61" t="n"/>
      <c r="F2663" s="55" t="n"/>
      <c r="G2663" s="56" t="n"/>
      <c r="H2663" s="55" t="n"/>
      <c r="I2663" s="62" t="n"/>
      <c r="J2663" s="58" t="n"/>
      <c r="K2663" s="63">
        <f>IF(tblMovement[[#This Row],[Source]]="","",IFERROR(INDEX(tblSources[Type],MATCH(tblMovement[[#This Row],[Source]],tblSources[Source],0)),"?"))</f>
        <v/>
      </c>
      <c r="L2663" s="63">
        <f>IF(tblMovement[[#This Row],[Destination]]="","",IFERROR(INDEX(tblDestinations[Type],MATCH(tblMovement[[#This Row],[Destination]],tblDestinations[Destination],0)),"?"))</f>
        <v/>
      </c>
      <c r="M2663" s="64">
        <f>IF(tblMovement[[#This Row],[Material]]="","",IF(LEFT(tblMovement[[#This Row],[Material]],3)="Ore",1,0))</f>
        <v/>
      </c>
      <c r="N2663" s="59">
        <f>IF(OR(tblMovement[[#This Row],[Tonnes_t]]="",tblMovement[[#This Row],[Grade_gpt]]=""),0,tblMovement[[#This Row],[Tonnes_t]]*tblMovement[[#This Row],[Grade_gpt]]/cfg_TroyOz)</f>
        <v/>
      </c>
      <c r="O2663" s="59">
        <f>IF(tblMovement[[#This Row],[Is_Ore]]=1,tblMovement[[#This Row],[Contained_oz]],0)</f>
        <v/>
      </c>
    </row>
    <row r="2664">
      <c r="A2664" s="54" t="n"/>
      <c r="B2664" s="61" t="n"/>
      <c r="C2664" s="61" t="n"/>
      <c r="D2664" s="61" t="n"/>
      <c r="E2664" s="61" t="n"/>
      <c r="F2664" s="55" t="n"/>
      <c r="G2664" s="56" t="n"/>
      <c r="H2664" s="55" t="n"/>
      <c r="I2664" s="62" t="n"/>
      <c r="J2664" s="58" t="n"/>
      <c r="K2664" s="63">
        <f>IF(tblMovement[[#This Row],[Source]]="","",IFERROR(INDEX(tblSources[Type],MATCH(tblMovement[[#This Row],[Source]],tblSources[Source],0)),"?"))</f>
        <v/>
      </c>
      <c r="L2664" s="63">
        <f>IF(tblMovement[[#This Row],[Destination]]="","",IFERROR(INDEX(tblDestinations[Type],MATCH(tblMovement[[#This Row],[Destination]],tblDestinations[Destination],0)),"?"))</f>
        <v/>
      </c>
      <c r="M2664" s="64">
        <f>IF(tblMovement[[#This Row],[Material]]="","",IF(LEFT(tblMovement[[#This Row],[Material]],3)="Ore",1,0))</f>
        <v/>
      </c>
      <c r="N2664" s="59">
        <f>IF(OR(tblMovement[[#This Row],[Tonnes_t]]="",tblMovement[[#This Row],[Grade_gpt]]=""),0,tblMovement[[#This Row],[Tonnes_t]]*tblMovement[[#This Row],[Grade_gpt]]/cfg_TroyOz)</f>
        <v/>
      </c>
      <c r="O2664" s="59">
        <f>IF(tblMovement[[#This Row],[Is_Ore]]=1,tblMovement[[#This Row],[Contained_oz]],0)</f>
        <v/>
      </c>
    </row>
    <row r="2665">
      <c r="A2665" s="54" t="n"/>
      <c r="B2665" s="61" t="n"/>
      <c r="C2665" s="61" t="n"/>
      <c r="D2665" s="61" t="n"/>
      <c r="E2665" s="61" t="n"/>
      <c r="F2665" s="55" t="n"/>
      <c r="G2665" s="56" t="n"/>
      <c r="H2665" s="55" t="n"/>
      <c r="I2665" s="62" t="n"/>
      <c r="J2665" s="58" t="n"/>
      <c r="K2665" s="63">
        <f>IF(tblMovement[[#This Row],[Source]]="","",IFERROR(INDEX(tblSources[Type],MATCH(tblMovement[[#This Row],[Source]],tblSources[Source],0)),"?"))</f>
        <v/>
      </c>
      <c r="L2665" s="63">
        <f>IF(tblMovement[[#This Row],[Destination]]="","",IFERROR(INDEX(tblDestinations[Type],MATCH(tblMovement[[#This Row],[Destination]],tblDestinations[Destination],0)),"?"))</f>
        <v/>
      </c>
      <c r="M2665" s="64">
        <f>IF(tblMovement[[#This Row],[Material]]="","",IF(LEFT(tblMovement[[#This Row],[Material]],3)="Ore",1,0))</f>
        <v/>
      </c>
      <c r="N2665" s="59">
        <f>IF(OR(tblMovement[[#This Row],[Tonnes_t]]="",tblMovement[[#This Row],[Grade_gpt]]=""),0,tblMovement[[#This Row],[Tonnes_t]]*tblMovement[[#This Row],[Grade_gpt]]/cfg_TroyOz)</f>
        <v/>
      </c>
      <c r="O2665" s="59">
        <f>IF(tblMovement[[#This Row],[Is_Ore]]=1,tblMovement[[#This Row],[Contained_oz]],0)</f>
        <v/>
      </c>
    </row>
    <row r="2666">
      <c r="A2666" s="54" t="n"/>
      <c r="B2666" s="61" t="n"/>
      <c r="C2666" s="61" t="n"/>
      <c r="D2666" s="61" t="n"/>
      <c r="E2666" s="61" t="n"/>
      <c r="F2666" s="55" t="n"/>
      <c r="G2666" s="56" t="n"/>
      <c r="H2666" s="55" t="n"/>
      <c r="I2666" s="62" t="n"/>
      <c r="J2666" s="58" t="n"/>
      <c r="K2666" s="63">
        <f>IF(tblMovement[[#This Row],[Source]]="","",IFERROR(INDEX(tblSources[Type],MATCH(tblMovement[[#This Row],[Source]],tblSources[Source],0)),"?"))</f>
        <v/>
      </c>
      <c r="L2666" s="63">
        <f>IF(tblMovement[[#This Row],[Destination]]="","",IFERROR(INDEX(tblDestinations[Type],MATCH(tblMovement[[#This Row],[Destination]],tblDestinations[Destination],0)),"?"))</f>
        <v/>
      </c>
      <c r="M2666" s="64">
        <f>IF(tblMovement[[#This Row],[Material]]="","",IF(LEFT(tblMovement[[#This Row],[Material]],3)="Ore",1,0))</f>
        <v/>
      </c>
      <c r="N2666" s="59">
        <f>IF(OR(tblMovement[[#This Row],[Tonnes_t]]="",tblMovement[[#This Row],[Grade_gpt]]=""),0,tblMovement[[#This Row],[Tonnes_t]]*tblMovement[[#This Row],[Grade_gpt]]/cfg_TroyOz)</f>
        <v/>
      </c>
      <c r="O2666" s="59">
        <f>IF(tblMovement[[#This Row],[Is_Ore]]=1,tblMovement[[#This Row],[Contained_oz]],0)</f>
        <v/>
      </c>
    </row>
    <row r="2667">
      <c r="A2667" s="54" t="n"/>
      <c r="B2667" s="61" t="n"/>
      <c r="C2667" s="61" t="n"/>
      <c r="D2667" s="61" t="n"/>
      <c r="E2667" s="61" t="n"/>
      <c r="F2667" s="55" t="n"/>
      <c r="G2667" s="56" t="n"/>
      <c r="H2667" s="55" t="n"/>
      <c r="I2667" s="62" t="n"/>
      <c r="J2667" s="58" t="n"/>
      <c r="K2667" s="63">
        <f>IF(tblMovement[[#This Row],[Source]]="","",IFERROR(INDEX(tblSources[Type],MATCH(tblMovement[[#This Row],[Source]],tblSources[Source],0)),"?"))</f>
        <v/>
      </c>
      <c r="L2667" s="63">
        <f>IF(tblMovement[[#This Row],[Destination]]="","",IFERROR(INDEX(tblDestinations[Type],MATCH(tblMovement[[#This Row],[Destination]],tblDestinations[Destination],0)),"?"))</f>
        <v/>
      </c>
      <c r="M2667" s="64">
        <f>IF(tblMovement[[#This Row],[Material]]="","",IF(LEFT(tblMovement[[#This Row],[Material]],3)="Ore",1,0))</f>
        <v/>
      </c>
      <c r="N2667" s="59">
        <f>IF(OR(tblMovement[[#This Row],[Tonnes_t]]="",tblMovement[[#This Row],[Grade_gpt]]=""),0,tblMovement[[#This Row],[Tonnes_t]]*tblMovement[[#This Row],[Grade_gpt]]/cfg_TroyOz)</f>
        <v/>
      </c>
      <c r="O2667" s="59">
        <f>IF(tblMovement[[#This Row],[Is_Ore]]=1,tblMovement[[#This Row],[Contained_oz]],0)</f>
        <v/>
      </c>
    </row>
    <row r="2668">
      <c r="A2668" s="54" t="n"/>
      <c r="B2668" s="61" t="n"/>
      <c r="C2668" s="61" t="n"/>
      <c r="D2668" s="61" t="n"/>
      <c r="E2668" s="61" t="n"/>
      <c r="F2668" s="55" t="n"/>
      <c r="G2668" s="56" t="n"/>
      <c r="H2668" s="55" t="n"/>
      <c r="I2668" s="62" t="n"/>
      <c r="J2668" s="58" t="n"/>
      <c r="K2668" s="63">
        <f>IF(tblMovement[[#This Row],[Source]]="","",IFERROR(INDEX(tblSources[Type],MATCH(tblMovement[[#This Row],[Source]],tblSources[Source],0)),"?"))</f>
        <v/>
      </c>
      <c r="L2668" s="63">
        <f>IF(tblMovement[[#This Row],[Destination]]="","",IFERROR(INDEX(tblDestinations[Type],MATCH(tblMovement[[#This Row],[Destination]],tblDestinations[Destination],0)),"?"))</f>
        <v/>
      </c>
      <c r="M2668" s="64">
        <f>IF(tblMovement[[#This Row],[Material]]="","",IF(LEFT(tblMovement[[#This Row],[Material]],3)="Ore",1,0))</f>
        <v/>
      </c>
      <c r="N2668" s="59">
        <f>IF(OR(tblMovement[[#This Row],[Tonnes_t]]="",tblMovement[[#This Row],[Grade_gpt]]=""),0,tblMovement[[#This Row],[Tonnes_t]]*tblMovement[[#This Row],[Grade_gpt]]/cfg_TroyOz)</f>
        <v/>
      </c>
      <c r="O2668" s="59">
        <f>IF(tblMovement[[#This Row],[Is_Ore]]=1,tblMovement[[#This Row],[Contained_oz]],0)</f>
        <v/>
      </c>
    </row>
    <row r="2669">
      <c r="A2669" s="54" t="n"/>
      <c r="B2669" s="61" t="n"/>
      <c r="C2669" s="61" t="n"/>
      <c r="D2669" s="61" t="n"/>
      <c r="E2669" s="61" t="n"/>
      <c r="F2669" s="55" t="n"/>
      <c r="G2669" s="56" t="n"/>
      <c r="H2669" s="55" t="n"/>
      <c r="I2669" s="62" t="n"/>
      <c r="J2669" s="58" t="n"/>
      <c r="K2669" s="63">
        <f>IF(tblMovement[[#This Row],[Source]]="","",IFERROR(INDEX(tblSources[Type],MATCH(tblMovement[[#This Row],[Source]],tblSources[Source],0)),"?"))</f>
        <v/>
      </c>
      <c r="L2669" s="63">
        <f>IF(tblMovement[[#This Row],[Destination]]="","",IFERROR(INDEX(tblDestinations[Type],MATCH(tblMovement[[#This Row],[Destination]],tblDestinations[Destination],0)),"?"))</f>
        <v/>
      </c>
      <c r="M2669" s="64">
        <f>IF(tblMovement[[#This Row],[Material]]="","",IF(LEFT(tblMovement[[#This Row],[Material]],3)="Ore",1,0))</f>
        <v/>
      </c>
      <c r="N2669" s="59">
        <f>IF(OR(tblMovement[[#This Row],[Tonnes_t]]="",tblMovement[[#This Row],[Grade_gpt]]=""),0,tblMovement[[#This Row],[Tonnes_t]]*tblMovement[[#This Row],[Grade_gpt]]/cfg_TroyOz)</f>
        <v/>
      </c>
      <c r="O2669" s="59">
        <f>IF(tblMovement[[#This Row],[Is_Ore]]=1,tblMovement[[#This Row],[Contained_oz]],0)</f>
        <v/>
      </c>
    </row>
    <row r="2670">
      <c r="A2670" s="54" t="n"/>
      <c r="B2670" s="61" t="n"/>
      <c r="C2670" s="61" t="n"/>
      <c r="D2670" s="61" t="n"/>
      <c r="E2670" s="61" t="n"/>
      <c r="F2670" s="55" t="n"/>
      <c r="G2670" s="56" t="n"/>
      <c r="H2670" s="55" t="n"/>
      <c r="I2670" s="62" t="n"/>
      <c r="J2670" s="58" t="n"/>
      <c r="K2670" s="63">
        <f>IF(tblMovement[[#This Row],[Source]]="","",IFERROR(INDEX(tblSources[Type],MATCH(tblMovement[[#This Row],[Source]],tblSources[Source],0)),"?"))</f>
        <v/>
      </c>
      <c r="L2670" s="63">
        <f>IF(tblMovement[[#This Row],[Destination]]="","",IFERROR(INDEX(tblDestinations[Type],MATCH(tblMovement[[#This Row],[Destination]],tblDestinations[Destination],0)),"?"))</f>
        <v/>
      </c>
      <c r="M2670" s="64">
        <f>IF(tblMovement[[#This Row],[Material]]="","",IF(LEFT(tblMovement[[#This Row],[Material]],3)="Ore",1,0))</f>
        <v/>
      </c>
      <c r="N2670" s="59">
        <f>IF(OR(tblMovement[[#This Row],[Tonnes_t]]="",tblMovement[[#This Row],[Grade_gpt]]=""),0,tblMovement[[#This Row],[Tonnes_t]]*tblMovement[[#This Row],[Grade_gpt]]/cfg_TroyOz)</f>
        <v/>
      </c>
      <c r="O2670" s="59">
        <f>IF(tblMovement[[#This Row],[Is_Ore]]=1,tblMovement[[#This Row],[Contained_oz]],0)</f>
        <v/>
      </c>
    </row>
    <row r="2671">
      <c r="A2671" s="54" t="n"/>
      <c r="B2671" s="61" t="n"/>
      <c r="C2671" s="61" t="n"/>
      <c r="D2671" s="61" t="n"/>
      <c r="E2671" s="61" t="n"/>
      <c r="F2671" s="55" t="n"/>
      <c r="G2671" s="56" t="n"/>
      <c r="H2671" s="55" t="n"/>
      <c r="I2671" s="62" t="n"/>
      <c r="J2671" s="58" t="n"/>
      <c r="K2671" s="63">
        <f>IF(tblMovement[[#This Row],[Source]]="","",IFERROR(INDEX(tblSources[Type],MATCH(tblMovement[[#This Row],[Source]],tblSources[Source],0)),"?"))</f>
        <v/>
      </c>
      <c r="L2671" s="63">
        <f>IF(tblMovement[[#This Row],[Destination]]="","",IFERROR(INDEX(tblDestinations[Type],MATCH(tblMovement[[#This Row],[Destination]],tblDestinations[Destination],0)),"?"))</f>
        <v/>
      </c>
      <c r="M2671" s="64">
        <f>IF(tblMovement[[#This Row],[Material]]="","",IF(LEFT(tblMovement[[#This Row],[Material]],3)="Ore",1,0))</f>
        <v/>
      </c>
      <c r="N2671" s="59">
        <f>IF(OR(tblMovement[[#This Row],[Tonnes_t]]="",tblMovement[[#This Row],[Grade_gpt]]=""),0,tblMovement[[#This Row],[Tonnes_t]]*tblMovement[[#This Row],[Grade_gpt]]/cfg_TroyOz)</f>
        <v/>
      </c>
      <c r="O2671" s="59">
        <f>IF(tblMovement[[#This Row],[Is_Ore]]=1,tblMovement[[#This Row],[Contained_oz]],0)</f>
        <v/>
      </c>
    </row>
    <row r="2672">
      <c r="A2672" s="54" t="n"/>
      <c r="B2672" s="61" t="n"/>
      <c r="C2672" s="61" t="n"/>
      <c r="D2672" s="61" t="n"/>
      <c r="E2672" s="61" t="n"/>
      <c r="F2672" s="55" t="n"/>
      <c r="G2672" s="56" t="n"/>
      <c r="H2672" s="55" t="n"/>
      <c r="I2672" s="62" t="n"/>
      <c r="J2672" s="58" t="n"/>
      <c r="K2672" s="63">
        <f>IF(tblMovement[[#This Row],[Source]]="","",IFERROR(INDEX(tblSources[Type],MATCH(tblMovement[[#This Row],[Source]],tblSources[Source],0)),"?"))</f>
        <v/>
      </c>
      <c r="L2672" s="63">
        <f>IF(tblMovement[[#This Row],[Destination]]="","",IFERROR(INDEX(tblDestinations[Type],MATCH(tblMovement[[#This Row],[Destination]],tblDestinations[Destination],0)),"?"))</f>
        <v/>
      </c>
      <c r="M2672" s="64">
        <f>IF(tblMovement[[#This Row],[Material]]="","",IF(LEFT(tblMovement[[#This Row],[Material]],3)="Ore",1,0))</f>
        <v/>
      </c>
      <c r="N2672" s="59">
        <f>IF(OR(tblMovement[[#This Row],[Tonnes_t]]="",tblMovement[[#This Row],[Grade_gpt]]=""),0,tblMovement[[#This Row],[Tonnes_t]]*tblMovement[[#This Row],[Grade_gpt]]/cfg_TroyOz)</f>
        <v/>
      </c>
      <c r="O2672" s="59">
        <f>IF(tblMovement[[#This Row],[Is_Ore]]=1,tblMovement[[#This Row],[Contained_oz]],0)</f>
        <v/>
      </c>
    </row>
    <row r="2673">
      <c r="A2673" s="54" t="n"/>
      <c r="B2673" s="61" t="n"/>
      <c r="C2673" s="61" t="n"/>
      <c r="D2673" s="61" t="n"/>
      <c r="E2673" s="61" t="n"/>
      <c r="F2673" s="55" t="n"/>
      <c r="G2673" s="56" t="n"/>
      <c r="H2673" s="55" t="n"/>
      <c r="I2673" s="62" t="n"/>
      <c r="J2673" s="58" t="n"/>
      <c r="K2673" s="63">
        <f>IF(tblMovement[[#This Row],[Source]]="","",IFERROR(INDEX(tblSources[Type],MATCH(tblMovement[[#This Row],[Source]],tblSources[Source],0)),"?"))</f>
        <v/>
      </c>
      <c r="L2673" s="63">
        <f>IF(tblMovement[[#This Row],[Destination]]="","",IFERROR(INDEX(tblDestinations[Type],MATCH(tblMovement[[#This Row],[Destination]],tblDestinations[Destination],0)),"?"))</f>
        <v/>
      </c>
      <c r="M2673" s="64">
        <f>IF(tblMovement[[#This Row],[Material]]="","",IF(LEFT(tblMovement[[#This Row],[Material]],3)="Ore",1,0))</f>
        <v/>
      </c>
      <c r="N2673" s="59">
        <f>IF(OR(tblMovement[[#This Row],[Tonnes_t]]="",tblMovement[[#This Row],[Grade_gpt]]=""),0,tblMovement[[#This Row],[Tonnes_t]]*tblMovement[[#This Row],[Grade_gpt]]/cfg_TroyOz)</f>
        <v/>
      </c>
      <c r="O2673" s="59">
        <f>IF(tblMovement[[#This Row],[Is_Ore]]=1,tblMovement[[#This Row],[Contained_oz]],0)</f>
        <v/>
      </c>
    </row>
    <row r="2674">
      <c r="A2674" s="54" t="n"/>
      <c r="B2674" s="61" t="n"/>
      <c r="C2674" s="61" t="n"/>
      <c r="D2674" s="61" t="n"/>
      <c r="E2674" s="61" t="n"/>
      <c r="F2674" s="55" t="n"/>
      <c r="G2674" s="56" t="n"/>
      <c r="H2674" s="55" t="n"/>
      <c r="I2674" s="62" t="n"/>
      <c r="J2674" s="58" t="n"/>
      <c r="K2674" s="63">
        <f>IF(tblMovement[[#This Row],[Source]]="","",IFERROR(INDEX(tblSources[Type],MATCH(tblMovement[[#This Row],[Source]],tblSources[Source],0)),"?"))</f>
        <v/>
      </c>
      <c r="L2674" s="63">
        <f>IF(tblMovement[[#This Row],[Destination]]="","",IFERROR(INDEX(tblDestinations[Type],MATCH(tblMovement[[#This Row],[Destination]],tblDestinations[Destination],0)),"?"))</f>
        <v/>
      </c>
      <c r="M2674" s="64">
        <f>IF(tblMovement[[#This Row],[Material]]="","",IF(LEFT(tblMovement[[#This Row],[Material]],3)="Ore",1,0))</f>
        <v/>
      </c>
      <c r="N2674" s="59">
        <f>IF(OR(tblMovement[[#This Row],[Tonnes_t]]="",tblMovement[[#This Row],[Grade_gpt]]=""),0,tblMovement[[#This Row],[Tonnes_t]]*tblMovement[[#This Row],[Grade_gpt]]/cfg_TroyOz)</f>
        <v/>
      </c>
      <c r="O2674" s="59">
        <f>IF(tblMovement[[#This Row],[Is_Ore]]=1,tblMovement[[#This Row],[Contained_oz]],0)</f>
        <v/>
      </c>
    </row>
    <row r="2675">
      <c r="A2675" s="54" t="n"/>
      <c r="B2675" s="61" t="n"/>
      <c r="C2675" s="61" t="n"/>
      <c r="D2675" s="61" t="n"/>
      <c r="E2675" s="61" t="n"/>
      <c r="F2675" s="55" t="n"/>
      <c r="G2675" s="56" t="n"/>
      <c r="H2675" s="55" t="n"/>
      <c r="I2675" s="62" t="n"/>
      <c r="J2675" s="58" t="n"/>
      <c r="K2675" s="63">
        <f>IF(tblMovement[[#This Row],[Source]]="","",IFERROR(INDEX(tblSources[Type],MATCH(tblMovement[[#This Row],[Source]],tblSources[Source],0)),"?"))</f>
        <v/>
      </c>
      <c r="L2675" s="63">
        <f>IF(tblMovement[[#This Row],[Destination]]="","",IFERROR(INDEX(tblDestinations[Type],MATCH(tblMovement[[#This Row],[Destination]],tblDestinations[Destination],0)),"?"))</f>
        <v/>
      </c>
      <c r="M2675" s="64">
        <f>IF(tblMovement[[#This Row],[Material]]="","",IF(LEFT(tblMovement[[#This Row],[Material]],3)="Ore",1,0))</f>
        <v/>
      </c>
      <c r="N2675" s="59">
        <f>IF(OR(tblMovement[[#This Row],[Tonnes_t]]="",tblMovement[[#This Row],[Grade_gpt]]=""),0,tblMovement[[#This Row],[Tonnes_t]]*tblMovement[[#This Row],[Grade_gpt]]/cfg_TroyOz)</f>
        <v/>
      </c>
      <c r="O2675" s="59">
        <f>IF(tblMovement[[#This Row],[Is_Ore]]=1,tblMovement[[#This Row],[Contained_oz]],0)</f>
        <v/>
      </c>
    </row>
    <row r="2676">
      <c r="A2676" s="54" t="n"/>
      <c r="B2676" s="61" t="n"/>
      <c r="C2676" s="61" t="n"/>
      <c r="D2676" s="61" t="n"/>
      <c r="E2676" s="61" t="n"/>
      <c r="F2676" s="55" t="n"/>
      <c r="G2676" s="56" t="n"/>
      <c r="H2676" s="55" t="n"/>
      <c r="I2676" s="62" t="n"/>
      <c r="J2676" s="58" t="n"/>
      <c r="K2676" s="63">
        <f>IF(tblMovement[[#This Row],[Source]]="","",IFERROR(INDEX(tblSources[Type],MATCH(tblMovement[[#This Row],[Source]],tblSources[Source],0)),"?"))</f>
        <v/>
      </c>
      <c r="L2676" s="63">
        <f>IF(tblMovement[[#This Row],[Destination]]="","",IFERROR(INDEX(tblDestinations[Type],MATCH(tblMovement[[#This Row],[Destination]],tblDestinations[Destination],0)),"?"))</f>
        <v/>
      </c>
      <c r="M2676" s="64">
        <f>IF(tblMovement[[#This Row],[Material]]="","",IF(LEFT(tblMovement[[#This Row],[Material]],3)="Ore",1,0))</f>
        <v/>
      </c>
      <c r="N2676" s="59">
        <f>IF(OR(tblMovement[[#This Row],[Tonnes_t]]="",tblMovement[[#This Row],[Grade_gpt]]=""),0,tblMovement[[#This Row],[Tonnes_t]]*tblMovement[[#This Row],[Grade_gpt]]/cfg_TroyOz)</f>
        <v/>
      </c>
      <c r="O2676" s="59">
        <f>IF(tblMovement[[#This Row],[Is_Ore]]=1,tblMovement[[#This Row],[Contained_oz]],0)</f>
        <v/>
      </c>
    </row>
    <row r="2677">
      <c r="A2677" s="54" t="n"/>
      <c r="B2677" s="61" t="n"/>
      <c r="C2677" s="61" t="n"/>
      <c r="D2677" s="61" t="n"/>
      <c r="E2677" s="61" t="n"/>
      <c r="F2677" s="55" t="n"/>
      <c r="G2677" s="56" t="n"/>
      <c r="H2677" s="55" t="n"/>
      <c r="I2677" s="62" t="n"/>
      <c r="J2677" s="58" t="n"/>
      <c r="K2677" s="63">
        <f>IF(tblMovement[[#This Row],[Source]]="","",IFERROR(INDEX(tblSources[Type],MATCH(tblMovement[[#This Row],[Source]],tblSources[Source],0)),"?"))</f>
        <v/>
      </c>
      <c r="L2677" s="63">
        <f>IF(tblMovement[[#This Row],[Destination]]="","",IFERROR(INDEX(tblDestinations[Type],MATCH(tblMovement[[#This Row],[Destination]],tblDestinations[Destination],0)),"?"))</f>
        <v/>
      </c>
      <c r="M2677" s="64">
        <f>IF(tblMovement[[#This Row],[Material]]="","",IF(LEFT(tblMovement[[#This Row],[Material]],3)="Ore",1,0))</f>
        <v/>
      </c>
      <c r="N2677" s="59">
        <f>IF(OR(tblMovement[[#This Row],[Tonnes_t]]="",tblMovement[[#This Row],[Grade_gpt]]=""),0,tblMovement[[#This Row],[Tonnes_t]]*tblMovement[[#This Row],[Grade_gpt]]/cfg_TroyOz)</f>
        <v/>
      </c>
      <c r="O2677" s="59">
        <f>IF(tblMovement[[#This Row],[Is_Ore]]=1,tblMovement[[#This Row],[Contained_oz]],0)</f>
        <v/>
      </c>
    </row>
    <row r="2678">
      <c r="A2678" s="54" t="n"/>
      <c r="B2678" s="61" t="n"/>
      <c r="C2678" s="61" t="n"/>
      <c r="D2678" s="61" t="n"/>
      <c r="E2678" s="61" t="n"/>
      <c r="F2678" s="55" t="n"/>
      <c r="G2678" s="56" t="n"/>
      <c r="H2678" s="55" t="n"/>
      <c r="I2678" s="62" t="n"/>
      <c r="J2678" s="58" t="n"/>
      <c r="K2678" s="63">
        <f>IF(tblMovement[[#This Row],[Source]]="","",IFERROR(INDEX(tblSources[Type],MATCH(tblMovement[[#This Row],[Source]],tblSources[Source],0)),"?"))</f>
        <v/>
      </c>
      <c r="L2678" s="63">
        <f>IF(tblMovement[[#This Row],[Destination]]="","",IFERROR(INDEX(tblDestinations[Type],MATCH(tblMovement[[#This Row],[Destination]],tblDestinations[Destination],0)),"?"))</f>
        <v/>
      </c>
      <c r="M2678" s="64">
        <f>IF(tblMovement[[#This Row],[Material]]="","",IF(LEFT(tblMovement[[#This Row],[Material]],3)="Ore",1,0))</f>
        <v/>
      </c>
      <c r="N2678" s="59">
        <f>IF(OR(tblMovement[[#This Row],[Tonnes_t]]="",tblMovement[[#This Row],[Grade_gpt]]=""),0,tblMovement[[#This Row],[Tonnes_t]]*tblMovement[[#This Row],[Grade_gpt]]/cfg_TroyOz)</f>
        <v/>
      </c>
      <c r="O2678" s="59">
        <f>IF(tblMovement[[#This Row],[Is_Ore]]=1,tblMovement[[#This Row],[Contained_oz]],0)</f>
        <v/>
      </c>
    </row>
    <row r="2679">
      <c r="A2679" s="54" t="n"/>
      <c r="B2679" s="61" t="n"/>
      <c r="C2679" s="61" t="n"/>
      <c r="D2679" s="61" t="n"/>
      <c r="E2679" s="61" t="n"/>
      <c r="F2679" s="55" t="n"/>
      <c r="G2679" s="56" t="n"/>
      <c r="H2679" s="55" t="n"/>
      <c r="I2679" s="62" t="n"/>
      <c r="J2679" s="58" t="n"/>
      <c r="K2679" s="63">
        <f>IF(tblMovement[[#This Row],[Source]]="","",IFERROR(INDEX(tblSources[Type],MATCH(tblMovement[[#This Row],[Source]],tblSources[Source],0)),"?"))</f>
        <v/>
      </c>
      <c r="L2679" s="63">
        <f>IF(tblMovement[[#This Row],[Destination]]="","",IFERROR(INDEX(tblDestinations[Type],MATCH(tblMovement[[#This Row],[Destination]],tblDestinations[Destination],0)),"?"))</f>
        <v/>
      </c>
      <c r="M2679" s="64">
        <f>IF(tblMovement[[#This Row],[Material]]="","",IF(LEFT(tblMovement[[#This Row],[Material]],3)="Ore",1,0))</f>
        <v/>
      </c>
      <c r="N2679" s="59">
        <f>IF(OR(tblMovement[[#This Row],[Tonnes_t]]="",tblMovement[[#This Row],[Grade_gpt]]=""),0,tblMovement[[#This Row],[Tonnes_t]]*tblMovement[[#This Row],[Grade_gpt]]/cfg_TroyOz)</f>
        <v/>
      </c>
      <c r="O2679" s="59">
        <f>IF(tblMovement[[#This Row],[Is_Ore]]=1,tblMovement[[#This Row],[Contained_oz]],0)</f>
        <v/>
      </c>
    </row>
    <row r="2680">
      <c r="A2680" s="54" t="n"/>
      <c r="B2680" s="61" t="n"/>
      <c r="C2680" s="61" t="n"/>
      <c r="D2680" s="61" t="n"/>
      <c r="E2680" s="61" t="n"/>
      <c r="F2680" s="55" t="n"/>
      <c r="G2680" s="56" t="n"/>
      <c r="H2680" s="55" t="n"/>
      <c r="I2680" s="62" t="n"/>
      <c r="J2680" s="58" t="n"/>
      <c r="K2680" s="63">
        <f>IF(tblMovement[[#This Row],[Source]]="","",IFERROR(INDEX(tblSources[Type],MATCH(tblMovement[[#This Row],[Source]],tblSources[Source],0)),"?"))</f>
        <v/>
      </c>
      <c r="L2680" s="63">
        <f>IF(tblMovement[[#This Row],[Destination]]="","",IFERROR(INDEX(tblDestinations[Type],MATCH(tblMovement[[#This Row],[Destination]],tblDestinations[Destination],0)),"?"))</f>
        <v/>
      </c>
      <c r="M2680" s="64">
        <f>IF(tblMovement[[#This Row],[Material]]="","",IF(LEFT(tblMovement[[#This Row],[Material]],3)="Ore",1,0))</f>
        <v/>
      </c>
      <c r="N2680" s="59">
        <f>IF(OR(tblMovement[[#This Row],[Tonnes_t]]="",tblMovement[[#This Row],[Grade_gpt]]=""),0,tblMovement[[#This Row],[Tonnes_t]]*tblMovement[[#This Row],[Grade_gpt]]/cfg_TroyOz)</f>
        <v/>
      </c>
      <c r="O2680" s="59">
        <f>IF(tblMovement[[#This Row],[Is_Ore]]=1,tblMovement[[#This Row],[Contained_oz]],0)</f>
        <v/>
      </c>
    </row>
    <row r="2681">
      <c r="A2681" s="54" t="n"/>
      <c r="B2681" s="61" t="n"/>
      <c r="C2681" s="61" t="n"/>
      <c r="D2681" s="61" t="n"/>
      <c r="E2681" s="61" t="n"/>
      <c r="F2681" s="55" t="n"/>
      <c r="G2681" s="56" t="n"/>
      <c r="H2681" s="55" t="n"/>
      <c r="I2681" s="62" t="n"/>
      <c r="J2681" s="58" t="n"/>
      <c r="K2681" s="63">
        <f>IF(tblMovement[[#This Row],[Source]]="","",IFERROR(INDEX(tblSources[Type],MATCH(tblMovement[[#This Row],[Source]],tblSources[Source],0)),"?"))</f>
        <v/>
      </c>
      <c r="L2681" s="63">
        <f>IF(tblMovement[[#This Row],[Destination]]="","",IFERROR(INDEX(tblDestinations[Type],MATCH(tblMovement[[#This Row],[Destination]],tblDestinations[Destination],0)),"?"))</f>
        <v/>
      </c>
      <c r="M2681" s="64">
        <f>IF(tblMovement[[#This Row],[Material]]="","",IF(LEFT(tblMovement[[#This Row],[Material]],3)="Ore",1,0))</f>
        <v/>
      </c>
      <c r="N2681" s="59">
        <f>IF(OR(tblMovement[[#This Row],[Tonnes_t]]="",tblMovement[[#This Row],[Grade_gpt]]=""),0,tblMovement[[#This Row],[Tonnes_t]]*tblMovement[[#This Row],[Grade_gpt]]/cfg_TroyOz)</f>
        <v/>
      </c>
      <c r="O2681" s="59">
        <f>IF(tblMovement[[#This Row],[Is_Ore]]=1,tblMovement[[#This Row],[Contained_oz]],0)</f>
        <v/>
      </c>
    </row>
    <row r="2682">
      <c r="A2682" s="54" t="n"/>
      <c r="B2682" s="61" t="n"/>
      <c r="C2682" s="61" t="n"/>
      <c r="D2682" s="61" t="n"/>
      <c r="E2682" s="61" t="n"/>
      <c r="F2682" s="55" t="n"/>
      <c r="G2682" s="56" t="n"/>
      <c r="H2682" s="55" t="n"/>
      <c r="I2682" s="62" t="n"/>
      <c r="J2682" s="58" t="n"/>
      <c r="K2682" s="63">
        <f>IF(tblMovement[[#This Row],[Source]]="","",IFERROR(INDEX(tblSources[Type],MATCH(tblMovement[[#This Row],[Source]],tblSources[Source],0)),"?"))</f>
        <v/>
      </c>
      <c r="L2682" s="63">
        <f>IF(tblMovement[[#This Row],[Destination]]="","",IFERROR(INDEX(tblDestinations[Type],MATCH(tblMovement[[#This Row],[Destination]],tblDestinations[Destination],0)),"?"))</f>
        <v/>
      </c>
      <c r="M2682" s="64">
        <f>IF(tblMovement[[#This Row],[Material]]="","",IF(LEFT(tblMovement[[#This Row],[Material]],3)="Ore",1,0))</f>
        <v/>
      </c>
      <c r="N2682" s="59">
        <f>IF(OR(tblMovement[[#This Row],[Tonnes_t]]="",tblMovement[[#This Row],[Grade_gpt]]=""),0,tblMovement[[#This Row],[Tonnes_t]]*tblMovement[[#This Row],[Grade_gpt]]/cfg_TroyOz)</f>
        <v/>
      </c>
      <c r="O2682" s="59">
        <f>IF(tblMovement[[#This Row],[Is_Ore]]=1,tblMovement[[#This Row],[Contained_oz]],0)</f>
        <v/>
      </c>
    </row>
    <row r="2683">
      <c r="A2683" s="54" t="n"/>
      <c r="B2683" s="61" t="n"/>
      <c r="C2683" s="61" t="n"/>
      <c r="D2683" s="61" t="n"/>
      <c r="E2683" s="61" t="n"/>
      <c r="F2683" s="55" t="n"/>
      <c r="G2683" s="56" t="n"/>
      <c r="H2683" s="55" t="n"/>
      <c r="I2683" s="62" t="n"/>
      <c r="J2683" s="58" t="n"/>
      <c r="K2683" s="63">
        <f>IF(tblMovement[[#This Row],[Source]]="","",IFERROR(INDEX(tblSources[Type],MATCH(tblMovement[[#This Row],[Source]],tblSources[Source],0)),"?"))</f>
        <v/>
      </c>
      <c r="L2683" s="63">
        <f>IF(tblMovement[[#This Row],[Destination]]="","",IFERROR(INDEX(tblDestinations[Type],MATCH(tblMovement[[#This Row],[Destination]],tblDestinations[Destination],0)),"?"))</f>
        <v/>
      </c>
      <c r="M2683" s="64">
        <f>IF(tblMovement[[#This Row],[Material]]="","",IF(LEFT(tblMovement[[#This Row],[Material]],3)="Ore",1,0))</f>
        <v/>
      </c>
      <c r="N2683" s="59">
        <f>IF(OR(tblMovement[[#This Row],[Tonnes_t]]="",tblMovement[[#This Row],[Grade_gpt]]=""),0,tblMovement[[#This Row],[Tonnes_t]]*tblMovement[[#This Row],[Grade_gpt]]/cfg_TroyOz)</f>
        <v/>
      </c>
      <c r="O2683" s="59">
        <f>IF(tblMovement[[#This Row],[Is_Ore]]=1,tblMovement[[#This Row],[Contained_oz]],0)</f>
        <v/>
      </c>
    </row>
    <row r="2684">
      <c r="A2684" s="54" t="n"/>
      <c r="B2684" s="61" t="n"/>
      <c r="C2684" s="61" t="n"/>
      <c r="D2684" s="61" t="n"/>
      <c r="E2684" s="61" t="n"/>
      <c r="F2684" s="55" t="n"/>
      <c r="G2684" s="56" t="n"/>
      <c r="H2684" s="55" t="n"/>
      <c r="I2684" s="62" t="n"/>
      <c r="J2684" s="58" t="n"/>
      <c r="K2684" s="63">
        <f>IF(tblMovement[[#This Row],[Source]]="","",IFERROR(INDEX(tblSources[Type],MATCH(tblMovement[[#This Row],[Source]],tblSources[Source],0)),"?"))</f>
        <v/>
      </c>
      <c r="L2684" s="63">
        <f>IF(tblMovement[[#This Row],[Destination]]="","",IFERROR(INDEX(tblDestinations[Type],MATCH(tblMovement[[#This Row],[Destination]],tblDestinations[Destination],0)),"?"))</f>
        <v/>
      </c>
      <c r="M2684" s="64">
        <f>IF(tblMovement[[#This Row],[Material]]="","",IF(LEFT(tblMovement[[#This Row],[Material]],3)="Ore",1,0))</f>
        <v/>
      </c>
      <c r="N2684" s="59">
        <f>IF(OR(tblMovement[[#This Row],[Tonnes_t]]="",tblMovement[[#This Row],[Grade_gpt]]=""),0,tblMovement[[#This Row],[Tonnes_t]]*tblMovement[[#This Row],[Grade_gpt]]/cfg_TroyOz)</f>
        <v/>
      </c>
      <c r="O2684" s="59">
        <f>IF(tblMovement[[#This Row],[Is_Ore]]=1,tblMovement[[#This Row],[Contained_oz]],0)</f>
        <v/>
      </c>
    </row>
    <row r="2685">
      <c r="A2685" s="54" t="n"/>
      <c r="B2685" s="61" t="n"/>
      <c r="C2685" s="61" t="n"/>
      <c r="D2685" s="61" t="n"/>
      <c r="E2685" s="61" t="n"/>
      <c r="F2685" s="55" t="n"/>
      <c r="G2685" s="56" t="n"/>
      <c r="H2685" s="55" t="n"/>
      <c r="I2685" s="62" t="n"/>
      <c r="J2685" s="58" t="n"/>
      <c r="K2685" s="63">
        <f>IF(tblMovement[[#This Row],[Source]]="","",IFERROR(INDEX(tblSources[Type],MATCH(tblMovement[[#This Row],[Source]],tblSources[Source],0)),"?"))</f>
        <v/>
      </c>
      <c r="L2685" s="63">
        <f>IF(tblMovement[[#This Row],[Destination]]="","",IFERROR(INDEX(tblDestinations[Type],MATCH(tblMovement[[#This Row],[Destination]],tblDestinations[Destination],0)),"?"))</f>
        <v/>
      </c>
      <c r="M2685" s="64">
        <f>IF(tblMovement[[#This Row],[Material]]="","",IF(LEFT(tblMovement[[#This Row],[Material]],3)="Ore",1,0))</f>
        <v/>
      </c>
      <c r="N2685" s="59">
        <f>IF(OR(tblMovement[[#This Row],[Tonnes_t]]="",tblMovement[[#This Row],[Grade_gpt]]=""),0,tblMovement[[#This Row],[Tonnes_t]]*tblMovement[[#This Row],[Grade_gpt]]/cfg_TroyOz)</f>
        <v/>
      </c>
      <c r="O2685" s="59">
        <f>IF(tblMovement[[#This Row],[Is_Ore]]=1,tblMovement[[#This Row],[Contained_oz]],0)</f>
        <v/>
      </c>
    </row>
    <row r="2686">
      <c r="A2686" s="54" t="n"/>
      <c r="B2686" s="61" t="n"/>
      <c r="C2686" s="61" t="n"/>
      <c r="D2686" s="61" t="n"/>
      <c r="E2686" s="61" t="n"/>
      <c r="F2686" s="55" t="n"/>
      <c r="G2686" s="56" t="n"/>
      <c r="H2686" s="55" t="n"/>
      <c r="I2686" s="62" t="n"/>
      <c r="J2686" s="58" t="n"/>
      <c r="K2686" s="63">
        <f>IF(tblMovement[[#This Row],[Source]]="","",IFERROR(INDEX(tblSources[Type],MATCH(tblMovement[[#This Row],[Source]],tblSources[Source],0)),"?"))</f>
        <v/>
      </c>
      <c r="L2686" s="63">
        <f>IF(tblMovement[[#This Row],[Destination]]="","",IFERROR(INDEX(tblDestinations[Type],MATCH(tblMovement[[#This Row],[Destination]],tblDestinations[Destination],0)),"?"))</f>
        <v/>
      </c>
      <c r="M2686" s="64">
        <f>IF(tblMovement[[#This Row],[Material]]="","",IF(LEFT(tblMovement[[#This Row],[Material]],3)="Ore",1,0))</f>
        <v/>
      </c>
      <c r="N2686" s="59">
        <f>IF(OR(tblMovement[[#This Row],[Tonnes_t]]="",tblMovement[[#This Row],[Grade_gpt]]=""),0,tblMovement[[#This Row],[Tonnes_t]]*tblMovement[[#This Row],[Grade_gpt]]/cfg_TroyOz)</f>
        <v/>
      </c>
      <c r="O2686" s="59">
        <f>IF(tblMovement[[#This Row],[Is_Ore]]=1,tblMovement[[#This Row],[Contained_oz]],0)</f>
        <v/>
      </c>
    </row>
    <row r="2687">
      <c r="A2687" s="54" t="n"/>
      <c r="B2687" s="61" t="n"/>
      <c r="C2687" s="61" t="n"/>
      <c r="D2687" s="61" t="n"/>
      <c r="E2687" s="61" t="n"/>
      <c r="F2687" s="55" t="n"/>
      <c r="G2687" s="56" t="n"/>
      <c r="H2687" s="55" t="n"/>
      <c r="I2687" s="62" t="n"/>
      <c r="J2687" s="58" t="n"/>
      <c r="K2687" s="63">
        <f>IF(tblMovement[[#This Row],[Source]]="","",IFERROR(INDEX(tblSources[Type],MATCH(tblMovement[[#This Row],[Source]],tblSources[Source],0)),"?"))</f>
        <v/>
      </c>
      <c r="L2687" s="63">
        <f>IF(tblMovement[[#This Row],[Destination]]="","",IFERROR(INDEX(tblDestinations[Type],MATCH(tblMovement[[#This Row],[Destination]],tblDestinations[Destination],0)),"?"))</f>
        <v/>
      </c>
      <c r="M2687" s="64">
        <f>IF(tblMovement[[#This Row],[Material]]="","",IF(LEFT(tblMovement[[#This Row],[Material]],3)="Ore",1,0))</f>
        <v/>
      </c>
      <c r="N2687" s="59">
        <f>IF(OR(tblMovement[[#This Row],[Tonnes_t]]="",tblMovement[[#This Row],[Grade_gpt]]=""),0,tblMovement[[#This Row],[Tonnes_t]]*tblMovement[[#This Row],[Grade_gpt]]/cfg_TroyOz)</f>
        <v/>
      </c>
      <c r="O2687" s="59">
        <f>IF(tblMovement[[#This Row],[Is_Ore]]=1,tblMovement[[#This Row],[Contained_oz]],0)</f>
        <v/>
      </c>
    </row>
    <row r="2688">
      <c r="A2688" s="54" t="n"/>
      <c r="B2688" s="61" t="n"/>
      <c r="C2688" s="61" t="n"/>
      <c r="D2688" s="61" t="n"/>
      <c r="E2688" s="61" t="n"/>
      <c r="F2688" s="55" t="n"/>
      <c r="G2688" s="56" t="n"/>
      <c r="H2688" s="55" t="n"/>
      <c r="I2688" s="62" t="n"/>
      <c r="J2688" s="58" t="n"/>
      <c r="K2688" s="63">
        <f>IF(tblMovement[[#This Row],[Source]]="","",IFERROR(INDEX(tblSources[Type],MATCH(tblMovement[[#This Row],[Source]],tblSources[Source],0)),"?"))</f>
        <v/>
      </c>
      <c r="L2688" s="63">
        <f>IF(tblMovement[[#This Row],[Destination]]="","",IFERROR(INDEX(tblDestinations[Type],MATCH(tblMovement[[#This Row],[Destination]],tblDestinations[Destination],0)),"?"))</f>
        <v/>
      </c>
      <c r="M2688" s="64">
        <f>IF(tblMovement[[#This Row],[Material]]="","",IF(LEFT(tblMovement[[#This Row],[Material]],3)="Ore",1,0))</f>
        <v/>
      </c>
      <c r="N2688" s="59">
        <f>IF(OR(tblMovement[[#This Row],[Tonnes_t]]="",tblMovement[[#This Row],[Grade_gpt]]=""),0,tblMovement[[#This Row],[Tonnes_t]]*tblMovement[[#This Row],[Grade_gpt]]/cfg_TroyOz)</f>
        <v/>
      </c>
      <c r="O2688" s="59">
        <f>IF(tblMovement[[#This Row],[Is_Ore]]=1,tblMovement[[#This Row],[Contained_oz]],0)</f>
        <v/>
      </c>
    </row>
    <row r="2689">
      <c r="A2689" s="54" t="n"/>
      <c r="B2689" s="61" t="n"/>
      <c r="C2689" s="61" t="n"/>
      <c r="D2689" s="61" t="n"/>
      <c r="E2689" s="61" t="n"/>
      <c r="F2689" s="55" t="n"/>
      <c r="G2689" s="56" t="n"/>
      <c r="H2689" s="55" t="n"/>
      <c r="I2689" s="62" t="n"/>
      <c r="J2689" s="58" t="n"/>
      <c r="K2689" s="63">
        <f>IF(tblMovement[[#This Row],[Source]]="","",IFERROR(INDEX(tblSources[Type],MATCH(tblMovement[[#This Row],[Source]],tblSources[Source],0)),"?"))</f>
        <v/>
      </c>
      <c r="L2689" s="63">
        <f>IF(tblMovement[[#This Row],[Destination]]="","",IFERROR(INDEX(tblDestinations[Type],MATCH(tblMovement[[#This Row],[Destination]],tblDestinations[Destination],0)),"?"))</f>
        <v/>
      </c>
      <c r="M2689" s="64">
        <f>IF(tblMovement[[#This Row],[Material]]="","",IF(LEFT(tblMovement[[#This Row],[Material]],3)="Ore",1,0))</f>
        <v/>
      </c>
      <c r="N2689" s="59">
        <f>IF(OR(tblMovement[[#This Row],[Tonnes_t]]="",tblMovement[[#This Row],[Grade_gpt]]=""),0,tblMovement[[#This Row],[Tonnes_t]]*tblMovement[[#This Row],[Grade_gpt]]/cfg_TroyOz)</f>
        <v/>
      </c>
      <c r="O2689" s="59">
        <f>IF(tblMovement[[#This Row],[Is_Ore]]=1,tblMovement[[#This Row],[Contained_oz]],0)</f>
        <v/>
      </c>
    </row>
    <row r="2690">
      <c r="A2690" s="54" t="n"/>
      <c r="B2690" s="61" t="n"/>
      <c r="C2690" s="61" t="n"/>
      <c r="D2690" s="61" t="n"/>
      <c r="E2690" s="61" t="n"/>
      <c r="F2690" s="55" t="n"/>
      <c r="G2690" s="56" t="n"/>
      <c r="H2690" s="55" t="n"/>
      <c r="I2690" s="62" t="n"/>
      <c r="J2690" s="58" t="n"/>
      <c r="K2690" s="63">
        <f>IF(tblMovement[[#This Row],[Source]]="","",IFERROR(INDEX(tblSources[Type],MATCH(tblMovement[[#This Row],[Source]],tblSources[Source],0)),"?"))</f>
        <v/>
      </c>
      <c r="L2690" s="63">
        <f>IF(tblMovement[[#This Row],[Destination]]="","",IFERROR(INDEX(tblDestinations[Type],MATCH(tblMovement[[#This Row],[Destination]],tblDestinations[Destination],0)),"?"))</f>
        <v/>
      </c>
      <c r="M2690" s="64">
        <f>IF(tblMovement[[#This Row],[Material]]="","",IF(LEFT(tblMovement[[#This Row],[Material]],3)="Ore",1,0))</f>
        <v/>
      </c>
      <c r="N2690" s="59">
        <f>IF(OR(tblMovement[[#This Row],[Tonnes_t]]="",tblMovement[[#This Row],[Grade_gpt]]=""),0,tblMovement[[#This Row],[Tonnes_t]]*tblMovement[[#This Row],[Grade_gpt]]/cfg_TroyOz)</f>
        <v/>
      </c>
      <c r="O2690" s="59">
        <f>IF(tblMovement[[#This Row],[Is_Ore]]=1,tblMovement[[#This Row],[Contained_oz]],0)</f>
        <v/>
      </c>
    </row>
    <row r="2691">
      <c r="A2691" s="54" t="n"/>
      <c r="B2691" s="61" t="n"/>
      <c r="C2691" s="61" t="n"/>
      <c r="D2691" s="61" t="n"/>
      <c r="E2691" s="61" t="n"/>
      <c r="F2691" s="55" t="n"/>
      <c r="G2691" s="56" t="n"/>
      <c r="H2691" s="55" t="n"/>
      <c r="I2691" s="62" t="n"/>
      <c r="J2691" s="58" t="n"/>
      <c r="K2691" s="63">
        <f>IF(tblMovement[[#This Row],[Source]]="","",IFERROR(INDEX(tblSources[Type],MATCH(tblMovement[[#This Row],[Source]],tblSources[Source],0)),"?"))</f>
        <v/>
      </c>
      <c r="L2691" s="63">
        <f>IF(tblMovement[[#This Row],[Destination]]="","",IFERROR(INDEX(tblDestinations[Type],MATCH(tblMovement[[#This Row],[Destination]],tblDestinations[Destination],0)),"?"))</f>
        <v/>
      </c>
      <c r="M2691" s="64">
        <f>IF(tblMovement[[#This Row],[Material]]="","",IF(LEFT(tblMovement[[#This Row],[Material]],3)="Ore",1,0))</f>
        <v/>
      </c>
      <c r="N2691" s="59">
        <f>IF(OR(tblMovement[[#This Row],[Tonnes_t]]="",tblMovement[[#This Row],[Grade_gpt]]=""),0,tblMovement[[#This Row],[Tonnes_t]]*tblMovement[[#This Row],[Grade_gpt]]/cfg_TroyOz)</f>
        <v/>
      </c>
      <c r="O2691" s="59">
        <f>IF(tblMovement[[#This Row],[Is_Ore]]=1,tblMovement[[#This Row],[Contained_oz]],0)</f>
        <v/>
      </c>
    </row>
    <row r="2692">
      <c r="A2692" s="54" t="n"/>
      <c r="B2692" s="61" t="n"/>
      <c r="C2692" s="61" t="n"/>
      <c r="D2692" s="61" t="n"/>
      <c r="E2692" s="61" t="n"/>
      <c r="F2692" s="55" t="n"/>
      <c r="G2692" s="56" t="n"/>
      <c r="H2692" s="55" t="n"/>
      <c r="I2692" s="62" t="n"/>
      <c r="J2692" s="58" t="n"/>
      <c r="K2692" s="63">
        <f>IF(tblMovement[[#This Row],[Source]]="","",IFERROR(INDEX(tblSources[Type],MATCH(tblMovement[[#This Row],[Source]],tblSources[Source],0)),"?"))</f>
        <v/>
      </c>
      <c r="L2692" s="63">
        <f>IF(tblMovement[[#This Row],[Destination]]="","",IFERROR(INDEX(tblDestinations[Type],MATCH(tblMovement[[#This Row],[Destination]],tblDestinations[Destination],0)),"?"))</f>
        <v/>
      </c>
      <c r="M2692" s="64">
        <f>IF(tblMovement[[#This Row],[Material]]="","",IF(LEFT(tblMovement[[#This Row],[Material]],3)="Ore",1,0))</f>
        <v/>
      </c>
      <c r="N2692" s="59">
        <f>IF(OR(tblMovement[[#This Row],[Tonnes_t]]="",tblMovement[[#This Row],[Grade_gpt]]=""),0,tblMovement[[#This Row],[Tonnes_t]]*tblMovement[[#This Row],[Grade_gpt]]/cfg_TroyOz)</f>
        <v/>
      </c>
      <c r="O2692" s="59">
        <f>IF(tblMovement[[#This Row],[Is_Ore]]=1,tblMovement[[#This Row],[Contained_oz]],0)</f>
        <v/>
      </c>
    </row>
    <row r="2693">
      <c r="A2693" s="54" t="n"/>
      <c r="B2693" s="61" t="n"/>
      <c r="C2693" s="61" t="n"/>
      <c r="D2693" s="61" t="n"/>
      <c r="E2693" s="61" t="n"/>
      <c r="F2693" s="55" t="n"/>
      <c r="G2693" s="56" t="n"/>
      <c r="H2693" s="55" t="n"/>
      <c r="I2693" s="62" t="n"/>
      <c r="J2693" s="58" t="n"/>
      <c r="K2693" s="63">
        <f>IF(tblMovement[[#This Row],[Source]]="","",IFERROR(INDEX(tblSources[Type],MATCH(tblMovement[[#This Row],[Source]],tblSources[Source],0)),"?"))</f>
        <v/>
      </c>
      <c r="L2693" s="63">
        <f>IF(tblMovement[[#This Row],[Destination]]="","",IFERROR(INDEX(tblDestinations[Type],MATCH(tblMovement[[#This Row],[Destination]],tblDestinations[Destination],0)),"?"))</f>
        <v/>
      </c>
      <c r="M2693" s="64">
        <f>IF(tblMovement[[#This Row],[Material]]="","",IF(LEFT(tblMovement[[#This Row],[Material]],3)="Ore",1,0))</f>
        <v/>
      </c>
      <c r="N2693" s="59">
        <f>IF(OR(tblMovement[[#This Row],[Tonnes_t]]="",tblMovement[[#This Row],[Grade_gpt]]=""),0,tblMovement[[#This Row],[Tonnes_t]]*tblMovement[[#This Row],[Grade_gpt]]/cfg_TroyOz)</f>
        <v/>
      </c>
      <c r="O2693" s="59">
        <f>IF(tblMovement[[#This Row],[Is_Ore]]=1,tblMovement[[#This Row],[Contained_oz]],0)</f>
        <v/>
      </c>
    </row>
    <row r="2694">
      <c r="A2694" s="54" t="n"/>
      <c r="B2694" s="61" t="n"/>
      <c r="C2694" s="61" t="n"/>
      <c r="D2694" s="61" t="n"/>
      <c r="E2694" s="61" t="n"/>
      <c r="F2694" s="55" t="n"/>
      <c r="G2694" s="56" t="n"/>
      <c r="H2694" s="55" t="n"/>
      <c r="I2694" s="62" t="n"/>
      <c r="J2694" s="58" t="n"/>
      <c r="K2694" s="63">
        <f>IF(tblMovement[[#This Row],[Source]]="","",IFERROR(INDEX(tblSources[Type],MATCH(tblMovement[[#This Row],[Source]],tblSources[Source],0)),"?"))</f>
        <v/>
      </c>
      <c r="L2694" s="63">
        <f>IF(tblMovement[[#This Row],[Destination]]="","",IFERROR(INDEX(tblDestinations[Type],MATCH(tblMovement[[#This Row],[Destination]],tblDestinations[Destination],0)),"?"))</f>
        <v/>
      </c>
      <c r="M2694" s="64">
        <f>IF(tblMovement[[#This Row],[Material]]="","",IF(LEFT(tblMovement[[#This Row],[Material]],3)="Ore",1,0))</f>
        <v/>
      </c>
      <c r="N2694" s="59">
        <f>IF(OR(tblMovement[[#This Row],[Tonnes_t]]="",tblMovement[[#This Row],[Grade_gpt]]=""),0,tblMovement[[#This Row],[Tonnes_t]]*tblMovement[[#This Row],[Grade_gpt]]/cfg_TroyOz)</f>
        <v/>
      </c>
      <c r="O2694" s="59">
        <f>IF(tblMovement[[#This Row],[Is_Ore]]=1,tblMovement[[#This Row],[Contained_oz]],0)</f>
        <v/>
      </c>
    </row>
    <row r="2695">
      <c r="A2695" s="54" t="n"/>
      <c r="B2695" s="61" t="n"/>
      <c r="C2695" s="61" t="n"/>
      <c r="D2695" s="61" t="n"/>
      <c r="E2695" s="61" t="n"/>
      <c r="F2695" s="55" t="n"/>
      <c r="G2695" s="56" t="n"/>
      <c r="H2695" s="55" t="n"/>
      <c r="I2695" s="62" t="n"/>
      <c r="J2695" s="58" t="n"/>
      <c r="K2695" s="63">
        <f>IF(tblMovement[[#This Row],[Source]]="","",IFERROR(INDEX(tblSources[Type],MATCH(tblMovement[[#This Row],[Source]],tblSources[Source],0)),"?"))</f>
        <v/>
      </c>
      <c r="L2695" s="63">
        <f>IF(tblMovement[[#This Row],[Destination]]="","",IFERROR(INDEX(tblDestinations[Type],MATCH(tblMovement[[#This Row],[Destination]],tblDestinations[Destination],0)),"?"))</f>
        <v/>
      </c>
      <c r="M2695" s="64">
        <f>IF(tblMovement[[#This Row],[Material]]="","",IF(LEFT(tblMovement[[#This Row],[Material]],3)="Ore",1,0))</f>
        <v/>
      </c>
      <c r="N2695" s="59">
        <f>IF(OR(tblMovement[[#This Row],[Tonnes_t]]="",tblMovement[[#This Row],[Grade_gpt]]=""),0,tblMovement[[#This Row],[Tonnes_t]]*tblMovement[[#This Row],[Grade_gpt]]/cfg_TroyOz)</f>
        <v/>
      </c>
      <c r="O2695" s="59">
        <f>IF(tblMovement[[#This Row],[Is_Ore]]=1,tblMovement[[#This Row],[Contained_oz]],0)</f>
        <v/>
      </c>
    </row>
    <row r="2696">
      <c r="A2696" s="54" t="n"/>
      <c r="B2696" s="61" t="n"/>
      <c r="C2696" s="61" t="n"/>
      <c r="D2696" s="61" t="n"/>
      <c r="E2696" s="61" t="n"/>
      <c r="F2696" s="55" t="n"/>
      <c r="G2696" s="56" t="n"/>
      <c r="H2696" s="55" t="n"/>
      <c r="I2696" s="62" t="n"/>
      <c r="J2696" s="58" t="n"/>
      <c r="K2696" s="63">
        <f>IF(tblMovement[[#This Row],[Source]]="","",IFERROR(INDEX(tblSources[Type],MATCH(tblMovement[[#This Row],[Source]],tblSources[Source],0)),"?"))</f>
        <v/>
      </c>
      <c r="L2696" s="63">
        <f>IF(tblMovement[[#This Row],[Destination]]="","",IFERROR(INDEX(tblDestinations[Type],MATCH(tblMovement[[#This Row],[Destination]],tblDestinations[Destination],0)),"?"))</f>
        <v/>
      </c>
      <c r="M2696" s="64">
        <f>IF(tblMovement[[#This Row],[Material]]="","",IF(LEFT(tblMovement[[#This Row],[Material]],3)="Ore",1,0))</f>
        <v/>
      </c>
      <c r="N2696" s="59">
        <f>IF(OR(tblMovement[[#This Row],[Tonnes_t]]="",tblMovement[[#This Row],[Grade_gpt]]=""),0,tblMovement[[#This Row],[Tonnes_t]]*tblMovement[[#This Row],[Grade_gpt]]/cfg_TroyOz)</f>
        <v/>
      </c>
      <c r="O2696" s="59">
        <f>IF(tblMovement[[#This Row],[Is_Ore]]=1,tblMovement[[#This Row],[Contained_oz]],0)</f>
        <v/>
      </c>
    </row>
    <row r="2697">
      <c r="A2697" s="54" t="n"/>
      <c r="B2697" s="61" t="n"/>
      <c r="C2697" s="61" t="n"/>
      <c r="D2697" s="61" t="n"/>
      <c r="E2697" s="61" t="n"/>
      <c r="F2697" s="55" t="n"/>
      <c r="G2697" s="56" t="n"/>
      <c r="H2697" s="55" t="n"/>
      <c r="I2697" s="62" t="n"/>
      <c r="J2697" s="58" t="n"/>
      <c r="K2697" s="63">
        <f>IF(tblMovement[[#This Row],[Source]]="","",IFERROR(INDEX(tblSources[Type],MATCH(tblMovement[[#This Row],[Source]],tblSources[Source],0)),"?"))</f>
        <v/>
      </c>
      <c r="L2697" s="63">
        <f>IF(tblMovement[[#This Row],[Destination]]="","",IFERROR(INDEX(tblDestinations[Type],MATCH(tblMovement[[#This Row],[Destination]],tblDestinations[Destination],0)),"?"))</f>
        <v/>
      </c>
      <c r="M2697" s="64">
        <f>IF(tblMovement[[#This Row],[Material]]="","",IF(LEFT(tblMovement[[#This Row],[Material]],3)="Ore",1,0))</f>
        <v/>
      </c>
      <c r="N2697" s="59">
        <f>IF(OR(tblMovement[[#This Row],[Tonnes_t]]="",tblMovement[[#This Row],[Grade_gpt]]=""),0,tblMovement[[#This Row],[Tonnes_t]]*tblMovement[[#This Row],[Grade_gpt]]/cfg_TroyOz)</f>
        <v/>
      </c>
      <c r="O2697" s="59">
        <f>IF(tblMovement[[#This Row],[Is_Ore]]=1,tblMovement[[#This Row],[Contained_oz]],0)</f>
        <v/>
      </c>
    </row>
    <row r="2698">
      <c r="A2698" s="54" t="n"/>
      <c r="B2698" s="61" t="n"/>
      <c r="C2698" s="61" t="n"/>
      <c r="D2698" s="61" t="n"/>
      <c r="E2698" s="61" t="n"/>
      <c r="F2698" s="55" t="n"/>
      <c r="G2698" s="56" t="n"/>
      <c r="H2698" s="55" t="n"/>
      <c r="I2698" s="62" t="n"/>
      <c r="J2698" s="58" t="n"/>
      <c r="K2698" s="63">
        <f>IF(tblMovement[[#This Row],[Source]]="","",IFERROR(INDEX(tblSources[Type],MATCH(tblMovement[[#This Row],[Source]],tblSources[Source],0)),"?"))</f>
        <v/>
      </c>
      <c r="L2698" s="63">
        <f>IF(tblMovement[[#This Row],[Destination]]="","",IFERROR(INDEX(tblDestinations[Type],MATCH(tblMovement[[#This Row],[Destination]],tblDestinations[Destination],0)),"?"))</f>
        <v/>
      </c>
      <c r="M2698" s="64">
        <f>IF(tblMovement[[#This Row],[Material]]="","",IF(LEFT(tblMovement[[#This Row],[Material]],3)="Ore",1,0))</f>
        <v/>
      </c>
      <c r="N2698" s="59">
        <f>IF(OR(tblMovement[[#This Row],[Tonnes_t]]="",tblMovement[[#This Row],[Grade_gpt]]=""),0,tblMovement[[#This Row],[Tonnes_t]]*tblMovement[[#This Row],[Grade_gpt]]/cfg_TroyOz)</f>
        <v/>
      </c>
      <c r="O2698" s="59">
        <f>IF(tblMovement[[#This Row],[Is_Ore]]=1,tblMovement[[#This Row],[Contained_oz]],0)</f>
        <v/>
      </c>
    </row>
    <row r="2699">
      <c r="A2699" s="54" t="n"/>
      <c r="B2699" s="61" t="n"/>
      <c r="C2699" s="61" t="n"/>
      <c r="D2699" s="61" t="n"/>
      <c r="E2699" s="61" t="n"/>
      <c r="F2699" s="55" t="n"/>
      <c r="G2699" s="56" t="n"/>
      <c r="H2699" s="55" t="n"/>
      <c r="I2699" s="62" t="n"/>
      <c r="J2699" s="58" t="n"/>
      <c r="K2699" s="63">
        <f>IF(tblMovement[[#This Row],[Source]]="","",IFERROR(INDEX(tblSources[Type],MATCH(tblMovement[[#This Row],[Source]],tblSources[Source],0)),"?"))</f>
        <v/>
      </c>
      <c r="L2699" s="63">
        <f>IF(tblMovement[[#This Row],[Destination]]="","",IFERROR(INDEX(tblDestinations[Type],MATCH(tblMovement[[#This Row],[Destination]],tblDestinations[Destination],0)),"?"))</f>
        <v/>
      </c>
      <c r="M2699" s="64">
        <f>IF(tblMovement[[#This Row],[Material]]="","",IF(LEFT(tblMovement[[#This Row],[Material]],3)="Ore",1,0))</f>
        <v/>
      </c>
      <c r="N2699" s="59">
        <f>IF(OR(tblMovement[[#This Row],[Tonnes_t]]="",tblMovement[[#This Row],[Grade_gpt]]=""),0,tblMovement[[#This Row],[Tonnes_t]]*tblMovement[[#This Row],[Grade_gpt]]/cfg_TroyOz)</f>
        <v/>
      </c>
      <c r="O2699" s="59">
        <f>IF(tblMovement[[#This Row],[Is_Ore]]=1,tblMovement[[#This Row],[Contained_oz]],0)</f>
        <v/>
      </c>
    </row>
    <row r="2700">
      <c r="A2700" s="54" t="n"/>
      <c r="B2700" s="61" t="n"/>
      <c r="C2700" s="61" t="n"/>
      <c r="D2700" s="61" t="n"/>
      <c r="E2700" s="61" t="n"/>
      <c r="F2700" s="55" t="n"/>
      <c r="G2700" s="56" t="n"/>
      <c r="H2700" s="55" t="n"/>
      <c r="I2700" s="62" t="n"/>
      <c r="J2700" s="58" t="n"/>
      <c r="K2700" s="63">
        <f>IF(tblMovement[[#This Row],[Source]]="","",IFERROR(INDEX(tblSources[Type],MATCH(tblMovement[[#This Row],[Source]],tblSources[Source],0)),"?"))</f>
        <v/>
      </c>
      <c r="L2700" s="63">
        <f>IF(tblMovement[[#This Row],[Destination]]="","",IFERROR(INDEX(tblDestinations[Type],MATCH(tblMovement[[#This Row],[Destination]],tblDestinations[Destination],0)),"?"))</f>
        <v/>
      </c>
      <c r="M2700" s="64">
        <f>IF(tblMovement[[#This Row],[Material]]="","",IF(LEFT(tblMovement[[#This Row],[Material]],3)="Ore",1,0))</f>
        <v/>
      </c>
      <c r="N2700" s="59">
        <f>IF(OR(tblMovement[[#This Row],[Tonnes_t]]="",tblMovement[[#This Row],[Grade_gpt]]=""),0,tblMovement[[#This Row],[Tonnes_t]]*tblMovement[[#This Row],[Grade_gpt]]/cfg_TroyOz)</f>
        <v/>
      </c>
      <c r="O2700" s="59">
        <f>IF(tblMovement[[#This Row],[Is_Ore]]=1,tblMovement[[#This Row],[Contained_oz]],0)</f>
        <v/>
      </c>
    </row>
    <row r="2701">
      <c r="A2701" s="54" t="n"/>
      <c r="B2701" s="61" t="n"/>
      <c r="C2701" s="61" t="n"/>
      <c r="D2701" s="61" t="n"/>
      <c r="E2701" s="61" t="n"/>
      <c r="F2701" s="55" t="n"/>
      <c r="G2701" s="56" t="n"/>
      <c r="H2701" s="55" t="n"/>
      <c r="I2701" s="62" t="n"/>
      <c r="J2701" s="58" t="n"/>
      <c r="K2701" s="63">
        <f>IF(tblMovement[[#This Row],[Source]]="","",IFERROR(INDEX(tblSources[Type],MATCH(tblMovement[[#This Row],[Source]],tblSources[Source],0)),"?"))</f>
        <v/>
      </c>
      <c r="L2701" s="63">
        <f>IF(tblMovement[[#This Row],[Destination]]="","",IFERROR(INDEX(tblDestinations[Type],MATCH(tblMovement[[#This Row],[Destination]],tblDestinations[Destination],0)),"?"))</f>
        <v/>
      </c>
      <c r="M2701" s="64">
        <f>IF(tblMovement[[#This Row],[Material]]="","",IF(LEFT(tblMovement[[#This Row],[Material]],3)="Ore",1,0))</f>
        <v/>
      </c>
      <c r="N2701" s="59">
        <f>IF(OR(tblMovement[[#This Row],[Tonnes_t]]="",tblMovement[[#This Row],[Grade_gpt]]=""),0,tblMovement[[#This Row],[Tonnes_t]]*tblMovement[[#This Row],[Grade_gpt]]/cfg_TroyOz)</f>
        <v/>
      </c>
      <c r="O2701" s="59">
        <f>IF(tblMovement[[#This Row],[Is_Ore]]=1,tblMovement[[#This Row],[Contained_oz]],0)</f>
        <v/>
      </c>
    </row>
    <row r="2702">
      <c r="A2702" s="54" t="n"/>
      <c r="B2702" s="61" t="n"/>
      <c r="C2702" s="61" t="n"/>
      <c r="D2702" s="61" t="n"/>
      <c r="E2702" s="61" t="n"/>
      <c r="F2702" s="55" t="n"/>
      <c r="G2702" s="56" t="n"/>
      <c r="H2702" s="55" t="n"/>
      <c r="I2702" s="62" t="n"/>
      <c r="J2702" s="58" t="n"/>
      <c r="K2702" s="63">
        <f>IF(tblMovement[[#This Row],[Source]]="","",IFERROR(INDEX(tblSources[Type],MATCH(tblMovement[[#This Row],[Source]],tblSources[Source],0)),"?"))</f>
        <v/>
      </c>
      <c r="L2702" s="63">
        <f>IF(tblMovement[[#This Row],[Destination]]="","",IFERROR(INDEX(tblDestinations[Type],MATCH(tblMovement[[#This Row],[Destination]],tblDestinations[Destination],0)),"?"))</f>
        <v/>
      </c>
      <c r="M2702" s="64">
        <f>IF(tblMovement[[#This Row],[Material]]="","",IF(LEFT(tblMovement[[#This Row],[Material]],3)="Ore",1,0))</f>
        <v/>
      </c>
      <c r="N2702" s="59">
        <f>IF(OR(tblMovement[[#This Row],[Tonnes_t]]="",tblMovement[[#This Row],[Grade_gpt]]=""),0,tblMovement[[#This Row],[Tonnes_t]]*tblMovement[[#This Row],[Grade_gpt]]/cfg_TroyOz)</f>
        <v/>
      </c>
      <c r="O2702" s="59">
        <f>IF(tblMovement[[#This Row],[Is_Ore]]=1,tblMovement[[#This Row],[Contained_oz]],0)</f>
        <v/>
      </c>
    </row>
    <row r="2703">
      <c r="A2703" s="54" t="n"/>
      <c r="B2703" s="61" t="n"/>
      <c r="C2703" s="61" t="n"/>
      <c r="D2703" s="61" t="n"/>
      <c r="E2703" s="61" t="n"/>
      <c r="F2703" s="55" t="n"/>
      <c r="G2703" s="56" t="n"/>
      <c r="H2703" s="55" t="n"/>
      <c r="I2703" s="62" t="n"/>
      <c r="J2703" s="58" t="n"/>
      <c r="K2703" s="63">
        <f>IF(tblMovement[[#This Row],[Source]]="","",IFERROR(INDEX(tblSources[Type],MATCH(tblMovement[[#This Row],[Source]],tblSources[Source],0)),"?"))</f>
        <v/>
      </c>
      <c r="L2703" s="63">
        <f>IF(tblMovement[[#This Row],[Destination]]="","",IFERROR(INDEX(tblDestinations[Type],MATCH(tblMovement[[#This Row],[Destination]],tblDestinations[Destination],0)),"?"))</f>
        <v/>
      </c>
      <c r="M2703" s="64">
        <f>IF(tblMovement[[#This Row],[Material]]="","",IF(LEFT(tblMovement[[#This Row],[Material]],3)="Ore",1,0))</f>
        <v/>
      </c>
      <c r="N2703" s="59">
        <f>IF(OR(tblMovement[[#This Row],[Tonnes_t]]="",tblMovement[[#This Row],[Grade_gpt]]=""),0,tblMovement[[#This Row],[Tonnes_t]]*tblMovement[[#This Row],[Grade_gpt]]/cfg_TroyOz)</f>
        <v/>
      </c>
      <c r="O2703" s="59">
        <f>IF(tblMovement[[#This Row],[Is_Ore]]=1,tblMovement[[#This Row],[Contained_oz]],0)</f>
        <v/>
      </c>
    </row>
    <row r="2704">
      <c r="A2704" s="54" t="n"/>
      <c r="B2704" s="61" t="n"/>
      <c r="C2704" s="61" t="n"/>
      <c r="D2704" s="61" t="n"/>
      <c r="E2704" s="61" t="n"/>
      <c r="F2704" s="55" t="n"/>
      <c r="G2704" s="56" t="n"/>
      <c r="H2704" s="55" t="n"/>
      <c r="I2704" s="62" t="n"/>
      <c r="J2704" s="58" t="n"/>
      <c r="K2704" s="63">
        <f>IF(tblMovement[[#This Row],[Source]]="","",IFERROR(INDEX(tblSources[Type],MATCH(tblMovement[[#This Row],[Source]],tblSources[Source],0)),"?"))</f>
        <v/>
      </c>
      <c r="L2704" s="63">
        <f>IF(tblMovement[[#This Row],[Destination]]="","",IFERROR(INDEX(tblDestinations[Type],MATCH(tblMovement[[#This Row],[Destination]],tblDestinations[Destination],0)),"?"))</f>
        <v/>
      </c>
      <c r="M2704" s="64">
        <f>IF(tblMovement[[#This Row],[Material]]="","",IF(LEFT(tblMovement[[#This Row],[Material]],3)="Ore",1,0))</f>
        <v/>
      </c>
      <c r="N2704" s="59">
        <f>IF(OR(tblMovement[[#This Row],[Tonnes_t]]="",tblMovement[[#This Row],[Grade_gpt]]=""),0,tblMovement[[#This Row],[Tonnes_t]]*tblMovement[[#This Row],[Grade_gpt]]/cfg_TroyOz)</f>
        <v/>
      </c>
      <c r="O2704" s="59">
        <f>IF(tblMovement[[#This Row],[Is_Ore]]=1,tblMovement[[#This Row],[Contained_oz]],0)</f>
        <v/>
      </c>
    </row>
    <row r="2705">
      <c r="A2705" s="54" t="n"/>
      <c r="B2705" s="61" t="n"/>
      <c r="C2705" s="61" t="n"/>
      <c r="D2705" s="61" t="n"/>
      <c r="E2705" s="61" t="n"/>
      <c r="F2705" s="55" t="n"/>
      <c r="G2705" s="56" t="n"/>
      <c r="H2705" s="55" t="n"/>
      <c r="I2705" s="62" t="n"/>
      <c r="J2705" s="58" t="n"/>
      <c r="K2705" s="63">
        <f>IF(tblMovement[[#This Row],[Source]]="","",IFERROR(INDEX(tblSources[Type],MATCH(tblMovement[[#This Row],[Source]],tblSources[Source],0)),"?"))</f>
        <v/>
      </c>
      <c r="L2705" s="63">
        <f>IF(tblMovement[[#This Row],[Destination]]="","",IFERROR(INDEX(tblDestinations[Type],MATCH(tblMovement[[#This Row],[Destination]],tblDestinations[Destination],0)),"?"))</f>
        <v/>
      </c>
      <c r="M2705" s="64">
        <f>IF(tblMovement[[#This Row],[Material]]="","",IF(LEFT(tblMovement[[#This Row],[Material]],3)="Ore",1,0))</f>
        <v/>
      </c>
      <c r="N2705" s="59">
        <f>IF(OR(tblMovement[[#This Row],[Tonnes_t]]="",tblMovement[[#This Row],[Grade_gpt]]=""),0,tblMovement[[#This Row],[Tonnes_t]]*tblMovement[[#This Row],[Grade_gpt]]/cfg_TroyOz)</f>
        <v/>
      </c>
      <c r="O2705" s="59">
        <f>IF(tblMovement[[#This Row],[Is_Ore]]=1,tblMovement[[#This Row],[Contained_oz]],0)</f>
        <v/>
      </c>
    </row>
    <row r="2706">
      <c r="A2706" s="54" t="n"/>
      <c r="B2706" s="61" t="n"/>
      <c r="C2706" s="61" t="n"/>
      <c r="D2706" s="61" t="n"/>
      <c r="E2706" s="61" t="n"/>
      <c r="F2706" s="55" t="n"/>
      <c r="G2706" s="56" t="n"/>
      <c r="H2706" s="55" t="n"/>
      <c r="I2706" s="62" t="n"/>
      <c r="J2706" s="58" t="n"/>
      <c r="K2706" s="63">
        <f>IF(tblMovement[[#This Row],[Source]]="","",IFERROR(INDEX(tblSources[Type],MATCH(tblMovement[[#This Row],[Source]],tblSources[Source],0)),"?"))</f>
        <v/>
      </c>
      <c r="L2706" s="63">
        <f>IF(tblMovement[[#This Row],[Destination]]="","",IFERROR(INDEX(tblDestinations[Type],MATCH(tblMovement[[#This Row],[Destination]],tblDestinations[Destination],0)),"?"))</f>
        <v/>
      </c>
      <c r="M2706" s="64">
        <f>IF(tblMovement[[#This Row],[Material]]="","",IF(LEFT(tblMovement[[#This Row],[Material]],3)="Ore",1,0))</f>
        <v/>
      </c>
      <c r="N2706" s="59">
        <f>IF(OR(tblMovement[[#This Row],[Tonnes_t]]="",tblMovement[[#This Row],[Grade_gpt]]=""),0,tblMovement[[#This Row],[Tonnes_t]]*tblMovement[[#This Row],[Grade_gpt]]/cfg_TroyOz)</f>
        <v/>
      </c>
      <c r="O2706" s="59">
        <f>IF(tblMovement[[#This Row],[Is_Ore]]=1,tblMovement[[#This Row],[Contained_oz]],0)</f>
        <v/>
      </c>
    </row>
    <row r="2707">
      <c r="A2707" s="54" t="n"/>
      <c r="B2707" s="61" t="n"/>
      <c r="C2707" s="61" t="n"/>
      <c r="D2707" s="61" t="n"/>
      <c r="E2707" s="61" t="n"/>
      <c r="F2707" s="55" t="n"/>
      <c r="G2707" s="56" t="n"/>
      <c r="H2707" s="55" t="n"/>
      <c r="I2707" s="62" t="n"/>
      <c r="J2707" s="58" t="n"/>
      <c r="K2707" s="63">
        <f>IF(tblMovement[[#This Row],[Source]]="","",IFERROR(INDEX(tblSources[Type],MATCH(tblMovement[[#This Row],[Source]],tblSources[Source],0)),"?"))</f>
        <v/>
      </c>
      <c r="L2707" s="63">
        <f>IF(tblMovement[[#This Row],[Destination]]="","",IFERROR(INDEX(tblDestinations[Type],MATCH(tblMovement[[#This Row],[Destination]],tblDestinations[Destination],0)),"?"))</f>
        <v/>
      </c>
      <c r="M2707" s="64">
        <f>IF(tblMovement[[#This Row],[Material]]="","",IF(LEFT(tblMovement[[#This Row],[Material]],3)="Ore",1,0))</f>
        <v/>
      </c>
      <c r="N2707" s="59">
        <f>IF(OR(tblMovement[[#This Row],[Tonnes_t]]="",tblMovement[[#This Row],[Grade_gpt]]=""),0,tblMovement[[#This Row],[Tonnes_t]]*tblMovement[[#This Row],[Grade_gpt]]/cfg_TroyOz)</f>
        <v/>
      </c>
      <c r="O2707" s="59">
        <f>IF(tblMovement[[#This Row],[Is_Ore]]=1,tblMovement[[#This Row],[Contained_oz]],0)</f>
        <v/>
      </c>
    </row>
    <row r="2708">
      <c r="A2708" s="54" t="n"/>
      <c r="B2708" s="61" t="n"/>
      <c r="C2708" s="61" t="n"/>
      <c r="D2708" s="61" t="n"/>
      <c r="E2708" s="61" t="n"/>
      <c r="F2708" s="55" t="n"/>
      <c r="G2708" s="56" t="n"/>
      <c r="H2708" s="55" t="n"/>
      <c r="I2708" s="62" t="n"/>
      <c r="J2708" s="58" t="n"/>
      <c r="K2708" s="63">
        <f>IF(tblMovement[[#This Row],[Source]]="","",IFERROR(INDEX(tblSources[Type],MATCH(tblMovement[[#This Row],[Source]],tblSources[Source],0)),"?"))</f>
        <v/>
      </c>
      <c r="L2708" s="63">
        <f>IF(tblMovement[[#This Row],[Destination]]="","",IFERROR(INDEX(tblDestinations[Type],MATCH(tblMovement[[#This Row],[Destination]],tblDestinations[Destination],0)),"?"))</f>
        <v/>
      </c>
      <c r="M2708" s="64">
        <f>IF(tblMovement[[#This Row],[Material]]="","",IF(LEFT(tblMovement[[#This Row],[Material]],3)="Ore",1,0))</f>
        <v/>
      </c>
      <c r="N2708" s="59">
        <f>IF(OR(tblMovement[[#This Row],[Tonnes_t]]="",tblMovement[[#This Row],[Grade_gpt]]=""),0,tblMovement[[#This Row],[Tonnes_t]]*tblMovement[[#This Row],[Grade_gpt]]/cfg_TroyOz)</f>
        <v/>
      </c>
      <c r="O2708" s="59">
        <f>IF(tblMovement[[#This Row],[Is_Ore]]=1,tblMovement[[#This Row],[Contained_oz]],0)</f>
        <v/>
      </c>
    </row>
    <row r="2709">
      <c r="A2709" s="54" t="n"/>
      <c r="B2709" s="61" t="n"/>
      <c r="C2709" s="61" t="n"/>
      <c r="D2709" s="61" t="n"/>
      <c r="E2709" s="61" t="n"/>
      <c r="F2709" s="55" t="n"/>
      <c r="G2709" s="56" t="n"/>
      <c r="H2709" s="55" t="n"/>
      <c r="I2709" s="62" t="n"/>
      <c r="J2709" s="58" t="n"/>
      <c r="K2709" s="63">
        <f>IF(tblMovement[[#This Row],[Source]]="","",IFERROR(INDEX(tblSources[Type],MATCH(tblMovement[[#This Row],[Source]],tblSources[Source],0)),"?"))</f>
        <v/>
      </c>
      <c r="L2709" s="63">
        <f>IF(tblMovement[[#This Row],[Destination]]="","",IFERROR(INDEX(tblDestinations[Type],MATCH(tblMovement[[#This Row],[Destination]],tblDestinations[Destination],0)),"?"))</f>
        <v/>
      </c>
      <c r="M2709" s="64">
        <f>IF(tblMovement[[#This Row],[Material]]="","",IF(LEFT(tblMovement[[#This Row],[Material]],3)="Ore",1,0))</f>
        <v/>
      </c>
      <c r="N2709" s="59">
        <f>IF(OR(tblMovement[[#This Row],[Tonnes_t]]="",tblMovement[[#This Row],[Grade_gpt]]=""),0,tblMovement[[#This Row],[Tonnes_t]]*tblMovement[[#This Row],[Grade_gpt]]/cfg_TroyOz)</f>
        <v/>
      </c>
      <c r="O2709" s="59">
        <f>IF(tblMovement[[#This Row],[Is_Ore]]=1,tblMovement[[#This Row],[Contained_oz]],0)</f>
        <v/>
      </c>
    </row>
    <row r="2710">
      <c r="A2710" s="54" t="n"/>
      <c r="B2710" s="61" t="n"/>
      <c r="C2710" s="61" t="n"/>
      <c r="D2710" s="61" t="n"/>
      <c r="E2710" s="61" t="n"/>
      <c r="F2710" s="55" t="n"/>
      <c r="G2710" s="56" t="n"/>
      <c r="H2710" s="55" t="n"/>
      <c r="I2710" s="62" t="n"/>
      <c r="J2710" s="58" t="n"/>
      <c r="K2710" s="63">
        <f>IF(tblMovement[[#This Row],[Source]]="","",IFERROR(INDEX(tblSources[Type],MATCH(tblMovement[[#This Row],[Source]],tblSources[Source],0)),"?"))</f>
        <v/>
      </c>
      <c r="L2710" s="63">
        <f>IF(tblMovement[[#This Row],[Destination]]="","",IFERROR(INDEX(tblDestinations[Type],MATCH(tblMovement[[#This Row],[Destination]],tblDestinations[Destination],0)),"?"))</f>
        <v/>
      </c>
      <c r="M2710" s="64">
        <f>IF(tblMovement[[#This Row],[Material]]="","",IF(LEFT(tblMovement[[#This Row],[Material]],3)="Ore",1,0))</f>
        <v/>
      </c>
      <c r="N2710" s="59">
        <f>IF(OR(tblMovement[[#This Row],[Tonnes_t]]="",tblMovement[[#This Row],[Grade_gpt]]=""),0,tblMovement[[#This Row],[Tonnes_t]]*tblMovement[[#This Row],[Grade_gpt]]/cfg_TroyOz)</f>
        <v/>
      </c>
      <c r="O2710" s="59">
        <f>IF(tblMovement[[#This Row],[Is_Ore]]=1,tblMovement[[#This Row],[Contained_oz]],0)</f>
        <v/>
      </c>
    </row>
    <row r="2711">
      <c r="A2711" s="54" t="n"/>
      <c r="B2711" s="61" t="n"/>
      <c r="C2711" s="61" t="n"/>
      <c r="D2711" s="61" t="n"/>
      <c r="E2711" s="61" t="n"/>
      <c r="F2711" s="55" t="n"/>
      <c r="G2711" s="56" t="n"/>
      <c r="H2711" s="55" t="n"/>
      <c r="I2711" s="62" t="n"/>
      <c r="J2711" s="58" t="n"/>
      <c r="K2711" s="63">
        <f>IF(tblMovement[[#This Row],[Source]]="","",IFERROR(INDEX(tblSources[Type],MATCH(tblMovement[[#This Row],[Source]],tblSources[Source],0)),"?"))</f>
        <v/>
      </c>
      <c r="L2711" s="63">
        <f>IF(tblMovement[[#This Row],[Destination]]="","",IFERROR(INDEX(tblDestinations[Type],MATCH(tblMovement[[#This Row],[Destination]],tblDestinations[Destination],0)),"?"))</f>
        <v/>
      </c>
      <c r="M2711" s="64">
        <f>IF(tblMovement[[#This Row],[Material]]="","",IF(LEFT(tblMovement[[#This Row],[Material]],3)="Ore",1,0))</f>
        <v/>
      </c>
      <c r="N2711" s="59">
        <f>IF(OR(tblMovement[[#This Row],[Tonnes_t]]="",tblMovement[[#This Row],[Grade_gpt]]=""),0,tblMovement[[#This Row],[Tonnes_t]]*tblMovement[[#This Row],[Grade_gpt]]/cfg_TroyOz)</f>
        <v/>
      </c>
      <c r="O2711" s="59">
        <f>IF(tblMovement[[#This Row],[Is_Ore]]=1,tblMovement[[#This Row],[Contained_oz]],0)</f>
        <v/>
      </c>
    </row>
    <row r="2712">
      <c r="A2712" s="54" t="n"/>
      <c r="B2712" s="61" t="n"/>
      <c r="C2712" s="61" t="n"/>
      <c r="D2712" s="61" t="n"/>
      <c r="E2712" s="61" t="n"/>
      <c r="F2712" s="55" t="n"/>
      <c r="G2712" s="56" t="n"/>
      <c r="H2712" s="55" t="n"/>
      <c r="I2712" s="62" t="n"/>
      <c r="J2712" s="58" t="n"/>
      <c r="K2712" s="63">
        <f>IF(tblMovement[[#This Row],[Source]]="","",IFERROR(INDEX(tblSources[Type],MATCH(tblMovement[[#This Row],[Source]],tblSources[Source],0)),"?"))</f>
        <v/>
      </c>
      <c r="L2712" s="63">
        <f>IF(tblMovement[[#This Row],[Destination]]="","",IFERROR(INDEX(tblDestinations[Type],MATCH(tblMovement[[#This Row],[Destination]],tblDestinations[Destination],0)),"?"))</f>
        <v/>
      </c>
      <c r="M2712" s="64">
        <f>IF(tblMovement[[#This Row],[Material]]="","",IF(LEFT(tblMovement[[#This Row],[Material]],3)="Ore",1,0))</f>
        <v/>
      </c>
      <c r="N2712" s="59">
        <f>IF(OR(tblMovement[[#This Row],[Tonnes_t]]="",tblMovement[[#This Row],[Grade_gpt]]=""),0,tblMovement[[#This Row],[Tonnes_t]]*tblMovement[[#This Row],[Grade_gpt]]/cfg_TroyOz)</f>
        <v/>
      </c>
      <c r="O2712" s="59">
        <f>IF(tblMovement[[#This Row],[Is_Ore]]=1,tblMovement[[#This Row],[Contained_oz]],0)</f>
        <v/>
      </c>
    </row>
    <row r="2713">
      <c r="A2713" s="54" t="n"/>
      <c r="B2713" s="61" t="n"/>
      <c r="C2713" s="61" t="n"/>
      <c r="D2713" s="61" t="n"/>
      <c r="E2713" s="61" t="n"/>
      <c r="F2713" s="55" t="n"/>
      <c r="G2713" s="56" t="n"/>
      <c r="H2713" s="55" t="n"/>
      <c r="I2713" s="62" t="n"/>
      <c r="J2713" s="58" t="n"/>
      <c r="K2713" s="63">
        <f>IF(tblMovement[[#This Row],[Source]]="","",IFERROR(INDEX(tblSources[Type],MATCH(tblMovement[[#This Row],[Source]],tblSources[Source],0)),"?"))</f>
        <v/>
      </c>
      <c r="L2713" s="63">
        <f>IF(tblMovement[[#This Row],[Destination]]="","",IFERROR(INDEX(tblDestinations[Type],MATCH(tblMovement[[#This Row],[Destination]],tblDestinations[Destination],0)),"?"))</f>
        <v/>
      </c>
      <c r="M2713" s="64">
        <f>IF(tblMovement[[#This Row],[Material]]="","",IF(LEFT(tblMovement[[#This Row],[Material]],3)="Ore",1,0))</f>
        <v/>
      </c>
      <c r="N2713" s="59">
        <f>IF(OR(tblMovement[[#This Row],[Tonnes_t]]="",tblMovement[[#This Row],[Grade_gpt]]=""),0,tblMovement[[#This Row],[Tonnes_t]]*tblMovement[[#This Row],[Grade_gpt]]/cfg_TroyOz)</f>
        <v/>
      </c>
      <c r="O2713" s="59">
        <f>IF(tblMovement[[#This Row],[Is_Ore]]=1,tblMovement[[#This Row],[Contained_oz]],0)</f>
        <v/>
      </c>
    </row>
    <row r="2714">
      <c r="A2714" s="54" t="n"/>
      <c r="B2714" s="61" t="n"/>
      <c r="C2714" s="61" t="n"/>
      <c r="D2714" s="61" t="n"/>
      <c r="E2714" s="61" t="n"/>
      <c r="F2714" s="55" t="n"/>
      <c r="G2714" s="56" t="n"/>
      <c r="H2714" s="55" t="n"/>
      <c r="I2714" s="62" t="n"/>
      <c r="J2714" s="58" t="n"/>
      <c r="K2714" s="63">
        <f>IF(tblMovement[[#This Row],[Source]]="","",IFERROR(INDEX(tblSources[Type],MATCH(tblMovement[[#This Row],[Source]],tblSources[Source],0)),"?"))</f>
        <v/>
      </c>
      <c r="L2714" s="63">
        <f>IF(tblMovement[[#This Row],[Destination]]="","",IFERROR(INDEX(tblDestinations[Type],MATCH(tblMovement[[#This Row],[Destination]],tblDestinations[Destination],0)),"?"))</f>
        <v/>
      </c>
      <c r="M2714" s="64">
        <f>IF(tblMovement[[#This Row],[Material]]="","",IF(LEFT(tblMovement[[#This Row],[Material]],3)="Ore",1,0))</f>
        <v/>
      </c>
      <c r="N2714" s="59">
        <f>IF(OR(tblMovement[[#This Row],[Tonnes_t]]="",tblMovement[[#This Row],[Grade_gpt]]=""),0,tblMovement[[#This Row],[Tonnes_t]]*tblMovement[[#This Row],[Grade_gpt]]/cfg_TroyOz)</f>
        <v/>
      </c>
      <c r="O2714" s="59">
        <f>IF(tblMovement[[#This Row],[Is_Ore]]=1,tblMovement[[#This Row],[Contained_oz]],0)</f>
        <v/>
      </c>
    </row>
    <row r="2715">
      <c r="A2715" s="54" t="n"/>
      <c r="B2715" s="61" t="n"/>
      <c r="C2715" s="61" t="n"/>
      <c r="D2715" s="61" t="n"/>
      <c r="E2715" s="61" t="n"/>
      <c r="F2715" s="55" t="n"/>
      <c r="G2715" s="56" t="n"/>
      <c r="H2715" s="55" t="n"/>
      <c r="I2715" s="62" t="n"/>
      <c r="J2715" s="58" t="n"/>
      <c r="K2715" s="63">
        <f>IF(tblMovement[[#This Row],[Source]]="","",IFERROR(INDEX(tblSources[Type],MATCH(tblMovement[[#This Row],[Source]],tblSources[Source],0)),"?"))</f>
        <v/>
      </c>
      <c r="L2715" s="63">
        <f>IF(tblMovement[[#This Row],[Destination]]="","",IFERROR(INDEX(tblDestinations[Type],MATCH(tblMovement[[#This Row],[Destination]],tblDestinations[Destination],0)),"?"))</f>
        <v/>
      </c>
      <c r="M2715" s="64">
        <f>IF(tblMovement[[#This Row],[Material]]="","",IF(LEFT(tblMovement[[#This Row],[Material]],3)="Ore",1,0))</f>
        <v/>
      </c>
      <c r="N2715" s="59">
        <f>IF(OR(tblMovement[[#This Row],[Tonnes_t]]="",tblMovement[[#This Row],[Grade_gpt]]=""),0,tblMovement[[#This Row],[Tonnes_t]]*tblMovement[[#This Row],[Grade_gpt]]/cfg_TroyOz)</f>
        <v/>
      </c>
      <c r="O2715" s="59">
        <f>IF(tblMovement[[#This Row],[Is_Ore]]=1,tblMovement[[#This Row],[Contained_oz]],0)</f>
        <v/>
      </c>
    </row>
    <row r="2716">
      <c r="A2716" s="54" t="n"/>
      <c r="B2716" s="61" t="n"/>
      <c r="C2716" s="61" t="n"/>
      <c r="D2716" s="61" t="n"/>
      <c r="E2716" s="61" t="n"/>
      <c r="F2716" s="55" t="n"/>
      <c r="G2716" s="56" t="n"/>
      <c r="H2716" s="55" t="n"/>
      <c r="I2716" s="62" t="n"/>
      <c r="J2716" s="58" t="n"/>
      <c r="K2716" s="63">
        <f>IF(tblMovement[[#This Row],[Source]]="","",IFERROR(INDEX(tblSources[Type],MATCH(tblMovement[[#This Row],[Source]],tblSources[Source],0)),"?"))</f>
        <v/>
      </c>
      <c r="L2716" s="63">
        <f>IF(tblMovement[[#This Row],[Destination]]="","",IFERROR(INDEX(tblDestinations[Type],MATCH(tblMovement[[#This Row],[Destination]],tblDestinations[Destination],0)),"?"))</f>
        <v/>
      </c>
      <c r="M2716" s="64">
        <f>IF(tblMovement[[#This Row],[Material]]="","",IF(LEFT(tblMovement[[#This Row],[Material]],3)="Ore",1,0))</f>
        <v/>
      </c>
      <c r="N2716" s="59">
        <f>IF(OR(tblMovement[[#This Row],[Tonnes_t]]="",tblMovement[[#This Row],[Grade_gpt]]=""),0,tblMovement[[#This Row],[Tonnes_t]]*tblMovement[[#This Row],[Grade_gpt]]/cfg_TroyOz)</f>
        <v/>
      </c>
      <c r="O2716" s="59">
        <f>IF(tblMovement[[#This Row],[Is_Ore]]=1,tblMovement[[#This Row],[Contained_oz]],0)</f>
        <v/>
      </c>
    </row>
    <row r="2717">
      <c r="A2717" s="54" t="n"/>
      <c r="B2717" s="61" t="n"/>
      <c r="C2717" s="61" t="n"/>
      <c r="D2717" s="61" t="n"/>
      <c r="E2717" s="61" t="n"/>
      <c r="F2717" s="55" t="n"/>
      <c r="G2717" s="56" t="n"/>
      <c r="H2717" s="55" t="n"/>
      <c r="I2717" s="62" t="n"/>
      <c r="J2717" s="58" t="n"/>
      <c r="K2717" s="63">
        <f>IF(tblMovement[[#This Row],[Source]]="","",IFERROR(INDEX(tblSources[Type],MATCH(tblMovement[[#This Row],[Source]],tblSources[Source],0)),"?"))</f>
        <v/>
      </c>
      <c r="L2717" s="63">
        <f>IF(tblMovement[[#This Row],[Destination]]="","",IFERROR(INDEX(tblDestinations[Type],MATCH(tblMovement[[#This Row],[Destination]],tblDestinations[Destination],0)),"?"))</f>
        <v/>
      </c>
      <c r="M2717" s="64">
        <f>IF(tblMovement[[#This Row],[Material]]="","",IF(LEFT(tblMovement[[#This Row],[Material]],3)="Ore",1,0))</f>
        <v/>
      </c>
      <c r="N2717" s="59">
        <f>IF(OR(tblMovement[[#This Row],[Tonnes_t]]="",tblMovement[[#This Row],[Grade_gpt]]=""),0,tblMovement[[#This Row],[Tonnes_t]]*tblMovement[[#This Row],[Grade_gpt]]/cfg_TroyOz)</f>
        <v/>
      </c>
      <c r="O2717" s="59">
        <f>IF(tblMovement[[#This Row],[Is_Ore]]=1,tblMovement[[#This Row],[Contained_oz]],0)</f>
        <v/>
      </c>
    </row>
    <row r="2718">
      <c r="A2718" s="54" t="n"/>
      <c r="B2718" s="61" t="n"/>
      <c r="C2718" s="61" t="n"/>
      <c r="D2718" s="61" t="n"/>
      <c r="E2718" s="61" t="n"/>
      <c r="F2718" s="55" t="n"/>
      <c r="G2718" s="56" t="n"/>
      <c r="H2718" s="55" t="n"/>
      <c r="I2718" s="62" t="n"/>
      <c r="J2718" s="58" t="n"/>
      <c r="K2718" s="63">
        <f>IF(tblMovement[[#This Row],[Source]]="","",IFERROR(INDEX(tblSources[Type],MATCH(tblMovement[[#This Row],[Source]],tblSources[Source],0)),"?"))</f>
        <v/>
      </c>
      <c r="L2718" s="63">
        <f>IF(tblMovement[[#This Row],[Destination]]="","",IFERROR(INDEX(tblDestinations[Type],MATCH(tblMovement[[#This Row],[Destination]],tblDestinations[Destination],0)),"?"))</f>
        <v/>
      </c>
      <c r="M2718" s="64">
        <f>IF(tblMovement[[#This Row],[Material]]="","",IF(LEFT(tblMovement[[#This Row],[Material]],3)="Ore",1,0))</f>
        <v/>
      </c>
      <c r="N2718" s="59">
        <f>IF(OR(tblMovement[[#This Row],[Tonnes_t]]="",tblMovement[[#This Row],[Grade_gpt]]=""),0,tblMovement[[#This Row],[Tonnes_t]]*tblMovement[[#This Row],[Grade_gpt]]/cfg_TroyOz)</f>
        <v/>
      </c>
      <c r="O2718" s="59">
        <f>IF(tblMovement[[#This Row],[Is_Ore]]=1,tblMovement[[#This Row],[Contained_oz]],0)</f>
        <v/>
      </c>
    </row>
    <row r="2719">
      <c r="A2719" s="54" t="n"/>
      <c r="B2719" s="61" t="n"/>
      <c r="C2719" s="61" t="n"/>
      <c r="D2719" s="61" t="n"/>
      <c r="E2719" s="61" t="n"/>
      <c r="F2719" s="55" t="n"/>
      <c r="G2719" s="56" t="n"/>
      <c r="H2719" s="55" t="n"/>
      <c r="I2719" s="62" t="n"/>
      <c r="J2719" s="58" t="n"/>
      <c r="K2719" s="63">
        <f>IF(tblMovement[[#This Row],[Source]]="","",IFERROR(INDEX(tblSources[Type],MATCH(tblMovement[[#This Row],[Source]],tblSources[Source],0)),"?"))</f>
        <v/>
      </c>
      <c r="L2719" s="63">
        <f>IF(tblMovement[[#This Row],[Destination]]="","",IFERROR(INDEX(tblDestinations[Type],MATCH(tblMovement[[#This Row],[Destination]],tblDestinations[Destination],0)),"?"))</f>
        <v/>
      </c>
      <c r="M2719" s="64">
        <f>IF(tblMovement[[#This Row],[Material]]="","",IF(LEFT(tblMovement[[#This Row],[Material]],3)="Ore",1,0))</f>
        <v/>
      </c>
      <c r="N2719" s="59">
        <f>IF(OR(tblMovement[[#This Row],[Tonnes_t]]="",tblMovement[[#This Row],[Grade_gpt]]=""),0,tblMovement[[#This Row],[Tonnes_t]]*tblMovement[[#This Row],[Grade_gpt]]/cfg_TroyOz)</f>
        <v/>
      </c>
      <c r="O2719" s="59">
        <f>IF(tblMovement[[#This Row],[Is_Ore]]=1,tblMovement[[#This Row],[Contained_oz]],0)</f>
        <v/>
      </c>
    </row>
    <row r="2720">
      <c r="A2720" s="54" t="n"/>
      <c r="B2720" s="61" t="n"/>
      <c r="C2720" s="61" t="n"/>
      <c r="D2720" s="61" t="n"/>
      <c r="E2720" s="61" t="n"/>
      <c r="F2720" s="55" t="n"/>
      <c r="G2720" s="56" t="n"/>
      <c r="H2720" s="55" t="n"/>
      <c r="I2720" s="62" t="n"/>
      <c r="J2720" s="58" t="n"/>
      <c r="K2720" s="63">
        <f>IF(tblMovement[[#This Row],[Source]]="","",IFERROR(INDEX(tblSources[Type],MATCH(tblMovement[[#This Row],[Source]],tblSources[Source],0)),"?"))</f>
        <v/>
      </c>
      <c r="L2720" s="63">
        <f>IF(tblMovement[[#This Row],[Destination]]="","",IFERROR(INDEX(tblDestinations[Type],MATCH(tblMovement[[#This Row],[Destination]],tblDestinations[Destination],0)),"?"))</f>
        <v/>
      </c>
      <c r="M2720" s="64">
        <f>IF(tblMovement[[#This Row],[Material]]="","",IF(LEFT(tblMovement[[#This Row],[Material]],3)="Ore",1,0))</f>
        <v/>
      </c>
      <c r="N2720" s="59">
        <f>IF(OR(tblMovement[[#This Row],[Tonnes_t]]="",tblMovement[[#This Row],[Grade_gpt]]=""),0,tblMovement[[#This Row],[Tonnes_t]]*tblMovement[[#This Row],[Grade_gpt]]/cfg_TroyOz)</f>
        <v/>
      </c>
      <c r="O2720" s="59">
        <f>IF(tblMovement[[#This Row],[Is_Ore]]=1,tblMovement[[#This Row],[Contained_oz]],0)</f>
        <v/>
      </c>
    </row>
    <row r="2721">
      <c r="A2721" s="54" t="n"/>
      <c r="B2721" s="61" t="n"/>
      <c r="C2721" s="61" t="n"/>
      <c r="D2721" s="61" t="n"/>
      <c r="E2721" s="61" t="n"/>
      <c r="F2721" s="55" t="n"/>
      <c r="G2721" s="56" t="n"/>
      <c r="H2721" s="55" t="n"/>
      <c r="I2721" s="62" t="n"/>
      <c r="J2721" s="58" t="n"/>
      <c r="K2721" s="63">
        <f>IF(tblMovement[[#This Row],[Source]]="","",IFERROR(INDEX(tblSources[Type],MATCH(tblMovement[[#This Row],[Source]],tblSources[Source],0)),"?"))</f>
        <v/>
      </c>
      <c r="L2721" s="63">
        <f>IF(tblMovement[[#This Row],[Destination]]="","",IFERROR(INDEX(tblDestinations[Type],MATCH(tblMovement[[#This Row],[Destination]],tblDestinations[Destination],0)),"?"))</f>
        <v/>
      </c>
      <c r="M2721" s="64">
        <f>IF(tblMovement[[#This Row],[Material]]="","",IF(LEFT(tblMovement[[#This Row],[Material]],3)="Ore",1,0))</f>
        <v/>
      </c>
      <c r="N2721" s="59">
        <f>IF(OR(tblMovement[[#This Row],[Tonnes_t]]="",tblMovement[[#This Row],[Grade_gpt]]=""),0,tblMovement[[#This Row],[Tonnes_t]]*tblMovement[[#This Row],[Grade_gpt]]/cfg_TroyOz)</f>
        <v/>
      </c>
      <c r="O2721" s="59">
        <f>IF(tblMovement[[#This Row],[Is_Ore]]=1,tblMovement[[#This Row],[Contained_oz]],0)</f>
        <v/>
      </c>
    </row>
    <row r="2722">
      <c r="A2722" s="54" t="n"/>
      <c r="B2722" s="61" t="n"/>
      <c r="C2722" s="61" t="n"/>
      <c r="D2722" s="61" t="n"/>
      <c r="E2722" s="61" t="n"/>
      <c r="F2722" s="55" t="n"/>
      <c r="G2722" s="56" t="n"/>
      <c r="H2722" s="55" t="n"/>
      <c r="I2722" s="62" t="n"/>
      <c r="J2722" s="58" t="n"/>
      <c r="K2722" s="63">
        <f>IF(tblMovement[[#This Row],[Source]]="","",IFERROR(INDEX(tblSources[Type],MATCH(tblMovement[[#This Row],[Source]],tblSources[Source],0)),"?"))</f>
        <v/>
      </c>
      <c r="L2722" s="63">
        <f>IF(tblMovement[[#This Row],[Destination]]="","",IFERROR(INDEX(tblDestinations[Type],MATCH(tblMovement[[#This Row],[Destination]],tblDestinations[Destination],0)),"?"))</f>
        <v/>
      </c>
      <c r="M2722" s="64">
        <f>IF(tblMovement[[#This Row],[Material]]="","",IF(LEFT(tblMovement[[#This Row],[Material]],3)="Ore",1,0))</f>
        <v/>
      </c>
      <c r="N2722" s="59">
        <f>IF(OR(tblMovement[[#This Row],[Tonnes_t]]="",tblMovement[[#This Row],[Grade_gpt]]=""),0,tblMovement[[#This Row],[Tonnes_t]]*tblMovement[[#This Row],[Grade_gpt]]/cfg_TroyOz)</f>
        <v/>
      </c>
      <c r="O2722" s="59">
        <f>IF(tblMovement[[#This Row],[Is_Ore]]=1,tblMovement[[#This Row],[Contained_oz]],0)</f>
        <v/>
      </c>
    </row>
    <row r="2723">
      <c r="A2723" s="54" t="n"/>
      <c r="B2723" s="61" t="n"/>
      <c r="C2723" s="61" t="n"/>
      <c r="D2723" s="61" t="n"/>
      <c r="E2723" s="61" t="n"/>
      <c r="F2723" s="55" t="n"/>
      <c r="G2723" s="56" t="n"/>
      <c r="H2723" s="55" t="n"/>
      <c r="I2723" s="62" t="n"/>
      <c r="J2723" s="58" t="n"/>
      <c r="K2723" s="63">
        <f>IF(tblMovement[[#This Row],[Source]]="","",IFERROR(INDEX(tblSources[Type],MATCH(tblMovement[[#This Row],[Source]],tblSources[Source],0)),"?"))</f>
        <v/>
      </c>
      <c r="L2723" s="63">
        <f>IF(tblMovement[[#This Row],[Destination]]="","",IFERROR(INDEX(tblDestinations[Type],MATCH(tblMovement[[#This Row],[Destination]],tblDestinations[Destination],0)),"?"))</f>
        <v/>
      </c>
      <c r="M2723" s="64">
        <f>IF(tblMovement[[#This Row],[Material]]="","",IF(LEFT(tblMovement[[#This Row],[Material]],3)="Ore",1,0))</f>
        <v/>
      </c>
      <c r="N2723" s="59">
        <f>IF(OR(tblMovement[[#This Row],[Tonnes_t]]="",tblMovement[[#This Row],[Grade_gpt]]=""),0,tblMovement[[#This Row],[Tonnes_t]]*tblMovement[[#This Row],[Grade_gpt]]/cfg_TroyOz)</f>
        <v/>
      </c>
      <c r="O2723" s="59">
        <f>IF(tblMovement[[#This Row],[Is_Ore]]=1,tblMovement[[#This Row],[Contained_oz]],0)</f>
        <v/>
      </c>
    </row>
    <row r="2724">
      <c r="A2724" s="54" t="n"/>
      <c r="B2724" s="61" t="n"/>
      <c r="C2724" s="61" t="n"/>
      <c r="D2724" s="61" t="n"/>
      <c r="E2724" s="61" t="n"/>
      <c r="F2724" s="55" t="n"/>
      <c r="G2724" s="56" t="n"/>
      <c r="H2724" s="55" t="n"/>
      <c r="I2724" s="62" t="n"/>
      <c r="J2724" s="58" t="n"/>
      <c r="K2724" s="63">
        <f>IF(tblMovement[[#This Row],[Source]]="","",IFERROR(INDEX(tblSources[Type],MATCH(tblMovement[[#This Row],[Source]],tblSources[Source],0)),"?"))</f>
        <v/>
      </c>
      <c r="L2724" s="63">
        <f>IF(tblMovement[[#This Row],[Destination]]="","",IFERROR(INDEX(tblDestinations[Type],MATCH(tblMovement[[#This Row],[Destination]],tblDestinations[Destination],0)),"?"))</f>
        <v/>
      </c>
      <c r="M2724" s="64">
        <f>IF(tblMovement[[#This Row],[Material]]="","",IF(LEFT(tblMovement[[#This Row],[Material]],3)="Ore",1,0))</f>
        <v/>
      </c>
      <c r="N2724" s="59">
        <f>IF(OR(tblMovement[[#This Row],[Tonnes_t]]="",tblMovement[[#This Row],[Grade_gpt]]=""),0,tblMovement[[#This Row],[Tonnes_t]]*tblMovement[[#This Row],[Grade_gpt]]/cfg_TroyOz)</f>
        <v/>
      </c>
      <c r="O2724" s="59">
        <f>IF(tblMovement[[#This Row],[Is_Ore]]=1,tblMovement[[#This Row],[Contained_oz]],0)</f>
        <v/>
      </c>
    </row>
    <row r="2725">
      <c r="A2725" s="54" t="n"/>
      <c r="B2725" s="61" t="n"/>
      <c r="C2725" s="61" t="n"/>
      <c r="D2725" s="61" t="n"/>
      <c r="E2725" s="61" t="n"/>
      <c r="F2725" s="55" t="n"/>
      <c r="G2725" s="56" t="n"/>
      <c r="H2725" s="55" t="n"/>
      <c r="I2725" s="62" t="n"/>
      <c r="J2725" s="58" t="n"/>
      <c r="K2725" s="63">
        <f>IF(tblMovement[[#This Row],[Source]]="","",IFERROR(INDEX(tblSources[Type],MATCH(tblMovement[[#This Row],[Source]],tblSources[Source],0)),"?"))</f>
        <v/>
      </c>
      <c r="L2725" s="63">
        <f>IF(tblMovement[[#This Row],[Destination]]="","",IFERROR(INDEX(tblDestinations[Type],MATCH(tblMovement[[#This Row],[Destination]],tblDestinations[Destination],0)),"?"))</f>
        <v/>
      </c>
      <c r="M2725" s="64">
        <f>IF(tblMovement[[#This Row],[Material]]="","",IF(LEFT(tblMovement[[#This Row],[Material]],3)="Ore",1,0))</f>
        <v/>
      </c>
      <c r="N2725" s="59">
        <f>IF(OR(tblMovement[[#This Row],[Tonnes_t]]="",tblMovement[[#This Row],[Grade_gpt]]=""),0,tblMovement[[#This Row],[Tonnes_t]]*tblMovement[[#This Row],[Grade_gpt]]/cfg_TroyOz)</f>
        <v/>
      </c>
      <c r="O2725" s="59">
        <f>IF(tblMovement[[#This Row],[Is_Ore]]=1,tblMovement[[#This Row],[Contained_oz]],0)</f>
        <v/>
      </c>
    </row>
    <row r="2726">
      <c r="A2726" s="54" t="n"/>
      <c r="B2726" s="61" t="n"/>
      <c r="C2726" s="61" t="n"/>
      <c r="D2726" s="61" t="n"/>
      <c r="E2726" s="61" t="n"/>
      <c r="F2726" s="55" t="n"/>
      <c r="G2726" s="56" t="n"/>
      <c r="H2726" s="55" t="n"/>
      <c r="I2726" s="62" t="n"/>
      <c r="J2726" s="58" t="n"/>
      <c r="K2726" s="63">
        <f>IF(tblMovement[[#This Row],[Source]]="","",IFERROR(INDEX(tblSources[Type],MATCH(tblMovement[[#This Row],[Source]],tblSources[Source],0)),"?"))</f>
        <v/>
      </c>
      <c r="L2726" s="63">
        <f>IF(tblMovement[[#This Row],[Destination]]="","",IFERROR(INDEX(tblDestinations[Type],MATCH(tblMovement[[#This Row],[Destination]],tblDestinations[Destination],0)),"?"))</f>
        <v/>
      </c>
      <c r="M2726" s="64">
        <f>IF(tblMovement[[#This Row],[Material]]="","",IF(LEFT(tblMovement[[#This Row],[Material]],3)="Ore",1,0))</f>
        <v/>
      </c>
      <c r="N2726" s="59">
        <f>IF(OR(tblMovement[[#This Row],[Tonnes_t]]="",tblMovement[[#This Row],[Grade_gpt]]=""),0,tblMovement[[#This Row],[Tonnes_t]]*tblMovement[[#This Row],[Grade_gpt]]/cfg_TroyOz)</f>
        <v/>
      </c>
      <c r="O2726" s="59">
        <f>IF(tblMovement[[#This Row],[Is_Ore]]=1,tblMovement[[#This Row],[Contained_oz]],0)</f>
        <v/>
      </c>
    </row>
    <row r="2727">
      <c r="A2727" s="54" t="n"/>
      <c r="B2727" s="61" t="n"/>
      <c r="C2727" s="61" t="n"/>
      <c r="D2727" s="61" t="n"/>
      <c r="E2727" s="61" t="n"/>
      <c r="F2727" s="55" t="n"/>
      <c r="G2727" s="56" t="n"/>
      <c r="H2727" s="55" t="n"/>
      <c r="I2727" s="62" t="n"/>
      <c r="J2727" s="58" t="n"/>
      <c r="K2727" s="63">
        <f>IF(tblMovement[[#This Row],[Source]]="","",IFERROR(INDEX(tblSources[Type],MATCH(tblMovement[[#This Row],[Source]],tblSources[Source],0)),"?"))</f>
        <v/>
      </c>
      <c r="L2727" s="63">
        <f>IF(tblMovement[[#This Row],[Destination]]="","",IFERROR(INDEX(tblDestinations[Type],MATCH(tblMovement[[#This Row],[Destination]],tblDestinations[Destination],0)),"?"))</f>
        <v/>
      </c>
      <c r="M2727" s="64">
        <f>IF(tblMovement[[#This Row],[Material]]="","",IF(LEFT(tblMovement[[#This Row],[Material]],3)="Ore",1,0))</f>
        <v/>
      </c>
      <c r="N2727" s="59">
        <f>IF(OR(tblMovement[[#This Row],[Tonnes_t]]="",tblMovement[[#This Row],[Grade_gpt]]=""),0,tblMovement[[#This Row],[Tonnes_t]]*tblMovement[[#This Row],[Grade_gpt]]/cfg_TroyOz)</f>
        <v/>
      </c>
      <c r="O2727" s="59">
        <f>IF(tblMovement[[#This Row],[Is_Ore]]=1,tblMovement[[#This Row],[Contained_oz]],0)</f>
        <v/>
      </c>
    </row>
    <row r="2728">
      <c r="A2728" s="54" t="n"/>
      <c r="B2728" s="61" t="n"/>
      <c r="C2728" s="61" t="n"/>
      <c r="D2728" s="61" t="n"/>
      <c r="E2728" s="61" t="n"/>
      <c r="F2728" s="55" t="n"/>
      <c r="G2728" s="56" t="n"/>
      <c r="H2728" s="55" t="n"/>
      <c r="I2728" s="62" t="n"/>
      <c r="J2728" s="58" t="n"/>
      <c r="K2728" s="63">
        <f>IF(tblMovement[[#This Row],[Source]]="","",IFERROR(INDEX(tblSources[Type],MATCH(tblMovement[[#This Row],[Source]],tblSources[Source],0)),"?"))</f>
        <v/>
      </c>
      <c r="L2728" s="63">
        <f>IF(tblMovement[[#This Row],[Destination]]="","",IFERROR(INDEX(tblDestinations[Type],MATCH(tblMovement[[#This Row],[Destination]],tblDestinations[Destination],0)),"?"))</f>
        <v/>
      </c>
      <c r="M2728" s="64">
        <f>IF(tblMovement[[#This Row],[Material]]="","",IF(LEFT(tblMovement[[#This Row],[Material]],3)="Ore",1,0))</f>
        <v/>
      </c>
      <c r="N2728" s="59">
        <f>IF(OR(tblMovement[[#This Row],[Tonnes_t]]="",tblMovement[[#This Row],[Grade_gpt]]=""),0,tblMovement[[#This Row],[Tonnes_t]]*tblMovement[[#This Row],[Grade_gpt]]/cfg_TroyOz)</f>
        <v/>
      </c>
      <c r="O2728" s="59">
        <f>IF(tblMovement[[#This Row],[Is_Ore]]=1,tblMovement[[#This Row],[Contained_oz]],0)</f>
        <v/>
      </c>
    </row>
    <row r="2729">
      <c r="A2729" s="54" t="n"/>
      <c r="B2729" s="61" t="n"/>
      <c r="C2729" s="61" t="n"/>
      <c r="D2729" s="61" t="n"/>
      <c r="E2729" s="61" t="n"/>
      <c r="F2729" s="55" t="n"/>
      <c r="G2729" s="56" t="n"/>
      <c r="H2729" s="55" t="n"/>
      <c r="I2729" s="62" t="n"/>
      <c r="J2729" s="58" t="n"/>
      <c r="K2729" s="63">
        <f>IF(tblMovement[[#This Row],[Source]]="","",IFERROR(INDEX(tblSources[Type],MATCH(tblMovement[[#This Row],[Source]],tblSources[Source],0)),"?"))</f>
        <v/>
      </c>
      <c r="L2729" s="63">
        <f>IF(tblMovement[[#This Row],[Destination]]="","",IFERROR(INDEX(tblDestinations[Type],MATCH(tblMovement[[#This Row],[Destination]],tblDestinations[Destination],0)),"?"))</f>
        <v/>
      </c>
      <c r="M2729" s="64">
        <f>IF(tblMovement[[#This Row],[Material]]="","",IF(LEFT(tblMovement[[#This Row],[Material]],3)="Ore",1,0))</f>
        <v/>
      </c>
      <c r="N2729" s="59">
        <f>IF(OR(tblMovement[[#This Row],[Tonnes_t]]="",tblMovement[[#This Row],[Grade_gpt]]=""),0,tblMovement[[#This Row],[Tonnes_t]]*tblMovement[[#This Row],[Grade_gpt]]/cfg_TroyOz)</f>
        <v/>
      </c>
      <c r="O2729" s="59">
        <f>IF(tblMovement[[#This Row],[Is_Ore]]=1,tblMovement[[#This Row],[Contained_oz]],0)</f>
        <v/>
      </c>
    </row>
    <row r="2730">
      <c r="A2730" s="54" t="n"/>
      <c r="B2730" s="61" t="n"/>
      <c r="C2730" s="61" t="n"/>
      <c r="D2730" s="61" t="n"/>
      <c r="E2730" s="61" t="n"/>
      <c r="F2730" s="55" t="n"/>
      <c r="G2730" s="56" t="n"/>
      <c r="H2730" s="55" t="n"/>
      <c r="I2730" s="62" t="n"/>
      <c r="J2730" s="58" t="n"/>
      <c r="K2730" s="63">
        <f>IF(tblMovement[[#This Row],[Source]]="","",IFERROR(INDEX(tblSources[Type],MATCH(tblMovement[[#This Row],[Source]],tblSources[Source],0)),"?"))</f>
        <v/>
      </c>
      <c r="L2730" s="63">
        <f>IF(tblMovement[[#This Row],[Destination]]="","",IFERROR(INDEX(tblDestinations[Type],MATCH(tblMovement[[#This Row],[Destination]],tblDestinations[Destination],0)),"?"))</f>
        <v/>
      </c>
      <c r="M2730" s="64">
        <f>IF(tblMovement[[#This Row],[Material]]="","",IF(LEFT(tblMovement[[#This Row],[Material]],3)="Ore",1,0))</f>
        <v/>
      </c>
      <c r="N2730" s="59">
        <f>IF(OR(tblMovement[[#This Row],[Tonnes_t]]="",tblMovement[[#This Row],[Grade_gpt]]=""),0,tblMovement[[#This Row],[Tonnes_t]]*tblMovement[[#This Row],[Grade_gpt]]/cfg_TroyOz)</f>
        <v/>
      </c>
      <c r="O2730" s="59">
        <f>IF(tblMovement[[#This Row],[Is_Ore]]=1,tblMovement[[#This Row],[Contained_oz]],0)</f>
        <v/>
      </c>
    </row>
    <row r="2731">
      <c r="A2731" s="54" t="n"/>
      <c r="B2731" s="61" t="n"/>
      <c r="C2731" s="61" t="n"/>
      <c r="D2731" s="61" t="n"/>
      <c r="E2731" s="61" t="n"/>
      <c r="F2731" s="55" t="n"/>
      <c r="G2731" s="56" t="n"/>
      <c r="H2731" s="55" t="n"/>
      <c r="I2731" s="62" t="n"/>
      <c r="J2731" s="58" t="n"/>
      <c r="K2731" s="63">
        <f>IF(tblMovement[[#This Row],[Source]]="","",IFERROR(INDEX(tblSources[Type],MATCH(tblMovement[[#This Row],[Source]],tblSources[Source],0)),"?"))</f>
        <v/>
      </c>
      <c r="L2731" s="63">
        <f>IF(tblMovement[[#This Row],[Destination]]="","",IFERROR(INDEX(tblDestinations[Type],MATCH(tblMovement[[#This Row],[Destination]],tblDestinations[Destination],0)),"?"))</f>
        <v/>
      </c>
      <c r="M2731" s="64">
        <f>IF(tblMovement[[#This Row],[Material]]="","",IF(LEFT(tblMovement[[#This Row],[Material]],3)="Ore",1,0))</f>
        <v/>
      </c>
      <c r="N2731" s="59">
        <f>IF(OR(tblMovement[[#This Row],[Tonnes_t]]="",tblMovement[[#This Row],[Grade_gpt]]=""),0,tblMovement[[#This Row],[Tonnes_t]]*tblMovement[[#This Row],[Grade_gpt]]/cfg_TroyOz)</f>
        <v/>
      </c>
      <c r="O2731" s="59">
        <f>IF(tblMovement[[#This Row],[Is_Ore]]=1,tblMovement[[#This Row],[Contained_oz]],0)</f>
        <v/>
      </c>
    </row>
    <row r="2732">
      <c r="A2732" s="54" t="n"/>
      <c r="B2732" s="61" t="n"/>
      <c r="C2732" s="61" t="n"/>
      <c r="D2732" s="61" t="n"/>
      <c r="E2732" s="61" t="n"/>
      <c r="F2732" s="55" t="n"/>
      <c r="G2732" s="56" t="n"/>
      <c r="H2732" s="55" t="n"/>
      <c r="I2732" s="62" t="n"/>
      <c r="J2732" s="58" t="n"/>
      <c r="K2732" s="63">
        <f>IF(tblMovement[[#This Row],[Source]]="","",IFERROR(INDEX(tblSources[Type],MATCH(tblMovement[[#This Row],[Source]],tblSources[Source],0)),"?"))</f>
        <v/>
      </c>
      <c r="L2732" s="63">
        <f>IF(tblMovement[[#This Row],[Destination]]="","",IFERROR(INDEX(tblDestinations[Type],MATCH(tblMovement[[#This Row],[Destination]],tblDestinations[Destination],0)),"?"))</f>
        <v/>
      </c>
      <c r="M2732" s="64">
        <f>IF(tblMovement[[#This Row],[Material]]="","",IF(LEFT(tblMovement[[#This Row],[Material]],3)="Ore",1,0))</f>
        <v/>
      </c>
      <c r="N2732" s="59">
        <f>IF(OR(tblMovement[[#This Row],[Tonnes_t]]="",tblMovement[[#This Row],[Grade_gpt]]=""),0,tblMovement[[#This Row],[Tonnes_t]]*tblMovement[[#This Row],[Grade_gpt]]/cfg_TroyOz)</f>
        <v/>
      </c>
      <c r="O2732" s="59">
        <f>IF(tblMovement[[#This Row],[Is_Ore]]=1,tblMovement[[#This Row],[Contained_oz]],0)</f>
        <v/>
      </c>
    </row>
    <row r="2733">
      <c r="A2733" s="54" t="n"/>
      <c r="B2733" s="61" t="n"/>
      <c r="C2733" s="61" t="n"/>
      <c r="D2733" s="61" t="n"/>
      <c r="E2733" s="61" t="n"/>
      <c r="F2733" s="55" t="n"/>
      <c r="G2733" s="56" t="n"/>
      <c r="H2733" s="55" t="n"/>
      <c r="I2733" s="62" t="n"/>
      <c r="J2733" s="58" t="n"/>
      <c r="K2733" s="63">
        <f>IF(tblMovement[[#This Row],[Source]]="","",IFERROR(INDEX(tblSources[Type],MATCH(tblMovement[[#This Row],[Source]],tblSources[Source],0)),"?"))</f>
        <v/>
      </c>
      <c r="L2733" s="63">
        <f>IF(tblMovement[[#This Row],[Destination]]="","",IFERROR(INDEX(tblDestinations[Type],MATCH(tblMovement[[#This Row],[Destination]],tblDestinations[Destination],0)),"?"))</f>
        <v/>
      </c>
      <c r="M2733" s="64">
        <f>IF(tblMovement[[#This Row],[Material]]="","",IF(LEFT(tblMovement[[#This Row],[Material]],3)="Ore",1,0))</f>
        <v/>
      </c>
      <c r="N2733" s="59">
        <f>IF(OR(tblMovement[[#This Row],[Tonnes_t]]="",tblMovement[[#This Row],[Grade_gpt]]=""),0,tblMovement[[#This Row],[Tonnes_t]]*tblMovement[[#This Row],[Grade_gpt]]/cfg_TroyOz)</f>
        <v/>
      </c>
      <c r="O2733" s="59">
        <f>IF(tblMovement[[#This Row],[Is_Ore]]=1,tblMovement[[#This Row],[Contained_oz]],0)</f>
        <v/>
      </c>
    </row>
    <row r="2734">
      <c r="A2734" s="54" t="n"/>
      <c r="B2734" s="61" t="n"/>
      <c r="C2734" s="61" t="n"/>
      <c r="D2734" s="61" t="n"/>
      <c r="E2734" s="61" t="n"/>
      <c r="F2734" s="55" t="n"/>
      <c r="G2734" s="56" t="n"/>
      <c r="H2734" s="55" t="n"/>
      <c r="I2734" s="62" t="n"/>
      <c r="J2734" s="58" t="n"/>
      <c r="K2734" s="63">
        <f>IF(tblMovement[[#This Row],[Source]]="","",IFERROR(INDEX(tblSources[Type],MATCH(tblMovement[[#This Row],[Source]],tblSources[Source],0)),"?"))</f>
        <v/>
      </c>
      <c r="L2734" s="63">
        <f>IF(tblMovement[[#This Row],[Destination]]="","",IFERROR(INDEX(tblDestinations[Type],MATCH(tblMovement[[#This Row],[Destination]],tblDestinations[Destination],0)),"?"))</f>
        <v/>
      </c>
      <c r="M2734" s="64">
        <f>IF(tblMovement[[#This Row],[Material]]="","",IF(LEFT(tblMovement[[#This Row],[Material]],3)="Ore",1,0))</f>
        <v/>
      </c>
      <c r="N2734" s="59">
        <f>IF(OR(tblMovement[[#This Row],[Tonnes_t]]="",tblMovement[[#This Row],[Grade_gpt]]=""),0,tblMovement[[#This Row],[Tonnes_t]]*tblMovement[[#This Row],[Grade_gpt]]/cfg_TroyOz)</f>
        <v/>
      </c>
      <c r="O2734" s="59">
        <f>IF(tblMovement[[#This Row],[Is_Ore]]=1,tblMovement[[#This Row],[Contained_oz]],0)</f>
        <v/>
      </c>
    </row>
    <row r="2735">
      <c r="A2735" s="54" t="n"/>
      <c r="B2735" s="61" t="n"/>
      <c r="C2735" s="61" t="n"/>
      <c r="D2735" s="61" t="n"/>
      <c r="E2735" s="61" t="n"/>
      <c r="F2735" s="55" t="n"/>
      <c r="G2735" s="56" t="n"/>
      <c r="H2735" s="55" t="n"/>
      <c r="I2735" s="62" t="n"/>
      <c r="J2735" s="58" t="n"/>
      <c r="K2735" s="63">
        <f>IF(tblMovement[[#This Row],[Source]]="","",IFERROR(INDEX(tblSources[Type],MATCH(tblMovement[[#This Row],[Source]],tblSources[Source],0)),"?"))</f>
        <v/>
      </c>
      <c r="L2735" s="63">
        <f>IF(tblMovement[[#This Row],[Destination]]="","",IFERROR(INDEX(tblDestinations[Type],MATCH(tblMovement[[#This Row],[Destination]],tblDestinations[Destination],0)),"?"))</f>
        <v/>
      </c>
      <c r="M2735" s="64">
        <f>IF(tblMovement[[#This Row],[Material]]="","",IF(LEFT(tblMovement[[#This Row],[Material]],3)="Ore",1,0))</f>
        <v/>
      </c>
      <c r="N2735" s="59">
        <f>IF(OR(tblMovement[[#This Row],[Tonnes_t]]="",tblMovement[[#This Row],[Grade_gpt]]=""),0,tblMovement[[#This Row],[Tonnes_t]]*tblMovement[[#This Row],[Grade_gpt]]/cfg_TroyOz)</f>
        <v/>
      </c>
      <c r="O2735" s="59">
        <f>IF(tblMovement[[#This Row],[Is_Ore]]=1,tblMovement[[#This Row],[Contained_oz]],0)</f>
        <v/>
      </c>
    </row>
    <row r="2736">
      <c r="A2736" s="54" t="n"/>
      <c r="B2736" s="61" t="n"/>
      <c r="C2736" s="61" t="n"/>
      <c r="D2736" s="61" t="n"/>
      <c r="E2736" s="61" t="n"/>
      <c r="F2736" s="55" t="n"/>
      <c r="G2736" s="56" t="n"/>
      <c r="H2736" s="55" t="n"/>
      <c r="I2736" s="62" t="n"/>
      <c r="J2736" s="58" t="n"/>
      <c r="K2736" s="63">
        <f>IF(tblMovement[[#This Row],[Source]]="","",IFERROR(INDEX(tblSources[Type],MATCH(tblMovement[[#This Row],[Source]],tblSources[Source],0)),"?"))</f>
        <v/>
      </c>
      <c r="L2736" s="63">
        <f>IF(tblMovement[[#This Row],[Destination]]="","",IFERROR(INDEX(tblDestinations[Type],MATCH(tblMovement[[#This Row],[Destination]],tblDestinations[Destination],0)),"?"))</f>
        <v/>
      </c>
      <c r="M2736" s="64">
        <f>IF(tblMovement[[#This Row],[Material]]="","",IF(LEFT(tblMovement[[#This Row],[Material]],3)="Ore",1,0))</f>
        <v/>
      </c>
      <c r="N2736" s="59">
        <f>IF(OR(tblMovement[[#This Row],[Tonnes_t]]="",tblMovement[[#This Row],[Grade_gpt]]=""),0,tblMovement[[#This Row],[Tonnes_t]]*tblMovement[[#This Row],[Grade_gpt]]/cfg_TroyOz)</f>
        <v/>
      </c>
      <c r="O2736" s="59">
        <f>IF(tblMovement[[#This Row],[Is_Ore]]=1,tblMovement[[#This Row],[Contained_oz]],0)</f>
        <v/>
      </c>
    </row>
    <row r="2737">
      <c r="A2737" s="54" t="n"/>
      <c r="B2737" s="61" t="n"/>
      <c r="C2737" s="61" t="n"/>
      <c r="D2737" s="61" t="n"/>
      <c r="E2737" s="61" t="n"/>
      <c r="F2737" s="55" t="n"/>
      <c r="G2737" s="56" t="n"/>
      <c r="H2737" s="55" t="n"/>
      <c r="I2737" s="62" t="n"/>
      <c r="J2737" s="58" t="n"/>
      <c r="K2737" s="63">
        <f>IF(tblMovement[[#This Row],[Source]]="","",IFERROR(INDEX(tblSources[Type],MATCH(tblMovement[[#This Row],[Source]],tblSources[Source],0)),"?"))</f>
        <v/>
      </c>
      <c r="L2737" s="63">
        <f>IF(tblMovement[[#This Row],[Destination]]="","",IFERROR(INDEX(tblDestinations[Type],MATCH(tblMovement[[#This Row],[Destination]],tblDestinations[Destination],0)),"?"))</f>
        <v/>
      </c>
      <c r="M2737" s="64">
        <f>IF(tblMovement[[#This Row],[Material]]="","",IF(LEFT(tblMovement[[#This Row],[Material]],3)="Ore",1,0))</f>
        <v/>
      </c>
      <c r="N2737" s="59">
        <f>IF(OR(tblMovement[[#This Row],[Tonnes_t]]="",tblMovement[[#This Row],[Grade_gpt]]=""),0,tblMovement[[#This Row],[Tonnes_t]]*tblMovement[[#This Row],[Grade_gpt]]/cfg_TroyOz)</f>
        <v/>
      </c>
      <c r="O2737" s="59">
        <f>IF(tblMovement[[#This Row],[Is_Ore]]=1,tblMovement[[#This Row],[Contained_oz]],0)</f>
        <v/>
      </c>
    </row>
    <row r="2738">
      <c r="A2738" s="54" t="n"/>
      <c r="B2738" s="61" t="n"/>
      <c r="C2738" s="61" t="n"/>
      <c r="D2738" s="61" t="n"/>
      <c r="E2738" s="61" t="n"/>
      <c r="F2738" s="55" t="n"/>
      <c r="G2738" s="56" t="n"/>
      <c r="H2738" s="55" t="n"/>
      <c r="I2738" s="62" t="n"/>
      <c r="J2738" s="58" t="n"/>
      <c r="K2738" s="63">
        <f>IF(tblMovement[[#This Row],[Source]]="","",IFERROR(INDEX(tblSources[Type],MATCH(tblMovement[[#This Row],[Source]],tblSources[Source],0)),"?"))</f>
        <v/>
      </c>
      <c r="L2738" s="63">
        <f>IF(tblMovement[[#This Row],[Destination]]="","",IFERROR(INDEX(tblDestinations[Type],MATCH(tblMovement[[#This Row],[Destination]],tblDestinations[Destination],0)),"?"))</f>
        <v/>
      </c>
      <c r="M2738" s="64">
        <f>IF(tblMovement[[#This Row],[Material]]="","",IF(LEFT(tblMovement[[#This Row],[Material]],3)="Ore",1,0))</f>
        <v/>
      </c>
      <c r="N2738" s="59">
        <f>IF(OR(tblMovement[[#This Row],[Tonnes_t]]="",tblMovement[[#This Row],[Grade_gpt]]=""),0,tblMovement[[#This Row],[Tonnes_t]]*tblMovement[[#This Row],[Grade_gpt]]/cfg_TroyOz)</f>
        <v/>
      </c>
      <c r="O2738" s="59">
        <f>IF(tblMovement[[#This Row],[Is_Ore]]=1,tblMovement[[#This Row],[Contained_oz]],0)</f>
        <v/>
      </c>
    </row>
    <row r="2739">
      <c r="A2739" s="54" t="n"/>
      <c r="B2739" s="61" t="n"/>
      <c r="C2739" s="61" t="n"/>
      <c r="D2739" s="61" t="n"/>
      <c r="E2739" s="61" t="n"/>
      <c r="F2739" s="55" t="n"/>
      <c r="G2739" s="56" t="n"/>
      <c r="H2739" s="55" t="n"/>
      <c r="I2739" s="62" t="n"/>
      <c r="J2739" s="58" t="n"/>
      <c r="K2739" s="63">
        <f>IF(tblMovement[[#This Row],[Source]]="","",IFERROR(INDEX(tblSources[Type],MATCH(tblMovement[[#This Row],[Source]],tblSources[Source],0)),"?"))</f>
        <v/>
      </c>
      <c r="L2739" s="63">
        <f>IF(tblMovement[[#This Row],[Destination]]="","",IFERROR(INDEX(tblDestinations[Type],MATCH(tblMovement[[#This Row],[Destination]],tblDestinations[Destination],0)),"?"))</f>
        <v/>
      </c>
      <c r="M2739" s="64">
        <f>IF(tblMovement[[#This Row],[Material]]="","",IF(LEFT(tblMovement[[#This Row],[Material]],3)="Ore",1,0))</f>
        <v/>
      </c>
      <c r="N2739" s="59">
        <f>IF(OR(tblMovement[[#This Row],[Tonnes_t]]="",tblMovement[[#This Row],[Grade_gpt]]=""),0,tblMovement[[#This Row],[Tonnes_t]]*tblMovement[[#This Row],[Grade_gpt]]/cfg_TroyOz)</f>
        <v/>
      </c>
      <c r="O2739" s="59">
        <f>IF(tblMovement[[#This Row],[Is_Ore]]=1,tblMovement[[#This Row],[Contained_oz]],0)</f>
        <v/>
      </c>
    </row>
    <row r="2740">
      <c r="A2740" s="54" t="n"/>
      <c r="B2740" s="61" t="n"/>
      <c r="C2740" s="61" t="n"/>
      <c r="D2740" s="61" t="n"/>
      <c r="E2740" s="61" t="n"/>
      <c r="F2740" s="55" t="n"/>
      <c r="G2740" s="56" t="n"/>
      <c r="H2740" s="55" t="n"/>
      <c r="I2740" s="62" t="n"/>
      <c r="J2740" s="58" t="n"/>
      <c r="K2740" s="63">
        <f>IF(tblMovement[[#This Row],[Source]]="","",IFERROR(INDEX(tblSources[Type],MATCH(tblMovement[[#This Row],[Source]],tblSources[Source],0)),"?"))</f>
        <v/>
      </c>
      <c r="L2740" s="63">
        <f>IF(tblMovement[[#This Row],[Destination]]="","",IFERROR(INDEX(tblDestinations[Type],MATCH(tblMovement[[#This Row],[Destination]],tblDestinations[Destination],0)),"?"))</f>
        <v/>
      </c>
      <c r="M2740" s="64">
        <f>IF(tblMovement[[#This Row],[Material]]="","",IF(LEFT(tblMovement[[#This Row],[Material]],3)="Ore",1,0))</f>
        <v/>
      </c>
      <c r="N2740" s="59">
        <f>IF(OR(tblMovement[[#This Row],[Tonnes_t]]="",tblMovement[[#This Row],[Grade_gpt]]=""),0,tblMovement[[#This Row],[Tonnes_t]]*tblMovement[[#This Row],[Grade_gpt]]/cfg_TroyOz)</f>
        <v/>
      </c>
      <c r="O2740" s="59">
        <f>IF(tblMovement[[#This Row],[Is_Ore]]=1,tblMovement[[#This Row],[Contained_oz]],0)</f>
        <v/>
      </c>
    </row>
    <row r="2741">
      <c r="A2741" s="54" t="n"/>
      <c r="B2741" s="61" t="n"/>
      <c r="C2741" s="61" t="n"/>
      <c r="D2741" s="61" t="n"/>
      <c r="E2741" s="61" t="n"/>
      <c r="F2741" s="55" t="n"/>
      <c r="G2741" s="56" t="n"/>
      <c r="H2741" s="55" t="n"/>
      <c r="I2741" s="62" t="n"/>
      <c r="J2741" s="58" t="n"/>
      <c r="K2741" s="63">
        <f>IF(tblMovement[[#This Row],[Source]]="","",IFERROR(INDEX(tblSources[Type],MATCH(tblMovement[[#This Row],[Source]],tblSources[Source],0)),"?"))</f>
        <v/>
      </c>
      <c r="L2741" s="63">
        <f>IF(tblMovement[[#This Row],[Destination]]="","",IFERROR(INDEX(tblDestinations[Type],MATCH(tblMovement[[#This Row],[Destination]],tblDestinations[Destination],0)),"?"))</f>
        <v/>
      </c>
      <c r="M2741" s="64">
        <f>IF(tblMovement[[#This Row],[Material]]="","",IF(LEFT(tblMovement[[#This Row],[Material]],3)="Ore",1,0))</f>
        <v/>
      </c>
      <c r="N2741" s="59">
        <f>IF(OR(tblMovement[[#This Row],[Tonnes_t]]="",tblMovement[[#This Row],[Grade_gpt]]=""),0,tblMovement[[#This Row],[Tonnes_t]]*tblMovement[[#This Row],[Grade_gpt]]/cfg_TroyOz)</f>
        <v/>
      </c>
      <c r="O2741" s="59">
        <f>IF(tblMovement[[#This Row],[Is_Ore]]=1,tblMovement[[#This Row],[Contained_oz]],0)</f>
        <v/>
      </c>
    </row>
    <row r="2742">
      <c r="A2742" s="54" t="n"/>
      <c r="B2742" s="61" t="n"/>
      <c r="C2742" s="61" t="n"/>
      <c r="D2742" s="61" t="n"/>
      <c r="E2742" s="61" t="n"/>
      <c r="F2742" s="55" t="n"/>
      <c r="G2742" s="56" t="n"/>
      <c r="H2742" s="55" t="n"/>
      <c r="I2742" s="62" t="n"/>
      <c r="J2742" s="58" t="n"/>
      <c r="K2742" s="63">
        <f>IF(tblMovement[[#This Row],[Source]]="","",IFERROR(INDEX(tblSources[Type],MATCH(tblMovement[[#This Row],[Source]],tblSources[Source],0)),"?"))</f>
        <v/>
      </c>
      <c r="L2742" s="63">
        <f>IF(tblMovement[[#This Row],[Destination]]="","",IFERROR(INDEX(tblDestinations[Type],MATCH(tblMovement[[#This Row],[Destination]],tblDestinations[Destination],0)),"?"))</f>
        <v/>
      </c>
      <c r="M2742" s="64">
        <f>IF(tblMovement[[#This Row],[Material]]="","",IF(LEFT(tblMovement[[#This Row],[Material]],3)="Ore",1,0))</f>
        <v/>
      </c>
      <c r="N2742" s="59">
        <f>IF(OR(tblMovement[[#This Row],[Tonnes_t]]="",tblMovement[[#This Row],[Grade_gpt]]=""),0,tblMovement[[#This Row],[Tonnes_t]]*tblMovement[[#This Row],[Grade_gpt]]/cfg_TroyOz)</f>
        <v/>
      </c>
      <c r="O2742" s="59">
        <f>IF(tblMovement[[#This Row],[Is_Ore]]=1,tblMovement[[#This Row],[Contained_oz]],0)</f>
        <v/>
      </c>
    </row>
    <row r="2743">
      <c r="A2743" s="54" t="n"/>
      <c r="B2743" s="61" t="n"/>
      <c r="C2743" s="61" t="n"/>
      <c r="D2743" s="61" t="n"/>
      <c r="E2743" s="61" t="n"/>
      <c r="F2743" s="55" t="n"/>
      <c r="G2743" s="56" t="n"/>
      <c r="H2743" s="55" t="n"/>
      <c r="I2743" s="62" t="n"/>
      <c r="J2743" s="58" t="n"/>
      <c r="K2743" s="63">
        <f>IF(tblMovement[[#This Row],[Source]]="","",IFERROR(INDEX(tblSources[Type],MATCH(tblMovement[[#This Row],[Source]],tblSources[Source],0)),"?"))</f>
        <v/>
      </c>
      <c r="L2743" s="63">
        <f>IF(tblMovement[[#This Row],[Destination]]="","",IFERROR(INDEX(tblDestinations[Type],MATCH(tblMovement[[#This Row],[Destination]],tblDestinations[Destination],0)),"?"))</f>
        <v/>
      </c>
      <c r="M2743" s="64">
        <f>IF(tblMovement[[#This Row],[Material]]="","",IF(LEFT(tblMovement[[#This Row],[Material]],3)="Ore",1,0))</f>
        <v/>
      </c>
      <c r="N2743" s="59">
        <f>IF(OR(tblMovement[[#This Row],[Tonnes_t]]="",tblMovement[[#This Row],[Grade_gpt]]=""),0,tblMovement[[#This Row],[Tonnes_t]]*tblMovement[[#This Row],[Grade_gpt]]/cfg_TroyOz)</f>
        <v/>
      </c>
      <c r="O2743" s="59">
        <f>IF(tblMovement[[#This Row],[Is_Ore]]=1,tblMovement[[#This Row],[Contained_oz]],0)</f>
        <v/>
      </c>
    </row>
    <row r="2744">
      <c r="A2744" s="54" t="n"/>
      <c r="B2744" s="61" t="n"/>
      <c r="C2744" s="61" t="n"/>
      <c r="D2744" s="61" t="n"/>
      <c r="E2744" s="61" t="n"/>
      <c r="F2744" s="55" t="n"/>
      <c r="G2744" s="56" t="n"/>
      <c r="H2744" s="55" t="n"/>
      <c r="I2744" s="62" t="n"/>
      <c r="J2744" s="58" t="n"/>
      <c r="K2744" s="63">
        <f>IF(tblMovement[[#This Row],[Source]]="","",IFERROR(INDEX(tblSources[Type],MATCH(tblMovement[[#This Row],[Source]],tblSources[Source],0)),"?"))</f>
        <v/>
      </c>
      <c r="L2744" s="63">
        <f>IF(tblMovement[[#This Row],[Destination]]="","",IFERROR(INDEX(tblDestinations[Type],MATCH(tblMovement[[#This Row],[Destination]],tblDestinations[Destination],0)),"?"))</f>
        <v/>
      </c>
      <c r="M2744" s="64">
        <f>IF(tblMovement[[#This Row],[Material]]="","",IF(LEFT(tblMovement[[#This Row],[Material]],3)="Ore",1,0))</f>
        <v/>
      </c>
      <c r="N2744" s="59">
        <f>IF(OR(tblMovement[[#This Row],[Tonnes_t]]="",tblMovement[[#This Row],[Grade_gpt]]=""),0,tblMovement[[#This Row],[Tonnes_t]]*tblMovement[[#This Row],[Grade_gpt]]/cfg_TroyOz)</f>
        <v/>
      </c>
      <c r="O2744" s="59">
        <f>IF(tblMovement[[#This Row],[Is_Ore]]=1,tblMovement[[#This Row],[Contained_oz]],0)</f>
        <v/>
      </c>
    </row>
    <row r="2745">
      <c r="A2745" s="54" t="n"/>
      <c r="B2745" s="61" t="n"/>
      <c r="C2745" s="61" t="n"/>
      <c r="D2745" s="61" t="n"/>
      <c r="E2745" s="61" t="n"/>
      <c r="F2745" s="55" t="n"/>
      <c r="G2745" s="56" t="n"/>
      <c r="H2745" s="55" t="n"/>
      <c r="I2745" s="62" t="n"/>
      <c r="J2745" s="58" t="n"/>
      <c r="K2745" s="63">
        <f>IF(tblMovement[[#This Row],[Source]]="","",IFERROR(INDEX(tblSources[Type],MATCH(tblMovement[[#This Row],[Source]],tblSources[Source],0)),"?"))</f>
        <v/>
      </c>
      <c r="L2745" s="63">
        <f>IF(tblMovement[[#This Row],[Destination]]="","",IFERROR(INDEX(tblDestinations[Type],MATCH(tblMovement[[#This Row],[Destination]],tblDestinations[Destination],0)),"?"))</f>
        <v/>
      </c>
      <c r="M2745" s="64">
        <f>IF(tblMovement[[#This Row],[Material]]="","",IF(LEFT(tblMovement[[#This Row],[Material]],3)="Ore",1,0))</f>
        <v/>
      </c>
      <c r="N2745" s="59">
        <f>IF(OR(tblMovement[[#This Row],[Tonnes_t]]="",tblMovement[[#This Row],[Grade_gpt]]=""),0,tblMovement[[#This Row],[Tonnes_t]]*tblMovement[[#This Row],[Grade_gpt]]/cfg_TroyOz)</f>
        <v/>
      </c>
      <c r="O2745" s="59">
        <f>IF(tblMovement[[#This Row],[Is_Ore]]=1,tblMovement[[#This Row],[Contained_oz]],0)</f>
        <v/>
      </c>
    </row>
    <row r="2746">
      <c r="A2746" s="54" t="n"/>
      <c r="B2746" s="61" t="n"/>
      <c r="C2746" s="61" t="n"/>
      <c r="D2746" s="61" t="n"/>
      <c r="E2746" s="61" t="n"/>
      <c r="F2746" s="55" t="n"/>
      <c r="G2746" s="56" t="n"/>
      <c r="H2746" s="55" t="n"/>
      <c r="I2746" s="62" t="n"/>
      <c r="J2746" s="58" t="n"/>
      <c r="K2746" s="63">
        <f>IF(tblMovement[[#This Row],[Source]]="","",IFERROR(INDEX(tblSources[Type],MATCH(tblMovement[[#This Row],[Source]],tblSources[Source],0)),"?"))</f>
        <v/>
      </c>
      <c r="L2746" s="63">
        <f>IF(tblMovement[[#This Row],[Destination]]="","",IFERROR(INDEX(tblDestinations[Type],MATCH(tblMovement[[#This Row],[Destination]],tblDestinations[Destination],0)),"?"))</f>
        <v/>
      </c>
      <c r="M2746" s="64">
        <f>IF(tblMovement[[#This Row],[Material]]="","",IF(LEFT(tblMovement[[#This Row],[Material]],3)="Ore",1,0))</f>
        <v/>
      </c>
      <c r="N2746" s="59">
        <f>IF(OR(tblMovement[[#This Row],[Tonnes_t]]="",tblMovement[[#This Row],[Grade_gpt]]=""),0,tblMovement[[#This Row],[Tonnes_t]]*tblMovement[[#This Row],[Grade_gpt]]/cfg_TroyOz)</f>
        <v/>
      </c>
      <c r="O2746" s="59">
        <f>IF(tblMovement[[#This Row],[Is_Ore]]=1,tblMovement[[#This Row],[Contained_oz]],0)</f>
        <v/>
      </c>
    </row>
    <row r="2747">
      <c r="A2747" s="54" t="n"/>
      <c r="B2747" s="61" t="n"/>
      <c r="C2747" s="61" t="n"/>
      <c r="D2747" s="61" t="n"/>
      <c r="E2747" s="61" t="n"/>
      <c r="F2747" s="55" t="n"/>
      <c r="G2747" s="56" t="n"/>
      <c r="H2747" s="55" t="n"/>
      <c r="I2747" s="62" t="n"/>
      <c r="J2747" s="58" t="n"/>
      <c r="K2747" s="63">
        <f>IF(tblMovement[[#This Row],[Source]]="","",IFERROR(INDEX(tblSources[Type],MATCH(tblMovement[[#This Row],[Source]],tblSources[Source],0)),"?"))</f>
        <v/>
      </c>
      <c r="L2747" s="63">
        <f>IF(tblMovement[[#This Row],[Destination]]="","",IFERROR(INDEX(tblDestinations[Type],MATCH(tblMovement[[#This Row],[Destination]],tblDestinations[Destination],0)),"?"))</f>
        <v/>
      </c>
      <c r="M2747" s="64">
        <f>IF(tblMovement[[#This Row],[Material]]="","",IF(LEFT(tblMovement[[#This Row],[Material]],3)="Ore",1,0))</f>
        <v/>
      </c>
      <c r="N2747" s="59">
        <f>IF(OR(tblMovement[[#This Row],[Tonnes_t]]="",tblMovement[[#This Row],[Grade_gpt]]=""),0,tblMovement[[#This Row],[Tonnes_t]]*tblMovement[[#This Row],[Grade_gpt]]/cfg_TroyOz)</f>
        <v/>
      </c>
      <c r="O2747" s="59">
        <f>IF(tblMovement[[#This Row],[Is_Ore]]=1,tblMovement[[#This Row],[Contained_oz]],0)</f>
        <v/>
      </c>
    </row>
    <row r="2748">
      <c r="A2748" s="54" t="n"/>
      <c r="B2748" s="61" t="n"/>
      <c r="C2748" s="61" t="n"/>
      <c r="D2748" s="61" t="n"/>
      <c r="E2748" s="61" t="n"/>
      <c r="F2748" s="55" t="n"/>
      <c r="G2748" s="56" t="n"/>
      <c r="H2748" s="55" t="n"/>
      <c r="I2748" s="62" t="n"/>
      <c r="J2748" s="58" t="n"/>
      <c r="K2748" s="63">
        <f>IF(tblMovement[[#This Row],[Source]]="","",IFERROR(INDEX(tblSources[Type],MATCH(tblMovement[[#This Row],[Source]],tblSources[Source],0)),"?"))</f>
        <v/>
      </c>
      <c r="L2748" s="63">
        <f>IF(tblMovement[[#This Row],[Destination]]="","",IFERROR(INDEX(tblDestinations[Type],MATCH(tblMovement[[#This Row],[Destination]],tblDestinations[Destination],0)),"?"))</f>
        <v/>
      </c>
      <c r="M2748" s="64">
        <f>IF(tblMovement[[#This Row],[Material]]="","",IF(LEFT(tblMovement[[#This Row],[Material]],3)="Ore",1,0))</f>
        <v/>
      </c>
      <c r="N2748" s="59">
        <f>IF(OR(tblMovement[[#This Row],[Tonnes_t]]="",tblMovement[[#This Row],[Grade_gpt]]=""),0,tblMovement[[#This Row],[Tonnes_t]]*tblMovement[[#This Row],[Grade_gpt]]/cfg_TroyOz)</f>
        <v/>
      </c>
      <c r="O2748" s="59">
        <f>IF(tblMovement[[#This Row],[Is_Ore]]=1,tblMovement[[#This Row],[Contained_oz]],0)</f>
        <v/>
      </c>
    </row>
    <row r="2749">
      <c r="A2749" s="54" t="n"/>
      <c r="B2749" s="61" t="n"/>
      <c r="C2749" s="61" t="n"/>
      <c r="D2749" s="61" t="n"/>
      <c r="E2749" s="61" t="n"/>
      <c r="F2749" s="55" t="n"/>
      <c r="G2749" s="56" t="n"/>
      <c r="H2749" s="55" t="n"/>
      <c r="I2749" s="62" t="n"/>
      <c r="J2749" s="58" t="n"/>
      <c r="K2749" s="63">
        <f>IF(tblMovement[[#This Row],[Source]]="","",IFERROR(INDEX(tblSources[Type],MATCH(tblMovement[[#This Row],[Source]],tblSources[Source],0)),"?"))</f>
        <v/>
      </c>
      <c r="L2749" s="63">
        <f>IF(tblMovement[[#This Row],[Destination]]="","",IFERROR(INDEX(tblDestinations[Type],MATCH(tblMovement[[#This Row],[Destination]],tblDestinations[Destination],0)),"?"))</f>
        <v/>
      </c>
      <c r="M2749" s="64">
        <f>IF(tblMovement[[#This Row],[Material]]="","",IF(LEFT(tblMovement[[#This Row],[Material]],3)="Ore",1,0))</f>
        <v/>
      </c>
      <c r="N2749" s="59">
        <f>IF(OR(tblMovement[[#This Row],[Tonnes_t]]="",tblMovement[[#This Row],[Grade_gpt]]=""),0,tblMovement[[#This Row],[Tonnes_t]]*tblMovement[[#This Row],[Grade_gpt]]/cfg_TroyOz)</f>
        <v/>
      </c>
      <c r="O2749" s="59">
        <f>IF(tblMovement[[#This Row],[Is_Ore]]=1,tblMovement[[#This Row],[Contained_oz]],0)</f>
        <v/>
      </c>
    </row>
    <row r="2750">
      <c r="A2750" s="54" t="n"/>
      <c r="B2750" s="61" t="n"/>
      <c r="C2750" s="61" t="n"/>
      <c r="D2750" s="61" t="n"/>
      <c r="E2750" s="61" t="n"/>
      <c r="F2750" s="55" t="n"/>
      <c r="G2750" s="56" t="n"/>
      <c r="H2750" s="55" t="n"/>
      <c r="I2750" s="62" t="n"/>
      <c r="J2750" s="58" t="n"/>
      <c r="K2750" s="63">
        <f>IF(tblMovement[[#This Row],[Source]]="","",IFERROR(INDEX(tblSources[Type],MATCH(tblMovement[[#This Row],[Source]],tblSources[Source],0)),"?"))</f>
        <v/>
      </c>
      <c r="L2750" s="63">
        <f>IF(tblMovement[[#This Row],[Destination]]="","",IFERROR(INDEX(tblDestinations[Type],MATCH(tblMovement[[#This Row],[Destination]],tblDestinations[Destination],0)),"?"))</f>
        <v/>
      </c>
      <c r="M2750" s="64">
        <f>IF(tblMovement[[#This Row],[Material]]="","",IF(LEFT(tblMovement[[#This Row],[Material]],3)="Ore",1,0))</f>
        <v/>
      </c>
      <c r="N2750" s="59">
        <f>IF(OR(tblMovement[[#This Row],[Tonnes_t]]="",tblMovement[[#This Row],[Grade_gpt]]=""),0,tblMovement[[#This Row],[Tonnes_t]]*tblMovement[[#This Row],[Grade_gpt]]/cfg_TroyOz)</f>
        <v/>
      </c>
      <c r="O2750" s="59">
        <f>IF(tblMovement[[#This Row],[Is_Ore]]=1,tblMovement[[#This Row],[Contained_oz]],0)</f>
        <v/>
      </c>
    </row>
    <row r="2751">
      <c r="A2751" s="54" t="n"/>
      <c r="B2751" s="61" t="n"/>
      <c r="C2751" s="61" t="n"/>
      <c r="D2751" s="61" t="n"/>
      <c r="E2751" s="61" t="n"/>
      <c r="F2751" s="55" t="n"/>
      <c r="G2751" s="56" t="n"/>
      <c r="H2751" s="55" t="n"/>
      <c r="I2751" s="62" t="n"/>
      <c r="J2751" s="58" t="n"/>
      <c r="K2751" s="63">
        <f>IF(tblMovement[[#This Row],[Source]]="","",IFERROR(INDEX(tblSources[Type],MATCH(tblMovement[[#This Row],[Source]],tblSources[Source],0)),"?"))</f>
        <v/>
      </c>
      <c r="L2751" s="63">
        <f>IF(tblMovement[[#This Row],[Destination]]="","",IFERROR(INDEX(tblDestinations[Type],MATCH(tblMovement[[#This Row],[Destination]],tblDestinations[Destination],0)),"?"))</f>
        <v/>
      </c>
      <c r="M2751" s="64">
        <f>IF(tblMovement[[#This Row],[Material]]="","",IF(LEFT(tblMovement[[#This Row],[Material]],3)="Ore",1,0))</f>
        <v/>
      </c>
      <c r="N2751" s="59">
        <f>IF(OR(tblMovement[[#This Row],[Tonnes_t]]="",tblMovement[[#This Row],[Grade_gpt]]=""),0,tblMovement[[#This Row],[Tonnes_t]]*tblMovement[[#This Row],[Grade_gpt]]/cfg_TroyOz)</f>
        <v/>
      </c>
      <c r="O2751" s="59">
        <f>IF(tblMovement[[#This Row],[Is_Ore]]=1,tblMovement[[#This Row],[Contained_oz]],0)</f>
        <v/>
      </c>
    </row>
    <row r="2752">
      <c r="A2752" s="54" t="n"/>
      <c r="B2752" s="61" t="n"/>
      <c r="C2752" s="61" t="n"/>
      <c r="D2752" s="61" t="n"/>
      <c r="E2752" s="61" t="n"/>
      <c r="F2752" s="55" t="n"/>
      <c r="G2752" s="56" t="n"/>
      <c r="H2752" s="55" t="n"/>
      <c r="I2752" s="62" t="n"/>
      <c r="J2752" s="58" t="n"/>
      <c r="K2752" s="63">
        <f>IF(tblMovement[[#This Row],[Source]]="","",IFERROR(INDEX(tblSources[Type],MATCH(tblMovement[[#This Row],[Source]],tblSources[Source],0)),"?"))</f>
        <v/>
      </c>
      <c r="L2752" s="63">
        <f>IF(tblMovement[[#This Row],[Destination]]="","",IFERROR(INDEX(tblDestinations[Type],MATCH(tblMovement[[#This Row],[Destination]],tblDestinations[Destination],0)),"?"))</f>
        <v/>
      </c>
      <c r="M2752" s="64">
        <f>IF(tblMovement[[#This Row],[Material]]="","",IF(LEFT(tblMovement[[#This Row],[Material]],3)="Ore",1,0))</f>
        <v/>
      </c>
      <c r="N2752" s="59">
        <f>IF(OR(tblMovement[[#This Row],[Tonnes_t]]="",tblMovement[[#This Row],[Grade_gpt]]=""),0,tblMovement[[#This Row],[Tonnes_t]]*tblMovement[[#This Row],[Grade_gpt]]/cfg_TroyOz)</f>
        <v/>
      </c>
      <c r="O2752" s="59">
        <f>IF(tblMovement[[#This Row],[Is_Ore]]=1,tblMovement[[#This Row],[Contained_oz]],0)</f>
        <v/>
      </c>
    </row>
    <row r="2753">
      <c r="A2753" s="54" t="n"/>
      <c r="B2753" s="61" t="n"/>
      <c r="C2753" s="61" t="n"/>
      <c r="D2753" s="61" t="n"/>
      <c r="E2753" s="61" t="n"/>
      <c r="F2753" s="55" t="n"/>
      <c r="G2753" s="56" t="n"/>
      <c r="H2753" s="55" t="n"/>
      <c r="I2753" s="62" t="n"/>
      <c r="J2753" s="58" t="n"/>
      <c r="K2753" s="63">
        <f>IF(tblMovement[[#This Row],[Source]]="","",IFERROR(INDEX(tblSources[Type],MATCH(tblMovement[[#This Row],[Source]],tblSources[Source],0)),"?"))</f>
        <v/>
      </c>
      <c r="L2753" s="63">
        <f>IF(tblMovement[[#This Row],[Destination]]="","",IFERROR(INDEX(tblDestinations[Type],MATCH(tblMovement[[#This Row],[Destination]],tblDestinations[Destination],0)),"?"))</f>
        <v/>
      </c>
      <c r="M2753" s="64">
        <f>IF(tblMovement[[#This Row],[Material]]="","",IF(LEFT(tblMovement[[#This Row],[Material]],3)="Ore",1,0))</f>
        <v/>
      </c>
      <c r="N2753" s="59">
        <f>IF(OR(tblMovement[[#This Row],[Tonnes_t]]="",tblMovement[[#This Row],[Grade_gpt]]=""),0,tblMovement[[#This Row],[Tonnes_t]]*tblMovement[[#This Row],[Grade_gpt]]/cfg_TroyOz)</f>
        <v/>
      </c>
      <c r="O2753" s="59">
        <f>IF(tblMovement[[#This Row],[Is_Ore]]=1,tblMovement[[#This Row],[Contained_oz]],0)</f>
        <v/>
      </c>
    </row>
    <row r="2754">
      <c r="A2754" s="54" t="n"/>
      <c r="B2754" s="61" t="n"/>
      <c r="C2754" s="61" t="n"/>
      <c r="D2754" s="61" t="n"/>
      <c r="E2754" s="61" t="n"/>
      <c r="F2754" s="55" t="n"/>
      <c r="G2754" s="56" t="n"/>
      <c r="H2754" s="55" t="n"/>
      <c r="I2754" s="62" t="n"/>
      <c r="J2754" s="58" t="n"/>
      <c r="K2754" s="63">
        <f>IF(tblMovement[[#This Row],[Source]]="","",IFERROR(INDEX(tblSources[Type],MATCH(tblMovement[[#This Row],[Source]],tblSources[Source],0)),"?"))</f>
        <v/>
      </c>
      <c r="L2754" s="63">
        <f>IF(tblMovement[[#This Row],[Destination]]="","",IFERROR(INDEX(tblDestinations[Type],MATCH(tblMovement[[#This Row],[Destination]],tblDestinations[Destination],0)),"?"))</f>
        <v/>
      </c>
      <c r="M2754" s="64">
        <f>IF(tblMovement[[#This Row],[Material]]="","",IF(LEFT(tblMovement[[#This Row],[Material]],3)="Ore",1,0))</f>
        <v/>
      </c>
      <c r="N2754" s="59">
        <f>IF(OR(tblMovement[[#This Row],[Tonnes_t]]="",tblMovement[[#This Row],[Grade_gpt]]=""),0,tblMovement[[#This Row],[Tonnes_t]]*tblMovement[[#This Row],[Grade_gpt]]/cfg_TroyOz)</f>
        <v/>
      </c>
      <c r="O2754" s="59">
        <f>IF(tblMovement[[#This Row],[Is_Ore]]=1,tblMovement[[#This Row],[Contained_oz]],0)</f>
        <v/>
      </c>
    </row>
    <row r="2755">
      <c r="A2755" s="54" t="n"/>
      <c r="B2755" s="61" t="n"/>
      <c r="C2755" s="61" t="n"/>
      <c r="D2755" s="61" t="n"/>
      <c r="E2755" s="61" t="n"/>
      <c r="F2755" s="55" t="n"/>
      <c r="G2755" s="56" t="n"/>
      <c r="H2755" s="55" t="n"/>
      <c r="I2755" s="62" t="n"/>
      <c r="J2755" s="58" t="n"/>
      <c r="K2755" s="63">
        <f>IF(tblMovement[[#This Row],[Source]]="","",IFERROR(INDEX(tblSources[Type],MATCH(tblMovement[[#This Row],[Source]],tblSources[Source],0)),"?"))</f>
        <v/>
      </c>
      <c r="L2755" s="63">
        <f>IF(tblMovement[[#This Row],[Destination]]="","",IFERROR(INDEX(tblDestinations[Type],MATCH(tblMovement[[#This Row],[Destination]],tblDestinations[Destination],0)),"?"))</f>
        <v/>
      </c>
      <c r="M2755" s="64">
        <f>IF(tblMovement[[#This Row],[Material]]="","",IF(LEFT(tblMovement[[#This Row],[Material]],3)="Ore",1,0))</f>
        <v/>
      </c>
      <c r="N2755" s="59">
        <f>IF(OR(tblMovement[[#This Row],[Tonnes_t]]="",tblMovement[[#This Row],[Grade_gpt]]=""),0,tblMovement[[#This Row],[Tonnes_t]]*tblMovement[[#This Row],[Grade_gpt]]/cfg_TroyOz)</f>
        <v/>
      </c>
      <c r="O2755" s="59">
        <f>IF(tblMovement[[#This Row],[Is_Ore]]=1,tblMovement[[#This Row],[Contained_oz]],0)</f>
        <v/>
      </c>
    </row>
    <row r="2756">
      <c r="A2756" s="54" t="n"/>
      <c r="B2756" s="61" t="n"/>
      <c r="C2756" s="61" t="n"/>
      <c r="D2756" s="61" t="n"/>
      <c r="E2756" s="61" t="n"/>
      <c r="F2756" s="55" t="n"/>
      <c r="G2756" s="56" t="n"/>
      <c r="H2756" s="55" t="n"/>
      <c r="I2756" s="62" t="n"/>
      <c r="J2756" s="58" t="n"/>
      <c r="K2756" s="63">
        <f>IF(tblMovement[[#This Row],[Source]]="","",IFERROR(INDEX(tblSources[Type],MATCH(tblMovement[[#This Row],[Source]],tblSources[Source],0)),"?"))</f>
        <v/>
      </c>
      <c r="L2756" s="63">
        <f>IF(tblMovement[[#This Row],[Destination]]="","",IFERROR(INDEX(tblDestinations[Type],MATCH(tblMovement[[#This Row],[Destination]],tblDestinations[Destination],0)),"?"))</f>
        <v/>
      </c>
      <c r="M2756" s="64">
        <f>IF(tblMovement[[#This Row],[Material]]="","",IF(LEFT(tblMovement[[#This Row],[Material]],3)="Ore",1,0))</f>
        <v/>
      </c>
      <c r="N2756" s="59">
        <f>IF(OR(tblMovement[[#This Row],[Tonnes_t]]="",tblMovement[[#This Row],[Grade_gpt]]=""),0,tblMovement[[#This Row],[Tonnes_t]]*tblMovement[[#This Row],[Grade_gpt]]/cfg_TroyOz)</f>
        <v/>
      </c>
      <c r="O2756" s="59">
        <f>IF(tblMovement[[#This Row],[Is_Ore]]=1,tblMovement[[#This Row],[Contained_oz]],0)</f>
        <v/>
      </c>
    </row>
    <row r="2757">
      <c r="A2757" s="54" t="n"/>
      <c r="B2757" s="61" t="n"/>
      <c r="C2757" s="61" t="n"/>
      <c r="D2757" s="61" t="n"/>
      <c r="E2757" s="61" t="n"/>
      <c r="F2757" s="55" t="n"/>
      <c r="G2757" s="56" t="n"/>
      <c r="H2757" s="55" t="n"/>
      <c r="I2757" s="62" t="n"/>
      <c r="J2757" s="58" t="n"/>
      <c r="K2757" s="63">
        <f>IF(tblMovement[[#This Row],[Source]]="","",IFERROR(INDEX(tblSources[Type],MATCH(tblMovement[[#This Row],[Source]],tblSources[Source],0)),"?"))</f>
        <v/>
      </c>
      <c r="L2757" s="63">
        <f>IF(tblMovement[[#This Row],[Destination]]="","",IFERROR(INDEX(tblDestinations[Type],MATCH(tblMovement[[#This Row],[Destination]],tblDestinations[Destination],0)),"?"))</f>
        <v/>
      </c>
      <c r="M2757" s="64">
        <f>IF(tblMovement[[#This Row],[Material]]="","",IF(LEFT(tblMovement[[#This Row],[Material]],3)="Ore",1,0))</f>
        <v/>
      </c>
      <c r="N2757" s="59">
        <f>IF(OR(tblMovement[[#This Row],[Tonnes_t]]="",tblMovement[[#This Row],[Grade_gpt]]=""),0,tblMovement[[#This Row],[Tonnes_t]]*tblMovement[[#This Row],[Grade_gpt]]/cfg_TroyOz)</f>
        <v/>
      </c>
      <c r="O2757" s="59">
        <f>IF(tblMovement[[#This Row],[Is_Ore]]=1,tblMovement[[#This Row],[Contained_oz]],0)</f>
        <v/>
      </c>
    </row>
    <row r="2758">
      <c r="A2758" s="54" t="n"/>
      <c r="B2758" s="61" t="n"/>
      <c r="C2758" s="61" t="n"/>
      <c r="D2758" s="61" t="n"/>
      <c r="E2758" s="61" t="n"/>
      <c r="F2758" s="55" t="n"/>
      <c r="G2758" s="56" t="n"/>
      <c r="H2758" s="55" t="n"/>
      <c r="I2758" s="62" t="n"/>
      <c r="J2758" s="58" t="n"/>
      <c r="K2758" s="63">
        <f>IF(tblMovement[[#This Row],[Source]]="","",IFERROR(INDEX(tblSources[Type],MATCH(tblMovement[[#This Row],[Source]],tblSources[Source],0)),"?"))</f>
        <v/>
      </c>
      <c r="L2758" s="63">
        <f>IF(tblMovement[[#This Row],[Destination]]="","",IFERROR(INDEX(tblDestinations[Type],MATCH(tblMovement[[#This Row],[Destination]],tblDestinations[Destination],0)),"?"))</f>
        <v/>
      </c>
      <c r="M2758" s="64">
        <f>IF(tblMovement[[#This Row],[Material]]="","",IF(LEFT(tblMovement[[#This Row],[Material]],3)="Ore",1,0))</f>
        <v/>
      </c>
      <c r="N2758" s="59">
        <f>IF(OR(tblMovement[[#This Row],[Tonnes_t]]="",tblMovement[[#This Row],[Grade_gpt]]=""),0,tblMovement[[#This Row],[Tonnes_t]]*tblMovement[[#This Row],[Grade_gpt]]/cfg_TroyOz)</f>
        <v/>
      </c>
      <c r="O2758" s="59">
        <f>IF(tblMovement[[#This Row],[Is_Ore]]=1,tblMovement[[#This Row],[Contained_oz]],0)</f>
        <v/>
      </c>
    </row>
    <row r="2759">
      <c r="A2759" s="54" t="n"/>
      <c r="B2759" s="61" t="n"/>
      <c r="C2759" s="61" t="n"/>
      <c r="D2759" s="61" t="n"/>
      <c r="E2759" s="61" t="n"/>
      <c r="F2759" s="55" t="n"/>
      <c r="G2759" s="56" t="n"/>
      <c r="H2759" s="55" t="n"/>
      <c r="I2759" s="62" t="n"/>
      <c r="J2759" s="58" t="n"/>
      <c r="K2759" s="63">
        <f>IF(tblMovement[[#This Row],[Source]]="","",IFERROR(INDEX(tblSources[Type],MATCH(tblMovement[[#This Row],[Source]],tblSources[Source],0)),"?"))</f>
        <v/>
      </c>
      <c r="L2759" s="63">
        <f>IF(tblMovement[[#This Row],[Destination]]="","",IFERROR(INDEX(tblDestinations[Type],MATCH(tblMovement[[#This Row],[Destination]],tblDestinations[Destination],0)),"?"))</f>
        <v/>
      </c>
      <c r="M2759" s="64">
        <f>IF(tblMovement[[#This Row],[Material]]="","",IF(LEFT(tblMovement[[#This Row],[Material]],3)="Ore",1,0))</f>
        <v/>
      </c>
      <c r="N2759" s="59">
        <f>IF(OR(tblMovement[[#This Row],[Tonnes_t]]="",tblMovement[[#This Row],[Grade_gpt]]=""),0,tblMovement[[#This Row],[Tonnes_t]]*tblMovement[[#This Row],[Grade_gpt]]/cfg_TroyOz)</f>
        <v/>
      </c>
      <c r="O2759" s="59">
        <f>IF(tblMovement[[#This Row],[Is_Ore]]=1,tblMovement[[#This Row],[Contained_oz]],0)</f>
        <v/>
      </c>
    </row>
    <row r="2760">
      <c r="A2760" s="54" t="n"/>
      <c r="B2760" s="61" t="n"/>
      <c r="C2760" s="61" t="n"/>
      <c r="D2760" s="61" t="n"/>
      <c r="E2760" s="61" t="n"/>
      <c r="F2760" s="55" t="n"/>
      <c r="G2760" s="56" t="n"/>
      <c r="H2760" s="55" t="n"/>
      <c r="I2760" s="62" t="n"/>
      <c r="J2760" s="58" t="n"/>
      <c r="K2760" s="63">
        <f>IF(tblMovement[[#This Row],[Source]]="","",IFERROR(INDEX(tblSources[Type],MATCH(tblMovement[[#This Row],[Source]],tblSources[Source],0)),"?"))</f>
        <v/>
      </c>
      <c r="L2760" s="63">
        <f>IF(tblMovement[[#This Row],[Destination]]="","",IFERROR(INDEX(tblDestinations[Type],MATCH(tblMovement[[#This Row],[Destination]],tblDestinations[Destination],0)),"?"))</f>
        <v/>
      </c>
      <c r="M2760" s="64">
        <f>IF(tblMovement[[#This Row],[Material]]="","",IF(LEFT(tblMovement[[#This Row],[Material]],3)="Ore",1,0))</f>
        <v/>
      </c>
      <c r="N2760" s="59">
        <f>IF(OR(tblMovement[[#This Row],[Tonnes_t]]="",tblMovement[[#This Row],[Grade_gpt]]=""),0,tblMovement[[#This Row],[Tonnes_t]]*tblMovement[[#This Row],[Grade_gpt]]/cfg_TroyOz)</f>
        <v/>
      </c>
      <c r="O2760" s="59">
        <f>IF(tblMovement[[#This Row],[Is_Ore]]=1,tblMovement[[#This Row],[Contained_oz]],0)</f>
        <v/>
      </c>
    </row>
    <row r="2761">
      <c r="A2761" s="54" t="n"/>
      <c r="B2761" s="61" t="n"/>
      <c r="C2761" s="61" t="n"/>
      <c r="D2761" s="61" t="n"/>
      <c r="E2761" s="61" t="n"/>
      <c r="F2761" s="55" t="n"/>
      <c r="G2761" s="56" t="n"/>
      <c r="H2761" s="55" t="n"/>
      <c r="I2761" s="62" t="n"/>
      <c r="J2761" s="58" t="n"/>
      <c r="K2761" s="63">
        <f>IF(tblMovement[[#This Row],[Source]]="","",IFERROR(INDEX(tblSources[Type],MATCH(tblMovement[[#This Row],[Source]],tblSources[Source],0)),"?"))</f>
        <v/>
      </c>
      <c r="L2761" s="63">
        <f>IF(tblMovement[[#This Row],[Destination]]="","",IFERROR(INDEX(tblDestinations[Type],MATCH(tblMovement[[#This Row],[Destination]],tblDestinations[Destination],0)),"?"))</f>
        <v/>
      </c>
      <c r="M2761" s="64">
        <f>IF(tblMovement[[#This Row],[Material]]="","",IF(LEFT(tblMovement[[#This Row],[Material]],3)="Ore",1,0))</f>
        <v/>
      </c>
      <c r="N2761" s="59">
        <f>IF(OR(tblMovement[[#This Row],[Tonnes_t]]="",tblMovement[[#This Row],[Grade_gpt]]=""),0,tblMovement[[#This Row],[Tonnes_t]]*tblMovement[[#This Row],[Grade_gpt]]/cfg_TroyOz)</f>
        <v/>
      </c>
      <c r="O2761" s="59">
        <f>IF(tblMovement[[#This Row],[Is_Ore]]=1,tblMovement[[#This Row],[Contained_oz]],0)</f>
        <v/>
      </c>
    </row>
    <row r="2762">
      <c r="A2762" s="54" t="n"/>
      <c r="B2762" s="61" t="n"/>
      <c r="C2762" s="61" t="n"/>
      <c r="D2762" s="61" t="n"/>
      <c r="E2762" s="61" t="n"/>
      <c r="F2762" s="55" t="n"/>
      <c r="G2762" s="56" t="n"/>
      <c r="H2762" s="55" t="n"/>
      <c r="I2762" s="62" t="n"/>
      <c r="J2762" s="58" t="n"/>
      <c r="K2762" s="63">
        <f>IF(tblMovement[[#This Row],[Source]]="","",IFERROR(INDEX(tblSources[Type],MATCH(tblMovement[[#This Row],[Source]],tblSources[Source],0)),"?"))</f>
        <v/>
      </c>
      <c r="L2762" s="63">
        <f>IF(tblMovement[[#This Row],[Destination]]="","",IFERROR(INDEX(tblDestinations[Type],MATCH(tblMovement[[#This Row],[Destination]],tblDestinations[Destination],0)),"?"))</f>
        <v/>
      </c>
      <c r="M2762" s="64">
        <f>IF(tblMovement[[#This Row],[Material]]="","",IF(LEFT(tblMovement[[#This Row],[Material]],3)="Ore",1,0))</f>
        <v/>
      </c>
      <c r="N2762" s="59">
        <f>IF(OR(tblMovement[[#This Row],[Tonnes_t]]="",tblMovement[[#This Row],[Grade_gpt]]=""),0,tblMovement[[#This Row],[Tonnes_t]]*tblMovement[[#This Row],[Grade_gpt]]/cfg_TroyOz)</f>
        <v/>
      </c>
      <c r="O2762" s="59">
        <f>IF(tblMovement[[#This Row],[Is_Ore]]=1,tblMovement[[#This Row],[Contained_oz]],0)</f>
        <v/>
      </c>
    </row>
    <row r="2763">
      <c r="A2763" s="54" t="n"/>
      <c r="B2763" s="61" t="n"/>
      <c r="C2763" s="61" t="n"/>
      <c r="D2763" s="61" t="n"/>
      <c r="E2763" s="61" t="n"/>
      <c r="F2763" s="55" t="n"/>
      <c r="G2763" s="56" t="n"/>
      <c r="H2763" s="55" t="n"/>
      <c r="I2763" s="62" t="n"/>
      <c r="J2763" s="58" t="n"/>
      <c r="K2763" s="63">
        <f>IF(tblMovement[[#This Row],[Source]]="","",IFERROR(INDEX(tblSources[Type],MATCH(tblMovement[[#This Row],[Source]],tblSources[Source],0)),"?"))</f>
        <v/>
      </c>
      <c r="L2763" s="63">
        <f>IF(tblMovement[[#This Row],[Destination]]="","",IFERROR(INDEX(tblDestinations[Type],MATCH(tblMovement[[#This Row],[Destination]],tblDestinations[Destination],0)),"?"))</f>
        <v/>
      </c>
      <c r="M2763" s="64">
        <f>IF(tblMovement[[#This Row],[Material]]="","",IF(LEFT(tblMovement[[#This Row],[Material]],3)="Ore",1,0))</f>
        <v/>
      </c>
      <c r="N2763" s="59">
        <f>IF(OR(tblMovement[[#This Row],[Tonnes_t]]="",tblMovement[[#This Row],[Grade_gpt]]=""),0,tblMovement[[#This Row],[Tonnes_t]]*tblMovement[[#This Row],[Grade_gpt]]/cfg_TroyOz)</f>
        <v/>
      </c>
      <c r="O2763" s="59">
        <f>IF(tblMovement[[#This Row],[Is_Ore]]=1,tblMovement[[#This Row],[Contained_oz]],0)</f>
        <v/>
      </c>
    </row>
    <row r="2764">
      <c r="A2764" s="54" t="n"/>
      <c r="B2764" s="61" t="n"/>
      <c r="C2764" s="61" t="n"/>
      <c r="D2764" s="61" t="n"/>
      <c r="E2764" s="61" t="n"/>
      <c r="F2764" s="55" t="n"/>
      <c r="G2764" s="56" t="n"/>
      <c r="H2764" s="55" t="n"/>
      <c r="I2764" s="62" t="n"/>
      <c r="J2764" s="58" t="n"/>
      <c r="K2764" s="63">
        <f>IF(tblMovement[[#This Row],[Source]]="","",IFERROR(INDEX(tblSources[Type],MATCH(tblMovement[[#This Row],[Source]],tblSources[Source],0)),"?"))</f>
        <v/>
      </c>
      <c r="L2764" s="63">
        <f>IF(tblMovement[[#This Row],[Destination]]="","",IFERROR(INDEX(tblDestinations[Type],MATCH(tblMovement[[#This Row],[Destination]],tblDestinations[Destination],0)),"?"))</f>
        <v/>
      </c>
      <c r="M2764" s="64">
        <f>IF(tblMovement[[#This Row],[Material]]="","",IF(LEFT(tblMovement[[#This Row],[Material]],3)="Ore",1,0))</f>
        <v/>
      </c>
      <c r="N2764" s="59">
        <f>IF(OR(tblMovement[[#This Row],[Tonnes_t]]="",tblMovement[[#This Row],[Grade_gpt]]=""),0,tblMovement[[#This Row],[Tonnes_t]]*tblMovement[[#This Row],[Grade_gpt]]/cfg_TroyOz)</f>
        <v/>
      </c>
      <c r="O2764" s="59">
        <f>IF(tblMovement[[#This Row],[Is_Ore]]=1,tblMovement[[#This Row],[Contained_oz]],0)</f>
        <v/>
      </c>
    </row>
    <row r="2765">
      <c r="A2765" s="54" t="n"/>
      <c r="B2765" s="61" t="n"/>
      <c r="C2765" s="61" t="n"/>
      <c r="D2765" s="61" t="n"/>
      <c r="E2765" s="61" t="n"/>
      <c r="F2765" s="55" t="n"/>
      <c r="G2765" s="56" t="n"/>
      <c r="H2765" s="55" t="n"/>
      <c r="I2765" s="62" t="n"/>
      <c r="J2765" s="58" t="n"/>
      <c r="K2765" s="63">
        <f>IF(tblMovement[[#This Row],[Source]]="","",IFERROR(INDEX(tblSources[Type],MATCH(tblMovement[[#This Row],[Source]],tblSources[Source],0)),"?"))</f>
        <v/>
      </c>
      <c r="L2765" s="63">
        <f>IF(tblMovement[[#This Row],[Destination]]="","",IFERROR(INDEX(tblDestinations[Type],MATCH(tblMovement[[#This Row],[Destination]],tblDestinations[Destination],0)),"?"))</f>
        <v/>
      </c>
      <c r="M2765" s="64">
        <f>IF(tblMovement[[#This Row],[Material]]="","",IF(LEFT(tblMovement[[#This Row],[Material]],3)="Ore",1,0))</f>
        <v/>
      </c>
      <c r="N2765" s="59">
        <f>IF(OR(tblMovement[[#This Row],[Tonnes_t]]="",tblMovement[[#This Row],[Grade_gpt]]=""),0,tblMovement[[#This Row],[Tonnes_t]]*tblMovement[[#This Row],[Grade_gpt]]/cfg_TroyOz)</f>
        <v/>
      </c>
      <c r="O2765" s="59">
        <f>IF(tblMovement[[#This Row],[Is_Ore]]=1,tblMovement[[#This Row],[Contained_oz]],0)</f>
        <v/>
      </c>
    </row>
    <row r="2766">
      <c r="A2766" s="54" t="n"/>
      <c r="B2766" s="61" t="n"/>
      <c r="C2766" s="61" t="n"/>
      <c r="D2766" s="61" t="n"/>
      <c r="E2766" s="61" t="n"/>
      <c r="F2766" s="55" t="n"/>
      <c r="G2766" s="56" t="n"/>
      <c r="H2766" s="55" t="n"/>
      <c r="I2766" s="62" t="n"/>
      <c r="J2766" s="58" t="n"/>
      <c r="K2766" s="63">
        <f>IF(tblMovement[[#This Row],[Source]]="","",IFERROR(INDEX(tblSources[Type],MATCH(tblMovement[[#This Row],[Source]],tblSources[Source],0)),"?"))</f>
        <v/>
      </c>
      <c r="L2766" s="63">
        <f>IF(tblMovement[[#This Row],[Destination]]="","",IFERROR(INDEX(tblDestinations[Type],MATCH(tblMovement[[#This Row],[Destination]],tblDestinations[Destination],0)),"?"))</f>
        <v/>
      </c>
      <c r="M2766" s="64">
        <f>IF(tblMovement[[#This Row],[Material]]="","",IF(LEFT(tblMovement[[#This Row],[Material]],3)="Ore",1,0))</f>
        <v/>
      </c>
      <c r="N2766" s="59">
        <f>IF(OR(tblMovement[[#This Row],[Tonnes_t]]="",tblMovement[[#This Row],[Grade_gpt]]=""),0,tblMovement[[#This Row],[Tonnes_t]]*tblMovement[[#This Row],[Grade_gpt]]/cfg_TroyOz)</f>
        <v/>
      </c>
      <c r="O2766" s="59">
        <f>IF(tblMovement[[#This Row],[Is_Ore]]=1,tblMovement[[#This Row],[Contained_oz]],0)</f>
        <v/>
      </c>
    </row>
    <row r="2767">
      <c r="A2767" s="54" t="n"/>
      <c r="B2767" s="61" t="n"/>
      <c r="C2767" s="61" t="n"/>
      <c r="D2767" s="61" t="n"/>
      <c r="E2767" s="61" t="n"/>
      <c r="F2767" s="55" t="n"/>
      <c r="G2767" s="56" t="n"/>
      <c r="H2767" s="55" t="n"/>
      <c r="I2767" s="62" t="n"/>
      <c r="J2767" s="58" t="n"/>
      <c r="K2767" s="63">
        <f>IF(tblMovement[[#This Row],[Source]]="","",IFERROR(INDEX(tblSources[Type],MATCH(tblMovement[[#This Row],[Source]],tblSources[Source],0)),"?"))</f>
        <v/>
      </c>
      <c r="L2767" s="63">
        <f>IF(tblMovement[[#This Row],[Destination]]="","",IFERROR(INDEX(tblDestinations[Type],MATCH(tblMovement[[#This Row],[Destination]],tblDestinations[Destination],0)),"?"))</f>
        <v/>
      </c>
      <c r="M2767" s="64">
        <f>IF(tblMovement[[#This Row],[Material]]="","",IF(LEFT(tblMovement[[#This Row],[Material]],3)="Ore",1,0))</f>
        <v/>
      </c>
      <c r="N2767" s="59">
        <f>IF(OR(tblMovement[[#This Row],[Tonnes_t]]="",tblMovement[[#This Row],[Grade_gpt]]=""),0,tblMovement[[#This Row],[Tonnes_t]]*tblMovement[[#This Row],[Grade_gpt]]/cfg_TroyOz)</f>
        <v/>
      </c>
      <c r="O2767" s="59">
        <f>IF(tblMovement[[#This Row],[Is_Ore]]=1,tblMovement[[#This Row],[Contained_oz]],0)</f>
        <v/>
      </c>
    </row>
    <row r="2768">
      <c r="A2768" s="54" t="n"/>
      <c r="B2768" s="61" t="n"/>
      <c r="C2768" s="61" t="n"/>
      <c r="D2768" s="61" t="n"/>
      <c r="E2768" s="61" t="n"/>
      <c r="F2768" s="55" t="n"/>
      <c r="G2768" s="56" t="n"/>
      <c r="H2768" s="55" t="n"/>
      <c r="I2768" s="62" t="n"/>
      <c r="J2768" s="58" t="n"/>
      <c r="K2768" s="63">
        <f>IF(tblMovement[[#This Row],[Source]]="","",IFERROR(INDEX(tblSources[Type],MATCH(tblMovement[[#This Row],[Source]],tblSources[Source],0)),"?"))</f>
        <v/>
      </c>
      <c r="L2768" s="63">
        <f>IF(tblMovement[[#This Row],[Destination]]="","",IFERROR(INDEX(tblDestinations[Type],MATCH(tblMovement[[#This Row],[Destination]],tblDestinations[Destination],0)),"?"))</f>
        <v/>
      </c>
      <c r="M2768" s="64">
        <f>IF(tblMovement[[#This Row],[Material]]="","",IF(LEFT(tblMovement[[#This Row],[Material]],3)="Ore",1,0))</f>
        <v/>
      </c>
      <c r="N2768" s="59">
        <f>IF(OR(tblMovement[[#This Row],[Tonnes_t]]="",tblMovement[[#This Row],[Grade_gpt]]=""),0,tblMovement[[#This Row],[Tonnes_t]]*tblMovement[[#This Row],[Grade_gpt]]/cfg_TroyOz)</f>
        <v/>
      </c>
      <c r="O2768" s="59">
        <f>IF(tblMovement[[#This Row],[Is_Ore]]=1,tblMovement[[#This Row],[Contained_oz]],0)</f>
        <v/>
      </c>
    </row>
    <row r="2769">
      <c r="A2769" s="54" t="n"/>
      <c r="B2769" s="61" t="n"/>
      <c r="C2769" s="61" t="n"/>
      <c r="D2769" s="61" t="n"/>
      <c r="E2769" s="61" t="n"/>
      <c r="F2769" s="55" t="n"/>
      <c r="G2769" s="56" t="n"/>
      <c r="H2769" s="55" t="n"/>
      <c r="I2769" s="62" t="n"/>
      <c r="J2769" s="58" t="n"/>
      <c r="K2769" s="63">
        <f>IF(tblMovement[[#This Row],[Source]]="","",IFERROR(INDEX(tblSources[Type],MATCH(tblMovement[[#This Row],[Source]],tblSources[Source],0)),"?"))</f>
        <v/>
      </c>
      <c r="L2769" s="63">
        <f>IF(tblMovement[[#This Row],[Destination]]="","",IFERROR(INDEX(tblDestinations[Type],MATCH(tblMovement[[#This Row],[Destination]],tblDestinations[Destination],0)),"?"))</f>
        <v/>
      </c>
      <c r="M2769" s="64">
        <f>IF(tblMovement[[#This Row],[Material]]="","",IF(LEFT(tblMovement[[#This Row],[Material]],3)="Ore",1,0))</f>
        <v/>
      </c>
      <c r="N2769" s="59">
        <f>IF(OR(tblMovement[[#This Row],[Tonnes_t]]="",tblMovement[[#This Row],[Grade_gpt]]=""),0,tblMovement[[#This Row],[Tonnes_t]]*tblMovement[[#This Row],[Grade_gpt]]/cfg_TroyOz)</f>
        <v/>
      </c>
      <c r="O2769" s="59">
        <f>IF(tblMovement[[#This Row],[Is_Ore]]=1,tblMovement[[#This Row],[Contained_oz]],0)</f>
        <v/>
      </c>
    </row>
    <row r="2770">
      <c r="A2770" s="54" t="n"/>
      <c r="B2770" s="61" t="n"/>
      <c r="C2770" s="61" t="n"/>
      <c r="D2770" s="61" t="n"/>
      <c r="E2770" s="61" t="n"/>
      <c r="F2770" s="55" t="n"/>
      <c r="G2770" s="56" t="n"/>
      <c r="H2770" s="55" t="n"/>
      <c r="I2770" s="62" t="n"/>
      <c r="J2770" s="58" t="n"/>
      <c r="K2770" s="63">
        <f>IF(tblMovement[[#This Row],[Source]]="","",IFERROR(INDEX(tblSources[Type],MATCH(tblMovement[[#This Row],[Source]],tblSources[Source],0)),"?"))</f>
        <v/>
      </c>
      <c r="L2770" s="63">
        <f>IF(tblMovement[[#This Row],[Destination]]="","",IFERROR(INDEX(tblDestinations[Type],MATCH(tblMovement[[#This Row],[Destination]],tblDestinations[Destination],0)),"?"))</f>
        <v/>
      </c>
      <c r="M2770" s="64">
        <f>IF(tblMovement[[#This Row],[Material]]="","",IF(LEFT(tblMovement[[#This Row],[Material]],3)="Ore",1,0))</f>
        <v/>
      </c>
      <c r="N2770" s="59">
        <f>IF(OR(tblMovement[[#This Row],[Tonnes_t]]="",tblMovement[[#This Row],[Grade_gpt]]=""),0,tblMovement[[#This Row],[Tonnes_t]]*tblMovement[[#This Row],[Grade_gpt]]/cfg_TroyOz)</f>
        <v/>
      </c>
      <c r="O2770" s="59">
        <f>IF(tblMovement[[#This Row],[Is_Ore]]=1,tblMovement[[#This Row],[Contained_oz]],0)</f>
        <v/>
      </c>
    </row>
    <row r="2771">
      <c r="A2771" s="54" t="n"/>
      <c r="B2771" s="61" t="n"/>
      <c r="C2771" s="61" t="n"/>
      <c r="D2771" s="61" t="n"/>
      <c r="E2771" s="61" t="n"/>
      <c r="F2771" s="55" t="n"/>
      <c r="G2771" s="56" t="n"/>
      <c r="H2771" s="55" t="n"/>
      <c r="I2771" s="62" t="n"/>
      <c r="J2771" s="58" t="n"/>
      <c r="K2771" s="63">
        <f>IF(tblMovement[[#This Row],[Source]]="","",IFERROR(INDEX(tblSources[Type],MATCH(tblMovement[[#This Row],[Source]],tblSources[Source],0)),"?"))</f>
        <v/>
      </c>
      <c r="L2771" s="63">
        <f>IF(tblMovement[[#This Row],[Destination]]="","",IFERROR(INDEX(tblDestinations[Type],MATCH(tblMovement[[#This Row],[Destination]],tblDestinations[Destination],0)),"?"))</f>
        <v/>
      </c>
      <c r="M2771" s="64">
        <f>IF(tblMovement[[#This Row],[Material]]="","",IF(LEFT(tblMovement[[#This Row],[Material]],3)="Ore",1,0))</f>
        <v/>
      </c>
      <c r="N2771" s="59">
        <f>IF(OR(tblMovement[[#This Row],[Tonnes_t]]="",tblMovement[[#This Row],[Grade_gpt]]=""),0,tblMovement[[#This Row],[Tonnes_t]]*tblMovement[[#This Row],[Grade_gpt]]/cfg_TroyOz)</f>
        <v/>
      </c>
      <c r="O2771" s="59">
        <f>IF(tblMovement[[#This Row],[Is_Ore]]=1,tblMovement[[#This Row],[Contained_oz]],0)</f>
        <v/>
      </c>
    </row>
    <row r="2772">
      <c r="A2772" s="54" t="n"/>
      <c r="B2772" s="61" t="n"/>
      <c r="C2772" s="61" t="n"/>
      <c r="D2772" s="61" t="n"/>
      <c r="E2772" s="61" t="n"/>
      <c r="F2772" s="55" t="n"/>
      <c r="G2772" s="56" t="n"/>
      <c r="H2772" s="55" t="n"/>
      <c r="I2772" s="62" t="n"/>
      <c r="J2772" s="58" t="n"/>
      <c r="K2772" s="63">
        <f>IF(tblMovement[[#This Row],[Source]]="","",IFERROR(INDEX(tblSources[Type],MATCH(tblMovement[[#This Row],[Source]],tblSources[Source],0)),"?"))</f>
        <v/>
      </c>
      <c r="L2772" s="63">
        <f>IF(tblMovement[[#This Row],[Destination]]="","",IFERROR(INDEX(tblDestinations[Type],MATCH(tblMovement[[#This Row],[Destination]],tblDestinations[Destination],0)),"?"))</f>
        <v/>
      </c>
      <c r="M2772" s="64">
        <f>IF(tblMovement[[#This Row],[Material]]="","",IF(LEFT(tblMovement[[#This Row],[Material]],3)="Ore",1,0))</f>
        <v/>
      </c>
      <c r="N2772" s="59">
        <f>IF(OR(tblMovement[[#This Row],[Tonnes_t]]="",tblMovement[[#This Row],[Grade_gpt]]=""),0,tblMovement[[#This Row],[Tonnes_t]]*tblMovement[[#This Row],[Grade_gpt]]/cfg_TroyOz)</f>
        <v/>
      </c>
      <c r="O2772" s="59">
        <f>IF(tblMovement[[#This Row],[Is_Ore]]=1,tblMovement[[#This Row],[Contained_oz]],0)</f>
        <v/>
      </c>
    </row>
    <row r="2773">
      <c r="A2773" s="54" t="n"/>
      <c r="B2773" s="61" t="n"/>
      <c r="C2773" s="61" t="n"/>
      <c r="D2773" s="61" t="n"/>
      <c r="E2773" s="61" t="n"/>
      <c r="F2773" s="55" t="n"/>
      <c r="G2773" s="56" t="n"/>
      <c r="H2773" s="55" t="n"/>
      <c r="I2773" s="62" t="n"/>
      <c r="J2773" s="58" t="n"/>
      <c r="K2773" s="63">
        <f>IF(tblMovement[[#This Row],[Source]]="","",IFERROR(INDEX(tblSources[Type],MATCH(tblMovement[[#This Row],[Source]],tblSources[Source],0)),"?"))</f>
        <v/>
      </c>
      <c r="L2773" s="63">
        <f>IF(tblMovement[[#This Row],[Destination]]="","",IFERROR(INDEX(tblDestinations[Type],MATCH(tblMovement[[#This Row],[Destination]],tblDestinations[Destination],0)),"?"))</f>
        <v/>
      </c>
      <c r="M2773" s="64">
        <f>IF(tblMovement[[#This Row],[Material]]="","",IF(LEFT(tblMovement[[#This Row],[Material]],3)="Ore",1,0))</f>
        <v/>
      </c>
      <c r="N2773" s="59">
        <f>IF(OR(tblMovement[[#This Row],[Tonnes_t]]="",tblMovement[[#This Row],[Grade_gpt]]=""),0,tblMovement[[#This Row],[Tonnes_t]]*tblMovement[[#This Row],[Grade_gpt]]/cfg_TroyOz)</f>
        <v/>
      </c>
      <c r="O2773" s="59">
        <f>IF(tblMovement[[#This Row],[Is_Ore]]=1,tblMovement[[#This Row],[Contained_oz]],0)</f>
        <v/>
      </c>
    </row>
    <row r="2774">
      <c r="A2774" s="54" t="n"/>
      <c r="B2774" s="61" t="n"/>
      <c r="C2774" s="61" t="n"/>
      <c r="D2774" s="61" t="n"/>
      <c r="E2774" s="61" t="n"/>
      <c r="F2774" s="55" t="n"/>
      <c r="G2774" s="56" t="n"/>
      <c r="H2774" s="55" t="n"/>
      <c r="I2774" s="62" t="n"/>
      <c r="J2774" s="58" t="n"/>
      <c r="K2774" s="63">
        <f>IF(tblMovement[[#This Row],[Source]]="","",IFERROR(INDEX(tblSources[Type],MATCH(tblMovement[[#This Row],[Source]],tblSources[Source],0)),"?"))</f>
        <v/>
      </c>
      <c r="L2774" s="63">
        <f>IF(tblMovement[[#This Row],[Destination]]="","",IFERROR(INDEX(tblDestinations[Type],MATCH(tblMovement[[#This Row],[Destination]],tblDestinations[Destination],0)),"?"))</f>
        <v/>
      </c>
      <c r="M2774" s="64">
        <f>IF(tblMovement[[#This Row],[Material]]="","",IF(LEFT(tblMovement[[#This Row],[Material]],3)="Ore",1,0))</f>
        <v/>
      </c>
      <c r="N2774" s="59">
        <f>IF(OR(tblMovement[[#This Row],[Tonnes_t]]="",tblMovement[[#This Row],[Grade_gpt]]=""),0,tblMovement[[#This Row],[Tonnes_t]]*tblMovement[[#This Row],[Grade_gpt]]/cfg_TroyOz)</f>
        <v/>
      </c>
      <c r="O2774" s="59">
        <f>IF(tblMovement[[#This Row],[Is_Ore]]=1,tblMovement[[#This Row],[Contained_oz]],0)</f>
        <v/>
      </c>
    </row>
    <row r="2775">
      <c r="A2775" s="54" t="n"/>
      <c r="B2775" s="61" t="n"/>
      <c r="C2775" s="61" t="n"/>
      <c r="D2775" s="61" t="n"/>
      <c r="E2775" s="61" t="n"/>
      <c r="F2775" s="55" t="n"/>
      <c r="G2775" s="56" t="n"/>
      <c r="H2775" s="55" t="n"/>
      <c r="I2775" s="62" t="n"/>
      <c r="J2775" s="58" t="n"/>
      <c r="K2775" s="63">
        <f>IF(tblMovement[[#This Row],[Source]]="","",IFERROR(INDEX(tblSources[Type],MATCH(tblMovement[[#This Row],[Source]],tblSources[Source],0)),"?"))</f>
        <v/>
      </c>
      <c r="L2775" s="63">
        <f>IF(tblMovement[[#This Row],[Destination]]="","",IFERROR(INDEX(tblDestinations[Type],MATCH(tblMovement[[#This Row],[Destination]],tblDestinations[Destination],0)),"?"))</f>
        <v/>
      </c>
      <c r="M2775" s="64">
        <f>IF(tblMovement[[#This Row],[Material]]="","",IF(LEFT(tblMovement[[#This Row],[Material]],3)="Ore",1,0))</f>
        <v/>
      </c>
      <c r="N2775" s="59">
        <f>IF(OR(tblMovement[[#This Row],[Tonnes_t]]="",tblMovement[[#This Row],[Grade_gpt]]=""),0,tblMovement[[#This Row],[Tonnes_t]]*tblMovement[[#This Row],[Grade_gpt]]/cfg_TroyOz)</f>
        <v/>
      </c>
      <c r="O2775" s="59">
        <f>IF(tblMovement[[#This Row],[Is_Ore]]=1,tblMovement[[#This Row],[Contained_oz]],0)</f>
        <v/>
      </c>
    </row>
    <row r="2776">
      <c r="A2776" s="54" t="n"/>
      <c r="B2776" s="61" t="n"/>
      <c r="C2776" s="61" t="n"/>
      <c r="D2776" s="61" t="n"/>
      <c r="E2776" s="61" t="n"/>
      <c r="F2776" s="55" t="n"/>
      <c r="G2776" s="56" t="n"/>
      <c r="H2776" s="55" t="n"/>
      <c r="I2776" s="62" t="n"/>
      <c r="J2776" s="58" t="n"/>
      <c r="K2776" s="63">
        <f>IF(tblMovement[[#This Row],[Source]]="","",IFERROR(INDEX(tblSources[Type],MATCH(tblMovement[[#This Row],[Source]],tblSources[Source],0)),"?"))</f>
        <v/>
      </c>
      <c r="L2776" s="63">
        <f>IF(tblMovement[[#This Row],[Destination]]="","",IFERROR(INDEX(tblDestinations[Type],MATCH(tblMovement[[#This Row],[Destination]],tblDestinations[Destination],0)),"?"))</f>
        <v/>
      </c>
      <c r="M2776" s="64">
        <f>IF(tblMovement[[#This Row],[Material]]="","",IF(LEFT(tblMovement[[#This Row],[Material]],3)="Ore",1,0))</f>
        <v/>
      </c>
      <c r="N2776" s="59">
        <f>IF(OR(tblMovement[[#This Row],[Tonnes_t]]="",tblMovement[[#This Row],[Grade_gpt]]=""),0,tblMovement[[#This Row],[Tonnes_t]]*tblMovement[[#This Row],[Grade_gpt]]/cfg_TroyOz)</f>
        <v/>
      </c>
      <c r="O2776" s="59">
        <f>IF(tblMovement[[#This Row],[Is_Ore]]=1,tblMovement[[#This Row],[Contained_oz]],0)</f>
        <v/>
      </c>
    </row>
    <row r="2777">
      <c r="A2777" s="54" t="n"/>
      <c r="B2777" s="61" t="n"/>
      <c r="C2777" s="61" t="n"/>
      <c r="D2777" s="61" t="n"/>
      <c r="E2777" s="61" t="n"/>
      <c r="F2777" s="55" t="n"/>
      <c r="G2777" s="56" t="n"/>
      <c r="H2777" s="55" t="n"/>
      <c r="I2777" s="62" t="n"/>
      <c r="J2777" s="58" t="n"/>
      <c r="K2777" s="63">
        <f>IF(tblMovement[[#This Row],[Source]]="","",IFERROR(INDEX(tblSources[Type],MATCH(tblMovement[[#This Row],[Source]],tblSources[Source],0)),"?"))</f>
        <v/>
      </c>
      <c r="L2777" s="63">
        <f>IF(tblMovement[[#This Row],[Destination]]="","",IFERROR(INDEX(tblDestinations[Type],MATCH(tblMovement[[#This Row],[Destination]],tblDestinations[Destination],0)),"?"))</f>
        <v/>
      </c>
      <c r="M2777" s="64">
        <f>IF(tblMovement[[#This Row],[Material]]="","",IF(LEFT(tblMovement[[#This Row],[Material]],3)="Ore",1,0))</f>
        <v/>
      </c>
      <c r="N2777" s="59">
        <f>IF(OR(tblMovement[[#This Row],[Tonnes_t]]="",tblMovement[[#This Row],[Grade_gpt]]=""),0,tblMovement[[#This Row],[Tonnes_t]]*tblMovement[[#This Row],[Grade_gpt]]/cfg_TroyOz)</f>
        <v/>
      </c>
      <c r="O2777" s="59">
        <f>IF(tblMovement[[#This Row],[Is_Ore]]=1,tblMovement[[#This Row],[Contained_oz]],0)</f>
        <v/>
      </c>
    </row>
    <row r="2778">
      <c r="A2778" s="54" t="n"/>
      <c r="B2778" s="61" t="n"/>
      <c r="C2778" s="61" t="n"/>
      <c r="D2778" s="61" t="n"/>
      <c r="E2778" s="61" t="n"/>
      <c r="F2778" s="55" t="n"/>
      <c r="G2778" s="56" t="n"/>
      <c r="H2778" s="55" t="n"/>
      <c r="I2778" s="62" t="n"/>
      <c r="J2778" s="58" t="n"/>
      <c r="K2778" s="63">
        <f>IF(tblMovement[[#This Row],[Source]]="","",IFERROR(INDEX(tblSources[Type],MATCH(tblMovement[[#This Row],[Source]],tblSources[Source],0)),"?"))</f>
        <v/>
      </c>
      <c r="L2778" s="63">
        <f>IF(tblMovement[[#This Row],[Destination]]="","",IFERROR(INDEX(tblDestinations[Type],MATCH(tblMovement[[#This Row],[Destination]],tblDestinations[Destination],0)),"?"))</f>
        <v/>
      </c>
      <c r="M2778" s="64">
        <f>IF(tblMovement[[#This Row],[Material]]="","",IF(LEFT(tblMovement[[#This Row],[Material]],3)="Ore",1,0))</f>
        <v/>
      </c>
      <c r="N2778" s="59">
        <f>IF(OR(tblMovement[[#This Row],[Tonnes_t]]="",tblMovement[[#This Row],[Grade_gpt]]=""),0,tblMovement[[#This Row],[Tonnes_t]]*tblMovement[[#This Row],[Grade_gpt]]/cfg_TroyOz)</f>
        <v/>
      </c>
      <c r="O2778" s="59">
        <f>IF(tblMovement[[#This Row],[Is_Ore]]=1,tblMovement[[#This Row],[Contained_oz]],0)</f>
        <v/>
      </c>
    </row>
    <row r="2779">
      <c r="A2779" s="54" t="n"/>
      <c r="B2779" s="61" t="n"/>
      <c r="C2779" s="61" t="n"/>
      <c r="D2779" s="61" t="n"/>
      <c r="E2779" s="61" t="n"/>
      <c r="F2779" s="55" t="n"/>
      <c r="G2779" s="56" t="n"/>
      <c r="H2779" s="55" t="n"/>
      <c r="I2779" s="62" t="n"/>
      <c r="J2779" s="58" t="n"/>
      <c r="K2779" s="63">
        <f>IF(tblMovement[[#This Row],[Source]]="","",IFERROR(INDEX(tblSources[Type],MATCH(tblMovement[[#This Row],[Source]],tblSources[Source],0)),"?"))</f>
        <v/>
      </c>
      <c r="L2779" s="63">
        <f>IF(tblMovement[[#This Row],[Destination]]="","",IFERROR(INDEX(tblDestinations[Type],MATCH(tblMovement[[#This Row],[Destination]],tblDestinations[Destination],0)),"?"))</f>
        <v/>
      </c>
      <c r="M2779" s="64">
        <f>IF(tblMovement[[#This Row],[Material]]="","",IF(LEFT(tblMovement[[#This Row],[Material]],3)="Ore",1,0))</f>
        <v/>
      </c>
      <c r="N2779" s="59">
        <f>IF(OR(tblMovement[[#This Row],[Tonnes_t]]="",tblMovement[[#This Row],[Grade_gpt]]=""),0,tblMovement[[#This Row],[Tonnes_t]]*tblMovement[[#This Row],[Grade_gpt]]/cfg_TroyOz)</f>
        <v/>
      </c>
      <c r="O2779" s="59">
        <f>IF(tblMovement[[#This Row],[Is_Ore]]=1,tblMovement[[#This Row],[Contained_oz]],0)</f>
        <v/>
      </c>
    </row>
    <row r="2780">
      <c r="A2780" s="54" t="n"/>
      <c r="B2780" s="61" t="n"/>
      <c r="C2780" s="61" t="n"/>
      <c r="D2780" s="61" t="n"/>
      <c r="E2780" s="61" t="n"/>
      <c r="F2780" s="55" t="n"/>
      <c r="G2780" s="56" t="n"/>
      <c r="H2780" s="55" t="n"/>
      <c r="I2780" s="62" t="n"/>
      <c r="J2780" s="58" t="n"/>
      <c r="K2780" s="63">
        <f>IF(tblMovement[[#This Row],[Source]]="","",IFERROR(INDEX(tblSources[Type],MATCH(tblMovement[[#This Row],[Source]],tblSources[Source],0)),"?"))</f>
        <v/>
      </c>
      <c r="L2780" s="63">
        <f>IF(tblMovement[[#This Row],[Destination]]="","",IFERROR(INDEX(tblDestinations[Type],MATCH(tblMovement[[#This Row],[Destination]],tblDestinations[Destination],0)),"?"))</f>
        <v/>
      </c>
      <c r="M2780" s="64">
        <f>IF(tblMovement[[#This Row],[Material]]="","",IF(LEFT(tblMovement[[#This Row],[Material]],3)="Ore",1,0))</f>
        <v/>
      </c>
      <c r="N2780" s="59">
        <f>IF(OR(tblMovement[[#This Row],[Tonnes_t]]="",tblMovement[[#This Row],[Grade_gpt]]=""),0,tblMovement[[#This Row],[Tonnes_t]]*tblMovement[[#This Row],[Grade_gpt]]/cfg_TroyOz)</f>
        <v/>
      </c>
      <c r="O2780" s="59">
        <f>IF(tblMovement[[#This Row],[Is_Ore]]=1,tblMovement[[#This Row],[Contained_oz]],0)</f>
        <v/>
      </c>
    </row>
    <row r="2781">
      <c r="A2781" s="54" t="n"/>
      <c r="B2781" s="61" t="n"/>
      <c r="C2781" s="61" t="n"/>
      <c r="D2781" s="61" t="n"/>
      <c r="E2781" s="61" t="n"/>
      <c r="F2781" s="55" t="n"/>
      <c r="G2781" s="56" t="n"/>
      <c r="H2781" s="55" t="n"/>
      <c r="I2781" s="62" t="n"/>
      <c r="J2781" s="58" t="n"/>
      <c r="K2781" s="63">
        <f>IF(tblMovement[[#This Row],[Source]]="","",IFERROR(INDEX(tblSources[Type],MATCH(tblMovement[[#This Row],[Source]],tblSources[Source],0)),"?"))</f>
        <v/>
      </c>
      <c r="L2781" s="63">
        <f>IF(tblMovement[[#This Row],[Destination]]="","",IFERROR(INDEX(tblDestinations[Type],MATCH(tblMovement[[#This Row],[Destination]],tblDestinations[Destination],0)),"?"))</f>
        <v/>
      </c>
      <c r="M2781" s="64">
        <f>IF(tblMovement[[#This Row],[Material]]="","",IF(LEFT(tblMovement[[#This Row],[Material]],3)="Ore",1,0))</f>
        <v/>
      </c>
      <c r="N2781" s="59">
        <f>IF(OR(tblMovement[[#This Row],[Tonnes_t]]="",tblMovement[[#This Row],[Grade_gpt]]=""),0,tblMovement[[#This Row],[Tonnes_t]]*tblMovement[[#This Row],[Grade_gpt]]/cfg_TroyOz)</f>
        <v/>
      </c>
      <c r="O2781" s="59">
        <f>IF(tblMovement[[#This Row],[Is_Ore]]=1,tblMovement[[#This Row],[Contained_oz]],0)</f>
        <v/>
      </c>
    </row>
    <row r="2782">
      <c r="A2782" s="54" t="n"/>
      <c r="B2782" s="61" t="n"/>
      <c r="C2782" s="61" t="n"/>
      <c r="D2782" s="61" t="n"/>
      <c r="E2782" s="61" t="n"/>
      <c r="F2782" s="55" t="n"/>
      <c r="G2782" s="56" t="n"/>
      <c r="H2782" s="55" t="n"/>
      <c r="I2782" s="62" t="n"/>
      <c r="J2782" s="58" t="n"/>
      <c r="K2782" s="63">
        <f>IF(tblMovement[[#This Row],[Source]]="","",IFERROR(INDEX(tblSources[Type],MATCH(tblMovement[[#This Row],[Source]],tblSources[Source],0)),"?"))</f>
        <v/>
      </c>
      <c r="L2782" s="63">
        <f>IF(tblMovement[[#This Row],[Destination]]="","",IFERROR(INDEX(tblDestinations[Type],MATCH(tblMovement[[#This Row],[Destination]],tblDestinations[Destination],0)),"?"))</f>
        <v/>
      </c>
      <c r="M2782" s="64">
        <f>IF(tblMovement[[#This Row],[Material]]="","",IF(LEFT(tblMovement[[#This Row],[Material]],3)="Ore",1,0))</f>
        <v/>
      </c>
      <c r="N2782" s="59">
        <f>IF(OR(tblMovement[[#This Row],[Tonnes_t]]="",tblMovement[[#This Row],[Grade_gpt]]=""),0,tblMovement[[#This Row],[Tonnes_t]]*tblMovement[[#This Row],[Grade_gpt]]/cfg_TroyOz)</f>
        <v/>
      </c>
      <c r="O2782" s="59">
        <f>IF(tblMovement[[#This Row],[Is_Ore]]=1,tblMovement[[#This Row],[Contained_oz]],0)</f>
        <v/>
      </c>
    </row>
    <row r="2783">
      <c r="A2783" s="54" t="n"/>
      <c r="B2783" s="61" t="n"/>
      <c r="C2783" s="61" t="n"/>
      <c r="D2783" s="61" t="n"/>
      <c r="E2783" s="61" t="n"/>
      <c r="F2783" s="55" t="n"/>
      <c r="G2783" s="56" t="n"/>
      <c r="H2783" s="55" t="n"/>
      <c r="I2783" s="62" t="n"/>
      <c r="J2783" s="58" t="n"/>
      <c r="K2783" s="63">
        <f>IF(tblMovement[[#This Row],[Source]]="","",IFERROR(INDEX(tblSources[Type],MATCH(tblMovement[[#This Row],[Source]],tblSources[Source],0)),"?"))</f>
        <v/>
      </c>
      <c r="L2783" s="63">
        <f>IF(tblMovement[[#This Row],[Destination]]="","",IFERROR(INDEX(tblDestinations[Type],MATCH(tblMovement[[#This Row],[Destination]],tblDestinations[Destination],0)),"?"))</f>
        <v/>
      </c>
      <c r="M2783" s="64">
        <f>IF(tblMovement[[#This Row],[Material]]="","",IF(LEFT(tblMovement[[#This Row],[Material]],3)="Ore",1,0))</f>
        <v/>
      </c>
      <c r="N2783" s="59">
        <f>IF(OR(tblMovement[[#This Row],[Tonnes_t]]="",tblMovement[[#This Row],[Grade_gpt]]=""),0,tblMovement[[#This Row],[Tonnes_t]]*tblMovement[[#This Row],[Grade_gpt]]/cfg_TroyOz)</f>
        <v/>
      </c>
      <c r="O2783" s="59">
        <f>IF(tblMovement[[#This Row],[Is_Ore]]=1,tblMovement[[#This Row],[Contained_oz]],0)</f>
        <v/>
      </c>
    </row>
    <row r="2784">
      <c r="A2784" s="54" t="n"/>
      <c r="B2784" s="61" t="n"/>
      <c r="C2784" s="61" t="n"/>
      <c r="D2784" s="61" t="n"/>
      <c r="E2784" s="61" t="n"/>
      <c r="F2784" s="55" t="n"/>
      <c r="G2784" s="56" t="n"/>
      <c r="H2784" s="55" t="n"/>
      <c r="I2784" s="62" t="n"/>
      <c r="J2784" s="58" t="n"/>
      <c r="K2784" s="63">
        <f>IF(tblMovement[[#This Row],[Source]]="","",IFERROR(INDEX(tblSources[Type],MATCH(tblMovement[[#This Row],[Source]],tblSources[Source],0)),"?"))</f>
        <v/>
      </c>
      <c r="L2784" s="63">
        <f>IF(tblMovement[[#This Row],[Destination]]="","",IFERROR(INDEX(tblDestinations[Type],MATCH(tblMovement[[#This Row],[Destination]],tblDestinations[Destination],0)),"?"))</f>
        <v/>
      </c>
      <c r="M2784" s="64">
        <f>IF(tblMovement[[#This Row],[Material]]="","",IF(LEFT(tblMovement[[#This Row],[Material]],3)="Ore",1,0))</f>
        <v/>
      </c>
      <c r="N2784" s="59">
        <f>IF(OR(tblMovement[[#This Row],[Tonnes_t]]="",tblMovement[[#This Row],[Grade_gpt]]=""),0,tblMovement[[#This Row],[Tonnes_t]]*tblMovement[[#This Row],[Grade_gpt]]/cfg_TroyOz)</f>
        <v/>
      </c>
      <c r="O2784" s="59">
        <f>IF(tblMovement[[#This Row],[Is_Ore]]=1,tblMovement[[#This Row],[Contained_oz]],0)</f>
        <v/>
      </c>
    </row>
    <row r="2785">
      <c r="A2785" s="54" t="n"/>
      <c r="B2785" s="61" t="n"/>
      <c r="C2785" s="61" t="n"/>
      <c r="D2785" s="61" t="n"/>
      <c r="E2785" s="61" t="n"/>
      <c r="F2785" s="55" t="n"/>
      <c r="G2785" s="56" t="n"/>
      <c r="H2785" s="55" t="n"/>
      <c r="I2785" s="62" t="n"/>
      <c r="J2785" s="58" t="n"/>
      <c r="K2785" s="63">
        <f>IF(tblMovement[[#This Row],[Source]]="","",IFERROR(INDEX(tblSources[Type],MATCH(tblMovement[[#This Row],[Source]],tblSources[Source],0)),"?"))</f>
        <v/>
      </c>
      <c r="L2785" s="63">
        <f>IF(tblMovement[[#This Row],[Destination]]="","",IFERROR(INDEX(tblDestinations[Type],MATCH(tblMovement[[#This Row],[Destination]],tblDestinations[Destination],0)),"?"))</f>
        <v/>
      </c>
      <c r="M2785" s="64">
        <f>IF(tblMovement[[#This Row],[Material]]="","",IF(LEFT(tblMovement[[#This Row],[Material]],3)="Ore",1,0))</f>
        <v/>
      </c>
      <c r="N2785" s="59">
        <f>IF(OR(tblMovement[[#This Row],[Tonnes_t]]="",tblMovement[[#This Row],[Grade_gpt]]=""),0,tblMovement[[#This Row],[Tonnes_t]]*tblMovement[[#This Row],[Grade_gpt]]/cfg_TroyOz)</f>
        <v/>
      </c>
      <c r="O2785" s="59">
        <f>IF(tblMovement[[#This Row],[Is_Ore]]=1,tblMovement[[#This Row],[Contained_oz]],0)</f>
        <v/>
      </c>
    </row>
    <row r="2786">
      <c r="A2786" s="54" t="n"/>
      <c r="B2786" s="61" t="n"/>
      <c r="C2786" s="61" t="n"/>
      <c r="D2786" s="61" t="n"/>
      <c r="E2786" s="61" t="n"/>
      <c r="F2786" s="55" t="n"/>
      <c r="G2786" s="56" t="n"/>
      <c r="H2786" s="55" t="n"/>
      <c r="I2786" s="62" t="n"/>
      <c r="J2786" s="58" t="n"/>
      <c r="K2786" s="63">
        <f>IF(tblMovement[[#This Row],[Source]]="","",IFERROR(INDEX(tblSources[Type],MATCH(tblMovement[[#This Row],[Source]],tblSources[Source],0)),"?"))</f>
        <v/>
      </c>
      <c r="L2786" s="63">
        <f>IF(tblMovement[[#This Row],[Destination]]="","",IFERROR(INDEX(tblDestinations[Type],MATCH(tblMovement[[#This Row],[Destination]],tblDestinations[Destination],0)),"?"))</f>
        <v/>
      </c>
      <c r="M2786" s="64">
        <f>IF(tblMovement[[#This Row],[Material]]="","",IF(LEFT(tblMovement[[#This Row],[Material]],3)="Ore",1,0))</f>
        <v/>
      </c>
      <c r="N2786" s="59">
        <f>IF(OR(tblMovement[[#This Row],[Tonnes_t]]="",tblMovement[[#This Row],[Grade_gpt]]=""),0,tblMovement[[#This Row],[Tonnes_t]]*tblMovement[[#This Row],[Grade_gpt]]/cfg_TroyOz)</f>
        <v/>
      </c>
      <c r="O2786" s="59">
        <f>IF(tblMovement[[#This Row],[Is_Ore]]=1,tblMovement[[#This Row],[Contained_oz]],0)</f>
        <v/>
      </c>
    </row>
    <row r="2787">
      <c r="A2787" s="54" t="n"/>
      <c r="B2787" s="61" t="n"/>
      <c r="C2787" s="61" t="n"/>
      <c r="D2787" s="61" t="n"/>
      <c r="E2787" s="61" t="n"/>
      <c r="F2787" s="55" t="n"/>
      <c r="G2787" s="56" t="n"/>
      <c r="H2787" s="55" t="n"/>
      <c r="I2787" s="62" t="n"/>
      <c r="J2787" s="58" t="n"/>
      <c r="K2787" s="63">
        <f>IF(tblMovement[[#This Row],[Source]]="","",IFERROR(INDEX(tblSources[Type],MATCH(tblMovement[[#This Row],[Source]],tblSources[Source],0)),"?"))</f>
        <v/>
      </c>
      <c r="L2787" s="63">
        <f>IF(tblMovement[[#This Row],[Destination]]="","",IFERROR(INDEX(tblDestinations[Type],MATCH(tblMovement[[#This Row],[Destination]],tblDestinations[Destination],0)),"?"))</f>
        <v/>
      </c>
      <c r="M2787" s="64">
        <f>IF(tblMovement[[#This Row],[Material]]="","",IF(LEFT(tblMovement[[#This Row],[Material]],3)="Ore",1,0))</f>
        <v/>
      </c>
      <c r="N2787" s="59">
        <f>IF(OR(tblMovement[[#This Row],[Tonnes_t]]="",tblMovement[[#This Row],[Grade_gpt]]=""),0,tblMovement[[#This Row],[Tonnes_t]]*tblMovement[[#This Row],[Grade_gpt]]/cfg_TroyOz)</f>
        <v/>
      </c>
      <c r="O2787" s="59">
        <f>IF(tblMovement[[#This Row],[Is_Ore]]=1,tblMovement[[#This Row],[Contained_oz]],0)</f>
        <v/>
      </c>
    </row>
    <row r="2788">
      <c r="A2788" s="54" t="n"/>
      <c r="B2788" s="61" t="n"/>
      <c r="C2788" s="61" t="n"/>
      <c r="D2788" s="61" t="n"/>
      <c r="E2788" s="61" t="n"/>
      <c r="F2788" s="55" t="n"/>
      <c r="G2788" s="56" t="n"/>
      <c r="H2788" s="55" t="n"/>
      <c r="I2788" s="62" t="n"/>
      <c r="J2788" s="58" t="n"/>
      <c r="K2788" s="63">
        <f>IF(tblMovement[[#This Row],[Source]]="","",IFERROR(INDEX(tblSources[Type],MATCH(tblMovement[[#This Row],[Source]],tblSources[Source],0)),"?"))</f>
        <v/>
      </c>
      <c r="L2788" s="63">
        <f>IF(tblMovement[[#This Row],[Destination]]="","",IFERROR(INDEX(tblDestinations[Type],MATCH(tblMovement[[#This Row],[Destination]],tblDestinations[Destination],0)),"?"))</f>
        <v/>
      </c>
      <c r="M2788" s="64">
        <f>IF(tblMovement[[#This Row],[Material]]="","",IF(LEFT(tblMovement[[#This Row],[Material]],3)="Ore",1,0))</f>
        <v/>
      </c>
      <c r="N2788" s="59">
        <f>IF(OR(tblMovement[[#This Row],[Tonnes_t]]="",tblMovement[[#This Row],[Grade_gpt]]=""),0,tblMovement[[#This Row],[Tonnes_t]]*tblMovement[[#This Row],[Grade_gpt]]/cfg_TroyOz)</f>
        <v/>
      </c>
      <c r="O2788" s="59">
        <f>IF(tblMovement[[#This Row],[Is_Ore]]=1,tblMovement[[#This Row],[Contained_oz]],0)</f>
        <v/>
      </c>
    </row>
    <row r="2789">
      <c r="A2789" s="54" t="n"/>
      <c r="B2789" s="61" t="n"/>
      <c r="C2789" s="61" t="n"/>
      <c r="D2789" s="61" t="n"/>
      <c r="E2789" s="61" t="n"/>
      <c r="F2789" s="55" t="n"/>
      <c r="G2789" s="56" t="n"/>
      <c r="H2789" s="55" t="n"/>
      <c r="I2789" s="62" t="n"/>
      <c r="J2789" s="58" t="n"/>
      <c r="K2789" s="63">
        <f>IF(tblMovement[[#This Row],[Source]]="","",IFERROR(INDEX(tblSources[Type],MATCH(tblMovement[[#This Row],[Source]],tblSources[Source],0)),"?"))</f>
        <v/>
      </c>
      <c r="L2789" s="63">
        <f>IF(tblMovement[[#This Row],[Destination]]="","",IFERROR(INDEX(tblDestinations[Type],MATCH(tblMovement[[#This Row],[Destination]],tblDestinations[Destination],0)),"?"))</f>
        <v/>
      </c>
      <c r="M2789" s="64">
        <f>IF(tblMovement[[#This Row],[Material]]="","",IF(LEFT(tblMovement[[#This Row],[Material]],3)="Ore",1,0))</f>
        <v/>
      </c>
      <c r="N2789" s="59">
        <f>IF(OR(tblMovement[[#This Row],[Tonnes_t]]="",tblMovement[[#This Row],[Grade_gpt]]=""),0,tblMovement[[#This Row],[Tonnes_t]]*tblMovement[[#This Row],[Grade_gpt]]/cfg_TroyOz)</f>
        <v/>
      </c>
      <c r="O2789" s="59">
        <f>IF(tblMovement[[#This Row],[Is_Ore]]=1,tblMovement[[#This Row],[Contained_oz]],0)</f>
        <v/>
      </c>
    </row>
    <row r="2790">
      <c r="A2790" s="54" t="n"/>
      <c r="B2790" s="61" t="n"/>
      <c r="C2790" s="61" t="n"/>
      <c r="D2790" s="61" t="n"/>
      <c r="E2790" s="61" t="n"/>
      <c r="F2790" s="55" t="n"/>
      <c r="G2790" s="56" t="n"/>
      <c r="H2790" s="55" t="n"/>
      <c r="I2790" s="62" t="n"/>
      <c r="J2790" s="58" t="n"/>
      <c r="K2790" s="63">
        <f>IF(tblMovement[[#This Row],[Source]]="","",IFERROR(INDEX(tblSources[Type],MATCH(tblMovement[[#This Row],[Source]],tblSources[Source],0)),"?"))</f>
        <v/>
      </c>
      <c r="L2790" s="63">
        <f>IF(tblMovement[[#This Row],[Destination]]="","",IFERROR(INDEX(tblDestinations[Type],MATCH(tblMovement[[#This Row],[Destination]],tblDestinations[Destination],0)),"?"))</f>
        <v/>
      </c>
      <c r="M2790" s="64">
        <f>IF(tblMovement[[#This Row],[Material]]="","",IF(LEFT(tblMovement[[#This Row],[Material]],3)="Ore",1,0))</f>
        <v/>
      </c>
      <c r="N2790" s="59">
        <f>IF(OR(tblMovement[[#This Row],[Tonnes_t]]="",tblMovement[[#This Row],[Grade_gpt]]=""),0,tblMovement[[#This Row],[Tonnes_t]]*tblMovement[[#This Row],[Grade_gpt]]/cfg_TroyOz)</f>
        <v/>
      </c>
      <c r="O2790" s="59">
        <f>IF(tblMovement[[#This Row],[Is_Ore]]=1,tblMovement[[#This Row],[Contained_oz]],0)</f>
        <v/>
      </c>
    </row>
    <row r="2791">
      <c r="A2791" s="54" t="n"/>
      <c r="B2791" s="61" t="n"/>
      <c r="C2791" s="61" t="n"/>
      <c r="D2791" s="61" t="n"/>
      <c r="E2791" s="61" t="n"/>
      <c r="F2791" s="55" t="n"/>
      <c r="G2791" s="56" t="n"/>
      <c r="H2791" s="55" t="n"/>
      <c r="I2791" s="62" t="n"/>
      <c r="J2791" s="58" t="n"/>
      <c r="K2791" s="63">
        <f>IF(tblMovement[[#This Row],[Source]]="","",IFERROR(INDEX(tblSources[Type],MATCH(tblMovement[[#This Row],[Source]],tblSources[Source],0)),"?"))</f>
        <v/>
      </c>
      <c r="L2791" s="63">
        <f>IF(tblMovement[[#This Row],[Destination]]="","",IFERROR(INDEX(tblDestinations[Type],MATCH(tblMovement[[#This Row],[Destination]],tblDestinations[Destination],0)),"?"))</f>
        <v/>
      </c>
      <c r="M2791" s="64">
        <f>IF(tblMovement[[#This Row],[Material]]="","",IF(LEFT(tblMovement[[#This Row],[Material]],3)="Ore",1,0))</f>
        <v/>
      </c>
      <c r="N2791" s="59">
        <f>IF(OR(tblMovement[[#This Row],[Tonnes_t]]="",tblMovement[[#This Row],[Grade_gpt]]=""),0,tblMovement[[#This Row],[Tonnes_t]]*tblMovement[[#This Row],[Grade_gpt]]/cfg_TroyOz)</f>
        <v/>
      </c>
      <c r="O2791" s="59">
        <f>IF(tblMovement[[#This Row],[Is_Ore]]=1,tblMovement[[#This Row],[Contained_oz]],0)</f>
        <v/>
      </c>
    </row>
    <row r="2792">
      <c r="A2792" s="54" t="n"/>
      <c r="B2792" s="61" t="n"/>
      <c r="C2792" s="61" t="n"/>
      <c r="D2792" s="61" t="n"/>
      <c r="E2792" s="61" t="n"/>
      <c r="F2792" s="55" t="n"/>
      <c r="G2792" s="56" t="n"/>
      <c r="H2792" s="55" t="n"/>
      <c r="I2792" s="62" t="n"/>
      <c r="J2792" s="58" t="n"/>
      <c r="K2792" s="63">
        <f>IF(tblMovement[[#This Row],[Source]]="","",IFERROR(INDEX(tblSources[Type],MATCH(tblMovement[[#This Row],[Source]],tblSources[Source],0)),"?"))</f>
        <v/>
      </c>
      <c r="L2792" s="63">
        <f>IF(tblMovement[[#This Row],[Destination]]="","",IFERROR(INDEX(tblDestinations[Type],MATCH(tblMovement[[#This Row],[Destination]],tblDestinations[Destination],0)),"?"))</f>
        <v/>
      </c>
      <c r="M2792" s="64">
        <f>IF(tblMovement[[#This Row],[Material]]="","",IF(LEFT(tblMovement[[#This Row],[Material]],3)="Ore",1,0))</f>
        <v/>
      </c>
      <c r="N2792" s="59">
        <f>IF(OR(tblMovement[[#This Row],[Tonnes_t]]="",tblMovement[[#This Row],[Grade_gpt]]=""),0,tblMovement[[#This Row],[Tonnes_t]]*tblMovement[[#This Row],[Grade_gpt]]/cfg_TroyOz)</f>
        <v/>
      </c>
      <c r="O2792" s="59">
        <f>IF(tblMovement[[#This Row],[Is_Ore]]=1,tblMovement[[#This Row],[Contained_oz]],0)</f>
        <v/>
      </c>
    </row>
    <row r="2793">
      <c r="A2793" s="54" t="n"/>
      <c r="B2793" s="61" t="n"/>
      <c r="C2793" s="61" t="n"/>
      <c r="D2793" s="61" t="n"/>
      <c r="E2793" s="61" t="n"/>
      <c r="F2793" s="55" t="n"/>
      <c r="G2793" s="56" t="n"/>
      <c r="H2793" s="55" t="n"/>
      <c r="I2793" s="62" t="n"/>
      <c r="J2793" s="58" t="n"/>
      <c r="K2793" s="63">
        <f>IF(tblMovement[[#This Row],[Source]]="","",IFERROR(INDEX(tblSources[Type],MATCH(tblMovement[[#This Row],[Source]],tblSources[Source],0)),"?"))</f>
        <v/>
      </c>
      <c r="L2793" s="63">
        <f>IF(tblMovement[[#This Row],[Destination]]="","",IFERROR(INDEX(tblDestinations[Type],MATCH(tblMovement[[#This Row],[Destination]],tblDestinations[Destination],0)),"?"))</f>
        <v/>
      </c>
      <c r="M2793" s="64">
        <f>IF(tblMovement[[#This Row],[Material]]="","",IF(LEFT(tblMovement[[#This Row],[Material]],3)="Ore",1,0))</f>
        <v/>
      </c>
      <c r="N2793" s="59">
        <f>IF(OR(tblMovement[[#This Row],[Tonnes_t]]="",tblMovement[[#This Row],[Grade_gpt]]=""),0,tblMovement[[#This Row],[Tonnes_t]]*tblMovement[[#This Row],[Grade_gpt]]/cfg_TroyOz)</f>
        <v/>
      </c>
      <c r="O2793" s="59">
        <f>IF(tblMovement[[#This Row],[Is_Ore]]=1,tblMovement[[#This Row],[Contained_oz]],0)</f>
        <v/>
      </c>
    </row>
    <row r="2794">
      <c r="A2794" s="54" t="n"/>
      <c r="B2794" s="61" t="n"/>
      <c r="C2794" s="61" t="n"/>
      <c r="D2794" s="61" t="n"/>
      <c r="E2794" s="61" t="n"/>
      <c r="F2794" s="55" t="n"/>
      <c r="G2794" s="56" t="n"/>
      <c r="H2794" s="55" t="n"/>
      <c r="I2794" s="62" t="n"/>
      <c r="J2794" s="58" t="n"/>
      <c r="K2794" s="63">
        <f>IF(tblMovement[[#This Row],[Source]]="","",IFERROR(INDEX(tblSources[Type],MATCH(tblMovement[[#This Row],[Source]],tblSources[Source],0)),"?"))</f>
        <v/>
      </c>
      <c r="L2794" s="63">
        <f>IF(tblMovement[[#This Row],[Destination]]="","",IFERROR(INDEX(tblDestinations[Type],MATCH(tblMovement[[#This Row],[Destination]],tblDestinations[Destination],0)),"?"))</f>
        <v/>
      </c>
      <c r="M2794" s="64">
        <f>IF(tblMovement[[#This Row],[Material]]="","",IF(LEFT(tblMovement[[#This Row],[Material]],3)="Ore",1,0))</f>
        <v/>
      </c>
      <c r="N2794" s="59">
        <f>IF(OR(tblMovement[[#This Row],[Tonnes_t]]="",tblMovement[[#This Row],[Grade_gpt]]=""),0,tblMovement[[#This Row],[Tonnes_t]]*tblMovement[[#This Row],[Grade_gpt]]/cfg_TroyOz)</f>
        <v/>
      </c>
      <c r="O2794" s="59">
        <f>IF(tblMovement[[#This Row],[Is_Ore]]=1,tblMovement[[#This Row],[Contained_oz]],0)</f>
        <v/>
      </c>
    </row>
    <row r="2795">
      <c r="A2795" s="54" t="n"/>
      <c r="B2795" s="61" t="n"/>
      <c r="C2795" s="61" t="n"/>
      <c r="D2795" s="61" t="n"/>
      <c r="E2795" s="61" t="n"/>
      <c r="F2795" s="55" t="n"/>
      <c r="G2795" s="56" t="n"/>
      <c r="H2795" s="55" t="n"/>
      <c r="I2795" s="62" t="n"/>
      <c r="J2795" s="58" t="n"/>
      <c r="K2795" s="63">
        <f>IF(tblMovement[[#This Row],[Source]]="","",IFERROR(INDEX(tblSources[Type],MATCH(tblMovement[[#This Row],[Source]],tblSources[Source],0)),"?"))</f>
        <v/>
      </c>
      <c r="L2795" s="63">
        <f>IF(tblMovement[[#This Row],[Destination]]="","",IFERROR(INDEX(tblDestinations[Type],MATCH(tblMovement[[#This Row],[Destination]],tblDestinations[Destination],0)),"?"))</f>
        <v/>
      </c>
      <c r="M2795" s="64">
        <f>IF(tblMovement[[#This Row],[Material]]="","",IF(LEFT(tblMovement[[#This Row],[Material]],3)="Ore",1,0))</f>
        <v/>
      </c>
      <c r="N2795" s="59">
        <f>IF(OR(tblMovement[[#This Row],[Tonnes_t]]="",tblMovement[[#This Row],[Grade_gpt]]=""),0,tblMovement[[#This Row],[Tonnes_t]]*tblMovement[[#This Row],[Grade_gpt]]/cfg_TroyOz)</f>
        <v/>
      </c>
      <c r="O2795" s="59">
        <f>IF(tblMovement[[#This Row],[Is_Ore]]=1,tblMovement[[#This Row],[Contained_oz]],0)</f>
        <v/>
      </c>
    </row>
    <row r="2796">
      <c r="A2796" s="54" t="n"/>
      <c r="B2796" s="61" t="n"/>
      <c r="C2796" s="61" t="n"/>
      <c r="D2796" s="61" t="n"/>
      <c r="E2796" s="61" t="n"/>
      <c r="F2796" s="55" t="n"/>
      <c r="G2796" s="56" t="n"/>
      <c r="H2796" s="55" t="n"/>
      <c r="I2796" s="62" t="n"/>
      <c r="J2796" s="58" t="n"/>
      <c r="K2796" s="63">
        <f>IF(tblMovement[[#This Row],[Source]]="","",IFERROR(INDEX(tblSources[Type],MATCH(tblMovement[[#This Row],[Source]],tblSources[Source],0)),"?"))</f>
        <v/>
      </c>
      <c r="L2796" s="63">
        <f>IF(tblMovement[[#This Row],[Destination]]="","",IFERROR(INDEX(tblDestinations[Type],MATCH(tblMovement[[#This Row],[Destination]],tblDestinations[Destination],0)),"?"))</f>
        <v/>
      </c>
      <c r="M2796" s="64">
        <f>IF(tblMovement[[#This Row],[Material]]="","",IF(LEFT(tblMovement[[#This Row],[Material]],3)="Ore",1,0))</f>
        <v/>
      </c>
      <c r="N2796" s="59">
        <f>IF(OR(tblMovement[[#This Row],[Tonnes_t]]="",tblMovement[[#This Row],[Grade_gpt]]=""),0,tblMovement[[#This Row],[Tonnes_t]]*tblMovement[[#This Row],[Grade_gpt]]/cfg_TroyOz)</f>
        <v/>
      </c>
      <c r="O2796" s="59">
        <f>IF(tblMovement[[#This Row],[Is_Ore]]=1,tblMovement[[#This Row],[Contained_oz]],0)</f>
        <v/>
      </c>
    </row>
    <row r="2797">
      <c r="A2797" s="54" t="n"/>
      <c r="B2797" s="61" t="n"/>
      <c r="C2797" s="61" t="n"/>
      <c r="D2797" s="61" t="n"/>
      <c r="E2797" s="61" t="n"/>
      <c r="F2797" s="55" t="n"/>
      <c r="G2797" s="56" t="n"/>
      <c r="H2797" s="55" t="n"/>
      <c r="I2797" s="62" t="n"/>
      <c r="J2797" s="58" t="n"/>
      <c r="K2797" s="63">
        <f>IF(tblMovement[[#This Row],[Source]]="","",IFERROR(INDEX(tblSources[Type],MATCH(tblMovement[[#This Row],[Source]],tblSources[Source],0)),"?"))</f>
        <v/>
      </c>
      <c r="L2797" s="63">
        <f>IF(tblMovement[[#This Row],[Destination]]="","",IFERROR(INDEX(tblDestinations[Type],MATCH(tblMovement[[#This Row],[Destination]],tblDestinations[Destination],0)),"?"))</f>
        <v/>
      </c>
      <c r="M2797" s="64">
        <f>IF(tblMovement[[#This Row],[Material]]="","",IF(LEFT(tblMovement[[#This Row],[Material]],3)="Ore",1,0))</f>
        <v/>
      </c>
      <c r="N2797" s="59">
        <f>IF(OR(tblMovement[[#This Row],[Tonnes_t]]="",tblMovement[[#This Row],[Grade_gpt]]=""),0,tblMovement[[#This Row],[Tonnes_t]]*tblMovement[[#This Row],[Grade_gpt]]/cfg_TroyOz)</f>
        <v/>
      </c>
      <c r="O2797" s="59">
        <f>IF(tblMovement[[#This Row],[Is_Ore]]=1,tblMovement[[#This Row],[Contained_oz]],0)</f>
        <v/>
      </c>
    </row>
    <row r="2798">
      <c r="A2798" s="54" t="n"/>
      <c r="B2798" s="61" t="n"/>
      <c r="C2798" s="61" t="n"/>
      <c r="D2798" s="61" t="n"/>
      <c r="E2798" s="61" t="n"/>
      <c r="F2798" s="55" t="n"/>
      <c r="G2798" s="56" t="n"/>
      <c r="H2798" s="55" t="n"/>
      <c r="I2798" s="62" t="n"/>
      <c r="J2798" s="58" t="n"/>
      <c r="K2798" s="63">
        <f>IF(tblMovement[[#This Row],[Source]]="","",IFERROR(INDEX(tblSources[Type],MATCH(tblMovement[[#This Row],[Source]],tblSources[Source],0)),"?"))</f>
        <v/>
      </c>
      <c r="L2798" s="63">
        <f>IF(tblMovement[[#This Row],[Destination]]="","",IFERROR(INDEX(tblDestinations[Type],MATCH(tblMovement[[#This Row],[Destination]],tblDestinations[Destination],0)),"?"))</f>
        <v/>
      </c>
      <c r="M2798" s="64">
        <f>IF(tblMovement[[#This Row],[Material]]="","",IF(LEFT(tblMovement[[#This Row],[Material]],3)="Ore",1,0))</f>
        <v/>
      </c>
      <c r="N2798" s="59">
        <f>IF(OR(tblMovement[[#This Row],[Tonnes_t]]="",tblMovement[[#This Row],[Grade_gpt]]=""),0,tblMovement[[#This Row],[Tonnes_t]]*tblMovement[[#This Row],[Grade_gpt]]/cfg_TroyOz)</f>
        <v/>
      </c>
      <c r="O2798" s="59">
        <f>IF(tblMovement[[#This Row],[Is_Ore]]=1,tblMovement[[#This Row],[Contained_oz]],0)</f>
        <v/>
      </c>
    </row>
    <row r="2799">
      <c r="A2799" s="54" t="n"/>
      <c r="B2799" s="61" t="n"/>
      <c r="C2799" s="61" t="n"/>
      <c r="D2799" s="61" t="n"/>
      <c r="E2799" s="61" t="n"/>
      <c r="F2799" s="55" t="n"/>
      <c r="G2799" s="56" t="n"/>
      <c r="H2799" s="55" t="n"/>
      <c r="I2799" s="62" t="n"/>
      <c r="J2799" s="58" t="n"/>
      <c r="K2799" s="63">
        <f>IF(tblMovement[[#This Row],[Source]]="","",IFERROR(INDEX(tblSources[Type],MATCH(tblMovement[[#This Row],[Source]],tblSources[Source],0)),"?"))</f>
        <v/>
      </c>
      <c r="L2799" s="63">
        <f>IF(tblMovement[[#This Row],[Destination]]="","",IFERROR(INDEX(tblDestinations[Type],MATCH(tblMovement[[#This Row],[Destination]],tblDestinations[Destination],0)),"?"))</f>
        <v/>
      </c>
      <c r="M2799" s="64">
        <f>IF(tblMovement[[#This Row],[Material]]="","",IF(LEFT(tblMovement[[#This Row],[Material]],3)="Ore",1,0))</f>
        <v/>
      </c>
      <c r="N2799" s="59">
        <f>IF(OR(tblMovement[[#This Row],[Tonnes_t]]="",tblMovement[[#This Row],[Grade_gpt]]=""),0,tblMovement[[#This Row],[Tonnes_t]]*tblMovement[[#This Row],[Grade_gpt]]/cfg_TroyOz)</f>
        <v/>
      </c>
      <c r="O2799" s="59">
        <f>IF(tblMovement[[#This Row],[Is_Ore]]=1,tblMovement[[#This Row],[Contained_oz]],0)</f>
        <v/>
      </c>
    </row>
    <row r="2800">
      <c r="A2800" s="54" t="n"/>
      <c r="B2800" s="61" t="n"/>
      <c r="C2800" s="61" t="n"/>
      <c r="D2800" s="61" t="n"/>
      <c r="E2800" s="61" t="n"/>
      <c r="F2800" s="55" t="n"/>
      <c r="G2800" s="56" t="n"/>
      <c r="H2800" s="55" t="n"/>
      <c r="I2800" s="62" t="n"/>
      <c r="J2800" s="58" t="n"/>
      <c r="K2800" s="63">
        <f>IF(tblMovement[[#This Row],[Source]]="","",IFERROR(INDEX(tblSources[Type],MATCH(tblMovement[[#This Row],[Source]],tblSources[Source],0)),"?"))</f>
        <v/>
      </c>
      <c r="L2800" s="63">
        <f>IF(tblMovement[[#This Row],[Destination]]="","",IFERROR(INDEX(tblDestinations[Type],MATCH(tblMovement[[#This Row],[Destination]],tblDestinations[Destination],0)),"?"))</f>
        <v/>
      </c>
      <c r="M2800" s="64">
        <f>IF(tblMovement[[#This Row],[Material]]="","",IF(LEFT(tblMovement[[#This Row],[Material]],3)="Ore",1,0))</f>
        <v/>
      </c>
      <c r="N2800" s="59">
        <f>IF(OR(tblMovement[[#This Row],[Tonnes_t]]="",tblMovement[[#This Row],[Grade_gpt]]=""),0,tblMovement[[#This Row],[Tonnes_t]]*tblMovement[[#This Row],[Grade_gpt]]/cfg_TroyOz)</f>
        <v/>
      </c>
      <c r="O2800" s="59">
        <f>IF(tblMovement[[#This Row],[Is_Ore]]=1,tblMovement[[#This Row],[Contained_oz]],0)</f>
        <v/>
      </c>
    </row>
    <row r="2801">
      <c r="A2801" s="54" t="n"/>
      <c r="B2801" s="61" t="n"/>
      <c r="C2801" s="61" t="n"/>
      <c r="D2801" s="61" t="n"/>
      <c r="E2801" s="61" t="n"/>
      <c r="F2801" s="55" t="n"/>
      <c r="G2801" s="56" t="n"/>
      <c r="H2801" s="55" t="n"/>
      <c r="I2801" s="62" t="n"/>
      <c r="J2801" s="58" t="n"/>
      <c r="K2801" s="63">
        <f>IF(tblMovement[[#This Row],[Source]]="","",IFERROR(INDEX(tblSources[Type],MATCH(tblMovement[[#This Row],[Source]],tblSources[Source],0)),"?"))</f>
        <v/>
      </c>
      <c r="L2801" s="63">
        <f>IF(tblMovement[[#This Row],[Destination]]="","",IFERROR(INDEX(tblDestinations[Type],MATCH(tblMovement[[#This Row],[Destination]],tblDestinations[Destination],0)),"?"))</f>
        <v/>
      </c>
      <c r="M2801" s="64">
        <f>IF(tblMovement[[#This Row],[Material]]="","",IF(LEFT(tblMovement[[#This Row],[Material]],3)="Ore",1,0))</f>
        <v/>
      </c>
      <c r="N2801" s="59">
        <f>IF(OR(tblMovement[[#This Row],[Tonnes_t]]="",tblMovement[[#This Row],[Grade_gpt]]=""),0,tblMovement[[#This Row],[Tonnes_t]]*tblMovement[[#This Row],[Grade_gpt]]/cfg_TroyOz)</f>
        <v/>
      </c>
      <c r="O2801" s="59">
        <f>IF(tblMovement[[#This Row],[Is_Ore]]=1,tblMovement[[#This Row],[Contained_oz]],0)</f>
        <v/>
      </c>
    </row>
    <row r="2802">
      <c r="A2802" s="54" t="n"/>
      <c r="B2802" s="61" t="n"/>
      <c r="C2802" s="61" t="n"/>
      <c r="D2802" s="61" t="n"/>
      <c r="E2802" s="61" t="n"/>
      <c r="F2802" s="55" t="n"/>
      <c r="G2802" s="56" t="n"/>
      <c r="H2802" s="55" t="n"/>
      <c r="I2802" s="62" t="n"/>
      <c r="J2802" s="58" t="n"/>
      <c r="K2802" s="63">
        <f>IF(tblMovement[[#This Row],[Source]]="","",IFERROR(INDEX(tblSources[Type],MATCH(tblMovement[[#This Row],[Source]],tblSources[Source],0)),"?"))</f>
        <v/>
      </c>
      <c r="L2802" s="63">
        <f>IF(tblMovement[[#This Row],[Destination]]="","",IFERROR(INDEX(tblDestinations[Type],MATCH(tblMovement[[#This Row],[Destination]],tblDestinations[Destination],0)),"?"))</f>
        <v/>
      </c>
      <c r="M2802" s="64">
        <f>IF(tblMovement[[#This Row],[Material]]="","",IF(LEFT(tblMovement[[#This Row],[Material]],3)="Ore",1,0))</f>
        <v/>
      </c>
      <c r="N2802" s="59">
        <f>IF(OR(tblMovement[[#This Row],[Tonnes_t]]="",tblMovement[[#This Row],[Grade_gpt]]=""),0,tblMovement[[#This Row],[Tonnes_t]]*tblMovement[[#This Row],[Grade_gpt]]/cfg_TroyOz)</f>
        <v/>
      </c>
      <c r="O2802" s="59">
        <f>IF(tblMovement[[#This Row],[Is_Ore]]=1,tblMovement[[#This Row],[Contained_oz]],0)</f>
        <v/>
      </c>
    </row>
    <row r="2803">
      <c r="A2803" s="54" t="n"/>
      <c r="B2803" s="61" t="n"/>
      <c r="C2803" s="61" t="n"/>
      <c r="D2803" s="61" t="n"/>
      <c r="E2803" s="61" t="n"/>
      <c r="F2803" s="55" t="n"/>
      <c r="G2803" s="56" t="n"/>
      <c r="H2803" s="55" t="n"/>
      <c r="I2803" s="62" t="n"/>
      <c r="J2803" s="58" t="n"/>
      <c r="K2803" s="63">
        <f>IF(tblMovement[[#This Row],[Source]]="","",IFERROR(INDEX(tblSources[Type],MATCH(tblMovement[[#This Row],[Source]],tblSources[Source],0)),"?"))</f>
        <v/>
      </c>
      <c r="L2803" s="63">
        <f>IF(tblMovement[[#This Row],[Destination]]="","",IFERROR(INDEX(tblDestinations[Type],MATCH(tblMovement[[#This Row],[Destination]],tblDestinations[Destination],0)),"?"))</f>
        <v/>
      </c>
      <c r="M2803" s="64">
        <f>IF(tblMovement[[#This Row],[Material]]="","",IF(LEFT(tblMovement[[#This Row],[Material]],3)="Ore",1,0))</f>
        <v/>
      </c>
      <c r="N2803" s="59">
        <f>IF(OR(tblMovement[[#This Row],[Tonnes_t]]="",tblMovement[[#This Row],[Grade_gpt]]=""),0,tblMovement[[#This Row],[Tonnes_t]]*tblMovement[[#This Row],[Grade_gpt]]/cfg_TroyOz)</f>
        <v/>
      </c>
      <c r="O2803" s="59">
        <f>IF(tblMovement[[#This Row],[Is_Ore]]=1,tblMovement[[#This Row],[Contained_oz]],0)</f>
        <v/>
      </c>
    </row>
    <row r="2804">
      <c r="A2804" s="54" t="n"/>
      <c r="B2804" s="61" t="n"/>
      <c r="C2804" s="61" t="n"/>
      <c r="D2804" s="61" t="n"/>
      <c r="E2804" s="61" t="n"/>
      <c r="F2804" s="55" t="n"/>
      <c r="G2804" s="56" t="n"/>
      <c r="H2804" s="55" t="n"/>
      <c r="I2804" s="62" t="n"/>
      <c r="J2804" s="58" t="n"/>
      <c r="K2804" s="63">
        <f>IF(tblMovement[[#This Row],[Source]]="","",IFERROR(INDEX(tblSources[Type],MATCH(tblMovement[[#This Row],[Source]],tblSources[Source],0)),"?"))</f>
        <v/>
      </c>
      <c r="L2804" s="63">
        <f>IF(tblMovement[[#This Row],[Destination]]="","",IFERROR(INDEX(tblDestinations[Type],MATCH(tblMovement[[#This Row],[Destination]],tblDestinations[Destination],0)),"?"))</f>
        <v/>
      </c>
      <c r="M2804" s="64">
        <f>IF(tblMovement[[#This Row],[Material]]="","",IF(LEFT(tblMovement[[#This Row],[Material]],3)="Ore",1,0))</f>
        <v/>
      </c>
      <c r="N2804" s="59">
        <f>IF(OR(tblMovement[[#This Row],[Tonnes_t]]="",tblMovement[[#This Row],[Grade_gpt]]=""),0,tblMovement[[#This Row],[Tonnes_t]]*tblMovement[[#This Row],[Grade_gpt]]/cfg_TroyOz)</f>
        <v/>
      </c>
      <c r="O2804" s="59">
        <f>IF(tblMovement[[#This Row],[Is_Ore]]=1,tblMovement[[#This Row],[Contained_oz]],0)</f>
        <v/>
      </c>
    </row>
    <row r="2805">
      <c r="A2805" s="54" t="n"/>
      <c r="B2805" s="61" t="n"/>
      <c r="C2805" s="61" t="n"/>
      <c r="D2805" s="61" t="n"/>
      <c r="E2805" s="61" t="n"/>
      <c r="F2805" s="55" t="n"/>
      <c r="G2805" s="56" t="n"/>
      <c r="H2805" s="55" t="n"/>
      <c r="I2805" s="62" t="n"/>
      <c r="J2805" s="58" t="n"/>
      <c r="K2805" s="63">
        <f>IF(tblMovement[[#This Row],[Source]]="","",IFERROR(INDEX(tblSources[Type],MATCH(tblMovement[[#This Row],[Source]],tblSources[Source],0)),"?"))</f>
        <v/>
      </c>
      <c r="L2805" s="63">
        <f>IF(tblMovement[[#This Row],[Destination]]="","",IFERROR(INDEX(tblDestinations[Type],MATCH(tblMovement[[#This Row],[Destination]],tblDestinations[Destination],0)),"?"))</f>
        <v/>
      </c>
      <c r="M2805" s="64">
        <f>IF(tblMovement[[#This Row],[Material]]="","",IF(LEFT(tblMovement[[#This Row],[Material]],3)="Ore",1,0))</f>
        <v/>
      </c>
      <c r="N2805" s="59">
        <f>IF(OR(tblMovement[[#This Row],[Tonnes_t]]="",tblMovement[[#This Row],[Grade_gpt]]=""),0,tblMovement[[#This Row],[Tonnes_t]]*tblMovement[[#This Row],[Grade_gpt]]/cfg_TroyOz)</f>
        <v/>
      </c>
      <c r="O2805" s="59">
        <f>IF(tblMovement[[#This Row],[Is_Ore]]=1,tblMovement[[#This Row],[Contained_oz]],0)</f>
        <v/>
      </c>
    </row>
    <row r="2806">
      <c r="A2806" s="54" t="n"/>
      <c r="B2806" s="61" t="n"/>
      <c r="C2806" s="61" t="n"/>
      <c r="D2806" s="61" t="n"/>
      <c r="E2806" s="61" t="n"/>
      <c r="F2806" s="55" t="n"/>
      <c r="G2806" s="56" t="n"/>
      <c r="H2806" s="55" t="n"/>
      <c r="I2806" s="62" t="n"/>
      <c r="J2806" s="58" t="n"/>
      <c r="K2806" s="63">
        <f>IF(tblMovement[[#This Row],[Source]]="","",IFERROR(INDEX(tblSources[Type],MATCH(tblMovement[[#This Row],[Source]],tblSources[Source],0)),"?"))</f>
        <v/>
      </c>
      <c r="L2806" s="63">
        <f>IF(tblMovement[[#This Row],[Destination]]="","",IFERROR(INDEX(tblDestinations[Type],MATCH(tblMovement[[#This Row],[Destination]],tblDestinations[Destination],0)),"?"))</f>
        <v/>
      </c>
      <c r="M2806" s="64">
        <f>IF(tblMovement[[#This Row],[Material]]="","",IF(LEFT(tblMovement[[#This Row],[Material]],3)="Ore",1,0))</f>
        <v/>
      </c>
      <c r="N2806" s="59">
        <f>IF(OR(tblMovement[[#This Row],[Tonnes_t]]="",tblMovement[[#This Row],[Grade_gpt]]=""),0,tblMovement[[#This Row],[Tonnes_t]]*tblMovement[[#This Row],[Grade_gpt]]/cfg_TroyOz)</f>
        <v/>
      </c>
      <c r="O2806" s="59">
        <f>IF(tblMovement[[#This Row],[Is_Ore]]=1,tblMovement[[#This Row],[Contained_oz]],0)</f>
        <v/>
      </c>
    </row>
    <row r="2807">
      <c r="A2807" s="54" t="n"/>
      <c r="B2807" s="61" t="n"/>
      <c r="C2807" s="61" t="n"/>
      <c r="D2807" s="61" t="n"/>
      <c r="E2807" s="61" t="n"/>
      <c r="F2807" s="55" t="n"/>
      <c r="G2807" s="56" t="n"/>
      <c r="H2807" s="55" t="n"/>
      <c r="I2807" s="62" t="n"/>
      <c r="J2807" s="58" t="n"/>
      <c r="K2807" s="63">
        <f>IF(tblMovement[[#This Row],[Source]]="","",IFERROR(INDEX(tblSources[Type],MATCH(tblMovement[[#This Row],[Source]],tblSources[Source],0)),"?"))</f>
        <v/>
      </c>
      <c r="L2807" s="63">
        <f>IF(tblMovement[[#This Row],[Destination]]="","",IFERROR(INDEX(tblDestinations[Type],MATCH(tblMovement[[#This Row],[Destination]],tblDestinations[Destination],0)),"?"))</f>
        <v/>
      </c>
      <c r="M2807" s="64">
        <f>IF(tblMovement[[#This Row],[Material]]="","",IF(LEFT(tblMovement[[#This Row],[Material]],3)="Ore",1,0))</f>
        <v/>
      </c>
      <c r="N2807" s="59">
        <f>IF(OR(tblMovement[[#This Row],[Tonnes_t]]="",tblMovement[[#This Row],[Grade_gpt]]=""),0,tblMovement[[#This Row],[Tonnes_t]]*tblMovement[[#This Row],[Grade_gpt]]/cfg_TroyOz)</f>
        <v/>
      </c>
      <c r="O2807" s="59">
        <f>IF(tblMovement[[#This Row],[Is_Ore]]=1,tblMovement[[#This Row],[Contained_oz]],0)</f>
        <v/>
      </c>
    </row>
    <row r="2808">
      <c r="A2808" s="54" t="n"/>
      <c r="B2808" s="61" t="n"/>
      <c r="C2808" s="61" t="n"/>
      <c r="D2808" s="61" t="n"/>
      <c r="E2808" s="61" t="n"/>
      <c r="F2808" s="55" t="n"/>
      <c r="G2808" s="56" t="n"/>
      <c r="H2808" s="55" t="n"/>
      <c r="I2808" s="62" t="n"/>
      <c r="J2808" s="58" t="n"/>
      <c r="K2808" s="63">
        <f>IF(tblMovement[[#This Row],[Source]]="","",IFERROR(INDEX(tblSources[Type],MATCH(tblMovement[[#This Row],[Source]],tblSources[Source],0)),"?"))</f>
        <v/>
      </c>
      <c r="L2808" s="63">
        <f>IF(tblMovement[[#This Row],[Destination]]="","",IFERROR(INDEX(tblDestinations[Type],MATCH(tblMovement[[#This Row],[Destination]],tblDestinations[Destination],0)),"?"))</f>
        <v/>
      </c>
      <c r="M2808" s="64">
        <f>IF(tblMovement[[#This Row],[Material]]="","",IF(LEFT(tblMovement[[#This Row],[Material]],3)="Ore",1,0))</f>
        <v/>
      </c>
      <c r="N2808" s="59">
        <f>IF(OR(tblMovement[[#This Row],[Tonnes_t]]="",tblMovement[[#This Row],[Grade_gpt]]=""),0,tblMovement[[#This Row],[Tonnes_t]]*tblMovement[[#This Row],[Grade_gpt]]/cfg_TroyOz)</f>
        <v/>
      </c>
      <c r="O2808" s="59">
        <f>IF(tblMovement[[#This Row],[Is_Ore]]=1,tblMovement[[#This Row],[Contained_oz]],0)</f>
        <v/>
      </c>
    </row>
    <row r="2809">
      <c r="A2809" s="54" t="n"/>
      <c r="B2809" s="61" t="n"/>
      <c r="C2809" s="61" t="n"/>
      <c r="D2809" s="61" t="n"/>
      <c r="E2809" s="61" t="n"/>
      <c r="F2809" s="55" t="n"/>
      <c r="G2809" s="56" t="n"/>
      <c r="H2809" s="55" t="n"/>
      <c r="I2809" s="62" t="n"/>
      <c r="J2809" s="58" t="n"/>
      <c r="K2809" s="63">
        <f>IF(tblMovement[[#This Row],[Source]]="","",IFERROR(INDEX(tblSources[Type],MATCH(tblMovement[[#This Row],[Source]],tblSources[Source],0)),"?"))</f>
        <v/>
      </c>
      <c r="L2809" s="63">
        <f>IF(tblMovement[[#This Row],[Destination]]="","",IFERROR(INDEX(tblDestinations[Type],MATCH(tblMovement[[#This Row],[Destination]],tblDestinations[Destination],0)),"?"))</f>
        <v/>
      </c>
      <c r="M2809" s="64">
        <f>IF(tblMovement[[#This Row],[Material]]="","",IF(LEFT(tblMovement[[#This Row],[Material]],3)="Ore",1,0))</f>
        <v/>
      </c>
      <c r="N2809" s="59">
        <f>IF(OR(tblMovement[[#This Row],[Tonnes_t]]="",tblMovement[[#This Row],[Grade_gpt]]=""),0,tblMovement[[#This Row],[Tonnes_t]]*tblMovement[[#This Row],[Grade_gpt]]/cfg_TroyOz)</f>
        <v/>
      </c>
      <c r="O2809" s="59">
        <f>IF(tblMovement[[#This Row],[Is_Ore]]=1,tblMovement[[#This Row],[Contained_oz]],0)</f>
        <v/>
      </c>
    </row>
    <row r="2810">
      <c r="A2810" s="54" t="n"/>
      <c r="B2810" s="61" t="n"/>
      <c r="C2810" s="61" t="n"/>
      <c r="D2810" s="61" t="n"/>
      <c r="E2810" s="61" t="n"/>
      <c r="F2810" s="55" t="n"/>
      <c r="G2810" s="56" t="n"/>
      <c r="H2810" s="55" t="n"/>
      <c r="I2810" s="62" t="n"/>
      <c r="J2810" s="58" t="n"/>
      <c r="K2810" s="63">
        <f>IF(tblMovement[[#This Row],[Source]]="","",IFERROR(INDEX(tblSources[Type],MATCH(tblMovement[[#This Row],[Source]],tblSources[Source],0)),"?"))</f>
        <v/>
      </c>
      <c r="L2810" s="63">
        <f>IF(tblMovement[[#This Row],[Destination]]="","",IFERROR(INDEX(tblDestinations[Type],MATCH(tblMovement[[#This Row],[Destination]],tblDestinations[Destination],0)),"?"))</f>
        <v/>
      </c>
      <c r="M2810" s="64">
        <f>IF(tblMovement[[#This Row],[Material]]="","",IF(LEFT(tblMovement[[#This Row],[Material]],3)="Ore",1,0))</f>
        <v/>
      </c>
      <c r="N2810" s="59">
        <f>IF(OR(tblMovement[[#This Row],[Tonnes_t]]="",tblMovement[[#This Row],[Grade_gpt]]=""),0,tblMovement[[#This Row],[Tonnes_t]]*tblMovement[[#This Row],[Grade_gpt]]/cfg_TroyOz)</f>
        <v/>
      </c>
      <c r="O2810" s="59">
        <f>IF(tblMovement[[#This Row],[Is_Ore]]=1,tblMovement[[#This Row],[Contained_oz]],0)</f>
        <v/>
      </c>
    </row>
    <row r="2811">
      <c r="A2811" s="54" t="n"/>
      <c r="B2811" s="61" t="n"/>
      <c r="C2811" s="61" t="n"/>
      <c r="D2811" s="61" t="n"/>
      <c r="E2811" s="61" t="n"/>
      <c r="F2811" s="55" t="n"/>
      <c r="G2811" s="56" t="n"/>
      <c r="H2811" s="55" t="n"/>
      <c r="I2811" s="62" t="n"/>
      <c r="J2811" s="58" t="n"/>
      <c r="K2811" s="63">
        <f>IF(tblMovement[[#This Row],[Source]]="","",IFERROR(INDEX(tblSources[Type],MATCH(tblMovement[[#This Row],[Source]],tblSources[Source],0)),"?"))</f>
        <v/>
      </c>
      <c r="L2811" s="63">
        <f>IF(tblMovement[[#This Row],[Destination]]="","",IFERROR(INDEX(tblDestinations[Type],MATCH(tblMovement[[#This Row],[Destination]],tblDestinations[Destination],0)),"?"))</f>
        <v/>
      </c>
      <c r="M2811" s="64">
        <f>IF(tblMovement[[#This Row],[Material]]="","",IF(LEFT(tblMovement[[#This Row],[Material]],3)="Ore",1,0))</f>
        <v/>
      </c>
      <c r="N2811" s="59">
        <f>IF(OR(tblMovement[[#This Row],[Tonnes_t]]="",tblMovement[[#This Row],[Grade_gpt]]=""),0,tblMovement[[#This Row],[Tonnes_t]]*tblMovement[[#This Row],[Grade_gpt]]/cfg_TroyOz)</f>
        <v/>
      </c>
      <c r="O2811" s="59">
        <f>IF(tblMovement[[#This Row],[Is_Ore]]=1,tblMovement[[#This Row],[Contained_oz]],0)</f>
        <v/>
      </c>
    </row>
    <row r="2812">
      <c r="A2812" s="54" t="n"/>
      <c r="B2812" s="61" t="n"/>
      <c r="C2812" s="61" t="n"/>
      <c r="D2812" s="61" t="n"/>
      <c r="E2812" s="61" t="n"/>
      <c r="F2812" s="55" t="n"/>
      <c r="G2812" s="56" t="n"/>
      <c r="H2812" s="55" t="n"/>
      <c r="I2812" s="62" t="n"/>
      <c r="J2812" s="58" t="n"/>
      <c r="K2812" s="63">
        <f>IF(tblMovement[[#This Row],[Source]]="","",IFERROR(INDEX(tblSources[Type],MATCH(tblMovement[[#This Row],[Source]],tblSources[Source],0)),"?"))</f>
        <v/>
      </c>
      <c r="L2812" s="63">
        <f>IF(tblMovement[[#This Row],[Destination]]="","",IFERROR(INDEX(tblDestinations[Type],MATCH(tblMovement[[#This Row],[Destination]],tblDestinations[Destination],0)),"?"))</f>
        <v/>
      </c>
      <c r="M2812" s="64">
        <f>IF(tblMovement[[#This Row],[Material]]="","",IF(LEFT(tblMovement[[#This Row],[Material]],3)="Ore",1,0))</f>
        <v/>
      </c>
      <c r="N2812" s="59">
        <f>IF(OR(tblMovement[[#This Row],[Tonnes_t]]="",tblMovement[[#This Row],[Grade_gpt]]=""),0,tblMovement[[#This Row],[Tonnes_t]]*tblMovement[[#This Row],[Grade_gpt]]/cfg_TroyOz)</f>
        <v/>
      </c>
      <c r="O2812" s="59">
        <f>IF(tblMovement[[#This Row],[Is_Ore]]=1,tblMovement[[#This Row],[Contained_oz]],0)</f>
        <v/>
      </c>
    </row>
    <row r="2813">
      <c r="A2813" s="54" t="n"/>
      <c r="B2813" s="61" t="n"/>
      <c r="C2813" s="61" t="n"/>
      <c r="D2813" s="61" t="n"/>
      <c r="E2813" s="61" t="n"/>
      <c r="F2813" s="55" t="n"/>
      <c r="G2813" s="56" t="n"/>
      <c r="H2813" s="55" t="n"/>
      <c r="I2813" s="62" t="n"/>
      <c r="J2813" s="58" t="n"/>
      <c r="K2813" s="63">
        <f>IF(tblMovement[[#This Row],[Source]]="","",IFERROR(INDEX(tblSources[Type],MATCH(tblMovement[[#This Row],[Source]],tblSources[Source],0)),"?"))</f>
        <v/>
      </c>
      <c r="L2813" s="63">
        <f>IF(tblMovement[[#This Row],[Destination]]="","",IFERROR(INDEX(tblDestinations[Type],MATCH(tblMovement[[#This Row],[Destination]],tblDestinations[Destination],0)),"?"))</f>
        <v/>
      </c>
      <c r="M2813" s="64">
        <f>IF(tblMovement[[#This Row],[Material]]="","",IF(LEFT(tblMovement[[#This Row],[Material]],3)="Ore",1,0))</f>
        <v/>
      </c>
      <c r="N2813" s="59">
        <f>IF(OR(tblMovement[[#This Row],[Tonnes_t]]="",tblMovement[[#This Row],[Grade_gpt]]=""),0,tblMovement[[#This Row],[Tonnes_t]]*tblMovement[[#This Row],[Grade_gpt]]/cfg_TroyOz)</f>
        <v/>
      </c>
      <c r="O2813" s="59">
        <f>IF(tblMovement[[#This Row],[Is_Ore]]=1,tblMovement[[#This Row],[Contained_oz]],0)</f>
        <v/>
      </c>
    </row>
    <row r="2814">
      <c r="A2814" s="54" t="n"/>
      <c r="B2814" s="61" t="n"/>
      <c r="C2814" s="61" t="n"/>
      <c r="D2814" s="61" t="n"/>
      <c r="E2814" s="61" t="n"/>
      <c r="F2814" s="55" t="n"/>
      <c r="G2814" s="56" t="n"/>
      <c r="H2814" s="55" t="n"/>
      <c r="I2814" s="62" t="n"/>
      <c r="J2814" s="58" t="n"/>
      <c r="K2814" s="63">
        <f>IF(tblMovement[[#This Row],[Source]]="","",IFERROR(INDEX(tblSources[Type],MATCH(tblMovement[[#This Row],[Source]],tblSources[Source],0)),"?"))</f>
        <v/>
      </c>
      <c r="L2814" s="63">
        <f>IF(tblMovement[[#This Row],[Destination]]="","",IFERROR(INDEX(tblDestinations[Type],MATCH(tblMovement[[#This Row],[Destination]],tblDestinations[Destination],0)),"?"))</f>
        <v/>
      </c>
      <c r="M2814" s="64">
        <f>IF(tblMovement[[#This Row],[Material]]="","",IF(LEFT(tblMovement[[#This Row],[Material]],3)="Ore",1,0))</f>
        <v/>
      </c>
      <c r="N2814" s="59">
        <f>IF(OR(tblMovement[[#This Row],[Tonnes_t]]="",tblMovement[[#This Row],[Grade_gpt]]=""),0,tblMovement[[#This Row],[Tonnes_t]]*tblMovement[[#This Row],[Grade_gpt]]/cfg_TroyOz)</f>
        <v/>
      </c>
      <c r="O2814" s="59">
        <f>IF(tblMovement[[#This Row],[Is_Ore]]=1,tblMovement[[#This Row],[Contained_oz]],0)</f>
        <v/>
      </c>
    </row>
    <row r="2815">
      <c r="A2815" s="54" t="n"/>
      <c r="B2815" s="61" t="n"/>
      <c r="C2815" s="61" t="n"/>
      <c r="D2815" s="61" t="n"/>
      <c r="E2815" s="61" t="n"/>
      <c r="F2815" s="55" t="n"/>
      <c r="G2815" s="56" t="n"/>
      <c r="H2815" s="55" t="n"/>
      <c r="I2815" s="62" t="n"/>
      <c r="J2815" s="58" t="n"/>
      <c r="K2815" s="63">
        <f>IF(tblMovement[[#This Row],[Source]]="","",IFERROR(INDEX(tblSources[Type],MATCH(tblMovement[[#This Row],[Source]],tblSources[Source],0)),"?"))</f>
        <v/>
      </c>
      <c r="L2815" s="63">
        <f>IF(tblMovement[[#This Row],[Destination]]="","",IFERROR(INDEX(tblDestinations[Type],MATCH(tblMovement[[#This Row],[Destination]],tblDestinations[Destination],0)),"?"))</f>
        <v/>
      </c>
      <c r="M2815" s="64">
        <f>IF(tblMovement[[#This Row],[Material]]="","",IF(LEFT(tblMovement[[#This Row],[Material]],3)="Ore",1,0))</f>
        <v/>
      </c>
      <c r="N2815" s="59">
        <f>IF(OR(tblMovement[[#This Row],[Tonnes_t]]="",tblMovement[[#This Row],[Grade_gpt]]=""),0,tblMovement[[#This Row],[Tonnes_t]]*tblMovement[[#This Row],[Grade_gpt]]/cfg_TroyOz)</f>
        <v/>
      </c>
      <c r="O2815" s="59">
        <f>IF(tblMovement[[#This Row],[Is_Ore]]=1,tblMovement[[#This Row],[Contained_oz]],0)</f>
        <v/>
      </c>
    </row>
    <row r="2816">
      <c r="A2816" s="54" t="n"/>
      <c r="B2816" s="61" t="n"/>
      <c r="C2816" s="61" t="n"/>
      <c r="D2816" s="61" t="n"/>
      <c r="E2816" s="61" t="n"/>
      <c r="F2816" s="55" t="n"/>
      <c r="G2816" s="56" t="n"/>
      <c r="H2816" s="55" t="n"/>
      <c r="I2816" s="62" t="n"/>
      <c r="J2816" s="58" t="n"/>
      <c r="K2816" s="63">
        <f>IF(tblMovement[[#This Row],[Source]]="","",IFERROR(INDEX(tblSources[Type],MATCH(tblMovement[[#This Row],[Source]],tblSources[Source],0)),"?"))</f>
        <v/>
      </c>
      <c r="L2816" s="63">
        <f>IF(tblMovement[[#This Row],[Destination]]="","",IFERROR(INDEX(tblDestinations[Type],MATCH(tblMovement[[#This Row],[Destination]],tblDestinations[Destination],0)),"?"))</f>
        <v/>
      </c>
      <c r="M2816" s="64">
        <f>IF(tblMovement[[#This Row],[Material]]="","",IF(LEFT(tblMovement[[#This Row],[Material]],3)="Ore",1,0))</f>
        <v/>
      </c>
      <c r="N2816" s="59">
        <f>IF(OR(tblMovement[[#This Row],[Tonnes_t]]="",tblMovement[[#This Row],[Grade_gpt]]=""),0,tblMovement[[#This Row],[Tonnes_t]]*tblMovement[[#This Row],[Grade_gpt]]/cfg_TroyOz)</f>
        <v/>
      </c>
      <c r="O2816" s="59">
        <f>IF(tblMovement[[#This Row],[Is_Ore]]=1,tblMovement[[#This Row],[Contained_oz]],0)</f>
        <v/>
      </c>
    </row>
    <row r="2817">
      <c r="A2817" s="54" t="n"/>
      <c r="B2817" s="61" t="n"/>
      <c r="C2817" s="61" t="n"/>
      <c r="D2817" s="61" t="n"/>
      <c r="E2817" s="61" t="n"/>
      <c r="F2817" s="55" t="n"/>
      <c r="G2817" s="56" t="n"/>
      <c r="H2817" s="55" t="n"/>
      <c r="I2817" s="62" t="n"/>
      <c r="J2817" s="58" t="n"/>
      <c r="K2817" s="63">
        <f>IF(tblMovement[[#This Row],[Source]]="","",IFERROR(INDEX(tblSources[Type],MATCH(tblMovement[[#This Row],[Source]],tblSources[Source],0)),"?"))</f>
        <v/>
      </c>
      <c r="L2817" s="63">
        <f>IF(tblMovement[[#This Row],[Destination]]="","",IFERROR(INDEX(tblDestinations[Type],MATCH(tblMovement[[#This Row],[Destination]],tblDestinations[Destination],0)),"?"))</f>
        <v/>
      </c>
      <c r="M2817" s="64">
        <f>IF(tblMovement[[#This Row],[Material]]="","",IF(LEFT(tblMovement[[#This Row],[Material]],3)="Ore",1,0))</f>
        <v/>
      </c>
      <c r="N2817" s="59">
        <f>IF(OR(tblMovement[[#This Row],[Tonnes_t]]="",tblMovement[[#This Row],[Grade_gpt]]=""),0,tblMovement[[#This Row],[Tonnes_t]]*tblMovement[[#This Row],[Grade_gpt]]/cfg_TroyOz)</f>
        <v/>
      </c>
      <c r="O2817" s="59">
        <f>IF(tblMovement[[#This Row],[Is_Ore]]=1,tblMovement[[#This Row],[Contained_oz]],0)</f>
        <v/>
      </c>
    </row>
    <row r="2818">
      <c r="A2818" s="54" t="n"/>
      <c r="B2818" s="61" t="n"/>
      <c r="C2818" s="61" t="n"/>
      <c r="D2818" s="61" t="n"/>
      <c r="E2818" s="61" t="n"/>
      <c r="F2818" s="55" t="n"/>
      <c r="G2818" s="56" t="n"/>
      <c r="H2818" s="55" t="n"/>
      <c r="I2818" s="62" t="n"/>
      <c r="J2818" s="58" t="n"/>
      <c r="K2818" s="63">
        <f>IF(tblMovement[[#This Row],[Source]]="","",IFERROR(INDEX(tblSources[Type],MATCH(tblMovement[[#This Row],[Source]],tblSources[Source],0)),"?"))</f>
        <v/>
      </c>
      <c r="L2818" s="63">
        <f>IF(tblMovement[[#This Row],[Destination]]="","",IFERROR(INDEX(tblDestinations[Type],MATCH(tblMovement[[#This Row],[Destination]],tblDestinations[Destination],0)),"?"))</f>
        <v/>
      </c>
      <c r="M2818" s="64">
        <f>IF(tblMovement[[#This Row],[Material]]="","",IF(LEFT(tblMovement[[#This Row],[Material]],3)="Ore",1,0))</f>
        <v/>
      </c>
      <c r="N2818" s="59">
        <f>IF(OR(tblMovement[[#This Row],[Tonnes_t]]="",tblMovement[[#This Row],[Grade_gpt]]=""),0,tblMovement[[#This Row],[Tonnes_t]]*tblMovement[[#This Row],[Grade_gpt]]/cfg_TroyOz)</f>
        <v/>
      </c>
      <c r="O2818" s="59">
        <f>IF(tblMovement[[#This Row],[Is_Ore]]=1,tblMovement[[#This Row],[Contained_oz]],0)</f>
        <v/>
      </c>
    </row>
    <row r="2819">
      <c r="A2819" s="54" t="n"/>
      <c r="B2819" s="61" t="n"/>
      <c r="C2819" s="61" t="n"/>
      <c r="D2819" s="61" t="n"/>
      <c r="E2819" s="61" t="n"/>
      <c r="F2819" s="55" t="n"/>
      <c r="G2819" s="56" t="n"/>
      <c r="H2819" s="55" t="n"/>
      <c r="I2819" s="62" t="n"/>
      <c r="J2819" s="58" t="n"/>
      <c r="K2819" s="63">
        <f>IF(tblMovement[[#This Row],[Source]]="","",IFERROR(INDEX(tblSources[Type],MATCH(tblMovement[[#This Row],[Source]],tblSources[Source],0)),"?"))</f>
        <v/>
      </c>
      <c r="L2819" s="63">
        <f>IF(tblMovement[[#This Row],[Destination]]="","",IFERROR(INDEX(tblDestinations[Type],MATCH(tblMovement[[#This Row],[Destination]],tblDestinations[Destination],0)),"?"))</f>
        <v/>
      </c>
      <c r="M2819" s="64">
        <f>IF(tblMovement[[#This Row],[Material]]="","",IF(LEFT(tblMovement[[#This Row],[Material]],3)="Ore",1,0))</f>
        <v/>
      </c>
      <c r="N2819" s="59">
        <f>IF(OR(tblMovement[[#This Row],[Tonnes_t]]="",tblMovement[[#This Row],[Grade_gpt]]=""),0,tblMovement[[#This Row],[Tonnes_t]]*tblMovement[[#This Row],[Grade_gpt]]/cfg_TroyOz)</f>
        <v/>
      </c>
      <c r="O2819" s="59">
        <f>IF(tblMovement[[#This Row],[Is_Ore]]=1,tblMovement[[#This Row],[Contained_oz]],0)</f>
        <v/>
      </c>
    </row>
    <row r="2820">
      <c r="A2820" s="54" t="n"/>
      <c r="B2820" s="61" t="n"/>
      <c r="C2820" s="61" t="n"/>
      <c r="D2820" s="61" t="n"/>
      <c r="E2820" s="61" t="n"/>
      <c r="F2820" s="55" t="n"/>
      <c r="G2820" s="56" t="n"/>
      <c r="H2820" s="55" t="n"/>
      <c r="I2820" s="62" t="n"/>
      <c r="J2820" s="58" t="n"/>
      <c r="K2820" s="63">
        <f>IF(tblMovement[[#This Row],[Source]]="","",IFERROR(INDEX(tblSources[Type],MATCH(tblMovement[[#This Row],[Source]],tblSources[Source],0)),"?"))</f>
        <v/>
      </c>
      <c r="L2820" s="63">
        <f>IF(tblMovement[[#This Row],[Destination]]="","",IFERROR(INDEX(tblDestinations[Type],MATCH(tblMovement[[#This Row],[Destination]],tblDestinations[Destination],0)),"?"))</f>
        <v/>
      </c>
      <c r="M2820" s="64">
        <f>IF(tblMovement[[#This Row],[Material]]="","",IF(LEFT(tblMovement[[#This Row],[Material]],3)="Ore",1,0))</f>
        <v/>
      </c>
      <c r="N2820" s="59">
        <f>IF(OR(tblMovement[[#This Row],[Tonnes_t]]="",tblMovement[[#This Row],[Grade_gpt]]=""),0,tblMovement[[#This Row],[Tonnes_t]]*tblMovement[[#This Row],[Grade_gpt]]/cfg_TroyOz)</f>
        <v/>
      </c>
      <c r="O2820" s="59">
        <f>IF(tblMovement[[#This Row],[Is_Ore]]=1,tblMovement[[#This Row],[Contained_oz]],0)</f>
        <v/>
      </c>
    </row>
    <row r="2821">
      <c r="A2821" s="54" t="n"/>
      <c r="B2821" s="61" t="n"/>
      <c r="C2821" s="61" t="n"/>
      <c r="D2821" s="61" t="n"/>
      <c r="E2821" s="61" t="n"/>
      <c r="F2821" s="55" t="n"/>
      <c r="G2821" s="56" t="n"/>
      <c r="H2821" s="55" t="n"/>
      <c r="I2821" s="62" t="n"/>
      <c r="J2821" s="58" t="n"/>
      <c r="K2821" s="63">
        <f>IF(tblMovement[[#This Row],[Source]]="","",IFERROR(INDEX(tblSources[Type],MATCH(tblMovement[[#This Row],[Source]],tblSources[Source],0)),"?"))</f>
        <v/>
      </c>
      <c r="L2821" s="63">
        <f>IF(tblMovement[[#This Row],[Destination]]="","",IFERROR(INDEX(tblDestinations[Type],MATCH(tblMovement[[#This Row],[Destination]],tblDestinations[Destination],0)),"?"))</f>
        <v/>
      </c>
      <c r="M2821" s="64">
        <f>IF(tblMovement[[#This Row],[Material]]="","",IF(LEFT(tblMovement[[#This Row],[Material]],3)="Ore",1,0))</f>
        <v/>
      </c>
      <c r="N2821" s="59">
        <f>IF(OR(tblMovement[[#This Row],[Tonnes_t]]="",tblMovement[[#This Row],[Grade_gpt]]=""),0,tblMovement[[#This Row],[Tonnes_t]]*tblMovement[[#This Row],[Grade_gpt]]/cfg_TroyOz)</f>
        <v/>
      </c>
      <c r="O2821" s="59">
        <f>IF(tblMovement[[#This Row],[Is_Ore]]=1,tblMovement[[#This Row],[Contained_oz]],0)</f>
        <v/>
      </c>
    </row>
    <row r="2822">
      <c r="A2822" s="54" t="n"/>
      <c r="B2822" s="61" t="n"/>
      <c r="C2822" s="61" t="n"/>
      <c r="D2822" s="61" t="n"/>
      <c r="E2822" s="61" t="n"/>
      <c r="F2822" s="55" t="n"/>
      <c r="G2822" s="56" t="n"/>
      <c r="H2822" s="55" t="n"/>
      <c r="I2822" s="62" t="n"/>
      <c r="J2822" s="58" t="n"/>
      <c r="K2822" s="63">
        <f>IF(tblMovement[[#This Row],[Source]]="","",IFERROR(INDEX(tblSources[Type],MATCH(tblMovement[[#This Row],[Source]],tblSources[Source],0)),"?"))</f>
        <v/>
      </c>
      <c r="L2822" s="63">
        <f>IF(tblMovement[[#This Row],[Destination]]="","",IFERROR(INDEX(tblDestinations[Type],MATCH(tblMovement[[#This Row],[Destination]],tblDestinations[Destination],0)),"?"))</f>
        <v/>
      </c>
      <c r="M2822" s="64">
        <f>IF(tblMovement[[#This Row],[Material]]="","",IF(LEFT(tblMovement[[#This Row],[Material]],3)="Ore",1,0))</f>
        <v/>
      </c>
      <c r="N2822" s="59">
        <f>IF(OR(tblMovement[[#This Row],[Tonnes_t]]="",tblMovement[[#This Row],[Grade_gpt]]=""),0,tblMovement[[#This Row],[Tonnes_t]]*tblMovement[[#This Row],[Grade_gpt]]/cfg_TroyOz)</f>
        <v/>
      </c>
      <c r="O2822" s="59">
        <f>IF(tblMovement[[#This Row],[Is_Ore]]=1,tblMovement[[#This Row],[Contained_oz]],0)</f>
        <v/>
      </c>
    </row>
    <row r="2823">
      <c r="A2823" s="54" t="n"/>
      <c r="B2823" s="61" t="n"/>
      <c r="C2823" s="61" t="n"/>
      <c r="D2823" s="61" t="n"/>
      <c r="E2823" s="61" t="n"/>
      <c r="F2823" s="55" t="n"/>
      <c r="G2823" s="56" t="n"/>
      <c r="H2823" s="55" t="n"/>
      <c r="I2823" s="62" t="n"/>
      <c r="J2823" s="58" t="n"/>
      <c r="K2823" s="63">
        <f>IF(tblMovement[[#This Row],[Source]]="","",IFERROR(INDEX(tblSources[Type],MATCH(tblMovement[[#This Row],[Source]],tblSources[Source],0)),"?"))</f>
        <v/>
      </c>
      <c r="L2823" s="63">
        <f>IF(tblMovement[[#This Row],[Destination]]="","",IFERROR(INDEX(tblDestinations[Type],MATCH(tblMovement[[#This Row],[Destination]],tblDestinations[Destination],0)),"?"))</f>
        <v/>
      </c>
      <c r="M2823" s="64">
        <f>IF(tblMovement[[#This Row],[Material]]="","",IF(LEFT(tblMovement[[#This Row],[Material]],3)="Ore",1,0))</f>
        <v/>
      </c>
      <c r="N2823" s="59">
        <f>IF(OR(tblMovement[[#This Row],[Tonnes_t]]="",tblMovement[[#This Row],[Grade_gpt]]=""),0,tblMovement[[#This Row],[Tonnes_t]]*tblMovement[[#This Row],[Grade_gpt]]/cfg_TroyOz)</f>
        <v/>
      </c>
      <c r="O2823" s="59">
        <f>IF(tblMovement[[#This Row],[Is_Ore]]=1,tblMovement[[#This Row],[Contained_oz]],0)</f>
        <v/>
      </c>
    </row>
    <row r="2824">
      <c r="A2824" s="54" t="n"/>
      <c r="B2824" s="61" t="n"/>
      <c r="C2824" s="61" t="n"/>
      <c r="D2824" s="61" t="n"/>
      <c r="E2824" s="61" t="n"/>
      <c r="F2824" s="55" t="n"/>
      <c r="G2824" s="56" t="n"/>
      <c r="H2824" s="55" t="n"/>
      <c r="I2824" s="62" t="n"/>
      <c r="J2824" s="58" t="n"/>
      <c r="K2824" s="63">
        <f>IF(tblMovement[[#This Row],[Source]]="","",IFERROR(INDEX(tblSources[Type],MATCH(tblMovement[[#This Row],[Source]],tblSources[Source],0)),"?"))</f>
        <v/>
      </c>
      <c r="L2824" s="63">
        <f>IF(tblMovement[[#This Row],[Destination]]="","",IFERROR(INDEX(tblDestinations[Type],MATCH(tblMovement[[#This Row],[Destination]],tblDestinations[Destination],0)),"?"))</f>
        <v/>
      </c>
      <c r="M2824" s="64">
        <f>IF(tblMovement[[#This Row],[Material]]="","",IF(LEFT(tblMovement[[#This Row],[Material]],3)="Ore",1,0))</f>
        <v/>
      </c>
      <c r="N2824" s="59">
        <f>IF(OR(tblMovement[[#This Row],[Tonnes_t]]="",tblMovement[[#This Row],[Grade_gpt]]=""),0,tblMovement[[#This Row],[Tonnes_t]]*tblMovement[[#This Row],[Grade_gpt]]/cfg_TroyOz)</f>
        <v/>
      </c>
      <c r="O2824" s="59">
        <f>IF(tblMovement[[#This Row],[Is_Ore]]=1,tblMovement[[#This Row],[Contained_oz]],0)</f>
        <v/>
      </c>
    </row>
    <row r="2825">
      <c r="A2825" s="54" t="n"/>
      <c r="B2825" s="61" t="n"/>
      <c r="C2825" s="61" t="n"/>
      <c r="D2825" s="61" t="n"/>
      <c r="E2825" s="61" t="n"/>
      <c r="F2825" s="55" t="n"/>
      <c r="G2825" s="56" t="n"/>
      <c r="H2825" s="55" t="n"/>
      <c r="I2825" s="62" t="n"/>
      <c r="J2825" s="58" t="n"/>
      <c r="K2825" s="63">
        <f>IF(tblMovement[[#This Row],[Source]]="","",IFERROR(INDEX(tblSources[Type],MATCH(tblMovement[[#This Row],[Source]],tblSources[Source],0)),"?"))</f>
        <v/>
      </c>
      <c r="L2825" s="63">
        <f>IF(tblMovement[[#This Row],[Destination]]="","",IFERROR(INDEX(tblDestinations[Type],MATCH(tblMovement[[#This Row],[Destination]],tblDestinations[Destination],0)),"?"))</f>
        <v/>
      </c>
      <c r="M2825" s="64">
        <f>IF(tblMovement[[#This Row],[Material]]="","",IF(LEFT(tblMovement[[#This Row],[Material]],3)="Ore",1,0))</f>
        <v/>
      </c>
      <c r="N2825" s="59">
        <f>IF(OR(tblMovement[[#This Row],[Tonnes_t]]="",tblMovement[[#This Row],[Grade_gpt]]=""),0,tblMovement[[#This Row],[Tonnes_t]]*tblMovement[[#This Row],[Grade_gpt]]/cfg_TroyOz)</f>
        <v/>
      </c>
      <c r="O2825" s="59">
        <f>IF(tblMovement[[#This Row],[Is_Ore]]=1,tblMovement[[#This Row],[Contained_oz]],0)</f>
        <v/>
      </c>
    </row>
    <row r="2826">
      <c r="A2826" s="54" t="n"/>
      <c r="B2826" s="61" t="n"/>
      <c r="C2826" s="61" t="n"/>
      <c r="D2826" s="61" t="n"/>
      <c r="E2826" s="61" t="n"/>
      <c r="F2826" s="55" t="n"/>
      <c r="G2826" s="56" t="n"/>
      <c r="H2826" s="55" t="n"/>
      <c r="I2826" s="62" t="n"/>
      <c r="J2826" s="58" t="n"/>
      <c r="K2826" s="63">
        <f>IF(tblMovement[[#This Row],[Source]]="","",IFERROR(INDEX(tblSources[Type],MATCH(tblMovement[[#This Row],[Source]],tblSources[Source],0)),"?"))</f>
        <v/>
      </c>
      <c r="L2826" s="63">
        <f>IF(tblMovement[[#This Row],[Destination]]="","",IFERROR(INDEX(tblDestinations[Type],MATCH(tblMovement[[#This Row],[Destination]],tblDestinations[Destination],0)),"?"))</f>
        <v/>
      </c>
      <c r="M2826" s="64">
        <f>IF(tblMovement[[#This Row],[Material]]="","",IF(LEFT(tblMovement[[#This Row],[Material]],3)="Ore",1,0))</f>
        <v/>
      </c>
      <c r="N2826" s="59">
        <f>IF(OR(tblMovement[[#This Row],[Tonnes_t]]="",tblMovement[[#This Row],[Grade_gpt]]=""),0,tblMovement[[#This Row],[Tonnes_t]]*tblMovement[[#This Row],[Grade_gpt]]/cfg_TroyOz)</f>
        <v/>
      </c>
      <c r="O2826" s="59">
        <f>IF(tblMovement[[#This Row],[Is_Ore]]=1,tblMovement[[#This Row],[Contained_oz]],0)</f>
        <v/>
      </c>
    </row>
    <row r="2827">
      <c r="A2827" s="54" t="n"/>
      <c r="B2827" s="61" t="n"/>
      <c r="C2827" s="61" t="n"/>
      <c r="D2827" s="61" t="n"/>
      <c r="E2827" s="61" t="n"/>
      <c r="F2827" s="55" t="n"/>
      <c r="G2827" s="56" t="n"/>
      <c r="H2827" s="55" t="n"/>
      <c r="I2827" s="62" t="n"/>
      <c r="J2827" s="58" t="n"/>
      <c r="K2827" s="63">
        <f>IF(tblMovement[[#This Row],[Source]]="","",IFERROR(INDEX(tblSources[Type],MATCH(tblMovement[[#This Row],[Source]],tblSources[Source],0)),"?"))</f>
        <v/>
      </c>
      <c r="L2827" s="63">
        <f>IF(tblMovement[[#This Row],[Destination]]="","",IFERROR(INDEX(tblDestinations[Type],MATCH(tblMovement[[#This Row],[Destination]],tblDestinations[Destination],0)),"?"))</f>
        <v/>
      </c>
      <c r="M2827" s="64">
        <f>IF(tblMovement[[#This Row],[Material]]="","",IF(LEFT(tblMovement[[#This Row],[Material]],3)="Ore",1,0))</f>
        <v/>
      </c>
      <c r="N2827" s="59">
        <f>IF(OR(tblMovement[[#This Row],[Tonnes_t]]="",tblMovement[[#This Row],[Grade_gpt]]=""),0,tblMovement[[#This Row],[Tonnes_t]]*tblMovement[[#This Row],[Grade_gpt]]/cfg_TroyOz)</f>
        <v/>
      </c>
      <c r="O2827" s="59">
        <f>IF(tblMovement[[#This Row],[Is_Ore]]=1,tblMovement[[#This Row],[Contained_oz]],0)</f>
        <v/>
      </c>
    </row>
    <row r="2828">
      <c r="A2828" s="54" t="n"/>
      <c r="B2828" s="61" t="n"/>
      <c r="C2828" s="61" t="n"/>
      <c r="D2828" s="61" t="n"/>
      <c r="E2828" s="61" t="n"/>
      <c r="F2828" s="55" t="n"/>
      <c r="G2828" s="56" t="n"/>
      <c r="H2828" s="55" t="n"/>
      <c r="I2828" s="62" t="n"/>
      <c r="J2828" s="58" t="n"/>
      <c r="K2828" s="63">
        <f>IF(tblMovement[[#This Row],[Source]]="","",IFERROR(INDEX(tblSources[Type],MATCH(tblMovement[[#This Row],[Source]],tblSources[Source],0)),"?"))</f>
        <v/>
      </c>
      <c r="L2828" s="63">
        <f>IF(tblMovement[[#This Row],[Destination]]="","",IFERROR(INDEX(tblDestinations[Type],MATCH(tblMovement[[#This Row],[Destination]],tblDestinations[Destination],0)),"?"))</f>
        <v/>
      </c>
      <c r="M2828" s="64">
        <f>IF(tblMovement[[#This Row],[Material]]="","",IF(LEFT(tblMovement[[#This Row],[Material]],3)="Ore",1,0))</f>
        <v/>
      </c>
      <c r="N2828" s="59">
        <f>IF(OR(tblMovement[[#This Row],[Tonnes_t]]="",tblMovement[[#This Row],[Grade_gpt]]=""),0,tblMovement[[#This Row],[Tonnes_t]]*tblMovement[[#This Row],[Grade_gpt]]/cfg_TroyOz)</f>
        <v/>
      </c>
      <c r="O2828" s="59">
        <f>IF(tblMovement[[#This Row],[Is_Ore]]=1,tblMovement[[#This Row],[Contained_oz]],0)</f>
        <v/>
      </c>
    </row>
    <row r="2829">
      <c r="A2829" s="54" t="n"/>
      <c r="B2829" s="61" t="n"/>
      <c r="C2829" s="61" t="n"/>
      <c r="D2829" s="61" t="n"/>
      <c r="E2829" s="61" t="n"/>
      <c r="F2829" s="55" t="n"/>
      <c r="G2829" s="56" t="n"/>
      <c r="H2829" s="55" t="n"/>
      <c r="I2829" s="62" t="n"/>
      <c r="J2829" s="58" t="n"/>
      <c r="K2829" s="63">
        <f>IF(tblMovement[[#This Row],[Source]]="","",IFERROR(INDEX(tblSources[Type],MATCH(tblMovement[[#This Row],[Source]],tblSources[Source],0)),"?"))</f>
        <v/>
      </c>
      <c r="L2829" s="63">
        <f>IF(tblMovement[[#This Row],[Destination]]="","",IFERROR(INDEX(tblDestinations[Type],MATCH(tblMovement[[#This Row],[Destination]],tblDestinations[Destination],0)),"?"))</f>
        <v/>
      </c>
      <c r="M2829" s="64">
        <f>IF(tblMovement[[#This Row],[Material]]="","",IF(LEFT(tblMovement[[#This Row],[Material]],3)="Ore",1,0))</f>
        <v/>
      </c>
      <c r="N2829" s="59">
        <f>IF(OR(tblMovement[[#This Row],[Tonnes_t]]="",tblMovement[[#This Row],[Grade_gpt]]=""),0,tblMovement[[#This Row],[Tonnes_t]]*tblMovement[[#This Row],[Grade_gpt]]/cfg_TroyOz)</f>
        <v/>
      </c>
      <c r="O2829" s="59">
        <f>IF(tblMovement[[#This Row],[Is_Ore]]=1,tblMovement[[#This Row],[Contained_oz]],0)</f>
        <v/>
      </c>
    </row>
    <row r="2830">
      <c r="A2830" s="54" t="n"/>
      <c r="B2830" s="61" t="n"/>
      <c r="C2830" s="61" t="n"/>
      <c r="D2830" s="61" t="n"/>
      <c r="E2830" s="61" t="n"/>
      <c r="F2830" s="55" t="n"/>
      <c r="G2830" s="56" t="n"/>
      <c r="H2830" s="55" t="n"/>
      <c r="I2830" s="62" t="n"/>
      <c r="J2830" s="58" t="n"/>
      <c r="K2830" s="63">
        <f>IF(tblMovement[[#This Row],[Source]]="","",IFERROR(INDEX(tblSources[Type],MATCH(tblMovement[[#This Row],[Source]],tblSources[Source],0)),"?"))</f>
        <v/>
      </c>
      <c r="L2830" s="63">
        <f>IF(tblMovement[[#This Row],[Destination]]="","",IFERROR(INDEX(tblDestinations[Type],MATCH(tblMovement[[#This Row],[Destination]],tblDestinations[Destination],0)),"?"))</f>
        <v/>
      </c>
      <c r="M2830" s="64">
        <f>IF(tblMovement[[#This Row],[Material]]="","",IF(LEFT(tblMovement[[#This Row],[Material]],3)="Ore",1,0))</f>
        <v/>
      </c>
      <c r="N2830" s="59">
        <f>IF(OR(tblMovement[[#This Row],[Tonnes_t]]="",tblMovement[[#This Row],[Grade_gpt]]=""),0,tblMovement[[#This Row],[Tonnes_t]]*tblMovement[[#This Row],[Grade_gpt]]/cfg_TroyOz)</f>
        <v/>
      </c>
      <c r="O2830" s="59">
        <f>IF(tblMovement[[#This Row],[Is_Ore]]=1,tblMovement[[#This Row],[Contained_oz]],0)</f>
        <v/>
      </c>
    </row>
    <row r="2831">
      <c r="A2831" s="54" t="n"/>
      <c r="B2831" s="61" t="n"/>
      <c r="C2831" s="61" t="n"/>
      <c r="D2831" s="61" t="n"/>
      <c r="E2831" s="61" t="n"/>
      <c r="F2831" s="55" t="n"/>
      <c r="G2831" s="56" t="n"/>
      <c r="H2831" s="55" t="n"/>
      <c r="I2831" s="62" t="n"/>
      <c r="J2831" s="58" t="n"/>
      <c r="K2831" s="63">
        <f>IF(tblMovement[[#This Row],[Source]]="","",IFERROR(INDEX(tblSources[Type],MATCH(tblMovement[[#This Row],[Source]],tblSources[Source],0)),"?"))</f>
        <v/>
      </c>
      <c r="L2831" s="63">
        <f>IF(tblMovement[[#This Row],[Destination]]="","",IFERROR(INDEX(tblDestinations[Type],MATCH(tblMovement[[#This Row],[Destination]],tblDestinations[Destination],0)),"?"))</f>
        <v/>
      </c>
      <c r="M2831" s="64">
        <f>IF(tblMovement[[#This Row],[Material]]="","",IF(LEFT(tblMovement[[#This Row],[Material]],3)="Ore",1,0))</f>
        <v/>
      </c>
      <c r="N2831" s="59">
        <f>IF(OR(tblMovement[[#This Row],[Tonnes_t]]="",tblMovement[[#This Row],[Grade_gpt]]=""),0,tblMovement[[#This Row],[Tonnes_t]]*tblMovement[[#This Row],[Grade_gpt]]/cfg_TroyOz)</f>
        <v/>
      </c>
      <c r="O2831" s="59">
        <f>IF(tblMovement[[#This Row],[Is_Ore]]=1,tblMovement[[#This Row],[Contained_oz]],0)</f>
        <v/>
      </c>
    </row>
    <row r="2832">
      <c r="A2832" s="54" t="n"/>
      <c r="B2832" s="61" t="n"/>
      <c r="C2832" s="61" t="n"/>
      <c r="D2832" s="61" t="n"/>
      <c r="E2832" s="61" t="n"/>
      <c r="F2832" s="55" t="n"/>
      <c r="G2832" s="56" t="n"/>
      <c r="H2832" s="55" t="n"/>
      <c r="I2832" s="62" t="n"/>
      <c r="J2832" s="58" t="n"/>
      <c r="K2832" s="63">
        <f>IF(tblMovement[[#This Row],[Source]]="","",IFERROR(INDEX(tblSources[Type],MATCH(tblMovement[[#This Row],[Source]],tblSources[Source],0)),"?"))</f>
        <v/>
      </c>
      <c r="L2832" s="63">
        <f>IF(tblMovement[[#This Row],[Destination]]="","",IFERROR(INDEX(tblDestinations[Type],MATCH(tblMovement[[#This Row],[Destination]],tblDestinations[Destination],0)),"?"))</f>
        <v/>
      </c>
      <c r="M2832" s="64">
        <f>IF(tblMovement[[#This Row],[Material]]="","",IF(LEFT(tblMovement[[#This Row],[Material]],3)="Ore",1,0))</f>
        <v/>
      </c>
      <c r="N2832" s="59">
        <f>IF(OR(tblMovement[[#This Row],[Tonnes_t]]="",tblMovement[[#This Row],[Grade_gpt]]=""),0,tblMovement[[#This Row],[Tonnes_t]]*tblMovement[[#This Row],[Grade_gpt]]/cfg_TroyOz)</f>
        <v/>
      </c>
      <c r="O2832" s="59">
        <f>IF(tblMovement[[#This Row],[Is_Ore]]=1,tblMovement[[#This Row],[Contained_oz]],0)</f>
        <v/>
      </c>
    </row>
    <row r="2833">
      <c r="A2833" s="54" t="n"/>
      <c r="B2833" s="61" t="n"/>
      <c r="C2833" s="61" t="n"/>
      <c r="D2833" s="61" t="n"/>
      <c r="E2833" s="61" t="n"/>
      <c r="F2833" s="55" t="n"/>
      <c r="G2833" s="56" t="n"/>
      <c r="H2833" s="55" t="n"/>
      <c r="I2833" s="62" t="n"/>
      <c r="J2833" s="58" t="n"/>
      <c r="K2833" s="63">
        <f>IF(tblMovement[[#This Row],[Source]]="","",IFERROR(INDEX(tblSources[Type],MATCH(tblMovement[[#This Row],[Source]],tblSources[Source],0)),"?"))</f>
        <v/>
      </c>
      <c r="L2833" s="63">
        <f>IF(tblMovement[[#This Row],[Destination]]="","",IFERROR(INDEX(tblDestinations[Type],MATCH(tblMovement[[#This Row],[Destination]],tblDestinations[Destination],0)),"?"))</f>
        <v/>
      </c>
      <c r="M2833" s="64">
        <f>IF(tblMovement[[#This Row],[Material]]="","",IF(LEFT(tblMovement[[#This Row],[Material]],3)="Ore",1,0))</f>
        <v/>
      </c>
      <c r="N2833" s="59">
        <f>IF(OR(tblMovement[[#This Row],[Tonnes_t]]="",tblMovement[[#This Row],[Grade_gpt]]=""),0,tblMovement[[#This Row],[Tonnes_t]]*tblMovement[[#This Row],[Grade_gpt]]/cfg_TroyOz)</f>
        <v/>
      </c>
      <c r="O2833" s="59">
        <f>IF(tblMovement[[#This Row],[Is_Ore]]=1,tblMovement[[#This Row],[Contained_oz]],0)</f>
        <v/>
      </c>
    </row>
    <row r="2834">
      <c r="A2834" s="54" t="n"/>
      <c r="B2834" s="61" t="n"/>
      <c r="C2834" s="61" t="n"/>
      <c r="D2834" s="61" t="n"/>
      <c r="E2834" s="61" t="n"/>
      <c r="F2834" s="55" t="n"/>
      <c r="G2834" s="56" t="n"/>
      <c r="H2834" s="55" t="n"/>
      <c r="I2834" s="62" t="n"/>
      <c r="J2834" s="58" t="n"/>
      <c r="K2834" s="63">
        <f>IF(tblMovement[[#This Row],[Source]]="","",IFERROR(INDEX(tblSources[Type],MATCH(tblMovement[[#This Row],[Source]],tblSources[Source],0)),"?"))</f>
        <v/>
      </c>
      <c r="L2834" s="63">
        <f>IF(tblMovement[[#This Row],[Destination]]="","",IFERROR(INDEX(tblDestinations[Type],MATCH(tblMovement[[#This Row],[Destination]],tblDestinations[Destination],0)),"?"))</f>
        <v/>
      </c>
      <c r="M2834" s="64">
        <f>IF(tblMovement[[#This Row],[Material]]="","",IF(LEFT(tblMovement[[#This Row],[Material]],3)="Ore",1,0))</f>
        <v/>
      </c>
      <c r="N2834" s="59">
        <f>IF(OR(tblMovement[[#This Row],[Tonnes_t]]="",tblMovement[[#This Row],[Grade_gpt]]=""),0,tblMovement[[#This Row],[Tonnes_t]]*tblMovement[[#This Row],[Grade_gpt]]/cfg_TroyOz)</f>
        <v/>
      </c>
      <c r="O2834" s="59">
        <f>IF(tblMovement[[#This Row],[Is_Ore]]=1,tblMovement[[#This Row],[Contained_oz]],0)</f>
        <v/>
      </c>
    </row>
    <row r="2835">
      <c r="A2835" s="54" t="n"/>
      <c r="B2835" s="61" t="n"/>
      <c r="C2835" s="61" t="n"/>
      <c r="D2835" s="61" t="n"/>
      <c r="E2835" s="61" t="n"/>
      <c r="F2835" s="55" t="n"/>
      <c r="G2835" s="56" t="n"/>
      <c r="H2835" s="55" t="n"/>
      <c r="I2835" s="62" t="n"/>
      <c r="J2835" s="58" t="n"/>
      <c r="K2835" s="63">
        <f>IF(tblMovement[[#This Row],[Source]]="","",IFERROR(INDEX(tblSources[Type],MATCH(tblMovement[[#This Row],[Source]],tblSources[Source],0)),"?"))</f>
        <v/>
      </c>
      <c r="L2835" s="63">
        <f>IF(tblMovement[[#This Row],[Destination]]="","",IFERROR(INDEX(tblDestinations[Type],MATCH(tblMovement[[#This Row],[Destination]],tblDestinations[Destination],0)),"?"))</f>
        <v/>
      </c>
      <c r="M2835" s="64">
        <f>IF(tblMovement[[#This Row],[Material]]="","",IF(LEFT(tblMovement[[#This Row],[Material]],3)="Ore",1,0))</f>
        <v/>
      </c>
      <c r="N2835" s="59">
        <f>IF(OR(tblMovement[[#This Row],[Tonnes_t]]="",tblMovement[[#This Row],[Grade_gpt]]=""),0,tblMovement[[#This Row],[Tonnes_t]]*tblMovement[[#This Row],[Grade_gpt]]/cfg_TroyOz)</f>
        <v/>
      </c>
      <c r="O2835" s="59">
        <f>IF(tblMovement[[#This Row],[Is_Ore]]=1,tblMovement[[#This Row],[Contained_oz]],0)</f>
        <v/>
      </c>
    </row>
    <row r="2836">
      <c r="A2836" s="54" t="n"/>
      <c r="B2836" s="61" t="n"/>
      <c r="C2836" s="61" t="n"/>
      <c r="D2836" s="61" t="n"/>
      <c r="E2836" s="61" t="n"/>
      <c r="F2836" s="55" t="n"/>
      <c r="G2836" s="56" t="n"/>
      <c r="H2836" s="55" t="n"/>
      <c r="I2836" s="62" t="n"/>
      <c r="J2836" s="58" t="n"/>
      <c r="K2836" s="63">
        <f>IF(tblMovement[[#This Row],[Source]]="","",IFERROR(INDEX(tblSources[Type],MATCH(tblMovement[[#This Row],[Source]],tblSources[Source],0)),"?"))</f>
        <v/>
      </c>
      <c r="L2836" s="63">
        <f>IF(tblMovement[[#This Row],[Destination]]="","",IFERROR(INDEX(tblDestinations[Type],MATCH(tblMovement[[#This Row],[Destination]],tblDestinations[Destination],0)),"?"))</f>
        <v/>
      </c>
      <c r="M2836" s="64">
        <f>IF(tblMovement[[#This Row],[Material]]="","",IF(LEFT(tblMovement[[#This Row],[Material]],3)="Ore",1,0))</f>
        <v/>
      </c>
      <c r="N2836" s="59">
        <f>IF(OR(tblMovement[[#This Row],[Tonnes_t]]="",tblMovement[[#This Row],[Grade_gpt]]=""),0,tblMovement[[#This Row],[Tonnes_t]]*tblMovement[[#This Row],[Grade_gpt]]/cfg_TroyOz)</f>
        <v/>
      </c>
      <c r="O2836" s="59">
        <f>IF(tblMovement[[#This Row],[Is_Ore]]=1,tblMovement[[#This Row],[Contained_oz]],0)</f>
        <v/>
      </c>
    </row>
    <row r="2837">
      <c r="A2837" s="54" t="n"/>
      <c r="B2837" s="61" t="n"/>
      <c r="C2837" s="61" t="n"/>
      <c r="D2837" s="61" t="n"/>
      <c r="E2837" s="61" t="n"/>
      <c r="F2837" s="55" t="n"/>
      <c r="G2837" s="56" t="n"/>
      <c r="H2837" s="55" t="n"/>
      <c r="I2837" s="62" t="n"/>
      <c r="J2837" s="58" t="n"/>
      <c r="K2837" s="63">
        <f>IF(tblMovement[[#This Row],[Source]]="","",IFERROR(INDEX(tblSources[Type],MATCH(tblMovement[[#This Row],[Source]],tblSources[Source],0)),"?"))</f>
        <v/>
      </c>
      <c r="L2837" s="63">
        <f>IF(tblMovement[[#This Row],[Destination]]="","",IFERROR(INDEX(tblDestinations[Type],MATCH(tblMovement[[#This Row],[Destination]],tblDestinations[Destination],0)),"?"))</f>
        <v/>
      </c>
      <c r="M2837" s="64">
        <f>IF(tblMovement[[#This Row],[Material]]="","",IF(LEFT(tblMovement[[#This Row],[Material]],3)="Ore",1,0))</f>
        <v/>
      </c>
      <c r="N2837" s="59">
        <f>IF(OR(tblMovement[[#This Row],[Tonnes_t]]="",tblMovement[[#This Row],[Grade_gpt]]=""),0,tblMovement[[#This Row],[Tonnes_t]]*tblMovement[[#This Row],[Grade_gpt]]/cfg_TroyOz)</f>
        <v/>
      </c>
      <c r="O2837" s="59">
        <f>IF(tblMovement[[#This Row],[Is_Ore]]=1,tblMovement[[#This Row],[Contained_oz]],0)</f>
        <v/>
      </c>
    </row>
    <row r="2838">
      <c r="A2838" s="54" t="n"/>
      <c r="B2838" s="61" t="n"/>
      <c r="C2838" s="61" t="n"/>
      <c r="D2838" s="61" t="n"/>
      <c r="E2838" s="61" t="n"/>
      <c r="F2838" s="55" t="n"/>
      <c r="G2838" s="56" t="n"/>
      <c r="H2838" s="55" t="n"/>
      <c r="I2838" s="62" t="n"/>
      <c r="J2838" s="58" t="n"/>
      <c r="K2838" s="63">
        <f>IF(tblMovement[[#This Row],[Source]]="","",IFERROR(INDEX(tblSources[Type],MATCH(tblMovement[[#This Row],[Source]],tblSources[Source],0)),"?"))</f>
        <v/>
      </c>
      <c r="L2838" s="63">
        <f>IF(tblMovement[[#This Row],[Destination]]="","",IFERROR(INDEX(tblDestinations[Type],MATCH(tblMovement[[#This Row],[Destination]],tblDestinations[Destination],0)),"?"))</f>
        <v/>
      </c>
      <c r="M2838" s="64">
        <f>IF(tblMovement[[#This Row],[Material]]="","",IF(LEFT(tblMovement[[#This Row],[Material]],3)="Ore",1,0))</f>
        <v/>
      </c>
      <c r="N2838" s="59">
        <f>IF(OR(tblMovement[[#This Row],[Tonnes_t]]="",tblMovement[[#This Row],[Grade_gpt]]=""),0,tblMovement[[#This Row],[Tonnes_t]]*tblMovement[[#This Row],[Grade_gpt]]/cfg_TroyOz)</f>
        <v/>
      </c>
      <c r="O2838" s="59">
        <f>IF(tblMovement[[#This Row],[Is_Ore]]=1,tblMovement[[#This Row],[Contained_oz]],0)</f>
        <v/>
      </c>
    </row>
    <row r="2839">
      <c r="A2839" s="54" t="n"/>
      <c r="B2839" s="61" t="n"/>
      <c r="C2839" s="61" t="n"/>
      <c r="D2839" s="61" t="n"/>
      <c r="E2839" s="61" t="n"/>
      <c r="F2839" s="55" t="n"/>
      <c r="G2839" s="56" t="n"/>
      <c r="H2839" s="55" t="n"/>
      <c r="I2839" s="62" t="n"/>
      <c r="J2839" s="58" t="n"/>
      <c r="K2839" s="63">
        <f>IF(tblMovement[[#This Row],[Source]]="","",IFERROR(INDEX(tblSources[Type],MATCH(tblMovement[[#This Row],[Source]],tblSources[Source],0)),"?"))</f>
        <v/>
      </c>
      <c r="L2839" s="63">
        <f>IF(tblMovement[[#This Row],[Destination]]="","",IFERROR(INDEX(tblDestinations[Type],MATCH(tblMovement[[#This Row],[Destination]],tblDestinations[Destination],0)),"?"))</f>
        <v/>
      </c>
      <c r="M2839" s="64">
        <f>IF(tblMovement[[#This Row],[Material]]="","",IF(LEFT(tblMovement[[#This Row],[Material]],3)="Ore",1,0))</f>
        <v/>
      </c>
      <c r="N2839" s="59">
        <f>IF(OR(tblMovement[[#This Row],[Tonnes_t]]="",tblMovement[[#This Row],[Grade_gpt]]=""),0,tblMovement[[#This Row],[Tonnes_t]]*tblMovement[[#This Row],[Grade_gpt]]/cfg_TroyOz)</f>
        <v/>
      </c>
      <c r="O2839" s="59">
        <f>IF(tblMovement[[#This Row],[Is_Ore]]=1,tblMovement[[#This Row],[Contained_oz]],0)</f>
        <v/>
      </c>
    </row>
    <row r="2840">
      <c r="A2840" s="54" t="n"/>
      <c r="B2840" s="61" t="n"/>
      <c r="C2840" s="61" t="n"/>
      <c r="D2840" s="61" t="n"/>
      <c r="E2840" s="61" t="n"/>
      <c r="F2840" s="55" t="n"/>
      <c r="G2840" s="56" t="n"/>
      <c r="H2840" s="55" t="n"/>
      <c r="I2840" s="62" t="n"/>
      <c r="J2840" s="58" t="n"/>
      <c r="K2840" s="63">
        <f>IF(tblMovement[[#This Row],[Source]]="","",IFERROR(INDEX(tblSources[Type],MATCH(tblMovement[[#This Row],[Source]],tblSources[Source],0)),"?"))</f>
        <v/>
      </c>
      <c r="L2840" s="63">
        <f>IF(tblMovement[[#This Row],[Destination]]="","",IFERROR(INDEX(tblDestinations[Type],MATCH(tblMovement[[#This Row],[Destination]],tblDestinations[Destination],0)),"?"))</f>
        <v/>
      </c>
      <c r="M2840" s="64">
        <f>IF(tblMovement[[#This Row],[Material]]="","",IF(LEFT(tblMovement[[#This Row],[Material]],3)="Ore",1,0))</f>
        <v/>
      </c>
      <c r="N2840" s="59">
        <f>IF(OR(tblMovement[[#This Row],[Tonnes_t]]="",tblMovement[[#This Row],[Grade_gpt]]=""),0,tblMovement[[#This Row],[Tonnes_t]]*tblMovement[[#This Row],[Grade_gpt]]/cfg_TroyOz)</f>
        <v/>
      </c>
      <c r="O2840" s="59">
        <f>IF(tblMovement[[#This Row],[Is_Ore]]=1,tblMovement[[#This Row],[Contained_oz]],0)</f>
        <v/>
      </c>
    </row>
    <row r="2841">
      <c r="A2841" s="54" t="n"/>
      <c r="B2841" s="61" t="n"/>
      <c r="C2841" s="61" t="n"/>
      <c r="D2841" s="61" t="n"/>
      <c r="E2841" s="61" t="n"/>
      <c r="F2841" s="55" t="n"/>
      <c r="G2841" s="56" t="n"/>
      <c r="H2841" s="55" t="n"/>
      <c r="I2841" s="62" t="n"/>
      <c r="J2841" s="58" t="n"/>
      <c r="K2841" s="63">
        <f>IF(tblMovement[[#This Row],[Source]]="","",IFERROR(INDEX(tblSources[Type],MATCH(tblMovement[[#This Row],[Source]],tblSources[Source],0)),"?"))</f>
        <v/>
      </c>
      <c r="L2841" s="63">
        <f>IF(tblMovement[[#This Row],[Destination]]="","",IFERROR(INDEX(tblDestinations[Type],MATCH(tblMovement[[#This Row],[Destination]],tblDestinations[Destination],0)),"?"))</f>
        <v/>
      </c>
      <c r="M2841" s="64">
        <f>IF(tblMovement[[#This Row],[Material]]="","",IF(LEFT(tblMovement[[#This Row],[Material]],3)="Ore",1,0))</f>
        <v/>
      </c>
      <c r="N2841" s="59">
        <f>IF(OR(tblMovement[[#This Row],[Tonnes_t]]="",tblMovement[[#This Row],[Grade_gpt]]=""),0,tblMovement[[#This Row],[Tonnes_t]]*tblMovement[[#This Row],[Grade_gpt]]/cfg_TroyOz)</f>
        <v/>
      </c>
      <c r="O2841" s="59">
        <f>IF(tblMovement[[#This Row],[Is_Ore]]=1,tblMovement[[#This Row],[Contained_oz]],0)</f>
        <v/>
      </c>
    </row>
    <row r="2842">
      <c r="A2842" s="54" t="n"/>
      <c r="B2842" s="61" t="n"/>
      <c r="C2842" s="61" t="n"/>
      <c r="D2842" s="61" t="n"/>
      <c r="E2842" s="61" t="n"/>
      <c r="F2842" s="55" t="n"/>
      <c r="G2842" s="56" t="n"/>
      <c r="H2842" s="55" t="n"/>
      <c r="I2842" s="62" t="n"/>
      <c r="J2842" s="58" t="n"/>
      <c r="K2842" s="63">
        <f>IF(tblMovement[[#This Row],[Source]]="","",IFERROR(INDEX(tblSources[Type],MATCH(tblMovement[[#This Row],[Source]],tblSources[Source],0)),"?"))</f>
        <v/>
      </c>
      <c r="L2842" s="63">
        <f>IF(tblMovement[[#This Row],[Destination]]="","",IFERROR(INDEX(tblDestinations[Type],MATCH(tblMovement[[#This Row],[Destination]],tblDestinations[Destination],0)),"?"))</f>
        <v/>
      </c>
      <c r="M2842" s="64">
        <f>IF(tblMovement[[#This Row],[Material]]="","",IF(LEFT(tblMovement[[#This Row],[Material]],3)="Ore",1,0))</f>
        <v/>
      </c>
      <c r="N2842" s="59">
        <f>IF(OR(tblMovement[[#This Row],[Tonnes_t]]="",tblMovement[[#This Row],[Grade_gpt]]=""),0,tblMovement[[#This Row],[Tonnes_t]]*tblMovement[[#This Row],[Grade_gpt]]/cfg_TroyOz)</f>
        <v/>
      </c>
      <c r="O2842" s="59">
        <f>IF(tblMovement[[#This Row],[Is_Ore]]=1,tblMovement[[#This Row],[Contained_oz]],0)</f>
        <v/>
      </c>
    </row>
    <row r="2843">
      <c r="A2843" s="54" t="n"/>
      <c r="B2843" s="61" t="n"/>
      <c r="C2843" s="61" t="n"/>
      <c r="D2843" s="61" t="n"/>
      <c r="E2843" s="61" t="n"/>
      <c r="F2843" s="55" t="n"/>
      <c r="G2843" s="56" t="n"/>
      <c r="H2843" s="55" t="n"/>
      <c r="I2843" s="62" t="n"/>
      <c r="J2843" s="58" t="n"/>
      <c r="K2843" s="63">
        <f>IF(tblMovement[[#This Row],[Source]]="","",IFERROR(INDEX(tblSources[Type],MATCH(tblMovement[[#This Row],[Source]],tblSources[Source],0)),"?"))</f>
        <v/>
      </c>
      <c r="L2843" s="63">
        <f>IF(tblMovement[[#This Row],[Destination]]="","",IFERROR(INDEX(tblDestinations[Type],MATCH(tblMovement[[#This Row],[Destination]],tblDestinations[Destination],0)),"?"))</f>
        <v/>
      </c>
      <c r="M2843" s="64">
        <f>IF(tblMovement[[#This Row],[Material]]="","",IF(LEFT(tblMovement[[#This Row],[Material]],3)="Ore",1,0))</f>
        <v/>
      </c>
      <c r="N2843" s="59">
        <f>IF(OR(tblMovement[[#This Row],[Tonnes_t]]="",tblMovement[[#This Row],[Grade_gpt]]=""),0,tblMovement[[#This Row],[Tonnes_t]]*tblMovement[[#This Row],[Grade_gpt]]/cfg_TroyOz)</f>
        <v/>
      </c>
      <c r="O2843" s="59">
        <f>IF(tblMovement[[#This Row],[Is_Ore]]=1,tblMovement[[#This Row],[Contained_oz]],0)</f>
        <v/>
      </c>
    </row>
    <row r="2844">
      <c r="A2844" s="54" t="n"/>
      <c r="B2844" s="61" t="n"/>
      <c r="C2844" s="61" t="n"/>
      <c r="D2844" s="61" t="n"/>
      <c r="E2844" s="61" t="n"/>
      <c r="F2844" s="55" t="n"/>
      <c r="G2844" s="56" t="n"/>
      <c r="H2844" s="55" t="n"/>
      <c r="I2844" s="62" t="n"/>
      <c r="J2844" s="58" t="n"/>
      <c r="K2844" s="63">
        <f>IF(tblMovement[[#This Row],[Source]]="","",IFERROR(INDEX(tblSources[Type],MATCH(tblMovement[[#This Row],[Source]],tblSources[Source],0)),"?"))</f>
        <v/>
      </c>
      <c r="L2844" s="63">
        <f>IF(tblMovement[[#This Row],[Destination]]="","",IFERROR(INDEX(tblDestinations[Type],MATCH(tblMovement[[#This Row],[Destination]],tblDestinations[Destination],0)),"?"))</f>
        <v/>
      </c>
      <c r="M2844" s="64">
        <f>IF(tblMovement[[#This Row],[Material]]="","",IF(LEFT(tblMovement[[#This Row],[Material]],3)="Ore",1,0))</f>
        <v/>
      </c>
      <c r="N2844" s="59">
        <f>IF(OR(tblMovement[[#This Row],[Tonnes_t]]="",tblMovement[[#This Row],[Grade_gpt]]=""),0,tblMovement[[#This Row],[Tonnes_t]]*tblMovement[[#This Row],[Grade_gpt]]/cfg_TroyOz)</f>
        <v/>
      </c>
      <c r="O2844" s="59">
        <f>IF(tblMovement[[#This Row],[Is_Ore]]=1,tblMovement[[#This Row],[Contained_oz]],0)</f>
        <v/>
      </c>
    </row>
    <row r="2845">
      <c r="A2845" s="54" t="n"/>
      <c r="B2845" s="61" t="n"/>
      <c r="C2845" s="61" t="n"/>
      <c r="D2845" s="61" t="n"/>
      <c r="E2845" s="61" t="n"/>
      <c r="F2845" s="55" t="n"/>
      <c r="G2845" s="56" t="n"/>
      <c r="H2845" s="55" t="n"/>
      <c r="I2845" s="62" t="n"/>
      <c r="J2845" s="58" t="n"/>
      <c r="K2845" s="63">
        <f>IF(tblMovement[[#This Row],[Source]]="","",IFERROR(INDEX(tblSources[Type],MATCH(tblMovement[[#This Row],[Source]],tblSources[Source],0)),"?"))</f>
        <v/>
      </c>
      <c r="L2845" s="63">
        <f>IF(tblMovement[[#This Row],[Destination]]="","",IFERROR(INDEX(tblDestinations[Type],MATCH(tblMovement[[#This Row],[Destination]],tblDestinations[Destination],0)),"?"))</f>
        <v/>
      </c>
      <c r="M2845" s="64">
        <f>IF(tblMovement[[#This Row],[Material]]="","",IF(LEFT(tblMovement[[#This Row],[Material]],3)="Ore",1,0))</f>
        <v/>
      </c>
      <c r="N2845" s="59">
        <f>IF(OR(tblMovement[[#This Row],[Tonnes_t]]="",tblMovement[[#This Row],[Grade_gpt]]=""),0,tblMovement[[#This Row],[Tonnes_t]]*tblMovement[[#This Row],[Grade_gpt]]/cfg_TroyOz)</f>
        <v/>
      </c>
      <c r="O2845" s="59">
        <f>IF(tblMovement[[#This Row],[Is_Ore]]=1,tblMovement[[#This Row],[Contained_oz]],0)</f>
        <v/>
      </c>
    </row>
    <row r="2846">
      <c r="A2846" s="54" t="n"/>
      <c r="B2846" s="61" t="n"/>
      <c r="C2846" s="61" t="n"/>
      <c r="D2846" s="61" t="n"/>
      <c r="E2846" s="61" t="n"/>
      <c r="F2846" s="55" t="n"/>
      <c r="G2846" s="56" t="n"/>
      <c r="H2846" s="55" t="n"/>
      <c r="I2846" s="62" t="n"/>
      <c r="J2846" s="58" t="n"/>
      <c r="K2846" s="63">
        <f>IF(tblMovement[[#This Row],[Source]]="","",IFERROR(INDEX(tblSources[Type],MATCH(tblMovement[[#This Row],[Source]],tblSources[Source],0)),"?"))</f>
        <v/>
      </c>
      <c r="L2846" s="63">
        <f>IF(tblMovement[[#This Row],[Destination]]="","",IFERROR(INDEX(tblDestinations[Type],MATCH(tblMovement[[#This Row],[Destination]],tblDestinations[Destination],0)),"?"))</f>
        <v/>
      </c>
      <c r="M2846" s="64">
        <f>IF(tblMovement[[#This Row],[Material]]="","",IF(LEFT(tblMovement[[#This Row],[Material]],3)="Ore",1,0))</f>
        <v/>
      </c>
      <c r="N2846" s="59">
        <f>IF(OR(tblMovement[[#This Row],[Tonnes_t]]="",tblMovement[[#This Row],[Grade_gpt]]=""),0,tblMovement[[#This Row],[Tonnes_t]]*tblMovement[[#This Row],[Grade_gpt]]/cfg_TroyOz)</f>
        <v/>
      </c>
      <c r="O2846" s="59">
        <f>IF(tblMovement[[#This Row],[Is_Ore]]=1,tblMovement[[#This Row],[Contained_oz]],0)</f>
        <v/>
      </c>
    </row>
    <row r="2847">
      <c r="A2847" s="54" t="n"/>
      <c r="B2847" s="61" t="n"/>
      <c r="C2847" s="61" t="n"/>
      <c r="D2847" s="61" t="n"/>
      <c r="E2847" s="61" t="n"/>
      <c r="F2847" s="55" t="n"/>
      <c r="G2847" s="56" t="n"/>
      <c r="H2847" s="55" t="n"/>
      <c r="I2847" s="62" t="n"/>
      <c r="J2847" s="58" t="n"/>
      <c r="K2847" s="63">
        <f>IF(tblMovement[[#This Row],[Source]]="","",IFERROR(INDEX(tblSources[Type],MATCH(tblMovement[[#This Row],[Source]],tblSources[Source],0)),"?"))</f>
        <v/>
      </c>
      <c r="L2847" s="63">
        <f>IF(tblMovement[[#This Row],[Destination]]="","",IFERROR(INDEX(tblDestinations[Type],MATCH(tblMovement[[#This Row],[Destination]],tblDestinations[Destination],0)),"?"))</f>
        <v/>
      </c>
      <c r="M2847" s="64">
        <f>IF(tblMovement[[#This Row],[Material]]="","",IF(LEFT(tblMovement[[#This Row],[Material]],3)="Ore",1,0))</f>
        <v/>
      </c>
      <c r="N2847" s="59">
        <f>IF(OR(tblMovement[[#This Row],[Tonnes_t]]="",tblMovement[[#This Row],[Grade_gpt]]=""),0,tblMovement[[#This Row],[Tonnes_t]]*tblMovement[[#This Row],[Grade_gpt]]/cfg_TroyOz)</f>
        <v/>
      </c>
      <c r="O2847" s="59">
        <f>IF(tblMovement[[#This Row],[Is_Ore]]=1,tblMovement[[#This Row],[Contained_oz]],0)</f>
        <v/>
      </c>
    </row>
    <row r="2848">
      <c r="A2848" s="54" t="n"/>
      <c r="B2848" s="61" t="n"/>
      <c r="C2848" s="61" t="n"/>
      <c r="D2848" s="61" t="n"/>
      <c r="E2848" s="61" t="n"/>
      <c r="F2848" s="55" t="n"/>
      <c r="G2848" s="56" t="n"/>
      <c r="H2848" s="55" t="n"/>
      <c r="I2848" s="62" t="n"/>
      <c r="J2848" s="58" t="n"/>
      <c r="K2848" s="63">
        <f>IF(tblMovement[[#This Row],[Source]]="","",IFERROR(INDEX(tblSources[Type],MATCH(tblMovement[[#This Row],[Source]],tblSources[Source],0)),"?"))</f>
        <v/>
      </c>
      <c r="L2848" s="63">
        <f>IF(tblMovement[[#This Row],[Destination]]="","",IFERROR(INDEX(tblDestinations[Type],MATCH(tblMovement[[#This Row],[Destination]],tblDestinations[Destination],0)),"?"))</f>
        <v/>
      </c>
      <c r="M2848" s="64">
        <f>IF(tblMovement[[#This Row],[Material]]="","",IF(LEFT(tblMovement[[#This Row],[Material]],3)="Ore",1,0))</f>
        <v/>
      </c>
      <c r="N2848" s="59">
        <f>IF(OR(tblMovement[[#This Row],[Tonnes_t]]="",tblMovement[[#This Row],[Grade_gpt]]=""),0,tblMovement[[#This Row],[Tonnes_t]]*tblMovement[[#This Row],[Grade_gpt]]/cfg_TroyOz)</f>
        <v/>
      </c>
      <c r="O2848" s="59">
        <f>IF(tblMovement[[#This Row],[Is_Ore]]=1,tblMovement[[#This Row],[Contained_oz]],0)</f>
        <v/>
      </c>
    </row>
    <row r="2849">
      <c r="A2849" s="54" t="n"/>
      <c r="B2849" s="61" t="n"/>
      <c r="C2849" s="61" t="n"/>
      <c r="D2849" s="61" t="n"/>
      <c r="E2849" s="61" t="n"/>
      <c r="F2849" s="55" t="n"/>
      <c r="G2849" s="56" t="n"/>
      <c r="H2849" s="55" t="n"/>
      <c r="I2849" s="62" t="n"/>
      <c r="J2849" s="58" t="n"/>
      <c r="K2849" s="63">
        <f>IF(tblMovement[[#This Row],[Source]]="","",IFERROR(INDEX(tblSources[Type],MATCH(tblMovement[[#This Row],[Source]],tblSources[Source],0)),"?"))</f>
        <v/>
      </c>
      <c r="L2849" s="63">
        <f>IF(tblMovement[[#This Row],[Destination]]="","",IFERROR(INDEX(tblDestinations[Type],MATCH(tblMovement[[#This Row],[Destination]],tblDestinations[Destination],0)),"?"))</f>
        <v/>
      </c>
      <c r="M2849" s="64">
        <f>IF(tblMovement[[#This Row],[Material]]="","",IF(LEFT(tblMovement[[#This Row],[Material]],3)="Ore",1,0))</f>
        <v/>
      </c>
      <c r="N2849" s="59">
        <f>IF(OR(tblMovement[[#This Row],[Tonnes_t]]="",tblMovement[[#This Row],[Grade_gpt]]=""),0,tblMovement[[#This Row],[Tonnes_t]]*tblMovement[[#This Row],[Grade_gpt]]/cfg_TroyOz)</f>
        <v/>
      </c>
      <c r="O2849" s="59">
        <f>IF(tblMovement[[#This Row],[Is_Ore]]=1,tblMovement[[#This Row],[Contained_oz]],0)</f>
        <v/>
      </c>
    </row>
    <row r="2850">
      <c r="A2850" s="54" t="n"/>
      <c r="B2850" s="61" t="n"/>
      <c r="C2850" s="61" t="n"/>
      <c r="D2850" s="61" t="n"/>
      <c r="E2850" s="61" t="n"/>
      <c r="F2850" s="55" t="n"/>
      <c r="G2850" s="56" t="n"/>
      <c r="H2850" s="55" t="n"/>
      <c r="I2850" s="62" t="n"/>
      <c r="J2850" s="58" t="n"/>
      <c r="K2850" s="63">
        <f>IF(tblMovement[[#This Row],[Source]]="","",IFERROR(INDEX(tblSources[Type],MATCH(tblMovement[[#This Row],[Source]],tblSources[Source],0)),"?"))</f>
        <v/>
      </c>
      <c r="L2850" s="63">
        <f>IF(tblMovement[[#This Row],[Destination]]="","",IFERROR(INDEX(tblDestinations[Type],MATCH(tblMovement[[#This Row],[Destination]],tblDestinations[Destination],0)),"?"))</f>
        <v/>
      </c>
      <c r="M2850" s="64">
        <f>IF(tblMovement[[#This Row],[Material]]="","",IF(LEFT(tblMovement[[#This Row],[Material]],3)="Ore",1,0))</f>
        <v/>
      </c>
      <c r="N2850" s="59">
        <f>IF(OR(tblMovement[[#This Row],[Tonnes_t]]="",tblMovement[[#This Row],[Grade_gpt]]=""),0,tblMovement[[#This Row],[Tonnes_t]]*tblMovement[[#This Row],[Grade_gpt]]/cfg_TroyOz)</f>
        <v/>
      </c>
      <c r="O2850" s="59">
        <f>IF(tblMovement[[#This Row],[Is_Ore]]=1,tblMovement[[#This Row],[Contained_oz]],0)</f>
        <v/>
      </c>
    </row>
    <row r="2851">
      <c r="A2851" s="54" t="n"/>
      <c r="B2851" s="61" t="n"/>
      <c r="C2851" s="61" t="n"/>
      <c r="D2851" s="61" t="n"/>
      <c r="E2851" s="61" t="n"/>
      <c r="F2851" s="55" t="n"/>
      <c r="G2851" s="56" t="n"/>
      <c r="H2851" s="55" t="n"/>
      <c r="I2851" s="62" t="n"/>
      <c r="J2851" s="58" t="n"/>
      <c r="K2851" s="63">
        <f>IF(tblMovement[[#This Row],[Source]]="","",IFERROR(INDEX(tblSources[Type],MATCH(tblMovement[[#This Row],[Source]],tblSources[Source],0)),"?"))</f>
        <v/>
      </c>
      <c r="L2851" s="63">
        <f>IF(tblMovement[[#This Row],[Destination]]="","",IFERROR(INDEX(tblDestinations[Type],MATCH(tblMovement[[#This Row],[Destination]],tblDestinations[Destination],0)),"?"))</f>
        <v/>
      </c>
      <c r="M2851" s="64">
        <f>IF(tblMovement[[#This Row],[Material]]="","",IF(LEFT(tblMovement[[#This Row],[Material]],3)="Ore",1,0))</f>
        <v/>
      </c>
      <c r="N2851" s="59">
        <f>IF(OR(tblMovement[[#This Row],[Tonnes_t]]="",tblMovement[[#This Row],[Grade_gpt]]=""),0,tblMovement[[#This Row],[Tonnes_t]]*tblMovement[[#This Row],[Grade_gpt]]/cfg_TroyOz)</f>
        <v/>
      </c>
      <c r="O2851" s="59">
        <f>IF(tblMovement[[#This Row],[Is_Ore]]=1,tblMovement[[#This Row],[Contained_oz]],0)</f>
        <v/>
      </c>
    </row>
    <row r="2852">
      <c r="A2852" s="54" t="n"/>
      <c r="B2852" s="61" t="n"/>
      <c r="C2852" s="61" t="n"/>
      <c r="D2852" s="61" t="n"/>
      <c r="E2852" s="61" t="n"/>
      <c r="F2852" s="55" t="n"/>
      <c r="G2852" s="56" t="n"/>
      <c r="H2852" s="55" t="n"/>
      <c r="I2852" s="62" t="n"/>
      <c r="J2852" s="58" t="n"/>
      <c r="K2852" s="63">
        <f>IF(tblMovement[[#This Row],[Source]]="","",IFERROR(INDEX(tblSources[Type],MATCH(tblMovement[[#This Row],[Source]],tblSources[Source],0)),"?"))</f>
        <v/>
      </c>
      <c r="L2852" s="63">
        <f>IF(tblMovement[[#This Row],[Destination]]="","",IFERROR(INDEX(tblDestinations[Type],MATCH(tblMovement[[#This Row],[Destination]],tblDestinations[Destination],0)),"?"))</f>
        <v/>
      </c>
      <c r="M2852" s="64">
        <f>IF(tblMovement[[#This Row],[Material]]="","",IF(LEFT(tblMovement[[#This Row],[Material]],3)="Ore",1,0))</f>
        <v/>
      </c>
      <c r="N2852" s="59">
        <f>IF(OR(tblMovement[[#This Row],[Tonnes_t]]="",tblMovement[[#This Row],[Grade_gpt]]=""),0,tblMovement[[#This Row],[Tonnes_t]]*tblMovement[[#This Row],[Grade_gpt]]/cfg_TroyOz)</f>
        <v/>
      </c>
      <c r="O2852" s="59">
        <f>IF(tblMovement[[#This Row],[Is_Ore]]=1,tblMovement[[#This Row],[Contained_oz]],0)</f>
        <v/>
      </c>
    </row>
    <row r="2853">
      <c r="A2853" s="54" t="n"/>
      <c r="B2853" s="61" t="n"/>
      <c r="C2853" s="61" t="n"/>
      <c r="D2853" s="61" t="n"/>
      <c r="E2853" s="61" t="n"/>
      <c r="F2853" s="55" t="n"/>
      <c r="G2853" s="56" t="n"/>
      <c r="H2853" s="55" t="n"/>
      <c r="I2853" s="62" t="n"/>
      <c r="J2853" s="58" t="n"/>
      <c r="K2853" s="63">
        <f>IF(tblMovement[[#This Row],[Source]]="","",IFERROR(INDEX(tblSources[Type],MATCH(tblMovement[[#This Row],[Source]],tblSources[Source],0)),"?"))</f>
        <v/>
      </c>
      <c r="L2853" s="63">
        <f>IF(tblMovement[[#This Row],[Destination]]="","",IFERROR(INDEX(tblDestinations[Type],MATCH(tblMovement[[#This Row],[Destination]],tblDestinations[Destination],0)),"?"))</f>
        <v/>
      </c>
      <c r="M2853" s="64">
        <f>IF(tblMovement[[#This Row],[Material]]="","",IF(LEFT(tblMovement[[#This Row],[Material]],3)="Ore",1,0))</f>
        <v/>
      </c>
      <c r="N2853" s="59">
        <f>IF(OR(tblMovement[[#This Row],[Tonnes_t]]="",tblMovement[[#This Row],[Grade_gpt]]=""),0,tblMovement[[#This Row],[Tonnes_t]]*tblMovement[[#This Row],[Grade_gpt]]/cfg_TroyOz)</f>
        <v/>
      </c>
      <c r="O2853" s="59">
        <f>IF(tblMovement[[#This Row],[Is_Ore]]=1,tblMovement[[#This Row],[Contained_oz]],0)</f>
        <v/>
      </c>
    </row>
    <row r="2854">
      <c r="A2854" s="54" t="n"/>
      <c r="B2854" s="61" t="n"/>
      <c r="C2854" s="61" t="n"/>
      <c r="D2854" s="61" t="n"/>
      <c r="E2854" s="61" t="n"/>
      <c r="F2854" s="55" t="n"/>
      <c r="G2854" s="56" t="n"/>
      <c r="H2854" s="55" t="n"/>
      <c r="I2854" s="62" t="n"/>
      <c r="J2854" s="58" t="n"/>
      <c r="K2854" s="63">
        <f>IF(tblMovement[[#This Row],[Source]]="","",IFERROR(INDEX(tblSources[Type],MATCH(tblMovement[[#This Row],[Source]],tblSources[Source],0)),"?"))</f>
        <v/>
      </c>
      <c r="L2854" s="63">
        <f>IF(tblMovement[[#This Row],[Destination]]="","",IFERROR(INDEX(tblDestinations[Type],MATCH(tblMovement[[#This Row],[Destination]],tblDestinations[Destination],0)),"?"))</f>
        <v/>
      </c>
      <c r="M2854" s="64">
        <f>IF(tblMovement[[#This Row],[Material]]="","",IF(LEFT(tblMovement[[#This Row],[Material]],3)="Ore",1,0))</f>
        <v/>
      </c>
      <c r="N2854" s="59">
        <f>IF(OR(tblMovement[[#This Row],[Tonnes_t]]="",tblMovement[[#This Row],[Grade_gpt]]=""),0,tblMovement[[#This Row],[Tonnes_t]]*tblMovement[[#This Row],[Grade_gpt]]/cfg_TroyOz)</f>
        <v/>
      </c>
      <c r="O2854" s="59">
        <f>IF(tblMovement[[#This Row],[Is_Ore]]=1,tblMovement[[#This Row],[Contained_oz]],0)</f>
        <v/>
      </c>
    </row>
    <row r="2855">
      <c r="A2855" s="54" t="n"/>
      <c r="B2855" s="61" t="n"/>
      <c r="C2855" s="61" t="n"/>
      <c r="D2855" s="61" t="n"/>
      <c r="E2855" s="61" t="n"/>
      <c r="F2855" s="55" t="n"/>
      <c r="G2855" s="56" t="n"/>
      <c r="H2855" s="55" t="n"/>
      <c r="I2855" s="62" t="n"/>
      <c r="J2855" s="58" t="n"/>
      <c r="K2855" s="63">
        <f>IF(tblMovement[[#This Row],[Source]]="","",IFERROR(INDEX(tblSources[Type],MATCH(tblMovement[[#This Row],[Source]],tblSources[Source],0)),"?"))</f>
        <v/>
      </c>
      <c r="L2855" s="63">
        <f>IF(tblMovement[[#This Row],[Destination]]="","",IFERROR(INDEX(tblDestinations[Type],MATCH(tblMovement[[#This Row],[Destination]],tblDestinations[Destination],0)),"?"))</f>
        <v/>
      </c>
      <c r="M2855" s="64">
        <f>IF(tblMovement[[#This Row],[Material]]="","",IF(LEFT(tblMovement[[#This Row],[Material]],3)="Ore",1,0))</f>
        <v/>
      </c>
      <c r="N2855" s="59">
        <f>IF(OR(tblMovement[[#This Row],[Tonnes_t]]="",tblMovement[[#This Row],[Grade_gpt]]=""),0,tblMovement[[#This Row],[Tonnes_t]]*tblMovement[[#This Row],[Grade_gpt]]/cfg_TroyOz)</f>
        <v/>
      </c>
      <c r="O2855" s="59">
        <f>IF(tblMovement[[#This Row],[Is_Ore]]=1,tblMovement[[#This Row],[Contained_oz]],0)</f>
        <v/>
      </c>
    </row>
    <row r="2856">
      <c r="A2856" s="54" t="n"/>
      <c r="B2856" s="61" t="n"/>
      <c r="C2856" s="61" t="n"/>
      <c r="D2856" s="61" t="n"/>
      <c r="E2856" s="61" t="n"/>
      <c r="F2856" s="55" t="n"/>
      <c r="G2856" s="56" t="n"/>
      <c r="H2856" s="55" t="n"/>
      <c r="I2856" s="62" t="n"/>
      <c r="J2856" s="58" t="n"/>
      <c r="K2856" s="63">
        <f>IF(tblMovement[[#This Row],[Source]]="","",IFERROR(INDEX(tblSources[Type],MATCH(tblMovement[[#This Row],[Source]],tblSources[Source],0)),"?"))</f>
        <v/>
      </c>
      <c r="L2856" s="63">
        <f>IF(tblMovement[[#This Row],[Destination]]="","",IFERROR(INDEX(tblDestinations[Type],MATCH(tblMovement[[#This Row],[Destination]],tblDestinations[Destination],0)),"?"))</f>
        <v/>
      </c>
      <c r="M2856" s="64">
        <f>IF(tblMovement[[#This Row],[Material]]="","",IF(LEFT(tblMovement[[#This Row],[Material]],3)="Ore",1,0))</f>
        <v/>
      </c>
      <c r="N2856" s="59">
        <f>IF(OR(tblMovement[[#This Row],[Tonnes_t]]="",tblMovement[[#This Row],[Grade_gpt]]=""),0,tblMovement[[#This Row],[Tonnes_t]]*tblMovement[[#This Row],[Grade_gpt]]/cfg_TroyOz)</f>
        <v/>
      </c>
      <c r="O2856" s="59">
        <f>IF(tblMovement[[#This Row],[Is_Ore]]=1,tblMovement[[#This Row],[Contained_oz]],0)</f>
        <v/>
      </c>
    </row>
    <row r="2857">
      <c r="A2857" s="54" t="n"/>
      <c r="B2857" s="61" t="n"/>
      <c r="C2857" s="61" t="n"/>
      <c r="D2857" s="61" t="n"/>
      <c r="E2857" s="61" t="n"/>
      <c r="F2857" s="55" t="n"/>
      <c r="G2857" s="56" t="n"/>
      <c r="H2857" s="55" t="n"/>
      <c r="I2857" s="62" t="n"/>
      <c r="J2857" s="58" t="n"/>
      <c r="K2857" s="63">
        <f>IF(tblMovement[[#This Row],[Source]]="","",IFERROR(INDEX(tblSources[Type],MATCH(tblMovement[[#This Row],[Source]],tblSources[Source],0)),"?"))</f>
        <v/>
      </c>
      <c r="L2857" s="63">
        <f>IF(tblMovement[[#This Row],[Destination]]="","",IFERROR(INDEX(tblDestinations[Type],MATCH(tblMovement[[#This Row],[Destination]],tblDestinations[Destination],0)),"?"))</f>
        <v/>
      </c>
      <c r="M2857" s="64">
        <f>IF(tblMovement[[#This Row],[Material]]="","",IF(LEFT(tblMovement[[#This Row],[Material]],3)="Ore",1,0))</f>
        <v/>
      </c>
      <c r="N2857" s="59">
        <f>IF(OR(tblMovement[[#This Row],[Tonnes_t]]="",tblMovement[[#This Row],[Grade_gpt]]=""),0,tblMovement[[#This Row],[Tonnes_t]]*tblMovement[[#This Row],[Grade_gpt]]/cfg_TroyOz)</f>
        <v/>
      </c>
      <c r="O2857" s="59">
        <f>IF(tblMovement[[#This Row],[Is_Ore]]=1,tblMovement[[#This Row],[Contained_oz]],0)</f>
        <v/>
      </c>
    </row>
    <row r="2858">
      <c r="A2858" s="54" t="n"/>
      <c r="B2858" s="61" t="n"/>
      <c r="C2858" s="61" t="n"/>
      <c r="D2858" s="61" t="n"/>
      <c r="E2858" s="61" t="n"/>
      <c r="F2858" s="55" t="n"/>
      <c r="G2858" s="56" t="n"/>
      <c r="H2858" s="55" t="n"/>
      <c r="I2858" s="62" t="n"/>
      <c r="J2858" s="58" t="n"/>
      <c r="K2858" s="63">
        <f>IF(tblMovement[[#This Row],[Source]]="","",IFERROR(INDEX(tblSources[Type],MATCH(tblMovement[[#This Row],[Source]],tblSources[Source],0)),"?"))</f>
        <v/>
      </c>
      <c r="L2858" s="63">
        <f>IF(tblMovement[[#This Row],[Destination]]="","",IFERROR(INDEX(tblDestinations[Type],MATCH(tblMovement[[#This Row],[Destination]],tblDestinations[Destination],0)),"?"))</f>
        <v/>
      </c>
      <c r="M2858" s="64">
        <f>IF(tblMovement[[#This Row],[Material]]="","",IF(LEFT(tblMovement[[#This Row],[Material]],3)="Ore",1,0))</f>
        <v/>
      </c>
      <c r="N2858" s="59">
        <f>IF(OR(tblMovement[[#This Row],[Tonnes_t]]="",tblMovement[[#This Row],[Grade_gpt]]=""),0,tblMovement[[#This Row],[Tonnes_t]]*tblMovement[[#This Row],[Grade_gpt]]/cfg_TroyOz)</f>
        <v/>
      </c>
      <c r="O2858" s="59">
        <f>IF(tblMovement[[#This Row],[Is_Ore]]=1,tblMovement[[#This Row],[Contained_oz]],0)</f>
        <v/>
      </c>
    </row>
    <row r="2859">
      <c r="A2859" s="54" t="n"/>
      <c r="B2859" s="61" t="n"/>
      <c r="C2859" s="61" t="n"/>
      <c r="D2859" s="61" t="n"/>
      <c r="E2859" s="61" t="n"/>
      <c r="F2859" s="55" t="n"/>
      <c r="G2859" s="56" t="n"/>
      <c r="H2859" s="55" t="n"/>
      <c r="I2859" s="62" t="n"/>
      <c r="J2859" s="58" t="n"/>
      <c r="K2859" s="63">
        <f>IF(tblMovement[[#This Row],[Source]]="","",IFERROR(INDEX(tblSources[Type],MATCH(tblMovement[[#This Row],[Source]],tblSources[Source],0)),"?"))</f>
        <v/>
      </c>
      <c r="L2859" s="63">
        <f>IF(tblMovement[[#This Row],[Destination]]="","",IFERROR(INDEX(tblDestinations[Type],MATCH(tblMovement[[#This Row],[Destination]],tblDestinations[Destination],0)),"?"))</f>
        <v/>
      </c>
      <c r="M2859" s="64">
        <f>IF(tblMovement[[#This Row],[Material]]="","",IF(LEFT(tblMovement[[#This Row],[Material]],3)="Ore",1,0))</f>
        <v/>
      </c>
      <c r="N2859" s="59">
        <f>IF(OR(tblMovement[[#This Row],[Tonnes_t]]="",tblMovement[[#This Row],[Grade_gpt]]=""),0,tblMovement[[#This Row],[Tonnes_t]]*tblMovement[[#This Row],[Grade_gpt]]/cfg_TroyOz)</f>
        <v/>
      </c>
      <c r="O2859" s="59">
        <f>IF(tblMovement[[#This Row],[Is_Ore]]=1,tblMovement[[#This Row],[Contained_oz]],0)</f>
        <v/>
      </c>
    </row>
    <row r="2860">
      <c r="A2860" s="54" t="n"/>
      <c r="B2860" s="61" t="n"/>
      <c r="C2860" s="61" t="n"/>
      <c r="D2860" s="61" t="n"/>
      <c r="E2860" s="61" t="n"/>
      <c r="F2860" s="55" t="n"/>
      <c r="G2860" s="56" t="n"/>
      <c r="H2860" s="55" t="n"/>
      <c r="I2860" s="62" t="n"/>
      <c r="J2860" s="58" t="n"/>
      <c r="K2860" s="63">
        <f>IF(tblMovement[[#This Row],[Source]]="","",IFERROR(INDEX(tblSources[Type],MATCH(tblMovement[[#This Row],[Source]],tblSources[Source],0)),"?"))</f>
        <v/>
      </c>
      <c r="L2860" s="63">
        <f>IF(tblMovement[[#This Row],[Destination]]="","",IFERROR(INDEX(tblDestinations[Type],MATCH(tblMovement[[#This Row],[Destination]],tblDestinations[Destination],0)),"?"))</f>
        <v/>
      </c>
      <c r="M2860" s="64">
        <f>IF(tblMovement[[#This Row],[Material]]="","",IF(LEFT(tblMovement[[#This Row],[Material]],3)="Ore",1,0))</f>
        <v/>
      </c>
      <c r="N2860" s="59">
        <f>IF(OR(tblMovement[[#This Row],[Tonnes_t]]="",tblMovement[[#This Row],[Grade_gpt]]=""),0,tblMovement[[#This Row],[Tonnes_t]]*tblMovement[[#This Row],[Grade_gpt]]/cfg_TroyOz)</f>
        <v/>
      </c>
      <c r="O2860" s="59">
        <f>IF(tblMovement[[#This Row],[Is_Ore]]=1,tblMovement[[#This Row],[Contained_oz]],0)</f>
        <v/>
      </c>
    </row>
    <row r="2861">
      <c r="A2861" s="54" t="n"/>
      <c r="B2861" s="61" t="n"/>
      <c r="C2861" s="61" t="n"/>
      <c r="D2861" s="61" t="n"/>
      <c r="E2861" s="61" t="n"/>
      <c r="F2861" s="55" t="n"/>
      <c r="G2861" s="56" t="n"/>
      <c r="H2861" s="55" t="n"/>
      <c r="I2861" s="62" t="n"/>
      <c r="J2861" s="58" t="n"/>
      <c r="K2861" s="63">
        <f>IF(tblMovement[[#This Row],[Source]]="","",IFERROR(INDEX(tblSources[Type],MATCH(tblMovement[[#This Row],[Source]],tblSources[Source],0)),"?"))</f>
        <v/>
      </c>
      <c r="L2861" s="63">
        <f>IF(tblMovement[[#This Row],[Destination]]="","",IFERROR(INDEX(tblDestinations[Type],MATCH(tblMovement[[#This Row],[Destination]],tblDestinations[Destination],0)),"?"))</f>
        <v/>
      </c>
      <c r="M2861" s="64">
        <f>IF(tblMovement[[#This Row],[Material]]="","",IF(LEFT(tblMovement[[#This Row],[Material]],3)="Ore",1,0))</f>
        <v/>
      </c>
      <c r="N2861" s="59">
        <f>IF(OR(tblMovement[[#This Row],[Tonnes_t]]="",tblMovement[[#This Row],[Grade_gpt]]=""),0,tblMovement[[#This Row],[Tonnes_t]]*tblMovement[[#This Row],[Grade_gpt]]/cfg_TroyOz)</f>
        <v/>
      </c>
      <c r="O2861" s="59">
        <f>IF(tblMovement[[#This Row],[Is_Ore]]=1,tblMovement[[#This Row],[Contained_oz]],0)</f>
        <v/>
      </c>
    </row>
    <row r="2862">
      <c r="A2862" s="54" t="n"/>
      <c r="B2862" s="61" t="n"/>
      <c r="C2862" s="61" t="n"/>
      <c r="D2862" s="61" t="n"/>
      <c r="E2862" s="61" t="n"/>
      <c r="F2862" s="55" t="n"/>
      <c r="G2862" s="56" t="n"/>
      <c r="H2862" s="55" t="n"/>
      <c r="I2862" s="62" t="n"/>
      <c r="J2862" s="58" t="n"/>
      <c r="K2862" s="63">
        <f>IF(tblMovement[[#This Row],[Source]]="","",IFERROR(INDEX(tblSources[Type],MATCH(tblMovement[[#This Row],[Source]],tblSources[Source],0)),"?"))</f>
        <v/>
      </c>
      <c r="L2862" s="63">
        <f>IF(tblMovement[[#This Row],[Destination]]="","",IFERROR(INDEX(tblDestinations[Type],MATCH(tblMovement[[#This Row],[Destination]],tblDestinations[Destination],0)),"?"))</f>
        <v/>
      </c>
      <c r="M2862" s="64">
        <f>IF(tblMovement[[#This Row],[Material]]="","",IF(LEFT(tblMovement[[#This Row],[Material]],3)="Ore",1,0))</f>
        <v/>
      </c>
      <c r="N2862" s="59">
        <f>IF(OR(tblMovement[[#This Row],[Tonnes_t]]="",tblMovement[[#This Row],[Grade_gpt]]=""),0,tblMovement[[#This Row],[Tonnes_t]]*tblMovement[[#This Row],[Grade_gpt]]/cfg_TroyOz)</f>
        <v/>
      </c>
      <c r="O2862" s="59">
        <f>IF(tblMovement[[#This Row],[Is_Ore]]=1,tblMovement[[#This Row],[Contained_oz]],0)</f>
        <v/>
      </c>
    </row>
    <row r="2863">
      <c r="A2863" s="54" t="n"/>
      <c r="B2863" s="61" t="n"/>
      <c r="C2863" s="61" t="n"/>
      <c r="D2863" s="61" t="n"/>
      <c r="E2863" s="61" t="n"/>
      <c r="F2863" s="55" t="n"/>
      <c r="G2863" s="56" t="n"/>
      <c r="H2863" s="55" t="n"/>
      <c r="I2863" s="62" t="n"/>
      <c r="J2863" s="58" t="n"/>
      <c r="K2863" s="63">
        <f>IF(tblMovement[[#This Row],[Source]]="","",IFERROR(INDEX(tblSources[Type],MATCH(tblMovement[[#This Row],[Source]],tblSources[Source],0)),"?"))</f>
        <v/>
      </c>
      <c r="L2863" s="63">
        <f>IF(tblMovement[[#This Row],[Destination]]="","",IFERROR(INDEX(tblDestinations[Type],MATCH(tblMovement[[#This Row],[Destination]],tblDestinations[Destination],0)),"?"))</f>
        <v/>
      </c>
      <c r="M2863" s="64">
        <f>IF(tblMovement[[#This Row],[Material]]="","",IF(LEFT(tblMovement[[#This Row],[Material]],3)="Ore",1,0))</f>
        <v/>
      </c>
      <c r="N2863" s="59">
        <f>IF(OR(tblMovement[[#This Row],[Tonnes_t]]="",tblMovement[[#This Row],[Grade_gpt]]=""),0,tblMovement[[#This Row],[Tonnes_t]]*tblMovement[[#This Row],[Grade_gpt]]/cfg_TroyOz)</f>
        <v/>
      </c>
      <c r="O2863" s="59">
        <f>IF(tblMovement[[#This Row],[Is_Ore]]=1,tblMovement[[#This Row],[Contained_oz]],0)</f>
        <v/>
      </c>
    </row>
    <row r="2864">
      <c r="A2864" s="54" t="n"/>
      <c r="B2864" s="61" t="n"/>
      <c r="C2864" s="61" t="n"/>
      <c r="D2864" s="61" t="n"/>
      <c r="E2864" s="61" t="n"/>
      <c r="F2864" s="55" t="n"/>
      <c r="G2864" s="56" t="n"/>
      <c r="H2864" s="55" t="n"/>
      <c r="I2864" s="62" t="n"/>
      <c r="J2864" s="58" t="n"/>
      <c r="K2864" s="63">
        <f>IF(tblMovement[[#This Row],[Source]]="","",IFERROR(INDEX(tblSources[Type],MATCH(tblMovement[[#This Row],[Source]],tblSources[Source],0)),"?"))</f>
        <v/>
      </c>
      <c r="L2864" s="63">
        <f>IF(tblMovement[[#This Row],[Destination]]="","",IFERROR(INDEX(tblDestinations[Type],MATCH(tblMovement[[#This Row],[Destination]],tblDestinations[Destination],0)),"?"))</f>
        <v/>
      </c>
      <c r="M2864" s="64">
        <f>IF(tblMovement[[#This Row],[Material]]="","",IF(LEFT(tblMovement[[#This Row],[Material]],3)="Ore",1,0))</f>
        <v/>
      </c>
      <c r="N2864" s="59">
        <f>IF(OR(tblMovement[[#This Row],[Tonnes_t]]="",tblMovement[[#This Row],[Grade_gpt]]=""),0,tblMovement[[#This Row],[Tonnes_t]]*tblMovement[[#This Row],[Grade_gpt]]/cfg_TroyOz)</f>
        <v/>
      </c>
      <c r="O2864" s="59">
        <f>IF(tblMovement[[#This Row],[Is_Ore]]=1,tblMovement[[#This Row],[Contained_oz]],0)</f>
        <v/>
      </c>
    </row>
    <row r="2865">
      <c r="A2865" s="54" t="n"/>
      <c r="B2865" s="61" t="n"/>
      <c r="C2865" s="61" t="n"/>
      <c r="D2865" s="61" t="n"/>
      <c r="E2865" s="61" t="n"/>
      <c r="F2865" s="55" t="n"/>
      <c r="G2865" s="56" t="n"/>
      <c r="H2865" s="55" t="n"/>
      <c r="I2865" s="62" t="n"/>
      <c r="J2865" s="58" t="n"/>
      <c r="K2865" s="63">
        <f>IF(tblMovement[[#This Row],[Source]]="","",IFERROR(INDEX(tblSources[Type],MATCH(tblMovement[[#This Row],[Source]],tblSources[Source],0)),"?"))</f>
        <v/>
      </c>
      <c r="L2865" s="63">
        <f>IF(tblMovement[[#This Row],[Destination]]="","",IFERROR(INDEX(tblDestinations[Type],MATCH(tblMovement[[#This Row],[Destination]],tblDestinations[Destination],0)),"?"))</f>
        <v/>
      </c>
      <c r="M2865" s="64">
        <f>IF(tblMovement[[#This Row],[Material]]="","",IF(LEFT(tblMovement[[#This Row],[Material]],3)="Ore",1,0))</f>
        <v/>
      </c>
      <c r="N2865" s="59">
        <f>IF(OR(tblMovement[[#This Row],[Tonnes_t]]="",tblMovement[[#This Row],[Grade_gpt]]=""),0,tblMovement[[#This Row],[Tonnes_t]]*tblMovement[[#This Row],[Grade_gpt]]/cfg_TroyOz)</f>
        <v/>
      </c>
      <c r="O2865" s="59">
        <f>IF(tblMovement[[#This Row],[Is_Ore]]=1,tblMovement[[#This Row],[Contained_oz]],0)</f>
        <v/>
      </c>
    </row>
    <row r="2866">
      <c r="A2866" s="54" t="n"/>
      <c r="B2866" s="61" t="n"/>
      <c r="C2866" s="61" t="n"/>
      <c r="D2866" s="61" t="n"/>
      <c r="E2866" s="61" t="n"/>
      <c r="F2866" s="55" t="n"/>
      <c r="G2866" s="56" t="n"/>
      <c r="H2866" s="55" t="n"/>
      <c r="I2866" s="62" t="n"/>
      <c r="J2866" s="58" t="n"/>
      <c r="K2866" s="63">
        <f>IF(tblMovement[[#This Row],[Source]]="","",IFERROR(INDEX(tblSources[Type],MATCH(tblMovement[[#This Row],[Source]],tblSources[Source],0)),"?"))</f>
        <v/>
      </c>
      <c r="L2866" s="63">
        <f>IF(tblMovement[[#This Row],[Destination]]="","",IFERROR(INDEX(tblDestinations[Type],MATCH(tblMovement[[#This Row],[Destination]],tblDestinations[Destination],0)),"?"))</f>
        <v/>
      </c>
      <c r="M2866" s="64">
        <f>IF(tblMovement[[#This Row],[Material]]="","",IF(LEFT(tblMovement[[#This Row],[Material]],3)="Ore",1,0))</f>
        <v/>
      </c>
      <c r="N2866" s="59">
        <f>IF(OR(tblMovement[[#This Row],[Tonnes_t]]="",tblMovement[[#This Row],[Grade_gpt]]=""),0,tblMovement[[#This Row],[Tonnes_t]]*tblMovement[[#This Row],[Grade_gpt]]/cfg_TroyOz)</f>
        <v/>
      </c>
      <c r="O2866" s="59">
        <f>IF(tblMovement[[#This Row],[Is_Ore]]=1,tblMovement[[#This Row],[Contained_oz]],0)</f>
        <v/>
      </c>
    </row>
    <row r="2867">
      <c r="A2867" s="54" t="n"/>
      <c r="B2867" s="61" t="n"/>
      <c r="C2867" s="61" t="n"/>
      <c r="D2867" s="61" t="n"/>
      <c r="E2867" s="61" t="n"/>
      <c r="F2867" s="55" t="n"/>
      <c r="G2867" s="56" t="n"/>
      <c r="H2867" s="55" t="n"/>
      <c r="I2867" s="62" t="n"/>
      <c r="J2867" s="58" t="n"/>
      <c r="K2867" s="63">
        <f>IF(tblMovement[[#This Row],[Source]]="","",IFERROR(INDEX(tblSources[Type],MATCH(tblMovement[[#This Row],[Source]],tblSources[Source],0)),"?"))</f>
        <v/>
      </c>
      <c r="L2867" s="63">
        <f>IF(tblMovement[[#This Row],[Destination]]="","",IFERROR(INDEX(tblDestinations[Type],MATCH(tblMovement[[#This Row],[Destination]],tblDestinations[Destination],0)),"?"))</f>
        <v/>
      </c>
      <c r="M2867" s="64">
        <f>IF(tblMovement[[#This Row],[Material]]="","",IF(LEFT(tblMovement[[#This Row],[Material]],3)="Ore",1,0))</f>
        <v/>
      </c>
      <c r="N2867" s="59">
        <f>IF(OR(tblMovement[[#This Row],[Tonnes_t]]="",tblMovement[[#This Row],[Grade_gpt]]=""),0,tblMovement[[#This Row],[Tonnes_t]]*tblMovement[[#This Row],[Grade_gpt]]/cfg_TroyOz)</f>
        <v/>
      </c>
      <c r="O2867" s="59">
        <f>IF(tblMovement[[#This Row],[Is_Ore]]=1,tblMovement[[#This Row],[Contained_oz]],0)</f>
        <v/>
      </c>
    </row>
    <row r="2868">
      <c r="A2868" s="54" t="n"/>
      <c r="B2868" s="61" t="n"/>
      <c r="C2868" s="61" t="n"/>
      <c r="D2868" s="61" t="n"/>
      <c r="E2868" s="61" t="n"/>
      <c r="F2868" s="55" t="n"/>
      <c r="G2868" s="56" t="n"/>
      <c r="H2868" s="55" t="n"/>
      <c r="I2868" s="62" t="n"/>
      <c r="J2868" s="58" t="n"/>
      <c r="K2868" s="63">
        <f>IF(tblMovement[[#This Row],[Source]]="","",IFERROR(INDEX(tblSources[Type],MATCH(tblMovement[[#This Row],[Source]],tblSources[Source],0)),"?"))</f>
        <v/>
      </c>
      <c r="L2868" s="63">
        <f>IF(tblMovement[[#This Row],[Destination]]="","",IFERROR(INDEX(tblDestinations[Type],MATCH(tblMovement[[#This Row],[Destination]],tblDestinations[Destination],0)),"?"))</f>
        <v/>
      </c>
      <c r="M2868" s="64">
        <f>IF(tblMovement[[#This Row],[Material]]="","",IF(LEFT(tblMovement[[#This Row],[Material]],3)="Ore",1,0))</f>
        <v/>
      </c>
      <c r="N2868" s="59">
        <f>IF(OR(tblMovement[[#This Row],[Tonnes_t]]="",tblMovement[[#This Row],[Grade_gpt]]=""),0,tblMovement[[#This Row],[Tonnes_t]]*tblMovement[[#This Row],[Grade_gpt]]/cfg_TroyOz)</f>
        <v/>
      </c>
      <c r="O2868" s="59">
        <f>IF(tblMovement[[#This Row],[Is_Ore]]=1,tblMovement[[#This Row],[Contained_oz]],0)</f>
        <v/>
      </c>
    </row>
    <row r="2869">
      <c r="A2869" s="54" t="n"/>
      <c r="B2869" s="61" t="n"/>
      <c r="C2869" s="61" t="n"/>
      <c r="D2869" s="61" t="n"/>
      <c r="E2869" s="61" t="n"/>
      <c r="F2869" s="55" t="n"/>
      <c r="G2869" s="56" t="n"/>
      <c r="H2869" s="55" t="n"/>
      <c r="I2869" s="62" t="n"/>
      <c r="J2869" s="58" t="n"/>
      <c r="K2869" s="63">
        <f>IF(tblMovement[[#This Row],[Source]]="","",IFERROR(INDEX(tblSources[Type],MATCH(tblMovement[[#This Row],[Source]],tblSources[Source],0)),"?"))</f>
        <v/>
      </c>
      <c r="L2869" s="63">
        <f>IF(tblMovement[[#This Row],[Destination]]="","",IFERROR(INDEX(tblDestinations[Type],MATCH(tblMovement[[#This Row],[Destination]],tblDestinations[Destination],0)),"?"))</f>
        <v/>
      </c>
      <c r="M2869" s="64">
        <f>IF(tblMovement[[#This Row],[Material]]="","",IF(LEFT(tblMovement[[#This Row],[Material]],3)="Ore",1,0))</f>
        <v/>
      </c>
      <c r="N2869" s="59">
        <f>IF(OR(tblMovement[[#This Row],[Tonnes_t]]="",tblMovement[[#This Row],[Grade_gpt]]=""),0,tblMovement[[#This Row],[Tonnes_t]]*tblMovement[[#This Row],[Grade_gpt]]/cfg_TroyOz)</f>
        <v/>
      </c>
      <c r="O2869" s="59">
        <f>IF(tblMovement[[#This Row],[Is_Ore]]=1,tblMovement[[#This Row],[Contained_oz]],0)</f>
        <v/>
      </c>
    </row>
    <row r="2870">
      <c r="A2870" s="54" t="n"/>
      <c r="B2870" s="61" t="n"/>
      <c r="C2870" s="61" t="n"/>
      <c r="D2870" s="61" t="n"/>
      <c r="E2870" s="61" t="n"/>
      <c r="F2870" s="55" t="n"/>
      <c r="G2870" s="56" t="n"/>
      <c r="H2870" s="55" t="n"/>
      <c r="I2870" s="62" t="n"/>
      <c r="J2870" s="58" t="n"/>
      <c r="K2870" s="63">
        <f>IF(tblMovement[[#This Row],[Source]]="","",IFERROR(INDEX(tblSources[Type],MATCH(tblMovement[[#This Row],[Source]],tblSources[Source],0)),"?"))</f>
        <v/>
      </c>
      <c r="L2870" s="63">
        <f>IF(tblMovement[[#This Row],[Destination]]="","",IFERROR(INDEX(tblDestinations[Type],MATCH(tblMovement[[#This Row],[Destination]],tblDestinations[Destination],0)),"?"))</f>
        <v/>
      </c>
      <c r="M2870" s="64">
        <f>IF(tblMovement[[#This Row],[Material]]="","",IF(LEFT(tblMovement[[#This Row],[Material]],3)="Ore",1,0))</f>
        <v/>
      </c>
      <c r="N2870" s="59">
        <f>IF(OR(tblMovement[[#This Row],[Tonnes_t]]="",tblMovement[[#This Row],[Grade_gpt]]=""),0,tblMovement[[#This Row],[Tonnes_t]]*tblMovement[[#This Row],[Grade_gpt]]/cfg_TroyOz)</f>
        <v/>
      </c>
      <c r="O2870" s="59">
        <f>IF(tblMovement[[#This Row],[Is_Ore]]=1,tblMovement[[#This Row],[Contained_oz]],0)</f>
        <v/>
      </c>
    </row>
    <row r="2871">
      <c r="A2871" s="54" t="n"/>
      <c r="B2871" s="61" t="n"/>
      <c r="C2871" s="61" t="n"/>
      <c r="D2871" s="61" t="n"/>
      <c r="E2871" s="61" t="n"/>
      <c r="F2871" s="55" t="n"/>
      <c r="G2871" s="56" t="n"/>
      <c r="H2871" s="55" t="n"/>
      <c r="I2871" s="62" t="n"/>
      <c r="J2871" s="58" t="n"/>
      <c r="K2871" s="63">
        <f>IF(tblMovement[[#This Row],[Source]]="","",IFERROR(INDEX(tblSources[Type],MATCH(tblMovement[[#This Row],[Source]],tblSources[Source],0)),"?"))</f>
        <v/>
      </c>
      <c r="L2871" s="63">
        <f>IF(tblMovement[[#This Row],[Destination]]="","",IFERROR(INDEX(tblDestinations[Type],MATCH(tblMovement[[#This Row],[Destination]],tblDestinations[Destination],0)),"?"))</f>
        <v/>
      </c>
      <c r="M2871" s="64">
        <f>IF(tblMovement[[#This Row],[Material]]="","",IF(LEFT(tblMovement[[#This Row],[Material]],3)="Ore",1,0))</f>
        <v/>
      </c>
      <c r="N2871" s="59">
        <f>IF(OR(tblMovement[[#This Row],[Tonnes_t]]="",tblMovement[[#This Row],[Grade_gpt]]=""),0,tblMovement[[#This Row],[Tonnes_t]]*tblMovement[[#This Row],[Grade_gpt]]/cfg_TroyOz)</f>
        <v/>
      </c>
      <c r="O2871" s="59">
        <f>IF(tblMovement[[#This Row],[Is_Ore]]=1,tblMovement[[#This Row],[Contained_oz]],0)</f>
        <v/>
      </c>
    </row>
    <row r="2872">
      <c r="A2872" s="54" t="n"/>
      <c r="B2872" s="61" t="n"/>
      <c r="C2872" s="61" t="n"/>
      <c r="D2872" s="61" t="n"/>
      <c r="E2872" s="61" t="n"/>
      <c r="F2872" s="55" t="n"/>
      <c r="G2872" s="56" t="n"/>
      <c r="H2872" s="55" t="n"/>
      <c r="I2872" s="62" t="n"/>
      <c r="J2872" s="58" t="n"/>
      <c r="K2872" s="63">
        <f>IF(tblMovement[[#This Row],[Source]]="","",IFERROR(INDEX(tblSources[Type],MATCH(tblMovement[[#This Row],[Source]],tblSources[Source],0)),"?"))</f>
        <v/>
      </c>
      <c r="L2872" s="63">
        <f>IF(tblMovement[[#This Row],[Destination]]="","",IFERROR(INDEX(tblDestinations[Type],MATCH(tblMovement[[#This Row],[Destination]],tblDestinations[Destination],0)),"?"))</f>
        <v/>
      </c>
      <c r="M2872" s="64">
        <f>IF(tblMovement[[#This Row],[Material]]="","",IF(LEFT(tblMovement[[#This Row],[Material]],3)="Ore",1,0))</f>
        <v/>
      </c>
      <c r="N2872" s="59">
        <f>IF(OR(tblMovement[[#This Row],[Tonnes_t]]="",tblMovement[[#This Row],[Grade_gpt]]=""),0,tblMovement[[#This Row],[Tonnes_t]]*tblMovement[[#This Row],[Grade_gpt]]/cfg_TroyOz)</f>
        <v/>
      </c>
      <c r="O2872" s="59">
        <f>IF(tblMovement[[#This Row],[Is_Ore]]=1,tblMovement[[#This Row],[Contained_oz]],0)</f>
        <v/>
      </c>
    </row>
    <row r="2873">
      <c r="A2873" s="54" t="n"/>
      <c r="B2873" s="61" t="n"/>
      <c r="C2873" s="61" t="n"/>
      <c r="D2873" s="61" t="n"/>
      <c r="E2873" s="61" t="n"/>
      <c r="F2873" s="55" t="n"/>
      <c r="G2873" s="56" t="n"/>
      <c r="H2873" s="55" t="n"/>
      <c r="I2873" s="62" t="n"/>
      <c r="J2873" s="58" t="n"/>
      <c r="K2873" s="63">
        <f>IF(tblMovement[[#This Row],[Source]]="","",IFERROR(INDEX(tblSources[Type],MATCH(tblMovement[[#This Row],[Source]],tblSources[Source],0)),"?"))</f>
        <v/>
      </c>
      <c r="L2873" s="63">
        <f>IF(tblMovement[[#This Row],[Destination]]="","",IFERROR(INDEX(tblDestinations[Type],MATCH(tblMovement[[#This Row],[Destination]],tblDestinations[Destination],0)),"?"))</f>
        <v/>
      </c>
      <c r="M2873" s="64">
        <f>IF(tblMovement[[#This Row],[Material]]="","",IF(LEFT(tblMovement[[#This Row],[Material]],3)="Ore",1,0))</f>
        <v/>
      </c>
      <c r="N2873" s="59">
        <f>IF(OR(tblMovement[[#This Row],[Tonnes_t]]="",tblMovement[[#This Row],[Grade_gpt]]=""),0,tblMovement[[#This Row],[Tonnes_t]]*tblMovement[[#This Row],[Grade_gpt]]/cfg_TroyOz)</f>
        <v/>
      </c>
      <c r="O2873" s="59">
        <f>IF(tblMovement[[#This Row],[Is_Ore]]=1,tblMovement[[#This Row],[Contained_oz]],0)</f>
        <v/>
      </c>
    </row>
    <row r="2874">
      <c r="A2874" s="54" t="n"/>
      <c r="B2874" s="61" t="n"/>
      <c r="C2874" s="61" t="n"/>
      <c r="D2874" s="61" t="n"/>
      <c r="E2874" s="61" t="n"/>
      <c r="F2874" s="55" t="n"/>
      <c r="G2874" s="56" t="n"/>
      <c r="H2874" s="55" t="n"/>
      <c r="I2874" s="62" t="n"/>
      <c r="J2874" s="58" t="n"/>
      <c r="K2874" s="63">
        <f>IF(tblMovement[[#This Row],[Source]]="","",IFERROR(INDEX(tblSources[Type],MATCH(tblMovement[[#This Row],[Source]],tblSources[Source],0)),"?"))</f>
        <v/>
      </c>
      <c r="L2874" s="63">
        <f>IF(tblMovement[[#This Row],[Destination]]="","",IFERROR(INDEX(tblDestinations[Type],MATCH(tblMovement[[#This Row],[Destination]],tblDestinations[Destination],0)),"?"))</f>
        <v/>
      </c>
      <c r="M2874" s="64">
        <f>IF(tblMovement[[#This Row],[Material]]="","",IF(LEFT(tblMovement[[#This Row],[Material]],3)="Ore",1,0))</f>
        <v/>
      </c>
      <c r="N2874" s="59">
        <f>IF(OR(tblMovement[[#This Row],[Tonnes_t]]="",tblMovement[[#This Row],[Grade_gpt]]=""),0,tblMovement[[#This Row],[Tonnes_t]]*tblMovement[[#This Row],[Grade_gpt]]/cfg_TroyOz)</f>
        <v/>
      </c>
      <c r="O2874" s="59">
        <f>IF(tblMovement[[#This Row],[Is_Ore]]=1,tblMovement[[#This Row],[Contained_oz]],0)</f>
        <v/>
      </c>
    </row>
    <row r="2875">
      <c r="A2875" s="54" t="n"/>
      <c r="B2875" s="61" t="n"/>
      <c r="C2875" s="61" t="n"/>
      <c r="D2875" s="61" t="n"/>
      <c r="E2875" s="61" t="n"/>
      <c r="F2875" s="55" t="n"/>
      <c r="G2875" s="56" t="n"/>
      <c r="H2875" s="55" t="n"/>
      <c r="I2875" s="62" t="n"/>
      <c r="J2875" s="58" t="n"/>
      <c r="K2875" s="63">
        <f>IF(tblMovement[[#This Row],[Source]]="","",IFERROR(INDEX(tblSources[Type],MATCH(tblMovement[[#This Row],[Source]],tblSources[Source],0)),"?"))</f>
        <v/>
      </c>
      <c r="L2875" s="63">
        <f>IF(tblMovement[[#This Row],[Destination]]="","",IFERROR(INDEX(tblDestinations[Type],MATCH(tblMovement[[#This Row],[Destination]],tblDestinations[Destination],0)),"?"))</f>
        <v/>
      </c>
      <c r="M2875" s="64">
        <f>IF(tblMovement[[#This Row],[Material]]="","",IF(LEFT(tblMovement[[#This Row],[Material]],3)="Ore",1,0))</f>
        <v/>
      </c>
      <c r="N2875" s="59">
        <f>IF(OR(tblMovement[[#This Row],[Tonnes_t]]="",tblMovement[[#This Row],[Grade_gpt]]=""),0,tblMovement[[#This Row],[Tonnes_t]]*tblMovement[[#This Row],[Grade_gpt]]/cfg_TroyOz)</f>
        <v/>
      </c>
      <c r="O2875" s="59">
        <f>IF(tblMovement[[#This Row],[Is_Ore]]=1,tblMovement[[#This Row],[Contained_oz]],0)</f>
        <v/>
      </c>
    </row>
    <row r="2876">
      <c r="A2876" s="54" t="n"/>
      <c r="B2876" s="61" t="n"/>
      <c r="C2876" s="61" t="n"/>
      <c r="D2876" s="61" t="n"/>
      <c r="E2876" s="61" t="n"/>
      <c r="F2876" s="55" t="n"/>
      <c r="G2876" s="56" t="n"/>
      <c r="H2876" s="55" t="n"/>
      <c r="I2876" s="62" t="n"/>
      <c r="J2876" s="58" t="n"/>
      <c r="K2876" s="63">
        <f>IF(tblMovement[[#This Row],[Source]]="","",IFERROR(INDEX(tblSources[Type],MATCH(tblMovement[[#This Row],[Source]],tblSources[Source],0)),"?"))</f>
        <v/>
      </c>
      <c r="L2876" s="63">
        <f>IF(tblMovement[[#This Row],[Destination]]="","",IFERROR(INDEX(tblDestinations[Type],MATCH(tblMovement[[#This Row],[Destination]],tblDestinations[Destination],0)),"?"))</f>
        <v/>
      </c>
      <c r="M2876" s="64">
        <f>IF(tblMovement[[#This Row],[Material]]="","",IF(LEFT(tblMovement[[#This Row],[Material]],3)="Ore",1,0))</f>
        <v/>
      </c>
      <c r="N2876" s="59">
        <f>IF(OR(tblMovement[[#This Row],[Tonnes_t]]="",tblMovement[[#This Row],[Grade_gpt]]=""),0,tblMovement[[#This Row],[Tonnes_t]]*tblMovement[[#This Row],[Grade_gpt]]/cfg_TroyOz)</f>
        <v/>
      </c>
      <c r="O2876" s="59">
        <f>IF(tblMovement[[#This Row],[Is_Ore]]=1,tblMovement[[#This Row],[Contained_oz]],0)</f>
        <v/>
      </c>
    </row>
    <row r="2877">
      <c r="A2877" s="54" t="n"/>
      <c r="B2877" s="61" t="n"/>
      <c r="C2877" s="61" t="n"/>
      <c r="D2877" s="61" t="n"/>
      <c r="E2877" s="61" t="n"/>
      <c r="F2877" s="55" t="n"/>
      <c r="G2877" s="56" t="n"/>
      <c r="H2877" s="55" t="n"/>
      <c r="I2877" s="62" t="n"/>
      <c r="J2877" s="58" t="n"/>
      <c r="K2877" s="63">
        <f>IF(tblMovement[[#This Row],[Source]]="","",IFERROR(INDEX(tblSources[Type],MATCH(tblMovement[[#This Row],[Source]],tblSources[Source],0)),"?"))</f>
        <v/>
      </c>
      <c r="L2877" s="63">
        <f>IF(tblMovement[[#This Row],[Destination]]="","",IFERROR(INDEX(tblDestinations[Type],MATCH(tblMovement[[#This Row],[Destination]],tblDestinations[Destination],0)),"?"))</f>
        <v/>
      </c>
      <c r="M2877" s="64">
        <f>IF(tblMovement[[#This Row],[Material]]="","",IF(LEFT(tblMovement[[#This Row],[Material]],3)="Ore",1,0))</f>
        <v/>
      </c>
      <c r="N2877" s="59">
        <f>IF(OR(tblMovement[[#This Row],[Tonnes_t]]="",tblMovement[[#This Row],[Grade_gpt]]=""),0,tblMovement[[#This Row],[Tonnes_t]]*tblMovement[[#This Row],[Grade_gpt]]/cfg_TroyOz)</f>
        <v/>
      </c>
      <c r="O2877" s="59">
        <f>IF(tblMovement[[#This Row],[Is_Ore]]=1,tblMovement[[#This Row],[Contained_oz]],0)</f>
        <v/>
      </c>
    </row>
    <row r="2878">
      <c r="A2878" s="54" t="n"/>
      <c r="B2878" s="61" t="n"/>
      <c r="C2878" s="61" t="n"/>
      <c r="D2878" s="61" t="n"/>
      <c r="E2878" s="61" t="n"/>
      <c r="F2878" s="55" t="n"/>
      <c r="G2878" s="56" t="n"/>
      <c r="H2878" s="55" t="n"/>
      <c r="I2878" s="62" t="n"/>
      <c r="J2878" s="58" t="n"/>
      <c r="K2878" s="63">
        <f>IF(tblMovement[[#This Row],[Source]]="","",IFERROR(INDEX(tblSources[Type],MATCH(tblMovement[[#This Row],[Source]],tblSources[Source],0)),"?"))</f>
        <v/>
      </c>
      <c r="L2878" s="63">
        <f>IF(tblMovement[[#This Row],[Destination]]="","",IFERROR(INDEX(tblDestinations[Type],MATCH(tblMovement[[#This Row],[Destination]],tblDestinations[Destination],0)),"?"))</f>
        <v/>
      </c>
      <c r="M2878" s="64">
        <f>IF(tblMovement[[#This Row],[Material]]="","",IF(LEFT(tblMovement[[#This Row],[Material]],3)="Ore",1,0))</f>
        <v/>
      </c>
      <c r="N2878" s="59">
        <f>IF(OR(tblMovement[[#This Row],[Tonnes_t]]="",tblMovement[[#This Row],[Grade_gpt]]=""),0,tblMovement[[#This Row],[Tonnes_t]]*tblMovement[[#This Row],[Grade_gpt]]/cfg_TroyOz)</f>
        <v/>
      </c>
      <c r="O2878" s="59">
        <f>IF(tblMovement[[#This Row],[Is_Ore]]=1,tblMovement[[#This Row],[Contained_oz]],0)</f>
        <v/>
      </c>
    </row>
    <row r="2879">
      <c r="A2879" s="54" t="n"/>
      <c r="B2879" s="61" t="n"/>
      <c r="C2879" s="61" t="n"/>
      <c r="D2879" s="61" t="n"/>
      <c r="E2879" s="61" t="n"/>
      <c r="F2879" s="55" t="n"/>
      <c r="G2879" s="56" t="n"/>
      <c r="H2879" s="55" t="n"/>
      <c r="I2879" s="62" t="n"/>
      <c r="J2879" s="58" t="n"/>
      <c r="K2879" s="63">
        <f>IF(tblMovement[[#This Row],[Source]]="","",IFERROR(INDEX(tblSources[Type],MATCH(tblMovement[[#This Row],[Source]],tblSources[Source],0)),"?"))</f>
        <v/>
      </c>
      <c r="L2879" s="63">
        <f>IF(tblMovement[[#This Row],[Destination]]="","",IFERROR(INDEX(tblDestinations[Type],MATCH(tblMovement[[#This Row],[Destination]],tblDestinations[Destination],0)),"?"))</f>
        <v/>
      </c>
      <c r="M2879" s="64">
        <f>IF(tblMovement[[#This Row],[Material]]="","",IF(LEFT(tblMovement[[#This Row],[Material]],3)="Ore",1,0))</f>
        <v/>
      </c>
      <c r="N2879" s="59">
        <f>IF(OR(tblMovement[[#This Row],[Tonnes_t]]="",tblMovement[[#This Row],[Grade_gpt]]=""),0,tblMovement[[#This Row],[Tonnes_t]]*tblMovement[[#This Row],[Grade_gpt]]/cfg_TroyOz)</f>
        <v/>
      </c>
      <c r="O2879" s="59">
        <f>IF(tblMovement[[#This Row],[Is_Ore]]=1,tblMovement[[#This Row],[Contained_oz]],0)</f>
        <v/>
      </c>
    </row>
    <row r="2880">
      <c r="A2880" s="54" t="n"/>
      <c r="B2880" s="61" t="n"/>
      <c r="C2880" s="61" t="n"/>
      <c r="D2880" s="61" t="n"/>
      <c r="E2880" s="61" t="n"/>
      <c r="F2880" s="55" t="n"/>
      <c r="G2880" s="56" t="n"/>
      <c r="H2880" s="55" t="n"/>
      <c r="I2880" s="62" t="n"/>
      <c r="J2880" s="58" t="n"/>
      <c r="K2880" s="63">
        <f>IF(tblMovement[[#This Row],[Source]]="","",IFERROR(INDEX(tblSources[Type],MATCH(tblMovement[[#This Row],[Source]],tblSources[Source],0)),"?"))</f>
        <v/>
      </c>
      <c r="L2880" s="63">
        <f>IF(tblMovement[[#This Row],[Destination]]="","",IFERROR(INDEX(tblDestinations[Type],MATCH(tblMovement[[#This Row],[Destination]],tblDestinations[Destination],0)),"?"))</f>
        <v/>
      </c>
      <c r="M2880" s="64">
        <f>IF(tblMovement[[#This Row],[Material]]="","",IF(LEFT(tblMovement[[#This Row],[Material]],3)="Ore",1,0))</f>
        <v/>
      </c>
      <c r="N2880" s="59">
        <f>IF(OR(tblMovement[[#This Row],[Tonnes_t]]="",tblMovement[[#This Row],[Grade_gpt]]=""),0,tblMovement[[#This Row],[Tonnes_t]]*tblMovement[[#This Row],[Grade_gpt]]/cfg_TroyOz)</f>
        <v/>
      </c>
      <c r="O2880" s="59">
        <f>IF(tblMovement[[#This Row],[Is_Ore]]=1,tblMovement[[#This Row],[Contained_oz]],0)</f>
        <v/>
      </c>
    </row>
    <row r="2881">
      <c r="A2881" s="54" t="n"/>
      <c r="B2881" s="61" t="n"/>
      <c r="C2881" s="61" t="n"/>
      <c r="D2881" s="61" t="n"/>
      <c r="E2881" s="61" t="n"/>
      <c r="F2881" s="55" t="n"/>
      <c r="G2881" s="56" t="n"/>
      <c r="H2881" s="55" t="n"/>
      <c r="I2881" s="62" t="n"/>
      <c r="J2881" s="58" t="n"/>
      <c r="K2881" s="63">
        <f>IF(tblMovement[[#This Row],[Source]]="","",IFERROR(INDEX(tblSources[Type],MATCH(tblMovement[[#This Row],[Source]],tblSources[Source],0)),"?"))</f>
        <v/>
      </c>
      <c r="L2881" s="63">
        <f>IF(tblMovement[[#This Row],[Destination]]="","",IFERROR(INDEX(tblDestinations[Type],MATCH(tblMovement[[#This Row],[Destination]],tblDestinations[Destination],0)),"?"))</f>
        <v/>
      </c>
      <c r="M2881" s="64">
        <f>IF(tblMovement[[#This Row],[Material]]="","",IF(LEFT(tblMovement[[#This Row],[Material]],3)="Ore",1,0))</f>
        <v/>
      </c>
      <c r="N2881" s="59">
        <f>IF(OR(tblMovement[[#This Row],[Tonnes_t]]="",tblMovement[[#This Row],[Grade_gpt]]=""),0,tblMovement[[#This Row],[Tonnes_t]]*tblMovement[[#This Row],[Grade_gpt]]/cfg_TroyOz)</f>
        <v/>
      </c>
      <c r="O2881" s="59">
        <f>IF(tblMovement[[#This Row],[Is_Ore]]=1,tblMovement[[#This Row],[Contained_oz]],0)</f>
        <v/>
      </c>
    </row>
    <row r="2882">
      <c r="A2882" s="54" t="n"/>
      <c r="B2882" s="61" t="n"/>
      <c r="C2882" s="61" t="n"/>
      <c r="D2882" s="61" t="n"/>
      <c r="E2882" s="61" t="n"/>
      <c r="F2882" s="55" t="n"/>
      <c r="G2882" s="56" t="n"/>
      <c r="H2882" s="55" t="n"/>
      <c r="I2882" s="62" t="n"/>
      <c r="J2882" s="58" t="n"/>
      <c r="K2882" s="63">
        <f>IF(tblMovement[[#This Row],[Source]]="","",IFERROR(INDEX(tblSources[Type],MATCH(tblMovement[[#This Row],[Source]],tblSources[Source],0)),"?"))</f>
        <v/>
      </c>
      <c r="L2882" s="63">
        <f>IF(tblMovement[[#This Row],[Destination]]="","",IFERROR(INDEX(tblDestinations[Type],MATCH(tblMovement[[#This Row],[Destination]],tblDestinations[Destination],0)),"?"))</f>
        <v/>
      </c>
      <c r="M2882" s="64">
        <f>IF(tblMovement[[#This Row],[Material]]="","",IF(LEFT(tblMovement[[#This Row],[Material]],3)="Ore",1,0))</f>
        <v/>
      </c>
      <c r="N2882" s="59">
        <f>IF(OR(tblMovement[[#This Row],[Tonnes_t]]="",tblMovement[[#This Row],[Grade_gpt]]=""),0,tblMovement[[#This Row],[Tonnes_t]]*tblMovement[[#This Row],[Grade_gpt]]/cfg_TroyOz)</f>
        <v/>
      </c>
      <c r="O2882" s="59">
        <f>IF(tblMovement[[#This Row],[Is_Ore]]=1,tblMovement[[#This Row],[Contained_oz]],0)</f>
        <v/>
      </c>
    </row>
    <row r="2883">
      <c r="A2883" s="54" t="n"/>
      <c r="B2883" s="61" t="n"/>
      <c r="C2883" s="61" t="n"/>
      <c r="D2883" s="61" t="n"/>
      <c r="E2883" s="61" t="n"/>
      <c r="F2883" s="55" t="n"/>
      <c r="G2883" s="56" t="n"/>
      <c r="H2883" s="55" t="n"/>
      <c r="I2883" s="62" t="n"/>
      <c r="J2883" s="58" t="n"/>
      <c r="K2883" s="63">
        <f>IF(tblMovement[[#This Row],[Source]]="","",IFERROR(INDEX(tblSources[Type],MATCH(tblMovement[[#This Row],[Source]],tblSources[Source],0)),"?"))</f>
        <v/>
      </c>
      <c r="L2883" s="63">
        <f>IF(tblMovement[[#This Row],[Destination]]="","",IFERROR(INDEX(tblDestinations[Type],MATCH(tblMovement[[#This Row],[Destination]],tblDestinations[Destination],0)),"?"))</f>
        <v/>
      </c>
      <c r="M2883" s="64">
        <f>IF(tblMovement[[#This Row],[Material]]="","",IF(LEFT(tblMovement[[#This Row],[Material]],3)="Ore",1,0))</f>
        <v/>
      </c>
      <c r="N2883" s="59">
        <f>IF(OR(tblMovement[[#This Row],[Tonnes_t]]="",tblMovement[[#This Row],[Grade_gpt]]=""),0,tblMovement[[#This Row],[Tonnes_t]]*tblMovement[[#This Row],[Grade_gpt]]/cfg_TroyOz)</f>
        <v/>
      </c>
      <c r="O2883" s="59">
        <f>IF(tblMovement[[#This Row],[Is_Ore]]=1,tblMovement[[#This Row],[Contained_oz]],0)</f>
        <v/>
      </c>
    </row>
    <row r="2884">
      <c r="A2884" s="54" t="n"/>
      <c r="B2884" s="61" t="n"/>
      <c r="C2884" s="61" t="n"/>
      <c r="D2884" s="61" t="n"/>
      <c r="E2884" s="61" t="n"/>
      <c r="F2884" s="55" t="n"/>
      <c r="G2884" s="56" t="n"/>
      <c r="H2884" s="55" t="n"/>
      <c r="I2884" s="62" t="n"/>
      <c r="J2884" s="58" t="n"/>
      <c r="K2884" s="63">
        <f>IF(tblMovement[[#This Row],[Source]]="","",IFERROR(INDEX(tblSources[Type],MATCH(tblMovement[[#This Row],[Source]],tblSources[Source],0)),"?"))</f>
        <v/>
      </c>
      <c r="L2884" s="63">
        <f>IF(tblMovement[[#This Row],[Destination]]="","",IFERROR(INDEX(tblDestinations[Type],MATCH(tblMovement[[#This Row],[Destination]],tblDestinations[Destination],0)),"?"))</f>
        <v/>
      </c>
      <c r="M2884" s="64">
        <f>IF(tblMovement[[#This Row],[Material]]="","",IF(LEFT(tblMovement[[#This Row],[Material]],3)="Ore",1,0))</f>
        <v/>
      </c>
      <c r="N2884" s="59">
        <f>IF(OR(tblMovement[[#This Row],[Tonnes_t]]="",tblMovement[[#This Row],[Grade_gpt]]=""),0,tblMovement[[#This Row],[Tonnes_t]]*tblMovement[[#This Row],[Grade_gpt]]/cfg_TroyOz)</f>
        <v/>
      </c>
      <c r="O2884" s="59">
        <f>IF(tblMovement[[#This Row],[Is_Ore]]=1,tblMovement[[#This Row],[Contained_oz]],0)</f>
        <v/>
      </c>
    </row>
    <row r="2885">
      <c r="A2885" s="54" t="n"/>
      <c r="B2885" s="61" t="n"/>
      <c r="C2885" s="61" t="n"/>
      <c r="D2885" s="61" t="n"/>
      <c r="E2885" s="61" t="n"/>
      <c r="F2885" s="55" t="n"/>
      <c r="G2885" s="56" t="n"/>
      <c r="H2885" s="55" t="n"/>
      <c r="I2885" s="62" t="n"/>
      <c r="J2885" s="58" t="n"/>
      <c r="K2885" s="63">
        <f>IF(tblMovement[[#This Row],[Source]]="","",IFERROR(INDEX(tblSources[Type],MATCH(tblMovement[[#This Row],[Source]],tblSources[Source],0)),"?"))</f>
        <v/>
      </c>
      <c r="L2885" s="63">
        <f>IF(tblMovement[[#This Row],[Destination]]="","",IFERROR(INDEX(tblDestinations[Type],MATCH(tblMovement[[#This Row],[Destination]],tblDestinations[Destination],0)),"?"))</f>
        <v/>
      </c>
      <c r="M2885" s="64">
        <f>IF(tblMovement[[#This Row],[Material]]="","",IF(LEFT(tblMovement[[#This Row],[Material]],3)="Ore",1,0))</f>
        <v/>
      </c>
      <c r="N2885" s="59">
        <f>IF(OR(tblMovement[[#This Row],[Tonnes_t]]="",tblMovement[[#This Row],[Grade_gpt]]=""),0,tblMovement[[#This Row],[Tonnes_t]]*tblMovement[[#This Row],[Grade_gpt]]/cfg_TroyOz)</f>
        <v/>
      </c>
      <c r="O2885" s="59">
        <f>IF(tblMovement[[#This Row],[Is_Ore]]=1,tblMovement[[#This Row],[Contained_oz]],0)</f>
        <v/>
      </c>
    </row>
    <row r="2886">
      <c r="A2886" s="54" t="n"/>
      <c r="B2886" s="61" t="n"/>
      <c r="C2886" s="61" t="n"/>
      <c r="D2886" s="61" t="n"/>
      <c r="E2886" s="61" t="n"/>
      <c r="F2886" s="55" t="n"/>
      <c r="G2886" s="56" t="n"/>
      <c r="H2886" s="55" t="n"/>
      <c r="I2886" s="62" t="n"/>
      <c r="J2886" s="58" t="n"/>
      <c r="K2886" s="63">
        <f>IF(tblMovement[[#This Row],[Source]]="","",IFERROR(INDEX(tblSources[Type],MATCH(tblMovement[[#This Row],[Source]],tblSources[Source],0)),"?"))</f>
        <v/>
      </c>
      <c r="L2886" s="63">
        <f>IF(tblMovement[[#This Row],[Destination]]="","",IFERROR(INDEX(tblDestinations[Type],MATCH(tblMovement[[#This Row],[Destination]],tblDestinations[Destination],0)),"?"))</f>
        <v/>
      </c>
      <c r="M2886" s="64">
        <f>IF(tblMovement[[#This Row],[Material]]="","",IF(LEFT(tblMovement[[#This Row],[Material]],3)="Ore",1,0))</f>
        <v/>
      </c>
      <c r="N2886" s="59">
        <f>IF(OR(tblMovement[[#This Row],[Tonnes_t]]="",tblMovement[[#This Row],[Grade_gpt]]=""),0,tblMovement[[#This Row],[Tonnes_t]]*tblMovement[[#This Row],[Grade_gpt]]/cfg_TroyOz)</f>
        <v/>
      </c>
      <c r="O2886" s="59">
        <f>IF(tblMovement[[#This Row],[Is_Ore]]=1,tblMovement[[#This Row],[Contained_oz]],0)</f>
        <v/>
      </c>
    </row>
    <row r="2887">
      <c r="A2887" s="54" t="n"/>
      <c r="B2887" s="61" t="n"/>
      <c r="C2887" s="61" t="n"/>
      <c r="D2887" s="61" t="n"/>
      <c r="E2887" s="61" t="n"/>
      <c r="F2887" s="55" t="n"/>
      <c r="G2887" s="56" t="n"/>
      <c r="H2887" s="55" t="n"/>
      <c r="I2887" s="62" t="n"/>
      <c r="J2887" s="58" t="n"/>
      <c r="K2887" s="63">
        <f>IF(tblMovement[[#This Row],[Source]]="","",IFERROR(INDEX(tblSources[Type],MATCH(tblMovement[[#This Row],[Source]],tblSources[Source],0)),"?"))</f>
        <v/>
      </c>
      <c r="L2887" s="63">
        <f>IF(tblMovement[[#This Row],[Destination]]="","",IFERROR(INDEX(tblDestinations[Type],MATCH(tblMovement[[#This Row],[Destination]],tblDestinations[Destination],0)),"?"))</f>
        <v/>
      </c>
      <c r="M2887" s="64">
        <f>IF(tblMovement[[#This Row],[Material]]="","",IF(LEFT(tblMovement[[#This Row],[Material]],3)="Ore",1,0))</f>
        <v/>
      </c>
      <c r="N2887" s="59">
        <f>IF(OR(tblMovement[[#This Row],[Tonnes_t]]="",tblMovement[[#This Row],[Grade_gpt]]=""),0,tblMovement[[#This Row],[Tonnes_t]]*tblMovement[[#This Row],[Grade_gpt]]/cfg_TroyOz)</f>
        <v/>
      </c>
      <c r="O2887" s="59">
        <f>IF(tblMovement[[#This Row],[Is_Ore]]=1,tblMovement[[#This Row],[Contained_oz]],0)</f>
        <v/>
      </c>
    </row>
    <row r="2888">
      <c r="A2888" s="54" t="n"/>
      <c r="B2888" s="61" t="n"/>
      <c r="C2888" s="61" t="n"/>
      <c r="D2888" s="61" t="n"/>
      <c r="E2888" s="61" t="n"/>
      <c r="F2888" s="55" t="n"/>
      <c r="G2888" s="56" t="n"/>
      <c r="H2888" s="55" t="n"/>
      <c r="I2888" s="62" t="n"/>
      <c r="J2888" s="58" t="n"/>
      <c r="K2888" s="63">
        <f>IF(tblMovement[[#This Row],[Source]]="","",IFERROR(INDEX(tblSources[Type],MATCH(tblMovement[[#This Row],[Source]],tblSources[Source],0)),"?"))</f>
        <v/>
      </c>
      <c r="L2888" s="63">
        <f>IF(tblMovement[[#This Row],[Destination]]="","",IFERROR(INDEX(tblDestinations[Type],MATCH(tblMovement[[#This Row],[Destination]],tblDestinations[Destination],0)),"?"))</f>
        <v/>
      </c>
      <c r="M2888" s="64">
        <f>IF(tblMovement[[#This Row],[Material]]="","",IF(LEFT(tblMovement[[#This Row],[Material]],3)="Ore",1,0))</f>
        <v/>
      </c>
      <c r="N2888" s="59">
        <f>IF(OR(tblMovement[[#This Row],[Tonnes_t]]="",tblMovement[[#This Row],[Grade_gpt]]=""),0,tblMovement[[#This Row],[Tonnes_t]]*tblMovement[[#This Row],[Grade_gpt]]/cfg_TroyOz)</f>
        <v/>
      </c>
      <c r="O2888" s="59">
        <f>IF(tblMovement[[#This Row],[Is_Ore]]=1,tblMovement[[#This Row],[Contained_oz]],0)</f>
        <v/>
      </c>
    </row>
    <row r="2889">
      <c r="A2889" s="54" t="n"/>
      <c r="B2889" s="61" t="n"/>
      <c r="C2889" s="61" t="n"/>
      <c r="D2889" s="61" t="n"/>
      <c r="E2889" s="61" t="n"/>
      <c r="F2889" s="55" t="n"/>
      <c r="G2889" s="56" t="n"/>
      <c r="H2889" s="55" t="n"/>
      <c r="I2889" s="62" t="n"/>
      <c r="J2889" s="58" t="n"/>
      <c r="K2889" s="63">
        <f>IF(tblMovement[[#This Row],[Source]]="","",IFERROR(INDEX(tblSources[Type],MATCH(tblMovement[[#This Row],[Source]],tblSources[Source],0)),"?"))</f>
        <v/>
      </c>
      <c r="L2889" s="63">
        <f>IF(tblMovement[[#This Row],[Destination]]="","",IFERROR(INDEX(tblDestinations[Type],MATCH(tblMovement[[#This Row],[Destination]],tblDestinations[Destination],0)),"?"))</f>
        <v/>
      </c>
      <c r="M2889" s="64">
        <f>IF(tblMovement[[#This Row],[Material]]="","",IF(LEFT(tblMovement[[#This Row],[Material]],3)="Ore",1,0))</f>
        <v/>
      </c>
      <c r="N2889" s="59">
        <f>IF(OR(tblMovement[[#This Row],[Tonnes_t]]="",tblMovement[[#This Row],[Grade_gpt]]=""),0,tblMovement[[#This Row],[Tonnes_t]]*tblMovement[[#This Row],[Grade_gpt]]/cfg_TroyOz)</f>
        <v/>
      </c>
      <c r="O2889" s="59">
        <f>IF(tblMovement[[#This Row],[Is_Ore]]=1,tblMovement[[#This Row],[Contained_oz]],0)</f>
        <v/>
      </c>
    </row>
    <row r="2890">
      <c r="A2890" s="54" t="n"/>
      <c r="B2890" s="61" t="n"/>
      <c r="C2890" s="61" t="n"/>
      <c r="D2890" s="61" t="n"/>
      <c r="E2890" s="61" t="n"/>
      <c r="F2890" s="55" t="n"/>
      <c r="G2890" s="56" t="n"/>
      <c r="H2890" s="55" t="n"/>
      <c r="I2890" s="62" t="n"/>
      <c r="J2890" s="58" t="n"/>
      <c r="K2890" s="63">
        <f>IF(tblMovement[[#This Row],[Source]]="","",IFERROR(INDEX(tblSources[Type],MATCH(tblMovement[[#This Row],[Source]],tblSources[Source],0)),"?"))</f>
        <v/>
      </c>
      <c r="L2890" s="63">
        <f>IF(tblMovement[[#This Row],[Destination]]="","",IFERROR(INDEX(tblDestinations[Type],MATCH(tblMovement[[#This Row],[Destination]],tblDestinations[Destination],0)),"?"))</f>
        <v/>
      </c>
      <c r="M2890" s="64">
        <f>IF(tblMovement[[#This Row],[Material]]="","",IF(LEFT(tblMovement[[#This Row],[Material]],3)="Ore",1,0))</f>
        <v/>
      </c>
      <c r="N2890" s="59">
        <f>IF(OR(tblMovement[[#This Row],[Tonnes_t]]="",tblMovement[[#This Row],[Grade_gpt]]=""),0,tblMovement[[#This Row],[Tonnes_t]]*tblMovement[[#This Row],[Grade_gpt]]/cfg_TroyOz)</f>
        <v/>
      </c>
      <c r="O2890" s="59">
        <f>IF(tblMovement[[#This Row],[Is_Ore]]=1,tblMovement[[#This Row],[Contained_oz]],0)</f>
        <v/>
      </c>
    </row>
    <row r="2891">
      <c r="A2891" s="54" t="n"/>
      <c r="B2891" s="61" t="n"/>
      <c r="C2891" s="61" t="n"/>
      <c r="D2891" s="61" t="n"/>
      <c r="E2891" s="61" t="n"/>
      <c r="F2891" s="55" t="n"/>
      <c r="G2891" s="56" t="n"/>
      <c r="H2891" s="55" t="n"/>
      <c r="I2891" s="62" t="n"/>
      <c r="J2891" s="58" t="n"/>
      <c r="K2891" s="63">
        <f>IF(tblMovement[[#This Row],[Source]]="","",IFERROR(INDEX(tblSources[Type],MATCH(tblMovement[[#This Row],[Source]],tblSources[Source],0)),"?"))</f>
        <v/>
      </c>
      <c r="L2891" s="63">
        <f>IF(tblMovement[[#This Row],[Destination]]="","",IFERROR(INDEX(tblDestinations[Type],MATCH(tblMovement[[#This Row],[Destination]],tblDestinations[Destination],0)),"?"))</f>
        <v/>
      </c>
      <c r="M2891" s="64">
        <f>IF(tblMovement[[#This Row],[Material]]="","",IF(LEFT(tblMovement[[#This Row],[Material]],3)="Ore",1,0))</f>
        <v/>
      </c>
      <c r="N2891" s="59">
        <f>IF(OR(tblMovement[[#This Row],[Tonnes_t]]="",tblMovement[[#This Row],[Grade_gpt]]=""),0,tblMovement[[#This Row],[Tonnes_t]]*tblMovement[[#This Row],[Grade_gpt]]/cfg_TroyOz)</f>
        <v/>
      </c>
      <c r="O2891" s="59">
        <f>IF(tblMovement[[#This Row],[Is_Ore]]=1,tblMovement[[#This Row],[Contained_oz]],0)</f>
        <v/>
      </c>
    </row>
    <row r="2892">
      <c r="A2892" s="54" t="n"/>
      <c r="B2892" s="61" t="n"/>
      <c r="C2892" s="61" t="n"/>
      <c r="D2892" s="61" t="n"/>
      <c r="E2892" s="61" t="n"/>
      <c r="F2892" s="55" t="n"/>
      <c r="G2892" s="56" t="n"/>
      <c r="H2892" s="55" t="n"/>
      <c r="I2892" s="62" t="n"/>
      <c r="J2892" s="58" t="n"/>
      <c r="K2892" s="63">
        <f>IF(tblMovement[[#This Row],[Source]]="","",IFERROR(INDEX(tblSources[Type],MATCH(tblMovement[[#This Row],[Source]],tblSources[Source],0)),"?"))</f>
        <v/>
      </c>
      <c r="L2892" s="63">
        <f>IF(tblMovement[[#This Row],[Destination]]="","",IFERROR(INDEX(tblDestinations[Type],MATCH(tblMovement[[#This Row],[Destination]],tblDestinations[Destination],0)),"?"))</f>
        <v/>
      </c>
      <c r="M2892" s="64">
        <f>IF(tblMovement[[#This Row],[Material]]="","",IF(LEFT(tblMovement[[#This Row],[Material]],3)="Ore",1,0))</f>
        <v/>
      </c>
      <c r="N2892" s="59">
        <f>IF(OR(tblMovement[[#This Row],[Tonnes_t]]="",tblMovement[[#This Row],[Grade_gpt]]=""),0,tblMovement[[#This Row],[Tonnes_t]]*tblMovement[[#This Row],[Grade_gpt]]/cfg_TroyOz)</f>
        <v/>
      </c>
      <c r="O2892" s="59">
        <f>IF(tblMovement[[#This Row],[Is_Ore]]=1,tblMovement[[#This Row],[Contained_oz]],0)</f>
        <v/>
      </c>
    </row>
    <row r="2893">
      <c r="A2893" s="54" t="n"/>
      <c r="B2893" s="61" t="n"/>
      <c r="C2893" s="61" t="n"/>
      <c r="D2893" s="61" t="n"/>
      <c r="E2893" s="61" t="n"/>
      <c r="F2893" s="55" t="n"/>
      <c r="G2893" s="56" t="n"/>
      <c r="H2893" s="55" t="n"/>
      <c r="I2893" s="62" t="n"/>
      <c r="J2893" s="58" t="n"/>
      <c r="K2893" s="63">
        <f>IF(tblMovement[[#This Row],[Source]]="","",IFERROR(INDEX(tblSources[Type],MATCH(tblMovement[[#This Row],[Source]],tblSources[Source],0)),"?"))</f>
        <v/>
      </c>
      <c r="L2893" s="63">
        <f>IF(tblMovement[[#This Row],[Destination]]="","",IFERROR(INDEX(tblDestinations[Type],MATCH(tblMovement[[#This Row],[Destination]],tblDestinations[Destination],0)),"?"))</f>
        <v/>
      </c>
      <c r="M2893" s="64">
        <f>IF(tblMovement[[#This Row],[Material]]="","",IF(LEFT(tblMovement[[#This Row],[Material]],3)="Ore",1,0))</f>
        <v/>
      </c>
      <c r="N2893" s="59">
        <f>IF(OR(tblMovement[[#This Row],[Tonnes_t]]="",tblMovement[[#This Row],[Grade_gpt]]=""),0,tblMovement[[#This Row],[Tonnes_t]]*tblMovement[[#This Row],[Grade_gpt]]/cfg_TroyOz)</f>
        <v/>
      </c>
      <c r="O2893" s="59">
        <f>IF(tblMovement[[#This Row],[Is_Ore]]=1,tblMovement[[#This Row],[Contained_oz]],0)</f>
        <v/>
      </c>
    </row>
    <row r="2894">
      <c r="A2894" s="54" t="n"/>
      <c r="B2894" s="61" t="n"/>
      <c r="C2894" s="61" t="n"/>
      <c r="D2894" s="61" t="n"/>
      <c r="E2894" s="61" t="n"/>
      <c r="F2894" s="55" t="n"/>
      <c r="G2894" s="56" t="n"/>
      <c r="H2894" s="55" t="n"/>
      <c r="I2894" s="62" t="n"/>
      <c r="J2894" s="58" t="n"/>
      <c r="K2894" s="63">
        <f>IF(tblMovement[[#This Row],[Source]]="","",IFERROR(INDEX(tblSources[Type],MATCH(tblMovement[[#This Row],[Source]],tblSources[Source],0)),"?"))</f>
        <v/>
      </c>
      <c r="L2894" s="63">
        <f>IF(tblMovement[[#This Row],[Destination]]="","",IFERROR(INDEX(tblDestinations[Type],MATCH(tblMovement[[#This Row],[Destination]],tblDestinations[Destination],0)),"?"))</f>
        <v/>
      </c>
      <c r="M2894" s="64">
        <f>IF(tblMovement[[#This Row],[Material]]="","",IF(LEFT(tblMovement[[#This Row],[Material]],3)="Ore",1,0))</f>
        <v/>
      </c>
      <c r="N2894" s="59">
        <f>IF(OR(tblMovement[[#This Row],[Tonnes_t]]="",tblMovement[[#This Row],[Grade_gpt]]=""),0,tblMovement[[#This Row],[Tonnes_t]]*tblMovement[[#This Row],[Grade_gpt]]/cfg_TroyOz)</f>
        <v/>
      </c>
      <c r="O2894" s="59">
        <f>IF(tblMovement[[#This Row],[Is_Ore]]=1,tblMovement[[#This Row],[Contained_oz]],0)</f>
        <v/>
      </c>
    </row>
    <row r="2895">
      <c r="A2895" s="54" t="n"/>
      <c r="B2895" s="61" t="n"/>
      <c r="C2895" s="61" t="n"/>
      <c r="D2895" s="61" t="n"/>
      <c r="E2895" s="61" t="n"/>
      <c r="F2895" s="55" t="n"/>
      <c r="G2895" s="56" t="n"/>
      <c r="H2895" s="55" t="n"/>
      <c r="I2895" s="62" t="n"/>
      <c r="J2895" s="58" t="n"/>
      <c r="K2895" s="63">
        <f>IF(tblMovement[[#This Row],[Source]]="","",IFERROR(INDEX(tblSources[Type],MATCH(tblMovement[[#This Row],[Source]],tblSources[Source],0)),"?"))</f>
        <v/>
      </c>
      <c r="L2895" s="63">
        <f>IF(tblMovement[[#This Row],[Destination]]="","",IFERROR(INDEX(tblDestinations[Type],MATCH(tblMovement[[#This Row],[Destination]],tblDestinations[Destination],0)),"?"))</f>
        <v/>
      </c>
      <c r="M2895" s="64">
        <f>IF(tblMovement[[#This Row],[Material]]="","",IF(LEFT(tblMovement[[#This Row],[Material]],3)="Ore",1,0))</f>
        <v/>
      </c>
      <c r="N2895" s="59">
        <f>IF(OR(tblMovement[[#This Row],[Tonnes_t]]="",tblMovement[[#This Row],[Grade_gpt]]=""),0,tblMovement[[#This Row],[Tonnes_t]]*tblMovement[[#This Row],[Grade_gpt]]/cfg_TroyOz)</f>
        <v/>
      </c>
      <c r="O2895" s="59">
        <f>IF(tblMovement[[#This Row],[Is_Ore]]=1,tblMovement[[#This Row],[Contained_oz]],0)</f>
        <v/>
      </c>
    </row>
    <row r="2896">
      <c r="A2896" s="54" t="n"/>
      <c r="B2896" s="61" t="n"/>
      <c r="C2896" s="61" t="n"/>
      <c r="D2896" s="61" t="n"/>
      <c r="E2896" s="61" t="n"/>
      <c r="F2896" s="55" t="n"/>
      <c r="G2896" s="56" t="n"/>
      <c r="H2896" s="55" t="n"/>
      <c r="I2896" s="62" t="n"/>
      <c r="J2896" s="58" t="n"/>
      <c r="K2896" s="63">
        <f>IF(tblMovement[[#This Row],[Source]]="","",IFERROR(INDEX(tblSources[Type],MATCH(tblMovement[[#This Row],[Source]],tblSources[Source],0)),"?"))</f>
        <v/>
      </c>
      <c r="L2896" s="63">
        <f>IF(tblMovement[[#This Row],[Destination]]="","",IFERROR(INDEX(tblDestinations[Type],MATCH(tblMovement[[#This Row],[Destination]],tblDestinations[Destination],0)),"?"))</f>
        <v/>
      </c>
      <c r="M2896" s="64">
        <f>IF(tblMovement[[#This Row],[Material]]="","",IF(LEFT(tblMovement[[#This Row],[Material]],3)="Ore",1,0))</f>
        <v/>
      </c>
      <c r="N2896" s="59">
        <f>IF(OR(tblMovement[[#This Row],[Tonnes_t]]="",tblMovement[[#This Row],[Grade_gpt]]=""),0,tblMovement[[#This Row],[Tonnes_t]]*tblMovement[[#This Row],[Grade_gpt]]/cfg_TroyOz)</f>
        <v/>
      </c>
      <c r="O2896" s="59">
        <f>IF(tblMovement[[#This Row],[Is_Ore]]=1,tblMovement[[#This Row],[Contained_oz]],0)</f>
        <v/>
      </c>
    </row>
    <row r="2897">
      <c r="A2897" s="54" t="n"/>
      <c r="B2897" s="61" t="n"/>
      <c r="C2897" s="61" t="n"/>
      <c r="D2897" s="61" t="n"/>
      <c r="E2897" s="61" t="n"/>
      <c r="F2897" s="55" t="n"/>
      <c r="G2897" s="56" t="n"/>
      <c r="H2897" s="55" t="n"/>
      <c r="I2897" s="62" t="n"/>
      <c r="J2897" s="58" t="n"/>
      <c r="K2897" s="63">
        <f>IF(tblMovement[[#This Row],[Source]]="","",IFERROR(INDEX(tblSources[Type],MATCH(tblMovement[[#This Row],[Source]],tblSources[Source],0)),"?"))</f>
        <v/>
      </c>
      <c r="L2897" s="63">
        <f>IF(tblMovement[[#This Row],[Destination]]="","",IFERROR(INDEX(tblDestinations[Type],MATCH(tblMovement[[#This Row],[Destination]],tblDestinations[Destination],0)),"?"))</f>
        <v/>
      </c>
      <c r="M2897" s="64">
        <f>IF(tblMovement[[#This Row],[Material]]="","",IF(LEFT(tblMovement[[#This Row],[Material]],3)="Ore",1,0))</f>
        <v/>
      </c>
      <c r="N2897" s="59">
        <f>IF(OR(tblMovement[[#This Row],[Tonnes_t]]="",tblMovement[[#This Row],[Grade_gpt]]=""),0,tblMovement[[#This Row],[Tonnes_t]]*tblMovement[[#This Row],[Grade_gpt]]/cfg_TroyOz)</f>
        <v/>
      </c>
      <c r="O2897" s="59">
        <f>IF(tblMovement[[#This Row],[Is_Ore]]=1,tblMovement[[#This Row],[Contained_oz]],0)</f>
        <v/>
      </c>
    </row>
    <row r="2898">
      <c r="A2898" s="54" t="n"/>
      <c r="B2898" s="61" t="n"/>
      <c r="C2898" s="61" t="n"/>
      <c r="D2898" s="61" t="n"/>
      <c r="E2898" s="61" t="n"/>
      <c r="F2898" s="55" t="n"/>
      <c r="G2898" s="56" t="n"/>
      <c r="H2898" s="55" t="n"/>
      <c r="I2898" s="62" t="n"/>
      <c r="J2898" s="58" t="n"/>
      <c r="K2898" s="63">
        <f>IF(tblMovement[[#This Row],[Source]]="","",IFERROR(INDEX(tblSources[Type],MATCH(tblMovement[[#This Row],[Source]],tblSources[Source],0)),"?"))</f>
        <v/>
      </c>
      <c r="L2898" s="63">
        <f>IF(tblMovement[[#This Row],[Destination]]="","",IFERROR(INDEX(tblDestinations[Type],MATCH(tblMovement[[#This Row],[Destination]],tblDestinations[Destination],0)),"?"))</f>
        <v/>
      </c>
      <c r="M2898" s="64">
        <f>IF(tblMovement[[#This Row],[Material]]="","",IF(LEFT(tblMovement[[#This Row],[Material]],3)="Ore",1,0))</f>
        <v/>
      </c>
      <c r="N2898" s="59">
        <f>IF(OR(tblMovement[[#This Row],[Tonnes_t]]="",tblMovement[[#This Row],[Grade_gpt]]=""),0,tblMovement[[#This Row],[Tonnes_t]]*tblMovement[[#This Row],[Grade_gpt]]/cfg_TroyOz)</f>
        <v/>
      </c>
      <c r="O2898" s="59">
        <f>IF(tblMovement[[#This Row],[Is_Ore]]=1,tblMovement[[#This Row],[Contained_oz]],0)</f>
        <v/>
      </c>
    </row>
    <row r="2899">
      <c r="A2899" s="54" t="n"/>
      <c r="B2899" s="61" t="n"/>
      <c r="C2899" s="61" t="n"/>
      <c r="D2899" s="61" t="n"/>
      <c r="E2899" s="61" t="n"/>
      <c r="F2899" s="55" t="n"/>
      <c r="G2899" s="56" t="n"/>
      <c r="H2899" s="55" t="n"/>
      <c r="I2899" s="62" t="n"/>
      <c r="J2899" s="58" t="n"/>
      <c r="K2899" s="63">
        <f>IF(tblMovement[[#This Row],[Source]]="","",IFERROR(INDEX(tblSources[Type],MATCH(tblMovement[[#This Row],[Source]],tblSources[Source],0)),"?"))</f>
        <v/>
      </c>
      <c r="L2899" s="63">
        <f>IF(tblMovement[[#This Row],[Destination]]="","",IFERROR(INDEX(tblDestinations[Type],MATCH(tblMovement[[#This Row],[Destination]],tblDestinations[Destination],0)),"?"))</f>
        <v/>
      </c>
      <c r="M2899" s="64">
        <f>IF(tblMovement[[#This Row],[Material]]="","",IF(LEFT(tblMovement[[#This Row],[Material]],3)="Ore",1,0))</f>
        <v/>
      </c>
      <c r="N2899" s="59">
        <f>IF(OR(tblMovement[[#This Row],[Tonnes_t]]="",tblMovement[[#This Row],[Grade_gpt]]=""),0,tblMovement[[#This Row],[Tonnes_t]]*tblMovement[[#This Row],[Grade_gpt]]/cfg_TroyOz)</f>
        <v/>
      </c>
      <c r="O2899" s="59">
        <f>IF(tblMovement[[#This Row],[Is_Ore]]=1,tblMovement[[#This Row],[Contained_oz]],0)</f>
        <v/>
      </c>
    </row>
    <row r="2900">
      <c r="A2900" s="54" t="n"/>
      <c r="B2900" s="61" t="n"/>
      <c r="C2900" s="61" t="n"/>
      <c r="D2900" s="61" t="n"/>
      <c r="E2900" s="61" t="n"/>
      <c r="F2900" s="55" t="n"/>
      <c r="G2900" s="56" t="n"/>
      <c r="H2900" s="55" t="n"/>
      <c r="I2900" s="62" t="n"/>
      <c r="J2900" s="58" t="n"/>
      <c r="K2900" s="63">
        <f>IF(tblMovement[[#This Row],[Source]]="","",IFERROR(INDEX(tblSources[Type],MATCH(tblMovement[[#This Row],[Source]],tblSources[Source],0)),"?"))</f>
        <v/>
      </c>
      <c r="L2900" s="63">
        <f>IF(tblMovement[[#This Row],[Destination]]="","",IFERROR(INDEX(tblDestinations[Type],MATCH(tblMovement[[#This Row],[Destination]],tblDestinations[Destination],0)),"?"))</f>
        <v/>
      </c>
      <c r="M2900" s="64">
        <f>IF(tblMovement[[#This Row],[Material]]="","",IF(LEFT(tblMovement[[#This Row],[Material]],3)="Ore",1,0))</f>
        <v/>
      </c>
      <c r="N2900" s="59">
        <f>IF(OR(tblMovement[[#This Row],[Tonnes_t]]="",tblMovement[[#This Row],[Grade_gpt]]=""),0,tblMovement[[#This Row],[Tonnes_t]]*tblMovement[[#This Row],[Grade_gpt]]/cfg_TroyOz)</f>
        <v/>
      </c>
      <c r="O2900" s="59">
        <f>IF(tblMovement[[#This Row],[Is_Ore]]=1,tblMovement[[#This Row],[Contained_oz]],0)</f>
        <v/>
      </c>
    </row>
    <row r="2901">
      <c r="A2901" s="54" t="n"/>
      <c r="B2901" s="61" t="n"/>
      <c r="C2901" s="61" t="n"/>
      <c r="D2901" s="61" t="n"/>
      <c r="E2901" s="61" t="n"/>
      <c r="F2901" s="55" t="n"/>
      <c r="G2901" s="56" t="n"/>
      <c r="H2901" s="55" t="n"/>
      <c r="I2901" s="62" t="n"/>
      <c r="J2901" s="58" t="n"/>
      <c r="K2901" s="63">
        <f>IF(tblMovement[[#This Row],[Source]]="","",IFERROR(INDEX(tblSources[Type],MATCH(tblMovement[[#This Row],[Source]],tblSources[Source],0)),"?"))</f>
        <v/>
      </c>
      <c r="L2901" s="63">
        <f>IF(tblMovement[[#This Row],[Destination]]="","",IFERROR(INDEX(tblDestinations[Type],MATCH(tblMovement[[#This Row],[Destination]],tblDestinations[Destination],0)),"?"))</f>
        <v/>
      </c>
      <c r="M2901" s="64">
        <f>IF(tblMovement[[#This Row],[Material]]="","",IF(LEFT(tblMovement[[#This Row],[Material]],3)="Ore",1,0))</f>
        <v/>
      </c>
      <c r="N2901" s="59">
        <f>IF(OR(tblMovement[[#This Row],[Tonnes_t]]="",tblMovement[[#This Row],[Grade_gpt]]=""),0,tblMovement[[#This Row],[Tonnes_t]]*tblMovement[[#This Row],[Grade_gpt]]/cfg_TroyOz)</f>
        <v/>
      </c>
      <c r="O2901" s="59">
        <f>IF(tblMovement[[#This Row],[Is_Ore]]=1,tblMovement[[#This Row],[Contained_oz]],0)</f>
        <v/>
      </c>
    </row>
    <row r="2902">
      <c r="A2902" s="54" t="n"/>
      <c r="B2902" s="61" t="n"/>
      <c r="C2902" s="61" t="n"/>
      <c r="D2902" s="61" t="n"/>
      <c r="E2902" s="61" t="n"/>
      <c r="F2902" s="55" t="n"/>
      <c r="G2902" s="56" t="n"/>
      <c r="H2902" s="55" t="n"/>
      <c r="I2902" s="62" t="n"/>
      <c r="J2902" s="58" t="n"/>
      <c r="K2902" s="63">
        <f>IF(tblMovement[[#This Row],[Source]]="","",IFERROR(INDEX(tblSources[Type],MATCH(tblMovement[[#This Row],[Source]],tblSources[Source],0)),"?"))</f>
        <v/>
      </c>
      <c r="L2902" s="63">
        <f>IF(tblMovement[[#This Row],[Destination]]="","",IFERROR(INDEX(tblDestinations[Type],MATCH(tblMovement[[#This Row],[Destination]],tblDestinations[Destination],0)),"?"))</f>
        <v/>
      </c>
      <c r="M2902" s="64">
        <f>IF(tblMovement[[#This Row],[Material]]="","",IF(LEFT(tblMovement[[#This Row],[Material]],3)="Ore",1,0))</f>
        <v/>
      </c>
      <c r="N2902" s="59">
        <f>IF(OR(tblMovement[[#This Row],[Tonnes_t]]="",tblMovement[[#This Row],[Grade_gpt]]=""),0,tblMovement[[#This Row],[Tonnes_t]]*tblMovement[[#This Row],[Grade_gpt]]/cfg_TroyOz)</f>
        <v/>
      </c>
      <c r="O2902" s="59">
        <f>IF(tblMovement[[#This Row],[Is_Ore]]=1,tblMovement[[#This Row],[Contained_oz]],0)</f>
        <v/>
      </c>
    </row>
    <row r="2903">
      <c r="A2903" s="54" t="n"/>
      <c r="B2903" s="61" t="n"/>
      <c r="C2903" s="61" t="n"/>
      <c r="D2903" s="61" t="n"/>
      <c r="E2903" s="61" t="n"/>
      <c r="F2903" s="55" t="n"/>
      <c r="G2903" s="56" t="n"/>
      <c r="H2903" s="55" t="n"/>
      <c r="I2903" s="62" t="n"/>
      <c r="J2903" s="58" t="n"/>
      <c r="K2903" s="63">
        <f>IF(tblMovement[[#This Row],[Source]]="","",IFERROR(INDEX(tblSources[Type],MATCH(tblMovement[[#This Row],[Source]],tblSources[Source],0)),"?"))</f>
        <v/>
      </c>
      <c r="L2903" s="63">
        <f>IF(tblMovement[[#This Row],[Destination]]="","",IFERROR(INDEX(tblDestinations[Type],MATCH(tblMovement[[#This Row],[Destination]],tblDestinations[Destination],0)),"?"))</f>
        <v/>
      </c>
      <c r="M2903" s="64">
        <f>IF(tblMovement[[#This Row],[Material]]="","",IF(LEFT(tblMovement[[#This Row],[Material]],3)="Ore",1,0))</f>
        <v/>
      </c>
      <c r="N2903" s="59">
        <f>IF(OR(tblMovement[[#This Row],[Tonnes_t]]="",tblMovement[[#This Row],[Grade_gpt]]=""),0,tblMovement[[#This Row],[Tonnes_t]]*tblMovement[[#This Row],[Grade_gpt]]/cfg_TroyOz)</f>
        <v/>
      </c>
      <c r="O2903" s="59">
        <f>IF(tblMovement[[#This Row],[Is_Ore]]=1,tblMovement[[#This Row],[Contained_oz]],0)</f>
        <v/>
      </c>
    </row>
    <row r="2904">
      <c r="A2904" s="54" t="n"/>
      <c r="B2904" s="61" t="n"/>
      <c r="C2904" s="61" t="n"/>
      <c r="D2904" s="61" t="n"/>
      <c r="E2904" s="61" t="n"/>
      <c r="F2904" s="55" t="n"/>
      <c r="G2904" s="56" t="n"/>
      <c r="H2904" s="55" t="n"/>
      <c r="I2904" s="62" t="n"/>
      <c r="J2904" s="58" t="n"/>
      <c r="K2904" s="63">
        <f>IF(tblMovement[[#This Row],[Source]]="","",IFERROR(INDEX(tblSources[Type],MATCH(tblMovement[[#This Row],[Source]],tblSources[Source],0)),"?"))</f>
        <v/>
      </c>
      <c r="L2904" s="63">
        <f>IF(tblMovement[[#This Row],[Destination]]="","",IFERROR(INDEX(tblDestinations[Type],MATCH(tblMovement[[#This Row],[Destination]],tblDestinations[Destination],0)),"?"))</f>
        <v/>
      </c>
      <c r="M2904" s="64">
        <f>IF(tblMovement[[#This Row],[Material]]="","",IF(LEFT(tblMovement[[#This Row],[Material]],3)="Ore",1,0))</f>
        <v/>
      </c>
      <c r="N2904" s="59">
        <f>IF(OR(tblMovement[[#This Row],[Tonnes_t]]="",tblMovement[[#This Row],[Grade_gpt]]=""),0,tblMovement[[#This Row],[Tonnes_t]]*tblMovement[[#This Row],[Grade_gpt]]/cfg_TroyOz)</f>
        <v/>
      </c>
      <c r="O2904" s="59">
        <f>IF(tblMovement[[#This Row],[Is_Ore]]=1,tblMovement[[#This Row],[Contained_oz]],0)</f>
        <v/>
      </c>
    </row>
    <row r="2905">
      <c r="A2905" s="54" t="n"/>
      <c r="B2905" s="61" t="n"/>
      <c r="C2905" s="61" t="n"/>
      <c r="D2905" s="61" t="n"/>
      <c r="E2905" s="61" t="n"/>
      <c r="F2905" s="55" t="n"/>
      <c r="G2905" s="56" t="n"/>
      <c r="H2905" s="55" t="n"/>
      <c r="I2905" s="62" t="n"/>
      <c r="J2905" s="58" t="n"/>
      <c r="K2905" s="63">
        <f>IF(tblMovement[[#This Row],[Source]]="","",IFERROR(INDEX(tblSources[Type],MATCH(tblMovement[[#This Row],[Source]],tblSources[Source],0)),"?"))</f>
        <v/>
      </c>
      <c r="L2905" s="63">
        <f>IF(tblMovement[[#This Row],[Destination]]="","",IFERROR(INDEX(tblDestinations[Type],MATCH(tblMovement[[#This Row],[Destination]],tblDestinations[Destination],0)),"?"))</f>
        <v/>
      </c>
      <c r="M2905" s="64">
        <f>IF(tblMovement[[#This Row],[Material]]="","",IF(LEFT(tblMovement[[#This Row],[Material]],3)="Ore",1,0))</f>
        <v/>
      </c>
      <c r="N2905" s="59">
        <f>IF(OR(tblMovement[[#This Row],[Tonnes_t]]="",tblMovement[[#This Row],[Grade_gpt]]=""),0,tblMovement[[#This Row],[Tonnes_t]]*tblMovement[[#This Row],[Grade_gpt]]/cfg_TroyOz)</f>
        <v/>
      </c>
      <c r="O2905" s="59">
        <f>IF(tblMovement[[#This Row],[Is_Ore]]=1,tblMovement[[#This Row],[Contained_oz]],0)</f>
        <v/>
      </c>
    </row>
    <row r="2906">
      <c r="A2906" s="54" t="n"/>
      <c r="B2906" s="61" t="n"/>
      <c r="C2906" s="61" t="n"/>
      <c r="D2906" s="61" t="n"/>
      <c r="E2906" s="61" t="n"/>
      <c r="F2906" s="55" t="n"/>
      <c r="G2906" s="56" t="n"/>
      <c r="H2906" s="55" t="n"/>
      <c r="I2906" s="62" t="n"/>
      <c r="J2906" s="58" t="n"/>
      <c r="K2906" s="63">
        <f>IF(tblMovement[[#This Row],[Source]]="","",IFERROR(INDEX(tblSources[Type],MATCH(tblMovement[[#This Row],[Source]],tblSources[Source],0)),"?"))</f>
        <v/>
      </c>
      <c r="L2906" s="63">
        <f>IF(tblMovement[[#This Row],[Destination]]="","",IFERROR(INDEX(tblDestinations[Type],MATCH(tblMovement[[#This Row],[Destination]],tblDestinations[Destination],0)),"?"))</f>
        <v/>
      </c>
      <c r="M2906" s="64">
        <f>IF(tblMovement[[#This Row],[Material]]="","",IF(LEFT(tblMovement[[#This Row],[Material]],3)="Ore",1,0))</f>
        <v/>
      </c>
      <c r="N2906" s="59">
        <f>IF(OR(tblMovement[[#This Row],[Tonnes_t]]="",tblMovement[[#This Row],[Grade_gpt]]=""),0,tblMovement[[#This Row],[Tonnes_t]]*tblMovement[[#This Row],[Grade_gpt]]/cfg_TroyOz)</f>
        <v/>
      </c>
      <c r="O2906" s="59">
        <f>IF(tblMovement[[#This Row],[Is_Ore]]=1,tblMovement[[#This Row],[Contained_oz]],0)</f>
        <v/>
      </c>
    </row>
    <row r="2907">
      <c r="A2907" s="54" t="n"/>
      <c r="B2907" s="61" t="n"/>
      <c r="C2907" s="61" t="n"/>
      <c r="D2907" s="61" t="n"/>
      <c r="E2907" s="61" t="n"/>
      <c r="F2907" s="55" t="n"/>
      <c r="G2907" s="56" t="n"/>
      <c r="H2907" s="55" t="n"/>
      <c r="I2907" s="62" t="n"/>
      <c r="J2907" s="58" t="n"/>
      <c r="K2907" s="63">
        <f>IF(tblMovement[[#This Row],[Source]]="","",IFERROR(INDEX(tblSources[Type],MATCH(tblMovement[[#This Row],[Source]],tblSources[Source],0)),"?"))</f>
        <v/>
      </c>
      <c r="L2907" s="63">
        <f>IF(tblMovement[[#This Row],[Destination]]="","",IFERROR(INDEX(tblDestinations[Type],MATCH(tblMovement[[#This Row],[Destination]],tblDestinations[Destination],0)),"?"))</f>
        <v/>
      </c>
      <c r="M2907" s="64">
        <f>IF(tblMovement[[#This Row],[Material]]="","",IF(LEFT(tblMovement[[#This Row],[Material]],3)="Ore",1,0))</f>
        <v/>
      </c>
      <c r="N2907" s="59">
        <f>IF(OR(tblMovement[[#This Row],[Tonnes_t]]="",tblMovement[[#This Row],[Grade_gpt]]=""),0,tblMovement[[#This Row],[Tonnes_t]]*tblMovement[[#This Row],[Grade_gpt]]/cfg_TroyOz)</f>
        <v/>
      </c>
      <c r="O2907" s="59">
        <f>IF(tblMovement[[#This Row],[Is_Ore]]=1,tblMovement[[#This Row],[Contained_oz]],0)</f>
        <v/>
      </c>
    </row>
    <row r="2908">
      <c r="A2908" s="54" t="n"/>
      <c r="B2908" s="61" t="n"/>
      <c r="C2908" s="61" t="n"/>
      <c r="D2908" s="61" t="n"/>
      <c r="E2908" s="61" t="n"/>
      <c r="F2908" s="55" t="n"/>
      <c r="G2908" s="56" t="n"/>
      <c r="H2908" s="55" t="n"/>
      <c r="I2908" s="62" t="n"/>
      <c r="J2908" s="58" t="n"/>
      <c r="K2908" s="63">
        <f>IF(tblMovement[[#This Row],[Source]]="","",IFERROR(INDEX(tblSources[Type],MATCH(tblMovement[[#This Row],[Source]],tblSources[Source],0)),"?"))</f>
        <v/>
      </c>
      <c r="L2908" s="63">
        <f>IF(tblMovement[[#This Row],[Destination]]="","",IFERROR(INDEX(tblDestinations[Type],MATCH(tblMovement[[#This Row],[Destination]],tblDestinations[Destination],0)),"?"))</f>
        <v/>
      </c>
      <c r="M2908" s="64">
        <f>IF(tblMovement[[#This Row],[Material]]="","",IF(LEFT(tblMovement[[#This Row],[Material]],3)="Ore",1,0))</f>
        <v/>
      </c>
      <c r="N2908" s="59">
        <f>IF(OR(tblMovement[[#This Row],[Tonnes_t]]="",tblMovement[[#This Row],[Grade_gpt]]=""),0,tblMovement[[#This Row],[Tonnes_t]]*tblMovement[[#This Row],[Grade_gpt]]/cfg_TroyOz)</f>
        <v/>
      </c>
      <c r="O2908" s="59">
        <f>IF(tblMovement[[#This Row],[Is_Ore]]=1,tblMovement[[#This Row],[Contained_oz]],0)</f>
        <v/>
      </c>
    </row>
    <row r="2909">
      <c r="A2909" s="54" t="n"/>
      <c r="B2909" s="61" t="n"/>
      <c r="C2909" s="61" t="n"/>
      <c r="D2909" s="61" t="n"/>
      <c r="E2909" s="61" t="n"/>
      <c r="F2909" s="55" t="n"/>
      <c r="G2909" s="56" t="n"/>
      <c r="H2909" s="55" t="n"/>
      <c r="I2909" s="62" t="n"/>
      <c r="J2909" s="58" t="n"/>
      <c r="K2909" s="63">
        <f>IF(tblMovement[[#This Row],[Source]]="","",IFERROR(INDEX(tblSources[Type],MATCH(tblMovement[[#This Row],[Source]],tblSources[Source],0)),"?"))</f>
        <v/>
      </c>
      <c r="L2909" s="63">
        <f>IF(tblMovement[[#This Row],[Destination]]="","",IFERROR(INDEX(tblDestinations[Type],MATCH(tblMovement[[#This Row],[Destination]],tblDestinations[Destination],0)),"?"))</f>
        <v/>
      </c>
      <c r="M2909" s="64">
        <f>IF(tblMovement[[#This Row],[Material]]="","",IF(LEFT(tblMovement[[#This Row],[Material]],3)="Ore",1,0))</f>
        <v/>
      </c>
      <c r="N2909" s="59">
        <f>IF(OR(tblMovement[[#This Row],[Tonnes_t]]="",tblMovement[[#This Row],[Grade_gpt]]=""),0,tblMovement[[#This Row],[Tonnes_t]]*tblMovement[[#This Row],[Grade_gpt]]/cfg_TroyOz)</f>
        <v/>
      </c>
      <c r="O2909" s="59">
        <f>IF(tblMovement[[#This Row],[Is_Ore]]=1,tblMovement[[#This Row],[Contained_oz]],0)</f>
        <v/>
      </c>
    </row>
    <row r="2910">
      <c r="A2910" s="54" t="n"/>
      <c r="B2910" s="61" t="n"/>
      <c r="C2910" s="61" t="n"/>
      <c r="D2910" s="61" t="n"/>
      <c r="E2910" s="61" t="n"/>
      <c r="F2910" s="55" t="n"/>
      <c r="G2910" s="56" t="n"/>
      <c r="H2910" s="55" t="n"/>
      <c r="I2910" s="62" t="n"/>
      <c r="J2910" s="58" t="n"/>
      <c r="K2910" s="63">
        <f>IF(tblMovement[[#This Row],[Source]]="","",IFERROR(INDEX(tblSources[Type],MATCH(tblMovement[[#This Row],[Source]],tblSources[Source],0)),"?"))</f>
        <v/>
      </c>
      <c r="L2910" s="63">
        <f>IF(tblMovement[[#This Row],[Destination]]="","",IFERROR(INDEX(tblDestinations[Type],MATCH(tblMovement[[#This Row],[Destination]],tblDestinations[Destination],0)),"?"))</f>
        <v/>
      </c>
      <c r="M2910" s="64">
        <f>IF(tblMovement[[#This Row],[Material]]="","",IF(LEFT(tblMovement[[#This Row],[Material]],3)="Ore",1,0))</f>
        <v/>
      </c>
      <c r="N2910" s="59">
        <f>IF(OR(tblMovement[[#This Row],[Tonnes_t]]="",tblMovement[[#This Row],[Grade_gpt]]=""),0,tblMovement[[#This Row],[Tonnes_t]]*tblMovement[[#This Row],[Grade_gpt]]/cfg_TroyOz)</f>
        <v/>
      </c>
      <c r="O2910" s="59">
        <f>IF(tblMovement[[#This Row],[Is_Ore]]=1,tblMovement[[#This Row],[Contained_oz]],0)</f>
        <v/>
      </c>
    </row>
    <row r="2911">
      <c r="A2911" s="54" t="n"/>
      <c r="B2911" s="61" t="n"/>
      <c r="C2911" s="61" t="n"/>
      <c r="D2911" s="61" t="n"/>
      <c r="E2911" s="61" t="n"/>
      <c r="F2911" s="55" t="n"/>
      <c r="G2911" s="56" t="n"/>
      <c r="H2911" s="55" t="n"/>
      <c r="I2911" s="62" t="n"/>
      <c r="J2911" s="58" t="n"/>
      <c r="K2911" s="63">
        <f>IF(tblMovement[[#This Row],[Source]]="","",IFERROR(INDEX(tblSources[Type],MATCH(tblMovement[[#This Row],[Source]],tblSources[Source],0)),"?"))</f>
        <v/>
      </c>
      <c r="L2911" s="63">
        <f>IF(tblMovement[[#This Row],[Destination]]="","",IFERROR(INDEX(tblDestinations[Type],MATCH(tblMovement[[#This Row],[Destination]],tblDestinations[Destination],0)),"?"))</f>
        <v/>
      </c>
      <c r="M2911" s="64">
        <f>IF(tblMovement[[#This Row],[Material]]="","",IF(LEFT(tblMovement[[#This Row],[Material]],3)="Ore",1,0))</f>
        <v/>
      </c>
      <c r="N2911" s="59">
        <f>IF(OR(tblMovement[[#This Row],[Tonnes_t]]="",tblMovement[[#This Row],[Grade_gpt]]=""),0,tblMovement[[#This Row],[Tonnes_t]]*tblMovement[[#This Row],[Grade_gpt]]/cfg_TroyOz)</f>
        <v/>
      </c>
      <c r="O2911" s="59">
        <f>IF(tblMovement[[#This Row],[Is_Ore]]=1,tblMovement[[#This Row],[Contained_oz]],0)</f>
        <v/>
      </c>
    </row>
    <row r="2912">
      <c r="A2912" s="54" t="n"/>
      <c r="B2912" s="61" t="n"/>
      <c r="C2912" s="61" t="n"/>
      <c r="D2912" s="61" t="n"/>
      <c r="E2912" s="61" t="n"/>
      <c r="F2912" s="55" t="n"/>
      <c r="G2912" s="56" t="n"/>
      <c r="H2912" s="55" t="n"/>
      <c r="I2912" s="62" t="n"/>
      <c r="J2912" s="58" t="n"/>
      <c r="K2912" s="63">
        <f>IF(tblMovement[[#This Row],[Source]]="","",IFERROR(INDEX(tblSources[Type],MATCH(tblMovement[[#This Row],[Source]],tblSources[Source],0)),"?"))</f>
        <v/>
      </c>
      <c r="L2912" s="63">
        <f>IF(tblMovement[[#This Row],[Destination]]="","",IFERROR(INDEX(tblDestinations[Type],MATCH(tblMovement[[#This Row],[Destination]],tblDestinations[Destination],0)),"?"))</f>
        <v/>
      </c>
      <c r="M2912" s="64">
        <f>IF(tblMovement[[#This Row],[Material]]="","",IF(LEFT(tblMovement[[#This Row],[Material]],3)="Ore",1,0))</f>
        <v/>
      </c>
      <c r="N2912" s="59">
        <f>IF(OR(tblMovement[[#This Row],[Tonnes_t]]="",tblMovement[[#This Row],[Grade_gpt]]=""),0,tblMovement[[#This Row],[Tonnes_t]]*tblMovement[[#This Row],[Grade_gpt]]/cfg_TroyOz)</f>
        <v/>
      </c>
      <c r="O2912" s="59">
        <f>IF(tblMovement[[#This Row],[Is_Ore]]=1,tblMovement[[#This Row],[Contained_oz]],0)</f>
        <v/>
      </c>
    </row>
    <row r="2913">
      <c r="A2913" s="54" t="n"/>
      <c r="B2913" s="61" t="n"/>
      <c r="C2913" s="61" t="n"/>
      <c r="D2913" s="61" t="n"/>
      <c r="E2913" s="61" t="n"/>
      <c r="F2913" s="55" t="n"/>
      <c r="G2913" s="56" t="n"/>
      <c r="H2913" s="55" t="n"/>
      <c r="I2913" s="62" t="n"/>
      <c r="J2913" s="58" t="n"/>
      <c r="K2913" s="63">
        <f>IF(tblMovement[[#This Row],[Source]]="","",IFERROR(INDEX(tblSources[Type],MATCH(tblMovement[[#This Row],[Source]],tblSources[Source],0)),"?"))</f>
        <v/>
      </c>
      <c r="L2913" s="63">
        <f>IF(tblMovement[[#This Row],[Destination]]="","",IFERROR(INDEX(tblDestinations[Type],MATCH(tblMovement[[#This Row],[Destination]],tblDestinations[Destination],0)),"?"))</f>
        <v/>
      </c>
      <c r="M2913" s="64">
        <f>IF(tblMovement[[#This Row],[Material]]="","",IF(LEFT(tblMovement[[#This Row],[Material]],3)="Ore",1,0))</f>
        <v/>
      </c>
      <c r="N2913" s="59">
        <f>IF(OR(tblMovement[[#This Row],[Tonnes_t]]="",tblMovement[[#This Row],[Grade_gpt]]=""),0,tblMovement[[#This Row],[Tonnes_t]]*tblMovement[[#This Row],[Grade_gpt]]/cfg_TroyOz)</f>
        <v/>
      </c>
      <c r="O2913" s="59">
        <f>IF(tblMovement[[#This Row],[Is_Ore]]=1,tblMovement[[#This Row],[Contained_oz]],0)</f>
        <v/>
      </c>
    </row>
    <row r="2914">
      <c r="A2914" s="54" t="n"/>
      <c r="B2914" s="61" t="n"/>
      <c r="C2914" s="61" t="n"/>
      <c r="D2914" s="61" t="n"/>
      <c r="E2914" s="61" t="n"/>
      <c r="F2914" s="55" t="n"/>
      <c r="G2914" s="56" t="n"/>
      <c r="H2914" s="55" t="n"/>
      <c r="I2914" s="62" t="n"/>
      <c r="J2914" s="58" t="n"/>
      <c r="K2914" s="63">
        <f>IF(tblMovement[[#This Row],[Source]]="","",IFERROR(INDEX(tblSources[Type],MATCH(tblMovement[[#This Row],[Source]],tblSources[Source],0)),"?"))</f>
        <v/>
      </c>
      <c r="L2914" s="63">
        <f>IF(tblMovement[[#This Row],[Destination]]="","",IFERROR(INDEX(tblDestinations[Type],MATCH(tblMovement[[#This Row],[Destination]],tblDestinations[Destination],0)),"?"))</f>
        <v/>
      </c>
      <c r="M2914" s="64">
        <f>IF(tblMovement[[#This Row],[Material]]="","",IF(LEFT(tblMovement[[#This Row],[Material]],3)="Ore",1,0))</f>
        <v/>
      </c>
      <c r="N2914" s="59">
        <f>IF(OR(tblMovement[[#This Row],[Tonnes_t]]="",tblMovement[[#This Row],[Grade_gpt]]=""),0,tblMovement[[#This Row],[Tonnes_t]]*tblMovement[[#This Row],[Grade_gpt]]/cfg_TroyOz)</f>
        <v/>
      </c>
      <c r="O2914" s="59">
        <f>IF(tblMovement[[#This Row],[Is_Ore]]=1,tblMovement[[#This Row],[Contained_oz]],0)</f>
        <v/>
      </c>
    </row>
    <row r="2915">
      <c r="A2915" s="54" t="n"/>
      <c r="B2915" s="61" t="n"/>
      <c r="C2915" s="61" t="n"/>
      <c r="D2915" s="61" t="n"/>
      <c r="E2915" s="61" t="n"/>
      <c r="F2915" s="55" t="n"/>
      <c r="G2915" s="56" t="n"/>
      <c r="H2915" s="55" t="n"/>
      <c r="I2915" s="62" t="n"/>
      <c r="J2915" s="58" t="n"/>
      <c r="K2915" s="63">
        <f>IF(tblMovement[[#This Row],[Source]]="","",IFERROR(INDEX(tblSources[Type],MATCH(tblMovement[[#This Row],[Source]],tblSources[Source],0)),"?"))</f>
        <v/>
      </c>
      <c r="L2915" s="63">
        <f>IF(tblMovement[[#This Row],[Destination]]="","",IFERROR(INDEX(tblDestinations[Type],MATCH(tblMovement[[#This Row],[Destination]],tblDestinations[Destination],0)),"?"))</f>
        <v/>
      </c>
      <c r="M2915" s="64">
        <f>IF(tblMovement[[#This Row],[Material]]="","",IF(LEFT(tblMovement[[#This Row],[Material]],3)="Ore",1,0))</f>
        <v/>
      </c>
      <c r="N2915" s="59">
        <f>IF(OR(tblMovement[[#This Row],[Tonnes_t]]="",tblMovement[[#This Row],[Grade_gpt]]=""),0,tblMovement[[#This Row],[Tonnes_t]]*tblMovement[[#This Row],[Grade_gpt]]/cfg_TroyOz)</f>
        <v/>
      </c>
      <c r="O2915" s="59">
        <f>IF(tblMovement[[#This Row],[Is_Ore]]=1,tblMovement[[#This Row],[Contained_oz]],0)</f>
        <v/>
      </c>
    </row>
    <row r="2916">
      <c r="A2916" s="54" t="n"/>
      <c r="B2916" s="61" t="n"/>
      <c r="C2916" s="61" t="n"/>
      <c r="D2916" s="61" t="n"/>
      <c r="E2916" s="61" t="n"/>
      <c r="F2916" s="55" t="n"/>
      <c r="G2916" s="56" t="n"/>
      <c r="H2916" s="55" t="n"/>
      <c r="I2916" s="62" t="n"/>
      <c r="J2916" s="58" t="n"/>
      <c r="K2916" s="63">
        <f>IF(tblMovement[[#This Row],[Source]]="","",IFERROR(INDEX(tblSources[Type],MATCH(tblMovement[[#This Row],[Source]],tblSources[Source],0)),"?"))</f>
        <v/>
      </c>
      <c r="L2916" s="63">
        <f>IF(tblMovement[[#This Row],[Destination]]="","",IFERROR(INDEX(tblDestinations[Type],MATCH(tblMovement[[#This Row],[Destination]],tblDestinations[Destination],0)),"?"))</f>
        <v/>
      </c>
      <c r="M2916" s="64">
        <f>IF(tblMovement[[#This Row],[Material]]="","",IF(LEFT(tblMovement[[#This Row],[Material]],3)="Ore",1,0))</f>
        <v/>
      </c>
      <c r="N2916" s="59">
        <f>IF(OR(tblMovement[[#This Row],[Tonnes_t]]="",tblMovement[[#This Row],[Grade_gpt]]=""),0,tblMovement[[#This Row],[Tonnes_t]]*tblMovement[[#This Row],[Grade_gpt]]/cfg_TroyOz)</f>
        <v/>
      </c>
      <c r="O2916" s="59">
        <f>IF(tblMovement[[#This Row],[Is_Ore]]=1,tblMovement[[#This Row],[Contained_oz]],0)</f>
        <v/>
      </c>
    </row>
    <row r="2917">
      <c r="A2917" s="54" t="n"/>
      <c r="B2917" s="61" t="n"/>
      <c r="C2917" s="61" t="n"/>
      <c r="D2917" s="61" t="n"/>
      <c r="E2917" s="61" t="n"/>
      <c r="F2917" s="55" t="n"/>
      <c r="G2917" s="56" t="n"/>
      <c r="H2917" s="55" t="n"/>
      <c r="I2917" s="62" t="n"/>
      <c r="J2917" s="58" t="n"/>
      <c r="K2917" s="63">
        <f>IF(tblMovement[[#This Row],[Source]]="","",IFERROR(INDEX(tblSources[Type],MATCH(tblMovement[[#This Row],[Source]],tblSources[Source],0)),"?"))</f>
        <v/>
      </c>
      <c r="L2917" s="63">
        <f>IF(tblMovement[[#This Row],[Destination]]="","",IFERROR(INDEX(tblDestinations[Type],MATCH(tblMovement[[#This Row],[Destination]],tblDestinations[Destination],0)),"?"))</f>
        <v/>
      </c>
      <c r="M2917" s="64">
        <f>IF(tblMovement[[#This Row],[Material]]="","",IF(LEFT(tblMovement[[#This Row],[Material]],3)="Ore",1,0))</f>
        <v/>
      </c>
      <c r="N2917" s="59">
        <f>IF(OR(tblMovement[[#This Row],[Tonnes_t]]="",tblMovement[[#This Row],[Grade_gpt]]=""),0,tblMovement[[#This Row],[Tonnes_t]]*tblMovement[[#This Row],[Grade_gpt]]/cfg_TroyOz)</f>
        <v/>
      </c>
      <c r="O2917" s="59">
        <f>IF(tblMovement[[#This Row],[Is_Ore]]=1,tblMovement[[#This Row],[Contained_oz]],0)</f>
        <v/>
      </c>
    </row>
    <row r="2918">
      <c r="A2918" s="54" t="n"/>
      <c r="B2918" s="61" t="n"/>
      <c r="C2918" s="61" t="n"/>
      <c r="D2918" s="61" t="n"/>
      <c r="E2918" s="61" t="n"/>
      <c r="F2918" s="55" t="n"/>
      <c r="G2918" s="56" t="n"/>
      <c r="H2918" s="55" t="n"/>
      <c r="I2918" s="62" t="n"/>
      <c r="J2918" s="58" t="n"/>
      <c r="K2918" s="63">
        <f>IF(tblMovement[[#This Row],[Source]]="","",IFERROR(INDEX(tblSources[Type],MATCH(tblMovement[[#This Row],[Source]],tblSources[Source],0)),"?"))</f>
        <v/>
      </c>
      <c r="L2918" s="63">
        <f>IF(tblMovement[[#This Row],[Destination]]="","",IFERROR(INDEX(tblDestinations[Type],MATCH(tblMovement[[#This Row],[Destination]],tblDestinations[Destination],0)),"?"))</f>
        <v/>
      </c>
      <c r="M2918" s="64">
        <f>IF(tblMovement[[#This Row],[Material]]="","",IF(LEFT(tblMovement[[#This Row],[Material]],3)="Ore",1,0))</f>
        <v/>
      </c>
      <c r="N2918" s="59">
        <f>IF(OR(tblMovement[[#This Row],[Tonnes_t]]="",tblMovement[[#This Row],[Grade_gpt]]=""),0,tblMovement[[#This Row],[Tonnes_t]]*tblMovement[[#This Row],[Grade_gpt]]/cfg_TroyOz)</f>
        <v/>
      </c>
      <c r="O2918" s="59">
        <f>IF(tblMovement[[#This Row],[Is_Ore]]=1,tblMovement[[#This Row],[Contained_oz]],0)</f>
        <v/>
      </c>
    </row>
    <row r="2919">
      <c r="A2919" s="54" t="n"/>
      <c r="B2919" s="61" t="n"/>
      <c r="C2919" s="61" t="n"/>
      <c r="D2919" s="61" t="n"/>
      <c r="E2919" s="61" t="n"/>
      <c r="F2919" s="55" t="n"/>
      <c r="G2919" s="56" t="n"/>
      <c r="H2919" s="55" t="n"/>
      <c r="I2919" s="62" t="n"/>
      <c r="J2919" s="58" t="n"/>
      <c r="K2919" s="63">
        <f>IF(tblMovement[[#This Row],[Source]]="","",IFERROR(INDEX(tblSources[Type],MATCH(tblMovement[[#This Row],[Source]],tblSources[Source],0)),"?"))</f>
        <v/>
      </c>
      <c r="L2919" s="63">
        <f>IF(tblMovement[[#This Row],[Destination]]="","",IFERROR(INDEX(tblDestinations[Type],MATCH(tblMovement[[#This Row],[Destination]],tblDestinations[Destination],0)),"?"))</f>
        <v/>
      </c>
      <c r="M2919" s="64">
        <f>IF(tblMovement[[#This Row],[Material]]="","",IF(LEFT(tblMovement[[#This Row],[Material]],3)="Ore",1,0))</f>
        <v/>
      </c>
      <c r="N2919" s="59">
        <f>IF(OR(tblMovement[[#This Row],[Tonnes_t]]="",tblMovement[[#This Row],[Grade_gpt]]=""),0,tblMovement[[#This Row],[Tonnes_t]]*tblMovement[[#This Row],[Grade_gpt]]/cfg_TroyOz)</f>
        <v/>
      </c>
      <c r="O2919" s="59">
        <f>IF(tblMovement[[#This Row],[Is_Ore]]=1,tblMovement[[#This Row],[Contained_oz]],0)</f>
        <v/>
      </c>
    </row>
    <row r="2920">
      <c r="A2920" s="54" t="n"/>
      <c r="B2920" s="61" t="n"/>
      <c r="C2920" s="61" t="n"/>
      <c r="D2920" s="61" t="n"/>
      <c r="E2920" s="61" t="n"/>
      <c r="F2920" s="55" t="n"/>
      <c r="G2920" s="56" t="n"/>
      <c r="H2920" s="55" t="n"/>
      <c r="I2920" s="62" t="n"/>
      <c r="J2920" s="58" t="n"/>
      <c r="K2920" s="63">
        <f>IF(tblMovement[[#This Row],[Source]]="","",IFERROR(INDEX(tblSources[Type],MATCH(tblMovement[[#This Row],[Source]],tblSources[Source],0)),"?"))</f>
        <v/>
      </c>
      <c r="L2920" s="63">
        <f>IF(tblMovement[[#This Row],[Destination]]="","",IFERROR(INDEX(tblDestinations[Type],MATCH(tblMovement[[#This Row],[Destination]],tblDestinations[Destination],0)),"?"))</f>
        <v/>
      </c>
      <c r="M2920" s="64">
        <f>IF(tblMovement[[#This Row],[Material]]="","",IF(LEFT(tblMovement[[#This Row],[Material]],3)="Ore",1,0))</f>
        <v/>
      </c>
      <c r="N2920" s="59">
        <f>IF(OR(tblMovement[[#This Row],[Tonnes_t]]="",tblMovement[[#This Row],[Grade_gpt]]=""),0,tblMovement[[#This Row],[Tonnes_t]]*tblMovement[[#This Row],[Grade_gpt]]/cfg_TroyOz)</f>
        <v/>
      </c>
      <c r="O2920" s="59">
        <f>IF(tblMovement[[#This Row],[Is_Ore]]=1,tblMovement[[#This Row],[Contained_oz]],0)</f>
        <v/>
      </c>
    </row>
    <row r="2921">
      <c r="A2921" s="54" t="n"/>
      <c r="B2921" s="61" t="n"/>
      <c r="C2921" s="61" t="n"/>
      <c r="D2921" s="61" t="n"/>
      <c r="E2921" s="61" t="n"/>
      <c r="F2921" s="55" t="n"/>
      <c r="G2921" s="56" t="n"/>
      <c r="H2921" s="55" t="n"/>
      <c r="I2921" s="62" t="n"/>
      <c r="J2921" s="58" t="n"/>
      <c r="K2921" s="63">
        <f>IF(tblMovement[[#This Row],[Source]]="","",IFERROR(INDEX(tblSources[Type],MATCH(tblMovement[[#This Row],[Source]],tblSources[Source],0)),"?"))</f>
        <v/>
      </c>
      <c r="L2921" s="63">
        <f>IF(tblMovement[[#This Row],[Destination]]="","",IFERROR(INDEX(tblDestinations[Type],MATCH(tblMovement[[#This Row],[Destination]],tblDestinations[Destination],0)),"?"))</f>
        <v/>
      </c>
      <c r="M2921" s="64">
        <f>IF(tblMovement[[#This Row],[Material]]="","",IF(LEFT(tblMovement[[#This Row],[Material]],3)="Ore",1,0))</f>
        <v/>
      </c>
      <c r="N2921" s="59">
        <f>IF(OR(tblMovement[[#This Row],[Tonnes_t]]="",tblMovement[[#This Row],[Grade_gpt]]=""),0,tblMovement[[#This Row],[Tonnes_t]]*tblMovement[[#This Row],[Grade_gpt]]/cfg_TroyOz)</f>
        <v/>
      </c>
      <c r="O2921" s="59">
        <f>IF(tblMovement[[#This Row],[Is_Ore]]=1,tblMovement[[#This Row],[Contained_oz]],0)</f>
        <v/>
      </c>
    </row>
    <row r="2922">
      <c r="A2922" s="54" t="n"/>
      <c r="B2922" s="61" t="n"/>
      <c r="C2922" s="61" t="n"/>
      <c r="D2922" s="61" t="n"/>
      <c r="E2922" s="61" t="n"/>
      <c r="F2922" s="55" t="n"/>
      <c r="G2922" s="56" t="n"/>
      <c r="H2922" s="55" t="n"/>
      <c r="I2922" s="62" t="n"/>
      <c r="J2922" s="58" t="n"/>
      <c r="K2922" s="63">
        <f>IF(tblMovement[[#This Row],[Source]]="","",IFERROR(INDEX(tblSources[Type],MATCH(tblMovement[[#This Row],[Source]],tblSources[Source],0)),"?"))</f>
        <v/>
      </c>
      <c r="L2922" s="63">
        <f>IF(tblMovement[[#This Row],[Destination]]="","",IFERROR(INDEX(tblDestinations[Type],MATCH(tblMovement[[#This Row],[Destination]],tblDestinations[Destination],0)),"?"))</f>
        <v/>
      </c>
      <c r="M2922" s="64">
        <f>IF(tblMovement[[#This Row],[Material]]="","",IF(LEFT(tblMovement[[#This Row],[Material]],3)="Ore",1,0))</f>
        <v/>
      </c>
      <c r="N2922" s="59">
        <f>IF(OR(tblMovement[[#This Row],[Tonnes_t]]="",tblMovement[[#This Row],[Grade_gpt]]=""),0,tblMovement[[#This Row],[Tonnes_t]]*tblMovement[[#This Row],[Grade_gpt]]/cfg_TroyOz)</f>
        <v/>
      </c>
      <c r="O2922" s="59">
        <f>IF(tblMovement[[#This Row],[Is_Ore]]=1,tblMovement[[#This Row],[Contained_oz]],0)</f>
        <v/>
      </c>
    </row>
    <row r="2923">
      <c r="A2923" s="54" t="n"/>
      <c r="B2923" s="61" t="n"/>
      <c r="C2923" s="61" t="n"/>
      <c r="D2923" s="61" t="n"/>
      <c r="E2923" s="61" t="n"/>
      <c r="F2923" s="55" t="n"/>
      <c r="G2923" s="56" t="n"/>
      <c r="H2923" s="55" t="n"/>
      <c r="I2923" s="62" t="n"/>
      <c r="J2923" s="58" t="n"/>
      <c r="K2923" s="63">
        <f>IF(tblMovement[[#This Row],[Source]]="","",IFERROR(INDEX(tblSources[Type],MATCH(tblMovement[[#This Row],[Source]],tblSources[Source],0)),"?"))</f>
        <v/>
      </c>
      <c r="L2923" s="63">
        <f>IF(tblMovement[[#This Row],[Destination]]="","",IFERROR(INDEX(tblDestinations[Type],MATCH(tblMovement[[#This Row],[Destination]],tblDestinations[Destination],0)),"?"))</f>
        <v/>
      </c>
      <c r="M2923" s="64">
        <f>IF(tblMovement[[#This Row],[Material]]="","",IF(LEFT(tblMovement[[#This Row],[Material]],3)="Ore",1,0))</f>
        <v/>
      </c>
      <c r="N2923" s="59">
        <f>IF(OR(tblMovement[[#This Row],[Tonnes_t]]="",tblMovement[[#This Row],[Grade_gpt]]=""),0,tblMovement[[#This Row],[Tonnes_t]]*tblMovement[[#This Row],[Grade_gpt]]/cfg_TroyOz)</f>
        <v/>
      </c>
      <c r="O2923" s="59">
        <f>IF(tblMovement[[#This Row],[Is_Ore]]=1,tblMovement[[#This Row],[Contained_oz]],0)</f>
        <v/>
      </c>
    </row>
    <row r="2924">
      <c r="A2924" s="54" t="n"/>
      <c r="B2924" s="61" t="n"/>
      <c r="C2924" s="61" t="n"/>
      <c r="D2924" s="61" t="n"/>
      <c r="E2924" s="61" t="n"/>
      <c r="F2924" s="55" t="n"/>
      <c r="G2924" s="56" t="n"/>
      <c r="H2924" s="55" t="n"/>
      <c r="I2924" s="62" t="n"/>
      <c r="J2924" s="58" t="n"/>
      <c r="K2924" s="63">
        <f>IF(tblMovement[[#This Row],[Source]]="","",IFERROR(INDEX(tblSources[Type],MATCH(tblMovement[[#This Row],[Source]],tblSources[Source],0)),"?"))</f>
        <v/>
      </c>
      <c r="L2924" s="63">
        <f>IF(tblMovement[[#This Row],[Destination]]="","",IFERROR(INDEX(tblDestinations[Type],MATCH(tblMovement[[#This Row],[Destination]],tblDestinations[Destination],0)),"?"))</f>
        <v/>
      </c>
      <c r="M2924" s="64">
        <f>IF(tblMovement[[#This Row],[Material]]="","",IF(LEFT(tblMovement[[#This Row],[Material]],3)="Ore",1,0))</f>
        <v/>
      </c>
      <c r="N2924" s="59">
        <f>IF(OR(tblMovement[[#This Row],[Tonnes_t]]="",tblMovement[[#This Row],[Grade_gpt]]=""),0,tblMovement[[#This Row],[Tonnes_t]]*tblMovement[[#This Row],[Grade_gpt]]/cfg_TroyOz)</f>
        <v/>
      </c>
      <c r="O2924" s="59">
        <f>IF(tblMovement[[#This Row],[Is_Ore]]=1,tblMovement[[#This Row],[Contained_oz]],0)</f>
        <v/>
      </c>
    </row>
    <row r="2925">
      <c r="A2925" s="54" t="n"/>
      <c r="B2925" s="61" t="n"/>
      <c r="C2925" s="61" t="n"/>
      <c r="D2925" s="61" t="n"/>
      <c r="E2925" s="61" t="n"/>
      <c r="F2925" s="55" t="n"/>
      <c r="G2925" s="56" t="n"/>
      <c r="H2925" s="55" t="n"/>
      <c r="I2925" s="62" t="n"/>
      <c r="J2925" s="58" t="n"/>
      <c r="K2925" s="63">
        <f>IF(tblMovement[[#This Row],[Source]]="","",IFERROR(INDEX(tblSources[Type],MATCH(tblMovement[[#This Row],[Source]],tblSources[Source],0)),"?"))</f>
        <v/>
      </c>
      <c r="L2925" s="63">
        <f>IF(tblMovement[[#This Row],[Destination]]="","",IFERROR(INDEX(tblDestinations[Type],MATCH(tblMovement[[#This Row],[Destination]],tblDestinations[Destination],0)),"?"))</f>
        <v/>
      </c>
      <c r="M2925" s="64">
        <f>IF(tblMovement[[#This Row],[Material]]="","",IF(LEFT(tblMovement[[#This Row],[Material]],3)="Ore",1,0))</f>
        <v/>
      </c>
      <c r="N2925" s="59">
        <f>IF(OR(tblMovement[[#This Row],[Tonnes_t]]="",tblMovement[[#This Row],[Grade_gpt]]=""),0,tblMovement[[#This Row],[Tonnes_t]]*tblMovement[[#This Row],[Grade_gpt]]/cfg_TroyOz)</f>
        <v/>
      </c>
      <c r="O2925" s="59">
        <f>IF(tblMovement[[#This Row],[Is_Ore]]=1,tblMovement[[#This Row],[Contained_oz]],0)</f>
        <v/>
      </c>
    </row>
    <row r="2926">
      <c r="A2926" s="54" t="n"/>
      <c r="B2926" s="61" t="n"/>
      <c r="C2926" s="61" t="n"/>
      <c r="D2926" s="61" t="n"/>
      <c r="E2926" s="61" t="n"/>
      <c r="F2926" s="55" t="n"/>
      <c r="G2926" s="56" t="n"/>
      <c r="H2926" s="55" t="n"/>
      <c r="I2926" s="62" t="n"/>
      <c r="J2926" s="58" t="n"/>
      <c r="K2926" s="63">
        <f>IF(tblMovement[[#This Row],[Source]]="","",IFERROR(INDEX(tblSources[Type],MATCH(tblMovement[[#This Row],[Source]],tblSources[Source],0)),"?"))</f>
        <v/>
      </c>
      <c r="L2926" s="63">
        <f>IF(tblMovement[[#This Row],[Destination]]="","",IFERROR(INDEX(tblDestinations[Type],MATCH(tblMovement[[#This Row],[Destination]],tblDestinations[Destination],0)),"?"))</f>
        <v/>
      </c>
      <c r="M2926" s="64">
        <f>IF(tblMovement[[#This Row],[Material]]="","",IF(LEFT(tblMovement[[#This Row],[Material]],3)="Ore",1,0))</f>
        <v/>
      </c>
      <c r="N2926" s="59">
        <f>IF(OR(tblMovement[[#This Row],[Tonnes_t]]="",tblMovement[[#This Row],[Grade_gpt]]=""),0,tblMovement[[#This Row],[Tonnes_t]]*tblMovement[[#This Row],[Grade_gpt]]/cfg_TroyOz)</f>
        <v/>
      </c>
      <c r="O2926" s="59">
        <f>IF(tblMovement[[#This Row],[Is_Ore]]=1,tblMovement[[#This Row],[Contained_oz]],0)</f>
        <v/>
      </c>
    </row>
    <row r="2927">
      <c r="A2927" s="54" t="n"/>
      <c r="B2927" s="61" t="n"/>
      <c r="C2927" s="61" t="n"/>
      <c r="D2927" s="61" t="n"/>
      <c r="E2927" s="61" t="n"/>
      <c r="F2927" s="55" t="n"/>
      <c r="G2927" s="56" t="n"/>
      <c r="H2927" s="55" t="n"/>
      <c r="I2927" s="62" t="n"/>
      <c r="J2927" s="58" t="n"/>
      <c r="K2927" s="63">
        <f>IF(tblMovement[[#This Row],[Source]]="","",IFERROR(INDEX(tblSources[Type],MATCH(tblMovement[[#This Row],[Source]],tblSources[Source],0)),"?"))</f>
        <v/>
      </c>
      <c r="L2927" s="63">
        <f>IF(tblMovement[[#This Row],[Destination]]="","",IFERROR(INDEX(tblDestinations[Type],MATCH(tblMovement[[#This Row],[Destination]],tblDestinations[Destination],0)),"?"))</f>
        <v/>
      </c>
      <c r="M2927" s="64">
        <f>IF(tblMovement[[#This Row],[Material]]="","",IF(LEFT(tblMovement[[#This Row],[Material]],3)="Ore",1,0))</f>
        <v/>
      </c>
      <c r="N2927" s="59">
        <f>IF(OR(tblMovement[[#This Row],[Tonnes_t]]="",tblMovement[[#This Row],[Grade_gpt]]=""),0,tblMovement[[#This Row],[Tonnes_t]]*tblMovement[[#This Row],[Grade_gpt]]/cfg_TroyOz)</f>
        <v/>
      </c>
      <c r="O2927" s="59">
        <f>IF(tblMovement[[#This Row],[Is_Ore]]=1,tblMovement[[#This Row],[Contained_oz]],0)</f>
        <v/>
      </c>
    </row>
    <row r="2928">
      <c r="A2928" s="54" t="n"/>
      <c r="B2928" s="61" t="n"/>
      <c r="C2928" s="61" t="n"/>
      <c r="D2928" s="61" t="n"/>
      <c r="E2928" s="61" t="n"/>
      <c r="F2928" s="55" t="n"/>
      <c r="G2928" s="56" t="n"/>
      <c r="H2928" s="55" t="n"/>
      <c r="I2928" s="62" t="n"/>
      <c r="J2928" s="58" t="n"/>
      <c r="K2928" s="63">
        <f>IF(tblMovement[[#This Row],[Source]]="","",IFERROR(INDEX(tblSources[Type],MATCH(tblMovement[[#This Row],[Source]],tblSources[Source],0)),"?"))</f>
        <v/>
      </c>
      <c r="L2928" s="63">
        <f>IF(tblMovement[[#This Row],[Destination]]="","",IFERROR(INDEX(tblDestinations[Type],MATCH(tblMovement[[#This Row],[Destination]],tblDestinations[Destination],0)),"?"))</f>
        <v/>
      </c>
      <c r="M2928" s="64">
        <f>IF(tblMovement[[#This Row],[Material]]="","",IF(LEFT(tblMovement[[#This Row],[Material]],3)="Ore",1,0))</f>
        <v/>
      </c>
      <c r="N2928" s="59">
        <f>IF(OR(tblMovement[[#This Row],[Tonnes_t]]="",tblMovement[[#This Row],[Grade_gpt]]=""),0,tblMovement[[#This Row],[Tonnes_t]]*tblMovement[[#This Row],[Grade_gpt]]/cfg_TroyOz)</f>
        <v/>
      </c>
      <c r="O2928" s="59">
        <f>IF(tblMovement[[#This Row],[Is_Ore]]=1,tblMovement[[#This Row],[Contained_oz]],0)</f>
        <v/>
      </c>
    </row>
    <row r="2929">
      <c r="A2929" s="54" t="n"/>
      <c r="B2929" s="61" t="n"/>
      <c r="C2929" s="61" t="n"/>
      <c r="D2929" s="61" t="n"/>
      <c r="E2929" s="61" t="n"/>
      <c r="F2929" s="55" t="n"/>
      <c r="G2929" s="56" t="n"/>
      <c r="H2929" s="55" t="n"/>
      <c r="I2929" s="62" t="n"/>
      <c r="J2929" s="58" t="n"/>
      <c r="K2929" s="63">
        <f>IF(tblMovement[[#This Row],[Source]]="","",IFERROR(INDEX(tblSources[Type],MATCH(tblMovement[[#This Row],[Source]],tblSources[Source],0)),"?"))</f>
        <v/>
      </c>
      <c r="L2929" s="63">
        <f>IF(tblMovement[[#This Row],[Destination]]="","",IFERROR(INDEX(tblDestinations[Type],MATCH(tblMovement[[#This Row],[Destination]],tblDestinations[Destination],0)),"?"))</f>
        <v/>
      </c>
      <c r="M2929" s="64">
        <f>IF(tblMovement[[#This Row],[Material]]="","",IF(LEFT(tblMovement[[#This Row],[Material]],3)="Ore",1,0))</f>
        <v/>
      </c>
      <c r="N2929" s="59">
        <f>IF(OR(tblMovement[[#This Row],[Tonnes_t]]="",tblMovement[[#This Row],[Grade_gpt]]=""),0,tblMovement[[#This Row],[Tonnes_t]]*tblMovement[[#This Row],[Grade_gpt]]/cfg_TroyOz)</f>
        <v/>
      </c>
      <c r="O2929" s="59">
        <f>IF(tblMovement[[#This Row],[Is_Ore]]=1,tblMovement[[#This Row],[Contained_oz]],0)</f>
        <v/>
      </c>
    </row>
    <row r="2930">
      <c r="A2930" s="54" t="n"/>
      <c r="B2930" s="61" t="n"/>
      <c r="C2930" s="61" t="n"/>
      <c r="D2930" s="61" t="n"/>
      <c r="E2930" s="61" t="n"/>
      <c r="F2930" s="55" t="n"/>
      <c r="G2930" s="56" t="n"/>
      <c r="H2930" s="55" t="n"/>
      <c r="I2930" s="62" t="n"/>
      <c r="J2930" s="58" t="n"/>
      <c r="K2930" s="63">
        <f>IF(tblMovement[[#This Row],[Source]]="","",IFERROR(INDEX(tblSources[Type],MATCH(tblMovement[[#This Row],[Source]],tblSources[Source],0)),"?"))</f>
        <v/>
      </c>
      <c r="L2930" s="63">
        <f>IF(tblMovement[[#This Row],[Destination]]="","",IFERROR(INDEX(tblDestinations[Type],MATCH(tblMovement[[#This Row],[Destination]],tblDestinations[Destination],0)),"?"))</f>
        <v/>
      </c>
      <c r="M2930" s="64">
        <f>IF(tblMovement[[#This Row],[Material]]="","",IF(LEFT(tblMovement[[#This Row],[Material]],3)="Ore",1,0))</f>
        <v/>
      </c>
      <c r="N2930" s="59">
        <f>IF(OR(tblMovement[[#This Row],[Tonnes_t]]="",tblMovement[[#This Row],[Grade_gpt]]=""),0,tblMovement[[#This Row],[Tonnes_t]]*tblMovement[[#This Row],[Grade_gpt]]/cfg_TroyOz)</f>
        <v/>
      </c>
      <c r="O2930" s="59">
        <f>IF(tblMovement[[#This Row],[Is_Ore]]=1,tblMovement[[#This Row],[Contained_oz]],0)</f>
        <v/>
      </c>
    </row>
    <row r="2931">
      <c r="A2931" s="54" t="n"/>
      <c r="B2931" s="61" t="n"/>
      <c r="C2931" s="61" t="n"/>
      <c r="D2931" s="61" t="n"/>
      <c r="E2931" s="61" t="n"/>
      <c r="F2931" s="55" t="n"/>
      <c r="G2931" s="56" t="n"/>
      <c r="H2931" s="55" t="n"/>
      <c r="I2931" s="62" t="n"/>
      <c r="J2931" s="58" t="n"/>
      <c r="K2931" s="63">
        <f>IF(tblMovement[[#This Row],[Source]]="","",IFERROR(INDEX(tblSources[Type],MATCH(tblMovement[[#This Row],[Source]],tblSources[Source],0)),"?"))</f>
        <v/>
      </c>
      <c r="L2931" s="63">
        <f>IF(tblMovement[[#This Row],[Destination]]="","",IFERROR(INDEX(tblDestinations[Type],MATCH(tblMovement[[#This Row],[Destination]],tblDestinations[Destination],0)),"?"))</f>
        <v/>
      </c>
      <c r="M2931" s="64">
        <f>IF(tblMovement[[#This Row],[Material]]="","",IF(LEFT(tblMovement[[#This Row],[Material]],3)="Ore",1,0))</f>
        <v/>
      </c>
      <c r="N2931" s="59">
        <f>IF(OR(tblMovement[[#This Row],[Tonnes_t]]="",tblMovement[[#This Row],[Grade_gpt]]=""),0,tblMovement[[#This Row],[Tonnes_t]]*tblMovement[[#This Row],[Grade_gpt]]/cfg_TroyOz)</f>
        <v/>
      </c>
      <c r="O2931" s="59">
        <f>IF(tblMovement[[#This Row],[Is_Ore]]=1,tblMovement[[#This Row],[Contained_oz]],0)</f>
        <v/>
      </c>
    </row>
    <row r="2932">
      <c r="A2932" s="54" t="n"/>
      <c r="B2932" s="61" t="n"/>
      <c r="C2932" s="61" t="n"/>
      <c r="D2932" s="61" t="n"/>
      <c r="E2932" s="61" t="n"/>
      <c r="F2932" s="55" t="n"/>
      <c r="G2932" s="56" t="n"/>
      <c r="H2932" s="55" t="n"/>
      <c r="I2932" s="62" t="n"/>
      <c r="J2932" s="58" t="n"/>
      <c r="K2932" s="63">
        <f>IF(tblMovement[[#This Row],[Source]]="","",IFERROR(INDEX(tblSources[Type],MATCH(tblMovement[[#This Row],[Source]],tblSources[Source],0)),"?"))</f>
        <v/>
      </c>
      <c r="L2932" s="63">
        <f>IF(tblMovement[[#This Row],[Destination]]="","",IFERROR(INDEX(tblDestinations[Type],MATCH(tblMovement[[#This Row],[Destination]],tblDestinations[Destination],0)),"?"))</f>
        <v/>
      </c>
      <c r="M2932" s="64">
        <f>IF(tblMovement[[#This Row],[Material]]="","",IF(LEFT(tblMovement[[#This Row],[Material]],3)="Ore",1,0))</f>
        <v/>
      </c>
      <c r="N2932" s="59">
        <f>IF(OR(tblMovement[[#This Row],[Tonnes_t]]="",tblMovement[[#This Row],[Grade_gpt]]=""),0,tblMovement[[#This Row],[Tonnes_t]]*tblMovement[[#This Row],[Grade_gpt]]/cfg_TroyOz)</f>
        <v/>
      </c>
      <c r="O2932" s="59">
        <f>IF(tblMovement[[#This Row],[Is_Ore]]=1,tblMovement[[#This Row],[Contained_oz]],0)</f>
        <v/>
      </c>
    </row>
    <row r="2933">
      <c r="A2933" s="54" t="n"/>
      <c r="B2933" s="61" t="n"/>
      <c r="C2933" s="61" t="n"/>
      <c r="D2933" s="61" t="n"/>
      <c r="E2933" s="61" t="n"/>
      <c r="F2933" s="55" t="n"/>
      <c r="G2933" s="56" t="n"/>
      <c r="H2933" s="55" t="n"/>
      <c r="I2933" s="62" t="n"/>
      <c r="J2933" s="58" t="n"/>
      <c r="K2933" s="63">
        <f>IF(tblMovement[[#This Row],[Source]]="","",IFERROR(INDEX(tblSources[Type],MATCH(tblMovement[[#This Row],[Source]],tblSources[Source],0)),"?"))</f>
        <v/>
      </c>
      <c r="L2933" s="63">
        <f>IF(tblMovement[[#This Row],[Destination]]="","",IFERROR(INDEX(tblDestinations[Type],MATCH(tblMovement[[#This Row],[Destination]],tblDestinations[Destination],0)),"?"))</f>
        <v/>
      </c>
      <c r="M2933" s="64">
        <f>IF(tblMovement[[#This Row],[Material]]="","",IF(LEFT(tblMovement[[#This Row],[Material]],3)="Ore",1,0))</f>
        <v/>
      </c>
      <c r="N2933" s="59">
        <f>IF(OR(tblMovement[[#This Row],[Tonnes_t]]="",tblMovement[[#This Row],[Grade_gpt]]=""),0,tblMovement[[#This Row],[Tonnes_t]]*tblMovement[[#This Row],[Grade_gpt]]/cfg_TroyOz)</f>
        <v/>
      </c>
      <c r="O2933" s="59">
        <f>IF(tblMovement[[#This Row],[Is_Ore]]=1,tblMovement[[#This Row],[Contained_oz]],0)</f>
        <v/>
      </c>
    </row>
    <row r="2934">
      <c r="A2934" s="54" t="n"/>
      <c r="B2934" s="61" t="n"/>
      <c r="C2934" s="61" t="n"/>
      <c r="D2934" s="61" t="n"/>
      <c r="E2934" s="61" t="n"/>
      <c r="F2934" s="55" t="n"/>
      <c r="G2934" s="56" t="n"/>
      <c r="H2934" s="55" t="n"/>
      <c r="I2934" s="62" t="n"/>
      <c r="J2934" s="58" t="n"/>
      <c r="K2934" s="63">
        <f>IF(tblMovement[[#This Row],[Source]]="","",IFERROR(INDEX(tblSources[Type],MATCH(tblMovement[[#This Row],[Source]],tblSources[Source],0)),"?"))</f>
        <v/>
      </c>
      <c r="L2934" s="63">
        <f>IF(tblMovement[[#This Row],[Destination]]="","",IFERROR(INDEX(tblDestinations[Type],MATCH(tblMovement[[#This Row],[Destination]],tblDestinations[Destination],0)),"?"))</f>
        <v/>
      </c>
      <c r="M2934" s="64">
        <f>IF(tblMovement[[#This Row],[Material]]="","",IF(LEFT(tblMovement[[#This Row],[Material]],3)="Ore",1,0))</f>
        <v/>
      </c>
      <c r="N2934" s="59">
        <f>IF(OR(tblMovement[[#This Row],[Tonnes_t]]="",tblMovement[[#This Row],[Grade_gpt]]=""),0,tblMovement[[#This Row],[Tonnes_t]]*tblMovement[[#This Row],[Grade_gpt]]/cfg_TroyOz)</f>
        <v/>
      </c>
      <c r="O2934" s="59">
        <f>IF(tblMovement[[#This Row],[Is_Ore]]=1,tblMovement[[#This Row],[Contained_oz]],0)</f>
        <v/>
      </c>
    </row>
    <row r="2935">
      <c r="A2935" s="54" t="n"/>
      <c r="B2935" s="61" t="n"/>
      <c r="C2935" s="61" t="n"/>
      <c r="D2935" s="61" t="n"/>
      <c r="E2935" s="61" t="n"/>
      <c r="F2935" s="55" t="n"/>
      <c r="G2935" s="56" t="n"/>
      <c r="H2935" s="55" t="n"/>
      <c r="I2935" s="62" t="n"/>
      <c r="J2935" s="58" t="n"/>
      <c r="K2935" s="63">
        <f>IF(tblMovement[[#This Row],[Source]]="","",IFERROR(INDEX(tblSources[Type],MATCH(tblMovement[[#This Row],[Source]],tblSources[Source],0)),"?"))</f>
        <v/>
      </c>
      <c r="L2935" s="63">
        <f>IF(tblMovement[[#This Row],[Destination]]="","",IFERROR(INDEX(tblDestinations[Type],MATCH(tblMovement[[#This Row],[Destination]],tblDestinations[Destination],0)),"?"))</f>
        <v/>
      </c>
      <c r="M2935" s="64">
        <f>IF(tblMovement[[#This Row],[Material]]="","",IF(LEFT(tblMovement[[#This Row],[Material]],3)="Ore",1,0))</f>
        <v/>
      </c>
      <c r="N2935" s="59">
        <f>IF(OR(tblMovement[[#This Row],[Tonnes_t]]="",tblMovement[[#This Row],[Grade_gpt]]=""),0,tblMovement[[#This Row],[Tonnes_t]]*tblMovement[[#This Row],[Grade_gpt]]/cfg_TroyOz)</f>
        <v/>
      </c>
      <c r="O2935" s="59">
        <f>IF(tblMovement[[#This Row],[Is_Ore]]=1,tblMovement[[#This Row],[Contained_oz]],0)</f>
        <v/>
      </c>
    </row>
    <row r="2936">
      <c r="A2936" s="54" t="n"/>
      <c r="B2936" s="61" t="n"/>
      <c r="C2936" s="61" t="n"/>
      <c r="D2936" s="61" t="n"/>
      <c r="E2936" s="61" t="n"/>
      <c r="F2936" s="55" t="n"/>
      <c r="G2936" s="56" t="n"/>
      <c r="H2936" s="55" t="n"/>
      <c r="I2936" s="62" t="n"/>
      <c r="J2936" s="58" t="n"/>
      <c r="K2936" s="63">
        <f>IF(tblMovement[[#This Row],[Source]]="","",IFERROR(INDEX(tblSources[Type],MATCH(tblMovement[[#This Row],[Source]],tblSources[Source],0)),"?"))</f>
        <v/>
      </c>
      <c r="L2936" s="63">
        <f>IF(tblMovement[[#This Row],[Destination]]="","",IFERROR(INDEX(tblDestinations[Type],MATCH(tblMovement[[#This Row],[Destination]],tblDestinations[Destination],0)),"?"))</f>
        <v/>
      </c>
      <c r="M2936" s="64">
        <f>IF(tblMovement[[#This Row],[Material]]="","",IF(LEFT(tblMovement[[#This Row],[Material]],3)="Ore",1,0))</f>
        <v/>
      </c>
      <c r="N2936" s="59">
        <f>IF(OR(tblMovement[[#This Row],[Tonnes_t]]="",tblMovement[[#This Row],[Grade_gpt]]=""),0,tblMovement[[#This Row],[Tonnes_t]]*tblMovement[[#This Row],[Grade_gpt]]/cfg_TroyOz)</f>
        <v/>
      </c>
      <c r="O2936" s="59">
        <f>IF(tblMovement[[#This Row],[Is_Ore]]=1,tblMovement[[#This Row],[Contained_oz]],0)</f>
        <v/>
      </c>
    </row>
    <row r="2937">
      <c r="A2937" s="54" t="n"/>
      <c r="B2937" s="61" t="n"/>
      <c r="C2937" s="61" t="n"/>
      <c r="D2937" s="61" t="n"/>
      <c r="E2937" s="61" t="n"/>
      <c r="F2937" s="55" t="n"/>
      <c r="G2937" s="56" t="n"/>
      <c r="H2937" s="55" t="n"/>
      <c r="I2937" s="62" t="n"/>
      <c r="J2937" s="58" t="n"/>
      <c r="K2937" s="63">
        <f>IF(tblMovement[[#This Row],[Source]]="","",IFERROR(INDEX(tblSources[Type],MATCH(tblMovement[[#This Row],[Source]],tblSources[Source],0)),"?"))</f>
        <v/>
      </c>
      <c r="L2937" s="63">
        <f>IF(tblMovement[[#This Row],[Destination]]="","",IFERROR(INDEX(tblDestinations[Type],MATCH(tblMovement[[#This Row],[Destination]],tblDestinations[Destination],0)),"?"))</f>
        <v/>
      </c>
      <c r="M2937" s="64">
        <f>IF(tblMovement[[#This Row],[Material]]="","",IF(LEFT(tblMovement[[#This Row],[Material]],3)="Ore",1,0))</f>
        <v/>
      </c>
      <c r="N2937" s="59">
        <f>IF(OR(tblMovement[[#This Row],[Tonnes_t]]="",tblMovement[[#This Row],[Grade_gpt]]=""),0,tblMovement[[#This Row],[Tonnes_t]]*tblMovement[[#This Row],[Grade_gpt]]/cfg_TroyOz)</f>
        <v/>
      </c>
      <c r="O2937" s="59">
        <f>IF(tblMovement[[#This Row],[Is_Ore]]=1,tblMovement[[#This Row],[Contained_oz]],0)</f>
        <v/>
      </c>
    </row>
    <row r="2938">
      <c r="A2938" s="54" t="n"/>
      <c r="B2938" s="61" t="n"/>
      <c r="C2938" s="61" t="n"/>
      <c r="D2938" s="61" t="n"/>
      <c r="E2938" s="61" t="n"/>
      <c r="F2938" s="55" t="n"/>
      <c r="G2938" s="56" t="n"/>
      <c r="H2938" s="55" t="n"/>
      <c r="I2938" s="62" t="n"/>
      <c r="J2938" s="58" t="n"/>
      <c r="K2938" s="63">
        <f>IF(tblMovement[[#This Row],[Source]]="","",IFERROR(INDEX(tblSources[Type],MATCH(tblMovement[[#This Row],[Source]],tblSources[Source],0)),"?"))</f>
        <v/>
      </c>
      <c r="L2938" s="63">
        <f>IF(tblMovement[[#This Row],[Destination]]="","",IFERROR(INDEX(tblDestinations[Type],MATCH(tblMovement[[#This Row],[Destination]],tblDestinations[Destination],0)),"?"))</f>
        <v/>
      </c>
      <c r="M2938" s="64">
        <f>IF(tblMovement[[#This Row],[Material]]="","",IF(LEFT(tblMovement[[#This Row],[Material]],3)="Ore",1,0))</f>
        <v/>
      </c>
      <c r="N2938" s="59">
        <f>IF(OR(tblMovement[[#This Row],[Tonnes_t]]="",tblMovement[[#This Row],[Grade_gpt]]=""),0,tblMovement[[#This Row],[Tonnes_t]]*tblMovement[[#This Row],[Grade_gpt]]/cfg_TroyOz)</f>
        <v/>
      </c>
      <c r="O2938" s="59">
        <f>IF(tblMovement[[#This Row],[Is_Ore]]=1,tblMovement[[#This Row],[Contained_oz]],0)</f>
        <v/>
      </c>
    </row>
    <row r="2939">
      <c r="A2939" s="54" t="n"/>
      <c r="B2939" s="61" t="n"/>
      <c r="C2939" s="61" t="n"/>
      <c r="D2939" s="61" t="n"/>
      <c r="E2939" s="61" t="n"/>
      <c r="F2939" s="55" t="n"/>
      <c r="G2939" s="56" t="n"/>
      <c r="H2939" s="55" t="n"/>
      <c r="I2939" s="62" t="n"/>
      <c r="J2939" s="58" t="n"/>
      <c r="K2939" s="63">
        <f>IF(tblMovement[[#This Row],[Source]]="","",IFERROR(INDEX(tblSources[Type],MATCH(tblMovement[[#This Row],[Source]],tblSources[Source],0)),"?"))</f>
        <v/>
      </c>
      <c r="L2939" s="63">
        <f>IF(tblMovement[[#This Row],[Destination]]="","",IFERROR(INDEX(tblDestinations[Type],MATCH(tblMovement[[#This Row],[Destination]],tblDestinations[Destination],0)),"?"))</f>
        <v/>
      </c>
      <c r="M2939" s="64">
        <f>IF(tblMovement[[#This Row],[Material]]="","",IF(LEFT(tblMovement[[#This Row],[Material]],3)="Ore",1,0))</f>
        <v/>
      </c>
      <c r="N2939" s="59">
        <f>IF(OR(tblMovement[[#This Row],[Tonnes_t]]="",tblMovement[[#This Row],[Grade_gpt]]=""),0,tblMovement[[#This Row],[Tonnes_t]]*tblMovement[[#This Row],[Grade_gpt]]/cfg_TroyOz)</f>
        <v/>
      </c>
      <c r="O2939" s="59">
        <f>IF(tblMovement[[#This Row],[Is_Ore]]=1,tblMovement[[#This Row],[Contained_oz]],0)</f>
        <v/>
      </c>
    </row>
    <row r="2940">
      <c r="A2940" s="54" t="n"/>
      <c r="B2940" s="61" t="n"/>
      <c r="C2940" s="61" t="n"/>
      <c r="D2940" s="61" t="n"/>
      <c r="E2940" s="61" t="n"/>
      <c r="F2940" s="55" t="n"/>
      <c r="G2940" s="56" t="n"/>
      <c r="H2940" s="55" t="n"/>
      <c r="I2940" s="62" t="n"/>
      <c r="J2940" s="58" t="n"/>
      <c r="K2940" s="63">
        <f>IF(tblMovement[[#This Row],[Source]]="","",IFERROR(INDEX(tblSources[Type],MATCH(tblMovement[[#This Row],[Source]],tblSources[Source],0)),"?"))</f>
        <v/>
      </c>
      <c r="L2940" s="63">
        <f>IF(tblMovement[[#This Row],[Destination]]="","",IFERROR(INDEX(tblDestinations[Type],MATCH(tblMovement[[#This Row],[Destination]],tblDestinations[Destination],0)),"?"))</f>
        <v/>
      </c>
      <c r="M2940" s="64">
        <f>IF(tblMovement[[#This Row],[Material]]="","",IF(LEFT(tblMovement[[#This Row],[Material]],3)="Ore",1,0))</f>
        <v/>
      </c>
      <c r="N2940" s="59">
        <f>IF(OR(tblMovement[[#This Row],[Tonnes_t]]="",tblMovement[[#This Row],[Grade_gpt]]=""),0,tblMovement[[#This Row],[Tonnes_t]]*tblMovement[[#This Row],[Grade_gpt]]/cfg_TroyOz)</f>
        <v/>
      </c>
      <c r="O2940" s="59">
        <f>IF(tblMovement[[#This Row],[Is_Ore]]=1,tblMovement[[#This Row],[Contained_oz]],0)</f>
        <v/>
      </c>
    </row>
    <row r="2941">
      <c r="A2941" s="54" t="n"/>
      <c r="B2941" s="61" t="n"/>
      <c r="C2941" s="61" t="n"/>
      <c r="D2941" s="61" t="n"/>
      <c r="E2941" s="61" t="n"/>
      <c r="F2941" s="55" t="n"/>
      <c r="G2941" s="56" t="n"/>
      <c r="H2941" s="55" t="n"/>
      <c r="I2941" s="62" t="n"/>
      <c r="J2941" s="58" t="n"/>
      <c r="K2941" s="63">
        <f>IF(tblMovement[[#This Row],[Source]]="","",IFERROR(INDEX(tblSources[Type],MATCH(tblMovement[[#This Row],[Source]],tblSources[Source],0)),"?"))</f>
        <v/>
      </c>
      <c r="L2941" s="63">
        <f>IF(tblMovement[[#This Row],[Destination]]="","",IFERROR(INDEX(tblDestinations[Type],MATCH(tblMovement[[#This Row],[Destination]],tblDestinations[Destination],0)),"?"))</f>
        <v/>
      </c>
      <c r="M2941" s="64">
        <f>IF(tblMovement[[#This Row],[Material]]="","",IF(LEFT(tblMovement[[#This Row],[Material]],3)="Ore",1,0))</f>
        <v/>
      </c>
      <c r="N2941" s="59">
        <f>IF(OR(tblMovement[[#This Row],[Tonnes_t]]="",tblMovement[[#This Row],[Grade_gpt]]=""),0,tblMovement[[#This Row],[Tonnes_t]]*tblMovement[[#This Row],[Grade_gpt]]/cfg_TroyOz)</f>
        <v/>
      </c>
      <c r="O2941" s="59">
        <f>IF(tblMovement[[#This Row],[Is_Ore]]=1,tblMovement[[#This Row],[Contained_oz]],0)</f>
        <v/>
      </c>
    </row>
    <row r="2942">
      <c r="A2942" s="54" t="n"/>
      <c r="B2942" s="61" t="n"/>
      <c r="C2942" s="61" t="n"/>
      <c r="D2942" s="61" t="n"/>
      <c r="E2942" s="61" t="n"/>
      <c r="F2942" s="55" t="n"/>
      <c r="G2942" s="56" t="n"/>
      <c r="H2942" s="55" t="n"/>
      <c r="I2942" s="62" t="n"/>
      <c r="J2942" s="58" t="n"/>
      <c r="K2942" s="63">
        <f>IF(tblMovement[[#This Row],[Source]]="","",IFERROR(INDEX(tblSources[Type],MATCH(tblMovement[[#This Row],[Source]],tblSources[Source],0)),"?"))</f>
        <v/>
      </c>
      <c r="L2942" s="63">
        <f>IF(tblMovement[[#This Row],[Destination]]="","",IFERROR(INDEX(tblDestinations[Type],MATCH(tblMovement[[#This Row],[Destination]],tblDestinations[Destination],0)),"?"))</f>
        <v/>
      </c>
      <c r="M2942" s="64">
        <f>IF(tblMovement[[#This Row],[Material]]="","",IF(LEFT(tblMovement[[#This Row],[Material]],3)="Ore",1,0))</f>
        <v/>
      </c>
      <c r="N2942" s="59">
        <f>IF(OR(tblMovement[[#This Row],[Tonnes_t]]="",tblMovement[[#This Row],[Grade_gpt]]=""),0,tblMovement[[#This Row],[Tonnes_t]]*tblMovement[[#This Row],[Grade_gpt]]/cfg_TroyOz)</f>
        <v/>
      </c>
      <c r="O2942" s="59">
        <f>IF(tblMovement[[#This Row],[Is_Ore]]=1,tblMovement[[#This Row],[Contained_oz]],0)</f>
        <v/>
      </c>
    </row>
    <row r="2943">
      <c r="A2943" s="54" t="n"/>
      <c r="B2943" s="61" t="n"/>
      <c r="C2943" s="61" t="n"/>
      <c r="D2943" s="61" t="n"/>
      <c r="E2943" s="61" t="n"/>
      <c r="F2943" s="55" t="n"/>
      <c r="G2943" s="56" t="n"/>
      <c r="H2943" s="55" t="n"/>
      <c r="I2943" s="62" t="n"/>
      <c r="J2943" s="58" t="n"/>
      <c r="K2943" s="63">
        <f>IF(tblMovement[[#This Row],[Source]]="","",IFERROR(INDEX(tblSources[Type],MATCH(tblMovement[[#This Row],[Source]],tblSources[Source],0)),"?"))</f>
        <v/>
      </c>
      <c r="L2943" s="63">
        <f>IF(tblMovement[[#This Row],[Destination]]="","",IFERROR(INDEX(tblDestinations[Type],MATCH(tblMovement[[#This Row],[Destination]],tblDestinations[Destination],0)),"?"))</f>
        <v/>
      </c>
      <c r="M2943" s="64">
        <f>IF(tblMovement[[#This Row],[Material]]="","",IF(LEFT(tblMovement[[#This Row],[Material]],3)="Ore",1,0))</f>
        <v/>
      </c>
      <c r="N2943" s="59">
        <f>IF(OR(tblMovement[[#This Row],[Tonnes_t]]="",tblMovement[[#This Row],[Grade_gpt]]=""),0,tblMovement[[#This Row],[Tonnes_t]]*tblMovement[[#This Row],[Grade_gpt]]/cfg_TroyOz)</f>
        <v/>
      </c>
      <c r="O2943" s="59">
        <f>IF(tblMovement[[#This Row],[Is_Ore]]=1,tblMovement[[#This Row],[Contained_oz]],0)</f>
        <v/>
      </c>
    </row>
    <row r="2944">
      <c r="A2944" s="54" t="n"/>
      <c r="B2944" s="61" t="n"/>
      <c r="C2944" s="61" t="n"/>
      <c r="D2944" s="61" t="n"/>
      <c r="E2944" s="61" t="n"/>
      <c r="F2944" s="55" t="n"/>
      <c r="G2944" s="56" t="n"/>
      <c r="H2944" s="55" t="n"/>
      <c r="I2944" s="62" t="n"/>
      <c r="J2944" s="58" t="n"/>
      <c r="K2944" s="63">
        <f>IF(tblMovement[[#This Row],[Source]]="","",IFERROR(INDEX(tblSources[Type],MATCH(tblMovement[[#This Row],[Source]],tblSources[Source],0)),"?"))</f>
        <v/>
      </c>
      <c r="L2944" s="63">
        <f>IF(tblMovement[[#This Row],[Destination]]="","",IFERROR(INDEX(tblDestinations[Type],MATCH(tblMovement[[#This Row],[Destination]],tblDestinations[Destination],0)),"?"))</f>
        <v/>
      </c>
      <c r="M2944" s="64">
        <f>IF(tblMovement[[#This Row],[Material]]="","",IF(LEFT(tblMovement[[#This Row],[Material]],3)="Ore",1,0))</f>
        <v/>
      </c>
      <c r="N2944" s="59">
        <f>IF(OR(tblMovement[[#This Row],[Tonnes_t]]="",tblMovement[[#This Row],[Grade_gpt]]=""),0,tblMovement[[#This Row],[Tonnes_t]]*tblMovement[[#This Row],[Grade_gpt]]/cfg_TroyOz)</f>
        <v/>
      </c>
      <c r="O2944" s="59">
        <f>IF(tblMovement[[#This Row],[Is_Ore]]=1,tblMovement[[#This Row],[Contained_oz]],0)</f>
        <v/>
      </c>
    </row>
    <row r="2945">
      <c r="A2945" s="54" t="n"/>
      <c r="B2945" s="61" t="n"/>
      <c r="C2945" s="61" t="n"/>
      <c r="D2945" s="61" t="n"/>
      <c r="E2945" s="61" t="n"/>
      <c r="F2945" s="55" t="n"/>
      <c r="G2945" s="56" t="n"/>
      <c r="H2945" s="55" t="n"/>
      <c r="I2945" s="62" t="n"/>
      <c r="J2945" s="58" t="n"/>
      <c r="K2945" s="63">
        <f>IF(tblMovement[[#This Row],[Source]]="","",IFERROR(INDEX(tblSources[Type],MATCH(tblMovement[[#This Row],[Source]],tblSources[Source],0)),"?"))</f>
        <v/>
      </c>
      <c r="L2945" s="63">
        <f>IF(tblMovement[[#This Row],[Destination]]="","",IFERROR(INDEX(tblDestinations[Type],MATCH(tblMovement[[#This Row],[Destination]],tblDestinations[Destination],0)),"?"))</f>
        <v/>
      </c>
      <c r="M2945" s="64">
        <f>IF(tblMovement[[#This Row],[Material]]="","",IF(LEFT(tblMovement[[#This Row],[Material]],3)="Ore",1,0))</f>
        <v/>
      </c>
      <c r="N2945" s="59">
        <f>IF(OR(tblMovement[[#This Row],[Tonnes_t]]="",tblMovement[[#This Row],[Grade_gpt]]=""),0,tblMovement[[#This Row],[Tonnes_t]]*tblMovement[[#This Row],[Grade_gpt]]/cfg_TroyOz)</f>
        <v/>
      </c>
      <c r="O2945" s="59">
        <f>IF(tblMovement[[#This Row],[Is_Ore]]=1,tblMovement[[#This Row],[Contained_oz]],0)</f>
        <v/>
      </c>
    </row>
    <row r="2946">
      <c r="A2946" s="54" t="n"/>
      <c r="B2946" s="61" t="n"/>
      <c r="C2946" s="61" t="n"/>
      <c r="D2946" s="61" t="n"/>
      <c r="E2946" s="61" t="n"/>
      <c r="F2946" s="55" t="n"/>
      <c r="G2946" s="56" t="n"/>
      <c r="H2946" s="55" t="n"/>
      <c r="I2946" s="62" t="n"/>
      <c r="J2946" s="58" t="n"/>
      <c r="K2946" s="63">
        <f>IF(tblMovement[[#This Row],[Source]]="","",IFERROR(INDEX(tblSources[Type],MATCH(tblMovement[[#This Row],[Source]],tblSources[Source],0)),"?"))</f>
        <v/>
      </c>
      <c r="L2946" s="63">
        <f>IF(tblMovement[[#This Row],[Destination]]="","",IFERROR(INDEX(tblDestinations[Type],MATCH(tblMovement[[#This Row],[Destination]],tblDestinations[Destination],0)),"?"))</f>
        <v/>
      </c>
      <c r="M2946" s="64">
        <f>IF(tblMovement[[#This Row],[Material]]="","",IF(LEFT(tblMovement[[#This Row],[Material]],3)="Ore",1,0))</f>
        <v/>
      </c>
      <c r="N2946" s="59">
        <f>IF(OR(tblMovement[[#This Row],[Tonnes_t]]="",tblMovement[[#This Row],[Grade_gpt]]=""),0,tblMovement[[#This Row],[Tonnes_t]]*tblMovement[[#This Row],[Grade_gpt]]/cfg_TroyOz)</f>
        <v/>
      </c>
      <c r="O2946" s="59">
        <f>IF(tblMovement[[#This Row],[Is_Ore]]=1,tblMovement[[#This Row],[Contained_oz]],0)</f>
        <v/>
      </c>
    </row>
    <row r="2947">
      <c r="A2947" s="54" t="n"/>
      <c r="B2947" s="61" t="n"/>
      <c r="C2947" s="61" t="n"/>
      <c r="D2947" s="61" t="n"/>
      <c r="E2947" s="61" t="n"/>
      <c r="F2947" s="55" t="n"/>
      <c r="G2947" s="56" t="n"/>
      <c r="H2947" s="55" t="n"/>
      <c r="I2947" s="62" t="n"/>
      <c r="J2947" s="58" t="n"/>
      <c r="K2947" s="63">
        <f>IF(tblMovement[[#This Row],[Source]]="","",IFERROR(INDEX(tblSources[Type],MATCH(tblMovement[[#This Row],[Source]],tblSources[Source],0)),"?"))</f>
        <v/>
      </c>
      <c r="L2947" s="63">
        <f>IF(tblMovement[[#This Row],[Destination]]="","",IFERROR(INDEX(tblDestinations[Type],MATCH(tblMovement[[#This Row],[Destination]],tblDestinations[Destination],0)),"?"))</f>
        <v/>
      </c>
      <c r="M2947" s="64">
        <f>IF(tblMovement[[#This Row],[Material]]="","",IF(LEFT(tblMovement[[#This Row],[Material]],3)="Ore",1,0))</f>
        <v/>
      </c>
      <c r="N2947" s="59">
        <f>IF(OR(tblMovement[[#This Row],[Tonnes_t]]="",tblMovement[[#This Row],[Grade_gpt]]=""),0,tblMovement[[#This Row],[Tonnes_t]]*tblMovement[[#This Row],[Grade_gpt]]/cfg_TroyOz)</f>
        <v/>
      </c>
      <c r="O2947" s="59">
        <f>IF(tblMovement[[#This Row],[Is_Ore]]=1,tblMovement[[#This Row],[Contained_oz]],0)</f>
        <v/>
      </c>
    </row>
    <row r="2948">
      <c r="A2948" s="54" t="n"/>
      <c r="B2948" s="61" t="n"/>
      <c r="C2948" s="61" t="n"/>
      <c r="D2948" s="61" t="n"/>
      <c r="E2948" s="61" t="n"/>
      <c r="F2948" s="55" t="n"/>
      <c r="G2948" s="56" t="n"/>
      <c r="H2948" s="55" t="n"/>
      <c r="I2948" s="62" t="n"/>
      <c r="J2948" s="58" t="n"/>
      <c r="K2948" s="63">
        <f>IF(tblMovement[[#This Row],[Source]]="","",IFERROR(INDEX(tblSources[Type],MATCH(tblMovement[[#This Row],[Source]],tblSources[Source],0)),"?"))</f>
        <v/>
      </c>
      <c r="L2948" s="63">
        <f>IF(tblMovement[[#This Row],[Destination]]="","",IFERROR(INDEX(tblDestinations[Type],MATCH(tblMovement[[#This Row],[Destination]],tblDestinations[Destination],0)),"?"))</f>
        <v/>
      </c>
      <c r="M2948" s="64">
        <f>IF(tblMovement[[#This Row],[Material]]="","",IF(LEFT(tblMovement[[#This Row],[Material]],3)="Ore",1,0))</f>
        <v/>
      </c>
      <c r="N2948" s="59">
        <f>IF(OR(tblMovement[[#This Row],[Tonnes_t]]="",tblMovement[[#This Row],[Grade_gpt]]=""),0,tblMovement[[#This Row],[Tonnes_t]]*tblMovement[[#This Row],[Grade_gpt]]/cfg_TroyOz)</f>
        <v/>
      </c>
      <c r="O2948" s="59">
        <f>IF(tblMovement[[#This Row],[Is_Ore]]=1,tblMovement[[#This Row],[Contained_oz]],0)</f>
        <v/>
      </c>
    </row>
    <row r="2949">
      <c r="A2949" s="54" t="n"/>
      <c r="B2949" s="61" t="n"/>
      <c r="C2949" s="61" t="n"/>
      <c r="D2949" s="61" t="n"/>
      <c r="E2949" s="61" t="n"/>
      <c r="F2949" s="55" t="n"/>
      <c r="G2949" s="56" t="n"/>
      <c r="H2949" s="55" t="n"/>
      <c r="I2949" s="62" t="n"/>
      <c r="J2949" s="58" t="n"/>
      <c r="K2949" s="63">
        <f>IF(tblMovement[[#This Row],[Source]]="","",IFERROR(INDEX(tblSources[Type],MATCH(tblMovement[[#This Row],[Source]],tblSources[Source],0)),"?"))</f>
        <v/>
      </c>
      <c r="L2949" s="63">
        <f>IF(tblMovement[[#This Row],[Destination]]="","",IFERROR(INDEX(tblDestinations[Type],MATCH(tblMovement[[#This Row],[Destination]],tblDestinations[Destination],0)),"?"))</f>
        <v/>
      </c>
      <c r="M2949" s="64">
        <f>IF(tblMovement[[#This Row],[Material]]="","",IF(LEFT(tblMovement[[#This Row],[Material]],3)="Ore",1,0))</f>
        <v/>
      </c>
      <c r="N2949" s="59">
        <f>IF(OR(tblMovement[[#This Row],[Tonnes_t]]="",tblMovement[[#This Row],[Grade_gpt]]=""),0,tblMovement[[#This Row],[Tonnes_t]]*tblMovement[[#This Row],[Grade_gpt]]/cfg_TroyOz)</f>
        <v/>
      </c>
      <c r="O2949" s="59">
        <f>IF(tblMovement[[#This Row],[Is_Ore]]=1,tblMovement[[#This Row],[Contained_oz]],0)</f>
        <v/>
      </c>
    </row>
    <row r="2950">
      <c r="A2950" s="54" t="n"/>
      <c r="B2950" s="61" t="n"/>
      <c r="C2950" s="61" t="n"/>
      <c r="D2950" s="61" t="n"/>
      <c r="E2950" s="61" t="n"/>
      <c r="F2950" s="55" t="n"/>
      <c r="G2950" s="56" t="n"/>
      <c r="H2950" s="55" t="n"/>
      <c r="I2950" s="62" t="n"/>
      <c r="J2950" s="58" t="n"/>
      <c r="K2950" s="63">
        <f>IF(tblMovement[[#This Row],[Source]]="","",IFERROR(INDEX(tblSources[Type],MATCH(tblMovement[[#This Row],[Source]],tblSources[Source],0)),"?"))</f>
        <v/>
      </c>
      <c r="L2950" s="63">
        <f>IF(tblMovement[[#This Row],[Destination]]="","",IFERROR(INDEX(tblDestinations[Type],MATCH(tblMovement[[#This Row],[Destination]],tblDestinations[Destination],0)),"?"))</f>
        <v/>
      </c>
      <c r="M2950" s="64">
        <f>IF(tblMovement[[#This Row],[Material]]="","",IF(LEFT(tblMovement[[#This Row],[Material]],3)="Ore",1,0))</f>
        <v/>
      </c>
      <c r="N2950" s="59">
        <f>IF(OR(tblMovement[[#This Row],[Tonnes_t]]="",tblMovement[[#This Row],[Grade_gpt]]=""),0,tblMovement[[#This Row],[Tonnes_t]]*tblMovement[[#This Row],[Grade_gpt]]/cfg_TroyOz)</f>
        <v/>
      </c>
      <c r="O2950" s="59">
        <f>IF(tblMovement[[#This Row],[Is_Ore]]=1,tblMovement[[#This Row],[Contained_oz]],0)</f>
        <v/>
      </c>
    </row>
    <row r="2951">
      <c r="A2951" s="54" t="n"/>
      <c r="B2951" s="61" t="n"/>
      <c r="C2951" s="61" t="n"/>
      <c r="D2951" s="61" t="n"/>
      <c r="E2951" s="61" t="n"/>
      <c r="F2951" s="55" t="n"/>
      <c r="G2951" s="56" t="n"/>
      <c r="H2951" s="55" t="n"/>
      <c r="I2951" s="62" t="n"/>
      <c r="J2951" s="58" t="n"/>
      <c r="K2951" s="63">
        <f>IF(tblMovement[[#This Row],[Source]]="","",IFERROR(INDEX(tblSources[Type],MATCH(tblMovement[[#This Row],[Source]],tblSources[Source],0)),"?"))</f>
        <v/>
      </c>
      <c r="L2951" s="63">
        <f>IF(tblMovement[[#This Row],[Destination]]="","",IFERROR(INDEX(tblDestinations[Type],MATCH(tblMovement[[#This Row],[Destination]],tblDestinations[Destination],0)),"?"))</f>
        <v/>
      </c>
      <c r="M2951" s="64">
        <f>IF(tblMovement[[#This Row],[Material]]="","",IF(LEFT(tblMovement[[#This Row],[Material]],3)="Ore",1,0))</f>
        <v/>
      </c>
      <c r="N2951" s="59">
        <f>IF(OR(tblMovement[[#This Row],[Tonnes_t]]="",tblMovement[[#This Row],[Grade_gpt]]=""),0,tblMovement[[#This Row],[Tonnes_t]]*tblMovement[[#This Row],[Grade_gpt]]/cfg_TroyOz)</f>
        <v/>
      </c>
      <c r="O2951" s="59">
        <f>IF(tblMovement[[#This Row],[Is_Ore]]=1,tblMovement[[#This Row],[Contained_oz]],0)</f>
        <v/>
      </c>
    </row>
    <row r="2952">
      <c r="A2952" s="54" t="n"/>
      <c r="B2952" s="61" t="n"/>
      <c r="C2952" s="61" t="n"/>
      <c r="D2952" s="61" t="n"/>
      <c r="E2952" s="61" t="n"/>
      <c r="F2952" s="55" t="n"/>
      <c r="G2952" s="56" t="n"/>
      <c r="H2952" s="55" t="n"/>
      <c r="I2952" s="62" t="n"/>
      <c r="J2952" s="58" t="n"/>
      <c r="K2952" s="63">
        <f>IF(tblMovement[[#This Row],[Source]]="","",IFERROR(INDEX(tblSources[Type],MATCH(tblMovement[[#This Row],[Source]],tblSources[Source],0)),"?"))</f>
        <v/>
      </c>
      <c r="L2952" s="63">
        <f>IF(tblMovement[[#This Row],[Destination]]="","",IFERROR(INDEX(tblDestinations[Type],MATCH(tblMovement[[#This Row],[Destination]],tblDestinations[Destination],0)),"?"))</f>
        <v/>
      </c>
      <c r="M2952" s="64">
        <f>IF(tblMovement[[#This Row],[Material]]="","",IF(LEFT(tblMovement[[#This Row],[Material]],3)="Ore",1,0))</f>
        <v/>
      </c>
      <c r="N2952" s="59">
        <f>IF(OR(tblMovement[[#This Row],[Tonnes_t]]="",tblMovement[[#This Row],[Grade_gpt]]=""),0,tblMovement[[#This Row],[Tonnes_t]]*tblMovement[[#This Row],[Grade_gpt]]/cfg_TroyOz)</f>
        <v/>
      </c>
      <c r="O2952" s="59">
        <f>IF(tblMovement[[#This Row],[Is_Ore]]=1,tblMovement[[#This Row],[Contained_oz]],0)</f>
        <v/>
      </c>
    </row>
    <row r="2953">
      <c r="A2953" s="54" t="n"/>
      <c r="B2953" s="61" t="n"/>
      <c r="C2953" s="61" t="n"/>
      <c r="D2953" s="61" t="n"/>
      <c r="E2953" s="61" t="n"/>
      <c r="F2953" s="55" t="n"/>
      <c r="G2953" s="56" t="n"/>
      <c r="H2953" s="55" t="n"/>
      <c r="I2953" s="62" t="n"/>
      <c r="J2953" s="58" t="n"/>
      <c r="K2953" s="63">
        <f>IF(tblMovement[[#This Row],[Source]]="","",IFERROR(INDEX(tblSources[Type],MATCH(tblMovement[[#This Row],[Source]],tblSources[Source],0)),"?"))</f>
        <v/>
      </c>
      <c r="L2953" s="63">
        <f>IF(tblMovement[[#This Row],[Destination]]="","",IFERROR(INDEX(tblDestinations[Type],MATCH(tblMovement[[#This Row],[Destination]],tblDestinations[Destination],0)),"?"))</f>
        <v/>
      </c>
      <c r="M2953" s="64">
        <f>IF(tblMovement[[#This Row],[Material]]="","",IF(LEFT(tblMovement[[#This Row],[Material]],3)="Ore",1,0))</f>
        <v/>
      </c>
      <c r="N2953" s="59">
        <f>IF(OR(tblMovement[[#This Row],[Tonnes_t]]="",tblMovement[[#This Row],[Grade_gpt]]=""),0,tblMovement[[#This Row],[Tonnes_t]]*tblMovement[[#This Row],[Grade_gpt]]/cfg_TroyOz)</f>
        <v/>
      </c>
      <c r="O2953" s="59">
        <f>IF(tblMovement[[#This Row],[Is_Ore]]=1,tblMovement[[#This Row],[Contained_oz]],0)</f>
        <v/>
      </c>
    </row>
    <row r="2954">
      <c r="A2954" s="54" t="n"/>
      <c r="B2954" s="61" t="n"/>
      <c r="C2954" s="61" t="n"/>
      <c r="D2954" s="61" t="n"/>
      <c r="E2954" s="61" t="n"/>
      <c r="F2954" s="55" t="n"/>
      <c r="G2954" s="56" t="n"/>
      <c r="H2954" s="55" t="n"/>
      <c r="I2954" s="62" t="n"/>
      <c r="J2954" s="58" t="n"/>
      <c r="K2954" s="63">
        <f>IF(tblMovement[[#This Row],[Source]]="","",IFERROR(INDEX(tblSources[Type],MATCH(tblMovement[[#This Row],[Source]],tblSources[Source],0)),"?"))</f>
        <v/>
      </c>
      <c r="L2954" s="63">
        <f>IF(tblMovement[[#This Row],[Destination]]="","",IFERROR(INDEX(tblDestinations[Type],MATCH(tblMovement[[#This Row],[Destination]],tblDestinations[Destination],0)),"?"))</f>
        <v/>
      </c>
      <c r="M2954" s="64">
        <f>IF(tblMovement[[#This Row],[Material]]="","",IF(LEFT(tblMovement[[#This Row],[Material]],3)="Ore",1,0))</f>
        <v/>
      </c>
      <c r="N2954" s="59">
        <f>IF(OR(tblMovement[[#This Row],[Tonnes_t]]="",tblMovement[[#This Row],[Grade_gpt]]=""),0,tblMovement[[#This Row],[Tonnes_t]]*tblMovement[[#This Row],[Grade_gpt]]/cfg_TroyOz)</f>
        <v/>
      </c>
      <c r="O2954" s="59">
        <f>IF(tblMovement[[#This Row],[Is_Ore]]=1,tblMovement[[#This Row],[Contained_oz]],0)</f>
        <v/>
      </c>
    </row>
    <row r="2955">
      <c r="A2955" s="54" t="n"/>
      <c r="B2955" s="61" t="n"/>
      <c r="C2955" s="61" t="n"/>
      <c r="D2955" s="61" t="n"/>
      <c r="E2955" s="61" t="n"/>
      <c r="F2955" s="55" t="n"/>
      <c r="G2955" s="56" t="n"/>
      <c r="H2955" s="55" t="n"/>
      <c r="I2955" s="62" t="n"/>
      <c r="J2955" s="58" t="n"/>
      <c r="K2955" s="63">
        <f>IF(tblMovement[[#This Row],[Source]]="","",IFERROR(INDEX(tblSources[Type],MATCH(tblMovement[[#This Row],[Source]],tblSources[Source],0)),"?"))</f>
        <v/>
      </c>
      <c r="L2955" s="63">
        <f>IF(tblMovement[[#This Row],[Destination]]="","",IFERROR(INDEX(tblDestinations[Type],MATCH(tblMovement[[#This Row],[Destination]],tblDestinations[Destination],0)),"?"))</f>
        <v/>
      </c>
      <c r="M2955" s="64">
        <f>IF(tblMovement[[#This Row],[Material]]="","",IF(LEFT(tblMovement[[#This Row],[Material]],3)="Ore",1,0))</f>
        <v/>
      </c>
      <c r="N2955" s="59">
        <f>IF(OR(tblMovement[[#This Row],[Tonnes_t]]="",tblMovement[[#This Row],[Grade_gpt]]=""),0,tblMovement[[#This Row],[Tonnes_t]]*tblMovement[[#This Row],[Grade_gpt]]/cfg_TroyOz)</f>
        <v/>
      </c>
      <c r="O2955" s="59">
        <f>IF(tblMovement[[#This Row],[Is_Ore]]=1,tblMovement[[#This Row],[Contained_oz]],0)</f>
        <v/>
      </c>
    </row>
    <row r="2956">
      <c r="A2956" s="54" t="n"/>
      <c r="B2956" s="61" t="n"/>
      <c r="C2956" s="61" t="n"/>
      <c r="D2956" s="61" t="n"/>
      <c r="E2956" s="61" t="n"/>
      <c r="F2956" s="55" t="n"/>
      <c r="G2956" s="56" t="n"/>
      <c r="H2956" s="55" t="n"/>
      <c r="I2956" s="62" t="n"/>
      <c r="J2956" s="58" t="n"/>
      <c r="K2956" s="63">
        <f>IF(tblMovement[[#This Row],[Source]]="","",IFERROR(INDEX(tblSources[Type],MATCH(tblMovement[[#This Row],[Source]],tblSources[Source],0)),"?"))</f>
        <v/>
      </c>
      <c r="L2956" s="63">
        <f>IF(tblMovement[[#This Row],[Destination]]="","",IFERROR(INDEX(tblDestinations[Type],MATCH(tblMovement[[#This Row],[Destination]],tblDestinations[Destination],0)),"?"))</f>
        <v/>
      </c>
      <c r="M2956" s="64">
        <f>IF(tblMovement[[#This Row],[Material]]="","",IF(LEFT(tblMovement[[#This Row],[Material]],3)="Ore",1,0))</f>
        <v/>
      </c>
      <c r="N2956" s="59">
        <f>IF(OR(tblMovement[[#This Row],[Tonnes_t]]="",tblMovement[[#This Row],[Grade_gpt]]=""),0,tblMovement[[#This Row],[Tonnes_t]]*tblMovement[[#This Row],[Grade_gpt]]/cfg_TroyOz)</f>
        <v/>
      </c>
      <c r="O2956" s="59">
        <f>IF(tblMovement[[#This Row],[Is_Ore]]=1,tblMovement[[#This Row],[Contained_oz]],0)</f>
        <v/>
      </c>
    </row>
    <row r="2957">
      <c r="A2957" s="54" t="n"/>
      <c r="B2957" s="61" t="n"/>
      <c r="C2957" s="61" t="n"/>
      <c r="D2957" s="61" t="n"/>
      <c r="E2957" s="61" t="n"/>
      <c r="F2957" s="55" t="n"/>
      <c r="G2957" s="56" t="n"/>
      <c r="H2957" s="55" t="n"/>
      <c r="I2957" s="62" t="n"/>
      <c r="J2957" s="58" t="n"/>
      <c r="K2957" s="63">
        <f>IF(tblMovement[[#This Row],[Source]]="","",IFERROR(INDEX(tblSources[Type],MATCH(tblMovement[[#This Row],[Source]],tblSources[Source],0)),"?"))</f>
        <v/>
      </c>
      <c r="L2957" s="63">
        <f>IF(tblMovement[[#This Row],[Destination]]="","",IFERROR(INDEX(tblDestinations[Type],MATCH(tblMovement[[#This Row],[Destination]],tblDestinations[Destination],0)),"?"))</f>
        <v/>
      </c>
      <c r="M2957" s="64">
        <f>IF(tblMovement[[#This Row],[Material]]="","",IF(LEFT(tblMovement[[#This Row],[Material]],3)="Ore",1,0))</f>
        <v/>
      </c>
      <c r="N2957" s="59">
        <f>IF(OR(tblMovement[[#This Row],[Tonnes_t]]="",tblMovement[[#This Row],[Grade_gpt]]=""),0,tblMovement[[#This Row],[Tonnes_t]]*tblMovement[[#This Row],[Grade_gpt]]/cfg_TroyOz)</f>
        <v/>
      </c>
      <c r="O2957" s="59">
        <f>IF(tblMovement[[#This Row],[Is_Ore]]=1,tblMovement[[#This Row],[Contained_oz]],0)</f>
        <v/>
      </c>
    </row>
    <row r="2958">
      <c r="A2958" s="54" t="n"/>
      <c r="B2958" s="61" t="n"/>
      <c r="C2958" s="61" t="n"/>
      <c r="D2958" s="61" t="n"/>
      <c r="E2958" s="61" t="n"/>
      <c r="F2958" s="55" t="n"/>
      <c r="G2958" s="56" t="n"/>
      <c r="H2958" s="55" t="n"/>
      <c r="I2958" s="62" t="n"/>
      <c r="J2958" s="58" t="n"/>
      <c r="K2958" s="63">
        <f>IF(tblMovement[[#This Row],[Source]]="","",IFERROR(INDEX(tblSources[Type],MATCH(tblMovement[[#This Row],[Source]],tblSources[Source],0)),"?"))</f>
        <v/>
      </c>
      <c r="L2958" s="63">
        <f>IF(tblMovement[[#This Row],[Destination]]="","",IFERROR(INDEX(tblDestinations[Type],MATCH(tblMovement[[#This Row],[Destination]],tblDestinations[Destination],0)),"?"))</f>
        <v/>
      </c>
      <c r="M2958" s="64">
        <f>IF(tblMovement[[#This Row],[Material]]="","",IF(LEFT(tblMovement[[#This Row],[Material]],3)="Ore",1,0))</f>
        <v/>
      </c>
      <c r="N2958" s="59">
        <f>IF(OR(tblMovement[[#This Row],[Tonnes_t]]="",tblMovement[[#This Row],[Grade_gpt]]=""),0,tblMovement[[#This Row],[Tonnes_t]]*tblMovement[[#This Row],[Grade_gpt]]/cfg_TroyOz)</f>
        <v/>
      </c>
      <c r="O2958" s="59">
        <f>IF(tblMovement[[#This Row],[Is_Ore]]=1,tblMovement[[#This Row],[Contained_oz]],0)</f>
        <v/>
      </c>
    </row>
    <row r="2959">
      <c r="A2959" s="54" t="n"/>
      <c r="B2959" s="61" t="n"/>
      <c r="C2959" s="61" t="n"/>
      <c r="D2959" s="61" t="n"/>
      <c r="E2959" s="61" t="n"/>
      <c r="F2959" s="55" t="n"/>
      <c r="G2959" s="56" t="n"/>
      <c r="H2959" s="55" t="n"/>
      <c r="I2959" s="62" t="n"/>
      <c r="J2959" s="58" t="n"/>
      <c r="K2959" s="63">
        <f>IF(tblMovement[[#This Row],[Source]]="","",IFERROR(INDEX(tblSources[Type],MATCH(tblMovement[[#This Row],[Source]],tblSources[Source],0)),"?"))</f>
        <v/>
      </c>
      <c r="L2959" s="63">
        <f>IF(tblMovement[[#This Row],[Destination]]="","",IFERROR(INDEX(tblDestinations[Type],MATCH(tblMovement[[#This Row],[Destination]],tblDestinations[Destination],0)),"?"))</f>
        <v/>
      </c>
      <c r="M2959" s="64">
        <f>IF(tblMovement[[#This Row],[Material]]="","",IF(LEFT(tblMovement[[#This Row],[Material]],3)="Ore",1,0))</f>
        <v/>
      </c>
      <c r="N2959" s="59">
        <f>IF(OR(tblMovement[[#This Row],[Tonnes_t]]="",tblMovement[[#This Row],[Grade_gpt]]=""),0,tblMovement[[#This Row],[Tonnes_t]]*tblMovement[[#This Row],[Grade_gpt]]/cfg_TroyOz)</f>
        <v/>
      </c>
      <c r="O2959" s="59">
        <f>IF(tblMovement[[#This Row],[Is_Ore]]=1,tblMovement[[#This Row],[Contained_oz]],0)</f>
        <v/>
      </c>
    </row>
    <row r="2960">
      <c r="A2960" s="54" t="n"/>
      <c r="B2960" s="61" t="n"/>
      <c r="C2960" s="61" t="n"/>
      <c r="D2960" s="61" t="n"/>
      <c r="E2960" s="61" t="n"/>
      <c r="F2960" s="55" t="n"/>
      <c r="G2960" s="56" t="n"/>
      <c r="H2960" s="55" t="n"/>
      <c r="I2960" s="62" t="n"/>
      <c r="J2960" s="58" t="n"/>
      <c r="K2960" s="63">
        <f>IF(tblMovement[[#This Row],[Source]]="","",IFERROR(INDEX(tblSources[Type],MATCH(tblMovement[[#This Row],[Source]],tblSources[Source],0)),"?"))</f>
        <v/>
      </c>
      <c r="L2960" s="63">
        <f>IF(tblMovement[[#This Row],[Destination]]="","",IFERROR(INDEX(tblDestinations[Type],MATCH(tblMovement[[#This Row],[Destination]],tblDestinations[Destination],0)),"?"))</f>
        <v/>
      </c>
      <c r="M2960" s="64">
        <f>IF(tblMovement[[#This Row],[Material]]="","",IF(LEFT(tblMovement[[#This Row],[Material]],3)="Ore",1,0))</f>
        <v/>
      </c>
      <c r="N2960" s="59">
        <f>IF(OR(tblMovement[[#This Row],[Tonnes_t]]="",tblMovement[[#This Row],[Grade_gpt]]=""),0,tblMovement[[#This Row],[Tonnes_t]]*tblMovement[[#This Row],[Grade_gpt]]/cfg_TroyOz)</f>
        <v/>
      </c>
      <c r="O2960" s="59">
        <f>IF(tblMovement[[#This Row],[Is_Ore]]=1,tblMovement[[#This Row],[Contained_oz]],0)</f>
        <v/>
      </c>
    </row>
    <row r="2961">
      <c r="A2961" s="54" t="n"/>
      <c r="B2961" s="61" t="n"/>
      <c r="C2961" s="61" t="n"/>
      <c r="D2961" s="61" t="n"/>
      <c r="E2961" s="61" t="n"/>
      <c r="F2961" s="55" t="n"/>
      <c r="G2961" s="56" t="n"/>
      <c r="H2961" s="55" t="n"/>
      <c r="I2961" s="62" t="n"/>
      <c r="J2961" s="58" t="n"/>
      <c r="K2961" s="63">
        <f>IF(tblMovement[[#This Row],[Source]]="","",IFERROR(INDEX(tblSources[Type],MATCH(tblMovement[[#This Row],[Source]],tblSources[Source],0)),"?"))</f>
        <v/>
      </c>
      <c r="L2961" s="63">
        <f>IF(tblMovement[[#This Row],[Destination]]="","",IFERROR(INDEX(tblDestinations[Type],MATCH(tblMovement[[#This Row],[Destination]],tblDestinations[Destination],0)),"?"))</f>
        <v/>
      </c>
      <c r="M2961" s="64">
        <f>IF(tblMovement[[#This Row],[Material]]="","",IF(LEFT(tblMovement[[#This Row],[Material]],3)="Ore",1,0))</f>
        <v/>
      </c>
      <c r="N2961" s="59">
        <f>IF(OR(tblMovement[[#This Row],[Tonnes_t]]="",tblMovement[[#This Row],[Grade_gpt]]=""),0,tblMovement[[#This Row],[Tonnes_t]]*tblMovement[[#This Row],[Grade_gpt]]/cfg_TroyOz)</f>
        <v/>
      </c>
      <c r="O2961" s="59">
        <f>IF(tblMovement[[#This Row],[Is_Ore]]=1,tblMovement[[#This Row],[Contained_oz]],0)</f>
        <v/>
      </c>
    </row>
    <row r="2962">
      <c r="A2962" s="54" t="n"/>
      <c r="B2962" s="61" t="n"/>
      <c r="C2962" s="61" t="n"/>
      <c r="D2962" s="61" t="n"/>
      <c r="E2962" s="61" t="n"/>
      <c r="F2962" s="55" t="n"/>
      <c r="G2962" s="56" t="n"/>
      <c r="H2962" s="55" t="n"/>
      <c r="I2962" s="62" t="n"/>
      <c r="J2962" s="58" t="n"/>
      <c r="K2962" s="63">
        <f>IF(tblMovement[[#This Row],[Source]]="","",IFERROR(INDEX(tblSources[Type],MATCH(tblMovement[[#This Row],[Source]],tblSources[Source],0)),"?"))</f>
        <v/>
      </c>
      <c r="L2962" s="63">
        <f>IF(tblMovement[[#This Row],[Destination]]="","",IFERROR(INDEX(tblDestinations[Type],MATCH(tblMovement[[#This Row],[Destination]],tblDestinations[Destination],0)),"?"))</f>
        <v/>
      </c>
      <c r="M2962" s="64">
        <f>IF(tblMovement[[#This Row],[Material]]="","",IF(LEFT(tblMovement[[#This Row],[Material]],3)="Ore",1,0))</f>
        <v/>
      </c>
      <c r="N2962" s="59">
        <f>IF(OR(tblMovement[[#This Row],[Tonnes_t]]="",tblMovement[[#This Row],[Grade_gpt]]=""),0,tblMovement[[#This Row],[Tonnes_t]]*tblMovement[[#This Row],[Grade_gpt]]/cfg_TroyOz)</f>
        <v/>
      </c>
      <c r="O2962" s="59">
        <f>IF(tblMovement[[#This Row],[Is_Ore]]=1,tblMovement[[#This Row],[Contained_oz]],0)</f>
        <v/>
      </c>
    </row>
    <row r="2963">
      <c r="A2963" s="54" t="n"/>
      <c r="B2963" s="61" t="n"/>
      <c r="C2963" s="61" t="n"/>
      <c r="D2963" s="61" t="n"/>
      <c r="E2963" s="61" t="n"/>
      <c r="F2963" s="55" t="n"/>
      <c r="G2963" s="56" t="n"/>
      <c r="H2963" s="55" t="n"/>
      <c r="I2963" s="62" t="n"/>
      <c r="J2963" s="58" t="n"/>
      <c r="K2963" s="63">
        <f>IF(tblMovement[[#This Row],[Source]]="","",IFERROR(INDEX(tblSources[Type],MATCH(tblMovement[[#This Row],[Source]],tblSources[Source],0)),"?"))</f>
        <v/>
      </c>
      <c r="L2963" s="63">
        <f>IF(tblMovement[[#This Row],[Destination]]="","",IFERROR(INDEX(tblDestinations[Type],MATCH(tblMovement[[#This Row],[Destination]],tblDestinations[Destination],0)),"?"))</f>
        <v/>
      </c>
      <c r="M2963" s="64">
        <f>IF(tblMovement[[#This Row],[Material]]="","",IF(LEFT(tblMovement[[#This Row],[Material]],3)="Ore",1,0))</f>
        <v/>
      </c>
      <c r="N2963" s="59">
        <f>IF(OR(tblMovement[[#This Row],[Tonnes_t]]="",tblMovement[[#This Row],[Grade_gpt]]=""),0,tblMovement[[#This Row],[Tonnes_t]]*tblMovement[[#This Row],[Grade_gpt]]/cfg_TroyOz)</f>
        <v/>
      </c>
      <c r="O2963" s="59">
        <f>IF(tblMovement[[#This Row],[Is_Ore]]=1,tblMovement[[#This Row],[Contained_oz]],0)</f>
        <v/>
      </c>
    </row>
    <row r="2964">
      <c r="A2964" s="54" t="n"/>
      <c r="B2964" s="61" t="n"/>
      <c r="C2964" s="61" t="n"/>
      <c r="D2964" s="61" t="n"/>
      <c r="E2964" s="61" t="n"/>
      <c r="F2964" s="55" t="n"/>
      <c r="G2964" s="56" t="n"/>
      <c r="H2964" s="55" t="n"/>
      <c r="I2964" s="62" t="n"/>
      <c r="J2964" s="58" t="n"/>
      <c r="K2964" s="63">
        <f>IF(tblMovement[[#This Row],[Source]]="","",IFERROR(INDEX(tblSources[Type],MATCH(tblMovement[[#This Row],[Source]],tblSources[Source],0)),"?"))</f>
        <v/>
      </c>
      <c r="L2964" s="63">
        <f>IF(tblMovement[[#This Row],[Destination]]="","",IFERROR(INDEX(tblDestinations[Type],MATCH(tblMovement[[#This Row],[Destination]],tblDestinations[Destination],0)),"?"))</f>
        <v/>
      </c>
      <c r="M2964" s="64">
        <f>IF(tblMovement[[#This Row],[Material]]="","",IF(LEFT(tblMovement[[#This Row],[Material]],3)="Ore",1,0))</f>
        <v/>
      </c>
      <c r="N2964" s="59">
        <f>IF(OR(tblMovement[[#This Row],[Tonnes_t]]="",tblMovement[[#This Row],[Grade_gpt]]=""),0,tblMovement[[#This Row],[Tonnes_t]]*tblMovement[[#This Row],[Grade_gpt]]/cfg_TroyOz)</f>
        <v/>
      </c>
      <c r="O2964" s="59">
        <f>IF(tblMovement[[#This Row],[Is_Ore]]=1,tblMovement[[#This Row],[Contained_oz]],0)</f>
        <v/>
      </c>
    </row>
    <row r="2965">
      <c r="A2965" s="54" t="n"/>
      <c r="B2965" s="61" t="n"/>
      <c r="C2965" s="61" t="n"/>
      <c r="D2965" s="61" t="n"/>
      <c r="E2965" s="61" t="n"/>
      <c r="F2965" s="55" t="n"/>
      <c r="G2965" s="56" t="n"/>
      <c r="H2965" s="55" t="n"/>
      <c r="I2965" s="62" t="n"/>
      <c r="J2965" s="58" t="n"/>
      <c r="K2965" s="63">
        <f>IF(tblMovement[[#This Row],[Source]]="","",IFERROR(INDEX(tblSources[Type],MATCH(tblMovement[[#This Row],[Source]],tblSources[Source],0)),"?"))</f>
        <v/>
      </c>
      <c r="L2965" s="63">
        <f>IF(tblMovement[[#This Row],[Destination]]="","",IFERROR(INDEX(tblDestinations[Type],MATCH(tblMovement[[#This Row],[Destination]],tblDestinations[Destination],0)),"?"))</f>
        <v/>
      </c>
      <c r="M2965" s="64">
        <f>IF(tblMovement[[#This Row],[Material]]="","",IF(LEFT(tblMovement[[#This Row],[Material]],3)="Ore",1,0))</f>
        <v/>
      </c>
      <c r="N2965" s="59">
        <f>IF(OR(tblMovement[[#This Row],[Tonnes_t]]="",tblMovement[[#This Row],[Grade_gpt]]=""),0,tblMovement[[#This Row],[Tonnes_t]]*tblMovement[[#This Row],[Grade_gpt]]/cfg_TroyOz)</f>
        <v/>
      </c>
      <c r="O2965" s="59">
        <f>IF(tblMovement[[#This Row],[Is_Ore]]=1,tblMovement[[#This Row],[Contained_oz]],0)</f>
        <v/>
      </c>
    </row>
    <row r="2966">
      <c r="A2966" s="54" t="n"/>
      <c r="B2966" s="61" t="n"/>
      <c r="C2966" s="61" t="n"/>
      <c r="D2966" s="61" t="n"/>
      <c r="E2966" s="61" t="n"/>
      <c r="F2966" s="55" t="n"/>
      <c r="G2966" s="56" t="n"/>
      <c r="H2966" s="55" t="n"/>
      <c r="I2966" s="62" t="n"/>
      <c r="J2966" s="58" t="n"/>
      <c r="K2966" s="63">
        <f>IF(tblMovement[[#This Row],[Source]]="","",IFERROR(INDEX(tblSources[Type],MATCH(tblMovement[[#This Row],[Source]],tblSources[Source],0)),"?"))</f>
        <v/>
      </c>
      <c r="L2966" s="63">
        <f>IF(tblMovement[[#This Row],[Destination]]="","",IFERROR(INDEX(tblDestinations[Type],MATCH(tblMovement[[#This Row],[Destination]],tblDestinations[Destination],0)),"?"))</f>
        <v/>
      </c>
      <c r="M2966" s="64">
        <f>IF(tblMovement[[#This Row],[Material]]="","",IF(LEFT(tblMovement[[#This Row],[Material]],3)="Ore",1,0))</f>
        <v/>
      </c>
      <c r="N2966" s="59">
        <f>IF(OR(tblMovement[[#This Row],[Tonnes_t]]="",tblMovement[[#This Row],[Grade_gpt]]=""),0,tblMovement[[#This Row],[Tonnes_t]]*tblMovement[[#This Row],[Grade_gpt]]/cfg_TroyOz)</f>
        <v/>
      </c>
      <c r="O2966" s="59">
        <f>IF(tblMovement[[#This Row],[Is_Ore]]=1,tblMovement[[#This Row],[Contained_oz]],0)</f>
        <v/>
      </c>
    </row>
    <row r="2967">
      <c r="A2967" s="54" t="n"/>
      <c r="B2967" s="61" t="n"/>
      <c r="C2967" s="61" t="n"/>
      <c r="D2967" s="61" t="n"/>
      <c r="E2967" s="61" t="n"/>
      <c r="F2967" s="55" t="n"/>
      <c r="G2967" s="56" t="n"/>
      <c r="H2967" s="55" t="n"/>
      <c r="I2967" s="62" t="n"/>
      <c r="J2967" s="58" t="n"/>
      <c r="K2967" s="63">
        <f>IF(tblMovement[[#This Row],[Source]]="","",IFERROR(INDEX(tblSources[Type],MATCH(tblMovement[[#This Row],[Source]],tblSources[Source],0)),"?"))</f>
        <v/>
      </c>
      <c r="L2967" s="63">
        <f>IF(tblMovement[[#This Row],[Destination]]="","",IFERROR(INDEX(tblDestinations[Type],MATCH(tblMovement[[#This Row],[Destination]],tblDestinations[Destination],0)),"?"))</f>
        <v/>
      </c>
      <c r="M2967" s="64">
        <f>IF(tblMovement[[#This Row],[Material]]="","",IF(LEFT(tblMovement[[#This Row],[Material]],3)="Ore",1,0))</f>
        <v/>
      </c>
      <c r="N2967" s="59">
        <f>IF(OR(tblMovement[[#This Row],[Tonnes_t]]="",tblMovement[[#This Row],[Grade_gpt]]=""),0,tblMovement[[#This Row],[Tonnes_t]]*tblMovement[[#This Row],[Grade_gpt]]/cfg_TroyOz)</f>
        <v/>
      </c>
      <c r="O2967" s="59">
        <f>IF(tblMovement[[#This Row],[Is_Ore]]=1,tblMovement[[#This Row],[Contained_oz]],0)</f>
        <v/>
      </c>
    </row>
    <row r="2968">
      <c r="A2968" s="54" t="n"/>
      <c r="B2968" s="61" t="n"/>
      <c r="C2968" s="61" t="n"/>
      <c r="D2968" s="61" t="n"/>
      <c r="E2968" s="61" t="n"/>
      <c r="F2968" s="55" t="n"/>
      <c r="G2968" s="56" t="n"/>
      <c r="H2968" s="55" t="n"/>
      <c r="I2968" s="62" t="n"/>
      <c r="J2968" s="58" t="n"/>
      <c r="K2968" s="63">
        <f>IF(tblMovement[[#This Row],[Source]]="","",IFERROR(INDEX(tblSources[Type],MATCH(tblMovement[[#This Row],[Source]],tblSources[Source],0)),"?"))</f>
        <v/>
      </c>
      <c r="L2968" s="63">
        <f>IF(tblMovement[[#This Row],[Destination]]="","",IFERROR(INDEX(tblDestinations[Type],MATCH(tblMovement[[#This Row],[Destination]],tblDestinations[Destination],0)),"?"))</f>
        <v/>
      </c>
      <c r="M2968" s="64">
        <f>IF(tblMovement[[#This Row],[Material]]="","",IF(LEFT(tblMovement[[#This Row],[Material]],3)="Ore",1,0))</f>
        <v/>
      </c>
      <c r="N2968" s="59">
        <f>IF(OR(tblMovement[[#This Row],[Tonnes_t]]="",tblMovement[[#This Row],[Grade_gpt]]=""),0,tblMovement[[#This Row],[Tonnes_t]]*tblMovement[[#This Row],[Grade_gpt]]/cfg_TroyOz)</f>
        <v/>
      </c>
      <c r="O2968" s="59">
        <f>IF(tblMovement[[#This Row],[Is_Ore]]=1,tblMovement[[#This Row],[Contained_oz]],0)</f>
        <v/>
      </c>
    </row>
    <row r="2969">
      <c r="A2969" s="54" t="n"/>
      <c r="B2969" s="61" t="n"/>
      <c r="C2969" s="61" t="n"/>
      <c r="D2969" s="61" t="n"/>
      <c r="E2969" s="61" t="n"/>
      <c r="F2969" s="55" t="n"/>
      <c r="G2969" s="56" t="n"/>
      <c r="H2969" s="55" t="n"/>
      <c r="I2969" s="62" t="n"/>
      <c r="J2969" s="58" t="n"/>
      <c r="K2969" s="63">
        <f>IF(tblMovement[[#This Row],[Source]]="","",IFERROR(INDEX(tblSources[Type],MATCH(tblMovement[[#This Row],[Source]],tblSources[Source],0)),"?"))</f>
        <v/>
      </c>
      <c r="L2969" s="63">
        <f>IF(tblMovement[[#This Row],[Destination]]="","",IFERROR(INDEX(tblDestinations[Type],MATCH(tblMovement[[#This Row],[Destination]],tblDestinations[Destination],0)),"?"))</f>
        <v/>
      </c>
      <c r="M2969" s="64">
        <f>IF(tblMovement[[#This Row],[Material]]="","",IF(LEFT(tblMovement[[#This Row],[Material]],3)="Ore",1,0))</f>
        <v/>
      </c>
      <c r="N2969" s="59">
        <f>IF(OR(tblMovement[[#This Row],[Tonnes_t]]="",tblMovement[[#This Row],[Grade_gpt]]=""),0,tblMovement[[#This Row],[Tonnes_t]]*tblMovement[[#This Row],[Grade_gpt]]/cfg_TroyOz)</f>
        <v/>
      </c>
      <c r="O2969" s="59">
        <f>IF(tblMovement[[#This Row],[Is_Ore]]=1,tblMovement[[#This Row],[Contained_oz]],0)</f>
        <v/>
      </c>
    </row>
    <row r="2970">
      <c r="A2970" s="54" t="n"/>
      <c r="B2970" s="61" t="n"/>
      <c r="C2970" s="61" t="n"/>
      <c r="D2970" s="61" t="n"/>
      <c r="E2970" s="61" t="n"/>
      <c r="F2970" s="55" t="n"/>
      <c r="G2970" s="56" t="n"/>
      <c r="H2970" s="55" t="n"/>
      <c r="I2970" s="62" t="n"/>
      <c r="J2970" s="58" t="n"/>
      <c r="K2970" s="63">
        <f>IF(tblMovement[[#This Row],[Source]]="","",IFERROR(INDEX(tblSources[Type],MATCH(tblMovement[[#This Row],[Source]],tblSources[Source],0)),"?"))</f>
        <v/>
      </c>
      <c r="L2970" s="63">
        <f>IF(tblMovement[[#This Row],[Destination]]="","",IFERROR(INDEX(tblDestinations[Type],MATCH(tblMovement[[#This Row],[Destination]],tblDestinations[Destination],0)),"?"))</f>
        <v/>
      </c>
      <c r="M2970" s="64">
        <f>IF(tblMovement[[#This Row],[Material]]="","",IF(LEFT(tblMovement[[#This Row],[Material]],3)="Ore",1,0))</f>
        <v/>
      </c>
      <c r="N2970" s="59">
        <f>IF(OR(tblMovement[[#This Row],[Tonnes_t]]="",tblMovement[[#This Row],[Grade_gpt]]=""),0,tblMovement[[#This Row],[Tonnes_t]]*tblMovement[[#This Row],[Grade_gpt]]/cfg_TroyOz)</f>
        <v/>
      </c>
      <c r="O2970" s="59">
        <f>IF(tblMovement[[#This Row],[Is_Ore]]=1,tblMovement[[#This Row],[Contained_oz]],0)</f>
        <v/>
      </c>
    </row>
    <row r="2971">
      <c r="A2971" s="54" t="n"/>
      <c r="B2971" s="61" t="n"/>
      <c r="C2971" s="61" t="n"/>
      <c r="D2971" s="61" t="n"/>
      <c r="E2971" s="61" t="n"/>
      <c r="F2971" s="55" t="n"/>
      <c r="G2971" s="56" t="n"/>
      <c r="H2971" s="55" t="n"/>
      <c r="I2971" s="62" t="n"/>
      <c r="J2971" s="58" t="n"/>
      <c r="K2971" s="63">
        <f>IF(tblMovement[[#This Row],[Source]]="","",IFERROR(INDEX(tblSources[Type],MATCH(tblMovement[[#This Row],[Source]],tblSources[Source],0)),"?"))</f>
        <v/>
      </c>
      <c r="L2971" s="63">
        <f>IF(tblMovement[[#This Row],[Destination]]="","",IFERROR(INDEX(tblDestinations[Type],MATCH(tblMovement[[#This Row],[Destination]],tblDestinations[Destination],0)),"?"))</f>
        <v/>
      </c>
      <c r="M2971" s="64">
        <f>IF(tblMovement[[#This Row],[Material]]="","",IF(LEFT(tblMovement[[#This Row],[Material]],3)="Ore",1,0))</f>
        <v/>
      </c>
      <c r="N2971" s="59">
        <f>IF(OR(tblMovement[[#This Row],[Tonnes_t]]="",tblMovement[[#This Row],[Grade_gpt]]=""),0,tblMovement[[#This Row],[Tonnes_t]]*tblMovement[[#This Row],[Grade_gpt]]/cfg_TroyOz)</f>
        <v/>
      </c>
      <c r="O2971" s="59">
        <f>IF(tblMovement[[#This Row],[Is_Ore]]=1,tblMovement[[#This Row],[Contained_oz]],0)</f>
        <v/>
      </c>
    </row>
    <row r="2972">
      <c r="A2972" s="54" t="n"/>
      <c r="B2972" s="61" t="n"/>
      <c r="C2972" s="61" t="n"/>
      <c r="D2972" s="61" t="n"/>
      <c r="E2972" s="61" t="n"/>
      <c r="F2972" s="55" t="n"/>
      <c r="G2972" s="56" t="n"/>
      <c r="H2972" s="55" t="n"/>
      <c r="I2972" s="62" t="n"/>
      <c r="J2972" s="58" t="n"/>
      <c r="K2972" s="63">
        <f>IF(tblMovement[[#This Row],[Source]]="","",IFERROR(INDEX(tblSources[Type],MATCH(tblMovement[[#This Row],[Source]],tblSources[Source],0)),"?"))</f>
        <v/>
      </c>
      <c r="L2972" s="63">
        <f>IF(tblMovement[[#This Row],[Destination]]="","",IFERROR(INDEX(tblDestinations[Type],MATCH(tblMovement[[#This Row],[Destination]],tblDestinations[Destination],0)),"?"))</f>
        <v/>
      </c>
      <c r="M2972" s="64">
        <f>IF(tblMovement[[#This Row],[Material]]="","",IF(LEFT(tblMovement[[#This Row],[Material]],3)="Ore",1,0))</f>
        <v/>
      </c>
      <c r="N2972" s="59">
        <f>IF(OR(tblMovement[[#This Row],[Tonnes_t]]="",tblMovement[[#This Row],[Grade_gpt]]=""),0,tblMovement[[#This Row],[Tonnes_t]]*tblMovement[[#This Row],[Grade_gpt]]/cfg_TroyOz)</f>
        <v/>
      </c>
      <c r="O2972" s="59">
        <f>IF(tblMovement[[#This Row],[Is_Ore]]=1,tblMovement[[#This Row],[Contained_oz]],0)</f>
        <v/>
      </c>
    </row>
    <row r="2973">
      <c r="A2973" s="54" t="n"/>
      <c r="B2973" s="61" t="n"/>
      <c r="C2973" s="61" t="n"/>
      <c r="D2973" s="61" t="n"/>
      <c r="E2973" s="61" t="n"/>
      <c r="F2973" s="55" t="n"/>
      <c r="G2973" s="56" t="n"/>
      <c r="H2973" s="55" t="n"/>
      <c r="I2973" s="62" t="n"/>
      <c r="J2973" s="58" t="n"/>
      <c r="K2973" s="63">
        <f>IF(tblMovement[[#This Row],[Source]]="","",IFERROR(INDEX(tblSources[Type],MATCH(tblMovement[[#This Row],[Source]],tblSources[Source],0)),"?"))</f>
        <v/>
      </c>
      <c r="L2973" s="63">
        <f>IF(tblMovement[[#This Row],[Destination]]="","",IFERROR(INDEX(tblDestinations[Type],MATCH(tblMovement[[#This Row],[Destination]],tblDestinations[Destination],0)),"?"))</f>
        <v/>
      </c>
      <c r="M2973" s="64">
        <f>IF(tblMovement[[#This Row],[Material]]="","",IF(LEFT(tblMovement[[#This Row],[Material]],3)="Ore",1,0))</f>
        <v/>
      </c>
      <c r="N2973" s="59">
        <f>IF(OR(tblMovement[[#This Row],[Tonnes_t]]="",tblMovement[[#This Row],[Grade_gpt]]=""),0,tblMovement[[#This Row],[Tonnes_t]]*tblMovement[[#This Row],[Grade_gpt]]/cfg_TroyOz)</f>
        <v/>
      </c>
      <c r="O2973" s="59">
        <f>IF(tblMovement[[#This Row],[Is_Ore]]=1,tblMovement[[#This Row],[Contained_oz]],0)</f>
        <v/>
      </c>
    </row>
    <row r="2974">
      <c r="A2974" s="54" t="n"/>
      <c r="B2974" s="61" t="n"/>
      <c r="C2974" s="61" t="n"/>
      <c r="D2974" s="61" t="n"/>
      <c r="E2974" s="61" t="n"/>
      <c r="F2974" s="55" t="n"/>
      <c r="G2974" s="56" t="n"/>
      <c r="H2974" s="55" t="n"/>
      <c r="I2974" s="62" t="n"/>
      <c r="J2974" s="58" t="n"/>
      <c r="K2974" s="63">
        <f>IF(tblMovement[[#This Row],[Source]]="","",IFERROR(INDEX(tblSources[Type],MATCH(tblMovement[[#This Row],[Source]],tblSources[Source],0)),"?"))</f>
        <v/>
      </c>
      <c r="L2974" s="63">
        <f>IF(tblMovement[[#This Row],[Destination]]="","",IFERROR(INDEX(tblDestinations[Type],MATCH(tblMovement[[#This Row],[Destination]],tblDestinations[Destination],0)),"?"))</f>
        <v/>
      </c>
      <c r="M2974" s="64">
        <f>IF(tblMovement[[#This Row],[Material]]="","",IF(LEFT(tblMovement[[#This Row],[Material]],3)="Ore",1,0))</f>
        <v/>
      </c>
      <c r="N2974" s="59">
        <f>IF(OR(tblMovement[[#This Row],[Tonnes_t]]="",tblMovement[[#This Row],[Grade_gpt]]=""),0,tblMovement[[#This Row],[Tonnes_t]]*tblMovement[[#This Row],[Grade_gpt]]/cfg_TroyOz)</f>
        <v/>
      </c>
      <c r="O2974" s="59">
        <f>IF(tblMovement[[#This Row],[Is_Ore]]=1,tblMovement[[#This Row],[Contained_oz]],0)</f>
        <v/>
      </c>
    </row>
    <row r="2975">
      <c r="A2975" s="54" t="n"/>
      <c r="B2975" s="61" t="n"/>
      <c r="C2975" s="61" t="n"/>
      <c r="D2975" s="61" t="n"/>
      <c r="E2975" s="61" t="n"/>
      <c r="F2975" s="55" t="n"/>
      <c r="G2975" s="56" t="n"/>
      <c r="H2975" s="55" t="n"/>
      <c r="I2975" s="62" t="n"/>
      <c r="J2975" s="58" t="n"/>
      <c r="K2975" s="63">
        <f>IF(tblMovement[[#This Row],[Source]]="","",IFERROR(INDEX(tblSources[Type],MATCH(tblMovement[[#This Row],[Source]],tblSources[Source],0)),"?"))</f>
        <v/>
      </c>
      <c r="L2975" s="63">
        <f>IF(tblMovement[[#This Row],[Destination]]="","",IFERROR(INDEX(tblDestinations[Type],MATCH(tblMovement[[#This Row],[Destination]],tblDestinations[Destination],0)),"?"))</f>
        <v/>
      </c>
      <c r="M2975" s="64">
        <f>IF(tblMovement[[#This Row],[Material]]="","",IF(LEFT(tblMovement[[#This Row],[Material]],3)="Ore",1,0))</f>
        <v/>
      </c>
      <c r="N2975" s="59">
        <f>IF(OR(tblMovement[[#This Row],[Tonnes_t]]="",tblMovement[[#This Row],[Grade_gpt]]=""),0,tblMovement[[#This Row],[Tonnes_t]]*tblMovement[[#This Row],[Grade_gpt]]/cfg_TroyOz)</f>
        <v/>
      </c>
      <c r="O2975" s="59">
        <f>IF(tblMovement[[#This Row],[Is_Ore]]=1,tblMovement[[#This Row],[Contained_oz]],0)</f>
        <v/>
      </c>
    </row>
    <row r="2976">
      <c r="A2976" s="54" t="n"/>
      <c r="B2976" s="61" t="n"/>
      <c r="C2976" s="61" t="n"/>
      <c r="D2976" s="61" t="n"/>
      <c r="E2976" s="61" t="n"/>
      <c r="F2976" s="55" t="n"/>
      <c r="G2976" s="56" t="n"/>
      <c r="H2976" s="55" t="n"/>
      <c r="I2976" s="62" t="n"/>
      <c r="J2976" s="58" t="n"/>
      <c r="K2976" s="63">
        <f>IF(tblMovement[[#This Row],[Source]]="","",IFERROR(INDEX(tblSources[Type],MATCH(tblMovement[[#This Row],[Source]],tblSources[Source],0)),"?"))</f>
        <v/>
      </c>
      <c r="L2976" s="63">
        <f>IF(tblMovement[[#This Row],[Destination]]="","",IFERROR(INDEX(tblDestinations[Type],MATCH(tblMovement[[#This Row],[Destination]],tblDestinations[Destination],0)),"?"))</f>
        <v/>
      </c>
      <c r="M2976" s="64">
        <f>IF(tblMovement[[#This Row],[Material]]="","",IF(LEFT(tblMovement[[#This Row],[Material]],3)="Ore",1,0))</f>
        <v/>
      </c>
      <c r="N2976" s="59">
        <f>IF(OR(tblMovement[[#This Row],[Tonnes_t]]="",tblMovement[[#This Row],[Grade_gpt]]=""),0,tblMovement[[#This Row],[Tonnes_t]]*tblMovement[[#This Row],[Grade_gpt]]/cfg_TroyOz)</f>
        <v/>
      </c>
      <c r="O2976" s="59">
        <f>IF(tblMovement[[#This Row],[Is_Ore]]=1,tblMovement[[#This Row],[Contained_oz]],0)</f>
        <v/>
      </c>
    </row>
    <row r="2977">
      <c r="A2977" s="54" t="n"/>
      <c r="B2977" s="61" t="n"/>
      <c r="C2977" s="61" t="n"/>
      <c r="D2977" s="61" t="n"/>
      <c r="E2977" s="61" t="n"/>
      <c r="F2977" s="55" t="n"/>
      <c r="G2977" s="56" t="n"/>
      <c r="H2977" s="55" t="n"/>
      <c r="I2977" s="62" t="n"/>
      <c r="J2977" s="58" t="n"/>
      <c r="K2977" s="63">
        <f>IF(tblMovement[[#This Row],[Source]]="","",IFERROR(INDEX(tblSources[Type],MATCH(tblMovement[[#This Row],[Source]],tblSources[Source],0)),"?"))</f>
        <v/>
      </c>
      <c r="L2977" s="63">
        <f>IF(tblMovement[[#This Row],[Destination]]="","",IFERROR(INDEX(tblDestinations[Type],MATCH(tblMovement[[#This Row],[Destination]],tblDestinations[Destination],0)),"?"))</f>
        <v/>
      </c>
      <c r="M2977" s="64">
        <f>IF(tblMovement[[#This Row],[Material]]="","",IF(LEFT(tblMovement[[#This Row],[Material]],3)="Ore",1,0))</f>
        <v/>
      </c>
      <c r="N2977" s="59">
        <f>IF(OR(tblMovement[[#This Row],[Tonnes_t]]="",tblMovement[[#This Row],[Grade_gpt]]=""),0,tblMovement[[#This Row],[Tonnes_t]]*tblMovement[[#This Row],[Grade_gpt]]/cfg_TroyOz)</f>
        <v/>
      </c>
      <c r="O2977" s="59">
        <f>IF(tblMovement[[#This Row],[Is_Ore]]=1,tblMovement[[#This Row],[Contained_oz]],0)</f>
        <v/>
      </c>
    </row>
    <row r="2978">
      <c r="A2978" s="54" t="n"/>
      <c r="B2978" s="61" t="n"/>
      <c r="C2978" s="61" t="n"/>
      <c r="D2978" s="61" t="n"/>
      <c r="E2978" s="61" t="n"/>
      <c r="F2978" s="55" t="n"/>
      <c r="G2978" s="56" t="n"/>
      <c r="H2978" s="55" t="n"/>
      <c r="I2978" s="62" t="n"/>
      <c r="J2978" s="58" t="n"/>
      <c r="K2978" s="63">
        <f>IF(tblMovement[[#This Row],[Source]]="","",IFERROR(INDEX(tblSources[Type],MATCH(tblMovement[[#This Row],[Source]],tblSources[Source],0)),"?"))</f>
        <v/>
      </c>
      <c r="L2978" s="63">
        <f>IF(tblMovement[[#This Row],[Destination]]="","",IFERROR(INDEX(tblDestinations[Type],MATCH(tblMovement[[#This Row],[Destination]],tblDestinations[Destination],0)),"?"))</f>
        <v/>
      </c>
      <c r="M2978" s="64">
        <f>IF(tblMovement[[#This Row],[Material]]="","",IF(LEFT(tblMovement[[#This Row],[Material]],3)="Ore",1,0))</f>
        <v/>
      </c>
      <c r="N2978" s="59">
        <f>IF(OR(tblMovement[[#This Row],[Tonnes_t]]="",tblMovement[[#This Row],[Grade_gpt]]=""),0,tblMovement[[#This Row],[Tonnes_t]]*tblMovement[[#This Row],[Grade_gpt]]/cfg_TroyOz)</f>
        <v/>
      </c>
      <c r="O2978" s="59">
        <f>IF(tblMovement[[#This Row],[Is_Ore]]=1,tblMovement[[#This Row],[Contained_oz]],0)</f>
        <v/>
      </c>
    </row>
    <row r="2979">
      <c r="A2979" s="54" t="n"/>
      <c r="B2979" s="61" t="n"/>
      <c r="C2979" s="61" t="n"/>
      <c r="D2979" s="61" t="n"/>
      <c r="E2979" s="61" t="n"/>
      <c r="F2979" s="55" t="n"/>
      <c r="G2979" s="56" t="n"/>
      <c r="H2979" s="55" t="n"/>
      <c r="I2979" s="62" t="n"/>
      <c r="J2979" s="58" t="n"/>
      <c r="K2979" s="63">
        <f>IF(tblMovement[[#This Row],[Source]]="","",IFERROR(INDEX(tblSources[Type],MATCH(tblMovement[[#This Row],[Source]],tblSources[Source],0)),"?"))</f>
        <v/>
      </c>
      <c r="L2979" s="63">
        <f>IF(tblMovement[[#This Row],[Destination]]="","",IFERROR(INDEX(tblDestinations[Type],MATCH(tblMovement[[#This Row],[Destination]],tblDestinations[Destination],0)),"?"))</f>
        <v/>
      </c>
      <c r="M2979" s="64">
        <f>IF(tblMovement[[#This Row],[Material]]="","",IF(LEFT(tblMovement[[#This Row],[Material]],3)="Ore",1,0))</f>
        <v/>
      </c>
      <c r="N2979" s="59">
        <f>IF(OR(tblMovement[[#This Row],[Tonnes_t]]="",tblMovement[[#This Row],[Grade_gpt]]=""),0,tblMovement[[#This Row],[Tonnes_t]]*tblMovement[[#This Row],[Grade_gpt]]/cfg_TroyOz)</f>
        <v/>
      </c>
      <c r="O2979" s="59">
        <f>IF(tblMovement[[#This Row],[Is_Ore]]=1,tblMovement[[#This Row],[Contained_oz]],0)</f>
        <v/>
      </c>
    </row>
    <row r="2980">
      <c r="A2980" s="54" t="n"/>
      <c r="B2980" s="61" t="n"/>
      <c r="C2980" s="61" t="n"/>
      <c r="D2980" s="61" t="n"/>
      <c r="E2980" s="61" t="n"/>
      <c r="F2980" s="55" t="n"/>
      <c r="G2980" s="56" t="n"/>
      <c r="H2980" s="55" t="n"/>
      <c r="I2980" s="62" t="n"/>
      <c r="J2980" s="58" t="n"/>
      <c r="K2980" s="63">
        <f>IF(tblMovement[[#This Row],[Source]]="","",IFERROR(INDEX(tblSources[Type],MATCH(tblMovement[[#This Row],[Source]],tblSources[Source],0)),"?"))</f>
        <v/>
      </c>
      <c r="L2980" s="63">
        <f>IF(tblMovement[[#This Row],[Destination]]="","",IFERROR(INDEX(tblDestinations[Type],MATCH(tblMovement[[#This Row],[Destination]],tblDestinations[Destination],0)),"?"))</f>
        <v/>
      </c>
      <c r="M2980" s="64">
        <f>IF(tblMovement[[#This Row],[Material]]="","",IF(LEFT(tblMovement[[#This Row],[Material]],3)="Ore",1,0))</f>
        <v/>
      </c>
      <c r="N2980" s="59">
        <f>IF(OR(tblMovement[[#This Row],[Tonnes_t]]="",tblMovement[[#This Row],[Grade_gpt]]=""),0,tblMovement[[#This Row],[Tonnes_t]]*tblMovement[[#This Row],[Grade_gpt]]/cfg_TroyOz)</f>
        <v/>
      </c>
      <c r="O2980" s="59">
        <f>IF(tblMovement[[#This Row],[Is_Ore]]=1,tblMovement[[#This Row],[Contained_oz]],0)</f>
        <v/>
      </c>
    </row>
    <row r="2981">
      <c r="A2981" s="54" t="n"/>
      <c r="B2981" s="61" t="n"/>
      <c r="C2981" s="61" t="n"/>
      <c r="D2981" s="61" t="n"/>
      <c r="E2981" s="61" t="n"/>
      <c r="F2981" s="55" t="n"/>
      <c r="G2981" s="56" t="n"/>
      <c r="H2981" s="55" t="n"/>
      <c r="I2981" s="62" t="n"/>
      <c r="J2981" s="58" t="n"/>
      <c r="K2981" s="63">
        <f>IF(tblMovement[[#This Row],[Source]]="","",IFERROR(INDEX(tblSources[Type],MATCH(tblMovement[[#This Row],[Source]],tblSources[Source],0)),"?"))</f>
        <v/>
      </c>
      <c r="L2981" s="63">
        <f>IF(tblMovement[[#This Row],[Destination]]="","",IFERROR(INDEX(tblDestinations[Type],MATCH(tblMovement[[#This Row],[Destination]],tblDestinations[Destination],0)),"?"))</f>
        <v/>
      </c>
      <c r="M2981" s="64">
        <f>IF(tblMovement[[#This Row],[Material]]="","",IF(LEFT(tblMovement[[#This Row],[Material]],3)="Ore",1,0))</f>
        <v/>
      </c>
      <c r="N2981" s="59">
        <f>IF(OR(tblMovement[[#This Row],[Tonnes_t]]="",tblMovement[[#This Row],[Grade_gpt]]=""),0,tblMovement[[#This Row],[Tonnes_t]]*tblMovement[[#This Row],[Grade_gpt]]/cfg_TroyOz)</f>
        <v/>
      </c>
      <c r="O2981" s="59">
        <f>IF(tblMovement[[#This Row],[Is_Ore]]=1,tblMovement[[#This Row],[Contained_oz]],0)</f>
        <v/>
      </c>
    </row>
    <row r="2982">
      <c r="A2982" s="54" t="n"/>
      <c r="B2982" s="61" t="n"/>
      <c r="C2982" s="61" t="n"/>
      <c r="D2982" s="61" t="n"/>
      <c r="E2982" s="61" t="n"/>
      <c r="F2982" s="55" t="n"/>
      <c r="G2982" s="56" t="n"/>
      <c r="H2982" s="55" t="n"/>
      <c r="I2982" s="62" t="n"/>
      <c r="J2982" s="58" t="n"/>
      <c r="K2982" s="63">
        <f>IF(tblMovement[[#This Row],[Source]]="","",IFERROR(INDEX(tblSources[Type],MATCH(tblMovement[[#This Row],[Source]],tblSources[Source],0)),"?"))</f>
        <v/>
      </c>
      <c r="L2982" s="63">
        <f>IF(tblMovement[[#This Row],[Destination]]="","",IFERROR(INDEX(tblDestinations[Type],MATCH(tblMovement[[#This Row],[Destination]],tblDestinations[Destination],0)),"?"))</f>
        <v/>
      </c>
      <c r="M2982" s="64">
        <f>IF(tblMovement[[#This Row],[Material]]="","",IF(LEFT(tblMovement[[#This Row],[Material]],3)="Ore",1,0))</f>
        <v/>
      </c>
      <c r="N2982" s="59">
        <f>IF(OR(tblMovement[[#This Row],[Tonnes_t]]="",tblMovement[[#This Row],[Grade_gpt]]=""),0,tblMovement[[#This Row],[Tonnes_t]]*tblMovement[[#This Row],[Grade_gpt]]/cfg_TroyOz)</f>
        <v/>
      </c>
      <c r="O2982" s="59">
        <f>IF(tblMovement[[#This Row],[Is_Ore]]=1,tblMovement[[#This Row],[Contained_oz]],0)</f>
        <v/>
      </c>
    </row>
    <row r="2983">
      <c r="A2983" s="54" t="n"/>
      <c r="B2983" s="61" t="n"/>
      <c r="C2983" s="61" t="n"/>
      <c r="D2983" s="61" t="n"/>
      <c r="E2983" s="61" t="n"/>
      <c r="F2983" s="55" t="n"/>
      <c r="G2983" s="56" t="n"/>
      <c r="H2983" s="55" t="n"/>
      <c r="I2983" s="62" t="n"/>
      <c r="J2983" s="58" t="n"/>
      <c r="K2983" s="63">
        <f>IF(tblMovement[[#This Row],[Source]]="","",IFERROR(INDEX(tblSources[Type],MATCH(tblMovement[[#This Row],[Source]],tblSources[Source],0)),"?"))</f>
        <v/>
      </c>
      <c r="L2983" s="63">
        <f>IF(tblMovement[[#This Row],[Destination]]="","",IFERROR(INDEX(tblDestinations[Type],MATCH(tblMovement[[#This Row],[Destination]],tblDestinations[Destination],0)),"?"))</f>
        <v/>
      </c>
      <c r="M2983" s="64">
        <f>IF(tblMovement[[#This Row],[Material]]="","",IF(LEFT(tblMovement[[#This Row],[Material]],3)="Ore",1,0))</f>
        <v/>
      </c>
      <c r="N2983" s="59">
        <f>IF(OR(tblMovement[[#This Row],[Tonnes_t]]="",tblMovement[[#This Row],[Grade_gpt]]=""),0,tblMovement[[#This Row],[Tonnes_t]]*tblMovement[[#This Row],[Grade_gpt]]/cfg_TroyOz)</f>
        <v/>
      </c>
      <c r="O2983" s="59">
        <f>IF(tblMovement[[#This Row],[Is_Ore]]=1,tblMovement[[#This Row],[Contained_oz]],0)</f>
        <v/>
      </c>
    </row>
    <row r="2984">
      <c r="A2984" s="54" t="n"/>
      <c r="B2984" s="61" t="n"/>
      <c r="C2984" s="61" t="n"/>
      <c r="D2984" s="61" t="n"/>
      <c r="E2984" s="61" t="n"/>
      <c r="F2984" s="55" t="n"/>
      <c r="G2984" s="56" t="n"/>
      <c r="H2984" s="55" t="n"/>
      <c r="I2984" s="62" t="n"/>
      <c r="J2984" s="58" t="n"/>
      <c r="K2984" s="63">
        <f>IF(tblMovement[[#This Row],[Source]]="","",IFERROR(INDEX(tblSources[Type],MATCH(tblMovement[[#This Row],[Source]],tblSources[Source],0)),"?"))</f>
        <v/>
      </c>
      <c r="L2984" s="63">
        <f>IF(tblMovement[[#This Row],[Destination]]="","",IFERROR(INDEX(tblDestinations[Type],MATCH(tblMovement[[#This Row],[Destination]],tblDestinations[Destination],0)),"?"))</f>
        <v/>
      </c>
      <c r="M2984" s="64">
        <f>IF(tblMovement[[#This Row],[Material]]="","",IF(LEFT(tblMovement[[#This Row],[Material]],3)="Ore",1,0))</f>
        <v/>
      </c>
      <c r="N2984" s="59">
        <f>IF(OR(tblMovement[[#This Row],[Tonnes_t]]="",tblMovement[[#This Row],[Grade_gpt]]=""),0,tblMovement[[#This Row],[Tonnes_t]]*tblMovement[[#This Row],[Grade_gpt]]/cfg_TroyOz)</f>
        <v/>
      </c>
      <c r="O2984" s="59">
        <f>IF(tblMovement[[#This Row],[Is_Ore]]=1,tblMovement[[#This Row],[Contained_oz]],0)</f>
        <v/>
      </c>
    </row>
    <row r="2985">
      <c r="A2985" s="54" t="n"/>
      <c r="B2985" s="61" t="n"/>
      <c r="C2985" s="61" t="n"/>
      <c r="D2985" s="61" t="n"/>
      <c r="E2985" s="61" t="n"/>
      <c r="F2985" s="55" t="n"/>
      <c r="G2985" s="56" t="n"/>
      <c r="H2985" s="55" t="n"/>
      <c r="I2985" s="62" t="n"/>
      <c r="J2985" s="58" t="n"/>
      <c r="K2985" s="63">
        <f>IF(tblMovement[[#This Row],[Source]]="","",IFERROR(INDEX(tblSources[Type],MATCH(tblMovement[[#This Row],[Source]],tblSources[Source],0)),"?"))</f>
        <v/>
      </c>
      <c r="L2985" s="63">
        <f>IF(tblMovement[[#This Row],[Destination]]="","",IFERROR(INDEX(tblDestinations[Type],MATCH(tblMovement[[#This Row],[Destination]],tblDestinations[Destination],0)),"?"))</f>
        <v/>
      </c>
      <c r="M2985" s="64">
        <f>IF(tblMovement[[#This Row],[Material]]="","",IF(LEFT(tblMovement[[#This Row],[Material]],3)="Ore",1,0))</f>
        <v/>
      </c>
      <c r="N2985" s="59">
        <f>IF(OR(tblMovement[[#This Row],[Tonnes_t]]="",tblMovement[[#This Row],[Grade_gpt]]=""),0,tblMovement[[#This Row],[Tonnes_t]]*tblMovement[[#This Row],[Grade_gpt]]/cfg_TroyOz)</f>
        <v/>
      </c>
      <c r="O2985" s="59">
        <f>IF(tblMovement[[#This Row],[Is_Ore]]=1,tblMovement[[#This Row],[Contained_oz]],0)</f>
        <v/>
      </c>
    </row>
    <row r="2986">
      <c r="A2986" s="54" t="n"/>
      <c r="B2986" s="61" t="n"/>
      <c r="C2986" s="61" t="n"/>
      <c r="D2986" s="61" t="n"/>
      <c r="E2986" s="61" t="n"/>
      <c r="F2986" s="55" t="n"/>
      <c r="G2986" s="56" t="n"/>
      <c r="H2986" s="55" t="n"/>
      <c r="I2986" s="62" t="n"/>
      <c r="J2986" s="58" t="n"/>
      <c r="K2986" s="63">
        <f>IF(tblMovement[[#This Row],[Source]]="","",IFERROR(INDEX(tblSources[Type],MATCH(tblMovement[[#This Row],[Source]],tblSources[Source],0)),"?"))</f>
        <v/>
      </c>
      <c r="L2986" s="63">
        <f>IF(tblMovement[[#This Row],[Destination]]="","",IFERROR(INDEX(tblDestinations[Type],MATCH(tblMovement[[#This Row],[Destination]],tblDestinations[Destination],0)),"?"))</f>
        <v/>
      </c>
      <c r="M2986" s="64">
        <f>IF(tblMovement[[#This Row],[Material]]="","",IF(LEFT(tblMovement[[#This Row],[Material]],3)="Ore",1,0))</f>
        <v/>
      </c>
      <c r="N2986" s="59">
        <f>IF(OR(tblMovement[[#This Row],[Tonnes_t]]="",tblMovement[[#This Row],[Grade_gpt]]=""),0,tblMovement[[#This Row],[Tonnes_t]]*tblMovement[[#This Row],[Grade_gpt]]/cfg_TroyOz)</f>
        <v/>
      </c>
      <c r="O2986" s="59">
        <f>IF(tblMovement[[#This Row],[Is_Ore]]=1,tblMovement[[#This Row],[Contained_oz]],0)</f>
        <v/>
      </c>
    </row>
    <row r="2987">
      <c r="A2987" s="54" t="n"/>
      <c r="B2987" s="61" t="n"/>
      <c r="C2987" s="61" t="n"/>
      <c r="D2987" s="61" t="n"/>
      <c r="E2987" s="61" t="n"/>
      <c r="F2987" s="55" t="n"/>
      <c r="G2987" s="56" t="n"/>
      <c r="H2987" s="55" t="n"/>
      <c r="I2987" s="62" t="n"/>
      <c r="J2987" s="58" t="n"/>
      <c r="K2987" s="63">
        <f>IF(tblMovement[[#This Row],[Source]]="","",IFERROR(INDEX(tblSources[Type],MATCH(tblMovement[[#This Row],[Source]],tblSources[Source],0)),"?"))</f>
        <v/>
      </c>
      <c r="L2987" s="63">
        <f>IF(tblMovement[[#This Row],[Destination]]="","",IFERROR(INDEX(tblDestinations[Type],MATCH(tblMovement[[#This Row],[Destination]],tblDestinations[Destination],0)),"?"))</f>
        <v/>
      </c>
      <c r="M2987" s="64">
        <f>IF(tblMovement[[#This Row],[Material]]="","",IF(LEFT(tblMovement[[#This Row],[Material]],3)="Ore",1,0))</f>
        <v/>
      </c>
      <c r="N2987" s="59">
        <f>IF(OR(tblMovement[[#This Row],[Tonnes_t]]="",tblMovement[[#This Row],[Grade_gpt]]=""),0,tblMovement[[#This Row],[Tonnes_t]]*tblMovement[[#This Row],[Grade_gpt]]/cfg_TroyOz)</f>
        <v/>
      </c>
      <c r="O2987" s="59">
        <f>IF(tblMovement[[#This Row],[Is_Ore]]=1,tblMovement[[#This Row],[Contained_oz]],0)</f>
        <v/>
      </c>
    </row>
    <row r="2988">
      <c r="A2988" s="54" t="n"/>
      <c r="B2988" s="61" t="n"/>
      <c r="C2988" s="61" t="n"/>
      <c r="D2988" s="61" t="n"/>
      <c r="E2988" s="61" t="n"/>
      <c r="F2988" s="55" t="n"/>
      <c r="G2988" s="56" t="n"/>
      <c r="H2988" s="55" t="n"/>
      <c r="I2988" s="62" t="n"/>
      <c r="J2988" s="58" t="n"/>
      <c r="K2988" s="63">
        <f>IF(tblMovement[[#This Row],[Source]]="","",IFERROR(INDEX(tblSources[Type],MATCH(tblMovement[[#This Row],[Source]],tblSources[Source],0)),"?"))</f>
        <v/>
      </c>
      <c r="L2988" s="63">
        <f>IF(tblMovement[[#This Row],[Destination]]="","",IFERROR(INDEX(tblDestinations[Type],MATCH(tblMovement[[#This Row],[Destination]],tblDestinations[Destination],0)),"?"))</f>
        <v/>
      </c>
      <c r="M2988" s="64">
        <f>IF(tblMovement[[#This Row],[Material]]="","",IF(LEFT(tblMovement[[#This Row],[Material]],3)="Ore",1,0))</f>
        <v/>
      </c>
      <c r="N2988" s="59">
        <f>IF(OR(tblMovement[[#This Row],[Tonnes_t]]="",tblMovement[[#This Row],[Grade_gpt]]=""),0,tblMovement[[#This Row],[Tonnes_t]]*tblMovement[[#This Row],[Grade_gpt]]/cfg_TroyOz)</f>
        <v/>
      </c>
      <c r="O2988" s="59">
        <f>IF(tblMovement[[#This Row],[Is_Ore]]=1,tblMovement[[#This Row],[Contained_oz]],0)</f>
        <v/>
      </c>
    </row>
    <row r="2989">
      <c r="A2989" s="54" t="n"/>
      <c r="B2989" s="61" t="n"/>
      <c r="C2989" s="61" t="n"/>
      <c r="D2989" s="61" t="n"/>
      <c r="E2989" s="61" t="n"/>
      <c r="F2989" s="55" t="n"/>
      <c r="G2989" s="56" t="n"/>
      <c r="H2989" s="55" t="n"/>
      <c r="I2989" s="62" t="n"/>
      <c r="J2989" s="58" t="n"/>
      <c r="K2989" s="63">
        <f>IF(tblMovement[[#This Row],[Source]]="","",IFERROR(INDEX(tblSources[Type],MATCH(tblMovement[[#This Row],[Source]],tblSources[Source],0)),"?"))</f>
        <v/>
      </c>
      <c r="L2989" s="63">
        <f>IF(tblMovement[[#This Row],[Destination]]="","",IFERROR(INDEX(tblDestinations[Type],MATCH(tblMovement[[#This Row],[Destination]],tblDestinations[Destination],0)),"?"))</f>
        <v/>
      </c>
      <c r="M2989" s="64">
        <f>IF(tblMovement[[#This Row],[Material]]="","",IF(LEFT(tblMovement[[#This Row],[Material]],3)="Ore",1,0))</f>
        <v/>
      </c>
      <c r="N2989" s="59">
        <f>IF(OR(tblMovement[[#This Row],[Tonnes_t]]="",tblMovement[[#This Row],[Grade_gpt]]=""),0,tblMovement[[#This Row],[Tonnes_t]]*tblMovement[[#This Row],[Grade_gpt]]/cfg_TroyOz)</f>
        <v/>
      </c>
      <c r="O2989" s="59">
        <f>IF(tblMovement[[#This Row],[Is_Ore]]=1,tblMovement[[#This Row],[Contained_oz]],0)</f>
        <v/>
      </c>
    </row>
    <row r="2990">
      <c r="A2990" s="54" t="n"/>
      <c r="B2990" s="61" t="n"/>
      <c r="C2990" s="61" t="n"/>
      <c r="D2990" s="61" t="n"/>
      <c r="E2990" s="61" t="n"/>
      <c r="F2990" s="55" t="n"/>
      <c r="G2990" s="56" t="n"/>
      <c r="H2990" s="55" t="n"/>
      <c r="I2990" s="62" t="n"/>
      <c r="J2990" s="58" t="n"/>
      <c r="K2990" s="63">
        <f>IF(tblMovement[[#This Row],[Source]]="","",IFERROR(INDEX(tblSources[Type],MATCH(tblMovement[[#This Row],[Source]],tblSources[Source],0)),"?"))</f>
        <v/>
      </c>
      <c r="L2990" s="63">
        <f>IF(tblMovement[[#This Row],[Destination]]="","",IFERROR(INDEX(tblDestinations[Type],MATCH(tblMovement[[#This Row],[Destination]],tblDestinations[Destination],0)),"?"))</f>
        <v/>
      </c>
      <c r="M2990" s="64">
        <f>IF(tblMovement[[#This Row],[Material]]="","",IF(LEFT(tblMovement[[#This Row],[Material]],3)="Ore",1,0))</f>
        <v/>
      </c>
      <c r="N2990" s="59">
        <f>IF(OR(tblMovement[[#This Row],[Tonnes_t]]="",tblMovement[[#This Row],[Grade_gpt]]=""),0,tblMovement[[#This Row],[Tonnes_t]]*tblMovement[[#This Row],[Grade_gpt]]/cfg_TroyOz)</f>
        <v/>
      </c>
      <c r="O2990" s="59">
        <f>IF(tblMovement[[#This Row],[Is_Ore]]=1,tblMovement[[#This Row],[Contained_oz]],0)</f>
        <v/>
      </c>
    </row>
    <row r="2991">
      <c r="A2991" s="54" t="n"/>
      <c r="B2991" s="61" t="n"/>
      <c r="C2991" s="61" t="n"/>
      <c r="D2991" s="61" t="n"/>
      <c r="E2991" s="61" t="n"/>
      <c r="F2991" s="55" t="n"/>
      <c r="G2991" s="56" t="n"/>
      <c r="H2991" s="55" t="n"/>
      <c r="I2991" s="62" t="n"/>
      <c r="J2991" s="58" t="n"/>
      <c r="K2991" s="63">
        <f>IF(tblMovement[[#This Row],[Source]]="","",IFERROR(INDEX(tblSources[Type],MATCH(tblMovement[[#This Row],[Source]],tblSources[Source],0)),"?"))</f>
        <v/>
      </c>
      <c r="L2991" s="63">
        <f>IF(tblMovement[[#This Row],[Destination]]="","",IFERROR(INDEX(tblDestinations[Type],MATCH(tblMovement[[#This Row],[Destination]],tblDestinations[Destination],0)),"?"))</f>
        <v/>
      </c>
      <c r="M2991" s="64">
        <f>IF(tblMovement[[#This Row],[Material]]="","",IF(LEFT(tblMovement[[#This Row],[Material]],3)="Ore",1,0))</f>
        <v/>
      </c>
      <c r="N2991" s="59">
        <f>IF(OR(tblMovement[[#This Row],[Tonnes_t]]="",tblMovement[[#This Row],[Grade_gpt]]=""),0,tblMovement[[#This Row],[Tonnes_t]]*tblMovement[[#This Row],[Grade_gpt]]/cfg_TroyOz)</f>
        <v/>
      </c>
      <c r="O2991" s="59">
        <f>IF(tblMovement[[#This Row],[Is_Ore]]=1,tblMovement[[#This Row],[Contained_oz]],0)</f>
        <v/>
      </c>
    </row>
    <row r="2992">
      <c r="A2992" s="54" t="n"/>
      <c r="B2992" s="61" t="n"/>
      <c r="C2992" s="61" t="n"/>
      <c r="D2992" s="61" t="n"/>
      <c r="E2992" s="61" t="n"/>
      <c r="F2992" s="55" t="n"/>
      <c r="G2992" s="56" t="n"/>
      <c r="H2992" s="55" t="n"/>
      <c r="I2992" s="62" t="n"/>
      <c r="J2992" s="58" t="n"/>
      <c r="K2992" s="63">
        <f>IF(tblMovement[[#This Row],[Source]]="","",IFERROR(INDEX(tblSources[Type],MATCH(tblMovement[[#This Row],[Source]],tblSources[Source],0)),"?"))</f>
        <v/>
      </c>
      <c r="L2992" s="63">
        <f>IF(tblMovement[[#This Row],[Destination]]="","",IFERROR(INDEX(tblDestinations[Type],MATCH(tblMovement[[#This Row],[Destination]],tblDestinations[Destination],0)),"?"))</f>
        <v/>
      </c>
      <c r="M2992" s="64">
        <f>IF(tblMovement[[#This Row],[Material]]="","",IF(LEFT(tblMovement[[#This Row],[Material]],3)="Ore",1,0))</f>
        <v/>
      </c>
      <c r="N2992" s="59">
        <f>IF(OR(tblMovement[[#This Row],[Tonnes_t]]="",tblMovement[[#This Row],[Grade_gpt]]=""),0,tblMovement[[#This Row],[Tonnes_t]]*tblMovement[[#This Row],[Grade_gpt]]/cfg_TroyOz)</f>
        <v/>
      </c>
      <c r="O2992" s="59">
        <f>IF(tblMovement[[#This Row],[Is_Ore]]=1,tblMovement[[#This Row],[Contained_oz]],0)</f>
        <v/>
      </c>
    </row>
    <row r="2993">
      <c r="A2993" s="54" t="n"/>
      <c r="B2993" s="61" t="n"/>
      <c r="C2993" s="61" t="n"/>
      <c r="D2993" s="61" t="n"/>
      <c r="E2993" s="61" t="n"/>
      <c r="F2993" s="55" t="n"/>
      <c r="G2993" s="56" t="n"/>
      <c r="H2993" s="55" t="n"/>
      <c r="I2993" s="62" t="n"/>
      <c r="J2993" s="58" t="n"/>
      <c r="K2993" s="63">
        <f>IF(tblMovement[[#This Row],[Source]]="","",IFERROR(INDEX(tblSources[Type],MATCH(tblMovement[[#This Row],[Source]],tblSources[Source],0)),"?"))</f>
        <v/>
      </c>
      <c r="L2993" s="63">
        <f>IF(tblMovement[[#This Row],[Destination]]="","",IFERROR(INDEX(tblDestinations[Type],MATCH(tblMovement[[#This Row],[Destination]],tblDestinations[Destination],0)),"?"))</f>
        <v/>
      </c>
      <c r="M2993" s="64">
        <f>IF(tblMovement[[#This Row],[Material]]="","",IF(LEFT(tblMovement[[#This Row],[Material]],3)="Ore",1,0))</f>
        <v/>
      </c>
      <c r="N2993" s="59">
        <f>IF(OR(tblMovement[[#This Row],[Tonnes_t]]="",tblMovement[[#This Row],[Grade_gpt]]=""),0,tblMovement[[#This Row],[Tonnes_t]]*tblMovement[[#This Row],[Grade_gpt]]/cfg_TroyOz)</f>
        <v/>
      </c>
      <c r="O2993" s="59">
        <f>IF(tblMovement[[#This Row],[Is_Ore]]=1,tblMovement[[#This Row],[Contained_oz]],0)</f>
        <v/>
      </c>
    </row>
    <row r="2994">
      <c r="A2994" s="54" t="n"/>
      <c r="B2994" s="61" t="n"/>
      <c r="C2994" s="61" t="n"/>
      <c r="D2994" s="61" t="n"/>
      <c r="E2994" s="61" t="n"/>
      <c r="F2994" s="55" t="n"/>
      <c r="G2994" s="56" t="n"/>
      <c r="H2994" s="55" t="n"/>
      <c r="I2994" s="62" t="n"/>
      <c r="J2994" s="58" t="n"/>
      <c r="K2994" s="63">
        <f>IF(tblMovement[[#This Row],[Source]]="","",IFERROR(INDEX(tblSources[Type],MATCH(tblMovement[[#This Row],[Source]],tblSources[Source],0)),"?"))</f>
        <v/>
      </c>
      <c r="L2994" s="63">
        <f>IF(tblMovement[[#This Row],[Destination]]="","",IFERROR(INDEX(tblDestinations[Type],MATCH(tblMovement[[#This Row],[Destination]],tblDestinations[Destination],0)),"?"))</f>
        <v/>
      </c>
      <c r="M2994" s="64">
        <f>IF(tblMovement[[#This Row],[Material]]="","",IF(LEFT(tblMovement[[#This Row],[Material]],3)="Ore",1,0))</f>
        <v/>
      </c>
      <c r="N2994" s="59">
        <f>IF(OR(tblMovement[[#This Row],[Tonnes_t]]="",tblMovement[[#This Row],[Grade_gpt]]=""),0,tblMovement[[#This Row],[Tonnes_t]]*tblMovement[[#This Row],[Grade_gpt]]/cfg_TroyOz)</f>
        <v/>
      </c>
      <c r="O2994" s="59">
        <f>IF(tblMovement[[#This Row],[Is_Ore]]=1,tblMovement[[#This Row],[Contained_oz]],0)</f>
        <v/>
      </c>
    </row>
    <row r="2995">
      <c r="A2995" s="54" t="n"/>
      <c r="B2995" s="61" t="n"/>
      <c r="C2995" s="61" t="n"/>
      <c r="D2995" s="61" t="n"/>
      <c r="E2995" s="61" t="n"/>
      <c r="F2995" s="55" t="n"/>
      <c r="G2995" s="56" t="n"/>
      <c r="H2995" s="55" t="n"/>
      <c r="I2995" s="62" t="n"/>
      <c r="J2995" s="58" t="n"/>
      <c r="K2995" s="63">
        <f>IF(tblMovement[[#This Row],[Source]]="","",IFERROR(INDEX(tblSources[Type],MATCH(tblMovement[[#This Row],[Source]],tblSources[Source],0)),"?"))</f>
        <v/>
      </c>
      <c r="L2995" s="63">
        <f>IF(tblMovement[[#This Row],[Destination]]="","",IFERROR(INDEX(tblDestinations[Type],MATCH(tblMovement[[#This Row],[Destination]],tblDestinations[Destination],0)),"?"))</f>
        <v/>
      </c>
      <c r="M2995" s="64">
        <f>IF(tblMovement[[#This Row],[Material]]="","",IF(LEFT(tblMovement[[#This Row],[Material]],3)="Ore",1,0))</f>
        <v/>
      </c>
      <c r="N2995" s="59">
        <f>IF(OR(tblMovement[[#This Row],[Tonnes_t]]="",tblMovement[[#This Row],[Grade_gpt]]=""),0,tblMovement[[#This Row],[Tonnes_t]]*tblMovement[[#This Row],[Grade_gpt]]/cfg_TroyOz)</f>
        <v/>
      </c>
      <c r="O2995" s="59">
        <f>IF(tblMovement[[#This Row],[Is_Ore]]=1,tblMovement[[#This Row],[Contained_oz]],0)</f>
        <v/>
      </c>
    </row>
    <row r="2996">
      <c r="A2996" s="54" t="n"/>
      <c r="B2996" s="61" t="n"/>
      <c r="C2996" s="61" t="n"/>
      <c r="D2996" s="61" t="n"/>
      <c r="E2996" s="61" t="n"/>
      <c r="F2996" s="55" t="n"/>
      <c r="G2996" s="56" t="n"/>
      <c r="H2996" s="55" t="n"/>
      <c r="I2996" s="62" t="n"/>
      <c r="J2996" s="58" t="n"/>
      <c r="K2996" s="63">
        <f>IF(tblMovement[[#This Row],[Source]]="","",IFERROR(INDEX(tblSources[Type],MATCH(tblMovement[[#This Row],[Source]],tblSources[Source],0)),"?"))</f>
        <v/>
      </c>
      <c r="L2996" s="63">
        <f>IF(tblMovement[[#This Row],[Destination]]="","",IFERROR(INDEX(tblDestinations[Type],MATCH(tblMovement[[#This Row],[Destination]],tblDestinations[Destination],0)),"?"))</f>
        <v/>
      </c>
      <c r="M2996" s="64">
        <f>IF(tblMovement[[#This Row],[Material]]="","",IF(LEFT(tblMovement[[#This Row],[Material]],3)="Ore",1,0))</f>
        <v/>
      </c>
      <c r="N2996" s="59">
        <f>IF(OR(tblMovement[[#This Row],[Tonnes_t]]="",tblMovement[[#This Row],[Grade_gpt]]=""),0,tblMovement[[#This Row],[Tonnes_t]]*tblMovement[[#This Row],[Grade_gpt]]/cfg_TroyOz)</f>
        <v/>
      </c>
      <c r="O2996" s="59">
        <f>IF(tblMovement[[#This Row],[Is_Ore]]=1,tblMovement[[#This Row],[Contained_oz]],0)</f>
        <v/>
      </c>
    </row>
    <row r="2997">
      <c r="A2997" s="54" t="n"/>
      <c r="B2997" s="61" t="n"/>
      <c r="C2997" s="61" t="n"/>
      <c r="D2997" s="61" t="n"/>
      <c r="E2997" s="61" t="n"/>
      <c r="F2997" s="55" t="n"/>
      <c r="G2997" s="56" t="n"/>
      <c r="H2997" s="55" t="n"/>
      <c r="I2997" s="62" t="n"/>
      <c r="J2997" s="58" t="n"/>
      <c r="K2997" s="63">
        <f>IF(tblMovement[[#This Row],[Source]]="","",IFERROR(INDEX(tblSources[Type],MATCH(tblMovement[[#This Row],[Source]],tblSources[Source],0)),"?"))</f>
        <v/>
      </c>
      <c r="L2997" s="63">
        <f>IF(tblMovement[[#This Row],[Destination]]="","",IFERROR(INDEX(tblDestinations[Type],MATCH(tblMovement[[#This Row],[Destination]],tblDestinations[Destination],0)),"?"))</f>
        <v/>
      </c>
      <c r="M2997" s="64">
        <f>IF(tblMovement[[#This Row],[Material]]="","",IF(LEFT(tblMovement[[#This Row],[Material]],3)="Ore",1,0))</f>
        <v/>
      </c>
      <c r="N2997" s="59">
        <f>IF(OR(tblMovement[[#This Row],[Tonnes_t]]="",tblMovement[[#This Row],[Grade_gpt]]=""),0,tblMovement[[#This Row],[Tonnes_t]]*tblMovement[[#This Row],[Grade_gpt]]/cfg_TroyOz)</f>
        <v/>
      </c>
      <c r="O2997" s="59">
        <f>IF(tblMovement[[#This Row],[Is_Ore]]=1,tblMovement[[#This Row],[Contained_oz]],0)</f>
        <v/>
      </c>
    </row>
    <row r="2998">
      <c r="A2998" s="54" t="n"/>
      <c r="B2998" s="61" t="n"/>
      <c r="C2998" s="61" t="n"/>
      <c r="D2998" s="61" t="n"/>
      <c r="E2998" s="61" t="n"/>
      <c r="F2998" s="55" t="n"/>
      <c r="G2998" s="56" t="n"/>
      <c r="H2998" s="55" t="n"/>
      <c r="I2998" s="62" t="n"/>
      <c r="J2998" s="58" t="n"/>
      <c r="K2998" s="63">
        <f>IF(tblMovement[[#This Row],[Source]]="","",IFERROR(INDEX(tblSources[Type],MATCH(tblMovement[[#This Row],[Source]],tblSources[Source],0)),"?"))</f>
        <v/>
      </c>
      <c r="L2998" s="63">
        <f>IF(tblMovement[[#This Row],[Destination]]="","",IFERROR(INDEX(tblDestinations[Type],MATCH(tblMovement[[#This Row],[Destination]],tblDestinations[Destination],0)),"?"))</f>
        <v/>
      </c>
      <c r="M2998" s="64">
        <f>IF(tblMovement[[#This Row],[Material]]="","",IF(LEFT(tblMovement[[#This Row],[Material]],3)="Ore",1,0))</f>
        <v/>
      </c>
      <c r="N2998" s="59">
        <f>IF(OR(tblMovement[[#This Row],[Tonnes_t]]="",tblMovement[[#This Row],[Grade_gpt]]=""),0,tblMovement[[#This Row],[Tonnes_t]]*tblMovement[[#This Row],[Grade_gpt]]/cfg_TroyOz)</f>
        <v/>
      </c>
      <c r="O2998" s="59">
        <f>IF(tblMovement[[#This Row],[Is_Ore]]=1,tblMovement[[#This Row],[Contained_oz]],0)</f>
        <v/>
      </c>
    </row>
    <row r="2999">
      <c r="A2999" s="54" t="n"/>
      <c r="B2999" s="61" t="n"/>
      <c r="C2999" s="61" t="n"/>
      <c r="D2999" s="61" t="n"/>
      <c r="E2999" s="61" t="n"/>
      <c r="F2999" s="55" t="n"/>
      <c r="G2999" s="56" t="n"/>
      <c r="H2999" s="55" t="n"/>
      <c r="I2999" s="62" t="n"/>
      <c r="J2999" s="58" t="n"/>
      <c r="K2999" s="63">
        <f>IF(tblMovement[[#This Row],[Source]]="","",IFERROR(INDEX(tblSources[Type],MATCH(tblMovement[[#This Row],[Source]],tblSources[Source],0)),"?"))</f>
        <v/>
      </c>
      <c r="L2999" s="63">
        <f>IF(tblMovement[[#This Row],[Destination]]="","",IFERROR(INDEX(tblDestinations[Type],MATCH(tblMovement[[#This Row],[Destination]],tblDestinations[Destination],0)),"?"))</f>
        <v/>
      </c>
      <c r="M2999" s="64">
        <f>IF(tblMovement[[#This Row],[Material]]="","",IF(LEFT(tblMovement[[#This Row],[Material]],3)="Ore",1,0))</f>
        <v/>
      </c>
      <c r="N2999" s="59">
        <f>IF(OR(tblMovement[[#This Row],[Tonnes_t]]="",tblMovement[[#This Row],[Grade_gpt]]=""),0,tblMovement[[#This Row],[Tonnes_t]]*tblMovement[[#This Row],[Grade_gpt]]/cfg_TroyOz)</f>
        <v/>
      </c>
      <c r="O2999" s="59">
        <f>IF(tblMovement[[#This Row],[Is_Ore]]=1,tblMovement[[#This Row],[Contained_oz]],0)</f>
        <v/>
      </c>
    </row>
    <row r="3000">
      <c r="A3000" s="54" t="n"/>
      <c r="B3000" s="61" t="n"/>
      <c r="C3000" s="61" t="n"/>
      <c r="D3000" s="61" t="n"/>
      <c r="E3000" s="61" t="n"/>
      <c r="F3000" s="55" t="n"/>
      <c r="G3000" s="56" t="n"/>
      <c r="H3000" s="55" t="n"/>
      <c r="I3000" s="62" t="n"/>
      <c r="J3000" s="58" t="n"/>
      <c r="K3000" s="63">
        <f>IF(tblMovement[[#This Row],[Source]]="","",IFERROR(INDEX(tblSources[Type],MATCH(tblMovement[[#This Row],[Source]],tblSources[Source],0)),"?"))</f>
        <v/>
      </c>
      <c r="L3000" s="63">
        <f>IF(tblMovement[[#This Row],[Destination]]="","",IFERROR(INDEX(tblDestinations[Type],MATCH(tblMovement[[#This Row],[Destination]],tblDestinations[Destination],0)),"?"))</f>
        <v/>
      </c>
      <c r="M3000" s="64">
        <f>IF(tblMovement[[#This Row],[Material]]="","",IF(LEFT(tblMovement[[#This Row],[Material]],3)="Ore",1,0))</f>
        <v/>
      </c>
      <c r="N3000" s="59">
        <f>IF(OR(tblMovement[[#This Row],[Tonnes_t]]="",tblMovement[[#This Row],[Grade_gpt]]=""),0,tblMovement[[#This Row],[Tonnes_t]]*tblMovement[[#This Row],[Grade_gpt]]/cfg_TroyOz)</f>
        <v/>
      </c>
      <c r="O3000" s="59">
        <f>IF(tblMovement[[#This Row],[Is_Ore]]=1,tblMovement[[#This Row],[Contained_oz]],0)</f>
        <v/>
      </c>
    </row>
    <row r="3001">
      <c r="A3001" s="54" t="n"/>
      <c r="B3001" s="61" t="n"/>
      <c r="C3001" s="61" t="n"/>
      <c r="D3001" s="61" t="n"/>
      <c r="E3001" s="61" t="n"/>
      <c r="F3001" s="55" t="n"/>
      <c r="G3001" s="56" t="n"/>
      <c r="H3001" s="55" t="n"/>
      <c r="I3001" s="62" t="n"/>
      <c r="J3001" s="58" t="n"/>
      <c r="K3001" s="63">
        <f>IF(tblMovement[[#This Row],[Source]]="","",IFERROR(INDEX(tblSources[Type],MATCH(tblMovement[[#This Row],[Source]],tblSources[Source],0)),"?"))</f>
        <v/>
      </c>
      <c r="L3001" s="63">
        <f>IF(tblMovement[[#This Row],[Destination]]="","",IFERROR(INDEX(tblDestinations[Type],MATCH(tblMovement[[#This Row],[Destination]],tblDestinations[Destination],0)),"?"))</f>
        <v/>
      </c>
      <c r="M3001" s="64">
        <f>IF(tblMovement[[#This Row],[Material]]="","",IF(LEFT(tblMovement[[#This Row],[Material]],3)="Ore",1,0))</f>
        <v/>
      </c>
      <c r="N3001" s="59">
        <f>IF(OR(tblMovement[[#This Row],[Tonnes_t]]="",tblMovement[[#This Row],[Grade_gpt]]=""),0,tblMovement[[#This Row],[Tonnes_t]]*tblMovement[[#This Row],[Grade_gpt]]/cfg_TroyOz)</f>
        <v/>
      </c>
      <c r="O3001" s="59">
        <f>IF(tblMovement[[#This Row],[Is_Ore]]=1,tblMovement[[#This Row],[Contained_oz]],0)</f>
        <v/>
      </c>
    </row>
    <row r="3002">
      <c r="A3002" s="54" t="n"/>
      <c r="B3002" s="61" t="n"/>
      <c r="C3002" s="61" t="n"/>
      <c r="D3002" s="61" t="n"/>
      <c r="E3002" s="61" t="n"/>
      <c r="F3002" s="55" t="n"/>
      <c r="G3002" s="56" t="n"/>
      <c r="H3002" s="55" t="n"/>
      <c r="I3002" s="62" t="n"/>
      <c r="J3002" s="58" t="n"/>
      <c r="K3002" s="63">
        <f>IF(tblMovement[[#This Row],[Source]]="","",IFERROR(INDEX(tblSources[Type],MATCH(tblMovement[[#This Row],[Source]],tblSources[Source],0)),"?"))</f>
        <v/>
      </c>
      <c r="L3002" s="63">
        <f>IF(tblMovement[[#This Row],[Destination]]="","",IFERROR(INDEX(tblDestinations[Type],MATCH(tblMovement[[#This Row],[Destination]],tblDestinations[Destination],0)),"?"))</f>
        <v/>
      </c>
      <c r="M3002" s="64">
        <f>IF(tblMovement[[#This Row],[Material]]="","",IF(LEFT(tblMovement[[#This Row],[Material]],3)="Ore",1,0))</f>
        <v/>
      </c>
      <c r="N3002" s="59">
        <f>IF(OR(tblMovement[[#This Row],[Tonnes_t]]="",tblMovement[[#This Row],[Grade_gpt]]=""),0,tblMovement[[#This Row],[Tonnes_t]]*tblMovement[[#This Row],[Grade_gpt]]/cfg_TroyOz)</f>
        <v/>
      </c>
      <c r="O3002" s="59">
        <f>IF(tblMovement[[#This Row],[Is_Ore]]=1,tblMovement[[#This Row],[Contained_oz]],0)</f>
        <v/>
      </c>
    </row>
    <row r="3003">
      <c r="A3003" s="54" t="n"/>
      <c r="B3003" s="61" t="n"/>
      <c r="C3003" s="61" t="n"/>
      <c r="D3003" s="61" t="n"/>
      <c r="E3003" s="61" t="n"/>
      <c r="F3003" s="55" t="n"/>
      <c r="G3003" s="56" t="n"/>
      <c r="H3003" s="55" t="n"/>
      <c r="I3003" s="62" t="n"/>
      <c r="J3003" s="58" t="n"/>
      <c r="K3003" s="63">
        <f>IF(tblMovement[[#This Row],[Source]]="","",IFERROR(INDEX(tblSources[Type],MATCH(tblMovement[[#This Row],[Source]],tblSources[Source],0)),"?"))</f>
        <v/>
      </c>
      <c r="L3003" s="63">
        <f>IF(tblMovement[[#This Row],[Destination]]="","",IFERROR(INDEX(tblDestinations[Type],MATCH(tblMovement[[#This Row],[Destination]],tblDestinations[Destination],0)),"?"))</f>
        <v/>
      </c>
      <c r="M3003" s="64">
        <f>IF(tblMovement[[#This Row],[Material]]="","",IF(LEFT(tblMovement[[#This Row],[Material]],3)="Ore",1,0))</f>
        <v/>
      </c>
      <c r="N3003" s="59">
        <f>IF(OR(tblMovement[[#This Row],[Tonnes_t]]="",tblMovement[[#This Row],[Grade_gpt]]=""),0,tblMovement[[#This Row],[Tonnes_t]]*tblMovement[[#This Row],[Grade_gpt]]/cfg_TroyOz)</f>
        <v/>
      </c>
      <c r="O3003" s="59">
        <f>IF(tblMovement[[#This Row],[Is_Ore]]=1,tblMovement[[#This Row],[Contained_oz]],0)</f>
        <v/>
      </c>
    </row>
    <row r="3004">
      <c r="A3004" s="54" t="n"/>
      <c r="B3004" s="61" t="n"/>
      <c r="C3004" s="61" t="n"/>
      <c r="D3004" s="61" t="n"/>
      <c r="E3004" s="61" t="n"/>
      <c r="F3004" s="55" t="n"/>
      <c r="G3004" s="56" t="n"/>
      <c r="H3004" s="55" t="n"/>
      <c r="I3004" s="62" t="n"/>
      <c r="J3004" s="58" t="n"/>
      <c r="K3004" s="63">
        <f>IF(tblMovement[[#This Row],[Source]]="","",IFERROR(INDEX(tblSources[Type],MATCH(tblMovement[[#This Row],[Source]],tblSources[Source],0)),"?"))</f>
        <v/>
      </c>
      <c r="L3004" s="63">
        <f>IF(tblMovement[[#This Row],[Destination]]="","",IFERROR(INDEX(tblDestinations[Type],MATCH(tblMovement[[#This Row],[Destination]],tblDestinations[Destination],0)),"?"))</f>
        <v/>
      </c>
      <c r="M3004" s="64">
        <f>IF(tblMovement[[#This Row],[Material]]="","",IF(LEFT(tblMovement[[#This Row],[Material]],3)="Ore",1,0))</f>
        <v/>
      </c>
      <c r="N3004" s="59">
        <f>IF(OR(tblMovement[[#This Row],[Tonnes_t]]="",tblMovement[[#This Row],[Grade_gpt]]=""),0,tblMovement[[#This Row],[Tonnes_t]]*tblMovement[[#This Row],[Grade_gpt]]/cfg_TroyOz)</f>
        <v/>
      </c>
      <c r="O3004" s="59">
        <f>IF(tblMovement[[#This Row],[Is_Ore]]=1,tblMovement[[#This Row],[Contained_oz]],0)</f>
        <v/>
      </c>
    </row>
    <row r="3005">
      <c r="A3005" s="54" t="n"/>
      <c r="B3005" s="61" t="n"/>
      <c r="C3005" s="61" t="n"/>
      <c r="D3005" s="61" t="n"/>
      <c r="E3005" s="61" t="n"/>
      <c r="F3005" s="55" t="n"/>
      <c r="G3005" s="56" t="n"/>
      <c r="H3005" s="55" t="n"/>
      <c r="I3005" s="62" t="n"/>
      <c r="J3005" s="58" t="n"/>
      <c r="K3005" s="63">
        <f>IF(tblMovement[[#This Row],[Source]]="","",IFERROR(INDEX(tblSources[Type],MATCH(tblMovement[[#This Row],[Source]],tblSources[Source],0)),"?"))</f>
        <v/>
      </c>
      <c r="L3005" s="63">
        <f>IF(tblMovement[[#This Row],[Destination]]="","",IFERROR(INDEX(tblDestinations[Type],MATCH(tblMovement[[#This Row],[Destination]],tblDestinations[Destination],0)),"?"))</f>
        <v/>
      </c>
      <c r="M3005" s="64">
        <f>IF(tblMovement[[#This Row],[Material]]="","",IF(LEFT(tblMovement[[#This Row],[Material]],3)="Ore",1,0))</f>
        <v/>
      </c>
      <c r="N3005" s="59">
        <f>IF(OR(tblMovement[[#This Row],[Tonnes_t]]="",tblMovement[[#This Row],[Grade_gpt]]=""),0,tblMovement[[#This Row],[Tonnes_t]]*tblMovement[[#This Row],[Grade_gpt]]/cfg_TroyOz)</f>
        <v/>
      </c>
      <c r="O3005" s="59">
        <f>IF(tblMovement[[#This Row],[Is_Ore]]=1,tblMovement[[#This Row],[Contained_oz]],0)</f>
        <v/>
      </c>
    </row>
    <row r="3006">
      <c r="A3006" s="54" t="n"/>
      <c r="B3006" s="61" t="n"/>
      <c r="C3006" s="61" t="n"/>
      <c r="D3006" s="61" t="n"/>
      <c r="E3006" s="61" t="n"/>
      <c r="F3006" s="55" t="n"/>
      <c r="G3006" s="56" t="n"/>
      <c r="H3006" s="55" t="n"/>
      <c r="I3006" s="62" t="n"/>
      <c r="J3006" s="58" t="n"/>
      <c r="K3006" s="63">
        <f>IF(tblMovement[[#This Row],[Source]]="","",IFERROR(INDEX(tblSources[Type],MATCH(tblMovement[[#This Row],[Source]],tblSources[Source],0)),"?"))</f>
        <v/>
      </c>
      <c r="L3006" s="63">
        <f>IF(tblMovement[[#This Row],[Destination]]="","",IFERROR(INDEX(tblDestinations[Type],MATCH(tblMovement[[#This Row],[Destination]],tblDestinations[Destination],0)),"?"))</f>
        <v/>
      </c>
      <c r="M3006" s="64">
        <f>IF(tblMovement[[#This Row],[Material]]="","",IF(LEFT(tblMovement[[#This Row],[Material]],3)="Ore",1,0))</f>
        <v/>
      </c>
      <c r="N3006" s="59">
        <f>IF(OR(tblMovement[[#This Row],[Tonnes_t]]="",tblMovement[[#This Row],[Grade_gpt]]=""),0,tblMovement[[#This Row],[Tonnes_t]]*tblMovement[[#This Row],[Grade_gpt]]/cfg_TroyOz)</f>
        <v/>
      </c>
      <c r="O3006" s="59">
        <f>IF(tblMovement[[#This Row],[Is_Ore]]=1,tblMovement[[#This Row],[Contained_oz]],0)</f>
        <v/>
      </c>
    </row>
    <row r="3007">
      <c r="A3007" s="54" t="n"/>
      <c r="B3007" s="61" t="n"/>
      <c r="C3007" s="61" t="n"/>
      <c r="D3007" s="61" t="n"/>
      <c r="E3007" s="61" t="n"/>
      <c r="F3007" s="55" t="n"/>
      <c r="G3007" s="56" t="n"/>
      <c r="H3007" s="55" t="n"/>
      <c r="I3007" s="62" t="n"/>
      <c r="J3007" s="58" t="n"/>
      <c r="K3007" s="63">
        <f>IF(tblMovement[[#This Row],[Source]]="","",IFERROR(INDEX(tblSources[Type],MATCH(tblMovement[[#This Row],[Source]],tblSources[Source],0)),"?"))</f>
        <v/>
      </c>
      <c r="L3007" s="63">
        <f>IF(tblMovement[[#This Row],[Destination]]="","",IFERROR(INDEX(tblDestinations[Type],MATCH(tblMovement[[#This Row],[Destination]],tblDestinations[Destination],0)),"?"))</f>
        <v/>
      </c>
      <c r="M3007" s="64">
        <f>IF(tblMovement[[#This Row],[Material]]="","",IF(LEFT(tblMovement[[#This Row],[Material]],3)="Ore",1,0))</f>
        <v/>
      </c>
      <c r="N3007" s="59">
        <f>IF(OR(tblMovement[[#This Row],[Tonnes_t]]="",tblMovement[[#This Row],[Grade_gpt]]=""),0,tblMovement[[#This Row],[Tonnes_t]]*tblMovement[[#This Row],[Grade_gpt]]/cfg_TroyOz)</f>
        <v/>
      </c>
      <c r="O3007" s="59">
        <f>IF(tblMovement[[#This Row],[Is_Ore]]=1,tblMovement[[#This Row],[Contained_oz]],0)</f>
        <v/>
      </c>
    </row>
    <row r="3008">
      <c r="A3008" s="54" t="n"/>
      <c r="B3008" s="61" t="n"/>
      <c r="C3008" s="61" t="n"/>
      <c r="D3008" s="61" t="n"/>
      <c r="E3008" s="61" t="n"/>
      <c r="F3008" s="55" t="n"/>
      <c r="G3008" s="56" t="n"/>
      <c r="H3008" s="55" t="n"/>
      <c r="I3008" s="62" t="n"/>
      <c r="J3008" s="58" t="n"/>
      <c r="K3008" s="63">
        <f>IF(tblMovement[[#This Row],[Source]]="","",IFERROR(INDEX(tblSources[Type],MATCH(tblMovement[[#This Row],[Source]],tblSources[Source],0)),"?"))</f>
        <v/>
      </c>
      <c r="L3008" s="63">
        <f>IF(tblMovement[[#This Row],[Destination]]="","",IFERROR(INDEX(tblDestinations[Type],MATCH(tblMovement[[#This Row],[Destination]],tblDestinations[Destination],0)),"?"))</f>
        <v/>
      </c>
      <c r="M3008" s="64">
        <f>IF(tblMovement[[#This Row],[Material]]="","",IF(LEFT(tblMovement[[#This Row],[Material]],3)="Ore",1,0))</f>
        <v/>
      </c>
      <c r="N3008" s="59">
        <f>IF(OR(tblMovement[[#This Row],[Tonnes_t]]="",tblMovement[[#This Row],[Grade_gpt]]=""),0,tblMovement[[#This Row],[Tonnes_t]]*tblMovement[[#This Row],[Grade_gpt]]/cfg_TroyOz)</f>
        <v/>
      </c>
      <c r="O3008" s="59">
        <f>IF(tblMovement[[#This Row],[Is_Ore]]=1,tblMovement[[#This Row],[Contained_oz]],0)</f>
        <v/>
      </c>
    </row>
    <row r="3009">
      <c r="A3009" s="54" t="n"/>
      <c r="B3009" s="61" t="n"/>
      <c r="C3009" s="61" t="n"/>
      <c r="D3009" s="61" t="n"/>
      <c r="E3009" s="61" t="n"/>
      <c r="F3009" s="55" t="n"/>
      <c r="G3009" s="56" t="n"/>
      <c r="H3009" s="55" t="n"/>
      <c r="I3009" s="62" t="n"/>
      <c r="J3009" s="58" t="n"/>
      <c r="K3009" s="63">
        <f>IF(tblMovement[[#This Row],[Source]]="","",IFERROR(INDEX(tblSources[Type],MATCH(tblMovement[[#This Row],[Source]],tblSources[Source],0)),"?"))</f>
        <v/>
      </c>
      <c r="L3009" s="63">
        <f>IF(tblMovement[[#This Row],[Destination]]="","",IFERROR(INDEX(tblDestinations[Type],MATCH(tblMovement[[#This Row],[Destination]],tblDestinations[Destination],0)),"?"))</f>
        <v/>
      </c>
      <c r="M3009" s="64">
        <f>IF(tblMovement[[#This Row],[Material]]="","",IF(LEFT(tblMovement[[#This Row],[Material]],3)="Ore",1,0))</f>
        <v/>
      </c>
      <c r="N3009" s="59">
        <f>IF(OR(tblMovement[[#This Row],[Tonnes_t]]="",tblMovement[[#This Row],[Grade_gpt]]=""),0,tblMovement[[#This Row],[Tonnes_t]]*tblMovement[[#This Row],[Grade_gpt]]/cfg_TroyOz)</f>
        <v/>
      </c>
      <c r="O3009" s="59">
        <f>IF(tblMovement[[#This Row],[Is_Ore]]=1,tblMovement[[#This Row],[Contained_oz]],0)</f>
        <v/>
      </c>
    </row>
    <row r="3010">
      <c r="A3010" s="54" t="n"/>
      <c r="B3010" s="61" t="n"/>
      <c r="C3010" s="61" t="n"/>
      <c r="D3010" s="61" t="n"/>
      <c r="E3010" s="61" t="n"/>
      <c r="F3010" s="55" t="n"/>
      <c r="G3010" s="56" t="n"/>
      <c r="H3010" s="55" t="n"/>
      <c r="I3010" s="62" t="n"/>
      <c r="J3010" s="58" t="n"/>
      <c r="K3010" s="63">
        <f>IF(tblMovement[[#This Row],[Source]]="","",IFERROR(INDEX(tblSources[Type],MATCH(tblMovement[[#This Row],[Source]],tblSources[Source],0)),"?"))</f>
        <v/>
      </c>
      <c r="L3010" s="63">
        <f>IF(tblMovement[[#This Row],[Destination]]="","",IFERROR(INDEX(tblDestinations[Type],MATCH(tblMovement[[#This Row],[Destination]],tblDestinations[Destination],0)),"?"))</f>
        <v/>
      </c>
      <c r="M3010" s="64">
        <f>IF(tblMovement[[#This Row],[Material]]="","",IF(LEFT(tblMovement[[#This Row],[Material]],3)="Ore",1,0))</f>
        <v/>
      </c>
      <c r="N3010" s="59">
        <f>IF(OR(tblMovement[[#This Row],[Tonnes_t]]="",tblMovement[[#This Row],[Grade_gpt]]=""),0,tblMovement[[#This Row],[Tonnes_t]]*tblMovement[[#This Row],[Grade_gpt]]/cfg_TroyOz)</f>
        <v/>
      </c>
      <c r="O3010" s="59">
        <f>IF(tblMovement[[#This Row],[Is_Ore]]=1,tblMovement[[#This Row],[Contained_oz]],0)</f>
        <v/>
      </c>
    </row>
    <row r="3011">
      <c r="A3011" s="54" t="n"/>
      <c r="B3011" s="61" t="n"/>
      <c r="C3011" s="61" t="n"/>
      <c r="D3011" s="61" t="n"/>
      <c r="E3011" s="61" t="n"/>
      <c r="F3011" s="55" t="n"/>
      <c r="G3011" s="56" t="n"/>
      <c r="H3011" s="55" t="n"/>
      <c r="I3011" s="62" t="n"/>
      <c r="J3011" s="58" t="n"/>
      <c r="K3011" s="63">
        <f>IF(tblMovement[[#This Row],[Source]]="","",IFERROR(INDEX(tblSources[Type],MATCH(tblMovement[[#This Row],[Source]],tblSources[Source],0)),"?"))</f>
        <v/>
      </c>
      <c r="L3011" s="63">
        <f>IF(tblMovement[[#This Row],[Destination]]="","",IFERROR(INDEX(tblDestinations[Type],MATCH(tblMovement[[#This Row],[Destination]],tblDestinations[Destination],0)),"?"))</f>
        <v/>
      </c>
      <c r="M3011" s="64">
        <f>IF(tblMovement[[#This Row],[Material]]="","",IF(LEFT(tblMovement[[#This Row],[Material]],3)="Ore",1,0))</f>
        <v/>
      </c>
      <c r="N3011" s="59">
        <f>IF(OR(tblMovement[[#This Row],[Tonnes_t]]="",tblMovement[[#This Row],[Grade_gpt]]=""),0,tblMovement[[#This Row],[Tonnes_t]]*tblMovement[[#This Row],[Grade_gpt]]/cfg_TroyOz)</f>
        <v/>
      </c>
      <c r="O3011" s="59">
        <f>IF(tblMovement[[#This Row],[Is_Ore]]=1,tblMovement[[#This Row],[Contained_oz]],0)</f>
        <v/>
      </c>
    </row>
    <row r="3012">
      <c r="A3012" s="54" t="n"/>
      <c r="B3012" s="61" t="n"/>
      <c r="C3012" s="61" t="n"/>
      <c r="D3012" s="61" t="n"/>
      <c r="E3012" s="61" t="n"/>
      <c r="F3012" s="55" t="n"/>
      <c r="G3012" s="56" t="n"/>
      <c r="H3012" s="55" t="n"/>
      <c r="I3012" s="62" t="n"/>
      <c r="J3012" s="58" t="n"/>
      <c r="K3012" s="63">
        <f>IF(tblMovement[[#This Row],[Source]]="","",IFERROR(INDEX(tblSources[Type],MATCH(tblMovement[[#This Row],[Source]],tblSources[Source],0)),"?"))</f>
        <v/>
      </c>
      <c r="L3012" s="63">
        <f>IF(tblMovement[[#This Row],[Destination]]="","",IFERROR(INDEX(tblDestinations[Type],MATCH(tblMovement[[#This Row],[Destination]],tblDestinations[Destination],0)),"?"))</f>
        <v/>
      </c>
      <c r="M3012" s="64">
        <f>IF(tblMovement[[#This Row],[Material]]="","",IF(LEFT(tblMovement[[#This Row],[Material]],3)="Ore",1,0))</f>
        <v/>
      </c>
      <c r="N3012" s="59">
        <f>IF(OR(tblMovement[[#This Row],[Tonnes_t]]="",tblMovement[[#This Row],[Grade_gpt]]=""),0,tblMovement[[#This Row],[Tonnes_t]]*tblMovement[[#This Row],[Grade_gpt]]/cfg_TroyOz)</f>
        <v/>
      </c>
      <c r="O3012" s="59">
        <f>IF(tblMovement[[#This Row],[Is_Ore]]=1,tblMovement[[#This Row],[Contained_oz]],0)</f>
        <v/>
      </c>
    </row>
    <row r="3013">
      <c r="A3013" s="54" t="n"/>
      <c r="B3013" s="61" t="n"/>
      <c r="C3013" s="61" t="n"/>
      <c r="D3013" s="61" t="n"/>
      <c r="E3013" s="61" t="n"/>
      <c r="F3013" s="55" t="n"/>
      <c r="G3013" s="56" t="n"/>
      <c r="H3013" s="55" t="n"/>
      <c r="I3013" s="62" t="n"/>
      <c r="J3013" s="58" t="n"/>
      <c r="K3013" s="63">
        <f>IF(tblMovement[[#This Row],[Source]]="","",IFERROR(INDEX(tblSources[Type],MATCH(tblMovement[[#This Row],[Source]],tblSources[Source],0)),"?"))</f>
        <v/>
      </c>
      <c r="L3013" s="63">
        <f>IF(tblMovement[[#This Row],[Destination]]="","",IFERROR(INDEX(tblDestinations[Type],MATCH(tblMovement[[#This Row],[Destination]],tblDestinations[Destination],0)),"?"))</f>
        <v/>
      </c>
      <c r="M3013" s="64">
        <f>IF(tblMovement[[#This Row],[Material]]="","",IF(LEFT(tblMovement[[#This Row],[Material]],3)="Ore",1,0))</f>
        <v/>
      </c>
      <c r="N3013" s="59">
        <f>IF(OR(tblMovement[[#This Row],[Tonnes_t]]="",tblMovement[[#This Row],[Grade_gpt]]=""),0,tblMovement[[#This Row],[Tonnes_t]]*tblMovement[[#This Row],[Grade_gpt]]/cfg_TroyOz)</f>
        <v/>
      </c>
      <c r="O3013" s="59">
        <f>IF(tblMovement[[#This Row],[Is_Ore]]=1,tblMovement[[#This Row],[Contained_oz]],0)</f>
        <v/>
      </c>
    </row>
    <row r="3014">
      <c r="A3014" s="54" t="n"/>
      <c r="B3014" s="61" t="n"/>
      <c r="C3014" s="61" t="n"/>
      <c r="D3014" s="61" t="n"/>
      <c r="E3014" s="61" t="n"/>
      <c r="F3014" s="55" t="n"/>
      <c r="G3014" s="56" t="n"/>
      <c r="H3014" s="55" t="n"/>
      <c r="I3014" s="62" t="n"/>
      <c r="J3014" s="58" t="n"/>
      <c r="K3014" s="63">
        <f>IF(tblMovement[[#This Row],[Source]]="","",IFERROR(INDEX(tblSources[Type],MATCH(tblMovement[[#This Row],[Source]],tblSources[Source],0)),"?"))</f>
        <v/>
      </c>
      <c r="L3014" s="63">
        <f>IF(tblMovement[[#This Row],[Destination]]="","",IFERROR(INDEX(tblDestinations[Type],MATCH(tblMovement[[#This Row],[Destination]],tblDestinations[Destination],0)),"?"))</f>
        <v/>
      </c>
      <c r="M3014" s="64">
        <f>IF(tblMovement[[#This Row],[Material]]="","",IF(LEFT(tblMovement[[#This Row],[Material]],3)="Ore",1,0))</f>
        <v/>
      </c>
      <c r="N3014" s="59">
        <f>IF(OR(tblMovement[[#This Row],[Tonnes_t]]="",tblMovement[[#This Row],[Grade_gpt]]=""),0,tblMovement[[#This Row],[Tonnes_t]]*tblMovement[[#This Row],[Grade_gpt]]/cfg_TroyOz)</f>
        <v/>
      </c>
      <c r="O3014" s="59">
        <f>IF(tblMovement[[#This Row],[Is_Ore]]=1,tblMovement[[#This Row],[Contained_oz]],0)</f>
        <v/>
      </c>
    </row>
    <row r="3015">
      <c r="A3015" s="54" t="n"/>
      <c r="B3015" s="61" t="n"/>
      <c r="C3015" s="61" t="n"/>
      <c r="D3015" s="61" t="n"/>
      <c r="E3015" s="61" t="n"/>
      <c r="F3015" s="55" t="n"/>
      <c r="G3015" s="56" t="n"/>
      <c r="H3015" s="55" t="n"/>
      <c r="I3015" s="62" t="n"/>
      <c r="J3015" s="58" t="n"/>
      <c r="K3015" s="63">
        <f>IF(tblMovement[[#This Row],[Source]]="","",IFERROR(INDEX(tblSources[Type],MATCH(tblMovement[[#This Row],[Source]],tblSources[Source],0)),"?"))</f>
        <v/>
      </c>
      <c r="L3015" s="63">
        <f>IF(tblMovement[[#This Row],[Destination]]="","",IFERROR(INDEX(tblDestinations[Type],MATCH(tblMovement[[#This Row],[Destination]],tblDestinations[Destination],0)),"?"))</f>
        <v/>
      </c>
      <c r="M3015" s="64">
        <f>IF(tblMovement[[#This Row],[Material]]="","",IF(LEFT(tblMovement[[#This Row],[Material]],3)="Ore",1,0))</f>
        <v/>
      </c>
      <c r="N3015" s="59">
        <f>IF(OR(tblMovement[[#This Row],[Tonnes_t]]="",tblMovement[[#This Row],[Grade_gpt]]=""),0,tblMovement[[#This Row],[Tonnes_t]]*tblMovement[[#This Row],[Grade_gpt]]/cfg_TroyOz)</f>
        <v/>
      </c>
      <c r="O3015" s="59">
        <f>IF(tblMovement[[#This Row],[Is_Ore]]=1,tblMovement[[#This Row],[Contained_oz]],0)</f>
        <v/>
      </c>
    </row>
    <row r="3016">
      <c r="A3016" s="54" t="n"/>
      <c r="B3016" s="61" t="n"/>
      <c r="C3016" s="61" t="n"/>
      <c r="D3016" s="61" t="n"/>
      <c r="E3016" s="61" t="n"/>
      <c r="F3016" s="55" t="n"/>
      <c r="G3016" s="56" t="n"/>
      <c r="H3016" s="55" t="n"/>
      <c r="I3016" s="62" t="n"/>
      <c r="J3016" s="58" t="n"/>
      <c r="K3016" s="63">
        <f>IF(tblMovement[[#This Row],[Source]]="","",IFERROR(INDEX(tblSources[Type],MATCH(tblMovement[[#This Row],[Source]],tblSources[Source],0)),"?"))</f>
        <v/>
      </c>
      <c r="L3016" s="63">
        <f>IF(tblMovement[[#This Row],[Destination]]="","",IFERROR(INDEX(tblDestinations[Type],MATCH(tblMovement[[#This Row],[Destination]],tblDestinations[Destination],0)),"?"))</f>
        <v/>
      </c>
      <c r="M3016" s="64">
        <f>IF(tblMovement[[#This Row],[Material]]="","",IF(LEFT(tblMovement[[#This Row],[Material]],3)="Ore",1,0))</f>
        <v/>
      </c>
      <c r="N3016" s="59">
        <f>IF(OR(tblMovement[[#This Row],[Tonnes_t]]="",tblMovement[[#This Row],[Grade_gpt]]=""),0,tblMovement[[#This Row],[Tonnes_t]]*tblMovement[[#This Row],[Grade_gpt]]/cfg_TroyOz)</f>
        <v/>
      </c>
      <c r="O3016" s="59">
        <f>IF(tblMovement[[#This Row],[Is_Ore]]=1,tblMovement[[#This Row],[Contained_oz]],0)</f>
        <v/>
      </c>
    </row>
    <row r="3017">
      <c r="A3017" s="54" t="n"/>
      <c r="B3017" s="61" t="n"/>
      <c r="C3017" s="61" t="n"/>
      <c r="D3017" s="61" t="n"/>
      <c r="E3017" s="61" t="n"/>
      <c r="F3017" s="55" t="n"/>
      <c r="G3017" s="56" t="n"/>
      <c r="H3017" s="55" t="n"/>
      <c r="I3017" s="62" t="n"/>
      <c r="J3017" s="58" t="n"/>
      <c r="K3017" s="63">
        <f>IF(tblMovement[[#This Row],[Source]]="","",IFERROR(INDEX(tblSources[Type],MATCH(tblMovement[[#This Row],[Source]],tblSources[Source],0)),"?"))</f>
        <v/>
      </c>
      <c r="L3017" s="63">
        <f>IF(tblMovement[[#This Row],[Destination]]="","",IFERROR(INDEX(tblDestinations[Type],MATCH(tblMovement[[#This Row],[Destination]],tblDestinations[Destination],0)),"?"))</f>
        <v/>
      </c>
      <c r="M3017" s="64">
        <f>IF(tblMovement[[#This Row],[Material]]="","",IF(LEFT(tblMovement[[#This Row],[Material]],3)="Ore",1,0))</f>
        <v/>
      </c>
      <c r="N3017" s="59">
        <f>IF(OR(tblMovement[[#This Row],[Tonnes_t]]="",tblMovement[[#This Row],[Grade_gpt]]=""),0,tblMovement[[#This Row],[Tonnes_t]]*tblMovement[[#This Row],[Grade_gpt]]/cfg_TroyOz)</f>
        <v/>
      </c>
      <c r="O3017" s="59">
        <f>IF(tblMovement[[#This Row],[Is_Ore]]=1,tblMovement[[#This Row],[Contained_oz]],0)</f>
        <v/>
      </c>
    </row>
    <row r="3018">
      <c r="A3018" s="54" t="n"/>
      <c r="B3018" s="61" t="n"/>
      <c r="C3018" s="61" t="n"/>
      <c r="D3018" s="61" t="n"/>
      <c r="E3018" s="61" t="n"/>
      <c r="F3018" s="55" t="n"/>
      <c r="G3018" s="56" t="n"/>
      <c r="H3018" s="55" t="n"/>
      <c r="I3018" s="62" t="n"/>
      <c r="J3018" s="58" t="n"/>
      <c r="K3018" s="63">
        <f>IF(tblMovement[[#This Row],[Source]]="","",IFERROR(INDEX(tblSources[Type],MATCH(tblMovement[[#This Row],[Source]],tblSources[Source],0)),"?"))</f>
        <v/>
      </c>
      <c r="L3018" s="63">
        <f>IF(tblMovement[[#This Row],[Destination]]="","",IFERROR(INDEX(tblDestinations[Type],MATCH(tblMovement[[#This Row],[Destination]],tblDestinations[Destination],0)),"?"))</f>
        <v/>
      </c>
      <c r="M3018" s="64">
        <f>IF(tblMovement[[#This Row],[Material]]="","",IF(LEFT(tblMovement[[#This Row],[Material]],3)="Ore",1,0))</f>
        <v/>
      </c>
      <c r="N3018" s="59">
        <f>IF(OR(tblMovement[[#This Row],[Tonnes_t]]="",tblMovement[[#This Row],[Grade_gpt]]=""),0,tblMovement[[#This Row],[Tonnes_t]]*tblMovement[[#This Row],[Grade_gpt]]/cfg_TroyOz)</f>
        <v/>
      </c>
      <c r="O3018" s="59">
        <f>IF(tblMovement[[#This Row],[Is_Ore]]=1,tblMovement[[#This Row],[Contained_oz]],0)</f>
        <v/>
      </c>
    </row>
    <row r="3019">
      <c r="A3019" s="54" t="n"/>
      <c r="B3019" s="61" t="n"/>
      <c r="C3019" s="61" t="n"/>
      <c r="D3019" s="61" t="n"/>
      <c r="E3019" s="61" t="n"/>
      <c r="F3019" s="55" t="n"/>
      <c r="G3019" s="56" t="n"/>
      <c r="H3019" s="55" t="n"/>
      <c r="I3019" s="62" t="n"/>
      <c r="J3019" s="58" t="n"/>
      <c r="K3019" s="63">
        <f>IF(tblMovement[[#This Row],[Source]]="","",IFERROR(INDEX(tblSources[Type],MATCH(tblMovement[[#This Row],[Source]],tblSources[Source],0)),"?"))</f>
        <v/>
      </c>
      <c r="L3019" s="63">
        <f>IF(tblMovement[[#This Row],[Destination]]="","",IFERROR(INDEX(tblDestinations[Type],MATCH(tblMovement[[#This Row],[Destination]],tblDestinations[Destination],0)),"?"))</f>
        <v/>
      </c>
      <c r="M3019" s="64">
        <f>IF(tblMovement[[#This Row],[Material]]="","",IF(LEFT(tblMovement[[#This Row],[Material]],3)="Ore",1,0))</f>
        <v/>
      </c>
      <c r="N3019" s="59">
        <f>IF(OR(tblMovement[[#This Row],[Tonnes_t]]="",tblMovement[[#This Row],[Grade_gpt]]=""),0,tblMovement[[#This Row],[Tonnes_t]]*tblMovement[[#This Row],[Grade_gpt]]/cfg_TroyOz)</f>
        <v/>
      </c>
      <c r="O3019" s="59">
        <f>IF(tblMovement[[#This Row],[Is_Ore]]=1,tblMovement[[#This Row],[Contained_oz]],0)</f>
        <v/>
      </c>
    </row>
    <row r="3020">
      <c r="A3020" s="54" t="n"/>
      <c r="B3020" s="61" t="n"/>
      <c r="C3020" s="61" t="n"/>
      <c r="D3020" s="61" t="n"/>
      <c r="E3020" s="61" t="n"/>
      <c r="F3020" s="55" t="n"/>
      <c r="G3020" s="56" t="n"/>
      <c r="H3020" s="55" t="n"/>
      <c r="I3020" s="62" t="n"/>
      <c r="J3020" s="58" t="n"/>
      <c r="K3020" s="63">
        <f>IF(tblMovement[[#This Row],[Source]]="","",IFERROR(INDEX(tblSources[Type],MATCH(tblMovement[[#This Row],[Source]],tblSources[Source],0)),"?"))</f>
        <v/>
      </c>
      <c r="L3020" s="63">
        <f>IF(tblMovement[[#This Row],[Destination]]="","",IFERROR(INDEX(tblDestinations[Type],MATCH(tblMovement[[#This Row],[Destination]],tblDestinations[Destination],0)),"?"))</f>
        <v/>
      </c>
      <c r="M3020" s="64">
        <f>IF(tblMovement[[#This Row],[Material]]="","",IF(LEFT(tblMovement[[#This Row],[Material]],3)="Ore",1,0))</f>
        <v/>
      </c>
      <c r="N3020" s="59">
        <f>IF(OR(tblMovement[[#This Row],[Tonnes_t]]="",tblMovement[[#This Row],[Grade_gpt]]=""),0,tblMovement[[#This Row],[Tonnes_t]]*tblMovement[[#This Row],[Grade_gpt]]/cfg_TroyOz)</f>
        <v/>
      </c>
      <c r="O3020" s="59">
        <f>IF(tblMovement[[#This Row],[Is_Ore]]=1,tblMovement[[#This Row],[Contained_oz]],0)</f>
        <v/>
      </c>
    </row>
    <row r="3021">
      <c r="A3021" s="54" t="n"/>
      <c r="B3021" s="61" t="n"/>
      <c r="C3021" s="61" t="n"/>
      <c r="D3021" s="61" t="n"/>
      <c r="E3021" s="61" t="n"/>
      <c r="F3021" s="55" t="n"/>
      <c r="G3021" s="56" t="n"/>
      <c r="H3021" s="55" t="n"/>
      <c r="I3021" s="62" t="n"/>
      <c r="J3021" s="58" t="n"/>
      <c r="K3021" s="63">
        <f>IF(tblMovement[[#This Row],[Source]]="","",IFERROR(INDEX(tblSources[Type],MATCH(tblMovement[[#This Row],[Source]],tblSources[Source],0)),"?"))</f>
        <v/>
      </c>
      <c r="L3021" s="63">
        <f>IF(tblMovement[[#This Row],[Destination]]="","",IFERROR(INDEX(tblDestinations[Type],MATCH(tblMovement[[#This Row],[Destination]],tblDestinations[Destination],0)),"?"))</f>
        <v/>
      </c>
      <c r="M3021" s="64">
        <f>IF(tblMovement[[#This Row],[Material]]="","",IF(LEFT(tblMovement[[#This Row],[Material]],3)="Ore",1,0))</f>
        <v/>
      </c>
      <c r="N3021" s="59">
        <f>IF(OR(tblMovement[[#This Row],[Tonnes_t]]="",tblMovement[[#This Row],[Grade_gpt]]=""),0,tblMovement[[#This Row],[Tonnes_t]]*tblMovement[[#This Row],[Grade_gpt]]/cfg_TroyOz)</f>
        <v/>
      </c>
      <c r="O3021" s="59">
        <f>IF(tblMovement[[#This Row],[Is_Ore]]=1,tblMovement[[#This Row],[Contained_oz]],0)</f>
        <v/>
      </c>
    </row>
    <row r="3022">
      <c r="A3022" s="54" t="n"/>
      <c r="B3022" s="61" t="n"/>
      <c r="C3022" s="61" t="n"/>
      <c r="D3022" s="61" t="n"/>
      <c r="E3022" s="61" t="n"/>
      <c r="F3022" s="55" t="n"/>
      <c r="G3022" s="56" t="n"/>
      <c r="H3022" s="55" t="n"/>
      <c r="I3022" s="62" t="n"/>
      <c r="J3022" s="58" t="n"/>
      <c r="K3022" s="63">
        <f>IF(tblMovement[[#This Row],[Source]]="","",IFERROR(INDEX(tblSources[Type],MATCH(tblMovement[[#This Row],[Source]],tblSources[Source],0)),"?"))</f>
        <v/>
      </c>
      <c r="L3022" s="63">
        <f>IF(tblMovement[[#This Row],[Destination]]="","",IFERROR(INDEX(tblDestinations[Type],MATCH(tblMovement[[#This Row],[Destination]],tblDestinations[Destination],0)),"?"))</f>
        <v/>
      </c>
      <c r="M3022" s="64">
        <f>IF(tblMovement[[#This Row],[Material]]="","",IF(LEFT(tblMovement[[#This Row],[Material]],3)="Ore",1,0))</f>
        <v/>
      </c>
      <c r="N3022" s="59">
        <f>IF(OR(tblMovement[[#This Row],[Tonnes_t]]="",tblMovement[[#This Row],[Grade_gpt]]=""),0,tblMovement[[#This Row],[Tonnes_t]]*tblMovement[[#This Row],[Grade_gpt]]/cfg_TroyOz)</f>
        <v/>
      </c>
      <c r="O3022" s="59">
        <f>IF(tblMovement[[#This Row],[Is_Ore]]=1,tblMovement[[#This Row],[Contained_oz]],0)</f>
        <v/>
      </c>
    </row>
    <row r="3023">
      <c r="A3023" s="54" t="n"/>
      <c r="B3023" s="61" t="n"/>
      <c r="C3023" s="61" t="n"/>
      <c r="D3023" s="61" t="n"/>
      <c r="E3023" s="61" t="n"/>
      <c r="F3023" s="55" t="n"/>
      <c r="G3023" s="56" t="n"/>
      <c r="H3023" s="55" t="n"/>
      <c r="I3023" s="62" t="n"/>
      <c r="J3023" s="58" t="n"/>
      <c r="K3023" s="63">
        <f>IF(tblMovement[[#This Row],[Source]]="","",IFERROR(INDEX(tblSources[Type],MATCH(tblMovement[[#This Row],[Source]],tblSources[Source],0)),"?"))</f>
        <v/>
      </c>
      <c r="L3023" s="63">
        <f>IF(tblMovement[[#This Row],[Destination]]="","",IFERROR(INDEX(tblDestinations[Type],MATCH(tblMovement[[#This Row],[Destination]],tblDestinations[Destination],0)),"?"))</f>
        <v/>
      </c>
      <c r="M3023" s="64">
        <f>IF(tblMovement[[#This Row],[Material]]="","",IF(LEFT(tblMovement[[#This Row],[Material]],3)="Ore",1,0))</f>
        <v/>
      </c>
      <c r="N3023" s="59">
        <f>IF(OR(tblMovement[[#This Row],[Tonnes_t]]="",tblMovement[[#This Row],[Grade_gpt]]=""),0,tblMovement[[#This Row],[Tonnes_t]]*tblMovement[[#This Row],[Grade_gpt]]/cfg_TroyOz)</f>
        <v/>
      </c>
      <c r="O3023" s="59">
        <f>IF(tblMovement[[#This Row],[Is_Ore]]=1,tblMovement[[#This Row],[Contained_oz]],0)</f>
        <v/>
      </c>
    </row>
    <row r="3024">
      <c r="A3024" s="54" t="n"/>
      <c r="B3024" s="61" t="n"/>
      <c r="C3024" s="61" t="n"/>
      <c r="D3024" s="61" t="n"/>
      <c r="E3024" s="61" t="n"/>
      <c r="F3024" s="55" t="n"/>
      <c r="G3024" s="56" t="n"/>
      <c r="H3024" s="55" t="n"/>
      <c r="I3024" s="62" t="n"/>
      <c r="J3024" s="58" t="n"/>
      <c r="K3024" s="63">
        <f>IF(tblMovement[[#This Row],[Source]]="","",IFERROR(INDEX(tblSources[Type],MATCH(tblMovement[[#This Row],[Source]],tblSources[Source],0)),"?"))</f>
        <v/>
      </c>
      <c r="L3024" s="63">
        <f>IF(tblMovement[[#This Row],[Destination]]="","",IFERROR(INDEX(tblDestinations[Type],MATCH(tblMovement[[#This Row],[Destination]],tblDestinations[Destination],0)),"?"))</f>
        <v/>
      </c>
      <c r="M3024" s="64">
        <f>IF(tblMovement[[#This Row],[Material]]="","",IF(LEFT(tblMovement[[#This Row],[Material]],3)="Ore",1,0))</f>
        <v/>
      </c>
      <c r="N3024" s="59">
        <f>IF(OR(tblMovement[[#This Row],[Tonnes_t]]="",tblMovement[[#This Row],[Grade_gpt]]=""),0,tblMovement[[#This Row],[Tonnes_t]]*tblMovement[[#This Row],[Grade_gpt]]/cfg_TroyOz)</f>
        <v/>
      </c>
      <c r="O3024" s="59">
        <f>IF(tblMovement[[#This Row],[Is_Ore]]=1,tblMovement[[#This Row],[Contained_oz]],0)</f>
        <v/>
      </c>
    </row>
    <row r="3025">
      <c r="A3025" s="54" t="n"/>
      <c r="B3025" s="61" t="n"/>
      <c r="C3025" s="61" t="n"/>
      <c r="D3025" s="61" t="n"/>
      <c r="E3025" s="61" t="n"/>
      <c r="F3025" s="55" t="n"/>
      <c r="G3025" s="56" t="n"/>
      <c r="H3025" s="55" t="n"/>
      <c r="I3025" s="62" t="n"/>
      <c r="J3025" s="58" t="n"/>
      <c r="K3025" s="63">
        <f>IF(tblMovement[[#This Row],[Source]]="","",IFERROR(INDEX(tblSources[Type],MATCH(tblMovement[[#This Row],[Source]],tblSources[Source],0)),"?"))</f>
        <v/>
      </c>
      <c r="L3025" s="63">
        <f>IF(tblMovement[[#This Row],[Destination]]="","",IFERROR(INDEX(tblDestinations[Type],MATCH(tblMovement[[#This Row],[Destination]],tblDestinations[Destination],0)),"?"))</f>
        <v/>
      </c>
      <c r="M3025" s="64">
        <f>IF(tblMovement[[#This Row],[Material]]="","",IF(LEFT(tblMovement[[#This Row],[Material]],3)="Ore",1,0))</f>
        <v/>
      </c>
      <c r="N3025" s="59">
        <f>IF(OR(tblMovement[[#This Row],[Tonnes_t]]="",tblMovement[[#This Row],[Grade_gpt]]=""),0,tblMovement[[#This Row],[Tonnes_t]]*tblMovement[[#This Row],[Grade_gpt]]/cfg_TroyOz)</f>
        <v/>
      </c>
      <c r="O3025" s="59">
        <f>IF(tblMovement[[#This Row],[Is_Ore]]=1,tblMovement[[#This Row],[Contained_oz]],0)</f>
        <v/>
      </c>
    </row>
    <row r="3026">
      <c r="A3026" s="54" t="n"/>
      <c r="B3026" s="61" t="n"/>
      <c r="C3026" s="61" t="n"/>
      <c r="D3026" s="61" t="n"/>
      <c r="E3026" s="61" t="n"/>
      <c r="F3026" s="55" t="n"/>
      <c r="G3026" s="56" t="n"/>
      <c r="H3026" s="55" t="n"/>
      <c r="I3026" s="62" t="n"/>
      <c r="J3026" s="58" t="n"/>
      <c r="K3026" s="63">
        <f>IF(tblMovement[[#This Row],[Source]]="","",IFERROR(INDEX(tblSources[Type],MATCH(tblMovement[[#This Row],[Source]],tblSources[Source],0)),"?"))</f>
        <v/>
      </c>
      <c r="L3026" s="63">
        <f>IF(tblMovement[[#This Row],[Destination]]="","",IFERROR(INDEX(tblDestinations[Type],MATCH(tblMovement[[#This Row],[Destination]],tblDestinations[Destination],0)),"?"))</f>
        <v/>
      </c>
      <c r="M3026" s="64">
        <f>IF(tblMovement[[#This Row],[Material]]="","",IF(LEFT(tblMovement[[#This Row],[Material]],3)="Ore",1,0))</f>
        <v/>
      </c>
      <c r="N3026" s="59">
        <f>IF(OR(tblMovement[[#This Row],[Tonnes_t]]="",tblMovement[[#This Row],[Grade_gpt]]=""),0,tblMovement[[#This Row],[Tonnes_t]]*tblMovement[[#This Row],[Grade_gpt]]/cfg_TroyOz)</f>
        <v/>
      </c>
      <c r="O3026" s="59">
        <f>IF(tblMovement[[#This Row],[Is_Ore]]=1,tblMovement[[#This Row],[Contained_oz]],0)</f>
        <v/>
      </c>
    </row>
    <row r="3027">
      <c r="A3027" s="54" t="n"/>
      <c r="B3027" s="61" t="n"/>
      <c r="C3027" s="61" t="n"/>
      <c r="D3027" s="61" t="n"/>
      <c r="E3027" s="61" t="n"/>
      <c r="F3027" s="55" t="n"/>
      <c r="G3027" s="56" t="n"/>
      <c r="H3027" s="55" t="n"/>
      <c r="I3027" s="62" t="n"/>
      <c r="J3027" s="58" t="n"/>
      <c r="K3027" s="63">
        <f>IF(tblMovement[[#This Row],[Source]]="","",IFERROR(INDEX(tblSources[Type],MATCH(tblMovement[[#This Row],[Source]],tblSources[Source],0)),"?"))</f>
        <v/>
      </c>
      <c r="L3027" s="63">
        <f>IF(tblMovement[[#This Row],[Destination]]="","",IFERROR(INDEX(tblDestinations[Type],MATCH(tblMovement[[#This Row],[Destination]],tblDestinations[Destination],0)),"?"))</f>
        <v/>
      </c>
      <c r="M3027" s="64">
        <f>IF(tblMovement[[#This Row],[Material]]="","",IF(LEFT(tblMovement[[#This Row],[Material]],3)="Ore",1,0))</f>
        <v/>
      </c>
      <c r="N3027" s="59">
        <f>IF(OR(tblMovement[[#This Row],[Tonnes_t]]="",tblMovement[[#This Row],[Grade_gpt]]=""),0,tblMovement[[#This Row],[Tonnes_t]]*tblMovement[[#This Row],[Grade_gpt]]/cfg_TroyOz)</f>
        <v/>
      </c>
      <c r="O3027" s="59">
        <f>IF(tblMovement[[#This Row],[Is_Ore]]=1,tblMovement[[#This Row],[Contained_oz]],0)</f>
        <v/>
      </c>
    </row>
    <row r="3028">
      <c r="A3028" s="54" t="n"/>
      <c r="B3028" s="61" t="n"/>
      <c r="C3028" s="61" t="n"/>
      <c r="D3028" s="61" t="n"/>
      <c r="E3028" s="61" t="n"/>
      <c r="F3028" s="55" t="n"/>
      <c r="G3028" s="56" t="n"/>
      <c r="H3028" s="55" t="n"/>
      <c r="I3028" s="62" t="n"/>
      <c r="J3028" s="58" t="n"/>
      <c r="K3028" s="63">
        <f>IF(tblMovement[[#This Row],[Source]]="","",IFERROR(INDEX(tblSources[Type],MATCH(tblMovement[[#This Row],[Source]],tblSources[Source],0)),"?"))</f>
        <v/>
      </c>
      <c r="L3028" s="63">
        <f>IF(tblMovement[[#This Row],[Destination]]="","",IFERROR(INDEX(tblDestinations[Type],MATCH(tblMovement[[#This Row],[Destination]],tblDestinations[Destination],0)),"?"))</f>
        <v/>
      </c>
      <c r="M3028" s="64">
        <f>IF(tblMovement[[#This Row],[Material]]="","",IF(LEFT(tblMovement[[#This Row],[Material]],3)="Ore",1,0))</f>
        <v/>
      </c>
      <c r="N3028" s="59">
        <f>IF(OR(tblMovement[[#This Row],[Tonnes_t]]="",tblMovement[[#This Row],[Grade_gpt]]=""),0,tblMovement[[#This Row],[Tonnes_t]]*tblMovement[[#This Row],[Grade_gpt]]/cfg_TroyOz)</f>
        <v/>
      </c>
      <c r="O3028" s="59">
        <f>IF(tblMovement[[#This Row],[Is_Ore]]=1,tblMovement[[#This Row],[Contained_oz]],0)</f>
        <v/>
      </c>
    </row>
    <row r="3029">
      <c r="A3029" s="54" t="n"/>
      <c r="B3029" s="61" t="n"/>
      <c r="C3029" s="61" t="n"/>
      <c r="D3029" s="61" t="n"/>
      <c r="E3029" s="61" t="n"/>
      <c r="F3029" s="55" t="n"/>
      <c r="G3029" s="56" t="n"/>
      <c r="H3029" s="55" t="n"/>
      <c r="I3029" s="62" t="n"/>
      <c r="J3029" s="58" t="n"/>
      <c r="K3029" s="63">
        <f>IF(tblMovement[[#This Row],[Source]]="","",IFERROR(INDEX(tblSources[Type],MATCH(tblMovement[[#This Row],[Source]],tblSources[Source],0)),"?"))</f>
        <v/>
      </c>
      <c r="L3029" s="63">
        <f>IF(tblMovement[[#This Row],[Destination]]="","",IFERROR(INDEX(tblDestinations[Type],MATCH(tblMovement[[#This Row],[Destination]],tblDestinations[Destination],0)),"?"))</f>
        <v/>
      </c>
      <c r="M3029" s="64">
        <f>IF(tblMovement[[#This Row],[Material]]="","",IF(LEFT(tblMovement[[#This Row],[Material]],3)="Ore",1,0))</f>
        <v/>
      </c>
      <c r="N3029" s="59">
        <f>IF(OR(tblMovement[[#This Row],[Tonnes_t]]="",tblMovement[[#This Row],[Grade_gpt]]=""),0,tblMovement[[#This Row],[Tonnes_t]]*tblMovement[[#This Row],[Grade_gpt]]/cfg_TroyOz)</f>
        <v/>
      </c>
      <c r="O3029" s="59">
        <f>IF(tblMovement[[#This Row],[Is_Ore]]=1,tblMovement[[#This Row],[Contained_oz]],0)</f>
        <v/>
      </c>
    </row>
    <row r="3030">
      <c r="A3030" s="54" t="n"/>
      <c r="B3030" s="61" t="n"/>
      <c r="C3030" s="61" t="n"/>
      <c r="D3030" s="61" t="n"/>
      <c r="E3030" s="61" t="n"/>
      <c r="F3030" s="55" t="n"/>
      <c r="G3030" s="56" t="n"/>
      <c r="H3030" s="55" t="n"/>
      <c r="I3030" s="62" t="n"/>
      <c r="J3030" s="58" t="n"/>
      <c r="K3030" s="63">
        <f>IF(tblMovement[[#This Row],[Source]]="","",IFERROR(INDEX(tblSources[Type],MATCH(tblMovement[[#This Row],[Source]],tblSources[Source],0)),"?"))</f>
        <v/>
      </c>
      <c r="L3030" s="63">
        <f>IF(tblMovement[[#This Row],[Destination]]="","",IFERROR(INDEX(tblDestinations[Type],MATCH(tblMovement[[#This Row],[Destination]],tblDestinations[Destination],0)),"?"))</f>
        <v/>
      </c>
      <c r="M3030" s="64">
        <f>IF(tblMovement[[#This Row],[Material]]="","",IF(LEFT(tblMovement[[#This Row],[Material]],3)="Ore",1,0))</f>
        <v/>
      </c>
      <c r="N3030" s="59">
        <f>IF(OR(tblMovement[[#This Row],[Tonnes_t]]="",tblMovement[[#This Row],[Grade_gpt]]=""),0,tblMovement[[#This Row],[Tonnes_t]]*tblMovement[[#This Row],[Grade_gpt]]/cfg_TroyOz)</f>
        <v/>
      </c>
      <c r="O3030" s="59">
        <f>IF(tblMovement[[#This Row],[Is_Ore]]=1,tblMovement[[#This Row],[Contained_oz]],0)</f>
        <v/>
      </c>
    </row>
    <row r="3031">
      <c r="A3031" s="54" t="n"/>
      <c r="B3031" s="61" t="n"/>
      <c r="C3031" s="61" t="n"/>
      <c r="D3031" s="61" t="n"/>
      <c r="E3031" s="61" t="n"/>
      <c r="F3031" s="55" t="n"/>
      <c r="G3031" s="56" t="n"/>
      <c r="H3031" s="55" t="n"/>
      <c r="I3031" s="62" t="n"/>
      <c r="J3031" s="58" t="n"/>
      <c r="K3031" s="63">
        <f>IF(tblMovement[[#This Row],[Source]]="","",IFERROR(INDEX(tblSources[Type],MATCH(tblMovement[[#This Row],[Source]],tblSources[Source],0)),"?"))</f>
        <v/>
      </c>
      <c r="L3031" s="63">
        <f>IF(tblMovement[[#This Row],[Destination]]="","",IFERROR(INDEX(tblDestinations[Type],MATCH(tblMovement[[#This Row],[Destination]],tblDestinations[Destination],0)),"?"))</f>
        <v/>
      </c>
      <c r="M3031" s="64">
        <f>IF(tblMovement[[#This Row],[Material]]="","",IF(LEFT(tblMovement[[#This Row],[Material]],3)="Ore",1,0))</f>
        <v/>
      </c>
      <c r="N3031" s="59">
        <f>IF(OR(tblMovement[[#This Row],[Tonnes_t]]="",tblMovement[[#This Row],[Grade_gpt]]=""),0,tblMovement[[#This Row],[Tonnes_t]]*tblMovement[[#This Row],[Grade_gpt]]/cfg_TroyOz)</f>
        <v/>
      </c>
      <c r="O3031" s="59">
        <f>IF(tblMovement[[#This Row],[Is_Ore]]=1,tblMovement[[#This Row],[Contained_oz]],0)</f>
        <v/>
      </c>
    </row>
    <row r="3032">
      <c r="A3032" s="54" t="n"/>
      <c r="B3032" s="61" t="n"/>
      <c r="C3032" s="61" t="n"/>
      <c r="D3032" s="61" t="n"/>
      <c r="E3032" s="61" t="n"/>
      <c r="F3032" s="55" t="n"/>
      <c r="G3032" s="56" t="n"/>
      <c r="H3032" s="55" t="n"/>
      <c r="I3032" s="62" t="n"/>
      <c r="J3032" s="58" t="n"/>
      <c r="K3032" s="63">
        <f>IF(tblMovement[[#This Row],[Source]]="","",IFERROR(INDEX(tblSources[Type],MATCH(tblMovement[[#This Row],[Source]],tblSources[Source],0)),"?"))</f>
        <v/>
      </c>
      <c r="L3032" s="63">
        <f>IF(tblMovement[[#This Row],[Destination]]="","",IFERROR(INDEX(tblDestinations[Type],MATCH(tblMovement[[#This Row],[Destination]],tblDestinations[Destination],0)),"?"))</f>
        <v/>
      </c>
      <c r="M3032" s="64">
        <f>IF(tblMovement[[#This Row],[Material]]="","",IF(LEFT(tblMovement[[#This Row],[Material]],3)="Ore",1,0))</f>
        <v/>
      </c>
      <c r="N3032" s="59">
        <f>IF(OR(tblMovement[[#This Row],[Tonnes_t]]="",tblMovement[[#This Row],[Grade_gpt]]=""),0,tblMovement[[#This Row],[Tonnes_t]]*tblMovement[[#This Row],[Grade_gpt]]/cfg_TroyOz)</f>
        <v/>
      </c>
      <c r="O3032" s="59">
        <f>IF(tblMovement[[#This Row],[Is_Ore]]=1,tblMovement[[#This Row],[Contained_oz]],0)</f>
        <v/>
      </c>
    </row>
    <row r="3033">
      <c r="A3033" s="54" t="n"/>
      <c r="B3033" s="61" t="n"/>
      <c r="C3033" s="61" t="n"/>
      <c r="D3033" s="61" t="n"/>
      <c r="E3033" s="61" t="n"/>
      <c r="F3033" s="55" t="n"/>
      <c r="G3033" s="56" t="n"/>
      <c r="H3033" s="55" t="n"/>
      <c r="I3033" s="62" t="n"/>
      <c r="J3033" s="58" t="n"/>
      <c r="K3033" s="63">
        <f>IF(tblMovement[[#This Row],[Source]]="","",IFERROR(INDEX(tblSources[Type],MATCH(tblMovement[[#This Row],[Source]],tblSources[Source],0)),"?"))</f>
        <v/>
      </c>
      <c r="L3033" s="63">
        <f>IF(tblMovement[[#This Row],[Destination]]="","",IFERROR(INDEX(tblDestinations[Type],MATCH(tblMovement[[#This Row],[Destination]],tblDestinations[Destination],0)),"?"))</f>
        <v/>
      </c>
      <c r="M3033" s="64">
        <f>IF(tblMovement[[#This Row],[Material]]="","",IF(LEFT(tblMovement[[#This Row],[Material]],3)="Ore",1,0))</f>
        <v/>
      </c>
      <c r="N3033" s="59">
        <f>IF(OR(tblMovement[[#This Row],[Tonnes_t]]="",tblMovement[[#This Row],[Grade_gpt]]=""),0,tblMovement[[#This Row],[Tonnes_t]]*tblMovement[[#This Row],[Grade_gpt]]/cfg_TroyOz)</f>
        <v/>
      </c>
      <c r="O3033" s="59">
        <f>IF(tblMovement[[#This Row],[Is_Ore]]=1,tblMovement[[#This Row],[Contained_oz]],0)</f>
        <v/>
      </c>
    </row>
    <row r="3034">
      <c r="A3034" s="54" t="n"/>
      <c r="B3034" s="61" t="n"/>
      <c r="C3034" s="61" t="n"/>
      <c r="D3034" s="61" t="n"/>
      <c r="E3034" s="61" t="n"/>
      <c r="F3034" s="55" t="n"/>
      <c r="G3034" s="56" t="n"/>
      <c r="H3034" s="55" t="n"/>
      <c r="I3034" s="62" t="n"/>
      <c r="J3034" s="58" t="n"/>
      <c r="K3034" s="63">
        <f>IF(tblMovement[[#This Row],[Source]]="","",IFERROR(INDEX(tblSources[Type],MATCH(tblMovement[[#This Row],[Source]],tblSources[Source],0)),"?"))</f>
        <v/>
      </c>
      <c r="L3034" s="63">
        <f>IF(tblMovement[[#This Row],[Destination]]="","",IFERROR(INDEX(tblDestinations[Type],MATCH(tblMovement[[#This Row],[Destination]],tblDestinations[Destination],0)),"?"))</f>
        <v/>
      </c>
      <c r="M3034" s="64">
        <f>IF(tblMovement[[#This Row],[Material]]="","",IF(LEFT(tblMovement[[#This Row],[Material]],3)="Ore",1,0))</f>
        <v/>
      </c>
      <c r="N3034" s="59">
        <f>IF(OR(tblMovement[[#This Row],[Tonnes_t]]="",tblMovement[[#This Row],[Grade_gpt]]=""),0,tblMovement[[#This Row],[Tonnes_t]]*tblMovement[[#This Row],[Grade_gpt]]/cfg_TroyOz)</f>
        <v/>
      </c>
      <c r="O3034" s="59">
        <f>IF(tblMovement[[#This Row],[Is_Ore]]=1,tblMovement[[#This Row],[Contained_oz]],0)</f>
        <v/>
      </c>
    </row>
    <row r="3035">
      <c r="A3035" s="54" t="n"/>
      <c r="B3035" s="61" t="n"/>
      <c r="C3035" s="61" t="n"/>
      <c r="D3035" s="61" t="n"/>
      <c r="E3035" s="61" t="n"/>
      <c r="F3035" s="55" t="n"/>
      <c r="G3035" s="56" t="n"/>
      <c r="H3035" s="55" t="n"/>
      <c r="I3035" s="62" t="n"/>
      <c r="J3035" s="58" t="n"/>
      <c r="K3035" s="63">
        <f>IF(tblMovement[[#This Row],[Source]]="","",IFERROR(INDEX(tblSources[Type],MATCH(tblMovement[[#This Row],[Source]],tblSources[Source],0)),"?"))</f>
        <v/>
      </c>
      <c r="L3035" s="63">
        <f>IF(tblMovement[[#This Row],[Destination]]="","",IFERROR(INDEX(tblDestinations[Type],MATCH(tblMovement[[#This Row],[Destination]],tblDestinations[Destination],0)),"?"))</f>
        <v/>
      </c>
      <c r="M3035" s="64">
        <f>IF(tblMovement[[#This Row],[Material]]="","",IF(LEFT(tblMovement[[#This Row],[Material]],3)="Ore",1,0))</f>
        <v/>
      </c>
      <c r="N3035" s="59">
        <f>IF(OR(tblMovement[[#This Row],[Tonnes_t]]="",tblMovement[[#This Row],[Grade_gpt]]=""),0,tblMovement[[#This Row],[Tonnes_t]]*tblMovement[[#This Row],[Grade_gpt]]/cfg_TroyOz)</f>
        <v/>
      </c>
      <c r="O3035" s="59">
        <f>IF(tblMovement[[#This Row],[Is_Ore]]=1,tblMovement[[#This Row],[Contained_oz]],0)</f>
        <v/>
      </c>
    </row>
    <row r="3036">
      <c r="A3036" s="54" t="n"/>
      <c r="B3036" s="61" t="n"/>
      <c r="C3036" s="61" t="n"/>
      <c r="D3036" s="61" t="n"/>
      <c r="E3036" s="61" t="n"/>
      <c r="F3036" s="55" t="n"/>
      <c r="G3036" s="56" t="n"/>
      <c r="H3036" s="55" t="n"/>
      <c r="I3036" s="62" t="n"/>
      <c r="J3036" s="58" t="n"/>
      <c r="K3036" s="63">
        <f>IF(tblMovement[[#This Row],[Source]]="","",IFERROR(INDEX(tblSources[Type],MATCH(tblMovement[[#This Row],[Source]],tblSources[Source],0)),"?"))</f>
        <v/>
      </c>
      <c r="L3036" s="63">
        <f>IF(tblMovement[[#This Row],[Destination]]="","",IFERROR(INDEX(tblDestinations[Type],MATCH(tblMovement[[#This Row],[Destination]],tblDestinations[Destination],0)),"?"))</f>
        <v/>
      </c>
      <c r="M3036" s="64">
        <f>IF(tblMovement[[#This Row],[Material]]="","",IF(LEFT(tblMovement[[#This Row],[Material]],3)="Ore",1,0))</f>
        <v/>
      </c>
      <c r="N3036" s="59">
        <f>IF(OR(tblMovement[[#This Row],[Tonnes_t]]="",tblMovement[[#This Row],[Grade_gpt]]=""),0,tblMovement[[#This Row],[Tonnes_t]]*tblMovement[[#This Row],[Grade_gpt]]/cfg_TroyOz)</f>
        <v/>
      </c>
      <c r="O3036" s="59">
        <f>IF(tblMovement[[#This Row],[Is_Ore]]=1,tblMovement[[#This Row],[Contained_oz]],0)</f>
        <v/>
      </c>
    </row>
    <row r="3037">
      <c r="A3037" s="54" t="n"/>
      <c r="B3037" s="61" t="n"/>
      <c r="C3037" s="61" t="n"/>
      <c r="D3037" s="61" t="n"/>
      <c r="E3037" s="61" t="n"/>
      <c r="F3037" s="55" t="n"/>
      <c r="G3037" s="56" t="n"/>
      <c r="H3037" s="55" t="n"/>
      <c r="I3037" s="62" t="n"/>
      <c r="J3037" s="58" t="n"/>
      <c r="K3037" s="63">
        <f>IF(tblMovement[[#This Row],[Source]]="","",IFERROR(INDEX(tblSources[Type],MATCH(tblMovement[[#This Row],[Source]],tblSources[Source],0)),"?"))</f>
        <v/>
      </c>
      <c r="L3037" s="63">
        <f>IF(tblMovement[[#This Row],[Destination]]="","",IFERROR(INDEX(tblDestinations[Type],MATCH(tblMovement[[#This Row],[Destination]],tblDestinations[Destination],0)),"?"))</f>
        <v/>
      </c>
      <c r="M3037" s="64">
        <f>IF(tblMovement[[#This Row],[Material]]="","",IF(LEFT(tblMovement[[#This Row],[Material]],3)="Ore",1,0))</f>
        <v/>
      </c>
      <c r="N3037" s="59">
        <f>IF(OR(tblMovement[[#This Row],[Tonnes_t]]="",tblMovement[[#This Row],[Grade_gpt]]=""),0,tblMovement[[#This Row],[Tonnes_t]]*tblMovement[[#This Row],[Grade_gpt]]/cfg_TroyOz)</f>
        <v/>
      </c>
      <c r="O3037" s="59">
        <f>IF(tblMovement[[#This Row],[Is_Ore]]=1,tblMovement[[#This Row],[Contained_oz]],0)</f>
        <v/>
      </c>
    </row>
    <row r="3038">
      <c r="A3038" s="54" t="n"/>
      <c r="B3038" s="61" t="n"/>
      <c r="C3038" s="61" t="n"/>
      <c r="D3038" s="61" t="n"/>
      <c r="E3038" s="61" t="n"/>
      <c r="F3038" s="55" t="n"/>
      <c r="G3038" s="56" t="n"/>
      <c r="H3038" s="55" t="n"/>
      <c r="I3038" s="62" t="n"/>
      <c r="J3038" s="58" t="n"/>
      <c r="K3038" s="63">
        <f>IF(tblMovement[[#This Row],[Source]]="","",IFERROR(INDEX(tblSources[Type],MATCH(tblMovement[[#This Row],[Source]],tblSources[Source],0)),"?"))</f>
        <v/>
      </c>
      <c r="L3038" s="63">
        <f>IF(tblMovement[[#This Row],[Destination]]="","",IFERROR(INDEX(tblDestinations[Type],MATCH(tblMovement[[#This Row],[Destination]],tblDestinations[Destination],0)),"?"))</f>
        <v/>
      </c>
      <c r="M3038" s="64">
        <f>IF(tblMovement[[#This Row],[Material]]="","",IF(LEFT(tblMovement[[#This Row],[Material]],3)="Ore",1,0))</f>
        <v/>
      </c>
      <c r="N3038" s="59">
        <f>IF(OR(tblMovement[[#This Row],[Tonnes_t]]="",tblMovement[[#This Row],[Grade_gpt]]=""),0,tblMovement[[#This Row],[Tonnes_t]]*tblMovement[[#This Row],[Grade_gpt]]/cfg_TroyOz)</f>
        <v/>
      </c>
      <c r="O3038" s="59">
        <f>IF(tblMovement[[#This Row],[Is_Ore]]=1,tblMovement[[#This Row],[Contained_oz]],0)</f>
        <v/>
      </c>
    </row>
    <row r="3039">
      <c r="A3039" s="54" t="n"/>
      <c r="B3039" s="61" t="n"/>
      <c r="C3039" s="61" t="n"/>
      <c r="D3039" s="61" t="n"/>
      <c r="E3039" s="61" t="n"/>
      <c r="F3039" s="55" t="n"/>
      <c r="G3039" s="56" t="n"/>
      <c r="H3039" s="55" t="n"/>
      <c r="I3039" s="62" t="n"/>
      <c r="J3039" s="58" t="n"/>
      <c r="K3039" s="63">
        <f>IF(tblMovement[[#This Row],[Source]]="","",IFERROR(INDEX(tblSources[Type],MATCH(tblMovement[[#This Row],[Source]],tblSources[Source],0)),"?"))</f>
        <v/>
      </c>
      <c r="L3039" s="63">
        <f>IF(tblMovement[[#This Row],[Destination]]="","",IFERROR(INDEX(tblDestinations[Type],MATCH(tblMovement[[#This Row],[Destination]],tblDestinations[Destination],0)),"?"))</f>
        <v/>
      </c>
      <c r="M3039" s="64">
        <f>IF(tblMovement[[#This Row],[Material]]="","",IF(LEFT(tblMovement[[#This Row],[Material]],3)="Ore",1,0))</f>
        <v/>
      </c>
      <c r="N3039" s="59">
        <f>IF(OR(tblMovement[[#This Row],[Tonnes_t]]="",tblMovement[[#This Row],[Grade_gpt]]=""),0,tblMovement[[#This Row],[Tonnes_t]]*tblMovement[[#This Row],[Grade_gpt]]/cfg_TroyOz)</f>
        <v/>
      </c>
      <c r="O3039" s="59">
        <f>IF(tblMovement[[#This Row],[Is_Ore]]=1,tblMovement[[#This Row],[Contained_oz]],0)</f>
        <v/>
      </c>
    </row>
    <row r="3040">
      <c r="A3040" s="54" t="n"/>
      <c r="B3040" s="61" t="n"/>
      <c r="C3040" s="61" t="n"/>
      <c r="D3040" s="61" t="n"/>
      <c r="E3040" s="61" t="n"/>
      <c r="F3040" s="55" t="n"/>
      <c r="G3040" s="56" t="n"/>
      <c r="H3040" s="55" t="n"/>
      <c r="I3040" s="62" t="n"/>
      <c r="J3040" s="58" t="n"/>
      <c r="K3040" s="63">
        <f>IF(tblMovement[[#This Row],[Source]]="","",IFERROR(INDEX(tblSources[Type],MATCH(tblMovement[[#This Row],[Source]],tblSources[Source],0)),"?"))</f>
        <v/>
      </c>
      <c r="L3040" s="63">
        <f>IF(tblMovement[[#This Row],[Destination]]="","",IFERROR(INDEX(tblDestinations[Type],MATCH(tblMovement[[#This Row],[Destination]],tblDestinations[Destination],0)),"?"))</f>
        <v/>
      </c>
      <c r="M3040" s="64">
        <f>IF(tblMovement[[#This Row],[Material]]="","",IF(LEFT(tblMovement[[#This Row],[Material]],3)="Ore",1,0))</f>
        <v/>
      </c>
      <c r="N3040" s="59">
        <f>IF(OR(tblMovement[[#This Row],[Tonnes_t]]="",tblMovement[[#This Row],[Grade_gpt]]=""),0,tblMovement[[#This Row],[Tonnes_t]]*tblMovement[[#This Row],[Grade_gpt]]/cfg_TroyOz)</f>
        <v/>
      </c>
      <c r="O3040" s="59">
        <f>IF(tblMovement[[#This Row],[Is_Ore]]=1,tblMovement[[#This Row],[Contained_oz]],0)</f>
        <v/>
      </c>
    </row>
    <row r="3041">
      <c r="A3041" s="54" t="n"/>
      <c r="B3041" s="61" t="n"/>
      <c r="C3041" s="61" t="n"/>
      <c r="D3041" s="61" t="n"/>
      <c r="E3041" s="61" t="n"/>
      <c r="F3041" s="55" t="n"/>
      <c r="G3041" s="56" t="n"/>
      <c r="H3041" s="55" t="n"/>
      <c r="I3041" s="62" t="n"/>
      <c r="J3041" s="58" t="n"/>
      <c r="K3041" s="63">
        <f>IF(tblMovement[[#This Row],[Source]]="","",IFERROR(INDEX(tblSources[Type],MATCH(tblMovement[[#This Row],[Source]],tblSources[Source],0)),"?"))</f>
        <v/>
      </c>
      <c r="L3041" s="63">
        <f>IF(tblMovement[[#This Row],[Destination]]="","",IFERROR(INDEX(tblDestinations[Type],MATCH(tblMovement[[#This Row],[Destination]],tblDestinations[Destination],0)),"?"))</f>
        <v/>
      </c>
      <c r="M3041" s="64">
        <f>IF(tblMovement[[#This Row],[Material]]="","",IF(LEFT(tblMovement[[#This Row],[Material]],3)="Ore",1,0))</f>
        <v/>
      </c>
      <c r="N3041" s="59">
        <f>IF(OR(tblMovement[[#This Row],[Tonnes_t]]="",tblMovement[[#This Row],[Grade_gpt]]=""),0,tblMovement[[#This Row],[Tonnes_t]]*tblMovement[[#This Row],[Grade_gpt]]/cfg_TroyOz)</f>
        <v/>
      </c>
      <c r="O3041" s="59">
        <f>IF(tblMovement[[#This Row],[Is_Ore]]=1,tblMovement[[#This Row],[Contained_oz]],0)</f>
        <v/>
      </c>
    </row>
    <row r="3042">
      <c r="A3042" s="54" t="n"/>
      <c r="B3042" s="61" t="n"/>
      <c r="C3042" s="61" t="n"/>
      <c r="D3042" s="61" t="n"/>
      <c r="E3042" s="61" t="n"/>
      <c r="F3042" s="55" t="n"/>
      <c r="G3042" s="56" t="n"/>
      <c r="H3042" s="55" t="n"/>
      <c r="I3042" s="62" t="n"/>
      <c r="J3042" s="58" t="n"/>
      <c r="K3042" s="63">
        <f>IF(tblMovement[[#This Row],[Source]]="","",IFERROR(INDEX(tblSources[Type],MATCH(tblMovement[[#This Row],[Source]],tblSources[Source],0)),"?"))</f>
        <v/>
      </c>
      <c r="L3042" s="63">
        <f>IF(tblMovement[[#This Row],[Destination]]="","",IFERROR(INDEX(tblDestinations[Type],MATCH(tblMovement[[#This Row],[Destination]],tblDestinations[Destination],0)),"?"))</f>
        <v/>
      </c>
      <c r="M3042" s="64">
        <f>IF(tblMovement[[#This Row],[Material]]="","",IF(LEFT(tblMovement[[#This Row],[Material]],3)="Ore",1,0))</f>
        <v/>
      </c>
      <c r="N3042" s="59">
        <f>IF(OR(tblMovement[[#This Row],[Tonnes_t]]="",tblMovement[[#This Row],[Grade_gpt]]=""),0,tblMovement[[#This Row],[Tonnes_t]]*tblMovement[[#This Row],[Grade_gpt]]/cfg_TroyOz)</f>
        <v/>
      </c>
      <c r="O3042" s="59">
        <f>IF(tblMovement[[#This Row],[Is_Ore]]=1,tblMovement[[#This Row],[Contained_oz]],0)</f>
        <v/>
      </c>
    </row>
    <row r="3043">
      <c r="A3043" s="54" t="n"/>
      <c r="B3043" s="61" t="n"/>
      <c r="C3043" s="61" t="n"/>
      <c r="D3043" s="61" t="n"/>
      <c r="E3043" s="61" t="n"/>
      <c r="F3043" s="55" t="n"/>
      <c r="G3043" s="56" t="n"/>
      <c r="H3043" s="55" t="n"/>
      <c r="I3043" s="62" t="n"/>
      <c r="J3043" s="58" t="n"/>
      <c r="K3043" s="63">
        <f>IF(tblMovement[[#This Row],[Source]]="","",IFERROR(INDEX(tblSources[Type],MATCH(tblMovement[[#This Row],[Source]],tblSources[Source],0)),"?"))</f>
        <v/>
      </c>
      <c r="L3043" s="63">
        <f>IF(tblMovement[[#This Row],[Destination]]="","",IFERROR(INDEX(tblDestinations[Type],MATCH(tblMovement[[#This Row],[Destination]],tblDestinations[Destination],0)),"?"))</f>
        <v/>
      </c>
      <c r="M3043" s="64">
        <f>IF(tblMovement[[#This Row],[Material]]="","",IF(LEFT(tblMovement[[#This Row],[Material]],3)="Ore",1,0))</f>
        <v/>
      </c>
      <c r="N3043" s="59">
        <f>IF(OR(tblMovement[[#This Row],[Tonnes_t]]="",tblMovement[[#This Row],[Grade_gpt]]=""),0,tblMovement[[#This Row],[Tonnes_t]]*tblMovement[[#This Row],[Grade_gpt]]/cfg_TroyOz)</f>
        <v/>
      </c>
      <c r="O3043" s="59">
        <f>IF(tblMovement[[#This Row],[Is_Ore]]=1,tblMovement[[#This Row],[Contained_oz]],0)</f>
        <v/>
      </c>
    </row>
    <row r="3044">
      <c r="A3044" s="54" t="n"/>
      <c r="B3044" s="61" t="n"/>
      <c r="C3044" s="61" t="n"/>
      <c r="D3044" s="61" t="n"/>
      <c r="E3044" s="61" t="n"/>
      <c r="F3044" s="55" t="n"/>
      <c r="G3044" s="56" t="n"/>
      <c r="H3044" s="55" t="n"/>
      <c r="I3044" s="62" t="n"/>
      <c r="J3044" s="58" t="n"/>
      <c r="K3044" s="63">
        <f>IF(tblMovement[[#This Row],[Source]]="","",IFERROR(INDEX(tblSources[Type],MATCH(tblMovement[[#This Row],[Source]],tblSources[Source],0)),"?"))</f>
        <v/>
      </c>
      <c r="L3044" s="63">
        <f>IF(tblMovement[[#This Row],[Destination]]="","",IFERROR(INDEX(tblDestinations[Type],MATCH(tblMovement[[#This Row],[Destination]],tblDestinations[Destination],0)),"?"))</f>
        <v/>
      </c>
      <c r="M3044" s="64">
        <f>IF(tblMovement[[#This Row],[Material]]="","",IF(LEFT(tblMovement[[#This Row],[Material]],3)="Ore",1,0))</f>
        <v/>
      </c>
      <c r="N3044" s="59">
        <f>IF(OR(tblMovement[[#This Row],[Tonnes_t]]="",tblMovement[[#This Row],[Grade_gpt]]=""),0,tblMovement[[#This Row],[Tonnes_t]]*tblMovement[[#This Row],[Grade_gpt]]/cfg_TroyOz)</f>
        <v/>
      </c>
      <c r="O3044" s="59">
        <f>IF(tblMovement[[#This Row],[Is_Ore]]=1,tblMovement[[#This Row],[Contained_oz]],0)</f>
        <v/>
      </c>
    </row>
    <row r="3045">
      <c r="A3045" s="54" t="n"/>
      <c r="B3045" s="61" t="n"/>
      <c r="C3045" s="61" t="n"/>
      <c r="D3045" s="61" t="n"/>
      <c r="E3045" s="61" t="n"/>
      <c r="F3045" s="55" t="n"/>
      <c r="G3045" s="56" t="n"/>
      <c r="H3045" s="55" t="n"/>
      <c r="I3045" s="62" t="n"/>
      <c r="J3045" s="58" t="n"/>
      <c r="K3045" s="63">
        <f>IF(tblMovement[[#This Row],[Source]]="","",IFERROR(INDEX(tblSources[Type],MATCH(tblMovement[[#This Row],[Source]],tblSources[Source],0)),"?"))</f>
        <v/>
      </c>
      <c r="L3045" s="63">
        <f>IF(tblMovement[[#This Row],[Destination]]="","",IFERROR(INDEX(tblDestinations[Type],MATCH(tblMovement[[#This Row],[Destination]],tblDestinations[Destination],0)),"?"))</f>
        <v/>
      </c>
      <c r="M3045" s="64">
        <f>IF(tblMovement[[#This Row],[Material]]="","",IF(LEFT(tblMovement[[#This Row],[Material]],3)="Ore",1,0))</f>
        <v/>
      </c>
      <c r="N3045" s="59">
        <f>IF(OR(tblMovement[[#This Row],[Tonnes_t]]="",tblMovement[[#This Row],[Grade_gpt]]=""),0,tblMovement[[#This Row],[Tonnes_t]]*tblMovement[[#This Row],[Grade_gpt]]/cfg_TroyOz)</f>
        <v/>
      </c>
      <c r="O3045" s="59">
        <f>IF(tblMovement[[#This Row],[Is_Ore]]=1,tblMovement[[#This Row],[Contained_oz]],0)</f>
        <v/>
      </c>
    </row>
    <row r="3046">
      <c r="A3046" s="54" t="n"/>
      <c r="B3046" s="61" t="n"/>
      <c r="C3046" s="61" t="n"/>
      <c r="D3046" s="61" t="n"/>
      <c r="E3046" s="61" t="n"/>
      <c r="F3046" s="55" t="n"/>
      <c r="G3046" s="56" t="n"/>
      <c r="H3046" s="55" t="n"/>
      <c r="I3046" s="62" t="n"/>
      <c r="J3046" s="58" t="n"/>
      <c r="K3046" s="63">
        <f>IF(tblMovement[[#This Row],[Source]]="","",IFERROR(INDEX(tblSources[Type],MATCH(tblMovement[[#This Row],[Source]],tblSources[Source],0)),"?"))</f>
        <v/>
      </c>
      <c r="L3046" s="63">
        <f>IF(tblMovement[[#This Row],[Destination]]="","",IFERROR(INDEX(tblDestinations[Type],MATCH(tblMovement[[#This Row],[Destination]],tblDestinations[Destination],0)),"?"))</f>
        <v/>
      </c>
      <c r="M3046" s="64">
        <f>IF(tblMovement[[#This Row],[Material]]="","",IF(LEFT(tblMovement[[#This Row],[Material]],3)="Ore",1,0))</f>
        <v/>
      </c>
      <c r="N3046" s="59">
        <f>IF(OR(tblMovement[[#This Row],[Tonnes_t]]="",tblMovement[[#This Row],[Grade_gpt]]=""),0,tblMovement[[#This Row],[Tonnes_t]]*tblMovement[[#This Row],[Grade_gpt]]/cfg_TroyOz)</f>
        <v/>
      </c>
      <c r="O3046" s="59">
        <f>IF(tblMovement[[#This Row],[Is_Ore]]=1,tblMovement[[#This Row],[Contained_oz]],0)</f>
        <v/>
      </c>
    </row>
    <row r="3047">
      <c r="A3047" s="54" t="n"/>
      <c r="B3047" s="61" t="n"/>
      <c r="C3047" s="61" t="n"/>
      <c r="D3047" s="61" t="n"/>
      <c r="E3047" s="61" t="n"/>
      <c r="F3047" s="55" t="n"/>
      <c r="G3047" s="56" t="n"/>
      <c r="H3047" s="55" t="n"/>
      <c r="I3047" s="62" t="n"/>
      <c r="J3047" s="58" t="n"/>
      <c r="K3047" s="63">
        <f>IF(tblMovement[[#This Row],[Source]]="","",IFERROR(INDEX(tblSources[Type],MATCH(tblMovement[[#This Row],[Source]],tblSources[Source],0)),"?"))</f>
        <v/>
      </c>
      <c r="L3047" s="63">
        <f>IF(tblMovement[[#This Row],[Destination]]="","",IFERROR(INDEX(tblDestinations[Type],MATCH(tblMovement[[#This Row],[Destination]],tblDestinations[Destination],0)),"?"))</f>
        <v/>
      </c>
      <c r="M3047" s="64">
        <f>IF(tblMovement[[#This Row],[Material]]="","",IF(LEFT(tblMovement[[#This Row],[Material]],3)="Ore",1,0))</f>
        <v/>
      </c>
      <c r="N3047" s="59">
        <f>IF(OR(tblMovement[[#This Row],[Tonnes_t]]="",tblMovement[[#This Row],[Grade_gpt]]=""),0,tblMovement[[#This Row],[Tonnes_t]]*tblMovement[[#This Row],[Grade_gpt]]/cfg_TroyOz)</f>
        <v/>
      </c>
      <c r="O3047" s="59">
        <f>IF(tblMovement[[#This Row],[Is_Ore]]=1,tblMovement[[#This Row],[Contained_oz]],0)</f>
        <v/>
      </c>
    </row>
    <row r="3048">
      <c r="A3048" s="54" t="n"/>
      <c r="B3048" s="61" t="n"/>
      <c r="C3048" s="61" t="n"/>
      <c r="D3048" s="61" t="n"/>
      <c r="E3048" s="61" t="n"/>
      <c r="F3048" s="55" t="n"/>
      <c r="G3048" s="56" t="n"/>
      <c r="H3048" s="55" t="n"/>
      <c r="I3048" s="62" t="n"/>
      <c r="J3048" s="58" t="n"/>
      <c r="K3048" s="63">
        <f>IF(tblMovement[[#This Row],[Source]]="","",IFERROR(INDEX(tblSources[Type],MATCH(tblMovement[[#This Row],[Source]],tblSources[Source],0)),"?"))</f>
        <v/>
      </c>
      <c r="L3048" s="63">
        <f>IF(tblMovement[[#This Row],[Destination]]="","",IFERROR(INDEX(tblDestinations[Type],MATCH(tblMovement[[#This Row],[Destination]],tblDestinations[Destination],0)),"?"))</f>
        <v/>
      </c>
      <c r="M3048" s="64">
        <f>IF(tblMovement[[#This Row],[Material]]="","",IF(LEFT(tblMovement[[#This Row],[Material]],3)="Ore",1,0))</f>
        <v/>
      </c>
      <c r="N3048" s="59">
        <f>IF(OR(tblMovement[[#This Row],[Tonnes_t]]="",tblMovement[[#This Row],[Grade_gpt]]=""),0,tblMovement[[#This Row],[Tonnes_t]]*tblMovement[[#This Row],[Grade_gpt]]/cfg_TroyOz)</f>
        <v/>
      </c>
      <c r="O3048" s="59">
        <f>IF(tblMovement[[#This Row],[Is_Ore]]=1,tblMovement[[#This Row],[Contained_oz]],0)</f>
        <v/>
      </c>
    </row>
    <row r="3049">
      <c r="A3049" s="54" t="n"/>
      <c r="B3049" s="61" t="n"/>
      <c r="C3049" s="61" t="n"/>
      <c r="D3049" s="61" t="n"/>
      <c r="E3049" s="61" t="n"/>
      <c r="F3049" s="55" t="n"/>
      <c r="G3049" s="56" t="n"/>
      <c r="H3049" s="55" t="n"/>
      <c r="I3049" s="62" t="n"/>
      <c r="J3049" s="58" t="n"/>
      <c r="K3049" s="63">
        <f>IF(tblMovement[[#This Row],[Source]]="","",IFERROR(INDEX(tblSources[Type],MATCH(tblMovement[[#This Row],[Source]],tblSources[Source],0)),"?"))</f>
        <v/>
      </c>
      <c r="L3049" s="63">
        <f>IF(tblMovement[[#This Row],[Destination]]="","",IFERROR(INDEX(tblDestinations[Type],MATCH(tblMovement[[#This Row],[Destination]],tblDestinations[Destination],0)),"?"))</f>
        <v/>
      </c>
      <c r="M3049" s="64">
        <f>IF(tblMovement[[#This Row],[Material]]="","",IF(LEFT(tblMovement[[#This Row],[Material]],3)="Ore",1,0))</f>
        <v/>
      </c>
      <c r="N3049" s="59">
        <f>IF(OR(tblMovement[[#This Row],[Tonnes_t]]="",tblMovement[[#This Row],[Grade_gpt]]=""),0,tblMovement[[#This Row],[Tonnes_t]]*tblMovement[[#This Row],[Grade_gpt]]/cfg_TroyOz)</f>
        <v/>
      </c>
      <c r="O3049" s="59">
        <f>IF(tblMovement[[#This Row],[Is_Ore]]=1,tblMovement[[#This Row],[Contained_oz]],0)</f>
        <v/>
      </c>
    </row>
    <row r="3050">
      <c r="A3050" s="54" t="n"/>
      <c r="B3050" s="61" t="n"/>
      <c r="C3050" s="61" t="n"/>
      <c r="D3050" s="61" t="n"/>
      <c r="E3050" s="61" t="n"/>
      <c r="F3050" s="55" t="n"/>
      <c r="G3050" s="56" t="n"/>
      <c r="H3050" s="55" t="n"/>
      <c r="I3050" s="62" t="n"/>
      <c r="J3050" s="58" t="n"/>
      <c r="K3050" s="63">
        <f>IF(tblMovement[[#This Row],[Source]]="","",IFERROR(INDEX(tblSources[Type],MATCH(tblMovement[[#This Row],[Source]],tblSources[Source],0)),"?"))</f>
        <v/>
      </c>
      <c r="L3050" s="63">
        <f>IF(tblMovement[[#This Row],[Destination]]="","",IFERROR(INDEX(tblDestinations[Type],MATCH(tblMovement[[#This Row],[Destination]],tblDestinations[Destination],0)),"?"))</f>
        <v/>
      </c>
      <c r="M3050" s="64">
        <f>IF(tblMovement[[#This Row],[Material]]="","",IF(LEFT(tblMovement[[#This Row],[Material]],3)="Ore",1,0))</f>
        <v/>
      </c>
      <c r="N3050" s="59">
        <f>IF(OR(tblMovement[[#This Row],[Tonnes_t]]="",tblMovement[[#This Row],[Grade_gpt]]=""),0,tblMovement[[#This Row],[Tonnes_t]]*tblMovement[[#This Row],[Grade_gpt]]/cfg_TroyOz)</f>
        <v/>
      </c>
      <c r="O3050" s="59">
        <f>IF(tblMovement[[#This Row],[Is_Ore]]=1,tblMovement[[#This Row],[Contained_oz]],0)</f>
        <v/>
      </c>
    </row>
    <row r="3051">
      <c r="A3051" s="54" t="n"/>
      <c r="B3051" s="61" t="n"/>
      <c r="C3051" s="61" t="n"/>
      <c r="D3051" s="61" t="n"/>
      <c r="E3051" s="61" t="n"/>
      <c r="F3051" s="55" t="n"/>
      <c r="G3051" s="56" t="n"/>
      <c r="H3051" s="55" t="n"/>
      <c r="I3051" s="62" t="n"/>
      <c r="J3051" s="58" t="n"/>
      <c r="K3051" s="63">
        <f>IF(tblMovement[[#This Row],[Source]]="","",IFERROR(INDEX(tblSources[Type],MATCH(tblMovement[[#This Row],[Source]],tblSources[Source],0)),"?"))</f>
        <v/>
      </c>
      <c r="L3051" s="63">
        <f>IF(tblMovement[[#This Row],[Destination]]="","",IFERROR(INDEX(tblDestinations[Type],MATCH(tblMovement[[#This Row],[Destination]],tblDestinations[Destination],0)),"?"))</f>
        <v/>
      </c>
      <c r="M3051" s="64">
        <f>IF(tblMovement[[#This Row],[Material]]="","",IF(LEFT(tblMovement[[#This Row],[Material]],3)="Ore",1,0))</f>
        <v/>
      </c>
      <c r="N3051" s="59">
        <f>IF(OR(tblMovement[[#This Row],[Tonnes_t]]="",tblMovement[[#This Row],[Grade_gpt]]=""),0,tblMovement[[#This Row],[Tonnes_t]]*tblMovement[[#This Row],[Grade_gpt]]/cfg_TroyOz)</f>
        <v/>
      </c>
      <c r="O3051" s="59">
        <f>IF(tblMovement[[#This Row],[Is_Ore]]=1,tblMovement[[#This Row],[Contained_oz]],0)</f>
        <v/>
      </c>
    </row>
    <row r="3052">
      <c r="A3052" s="54" t="n"/>
      <c r="B3052" s="61" t="n"/>
      <c r="C3052" s="61" t="n"/>
      <c r="D3052" s="61" t="n"/>
      <c r="E3052" s="61" t="n"/>
      <c r="F3052" s="55" t="n"/>
      <c r="G3052" s="56" t="n"/>
      <c r="H3052" s="55" t="n"/>
      <c r="I3052" s="62" t="n"/>
      <c r="J3052" s="58" t="n"/>
      <c r="K3052" s="63">
        <f>IF(tblMovement[[#This Row],[Source]]="","",IFERROR(INDEX(tblSources[Type],MATCH(tblMovement[[#This Row],[Source]],tblSources[Source],0)),"?"))</f>
        <v/>
      </c>
      <c r="L3052" s="63">
        <f>IF(tblMovement[[#This Row],[Destination]]="","",IFERROR(INDEX(tblDestinations[Type],MATCH(tblMovement[[#This Row],[Destination]],tblDestinations[Destination],0)),"?"))</f>
        <v/>
      </c>
      <c r="M3052" s="64">
        <f>IF(tblMovement[[#This Row],[Material]]="","",IF(LEFT(tblMovement[[#This Row],[Material]],3)="Ore",1,0))</f>
        <v/>
      </c>
      <c r="N3052" s="59">
        <f>IF(OR(tblMovement[[#This Row],[Tonnes_t]]="",tblMovement[[#This Row],[Grade_gpt]]=""),0,tblMovement[[#This Row],[Tonnes_t]]*tblMovement[[#This Row],[Grade_gpt]]/cfg_TroyOz)</f>
        <v/>
      </c>
      <c r="O3052" s="59">
        <f>IF(tblMovement[[#This Row],[Is_Ore]]=1,tblMovement[[#This Row],[Contained_oz]],0)</f>
        <v/>
      </c>
    </row>
    <row r="3053">
      <c r="A3053" s="54" t="n"/>
      <c r="B3053" s="61" t="n"/>
      <c r="C3053" s="61" t="n"/>
      <c r="D3053" s="61" t="n"/>
      <c r="E3053" s="61" t="n"/>
      <c r="F3053" s="55" t="n"/>
      <c r="G3053" s="56" t="n"/>
      <c r="H3053" s="55" t="n"/>
      <c r="I3053" s="62" t="n"/>
      <c r="J3053" s="58" t="n"/>
      <c r="K3053" s="63">
        <f>IF(tblMovement[[#This Row],[Source]]="","",IFERROR(INDEX(tblSources[Type],MATCH(tblMovement[[#This Row],[Source]],tblSources[Source],0)),"?"))</f>
        <v/>
      </c>
      <c r="L3053" s="63">
        <f>IF(tblMovement[[#This Row],[Destination]]="","",IFERROR(INDEX(tblDestinations[Type],MATCH(tblMovement[[#This Row],[Destination]],tblDestinations[Destination],0)),"?"))</f>
        <v/>
      </c>
      <c r="M3053" s="64">
        <f>IF(tblMovement[[#This Row],[Material]]="","",IF(LEFT(tblMovement[[#This Row],[Material]],3)="Ore",1,0))</f>
        <v/>
      </c>
      <c r="N3053" s="59">
        <f>IF(OR(tblMovement[[#This Row],[Tonnes_t]]="",tblMovement[[#This Row],[Grade_gpt]]=""),0,tblMovement[[#This Row],[Tonnes_t]]*tblMovement[[#This Row],[Grade_gpt]]/cfg_TroyOz)</f>
        <v/>
      </c>
      <c r="O3053" s="59">
        <f>IF(tblMovement[[#This Row],[Is_Ore]]=1,tblMovement[[#This Row],[Contained_oz]],0)</f>
        <v/>
      </c>
    </row>
    <row r="3054">
      <c r="A3054" s="54" t="n"/>
      <c r="B3054" s="61" t="n"/>
      <c r="C3054" s="61" t="n"/>
      <c r="D3054" s="61" t="n"/>
      <c r="E3054" s="61" t="n"/>
      <c r="F3054" s="55" t="n"/>
      <c r="G3054" s="56" t="n"/>
      <c r="H3054" s="55" t="n"/>
      <c r="I3054" s="62" t="n"/>
      <c r="J3054" s="58" t="n"/>
      <c r="K3054" s="63">
        <f>IF(tblMovement[[#This Row],[Source]]="","",IFERROR(INDEX(tblSources[Type],MATCH(tblMovement[[#This Row],[Source]],tblSources[Source],0)),"?"))</f>
        <v/>
      </c>
      <c r="L3054" s="63">
        <f>IF(tblMovement[[#This Row],[Destination]]="","",IFERROR(INDEX(tblDestinations[Type],MATCH(tblMovement[[#This Row],[Destination]],tblDestinations[Destination],0)),"?"))</f>
        <v/>
      </c>
      <c r="M3054" s="64">
        <f>IF(tblMovement[[#This Row],[Material]]="","",IF(LEFT(tblMovement[[#This Row],[Material]],3)="Ore",1,0))</f>
        <v/>
      </c>
      <c r="N3054" s="59">
        <f>IF(OR(tblMovement[[#This Row],[Tonnes_t]]="",tblMovement[[#This Row],[Grade_gpt]]=""),0,tblMovement[[#This Row],[Tonnes_t]]*tblMovement[[#This Row],[Grade_gpt]]/cfg_TroyOz)</f>
        <v/>
      </c>
      <c r="O3054" s="59">
        <f>IF(tblMovement[[#This Row],[Is_Ore]]=1,tblMovement[[#This Row],[Contained_oz]],0)</f>
        <v/>
      </c>
    </row>
    <row r="3055">
      <c r="A3055" s="54" t="n"/>
      <c r="B3055" s="61" t="n"/>
      <c r="C3055" s="61" t="n"/>
      <c r="D3055" s="61" t="n"/>
      <c r="E3055" s="61" t="n"/>
      <c r="F3055" s="55" t="n"/>
      <c r="G3055" s="56" t="n"/>
      <c r="H3055" s="55" t="n"/>
      <c r="I3055" s="62" t="n"/>
      <c r="J3055" s="58" t="n"/>
      <c r="K3055" s="63">
        <f>IF(tblMovement[[#This Row],[Source]]="","",IFERROR(INDEX(tblSources[Type],MATCH(tblMovement[[#This Row],[Source]],tblSources[Source],0)),"?"))</f>
        <v/>
      </c>
      <c r="L3055" s="63">
        <f>IF(tblMovement[[#This Row],[Destination]]="","",IFERROR(INDEX(tblDestinations[Type],MATCH(tblMovement[[#This Row],[Destination]],tblDestinations[Destination],0)),"?"))</f>
        <v/>
      </c>
      <c r="M3055" s="64">
        <f>IF(tblMovement[[#This Row],[Material]]="","",IF(LEFT(tblMovement[[#This Row],[Material]],3)="Ore",1,0))</f>
        <v/>
      </c>
      <c r="N3055" s="59">
        <f>IF(OR(tblMovement[[#This Row],[Tonnes_t]]="",tblMovement[[#This Row],[Grade_gpt]]=""),0,tblMovement[[#This Row],[Tonnes_t]]*tblMovement[[#This Row],[Grade_gpt]]/cfg_TroyOz)</f>
        <v/>
      </c>
      <c r="O3055" s="59">
        <f>IF(tblMovement[[#This Row],[Is_Ore]]=1,tblMovement[[#This Row],[Contained_oz]],0)</f>
        <v/>
      </c>
    </row>
    <row r="3056">
      <c r="A3056" s="54" t="n"/>
      <c r="B3056" s="61" t="n"/>
      <c r="C3056" s="61" t="n"/>
      <c r="D3056" s="61" t="n"/>
      <c r="E3056" s="61" t="n"/>
      <c r="F3056" s="55" t="n"/>
      <c r="G3056" s="56" t="n"/>
      <c r="H3056" s="55" t="n"/>
      <c r="I3056" s="62" t="n"/>
      <c r="J3056" s="58" t="n"/>
      <c r="K3056" s="63">
        <f>IF(tblMovement[[#This Row],[Source]]="","",IFERROR(INDEX(tblSources[Type],MATCH(tblMovement[[#This Row],[Source]],tblSources[Source],0)),"?"))</f>
        <v/>
      </c>
      <c r="L3056" s="63">
        <f>IF(tblMovement[[#This Row],[Destination]]="","",IFERROR(INDEX(tblDestinations[Type],MATCH(tblMovement[[#This Row],[Destination]],tblDestinations[Destination],0)),"?"))</f>
        <v/>
      </c>
      <c r="M3056" s="64">
        <f>IF(tblMovement[[#This Row],[Material]]="","",IF(LEFT(tblMovement[[#This Row],[Material]],3)="Ore",1,0))</f>
        <v/>
      </c>
      <c r="N3056" s="59">
        <f>IF(OR(tblMovement[[#This Row],[Tonnes_t]]="",tblMovement[[#This Row],[Grade_gpt]]=""),0,tblMovement[[#This Row],[Tonnes_t]]*tblMovement[[#This Row],[Grade_gpt]]/cfg_TroyOz)</f>
        <v/>
      </c>
      <c r="O3056" s="59">
        <f>IF(tblMovement[[#This Row],[Is_Ore]]=1,tblMovement[[#This Row],[Contained_oz]],0)</f>
        <v/>
      </c>
    </row>
    <row r="3057">
      <c r="A3057" s="54" t="n"/>
      <c r="B3057" s="61" t="n"/>
      <c r="C3057" s="61" t="n"/>
      <c r="D3057" s="61" t="n"/>
      <c r="E3057" s="61" t="n"/>
      <c r="F3057" s="55" t="n"/>
      <c r="G3057" s="56" t="n"/>
      <c r="H3057" s="55" t="n"/>
      <c r="I3057" s="62" t="n"/>
      <c r="J3057" s="58" t="n"/>
      <c r="K3057" s="63">
        <f>IF(tblMovement[[#This Row],[Source]]="","",IFERROR(INDEX(tblSources[Type],MATCH(tblMovement[[#This Row],[Source]],tblSources[Source],0)),"?"))</f>
        <v/>
      </c>
      <c r="L3057" s="63">
        <f>IF(tblMovement[[#This Row],[Destination]]="","",IFERROR(INDEX(tblDestinations[Type],MATCH(tblMovement[[#This Row],[Destination]],tblDestinations[Destination],0)),"?"))</f>
        <v/>
      </c>
      <c r="M3057" s="64">
        <f>IF(tblMovement[[#This Row],[Material]]="","",IF(LEFT(tblMovement[[#This Row],[Material]],3)="Ore",1,0))</f>
        <v/>
      </c>
      <c r="N3057" s="59">
        <f>IF(OR(tblMovement[[#This Row],[Tonnes_t]]="",tblMovement[[#This Row],[Grade_gpt]]=""),0,tblMovement[[#This Row],[Tonnes_t]]*tblMovement[[#This Row],[Grade_gpt]]/cfg_TroyOz)</f>
        <v/>
      </c>
      <c r="O3057" s="59">
        <f>IF(tblMovement[[#This Row],[Is_Ore]]=1,tblMovement[[#This Row],[Contained_oz]],0)</f>
        <v/>
      </c>
    </row>
    <row r="3058">
      <c r="A3058" s="54" t="n"/>
      <c r="B3058" s="61" t="n"/>
      <c r="C3058" s="61" t="n"/>
      <c r="D3058" s="61" t="n"/>
      <c r="E3058" s="61" t="n"/>
      <c r="F3058" s="55" t="n"/>
      <c r="G3058" s="56" t="n"/>
      <c r="H3058" s="55" t="n"/>
      <c r="I3058" s="62" t="n"/>
      <c r="J3058" s="58" t="n"/>
      <c r="K3058" s="63">
        <f>IF(tblMovement[[#This Row],[Source]]="","",IFERROR(INDEX(tblSources[Type],MATCH(tblMovement[[#This Row],[Source]],tblSources[Source],0)),"?"))</f>
        <v/>
      </c>
      <c r="L3058" s="63">
        <f>IF(tblMovement[[#This Row],[Destination]]="","",IFERROR(INDEX(tblDestinations[Type],MATCH(tblMovement[[#This Row],[Destination]],tblDestinations[Destination],0)),"?"))</f>
        <v/>
      </c>
      <c r="M3058" s="64">
        <f>IF(tblMovement[[#This Row],[Material]]="","",IF(LEFT(tblMovement[[#This Row],[Material]],3)="Ore",1,0))</f>
        <v/>
      </c>
      <c r="N3058" s="59">
        <f>IF(OR(tblMovement[[#This Row],[Tonnes_t]]="",tblMovement[[#This Row],[Grade_gpt]]=""),0,tblMovement[[#This Row],[Tonnes_t]]*tblMovement[[#This Row],[Grade_gpt]]/cfg_TroyOz)</f>
        <v/>
      </c>
      <c r="O3058" s="59">
        <f>IF(tblMovement[[#This Row],[Is_Ore]]=1,tblMovement[[#This Row],[Contained_oz]],0)</f>
        <v/>
      </c>
    </row>
    <row r="3059">
      <c r="A3059" s="54" t="n"/>
      <c r="B3059" s="61" t="n"/>
      <c r="C3059" s="61" t="n"/>
      <c r="D3059" s="61" t="n"/>
      <c r="E3059" s="61" t="n"/>
      <c r="F3059" s="55" t="n"/>
      <c r="G3059" s="56" t="n"/>
      <c r="H3059" s="55" t="n"/>
      <c r="I3059" s="62" t="n"/>
      <c r="J3059" s="58" t="n"/>
      <c r="K3059" s="63">
        <f>IF(tblMovement[[#This Row],[Source]]="","",IFERROR(INDEX(tblSources[Type],MATCH(tblMovement[[#This Row],[Source]],tblSources[Source],0)),"?"))</f>
        <v/>
      </c>
      <c r="L3059" s="63">
        <f>IF(tblMovement[[#This Row],[Destination]]="","",IFERROR(INDEX(tblDestinations[Type],MATCH(tblMovement[[#This Row],[Destination]],tblDestinations[Destination],0)),"?"))</f>
        <v/>
      </c>
      <c r="M3059" s="64">
        <f>IF(tblMovement[[#This Row],[Material]]="","",IF(LEFT(tblMovement[[#This Row],[Material]],3)="Ore",1,0))</f>
        <v/>
      </c>
      <c r="N3059" s="59">
        <f>IF(OR(tblMovement[[#This Row],[Tonnes_t]]="",tblMovement[[#This Row],[Grade_gpt]]=""),0,tblMovement[[#This Row],[Tonnes_t]]*tblMovement[[#This Row],[Grade_gpt]]/cfg_TroyOz)</f>
        <v/>
      </c>
      <c r="O3059" s="59">
        <f>IF(tblMovement[[#This Row],[Is_Ore]]=1,tblMovement[[#This Row],[Contained_oz]],0)</f>
        <v/>
      </c>
    </row>
    <row r="3060">
      <c r="A3060" s="54" t="n"/>
      <c r="B3060" s="61" t="n"/>
      <c r="C3060" s="61" t="n"/>
      <c r="D3060" s="61" t="n"/>
      <c r="E3060" s="61" t="n"/>
      <c r="F3060" s="55" t="n"/>
      <c r="G3060" s="56" t="n"/>
      <c r="H3060" s="55" t="n"/>
      <c r="I3060" s="62" t="n"/>
      <c r="J3060" s="58" t="n"/>
      <c r="K3060" s="63">
        <f>IF(tblMovement[[#This Row],[Source]]="","",IFERROR(INDEX(tblSources[Type],MATCH(tblMovement[[#This Row],[Source]],tblSources[Source],0)),"?"))</f>
        <v/>
      </c>
      <c r="L3060" s="63">
        <f>IF(tblMovement[[#This Row],[Destination]]="","",IFERROR(INDEX(tblDestinations[Type],MATCH(tblMovement[[#This Row],[Destination]],tblDestinations[Destination],0)),"?"))</f>
        <v/>
      </c>
      <c r="M3060" s="64">
        <f>IF(tblMovement[[#This Row],[Material]]="","",IF(LEFT(tblMovement[[#This Row],[Material]],3)="Ore",1,0))</f>
        <v/>
      </c>
      <c r="N3060" s="59">
        <f>IF(OR(tblMovement[[#This Row],[Tonnes_t]]="",tblMovement[[#This Row],[Grade_gpt]]=""),0,tblMovement[[#This Row],[Tonnes_t]]*tblMovement[[#This Row],[Grade_gpt]]/cfg_TroyOz)</f>
        <v/>
      </c>
      <c r="O3060" s="59">
        <f>IF(tblMovement[[#This Row],[Is_Ore]]=1,tblMovement[[#This Row],[Contained_oz]],0)</f>
        <v/>
      </c>
    </row>
    <row r="3061">
      <c r="A3061" s="54" t="n"/>
      <c r="B3061" s="61" t="n"/>
      <c r="C3061" s="61" t="n"/>
      <c r="D3061" s="61" t="n"/>
      <c r="E3061" s="61" t="n"/>
      <c r="F3061" s="55" t="n"/>
      <c r="G3061" s="56" t="n"/>
      <c r="H3061" s="55" t="n"/>
      <c r="I3061" s="62" t="n"/>
      <c r="J3061" s="58" t="n"/>
      <c r="K3061" s="63">
        <f>IF(tblMovement[[#This Row],[Source]]="","",IFERROR(INDEX(tblSources[Type],MATCH(tblMovement[[#This Row],[Source]],tblSources[Source],0)),"?"))</f>
        <v/>
      </c>
      <c r="L3061" s="63">
        <f>IF(tblMovement[[#This Row],[Destination]]="","",IFERROR(INDEX(tblDestinations[Type],MATCH(tblMovement[[#This Row],[Destination]],tblDestinations[Destination],0)),"?"))</f>
        <v/>
      </c>
      <c r="M3061" s="64">
        <f>IF(tblMovement[[#This Row],[Material]]="","",IF(LEFT(tblMovement[[#This Row],[Material]],3)="Ore",1,0))</f>
        <v/>
      </c>
      <c r="N3061" s="59">
        <f>IF(OR(tblMovement[[#This Row],[Tonnes_t]]="",tblMovement[[#This Row],[Grade_gpt]]=""),0,tblMovement[[#This Row],[Tonnes_t]]*tblMovement[[#This Row],[Grade_gpt]]/cfg_TroyOz)</f>
        <v/>
      </c>
      <c r="O3061" s="59">
        <f>IF(tblMovement[[#This Row],[Is_Ore]]=1,tblMovement[[#This Row],[Contained_oz]],0)</f>
        <v/>
      </c>
    </row>
    <row r="3062">
      <c r="A3062" s="54" t="n"/>
      <c r="B3062" s="61" t="n"/>
      <c r="C3062" s="61" t="n"/>
      <c r="D3062" s="61" t="n"/>
      <c r="E3062" s="61" t="n"/>
      <c r="F3062" s="55" t="n"/>
      <c r="G3062" s="56" t="n"/>
      <c r="H3062" s="55" t="n"/>
      <c r="I3062" s="62" t="n"/>
      <c r="J3062" s="58" t="n"/>
      <c r="K3062" s="63">
        <f>IF(tblMovement[[#This Row],[Source]]="","",IFERROR(INDEX(tblSources[Type],MATCH(tblMovement[[#This Row],[Source]],tblSources[Source],0)),"?"))</f>
        <v/>
      </c>
      <c r="L3062" s="63">
        <f>IF(tblMovement[[#This Row],[Destination]]="","",IFERROR(INDEX(tblDestinations[Type],MATCH(tblMovement[[#This Row],[Destination]],tblDestinations[Destination],0)),"?"))</f>
        <v/>
      </c>
      <c r="M3062" s="64">
        <f>IF(tblMovement[[#This Row],[Material]]="","",IF(LEFT(tblMovement[[#This Row],[Material]],3)="Ore",1,0))</f>
        <v/>
      </c>
      <c r="N3062" s="59">
        <f>IF(OR(tblMovement[[#This Row],[Tonnes_t]]="",tblMovement[[#This Row],[Grade_gpt]]=""),0,tblMovement[[#This Row],[Tonnes_t]]*tblMovement[[#This Row],[Grade_gpt]]/cfg_TroyOz)</f>
        <v/>
      </c>
      <c r="O3062" s="59">
        <f>IF(tblMovement[[#This Row],[Is_Ore]]=1,tblMovement[[#This Row],[Contained_oz]],0)</f>
        <v/>
      </c>
    </row>
    <row r="3063">
      <c r="A3063" s="54" t="n"/>
      <c r="B3063" s="61" t="n"/>
      <c r="C3063" s="61" t="n"/>
      <c r="D3063" s="61" t="n"/>
      <c r="E3063" s="61" t="n"/>
      <c r="F3063" s="55" t="n"/>
      <c r="G3063" s="56" t="n"/>
      <c r="H3063" s="55" t="n"/>
      <c r="I3063" s="62" t="n"/>
      <c r="J3063" s="58" t="n"/>
      <c r="K3063" s="63">
        <f>IF(tblMovement[[#This Row],[Source]]="","",IFERROR(INDEX(tblSources[Type],MATCH(tblMovement[[#This Row],[Source]],tblSources[Source],0)),"?"))</f>
        <v/>
      </c>
      <c r="L3063" s="63">
        <f>IF(tblMovement[[#This Row],[Destination]]="","",IFERROR(INDEX(tblDestinations[Type],MATCH(tblMovement[[#This Row],[Destination]],tblDestinations[Destination],0)),"?"))</f>
        <v/>
      </c>
      <c r="M3063" s="64">
        <f>IF(tblMovement[[#This Row],[Material]]="","",IF(LEFT(tblMovement[[#This Row],[Material]],3)="Ore",1,0))</f>
        <v/>
      </c>
      <c r="N3063" s="59">
        <f>IF(OR(tblMovement[[#This Row],[Tonnes_t]]="",tblMovement[[#This Row],[Grade_gpt]]=""),0,tblMovement[[#This Row],[Tonnes_t]]*tblMovement[[#This Row],[Grade_gpt]]/cfg_TroyOz)</f>
        <v/>
      </c>
      <c r="O3063" s="59">
        <f>IF(tblMovement[[#This Row],[Is_Ore]]=1,tblMovement[[#This Row],[Contained_oz]],0)</f>
        <v/>
      </c>
    </row>
    <row r="3064">
      <c r="A3064" s="54" t="n"/>
      <c r="B3064" s="61" t="n"/>
      <c r="C3064" s="61" t="n"/>
      <c r="D3064" s="61" t="n"/>
      <c r="E3064" s="61" t="n"/>
      <c r="F3064" s="55" t="n"/>
      <c r="G3064" s="56" t="n"/>
      <c r="H3064" s="55" t="n"/>
      <c r="I3064" s="62" t="n"/>
      <c r="J3064" s="58" t="n"/>
      <c r="K3064" s="63">
        <f>IF(tblMovement[[#This Row],[Source]]="","",IFERROR(INDEX(tblSources[Type],MATCH(tblMovement[[#This Row],[Source]],tblSources[Source],0)),"?"))</f>
        <v/>
      </c>
      <c r="L3064" s="63">
        <f>IF(tblMovement[[#This Row],[Destination]]="","",IFERROR(INDEX(tblDestinations[Type],MATCH(tblMovement[[#This Row],[Destination]],tblDestinations[Destination],0)),"?"))</f>
        <v/>
      </c>
      <c r="M3064" s="64">
        <f>IF(tblMovement[[#This Row],[Material]]="","",IF(LEFT(tblMovement[[#This Row],[Material]],3)="Ore",1,0))</f>
        <v/>
      </c>
      <c r="N3064" s="59">
        <f>IF(OR(tblMovement[[#This Row],[Tonnes_t]]="",tblMovement[[#This Row],[Grade_gpt]]=""),0,tblMovement[[#This Row],[Tonnes_t]]*tblMovement[[#This Row],[Grade_gpt]]/cfg_TroyOz)</f>
        <v/>
      </c>
      <c r="O3064" s="59">
        <f>IF(tblMovement[[#This Row],[Is_Ore]]=1,tblMovement[[#This Row],[Contained_oz]],0)</f>
        <v/>
      </c>
    </row>
    <row r="3065">
      <c r="A3065" s="54" t="n"/>
      <c r="B3065" s="61" t="n"/>
      <c r="C3065" s="61" t="n"/>
      <c r="D3065" s="61" t="n"/>
      <c r="E3065" s="61" t="n"/>
      <c r="F3065" s="55" t="n"/>
      <c r="G3065" s="56" t="n"/>
      <c r="H3065" s="55" t="n"/>
      <c r="I3065" s="62" t="n"/>
      <c r="J3065" s="58" t="n"/>
      <c r="K3065" s="63">
        <f>IF(tblMovement[[#This Row],[Source]]="","",IFERROR(INDEX(tblSources[Type],MATCH(tblMovement[[#This Row],[Source]],tblSources[Source],0)),"?"))</f>
        <v/>
      </c>
      <c r="L3065" s="63">
        <f>IF(tblMovement[[#This Row],[Destination]]="","",IFERROR(INDEX(tblDestinations[Type],MATCH(tblMovement[[#This Row],[Destination]],tblDestinations[Destination],0)),"?"))</f>
        <v/>
      </c>
      <c r="M3065" s="64">
        <f>IF(tblMovement[[#This Row],[Material]]="","",IF(LEFT(tblMovement[[#This Row],[Material]],3)="Ore",1,0))</f>
        <v/>
      </c>
      <c r="N3065" s="59">
        <f>IF(OR(tblMovement[[#This Row],[Tonnes_t]]="",tblMovement[[#This Row],[Grade_gpt]]=""),0,tblMovement[[#This Row],[Tonnes_t]]*tblMovement[[#This Row],[Grade_gpt]]/cfg_TroyOz)</f>
        <v/>
      </c>
      <c r="O3065" s="59">
        <f>IF(tblMovement[[#This Row],[Is_Ore]]=1,tblMovement[[#This Row],[Contained_oz]],0)</f>
        <v/>
      </c>
    </row>
    <row r="3066">
      <c r="A3066" s="54" t="n"/>
      <c r="B3066" s="61" t="n"/>
      <c r="C3066" s="61" t="n"/>
      <c r="D3066" s="61" t="n"/>
      <c r="E3066" s="61" t="n"/>
      <c r="F3066" s="55" t="n"/>
      <c r="G3066" s="56" t="n"/>
      <c r="H3066" s="55" t="n"/>
      <c r="I3066" s="62" t="n"/>
      <c r="J3066" s="58" t="n"/>
      <c r="K3066" s="63">
        <f>IF(tblMovement[[#This Row],[Source]]="","",IFERROR(INDEX(tblSources[Type],MATCH(tblMovement[[#This Row],[Source]],tblSources[Source],0)),"?"))</f>
        <v/>
      </c>
      <c r="L3066" s="63">
        <f>IF(tblMovement[[#This Row],[Destination]]="","",IFERROR(INDEX(tblDestinations[Type],MATCH(tblMovement[[#This Row],[Destination]],tblDestinations[Destination],0)),"?"))</f>
        <v/>
      </c>
      <c r="M3066" s="64">
        <f>IF(tblMovement[[#This Row],[Material]]="","",IF(LEFT(tblMovement[[#This Row],[Material]],3)="Ore",1,0))</f>
        <v/>
      </c>
      <c r="N3066" s="59">
        <f>IF(OR(tblMovement[[#This Row],[Tonnes_t]]="",tblMovement[[#This Row],[Grade_gpt]]=""),0,tblMovement[[#This Row],[Tonnes_t]]*tblMovement[[#This Row],[Grade_gpt]]/cfg_TroyOz)</f>
        <v/>
      </c>
      <c r="O3066" s="59">
        <f>IF(tblMovement[[#This Row],[Is_Ore]]=1,tblMovement[[#This Row],[Contained_oz]],0)</f>
        <v/>
      </c>
    </row>
    <row r="3067">
      <c r="A3067" s="54" t="n"/>
      <c r="B3067" s="61" t="n"/>
      <c r="C3067" s="61" t="n"/>
      <c r="D3067" s="61" t="n"/>
      <c r="E3067" s="61" t="n"/>
      <c r="F3067" s="55" t="n"/>
      <c r="G3067" s="56" t="n"/>
      <c r="H3067" s="55" t="n"/>
      <c r="I3067" s="62" t="n"/>
      <c r="J3067" s="58" t="n"/>
      <c r="K3067" s="63">
        <f>IF(tblMovement[[#This Row],[Source]]="","",IFERROR(INDEX(tblSources[Type],MATCH(tblMovement[[#This Row],[Source]],tblSources[Source],0)),"?"))</f>
        <v/>
      </c>
      <c r="L3067" s="63">
        <f>IF(tblMovement[[#This Row],[Destination]]="","",IFERROR(INDEX(tblDestinations[Type],MATCH(tblMovement[[#This Row],[Destination]],tblDestinations[Destination],0)),"?"))</f>
        <v/>
      </c>
      <c r="M3067" s="64">
        <f>IF(tblMovement[[#This Row],[Material]]="","",IF(LEFT(tblMovement[[#This Row],[Material]],3)="Ore",1,0))</f>
        <v/>
      </c>
      <c r="N3067" s="59">
        <f>IF(OR(tblMovement[[#This Row],[Tonnes_t]]="",tblMovement[[#This Row],[Grade_gpt]]=""),0,tblMovement[[#This Row],[Tonnes_t]]*tblMovement[[#This Row],[Grade_gpt]]/cfg_TroyOz)</f>
        <v/>
      </c>
      <c r="O3067" s="59">
        <f>IF(tblMovement[[#This Row],[Is_Ore]]=1,tblMovement[[#This Row],[Contained_oz]],0)</f>
        <v/>
      </c>
    </row>
    <row r="3068">
      <c r="A3068" s="54" t="n"/>
      <c r="B3068" s="61" t="n"/>
      <c r="C3068" s="61" t="n"/>
      <c r="D3068" s="61" t="n"/>
      <c r="E3068" s="61" t="n"/>
      <c r="F3068" s="55" t="n"/>
      <c r="G3068" s="56" t="n"/>
      <c r="H3068" s="55" t="n"/>
      <c r="I3068" s="62" t="n"/>
      <c r="J3068" s="58" t="n"/>
      <c r="K3068" s="63">
        <f>IF(tblMovement[[#This Row],[Source]]="","",IFERROR(INDEX(tblSources[Type],MATCH(tblMovement[[#This Row],[Source]],tblSources[Source],0)),"?"))</f>
        <v/>
      </c>
      <c r="L3068" s="63">
        <f>IF(tblMovement[[#This Row],[Destination]]="","",IFERROR(INDEX(tblDestinations[Type],MATCH(tblMovement[[#This Row],[Destination]],tblDestinations[Destination],0)),"?"))</f>
        <v/>
      </c>
      <c r="M3068" s="64">
        <f>IF(tblMovement[[#This Row],[Material]]="","",IF(LEFT(tblMovement[[#This Row],[Material]],3)="Ore",1,0))</f>
        <v/>
      </c>
      <c r="N3068" s="59">
        <f>IF(OR(tblMovement[[#This Row],[Tonnes_t]]="",tblMovement[[#This Row],[Grade_gpt]]=""),0,tblMovement[[#This Row],[Tonnes_t]]*tblMovement[[#This Row],[Grade_gpt]]/cfg_TroyOz)</f>
        <v/>
      </c>
      <c r="O3068" s="59">
        <f>IF(tblMovement[[#This Row],[Is_Ore]]=1,tblMovement[[#This Row],[Contained_oz]],0)</f>
        <v/>
      </c>
    </row>
    <row r="3069">
      <c r="A3069" s="54" t="n"/>
      <c r="B3069" s="61" t="n"/>
      <c r="C3069" s="61" t="n"/>
      <c r="D3069" s="61" t="n"/>
      <c r="E3069" s="61" t="n"/>
      <c r="F3069" s="55" t="n"/>
      <c r="G3069" s="56" t="n"/>
      <c r="H3069" s="55" t="n"/>
      <c r="I3069" s="62" t="n"/>
      <c r="J3069" s="58" t="n"/>
      <c r="K3069" s="63">
        <f>IF(tblMovement[[#This Row],[Source]]="","",IFERROR(INDEX(tblSources[Type],MATCH(tblMovement[[#This Row],[Source]],tblSources[Source],0)),"?"))</f>
        <v/>
      </c>
      <c r="L3069" s="63">
        <f>IF(tblMovement[[#This Row],[Destination]]="","",IFERROR(INDEX(tblDestinations[Type],MATCH(tblMovement[[#This Row],[Destination]],tblDestinations[Destination],0)),"?"))</f>
        <v/>
      </c>
      <c r="M3069" s="64">
        <f>IF(tblMovement[[#This Row],[Material]]="","",IF(LEFT(tblMovement[[#This Row],[Material]],3)="Ore",1,0))</f>
        <v/>
      </c>
      <c r="N3069" s="59">
        <f>IF(OR(tblMovement[[#This Row],[Tonnes_t]]="",tblMovement[[#This Row],[Grade_gpt]]=""),0,tblMovement[[#This Row],[Tonnes_t]]*tblMovement[[#This Row],[Grade_gpt]]/cfg_TroyOz)</f>
        <v/>
      </c>
      <c r="O3069" s="59">
        <f>IF(tblMovement[[#This Row],[Is_Ore]]=1,tblMovement[[#This Row],[Contained_oz]],0)</f>
        <v/>
      </c>
    </row>
    <row r="3070">
      <c r="A3070" s="54" t="n"/>
      <c r="B3070" s="61" t="n"/>
      <c r="C3070" s="61" t="n"/>
      <c r="D3070" s="61" t="n"/>
      <c r="E3070" s="61" t="n"/>
      <c r="F3070" s="55" t="n"/>
      <c r="G3070" s="56" t="n"/>
      <c r="H3070" s="55" t="n"/>
      <c r="I3070" s="62" t="n"/>
      <c r="J3070" s="58" t="n"/>
      <c r="K3070" s="63">
        <f>IF(tblMovement[[#This Row],[Source]]="","",IFERROR(INDEX(tblSources[Type],MATCH(tblMovement[[#This Row],[Source]],tblSources[Source],0)),"?"))</f>
        <v/>
      </c>
      <c r="L3070" s="63">
        <f>IF(tblMovement[[#This Row],[Destination]]="","",IFERROR(INDEX(tblDestinations[Type],MATCH(tblMovement[[#This Row],[Destination]],tblDestinations[Destination],0)),"?"))</f>
        <v/>
      </c>
      <c r="M3070" s="64">
        <f>IF(tblMovement[[#This Row],[Material]]="","",IF(LEFT(tblMovement[[#This Row],[Material]],3)="Ore",1,0))</f>
        <v/>
      </c>
      <c r="N3070" s="59">
        <f>IF(OR(tblMovement[[#This Row],[Tonnes_t]]="",tblMovement[[#This Row],[Grade_gpt]]=""),0,tblMovement[[#This Row],[Tonnes_t]]*tblMovement[[#This Row],[Grade_gpt]]/cfg_TroyOz)</f>
        <v/>
      </c>
      <c r="O3070" s="59">
        <f>IF(tblMovement[[#This Row],[Is_Ore]]=1,tblMovement[[#This Row],[Contained_oz]],0)</f>
        <v/>
      </c>
    </row>
    <row r="3071">
      <c r="A3071" s="54" t="n"/>
      <c r="B3071" s="61" t="n"/>
      <c r="C3071" s="61" t="n"/>
      <c r="D3071" s="61" t="n"/>
      <c r="E3071" s="61" t="n"/>
      <c r="F3071" s="55" t="n"/>
      <c r="G3071" s="56" t="n"/>
      <c r="H3071" s="55" t="n"/>
      <c r="I3071" s="62" t="n"/>
      <c r="J3071" s="58" t="n"/>
      <c r="K3071" s="63">
        <f>IF(tblMovement[[#This Row],[Source]]="","",IFERROR(INDEX(tblSources[Type],MATCH(tblMovement[[#This Row],[Source]],tblSources[Source],0)),"?"))</f>
        <v/>
      </c>
      <c r="L3071" s="63">
        <f>IF(tblMovement[[#This Row],[Destination]]="","",IFERROR(INDEX(tblDestinations[Type],MATCH(tblMovement[[#This Row],[Destination]],tblDestinations[Destination],0)),"?"))</f>
        <v/>
      </c>
      <c r="M3071" s="64">
        <f>IF(tblMovement[[#This Row],[Material]]="","",IF(LEFT(tblMovement[[#This Row],[Material]],3)="Ore",1,0))</f>
        <v/>
      </c>
      <c r="N3071" s="59">
        <f>IF(OR(tblMovement[[#This Row],[Tonnes_t]]="",tblMovement[[#This Row],[Grade_gpt]]=""),0,tblMovement[[#This Row],[Tonnes_t]]*tblMovement[[#This Row],[Grade_gpt]]/cfg_TroyOz)</f>
        <v/>
      </c>
      <c r="O3071" s="59">
        <f>IF(tblMovement[[#This Row],[Is_Ore]]=1,tblMovement[[#This Row],[Contained_oz]],0)</f>
        <v/>
      </c>
    </row>
    <row r="3072">
      <c r="A3072" s="54" t="n"/>
      <c r="B3072" s="61" t="n"/>
      <c r="C3072" s="61" t="n"/>
      <c r="D3072" s="61" t="n"/>
      <c r="E3072" s="61" t="n"/>
      <c r="F3072" s="55" t="n"/>
      <c r="G3072" s="56" t="n"/>
      <c r="H3072" s="55" t="n"/>
      <c r="I3072" s="62" t="n"/>
      <c r="J3072" s="58" t="n"/>
      <c r="K3072" s="63">
        <f>IF(tblMovement[[#This Row],[Source]]="","",IFERROR(INDEX(tblSources[Type],MATCH(tblMovement[[#This Row],[Source]],tblSources[Source],0)),"?"))</f>
        <v/>
      </c>
      <c r="L3072" s="63">
        <f>IF(tblMovement[[#This Row],[Destination]]="","",IFERROR(INDEX(tblDestinations[Type],MATCH(tblMovement[[#This Row],[Destination]],tblDestinations[Destination],0)),"?"))</f>
        <v/>
      </c>
      <c r="M3072" s="64">
        <f>IF(tblMovement[[#This Row],[Material]]="","",IF(LEFT(tblMovement[[#This Row],[Material]],3)="Ore",1,0))</f>
        <v/>
      </c>
      <c r="N3072" s="59">
        <f>IF(OR(tblMovement[[#This Row],[Tonnes_t]]="",tblMovement[[#This Row],[Grade_gpt]]=""),0,tblMovement[[#This Row],[Tonnes_t]]*tblMovement[[#This Row],[Grade_gpt]]/cfg_TroyOz)</f>
        <v/>
      </c>
      <c r="O3072" s="59">
        <f>IF(tblMovement[[#This Row],[Is_Ore]]=1,tblMovement[[#This Row],[Contained_oz]],0)</f>
        <v/>
      </c>
    </row>
    <row r="3073">
      <c r="A3073" s="54" t="n"/>
      <c r="B3073" s="61" t="n"/>
      <c r="C3073" s="61" t="n"/>
      <c r="D3073" s="61" t="n"/>
      <c r="E3073" s="61" t="n"/>
      <c r="F3073" s="55" t="n"/>
      <c r="G3073" s="56" t="n"/>
      <c r="H3073" s="55" t="n"/>
      <c r="I3073" s="62" t="n"/>
      <c r="J3073" s="58" t="n"/>
      <c r="K3073" s="63">
        <f>IF(tblMovement[[#This Row],[Source]]="","",IFERROR(INDEX(tblSources[Type],MATCH(tblMovement[[#This Row],[Source]],tblSources[Source],0)),"?"))</f>
        <v/>
      </c>
      <c r="L3073" s="63">
        <f>IF(tblMovement[[#This Row],[Destination]]="","",IFERROR(INDEX(tblDestinations[Type],MATCH(tblMovement[[#This Row],[Destination]],tblDestinations[Destination],0)),"?"))</f>
        <v/>
      </c>
      <c r="M3073" s="64">
        <f>IF(tblMovement[[#This Row],[Material]]="","",IF(LEFT(tblMovement[[#This Row],[Material]],3)="Ore",1,0))</f>
        <v/>
      </c>
      <c r="N3073" s="59">
        <f>IF(OR(tblMovement[[#This Row],[Tonnes_t]]="",tblMovement[[#This Row],[Grade_gpt]]=""),0,tblMovement[[#This Row],[Tonnes_t]]*tblMovement[[#This Row],[Grade_gpt]]/cfg_TroyOz)</f>
        <v/>
      </c>
      <c r="O3073" s="59">
        <f>IF(tblMovement[[#This Row],[Is_Ore]]=1,tblMovement[[#This Row],[Contained_oz]],0)</f>
        <v/>
      </c>
    </row>
    <row r="3074">
      <c r="A3074" s="54" t="n"/>
      <c r="B3074" s="61" t="n"/>
      <c r="C3074" s="61" t="n"/>
      <c r="D3074" s="61" t="n"/>
      <c r="E3074" s="61" t="n"/>
      <c r="F3074" s="55" t="n"/>
      <c r="G3074" s="56" t="n"/>
      <c r="H3074" s="55" t="n"/>
      <c r="I3074" s="62" t="n"/>
      <c r="J3074" s="58" t="n"/>
      <c r="K3074" s="63">
        <f>IF(tblMovement[[#This Row],[Source]]="","",IFERROR(INDEX(tblSources[Type],MATCH(tblMovement[[#This Row],[Source]],tblSources[Source],0)),"?"))</f>
        <v/>
      </c>
      <c r="L3074" s="63">
        <f>IF(tblMovement[[#This Row],[Destination]]="","",IFERROR(INDEX(tblDestinations[Type],MATCH(tblMovement[[#This Row],[Destination]],tblDestinations[Destination],0)),"?"))</f>
        <v/>
      </c>
      <c r="M3074" s="64">
        <f>IF(tblMovement[[#This Row],[Material]]="","",IF(LEFT(tblMovement[[#This Row],[Material]],3)="Ore",1,0))</f>
        <v/>
      </c>
      <c r="N3074" s="59">
        <f>IF(OR(tblMovement[[#This Row],[Tonnes_t]]="",tblMovement[[#This Row],[Grade_gpt]]=""),0,tblMovement[[#This Row],[Tonnes_t]]*tblMovement[[#This Row],[Grade_gpt]]/cfg_TroyOz)</f>
        <v/>
      </c>
      <c r="O3074" s="59">
        <f>IF(tblMovement[[#This Row],[Is_Ore]]=1,tblMovement[[#This Row],[Contained_oz]],0)</f>
        <v/>
      </c>
    </row>
    <row r="3075">
      <c r="A3075" s="54" t="n"/>
      <c r="B3075" s="61" t="n"/>
      <c r="C3075" s="61" t="n"/>
      <c r="D3075" s="61" t="n"/>
      <c r="E3075" s="61" t="n"/>
      <c r="F3075" s="55" t="n"/>
      <c r="G3075" s="56" t="n"/>
      <c r="H3075" s="55" t="n"/>
      <c r="I3075" s="62" t="n"/>
      <c r="J3075" s="58" t="n"/>
      <c r="K3075" s="63">
        <f>IF(tblMovement[[#This Row],[Source]]="","",IFERROR(INDEX(tblSources[Type],MATCH(tblMovement[[#This Row],[Source]],tblSources[Source],0)),"?"))</f>
        <v/>
      </c>
      <c r="L3075" s="63">
        <f>IF(tblMovement[[#This Row],[Destination]]="","",IFERROR(INDEX(tblDestinations[Type],MATCH(tblMovement[[#This Row],[Destination]],tblDestinations[Destination],0)),"?"))</f>
        <v/>
      </c>
      <c r="M3075" s="64">
        <f>IF(tblMovement[[#This Row],[Material]]="","",IF(LEFT(tblMovement[[#This Row],[Material]],3)="Ore",1,0))</f>
        <v/>
      </c>
      <c r="N3075" s="59">
        <f>IF(OR(tblMovement[[#This Row],[Tonnes_t]]="",tblMovement[[#This Row],[Grade_gpt]]=""),0,tblMovement[[#This Row],[Tonnes_t]]*tblMovement[[#This Row],[Grade_gpt]]/cfg_TroyOz)</f>
        <v/>
      </c>
      <c r="O3075" s="59">
        <f>IF(tblMovement[[#This Row],[Is_Ore]]=1,tblMovement[[#This Row],[Contained_oz]],0)</f>
        <v/>
      </c>
    </row>
    <row r="3076">
      <c r="A3076" s="54" t="n"/>
      <c r="B3076" s="61" t="n"/>
      <c r="C3076" s="61" t="n"/>
      <c r="D3076" s="61" t="n"/>
      <c r="E3076" s="61" t="n"/>
      <c r="F3076" s="55" t="n"/>
      <c r="G3076" s="56" t="n"/>
      <c r="H3076" s="55" t="n"/>
      <c r="I3076" s="62" t="n"/>
      <c r="J3076" s="58" t="n"/>
      <c r="K3076" s="63">
        <f>IF(tblMovement[[#This Row],[Source]]="","",IFERROR(INDEX(tblSources[Type],MATCH(tblMovement[[#This Row],[Source]],tblSources[Source],0)),"?"))</f>
        <v/>
      </c>
      <c r="L3076" s="63">
        <f>IF(tblMovement[[#This Row],[Destination]]="","",IFERROR(INDEX(tblDestinations[Type],MATCH(tblMovement[[#This Row],[Destination]],tblDestinations[Destination],0)),"?"))</f>
        <v/>
      </c>
      <c r="M3076" s="64">
        <f>IF(tblMovement[[#This Row],[Material]]="","",IF(LEFT(tblMovement[[#This Row],[Material]],3)="Ore",1,0))</f>
        <v/>
      </c>
      <c r="N3076" s="59">
        <f>IF(OR(tblMovement[[#This Row],[Tonnes_t]]="",tblMovement[[#This Row],[Grade_gpt]]=""),0,tblMovement[[#This Row],[Tonnes_t]]*tblMovement[[#This Row],[Grade_gpt]]/cfg_TroyOz)</f>
        <v/>
      </c>
      <c r="O3076" s="59">
        <f>IF(tblMovement[[#This Row],[Is_Ore]]=1,tblMovement[[#This Row],[Contained_oz]],0)</f>
        <v/>
      </c>
    </row>
    <row r="3077">
      <c r="A3077" s="54" t="n"/>
      <c r="B3077" s="61" t="n"/>
      <c r="C3077" s="61" t="n"/>
      <c r="D3077" s="61" t="n"/>
      <c r="E3077" s="61" t="n"/>
      <c r="F3077" s="55" t="n"/>
      <c r="G3077" s="56" t="n"/>
      <c r="H3077" s="55" t="n"/>
      <c r="I3077" s="62" t="n"/>
      <c r="J3077" s="58" t="n"/>
      <c r="K3077" s="63">
        <f>IF(tblMovement[[#This Row],[Source]]="","",IFERROR(INDEX(tblSources[Type],MATCH(tblMovement[[#This Row],[Source]],tblSources[Source],0)),"?"))</f>
        <v/>
      </c>
      <c r="L3077" s="63">
        <f>IF(tblMovement[[#This Row],[Destination]]="","",IFERROR(INDEX(tblDestinations[Type],MATCH(tblMovement[[#This Row],[Destination]],tblDestinations[Destination],0)),"?"))</f>
        <v/>
      </c>
      <c r="M3077" s="64">
        <f>IF(tblMovement[[#This Row],[Material]]="","",IF(LEFT(tblMovement[[#This Row],[Material]],3)="Ore",1,0))</f>
        <v/>
      </c>
      <c r="N3077" s="59">
        <f>IF(OR(tblMovement[[#This Row],[Tonnes_t]]="",tblMovement[[#This Row],[Grade_gpt]]=""),0,tblMovement[[#This Row],[Tonnes_t]]*tblMovement[[#This Row],[Grade_gpt]]/cfg_TroyOz)</f>
        <v/>
      </c>
      <c r="O3077" s="59">
        <f>IF(tblMovement[[#This Row],[Is_Ore]]=1,tblMovement[[#This Row],[Contained_oz]],0)</f>
        <v/>
      </c>
    </row>
    <row r="3078">
      <c r="A3078" s="54" t="n"/>
      <c r="B3078" s="61" t="n"/>
      <c r="C3078" s="61" t="n"/>
      <c r="D3078" s="61" t="n"/>
      <c r="E3078" s="61" t="n"/>
      <c r="F3078" s="55" t="n"/>
      <c r="G3078" s="56" t="n"/>
      <c r="H3078" s="55" t="n"/>
      <c r="I3078" s="62" t="n"/>
      <c r="J3078" s="58" t="n"/>
      <c r="K3078" s="63">
        <f>IF(tblMovement[[#This Row],[Source]]="","",IFERROR(INDEX(tblSources[Type],MATCH(tblMovement[[#This Row],[Source]],tblSources[Source],0)),"?"))</f>
        <v/>
      </c>
      <c r="L3078" s="63">
        <f>IF(tblMovement[[#This Row],[Destination]]="","",IFERROR(INDEX(tblDestinations[Type],MATCH(tblMovement[[#This Row],[Destination]],tblDestinations[Destination],0)),"?"))</f>
        <v/>
      </c>
      <c r="M3078" s="64">
        <f>IF(tblMovement[[#This Row],[Material]]="","",IF(LEFT(tblMovement[[#This Row],[Material]],3)="Ore",1,0))</f>
        <v/>
      </c>
      <c r="N3078" s="59">
        <f>IF(OR(tblMovement[[#This Row],[Tonnes_t]]="",tblMovement[[#This Row],[Grade_gpt]]=""),0,tblMovement[[#This Row],[Tonnes_t]]*tblMovement[[#This Row],[Grade_gpt]]/cfg_TroyOz)</f>
        <v/>
      </c>
      <c r="O3078" s="59">
        <f>IF(tblMovement[[#This Row],[Is_Ore]]=1,tblMovement[[#This Row],[Contained_oz]],0)</f>
        <v/>
      </c>
    </row>
    <row r="3079">
      <c r="A3079" s="54" t="n"/>
      <c r="B3079" s="61" t="n"/>
      <c r="C3079" s="61" t="n"/>
      <c r="D3079" s="61" t="n"/>
      <c r="E3079" s="61" t="n"/>
      <c r="F3079" s="55" t="n"/>
      <c r="G3079" s="56" t="n"/>
      <c r="H3079" s="55" t="n"/>
      <c r="I3079" s="62" t="n"/>
      <c r="J3079" s="58" t="n"/>
      <c r="K3079" s="63">
        <f>IF(tblMovement[[#This Row],[Source]]="","",IFERROR(INDEX(tblSources[Type],MATCH(tblMovement[[#This Row],[Source]],tblSources[Source],0)),"?"))</f>
        <v/>
      </c>
      <c r="L3079" s="63">
        <f>IF(tblMovement[[#This Row],[Destination]]="","",IFERROR(INDEX(tblDestinations[Type],MATCH(tblMovement[[#This Row],[Destination]],tblDestinations[Destination],0)),"?"))</f>
        <v/>
      </c>
      <c r="M3079" s="64">
        <f>IF(tblMovement[[#This Row],[Material]]="","",IF(LEFT(tblMovement[[#This Row],[Material]],3)="Ore",1,0))</f>
        <v/>
      </c>
      <c r="N3079" s="59">
        <f>IF(OR(tblMovement[[#This Row],[Tonnes_t]]="",tblMovement[[#This Row],[Grade_gpt]]=""),0,tblMovement[[#This Row],[Tonnes_t]]*tblMovement[[#This Row],[Grade_gpt]]/cfg_TroyOz)</f>
        <v/>
      </c>
      <c r="O3079" s="59">
        <f>IF(tblMovement[[#This Row],[Is_Ore]]=1,tblMovement[[#This Row],[Contained_oz]],0)</f>
        <v/>
      </c>
    </row>
    <row r="3080">
      <c r="A3080" s="54" t="n"/>
      <c r="B3080" s="61" t="n"/>
      <c r="C3080" s="61" t="n"/>
      <c r="D3080" s="61" t="n"/>
      <c r="E3080" s="61" t="n"/>
      <c r="F3080" s="55" t="n"/>
      <c r="G3080" s="56" t="n"/>
      <c r="H3080" s="55" t="n"/>
      <c r="I3080" s="62" t="n"/>
      <c r="J3080" s="58" t="n"/>
      <c r="K3080" s="63">
        <f>IF(tblMovement[[#This Row],[Source]]="","",IFERROR(INDEX(tblSources[Type],MATCH(tblMovement[[#This Row],[Source]],tblSources[Source],0)),"?"))</f>
        <v/>
      </c>
      <c r="L3080" s="63">
        <f>IF(tblMovement[[#This Row],[Destination]]="","",IFERROR(INDEX(tblDestinations[Type],MATCH(tblMovement[[#This Row],[Destination]],tblDestinations[Destination],0)),"?"))</f>
        <v/>
      </c>
      <c r="M3080" s="64">
        <f>IF(tblMovement[[#This Row],[Material]]="","",IF(LEFT(tblMovement[[#This Row],[Material]],3)="Ore",1,0))</f>
        <v/>
      </c>
      <c r="N3080" s="59">
        <f>IF(OR(tblMovement[[#This Row],[Tonnes_t]]="",tblMovement[[#This Row],[Grade_gpt]]=""),0,tblMovement[[#This Row],[Tonnes_t]]*tblMovement[[#This Row],[Grade_gpt]]/cfg_TroyOz)</f>
        <v/>
      </c>
      <c r="O3080" s="59">
        <f>IF(tblMovement[[#This Row],[Is_Ore]]=1,tblMovement[[#This Row],[Contained_oz]],0)</f>
        <v/>
      </c>
    </row>
    <row r="3081">
      <c r="A3081" s="54" t="n"/>
      <c r="B3081" s="61" t="n"/>
      <c r="C3081" s="61" t="n"/>
      <c r="D3081" s="61" t="n"/>
      <c r="E3081" s="61" t="n"/>
      <c r="F3081" s="55" t="n"/>
      <c r="G3081" s="56" t="n"/>
      <c r="H3081" s="55" t="n"/>
      <c r="I3081" s="62" t="n"/>
      <c r="J3081" s="58" t="n"/>
      <c r="K3081" s="63">
        <f>IF(tblMovement[[#This Row],[Source]]="","",IFERROR(INDEX(tblSources[Type],MATCH(tblMovement[[#This Row],[Source]],tblSources[Source],0)),"?"))</f>
        <v/>
      </c>
      <c r="L3081" s="63">
        <f>IF(tblMovement[[#This Row],[Destination]]="","",IFERROR(INDEX(tblDestinations[Type],MATCH(tblMovement[[#This Row],[Destination]],tblDestinations[Destination],0)),"?"))</f>
        <v/>
      </c>
      <c r="M3081" s="64">
        <f>IF(tblMovement[[#This Row],[Material]]="","",IF(LEFT(tblMovement[[#This Row],[Material]],3)="Ore",1,0))</f>
        <v/>
      </c>
      <c r="N3081" s="59">
        <f>IF(OR(tblMovement[[#This Row],[Tonnes_t]]="",tblMovement[[#This Row],[Grade_gpt]]=""),0,tblMovement[[#This Row],[Tonnes_t]]*tblMovement[[#This Row],[Grade_gpt]]/cfg_TroyOz)</f>
        <v/>
      </c>
      <c r="O3081" s="59">
        <f>IF(tblMovement[[#This Row],[Is_Ore]]=1,tblMovement[[#This Row],[Contained_oz]],0)</f>
        <v/>
      </c>
    </row>
    <row r="3082">
      <c r="A3082" s="54" t="n"/>
      <c r="B3082" s="61" t="n"/>
      <c r="C3082" s="61" t="n"/>
      <c r="D3082" s="61" t="n"/>
      <c r="E3082" s="61" t="n"/>
      <c r="F3082" s="55" t="n"/>
      <c r="G3082" s="56" t="n"/>
      <c r="H3082" s="55" t="n"/>
      <c r="I3082" s="62" t="n"/>
      <c r="J3082" s="58" t="n"/>
      <c r="K3082" s="63">
        <f>IF(tblMovement[[#This Row],[Source]]="","",IFERROR(INDEX(tblSources[Type],MATCH(tblMovement[[#This Row],[Source]],tblSources[Source],0)),"?"))</f>
        <v/>
      </c>
      <c r="L3082" s="63">
        <f>IF(tblMovement[[#This Row],[Destination]]="","",IFERROR(INDEX(tblDestinations[Type],MATCH(tblMovement[[#This Row],[Destination]],tblDestinations[Destination],0)),"?"))</f>
        <v/>
      </c>
      <c r="M3082" s="64">
        <f>IF(tblMovement[[#This Row],[Material]]="","",IF(LEFT(tblMovement[[#This Row],[Material]],3)="Ore",1,0))</f>
        <v/>
      </c>
      <c r="N3082" s="59">
        <f>IF(OR(tblMovement[[#This Row],[Tonnes_t]]="",tblMovement[[#This Row],[Grade_gpt]]=""),0,tblMovement[[#This Row],[Tonnes_t]]*tblMovement[[#This Row],[Grade_gpt]]/cfg_TroyOz)</f>
        <v/>
      </c>
      <c r="O3082" s="59">
        <f>IF(tblMovement[[#This Row],[Is_Ore]]=1,tblMovement[[#This Row],[Contained_oz]],0)</f>
        <v/>
      </c>
    </row>
    <row r="3083">
      <c r="A3083" s="54" t="n"/>
      <c r="B3083" s="61" t="n"/>
      <c r="C3083" s="61" t="n"/>
      <c r="D3083" s="61" t="n"/>
      <c r="E3083" s="61" t="n"/>
      <c r="F3083" s="55" t="n"/>
      <c r="G3083" s="56" t="n"/>
      <c r="H3083" s="55" t="n"/>
      <c r="I3083" s="62" t="n"/>
      <c r="J3083" s="58" t="n"/>
      <c r="K3083" s="63">
        <f>IF(tblMovement[[#This Row],[Source]]="","",IFERROR(INDEX(tblSources[Type],MATCH(tblMovement[[#This Row],[Source]],tblSources[Source],0)),"?"))</f>
        <v/>
      </c>
      <c r="L3083" s="63">
        <f>IF(tblMovement[[#This Row],[Destination]]="","",IFERROR(INDEX(tblDestinations[Type],MATCH(tblMovement[[#This Row],[Destination]],tblDestinations[Destination],0)),"?"))</f>
        <v/>
      </c>
      <c r="M3083" s="64">
        <f>IF(tblMovement[[#This Row],[Material]]="","",IF(LEFT(tblMovement[[#This Row],[Material]],3)="Ore",1,0))</f>
        <v/>
      </c>
      <c r="N3083" s="59">
        <f>IF(OR(tblMovement[[#This Row],[Tonnes_t]]="",tblMovement[[#This Row],[Grade_gpt]]=""),0,tblMovement[[#This Row],[Tonnes_t]]*tblMovement[[#This Row],[Grade_gpt]]/cfg_TroyOz)</f>
        <v/>
      </c>
      <c r="O3083" s="59">
        <f>IF(tblMovement[[#This Row],[Is_Ore]]=1,tblMovement[[#This Row],[Contained_oz]],0)</f>
        <v/>
      </c>
    </row>
    <row r="3084">
      <c r="A3084" s="54" t="n"/>
      <c r="B3084" s="61" t="n"/>
      <c r="C3084" s="61" t="n"/>
      <c r="D3084" s="61" t="n"/>
      <c r="E3084" s="61" t="n"/>
      <c r="F3084" s="55" t="n"/>
      <c r="G3084" s="56" t="n"/>
      <c r="H3084" s="55" t="n"/>
      <c r="I3084" s="62" t="n"/>
      <c r="J3084" s="58" t="n"/>
      <c r="K3084" s="63">
        <f>IF(tblMovement[[#This Row],[Source]]="","",IFERROR(INDEX(tblSources[Type],MATCH(tblMovement[[#This Row],[Source]],tblSources[Source],0)),"?"))</f>
        <v/>
      </c>
      <c r="L3084" s="63">
        <f>IF(tblMovement[[#This Row],[Destination]]="","",IFERROR(INDEX(tblDestinations[Type],MATCH(tblMovement[[#This Row],[Destination]],tblDestinations[Destination],0)),"?"))</f>
        <v/>
      </c>
      <c r="M3084" s="64">
        <f>IF(tblMovement[[#This Row],[Material]]="","",IF(LEFT(tblMovement[[#This Row],[Material]],3)="Ore",1,0))</f>
        <v/>
      </c>
      <c r="N3084" s="59">
        <f>IF(OR(tblMovement[[#This Row],[Tonnes_t]]="",tblMovement[[#This Row],[Grade_gpt]]=""),0,tblMovement[[#This Row],[Tonnes_t]]*tblMovement[[#This Row],[Grade_gpt]]/cfg_TroyOz)</f>
        <v/>
      </c>
      <c r="O3084" s="59">
        <f>IF(tblMovement[[#This Row],[Is_Ore]]=1,tblMovement[[#This Row],[Contained_oz]],0)</f>
        <v/>
      </c>
    </row>
    <row r="3085">
      <c r="A3085" s="54" t="n"/>
      <c r="B3085" s="61" t="n"/>
      <c r="C3085" s="61" t="n"/>
      <c r="D3085" s="61" t="n"/>
      <c r="E3085" s="61" t="n"/>
      <c r="F3085" s="55" t="n"/>
      <c r="G3085" s="56" t="n"/>
      <c r="H3085" s="55" t="n"/>
      <c r="I3085" s="62" t="n"/>
      <c r="J3085" s="58" t="n"/>
      <c r="K3085" s="63">
        <f>IF(tblMovement[[#This Row],[Source]]="","",IFERROR(INDEX(tblSources[Type],MATCH(tblMovement[[#This Row],[Source]],tblSources[Source],0)),"?"))</f>
        <v/>
      </c>
      <c r="L3085" s="63">
        <f>IF(tblMovement[[#This Row],[Destination]]="","",IFERROR(INDEX(tblDestinations[Type],MATCH(tblMovement[[#This Row],[Destination]],tblDestinations[Destination],0)),"?"))</f>
        <v/>
      </c>
      <c r="M3085" s="64">
        <f>IF(tblMovement[[#This Row],[Material]]="","",IF(LEFT(tblMovement[[#This Row],[Material]],3)="Ore",1,0))</f>
        <v/>
      </c>
      <c r="N3085" s="59">
        <f>IF(OR(tblMovement[[#This Row],[Tonnes_t]]="",tblMovement[[#This Row],[Grade_gpt]]=""),0,tblMovement[[#This Row],[Tonnes_t]]*tblMovement[[#This Row],[Grade_gpt]]/cfg_TroyOz)</f>
        <v/>
      </c>
      <c r="O3085" s="59">
        <f>IF(tblMovement[[#This Row],[Is_Ore]]=1,tblMovement[[#This Row],[Contained_oz]],0)</f>
        <v/>
      </c>
    </row>
    <row r="3086">
      <c r="A3086" s="54" t="n"/>
      <c r="B3086" s="61" t="n"/>
      <c r="C3086" s="61" t="n"/>
      <c r="D3086" s="61" t="n"/>
      <c r="E3086" s="61" t="n"/>
      <c r="F3086" s="55" t="n"/>
      <c r="G3086" s="56" t="n"/>
      <c r="H3086" s="55" t="n"/>
      <c r="I3086" s="62" t="n"/>
      <c r="J3086" s="58" t="n"/>
      <c r="K3086" s="63">
        <f>IF(tblMovement[[#This Row],[Source]]="","",IFERROR(INDEX(tblSources[Type],MATCH(tblMovement[[#This Row],[Source]],tblSources[Source],0)),"?"))</f>
        <v/>
      </c>
      <c r="L3086" s="63">
        <f>IF(tblMovement[[#This Row],[Destination]]="","",IFERROR(INDEX(tblDestinations[Type],MATCH(tblMovement[[#This Row],[Destination]],tblDestinations[Destination],0)),"?"))</f>
        <v/>
      </c>
      <c r="M3086" s="64">
        <f>IF(tblMovement[[#This Row],[Material]]="","",IF(LEFT(tblMovement[[#This Row],[Material]],3)="Ore",1,0))</f>
        <v/>
      </c>
      <c r="N3086" s="59">
        <f>IF(OR(tblMovement[[#This Row],[Tonnes_t]]="",tblMovement[[#This Row],[Grade_gpt]]=""),0,tblMovement[[#This Row],[Tonnes_t]]*tblMovement[[#This Row],[Grade_gpt]]/cfg_TroyOz)</f>
        <v/>
      </c>
      <c r="O3086" s="59">
        <f>IF(tblMovement[[#This Row],[Is_Ore]]=1,tblMovement[[#This Row],[Contained_oz]],0)</f>
        <v/>
      </c>
    </row>
    <row r="3087">
      <c r="A3087" s="54" t="n"/>
      <c r="B3087" s="61" t="n"/>
      <c r="C3087" s="61" t="n"/>
      <c r="D3087" s="61" t="n"/>
      <c r="E3087" s="61" t="n"/>
      <c r="F3087" s="55" t="n"/>
      <c r="G3087" s="56" t="n"/>
      <c r="H3087" s="55" t="n"/>
      <c r="I3087" s="62" t="n"/>
      <c r="J3087" s="58" t="n"/>
      <c r="K3087" s="63">
        <f>IF(tblMovement[[#This Row],[Source]]="","",IFERROR(INDEX(tblSources[Type],MATCH(tblMovement[[#This Row],[Source]],tblSources[Source],0)),"?"))</f>
        <v/>
      </c>
      <c r="L3087" s="63">
        <f>IF(tblMovement[[#This Row],[Destination]]="","",IFERROR(INDEX(tblDestinations[Type],MATCH(tblMovement[[#This Row],[Destination]],tblDestinations[Destination],0)),"?"))</f>
        <v/>
      </c>
      <c r="M3087" s="64">
        <f>IF(tblMovement[[#This Row],[Material]]="","",IF(LEFT(tblMovement[[#This Row],[Material]],3)="Ore",1,0))</f>
        <v/>
      </c>
      <c r="N3087" s="59">
        <f>IF(OR(tblMovement[[#This Row],[Tonnes_t]]="",tblMovement[[#This Row],[Grade_gpt]]=""),0,tblMovement[[#This Row],[Tonnes_t]]*tblMovement[[#This Row],[Grade_gpt]]/cfg_TroyOz)</f>
        <v/>
      </c>
      <c r="O3087" s="59">
        <f>IF(tblMovement[[#This Row],[Is_Ore]]=1,tblMovement[[#This Row],[Contained_oz]],0)</f>
        <v/>
      </c>
    </row>
    <row r="3088">
      <c r="A3088" s="54" t="n"/>
      <c r="B3088" s="61" t="n"/>
      <c r="C3088" s="61" t="n"/>
      <c r="D3088" s="61" t="n"/>
      <c r="E3088" s="61" t="n"/>
      <c r="F3088" s="55" t="n"/>
      <c r="G3088" s="56" t="n"/>
      <c r="H3088" s="55" t="n"/>
      <c r="I3088" s="62" t="n"/>
      <c r="J3088" s="58" t="n"/>
      <c r="K3088" s="63">
        <f>IF(tblMovement[[#This Row],[Source]]="","",IFERROR(INDEX(tblSources[Type],MATCH(tblMovement[[#This Row],[Source]],tblSources[Source],0)),"?"))</f>
        <v/>
      </c>
      <c r="L3088" s="63">
        <f>IF(tblMovement[[#This Row],[Destination]]="","",IFERROR(INDEX(tblDestinations[Type],MATCH(tblMovement[[#This Row],[Destination]],tblDestinations[Destination],0)),"?"))</f>
        <v/>
      </c>
      <c r="M3088" s="64">
        <f>IF(tblMovement[[#This Row],[Material]]="","",IF(LEFT(tblMovement[[#This Row],[Material]],3)="Ore",1,0))</f>
        <v/>
      </c>
      <c r="N3088" s="59">
        <f>IF(OR(tblMovement[[#This Row],[Tonnes_t]]="",tblMovement[[#This Row],[Grade_gpt]]=""),0,tblMovement[[#This Row],[Tonnes_t]]*tblMovement[[#This Row],[Grade_gpt]]/cfg_TroyOz)</f>
        <v/>
      </c>
      <c r="O3088" s="59">
        <f>IF(tblMovement[[#This Row],[Is_Ore]]=1,tblMovement[[#This Row],[Contained_oz]],0)</f>
        <v/>
      </c>
    </row>
    <row r="3089">
      <c r="A3089" s="54" t="n"/>
      <c r="B3089" s="61" t="n"/>
      <c r="C3089" s="61" t="n"/>
      <c r="D3089" s="61" t="n"/>
      <c r="E3089" s="61" t="n"/>
      <c r="F3089" s="55" t="n"/>
      <c r="G3089" s="56" t="n"/>
      <c r="H3089" s="55" t="n"/>
      <c r="I3089" s="62" t="n"/>
      <c r="J3089" s="58" t="n"/>
      <c r="K3089" s="63">
        <f>IF(tblMovement[[#This Row],[Source]]="","",IFERROR(INDEX(tblSources[Type],MATCH(tblMovement[[#This Row],[Source]],tblSources[Source],0)),"?"))</f>
        <v/>
      </c>
      <c r="L3089" s="63">
        <f>IF(tblMovement[[#This Row],[Destination]]="","",IFERROR(INDEX(tblDestinations[Type],MATCH(tblMovement[[#This Row],[Destination]],tblDestinations[Destination],0)),"?"))</f>
        <v/>
      </c>
      <c r="M3089" s="64">
        <f>IF(tblMovement[[#This Row],[Material]]="","",IF(LEFT(tblMovement[[#This Row],[Material]],3)="Ore",1,0))</f>
        <v/>
      </c>
      <c r="N3089" s="59">
        <f>IF(OR(tblMovement[[#This Row],[Tonnes_t]]="",tblMovement[[#This Row],[Grade_gpt]]=""),0,tblMovement[[#This Row],[Tonnes_t]]*tblMovement[[#This Row],[Grade_gpt]]/cfg_TroyOz)</f>
        <v/>
      </c>
      <c r="O3089" s="59">
        <f>IF(tblMovement[[#This Row],[Is_Ore]]=1,tblMovement[[#This Row],[Contained_oz]],0)</f>
        <v/>
      </c>
    </row>
    <row r="3090">
      <c r="A3090" s="54" t="n"/>
      <c r="B3090" s="61" t="n"/>
      <c r="C3090" s="61" t="n"/>
      <c r="D3090" s="61" t="n"/>
      <c r="E3090" s="61" t="n"/>
      <c r="F3090" s="55" t="n"/>
      <c r="G3090" s="56" t="n"/>
      <c r="H3090" s="55" t="n"/>
      <c r="I3090" s="62" t="n"/>
      <c r="J3090" s="58" t="n"/>
      <c r="K3090" s="63">
        <f>IF(tblMovement[[#This Row],[Source]]="","",IFERROR(INDEX(tblSources[Type],MATCH(tblMovement[[#This Row],[Source]],tblSources[Source],0)),"?"))</f>
        <v/>
      </c>
      <c r="L3090" s="63">
        <f>IF(tblMovement[[#This Row],[Destination]]="","",IFERROR(INDEX(tblDestinations[Type],MATCH(tblMovement[[#This Row],[Destination]],tblDestinations[Destination],0)),"?"))</f>
        <v/>
      </c>
      <c r="M3090" s="64">
        <f>IF(tblMovement[[#This Row],[Material]]="","",IF(LEFT(tblMovement[[#This Row],[Material]],3)="Ore",1,0))</f>
        <v/>
      </c>
      <c r="N3090" s="59">
        <f>IF(OR(tblMovement[[#This Row],[Tonnes_t]]="",tblMovement[[#This Row],[Grade_gpt]]=""),0,tblMovement[[#This Row],[Tonnes_t]]*tblMovement[[#This Row],[Grade_gpt]]/cfg_TroyOz)</f>
        <v/>
      </c>
      <c r="O3090" s="59">
        <f>IF(tblMovement[[#This Row],[Is_Ore]]=1,tblMovement[[#This Row],[Contained_oz]],0)</f>
        <v/>
      </c>
    </row>
    <row r="3091">
      <c r="A3091" s="54" t="n"/>
      <c r="B3091" s="61" t="n"/>
      <c r="C3091" s="61" t="n"/>
      <c r="D3091" s="61" t="n"/>
      <c r="E3091" s="61" t="n"/>
      <c r="F3091" s="55" t="n"/>
      <c r="G3091" s="56" t="n"/>
      <c r="H3091" s="55" t="n"/>
      <c r="I3091" s="62" t="n"/>
      <c r="J3091" s="58" t="n"/>
      <c r="K3091" s="63">
        <f>IF(tblMovement[[#This Row],[Source]]="","",IFERROR(INDEX(tblSources[Type],MATCH(tblMovement[[#This Row],[Source]],tblSources[Source],0)),"?"))</f>
        <v/>
      </c>
      <c r="L3091" s="63">
        <f>IF(tblMovement[[#This Row],[Destination]]="","",IFERROR(INDEX(tblDestinations[Type],MATCH(tblMovement[[#This Row],[Destination]],tblDestinations[Destination],0)),"?"))</f>
        <v/>
      </c>
      <c r="M3091" s="64">
        <f>IF(tblMovement[[#This Row],[Material]]="","",IF(LEFT(tblMovement[[#This Row],[Material]],3)="Ore",1,0))</f>
        <v/>
      </c>
      <c r="N3091" s="59">
        <f>IF(OR(tblMovement[[#This Row],[Tonnes_t]]="",tblMovement[[#This Row],[Grade_gpt]]=""),0,tblMovement[[#This Row],[Tonnes_t]]*tblMovement[[#This Row],[Grade_gpt]]/cfg_TroyOz)</f>
        <v/>
      </c>
      <c r="O3091" s="59">
        <f>IF(tblMovement[[#This Row],[Is_Ore]]=1,tblMovement[[#This Row],[Contained_oz]],0)</f>
        <v/>
      </c>
    </row>
    <row r="3092">
      <c r="A3092" s="54" t="n"/>
      <c r="B3092" s="61" t="n"/>
      <c r="C3092" s="61" t="n"/>
      <c r="D3092" s="61" t="n"/>
      <c r="E3092" s="61" t="n"/>
      <c r="F3092" s="55" t="n"/>
      <c r="G3092" s="56" t="n"/>
      <c r="H3092" s="55" t="n"/>
      <c r="I3092" s="62" t="n"/>
      <c r="J3092" s="58" t="n"/>
      <c r="K3092" s="63">
        <f>IF(tblMovement[[#This Row],[Source]]="","",IFERROR(INDEX(tblSources[Type],MATCH(tblMovement[[#This Row],[Source]],tblSources[Source],0)),"?"))</f>
        <v/>
      </c>
      <c r="L3092" s="63">
        <f>IF(tblMovement[[#This Row],[Destination]]="","",IFERROR(INDEX(tblDestinations[Type],MATCH(tblMovement[[#This Row],[Destination]],tblDestinations[Destination],0)),"?"))</f>
        <v/>
      </c>
      <c r="M3092" s="64">
        <f>IF(tblMovement[[#This Row],[Material]]="","",IF(LEFT(tblMovement[[#This Row],[Material]],3)="Ore",1,0))</f>
        <v/>
      </c>
      <c r="N3092" s="59">
        <f>IF(OR(tblMovement[[#This Row],[Tonnes_t]]="",tblMovement[[#This Row],[Grade_gpt]]=""),0,tblMovement[[#This Row],[Tonnes_t]]*tblMovement[[#This Row],[Grade_gpt]]/cfg_TroyOz)</f>
        <v/>
      </c>
      <c r="O3092" s="59">
        <f>IF(tblMovement[[#This Row],[Is_Ore]]=1,tblMovement[[#This Row],[Contained_oz]],0)</f>
        <v/>
      </c>
    </row>
    <row r="3093">
      <c r="A3093" s="54" t="n"/>
      <c r="B3093" s="61" t="n"/>
      <c r="C3093" s="61" t="n"/>
      <c r="D3093" s="61" t="n"/>
      <c r="E3093" s="61" t="n"/>
      <c r="F3093" s="55" t="n"/>
      <c r="G3093" s="56" t="n"/>
      <c r="H3093" s="55" t="n"/>
      <c r="I3093" s="62" t="n"/>
      <c r="J3093" s="58" t="n"/>
      <c r="K3093" s="63">
        <f>IF(tblMovement[[#This Row],[Source]]="","",IFERROR(INDEX(tblSources[Type],MATCH(tblMovement[[#This Row],[Source]],tblSources[Source],0)),"?"))</f>
        <v/>
      </c>
      <c r="L3093" s="63">
        <f>IF(tblMovement[[#This Row],[Destination]]="","",IFERROR(INDEX(tblDestinations[Type],MATCH(tblMovement[[#This Row],[Destination]],tblDestinations[Destination],0)),"?"))</f>
        <v/>
      </c>
      <c r="M3093" s="64">
        <f>IF(tblMovement[[#This Row],[Material]]="","",IF(LEFT(tblMovement[[#This Row],[Material]],3)="Ore",1,0))</f>
        <v/>
      </c>
      <c r="N3093" s="59">
        <f>IF(OR(tblMovement[[#This Row],[Tonnes_t]]="",tblMovement[[#This Row],[Grade_gpt]]=""),0,tblMovement[[#This Row],[Tonnes_t]]*tblMovement[[#This Row],[Grade_gpt]]/cfg_TroyOz)</f>
        <v/>
      </c>
      <c r="O3093" s="59">
        <f>IF(tblMovement[[#This Row],[Is_Ore]]=1,tblMovement[[#This Row],[Contained_oz]],0)</f>
        <v/>
      </c>
    </row>
    <row r="3094">
      <c r="A3094" s="54" t="n"/>
      <c r="B3094" s="61" t="n"/>
      <c r="C3094" s="61" t="n"/>
      <c r="D3094" s="61" t="n"/>
      <c r="E3094" s="61" t="n"/>
      <c r="F3094" s="55" t="n"/>
      <c r="G3094" s="56" t="n"/>
      <c r="H3094" s="55" t="n"/>
      <c r="I3094" s="62" t="n"/>
      <c r="J3094" s="58" t="n"/>
      <c r="K3094" s="63">
        <f>IF(tblMovement[[#This Row],[Source]]="","",IFERROR(INDEX(tblSources[Type],MATCH(tblMovement[[#This Row],[Source]],tblSources[Source],0)),"?"))</f>
        <v/>
      </c>
      <c r="L3094" s="63">
        <f>IF(tblMovement[[#This Row],[Destination]]="","",IFERROR(INDEX(tblDestinations[Type],MATCH(tblMovement[[#This Row],[Destination]],tblDestinations[Destination],0)),"?"))</f>
        <v/>
      </c>
      <c r="M3094" s="64">
        <f>IF(tblMovement[[#This Row],[Material]]="","",IF(LEFT(tblMovement[[#This Row],[Material]],3)="Ore",1,0))</f>
        <v/>
      </c>
      <c r="N3094" s="59">
        <f>IF(OR(tblMovement[[#This Row],[Tonnes_t]]="",tblMovement[[#This Row],[Grade_gpt]]=""),0,tblMovement[[#This Row],[Tonnes_t]]*tblMovement[[#This Row],[Grade_gpt]]/cfg_TroyOz)</f>
        <v/>
      </c>
      <c r="O3094" s="59">
        <f>IF(tblMovement[[#This Row],[Is_Ore]]=1,tblMovement[[#This Row],[Contained_oz]],0)</f>
        <v/>
      </c>
    </row>
    <row r="3095">
      <c r="A3095" s="54" t="n"/>
      <c r="B3095" s="61" t="n"/>
      <c r="C3095" s="61" t="n"/>
      <c r="D3095" s="61" t="n"/>
      <c r="E3095" s="61" t="n"/>
      <c r="F3095" s="55" t="n"/>
      <c r="G3095" s="56" t="n"/>
      <c r="H3095" s="55" t="n"/>
      <c r="I3095" s="62" t="n"/>
      <c r="J3095" s="58" t="n"/>
      <c r="K3095" s="63">
        <f>IF(tblMovement[[#This Row],[Source]]="","",IFERROR(INDEX(tblSources[Type],MATCH(tblMovement[[#This Row],[Source]],tblSources[Source],0)),"?"))</f>
        <v/>
      </c>
      <c r="L3095" s="63">
        <f>IF(tblMovement[[#This Row],[Destination]]="","",IFERROR(INDEX(tblDestinations[Type],MATCH(tblMovement[[#This Row],[Destination]],tblDestinations[Destination],0)),"?"))</f>
        <v/>
      </c>
      <c r="M3095" s="64">
        <f>IF(tblMovement[[#This Row],[Material]]="","",IF(LEFT(tblMovement[[#This Row],[Material]],3)="Ore",1,0))</f>
        <v/>
      </c>
      <c r="N3095" s="59">
        <f>IF(OR(tblMovement[[#This Row],[Tonnes_t]]="",tblMovement[[#This Row],[Grade_gpt]]=""),0,tblMovement[[#This Row],[Tonnes_t]]*tblMovement[[#This Row],[Grade_gpt]]/cfg_TroyOz)</f>
        <v/>
      </c>
      <c r="O3095" s="59">
        <f>IF(tblMovement[[#This Row],[Is_Ore]]=1,tblMovement[[#This Row],[Contained_oz]],0)</f>
        <v/>
      </c>
    </row>
    <row r="3096">
      <c r="A3096" s="54" t="n"/>
      <c r="B3096" s="61" t="n"/>
      <c r="C3096" s="61" t="n"/>
      <c r="D3096" s="61" t="n"/>
      <c r="E3096" s="61" t="n"/>
      <c r="F3096" s="55" t="n"/>
      <c r="G3096" s="56" t="n"/>
      <c r="H3096" s="55" t="n"/>
      <c r="I3096" s="62" t="n"/>
      <c r="J3096" s="58" t="n"/>
      <c r="K3096" s="63">
        <f>IF(tblMovement[[#This Row],[Source]]="","",IFERROR(INDEX(tblSources[Type],MATCH(tblMovement[[#This Row],[Source]],tblSources[Source],0)),"?"))</f>
        <v/>
      </c>
      <c r="L3096" s="63">
        <f>IF(tblMovement[[#This Row],[Destination]]="","",IFERROR(INDEX(tblDestinations[Type],MATCH(tblMovement[[#This Row],[Destination]],tblDestinations[Destination],0)),"?"))</f>
        <v/>
      </c>
      <c r="M3096" s="64">
        <f>IF(tblMovement[[#This Row],[Material]]="","",IF(LEFT(tblMovement[[#This Row],[Material]],3)="Ore",1,0))</f>
        <v/>
      </c>
      <c r="N3096" s="59">
        <f>IF(OR(tblMovement[[#This Row],[Tonnes_t]]="",tblMovement[[#This Row],[Grade_gpt]]=""),0,tblMovement[[#This Row],[Tonnes_t]]*tblMovement[[#This Row],[Grade_gpt]]/cfg_TroyOz)</f>
        <v/>
      </c>
      <c r="O3096" s="59">
        <f>IF(tblMovement[[#This Row],[Is_Ore]]=1,tblMovement[[#This Row],[Contained_oz]],0)</f>
        <v/>
      </c>
    </row>
    <row r="3097">
      <c r="A3097" s="54" t="n"/>
      <c r="B3097" s="61" t="n"/>
      <c r="C3097" s="61" t="n"/>
      <c r="D3097" s="61" t="n"/>
      <c r="E3097" s="61" t="n"/>
      <c r="F3097" s="55" t="n"/>
      <c r="G3097" s="56" t="n"/>
      <c r="H3097" s="55" t="n"/>
      <c r="I3097" s="62" t="n"/>
      <c r="J3097" s="58" t="n"/>
      <c r="K3097" s="63">
        <f>IF(tblMovement[[#This Row],[Source]]="","",IFERROR(INDEX(tblSources[Type],MATCH(tblMovement[[#This Row],[Source]],tblSources[Source],0)),"?"))</f>
        <v/>
      </c>
      <c r="L3097" s="63">
        <f>IF(tblMovement[[#This Row],[Destination]]="","",IFERROR(INDEX(tblDestinations[Type],MATCH(tblMovement[[#This Row],[Destination]],tblDestinations[Destination],0)),"?"))</f>
        <v/>
      </c>
      <c r="M3097" s="64">
        <f>IF(tblMovement[[#This Row],[Material]]="","",IF(LEFT(tblMovement[[#This Row],[Material]],3)="Ore",1,0))</f>
        <v/>
      </c>
      <c r="N3097" s="59">
        <f>IF(OR(tblMovement[[#This Row],[Tonnes_t]]="",tblMovement[[#This Row],[Grade_gpt]]=""),0,tblMovement[[#This Row],[Tonnes_t]]*tblMovement[[#This Row],[Grade_gpt]]/cfg_TroyOz)</f>
        <v/>
      </c>
      <c r="O3097" s="59">
        <f>IF(tblMovement[[#This Row],[Is_Ore]]=1,tblMovement[[#This Row],[Contained_oz]],0)</f>
        <v/>
      </c>
    </row>
    <row r="3098">
      <c r="A3098" s="54" t="n"/>
      <c r="B3098" s="61" t="n"/>
      <c r="C3098" s="61" t="n"/>
      <c r="D3098" s="61" t="n"/>
      <c r="E3098" s="61" t="n"/>
      <c r="F3098" s="55" t="n"/>
      <c r="G3098" s="56" t="n"/>
      <c r="H3098" s="55" t="n"/>
      <c r="I3098" s="62" t="n"/>
      <c r="J3098" s="58" t="n"/>
      <c r="K3098" s="63">
        <f>IF(tblMovement[[#This Row],[Source]]="","",IFERROR(INDEX(tblSources[Type],MATCH(tblMovement[[#This Row],[Source]],tblSources[Source],0)),"?"))</f>
        <v/>
      </c>
      <c r="L3098" s="63">
        <f>IF(tblMovement[[#This Row],[Destination]]="","",IFERROR(INDEX(tblDestinations[Type],MATCH(tblMovement[[#This Row],[Destination]],tblDestinations[Destination],0)),"?"))</f>
        <v/>
      </c>
      <c r="M3098" s="64">
        <f>IF(tblMovement[[#This Row],[Material]]="","",IF(LEFT(tblMovement[[#This Row],[Material]],3)="Ore",1,0))</f>
        <v/>
      </c>
      <c r="N3098" s="59">
        <f>IF(OR(tblMovement[[#This Row],[Tonnes_t]]="",tblMovement[[#This Row],[Grade_gpt]]=""),0,tblMovement[[#This Row],[Tonnes_t]]*tblMovement[[#This Row],[Grade_gpt]]/cfg_TroyOz)</f>
        <v/>
      </c>
      <c r="O3098" s="59">
        <f>IF(tblMovement[[#This Row],[Is_Ore]]=1,tblMovement[[#This Row],[Contained_oz]],0)</f>
        <v/>
      </c>
    </row>
    <row r="3099">
      <c r="A3099" s="54" t="n"/>
      <c r="B3099" s="61" t="n"/>
      <c r="C3099" s="61" t="n"/>
      <c r="D3099" s="61" t="n"/>
      <c r="E3099" s="61" t="n"/>
      <c r="F3099" s="55" t="n"/>
      <c r="G3099" s="56" t="n"/>
      <c r="H3099" s="55" t="n"/>
      <c r="I3099" s="62" t="n"/>
      <c r="J3099" s="58" t="n"/>
      <c r="K3099" s="63">
        <f>IF(tblMovement[[#This Row],[Source]]="","",IFERROR(INDEX(tblSources[Type],MATCH(tblMovement[[#This Row],[Source]],tblSources[Source],0)),"?"))</f>
        <v/>
      </c>
      <c r="L3099" s="63">
        <f>IF(tblMovement[[#This Row],[Destination]]="","",IFERROR(INDEX(tblDestinations[Type],MATCH(tblMovement[[#This Row],[Destination]],tblDestinations[Destination],0)),"?"))</f>
        <v/>
      </c>
      <c r="M3099" s="64">
        <f>IF(tblMovement[[#This Row],[Material]]="","",IF(LEFT(tblMovement[[#This Row],[Material]],3)="Ore",1,0))</f>
        <v/>
      </c>
      <c r="N3099" s="59">
        <f>IF(OR(tblMovement[[#This Row],[Tonnes_t]]="",tblMovement[[#This Row],[Grade_gpt]]=""),0,tblMovement[[#This Row],[Tonnes_t]]*tblMovement[[#This Row],[Grade_gpt]]/cfg_TroyOz)</f>
        <v/>
      </c>
      <c r="O3099" s="59">
        <f>IF(tblMovement[[#This Row],[Is_Ore]]=1,tblMovement[[#This Row],[Contained_oz]],0)</f>
        <v/>
      </c>
    </row>
    <row r="3100">
      <c r="A3100" s="54" t="n"/>
      <c r="B3100" s="61" t="n"/>
      <c r="C3100" s="61" t="n"/>
      <c r="D3100" s="61" t="n"/>
      <c r="E3100" s="61" t="n"/>
      <c r="F3100" s="55" t="n"/>
      <c r="G3100" s="56" t="n"/>
      <c r="H3100" s="55" t="n"/>
      <c r="I3100" s="62" t="n"/>
      <c r="J3100" s="58" t="n"/>
      <c r="K3100" s="63">
        <f>IF(tblMovement[[#This Row],[Source]]="","",IFERROR(INDEX(tblSources[Type],MATCH(tblMovement[[#This Row],[Source]],tblSources[Source],0)),"?"))</f>
        <v/>
      </c>
      <c r="L3100" s="63">
        <f>IF(tblMovement[[#This Row],[Destination]]="","",IFERROR(INDEX(tblDestinations[Type],MATCH(tblMovement[[#This Row],[Destination]],tblDestinations[Destination],0)),"?"))</f>
        <v/>
      </c>
      <c r="M3100" s="64">
        <f>IF(tblMovement[[#This Row],[Material]]="","",IF(LEFT(tblMovement[[#This Row],[Material]],3)="Ore",1,0))</f>
        <v/>
      </c>
      <c r="N3100" s="59">
        <f>IF(OR(tblMovement[[#This Row],[Tonnes_t]]="",tblMovement[[#This Row],[Grade_gpt]]=""),0,tblMovement[[#This Row],[Tonnes_t]]*tblMovement[[#This Row],[Grade_gpt]]/cfg_TroyOz)</f>
        <v/>
      </c>
      <c r="O3100" s="59">
        <f>IF(tblMovement[[#This Row],[Is_Ore]]=1,tblMovement[[#This Row],[Contained_oz]],0)</f>
        <v/>
      </c>
    </row>
    <row r="3101">
      <c r="A3101" s="54" t="n"/>
      <c r="B3101" s="61" t="n"/>
      <c r="C3101" s="61" t="n"/>
      <c r="D3101" s="61" t="n"/>
      <c r="E3101" s="61" t="n"/>
      <c r="F3101" s="55" t="n"/>
      <c r="G3101" s="56" t="n"/>
      <c r="H3101" s="55" t="n"/>
      <c r="I3101" s="62" t="n"/>
      <c r="J3101" s="58" t="n"/>
      <c r="K3101" s="63">
        <f>IF(tblMovement[[#This Row],[Source]]="","",IFERROR(INDEX(tblSources[Type],MATCH(tblMovement[[#This Row],[Source]],tblSources[Source],0)),"?"))</f>
        <v/>
      </c>
      <c r="L3101" s="63">
        <f>IF(tblMovement[[#This Row],[Destination]]="","",IFERROR(INDEX(tblDestinations[Type],MATCH(tblMovement[[#This Row],[Destination]],tblDestinations[Destination],0)),"?"))</f>
        <v/>
      </c>
      <c r="M3101" s="64">
        <f>IF(tblMovement[[#This Row],[Material]]="","",IF(LEFT(tblMovement[[#This Row],[Material]],3)="Ore",1,0))</f>
        <v/>
      </c>
      <c r="N3101" s="59">
        <f>IF(OR(tblMovement[[#This Row],[Tonnes_t]]="",tblMovement[[#This Row],[Grade_gpt]]=""),0,tblMovement[[#This Row],[Tonnes_t]]*tblMovement[[#This Row],[Grade_gpt]]/cfg_TroyOz)</f>
        <v/>
      </c>
      <c r="O3101" s="59">
        <f>IF(tblMovement[[#This Row],[Is_Ore]]=1,tblMovement[[#This Row],[Contained_oz]],0)</f>
        <v/>
      </c>
    </row>
    <row r="3102">
      <c r="A3102" s="54" t="n"/>
      <c r="B3102" s="61" t="n"/>
      <c r="C3102" s="61" t="n"/>
      <c r="D3102" s="61" t="n"/>
      <c r="E3102" s="61" t="n"/>
      <c r="F3102" s="55" t="n"/>
      <c r="G3102" s="56" t="n"/>
      <c r="H3102" s="55" t="n"/>
      <c r="I3102" s="62" t="n"/>
      <c r="J3102" s="58" t="n"/>
      <c r="K3102" s="63">
        <f>IF(tblMovement[[#This Row],[Source]]="","",IFERROR(INDEX(tblSources[Type],MATCH(tblMovement[[#This Row],[Source]],tblSources[Source],0)),"?"))</f>
        <v/>
      </c>
      <c r="L3102" s="63">
        <f>IF(tblMovement[[#This Row],[Destination]]="","",IFERROR(INDEX(tblDestinations[Type],MATCH(tblMovement[[#This Row],[Destination]],tblDestinations[Destination],0)),"?"))</f>
        <v/>
      </c>
      <c r="M3102" s="64">
        <f>IF(tblMovement[[#This Row],[Material]]="","",IF(LEFT(tblMovement[[#This Row],[Material]],3)="Ore",1,0))</f>
        <v/>
      </c>
      <c r="N3102" s="59">
        <f>IF(OR(tblMovement[[#This Row],[Tonnes_t]]="",tblMovement[[#This Row],[Grade_gpt]]=""),0,tblMovement[[#This Row],[Tonnes_t]]*tblMovement[[#This Row],[Grade_gpt]]/cfg_TroyOz)</f>
        <v/>
      </c>
      <c r="O3102" s="59">
        <f>IF(tblMovement[[#This Row],[Is_Ore]]=1,tblMovement[[#This Row],[Contained_oz]],0)</f>
        <v/>
      </c>
    </row>
    <row r="3103">
      <c r="A3103" s="54" t="n"/>
      <c r="B3103" s="61" t="n"/>
      <c r="C3103" s="61" t="n"/>
      <c r="D3103" s="61" t="n"/>
      <c r="E3103" s="61" t="n"/>
      <c r="F3103" s="55" t="n"/>
      <c r="G3103" s="56" t="n"/>
      <c r="H3103" s="55" t="n"/>
      <c r="I3103" s="62" t="n"/>
      <c r="J3103" s="58" t="n"/>
      <c r="K3103" s="63">
        <f>IF(tblMovement[[#This Row],[Source]]="","",IFERROR(INDEX(tblSources[Type],MATCH(tblMovement[[#This Row],[Source]],tblSources[Source],0)),"?"))</f>
        <v/>
      </c>
      <c r="L3103" s="63">
        <f>IF(tblMovement[[#This Row],[Destination]]="","",IFERROR(INDEX(tblDestinations[Type],MATCH(tblMovement[[#This Row],[Destination]],tblDestinations[Destination],0)),"?"))</f>
        <v/>
      </c>
      <c r="M3103" s="64">
        <f>IF(tblMovement[[#This Row],[Material]]="","",IF(LEFT(tblMovement[[#This Row],[Material]],3)="Ore",1,0))</f>
        <v/>
      </c>
      <c r="N3103" s="59">
        <f>IF(OR(tblMovement[[#This Row],[Tonnes_t]]="",tblMovement[[#This Row],[Grade_gpt]]=""),0,tblMovement[[#This Row],[Tonnes_t]]*tblMovement[[#This Row],[Grade_gpt]]/cfg_TroyOz)</f>
        <v/>
      </c>
      <c r="O3103" s="59">
        <f>IF(tblMovement[[#This Row],[Is_Ore]]=1,tblMovement[[#This Row],[Contained_oz]],0)</f>
        <v/>
      </c>
    </row>
    <row r="3104">
      <c r="A3104" s="54" t="n"/>
      <c r="B3104" s="61" t="n"/>
      <c r="C3104" s="61" t="n"/>
      <c r="D3104" s="61" t="n"/>
      <c r="E3104" s="61" t="n"/>
      <c r="F3104" s="55" t="n"/>
      <c r="G3104" s="56" t="n"/>
      <c r="H3104" s="55" t="n"/>
      <c r="I3104" s="62" t="n"/>
      <c r="J3104" s="58" t="n"/>
      <c r="K3104" s="63">
        <f>IF(tblMovement[[#This Row],[Source]]="","",IFERROR(INDEX(tblSources[Type],MATCH(tblMovement[[#This Row],[Source]],tblSources[Source],0)),"?"))</f>
        <v/>
      </c>
      <c r="L3104" s="63">
        <f>IF(tblMovement[[#This Row],[Destination]]="","",IFERROR(INDEX(tblDestinations[Type],MATCH(tblMovement[[#This Row],[Destination]],tblDestinations[Destination],0)),"?"))</f>
        <v/>
      </c>
      <c r="M3104" s="64">
        <f>IF(tblMovement[[#This Row],[Material]]="","",IF(LEFT(tblMovement[[#This Row],[Material]],3)="Ore",1,0))</f>
        <v/>
      </c>
      <c r="N3104" s="59">
        <f>IF(OR(tblMovement[[#This Row],[Tonnes_t]]="",tblMovement[[#This Row],[Grade_gpt]]=""),0,tblMovement[[#This Row],[Tonnes_t]]*tblMovement[[#This Row],[Grade_gpt]]/cfg_TroyOz)</f>
        <v/>
      </c>
      <c r="O3104" s="59">
        <f>IF(tblMovement[[#This Row],[Is_Ore]]=1,tblMovement[[#This Row],[Contained_oz]],0)</f>
        <v/>
      </c>
    </row>
    <row r="3105">
      <c r="A3105" s="54" t="n"/>
      <c r="B3105" s="61" t="n"/>
      <c r="C3105" s="61" t="n"/>
      <c r="D3105" s="61" t="n"/>
      <c r="E3105" s="61" t="n"/>
      <c r="F3105" s="55" t="n"/>
      <c r="G3105" s="56" t="n"/>
      <c r="H3105" s="55" t="n"/>
      <c r="I3105" s="62" t="n"/>
      <c r="J3105" s="58" t="n"/>
      <c r="K3105" s="63">
        <f>IF(tblMovement[[#This Row],[Source]]="","",IFERROR(INDEX(tblSources[Type],MATCH(tblMovement[[#This Row],[Source]],tblSources[Source],0)),"?"))</f>
        <v/>
      </c>
      <c r="L3105" s="63">
        <f>IF(tblMovement[[#This Row],[Destination]]="","",IFERROR(INDEX(tblDestinations[Type],MATCH(tblMovement[[#This Row],[Destination]],tblDestinations[Destination],0)),"?"))</f>
        <v/>
      </c>
      <c r="M3105" s="64">
        <f>IF(tblMovement[[#This Row],[Material]]="","",IF(LEFT(tblMovement[[#This Row],[Material]],3)="Ore",1,0))</f>
        <v/>
      </c>
      <c r="N3105" s="59">
        <f>IF(OR(tblMovement[[#This Row],[Tonnes_t]]="",tblMovement[[#This Row],[Grade_gpt]]=""),0,tblMovement[[#This Row],[Tonnes_t]]*tblMovement[[#This Row],[Grade_gpt]]/cfg_TroyOz)</f>
        <v/>
      </c>
      <c r="O3105" s="59">
        <f>IF(tblMovement[[#This Row],[Is_Ore]]=1,tblMovement[[#This Row],[Contained_oz]],0)</f>
        <v/>
      </c>
    </row>
    <row r="3106">
      <c r="A3106" s="54" t="n"/>
      <c r="B3106" s="61" t="n"/>
      <c r="C3106" s="61" t="n"/>
      <c r="D3106" s="61" t="n"/>
      <c r="E3106" s="61" t="n"/>
      <c r="F3106" s="55" t="n"/>
      <c r="G3106" s="56" t="n"/>
      <c r="H3106" s="55" t="n"/>
      <c r="I3106" s="62" t="n"/>
      <c r="J3106" s="58" t="n"/>
      <c r="K3106" s="63">
        <f>IF(tblMovement[[#This Row],[Source]]="","",IFERROR(INDEX(tblSources[Type],MATCH(tblMovement[[#This Row],[Source]],tblSources[Source],0)),"?"))</f>
        <v/>
      </c>
      <c r="L3106" s="63">
        <f>IF(tblMovement[[#This Row],[Destination]]="","",IFERROR(INDEX(tblDestinations[Type],MATCH(tblMovement[[#This Row],[Destination]],tblDestinations[Destination],0)),"?"))</f>
        <v/>
      </c>
      <c r="M3106" s="64">
        <f>IF(tblMovement[[#This Row],[Material]]="","",IF(LEFT(tblMovement[[#This Row],[Material]],3)="Ore",1,0))</f>
        <v/>
      </c>
      <c r="N3106" s="59">
        <f>IF(OR(tblMovement[[#This Row],[Tonnes_t]]="",tblMovement[[#This Row],[Grade_gpt]]=""),0,tblMovement[[#This Row],[Tonnes_t]]*tblMovement[[#This Row],[Grade_gpt]]/cfg_TroyOz)</f>
        <v/>
      </c>
      <c r="O3106" s="59">
        <f>IF(tblMovement[[#This Row],[Is_Ore]]=1,tblMovement[[#This Row],[Contained_oz]],0)</f>
        <v/>
      </c>
    </row>
    <row r="3107">
      <c r="A3107" s="54" t="n"/>
      <c r="B3107" s="61" t="n"/>
      <c r="C3107" s="61" t="n"/>
      <c r="D3107" s="61" t="n"/>
      <c r="E3107" s="61" t="n"/>
      <c r="F3107" s="55" t="n"/>
      <c r="G3107" s="56" t="n"/>
      <c r="H3107" s="55" t="n"/>
      <c r="I3107" s="62" t="n"/>
      <c r="J3107" s="58" t="n"/>
      <c r="K3107" s="63">
        <f>IF(tblMovement[[#This Row],[Source]]="","",IFERROR(INDEX(tblSources[Type],MATCH(tblMovement[[#This Row],[Source]],tblSources[Source],0)),"?"))</f>
        <v/>
      </c>
      <c r="L3107" s="63">
        <f>IF(tblMovement[[#This Row],[Destination]]="","",IFERROR(INDEX(tblDestinations[Type],MATCH(tblMovement[[#This Row],[Destination]],tblDestinations[Destination],0)),"?"))</f>
        <v/>
      </c>
      <c r="M3107" s="64">
        <f>IF(tblMovement[[#This Row],[Material]]="","",IF(LEFT(tblMovement[[#This Row],[Material]],3)="Ore",1,0))</f>
        <v/>
      </c>
      <c r="N3107" s="59">
        <f>IF(OR(tblMovement[[#This Row],[Tonnes_t]]="",tblMovement[[#This Row],[Grade_gpt]]=""),0,tblMovement[[#This Row],[Tonnes_t]]*tblMovement[[#This Row],[Grade_gpt]]/cfg_TroyOz)</f>
        <v/>
      </c>
      <c r="O3107" s="59">
        <f>IF(tblMovement[[#This Row],[Is_Ore]]=1,tblMovement[[#This Row],[Contained_oz]],0)</f>
        <v/>
      </c>
    </row>
    <row r="3108">
      <c r="A3108" s="54" t="n"/>
      <c r="B3108" s="61" t="n"/>
      <c r="C3108" s="61" t="n"/>
      <c r="D3108" s="61" t="n"/>
      <c r="E3108" s="61" t="n"/>
      <c r="F3108" s="55" t="n"/>
      <c r="G3108" s="56" t="n"/>
      <c r="H3108" s="55" t="n"/>
      <c r="I3108" s="62" t="n"/>
      <c r="J3108" s="58" t="n"/>
      <c r="K3108" s="63">
        <f>IF(tblMovement[[#This Row],[Source]]="","",IFERROR(INDEX(tblSources[Type],MATCH(tblMovement[[#This Row],[Source]],tblSources[Source],0)),"?"))</f>
        <v/>
      </c>
      <c r="L3108" s="63">
        <f>IF(tblMovement[[#This Row],[Destination]]="","",IFERROR(INDEX(tblDestinations[Type],MATCH(tblMovement[[#This Row],[Destination]],tblDestinations[Destination],0)),"?"))</f>
        <v/>
      </c>
      <c r="M3108" s="64">
        <f>IF(tblMovement[[#This Row],[Material]]="","",IF(LEFT(tblMovement[[#This Row],[Material]],3)="Ore",1,0))</f>
        <v/>
      </c>
      <c r="N3108" s="59">
        <f>IF(OR(tblMovement[[#This Row],[Tonnes_t]]="",tblMovement[[#This Row],[Grade_gpt]]=""),0,tblMovement[[#This Row],[Tonnes_t]]*tblMovement[[#This Row],[Grade_gpt]]/cfg_TroyOz)</f>
        <v/>
      </c>
      <c r="O3108" s="59">
        <f>IF(tblMovement[[#This Row],[Is_Ore]]=1,tblMovement[[#This Row],[Contained_oz]],0)</f>
        <v/>
      </c>
    </row>
    <row r="3109">
      <c r="A3109" s="54" t="n"/>
      <c r="B3109" s="61" t="n"/>
      <c r="C3109" s="61" t="n"/>
      <c r="D3109" s="61" t="n"/>
      <c r="E3109" s="61" t="n"/>
      <c r="F3109" s="55" t="n"/>
      <c r="G3109" s="56" t="n"/>
      <c r="H3109" s="55" t="n"/>
      <c r="I3109" s="62" t="n"/>
      <c r="J3109" s="58" t="n"/>
      <c r="K3109" s="63">
        <f>IF(tblMovement[[#This Row],[Source]]="","",IFERROR(INDEX(tblSources[Type],MATCH(tblMovement[[#This Row],[Source]],tblSources[Source],0)),"?"))</f>
        <v/>
      </c>
      <c r="L3109" s="63">
        <f>IF(tblMovement[[#This Row],[Destination]]="","",IFERROR(INDEX(tblDestinations[Type],MATCH(tblMovement[[#This Row],[Destination]],tblDestinations[Destination],0)),"?"))</f>
        <v/>
      </c>
      <c r="M3109" s="64">
        <f>IF(tblMovement[[#This Row],[Material]]="","",IF(LEFT(tblMovement[[#This Row],[Material]],3)="Ore",1,0))</f>
        <v/>
      </c>
      <c r="N3109" s="59">
        <f>IF(OR(tblMovement[[#This Row],[Tonnes_t]]="",tblMovement[[#This Row],[Grade_gpt]]=""),0,tblMovement[[#This Row],[Tonnes_t]]*tblMovement[[#This Row],[Grade_gpt]]/cfg_TroyOz)</f>
        <v/>
      </c>
      <c r="O3109" s="59">
        <f>IF(tblMovement[[#This Row],[Is_Ore]]=1,tblMovement[[#This Row],[Contained_oz]],0)</f>
        <v/>
      </c>
    </row>
    <row r="3110">
      <c r="A3110" s="54" t="n"/>
      <c r="B3110" s="61" t="n"/>
      <c r="C3110" s="61" t="n"/>
      <c r="D3110" s="61" t="n"/>
      <c r="E3110" s="61" t="n"/>
      <c r="F3110" s="55" t="n"/>
      <c r="G3110" s="56" t="n"/>
      <c r="H3110" s="55" t="n"/>
      <c r="I3110" s="62" t="n"/>
      <c r="J3110" s="58" t="n"/>
      <c r="K3110" s="63">
        <f>IF(tblMovement[[#This Row],[Source]]="","",IFERROR(INDEX(tblSources[Type],MATCH(tblMovement[[#This Row],[Source]],tblSources[Source],0)),"?"))</f>
        <v/>
      </c>
      <c r="L3110" s="63">
        <f>IF(tblMovement[[#This Row],[Destination]]="","",IFERROR(INDEX(tblDestinations[Type],MATCH(tblMovement[[#This Row],[Destination]],tblDestinations[Destination],0)),"?"))</f>
        <v/>
      </c>
      <c r="M3110" s="64">
        <f>IF(tblMovement[[#This Row],[Material]]="","",IF(LEFT(tblMovement[[#This Row],[Material]],3)="Ore",1,0))</f>
        <v/>
      </c>
      <c r="N3110" s="59">
        <f>IF(OR(tblMovement[[#This Row],[Tonnes_t]]="",tblMovement[[#This Row],[Grade_gpt]]=""),0,tblMovement[[#This Row],[Tonnes_t]]*tblMovement[[#This Row],[Grade_gpt]]/cfg_TroyOz)</f>
        <v/>
      </c>
      <c r="O3110" s="59">
        <f>IF(tblMovement[[#This Row],[Is_Ore]]=1,tblMovement[[#This Row],[Contained_oz]],0)</f>
        <v/>
      </c>
    </row>
    <row r="3111">
      <c r="A3111" s="54" t="n"/>
      <c r="B3111" s="61" t="n"/>
      <c r="C3111" s="61" t="n"/>
      <c r="D3111" s="61" t="n"/>
      <c r="E3111" s="61" t="n"/>
      <c r="F3111" s="55" t="n"/>
      <c r="G3111" s="56" t="n"/>
      <c r="H3111" s="55" t="n"/>
      <c r="I3111" s="62" t="n"/>
      <c r="J3111" s="58" t="n"/>
      <c r="K3111" s="63">
        <f>IF(tblMovement[[#This Row],[Source]]="","",IFERROR(INDEX(tblSources[Type],MATCH(tblMovement[[#This Row],[Source]],tblSources[Source],0)),"?"))</f>
        <v/>
      </c>
      <c r="L3111" s="63">
        <f>IF(tblMovement[[#This Row],[Destination]]="","",IFERROR(INDEX(tblDestinations[Type],MATCH(tblMovement[[#This Row],[Destination]],tblDestinations[Destination],0)),"?"))</f>
        <v/>
      </c>
      <c r="M3111" s="64">
        <f>IF(tblMovement[[#This Row],[Material]]="","",IF(LEFT(tblMovement[[#This Row],[Material]],3)="Ore",1,0))</f>
        <v/>
      </c>
      <c r="N3111" s="59">
        <f>IF(OR(tblMovement[[#This Row],[Tonnes_t]]="",tblMovement[[#This Row],[Grade_gpt]]=""),0,tblMovement[[#This Row],[Tonnes_t]]*tblMovement[[#This Row],[Grade_gpt]]/cfg_TroyOz)</f>
        <v/>
      </c>
      <c r="O3111" s="59">
        <f>IF(tblMovement[[#This Row],[Is_Ore]]=1,tblMovement[[#This Row],[Contained_oz]],0)</f>
        <v/>
      </c>
    </row>
    <row r="3112">
      <c r="A3112" s="54" t="n"/>
      <c r="B3112" s="61" t="n"/>
      <c r="C3112" s="61" t="n"/>
      <c r="D3112" s="61" t="n"/>
      <c r="E3112" s="61" t="n"/>
      <c r="F3112" s="55" t="n"/>
      <c r="G3112" s="56" t="n"/>
      <c r="H3112" s="55" t="n"/>
      <c r="I3112" s="62" t="n"/>
      <c r="J3112" s="58" t="n"/>
      <c r="K3112" s="63">
        <f>IF(tblMovement[[#This Row],[Source]]="","",IFERROR(INDEX(tblSources[Type],MATCH(tblMovement[[#This Row],[Source]],tblSources[Source],0)),"?"))</f>
        <v/>
      </c>
      <c r="L3112" s="63">
        <f>IF(tblMovement[[#This Row],[Destination]]="","",IFERROR(INDEX(tblDestinations[Type],MATCH(tblMovement[[#This Row],[Destination]],tblDestinations[Destination],0)),"?"))</f>
        <v/>
      </c>
      <c r="M3112" s="64">
        <f>IF(tblMovement[[#This Row],[Material]]="","",IF(LEFT(tblMovement[[#This Row],[Material]],3)="Ore",1,0))</f>
        <v/>
      </c>
      <c r="N3112" s="59">
        <f>IF(OR(tblMovement[[#This Row],[Tonnes_t]]="",tblMovement[[#This Row],[Grade_gpt]]=""),0,tblMovement[[#This Row],[Tonnes_t]]*tblMovement[[#This Row],[Grade_gpt]]/cfg_TroyOz)</f>
        <v/>
      </c>
      <c r="O3112" s="59">
        <f>IF(tblMovement[[#This Row],[Is_Ore]]=1,tblMovement[[#This Row],[Contained_oz]],0)</f>
        <v/>
      </c>
    </row>
    <row r="3113">
      <c r="A3113" s="54" t="n"/>
      <c r="B3113" s="61" t="n"/>
      <c r="C3113" s="61" t="n"/>
      <c r="D3113" s="61" t="n"/>
      <c r="E3113" s="61" t="n"/>
      <c r="F3113" s="55" t="n"/>
      <c r="G3113" s="56" t="n"/>
      <c r="H3113" s="55" t="n"/>
      <c r="I3113" s="62" t="n"/>
      <c r="J3113" s="58" t="n"/>
      <c r="K3113" s="63">
        <f>IF(tblMovement[[#This Row],[Source]]="","",IFERROR(INDEX(tblSources[Type],MATCH(tblMovement[[#This Row],[Source]],tblSources[Source],0)),"?"))</f>
        <v/>
      </c>
      <c r="L3113" s="63">
        <f>IF(tblMovement[[#This Row],[Destination]]="","",IFERROR(INDEX(tblDestinations[Type],MATCH(tblMovement[[#This Row],[Destination]],tblDestinations[Destination],0)),"?"))</f>
        <v/>
      </c>
      <c r="M3113" s="64">
        <f>IF(tblMovement[[#This Row],[Material]]="","",IF(LEFT(tblMovement[[#This Row],[Material]],3)="Ore",1,0))</f>
        <v/>
      </c>
      <c r="N3113" s="59">
        <f>IF(OR(tblMovement[[#This Row],[Tonnes_t]]="",tblMovement[[#This Row],[Grade_gpt]]=""),0,tblMovement[[#This Row],[Tonnes_t]]*tblMovement[[#This Row],[Grade_gpt]]/cfg_TroyOz)</f>
        <v/>
      </c>
      <c r="O3113" s="59">
        <f>IF(tblMovement[[#This Row],[Is_Ore]]=1,tblMovement[[#This Row],[Contained_oz]],0)</f>
        <v/>
      </c>
    </row>
    <row r="3114">
      <c r="A3114" s="54" t="n"/>
      <c r="B3114" s="61" t="n"/>
      <c r="C3114" s="61" t="n"/>
      <c r="D3114" s="61" t="n"/>
      <c r="E3114" s="61" t="n"/>
      <c r="F3114" s="55" t="n"/>
      <c r="G3114" s="56" t="n"/>
      <c r="H3114" s="55" t="n"/>
      <c r="I3114" s="62" t="n"/>
      <c r="J3114" s="58" t="n"/>
      <c r="K3114" s="63">
        <f>IF(tblMovement[[#This Row],[Source]]="","",IFERROR(INDEX(tblSources[Type],MATCH(tblMovement[[#This Row],[Source]],tblSources[Source],0)),"?"))</f>
        <v/>
      </c>
      <c r="L3114" s="63">
        <f>IF(tblMovement[[#This Row],[Destination]]="","",IFERROR(INDEX(tblDestinations[Type],MATCH(tblMovement[[#This Row],[Destination]],tblDestinations[Destination],0)),"?"))</f>
        <v/>
      </c>
      <c r="M3114" s="64">
        <f>IF(tblMovement[[#This Row],[Material]]="","",IF(LEFT(tblMovement[[#This Row],[Material]],3)="Ore",1,0))</f>
        <v/>
      </c>
      <c r="N3114" s="59">
        <f>IF(OR(tblMovement[[#This Row],[Tonnes_t]]="",tblMovement[[#This Row],[Grade_gpt]]=""),0,tblMovement[[#This Row],[Tonnes_t]]*tblMovement[[#This Row],[Grade_gpt]]/cfg_TroyOz)</f>
        <v/>
      </c>
      <c r="O3114" s="59">
        <f>IF(tblMovement[[#This Row],[Is_Ore]]=1,tblMovement[[#This Row],[Contained_oz]],0)</f>
        <v/>
      </c>
    </row>
    <row r="3115">
      <c r="A3115" s="54" t="n"/>
      <c r="B3115" s="61" t="n"/>
      <c r="C3115" s="61" t="n"/>
      <c r="D3115" s="61" t="n"/>
      <c r="E3115" s="61" t="n"/>
      <c r="F3115" s="55" t="n"/>
      <c r="G3115" s="56" t="n"/>
      <c r="H3115" s="55" t="n"/>
      <c r="I3115" s="62" t="n"/>
      <c r="J3115" s="58" t="n"/>
      <c r="K3115" s="63">
        <f>IF(tblMovement[[#This Row],[Source]]="","",IFERROR(INDEX(tblSources[Type],MATCH(tblMovement[[#This Row],[Source]],tblSources[Source],0)),"?"))</f>
        <v/>
      </c>
      <c r="L3115" s="63">
        <f>IF(tblMovement[[#This Row],[Destination]]="","",IFERROR(INDEX(tblDestinations[Type],MATCH(tblMovement[[#This Row],[Destination]],tblDestinations[Destination],0)),"?"))</f>
        <v/>
      </c>
      <c r="M3115" s="64">
        <f>IF(tblMovement[[#This Row],[Material]]="","",IF(LEFT(tblMovement[[#This Row],[Material]],3)="Ore",1,0))</f>
        <v/>
      </c>
      <c r="N3115" s="59">
        <f>IF(OR(tblMovement[[#This Row],[Tonnes_t]]="",tblMovement[[#This Row],[Grade_gpt]]=""),0,tblMovement[[#This Row],[Tonnes_t]]*tblMovement[[#This Row],[Grade_gpt]]/cfg_TroyOz)</f>
        <v/>
      </c>
      <c r="O3115" s="59">
        <f>IF(tblMovement[[#This Row],[Is_Ore]]=1,tblMovement[[#This Row],[Contained_oz]],0)</f>
        <v/>
      </c>
    </row>
    <row r="3116">
      <c r="A3116" s="54" t="n"/>
      <c r="B3116" s="61" t="n"/>
      <c r="C3116" s="61" t="n"/>
      <c r="D3116" s="61" t="n"/>
      <c r="E3116" s="61" t="n"/>
      <c r="F3116" s="55" t="n"/>
      <c r="G3116" s="56" t="n"/>
      <c r="H3116" s="55" t="n"/>
      <c r="I3116" s="62" t="n"/>
      <c r="J3116" s="58" t="n"/>
      <c r="K3116" s="63">
        <f>IF(tblMovement[[#This Row],[Source]]="","",IFERROR(INDEX(tblSources[Type],MATCH(tblMovement[[#This Row],[Source]],tblSources[Source],0)),"?"))</f>
        <v/>
      </c>
      <c r="L3116" s="63">
        <f>IF(tblMovement[[#This Row],[Destination]]="","",IFERROR(INDEX(tblDestinations[Type],MATCH(tblMovement[[#This Row],[Destination]],tblDestinations[Destination],0)),"?"))</f>
        <v/>
      </c>
      <c r="M3116" s="64">
        <f>IF(tblMovement[[#This Row],[Material]]="","",IF(LEFT(tblMovement[[#This Row],[Material]],3)="Ore",1,0))</f>
        <v/>
      </c>
      <c r="N3116" s="59">
        <f>IF(OR(tblMovement[[#This Row],[Tonnes_t]]="",tblMovement[[#This Row],[Grade_gpt]]=""),0,tblMovement[[#This Row],[Tonnes_t]]*tblMovement[[#This Row],[Grade_gpt]]/cfg_TroyOz)</f>
        <v/>
      </c>
      <c r="O3116" s="59">
        <f>IF(tblMovement[[#This Row],[Is_Ore]]=1,tblMovement[[#This Row],[Contained_oz]],0)</f>
        <v/>
      </c>
    </row>
    <row r="3117">
      <c r="A3117" s="54" t="n"/>
      <c r="B3117" s="61" t="n"/>
      <c r="C3117" s="61" t="n"/>
      <c r="D3117" s="61" t="n"/>
      <c r="E3117" s="61" t="n"/>
      <c r="F3117" s="55" t="n"/>
      <c r="G3117" s="56" t="n"/>
      <c r="H3117" s="55" t="n"/>
      <c r="I3117" s="62" t="n"/>
      <c r="J3117" s="58" t="n"/>
      <c r="K3117" s="63">
        <f>IF(tblMovement[[#This Row],[Source]]="","",IFERROR(INDEX(tblSources[Type],MATCH(tblMovement[[#This Row],[Source]],tblSources[Source],0)),"?"))</f>
        <v/>
      </c>
      <c r="L3117" s="63">
        <f>IF(tblMovement[[#This Row],[Destination]]="","",IFERROR(INDEX(tblDestinations[Type],MATCH(tblMovement[[#This Row],[Destination]],tblDestinations[Destination],0)),"?"))</f>
        <v/>
      </c>
      <c r="M3117" s="64">
        <f>IF(tblMovement[[#This Row],[Material]]="","",IF(LEFT(tblMovement[[#This Row],[Material]],3)="Ore",1,0))</f>
        <v/>
      </c>
      <c r="N3117" s="59">
        <f>IF(OR(tblMovement[[#This Row],[Tonnes_t]]="",tblMovement[[#This Row],[Grade_gpt]]=""),0,tblMovement[[#This Row],[Tonnes_t]]*tblMovement[[#This Row],[Grade_gpt]]/cfg_TroyOz)</f>
        <v/>
      </c>
      <c r="O3117" s="59">
        <f>IF(tblMovement[[#This Row],[Is_Ore]]=1,tblMovement[[#This Row],[Contained_oz]],0)</f>
        <v/>
      </c>
    </row>
    <row r="3118">
      <c r="A3118" s="54" t="n"/>
      <c r="B3118" s="61" t="n"/>
      <c r="C3118" s="61" t="n"/>
      <c r="D3118" s="61" t="n"/>
      <c r="E3118" s="61" t="n"/>
      <c r="F3118" s="55" t="n"/>
      <c r="G3118" s="56" t="n"/>
      <c r="H3118" s="55" t="n"/>
      <c r="I3118" s="62" t="n"/>
      <c r="J3118" s="58" t="n"/>
      <c r="K3118" s="63">
        <f>IF(tblMovement[[#This Row],[Source]]="","",IFERROR(INDEX(tblSources[Type],MATCH(tblMovement[[#This Row],[Source]],tblSources[Source],0)),"?"))</f>
        <v/>
      </c>
      <c r="L3118" s="63">
        <f>IF(tblMovement[[#This Row],[Destination]]="","",IFERROR(INDEX(tblDestinations[Type],MATCH(tblMovement[[#This Row],[Destination]],tblDestinations[Destination],0)),"?"))</f>
        <v/>
      </c>
      <c r="M3118" s="64">
        <f>IF(tblMovement[[#This Row],[Material]]="","",IF(LEFT(tblMovement[[#This Row],[Material]],3)="Ore",1,0))</f>
        <v/>
      </c>
      <c r="N3118" s="59">
        <f>IF(OR(tblMovement[[#This Row],[Tonnes_t]]="",tblMovement[[#This Row],[Grade_gpt]]=""),0,tblMovement[[#This Row],[Tonnes_t]]*tblMovement[[#This Row],[Grade_gpt]]/cfg_TroyOz)</f>
        <v/>
      </c>
      <c r="O3118" s="59">
        <f>IF(tblMovement[[#This Row],[Is_Ore]]=1,tblMovement[[#This Row],[Contained_oz]],0)</f>
        <v/>
      </c>
    </row>
    <row r="3119">
      <c r="A3119" s="54" t="n"/>
      <c r="B3119" s="61" t="n"/>
      <c r="C3119" s="61" t="n"/>
      <c r="D3119" s="61" t="n"/>
      <c r="E3119" s="61" t="n"/>
      <c r="F3119" s="55" t="n"/>
      <c r="G3119" s="56" t="n"/>
      <c r="H3119" s="55" t="n"/>
      <c r="I3119" s="62" t="n"/>
      <c r="J3119" s="58" t="n"/>
      <c r="K3119" s="63">
        <f>IF(tblMovement[[#This Row],[Source]]="","",IFERROR(INDEX(tblSources[Type],MATCH(tblMovement[[#This Row],[Source]],tblSources[Source],0)),"?"))</f>
        <v/>
      </c>
      <c r="L3119" s="63">
        <f>IF(tblMovement[[#This Row],[Destination]]="","",IFERROR(INDEX(tblDestinations[Type],MATCH(tblMovement[[#This Row],[Destination]],tblDestinations[Destination],0)),"?"))</f>
        <v/>
      </c>
      <c r="M3119" s="64">
        <f>IF(tblMovement[[#This Row],[Material]]="","",IF(LEFT(tblMovement[[#This Row],[Material]],3)="Ore",1,0))</f>
        <v/>
      </c>
      <c r="N3119" s="59">
        <f>IF(OR(tblMovement[[#This Row],[Tonnes_t]]="",tblMovement[[#This Row],[Grade_gpt]]=""),0,tblMovement[[#This Row],[Tonnes_t]]*tblMovement[[#This Row],[Grade_gpt]]/cfg_TroyOz)</f>
        <v/>
      </c>
      <c r="O3119" s="59">
        <f>IF(tblMovement[[#This Row],[Is_Ore]]=1,tblMovement[[#This Row],[Contained_oz]],0)</f>
        <v/>
      </c>
    </row>
    <row r="3120">
      <c r="A3120" s="54" t="n"/>
      <c r="B3120" s="61" t="n"/>
      <c r="C3120" s="61" t="n"/>
      <c r="D3120" s="61" t="n"/>
      <c r="E3120" s="61" t="n"/>
      <c r="F3120" s="55" t="n"/>
      <c r="G3120" s="56" t="n"/>
      <c r="H3120" s="55" t="n"/>
      <c r="I3120" s="62" t="n"/>
      <c r="J3120" s="58" t="n"/>
      <c r="K3120" s="63">
        <f>IF(tblMovement[[#This Row],[Source]]="","",IFERROR(INDEX(tblSources[Type],MATCH(tblMovement[[#This Row],[Source]],tblSources[Source],0)),"?"))</f>
        <v/>
      </c>
      <c r="L3120" s="63">
        <f>IF(tblMovement[[#This Row],[Destination]]="","",IFERROR(INDEX(tblDestinations[Type],MATCH(tblMovement[[#This Row],[Destination]],tblDestinations[Destination],0)),"?"))</f>
        <v/>
      </c>
      <c r="M3120" s="64">
        <f>IF(tblMovement[[#This Row],[Material]]="","",IF(LEFT(tblMovement[[#This Row],[Material]],3)="Ore",1,0))</f>
        <v/>
      </c>
      <c r="N3120" s="59">
        <f>IF(OR(tblMovement[[#This Row],[Tonnes_t]]="",tblMovement[[#This Row],[Grade_gpt]]=""),0,tblMovement[[#This Row],[Tonnes_t]]*tblMovement[[#This Row],[Grade_gpt]]/cfg_TroyOz)</f>
        <v/>
      </c>
      <c r="O3120" s="59">
        <f>IF(tblMovement[[#This Row],[Is_Ore]]=1,tblMovement[[#This Row],[Contained_oz]],0)</f>
        <v/>
      </c>
    </row>
    <row r="3121">
      <c r="A3121" s="54" t="n"/>
      <c r="B3121" s="61" t="n"/>
      <c r="C3121" s="61" t="n"/>
      <c r="D3121" s="61" t="n"/>
      <c r="E3121" s="61" t="n"/>
      <c r="F3121" s="55" t="n"/>
      <c r="G3121" s="56" t="n"/>
      <c r="H3121" s="55" t="n"/>
      <c r="I3121" s="62" t="n"/>
      <c r="J3121" s="58" t="n"/>
      <c r="K3121" s="63">
        <f>IF(tblMovement[[#This Row],[Source]]="","",IFERROR(INDEX(tblSources[Type],MATCH(tblMovement[[#This Row],[Source]],tblSources[Source],0)),"?"))</f>
        <v/>
      </c>
      <c r="L3121" s="63">
        <f>IF(tblMovement[[#This Row],[Destination]]="","",IFERROR(INDEX(tblDestinations[Type],MATCH(tblMovement[[#This Row],[Destination]],tblDestinations[Destination],0)),"?"))</f>
        <v/>
      </c>
      <c r="M3121" s="64">
        <f>IF(tblMovement[[#This Row],[Material]]="","",IF(LEFT(tblMovement[[#This Row],[Material]],3)="Ore",1,0))</f>
        <v/>
      </c>
      <c r="N3121" s="59">
        <f>IF(OR(tblMovement[[#This Row],[Tonnes_t]]="",tblMovement[[#This Row],[Grade_gpt]]=""),0,tblMovement[[#This Row],[Tonnes_t]]*tblMovement[[#This Row],[Grade_gpt]]/cfg_TroyOz)</f>
        <v/>
      </c>
      <c r="O3121" s="59">
        <f>IF(tblMovement[[#This Row],[Is_Ore]]=1,tblMovement[[#This Row],[Contained_oz]],0)</f>
        <v/>
      </c>
    </row>
    <row r="3122">
      <c r="A3122" s="54" t="n"/>
      <c r="B3122" s="61" t="n"/>
      <c r="C3122" s="61" t="n"/>
      <c r="D3122" s="61" t="n"/>
      <c r="E3122" s="61" t="n"/>
      <c r="F3122" s="55" t="n"/>
      <c r="G3122" s="56" t="n"/>
      <c r="H3122" s="55" t="n"/>
      <c r="I3122" s="62" t="n"/>
      <c r="J3122" s="58" t="n"/>
      <c r="K3122" s="63">
        <f>IF(tblMovement[[#This Row],[Source]]="","",IFERROR(INDEX(tblSources[Type],MATCH(tblMovement[[#This Row],[Source]],tblSources[Source],0)),"?"))</f>
        <v/>
      </c>
      <c r="L3122" s="63">
        <f>IF(tblMovement[[#This Row],[Destination]]="","",IFERROR(INDEX(tblDestinations[Type],MATCH(tblMovement[[#This Row],[Destination]],tblDestinations[Destination],0)),"?"))</f>
        <v/>
      </c>
      <c r="M3122" s="64">
        <f>IF(tblMovement[[#This Row],[Material]]="","",IF(LEFT(tblMovement[[#This Row],[Material]],3)="Ore",1,0))</f>
        <v/>
      </c>
      <c r="N3122" s="59">
        <f>IF(OR(tblMovement[[#This Row],[Tonnes_t]]="",tblMovement[[#This Row],[Grade_gpt]]=""),0,tblMovement[[#This Row],[Tonnes_t]]*tblMovement[[#This Row],[Grade_gpt]]/cfg_TroyOz)</f>
        <v/>
      </c>
      <c r="O3122" s="59">
        <f>IF(tblMovement[[#This Row],[Is_Ore]]=1,tblMovement[[#This Row],[Contained_oz]],0)</f>
        <v/>
      </c>
    </row>
    <row r="3123">
      <c r="A3123" s="54" t="n"/>
      <c r="B3123" s="61" t="n"/>
      <c r="C3123" s="61" t="n"/>
      <c r="D3123" s="61" t="n"/>
      <c r="E3123" s="61" t="n"/>
      <c r="F3123" s="55" t="n"/>
      <c r="G3123" s="56" t="n"/>
      <c r="H3123" s="55" t="n"/>
      <c r="I3123" s="62" t="n"/>
      <c r="J3123" s="58" t="n"/>
      <c r="K3123" s="63">
        <f>IF(tblMovement[[#This Row],[Source]]="","",IFERROR(INDEX(tblSources[Type],MATCH(tblMovement[[#This Row],[Source]],tblSources[Source],0)),"?"))</f>
        <v/>
      </c>
      <c r="L3123" s="63">
        <f>IF(tblMovement[[#This Row],[Destination]]="","",IFERROR(INDEX(tblDestinations[Type],MATCH(tblMovement[[#This Row],[Destination]],tblDestinations[Destination],0)),"?"))</f>
        <v/>
      </c>
      <c r="M3123" s="64">
        <f>IF(tblMovement[[#This Row],[Material]]="","",IF(LEFT(tblMovement[[#This Row],[Material]],3)="Ore",1,0))</f>
        <v/>
      </c>
      <c r="N3123" s="59">
        <f>IF(OR(tblMovement[[#This Row],[Tonnes_t]]="",tblMovement[[#This Row],[Grade_gpt]]=""),0,tblMovement[[#This Row],[Tonnes_t]]*tblMovement[[#This Row],[Grade_gpt]]/cfg_TroyOz)</f>
        <v/>
      </c>
      <c r="O3123" s="59">
        <f>IF(tblMovement[[#This Row],[Is_Ore]]=1,tblMovement[[#This Row],[Contained_oz]],0)</f>
        <v/>
      </c>
    </row>
    <row r="3124">
      <c r="A3124" s="54" t="n"/>
      <c r="B3124" s="61" t="n"/>
      <c r="C3124" s="61" t="n"/>
      <c r="D3124" s="61" t="n"/>
      <c r="E3124" s="61" t="n"/>
      <c r="F3124" s="55" t="n"/>
      <c r="G3124" s="56" t="n"/>
      <c r="H3124" s="55" t="n"/>
      <c r="I3124" s="62" t="n"/>
      <c r="J3124" s="58" t="n"/>
      <c r="K3124" s="63">
        <f>IF(tblMovement[[#This Row],[Source]]="","",IFERROR(INDEX(tblSources[Type],MATCH(tblMovement[[#This Row],[Source]],tblSources[Source],0)),"?"))</f>
        <v/>
      </c>
      <c r="L3124" s="63">
        <f>IF(tblMovement[[#This Row],[Destination]]="","",IFERROR(INDEX(tblDestinations[Type],MATCH(tblMovement[[#This Row],[Destination]],tblDestinations[Destination],0)),"?"))</f>
        <v/>
      </c>
      <c r="M3124" s="64">
        <f>IF(tblMovement[[#This Row],[Material]]="","",IF(LEFT(tblMovement[[#This Row],[Material]],3)="Ore",1,0))</f>
        <v/>
      </c>
      <c r="N3124" s="59">
        <f>IF(OR(tblMovement[[#This Row],[Tonnes_t]]="",tblMovement[[#This Row],[Grade_gpt]]=""),0,tblMovement[[#This Row],[Tonnes_t]]*tblMovement[[#This Row],[Grade_gpt]]/cfg_TroyOz)</f>
        <v/>
      </c>
      <c r="O3124" s="59">
        <f>IF(tblMovement[[#This Row],[Is_Ore]]=1,tblMovement[[#This Row],[Contained_oz]],0)</f>
        <v/>
      </c>
    </row>
    <row r="3125">
      <c r="A3125" s="54" t="n"/>
      <c r="B3125" s="61" t="n"/>
      <c r="C3125" s="61" t="n"/>
      <c r="D3125" s="61" t="n"/>
      <c r="E3125" s="61" t="n"/>
      <c r="F3125" s="55" t="n"/>
      <c r="G3125" s="56" t="n"/>
      <c r="H3125" s="55" t="n"/>
      <c r="I3125" s="62" t="n"/>
      <c r="J3125" s="58" t="n"/>
      <c r="K3125" s="63">
        <f>IF(tblMovement[[#This Row],[Source]]="","",IFERROR(INDEX(tblSources[Type],MATCH(tblMovement[[#This Row],[Source]],tblSources[Source],0)),"?"))</f>
        <v/>
      </c>
      <c r="L3125" s="63">
        <f>IF(tblMovement[[#This Row],[Destination]]="","",IFERROR(INDEX(tblDestinations[Type],MATCH(tblMovement[[#This Row],[Destination]],tblDestinations[Destination],0)),"?"))</f>
        <v/>
      </c>
      <c r="M3125" s="64">
        <f>IF(tblMovement[[#This Row],[Material]]="","",IF(LEFT(tblMovement[[#This Row],[Material]],3)="Ore",1,0))</f>
        <v/>
      </c>
      <c r="N3125" s="59">
        <f>IF(OR(tblMovement[[#This Row],[Tonnes_t]]="",tblMovement[[#This Row],[Grade_gpt]]=""),0,tblMovement[[#This Row],[Tonnes_t]]*tblMovement[[#This Row],[Grade_gpt]]/cfg_TroyOz)</f>
        <v/>
      </c>
      <c r="O3125" s="59">
        <f>IF(tblMovement[[#This Row],[Is_Ore]]=1,tblMovement[[#This Row],[Contained_oz]],0)</f>
        <v/>
      </c>
    </row>
    <row r="3126">
      <c r="A3126" s="54" t="n"/>
      <c r="B3126" s="61" t="n"/>
      <c r="C3126" s="61" t="n"/>
      <c r="D3126" s="61" t="n"/>
      <c r="E3126" s="61" t="n"/>
      <c r="F3126" s="55" t="n"/>
      <c r="G3126" s="56" t="n"/>
      <c r="H3126" s="55" t="n"/>
      <c r="I3126" s="62" t="n"/>
      <c r="J3126" s="58" t="n"/>
      <c r="K3126" s="63">
        <f>IF(tblMovement[[#This Row],[Source]]="","",IFERROR(INDEX(tblSources[Type],MATCH(tblMovement[[#This Row],[Source]],tblSources[Source],0)),"?"))</f>
        <v/>
      </c>
      <c r="L3126" s="63">
        <f>IF(tblMovement[[#This Row],[Destination]]="","",IFERROR(INDEX(tblDestinations[Type],MATCH(tblMovement[[#This Row],[Destination]],tblDestinations[Destination],0)),"?"))</f>
        <v/>
      </c>
      <c r="M3126" s="64">
        <f>IF(tblMovement[[#This Row],[Material]]="","",IF(LEFT(tblMovement[[#This Row],[Material]],3)="Ore",1,0))</f>
        <v/>
      </c>
      <c r="N3126" s="59">
        <f>IF(OR(tblMovement[[#This Row],[Tonnes_t]]="",tblMovement[[#This Row],[Grade_gpt]]=""),0,tblMovement[[#This Row],[Tonnes_t]]*tblMovement[[#This Row],[Grade_gpt]]/cfg_TroyOz)</f>
        <v/>
      </c>
      <c r="O3126" s="59">
        <f>IF(tblMovement[[#This Row],[Is_Ore]]=1,tblMovement[[#This Row],[Contained_oz]],0)</f>
        <v/>
      </c>
    </row>
    <row r="3127">
      <c r="A3127" s="54" t="n"/>
      <c r="B3127" s="61" t="n"/>
      <c r="C3127" s="61" t="n"/>
      <c r="D3127" s="61" t="n"/>
      <c r="E3127" s="61" t="n"/>
      <c r="F3127" s="55" t="n"/>
      <c r="G3127" s="56" t="n"/>
      <c r="H3127" s="55" t="n"/>
      <c r="I3127" s="62" t="n"/>
      <c r="J3127" s="58" t="n"/>
      <c r="K3127" s="63">
        <f>IF(tblMovement[[#This Row],[Source]]="","",IFERROR(INDEX(tblSources[Type],MATCH(tblMovement[[#This Row],[Source]],tblSources[Source],0)),"?"))</f>
        <v/>
      </c>
      <c r="L3127" s="63">
        <f>IF(tblMovement[[#This Row],[Destination]]="","",IFERROR(INDEX(tblDestinations[Type],MATCH(tblMovement[[#This Row],[Destination]],tblDestinations[Destination],0)),"?"))</f>
        <v/>
      </c>
      <c r="M3127" s="64">
        <f>IF(tblMovement[[#This Row],[Material]]="","",IF(LEFT(tblMovement[[#This Row],[Material]],3)="Ore",1,0))</f>
        <v/>
      </c>
      <c r="N3127" s="59">
        <f>IF(OR(tblMovement[[#This Row],[Tonnes_t]]="",tblMovement[[#This Row],[Grade_gpt]]=""),0,tblMovement[[#This Row],[Tonnes_t]]*tblMovement[[#This Row],[Grade_gpt]]/cfg_TroyOz)</f>
        <v/>
      </c>
      <c r="O3127" s="59">
        <f>IF(tblMovement[[#This Row],[Is_Ore]]=1,tblMovement[[#This Row],[Contained_oz]],0)</f>
        <v/>
      </c>
    </row>
    <row r="3128">
      <c r="A3128" s="54" t="n"/>
      <c r="B3128" s="61" t="n"/>
      <c r="C3128" s="61" t="n"/>
      <c r="D3128" s="61" t="n"/>
      <c r="E3128" s="61" t="n"/>
      <c r="F3128" s="55" t="n"/>
      <c r="G3128" s="56" t="n"/>
      <c r="H3128" s="55" t="n"/>
      <c r="I3128" s="62" t="n"/>
      <c r="J3128" s="58" t="n"/>
      <c r="K3128" s="63">
        <f>IF(tblMovement[[#This Row],[Source]]="","",IFERROR(INDEX(tblSources[Type],MATCH(tblMovement[[#This Row],[Source]],tblSources[Source],0)),"?"))</f>
        <v/>
      </c>
      <c r="L3128" s="63">
        <f>IF(tblMovement[[#This Row],[Destination]]="","",IFERROR(INDEX(tblDestinations[Type],MATCH(tblMovement[[#This Row],[Destination]],tblDestinations[Destination],0)),"?"))</f>
        <v/>
      </c>
      <c r="M3128" s="64">
        <f>IF(tblMovement[[#This Row],[Material]]="","",IF(LEFT(tblMovement[[#This Row],[Material]],3)="Ore",1,0))</f>
        <v/>
      </c>
      <c r="N3128" s="59">
        <f>IF(OR(tblMovement[[#This Row],[Tonnes_t]]="",tblMovement[[#This Row],[Grade_gpt]]=""),0,tblMovement[[#This Row],[Tonnes_t]]*tblMovement[[#This Row],[Grade_gpt]]/cfg_TroyOz)</f>
        <v/>
      </c>
      <c r="O3128" s="59">
        <f>IF(tblMovement[[#This Row],[Is_Ore]]=1,tblMovement[[#This Row],[Contained_oz]],0)</f>
        <v/>
      </c>
    </row>
    <row r="3129">
      <c r="A3129" s="54" t="n"/>
      <c r="B3129" s="61" t="n"/>
      <c r="C3129" s="61" t="n"/>
      <c r="D3129" s="61" t="n"/>
      <c r="E3129" s="61" t="n"/>
      <c r="F3129" s="55" t="n"/>
      <c r="G3129" s="56" t="n"/>
      <c r="H3129" s="55" t="n"/>
      <c r="I3129" s="62" t="n"/>
      <c r="J3129" s="58" t="n"/>
      <c r="K3129" s="63">
        <f>IF(tblMovement[[#This Row],[Source]]="","",IFERROR(INDEX(tblSources[Type],MATCH(tblMovement[[#This Row],[Source]],tblSources[Source],0)),"?"))</f>
        <v/>
      </c>
      <c r="L3129" s="63">
        <f>IF(tblMovement[[#This Row],[Destination]]="","",IFERROR(INDEX(tblDestinations[Type],MATCH(tblMovement[[#This Row],[Destination]],tblDestinations[Destination],0)),"?"))</f>
        <v/>
      </c>
      <c r="M3129" s="64">
        <f>IF(tblMovement[[#This Row],[Material]]="","",IF(LEFT(tblMovement[[#This Row],[Material]],3)="Ore",1,0))</f>
        <v/>
      </c>
      <c r="N3129" s="59">
        <f>IF(OR(tblMovement[[#This Row],[Tonnes_t]]="",tblMovement[[#This Row],[Grade_gpt]]=""),0,tblMovement[[#This Row],[Tonnes_t]]*tblMovement[[#This Row],[Grade_gpt]]/cfg_TroyOz)</f>
        <v/>
      </c>
      <c r="O3129" s="59">
        <f>IF(tblMovement[[#This Row],[Is_Ore]]=1,tblMovement[[#This Row],[Contained_oz]],0)</f>
        <v/>
      </c>
    </row>
    <row r="3130">
      <c r="A3130" s="54" t="n"/>
      <c r="B3130" s="61" t="n"/>
      <c r="C3130" s="61" t="n"/>
      <c r="D3130" s="61" t="n"/>
      <c r="E3130" s="61" t="n"/>
      <c r="F3130" s="55" t="n"/>
      <c r="G3130" s="56" t="n"/>
      <c r="H3130" s="55" t="n"/>
      <c r="I3130" s="62" t="n"/>
      <c r="J3130" s="58" t="n"/>
      <c r="K3130" s="63">
        <f>IF(tblMovement[[#This Row],[Source]]="","",IFERROR(INDEX(tblSources[Type],MATCH(tblMovement[[#This Row],[Source]],tblSources[Source],0)),"?"))</f>
        <v/>
      </c>
      <c r="L3130" s="63">
        <f>IF(tblMovement[[#This Row],[Destination]]="","",IFERROR(INDEX(tblDestinations[Type],MATCH(tblMovement[[#This Row],[Destination]],tblDestinations[Destination],0)),"?"))</f>
        <v/>
      </c>
      <c r="M3130" s="64">
        <f>IF(tblMovement[[#This Row],[Material]]="","",IF(LEFT(tblMovement[[#This Row],[Material]],3)="Ore",1,0))</f>
        <v/>
      </c>
      <c r="N3130" s="59">
        <f>IF(OR(tblMovement[[#This Row],[Tonnes_t]]="",tblMovement[[#This Row],[Grade_gpt]]=""),0,tblMovement[[#This Row],[Tonnes_t]]*tblMovement[[#This Row],[Grade_gpt]]/cfg_TroyOz)</f>
        <v/>
      </c>
      <c r="O3130" s="59">
        <f>IF(tblMovement[[#This Row],[Is_Ore]]=1,tblMovement[[#This Row],[Contained_oz]],0)</f>
        <v/>
      </c>
    </row>
    <row r="3131">
      <c r="A3131" s="54" t="n"/>
      <c r="B3131" s="61" t="n"/>
      <c r="C3131" s="61" t="n"/>
      <c r="D3131" s="61" t="n"/>
      <c r="E3131" s="61" t="n"/>
      <c r="F3131" s="55" t="n"/>
      <c r="G3131" s="56" t="n"/>
      <c r="H3131" s="55" t="n"/>
      <c r="I3131" s="62" t="n"/>
      <c r="J3131" s="58" t="n"/>
      <c r="K3131" s="63">
        <f>IF(tblMovement[[#This Row],[Source]]="","",IFERROR(INDEX(tblSources[Type],MATCH(tblMovement[[#This Row],[Source]],tblSources[Source],0)),"?"))</f>
        <v/>
      </c>
      <c r="L3131" s="63">
        <f>IF(tblMovement[[#This Row],[Destination]]="","",IFERROR(INDEX(tblDestinations[Type],MATCH(tblMovement[[#This Row],[Destination]],tblDestinations[Destination],0)),"?"))</f>
        <v/>
      </c>
      <c r="M3131" s="64">
        <f>IF(tblMovement[[#This Row],[Material]]="","",IF(LEFT(tblMovement[[#This Row],[Material]],3)="Ore",1,0))</f>
        <v/>
      </c>
      <c r="N3131" s="59">
        <f>IF(OR(tblMovement[[#This Row],[Tonnes_t]]="",tblMovement[[#This Row],[Grade_gpt]]=""),0,tblMovement[[#This Row],[Tonnes_t]]*tblMovement[[#This Row],[Grade_gpt]]/cfg_TroyOz)</f>
        <v/>
      </c>
      <c r="O3131" s="59">
        <f>IF(tblMovement[[#This Row],[Is_Ore]]=1,tblMovement[[#This Row],[Contained_oz]],0)</f>
        <v/>
      </c>
    </row>
    <row r="3132">
      <c r="A3132" s="54" t="n"/>
      <c r="B3132" s="61" t="n"/>
      <c r="C3132" s="61" t="n"/>
      <c r="D3132" s="61" t="n"/>
      <c r="E3132" s="61" t="n"/>
      <c r="F3132" s="55" t="n"/>
      <c r="G3132" s="56" t="n"/>
      <c r="H3132" s="55" t="n"/>
      <c r="I3132" s="62" t="n"/>
      <c r="J3132" s="58" t="n"/>
      <c r="K3132" s="63">
        <f>IF(tblMovement[[#This Row],[Source]]="","",IFERROR(INDEX(tblSources[Type],MATCH(tblMovement[[#This Row],[Source]],tblSources[Source],0)),"?"))</f>
        <v/>
      </c>
      <c r="L3132" s="63">
        <f>IF(tblMovement[[#This Row],[Destination]]="","",IFERROR(INDEX(tblDestinations[Type],MATCH(tblMovement[[#This Row],[Destination]],tblDestinations[Destination],0)),"?"))</f>
        <v/>
      </c>
      <c r="M3132" s="64">
        <f>IF(tblMovement[[#This Row],[Material]]="","",IF(LEFT(tblMovement[[#This Row],[Material]],3)="Ore",1,0))</f>
        <v/>
      </c>
      <c r="N3132" s="59">
        <f>IF(OR(tblMovement[[#This Row],[Tonnes_t]]="",tblMovement[[#This Row],[Grade_gpt]]=""),0,tblMovement[[#This Row],[Tonnes_t]]*tblMovement[[#This Row],[Grade_gpt]]/cfg_TroyOz)</f>
        <v/>
      </c>
      <c r="O3132" s="59">
        <f>IF(tblMovement[[#This Row],[Is_Ore]]=1,tblMovement[[#This Row],[Contained_oz]],0)</f>
        <v/>
      </c>
    </row>
    <row r="3133">
      <c r="A3133" s="54" t="n"/>
      <c r="B3133" s="61" t="n"/>
      <c r="C3133" s="61" t="n"/>
      <c r="D3133" s="61" t="n"/>
      <c r="E3133" s="61" t="n"/>
      <c r="F3133" s="55" t="n"/>
      <c r="G3133" s="56" t="n"/>
      <c r="H3133" s="55" t="n"/>
      <c r="I3133" s="62" t="n"/>
      <c r="J3133" s="58" t="n"/>
      <c r="K3133" s="63">
        <f>IF(tblMovement[[#This Row],[Source]]="","",IFERROR(INDEX(tblSources[Type],MATCH(tblMovement[[#This Row],[Source]],tblSources[Source],0)),"?"))</f>
        <v/>
      </c>
      <c r="L3133" s="63">
        <f>IF(tblMovement[[#This Row],[Destination]]="","",IFERROR(INDEX(tblDestinations[Type],MATCH(tblMovement[[#This Row],[Destination]],tblDestinations[Destination],0)),"?"))</f>
        <v/>
      </c>
      <c r="M3133" s="64">
        <f>IF(tblMovement[[#This Row],[Material]]="","",IF(LEFT(tblMovement[[#This Row],[Material]],3)="Ore",1,0))</f>
        <v/>
      </c>
      <c r="N3133" s="59">
        <f>IF(OR(tblMovement[[#This Row],[Tonnes_t]]="",tblMovement[[#This Row],[Grade_gpt]]=""),0,tblMovement[[#This Row],[Tonnes_t]]*tblMovement[[#This Row],[Grade_gpt]]/cfg_TroyOz)</f>
        <v/>
      </c>
      <c r="O3133" s="59">
        <f>IF(tblMovement[[#This Row],[Is_Ore]]=1,tblMovement[[#This Row],[Contained_oz]],0)</f>
        <v/>
      </c>
    </row>
    <row r="3134">
      <c r="A3134" s="54" t="n"/>
      <c r="B3134" s="61" t="n"/>
      <c r="C3134" s="61" t="n"/>
      <c r="D3134" s="61" t="n"/>
      <c r="E3134" s="61" t="n"/>
      <c r="F3134" s="55" t="n"/>
      <c r="G3134" s="56" t="n"/>
      <c r="H3134" s="55" t="n"/>
      <c r="I3134" s="62" t="n"/>
      <c r="J3134" s="58" t="n"/>
      <c r="K3134" s="63">
        <f>IF(tblMovement[[#This Row],[Source]]="","",IFERROR(INDEX(tblSources[Type],MATCH(tblMovement[[#This Row],[Source]],tblSources[Source],0)),"?"))</f>
        <v/>
      </c>
      <c r="L3134" s="63">
        <f>IF(tblMovement[[#This Row],[Destination]]="","",IFERROR(INDEX(tblDestinations[Type],MATCH(tblMovement[[#This Row],[Destination]],tblDestinations[Destination],0)),"?"))</f>
        <v/>
      </c>
      <c r="M3134" s="64">
        <f>IF(tblMovement[[#This Row],[Material]]="","",IF(LEFT(tblMovement[[#This Row],[Material]],3)="Ore",1,0))</f>
        <v/>
      </c>
      <c r="N3134" s="59">
        <f>IF(OR(tblMovement[[#This Row],[Tonnes_t]]="",tblMovement[[#This Row],[Grade_gpt]]=""),0,tblMovement[[#This Row],[Tonnes_t]]*tblMovement[[#This Row],[Grade_gpt]]/cfg_TroyOz)</f>
        <v/>
      </c>
      <c r="O3134" s="59">
        <f>IF(tblMovement[[#This Row],[Is_Ore]]=1,tblMovement[[#This Row],[Contained_oz]],0)</f>
        <v/>
      </c>
    </row>
    <row r="3135">
      <c r="A3135" s="54" t="n"/>
      <c r="B3135" s="61" t="n"/>
      <c r="C3135" s="61" t="n"/>
      <c r="D3135" s="61" t="n"/>
      <c r="E3135" s="61" t="n"/>
      <c r="F3135" s="55" t="n"/>
      <c r="G3135" s="56" t="n"/>
      <c r="H3135" s="55" t="n"/>
      <c r="I3135" s="62" t="n"/>
      <c r="J3135" s="58" t="n"/>
      <c r="K3135" s="63">
        <f>IF(tblMovement[[#This Row],[Source]]="","",IFERROR(INDEX(tblSources[Type],MATCH(tblMovement[[#This Row],[Source]],tblSources[Source],0)),"?"))</f>
        <v/>
      </c>
      <c r="L3135" s="63">
        <f>IF(tblMovement[[#This Row],[Destination]]="","",IFERROR(INDEX(tblDestinations[Type],MATCH(tblMovement[[#This Row],[Destination]],tblDestinations[Destination],0)),"?"))</f>
        <v/>
      </c>
      <c r="M3135" s="64">
        <f>IF(tblMovement[[#This Row],[Material]]="","",IF(LEFT(tblMovement[[#This Row],[Material]],3)="Ore",1,0))</f>
        <v/>
      </c>
      <c r="N3135" s="59">
        <f>IF(OR(tblMovement[[#This Row],[Tonnes_t]]="",tblMovement[[#This Row],[Grade_gpt]]=""),0,tblMovement[[#This Row],[Tonnes_t]]*tblMovement[[#This Row],[Grade_gpt]]/cfg_TroyOz)</f>
        <v/>
      </c>
      <c r="O3135" s="59">
        <f>IF(tblMovement[[#This Row],[Is_Ore]]=1,tblMovement[[#This Row],[Contained_oz]],0)</f>
        <v/>
      </c>
    </row>
    <row r="3136">
      <c r="A3136" s="54" t="n"/>
      <c r="B3136" s="61" t="n"/>
      <c r="C3136" s="61" t="n"/>
      <c r="D3136" s="61" t="n"/>
      <c r="E3136" s="61" t="n"/>
      <c r="F3136" s="55" t="n"/>
      <c r="G3136" s="56" t="n"/>
      <c r="H3136" s="55" t="n"/>
      <c r="I3136" s="62" t="n"/>
      <c r="J3136" s="58" t="n"/>
      <c r="K3136" s="63">
        <f>IF(tblMovement[[#This Row],[Source]]="","",IFERROR(INDEX(tblSources[Type],MATCH(tblMovement[[#This Row],[Source]],tblSources[Source],0)),"?"))</f>
        <v/>
      </c>
      <c r="L3136" s="63">
        <f>IF(tblMovement[[#This Row],[Destination]]="","",IFERROR(INDEX(tblDestinations[Type],MATCH(tblMovement[[#This Row],[Destination]],tblDestinations[Destination],0)),"?"))</f>
        <v/>
      </c>
      <c r="M3136" s="64">
        <f>IF(tblMovement[[#This Row],[Material]]="","",IF(LEFT(tblMovement[[#This Row],[Material]],3)="Ore",1,0))</f>
        <v/>
      </c>
      <c r="N3136" s="59">
        <f>IF(OR(tblMovement[[#This Row],[Tonnes_t]]="",tblMovement[[#This Row],[Grade_gpt]]=""),0,tblMovement[[#This Row],[Tonnes_t]]*tblMovement[[#This Row],[Grade_gpt]]/cfg_TroyOz)</f>
        <v/>
      </c>
      <c r="O3136" s="59">
        <f>IF(tblMovement[[#This Row],[Is_Ore]]=1,tblMovement[[#This Row],[Contained_oz]],0)</f>
        <v/>
      </c>
    </row>
    <row r="3137">
      <c r="A3137" s="54" t="n"/>
      <c r="B3137" s="61" t="n"/>
      <c r="C3137" s="61" t="n"/>
      <c r="D3137" s="61" t="n"/>
      <c r="E3137" s="61" t="n"/>
      <c r="F3137" s="55" t="n"/>
      <c r="G3137" s="56" t="n"/>
      <c r="H3137" s="55" t="n"/>
      <c r="I3137" s="62" t="n"/>
      <c r="J3137" s="58" t="n"/>
      <c r="K3137" s="63">
        <f>IF(tblMovement[[#This Row],[Source]]="","",IFERROR(INDEX(tblSources[Type],MATCH(tblMovement[[#This Row],[Source]],tblSources[Source],0)),"?"))</f>
        <v/>
      </c>
      <c r="L3137" s="63">
        <f>IF(tblMovement[[#This Row],[Destination]]="","",IFERROR(INDEX(tblDestinations[Type],MATCH(tblMovement[[#This Row],[Destination]],tblDestinations[Destination],0)),"?"))</f>
        <v/>
      </c>
      <c r="M3137" s="64">
        <f>IF(tblMovement[[#This Row],[Material]]="","",IF(LEFT(tblMovement[[#This Row],[Material]],3)="Ore",1,0))</f>
        <v/>
      </c>
      <c r="N3137" s="59">
        <f>IF(OR(tblMovement[[#This Row],[Tonnes_t]]="",tblMovement[[#This Row],[Grade_gpt]]=""),0,tblMovement[[#This Row],[Tonnes_t]]*tblMovement[[#This Row],[Grade_gpt]]/cfg_TroyOz)</f>
        <v/>
      </c>
      <c r="O3137" s="59">
        <f>IF(tblMovement[[#This Row],[Is_Ore]]=1,tblMovement[[#This Row],[Contained_oz]],0)</f>
        <v/>
      </c>
    </row>
    <row r="3138">
      <c r="A3138" s="54" t="n"/>
      <c r="B3138" s="61" t="n"/>
      <c r="C3138" s="61" t="n"/>
      <c r="D3138" s="61" t="n"/>
      <c r="E3138" s="61" t="n"/>
      <c r="F3138" s="55" t="n"/>
      <c r="G3138" s="56" t="n"/>
      <c r="H3138" s="55" t="n"/>
      <c r="I3138" s="62" t="n"/>
      <c r="J3138" s="58" t="n"/>
      <c r="K3138" s="63">
        <f>IF(tblMovement[[#This Row],[Source]]="","",IFERROR(INDEX(tblSources[Type],MATCH(tblMovement[[#This Row],[Source]],tblSources[Source],0)),"?"))</f>
        <v/>
      </c>
      <c r="L3138" s="63">
        <f>IF(tblMovement[[#This Row],[Destination]]="","",IFERROR(INDEX(tblDestinations[Type],MATCH(tblMovement[[#This Row],[Destination]],tblDestinations[Destination],0)),"?"))</f>
        <v/>
      </c>
      <c r="M3138" s="64">
        <f>IF(tblMovement[[#This Row],[Material]]="","",IF(LEFT(tblMovement[[#This Row],[Material]],3)="Ore",1,0))</f>
        <v/>
      </c>
      <c r="N3138" s="59">
        <f>IF(OR(tblMovement[[#This Row],[Tonnes_t]]="",tblMovement[[#This Row],[Grade_gpt]]=""),0,tblMovement[[#This Row],[Tonnes_t]]*tblMovement[[#This Row],[Grade_gpt]]/cfg_TroyOz)</f>
        <v/>
      </c>
      <c r="O3138" s="59">
        <f>IF(tblMovement[[#This Row],[Is_Ore]]=1,tblMovement[[#This Row],[Contained_oz]],0)</f>
        <v/>
      </c>
    </row>
    <row r="3139">
      <c r="A3139" s="54" t="n"/>
      <c r="B3139" s="61" t="n"/>
      <c r="C3139" s="61" t="n"/>
      <c r="D3139" s="61" t="n"/>
      <c r="E3139" s="61" t="n"/>
      <c r="F3139" s="55" t="n"/>
      <c r="G3139" s="56" t="n"/>
      <c r="H3139" s="55" t="n"/>
      <c r="I3139" s="62" t="n"/>
      <c r="J3139" s="58" t="n"/>
      <c r="K3139" s="63">
        <f>IF(tblMovement[[#This Row],[Source]]="","",IFERROR(INDEX(tblSources[Type],MATCH(tblMovement[[#This Row],[Source]],tblSources[Source],0)),"?"))</f>
        <v/>
      </c>
      <c r="L3139" s="63">
        <f>IF(tblMovement[[#This Row],[Destination]]="","",IFERROR(INDEX(tblDestinations[Type],MATCH(tblMovement[[#This Row],[Destination]],tblDestinations[Destination],0)),"?"))</f>
        <v/>
      </c>
      <c r="M3139" s="64">
        <f>IF(tblMovement[[#This Row],[Material]]="","",IF(LEFT(tblMovement[[#This Row],[Material]],3)="Ore",1,0))</f>
        <v/>
      </c>
      <c r="N3139" s="59">
        <f>IF(OR(tblMovement[[#This Row],[Tonnes_t]]="",tblMovement[[#This Row],[Grade_gpt]]=""),0,tblMovement[[#This Row],[Tonnes_t]]*tblMovement[[#This Row],[Grade_gpt]]/cfg_TroyOz)</f>
        <v/>
      </c>
      <c r="O3139" s="59">
        <f>IF(tblMovement[[#This Row],[Is_Ore]]=1,tblMovement[[#This Row],[Contained_oz]],0)</f>
        <v/>
      </c>
    </row>
    <row r="3140">
      <c r="A3140" s="54" t="n"/>
      <c r="B3140" s="61" t="n"/>
      <c r="C3140" s="61" t="n"/>
      <c r="D3140" s="61" t="n"/>
      <c r="E3140" s="61" t="n"/>
      <c r="F3140" s="55" t="n"/>
      <c r="G3140" s="56" t="n"/>
      <c r="H3140" s="55" t="n"/>
      <c r="I3140" s="62" t="n"/>
      <c r="J3140" s="58" t="n"/>
      <c r="K3140" s="63">
        <f>IF(tblMovement[[#This Row],[Source]]="","",IFERROR(INDEX(tblSources[Type],MATCH(tblMovement[[#This Row],[Source]],tblSources[Source],0)),"?"))</f>
        <v/>
      </c>
      <c r="L3140" s="63">
        <f>IF(tblMovement[[#This Row],[Destination]]="","",IFERROR(INDEX(tblDestinations[Type],MATCH(tblMovement[[#This Row],[Destination]],tblDestinations[Destination],0)),"?"))</f>
        <v/>
      </c>
      <c r="M3140" s="64">
        <f>IF(tblMovement[[#This Row],[Material]]="","",IF(LEFT(tblMovement[[#This Row],[Material]],3)="Ore",1,0))</f>
        <v/>
      </c>
      <c r="N3140" s="59">
        <f>IF(OR(tblMovement[[#This Row],[Tonnes_t]]="",tblMovement[[#This Row],[Grade_gpt]]=""),0,tblMovement[[#This Row],[Tonnes_t]]*tblMovement[[#This Row],[Grade_gpt]]/cfg_TroyOz)</f>
        <v/>
      </c>
      <c r="O3140" s="59">
        <f>IF(tblMovement[[#This Row],[Is_Ore]]=1,tblMovement[[#This Row],[Contained_oz]],0)</f>
        <v/>
      </c>
    </row>
    <row r="3141">
      <c r="A3141" s="54" t="n"/>
      <c r="B3141" s="61" t="n"/>
      <c r="C3141" s="61" t="n"/>
      <c r="D3141" s="61" t="n"/>
      <c r="E3141" s="61" t="n"/>
      <c r="F3141" s="55" t="n"/>
      <c r="G3141" s="56" t="n"/>
      <c r="H3141" s="55" t="n"/>
      <c r="I3141" s="62" t="n"/>
      <c r="J3141" s="58" t="n"/>
      <c r="K3141" s="63">
        <f>IF(tblMovement[[#This Row],[Source]]="","",IFERROR(INDEX(tblSources[Type],MATCH(tblMovement[[#This Row],[Source]],tblSources[Source],0)),"?"))</f>
        <v/>
      </c>
      <c r="L3141" s="63">
        <f>IF(tblMovement[[#This Row],[Destination]]="","",IFERROR(INDEX(tblDestinations[Type],MATCH(tblMovement[[#This Row],[Destination]],tblDestinations[Destination],0)),"?"))</f>
        <v/>
      </c>
      <c r="M3141" s="64">
        <f>IF(tblMovement[[#This Row],[Material]]="","",IF(LEFT(tblMovement[[#This Row],[Material]],3)="Ore",1,0))</f>
        <v/>
      </c>
      <c r="N3141" s="59">
        <f>IF(OR(tblMovement[[#This Row],[Tonnes_t]]="",tblMovement[[#This Row],[Grade_gpt]]=""),0,tblMovement[[#This Row],[Tonnes_t]]*tblMovement[[#This Row],[Grade_gpt]]/cfg_TroyOz)</f>
        <v/>
      </c>
      <c r="O3141" s="59">
        <f>IF(tblMovement[[#This Row],[Is_Ore]]=1,tblMovement[[#This Row],[Contained_oz]],0)</f>
        <v/>
      </c>
    </row>
    <row r="3142">
      <c r="A3142" s="54" t="n"/>
      <c r="B3142" s="61" t="n"/>
      <c r="C3142" s="61" t="n"/>
      <c r="D3142" s="61" t="n"/>
      <c r="E3142" s="61" t="n"/>
      <c r="F3142" s="55" t="n"/>
      <c r="G3142" s="56" t="n"/>
      <c r="H3142" s="55" t="n"/>
      <c r="I3142" s="62" t="n"/>
      <c r="J3142" s="58" t="n"/>
      <c r="K3142" s="63">
        <f>IF(tblMovement[[#This Row],[Source]]="","",IFERROR(INDEX(tblSources[Type],MATCH(tblMovement[[#This Row],[Source]],tblSources[Source],0)),"?"))</f>
        <v/>
      </c>
      <c r="L3142" s="63">
        <f>IF(tblMovement[[#This Row],[Destination]]="","",IFERROR(INDEX(tblDestinations[Type],MATCH(tblMovement[[#This Row],[Destination]],tblDestinations[Destination],0)),"?"))</f>
        <v/>
      </c>
      <c r="M3142" s="64">
        <f>IF(tblMovement[[#This Row],[Material]]="","",IF(LEFT(tblMovement[[#This Row],[Material]],3)="Ore",1,0))</f>
        <v/>
      </c>
      <c r="N3142" s="59">
        <f>IF(OR(tblMovement[[#This Row],[Tonnes_t]]="",tblMovement[[#This Row],[Grade_gpt]]=""),0,tblMovement[[#This Row],[Tonnes_t]]*tblMovement[[#This Row],[Grade_gpt]]/cfg_TroyOz)</f>
        <v/>
      </c>
      <c r="O3142" s="59">
        <f>IF(tblMovement[[#This Row],[Is_Ore]]=1,tblMovement[[#This Row],[Contained_oz]],0)</f>
        <v/>
      </c>
    </row>
    <row r="3143">
      <c r="A3143" s="54" t="n"/>
      <c r="B3143" s="61" t="n"/>
      <c r="C3143" s="61" t="n"/>
      <c r="D3143" s="61" t="n"/>
      <c r="E3143" s="61" t="n"/>
      <c r="F3143" s="55" t="n"/>
      <c r="G3143" s="56" t="n"/>
      <c r="H3143" s="55" t="n"/>
      <c r="I3143" s="62" t="n"/>
      <c r="J3143" s="58" t="n"/>
      <c r="K3143" s="63">
        <f>IF(tblMovement[[#This Row],[Source]]="","",IFERROR(INDEX(tblSources[Type],MATCH(tblMovement[[#This Row],[Source]],tblSources[Source],0)),"?"))</f>
        <v/>
      </c>
      <c r="L3143" s="63">
        <f>IF(tblMovement[[#This Row],[Destination]]="","",IFERROR(INDEX(tblDestinations[Type],MATCH(tblMovement[[#This Row],[Destination]],tblDestinations[Destination],0)),"?"))</f>
        <v/>
      </c>
      <c r="M3143" s="64">
        <f>IF(tblMovement[[#This Row],[Material]]="","",IF(LEFT(tblMovement[[#This Row],[Material]],3)="Ore",1,0))</f>
        <v/>
      </c>
      <c r="N3143" s="59">
        <f>IF(OR(tblMovement[[#This Row],[Tonnes_t]]="",tblMovement[[#This Row],[Grade_gpt]]=""),0,tblMovement[[#This Row],[Tonnes_t]]*tblMovement[[#This Row],[Grade_gpt]]/cfg_TroyOz)</f>
        <v/>
      </c>
      <c r="O3143" s="59">
        <f>IF(tblMovement[[#This Row],[Is_Ore]]=1,tblMovement[[#This Row],[Contained_oz]],0)</f>
        <v/>
      </c>
    </row>
    <row r="3144">
      <c r="A3144" s="54" t="n"/>
      <c r="B3144" s="61" t="n"/>
      <c r="C3144" s="61" t="n"/>
      <c r="D3144" s="61" t="n"/>
      <c r="E3144" s="61" t="n"/>
      <c r="F3144" s="55" t="n"/>
      <c r="G3144" s="56" t="n"/>
      <c r="H3144" s="55" t="n"/>
      <c r="I3144" s="62" t="n"/>
      <c r="J3144" s="58" t="n"/>
      <c r="K3144" s="63">
        <f>IF(tblMovement[[#This Row],[Source]]="","",IFERROR(INDEX(tblSources[Type],MATCH(tblMovement[[#This Row],[Source]],tblSources[Source],0)),"?"))</f>
        <v/>
      </c>
      <c r="L3144" s="63">
        <f>IF(tblMovement[[#This Row],[Destination]]="","",IFERROR(INDEX(tblDestinations[Type],MATCH(tblMovement[[#This Row],[Destination]],tblDestinations[Destination],0)),"?"))</f>
        <v/>
      </c>
      <c r="M3144" s="64">
        <f>IF(tblMovement[[#This Row],[Material]]="","",IF(LEFT(tblMovement[[#This Row],[Material]],3)="Ore",1,0))</f>
        <v/>
      </c>
      <c r="N3144" s="59">
        <f>IF(OR(tblMovement[[#This Row],[Tonnes_t]]="",tblMovement[[#This Row],[Grade_gpt]]=""),0,tblMovement[[#This Row],[Tonnes_t]]*tblMovement[[#This Row],[Grade_gpt]]/cfg_TroyOz)</f>
        <v/>
      </c>
      <c r="O3144" s="59">
        <f>IF(tblMovement[[#This Row],[Is_Ore]]=1,tblMovement[[#This Row],[Contained_oz]],0)</f>
        <v/>
      </c>
    </row>
    <row r="3145">
      <c r="A3145" s="54" t="n"/>
      <c r="B3145" s="61" t="n"/>
      <c r="C3145" s="61" t="n"/>
      <c r="D3145" s="61" t="n"/>
      <c r="E3145" s="61" t="n"/>
      <c r="F3145" s="55" t="n"/>
      <c r="G3145" s="56" t="n"/>
      <c r="H3145" s="55" t="n"/>
      <c r="I3145" s="62" t="n"/>
      <c r="J3145" s="58" t="n"/>
      <c r="K3145" s="63">
        <f>IF(tblMovement[[#This Row],[Source]]="","",IFERROR(INDEX(tblSources[Type],MATCH(tblMovement[[#This Row],[Source]],tblSources[Source],0)),"?"))</f>
        <v/>
      </c>
      <c r="L3145" s="63">
        <f>IF(tblMovement[[#This Row],[Destination]]="","",IFERROR(INDEX(tblDestinations[Type],MATCH(tblMovement[[#This Row],[Destination]],tblDestinations[Destination],0)),"?"))</f>
        <v/>
      </c>
      <c r="M3145" s="64">
        <f>IF(tblMovement[[#This Row],[Material]]="","",IF(LEFT(tblMovement[[#This Row],[Material]],3)="Ore",1,0))</f>
        <v/>
      </c>
      <c r="N3145" s="59">
        <f>IF(OR(tblMovement[[#This Row],[Tonnes_t]]="",tblMovement[[#This Row],[Grade_gpt]]=""),0,tblMovement[[#This Row],[Tonnes_t]]*tblMovement[[#This Row],[Grade_gpt]]/cfg_TroyOz)</f>
        <v/>
      </c>
      <c r="O3145" s="59">
        <f>IF(tblMovement[[#This Row],[Is_Ore]]=1,tblMovement[[#This Row],[Contained_oz]],0)</f>
        <v/>
      </c>
    </row>
    <row r="3146">
      <c r="A3146" s="54" t="n"/>
      <c r="B3146" s="61" t="n"/>
      <c r="C3146" s="61" t="n"/>
      <c r="D3146" s="61" t="n"/>
      <c r="E3146" s="61" t="n"/>
      <c r="F3146" s="55" t="n"/>
      <c r="G3146" s="56" t="n"/>
      <c r="H3146" s="55" t="n"/>
      <c r="I3146" s="62" t="n"/>
      <c r="J3146" s="58" t="n"/>
      <c r="K3146" s="63">
        <f>IF(tblMovement[[#This Row],[Source]]="","",IFERROR(INDEX(tblSources[Type],MATCH(tblMovement[[#This Row],[Source]],tblSources[Source],0)),"?"))</f>
        <v/>
      </c>
      <c r="L3146" s="63">
        <f>IF(tblMovement[[#This Row],[Destination]]="","",IFERROR(INDEX(tblDestinations[Type],MATCH(tblMovement[[#This Row],[Destination]],tblDestinations[Destination],0)),"?"))</f>
        <v/>
      </c>
      <c r="M3146" s="64">
        <f>IF(tblMovement[[#This Row],[Material]]="","",IF(LEFT(tblMovement[[#This Row],[Material]],3)="Ore",1,0))</f>
        <v/>
      </c>
      <c r="N3146" s="59">
        <f>IF(OR(tblMovement[[#This Row],[Tonnes_t]]="",tblMovement[[#This Row],[Grade_gpt]]=""),0,tblMovement[[#This Row],[Tonnes_t]]*tblMovement[[#This Row],[Grade_gpt]]/cfg_TroyOz)</f>
        <v/>
      </c>
      <c r="O3146" s="59">
        <f>IF(tblMovement[[#This Row],[Is_Ore]]=1,tblMovement[[#This Row],[Contained_oz]],0)</f>
        <v/>
      </c>
    </row>
    <row r="3147">
      <c r="A3147" s="54" t="n"/>
      <c r="B3147" s="61" t="n"/>
      <c r="C3147" s="61" t="n"/>
      <c r="D3147" s="61" t="n"/>
      <c r="E3147" s="61" t="n"/>
      <c r="F3147" s="55" t="n"/>
      <c r="G3147" s="56" t="n"/>
      <c r="H3147" s="55" t="n"/>
      <c r="I3147" s="62" t="n"/>
      <c r="J3147" s="58" t="n"/>
      <c r="K3147" s="63">
        <f>IF(tblMovement[[#This Row],[Source]]="","",IFERROR(INDEX(tblSources[Type],MATCH(tblMovement[[#This Row],[Source]],tblSources[Source],0)),"?"))</f>
        <v/>
      </c>
      <c r="L3147" s="63">
        <f>IF(tblMovement[[#This Row],[Destination]]="","",IFERROR(INDEX(tblDestinations[Type],MATCH(tblMovement[[#This Row],[Destination]],tblDestinations[Destination],0)),"?"))</f>
        <v/>
      </c>
      <c r="M3147" s="64">
        <f>IF(tblMovement[[#This Row],[Material]]="","",IF(LEFT(tblMovement[[#This Row],[Material]],3)="Ore",1,0))</f>
        <v/>
      </c>
      <c r="N3147" s="59">
        <f>IF(OR(tblMovement[[#This Row],[Tonnes_t]]="",tblMovement[[#This Row],[Grade_gpt]]=""),0,tblMovement[[#This Row],[Tonnes_t]]*tblMovement[[#This Row],[Grade_gpt]]/cfg_TroyOz)</f>
        <v/>
      </c>
      <c r="O3147" s="59">
        <f>IF(tblMovement[[#This Row],[Is_Ore]]=1,tblMovement[[#This Row],[Contained_oz]],0)</f>
        <v/>
      </c>
    </row>
    <row r="3148">
      <c r="A3148" s="54" t="n"/>
      <c r="B3148" s="61" t="n"/>
      <c r="C3148" s="61" t="n"/>
      <c r="D3148" s="61" t="n"/>
      <c r="E3148" s="61" t="n"/>
      <c r="F3148" s="55" t="n"/>
      <c r="G3148" s="56" t="n"/>
      <c r="H3148" s="55" t="n"/>
      <c r="I3148" s="62" t="n"/>
      <c r="J3148" s="58" t="n"/>
      <c r="K3148" s="63">
        <f>IF(tblMovement[[#This Row],[Source]]="","",IFERROR(INDEX(tblSources[Type],MATCH(tblMovement[[#This Row],[Source]],tblSources[Source],0)),"?"))</f>
        <v/>
      </c>
      <c r="L3148" s="63">
        <f>IF(tblMovement[[#This Row],[Destination]]="","",IFERROR(INDEX(tblDestinations[Type],MATCH(tblMovement[[#This Row],[Destination]],tblDestinations[Destination],0)),"?"))</f>
        <v/>
      </c>
      <c r="M3148" s="64">
        <f>IF(tblMovement[[#This Row],[Material]]="","",IF(LEFT(tblMovement[[#This Row],[Material]],3)="Ore",1,0))</f>
        <v/>
      </c>
      <c r="N3148" s="59">
        <f>IF(OR(tblMovement[[#This Row],[Tonnes_t]]="",tblMovement[[#This Row],[Grade_gpt]]=""),0,tblMovement[[#This Row],[Tonnes_t]]*tblMovement[[#This Row],[Grade_gpt]]/cfg_TroyOz)</f>
        <v/>
      </c>
      <c r="O3148" s="59">
        <f>IF(tblMovement[[#This Row],[Is_Ore]]=1,tblMovement[[#This Row],[Contained_oz]],0)</f>
        <v/>
      </c>
    </row>
    <row r="3149">
      <c r="A3149" s="54" t="n"/>
      <c r="B3149" s="61" t="n"/>
      <c r="C3149" s="61" t="n"/>
      <c r="D3149" s="61" t="n"/>
      <c r="E3149" s="61" t="n"/>
      <c r="F3149" s="55" t="n"/>
      <c r="G3149" s="56" t="n"/>
      <c r="H3149" s="55" t="n"/>
      <c r="I3149" s="62" t="n"/>
      <c r="J3149" s="58" t="n"/>
      <c r="K3149" s="63">
        <f>IF(tblMovement[[#This Row],[Source]]="","",IFERROR(INDEX(tblSources[Type],MATCH(tblMovement[[#This Row],[Source]],tblSources[Source],0)),"?"))</f>
        <v/>
      </c>
      <c r="L3149" s="63">
        <f>IF(tblMovement[[#This Row],[Destination]]="","",IFERROR(INDEX(tblDestinations[Type],MATCH(tblMovement[[#This Row],[Destination]],tblDestinations[Destination],0)),"?"))</f>
        <v/>
      </c>
      <c r="M3149" s="64">
        <f>IF(tblMovement[[#This Row],[Material]]="","",IF(LEFT(tblMovement[[#This Row],[Material]],3)="Ore",1,0))</f>
        <v/>
      </c>
      <c r="N3149" s="59">
        <f>IF(OR(tblMovement[[#This Row],[Tonnes_t]]="",tblMovement[[#This Row],[Grade_gpt]]=""),0,tblMovement[[#This Row],[Tonnes_t]]*tblMovement[[#This Row],[Grade_gpt]]/cfg_TroyOz)</f>
        <v/>
      </c>
      <c r="O3149" s="59">
        <f>IF(tblMovement[[#This Row],[Is_Ore]]=1,tblMovement[[#This Row],[Contained_oz]],0)</f>
        <v/>
      </c>
    </row>
    <row r="3150">
      <c r="A3150" s="54" t="n"/>
      <c r="B3150" s="61" t="n"/>
      <c r="C3150" s="61" t="n"/>
      <c r="D3150" s="61" t="n"/>
      <c r="E3150" s="61" t="n"/>
      <c r="F3150" s="55" t="n"/>
      <c r="G3150" s="56" t="n"/>
      <c r="H3150" s="55" t="n"/>
      <c r="I3150" s="62" t="n"/>
      <c r="J3150" s="58" t="n"/>
      <c r="K3150" s="63">
        <f>IF(tblMovement[[#This Row],[Source]]="","",IFERROR(INDEX(tblSources[Type],MATCH(tblMovement[[#This Row],[Source]],tblSources[Source],0)),"?"))</f>
        <v/>
      </c>
      <c r="L3150" s="63">
        <f>IF(tblMovement[[#This Row],[Destination]]="","",IFERROR(INDEX(tblDestinations[Type],MATCH(tblMovement[[#This Row],[Destination]],tblDestinations[Destination],0)),"?"))</f>
        <v/>
      </c>
      <c r="M3150" s="64">
        <f>IF(tblMovement[[#This Row],[Material]]="","",IF(LEFT(tblMovement[[#This Row],[Material]],3)="Ore",1,0))</f>
        <v/>
      </c>
      <c r="N3150" s="59">
        <f>IF(OR(tblMovement[[#This Row],[Tonnes_t]]="",tblMovement[[#This Row],[Grade_gpt]]=""),0,tblMovement[[#This Row],[Tonnes_t]]*tblMovement[[#This Row],[Grade_gpt]]/cfg_TroyOz)</f>
        <v/>
      </c>
      <c r="O3150" s="59">
        <f>IF(tblMovement[[#This Row],[Is_Ore]]=1,tblMovement[[#This Row],[Contained_oz]],0)</f>
        <v/>
      </c>
    </row>
    <row r="3151">
      <c r="A3151" s="54" t="n"/>
      <c r="B3151" s="61" t="n"/>
      <c r="C3151" s="61" t="n"/>
      <c r="D3151" s="61" t="n"/>
      <c r="E3151" s="61" t="n"/>
      <c r="F3151" s="55" t="n"/>
      <c r="G3151" s="56" t="n"/>
      <c r="H3151" s="55" t="n"/>
      <c r="I3151" s="62" t="n"/>
      <c r="J3151" s="58" t="n"/>
      <c r="K3151" s="63">
        <f>IF(tblMovement[[#This Row],[Source]]="","",IFERROR(INDEX(tblSources[Type],MATCH(tblMovement[[#This Row],[Source]],tblSources[Source],0)),"?"))</f>
        <v/>
      </c>
      <c r="L3151" s="63">
        <f>IF(tblMovement[[#This Row],[Destination]]="","",IFERROR(INDEX(tblDestinations[Type],MATCH(tblMovement[[#This Row],[Destination]],tblDestinations[Destination],0)),"?"))</f>
        <v/>
      </c>
      <c r="M3151" s="64">
        <f>IF(tblMovement[[#This Row],[Material]]="","",IF(LEFT(tblMovement[[#This Row],[Material]],3)="Ore",1,0))</f>
        <v/>
      </c>
      <c r="N3151" s="59">
        <f>IF(OR(tblMovement[[#This Row],[Tonnes_t]]="",tblMovement[[#This Row],[Grade_gpt]]=""),0,tblMovement[[#This Row],[Tonnes_t]]*tblMovement[[#This Row],[Grade_gpt]]/cfg_TroyOz)</f>
        <v/>
      </c>
      <c r="O3151" s="59">
        <f>IF(tblMovement[[#This Row],[Is_Ore]]=1,tblMovement[[#This Row],[Contained_oz]],0)</f>
        <v/>
      </c>
    </row>
    <row r="3152">
      <c r="A3152" s="54" t="n"/>
      <c r="B3152" s="61" t="n"/>
      <c r="C3152" s="61" t="n"/>
      <c r="D3152" s="61" t="n"/>
      <c r="E3152" s="61" t="n"/>
      <c r="F3152" s="55" t="n"/>
      <c r="G3152" s="56" t="n"/>
      <c r="H3152" s="55" t="n"/>
      <c r="I3152" s="62" t="n"/>
      <c r="J3152" s="58" t="n"/>
      <c r="K3152" s="63">
        <f>IF(tblMovement[[#This Row],[Source]]="","",IFERROR(INDEX(tblSources[Type],MATCH(tblMovement[[#This Row],[Source]],tblSources[Source],0)),"?"))</f>
        <v/>
      </c>
      <c r="L3152" s="63">
        <f>IF(tblMovement[[#This Row],[Destination]]="","",IFERROR(INDEX(tblDestinations[Type],MATCH(tblMovement[[#This Row],[Destination]],tblDestinations[Destination],0)),"?"))</f>
        <v/>
      </c>
      <c r="M3152" s="64">
        <f>IF(tblMovement[[#This Row],[Material]]="","",IF(LEFT(tblMovement[[#This Row],[Material]],3)="Ore",1,0))</f>
        <v/>
      </c>
      <c r="N3152" s="59">
        <f>IF(OR(tblMovement[[#This Row],[Tonnes_t]]="",tblMovement[[#This Row],[Grade_gpt]]=""),0,tblMovement[[#This Row],[Tonnes_t]]*tblMovement[[#This Row],[Grade_gpt]]/cfg_TroyOz)</f>
        <v/>
      </c>
      <c r="O3152" s="59">
        <f>IF(tblMovement[[#This Row],[Is_Ore]]=1,tblMovement[[#This Row],[Contained_oz]],0)</f>
        <v/>
      </c>
    </row>
    <row r="3153">
      <c r="A3153" s="54" t="n"/>
      <c r="B3153" s="61" t="n"/>
      <c r="C3153" s="61" t="n"/>
      <c r="D3153" s="61" t="n"/>
      <c r="E3153" s="61" t="n"/>
      <c r="F3153" s="55" t="n"/>
      <c r="G3153" s="56" t="n"/>
      <c r="H3153" s="55" t="n"/>
      <c r="I3153" s="62" t="n"/>
      <c r="J3153" s="58" t="n"/>
      <c r="K3153" s="63">
        <f>IF(tblMovement[[#This Row],[Source]]="","",IFERROR(INDEX(tblSources[Type],MATCH(tblMovement[[#This Row],[Source]],tblSources[Source],0)),"?"))</f>
        <v/>
      </c>
      <c r="L3153" s="63">
        <f>IF(tblMovement[[#This Row],[Destination]]="","",IFERROR(INDEX(tblDestinations[Type],MATCH(tblMovement[[#This Row],[Destination]],tblDestinations[Destination],0)),"?"))</f>
        <v/>
      </c>
      <c r="M3153" s="64">
        <f>IF(tblMovement[[#This Row],[Material]]="","",IF(LEFT(tblMovement[[#This Row],[Material]],3)="Ore",1,0))</f>
        <v/>
      </c>
      <c r="N3153" s="59">
        <f>IF(OR(tblMovement[[#This Row],[Tonnes_t]]="",tblMovement[[#This Row],[Grade_gpt]]=""),0,tblMovement[[#This Row],[Tonnes_t]]*tblMovement[[#This Row],[Grade_gpt]]/cfg_TroyOz)</f>
        <v/>
      </c>
      <c r="O3153" s="59">
        <f>IF(tblMovement[[#This Row],[Is_Ore]]=1,tblMovement[[#This Row],[Contained_oz]],0)</f>
        <v/>
      </c>
    </row>
    <row r="3154">
      <c r="A3154" s="54" t="n"/>
      <c r="B3154" s="61" t="n"/>
      <c r="C3154" s="61" t="n"/>
      <c r="D3154" s="61" t="n"/>
      <c r="E3154" s="61" t="n"/>
      <c r="F3154" s="55" t="n"/>
      <c r="G3154" s="56" t="n"/>
      <c r="H3154" s="55" t="n"/>
      <c r="I3154" s="62" t="n"/>
      <c r="J3154" s="58" t="n"/>
      <c r="K3154" s="63">
        <f>IF(tblMovement[[#This Row],[Source]]="","",IFERROR(INDEX(tblSources[Type],MATCH(tblMovement[[#This Row],[Source]],tblSources[Source],0)),"?"))</f>
        <v/>
      </c>
      <c r="L3154" s="63">
        <f>IF(tblMovement[[#This Row],[Destination]]="","",IFERROR(INDEX(tblDestinations[Type],MATCH(tblMovement[[#This Row],[Destination]],tblDestinations[Destination],0)),"?"))</f>
        <v/>
      </c>
      <c r="M3154" s="64">
        <f>IF(tblMovement[[#This Row],[Material]]="","",IF(LEFT(tblMovement[[#This Row],[Material]],3)="Ore",1,0))</f>
        <v/>
      </c>
      <c r="N3154" s="59">
        <f>IF(OR(tblMovement[[#This Row],[Tonnes_t]]="",tblMovement[[#This Row],[Grade_gpt]]=""),0,tblMovement[[#This Row],[Tonnes_t]]*tblMovement[[#This Row],[Grade_gpt]]/cfg_TroyOz)</f>
        <v/>
      </c>
      <c r="O3154" s="59">
        <f>IF(tblMovement[[#This Row],[Is_Ore]]=1,tblMovement[[#This Row],[Contained_oz]],0)</f>
        <v/>
      </c>
    </row>
    <row r="3155">
      <c r="A3155" s="54" t="n"/>
      <c r="B3155" s="61" t="n"/>
      <c r="C3155" s="61" t="n"/>
      <c r="D3155" s="61" t="n"/>
      <c r="E3155" s="61" t="n"/>
      <c r="F3155" s="55" t="n"/>
      <c r="G3155" s="56" t="n"/>
      <c r="H3155" s="55" t="n"/>
      <c r="I3155" s="62" t="n"/>
      <c r="J3155" s="58" t="n"/>
      <c r="K3155" s="63">
        <f>IF(tblMovement[[#This Row],[Source]]="","",IFERROR(INDEX(tblSources[Type],MATCH(tblMovement[[#This Row],[Source]],tblSources[Source],0)),"?"))</f>
        <v/>
      </c>
      <c r="L3155" s="63">
        <f>IF(tblMovement[[#This Row],[Destination]]="","",IFERROR(INDEX(tblDestinations[Type],MATCH(tblMovement[[#This Row],[Destination]],tblDestinations[Destination],0)),"?"))</f>
        <v/>
      </c>
      <c r="M3155" s="64">
        <f>IF(tblMovement[[#This Row],[Material]]="","",IF(LEFT(tblMovement[[#This Row],[Material]],3)="Ore",1,0))</f>
        <v/>
      </c>
      <c r="N3155" s="59">
        <f>IF(OR(tblMovement[[#This Row],[Tonnes_t]]="",tblMovement[[#This Row],[Grade_gpt]]=""),0,tblMovement[[#This Row],[Tonnes_t]]*tblMovement[[#This Row],[Grade_gpt]]/cfg_TroyOz)</f>
        <v/>
      </c>
      <c r="O3155" s="59">
        <f>IF(tblMovement[[#This Row],[Is_Ore]]=1,tblMovement[[#This Row],[Contained_oz]],0)</f>
        <v/>
      </c>
    </row>
    <row r="3156">
      <c r="A3156" s="54" t="n"/>
      <c r="B3156" s="61" t="n"/>
      <c r="C3156" s="61" t="n"/>
      <c r="D3156" s="61" t="n"/>
      <c r="E3156" s="61" t="n"/>
      <c r="F3156" s="55" t="n"/>
      <c r="G3156" s="56" t="n"/>
      <c r="H3156" s="55" t="n"/>
      <c r="I3156" s="62" t="n"/>
      <c r="J3156" s="58" t="n"/>
      <c r="K3156" s="63">
        <f>IF(tblMovement[[#This Row],[Source]]="","",IFERROR(INDEX(tblSources[Type],MATCH(tblMovement[[#This Row],[Source]],tblSources[Source],0)),"?"))</f>
        <v/>
      </c>
      <c r="L3156" s="63">
        <f>IF(tblMovement[[#This Row],[Destination]]="","",IFERROR(INDEX(tblDestinations[Type],MATCH(tblMovement[[#This Row],[Destination]],tblDestinations[Destination],0)),"?"))</f>
        <v/>
      </c>
      <c r="M3156" s="64">
        <f>IF(tblMovement[[#This Row],[Material]]="","",IF(LEFT(tblMovement[[#This Row],[Material]],3)="Ore",1,0))</f>
        <v/>
      </c>
      <c r="N3156" s="59">
        <f>IF(OR(tblMovement[[#This Row],[Tonnes_t]]="",tblMovement[[#This Row],[Grade_gpt]]=""),0,tblMovement[[#This Row],[Tonnes_t]]*tblMovement[[#This Row],[Grade_gpt]]/cfg_TroyOz)</f>
        <v/>
      </c>
      <c r="O3156" s="59">
        <f>IF(tblMovement[[#This Row],[Is_Ore]]=1,tblMovement[[#This Row],[Contained_oz]],0)</f>
        <v/>
      </c>
    </row>
    <row r="3157">
      <c r="A3157" s="54" t="n"/>
      <c r="B3157" s="61" t="n"/>
      <c r="C3157" s="61" t="n"/>
      <c r="D3157" s="61" t="n"/>
      <c r="E3157" s="61" t="n"/>
      <c r="F3157" s="55" t="n"/>
      <c r="G3157" s="56" t="n"/>
      <c r="H3157" s="55" t="n"/>
      <c r="I3157" s="62" t="n"/>
      <c r="J3157" s="58" t="n"/>
      <c r="K3157" s="63">
        <f>IF(tblMovement[[#This Row],[Source]]="","",IFERROR(INDEX(tblSources[Type],MATCH(tblMovement[[#This Row],[Source]],tblSources[Source],0)),"?"))</f>
        <v/>
      </c>
      <c r="L3157" s="63">
        <f>IF(tblMovement[[#This Row],[Destination]]="","",IFERROR(INDEX(tblDestinations[Type],MATCH(tblMovement[[#This Row],[Destination]],tblDestinations[Destination],0)),"?"))</f>
        <v/>
      </c>
      <c r="M3157" s="64">
        <f>IF(tblMovement[[#This Row],[Material]]="","",IF(LEFT(tblMovement[[#This Row],[Material]],3)="Ore",1,0))</f>
        <v/>
      </c>
      <c r="N3157" s="59">
        <f>IF(OR(tblMovement[[#This Row],[Tonnes_t]]="",tblMovement[[#This Row],[Grade_gpt]]=""),0,tblMovement[[#This Row],[Tonnes_t]]*tblMovement[[#This Row],[Grade_gpt]]/cfg_TroyOz)</f>
        <v/>
      </c>
      <c r="O3157" s="59">
        <f>IF(tblMovement[[#This Row],[Is_Ore]]=1,tblMovement[[#This Row],[Contained_oz]],0)</f>
        <v/>
      </c>
    </row>
    <row r="3158">
      <c r="A3158" s="54" t="n"/>
      <c r="B3158" s="61" t="n"/>
      <c r="C3158" s="61" t="n"/>
      <c r="D3158" s="61" t="n"/>
      <c r="E3158" s="61" t="n"/>
      <c r="F3158" s="55" t="n"/>
      <c r="G3158" s="56" t="n"/>
      <c r="H3158" s="55" t="n"/>
      <c r="I3158" s="62" t="n"/>
      <c r="J3158" s="58" t="n"/>
      <c r="K3158" s="63">
        <f>IF(tblMovement[[#This Row],[Source]]="","",IFERROR(INDEX(tblSources[Type],MATCH(tblMovement[[#This Row],[Source]],tblSources[Source],0)),"?"))</f>
        <v/>
      </c>
      <c r="L3158" s="63">
        <f>IF(tblMovement[[#This Row],[Destination]]="","",IFERROR(INDEX(tblDestinations[Type],MATCH(tblMovement[[#This Row],[Destination]],tblDestinations[Destination],0)),"?"))</f>
        <v/>
      </c>
      <c r="M3158" s="64">
        <f>IF(tblMovement[[#This Row],[Material]]="","",IF(LEFT(tblMovement[[#This Row],[Material]],3)="Ore",1,0))</f>
        <v/>
      </c>
      <c r="N3158" s="59">
        <f>IF(OR(tblMovement[[#This Row],[Tonnes_t]]="",tblMovement[[#This Row],[Grade_gpt]]=""),0,tblMovement[[#This Row],[Tonnes_t]]*tblMovement[[#This Row],[Grade_gpt]]/cfg_TroyOz)</f>
        <v/>
      </c>
      <c r="O3158" s="59">
        <f>IF(tblMovement[[#This Row],[Is_Ore]]=1,tblMovement[[#This Row],[Contained_oz]],0)</f>
        <v/>
      </c>
    </row>
    <row r="3159">
      <c r="A3159" s="54" t="n"/>
      <c r="B3159" s="61" t="n"/>
      <c r="C3159" s="61" t="n"/>
      <c r="D3159" s="61" t="n"/>
      <c r="E3159" s="61" t="n"/>
      <c r="F3159" s="55" t="n"/>
      <c r="G3159" s="56" t="n"/>
      <c r="H3159" s="55" t="n"/>
      <c r="I3159" s="62" t="n"/>
      <c r="J3159" s="58" t="n"/>
      <c r="K3159" s="63">
        <f>IF(tblMovement[[#This Row],[Source]]="","",IFERROR(INDEX(tblSources[Type],MATCH(tblMovement[[#This Row],[Source]],tblSources[Source],0)),"?"))</f>
        <v/>
      </c>
      <c r="L3159" s="63">
        <f>IF(tblMovement[[#This Row],[Destination]]="","",IFERROR(INDEX(tblDestinations[Type],MATCH(tblMovement[[#This Row],[Destination]],tblDestinations[Destination],0)),"?"))</f>
        <v/>
      </c>
      <c r="M3159" s="64">
        <f>IF(tblMovement[[#This Row],[Material]]="","",IF(LEFT(tblMovement[[#This Row],[Material]],3)="Ore",1,0))</f>
        <v/>
      </c>
      <c r="N3159" s="59">
        <f>IF(OR(tblMovement[[#This Row],[Tonnes_t]]="",tblMovement[[#This Row],[Grade_gpt]]=""),0,tblMovement[[#This Row],[Tonnes_t]]*tblMovement[[#This Row],[Grade_gpt]]/cfg_TroyOz)</f>
        <v/>
      </c>
      <c r="O3159" s="59">
        <f>IF(tblMovement[[#This Row],[Is_Ore]]=1,tblMovement[[#This Row],[Contained_oz]],0)</f>
        <v/>
      </c>
    </row>
    <row r="3160">
      <c r="A3160" s="54" t="n"/>
      <c r="B3160" s="61" t="n"/>
      <c r="C3160" s="61" t="n"/>
      <c r="D3160" s="61" t="n"/>
      <c r="E3160" s="61" t="n"/>
      <c r="F3160" s="55" t="n"/>
      <c r="G3160" s="56" t="n"/>
      <c r="H3160" s="55" t="n"/>
      <c r="I3160" s="62" t="n"/>
      <c r="J3160" s="58" t="n"/>
      <c r="K3160" s="63">
        <f>IF(tblMovement[[#This Row],[Source]]="","",IFERROR(INDEX(tblSources[Type],MATCH(tblMovement[[#This Row],[Source]],tblSources[Source],0)),"?"))</f>
        <v/>
      </c>
      <c r="L3160" s="63">
        <f>IF(tblMovement[[#This Row],[Destination]]="","",IFERROR(INDEX(tblDestinations[Type],MATCH(tblMovement[[#This Row],[Destination]],tblDestinations[Destination],0)),"?"))</f>
        <v/>
      </c>
      <c r="M3160" s="64">
        <f>IF(tblMovement[[#This Row],[Material]]="","",IF(LEFT(tblMovement[[#This Row],[Material]],3)="Ore",1,0))</f>
        <v/>
      </c>
      <c r="N3160" s="59">
        <f>IF(OR(tblMovement[[#This Row],[Tonnes_t]]="",tblMovement[[#This Row],[Grade_gpt]]=""),0,tblMovement[[#This Row],[Tonnes_t]]*tblMovement[[#This Row],[Grade_gpt]]/cfg_TroyOz)</f>
        <v/>
      </c>
      <c r="O3160" s="59">
        <f>IF(tblMovement[[#This Row],[Is_Ore]]=1,tblMovement[[#This Row],[Contained_oz]],0)</f>
        <v/>
      </c>
    </row>
    <row r="3161">
      <c r="A3161" s="54" t="n"/>
      <c r="B3161" s="61" t="n"/>
      <c r="C3161" s="61" t="n"/>
      <c r="D3161" s="61" t="n"/>
      <c r="E3161" s="61" t="n"/>
      <c r="F3161" s="55" t="n"/>
      <c r="G3161" s="56" t="n"/>
      <c r="H3161" s="55" t="n"/>
      <c r="I3161" s="62" t="n"/>
      <c r="J3161" s="58" t="n"/>
      <c r="K3161" s="63">
        <f>IF(tblMovement[[#This Row],[Source]]="","",IFERROR(INDEX(tblSources[Type],MATCH(tblMovement[[#This Row],[Source]],tblSources[Source],0)),"?"))</f>
        <v/>
      </c>
      <c r="L3161" s="63">
        <f>IF(tblMovement[[#This Row],[Destination]]="","",IFERROR(INDEX(tblDestinations[Type],MATCH(tblMovement[[#This Row],[Destination]],tblDestinations[Destination],0)),"?"))</f>
        <v/>
      </c>
      <c r="M3161" s="64">
        <f>IF(tblMovement[[#This Row],[Material]]="","",IF(LEFT(tblMovement[[#This Row],[Material]],3)="Ore",1,0))</f>
        <v/>
      </c>
      <c r="N3161" s="59">
        <f>IF(OR(tblMovement[[#This Row],[Tonnes_t]]="",tblMovement[[#This Row],[Grade_gpt]]=""),0,tblMovement[[#This Row],[Tonnes_t]]*tblMovement[[#This Row],[Grade_gpt]]/cfg_TroyOz)</f>
        <v/>
      </c>
      <c r="O3161" s="59">
        <f>IF(tblMovement[[#This Row],[Is_Ore]]=1,tblMovement[[#This Row],[Contained_oz]],0)</f>
        <v/>
      </c>
    </row>
    <row r="3162">
      <c r="A3162" s="54" t="n"/>
      <c r="B3162" s="61" t="n"/>
      <c r="C3162" s="61" t="n"/>
      <c r="D3162" s="61" t="n"/>
      <c r="E3162" s="61" t="n"/>
      <c r="F3162" s="55" t="n"/>
      <c r="G3162" s="56" t="n"/>
      <c r="H3162" s="55" t="n"/>
      <c r="I3162" s="62" t="n"/>
      <c r="J3162" s="58" t="n"/>
      <c r="K3162" s="63">
        <f>IF(tblMovement[[#This Row],[Source]]="","",IFERROR(INDEX(tblSources[Type],MATCH(tblMovement[[#This Row],[Source]],tblSources[Source],0)),"?"))</f>
        <v/>
      </c>
      <c r="L3162" s="63">
        <f>IF(tblMovement[[#This Row],[Destination]]="","",IFERROR(INDEX(tblDestinations[Type],MATCH(tblMovement[[#This Row],[Destination]],tblDestinations[Destination],0)),"?"))</f>
        <v/>
      </c>
      <c r="M3162" s="64">
        <f>IF(tblMovement[[#This Row],[Material]]="","",IF(LEFT(tblMovement[[#This Row],[Material]],3)="Ore",1,0))</f>
        <v/>
      </c>
      <c r="N3162" s="59">
        <f>IF(OR(tblMovement[[#This Row],[Tonnes_t]]="",tblMovement[[#This Row],[Grade_gpt]]=""),0,tblMovement[[#This Row],[Tonnes_t]]*tblMovement[[#This Row],[Grade_gpt]]/cfg_TroyOz)</f>
        <v/>
      </c>
      <c r="O3162" s="59">
        <f>IF(tblMovement[[#This Row],[Is_Ore]]=1,tblMovement[[#This Row],[Contained_oz]],0)</f>
        <v/>
      </c>
    </row>
    <row r="3163">
      <c r="A3163" s="54" t="n"/>
      <c r="B3163" s="61" t="n"/>
      <c r="C3163" s="61" t="n"/>
      <c r="D3163" s="61" t="n"/>
      <c r="E3163" s="61" t="n"/>
      <c r="F3163" s="55" t="n"/>
      <c r="G3163" s="56" t="n"/>
      <c r="H3163" s="55" t="n"/>
      <c r="I3163" s="62" t="n"/>
      <c r="J3163" s="58" t="n"/>
      <c r="K3163" s="63">
        <f>IF(tblMovement[[#This Row],[Source]]="","",IFERROR(INDEX(tblSources[Type],MATCH(tblMovement[[#This Row],[Source]],tblSources[Source],0)),"?"))</f>
        <v/>
      </c>
      <c r="L3163" s="63">
        <f>IF(tblMovement[[#This Row],[Destination]]="","",IFERROR(INDEX(tblDestinations[Type],MATCH(tblMovement[[#This Row],[Destination]],tblDestinations[Destination],0)),"?"))</f>
        <v/>
      </c>
      <c r="M3163" s="64">
        <f>IF(tblMovement[[#This Row],[Material]]="","",IF(LEFT(tblMovement[[#This Row],[Material]],3)="Ore",1,0))</f>
        <v/>
      </c>
      <c r="N3163" s="59">
        <f>IF(OR(tblMovement[[#This Row],[Tonnes_t]]="",tblMovement[[#This Row],[Grade_gpt]]=""),0,tblMovement[[#This Row],[Tonnes_t]]*tblMovement[[#This Row],[Grade_gpt]]/cfg_TroyOz)</f>
        <v/>
      </c>
      <c r="O3163" s="59">
        <f>IF(tblMovement[[#This Row],[Is_Ore]]=1,tblMovement[[#This Row],[Contained_oz]],0)</f>
        <v/>
      </c>
    </row>
    <row r="3164">
      <c r="A3164" s="54" t="n"/>
      <c r="B3164" s="61" t="n"/>
      <c r="C3164" s="61" t="n"/>
      <c r="D3164" s="61" t="n"/>
      <c r="E3164" s="61" t="n"/>
      <c r="F3164" s="55" t="n"/>
      <c r="G3164" s="56" t="n"/>
      <c r="H3164" s="55" t="n"/>
      <c r="I3164" s="62" t="n"/>
      <c r="J3164" s="58" t="n"/>
      <c r="K3164" s="63">
        <f>IF(tblMovement[[#This Row],[Source]]="","",IFERROR(INDEX(tblSources[Type],MATCH(tblMovement[[#This Row],[Source]],tblSources[Source],0)),"?"))</f>
        <v/>
      </c>
      <c r="L3164" s="63">
        <f>IF(tblMovement[[#This Row],[Destination]]="","",IFERROR(INDEX(tblDestinations[Type],MATCH(tblMovement[[#This Row],[Destination]],tblDestinations[Destination],0)),"?"))</f>
        <v/>
      </c>
      <c r="M3164" s="64">
        <f>IF(tblMovement[[#This Row],[Material]]="","",IF(LEFT(tblMovement[[#This Row],[Material]],3)="Ore",1,0))</f>
        <v/>
      </c>
      <c r="N3164" s="59">
        <f>IF(OR(tblMovement[[#This Row],[Tonnes_t]]="",tblMovement[[#This Row],[Grade_gpt]]=""),0,tblMovement[[#This Row],[Tonnes_t]]*tblMovement[[#This Row],[Grade_gpt]]/cfg_TroyOz)</f>
        <v/>
      </c>
      <c r="O3164" s="59">
        <f>IF(tblMovement[[#This Row],[Is_Ore]]=1,tblMovement[[#This Row],[Contained_oz]],0)</f>
        <v/>
      </c>
    </row>
    <row r="3165">
      <c r="A3165" s="54" t="n"/>
      <c r="B3165" s="61" t="n"/>
      <c r="C3165" s="61" t="n"/>
      <c r="D3165" s="61" t="n"/>
      <c r="E3165" s="61" t="n"/>
      <c r="F3165" s="55" t="n"/>
      <c r="G3165" s="56" t="n"/>
      <c r="H3165" s="55" t="n"/>
      <c r="I3165" s="62" t="n"/>
      <c r="J3165" s="58" t="n"/>
      <c r="K3165" s="63">
        <f>IF(tblMovement[[#This Row],[Source]]="","",IFERROR(INDEX(tblSources[Type],MATCH(tblMovement[[#This Row],[Source]],tblSources[Source],0)),"?"))</f>
        <v/>
      </c>
      <c r="L3165" s="63">
        <f>IF(tblMovement[[#This Row],[Destination]]="","",IFERROR(INDEX(tblDestinations[Type],MATCH(tblMovement[[#This Row],[Destination]],tblDestinations[Destination],0)),"?"))</f>
        <v/>
      </c>
      <c r="M3165" s="64">
        <f>IF(tblMovement[[#This Row],[Material]]="","",IF(LEFT(tblMovement[[#This Row],[Material]],3)="Ore",1,0))</f>
        <v/>
      </c>
      <c r="N3165" s="59">
        <f>IF(OR(tblMovement[[#This Row],[Tonnes_t]]="",tblMovement[[#This Row],[Grade_gpt]]=""),0,tblMovement[[#This Row],[Tonnes_t]]*tblMovement[[#This Row],[Grade_gpt]]/cfg_TroyOz)</f>
        <v/>
      </c>
      <c r="O3165" s="59">
        <f>IF(tblMovement[[#This Row],[Is_Ore]]=1,tblMovement[[#This Row],[Contained_oz]],0)</f>
        <v/>
      </c>
    </row>
    <row r="3166">
      <c r="A3166" s="54" t="n"/>
      <c r="B3166" s="61" t="n"/>
      <c r="C3166" s="61" t="n"/>
      <c r="D3166" s="61" t="n"/>
      <c r="E3166" s="61" t="n"/>
      <c r="F3166" s="55" t="n"/>
      <c r="G3166" s="56" t="n"/>
      <c r="H3166" s="55" t="n"/>
      <c r="I3166" s="62" t="n"/>
      <c r="J3166" s="58" t="n"/>
      <c r="K3166" s="63">
        <f>IF(tblMovement[[#This Row],[Source]]="","",IFERROR(INDEX(tblSources[Type],MATCH(tblMovement[[#This Row],[Source]],tblSources[Source],0)),"?"))</f>
        <v/>
      </c>
      <c r="L3166" s="63">
        <f>IF(tblMovement[[#This Row],[Destination]]="","",IFERROR(INDEX(tblDestinations[Type],MATCH(tblMovement[[#This Row],[Destination]],tblDestinations[Destination],0)),"?"))</f>
        <v/>
      </c>
      <c r="M3166" s="64">
        <f>IF(tblMovement[[#This Row],[Material]]="","",IF(LEFT(tblMovement[[#This Row],[Material]],3)="Ore",1,0))</f>
        <v/>
      </c>
      <c r="N3166" s="59">
        <f>IF(OR(tblMovement[[#This Row],[Tonnes_t]]="",tblMovement[[#This Row],[Grade_gpt]]=""),0,tblMovement[[#This Row],[Tonnes_t]]*tblMovement[[#This Row],[Grade_gpt]]/cfg_TroyOz)</f>
        <v/>
      </c>
      <c r="O3166" s="59">
        <f>IF(tblMovement[[#This Row],[Is_Ore]]=1,tblMovement[[#This Row],[Contained_oz]],0)</f>
        <v/>
      </c>
    </row>
    <row r="3167">
      <c r="A3167" s="54" t="n"/>
      <c r="B3167" s="61" t="n"/>
      <c r="C3167" s="61" t="n"/>
      <c r="D3167" s="61" t="n"/>
      <c r="E3167" s="61" t="n"/>
      <c r="F3167" s="55" t="n"/>
      <c r="G3167" s="56" t="n"/>
      <c r="H3167" s="55" t="n"/>
      <c r="I3167" s="62" t="n"/>
      <c r="J3167" s="58" t="n"/>
      <c r="K3167" s="63">
        <f>IF(tblMovement[[#This Row],[Source]]="","",IFERROR(INDEX(tblSources[Type],MATCH(tblMovement[[#This Row],[Source]],tblSources[Source],0)),"?"))</f>
        <v/>
      </c>
      <c r="L3167" s="63">
        <f>IF(tblMovement[[#This Row],[Destination]]="","",IFERROR(INDEX(tblDestinations[Type],MATCH(tblMovement[[#This Row],[Destination]],tblDestinations[Destination],0)),"?"))</f>
        <v/>
      </c>
      <c r="M3167" s="64">
        <f>IF(tblMovement[[#This Row],[Material]]="","",IF(LEFT(tblMovement[[#This Row],[Material]],3)="Ore",1,0))</f>
        <v/>
      </c>
      <c r="N3167" s="59">
        <f>IF(OR(tblMovement[[#This Row],[Tonnes_t]]="",tblMovement[[#This Row],[Grade_gpt]]=""),0,tblMovement[[#This Row],[Tonnes_t]]*tblMovement[[#This Row],[Grade_gpt]]/cfg_TroyOz)</f>
        <v/>
      </c>
      <c r="O3167" s="59">
        <f>IF(tblMovement[[#This Row],[Is_Ore]]=1,tblMovement[[#This Row],[Contained_oz]],0)</f>
        <v/>
      </c>
    </row>
    <row r="3168">
      <c r="A3168" s="54" t="n"/>
      <c r="B3168" s="61" t="n"/>
      <c r="C3168" s="61" t="n"/>
      <c r="D3168" s="61" t="n"/>
      <c r="E3168" s="61" t="n"/>
      <c r="F3168" s="55" t="n"/>
      <c r="G3168" s="56" t="n"/>
      <c r="H3168" s="55" t="n"/>
      <c r="I3168" s="62" t="n"/>
      <c r="J3168" s="58" t="n"/>
      <c r="K3168" s="63">
        <f>IF(tblMovement[[#This Row],[Source]]="","",IFERROR(INDEX(tblSources[Type],MATCH(tblMovement[[#This Row],[Source]],tblSources[Source],0)),"?"))</f>
        <v/>
      </c>
      <c r="L3168" s="63">
        <f>IF(tblMovement[[#This Row],[Destination]]="","",IFERROR(INDEX(tblDestinations[Type],MATCH(tblMovement[[#This Row],[Destination]],tblDestinations[Destination],0)),"?"))</f>
        <v/>
      </c>
      <c r="M3168" s="64">
        <f>IF(tblMovement[[#This Row],[Material]]="","",IF(LEFT(tblMovement[[#This Row],[Material]],3)="Ore",1,0))</f>
        <v/>
      </c>
      <c r="N3168" s="59">
        <f>IF(OR(tblMovement[[#This Row],[Tonnes_t]]="",tblMovement[[#This Row],[Grade_gpt]]=""),0,tblMovement[[#This Row],[Tonnes_t]]*tblMovement[[#This Row],[Grade_gpt]]/cfg_TroyOz)</f>
        <v/>
      </c>
      <c r="O3168" s="59">
        <f>IF(tblMovement[[#This Row],[Is_Ore]]=1,tblMovement[[#This Row],[Contained_oz]],0)</f>
        <v/>
      </c>
    </row>
    <row r="3169">
      <c r="A3169" s="54" t="n"/>
      <c r="B3169" s="61" t="n"/>
      <c r="C3169" s="61" t="n"/>
      <c r="D3169" s="61" t="n"/>
      <c r="E3169" s="61" t="n"/>
      <c r="F3169" s="55" t="n"/>
      <c r="G3169" s="56" t="n"/>
      <c r="H3169" s="55" t="n"/>
      <c r="I3169" s="62" t="n"/>
      <c r="J3169" s="58" t="n"/>
      <c r="K3169" s="63">
        <f>IF(tblMovement[[#This Row],[Source]]="","",IFERROR(INDEX(tblSources[Type],MATCH(tblMovement[[#This Row],[Source]],tblSources[Source],0)),"?"))</f>
        <v/>
      </c>
      <c r="L3169" s="63">
        <f>IF(tblMovement[[#This Row],[Destination]]="","",IFERROR(INDEX(tblDestinations[Type],MATCH(tblMovement[[#This Row],[Destination]],tblDestinations[Destination],0)),"?"))</f>
        <v/>
      </c>
      <c r="M3169" s="64">
        <f>IF(tblMovement[[#This Row],[Material]]="","",IF(LEFT(tblMovement[[#This Row],[Material]],3)="Ore",1,0))</f>
        <v/>
      </c>
      <c r="N3169" s="59">
        <f>IF(OR(tblMovement[[#This Row],[Tonnes_t]]="",tblMovement[[#This Row],[Grade_gpt]]=""),0,tblMovement[[#This Row],[Tonnes_t]]*tblMovement[[#This Row],[Grade_gpt]]/cfg_TroyOz)</f>
        <v/>
      </c>
      <c r="O3169" s="59">
        <f>IF(tblMovement[[#This Row],[Is_Ore]]=1,tblMovement[[#This Row],[Contained_oz]],0)</f>
        <v/>
      </c>
    </row>
    <row r="3170">
      <c r="A3170" s="54" t="n"/>
      <c r="B3170" s="61" t="n"/>
      <c r="C3170" s="61" t="n"/>
      <c r="D3170" s="61" t="n"/>
      <c r="E3170" s="61" t="n"/>
      <c r="F3170" s="55" t="n"/>
      <c r="G3170" s="56" t="n"/>
      <c r="H3170" s="55" t="n"/>
      <c r="I3170" s="62" t="n"/>
      <c r="J3170" s="58" t="n"/>
      <c r="K3170" s="63">
        <f>IF(tblMovement[[#This Row],[Source]]="","",IFERROR(INDEX(tblSources[Type],MATCH(tblMovement[[#This Row],[Source]],tblSources[Source],0)),"?"))</f>
        <v/>
      </c>
      <c r="L3170" s="63">
        <f>IF(tblMovement[[#This Row],[Destination]]="","",IFERROR(INDEX(tblDestinations[Type],MATCH(tblMovement[[#This Row],[Destination]],tblDestinations[Destination],0)),"?"))</f>
        <v/>
      </c>
      <c r="M3170" s="64">
        <f>IF(tblMovement[[#This Row],[Material]]="","",IF(LEFT(tblMovement[[#This Row],[Material]],3)="Ore",1,0))</f>
        <v/>
      </c>
      <c r="N3170" s="59">
        <f>IF(OR(tblMovement[[#This Row],[Tonnes_t]]="",tblMovement[[#This Row],[Grade_gpt]]=""),0,tblMovement[[#This Row],[Tonnes_t]]*tblMovement[[#This Row],[Grade_gpt]]/cfg_TroyOz)</f>
        <v/>
      </c>
      <c r="O3170" s="59">
        <f>IF(tblMovement[[#This Row],[Is_Ore]]=1,tblMovement[[#This Row],[Contained_oz]],0)</f>
        <v/>
      </c>
    </row>
    <row r="3171">
      <c r="A3171" s="54" t="n"/>
      <c r="B3171" s="61" t="n"/>
      <c r="C3171" s="61" t="n"/>
      <c r="D3171" s="61" t="n"/>
      <c r="E3171" s="61" t="n"/>
      <c r="F3171" s="55" t="n"/>
      <c r="G3171" s="56" t="n"/>
      <c r="H3171" s="55" t="n"/>
      <c r="I3171" s="62" t="n"/>
      <c r="J3171" s="58" t="n"/>
      <c r="K3171" s="63">
        <f>IF(tblMovement[[#This Row],[Source]]="","",IFERROR(INDEX(tblSources[Type],MATCH(tblMovement[[#This Row],[Source]],tblSources[Source],0)),"?"))</f>
        <v/>
      </c>
      <c r="L3171" s="63">
        <f>IF(tblMovement[[#This Row],[Destination]]="","",IFERROR(INDEX(tblDestinations[Type],MATCH(tblMovement[[#This Row],[Destination]],tblDestinations[Destination],0)),"?"))</f>
        <v/>
      </c>
      <c r="M3171" s="64">
        <f>IF(tblMovement[[#This Row],[Material]]="","",IF(LEFT(tblMovement[[#This Row],[Material]],3)="Ore",1,0))</f>
        <v/>
      </c>
      <c r="N3171" s="59">
        <f>IF(OR(tblMovement[[#This Row],[Tonnes_t]]="",tblMovement[[#This Row],[Grade_gpt]]=""),0,tblMovement[[#This Row],[Tonnes_t]]*tblMovement[[#This Row],[Grade_gpt]]/cfg_TroyOz)</f>
        <v/>
      </c>
      <c r="O3171" s="59">
        <f>IF(tblMovement[[#This Row],[Is_Ore]]=1,tblMovement[[#This Row],[Contained_oz]],0)</f>
        <v/>
      </c>
    </row>
    <row r="3172">
      <c r="A3172" s="54" t="n"/>
      <c r="B3172" s="61" t="n"/>
      <c r="C3172" s="61" t="n"/>
      <c r="D3172" s="61" t="n"/>
      <c r="E3172" s="61" t="n"/>
      <c r="F3172" s="55" t="n"/>
      <c r="G3172" s="56" t="n"/>
      <c r="H3172" s="55" t="n"/>
      <c r="I3172" s="62" t="n"/>
      <c r="J3172" s="58" t="n"/>
      <c r="K3172" s="63">
        <f>IF(tblMovement[[#This Row],[Source]]="","",IFERROR(INDEX(tblSources[Type],MATCH(tblMovement[[#This Row],[Source]],tblSources[Source],0)),"?"))</f>
        <v/>
      </c>
      <c r="L3172" s="63">
        <f>IF(tblMovement[[#This Row],[Destination]]="","",IFERROR(INDEX(tblDestinations[Type],MATCH(tblMovement[[#This Row],[Destination]],tblDestinations[Destination],0)),"?"))</f>
        <v/>
      </c>
      <c r="M3172" s="64">
        <f>IF(tblMovement[[#This Row],[Material]]="","",IF(LEFT(tblMovement[[#This Row],[Material]],3)="Ore",1,0))</f>
        <v/>
      </c>
      <c r="N3172" s="59">
        <f>IF(OR(tblMovement[[#This Row],[Tonnes_t]]="",tblMovement[[#This Row],[Grade_gpt]]=""),0,tblMovement[[#This Row],[Tonnes_t]]*tblMovement[[#This Row],[Grade_gpt]]/cfg_TroyOz)</f>
        <v/>
      </c>
      <c r="O3172" s="59">
        <f>IF(tblMovement[[#This Row],[Is_Ore]]=1,tblMovement[[#This Row],[Contained_oz]],0)</f>
        <v/>
      </c>
    </row>
    <row r="3173">
      <c r="A3173" s="54" t="n"/>
      <c r="B3173" s="61" t="n"/>
      <c r="C3173" s="61" t="n"/>
      <c r="D3173" s="61" t="n"/>
      <c r="E3173" s="61" t="n"/>
      <c r="F3173" s="55" t="n"/>
      <c r="G3173" s="56" t="n"/>
      <c r="H3173" s="55" t="n"/>
      <c r="I3173" s="62" t="n"/>
      <c r="J3173" s="58" t="n"/>
      <c r="K3173" s="63">
        <f>IF(tblMovement[[#This Row],[Source]]="","",IFERROR(INDEX(tblSources[Type],MATCH(tblMovement[[#This Row],[Source]],tblSources[Source],0)),"?"))</f>
        <v/>
      </c>
      <c r="L3173" s="63">
        <f>IF(tblMovement[[#This Row],[Destination]]="","",IFERROR(INDEX(tblDestinations[Type],MATCH(tblMovement[[#This Row],[Destination]],tblDestinations[Destination],0)),"?"))</f>
        <v/>
      </c>
      <c r="M3173" s="64">
        <f>IF(tblMovement[[#This Row],[Material]]="","",IF(LEFT(tblMovement[[#This Row],[Material]],3)="Ore",1,0))</f>
        <v/>
      </c>
      <c r="N3173" s="59">
        <f>IF(OR(tblMovement[[#This Row],[Tonnes_t]]="",tblMovement[[#This Row],[Grade_gpt]]=""),0,tblMovement[[#This Row],[Tonnes_t]]*tblMovement[[#This Row],[Grade_gpt]]/cfg_TroyOz)</f>
        <v/>
      </c>
      <c r="O3173" s="59">
        <f>IF(tblMovement[[#This Row],[Is_Ore]]=1,tblMovement[[#This Row],[Contained_oz]],0)</f>
        <v/>
      </c>
    </row>
    <row r="3174">
      <c r="A3174" s="54" t="n"/>
      <c r="B3174" s="61" t="n"/>
      <c r="C3174" s="61" t="n"/>
      <c r="D3174" s="61" t="n"/>
      <c r="E3174" s="61" t="n"/>
      <c r="F3174" s="55" t="n"/>
      <c r="G3174" s="56" t="n"/>
      <c r="H3174" s="55" t="n"/>
      <c r="I3174" s="62" t="n"/>
      <c r="J3174" s="58" t="n"/>
      <c r="K3174" s="63">
        <f>IF(tblMovement[[#This Row],[Source]]="","",IFERROR(INDEX(tblSources[Type],MATCH(tblMovement[[#This Row],[Source]],tblSources[Source],0)),"?"))</f>
        <v/>
      </c>
      <c r="L3174" s="63">
        <f>IF(tblMovement[[#This Row],[Destination]]="","",IFERROR(INDEX(tblDestinations[Type],MATCH(tblMovement[[#This Row],[Destination]],tblDestinations[Destination],0)),"?"))</f>
        <v/>
      </c>
      <c r="M3174" s="64">
        <f>IF(tblMovement[[#This Row],[Material]]="","",IF(LEFT(tblMovement[[#This Row],[Material]],3)="Ore",1,0))</f>
        <v/>
      </c>
      <c r="N3174" s="59">
        <f>IF(OR(tblMovement[[#This Row],[Tonnes_t]]="",tblMovement[[#This Row],[Grade_gpt]]=""),0,tblMovement[[#This Row],[Tonnes_t]]*tblMovement[[#This Row],[Grade_gpt]]/cfg_TroyOz)</f>
        <v/>
      </c>
      <c r="O3174" s="59">
        <f>IF(tblMovement[[#This Row],[Is_Ore]]=1,tblMovement[[#This Row],[Contained_oz]],0)</f>
        <v/>
      </c>
    </row>
    <row r="3175">
      <c r="A3175" s="54" t="n"/>
      <c r="B3175" s="61" t="n"/>
      <c r="C3175" s="61" t="n"/>
      <c r="D3175" s="61" t="n"/>
      <c r="E3175" s="61" t="n"/>
      <c r="F3175" s="55" t="n"/>
      <c r="G3175" s="56" t="n"/>
      <c r="H3175" s="55" t="n"/>
      <c r="I3175" s="62" t="n"/>
      <c r="J3175" s="58" t="n"/>
      <c r="K3175" s="63">
        <f>IF(tblMovement[[#This Row],[Source]]="","",IFERROR(INDEX(tblSources[Type],MATCH(tblMovement[[#This Row],[Source]],tblSources[Source],0)),"?"))</f>
        <v/>
      </c>
      <c r="L3175" s="63">
        <f>IF(tblMovement[[#This Row],[Destination]]="","",IFERROR(INDEX(tblDestinations[Type],MATCH(tblMovement[[#This Row],[Destination]],tblDestinations[Destination],0)),"?"))</f>
        <v/>
      </c>
      <c r="M3175" s="64">
        <f>IF(tblMovement[[#This Row],[Material]]="","",IF(LEFT(tblMovement[[#This Row],[Material]],3)="Ore",1,0))</f>
        <v/>
      </c>
      <c r="N3175" s="59">
        <f>IF(OR(tblMovement[[#This Row],[Tonnes_t]]="",tblMovement[[#This Row],[Grade_gpt]]=""),0,tblMovement[[#This Row],[Tonnes_t]]*tblMovement[[#This Row],[Grade_gpt]]/cfg_TroyOz)</f>
        <v/>
      </c>
      <c r="O3175" s="59">
        <f>IF(tblMovement[[#This Row],[Is_Ore]]=1,tblMovement[[#This Row],[Contained_oz]],0)</f>
        <v/>
      </c>
    </row>
    <row r="3176">
      <c r="A3176" s="54" t="n"/>
      <c r="B3176" s="61" t="n"/>
      <c r="C3176" s="61" t="n"/>
      <c r="D3176" s="61" t="n"/>
      <c r="E3176" s="61" t="n"/>
      <c r="F3176" s="55" t="n"/>
      <c r="G3176" s="56" t="n"/>
      <c r="H3176" s="55" t="n"/>
      <c r="I3176" s="62" t="n"/>
      <c r="J3176" s="58" t="n"/>
      <c r="K3176" s="63">
        <f>IF(tblMovement[[#This Row],[Source]]="","",IFERROR(INDEX(tblSources[Type],MATCH(tblMovement[[#This Row],[Source]],tblSources[Source],0)),"?"))</f>
        <v/>
      </c>
      <c r="L3176" s="63">
        <f>IF(tblMovement[[#This Row],[Destination]]="","",IFERROR(INDEX(tblDestinations[Type],MATCH(tblMovement[[#This Row],[Destination]],tblDestinations[Destination],0)),"?"))</f>
        <v/>
      </c>
      <c r="M3176" s="64">
        <f>IF(tblMovement[[#This Row],[Material]]="","",IF(LEFT(tblMovement[[#This Row],[Material]],3)="Ore",1,0))</f>
        <v/>
      </c>
      <c r="N3176" s="59">
        <f>IF(OR(tblMovement[[#This Row],[Tonnes_t]]="",tblMovement[[#This Row],[Grade_gpt]]=""),0,tblMovement[[#This Row],[Tonnes_t]]*tblMovement[[#This Row],[Grade_gpt]]/cfg_TroyOz)</f>
        <v/>
      </c>
      <c r="O3176" s="59">
        <f>IF(tblMovement[[#This Row],[Is_Ore]]=1,tblMovement[[#This Row],[Contained_oz]],0)</f>
        <v/>
      </c>
    </row>
    <row r="3177">
      <c r="A3177" s="54" t="n"/>
      <c r="B3177" s="61" t="n"/>
      <c r="C3177" s="61" t="n"/>
      <c r="D3177" s="61" t="n"/>
      <c r="E3177" s="61" t="n"/>
      <c r="F3177" s="55" t="n"/>
      <c r="G3177" s="56" t="n"/>
      <c r="H3177" s="55" t="n"/>
      <c r="I3177" s="62" t="n"/>
      <c r="J3177" s="58" t="n"/>
      <c r="K3177" s="63">
        <f>IF(tblMovement[[#This Row],[Source]]="","",IFERROR(INDEX(tblSources[Type],MATCH(tblMovement[[#This Row],[Source]],tblSources[Source],0)),"?"))</f>
        <v/>
      </c>
      <c r="L3177" s="63">
        <f>IF(tblMovement[[#This Row],[Destination]]="","",IFERROR(INDEX(tblDestinations[Type],MATCH(tblMovement[[#This Row],[Destination]],tblDestinations[Destination],0)),"?"))</f>
        <v/>
      </c>
      <c r="M3177" s="64">
        <f>IF(tblMovement[[#This Row],[Material]]="","",IF(LEFT(tblMovement[[#This Row],[Material]],3)="Ore",1,0))</f>
        <v/>
      </c>
      <c r="N3177" s="59">
        <f>IF(OR(tblMovement[[#This Row],[Tonnes_t]]="",tblMovement[[#This Row],[Grade_gpt]]=""),0,tblMovement[[#This Row],[Tonnes_t]]*tblMovement[[#This Row],[Grade_gpt]]/cfg_TroyOz)</f>
        <v/>
      </c>
      <c r="O3177" s="59">
        <f>IF(tblMovement[[#This Row],[Is_Ore]]=1,tblMovement[[#This Row],[Contained_oz]],0)</f>
        <v/>
      </c>
    </row>
    <row r="3178">
      <c r="A3178" s="54" t="n"/>
      <c r="B3178" s="61" t="n"/>
      <c r="C3178" s="61" t="n"/>
      <c r="D3178" s="61" t="n"/>
      <c r="E3178" s="61" t="n"/>
      <c r="F3178" s="55" t="n"/>
      <c r="G3178" s="56" t="n"/>
      <c r="H3178" s="55" t="n"/>
      <c r="I3178" s="62" t="n"/>
      <c r="J3178" s="58" t="n"/>
      <c r="K3178" s="63">
        <f>IF(tblMovement[[#This Row],[Source]]="","",IFERROR(INDEX(tblSources[Type],MATCH(tblMovement[[#This Row],[Source]],tblSources[Source],0)),"?"))</f>
        <v/>
      </c>
      <c r="L3178" s="63">
        <f>IF(tblMovement[[#This Row],[Destination]]="","",IFERROR(INDEX(tblDestinations[Type],MATCH(tblMovement[[#This Row],[Destination]],tblDestinations[Destination],0)),"?"))</f>
        <v/>
      </c>
      <c r="M3178" s="64">
        <f>IF(tblMovement[[#This Row],[Material]]="","",IF(LEFT(tblMovement[[#This Row],[Material]],3)="Ore",1,0))</f>
        <v/>
      </c>
      <c r="N3178" s="59">
        <f>IF(OR(tblMovement[[#This Row],[Tonnes_t]]="",tblMovement[[#This Row],[Grade_gpt]]=""),0,tblMovement[[#This Row],[Tonnes_t]]*tblMovement[[#This Row],[Grade_gpt]]/cfg_TroyOz)</f>
        <v/>
      </c>
      <c r="O3178" s="59">
        <f>IF(tblMovement[[#This Row],[Is_Ore]]=1,tblMovement[[#This Row],[Contained_oz]],0)</f>
        <v/>
      </c>
    </row>
    <row r="3179">
      <c r="A3179" s="54" t="n"/>
      <c r="B3179" s="61" t="n"/>
      <c r="C3179" s="61" t="n"/>
      <c r="D3179" s="61" t="n"/>
      <c r="E3179" s="61" t="n"/>
      <c r="F3179" s="55" t="n"/>
      <c r="G3179" s="56" t="n"/>
      <c r="H3179" s="55" t="n"/>
      <c r="I3179" s="62" t="n"/>
      <c r="J3179" s="58" t="n"/>
      <c r="K3179" s="63">
        <f>IF(tblMovement[[#This Row],[Source]]="","",IFERROR(INDEX(tblSources[Type],MATCH(tblMovement[[#This Row],[Source]],tblSources[Source],0)),"?"))</f>
        <v/>
      </c>
      <c r="L3179" s="63">
        <f>IF(tblMovement[[#This Row],[Destination]]="","",IFERROR(INDEX(tblDestinations[Type],MATCH(tblMovement[[#This Row],[Destination]],tblDestinations[Destination],0)),"?"))</f>
        <v/>
      </c>
      <c r="M3179" s="64">
        <f>IF(tblMovement[[#This Row],[Material]]="","",IF(LEFT(tblMovement[[#This Row],[Material]],3)="Ore",1,0))</f>
        <v/>
      </c>
      <c r="N3179" s="59">
        <f>IF(OR(tblMovement[[#This Row],[Tonnes_t]]="",tblMovement[[#This Row],[Grade_gpt]]=""),0,tblMovement[[#This Row],[Tonnes_t]]*tblMovement[[#This Row],[Grade_gpt]]/cfg_TroyOz)</f>
        <v/>
      </c>
      <c r="O3179" s="59">
        <f>IF(tblMovement[[#This Row],[Is_Ore]]=1,tblMovement[[#This Row],[Contained_oz]],0)</f>
        <v/>
      </c>
    </row>
    <row r="3180">
      <c r="A3180" s="54" t="n"/>
      <c r="B3180" s="61" t="n"/>
      <c r="C3180" s="61" t="n"/>
      <c r="D3180" s="61" t="n"/>
      <c r="E3180" s="61" t="n"/>
      <c r="F3180" s="55" t="n"/>
      <c r="G3180" s="56" t="n"/>
      <c r="H3180" s="55" t="n"/>
      <c r="I3180" s="62" t="n"/>
      <c r="J3180" s="58" t="n"/>
      <c r="K3180" s="63">
        <f>IF(tblMovement[[#This Row],[Source]]="","",IFERROR(INDEX(tblSources[Type],MATCH(tblMovement[[#This Row],[Source]],tblSources[Source],0)),"?"))</f>
        <v/>
      </c>
      <c r="L3180" s="63">
        <f>IF(tblMovement[[#This Row],[Destination]]="","",IFERROR(INDEX(tblDestinations[Type],MATCH(tblMovement[[#This Row],[Destination]],tblDestinations[Destination],0)),"?"))</f>
        <v/>
      </c>
      <c r="M3180" s="64">
        <f>IF(tblMovement[[#This Row],[Material]]="","",IF(LEFT(tblMovement[[#This Row],[Material]],3)="Ore",1,0))</f>
        <v/>
      </c>
      <c r="N3180" s="59">
        <f>IF(OR(tblMovement[[#This Row],[Tonnes_t]]="",tblMovement[[#This Row],[Grade_gpt]]=""),0,tblMovement[[#This Row],[Tonnes_t]]*tblMovement[[#This Row],[Grade_gpt]]/cfg_TroyOz)</f>
        <v/>
      </c>
      <c r="O3180" s="59">
        <f>IF(tblMovement[[#This Row],[Is_Ore]]=1,tblMovement[[#This Row],[Contained_oz]],0)</f>
        <v/>
      </c>
    </row>
    <row r="3181">
      <c r="A3181" s="54" t="n"/>
      <c r="B3181" s="61" t="n"/>
      <c r="C3181" s="61" t="n"/>
      <c r="D3181" s="61" t="n"/>
      <c r="E3181" s="61" t="n"/>
      <c r="F3181" s="55" t="n"/>
      <c r="G3181" s="56" t="n"/>
      <c r="H3181" s="55" t="n"/>
      <c r="I3181" s="62" t="n"/>
      <c r="J3181" s="58" t="n"/>
      <c r="K3181" s="63">
        <f>IF(tblMovement[[#This Row],[Source]]="","",IFERROR(INDEX(tblSources[Type],MATCH(tblMovement[[#This Row],[Source]],tblSources[Source],0)),"?"))</f>
        <v/>
      </c>
      <c r="L3181" s="63">
        <f>IF(tblMovement[[#This Row],[Destination]]="","",IFERROR(INDEX(tblDestinations[Type],MATCH(tblMovement[[#This Row],[Destination]],tblDestinations[Destination],0)),"?"))</f>
        <v/>
      </c>
      <c r="M3181" s="64">
        <f>IF(tblMovement[[#This Row],[Material]]="","",IF(LEFT(tblMovement[[#This Row],[Material]],3)="Ore",1,0))</f>
        <v/>
      </c>
      <c r="N3181" s="59">
        <f>IF(OR(tblMovement[[#This Row],[Tonnes_t]]="",tblMovement[[#This Row],[Grade_gpt]]=""),0,tblMovement[[#This Row],[Tonnes_t]]*tblMovement[[#This Row],[Grade_gpt]]/cfg_TroyOz)</f>
        <v/>
      </c>
      <c r="O3181" s="59">
        <f>IF(tblMovement[[#This Row],[Is_Ore]]=1,tblMovement[[#This Row],[Contained_oz]],0)</f>
        <v/>
      </c>
    </row>
    <row r="3182">
      <c r="A3182" s="54" t="n"/>
      <c r="B3182" s="61" t="n"/>
      <c r="C3182" s="61" t="n"/>
      <c r="D3182" s="61" t="n"/>
      <c r="E3182" s="61" t="n"/>
      <c r="F3182" s="55" t="n"/>
      <c r="G3182" s="56" t="n"/>
      <c r="H3182" s="55" t="n"/>
      <c r="I3182" s="62" t="n"/>
      <c r="J3182" s="58" t="n"/>
      <c r="K3182" s="63">
        <f>IF(tblMovement[[#This Row],[Source]]="","",IFERROR(INDEX(tblSources[Type],MATCH(tblMovement[[#This Row],[Source]],tblSources[Source],0)),"?"))</f>
        <v/>
      </c>
      <c r="L3182" s="63">
        <f>IF(tblMovement[[#This Row],[Destination]]="","",IFERROR(INDEX(tblDestinations[Type],MATCH(tblMovement[[#This Row],[Destination]],tblDestinations[Destination],0)),"?"))</f>
        <v/>
      </c>
      <c r="M3182" s="64">
        <f>IF(tblMovement[[#This Row],[Material]]="","",IF(LEFT(tblMovement[[#This Row],[Material]],3)="Ore",1,0))</f>
        <v/>
      </c>
      <c r="N3182" s="59">
        <f>IF(OR(tblMovement[[#This Row],[Tonnes_t]]="",tblMovement[[#This Row],[Grade_gpt]]=""),0,tblMovement[[#This Row],[Tonnes_t]]*tblMovement[[#This Row],[Grade_gpt]]/cfg_TroyOz)</f>
        <v/>
      </c>
      <c r="O3182" s="59">
        <f>IF(tblMovement[[#This Row],[Is_Ore]]=1,tblMovement[[#This Row],[Contained_oz]],0)</f>
        <v/>
      </c>
    </row>
    <row r="3183">
      <c r="A3183" s="54" t="n"/>
      <c r="B3183" s="61" t="n"/>
      <c r="C3183" s="61" t="n"/>
      <c r="D3183" s="61" t="n"/>
      <c r="E3183" s="61" t="n"/>
      <c r="F3183" s="55" t="n"/>
      <c r="G3183" s="56" t="n"/>
      <c r="H3183" s="55" t="n"/>
      <c r="I3183" s="62" t="n"/>
      <c r="J3183" s="58" t="n"/>
      <c r="K3183" s="63">
        <f>IF(tblMovement[[#This Row],[Source]]="","",IFERROR(INDEX(tblSources[Type],MATCH(tblMovement[[#This Row],[Source]],tblSources[Source],0)),"?"))</f>
        <v/>
      </c>
      <c r="L3183" s="63">
        <f>IF(tblMovement[[#This Row],[Destination]]="","",IFERROR(INDEX(tblDestinations[Type],MATCH(tblMovement[[#This Row],[Destination]],tblDestinations[Destination],0)),"?"))</f>
        <v/>
      </c>
      <c r="M3183" s="64">
        <f>IF(tblMovement[[#This Row],[Material]]="","",IF(LEFT(tblMovement[[#This Row],[Material]],3)="Ore",1,0))</f>
        <v/>
      </c>
      <c r="N3183" s="59">
        <f>IF(OR(tblMovement[[#This Row],[Tonnes_t]]="",tblMovement[[#This Row],[Grade_gpt]]=""),0,tblMovement[[#This Row],[Tonnes_t]]*tblMovement[[#This Row],[Grade_gpt]]/cfg_TroyOz)</f>
        <v/>
      </c>
      <c r="O3183" s="59">
        <f>IF(tblMovement[[#This Row],[Is_Ore]]=1,tblMovement[[#This Row],[Contained_oz]],0)</f>
        <v/>
      </c>
    </row>
    <row r="3184">
      <c r="A3184" s="54" t="n"/>
      <c r="B3184" s="61" t="n"/>
      <c r="C3184" s="61" t="n"/>
      <c r="D3184" s="61" t="n"/>
      <c r="E3184" s="61" t="n"/>
      <c r="F3184" s="55" t="n"/>
      <c r="G3184" s="56" t="n"/>
      <c r="H3184" s="55" t="n"/>
      <c r="I3184" s="62" t="n"/>
      <c r="J3184" s="58" t="n"/>
      <c r="K3184" s="63">
        <f>IF(tblMovement[[#This Row],[Source]]="","",IFERROR(INDEX(tblSources[Type],MATCH(tblMovement[[#This Row],[Source]],tblSources[Source],0)),"?"))</f>
        <v/>
      </c>
      <c r="L3184" s="63">
        <f>IF(tblMovement[[#This Row],[Destination]]="","",IFERROR(INDEX(tblDestinations[Type],MATCH(tblMovement[[#This Row],[Destination]],tblDestinations[Destination],0)),"?"))</f>
        <v/>
      </c>
      <c r="M3184" s="64">
        <f>IF(tblMovement[[#This Row],[Material]]="","",IF(LEFT(tblMovement[[#This Row],[Material]],3)="Ore",1,0))</f>
        <v/>
      </c>
      <c r="N3184" s="59">
        <f>IF(OR(tblMovement[[#This Row],[Tonnes_t]]="",tblMovement[[#This Row],[Grade_gpt]]=""),0,tblMovement[[#This Row],[Tonnes_t]]*tblMovement[[#This Row],[Grade_gpt]]/cfg_TroyOz)</f>
        <v/>
      </c>
      <c r="O3184" s="59">
        <f>IF(tblMovement[[#This Row],[Is_Ore]]=1,tblMovement[[#This Row],[Contained_oz]],0)</f>
        <v/>
      </c>
    </row>
    <row r="3185">
      <c r="A3185" s="54" t="n"/>
      <c r="B3185" s="61" t="n"/>
      <c r="C3185" s="61" t="n"/>
      <c r="D3185" s="61" t="n"/>
      <c r="E3185" s="61" t="n"/>
      <c r="F3185" s="55" t="n"/>
      <c r="G3185" s="56" t="n"/>
      <c r="H3185" s="55" t="n"/>
      <c r="I3185" s="62" t="n"/>
      <c r="J3185" s="58" t="n"/>
      <c r="K3185" s="63">
        <f>IF(tblMovement[[#This Row],[Source]]="","",IFERROR(INDEX(tblSources[Type],MATCH(tblMovement[[#This Row],[Source]],tblSources[Source],0)),"?"))</f>
        <v/>
      </c>
      <c r="L3185" s="63">
        <f>IF(tblMovement[[#This Row],[Destination]]="","",IFERROR(INDEX(tblDestinations[Type],MATCH(tblMovement[[#This Row],[Destination]],tblDestinations[Destination],0)),"?"))</f>
        <v/>
      </c>
      <c r="M3185" s="64">
        <f>IF(tblMovement[[#This Row],[Material]]="","",IF(LEFT(tblMovement[[#This Row],[Material]],3)="Ore",1,0))</f>
        <v/>
      </c>
      <c r="N3185" s="59">
        <f>IF(OR(tblMovement[[#This Row],[Tonnes_t]]="",tblMovement[[#This Row],[Grade_gpt]]=""),0,tblMovement[[#This Row],[Tonnes_t]]*tblMovement[[#This Row],[Grade_gpt]]/cfg_TroyOz)</f>
        <v/>
      </c>
      <c r="O3185" s="59">
        <f>IF(tblMovement[[#This Row],[Is_Ore]]=1,tblMovement[[#This Row],[Contained_oz]],0)</f>
        <v/>
      </c>
    </row>
    <row r="3186">
      <c r="A3186" s="54" t="n"/>
      <c r="B3186" s="61" t="n"/>
      <c r="C3186" s="61" t="n"/>
      <c r="D3186" s="61" t="n"/>
      <c r="E3186" s="61" t="n"/>
      <c r="F3186" s="55" t="n"/>
      <c r="G3186" s="56" t="n"/>
      <c r="H3186" s="55" t="n"/>
      <c r="I3186" s="62" t="n"/>
      <c r="J3186" s="58" t="n"/>
      <c r="K3186" s="63">
        <f>IF(tblMovement[[#This Row],[Source]]="","",IFERROR(INDEX(tblSources[Type],MATCH(tblMovement[[#This Row],[Source]],tblSources[Source],0)),"?"))</f>
        <v/>
      </c>
      <c r="L3186" s="63">
        <f>IF(tblMovement[[#This Row],[Destination]]="","",IFERROR(INDEX(tblDestinations[Type],MATCH(tblMovement[[#This Row],[Destination]],tblDestinations[Destination],0)),"?"))</f>
        <v/>
      </c>
      <c r="M3186" s="64">
        <f>IF(tblMovement[[#This Row],[Material]]="","",IF(LEFT(tblMovement[[#This Row],[Material]],3)="Ore",1,0))</f>
        <v/>
      </c>
      <c r="N3186" s="59">
        <f>IF(OR(tblMovement[[#This Row],[Tonnes_t]]="",tblMovement[[#This Row],[Grade_gpt]]=""),0,tblMovement[[#This Row],[Tonnes_t]]*tblMovement[[#This Row],[Grade_gpt]]/cfg_TroyOz)</f>
        <v/>
      </c>
      <c r="O3186" s="59">
        <f>IF(tblMovement[[#This Row],[Is_Ore]]=1,tblMovement[[#This Row],[Contained_oz]],0)</f>
        <v/>
      </c>
    </row>
    <row r="3187">
      <c r="A3187" s="54" t="n"/>
      <c r="B3187" s="61" t="n"/>
      <c r="C3187" s="61" t="n"/>
      <c r="D3187" s="61" t="n"/>
      <c r="E3187" s="61" t="n"/>
      <c r="F3187" s="55" t="n"/>
      <c r="G3187" s="56" t="n"/>
      <c r="H3187" s="55" t="n"/>
      <c r="I3187" s="62" t="n"/>
      <c r="J3187" s="58" t="n"/>
      <c r="K3187" s="63">
        <f>IF(tblMovement[[#This Row],[Source]]="","",IFERROR(INDEX(tblSources[Type],MATCH(tblMovement[[#This Row],[Source]],tblSources[Source],0)),"?"))</f>
        <v/>
      </c>
      <c r="L3187" s="63">
        <f>IF(tblMovement[[#This Row],[Destination]]="","",IFERROR(INDEX(tblDestinations[Type],MATCH(tblMovement[[#This Row],[Destination]],tblDestinations[Destination],0)),"?"))</f>
        <v/>
      </c>
      <c r="M3187" s="64">
        <f>IF(tblMovement[[#This Row],[Material]]="","",IF(LEFT(tblMovement[[#This Row],[Material]],3)="Ore",1,0))</f>
        <v/>
      </c>
      <c r="N3187" s="59">
        <f>IF(OR(tblMovement[[#This Row],[Tonnes_t]]="",tblMovement[[#This Row],[Grade_gpt]]=""),0,tblMovement[[#This Row],[Tonnes_t]]*tblMovement[[#This Row],[Grade_gpt]]/cfg_TroyOz)</f>
        <v/>
      </c>
      <c r="O3187" s="59">
        <f>IF(tblMovement[[#This Row],[Is_Ore]]=1,tblMovement[[#This Row],[Contained_oz]],0)</f>
        <v/>
      </c>
    </row>
    <row r="3188">
      <c r="A3188" s="54" t="n"/>
      <c r="B3188" s="61" t="n"/>
      <c r="C3188" s="61" t="n"/>
      <c r="D3188" s="61" t="n"/>
      <c r="E3188" s="61" t="n"/>
      <c r="F3188" s="55" t="n"/>
      <c r="G3188" s="56" t="n"/>
      <c r="H3188" s="55" t="n"/>
      <c r="I3188" s="62" t="n"/>
      <c r="J3188" s="58" t="n"/>
      <c r="K3188" s="63">
        <f>IF(tblMovement[[#This Row],[Source]]="","",IFERROR(INDEX(tblSources[Type],MATCH(tblMovement[[#This Row],[Source]],tblSources[Source],0)),"?"))</f>
        <v/>
      </c>
      <c r="L3188" s="63">
        <f>IF(tblMovement[[#This Row],[Destination]]="","",IFERROR(INDEX(tblDestinations[Type],MATCH(tblMovement[[#This Row],[Destination]],tblDestinations[Destination],0)),"?"))</f>
        <v/>
      </c>
      <c r="M3188" s="64">
        <f>IF(tblMovement[[#This Row],[Material]]="","",IF(LEFT(tblMovement[[#This Row],[Material]],3)="Ore",1,0))</f>
        <v/>
      </c>
      <c r="N3188" s="59">
        <f>IF(OR(tblMovement[[#This Row],[Tonnes_t]]="",tblMovement[[#This Row],[Grade_gpt]]=""),0,tblMovement[[#This Row],[Tonnes_t]]*tblMovement[[#This Row],[Grade_gpt]]/cfg_TroyOz)</f>
        <v/>
      </c>
      <c r="O3188" s="59">
        <f>IF(tblMovement[[#This Row],[Is_Ore]]=1,tblMovement[[#This Row],[Contained_oz]],0)</f>
        <v/>
      </c>
    </row>
    <row r="3189">
      <c r="A3189" s="54" t="n"/>
      <c r="B3189" s="61" t="n"/>
      <c r="C3189" s="61" t="n"/>
      <c r="D3189" s="61" t="n"/>
      <c r="E3189" s="61" t="n"/>
      <c r="F3189" s="55" t="n"/>
      <c r="G3189" s="56" t="n"/>
      <c r="H3189" s="55" t="n"/>
      <c r="I3189" s="62" t="n"/>
      <c r="J3189" s="58" t="n"/>
      <c r="K3189" s="63">
        <f>IF(tblMovement[[#This Row],[Source]]="","",IFERROR(INDEX(tblSources[Type],MATCH(tblMovement[[#This Row],[Source]],tblSources[Source],0)),"?"))</f>
        <v/>
      </c>
      <c r="L3189" s="63">
        <f>IF(tblMovement[[#This Row],[Destination]]="","",IFERROR(INDEX(tblDestinations[Type],MATCH(tblMovement[[#This Row],[Destination]],tblDestinations[Destination],0)),"?"))</f>
        <v/>
      </c>
      <c r="M3189" s="64">
        <f>IF(tblMovement[[#This Row],[Material]]="","",IF(LEFT(tblMovement[[#This Row],[Material]],3)="Ore",1,0))</f>
        <v/>
      </c>
      <c r="N3189" s="59">
        <f>IF(OR(tblMovement[[#This Row],[Tonnes_t]]="",tblMovement[[#This Row],[Grade_gpt]]=""),0,tblMovement[[#This Row],[Tonnes_t]]*tblMovement[[#This Row],[Grade_gpt]]/cfg_TroyOz)</f>
        <v/>
      </c>
      <c r="O3189" s="59">
        <f>IF(tblMovement[[#This Row],[Is_Ore]]=1,tblMovement[[#This Row],[Contained_oz]],0)</f>
        <v/>
      </c>
    </row>
    <row r="3190">
      <c r="A3190" s="54" t="n"/>
      <c r="B3190" s="61" t="n"/>
      <c r="C3190" s="61" t="n"/>
      <c r="D3190" s="61" t="n"/>
      <c r="E3190" s="61" t="n"/>
      <c r="F3190" s="55" t="n"/>
      <c r="G3190" s="56" t="n"/>
      <c r="H3190" s="55" t="n"/>
      <c r="I3190" s="62" t="n"/>
      <c r="J3190" s="58" t="n"/>
      <c r="K3190" s="63">
        <f>IF(tblMovement[[#This Row],[Source]]="","",IFERROR(INDEX(tblSources[Type],MATCH(tblMovement[[#This Row],[Source]],tblSources[Source],0)),"?"))</f>
        <v/>
      </c>
      <c r="L3190" s="63">
        <f>IF(tblMovement[[#This Row],[Destination]]="","",IFERROR(INDEX(tblDestinations[Type],MATCH(tblMovement[[#This Row],[Destination]],tblDestinations[Destination],0)),"?"))</f>
        <v/>
      </c>
      <c r="M3190" s="64">
        <f>IF(tblMovement[[#This Row],[Material]]="","",IF(LEFT(tblMovement[[#This Row],[Material]],3)="Ore",1,0))</f>
        <v/>
      </c>
      <c r="N3190" s="59">
        <f>IF(OR(tblMovement[[#This Row],[Tonnes_t]]="",tblMovement[[#This Row],[Grade_gpt]]=""),0,tblMovement[[#This Row],[Tonnes_t]]*tblMovement[[#This Row],[Grade_gpt]]/cfg_TroyOz)</f>
        <v/>
      </c>
      <c r="O3190" s="59">
        <f>IF(tblMovement[[#This Row],[Is_Ore]]=1,tblMovement[[#This Row],[Contained_oz]],0)</f>
        <v/>
      </c>
    </row>
    <row r="3191">
      <c r="A3191" s="54" t="n"/>
      <c r="B3191" s="61" t="n"/>
      <c r="C3191" s="61" t="n"/>
      <c r="D3191" s="61" t="n"/>
      <c r="E3191" s="61" t="n"/>
      <c r="F3191" s="55" t="n"/>
      <c r="G3191" s="56" t="n"/>
      <c r="H3191" s="55" t="n"/>
      <c r="I3191" s="62" t="n"/>
      <c r="J3191" s="58" t="n"/>
      <c r="K3191" s="63">
        <f>IF(tblMovement[[#This Row],[Source]]="","",IFERROR(INDEX(tblSources[Type],MATCH(tblMovement[[#This Row],[Source]],tblSources[Source],0)),"?"))</f>
        <v/>
      </c>
      <c r="L3191" s="63">
        <f>IF(tblMovement[[#This Row],[Destination]]="","",IFERROR(INDEX(tblDestinations[Type],MATCH(tblMovement[[#This Row],[Destination]],tblDestinations[Destination],0)),"?"))</f>
        <v/>
      </c>
      <c r="M3191" s="64">
        <f>IF(tblMovement[[#This Row],[Material]]="","",IF(LEFT(tblMovement[[#This Row],[Material]],3)="Ore",1,0))</f>
        <v/>
      </c>
      <c r="N3191" s="59">
        <f>IF(OR(tblMovement[[#This Row],[Tonnes_t]]="",tblMovement[[#This Row],[Grade_gpt]]=""),0,tblMovement[[#This Row],[Tonnes_t]]*tblMovement[[#This Row],[Grade_gpt]]/cfg_TroyOz)</f>
        <v/>
      </c>
      <c r="O3191" s="59">
        <f>IF(tblMovement[[#This Row],[Is_Ore]]=1,tblMovement[[#This Row],[Contained_oz]],0)</f>
        <v/>
      </c>
    </row>
    <row r="3192">
      <c r="A3192" s="54" t="n"/>
      <c r="B3192" s="61" t="n"/>
      <c r="C3192" s="61" t="n"/>
      <c r="D3192" s="61" t="n"/>
      <c r="E3192" s="61" t="n"/>
      <c r="F3192" s="55" t="n"/>
      <c r="G3192" s="56" t="n"/>
      <c r="H3192" s="55" t="n"/>
      <c r="I3192" s="62" t="n"/>
      <c r="J3192" s="58" t="n"/>
      <c r="K3192" s="63">
        <f>IF(tblMovement[[#This Row],[Source]]="","",IFERROR(INDEX(tblSources[Type],MATCH(tblMovement[[#This Row],[Source]],tblSources[Source],0)),"?"))</f>
        <v/>
      </c>
      <c r="L3192" s="63">
        <f>IF(tblMovement[[#This Row],[Destination]]="","",IFERROR(INDEX(tblDestinations[Type],MATCH(tblMovement[[#This Row],[Destination]],tblDestinations[Destination],0)),"?"))</f>
        <v/>
      </c>
      <c r="M3192" s="64">
        <f>IF(tblMovement[[#This Row],[Material]]="","",IF(LEFT(tblMovement[[#This Row],[Material]],3)="Ore",1,0))</f>
        <v/>
      </c>
      <c r="N3192" s="59">
        <f>IF(OR(tblMovement[[#This Row],[Tonnes_t]]="",tblMovement[[#This Row],[Grade_gpt]]=""),0,tblMovement[[#This Row],[Tonnes_t]]*tblMovement[[#This Row],[Grade_gpt]]/cfg_TroyOz)</f>
        <v/>
      </c>
      <c r="O3192" s="59">
        <f>IF(tblMovement[[#This Row],[Is_Ore]]=1,tblMovement[[#This Row],[Contained_oz]],0)</f>
        <v/>
      </c>
    </row>
    <row r="3193">
      <c r="A3193" s="54" t="n"/>
      <c r="B3193" s="61" t="n"/>
      <c r="C3193" s="61" t="n"/>
      <c r="D3193" s="61" t="n"/>
      <c r="E3193" s="61" t="n"/>
      <c r="F3193" s="55" t="n"/>
      <c r="G3193" s="56" t="n"/>
      <c r="H3193" s="55" t="n"/>
      <c r="I3193" s="62" t="n"/>
      <c r="J3193" s="58" t="n"/>
      <c r="K3193" s="63">
        <f>IF(tblMovement[[#This Row],[Source]]="","",IFERROR(INDEX(tblSources[Type],MATCH(tblMovement[[#This Row],[Source]],tblSources[Source],0)),"?"))</f>
        <v/>
      </c>
      <c r="L3193" s="63">
        <f>IF(tblMovement[[#This Row],[Destination]]="","",IFERROR(INDEX(tblDestinations[Type],MATCH(tblMovement[[#This Row],[Destination]],tblDestinations[Destination],0)),"?"))</f>
        <v/>
      </c>
      <c r="M3193" s="64">
        <f>IF(tblMovement[[#This Row],[Material]]="","",IF(LEFT(tblMovement[[#This Row],[Material]],3)="Ore",1,0))</f>
        <v/>
      </c>
      <c r="N3193" s="59">
        <f>IF(OR(tblMovement[[#This Row],[Tonnes_t]]="",tblMovement[[#This Row],[Grade_gpt]]=""),0,tblMovement[[#This Row],[Tonnes_t]]*tblMovement[[#This Row],[Grade_gpt]]/cfg_TroyOz)</f>
        <v/>
      </c>
      <c r="O3193" s="59">
        <f>IF(tblMovement[[#This Row],[Is_Ore]]=1,tblMovement[[#This Row],[Contained_oz]],0)</f>
        <v/>
      </c>
    </row>
    <row r="3194">
      <c r="A3194" s="54" t="n"/>
      <c r="B3194" s="61" t="n"/>
      <c r="C3194" s="61" t="n"/>
      <c r="D3194" s="61" t="n"/>
      <c r="E3194" s="61" t="n"/>
      <c r="F3194" s="55" t="n"/>
      <c r="G3194" s="56" t="n"/>
      <c r="H3194" s="55" t="n"/>
      <c r="I3194" s="62" t="n"/>
      <c r="J3194" s="58" t="n"/>
      <c r="K3194" s="63">
        <f>IF(tblMovement[[#This Row],[Source]]="","",IFERROR(INDEX(tblSources[Type],MATCH(tblMovement[[#This Row],[Source]],tblSources[Source],0)),"?"))</f>
        <v/>
      </c>
      <c r="L3194" s="63">
        <f>IF(tblMovement[[#This Row],[Destination]]="","",IFERROR(INDEX(tblDestinations[Type],MATCH(tblMovement[[#This Row],[Destination]],tblDestinations[Destination],0)),"?"))</f>
        <v/>
      </c>
      <c r="M3194" s="64">
        <f>IF(tblMovement[[#This Row],[Material]]="","",IF(LEFT(tblMovement[[#This Row],[Material]],3)="Ore",1,0))</f>
        <v/>
      </c>
      <c r="N3194" s="59">
        <f>IF(OR(tblMovement[[#This Row],[Tonnes_t]]="",tblMovement[[#This Row],[Grade_gpt]]=""),0,tblMovement[[#This Row],[Tonnes_t]]*tblMovement[[#This Row],[Grade_gpt]]/cfg_TroyOz)</f>
        <v/>
      </c>
      <c r="O3194" s="59">
        <f>IF(tblMovement[[#This Row],[Is_Ore]]=1,tblMovement[[#This Row],[Contained_oz]],0)</f>
        <v/>
      </c>
    </row>
    <row r="3195">
      <c r="A3195" s="54" t="n"/>
      <c r="B3195" s="61" t="n"/>
      <c r="C3195" s="61" t="n"/>
      <c r="D3195" s="61" t="n"/>
      <c r="E3195" s="61" t="n"/>
      <c r="F3195" s="55" t="n"/>
      <c r="G3195" s="56" t="n"/>
      <c r="H3195" s="55" t="n"/>
      <c r="I3195" s="62" t="n"/>
      <c r="J3195" s="58" t="n"/>
      <c r="K3195" s="63">
        <f>IF(tblMovement[[#This Row],[Source]]="","",IFERROR(INDEX(tblSources[Type],MATCH(tblMovement[[#This Row],[Source]],tblSources[Source],0)),"?"))</f>
        <v/>
      </c>
      <c r="L3195" s="63">
        <f>IF(tblMovement[[#This Row],[Destination]]="","",IFERROR(INDEX(tblDestinations[Type],MATCH(tblMovement[[#This Row],[Destination]],tblDestinations[Destination],0)),"?"))</f>
        <v/>
      </c>
      <c r="M3195" s="64">
        <f>IF(tblMovement[[#This Row],[Material]]="","",IF(LEFT(tblMovement[[#This Row],[Material]],3)="Ore",1,0))</f>
        <v/>
      </c>
      <c r="N3195" s="59">
        <f>IF(OR(tblMovement[[#This Row],[Tonnes_t]]="",tblMovement[[#This Row],[Grade_gpt]]=""),0,tblMovement[[#This Row],[Tonnes_t]]*tblMovement[[#This Row],[Grade_gpt]]/cfg_TroyOz)</f>
        <v/>
      </c>
      <c r="O3195" s="59">
        <f>IF(tblMovement[[#This Row],[Is_Ore]]=1,tblMovement[[#This Row],[Contained_oz]],0)</f>
        <v/>
      </c>
    </row>
    <row r="3196">
      <c r="A3196" s="54" t="n"/>
      <c r="B3196" s="61" t="n"/>
      <c r="C3196" s="61" t="n"/>
      <c r="D3196" s="61" t="n"/>
      <c r="E3196" s="61" t="n"/>
      <c r="F3196" s="55" t="n"/>
      <c r="G3196" s="56" t="n"/>
      <c r="H3196" s="55" t="n"/>
      <c r="I3196" s="62" t="n"/>
      <c r="J3196" s="58" t="n"/>
      <c r="K3196" s="63">
        <f>IF(tblMovement[[#This Row],[Source]]="","",IFERROR(INDEX(tblSources[Type],MATCH(tblMovement[[#This Row],[Source]],tblSources[Source],0)),"?"))</f>
        <v/>
      </c>
      <c r="L3196" s="63">
        <f>IF(tblMovement[[#This Row],[Destination]]="","",IFERROR(INDEX(tblDestinations[Type],MATCH(tblMovement[[#This Row],[Destination]],tblDestinations[Destination],0)),"?"))</f>
        <v/>
      </c>
      <c r="M3196" s="64">
        <f>IF(tblMovement[[#This Row],[Material]]="","",IF(LEFT(tblMovement[[#This Row],[Material]],3)="Ore",1,0))</f>
        <v/>
      </c>
      <c r="N3196" s="59">
        <f>IF(OR(tblMovement[[#This Row],[Tonnes_t]]="",tblMovement[[#This Row],[Grade_gpt]]=""),0,tblMovement[[#This Row],[Tonnes_t]]*tblMovement[[#This Row],[Grade_gpt]]/cfg_TroyOz)</f>
        <v/>
      </c>
      <c r="O3196" s="59">
        <f>IF(tblMovement[[#This Row],[Is_Ore]]=1,tblMovement[[#This Row],[Contained_oz]],0)</f>
        <v/>
      </c>
    </row>
    <row r="3197">
      <c r="A3197" s="54" t="n"/>
      <c r="B3197" s="61" t="n"/>
      <c r="C3197" s="61" t="n"/>
      <c r="D3197" s="61" t="n"/>
      <c r="E3197" s="61" t="n"/>
      <c r="F3197" s="55" t="n"/>
      <c r="G3197" s="56" t="n"/>
      <c r="H3197" s="55" t="n"/>
      <c r="I3197" s="62" t="n"/>
      <c r="J3197" s="58" t="n"/>
      <c r="K3197" s="63">
        <f>IF(tblMovement[[#This Row],[Source]]="","",IFERROR(INDEX(tblSources[Type],MATCH(tblMovement[[#This Row],[Source]],tblSources[Source],0)),"?"))</f>
        <v/>
      </c>
      <c r="L3197" s="63">
        <f>IF(tblMovement[[#This Row],[Destination]]="","",IFERROR(INDEX(tblDestinations[Type],MATCH(tblMovement[[#This Row],[Destination]],tblDestinations[Destination],0)),"?"))</f>
        <v/>
      </c>
      <c r="M3197" s="64">
        <f>IF(tblMovement[[#This Row],[Material]]="","",IF(LEFT(tblMovement[[#This Row],[Material]],3)="Ore",1,0))</f>
        <v/>
      </c>
      <c r="N3197" s="59">
        <f>IF(OR(tblMovement[[#This Row],[Tonnes_t]]="",tblMovement[[#This Row],[Grade_gpt]]=""),0,tblMovement[[#This Row],[Tonnes_t]]*tblMovement[[#This Row],[Grade_gpt]]/cfg_TroyOz)</f>
        <v/>
      </c>
      <c r="O3197" s="59">
        <f>IF(tblMovement[[#This Row],[Is_Ore]]=1,tblMovement[[#This Row],[Contained_oz]],0)</f>
        <v/>
      </c>
    </row>
    <row r="3198">
      <c r="A3198" s="54" t="n"/>
      <c r="B3198" s="61" t="n"/>
      <c r="C3198" s="61" t="n"/>
      <c r="D3198" s="61" t="n"/>
      <c r="E3198" s="61" t="n"/>
      <c r="F3198" s="55" t="n"/>
      <c r="G3198" s="56" t="n"/>
      <c r="H3198" s="55" t="n"/>
      <c r="I3198" s="62" t="n"/>
      <c r="J3198" s="58" t="n"/>
      <c r="K3198" s="63">
        <f>IF(tblMovement[[#This Row],[Source]]="","",IFERROR(INDEX(tblSources[Type],MATCH(tblMovement[[#This Row],[Source]],tblSources[Source],0)),"?"))</f>
        <v/>
      </c>
      <c r="L3198" s="63">
        <f>IF(tblMovement[[#This Row],[Destination]]="","",IFERROR(INDEX(tblDestinations[Type],MATCH(tblMovement[[#This Row],[Destination]],tblDestinations[Destination],0)),"?"))</f>
        <v/>
      </c>
      <c r="M3198" s="64">
        <f>IF(tblMovement[[#This Row],[Material]]="","",IF(LEFT(tblMovement[[#This Row],[Material]],3)="Ore",1,0))</f>
        <v/>
      </c>
      <c r="N3198" s="59">
        <f>IF(OR(tblMovement[[#This Row],[Tonnes_t]]="",tblMovement[[#This Row],[Grade_gpt]]=""),0,tblMovement[[#This Row],[Tonnes_t]]*tblMovement[[#This Row],[Grade_gpt]]/cfg_TroyOz)</f>
        <v/>
      </c>
      <c r="O3198" s="59">
        <f>IF(tblMovement[[#This Row],[Is_Ore]]=1,tblMovement[[#This Row],[Contained_oz]],0)</f>
        <v/>
      </c>
    </row>
    <row r="3199">
      <c r="A3199" s="54" t="n"/>
      <c r="B3199" s="61" t="n"/>
      <c r="C3199" s="61" t="n"/>
      <c r="D3199" s="61" t="n"/>
      <c r="E3199" s="61" t="n"/>
      <c r="F3199" s="55" t="n"/>
      <c r="G3199" s="56" t="n"/>
      <c r="H3199" s="55" t="n"/>
      <c r="I3199" s="62" t="n"/>
      <c r="J3199" s="58" t="n"/>
      <c r="K3199" s="63">
        <f>IF(tblMovement[[#This Row],[Source]]="","",IFERROR(INDEX(tblSources[Type],MATCH(tblMovement[[#This Row],[Source]],tblSources[Source],0)),"?"))</f>
        <v/>
      </c>
      <c r="L3199" s="63">
        <f>IF(tblMovement[[#This Row],[Destination]]="","",IFERROR(INDEX(tblDestinations[Type],MATCH(tblMovement[[#This Row],[Destination]],tblDestinations[Destination],0)),"?"))</f>
        <v/>
      </c>
      <c r="M3199" s="64">
        <f>IF(tblMovement[[#This Row],[Material]]="","",IF(LEFT(tblMovement[[#This Row],[Material]],3)="Ore",1,0))</f>
        <v/>
      </c>
      <c r="N3199" s="59">
        <f>IF(OR(tblMovement[[#This Row],[Tonnes_t]]="",tblMovement[[#This Row],[Grade_gpt]]=""),0,tblMovement[[#This Row],[Tonnes_t]]*tblMovement[[#This Row],[Grade_gpt]]/cfg_TroyOz)</f>
        <v/>
      </c>
      <c r="O3199" s="59">
        <f>IF(tblMovement[[#This Row],[Is_Ore]]=1,tblMovement[[#This Row],[Contained_oz]],0)</f>
        <v/>
      </c>
    </row>
    <row r="3200">
      <c r="A3200" s="54" t="n"/>
      <c r="B3200" s="61" t="n"/>
      <c r="C3200" s="61" t="n"/>
      <c r="D3200" s="61" t="n"/>
      <c r="E3200" s="61" t="n"/>
      <c r="F3200" s="55" t="n"/>
      <c r="G3200" s="56" t="n"/>
      <c r="H3200" s="55" t="n"/>
      <c r="I3200" s="62" t="n"/>
      <c r="J3200" s="58" t="n"/>
      <c r="K3200" s="63">
        <f>IF(tblMovement[[#This Row],[Source]]="","",IFERROR(INDEX(tblSources[Type],MATCH(tblMovement[[#This Row],[Source]],tblSources[Source],0)),"?"))</f>
        <v/>
      </c>
      <c r="L3200" s="63">
        <f>IF(tblMovement[[#This Row],[Destination]]="","",IFERROR(INDEX(tblDestinations[Type],MATCH(tblMovement[[#This Row],[Destination]],tblDestinations[Destination],0)),"?"))</f>
        <v/>
      </c>
      <c r="M3200" s="64">
        <f>IF(tblMovement[[#This Row],[Material]]="","",IF(LEFT(tblMovement[[#This Row],[Material]],3)="Ore",1,0))</f>
        <v/>
      </c>
      <c r="N3200" s="59">
        <f>IF(OR(tblMovement[[#This Row],[Tonnes_t]]="",tblMovement[[#This Row],[Grade_gpt]]=""),0,tblMovement[[#This Row],[Tonnes_t]]*tblMovement[[#This Row],[Grade_gpt]]/cfg_TroyOz)</f>
        <v/>
      </c>
      <c r="O3200" s="59">
        <f>IF(tblMovement[[#This Row],[Is_Ore]]=1,tblMovement[[#This Row],[Contained_oz]],0)</f>
        <v/>
      </c>
    </row>
    <row r="3201">
      <c r="A3201" s="54" t="n"/>
      <c r="B3201" s="61" t="n"/>
      <c r="C3201" s="61" t="n"/>
      <c r="D3201" s="61" t="n"/>
      <c r="E3201" s="61" t="n"/>
      <c r="F3201" s="55" t="n"/>
      <c r="G3201" s="56" t="n"/>
      <c r="H3201" s="55" t="n"/>
      <c r="I3201" s="62" t="n"/>
      <c r="J3201" s="58" t="n"/>
      <c r="K3201" s="63">
        <f>IF(tblMovement[[#This Row],[Source]]="","",IFERROR(INDEX(tblSources[Type],MATCH(tblMovement[[#This Row],[Source]],tblSources[Source],0)),"?"))</f>
        <v/>
      </c>
      <c r="L3201" s="63">
        <f>IF(tblMovement[[#This Row],[Destination]]="","",IFERROR(INDEX(tblDestinations[Type],MATCH(tblMovement[[#This Row],[Destination]],tblDestinations[Destination],0)),"?"))</f>
        <v/>
      </c>
      <c r="M3201" s="64">
        <f>IF(tblMovement[[#This Row],[Material]]="","",IF(LEFT(tblMovement[[#This Row],[Material]],3)="Ore",1,0))</f>
        <v/>
      </c>
      <c r="N3201" s="59">
        <f>IF(OR(tblMovement[[#This Row],[Tonnes_t]]="",tblMovement[[#This Row],[Grade_gpt]]=""),0,tblMovement[[#This Row],[Tonnes_t]]*tblMovement[[#This Row],[Grade_gpt]]/cfg_TroyOz)</f>
        <v/>
      </c>
      <c r="O3201" s="59">
        <f>IF(tblMovement[[#This Row],[Is_Ore]]=1,tblMovement[[#This Row],[Contained_oz]],0)</f>
        <v/>
      </c>
    </row>
    <row r="3202">
      <c r="A3202" s="54" t="n"/>
      <c r="B3202" s="61" t="n"/>
      <c r="C3202" s="61" t="n"/>
      <c r="D3202" s="61" t="n"/>
      <c r="E3202" s="61" t="n"/>
      <c r="F3202" s="55" t="n"/>
      <c r="G3202" s="56" t="n"/>
      <c r="H3202" s="55" t="n"/>
      <c r="I3202" s="62" t="n"/>
      <c r="J3202" s="58" t="n"/>
      <c r="K3202" s="63">
        <f>IF(tblMovement[[#This Row],[Source]]="","",IFERROR(INDEX(tblSources[Type],MATCH(tblMovement[[#This Row],[Source]],tblSources[Source],0)),"?"))</f>
        <v/>
      </c>
      <c r="L3202" s="63">
        <f>IF(tblMovement[[#This Row],[Destination]]="","",IFERROR(INDEX(tblDestinations[Type],MATCH(tblMovement[[#This Row],[Destination]],tblDestinations[Destination],0)),"?"))</f>
        <v/>
      </c>
      <c r="M3202" s="64">
        <f>IF(tblMovement[[#This Row],[Material]]="","",IF(LEFT(tblMovement[[#This Row],[Material]],3)="Ore",1,0))</f>
        <v/>
      </c>
      <c r="N3202" s="59">
        <f>IF(OR(tblMovement[[#This Row],[Tonnes_t]]="",tblMovement[[#This Row],[Grade_gpt]]=""),0,tblMovement[[#This Row],[Tonnes_t]]*tblMovement[[#This Row],[Grade_gpt]]/cfg_TroyOz)</f>
        <v/>
      </c>
      <c r="O3202" s="59">
        <f>IF(tblMovement[[#This Row],[Is_Ore]]=1,tblMovement[[#This Row],[Contained_oz]],0)</f>
        <v/>
      </c>
    </row>
    <row r="3203">
      <c r="A3203" s="54" t="n"/>
      <c r="B3203" s="61" t="n"/>
      <c r="C3203" s="61" t="n"/>
      <c r="D3203" s="61" t="n"/>
      <c r="E3203" s="61" t="n"/>
      <c r="F3203" s="55" t="n"/>
      <c r="G3203" s="56" t="n"/>
      <c r="H3203" s="55" t="n"/>
      <c r="I3203" s="62" t="n"/>
      <c r="J3203" s="58" t="n"/>
      <c r="K3203" s="63">
        <f>IF(tblMovement[[#This Row],[Source]]="","",IFERROR(INDEX(tblSources[Type],MATCH(tblMovement[[#This Row],[Source]],tblSources[Source],0)),"?"))</f>
        <v/>
      </c>
      <c r="L3203" s="63">
        <f>IF(tblMovement[[#This Row],[Destination]]="","",IFERROR(INDEX(tblDestinations[Type],MATCH(tblMovement[[#This Row],[Destination]],tblDestinations[Destination],0)),"?"))</f>
        <v/>
      </c>
      <c r="M3203" s="64">
        <f>IF(tblMovement[[#This Row],[Material]]="","",IF(LEFT(tblMovement[[#This Row],[Material]],3)="Ore",1,0))</f>
        <v/>
      </c>
      <c r="N3203" s="59">
        <f>IF(OR(tblMovement[[#This Row],[Tonnes_t]]="",tblMovement[[#This Row],[Grade_gpt]]=""),0,tblMovement[[#This Row],[Tonnes_t]]*tblMovement[[#This Row],[Grade_gpt]]/cfg_TroyOz)</f>
        <v/>
      </c>
      <c r="O3203" s="59">
        <f>IF(tblMovement[[#This Row],[Is_Ore]]=1,tblMovement[[#This Row],[Contained_oz]],0)</f>
        <v/>
      </c>
    </row>
    <row r="3204">
      <c r="A3204" s="54" t="n"/>
      <c r="B3204" s="61" t="n"/>
      <c r="C3204" s="61" t="n"/>
      <c r="D3204" s="61" t="n"/>
      <c r="E3204" s="61" t="n"/>
      <c r="F3204" s="55" t="n"/>
      <c r="G3204" s="56" t="n"/>
      <c r="H3204" s="55" t="n"/>
      <c r="I3204" s="62" t="n"/>
      <c r="J3204" s="58" t="n"/>
      <c r="K3204" s="63">
        <f>IF(tblMovement[[#This Row],[Source]]="","",IFERROR(INDEX(tblSources[Type],MATCH(tblMovement[[#This Row],[Source]],tblSources[Source],0)),"?"))</f>
        <v/>
      </c>
      <c r="L3204" s="63">
        <f>IF(tblMovement[[#This Row],[Destination]]="","",IFERROR(INDEX(tblDestinations[Type],MATCH(tblMovement[[#This Row],[Destination]],tblDestinations[Destination],0)),"?"))</f>
        <v/>
      </c>
      <c r="M3204" s="64">
        <f>IF(tblMovement[[#This Row],[Material]]="","",IF(LEFT(tblMovement[[#This Row],[Material]],3)="Ore",1,0))</f>
        <v/>
      </c>
      <c r="N3204" s="59">
        <f>IF(OR(tblMovement[[#This Row],[Tonnes_t]]="",tblMovement[[#This Row],[Grade_gpt]]=""),0,tblMovement[[#This Row],[Tonnes_t]]*tblMovement[[#This Row],[Grade_gpt]]/cfg_TroyOz)</f>
        <v/>
      </c>
      <c r="O3204" s="59">
        <f>IF(tblMovement[[#This Row],[Is_Ore]]=1,tblMovement[[#This Row],[Contained_oz]],0)</f>
        <v/>
      </c>
    </row>
    <row r="3205">
      <c r="A3205" s="54" t="n"/>
      <c r="B3205" s="61" t="n"/>
      <c r="C3205" s="61" t="n"/>
      <c r="D3205" s="61" t="n"/>
      <c r="E3205" s="61" t="n"/>
      <c r="F3205" s="55" t="n"/>
      <c r="G3205" s="56" t="n"/>
      <c r="H3205" s="55" t="n"/>
      <c r="I3205" s="62" t="n"/>
      <c r="J3205" s="58" t="n"/>
      <c r="K3205" s="63">
        <f>IF(tblMovement[[#This Row],[Source]]="","",IFERROR(INDEX(tblSources[Type],MATCH(tblMovement[[#This Row],[Source]],tblSources[Source],0)),"?"))</f>
        <v/>
      </c>
      <c r="L3205" s="63">
        <f>IF(tblMovement[[#This Row],[Destination]]="","",IFERROR(INDEX(tblDestinations[Type],MATCH(tblMovement[[#This Row],[Destination]],tblDestinations[Destination],0)),"?"))</f>
        <v/>
      </c>
      <c r="M3205" s="64">
        <f>IF(tblMovement[[#This Row],[Material]]="","",IF(LEFT(tblMovement[[#This Row],[Material]],3)="Ore",1,0))</f>
        <v/>
      </c>
      <c r="N3205" s="59">
        <f>IF(OR(tblMovement[[#This Row],[Tonnes_t]]="",tblMovement[[#This Row],[Grade_gpt]]=""),0,tblMovement[[#This Row],[Tonnes_t]]*tblMovement[[#This Row],[Grade_gpt]]/cfg_TroyOz)</f>
        <v/>
      </c>
      <c r="O3205" s="59">
        <f>IF(tblMovement[[#This Row],[Is_Ore]]=1,tblMovement[[#This Row],[Contained_oz]],0)</f>
        <v/>
      </c>
    </row>
    <row r="3206">
      <c r="A3206" s="54" t="n"/>
      <c r="B3206" s="61" t="n"/>
      <c r="C3206" s="61" t="n"/>
      <c r="D3206" s="61" t="n"/>
      <c r="E3206" s="61" t="n"/>
      <c r="F3206" s="55" t="n"/>
      <c r="G3206" s="56" t="n"/>
      <c r="H3206" s="55" t="n"/>
      <c r="I3206" s="62" t="n"/>
      <c r="J3206" s="58" t="n"/>
      <c r="K3206" s="63">
        <f>IF(tblMovement[[#This Row],[Source]]="","",IFERROR(INDEX(tblSources[Type],MATCH(tblMovement[[#This Row],[Source]],tblSources[Source],0)),"?"))</f>
        <v/>
      </c>
      <c r="L3206" s="63">
        <f>IF(tblMovement[[#This Row],[Destination]]="","",IFERROR(INDEX(tblDestinations[Type],MATCH(tblMovement[[#This Row],[Destination]],tblDestinations[Destination],0)),"?"))</f>
        <v/>
      </c>
      <c r="M3206" s="64">
        <f>IF(tblMovement[[#This Row],[Material]]="","",IF(LEFT(tblMovement[[#This Row],[Material]],3)="Ore",1,0))</f>
        <v/>
      </c>
      <c r="N3206" s="59">
        <f>IF(OR(tblMovement[[#This Row],[Tonnes_t]]="",tblMovement[[#This Row],[Grade_gpt]]=""),0,tblMovement[[#This Row],[Tonnes_t]]*tblMovement[[#This Row],[Grade_gpt]]/cfg_TroyOz)</f>
        <v/>
      </c>
      <c r="O3206" s="59">
        <f>IF(tblMovement[[#This Row],[Is_Ore]]=1,tblMovement[[#This Row],[Contained_oz]],0)</f>
        <v/>
      </c>
    </row>
    <row r="3207">
      <c r="A3207" s="54" t="n"/>
      <c r="B3207" s="61" t="n"/>
      <c r="C3207" s="61" t="n"/>
      <c r="D3207" s="61" t="n"/>
      <c r="E3207" s="61" t="n"/>
      <c r="F3207" s="55" t="n"/>
      <c r="G3207" s="56" t="n"/>
      <c r="H3207" s="55" t="n"/>
      <c r="I3207" s="62" t="n"/>
      <c r="J3207" s="58" t="n"/>
      <c r="K3207" s="63">
        <f>IF(tblMovement[[#This Row],[Source]]="","",IFERROR(INDEX(tblSources[Type],MATCH(tblMovement[[#This Row],[Source]],tblSources[Source],0)),"?"))</f>
        <v/>
      </c>
      <c r="L3207" s="63">
        <f>IF(tblMovement[[#This Row],[Destination]]="","",IFERROR(INDEX(tblDestinations[Type],MATCH(tblMovement[[#This Row],[Destination]],tblDestinations[Destination],0)),"?"))</f>
        <v/>
      </c>
      <c r="M3207" s="64">
        <f>IF(tblMovement[[#This Row],[Material]]="","",IF(LEFT(tblMovement[[#This Row],[Material]],3)="Ore",1,0))</f>
        <v/>
      </c>
      <c r="N3207" s="59">
        <f>IF(OR(tblMovement[[#This Row],[Tonnes_t]]="",tblMovement[[#This Row],[Grade_gpt]]=""),0,tblMovement[[#This Row],[Tonnes_t]]*tblMovement[[#This Row],[Grade_gpt]]/cfg_TroyOz)</f>
        <v/>
      </c>
      <c r="O3207" s="59">
        <f>IF(tblMovement[[#This Row],[Is_Ore]]=1,tblMovement[[#This Row],[Contained_oz]],0)</f>
        <v/>
      </c>
    </row>
    <row r="3208">
      <c r="A3208" s="54" t="n"/>
      <c r="B3208" s="61" t="n"/>
      <c r="C3208" s="61" t="n"/>
      <c r="D3208" s="61" t="n"/>
      <c r="E3208" s="61" t="n"/>
      <c r="F3208" s="55" t="n"/>
      <c r="G3208" s="56" t="n"/>
      <c r="H3208" s="55" t="n"/>
      <c r="I3208" s="62" t="n"/>
      <c r="J3208" s="58" t="n"/>
      <c r="K3208" s="63">
        <f>IF(tblMovement[[#This Row],[Source]]="","",IFERROR(INDEX(tblSources[Type],MATCH(tblMovement[[#This Row],[Source]],tblSources[Source],0)),"?"))</f>
        <v/>
      </c>
      <c r="L3208" s="63">
        <f>IF(tblMovement[[#This Row],[Destination]]="","",IFERROR(INDEX(tblDestinations[Type],MATCH(tblMovement[[#This Row],[Destination]],tblDestinations[Destination],0)),"?"))</f>
        <v/>
      </c>
      <c r="M3208" s="64">
        <f>IF(tblMovement[[#This Row],[Material]]="","",IF(LEFT(tblMovement[[#This Row],[Material]],3)="Ore",1,0))</f>
        <v/>
      </c>
      <c r="N3208" s="59">
        <f>IF(OR(tblMovement[[#This Row],[Tonnes_t]]="",tblMovement[[#This Row],[Grade_gpt]]=""),0,tblMovement[[#This Row],[Tonnes_t]]*tblMovement[[#This Row],[Grade_gpt]]/cfg_TroyOz)</f>
        <v/>
      </c>
      <c r="O3208" s="59">
        <f>IF(tblMovement[[#This Row],[Is_Ore]]=1,tblMovement[[#This Row],[Contained_oz]],0)</f>
        <v/>
      </c>
    </row>
    <row r="3209">
      <c r="A3209" s="54" t="n"/>
      <c r="B3209" s="61" t="n"/>
      <c r="C3209" s="61" t="n"/>
      <c r="D3209" s="61" t="n"/>
      <c r="E3209" s="61" t="n"/>
      <c r="F3209" s="55" t="n"/>
      <c r="G3209" s="56" t="n"/>
      <c r="H3209" s="55" t="n"/>
      <c r="I3209" s="62" t="n"/>
      <c r="J3209" s="58" t="n"/>
      <c r="K3209" s="63">
        <f>IF(tblMovement[[#This Row],[Source]]="","",IFERROR(INDEX(tblSources[Type],MATCH(tblMovement[[#This Row],[Source]],tblSources[Source],0)),"?"))</f>
        <v/>
      </c>
      <c r="L3209" s="63">
        <f>IF(tblMovement[[#This Row],[Destination]]="","",IFERROR(INDEX(tblDestinations[Type],MATCH(tblMovement[[#This Row],[Destination]],tblDestinations[Destination],0)),"?"))</f>
        <v/>
      </c>
      <c r="M3209" s="64">
        <f>IF(tblMovement[[#This Row],[Material]]="","",IF(LEFT(tblMovement[[#This Row],[Material]],3)="Ore",1,0))</f>
        <v/>
      </c>
      <c r="N3209" s="59">
        <f>IF(OR(tblMovement[[#This Row],[Tonnes_t]]="",tblMovement[[#This Row],[Grade_gpt]]=""),0,tblMovement[[#This Row],[Tonnes_t]]*tblMovement[[#This Row],[Grade_gpt]]/cfg_TroyOz)</f>
        <v/>
      </c>
      <c r="O3209" s="59">
        <f>IF(tblMovement[[#This Row],[Is_Ore]]=1,tblMovement[[#This Row],[Contained_oz]],0)</f>
        <v/>
      </c>
    </row>
    <row r="3210">
      <c r="A3210" s="54" t="n"/>
      <c r="B3210" s="61" t="n"/>
      <c r="C3210" s="61" t="n"/>
      <c r="D3210" s="61" t="n"/>
      <c r="E3210" s="61" t="n"/>
      <c r="F3210" s="55" t="n"/>
      <c r="G3210" s="56" t="n"/>
      <c r="H3210" s="55" t="n"/>
      <c r="I3210" s="62" t="n"/>
      <c r="J3210" s="58" t="n"/>
      <c r="K3210" s="63">
        <f>IF(tblMovement[[#This Row],[Source]]="","",IFERROR(INDEX(tblSources[Type],MATCH(tblMovement[[#This Row],[Source]],tblSources[Source],0)),"?"))</f>
        <v/>
      </c>
      <c r="L3210" s="63">
        <f>IF(tblMovement[[#This Row],[Destination]]="","",IFERROR(INDEX(tblDestinations[Type],MATCH(tblMovement[[#This Row],[Destination]],tblDestinations[Destination],0)),"?"))</f>
        <v/>
      </c>
      <c r="M3210" s="64">
        <f>IF(tblMovement[[#This Row],[Material]]="","",IF(LEFT(tblMovement[[#This Row],[Material]],3)="Ore",1,0))</f>
        <v/>
      </c>
      <c r="N3210" s="59">
        <f>IF(OR(tblMovement[[#This Row],[Tonnes_t]]="",tblMovement[[#This Row],[Grade_gpt]]=""),0,tblMovement[[#This Row],[Tonnes_t]]*tblMovement[[#This Row],[Grade_gpt]]/cfg_TroyOz)</f>
        <v/>
      </c>
      <c r="O3210" s="59">
        <f>IF(tblMovement[[#This Row],[Is_Ore]]=1,tblMovement[[#This Row],[Contained_oz]],0)</f>
        <v/>
      </c>
    </row>
    <row r="3211">
      <c r="A3211" s="54" t="n"/>
      <c r="B3211" s="61" t="n"/>
      <c r="C3211" s="61" t="n"/>
      <c r="D3211" s="61" t="n"/>
      <c r="E3211" s="61" t="n"/>
      <c r="F3211" s="55" t="n"/>
      <c r="G3211" s="56" t="n"/>
      <c r="H3211" s="55" t="n"/>
      <c r="I3211" s="62" t="n"/>
      <c r="J3211" s="58" t="n"/>
      <c r="K3211" s="63">
        <f>IF(tblMovement[[#This Row],[Source]]="","",IFERROR(INDEX(tblSources[Type],MATCH(tblMovement[[#This Row],[Source]],tblSources[Source],0)),"?"))</f>
        <v/>
      </c>
      <c r="L3211" s="63">
        <f>IF(tblMovement[[#This Row],[Destination]]="","",IFERROR(INDEX(tblDestinations[Type],MATCH(tblMovement[[#This Row],[Destination]],tblDestinations[Destination],0)),"?"))</f>
        <v/>
      </c>
      <c r="M3211" s="64">
        <f>IF(tblMovement[[#This Row],[Material]]="","",IF(LEFT(tblMovement[[#This Row],[Material]],3)="Ore",1,0))</f>
        <v/>
      </c>
      <c r="N3211" s="59">
        <f>IF(OR(tblMovement[[#This Row],[Tonnes_t]]="",tblMovement[[#This Row],[Grade_gpt]]=""),0,tblMovement[[#This Row],[Tonnes_t]]*tblMovement[[#This Row],[Grade_gpt]]/cfg_TroyOz)</f>
        <v/>
      </c>
      <c r="O3211" s="59">
        <f>IF(tblMovement[[#This Row],[Is_Ore]]=1,tblMovement[[#This Row],[Contained_oz]],0)</f>
        <v/>
      </c>
    </row>
    <row r="3212">
      <c r="A3212" s="54" t="n"/>
      <c r="B3212" s="61" t="n"/>
      <c r="C3212" s="61" t="n"/>
      <c r="D3212" s="61" t="n"/>
      <c r="E3212" s="61" t="n"/>
      <c r="F3212" s="55" t="n"/>
      <c r="G3212" s="56" t="n"/>
      <c r="H3212" s="55" t="n"/>
      <c r="I3212" s="62" t="n"/>
      <c r="J3212" s="58" t="n"/>
      <c r="K3212" s="63">
        <f>IF(tblMovement[[#This Row],[Source]]="","",IFERROR(INDEX(tblSources[Type],MATCH(tblMovement[[#This Row],[Source]],tblSources[Source],0)),"?"))</f>
        <v/>
      </c>
      <c r="L3212" s="63">
        <f>IF(tblMovement[[#This Row],[Destination]]="","",IFERROR(INDEX(tblDestinations[Type],MATCH(tblMovement[[#This Row],[Destination]],tblDestinations[Destination],0)),"?"))</f>
        <v/>
      </c>
      <c r="M3212" s="64">
        <f>IF(tblMovement[[#This Row],[Material]]="","",IF(LEFT(tblMovement[[#This Row],[Material]],3)="Ore",1,0))</f>
        <v/>
      </c>
      <c r="N3212" s="59">
        <f>IF(OR(tblMovement[[#This Row],[Tonnes_t]]="",tblMovement[[#This Row],[Grade_gpt]]=""),0,tblMovement[[#This Row],[Tonnes_t]]*tblMovement[[#This Row],[Grade_gpt]]/cfg_TroyOz)</f>
        <v/>
      </c>
      <c r="O3212" s="59">
        <f>IF(tblMovement[[#This Row],[Is_Ore]]=1,tblMovement[[#This Row],[Contained_oz]],0)</f>
        <v/>
      </c>
    </row>
    <row r="3213">
      <c r="A3213" s="54" t="n"/>
      <c r="B3213" s="61" t="n"/>
      <c r="C3213" s="61" t="n"/>
      <c r="D3213" s="61" t="n"/>
      <c r="E3213" s="61" t="n"/>
      <c r="F3213" s="55" t="n"/>
      <c r="G3213" s="56" t="n"/>
      <c r="H3213" s="55" t="n"/>
      <c r="I3213" s="62" t="n"/>
      <c r="J3213" s="58" t="n"/>
      <c r="K3213" s="63">
        <f>IF(tblMovement[[#This Row],[Source]]="","",IFERROR(INDEX(tblSources[Type],MATCH(tblMovement[[#This Row],[Source]],tblSources[Source],0)),"?"))</f>
        <v/>
      </c>
      <c r="L3213" s="63">
        <f>IF(tblMovement[[#This Row],[Destination]]="","",IFERROR(INDEX(tblDestinations[Type],MATCH(tblMovement[[#This Row],[Destination]],tblDestinations[Destination],0)),"?"))</f>
        <v/>
      </c>
      <c r="M3213" s="64">
        <f>IF(tblMovement[[#This Row],[Material]]="","",IF(LEFT(tblMovement[[#This Row],[Material]],3)="Ore",1,0))</f>
        <v/>
      </c>
      <c r="N3213" s="59">
        <f>IF(OR(tblMovement[[#This Row],[Tonnes_t]]="",tblMovement[[#This Row],[Grade_gpt]]=""),0,tblMovement[[#This Row],[Tonnes_t]]*tblMovement[[#This Row],[Grade_gpt]]/cfg_TroyOz)</f>
        <v/>
      </c>
      <c r="O3213" s="59">
        <f>IF(tblMovement[[#This Row],[Is_Ore]]=1,tblMovement[[#This Row],[Contained_oz]],0)</f>
        <v/>
      </c>
    </row>
    <row r="3214">
      <c r="A3214" s="54" t="n"/>
      <c r="B3214" s="61" t="n"/>
      <c r="C3214" s="61" t="n"/>
      <c r="D3214" s="61" t="n"/>
      <c r="E3214" s="61" t="n"/>
      <c r="F3214" s="55" t="n"/>
      <c r="G3214" s="56" t="n"/>
      <c r="H3214" s="55" t="n"/>
      <c r="I3214" s="62" t="n"/>
      <c r="J3214" s="58" t="n"/>
      <c r="K3214" s="63">
        <f>IF(tblMovement[[#This Row],[Source]]="","",IFERROR(INDEX(tblSources[Type],MATCH(tblMovement[[#This Row],[Source]],tblSources[Source],0)),"?"))</f>
        <v/>
      </c>
      <c r="L3214" s="63">
        <f>IF(tblMovement[[#This Row],[Destination]]="","",IFERROR(INDEX(tblDestinations[Type],MATCH(tblMovement[[#This Row],[Destination]],tblDestinations[Destination],0)),"?"))</f>
        <v/>
      </c>
      <c r="M3214" s="64">
        <f>IF(tblMovement[[#This Row],[Material]]="","",IF(LEFT(tblMovement[[#This Row],[Material]],3)="Ore",1,0))</f>
        <v/>
      </c>
      <c r="N3214" s="59">
        <f>IF(OR(tblMovement[[#This Row],[Tonnes_t]]="",tblMovement[[#This Row],[Grade_gpt]]=""),0,tblMovement[[#This Row],[Tonnes_t]]*tblMovement[[#This Row],[Grade_gpt]]/cfg_TroyOz)</f>
        <v/>
      </c>
      <c r="O3214" s="59">
        <f>IF(tblMovement[[#This Row],[Is_Ore]]=1,tblMovement[[#This Row],[Contained_oz]],0)</f>
        <v/>
      </c>
    </row>
    <row r="3215">
      <c r="A3215" s="54" t="n"/>
      <c r="B3215" s="61" t="n"/>
      <c r="C3215" s="61" t="n"/>
      <c r="D3215" s="61" t="n"/>
      <c r="E3215" s="61" t="n"/>
      <c r="F3215" s="55" t="n"/>
      <c r="G3215" s="56" t="n"/>
      <c r="H3215" s="55" t="n"/>
      <c r="I3215" s="62" t="n"/>
      <c r="J3215" s="58" t="n"/>
      <c r="K3215" s="63">
        <f>IF(tblMovement[[#This Row],[Source]]="","",IFERROR(INDEX(tblSources[Type],MATCH(tblMovement[[#This Row],[Source]],tblSources[Source],0)),"?"))</f>
        <v/>
      </c>
      <c r="L3215" s="63">
        <f>IF(tblMovement[[#This Row],[Destination]]="","",IFERROR(INDEX(tblDestinations[Type],MATCH(tblMovement[[#This Row],[Destination]],tblDestinations[Destination],0)),"?"))</f>
        <v/>
      </c>
      <c r="M3215" s="64">
        <f>IF(tblMovement[[#This Row],[Material]]="","",IF(LEFT(tblMovement[[#This Row],[Material]],3)="Ore",1,0))</f>
        <v/>
      </c>
      <c r="N3215" s="59">
        <f>IF(OR(tblMovement[[#This Row],[Tonnes_t]]="",tblMovement[[#This Row],[Grade_gpt]]=""),0,tblMovement[[#This Row],[Tonnes_t]]*tblMovement[[#This Row],[Grade_gpt]]/cfg_TroyOz)</f>
        <v/>
      </c>
      <c r="O3215" s="59">
        <f>IF(tblMovement[[#This Row],[Is_Ore]]=1,tblMovement[[#This Row],[Contained_oz]],0)</f>
        <v/>
      </c>
    </row>
    <row r="3216">
      <c r="A3216" s="54" t="n"/>
      <c r="B3216" s="61" t="n"/>
      <c r="C3216" s="61" t="n"/>
      <c r="D3216" s="61" t="n"/>
      <c r="E3216" s="61" t="n"/>
      <c r="F3216" s="55" t="n"/>
      <c r="G3216" s="56" t="n"/>
      <c r="H3216" s="55" t="n"/>
      <c r="I3216" s="62" t="n"/>
      <c r="J3216" s="58" t="n"/>
      <c r="K3216" s="63">
        <f>IF(tblMovement[[#This Row],[Source]]="","",IFERROR(INDEX(tblSources[Type],MATCH(tblMovement[[#This Row],[Source]],tblSources[Source],0)),"?"))</f>
        <v/>
      </c>
      <c r="L3216" s="63">
        <f>IF(tblMovement[[#This Row],[Destination]]="","",IFERROR(INDEX(tblDestinations[Type],MATCH(tblMovement[[#This Row],[Destination]],tblDestinations[Destination],0)),"?"))</f>
        <v/>
      </c>
      <c r="M3216" s="64">
        <f>IF(tblMovement[[#This Row],[Material]]="","",IF(LEFT(tblMovement[[#This Row],[Material]],3)="Ore",1,0))</f>
        <v/>
      </c>
      <c r="N3216" s="59">
        <f>IF(OR(tblMovement[[#This Row],[Tonnes_t]]="",tblMovement[[#This Row],[Grade_gpt]]=""),0,tblMovement[[#This Row],[Tonnes_t]]*tblMovement[[#This Row],[Grade_gpt]]/cfg_TroyOz)</f>
        <v/>
      </c>
      <c r="O3216" s="59">
        <f>IF(tblMovement[[#This Row],[Is_Ore]]=1,tblMovement[[#This Row],[Contained_oz]],0)</f>
        <v/>
      </c>
    </row>
    <row r="3217">
      <c r="A3217" s="54" t="n"/>
      <c r="B3217" s="61" t="n"/>
      <c r="C3217" s="61" t="n"/>
      <c r="D3217" s="61" t="n"/>
      <c r="E3217" s="61" t="n"/>
      <c r="F3217" s="55" t="n"/>
      <c r="G3217" s="56" t="n"/>
      <c r="H3217" s="55" t="n"/>
      <c r="I3217" s="62" t="n"/>
      <c r="J3217" s="58" t="n"/>
      <c r="K3217" s="63">
        <f>IF(tblMovement[[#This Row],[Source]]="","",IFERROR(INDEX(tblSources[Type],MATCH(tblMovement[[#This Row],[Source]],tblSources[Source],0)),"?"))</f>
        <v/>
      </c>
      <c r="L3217" s="63">
        <f>IF(tblMovement[[#This Row],[Destination]]="","",IFERROR(INDEX(tblDestinations[Type],MATCH(tblMovement[[#This Row],[Destination]],tblDestinations[Destination],0)),"?"))</f>
        <v/>
      </c>
      <c r="M3217" s="64">
        <f>IF(tblMovement[[#This Row],[Material]]="","",IF(LEFT(tblMovement[[#This Row],[Material]],3)="Ore",1,0))</f>
        <v/>
      </c>
      <c r="N3217" s="59">
        <f>IF(OR(tblMovement[[#This Row],[Tonnes_t]]="",tblMovement[[#This Row],[Grade_gpt]]=""),0,tblMovement[[#This Row],[Tonnes_t]]*tblMovement[[#This Row],[Grade_gpt]]/cfg_TroyOz)</f>
        <v/>
      </c>
      <c r="O3217" s="59">
        <f>IF(tblMovement[[#This Row],[Is_Ore]]=1,tblMovement[[#This Row],[Contained_oz]],0)</f>
        <v/>
      </c>
    </row>
    <row r="3218">
      <c r="A3218" s="54" t="n"/>
      <c r="B3218" s="61" t="n"/>
      <c r="C3218" s="61" t="n"/>
      <c r="D3218" s="61" t="n"/>
      <c r="E3218" s="61" t="n"/>
      <c r="F3218" s="55" t="n"/>
      <c r="G3218" s="56" t="n"/>
      <c r="H3218" s="55" t="n"/>
      <c r="I3218" s="62" t="n"/>
      <c r="J3218" s="58" t="n"/>
      <c r="K3218" s="63">
        <f>IF(tblMovement[[#This Row],[Source]]="","",IFERROR(INDEX(tblSources[Type],MATCH(tblMovement[[#This Row],[Source]],tblSources[Source],0)),"?"))</f>
        <v/>
      </c>
      <c r="L3218" s="63">
        <f>IF(tblMovement[[#This Row],[Destination]]="","",IFERROR(INDEX(tblDestinations[Type],MATCH(tblMovement[[#This Row],[Destination]],tblDestinations[Destination],0)),"?"))</f>
        <v/>
      </c>
      <c r="M3218" s="64">
        <f>IF(tblMovement[[#This Row],[Material]]="","",IF(LEFT(tblMovement[[#This Row],[Material]],3)="Ore",1,0))</f>
        <v/>
      </c>
      <c r="N3218" s="59">
        <f>IF(OR(tblMovement[[#This Row],[Tonnes_t]]="",tblMovement[[#This Row],[Grade_gpt]]=""),0,tblMovement[[#This Row],[Tonnes_t]]*tblMovement[[#This Row],[Grade_gpt]]/cfg_TroyOz)</f>
        <v/>
      </c>
      <c r="O3218" s="59">
        <f>IF(tblMovement[[#This Row],[Is_Ore]]=1,tblMovement[[#This Row],[Contained_oz]],0)</f>
        <v/>
      </c>
    </row>
    <row r="3219">
      <c r="A3219" s="54" t="n"/>
      <c r="B3219" s="61" t="n"/>
      <c r="C3219" s="61" t="n"/>
      <c r="D3219" s="61" t="n"/>
      <c r="E3219" s="61" t="n"/>
      <c r="F3219" s="55" t="n"/>
      <c r="G3219" s="56" t="n"/>
      <c r="H3219" s="55" t="n"/>
      <c r="I3219" s="62" t="n"/>
      <c r="J3219" s="58" t="n"/>
      <c r="K3219" s="63">
        <f>IF(tblMovement[[#This Row],[Source]]="","",IFERROR(INDEX(tblSources[Type],MATCH(tblMovement[[#This Row],[Source]],tblSources[Source],0)),"?"))</f>
        <v/>
      </c>
      <c r="L3219" s="63">
        <f>IF(tblMovement[[#This Row],[Destination]]="","",IFERROR(INDEX(tblDestinations[Type],MATCH(tblMovement[[#This Row],[Destination]],tblDestinations[Destination],0)),"?"))</f>
        <v/>
      </c>
      <c r="M3219" s="64">
        <f>IF(tblMovement[[#This Row],[Material]]="","",IF(LEFT(tblMovement[[#This Row],[Material]],3)="Ore",1,0))</f>
        <v/>
      </c>
      <c r="N3219" s="59">
        <f>IF(OR(tblMovement[[#This Row],[Tonnes_t]]="",tblMovement[[#This Row],[Grade_gpt]]=""),0,tblMovement[[#This Row],[Tonnes_t]]*tblMovement[[#This Row],[Grade_gpt]]/cfg_TroyOz)</f>
        <v/>
      </c>
      <c r="O3219" s="59">
        <f>IF(tblMovement[[#This Row],[Is_Ore]]=1,tblMovement[[#This Row],[Contained_oz]],0)</f>
        <v/>
      </c>
    </row>
    <row r="3220">
      <c r="A3220" s="54" t="n"/>
      <c r="B3220" s="61" t="n"/>
      <c r="C3220" s="61" t="n"/>
      <c r="D3220" s="61" t="n"/>
      <c r="E3220" s="61" t="n"/>
      <c r="F3220" s="55" t="n"/>
      <c r="G3220" s="56" t="n"/>
      <c r="H3220" s="55" t="n"/>
      <c r="I3220" s="62" t="n"/>
      <c r="J3220" s="58" t="n"/>
      <c r="K3220" s="63">
        <f>IF(tblMovement[[#This Row],[Source]]="","",IFERROR(INDEX(tblSources[Type],MATCH(tblMovement[[#This Row],[Source]],tblSources[Source],0)),"?"))</f>
        <v/>
      </c>
      <c r="L3220" s="63">
        <f>IF(tblMovement[[#This Row],[Destination]]="","",IFERROR(INDEX(tblDestinations[Type],MATCH(tblMovement[[#This Row],[Destination]],tblDestinations[Destination],0)),"?"))</f>
        <v/>
      </c>
      <c r="M3220" s="64">
        <f>IF(tblMovement[[#This Row],[Material]]="","",IF(LEFT(tblMovement[[#This Row],[Material]],3)="Ore",1,0))</f>
        <v/>
      </c>
      <c r="N3220" s="59">
        <f>IF(OR(tblMovement[[#This Row],[Tonnes_t]]="",tblMovement[[#This Row],[Grade_gpt]]=""),0,tblMovement[[#This Row],[Tonnes_t]]*tblMovement[[#This Row],[Grade_gpt]]/cfg_TroyOz)</f>
        <v/>
      </c>
      <c r="O3220" s="59">
        <f>IF(tblMovement[[#This Row],[Is_Ore]]=1,tblMovement[[#This Row],[Contained_oz]],0)</f>
        <v/>
      </c>
    </row>
    <row r="3221">
      <c r="A3221" s="54" t="n"/>
      <c r="B3221" s="61" t="n"/>
      <c r="C3221" s="61" t="n"/>
      <c r="D3221" s="61" t="n"/>
      <c r="E3221" s="61" t="n"/>
      <c r="F3221" s="55" t="n"/>
      <c r="G3221" s="56" t="n"/>
      <c r="H3221" s="55" t="n"/>
      <c r="I3221" s="62" t="n"/>
      <c r="J3221" s="58" t="n"/>
      <c r="K3221" s="63">
        <f>IF(tblMovement[[#This Row],[Source]]="","",IFERROR(INDEX(tblSources[Type],MATCH(tblMovement[[#This Row],[Source]],tblSources[Source],0)),"?"))</f>
        <v/>
      </c>
      <c r="L3221" s="63">
        <f>IF(tblMovement[[#This Row],[Destination]]="","",IFERROR(INDEX(tblDestinations[Type],MATCH(tblMovement[[#This Row],[Destination]],tblDestinations[Destination],0)),"?"))</f>
        <v/>
      </c>
      <c r="M3221" s="64">
        <f>IF(tblMovement[[#This Row],[Material]]="","",IF(LEFT(tblMovement[[#This Row],[Material]],3)="Ore",1,0))</f>
        <v/>
      </c>
      <c r="N3221" s="59">
        <f>IF(OR(tblMovement[[#This Row],[Tonnes_t]]="",tblMovement[[#This Row],[Grade_gpt]]=""),0,tblMovement[[#This Row],[Tonnes_t]]*tblMovement[[#This Row],[Grade_gpt]]/cfg_TroyOz)</f>
        <v/>
      </c>
      <c r="O3221" s="59">
        <f>IF(tblMovement[[#This Row],[Is_Ore]]=1,tblMovement[[#This Row],[Contained_oz]],0)</f>
        <v/>
      </c>
    </row>
    <row r="3222">
      <c r="A3222" s="54" t="n"/>
      <c r="B3222" s="61" t="n"/>
      <c r="C3222" s="61" t="n"/>
      <c r="D3222" s="61" t="n"/>
      <c r="E3222" s="61" t="n"/>
      <c r="F3222" s="55" t="n"/>
      <c r="G3222" s="56" t="n"/>
      <c r="H3222" s="55" t="n"/>
      <c r="I3222" s="62" t="n"/>
      <c r="J3222" s="58" t="n"/>
      <c r="K3222" s="63">
        <f>IF(tblMovement[[#This Row],[Source]]="","",IFERROR(INDEX(tblSources[Type],MATCH(tblMovement[[#This Row],[Source]],tblSources[Source],0)),"?"))</f>
        <v/>
      </c>
      <c r="L3222" s="63">
        <f>IF(tblMovement[[#This Row],[Destination]]="","",IFERROR(INDEX(tblDestinations[Type],MATCH(tblMovement[[#This Row],[Destination]],tblDestinations[Destination],0)),"?"))</f>
        <v/>
      </c>
      <c r="M3222" s="64">
        <f>IF(tblMovement[[#This Row],[Material]]="","",IF(LEFT(tblMovement[[#This Row],[Material]],3)="Ore",1,0))</f>
        <v/>
      </c>
      <c r="N3222" s="59">
        <f>IF(OR(tblMovement[[#This Row],[Tonnes_t]]="",tblMovement[[#This Row],[Grade_gpt]]=""),0,tblMovement[[#This Row],[Tonnes_t]]*tblMovement[[#This Row],[Grade_gpt]]/cfg_TroyOz)</f>
        <v/>
      </c>
      <c r="O3222" s="59">
        <f>IF(tblMovement[[#This Row],[Is_Ore]]=1,tblMovement[[#This Row],[Contained_oz]],0)</f>
        <v/>
      </c>
    </row>
    <row r="3223">
      <c r="A3223" s="54" t="n"/>
      <c r="B3223" s="61" t="n"/>
      <c r="C3223" s="61" t="n"/>
      <c r="D3223" s="61" t="n"/>
      <c r="E3223" s="61" t="n"/>
      <c r="F3223" s="55" t="n"/>
      <c r="G3223" s="56" t="n"/>
      <c r="H3223" s="55" t="n"/>
      <c r="I3223" s="62" t="n"/>
      <c r="J3223" s="58" t="n"/>
      <c r="K3223" s="63">
        <f>IF(tblMovement[[#This Row],[Source]]="","",IFERROR(INDEX(tblSources[Type],MATCH(tblMovement[[#This Row],[Source]],tblSources[Source],0)),"?"))</f>
        <v/>
      </c>
      <c r="L3223" s="63">
        <f>IF(tblMovement[[#This Row],[Destination]]="","",IFERROR(INDEX(tblDestinations[Type],MATCH(tblMovement[[#This Row],[Destination]],tblDestinations[Destination],0)),"?"))</f>
        <v/>
      </c>
      <c r="M3223" s="64">
        <f>IF(tblMovement[[#This Row],[Material]]="","",IF(LEFT(tblMovement[[#This Row],[Material]],3)="Ore",1,0))</f>
        <v/>
      </c>
      <c r="N3223" s="59">
        <f>IF(OR(tblMovement[[#This Row],[Tonnes_t]]="",tblMovement[[#This Row],[Grade_gpt]]=""),0,tblMovement[[#This Row],[Tonnes_t]]*tblMovement[[#This Row],[Grade_gpt]]/cfg_TroyOz)</f>
        <v/>
      </c>
      <c r="O3223" s="59">
        <f>IF(tblMovement[[#This Row],[Is_Ore]]=1,tblMovement[[#This Row],[Contained_oz]],0)</f>
        <v/>
      </c>
    </row>
    <row r="3224">
      <c r="A3224" s="54" t="n"/>
      <c r="B3224" s="61" t="n"/>
      <c r="C3224" s="61" t="n"/>
      <c r="D3224" s="61" t="n"/>
      <c r="E3224" s="61" t="n"/>
      <c r="F3224" s="55" t="n"/>
      <c r="G3224" s="56" t="n"/>
      <c r="H3224" s="55" t="n"/>
      <c r="I3224" s="62" t="n"/>
      <c r="J3224" s="58" t="n"/>
      <c r="K3224" s="63">
        <f>IF(tblMovement[[#This Row],[Source]]="","",IFERROR(INDEX(tblSources[Type],MATCH(tblMovement[[#This Row],[Source]],tblSources[Source],0)),"?"))</f>
        <v/>
      </c>
      <c r="L3224" s="63">
        <f>IF(tblMovement[[#This Row],[Destination]]="","",IFERROR(INDEX(tblDestinations[Type],MATCH(tblMovement[[#This Row],[Destination]],tblDestinations[Destination],0)),"?"))</f>
        <v/>
      </c>
      <c r="M3224" s="64">
        <f>IF(tblMovement[[#This Row],[Material]]="","",IF(LEFT(tblMovement[[#This Row],[Material]],3)="Ore",1,0))</f>
        <v/>
      </c>
      <c r="N3224" s="59">
        <f>IF(OR(tblMovement[[#This Row],[Tonnes_t]]="",tblMovement[[#This Row],[Grade_gpt]]=""),0,tblMovement[[#This Row],[Tonnes_t]]*tblMovement[[#This Row],[Grade_gpt]]/cfg_TroyOz)</f>
        <v/>
      </c>
      <c r="O3224" s="59">
        <f>IF(tblMovement[[#This Row],[Is_Ore]]=1,tblMovement[[#This Row],[Contained_oz]],0)</f>
        <v/>
      </c>
    </row>
    <row r="3225">
      <c r="A3225" s="54" t="n"/>
      <c r="B3225" s="61" t="n"/>
      <c r="C3225" s="61" t="n"/>
      <c r="D3225" s="61" t="n"/>
      <c r="E3225" s="61" t="n"/>
      <c r="F3225" s="55" t="n"/>
      <c r="G3225" s="56" t="n"/>
      <c r="H3225" s="55" t="n"/>
      <c r="I3225" s="62" t="n"/>
      <c r="J3225" s="58" t="n"/>
      <c r="K3225" s="63">
        <f>IF(tblMovement[[#This Row],[Source]]="","",IFERROR(INDEX(tblSources[Type],MATCH(tblMovement[[#This Row],[Source]],tblSources[Source],0)),"?"))</f>
        <v/>
      </c>
      <c r="L3225" s="63">
        <f>IF(tblMovement[[#This Row],[Destination]]="","",IFERROR(INDEX(tblDestinations[Type],MATCH(tblMovement[[#This Row],[Destination]],tblDestinations[Destination],0)),"?"))</f>
        <v/>
      </c>
      <c r="M3225" s="64">
        <f>IF(tblMovement[[#This Row],[Material]]="","",IF(LEFT(tblMovement[[#This Row],[Material]],3)="Ore",1,0))</f>
        <v/>
      </c>
      <c r="N3225" s="59">
        <f>IF(OR(tblMovement[[#This Row],[Tonnes_t]]="",tblMovement[[#This Row],[Grade_gpt]]=""),0,tblMovement[[#This Row],[Tonnes_t]]*tblMovement[[#This Row],[Grade_gpt]]/cfg_TroyOz)</f>
        <v/>
      </c>
      <c r="O3225" s="59">
        <f>IF(tblMovement[[#This Row],[Is_Ore]]=1,tblMovement[[#This Row],[Contained_oz]],0)</f>
        <v/>
      </c>
    </row>
    <row r="3226">
      <c r="A3226" s="54" t="n"/>
      <c r="B3226" s="61" t="n"/>
      <c r="C3226" s="61" t="n"/>
      <c r="D3226" s="61" t="n"/>
      <c r="E3226" s="61" t="n"/>
      <c r="F3226" s="55" t="n"/>
      <c r="G3226" s="56" t="n"/>
      <c r="H3226" s="55" t="n"/>
      <c r="I3226" s="62" t="n"/>
      <c r="J3226" s="58" t="n"/>
      <c r="K3226" s="63">
        <f>IF(tblMovement[[#This Row],[Source]]="","",IFERROR(INDEX(tblSources[Type],MATCH(tblMovement[[#This Row],[Source]],tblSources[Source],0)),"?"))</f>
        <v/>
      </c>
      <c r="L3226" s="63">
        <f>IF(tblMovement[[#This Row],[Destination]]="","",IFERROR(INDEX(tblDestinations[Type],MATCH(tblMovement[[#This Row],[Destination]],tblDestinations[Destination],0)),"?"))</f>
        <v/>
      </c>
      <c r="M3226" s="64">
        <f>IF(tblMovement[[#This Row],[Material]]="","",IF(LEFT(tblMovement[[#This Row],[Material]],3)="Ore",1,0))</f>
        <v/>
      </c>
      <c r="N3226" s="59">
        <f>IF(OR(tblMovement[[#This Row],[Tonnes_t]]="",tblMovement[[#This Row],[Grade_gpt]]=""),0,tblMovement[[#This Row],[Tonnes_t]]*tblMovement[[#This Row],[Grade_gpt]]/cfg_TroyOz)</f>
        <v/>
      </c>
      <c r="O3226" s="59">
        <f>IF(tblMovement[[#This Row],[Is_Ore]]=1,tblMovement[[#This Row],[Contained_oz]],0)</f>
        <v/>
      </c>
    </row>
    <row r="3227">
      <c r="A3227" s="54" t="n"/>
      <c r="B3227" s="61" t="n"/>
      <c r="C3227" s="61" t="n"/>
      <c r="D3227" s="61" t="n"/>
      <c r="E3227" s="61" t="n"/>
      <c r="F3227" s="55" t="n"/>
      <c r="G3227" s="56" t="n"/>
      <c r="H3227" s="55" t="n"/>
      <c r="I3227" s="62" t="n"/>
      <c r="J3227" s="58" t="n"/>
      <c r="K3227" s="63">
        <f>IF(tblMovement[[#This Row],[Source]]="","",IFERROR(INDEX(tblSources[Type],MATCH(tblMovement[[#This Row],[Source]],tblSources[Source],0)),"?"))</f>
        <v/>
      </c>
      <c r="L3227" s="63">
        <f>IF(tblMovement[[#This Row],[Destination]]="","",IFERROR(INDEX(tblDestinations[Type],MATCH(tblMovement[[#This Row],[Destination]],tblDestinations[Destination],0)),"?"))</f>
        <v/>
      </c>
      <c r="M3227" s="64">
        <f>IF(tblMovement[[#This Row],[Material]]="","",IF(LEFT(tblMovement[[#This Row],[Material]],3)="Ore",1,0))</f>
        <v/>
      </c>
      <c r="N3227" s="59">
        <f>IF(OR(tblMovement[[#This Row],[Tonnes_t]]="",tblMovement[[#This Row],[Grade_gpt]]=""),0,tblMovement[[#This Row],[Tonnes_t]]*tblMovement[[#This Row],[Grade_gpt]]/cfg_TroyOz)</f>
        <v/>
      </c>
      <c r="O3227" s="59">
        <f>IF(tblMovement[[#This Row],[Is_Ore]]=1,tblMovement[[#This Row],[Contained_oz]],0)</f>
        <v/>
      </c>
    </row>
    <row r="3228">
      <c r="A3228" s="54" t="n"/>
      <c r="B3228" s="61" t="n"/>
      <c r="C3228" s="61" t="n"/>
      <c r="D3228" s="61" t="n"/>
      <c r="E3228" s="61" t="n"/>
      <c r="F3228" s="55" t="n"/>
      <c r="G3228" s="56" t="n"/>
      <c r="H3228" s="55" t="n"/>
      <c r="I3228" s="62" t="n"/>
      <c r="J3228" s="58" t="n"/>
      <c r="K3228" s="63">
        <f>IF(tblMovement[[#This Row],[Source]]="","",IFERROR(INDEX(tblSources[Type],MATCH(tblMovement[[#This Row],[Source]],tblSources[Source],0)),"?"))</f>
        <v/>
      </c>
      <c r="L3228" s="63">
        <f>IF(tblMovement[[#This Row],[Destination]]="","",IFERROR(INDEX(tblDestinations[Type],MATCH(tblMovement[[#This Row],[Destination]],tblDestinations[Destination],0)),"?"))</f>
        <v/>
      </c>
      <c r="M3228" s="64">
        <f>IF(tblMovement[[#This Row],[Material]]="","",IF(LEFT(tblMovement[[#This Row],[Material]],3)="Ore",1,0))</f>
        <v/>
      </c>
      <c r="N3228" s="59">
        <f>IF(OR(tblMovement[[#This Row],[Tonnes_t]]="",tblMovement[[#This Row],[Grade_gpt]]=""),0,tblMovement[[#This Row],[Tonnes_t]]*tblMovement[[#This Row],[Grade_gpt]]/cfg_TroyOz)</f>
        <v/>
      </c>
      <c r="O3228" s="59">
        <f>IF(tblMovement[[#This Row],[Is_Ore]]=1,tblMovement[[#This Row],[Contained_oz]],0)</f>
        <v/>
      </c>
    </row>
    <row r="3229">
      <c r="A3229" s="54" t="n"/>
      <c r="B3229" s="61" t="n"/>
      <c r="C3229" s="61" t="n"/>
      <c r="D3229" s="61" t="n"/>
      <c r="E3229" s="61" t="n"/>
      <c r="F3229" s="55" t="n"/>
      <c r="G3229" s="56" t="n"/>
      <c r="H3229" s="55" t="n"/>
      <c r="I3229" s="62" t="n"/>
      <c r="J3229" s="58" t="n"/>
      <c r="K3229" s="63">
        <f>IF(tblMovement[[#This Row],[Source]]="","",IFERROR(INDEX(tblSources[Type],MATCH(tblMovement[[#This Row],[Source]],tblSources[Source],0)),"?"))</f>
        <v/>
      </c>
      <c r="L3229" s="63">
        <f>IF(tblMovement[[#This Row],[Destination]]="","",IFERROR(INDEX(tblDestinations[Type],MATCH(tblMovement[[#This Row],[Destination]],tblDestinations[Destination],0)),"?"))</f>
        <v/>
      </c>
      <c r="M3229" s="64">
        <f>IF(tblMovement[[#This Row],[Material]]="","",IF(LEFT(tblMovement[[#This Row],[Material]],3)="Ore",1,0))</f>
        <v/>
      </c>
      <c r="N3229" s="59">
        <f>IF(OR(tblMovement[[#This Row],[Tonnes_t]]="",tblMovement[[#This Row],[Grade_gpt]]=""),0,tblMovement[[#This Row],[Tonnes_t]]*tblMovement[[#This Row],[Grade_gpt]]/cfg_TroyOz)</f>
        <v/>
      </c>
      <c r="O3229" s="59">
        <f>IF(tblMovement[[#This Row],[Is_Ore]]=1,tblMovement[[#This Row],[Contained_oz]],0)</f>
        <v/>
      </c>
    </row>
    <row r="3230">
      <c r="A3230" s="54" t="n"/>
      <c r="B3230" s="61" t="n"/>
      <c r="C3230" s="61" t="n"/>
      <c r="D3230" s="61" t="n"/>
      <c r="E3230" s="61" t="n"/>
      <c r="F3230" s="55" t="n"/>
      <c r="G3230" s="56" t="n"/>
      <c r="H3230" s="55" t="n"/>
      <c r="I3230" s="62" t="n"/>
      <c r="J3230" s="58" t="n"/>
      <c r="K3230" s="63">
        <f>IF(tblMovement[[#This Row],[Source]]="","",IFERROR(INDEX(tblSources[Type],MATCH(tblMovement[[#This Row],[Source]],tblSources[Source],0)),"?"))</f>
        <v/>
      </c>
      <c r="L3230" s="63">
        <f>IF(tblMovement[[#This Row],[Destination]]="","",IFERROR(INDEX(tblDestinations[Type],MATCH(tblMovement[[#This Row],[Destination]],tblDestinations[Destination],0)),"?"))</f>
        <v/>
      </c>
      <c r="M3230" s="64">
        <f>IF(tblMovement[[#This Row],[Material]]="","",IF(LEFT(tblMovement[[#This Row],[Material]],3)="Ore",1,0))</f>
        <v/>
      </c>
      <c r="N3230" s="59">
        <f>IF(OR(tblMovement[[#This Row],[Tonnes_t]]="",tblMovement[[#This Row],[Grade_gpt]]=""),0,tblMovement[[#This Row],[Tonnes_t]]*tblMovement[[#This Row],[Grade_gpt]]/cfg_TroyOz)</f>
        <v/>
      </c>
      <c r="O3230" s="59">
        <f>IF(tblMovement[[#This Row],[Is_Ore]]=1,tblMovement[[#This Row],[Contained_oz]],0)</f>
        <v/>
      </c>
    </row>
    <row r="3231">
      <c r="A3231" s="54" t="n"/>
      <c r="B3231" s="61" t="n"/>
      <c r="C3231" s="61" t="n"/>
      <c r="D3231" s="61" t="n"/>
      <c r="E3231" s="61" t="n"/>
      <c r="F3231" s="55" t="n"/>
      <c r="G3231" s="56" t="n"/>
      <c r="H3231" s="55" t="n"/>
      <c r="I3231" s="62" t="n"/>
      <c r="J3231" s="58" t="n"/>
      <c r="K3231" s="63">
        <f>IF(tblMovement[[#This Row],[Source]]="","",IFERROR(INDEX(tblSources[Type],MATCH(tblMovement[[#This Row],[Source]],tblSources[Source],0)),"?"))</f>
        <v/>
      </c>
      <c r="L3231" s="63">
        <f>IF(tblMovement[[#This Row],[Destination]]="","",IFERROR(INDEX(tblDestinations[Type],MATCH(tblMovement[[#This Row],[Destination]],tblDestinations[Destination],0)),"?"))</f>
        <v/>
      </c>
      <c r="M3231" s="64">
        <f>IF(tblMovement[[#This Row],[Material]]="","",IF(LEFT(tblMovement[[#This Row],[Material]],3)="Ore",1,0))</f>
        <v/>
      </c>
      <c r="N3231" s="59">
        <f>IF(OR(tblMovement[[#This Row],[Tonnes_t]]="",tblMovement[[#This Row],[Grade_gpt]]=""),0,tblMovement[[#This Row],[Tonnes_t]]*tblMovement[[#This Row],[Grade_gpt]]/cfg_TroyOz)</f>
        <v/>
      </c>
      <c r="O3231" s="59">
        <f>IF(tblMovement[[#This Row],[Is_Ore]]=1,tblMovement[[#This Row],[Contained_oz]],0)</f>
        <v/>
      </c>
    </row>
    <row r="3232">
      <c r="A3232" s="54" t="n"/>
      <c r="B3232" s="61" t="n"/>
      <c r="C3232" s="61" t="n"/>
      <c r="D3232" s="61" t="n"/>
      <c r="E3232" s="61" t="n"/>
      <c r="F3232" s="55" t="n"/>
      <c r="G3232" s="56" t="n"/>
      <c r="H3232" s="55" t="n"/>
      <c r="I3232" s="62" t="n"/>
      <c r="J3232" s="58" t="n"/>
      <c r="K3232" s="63">
        <f>IF(tblMovement[[#This Row],[Source]]="","",IFERROR(INDEX(tblSources[Type],MATCH(tblMovement[[#This Row],[Source]],tblSources[Source],0)),"?"))</f>
        <v/>
      </c>
      <c r="L3232" s="63">
        <f>IF(tblMovement[[#This Row],[Destination]]="","",IFERROR(INDEX(tblDestinations[Type],MATCH(tblMovement[[#This Row],[Destination]],tblDestinations[Destination],0)),"?"))</f>
        <v/>
      </c>
      <c r="M3232" s="64">
        <f>IF(tblMovement[[#This Row],[Material]]="","",IF(LEFT(tblMovement[[#This Row],[Material]],3)="Ore",1,0))</f>
        <v/>
      </c>
      <c r="N3232" s="59">
        <f>IF(OR(tblMovement[[#This Row],[Tonnes_t]]="",tblMovement[[#This Row],[Grade_gpt]]=""),0,tblMovement[[#This Row],[Tonnes_t]]*tblMovement[[#This Row],[Grade_gpt]]/cfg_TroyOz)</f>
        <v/>
      </c>
      <c r="O3232" s="59">
        <f>IF(tblMovement[[#This Row],[Is_Ore]]=1,tblMovement[[#This Row],[Contained_oz]],0)</f>
        <v/>
      </c>
    </row>
    <row r="3233">
      <c r="A3233" s="54" t="n"/>
      <c r="B3233" s="61" t="n"/>
      <c r="C3233" s="61" t="n"/>
      <c r="D3233" s="61" t="n"/>
      <c r="E3233" s="61" t="n"/>
      <c r="F3233" s="55" t="n"/>
      <c r="G3233" s="56" t="n"/>
      <c r="H3233" s="55" t="n"/>
      <c r="I3233" s="62" t="n"/>
      <c r="J3233" s="58" t="n"/>
      <c r="K3233" s="63">
        <f>IF(tblMovement[[#This Row],[Source]]="","",IFERROR(INDEX(tblSources[Type],MATCH(tblMovement[[#This Row],[Source]],tblSources[Source],0)),"?"))</f>
        <v/>
      </c>
      <c r="L3233" s="63">
        <f>IF(tblMovement[[#This Row],[Destination]]="","",IFERROR(INDEX(tblDestinations[Type],MATCH(tblMovement[[#This Row],[Destination]],tblDestinations[Destination],0)),"?"))</f>
        <v/>
      </c>
      <c r="M3233" s="64">
        <f>IF(tblMovement[[#This Row],[Material]]="","",IF(LEFT(tblMovement[[#This Row],[Material]],3)="Ore",1,0))</f>
        <v/>
      </c>
      <c r="N3233" s="59">
        <f>IF(OR(tblMovement[[#This Row],[Tonnes_t]]="",tblMovement[[#This Row],[Grade_gpt]]=""),0,tblMovement[[#This Row],[Tonnes_t]]*tblMovement[[#This Row],[Grade_gpt]]/cfg_TroyOz)</f>
        <v/>
      </c>
      <c r="O3233" s="59">
        <f>IF(tblMovement[[#This Row],[Is_Ore]]=1,tblMovement[[#This Row],[Contained_oz]],0)</f>
        <v/>
      </c>
    </row>
    <row r="3234">
      <c r="A3234" s="54" t="n"/>
      <c r="B3234" s="61" t="n"/>
      <c r="C3234" s="61" t="n"/>
      <c r="D3234" s="61" t="n"/>
      <c r="E3234" s="61" t="n"/>
      <c r="F3234" s="55" t="n"/>
      <c r="G3234" s="56" t="n"/>
      <c r="H3234" s="55" t="n"/>
      <c r="I3234" s="62" t="n"/>
      <c r="J3234" s="58" t="n"/>
      <c r="K3234" s="63">
        <f>IF(tblMovement[[#This Row],[Source]]="","",IFERROR(INDEX(tblSources[Type],MATCH(tblMovement[[#This Row],[Source]],tblSources[Source],0)),"?"))</f>
        <v/>
      </c>
      <c r="L3234" s="63">
        <f>IF(tblMovement[[#This Row],[Destination]]="","",IFERROR(INDEX(tblDestinations[Type],MATCH(tblMovement[[#This Row],[Destination]],tblDestinations[Destination],0)),"?"))</f>
        <v/>
      </c>
      <c r="M3234" s="64">
        <f>IF(tblMovement[[#This Row],[Material]]="","",IF(LEFT(tblMovement[[#This Row],[Material]],3)="Ore",1,0))</f>
        <v/>
      </c>
      <c r="N3234" s="59">
        <f>IF(OR(tblMovement[[#This Row],[Tonnes_t]]="",tblMovement[[#This Row],[Grade_gpt]]=""),0,tblMovement[[#This Row],[Tonnes_t]]*tblMovement[[#This Row],[Grade_gpt]]/cfg_TroyOz)</f>
        <v/>
      </c>
      <c r="O3234" s="59">
        <f>IF(tblMovement[[#This Row],[Is_Ore]]=1,tblMovement[[#This Row],[Contained_oz]],0)</f>
        <v/>
      </c>
    </row>
    <row r="3235">
      <c r="A3235" s="54" t="n"/>
      <c r="B3235" s="61" t="n"/>
      <c r="C3235" s="61" t="n"/>
      <c r="D3235" s="61" t="n"/>
      <c r="E3235" s="61" t="n"/>
      <c r="F3235" s="55" t="n"/>
      <c r="G3235" s="56" t="n"/>
      <c r="H3235" s="55" t="n"/>
      <c r="I3235" s="62" t="n"/>
      <c r="J3235" s="58" t="n"/>
      <c r="K3235" s="63">
        <f>IF(tblMovement[[#This Row],[Source]]="","",IFERROR(INDEX(tblSources[Type],MATCH(tblMovement[[#This Row],[Source]],tblSources[Source],0)),"?"))</f>
        <v/>
      </c>
      <c r="L3235" s="63">
        <f>IF(tblMovement[[#This Row],[Destination]]="","",IFERROR(INDEX(tblDestinations[Type],MATCH(tblMovement[[#This Row],[Destination]],tblDestinations[Destination],0)),"?"))</f>
        <v/>
      </c>
      <c r="M3235" s="64">
        <f>IF(tblMovement[[#This Row],[Material]]="","",IF(LEFT(tblMovement[[#This Row],[Material]],3)="Ore",1,0))</f>
        <v/>
      </c>
      <c r="N3235" s="59">
        <f>IF(OR(tblMovement[[#This Row],[Tonnes_t]]="",tblMovement[[#This Row],[Grade_gpt]]=""),0,tblMovement[[#This Row],[Tonnes_t]]*tblMovement[[#This Row],[Grade_gpt]]/cfg_TroyOz)</f>
        <v/>
      </c>
      <c r="O3235" s="59">
        <f>IF(tblMovement[[#This Row],[Is_Ore]]=1,tblMovement[[#This Row],[Contained_oz]],0)</f>
        <v/>
      </c>
    </row>
    <row r="3236">
      <c r="A3236" s="54" t="n"/>
      <c r="B3236" s="61" t="n"/>
      <c r="C3236" s="61" t="n"/>
      <c r="D3236" s="61" t="n"/>
      <c r="E3236" s="61" t="n"/>
      <c r="F3236" s="55" t="n"/>
      <c r="G3236" s="56" t="n"/>
      <c r="H3236" s="55" t="n"/>
      <c r="I3236" s="62" t="n"/>
      <c r="J3236" s="58" t="n"/>
      <c r="K3236" s="63">
        <f>IF(tblMovement[[#This Row],[Source]]="","",IFERROR(INDEX(tblSources[Type],MATCH(tblMovement[[#This Row],[Source]],tblSources[Source],0)),"?"))</f>
        <v/>
      </c>
      <c r="L3236" s="63">
        <f>IF(tblMovement[[#This Row],[Destination]]="","",IFERROR(INDEX(tblDestinations[Type],MATCH(tblMovement[[#This Row],[Destination]],tblDestinations[Destination],0)),"?"))</f>
        <v/>
      </c>
      <c r="M3236" s="64">
        <f>IF(tblMovement[[#This Row],[Material]]="","",IF(LEFT(tblMovement[[#This Row],[Material]],3)="Ore",1,0))</f>
        <v/>
      </c>
      <c r="N3236" s="59">
        <f>IF(OR(tblMovement[[#This Row],[Tonnes_t]]="",tblMovement[[#This Row],[Grade_gpt]]=""),0,tblMovement[[#This Row],[Tonnes_t]]*tblMovement[[#This Row],[Grade_gpt]]/cfg_TroyOz)</f>
        <v/>
      </c>
      <c r="O3236" s="59">
        <f>IF(tblMovement[[#This Row],[Is_Ore]]=1,tblMovement[[#This Row],[Contained_oz]],0)</f>
        <v/>
      </c>
    </row>
    <row r="3237">
      <c r="A3237" s="54" t="n"/>
      <c r="B3237" s="61" t="n"/>
      <c r="C3237" s="61" t="n"/>
      <c r="D3237" s="61" t="n"/>
      <c r="E3237" s="61" t="n"/>
      <c r="F3237" s="55" t="n"/>
      <c r="G3237" s="56" t="n"/>
      <c r="H3237" s="55" t="n"/>
      <c r="I3237" s="62" t="n"/>
      <c r="J3237" s="58" t="n"/>
      <c r="K3237" s="63">
        <f>IF(tblMovement[[#This Row],[Source]]="","",IFERROR(INDEX(tblSources[Type],MATCH(tblMovement[[#This Row],[Source]],tblSources[Source],0)),"?"))</f>
        <v/>
      </c>
      <c r="L3237" s="63">
        <f>IF(tblMovement[[#This Row],[Destination]]="","",IFERROR(INDEX(tblDestinations[Type],MATCH(tblMovement[[#This Row],[Destination]],tblDestinations[Destination],0)),"?"))</f>
        <v/>
      </c>
      <c r="M3237" s="64">
        <f>IF(tblMovement[[#This Row],[Material]]="","",IF(LEFT(tblMovement[[#This Row],[Material]],3)="Ore",1,0))</f>
        <v/>
      </c>
      <c r="N3237" s="59">
        <f>IF(OR(tblMovement[[#This Row],[Tonnes_t]]="",tblMovement[[#This Row],[Grade_gpt]]=""),0,tblMovement[[#This Row],[Tonnes_t]]*tblMovement[[#This Row],[Grade_gpt]]/cfg_TroyOz)</f>
        <v/>
      </c>
      <c r="O3237" s="59">
        <f>IF(tblMovement[[#This Row],[Is_Ore]]=1,tblMovement[[#This Row],[Contained_oz]],0)</f>
        <v/>
      </c>
    </row>
    <row r="3238">
      <c r="A3238" s="54" t="n"/>
      <c r="B3238" s="61" t="n"/>
      <c r="C3238" s="61" t="n"/>
      <c r="D3238" s="61" t="n"/>
      <c r="E3238" s="61" t="n"/>
      <c r="F3238" s="55" t="n"/>
      <c r="G3238" s="56" t="n"/>
      <c r="H3238" s="55" t="n"/>
      <c r="I3238" s="62" t="n"/>
      <c r="J3238" s="58" t="n"/>
      <c r="K3238" s="63">
        <f>IF(tblMovement[[#This Row],[Source]]="","",IFERROR(INDEX(tblSources[Type],MATCH(tblMovement[[#This Row],[Source]],tblSources[Source],0)),"?"))</f>
        <v/>
      </c>
      <c r="L3238" s="63">
        <f>IF(tblMovement[[#This Row],[Destination]]="","",IFERROR(INDEX(tblDestinations[Type],MATCH(tblMovement[[#This Row],[Destination]],tblDestinations[Destination],0)),"?"))</f>
        <v/>
      </c>
      <c r="M3238" s="64">
        <f>IF(tblMovement[[#This Row],[Material]]="","",IF(LEFT(tblMovement[[#This Row],[Material]],3)="Ore",1,0))</f>
        <v/>
      </c>
      <c r="N3238" s="59">
        <f>IF(OR(tblMovement[[#This Row],[Tonnes_t]]="",tblMovement[[#This Row],[Grade_gpt]]=""),0,tblMovement[[#This Row],[Tonnes_t]]*tblMovement[[#This Row],[Grade_gpt]]/cfg_TroyOz)</f>
        <v/>
      </c>
      <c r="O3238" s="59">
        <f>IF(tblMovement[[#This Row],[Is_Ore]]=1,tblMovement[[#This Row],[Contained_oz]],0)</f>
        <v/>
      </c>
    </row>
    <row r="3239">
      <c r="A3239" s="54" t="n"/>
      <c r="B3239" s="61" t="n"/>
      <c r="C3239" s="61" t="n"/>
      <c r="D3239" s="61" t="n"/>
      <c r="E3239" s="61" t="n"/>
      <c r="F3239" s="55" t="n"/>
      <c r="G3239" s="56" t="n"/>
      <c r="H3239" s="55" t="n"/>
      <c r="I3239" s="62" t="n"/>
      <c r="J3239" s="58" t="n"/>
      <c r="K3239" s="63">
        <f>IF(tblMovement[[#This Row],[Source]]="","",IFERROR(INDEX(tblSources[Type],MATCH(tblMovement[[#This Row],[Source]],tblSources[Source],0)),"?"))</f>
        <v/>
      </c>
      <c r="L3239" s="63">
        <f>IF(tblMovement[[#This Row],[Destination]]="","",IFERROR(INDEX(tblDestinations[Type],MATCH(tblMovement[[#This Row],[Destination]],tblDestinations[Destination],0)),"?"))</f>
        <v/>
      </c>
      <c r="M3239" s="64">
        <f>IF(tblMovement[[#This Row],[Material]]="","",IF(LEFT(tblMovement[[#This Row],[Material]],3)="Ore",1,0))</f>
        <v/>
      </c>
      <c r="N3239" s="59">
        <f>IF(OR(tblMovement[[#This Row],[Tonnes_t]]="",tblMovement[[#This Row],[Grade_gpt]]=""),0,tblMovement[[#This Row],[Tonnes_t]]*tblMovement[[#This Row],[Grade_gpt]]/cfg_TroyOz)</f>
        <v/>
      </c>
      <c r="O3239" s="59">
        <f>IF(tblMovement[[#This Row],[Is_Ore]]=1,tblMovement[[#This Row],[Contained_oz]],0)</f>
        <v/>
      </c>
    </row>
    <row r="3240">
      <c r="A3240" s="54" t="n"/>
      <c r="B3240" s="61" t="n"/>
      <c r="C3240" s="61" t="n"/>
      <c r="D3240" s="61" t="n"/>
      <c r="E3240" s="61" t="n"/>
      <c r="F3240" s="55" t="n"/>
      <c r="G3240" s="56" t="n"/>
      <c r="H3240" s="55" t="n"/>
      <c r="I3240" s="62" t="n"/>
      <c r="J3240" s="58" t="n"/>
      <c r="K3240" s="63">
        <f>IF(tblMovement[[#This Row],[Source]]="","",IFERROR(INDEX(tblSources[Type],MATCH(tblMovement[[#This Row],[Source]],tblSources[Source],0)),"?"))</f>
        <v/>
      </c>
      <c r="L3240" s="63">
        <f>IF(tblMovement[[#This Row],[Destination]]="","",IFERROR(INDEX(tblDestinations[Type],MATCH(tblMovement[[#This Row],[Destination]],tblDestinations[Destination],0)),"?"))</f>
        <v/>
      </c>
      <c r="M3240" s="64">
        <f>IF(tblMovement[[#This Row],[Material]]="","",IF(LEFT(tblMovement[[#This Row],[Material]],3)="Ore",1,0))</f>
        <v/>
      </c>
      <c r="N3240" s="59">
        <f>IF(OR(tblMovement[[#This Row],[Tonnes_t]]="",tblMovement[[#This Row],[Grade_gpt]]=""),0,tblMovement[[#This Row],[Tonnes_t]]*tblMovement[[#This Row],[Grade_gpt]]/cfg_TroyOz)</f>
        <v/>
      </c>
      <c r="O3240" s="59">
        <f>IF(tblMovement[[#This Row],[Is_Ore]]=1,tblMovement[[#This Row],[Contained_oz]],0)</f>
        <v/>
      </c>
    </row>
    <row r="3241">
      <c r="A3241" s="54" t="n"/>
      <c r="B3241" s="61" t="n"/>
      <c r="C3241" s="61" t="n"/>
      <c r="D3241" s="61" t="n"/>
      <c r="E3241" s="61" t="n"/>
      <c r="F3241" s="55" t="n"/>
      <c r="G3241" s="56" t="n"/>
      <c r="H3241" s="55" t="n"/>
      <c r="I3241" s="62" t="n"/>
      <c r="J3241" s="58" t="n"/>
      <c r="K3241" s="63">
        <f>IF(tblMovement[[#This Row],[Source]]="","",IFERROR(INDEX(tblSources[Type],MATCH(tblMovement[[#This Row],[Source]],tblSources[Source],0)),"?"))</f>
        <v/>
      </c>
      <c r="L3241" s="63">
        <f>IF(tblMovement[[#This Row],[Destination]]="","",IFERROR(INDEX(tblDestinations[Type],MATCH(tblMovement[[#This Row],[Destination]],tblDestinations[Destination],0)),"?"))</f>
        <v/>
      </c>
      <c r="M3241" s="64">
        <f>IF(tblMovement[[#This Row],[Material]]="","",IF(LEFT(tblMovement[[#This Row],[Material]],3)="Ore",1,0))</f>
        <v/>
      </c>
      <c r="N3241" s="59">
        <f>IF(OR(tblMovement[[#This Row],[Tonnes_t]]="",tblMovement[[#This Row],[Grade_gpt]]=""),0,tblMovement[[#This Row],[Tonnes_t]]*tblMovement[[#This Row],[Grade_gpt]]/cfg_TroyOz)</f>
        <v/>
      </c>
      <c r="O3241" s="59">
        <f>IF(tblMovement[[#This Row],[Is_Ore]]=1,tblMovement[[#This Row],[Contained_oz]],0)</f>
        <v/>
      </c>
    </row>
    <row r="3242">
      <c r="A3242" s="54" t="n"/>
      <c r="B3242" s="61" t="n"/>
      <c r="C3242" s="61" t="n"/>
      <c r="D3242" s="61" t="n"/>
      <c r="E3242" s="61" t="n"/>
      <c r="F3242" s="55" t="n"/>
      <c r="G3242" s="56" t="n"/>
      <c r="H3242" s="55" t="n"/>
      <c r="I3242" s="62" t="n"/>
      <c r="J3242" s="58" t="n"/>
      <c r="K3242" s="63">
        <f>IF(tblMovement[[#This Row],[Source]]="","",IFERROR(INDEX(tblSources[Type],MATCH(tblMovement[[#This Row],[Source]],tblSources[Source],0)),"?"))</f>
        <v/>
      </c>
      <c r="L3242" s="63">
        <f>IF(tblMovement[[#This Row],[Destination]]="","",IFERROR(INDEX(tblDestinations[Type],MATCH(tblMovement[[#This Row],[Destination]],tblDestinations[Destination],0)),"?"))</f>
        <v/>
      </c>
      <c r="M3242" s="64">
        <f>IF(tblMovement[[#This Row],[Material]]="","",IF(LEFT(tblMovement[[#This Row],[Material]],3)="Ore",1,0))</f>
        <v/>
      </c>
      <c r="N3242" s="59">
        <f>IF(OR(tblMovement[[#This Row],[Tonnes_t]]="",tblMovement[[#This Row],[Grade_gpt]]=""),0,tblMovement[[#This Row],[Tonnes_t]]*tblMovement[[#This Row],[Grade_gpt]]/cfg_TroyOz)</f>
        <v/>
      </c>
      <c r="O3242" s="59">
        <f>IF(tblMovement[[#This Row],[Is_Ore]]=1,tblMovement[[#This Row],[Contained_oz]],0)</f>
        <v/>
      </c>
    </row>
    <row r="3243">
      <c r="A3243" s="54" t="n"/>
      <c r="B3243" s="61" t="n"/>
      <c r="C3243" s="61" t="n"/>
      <c r="D3243" s="61" t="n"/>
      <c r="E3243" s="61" t="n"/>
      <c r="F3243" s="55" t="n"/>
      <c r="G3243" s="56" t="n"/>
      <c r="H3243" s="55" t="n"/>
      <c r="I3243" s="62" t="n"/>
      <c r="J3243" s="58" t="n"/>
      <c r="K3243" s="63">
        <f>IF(tblMovement[[#This Row],[Source]]="","",IFERROR(INDEX(tblSources[Type],MATCH(tblMovement[[#This Row],[Source]],tblSources[Source],0)),"?"))</f>
        <v/>
      </c>
      <c r="L3243" s="63">
        <f>IF(tblMovement[[#This Row],[Destination]]="","",IFERROR(INDEX(tblDestinations[Type],MATCH(tblMovement[[#This Row],[Destination]],tblDestinations[Destination],0)),"?"))</f>
        <v/>
      </c>
      <c r="M3243" s="64">
        <f>IF(tblMovement[[#This Row],[Material]]="","",IF(LEFT(tblMovement[[#This Row],[Material]],3)="Ore",1,0))</f>
        <v/>
      </c>
      <c r="N3243" s="59">
        <f>IF(OR(tblMovement[[#This Row],[Tonnes_t]]="",tblMovement[[#This Row],[Grade_gpt]]=""),0,tblMovement[[#This Row],[Tonnes_t]]*tblMovement[[#This Row],[Grade_gpt]]/cfg_TroyOz)</f>
        <v/>
      </c>
      <c r="O3243" s="59">
        <f>IF(tblMovement[[#This Row],[Is_Ore]]=1,tblMovement[[#This Row],[Contained_oz]],0)</f>
        <v/>
      </c>
    </row>
    <row r="3244">
      <c r="A3244" s="54" t="n"/>
      <c r="B3244" s="61" t="n"/>
      <c r="C3244" s="61" t="n"/>
      <c r="D3244" s="61" t="n"/>
      <c r="E3244" s="61" t="n"/>
      <c r="F3244" s="55" t="n"/>
      <c r="G3244" s="56" t="n"/>
      <c r="H3244" s="55" t="n"/>
      <c r="I3244" s="62" t="n"/>
      <c r="J3244" s="58" t="n"/>
      <c r="K3244" s="63">
        <f>IF(tblMovement[[#This Row],[Source]]="","",IFERROR(INDEX(tblSources[Type],MATCH(tblMovement[[#This Row],[Source]],tblSources[Source],0)),"?"))</f>
        <v/>
      </c>
      <c r="L3244" s="63">
        <f>IF(tblMovement[[#This Row],[Destination]]="","",IFERROR(INDEX(tblDestinations[Type],MATCH(tblMovement[[#This Row],[Destination]],tblDestinations[Destination],0)),"?"))</f>
        <v/>
      </c>
      <c r="M3244" s="64">
        <f>IF(tblMovement[[#This Row],[Material]]="","",IF(LEFT(tblMovement[[#This Row],[Material]],3)="Ore",1,0))</f>
        <v/>
      </c>
      <c r="N3244" s="59">
        <f>IF(OR(tblMovement[[#This Row],[Tonnes_t]]="",tblMovement[[#This Row],[Grade_gpt]]=""),0,tblMovement[[#This Row],[Tonnes_t]]*tblMovement[[#This Row],[Grade_gpt]]/cfg_TroyOz)</f>
        <v/>
      </c>
      <c r="O3244" s="59">
        <f>IF(tblMovement[[#This Row],[Is_Ore]]=1,tblMovement[[#This Row],[Contained_oz]],0)</f>
        <v/>
      </c>
    </row>
    <row r="3245">
      <c r="A3245" s="54" t="n"/>
      <c r="B3245" s="61" t="n"/>
      <c r="C3245" s="61" t="n"/>
      <c r="D3245" s="61" t="n"/>
      <c r="E3245" s="61" t="n"/>
      <c r="F3245" s="55" t="n"/>
      <c r="G3245" s="56" t="n"/>
      <c r="H3245" s="55" t="n"/>
      <c r="I3245" s="62" t="n"/>
      <c r="J3245" s="58" t="n"/>
      <c r="K3245" s="63">
        <f>IF(tblMovement[[#This Row],[Source]]="","",IFERROR(INDEX(tblSources[Type],MATCH(tblMovement[[#This Row],[Source]],tblSources[Source],0)),"?"))</f>
        <v/>
      </c>
      <c r="L3245" s="63">
        <f>IF(tblMovement[[#This Row],[Destination]]="","",IFERROR(INDEX(tblDestinations[Type],MATCH(tblMovement[[#This Row],[Destination]],tblDestinations[Destination],0)),"?"))</f>
        <v/>
      </c>
      <c r="M3245" s="64">
        <f>IF(tblMovement[[#This Row],[Material]]="","",IF(LEFT(tblMovement[[#This Row],[Material]],3)="Ore",1,0))</f>
        <v/>
      </c>
      <c r="N3245" s="59">
        <f>IF(OR(tblMovement[[#This Row],[Tonnes_t]]="",tblMovement[[#This Row],[Grade_gpt]]=""),0,tblMovement[[#This Row],[Tonnes_t]]*tblMovement[[#This Row],[Grade_gpt]]/cfg_TroyOz)</f>
        <v/>
      </c>
      <c r="O3245" s="59">
        <f>IF(tblMovement[[#This Row],[Is_Ore]]=1,tblMovement[[#This Row],[Contained_oz]],0)</f>
        <v/>
      </c>
    </row>
    <row r="3246">
      <c r="A3246" s="54" t="n"/>
      <c r="B3246" s="61" t="n"/>
      <c r="C3246" s="61" t="n"/>
      <c r="D3246" s="61" t="n"/>
      <c r="E3246" s="61" t="n"/>
      <c r="F3246" s="55" t="n"/>
      <c r="G3246" s="56" t="n"/>
      <c r="H3246" s="55" t="n"/>
      <c r="I3246" s="62" t="n"/>
      <c r="J3246" s="58" t="n"/>
      <c r="K3246" s="63">
        <f>IF(tblMovement[[#This Row],[Source]]="","",IFERROR(INDEX(tblSources[Type],MATCH(tblMovement[[#This Row],[Source]],tblSources[Source],0)),"?"))</f>
        <v/>
      </c>
      <c r="L3246" s="63">
        <f>IF(tblMovement[[#This Row],[Destination]]="","",IFERROR(INDEX(tblDestinations[Type],MATCH(tblMovement[[#This Row],[Destination]],tblDestinations[Destination],0)),"?"))</f>
        <v/>
      </c>
      <c r="M3246" s="64">
        <f>IF(tblMovement[[#This Row],[Material]]="","",IF(LEFT(tblMovement[[#This Row],[Material]],3)="Ore",1,0))</f>
        <v/>
      </c>
      <c r="N3246" s="59">
        <f>IF(OR(tblMovement[[#This Row],[Tonnes_t]]="",tblMovement[[#This Row],[Grade_gpt]]=""),0,tblMovement[[#This Row],[Tonnes_t]]*tblMovement[[#This Row],[Grade_gpt]]/cfg_TroyOz)</f>
        <v/>
      </c>
      <c r="O3246" s="59">
        <f>IF(tblMovement[[#This Row],[Is_Ore]]=1,tblMovement[[#This Row],[Contained_oz]],0)</f>
        <v/>
      </c>
    </row>
    <row r="3247">
      <c r="A3247" s="54" t="n"/>
      <c r="B3247" s="61" t="n"/>
      <c r="C3247" s="61" t="n"/>
      <c r="D3247" s="61" t="n"/>
      <c r="E3247" s="61" t="n"/>
      <c r="F3247" s="55" t="n"/>
      <c r="G3247" s="56" t="n"/>
      <c r="H3247" s="55" t="n"/>
      <c r="I3247" s="62" t="n"/>
      <c r="J3247" s="58" t="n"/>
      <c r="K3247" s="63">
        <f>IF(tblMovement[[#This Row],[Source]]="","",IFERROR(INDEX(tblSources[Type],MATCH(tblMovement[[#This Row],[Source]],tblSources[Source],0)),"?"))</f>
        <v/>
      </c>
      <c r="L3247" s="63">
        <f>IF(tblMovement[[#This Row],[Destination]]="","",IFERROR(INDEX(tblDestinations[Type],MATCH(tblMovement[[#This Row],[Destination]],tblDestinations[Destination],0)),"?"))</f>
        <v/>
      </c>
      <c r="M3247" s="64">
        <f>IF(tblMovement[[#This Row],[Material]]="","",IF(LEFT(tblMovement[[#This Row],[Material]],3)="Ore",1,0))</f>
        <v/>
      </c>
      <c r="N3247" s="59">
        <f>IF(OR(tblMovement[[#This Row],[Tonnes_t]]="",tblMovement[[#This Row],[Grade_gpt]]=""),0,tblMovement[[#This Row],[Tonnes_t]]*tblMovement[[#This Row],[Grade_gpt]]/cfg_TroyOz)</f>
        <v/>
      </c>
      <c r="O3247" s="59">
        <f>IF(tblMovement[[#This Row],[Is_Ore]]=1,tblMovement[[#This Row],[Contained_oz]],0)</f>
        <v/>
      </c>
    </row>
    <row r="3248">
      <c r="A3248" s="54" t="n"/>
      <c r="B3248" s="61" t="n"/>
      <c r="C3248" s="61" t="n"/>
      <c r="D3248" s="61" t="n"/>
      <c r="E3248" s="61" t="n"/>
      <c r="F3248" s="55" t="n"/>
      <c r="G3248" s="56" t="n"/>
      <c r="H3248" s="55" t="n"/>
      <c r="I3248" s="62" t="n"/>
      <c r="J3248" s="58" t="n"/>
      <c r="K3248" s="63">
        <f>IF(tblMovement[[#This Row],[Source]]="","",IFERROR(INDEX(tblSources[Type],MATCH(tblMovement[[#This Row],[Source]],tblSources[Source],0)),"?"))</f>
        <v/>
      </c>
      <c r="L3248" s="63">
        <f>IF(tblMovement[[#This Row],[Destination]]="","",IFERROR(INDEX(tblDestinations[Type],MATCH(tblMovement[[#This Row],[Destination]],tblDestinations[Destination],0)),"?"))</f>
        <v/>
      </c>
      <c r="M3248" s="64">
        <f>IF(tblMovement[[#This Row],[Material]]="","",IF(LEFT(tblMovement[[#This Row],[Material]],3)="Ore",1,0))</f>
        <v/>
      </c>
      <c r="N3248" s="59">
        <f>IF(OR(tblMovement[[#This Row],[Tonnes_t]]="",tblMovement[[#This Row],[Grade_gpt]]=""),0,tblMovement[[#This Row],[Tonnes_t]]*tblMovement[[#This Row],[Grade_gpt]]/cfg_TroyOz)</f>
        <v/>
      </c>
      <c r="O3248" s="59">
        <f>IF(tblMovement[[#This Row],[Is_Ore]]=1,tblMovement[[#This Row],[Contained_oz]],0)</f>
        <v/>
      </c>
    </row>
    <row r="3249">
      <c r="A3249" s="54" t="n"/>
      <c r="B3249" s="61" t="n"/>
      <c r="C3249" s="61" t="n"/>
      <c r="D3249" s="61" t="n"/>
      <c r="E3249" s="61" t="n"/>
      <c r="F3249" s="55" t="n"/>
      <c r="G3249" s="56" t="n"/>
      <c r="H3249" s="55" t="n"/>
      <c r="I3249" s="62" t="n"/>
      <c r="J3249" s="58" t="n"/>
      <c r="K3249" s="63">
        <f>IF(tblMovement[[#This Row],[Source]]="","",IFERROR(INDEX(tblSources[Type],MATCH(tblMovement[[#This Row],[Source]],tblSources[Source],0)),"?"))</f>
        <v/>
      </c>
      <c r="L3249" s="63">
        <f>IF(tblMovement[[#This Row],[Destination]]="","",IFERROR(INDEX(tblDestinations[Type],MATCH(tblMovement[[#This Row],[Destination]],tblDestinations[Destination],0)),"?"))</f>
        <v/>
      </c>
      <c r="M3249" s="64">
        <f>IF(tblMovement[[#This Row],[Material]]="","",IF(LEFT(tblMovement[[#This Row],[Material]],3)="Ore",1,0))</f>
        <v/>
      </c>
      <c r="N3249" s="59">
        <f>IF(OR(tblMovement[[#This Row],[Tonnes_t]]="",tblMovement[[#This Row],[Grade_gpt]]=""),0,tblMovement[[#This Row],[Tonnes_t]]*tblMovement[[#This Row],[Grade_gpt]]/cfg_TroyOz)</f>
        <v/>
      </c>
      <c r="O3249" s="59">
        <f>IF(tblMovement[[#This Row],[Is_Ore]]=1,tblMovement[[#This Row],[Contained_oz]],0)</f>
        <v/>
      </c>
    </row>
    <row r="3250">
      <c r="A3250" s="54" t="n"/>
      <c r="B3250" s="61" t="n"/>
      <c r="C3250" s="61" t="n"/>
      <c r="D3250" s="61" t="n"/>
      <c r="E3250" s="61" t="n"/>
      <c r="F3250" s="55" t="n"/>
      <c r="G3250" s="56" t="n"/>
      <c r="H3250" s="55" t="n"/>
      <c r="I3250" s="62" t="n"/>
      <c r="J3250" s="58" t="n"/>
      <c r="K3250" s="63">
        <f>IF(tblMovement[[#This Row],[Source]]="","",IFERROR(INDEX(tblSources[Type],MATCH(tblMovement[[#This Row],[Source]],tblSources[Source],0)),"?"))</f>
        <v/>
      </c>
      <c r="L3250" s="63">
        <f>IF(tblMovement[[#This Row],[Destination]]="","",IFERROR(INDEX(tblDestinations[Type],MATCH(tblMovement[[#This Row],[Destination]],tblDestinations[Destination],0)),"?"))</f>
        <v/>
      </c>
      <c r="M3250" s="64">
        <f>IF(tblMovement[[#This Row],[Material]]="","",IF(LEFT(tblMovement[[#This Row],[Material]],3)="Ore",1,0))</f>
        <v/>
      </c>
      <c r="N3250" s="59">
        <f>IF(OR(tblMovement[[#This Row],[Tonnes_t]]="",tblMovement[[#This Row],[Grade_gpt]]=""),0,tblMovement[[#This Row],[Tonnes_t]]*tblMovement[[#This Row],[Grade_gpt]]/cfg_TroyOz)</f>
        <v/>
      </c>
      <c r="O3250" s="59">
        <f>IF(tblMovement[[#This Row],[Is_Ore]]=1,tblMovement[[#This Row],[Contained_oz]],0)</f>
        <v/>
      </c>
    </row>
    <row r="3251">
      <c r="A3251" s="54" t="n"/>
      <c r="B3251" s="61" t="n"/>
      <c r="C3251" s="61" t="n"/>
      <c r="D3251" s="61" t="n"/>
      <c r="E3251" s="61" t="n"/>
      <c r="F3251" s="55" t="n"/>
      <c r="G3251" s="56" t="n"/>
      <c r="H3251" s="55" t="n"/>
      <c r="I3251" s="62" t="n"/>
      <c r="J3251" s="58" t="n"/>
      <c r="K3251" s="63">
        <f>IF(tblMovement[[#This Row],[Source]]="","",IFERROR(INDEX(tblSources[Type],MATCH(tblMovement[[#This Row],[Source]],tblSources[Source],0)),"?"))</f>
        <v/>
      </c>
      <c r="L3251" s="63">
        <f>IF(tblMovement[[#This Row],[Destination]]="","",IFERROR(INDEX(tblDestinations[Type],MATCH(tblMovement[[#This Row],[Destination]],tblDestinations[Destination],0)),"?"))</f>
        <v/>
      </c>
      <c r="M3251" s="64">
        <f>IF(tblMovement[[#This Row],[Material]]="","",IF(LEFT(tblMovement[[#This Row],[Material]],3)="Ore",1,0))</f>
        <v/>
      </c>
      <c r="N3251" s="59">
        <f>IF(OR(tblMovement[[#This Row],[Tonnes_t]]="",tblMovement[[#This Row],[Grade_gpt]]=""),0,tblMovement[[#This Row],[Tonnes_t]]*tblMovement[[#This Row],[Grade_gpt]]/cfg_TroyOz)</f>
        <v/>
      </c>
      <c r="O3251" s="59">
        <f>IF(tblMovement[[#This Row],[Is_Ore]]=1,tblMovement[[#This Row],[Contained_oz]],0)</f>
        <v/>
      </c>
    </row>
    <row r="3252">
      <c r="A3252" s="54" t="n"/>
      <c r="B3252" s="61" t="n"/>
      <c r="C3252" s="61" t="n"/>
      <c r="D3252" s="61" t="n"/>
      <c r="E3252" s="61" t="n"/>
      <c r="F3252" s="55" t="n"/>
      <c r="G3252" s="56" t="n"/>
      <c r="H3252" s="55" t="n"/>
      <c r="I3252" s="62" t="n"/>
      <c r="J3252" s="58" t="n"/>
      <c r="K3252" s="63">
        <f>IF(tblMovement[[#This Row],[Source]]="","",IFERROR(INDEX(tblSources[Type],MATCH(tblMovement[[#This Row],[Source]],tblSources[Source],0)),"?"))</f>
        <v/>
      </c>
      <c r="L3252" s="63">
        <f>IF(tblMovement[[#This Row],[Destination]]="","",IFERROR(INDEX(tblDestinations[Type],MATCH(tblMovement[[#This Row],[Destination]],tblDestinations[Destination],0)),"?"))</f>
        <v/>
      </c>
      <c r="M3252" s="64">
        <f>IF(tblMovement[[#This Row],[Material]]="","",IF(LEFT(tblMovement[[#This Row],[Material]],3)="Ore",1,0))</f>
        <v/>
      </c>
      <c r="N3252" s="59">
        <f>IF(OR(tblMovement[[#This Row],[Tonnes_t]]="",tblMovement[[#This Row],[Grade_gpt]]=""),0,tblMovement[[#This Row],[Tonnes_t]]*tblMovement[[#This Row],[Grade_gpt]]/cfg_TroyOz)</f>
        <v/>
      </c>
      <c r="O3252" s="59">
        <f>IF(tblMovement[[#This Row],[Is_Ore]]=1,tblMovement[[#This Row],[Contained_oz]],0)</f>
        <v/>
      </c>
    </row>
    <row r="3253">
      <c r="A3253" s="54" t="n"/>
      <c r="B3253" s="61" t="n"/>
      <c r="C3253" s="61" t="n"/>
      <c r="D3253" s="61" t="n"/>
      <c r="E3253" s="61" t="n"/>
      <c r="F3253" s="55" t="n"/>
      <c r="G3253" s="56" t="n"/>
      <c r="H3253" s="55" t="n"/>
      <c r="I3253" s="62" t="n"/>
      <c r="J3253" s="58" t="n"/>
      <c r="K3253" s="63">
        <f>IF(tblMovement[[#This Row],[Source]]="","",IFERROR(INDEX(tblSources[Type],MATCH(tblMovement[[#This Row],[Source]],tblSources[Source],0)),"?"))</f>
        <v/>
      </c>
      <c r="L3253" s="63">
        <f>IF(tblMovement[[#This Row],[Destination]]="","",IFERROR(INDEX(tblDestinations[Type],MATCH(tblMovement[[#This Row],[Destination]],tblDestinations[Destination],0)),"?"))</f>
        <v/>
      </c>
      <c r="M3253" s="64">
        <f>IF(tblMovement[[#This Row],[Material]]="","",IF(LEFT(tblMovement[[#This Row],[Material]],3)="Ore",1,0))</f>
        <v/>
      </c>
      <c r="N3253" s="59">
        <f>IF(OR(tblMovement[[#This Row],[Tonnes_t]]="",tblMovement[[#This Row],[Grade_gpt]]=""),0,tblMovement[[#This Row],[Tonnes_t]]*tblMovement[[#This Row],[Grade_gpt]]/cfg_TroyOz)</f>
        <v/>
      </c>
      <c r="O3253" s="59">
        <f>IF(tblMovement[[#This Row],[Is_Ore]]=1,tblMovement[[#This Row],[Contained_oz]],0)</f>
        <v/>
      </c>
    </row>
    <row r="3254">
      <c r="A3254" s="54" t="n"/>
      <c r="B3254" s="61" t="n"/>
      <c r="C3254" s="61" t="n"/>
      <c r="D3254" s="61" t="n"/>
      <c r="E3254" s="61" t="n"/>
      <c r="F3254" s="55" t="n"/>
      <c r="G3254" s="56" t="n"/>
      <c r="H3254" s="55" t="n"/>
      <c r="I3254" s="62" t="n"/>
      <c r="J3254" s="58" t="n"/>
      <c r="K3254" s="63">
        <f>IF(tblMovement[[#This Row],[Source]]="","",IFERROR(INDEX(tblSources[Type],MATCH(tblMovement[[#This Row],[Source]],tblSources[Source],0)),"?"))</f>
        <v/>
      </c>
      <c r="L3254" s="63">
        <f>IF(tblMovement[[#This Row],[Destination]]="","",IFERROR(INDEX(tblDestinations[Type],MATCH(tblMovement[[#This Row],[Destination]],tblDestinations[Destination],0)),"?"))</f>
        <v/>
      </c>
      <c r="M3254" s="64">
        <f>IF(tblMovement[[#This Row],[Material]]="","",IF(LEFT(tblMovement[[#This Row],[Material]],3)="Ore",1,0))</f>
        <v/>
      </c>
      <c r="N3254" s="59">
        <f>IF(OR(tblMovement[[#This Row],[Tonnes_t]]="",tblMovement[[#This Row],[Grade_gpt]]=""),0,tblMovement[[#This Row],[Tonnes_t]]*tblMovement[[#This Row],[Grade_gpt]]/cfg_TroyOz)</f>
        <v/>
      </c>
      <c r="O3254" s="59">
        <f>IF(tblMovement[[#This Row],[Is_Ore]]=1,tblMovement[[#This Row],[Contained_oz]],0)</f>
        <v/>
      </c>
    </row>
    <row r="3255">
      <c r="A3255" s="54" t="n"/>
      <c r="B3255" s="61" t="n"/>
      <c r="C3255" s="61" t="n"/>
      <c r="D3255" s="61" t="n"/>
      <c r="E3255" s="61" t="n"/>
      <c r="F3255" s="55" t="n"/>
      <c r="G3255" s="56" t="n"/>
      <c r="H3255" s="55" t="n"/>
      <c r="I3255" s="62" t="n"/>
      <c r="J3255" s="58" t="n"/>
      <c r="K3255" s="63">
        <f>IF(tblMovement[[#This Row],[Source]]="","",IFERROR(INDEX(tblSources[Type],MATCH(tblMovement[[#This Row],[Source]],tblSources[Source],0)),"?"))</f>
        <v/>
      </c>
      <c r="L3255" s="63">
        <f>IF(tblMovement[[#This Row],[Destination]]="","",IFERROR(INDEX(tblDestinations[Type],MATCH(tblMovement[[#This Row],[Destination]],tblDestinations[Destination],0)),"?"))</f>
        <v/>
      </c>
      <c r="M3255" s="64">
        <f>IF(tblMovement[[#This Row],[Material]]="","",IF(LEFT(tblMovement[[#This Row],[Material]],3)="Ore",1,0))</f>
        <v/>
      </c>
      <c r="N3255" s="59">
        <f>IF(OR(tblMovement[[#This Row],[Tonnes_t]]="",tblMovement[[#This Row],[Grade_gpt]]=""),0,tblMovement[[#This Row],[Tonnes_t]]*tblMovement[[#This Row],[Grade_gpt]]/cfg_TroyOz)</f>
        <v/>
      </c>
      <c r="O3255" s="59">
        <f>IF(tblMovement[[#This Row],[Is_Ore]]=1,tblMovement[[#This Row],[Contained_oz]],0)</f>
        <v/>
      </c>
    </row>
    <row r="3256">
      <c r="A3256" s="54" t="n"/>
      <c r="B3256" s="61" t="n"/>
      <c r="C3256" s="61" t="n"/>
      <c r="D3256" s="61" t="n"/>
      <c r="E3256" s="61" t="n"/>
      <c r="F3256" s="55" t="n"/>
      <c r="G3256" s="56" t="n"/>
      <c r="H3256" s="55" t="n"/>
      <c r="I3256" s="62" t="n"/>
      <c r="J3256" s="58" t="n"/>
      <c r="K3256" s="63">
        <f>IF(tblMovement[[#This Row],[Source]]="","",IFERROR(INDEX(tblSources[Type],MATCH(tblMovement[[#This Row],[Source]],tblSources[Source],0)),"?"))</f>
        <v/>
      </c>
      <c r="L3256" s="63">
        <f>IF(tblMovement[[#This Row],[Destination]]="","",IFERROR(INDEX(tblDestinations[Type],MATCH(tblMovement[[#This Row],[Destination]],tblDestinations[Destination],0)),"?"))</f>
        <v/>
      </c>
      <c r="M3256" s="64">
        <f>IF(tblMovement[[#This Row],[Material]]="","",IF(LEFT(tblMovement[[#This Row],[Material]],3)="Ore",1,0))</f>
        <v/>
      </c>
      <c r="N3256" s="59">
        <f>IF(OR(tblMovement[[#This Row],[Tonnes_t]]="",tblMovement[[#This Row],[Grade_gpt]]=""),0,tblMovement[[#This Row],[Tonnes_t]]*tblMovement[[#This Row],[Grade_gpt]]/cfg_TroyOz)</f>
        <v/>
      </c>
      <c r="O3256" s="59">
        <f>IF(tblMovement[[#This Row],[Is_Ore]]=1,tblMovement[[#This Row],[Contained_oz]],0)</f>
        <v/>
      </c>
    </row>
    <row r="3257">
      <c r="A3257" s="54" t="n"/>
      <c r="B3257" s="61" t="n"/>
      <c r="C3257" s="61" t="n"/>
      <c r="D3257" s="61" t="n"/>
      <c r="E3257" s="61" t="n"/>
      <c r="F3257" s="55" t="n"/>
      <c r="G3257" s="56" t="n"/>
      <c r="H3257" s="55" t="n"/>
      <c r="I3257" s="62" t="n"/>
      <c r="J3257" s="58" t="n"/>
      <c r="K3257" s="63">
        <f>IF(tblMovement[[#This Row],[Source]]="","",IFERROR(INDEX(tblSources[Type],MATCH(tblMovement[[#This Row],[Source]],tblSources[Source],0)),"?"))</f>
        <v/>
      </c>
      <c r="L3257" s="63">
        <f>IF(tblMovement[[#This Row],[Destination]]="","",IFERROR(INDEX(tblDestinations[Type],MATCH(tblMovement[[#This Row],[Destination]],tblDestinations[Destination],0)),"?"))</f>
        <v/>
      </c>
      <c r="M3257" s="64">
        <f>IF(tblMovement[[#This Row],[Material]]="","",IF(LEFT(tblMovement[[#This Row],[Material]],3)="Ore",1,0))</f>
        <v/>
      </c>
      <c r="N3257" s="59">
        <f>IF(OR(tblMovement[[#This Row],[Tonnes_t]]="",tblMovement[[#This Row],[Grade_gpt]]=""),0,tblMovement[[#This Row],[Tonnes_t]]*tblMovement[[#This Row],[Grade_gpt]]/cfg_TroyOz)</f>
        <v/>
      </c>
      <c r="O3257" s="59">
        <f>IF(tblMovement[[#This Row],[Is_Ore]]=1,tblMovement[[#This Row],[Contained_oz]],0)</f>
        <v/>
      </c>
    </row>
    <row r="3258">
      <c r="A3258" s="54" t="n"/>
      <c r="B3258" s="61" t="n"/>
      <c r="C3258" s="61" t="n"/>
      <c r="D3258" s="61" t="n"/>
      <c r="E3258" s="61" t="n"/>
      <c r="F3258" s="55" t="n"/>
      <c r="G3258" s="56" t="n"/>
      <c r="H3258" s="55" t="n"/>
      <c r="I3258" s="62" t="n"/>
      <c r="J3258" s="58" t="n"/>
      <c r="K3258" s="63">
        <f>IF(tblMovement[[#This Row],[Source]]="","",IFERROR(INDEX(tblSources[Type],MATCH(tblMovement[[#This Row],[Source]],tblSources[Source],0)),"?"))</f>
        <v/>
      </c>
      <c r="L3258" s="63">
        <f>IF(tblMovement[[#This Row],[Destination]]="","",IFERROR(INDEX(tblDestinations[Type],MATCH(tblMovement[[#This Row],[Destination]],tblDestinations[Destination],0)),"?"))</f>
        <v/>
      </c>
      <c r="M3258" s="64">
        <f>IF(tblMovement[[#This Row],[Material]]="","",IF(LEFT(tblMovement[[#This Row],[Material]],3)="Ore",1,0))</f>
        <v/>
      </c>
      <c r="N3258" s="59">
        <f>IF(OR(tblMovement[[#This Row],[Tonnes_t]]="",tblMovement[[#This Row],[Grade_gpt]]=""),0,tblMovement[[#This Row],[Tonnes_t]]*tblMovement[[#This Row],[Grade_gpt]]/cfg_TroyOz)</f>
        <v/>
      </c>
      <c r="O3258" s="59">
        <f>IF(tblMovement[[#This Row],[Is_Ore]]=1,tblMovement[[#This Row],[Contained_oz]],0)</f>
        <v/>
      </c>
    </row>
    <row r="3259">
      <c r="A3259" s="54" t="n"/>
      <c r="B3259" s="61" t="n"/>
      <c r="C3259" s="61" t="n"/>
      <c r="D3259" s="61" t="n"/>
      <c r="E3259" s="61" t="n"/>
      <c r="F3259" s="55" t="n"/>
      <c r="G3259" s="56" t="n"/>
      <c r="H3259" s="55" t="n"/>
      <c r="I3259" s="62" t="n"/>
      <c r="J3259" s="58" t="n"/>
      <c r="K3259" s="63">
        <f>IF(tblMovement[[#This Row],[Source]]="","",IFERROR(INDEX(tblSources[Type],MATCH(tblMovement[[#This Row],[Source]],tblSources[Source],0)),"?"))</f>
        <v/>
      </c>
      <c r="L3259" s="63">
        <f>IF(tblMovement[[#This Row],[Destination]]="","",IFERROR(INDEX(tblDestinations[Type],MATCH(tblMovement[[#This Row],[Destination]],tblDestinations[Destination],0)),"?"))</f>
        <v/>
      </c>
      <c r="M3259" s="64">
        <f>IF(tblMovement[[#This Row],[Material]]="","",IF(LEFT(tblMovement[[#This Row],[Material]],3)="Ore",1,0))</f>
        <v/>
      </c>
      <c r="N3259" s="59">
        <f>IF(OR(tblMovement[[#This Row],[Tonnes_t]]="",tblMovement[[#This Row],[Grade_gpt]]=""),0,tblMovement[[#This Row],[Tonnes_t]]*tblMovement[[#This Row],[Grade_gpt]]/cfg_TroyOz)</f>
        <v/>
      </c>
      <c r="O3259" s="59">
        <f>IF(tblMovement[[#This Row],[Is_Ore]]=1,tblMovement[[#This Row],[Contained_oz]],0)</f>
        <v/>
      </c>
    </row>
    <row r="3260">
      <c r="A3260" s="54" t="n"/>
      <c r="B3260" s="61" t="n"/>
      <c r="C3260" s="61" t="n"/>
      <c r="D3260" s="61" t="n"/>
      <c r="E3260" s="61" t="n"/>
      <c r="F3260" s="55" t="n"/>
      <c r="G3260" s="56" t="n"/>
      <c r="H3260" s="55" t="n"/>
      <c r="I3260" s="62" t="n"/>
      <c r="J3260" s="58" t="n"/>
      <c r="K3260" s="63">
        <f>IF(tblMovement[[#This Row],[Source]]="","",IFERROR(INDEX(tblSources[Type],MATCH(tblMovement[[#This Row],[Source]],tblSources[Source],0)),"?"))</f>
        <v/>
      </c>
      <c r="L3260" s="63">
        <f>IF(tblMovement[[#This Row],[Destination]]="","",IFERROR(INDEX(tblDestinations[Type],MATCH(tblMovement[[#This Row],[Destination]],tblDestinations[Destination],0)),"?"))</f>
        <v/>
      </c>
      <c r="M3260" s="64">
        <f>IF(tblMovement[[#This Row],[Material]]="","",IF(LEFT(tblMovement[[#This Row],[Material]],3)="Ore",1,0))</f>
        <v/>
      </c>
      <c r="N3260" s="59">
        <f>IF(OR(tblMovement[[#This Row],[Tonnes_t]]="",tblMovement[[#This Row],[Grade_gpt]]=""),0,tblMovement[[#This Row],[Tonnes_t]]*tblMovement[[#This Row],[Grade_gpt]]/cfg_TroyOz)</f>
        <v/>
      </c>
      <c r="O3260" s="59">
        <f>IF(tblMovement[[#This Row],[Is_Ore]]=1,tblMovement[[#This Row],[Contained_oz]],0)</f>
        <v/>
      </c>
    </row>
    <row r="3261">
      <c r="A3261" s="54" t="n"/>
      <c r="B3261" s="61" t="n"/>
      <c r="C3261" s="61" t="n"/>
      <c r="D3261" s="61" t="n"/>
      <c r="E3261" s="61" t="n"/>
      <c r="F3261" s="55" t="n"/>
      <c r="G3261" s="56" t="n"/>
      <c r="H3261" s="55" t="n"/>
      <c r="I3261" s="62" t="n"/>
      <c r="J3261" s="58" t="n"/>
      <c r="K3261" s="63">
        <f>IF(tblMovement[[#This Row],[Source]]="","",IFERROR(INDEX(tblSources[Type],MATCH(tblMovement[[#This Row],[Source]],tblSources[Source],0)),"?"))</f>
        <v/>
      </c>
      <c r="L3261" s="63">
        <f>IF(tblMovement[[#This Row],[Destination]]="","",IFERROR(INDEX(tblDestinations[Type],MATCH(tblMovement[[#This Row],[Destination]],tblDestinations[Destination],0)),"?"))</f>
        <v/>
      </c>
      <c r="M3261" s="64">
        <f>IF(tblMovement[[#This Row],[Material]]="","",IF(LEFT(tblMovement[[#This Row],[Material]],3)="Ore",1,0))</f>
        <v/>
      </c>
      <c r="N3261" s="59">
        <f>IF(OR(tblMovement[[#This Row],[Tonnes_t]]="",tblMovement[[#This Row],[Grade_gpt]]=""),0,tblMovement[[#This Row],[Tonnes_t]]*tblMovement[[#This Row],[Grade_gpt]]/cfg_TroyOz)</f>
        <v/>
      </c>
      <c r="O3261" s="59">
        <f>IF(tblMovement[[#This Row],[Is_Ore]]=1,tblMovement[[#This Row],[Contained_oz]],0)</f>
        <v/>
      </c>
    </row>
    <row r="3262">
      <c r="A3262" s="54" t="n"/>
      <c r="B3262" s="61" t="n"/>
      <c r="C3262" s="61" t="n"/>
      <c r="D3262" s="61" t="n"/>
      <c r="E3262" s="61" t="n"/>
      <c r="F3262" s="55" t="n"/>
      <c r="G3262" s="56" t="n"/>
      <c r="H3262" s="55" t="n"/>
      <c r="I3262" s="62" t="n"/>
      <c r="J3262" s="58" t="n"/>
      <c r="K3262" s="63">
        <f>IF(tblMovement[[#This Row],[Source]]="","",IFERROR(INDEX(tblSources[Type],MATCH(tblMovement[[#This Row],[Source]],tblSources[Source],0)),"?"))</f>
        <v/>
      </c>
      <c r="L3262" s="63">
        <f>IF(tblMovement[[#This Row],[Destination]]="","",IFERROR(INDEX(tblDestinations[Type],MATCH(tblMovement[[#This Row],[Destination]],tblDestinations[Destination],0)),"?"))</f>
        <v/>
      </c>
      <c r="M3262" s="64">
        <f>IF(tblMovement[[#This Row],[Material]]="","",IF(LEFT(tblMovement[[#This Row],[Material]],3)="Ore",1,0))</f>
        <v/>
      </c>
      <c r="N3262" s="59">
        <f>IF(OR(tblMovement[[#This Row],[Tonnes_t]]="",tblMovement[[#This Row],[Grade_gpt]]=""),0,tblMovement[[#This Row],[Tonnes_t]]*tblMovement[[#This Row],[Grade_gpt]]/cfg_TroyOz)</f>
        <v/>
      </c>
      <c r="O3262" s="59">
        <f>IF(tblMovement[[#This Row],[Is_Ore]]=1,tblMovement[[#This Row],[Contained_oz]],0)</f>
        <v/>
      </c>
    </row>
    <row r="3263">
      <c r="A3263" s="54" t="n"/>
      <c r="B3263" s="61" t="n"/>
      <c r="C3263" s="61" t="n"/>
      <c r="D3263" s="61" t="n"/>
      <c r="E3263" s="61" t="n"/>
      <c r="F3263" s="55" t="n"/>
      <c r="G3263" s="56" t="n"/>
      <c r="H3263" s="55" t="n"/>
      <c r="I3263" s="62" t="n"/>
      <c r="J3263" s="58" t="n"/>
      <c r="K3263" s="63">
        <f>IF(tblMovement[[#This Row],[Source]]="","",IFERROR(INDEX(tblSources[Type],MATCH(tblMovement[[#This Row],[Source]],tblSources[Source],0)),"?"))</f>
        <v/>
      </c>
      <c r="L3263" s="63">
        <f>IF(tblMovement[[#This Row],[Destination]]="","",IFERROR(INDEX(tblDestinations[Type],MATCH(tblMovement[[#This Row],[Destination]],tblDestinations[Destination],0)),"?"))</f>
        <v/>
      </c>
      <c r="M3263" s="64">
        <f>IF(tblMovement[[#This Row],[Material]]="","",IF(LEFT(tblMovement[[#This Row],[Material]],3)="Ore",1,0))</f>
        <v/>
      </c>
      <c r="N3263" s="59">
        <f>IF(OR(tblMovement[[#This Row],[Tonnes_t]]="",tblMovement[[#This Row],[Grade_gpt]]=""),0,tblMovement[[#This Row],[Tonnes_t]]*tblMovement[[#This Row],[Grade_gpt]]/cfg_TroyOz)</f>
        <v/>
      </c>
      <c r="O3263" s="59">
        <f>IF(tblMovement[[#This Row],[Is_Ore]]=1,tblMovement[[#This Row],[Contained_oz]],0)</f>
        <v/>
      </c>
    </row>
    <row r="3264">
      <c r="A3264" s="54" t="n"/>
      <c r="B3264" s="61" t="n"/>
      <c r="C3264" s="61" t="n"/>
      <c r="D3264" s="61" t="n"/>
      <c r="E3264" s="61" t="n"/>
      <c r="F3264" s="55" t="n"/>
      <c r="G3264" s="56" t="n"/>
      <c r="H3264" s="55" t="n"/>
      <c r="I3264" s="62" t="n"/>
      <c r="J3264" s="58" t="n"/>
      <c r="K3264" s="63">
        <f>IF(tblMovement[[#This Row],[Source]]="","",IFERROR(INDEX(tblSources[Type],MATCH(tblMovement[[#This Row],[Source]],tblSources[Source],0)),"?"))</f>
        <v/>
      </c>
      <c r="L3264" s="63">
        <f>IF(tblMovement[[#This Row],[Destination]]="","",IFERROR(INDEX(tblDestinations[Type],MATCH(tblMovement[[#This Row],[Destination]],tblDestinations[Destination],0)),"?"))</f>
        <v/>
      </c>
      <c r="M3264" s="64">
        <f>IF(tblMovement[[#This Row],[Material]]="","",IF(LEFT(tblMovement[[#This Row],[Material]],3)="Ore",1,0))</f>
        <v/>
      </c>
      <c r="N3264" s="59">
        <f>IF(OR(tblMovement[[#This Row],[Tonnes_t]]="",tblMovement[[#This Row],[Grade_gpt]]=""),0,tblMovement[[#This Row],[Tonnes_t]]*tblMovement[[#This Row],[Grade_gpt]]/cfg_TroyOz)</f>
        <v/>
      </c>
      <c r="O3264" s="59">
        <f>IF(tblMovement[[#This Row],[Is_Ore]]=1,tblMovement[[#This Row],[Contained_oz]],0)</f>
        <v/>
      </c>
    </row>
    <row r="3265">
      <c r="A3265" s="54" t="n"/>
      <c r="B3265" s="61" t="n"/>
      <c r="C3265" s="61" t="n"/>
      <c r="D3265" s="61" t="n"/>
      <c r="E3265" s="61" t="n"/>
      <c r="F3265" s="55" t="n"/>
      <c r="G3265" s="56" t="n"/>
      <c r="H3265" s="55" t="n"/>
      <c r="I3265" s="62" t="n"/>
      <c r="J3265" s="58" t="n"/>
      <c r="K3265" s="63">
        <f>IF(tblMovement[[#This Row],[Source]]="","",IFERROR(INDEX(tblSources[Type],MATCH(tblMovement[[#This Row],[Source]],tblSources[Source],0)),"?"))</f>
        <v/>
      </c>
      <c r="L3265" s="63">
        <f>IF(tblMovement[[#This Row],[Destination]]="","",IFERROR(INDEX(tblDestinations[Type],MATCH(tblMovement[[#This Row],[Destination]],tblDestinations[Destination],0)),"?"))</f>
        <v/>
      </c>
      <c r="M3265" s="64">
        <f>IF(tblMovement[[#This Row],[Material]]="","",IF(LEFT(tblMovement[[#This Row],[Material]],3)="Ore",1,0))</f>
        <v/>
      </c>
      <c r="N3265" s="59">
        <f>IF(OR(tblMovement[[#This Row],[Tonnes_t]]="",tblMovement[[#This Row],[Grade_gpt]]=""),0,tblMovement[[#This Row],[Tonnes_t]]*tblMovement[[#This Row],[Grade_gpt]]/cfg_TroyOz)</f>
        <v/>
      </c>
      <c r="O3265" s="59">
        <f>IF(tblMovement[[#This Row],[Is_Ore]]=1,tblMovement[[#This Row],[Contained_oz]],0)</f>
        <v/>
      </c>
    </row>
    <row r="3266">
      <c r="A3266" s="54" t="n"/>
      <c r="B3266" s="61" t="n"/>
      <c r="C3266" s="61" t="n"/>
      <c r="D3266" s="61" t="n"/>
      <c r="E3266" s="61" t="n"/>
      <c r="F3266" s="55" t="n"/>
      <c r="G3266" s="56" t="n"/>
      <c r="H3266" s="55" t="n"/>
      <c r="I3266" s="62" t="n"/>
      <c r="J3266" s="58" t="n"/>
      <c r="K3266" s="63">
        <f>IF(tblMovement[[#This Row],[Source]]="","",IFERROR(INDEX(tblSources[Type],MATCH(tblMovement[[#This Row],[Source]],tblSources[Source],0)),"?"))</f>
        <v/>
      </c>
      <c r="L3266" s="63">
        <f>IF(tblMovement[[#This Row],[Destination]]="","",IFERROR(INDEX(tblDestinations[Type],MATCH(tblMovement[[#This Row],[Destination]],tblDestinations[Destination],0)),"?"))</f>
        <v/>
      </c>
      <c r="M3266" s="64">
        <f>IF(tblMovement[[#This Row],[Material]]="","",IF(LEFT(tblMovement[[#This Row],[Material]],3)="Ore",1,0))</f>
        <v/>
      </c>
      <c r="N3266" s="59">
        <f>IF(OR(tblMovement[[#This Row],[Tonnes_t]]="",tblMovement[[#This Row],[Grade_gpt]]=""),0,tblMovement[[#This Row],[Tonnes_t]]*tblMovement[[#This Row],[Grade_gpt]]/cfg_TroyOz)</f>
        <v/>
      </c>
      <c r="O3266" s="59">
        <f>IF(tblMovement[[#This Row],[Is_Ore]]=1,tblMovement[[#This Row],[Contained_oz]],0)</f>
        <v/>
      </c>
    </row>
    <row r="3267">
      <c r="A3267" s="54" t="n"/>
      <c r="B3267" s="61" t="n"/>
      <c r="C3267" s="61" t="n"/>
      <c r="D3267" s="61" t="n"/>
      <c r="E3267" s="61" t="n"/>
      <c r="F3267" s="55" t="n"/>
      <c r="G3267" s="56" t="n"/>
      <c r="H3267" s="55" t="n"/>
      <c r="I3267" s="62" t="n"/>
      <c r="J3267" s="58" t="n"/>
      <c r="K3267" s="63">
        <f>IF(tblMovement[[#This Row],[Source]]="","",IFERROR(INDEX(tblSources[Type],MATCH(tblMovement[[#This Row],[Source]],tblSources[Source],0)),"?"))</f>
        <v/>
      </c>
      <c r="L3267" s="63">
        <f>IF(tblMovement[[#This Row],[Destination]]="","",IFERROR(INDEX(tblDestinations[Type],MATCH(tblMovement[[#This Row],[Destination]],tblDestinations[Destination],0)),"?"))</f>
        <v/>
      </c>
      <c r="M3267" s="64">
        <f>IF(tblMovement[[#This Row],[Material]]="","",IF(LEFT(tblMovement[[#This Row],[Material]],3)="Ore",1,0))</f>
        <v/>
      </c>
      <c r="N3267" s="59">
        <f>IF(OR(tblMovement[[#This Row],[Tonnes_t]]="",tblMovement[[#This Row],[Grade_gpt]]=""),0,tblMovement[[#This Row],[Tonnes_t]]*tblMovement[[#This Row],[Grade_gpt]]/cfg_TroyOz)</f>
        <v/>
      </c>
      <c r="O3267" s="59">
        <f>IF(tblMovement[[#This Row],[Is_Ore]]=1,tblMovement[[#This Row],[Contained_oz]],0)</f>
        <v/>
      </c>
    </row>
    <row r="3268">
      <c r="A3268" s="54" t="n"/>
      <c r="B3268" s="61" t="n"/>
      <c r="C3268" s="61" t="n"/>
      <c r="D3268" s="61" t="n"/>
      <c r="E3268" s="61" t="n"/>
      <c r="F3268" s="55" t="n"/>
      <c r="G3268" s="56" t="n"/>
      <c r="H3268" s="55" t="n"/>
      <c r="I3268" s="62" t="n"/>
      <c r="J3268" s="58" t="n"/>
      <c r="K3268" s="63">
        <f>IF(tblMovement[[#This Row],[Source]]="","",IFERROR(INDEX(tblSources[Type],MATCH(tblMovement[[#This Row],[Source]],tblSources[Source],0)),"?"))</f>
        <v/>
      </c>
      <c r="L3268" s="63">
        <f>IF(tblMovement[[#This Row],[Destination]]="","",IFERROR(INDEX(tblDestinations[Type],MATCH(tblMovement[[#This Row],[Destination]],tblDestinations[Destination],0)),"?"))</f>
        <v/>
      </c>
      <c r="M3268" s="64">
        <f>IF(tblMovement[[#This Row],[Material]]="","",IF(LEFT(tblMovement[[#This Row],[Material]],3)="Ore",1,0))</f>
        <v/>
      </c>
      <c r="N3268" s="59">
        <f>IF(OR(tblMovement[[#This Row],[Tonnes_t]]="",tblMovement[[#This Row],[Grade_gpt]]=""),0,tblMovement[[#This Row],[Tonnes_t]]*tblMovement[[#This Row],[Grade_gpt]]/cfg_TroyOz)</f>
        <v/>
      </c>
      <c r="O3268" s="59">
        <f>IF(tblMovement[[#This Row],[Is_Ore]]=1,tblMovement[[#This Row],[Contained_oz]],0)</f>
        <v/>
      </c>
    </row>
    <row r="3269">
      <c r="A3269" s="54" t="n"/>
      <c r="B3269" s="61" t="n"/>
      <c r="C3269" s="61" t="n"/>
      <c r="D3269" s="61" t="n"/>
      <c r="E3269" s="61" t="n"/>
      <c r="F3269" s="55" t="n"/>
      <c r="G3269" s="56" t="n"/>
      <c r="H3269" s="55" t="n"/>
      <c r="I3269" s="62" t="n"/>
      <c r="J3269" s="58" t="n"/>
      <c r="K3269" s="63">
        <f>IF(tblMovement[[#This Row],[Source]]="","",IFERROR(INDEX(tblSources[Type],MATCH(tblMovement[[#This Row],[Source]],tblSources[Source],0)),"?"))</f>
        <v/>
      </c>
      <c r="L3269" s="63">
        <f>IF(tblMovement[[#This Row],[Destination]]="","",IFERROR(INDEX(tblDestinations[Type],MATCH(tblMovement[[#This Row],[Destination]],tblDestinations[Destination],0)),"?"))</f>
        <v/>
      </c>
      <c r="M3269" s="64">
        <f>IF(tblMovement[[#This Row],[Material]]="","",IF(LEFT(tblMovement[[#This Row],[Material]],3)="Ore",1,0))</f>
        <v/>
      </c>
      <c r="N3269" s="59">
        <f>IF(OR(tblMovement[[#This Row],[Tonnes_t]]="",tblMovement[[#This Row],[Grade_gpt]]=""),0,tblMovement[[#This Row],[Tonnes_t]]*tblMovement[[#This Row],[Grade_gpt]]/cfg_TroyOz)</f>
        <v/>
      </c>
      <c r="O3269" s="59">
        <f>IF(tblMovement[[#This Row],[Is_Ore]]=1,tblMovement[[#This Row],[Contained_oz]],0)</f>
        <v/>
      </c>
    </row>
    <row r="3270">
      <c r="A3270" s="54" t="n"/>
      <c r="B3270" s="61" t="n"/>
      <c r="C3270" s="61" t="n"/>
      <c r="D3270" s="61" t="n"/>
      <c r="E3270" s="61" t="n"/>
      <c r="F3270" s="55" t="n"/>
      <c r="G3270" s="56" t="n"/>
      <c r="H3270" s="55" t="n"/>
      <c r="I3270" s="62" t="n"/>
      <c r="J3270" s="58" t="n"/>
      <c r="K3270" s="63">
        <f>IF(tblMovement[[#This Row],[Source]]="","",IFERROR(INDEX(tblSources[Type],MATCH(tblMovement[[#This Row],[Source]],tblSources[Source],0)),"?"))</f>
        <v/>
      </c>
      <c r="L3270" s="63">
        <f>IF(tblMovement[[#This Row],[Destination]]="","",IFERROR(INDEX(tblDestinations[Type],MATCH(tblMovement[[#This Row],[Destination]],tblDestinations[Destination],0)),"?"))</f>
        <v/>
      </c>
      <c r="M3270" s="64">
        <f>IF(tblMovement[[#This Row],[Material]]="","",IF(LEFT(tblMovement[[#This Row],[Material]],3)="Ore",1,0))</f>
        <v/>
      </c>
      <c r="N3270" s="59">
        <f>IF(OR(tblMovement[[#This Row],[Tonnes_t]]="",tblMovement[[#This Row],[Grade_gpt]]=""),0,tblMovement[[#This Row],[Tonnes_t]]*tblMovement[[#This Row],[Grade_gpt]]/cfg_TroyOz)</f>
        <v/>
      </c>
      <c r="O3270" s="59">
        <f>IF(tblMovement[[#This Row],[Is_Ore]]=1,tblMovement[[#This Row],[Contained_oz]],0)</f>
        <v/>
      </c>
    </row>
    <row r="3271">
      <c r="A3271" s="54" t="n"/>
      <c r="B3271" s="61" t="n"/>
      <c r="C3271" s="61" t="n"/>
      <c r="D3271" s="61" t="n"/>
      <c r="E3271" s="61" t="n"/>
      <c r="F3271" s="55" t="n"/>
      <c r="G3271" s="56" t="n"/>
      <c r="H3271" s="55" t="n"/>
      <c r="I3271" s="62" t="n"/>
      <c r="J3271" s="58" t="n"/>
      <c r="K3271" s="63">
        <f>IF(tblMovement[[#This Row],[Source]]="","",IFERROR(INDEX(tblSources[Type],MATCH(tblMovement[[#This Row],[Source]],tblSources[Source],0)),"?"))</f>
        <v/>
      </c>
      <c r="L3271" s="63">
        <f>IF(tblMovement[[#This Row],[Destination]]="","",IFERROR(INDEX(tblDestinations[Type],MATCH(tblMovement[[#This Row],[Destination]],tblDestinations[Destination],0)),"?"))</f>
        <v/>
      </c>
      <c r="M3271" s="64">
        <f>IF(tblMovement[[#This Row],[Material]]="","",IF(LEFT(tblMovement[[#This Row],[Material]],3)="Ore",1,0))</f>
        <v/>
      </c>
      <c r="N3271" s="59">
        <f>IF(OR(tblMovement[[#This Row],[Tonnes_t]]="",tblMovement[[#This Row],[Grade_gpt]]=""),0,tblMovement[[#This Row],[Tonnes_t]]*tblMovement[[#This Row],[Grade_gpt]]/cfg_TroyOz)</f>
        <v/>
      </c>
      <c r="O3271" s="59">
        <f>IF(tblMovement[[#This Row],[Is_Ore]]=1,tblMovement[[#This Row],[Contained_oz]],0)</f>
        <v/>
      </c>
    </row>
    <row r="3272">
      <c r="A3272" s="54" t="n"/>
      <c r="B3272" s="61" t="n"/>
      <c r="C3272" s="61" t="n"/>
      <c r="D3272" s="61" t="n"/>
      <c r="E3272" s="61" t="n"/>
      <c r="F3272" s="55" t="n"/>
      <c r="G3272" s="56" t="n"/>
      <c r="H3272" s="55" t="n"/>
      <c r="I3272" s="62" t="n"/>
      <c r="J3272" s="58" t="n"/>
      <c r="K3272" s="63">
        <f>IF(tblMovement[[#This Row],[Source]]="","",IFERROR(INDEX(tblSources[Type],MATCH(tblMovement[[#This Row],[Source]],tblSources[Source],0)),"?"))</f>
        <v/>
      </c>
      <c r="L3272" s="63">
        <f>IF(tblMovement[[#This Row],[Destination]]="","",IFERROR(INDEX(tblDestinations[Type],MATCH(tblMovement[[#This Row],[Destination]],tblDestinations[Destination],0)),"?"))</f>
        <v/>
      </c>
      <c r="M3272" s="64">
        <f>IF(tblMovement[[#This Row],[Material]]="","",IF(LEFT(tblMovement[[#This Row],[Material]],3)="Ore",1,0))</f>
        <v/>
      </c>
      <c r="N3272" s="59">
        <f>IF(OR(tblMovement[[#This Row],[Tonnes_t]]="",tblMovement[[#This Row],[Grade_gpt]]=""),0,tblMovement[[#This Row],[Tonnes_t]]*tblMovement[[#This Row],[Grade_gpt]]/cfg_TroyOz)</f>
        <v/>
      </c>
      <c r="O3272" s="59">
        <f>IF(tblMovement[[#This Row],[Is_Ore]]=1,tblMovement[[#This Row],[Contained_oz]],0)</f>
        <v/>
      </c>
    </row>
    <row r="3273">
      <c r="A3273" s="54" t="n"/>
      <c r="B3273" s="61" t="n"/>
      <c r="C3273" s="61" t="n"/>
      <c r="D3273" s="61" t="n"/>
      <c r="E3273" s="61" t="n"/>
      <c r="F3273" s="55" t="n"/>
      <c r="G3273" s="56" t="n"/>
      <c r="H3273" s="55" t="n"/>
      <c r="I3273" s="62" t="n"/>
      <c r="J3273" s="58" t="n"/>
      <c r="K3273" s="63">
        <f>IF(tblMovement[[#This Row],[Source]]="","",IFERROR(INDEX(tblSources[Type],MATCH(tblMovement[[#This Row],[Source]],tblSources[Source],0)),"?"))</f>
        <v/>
      </c>
      <c r="L3273" s="63">
        <f>IF(tblMovement[[#This Row],[Destination]]="","",IFERROR(INDEX(tblDestinations[Type],MATCH(tblMovement[[#This Row],[Destination]],tblDestinations[Destination],0)),"?"))</f>
        <v/>
      </c>
      <c r="M3273" s="64">
        <f>IF(tblMovement[[#This Row],[Material]]="","",IF(LEFT(tblMovement[[#This Row],[Material]],3)="Ore",1,0))</f>
        <v/>
      </c>
      <c r="N3273" s="59">
        <f>IF(OR(tblMovement[[#This Row],[Tonnes_t]]="",tblMovement[[#This Row],[Grade_gpt]]=""),0,tblMovement[[#This Row],[Tonnes_t]]*tblMovement[[#This Row],[Grade_gpt]]/cfg_TroyOz)</f>
        <v/>
      </c>
      <c r="O3273" s="59">
        <f>IF(tblMovement[[#This Row],[Is_Ore]]=1,tblMovement[[#This Row],[Contained_oz]],0)</f>
        <v/>
      </c>
    </row>
    <row r="3274">
      <c r="A3274" s="54" t="n"/>
      <c r="B3274" s="61" t="n"/>
      <c r="C3274" s="61" t="n"/>
      <c r="D3274" s="61" t="n"/>
      <c r="E3274" s="61" t="n"/>
      <c r="F3274" s="55" t="n"/>
      <c r="G3274" s="56" t="n"/>
      <c r="H3274" s="55" t="n"/>
      <c r="I3274" s="62" t="n"/>
      <c r="J3274" s="58" t="n"/>
      <c r="K3274" s="63">
        <f>IF(tblMovement[[#This Row],[Source]]="","",IFERROR(INDEX(tblSources[Type],MATCH(tblMovement[[#This Row],[Source]],tblSources[Source],0)),"?"))</f>
        <v/>
      </c>
      <c r="L3274" s="63">
        <f>IF(tblMovement[[#This Row],[Destination]]="","",IFERROR(INDEX(tblDestinations[Type],MATCH(tblMovement[[#This Row],[Destination]],tblDestinations[Destination],0)),"?"))</f>
        <v/>
      </c>
      <c r="M3274" s="64">
        <f>IF(tblMovement[[#This Row],[Material]]="","",IF(LEFT(tblMovement[[#This Row],[Material]],3)="Ore",1,0))</f>
        <v/>
      </c>
      <c r="N3274" s="59">
        <f>IF(OR(tblMovement[[#This Row],[Tonnes_t]]="",tblMovement[[#This Row],[Grade_gpt]]=""),0,tblMovement[[#This Row],[Tonnes_t]]*tblMovement[[#This Row],[Grade_gpt]]/cfg_TroyOz)</f>
        <v/>
      </c>
      <c r="O3274" s="59">
        <f>IF(tblMovement[[#This Row],[Is_Ore]]=1,tblMovement[[#This Row],[Contained_oz]],0)</f>
        <v/>
      </c>
    </row>
    <row r="3275">
      <c r="A3275" s="54" t="n"/>
      <c r="B3275" s="61" t="n"/>
      <c r="C3275" s="61" t="n"/>
      <c r="D3275" s="61" t="n"/>
      <c r="E3275" s="61" t="n"/>
      <c r="F3275" s="55" t="n"/>
      <c r="G3275" s="56" t="n"/>
      <c r="H3275" s="55" t="n"/>
      <c r="I3275" s="62" t="n"/>
      <c r="J3275" s="58" t="n"/>
      <c r="K3275" s="63">
        <f>IF(tblMovement[[#This Row],[Source]]="","",IFERROR(INDEX(tblSources[Type],MATCH(tblMovement[[#This Row],[Source]],tblSources[Source],0)),"?"))</f>
        <v/>
      </c>
      <c r="L3275" s="63">
        <f>IF(tblMovement[[#This Row],[Destination]]="","",IFERROR(INDEX(tblDestinations[Type],MATCH(tblMovement[[#This Row],[Destination]],tblDestinations[Destination],0)),"?"))</f>
        <v/>
      </c>
      <c r="M3275" s="64">
        <f>IF(tblMovement[[#This Row],[Material]]="","",IF(LEFT(tblMovement[[#This Row],[Material]],3)="Ore",1,0))</f>
        <v/>
      </c>
      <c r="N3275" s="59">
        <f>IF(OR(tblMovement[[#This Row],[Tonnes_t]]="",tblMovement[[#This Row],[Grade_gpt]]=""),0,tblMovement[[#This Row],[Tonnes_t]]*tblMovement[[#This Row],[Grade_gpt]]/cfg_TroyOz)</f>
        <v/>
      </c>
      <c r="O3275" s="59">
        <f>IF(tblMovement[[#This Row],[Is_Ore]]=1,tblMovement[[#This Row],[Contained_oz]],0)</f>
        <v/>
      </c>
    </row>
    <row r="3276">
      <c r="A3276" s="54" t="n"/>
      <c r="B3276" s="61" t="n"/>
      <c r="C3276" s="61" t="n"/>
      <c r="D3276" s="61" t="n"/>
      <c r="E3276" s="61" t="n"/>
      <c r="F3276" s="55" t="n"/>
      <c r="G3276" s="56" t="n"/>
      <c r="H3276" s="55" t="n"/>
      <c r="I3276" s="62" t="n"/>
      <c r="J3276" s="58" t="n"/>
      <c r="K3276" s="63">
        <f>IF(tblMovement[[#This Row],[Source]]="","",IFERROR(INDEX(tblSources[Type],MATCH(tblMovement[[#This Row],[Source]],tblSources[Source],0)),"?"))</f>
        <v/>
      </c>
      <c r="L3276" s="63">
        <f>IF(tblMovement[[#This Row],[Destination]]="","",IFERROR(INDEX(tblDestinations[Type],MATCH(tblMovement[[#This Row],[Destination]],tblDestinations[Destination],0)),"?"))</f>
        <v/>
      </c>
      <c r="M3276" s="64">
        <f>IF(tblMovement[[#This Row],[Material]]="","",IF(LEFT(tblMovement[[#This Row],[Material]],3)="Ore",1,0))</f>
        <v/>
      </c>
      <c r="N3276" s="59">
        <f>IF(OR(tblMovement[[#This Row],[Tonnes_t]]="",tblMovement[[#This Row],[Grade_gpt]]=""),0,tblMovement[[#This Row],[Tonnes_t]]*tblMovement[[#This Row],[Grade_gpt]]/cfg_TroyOz)</f>
        <v/>
      </c>
      <c r="O3276" s="59">
        <f>IF(tblMovement[[#This Row],[Is_Ore]]=1,tblMovement[[#This Row],[Contained_oz]],0)</f>
        <v/>
      </c>
    </row>
    <row r="3277">
      <c r="A3277" s="54" t="n"/>
      <c r="B3277" s="61" t="n"/>
      <c r="C3277" s="61" t="n"/>
      <c r="D3277" s="61" t="n"/>
      <c r="E3277" s="61" t="n"/>
      <c r="F3277" s="55" t="n"/>
      <c r="G3277" s="56" t="n"/>
      <c r="H3277" s="55" t="n"/>
      <c r="I3277" s="62" t="n"/>
      <c r="J3277" s="58" t="n"/>
      <c r="K3277" s="63">
        <f>IF(tblMovement[[#This Row],[Source]]="","",IFERROR(INDEX(tblSources[Type],MATCH(tblMovement[[#This Row],[Source]],tblSources[Source],0)),"?"))</f>
        <v/>
      </c>
      <c r="L3277" s="63">
        <f>IF(tblMovement[[#This Row],[Destination]]="","",IFERROR(INDEX(tblDestinations[Type],MATCH(tblMovement[[#This Row],[Destination]],tblDestinations[Destination],0)),"?"))</f>
        <v/>
      </c>
      <c r="M3277" s="64">
        <f>IF(tblMovement[[#This Row],[Material]]="","",IF(LEFT(tblMovement[[#This Row],[Material]],3)="Ore",1,0))</f>
        <v/>
      </c>
      <c r="N3277" s="59">
        <f>IF(OR(tblMovement[[#This Row],[Tonnes_t]]="",tblMovement[[#This Row],[Grade_gpt]]=""),0,tblMovement[[#This Row],[Tonnes_t]]*tblMovement[[#This Row],[Grade_gpt]]/cfg_TroyOz)</f>
        <v/>
      </c>
      <c r="O3277" s="59">
        <f>IF(tblMovement[[#This Row],[Is_Ore]]=1,tblMovement[[#This Row],[Contained_oz]],0)</f>
        <v/>
      </c>
    </row>
    <row r="3278">
      <c r="A3278" s="54" t="n"/>
      <c r="B3278" s="61" t="n"/>
      <c r="C3278" s="61" t="n"/>
      <c r="D3278" s="61" t="n"/>
      <c r="E3278" s="61" t="n"/>
      <c r="F3278" s="55" t="n"/>
      <c r="G3278" s="56" t="n"/>
      <c r="H3278" s="55" t="n"/>
      <c r="I3278" s="62" t="n"/>
      <c r="J3278" s="58" t="n"/>
      <c r="K3278" s="63">
        <f>IF(tblMovement[[#This Row],[Source]]="","",IFERROR(INDEX(tblSources[Type],MATCH(tblMovement[[#This Row],[Source]],tblSources[Source],0)),"?"))</f>
        <v/>
      </c>
      <c r="L3278" s="63">
        <f>IF(tblMovement[[#This Row],[Destination]]="","",IFERROR(INDEX(tblDestinations[Type],MATCH(tblMovement[[#This Row],[Destination]],tblDestinations[Destination],0)),"?"))</f>
        <v/>
      </c>
      <c r="M3278" s="64">
        <f>IF(tblMovement[[#This Row],[Material]]="","",IF(LEFT(tblMovement[[#This Row],[Material]],3)="Ore",1,0))</f>
        <v/>
      </c>
      <c r="N3278" s="59">
        <f>IF(OR(tblMovement[[#This Row],[Tonnes_t]]="",tblMovement[[#This Row],[Grade_gpt]]=""),0,tblMovement[[#This Row],[Tonnes_t]]*tblMovement[[#This Row],[Grade_gpt]]/cfg_TroyOz)</f>
        <v/>
      </c>
      <c r="O3278" s="59">
        <f>IF(tblMovement[[#This Row],[Is_Ore]]=1,tblMovement[[#This Row],[Contained_oz]],0)</f>
        <v/>
      </c>
    </row>
    <row r="3279">
      <c r="A3279" s="54" t="n"/>
      <c r="B3279" s="61" t="n"/>
      <c r="C3279" s="61" t="n"/>
      <c r="D3279" s="61" t="n"/>
      <c r="E3279" s="61" t="n"/>
      <c r="F3279" s="55" t="n"/>
      <c r="G3279" s="56" t="n"/>
      <c r="H3279" s="55" t="n"/>
      <c r="I3279" s="62" t="n"/>
      <c r="J3279" s="58" t="n"/>
      <c r="K3279" s="63">
        <f>IF(tblMovement[[#This Row],[Source]]="","",IFERROR(INDEX(tblSources[Type],MATCH(tblMovement[[#This Row],[Source]],tblSources[Source],0)),"?"))</f>
        <v/>
      </c>
      <c r="L3279" s="63">
        <f>IF(tblMovement[[#This Row],[Destination]]="","",IFERROR(INDEX(tblDestinations[Type],MATCH(tblMovement[[#This Row],[Destination]],tblDestinations[Destination],0)),"?"))</f>
        <v/>
      </c>
      <c r="M3279" s="64">
        <f>IF(tblMovement[[#This Row],[Material]]="","",IF(LEFT(tblMovement[[#This Row],[Material]],3)="Ore",1,0))</f>
        <v/>
      </c>
      <c r="N3279" s="59">
        <f>IF(OR(tblMovement[[#This Row],[Tonnes_t]]="",tblMovement[[#This Row],[Grade_gpt]]=""),0,tblMovement[[#This Row],[Tonnes_t]]*tblMovement[[#This Row],[Grade_gpt]]/cfg_TroyOz)</f>
        <v/>
      </c>
      <c r="O3279" s="59">
        <f>IF(tblMovement[[#This Row],[Is_Ore]]=1,tblMovement[[#This Row],[Contained_oz]],0)</f>
        <v/>
      </c>
    </row>
    <row r="3280">
      <c r="A3280" s="54" t="n"/>
      <c r="B3280" s="61" t="n"/>
      <c r="C3280" s="61" t="n"/>
      <c r="D3280" s="61" t="n"/>
      <c r="E3280" s="61" t="n"/>
      <c r="F3280" s="55" t="n"/>
      <c r="G3280" s="56" t="n"/>
      <c r="H3280" s="55" t="n"/>
      <c r="I3280" s="62" t="n"/>
      <c r="J3280" s="58" t="n"/>
      <c r="K3280" s="63">
        <f>IF(tblMovement[[#This Row],[Source]]="","",IFERROR(INDEX(tblSources[Type],MATCH(tblMovement[[#This Row],[Source]],tblSources[Source],0)),"?"))</f>
        <v/>
      </c>
      <c r="L3280" s="63">
        <f>IF(tblMovement[[#This Row],[Destination]]="","",IFERROR(INDEX(tblDestinations[Type],MATCH(tblMovement[[#This Row],[Destination]],tblDestinations[Destination],0)),"?"))</f>
        <v/>
      </c>
      <c r="M3280" s="64">
        <f>IF(tblMovement[[#This Row],[Material]]="","",IF(LEFT(tblMovement[[#This Row],[Material]],3)="Ore",1,0))</f>
        <v/>
      </c>
      <c r="N3280" s="59">
        <f>IF(OR(tblMovement[[#This Row],[Tonnes_t]]="",tblMovement[[#This Row],[Grade_gpt]]=""),0,tblMovement[[#This Row],[Tonnes_t]]*tblMovement[[#This Row],[Grade_gpt]]/cfg_TroyOz)</f>
        <v/>
      </c>
      <c r="O3280" s="59">
        <f>IF(tblMovement[[#This Row],[Is_Ore]]=1,tblMovement[[#This Row],[Contained_oz]],0)</f>
        <v/>
      </c>
    </row>
    <row r="3281">
      <c r="A3281" s="54" t="n"/>
      <c r="B3281" s="61" t="n"/>
      <c r="C3281" s="61" t="n"/>
      <c r="D3281" s="61" t="n"/>
      <c r="E3281" s="61" t="n"/>
      <c r="F3281" s="55" t="n"/>
      <c r="G3281" s="56" t="n"/>
      <c r="H3281" s="55" t="n"/>
      <c r="I3281" s="62" t="n"/>
      <c r="J3281" s="58" t="n"/>
      <c r="K3281" s="63">
        <f>IF(tblMovement[[#This Row],[Source]]="","",IFERROR(INDEX(tblSources[Type],MATCH(tblMovement[[#This Row],[Source]],tblSources[Source],0)),"?"))</f>
        <v/>
      </c>
      <c r="L3281" s="63">
        <f>IF(tblMovement[[#This Row],[Destination]]="","",IFERROR(INDEX(tblDestinations[Type],MATCH(tblMovement[[#This Row],[Destination]],tblDestinations[Destination],0)),"?"))</f>
        <v/>
      </c>
      <c r="M3281" s="64">
        <f>IF(tblMovement[[#This Row],[Material]]="","",IF(LEFT(tblMovement[[#This Row],[Material]],3)="Ore",1,0))</f>
        <v/>
      </c>
      <c r="N3281" s="59">
        <f>IF(OR(tblMovement[[#This Row],[Tonnes_t]]="",tblMovement[[#This Row],[Grade_gpt]]=""),0,tblMovement[[#This Row],[Tonnes_t]]*tblMovement[[#This Row],[Grade_gpt]]/cfg_TroyOz)</f>
        <v/>
      </c>
      <c r="O3281" s="59">
        <f>IF(tblMovement[[#This Row],[Is_Ore]]=1,tblMovement[[#This Row],[Contained_oz]],0)</f>
        <v/>
      </c>
    </row>
    <row r="3282">
      <c r="A3282" s="54" t="n"/>
      <c r="B3282" s="61" t="n"/>
      <c r="C3282" s="61" t="n"/>
      <c r="D3282" s="61" t="n"/>
      <c r="E3282" s="61" t="n"/>
      <c r="F3282" s="55" t="n"/>
      <c r="G3282" s="56" t="n"/>
      <c r="H3282" s="55" t="n"/>
      <c r="I3282" s="62" t="n"/>
      <c r="J3282" s="58" t="n"/>
      <c r="K3282" s="63">
        <f>IF(tblMovement[[#This Row],[Source]]="","",IFERROR(INDEX(tblSources[Type],MATCH(tblMovement[[#This Row],[Source]],tblSources[Source],0)),"?"))</f>
        <v/>
      </c>
      <c r="L3282" s="63">
        <f>IF(tblMovement[[#This Row],[Destination]]="","",IFERROR(INDEX(tblDestinations[Type],MATCH(tblMovement[[#This Row],[Destination]],tblDestinations[Destination],0)),"?"))</f>
        <v/>
      </c>
      <c r="M3282" s="64">
        <f>IF(tblMovement[[#This Row],[Material]]="","",IF(LEFT(tblMovement[[#This Row],[Material]],3)="Ore",1,0))</f>
        <v/>
      </c>
      <c r="N3282" s="59">
        <f>IF(OR(tblMovement[[#This Row],[Tonnes_t]]="",tblMovement[[#This Row],[Grade_gpt]]=""),0,tblMovement[[#This Row],[Tonnes_t]]*tblMovement[[#This Row],[Grade_gpt]]/cfg_TroyOz)</f>
        <v/>
      </c>
      <c r="O3282" s="59">
        <f>IF(tblMovement[[#This Row],[Is_Ore]]=1,tblMovement[[#This Row],[Contained_oz]],0)</f>
        <v/>
      </c>
    </row>
    <row r="3283">
      <c r="A3283" s="54" t="n"/>
      <c r="B3283" s="61" t="n"/>
      <c r="C3283" s="61" t="n"/>
      <c r="D3283" s="61" t="n"/>
      <c r="E3283" s="61" t="n"/>
      <c r="F3283" s="55" t="n"/>
      <c r="G3283" s="56" t="n"/>
      <c r="H3283" s="55" t="n"/>
      <c r="I3283" s="62" t="n"/>
      <c r="J3283" s="58" t="n"/>
      <c r="K3283" s="63">
        <f>IF(tblMovement[[#This Row],[Source]]="","",IFERROR(INDEX(tblSources[Type],MATCH(tblMovement[[#This Row],[Source]],tblSources[Source],0)),"?"))</f>
        <v/>
      </c>
      <c r="L3283" s="63">
        <f>IF(tblMovement[[#This Row],[Destination]]="","",IFERROR(INDEX(tblDestinations[Type],MATCH(tblMovement[[#This Row],[Destination]],tblDestinations[Destination],0)),"?"))</f>
        <v/>
      </c>
      <c r="M3283" s="64">
        <f>IF(tblMovement[[#This Row],[Material]]="","",IF(LEFT(tblMovement[[#This Row],[Material]],3)="Ore",1,0))</f>
        <v/>
      </c>
      <c r="N3283" s="59">
        <f>IF(OR(tblMovement[[#This Row],[Tonnes_t]]="",tblMovement[[#This Row],[Grade_gpt]]=""),0,tblMovement[[#This Row],[Tonnes_t]]*tblMovement[[#This Row],[Grade_gpt]]/cfg_TroyOz)</f>
        <v/>
      </c>
      <c r="O3283" s="59">
        <f>IF(tblMovement[[#This Row],[Is_Ore]]=1,tblMovement[[#This Row],[Contained_oz]],0)</f>
        <v/>
      </c>
    </row>
    <row r="3284">
      <c r="A3284" s="54" t="n"/>
      <c r="B3284" s="61" t="n"/>
      <c r="C3284" s="61" t="n"/>
      <c r="D3284" s="61" t="n"/>
      <c r="E3284" s="61" t="n"/>
      <c r="F3284" s="55" t="n"/>
      <c r="G3284" s="56" t="n"/>
      <c r="H3284" s="55" t="n"/>
      <c r="I3284" s="62" t="n"/>
      <c r="J3284" s="58" t="n"/>
      <c r="K3284" s="63">
        <f>IF(tblMovement[[#This Row],[Source]]="","",IFERROR(INDEX(tblSources[Type],MATCH(tblMovement[[#This Row],[Source]],tblSources[Source],0)),"?"))</f>
        <v/>
      </c>
      <c r="L3284" s="63">
        <f>IF(tblMovement[[#This Row],[Destination]]="","",IFERROR(INDEX(tblDestinations[Type],MATCH(tblMovement[[#This Row],[Destination]],tblDestinations[Destination],0)),"?"))</f>
        <v/>
      </c>
      <c r="M3284" s="64">
        <f>IF(tblMovement[[#This Row],[Material]]="","",IF(LEFT(tblMovement[[#This Row],[Material]],3)="Ore",1,0))</f>
        <v/>
      </c>
      <c r="N3284" s="59">
        <f>IF(OR(tblMovement[[#This Row],[Tonnes_t]]="",tblMovement[[#This Row],[Grade_gpt]]=""),0,tblMovement[[#This Row],[Tonnes_t]]*tblMovement[[#This Row],[Grade_gpt]]/cfg_TroyOz)</f>
        <v/>
      </c>
      <c r="O3284" s="59">
        <f>IF(tblMovement[[#This Row],[Is_Ore]]=1,tblMovement[[#This Row],[Contained_oz]],0)</f>
        <v/>
      </c>
    </row>
    <row r="3285">
      <c r="A3285" s="54" t="n"/>
      <c r="B3285" s="61" t="n"/>
      <c r="C3285" s="61" t="n"/>
      <c r="D3285" s="61" t="n"/>
      <c r="E3285" s="61" t="n"/>
      <c r="F3285" s="55" t="n"/>
      <c r="G3285" s="56" t="n"/>
      <c r="H3285" s="55" t="n"/>
      <c r="I3285" s="62" t="n"/>
      <c r="J3285" s="58" t="n"/>
      <c r="K3285" s="63">
        <f>IF(tblMovement[[#This Row],[Source]]="","",IFERROR(INDEX(tblSources[Type],MATCH(tblMovement[[#This Row],[Source]],tblSources[Source],0)),"?"))</f>
        <v/>
      </c>
      <c r="L3285" s="63">
        <f>IF(tblMovement[[#This Row],[Destination]]="","",IFERROR(INDEX(tblDestinations[Type],MATCH(tblMovement[[#This Row],[Destination]],tblDestinations[Destination],0)),"?"))</f>
        <v/>
      </c>
      <c r="M3285" s="64">
        <f>IF(tblMovement[[#This Row],[Material]]="","",IF(LEFT(tblMovement[[#This Row],[Material]],3)="Ore",1,0))</f>
        <v/>
      </c>
      <c r="N3285" s="59">
        <f>IF(OR(tblMovement[[#This Row],[Tonnes_t]]="",tblMovement[[#This Row],[Grade_gpt]]=""),0,tblMovement[[#This Row],[Tonnes_t]]*tblMovement[[#This Row],[Grade_gpt]]/cfg_TroyOz)</f>
        <v/>
      </c>
      <c r="O3285" s="59">
        <f>IF(tblMovement[[#This Row],[Is_Ore]]=1,tblMovement[[#This Row],[Contained_oz]],0)</f>
        <v/>
      </c>
    </row>
    <row r="3286">
      <c r="A3286" s="54" t="n"/>
      <c r="B3286" s="61" t="n"/>
      <c r="C3286" s="61" t="n"/>
      <c r="D3286" s="61" t="n"/>
      <c r="E3286" s="61" t="n"/>
      <c r="F3286" s="55" t="n"/>
      <c r="G3286" s="56" t="n"/>
      <c r="H3286" s="55" t="n"/>
      <c r="I3286" s="62" t="n"/>
      <c r="J3286" s="58" t="n"/>
      <c r="K3286" s="63">
        <f>IF(tblMovement[[#This Row],[Source]]="","",IFERROR(INDEX(tblSources[Type],MATCH(tblMovement[[#This Row],[Source]],tblSources[Source],0)),"?"))</f>
        <v/>
      </c>
      <c r="L3286" s="63">
        <f>IF(tblMovement[[#This Row],[Destination]]="","",IFERROR(INDEX(tblDestinations[Type],MATCH(tblMovement[[#This Row],[Destination]],tblDestinations[Destination],0)),"?"))</f>
        <v/>
      </c>
      <c r="M3286" s="64">
        <f>IF(tblMovement[[#This Row],[Material]]="","",IF(LEFT(tblMovement[[#This Row],[Material]],3)="Ore",1,0))</f>
        <v/>
      </c>
      <c r="N3286" s="59">
        <f>IF(OR(tblMovement[[#This Row],[Tonnes_t]]="",tblMovement[[#This Row],[Grade_gpt]]=""),0,tblMovement[[#This Row],[Tonnes_t]]*tblMovement[[#This Row],[Grade_gpt]]/cfg_TroyOz)</f>
        <v/>
      </c>
      <c r="O3286" s="59">
        <f>IF(tblMovement[[#This Row],[Is_Ore]]=1,tblMovement[[#This Row],[Contained_oz]],0)</f>
        <v/>
      </c>
    </row>
    <row r="3287">
      <c r="A3287" s="54" t="n"/>
      <c r="B3287" s="61" t="n"/>
      <c r="C3287" s="61" t="n"/>
      <c r="D3287" s="61" t="n"/>
      <c r="E3287" s="61" t="n"/>
      <c r="F3287" s="55" t="n"/>
      <c r="G3287" s="56" t="n"/>
      <c r="H3287" s="55" t="n"/>
      <c r="I3287" s="62" t="n"/>
      <c r="J3287" s="58" t="n"/>
      <c r="K3287" s="63">
        <f>IF(tblMovement[[#This Row],[Source]]="","",IFERROR(INDEX(tblSources[Type],MATCH(tblMovement[[#This Row],[Source]],tblSources[Source],0)),"?"))</f>
        <v/>
      </c>
      <c r="L3287" s="63">
        <f>IF(tblMovement[[#This Row],[Destination]]="","",IFERROR(INDEX(tblDestinations[Type],MATCH(tblMovement[[#This Row],[Destination]],tblDestinations[Destination],0)),"?"))</f>
        <v/>
      </c>
      <c r="M3287" s="64">
        <f>IF(tblMovement[[#This Row],[Material]]="","",IF(LEFT(tblMovement[[#This Row],[Material]],3)="Ore",1,0))</f>
        <v/>
      </c>
      <c r="N3287" s="59">
        <f>IF(OR(tblMovement[[#This Row],[Tonnes_t]]="",tblMovement[[#This Row],[Grade_gpt]]=""),0,tblMovement[[#This Row],[Tonnes_t]]*tblMovement[[#This Row],[Grade_gpt]]/cfg_TroyOz)</f>
        <v/>
      </c>
      <c r="O3287" s="59">
        <f>IF(tblMovement[[#This Row],[Is_Ore]]=1,tblMovement[[#This Row],[Contained_oz]],0)</f>
        <v/>
      </c>
    </row>
    <row r="3288">
      <c r="A3288" s="54" t="n"/>
      <c r="B3288" s="61" t="n"/>
      <c r="C3288" s="61" t="n"/>
      <c r="D3288" s="61" t="n"/>
      <c r="E3288" s="61" t="n"/>
      <c r="F3288" s="55" t="n"/>
      <c r="G3288" s="56" t="n"/>
      <c r="H3288" s="55" t="n"/>
      <c r="I3288" s="62" t="n"/>
      <c r="J3288" s="58" t="n"/>
      <c r="K3288" s="63">
        <f>IF(tblMovement[[#This Row],[Source]]="","",IFERROR(INDEX(tblSources[Type],MATCH(tblMovement[[#This Row],[Source]],tblSources[Source],0)),"?"))</f>
        <v/>
      </c>
      <c r="L3288" s="63">
        <f>IF(tblMovement[[#This Row],[Destination]]="","",IFERROR(INDEX(tblDestinations[Type],MATCH(tblMovement[[#This Row],[Destination]],tblDestinations[Destination],0)),"?"))</f>
        <v/>
      </c>
      <c r="M3288" s="64">
        <f>IF(tblMovement[[#This Row],[Material]]="","",IF(LEFT(tblMovement[[#This Row],[Material]],3)="Ore",1,0))</f>
        <v/>
      </c>
      <c r="N3288" s="59">
        <f>IF(OR(tblMovement[[#This Row],[Tonnes_t]]="",tblMovement[[#This Row],[Grade_gpt]]=""),0,tblMovement[[#This Row],[Tonnes_t]]*tblMovement[[#This Row],[Grade_gpt]]/cfg_TroyOz)</f>
        <v/>
      </c>
      <c r="O3288" s="59">
        <f>IF(tblMovement[[#This Row],[Is_Ore]]=1,tblMovement[[#This Row],[Contained_oz]],0)</f>
        <v/>
      </c>
    </row>
    <row r="3289">
      <c r="A3289" s="54" t="n"/>
      <c r="B3289" s="61" t="n"/>
      <c r="C3289" s="61" t="n"/>
      <c r="D3289" s="61" t="n"/>
      <c r="E3289" s="61" t="n"/>
      <c r="F3289" s="55" t="n"/>
      <c r="G3289" s="56" t="n"/>
      <c r="H3289" s="55" t="n"/>
      <c r="I3289" s="62" t="n"/>
      <c r="J3289" s="58" t="n"/>
      <c r="K3289" s="63">
        <f>IF(tblMovement[[#This Row],[Source]]="","",IFERROR(INDEX(tblSources[Type],MATCH(tblMovement[[#This Row],[Source]],tblSources[Source],0)),"?"))</f>
        <v/>
      </c>
      <c r="L3289" s="63">
        <f>IF(tblMovement[[#This Row],[Destination]]="","",IFERROR(INDEX(tblDestinations[Type],MATCH(tblMovement[[#This Row],[Destination]],tblDestinations[Destination],0)),"?"))</f>
        <v/>
      </c>
      <c r="M3289" s="64">
        <f>IF(tblMovement[[#This Row],[Material]]="","",IF(LEFT(tblMovement[[#This Row],[Material]],3)="Ore",1,0))</f>
        <v/>
      </c>
      <c r="N3289" s="59">
        <f>IF(OR(tblMovement[[#This Row],[Tonnes_t]]="",tblMovement[[#This Row],[Grade_gpt]]=""),0,tblMovement[[#This Row],[Tonnes_t]]*tblMovement[[#This Row],[Grade_gpt]]/cfg_TroyOz)</f>
        <v/>
      </c>
      <c r="O3289" s="59">
        <f>IF(tblMovement[[#This Row],[Is_Ore]]=1,tblMovement[[#This Row],[Contained_oz]],0)</f>
        <v/>
      </c>
    </row>
    <row r="3290">
      <c r="A3290" s="54" t="n"/>
      <c r="B3290" s="61" t="n"/>
      <c r="C3290" s="61" t="n"/>
      <c r="D3290" s="61" t="n"/>
      <c r="E3290" s="61" t="n"/>
      <c r="F3290" s="55" t="n"/>
      <c r="G3290" s="56" t="n"/>
      <c r="H3290" s="55" t="n"/>
      <c r="I3290" s="62" t="n"/>
      <c r="J3290" s="58" t="n"/>
      <c r="K3290" s="63">
        <f>IF(tblMovement[[#This Row],[Source]]="","",IFERROR(INDEX(tblSources[Type],MATCH(tblMovement[[#This Row],[Source]],tblSources[Source],0)),"?"))</f>
        <v/>
      </c>
      <c r="L3290" s="63">
        <f>IF(tblMovement[[#This Row],[Destination]]="","",IFERROR(INDEX(tblDestinations[Type],MATCH(tblMovement[[#This Row],[Destination]],tblDestinations[Destination],0)),"?"))</f>
        <v/>
      </c>
      <c r="M3290" s="64">
        <f>IF(tblMovement[[#This Row],[Material]]="","",IF(LEFT(tblMovement[[#This Row],[Material]],3)="Ore",1,0))</f>
        <v/>
      </c>
      <c r="N3290" s="59">
        <f>IF(OR(tblMovement[[#This Row],[Tonnes_t]]="",tblMovement[[#This Row],[Grade_gpt]]=""),0,tblMovement[[#This Row],[Tonnes_t]]*tblMovement[[#This Row],[Grade_gpt]]/cfg_TroyOz)</f>
        <v/>
      </c>
      <c r="O3290" s="59">
        <f>IF(tblMovement[[#This Row],[Is_Ore]]=1,tblMovement[[#This Row],[Contained_oz]],0)</f>
        <v/>
      </c>
    </row>
    <row r="3291">
      <c r="A3291" s="54" t="n"/>
      <c r="B3291" s="61" t="n"/>
      <c r="C3291" s="61" t="n"/>
      <c r="D3291" s="61" t="n"/>
      <c r="E3291" s="61" t="n"/>
      <c r="F3291" s="55" t="n"/>
      <c r="G3291" s="56" t="n"/>
      <c r="H3291" s="55" t="n"/>
      <c r="I3291" s="62" t="n"/>
      <c r="J3291" s="58" t="n"/>
      <c r="K3291" s="63">
        <f>IF(tblMovement[[#This Row],[Source]]="","",IFERROR(INDEX(tblSources[Type],MATCH(tblMovement[[#This Row],[Source]],tblSources[Source],0)),"?"))</f>
        <v/>
      </c>
      <c r="L3291" s="63">
        <f>IF(tblMovement[[#This Row],[Destination]]="","",IFERROR(INDEX(tblDestinations[Type],MATCH(tblMovement[[#This Row],[Destination]],tblDestinations[Destination],0)),"?"))</f>
        <v/>
      </c>
      <c r="M3291" s="64">
        <f>IF(tblMovement[[#This Row],[Material]]="","",IF(LEFT(tblMovement[[#This Row],[Material]],3)="Ore",1,0))</f>
        <v/>
      </c>
      <c r="N3291" s="59">
        <f>IF(OR(tblMovement[[#This Row],[Tonnes_t]]="",tblMovement[[#This Row],[Grade_gpt]]=""),0,tblMovement[[#This Row],[Tonnes_t]]*tblMovement[[#This Row],[Grade_gpt]]/cfg_TroyOz)</f>
        <v/>
      </c>
      <c r="O3291" s="59">
        <f>IF(tblMovement[[#This Row],[Is_Ore]]=1,tblMovement[[#This Row],[Contained_oz]],0)</f>
        <v/>
      </c>
    </row>
    <row r="3292">
      <c r="A3292" s="54" t="n"/>
      <c r="B3292" s="61" t="n"/>
      <c r="C3292" s="61" t="n"/>
      <c r="D3292" s="61" t="n"/>
      <c r="E3292" s="61" t="n"/>
      <c r="F3292" s="55" t="n"/>
      <c r="G3292" s="56" t="n"/>
      <c r="H3292" s="55" t="n"/>
      <c r="I3292" s="62" t="n"/>
      <c r="J3292" s="58" t="n"/>
      <c r="K3292" s="63">
        <f>IF(tblMovement[[#This Row],[Source]]="","",IFERROR(INDEX(tblSources[Type],MATCH(tblMovement[[#This Row],[Source]],tblSources[Source],0)),"?"))</f>
        <v/>
      </c>
      <c r="L3292" s="63">
        <f>IF(tblMovement[[#This Row],[Destination]]="","",IFERROR(INDEX(tblDestinations[Type],MATCH(tblMovement[[#This Row],[Destination]],tblDestinations[Destination],0)),"?"))</f>
        <v/>
      </c>
      <c r="M3292" s="64">
        <f>IF(tblMovement[[#This Row],[Material]]="","",IF(LEFT(tblMovement[[#This Row],[Material]],3)="Ore",1,0))</f>
        <v/>
      </c>
      <c r="N3292" s="59">
        <f>IF(OR(tblMovement[[#This Row],[Tonnes_t]]="",tblMovement[[#This Row],[Grade_gpt]]=""),0,tblMovement[[#This Row],[Tonnes_t]]*tblMovement[[#This Row],[Grade_gpt]]/cfg_TroyOz)</f>
        <v/>
      </c>
      <c r="O3292" s="59">
        <f>IF(tblMovement[[#This Row],[Is_Ore]]=1,tblMovement[[#This Row],[Contained_oz]],0)</f>
        <v/>
      </c>
    </row>
    <row r="3293">
      <c r="A3293" s="54" t="n"/>
      <c r="B3293" s="61" t="n"/>
      <c r="C3293" s="61" t="n"/>
      <c r="D3293" s="61" t="n"/>
      <c r="E3293" s="61" t="n"/>
      <c r="F3293" s="55" t="n"/>
      <c r="G3293" s="56" t="n"/>
      <c r="H3293" s="55" t="n"/>
      <c r="I3293" s="62" t="n"/>
      <c r="J3293" s="58" t="n"/>
      <c r="K3293" s="63">
        <f>IF(tblMovement[[#This Row],[Source]]="","",IFERROR(INDEX(tblSources[Type],MATCH(tblMovement[[#This Row],[Source]],tblSources[Source],0)),"?"))</f>
        <v/>
      </c>
      <c r="L3293" s="63">
        <f>IF(tblMovement[[#This Row],[Destination]]="","",IFERROR(INDEX(tblDestinations[Type],MATCH(tblMovement[[#This Row],[Destination]],tblDestinations[Destination],0)),"?"))</f>
        <v/>
      </c>
      <c r="M3293" s="64">
        <f>IF(tblMovement[[#This Row],[Material]]="","",IF(LEFT(tblMovement[[#This Row],[Material]],3)="Ore",1,0))</f>
        <v/>
      </c>
      <c r="N3293" s="59">
        <f>IF(OR(tblMovement[[#This Row],[Tonnes_t]]="",tblMovement[[#This Row],[Grade_gpt]]=""),0,tblMovement[[#This Row],[Tonnes_t]]*tblMovement[[#This Row],[Grade_gpt]]/cfg_TroyOz)</f>
        <v/>
      </c>
      <c r="O3293" s="59">
        <f>IF(tblMovement[[#This Row],[Is_Ore]]=1,tblMovement[[#This Row],[Contained_oz]],0)</f>
        <v/>
      </c>
    </row>
    <row r="3294">
      <c r="A3294" s="54" t="n"/>
      <c r="B3294" s="61" t="n"/>
      <c r="C3294" s="61" t="n"/>
      <c r="D3294" s="61" t="n"/>
      <c r="E3294" s="61" t="n"/>
      <c r="F3294" s="55" t="n"/>
      <c r="G3294" s="56" t="n"/>
      <c r="H3294" s="55" t="n"/>
      <c r="I3294" s="62" t="n"/>
      <c r="J3294" s="58" t="n"/>
      <c r="K3294" s="63">
        <f>IF(tblMovement[[#This Row],[Source]]="","",IFERROR(INDEX(tblSources[Type],MATCH(tblMovement[[#This Row],[Source]],tblSources[Source],0)),"?"))</f>
        <v/>
      </c>
      <c r="L3294" s="63">
        <f>IF(tblMovement[[#This Row],[Destination]]="","",IFERROR(INDEX(tblDestinations[Type],MATCH(tblMovement[[#This Row],[Destination]],tblDestinations[Destination],0)),"?"))</f>
        <v/>
      </c>
      <c r="M3294" s="64">
        <f>IF(tblMovement[[#This Row],[Material]]="","",IF(LEFT(tblMovement[[#This Row],[Material]],3)="Ore",1,0))</f>
        <v/>
      </c>
      <c r="N3294" s="59">
        <f>IF(OR(tblMovement[[#This Row],[Tonnes_t]]="",tblMovement[[#This Row],[Grade_gpt]]=""),0,tblMovement[[#This Row],[Tonnes_t]]*tblMovement[[#This Row],[Grade_gpt]]/cfg_TroyOz)</f>
        <v/>
      </c>
      <c r="O3294" s="59">
        <f>IF(tblMovement[[#This Row],[Is_Ore]]=1,tblMovement[[#This Row],[Contained_oz]],0)</f>
        <v/>
      </c>
    </row>
    <row r="3295">
      <c r="A3295" s="54" t="n"/>
      <c r="B3295" s="61" t="n"/>
      <c r="C3295" s="61" t="n"/>
      <c r="D3295" s="61" t="n"/>
      <c r="E3295" s="61" t="n"/>
      <c r="F3295" s="55" t="n"/>
      <c r="G3295" s="56" t="n"/>
      <c r="H3295" s="55" t="n"/>
      <c r="I3295" s="62" t="n"/>
      <c r="J3295" s="58" t="n"/>
      <c r="K3295" s="63">
        <f>IF(tblMovement[[#This Row],[Source]]="","",IFERROR(INDEX(tblSources[Type],MATCH(tblMovement[[#This Row],[Source]],tblSources[Source],0)),"?"))</f>
        <v/>
      </c>
      <c r="L3295" s="63">
        <f>IF(tblMovement[[#This Row],[Destination]]="","",IFERROR(INDEX(tblDestinations[Type],MATCH(tblMovement[[#This Row],[Destination]],tblDestinations[Destination],0)),"?"))</f>
        <v/>
      </c>
      <c r="M3295" s="64">
        <f>IF(tblMovement[[#This Row],[Material]]="","",IF(LEFT(tblMovement[[#This Row],[Material]],3)="Ore",1,0))</f>
        <v/>
      </c>
      <c r="N3295" s="59">
        <f>IF(OR(tblMovement[[#This Row],[Tonnes_t]]="",tblMovement[[#This Row],[Grade_gpt]]=""),0,tblMovement[[#This Row],[Tonnes_t]]*tblMovement[[#This Row],[Grade_gpt]]/cfg_TroyOz)</f>
        <v/>
      </c>
      <c r="O3295" s="59">
        <f>IF(tblMovement[[#This Row],[Is_Ore]]=1,tblMovement[[#This Row],[Contained_oz]],0)</f>
        <v/>
      </c>
    </row>
    <row r="3296">
      <c r="A3296" s="54" t="n"/>
      <c r="B3296" s="61" t="n"/>
      <c r="C3296" s="61" t="n"/>
      <c r="D3296" s="61" t="n"/>
      <c r="E3296" s="61" t="n"/>
      <c r="F3296" s="55" t="n"/>
      <c r="G3296" s="56" t="n"/>
      <c r="H3296" s="55" t="n"/>
      <c r="I3296" s="62" t="n"/>
      <c r="J3296" s="58" t="n"/>
      <c r="K3296" s="63">
        <f>IF(tblMovement[[#This Row],[Source]]="","",IFERROR(INDEX(tblSources[Type],MATCH(tblMovement[[#This Row],[Source]],tblSources[Source],0)),"?"))</f>
        <v/>
      </c>
      <c r="L3296" s="63">
        <f>IF(tblMovement[[#This Row],[Destination]]="","",IFERROR(INDEX(tblDestinations[Type],MATCH(tblMovement[[#This Row],[Destination]],tblDestinations[Destination],0)),"?"))</f>
        <v/>
      </c>
      <c r="M3296" s="64">
        <f>IF(tblMovement[[#This Row],[Material]]="","",IF(LEFT(tblMovement[[#This Row],[Material]],3)="Ore",1,0))</f>
        <v/>
      </c>
      <c r="N3296" s="59">
        <f>IF(OR(tblMovement[[#This Row],[Tonnes_t]]="",tblMovement[[#This Row],[Grade_gpt]]=""),0,tblMovement[[#This Row],[Tonnes_t]]*tblMovement[[#This Row],[Grade_gpt]]/cfg_TroyOz)</f>
        <v/>
      </c>
      <c r="O3296" s="59">
        <f>IF(tblMovement[[#This Row],[Is_Ore]]=1,tblMovement[[#This Row],[Contained_oz]],0)</f>
        <v/>
      </c>
    </row>
    <row r="3297">
      <c r="A3297" s="54" t="n"/>
      <c r="B3297" s="61" t="n"/>
      <c r="C3297" s="61" t="n"/>
      <c r="D3297" s="61" t="n"/>
      <c r="E3297" s="61" t="n"/>
      <c r="F3297" s="55" t="n"/>
      <c r="G3297" s="56" t="n"/>
      <c r="H3297" s="55" t="n"/>
      <c r="I3297" s="62" t="n"/>
      <c r="J3297" s="58" t="n"/>
      <c r="K3297" s="63">
        <f>IF(tblMovement[[#This Row],[Source]]="","",IFERROR(INDEX(tblSources[Type],MATCH(tblMovement[[#This Row],[Source]],tblSources[Source],0)),"?"))</f>
        <v/>
      </c>
      <c r="L3297" s="63">
        <f>IF(tblMovement[[#This Row],[Destination]]="","",IFERROR(INDEX(tblDestinations[Type],MATCH(tblMovement[[#This Row],[Destination]],tblDestinations[Destination],0)),"?"))</f>
        <v/>
      </c>
      <c r="M3297" s="64">
        <f>IF(tblMovement[[#This Row],[Material]]="","",IF(LEFT(tblMovement[[#This Row],[Material]],3)="Ore",1,0))</f>
        <v/>
      </c>
      <c r="N3297" s="59">
        <f>IF(OR(tblMovement[[#This Row],[Tonnes_t]]="",tblMovement[[#This Row],[Grade_gpt]]=""),0,tblMovement[[#This Row],[Tonnes_t]]*tblMovement[[#This Row],[Grade_gpt]]/cfg_TroyOz)</f>
        <v/>
      </c>
      <c r="O3297" s="59">
        <f>IF(tblMovement[[#This Row],[Is_Ore]]=1,tblMovement[[#This Row],[Contained_oz]],0)</f>
        <v/>
      </c>
    </row>
    <row r="3298">
      <c r="A3298" s="54" t="n"/>
      <c r="B3298" s="61" t="n"/>
      <c r="C3298" s="61" t="n"/>
      <c r="D3298" s="61" t="n"/>
      <c r="E3298" s="61" t="n"/>
      <c r="F3298" s="55" t="n"/>
      <c r="G3298" s="56" t="n"/>
      <c r="H3298" s="55" t="n"/>
      <c r="I3298" s="62" t="n"/>
      <c r="J3298" s="58" t="n"/>
      <c r="K3298" s="63">
        <f>IF(tblMovement[[#This Row],[Source]]="","",IFERROR(INDEX(tblSources[Type],MATCH(tblMovement[[#This Row],[Source]],tblSources[Source],0)),"?"))</f>
        <v/>
      </c>
      <c r="L3298" s="63">
        <f>IF(tblMovement[[#This Row],[Destination]]="","",IFERROR(INDEX(tblDestinations[Type],MATCH(tblMovement[[#This Row],[Destination]],tblDestinations[Destination],0)),"?"))</f>
        <v/>
      </c>
      <c r="M3298" s="64">
        <f>IF(tblMovement[[#This Row],[Material]]="","",IF(LEFT(tblMovement[[#This Row],[Material]],3)="Ore",1,0))</f>
        <v/>
      </c>
      <c r="N3298" s="59">
        <f>IF(OR(tblMovement[[#This Row],[Tonnes_t]]="",tblMovement[[#This Row],[Grade_gpt]]=""),0,tblMovement[[#This Row],[Tonnes_t]]*tblMovement[[#This Row],[Grade_gpt]]/cfg_TroyOz)</f>
        <v/>
      </c>
      <c r="O3298" s="59">
        <f>IF(tblMovement[[#This Row],[Is_Ore]]=1,tblMovement[[#This Row],[Contained_oz]],0)</f>
        <v/>
      </c>
    </row>
    <row r="3299">
      <c r="A3299" s="54" t="n"/>
      <c r="B3299" s="61" t="n"/>
      <c r="C3299" s="61" t="n"/>
      <c r="D3299" s="61" t="n"/>
      <c r="E3299" s="61" t="n"/>
      <c r="F3299" s="55" t="n"/>
      <c r="G3299" s="56" t="n"/>
      <c r="H3299" s="55" t="n"/>
      <c r="I3299" s="62" t="n"/>
      <c r="J3299" s="58" t="n"/>
      <c r="K3299" s="63">
        <f>IF(tblMovement[[#This Row],[Source]]="","",IFERROR(INDEX(tblSources[Type],MATCH(tblMovement[[#This Row],[Source]],tblSources[Source],0)),"?"))</f>
        <v/>
      </c>
      <c r="L3299" s="63">
        <f>IF(tblMovement[[#This Row],[Destination]]="","",IFERROR(INDEX(tblDestinations[Type],MATCH(tblMovement[[#This Row],[Destination]],tblDestinations[Destination],0)),"?"))</f>
        <v/>
      </c>
      <c r="M3299" s="64">
        <f>IF(tblMovement[[#This Row],[Material]]="","",IF(LEFT(tblMovement[[#This Row],[Material]],3)="Ore",1,0))</f>
        <v/>
      </c>
      <c r="N3299" s="59">
        <f>IF(OR(tblMovement[[#This Row],[Tonnes_t]]="",tblMovement[[#This Row],[Grade_gpt]]=""),0,tblMovement[[#This Row],[Tonnes_t]]*tblMovement[[#This Row],[Grade_gpt]]/cfg_TroyOz)</f>
        <v/>
      </c>
      <c r="O3299" s="59">
        <f>IF(tblMovement[[#This Row],[Is_Ore]]=1,tblMovement[[#This Row],[Contained_oz]],0)</f>
        <v/>
      </c>
    </row>
    <row r="3300">
      <c r="A3300" s="54" t="n"/>
      <c r="B3300" s="61" t="n"/>
      <c r="C3300" s="61" t="n"/>
      <c r="D3300" s="61" t="n"/>
      <c r="E3300" s="61" t="n"/>
      <c r="F3300" s="55" t="n"/>
      <c r="G3300" s="56" t="n"/>
      <c r="H3300" s="55" t="n"/>
      <c r="I3300" s="62" t="n"/>
      <c r="J3300" s="58" t="n"/>
      <c r="K3300" s="63">
        <f>IF(tblMovement[[#This Row],[Source]]="","",IFERROR(INDEX(tblSources[Type],MATCH(tblMovement[[#This Row],[Source]],tblSources[Source],0)),"?"))</f>
        <v/>
      </c>
      <c r="L3300" s="63">
        <f>IF(tblMovement[[#This Row],[Destination]]="","",IFERROR(INDEX(tblDestinations[Type],MATCH(tblMovement[[#This Row],[Destination]],tblDestinations[Destination],0)),"?"))</f>
        <v/>
      </c>
      <c r="M3300" s="64">
        <f>IF(tblMovement[[#This Row],[Material]]="","",IF(LEFT(tblMovement[[#This Row],[Material]],3)="Ore",1,0))</f>
        <v/>
      </c>
      <c r="N3300" s="59">
        <f>IF(OR(tblMovement[[#This Row],[Tonnes_t]]="",tblMovement[[#This Row],[Grade_gpt]]=""),0,tblMovement[[#This Row],[Tonnes_t]]*tblMovement[[#This Row],[Grade_gpt]]/cfg_TroyOz)</f>
        <v/>
      </c>
      <c r="O3300" s="59">
        <f>IF(tblMovement[[#This Row],[Is_Ore]]=1,tblMovement[[#This Row],[Contained_oz]],0)</f>
        <v/>
      </c>
    </row>
    <row r="3301">
      <c r="A3301" s="54" t="n"/>
      <c r="B3301" s="61" t="n"/>
      <c r="C3301" s="61" t="n"/>
      <c r="D3301" s="61" t="n"/>
      <c r="E3301" s="61" t="n"/>
      <c r="F3301" s="55" t="n"/>
      <c r="G3301" s="56" t="n"/>
      <c r="H3301" s="55" t="n"/>
      <c r="I3301" s="62" t="n"/>
      <c r="J3301" s="58" t="n"/>
      <c r="K3301" s="63">
        <f>IF(tblMovement[[#This Row],[Source]]="","",IFERROR(INDEX(tblSources[Type],MATCH(tblMovement[[#This Row],[Source]],tblSources[Source],0)),"?"))</f>
        <v/>
      </c>
      <c r="L3301" s="63">
        <f>IF(tblMovement[[#This Row],[Destination]]="","",IFERROR(INDEX(tblDestinations[Type],MATCH(tblMovement[[#This Row],[Destination]],tblDestinations[Destination],0)),"?"))</f>
        <v/>
      </c>
      <c r="M3301" s="64">
        <f>IF(tblMovement[[#This Row],[Material]]="","",IF(LEFT(tblMovement[[#This Row],[Material]],3)="Ore",1,0))</f>
        <v/>
      </c>
      <c r="N3301" s="59">
        <f>IF(OR(tblMovement[[#This Row],[Tonnes_t]]="",tblMovement[[#This Row],[Grade_gpt]]=""),0,tblMovement[[#This Row],[Tonnes_t]]*tblMovement[[#This Row],[Grade_gpt]]/cfg_TroyOz)</f>
        <v/>
      </c>
      <c r="O3301" s="59">
        <f>IF(tblMovement[[#This Row],[Is_Ore]]=1,tblMovement[[#This Row],[Contained_oz]],0)</f>
        <v/>
      </c>
    </row>
    <row r="3302">
      <c r="A3302" s="54" t="n"/>
      <c r="B3302" s="61" t="n"/>
      <c r="C3302" s="61" t="n"/>
      <c r="D3302" s="61" t="n"/>
      <c r="E3302" s="61" t="n"/>
      <c r="F3302" s="55" t="n"/>
      <c r="G3302" s="56" t="n"/>
      <c r="H3302" s="55" t="n"/>
      <c r="I3302" s="62" t="n"/>
      <c r="J3302" s="58" t="n"/>
      <c r="K3302" s="63">
        <f>IF(tblMovement[[#This Row],[Source]]="","",IFERROR(INDEX(tblSources[Type],MATCH(tblMovement[[#This Row],[Source]],tblSources[Source],0)),"?"))</f>
        <v/>
      </c>
      <c r="L3302" s="63">
        <f>IF(tblMovement[[#This Row],[Destination]]="","",IFERROR(INDEX(tblDestinations[Type],MATCH(tblMovement[[#This Row],[Destination]],tblDestinations[Destination],0)),"?"))</f>
        <v/>
      </c>
      <c r="M3302" s="64">
        <f>IF(tblMovement[[#This Row],[Material]]="","",IF(LEFT(tblMovement[[#This Row],[Material]],3)="Ore",1,0))</f>
        <v/>
      </c>
      <c r="N3302" s="59">
        <f>IF(OR(tblMovement[[#This Row],[Tonnes_t]]="",tblMovement[[#This Row],[Grade_gpt]]=""),0,tblMovement[[#This Row],[Tonnes_t]]*tblMovement[[#This Row],[Grade_gpt]]/cfg_TroyOz)</f>
        <v/>
      </c>
      <c r="O3302" s="59">
        <f>IF(tblMovement[[#This Row],[Is_Ore]]=1,tblMovement[[#This Row],[Contained_oz]],0)</f>
        <v/>
      </c>
    </row>
    <row r="3303">
      <c r="A3303" s="54" t="n"/>
      <c r="B3303" s="61" t="n"/>
      <c r="C3303" s="61" t="n"/>
      <c r="D3303" s="61" t="n"/>
      <c r="E3303" s="61" t="n"/>
      <c r="F3303" s="55" t="n"/>
      <c r="G3303" s="56" t="n"/>
      <c r="H3303" s="55" t="n"/>
      <c r="I3303" s="62" t="n"/>
      <c r="J3303" s="58" t="n"/>
      <c r="K3303" s="63">
        <f>IF(tblMovement[[#This Row],[Source]]="","",IFERROR(INDEX(tblSources[Type],MATCH(tblMovement[[#This Row],[Source]],tblSources[Source],0)),"?"))</f>
        <v/>
      </c>
      <c r="L3303" s="63">
        <f>IF(tblMovement[[#This Row],[Destination]]="","",IFERROR(INDEX(tblDestinations[Type],MATCH(tblMovement[[#This Row],[Destination]],tblDestinations[Destination],0)),"?"))</f>
        <v/>
      </c>
      <c r="M3303" s="64">
        <f>IF(tblMovement[[#This Row],[Material]]="","",IF(LEFT(tblMovement[[#This Row],[Material]],3)="Ore",1,0))</f>
        <v/>
      </c>
      <c r="N3303" s="59">
        <f>IF(OR(tblMovement[[#This Row],[Tonnes_t]]="",tblMovement[[#This Row],[Grade_gpt]]=""),0,tblMovement[[#This Row],[Tonnes_t]]*tblMovement[[#This Row],[Grade_gpt]]/cfg_TroyOz)</f>
        <v/>
      </c>
      <c r="O3303" s="59">
        <f>IF(tblMovement[[#This Row],[Is_Ore]]=1,tblMovement[[#This Row],[Contained_oz]],0)</f>
        <v/>
      </c>
    </row>
    <row r="3304">
      <c r="A3304" s="54" t="n"/>
      <c r="B3304" s="61" t="n"/>
      <c r="C3304" s="61" t="n"/>
      <c r="D3304" s="61" t="n"/>
      <c r="E3304" s="61" t="n"/>
      <c r="F3304" s="55" t="n"/>
      <c r="G3304" s="56" t="n"/>
      <c r="H3304" s="55" t="n"/>
      <c r="I3304" s="62" t="n"/>
      <c r="J3304" s="58" t="n"/>
      <c r="K3304" s="63">
        <f>IF(tblMovement[[#This Row],[Source]]="","",IFERROR(INDEX(tblSources[Type],MATCH(tblMovement[[#This Row],[Source]],tblSources[Source],0)),"?"))</f>
        <v/>
      </c>
      <c r="L3304" s="63">
        <f>IF(tblMovement[[#This Row],[Destination]]="","",IFERROR(INDEX(tblDestinations[Type],MATCH(tblMovement[[#This Row],[Destination]],tblDestinations[Destination],0)),"?"))</f>
        <v/>
      </c>
      <c r="M3304" s="64">
        <f>IF(tblMovement[[#This Row],[Material]]="","",IF(LEFT(tblMovement[[#This Row],[Material]],3)="Ore",1,0))</f>
        <v/>
      </c>
      <c r="N3304" s="59">
        <f>IF(OR(tblMovement[[#This Row],[Tonnes_t]]="",tblMovement[[#This Row],[Grade_gpt]]=""),0,tblMovement[[#This Row],[Tonnes_t]]*tblMovement[[#This Row],[Grade_gpt]]/cfg_TroyOz)</f>
        <v/>
      </c>
      <c r="O3304" s="59">
        <f>IF(tblMovement[[#This Row],[Is_Ore]]=1,tblMovement[[#This Row],[Contained_oz]],0)</f>
        <v/>
      </c>
    </row>
    <row r="3305">
      <c r="A3305" s="54" t="n"/>
      <c r="B3305" s="61" t="n"/>
      <c r="C3305" s="61" t="n"/>
      <c r="D3305" s="61" t="n"/>
      <c r="E3305" s="61" t="n"/>
      <c r="F3305" s="55" t="n"/>
      <c r="G3305" s="56" t="n"/>
      <c r="H3305" s="55" t="n"/>
      <c r="I3305" s="62" t="n"/>
      <c r="J3305" s="58" t="n"/>
      <c r="K3305" s="63">
        <f>IF(tblMovement[[#This Row],[Source]]="","",IFERROR(INDEX(tblSources[Type],MATCH(tblMovement[[#This Row],[Source]],tblSources[Source],0)),"?"))</f>
        <v/>
      </c>
      <c r="L3305" s="63">
        <f>IF(tblMovement[[#This Row],[Destination]]="","",IFERROR(INDEX(tblDestinations[Type],MATCH(tblMovement[[#This Row],[Destination]],tblDestinations[Destination],0)),"?"))</f>
        <v/>
      </c>
      <c r="M3305" s="64">
        <f>IF(tblMovement[[#This Row],[Material]]="","",IF(LEFT(tblMovement[[#This Row],[Material]],3)="Ore",1,0))</f>
        <v/>
      </c>
      <c r="N3305" s="59">
        <f>IF(OR(tblMovement[[#This Row],[Tonnes_t]]="",tblMovement[[#This Row],[Grade_gpt]]=""),0,tblMovement[[#This Row],[Tonnes_t]]*tblMovement[[#This Row],[Grade_gpt]]/cfg_TroyOz)</f>
        <v/>
      </c>
      <c r="O3305" s="59">
        <f>IF(tblMovement[[#This Row],[Is_Ore]]=1,tblMovement[[#This Row],[Contained_oz]],0)</f>
        <v/>
      </c>
    </row>
    <row r="3306">
      <c r="A3306" s="54" t="n"/>
      <c r="B3306" s="61" t="n"/>
      <c r="C3306" s="61" t="n"/>
      <c r="D3306" s="61" t="n"/>
      <c r="E3306" s="61" t="n"/>
      <c r="F3306" s="55" t="n"/>
      <c r="G3306" s="56" t="n"/>
      <c r="H3306" s="55" t="n"/>
      <c r="I3306" s="62" t="n"/>
      <c r="J3306" s="58" t="n"/>
      <c r="K3306" s="63">
        <f>IF(tblMovement[[#This Row],[Source]]="","",IFERROR(INDEX(tblSources[Type],MATCH(tblMovement[[#This Row],[Source]],tblSources[Source],0)),"?"))</f>
        <v/>
      </c>
      <c r="L3306" s="63">
        <f>IF(tblMovement[[#This Row],[Destination]]="","",IFERROR(INDEX(tblDestinations[Type],MATCH(tblMovement[[#This Row],[Destination]],tblDestinations[Destination],0)),"?"))</f>
        <v/>
      </c>
      <c r="M3306" s="64">
        <f>IF(tblMovement[[#This Row],[Material]]="","",IF(LEFT(tblMovement[[#This Row],[Material]],3)="Ore",1,0))</f>
        <v/>
      </c>
      <c r="N3306" s="59">
        <f>IF(OR(tblMovement[[#This Row],[Tonnes_t]]="",tblMovement[[#This Row],[Grade_gpt]]=""),0,tblMovement[[#This Row],[Tonnes_t]]*tblMovement[[#This Row],[Grade_gpt]]/cfg_TroyOz)</f>
        <v/>
      </c>
      <c r="O3306" s="59">
        <f>IF(tblMovement[[#This Row],[Is_Ore]]=1,tblMovement[[#This Row],[Contained_oz]],0)</f>
        <v/>
      </c>
    </row>
    <row r="3307">
      <c r="A3307" s="54" t="n"/>
      <c r="B3307" s="61" t="n"/>
      <c r="C3307" s="61" t="n"/>
      <c r="D3307" s="61" t="n"/>
      <c r="E3307" s="61" t="n"/>
      <c r="F3307" s="55" t="n"/>
      <c r="G3307" s="56" t="n"/>
      <c r="H3307" s="55" t="n"/>
      <c r="I3307" s="62" t="n"/>
      <c r="J3307" s="58" t="n"/>
      <c r="K3307" s="63">
        <f>IF(tblMovement[[#This Row],[Source]]="","",IFERROR(INDEX(tblSources[Type],MATCH(tblMovement[[#This Row],[Source]],tblSources[Source],0)),"?"))</f>
        <v/>
      </c>
      <c r="L3307" s="63">
        <f>IF(tblMovement[[#This Row],[Destination]]="","",IFERROR(INDEX(tblDestinations[Type],MATCH(tblMovement[[#This Row],[Destination]],tblDestinations[Destination],0)),"?"))</f>
        <v/>
      </c>
      <c r="M3307" s="64">
        <f>IF(tblMovement[[#This Row],[Material]]="","",IF(LEFT(tblMovement[[#This Row],[Material]],3)="Ore",1,0))</f>
        <v/>
      </c>
      <c r="N3307" s="59">
        <f>IF(OR(tblMovement[[#This Row],[Tonnes_t]]="",tblMovement[[#This Row],[Grade_gpt]]=""),0,tblMovement[[#This Row],[Tonnes_t]]*tblMovement[[#This Row],[Grade_gpt]]/cfg_TroyOz)</f>
        <v/>
      </c>
      <c r="O3307" s="59">
        <f>IF(tblMovement[[#This Row],[Is_Ore]]=1,tblMovement[[#This Row],[Contained_oz]],0)</f>
        <v/>
      </c>
    </row>
    <row r="3308">
      <c r="A3308" s="54" t="n"/>
      <c r="B3308" s="61" t="n"/>
      <c r="C3308" s="61" t="n"/>
      <c r="D3308" s="61" t="n"/>
      <c r="E3308" s="61" t="n"/>
      <c r="F3308" s="55" t="n"/>
      <c r="G3308" s="56" t="n"/>
      <c r="H3308" s="55" t="n"/>
      <c r="I3308" s="62" t="n"/>
      <c r="J3308" s="58" t="n"/>
      <c r="K3308" s="63">
        <f>IF(tblMovement[[#This Row],[Source]]="","",IFERROR(INDEX(tblSources[Type],MATCH(tblMovement[[#This Row],[Source]],tblSources[Source],0)),"?"))</f>
        <v/>
      </c>
      <c r="L3308" s="63">
        <f>IF(tblMovement[[#This Row],[Destination]]="","",IFERROR(INDEX(tblDestinations[Type],MATCH(tblMovement[[#This Row],[Destination]],tblDestinations[Destination],0)),"?"))</f>
        <v/>
      </c>
      <c r="M3308" s="64">
        <f>IF(tblMovement[[#This Row],[Material]]="","",IF(LEFT(tblMovement[[#This Row],[Material]],3)="Ore",1,0))</f>
        <v/>
      </c>
      <c r="N3308" s="59">
        <f>IF(OR(tblMovement[[#This Row],[Tonnes_t]]="",tblMovement[[#This Row],[Grade_gpt]]=""),0,tblMovement[[#This Row],[Tonnes_t]]*tblMovement[[#This Row],[Grade_gpt]]/cfg_TroyOz)</f>
        <v/>
      </c>
      <c r="O3308" s="59">
        <f>IF(tblMovement[[#This Row],[Is_Ore]]=1,tblMovement[[#This Row],[Contained_oz]],0)</f>
        <v/>
      </c>
    </row>
    <row r="3309">
      <c r="A3309" s="54" t="n"/>
      <c r="B3309" s="61" t="n"/>
      <c r="C3309" s="61" t="n"/>
      <c r="D3309" s="61" t="n"/>
      <c r="E3309" s="61" t="n"/>
      <c r="F3309" s="55" t="n"/>
      <c r="G3309" s="56" t="n"/>
      <c r="H3309" s="55" t="n"/>
      <c r="I3309" s="62" t="n"/>
      <c r="J3309" s="58" t="n"/>
      <c r="K3309" s="63">
        <f>IF(tblMovement[[#This Row],[Source]]="","",IFERROR(INDEX(tblSources[Type],MATCH(tblMovement[[#This Row],[Source]],tblSources[Source],0)),"?"))</f>
        <v/>
      </c>
      <c r="L3309" s="63">
        <f>IF(tblMovement[[#This Row],[Destination]]="","",IFERROR(INDEX(tblDestinations[Type],MATCH(tblMovement[[#This Row],[Destination]],tblDestinations[Destination],0)),"?"))</f>
        <v/>
      </c>
      <c r="M3309" s="64">
        <f>IF(tblMovement[[#This Row],[Material]]="","",IF(LEFT(tblMovement[[#This Row],[Material]],3)="Ore",1,0))</f>
        <v/>
      </c>
      <c r="N3309" s="59">
        <f>IF(OR(tblMovement[[#This Row],[Tonnes_t]]="",tblMovement[[#This Row],[Grade_gpt]]=""),0,tblMovement[[#This Row],[Tonnes_t]]*tblMovement[[#This Row],[Grade_gpt]]/cfg_TroyOz)</f>
        <v/>
      </c>
      <c r="O3309" s="59">
        <f>IF(tblMovement[[#This Row],[Is_Ore]]=1,tblMovement[[#This Row],[Contained_oz]],0)</f>
        <v/>
      </c>
    </row>
    <row r="3310">
      <c r="A3310" s="54" t="n"/>
      <c r="B3310" s="61" t="n"/>
      <c r="C3310" s="61" t="n"/>
      <c r="D3310" s="61" t="n"/>
      <c r="E3310" s="61" t="n"/>
      <c r="F3310" s="55" t="n"/>
      <c r="G3310" s="56" t="n"/>
      <c r="H3310" s="55" t="n"/>
      <c r="I3310" s="62" t="n"/>
      <c r="J3310" s="58" t="n"/>
      <c r="K3310" s="63">
        <f>IF(tblMovement[[#This Row],[Source]]="","",IFERROR(INDEX(tblSources[Type],MATCH(tblMovement[[#This Row],[Source]],tblSources[Source],0)),"?"))</f>
        <v/>
      </c>
      <c r="L3310" s="63">
        <f>IF(tblMovement[[#This Row],[Destination]]="","",IFERROR(INDEX(tblDestinations[Type],MATCH(tblMovement[[#This Row],[Destination]],tblDestinations[Destination],0)),"?"))</f>
        <v/>
      </c>
      <c r="M3310" s="64">
        <f>IF(tblMovement[[#This Row],[Material]]="","",IF(LEFT(tblMovement[[#This Row],[Material]],3)="Ore",1,0))</f>
        <v/>
      </c>
      <c r="N3310" s="59">
        <f>IF(OR(tblMovement[[#This Row],[Tonnes_t]]="",tblMovement[[#This Row],[Grade_gpt]]=""),0,tblMovement[[#This Row],[Tonnes_t]]*tblMovement[[#This Row],[Grade_gpt]]/cfg_TroyOz)</f>
        <v/>
      </c>
      <c r="O3310" s="59">
        <f>IF(tblMovement[[#This Row],[Is_Ore]]=1,tblMovement[[#This Row],[Contained_oz]],0)</f>
        <v/>
      </c>
    </row>
    <row r="3311">
      <c r="A3311" s="54" t="n"/>
      <c r="B3311" s="61" t="n"/>
      <c r="C3311" s="61" t="n"/>
      <c r="D3311" s="61" t="n"/>
      <c r="E3311" s="61" t="n"/>
      <c r="F3311" s="55" t="n"/>
      <c r="G3311" s="56" t="n"/>
      <c r="H3311" s="55" t="n"/>
      <c r="I3311" s="62" t="n"/>
      <c r="J3311" s="58" t="n"/>
      <c r="K3311" s="63">
        <f>IF(tblMovement[[#This Row],[Source]]="","",IFERROR(INDEX(tblSources[Type],MATCH(tblMovement[[#This Row],[Source]],tblSources[Source],0)),"?"))</f>
        <v/>
      </c>
      <c r="L3311" s="63">
        <f>IF(tblMovement[[#This Row],[Destination]]="","",IFERROR(INDEX(tblDestinations[Type],MATCH(tblMovement[[#This Row],[Destination]],tblDestinations[Destination],0)),"?"))</f>
        <v/>
      </c>
      <c r="M3311" s="64">
        <f>IF(tblMovement[[#This Row],[Material]]="","",IF(LEFT(tblMovement[[#This Row],[Material]],3)="Ore",1,0))</f>
        <v/>
      </c>
      <c r="N3311" s="59">
        <f>IF(OR(tblMovement[[#This Row],[Tonnes_t]]="",tblMovement[[#This Row],[Grade_gpt]]=""),0,tblMovement[[#This Row],[Tonnes_t]]*tblMovement[[#This Row],[Grade_gpt]]/cfg_TroyOz)</f>
        <v/>
      </c>
      <c r="O3311" s="59">
        <f>IF(tblMovement[[#This Row],[Is_Ore]]=1,tblMovement[[#This Row],[Contained_oz]],0)</f>
        <v/>
      </c>
    </row>
    <row r="3312">
      <c r="A3312" s="54" t="n"/>
      <c r="B3312" s="61" t="n"/>
      <c r="C3312" s="61" t="n"/>
      <c r="D3312" s="61" t="n"/>
      <c r="E3312" s="61" t="n"/>
      <c r="F3312" s="55" t="n"/>
      <c r="G3312" s="56" t="n"/>
      <c r="H3312" s="55" t="n"/>
      <c r="I3312" s="62" t="n"/>
      <c r="J3312" s="58" t="n"/>
      <c r="K3312" s="63">
        <f>IF(tblMovement[[#This Row],[Source]]="","",IFERROR(INDEX(tblSources[Type],MATCH(tblMovement[[#This Row],[Source]],tblSources[Source],0)),"?"))</f>
        <v/>
      </c>
      <c r="L3312" s="63">
        <f>IF(tblMovement[[#This Row],[Destination]]="","",IFERROR(INDEX(tblDestinations[Type],MATCH(tblMovement[[#This Row],[Destination]],tblDestinations[Destination],0)),"?"))</f>
        <v/>
      </c>
      <c r="M3312" s="64">
        <f>IF(tblMovement[[#This Row],[Material]]="","",IF(LEFT(tblMovement[[#This Row],[Material]],3)="Ore",1,0))</f>
        <v/>
      </c>
      <c r="N3312" s="59">
        <f>IF(OR(tblMovement[[#This Row],[Tonnes_t]]="",tblMovement[[#This Row],[Grade_gpt]]=""),0,tblMovement[[#This Row],[Tonnes_t]]*tblMovement[[#This Row],[Grade_gpt]]/cfg_TroyOz)</f>
        <v/>
      </c>
      <c r="O3312" s="59">
        <f>IF(tblMovement[[#This Row],[Is_Ore]]=1,tblMovement[[#This Row],[Contained_oz]],0)</f>
        <v/>
      </c>
    </row>
    <row r="3313">
      <c r="A3313" s="54" t="n"/>
      <c r="B3313" s="61" t="n"/>
      <c r="C3313" s="61" t="n"/>
      <c r="D3313" s="61" t="n"/>
      <c r="E3313" s="61" t="n"/>
      <c r="F3313" s="55" t="n"/>
      <c r="G3313" s="56" t="n"/>
      <c r="H3313" s="55" t="n"/>
      <c r="I3313" s="62" t="n"/>
      <c r="J3313" s="58" t="n"/>
      <c r="K3313" s="63">
        <f>IF(tblMovement[[#This Row],[Source]]="","",IFERROR(INDEX(tblSources[Type],MATCH(tblMovement[[#This Row],[Source]],tblSources[Source],0)),"?"))</f>
        <v/>
      </c>
      <c r="L3313" s="63">
        <f>IF(tblMovement[[#This Row],[Destination]]="","",IFERROR(INDEX(tblDestinations[Type],MATCH(tblMovement[[#This Row],[Destination]],tblDestinations[Destination],0)),"?"))</f>
        <v/>
      </c>
      <c r="M3313" s="64">
        <f>IF(tblMovement[[#This Row],[Material]]="","",IF(LEFT(tblMovement[[#This Row],[Material]],3)="Ore",1,0))</f>
        <v/>
      </c>
      <c r="N3313" s="59">
        <f>IF(OR(tblMovement[[#This Row],[Tonnes_t]]="",tblMovement[[#This Row],[Grade_gpt]]=""),0,tblMovement[[#This Row],[Tonnes_t]]*tblMovement[[#This Row],[Grade_gpt]]/cfg_TroyOz)</f>
        <v/>
      </c>
      <c r="O3313" s="59">
        <f>IF(tblMovement[[#This Row],[Is_Ore]]=1,tblMovement[[#This Row],[Contained_oz]],0)</f>
        <v/>
      </c>
    </row>
    <row r="3314">
      <c r="A3314" s="54" t="n"/>
      <c r="B3314" s="61" t="n"/>
      <c r="C3314" s="61" t="n"/>
      <c r="D3314" s="61" t="n"/>
      <c r="E3314" s="61" t="n"/>
      <c r="F3314" s="55" t="n"/>
      <c r="G3314" s="56" t="n"/>
      <c r="H3314" s="55" t="n"/>
      <c r="I3314" s="62" t="n"/>
      <c r="J3314" s="58" t="n"/>
      <c r="K3314" s="63">
        <f>IF(tblMovement[[#This Row],[Source]]="","",IFERROR(INDEX(tblSources[Type],MATCH(tblMovement[[#This Row],[Source]],tblSources[Source],0)),"?"))</f>
        <v/>
      </c>
      <c r="L3314" s="63">
        <f>IF(tblMovement[[#This Row],[Destination]]="","",IFERROR(INDEX(tblDestinations[Type],MATCH(tblMovement[[#This Row],[Destination]],tblDestinations[Destination],0)),"?"))</f>
        <v/>
      </c>
      <c r="M3314" s="64">
        <f>IF(tblMovement[[#This Row],[Material]]="","",IF(LEFT(tblMovement[[#This Row],[Material]],3)="Ore",1,0))</f>
        <v/>
      </c>
      <c r="N3314" s="59">
        <f>IF(OR(tblMovement[[#This Row],[Tonnes_t]]="",tblMovement[[#This Row],[Grade_gpt]]=""),0,tblMovement[[#This Row],[Tonnes_t]]*tblMovement[[#This Row],[Grade_gpt]]/cfg_TroyOz)</f>
        <v/>
      </c>
      <c r="O3314" s="59">
        <f>IF(tblMovement[[#This Row],[Is_Ore]]=1,tblMovement[[#This Row],[Contained_oz]],0)</f>
        <v/>
      </c>
    </row>
    <row r="3315">
      <c r="A3315" s="54" t="n"/>
      <c r="B3315" s="61" t="n"/>
      <c r="C3315" s="61" t="n"/>
      <c r="D3315" s="61" t="n"/>
      <c r="E3315" s="61" t="n"/>
      <c r="F3315" s="55" t="n"/>
      <c r="G3315" s="56" t="n"/>
      <c r="H3315" s="55" t="n"/>
      <c r="I3315" s="62" t="n"/>
      <c r="J3315" s="58" t="n"/>
      <c r="K3315" s="63">
        <f>IF(tblMovement[[#This Row],[Source]]="","",IFERROR(INDEX(tblSources[Type],MATCH(tblMovement[[#This Row],[Source]],tblSources[Source],0)),"?"))</f>
        <v/>
      </c>
      <c r="L3315" s="63">
        <f>IF(tblMovement[[#This Row],[Destination]]="","",IFERROR(INDEX(tblDestinations[Type],MATCH(tblMovement[[#This Row],[Destination]],tblDestinations[Destination],0)),"?"))</f>
        <v/>
      </c>
      <c r="M3315" s="64">
        <f>IF(tblMovement[[#This Row],[Material]]="","",IF(LEFT(tblMovement[[#This Row],[Material]],3)="Ore",1,0))</f>
        <v/>
      </c>
      <c r="N3315" s="59">
        <f>IF(OR(tblMovement[[#This Row],[Tonnes_t]]="",tblMovement[[#This Row],[Grade_gpt]]=""),0,tblMovement[[#This Row],[Tonnes_t]]*tblMovement[[#This Row],[Grade_gpt]]/cfg_TroyOz)</f>
        <v/>
      </c>
      <c r="O3315" s="59">
        <f>IF(tblMovement[[#This Row],[Is_Ore]]=1,tblMovement[[#This Row],[Contained_oz]],0)</f>
        <v/>
      </c>
    </row>
    <row r="3316">
      <c r="A3316" s="54" t="n"/>
      <c r="B3316" s="61" t="n"/>
      <c r="C3316" s="61" t="n"/>
      <c r="D3316" s="61" t="n"/>
      <c r="E3316" s="61" t="n"/>
      <c r="F3316" s="55" t="n"/>
      <c r="G3316" s="56" t="n"/>
      <c r="H3316" s="55" t="n"/>
      <c r="I3316" s="62" t="n"/>
      <c r="J3316" s="58" t="n"/>
      <c r="K3316" s="63">
        <f>IF(tblMovement[[#This Row],[Source]]="","",IFERROR(INDEX(tblSources[Type],MATCH(tblMovement[[#This Row],[Source]],tblSources[Source],0)),"?"))</f>
        <v/>
      </c>
      <c r="L3316" s="63">
        <f>IF(tblMovement[[#This Row],[Destination]]="","",IFERROR(INDEX(tblDestinations[Type],MATCH(tblMovement[[#This Row],[Destination]],tblDestinations[Destination],0)),"?"))</f>
        <v/>
      </c>
      <c r="M3316" s="64">
        <f>IF(tblMovement[[#This Row],[Material]]="","",IF(LEFT(tblMovement[[#This Row],[Material]],3)="Ore",1,0))</f>
        <v/>
      </c>
      <c r="N3316" s="59">
        <f>IF(OR(tblMovement[[#This Row],[Tonnes_t]]="",tblMovement[[#This Row],[Grade_gpt]]=""),0,tblMovement[[#This Row],[Tonnes_t]]*tblMovement[[#This Row],[Grade_gpt]]/cfg_TroyOz)</f>
        <v/>
      </c>
      <c r="O3316" s="59">
        <f>IF(tblMovement[[#This Row],[Is_Ore]]=1,tblMovement[[#This Row],[Contained_oz]],0)</f>
        <v/>
      </c>
    </row>
    <row r="3317">
      <c r="A3317" s="54" t="n"/>
      <c r="B3317" s="61" t="n"/>
      <c r="C3317" s="61" t="n"/>
      <c r="D3317" s="61" t="n"/>
      <c r="E3317" s="61" t="n"/>
      <c r="F3317" s="55" t="n"/>
      <c r="G3317" s="56" t="n"/>
      <c r="H3317" s="55" t="n"/>
      <c r="I3317" s="62" t="n"/>
      <c r="J3317" s="58" t="n"/>
      <c r="K3317" s="63">
        <f>IF(tblMovement[[#This Row],[Source]]="","",IFERROR(INDEX(tblSources[Type],MATCH(tblMovement[[#This Row],[Source]],tblSources[Source],0)),"?"))</f>
        <v/>
      </c>
      <c r="L3317" s="63">
        <f>IF(tblMovement[[#This Row],[Destination]]="","",IFERROR(INDEX(tblDestinations[Type],MATCH(tblMovement[[#This Row],[Destination]],tblDestinations[Destination],0)),"?"))</f>
        <v/>
      </c>
      <c r="M3317" s="64">
        <f>IF(tblMovement[[#This Row],[Material]]="","",IF(LEFT(tblMovement[[#This Row],[Material]],3)="Ore",1,0))</f>
        <v/>
      </c>
      <c r="N3317" s="59">
        <f>IF(OR(tblMovement[[#This Row],[Tonnes_t]]="",tblMovement[[#This Row],[Grade_gpt]]=""),0,tblMovement[[#This Row],[Tonnes_t]]*tblMovement[[#This Row],[Grade_gpt]]/cfg_TroyOz)</f>
        <v/>
      </c>
      <c r="O3317" s="59">
        <f>IF(tblMovement[[#This Row],[Is_Ore]]=1,tblMovement[[#This Row],[Contained_oz]],0)</f>
        <v/>
      </c>
    </row>
    <row r="3318">
      <c r="A3318" s="54" t="n"/>
      <c r="B3318" s="61" t="n"/>
      <c r="C3318" s="61" t="n"/>
      <c r="D3318" s="61" t="n"/>
      <c r="E3318" s="61" t="n"/>
      <c r="F3318" s="55" t="n"/>
      <c r="G3318" s="56" t="n"/>
      <c r="H3318" s="55" t="n"/>
      <c r="I3318" s="62" t="n"/>
      <c r="J3318" s="58" t="n"/>
      <c r="K3318" s="63">
        <f>IF(tblMovement[[#This Row],[Source]]="","",IFERROR(INDEX(tblSources[Type],MATCH(tblMovement[[#This Row],[Source]],tblSources[Source],0)),"?"))</f>
        <v/>
      </c>
      <c r="L3318" s="63">
        <f>IF(tblMovement[[#This Row],[Destination]]="","",IFERROR(INDEX(tblDestinations[Type],MATCH(tblMovement[[#This Row],[Destination]],tblDestinations[Destination],0)),"?"))</f>
        <v/>
      </c>
      <c r="M3318" s="64">
        <f>IF(tblMovement[[#This Row],[Material]]="","",IF(LEFT(tblMovement[[#This Row],[Material]],3)="Ore",1,0))</f>
        <v/>
      </c>
      <c r="N3318" s="59">
        <f>IF(OR(tblMovement[[#This Row],[Tonnes_t]]="",tblMovement[[#This Row],[Grade_gpt]]=""),0,tblMovement[[#This Row],[Tonnes_t]]*tblMovement[[#This Row],[Grade_gpt]]/cfg_TroyOz)</f>
        <v/>
      </c>
      <c r="O3318" s="59">
        <f>IF(tblMovement[[#This Row],[Is_Ore]]=1,tblMovement[[#This Row],[Contained_oz]],0)</f>
        <v/>
      </c>
    </row>
    <row r="3319">
      <c r="A3319" s="54" t="n"/>
      <c r="B3319" s="61" t="n"/>
      <c r="C3319" s="61" t="n"/>
      <c r="D3319" s="61" t="n"/>
      <c r="E3319" s="61" t="n"/>
      <c r="F3319" s="55" t="n"/>
      <c r="G3319" s="56" t="n"/>
      <c r="H3319" s="55" t="n"/>
      <c r="I3319" s="62" t="n"/>
      <c r="J3319" s="58" t="n"/>
      <c r="K3319" s="63">
        <f>IF(tblMovement[[#This Row],[Source]]="","",IFERROR(INDEX(tblSources[Type],MATCH(tblMovement[[#This Row],[Source]],tblSources[Source],0)),"?"))</f>
        <v/>
      </c>
      <c r="L3319" s="63">
        <f>IF(tblMovement[[#This Row],[Destination]]="","",IFERROR(INDEX(tblDestinations[Type],MATCH(tblMovement[[#This Row],[Destination]],tblDestinations[Destination],0)),"?"))</f>
        <v/>
      </c>
      <c r="M3319" s="64">
        <f>IF(tblMovement[[#This Row],[Material]]="","",IF(LEFT(tblMovement[[#This Row],[Material]],3)="Ore",1,0))</f>
        <v/>
      </c>
      <c r="N3319" s="59">
        <f>IF(OR(tblMovement[[#This Row],[Tonnes_t]]="",tblMovement[[#This Row],[Grade_gpt]]=""),0,tblMovement[[#This Row],[Tonnes_t]]*tblMovement[[#This Row],[Grade_gpt]]/cfg_TroyOz)</f>
        <v/>
      </c>
      <c r="O3319" s="59">
        <f>IF(tblMovement[[#This Row],[Is_Ore]]=1,tblMovement[[#This Row],[Contained_oz]],0)</f>
        <v/>
      </c>
    </row>
    <row r="3320">
      <c r="A3320" s="54" t="n"/>
      <c r="B3320" s="61" t="n"/>
      <c r="C3320" s="61" t="n"/>
      <c r="D3320" s="61" t="n"/>
      <c r="E3320" s="61" t="n"/>
      <c r="F3320" s="55" t="n"/>
      <c r="G3320" s="56" t="n"/>
      <c r="H3320" s="55" t="n"/>
      <c r="I3320" s="62" t="n"/>
      <c r="J3320" s="58" t="n"/>
      <c r="K3320" s="63">
        <f>IF(tblMovement[[#This Row],[Source]]="","",IFERROR(INDEX(tblSources[Type],MATCH(tblMovement[[#This Row],[Source]],tblSources[Source],0)),"?"))</f>
        <v/>
      </c>
      <c r="L3320" s="63">
        <f>IF(tblMovement[[#This Row],[Destination]]="","",IFERROR(INDEX(tblDestinations[Type],MATCH(tblMovement[[#This Row],[Destination]],tblDestinations[Destination],0)),"?"))</f>
        <v/>
      </c>
      <c r="M3320" s="64">
        <f>IF(tblMovement[[#This Row],[Material]]="","",IF(LEFT(tblMovement[[#This Row],[Material]],3)="Ore",1,0))</f>
        <v/>
      </c>
      <c r="N3320" s="59">
        <f>IF(OR(tblMovement[[#This Row],[Tonnes_t]]="",tblMovement[[#This Row],[Grade_gpt]]=""),0,tblMovement[[#This Row],[Tonnes_t]]*tblMovement[[#This Row],[Grade_gpt]]/cfg_TroyOz)</f>
        <v/>
      </c>
      <c r="O3320" s="59">
        <f>IF(tblMovement[[#This Row],[Is_Ore]]=1,tblMovement[[#This Row],[Contained_oz]],0)</f>
        <v/>
      </c>
    </row>
    <row r="3321">
      <c r="A3321" s="54" t="n"/>
      <c r="B3321" s="61" t="n"/>
      <c r="C3321" s="61" t="n"/>
      <c r="D3321" s="61" t="n"/>
      <c r="E3321" s="61" t="n"/>
      <c r="F3321" s="55" t="n"/>
      <c r="G3321" s="56" t="n"/>
      <c r="H3321" s="55" t="n"/>
      <c r="I3321" s="62" t="n"/>
      <c r="J3321" s="58" t="n"/>
      <c r="K3321" s="63">
        <f>IF(tblMovement[[#This Row],[Source]]="","",IFERROR(INDEX(tblSources[Type],MATCH(tblMovement[[#This Row],[Source]],tblSources[Source],0)),"?"))</f>
        <v/>
      </c>
      <c r="L3321" s="63">
        <f>IF(tblMovement[[#This Row],[Destination]]="","",IFERROR(INDEX(tblDestinations[Type],MATCH(tblMovement[[#This Row],[Destination]],tblDestinations[Destination],0)),"?"))</f>
        <v/>
      </c>
      <c r="M3321" s="64">
        <f>IF(tblMovement[[#This Row],[Material]]="","",IF(LEFT(tblMovement[[#This Row],[Material]],3)="Ore",1,0))</f>
        <v/>
      </c>
      <c r="N3321" s="59">
        <f>IF(OR(tblMovement[[#This Row],[Tonnes_t]]="",tblMovement[[#This Row],[Grade_gpt]]=""),0,tblMovement[[#This Row],[Tonnes_t]]*tblMovement[[#This Row],[Grade_gpt]]/cfg_TroyOz)</f>
        <v/>
      </c>
      <c r="O3321" s="59">
        <f>IF(tblMovement[[#This Row],[Is_Ore]]=1,tblMovement[[#This Row],[Contained_oz]],0)</f>
        <v/>
      </c>
    </row>
    <row r="3322">
      <c r="A3322" s="54" t="n"/>
      <c r="B3322" s="61" t="n"/>
      <c r="C3322" s="61" t="n"/>
      <c r="D3322" s="61" t="n"/>
      <c r="E3322" s="61" t="n"/>
      <c r="F3322" s="55" t="n"/>
      <c r="G3322" s="56" t="n"/>
      <c r="H3322" s="55" t="n"/>
      <c r="I3322" s="62" t="n"/>
      <c r="J3322" s="58" t="n"/>
      <c r="K3322" s="63">
        <f>IF(tblMovement[[#This Row],[Source]]="","",IFERROR(INDEX(tblSources[Type],MATCH(tblMovement[[#This Row],[Source]],tblSources[Source],0)),"?"))</f>
        <v/>
      </c>
      <c r="L3322" s="63">
        <f>IF(tblMovement[[#This Row],[Destination]]="","",IFERROR(INDEX(tblDestinations[Type],MATCH(tblMovement[[#This Row],[Destination]],tblDestinations[Destination],0)),"?"))</f>
        <v/>
      </c>
      <c r="M3322" s="64">
        <f>IF(tblMovement[[#This Row],[Material]]="","",IF(LEFT(tblMovement[[#This Row],[Material]],3)="Ore",1,0))</f>
        <v/>
      </c>
      <c r="N3322" s="59">
        <f>IF(OR(tblMovement[[#This Row],[Tonnes_t]]="",tblMovement[[#This Row],[Grade_gpt]]=""),0,tblMovement[[#This Row],[Tonnes_t]]*tblMovement[[#This Row],[Grade_gpt]]/cfg_TroyOz)</f>
        <v/>
      </c>
      <c r="O3322" s="59">
        <f>IF(tblMovement[[#This Row],[Is_Ore]]=1,tblMovement[[#This Row],[Contained_oz]],0)</f>
        <v/>
      </c>
    </row>
    <row r="3323">
      <c r="A3323" s="54" t="n"/>
      <c r="B3323" s="61" t="n"/>
      <c r="C3323" s="61" t="n"/>
      <c r="D3323" s="61" t="n"/>
      <c r="E3323" s="61" t="n"/>
      <c r="F3323" s="55" t="n"/>
      <c r="G3323" s="56" t="n"/>
      <c r="H3323" s="55" t="n"/>
      <c r="I3323" s="62" t="n"/>
      <c r="J3323" s="58" t="n"/>
      <c r="K3323" s="63">
        <f>IF(tblMovement[[#This Row],[Source]]="","",IFERROR(INDEX(tblSources[Type],MATCH(tblMovement[[#This Row],[Source]],tblSources[Source],0)),"?"))</f>
        <v/>
      </c>
      <c r="L3323" s="63">
        <f>IF(tblMovement[[#This Row],[Destination]]="","",IFERROR(INDEX(tblDestinations[Type],MATCH(tblMovement[[#This Row],[Destination]],tblDestinations[Destination],0)),"?"))</f>
        <v/>
      </c>
      <c r="M3323" s="64">
        <f>IF(tblMovement[[#This Row],[Material]]="","",IF(LEFT(tblMovement[[#This Row],[Material]],3)="Ore",1,0))</f>
        <v/>
      </c>
      <c r="N3323" s="59">
        <f>IF(OR(tblMovement[[#This Row],[Tonnes_t]]="",tblMovement[[#This Row],[Grade_gpt]]=""),0,tblMovement[[#This Row],[Tonnes_t]]*tblMovement[[#This Row],[Grade_gpt]]/cfg_TroyOz)</f>
        <v/>
      </c>
      <c r="O3323" s="59">
        <f>IF(tblMovement[[#This Row],[Is_Ore]]=1,tblMovement[[#This Row],[Contained_oz]],0)</f>
        <v/>
      </c>
    </row>
    <row r="3324">
      <c r="A3324" s="54" t="n"/>
      <c r="B3324" s="61" t="n"/>
      <c r="C3324" s="61" t="n"/>
      <c r="D3324" s="61" t="n"/>
      <c r="E3324" s="61" t="n"/>
      <c r="F3324" s="55" t="n"/>
      <c r="G3324" s="56" t="n"/>
      <c r="H3324" s="55" t="n"/>
      <c r="I3324" s="62" t="n"/>
      <c r="J3324" s="58" t="n"/>
      <c r="K3324" s="63">
        <f>IF(tblMovement[[#This Row],[Source]]="","",IFERROR(INDEX(tblSources[Type],MATCH(tblMovement[[#This Row],[Source]],tblSources[Source],0)),"?"))</f>
        <v/>
      </c>
      <c r="L3324" s="63">
        <f>IF(tblMovement[[#This Row],[Destination]]="","",IFERROR(INDEX(tblDestinations[Type],MATCH(tblMovement[[#This Row],[Destination]],tblDestinations[Destination],0)),"?"))</f>
        <v/>
      </c>
      <c r="M3324" s="64">
        <f>IF(tblMovement[[#This Row],[Material]]="","",IF(LEFT(tblMovement[[#This Row],[Material]],3)="Ore",1,0))</f>
        <v/>
      </c>
      <c r="N3324" s="59">
        <f>IF(OR(tblMovement[[#This Row],[Tonnes_t]]="",tblMovement[[#This Row],[Grade_gpt]]=""),0,tblMovement[[#This Row],[Tonnes_t]]*tblMovement[[#This Row],[Grade_gpt]]/cfg_TroyOz)</f>
        <v/>
      </c>
      <c r="O3324" s="59">
        <f>IF(tblMovement[[#This Row],[Is_Ore]]=1,tblMovement[[#This Row],[Contained_oz]],0)</f>
        <v/>
      </c>
    </row>
    <row r="3325">
      <c r="A3325" s="54" t="n"/>
      <c r="B3325" s="61" t="n"/>
      <c r="C3325" s="61" t="n"/>
      <c r="D3325" s="61" t="n"/>
      <c r="E3325" s="61" t="n"/>
      <c r="F3325" s="55" t="n"/>
      <c r="G3325" s="56" t="n"/>
      <c r="H3325" s="55" t="n"/>
      <c r="I3325" s="62" t="n"/>
      <c r="J3325" s="58" t="n"/>
      <c r="K3325" s="63">
        <f>IF(tblMovement[[#This Row],[Source]]="","",IFERROR(INDEX(tblSources[Type],MATCH(tblMovement[[#This Row],[Source]],tblSources[Source],0)),"?"))</f>
        <v/>
      </c>
      <c r="L3325" s="63">
        <f>IF(tblMovement[[#This Row],[Destination]]="","",IFERROR(INDEX(tblDestinations[Type],MATCH(tblMovement[[#This Row],[Destination]],tblDestinations[Destination],0)),"?"))</f>
        <v/>
      </c>
      <c r="M3325" s="64">
        <f>IF(tblMovement[[#This Row],[Material]]="","",IF(LEFT(tblMovement[[#This Row],[Material]],3)="Ore",1,0))</f>
        <v/>
      </c>
      <c r="N3325" s="59">
        <f>IF(OR(tblMovement[[#This Row],[Tonnes_t]]="",tblMovement[[#This Row],[Grade_gpt]]=""),0,tblMovement[[#This Row],[Tonnes_t]]*tblMovement[[#This Row],[Grade_gpt]]/cfg_TroyOz)</f>
        <v/>
      </c>
      <c r="O3325" s="59">
        <f>IF(tblMovement[[#This Row],[Is_Ore]]=1,tblMovement[[#This Row],[Contained_oz]],0)</f>
        <v/>
      </c>
    </row>
    <row r="3326">
      <c r="A3326" s="54" t="n"/>
      <c r="B3326" s="61" t="n"/>
      <c r="C3326" s="61" t="n"/>
      <c r="D3326" s="61" t="n"/>
      <c r="E3326" s="61" t="n"/>
      <c r="F3326" s="55" t="n"/>
      <c r="G3326" s="56" t="n"/>
      <c r="H3326" s="55" t="n"/>
      <c r="I3326" s="62" t="n"/>
      <c r="J3326" s="58" t="n"/>
      <c r="K3326" s="63">
        <f>IF(tblMovement[[#This Row],[Source]]="","",IFERROR(INDEX(tblSources[Type],MATCH(tblMovement[[#This Row],[Source]],tblSources[Source],0)),"?"))</f>
        <v/>
      </c>
      <c r="L3326" s="63">
        <f>IF(tblMovement[[#This Row],[Destination]]="","",IFERROR(INDEX(tblDestinations[Type],MATCH(tblMovement[[#This Row],[Destination]],tblDestinations[Destination],0)),"?"))</f>
        <v/>
      </c>
      <c r="M3326" s="64">
        <f>IF(tblMovement[[#This Row],[Material]]="","",IF(LEFT(tblMovement[[#This Row],[Material]],3)="Ore",1,0))</f>
        <v/>
      </c>
      <c r="N3326" s="59">
        <f>IF(OR(tblMovement[[#This Row],[Tonnes_t]]="",tblMovement[[#This Row],[Grade_gpt]]=""),0,tblMovement[[#This Row],[Tonnes_t]]*tblMovement[[#This Row],[Grade_gpt]]/cfg_TroyOz)</f>
        <v/>
      </c>
      <c r="O3326" s="59">
        <f>IF(tblMovement[[#This Row],[Is_Ore]]=1,tblMovement[[#This Row],[Contained_oz]],0)</f>
        <v/>
      </c>
    </row>
    <row r="3327">
      <c r="A3327" s="54" t="n"/>
      <c r="B3327" s="61" t="n"/>
      <c r="C3327" s="61" t="n"/>
      <c r="D3327" s="61" t="n"/>
      <c r="E3327" s="61" t="n"/>
      <c r="F3327" s="55" t="n"/>
      <c r="G3327" s="56" t="n"/>
      <c r="H3327" s="55" t="n"/>
      <c r="I3327" s="62" t="n"/>
      <c r="J3327" s="58" t="n"/>
      <c r="K3327" s="63">
        <f>IF(tblMovement[[#This Row],[Source]]="","",IFERROR(INDEX(tblSources[Type],MATCH(tblMovement[[#This Row],[Source]],tblSources[Source],0)),"?"))</f>
        <v/>
      </c>
      <c r="L3327" s="63">
        <f>IF(tblMovement[[#This Row],[Destination]]="","",IFERROR(INDEX(tblDestinations[Type],MATCH(tblMovement[[#This Row],[Destination]],tblDestinations[Destination],0)),"?"))</f>
        <v/>
      </c>
      <c r="M3327" s="64">
        <f>IF(tblMovement[[#This Row],[Material]]="","",IF(LEFT(tblMovement[[#This Row],[Material]],3)="Ore",1,0))</f>
        <v/>
      </c>
      <c r="N3327" s="59">
        <f>IF(OR(tblMovement[[#This Row],[Tonnes_t]]="",tblMovement[[#This Row],[Grade_gpt]]=""),0,tblMovement[[#This Row],[Tonnes_t]]*tblMovement[[#This Row],[Grade_gpt]]/cfg_TroyOz)</f>
        <v/>
      </c>
      <c r="O3327" s="59">
        <f>IF(tblMovement[[#This Row],[Is_Ore]]=1,tblMovement[[#This Row],[Contained_oz]],0)</f>
        <v/>
      </c>
    </row>
    <row r="3328">
      <c r="A3328" s="54" t="n"/>
      <c r="B3328" s="61" t="n"/>
      <c r="C3328" s="61" t="n"/>
      <c r="D3328" s="61" t="n"/>
      <c r="E3328" s="61" t="n"/>
      <c r="F3328" s="55" t="n"/>
      <c r="G3328" s="56" t="n"/>
      <c r="H3328" s="55" t="n"/>
      <c r="I3328" s="62" t="n"/>
      <c r="J3328" s="58" t="n"/>
      <c r="K3328" s="63">
        <f>IF(tblMovement[[#This Row],[Source]]="","",IFERROR(INDEX(tblSources[Type],MATCH(tblMovement[[#This Row],[Source]],tblSources[Source],0)),"?"))</f>
        <v/>
      </c>
      <c r="L3328" s="63">
        <f>IF(tblMovement[[#This Row],[Destination]]="","",IFERROR(INDEX(tblDestinations[Type],MATCH(tblMovement[[#This Row],[Destination]],tblDestinations[Destination],0)),"?"))</f>
        <v/>
      </c>
      <c r="M3328" s="64">
        <f>IF(tblMovement[[#This Row],[Material]]="","",IF(LEFT(tblMovement[[#This Row],[Material]],3)="Ore",1,0))</f>
        <v/>
      </c>
      <c r="N3328" s="59">
        <f>IF(OR(tblMovement[[#This Row],[Tonnes_t]]="",tblMovement[[#This Row],[Grade_gpt]]=""),0,tblMovement[[#This Row],[Tonnes_t]]*tblMovement[[#This Row],[Grade_gpt]]/cfg_TroyOz)</f>
        <v/>
      </c>
      <c r="O3328" s="59">
        <f>IF(tblMovement[[#This Row],[Is_Ore]]=1,tblMovement[[#This Row],[Contained_oz]],0)</f>
        <v/>
      </c>
    </row>
    <row r="3329">
      <c r="A3329" s="54" t="n"/>
      <c r="B3329" s="61" t="n"/>
      <c r="C3329" s="61" t="n"/>
      <c r="D3329" s="61" t="n"/>
      <c r="E3329" s="61" t="n"/>
      <c r="F3329" s="55" t="n"/>
      <c r="G3329" s="56" t="n"/>
      <c r="H3329" s="55" t="n"/>
      <c r="I3329" s="62" t="n"/>
      <c r="J3329" s="58" t="n"/>
      <c r="K3329" s="63">
        <f>IF(tblMovement[[#This Row],[Source]]="","",IFERROR(INDEX(tblSources[Type],MATCH(tblMovement[[#This Row],[Source]],tblSources[Source],0)),"?"))</f>
        <v/>
      </c>
      <c r="L3329" s="63">
        <f>IF(tblMovement[[#This Row],[Destination]]="","",IFERROR(INDEX(tblDestinations[Type],MATCH(tblMovement[[#This Row],[Destination]],tblDestinations[Destination],0)),"?"))</f>
        <v/>
      </c>
      <c r="M3329" s="64">
        <f>IF(tblMovement[[#This Row],[Material]]="","",IF(LEFT(tblMovement[[#This Row],[Material]],3)="Ore",1,0))</f>
        <v/>
      </c>
      <c r="N3329" s="59">
        <f>IF(OR(tblMovement[[#This Row],[Tonnes_t]]="",tblMovement[[#This Row],[Grade_gpt]]=""),0,tblMovement[[#This Row],[Tonnes_t]]*tblMovement[[#This Row],[Grade_gpt]]/cfg_TroyOz)</f>
        <v/>
      </c>
      <c r="O3329" s="59">
        <f>IF(tblMovement[[#This Row],[Is_Ore]]=1,tblMovement[[#This Row],[Contained_oz]],0)</f>
        <v/>
      </c>
    </row>
    <row r="3330">
      <c r="A3330" s="54" t="n"/>
      <c r="B3330" s="61" t="n"/>
      <c r="C3330" s="61" t="n"/>
      <c r="D3330" s="61" t="n"/>
      <c r="E3330" s="61" t="n"/>
      <c r="F3330" s="55" t="n"/>
      <c r="G3330" s="56" t="n"/>
      <c r="H3330" s="55" t="n"/>
      <c r="I3330" s="62" t="n"/>
      <c r="J3330" s="58" t="n"/>
      <c r="K3330" s="63">
        <f>IF(tblMovement[[#This Row],[Source]]="","",IFERROR(INDEX(tblSources[Type],MATCH(tblMovement[[#This Row],[Source]],tblSources[Source],0)),"?"))</f>
        <v/>
      </c>
      <c r="L3330" s="63">
        <f>IF(tblMovement[[#This Row],[Destination]]="","",IFERROR(INDEX(tblDestinations[Type],MATCH(tblMovement[[#This Row],[Destination]],tblDestinations[Destination],0)),"?"))</f>
        <v/>
      </c>
      <c r="M3330" s="64">
        <f>IF(tblMovement[[#This Row],[Material]]="","",IF(LEFT(tblMovement[[#This Row],[Material]],3)="Ore",1,0))</f>
        <v/>
      </c>
      <c r="N3330" s="59">
        <f>IF(OR(tblMovement[[#This Row],[Tonnes_t]]="",tblMovement[[#This Row],[Grade_gpt]]=""),0,tblMovement[[#This Row],[Tonnes_t]]*tblMovement[[#This Row],[Grade_gpt]]/cfg_TroyOz)</f>
        <v/>
      </c>
      <c r="O3330" s="59">
        <f>IF(tblMovement[[#This Row],[Is_Ore]]=1,tblMovement[[#This Row],[Contained_oz]],0)</f>
        <v/>
      </c>
    </row>
    <row r="3331">
      <c r="A3331" s="54" t="n"/>
      <c r="B3331" s="61" t="n"/>
      <c r="C3331" s="61" t="n"/>
      <c r="D3331" s="61" t="n"/>
      <c r="E3331" s="61" t="n"/>
      <c r="F3331" s="55" t="n"/>
      <c r="G3331" s="56" t="n"/>
      <c r="H3331" s="55" t="n"/>
      <c r="I3331" s="62" t="n"/>
      <c r="J3331" s="58" t="n"/>
      <c r="K3331" s="63">
        <f>IF(tblMovement[[#This Row],[Source]]="","",IFERROR(INDEX(tblSources[Type],MATCH(tblMovement[[#This Row],[Source]],tblSources[Source],0)),"?"))</f>
        <v/>
      </c>
      <c r="L3331" s="63">
        <f>IF(tblMovement[[#This Row],[Destination]]="","",IFERROR(INDEX(tblDestinations[Type],MATCH(tblMovement[[#This Row],[Destination]],tblDestinations[Destination],0)),"?"))</f>
        <v/>
      </c>
      <c r="M3331" s="64">
        <f>IF(tblMovement[[#This Row],[Material]]="","",IF(LEFT(tblMovement[[#This Row],[Material]],3)="Ore",1,0))</f>
        <v/>
      </c>
      <c r="N3331" s="59">
        <f>IF(OR(tblMovement[[#This Row],[Tonnes_t]]="",tblMovement[[#This Row],[Grade_gpt]]=""),0,tblMovement[[#This Row],[Tonnes_t]]*tblMovement[[#This Row],[Grade_gpt]]/cfg_TroyOz)</f>
        <v/>
      </c>
      <c r="O3331" s="59">
        <f>IF(tblMovement[[#This Row],[Is_Ore]]=1,tblMovement[[#This Row],[Contained_oz]],0)</f>
        <v/>
      </c>
    </row>
    <row r="3332">
      <c r="A3332" s="54" t="n"/>
      <c r="B3332" s="61" t="n"/>
      <c r="C3332" s="61" t="n"/>
      <c r="D3332" s="61" t="n"/>
      <c r="E3332" s="61" t="n"/>
      <c r="F3332" s="55" t="n"/>
      <c r="G3332" s="56" t="n"/>
      <c r="H3332" s="55" t="n"/>
      <c r="I3332" s="62" t="n"/>
      <c r="J3332" s="58" t="n"/>
      <c r="K3332" s="63">
        <f>IF(tblMovement[[#This Row],[Source]]="","",IFERROR(INDEX(tblSources[Type],MATCH(tblMovement[[#This Row],[Source]],tblSources[Source],0)),"?"))</f>
        <v/>
      </c>
      <c r="L3332" s="63">
        <f>IF(tblMovement[[#This Row],[Destination]]="","",IFERROR(INDEX(tblDestinations[Type],MATCH(tblMovement[[#This Row],[Destination]],tblDestinations[Destination],0)),"?"))</f>
        <v/>
      </c>
      <c r="M3332" s="64">
        <f>IF(tblMovement[[#This Row],[Material]]="","",IF(LEFT(tblMovement[[#This Row],[Material]],3)="Ore",1,0))</f>
        <v/>
      </c>
      <c r="N3332" s="59">
        <f>IF(OR(tblMovement[[#This Row],[Tonnes_t]]="",tblMovement[[#This Row],[Grade_gpt]]=""),0,tblMovement[[#This Row],[Tonnes_t]]*tblMovement[[#This Row],[Grade_gpt]]/cfg_TroyOz)</f>
        <v/>
      </c>
      <c r="O3332" s="59">
        <f>IF(tblMovement[[#This Row],[Is_Ore]]=1,tblMovement[[#This Row],[Contained_oz]],0)</f>
        <v/>
      </c>
    </row>
    <row r="3333">
      <c r="A3333" s="54" t="n"/>
      <c r="B3333" s="61" t="n"/>
      <c r="C3333" s="61" t="n"/>
      <c r="D3333" s="61" t="n"/>
      <c r="E3333" s="61" t="n"/>
      <c r="F3333" s="55" t="n"/>
      <c r="G3333" s="56" t="n"/>
      <c r="H3333" s="55" t="n"/>
      <c r="I3333" s="62" t="n"/>
      <c r="J3333" s="58" t="n"/>
      <c r="K3333" s="63">
        <f>IF(tblMovement[[#This Row],[Source]]="","",IFERROR(INDEX(tblSources[Type],MATCH(tblMovement[[#This Row],[Source]],tblSources[Source],0)),"?"))</f>
        <v/>
      </c>
      <c r="L3333" s="63">
        <f>IF(tblMovement[[#This Row],[Destination]]="","",IFERROR(INDEX(tblDestinations[Type],MATCH(tblMovement[[#This Row],[Destination]],tblDestinations[Destination],0)),"?"))</f>
        <v/>
      </c>
      <c r="M3333" s="64">
        <f>IF(tblMovement[[#This Row],[Material]]="","",IF(LEFT(tblMovement[[#This Row],[Material]],3)="Ore",1,0))</f>
        <v/>
      </c>
      <c r="N3333" s="59">
        <f>IF(OR(tblMovement[[#This Row],[Tonnes_t]]="",tblMovement[[#This Row],[Grade_gpt]]=""),0,tblMovement[[#This Row],[Tonnes_t]]*tblMovement[[#This Row],[Grade_gpt]]/cfg_TroyOz)</f>
        <v/>
      </c>
      <c r="O3333" s="59">
        <f>IF(tblMovement[[#This Row],[Is_Ore]]=1,tblMovement[[#This Row],[Contained_oz]],0)</f>
        <v/>
      </c>
    </row>
    <row r="3334">
      <c r="A3334" s="54" t="n"/>
      <c r="B3334" s="61" t="n"/>
      <c r="C3334" s="61" t="n"/>
      <c r="D3334" s="61" t="n"/>
      <c r="E3334" s="61" t="n"/>
      <c r="F3334" s="55" t="n"/>
      <c r="G3334" s="56" t="n"/>
      <c r="H3334" s="55" t="n"/>
      <c r="I3334" s="62" t="n"/>
      <c r="J3334" s="58" t="n"/>
      <c r="K3334" s="63">
        <f>IF(tblMovement[[#This Row],[Source]]="","",IFERROR(INDEX(tblSources[Type],MATCH(tblMovement[[#This Row],[Source]],tblSources[Source],0)),"?"))</f>
        <v/>
      </c>
      <c r="L3334" s="63">
        <f>IF(tblMovement[[#This Row],[Destination]]="","",IFERROR(INDEX(tblDestinations[Type],MATCH(tblMovement[[#This Row],[Destination]],tblDestinations[Destination],0)),"?"))</f>
        <v/>
      </c>
      <c r="M3334" s="64">
        <f>IF(tblMovement[[#This Row],[Material]]="","",IF(LEFT(tblMovement[[#This Row],[Material]],3)="Ore",1,0))</f>
        <v/>
      </c>
      <c r="N3334" s="59">
        <f>IF(OR(tblMovement[[#This Row],[Tonnes_t]]="",tblMovement[[#This Row],[Grade_gpt]]=""),0,tblMovement[[#This Row],[Tonnes_t]]*tblMovement[[#This Row],[Grade_gpt]]/cfg_TroyOz)</f>
        <v/>
      </c>
      <c r="O3334" s="59">
        <f>IF(tblMovement[[#This Row],[Is_Ore]]=1,tblMovement[[#This Row],[Contained_oz]],0)</f>
        <v/>
      </c>
    </row>
    <row r="3335">
      <c r="A3335" s="54" t="n"/>
      <c r="B3335" s="61" t="n"/>
      <c r="C3335" s="61" t="n"/>
      <c r="D3335" s="61" t="n"/>
      <c r="E3335" s="61" t="n"/>
      <c r="F3335" s="55" t="n"/>
      <c r="G3335" s="56" t="n"/>
      <c r="H3335" s="55" t="n"/>
      <c r="I3335" s="62" t="n"/>
      <c r="J3335" s="58" t="n"/>
      <c r="K3335" s="63">
        <f>IF(tblMovement[[#This Row],[Source]]="","",IFERROR(INDEX(tblSources[Type],MATCH(tblMovement[[#This Row],[Source]],tblSources[Source],0)),"?"))</f>
        <v/>
      </c>
      <c r="L3335" s="63">
        <f>IF(tblMovement[[#This Row],[Destination]]="","",IFERROR(INDEX(tblDestinations[Type],MATCH(tblMovement[[#This Row],[Destination]],tblDestinations[Destination],0)),"?"))</f>
        <v/>
      </c>
      <c r="M3335" s="64">
        <f>IF(tblMovement[[#This Row],[Material]]="","",IF(LEFT(tblMovement[[#This Row],[Material]],3)="Ore",1,0))</f>
        <v/>
      </c>
      <c r="N3335" s="59">
        <f>IF(OR(tblMovement[[#This Row],[Tonnes_t]]="",tblMovement[[#This Row],[Grade_gpt]]=""),0,tblMovement[[#This Row],[Tonnes_t]]*tblMovement[[#This Row],[Grade_gpt]]/cfg_TroyOz)</f>
        <v/>
      </c>
      <c r="O3335" s="59">
        <f>IF(tblMovement[[#This Row],[Is_Ore]]=1,tblMovement[[#This Row],[Contained_oz]],0)</f>
        <v/>
      </c>
    </row>
    <row r="3336">
      <c r="A3336" s="54" t="n"/>
      <c r="B3336" s="61" t="n"/>
      <c r="C3336" s="61" t="n"/>
      <c r="D3336" s="61" t="n"/>
      <c r="E3336" s="61" t="n"/>
      <c r="F3336" s="55" t="n"/>
      <c r="G3336" s="56" t="n"/>
      <c r="H3336" s="55" t="n"/>
      <c r="I3336" s="62" t="n"/>
      <c r="J3336" s="58" t="n"/>
      <c r="K3336" s="63">
        <f>IF(tblMovement[[#This Row],[Source]]="","",IFERROR(INDEX(tblSources[Type],MATCH(tblMovement[[#This Row],[Source]],tblSources[Source],0)),"?"))</f>
        <v/>
      </c>
      <c r="L3336" s="63">
        <f>IF(tblMovement[[#This Row],[Destination]]="","",IFERROR(INDEX(tblDestinations[Type],MATCH(tblMovement[[#This Row],[Destination]],tblDestinations[Destination],0)),"?"))</f>
        <v/>
      </c>
      <c r="M3336" s="64">
        <f>IF(tblMovement[[#This Row],[Material]]="","",IF(LEFT(tblMovement[[#This Row],[Material]],3)="Ore",1,0))</f>
        <v/>
      </c>
      <c r="N3336" s="59">
        <f>IF(OR(tblMovement[[#This Row],[Tonnes_t]]="",tblMovement[[#This Row],[Grade_gpt]]=""),0,tblMovement[[#This Row],[Tonnes_t]]*tblMovement[[#This Row],[Grade_gpt]]/cfg_TroyOz)</f>
        <v/>
      </c>
      <c r="O3336" s="59">
        <f>IF(tblMovement[[#This Row],[Is_Ore]]=1,tblMovement[[#This Row],[Contained_oz]],0)</f>
        <v/>
      </c>
    </row>
    <row r="3337">
      <c r="A3337" s="54" t="n"/>
      <c r="B3337" s="61" t="n"/>
      <c r="C3337" s="61" t="n"/>
      <c r="D3337" s="61" t="n"/>
      <c r="E3337" s="61" t="n"/>
      <c r="F3337" s="55" t="n"/>
      <c r="G3337" s="56" t="n"/>
      <c r="H3337" s="55" t="n"/>
      <c r="I3337" s="62" t="n"/>
      <c r="J3337" s="58" t="n"/>
      <c r="K3337" s="63">
        <f>IF(tblMovement[[#This Row],[Source]]="","",IFERROR(INDEX(tblSources[Type],MATCH(tblMovement[[#This Row],[Source]],tblSources[Source],0)),"?"))</f>
        <v/>
      </c>
      <c r="L3337" s="63">
        <f>IF(tblMovement[[#This Row],[Destination]]="","",IFERROR(INDEX(tblDestinations[Type],MATCH(tblMovement[[#This Row],[Destination]],tblDestinations[Destination],0)),"?"))</f>
        <v/>
      </c>
      <c r="M3337" s="64">
        <f>IF(tblMovement[[#This Row],[Material]]="","",IF(LEFT(tblMovement[[#This Row],[Material]],3)="Ore",1,0))</f>
        <v/>
      </c>
      <c r="N3337" s="59">
        <f>IF(OR(tblMovement[[#This Row],[Tonnes_t]]="",tblMovement[[#This Row],[Grade_gpt]]=""),0,tblMovement[[#This Row],[Tonnes_t]]*tblMovement[[#This Row],[Grade_gpt]]/cfg_TroyOz)</f>
        <v/>
      </c>
      <c r="O3337" s="59">
        <f>IF(tblMovement[[#This Row],[Is_Ore]]=1,tblMovement[[#This Row],[Contained_oz]],0)</f>
        <v/>
      </c>
    </row>
    <row r="3338">
      <c r="A3338" s="54" t="n"/>
      <c r="B3338" s="61" t="n"/>
      <c r="C3338" s="61" t="n"/>
      <c r="D3338" s="61" t="n"/>
      <c r="E3338" s="61" t="n"/>
      <c r="F3338" s="55" t="n"/>
      <c r="G3338" s="56" t="n"/>
      <c r="H3338" s="55" t="n"/>
      <c r="I3338" s="62" t="n"/>
      <c r="J3338" s="58" t="n"/>
      <c r="K3338" s="63">
        <f>IF(tblMovement[[#This Row],[Source]]="","",IFERROR(INDEX(tblSources[Type],MATCH(tblMovement[[#This Row],[Source]],tblSources[Source],0)),"?"))</f>
        <v/>
      </c>
      <c r="L3338" s="63">
        <f>IF(tblMovement[[#This Row],[Destination]]="","",IFERROR(INDEX(tblDestinations[Type],MATCH(tblMovement[[#This Row],[Destination]],tblDestinations[Destination],0)),"?"))</f>
        <v/>
      </c>
      <c r="M3338" s="64">
        <f>IF(tblMovement[[#This Row],[Material]]="","",IF(LEFT(tblMovement[[#This Row],[Material]],3)="Ore",1,0))</f>
        <v/>
      </c>
      <c r="N3338" s="59">
        <f>IF(OR(tblMovement[[#This Row],[Tonnes_t]]="",tblMovement[[#This Row],[Grade_gpt]]=""),0,tblMovement[[#This Row],[Tonnes_t]]*tblMovement[[#This Row],[Grade_gpt]]/cfg_TroyOz)</f>
        <v/>
      </c>
      <c r="O3338" s="59">
        <f>IF(tblMovement[[#This Row],[Is_Ore]]=1,tblMovement[[#This Row],[Contained_oz]],0)</f>
        <v/>
      </c>
    </row>
    <row r="3339">
      <c r="A3339" s="54" t="n"/>
      <c r="B3339" s="61" t="n"/>
      <c r="C3339" s="61" t="n"/>
      <c r="D3339" s="61" t="n"/>
      <c r="E3339" s="61" t="n"/>
      <c r="F3339" s="55" t="n"/>
      <c r="G3339" s="56" t="n"/>
      <c r="H3339" s="55" t="n"/>
      <c r="I3339" s="62" t="n"/>
      <c r="J3339" s="58" t="n"/>
      <c r="K3339" s="63">
        <f>IF(tblMovement[[#This Row],[Source]]="","",IFERROR(INDEX(tblSources[Type],MATCH(tblMovement[[#This Row],[Source]],tblSources[Source],0)),"?"))</f>
        <v/>
      </c>
      <c r="L3339" s="63">
        <f>IF(tblMovement[[#This Row],[Destination]]="","",IFERROR(INDEX(tblDestinations[Type],MATCH(tblMovement[[#This Row],[Destination]],tblDestinations[Destination],0)),"?"))</f>
        <v/>
      </c>
      <c r="M3339" s="64">
        <f>IF(tblMovement[[#This Row],[Material]]="","",IF(LEFT(tblMovement[[#This Row],[Material]],3)="Ore",1,0))</f>
        <v/>
      </c>
      <c r="N3339" s="59">
        <f>IF(OR(tblMovement[[#This Row],[Tonnes_t]]="",tblMovement[[#This Row],[Grade_gpt]]=""),0,tblMovement[[#This Row],[Tonnes_t]]*tblMovement[[#This Row],[Grade_gpt]]/cfg_TroyOz)</f>
        <v/>
      </c>
      <c r="O3339" s="59">
        <f>IF(tblMovement[[#This Row],[Is_Ore]]=1,tblMovement[[#This Row],[Contained_oz]],0)</f>
        <v/>
      </c>
    </row>
    <row r="3340">
      <c r="A3340" s="54" t="n"/>
      <c r="B3340" s="61" t="n"/>
      <c r="C3340" s="61" t="n"/>
      <c r="D3340" s="61" t="n"/>
      <c r="E3340" s="61" t="n"/>
      <c r="F3340" s="55" t="n"/>
      <c r="G3340" s="56" t="n"/>
      <c r="H3340" s="55" t="n"/>
      <c r="I3340" s="62" t="n"/>
      <c r="J3340" s="58" t="n"/>
      <c r="K3340" s="63">
        <f>IF(tblMovement[[#This Row],[Source]]="","",IFERROR(INDEX(tblSources[Type],MATCH(tblMovement[[#This Row],[Source]],tblSources[Source],0)),"?"))</f>
        <v/>
      </c>
      <c r="L3340" s="63">
        <f>IF(tblMovement[[#This Row],[Destination]]="","",IFERROR(INDEX(tblDestinations[Type],MATCH(tblMovement[[#This Row],[Destination]],tblDestinations[Destination],0)),"?"))</f>
        <v/>
      </c>
      <c r="M3340" s="64">
        <f>IF(tblMovement[[#This Row],[Material]]="","",IF(LEFT(tblMovement[[#This Row],[Material]],3)="Ore",1,0))</f>
        <v/>
      </c>
      <c r="N3340" s="59">
        <f>IF(OR(tblMovement[[#This Row],[Tonnes_t]]="",tblMovement[[#This Row],[Grade_gpt]]=""),0,tblMovement[[#This Row],[Tonnes_t]]*tblMovement[[#This Row],[Grade_gpt]]/cfg_TroyOz)</f>
        <v/>
      </c>
      <c r="O3340" s="59">
        <f>IF(tblMovement[[#This Row],[Is_Ore]]=1,tblMovement[[#This Row],[Contained_oz]],0)</f>
        <v/>
      </c>
    </row>
    <row r="3341">
      <c r="A3341" s="54" t="n"/>
      <c r="B3341" s="61" t="n"/>
      <c r="C3341" s="61" t="n"/>
      <c r="D3341" s="61" t="n"/>
      <c r="E3341" s="61" t="n"/>
      <c r="F3341" s="55" t="n"/>
      <c r="G3341" s="56" t="n"/>
      <c r="H3341" s="55" t="n"/>
      <c r="I3341" s="62" t="n"/>
      <c r="J3341" s="58" t="n"/>
      <c r="K3341" s="63">
        <f>IF(tblMovement[[#This Row],[Source]]="","",IFERROR(INDEX(tblSources[Type],MATCH(tblMovement[[#This Row],[Source]],tblSources[Source],0)),"?"))</f>
        <v/>
      </c>
      <c r="L3341" s="63">
        <f>IF(tblMovement[[#This Row],[Destination]]="","",IFERROR(INDEX(tblDestinations[Type],MATCH(tblMovement[[#This Row],[Destination]],tblDestinations[Destination],0)),"?"))</f>
        <v/>
      </c>
      <c r="M3341" s="64">
        <f>IF(tblMovement[[#This Row],[Material]]="","",IF(LEFT(tblMovement[[#This Row],[Material]],3)="Ore",1,0))</f>
        <v/>
      </c>
      <c r="N3341" s="59">
        <f>IF(OR(tblMovement[[#This Row],[Tonnes_t]]="",tblMovement[[#This Row],[Grade_gpt]]=""),0,tblMovement[[#This Row],[Tonnes_t]]*tblMovement[[#This Row],[Grade_gpt]]/cfg_TroyOz)</f>
        <v/>
      </c>
      <c r="O3341" s="59">
        <f>IF(tblMovement[[#This Row],[Is_Ore]]=1,tblMovement[[#This Row],[Contained_oz]],0)</f>
        <v/>
      </c>
    </row>
    <row r="3342">
      <c r="A3342" s="54" t="n"/>
      <c r="B3342" s="61" t="n"/>
      <c r="C3342" s="61" t="n"/>
      <c r="D3342" s="61" t="n"/>
      <c r="E3342" s="61" t="n"/>
      <c r="F3342" s="55" t="n"/>
      <c r="G3342" s="56" t="n"/>
      <c r="H3342" s="55" t="n"/>
      <c r="I3342" s="62" t="n"/>
      <c r="J3342" s="58" t="n"/>
      <c r="K3342" s="63">
        <f>IF(tblMovement[[#This Row],[Source]]="","",IFERROR(INDEX(tblSources[Type],MATCH(tblMovement[[#This Row],[Source]],tblSources[Source],0)),"?"))</f>
        <v/>
      </c>
      <c r="L3342" s="63">
        <f>IF(tblMovement[[#This Row],[Destination]]="","",IFERROR(INDEX(tblDestinations[Type],MATCH(tblMovement[[#This Row],[Destination]],tblDestinations[Destination],0)),"?"))</f>
        <v/>
      </c>
      <c r="M3342" s="64">
        <f>IF(tblMovement[[#This Row],[Material]]="","",IF(LEFT(tblMovement[[#This Row],[Material]],3)="Ore",1,0))</f>
        <v/>
      </c>
      <c r="N3342" s="59">
        <f>IF(OR(tblMovement[[#This Row],[Tonnes_t]]="",tblMovement[[#This Row],[Grade_gpt]]=""),0,tblMovement[[#This Row],[Tonnes_t]]*tblMovement[[#This Row],[Grade_gpt]]/cfg_TroyOz)</f>
        <v/>
      </c>
      <c r="O3342" s="59">
        <f>IF(tblMovement[[#This Row],[Is_Ore]]=1,tblMovement[[#This Row],[Contained_oz]],0)</f>
        <v/>
      </c>
    </row>
    <row r="3343">
      <c r="A3343" s="54" t="n"/>
      <c r="B3343" s="61" t="n"/>
      <c r="C3343" s="61" t="n"/>
      <c r="D3343" s="61" t="n"/>
      <c r="E3343" s="61" t="n"/>
      <c r="F3343" s="55" t="n"/>
      <c r="G3343" s="56" t="n"/>
      <c r="H3343" s="55" t="n"/>
      <c r="I3343" s="62" t="n"/>
      <c r="J3343" s="58" t="n"/>
      <c r="K3343" s="63">
        <f>IF(tblMovement[[#This Row],[Source]]="","",IFERROR(INDEX(tblSources[Type],MATCH(tblMovement[[#This Row],[Source]],tblSources[Source],0)),"?"))</f>
        <v/>
      </c>
      <c r="L3343" s="63">
        <f>IF(tblMovement[[#This Row],[Destination]]="","",IFERROR(INDEX(tblDestinations[Type],MATCH(tblMovement[[#This Row],[Destination]],tblDestinations[Destination],0)),"?"))</f>
        <v/>
      </c>
      <c r="M3343" s="64">
        <f>IF(tblMovement[[#This Row],[Material]]="","",IF(LEFT(tblMovement[[#This Row],[Material]],3)="Ore",1,0))</f>
        <v/>
      </c>
      <c r="N3343" s="59">
        <f>IF(OR(tblMovement[[#This Row],[Tonnes_t]]="",tblMovement[[#This Row],[Grade_gpt]]=""),0,tblMovement[[#This Row],[Tonnes_t]]*tblMovement[[#This Row],[Grade_gpt]]/cfg_TroyOz)</f>
        <v/>
      </c>
      <c r="O3343" s="59">
        <f>IF(tblMovement[[#This Row],[Is_Ore]]=1,tblMovement[[#This Row],[Contained_oz]],0)</f>
        <v/>
      </c>
    </row>
    <row r="3344">
      <c r="A3344" s="54" t="n"/>
      <c r="B3344" s="61" t="n"/>
      <c r="C3344" s="61" t="n"/>
      <c r="D3344" s="61" t="n"/>
      <c r="E3344" s="61" t="n"/>
      <c r="F3344" s="55" t="n"/>
      <c r="G3344" s="56" t="n"/>
      <c r="H3344" s="55" t="n"/>
      <c r="I3344" s="62" t="n"/>
      <c r="J3344" s="58" t="n"/>
      <c r="K3344" s="63">
        <f>IF(tblMovement[[#This Row],[Source]]="","",IFERROR(INDEX(tblSources[Type],MATCH(tblMovement[[#This Row],[Source]],tblSources[Source],0)),"?"))</f>
        <v/>
      </c>
      <c r="L3344" s="63">
        <f>IF(tblMovement[[#This Row],[Destination]]="","",IFERROR(INDEX(tblDestinations[Type],MATCH(tblMovement[[#This Row],[Destination]],tblDestinations[Destination],0)),"?"))</f>
        <v/>
      </c>
      <c r="M3344" s="64">
        <f>IF(tblMovement[[#This Row],[Material]]="","",IF(LEFT(tblMovement[[#This Row],[Material]],3)="Ore",1,0))</f>
        <v/>
      </c>
      <c r="N3344" s="59">
        <f>IF(OR(tblMovement[[#This Row],[Tonnes_t]]="",tblMovement[[#This Row],[Grade_gpt]]=""),0,tblMovement[[#This Row],[Tonnes_t]]*tblMovement[[#This Row],[Grade_gpt]]/cfg_TroyOz)</f>
        <v/>
      </c>
      <c r="O3344" s="59">
        <f>IF(tblMovement[[#This Row],[Is_Ore]]=1,tblMovement[[#This Row],[Contained_oz]],0)</f>
        <v/>
      </c>
    </row>
    <row r="3345">
      <c r="A3345" s="54" t="n"/>
      <c r="B3345" s="61" t="n"/>
      <c r="C3345" s="61" t="n"/>
      <c r="D3345" s="61" t="n"/>
      <c r="E3345" s="61" t="n"/>
      <c r="F3345" s="55" t="n"/>
      <c r="G3345" s="56" t="n"/>
      <c r="H3345" s="55" t="n"/>
      <c r="I3345" s="62" t="n"/>
      <c r="J3345" s="58" t="n"/>
      <c r="K3345" s="63">
        <f>IF(tblMovement[[#This Row],[Source]]="","",IFERROR(INDEX(tblSources[Type],MATCH(tblMovement[[#This Row],[Source]],tblSources[Source],0)),"?"))</f>
        <v/>
      </c>
      <c r="L3345" s="63">
        <f>IF(tblMovement[[#This Row],[Destination]]="","",IFERROR(INDEX(tblDestinations[Type],MATCH(tblMovement[[#This Row],[Destination]],tblDestinations[Destination],0)),"?"))</f>
        <v/>
      </c>
      <c r="M3345" s="64">
        <f>IF(tblMovement[[#This Row],[Material]]="","",IF(LEFT(tblMovement[[#This Row],[Material]],3)="Ore",1,0))</f>
        <v/>
      </c>
      <c r="N3345" s="59">
        <f>IF(OR(tblMovement[[#This Row],[Tonnes_t]]="",tblMovement[[#This Row],[Grade_gpt]]=""),0,tblMovement[[#This Row],[Tonnes_t]]*tblMovement[[#This Row],[Grade_gpt]]/cfg_TroyOz)</f>
        <v/>
      </c>
      <c r="O3345" s="59">
        <f>IF(tblMovement[[#This Row],[Is_Ore]]=1,tblMovement[[#This Row],[Contained_oz]],0)</f>
        <v/>
      </c>
    </row>
    <row r="3346">
      <c r="A3346" s="54" t="n"/>
      <c r="B3346" s="61" t="n"/>
      <c r="C3346" s="61" t="n"/>
      <c r="D3346" s="61" t="n"/>
      <c r="E3346" s="61" t="n"/>
      <c r="F3346" s="55" t="n"/>
      <c r="G3346" s="56" t="n"/>
      <c r="H3346" s="55" t="n"/>
      <c r="I3346" s="62" t="n"/>
      <c r="J3346" s="58" t="n"/>
      <c r="K3346" s="63">
        <f>IF(tblMovement[[#This Row],[Source]]="","",IFERROR(INDEX(tblSources[Type],MATCH(tblMovement[[#This Row],[Source]],tblSources[Source],0)),"?"))</f>
        <v/>
      </c>
      <c r="L3346" s="63">
        <f>IF(tblMovement[[#This Row],[Destination]]="","",IFERROR(INDEX(tblDestinations[Type],MATCH(tblMovement[[#This Row],[Destination]],tblDestinations[Destination],0)),"?"))</f>
        <v/>
      </c>
      <c r="M3346" s="64">
        <f>IF(tblMovement[[#This Row],[Material]]="","",IF(LEFT(tblMovement[[#This Row],[Material]],3)="Ore",1,0))</f>
        <v/>
      </c>
      <c r="N3346" s="59">
        <f>IF(OR(tblMovement[[#This Row],[Tonnes_t]]="",tblMovement[[#This Row],[Grade_gpt]]=""),0,tblMovement[[#This Row],[Tonnes_t]]*tblMovement[[#This Row],[Grade_gpt]]/cfg_TroyOz)</f>
        <v/>
      </c>
      <c r="O3346" s="59">
        <f>IF(tblMovement[[#This Row],[Is_Ore]]=1,tblMovement[[#This Row],[Contained_oz]],0)</f>
        <v/>
      </c>
    </row>
    <row r="3347">
      <c r="A3347" s="54" t="n"/>
      <c r="B3347" s="61" t="n"/>
      <c r="C3347" s="61" t="n"/>
      <c r="D3347" s="61" t="n"/>
      <c r="E3347" s="61" t="n"/>
      <c r="F3347" s="55" t="n"/>
      <c r="G3347" s="56" t="n"/>
      <c r="H3347" s="55" t="n"/>
      <c r="I3347" s="62" t="n"/>
      <c r="J3347" s="58" t="n"/>
      <c r="K3347" s="63">
        <f>IF(tblMovement[[#This Row],[Source]]="","",IFERROR(INDEX(tblSources[Type],MATCH(tblMovement[[#This Row],[Source]],tblSources[Source],0)),"?"))</f>
        <v/>
      </c>
      <c r="L3347" s="63">
        <f>IF(tblMovement[[#This Row],[Destination]]="","",IFERROR(INDEX(tblDestinations[Type],MATCH(tblMovement[[#This Row],[Destination]],tblDestinations[Destination],0)),"?"))</f>
        <v/>
      </c>
      <c r="M3347" s="64">
        <f>IF(tblMovement[[#This Row],[Material]]="","",IF(LEFT(tblMovement[[#This Row],[Material]],3)="Ore",1,0))</f>
        <v/>
      </c>
      <c r="N3347" s="59">
        <f>IF(OR(tblMovement[[#This Row],[Tonnes_t]]="",tblMovement[[#This Row],[Grade_gpt]]=""),0,tblMovement[[#This Row],[Tonnes_t]]*tblMovement[[#This Row],[Grade_gpt]]/cfg_TroyOz)</f>
        <v/>
      </c>
      <c r="O3347" s="59">
        <f>IF(tblMovement[[#This Row],[Is_Ore]]=1,tblMovement[[#This Row],[Contained_oz]],0)</f>
        <v/>
      </c>
    </row>
    <row r="3348">
      <c r="A3348" s="54" t="n"/>
      <c r="B3348" s="61" t="n"/>
      <c r="C3348" s="61" t="n"/>
      <c r="D3348" s="61" t="n"/>
      <c r="E3348" s="61" t="n"/>
      <c r="F3348" s="55" t="n"/>
      <c r="G3348" s="56" t="n"/>
      <c r="H3348" s="55" t="n"/>
      <c r="I3348" s="62" t="n"/>
      <c r="J3348" s="58" t="n"/>
      <c r="K3348" s="63">
        <f>IF(tblMovement[[#This Row],[Source]]="","",IFERROR(INDEX(tblSources[Type],MATCH(tblMovement[[#This Row],[Source]],tblSources[Source],0)),"?"))</f>
        <v/>
      </c>
      <c r="L3348" s="63">
        <f>IF(tblMovement[[#This Row],[Destination]]="","",IFERROR(INDEX(tblDestinations[Type],MATCH(tblMovement[[#This Row],[Destination]],tblDestinations[Destination],0)),"?"))</f>
        <v/>
      </c>
      <c r="M3348" s="64">
        <f>IF(tblMovement[[#This Row],[Material]]="","",IF(LEFT(tblMovement[[#This Row],[Material]],3)="Ore",1,0))</f>
        <v/>
      </c>
      <c r="N3348" s="59">
        <f>IF(OR(tblMovement[[#This Row],[Tonnes_t]]="",tblMovement[[#This Row],[Grade_gpt]]=""),0,tblMovement[[#This Row],[Tonnes_t]]*tblMovement[[#This Row],[Grade_gpt]]/cfg_TroyOz)</f>
        <v/>
      </c>
      <c r="O3348" s="59">
        <f>IF(tblMovement[[#This Row],[Is_Ore]]=1,tblMovement[[#This Row],[Contained_oz]],0)</f>
        <v/>
      </c>
    </row>
    <row r="3349">
      <c r="A3349" s="54" t="n"/>
      <c r="B3349" s="61" t="n"/>
      <c r="C3349" s="61" t="n"/>
      <c r="D3349" s="61" t="n"/>
      <c r="E3349" s="61" t="n"/>
      <c r="F3349" s="55" t="n"/>
      <c r="G3349" s="56" t="n"/>
      <c r="H3349" s="55" t="n"/>
      <c r="I3349" s="62" t="n"/>
      <c r="J3349" s="58" t="n"/>
      <c r="K3349" s="63">
        <f>IF(tblMovement[[#This Row],[Source]]="","",IFERROR(INDEX(tblSources[Type],MATCH(tblMovement[[#This Row],[Source]],tblSources[Source],0)),"?"))</f>
        <v/>
      </c>
      <c r="L3349" s="63">
        <f>IF(tblMovement[[#This Row],[Destination]]="","",IFERROR(INDEX(tblDestinations[Type],MATCH(tblMovement[[#This Row],[Destination]],tblDestinations[Destination],0)),"?"))</f>
        <v/>
      </c>
      <c r="M3349" s="64">
        <f>IF(tblMovement[[#This Row],[Material]]="","",IF(LEFT(tblMovement[[#This Row],[Material]],3)="Ore",1,0))</f>
        <v/>
      </c>
      <c r="N3349" s="59">
        <f>IF(OR(tblMovement[[#This Row],[Tonnes_t]]="",tblMovement[[#This Row],[Grade_gpt]]=""),0,tblMovement[[#This Row],[Tonnes_t]]*tblMovement[[#This Row],[Grade_gpt]]/cfg_TroyOz)</f>
        <v/>
      </c>
      <c r="O3349" s="59">
        <f>IF(tblMovement[[#This Row],[Is_Ore]]=1,tblMovement[[#This Row],[Contained_oz]],0)</f>
        <v/>
      </c>
    </row>
    <row r="3350">
      <c r="A3350" s="54" t="n"/>
      <c r="B3350" s="61" t="n"/>
      <c r="C3350" s="61" t="n"/>
      <c r="D3350" s="61" t="n"/>
      <c r="E3350" s="61" t="n"/>
      <c r="F3350" s="55" t="n"/>
      <c r="G3350" s="56" t="n"/>
      <c r="H3350" s="55" t="n"/>
      <c r="I3350" s="62" t="n"/>
      <c r="J3350" s="58" t="n"/>
      <c r="K3350" s="63">
        <f>IF(tblMovement[[#This Row],[Source]]="","",IFERROR(INDEX(tblSources[Type],MATCH(tblMovement[[#This Row],[Source]],tblSources[Source],0)),"?"))</f>
        <v/>
      </c>
      <c r="L3350" s="63">
        <f>IF(tblMovement[[#This Row],[Destination]]="","",IFERROR(INDEX(tblDestinations[Type],MATCH(tblMovement[[#This Row],[Destination]],tblDestinations[Destination],0)),"?"))</f>
        <v/>
      </c>
      <c r="M3350" s="64">
        <f>IF(tblMovement[[#This Row],[Material]]="","",IF(LEFT(tblMovement[[#This Row],[Material]],3)="Ore",1,0))</f>
        <v/>
      </c>
      <c r="N3350" s="59">
        <f>IF(OR(tblMovement[[#This Row],[Tonnes_t]]="",tblMovement[[#This Row],[Grade_gpt]]=""),0,tblMovement[[#This Row],[Tonnes_t]]*tblMovement[[#This Row],[Grade_gpt]]/cfg_TroyOz)</f>
        <v/>
      </c>
      <c r="O3350" s="59">
        <f>IF(tblMovement[[#This Row],[Is_Ore]]=1,tblMovement[[#This Row],[Contained_oz]],0)</f>
        <v/>
      </c>
    </row>
    <row r="3351">
      <c r="A3351" s="54" t="n"/>
      <c r="B3351" s="61" t="n"/>
      <c r="C3351" s="61" t="n"/>
      <c r="D3351" s="61" t="n"/>
      <c r="E3351" s="61" t="n"/>
      <c r="F3351" s="55" t="n"/>
      <c r="G3351" s="56" t="n"/>
      <c r="H3351" s="55" t="n"/>
      <c r="I3351" s="62" t="n"/>
      <c r="J3351" s="58" t="n"/>
      <c r="K3351" s="63">
        <f>IF(tblMovement[[#This Row],[Source]]="","",IFERROR(INDEX(tblSources[Type],MATCH(tblMovement[[#This Row],[Source]],tblSources[Source],0)),"?"))</f>
        <v/>
      </c>
      <c r="L3351" s="63">
        <f>IF(tblMovement[[#This Row],[Destination]]="","",IFERROR(INDEX(tblDestinations[Type],MATCH(tblMovement[[#This Row],[Destination]],tblDestinations[Destination],0)),"?"))</f>
        <v/>
      </c>
      <c r="M3351" s="64">
        <f>IF(tblMovement[[#This Row],[Material]]="","",IF(LEFT(tblMovement[[#This Row],[Material]],3)="Ore",1,0))</f>
        <v/>
      </c>
      <c r="N3351" s="59">
        <f>IF(OR(tblMovement[[#This Row],[Tonnes_t]]="",tblMovement[[#This Row],[Grade_gpt]]=""),0,tblMovement[[#This Row],[Tonnes_t]]*tblMovement[[#This Row],[Grade_gpt]]/cfg_TroyOz)</f>
        <v/>
      </c>
      <c r="O3351" s="59">
        <f>IF(tblMovement[[#This Row],[Is_Ore]]=1,tblMovement[[#This Row],[Contained_oz]],0)</f>
        <v/>
      </c>
    </row>
    <row r="3352">
      <c r="A3352" s="54" t="n"/>
      <c r="B3352" s="61" t="n"/>
      <c r="C3352" s="61" t="n"/>
      <c r="D3352" s="61" t="n"/>
      <c r="E3352" s="61" t="n"/>
      <c r="F3352" s="55" t="n"/>
      <c r="G3352" s="56" t="n"/>
      <c r="H3352" s="55" t="n"/>
      <c r="I3352" s="62" t="n"/>
      <c r="J3352" s="58" t="n"/>
      <c r="K3352" s="63">
        <f>IF(tblMovement[[#This Row],[Source]]="","",IFERROR(INDEX(tblSources[Type],MATCH(tblMovement[[#This Row],[Source]],tblSources[Source],0)),"?"))</f>
        <v/>
      </c>
      <c r="L3352" s="63">
        <f>IF(tblMovement[[#This Row],[Destination]]="","",IFERROR(INDEX(tblDestinations[Type],MATCH(tblMovement[[#This Row],[Destination]],tblDestinations[Destination],0)),"?"))</f>
        <v/>
      </c>
      <c r="M3352" s="64">
        <f>IF(tblMovement[[#This Row],[Material]]="","",IF(LEFT(tblMovement[[#This Row],[Material]],3)="Ore",1,0))</f>
        <v/>
      </c>
      <c r="N3352" s="59">
        <f>IF(OR(tblMovement[[#This Row],[Tonnes_t]]="",tblMovement[[#This Row],[Grade_gpt]]=""),0,tblMovement[[#This Row],[Tonnes_t]]*tblMovement[[#This Row],[Grade_gpt]]/cfg_TroyOz)</f>
        <v/>
      </c>
      <c r="O3352" s="59">
        <f>IF(tblMovement[[#This Row],[Is_Ore]]=1,tblMovement[[#This Row],[Contained_oz]],0)</f>
        <v/>
      </c>
    </row>
    <row r="3353">
      <c r="A3353" s="54" t="n"/>
      <c r="B3353" s="61" t="n"/>
      <c r="C3353" s="61" t="n"/>
      <c r="D3353" s="61" t="n"/>
      <c r="E3353" s="61" t="n"/>
      <c r="F3353" s="55" t="n"/>
      <c r="G3353" s="56" t="n"/>
      <c r="H3353" s="55" t="n"/>
      <c r="I3353" s="62" t="n"/>
      <c r="J3353" s="58" t="n"/>
      <c r="K3353" s="63">
        <f>IF(tblMovement[[#This Row],[Source]]="","",IFERROR(INDEX(tblSources[Type],MATCH(tblMovement[[#This Row],[Source]],tblSources[Source],0)),"?"))</f>
        <v/>
      </c>
      <c r="L3353" s="63">
        <f>IF(tblMovement[[#This Row],[Destination]]="","",IFERROR(INDEX(tblDestinations[Type],MATCH(tblMovement[[#This Row],[Destination]],tblDestinations[Destination],0)),"?"))</f>
        <v/>
      </c>
      <c r="M3353" s="64">
        <f>IF(tblMovement[[#This Row],[Material]]="","",IF(LEFT(tblMovement[[#This Row],[Material]],3)="Ore",1,0))</f>
        <v/>
      </c>
      <c r="N3353" s="59">
        <f>IF(OR(tblMovement[[#This Row],[Tonnes_t]]="",tblMovement[[#This Row],[Grade_gpt]]=""),0,tblMovement[[#This Row],[Tonnes_t]]*tblMovement[[#This Row],[Grade_gpt]]/cfg_TroyOz)</f>
        <v/>
      </c>
      <c r="O3353" s="59">
        <f>IF(tblMovement[[#This Row],[Is_Ore]]=1,tblMovement[[#This Row],[Contained_oz]],0)</f>
        <v/>
      </c>
    </row>
    <row r="3354">
      <c r="A3354" s="54" t="n"/>
      <c r="B3354" s="61" t="n"/>
      <c r="C3354" s="61" t="n"/>
      <c r="D3354" s="61" t="n"/>
      <c r="E3354" s="61" t="n"/>
      <c r="F3354" s="55" t="n"/>
      <c r="G3354" s="56" t="n"/>
      <c r="H3354" s="55" t="n"/>
      <c r="I3354" s="62" t="n"/>
      <c r="J3354" s="58" t="n"/>
      <c r="K3354" s="63">
        <f>IF(tblMovement[[#This Row],[Source]]="","",IFERROR(INDEX(tblSources[Type],MATCH(tblMovement[[#This Row],[Source]],tblSources[Source],0)),"?"))</f>
        <v/>
      </c>
      <c r="L3354" s="63">
        <f>IF(tblMovement[[#This Row],[Destination]]="","",IFERROR(INDEX(tblDestinations[Type],MATCH(tblMovement[[#This Row],[Destination]],tblDestinations[Destination],0)),"?"))</f>
        <v/>
      </c>
      <c r="M3354" s="64">
        <f>IF(tblMovement[[#This Row],[Material]]="","",IF(LEFT(tblMovement[[#This Row],[Material]],3)="Ore",1,0))</f>
        <v/>
      </c>
      <c r="N3354" s="59">
        <f>IF(OR(tblMovement[[#This Row],[Tonnes_t]]="",tblMovement[[#This Row],[Grade_gpt]]=""),0,tblMovement[[#This Row],[Tonnes_t]]*tblMovement[[#This Row],[Grade_gpt]]/cfg_TroyOz)</f>
        <v/>
      </c>
      <c r="O3354" s="59">
        <f>IF(tblMovement[[#This Row],[Is_Ore]]=1,tblMovement[[#This Row],[Contained_oz]],0)</f>
        <v/>
      </c>
    </row>
    <row r="3355">
      <c r="A3355" s="54" t="n"/>
      <c r="B3355" s="61" t="n"/>
      <c r="C3355" s="61" t="n"/>
      <c r="D3355" s="61" t="n"/>
      <c r="E3355" s="61" t="n"/>
      <c r="F3355" s="55" t="n"/>
      <c r="G3355" s="56" t="n"/>
      <c r="H3355" s="55" t="n"/>
      <c r="I3355" s="62" t="n"/>
      <c r="J3355" s="58" t="n"/>
      <c r="K3355" s="63">
        <f>IF(tblMovement[[#This Row],[Source]]="","",IFERROR(INDEX(tblSources[Type],MATCH(tblMovement[[#This Row],[Source]],tblSources[Source],0)),"?"))</f>
        <v/>
      </c>
      <c r="L3355" s="63">
        <f>IF(tblMovement[[#This Row],[Destination]]="","",IFERROR(INDEX(tblDestinations[Type],MATCH(tblMovement[[#This Row],[Destination]],tblDestinations[Destination],0)),"?"))</f>
        <v/>
      </c>
      <c r="M3355" s="64">
        <f>IF(tblMovement[[#This Row],[Material]]="","",IF(LEFT(tblMovement[[#This Row],[Material]],3)="Ore",1,0))</f>
        <v/>
      </c>
      <c r="N3355" s="59">
        <f>IF(OR(tblMovement[[#This Row],[Tonnes_t]]="",tblMovement[[#This Row],[Grade_gpt]]=""),0,tblMovement[[#This Row],[Tonnes_t]]*tblMovement[[#This Row],[Grade_gpt]]/cfg_TroyOz)</f>
        <v/>
      </c>
      <c r="O3355" s="59">
        <f>IF(tblMovement[[#This Row],[Is_Ore]]=1,tblMovement[[#This Row],[Contained_oz]],0)</f>
        <v/>
      </c>
    </row>
    <row r="3356">
      <c r="A3356" s="54" t="n"/>
      <c r="B3356" s="61" t="n"/>
      <c r="C3356" s="61" t="n"/>
      <c r="D3356" s="61" t="n"/>
      <c r="E3356" s="61" t="n"/>
      <c r="F3356" s="55" t="n"/>
      <c r="G3356" s="56" t="n"/>
      <c r="H3356" s="55" t="n"/>
      <c r="I3356" s="62" t="n"/>
      <c r="J3356" s="58" t="n"/>
      <c r="K3356" s="63">
        <f>IF(tblMovement[[#This Row],[Source]]="","",IFERROR(INDEX(tblSources[Type],MATCH(tblMovement[[#This Row],[Source]],tblSources[Source],0)),"?"))</f>
        <v/>
      </c>
      <c r="L3356" s="63">
        <f>IF(tblMovement[[#This Row],[Destination]]="","",IFERROR(INDEX(tblDestinations[Type],MATCH(tblMovement[[#This Row],[Destination]],tblDestinations[Destination],0)),"?"))</f>
        <v/>
      </c>
      <c r="M3356" s="64">
        <f>IF(tblMovement[[#This Row],[Material]]="","",IF(LEFT(tblMovement[[#This Row],[Material]],3)="Ore",1,0))</f>
        <v/>
      </c>
      <c r="N3356" s="59">
        <f>IF(OR(tblMovement[[#This Row],[Tonnes_t]]="",tblMovement[[#This Row],[Grade_gpt]]=""),0,tblMovement[[#This Row],[Tonnes_t]]*tblMovement[[#This Row],[Grade_gpt]]/cfg_TroyOz)</f>
        <v/>
      </c>
      <c r="O3356" s="59">
        <f>IF(tblMovement[[#This Row],[Is_Ore]]=1,tblMovement[[#This Row],[Contained_oz]],0)</f>
        <v/>
      </c>
    </row>
    <row r="3357">
      <c r="A3357" s="54" t="n"/>
      <c r="B3357" s="61" t="n"/>
      <c r="C3357" s="61" t="n"/>
      <c r="D3357" s="61" t="n"/>
      <c r="E3357" s="61" t="n"/>
      <c r="F3357" s="55" t="n"/>
      <c r="G3357" s="56" t="n"/>
      <c r="H3357" s="55" t="n"/>
      <c r="I3357" s="62" t="n"/>
      <c r="J3357" s="58" t="n"/>
      <c r="K3357" s="63">
        <f>IF(tblMovement[[#This Row],[Source]]="","",IFERROR(INDEX(tblSources[Type],MATCH(tblMovement[[#This Row],[Source]],tblSources[Source],0)),"?"))</f>
        <v/>
      </c>
      <c r="L3357" s="63">
        <f>IF(tblMovement[[#This Row],[Destination]]="","",IFERROR(INDEX(tblDestinations[Type],MATCH(tblMovement[[#This Row],[Destination]],tblDestinations[Destination],0)),"?"))</f>
        <v/>
      </c>
      <c r="M3357" s="64">
        <f>IF(tblMovement[[#This Row],[Material]]="","",IF(LEFT(tblMovement[[#This Row],[Material]],3)="Ore",1,0))</f>
        <v/>
      </c>
      <c r="N3357" s="59">
        <f>IF(OR(tblMovement[[#This Row],[Tonnes_t]]="",tblMovement[[#This Row],[Grade_gpt]]=""),0,tblMovement[[#This Row],[Tonnes_t]]*tblMovement[[#This Row],[Grade_gpt]]/cfg_TroyOz)</f>
        <v/>
      </c>
      <c r="O3357" s="59">
        <f>IF(tblMovement[[#This Row],[Is_Ore]]=1,tblMovement[[#This Row],[Contained_oz]],0)</f>
        <v/>
      </c>
    </row>
    <row r="3358">
      <c r="A3358" s="54" t="n"/>
      <c r="B3358" s="61" t="n"/>
      <c r="C3358" s="61" t="n"/>
      <c r="D3358" s="61" t="n"/>
      <c r="E3358" s="61" t="n"/>
      <c r="F3358" s="55" t="n"/>
      <c r="G3358" s="56" t="n"/>
      <c r="H3358" s="55" t="n"/>
      <c r="I3358" s="62" t="n"/>
      <c r="J3358" s="58" t="n"/>
      <c r="K3358" s="63">
        <f>IF(tblMovement[[#This Row],[Source]]="","",IFERROR(INDEX(tblSources[Type],MATCH(tblMovement[[#This Row],[Source]],tblSources[Source],0)),"?"))</f>
        <v/>
      </c>
      <c r="L3358" s="63">
        <f>IF(tblMovement[[#This Row],[Destination]]="","",IFERROR(INDEX(tblDestinations[Type],MATCH(tblMovement[[#This Row],[Destination]],tblDestinations[Destination],0)),"?"))</f>
        <v/>
      </c>
      <c r="M3358" s="64">
        <f>IF(tblMovement[[#This Row],[Material]]="","",IF(LEFT(tblMovement[[#This Row],[Material]],3)="Ore",1,0))</f>
        <v/>
      </c>
      <c r="N3358" s="59">
        <f>IF(OR(tblMovement[[#This Row],[Tonnes_t]]="",tblMovement[[#This Row],[Grade_gpt]]=""),0,tblMovement[[#This Row],[Tonnes_t]]*tblMovement[[#This Row],[Grade_gpt]]/cfg_TroyOz)</f>
        <v/>
      </c>
      <c r="O3358" s="59">
        <f>IF(tblMovement[[#This Row],[Is_Ore]]=1,tblMovement[[#This Row],[Contained_oz]],0)</f>
        <v/>
      </c>
    </row>
    <row r="3359">
      <c r="A3359" s="54" t="n"/>
      <c r="B3359" s="61" t="n"/>
      <c r="C3359" s="61" t="n"/>
      <c r="D3359" s="61" t="n"/>
      <c r="E3359" s="61" t="n"/>
      <c r="F3359" s="55" t="n"/>
      <c r="G3359" s="56" t="n"/>
      <c r="H3359" s="55" t="n"/>
      <c r="I3359" s="62" t="n"/>
      <c r="J3359" s="58" t="n"/>
      <c r="K3359" s="63">
        <f>IF(tblMovement[[#This Row],[Source]]="","",IFERROR(INDEX(tblSources[Type],MATCH(tblMovement[[#This Row],[Source]],tblSources[Source],0)),"?"))</f>
        <v/>
      </c>
      <c r="L3359" s="63">
        <f>IF(tblMovement[[#This Row],[Destination]]="","",IFERROR(INDEX(tblDestinations[Type],MATCH(tblMovement[[#This Row],[Destination]],tblDestinations[Destination],0)),"?"))</f>
        <v/>
      </c>
      <c r="M3359" s="64">
        <f>IF(tblMovement[[#This Row],[Material]]="","",IF(LEFT(tblMovement[[#This Row],[Material]],3)="Ore",1,0))</f>
        <v/>
      </c>
      <c r="N3359" s="59">
        <f>IF(OR(tblMovement[[#This Row],[Tonnes_t]]="",tblMovement[[#This Row],[Grade_gpt]]=""),0,tblMovement[[#This Row],[Tonnes_t]]*tblMovement[[#This Row],[Grade_gpt]]/cfg_TroyOz)</f>
        <v/>
      </c>
      <c r="O3359" s="59">
        <f>IF(tblMovement[[#This Row],[Is_Ore]]=1,tblMovement[[#This Row],[Contained_oz]],0)</f>
        <v/>
      </c>
    </row>
    <row r="3360">
      <c r="A3360" s="54" t="n"/>
      <c r="B3360" s="61" t="n"/>
      <c r="C3360" s="61" t="n"/>
      <c r="D3360" s="61" t="n"/>
      <c r="E3360" s="61" t="n"/>
      <c r="F3360" s="55" t="n"/>
      <c r="G3360" s="56" t="n"/>
      <c r="H3360" s="55" t="n"/>
      <c r="I3360" s="62" t="n"/>
      <c r="J3360" s="58" t="n"/>
      <c r="K3360" s="63">
        <f>IF(tblMovement[[#This Row],[Source]]="","",IFERROR(INDEX(tblSources[Type],MATCH(tblMovement[[#This Row],[Source]],tblSources[Source],0)),"?"))</f>
        <v/>
      </c>
      <c r="L3360" s="63">
        <f>IF(tblMovement[[#This Row],[Destination]]="","",IFERROR(INDEX(tblDestinations[Type],MATCH(tblMovement[[#This Row],[Destination]],tblDestinations[Destination],0)),"?"))</f>
        <v/>
      </c>
      <c r="M3360" s="64">
        <f>IF(tblMovement[[#This Row],[Material]]="","",IF(LEFT(tblMovement[[#This Row],[Material]],3)="Ore",1,0))</f>
        <v/>
      </c>
      <c r="N3360" s="59">
        <f>IF(OR(tblMovement[[#This Row],[Tonnes_t]]="",tblMovement[[#This Row],[Grade_gpt]]=""),0,tblMovement[[#This Row],[Tonnes_t]]*tblMovement[[#This Row],[Grade_gpt]]/cfg_TroyOz)</f>
        <v/>
      </c>
      <c r="O3360" s="59">
        <f>IF(tblMovement[[#This Row],[Is_Ore]]=1,tblMovement[[#This Row],[Contained_oz]],0)</f>
        <v/>
      </c>
    </row>
    <row r="3361">
      <c r="A3361" s="54" t="n"/>
      <c r="B3361" s="61" t="n"/>
      <c r="C3361" s="61" t="n"/>
      <c r="D3361" s="61" t="n"/>
      <c r="E3361" s="61" t="n"/>
      <c r="F3361" s="55" t="n"/>
      <c r="G3361" s="56" t="n"/>
      <c r="H3361" s="55" t="n"/>
      <c r="I3361" s="62" t="n"/>
      <c r="J3361" s="58" t="n"/>
      <c r="K3361" s="63">
        <f>IF(tblMovement[[#This Row],[Source]]="","",IFERROR(INDEX(tblSources[Type],MATCH(tblMovement[[#This Row],[Source]],tblSources[Source],0)),"?"))</f>
        <v/>
      </c>
      <c r="L3361" s="63">
        <f>IF(tblMovement[[#This Row],[Destination]]="","",IFERROR(INDEX(tblDestinations[Type],MATCH(tblMovement[[#This Row],[Destination]],tblDestinations[Destination],0)),"?"))</f>
        <v/>
      </c>
      <c r="M3361" s="64">
        <f>IF(tblMovement[[#This Row],[Material]]="","",IF(LEFT(tblMovement[[#This Row],[Material]],3)="Ore",1,0))</f>
        <v/>
      </c>
      <c r="N3361" s="59">
        <f>IF(OR(tblMovement[[#This Row],[Tonnes_t]]="",tblMovement[[#This Row],[Grade_gpt]]=""),0,tblMovement[[#This Row],[Tonnes_t]]*tblMovement[[#This Row],[Grade_gpt]]/cfg_TroyOz)</f>
        <v/>
      </c>
      <c r="O3361" s="59">
        <f>IF(tblMovement[[#This Row],[Is_Ore]]=1,tblMovement[[#This Row],[Contained_oz]],0)</f>
        <v/>
      </c>
    </row>
    <row r="3362">
      <c r="A3362" s="54" t="n"/>
      <c r="B3362" s="61" t="n"/>
      <c r="C3362" s="61" t="n"/>
      <c r="D3362" s="61" t="n"/>
      <c r="E3362" s="61" t="n"/>
      <c r="F3362" s="55" t="n"/>
      <c r="G3362" s="56" t="n"/>
      <c r="H3362" s="55" t="n"/>
      <c r="I3362" s="62" t="n"/>
      <c r="J3362" s="58" t="n"/>
      <c r="K3362" s="63">
        <f>IF(tblMovement[[#This Row],[Source]]="","",IFERROR(INDEX(tblSources[Type],MATCH(tblMovement[[#This Row],[Source]],tblSources[Source],0)),"?"))</f>
        <v/>
      </c>
      <c r="L3362" s="63">
        <f>IF(tblMovement[[#This Row],[Destination]]="","",IFERROR(INDEX(tblDestinations[Type],MATCH(tblMovement[[#This Row],[Destination]],tblDestinations[Destination],0)),"?"))</f>
        <v/>
      </c>
      <c r="M3362" s="64">
        <f>IF(tblMovement[[#This Row],[Material]]="","",IF(LEFT(tblMovement[[#This Row],[Material]],3)="Ore",1,0))</f>
        <v/>
      </c>
      <c r="N3362" s="59">
        <f>IF(OR(tblMovement[[#This Row],[Tonnes_t]]="",tblMovement[[#This Row],[Grade_gpt]]=""),0,tblMovement[[#This Row],[Tonnes_t]]*tblMovement[[#This Row],[Grade_gpt]]/cfg_TroyOz)</f>
        <v/>
      </c>
      <c r="O3362" s="59">
        <f>IF(tblMovement[[#This Row],[Is_Ore]]=1,tblMovement[[#This Row],[Contained_oz]],0)</f>
        <v/>
      </c>
    </row>
    <row r="3363">
      <c r="A3363" s="54" t="n"/>
      <c r="B3363" s="61" t="n"/>
      <c r="C3363" s="61" t="n"/>
      <c r="D3363" s="61" t="n"/>
      <c r="E3363" s="61" t="n"/>
      <c r="F3363" s="55" t="n"/>
      <c r="G3363" s="56" t="n"/>
      <c r="H3363" s="55" t="n"/>
      <c r="I3363" s="62" t="n"/>
      <c r="J3363" s="58" t="n"/>
      <c r="K3363" s="63">
        <f>IF(tblMovement[[#This Row],[Source]]="","",IFERROR(INDEX(tblSources[Type],MATCH(tblMovement[[#This Row],[Source]],tblSources[Source],0)),"?"))</f>
        <v/>
      </c>
      <c r="L3363" s="63">
        <f>IF(tblMovement[[#This Row],[Destination]]="","",IFERROR(INDEX(tblDestinations[Type],MATCH(tblMovement[[#This Row],[Destination]],tblDestinations[Destination],0)),"?"))</f>
        <v/>
      </c>
      <c r="M3363" s="64">
        <f>IF(tblMovement[[#This Row],[Material]]="","",IF(LEFT(tblMovement[[#This Row],[Material]],3)="Ore",1,0))</f>
        <v/>
      </c>
      <c r="N3363" s="59">
        <f>IF(OR(tblMovement[[#This Row],[Tonnes_t]]="",tblMovement[[#This Row],[Grade_gpt]]=""),0,tblMovement[[#This Row],[Tonnes_t]]*tblMovement[[#This Row],[Grade_gpt]]/cfg_TroyOz)</f>
        <v/>
      </c>
      <c r="O3363" s="59">
        <f>IF(tblMovement[[#This Row],[Is_Ore]]=1,tblMovement[[#This Row],[Contained_oz]],0)</f>
        <v/>
      </c>
    </row>
    <row r="3364">
      <c r="A3364" s="54" t="n"/>
      <c r="B3364" s="61" t="n"/>
      <c r="C3364" s="61" t="n"/>
      <c r="D3364" s="61" t="n"/>
      <c r="E3364" s="61" t="n"/>
      <c r="F3364" s="55" t="n"/>
      <c r="G3364" s="56" t="n"/>
      <c r="H3364" s="55" t="n"/>
      <c r="I3364" s="62" t="n"/>
      <c r="J3364" s="58" t="n"/>
      <c r="K3364" s="63">
        <f>IF(tblMovement[[#This Row],[Source]]="","",IFERROR(INDEX(tblSources[Type],MATCH(tblMovement[[#This Row],[Source]],tblSources[Source],0)),"?"))</f>
        <v/>
      </c>
      <c r="L3364" s="63">
        <f>IF(tblMovement[[#This Row],[Destination]]="","",IFERROR(INDEX(tblDestinations[Type],MATCH(tblMovement[[#This Row],[Destination]],tblDestinations[Destination],0)),"?"))</f>
        <v/>
      </c>
      <c r="M3364" s="64">
        <f>IF(tblMovement[[#This Row],[Material]]="","",IF(LEFT(tblMovement[[#This Row],[Material]],3)="Ore",1,0))</f>
        <v/>
      </c>
      <c r="N3364" s="59">
        <f>IF(OR(tblMovement[[#This Row],[Tonnes_t]]="",tblMovement[[#This Row],[Grade_gpt]]=""),0,tblMovement[[#This Row],[Tonnes_t]]*tblMovement[[#This Row],[Grade_gpt]]/cfg_TroyOz)</f>
        <v/>
      </c>
      <c r="O3364" s="59">
        <f>IF(tblMovement[[#This Row],[Is_Ore]]=1,tblMovement[[#This Row],[Contained_oz]],0)</f>
        <v/>
      </c>
    </row>
    <row r="3365">
      <c r="A3365" s="54" t="n"/>
      <c r="B3365" s="61" t="n"/>
      <c r="C3365" s="61" t="n"/>
      <c r="D3365" s="61" t="n"/>
      <c r="E3365" s="61" t="n"/>
      <c r="F3365" s="55" t="n"/>
      <c r="G3365" s="56" t="n"/>
      <c r="H3365" s="55" t="n"/>
      <c r="I3365" s="62" t="n"/>
      <c r="J3365" s="58" t="n"/>
      <c r="K3365" s="63">
        <f>IF(tblMovement[[#This Row],[Source]]="","",IFERROR(INDEX(tblSources[Type],MATCH(tblMovement[[#This Row],[Source]],tblSources[Source],0)),"?"))</f>
        <v/>
      </c>
      <c r="L3365" s="63">
        <f>IF(tblMovement[[#This Row],[Destination]]="","",IFERROR(INDEX(tblDestinations[Type],MATCH(tblMovement[[#This Row],[Destination]],tblDestinations[Destination],0)),"?"))</f>
        <v/>
      </c>
      <c r="M3365" s="64">
        <f>IF(tblMovement[[#This Row],[Material]]="","",IF(LEFT(tblMovement[[#This Row],[Material]],3)="Ore",1,0))</f>
        <v/>
      </c>
      <c r="N3365" s="59">
        <f>IF(OR(tblMovement[[#This Row],[Tonnes_t]]="",tblMovement[[#This Row],[Grade_gpt]]=""),0,tblMovement[[#This Row],[Tonnes_t]]*tblMovement[[#This Row],[Grade_gpt]]/cfg_TroyOz)</f>
        <v/>
      </c>
      <c r="O3365" s="59">
        <f>IF(tblMovement[[#This Row],[Is_Ore]]=1,tblMovement[[#This Row],[Contained_oz]],0)</f>
        <v/>
      </c>
    </row>
    <row r="3366">
      <c r="A3366" s="54" t="n"/>
      <c r="B3366" s="61" t="n"/>
      <c r="C3366" s="61" t="n"/>
      <c r="D3366" s="61" t="n"/>
      <c r="E3366" s="61" t="n"/>
      <c r="F3366" s="55" t="n"/>
      <c r="G3366" s="56" t="n"/>
      <c r="H3366" s="55" t="n"/>
      <c r="I3366" s="62" t="n"/>
      <c r="J3366" s="58" t="n"/>
      <c r="K3366" s="63">
        <f>IF(tblMovement[[#This Row],[Source]]="","",IFERROR(INDEX(tblSources[Type],MATCH(tblMovement[[#This Row],[Source]],tblSources[Source],0)),"?"))</f>
        <v/>
      </c>
      <c r="L3366" s="63">
        <f>IF(tblMovement[[#This Row],[Destination]]="","",IFERROR(INDEX(tblDestinations[Type],MATCH(tblMovement[[#This Row],[Destination]],tblDestinations[Destination],0)),"?"))</f>
        <v/>
      </c>
      <c r="M3366" s="64">
        <f>IF(tblMovement[[#This Row],[Material]]="","",IF(LEFT(tblMovement[[#This Row],[Material]],3)="Ore",1,0))</f>
        <v/>
      </c>
      <c r="N3366" s="59">
        <f>IF(OR(tblMovement[[#This Row],[Tonnes_t]]="",tblMovement[[#This Row],[Grade_gpt]]=""),0,tblMovement[[#This Row],[Tonnes_t]]*tblMovement[[#This Row],[Grade_gpt]]/cfg_TroyOz)</f>
        <v/>
      </c>
      <c r="O3366" s="59">
        <f>IF(tblMovement[[#This Row],[Is_Ore]]=1,tblMovement[[#This Row],[Contained_oz]],0)</f>
        <v/>
      </c>
    </row>
    <row r="3367">
      <c r="A3367" s="54" t="n"/>
      <c r="B3367" s="61" t="n"/>
      <c r="C3367" s="61" t="n"/>
      <c r="D3367" s="61" t="n"/>
      <c r="E3367" s="61" t="n"/>
      <c r="F3367" s="55" t="n"/>
      <c r="G3367" s="56" t="n"/>
      <c r="H3367" s="55" t="n"/>
      <c r="I3367" s="62" t="n"/>
      <c r="J3367" s="58" t="n"/>
      <c r="K3367" s="63">
        <f>IF(tblMovement[[#This Row],[Source]]="","",IFERROR(INDEX(tblSources[Type],MATCH(tblMovement[[#This Row],[Source]],tblSources[Source],0)),"?"))</f>
        <v/>
      </c>
      <c r="L3367" s="63">
        <f>IF(tblMovement[[#This Row],[Destination]]="","",IFERROR(INDEX(tblDestinations[Type],MATCH(tblMovement[[#This Row],[Destination]],tblDestinations[Destination],0)),"?"))</f>
        <v/>
      </c>
      <c r="M3367" s="64">
        <f>IF(tblMovement[[#This Row],[Material]]="","",IF(LEFT(tblMovement[[#This Row],[Material]],3)="Ore",1,0))</f>
        <v/>
      </c>
      <c r="N3367" s="59">
        <f>IF(OR(tblMovement[[#This Row],[Tonnes_t]]="",tblMovement[[#This Row],[Grade_gpt]]=""),0,tblMovement[[#This Row],[Tonnes_t]]*tblMovement[[#This Row],[Grade_gpt]]/cfg_TroyOz)</f>
        <v/>
      </c>
      <c r="O3367" s="59">
        <f>IF(tblMovement[[#This Row],[Is_Ore]]=1,tblMovement[[#This Row],[Contained_oz]],0)</f>
        <v/>
      </c>
    </row>
    <row r="3368">
      <c r="A3368" s="54" t="n"/>
      <c r="B3368" s="61" t="n"/>
      <c r="C3368" s="61" t="n"/>
      <c r="D3368" s="61" t="n"/>
      <c r="E3368" s="61" t="n"/>
      <c r="F3368" s="55" t="n"/>
      <c r="G3368" s="56" t="n"/>
      <c r="H3368" s="55" t="n"/>
      <c r="I3368" s="62" t="n"/>
      <c r="J3368" s="58" t="n"/>
      <c r="K3368" s="63">
        <f>IF(tblMovement[[#This Row],[Source]]="","",IFERROR(INDEX(tblSources[Type],MATCH(tblMovement[[#This Row],[Source]],tblSources[Source],0)),"?"))</f>
        <v/>
      </c>
      <c r="L3368" s="63">
        <f>IF(tblMovement[[#This Row],[Destination]]="","",IFERROR(INDEX(tblDestinations[Type],MATCH(tblMovement[[#This Row],[Destination]],tblDestinations[Destination],0)),"?"))</f>
        <v/>
      </c>
      <c r="M3368" s="64">
        <f>IF(tblMovement[[#This Row],[Material]]="","",IF(LEFT(tblMovement[[#This Row],[Material]],3)="Ore",1,0))</f>
        <v/>
      </c>
      <c r="N3368" s="59">
        <f>IF(OR(tblMovement[[#This Row],[Tonnes_t]]="",tblMovement[[#This Row],[Grade_gpt]]=""),0,tblMovement[[#This Row],[Tonnes_t]]*tblMovement[[#This Row],[Grade_gpt]]/cfg_TroyOz)</f>
        <v/>
      </c>
      <c r="O3368" s="59">
        <f>IF(tblMovement[[#This Row],[Is_Ore]]=1,tblMovement[[#This Row],[Contained_oz]],0)</f>
        <v/>
      </c>
    </row>
    <row r="3369">
      <c r="A3369" s="54" t="n"/>
      <c r="B3369" s="61" t="n"/>
      <c r="C3369" s="61" t="n"/>
      <c r="D3369" s="61" t="n"/>
      <c r="E3369" s="61" t="n"/>
      <c r="F3369" s="55" t="n"/>
      <c r="G3369" s="56" t="n"/>
      <c r="H3369" s="55" t="n"/>
      <c r="I3369" s="62" t="n"/>
      <c r="J3369" s="58" t="n"/>
      <c r="K3369" s="63">
        <f>IF(tblMovement[[#This Row],[Source]]="","",IFERROR(INDEX(tblSources[Type],MATCH(tblMovement[[#This Row],[Source]],tblSources[Source],0)),"?"))</f>
        <v/>
      </c>
      <c r="L3369" s="63">
        <f>IF(tblMovement[[#This Row],[Destination]]="","",IFERROR(INDEX(tblDestinations[Type],MATCH(tblMovement[[#This Row],[Destination]],tblDestinations[Destination],0)),"?"))</f>
        <v/>
      </c>
      <c r="M3369" s="64">
        <f>IF(tblMovement[[#This Row],[Material]]="","",IF(LEFT(tblMovement[[#This Row],[Material]],3)="Ore",1,0))</f>
        <v/>
      </c>
      <c r="N3369" s="59">
        <f>IF(OR(tblMovement[[#This Row],[Tonnes_t]]="",tblMovement[[#This Row],[Grade_gpt]]=""),0,tblMovement[[#This Row],[Tonnes_t]]*tblMovement[[#This Row],[Grade_gpt]]/cfg_TroyOz)</f>
        <v/>
      </c>
      <c r="O3369" s="59">
        <f>IF(tblMovement[[#This Row],[Is_Ore]]=1,tblMovement[[#This Row],[Contained_oz]],0)</f>
        <v/>
      </c>
    </row>
    <row r="3370">
      <c r="A3370" s="54" t="n"/>
      <c r="B3370" s="61" t="n"/>
      <c r="C3370" s="61" t="n"/>
      <c r="D3370" s="61" t="n"/>
      <c r="E3370" s="61" t="n"/>
      <c r="F3370" s="55" t="n"/>
      <c r="G3370" s="56" t="n"/>
      <c r="H3370" s="55" t="n"/>
      <c r="I3370" s="62" t="n"/>
      <c r="J3370" s="58" t="n"/>
      <c r="K3370" s="63">
        <f>IF(tblMovement[[#This Row],[Source]]="","",IFERROR(INDEX(tblSources[Type],MATCH(tblMovement[[#This Row],[Source]],tblSources[Source],0)),"?"))</f>
        <v/>
      </c>
      <c r="L3370" s="63">
        <f>IF(tblMovement[[#This Row],[Destination]]="","",IFERROR(INDEX(tblDestinations[Type],MATCH(tblMovement[[#This Row],[Destination]],tblDestinations[Destination],0)),"?"))</f>
        <v/>
      </c>
      <c r="M3370" s="64">
        <f>IF(tblMovement[[#This Row],[Material]]="","",IF(LEFT(tblMovement[[#This Row],[Material]],3)="Ore",1,0))</f>
        <v/>
      </c>
      <c r="N3370" s="59">
        <f>IF(OR(tblMovement[[#This Row],[Tonnes_t]]="",tblMovement[[#This Row],[Grade_gpt]]=""),0,tblMovement[[#This Row],[Tonnes_t]]*tblMovement[[#This Row],[Grade_gpt]]/cfg_TroyOz)</f>
        <v/>
      </c>
      <c r="O3370" s="59">
        <f>IF(tblMovement[[#This Row],[Is_Ore]]=1,tblMovement[[#This Row],[Contained_oz]],0)</f>
        <v/>
      </c>
    </row>
    <row r="3371">
      <c r="A3371" s="54" t="n"/>
      <c r="B3371" s="61" t="n"/>
      <c r="C3371" s="61" t="n"/>
      <c r="D3371" s="61" t="n"/>
      <c r="E3371" s="61" t="n"/>
      <c r="F3371" s="55" t="n"/>
      <c r="G3371" s="56" t="n"/>
      <c r="H3371" s="55" t="n"/>
      <c r="I3371" s="62" t="n"/>
      <c r="J3371" s="58" t="n"/>
      <c r="K3371" s="63">
        <f>IF(tblMovement[[#This Row],[Source]]="","",IFERROR(INDEX(tblSources[Type],MATCH(tblMovement[[#This Row],[Source]],tblSources[Source],0)),"?"))</f>
        <v/>
      </c>
      <c r="L3371" s="63">
        <f>IF(tblMovement[[#This Row],[Destination]]="","",IFERROR(INDEX(tblDestinations[Type],MATCH(tblMovement[[#This Row],[Destination]],tblDestinations[Destination],0)),"?"))</f>
        <v/>
      </c>
      <c r="M3371" s="64">
        <f>IF(tblMovement[[#This Row],[Material]]="","",IF(LEFT(tblMovement[[#This Row],[Material]],3)="Ore",1,0))</f>
        <v/>
      </c>
      <c r="N3371" s="59">
        <f>IF(OR(tblMovement[[#This Row],[Tonnes_t]]="",tblMovement[[#This Row],[Grade_gpt]]=""),0,tblMovement[[#This Row],[Tonnes_t]]*tblMovement[[#This Row],[Grade_gpt]]/cfg_TroyOz)</f>
        <v/>
      </c>
      <c r="O3371" s="59">
        <f>IF(tblMovement[[#This Row],[Is_Ore]]=1,tblMovement[[#This Row],[Contained_oz]],0)</f>
        <v/>
      </c>
    </row>
    <row r="3372">
      <c r="A3372" s="54" t="n"/>
      <c r="B3372" s="61" t="n"/>
      <c r="C3372" s="61" t="n"/>
      <c r="D3372" s="61" t="n"/>
      <c r="E3372" s="61" t="n"/>
      <c r="F3372" s="55" t="n"/>
      <c r="G3372" s="56" t="n"/>
      <c r="H3372" s="55" t="n"/>
      <c r="I3372" s="62" t="n"/>
      <c r="J3372" s="58" t="n"/>
      <c r="K3372" s="63">
        <f>IF(tblMovement[[#This Row],[Source]]="","",IFERROR(INDEX(tblSources[Type],MATCH(tblMovement[[#This Row],[Source]],tblSources[Source],0)),"?"))</f>
        <v/>
      </c>
      <c r="L3372" s="63">
        <f>IF(tblMovement[[#This Row],[Destination]]="","",IFERROR(INDEX(tblDestinations[Type],MATCH(tblMovement[[#This Row],[Destination]],tblDestinations[Destination],0)),"?"))</f>
        <v/>
      </c>
      <c r="M3372" s="64">
        <f>IF(tblMovement[[#This Row],[Material]]="","",IF(LEFT(tblMovement[[#This Row],[Material]],3)="Ore",1,0))</f>
        <v/>
      </c>
      <c r="N3372" s="59">
        <f>IF(OR(tblMovement[[#This Row],[Tonnes_t]]="",tblMovement[[#This Row],[Grade_gpt]]=""),0,tblMovement[[#This Row],[Tonnes_t]]*tblMovement[[#This Row],[Grade_gpt]]/cfg_TroyOz)</f>
        <v/>
      </c>
      <c r="O3372" s="59">
        <f>IF(tblMovement[[#This Row],[Is_Ore]]=1,tblMovement[[#This Row],[Contained_oz]],0)</f>
        <v/>
      </c>
    </row>
    <row r="3373">
      <c r="A3373" s="54" t="n"/>
      <c r="B3373" s="61" t="n"/>
      <c r="C3373" s="61" t="n"/>
      <c r="D3373" s="61" t="n"/>
      <c r="E3373" s="61" t="n"/>
      <c r="F3373" s="55" t="n"/>
      <c r="G3373" s="56" t="n"/>
      <c r="H3373" s="55" t="n"/>
      <c r="I3373" s="62" t="n"/>
      <c r="J3373" s="58" t="n"/>
      <c r="K3373" s="63">
        <f>IF(tblMovement[[#This Row],[Source]]="","",IFERROR(INDEX(tblSources[Type],MATCH(tblMovement[[#This Row],[Source]],tblSources[Source],0)),"?"))</f>
        <v/>
      </c>
      <c r="L3373" s="63">
        <f>IF(tblMovement[[#This Row],[Destination]]="","",IFERROR(INDEX(tblDestinations[Type],MATCH(tblMovement[[#This Row],[Destination]],tblDestinations[Destination],0)),"?"))</f>
        <v/>
      </c>
      <c r="M3373" s="64">
        <f>IF(tblMovement[[#This Row],[Material]]="","",IF(LEFT(tblMovement[[#This Row],[Material]],3)="Ore",1,0))</f>
        <v/>
      </c>
      <c r="N3373" s="59">
        <f>IF(OR(tblMovement[[#This Row],[Tonnes_t]]="",tblMovement[[#This Row],[Grade_gpt]]=""),0,tblMovement[[#This Row],[Tonnes_t]]*tblMovement[[#This Row],[Grade_gpt]]/cfg_TroyOz)</f>
        <v/>
      </c>
      <c r="O3373" s="59">
        <f>IF(tblMovement[[#This Row],[Is_Ore]]=1,tblMovement[[#This Row],[Contained_oz]],0)</f>
        <v/>
      </c>
    </row>
    <row r="3374">
      <c r="A3374" s="54" t="n"/>
      <c r="B3374" s="61" t="n"/>
      <c r="C3374" s="61" t="n"/>
      <c r="D3374" s="61" t="n"/>
      <c r="E3374" s="61" t="n"/>
      <c r="F3374" s="55" t="n"/>
      <c r="G3374" s="56" t="n"/>
      <c r="H3374" s="55" t="n"/>
      <c r="I3374" s="62" t="n"/>
      <c r="J3374" s="58" t="n"/>
      <c r="K3374" s="63">
        <f>IF(tblMovement[[#This Row],[Source]]="","",IFERROR(INDEX(tblSources[Type],MATCH(tblMovement[[#This Row],[Source]],tblSources[Source],0)),"?"))</f>
        <v/>
      </c>
      <c r="L3374" s="63">
        <f>IF(tblMovement[[#This Row],[Destination]]="","",IFERROR(INDEX(tblDestinations[Type],MATCH(tblMovement[[#This Row],[Destination]],tblDestinations[Destination],0)),"?"))</f>
        <v/>
      </c>
      <c r="M3374" s="64">
        <f>IF(tblMovement[[#This Row],[Material]]="","",IF(LEFT(tblMovement[[#This Row],[Material]],3)="Ore",1,0))</f>
        <v/>
      </c>
      <c r="N3374" s="59">
        <f>IF(OR(tblMovement[[#This Row],[Tonnes_t]]="",tblMovement[[#This Row],[Grade_gpt]]=""),0,tblMovement[[#This Row],[Tonnes_t]]*tblMovement[[#This Row],[Grade_gpt]]/cfg_TroyOz)</f>
        <v/>
      </c>
      <c r="O3374" s="59">
        <f>IF(tblMovement[[#This Row],[Is_Ore]]=1,tblMovement[[#This Row],[Contained_oz]],0)</f>
        <v/>
      </c>
    </row>
    <row r="3375">
      <c r="A3375" s="54" t="n"/>
      <c r="B3375" s="61" t="n"/>
      <c r="C3375" s="61" t="n"/>
      <c r="D3375" s="61" t="n"/>
      <c r="E3375" s="61" t="n"/>
      <c r="F3375" s="55" t="n"/>
      <c r="G3375" s="56" t="n"/>
      <c r="H3375" s="55" t="n"/>
      <c r="I3375" s="62" t="n"/>
      <c r="J3375" s="58" t="n"/>
      <c r="K3375" s="63">
        <f>IF(tblMovement[[#This Row],[Source]]="","",IFERROR(INDEX(tblSources[Type],MATCH(tblMovement[[#This Row],[Source]],tblSources[Source],0)),"?"))</f>
        <v/>
      </c>
      <c r="L3375" s="63">
        <f>IF(tblMovement[[#This Row],[Destination]]="","",IFERROR(INDEX(tblDestinations[Type],MATCH(tblMovement[[#This Row],[Destination]],tblDestinations[Destination],0)),"?"))</f>
        <v/>
      </c>
      <c r="M3375" s="64">
        <f>IF(tblMovement[[#This Row],[Material]]="","",IF(LEFT(tblMovement[[#This Row],[Material]],3)="Ore",1,0))</f>
        <v/>
      </c>
      <c r="N3375" s="59">
        <f>IF(OR(tblMovement[[#This Row],[Tonnes_t]]="",tblMovement[[#This Row],[Grade_gpt]]=""),0,tblMovement[[#This Row],[Tonnes_t]]*tblMovement[[#This Row],[Grade_gpt]]/cfg_TroyOz)</f>
        <v/>
      </c>
      <c r="O3375" s="59">
        <f>IF(tblMovement[[#This Row],[Is_Ore]]=1,tblMovement[[#This Row],[Contained_oz]],0)</f>
        <v/>
      </c>
    </row>
    <row r="3376">
      <c r="A3376" s="54" t="n"/>
      <c r="B3376" s="61" t="n"/>
      <c r="C3376" s="61" t="n"/>
      <c r="D3376" s="61" t="n"/>
      <c r="E3376" s="61" t="n"/>
      <c r="F3376" s="55" t="n"/>
      <c r="G3376" s="56" t="n"/>
      <c r="H3376" s="55" t="n"/>
      <c r="I3376" s="62" t="n"/>
      <c r="J3376" s="58" t="n"/>
      <c r="K3376" s="63">
        <f>IF(tblMovement[[#This Row],[Source]]="","",IFERROR(INDEX(tblSources[Type],MATCH(tblMovement[[#This Row],[Source]],tblSources[Source],0)),"?"))</f>
        <v/>
      </c>
      <c r="L3376" s="63">
        <f>IF(tblMovement[[#This Row],[Destination]]="","",IFERROR(INDEX(tblDestinations[Type],MATCH(tblMovement[[#This Row],[Destination]],tblDestinations[Destination],0)),"?"))</f>
        <v/>
      </c>
      <c r="M3376" s="64">
        <f>IF(tblMovement[[#This Row],[Material]]="","",IF(LEFT(tblMovement[[#This Row],[Material]],3)="Ore",1,0))</f>
        <v/>
      </c>
      <c r="N3376" s="59">
        <f>IF(OR(tblMovement[[#This Row],[Tonnes_t]]="",tblMovement[[#This Row],[Grade_gpt]]=""),0,tblMovement[[#This Row],[Tonnes_t]]*tblMovement[[#This Row],[Grade_gpt]]/cfg_TroyOz)</f>
        <v/>
      </c>
      <c r="O3376" s="59">
        <f>IF(tblMovement[[#This Row],[Is_Ore]]=1,tblMovement[[#This Row],[Contained_oz]],0)</f>
        <v/>
      </c>
    </row>
    <row r="3377">
      <c r="A3377" s="54" t="n"/>
      <c r="B3377" s="61" t="n"/>
      <c r="C3377" s="61" t="n"/>
      <c r="D3377" s="61" t="n"/>
      <c r="E3377" s="61" t="n"/>
      <c r="F3377" s="55" t="n"/>
      <c r="G3377" s="56" t="n"/>
      <c r="H3377" s="55" t="n"/>
      <c r="I3377" s="62" t="n"/>
      <c r="J3377" s="58" t="n"/>
      <c r="K3377" s="63">
        <f>IF(tblMovement[[#This Row],[Source]]="","",IFERROR(INDEX(tblSources[Type],MATCH(tblMovement[[#This Row],[Source]],tblSources[Source],0)),"?"))</f>
        <v/>
      </c>
      <c r="L3377" s="63">
        <f>IF(tblMovement[[#This Row],[Destination]]="","",IFERROR(INDEX(tblDestinations[Type],MATCH(tblMovement[[#This Row],[Destination]],tblDestinations[Destination],0)),"?"))</f>
        <v/>
      </c>
      <c r="M3377" s="64">
        <f>IF(tblMovement[[#This Row],[Material]]="","",IF(LEFT(tblMovement[[#This Row],[Material]],3)="Ore",1,0))</f>
        <v/>
      </c>
      <c r="N3377" s="59">
        <f>IF(OR(tblMovement[[#This Row],[Tonnes_t]]="",tblMovement[[#This Row],[Grade_gpt]]=""),0,tblMovement[[#This Row],[Tonnes_t]]*tblMovement[[#This Row],[Grade_gpt]]/cfg_TroyOz)</f>
        <v/>
      </c>
      <c r="O3377" s="59">
        <f>IF(tblMovement[[#This Row],[Is_Ore]]=1,tblMovement[[#This Row],[Contained_oz]],0)</f>
        <v/>
      </c>
    </row>
    <row r="3378">
      <c r="A3378" s="54" t="n"/>
      <c r="B3378" s="61" t="n"/>
      <c r="C3378" s="61" t="n"/>
      <c r="D3378" s="61" t="n"/>
      <c r="E3378" s="61" t="n"/>
      <c r="F3378" s="55" t="n"/>
      <c r="G3378" s="56" t="n"/>
      <c r="H3378" s="55" t="n"/>
      <c r="I3378" s="62" t="n"/>
      <c r="J3378" s="58" t="n"/>
      <c r="K3378" s="63">
        <f>IF(tblMovement[[#This Row],[Source]]="","",IFERROR(INDEX(tblSources[Type],MATCH(tblMovement[[#This Row],[Source]],tblSources[Source],0)),"?"))</f>
        <v/>
      </c>
      <c r="L3378" s="63">
        <f>IF(tblMovement[[#This Row],[Destination]]="","",IFERROR(INDEX(tblDestinations[Type],MATCH(tblMovement[[#This Row],[Destination]],tblDestinations[Destination],0)),"?"))</f>
        <v/>
      </c>
      <c r="M3378" s="64">
        <f>IF(tblMovement[[#This Row],[Material]]="","",IF(LEFT(tblMovement[[#This Row],[Material]],3)="Ore",1,0))</f>
        <v/>
      </c>
      <c r="N3378" s="59">
        <f>IF(OR(tblMovement[[#This Row],[Tonnes_t]]="",tblMovement[[#This Row],[Grade_gpt]]=""),0,tblMovement[[#This Row],[Tonnes_t]]*tblMovement[[#This Row],[Grade_gpt]]/cfg_TroyOz)</f>
        <v/>
      </c>
      <c r="O3378" s="59">
        <f>IF(tblMovement[[#This Row],[Is_Ore]]=1,tblMovement[[#This Row],[Contained_oz]],0)</f>
        <v/>
      </c>
    </row>
    <row r="3379">
      <c r="A3379" s="54" t="n"/>
      <c r="B3379" s="61" t="n"/>
      <c r="C3379" s="61" t="n"/>
      <c r="D3379" s="61" t="n"/>
      <c r="E3379" s="61" t="n"/>
      <c r="F3379" s="55" t="n"/>
      <c r="G3379" s="56" t="n"/>
      <c r="H3379" s="55" t="n"/>
      <c r="I3379" s="62" t="n"/>
      <c r="J3379" s="58" t="n"/>
      <c r="K3379" s="63">
        <f>IF(tblMovement[[#This Row],[Source]]="","",IFERROR(INDEX(tblSources[Type],MATCH(tblMovement[[#This Row],[Source]],tblSources[Source],0)),"?"))</f>
        <v/>
      </c>
      <c r="L3379" s="63">
        <f>IF(tblMovement[[#This Row],[Destination]]="","",IFERROR(INDEX(tblDestinations[Type],MATCH(tblMovement[[#This Row],[Destination]],tblDestinations[Destination],0)),"?"))</f>
        <v/>
      </c>
      <c r="M3379" s="64">
        <f>IF(tblMovement[[#This Row],[Material]]="","",IF(LEFT(tblMovement[[#This Row],[Material]],3)="Ore",1,0))</f>
        <v/>
      </c>
      <c r="N3379" s="59">
        <f>IF(OR(tblMovement[[#This Row],[Tonnes_t]]="",tblMovement[[#This Row],[Grade_gpt]]=""),0,tblMovement[[#This Row],[Tonnes_t]]*tblMovement[[#This Row],[Grade_gpt]]/cfg_TroyOz)</f>
        <v/>
      </c>
      <c r="O3379" s="59">
        <f>IF(tblMovement[[#This Row],[Is_Ore]]=1,tblMovement[[#This Row],[Contained_oz]],0)</f>
        <v/>
      </c>
    </row>
    <row r="3380">
      <c r="A3380" s="54" t="n"/>
      <c r="B3380" s="61" t="n"/>
      <c r="C3380" s="61" t="n"/>
      <c r="D3380" s="61" t="n"/>
      <c r="E3380" s="61" t="n"/>
      <c r="F3380" s="55" t="n"/>
      <c r="G3380" s="56" t="n"/>
      <c r="H3380" s="55" t="n"/>
      <c r="I3380" s="62" t="n"/>
      <c r="J3380" s="58" t="n"/>
      <c r="K3380" s="63">
        <f>IF(tblMovement[[#This Row],[Source]]="","",IFERROR(INDEX(tblSources[Type],MATCH(tblMovement[[#This Row],[Source]],tblSources[Source],0)),"?"))</f>
        <v/>
      </c>
      <c r="L3380" s="63">
        <f>IF(tblMovement[[#This Row],[Destination]]="","",IFERROR(INDEX(tblDestinations[Type],MATCH(tblMovement[[#This Row],[Destination]],tblDestinations[Destination],0)),"?"))</f>
        <v/>
      </c>
      <c r="M3380" s="64">
        <f>IF(tblMovement[[#This Row],[Material]]="","",IF(LEFT(tblMovement[[#This Row],[Material]],3)="Ore",1,0))</f>
        <v/>
      </c>
      <c r="N3380" s="59">
        <f>IF(OR(tblMovement[[#This Row],[Tonnes_t]]="",tblMovement[[#This Row],[Grade_gpt]]=""),0,tblMovement[[#This Row],[Tonnes_t]]*tblMovement[[#This Row],[Grade_gpt]]/cfg_TroyOz)</f>
        <v/>
      </c>
      <c r="O3380" s="59">
        <f>IF(tblMovement[[#This Row],[Is_Ore]]=1,tblMovement[[#This Row],[Contained_oz]],0)</f>
        <v/>
      </c>
    </row>
    <row r="3381">
      <c r="A3381" s="54" t="n"/>
      <c r="B3381" s="61" t="n"/>
      <c r="C3381" s="61" t="n"/>
      <c r="D3381" s="61" t="n"/>
      <c r="E3381" s="61" t="n"/>
      <c r="F3381" s="55" t="n"/>
      <c r="G3381" s="56" t="n"/>
      <c r="H3381" s="55" t="n"/>
      <c r="I3381" s="62" t="n"/>
      <c r="J3381" s="58" t="n"/>
      <c r="K3381" s="63">
        <f>IF(tblMovement[[#This Row],[Source]]="","",IFERROR(INDEX(tblSources[Type],MATCH(tblMovement[[#This Row],[Source]],tblSources[Source],0)),"?"))</f>
        <v/>
      </c>
      <c r="L3381" s="63">
        <f>IF(tblMovement[[#This Row],[Destination]]="","",IFERROR(INDEX(tblDestinations[Type],MATCH(tblMovement[[#This Row],[Destination]],tblDestinations[Destination],0)),"?"))</f>
        <v/>
      </c>
      <c r="M3381" s="64">
        <f>IF(tblMovement[[#This Row],[Material]]="","",IF(LEFT(tblMovement[[#This Row],[Material]],3)="Ore",1,0))</f>
        <v/>
      </c>
      <c r="N3381" s="59">
        <f>IF(OR(tblMovement[[#This Row],[Tonnes_t]]="",tblMovement[[#This Row],[Grade_gpt]]=""),0,tblMovement[[#This Row],[Tonnes_t]]*tblMovement[[#This Row],[Grade_gpt]]/cfg_TroyOz)</f>
        <v/>
      </c>
      <c r="O3381" s="59">
        <f>IF(tblMovement[[#This Row],[Is_Ore]]=1,tblMovement[[#This Row],[Contained_oz]],0)</f>
        <v/>
      </c>
    </row>
    <row r="3382">
      <c r="A3382" s="54" t="n"/>
      <c r="B3382" s="61" t="n"/>
      <c r="C3382" s="61" t="n"/>
      <c r="D3382" s="61" t="n"/>
      <c r="E3382" s="61" t="n"/>
      <c r="F3382" s="55" t="n"/>
      <c r="G3382" s="56" t="n"/>
      <c r="H3382" s="55" t="n"/>
      <c r="I3382" s="62" t="n"/>
      <c r="J3382" s="58" t="n"/>
      <c r="K3382" s="63">
        <f>IF(tblMovement[[#This Row],[Source]]="","",IFERROR(INDEX(tblSources[Type],MATCH(tblMovement[[#This Row],[Source]],tblSources[Source],0)),"?"))</f>
        <v/>
      </c>
      <c r="L3382" s="63">
        <f>IF(tblMovement[[#This Row],[Destination]]="","",IFERROR(INDEX(tblDestinations[Type],MATCH(tblMovement[[#This Row],[Destination]],tblDestinations[Destination],0)),"?"))</f>
        <v/>
      </c>
      <c r="M3382" s="64">
        <f>IF(tblMovement[[#This Row],[Material]]="","",IF(LEFT(tblMovement[[#This Row],[Material]],3)="Ore",1,0))</f>
        <v/>
      </c>
      <c r="N3382" s="59">
        <f>IF(OR(tblMovement[[#This Row],[Tonnes_t]]="",tblMovement[[#This Row],[Grade_gpt]]=""),0,tblMovement[[#This Row],[Tonnes_t]]*tblMovement[[#This Row],[Grade_gpt]]/cfg_TroyOz)</f>
        <v/>
      </c>
      <c r="O3382" s="59">
        <f>IF(tblMovement[[#This Row],[Is_Ore]]=1,tblMovement[[#This Row],[Contained_oz]],0)</f>
        <v/>
      </c>
    </row>
    <row r="3383">
      <c r="A3383" s="54" t="n"/>
      <c r="B3383" s="61" t="n"/>
      <c r="C3383" s="61" t="n"/>
      <c r="D3383" s="61" t="n"/>
      <c r="E3383" s="61" t="n"/>
      <c r="F3383" s="55" t="n"/>
      <c r="G3383" s="56" t="n"/>
      <c r="H3383" s="55" t="n"/>
      <c r="I3383" s="62" t="n"/>
      <c r="J3383" s="58" t="n"/>
      <c r="K3383" s="63">
        <f>IF(tblMovement[[#This Row],[Source]]="","",IFERROR(INDEX(tblSources[Type],MATCH(tblMovement[[#This Row],[Source]],tblSources[Source],0)),"?"))</f>
        <v/>
      </c>
      <c r="L3383" s="63">
        <f>IF(tblMovement[[#This Row],[Destination]]="","",IFERROR(INDEX(tblDestinations[Type],MATCH(tblMovement[[#This Row],[Destination]],tblDestinations[Destination],0)),"?"))</f>
        <v/>
      </c>
      <c r="M3383" s="64">
        <f>IF(tblMovement[[#This Row],[Material]]="","",IF(LEFT(tblMovement[[#This Row],[Material]],3)="Ore",1,0))</f>
        <v/>
      </c>
      <c r="N3383" s="59">
        <f>IF(OR(tblMovement[[#This Row],[Tonnes_t]]="",tblMovement[[#This Row],[Grade_gpt]]=""),0,tblMovement[[#This Row],[Tonnes_t]]*tblMovement[[#This Row],[Grade_gpt]]/cfg_TroyOz)</f>
        <v/>
      </c>
      <c r="O3383" s="59">
        <f>IF(tblMovement[[#This Row],[Is_Ore]]=1,tblMovement[[#This Row],[Contained_oz]],0)</f>
        <v/>
      </c>
    </row>
    <row r="3384">
      <c r="A3384" s="54" t="n"/>
      <c r="B3384" s="61" t="n"/>
      <c r="C3384" s="61" t="n"/>
      <c r="D3384" s="61" t="n"/>
      <c r="E3384" s="61" t="n"/>
      <c r="F3384" s="55" t="n"/>
      <c r="G3384" s="56" t="n"/>
      <c r="H3384" s="55" t="n"/>
      <c r="I3384" s="62" t="n"/>
      <c r="J3384" s="58" t="n"/>
      <c r="K3384" s="63">
        <f>IF(tblMovement[[#This Row],[Source]]="","",IFERROR(INDEX(tblSources[Type],MATCH(tblMovement[[#This Row],[Source]],tblSources[Source],0)),"?"))</f>
        <v/>
      </c>
      <c r="L3384" s="63">
        <f>IF(tblMovement[[#This Row],[Destination]]="","",IFERROR(INDEX(tblDestinations[Type],MATCH(tblMovement[[#This Row],[Destination]],tblDestinations[Destination],0)),"?"))</f>
        <v/>
      </c>
      <c r="M3384" s="64">
        <f>IF(tblMovement[[#This Row],[Material]]="","",IF(LEFT(tblMovement[[#This Row],[Material]],3)="Ore",1,0))</f>
        <v/>
      </c>
      <c r="N3384" s="59">
        <f>IF(OR(tblMovement[[#This Row],[Tonnes_t]]="",tblMovement[[#This Row],[Grade_gpt]]=""),0,tblMovement[[#This Row],[Tonnes_t]]*tblMovement[[#This Row],[Grade_gpt]]/cfg_TroyOz)</f>
        <v/>
      </c>
      <c r="O3384" s="59">
        <f>IF(tblMovement[[#This Row],[Is_Ore]]=1,tblMovement[[#This Row],[Contained_oz]],0)</f>
        <v/>
      </c>
    </row>
    <row r="3385">
      <c r="A3385" s="54" t="n"/>
      <c r="B3385" s="61" t="n"/>
      <c r="C3385" s="61" t="n"/>
      <c r="D3385" s="61" t="n"/>
      <c r="E3385" s="61" t="n"/>
      <c r="F3385" s="55" t="n"/>
      <c r="G3385" s="56" t="n"/>
      <c r="H3385" s="55" t="n"/>
      <c r="I3385" s="62" t="n"/>
      <c r="J3385" s="58" t="n"/>
      <c r="K3385" s="63">
        <f>IF(tblMovement[[#This Row],[Source]]="","",IFERROR(INDEX(tblSources[Type],MATCH(tblMovement[[#This Row],[Source]],tblSources[Source],0)),"?"))</f>
        <v/>
      </c>
      <c r="L3385" s="63">
        <f>IF(tblMovement[[#This Row],[Destination]]="","",IFERROR(INDEX(tblDestinations[Type],MATCH(tblMovement[[#This Row],[Destination]],tblDestinations[Destination],0)),"?"))</f>
        <v/>
      </c>
      <c r="M3385" s="64">
        <f>IF(tblMovement[[#This Row],[Material]]="","",IF(LEFT(tblMovement[[#This Row],[Material]],3)="Ore",1,0))</f>
        <v/>
      </c>
      <c r="N3385" s="59">
        <f>IF(OR(tblMovement[[#This Row],[Tonnes_t]]="",tblMovement[[#This Row],[Grade_gpt]]=""),0,tblMovement[[#This Row],[Tonnes_t]]*tblMovement[[#This Row],[Grade_gpt]]/cfg_TroyOz)</f>
        <v/>
      </c>
      <c r="O3385" s="59">
        <f>IF(tblMovement[[#This Row],[Is_Ore]]=1,tblMovement[[#This Row],[Contained_oz]],0)</f>
        <v/>
      </c>
    </row>
    <row r="3386">
      <c r="A3386" s="54" t="n"/>
      <c r="B3386" s="61" t="n"/>
      <c r="C3386" s="61" t="n"/>
      <c r="D3386" s="61" t="n"/>
      <c r="E3386" s="61" t="n"/>
      <c r="F3386" s="55" t="n"/>
      <c r="G3386" s="56" t="n"/>
      <c r="H3386" s="55" t="n"/>
      <c r="I3386" s="62" t="n"/>
      <c r="J3386" s="58" t="n"/>
      <c r="K3386" s="63">
        <f>IF(tblMovement[[#This Row],[Source]]="","",IFERROR(INDEX(tblSources[Type],MATCH(tblMovement[[#This Row],[Source]],tblSources[Source],0)),"?"))</f>
        <v/>
      </c>
      <c r="L3386" s="63">
        <f>IF(tblMovement[[#This Row],[Destination]]="","",IFERROR(INDEX(tblDestinations[Type],MATCH(tblMovement[[#This Row],[Destination]],tblDestinations[Destination],0)),"?"))</f>
        <v/>
      </c>
      <c r="M3386" s="64">
        <f>IF(tblMovement[[#This Row],[Material]]="","",IF(LEFT(tblMovement[[#This Row],[Material]],3)="Ore",1,0))</f>
        <v/>
      </c>
      <c r="N3386" s="59">
        <f>IF(OR(tblMovement[[#This Row],[Tonnes_t]]="",tblMovement[[#This Row],[Grade_gpt]]=""),0,tblMovement[[#This Row],[Tonnes_t]]*tblMovement[[#This Row],[Grade_gpt]]/cfg_TroyOz)</f>
        <v/>
      </c>
      <c r="O3386" s="59">
        <f>IF(tblMovement[[#This Row],[Is_Ore]]=1,tblMovement[[#This Row],[Contained_oz]],0)</f>
        <v/>
      </c>
    </row>
    <row r="3387">
      <c r="A3387" s="54" t="n"/>
      <c r="B3387" s="61" t="n"/>
      <c r="C3387" s="61" t="n"/>
      <c r="D3387" s="61" t="n"/>
      <c r="E3387" s="61" t="n"/>
      <c r="F3387" s="55" t="n"/>
      <c r="G3387" s="56" t="n"/>
      <c r="H3387" s="55" t="n"/>
      <c r="I3387" s="62" t="n"/>
      <c r="J3387" s="58" t="n"/>
      <c r="K3387" s="63">
        <f>IF(tblMovement[[#This Row],[Source]]="","",IFERROR(INDEX(tblSources[Type],MATCH(tblMovement[[#This Row],[Source]],tblSources[Source],0)),"?"))</f>
        <v/>
      </c>
      <c r="L3387" s="63">
        <f>IF(tblMovement[[#This Row],[Destination]]="","",IFERROR(INDEX(tblDestinations[Type],MATCH(tblMovement[[#This Row],[Destination]],tblDestinations[Destination],0)),"?"))</f>
        <v/>
      </c>
      <c r="M3387" s="64">
        <f>IF(tblMovement[[#This Row],[Material]]="","",IF(LEFT(tblMovement[[#This Row],[Material]],3)="Ore",1,0))</f>
        <v/>
      </c>
      <c r="N3387" s="59">
        <f>IF(OR(tblMovement[[#This Row],[Tonnes_t]]="",tblMovement[[#This Row],[Grade_gpt]]=""),0,tblMovement[[#This Row],[Tonnes_t]]*tblMovement[[#This Row],[Grade_gpt]]/cfg_TroyOz)</f>
        <v/>
      </c>
      <c r="O3387" s="59">
        <f>IF(tblMovement[[#This Row],[Is_Ore]]=1,tblMovement[[#This Row],[Contained_oz]],0)</f>
        <v/>
      </c>
    </row>
    <row r="3388">
      <c r="A3388" s="54" t="n"/>
      <c r="B3388" s="61" t="n"/>
      <c r="C3388" s="61" t="n"/>
      <c r="D3388" s="61" t="n"/>
      <c r="E3388" s="61" t="n"/>
      <c r="F3388" s="55" t="n"/>
      <c r="G3388" s="56" t="n"/>
      <c r="H3388" s="55" t="n"/>
      <c r="I3388" s="62" t="n"/>
      <c r="J3388" s="58" t="n"/>
      <c r="K3388" s="63">
        <f>IF(tblMovement[[#This Row],[Source]]="","",IFERROR(INDEX(tblSources[Type],MATCH(tblMovement[[#This Row],[Source]],tblSources[Source],0)),"?"))</f>
        <v/>
      </c>
      <c r="L3388" s="63">
        <f>IF(tblMovement[[#This Row],[Destination]]="","",IFERROR(INDEX(tblDestinations[Type],MATCH(tblMovement[[#This Row],[Destination]],tblDestinations[Destination],0)),"?"))</f>
        <v/>
      </c>
      <c r="M3388" s="64">
        <f>IF(tblMovement[[#This Row],[Material]]="","",IF(LEFT(tblMovement[[#This Row],[Material]],3)="Ore",1,0))</f>
        <v/>
      </c>
      <c r="N3388" s="59">
        <f>IF(OR(tblMovement[[#This Row],[Tonnes_t]]="",tblMovement[[#This Row],[Grade_gpt]]=""),0,tblMovement[[#This Row],[Tonnes_t]]*tblMovement[[#This Row],[Grade_gpt]]/cfg_TroyOz)</f>
        <v/>
      </c>
      <c r="O3388" s="59">
        <f>IF(tblMovement[[#This Row],[Is_Ore]]=1,tblMovement[[#This Row],[Contained_oz]],0)</f>
        <v/>
      </c>
    </row>
    <row r="3389">
      <c r="A3389" s="54" t="n"/>
      <c r="B3389" s="61" t="n"/>
      <c r="C3389" s="61" t="n"/>
      <c r="D3389" s="61" t="n"/>
      <c r="E3389" s="61" t="n"/>
      <c r="F3389" s="55" t="n"/>
      <c r="G3389" s="56" t="n"/>
      <c r="H3389" s="55" t="n"/>
      <c r="I3389" s="62" t="n"/>
      <c r="J3389" s="58" t="n"/>
      <c r="K3389" s="63">
        <f>IF(tblMovement[[#This Row],[Source]]="","",IFERROR(INDEX(tblSources[Type],MATCH(tblMovement[[#This Row],[Source]],tblSources[Source],0)),"?"))</f>
        <v/>
      </c>
      <c r="L3389" s="63">
        <f>IF(tblMovement[[#This Row],[Destination]]="","",IFERROR(INDEX(tblDestinations[Type],MATCH(tblMovement[[#This Row],[Destination]],tblDestinations[Destination],0)),"?"))</f>
        <v/>
      </c>
      <c r="M3389" s="64">
        <f>IF(tblMovement[[#This Row],[Material]]="","",IF(LEFT(tblMovement[[#This Row],[Material]],3)="Ore",1,0))</f>
        <v/>
      </c>
      <c r="N3389" s="59">
        <f>IF(OR(tblMovement[[#This Row],[Tonnes_t]]="",tblMovement[[#This Row],[Grade_gpt]]=""),0,tblMovement[[#This Row],[Tonnes_t]]*tblMovement[[#This Row],[Grade_gpt]]/cfg_TroyOz)</f>
        <v/>
      </c>
      <c r="O3389" s="59">
        <f>IF(tblMovement[[#This Row],[Is_Ore]]=1,tblMovement[[#This Row],[Contained_oz]],0)</f>
        <v/>
      </c>
    </row>
    <row r="3390">
      <c r="A3390" s="54" t="n"/>
      <c r="B3390" s="61" t="n"/>
      <c r="C3390" s="61" t="n"/>
      <c r="D3390" s="61" t="n"/>
      <c r="E3390" s="61" t="n"/>
      <c r="F3390" s="55" t="n"/>
      <c r="G3390" s="56" t="n"/>
      <c r="H3390" s="55" t="n"/>
      <c r="I3390" s="62" t="n"/>
      <c r="J3390" s="58" t="n"/>
      <c r="K3390" s="63">
        <f>IF(tblMovement[[#This Row],[Source]]="","",IFERROR(INDEX(tblSources[Type],MATCH(tblMovement[[#This Row],[Source]],tblSources[Source],0)),"?"))</f>
        <v/>
      </c>
      <c r="L3390" s="63">
        <f>IF(tblMovement[[#This Row],[Destination]]="","",IFERROR(INDEX(tblDestinations[Type],MATCH(tblMovement[[#This Row],[Destination]],tblDestinations[Destination],0)),"?"))</f>
        <v/>
      </c>
      <c r="M3390" s="64">
        <f>IF(tblMovement[[#This Row],[Material]]="","",IF(LEFT(tblMovement[[#This Row],[Material]],3)="Ore",1,0))</f>
        <v/>
      </c>
      <c r="N3390" s="59">
        <f>IF(OR(tblMovement[[#This Row],[Tonnes_t]]="",tblMovement[[#This Row],[Grade_gpt]]=""),0,tblMovement[[#This Row],[Tonnes_t]]*tblMovement[[#This Row],[Grade_gpt]]/cfg_TroyOz)</f>
        <v/>
      </c>
      <c r="O3390" s="59">
        <f>IF(tblMovement[[#This Row],[Is_Ore]]=1,tblMovement[[#This Row],[Contained_oz]],0)</f>
        <v/>
      </c>
    </row>
    <row r="3391">
      <c r="A3391" s="54" t="n"/>
      <c r="B3391" s="61" t="n"/>
      <c r="C3391" s="61" t="n"/>
      <c r="D3391" s="61" t="n"/>
      <c r="E3391" s="61" t="n"/>
      <c r="F3391" s="55" t="n"/>
      <c r="G3391" s="56" t="n"/>
      <c r="H3391" s="55" t="n"/>
      <c r="I3391" s="62" t="n"/>
      <c r="J3391" s="58" t="n"/>
      <c r="K3391" s="63">
        <f>IF(tblMovement[[#This Row],[Source]]="","",IFERROR(INDEX(tblSources[Type],MATCH(tblMovement[[#This Row],[Source]],tblSources[Source],0)),"?"))</f>
        <v/>
      </c>
      <c r="L3391" s="63">
        <f>IF(tblMovement[[#This Row],[Destination]]="","",IFERROR(INDEX(tblDestinations[Type],MATCH(tblMovement[[#This Row],[Destination]],tblDestinations[Destination],0)),"?"))</f>
        <v/>
      </c>
      <c r="M3391" s="64">
        <f>IF(tblMovement[[#This Row],[Material]]="","",IF(LEFT(tblMovement[[#This Row],[Material]],3)="Ore",1,0))</f>
        <v/>
      </c>
      <c r="N3391" s="59">
        <f>IF(OR(tblMovement[[#This Row],[Tonnes_t]]="",tblMovement[[#This Row],[Grade_gpt]]=""),0,tblMovement[[#This Row],[Tonnes_t]]*tblMovement[[#This Row],[Grade_gpt]]/cfg_TroyOz)</f>
        <v/>
      </c>
      <c r="O3391" s="59">
        <f>IF(tblMovement[[#This Row],[Is_Ore]]=1,tblMovement[[#This Row],[Contained_oz]],0)</f>
        <v/>
      </c>
    </row>
    <row r="3392">
      <c r="A3392" s="54" t="n"/>
      <c r="B3392" s="61" t="n"/>
      <c r="C3392" s="61" t="n"/>
      <c r="D3392" s="61" t="n"/>
      <c r="E3392" s="61" t="n"/>
      <c r="F3392" s="55" t="n"/>
      <c r="G3392" s="56" t="n"/>
      <c r="H3392" s="55" t="n"/>
      <c r="I3392" s="62" t="n"/>
      <c r="J3392" s="58" t="n"/>
      <c r="K3392" s="63">
        <f>IF(tblMovement[[#This Row],[Source]]="","",IFERROR(INDEX(tblSources[Type],MATCH(tblMovement[[#This Row],[Source]],tblSources[Source],0)),"?"))</f>
        <v/>
      </c>
      <c r="L3392" s="63">
        <f>IF(tblMovement[[#This Row],[Destination]]="","",IFERROR(INDEX(tblDestinations[Type],MATCH(tblMovement[[#This Row],[Destination]],tblDestinations[Destination],0)),"?"))</f>
        <v/>
      </c>
      <c r="M3392" s="64">
        <f>IF(tblMovement[[#This Row],[Material]]="","",IF(LEFT(tblMovement[[#This Row],[Material]],3)="Ore",1,0))</f>
        <v/>
      </c>
      <c r="N3392" s="59">
        <f>IF(OR(tblMovement[[#This Row],[Tonnes_t]]="",tblMovement[[#This Row],[Grade_gpt]]=""),0,tblMovement[[#This Row],[Tonnes_t]]*tblMovement[[#This Row],[Grade_gpt]]/cfg_TroyOz)</f>
        <v/>
      </c>
      <c r="O3392" s="59">
        <f>IF(tblMovement[[#This Row],[Is_Ore]]=1,tblMovement[[#This Row],[Contained_oz]],0)</f>
        <v/>
      </c>
    </row>
    <row r="3393">
      <c r="A3393" s="54" t="n"/>
      <c r="B3393" s="61" t="n"/>
      <c r="C3393" s="61" t="n"/>
      <c r="D3393" s="61" t="n"/>
      <c r="E3393" s="61" t="n"/>
      <c r="F3393" s="55" t="n"/>
      <c r="G3393" s="56" t="n"/>
      <c r="H3393" s="55" t="n"/>
      <c r="I3393" s="62" t="n"/>
      <c r="J3393" s="58" t="n"/>
      <c r="K3393" s="63">
        <f>IF(tblMovement[[#This Row],[Source]]="","",IFERROR(INDEX(tblSources[Type],MATCH(tblMovement[[#This Row],[Source]],tblSources[Source],0)),"?"))</f>
        <v/>
      </c>
      <c r="L3393" s="63">
        <f>IF(tblMovement[[#This Row],[Destination]]="","",IFERROR(INDEX(tblDestinations[Type],MATCH(tblMovement[[#This Row],[Destination]],tblDestinations[Destination],0)),"?"))</f>
        <v/>
      </c>
      <c r="M3393" s="64">
        <f>IF(tblMovement[[#This Row],[Material]]="","",IF(LEFT(tblMovement[[#This Row],[Material]],3)="Ore",1,0))</f>
        <v/>
      </c>
      <c r="N3393" s="59">
        <f>IF(OR(tblMovement[[#This Row],[Tonnes_t]]="",tblMovement[[#This Row],[Grade_gpt]]=""),0,tblMovement[[#This Row],[Tonnes_t]]*tblMovement[[#This Row],[Grade_gpt]]/cfg_TroyOz)</f>
        <v/>
      </c>
      <c r="O3393" s="59">
        <f>IF(tblMovement[[#This Row],[Is_Ore]]=1,tblMovement[[#This Row],[Contained_oz]],0)</f>
        <v/>
      </c>
    </row>
    <row r="3394">
      <c r="A3394" s="54" t="n"/>
      <c r="B3394" s="61" t="n"/>
      <c r="C3394" s="61" t="n"/>
      <c r="D3394" s="61" t="n"/>
      <c r="E3394" s="61" t="n"/>
      <c r="F3394" s="55" t="n"/>
      <c r="G3394" s="56" t="n"/>
      <c r="H3394" s="55" t="n"/>
      <c r="I3394" s="62" t="n"/>
      <c r="J3394" s="58" t="n"/>
      <c r="K3394" s="63">
        <f>IF(tblMovement[[#This Row],[Source]]="","",IFERROR(INDEX(tblSources[Type],MATCH(tblMovement[[#This Row],[Source]],tblSources[Source],0)),"?"))</f>
        <v/>
      </c>
      <c r="L3394" s="63">
        <f>IF(tblMovement[[#This Row],[Destination]]="","",IFERROR(INDEX(tblDestinations[Type],MATCH(tblMovement[[#This Row],[Destination]],tblDestinations[Destination],0)),"?"))</f>
        <v/>
      </c>
      <c r="M3394" s="64">
        <f>IF(tblMovement[[#This Row],[Material]]="","",IF(LEFT(tblMovement[[#This Row],[Material]],3)="Ore",1,0))</f>
        <v/>
      </c>
      <c r="N3394" s="59">
        <f>IF(OR(tblMovement[[#This Row],[Tonnes_t]]="",tblMovement[[#This Row],[Grade_gpt]]=""),0,tblMovement[[#This Row],[Tonnes_t]]*tblMovement[[#This Row],[Grade_gpt]]/cfg_TroyOz)</f>
        <v/>
      </c>
      <c r="O3394" s="59">
        <f>IF(tblMovement[[#This Row],[Is_Ore]]=1,tblMovement[[#This Row],[Contained_oz]],0)</f>
        <v/>
      </c>
    </row>
    <row r="3395">
      <c r="A3395" s="54" t="n"/>
      <c r="B3395" s="61" t="n"/>
      <c r="C3395" s="61" t="n"/>
      <c r="D3395" s="61" t="n"/>
      <c r="E3395" s="61" t="n"/>
      <c r="F3395" s="55" t="n"/>
      <c r="G3395" s="56" t="n"/>
      <c r="H3395" s="55" t="n"/>
      <c r="I3395" s="62" t="n"/>
      <c r="J3395" s="58" t="n"/>
      <c r="K3395" s="63">
        <f>IF(tblMovement[[#This Row],[Source]]="","",IFERROR(INDEX(tblSources[Type],MATCH(tblMovement[[#This Row],[Source]],tblSources[Source],0)),"?"))</f>
        <v/>
      </c>
      <c r="L3395" s="63">
        <f>IF(tblMovement[[#This Row],[Destination]]="","",IFERROR(INDEX(tblDestinations[Type],MATCH(tblMovement[[#This Row],[Destination]],tblDestinations[Destination],0)),"?"))</f>
        <v/>
      </c>
      <c r="M3395" s="64">
        <f>IF(tblMovement[[#This Row],[Material]]="","",IF(LEFT(tblMovement[[#This Row],[Material]],3)="Ore",1,0))</f>
        <v/>
      </c>
      <c r="N3395" s="59">
        <f>IF(OR(tblMovement[[#This Row],[Tonnes_t]]="",tblMovement[[#This Row],[Grade_gpt]]=""),0,tblMovement[[#This Row],[Tonnes_t]]*tblMovement[[#This Row],[Grade_gpt]]/cfg_TroyOz)</f>
        <v/>
      </c>
      <c r="O3395" s="59">
        <f>IF(tblMovement[[#This Row],[Is_Ore]]=1,tblMovement[[#This Row],[Contained_oz]],0)</f>
        <v/>
      </c>
    </row>
    <row r="3396">
      <c r="A3396" s="54" t="n"/>
      <c r="B3396" s="61" t="n"/>
      <c r="C3396" s="61" t="n"/>
      <c r="D3396" s="61" t="n"/>
      <c r="E3396" s="61" t="n"/>
      <c r="F3396" s="55" t="n"/>
      <c r="G3396" s="56" t="n"/>
      <c r="H3396" s="55" t="n"/>
      <c r="I3396" s="62" t="n"/>
      <c r="J3396" s="58" t="n"/>
      <c r="K3396" s="63">
        <f>IF(tblMovement[[#This Row],[Source]]="","",IFERROR(INDEX(tblSources[Type],MATCH(tblMovement[[#This Row],[Source]],tblSources[Source],0)),"?"))</f>
        <v/>
      </c>
      <c r="L3396" s="63">
        <f>IF(tblMovement[[#This Row],[Destination]]="","",IFERROR(INDEX(tblDestinations[Type],MATCH(tblMovement[[#This Row],[Destination]],tblDestinations[Destination],0)),"?"))</f>
        <v/>
      </c>
      <c r="M3396" s="64">
        <f>IF(tblMovement[[#This Row],[Material]]="","",IF(LEFT(tblMovement[[#This Row],[Material]],3)="Ore",1,0))</f>
        <v/>
      </c>
      <c r="N3396" s="59">
        <f>IF(OR(tblMovement[[#This Row],[Tonnes_t]]="",tblMovement[[#This Row],[Grade_gpt]]=""),0,tblMovement[[#This Row],[Tonnes_t]]*tblMovement[[#This Row],[Grade_gpt]]/cfg_TroyOz)</f>
        <v/>
      </c>
      <c r="O3396" s="59">
        <f>IF(tblMovement[[#This Row],[Is_Ore]]=1,tblMovement[[#This Row],[Contained_oz]],0)</f>
        <v/>
      </c>
    </row>
    <row r="3397">
      <c r="A3397" s="54" t="n"/>
      <c r="B3397" s="61" t="n"/>
      <c r="C3397" s="61" t="n"/>
      <c r="D3397" s="61" t="n"/>
      <c r="E3397" s="61" t="n"/>
      <c r="F3397" s="55" t="n"/>
      <c r="G3397" s="56" t="n"/>
      <c r="H3397" s="55" t="n"/>
      <c r="I3397" s="62" t="n"/>
      <c r="J3397" s="58" t="n"/>
      <c r="K3397" s="63">
        <f>IF(tblMovement[[#This Row],[Source]]="","",IFERROR(INDEX(tblSources[Type],MATCH(tblMovement[[#This Row],[Source]],tblSources[Source],0)),"?"))</f>
        <v/>
      </c>
      <c r="L3397" s="63">
        <f>IF(tblMovement[[#This Row],[Destination]]="","",IFERROR(INDEX(tblDestinations[Type],MATCH(tblMovement[[#This Row],[Destination]],tblDestinations[Destination],0)),"?"))</f>
        <v/>
      </c>
      <c r="M3397" s="64">
        <f>IF(tblMovement[[#This Row],[Material]]="","",IF(LEFT(tblMovement[[#This Row],[Material]],3)="Ore",1,0))</f>
        <v/>
      </c>
      <c r="N3397" s="59">
        <f>IF(OR(tblMovement[[#This Row],[Tonnes_t]]="",tblMovement[[#This Row],[Grade_gpt]]=""),0,tblMovement[[#This Row],[Tonnes_t]]*tblMovement[[#This Row],[Grade_gpt]]/cfg_TroyOz)</f>
        <v/>
      </c>
      <c r="O3397" s="59">
        <f>IF(tblMovement[[#This Row],[Is_Ore]]=1,tblMovement[[#This Row],[Contained_oz]],0)</f>
        <v/>
      </c>
    </row>
    <row r="3398">
      <c r="A3398" s="54" t="n"/>
      <c r="B3398" s="61" t="n"/>
      <c r="C3398" s="61" t="n"/>
      <c r="D3398" s="61" t="n"/>
      <c r="E3398" s="61" t="n"/>
      <c r="F3398" s="55" t="n"/>
      <c r="G3398" s="56" t="n"/>
      <c r="H3398" s="55" t="n"/>
      <c r="I3398" s="62" t="n"/>
      <c r="J3398" s="58" t="n"/>
      <c r="K3398" s="63">
        <f>IF(tblMovement[[#This Row],[Source]]="","",IFERROR(INDEX(tblSources[Type],MATCH(tblMovement[[#This Row],[Source]],tblSources[Source],0)),"?"))</f>
        <v/>
      </c>
      <c r="L3398" s="63">
        <f>IF(tblMovement[[#This Row],[Destination]]="","",IFERROR(INDEX(tblDestinations[Type],MATCH(tblMovement[[#This Row],[Destination]],tblDestinations[Destination],0)),"?"))</f>
        <v/>
      </c>
      <c r="M3398" s="64">
        <f>IF(tblMovement[[#This Row],[Material]]="","",IF(LEFT(tblMovement[[#This Row],[Material]],3)="Ore",1,0))</f>
        <v/>
      </c>
      <c r="N3398" s="59">
        <f>IF(OR(tblMovement[[#This Row],[Tonnes_t]]="",tblMovement[[#This Row],[Grade_gpt]]=""),0,tblMovement[[#This Row],[Tonnes_t]]*tblMovement[[#This Row],[Grade_gpt]]/cfg_TroyOz)</f>
        <v/>
      </c>
      <c r="O3398" s="59">
        <f>IF(tblMovement[[#This Row],[Is_Ore]]=1,tblMovement[[#This Row],[Contained_oz]],0)</f>
        <v/>
      </c>
    </row>
    <row r="3399">
      <c r="A3399" s="54" t="n"/>
      <c r="B3399" s="61" t="n"/>
      <c r="C3399" s="61" t="n"/>
      <c r="D3399" s="61" t="n"/>
      <c r="E3399" s="61" t="n"/>
      <c r="F3399" s="55" t="n"/>
      <c r="G3399" s="56" t="n"/>
      <c r="H3399" s="55" t="n"/>
      <c r="I3399" s="62" t="n"/>
      <c r="J3399" s="58" t="n"/>
      <c r="K3399" s="63">
        <f>IF(tblMovement[[#This Row],[Source]]="","",IFERROR(INDEX(tblSources[Type],MATCH(tblMovement[[#This Row],[Source]],tblSources[Source],0)),"?"))</f>
        <v/>
      </c>
      <c r="L3399" s="63">
        <f>IF(tblMovement[[#This Row],[Destination]]="","",IFERROR(INDEX(tblDestinations[Type],MATCH(tblMovement[[#This Row],[Destination]],tblDestinations[Destination],0)),"?"))</f>
        <v/>
      </c>
      <c r="M3399" s="64">
        <f>IF(tblMovement[[#This Row],[Material]]="","",IF(LEFT(tblMovement[[#This Row],[Material]],3)="Ore",1,0))</f>
        <v/>
      </c>
      <c r="N3399" s="59">
        <f>IF(OR(tblMovement[[#This Row],[Tonnes_t]]="",tblMovement[[#This Row],[Grade_gpt]]=""),0,tblMovement[[#This Row],[Tonnes_t]]*tblMovement[[#This Row],[Grade_gpt]]/cfg_TroyOz)</f>
        <v/>
      </c>
      <c r="O3399" s="59">
        <f>IF(tblMovement[[#This Row],[Is_Ore]]=1,tblMovement[[#This Row],[Contained_oz]],0)</f>
        <v/>
      </c>
    </row>
    <row r="3400">
      <c r="A3400" s="54" t="n"/>
      <c r="B3400" s="61" t="n"/>
      <c r="C3400" s="61" t="n"/>
      <c r="D3400" s="61" t="n"/>
      <c r="E3400" s="61" t="n"/>
      <c r="F3400" s="55" t="n"/>
      <c r="G3400" s="56" t="n"/>
      <c r="H3400" s="55" t="n"/>
      <c r="I3400" s="62" t="n"/>
      <c r="J3400" s="58" t="n"/>
      <c r="K3400" s="63">
        <f>IF(tblMovement[[#This Row],[Source]]="","",IFERROR(INDEX(tblSources[Type],MATCH(tblMovement[[#This Row],[Source]],tblSources[Source],0)),"?"))</f>
        <v/>
      </c>
      <c r="L3400" s="63">
        <f>IF(tblMovement[[#This Row],[Destination]]="","",IFERROR(INDEX(tblDestinations[Type],MATCH(tblMovement[[#This Row],[Destination]],tblDestinations[Destination],0)),"?"))</f>
        <v/>
      </c>
      <c r="M3400" s="64">
        <f>IF(tblMovement[[#This Row],[Material]]="","",IF(LEFT(tblMovement[[#This Row],[Material]],3)="Ore",1,0))</f>
        <v/>
      </c>
      <c r="N3400" s="59">
        <f>IF(OR(tblMovement[[#This Row],[Tonnes_t]]="",tblMovement[[#This Row],[Grade_gpt]]=""),0,tblMovement[[#This Row],[Tonnes_t]]*tblMovement[[#This Row],[Grade_gpt]]/cfg_TroyOz)</f>
        <v/>
      </c>
      <c r="O3400" s="59">
        <f>IF(tblMovement[[#This Row],[Is_Ore]]=1,tblMovement[[#This Row],[Contained_oz]],0)</f>
        <v/>
      </c>
    </row>
    <row r="3401">
      <c r="A3401" s="54" t="n"/>
      <c r="B3401" s="61" t="n"/>
      <c r="C3401" s="61" t="n"/>
      <c r="D3401" s="61" t="n"/>
      <c r="E3401" s="61" t="n"/>
      <c r="F3401" s="55" t="n"/>
      <c r="G3401" s="56" t="n"/>
      <c r="H3401" s="55" t="n"/>
      <c r="I3401" s="62" t="n"/>
      <c r="J3401" s="58" t="n"/>
      <c r="K3401" s="63">
        <f>IF(tblMovement[[#This Row],[Source]]="","",IFERROR(INDEX(tblSources[Type],MATCH(tblMovement[[#This Row],[Source]],tblSources[Source],0)),"?"))</f>
        <v/>
      </c>
      <c r="L3401" s="63">
        <f>IF(tblMovement[[#This Row],[Destination]]="","",IFERROR(INDEX(tblDestinations[Type],MATCH(tblMovement[[#This Row],[Destination]],tblDestinations[Destination],0)),"?"))</f>
        <v/>
      </c>
      <c r="M3401" s="64">
        <f>IF(tblMovement[[#This Row],[Material]]="","",IF(LEFT(tblMovement[[#This Row],[Material]],3)="Ore",1,0))</f>
        <v/>
      </c>
      <c r="N3401" s="59">
        <f>IF(OR(tblMovement[[#This Row],[Tonnes_t]]="",tblMovement[[#This Row],[Grade_gpt]]=""),0,tblMovement[[#This Row],[Tonnes_t]]*tblMovement[[#This Row],[Grade_gpt]]/cfg_TroyOz)</f>
        <v/>
      </c>
      <c r="O3401" s="59">
        <f>IF(tblMovement[[#This Row],[Is_Ore]]=1,tblMovement[[#This Row],[Contained_oz]],0)</f>
        <v/>
      </c>
    </row>
    <row r="3402">
      <c r="A3402" s="54" t="n"/>
      <c r="B3402" s="61" t="n"/>
      <c r="C3402" s="61" t="n"/>
      <c r="D3402" s="61" t="n"/>
      <c r="E3402" s="61" t="n"/>
      <c r="F3402" s="55" t="n"/>
      <c r="G3402" s="56" t="n"/>
      <c r="H3402" s="55" t="n"/>
      <c r="I3402" s="62" t="n"/>
      <c r="J3402" s="58" t="n"/>
      <c r="K3402" s="63">
        <f>IF(tblMovement[[#This Row],[Source]]="","",IFERROR(INDEX(tblSources[Type],MATCH(tblMovement[[#This Row],[Source]],tblSources[Source],0)),"?"))</f>
        <v/>
      </c>
      <c r="L3402" s="63">
        <f>IF(tblMovement[[#This Row],[Destination]]="","",IFERROR(INDEX(tblDestinations[Type],MATCH(tblMovement[[#This Row],[Destination]],tblDestinations[Destination],0)),"?"))</f>
        <v/>
      </c>
      <c r="M3402" s="64">
        <f>IF(tblMovement[[#This Row],[Material]]="","",IF(LEFT(tblMovement[[#This Row],[Material]],3)="Ore",1,0))</f>
        <v/>
      </c>
      <c r="N3402" s="59">
        <f>IF(OR(tblMovement[[#This Row],[Tonnes_t]]="",tblMovement[[#This Row],[Grade_gpt]]=""),0,tblMovement[[#This Row],[Tonnes_t]]*tblMovement[[#This Row],[Grade_gpt]]/cfg_TroyOz)</f>
        <v/>
      </c>
      <c r="O3402" s="59">
        <f>IF(tblMovement[[#This Row],[Is_Ore]]=1,tblMovement[[#This Row],[Contained_oz]],0)</f>
        <v/>
      </c>
    </row>
    <row r="3403">
      <c r="A3403" s="54" t="n"/>
      <c r="B3403" s="61" t="n"/>
      <c r="C3403" s="61" t="n"/>
      <c r="D3403" s="61" t="n"/>
      <c r="E3403" s="61" t="n"/>
      <c r="F3403" s="55" t="n"/>
      <c r="G3403" s="56" t="n"/>
      <c r="H3403" s="55" t="n"/>
      <c r="I3403" s="62" t="n"/>
      <c r="J3403" s="58" t="n"/>
      <c r="K3403" s="63">
        <f>IF(tblMovement[[#This Row],[Source]]="","",IFERROR(INDEX(tblSources[Type],MATCH(tblMovement[[#This Row],[Source]],tblSources[Source],0)),"?"))</f>
        <v/>
      </c>
      <c r="L3403" s="63">
        <f>IF(tblMovement[[#This Row],[Destination]]="","",IFERROR(INDEX(tblDestinations[Type],MATCH(tblMovement[[#This Row],[Destination]],tblDestinations[Destination],0)),"?"))</f>
        <v/>
      </c>
      <c r="M3403" s="64">
        <f>IF(tblMovement[[#This Row],[Material]]="","",IF(LEFT(tblMovement[[#This Row],[Material]],3)="Ore",1,0))</f>
        <v/>
      </c>
      <c r="N3403" s="59">
        <f>IF(OR(tblMovement[[#This Row],[Tonnes_t]]="",tblMovement[[#This Row],[Grade_gpt]]=""),0,tblMovement[[#This Row],[Tonnes_t]]*tblMovement[[#This Row],[Grade_gpt]]/cfg_TroyOz)</f>
        <v/>
      </c>
      <c r="O3403" s="59">
        <f>IF(tblMovement[[#This Row],[Is_Ore]]=1,tblMovement[[#This Row],[Contained_oz]],0)</f>
        <v/>
      </c>
    </row>
    <row r="3404">
      <c r="A3404" s="54" t="n"/>
      <c r="B3404" s="61" t="n"/>
      <c r="C3404" s="61" t="n"/>
      <c r="D3404" s="61" t="n"/>
      <c r="E3404" s="61" t="n"/>
      <c r="F3404" s="55" t="n"/>
      <c r="G3404" s="56" t="n"/>
      <c r="H3404" s="55" t="n"/>
      <c r="I3404" s="62" t="n"/>
      <c r="J3404" s="58" t="n"/>
      <c r="K3404" s="63">
        <f>IF(tblMovement[[#This Row],[Source]]="","",IFERROR(INDEX(tblSources[Type],MATCH(tblMovement[[#This Row],[Source]],tblSources[Source],0)),"?"))</f>
        <v/>
      </c>
      <c r="L3404" s="63">
        <f>IF(tblMovement[[#This Row],[Destination]]="","",IFERROR(INDEX(tblDestinations[Type],MATCH(tblMovement[[#This Row],[Destination]],tblDestinations[Destination],0)),"?"))</f>
        <v/>
      </c>
      <c r="M3404" s="64">
        <f>IF(tblMovement[[#This Row],[Material]]="","",IF(LEFT(tblMovement[[#This Row],[Material]],3)="Ore",1,0))</f>
        <v/>
      </c>
      <c r="N3404" s="59">
        <f>IF(OR(tblMovement[[#This Row],[Tonnes_t]]="",tblMovement[[#This Row],[Grade_gpt]]=""),0,tblMovement[[#This Row],[Tonnes_t]]*tblMovement[[#This Row],[Grade_gpt]]/cfg_TroyOz)</f>
        <v/>
      </c>
      <c r="O3404" s="59">
        <f>IF(tblMovement[[#This Row],[Is_Ore]]=1,tblMovement[[#This Row],[Contained_oz]],0)</f>
        <v/>
      </c>
    </row>
    <row r="3405">
      <c r="A3405" s="54" t="n"/>
      <c r="B3405" s="61" t="n"/>
      <c r="C3405" s="61" t="n"/>
      <c r="D3405" s="61" t="n"/>
      <c r="E3405" s="61" t="n"/>
      <c r="F3405" s="55" t="n"/>
      <c r="G3405" s="56" t="n"/>
      <c r="H3405" s="55" t="n"/>
      <c r="I3405" s="62" t="n"/>
      <c r="J3405" s="58" t="n"/>
      <c r="K3405" s="63">
        <f>IF(tblMovement[[#This Row],[Source]]="","",IFERROR(INDEX(tblSources[Type],MATCH(tblMovement[[#This Row],[Source]],tblSources[Source],0)),"?"))</f>
        <v/>
      </c>
      <c r="L3405" s="63">
        <f>IF(tblMovement[[#This Row],[Destination]]="","",IFERROR(INDEX(tblDestinations[Type],MATCH(tblMovement[[#This Row],[Destination]],tblDestinations[Destination],0)),"?"))</f>
        <v/>
      </c>
      <c r="M3405" s="64">
        <f>IF(tblMovement[[#This Row],[Material]]="","",IF(LEFT(tblMovement[[#This Row],[Material]],3)="Ore",1,0))</f>
        <v/>
      </c>
      <c r="N3405" s="59">
        <f>IF(OR(tblMovement[[#This Row],[Tonnes_t]]="",tblMovement[[#This Row],[Grade_gpt]]=""),0,tblMovement[[#This Row],[Tonnes_t]]*tblMovement[[#This Row],[Grade_gpt]]/cfg_TroyOz)</f>
        <v/>
      </c>
      <c r="O3405" s="59">
        <f>IF(tblMovement[[#This Row],[Is_Ore]]=1,tblMovement[[#This Row],[Contained_oz]],0)</f>
        <v/>
      </c>
    </row>
    <row r="3406">
      <c r="A3406" s="54" t="n"/>
      <c r="B3406" s="61" t="n"/>
      <c r="C3406" s="61" t="n"/>
      <c r="D3406" s="61" t="n"/>
      <c r="E3406" s="61" t="n"/>
      <c r="F3406" s="55" t="n"/>
      <c r="G3406" s="56" t="n"/>
      <c r="H3406" s="55" t="n"/>
      <c r="I3406" s="62" t="n"/>
      <c r="J3406" s="58" t="n"/>
      <c r="K3406" s="63">
        <f>IF(tblMovement[[#This Row],[Source]]="","",IFERROR(INDEX(tblSources[Type],MATCH(tblMovement[[#This Row],[Source]],tblSources[Source],0)),"?"))</f>
        <v/>
      </c>
      <c r="L3406" s="63">
        <f>IF(tblMovement[[#This Row],[Destination]]="","",IFERROR(INDEX(tblDestinations[Type],MATCH(tblMovement[[#This Row],[Destination]],tblDestinations[Destination],0)),"?"))</f>
        <v/>
      </c>
      <c r="M3406" s="64">
        <f>IF(tblMovement[[#This Row],[Material]]="","",IF(LEFT(tblMovement[[#This Row],[Material]],3)="Ore",1,0))</f>
        <v/>
      </c>
      <c r="N3406" s="59">
        <f>IF(OR(tblMovement[[#This Row],[Tonnes_t]]="",tblMovement[[#This Row],[Grade_gpt]]=""),0,tblMovement[[#This Row],[Tonnes_t]]*tblMovement[[#This Row],[Grade_gpt]]/cfg_TroyOz)</f>
        <v/>
      </c>
      <c r="O3406" s="59">
        <f>IF(tblMovement[[#This Row],[Is_Ore]]=1,tblMovement[[#This Row],[Contained_oz]],0)</f>
        <v/>
      </c>
    </row>
    <row r="3407">
      <c r="A3407" s="54" t="n"/>
      <c r="B3407" s="61" t="n"/>
      <c r="C3407" s="61" t="n"/>
      <c r="D3407" s="61" t="n"/>
      <c r="E3407" s="61" t="n"/>
      <c r="F3407" s="55" t="n"/>
      <c r="G3407" s="56" t="n"/>
      <c r="H3407" s="55" t="n"/>
      <c r="I3407" s="62" t="n"/>
      <c r="J3407" s="58" t="n"/>
      <c r="K3407" s="63">
        <f>IF(tblMovement[[#This Row],[Source]]="","",IFERROR(INDEX(tblSources[Type],MATCH(tblMovement[[#This Row],[Source]],tblSources[Source],0)),"?"))</f>
        <v/>
      </c>
      <c r="L3407" s="63">
        <f>IF(tblMovement[[#This Row],[Destination]]="","",IFERROR(INDEX(tblDestinations[Type],MATCH(tblMovement[[#This Row],[Destination]],tblDestinations[Destination],0)),"?"))</f>
        <v/>
      </c>
      <c r="M3407" s="64">
        <f>IF(tblMovement[[#This Row],[Material]]="","",IF(LEFT(tblMovement[[#This Row],[Material]],3)="Ore",1,0))</f>
        <v/>
      </c>
      <c r="N3407" s="59">
        <f>IF(OR(tblMovement[[#This Row],[Tonnes_t]]="",tblMovement[[#This Row],[Grade_gpt]]=""),0,tblMovement[[#This Row],[Tonnes_t]]*tblMovement[[#This Row],[Grade_gpt]]/cfg_TroyOz)</f>
        <v/>
      </c>
      <c r="O3407" s="59">
        <f>IF(tblMovement[[#This Row],[Is_Ore]]=1,tblMovement[[#This Row],[Contained_oz]],0)</f>
        <v/>
      </c>
    </row>
    <row r="3408">
      <c r="A3408" s="54" t="n"/>
      <c r="B3408" s="61" t="n"/>
      <c r="C3408" s="61" t="n"/>
      <c r="D3408" s="61" t="n"/>
      <c r="E3408" s="61" t="n"/>
      <c r="F3408" s="55" t="n"/>
      <c r="G3408" s="56" t="n"/>
      <c r="H3408" s="55" t="n"/>
      <c r="I3408" s="62" t="n"/>
      <c r="J3408" s="58" t="n"/>
      <c r="K3408" s="63">
        <f>IF(tblMovement[[#This Row],[Source]]="","",IFERROR(INDEX(tblSources[Type],MATCH(tblMovement[[#This Row],[Source]],tblSources[Source],0)),"?"))</f>
        <v/>
      </c>
      <c r="L3408" s="63">
        <f>IF(tblMovement[[#This Row],[Destination]]="","",IFERROR(INDEX(tblDestinations[Type],MATCH(tblMovement[[#This Row],[Destination]],tblDestinations[Destination],0)),"?"))</f>
        <v/>
      </c>
      <c r="M3408" s="64">
        <f>IF(tblMovement[[#This Row],[Material]]="","",IF(LEFT(tblMovement[[#This Row],[Material]],3)="Ore",1,0))</f>
        <v/>
      </c>
      <c r="N3408" s="59">
        <f>IF(OR(tblMovement[[#This Row],[Tonnes_t]]="",tblMovement[[#This Row],[Grade_gpt]]=""),0,tblMovement[[#This Row],[Tonnes_t]]*tblMovement[[#This Row],[Grade_gpt]]/cfg_TroyOz)</f>
        <v/>
      </c>
      <c r="O3408" s="59">
        <f>IF(tblMovement[[#This Row],[Is_Ore]]=1,tblMovement[[#This Row],[Contained_oz]],0)</f>
        <v/>
      </c>
    </row>
    <row r="3409">
      <c r="A3409" s="54" t="n"/>
      <c r="B3409" s="61" t="n"/>
      <c r="C3409" s="61" t="n"/>
      <c r="D3409" s="61" t="n"/>
      <c r="E3409" s="61" t="n"/>
      <c r="F3409" s="55" t="n"/>
      <c r="G3409" s="56" t="n"/>
      <c r="H3409" s="55" t="n"/>
      <c r="I3409" s="62" t="n"/>
      <c r="J3409" s="58" t="n"/>
      <c r="K3409" s="63">
        <f>IF(tblMovement[[#This Row],[Source]]="","",IFERROR(INDEX(tblSources[Type],MATCH(tblMovement[[#This Row],[Source]],tblSources[Source],0)),"?"))</f>
        <v/>
      </c>
      <c r="L3409" s="63">
        <f>IF(tblMovement[[#This Row],[Destination]]="","",IFERROR(INDEX(tblDestinations[Type],MATCH(tblMovement[[#This Row],[Destination]],tblDestinations[Destination],0)),"?"))</f>
        <v/>
      </c>
      <c r="M3409" s="64">
        <f>IF(tblMovement[[#This Row],[Material]]="","",IF(LEFT(tblMovement[[#This Row],[Material]],3)="Ore",1,0))</f>
        <v/>
      </c>
      <c r="N3409" s="59">
        <f>IF(OR(tblMovement[[#This Row],[Tonnes_t]]="",tblMovement[[#This Row],[Grade_gpt]]=""),0,tblMovement[[#This Row],[Tonnes_t]]*tblMovement[[#This Row],[Grade_gpt]]/cfg_TroyOz)</f>
        <v/>
      </c>
      <c r="O3409" s="59">
        <f>IF(tblMovement[[#This Row],[Is_Ore]]=1,tblMovement[[#This Row],[Contained_oz]],0)</f>
        <v/>
      </c>
    </row>
    <row r="3410">
      <c r="A3410" s="54" t="n"/>
      <c r="B3410" s="61" t="n"/>
      <c r="C3410" s="61" t="n"/>
      <c r="D3410" s="61" t="n"/>
      <c r="E3410" s="61" t="n"/>
      <c r="F3410" s="55" t="n"/>
      <c r="G3410" s="56" t="n"/>
      <c r="H3410" s="55" t="n"/>
      <c r="I3410" s="62" t="n"/>
      <c r="J3410" s="58" t="n"/>
      <c r="K3410" s="63">
        <f>IF(tblMovement[[#This Row],[Source]]="","",IFERROR(INDEX(tblSources[Type],MATCH(tblMovement[[#This Row],[Source]],tblSources[Source],0)),"?"))</f>
        <v/>
      </c>
      <c r="L3410" s="63">
        <f>IF(tblMovement[[#This Row],[Destination]]="","",IFERROR(INDEX(tblDestinations[Type],MATCH(tblMovement[[#This Row],[Destination]],tblDestinations[Destination],0)),"?"))</f>
        <v/>
      </c>
      <c r="M3410" s="64">
        <f>IF(tblMovement[[#This Row],[Material]]="","",IF(LEFT(tblMovement[[#This Row],[Material]],3)="Ore",1,0))</f>
        <v/>
      </c>
      <c r="N3410" s="59">
        <f>IF(OR(tblMovement[[#This Row],[Tonnes_t]]="",tblMovement[[#This Row],[Grade_gpt]]=""),0,tblMovement[[#This Row],[Tonnes_t]]*tblMovement[[#This Row],[Grade_gpt]]/cfg_TroyOz)</f>
        <v/>
      </c>
      <c r="O3410" s="59">
        <f>IF(tblMovement[[#This Row],[Is_Ore]]=1,tblMovement[[#This Row],[Contained_oz]],0)</f>
        <v/>
      </c>
    </row>
    <row r="3411">
      <c r="A3411" s="54" t="n"/>
      <c r="B3411" s="61" t="n"/>
      <c r="C3411" s="61" t="n"/>
      <c r="D3411" s="61" t="n"/>
      <c r="E3411" s="61" t="n"/>
      <c r="F3411" s="55" t="n"/>
      <c r="G3411" s="56" t="n"/>
      <c r="H3411" s="55" t="n"/>
      <c r="I3411" s="62" t="n"/>
      <c r="J3411" s="58" t="n"/>
      <c r="K3411" s="63">
        <f>IF(tblMovement[[#This Row],[Source]]="","",IFERROR(INDEX(tblSources[Type],MATCH(tblMovement[[#This Row],[Source]],tblSources[Source],0)),"?"))</f>
        <v/>
      </c>
      <c r="L3411" s="63">
        <f>IF(tblMovement[[#This Row],[Destination]]="","",IFERROR(INDEX(tblDestinations[Type],MATCH(tblMovement[[#This Row],[Destination]],tblDestinations[Destination],0)),"?"))</f>
        <v/>
      </c>
      <c r="M3411" s="64">
        <f>IF(tblMovement[[#This Row],[Material]]="","",IF(LEFT(tblMovement[[#This Row],[Material]],3)="Ore",1,0))</f>
        <v/>
      </c>
      <c r="N3411" s="59">
        <f>IF(OR(tblMovement[[#This Row],[Tonnes_t]]="",tblMovement[[#This Row],[Grade_gpt]]=""),0,tblMovement[[#This Row],[Tonnes_t]]*tblMovement[[#This Row],[Grade_gpt]]/cfg_TroyOz)</f>
        <v/>
      </c>
      <c r="O3411" s="59">
        <f>IF(tblMovement[[#This Row],[Is_Ore]]=1,tblMovement[[#This Row],[Contained_oz]],0)</f>
        <v/>
      </c>
    </row>
    <row r="3412">
      <c r="A3412" s="54" t="n"/>
      <c r="B3412" s="61" t="n"/>
      <c r="C3412" s="61" t="n"/>
      <c r="D3412" s="61" t="n"/>
      <c r="E3412" s="61" t="n"/>
      <c r="F3412" s="55" t="n"/>
      <c r="G3412" s="56" t="n"/>
      <c r="H3412" s="55" t="n"/>
      <c r="I3412" s="62" t="n"/>
      <c r="J3412" s="58" t="n"/>
      <c r="K3412" s="63">
        <f>IF(tblMovement[[#This Row],[Source]]="","",IFERROR(INDEX(tblSources[Type],MATCH(tblMovement[[#This Row],[Source]],tblSources[Source],0)),"?"))</f>
        <v/>
      </c>
      <c r="L3412" s="63">
        <f>IF(tblMovement[[#This Row],[Destination]]="","",IFERROR(INDEX(tblDestinations[Type],MATCH(tblMovement[[#This Row],[Destination]],tblDestinations[Destination],0)),"?"))</f>
        <v/>
      </c>
      <c r="M3412" s="64">
        <f>IF(tblMovement[[#This Row],[Material]]="","",IF(LEFT(tblMovement[[#This Row],[Material]],3)="Ore",1,0))</f>
        <v/>
      </c>
      <c r="N3412" s="59">
        <f>IF(OR(tblMovement[[#This Row],[Tonnes_t]]="",tblMovement[[#This Row],[Grade_gpt]]=""),0,tblMovement[[#This Row],[Tonnes_t]]*tblMovement[[#This Row],[Grade_gpt]]/cfg_TroyOz)</f>
        <v/>
      </c>
      <c r="O3412" s="59">
        <f>IF(tblMovement[[#This Row],[Is_Ore]]=1,tblMovement[[#This Row],[Contained_oz]],0)</f>
        <v/>
      </c>
    </row>
    <row r="3413">
      <c r="A3413" s="54" t="n"/>
      <c r="B3413" s="61" t="n"/>
      <c r="C3413" s="61" t="n"/>
      <c r="D3413" s="61" t="n"/>
      <c r="E3413" s="61" t="n"/>
      <c r="F3413" s="55" t="n"/>
      <c r="G3413" s="56" t="n"/>
      <c r="H3413" s="55" t="n"/>
      <c r="I3413" s="62" t="n"/>
      <c r="J3413" s="58" t="n"/>
      <c r="K3413" s="63">
        <f>IF(tblMovement[[#This Row],[Source]]="","",IFERROR(INDEX(tblSources[Type],MATCH(tblMovement[[#This Row],[Source]],tblSources[Source],0)),"?"))</f>
        <v/>
      </c>
      <c r="L3413" s="63">
        <f>IF(tblMovement[[#This Row],[Destination]]="","",IFERROR(INDEX(tblDestinations[Type],MATCH(tblMovement[[#This Row],[Destination]],tblDestinations[Destination],0)),"?"))</f>
        <v/>
      </c>
      <c r="M3413" s="64">
        <f>IF(tblMovement[[#This Row],[Material]]="","",IF(LEFT(tblMovement[[#This Row],[Material]],3)="Ore",1,0))</f>
        <v/>
      </c>
      <c r="N3413" s="59">
        <f>IF(OR(tblMovement[[#This Row],[Tonnes_t]]="",tblMovement[[#This Row],[Grade_gpt]]=""),0,tblMovement[[#This Row],[Tonnes_t]]*tblMovement[[#This Row],[Grade_gpt]]/cfg_TroyOz)</f>
        <v/>
      </c>
      <c r="O3413" s="59">
        <f>IF(tblMovement[[#This Row],[Is_Ore]]=1,tblMovement[[#This Row],[Contained_oz]],0)</f>
        <v/>
      </c>
    </row>
    <row r="3414">
      <c r="A3414" s="54" t="n"/>
      <c r="B3414" s="61" t="n"/>
      <c r="C3414" s="61" t="n"/>
      <c r="D3414" s="61" t="n"/>
      <c r="E3414" s="61" t="n"/>
      <c r="F3414" s="55" t="n"/>
      <c r="G3414" s="56" t="n"/>
      <c r="H3414" s="55" t="n"/>
      <c r="I3414" s="62" t="n"/>
      <c r="J3414" s="58" t="n"/>
      <c r="K3414" s="63">
        <f>IF(tblMovement[[#This Row],[Source]]="","",IFERROR(INDEX(tblSources[Type],MATCH(tblMovement[[#This Row],[Source]],tblSources[Source],0)),"?"))</f>
        <v/>
      </c>
      <c r="L3414" s="63">
        <f>IF(tblMovement[[#This Row],[Destination]]="","",IFERROR(INDEX(tblDestinations[Type],MATCH(tblMovement[[#This Row],[Destination]],tblDestinations[Destination],0)),"?"))</f>
        <v/>
      </c>
      <c r="M3414" s="64">
        <f>IF(tblMovement[[#This Row],[Material]]="","",IF(LEFT(tblMovement[[#This Row],[Material]],3)="Ore",1,0))</f>
        <v/>
      </c>
      <c r="N3414" s="59">
        <f>IF(OR(tblMovement[[#This Row],[Tonnes_t]]="",tblMovement[[#This Row],[Grade_gpt]]=""),0,tblMovement[[#This Row],[Tonnes_t]]*tblMovement[[#This Row],[Grade_gpt]]/cfg_TroyOz)</f>
        <v/>
      </c>
      <c r="O3414" s="59">
        <f>IF(tblMovement[[#This Row],[Is_Ore]]=1,tblMovement[[#This Row],[Contained_oz]],0)</f>
        <v/>
      </c>
    </row>
    <row r="3415">
      <c r="A3415" s="54" t="n"/>
      <c r="B3415" s="61" t="n"/>
      <c r="C3415" s="61" t="n"/>
      <c r="D3415" s="61" t="n"/>
      <c r="E3415" s="61" t="n"/>
      <c r="F3415" s="55" t="n"/>
      <c r="G3415" s="56" t="n"/>
      <c r="H3415" s="55" t="n"/>
      <c r="I3415" s="62" t="n"/>
      <c r="J3415" s="58" t="n"/>
      <c r="K3415" s="63">
        <f>IF(tblMovement[[#This Row],[Source]]="","",IFERROR(INDEX(tblSources[Type],MATCH(tblMovement[[#This Row],[Source]],tblSources[Source],0)),"?"))</f>
        <v/>
      </c>
      <c r="L3415" s="63">
        <f>IF(tblMovement[[#This Row],[Destination]]="","",IFERROR(INDEX(tblDestinations[Type],MATCH(tblMovement[[#This Row],[Destination]],tblDestinations[Destination],0)),"?"))</f>
        <v/>
      </c>
      <c r="M3415" s="64">
        <f>IF(tblMovement[[#This Row],[Material]]="","",IF(LEFT(tblMovement[[#This Row],[Material]],3)="Ore",1,0))</f>
        <v/>
      </c>
      <c r="N3415" s="59">
        <f>IF(OR(tblMovement[[#This Row],[Tonnes_t]]="",tblMovement[[#This Row],[Grade_gpt]]=""),0,tblMovement[[#This Row],[Tonnes_t]]*tblMovement[[#This Row],[Grade_gpt]]/cfg_TroyOz)</f>
        <v/>
      </c>
      <c r="O3415" s="59">
        <f>IF(tblMovement[[#This Row],[Is_Ore]]=1,tblMovement[[#This Row],[Contained_oz]],0)</f>
        <v/>
      </c>
    </row>
    <row r="3416">
      <c r="A3416" s="54" t="n"/>
      <c r="B3416" s="61" t="n"/>
      <c r="C3416" s="61" t="n"/>
      <c r="D3416" s="61" t="n"/>
      <c r="E3416" s="61" t="n"/>
      <c r="F3416" s="55" t="n"/>
      <c r="G3416" s="56" t="n"/>
      <c r="H3416" s="55" t="n"/>
      <c r="I3416" s="62" t="n"/>
      <c r="J3416" s="58" t="n"/>
      <c r="K3416" s="63">
        <f>IF(tblMovement[[#This Row],[Source]]="","",IFERROR(INDEX(tblSources[Type],MATCH(tblMovement[[#This Row],[Source]],tblSources[Source],0)),"?"))</f>
        <v/>
      </c>
      <c r="L3416" s="63">
        <f>IF(tblMovement[[#This Row],[Destination]]="","",IFERROR(INDEX(tblDestinations[Type],MATCH(tblMovement[[#This Row],[Destination]],tblDestinations[Destination],0)),"?"))</f>
        <v/>
      </c>
      <c r="M3416" s="64">
        <f>IF(tblMovement[[#This Row],[Material]]="","",IF(LEFT(tblMovement[[#This Row],[Material]],3)="Ore",1,0))</f>
        <v/>
      </c>
      <c r="N3416" s="59">
        <f>IF(OR(tblMovement[[#This Row],[Tonnes_t]]="",tblMovement[[#This Row],[Grade_gpt]]=""),0,tblMovement[[#This Row],[Tonnes_t]]*tblMovement[[#This Row],[Grade_gpt]]/cfg_TroyOz)</f>
        <v/>
      </c>
      <c r="O3416" s="59">
        <f>IF(tblMovement[[#This Row],[Is_Ore]]=1,tblMovement[[#This Row],[Contained_oz]],0)</f>
        <v/>
      </c>
    </row>
    <row r="3417">
      <c r="A3417" s="54" t="n"/>
      <c r="B3417" s="61" t="n"/>
      <c r="C3417" s="61" t="n"/>
      <c r="D3417" s="61" t="n"/>
      <c r="E3417" s="61" t="n"/>
      <c r="F3417" s="55" t="n"/>
      <c r="G3417" s="56" t="n"/>
      <c r="H3417" s="55" t="n"/>
      <c r="I3417" s="62" t="n"/>
      <c r="J3417" s="58" t="n"/>
      <c r="K3417" s="63">
        <f>IF(tblMovement[[#This Row],[Source]]="","",IFERROR(INDEX(tblSources[Type],MATCH(tblMovement[[#This Row],[Source]],tblSources[Source],0)),"?"))</f>
        <v/>
      </c>
      <c r="L3417" s="63">
        <f>IF(tblMovement[[#This Row],[Destination]]="","",IFERROR(INDEX(tblDestinations[Type],MATCH(tblMovement[[#This Row],[Destination]],tblDestinations[Destination],0)),"?"))</f>
        <v/>
      </c>
      <c r="M3417" s="64">
        <f>IF(tblMovement[[#This Row],[Material]]="","",IF(LEFT(tblMovement[[#This Row],[Material]],3)="Ore",1,0))</f>
        <v/>
      </c>
      <c r="N3417" s="59">
        <f>IF(OR(tblMovement[[#This Row],[Tonnes_t]]="",tblMovement[[#This Row],[Grade_gpt]]=""),0,tblMovement[[#This Row],[Tonnes_t]]*tblMovement[[#This Row],[Grade_gpt]]/cfg_TroyOz)</f>
        <v/>
      </c>
      <c r="O3417" s="59">
        <f>IF(tblMovement[[#This Row],[Is_Ore]]=1,tblMovement[[#This Row],[Contained_oz]],0)</f>
        <v/>
      </c>
    </row>
    <row r="3418">
      <c r="A3418" s="54" t="n"/>
      <c r="B3418" s="61" t="n"/>
      <c r="C3418" s="61" t="n"/>
      <c r="D3418" s="61" t="n"/>
      <c r="E3418" s="61" t="n"/>
      <c r="F3418" s="55" t="n"/>
      <c r="G3418" s="56" t="n"/>
      <c r="H3418" s="55" t="n"/>
      <c r="I3418" s="62" t="n"/>
      <c r="J3418" s="58" t="n"/>
      <c r="K3418" s="63">
        <f>IF(tblMovement[[#This Row],[Source]]="","",IFERROR(INDEX(tblSources[Type],MATCH(tblMovement[[#This Row],[Source]],tblSources[Source],0)),"?"))</f>
        <v/>
      </c>
      <c r="L3418" s="63">
        <f>IF(tblMovement[[#This Row],[Destination]]="","",IFERROR(INDEX(tblDestinations[Type],MATCH(tblMovement[[#This Row],[Destination]],tblDestinations[Destination],0)),"?"))</f>
        <v/>
      </c>
      <c r="M3418" s="64">
        <f>IF(tblMovement[[#This Row],[Material]]="","",IF(LEFT(tblMovement[[#This Row],[Material]],3)="Ore",1,0))</f>
        <v/>
      </c>
      <c r="N3418" s="59">
        <f>IF(OR(tblMovement[[#This Row],[Tonnes_t]]="",tblMovement[[#This Row],[Grade_gpt]]=""),0,tblMovement[[#This Row],[Tonnes_t]]*tblMovement[[#This Row],[Grade_gpt]]/cfg_TroyOz)</f>
        <v/>
      </c>
      <c r="O3418" s="59">
        <f>IF(tblMovement[[#This Row],[Is_Ore]]=1,tblMovement[[#This Row],[Contained_oz]],0)</f>
        <v/>
      </c>
    </row>
    <row r="3419">
      <c r="A3419" s="54" t="n"/>
      <c r="B3419" s="61" t="n"/>
      <c r="C3419" s="61" t="n"/>
      <c r="D3419" s="61" t="n"/>
      <c r="E3419" s="61" t="n"/>
      <c r="F3419" s="55" t="n"/>
      <c r="G3419" s="56" t="n"/>
      <c r="H3419" s="55" t="n"/>
      <c r="I3419" s="62" t="n"/>
      <c r="J3419" s="58" t="n"/>
      <c r="K3419" s="63">
        <f>IF(tblMovement[[#This Row],[Source]]="","",IFERROR(INDEX(tblSources[Type],MATCH(tblMovement[[#This Row],[Source]],tblSources[Source],0)),"?"))</f>
        <v/>
      </c>
      <c r="L3419" s="63">
        <f>IF(tblMovement[[#This Row],[Destination]]="","",IFERROR(INDEX(tblDestinations[Type],MATCH(tblMovement[[#This Row],[Destination]],tblDestinations[Destination],0)),"?"))</f>
        <v/>
      </c>
      <c r="M3419" s="64">
        <f>IF(tblMovement[[#This Row],[Material]]="","",IF(LEFT(tblMovement[[#This Row],[Material]],3)="Ore",1,0))</f>
        <v/>
      </c>
      <c r="N3419" s="59">
        <f>IF(OR(tblMovement[[#This Row],[Tonnes_t]]="",tblMovement[[#This Row],[Grade_gpt]]=""),0,tblMovement[[#This Row],[Tonnes_t]]*tblMovement[[#This Row],[Grade_gpt]]/cfg_TroyOz)</f>
        <v/>
      </c>
      <c r="O3419" s="59">
        <f>IF(tblMovement[[#This Row],[Is_Ore]]=1,tblMovement[[#This Row],[Contained_oz]],0)</f>
        <v/>
      </c>
    </row>
    <row r="3420">
      <c r="A3420" s="54" t="n"/>
      <c r="B3420" s="61" t="n"/>
      <c r="C3420" s="61" t="n"/>
      <c r="D3420" s="61" t="n"/>
      <c r="E3420" s="61" t="n"/>
      <c r="F3420" s="55" t="n"/>
      <c r="G3420" s="56" t="n"/>
      <c r="H3420" s="55" t="n"/>
      <c r="I3420" s="62" t="n"/>
      <c r="J3420" s="58" t="n"/>
      <c r="K3420" s="63">
        <f>IF(tblMovement[[#This Row],[Source]]="","",IFERROR(INDEX(tblSources[Type],MATCH(tblMovement[[#This Row],[Source]],tblSources[Source],0)),"?"))</f>
        <v/>
      </c>
      <c r="L3420" s="63">
        <f>IF(tblMovement[[#This Row],[Destination]]="","",IFERROR(INDEX(tblDestinations[Type],MATCH(tblMovement[[#This Row],[Destination]],tblDestinations[Destination],0)),"?"))</f>
        <v/>
      </c>
      <c r="M3420" s="64">
        <f>IF(tblMovement[[#This Row],[Material]]="","",IF(LEFT(tblMovement[[#This Row],[Material]],3)="Ore",1,0))</f>
        <v/>
      </c>
      <c r="N3420" s="59">
        <f>IF(OR(tblMovement[[#This Row],[Tonnes_t]]="",tblMovement[[#This Row],[Grade_gpt]]=""),0,tblMovement[[#This Row],[Tonnes_t]]*tblMovement[[#This Row],[Grade_gpt]]/cfg_TroyOz)</f>
        <v/>
      </c>
      <c r="O3420" s="59">
        <f>IF(tblMovement[[#This Row],[Is_Ore]]=1,tblMovement[[#This Row],[Contained_oz]],0)</f>
        <v/>
      </c>
    </row>
    <row r="3421">
      <c r="A3421" s="54" t="n"/>
      <c r="B3421" s="61" t="n"/>
      <c r="C3421" s="61" t="n"/>
      <c r="D3421" s="61" t="n"/>
      <c r="E3421" s="61" t="n"/>
      <c r="F3421" s="55" t="n"/>
      <c r="G3421" s="56" t="n"/>
      <c r="H3421" s="55" t="n"/>
      <c r="I3421" s="62" t="n"/>
      <c r="J3421" s="58" t="n"/>
      <c r="K3421" s="63">
        <f>IF(tblMovement[[#This Row],[Source]]="","",IFERROR(INDEX(tblSources[Type],MATCH(tblMovement[[#This Row],[Source]],tblSources[Source],0)),"?"))</f>
        <v/>
      </c>
      <c r="L3421" s="63">
        <f>IF(tblMovement[[#This Row],[Destination]]="","",IFERROR(INDEX(tblDestinations[Type],MATCH(tblMovement[[#This Row],[Destination]],tblDestinations[Destination],0)),"?"))</f>
        <v/>
      </c>
      <c r="M3421" s="64">
        <f>IF(tblMovement[[#This Row],[Material]]="","",IF(LEFT(tblMovement[[#This Row],[Material]],3)="Ore",1,0))</f>
        <v/>
      </c>
      <c r="N3421" s="59">
        <f>IF(OR(tblMovement[[#This Row],[Tonnes_t]]="",tblMovement[[#This Row],[Grade_gpt]]=""),0,tblMovement[[#This Row],[Tonnes_t]]*tblMovement[[#This Row],[Grade_gpt]]/cfg_TroyOz)</f>
        <v/>
      </c>
      <c r="O3421" s="59">
        <f>IF(tblMovement[[#This Row],[Is_Ore]]=1,tblMovement[[#This Row],[Contained_oz]],0)</f>
        <v/>
      </c>
    </row>
    <row r="3422">
      <c r="A3422" s="54" t="n"/>
      <c r="B3422" s="61" t="n"/>
      <c r="C3422" s="61" t="n"/>
      <c r="D3422" s="61" t="n"/>
      <c r="E3422" s="61" t="n"/>
      <c r="F3422" s="55" t="n"/>
      <c r="G3422" s="56" t="n"/>
      <c r="H3422" s="55" t="n"/>
      <c r="I3422" s="62" t="n"/>
      <c r="J3422" s="58" t="n"/>
      <c r="K3422" s="63">
        <f>IF(tblMovement[[#This Row],[Source]]="","",IFERROR(INDEX(tblSources[Type],MATCH(tblMovement[[#This Row],[Source]],tblSources[Source],0)),"?"))</f>
        <v/>
      </c>
      <c r="L3422" s="63">
        <f>IF(tblMovement[[#This Row],[Destination]]="","",IFERROR(INDEX(tblDestinations[Type],MATCH(tblMovement[[#This Row],[Destination]],tblDestinations[Destination],0)),"?"))</f>
        <v/>
      </c>
      <c r="M3422" s="64">
        <f>IF(tblMovement[[#This Row],[Material]]="","",IF(LEFT(tblMovement[[#This Row],[Material]],3)="Ore",1,0))</f>
        <v/>
      </c>
      <c r="N3422" s="59">
        <f>IF(OR(tblMovement[[#This Row],[Tonnes_t]]="",tblMovement[[#This Row],[Grade_gpt]]=""),0,tblMovement[[#This Row],[Tonnes_t]]*tblMovement[[#This Row],[Grade_gpt]]/cfg_TroyOz)</f>
        <v/>
      </c>
      <c r="O3422" s="59">
        <f>IF(tblMovement[[#This Row],[Is_Ore]]=1,tblMovement[[#This Row],[Contained_oz]],0)</f>
        <v/>
      </c>
    </row>
    <row r="3423">
      <c r="A3423" s="54" t="n"/>
      <c r="B3423" s="61" t="n"/>
      <c r="C3423" s="61" t="n"/>
      <c r="D3423" s="61" t="n"/>
      <c r="E3423" s="61" t="n"/>
      <c r="F3423" s="55" t="n"/>
      <c r="G3423" s="56" t="n"/>
      <c r="H3423" s="55" t="n"/>
      <c r="I3423" s="62" t="n"/>
      <c r="J3423" s="58" t="n"/>
      <c r="K3423" s="63">
        <f>IF(tblMovement[[#This Row],[Source]]="","",IFERROR(INDEX(tblSources[Type],MATCH(tblMovement[[#This Row],[Source]],tblSources[Source],0)),"?"))</f>
        <v/>
      </c>
      <c r="L3423" s="63">
        <f>IF(tblMovement[[#This Row],[Destination]]="","",IFERROR(INDEX(tblDestinations[Type],MATCH(tblMovement[[#This Row],[Destination]],tblDestinations[Destination],0)),"?"))</f>
        <v/>
      </c>
      <c r="M3423" s="64">
        <f>IF(tblMovement[[#This Row],[Material]]="","",IF(LEFT(tblMovement[[#This Row],[Material]],3)="Ore",1,0))</f>
        <v/>
      </c>
      <c r="N3423" s="59">
        <f>IF(OR(tblMovement[[#This Row],[Tonnes_t]]="",tblMovement[[#This Row],[Grade_gpt]]=""),0,tblMovement[[#This Row],[Tonnes_t]]*tblMovement[[#This Row],[Grade_gpt]]/cfg_TroyOz)</f>
        <v/>
      </c>
      <c r="O3423" s="59">
        <f>IF(tblMovement[[#This Row],[Is_Ore]]=1,tblMovement[[#This Row],[Contained_oz]],0)</f>
        <v/>
      </c>
    </row>
    <row r="3424">
      <c r="A3424" s="54" t="n"/>
      <c r="B3424" s="61" t="n"/>
      <c r="C3424" s="61" t="n"/>
      <c r="D3424" s="61" t="n"/>
      <c r="E3424" s="61" t="n"/>
      <c r="F3424" s="55" t="n"/>
      <c r="G3424" s="56" t="n"/>
      <c r="H3424" s="55" t="n"/>
      <c r="I3424" s="62" t="n"/>
      <c r="J3424" s="58" t="n"/>
      <c r="K3424" s="63">
        <f>IF(tblMovement[[#This Row],[Source]]="","",IFERROR(INDEX(tblSources[Type],MATCH(tblMovement[[#This Row],[Source]],tblSources[Source],0)),"?"))</f>
        <v/>
      </c>
      <c r="L3424" s="63">
        <f>IF(tblMovement[[#This Row],[Destination]]="","",IFERROR(INDEX(tblDestinations[Type],MATCH(tblMovement[[#This Row],[Destination]],tblDestinations[Destination],0)),"?"))</f>
        <v/>
      </c>
      <c r="M3424" s="64">
        <f>IF(tblMovement[[#This Row],[Material]]="","",IF(LEFT(tblMovement[[#This Row],[Material]],3)="Ore",1,0))</f>
        <v/>
      </c>
      <c r="N3424" s="59">
        <f>IF(OR(tblMovement[[#This Row],[Tonnes_t]]="",tblMovement[[#This Row],[Grade_gpt]]=""),0,tblMovement[[#This Row],[Tonnes_t]]*tblMovement[[#This Row],[Grade_gpt]]/cfg_TroyOz)</f>
        <v/>
      </c>
      <c r="O3424" s="59">
        <f>IF(tblMovement[[#This Row],[Is_Ore]]=1,tblMovement[[#This Row],[Contained_oz]],0)</f>
        <v/>
      </c>
    </row>
    <row r="3425">
      <c r="A3425" s="54" t="n"/>
      <c r="B3425" s="61" t="n"/>
      <c r="C3425" s="61" t="n"/>
      <c r="D3425" s="61" t="n"/>
      <c r="E3425" s="61" t="n"/>
      <c r="F3425" s="55" t="n"/>
      <c r="G3425" s="56" t="n"/>
      <c r="H3425" s="55" t="n"/>
      <c r="I3425" s="62" t="n"/>
      <c r="J3425" s="58" t="n"/>
      <c r="K3425" s="63">
        <f>IF(tblMovement[[#This Row],[Source]]="","",IFERROR(INDEX(tblSources[Type],MATCH(tblMovement[[#This Row],[Source]],tblSources[Source],0)),"?"))</f>
        <v/>
      </c>
      <c r="L3425" s="63">
        <f>IF(tblMovement[[#This Row],[Destination]]="","",IFERROR(INDEX(tblDestinations[Type],MATCH(tblMovement[[#This Row],[Destination]],tblDestinations[Destination],0)),"?"))</f>
        <v/>
      </c>
      <c r="M3425" s="64">
        <f>IF(tblMovement[[#This Row],[Material]]="","",IF(LEFT(tblMovement[[#This Row],[Material]],3)="Ore",1,0))</f>
        <v/>
      </c>
      <c r="N3425" s="59">
        <f>IF(OR(tblMovement[[#This Row],[Tonnes_t]]="",tblMovement[[#This Row],[Grade_gpt]]=""),0,tblMovement[[#This Row],[Tonnes_t]]*tblMovement[[#This Row],[Grade_gpt]]/cfg_TroyOz)</f>
        <v/>
      </c>
      <c r="O3425" s="59">
        <f>IF(tblMovement[[#This Row],[Is_Ore]]=1,tblMovement[[#This Row],[Contained_oz]],0)</f>
        <v/>
      </c>
    </row>
    <row r="3426">
      <c r="A3426" s="54" t="n"/>
      <c r="B3426" s="61" t="n"/>
      <c r="C3426" s="61" t="n"/>
      <c r="D3426" s="61" t="n"/>
      <c r="E3426" s="61" t="n"/>
      <c r="F3426" s="55" t="n"/>
      <c r="G3426" s="56" t="n"/>
      <c r="H3426" s="55" t="n"/>
      <c r="I3426" s="62" t="n"/>
      <c r="J3426" s="58" t="n"/>
      <c r="K3426" s="63">
        <f>IF(tblMovement[[#This Row],[Source]]="","",IFERROR(INDEX(tblSources[Type],MATCH(tblMovement[[#This Row],[Source]],tblSources[Source],0)),"?"))</f>
        <v/>
      </c>
      <c r="L3426" s="63">
        <f>IF(tblMovement[[#This Row],[Destination]]="","",IFERROR(INDEX(tblDestinations[Type],MATCH(tblMovement[[#This Row],[Destination]],tblDestinations[Destination],0)),"?"))</f>
        <v/>
      </c>
      <c r="M3426" s="64">
        <f>IF(tblMovement[[#This Row],[Material]]="","",IF(LEFT(tblMovement[[#This Row],[Material]],3)="Ore",1,0))</f>
        <v/>
      </c>
      <c r="N3426" s="59">
        <f>IF(OR(tblMovement[[#This Row],[Tonnes_t]]="",tblMovement[[#This Row],[Grade_gpt]]=""),0,tblMovement[[#This Row],[Tonnes_t]]*tblMovement[[#This Row],[Grade_gpt]]/cfg_TroyOz)</f>
        <v/>
      </c>
      <c r="O3426" s="59">
        <f>IF(tblMovement[[#This Row],[Is_Ore]]=1,tblMovement[[#This Row],[Contained_oz]],0)</f>
        <v/>
      </c>
    </row>
    <row r="3427">
      <c r="A3427" s="54" t="n"/>
      <c r="B3427" s="61" t="n"/>
      <c r="C3427" s="61" t="n"/>
      <c r="D3427" s="61" t="n"/>
      <c r="E3427" s="61" t="n"/>
      <c r="F3427" s="55" t="n"/>
      <c r="G3427" s="56" t="n"/>
      <c r="H3427" s="55" t="n"/>
      <c r="I3427" s="62" t="n"/>
      <c r="J3427" s="58" t="n"/>
      <c r="K3427" s="63">
        <f>IF(tblMovement[[#This Row],[Source]]="","",IFERROR(INDEX(tblSources[Type],MATCH(tblMovement[[#This Row],[Source]],tblSources[Source],0)),"?"))</f>
        <v/>
      </c>
      <c r="L3427" s="63">
        <f>IF(tblMovement[[#This Row],[Destination]]="","",IFERROR(INDEX(tblDestinations[Type],MATCH(tblMovement[[#This Row],[Destination]],tblDestinations[Destination],0)),"?"))</f>
        <v/>
      </c>
      <c r="M3427" s="64">
        <f>IF(tblMovement[[#This Row],[Material]]="","",IF(LEFT(tblMovement[[#This Row],[Material]],3)="Ore",1,0))</f>
        <v/>
      </c>
      <c r="N3427" s="59">
        <f>IF(OR(tblMovement[[#This Row],[Tonnes_t]]="",tblMovement[[#This Row],[Grade_gpt]]=""),0,tblMovement[[#This Row],[Tonnes_t]]*tblMovement[[#This Row],[Grade_gpt]]/cfg_TroyOz)</f>
        <v/>
      </c>
      <c r="O3427" s="59">
        <f>IF(tblMovement[[#This Row],[Is_Ore]]=1,tblMovement[[#This Row],[Contained_oz]],0)</f>
        <v/>
      </c>
    </row>
    <row r="3428">
      <c r="A3428" s="54" t="n"/>
      <c r="B3428" s="61" t="n"/>
      <c r="C3428" s="61" t="n"/>
      <c r="D3428" s="61" t="n"/>
      <c r="E3428" s="61" t="n"/>
      <c r="F3428" s="55" t="n"/>
      <c r="G3428" s="56" t="n"/>
      <c r="H3428" s="55" t="n"/>
      <c r="I3428" s="62" t="n"/>
      <c r="J3428" s="58" t="n"/>
      <c r="K3428" s="63">
        <f>IF(tblMovement[[#This Row],[Source]]="","",IFERROR(INDEX(tblSources[Type],MATCH(tblMovement[[#This Row],[Source]],tblSources[Source],0)),"?"))</f>
        <v/>
      </c>
      <c r="L3428" s="63">
        <f>IF(tblMovement[[#This Row],[Destination]]="","",IFERROR(INDEX(tblDestinations[Type],MATCH(tblMovement[[#This Row],[Destination]],tblDestinations[Destination],0)),"?"))</f>
        <v/>
      </c>
      <c r="M3428" s="64">
        <f>IF(tblMovement[[#This Row],[Material]]="","",IF(LEFT(tblMovement[[#This Row],[Material]],3)="Ore",1,0))</f>
        <v/>
      </c>
      <c r="N3428" s="59">
        <f>IF(OR(tblMovement[[#This Row],[Tonnes_t]]="",tblMovement[[#This Row],[Grade_gpt]]=""),0,tblMovement[[#This Row],[Tonnes_t]]*tblMovement[[#This Row],[Grade_gpt]]/cfg_TroyOz)</f>
        <v/>
      </c>
      <c r="O3428" s="59">
        <f>IF(tblMovement[[#This Row],[Is_Ore]]=1,tblMovement[[#This Row],[Contained_oz]],0)</f>
        <v/>
      </c>
    </row>
    <row r="3429">
      <c r="A3429" s="54" t="n"/>
      <c r="B3429" s="61" t="n"/>
      <c r="C3429" s="61" t="n"/>
      <c r="D3429" s="61" t="n"/>
      <c r="E3429" s="61" t="n"/>
      <c r="F3429" s="55" t="n"/>
      <c r="G3429" s="56" t="n"/>
      <c r="H3429" s="55" t="n"/>
      <c r="I3429" s="62" t="n"/>
      <c r="J3429" s="58" t="n"/>
      <c r="K3429" s="63">
        <f>IF(tblMovement[[#This Row],[Source]]="","",IFERROR(INDEX(tblSources[Type],MATCH(tblMovement[[#This Row],[Source]],tblSources[Source],0)),"?"))</f>
        <v/>
      </c>
      <c r="L3429" s="63">
        <f>IF(tblMovement[[#This Row],[Destination]]="","",IFERROR(INDEX(tblDestinations[Type],MATCH(tblMovement[[#This Row],[Destination]],tblDestinations[Destination],0)),"?"))</f>
        <v/>
      </c>
      <c r="M3429" s="64">
        <f>IF(tblMovement[[#This Row],[Material]]="","",IF(LEFT(tblMovement[[#This Row],[Material]],3)="Ore",1,0))</f>
        <v/>
      </c>
      <c r="N3429" s="59">
        <f>IF(OR(tblMovement[[#This Row],[Tonnes_t]]="",tblMovement[[#This Row],[Grade_gpt]]=""),0,tblMovement[[#This Row],[Tonnes_t]]*tblMovement[[#This Row],[Grade_gpt]]/cfg_TroyOz)</f>
        <v/>
      </c>
      <c r="O3429" s="59">
        <f>IF(tblMovement[[#This Row],[Is_Ore]]=1,tblMovement[[#This Row],[Contained_oz]],0)</f>
        <v/>
      </c>
    </row>
    <row r="3430">
      <c r="A3430" s="54" t="n"/>
      <c r="B3430" s="61" t="n"/>
      <c r="C3430" s="61" t="n"/>
      <c r="D3430" s="61" t="n"/>
      <c r="E3430" s="61" t="n"/>
      <c r="F3430" s="55" t="n"/>
      <c r="G3430" s="56" t="n"/>
      <c r="H3430" s="55" t="n"/>
      <c r="I3430" s="62" t="n"/>
      <c r="J3430" s="58" t="n"/>
      <c r="K3430" s="63">
        <f>IF(tblMovement[[#This Row],[Source]]="","",IFERROR(INDEX(tblSources[Type],MATCH(tblMovement[[#This Row],[Source]],tblSources[Source],0)),"?"))</f>
        <v/>
      </c>
      <c r="L3430" s="63">
        <f>IF(tblMovement[[#This Row],[Destination]]="","",IFERROR(INDEX(tblDestinations[Type],MATCH(tblMovement[[#This Row],[Destination]],tblDestinations[Destination],0)),"?"))</f>
        <v/>
      </c>
      <c r="M3430" s="64">
        <f>IF(tblMovement[[#This Row],[Material]]="","",IF(LEFT(tblMovement[[#This Row],[Material]],3)="Ore",1,0))</f>
        <v/>
      </c>
      <c r="N3430" s="59">
        <f>IF(OR(tblMovement[[#This Row],[Tonnes_t]]="",tblMovement[[#This Row],[Grade_gpt]]=""),0,tblMovement[[#This Row],[Tonnes_t]]*tblMovement[[#This Row],[Grade_gpt]]/cfg_TroyOz)</f>
        <v/>
      </c>
      <c r="O3430" s="59">
        <f>IF(tblMovement[[#This Row],[Is_Ore]]=1,tblMovement[[#This Row],[Contained_oz]],0)</f>
        <v/>
      </c>
    </row>
    <row r="3431">
      <c r="A3431" s="54" t="n"/>
      <c r="B3431" s="61" t="n"/>
      <c r="C3431" s="61" t="n"/>
      <c r="D3431" s="61" t="n"/>
      <c r="E3431" s="61" t="n"/>
      <c r="F3431" s="55" t="n"/>
      <c r="G3431" s="56" t="n"/>
      <c r="H3431" s="55" t="n"/>
      <c r="I3431" s="62" t="n"/>
      <c r="J3431" s="58" t="n"/>
      <c r="K3431" s="63">
        <f>IF(tblMovement[[#This Row],[Source]]="","",IFERROR(INDEX(tblSources[Type],MATCH(tblMovement[[#This Row],[Source]],tblSources[Source],0)),"?"))</f>
        <v/>
      </c>
      <c r="L3431" s="63">
        <f>IF(tblMovement[[#This Row],[Destination]]="","",IFERROR(INDEX(tblDestinations[Type],MATCH(tblMovement[[#This Row],[Destination]],tblDestinations[Destination],0)),"?"))</f>
        <v/>
      </c>
      <c r="M3431" s="64">
        <f>IF(tblMovement[[#This Row],[Material]]="","",IF(LEFT(tblMovement[[#This Row],[Material]],3)="Ore",1,0))</f>
        <v/>
      </c>
      <c r="N3431" s="59">
        <f>IF(OR(tblMovement[[#This Row],[Tonnes_t]]="",tblMovement[[#This Row],[Grade_gpt]]=""),0,tblMovement[[#This Row],[Tonnes_t]]*tblMovement[[#This Row],[Grade_gpt]]/cfg_TroyOz)</f>
        <v/>
      </c>
      <c r="O3431" s="59">
        <f>IF(tblMovement[[#This Row],[Is_Ore]]=1,tblMovement[[#This Row],[Contained_oz]],0)</f>
        <v/>
      </c>
    </row>
    <row r="3432">
      <c r="A3432" s="54" t="n"/>
      <c r="B3432" s="61" t="n"/>
      <c r="C3432" s="61" t="n"/>
      <c r="D3432" s="61" t="n"/>
      <c r="E3432" s="61" t="n"/>
      <c r="F3432" s="55" t="n"/>
      <c r="G3432" s="56" t="n"/>
      <c r="H3432" s="55" t="n"/>
      <c r="I3432" s="62" t="n"/>
      <c r="J3432" s="58" t="n"/>
      <c r="K3432" s="63">
        <f>IF(tblMovement[[#This Row],[Source]]="","",IFERROR(INDEX(tblSources[Type],MATCH(tblMovement[[#This Row],[Source]],tblSources[Source],0)),"?"))</f>
        <v/>
      </c>
      <c r="L3432" s="63">
        <f>IF(tblMovement[[#This Row],[Destination]]="","",IFERROR(INDEX(tblDestinations[Type],MATCH(tblMovement[[#This Row],[Destination]],tblDestinations[Destination],0)),"?"))</f>
        <v/>
      </c>
      <c r="M3432" s="64">
        <f>IF(tblMovement[[#This Row],[Material]]="","",IF(LEFT(tblMovement[[#This Row],[Material]],3)="Ore",1,0))</f>
        <v/>
      </c>
      <c r="N3432" s="59">
        <f>IF(OR(tblMovement[[#This Row],[Tonnes_t]]="",tblMovement[[#This Row],[Grade_gpt]]=""),0,tblMovement[[#This Row],[Tonnes_t]]*tblMovement[[#This Row],[Grade_gpt]]/cfg_TroyOz)</f>
        <v/>
      </c>
      <c r="O3432" s="59">
        <f>IF(tblMovement[[#This Row],[Is_Ore]]=1,tblMovement[[#This Row],[Contained_oz]],0)</f>
        <v/>
      </c>
    </row>
    <row r="3433">
      <c r="A3433" s="54" t="n"/>
      <c r="B3433" s="61" t="n"/>
      <c r="C3433" s="61" t="n"/>
      <c r="D3433" s="61" t="n"/>
      <c r="E3433" s="61" t="n"/>
      <c r="F3433" s="55" t="n"/>
      <c r="G3433" s="56" t="n"/>
      <c r="H3433" s="55" t="n"/>
      <c r="I3433" s="62" t="n"/>
      <c r="J3433" s="58" t="n"/>
      <c r="K3433" s="63">
        <f>IF(tblMovement[[#This Row],[Source]]="","",IFERROR(INDEX(tblSources[Type],MATCH(tblMovement[[#This Row],[Source]],tblSources[Source],0)),"?"))</f>
        <v/>
      </c>
      <c r="L3433" s="63">
        <f>IF(tblMovement[[#This Row],[Destination]]="","",IFERROR(INDEX(tblDestinations[Type],MATCH(tblMovement[[#This Row],[Destination]],tblDestinations[Destination],0)),"?"))</f>
        <v/>
      </c>
      <c r="M3433" s="64">
        <f>IF(tblMovement[[#This Row],[Material]]="","",IF(LEFT(tblMovement[[#This Row],[Material]],3)="Ore",1,0))</f>
        <v/>
      </c>
      <c r="N3433" s="59">
        <f>IF(OR(tblMovement[[#This Row],[Tonnes_t]]="",tblMovement[[#This Row],[Grade_gpt]]=""),0,tblMovement[[#This Row],[Tonnes_t]]*tblMovement[[#This Row],[Grade_gpt]]/cfg_TroyOz)</f>
        <v/>
      </c>
      <c r="O3433" s="59">
        <f>IF(tblMovement[[#This Row],[Is_Ore]]=1,tblMovement[[#This Row],[Contained_oz]],0)</f>
        <v/>
      </c>
    </row>
    <row r="3434">
      <c r="A3434" s="54" t="n"/>
      <c r="B3434" s="61" t="n"/>
      <c r="C3434" s="61" t="n"/>
      <c r="D3434" s="61" t="n"/>
      <c r="E3434" s="61" t="n"/>
      <c r="F3434" s="55" t="n"/>
      <c r="G3434" s="56" t="n"/>
      <c r="H3434" s="55" t="n"/>
      <c r="I3434" s="62" t="n"/>
      <c r="J3434" s="58" t="n"/>
      <c r="K3434" s="63">
        <f>IF(tblMovement[[#This Row],[Source]]="","",IFERROR(INDEX(tblSources[Type],MATCH(tblMovement[[#This Row],[Source]],tblSources[Source],0)),"?"))</f>
        <v/>
      </c>
      <c r="L3434" s="63">
        <f>IF(tblMovement[[#This Row],[Destination]]="","",IFERROR(INDEX(tblDestinations[Type],MATCH(tblMovement[[#This Row],[Destination]],tblDestinations[Destination],0)),"?"))</f>
        <v/>
      </c>
      <c r="M3434" s="64">
        <f>IF(tblMovement[[#This Row],[Material]]="","",IF(LEFT(tblMovement[[#This Row],[Material]],3)="Ore",1,0))</f>
        <v/>
      </c>
      <c r="N3434" s="59">
        <f>IF(OR(tblMovement[[#This Row],[Tonnes_t]]="",tblMovement[[#This Row],[Grade_gpt]]=""),0,tblMovement[[#This Row],[Tonnes_t]]*tblMovement[[#This Row],[Grade_gpt]]/cfg_TroyOz)</f>
        <v/>
      </c>
      <c r="O3434" s="59">
        <f>IF(tblMovement[[#This Row],[Is_Ore]]=1,tblMovement[[#This Row],[Contained_oz]],0)</f>
        <v/>
      </c>
    </row>
    <row r="3435">
      <c r="A3435" s="54" t="n"/>
      <c r="B3435" s="61" t="n"/>
      <c r="C3435" s="61" t="n"/>
      <c r="D3435" s="61" t="n"/>
      <c r="E3435" s="61" t="n"/>
      <c r="F3435" s="55" t="n"/>
      <c r="G3435" s="56" t="n"/>
      <c r="H3435" s="55" t="n"/>
      <c r="I3435" s="62" t="n"/>
      <c r="J3435" s="58" t="n"/>
      <c r="K3435" s="63">
        <f>IF(tblMovement[[#This Row],[Source]]="","",IFERROR(INDEX(tblSources[Type],MATCH(tblMovement[[#This Row],[Source]],tblSources[Source],0)),"?"))</f>
        <v/>
      </c>
      <c r="L3435" s="63">
        <f>IF(tblMovement[[#This Row],[Destination]]="","",IFERROR(INDEX(tblDestinations[Type],MATCH(tblMovement[[#This Row],[Destination]],tblDestinations[Destination],0)),"?"))</f>
        <v/>
      </c>
      <c r="M3435" s="64">
        <f>IF(tblMovement[[#This Row],[Material]]="","",IF(LEFT(tblMovement[[#This Row],[Material]],3)="Ore",1,0))</f>
        <v/>
      </c>
      <c r="N3435" s="59">
        <f>IF(OR(tblMovement[[#This Row],[Tonnes_t]]="",tblMovement[[#This Row],[Grade_gpt]]=""),0,tblMovement[[#This Row],[Tonnes_t]]*tblMovement[[#This Row],[Grade_gpt]]/cfg_TroyOz)</f>
        <v/>
      </c>
      <c r="O3435" s="59">
        <f>IF(tblMovement[[#This Row],[Is_Ore]]=1,tblMovement[[#This Row],[Contained_oz]],0)</f>
        <v/>
      </c>
    </row>
    <row r="3436">
      <c r="A3436" s="54" t="n"/>
      <c r="B3436" s="61" t="n"/>
      <c r="C3436" s="61" t="n"/>
      <c r="D3436" s="61" t="n"/>
      <c r="E3436" s="61" t="n"/>
      <c r="F3436" s="55" t="n"/>
      <c r="G3436" s="56" t="n"/>
      <c r="H3436" s="55" t="n"/>
      <c r="I3436" s="62" t="n"/>
      <c r="J3436" s="58" t="n"/>
      <c r="K3436" s="63">
        <f>IF(tblMovement[[#This Row],[Source]]="","",IFERROR(INDEX(tblSources[Type],MATCH(tblMovement[[#This Row],[Source]],tblSources[Source],0)),"?"))</f>
        <v/>
      </c>
      <c r="L3436" s="63">
        <f>IF(tblMovement[[#This Row],[Destination]]="","",IFERROR(INDEX(tblDestinations[Type],MATCH(tblMovement[[#This Row],[Destination]],tblDestinations[Destination],0)),"?"))</f>
        <v/>
      </c>
      <c r="M3436" s="64">
        <f>IF(tblMovement[[#This Row],[Material]]="","",IF(LEFT(tblMovement[[#This Row],[Material]],3)="Ore",1,0))</f>
        <v/>
      </c>
      <c r="N3436" s="59">
        <f>IF(OR(tblMovement[[#This Row],[Tonnes_t]]="",tblMovement[[#This Row],[Grade_gpt]]=""),0,tblMovement[[#This Row],[Tonnes_t]]*tblMovement[[#This Row],[Grade_gpt]]/cfg_TroyOz)</f>
        <v/>
      </c>
      <c r="O3436" s="59">
        <f>IF(tblMovement[[#This Row],[Is_Ore]]=1,tblMovement[[#This Row],[Contained_oz]],0)</f>
        <v/>
      </c>
    </row>
    <row r="3437">
      <c r="A3437" s="54" t="n"/>
      <c r="B3437" s="61" t="n"/>
      <c r="C3437" s="61" t="n"/>
      <c r="D3437" s="61" t="n"/>
      <c r="E3437" s="61" t="n"/>
      <c r="F3437" s="55" t="n"/>
      <c r="G3437" s="56" t="n"/>
      <c r="H3437" s="55" t="n"/>
      <c r="I3437" s="62" t="n"/>
      <c r="J3437" s="58" t="n"/>
      <c r="K3437" s="63">
        <f>IF(tblMovement[[#This Row],[Source]]="","",IFERROR(INDEX(tblSources[Type],MATCH(tblMovement[[#This Row],[Source]],tblSources[Source],0)),"?"))</f>
        <v/>
      </c>
      <c r="L3437" s="63">
        <f>IF(tblMovement[[#This Row],[Destination]]="","",IFERROR(INDEX(tblDestinations[Type],MATCH(tblMovement[[#This Row],[Destination]],tblDestinations[Destination],0)),"?"))</f>
        <v/>
      </c>
      <c r="M3437" s="64">
        <f>IF(tblMovement[[#This Row],[Material]]="","",IF(LEFT(tblMovement[[#This Row],[Material]],3)="Ore",1,0))</f>
        <v/>
      </c>
      <c r="N3437" s="59">
        <f>IF(OR(tblMovement[[#This Row],[Tonnes_t]]="",tblMovement[[#This Row],[Grade_gpt]]=""),0,tblMovement[[#This Row],[Tonnes_t]]*tblMovement[[#This Row],[Grade_gpt]]/cfg_TroyOz)</f>
        <v/>
      </c>
      <c r="O3437" s="59">
        <f>IF(tblMovement[[#This Row],[Is_Ore]]=1,tblMovement[[#This Row],[Contained_oz]],0)</f>
        <v/>
      </c>
    </row>
    <row r="3438">
      <c r="A3438" s="54" t="n"/>
      <c r="B3438" s="61" t="n"/>
      <c r="C3438" s="61" t="n"/>
      <c r="D3438" s="61" t="n"/>
      <c r="E3438" s="61" t="n"/>
      <c r="F3438" s="55" t="n"/>
      <c r="G3438" s="56" t="n"/>
      <c r="H3438" s="55" t="n"/>
      <c r="I3438" s="62" t="n"/>
      <c r="J3438" s="58" t="n"/>
      <c r="K3438" s="63">
        <f>IF(tblMovement[[#This Row],[Source]]="","",IFERROR(INDEX(tblSources[Type],MATCH(tblMovement[[#This Row],[Source]],tblSources[Source],0)),"?"))</f>
        <v/>
      </c>
      <c r="L3438" s="63">
        <f>IF(tblMovement[[#This Row],[Destination]]="","",IFERROR(INDEX(tblDestinations[Type],MATCH(tblMovement[[#This Row],[Destination]],tblDestinations[Destination],0)),"?"))</f>
        <v/>
      </c>
      <c r="M3438" s="64">
        <f>IF(tblMovement[[#This Row],[Material]]="","",IF(LEFT(tblMovement[[#This Row],[Material]],3)="Ore",1,0))</f>
        <v/>
      </c>
      <c r="N3438" s="59">
        <f>IF(OR(tblMovement[[#This Row],[Tonnes_t]]="",tblMovement[[#This Row],[Grade_gpt]]=""),0,tblMovement[[#This Row],[Tonnes_t]]*tblMovement[[#This Row],[Grade_gpt]]/cfg_TroyOz)</f>
        <v/>
      </c>
      <c r="O3438" s="59">
        <f>IF(tblMovement[[#This Row],[Is_Ore]]=1,tblMovement[[#This Row],[Contained_oz]],0)</f>
        <v/>
      </c>
    </row>
    <row r="3439">
      <c r="A3439" s="54" t="n"/>
      <c r="B3439" s="61" t="n"/>
      <c r="C3439" s="61" t="n"/>
      <c r="D3439" s="61" t="n"/>
      <c r="E3439" s="61" t="n"/>
      <c r="F3439" s="55" t="n"/>
      <c r="G3439" s="56" t="n"/>
      <c r="H3439" s="55" t="n"/>
      <c r="I3439" s="62" t="n"/>
      <c r="J3439" s="58" t="n"/>
      <c r="K3439" s="63">
        <f>IF(tblMovement[[#This Row],[Source]]="","",IFERROR(INDEX(tblSources[Type],MATCH(tblMovement[[#This Row],[Source]],tblSources[Source],0)),"?"))</f>
        <v/>
      </c>
      <c r="L3439" s="63">
        <f>IF(tblMovement[[#This Row],[Destination]]="","",IFERROR(INDEX(tblDestinations[Type],MATCH(tblMovement[[#This Row],[Destination]],tblDestinations[Destination],0)),"?"))</f>
        <v/>
      </c>
      <c r="M3439" s="64">
        <f>IF(tblMovement[[#This Row],[Material]]="","",IF(LEFT(tblMovement[[#This Row],[Material]],3)="Ore",1,0))</f>
        <v/>
      </c>
      <c r="N3439" s="59">
        <f>IF(OR(tblMovement[[#This Row],[Tonnes_t]]="",tblMovement[[#This Row],[Grade_gpt]]=""),0,tblMovement[[#This Row],[Tonnes_t]]*tblMovement[[#This Row],[Grade_gpt]]/cfg_TroyOz)</f>
        <v/>
      </c>
      <c r="O3439" s="59">
        <f>IF(tblMovement[[#This Row],[Is_Ore]]=1,tblMovement[[#This Row],[Contained_oz]],0)</f>
        <v/>
      </c>
    </row>
    <row r="3440">
      <c r="A3440" s="54" t="n"/>
      <c r="B3440" s="61" t="n"/>
      <c r="C3440" s="61" t="n"/>
      <c r="D3440" s="61" t="n"/>
      <c r="E3440" s="61" t="n"/>
      <c r="F3440" s="55" t="n"/>
      <c r="G3440" s="56" t="n"/>
      <c r="H3440" s="55" t="n"/>
      <c r="I3440" s="62" t="n"/>
      <c r="J3440" s="58" t="n"/>
      <c r="K3440" s="63">
        <f>IF(tblMovement[[#This Row],[Source]]="","",IFERROR(INDEX(tblSources[Type],MATCH(tblMovement[[#This Row],[Source]],tblSources[Source],0)),"?"))</f>
        <v/>
      </c>
      <c r="L3440" s="63">
        <f>IF(tblMovement[[#This Row],[Destination]]="","",IFERROR(INDEX(tblDestinations[Type],MATCH(tblMovement[[#This Row],[Destination]],tblDestinations[Destination],0)),"?"))</f>
        <v/>
      </c>
      <c r="M3440" s="64">
        <f>IF(tblMovement[[#This Row],[Material]]="","",IF(LEFT(tblMovement[[#This Row],[Material]],3)="Ore",1,0))</f>
        <v/>
      </c>
      <c r="N3440" s="59">
        <f>IF(OR(tblMovement[[#This Row],[Tonnes_t]]="",tblMovement[[#This Row],[Grade_gpt]]=""),0,tblMovement[[#This Row],[Tonnes_t]]*tblMovement[[#This Row],[Grade_gpt]]/cfg_TroyOz)</f>
        <v/>
      </c>
      <c r="O3440" s="59">
        <f>IF(tblMovement[[#This Row],[Is_Ore]]=1,tblMovement[[#This Row],[Contained_oz]],0)</f>
        <v/>
      </c>
    </row>
    <row r="3441">
      <c r="A3441" s="54" t="n"/>
      <c r="B3441" s="61" t="n"/>
      <c r="C3441" s="61" t="n"/>
      <c r="D3441" s="61" t="n"/>
      <c r="E3441" s="61" t="n"/>
      <c r="F3441" s="55" t="n"/>
      <c r="G3441" s="56" t="n"/>
      <c r="H3441" s="55" t="n"/>
      <c r="I3441" s="62" t="n"/>
      <c r="J3441" s="58" t="n"/>
      <c r="K3441" s="63">
        <f>IF(tblMovement[[#This Row],[Source]]="","",IFERROR(INDEX(tblSources[Type],MATCH(tblMovement[[#This Row],[Source]],tblSources[Source],0)),"?"))</f>
        <v/>
      </c>
      <c r="L3441" s="63">
        <f>IF(tblMovement[[#This Row],[Destination]]="","",IFERROR(INDEX(tblDestinations[Type],MATCH(tblMovement[[#This Row],[Destination]],tblDestinations[Destination],0)),"?"))</f>
        <v/>
      </c>
      <c r="M3441" s="64">
        <f>IF(tblMovement[[#This Row],[Material]]="","",IF(LEFT(tblMovement[[#This Row],[Material]],3)="Ore",1,0))</f>
        <v/>
      </c>
      <c r="N3441" s="59">
        <f>IF(OR(tblMovement[[#This Row],[Tonnes_t]]="",tblMovement[[#This Row],[Grade_gpt]]=""),0,tblMovement[[#This Row],[Tonnes_t]]*tblMovement[[#This Row],[Grade_gpt]]/cfg_TroyOz)</f>
        <v/>
      </c>
      <c r="O3441" s="59">
        <f>IF(tblMovement[[#This Row],[Is_Ore]]=1,tblMovement[[#This Row],[Contained_oz]],0)</f>
        <v/>
      </c>
    </row>
    <row r="3442">
      <c r="A3442" s="54" t="n"/>
      <c r="B3442" s="61" t="n"/>
      <c r="C3442" s="61" t="n"/>
      <c r="D3442" s="61" t="n"/>
      <c r="E3442" s="61" t="n"/>
      <c r="F3442" s="55" t="n"/>
      <c r="G3442" s="56" t="n"/>
      <c r="H3442" s="55" t="n"/>
      <c r="I3442" s="62" t="n"/>
      <c r="J3442" s="58" t="n"/>
      <c r="K3442" s="63">
        <f>IF(tblMovement[[#This Row],[Source]]="","",IFERROR(INDEX(tblSources[Type],MATCH(tblMovement[[#This Row],[Source]],tblSources[Source],0)),"?"))</f>
        <v/>
      </c>
      <c r="L3442" s="63">
        <f>IF(tblMovement[[#This Row],[Destination]]="","",IFERROR(INDEX(tblDestinations[Type],MATCH(tblMovement[[#This Row],[Destination]],tblDestinations[Destination],0)),"?"))</f>
        <v/>
      </c>
      <c r="M3442" s="64">
        <f>IF(tblMovement[[#This Row],[Material]]="","",IF(LEFT(tblMovement[[#This Row],[Material]],3)="Ore",1,0))</f>
        <v/>
      </c>
      <c r="N3442" s="59">
        <f>IF(OR(tblMovement[[#This Row],[Tonnes_t]]="",tblMovement[[#This Row],[Grade_gpt]]=""),0,tblMovement[[#This Row],[Tonnes_t]]*tblMovement[[#This Row],[Grade_gpt]]/cfg_TroyOz)</f>
        <v/>
      </c>
      <c r="O3442" s="59">
        <f>IF(tblMovement[[#This Row],[Is_Ore]]=1,tblMovement[[#This Row],[Contained_oz]],0)</f>
        <v/>
      </c>
    </row>
    <row r="3443">
      <c r="A3443" s="54" t="n"/>
      <c r="B3443" s="61" t="n"/>
      <c r="C3443" s="61" t="n"/>
      <c r="D3443" s="61" t="n"/>
      <c r="E3443" s="61" t="n"/>
      <c r="F3443" s="55" t="n"/>
      <c r="G3443" s="56" t="n"/>
      <c r="H3443" s="55" t="n"/>
      <c r="I3443" s="62" t="n"/>
      <c r="J3443" s="58" t="n"/>
      <c r="K3443" s="63">
        <f>IF(tblMovement[[#This Row],[Source]]="","",IFERROR(INDEX(tblSources[Type],MATCH(tblMovement[[#This Row],[Source]],tblSources[Source],0)),"?"))</f>
        <v/>
      </c>
      <c r="L3443" s="63">
        <f>IF(tblMovement[[#This Row],[Destination]]="","",IFERROR(INDEX(tblDestinations[Type],MATCH(tblMovement[[#This Row],[Destination]],tblDestinations[Destination],0)),"?"))</f>
        <v/>
      </c>
      <c r="M3443" s="64">
        <f>IF(tblMovement[[#This Row],[Material]]="","",IF(LEFT(tblMovement[[#This Row],[Material]],3)="Ore",1,0))</f>
        <v/>
      </c>
      <c r="N3443" s="59">
        <f>IF(OR(tblMovement[[#This Row],[Tonnes_t]]="",tblMovement[[#This Row],[Grade_gpt]]=""),0,tblMovement[[#This Row],[Tonnes_t]]*tblMovement[[#This Row],[Grade_gpt]]/cfg_TroyOz)</f>
        <v/>
      </c>
      <c r="O3443" s="59">
        <f>IF(tblMovement[[#This Row],[Is_Ore]]=1,tblMovement[[#This Row],[Contained_oz]],0)</f>
        <v/>
      </c>
    </row>
    <row r="3444">
      <c r="A3444" s="54" t="n"/>
      <c r="B3444" s="61" t="n"/>
      <c r="C3444" s="61" t="n"/>
      <c r="D3444" s="61" t="n"/>
      <c r="E3444" s="61" t="n"/>
      <c r="F3444" s="55" t="n"/>
      <c r="G3444" s="56" t="n"/>
      <c r="H3444" s="55" t="n"/>
      <c r="I3444" s="62" t="n"/>
      <c r="J3444" s="58" t="n"/>
      <c r="K3444" s="63">
        <f>IF(tblMovement[[#This Row],[Source]]="","",IFERROR(INDEX(tblSources[Type],MATCH(tblMovement[[#This Row],[Source]],tblSources[Source],0)),"?"))</f>
        <v/>
      </c>
      <c r="L3444" s="63">
        <f>IF(tblMovement[[#This Row],[Destination]]="","",IFERROR(INDEX(tblDestinations[Type],MATCH(tblMovement[[#This Row],[Destination]],tblDestinations[Destination],0)),"?"))</f>
        <v/>
      </c>
      <c r="M3444" s="64">
        <f>IF(tblMovement[[#This Row],[Material]]="","",IF(LEFT(tblMovement[[#This Row],[Material]],3)="Ore",1,0))</f>
        <v/>
      </c>
      <c r="N3444" s="59">
        <f>IF(OR(tblMovement[[#This Row],[Tonnes_t]]="",tblMovement[[#This Row],[Grade_gpt]]=""),0,tblMovement[[#This Row],[Tonnes_t]]*tblMovement[[#This Row],[Grade_gpt]]/cfg_TroyOz)</f>
        <v/>
      </c>
      <c r="O3444" s="59">
        <f>IF(tblMovement[[#This Row],[Is_Ore]]=1,tblMovement[[#This Row],[Contained_oz]],0)</f>
        <v/>
      </c>
    </row>
    <row r="3445">
      <c r="A3445" s="54" t="n"/>
      <c r="B3445" s="61" t="n"/>
      <c r="C3445" s="61" t="n"/>
      <c r="D3445" s="61" t="n"/>
      <c r="E3445" s="61" t="n"/>
      <c r="F3445" s="55" t="n"/>
      <c r="G3445" s="56" t="n"/>
      <c r="H3445" s="55" t="n"/>
      <c r="I3445" s="62" t="n"/>
      <c r="J3445" s="58" t="n"/>
      <c r="K3445" s="63">
        <f>IF(tblMovement[[#This Row],[Source]]="","",IFERROR(INDEX(tblSources[Type],MATCH(tblMovement[[#This Row],[Source]],tblSources[Source],0)),"?"))</f>
        <v/>
      </c>
      <c r="L3445" s="63">
        <f>IF(tblMovement[[#This Row],[Destination]]="","",IFERROR(INDEX(tblDestinations[Type],MATCH(tblMovement[[#This Row],[Destination]],tblDestinations[Destination],0)),"?"))</f>
        <v/>
      </c>
      <c r="M3445" s="64">
        <f>IF(tblMovement[[#This Row],[Material]]="","",IF(LEFT(tblMovement[[#This Row],[Material]],3)="Ore",1,0))</f>
        <v/>
      </c>
      <c r="N3445" s="59">
        <f>IF(OR(tblMovement[[#This Row],[Tonnes_t]]="",tblMovement[[#This Row],[Grade_gpt]]=""),0,tblMovement[[#This Row],[Tonnes_t]]*tblMovement[[#This Row],[Grade_gpt]]/cfg_TroyOz)</f>
        <v/>
      </c>
      <c r="O3445" s="59">
        <f>IF(tblMovement[[#This Row],[Is_Ore]]=1,tblMovement[[#This Row],[Contained_oz]],0)</f>
        <v/>
      </c>
    </row>
    <row r="3446">
      <c r="A3446" s="54" t="n"/>
      <c r="B3446" s="61" t="n"/>
      <c r="C3446" s="61" t="n"/>
      <c r="D3446" s="61" t="n"/>
      <c r="E3446" s="61" t="n"/>
      <c r="F3446" s="55" t="n"/>
      <c r="G3446" s="56" t="n"/>
      <c r="H3446" s="55" t="n"/>
      <c r="I3446" s="62" t="n"/>
      <c r="J3446" s="58" t="n"/>
      <c r="K3446" s="63">
        <f>IF(tblMovement[[#This Row],[Source]]="","",IFERROR(INDEX(tblSources[Type],MATCH(tblMovement[[#This Row],[Source]],tblSources[Source],0)),"?"))</f>
        <v/>
      </c>
      <c r="L3446" s="63">
        <f>IF(tblMovement[[#This Row],[Destination]]="","",IFERROR(INDEX(tblDestinations[Type],MATCH(tblMovement[[#This Row],[Destination]],tblDestinations[Destination],0)),"?"))</f>
        <v/>
      </c>
      <c r="M3446" s="64">
        <f>IF(tblMovement[[#This Row],[Material]]="","",IF(LEFT(tblMovement[[#This Row],[Material]],3)="Ore",1,0))</f>
        <v/>
      </c>
      <c r="N3446" s="59">
        <f>IF(OR(tblMovement[[#This Row],[Tonnes_t]]="",tblMovement[[#This Row],[Grade_gpt]]=""),0,tblMovement[[#This Row],[Tonnes_t]]*tblMovement[[#This Row],[Grade_gpt]]/cfg_TroyOz)</f>
        <v/>
      </c>
      <c r="O3446" s="59">
        <f>IF(tblMovement[[#This Row],[Is_Ore]]=1,tblMovement[[#This Row],[Contained_oz]],0)</f>
        <v/>
      </c>
    </row>
    <row r="3447">
      <c r="A3447" s="54" t="n"/>
      <c r="B3447" s="61" t="n"/>
      <c r="C3447" s="61" t="n"/>
      <c r="D3447" s="61" t="n"/>
      <c r="E3447" s="61" t="n"/>
      <c r="F3447" s="55" t="n"/>
      <c r="G3447" s="56" t="n"/>
      <c r="H3447" s="55" t="n"/>
      <c r="I3447" s="62" t="n"/>
      <c r="J3447" s="58" t="n"/>
      <c r="K3447" s="63">
        <f>IF(tblMovement[[#This Row],[Source]]="","",IFERROR(INDEX(tblSources[Type],MATCH(tblMovement[[#This Row],[Source]],tblSources[Source],0)),"?"))</f>
        <v/>
      </c>
      <c r="L3447" s="63">
        <f>IF(tblMovement[[#This Row],[Destination]]="","",IFERROR(INDEX(tblDestinations[Type],MATCH(tblMovement[[#This Row],[Destination]],tblDestinations[Destination],0)),"?"))</f>
        <v/>
      </c>
      <c r="M3447" s="64">
        <f>IF(tblMovement[[#This Row],[Material]]="","",IF(LEFT(tblMovement[[#This Row],[Material]],3)="Ore",1,0))</f>
        <v/>
      </c>
      <c r="N3447" s="59">
        <f>IF(OR(tblMovement[[#This Row],[Tonnes_t]]="",tblMovement[[#This Row],[Grade_gpt]]=""),0,tblMovement[[#This Row],[Tonnes_t]]*tblMovement[[#This Row],[Grade_gpt]]/cfg_TroyOz)</f>
        <v/>
      </c>
      <c r="O3447" s="59">
        <f>IF(tblMovement[[#This Row],[Is_Ore]]=1,tblMovement[[#This Row],[Contained_oz]],0)</f>
        <v/>
      </c>
    </row>
    <row r="3448">
      <c r="A3448" s="54" t="n"/>
      <c r="B3448" s="61" t="n"/>
      <c r="C3448" s="61" t="n"/>
      <c r="D3448" s="61" t="n"/>
      <c r="E3448" s="61" t="n"/>
      <c r="F3448" s="55" t="n"/>
      <c r="G3448" s="56" t="n"/>
      <c r="H3448" s="55" t="n"/>
      <c r="I3448" s="62" t="n"/>
      <c r="J3448" s="58" t="n"/>
      <c r="K3448" s="63">
        <f>IF(tblMovement[[#This Row],[Source]]="","",IFERROR(INDEX(tblSources[Type],MATCH(tblMovement[[#This Row],[Source]],tblSources[Source],0)),"?"))</f>
        <v/>
      </c>
      <c r="L3448" s="63">
        <f>IF(tblMovement[[#This Row],[Destination]]="","",IFERROR(INDEX(tblDestinations[Type],MATCH(tblMovement[[#This Row],[Destination]],tblDestinations[Destination],0)),"?"))</f>
        <v/>
      </c>
      <c r="M3448" s="64">
        <f>IF(tblMovement[[#This Row],[Material]]="","",IF(LEFT(tblMovement[[#This Row],[Material]],3)="Ore",1,0))</f>
        <v/>
      </c>
      <c r="N3448" s="59">
        <f>IF(OR(tblMovement[[#This Row],[Tonnes_t]]="",tblMovement[[#This Row],[Grade_gpt]]=""),0,tblMovement[[#This Row],[Tonnes_t]]*tblMovement[[#This Row],[Grade_gpt]]/cfg_TroyOz)</f>
        <v/>
      </c>
      <c r="O3448" s="59">
        <f>IF(tblMovement[[#This Row],[Is_Ore]]=1,tblMovement[[#This Row],[Contained_oz]],0)</f>
        <v/>
      </c>
    </row>
    <row r="3449">
      <c r="A3449" s="54" t="n"/>
      <c r="B3449" s="61" t="n"/>
      <c r="C3449" s="61" t="n"/>
      <c r="D3449" s="61" t="n"/>
      <c r="E3449" s="61" t="n"/>
      <c r="F3449" s="55" t="n"/>
      <c r="G3449" s="56" t="n"/>
      <c r="H3449" s="55" t="n"/>
      <c r="I3449" s="62" t="n"/>
      <c r="J3449" s="58" t="n"/>
      <c r="K3449" s="63">
        <f>IF(tblMovement[[#This Row],[Source]]="","",IFERROR(INDEX(tblSources[Type],MATCH(tblMovement[[#This Row],[Source]],tblSources[Source],0)),"?"))</f>
        <v/>
      </c>
      <c r="L3449" s="63">
        <f>IF(tblMovement[[#This Row],[Destination]]="","",IFERROR(INDEX(tblDestinations[Type],MATCH(tblMovement[[#This Row],[Destination]],tblDestinations[Destination],0)),"?"))</f>
        <v/>
      </c>
      <c r="M3449" s="64">
        <f>IF(tblMovement[[#This Row],[Material]]="","",IF(LEFT(tblMovement[[#This Row],[Material]],3)="Ore",1,0))</f>
        <v/>
      </c>
      <c r="N3449" s="59">
        <f>IF(OR(tblMovement[[#This Row],[Tonnes_t]]="",tblMovement[[#This Row],[Grade_gpt]]=""),0,tblMovement[[#This Row],[Tonnes_t]]*tblMovement[[#This Row],[Grade_gpt]]/cfg_TroyOz)</f>
        <v/>
      </c>
      <c r="O3449" s="59">
        <f>IF(tblMovement[[#This Row],[Is_Ore]]=1,tblMovement[[#This Row],[Contained_oz]],0)</f>
        <v/>
      </c>
    </row>
    <row r="3450">
      <c r="A3450" s="54" t="n"/>
      <c r="B3450" s="61" t="n"/>
      <c r="C3450" s="61" t="n"/>
      <c r="D3450" s="61" t="n"/>
      <c r="E3450" s="61" t="n"/>
      <c r="F3450" s="55" t="n"/>
      <c r="G3450" s="56" t="n"/>
      <c r="H3450" s="55" t="n"/>
      <c r="I3450" s="62" t="n"/>
      <c r="J3450" s="58" t="n"/>
      <c r="K3450" s="63">
        <f>IF(tblMovement[[#This Row],[Source]]="","",IFERROR(INDEX(tblSources[Type],MATCH(tblMovement[[#This Row],[Source]],tblSources[Source],0)),"?"))</f>
        <v/>
      </c>
      <c r="L3450" s="63">
        <f>IF(tblMovement[[#This Row],[Destination]]="","",IFERROR(INDEX(tblDestinations[Type],MATCH(tblMovement[[#This Row],[Destination]],tblDestinations[Destination],0)),"?"))</f>
        <v/>
      </c>
      <c r="M3450" s="64">
        <f>IF(tblMovement[[#This Row],[Material]]="","",IF(LEFT(tblMovement[[#This Row],[Material]],3)="Ore",1,0))</f>
        <v/>
      </c>
      <c r="N3450" s="59">
        <f>IF(OR(tblMovement[[#This Row],[Tonnes_t]]="",tblMovement[[#This Row],[Grade_gpt]]=""),0,tblMovement[[#This Row],[Tonnes_t]]*tblMovement[[#This Row],[Grade_gpt]]/cfg_TroyOz)</f>
        <v/>
      </c>
      <c r="O3450" s="59">
        <f>IF(tblMovement[[#This Row],[Is_Ore]]=1,tblMovement[[#This Row],[Contained_oz]],0)</f>
        <v/>
      </c>
    </row>
    <row r="3451">
      <c r="A3451" s="54" t="n"/>
      <c r="B3451" s="61" t="n"/>
      <c r="C3451" s="61" t="n"/>
      <c r="D3451" s="61" t="n"/>
      <c r="E3451" s="61" t="n"/>
      <c r="F3451" s="55" t="n"/>
      <c r="G3451" s="56" t="n"/>
      <c r="H3451" s="55" t="n"/>
      <c r="I3451" s="62" t="n"/>
      <c r="J3451" s="58" t="n"/>
      <c r="K3451" s="63">
        <f>IF(tblMovement[[#This Row],[Source]]="","",IFERROR(INDEX(tblSources[Type],MATCH(tblMovement[[#This Row],[Source]],tblSources[Source],0)),"?"))</f>
        <v/>
      </c>
      <c r="L3451" s="63">
        <f>IF(tblMovement[[#This Row],[Destination]]="","",IFERROR(INDEX(tblDestinations[Type],MATCH(tblMovement[[#This Row],[Destination]],tblDestinations[Destination],0)),"?"))</f>
        <v/>
      </c>
      <c r="M3451" s="64">
        <f>IF(tblMovement[[#This Row],[Material]]="","",IF(LEFT(tblMovement[[#This Row],[Material]],3)="Ore",1,0))</f>
        <v/>
      </c>
      <c r="N3451" s="59">
        <f>IF(OR(tblMovement[[#This Row],[Tonnes_t]]="",tblMovement[[#This Row],[Grade_gpt]]=""),0,tblMovement[[#This Row],[Tonnes_t]]*tblMovement[[#This Row],[Grade_gpt]]/cfg_TroyOz)</f>
        <v/>
      </c>
      <c r="O3451" s="59">
        <f>IF(tblMovement[[#This Row],[Is_Ore]]=1,tblMovement[[#This Row],[Contained_oz]],0)</f>
        <v/>
      </c>
    </row>
    <row r="3452">
      <c r="A3452" s="54" t="n"/>
      <c r="B3452" s="61" t="n"/>
      <c r="C3452" s="61" t="n"/>
      <c r="D3452" s="61" t="n"/>
      <c r="E3452" s="61" t="n"/>
      <c r="F3452" s="55" t="n"/>
      <c r="G3452" s="56" t="n"/>
      <c r="H3452" s="55" t="n"/>
      <c r="I3452" s="62" t="n"/>
      <c r="J3452" s="58" t="n"/>
      <c r="K3452" s="63">
        <f>IF(tblMovement[[#This Row],[Source]]="","",IFERROR(INDEX(tblSources[Type],MATCH(tblMovement[[#This Row],[Source]],tblSources[Source],0)),"?"))</f>
        <v/>
      </c>
      <c r="L3452" s="63">
        <f>IF(tblMovement[[#This Row],[Destination]]="","",IFERROR(INDEX(tblDestinations[Type],MATCH(tblMovement[[#This Row],[Destination]],tblDestinations[Destination],0)),"?"))</f>
        <v/>
      </c>
      <c r="M3452" s="64">
        <f>IF(tblMovement[[#This Row],[Material]]="","",IF(LEFT(tblMovement[[#This Row],[Material]],3)="Ore",1,0))</f>
        <v/>
      </c>
      <c r="N3452" s="59">
        <f>IF(OR(tblMovement[[#This Row],[Tonnes_t]]="",tblMovement[[#This Row],[Grade_gpt]]=""),0,tblMovement[[#This Row],[Tonnes_t]]*tblMovement[[#This Row],[Grade_gpt]]/cfg_TroyOz)</f>
        <v/>
      </c>
      <c r="O3452" s="59">
        <f>IF(tblMovement[[#This Row],[Is_Ore]]=1,tblMovement[[#This Row],[Contained_oz]],0)</f>
        <v/>
      </c>
    </row>
    <row r="3453">
      <c r="A3453" s="54" t="n"/>
      <c r="B3453" s="61" t="n"/>
      <c r="C3453" s="61" t="n"/>
      <c r="D3453" s="61" t="n"/>
      <c r="E3453" s="61" t="n"/>
      <c r="F3453" s="55" t="n"/>
      <c r="G3453" s="56" t="n"/>
      <c r="H3453" s="55" t="n"/>
      <c r="I3453" s="62" t="n"/>
      <c r="J3453" s="58" t="n"/>
      <c r="K3453" s="63">
        <f>IF(tblMovement[[#This Row],[Source]]="","",IFERROR(INDEX(tblSources[Type],MATCH(tblMovement[[#This Row],[Source]],tblSources[Source],0)),"?"))</f>
        <v/>
      </c>
      <c r="L3453" s="63">
        <f>IF(tblMovement[[#This Row],[Destination]]="","",IFERROR(INDEX(tblDestinations[Type],MATCH(tblMovement[[#This Row],[Destination]],tblDestinations[Destination],0)),"?"))</f>
        <v/>
      </c>
      <c r="M3453" s="64">
        <f>IF(tblMovement[[#This Row],[Material]]="","",IF(LEFT(tblMovement[[#This Row],[Material]],3)="Ore",1,0))</f>
        <v/>
      </c>
      <c r="N3453" s="59">
        <f>IF(OR(tblMovement[[#This Row],[Tonnes_t]]="",tblMovement[[#This Row],[Grade_gpt]]=""),0,tblMovement[[#This Row],[Tonnes_t]]*tblMovement[[#This Row],[Grade_gpt]]/cfg_TroyOz)</f>
        <v/>
      </c>
      <c r="O3453" s="59">
        <f>IF(tblMovement[[#This Row],[Is_Ore]]=1,tblMovement[[#This Row],[Contained_oz]],0)</f>
        <v/>
      </c>
    </row>
    <row r="3454">
      <c r="A3454" s="54" t="n"/>
      <c r="B3454" s="61" t="n"/>
      <c r="C3454" s="61" t="n"/>
      <c r="D3454" s="61" t="n"/>
      <c r="E3454" s="61" t="n"/>
      <c r="F3454" s="55" t="n"/>
      <c r="G3454" s="56" t="n"/>
      <c r="H3454" s="55" t="n"/>
      <c r="I3454" s="62" t="n"/>
      <c r="J3454" s="58" t="n"/>
      <c r="K3454" s="63">
        <f>IF(tblMovement[[#This Row],[Source]]="","",IFERROR(INDEX(tblSources[Type],MATCH(tblMovement[[#This Row],[Source]],tblSources[Source],0)),"?"))</f>
        <v/>
      </c>
      <c r="L3454" s="63">
        <f>IF(tblMovement[[#This Row],[Destination]]="","",IFERROR(INDEX(tblDestinations[Type],MATCH(tblMovement[[#This Row],[Destination]],tblDestinations[Destination],0)),"?"))</f>
        <v/>
      </c>
      <c r="M3454" s="64">
        <f>IF(tblMovement[[#This Row],[Material]]="","",IF(LEFT(tblMovement[[#This Row],[Material]],3)="Ore",1,0))</f>
        <v/>
      </c>
      <c r="N3454" s="59">
        <f>IF(OR(tblMovement[[#This Row],[Tonnes_t]]="",tblMovement[[#This Row],[Grade_gpt]]=""),0,tblMovement[[#This Row],[Tonnes_t]]*tblMovement[[#This Row],[Grade_gpt]]/cfg_TroyOz)</f>
        <v/>
      </c>
      <c r="O3454" s="59">
        <f>IF(tblMovement[[#This Row],[Is_Ore]]=1,tblMovement[[#This Row],[Contained_oz]],0)</f>
        <v/>
      </c>
    </row>
    <row r="3455">
      <c r="A3455" s="54" t="n"/>
      <c r="B3455" s="61" t="n"/>
      <c r="C3455" s="61" t="n"/>
      <c r="D3455" s="61" t="n"/>
      <c r="E3455" s="61" t="n"/>
      <c r="F3455" s="55" t="n"/>
      <c r="G3455" s="56" t="n"/>
      <c r="H3455" s="55" t="n"/>
      <c r="I3455" s="62" t="n"/>
      <c r="J3455" s="58" t="n"/>
      <c r="K3455" s="63">
        <f>IF(tblMovement[[#This Row],[Source]]="","",IFERROR(INDEX(tblSources[Type],MATCH(tblMovement[[#This Row],[Source]],tblSources[Source],0)),"?"))</f>
        <v/>
      </c>
      <c r="L3455" s="63">
        <f>IF(tblMovement[[#This Row],[Destination]]="","",IFERROR(INDEX(tblDestinations[Type],MATCH(tblMovement[[#This Row],[Destination]],tblDestinations[Destination],0)),"?"))</f>
        <v/>
      </c>
      <c r="M3455" s="64">
        <f>IF(tblMovement[[#This Row],[Material]]="","",IF(LEFT(tblMovement[[#This Row],[Material]],3)="Ore",1,0))</f>
        <v/>
      </c>
      <c r="N3455" s="59">
        <f>IF(OR(tblMovement[[#This Row],[Tonnes_t]]="",tblMovement[[#This Row],[Grade_gpt]]=""),0,tblMovement[[#This Row],[Tonnes_t]]*tblMovement[[#This Row],[Grade_gpt]]/cfg_TroyOz)</f>
        <v/>
      </c>
      <c r="O3455" s="59">
        <f>IF(tblMovement[[#This Row],[Is_Ore]]=1,tblMovement[[#This Row],[Contained_oz]],0)</f>
        <v/>
      </c>
    </row>
    <row r="3456">
      <c r="A3456" s="54" t="n"/>
      <c r="B3456" s="61" t="n"/>
      <c r="C3456" s="61" t="n"/>
      <c r="D3456" s="61" t="n"/>
      <c r="E3456" s="61" t="n"/>
      <c r="F3456" s="55" t="n"/>
      <c r="G3456" s="56" t="n"/>
      <c r="H3456" s="55" t="n"/>
      <c r="I3456" s="62" t="n"/>
      <c r="J3456" s="58" t="n"/>
      <c r="K3456" s="63">
        <f>IF(tblMovement[[#This Row],[Source]]="","",IFERROR(INDEX(tblSources[Type],MATCH(tblMovement[[#This Row],[Source]],tblSources[Source],0)),"?"))</f>
        <v/>
      </c>
      <c r="L3456" s="63">
        <f>IF(tblMovement[[#This Row],[Destination]]="","",IFERROR(INDEX(tblDestinations[Type],MATCH(tblMovement[[#This Row],[Destination]],tblDestinations[Destination],0)),"?"))</f>
        <v/>
      </c>
      <c r="M3456" s="64">
        <f>IF(tblMovement[[#This Row],[Material]]="","",IF(LEFT(tblMovement[[#This Row],[Material]],3)="Ore",1,0))</f>
        <v/>
      </c>
      <c r="N3456" s="59">
        <f>IF(OR(tblMovement[[#This Row],[Tonnes_t]]="",tblMovement[[#This Row],[Grade_gpt]]=""),0,tblMovement[[#This Row],[Tonnes_t]]*tblMovement[[#This Row],[Grade_gpt]]/cfg_TroyOz)</f>
        <v/>
      </c>
      <c r="O3456" s="59">
        <f>IF(tblMovement[[#This Row],[Is_Ore]]=1,tblMovement[[#This Row],[Contained_oz]],0)</f>
        <v/>
      </c>
    </row>
    <row r="3457">
      <c r="A3457" s="54" t="n"/>
      <c r="B3457" s="61" t="n"/>
      <c r="C3457" s="61" t="n"/>
      <c r="D3457" s="61" t="n"/>
      <c r="E3457" s="61" t="n"/>
      <c r="F3457" s="55" t="n"/>
      <c r="G3457" s="56" t="n"/>
      <c r="H3457" s="55" t="n"/>
      <c r="I3457" s="62" t="n"/>
      <c r="J3457" s="58" t="n"/>
      <c r="K3457" s="63">
        <f>IF(tblMovement[[#This Row],[Source]]="","",IFERROR(INDEX(tblSources[Type],MATCH(tblMovement[[#This Row],[Source]],tblSources[Source],0)),"?"))</f>
        <v/>
      </c>
      <c r="L3457" s="63">
        <f>IF(tblMovement[[#This Row],[Destination]]="","",IFERROR(INDEX(tblDestinations[Type],MATCH(tblMovement[[#This Row],[Destination]],tblDestinations[Destination],0)),"?"))</f>
        <v/>
      </c>
      <c r="M3457" s="64">
        <f>IF(tblMovement[[#This Row],[Material]]="","",IF(LEFT(tblMovement[[#This Row],[Material]],3)="Ore",1,0))</f>
        <v/>
      </c>
      <c r="N3457" s="59">
        <f>IF(OR(tblMovement[[#This Row],[Tonnes_t]]="",tblMovement[[#This Row],[Grade_gpt]]=""),0,tblMovement[[#This Row],[Tonnes_t]]*tblMovement[[#This Row],[Grade_gpt]]/cfg_TroyOz)</f>
        <v/>
      </c>
      <c r="O3457" s="59">
        <f>IF(tblMovement[[#This Row],[Is_Ore]]=1,tblMovement[[#This Row],[Contained_oz]],0)</f>
        <v/>
      </c>
    </row>
    <row r="3458">
      <c r="A3458" s="54" t="n"/>
      <c r="B3458" s="61" t="n"/>
      <c r="C3458" s="61" t="n"/>
      <c r="D3458" s="61" t="n"/>
      <c r="E3458" s="61" t="n"/>
      <c r="F3458" s="55" t="n"/>
      <c r="G3458" s="56" t="n"/>
      <c r="H3458" s="55" t="n"/>
      <c r="I3458" s="62" t="n"/>
      <c r="J3458" s="58" t="n"/>
      <c r="K3458" s="63">
        <f>IF(tblMovement[[#This Row],[Source]]="","",IFERROR(INDEX(tblSources[Type],MATCH(tblMovement[[#This Row],[Source]],tblSources[Source],0)),"?"))</f>
        <v/>
      </c>
      <c r="L3458" s="63">
        <f>IF(tblMovement[[#This Row],[Destination]]="","",IFERROR(INDEX(tblDestinations[Type],MATCH(tblMovement[[#This Row],[Destination]],tblDestinations[Destination],0)),"?"))</f>
        <v/>
      </c>
      <c r="M3458" s="64">
        <f>IF(tblMovement[[#This Row],[Material]]="","",IF(LEFT(tblMovement[[#This Row],[Material]],3)="Ore",1,0))</f>
        <v/>
      </c>
      <c r="N3458" s="59">
        <f>IF(OR(tblMovement[[#This Row],[Tonnes_t]]="",tblMovement[[#This Row],[Grade_gpt]]=""),0,tblMovement[[#This Row],[Tonnes_t]]*tblMovement[[#This Row],[Grade_gpt]]/cfg_TroyOz)</f>
        <v/>
      </c>
      <c r="O3458" s="59">
        <f>IF(tblMovement[[#This Row],[Is_Ore]]=1,tblMovement[[#This Row],[Contained_oz]],0)</f>
        <v/>
      </c>
    </row>
    <row r="3459">
      <c r="A3459" s="54" t="n"/>
      <c r="B3459" s="61" t="n"/>
      <c r="C3459" s="61" t="n"/>
      <c r="D3459" s="61" t="n"/>
      <c r="E3459" s="61" t="n"/>
      <c r="F3459" s="55" t="n"/>
      <c r="G3459" s="56" t="n"/>
      <c r="H3459" s="55" t="n"/>
      <c r="I3459" s="62" t="n"/>
      <c r="J3459" s="58" t="n"/>
      <c r="K3459" s="63">
        <f>IF(tblMovement[[#This Row],[Source]]="","",IFERROR(INDEX(tblSources[Type],MATCH(tblMovement[[#This Row],[Source]],tblSources[Source],0)),"?"))</f>
        <v/>
      </c>
      <c r="L3459" s="63">
        <f>IF(tblMovement[[#This Row],[Destination]]="","",IFERROR(INDEX(tblDestinations[Type],MATCH(tblMovement[[#This Row],[Destination]],tblDestinations[Destination],0)),"?"))</f>
        <v/>
      </c>
      <c r="M3459" s="64">
        <f>IF(tblMovement[[#This Row],[Material]]="","",IF(LEFT(tblMovement[[#This Row],[Material]],3)="Ore",1,0))</f>
        <v/>
      </c>
      <c r="N3459" s="59">
        <f>IF(OR(tblMovement[[#This Row],[Tonnes_t]]="",tblMovement[[#This Row],[Grade_gpt]]=""),0,tblMovement[[#This Row],[Tonnes_t]]*tblMovement[[#This Row],[Grade_gpt]]/cfg_TroyOz)</f>
        <v/>
      </c>
      <c r="O3459" s="59">
        <f>IF(tblMovement[[#This Row],[Is_Ore]]=1,tblMovement[[#This Row],[Contained_oz]],0)</f>
        <v/>
      </c>
    </row>
    <row r="3460">
      <c r="A3460" s="54" t="n"/>
      <c r="B3460" s="61" t="n"/>
      <c r="C3460" s="61" t="n"/>
      <c r="D3460" s="61" t="n"/>
      <c r="E3460" s="61" t="n"/>
      <c r="F3460" s="55" t="n"/>
      <c r="G3460" s="56" t="n"/>
      <c r="H3460" s="55" t="n"/>
      <c r="I3460" s="62" t="n"/>
      <c r="J3460" s="58" t="n"/>
      <c r="K3460" s="63">
        <f>IF(tblMovement[[#This Row],[Source]]="","",IFERROR(INDEX(tblSources[Type],MATCH(tblMovement[[#This Row],[Source]],tblSources[Source],0)),"?"))</f>
        <v/>
      </c>
      <c r="L3460" s="63">
        <f>IF(tblMovement[[#This Row],[Destination]]="","",IFERROR(INDEX(tblDestinations[Type],MATCH(tblMovement[[#This Row],[Destination]],tblDestinations[Destination],0)),"?"))</f>
        <v/>
      </c>
      <c r="M3460" s="64">
        <f>IF(tblMovement[[#This Row],[Material]]="","",IF(LEFT(tblMovement[[#This Row],[Material]],3)="Ore",1,0))</f>
        <v/>
      </c>
      <c r="N3460" s="59">
        <f>IF(OR(tblMovement[[#This Row],[Tonnes_t]]="",tblMovement[[#This Row],[Grade_gpt]]=""),0,tblMovement[[#This Row],[Tonnes_t]]*tblMovement[[#This Row],[Grade_gpt]]/cfg_TroyOz)</f>
        <v/>
      </c>
      <c r="O3460" s="59">
        <f>IF(tblMovement[[#This Row],[Is_Ore]]=1,tblMovement[[#This Row],[Contained_oz]],0)</f>
        <v/>
      </c>
    </row>
    <row r="3461">
      <c r="A3461" s="54" t="n"/>
      <c r="B3461" s="61" t="n"/>
      <c r="C3461" s="61" t="n"/>
      <c r="D3461" s="61" t="n"/>
      <c r="E3461" s="61" t="n"/>
      <c r="F3461" s="55" t="n"/>
      <c r="G3461" s="56" t="n"/>
      <c r="H3461" s="55" t="n"/>
      <c r="I3461" s="62" t="n"/>
      <c r="J3461" s="58" t="n"/>
      <c r="K3461" s="63">
        <f>IF(tblMovement[[#This Row],[Source]]="","",IFERROR(INDEX(tblSources[Type],MATCH(tblMovement[[#This Row],[Source]],tblSources[Source],0)),"?"))</f>
        <v/>
      </c>
      <c r="L3461" s="63">
        <f>IF(tblMovement[[#This Row],[Destination]]="","",IFERROR(INDEX(tblDestinations[Type],MATCH(tblMovement[[#This Row],[Destination]],tblDestinations[Destination],0)),"?"))</f>
        <v/>
      </c>
      <c r="M3461" s="64">
        <f>IF(tblMovement[[#This Row],[Material]]="","",IF(LEFT(tblMovement[[#This Row],[Material]],3)="Ore",1,0))</f>
        <v/>
      </c>
      <c r="N3461" s="59">
        <f>IF(OR(tblMovement[[#This Row],[Tonnes_t]]="",tblMovement[[#This Row],[Grade_gpt]]=""),0,tblMovement[[#This Row],[Tonnes_t]]*tblMovement[[#This Row],[Grade_gpt]]/cfg_TroyOz)</f>
        <v/>
      </c>
      <c r="O3461" s="59">
        <f>IF(tblMovement[[#This Row],[Is_Ore]]=1,tblMovement[[#This Row],[Contained_oz]],0)</f>
        <v/>
      </c>
    </row>
    <row r="3462">
      <c r="A3462" s="54" t="n"/>
      <c r="B3462" s="61" t="n"/>
      <c r="C3462" s="61" t="n"/>
      <c r="D3462" s="61" t="n"/>
      <c r="E3462" s="61" t="n"/>
      <c r="F3462" s="55" t="n"/>
      <c r="G3462" s="56" t="n"/>
      <c r="H3462" s="55" t="n"/>
      <c r="I3462" s="62" t="n"/>
      <c r="J3462" s="58" t="n"/>
      <c r="K3462" s="63">
        <f>IF(tblMovement[[#This Row],[Source]]="","",IFERROR(INDEX(tblSources[Type],MATCH(tblMovement[[#This Row],[Source]],tblSources[Source],0)),"?"))</f>
        <v/>
      </c>
      <c r="L3462" s="63">
        <f>IF(tblMovement[[#This Row],[Destination]]="","",IFERROR(INDEX(tblDestinations[Type],MATCH(tblMovement[[#This Row],[Destination]],tblDestinations[Destination],0)),"?"))</f>
        <v/>
      </c>
      <c r="M3462" s="64">
        <f>IF(tblMovement[[#This Row],[Material]]="","",IF(LEFT(tblMovement[[#This Row],[Material]],3)="Ore",1,0))</f>
        <v/>
      </c>
      <c r="N3462" s="59">
        <f>IF(OR(tblMovement[[#This Row],[Tonnes_t]]="",tblMovement[[#This Row],[Grade_gpt]]=""),0,tblMovement[[#This Row],[Tonnes_t]]*tblMovement[[#This Row],[Grade_gpt]]/cfg_TroyOz)</f>
        <v/>
      </c>
      <c r="O3462" s="59">
        <f>IF(tblMovement[[#This Row],[Is_Ore]]=1,tblMovement[[#This Row],[Contained_oz]],0)</f>
        <v/>
      </c>
    </row>
    <row r="3463">
      <c r="A3463" s="54" t="n"/>
      <c r="B3463" s="61" t="n"/>
      <c r="C3463" s="61" t="n"/>
      <c r="D3463" s="61" t="n"/>
      <c r="E3463" s="61" t="n"/>
      <c r="F3463" s="55" t="n"/>
      <c r="G3463" s="56" t="n"/>
      <c r="H3463" s="55" t="n"/>
      <c r="I3463" s="62" t="n"/>
      <c r="J3463" s="58" t="n"/>
      <c r="K3463" s="63">
        <f>IF(tblMovement[[#This Row],[Source]]="","",IFERROR(INDEX(tblSources[Type],MATCH(tblMovement[[#This Row],[Source]],tblSources[Source],0)),"?"))</f>
        <v/>
      </c>
      <c r="L3463" s="63">
        <f>IF(tblMovement[[#This Row],[Destination]]="","",IFERROR(INDEX(tblDestinations[Type],MATCH(tblMovement[[#This Row],[Destination]],tblDestinations[Destination],0)),"?"))</f>
        <v/>
      </c>
      <c r="M3463" s="64">
        <f>IF(tblMovement[[#This Row],[Material]]="","",IF(LEFT(tblMovement[[#This Row],[Material]],3)="Ore",1,0))</f>
        <v/>
      </c>
      <c r="N3463" s="59">
        <f>IF(OR(tblMovement[[#This Row],[Tonnes_t]]="",tblMovement[[#This Row],[Grade_gpt]]=""),0,tblMovement[[#This Row],[Tonnes_t]]*tblMovement[[#This Row],[Grade_gpt]]/cfg_TroyOz)</f>
        <v/>
      </c>
      <c r="O3463" s="59">
        <f>IF(tblMovement[[#This Row],[Is_Ore]]=1,tblMovement[[#This Row],[Contained_oz]],0)</f>
        <v/>
      </c>
    </row>
    <row r="3464">
      <c r="A3464" s="54" t="n"/>
      <c r="B3464" s="61" t="n"/>
      <c r="C3464" s="61" t="n"/>
      <c r="D3464" s="61" t="n"/>
      <c r="E3464" s="61" t="n"/>
      <c r="F3464" s="55" t="n"/>
      <c r="G3464" s="56" t="n"/>
      <c r="H3464" s="55" t="n"/>
      <c r="I3464" s="62" t="n"/>
      <c r="J3464" s="58" t="n"/>
      <c r="K3464" s="63">
        <f>IF(tblMovement[[#This Row],[Source]]="","",IFERROR(INDEX(tblSources[Type],MATCH(tblMovement[[#This Row],[Source]],tblSources[Source],0)),"?"))</f>
        <v/>
      </c>
      <c r="L3464" s="63">
        <f>IF(tblMovement[[#This Row],[Destination]]="","",IFERROR(INDEX(tblDestinations[Type],MATCH(tblMovement[[#This Row],[Destination]],tblDestinations[Destination],0)),"?"))</f>
        <v/>
      </c>
      <c r="M3464" s="64">
        <f>IF(tblMovement[[#This Row],[Material]]="","",IF(LEFT(tblMovement[[#This Row],[Material]],3)="Ore",1,0))</f>
        <v/>
      </c>
      <c r="N3464" s="59">
        <f>IF(OR(tblMovement[[#This Row],[Tonnes_t]]="",tblMovement[[#This Row],[Grade_gpt]]=""),0,tblMovement[[#This Row],[Tonnes_t]]*tblMovement[[#This Row],[Grade_gpt]]/cfg_TroyOz)</f>
        <v/>
      </c>
      <c r="O3464" s="59">
        <f>IF(tblMovement[[#This Row],[Is_Ore]]=1,tblMovement[[#This Row],[Contained_oz]],0)</f>
        <v/>
      </c>
    </row>
    <row r="3465">
      <c r="A3465" s="54" t="n"/>
      <c r="B3465" s="61" t="n"/>
      <c r="C3465" s="61" t="n"/>
      <c r="D3465" s="61" t="n"/>
      <c r="E3465" s="61" t="n"/>
      <c r="F3465" s="55" t="n"/>
      <c r="G3465" s="56" t="n"/>
      <c r="H3465" s="55" t="n"/>
      <c r="I3465" s="62" t="n"/>
      <c r="J3465" s="58" t="n"/>
      <c r="K3465" s="63">
        <f>IF(tblMovement[[#This Row],[Source]]="","",IFERROR(INDEX(tblSources[Type],MATCH(tblMovement[[#This Row],[Source]],tblSources[Source],0)),"?"))</f>
        <v/>
      </c>
      <c r="L3465" s="63">
        <f>IF(tblMovement[[#This Row],[Destination]]="","",IFERROR(INDEX(tblDestinations[Type],MATCH(tblMovement[[#This Row],[Destination]],tblDestinations[Destination],0)),"?"))</f>
        <v/>
      </c>
      <c r="M3465" s="64">
        <f>IF(tblMovement[[#This Row],[Material]]="","",IF(LEFT(tblMovement[[#This Row],[Material]],3)="Ore",1,0))</f>
        <v/>
      </c>
      <c r="N3465" s="59">
        <f>IF(OR(tblMovement[[#This Row],[Tonnes_t]]="",tblMovement[[#This Row],[Grade_gpt]]=""),0,tblMovement[[#This Row],[Tonnes_t]]*tblMovement[[#This Row],[Grade_gpt]]/cfg_TroyOz)</f>
        <v/>
      </c>
      <c r="O3465" s="59">
        <f>IF(tblMovement[[#This Row],[Is_Ore]]=1,tblMovement[[#This Row],[Contained_oz]],0)</f>
        <v/>
      </c>
    </row>
    <row r="3466">
      <c r="A3466" s="54" t="n"/>
      <c r="B3466" s="61" t="n"/>
      <c r="C3466" s="61" t="n"/>
      <c r="D3466" s="61" t="n"/>
      <c r="E3466" s="61" t="n"/>
      <c r="F3466" s="55" t="n"/>
      <c r="G3466" s="56" t="n"/>
      <c r="H3466" s="55" t="n"/>
      <c r="I3466" s="62" t="n"/>
      <c r="J3466" s="58" t="n"/>
      <c r="K3466" s="63">
        <f>IF(tblMovement[[#This Row],[Source]]="","",IFERROR(INDEX(tblSources[Type],MATCH(tblMovement[[#This Row],[Source]],tblSources[Source],0)),"?"))</f>
        <v/>
      </c>
      <c r="L3466" s="63">
        <f>IF(tblMovement[[#This Row],[Destination]]="","",IFERROR(INDEX(tblDestinations[Type],MATCH(tblMovement[[#This Row],[Destination]],tblDestinations[Destination],0)),"?"))</f>
        <v/>
      </c>
      <c r="M3466" s="64">
        <f>IF(tblMovement[[#This Row],[Material]]="","",IF(LEFT(tblMovement[[#This Row],[Material]],3)="Ore",1,0))</f>
        <v/>
      </c>
      <c r="N3466" s="59">
        <f>IF(OR(tblMovement[[#This Row],[Tonnes_t]]="",tblMovement[[#This Row],[Grade_gpt]]=""),0,tblMovement[[#This Row],[Tonnes_t]]*tblMovement[[#This Row],[Grade_gpt]]/cfg_TroyOz)</f>
        <v/>
      </c>
      <c r="O3466" s="59">
        <f>IF(tblMovement[[#This Row],[Is_Ore]]=1,tblMovement[[#This Row],[Contained_oz]],0)</f>
        <v/>
      </c>
    </row>
    <row r="3467">
      <c r="A3467" s="54" t="n"/>
      <c r="B3467" s="61" t="n"/>
      <c r="C3467" s="61" t="n"/>
      <c r="D3467" s="61" t="n"/>
      <c r="E3467" s="61" t="n"/>
      <c r="F3467" s="55" t="n"/>
      <c r="G3467" s="56" t="n"/>
      <c r="H3467" s="55" t="n"/>
      <c r="I3467" s="62" t="n"/>
      <c r="J3467" s="58" t="n"/>
      <c r="K3467" s="63">
        <f>IF(tblMovement[[#This Row],[Source]]="","",IFERROR(INDEX(tblSources[Type],MATCH(tblMovement[[#This Row],[Source]],tblSources[Source],0)),"?"))</f>
        <v/>
      </c>
      <c r="L3467" s="63">
        <f>IF(tblMovement[[#This Row],[Destination]]="","",IFERROR(INDEX(tblDestinations[Type],MATCH(tblMovement[[#This Row],[Destination]],tblDestinations[Destination],0)),"?"))</f>
        <v/>
      </c>
      <c r="M3467" s="64">
        <f>IF(tblMovement[[#This Row],[Material]]="","",IF(LEFT(tblMovement[[#This Row],[Material]],3)="Ore",1,0))</f>
        <v/>
      </c>
      <c r="N3467" s="59">
        <f>IF(OR(tblMovement[[#This Row],[Tonnes_t]]="",tblMovement[[#This Row],[Grade_gpt]]=""),0,tblMovement[[#This Row],[Tonnes_t]]*tblMovement[[#This Row],[Grade_gpt]]/cfg_TroyOz)</f>
        <v/>
      </c>
      <c r="O3467" s="59">
        <f>IF(tblMovement[[#This Row],[Is_Ore]]=1,tblMovement[[#This Row],[Contained_oz]],0)</f>
        <v/>
      </c>
    </row>
    <row r="3468">
      <c r="A3468" s="54" t="n"/>
      <c r="B3468" s="61" t="n"/>
      <c r="C3468" s="61" t="n"/>
      <c r="D3468" s="61" t="n"/>
      <c r="E3468" s="61" t="n"/>
      <c r="F3468" s="55" t="n"/>
      <c r="G3468" s="56" t="n"/>
      <c r="H3468" s="55" t="n"/>
      <c r="I3468" s="62" t="n"/>
      <c r="J3468" s="58" t="n"/>
      <c r="K3468" s="63">
        <f>IF(tblMovement[[#This Row],[Source]]="","",IFERROR(INDEX(tblSources[Type],MATCH(tblMovement[[#This Row],[Source]],tblSources[Source],0)),"?"))</f>
        <v/>
      </c>
      <c r="L3468" s="63">
        <f>IF(tblMovement[[#This Row],[Destination]]="","",IFERROR(INDEX(tblDestinations[Type],MATCH(tblMovement[[#This Row],[Destination]],tblDestinations[Destination],0)),"?"))</f>
        <v/>
      </c>
      <c r="M3468" s="64">
        <f>IF(tblMovement[[#This Row],[Material]]="","",IF(LEFT(tblMovement[[#This Row],[Material]],3)="Ore",1,0))</f>
        <v/>
      </c>
      <c r="N3468" s="59">
        <f>IF(OR(tblMovement[[#This Row],[Tonnes_t]]="",tblMovement[[#This Row],[Grade_gpt]]=""),0,tblMovement[[#This Row],[Tonnes_t]]*tblMovement[[#This Row],[Grade_gpt]]/cfg_TroyOz)</f>
        <v/>
      </c>
      <c r="O3468" s="59">
        <f>IF(tblMovement[[#This Row],[Is_Ore]]=1,tblMovement[[#This Row],[Contained_oz]],0)</f>
        <v/>
      </c>
    </row>
    <row r="3469">
      <c r="A3469" s="54" t="n"/>
      <c r="B3469" s="61" t="n"/>
      <c r="C3469" s="61" t="n"/>
      <c r="D3469" s="61" t="n"/>
      <c r="E3469" s="61" t="n"/>
      <c r="F3469" s="55" t="n"/>
      <c r="G3469" s="56" t="n"/>
      <c r="H3469" s="55" t="n"/>
      <c r="I3469" s="62" t="n"/>
      <c r="J3469" s="58" t="n"/>
      <c r="K3469" s="63">
        <f>IF(tblMovement[[#This Row],[Source]]="","",IFERROR(INDEX(tblSources[Type],MATCH(tblMovement[[#This Row],[Source]],tblSources[Source],0)),"?"))</f>
        <v/>
      </c>
      <c r="L3469" s="63">
        <f>IF(tblMovement[[#This Row],[Destination]]="","",IFERROR(INDEX(tblDestinations[Type],MATCH(tblMovement[[#This Row],[Destination]],tblDestinations[Destination],0)),"?"))</f>
        <v/>
      </c>
      <c r="M3469" s="64">
        <f>IF(tblMovement[[#This Row],[Material]]="","",IF(LEFT(tblMovement[[#This Row],[Material]],3)="Ore",1,0))</f>
        <v/>
      </c>
      <c r="N3469" s="59">
        <f>IF(OR(tblMovement[[#This Row],[Tonnes_t]]="",tblMovement[[#This Row],[Grade_gpt]]=""),0,tblMovement[[#This Row],[Tonnes_t]]*tblMovement[[#This Row],[Grade_gpt]]/cfg_TroyOz)</f>
        <v/>
      </c>
      <c r="O3469" s="59">
        <f>IF(tblMovement[[#This Row],[Is_Ore]]=1,tblMovement[[#This Row],[Contained_oz]],0)</f>
        <v/>
      </c>
    </row>
    <row r="3470">
      <c r="A3470" s="54" t="n"/>
      <c r="B3470" s="61" t="n"/>
      <c r="C3470" s="61" t="n"/>
      <c r="D3470" s="61" t="n"/>
      <c r="E3470" s="61" t="n"/>
      <c r="F3470" s="55" t="n"/>
      <c r="G3470" s="56" t="n"/>
      <c r="H3470" s="55" t="n"/>
      <c r="I3470" s="62" t="n"/>
      <c r="J3470" s="58" t="n"/>
      <c r="K3470" s="63">
        <f>IF(tblMovement[[#This Row],[Source]]="","",IFERROR(INDEX(tblSources[Type],MATCH(tblMovement[[#This Row],[Source]],tblSources[Source],0)),"?"))</f>
        <v/>
      </c>
      <c r="L3470" s="63">
        <f>IF(tblMovement[[#This Row],[Destination]]="","",IFERROR(INDEX(tblDestinations[Type],MATCH(tblMovement[[#This Row],[Destination]],tblDestinations[Destination],0)),"?"))</f>
        <v/>
      </c>
      <c r="M3470" s="64">
        <f>IF(tblMovement[[#This Row],[Material]]="","",IF(LEFT(tblMovement[[#This Row],[Material]],3)="Ore",1,0))</f>
        <v/>
      </c>
      <c r="N3470" s="59">
        <f>IF(OR(tblMovement[[#This Row],[Tonnes_t]]="",tblMovement[[#This Row],[Grade_gpt]]=""),0,tblMovement[[#This Row],[Tonnes_t]]*tblMovement[[#This Row],[Grade_gpt]]/cfg_TroyOz)</f>
        <v/>
      </c>
      <c r="O3470" s="59">
        <f>IF(tblMovement[[#This Row],[Is_Ore]]=1,tblMovement[[#This Row],[Contained_oz]],0)</f>
        <v/>
      </c>
    </row>
    <row r="3471">
      <c r="A3471" s="54" t="n"/>
      <c r="B3471" s="61" t="n"/>
      <c r="C3471" s="61" t="n"/>
      <c r="D3471" s="61" t="n"/>
      <c r="E3471" s="61" t="n"/>
      <c r="F3471" s="55" t="n"/>
      <c r="G3471" s="56" t="n"/>
      <c r="H3471" s="55" t="n"/>
      <c r="I3471" s="62" t="n"/>
      <c r="J3471" s="58" t="n"/>
      <c r="K3471" s="63">
        <f>IF(tblMovement[[#This Row],[Source]]="","",IFERROR(INDEX(tblSources[Type],MATCH(tblMovement[[#This Row],[Source]],tblSources[Source],0)),"?"))</f>
        <v/>
      </c>
      <c r="L3471" s="63">
        <f>IF(tblMovement[[#This Row],[Destination]]="","",IFERROR(INDEX(tblDestinations[Type],MATCH(tblMovement[[#This Row],[Destination]],tblDestinations[Destination],0)),"?"))</f>
        <v/>
      </c>
      <c r="M3471" s="64">
        <f>IF(tblMovement[[#This Row],[Material]]="","",IF(LEFT(tblMovement[[#This Row],[Material]],3)="Ore",1,0))</f>
        <v/>
      </c>
      <c r="N3471" s="59">
        <f>IF(OR(tblMovement[[#This Row],[Tonnes_t]]="",tblMovement[[#This Row],[Grade_gpt]]=""),0,tblMovement[[#This Row],[Tonnes_t]]*tblMovement[[#This Row],[Grade_gpt]]/cfg_TroyOz)</f>
        <v/>
      </c>
      <c r="O3471" s="59">
        <f>IF(tblMovement[[#This Row],[Is_Ore]]=1,tblMovement[[#This Row],[Contained_oz]],0)</f>
        <v/>
      </c>
    </row>
    <row r="3472">
      <c r="A3472" s="54" t="n"/>
      <c r="B3472" s="61" t="n"/>
      <c r="C3472" s="61" t="n"/>
      <c r="D3472" s="61" t="n"/>
      <c r="E3472" s="61" t="n"/>
      <c r="F3472" s="55" t="n"/>
      <c r="G3472" s="56" t="n"/>
      <c r="H3472" s="55" t="n"/>
      <c r="I3472" s="62" t="n"/>
      <c r="J3472" s="58" t="n"/>
      <c r="K3472" s="63">
        <f>IF(tblMovement[[#This Row],[Source]]="","",IFERROR(INDEX(tblSources[Type],MATCH(tblMovement[[#This Row],[Source]],tblSources[Source],0)),"?"))</f>
        <v/>
      </c>
      <c r="L3472" s="63">
        <f>IF(tblMovement[[#This Row],[Destination]]="","",IFERROR(INDEX(tblDestinations[Type],MATCH(tblMovement[[#This Row],[Destination]],tblDestinations[Destination],0)),"?"))</f>
        <v/>
      </c>
      <c r="M3472" s="64">
        <f>IF(tblMovement[[#This Row],[Material]]="","",IF(LEFT(tblMovement[[#This Row],[Material]],3)="Ore",1,0))</f>
        <v/>
      </c>
      <c r="N3472" s="59">
        <f>IF(OR(tblMovement[[#This Row],[Tonnes_t]]="",tblMovement[[#This Row],[Grade_gpt]]=""),0,tblMovement[[#This Row],[Tonnes_t]]*tblMovement[[#This Row],[Grade_gpt]]/cfg_TroyOz)</f>
        <v/>
      </c>
      <c r="O3472" s="59">
        <f>IF(tblMovement[[#This Row],[Is_Ore]]=1,tblMovement[[#This Row],[Contained_oz]],0)</f>
        <v/>
      </c>
    </row>
    <row r="3473">
      <c r="A3473" s="54" t="n"/>
      <c r="B3473" s="61" t="n"/>
      <c r="C3473" s="61" t="n"/>
      <c r="D3473" s="61" t="n"/>
      <c r="E3473" s="61" t="n"/>
      <c r="F3473" s="55" t="n"/>
      <c r="G3473" s="56" t="n"/>
      <c r="H3473" s="55" t="n"/>
      <c r="I3473" s="62" t="n"/>
      <c r="J3473" s="58" t="n"/>
      <c r="K3473" s="63">
        <f>IF(tblMovement[[#This Row],[Source]]="","",IFERROR(INDEX(tblSources[Type],MATCH(tblMovement[[#This Row],[Source]],tblSources[Source],0)),"?"))</f>
        <v/>
      </c>
      <c r="L3473" s="63">
        <f>IF(tblMovement[[#This Row],[Destination]]="","",IFERROR(INDEX(tblDestinations[Type],MATCH(tblMovement[[#This Row],[Destination]],tblDestinations[Destination],0)),"?"))</f>
        <v/>
      </c>
      <c r="M3473" s="64">
        <f>IF(tblMovement[[#This Row],[Material]]="","",IF(LEFT(tblMovement[[#This Row],[Material]],3)="Ore",1,0))</f>
        <v/>
      </c>
      <c r="N3473" s="59">
        <f>IF(OR(tblMovement[[#This Row],[Tonnes_t]]="",tblMovement[[#This Row],[Grade_gpt]]=""),0,tblMovement[[#This Row],[Tonnes_t]]*tblMovement[[#This Row],[Grade_gpt]]/cfg_TroyOz)</f>
        <v/>
      </c>
      <c r="O3473" s="59">
        <f>IF(tblMovement[[#This Row],[Is_Ore]]=1,tblMovement[[#This Row],[Contained_oz]],0)</f>
        <v/>
      </c>
    </row>
    <row r="3474">
      <c r="A3474" s="54" t="n"/>
      <c r="B3474" s="61" t="n"/>
      <c r="C3474" s="61" t="n"/>
      <c r="D3474" s="61" t="n"/>
      <c r="E3474" s="61" t="n"/>
      <c r="F3474" s="55" t="n"/>
      <c r="G3474" s="56" t="n"/>
      <c r="H3474" s="55" t="n"/>
      <c r="I3474" s="62" t="n"/>
      <c r="J3474" s="58" t="n"/>
      <c r="K3474" s="63">
        <f>IF(tblMovement[[#This Row],[Source]]="","",IFERROR(INDEX(tblSources[Type],MATCH(tblMovement[[#This Row],[Source]],tblSources[Source],0)),"?"))</f>
        <v/>
      </c>
      <c r="L3474" s="63">
        <f>IF(tblMovement[[#This Row],[Destination]]="","",IFERROR(INDEX(tblDestinations[Type],MATCH(tblMovement[[#This Row],[Destination]],tblDestinations[Destination],0)),"?"))</f>
        <v/>
      </c>
      <c r="M3474" s="64">
        <f>IF(tblMovement[[#This Row],[Material]]="","",IF(LEFT(tblMovement[[#This Row],[Material]],3)="Ore",1,0))</f>
        <v/>
      </c>
      <c r="N3474" s="59">
        <f>IF(OR(tblMovement[[#This Row],[Tonnes_t]]="",tblMovement[[#This Row],[Grade_gpt]]=""),0,tblMovement[[#This Row],[Tonnes_t]]*tblMovement[[#This Row],[Grade_gpt]]/cfg_TroyOz)</f>
        <v/>
      </c>
      <c r="O3474" s="59">
        <f>IF(tblMovement[[#This Row],[Is_Ore]]=1,tblMovement[[#This Row],[Contained_oz]],0)</f>
        <v/>
      </c>
    </row>
    <row r="3475">
      <c r="A3475" s="54" t="n"/>
      <c r="B3475" s="61" t="n"/>
      <c r="C3475" s="61" t="n"/>
      <c r="D3475" s="61" t="n"/>
      <c r="E3475" s="61" t="n"/>
      <c r="F3475" s="55" t="n"/>
      <c r="G3475" s="56" t="n"/>
      <c r="H3475" s="55" t="n"/>
      <c r="I3475" s="62" t="n"/>
      <c r="J3475" s="58" t="n"/>
      <c r="K3475" s="63">
        <f>IF(tblMovement[[#This Row],[Source]]="","",IFERROR(INDEX(tblSources[Type],MATCH(tblMovement[[#This Row],[Source]],tblSources[Source],0)),"?"))</f>
        <v/>
      </c>
      <c r="L3475" s="63">
        <f>IF(tblMovement[[#This Row],[Destination]]="","",IFERROR(INDEX(tblDestinations[Type],MATCH(tblMovement[[#This Row],[Destination]],tblDestinations[Destination],0)),"?"))</f>
        <v/>
      </c>
      <c r="M3475" s="64">
        <f>IF(tblMovement[[#This Row],[Material]]="","",IF(LEFT(tblMovement[[#This Row],[Material]],3)="Ore",1,0))</f>
        <v/>
      </c>
      <c r="N3475" s="59">
        <f>IF(OR(tblMovement[[#This Row],[Tonnes_t]]="",tblMovement[[#This Row],[Grade_gpt]]=""),0,tblMovement[[#This Row],[Tonnes_t]]*tblMovement[[#This Row],[Grade_gpt]]/cfg_TroyOz)</f>
        <v/>
      </c>
      <c r="O3475" s="59">
        <f>IF(tblMovement[[#This Row],[Is_Ore]]=1,tblMovement[[#This Row],[Contained_oz]],0)</f>
        <v/>
      </c>
    </row>
    <row r="3476">
      <c r="A3476" s="54" t="n"/>
      <c r="B3476" s="61" t="n"/>
      <c r="C3476" s="61" t="n"/>
      <c r="D3476" s="61" t="n"/>
      <c r="E3476" s="61" t="n"/>
      <c r="F3476" s="55" t="n"/>
      <c r="G3476" s="56" t="n"/>
      <c r="H3476" s="55" t="n"/>
      <c r="I3476" s="62" t="n"/>
      <c r="J3476" s="58" t="n"/>
      <c r="K3476" s="63">
        <f>IF(tblMovement[[#This Row],[Source]]="","",IFERROR(INDEX(tblSources[Type],MATCH(tblMovement[[#This Row],[Source]],tblSources[Source],0)),"?"))</f>
        <v/>
      </c>
      <c r="L3476" s="63">
        <f>IF(tblMovement[[#This Row],[Destination]]="","",IFERROR(INDEX(tblDestinations[Type],MATCH(tblMovement[[#This Row],[Destination]],tblDestinations[Destination],0)),"?"))</f>
        <v/>
      </c>
      <c r="M3476" s="64">
        <f>IF(tblMovement[[#This Row],[Material]]="","",IF(LEFT(tblMovement[[#This Row],[Material]],3)="Ore",1,0))</f>
        <v/>
      </c>
      <c r="N3476" s="59">
        <f>IF(OR(tblMovement[[#This Row],[Tonnes_t]]="",tblMovement[[#This Row],[Grade_gpt]]=""),0,tblMovement[[#This Row],[Tonnes_t]]*tblMovement[[#This Row],[Grade_gpt]]/cfg_TroyOz)</f>
        <v/>
      </c>
      <c r="O3476" s="59">
        <f>IF(tblMovement[[#This Row],[Is_Ore]]=1,tblMovement[[#This Row],[Contained_oz]],0)</f>
        <v/>
      </c>
    </row>
    <row r="3477">
      <c r="A3477" s="54" t="n"/>
      <c r="B3477" s="61" t="n"/>
      <c r="C3477" s="61" t="n"/>
      <c r="D3477" s="61" t="n"/>
      <c r="E3477" s="61" t="n"/>
      <c r="F3477" s="55" t="n"/>
      <c r="G3477" s="56" t="n"/>
      <c r="H3477" s="55" t="n"/>
      <c r="I3477" s="62" t="n"/>
      <c r="J3477" s="58" t="n"/>
      <c r="K3477" s="63">
        <f>IF(tblMovement[[#This Row],[Source]]="","",IFERROR(INDEX(tblSources[Type],MATCH(tblMovement[[#This Row],[Source]],tblSources[Source],0)),"?"))</f>
        <v/>
      </c>
      <c r="L3477" s="63">
        <f>IF(tblMovement[[#This Row],[Destination]]="","",IFERROR(INDEX(tblDestinations[Type],MATCH(tblMovement[[#This Row],[Destination]],tblDestinations[Destination],0)),"?"))</f>
        <v/>
      </c>
      <c r="M3477" s="64">
        <f>IF(tblMovement[[#This Row],[Material]]="","",IF(LEFT(tblMovement[[#This Row],[Material]],3)="Ore",1,0))</f>
        <v/>
      </c>
      <c r="N3477" s="59">
        <f>IF(OR(tblMovement[[#This Row],[Tonnes_t]]="",tblMovement[[#This Row],[Grade_gpt]]=""),0,tblMovement[[#This Row],[Tonnes_t]]*tblMovement[[#This Row],[Grade_gpt]]/cfg_TroyOz)</f>
        <v/>
      </c>
      <c r="O3477" s="59">
        <f>IF(tblMovement[[#This Row],[Is_Ore]]=1,tblMovement[[#This Row],[Contained_oz]],0)</f>
        <v/>
      </c>
    </row>
    <row r="3478">
      <c r="A3478" s="54" t="n"/>
      <c r="B3478" s="61" t="n"/>
      <c r="C3478" s="61" t="n"/>
      <c r="D3478" s="61" t="n"/>
      <c r="E3478" s="61" t="n"/>
      <c r="F3478" s="55" t="n"/>
      <c r="G3478" s="56" t="n"/>
      <c r="H3478" s="55" t="n"/>
      <c r="I3478" s="62" t="n"/>
      <c r="J3478" s="58" t="n"/>
      <c r="K3478" s="63">
        <f>IF(tblMovement[[#This Row],[Source]]="","",IFERROR(INDEX(tblSources[Type],MATCH(tblMovement[[#This Row],[Source]],tblSources[Source],0)),"?"))</f>
        <v/>
      </c>
      <c r="L3478" s="63">
        <f>IF(tblMovement[[#This Row],[Destination]]="","",IFERROR(INDEX(tblDestinations[Type],MATCH(tblMovement[[#This Row],[Destination]],tblDestinations[Destination],0)),"?"))</f>
        <v/>
      </c>
      <c r="M3478" s="64">
        <f>IF(tblMovement[[#This Row],[Material]]="","",IF(LEFT(tblMovement[[#This Row],[Material]],3)="Ore",1,0))</f>
        <v/>
      </c>
      <c r="N3478" s="59">
        <f>IF(OR(tblMovement[[#This Row],[Tonnes_t]]="",tblMovement[[#This Row],[Grade_gpt]]=""),0,tblMovement[[#This Row],[Tonnes_t]]*tblMovement[[#This Row],[Grade_gpt]]/cfg_TroyOz)</f>
        <v/>
      </c>
      <c r="O3478" s="59">
        <f>IF(tblMovement[[#This Row],[Is_Ore]]=1,tblMovement[[#This Row],[Contained_oz]],0)</f>
        <v/>
      </c>
    </row>
    <row r="3479">
      <c r="A3479" s="54" t="n"/>
      <c r="B3479" s="61" t="n"/>
      <c r="C3479" s="61" t="n"/>
      <c r="D3479" s="61" t="n"/>
      <c r="E3479" s="61" t="n"/>
      <c r="F3479" s="55" t="n"/>
      <c r="G3479" s="56" t="n"/>
      <c r="H3479" s="55" t="n"/>
      <c r="I3479" s="62" t="n"/>
      <c r="J3479" s="58" t="n"/>
      <c r="K3479" s="63">
        <f>IF(tblMovement[[#This Row],[Source]]="","",IFERROR(INDEX(tblSources[Type],MATCH(tblMovement[[#This Row],[Source]],tblSources[Source],0)),"?"))</f>
        <v/>
      </c>
      <c r="L3479" s="63">
        <f>IF(tblMovement[[#This Row],[Destination]]="","",IFERROR(INDEX(tblDestinations[Type],MATCH(tblMovement[[#This Row],[Destination]],tblDestinations[Destination],0)),"?"))</f>
        <v/>
      </c>
      <c r="M3479" s="64">
        <f>IF(tblMovement[[#This Row],[Material]]="","",IF(LEFT(tblMovement[[#This Row],[Material]],3)="Ore",1,0))</f>
        <v/>
      </c>
      <c r="N3479" s="59">
        <f>IF(OR(tblMovement[[#This Row],[Tonnes_t]]="",tblMovement[[#This Row],[Grade_gpt]]=""),0,tblMovement[[#This Row],[Tonnes_t]]*tblMovement[[#This Row],[Grade_gpt]]/cfg_TroyOz)</f>
        <v/>
      </c>
      <c r="O3479" s="59">
        <f>IF(tblMovement[[#This Row],[Is_Ore]]=1,tblMovement[[#This Row],[Contained_oz]],0)</f>
        <v/>
      </c>
    </row>
    <row r="3480">
      <c r="A3480" s="54" t="n"/>
      <c r="B3480" s="61" t="n"/>
      <c r="C3480" s="61" t="n"/>
      <c r="D3480" s="61" t="n"/>
      <c r="E3480" s="61" t="n"/>
      <c r="F3480" s="55" t="n"/>
      <c r="G3480" s="56" t="n"/>
      <c r="H3480" s="55" t="n"/>
      <c r="I3480" s="62" t="n"/>
      <c r="J3480" s="58" t="n"/>
      <c r="K3480" s="63">
        <f>IF(tblMovement[[#This Row],[Source]]="","",IFERROR(INDEX(tblSources[Type],MATCH(tblMovement[[#This Row],[Source]],tblSources[Source],0)),"?"))</f>
        <v/>
      </c>
      <c r="L3480" s="63">
        <f>IF(tblMovement[[#This Row],[Destination]]="","",IFERROR(INDEX(tblDestinations[Type],MATCH(tblMovement[[#This Row],[Destination]],tblDestinations[Destination],0)),"?"))</f>
        <v/>
      </c>
      <c r="M3480" s="64">
        <f>IF(tblMovement[[#This Row],[Material]]="","",IF(LEFT(tblMovement[[#This Row],[Material]],3)="Ore",1,0))</f>
        <v/>
      </c>
      <c r="N3480" s="59">
        <f>IF(OR(tblMovement[[#This Row],[Tonnes_t]]="",tblMovement[[#This Row],[Grade_gpt]]=""),0,tblMovement[[#This Row],[Tonnes_t]]*tblMovement[[#This Row],[Grade_gpt]]/cfg_TroyOz)</f>
        <v/>
      </c>
      <c r="O3480" s="59">
        <f>IF(tblMovement[[#This Row],[Is_Ore]]=1,tblMovement[[#This Row],[Contained_oz]],0)</f>
        <v/>
      </c>
    </row>
    <row r="3481">
      <c r="A3481" s="54" t="n"/>
      <c r="B3481" s="61" t="n"/>
      <c r="C3481" s="61" t="n"/>
      <c r="D3481" s="61" t="n"/>
      <c r="E3481" s="61" t="n"/>
      <c r="F3481" s="55" t="n"/>
      <c r="G3481" s="56" t="n"/>
      <c r="H3481" s="55" t="n"/>
      <c r="I3481" s="62" t="n"/>
      <c r="J3481" s="58" t="n"/>
      <c r="K3481" s="63">
        <f>IF(tblMovement[[#This Row],[Source]]="","",IFERROR(INDEX(tblSources[Type],MATCH(tblMovement[[#This Row],[Source]],tblSources[Source],0)),"?"))</f>
        <v/>
      </c>
      <c r="L3481" s="63">
        <f>IF(tblMovement[[#This Row],[Destination]]="","",IFERROR(INDEX(tblDestinations[Type],MATCH(tblMovement[[#This Row],[Destination]],tblDestinations[Destination],0)),"?"))</f>
        <v/>
      </c>
      <c r="M3481" s="64">
        <f>IF(tblMovement[[#This Row],[Material]]="","",IF(LEFT(tblMovement[[#This Row],[Material]],3)="Ore",1,0))</f>
        <v/>
      </c>
      <c r="N3481" s="59">
        <f>IF(OR(tblMovement[[#This Row],[Tonnes_t]]="",tblMovement[[#This Row],[Grade_gpt]]=""),0,tblMovement[[#This Row],[Tonnes_t]]*tblMovement[[#This Row],[Grade_gpt]]/cfg_TroyOz)</f>
        <v/>
      </c>
      <c r="O3481" s="59">
        <f>IF(tblMovement[[#This Row],[Is_Ore]]=1,tblMovement[[#This Row],[Contained_oz]],0)</f>
        <v/>
      </c>
    </row>
    <row r="3482">
      <c r="A3482" s="54" t="n"/>
      <c r="B3482" s="61" t="n"/>
      <c r="C3482" s="61" t="n"/>
      <c r="D3482" s="61" t="n"/>
      <c r="E3482" s="61" t="n"/>
      <c r="F3482" s="55" t="n"/>
      <c r="G3482" s="56" t="n"/>
      <c r="H3482" s="55" t="n"/>
      <c r="I3482" s="62" t="n"/>
      <c r="J3482" s="58" t="n"/>
      <c r="K3482" s="63">
        <f>IF(tblMovement[[#This Row],[Source]]="","",IFERROR(INDEX(tblSources[Type],MATCH(tblMovement[[#This Row],[Source]],tblSources[Source],0)),"?"))</f>
        <v/>
      </c>
      <c r="L3482" s="63">
        <f>IF(tblMovement[[#This Row],[Destination]]="","",IFERROR(INDEX(tblDestinations[Type],MATCH(tblMovement[[#This Row],[Destination]],tblDestinations[Destination],0)),"?"))</f>
        <v/>
      </c>
      <c r="M3482" s="64">
        <f>IF(tblMovement[[#This Row],[Material]]="","",IF(LEFT(tblMovement[[#This Row],[Material]],3)="Ore",1,0))</f>
        <v/>
      </c>
      <c r="N3482" s="59">
        <f>IF(OR(tblMovement[[#This Row],[Tonnes_t]]="",tblMovement[[#This Row],[Grade_gpt]]=""),0,tblMovement[[#This Row],[Tonnes_t]]*tblMovement[[#This Row],[Grade_gpt]]/cfg_TroyOz)</f>
        <v/>
      </c>
      <c r="O3482" s="59">
        <f>IF(tblMovement[[#This Row],[Is_Ore]]=1,tblMovement[[#This Row],[Contained_oz]],0)</f>
        <v/>
      </c>
    </row>
    <row r="3483">
      <c r="A3483" s="54" t="n"/>
      <c r="B3483" s="61" t="n"/>
      <c r="C3483" s="61" t="n"/>
      <c r="D3483" s="61" t="n"/>
      <c r="E3483" s="61" t="n"/>
      <c r="F3483" s="55" t="n"/>
      <c r="G3483" s="56" t="n"/>
      <c r="H3483" s="55" t="n"/>
      <c r="I3483" s="62" t="n"/>
      <c r="J3483" s="58" t="n"/>
      <c r="K3483" s="63">
        <f>IF(tblMovement[[#This Row],[Source]]="","",IFERROR(INDEX(tblSources[Type],MATCH(tblMovement[[#This Row],[Source]],tblSources[Source],0)),"?"))</f>
        <v/>
      </c>
      <c r="L3483" s="63">
        <f>IF(tblMovement[[#This Row],[Destination]]="","",IFERROR(INDEX(tblDestinations[Type],MATCH(tblMovement[[#This Row],[Destination]],tblDestinations[Destination],0)),"?"))</f>
        <v/>
      </c>
      <c r="M3483" s="64">
        <f>IF(tblMovement[[#This Row],[Material]]="","",IF(LEFT(tblMovement[[#This Row],[Material]],3)="Ore",1,0))</f>
        <v/>
      </c>
      <c r="N3483" s="59">
        <f>IF(OR(tblMovement[[#This Row],[Tonnes_t]]="",tblMovement[[#This Row],[Grade_gpt]]=""),0,tblMovement[[#This Row],[Tonnes_t]]*tblMovement[[#This Row],[Grade_gpt]]/cfg_TroyOz)</f>
        <v/>
      </c>
      <c r="O3483" s="59">
        <f>IF(tblMovement[[#This Row],[Is_Ore]]=1,tblMovement[[#This Row],[Contained_oz]],0)</f>
        <v/>
      </c>
    </row>
    <row r="3484">
      <c r="A3484" s="54" t="n"/>
      <c r="B3484" s="61" t="n"/>
      <c r="C3484" s="61" t="n"/>
      <c r="D3484" s="61" t="n"/>
      <c r="E3484" s="61" t="n"/>
      <c r="F3484" s="55" t="n"/>
      <c r="G3484" s="56" t="n"/>
      <c r="H3484" s="55" t="n"/>
      <c r="I3484" s="62" t="n"/>
      <c r="J3484" s="58" t="n"/>
      <c r="K3484" s="63">
        <f>IF(tblMovement[[#This Row],[Source]]="","",IFERROR(INDEX(tblSources[Type],MATCH(tblMovement[[#This Row],[Source]],tblSources[Source],0)),"?"))</f>
        <v/>
      </c>
      <c r="L3484" s="63">
        <f>IF(tblMovement[[#This Row],[Destination]]="","",IFERROR(INDEX(tblDestinations[Type],MATCH(tblMovement[[#This Row],[Destination]],tblDestinations[Destination],0)),"?"))</f>
        <v/>
      </c>
      <c r="M3484" s="64">
        <f>IF(tblMovement[[#This Row],[Material]]="","",IF(LEFT(tblMovement[[#This Row],[Material]],3)="Ore",1,0))</f>
        <v/>
      </c>
      <c r="N3484" s="59">
        <f>IF(OR(tblMovement[[#This Row],[Tonnes_t]]="",tblMovement[[#This Row],[Grade_gpt]]=""),0,tblMovement[[#This Row],[Tonnes_t]]*tblMovement[[#This Row],[Grade_gpt]]/cfg_TroyOz)</f>
        <v/>
      </c>
      <c r="O3484" s="59">
        <f>IF(tblMovement[[#This Row],[Is_Ore]]=1,tblMovement[[#This Row],[Contained_oz]],0)</f>
        <v/>
      </c>
    </row>
    <row r="3485">
      <c r="A3485" s="54" t="n"/>
      <c r="B3485" s="61" t="n"/>
      <c r="C3485" s="61" t="n"/>
      <c r="D3485" s="61" t="n"/>
      <c r="E3485" s="61" t="n"/>
      <c r="F3485" s="55" t="n"/>
      <c r="G3485" s="56" t="n"/>
      <c r="H3485" s="55" t="n"/>
      <c r="I3485" s="62" t="n"/>
      <c r="J3485" s="58" t="n"/>
      <c r="K3485" s="63">
        <f>IF(tblMovement[[#This Row],[Source]]="","",IFERROR(INDEX(tblSources[Type],MATCH(tblMovement[[#This Row],[Source]],tblSources[Source],0)),"?"))</f>
        <v/>
      </c>
      <c r="L3485" s="63">
        <f>IF(tblMovement[[#This Row],[Destination]]="","",IFERROR(INDEX(tblDestinations[Type],MATCH(tblMovement[[#This Row],[Destination]],tblDestinations[Destination],0)),"?"))</f>
        <v/>
      </c>
      <c r="M3485" s="64">
        <f>IF(tblMovement[[#This Row],[Material]]="","",IF(LEFT(tblMovement[[#This Row],[Material]],3)="Ore",1,0))</f>
        <v/>
      </c>
      <c r="N3485" s="59">
        <f>IF(OR(tblMovement[[#This Row],[Tonnes_t]]="",tblMovement[[#This Row],[Grade_gpt]]=""),0,tblMovement[[#This Row],[Tonnes_t]]*tblMovement[[#This Row],[Grade_gpt]]/cfg_TroyOz)</f>
        <v/>
      </c>
      <c r="O3485" s="59">
        <f>IF(tblMovement[[#This Row],[Is_Ore]]=1,tblMovement[[#This Row],[Contained_oz]],0)</f>
        <v/>
      </c>
    </row>
    <row r="3486">
      <c r="A3486" s="54" t="n"/>
      <c r="B3486" s="61" t="n"/>
      <c r="C3486" s="61" t="n"/>
      <c r="D3486" s="61" t="n"/>
      <c r="E3486" s="61" t="n"/>
      <c r="F3486" s="55" t="n"/>
      <c r="G3486" s="56" t="n"/>
      <c r="H3486" s="55" t="n"/>
      <c r="I3486" s="62" t="n"/>
      <c r="J3486" s="58" t="n"/>
      <c r="K3486" s="63">
        <f>IF(tblMovement[[#This Row],[Source]]="","",IFERROR(INDEX(tblSources[Type],MATCH(tblMovement[[#This Row],[Source]],tblSources[Source],0)),"?"))</f>
        <v/>
      </c>
      <c r="L3486" s="63">
        <f>IF(tblMovement[[#This Row],[Destination]]="","",IFERROR(INDEX(tblDestinations[Type],MATCH(tblMovement[[#This Row],[Destination]],tblDestinations[Destination],0)),"?"))</f>
        <v/>
      </c>
      <c r="M3486" s="64">
        <f>IF(tblMovement[[#This Row],[Material]]="","",IF(LEFT(tblMovement[[#This Row],[Material]],3)="Ore",1,0))</f>
        <v/>
      </c>
      <c r="N3486" s="59">
        <f>IF(OR(tblMovement[[#This Row],[Tonnes_t]]="",tblMovement[[#This Row],[Grade_gpt]]=""),0,tblMovement[[#This Row],[Tonnes_t]]*tblMovement[[#This Row],[Grade_gpt]]/cfg_TroyOz)</f>
        <v/>
      </c>
      <c r="O3486" s="59">
        <f>IF(tblMovement[[#This Row],[Is_Ore]]=1,tblMovement[[#This Row],[Contained_oz]],0)</f>
        <v/>
      </c>
    </row>
    <row r="3487">
      <c r="A3487" s="54" t="n"/>
      <c r="B3487" s="61" t="n"/>
      <c r="C3487" s="61" t="n"/>
      <c r="D3487" s="61" t="n"/>
      <c r="E3487" s="61" t="n"/>
      <c r="F3487" s="55" t="n"/>
      <c r="G3487" s="56" t="n"/>
      <c r="H3487" s="55" t="n"/>
      <c r="I3487" s="62" t="n"/>
      <c r="J3487" s="58" t="n"/>
      <c r="K3487" s="63">
        <f>IF(tblMovement[[#This Row],[Source]]="","",IFERROR(INDEX(tblSources[Type],MATCH(tblMovement[[#This Row],[Source]],tblSources[Source],0)),"?"))</f>
        <v/>
      </c>
      <c r="L3487" s="63">
        <f>IF(tblMovement[[#This Row],[Destination]]="","",IFERROR(INDEX(tblDestinations[Type],MATCH(tblMovement[[#This Row],[Destination]],tblDestinations[Destination],0)),"?"))</f>
        <v/>
      </c>
      <c r="M3487" s="64">
        <f>IF(tblMovement[[#This Row],[Material]]="","",IF(LEFT(tblMovement[[#This Row],[Material]],3)="Ore",1,0))</f>
        <v/>
      </c>
      <c r="N3487" s="59">
        <f>IF(OR(tblMovement[[#This Row],[Tonnes_t]]="",tblMovement[[#This Row],[Grade_gpt]]=""),0,tblMovement[[#This Row],[Tonnes_t]]*tblMovement[[#This Row],[Grade_gpt]]/cfg_TroyOz)</f>
        <v/>
      </c>
      <c r="O3487" s="59">
        <f>IF(tblMovement[[#This Row],[Is_Ore]]=1,tblMovement[[#This Row],[Contained_oz]],0)</f>
        <v/>
      </c>
    </row>
    <row r="3488">
      <c r="A3488" s="54" t="n"/>
      <c r="B3488" s="61" t="n"/>
      <c r="C3488" s="61" t="n"/>
      <c r="D3488" s="61" t="n"/>
      <c r="E3488" s="61" t="n"/>
      <c r="F3488" s="55" t="n"/>
      <c r="G3488" s="56" t="n"/>
      <c r="H3488" s="55" t="n"/>
      <c r="I3488" s="62" t="n"/>
      <c r="J3488" s="58" t="n"/>
      <c r="K3488" s="63">
        <f>IF(tblMovement[[#This Row],[Source]]="","",IFERROR(INDEX(tblSources[Type],MATCH(tblMovement[[#This Row],[Source]],tblSources[Source],0)),"?"))</f>
        <v/>
      </c>
      <c r="L3488" s="63">
        <f>IF(tblMovement[[#This Row],[Destination]]="","",IFERROR(INDEX(tblDestinations[Type],MATCH(tblMovement[[#This Row],[Destination]],tblDestinations[Destination],0)),"?"))</f>
        <v/>
      </c>
      <c r="M3488" s="64">
        <f>IF(tblMovement[[#This Row],[Material]]="","",IF(LEFT(tblMovement[[#This Row],[Material]],3)="Ore",1,0))</f>
        <v/>
      </c>
      <c r="N3488" s="59">
        <f>IF(OR(tblMovement[[#This Row],[Tonnes_t]]="",tblMovement[[#This Row],[Grade_gpt]]=""),0,tblMovement[[#This Row],[Tonnes_t]]*tblMovement[[#This Row],[Grade_gpt]]/cfg_TroyOz)</f>
        <v/>
      </c>
      <c r="O3488" s="59">
        <f>IF(tblMovement[[#This Row],[Is_Ore]]=1,tblMovement[[#This Row],[Contained_oz]],0)</f>
        <v/>
      </c>
    </row>
    <row r="3489">
      <c r="A3489" s="54" t="n"/>
      <c r="B3489" s="61" t="n"/>
      <c r="C3489" s="61" t="n"/>
      <c r="D3489" s="61" t="n"/>
      <c r="E3489" s="61" t="n"/>
      <c r="F3489" s="55" t="n"/>
      <c r="G3489" s="56" t="n"/>
      <c r="H3489" s="55" t="n"/>
      <c r="I3489" s="62" t="n"/>
      <c r="J3489" s="58" t="n"/>
      <c r="K3489" s="63">
        <f>IF(tblMovement[[#This Row],[Source]]="","",IFERROR(INDEX(tblSources[Type],MATCH(tblMovement[[#This Row],[Source]],tblSources[Source],0)),"?"))</f>
        <v/>
      </c>
      <c r="L3489" s="63">
        <f>IF(tblMovement[[#This Row],[Destination]]="","",IFERROR(INDEX(tblDestinations[Type],MATCH(tblMovement[[#This Row],[Destination]],tblDestinations[Destination],0)),"?"))</f>
        <v/>
      </c>
      <c r="M3489" s="64">
        <f>IF(tblMovement[[#This Row],[Material]]="","",IF(LEFT(tblMovement[[#This Row],[Material]],3)="Ore",1,0))</f>
        <v/>
      </c>
      <c r="N3489" s="59">
        <f>IF(OR(tblMovement[[#This Row],[Tonnes_t]]="",tblMovement[[#This Row],[Grade_gpt]]=""),0,tblMovement[[#This Row],[Tonnes_t]]*tblMovement[[#This Row],[Grade_gpt]]/cfg_TroyOz)</f>
        <v/>
      </c>
      <c r="O3489" s="59">
        <f>IF(tblMovement[[#This Row],[Is_Ore]]=1,tblMovement[[#This Row],[Contained_oz]],0)</f>
        <v/>
      </c>
    </row>
    <row r="3490">
      <c r="A3490" s="54" t="n"/>
      <c r="B3490" s="61" t="n"/>
      <c r="C3490" s="61" t="n"/>
      <c r="D3490" s="61" t="n"/>
      <c r="E3490" s="61" t="n"/>
      <c r="F3490" s="55" t="n"/>
      <c r="G3490" s="56" t="n"/>
      <c r="H3490" s="55" t="n"/>
      <c r="I3490" s="62" t="n"/>
      <c r="J3490" s="58" t="n"/>
      <c r="K3490" s="63">
        <f>IF(tblMovement[[#This Row],[Source]]="","",IFERROR(INDEX(tblSources[Type],MATCH(tblMovement[[#This Row],[Source]],tblSources[Source],0)),"?"))</f>
        <v/>
      </c>
      <c r="L3490" s="63">
        <f>IF(tblMovement[[#This Row],[Destination]]="","",IFERROR(INDEX(tblDestinations[Type],MATCH(tblMovement[[#This Row],[Destination]],tblDestinations[Destination],0)),"?"))</f>
        <v/>
      </c>
      <c r="M3490" s="64">
        <f>IF(tblMovement[[#This Row],[Material]]="","",IF(LEFT(tblMovement[[#This Row],[Material]],3)="Ore",1,0))</f>
        <v/>
      </c>
      <c r="N3490" s="59">
        <f>IF(OR(tblMovement[[#This Row],[Tonnes_t]]="",tblMovement[[#This Row],[Grade_gpt]]=""),0,tblMovement[[#This Row],[Tonnes_t]]*tblMovement[[#This Row],[Grade_gpt]]/cfg_TroyOz)</f>
        <v/>
      </c>
      <c r="O3490" s="59">
        <f>IF(tblMovement[[#This Row],[Is_Ore]]=1,tblMovement[[#This Row],[Contained_oz]],0)</f>
        <v/>
      </c>
    </row>
    <row r="3491">
      <c r="A3491" s="54" t="n"/>
      <c r="B3491" s="61" t="n"/>
      <c r="C3491" s="61" t="n"/>
      <c r="D3491" s="61" t="n"/>
      <c r="E3491" s="61" t="n"/>
      <c r="F3491" s="55" t="n"/>
      <c r="G3491" s="56" t="n"/>
      <c r="H3491" s="55" t="n"/>
      <c r="I3491" s="62" t="n"/>
      <c r="J3491" s="58" t="n"/>
      <c r="K3491" s="63">
        <f>IF(tblMovement[[#This Row],[Source]]="","",IFERROR(INDEX(tblSources[Type],MATCH(tblMovement[[#This Row],[Source]],tblSources[Source],0)),"?"))</f>
        <v/>
      </c>
      <c r="L3491" s="63">
        <f>IF(tblMovement[[#This Row],[Destination]]="","",IFERROR(INDEX(tblDestinations[Type],MATCH(tblMovement[[#This Row],[Destination]],tblDestinations[Destination],0)),"?"))</f>
        <v/>
      </c>
      <c r="M3491" s="64">
        <f>IF(tblMovement[[#This Row],[Material]]="","",IF(LEFT(tblMovement[[#This Row],[Material]],3)="Ore",1,0))</f>
        <v/>
      </c>
      <c r="N3491" s="59">
        <f>IF(OR(tblMovement[[#This Row],[Tonnes_t]]="",tblMovement[[#This Row],[Grade_gpt]]=""),0,tblMovement[[#This Row],[Tonnes_t]]*tblMovement[[#This Row],[Grade_gpt]]/cfg_TroyOz)</f>
        <v/>
      </c>
      <c r="O3491" s="59">
        <f>IF(tblMovement[[#This Row],[Is_Ore]]=1,tblMovement[[#This Row],[Contained_oz]],0)</f>
        <v/>
      </c>
    </row>
    <row r="3492">
      <c r="A3492" s="54" t="n"/>
      <c r="B3492" s="61" t="n"/>
      <c r="C3492" s="61" t="n"/>
      <c r="D3492" s="61" t="n"/>
      <c r="E3492" s="61" t="n"/>
      <c r="F3492" s="55" t="n"/>
      <c r="G3492" s="56" t="n"/>
      <c r="H3492" s="55" t="n"/>
      <c r="I3492" s="62" t="n"/>
      <c r="J3492" s="58" t="n"/>
      <c r="K3492" s="63">
        <f>IF(tblMovement[[#This Row],[Source]]="","",IFERROR(INDEX(tblSources[Type],MATCH(tblMovement[[#This Row],[Source]],tblSources[Source],0)),"?"))</f>
        <v/>
      </c>
      <c r="L3492" s="63">
        <f>IF(tblMovement[[#This Row],[Destination]]="","",IFERROR(INDEX(tblDestinations[Type],MATCH(tblMovement[[#This Row],[Destination]],tblDestinations[Destination],0)),"?"))</f>
        <v/>
      </c>
      <c r="M3492" s="64">
        <f>IF(tblMovement[[#This Row],[Material]]="","",IF(LEFT(tblMovement[[#This Row],[Material]],3)="Ore",1,0))</f>
        <v/>
      </c>
      <c r="N3492" s="59">
        <f>IF(OR(tblMovement[[#This Row],[Tonnes_t]]="",tblMovement[[#This Row],[Grade_gpt]]=""),0,tblMovement[[#This Row],[Tonnes_t]]*tblMovement[[#This Row],[Grade_gpt]]/cfg_TroyOz)</f>
        <v/>
      </c>
      <c r="O3492" s="59">
        <f>IF(tblMovement[[#This Row],[Is_Ore]]=1,tblMovement[[#This Row],[Contained_oz]],0)</f>
        <v/>
      </c>
    </row>
    <row r="3493">
      <c r="A3493" s="54" t="n"/>
      <c r="B3493" s="61" t="n"/>
      <c r="C3493" s="61" t="n"/>
      <c r="D3493" s="61" t="n"/>
      <c r="E3493" s="61" t="n"/>
      <c r="F3493" s="55" t="n"/>
      <c r="G3493" s="56" t="n"/>
      <c r="H3493" s="55" t="n"/>
      <c r="I3493" s="62" t="n"/>
      <c r="J3493" s="58" t="n"/>
      <c r="K3493" s="63">
        <f>IF(tblMovement[[#This Row],[Source]]="","",IFERROR(INDEX(tblSources[Type],MATCH(tblMovement[[#This Row],[Source]],tblSources[Source],0)),"?"))</f>
        <v/>
      </c>
      <c r="L3493" s="63">
        <f>IF(tblMovement[[#This Row],[Destination]]="","",IFERROR(INDEX(tblDestinations[Type],MATCH(tblMovement[[#This Row],[Destination]],tblDestinations[Destination],0)),"?"))</f>
        <v/>
      </c>
      <c r="M3493" s="64">
        <f>IF(tblMovement[[#This Row],[Material]]="","",IF(LEFT(tblMovement[[#This Row],[Material]],3)="Ore",1,0))</f>
        <v/>
      </c>
      <c r="N3493" s="59">
        <f>IF(OR(tblMovement[[#This Row],[Tonnes_t]]="",tblMovement[[#This Row],[Grade_gpt]]=""),0,tblMovement[[#This Row],[Tonnes_t]]*tblMovement[[#This Row],[Grade_gpt]]/cfg_TroyOz)</f>
        <v/>
      </c>
      <c r="O3493" s="59">
        <f>IF(tblMovement[[#This Row],[Is_Ore]]=1,tblMovement[[#This Row],[Contained_oz]],0)</f>
        <v/>
      </c>
    </row>
    <row r="3494">
      <c r="A3494" s="54" t="n"/>
      <c r="B3494" s="61" t="n"/>
      <c r="C3494" s="61" t="n"/>
      <c r="D3494" s="61" t="n"/>
      <c r="E3494" s="61" t="n"/>
      <c r="F3494" s="55" t="n"/>
      <c r="G3494" s="56" t="n"/>
      <c r="H3494" s="55" t="n"/>
      <c r="I3494" s="62" t="n"/>
      <c r="J3494" s="58" t="n"/>
      <c r="K3494" s="63">
        <f>IF(tblMovement[[#This Row],[Source]]="","",IFERROR(INDEX(tblSources[Type],MATCH(tblMovement[[#This Row],[Source]],tblSources[Source],0)),"?"))</f>
        <v/>
      </c>
      <c r="L3494" s="63">
        <f>IF(tblMovement[[#This Row],[Destination]]="","",IFERROR(INDEX(tblDestinations[Type],MATCH(tblMovement[[#This Row],[Destination]],tblDestinations[Destination],0)),"?"))</f>
        <v/>
      </c>
      <c r="M3494" s="64">
        <f>IF(tblMovement[[#This Row],[Material]]="","",IF(LEFT(tblMovement[[#This Row],[Material]],3)="Ore",1,0))</f>
        <v/>
      </c>
      <c r="N3494" s="59">
        <f>IF(OR(tblMovement[[#This Row],[Tonnes_t]]="",tblMovement[[#This Row],[Grade_gpt]]=""),0,tblMovement[[#This Row],[Tonnes_t]]*tblMovement[[#This Row],[Grade_gpt]]/cfg_TroyOz)</f>
        <v/>
      </c>
      <c r="O3494" s="59">
        <f>IF(tblMovement[[#This Row],[Is_Ore]]=1,tblMovement[[#This Row],[Contained_oz]],0)</f>
        <v/>
      </c>
    </row>
    <row r="3495">
      <c r="A3495" s="54" t="n"/>
      <c r="B3495" s="61" t="n"/>
      <c r="C3495" s="61" t="n"/>
      <c r="D3495" s="61" t="n"/>
      <c r="E3495" s="61" t="n"/>
      <c r="F3495" s="55" t="n"/>
      <c r="G3495" s="56" t="n"/>
      <c r="H3495" s="55" t="n"/>
      <c r="I3495" s="62" t="n"/>
      <c r="J3495" s="58" t="n"/>
      <c r="K3495" s="63">
        <f>IF(tblMovement[[#This Row],[Source]]="","",IFERROR(INDEX(tblSources[Type],MATCH(tblMovement[[#This Row],[Source]],tblSources[Source],0)),"?"))</f>
        <v/>
      </c>
      <c r="L3495" s="63">
        <f>IF(tblMovement[[#This Row],[Destination]]="","",IFERROR(INDEX(tblDestinations[Type],MATCH(tblMovement[[#This Row],[Destination]],tblDestinations[Destination],0)),"?"))</f>
        <v/>
      </c>
      <c r="M3495" s="64">
        <f>IF(tblMovement[[#This Row],[Material]]="","",IF(LEFT(tblMovement[[#This Row],[Material]],3)="Ore",1,0))</f>
        <v/>
      </c>
      <c r="N3495" s="59">
        <f>IF(OR(tblMovement[[#This Row],[Tonnes_t]]="",tblMovement[[#This Row],[Grade_gpt]]=""),0,tblMovement[[#This Row],[Tonnes_t]]*tblMovement[[#This Row],[Grade_gpt]]/cfg_TroyOz)</f>
        <v/>
      </c>
      <c r="O3495" s="59">
        <f>IF(tblMovement[[#This Row],[Is_Ore]]=1,tblMovement[[#This Row],[Contained_oz]],0)</f>
        <v/>
      </c>
    </row>
    <row r="3496">
      <c r="A3496" s="54" t="n"/>
      <c r="B3496" s="61" t="n"/>
      <c r="C3496" s="61" t="n"/>
      <c r="D3496" s="61" t="n"/>
      <c r="E3496" s="61" t="n"/>
      <c r="F3496" s="55" t="n"/>
      <c r="G3496" s="56" t="n"/>
      <c r="H3496" s="55" t="n"/>
      <c r="I3496" s="62" t="n"/>
      <c r="J3496" s="58" t="n"/>
      <c r="K3496" s="63">
        <f>IF(tblMovement[[#This Row],[Source]]="","",IFERROR(INDEX(tblSources[Type],MATCH(tblMovement[[#This Row],[Source]],tblSources[Source],0)),"?"))</f>
        <v/>
      </c>
      <c r="L3496" s="63">
        <f>IF(tblMovement[[#This Row],[Destination]]="","",IFERROR(INDEX(tblDestinations[Type],MATCH(tblMovement[[#This Row],[Destination]],tblDestinations[Destination],0)),"?"))</f>
        <v/>
      </c>
      <c r="M3496" s="64">
        <f>IF(tblMovement[[#This Row],[Material]]="","",IF(LEFT(tblMovement[[#This Row],[Material]],3)="Ore",1,0))</f>
        <v/>
      </c>
      <c r="N3496" s="59">
        <f>IF(OR(tblMovement[[#This Row],[Tonnes_t]]="",tblMovement[[#This Row],[Grade_gpt]]=""),0,tblMovement[[#This Row],[Tonnes_t]]*tblMovement[[#This Row],[Grade_gpt]]/cfg_TroyOz)</f>
        <v/>
      </c>
      <c r="O3496" s="59">
        <f>IF(tblMovement[[#This Row],[Is_Ore]]=1,tblMovement[[#This Row],[Contained_oz]],0)</f>
        <v/>
      </c>
    </row>
    <row r="3497">
      <c r="A3497" s="54" t="n"/>
      <c r="B3497" s="61" t="n"/>
      <c r="C3497" s="61" t="n"/>
      <c r="D3497" s="61" t="n"/>
      <c r="E3497" s="61" t="n"/>
      <c r="F3497" s="55" t="n"/>
      <c r="G3497" s="56" t="n"/>
      <c r="H3497" s="55" t="n"/>
      <c r="I3497" s="62" t="n"/>
      <c r="J3497" s="58" t="n"/>
      <c r="K3497" s="63">
        <f>IF(tblMovement[[#This Row],[Source]]="","",IFERROR(INDEX(tblSources[Type],MATCH(tblMovement[[#This Row],[Source]],tblSources[Source],0)),"?"))</f>
        <v/>
      </c>
      <c r="L3497" s="63">
        <f>IF(tblMovement[[#This Row],[Destination]]="","",IFERROR(INDEX(tblDestinations[Type],MATCH(tblMovement[[#This Row],[Destination]],tblDestinations[Destination],0)),"?"))</f>
        <v/>
      </c>
      <c r="M3497" s="64">
        <f>IF(tblMovement[[#This Row],[Material]]="","",IF(LEFT(tblMovement[[#This Row],[Material]],3)="Ore",1,0))</f>
        <v/>
      </c>
      <c r="N3497" s="59">
        <f>IF(OR(tblMovement[[#This Row],[Tonnes_t]]="",tblMovement[[#This Row],[Grade_gpt]]=""),0,tblMovement[[#This Row],[Tonnes_t]]*tblMovement[[#This Row],[Grade_gpt]]/cfg_TroyOz)</f>
        <v/>
      </c>
      <c r="O3497" s="59">
        <f>IF(tblMovement[[#This Row],[Is_Ore]]=1,tblMovement[[#This Row],[Contained_oz]],0)</f>
        <v/>
      </c>
    </row>
    <row r="3498">
      <c r="A3498" s="54" t="n"/>
      <c r="B3498" s="61" t="n"/>
      <c r="C3498" s="61" t="n"/>
      <c r="D3498" s="61" t="n"/>
      <c r="E3498" s="61" t="n"/>
      <c r="F3498" s="55" t="n"/>
      <c r="G3498" s="56" t="n"/>
      <c r="H3498" s="55" t="n"/>
      <c r="I3498" s="62" t="n"/>
      <c r="J3498" s="58" t="n"/>
      <c r="K3498" s="63">
        <f>IF(tblMovement[[#This Row],[Source]]="","",IFERROR(INDEX(tblSources[Type],MATCH(tblMovement[[#This Row],[Source]],tblSources[Source],0)),"?"))</f>
        <v/>
      </c>
      <c r="L3498" s="63">
        <f>IF(tblMovement[[#This Row],[Destination]]="","",IFERROR(INDEX(tblDestinations[Type],MATCH(tblMovement[[#This Row],[Destination]],tblDestinations[Destination],0)),"?"))</f>
        <v/>
      </c>
      <c r="M3498" s="64">
        <f>IF(tblMovement[[#This Row],[Material]]="","",IF(LEFT(tblMovement[[#This Row],[Material]],3)="Ore",1,0))</f>
        <v/>
      </c>
      <c r="N3498" s="59">
        <f>IF(OR(tblMovement[[#This Row],[Tonnes_t]]="",tblMovement[[#This Row],[Grade_gpt]]=""),0,tblMovement[[#This Row],[Tonnes_t]]*tblMovement[[#This Row],[Grade_gpt]]/cfg_TroyOz)</f>
        <v/>
      </c>
      <c r="O3498" s="59">
        <f>IF(tblMovement[[#This Row],[Is_Ore]]=1,tblMovement[[#This Row],[Contained_oz]],0)</f>
        <v/>
      </c>
    </row>
    <row r="3499">
      <c r="A3499" s="54" t="n"/>
      <c r="B3499" s="61" t="n"/>
      <c r="C3499" s="61" t="n"/>
      <c r="D3499" s="61" t="n"/>
      <c r="E3499" s="61" t="n"/>
      <c r="F3499" s="55" t="n"/>
      <c r="G3499" s="56" t="n"/>
      <c r="H3499" s="55" t="n"/>
      <c r="I3499" s="62" t="n"/>
      <c r="J3499" s="58" t="n"/>
      <c r="K3499" s="63">
        <f>IF(tblMovement[[#This Row],[Source]]="","",IFERROR(INDEX(tblSources[Type],MATCH(tblMovement[[#This Row],[Source]],tblSources[Source],0)),"?"))</f>
        <v/>
      </c>
      <c r="L3499" s="63">
        <f>IF(tblMovement[[#This Row],[Destination]]="","",IFERROR(INDEX(tblDestinations[Type],MATCH(tblMovement[[#This Row],[Destination]],tblDestinations[Destination],0)),"?"))</f>
        <v/>
      </c>
      <c r="M3499" s="64">
        <f>IF(tblMovement[[#This Row],[Material]]="","",IF(LEFT(tblMovement[[#This Row],[Material]],3)="Ore",1,0))</f>
        <v/>
      </c>
      <c r="N3499" s="59">
        <f>IF(OR(tblMovement[[#This Row],[Tonnes_t]]="",tblMovement[[#This Row],[Grade_gpt]]=""),0,tblMovement[[#This Row],[Tonnes_t]]*tblMovement[[#This Row],[Grade_gpt]]/cfg_TroyOz)</f>
        <v/>
      </c>
      <c r="O3499" s="59">
        <f>IF(tblMovement[[#This Row],[Is_Ore]]=1,tblMovement[[#This Row],[Contained_oz]],0)</f>
        <v/>
      </c>
    </row>
    <row r="3500">
      <c r="A3500" s="54" t="n"/>
      <c r="B3500" s="61" t="n"/>
      <c r="C3500" s="61" t="n"/>
      <c r="D3500" s="61" t="n"/>
      <c r="E3500" s="61" t="n"/>
      <c r="F3500" s="55" t="n"/>
      <c r="G3500" s="56" t="n"/>
      <c r="H3500" s="55" t="n"/>
      <c r="I3500" s="62" t="n"/>
      <c r="J3500" s="58" t="n"/>
      <c r="K3500" s="63">
        <f>IF(tblMovement[[#This Row],[Source]]="","",IFERROR(INDEX(tblSources[Type],MATCH(tblMovement[[#This Row],[Source]],tblSources[Source],0)),"?"))</f>
        <v/>
      </c>
      <c r="L3500" s="63">
        <f>IF(tblMovement[[#This Row],[Destination]]="","",IFERROR(INDEX(tblDestinations[Type],MATCH(tblMovement[[#This Row],[Destination]],tblDestinations[Destination],0)),"?"))</f>
        <v/>
      </c>
      <c r="M3500" s="64">
        <f>IF(tblMovement[[#This Row],[Material]]="","",IF(LEFT(tblMovement[[#This Row],[Material]],3)="Ore",1,0))</f>
        <v/>
      </c>
      <c r="N3500" s="59">
        <f>IF(OR(tblMovement[[#This Row],[Tonnes_t]]="",tblMovement[[#This Row],[Grade_gpt]]=""),0,tblMovement[[#This Row],[Tonnes_t]]*tblMovement[[#This Row],[Grade_gpt]]/cfg_TroyOz)</f>
        <v/>
      </c>
      <c r="O3500" s="59">
        <f>IF(tblMovement[[#This Row],[Is_Ore]]=1,tblMovement[[#This Row],[Contained_oz]],0)</f>
        <v/>
      </c>
    </row>
    <row r="3501">
      <c r="A3501" s="54" t="n"/>
      <c r="B3501" s="61" t="n"/>
      <c r="C3501" s="61" t="n"/>
      <c r="D3501" s="61" t="n"/>
      <c r="E3501" s="61" t="n"/>
      <c r="F3501" s="55" t="n"/>
      <c r="G3501" s="56" t="n"/>
      <c r="H3501" s="55" t="n"/>
      <c r="I3501" s="62" t="n"/>
      <c r="J3501" s="58" t="n"/>
      <c r="K3501" s="63">
        <f>IF(tblMovement[[#This Row],[Source]]="","",IFERROR(INDEX(tblSources[Type],MATCH(tblMovement[[#This Row],[Source]],tblSources[Source],0)),"?"))</f>
        <v/>
      </c>
      <c r="L3501" s="63">
        <f>IF(tblMovement[[#This Row],[Destination]]="","",IFERROR(INDEX(tblDestinations[Type],MATCH(tblMovement[[#This Row],[Destination]],tblDestinations[Destination],0)),"?"))</f>
        <v/>
      </c>
      <c r="M3501" s="64">
        <f>IF(tblMovement[[#This Row],[Material]]="","",IF(LEFT(tblMovement[[#This Row],[Material]],3)="Ore",1,0))</f>
        <v/>
      </c>
      <c r="N3501" s="59">
        <f>IF(OR(tblMovement[[#This Row],[Tonnes_t]]="",tblMovement[[#This Row],[Grade_gpt]]=""),0,tblMovement[[#This Row],[Tonnes_t]]*tblMovement[[#This Row],[Grade_gpt]]/cfg_TroyOz)</f>
        <v/>
      </c>
      <c r="O3501" s="59">
        <f>IF(tblMovement[[#This Row],[Is_Ore]]=1,tblMovement[[#This Row],[Contained_oz]],0)</f>
        <v/>
      </c>
    </row>
    <row r="3502">
      <c r="A3502" s="54" t="n"/>
      <c r="B3502" s="61" t="n"/>
      <c r="C3502" s="61" t="n"/>
      <c r="D3502" s="61" t="n"/>
      <c r="E3502" s="61" t="n"/>
      <c r="F3502" s="55" t="n"/>
      <c r="G3502" s="56" t="n"/>
      <c r="H3502" s="55" t="n"/>
      <c r="I3502" s="62" t="n"/>
      <c r="J3502" s="58" t="n"/>
      <c r="K3502" s="63">
        <f>IF(tblMovement[[#This Row],[Source]]="","",IFERROR(INDEX(tblSources[Type],MATCH(tblMovement[[#This Row],[Source]],tblSources[Source],0)),"?"))</f>
        <v/>
      </c>
      <c r="L3502" s="63">
        <f>IF(tblMovement[[#This Row],[Destination]]="","",IFERROR(INDEX(tblDestinations[Type],MATCH(tblMovement[[#This Row],[Destination]],tblDestinations[Destination],0)),"?"))</f>
        <v/>
      </c>
      <c r="M3502" s="64">
        <f>IF(tblMovement[[#This Row],[Material]]="","",IF(LEFT(tblMovement[[#This Row],[Material]],3)="Ore",1,0))</f>
        <v/>
      </c>
      <c r="N3502" s="59">
        <f>IF(OR(tblMovement[[#This Row],[Tonnes_t]]="",tblMovement[[#This Row],[Grade_gpt]]=""),0,tblMovement[[#This Row],[Tonnes_t]]*tblMovement[[#This Row],[Grade_gpt]]/cfg_TroyOz)</f>
        <v/>
      </c>
      <c r="O3502" s="59">
        <f>IF(tblMovement[[#This Row],[Is_Ore]]=1,tblMovement[[#This Row],[Contained_oz]],0)</f>
        <v/>
      </c>
    </row>
    <row r="3503">
      <c r="A3503" s="54" t="n"/>
      <c r="B3503" s="61" t="n"/>
      <c r="C3503" s="61" t="n"/>
      <c r="D3503" s="61" t="n"/>
      <c r="E3503" s="61" t="n"/>
      <c r="F3503" s="55" t="n"/>
      <c r="G3503" s="56" t="n"/>
      <c r="H3503" s="55" t="n"/>
      <c r="I3503" s="62" t="n"/>
      <c r="J3503" s="58" t="n"/>
      <c r="K3503" s="63">
        <f>IF(tblMovement[[#This Row],[Source]]="","",IFERROR(INDEX(tblSources[Type],MATCH(tblMovement[[#This Row],[Source]],tblSources[Source],0)),"?"))</f>
        <v/>
      </c>
      <c r="L3503" s="63">
        <f>IF(tblMovement[[#This Row],[Destination]]="","",IFERROR(INDEX(tblDestinations[Type],MATCH(tblMovement[[#This Row],[Destination]],tblDestinations[Destination],0)),"?"))</f>
        <v/>
      </c>
      <c r="M3503" s="64">
        <f>IF(tblMovement[[#This Row],[Material]]="","",IF(LEFT(tblMovement[[#This Row],[Material]],3)="Ore",1,0))</f>
        <v/>
      </c>
      <c r="N3503" s="59">
        <f>IF(OR(tblMovement[[#This Row],[Tonnes_t]]="",tblMovement[[#This Row],[Grade_gpt]]=""),0,tblMovement[[#This Row],[Tonnes_t]]*tblMovement[[#This Row],[Grade_gpt]]/cfg_TroyOz)</f>
        <v/>
      </c>
      <c r="O3503" s="59">
        <f>IF(tblMovement[[#This Row],[Is_Ore]]=1,tblMovement[[#This Row],[Contained_oz]],0)</f>
        <v/>
      </c>
    </row>
    <row r="3504">
      <c r="A3504" s="54" t="n"/>
      <c r="B3504" s="61" t="n"/>
      <c r="C3504" s="61" t="n"/>
      <c r="D3504" s="61" t="n"/>
      <c r="E3504" s="61" t="n"/>
      <c r="F3504" s="55" t="n"/>
      <c r="G3504" s="56" t="n"/>
      <c r="H3504" s="55" t="n"/>
      <c r="I3504" s="62" t="n"/>
      <c r="J3504" s="58" t="n"/>
      <c r="K3504" s="63">
        <f>IF(tblMovement[[#This Row],[Source]]="","",IFERROR(INDEX(tblSources[Type],MATCH(tblMovement[[#This Row],[Source]],tblSources[Source],0)),"?"))</f>
        <v/>
      </c>
      <c r="L3504" s="63">
        <f>IF(tblMovement[[#This Row],[Destination]]="","",IFERROR(INDEX(tblDestinations[Type],MATCH(tblMovement[[#This Row],[Destination]],tblDestinations[Destination],0)),"?"))</f>
        <v/>
      </c>
      <c r="M3504" s="64">
        <f>IF(tblMovement[[#This Row],[Material]]="","",IF(LEFT(tblMovement[[#This Row],[Material]],3)="Ore",1,0))</f>
        <v/>
      </c>
      <c r="N3504" s="59">
        <f>IF(OR(tblMovement[[#This Row],[Tonnes_t]]="",tblMovement[[#This Row],[Grade_gpt]]=""),0,tblMovement[[#This Row],[Tonnes_t]]*tblMovement[[#This Row],[Grade_gpt]]/cfg_TroyOz)</f>
        <v/>
      </c>
      <c r="O3504" s="59">
        <f>IF(tblMovement[[#This Row],[Is_Ore]]=1,tblMovement[[#This Row],[Contained_oz]],0)</f>
        <v/>
      </c>
    </row>
    <row r="3505">
      <c r="A3505" s="54" t="n"/>
      <c r="B3505" s="61" t="n"/>
      <c r="C3505" s="61" t="n"/>
      <c r="D3505" s="61" t="n"/>
      <c r="E3505" s="61" t="n"/>
      <c r="F3505" s="55" t="n"/>
      <c r="G3505" s="56" t="n"/>
      <c r="H3505" s="55" t="n"/>
      <c r="I3505" s="62" t="n"/>
      <c r="J3505" s="58" t="n"/>
      <c r="K3505" s="63">
        <f>IF(tblMovement[[#This Row],[Source]]="","",IFERROR(INDEX(tblSources[Type],MATCH(tblMovement[[#This Row],[Source]],tblSources[Source],0)),"?"))</f>
        <v/>
      </c>
      <c r="L3505" s="63">
        <f>IF(tblMovement[[#This Row],[Destination]]="","",IFERROR(INDEX(tblDestinations[Type],MATCH(tblMovement[[#This Row],[Destination]],tblDestinations[Destination],0)),"?"))</f>
        <v/>
      </c>
      <c r="M3505" s="64">
        <f>IF(tblMovement[[#This Row],[Material]]="","",IF(LEFT(tblMovement[[#This Row],[Material]],3)="Ore",1,0))</f>
        <v/>
      </c>
      <c r="N3505" s="59">
        <f>IF(OR(tblMovement[[#This Row],[Tonnes_t]]="",tblMovement[[#This Row],[Grade_gpt]]=""),0,tblMovement[[#This Row],[Tonnes_t]]*tblMovement[[#This Row],[Grade_gpt]]/cfg_TroyOz)</f>
        <v/>
      </c>
      <c r="O3505" s="59">
        <f>IF(tblMovement[[#This Row],[Is_Ore]]=1,tblMovement[[#This Row],[Contained_oz]],0)</f>
        <v/>
      </c>
    </row>
    <row r="3506">
      <c r="A3506" s="54" t="n"/>
      <c r="B3506" s="61" t="n"/>
      <c r="C3506" s="61" t="n"/>
      <c r="D3506" s="61" t="n"/>
      <c r="E3506" s="61" t="n"/>
      <c r="F3506" s="55" t="n"/>
      <c r="G3506" s="56" t="n"/>
      <c r="H3506" s="55" t="n"/>
      <c r="I3506" s="62" t="n"/>
      <c r="J3506" s="58" t="n"/>
      <c r="K3506" s="63">
        <f>IF(tblMovement[[#This Row],[Source]]="","",IFERROR(INDEX(tblSources[Type],MATCH(tblMovement[[#This Row],[Source]],tblSources[Source],0)),"?"))</f>
        <v/>
      </c>
      <c r="L3506" s="63">
        <f>IF(tblMovement[[#This Row],[Destination]]="","",IFERROR(INDEX(tblDestinations[Type],MATCH(tblMovement[[#This Row],[Destination]],tblDestinations[Destination],0)),"?"))</f>
        <v/>
      </c>
      <c r="M3506" s="64">
        <f>IF(tblMovement[[#This Row],[Material]]="","",IF(LEFT(tblMovement[[#This Row],[Material]],3)="Ore",1,0))</f>
        <v/>
      </c>
      <c r="N3506" s="59">
        <f>IF(OR(tblMovement[[#This Row],[Tonnes_t]]="",tblMovement[[#This Row],[Grade_gpt]]=""),0,tblMovement[[#This Row],[Tonnes_t]]*tblMovement[[#This Row],[Grade_gpt]]/cfg_TroyOz)</f>
        <v/>
      </c>
      <c r="O3506" s="59">
        <f>IF(tblMovement[[#This Row],[Is_Ore]]=1,tblMovement[[#This Row],[Contained_oz]],0)</f>
        <v/>
      </c>
    </row>
    <row r="3507">
      <c r="A3507" s="54" t="n"/>
      <c r="B3507" s="61" t="n"/>
      <c r="C3507" s="61" t="n"/>
      <c r="D3507" s="61" t="n"/>
      <c r="E3507" s="61" t="n"/>
      <c r="F3507" s="55" t="n"/>
      <c r="G3507" s="56" t="n"/>
      <c r="H3507" s="55" t="n"/>
      <c r="I3507" s="62" t="n"/>
      <c r="J3507" s="58" t="n"/>
      <c r="K3507" s="63">
        <f>IF(tblMovement[[#This Row],[Source]]="","",IFERROR(INDEX(tblSources[Type],MATCH(tblMovement[[#This Row],[Source]],tblSources[Source],0)),"?"))</f>
        <v/>
      </c>
      <c r="L3507" s="63">
        <f>IF(tblMovement[[#This Row],[Destination]]="","",IFERROR(INDEX(tblDestinations[Type],MATCH(tblMovement[[#This Row],[Destination]],tblDestinations[Destination],0)),"?"))</f>
        <v/>
      </c>
      <c r="M3507" s="64">
        <f>IF(tblMovement[[#This Row],[Material]]="","",IF(LEFT(tblMovement[[#This Row],[Material]],3)="Ore",1,0))</f>
        <v/>
      </c>
      <c r="N3507" s="59">
        <f>IF(OR(tblMovement[[#This Row],[Tonnes_t]]="",tblMovement[[#This Row],[Grade_gpt]]=""),0,tblMovement[[#This Row],[Tonnes_t]]*tblMovement[[#This Row],[Grade_gpt]]/cfg_TroyOz)</f>
        <v/>
      </c>
      <c r="O3507" s="59">
        <f>IF(tblMovement[[#This Row],[Is_Ore]]=1,tblMovement[[#This Row],[Contained_oz]],0)</f>
        <v/>
      </c>
    </row>
    <row r="3508">
      <c r="A3508" s="54" t="n"/>
      <c r="B3508" s="61" t="n"/>
      <c r="C3508" s="61" t="n"/>
      <c r="D3508" s="61" t="n"/>
      <c r="E3508" s="61" t="n"/>
      <c r="F3508" s="55" t="n"/>
      <c r="G3508" s="56" t="n"/>
      <c r="H3508" s="55" t="n"/>
      <c r="I3508" s="62" t="n"/>
      <c r="J3508" s="58" t="n"/>
      <c r="K3508" s="63">
        <f>IF(tblMovement[[#This Row],[Source]]="","",IFERROR(INDEX(tblSources[Type],MATCH(tblMovement[[#This Row],[Source]],tblSources[Source],0)),"?"))</f>
        <v/>
      </c>
      <c r="L3508" s="63">
        <f>IF(tblMovement[[#This Row],[Destination]]="","",IFERROR(INDEX(tblDestinations[Type],MATCH(tblMovement[[#This Row],[Destination]],tblDestinations[Destination],0)),"?"))</f>
        <v/>
      </c>
      <c r="M3508" s="64">
        <f>IF(tblMovement[[#This Row],[Material]]="","",IF(LEFT(tblMovement[[#This Row],[Material]],3)="Ore",1,0))</f>
        <v/>
      </c>
      <c r="N3508" s="59">
        <f>IF(OR(tblMovement[[#This Row],[Tonnes_t]]="",tblMovement[[#This Row],[Grade_gpt]]=""),0,tblMovement[[#This Row],[Tonnes_t]]*tblMovement[[#This Row],[Grade_gpt]]/cfg_TroyOz)</f>
        <v/>
      </c>
      <c r="O3508" s="59">
        <f>IF(tblMovement[[#This Row],[Is_Ore]]=1,tblMovement[[#This Row],[Contained_oz]],0)</f>
        <v/>
      </c>
    </row>
    <row r="3509">
      <c r="A3509" s="54" t="n"/>
      <c r="B3509" s="61" t="n"/>
      <c r="C3509" s="61" t="n"/>
      <c r="D3509" s="61" t="n"/>
      <c r="E3509" s="61" t="n"/>
      <c r="F3509" s="55" t="n"/>
      <c r="G3509" s="56" t="n"/>
      <c r="H3509" s="55" t="n"/>
      <c r="I3509" s="62" t="n"/>
      <c r="J3509" s="58" t="n"/>
      <c r="K3509" s="63">
        <f>IF(tblMovement[[#This Row],[Source]]="","",IFERROR(INDEX(tblSources[Type],MATCH(tblMovement[[#This Row],[Source]],tblSources[Source],0)),"?"))</f>
        <v/>
      </c>
      <c r="L3509" s="63">
        <f>IF(tblMovement[[#This Row],[Destination]]="","",IFERROR(INDEX(tblDestinations[Type],MATCH(tblMovement[[#This Row],[Destination]],tblDestinations[Destination],0)),"?"))</f>
        <v/>
      </c>
      <c r="M3509" s="64">
        <f>IF(tblMovement[[#This Row],[Material]]="","",IF(LEFT(tblMovement[[#This Row],[Material]],3)="Ore",1,0))</f>
        <v/>
      </c>
      <c r="N3509" s="59">
        <f>IF(OR(tblMovement[[#This Row],[Tonnes_t]]="",tblMovement[[#This Row],[Grade_gpt]]=""),0,tblMovement[[#This Row],[Tonnes_t]]*tblMovement[[#This Row],[Grade_gpt]]/cfg_TroyOz)</f>
        <v/>
      </c>
      <c r="O3509" s="59">
        <f>IF(tblMovement[[#This Row],[Is_Ore]]=1,tblMovement[[#This Row],[Contained_oz]],0)</f>
        <v/>
      </c>
    </row>
    <row r="3510">
      <c r="A3510" s="54" t="n"/>
      <c r="B3510" s="61" t="n"/>
      <c r="C3510" s="61" t="n"/>
      <c r="D3510" s="61" t="n"/>
      <c r="E3510" s="61" t="n"/>
      <c r="F3510" s="55" t="n"/>
      <c r="G3510" s="56" t="n"/>
      <c r="H3510" s="55" t="n"/>
      <c r="I3510" s="62" t="n"/>
      <c r="J3510" s="58" t="n"/>
      <c r="K3510" s="63">
        <f>IF(tblMovement[[#This Row],[Source]]="","",IFERROR(INDEX(tblSources[Type],MATCH(tblMovement[[#This Row],[Source]],tblSources[Source],0)),"?"))</f>
        <v/>
      </c>
      <c r="L3510" s="63">
        <f>IF(tblMovement[[#This Row],[Destination]]="","",IFERROR(INDEX(tblDestinations[Type],MATCH(tblMovement[[#This Row],[Destination]],tblDestinations[Destination],0)),"?"))</f>
        <v/>
      </c>
      <c r="M3510" s="64">
        <f>IF(tblMovement[[#This Row],[Material]]="","",IF(LEFT(tblMovement[[#This Row],[Material]],3)="Ore",1,0))</f>
        <v/>
      </c>
      <c r="N3510" s="59">
        <f>IF(OR(tblMovement[[#This Row],[Tonnes_t]]="",tblMovement[[#This Row],[Grade_gpt]]=""),0,tblMovement[[#This Row],[Tonnes_t]]*tblMovement[[#This Row],[Grade_gpt]]/cfg_TroyOz)</f>
        <v/>
      </c>
      <c r="O3510" s="59">
        <f>IF(tblMovement[[#This Row],[Is_Ore]]=1,tblMovement[[#This Row],[Contained_oz]],0)</f>
        <v/>
      </c>
    </row>
    <row r="3511">
      <c r="A3511" s="54" t="n"/>
      <c r="B3511" s="61" t="n"/>
      <c r="C3511" s="61" t="n"/>
      <c r="D3511" s="61" t="n"/>
      <c r="E3511" s="61" t="n"/>
      <c r="F3511" s="55" t="n"/>
      <c r="G3511" s="56" t="n"/>
      <c r="H3511" s="55" t="n"/>
      <c r="I3511" s="62" t="n"/>
      <c r="J3511" s="58" t="n"/>
      <c r="K3511" s="63">
        <f>IF(tblMovement[[#This Row],[Source]]="","",IFERROR(INDEX(tblSources[Type],MATCH(tblMovement[[#This Row],[Source]],tblSources[Source],0)),"?"))</f>
        <v/>
      </c>
      <c r="L3511" s="63">
        <f>IF(tblMovement[[#This Row],[Destination]]="","",IFERROR(INDEX(tblDestinations[Type],MATCH(tblMovement[[#This Row],[Destination]],tblDestinations[Destination],0)),"?"))</f>
        <v/>
      </c>
      <c r="M3511" s="64">
        <f>IF(tblMovement[[#This Row],[Material]]="","",IF(LEFT(tblMovement[[#This Row],[Material]],3)="Ore",1,0))</f>
        <v/>
      </c>
      <c r="N3511" s="59">
        <f>IF(OR(tblMovement[[#This Row],[Tonnes_t]]="",tblMovement[[#This Row],[Grade_gpt]]=""),0,tblMovement[[#This Row],[Tonnes_t]]*tblMovement[[#This Row],[Grade_gpt]]/cfg_TroyOz)</f>
        <v/>
      </c>
      <c r="O3511" s="59">
        <f>IF(tblMovement[[#This Row],[Is_Ore]]=1,tblMovement[[#This Row],[Contained_oz]],0)</f>
        <v/>
      </c>
    </row>
    <row r="3512">
      <c r="A3512" s="54" t="n"/>
      <c r="B3512" s="61" t="n"/>
      <c r="C3512" s="61" t="n"/>
      <c r="D3512" s="61" t="n"/>
      <c r="E3512" s="61" t="n"/>
      <c r="F3512" s="55" t="n"/>
      <c r="G3512" s="56" t="n"/>
      <c r="H3512" s="55" t="n"/>
      <c r="I3512" s="62" t="n"/>
      <c r="J3512" s="58" t="n"/>
      <c r="K3512" s="63">
        <f>IF(tblMovement[[#This Row],[Source]]="","",IFERROR(INDEX(tblSources[Type],MATCH(tblMovement[[#This Row],[Source]],tblSources[Source],0)),"?"))</f>
        <v/>
      </c>
      <c r="L3512" s="63">
        <f>IF(tblMovement[[#This Row],[Destination]]="","",IFERROR(INDEX(tblDestinations[Type],MATCH(tblMovement[[#This Row],[Destination]],tblDestinations[Destination],0)),"?"))</f>
        <v/>
      </c>
      <c r="M3512" s="64">
        <f>IF(tblMovement[[#This Row],[Material]]="","",IF(LEFT(tblMovement[[#This Row],[Material]],3)="Ore",1,0))</f>
        <v/>
      </c>
      <c r="N3512" s="59">
        <f>IF(OR(tblMovement[[#This Row],[Tonnes_t]]="",tblMovement[[#This Row],[Grade_gpt]]=""),0,tblMovement[[#This Row],[Tonnes_t]]*tblMovement[[#This Row],[Grade_gpt]]/cfg_TroyOz)</f>
        <v/>
      </c>
      <c r="O3512" s="59">
        <f>IF(tblMovement[[#This Row],[Is_Ore]]=1,tblMovement[[#This Row],[Contained_oz]],0)</f>
        <v/>
      </c>
    </row>
    <row r="3513">
      <c r="A3513" s="54" t="n"/>
      <c r="B3513" s="61" t="n"/>
      <c r="C3513" s="61" t="n"/>
      <c r="D3513" s="61" t="n"/>
      <c r="E3513" s="61" t="n"/>
      <c r="F3513" s="55" t="n"/>
      <c r="G3513" s="56" t="n"/>
      <c r="H3513" s="55" t="n"/>
      <c r="I3513" s="62" t="n"/>
      <c r="J3513" s="58" t="n"/>
      <c r="K3513" s="63">
        <f>IF(tblMovement[[#This Row],[Source]]="","",IFERROR(INDEX(tblSources[Type],MATCH(tblMovement[[#This Row],[Source]],tblSources[Source],0)),"?"))</f>
        <v/>
      </c>
      <c r="L3513" s="63">
        <f>IF(tblMovement[[#This Row],[Destination]]="","",IFERROR(INDEX(tblDestinations[Type],MATCH(tblMovement[[#This Row],[Destination]],tblDestinations[Destination],0)),"?"))</f>
        <v/>
      </c>
      <c r="M3513" s="64">
        <f>IF(tblMovement[[#This Row],[Material]]="","",IF(LEFT(tblMovement[[#This Row],[Material]],3)="Ore",1,0))</f>
        <v/>
      </c>
      <c r="N3513" s="59">
        <f>IF(OR(tblMovement[[#This Row],[Tonnes_t]]="",tblMovement[[#This Row],[Grade_gpt]]=""),0,tblMovement[[#This Row],[Tonnes_t]]*tblMovement[[#This Row],[Grade_gpt]]/cfg_TroyOz)</f>
        <v/>
      </c>
      <c r="O3513" s="59">
        <f>IF(tblMovement[[#This Row],[Is_Ore]]=1,tblMovement[[#This Row],[Contained_oz]],0)</f>
        <v/>
      </c>
    </row>
    <row r="3514">
      <c r="A3514" s="54" t="n"/>
      <c r="B3514" s="61" t="n"/>
      <c r="C3514" s="61" t="n"/>
      <c r="D3514" s="61" t="n"/>
      <c r="E3514" s="61" t="n"/>
      <c r="F3514" s="55" t="n"/>
      <c r="G3514" s="56" t="n"/>
      <c r="H3514" s="55" t="n"/>
      <c r="I3514" s="62" t="n"/>
      <c r="J3514" s="58" t="n"/>
      <c r="K3514" s="63">
        <f>IF(tblMovement[[#This Row],[Source]]="","",IFERROR(INDEX(tblSources[Type],MATCH(tblMovement[[#This Row],[Source]],tblSources[Source],0)),"?"))</f>
        <v/>
      </c>
      <c r="L3514" s="63">
        <f>IF(tblMovement[[#This Row],[Destination]]="","",IFERROR(INDEX(tblDestinations[Type],MATCH(tblMovement[[#This Row],[Destination]],tblDestinations[Destination],0)),"?"))</f>
        <v/>
      </c>
      <c r="M3514" s="64">
        <f>IF(tblMovement[[#This Row],[Material]]="","",IF(LEFT(tblMovement[[#This Row],[Material]],3)="Ore",1,0))</f>
        <v/>
      </c>
      <c r="N3514" s="59">
        <f>IF(OR(tblMovement[[#This Row],[Tonnes_t]]="",tblMovement[[#This Row],[Grade_gpt]]=""),0,tblMovement[[#This Row],[Tonnes_t]]*tblMovement[[#This Row],[Grade_gpt]]/cfg_TroyOz)</f>
        <v/>
      </c>
      <c r="O3514" s="59">
        <f>IF(tblMovement[[#This Row],[Is_Ore]]=1,tblMovement[[#This Row],[Contained_oz]],0)</f>
        <v/>
      </c>
    </row>
    <row r="3515">
      <c r="A3515" s="54" t="n"/>
      <c r="B3515" s="61" t="n"/>
      <c r="C3515" s="61" t="n"/>
      <c r="D3515" s="61" t="n"/>
      <c r="E3515" s="61" t="n"/>
      <c r="F3515" s="55" t="n"/>
      <c r="G3515" s="56" t="n"/>
      <c r="H3515" s="55" t="n"/>
      <c r="I3515" s="62" t="n"/>
      <c r="J3515" s="58" t="n"/>
      <c r="K3515" s="63">
        <f>IF(tblMovement[[#This Row],[Source]]="","",IFERROR(INDEX(tblSources[Type],MATCH(tblMovement[[#This Row],[Source]],tblSources[Source],0)),"?"))</f>
        <v/>
      </c>
      <c r="L3515" s="63">
        <f>IF(tblMovement[[#This Row],[Destination]]="","",IFERROR(INDEX(tblDestinations[Type],MATCH(tblMovement[[#This Row],[Destination]],tblDestinations[Destination],0)),"?"))</f>
        <v/>
      </c>
      <c r="M3515" s="64">
        <f>IF(tblMovement[[#This Row],[Material]]="","",IF(LEFT(tblMovement[[#This Row],[Material]],3)="Ore",1,0))</f>
        <v/>
      </c>
      <c r="N3515" s="59">
        <f>IF(OR(tblMovement[[#This Row],[Tonnes_t]]="",tblMovement[[#This Row],[Grade_gpt]]=""),0,tblMovement[[#This Row],[Tonnes_t]]*tblMovement[[#This Row],[Grade_gpt]]/cfg_TroyOz)</f>
        <v/>
      </c>
      <c r="O3515" s="59">
        <f>IF(tblMovement[[#This Row],[Is_Ore]]=1,tblMovement[[#This Row],[Contained_oz]],0)</f>
        <v/>
      </c>
    </row>
    <row r="3516">
      <c r="A3516" s="54" t="n"/>
      <c r="B3516" s="61" t="n"/>
      <c r="C3516" s="61" t="n"/>
      <c r="D3516" s="61" t="n"/>
      <c r="E3516" s="61" t="n"/>
      <c r="F3516" s="55" t="n"/>
      <c r="G3516" s="56" t="n"/>
      <c r="H3516" s="55" t="n"/>
      <c r="I3516" s="62" t="n"/>
      <c r="J3516" s="58" t="n"/>
      <c r="K3516" s="63">
        <f>IF(tblMovement[[#This Row],[Source]]="","",IFERROR(INDEX(tblSources[Type],MATCH(tblMovement[[#This Row],[Source]],tblSources[Source],0)),"?"))</f>
        <v/>
      </c>
      <c r="L3516" s="63">
        <f>IF(tblMovement[[#This Row],[Destination]]="","",IFERROR(INDEX(tblDestinations[Type],MATCH(tblMovement[[#This Row],[Destination]],tblDestinations[Destination],0)),"?"))</f>
        <v/>
      </c>
      <c r="M3516" s="64">
        <f>IF(tblMovement[[#This Row],[Material]]="","",IF(LEFT(tblMovement[[#This Row],[Material]],3)="Ore",1,0))</f>
        <v/>
      </c>
      <c r="N3516" s="59">
        <f>IF(OR(tblMovement[[#This Row],[Tonnes_t]]="",tblMovement[[#This Row],[Grade_gpt]]=""),0,tblMovement[[#This Row],[Tonnes_t]]*tblMovement[[#This Row],[Grade_gpt]]/cfg_TroyOz)</f>
        <v/>
      </c>
      <c r="O3516" s="59">
        <f>IF(tblMovement[[#This Row],[Is_Ore]]=1,tblMovement[[#This Row],[Contained_oz]],0)</f>
        <v/>
      </c>
    </row>
    <row r="3517">
      <c r="A3517" s="54" t="n"/>
      <c r="B3517" s="61" t="n"/>
      <c r="C3517" s="61" t="n"/>
      <c r="D3517" s="61" t="n"/>
      <c r="E3517" s="61" t="n"/>
      <c r="F3517" s="55" t="n"/>
      <c r="G3517" s="56" t="n"/>
      <c r="H3517" s="55" t="n"/>
      <c r="I3517" s="62" t="n"/>
      <c r="J3517" s="58" t="n"/>
      <c r="K3517" s="63">
        <f>IF(tblMovement[[#This Row],[Source]]="","",IFERROR(INDEX(tblSources[Type],MATCH(tblMovement[[#This Row],[Source]],tblSources[Source],0)),"?"))</f>
        <v/>
      </c>
      <c r="L3517" s="63">
        <f>IF(tblMovement[[#This Row],[Destination]]="","",IFERROR(INDEX(tblDestinations[Type],MATCH(tblMovement[[#This Row],[Destination]],tblDestinations[Destination],0)),"?"))</f>
        <v/>
      </c>
      <c r="M3517" s="64">
        <f>IF(tblMovement[[#This Row],[Material]]="","",IF(LEFT(tblMovement[[#This Row],[Material]],3)="Ore",1,0))</f>
        <v/>
      </c>
      <c r="N3517" s="59">
        <f>IF(OR(tblMovement[[#This Row],[Tonnes_t]]="",tblMovement[[#This Row],[Grade_gpt]]=""),0,tblMovement[[#This Row],[Tonnes_t]]*tblMovement[[#This Row],[Grade_gpt]]/cfg_TroyOz)</f>
        <v/>
      </c>
      <c r="O3517" s="59">
        <f>IF(tblMovement[[#This Row],[Is_Ore]]=1,tblMovement[[#This Row],[Contained_oz]],0)</f>
        <v/>
      </c>
    </row>
    <row r="3518">
      <c r="A3518" s="54" t="n"/>
      <c r="B3518" s="61" t="n"/>
      <c r="C3518" s="61" t="n"/>
      <c r="D3518" s="61" t="n"/>
      <c r="E3518" s="61" t="n"/>
      <c r="F3518" s="55" t="n"/>
      <c r="G3518" s="56" t="n"/>
      <c r="H3518" s="55" t="n"/>
      <c r="I3518" s="62" t="n"/>
      <c r="J3518" s="58" t="n"/>
      <c r="K3518" s="63">
        <f>IF(tblMovement[[#This Row],[Source]]="","",IFERROR(INDEX(tblSources[Type],MATCH(tblMovement[[#This Row],[Source]],tblSources[Source],0)),"?"))</f>
        <v/>
      </c>
      <c r="L3518" s="63">
        <f>IF(tblMovement[[#This Row],[Destination]]="","",IFERROR(INDEX(tblDestinations[Type],MATCH(tblMovement[[#This Row],[Destination]],tblDestinations[Destination],0)),"?"))</f>
        <v/>
      </c>
      <c r="M3518" s="64">
        <f>IF(tblMovement[[#This Row],[Material]]="","",IF(LEFT(tblMovement[[#This Row],[Material]],3)="Ore",1,0))</f>
        <v/>
      </c>
      <c r="N3518" s="59">
        <f>IF(OR(tblMovement[[#This Row],[Tonnes_t]]="",tblMovement[[#This Row],[Grade_gpt]]=""),0,tblMovement[[#This Row],[Tonnes_t]]*tblMovement[[#This Row],[Grade_gpt]]/cfg_TroyOz)</f>
        <v/>
      </c>
      <c r="O3518" s="59">
        <f>IF(tblMovement[[#This Row],[Is_Ore]]=1,tblMovement[[#This Row],[Contained_oz]],0)</f>
        <v/>
      </c>
    </row>
    <row r="3519">
      <c r="A3519" s="54" t="n"/>
      <c r="B3519" s="61" t="n"/>
      <c r="C3519" s="61" t="n"/>
      <c r="D3519" s="61" t="n"/>
      <c r="E3519" s="61" t="n"/>
      <c r="F3519" s="55" t="n"/>
      <c r="G3519" s="56" t="n"/>
      <c r="H3519" s="55" t="n"/>
      <c r="I3519" s="62" t="n"/>
      <c r="J3519" s="58" t="n"/>
      <c r="K3519" s="63">
        <f>IF(tblMovement[[#This Row],[Source]]="","",IFERROR(INDEX(tblSources[Type],MATCH(tblMovement[[#This Row],[Source]],tblSources[Source],0)),"?"))</f>
        <v/>
      </c>
      <c r="L3519" s="63">
        <f>IF(tblMovement[[#This Row],[Destination]]="","",IFERROR(INDEX(tblDestinations[Type],MATCH(tblMovement[[#This Row],[Destination]],tblDestinations[Destination],0)),"?"))</f>
        <v/>
      </c>
      <c r="M3519" s="64">
        <f>IF(tblMovement[[#This Row],[Material]]="","",IF(LEFT(tblMovement[[#This Row],[Material]],3)="Ore",1,0))</f>
        <v/>
      </c>
      <c r="N3519" s="59">
        <f>IF(OR(tblMovement[[#This Row],[Tonnes_t]]="",tblMovement[[#This Row],[Grade_gpt]]=""),0,tblMovement[[#This Row],[Tonnes_t]]*tblMovement[[#This Row],[Grade_gpt]]/cfg_TroyOz)</f>
        <v/>
      </c>
      <c r="O3519" s="59">
        <f>IF(tblMovement[[#This Row],[Is_Ore]]=1,tblMovement[[#This Row],[Contained_oz]],0)</f>
        <v/>
      </c>
    </row>
    <row r="3520">
      <c r="A3520" s="54" t="n"/>
      <c r="B3520" s="61" t="n"/>
      <c r="C3520" s="61" t="n"/>
      <c r="D3520" s="61" t="n"/>
      <c r="E3520" s="61" t="n"/>
      <c r="F3520" s="55" t="n"/>
      <c r="G3520" s="56" t="n"/>
      <c r="H3520" s="55" t="n"/>
      <c r="I3520" s="62" t="n"/>
      <c r="J3520" s="58" t="n"/>
      <c r="K3520" s="63">
        <f>IF(tblMovement[[#This Row],[Source]]="","",IFERROR(INDEX(tblSources[Type],MATCH(tblMovement[[#This Row],[Source]],tblSources[Source],0)),"?"))</f>
        <v/>
      </c>
      <c r="L3520" s="63">
        <f>IF(tblMovement[[#This Row],[Destination]]="","",IFERROR(INDEX(tblDestinations[Type],MATCH(tblMovement[[#This Row],[Destination]],tblDestinations[Destination],0)),"?"))</f>
        <v/>
      </c>
      <c r="M3520" s="64">
        <f>IF(tblMovement[[#This Row],[Material]]="","",IF(LEFT(tblMovement[[#This Row],[Material]],3)="Ore",1,0))</f>
        <v/>
      </c>
      <c r="N3520" s="59">
        <f>IF(OR(tblMovement[[#This Row],[Tonnes_t]]="",tblMovement[[#This Row],[Grade_gpt]]=""),0,tblMovement[[#This Row],[Tonnes_t]]*tblMovement[[#This Row],[Grade_gpt]]/cfg_TroyOz)</f>
        <v/>
      </c>
      <c r="O3520" s="59">
        <f>IF(tblMovement[[#This Row],[Is_Ore]]=1,tblMovement[[#This Row],[Contained_oz]],0)</f>
        <v/>
      </c>
    </row>
    <row r="3521">
      <c r="A3521" s="54" t="n"/>
      <c r="B3521" s="61" t="n"/>
      <c r="C3521" s="61" t="n"/>
      <c r="D3521" s="61" t="n"/>
      <c r="E3521" s="61" t="n"/>
      <c r="F3521" s="55" t="n"/>
      <c r="G3521" s="56" t="n"/>
      <c r="H3521" s="55" t="n"/>
      <c r="I3521" s="62" t="n"/>
      <c r="J3521" s="58" t="n"/>
      <c r="K3521" s="63">
        <f>IF(tblMovement[[#This Row],[Source]]="","",IFERROR(INDEX(tblSources[Type],MATCH(tblMovement[[#This Row],[Source]],tblSources[Source],0)),"?"))</f>
        <v/>
      </c>
      <c r="L3521" s="63">
        <f>IF(tblMovement[[#This Row],[Destination]]="","",IFERROR(INDEX(tblDestinations[Type],MATCH(tblMovement[[#This Row],[Destination]],tblDestinations[Destination],0)),"?"))</f>
        <v/>
      </c>
      <c r="M3521" s="64">
        <f>IF(tblMovement[[#This Row],[Material]]="","",IF(LEFT(tblMovement[[#This Row],[Material]],3)="Ore",1,0))</f>
        <v/>
      </c>
      <c r="N3521" s="59">
        <f>IF(OR(tblMovement[[#This Row],[Tonnes_t]]="",tblMovement[[#This Row],[Grade_gpt]]=""),0,tblMovement[[#This Row],[Tonnes_t]]*tblMovement[[#This Row],[Grade_gpt]]/cfg_TroyOz)</f>
        <v/>
      </c>
      <c r="O3521" s="59">
        <f>IF(tblMovement[[#This Row],[Is_Ore]]=1,tblMovement[[#This Row],[Contained_oz]],0)</f>
        <v/>
      </c>
    </row>
    <row r="3522">
      <c r="A3522" s="54" t="n"/>
      <c r="B3522" s="61" t="n"/>
      <c r="C3522" s="61" t="n"/>
      <c r="D3522" s="61" t="n"/>
      <c r="E3522" s="61" t="n"/>
      <c r="F3522" s="55" t="n"/>
      <c r="G3522" s="56" t="n"/>
      <c r="H3522" s="55" t="n"/>
      <c r="I3522" s="62" t="n"/>
      <c r="J3522" s="58" t="n"/>
      <c r="K3522" s="63">
        <f>IF(tblMovement[[#This Row],[Source]]="","",IFERROR(INDEX(tblSources[Type],MATCH(tblMovement[[#This Row],[Source]],tblSources[Source],0)),"?"))</f>
        <v/>
      </c>
      <c r="L3522" s="63">
        <f>IF(tblMovement[[#This Row],[Destination]]="","",IFERROR(INDEX(tblDestinations[Type],MATCH(tblMovement[[#This Row],[Destination]],tblDestinations[Destination],0)),"?"))</f>
        <v/>
      </c>
      <c r="M3522" s="64">
        <f>IF(tblMovement[[#This Row],[Material]]="","",IF(LEFT(tblMovement[[#This Row],[Material]],3)="Ore",1,0))</f>
        <v/>
      </c>
      <c r="N3522" s="59">
        <f>IF(OR(tblMovement[[#This Row],[Tonnes_t]]="",tblMovement[[#This Row],[Grade_gpt]]=""),0,tblMovement[[#This Row],[Tonnes_t]]*tblMovement[[#This Row],[Grade_gpt]]/cfg_TroyOz)</f>
        <v/>
      </c>
      <c r="O3522" s="59">
        <f>IF(tblMovement[[#This Row],[Is_Ore]]=1,tblMovement[[#This Row],[Contained_oz]],0)</f>
        <v/>
      </c>
    </row>
    <row r="3523">
      <c r="A3523" s="54" t="n"/>
      <c r="B3523" s="61" t="n"/>
      <c r="C3523" s="61" t="n"/>
      <c r="D3523" s="61" t="n"/>
      <c r="E3523" s="61" t="n"/>
      <c r="F3523" s="55" t="n"/>
      <c r="G3523" s="56" t="n"/>
      <c r="H3523" s="55" t="n"/>
      <c r="I3523" s="62" t="n"/>
      <c r="J3523" s="58" t="n"/>
      <c r="K3523" s="63">
        <f>IF(tblMovement[[#This Row],[Source]]="","",IFERROR(INDEX(tblSources[Type],MATCH(tblMovement[[#This Row],[Source]],tblSources[Source],0)),"?"))</f>
        <v/>
      </c>
      <c r="L3523" s="63">
        <f>IF(tblMovement[[#This Row],[Destination]]="","",IFERROR(INDEX(tblDestinations[Type],MATCH(tblMovement[[#This Row],[Destination]],tblDestinations[Destination],0)),"?"))</f>
        <v/>
      </c>
      <c r="M3523" s="64">
        <f>IF(tblMovement[[#This Row],[Material]]="","",IF(LEFT(tblMovement[[#This Row],[Material]],3)="Ore",1,0))</f>
        <v/>
      </c>
      <c r="N3523" s="59">
        <f>IF(OR(tblMovement[[#This Row],[Tonnes_t]]="",tblMovement[[#This Row],[Grade_gpt]]=""),0,tblMovement[[#This Row],[Tonnes_t]]*tblMovement[[#This Row],[Grade_gpt]]/cfg_TroyOz)</f>
        <v/>
      </c>
      <c r="O3523" s="59">
        <f>IF(tblMovement[[#This Row],[Is_Ore]]=1,tblMovement[[#This Row],[Contained_oz]],0)</f>
        <v/>
      </c>
    </row>
    <row r="3524">
      <c r="A3524" s="54" t="n"/>
      <c r="B3524" s="61" t="n"/>
      <c r="C3524" s="61" t="n"/>
      <c r="D3524" s="61" t="n"/>
      <c r="E3524" s="61" t="n"/>
      <c r="F3524" s="55" t="n"/>
      <c r="G3524" s="56" t="n"/>
      <c r="H3524" s="55" t="n"/>
      <c r="I3524" s="62" t="n"/>
      <c r="J3524" s="58" t="n"/>
      <c r="K3524" s="63">
        <f>IF(tblMovement[[#This Row],[Source]]="","",IFERROR(INDEX(tblSources[Type],MATCH(tblMovement[[#This Row],[Source]],tblSources[Source],0)),"?"))</f>
        <v/>
      </c>
      <c r="L3524" s="63">
        <f>IF(tblMovement[[#This Row],[Destination]]="","",IFERROR(INDEX(tblDestinations[Type],MATCH(tblMovement[[#This Row],[Destination]],tblDestinations[Destination],0)),"?"))</f>
        <v/>
      </c>
      <c r="M3524" s="64">
        <f>IF(tblMovement[[#This Row],[Material]]="","",IF(LEFT(tblMovement[[#This Row],[Material]],3)="Ore",1,0))</f>
        <v/>
      </c>
      <c r="N3524" s="59">
        <f>IF(OR(tblMovement[[#This Row],[Tonnes_t]]="",tblMovement[[#This Row],[Grade_gpt]]=""),0,tblMovement[[#This Row],[Tonnes_t]]*tblMovement[[#This Row],[Grade_gpt]]/cfg_TroyOz)</f>
        <v/>
      </c>
      <c r="O3524" s="59">
        <f>IF(tblMovement[[#This Row],[Is_Ore]]=1,tblMovement[[#This Row],[Contained_oz]],0)</f>
        <v/>
      </c>
    </row>
    <row r="3525">
      <c r="A3525" s="54" t="n"/>
      <c r="B3525" s="61" t="n"/>
      <c r="C3525" s="61" t="n"/>
      <c r="D3525" s="61" t="n"/>
      <c r="E3525" s="61" t="n"/>
      <c r="F3525" s="55" t="n"/>
      <c r="G3525" s="56" t="n"/>
      <c r="H3525" s="55" t="n"/>
      <c r="I3525" s="62" t="n"/>
      <c r="J3525" s="58" t="n"/>
      <c r="K3525" s="63">
        <f>IF(tblMovement[[#This Row],[Source]]="","",IFERROR(INDEX(tblSources[Type],MATCH(tblMovement[[#This Row],[Source]],tblSources[Source],0)),"?"))</f>
        <v/>
      </c>
      <c r="L3525" s="63">
        <f>IF(tblMovement[[#This Row],[Destination]]="","",IFERROR(INDEX(tblDestinations[Type],MATCH(tblMovement[[#This Row],[Destination]],tblDestinations[Destination],0)),"?"))</f>
        <v/>
      </c>
      <c r="M3525" s="64">
        <f>IF(tblMovement[[#This Row],[Material]]="","",IF(LEFT(tblMovement[[#This Row],[Material]],3)="Ore",1,0))</f>
        <v/>
      </c>
      <c r="N3525" s="59">
        <f>IF(OR(tblMovement[[#This Row],[Tonnes_t]]="",tblMovement[[#This Row],[Grade_gpt]]=""),0,tblMovement[[#This Row],[Tonnes_t]]*tblMovement[[#This Row],[Grade_gpt]]/cfg_TroyOz)</f>
        <v/>
      </c>
      <c r="O3525" s="59">
        <f>IF(tblMovement[[#This Row],[Is_Ore]]=1,tblMovement[[#This Row],[Contained_oz]],0)</f>
        <v/>
      </c>
    </row>
    <row r="3526">
      <c r="A3526" s="54" t="n"/>
      <c r="B3526" s="61" t="n"/>
      <c r="C3526" s="61" t="n"/>
      <c r="D3526" s="61" t="n"/>
      <c r="E3526" s="61" t="n"/>
      <c r="F3526" s="55" t="n"/>
      <c r="G3526" s="56" t="n"/>
      <c r="H3526" s="55" t="n"/>
      <c r="I3526" s="62" t="n"/>
      <c r="J3526" s="58" t="n"/>
      <c r="K3526" s="63">
        <f>IF(tblMovement[[#This Row],[Source]]="","",IFERROR(INDEX(tblSources[Type],MATCH(tblMovement[[#This Row],[Source]],tblSources[Source],0)),"?"))</f>
        <v/>
      </c>
      <c r="L3526" s="63">
        <f>IF(tblMovement[[#This Row],[Destination]]="","",IFERROR(INDEX(tblDestinations[Type],MATCH(tblMovement[[#This Row],[Destination]],tblDestinations[Destination],0)),"?"))</f>
        <v/>
      </c>
      <c r="M3526" s="64">
        <f>IF(tblMovement[[#This Row],[Material]]="","",IF(LEFT(tblMovement[[#This Row],[Material]],3)="Ore",1,0))</f>
        <v/>
      </c>
      <c r="N3526" s="59">
        <f>IF(OR(tblMovement[[#This Row],[Tonnes_t]]="",tblMovement[[#This Row],[Grade_gpt]]=""),0,tblMovement[[#This Row],[Tonnes_t]]*tblMovement[[#This Row],[Grade_gpt]]/cfg_TroyOz)</f>
        <v/>
      </c>
      <c r="O3526" s="59">
        <f>IF(tblMovement[[#This Row],[Is_Ore]]=1,tblMovement[[#This Row],[Contained_oz]],0)</f>
        <v/>
      </c>
    </row>
    <row r="3527">
      <c r="A3527" s="54" t="n"/>
      <c r="B3527" s="61" t="n"/>
      <c r="C3527" s="61" t="n"/>
      <c r="D3527" s="61" t="n"/>
      <c r="E3527" s="61" t="n"/>
      <c r="F3527" s="55" t="n"/>
      <c r="G3527" s="56" t="n"/>
      <c r="H3527" s="55" t="n"/>
      <c r="I3527" s="62" t="n"/>
      <c r="J3527" s="58" t="n"/>
      <c r="K3527" s="63">
        <f>IF(tblMovement[[#This Row],[Source]]="","",IFERROR(INDEX(tblSources[Type],MATCH(tblMovement[[#This Row],[Source]],tblSources[Source],0)),"?"))</f>
        <v/>
      </c>
      <c r="L3527" s="63">
        <f>IF(tblMovement[[#This Row],[Destination]]="","",IFERROR(INDEX(tblDestinations[Type],MATCH(tblMovement[[#This Row],[Destination]],tblDestinations[Destination],0)),"?"))</f>
        <v/>
      </c>
      <c r="M3527" s="64">
        <f>IF(tblMovement[[#This Row],[Material]]="","",IF(LEFT(tblMovement[[#This Row],[Material]],3)="Ore",1,0))</f>
        <v/>
      </c>
      <c r="N3527" s="59">
        <f>IF(OR(tblMovement[[#This Row],[Tonnes_t]]="",tblMovement[[#This Row],[Grade_gpt]]=""),0,tblMovement[[#This Row],[Tonnes_t]]*tblMovement[[#This Row],[Grade_gpt]]/cfg_TroyOz)</f>
        <v/>
      </c>
      <c r="O3527" s="59">
        <f>IF(tblMovement[[#This Row],[Is_Ore]]=1,tblMovement[[#This Row],[Contained_oz]],0)</f>
        <v/>
      </c>
    </row>
    <row r="3528">
      <c r="A3528" s="54" t="n"/>
      <c r="B3528" s="61" t="n"/>
      <c r="C3528" s="61" t="n"/>
      <c r="D3528" s="61" t="n"/>
      <c r="E3528" s="61" t="n"/>
      <c r="F3528" s="55" t="n"/>
      <c r="G3528" s="56" t="n"/>
      <c r="H3528" s="55" t="n"/>
      <c r="I3528" s="62" t="n"/>
      <c r="J3528" s="58" t="n"/>
      <c r="K3528" s="63">
        <f>IF(tblMovement[[#This Row],[Source]]="","",IFERROR(INDEX(tblSources[Type],MATCH(tblMovement[[#This Row],[Source]],tblSources[Source],0)),"?"))</f>
        <v/>
      </c>
      <c r="L3528" s="63">
        <f>IF(tblMovement[[#This Row],[Destination]]="","",IFERROR(INDEX(tblDestinations[Type],MATCH(tblMovement[[#This Row],[Destination]],tblDestinations[Destination],0)),"?"))</f>
        <v/>
      </c>
      <c r="M3528" s="64">
        <f>IF(tblMovement[[#This Row],[Material]]="","",IF(LEFT(tblMovement[[#This Row],[Material]],3)="Ore",1,0))</f>
        <v/>
      </c>
      <c r="N3528" s="59">
        <f>IF(OR(tblMovement[[#This Row],[Tonnes_t]]="",tblMovement[[#This Row],[Grade_gpt]]=""),0,tblMovement[[#This Row],[Tonnes_t]]*tblMovement[[#This Row],[Grade_gpt]]/cfg_TroyOz)</f>
        <v/>
      </c>
      <c r="O3528" s="59">
        <f>IF(tblMovement[[#This Row],[Is_Ore]]=1,tblMovement[[#This Row],[Contained_oz]],0)</f>
        <v/>
      </c>
    </row>
    <row r="3529">
      <c r="A3529" s="54" t="n"/>
      <c r="B3529" s="61" t="n"/>
      <c r="C3529" s="61" t="n"/>
      <c r="D3529" s="61" t="n"/>
      <c r="E3529" s="61" t="n"/>
      <c r="F3529" s="55" t="n"/>
      <c r="G3529" s="56" t="n"/>
      <c r="H3529" s="55" t="n"/>
      <c r="I3529" s="62" t="n"/>
      <c r="J3529" s="58" t="n"/>
      <c r="K3529" s="63">
        <f>IF(tblMovement[[#This Row],[Source]]="","",IFERROR(INDEX(tblSources[Type],MATCH(tblMovement[[#This Row],[Source]],tblSources[Source],0)),"?"))</f>
        <v/>
      </c>
      <c r="L3529" s="63">
        <f>IF(tblMovement[[#This Row],[Destination]]="","",IFERROR(INDEX(tblDestinations[Type],MATCH(tblMovement[[#This Row],[Destination]],tblDestinations[Destination],0)),"?"))</f>
        <v/>
      </c>
      <c r="M3529" s="64">
        <f>IF(tblMovement[[#This Row],[Material]]="","",IF(LEFT(tblMovement[[#This Row],[Material]],3)="Ore",1,0))</f>
        <v/>
      </c>
      <c r="N3529" s="59">
        <f>IF(OR(tblMovement[[#This Row],[Tonnes_t]]="",tblMovement[[#This Row],[Grade_gpt]]=""),0,tblMovement[[#This Row],[Tonnes_t]]*tblMovement[[#This Row],[Grade_gpt]]/cfg_TroyOz)</f>
        <v/>
      </c>
      <c r="O3529" s="59">
        <f>IF(tblMovement[[#This Row],[Is_Ore]]=1,tblMovement[[#This Row],[Contained_oz]],0)</f>
        <v/>
      </c>
    </row>
    <row r="3530">
      <c r="A3530" s="54" t="n"/>
      <c r="B3530" s="61" t="n"/>
      <c r="C3530" s="61" t="n"/>
      <c r="D3530" s="61" t="n"/>
      <c r="E3530" s="61" t="n"/>
      <c r="F3530" s="55" t="n"/>
      <c r="G3530" s="56" t="n"/>
      <c r="H3530" s="55" t="n"/>
      <c r="I3530" s="62" t="n"/>
      <c r="J3530" s="58" t="n"/>
      <c r="K3530" s="63">
        <f>IF(tblMovement[[#This Row],[Source]]="","",IFERROR(INDEX(tblSources[Type],MATCH(tblMovement[[#This Row],[Source]],tblSources[Source],0)),"?"))</f>
        <v/>
      </c>
      <c r="L3530" s="63">
        <f>IF(tblMovement[[#This Row],[Destination]]="","",IFERROR(INDEX(tblDestinations[Type],MATCH(tblMovement[[#This Row],[Destination]],tblDestinations[Destination],0)),"?"))</f>
        <v/>
      </c>
      <c r="M3530" s="64">
        <f>IF(tblMovement[[#This Row],[Material]]="","",IF(LEFT(tblMovement[[#This Row],[Material]],3)="Ore",1,0))</f>
        <v/>
      </c>
      <c r="N3530" s="59">
        <f>IF(OR(tblMovement[[#This Row],[Tonnes_t]]="",tblMovement[[#This Row],[Grade_gpt]]=""),0,tblMovement[[#This Row],[Tonnes_t]]*tblMovement[[#This Row],[Grade_gpt]]/cfg_TroyOz)</f>
        <v/>
      </c>
      <c r="O3530" s="59">
        <f>IF(tblMovement[[#This Row],[Is_Ore]]=1,tblMovement[[#This Row],[Contained_oz]],0)</f>
        <v/>
      </c>
    </row>
    <row r="3531">
      <c r="A3531" s="54" t="n"/>
      <c r="B3531" s="61" t="n"/>
      <c r="C3531" s="61" t="n"/>
      <c r="D3531" s="61" t="n"/>
      <c r="E3531" s="61" t="n"/>
      <c r="F3531" s="55" t="n"/>
      <c r="G3531" s="56" t="n"/>
      <c r="H3531" s="55" t="n"/>
      <c r="I3531" s="62" t="n"/>
      <c r="J3531" s="58" t="n"/>
      <c r="K3531" s="63">
        <f>IF(tblMovement[[#This Row],[Source]]="","",IFERROR(INDEX(tblSources[Type],MATCH(tblMovement[[#This Row],[Source]],tblSources[Source],0)),"?"))</f>
        <v/>
      </c>
      <c r="L3531" s="63">
        <f>IF(tblMovement[[#This Row],[Destination]]="","",IFERROR(INDEX(tblDestinations[Type],MATCH(tblMovement[[#This Row],[Destination]],tblDestinations[Destination],0)),"?"))</f>
        <v/>
      </c>
      <c r="M3531" s="64">
        <f>IF(tblMovement[[#This Row],[Material]]="","",IF(LEFT(tblMovement[[#This Row],[Material]],3)="Ore",1,0))</f>
        <v/>
      </c>
      <c r="N3531" s="59">
        <f>IF(OR(tblMovement[[#This Row],[Tonnes_t]]="",tblMovement[[#This Row],[Grade_gpt]]=""),0,tblMovement[[#This Row],[Tonnes_t]]*tblMovement[[#This Row],[Grade_gpt]]/cfg_TroyOz)</f>
        <v/>
      </c>
      <c r="O3531" s="59">
        <f>IF(tblMovement[[#This Row],[Is_Ore]]=1,tblMovement[[#This Row],[Contained_oz]],0)</f>
        <v/>
      </c>
    </row>
    <row r="3532">
      <c r="A3532" s="54" t="n"/>
      <c r="B3532" s="61" t="n"/>
      <c r="C3532" s="61" t="n"/>
      <c r="D3532" s="61" t="n"/>
      <c r="E3532" s="61" t="n"/>
      <c r="F3532" s="55" t="n"/>
      <c r="G3532" s="56" t="n"/>
      <c r="H3532" s="55" t="n"/>
      <c r="I3532" s="62" t="n"/>
      <c r="J3532" s="58" t="n"/>
      <c r="K3532" s="63">
        <f>IF(tblMovement[[#This Row],[Source]]="","",IFERROR(INDEX(tblSources[Type],MATCH(tblMovement[[#This Row],[Source]],tblSources[Source],0)),"?"))</f>
        <v/>
      </c>
      <c r="L3532" s="63">
        <f>IF(tblMovement[[#This Row],[Destination]]="","",IFERROR(INDEX(tblDestinations[Type],MATCH(tblMovement[[#This Row],[Destination]],tblDestinations[Destination],0)),"?"))</f>
        <v/>
      </c>
      <c r="M3532" s="64">
        <f>IF(tblMovement[[#This Row],[Material]]="","",IF(LEFT(tblMovement[[#This Row],[Material]],3)="Ore",1,0))</f>
        <v/>
      </c>
      <c r="N3532" s="59">
        <f>IF(OR(tblMovement[[#This Row],[Tonnes_t]]="",tblMovement[[#This Row],[Grade_gpt]]=""),0,tblMovement[[#This Row],[Tonnes_t]]*tblMovement[[#This Row],[Grade_gpt]]/cfg_TroyOz)</f>
        <v/>
      </c>
      <c r="O3532" s="59">
        <f>IF(tblMovement[[#This Row],[Is_Ore]]=1,tblMovement[[#This Row],[Contained_oz]],0)</f>
        <v/>
      </c>
    </row>
    <row r="3533">
      <c r="A3533" s="54" t="n"/>
      <c r="B3533" s="61" t="n"/>
      <c r="C3533" s="61" t="n"/>
      <c r="D3533" s="61" t="n"/>
      <c r="E3533" s="61" t="n"/>
      <c r="F3533" s="55" t="n"/>
      <c r="G3533" s="56" t="n"/>
      <c r="H3533" s="55" t="n"/>
      <c r="I3533" s="62" t="n"/>
      <c r="J3533" s="58" t="n"/>
      <c r="K3533" s="63">
        <f>IF(tblMovement[[#This Row],[Source]]="","",IFERROR(INDEX(tblSources[Type],MATCH(tblMovement[[#This Row],[Source]],tblSources[Source],0)),"?"))</f>
        <v/>
      </c>
      <c r="L3533" s="63">
        <f>IF(tblMovement[[#This Row],[Destination]]="","",IFERROR(INDEX(tblDestinations[Type],MATCH(tblMovement[[#This Row],[Destination]],tblDestinations[Destination],0)),"?"))</f>
        <v/>
      </c>
      <c r="M3533" s="64">
        <f>IF(tblMovement[[#This Row],[Material]]="","",IF(LEFT(tblMovement[[#This Row],[Material]],3)="Ore",1,0))</f>
        <v/>
      </c>
      <c r="N3533" s="59">
        <f>IF(OR(tblMovement[[#This Row],[Tonnes_t]]="",tblMovement[[#This Row],[Grade_gpt]]=""),0,tblMovement[[#This Row],[Tonnes_t]]*tblMovement[[#This Row],[Grade_gpt]]/cfg_TroyOz)</f>
        <v/>
      </c>
      <c r="O3533" s="59">
        <f>IF(tblMovement[[#This Row],[Is_Ore]]=1,tblMovement[[#This Row],[Contained_oz]],0)</f>
        <v/>
      </c>
    </row>
    <row r="3534">
      <c r="A3534" s="54" t="n"/>
      <c r="B3534" s="61" t="n"/>
      <c r="C3534" s="61" t="n"/>
      <c r="D3534" s="61" t="n"/>
      <c r="E3534" s="61" t="n"/>
      <c r="F3534" s="55" t="n"/>
      <c r="G3534" s="56" t="n"/>
      <c r="H3534" s="55" t="n"/>
      <c r="I3534" s="62" t="n"/>
      <c r="J3534" s="58" t="n"/>
      <c r="K3534" s="63">
        <f>IF(tblMovement[[#This Row],[Source]]="","",IFERROR(INDEX(tblSources[Type],MATCH(tblMovement[[#This Row],[Source]],tblSources[Source],0)),"?"))</f>
        <v/>
      </c>
      <c r="L3534" s="63">
        <f>IF(tblMovement[[#This Row],[Destination]]="","",IFERROR(INDEX(tblDestinations[Type],MATCH(tblMovement[[#This Row],[Destination]],tblDestinations[Destination],0)),"?"))</f>
        <v/>
      </c>
      <c r="M3534" s="64">
        <f>IF(tblMovement[[#This Row],[Material]]="","",IF(LEFT(tblMovement[[#This Row],[Material]],3)="Ore",1,0))</f>
        <v/>
      </c>
      <c r="N3534" s="59">
        <f>IF(OR(tblMovement[[#This Row],[Tonnes_t]]="",tblMovement[[#This Row],[Grade_gpt]]=""),0,tblMovement[[#This Row],[Tonnes_t]]*tblMovement[[#This Row],[Grade_gpt]]/cfg_TroyOz)</f>
        <v/>
      </c>
      <c r="O3534" s="59">
        <f>IF(tblMovement[[#This Row],[Is_Ore]]=1,tblMovement[[#This Row],[Contained_oz]],0)</f>
        <v/>
      </c>
    </row>
    <row r="3535">
      <c r="A3535" s="54" t="n"/>
      <c r="B3535" s="61" t="n"/>
      <c r="C3535" s="61" t="n"/>
      <c r="D3535" s="61" t="n"/>
      <c r="E3535" s="61" t="n"/>
      <c r="F3535" s="55" t="n"/>
      <c r="G3535" s="56" t="n"/>
      <c r="H3535" s="55" t="n"/>
      <c r="I3535" s="62" t="n"/>
      <c r="J3535" s="58" t="n"/>
      <c r="K3535" s="63">
        <f>IF(tblMovement[[#This Row],[Source]]="","",IFERROR(INDEX(tblSources[Type],MATCH(tblMovement[[#This Row],[Source]],tblSources[Source],0)),"?"))</f>
        <v/>
      </c>
      <c r="L3535" s="63">
        <f>IF(tblMovement[[#This Row],[Destination]]="","",IFERROR(INDEX(tblDestinations[Type],MATCH(tblMovement[[#This Row],[Destination]],tblDestinations[Destination],0)),"?"))</f>
        <v/>
      </c>
      <c r="M3535" s="64">
        <f>IF(tblMovement[[#This Row],[Material]]="","",IF(LEFT(tblMovement[[#This Row],[Material]],3)="Ore",1,0))</f>
        <v/>
      </c>
      <c r="N3535" s="59">
        <f>IF(OR(tblMovement[[#This Row],[Tonnes_t]]="",tblMovement[[#This Row],[Grade_gpt]]=""),0,tblMovement[[#This Row],[Tonnes_t]]*tblMovement[[#This Row],[Grade_gpt]]/cfg_TroyOz)</f>
        <v/>
      </c>
      <c r="O3535" s="59">
        <f>IF(tblMovement[[#This Row],[Is_Ore]]=1,tblMovement[[#This Row],[Contained_oz]],0)</f>
        <v/>
      </c>
    </row>
    <row r="3536">
      <c r="A3536" s="54" t="n"/>
      <c r="B3536" s="61" t="n"/>
      <c r="C3536" s="61" t="n"/>
      <c r="D3536" s="61" t="n"/>
      <c r="E3536" s="61" t="n"/>
      <c r="F3536" s="55" t="n"/>
      <c r="G3536" s="56" t="n"/>
      <c r="H3536" s="55" t="n"/>
      <c r="I3536" s="62" t="n"/>
      <c r="J3536" s="58" t="n"/>
      <c r="K3536" s="63">
        <f>IF(tblMovement[[#This Row],[Source]]="","",IFERROR(INDEX(tblSources[Type],MATCH(tblMovement[[#This Row],[Source]],tblSources[Source],0)),"?"))</f>
        <v/>
      </c>
      <c r="L3536" s="63">
        <f>IF(tblMovement[[#This Row],[Destination]]="","",IFERROR(INDEX(tblDestinations[Type],MATCH(tblMovement[[#This Row],[Destination]],tblDestinations[Destination],0)),"?"))</f>
        <v/>
      </c>
      <c r="M3536" s="64">
        <f>IF(tblMovement[[#This Row],[Material]]="","",IF(LEFT(tblMovement[[#This Row],[Material]],3)="Ore",1,0))</f>
        <v/>
      </c>
      <c r="N3536" s="59">
        <f>IF(OR(tblMovement[[#This Row],[Tonnes_t]]="",tblMovement[[#This Row],[Grade_gpt]]=""),0,tblMovement[[#This Row],[Tonnes_t]]*tblMovement[[#This Row],[Grade_gpt]]/cfg_TroyOz)</f>
        <v/>
      </c>
      <c r="O3536" s="59">
        <f>IF(tblMovement[[#This Row],[Is_Ore]]=1,tblMovement[[#This Row],[Contained_oz]],0)</f>
        <v/>
      </c>
    </row>
    <row r="3537">
      <c r="A3537" s="54" t="n"/>
      <c r="B3537" s="61" t="n"/>
      <c r="C3537" s="61" t="n"/>
      <c r="D3537" s="61" t="n"/>
      <c r="E3537" s="61" t="n"/>
      <c r="F3537" s="55" t="n"/>
      <c r="G3537" s="56" t="n"/>
      <c r="H3537" s="55" t="n"/>
      <c r="I3537" s="62" t="n"/>
      <c r="J3537" s="58" t="n"/>
      <c r="K3537" s="63">
        <f>IF(tblMovement[[#This Row],[Source]]="","",IFERROR(INDEX(tblSources[Type],MATCH(tblMovement[[#This Row],[Source]],tblSources[Source],0)),"?"))</f>
        <v/>
      </c>
      <c r="L3537" s="63">
        <f>IF(tblMovement[[#This Row],[Destination]]="","",IFERROR(INDEX(tblDestinations[Type],MATCH(tblMovement[[#This Row],[Destination]],tblDestinations[Destination],0)),"?"))</f>
        <v/>
      </c>
      <c r="M3537" s="64">
        <f>IF(tblMovement[[#This Row],[Material]]="","",IF(LEFT(tblMovement[[#This Row],[Material]],3)="Ore",1,0))</f>
        <v/>
      </c>
      <c r="N3537" s="59">
        <f>IF(OR(tblMovement[[#This Row],[Tonnes_t]]="",tblMovement[[#This Row],[Grade_gpt]]=""),0,tblMovement[[#This Row],[Tonnes_t]]*tblMovement[[#This Row],[Grade_gpt]]/cfg_TroyOz)</f>
        <v/>
      </c>
      <c r="O3537" s="59">
        <f>IF(tblMovement[[#This Row],[Is_Ore]]=1,tblMovement[[#This Row],[Contained_oz]],0)</f>
        <v/>
      </c>
    </row>
    <row r="3538">
      <c r="A3538" s="54" t="n"/>
      <c r="B3538" s="61" t="n"/>
      <c r="C3538" s="61" t="n"/>
      <c r="D3538" s="61" t="n"/>
      <c r="E3538" s="61" t="n"/>
      <c r="F3538" s="55" t="n"/>
      <c r="G3538" s="56" t="n"/>
      <c r="H3538" s="55" t="n"/>
      <c r="I3538" s="62" t="n"/>
      <c r="J3538" s="58" t="n"/>
      <c r="K3538" s="63">
        <f>IF(tblMovement[[#This Row],[Source]]="","",IFERROR(INDEX(tblSources[Type],MATCH(tblMovement[[#This Row],[Source]],tblSources[Source],0)),"?"))</f>
        <v/>
      </c>
      <c r="L3538" s="63">
        <f>IF(tblMovement[[#This Row],[Destination]]="","",IFERROR(INDEX(tblDestinations[Type],MATCH(tblMovement[[#This Row],[Destination]],tblDestinations[Destination],0)),"?"))</f>
        <v/>
      </c>
      <c r="M3538" s="64">
        <f>IF(tblMovement[[#This Row],[Material]]="","",IF(LEFT(tblMovement[[#This Row],[Material]],3)="Ore",1,0))</f>
        <v/>
      </c>
      <c r="N3538" s="59">
        <f>IF(OR(tblMovement[[#This Row],[Tonnes_t]]="",tblMovement[[#This Row],[Grade_gpt]]=""),0,tblMovement[[#This Row],[Tonnes_t]]*tblMovement[[#This Row],[Grade_gpt]]/cfg_TroyOz)</f>
        <v/>
      </c>
      <c r="O3538" s="59">
        <f>IF(tblMovement[[#This Row],[Is_Ore]]=1,tblMovement[[#This Row],[Contained_oz]],0)</f>
        <v/>
      </c>
    </row>
    <row r="3539">
      <c r="A3539" s="54" t="n"/>
      <c r="B3539" s="61" t="n"/>
      <c r="C3539" s="61" t="n"/>
      <c r="D3539" s="61" t="n"/>
      <c r="E3539" s="61" t="n"/>
      <c r="F3539" s="55" t="n"/>
      <c r="G3539" s="56" t="n"/>
      <c r="H3539" s="55" t="n"/>
      <c r="I3539" s="62" t="n"/>
      <c r="J3539" s="58" t="n"/>
      <c r="K3539" s="63">
        <f>IF(tblMovement[[#This Row],[Source]]="","",IFERROR(INDEX(tblSources[Type],MATCH(tblMovement[[#This Row],[Source]],tblSources[Source],0)),"?"))</f>
        <v/>
      </c>
      <c r="L3539" s="63">
        <f>IF(tblMovement[[#This Row],[Destination]]="","",IFERROR(INDEX(tblDestinations[Type],MATCH(tblMovement[[#This Row],[Destination]],tblDestinations[Destination],0)),"?"))</f>
        <v/>
      </c>
      <c r="M3539" s="64">
        <f>IF(tblMovement[[#This Row],[Material]]="","",IF(LEFT(tblMovement[[#This Row],[Material]],3)="Ore",1,0))</f>
        <v/>
      </c>
      <c r="N3539" s="59">
        <f>IF(OR(tblMovement[[#This Row],[Tonnes_t]]="",tblMovement[[#This Row],[Grade_gpt]]=""),0,tblMovement[[#This Row],[Tonnes_t]]*tblMovement[[#This Row],[Grade_gpt]]/cfg_TroyOz)</f>
        <v/>
      </c>
      <c r="O3539" s="59">
        <f>IF(tblMovement[[#This Row],[Is_Ore]]=1,tblMovement[[#This Row],[Contained_oz]],0)</f>
        <v/>
      </c>
    </row>
    <row r="3540">
      <c r="A3540" s="54" t="n"/>
      <c r="B3540" s="61" t="n"/>
      <c r="C3540" s="61" t="n"/>
      <c r="D3540" s="61" t="n"/>
      <c r="E3540" s="61" t="n"/>
      <c r="F3540" s="55" t="n"/>
      <c r="G3540" s="56" t="n"/>
      <c r="H3540" s="55" t="n"/>
      <c r="I3540" s="62" t="n"/>
      <c r="J3540" s="58" t="n"/>
      <c r="K3540" s="63">
        <f>IF(tblMovement[[#This Row],[Source]]="","",IFERROR(INDEX(tblSources[Type],MATCH(tblMovement[[#This Row],[Source]],tblSources[Source],0)),"?"))</f>
        <v/>
      </c>
      <c r="L3540" s="63">
        <f>IF(tblMovement[[#This Row],[Destination]]="","",IFERROR(INDEX(tblDestinations[Type],MATCH(tblMovement[[#This Row],[Destination]],tblDestinations[Destination],0)),"?"))</f>
        <v/>
      </c>
      <c r="M3540" s="64">
        <f>IF(tblMovement[[#This Row],[Material]]="","",IF(LEFT(tblMovement[[#This Row],[Material]],3)="Ore",1,0))</f>
        <v/>
      </c>
      <c r="N3540" s="59">
        <f>IF(OR(tblMovement[[#This Row],[Tonnes_t]]="",tblMovement[[#This Row],[Grade_gpt]]=""),0,tblMovement[[#This Row],[Tonnes_t]]*tblMovement[[#This Row],[Grade_gpt]]/cfg_TroyOz)</f>
        <v/>
      </c>
      <c r="O3540" s="59">
        <f>IF(tblMovement[[#This Row],[Is_Ore]]=1,tblMovement[[#This Row],[Contained_oz]],0)</f>
        <v/>
      </c>
    </row>
    <row r="3541">
      <c r="A3541" s="54" t="n"/>
      <c r="B3541" s="61" t="n"/>
      <c r="C3541" s="61" t="n"/>
      <c r="D3541" s="61" t="n"/>
      <c r="E3541" s="61" t="n"/>
      <c r="F3541" s="55" t="n"/>
      <c r="G3541" s="56" t="n"/>
      <c r="H3541" s="55" t="n"/>
      <c r="I3541" s="62" t="n"/>
      <c r="J3541" s="58" t="n"/>
      <c r="K3541" s="63">
        <f>IF(tblMovement[[#This Row],[Source]]="","",IFERROR(INDEX(tblSources[Type],MATCH(tblMovement[[#This Row],[Source]],tblSources[Source],0)),"?"))</f>
        <v/>
      </c>
      <c r="L3541" s="63">
        <f>IF(tblMovement[[#This Row],[Destination]]="","",IFERROR(INDEX(tblDestinations[Type],MATCH(tblMovement[[#This Row],[Destination]],tblDestinations[Destination],0)),"?"))</f>
        <v/>
      </c>
      <c r="M3541" s="64">
        <f>IF(tblMovement[[#This Row],[Material]]="","",IF(LEFT(tblMovement[[#This Row],[Material]],3)="Ore",1,0))</f>
        <v/>
      </c>
      <c r="N3541" s="59">
        <f>IF(OR(tblMovement[[#This Row],[Tonnes_t]]="",tblMovement[[#This Row],[Grade_gpt]]=""),0,tblMovement[[#This Row],[Tonnes_t]]*tblMovement[[#This Row],[Grade_gpt]]/cfg_TroyOz)</f>
        <v/>
      </c>
      <c r="O3541" s="59">
        <f>IF(tblMovement[[#This Row],[Is_Ore]]=1,tblMovement[[#This Row],[Contained_oz]],0)</f>
        <v/>
      </c>
    </row>
    <row r="3542">
      <c r="A3542" s="54" t="n"/>
      <c r="B3542" s="61" t="n"/>
      <c r="C3542" s="61" t="n"/>
      <c r="D3542" s="61" t="n"/>
      <c r="E3542" s="61" t="n"/>
      <c r="F3542" s="55" t="n"/>
      <c r="G3542" s="56" t="n"/>
      <c r="H3542" s="55" t="n"/>
      <c r="I3542" s="62" t="n"/>
      <c r="J3542" s="58" t="n"/>
      <c r="K3542" s="63">
        <f>IF(tblMovement[[#This Row],[Source]]="","",IFERROR(INDEX(tblSources[Type],MATCH(tblMovement[[#This Row],[Source]],tblSources[Source],0)),"?"))</f>
        <v/>
      </c>
      <c r="L3542" s="63">
        <f>IF(tblMovement[[#This Row],[Destination]]="","",IFERROR(INDEX(tblDestinations[Type],MATCH(tblMovement[[#This Row],[Destination]],tblDestinations[Destination],0)),"?"))</f>
        <v/>
      </c>
      <c r="M3542" s="64">
        <f>IF(tblMovement[[#This Row],[Material]]="","",IF(LEFT(tblMovement[[#This Row],[Material]],3)="Ore",1,0))</f>
        <v/>
      </c>
      <c r="N3542" s="59">
        <f>IF(OR(tblMovement[[#This Row],[Tonnes_t]]="",tblMovement[[#This Row],[Grade_gpt]]=""),0,tblMovement[[#This Row],[Tonnes_t]]*tblMovement[[#This Row],[Grade_gpt]]/cfg_TroyOz)</f>
        <v/>
      </c>
      <c r="O3542" s="59">
        <f>IF(tblMovement[[#This Row],[Is_Ore]]=1,tblMovement[[#This Row],[Contained_oz]],0)</f>
        <v/>
      </c>
    </row>
    <row r="3543">
      <c r="A3543" s="54" t="n"/>
      <c r="B3543" s="61" t="n"/>
      <c r="C3543" s="61" t="n"/>
      <c r="D3543" s="61" t="n"/>
      <c r="E3543" s="61" t="n"/>
      <c r="F3543" s="55" t="n"/>
      <c r="G3543" s="56" t="n"/>
      <c r="H3543" s="55" t="n"/>
      <c r="I3543" s="62" t="n"/>
      <c r="J3543" s="58" t="n"/>
      <c r="K3543" s="63">
        <f>IF(tblMovement[[#This Row],[Source]]="","",IFERROR(INDEX(tblSources[Type],MATCH(tblMovement[[#This Row],[Source]],tblSources[Source],0)),"?"))</f>
        <v/>
      </c>
      <c r="L3543" s="63">
        <f>IF(tblMovement[[#This Row],[Destination]]="","",IFERROR(INDEX(tblDestinations[Type],MATCH(tblMovement[[#This Row],[Destination]],tblDestinations[Destination],0)),"?"))</f>
        <v/>
      </c>
      <c r="M3543" s="64">
        <f>IF(tblMovement[[#This Row],[Material]]="","",IF(LEFT(tblMovement[[#This Row],[Material]],3)="Ore",1,0))</f>
        <v/>
      </c>
      <c r="N3543" s="59">
        <f>IF(OR(tblMovement[[#This Row],[Tonnes_t]]="",tblMovement[[#This Row],[Grade_gpt]]=""),0,tblMovement[[#This Row],[Tonnes_t]]*tblMovement[[#This Row],[Grade_gpt]]/cfg_TroyOz)</f>
        <v/>
      </c>
      <c r="O3543" s="59">
        <f>IF(tblMovement[[#This Row],[Is_Ore]]=1,tblMovement[[#This Row],[Contained_oz]],0)</f>
        <v/>
      </c>
    </row>
    <row r="3544">
      <c r="A3544" s="54" t="n"/>
      <c r="B3544" s="61" t="n"/>
      <c r="C3544" s="61" t="n"/>
      <c r="D3544" s="61" t="n"/>
      <c r="E3544" s="61" t="n"/>
      <c r="F3544" s="55" t="n"/>
      <c r="G3544" s="56" t="n"/>
      <c r="H3544" s="55" t="n"/>
      <c r="I3544" s="62" t="n"/>
      <c r="J3544" s="58" t="n"/>
      <c r="K3544" s="63">
        <f>IF(tblMovement[[#This Row],[Source]]="","",IFERROR(INDEX(tblSources[Type],MATCH(tblMovement[[#This Row],[Source]],tblSources[Source],0)),"?"))</f>
        <v/>
      </c>
      <c r="L3544" s="63">
        <f>IF(tblMovement[[#This Row],[Destination]]="","",IFERROR(INDEX(tblDestinations[Type],MATCH(tblMovement[[#This Row],[Destination]],tblDestinations[Destination],0)),"?"))</f>
        <v/>
      </c>
      <c r="M3544" s="64">
        <f>IF(tblMovement[[#This Row],[Material]]="","",IF(LEFT(tblMovement[[#This Row],[Material]],3)="Ore",1,0))</f>
        <v/>
      </c>
      <c r="N3544" s="59">
        <f>IF(OR(tblMovement[[#This Row],[Tonnes_t]]="",tblMovement[[#This Row],[Grade_gpt]]=""),0,tblMovement[[#This Row],[Tonnes_t]]*tblMovement[[#This Row],[Grade_gpt]]/cfg_TroyOz)</f>
        <v/>
      </c>
      <c r="O3544" s="59">
        <f>IF(tblMovement[[#This Row],[Is_Ore]]=1,tblMovement[[#This Row],[Contained_oz]],0)</f>
        <v/>
      </c>
    </row>
    <row r="3545">
      <c r="A3545" s="54" t="n"/>
      <c r="B3545" s="61" t="n"/>
      <c r="C3545" s="61" t="n"/>
      <c r="D3545" s="61" t="n"/>
      <c r="E3545" s="61" t="n"/>
      <c r="F3545" s="55" t="n"/>
      <c r="G3545" s="56" t="n"/>
      <c r="H3545" s="55" t="n"/>
      <c r="I3545" s="62" t="n"/>
      <c r="J3545" s="58" t="n"/>
      <c r="K3545" s="63">
        <f>IF(tblMovement[[#This Row],[Source]]="","",IFERROR(INDEX(tblSources[Type],MATCH(tblMovement[[#This Row],[Source]],tblSources[Source],0)),"?"))</f>
        <v/>
      </c>
      <c r="L3545" s="63">
        <f>IF(tblMovement[[#This Row],[Destination]]="","",IFERROR(INDEX(tblDestinations[Type],MATCH(tblMovement[[#This Row],[Destination]],tblDestinations[Destination],0)),"?"))</f>
        <v/>
      </c>
      <c r="M3545" s="64">
        <f>IF(tblMovement[[#This Row],[Material]]="","",IF(LEFT(tblMovement[[#This Row],[Material]],3)="Ore",1,0))</f>
        <v/>
      </c>
      <c r="N3545" s="59">
        <f>IF(OR(tblMovement[[#This Row],[Tonnes_t]]="",tblMovement[[#This Row],[Grade_gpt]]=""),0,tblMovement[[#This Row],[Tonnes_t]]*tblMovement[[#This Row],[Grade_gpt]]/cfg_TroyOz)</f>
        <v/>
      </c>
      <c r="O3545" s="59">
        <f>IF(tblMovement[[#This Row],[Is_Ore]]=1,tblMovement[[#This Row],[Contained_oz]],0)</f>
        <v/>
      </c>
    </row>
    <row r="3546">
      <c r="A3546" s="54" t="n"/>
      <c r="B3546" s="61" t="n"/>
      <c r="C3546" s="61" t="n"/>
      <c r="D3546" s="61" t="n"/>
      <c r="E3546" s="61" t="n"/>
      <c r="F3546" s="55" t="n"/>
      <c r="G3546" s="56" t="n"/>
      <c r="H3546" s="55" t="n"/>
      <c r="I3546" s="62" t="n"/>
      <c r="J3546" s="58" t="n"/>
      <c r="K3546" s="63">
        <f>IF(tblMovement[[#This Row],[Source]]="","",IFERROR(INDEX(tblSources[Type],MATCH(tblMovement[[#This Row],[Source]],tblSources[Source],0)),"?"))</f>
        <v/>
      </c>
      <c r="L3546" s="63">
        <f>IF(tblMovement[[#This Row],[Destination]]="","",IFERROR(INDEX(tblDestinations[Type],MATCH(tblMovement[[#This Row],[Destination]],tblDestinations[Destination],0)),"?"))</f>
        <v/>
      </c>
      <c r="M3546" s="64">
        <f>IF(tblMovement[[#This Row],[Material]]="","",IF(LEFT(tblMovement[[#This Row],[Material]],3)="Ore",1,0))</f>
        <v/>
      </c>
      <c r="N3546" s="59">
        <f>IF(OR(tblMovement[[#This Row],[Tonnes_t]]="",tblMovement[[#This Row],[Grade_gpt]]=""),0,tblMovement[[#This Row],[Tonnes_t]]*tblMovement[[#This Row],[Grade_gpt]]/cfg_TroyOz)</f>
        <v/>
      </c>
      <c r="O3546" s="59">
        <f>IF(tblMovement[[#This Row],[Is_Ore]]=1,tblMovement[[#This Row],[Contained_oz]],0)</f>
        <v/>
      </c>
    </row>
    <row r="3547">
      <c r="A3547" s="54" t="n"/>
      <c r="B3547" s="61" t="n"/>
      <c r="C3547" s="61" t="n"/>
      <c r="D3547" s="61" t="n"/>
      <c r="E3547" s="61" t="n"/>
      <c r="F3547" s="55" t="n"/>
      <c r="G3547" s="56" t="n"/>
      <c r="H3547" s="55" t="n"/>
      <c r="I3547" s="62" t="n"/>
      <c r="J3547" s="58" t="n"/>
      <c r="K3547" s="63">
        <f>IF(tblMovement[[#This Row],[Source]]="","",IFERROR(INDEX(tblSources[Type],MATCH(tblMovement[[#This Row],[Source]],tblSources[Source],0)),"?"))</f>
        <v/>
      </c>
      <c r="L3547" s="63">
        <f>IF(tblMovement[[#This Row],[Destination]]="","",IFERROR(INDEX(tblDestinations[Type],MATCH(tblMovement[[#This Row],[Destination]],tblDestinations[Destination],0)),"?"))</f>
        <v/>
      </c>
      <c r="M3547" s="64">
        <f>IF(tblMovement[[#This Row],[Material]]="","",IF(LEFT(tblMovement[[#This Row],[Material]],3)="Ore",1,0))</f>
        <v/>
      </c>
      <c r="N3547" s="59">
        <f>IF(OR(tblMovement[[#This Row],[Tonnes_t]]="",tblMovement[[#This Row],[Grade_gpt]]=""),0,tblMovement[[#This Row],[Tonnes_t]]*tblMovement[[#This Row],[Grade_gpt]]/cfg_TroyOz)</f>
        <v/>
      </c>
      <c r="O3547" s="59">
        <f>IF(tblMovement[[#This Row],[Is_Ore]]=1,tblMovement[[#This Row],[Contained_oz]],0)</f>
        <v/>
      </c>
    </row>
    <row r="3548">
      <c r="A3548" s="54" t="n"/>
      <c r="B3548" s="61" t="n"/>
      <c r="C3548" s="61" t="n"/>
      <c r="D3548" s="61" t="n"/>
      <c r="E3548" s="61" t="n"/>
      <c r="F3548" s="55" t="n"/>
      <c r="G3548" s="56" t="n"/>
      <c r="H3548" s="55" t="n"/>
      <c r="I3548" s="62" t="n"/>
      <c r="J3548" s="58" t="n"/>
      <c r="K3548" s="63">
        <f>IF(tblMovement[[#This Row],[Source]]="","",IFERROR(INDEX(tblSources[Type],MATCH(tblMovement[[#This Row],[Source]],tblSources[Source],0)),"?"))</f>
        <v/>
      </c>
      <c r="L3548" s="63">
        <f>IF(tblMovement[[#This Row],[Destination]]="","",IFERROR(INDEX(tblDestinations[Type],MATCH(tblMovement[[#This Row],[Destination]],tblDestinations[Destination],0)),"?"))</f>
        <v/>
      </c>
      <c r="M3548" s="64">
        <f>IF(tblMovement[[#This Row],[Material]]="","",IF(LEFT(tblMovement[[#This Row],[Material]],3)="Ore",1,0))</f>
        <v/>
      </c>
      <c r="N3548" s="59">
        <f>IF(OR(tblMovement[[#This Row],[Tonnes_t]]="",tblMovement[[#This Row],[Grade_gpt]]=""),0,tblMovement[[#This Row],[Tonnes_t]]*tblMovement[[#This Row],[Grade_gpt]]/cfg_TroyOz)</f>
        <v/>
      </c>
      <c r="O3548" s="59">
        <f>IF(tblMovement[[#This Row],[Is_Ore]]=1,tblMovement[[#This Row],[Contained_oz]],0)</f>
        <v/>
      </c>
    </row>
    <row r="3549">
      <c r="A3549" s="54" t="n"/>
      <c r="B3549" s="61" t="n"/>
      <c r="C3549" s="61" t="n"/>
      <c r="D3549" s="61" t="n"/>
      <c r="E3549" s="61" t="n"/>
      <c r="F3549" s="55" t="n"/>
      <c r="G3549" s="56" t="n"/>
      <c r="H3549" s="55" t="n"/>
      <c r="I3549" s="62" t="n"/>
      <c r="J3549" s="58" t="n"/>
      <c r="K3549" s="63">
        <f>IF(tblMovement[[#This Row],[Source]]="","",IFERROR(INDEX(tblSources[Type],MATCH(tblMovement[[#This Row],[Source]],tblSources[Source],0)),"?"))</f>
        <v/>
      </c>
      <c r="L3549" s="63">
        <f>IF(tblMovement[[#This Row],[Destination]]="","",IFERROR(INDEX(tblDestinations[Type],MATCH(tblMovement[[#This Row],[Destination]],tblDestinations[Destination],0)),"?"))</f>
        <v/>
      </c>
      <c r="M3549" s="64">
        <f>IF(tblMovement[[#This Row],[Material]]="","",IF(LEFT(tblMovement[[#This Row],[Material]],3)="Ore",1,0))</f>
        <v/>
      </c>
      <c r="N3549" s="59">
        <f>IF(OR(tblMovement[[#This Row],[Tonnes_t]]="",tblMovement[[#This Row],[Grade_gpt]]=""),0,tblMovement[[#This Row],[Tonnes_t]]*tblMovement[[#This Row],[Grade_gpt]]/cfg_TroyOz)</f>
        <v/>
      </c>
      <c r="O3549" s="59">
        <f>IF(tblMovement[[#This Row],[Is_Ore]]=1,tblMovement[[#This Row],[Contained_oz]],0)</f>
        <v/>
      </c>
    </row>
    <row r="3550">
      <c r="A3550" s="54" t="n"/>
      <c r="B3550" s="61" t="n"/>
      <c r="C3550" s="61" t="n"/>
      <c r="D3550" s="61" t="n"/>
      <c r="E3550" s="61" t="n"/>
      <c r="F3550" s="55" t="n"/>
      <c r="G3550" s="56" t="n"/>
      <c r="H3550" s="55" t="n"/>
      <c r="I3550" s="62" t="n"/>
      <c r="J3550" s="58" t="n"/>
      <c r="K3550" s="63">
        <f>IF(tblMovement[[#This Row],[Source]]="","",IFERROR(INDEX(tblSources[Type],MATCH(tblMovement[[#This Row],[Source]],tblSources[Source],0)),"?"))</f>
        <v/>
      </c>
      <c r="L3550" s="63">
        <f>IF(tblMovement[[#This Row],[Destination]]="","",IFERROR(INDEX(tblDestinations[Type],MATCH(tblMovement[[#This Row],[Destination]],tblDestinations[Destination],0)),"?"))</f>
        <v/>
      </c>
      <c r="M3550" s="64">
        <f>IF(tblMovement[[#This Row],[Material]]="","",IF(LEFT(tblMovement[[#This Row],[Material]],3)="Ore",1,0))</f>
        <v/>
      </c>
      <c r="N3550" s="59">
        <f>IF(OR(tblMovement[[#This Row],[Tonnes_t]]="",tblMovement[[#This Row],[Grade_gpt]]=""),0,tblMovement[[#This Row],[Tonnes_t]]*tblMovement[[#This Row],[Grade_gpt]]/cfg_TroyOz)</f>
        <v/>
      </c>
      <c r="O3550" s="59">
        <f>IF(tblMovement[[#This Row],[Is_Ore]]=1,tblMovement[[#This Row],[Contained_oz]],0)</f>
        <v/>
      </c>
    </row>
    <row r="3551">
      <c r="A3551" s="54" t="n"/>
      <c r="B3551" s="61" t="n"/>
      <c r="C3551" s="61" t="n"/>
      <c r="D3551" s="61" t="n"/>
      <c r="E3551" s="61" t="n"/>
      <c r="F3551" s="55" t="n"/>
      <c r="G3551" s="56" t="n"/>
      <c r="H3551" s="55" t="n"/>
      <c r="I3551" s="62" t="n"/>
      <c r="J3551" s="58" t="n"/>
      <c r="K3551" s="63">
        <f>IF(tblMovement[[#This Row],[Source]]="","",IFERROR(INDEX(tblSources[Type],MATCH(tblMovement[[#This Row],[Source]],tblSources[Source],0)),"?"))</f>
        <v/>
      </c>
      <c r="L3551" s="63">
        <f>IF(tblMovement[[#This Row],[Destination]]="","",IFERROR(INDEX(tblDestinations[Type],MATCH(tblMovement[[#This Row],[Destination]],tblDestinations[Destination],0)),"?"))</f>
        <v/>
      </c>
      <c r="M3551" s="64">
        <f>IF(tblMovement[[#This Row],[Material]]="","",IF(LEFT(tblMovement[[#This Row],[Material]],3)="Ore",1,0))</f>
        <v/>
      </c>
      <c r="N3551" s="59">
        <f>IF(OR(tblMovement[[#This Row],[Tonnes_t]]="",tblMovement[[#This Row],[Grade_gpt]]=""),0,tblMovement[[#This Row],[Tonnes_t]]*tblMovement[[#This Row],[Grade_gpt]]/cfg_TroyOz)</f>
        <v/>
      </c>
      <c r="O3551" s="59">
        <f>IF(tblMovement[[#This Row],[Is_Ore]]=1,tblMovement[[#This Row],[Contained_oz]],0)</f>
        <v/>
      </c>
    </row>
    <row r="3552">
      <c r="A3552" s="54" t="n"/>
      <c r="B3552" s="61" t="n"/>
      <c r="C3552" s="61" t="n"/>
      <c r="D3552" s="61" t="n"/>
      <c r="E3552" s="61" t="n"/>
      <c r="F3552" s="55" t="n"/>
      <c r="G3552" s="56" t="n"/>
      <c r="H3552" s="55" t="n"/>
      <c r="I3552" s="62" t="n"/>
      <c r="J3552" s="58" t="n"/>
      <c r="K3552" s="63">
        <f>IF(tblMovement[[#This Row],[Source]]="","",IFERROR(INDEX(tblSources[Type],MATCH(tblMovement[[#This Row],[Source]],tblSources[Source],0)),"?"))</f>
        <v/>
      </c>
      <c r="L3552" s="63">
        <f>IF(tblMovement[[#This Row],[Destination]]="","",IFERROR(INDEX(tblDestinations[Type],MATCH(tblMovement[[#This Row],[Destination]],tblDestinations[Destination],0)),"?"))</f>
        <v/>
      </c>
      <c r="M3552" s="64">
        <f>IF(tblMovement[[#This Row],[Material]]="","",IF(LEFT(tblMovement[[#This Row],[Material]],3)="Ore",1,0))</f>
        <v/>
      </c>
      <c r="N3552" s="59">
        <f>IF(OR(tblMovement[[#This Row],[Tonnes_t]]="",tblMovement[[#This Row],[Grade_gpt]]=""),0,tblMovement[[#This Row],[Tonnes_t]]*tblMovement[[#This Row],[Grade_gpt]]/cfg_TroyOz)</f>
        <v/>
      </c>
      <c r="O3552" s="59">
        <f>IF(tblMovement[[#This Row],[Is_Ore]]=1,tblMovement[[#This Row],[Contained_oz]],0)</f>
        <v/>
      </c>
    </row>
    <row r="3553">
      <c r="A3553" s="54" t="n"/>
      <c r="B3553" s="61" t="n"/>
      <c r="C3553" s="61" t="n"/>
      <c r="D3553" s="61" t="n"/>
      <c r="E3553" s="61" t="n"/>
      <c r="F3553" s="55" t="n"/>
      <c r="G3553" s="56" t="n"/>
      <c r="H3553" s="55" t="n"/>
      <c r="I3553" s="62" t="n"/>
      <c r="J3553" s="58" t="n"/>
      <c r="K3553" s="63">
        <f>IF(tblMovement[[#This Row],[Source]]="","",IFERROR(INDEX(tblSources[Type],MATCH(tblMovement[[#This Row],[Source]],tblSources[Source],0)),"?"))</f>
        <v/>
      </c>
      <c r="L3553" s="63">
        <f>IF(tblMovement[[#This Row],[Destination]]="","",IFERROR(INDEX(tblDestinations[Type],MATCH(tblMovement[[#This Row],[Destination]],tblDestinations[Destination],0)),"?"))</f>
        <v/>
      </c>
      <c r="M3553" s="64">
        <f>IF(tblMovement[[#This Row],[Material]]="","",IF(LEFT(tblMovement[[#This Row],[Material]],3)="Ore",1,0))</f>
        <v/>
      </c>
      <c r="N3553" s="59">
        <f>IF(OR(tblMovement[[#This Row],[Tonnes_t]]="",tblMovement[[#This Row],[Grade_gpt]]=""),0,tblMovement[[#This Row],[Tonnes_t]]*tblMovement[[#This Row],[Grade_gpt]]/cfg_TroyOz)</f>
        <v/>
      </c>
      <c r="O3553" s="59">
        <f>IF(tblMovement[[#This Row],[Is_Ore]]=1,tblMovement[[#This Row],[Contained_oz]],0)</f>
        <v/>
      </c>
    </row>
    <row r="3554">
      <c r="A3554" s="54" t="n"/>
      <c r="B3554" s="61" t="n"/>
      <c r="C3554" s="61" t="n"/>
      <c r="D3554" s="61" t="n"/>
      <c r="E3554" s="61" t="n"/>
      <c r="F3554" s="55" t="n"/>
      <c r="G3554" s="56" t="n"/>
      <c r="H3554" s="55" t="n"/>
      <c r="I3554" s="62" t="n"/>
      <c r="J3554" s="58" t="n"/>
      <c r="K3554" s="63">
        <f>IF(tblMovement[[#This Row],[Source]]="","",IFERROR(INDEX(tblSources[Type],MATCH(tblMovement[[#This Row],[Source]],tblSources[Source],0)),"?"))</f>
        <v/>
      </c>
      <c r="L3554" s="63">
        <f>IF(tblMovement[[#This Row],[Destination]]="","",IFERROR(INDEX(tblDestinations[Type],MATCH(tblMovement[[#This Row],[Destination]],tblDestinations[Destination],0)),"?"))</f>
        <v/>
      </c>
      <c r="M3554" s="64">
        <f>IF(tblMovement[[#This Row],[Material]]="","",IF(LEFT(tblMovement[[#This Row],[Material]],3)="Ore",1,0))</f>
        <v/>
      </c>
      <c r="N3554" s="59">
        <f>IF(OR(tblMovement[[#This Row],[Tonnes_t]]="",tblMovement[[#This Row],[Grade_gpt]]=""),0,tblMovement[[#This Row],[Tonnes_t]]*tblMovement[[#This Row],[Grade_gpt]]/cfg_TroyOz)</f>
        <v/>
      </c>
      <c r="O3554" s="59">
        <f>IF(tblMovement[[#This Row],[Is_Ore]]=1,tblMovement[[#This Row],[Contained_oz]],0)</f>
        <v/>
      </c>
    </row>
    <row r="3555">
      <c r="A3555" s="54" t="n"/>
      <c r="B3555" s="61" t="n"/>
      <c r="C3555" s="61" t="n"/>
      <c r="D3555" s="61" t="n"/>
      <c r="E3555" s="61" t="n"/>
      <c r="F3555" s="55" t="n"/>
      <c r="G3555" s="56" t="n"/>
      <c r="H3555" s="55" t="n"/>
      <c r="I3555" s="62" t="n"/>
      <c r="J3555" s="58" t="n"/>
      <c r="K3555" s="63">
        <f>IF(tblMovement[[#This Row],[Source]]="","",IFERROR(INDEX(tblSources[Type],MATCH(tblMovement[[#This Row],[Source]],tblSources[Source],0)),"?"))</f>
        <v/>
      </c>
      <c r="L3555" s="63">
        <f>IF(tblMovement[[#This Row],[Destination]]="","",IFERROR(INDEX(tblDestinations[Type],MATCH(tblMovement[[#This Row],[Destination]],tblDestinations[Destination],0)),"?"))</f>
        <v/>
      </c>
      <c r="M3555" s="64">
        <f>IF(tblMovement[[#This Row],[Material]]="","",IF(LEFT(tblMovement[[#This Row],[Material]],3)="Ore",1,0))</f>
        <v/>
      </c>
      <c r="N3555" s="59">
        <f>IF(OR(tblMovement[[#This Row],[Tonnes_t]]="",tblMovement[[#This Row],[Grade_gpt]]=""),0,tblMovement[[#This Row],[Tonnes_t]]*tblMovement[[#This Row],[Grade_gpt]]/cfg_TroyOz)</f>
        <v/>
      </c>
      <c r="O3555" s="59">
        <f>IF(tblMovement[[#This Row],[Is_Ore]]=1,tblMovement[[#This Row],[Contained_oz]],0)</f>
        <v/>
      </c>
    </row>
    <row r="3556">
      <c r="A3556" s="54" t="n"/>
      <c r="B3556" s="61" t="n"/>
      <c r="C3556" s="61" t="n"/>
      <c r="D3556" s="61" t="n"/>
      <c r="E3556" s="61" t="n"/>
      <c r="F3556" s="55" t="n"/>
      <c r="G3556" s="56" t="n"/>
      <c r="H3556" s="55" t="n"/>
      <c r="I3556" s="62" t="n"/>
      <c r="J3556" s="58" t="n"/>
      <c r="K3556" s="63">
        <f>IF(tblMovement[[#This Row],[Source]]="","",IFERROR(INDEX(tblSources[Type],MATCH(tblMovement[[#This Row],[Source]],tblSources[Source],0)),"?"))</f>
        <v/>
      </c>
      <c r="L3556" s="63">
        <f>IF(tblMovement[[#This Row],[Destination]]="","",IFERROR(INDEX(tblDestinations[Type],MATCH(tblMovement[[#This Row],[Destination]],tblDestinations[Destination],0)),"?"))</f>
        <v/>
      </c>
      <c r="M3556" s="64">
        <f>IF(tblMovement[[#This Row],[Material]]="","",IF(LEFT(tblMovement[[#This Row],[Material]],3)="Ore",1,0))</f>
        <v/>
      </c>
      <c r="N3556" s="59">
        <f>IF(OR(tblMovement[[#This Row],[Tonnes_t]]="",tblMovement[[#This Row],[Grade_gpt]]=""),0,tblMovement[[#This Row],[Tonnes_t]]*tblMovement[[#This Row],[Grade_gpt]]/cfg_TroyOz)</f>
        <v/>
      </c>
      <c r="O3556" s="59">
        <f>IF(tblMovement[[#This Row],[Is_Ore]]=1,tblMovement[[#This Row],[Contained_oz]],0)</f>
        <v/>
      </c>
    </row>
    <row r="3557">
      <c r="A3557" s="54" t="n"/>
      <c r="B3557" s="61" t="n"/>
      <c r="C3557" s="61" t="n"/>
      <c r="D3557" s="61" t="n"/>
      <c r="E3557" s="61" t="n"/>
      <c r="F3557" s="55" t="n"/>
      <c r="G3557" s="56" t="n"/>
      <c r="H3557" s="55" t="n"/>
      <c r="I3557" s="62" t="n"/>
      <c r="J3557" s="58" t="n"/>
      <c r="K3557" s="63">
        <f>IF(tblMovement[[#This Row],[Source]]="","",IFERROR(INDEX(tblSources[Type],MATCH(tblMovement[[#This Row],[Source]],tblSources[Source],0)),"?"))</f>
        <v/>
      </c>
      <c r="L3557" s="63">
        <f>IF(tblMovement[[#This Row],[Destination]]="","",IFERROR(INDEX(tblDestinations[Type],MATCH(tblMovement[[#This Row],[Destination]],tblDestinations[Destination],0)),"?"))</f>
        <v/>
      </c>
      <c r="M3557" s="64">
        <f>IF(tblMovement[[#This Row],[Material]]="","",IF(LEFT(tblMovement[[#This Row],[Material]],3)="Ore",1,0))</f>
        <v/>
      </c>
      <c r="N3557" s="59">
        <f>IF(OR(tblMovement[[#This Row],[Tonnes_t]]="",tblMovement[[#This Row],[Grade_gpt]]=""),0,tblMovement[[#This Row],[Tonnes_t]]*tblMovement[[#This Row],[Grade_gpt]]/cfg_TroyOz)</f>
        <v/>
      </c>
      <c r="O3557" s="59">
        <f>IF(tblMovement[[#This Row],[Is_Ore]]=1,tblMovement[[#This Row],[Contained_oz]],0)</f>
        <v/>
      </c>
    </row>
    <row r="3558">
      <c r="A3558" s="54" t="n"/>
      <c r="B3558" s="61" t="n"/>
      <c r="C3558" s="61" t="n"/>
      <c r="D3558" s="61" t="n"/>
      <c r="E3558" s="61" t="n"/>
      <c r="F3558" s="55" t="n"/>
      <c r="G3558" s="56" t="n"/>
      <c r="H3558" s="55" t="n"/>
      <c r="I3558" s="62" t="n"/>
      <c r="J3558" s="58" t="n"/>
      <c r="K3558" s="63">
        <f>IF(tblMovement[[#This Row],[Source]]="","",IFERROR(INDEX(tblSources[Type],MATCH(tblMovement[[#This Row],[Source]],tblSources[Source],0)),"?"))</f>
        <v/>
      </c>
      <c r="L3558" s="63">
        <f>IF(tblMovement[[#This Row],[Destination]]="","",IFERROR(INDEX(tblDestinations[Type],MATCH(tblMovement[[#This Row],[Destination]],tblDestinations[Destination],0)),"?"))</f>
        <v/>
      </c>
      <c r="M3558" s="64">
        <f>IF(tblMovement[[#This Row],[Material]]="","",IF(LEFT(tblMovement[[#This Row],[Material]],3)="Ore",1,0))</f>
        <v/>
      </c>
      <c r="N3558" s="59">
        <f>IF(OR(tblMovement[[#This Row],[Tonnes_t]]="",tblMovement[[#This Row],[Grade_gpt]]=""),0,tblMovement[[#This Row],[Tonnes_t]]*tblMovement[[#This Row],[Grade_gpt]]/cfg_TroyOz)</f>
        <v/>
      </c>
      <c r="O3558" s="59">
        <f>IF(tblMovement[[#This Row],[Is_Ore]]=1,tblMovement[[#This Row],[Contained_oz]],0)</f>
        <v/>
      </c>
    </row>
    <row r="3559">
      <c r="A3559" s="54" t="n"/>
      <c r="B3559" s="61" t="n"/>
      <c r="C3559" s="61" t="n"/>
      <c r="D3559" s="61" t="n"/>
      <c r="E3559" s="61" t="n"/>
      <c r="F3559" s="55" t="n"/>
      <c r="G3559" s="56" t="n"/>
      <c r="H3559" s="55" t="n"/>
      <c r="I3559" s="62" t="n"/>
      <c r="J3559" s="58" t="n"/>
      <c r="K3559" s="63">
        <f>IF(tblMovement[[#This Row],[Source]]="","",IFERROR(INDEX(tblSources[Type],MATCH(tblMovement[[#This Row],[Source]],tblSources[Source],0)),"?"))</f>
        <v/>
      </c>
      <c r="L3559" s="63">
        <f>IF(tblMovement[[#This Row],[Destination]]="","",IFERROR(INDEX(tblDestinations[Type],MATCH(tblMovement[[#This Row],[Destination]],tblDestinations[Destination],0)),"?"))</f>
        <v/>
      </c>
      <c r="M3559" s="64">
        <f>IF(tblMovement[[#This Row],[Material]]="","",IF(LEFT(tblMovement[[#This Row],[Material]],3)="Ore",1,0))</f>
        <v/>
      </c>
      <c r="N3559" s="59">
        <f>IF(OR(tblMovement[[#This Row],[Tonnes_t]]="",tblMovement[[#This Row],[Grade_gpt]]=""),0,tblMovement[[#This Row],[Tonnes_t]]*tblMovement[[#This Row],[Grade_gpt]]/cfg_TroyOz)</f>
        <v/>
      </c>
      <c r="O3559" s="59">
        <f>IF(tblMovement[[#This Row],[Is_Ore]]=1,tblMovement[[#This Row],[Contained_oz]],0)</f>
        <v/>
      </c>
    </row>
    <row r="3560">
      <c r="A3560" s="54" t="n"/>
      <c r="B3560" s="61" t="n"/>
      <c r="C3560" s="61" t="n"/>
      <c r="D3560" s="61" t="n"/>
      <c r="E3560" s="61" t="n"/>
      <c r="F3560" s="55" t="n"/>
      <c r="G3560" s="56" t="n"/>
      <c r="H3560" s="55" t="n"/>
      <c r="I3560" s="62" t="n"/>
      <c r="J3560" s="58" t="n"/>
      <c r="K3560" s="63">
        <f>IF(tblMovement[[#This Row],[Source]]="","",IFERROR(INDEX(tblSources[Type],MATCH(tblMovement[[#This Row],[Source]],tblSources[Source],0)),"?"))</f>
        <v/>
      </c>
      <c r="L3560" s="63">
        <f>IF(tblMovement[[#This Row],[Destination]]="","",IFERROR(INDEX(tblDestinations[Type],MATCH(tblMovement[[#This Row],[Destination]],tblDestinations[Destination],0)),"?"))</f>
        <v/>
      </c>
      <c r="M3560" s="64">
        <f>IF(tblMovement[[#This Row],[Material]]="","",IF(LEFT(tblMovement[[#This Row],[Material]],3)="Ore",1,0))</f>
        <v/>
      </c>
      <c r="N3560" s="59">
        <f>IF(OR(tblMovement[[#This Row],[Tonnes_t]]="",tblMovement[[#This Row],[Grade_gpt]]=""),0,tblMovement[[#This Row],[Tonnes_t]]*tblMovement[[#This Row],[Grade_gpt]]/cfg_TroyOz)</f>
        <v/>
      </c>
      <c r="O3560" s="59">
        <f>IF(tblMovement[[#This Row],[Is_Ore]]=1,tblMovement[[#This Row],[Contained_oz]],0)</f>
        <v/>
      </c>
    </row>
    <row r="3561">
      <c r="A3561" s="54" t="n"/>
      <c r="B3561" s="61" t="n"/>
      <c r="C3561" s="61" t="n"/>
      <c r="D3561" s="61" t="n"/>
      <c r="E3561" s="61" t="n"/>
      <c r="F3561" s="55" t="n"/>
      <c r="G3561" s="56" t="n"/>
      <c r="H3561" s="55" t="n"/>
      <c r="I3561" s="62" t="n"/>
      <c r="J3561" s="58" t="n"/>
      <c r="K3561" s="63">
        <f>IF(tblMovement[[#This Row],[Source]]="","",IFERROR(INDEX(tblSources[Type],MATCH(tblMovement[[#This Row],[Source]],tblSources[Source],0)),"?"))</f>
        <v/>
      </c>
      <c r="L3561" s="63">
        <f>IF(tblMovement[[#This Row],[Destination]]="","",IFERROR(INDEX(tblDestinations[Type],MATCH(tblMovement[[#This Row],[Destination]],tblDestinations[Destination],0)),"?"))</f>
        <v/>
      </c>
      <c r="M3561" s="64">
        <f>IF(tblMovement[[#This Row],[Material]]="","",IF(LEFT(tblMovement[[#This Row],[Material]],3)="Ore",1,0))</f>
        <v/>
      </c>
      <c r="N3561" s="59">
        <f>IF(OR(tblMovement[[#This Row],[Tonnes_t]]="",tblMovement[[#This Row],[Grade_gpt]]=""),0,tblMovement[[#This Row],[Tonnes_t]]*tblMovement[[#This Row],[Grade_gpt]]/cfg_TroyOz)</f>
        <v/>
      </c>
      <c r="O3561" s="59">
        <f>IF(tblMovement[[#This Row],[Is_Ore]]=1,tblMovement[[#This Row],[Contained_oz]],0)</f>
        <v/>
      </c>
    </row>
    <row r="3562">
      <c r="A3562" s="54" t="n"/>
      <c r="B3562" s="61" t="n"/>
      <c r="C3562" s="61" t="n"/>
      <c r="D3562" s="61" t="n"/>
      <c r="E3562" s="61" t="n"/>
      <c r="F3562" s="55" t="n"/>
      <c r="G3562" s="56" t="n"/>
      <c r="H3562" s="55" t="n"/>
      <c r="I3562" s="62" t="n"/>
      <c r="J3562" s="58" t="n"/>
      <c r="K3562" s="63">
        <f>IF(tblMovement[[#This Row],[Source]]="","",IFERROR(INDEX(tblSources[Type],MATCH(tblMovement[[#This Row],[Source]],tblSources[Source],0)),"?"))</f>
        <v/>
      </c>
      <c r="L3562" s="63">
        <f>IF(tblMovement[[#This Row],[Destination]]="","",IFERROR(INDEX(tblDestinations[Type],MATCH(tblMovement[[#This Row],[Destination]],tblDestinations[Destination],0)),"?"))</f>
        <v/>
      </c>
      <c r="M3562" s="64">
        <f>IF(tblMovement[[#This Row],[Material]]="","",IF(LEFT(tblMovement[[#This Row],[Material]],3)="Ore",1,0))</f>
        <v/>
      </c>
      <c r="N3562" s="59">
        <f>IF(OR(tblMovement[[#This Row],[Tonnes_t]]="",tblMovement[[#This Row],[Grade_gpt]]=""),0,tblMovement[[#This Row],[Tonnes_t]]*tblMovement[[#This Row],[Grade_gpt]]/cfg_TroyOz)</f>
        <v/>
      </c>
      <c r="O3562" s="59">
        <f>IF(tblMovement[[#This Row],[Is_Ore]]=1,tblMovement[[#This Row],[Contained_oz]],0)</f>
        <v/>
      </c>
    </row>
    <row r="3563">
      <c r="A3563" s="54" t="n"/>
      <c r="B3563" s="61" t="n"/>
      <c r="C3563" s="61" t="n"/>
      <c r="D3563" s="61" t="n"/>
      <c r="E3563" s="61" t="n"/>
      <c r="F3563" s="55" t="n"/>
      <c r="G3563" s="56" t="n"/>
      <c r="H3563" s="55" t="n"/>
      <c r="I3563" s="62" t="n"/>
      <c r="J3563" s="58" t="n"/>
      <c r="K3563" s="63">
        <f>IF(tblMovement[[#This Row],[Source]]="","",IFERROR(INDEX(tblSources[Type],MATCH(tblMovement[[#This Row],[Source]],tblSources[Source],0)),"?"))</f>
        <v/>
      </c>
      <c r="L3563" s="63">
        <f>IF(tblMovement[[#This Row],[Destination]]="","",IFERROR(INDEX(tblDestinations[Type],MATCH(tblMovement[[#This Row],[Destination]],tblDestinations[Destination],0)),"?"))</f>
        <v/>
      </c>
      <c r="M3563" s="64">
        <f>IF(tblMovement[[#This Row],[Material]]="","",IF(LEFT(tblMovement[[#This Row],[Material]],3)="Ore",1,0))</f>
        <v/>
      </c>
      <c r="N3563" s="59">
        <f>IF(OR(tblMovement[[#This Row],[Tonnes_t]]="",tblMovement[[#This Row],[Grade_gpt]]=""),0,tblMovement[[#This Row],[Tonnes_t]]*tblMovement[[#This Row],[Grade_gpt]]/cfg_TroyOz)</f>
        <v/>
      </c>
      <c r="O3563" s="59">
        <f>IF(tblMovement[[#This Row],[Is_Ore]]=1,tblMovement[[#This Row],[Contained_oz]],0)</f>
        <v/>
      </c>
    </row>
    <row r="3564">
      <c r="A3564" s="54" t="n"/>
      <c r="B3564" s="61" t="n"/>
      <c r="C3564" s="61" t="n"/>
      <c r="D3564" s="61" t="n"/>
      <c r="E3564" s="61" t="n"/>
      <c r="F3564" s="55" t="n"/>
      <c r="G3564" s="56" t="n"/>
      <c r="H3564" s="55" t="n"/>
      <c r="I3564" s="62" t="n"/>
      <c r="J3564" s="58" t="n"/>
      <c r="K3564" s="63">
        <f>IF(tblMovement[[#This Row],[Source]]="","",IFERROR(INDEX(tblSources[Type],MATCH(tblMovement[[#This Row],[Source]],tblSources[Source],0)),"?"))</f>
        <v/>
      </c>
      <c r="L3564" s="63">
        <f>IF(tblMovement[[#This Row],[Destination]]="","",IFERROR(INDEX(tblDestinations[Type],MATCH(tblMovement[[#This Row],[Destination]],tblDestinations[Destination],0)),"?"))</f>
        <v/>
      </c>
      <c r="M3564" s="64">
        <f>IF(tblMovement[[#This Row],[Material]]="","",IF(LEFT(tblMovement[[#This Row],[Material]],3)="Ore",1,0))</f>
        <v/>
      </c>
      <c r="N3564" s="59">
        <f>IF(OR(tblMovement[[#This Row],[Tonnes_t]]="",tblMovement[[#This Row],[Grade_gpt]]=""),0,tblMovement[[#This Row],[Tonnes_t]]*tblMovement[[#This Row],[Grade_gpt]]/cfg_TroyOz)</f>
        <v/>
      </c>
      <c r="O3564" s="59">
        <f>IF(tblMovement[[#This Row],[Is_Ore]]=1,tblMovement[[#This Row],[Contained_oz]],0)</f>
        <v/>
      </c>
    </row>
    <row r="3565">
      <c r="A3565" s="54" t="n"/>
      <c r="B3565" s="61" t="n"/>
      <c r="C3565" s="61" t="n"/>
      <c r="D3565" s="61" t="n"/>
      <c r="E3565" s="61" t="n"/>
      <c r="F3565" s="55" t="n"/>
      <c r="G3565" s="56" t="n"/>
      <c r="H3565" s="55" t="n"/>
      <c r="I3565" s="62" t="n"/>
      <c r="J3565" s="58" t="n"/>
      <c r="K3565" s="63">
        <f>IF(tblMovement[[#This Row],[Source]]="","",IFERROR(INDEX(tblSources[Type],MATCH(tblMovement[[#This Row],[Source]],tblSources[Source],0)),"?"))</f>
        <v/>
      </c>
      <c r="L3565" s="63">
        <f>IF(tblMovement[[#This Row],[Destination]]="","",IFERROR(INDEX(tblDestinations[Type],MATCH(tblMovement[[#This Row],[Destination]],tblDestinations[Destination],0)),"?"))</f>
        <v/>
      </c>
      <c r="M3565" s="64">
        <f>IF(tblMovement[[#This Row],[Material]]="","",IF(LEFT(tblMovement[[#This Row],[Material]],3)="Ore",1,0))</f>
        <v/>
      </c>
      <c r="N3565" s="59">
        <f>IF(OR(tblMovement[[#This Row],[Tonnes_t]]="",tblMovement[[#This Row],[Grade_gpt]]=""),0,tblMovement[[#This Row],[Tonnes_t]]*tblMovement[[#This Row],[Grade_gpt]]/cfg_TroyOz)</f>
        <v/>
      </c>
      <c r="O3565" s="59">
        <f>IF(tblMovement[[#This Row],[Is_Ore]]=1,tblMovement[[#This Row],[Contained_oz]],0)</f>
        <v/>
      </c>
    </row>
    <row r="3566">
      <c r="A3566" s="54" t="n"/>
      <c r="B3566" s="61" t="n"/>
      <c r="C3566" s="61" t="n"/>
      <c r="D3566" s="61" t="n"/>
      <c r="E3566" s="61" t="n"/>
      <c r="F3566" s="55" t="n"/>
      <c r="G3566" s="56" t="n"/>
      <c r="H3566" s="55" t="n"/>
      <c r="I3566" s="62" t="n"/>
      <c r="J3566" s="58" t="n"/>
      <c r="K3566" s="63">
        <f>IF(tblMovement[[#This Row],[Source]]="","",IFERROR(INDEX(tblSources[Type],MATCH(tblMovement[[#This Row],[Source]],tblSources[Source],0)),"?"))</f>
        <v/>
      </c>
      <c r="L3566" s="63">
        <f>IF(tblMovement[[#This Row],[Destination]]="","",IFERROR(INDEX(tblDestinations[Type],MATCH(tblMovement[[#This Row],[Destination]],tblDestinations[Destination],0)),"?"))</f>
        <v/>
      </c>
      <c r="M3566" s="64">
        <f>IF(tblMovement[[#This Row],[Material]]="","",IF(LEFT(tblMovement[[#This Row],[Material]],3)="Ore",1,0))</f>
        <v/>
      </c>
      <c r="N3566" s="59">
        <f>IF(OR(tblMovement[[#This Row],[Tonnes_t]]="",tblMovement[[#This Row],[Grade_gpt]]=""),0,tblMovement[[#This Row],[Tonnes_t]]*tblMovement[[#This Row],[Grade_gpt]]/cfg_TroyOz)</f>
        <v/>
      </c>
      <c r="O3566" s="59">
        <f>IF(tblMovement[[#This Row],[Is_Ore]]=1,tblMovement[[#This Row],[Contained_oz]],0)</f>
        <v/>
      </c>
    </row>
    <row r="3567">
      <c r="A3567" s="54" t="n"/>
      <c r="B3567" s="61" t="n"/>
      <c r="C3567" s="61" t="n"/>
      <c r="D3567" s="61" t="n"/>
      <c r="E3567" s="61" t="n"/>
      <c r="F3567" s="55" t="n"/>
      <c r="G3567" s="56" t="n"/>
      <c r="H3567" s="55" t="n"/>
      <c r="I3567" s="62" t="n"/>
      <c r="J3567" s="58" t="n"/>
      <c r="K3567" s="63">
        <f>IF(tblMovement[[#This Row],[Source]]="","",IFERROR(INDEX(tblSources[Type],MATCH(tblMovement[[#This Row],[Source]],tblSources[Source],0)),"?"))</f>
        <v/>
      </c>
      <c r="L3567" s="63">
        <f>IF(tblMovement[[#This Row],[Destination]]="","",IFERROR(INDEX(tblDestinations[Type],MATCH(tblMovement[[#This Row],[Destination]],tblDestinations[Destination],0)),"?"))</f>
        <v/>
      </c>
      <c r="M3567" s="64">
        <f>IF(tblMovement[[#This Row],[Material]]="","",IF(LEFT(tblMovement[[#This Row],[Material]],3)="Ore",1,0))</f>
        <v/>
      </c>
      <c r="N3567" s="59">
        <f>IF(OR(tblMovement[[#This Row],[Tonnes_t]]="",tblMovement[[#This Row],[Grade_gpt]]=""),0,tblMovement[[#This Row],[Tonnes_t]]*tblMovement[[#This Row],[Grade_gpt]]/cfg_TroyOz)</f>
        <v/>
      </c>
      <c r="O3567" s="59">
        <f>IF(tblMovement[[#This Row],[Is_Ore]]=1,tblMovement[[#This Row],[Contained_oz]],0)</f>
        <v/>
      </c>
    </row>
    <row r="3568">
      <c r="A3568" s="54" t="n"/>
      <c r="B3568" s="61" t="n"/>
      <c r="C3568" s="61" t="n"/>
      <c r="D3568" s="61" t="n"/>
      <c r="E3568" s="61" t="n"/>
      <c r="F3568" s="55" t="n"/>
      <c r="G3568" s="56" t="n"/>
      <c r="H3568" s="55" t="n"/>
      <c r="I3568" s="62" t="n"/>
      <c r="J3568" s="58" t="n"/>
      <c r="K3568" s="63">
        <f>IF(tblMovement[[#This Row],[Source]]="","",IFERROR(INDEX(tblSources[Type],MATCH(tblMovement[[#This Row],[Source]],tblSources[Source],0)),"?"))</f>
        <v/>
      </c>
      <c r="L3568" s="63">
        <f>IF(tblMovement[[#This Row],[Destination]]="","",IFERROR(INDEX(tblDestinations[Type],MATCH(tblMovement[[#This Row],[Destination]],tblDestinations[Destination],0)),"?"))</f>
        <v/>
      </c>
      <c r="M3568" s="64">
        <f>IF(tblMovement[[#This Row],[Material]]="","",IF(LEFT(tblMovement[[#This Row],[Material]],3)="Ore",1,0))</f>
        <v/>
      </c>
      <c r="N3568" s="59">
        <f>IF(OR(tblMovement[[#This Row],[Tonnes_t]]="",tblMovement[[#This Row],[Grade_gpt]]=""),0,tblMovement[[#This Row],[Tonnes_t]]*tblMovement[[#This Row],[Grade_gpt]]/cfg_TroyOz)</f>
        <v/>
      </c>
      <c r="O3568" s="59">
        <f>IF(tblMovement[[#This Row],[Is_Ore]]=1,tblMovement[[#This Row],[Contained_oz]],0)</f>
        <v/>
      </c>
    </row>
    <row r="3569">
      <c r="A3569" s="54" t="n"/>
      <c r="B3569" s="61" t="n"/>
      <c r="C3569" s="61" t="n"/>
      <c r="D3569" s="61" t="n"/>
      <c r="E3569" s="61" t="n"/>
      <c r="F3569" s="55" t="n"/>
      <c r="G3569" s="56" t="n"/>
      <c r="H3569" s="55" t="n"/>
      <c r="I3569" s="62" t="n"/>
      <c r="J3569" s="58" t="n"/>
      <c r="K3569" s="63">
        <f>IF(tblMovement[[#This Row],[Source]]="","",IFERROR(INDEX(tblSources[Type],MATCH(tblMovement[[#This Row],[Source]],tblSources[Source],0)),"?"))</f>
        <v/>
      </c>
      <c r="L3569" s="63">
        <f>IF(tblMovement[[#This Row],[Destination]]="","",IFERROR(INDEX(tblDestinations[Type],MATCH(tblMovement[[#This Row],[Destination]],tblDestinations[Destination],0)),"?"))</f>
        <v/>
      </c>
      <c r="M3569" s="64">
        <f>IF(tblMovement[[#This Row],[Material]]="","",IF(LEFT(tblMovement[[#This Row],[Material]],3)="Ore",1,0))</f>
        <v/>
      </c>
      <c r="N3569" s="59">
        <f>IF(OR(tblMovement[[#This Row],[Tonnes_t]]="",tblMovement[[#This Row],[Grade_gpt]]=""),0,tblMovement[[#This Row],[Tonnes_t]]*tblMovement[[#This Row],[Grade_gpt]]/cfg_TroyOz)</f>
        <v/>
      </c>
      <c r="O3569" s="59">
        <f>IF(tblMovement[[#This Row],[Is_Ore]]=1,tblMovement[[#This Row],[Contained_oz]],0)</f>
        <v/>
      </c>
    </row>
    <row r="3570">
      <c r="A3570" s="54" t="n"/>
      <c r="B3570" s="61" t="n"/>
      <c r="C3570" s="61" t="n"/>
      <c r="D3570" s="61" t="n"/>
      <c r="E3570" s="61" t="n"/>
      <c r="F3570" s="55" t="n"/>
      <c r="G3570" s="56" t="n"/>
      <c r="H3570" s="55" t="n"/>
      <c r="I3570" s="62" t="n"/>
      <c r="J3570" s="58" t="n"/>
      <c r="K3570" s="63">
        <f>IF(tblMovement[[#This Row],[Source]]="","",IFERROR(INDEX(tblSources[Type],MATCH(tblMovement[[#This Row],[Source]],tblSources[Source],0)),"?"))</f>
        <v/>
      </c>
      <c r="L3570" s="63">
        <f>IF(tblMovement[[#This Row],[Destination]]="","",IFERROR(INDEX(tblDestinations[Type],MATCH(tblMovement[[#This Row],[Destination]],tblDestinations[Destination],0)),"?"))</f>
        <v/>
      </c>
      <c r="M3570" s="64">
        <f>IF(tblMovement[[#This Row],[Material]]="","",IF(LEFT(tblMovement[[#This Row],[Material]],3)="Ore",1,0))</f>
        <v/>
      </c>
      <c r="N3570" s="59">
        <f>IF(OR(tblMovement[[#This Row],[Tonnes_t]]="",tblMovement[[#This Row],[Grade_gpt]]=""),0,tblMovement[[#This Row],[Tonnes_t]]*tblMovement[[#This Row],[Grade_gpt]]/cfg_TroyOz)</f>
        <v/>
      </c>
      <c r="O3570" s="59">
        <f>IF(tblMovement[[#This Row],[Is_Ore]]=1,tblMovement[[#This Row],[Contained_oz]],0)</f>
        <v/>
      </c>
    </row>
    <row r="3571">
      <c r="A3571" s="54" t="n"/>
      <c r="B3571" s="61" t="n"/>
      <c r="C3571" s="61" t="n"/>
      <c r="D3571" s="61" t="n"/>
      <c r="E3571" s="61" t="n"/>
      <c r="F3571" s="55" t="n"/>
      <c r="G3571" s="56" t="n"/>
      <c r="H3571" s="55" t="n"/>
      <c r="I3571" s="62" t="n"/>
      <c r="J3571" s="58" t="n"/>
      <c r="K3571" s="63">
        <f>IF(tblMovement[[#This Row],[Source]]="","",IFERROR(INDEX(tblSources[Type],MATCH(tblMovement[[#This Row],[Source]],tblSources[Source],0)),"?"))</f>
        <v/>
      </c>
      <c r="L3571" s="63">
        <f>IF(tblMovement[[#This Row],[Destination]]="","",IFERROR(INDEX(tblDestinations[Type],MATCH(tblMovement[[#This Row],[Destination]],tblDestinations[Destination],0)),"?"))</f>
        <v/>
      </c>
      <c r="M3571" s="64">
        <f>IF(tblMovement[[#This Row],[Material]]="","",IF(LEFT(tblMovement[[#This Row],[Material]],3)="Ore",1,0))</f>
        <v/>
      </c>
      <c r="N3571" s="59">
        <f>IF(OR(tblMovement[[#This Row],[Tonnes_t]]="",tblMovement[[#This Row],[Grade_gpt]]=""),0,tblMovement[[#This Row],[Tonnes_t]]*tblMovement[[#This Row],[Grade_gpt]]/cfg_TroyOz)</f>
        <v/>
      </c>
      <c r="O3571" s="59">
        <f>IF(tblMovement[[#This Row],[Is_Ore]]=1,tblMovement[[#This Row],[Contained_oz]],0)</f>
        <v/>
      </c>
    </row>
    <row r="3572">
      <c r="A3572" s="54" t="n"/>
      <c r="B3572" s="61" t="n"/>
      <c r="C3572" s="61" t="n"/>
      <c r="D3572" s="61" t="n"/>
      <c r="E3572" s="61" t="n"/>
      <c r="F3572" s="55" t="n"/>
      <c r="G3572" s="56" t="n"/>
      <c r="H3572" s="55" t="n"/>
      <c r="I3572" s="62" t="n"/>
      <c r="J3572" s="58" t="n"/>
      <c r="K3572" s="63">
        <f>IF(tblMovement[[#This Row],[Source]]="","",IFERROR(INDEX(tblSources[Type],MATCH(tblMovement[[#This Row],[Source]],tblSources[Source],0)),"?"))</f>
        <v/>
      </c>
      <c r="L3572" s="63">
        <f>IF(tblMovement[[#This Row],[Destination]]="","",IFERROR(INDEX(tblDestinations[Type],MATCH(tblMovement[[#This Row],[Destination]],tblDestinations[Destination],0)),"?"))</f>
        <v/>
      </c>
      <c r="M3572" s="64">
        <f>IF(tblMovement[[#This Row],[Material]]="","",IF(LEFT(tblMovement[[#This Row],[Material]],3)="Ore",1,0))</f>
        <v/>
      </c>
      <c r="N3572" s="59">
        <f>IF(OR(tblMovement[[#This Row],[Tonnes_t]]="",tblMovement[[#This Row],[Grade_gpt]]=""),0,tblMovement[[#This Row],[Tonnes_t]]*tblMovement[[#This Row],[Grade_gpt]]/cfg_TroyOz)</f>
        <v/>
      </c>
      <c r="O3572" s="59">
        <f>IF(tblMovement[[#This Row],[Is_Ore]]=1,tblMovement[[#This Row],[Contained_oz]],0)</f>
        <v/>
      </c>
    </row>
    <row r="3573">
      <c r="A3573" s="54" t="n"/>
      <c r="B3573" s="61" t="n"/>
      <c r="C3573" s="61" t="n"/>
      <c r="D3573" s="61" t="n"/>
      <c r="E3573" s="61" t="n"/>
      <c r="F3573" s="55" t="n"/>
      <c r="G3573" s="56" t="n"/>
      <c r="H3573" s="55" t="n"/>
      <c r="I3573" s="62" t="n"/>
      <c r="J3573" s="58" t="n"/>
      <c r="K3573" s="63">
        <f>IF(tblMovement[[#This Row],[Source]]="","",IFERROR(INDEX(tblSources[Type],MATCH(tblMovement[[#This Row],[Source]],tblSources[Source],0)),"?"))</f>
        <v/>
      </c>
      <c r="L3573" s="63">
        <f>IF(tblMovement[[#This Row],[Destination]]="","",IFERROR(INDEX(tblDestinations[Type],MATCH(tblMovement[[#This Row],[Destination]],tblDestinations[Destination],0)),"?"))</f>
        <v/>
      </c>
      <c r="M3573" s="64">
        <f>IF(tblMovement[[#This Row],[Material]]="","",IF(LEFT(tblMovement[[#This Row],[Material]],3)="Ore",1,0))</f>
        <v/>
      </c>
      <c r="N3573" s="59">
        <f>IF(OR(tblMovement[[#This Row],[Tonnes_t]]="",tblMovement[[#This Row],[Grade_gpt]]=""),0,tblMovement[[#This Row],[Tonnes_t]]*tblMovement[[#This Row],[Grade_gpt]]/cfg_TroyOz)</f>
        <v/>
      </c>
      <c r="O3573" s="59">
        <f>IF(tblMovement[[#This Row],[Is_Ore]]=1,tblMovement[[#This Row],[Contained_oz]],0)</f>
        <v/>
      </c>
    </row>
    <row r="3574">
      <c r="A3574" s="54" t="n"/>
      <c r="B3574" s="61" t="n"/>
      <c r="C3574" s="61" t="n"/>
      <c r="D3574" s="61" t="n"/>
      <c r="E3574" s="61" t="n"/>
      <c r="F3574" s="55" t="n"/>
      <c r="G3574" s="56" t="n"/>
      <c r="H3574" s="55" t="n"/>
      <c r="I3574" s="62" t="n"/>
      <c r="J3574" s="58" t="n"/>
      <c r="K3574" s="63">
        <f>IF(tblMovement[[#This Row],[Source]]="","",IFERROR(INDEX(tblSources[Type],MATCH(tblMovement[[#This Row],[Source]],tblSources[Source],0)),"?"))</f>
        <v/>
      </c>
      <c r="L3574" s="63">
        <f>IF(tblMovement[[#This Row],[Destination]]="","",IFERROR(INDEX(tblDestinations[Type],MATCH(tblMovement[[#This Row],[Destination]],tblDestinations[Destination],0)),"?"))</f>
        <v/>
      </c>
      <c r="M3574" s="64">
        <f>IF(tblMovement[[#This Row],[Material]]="","",IF(LEFT(tblMovement[[#This Row],[Material]],3)="Ore",1,0))</f>
        <v/>
      </c>
      <c r="N3574" s="59">
        <f>IF(OR(tblMovement[[#This Row],[Tonnes_t]]="",tblMovement[[#This Row],[Grade_gpt]]=""),0,tblMovement[[#This Row],[Tonnes_t]]*tblMovement[[#This Row],[Grade_gpt]]/cfg_TroyOz)</f>
        <v/>
      </c>
      <c r="O3574" s="59">
        <f>IF(tblMovement[[#This Row],[Is_Ore]]=1,tblMovement[[#This Row],[Contained_oz]],0)</f>
        <v/>
      </c>
    </row>
    <row r="3575">
      <c r="A3575" s="54" t="n"/>
      <c r="B3575" s="61" t="n"/>
      <c r="C3575" s="61" t="n"/>
      <c r="D3575" s="61" t="n"/>
      <c r="E3575" s="61" t="n"/>
      <c r="F3575" s="55" t="n"/>
      <c r="G3575" s="56" t="n"/>
      <c r="H3575" s="55" t="n"/>
      <c r="I3575" s="62" t="n"/>
      <c r="J3575" s="58" t="n"/>
      <c r="K3575" s="63">
        <f>IF(tblMovement[[#This Row],[Source]]="","",IFERROR(INDEX(tblSources[Type],MATCH(tblMovement[[#This Row],[Source]],tblSources[Source],0)),"?"))</f>
        <v/>
      </c>
      <c r="L3575" s="63">
        <f>IF(tblMovement[[#This Row],[Destination]]="","",IFERROR(INDEX(tblDestinations[Type],MATCH(tblMovement[[#This Row],[Destination]],tblDestinations[Destination],0)),"?"))</f>
        <v/>
      </c>
      <c r="M3575" s="64">
        <f>IF(tblMovement[[#This Row],[Material]]="","",IF(LEFT(tblMovement[[#This Row],[Material]],3)="Ore",1,0))</f>
        <v/>
      </c>
      <c r="N3575" s="59">
        <f>IF(OR(tblMovement[[#This Row],[Tonnes_t]]="",tblMovement[[#This Row],[Grade_gpt]]=""),0,tblMovement[[#This Row],[Tonnes_t]]*tblMovement[[#This Row],[Grade_gpt]]/cfg_TroyOz)</f>
        <v/>
      </c>
      <c r="O3575" s="59">
        <f>IF(tblMovement[[#This Row],[Is_Ore]]=1,tblMovement[[#This Row],[Contained_oz]],0)</f>
        <v/>
      </c>
    </row>
    <row r="3576">
      <c r="A3576" s="54" t="n"/>
      <c r="B3576" s="61" t="n"/>
      <c r="C3576" s="61" t="n"/>
      <c r="D3576" s="61" t="n"/>
      <c r="E3576" s="61" t="n"/>
      <c r="F3576" s="55" t="n"/>
      <c r="G3576" s="56" t="n"/>
      <c r="H3576" s="55" t="n"/>
      <c r="I3576" s="62" t="n"/>
      <c r="J3576" s="58" t="n"/>
      <c r="K3576" s="63">
        <f>IF(tblMovement[[#This Row],[Source]]="","",IFERROR(INDEX(tblSources[Type],MATCH(tblMovement[[#This Row],[Source]],tblSources[Source],0)),"?"))</f>
        <v/>
      </c>
      <c r="L3576" s="63">
        <f>IF(tblMovement[[#This Row],[Destination]]="","",IFERROR(INDEX(tblDestinations[Type],MATCH(tblMovement[[#This Row],[Destination]],tblDestinations[Destination],0)),"?"))</f>
        <v/>
      </c>
      <c r="M3576" s="64">
        <f>IF(tblMovement[[#This Row],[Material]]="","",IF(LEFT(tblMovement[[#This Row],[Material]],3)="Ore",1,0))</f>
        <v/>
      </c>
      <c r="N3576" s="59">
        <f>IF(OR(tblMovement[[#This Row],[Tonnes_t]]="",tblMovement[[#This Row],[Grade_gpt]]=""),0,tblMovement[[#This Row],[Tonnes_t]]*tblMovement[[#This Row],[Grade_gpt]]/cfg_TroyOz)</f>
        <v/>
      </c>
      <c r="O3576" s="59">
        <f>IF(tblMovement[[#This Row],[Is_Ore]]=1,tblMovement[[#This Row],[Contained_oz]],0)</f>
        <v/>
      </c>
    </row>
    <row r="3577">
      <c r="A3577" s="54" t="n"/>
      <c r="B3577" s="61" t="n"/>
      <c r="C3577" s="61" t="n"/>
      <c r="D3577" s="61" t="n"/>
      <c r="E3577" s="61" t="n"/>
      <c r="F3577" s="55" t="n"/>
      <c r="G3577" s="56" t="n"/>
      <c r="H3577" s="55" t="n"/>
      <c r="I3577" s="62" t="n"/>
      <c r="J3577" s="58" t="n"/>
      <c r="K3577" s="63">
        <f>IF(tblMovement[[#This Row],[Source]]="","",IFERROR(INDEX(tblSources[Type],MATCH(tblMovement[[#This Row],[Source]],tblSources[Source],0)),"?"))</f>
        <v/>
      </c>
      <c r="L3577" s="63">
        <f>IF(tblMovement[[#This Row],[Destination]]="","",IFERROR(INDEX(tblDestinations[Type],MATCH(tblMovement[[#This Row],[Destination]],tblDestinations[Destination],0)),"?"))</f>
        <v/>
      </c>
      <c r="M3577" s="64">
        <f>IF(tblMovement[[#This Row],[Material]]="","",IF(LEFT(tblMovement[[#This Row],[Material]],3)="Ore",1,0))</f>
        <v/>
      </c>
      <c r="N3577" s="59">
        <f>IF(OR(tblMovement[[#This Row],[Tonnes_t]]="",tblMovement[[#This Row],[Grade_gpt]]=""),0,tblMovement[[#This Row],[Tonnes_t]]*tblMovement[[#This Row],[Grade_gpt]]/cfg_TroyOz)</f>
        <v/>
      </c>
      <c r="O3577" s="59">
        <f>IF(tblMovement[[#This Row],[Is_Ore]]=1,tblMovement[[#This Row],[Contained_oz]],0)</f>
        <v/>
      </c>
    </row>
    <row r="3578">
      <c r="A3578" s="54" t="n"/>
      <c r="B3578" s="61" t="n"/>
      <c r="C3578" s="61" t="n"/>
      <c r="D3578" s="61" t="n"/>
      <c r="E3578" s="61" t="n"/>
      <c r="F3578" s="55" t="n"/>
      <c r="G3578" s="56" t="n"/>
      <c r="H3578" s="55" t="n"/>
      <c r="I3578" s="62" t="n"/>
      <c r="J3578" s="58" t="n"/>
      <c r="K3578" s="63">
        <f>IF(tblMovement[[#This Row],[Source]]="","",IFERROR(INDEX(tblSources[Type],MATCH(tblMovement[[#This Row],[Source]],tblSources[Source],0)),"?"))</f>
        <v/>
      </c>
      <c r="L3578" s="63">
        <f>IF(tblMovement[[#This Row],[Destination]]="","",IFERROR(INDEX(tblDestinations[Type],MATCH(tblMovement[[#This Row],[Destination]],tblDestinations[Destination],0)),"?"))</f>
        <v/>
      </c>
      <c r="M3578" s="64">
        <f>IF(tblMovement[[#This Row],[Material]]="","",IF(LEFT(tblMovement[[#This Row],[Material]],3)="Ore",1,0))</f>
        <v/>
      </c>
      <c r="N3578" s="59">
        <f>IF(OR(tblMovement[[#This Row],[Tonnes_t]]="",tblMovement[[#This Row],[Grade_gpt]]=""),0,tblMovement[[#This Row],[Tonnes_t]]*tblMovement[[#This Row],[Grade_gpt]]/cfg_TroyOz)</f>
        <v/>
      </c>
      <c r="O3578" s="59">
        <f>IF(tblMovement[[#This Row],[Is_Ore]]=1,tblMovement[[#This Row],[Contained_oz]],0)</f>
        <v/>
      </c>
    </row>
    <row r="3579">
      <c r="A3579" s="54" t="n"/>
      <c r="B3579" s="61" t="n"/>
      <c r="C3579" s="61" t="n"/>
      <c r="D3579" s="61" t="n"/>
      <c r="E3579" s="61" t="n"/>
      <c r="F3579" s="55" t="n"/>
      <c r="G3579" s="56" t="n"/>
      <c r="H3579" s="55" t="n"/>
      <c r="I3579" s="62" t="n"/>
      <c r="J3579" s="58" t="n"/>
      <c r="K3579" s="63">
        <f>IF(tblMovement[[#This Row],[Source]]="","",IFERROR(INDEX(tblSources[Type],MATCH(tblMovement[[#This Row],[Source]],tblSources[Source],0)),"?"))</f>
        <v/>
      </c>
      <c r="L3579" s="63">
        <f>IF(tblMovement[[#This Row],[Destination]]="","",IFERROR(INDEX(tblDestinations[Type],MATCH(tblMovement[[#This Row],[Destination]],tblDestinations[Destination],0)),"?"))</f>
        <v/>
      </c>
      <c r="M3579" s="64">
        <f>IF(tblMovement[[#This Row],[Material]]="","",IF(LEFT(tblMovement[[#This Row],[Material]],3)="Ore",1,0))</f>
        <v/>
      </c>
      <c r="N3579" s="59">
        <f>IF(OR(tblMovement[[#This Row],[Tonnes_t]]="",tblMovement[[#This Row],[Grade_gpt]]=""),0,tblMovement[[#This Row],[Tonnes_t]]*tblMovement[[#This Row],[Grade_gpt]]/cfg_TroyOz)</f>
        <v/>
      </c>
      <c r="O3579" s="59">
        <f>IF(tblMovement[[#This Row],[Is_Ore]]=1,tblMovement[[#This Row],[Contained_oz]],0)</f>
        <v/>
      </c>
    </row>
    <row r="3580">
      <c r="A3580" s="54" t="n"/>
      <c r="B3580" s="61" t="n"/>
      <c r="C3580" s="61" t="n"/>
      <c r="D3580" s="61" t="n"/>
      <c r="E3580" s="61" t="n"/>
      <c r="F3580" s="55" t="n"/>
      <c r="G3580" s="56" t="n"/>
      <c r="H3580" s="55" t="n"/>
      <c r="I3580" s="62" t="n"/>
      <c r="J3580" s="58" t="n"/>
      <c r="K3580" s="63">
        <f>IF(tblMovement[[#This Row],[Source]]="","",IFERROR(INDEX(tblSources[Type],MATCH(tblMovement[[#This Row],[Source]],tblSources[Source],0)),"?"))</f>
        <v/>
      </c>
      <c r="L3580" s="63">
        <f>IF(tblMovement[[#This Row],[Destination]]="","",IFERROR(INDEX(tblDestinations[Type],MATCH(tblMovement[[#This Row],[Destination]],tblDestinations[Destination],0)),"?"))</f>
        <v/>
      </c>
      <c r="M3580" s="64">
        <f>IF(tblMovement[[#This Row],[Material]]="","",IF(LEFT(tblMovement[[#This Row],[Material]],3)="Ore",1,0))</f>
        <v/>
      </c>
      <c r="N3580" s="59">
        <f>IF(OR(tblMovement[[#This Row],[Tonnes_t]]="",tblMovement[[#This Row],[Grade_gpt]]=""),0,tblMovement[[#This Row],[Tonnes_t]]*tblMovement[[#This Row],[Grade_gpt]]/cfg_TroyOz)</f>
        <v/>
      </c>
      <c r="O3580" s="59">
        <f>IF(tblMovement[[#This Row],[Is_Ore]]=1,tblMovement[[#This Row],[Contained_oz]],0)</f>
        <v/>
      </c>
    </row>
    <row r="3581">
      <c r="A3581" s="54" t="n"/>
      <c r="B3581" s="61" t="n"/>
      <c r="C3581" s="61" t="n"/>
      <c r="D3581" s="61" t="n"/>
      <c r="E3581" s="61" t="n"/>
      <c r="F3581" s="55" t="n"/>
      <c r="G3581" s="56" t="n"/>
      <c r="H3581" s="55" t="n"/>
      <c r="I3581" s="62" t="n"/>
      <c r="J3581" s="58" t="n"/>
      <c r="K3581" s="63">
        <f>IF(tblMovement[[#This Row],[Source]]="","",IFERROR(INDEX(tblSources[Type],MATCH(tblMovement[[#This Row],[Source]],tblSources[Source],0)),"?"))</f>
        <v/>
      </c>
      <c r="L3581" s="63">
        <f>IF(tblMovement[[#This Row],[Destination]]="","",IFERROR(INDEX(tblDestinations[Type],MATCH(tblMovement[[#This Row],[Destination]],tblDestinations[Destination],0)),"?"))</f>
        <v/>
      </c>
      <c r="M3581" s="64">
        <f>IF(tblMovement[[#This Row],[Material]]="","",IF(LEFT(tblMovement[[#This Row],[Material]],3)="Ore",1,0))</f>
        <v/>
      </c>
      <c r="N3581" s="59">
        <f>IF(OR(tblMovement[[#This Row],[Tonnes_t]]="",tblMovement[[#This Row],[Grade_gpt]]=""),0,tblMovement[[#This Row],[Tonnes_t]]*tblMovement[[#This Row],[Grade_gpt]]/cfg_TroyOz)</f>
        <v/>
      </c>
      <c r="O3581" s="59">
        <f>IF(tblMovement[[#This Row],[Is_Ore]]=1,tblMovement[[#This Row],[Contained_oz]],0)</f>
        <v/>
      </c>
    </row>
    <row r="3582">
      <c r="A3582" s="54" t="n"/>
      <c r="B3582" s="61" t="n"/>
      <c r="C3582" s="61" t="n"/>
      <c r="D3582" s="61" t="n"/>
      <c r="E3582" s="61" t="n"/>
      <c r="F3582" s="55" t="n"/>
      <c r="G3582" s="56" t="n"/>
      <c r="H3582" s="55" t="n"/>
      <c r="I3582" s="62" t="n"/>
      <c r="J3582" s="58" t="n"/>
      <c r="K3582" s="63">
        <f>IF(tblMovement[[#This Row],[Source]]="","",IFERROR(INDEX(tblSources[Type],MATCH(tblMovement[[#This Row],[Source]],tblSources[Source],0)),"?"))</f>
        <v/>
      </c>
      <c r="L3582" s="63">
        <f>IF(tblMovement[[#This Row],[Destination]]="","",IFERROR(INDEX(tblDestinations[Type],MATCH(tblMovement[[#This Row],[Destination]],tblDestinations[Destination],0)),"?"))</f>
        <v/>
      </c>
      <c r="M3582" s="64">
        <f>IF(tblMovement[[#This Row],[Material]]="","",IF(LEFT(tblMovement[[#This Row],[Material]],3)="Ore",1,0))</f>
        <v/>
      </c>
      <c r="N3582" s="59">
        <f>IF(OR(tblMovement[[#This Row],[Tonnes_t]]="",tblMovement[[#This Row],[Grade_gpt]]=""),0,tblMovement[[#This Row],[Tonnes_t]]*tblMovement[[#This Row],[Grade_gpt]]/cfg_TroyOz)</f>
        <v/>
      </c>
      <c r="O3582" s="59">
        <f>IF(tblMovement[[#This Row],[Is_Ore]]=1,tblMovement[[#This Row],[Contained_oz]],0)</f>
        <v/>
      </c>
    </row>
    <row r="3583">
      <c r="A3583" s="54" t="n"/>
      <c r="B3583" s="61" t="n"/>
      <c r="C3583" s="61" t="n"/>
      <c r="D3583" s="61" t="n"/>
      <c r="E3583" s="61" t="n"/>
      <c r="F3583" s="55" t="n"/>
      <c r="G3583" s="56" t="n"/>
      <c r="H3583" s="55" t="n"/>
      <c r="I3583" s="62" t="n"/>
      <c r="J3583" s="58" t="n"/>
      <c r="K3583" s="63">
        <f>IF(tblMovement[[#This Row],[Source]]="","",IFERROR(INDEX(tblSources[Type],MATCH(tblMovement[[#This Row],[Source]],tblSources[Source],0)),"?"))</f>
        <v/>
      </c>
      <c r="L3583" s="63">
        <f>IF(tblMovement[[#This Row],[Destination]]="","",IFERROR(INDEX(tblDestinations[Type],MATCH(tblMovement[[#This Row],[Destination]],tblDestinations[Destination],0)),"?"))</f>
        <v/>
      </c>
      <c r="M3583" s="64">
        <f>IF(tblMovement[[#This Row],[Material]]="","",IF(LEFT(tblMovement[[#This Row],[Material]],3)="Ore",1,0))</f>
        <v/>
      </c>
      <c r="N3583" s="59">
        <f>IF(OR(tblMovement[[#This Row],[Tonnes_t]]="",tblMovement[[#This Row],[Grade_gpt]]=""),0,tblMovement[[#This Row],[Tonnes_t]]*tblMovement[[#This Row],[Grade_gpt]]/cfg_TroyOz)</f>
        <v/>
      </c>
      <c r="O3583" s="59">
        <f>IF(tblMovement[[#This Row],[Is_Ore]]=1,tblMovement[[#This Row],[Contained_oz]],0)</f>
        <v/>
      </c>
    </row>
    <row r="3584">
      <c r="A3584" s="54" t="n"/>
      <c r="B3584" s="61" t="n"/>
      <c r="C3584" s="61" t="n"/>
      <c r="D3584" s="61" t="n"/>
      <c r="E3584" s="61" t="n"/>
      <c r="F3584" s="55" t="n"/>
      <c r="G3584" s="56" t="n"/>
      <c r="H3584" s="55" t="n"/>
      <c r="I3584" s="62" t="n"/>
      <c r="J3584" s="58" t="n"/>
      <c r="K3584" s="63">
        <f>IF(tblMovement[[#This Row],[Source]]="","",IFERROR(INDEX(tblSources[Type],MATCH(tblMovement[[#This Row],[Source]],tblSources[Source],0)),"?"))</f>
        <v/>
      </c>
      <c r="L3584" s="63">
        <f>IF(tblMovement[[#This Row],[Destination]]="","",IFERROR(INDEX(tblDestinations[Type],MATCH(tblMovement[[#This Row],[Destination]],tblDestinations[Destination],0)),"?"))</f>
        <v/>
      </c>
      <c r="M3584" s="64">
        <f>IF(tblMovement[[#This Row],[Material]]="","",IF(LEFT(tblMovement[[#This Row],[Material]],3)="Ore",1,0))</f>
        <v/>
      </c>
      <c r="N3584" s="59">
        <f>IF(OR(tblMovement[[#This Row],[Tonnes_t]]="",tblMovement[[#This Row],[Grade_gpt]]=""),0,tblMovement[[#This Row],[Tonnes_t]]*tblMovement[[#This Row],[Grade_gpt]]/cfg_TroyOz)</f>
        <v/>
      </c>
      <c r="O3584" s="59">
        <f>IF(tblMovement[[#This Row],[Is_Ore]]=1,tblMovement[[#This Row],[Contained_oz]],0)</f>
        <v/>
      </c>
    </row>
    <row r="3585">
      <c r="A3585" s="54" t="n"/>
      <c r="B3585" s="61" t="n"/>
      <c r="C3585" s="61" t="n"/>
      <c r="D3585" s="61" t="n"/>
      <c r="E3585" s="61" t="n"/>
      <c r="F3585" s="55" t="n"/>
      <c r="G3585" s="56" t="n"/>
      <c r="H3585" s="55" t="n"/>
      <c r="I3585" s="62" t="n"/>
      <c r="J3585" s="58" t="n"/>
      <c r="K3585" s="63">
        <f>IF(tblMovement[[#This Row],[Source]]="","",IFERROR(INDEX(tblSources[Type],MATCH(tblMovement[[#This Row],[Source]],tblSources[Source],0)),"?"))</f>
        <v/>
      </c>
      <c r="L3585" s="63">
        <f>IF(tblMovement[[#This Row],[Destination]]="","",IFERROR(INDEX(tblDestinations[Type],MATCH(tblMovement[[#This Row],[Destination]],tblDestinations[Destination],0)),"?"))</f>
        <v/>
      </c>
      <c r="M3585" s="64">
        <f>IF(tblMovement[[#This Row],[Material]]="","",IF(LEFT(tblMovement[[#This Row],[Material]],3)="Ore",1,0))</f>
        <v/>
      </c>
      <c r="N3585" s="59">
        <f>IF(OR(tblMovement[[#This Row],[Tonnes_t]]="",tblMovement[[#This Row],[Grade_gpt]]=""),0,tblMovement[[#This Row],[Tonnes_t]]*tblMovement[[#This Row],[Grade_gpt]]/cfg_TroyOz)</f>
        <v/>
      </c>
      <c r="O3585" s="59">
        <f>IF(tblMovement[[#This Row],[Is_Ore]]=1,tblMovement[[#This Row],[Contained_oz]],0)</f>
        <v/>
      </c>
    </row>
    <row r="3586">
      <c r="A3586" s="54" t="n"/>
      <c r="B3586" s="61" t="n"/>
      <c r="C3586" s="61" t="n"/>
      <c r="D3586" s="61" t="n"/>
      <c r="E3586" s="61" t="n"/>
      <c r="F3586" s="55" t="n"/>
      <c r="G3586" s="56" t="n"/>
      <c r="H3586" s="55" t="n"/>
      <c r="I3586" s="62" t="n"/>
      <c r="J3586" s="58" t="n"/>
      <c r="K3586" s="63">
        <f>IF(tblMovement[[#This Row],[Source]]="","",IFERROR(INDEX(tblSources[Type],MATCH(tblMovement[[#This Row],[Source]],tblSources[Source],0)),"?"))</f>
        <v/>
      </c>
      <c r="L3586" s="63">
        <f>IF(tblMovement[[#This Row],[Destination]]="","",IFERROR(INDEX(tblDestinations[Type],MATCH(tblMovement[[#This Row],[Destination]],tblDestinations[Destination],0)),"?"))</f>
        <v/>
      </c>
      <c r="M3586" s="64">
        <f>IF(tblMovement[[#This Row],[Material]]="","",IF(LEFT(tblMovement[[#This Row],[Material]],3)="Ore",1,0))</f>
        <v/>
      </c>
      <c r="N3586" s="59">
        <f>IF(OR(tblMovement[[#This Row],[Tonnes_t]]="",tblMovement[[#This Row],[Grade_gpt]]=""),0,tblMovement[[#This Row],[Tonnes_t]]*tblMovement[[#This Row],[Grade_gpt]]/cfg_TroyOz)</f>
        <v/>
      </c>
      <c r="O3586" s="59">
        <f>IF(tblMovement[[#This Row],[Is_Ore]]=1,tblMovement[[#This Row],[Contained_oz]],0)</f>
        <v/>
      </c>
    </row>
    <row r="3587">
      <c r="A3587" s="54" t="n"/>
      <c r="B3587" s="61" t="n"/>
      <c r="C3587" s="61" t="n"/>
      <c r="D3587" s="61" t="n"/>
      <c r="E3587" s="61" t="n"/>
      <c r="F3587" s="55" t="n"/>
      <c r="G3587" s="56" t="n"/>
      <c r="H3587" s="55" t="n"/>
      <c r="I3587" s="62" t="n"/>
      <c r="J3587" s="58" t="n"/>
      <c r="K3587" s="63">
        <f>IF(tblMovement[[#This Row],[Source]]="","",IFERROR(INDEX(tblSources[Type],MATCH(tblMovement[[#This Row],[Source]],tblSources[Source],0)),"?"))</f>
        <v/>
      </c>
      <c r="L3587" s="63">
        <f>IF(tblMovement[[#This Row],[Destination]]="","",IFERROR(INDEX(tblDestinations[Type],MATCH(tblMovement[[#This Row],[Destination]],tblDestinations[Destination],0)),"?"))</f>
        <v/>
      </c>
      <c r="M3587" s="64">
        <f>IF(tblMovement[[#This Row],[Material]]="","",IF(LEFT(tblMovement[[#This Row],[Material]],3)="Ore",1,0))</f>
        <v/>
      </c>
      <c r="N3587" s="59">
        <f>IF(OR(tblMovement[[#This Row],[Tonnes_t]]="",tblMovement[[#This Row],[Grade_gpt]]=""),0,tblMovement[[#This Row],[Tonnes_t]]*tblMovement[[#This Row],[Grade_gpt]]/cfg_TroyOz)</f>
        <v/>
      </c>
      <c r="O3587" s="59">
        <f>IF(tblMovement[[#This Row],[Is_Ore]]=1,tblMovement[[#This Row],[Contained_oz]],0)</f>
        <v/>
      </c>
    </row>
    <row r="3588">
      <c r="A3588" s="54" t="n"/>
      <c r="B3588" s="61" t="n"/>
      <c r="C3588" s="61" t="n"/>
      <c r="D3588" s="61" t="n"/>
      <c r="E3588" s="61" t="n"/>
      <c r="F3588" s="55" t="n"/>
      <c r="G3588" s="56" t="n"/>
      <c r="H3588" s="55" t="n"/>
      <c r="I3588" s="62" t="n"/>
      <c r="J3588" s="58" t="n"/>
      <c r="K3588" s="63">
        <f>IF(tblMovement[[#This Row],[Source]]="","",IFERROR(INDEX(tblSources[Type],MATCH(tblMovement[[#This Row],[Source]],tblSources[Source],0)),"?"))</f>
        <v/>
      </c>
      <c r="L3588" s="63">
        <f>IF(tblMovement[[#This Row],[Destination]]="","",IFERROR(INDEX(tblDestinations[Type],MATCH(tblMovement[[#This Row],[Destination]],tblDestinations[Destination],0)),"?"))</f>
        <v/>
      </c>
      <c r="M3588" s="64">
        <f>IF(tblMovement[[#This Row],[Material]]="","",IF(LEFT(tblMovement[[#This Row],[Material]],3)="Ore",1,0))</f>
        <v/>
      </c>
      <c r="N3588" s="59">
        <f>IF(OR(tblMovement[[#This Row],[Tonnes_t]]="",tblMovement[[#This Row],[Grade_gpt]]=""),0,tblMovement[[#This Row],[Tonnes_t]]*tblMovement[[#This Row],[Grade_gpt]]/cfg_TroyOz)</f>
        <v/>
      </c>
      <c r="O3588" s="59">
        <f>IF(tblMovement[[#This Row],[Is_Ore]]=1,tblMovement[[#This Row],[Contained_oz]],0)</f>
        <v/>
      </c>
    </row>
    <row r="3589">
      <c r="A3589" s="54" t="n"/>
      <c r="B3589" s="61" t="n"/>
      <c r="C3589" s="61" t="n"/>
      <c r="D3589" s="61" t="n"/>
      <c r="E3589" s="61" t="n"/>
      <c r="F3589" s="55" t="n"/>
      <c r="G3589" s="56" t="n"/>
      <c r="H3589" s="55" t="n"/>
      <c r="I3589" s="62" t="n"/>
      <c r="J3589" s="58" t="n"/>
      <c r="K3589" s="63">
        <f>IF(tblMovement[[#This Row],[Source]]="","",IFERROR(INDEX(tblSources[Type],MATCH(tblMovement[[#This Row],[Source]],tblSources[Source],0)),"?"))</f>
        <v/>
      </c>
      <c r="L3589" s="63">
        <f>IF(tblMovement[[#This Row],[Destination]]="","",IFERROR(INDEX(tblDestinations[Type],MATCH(tblMovement[[#This Row],[Destination]],tblDestinations[Destination],0)),"?"))</f>
        <v/>
      </c>
      <c r="M3589" s="64">
        <f>IF(tblMovement[[#This Row],[Material]]="","",IF(LEFT(tblMovement[[#This Row],[Material]],3)="Ore",1,0))</f>
        <v/>
      </c>
      <c r="N3589" s="59">
        <f>IF(OR(tblMovement[[#This Row],[Tonnes_t]]="",tblMovement[[#This Row],[Grade_gpt]]=""),0,tblMovement[[#This Row],[Tonnes_t]]*tblMovement[[#This Row],[Grade_gpt]]/cfg_TroyOz)</f>
        <v/>
      </c>
      <c r="O3589" s="59">
        <f>IF(tblMovement[[#This Row],[Is_Ore]]=1,tblMovement[[#This Row],[Contained_oz]],0)</f>
        <v/>
      </c>
    </row>
    <row r="3590">
      <c r="A3590" s="54" t="n"/>
      <c r="B3590" s="61" t="n"/>
      <c r="C3590" s="61" t="n"/>
      <c r="D3590" s="61" t="n"/>
      <c r="E3590" s="61" t="n"/>
      <c r="F3590" s="55" t="n"/>
      <c r="G3590" s="56" t="n"/>
      <c r="H3590" s="55" t="n"/>
      <c r="I3590" s="62" t="n"/>
      <c r="J3590" s="58" t="n"/>
      <c r="K3590" s="63">
        <f>IF(tblMovement[[#This Row],[Source]]="","",IFERROR(INDEX(tblSources[Type],MATCH(tblMovement[[#This Row],[Source]],tblSources[Source],0)),"?"))</f>
        <v/>
      </c>
      <c r="L3590" s="63">
        <f>IF(tblMovement[[#This Row],[Destination]]="","",IFERROR(INDEX(tblDestinations[Type],MATCH(tblMovement[[#This Row],[Destination]],tblDestinations[Destination],0)),"?"))</f>
        <v/>
      </c>
      <c r="M3590" s="64">
        <f>IF(tblMovement[[#This Row],[Material]]="","",IF(LEFT(tblMovement[[#This Row],[Material]],3)="Ore",1,0))</f>
        <v/>
      </c>
      <c r="N3590" s="59">
        <f>IF(OR(tblMovement[[#This Row],[Tonnes_t]]="",tblMovement[[#This Row],[Grade_gpt]]=""),0,tblMovement[[#This Row],[Tonnes_t]]*tblMovement[[#This Row],[Grade_gpt]]/cfg_TroyOz)</f>
        <v/>
      </c>
      <c r="O3590" s="59">
        <f>IF(tblMovement[[#This Row],[Is_Ore]]=1,tblMovement[[#This Row],[Contained_oz]],0)</f>
        <v/>
      </c>
    </row>
    <row r="3591">
      <c r="A3591" s="54" t="n"/>
      <c r="B3591" s="61" t="n"/>
      <c r="C3591" s="61" t="n"/>
      <c r="D3591" s="61" t="n"/>
      <c r="E3591" s="61" t="n"/>
      <c r="F3591" s="55" t="n"/>
      <c r="G3591" s="56" t="n"/>
      <c r="H3591" s="55" t="n"/>
      <c r="I3591" s="62" t="n"/>
      <c r="J3591" s="58" t="n"/>
      <c r="K3591" s="63">
        <f>IF(tblMovement[[#This Row],[Source]]="","",IFERROR(INDEX(tblSources[Type],MATCH(tblMovement[[#This Row],[Source]],tblSources[Source],0)),"?"))</f>
        <v/>
      </c>
      <c r="L3591" s="63">
        <f>IF(tblMovement[[#This Row],[Destination]]="","",IFERROR(INDEX(tblDestinations[Type],MATCH(tblMovement[[#This Row],[Destination]],tblDestinations[Destination],0)),"?"))</f>
        <v/>
      </c>
      <c r="M3591" s="64">
        <f>IF(tblMovement[[#This Row],[Material]]="","",IF(LEFT(tblMovement[[#This Row],[Material]],3)="Ore",1,0))</f>
        <v/>
      </c>
      <c r="N3591" s="59">
        <f>IF(OR(tblMovement[[#This Row],[Tonnes_t]]="",tblMovement[[#This Row],[Grade_gpt]]=""),0,tblMovement[[#This Row],[Tonnes_t]]*tblMovement[[#This Row],[Grade_gpt]]/cfg_TroyOz)</f>
        <v/>
      </c>
      <c r="O3591" s="59">
        <f>IF(tblMovement[[#This Row],[Is_Ore]]=1,tblMovement[[#This Row],[Contained_oz]],0)</f>
        <v/>
      </c>
    </row>
    <row r="3592">
      <c r="A3592" s="54" t="n"/>
      <c r="B3592" s="61" t="n"/>
      <c r="C3592" s="61" t="n"/>
      <c r="D3592" s="61" t="n"/>
      <c r="E3592" s="61" t="n"/>
      <c r="F3592" s="55" t="n"/>
      <c r="G3592" s="56" t="n"/>
      <c r="H3592" s="55" t="n"/>
      <c r="I3592" s="62" t="n"/>
      <c r="J3592" s="58" t="n"/>
      <c r="K3592" s="63">
        <f>IF(tblMovement[[#This Row],[Source]]="","",IFERROR(INDEX(tblSources[Type],MATCH(tblMovement[[#This Row],[Source]],tblSources[Source],0)),"?"))</f>
        <v/>
      </c>
      <c r="L3592" s="63">
        <f>IF(tblMovement[[#This Row],[Destination]]="","",IFERROR(INDEX(tblDestinations[Type],MATCH(tblMovement[[#This Row],[Destination]],tblDestinations[Destination],0)),"?"))</f>
        <v/>
      </c>
      <c r="M3592" s="64">
        <f>IF(tblMovement[[#This Row],[Material]]="","",IF(LEFT(tblMovement[[#This Row],[Material]],3)="Ore",1,0))</f>
        <v/>
      </c>
      <c r="N3592" s="59">
        <f>IF(OR(tblMovement[[#This Row],[Tonnes_t]]="",tblMovement[[#This Row],[Grade_gpt]]=""),0,tblMovement[[#This Row],[Tonnes_t]]*tblMovement[[#This Row],[Grade_gpt]]/cfg_TroyOz)</f>
        <v/>
      </c>
      <c r="O3592" s="59">
        <f>IF(tblMovement[[#This Row],[Is_Ore]]=1,tblMovement[[#This Row],[Contained_oz]],0)</f>
        <v/>
      </c>
    </row>
    <row r="3593">
      <c r="A3593" s="54" t="n"/>
      <c r="B3593" s="61" t="n"/>
      <c r="C3593" s="61" t="n"/>
      <c r="D3593" s="61" t="n"/>
      <c r="E3593" s="61" t="n"/>
      <c r="F3593" s="55" t="n"/>
      <c r="G3593" s="56" t="n"/>
      <c r="H3593" s="55" t="n"/>
      <c r="I3593" s="62" t="n"/>
      <c r="J3593" s="58" t="n"/>
      <c r="K3593" s="63">
        <f>IF(tblMovement[[#This Row],[Source]]="","",IFERROR(INDEX(tblSources[Type],MATCH(tblMovement[[#This Row],[Source]],tblSources[Source],0)),"?"))</f>
        <v/>
      </c>
      <c r="L3593" s="63">
        <f>IF(tblMovement[[#This Row],[Destination]]="","",IFERROR(INDEX(tblDestinations[Type],MATCH(tblMovement[[#This Row],[Destination]],tblDestinations[Destination],0)),"?"))</f>
        <v/>
      </c>
      <c r="M3593" s="64">
        <f>IF(tblMovement[[#This Row],[Material]]="","",IF(LEFT(tblMovement[[#This Row],[Material]],3)="Ore",1,0))</f>
        <v/>
      </c>
      <c r="N3593" s="59">
        <f>IF(OR(tblMovement[[#This Row],[Tonnes_t]]="",tblMovement[[#This Row],[Grade_gpt]]=""),0,tblMovement[[#This Row],[Tonnes_t]]*tblMovement[[#This Row],[Grade_gpt]]/cfg_TroyOz)</f>
        <v/>
      </c>
      <c r="O3593" s="59">
        <f>IF(tblMovement[[#This Row],[Is_Ore]]=1,tblMovement[[#This Row],[Contained_oz]],0)</f>
        <v/>
      </c>
    </row>
    <row r="3594">
      <c r="A3594" s="54" t="n"/>
      <c r="B3594" s="61" t="n"/>
      <c r="C3594" s="61" t="n"/>
      <c r="D3594" s="61" t="n"/>
      <c r="E3594" s="61" t="n"/>
      <c r="F3594" s="55" t="n"/>
      <c r="G3594" s="56" t="n"/>
      <c r="H3594" s="55" t="n"/>
      <c r="I3594" s="62" t="n"/>
      <c r="J3594" s="58" t="n"/>
      <c r="K3594" s="63">
        <f>IF(tblMovement[[#This Row],[Source]]="","",IFERROR(INDEX(tblSources[Type],MATCH(tblMovement[[#This Row],[Source]],tblSources[Source],0)),"?"))</f>
        <v/>
      </c>
      <c r="L3594" s="63">
        <f>IF(tblMovement[[#This Row],[Destination]]="","",IFERROR(INDEX(tblDestinations[Type],MATCH(tblMovement[[#This Row],[Destination]],tblDestinations[Destination],0)),"?"))</f>
        <v/>
      </c>
      <c r="M3594" s="64">
        <f>IF(tblMovement[[#This Row],[Material]]="","",IF(LEFT(tblMovement[[#This Row],[Material]],3)="Ore",1,0))</f>
        <v/>
      </c>
      <c r="N3594" s="59">
        <f>IF(OR(tblMovement[[#This Row],[Tonnes_t]]="",tblMovement[[#This Row],[Grade_gpt]]=""),0,tblMovement[[#This Row],[Tonnes_t]]*tblMovement[[#This Row],[Grade_gpt]]/cfg_TroyOz)</f>
        <v/>
      </c>
      <c r="O3594" s="59">
        <f>IF(tblMovement[[#This Row],[Is_Ore]]=1,tblMovement[[#This Row],[Contained_oz]],0)</f>
        <v/>
      </c>
    </row>
    <row r="3595">
      <c r="A3595" s="54" t="n"/>
      <c r="B3595" s="61" t="n"/>
      <c r="C3595" s="61" t="n"/>
      <c r="D3595" s="61" t="n"/>
      <c r="E3595" s="61" t="n"/>
      <c r="F3595" s="55" t="n"/>
      <c r="G3595" s="56" t="n"/>
      <c r="H3595" s="55" t="n"/>
      <c r="I3595" s="62" t="n"/>
      <c r="J3595" s="58" t="n"/>
      <c r="K3595" s="63">
        <f>IF(tblMovement[[#This Row],[Source]]="","",IFERROR(INDEX(tblSources[Type],MATCH(tblMovement[[#This Row],[Source]],tblSources[Source],0)),"?"))</f>
        <v/>
      </c>
      <c r="L3595" s="63">
        <f>IF(tblMovement[[#This Row],[Destination]]="","",IFERROR(INDEX(tblDestinations[Type],MATCH(tblMovement[[#This Row],[Destination]],tblDestinations[Destination],0)),"?"))</f>
        <v/>
      </c>
      <c r="M3595" s="64">
        <f>IF(tblMovement[[#This Row],[Material]]="","",IF(LEFT(tblMovement[[#This Row],[Material]],3)="Ore",1,0))</f>
        <v/>
      </c>
      <c r="N3595" s="59">
        <f>IF(OR(tblMovement[[#This Row],[Tonnes_t]]="",tblMovement[[#This Row],[Grade_gpt]]=""),0,tblMovement[[#This Row],[Tonnes_t]]*tblMovement[[#This Row],[Grade_gpt]]/cfg_TroyOz)</f>
        <v/>
      </c>
      <c r="O3595" s="59">
        <f>IF(tblMovement[[#This Row],[Is_Ore]]=1,tblMovement[[#This Row],[Contained_oz]],0)</f>
        <v/>
      </c>
    </row>
    <row r="3596">
      <c r="A3596" s="54" t="n"/>
      <c r="B3596" s="61" t="n"/>
      <c r="C3596" s="61" t="n"/>
      <c r="D3596" s="61" t="n"/>
      <c r="E3596" s="61" t="n"/>
      <c r="F3596" s="55" t="n"/>
      <c r="G3596" s="56" t="n"/>
      <c r="H3596" s="55" t="n"/>
      <c r="I3596" s="62" t="n"/>
      <c r="J3596" s="58" t="n"/>
      <c r="K3596" s="63">
        <f>IF(tblMovement[[#This Row],[Source]]="","",IFERROR(INDEX(tblSources[Type],MATCH(tblMovement[[#This Row],[Source]],tblSources[Source],0)),"?"))</f>
        <v/>
      </c>
      <c r="L3596" s="63">
        <f>IF(tblMovement[[#This Row],[Destination]]="","",IFERROR(INDEX(tblDestinations[Type],MATCH(tblMovement[[#This Row],[Destination]],tblDestinations[Destination],0)),"?"))</f>
        <v/>
      </c>
      <c r="M3596" s="64">
        <f>IF(tblMovement[[#This Row],[Material]]="","",IF(LEFT(tblMovement[[#This Row],[Material]],3)="Ore",1,0))</f>
        <v/>
      </c>
      <c r="N3596" s="59">
        <f>IF(OR(tblMovement[[#This Row],[Tonnes_t]]="",tblMovement[[#This Row],[Grade_gpt]]=""),0,tblMovement[[#This Row],[Tonnes_t]]*tblMovement[[#This Row],[Grade_gpt]]/cfg_TroyOz)</f>
        <v/>
      </c>
      <c r="O3596" s="59">
        <f>IF(tblMovement[[#This Row],[Is_Ore]]=1,tblMovement[[#This Row],[Contained_oz]],0)</f>
        <v/>
      </c>
    </row>
    <row r="3597">
      <c r="A3597" s="54" t="n"/>
      <c r="B3597" s="61" t="n"/>
      <c r="C3597" s="61" t="n"/>
      <c r="D3597" s="61" t="n"/>
      <c r="E3597" s="61" t="n"/>
      <c r="F3597" s="55" t="n"/>
      <c r="G3597" s="56" t="n"/>
      <c r="H3597" s="55" t="n"/>
      <c r="I3597" s="62" t="n"/>
      <c r="J3597" s="58" t="n"/>
      <c r="K3597" s="63">
        <f>IF(tblMovement[[#This Row],[Source]]="","",IFERROR(INDEX(tblSources[Type],MATCH(tblMovement[[#This Row],[Source]],tblSources[Source],0)),"?"))</f>
        <v/>
      </c>
      <c r="L3597" s="63">
        <f>IF(tblMovement[[#This Row],[Destination]]="","",IFERROR(INDEX(tblDestinations[Type],MATCH(tblMovement[[#This Row],[Destination]],tblDestinations[Destination],0)),"?"))</f>
        <v/>
      </c>
      <c r="M3597" s="64">
        <f>IF(tblMovement[[#This Row],[Material]]="","",IF(LEFT(tblMovement[[#This Row],[Material]],3)="Ore",1,0))</f>
        <v/>
      </c>
      <c r="N3597" s="59">
        <f>IF(OR(tblMovement[[#This Row],[Tonnes_t]]="",tblMovement[[#This Row],[Grade_gpt]]=""),0,tblMovement[[#This Row],[Tonnes_t]]*tblMovement[[#This Row],[Grade_gpt]]/cfg_TroyOz)</f>
        <v/>
      </c>
      <c r="O3597" s="59">
        <f>IF(tblMovement[[#This Row],[Is_Ore]]=1,tblMovement[[#This Row],[Contained_oz]],0)</f>
        <v/>
      </c>
    </row>
    <row r="3598">
      <c r="A3598" s="54" t="n"/>
      <c r="B3598" s="61" t="n"/>
      <c r="C3598" s="61" t="n"/>
      <c r="D3598" s="61" t="n"/>
      <c r="E3598" s="61" t="n"/>
      <c r="F3598" s="55" t="n"/>
      <c r="G3598" s="56" t="n"/>
      <c r="H3598" s="55" t="n"/>
      <c r="I3598" s="62" t="n"/>
      <c r="J3598" s="58" t="n"/>
      <c r="K3598" s="63">
        <f>IF(tblMovement[[#This Row],[Source]]="","",IFERROR(INDEX(tblSources[Type],MATCH(tblMovement[[#This Row],[Source]],tblSources[Source],0)),"?"))</f>
        <v/>
      </c>
      <c r="L3598" s="63">
        <f>IF(tblMovement[[#This Row],[Destination]]="","",IFERROR(INDEX(tblDestinations[Type],MATCH(tblMovement[[#This Row],[Destination]],tblDestinations[Destination],0)),"?"))</f>
        <v/>
      </c>
      <c r="M3598" s="64">
        <f>IF(tblMovement[[#This Row],[Material]]="","",IF(LEFT(tblMovement[[#This Row],[Material]],3)="Ore",1,0))</f>
        <v/>
      </c>
      <c r="N3598" s="59">
        <f>IF(OR(tblMovement[[#This Row],[Tonnes_t]]="",tblMovement[[#This Row],[Grade_gpt]]=""),0,tblMovement[[#This Row],[Tonnes_t]]*tblMovement[[#This Row],[Grade_gpt]]/cfg_TroyOz)</f>
        <v/>
      </c>
      <c r="O3598" s="59">
        <f>IF(tblMovement[[#This Row],[Is_Ore]]=1,tblMovement[[#This Row],[Contained_oz]],0)</f>
        <v/>
      </c>
    </row>
    <row r="3599">
      <c r="A3599" s="54" t="n"/>
      <c r="B3599" s="61" t="n"/>
      <c r="C3599" s="61" t="n"/>
      <c r="D3599" s="61" t="n"/>
      <c r="E3599" s="61" t="n"/>
      <c r="F3599" s="55" t="n"/>
      <c r="G3599" s="56" t="n"/>
      <c r="H3599" s="55" t="n"/>
      <c r="I3599" s="62" t="n"/>
      <c r="J3599" s="58" t="n"/>
      <c r="K3599" s="63">
        <f>IF(tblMovement[[#This Row],[Source]]="","",IFERROR(INDEX(tblSources[Type],MATCH(tblMovement[[#This Row],[Source]],tblSources[Source],0)),"?"))</f>
        <v/>
      </c>
      <c r="L3599" s="63">
        <f>IF(tblMovement[[#This Row],[Destination]]="","",IFERROR(INDEX(tblDestinations[Type],MATCH(tblMovement[[#This Row],[Destination]],tblDestinations[Destination],0)),"?"))</f>
        <v/>
      </c>
      <c r="M3599" s="64">
        <f>IF(tblMovement[[#This Row],[Material]]="","",IF(LEFT(tblMovement[[#This Row],[Material]],3)="Ore",1,0))</f>
        <v/>
      </c>
      <c r="N3599" s="59">
        <f>IF(OR(tblMovement[[#This Row],[Tonnes_t]]="",tblMovement[[#This Row],[Grade_gpt]]=""),0,tblMovement[[#This Row],[Tonnes_t]]*tblMovement[[#This Row],[Grade_gpt]]/cfg_TroyOz)</f>
        <v/>
      </c>
      <c r="O3599" s="59">
        <f>IF(tblMovement[[#This Row],[Is_Ore]]=1,tblMovement[[#This Row],[Contained_oz]],0)</f>
        <v/>
      </c>
    </row>
    <row r="3600">
      <c r="A3600" s="54" t="n"/>
      <c r="B3600" s="61" t="n"/>
      <c r="C3600" s="61" t="n"/>
      <c r="D3600" s="61" t="n"/>
      <c r="E3600" s="61" t="n"/>
      <c r="F3600" s="55" t="n"/>
      <c r="G3600" s="56" t="n"/>
      <c r="H3600" s="55" t="n"/>
      <c r="I3600" s="62" t="n"/>
      <c r="J3600" s="58" t="n"/>
      <c r="K3600" s="63">
        <f>IF(tblMovement[[#This Row],[Source]]="","",IFERROR(INDEX(tblSources[Type],MATCH(tblMovement[[#This Row],[Source]],tblSources[Source],0)),"?"))</f>
        <v/>
      </c>
      <c r="L3600" s="63">
        <f>IF(tblMovement[[#This Row],[Destination]]="","",IFERROR(INDEX(tblDestinations[Type],MATCH(tblMovement[[#This Row],[Destination]],tblDestinations[Destination],0)),"?"))</f>
        <v/>
      </c>
      <c r="M3600" s="64">
        <f>IF(tblMovement[[#This Row],[Material]]="","",IF(LEFT(tblMovement[[#This Row],[Material]],3)="Ore",1,0))</f>
        <v/>
      </c>
      <c r="N3600" s="59">
        <f>IF(OR(tblMovement[[#This Row],[Tonnes_t]]="",tblMovement[[#This Row],[Grade_gpt]]=""),0,tblMovement[[#This Row],[Tonnes_t]]*tblMovement[[#This Row],[Grade_gpt]]/cfg_TroyOz)</f>
        <v/>
      </c>
      <c r="O3600" s="59">
        <f>IF(tblMovement[[#This Row],[Is_Ore]]=1,tblMovement[[#This Row],[Contained_oz]],0)</f>
        <v/>
      </c>
    </row>
    <row r="3601">
      <c r="A3601" s="54" t="n"/>
      <c r="B3601" s="61" t="n"/>
      <c r="C3601" s="61" t="n"/>
      <c r="D3601" s="61" t="n"/>
      <c r="E3601" s="61" t="n"/>
      <c r="F3601" s="55" t="n"/>
      <c r="G3601" s="56" t="n"/>
      <c r="H3601" s="55" t="n"/>
      <c r="I3601" s="62" t="n"/>
      <c r="J3601" s="58" t="n"/>
      <c r="K3601" s="63">
        <f>IF(tblMovement[[#This Row],[Source]]="","",IFERROR(INDEX(tblSources[Type],MATCH(tblMovement[[#This Row],[Source]],tblSources[Source],0)),"?"))</f>
        <v/>
      </c>
      <c r="L3601" s="63">
        <f>IF(tblMovement[[#This Row],[Destination]]="","",IFERROR(INDEX(tblDestinations[Type],MATCH(tblMovement[[#This Row],[Destination]],tblDestinations[Destination],0)),"?"))</f>
        <v/>
      </c>
      <c r="M3601" s="64">
        <f>IF(tblMovement[[#This Row],[Material]]="","",IF(LEFT(tblMovement[[#This Row],[Material]],3)="Ore",1,0))</f>
        <v/>
      </c>
      <c r="N3601" s="59">
        <f>IF(OR(tblMovement[[#This Row],[Tonnes_t]]="",tblMovement[[#This Row],[Grade_gpt]]=""),0,tblMovement[[#This Row],[Tonnes_t]]*tblMovement[[#This Row],[Grade_gpt]]/cfg_TroyOz)</f>
        <v/>
      </c>
      <c r="O3601" s="59">
        <f>IF(tblMovement[[#This Row],[Is_Ore]]=1,tblMovement[[#This Row],[Contained_oz]],0)</f>
        <v/>
      </c>
    </row>
    <row r="3602">
      <c r="A3602" s="54" t="n"/>
      <c r="B3602" s="61" t="n"/>
      <c r="C3602" s="61" t="n"/>
      <c r="D3602" s="61" t="n"/>
      <c r="E3602" s="61" t="n"/>
      <c r="F3602" s="55" t="n"/>
      <c r="G3602" s="56" t="n"/>
      <c r="H3602" s="55" t="n"/>
      <c r="I3602" s="62" t="n"/>
      <c r="J3602" s="58" t="n"/>
      <c r="K3602" s="63">
        <f>IF(tblMovement[[#This Row],[Source]]="","",IFERROR(INDEX(tblSources[Type],MATCH(tblMovement[[#This Row],[Source]],tblSources[Source],0)),"?"))</f>
        <v/>
      </c>
      <c r="L3602" s="63">
        <f>IF(tblMovement[[#This Row],[Destination]]="","",IFERROR(INDEX(tblDestinations[Type],MATCH(tblMovement[[#This Row],[Destination]],tblDestinations[Destination],0)),"?"))</f>
        <v/>
      </c>
      <c r="M3602" s="64">
        <f>IF(tblMovement[[#This Row],[Material]]="","",IF(LEFT(tblMovement[[#This Row],[Material]],3)="Ore",1,0))</f>
        <v/>
      </c>
      <c r="N3602" s="59">
        <f>IF(OR(tblMovement[[#This Row],[Tonnes_t]]="",tblMovement[[#This Row],[Grade_gpt]]=""),0,tblMovement[[#This Row],[Tonnes_t]]*tblMovement[[#This Row],[Grade_gpt]]/cfg_TroyOz)</f>
        <v/>
      </c>
      <c r="O3602" s="59">
        <f>IF(tblMovement[[#This Row],[Is_Ore]]=1,tblMovement[[#This Row],[Contained_oz]],0)</f>
        <v/>
      </c>
    </row>
    <row r="3603">
      <c r="A3603" s="54" t="n"/>
      <c r="B3603" s="61" t="n"/>
      <c r="C3603" s="61" t="n"/>
      <c r="D3603" s="61" t="n"/>
      <c r="E3603" s="61" t="n"/>
      <c r="F3603" s="55" t="n"/>
      <c r="G3603" s="56" t="n"/>
      <c r="H3603" s="55" t="n"/>
      <c r="I3603" s="62" t="n"/>
      <c r="J3603" s="58" t="n"/>
      <c r="K3603" s="63">
        <f>IF(tblMovement[[#This Row],[Source]]="","",IFERROR(INDEX(tblSources[Type],MATCH(tblMovement[[#This Row],[Source]],tblSources[Source],0)),"?"))</f>
        <v/>
      </c>
      <c r="L3603" s="63">
        <f>IF(tblMovement[[#This Row],[Destination]]="","",IFERROR(INDEX(tblDestinations[Type],MATCH(tblMovement[[#This Row],[Destination]],tblDestinations[Destination],0)),"?"))</f>
        <v/>
      </c>
      <c r="M3603" s="64">
        <f>IF(tblMovement[[#This Row],[Material]]="","",IF(LEFT(tblMovement[[#This Row],[Material]],3)="Ore",1,0))</f>
        <v/>
      </c>
      <c r="N3603" s="59">
        <f>IF(OR(tblMovement[[#This Row],[Tonnes_t]]="",tblMovement[[#This Row],[Grade_gpt]]=""),0,tblMovement[[#This Row],[Tonnes_t]]*tblMovement[[#This Row],[Grade_gpt]]/cfg_TroyOz)</f>
        <v/>
      </c>
      <c r="O3603" s="59">
        <f>IF(tblMovement[[#This Row],[Is_Ore]]=1,tblMovement[[#This Row],[Contained_oz]],0)</f>
        <v/>
      </c>
    </row>
    <row r="3604">
      <c r="A3604" s="54" t="n"/>
      <c r="B3604" s="61" t="n"/>
      <c r="C3604" s="61" t="n"/>
      <c r="D3604" s="61" t="n"/>
      <c r="E3604" s="61" t="n"/>
      <c r="F3604" s="55" t="n"/>
      <c r="G3604" s="56" t="n"/>
      <c r="H3604" s="55" t="n"/>
      <c r="I3604" s="62" t="n"/>
      <c r="J3604" s="58" t="n"/>
      <c r="K3604" s="63">
        <f>IF(tblMovement[[#This Row],[Source]]="","",IFERROR(INDEX(tblSources[Type],MATCH(tblMovement[[#This Row],[Source]],tblSources[Source],0)),"?"))</f>
        <v/>
      </c>
      <c r="L3604" s="63">
        <f>IF(tblMovement[[#This Row],[Destination]]="","",IFERROR(INDEX(tblDestinations[Type],MATCH(tblMovement[[#This Row],[Destination]],tblDestinations[Destination],0)),"?"))</f>
        <v/>
      </c>
      <c r="M3604" s="64">
        <f>IF(tblMovement[[#This Row],[Material]]="","",IF(LEFT(tblMovement[[#This Row],[Material]],3)="Ore",1,0))</f>
        <v/>
      </c>
      <c r="N3604" s="59">
        <f>IF(OR(tblMovement[[#This Row],[Tonnes_t]]="",tblMovement[[#This Row],[Grade_gpt]]=""),0,tblMovement[[#This Row],[Tonnes_t]]*tblMovement[[#This Row],[Grade_gpt]]/cfg_TroyOz)</f>
        <v/>
      </c>
      <c r="O3604" s="59">
        <f>IF(tblMovement[[#This Row],[Is_Ore]]=1,tblMovement[[#This Row],[Contained_oz]],0)</f>
        <v/>
      </c>
    </row>
    <row r="3605">
      <c r="A3605" s="54" t="n"/>
      <c r="B3605" s="61" t="n"/>
      <c r="C3605" s="61" t="n"/>
      <c r="D3605" s="61" t="n"/>
      <c r="E3605" s="61" t="n"/>
      <c r="F3605" s="55" t="n"/>
      <c r="G3605" s="56" t="n"/>
      <c r="H3605" s="55" t="n"/>
      <c r="I3605" s="62" t="n"/>
      <c r="J3605" s="58" t="n"/>
      <c r="K3605" s="63">
        <f>IF(tblMovement[[#This Row],[Source]]="","",IFERROR(INDEX(tblSources[Type],MATCH(tblMovement[[#This Row],[Source]],tblSources[Source],0)),"?"))</f>
        <v/>
      </c>
      <c r="L3605" s="63">
        <f>IF(tblMovement[[#This Row],[Destination]]="","",IFERROR(INDEX(tblDestinations[Type],MATCH(tblMovement[[#This Row],[Destination]],tblDestinations[Destination],0)),"?"))</f>
        <v/>
      </c>
      <c r="M3605" s="64">
        <f>IF(tblMovement[[#This Row],[Material]]="","",IF(LEFT(tblMovement[[#This Row],[Material]],3)="Ore",1,0))</f>
        <v/>
      </c>
      <c r="N3605" s="59">
        <f>IF(OR(tblMovement[[#This Row],[Tonnes_t]]="",tblMovement[[#This Row],[Grade_gpt]]=""),0,tblMovement[[#This Row],[Tonnes_t]]*tblMovement[[#This Row],[Grade_gpt]]/cfg_TroyOz)</f>
        <v/>
      </c>
      <c r="O3605" s="59">
        <f>IF(tblMovement[[#This Row],[Is_Ore]]=1,tblMovement[[#This Row],[Contained_oz]],0)</f>
        <v/>
      </c>
    </row>
    <row r="3606">
      <c r="A3606" s="54" t="n"/>
      <c r="B3606" s="61" t="n"/>
      <c r="C3606" s="61" t="n"/>
      <c r="D3606" s="61" t="n"/>
      <c r="E3606" s="61" t="n"/>
      <c r="F3606" s="55" t="n"/>
      <c r="G3606" s="56" t="n"/>
      <c r="H3606" s="55" t="n"/>
      <c r="I3606" s="62" t="n"/>
      <c r="J3606" s="58" t="n"/>
      <c r="K3606" s="63">
        <f>IF(tblMovement[[#This Row],[Source]]="","",IFERROR(INDEX(tblSources[Type],MATCH(tblMovement[[#This Row],[Source]],tblSources[Source],0)),"?"))</f>
        <v/>
      </c>
      <c r="L3606" s="63">
        <f>IF(tblMovement[[#This Row],[Destination]]="","",IFERROR(INDEX(tblDestinations[Type],MATCH(tblMovement[[#This Row],[Destination]],tblDestinations[Destination],0)),"?"))</f>
        <v/>
      </c>
      <c r="M3606" s="64">
        <f>IF(tblMovement[[#This Row],[Material]]="","",IF(LEFT(tblMovement[[#This Row],[Material]],3)="Ore",1,0))</f>
        <v/>
      </c>
      <c r="N3606" s="59">
        <f>IF(OR(tblMovement[[#This Row],[Tonnes_t]]="",tblMovement[[#This Row],[Grade_gpt]]=""),0,tblMovement[[#This Row],[Tonnes_t]]*tblMovement[[#This Row],[Grade_gpt]]/cfg_TroyOz)</f>
        <v/>
      </c>
      <c r="O3606" s="59">
        <f>IF(tblMovement[[#This Row],[Is_Ore]]=1,tblMovement[[#This Row],[Contained_oz]],0)</f>
        <v/>
      </c>
    </row>
    <row r="3607">
      <c r="A3607" s="54" t="n"/>
      <c r="B3607" s="61" t="n"/>
      <c r="C3607" s="61" t="n"/>
      <c r="D3607" s="61" t="n"/>
      <c r="E3607" s="61" t="n"/>
      <c r="F3607" s="55" t="n"/>
      <c r="G3607" s="56" t="n"/>
      <c r="H3607" s="55" t="n"/>
      <c r="I3607" s="62" t="n"/>
      <c r="J3607" s="58" t="n"/>
      <c r="K3607" s="63">
        <f>IF(tblMovement[[#This Row],[Source]]="","",IFERROR(INDEX(tblSources[Type],MATCH(tblMovement[[#This Row],[Source]],tblSources[Source],0)),"?"))</f>
        <v/>
      </c>
      <c r="L3607" s="63">
        <f>IF(tblMovement[[#This Row],[Destination]]="","",IFERROR(INDEX(tblDestinations[Type],MATCH(tblMovement[[#This Row],[Destination]],tblDestinations[Destination],0)),"?"))</f>
        <v/>
      </c>
      <c r="M3607" s="64">
        <f>IF(tblMovement[[#This Row],[Material]]="","",IF(LEFT(tblMovement[[#This Row],[Material]],3)="Ore",1,0))</f>
        <v/>
      </c>
      <c r="N3607" s="59">
        <f>IF(OR(tblMovement[[#This Row],[Tonnes_t]]="",tblMovement[[#This Row],[Grade_gpt]]=""),0,tblMovement[[#This Row],[Tonnes_t]]*tblMovement[[#This Row],[Grade_gpt]]/cfg_TroyOz)</f>
        <v/>
      </c>
      <c r="O3607" s="59">
        <f>IF(tblMovement[[#This Row],[Is_Ore]]=1,tblMovement[[#This Row],[Contained_oz]],0)</f>
        <v/>
      </c>
    </row>
    <row r="3608">
      <c r="A3608" s="54" t="n"/>
      <c r="B3608" s="61" t="n"/>
      <c r="C3608" s="61" t="n"/>
      <c r="D3608" s="61" t="n"/>
      <c r="E3608" s="61" t="n"/>
      <c r="F3608" s="55" t="n"/>
      <c r="G3608" s="56" t="n"/>
      <c r="H3608" s="55" t="n"/>
      <c r="I3608" s="62" t="n"/>
      <c r="J3608" s="58" t="n"/>
      <c r="K3608" s="63">
        <f>IF(tblMovement[[#This Row],[Source]]="","",IFERROR(INDEX(tblSources[Type],MATCH(tblMovement[[#This Row],[Source]],tblSources[Source],0)),"?"))</f>
        <v/>
      </c>
      <c r="L3608" s="63">
        <f>IF(tblMovement[[#This Row],[Destination]]="","",IFERROR(INDEX(tblDestinations[Type],MATCH(tblMovement[[#This Row],[Destination]],tblDestinations[Destination],0)),"?"))</f>
        <v/>
      </c>
      <c r="M3608" s="64">
        <f>IF(tblMovement[[#This Row],[Material]]="","",IF(LEFT(tblMovement[[#This Row],[Material]],3)="Ore",1,0))</f>
        <v/>
      </c>
      <c r="N3608" s="59">
        <f>IF(OR(tblMovement[[#This Row],[Tonnes_t]]="",tblMovement[[#This Row],[Grade_gpt]]=""),0,tblMovement[[#This Row],[Tonnes_t]]*tblMovement[[#This Row],[Grade_gpt]]/cfg_TroyOz)</f>
        <v/>
      </c>
      <c r="O3608" s="59">
        <f>IF(tblMovement[[#This Row],[Is_Ore]]=1,tblMovement[[#This Row],[Contained_oz]],0)</f>
        <v/>
      </c>
    </row>
    <row r="3609">
      <c r="A3609" s="54" t="n"/>
      <c r="B3609" s="61" t="n"/>
      <c r="C3609" s="61" t="n"/>
      <c r="D3609" s="61" t="n"/>
      <c r="E3609" s="61" t="n"/>
      <c r="F3609" s="55" t="n"/>
      <c r="G3609" s="56" t="n"/>
      <c r="H3609" s="55" t="n"/>
      <c r="I3609" s="62" t="n"/>
      <c r="J3609" s="58" t="n"/>
      <c r="K3609" s="63">
        <f>IF(tblMovement[[#This Row],[Source]]="","",IFERROR(INDEX(tblSources[Type],MATCH(tblMovement[[#This Row],[Source]],tblSources[Source],0)),"?"))</f>
        <v/>
      </c>
      <c r="L3609" s="63">
        <f>IF(tblMovement[[#This Row],[Destination]]="","",IFERROR(INDEX(tblDestinations[Type],MATCH(tblMovement[[#This Row],[Destination]],tblDestinations[Destination],0)),"?"))</f>
        <v/>
      </c>
      <c r="M3609" s="64">
        <f>IF(tblMovement[[#This Row],[Material]]="","",IF(LEFT(tblMovement[[#This Row],[Material]],3)="Ore",1,0))</f>
        <v/>
      </c>
      <c r="N3609" s="59">
        <f>IF(OR(tblMovement[[#This Row],[Tonnes_t]]="",tblMovement[[#This Row],[Grade_gpt]]=""),0,tblMovement[[#This Row],[Tonnes_t]]*tblMovement[[#This Row],[Grade_gpt]]/cfg_TroyOz)</f>
        <v/>
      </c>
      <c r="O3609" s="59">
        <f>IF(tblMovement[[#This Row],[Is_Ore]]=1,tblMovement[[#This Row],[Contained_oz]],0)</f>
        <v/>
      </c>
    </row>
    <row r="3610">
      <c r="A3610" s="54" t="n"/>
      <c r="B3610" s="61" t="n"/>
      <c r="C3610" s="61" t="n"/>
      <c r="D3610" s="61" t="n"/>
      <c r="E3610" s="61" t="n"/>
      <c r="F3610" s="55" t="n"/>
      <c r="G3610" s="56" t="n"/>
      <c r="H3610" s="55" t="n"/>
      <c r="I3610" s="62" t="n"/>
      <c r="J3610" s="58" t="n"/>
      <c r="K3610" s="63">
        <f>IF(tblMovement[[#This Row],[Source]]="","",IFERROR(INDEX(tblSources[Type],MATCH(tblMovement[[#This Row],[Source]],tblSources[Source],0)),"?"))</f>
        <v/>
      </c>
      <c r="L3610" s="63">
        <f>IF(tblMovement[[#This Row],[Destination]]="","",IFERROR(INDEX(tblDestinations[Type],MATCH(tblMovement[[#This Row],[Destination]],tblDestinations[Destination],0)),"?"))</f>
        <v/>
      </c>
      <c r="M3610" s="64">
        <f>IF(tblMovement[[#This Row],[Material]]="","",IF(LEFT(tblMovement[[#This Row],[Material]],3)="Ore",1,0))</f>
        <v/>
      </c>
      <c r="N3610" s="59">
        <f>IF(OR(tblMovement[[#This Row],[Tonnes_t]]="",tblMovement[[#This Row],[Grade_gpt]]=""),0,tblMovement[[#This Row],[Tonnes_t]]*tblMovement[[#This Row],[Grade_gpt]]/cfg_TroyOz)</f>
        <v/>
      </c>
      <c r="O3610" s="59">
        <f>IF(tblMovement[[#This Row],[Is_Ore]]=1,tblMovement[[#This Row],[Contained_oz]],0)</f>
        <v/>
      </c>
    </row>
    <row r="3611">
      <c r="A3611" s="54" t="n"/>
      <c r="B3611" s="61" t="n"/>
      <c r="C3611" s="61" t="n"/>
      <c r="D3611" s="61" t="n"/>
      <c r="E3611" s="61" t="n"/>
      <c r="F3611" s="55" t="n"/>
      <c r="G3611" s="56" t="n"/>
      <c r="H3611" s="55" t="n"/>
      <c r="I3611" s="62" t="n"/>
      <c r="J3611" s="58" t="n"/>
      <c r="K3611" s="63">
        <f>IF(tblMovement[[#This Row],[Source]]="","",IFERROR(INDEX(tblSources[Type],MATCH(tblMovement[[#This Row],[Source]],tblSources[Source],0)),"?"))</f>
        <v/>
      </c>
      <c r="L3611" s="63">
        <f>IF(tblMovement[[#This Row],[Destination]]="","",IFERROR(INDEX(tblDestinations[Type],MATCH(tblMovement[[#This Row],[Destination]],tblDestinations[Destination],0)),"?"))</f>
        <v/>
      </c>
      <c r="M3611" s="64">
        <f>IF(tblMovement[[#This Row],[Material]]="","",IF(LEFT(tblMovement[[#This Row],[Material]],3)="Ore",1,0))</f>
        <v/>
      </c>
      <c r="N3611" s="59">
        <f>IF(OR(tblMovement[[#This Row],[Tonnes_t]]="",tblMovement[[#This Row],[Grade_gpt]]=""),0,tblMovement[[#This Row],[Tonnes_t]]*tblMovement[[#This Row],[Grade_gpt]]/cfg_TroyOz)</f>
        <v/>
      </c>
      <c r="O3611" s="59">
        <f>IF(tblMovement[[#This Row],[Is_Ore]]=1,tblMovement[[#This Row],[Contained_oz]],0)</f>
        <v/>
      </c>
    </row>
    <row r="3612">
      <c r="A3612" s="54" t="n"/>
      <c r="B3612" s="61" t="n"/>
      <c r="C3612" s="61" t="n"/>
      <c r="D3612" s="61" t="n"/>
      <c r="E3612" s="61" t="n"/>
      <c r="F3612" s="55" t="n"/>
      <c r="G3612" s="56" t="n"/>
      <c r="H3612" s="55" t="n"/>
      <c r="I3612" s="62" t="n"/>
      <c r="J3612" s="58" t="n"/>
      <c r="K3612" s="63">
        <f>IF(tblMovement[[#This Row],[Source]]="","",IFERROR(INDEX(tblSources[Type],MATCH(tblMovement[[#This Row],[Source]],tblSources[Source],0)),"?"))</f>
        <v/>
      </c>
      <c r="L3612" s="63">
        <f>IF(tblMovement[[#This Row],[Destination]]="","",IFERROR(INDEX(tblDestinations[Type],MATCH(tblMovement[[#This Row],[Destination]],tblDestinations[Destination],0)),"?"))</f>
        <v/>
      </c>
      <c r="M3612" s="64">
        <f>IF(tblMovement[[#This Row],[Material]]="","",IF(LEFT(tblMovement[[#This Row],[Material]],3)="Ore",1,0))</f>
        <v/>
      </c>
      <c r="N3612" s="59">
        <f>IF(OR(tblMovement[[#This Row],[Tonnes_t]]="",tblMovement[[#This Row],[Grade_gpt]]=""),0,tblMovement[[#This Row],[Tonnes_t]]*tblMovement[[#This Row],[Grade_gpt]]/cfg_TroyOz)</f>
        <v/>
      </c>
      <c r="O3612" s="59">
        <f>IF(tblMovement[[#This Row],[Is_Ore]]=1,tblMovement[[#This Row],[Contained_oz]],0)</f>
        <v/>
      </c>
    </row>
    <row r="3613">
      <c r="A3613" s="54" t="n"/>
      <c r="B3613" s="61" t="n"/>
      <c r="C3613" s="61" t="n"/>
      <c r="D3613" s="61" t="n"/>
      <c r="E3613" s="61" t="n"/>
      <c r="F3613" s="55" t="n"/>
      <c r="G3613" s="56" t="n"/>
      <c r="H3613" s="55" t="n"/>
      <c r="I3613" s="62" t="n"/>
      <c r="J3613" s="58" t="n"/>
      <c r="K3613" s="63">
        <f>IF(tblMovement[[#This Row],[Source]]="","",IFERROR(INDEX(tblSources[Type],MATCH(tblMovement[[#This Row],[Source]],tblSources[Source],0)),"?"))</f>
        <v/>
      </c>
      <c r="L3613" s="63">
        <f>IF(tblMovement[[#This Row],[Destination]]="","",IFERROR(INDEX(tblDestinations[Type],MATCH(tblMovement[[#This Row],[Destination]],tblDestinations[Destination],0)),"?"))</f>
        <v/>
      </c>
      <c r="M3613" s="64">
        <f>IF(tblMovement[[#This Row],[Material]]="","",IF(LEFT(tblMovement[[#This Row],[Material]],3)="Ore",1,0))</f>
        <v/>
      </c>
      <c r="N3613" s="59">
        <f>IF(OR(tblMovement[[#This Row],[Tonnes_t]]="",tblMovement[[#This Row],[Grade_gpt]]=""),0,tblMovement[[#This Row],[Tonnes_t]]*tblMovement[[#This Row],[Grade_gpt]]/cfg_TroyOz)</f>
        <v/>
      </c>
      <c r="O3613" s="59">
        <f>IF(tblMovement[[#This Row],[Is_Ore]]=1,tblMovement[[#This Row],[Contained_oz]],0)</f>
        <v/>
      </c>
    </row>
    <row r="3614">
      <c r="A3614" s="54" t="n"/>
      <c r="B3614" s="61" t="n"/>
      <c r="C3614" s="61" t="n"/>
      <c r="D3614" s="61" t="n"/>
      <c r="E3614" s="61" t="n"/>
      <c r="F3614" s="55" t="n"/>
      <c r="G3614" s="56" t="n"/>
      <c r="H3614" s="55" t="n"/>
      <c r="I3614" s="62" t="n"/>
      <c r="J3614" s="58" t="n"/>
      <c r="K3614" s="63">
        <f>IF(tblMovement[[#This Row],[Source]]="","",IFERROR(INDEX(tblSources[Type],MATCH(tblMovement[[#This Row],[Source]],tblSources[Source],0)),"?"))</f>
        <v/>
      </c>
      <c r="L3614" s="63">
        <f>IF(tblMovement[[#This Row],[Destination]]="","",IFERROR(INDEX(tblDestinations[Type],MATCH(tblMovement[[#This Row],[Destination]],tblDestinations[Destination],0)),"?"))</f>
        <v/>
      </c>
      <c r="M3614" s="64">
        <f>IF(tblMovement[[#This Row],[Material]]="","",IF(LEFT(tblMovement[[#This Row],[Material]],3)="Ore",1,0))</f>
        <v/>
      </c>
      <c r="N3614" s="59">
        <f>IF(OR(tblMovement[[#This Row],[Tonnes_t]]="",tblMovement[[#This Row],[Grade_gpt]]=""),0,tblMovement[[#This Row],[Tonnes_t]]*tblMovement[[#This Row],[Grade_gpt]]/cfg_TroyOz)</f>
        <v/>
      </c>
      <c r="O3614" s="59">
        <f>IF(tblMovement[[#This Row],[Is_Ore]]=1,tblMovement[[#This Row],[Contained_oz]],0)</f>
        <v/>
      </c>
    </row>
    <row r="3615">
      <c r="A3615" s="54" t="n"/>
      <c r="B3615" s="61" t="n"/>
      <c r="C3615" s="61" t="n"/>
      <c r="D3615" s="61" t="n"/>
      <c r="E3615" s="61" t="n"/>
      <c r="F3615" s="55" t="n"/>
      <c r="G3615" s="56" t="n"/>
      <c r="H3615" s="55" t="n"/>
      <c r="I3615" s="62" t="n"/>
      <c r="J3615" s="58" t="n"/>
      <c r="K3615" s="63">
        <f>IF(tblMovement[[#This Row],[Source]]="","",IFERROR(INDEX(tblSources[Type],MATCH(tblMovement[[#This Row],[Source]],tblSources[Source],0)),"?"))</f>
        <v/>
      </c>
      <c r="L3615" s="63">
        <f>IF(tblMovement[[#This Row],[Destination]]="","",IFERROR(INDEX(tblDestinations[Type],MATCH(tblMovement[[#This Row],[Destination]],tblDestinations[Destination],0)),"?"))</f>
        <v/>
      </c>
      <c r="M3615" s="64">
        <f>IF(tblMovement[[#This Row],[Material]]="","",IF(LEFT(tblMovement[[#This Row],[Material]],3)="Ore",1,0))</f>
        <v/>
      </c>
      <c r="N3615" s="59">
        <f>IF(OR(tblMovement[[#This Row],[Tonnes_t]]="",tblMovement[[#This Row],[Grade_gpt]]=""),0,tblMovement[[#This Row],[Tonnes_t]]*tblMovement[[#This Row],[Grade_gpt]]/cfg_TroyOz)</f>
        <v/>
      </c>
      <c r="O3615" s="59">
        <f>IF(tblMovement[[#This Row],[Is_Ore]]=1,tblMovement[[#This Row],[Contained_oz]],0)</f>
        <v/>
      </c>
    </row>
    <row r="3616">
      <c r="A3616" s="54" t="n"/>
      <c r="B3616" s="61" t="n"/>
      <c r="C3616" s="61" t="n"/>
      <c r="D3616" s="61" t="n"/>
      <c r="E3616" s="61" t="n"/>
      <c r="F3616" s="55" t="n"/>
      <c r="G3616" s="56" t="n"/>
      <c r="H3616" s="55" t="n"/>
      <c r="I3616" s="62" t="n"/>
      <c r="J3616" s="58" t="n"/>
      <c r="K3616" s="63">
        <f>IF(tblMovement[[#This Row],[Source]]="","",IFERROR(INDEX(tblSources[Type],MATCH(tblMovement[[#This Row],[Source]],tblSources[Source],0)),"?"))</f>
        <v/>
      </c>
      <c r="L3616" s="63">
        <f>IF(tblMovement[[#This Row],[Destination]]="","",IFERROR(INDEX(tblDestinations[Type],MATCH(tblMovement[[#This Row],[Destination]],tblDestinations[Destination],0)),"?"))</f>
        <v/>
      </c>
      <c r="M3616" s="64">
        <f>IF(tblMovement[[#This Row],[Material]]="","",IF(LEFT(tblMovement[[#This Row],[Material]],3)="Ore",1,0))</f>
        <v/>
      </c>
      <c r="N3616" s="59">
        <f>IF(OR(tblMovement[[#This Row],[Tonnes_t]]="",tblMovement[[#This Row],[Grade_gpt]]=""),0,tblMovement[[#This Row],[Tonnes_t]]*tblMovement[[#This Row],[Grade_gpt]]/cfg_TroyOz)</f>
        <v/>
      </c>
      <c r="O3616" s="59">
        <f>IF(tblMovement[[#This Row],[Is_Ore]]=1,tblMovement[[#This Row],[Contained_oz]],0)</f>
        <v/>
      </c>
    </row>
    <row r="3617">
      <c r="A3617" s="54" t="n"/>
      <c r="B3617" s="61" t="n"/>
      <c r="C3617" s="61" t="n"/>
      <c r="D3617" s="61" t="n"/>
      <c r="E3617" s="61" t="n"/>
      <c r="F3617" s="55" t="n"/>
      <c r="G3617" s="56" t="n"/>
      <c r="H3617" s="55" t="n"/>
      <c r="I3617" s="62" t="n"/>
      <c r="J3617" s="58" t="n"/>
      <c r="K3617" s="63">
        <f>IF(tblMovement[[#This Row],[Source]]="","",IFERROR(INDEX(tblSources[Type],MATCH(tblMovement[[#This Row],[Source]],tblSources[Source],0)),"?"))</f>
        <v/>
      </c>
      <c r="L3617" s="63">
        <f>IF(tblMovement[[#This Row],[Destination]]="","",IFERROR(INDEX(tblDestinations[Type],MATCH(tblMovement[[#This Row],[Destination]],tblDestinations[Destination],0)),"?"))</f>
        <v/>
      </c>
      <c r="M3617" s="64">
        <f>IF(tblMovement[[#This Row],[Material]]="","",IF(LEFT(tblMovement[[#This Row],[Material]],3)="Ore",1,0))</f>
        <v/>
      </c>
      <c r="N3617" s="59">
        <f>IF(OR(tblMovement[[#This Row],[Tonnes_t]]="",tblMovement[[#This Row],[Grade_gpt]]=""),0,tblMovement[[#This Row],[Tonnes_t]]*tblMovement[[#This Row],[Grade_gpt]]/cfg_TroyOz)</f>
        <v/>
      </c>
      <c r="O3617" s="59">
        <f>IF(tblMovement[[#This Row],[Is_Ore]]=1,tblMovement[[#This Row],[Contained_oz]],0)</f>
        <v/>
      </c>
    </row>
    <row r="3618">
      <c r="A3618" s="54" t="n"/>
      <c r="B3618" s="61" t="n"/>
      <c r="C3618" s="61" t="n"/>
      <c r="D3618" s="61" t="n"/>
      <c r="E3618" s="61" t="n"/>
      <c r="F3618" s="55" t="n"/>
      <c r="G3618" s="56" t="n"/>
      <c r="H3618" s="55" t="n"/>
      <c r="I3618" s="62" t="n"/>
      <c r="J3618" s="58" t="n"/>
      <c r="K3618" s="63">
        <f>IF(tblMovement[[#This Row],[Source]]="","",IFERROR(INDEX(tblSources[Type],MATCH(tblMovement[[#This Row],[Source]],tblSources[Source],0)),"?"))</f>
        <v/>
      </c>
      <c r="L3618" s="63">
        <f>IF(tblMovement[[#This Row],[Destination]]="","",IFERROR(INDEX(tblDestinations[Type],MATCH(tblMovement[[#This Row],[Destination]],tblDestinations[Destination],0)),"?"))</f>
        <v/>
      </c>
      <c r="M3618" s="64">
        <f>IF(tblMovement[[#This Row],[Material]]="","",IF(LEFT(tblMovement[[#This Row],[Material]],3)="Ore",1,0))</f>
        <v/>
      </c>
      <c r="N3618" s="59">
        <f>IF(OR(tblMovement[[#This Row],[Tonnes_t]]="",tblMovement[[#This Row],[Grade_gpt]]=""),0,tblMovement[[#This Row],[Tonnes_t]]*tblMovement[[#This Row],[Grade_gpt]]/cfg_TroyOz)</f>
        <v/>
      </c>
      <c r="O3618" s="59">
        <f>IF(tblMovement[[#This Row],[Is_Ore]]=1,tblMovement[[#This Row],[Contained_oz]],0)</f>
        <v/>
      </c>
    </row>
    <row r="3619">
      <c r="A3619" s="54" t="n"/>
      <c r="B3619" s="61" t="n"/>
      <c r="C3619" s="61" t="n"/>
      <c r="D3619" s="61" t="n"/>
      <c r="E3619" s="61" t="n"/>
      <c r="F3619" s="55" t="n"/>
      <c r="G3619" s="56" t="n"/>
      <c r="H3619" s="55" t="n"/>
      <c r="I3619" s="62" t="n"/>
      <c r="J3619" s="58" t="n"/>
      <c r="K3619" s="63">
        <f>IF(tblMovement[[#This Row],[Source]]="","",IFERROR(INDEX(tblSources[Type],MATCH(tblMovement[[#This Row],[Source]],tblSources[Source],0)),"?"))</f>
        <v/>
      </c>
      <c r="L3619" s="63">
        <f>IF(tblMovement[[#This Row],[Destination]]="","",IFERROR(INDEX(tblDestinations[Type],MATCH(tblMovement[[#This Row],[Destination]],tblDestinations[Destination],0)),"?"))</f>
        <v/>
      </c>
      <c r="M3619" s="64">
        <f>IF(tblMovement[[#This Row],[Material]]="","",IF(LEFT(tblMovement[[#This Row],[Material]],3)="Ore",1,0))</f>
        <v/>
      </c>
      <c r="N3619" s="59">
        <f>IF(OR(tblMovement[[#This Row],[Tonnes_t]]="",tblMovement[[#This Row],[Grade_gpt]]=""),0,tblMovement[[#This Row],[Tonnes_t]]*tblMovement[[#This Row],[Grade_gpt]]/cfg_TroyOz)</f>
        <v/>
      </c>
      <c r="O3619" s="59">
        <f>IF(tblMovement[[#This Row],[Is_Ore]]=1,tblMovement[[#This Row],[Contained_oz]],0)</f>
        <v/>
      </c>
    </row>
    <row r="3620">
      <c r="A3620" s="54" t="n"/>
      <c r="B3620" s="61" t="n"/>
      <c r="C3620" s="61" t="n"/>
      <c r="D3620" s="61" t="n"/>
      <c r="E3620" s="61" t="n"/>
      <c r="F3620" s="55" t="n"/>
      <c r="G3620" s="56" t="n"/>
      <c r="H3620" s="55" t="n"/>
      <c r="I3620" s="62" t="n"/>
      <c r="J3620" s="58" t="n"/>
      <c r="K3620" s="63">
        <f>IF(tblMovement[[#This Row],[Source]]="","",IFERROR(INDEX(tblSources[Type],MATCH(tblMovement[[#This Row],[Source]],tblSources[Source],0)),"?"))</f>
        <v/>
      </c>
      <c r="L3620" s="63">
        <f>IF(tblMovement[[#This Row],[Destination]]="","",IFERROR(INDEX(tblDestinations[Type],MATCH(tblMovement[[#This Row],[Destination]],tblDestinations[Destination],0)),"?"))</f>
        <v/>
      </c>
      <c r="M3620" s="64">
        <f>IF(tblMovement[[#This Row],[Material]]="","",IF(LEFT(tblMovement[[#This Row],[Material]],3)="Ore",1,0))</f>
        <v/>
      </c>
      <c r="N3620" s="59">
        <f>IF(OR(tblMovement[[#This Row],[Tonnes_t]]="",tblMovement[[#This Row],[Grade_gpt]]=""),0,tblMovement[[#This Row],[Tonnes_t]]*tblMovement[[#This Row],[Grade_gpt]]/cfg_TroyOz)</f>
        <v/>
      </c>
      <c r="O3620" s="59">
        <f>IF(tblMovement[[#This Row],[Is_Ore]]=1,tblMovement[[#This Row],[Contained_oz]],0)</f>
        <v/>
      </c>
    </row>
    <row r="3621">
      <c r="A3621" s="54" t="n"/>
      <c r="B3621" s="61" t="n"/>
      <c r="C3621" s="61" t="n"/>
      <c r="D3621" s="61" t="n"/>
      <c r="E3621" s="61" t="n"/>
      <c r="F3621" s="55" t="n"/>
      <c r="G3621" s="56" t="n"/>
      <c r="H3621" s="55" t="n"/>
      <c r="I3621" s="62" t="n"/>
      <c r="J3621" s="58" t="n"/>
      <c r="K3621" s="63">
        <f>IF(tblMovement[[#This Row],[Source]]="","",IFERROR(INDEX(tblSources[Type],MATCH(tblMovement[[#This Row],[Source]],tblSources[Source],0)),"?"))</f>
        <v/>
      </c>
      <c r="L3621" s="63">
        <f>IF(tblMovement[[#This Row],[Destination]]="","",IFERROR(INDEX(tblDestinations[Type],MATCH(tblMovement[[#This Row],[Destination]],tblDestinations[Destination],0)),"?"))</f>
        <v/>
      </c>
      <c r="M3621" s="64">
        <f>IF(tblMovement[[#This Row],[Material]]="","",IF(LEFT(tblMovement[[#This Row],[Material]],3)="Ore",1,0))</f>
        <v/>
      </c>
      <c r="N3621" s="59">
        <f>IF(OR(tblMovement[[#This Row],[Tonnes_t]]="",tblMovement[[#This Row],[Grade_gpt]]=""),0,tblMovement[[#This Row],[Tonnes_t]]*tblMovement[[#This Row],[Grade_gpt]]/cfg_TroyOz)</f>
        <v/>
      </c>
      <c r="O3621" s="59">
        <f>IF(tblMovement[[#This Row],[Is_Ore]]=1,tblMovement[[#This Row],[Contained_oz]],0)</f>
        <v/>
      </c>
    </row>
    <row r="3622">
      <c r="A3622" s="54" t="n"/>
      <c r="B3622" s="61" t="n"/>
      <c r="C3622" s="61" t="n"/>
      <c r="D3622" s="61" t="n"/>
      <c r="E3622" s="61" t="n"/>
      <c r="F3622" s="55" t="n"/>
      <c r="G3622" s="56" t="n"/>
      <c r="H3622" s="55" t="n"/>
      <c r="I3622" s="62" t="n"/>
      <c r="J3622" s="58" t="n"/>
      <c r="K3622" s="63">
        <f>IF(tblMovement[[#This Row],[Source]]="","",IFERROR(INDEX(tblSources[Type],MATCH(tblMovement[[#This Row],[Source]],tblSources[Source],0)),"?"))</f>
        <v/>
      </c>
      <c r="L3622" s="63">
        <f>IF(tblMovement[[#This Row],[Destination]]="","",IFERROR(INDEX(tblDestinations[Type],MATCH(tblMovement[[#This Row],[Destination]],tblDestinations[Destination],0)),"?"))</f>
        <v/>
      </c>
      <c r="M3622" s="64">
        <f>IF(tblMovement[[#This Row],[Material]]="","",IF(LEFT(tblMovement[[#This Row],[Material]],3)="Ore",1,0))</f>
        <v/>
      </c>
      <c r="N3622" s="59">
        <f>IF(OR(tblMovement[[#This Row],[Tonnes_t]]="",tblMovement[[#This Row],[Grade_gpt]]=""),0,tblMovement[[#This Row],[Tonnes_t]]*tblMovement[[#This Row],[Grade_gpt]]/cfg_TroyOz)</f>
        <v/>
      </c>
      <c r="O3622" s="59">
        <f>IF(tblMovement[[#This Row],[Is_Ore]]=1,tblMovement[[#This Row],[Contained_oz]],0)</f>
        <v/>
      </c>
    </row>
    <row r="3623">
      <c r="A3623" s="54" t="n"/>
      <c r="B3623" s="61" t="n"/>
      <c r="C3623" s="61" t="n"/>
      <c r="D3623" s="61" t="n"/>
      <c r="E3623" s="61" t="n"/>
      <c r="F3623" s="55" t="n"/>
      <c r="G3623" s="56" t="n"/>
      <c r="H3623" s="55" t="n"/>
      <c r="I3623" s="62" t="n"/>
      <c r="J3623" s="58" t="n"/>
      <c r="K3623" s="63">
        <f>IF(tblMovement[[#This Row],[Source]]="","",IFERROR(INDEX(tblSources[Type],MATCH(tblMovement[[#This Row],[Source]],tblSources[Source],0)),"?"))</f>
        <v/>
      </c>
      <c r="L3623" s="63">
        <f>IF(tblMovement[[#This Row],[Destination]]="","",IFERROR(INDEX(tblDestinations[Type],MATCH(tblMovement[[#This Row],[Destination]],tblDestinations[Destination],0)),"?"))</f>
        <v/>
      </c>
      <c r="M3623" s="64">
        <f>IF(tblMovement[[#This Row],[Material]]="","",IF(LEFT(tblMovement[[#This Row],[Material]],3)="Ore",1,0))</f>
        <v/>
      </c>
      <c r="N3623" s="59">
        <f>IF(OR(tblMovement[[#This Row],[Tonnes_t]]="",tblMovement[[#This Row],[Grade_gpt]]=""),0,tblMovement[[#This Row],[Tonnes_t]]*tblMovement[[#This Row],[Grade_gpt]]/cfg_TroyOz)</f>
        <v/>
      </c>
      <c r="O3623" s="59">
        <f>IF(tblMovement[[#This Row],[Is_Ore]]=1,tblMovement[[#This Row],[Contained_oz]],0)</f>
        <v/>
      </c>
    </row>
    <row r="3624">
      <c r="A3624" s="54" t="n"/>
      <c r="B3624" s="61" t="n"/>
      <c r="C3624" s="61" t="n"/>
      <c r="D3624" s="61" t="n"/>
      <c r="E3624" s="61" t="n"/>
      <c r="F3624" s="55" t="n"/>
      <c r="G3624" s="56" t="n"/>
      <c r="H3624" s="55" t="n"/>
      <c r="I3624" s="62" t="n"/>
      <c r="J3624" s="58" t="n"/>
      <c r="K3624" s="63">
        <f>IF(tblMovement[[#This Row],[Source]]="","",IFERROR(INDEX(tblSources[Type],MATCH(tblMovement[[#This Row],[Source]],tblSources[Source],0)),"?"))</f>
        <v/>
      </c>
      <c r="L3624" s="63">
        <f>IF(tblMovement[[#This Row],[Destination]]="","",IFERROR(INDEX(tblDestinations[Type],MATCH(tblMovement[[#This Row],[Destination]],tblDestinations[Destination],0)),"?"))</f>
        <v/>
      </c>
      <c r="M3624" s="64">
        <f>IF(tblMovement[[#This Row],[Material]]="","",IF(LEFT(tblMovement[[#This Row],[Material]],3)="Ore",1,0))</f>
        <v/>
      </c>
      <c r="N3624" s="59">
        <f>IF(OR(tblMovement[[#This Row],[Tonnes_t]]="",tblMovement[[#This Row],[Grade_gpt]]=""),0,tblMovement[[#This Row],[Tonnes_t]]*tblMovement[[#This Row],[Grade_gpt]]/cfg_TroyOz)</f>
        <v/>
      </c>
      <c r="O3624" s="59">
        <f>IF(tblMovement[[#This Row],[Is_Ore]]=1,tblMovement[[#This Row],[Contained_oz]],0)</f>
        <v/>
      </c>
    </row>
    <row r="3625">
      <c r="A3625" s="54" t="n"/>
      <c r="B3625" s="61" t="n"/>
      <c r="C3625" s="61" t="n"/>
      <c r="D3625" s="61" t="n"/>
      <c r="E3625" s="61" t="n"/>
      <c r="F3625" s="55" t="n"/>
      <c r="G3625" s="56" t="n"/>
      <c r="H3625" s="55" t="n"/>
      <c r="I3625" s="62" t="n"/>
      <c r="J3625" s="58" t="n"/>
      <c r="K3625" s="63">
        <f>IF(tblMovement[[#This Row],[Source]]="","",IFERROR(INDEX(tblSources[Type],MATCH(tblMovement[[#This Row],[Source]],tblSources[Source],0)),"?"))</f>
        <v/>
      </c>
      <c r="L3625" s="63">
        <f>IF(tblMovement[[#This Row],[Destination]]="","",IFERROR(INDEX(tblDestinations[Type],MATCH(tblMovement[[#This Row],[Destination]],tblDestinations[Destination],0)),"?"))</f>
        <v/>
      </c>
      <c r="M3625" s="64">
        <f>IF(tblMovement[[#This Row],[Material]]="","",IF(LEFT(tblMovement[[#This Row],[Material]],3)="Ore",1,0))</f>
        <v/>
      </c>
      <c r="N3625" s="59">
        <f>IF(OR(tblMovement[[#This Row],[Tonnes_t]]="",tblMovement[[#This Row],[Grade_gpt]]=""),0,tblMovement[[#This Row],[Tonnes_t]]*tblMovement[[#This Row],[Grade_gpt]]/cfg_TroyOz)</f>
        <v/>
      </c>
      <c r="O3625" s="59">
        <f>IF(tblMovement[[#This Row],[Is_Ore]]=1,tblMovement[[#This Row],[Contained_oz]],0)</f>
        <v/>
      </c>
    </row>
    <row r="3626">
      <c r="A3626" s="54" t="n"/>
      <c r="B3626" s="61" t="n"/>
      <c r="C3626" s="61" t="n"/>
      <c r="D3626" s="61" t="n"/>
      <c r="E3626" s="61" t="n"/>
      <c r="F3626" s="55" t="n"/>
      <c r="G3626" s="56" t="n"/>
      <c r="H3626" s="55" t="n"/>
      <c r="I3626" s="62" t="n"/>
      <c r="J3626" s="58" t="n"/>
      <c r="K3626" s="63">
        <f>IF(tblMovement[[#This Row],[Source]]="","",IFERROR(INDEX(tblSources[Type],MATCH(tblMovement[[#This Row],[Source]],tblSources[Source],0)),"?"))</f>
        <v/>
      </c>
      <c r="L3626" s="63">
        <f>IF(tblMovement[[#This Row],[Destination]]="","",IFERROR(INDEX(tblDestinations[Type],MATCH(tblMovement[[#This Row],[Destination]],tblDestinations[Destination],0)),"?"))</f>
        <v/>
      </c>
      <c r="M3626" s="64">
        <f>IF(tblMovement[[#This Row],[Material]]="","",IF(LEFT(tblMovement[[#This Row],[Material]],3)="Ore",1,0))</f>
        <v/>
      </c>
      <c r="N3626" s="59">
        <f>IF(OR(tblMovement[[#This Row],[Tonnes_t]]="",tblMovement[[#This Row],[Grade_gpt]]=""),0,tblMovement[[#This Row],[Tonnes_t]]*tblMovement[[#This Row],[Grade_gpt]]/cfg_TroyOz)</f>
        <v/>
      </c>
      <c r="O3626" s="59">
        <f>IF(tblMovement[[#This Row],[Is_Ore]]=1,tblMovement[[#This Row],[Contained_oz]],0)</f>
        <v/>
      </c>
    </row>
    <row r="3627">
      <c r="A3627" s="54" t="n"/>
      <c r="B3627" s="61" t="n"/>
      <c r="C3627" s="61" t="n"/>
      <c r="D3627" s="61" t="n"/>
      <c r="E3627" s="61" t="n"/>
      <c r="F3627" s="55" t="n"/>
      <c r="G3627" s="56" t="n"/>
      <c r="H3627" s="55" t="n"/>
      <c r="I3627" s="62" t="n"/>
      <c r="J3627" s="58" t="n"/>
      <c r="K3627" s="63">
        <f>IF(tblMovement[[#This Row],[Source]]="","",IFERROR(INDEX(tblSources[Type],MATCH(tblMovement[[#This Row],[Source]],tblSources[Source],0)),"?"))</f>
        <v/>
      </c>
      <c r="L3627" s="63">
        <f>IF(tblMovement[[#This Row],[Destination]]="","",IFERROR(INDEX(tblDestinations[Type],MATCH(tblMovement[[#This Row],[Destination]],tblDestinations[Destination],0)),"?"))</f>
        <v/>
      </c>
      <c r="M3627" s="64">
        <f>IF(tblMovement[[#This Row],[Material]]="","",IF(LEFT(tblMovement[[#This Row],[Material]],3)="Ore",1,0))</f>
        <v/>
      </c>
      <c r="N3627" s="59">
        <f>IF(OR(tblMovement[[#This Row],[Tonnes_t]]="",tblMovement[[#This Row],[Grade_gpt]]=""),0,tblMovement[[#This Row],[Tonnes_t]]*tblMovement[[#This Row],[Grade_gpt]]/cfg_TroyOz)</f>
        <v/>
      </c>
      <c r="O3627" s="59">
        <f>IF(tblMovement[[#This Row],[Is_Ore]]=1,tblMovement[[#This Row],[Contained_oz]],0)</f>
        <v/>
      </c>
    </row>
    <row r="3628">
      <c r="A3628" s="54" t="n"/>
      <c r="B3628" s="61" t="n"/>
      <c r="C3628" s="61" t="n"/>
      <c r="D3628" s="61" t="n"/>
      <c r="E3628" s="61" t="n"/>
      <c r="F3628" s="55" t="n"/>
      <c r="G3628" s="56" t="n"/>
      <c r="H3628" s="55" t="n"/>
      <c r="I3628" s="62" t="n"/>
      <c r="J3628" s="58" t="n"/>
      <c r="K3628" s="63">
        <f>IF(tblMovement[[#This Row],[Source]]="","",IFERROR(INDEX(tblSources[Type],MATCH(tblMovement[[#This Row],[Source]],tblSources[Source],0)),"?"))</f>
        <v/>
      </c>
      <c r="L3628" s="63">
        <f>IF(tblMovement[[#This Row],[Destination]]="","",IFERROR(INDEX(tblDestinations[Type],MATCH(tblMovement[[#This Row],[Destination]],tblDestinations[Destination],0)),"?"))</f>
        <v/>
      </c>
      <c r="M3628" s="64">
        <f>IF(tblMovement[[#This Row],[Material]]="","",IF(LEFT(tblMovement[[#This Row],[Material]],3)="Ore",1,0))</f>
        <v/>
      </c>
      <c r="N3628" s="59">
        <f>IF(OR(tblMovement[[#This Row],[Tonnes_t]]="",tblMovement[[#This Row],[Grade_gpt]]=""),0,tblMovement[[#This Row],[Tonnes_t]]*tblMovement[[#This Row],[Grade_gpt]]/cfg_TroyOz)</f>
        <v/>
      </c>
      <c r="O3628" s="59">
        <f>IF(tblMovement[[#This Row],[Is_Ore]]=1,tblMovement[[#This Row],[Contained_oz]],0)</f>
        <v/>
      </c>
    </row>
    <row r="3629">
      <c r="A3629" s="54" t="n"/>
      <c r="B3629" s="61" t="n"/>
      <c r="C3629" s="61" t="n"/>
      <c r="D3629" s="61" t="n"/>
      <c r="E3629" s="61" t="n"/>
      <c r="F3629" s="55" t="n"/>
      <c r="G3629" s="56" t="n"/>
      <c r="H3629" s="55" t="n"/>
      <c r="I3629" s="62" t="n"/>
      <c r="J3629" s="58" t="n"/>
      <c r="K3629" s="63">
        <f>IF(tblMovement[[#This Row],[Source]]="","",IFERROR(INDEX(tblSources[Type],MATCH(tblMovement[[#This Row],[Source]],tblSources[Source],0)),"?"))</f>
        <v/>
      </c>
      <c r="L3629" s="63">
        <f>IF(tblMovement[[#This Row],[Destination]]="","",IFERROR(INDEX(tblDestinations[Type],MATCH(tblMovement[[#This Row],[Destination]],tblDestinations[Destination],0)),"?"))</f>
        <v/>
      </c>
      <c r="M3629" s="64">
        <f>IF(tblMovement[[#This Row],[Material]]="","",IF(LEFT(tblMovement[[#This Row],[Material]],3)="Ore",1,0))</f>
        <v/>
      </c>
      <c r="N3629" s="59">
        <f>IF(OR(tblMovement[[#This Row],[Tonnes_t]]="",tblMovement[[#This Row],[Grade_gpt]]=""),0,tblMovement[[#This Row],[Tonnes_t]]*tblMovement[[#This Row],[Grade_gpt]]/cfg_TroyOz)</f>
        <v/>
      </c>
      <c r="O3629" s="59">
        <f>IF(tblMovement[[#This Row],[Is_Ore]]=1,tblMovement[[#This Row],[Contained_oz]],0)</f>
        <v/>
      </c>
    </row>
    <row r="3630">
      <c r="A3630" s="54" t="n"/>
      <c r="B3630" s="61" t="n"/>
      <c r="C3630" s="61" t="n"/>
      <c r="D3630" s="61" t="n"/>
      <c r="E3630" s="61" t="n"/>
      <c r="F3630" s="55" t="n"/>
      <c r="G3630" s="56" t="n"/>
      <c r="H3630" s="55" t="n"/>
      <c r="I3630" s="62" t="n"/>
      <c r="J3630" s="58" t="n"/>
      <c r="K3630" s="63">
        <f>IF(tblMovement[[#This Row],[Source]]="","",IFERROR(INDEX(tblSources[Type],MATCH(tblMovement[[#This Row],[Source]],tblSources[Source],0)),"?"))</f>
        <v/>
      </c>
      <c r="L3630" s="63">
        <f>IF(tblMovement[[#This Row],[Destination]]="","",IFERROR(INDEX(tblDestinations[Type],MATCH(tblMovement[[#This Row],[Destination]],tblDestinations[Destination],0)),"?"))</f>
        <v/>
      </c>
      <c r="M3630" s="64">
        <f>IF(tblMovement[[#This Row],[Material]]="","",IF(LEFT(tblMovement[[#This Row],[Material]],3)="Ore",1,0))</f>
        <v/>
      </c>
      <c r="N3630" s="59">
        <f>IF(OR(tblMovement[[#This Row],[Tonnes_t]]="",tblMovement[[#This Row],[Grade_gpt]]=""),0,tblMovement[[#This Row],[Tonnes_t]]*tblMovement[[#This Row],[Grade_gpt]]/cfg_TroyOz)</f>
        <v/>
      </c>
      <c r="O3630" s="59">
        <f>IF(tblMovement[[#This Row],[Is_Ore]]=1,tblMovement[[#This Row],[Contained_oz]],0)</f>
        <v/>
      </c>
    </row>
    <row r="3631">
      <c r="A3631" s="54" t="n"/>
      <c r="B3631" s="61" t="n"/>
      <c r="C3631" s="61" t="n"/>
      <c r="D3631" s="61" t="n"/>
      <c r="E3631" s="61" t="n"/>
      <c r="F3631" s="55" t="n"/>
      <c r="G3631" s="56" t="n"/>
      <c r="H3631" s="55" t="n"/>
      <c r="I3631" s="62" t="n"/>
      <c r="J3631" s="58" t="n"/>
      <c r="K3631" s="63">
        <f>IF(tblMovement[[#This Row],[Source]]="","",IFERROR(INDEX(tblSources[Type],MATCH(tblMovement[[#This Row],[Source]],tblSources[Source],0)),"?"))</f>
        <v/>
      </c>
      <c r="L3631" s="63">
        <f>IF(tblMovement[[#This Row],[Destination]]="","",IFERROR(INDEX(tblDestinations[Type],MATCH(tblMovement[[#This Row],[Destination]],tblDestinations[Destination],0)),"?"))</f>
        <v/>
      </c>
      <c r="M3631" s="64">
        <f>IF(tblMovement[[#This Row],[Material]]="","",IF(LEFT(tblMovement[[#This Row],[Material]],3)="Ore",1,0))</f>
        <v/>
      </c>
      <c r="N3631" s="59">
        <f>IF(OR(tblMovement[[#This Row],[Tonnes_t]]="",tblMovement[[#This Row],[Grade_gpt]]=""),0,tblMovement[[#This Row],[Tonnes_t]]*tblMovement[[#This Row],[Grade_gpt]]/cfg_TroyOz)</f>
        <v/>
      </c>
      <c r="O3631" s="59">
        <f>IF(tblMovement[[#This Row],[Is_Ore]]=1,tblMovement[[#This Row],[Contained_oz]],0)</f>
        <v/>
      </c>
    </row>
    <row r="3632">
      <c r="A3632" s="54" t="n"/>
      <c r="B3632" s="61" t="n"/>
      <c r="C3632" s="61" t="n"/>
      <c r="D3632" s="61" t="n"/>
      <c r="E3632" s="61" t="n"/>
      <c r="F3632" s="55" t="n"/>
      <c r="G3632" s="56" t="n"/>
      <c r="H3632" s="55" t="n"/>
      <c r="I3632" s="62" t="n"/>
      <c r="J3632" s="58" t="n"/>
      <c r="K3632" s="63">
        <f>IF(tblMovement[[#This Row],[Source]]="","",IFERROR(INDEX(tblSources[Type],MATCH(tblMovement[[#This Row],[Source]],tblSources[Source],0)),"?"))</f>
        <v/>
      </c>
      <c r="L3632" s="63">
        <f>IF(tblMovement[[#This Row],[Destination]]="","",IFERROR(INDEX(tblDestinations[Type],MATCH(tblMovement[[#This Row],[Destination]],tblDestinations[Destination],0)),"?"))</f>
        <v/>
      </c>
      <c r="M3632" s="64">
        <f>IF(tblMovement[[#This Row],[Material]]="","",IF(LEFT(tblMovement[[#This Row],[Material]],3)="Ore",1,0))</f>
        <v/>
      </c>
      <c r="N3632" s="59">
        <f>IF(OR(tblMovement[[#This Row],[Tonnes_t]]="",tblMovement[[#This Row],[Grade_gpt]]=""),0,tblMovement[[#This Row],[Tonnes_t]]*tblMovement[[#This Row],[Grade_gpt]]/cfg_TroyOz)</f>
        <v/>
      </c>
      <c r="O3632" s="59">
        <f>IF(tblMovement[[#This Row],[Is_Ore]]=1,tblMovement[[#This Row],[Contained_oz]],0)</f>
        <v/>
      </c>
    </row>
    <row r="3633">
      <c r="A3633" s="54" t="n"/>
      <c r="B3633" s="61" t="n"/>
      <c r="C3633" s="61" t="n"/>
      <c r="D3633" s="61" t="n"/>
      <c r="E3633" s="61" t="n"/>
      <c r="F3633" s="55" t="n"/>
      <c r="G3633" s="56" t="n"/>
      <c r="H3633" s="55" t="n"/>
      <c r="I3633" s="62" t="n"/>
      <c r="J3633" s="58" t="n"/>
      <c r="K3633" s="63">
        <f>IF(tblMovement[[#This Row],[Source]]="","",IFERROR(INDEX(tblSources[Type],MATCH(tblMovement[[#This Row],[Source]],tblSources[Source],0)),"?"))</f>
        <v/>
      </c>
      <c r="L3633" s="63">
        <f>IF(tblMovement[[#This Row],[Destination]]="","",IFERROR(INDEX(tblDestinations[Type],MATCH(tblMovement[[#This Row],[Destination]],tblDestinations[Destination],0)),"?"))</f>
        <v/>
      </c>
      <c r="M3633" s="64">
        <f>IF(tblMovement[[#This Row],[Material]]="","",IF(LEFT(tblMovement[[#This Row],[Material]],3)="Ore",1,0))</f>
        <v/>
      </c>
      <c r="N3633" s="59">
        <f>IF(OR(tblMovement[[#This Row],[Tonnes_t]]="",tblMovement[[#This Row],[Grade_gpt]]=""),0,tblMovement[[#This Row],[Tonnes_t]]*tblMovement[[#This Row],[Grade_gpt]]/cfg_TroyOz)</f>
        <v/>
      </c>
      <c r="O3633" s="59">
        <f>IF(tblMovement[[#This Row],[Is_Ore]]=1,tblMovement[[#This Row],[Contained_oz]],0)</f>
        <v/>
      </c>
    </row>
    <row r="3634">
      <c r="A3634" s="54" t="n"/>
      <c r="B3634" s="61" t="n"/>
      <c r="C3634" s="61" t="n"/>
      <c r="D3634" s="61" t="n"/>
      <c r="E3634" s="61" t="n"/>
      <c r="F3634" s="55" t="n"/>
      <c r="G3634" s="56" t="n"/>
      <c r="H3634" s="55" t="n"/>
      <c r="I3634" s="62" t="n"/>
      <c r="J3634" s="58" t="n"/>
      <c r="K3634" s="63">
        <f>IF(tblMovement[[#This Row],[Source]]="","",IFERROR(INDEX(tblSources[Type],MATCH(tblMovement[[#This Row],[Source]],tblSources[Source],0)),"?"))</f>
        <v/>
      </c>
      <c r="L3634" s="63">
        <f>IF(tblMovement[[#This Row],[Destination]]="","",IFERROR(INDEX(tblDestinations[Type],MATCH(tblMovement[[#This Row],[Destination]],tblDestinations[Destination],0)),"?"))</f>
        <v/>
      </c>
      <c r="M3634" s="64">
        <f>IF(tblMovement[[#This Row],[Material]]="","",IF(LEFT(tblMovement[[#This Row],[Material]],3)="Ore",1,0))</f>
        <v/>
      </c>
      <c r="N3634" s="59">
        <f>IF(OR(tblMovement[[#This Row],[Tonnes_t]]="",tblMovement[[#This Row],[Grade_gpt]]=""),0,tblMovement[[#This Row],[Tonnes_t]]*tblMovement[[#This Row],[Grade_gpt]]/cfg_TroyOz)</f>
        <v/>
      </c>
      <c r="O3634" s="59">
        <f>IF(tblMovement[[#This Row],[Is_Ore]]=1,tblMovement[[#This Row],[Contained_oz]],0)</f>
        <v/>
      </c>
    </row>
    <row r="3635">
      <c r="A3635" s="54" t="n"/>
      <c r="B3635" s="61" t="n"/>
      <c r="C3635" s="61" t="n"/>
      <c r="D3635" s="61" t="n"/>
      <c r="E3635" s="61" t="n"/>
      <c r="F3635" s="55" t="n"/>
      <c r="G3635" s="56" t="n"/>
      <c r="H3635" s="55" t="n"/>
      <c r="I3635" s="62" t="n"/>
      <c r="J3635" s="58" t="n"/>
      <c r="K3635" s="63">
        <f>IF(tblMovement[[#This Row],[Source]]="","",IFERROR(INDEX(tblSources[Type],MATCH(tblMovement[[#This Row],[Source]],tblSources[Source],0)),"?"))</f>
        <v/>
      </c>
      <c r="L3635" s="63">
        <f>IF(tblMovement[[#This Row],[Destination]]="","",IFERROR(INDEX(tblDestinations[Type],MATCH(tblMovement[[#This Row],[Destination]],tblDestinations[Destination],0)),"?"))</f>
        <v/>
      </c>
      <c r="M3635" s="64">
        <f>IF(tblMovement[[#This Row],[Material]]="","",IF(LEFT(tblMovement[[#This Row],[Material]],3)="Ore",1,0))</f>
        <v/>
      </c>
      <c r="N3635" s="59">
        <f>IF(OR(tblMovement[[#This Row],[Tonnes_t]]="",tblMovement[[#This Row],[Grade_gpt]]=""),0,tblMovement[[#This Row],[Tonnes_t]]*tblMovement[[#This Row],[Grade_gpt]]/cfg_TroyOz)</f>
        <v/>
      </c>
      <c r="O3635" s="59">
        <f>IF(tblMovement[[#This Row],[Is_Ore]]=1,tblMovement[[#This Row],[Contained_oz]],0)</f>
        <v/>
      </c>
    </row>
    <row r="3636">
      <c r="A3636" s="54" t="n"/>
      <c r="B3636" s="61" t="n"/>
      <c r="C3636" s="61" t="n"/>
      <c r="D3636" s="61" t="n"/>
      <c r="E3636" s="61" t="n"/>
      <c r="F3636" s="55" t="n"/>
      <c r="G3636" s="56" t="n"/>
      <c r="H3636" s="55" t="n"/>
      <c r="I3636" s="62" t="n"/>
      <c r="J3636" s="58" t="n"/>
      <c r="K3636" s="63">
        <f>IF(tblMovement[[#This Row],[Source]]="","",IFERROR(INDEX(tblSources[Type],MATCH(tblMovement[[#This Row],[Source]],tblSources[Source],0)),"?"))</f>
        <v/>
      </c>
      <c r="L3636" s="63">
        <f>IF(tblMovement[[#This Row],[Destination]]="","",IFERROR(INDEX(tblDestinations[Type],MATCH(tblMovement[[#This Row],[Destination]],tblDestinations[Destination],0)),"?"))</f>
        <v/>
      </c>
      <c r="M3636" s="64">
        <f>IF(tblMovement[[#This Row],[Material]]="","",IF(LEFT(tblMovement[[#This Row],[Material]],3)="Ore",1,0))</f>
        <v/>
      </c>
      <c r="N3636" s="59">
        <f>IF(OR(tblMovement[[#This Row],[Tonnes_t]]="",tblMovement[[#This Row],[Grade_gpt]]=""),0,tblMovement[[#This Row],[Tonnes_t]]*tblMovement[[#This Row],[Grade_gpt]]/cfg_TroyOz)</f>
        <v/>
      </c>
      <c r="O3636" s="59">
        <f>IF(tblMovement[[#This Row],[Is_Ore]]=1,tblMovement[[#This Row],[Contained_oz]],0)</f>
        <v/>
      </c>
    </row>
    <row r="3637">
      <c r="A3637" s="54" t="n"/>
      <c r="B3637" s="61" t="n"/>
      <c r="C3637" s="61" t="n"/>
      <c r="D3637" s="61" t="n"/>
      <c r="E3637" s="61" t="n"/>
      <c r="F3637" s="55" t="n"/>
      <c r="G3637" s="56" t="n"/>
      <c r="H3637" s="55" t="n"/>
      <c r="I3637" s="62" t="n"/>
      <c r="J3637" s="58" t="n"/>
      <c r="K3637" s="63">
        <f>IF(tblMovement[[#This Row],[Source]]="","",IFERROR(INDEX(tblSources[Type],MATCH(tblMovement[[#This Row],[Source]],tblSources[Source],0)),"?"))</f>
        <v/>
      </c>
      <c r="L3637" s="63">
        <f>IF(tblMovement[[#This Row],[Destination]]="","",IFERROR(INDEX(tblDestinations[Type],MATCH(tblMovement[[#This Row],[Destination]],tblDestinations[Destination],0)),"?"))</f>
        <v/>
      </c>
      <c r="M3637" s="64">
        <f>IF(tblMovement[[#This Row],[Material]]="","",IF(LEFT(tblMovement[[#This Row],[Material]],3)="Ore",1,0))</f>
        <v/>
      </c>
      <c r="N3637" s="59">
        <f>IF(OR(tblMovement[[#This Row],[Tonnes_t]]="",tblMovement[[#This Row],[Grade_gpt]]=""),0,tblMovement[[#This Row],[Tonnes_t]]*tblMovement[[#This Row],[Grade_gpt]]/cfg_TroyOz)</f>
        <v/>
      </c>
      <c r="O3637" s="59">
        <f>IF(tblMovement[[#This Row],[Is_Ore]]=1,tblMovement[[#This Row],[Contained_oz]],0)</f>
        <v/>
      </c>
    </row>
    <row r="3638">
      <c r="A3638" s="54" t="n"/>
      <c r="B3638" s="61" t="n"/>
      <c r="C3638" s="61" t="n"/>
      <c r="D3638" s="61" t="n"/>
      <c r="E3638" s="61" t="n"/>
      <c r="F3638" s="55" t="n"/>
      <c r="G3638" s="56" t="n"/>
      <c r="H3638" s="55" t="n"/>
      <c r="I3638" s="62" t="n"/>
      <c r="J3638" s="58" t="n"/>
      <c r="K3638" s="63">
        <f>IF(tblMovement[[#This Row],[Source]]="","",IFERROR(INDEX(tblSources[Type],MATCH(tblMovement[[#This Row],[Source]],tblSources[Source],0)),"?"))</f>
        <v/>
      </c>
      <c r="L3638" s="63">
        <f>IF(tblMovement[[#This Row],[Destination]]="","",IFERROR(INDEX(tblDestinations[Type],MATCH(tblMovement[[#This Row],[Destination]],tblDestinations[Destination],0)),"?"))</f>
        <v/>
      </c>
      <c r="M3638" s="64">
        <f>IF(tblMovement[[#This Row],[Material]]="","",IF(LEFT(tblMovement[[#This Row],[Material]],3)="Ore",1,0))</f>
        <v/>
      </c>
      <c r="N3638" s="59">
        <f>IF(OR(tblMovement[[#This Row],[Tonnes_t]]="",tblMovement[[#This Row],[Grade_gpt]]=""),0,tblMovement[[#This Row],[Tonnes_t]]*tblMovement[[#This Row],[Grade_gpt]]/cfg_TroyOz)</f>
        <v/>
      </c>
      <c r="O3638" s="59">
        <f>IF(tblMovement[[#This Row],[Is_Ore]]=1,tblMovement[[#This Row],[Contained_oz]],0)</f>
        <v/>
      </c>
    </row>
    <row r="3639">
      <c r="A3639" s="54" t="n"/>
      <c r="B3639" s="61" t="n"/>
      <c r="C3639" s="61" t="n"/>
      <c r="D3639" s="61" t="n"/>
      <c r="E3639" s="61" t="n"/>
      <c r="F3639" s="55" t="n"/>
      <c r="G3639" s="56" t="n"/>
      <c r="H3639" s="55" t="n"/>
      <c r="I3639" s="62" t="n"/>
      <c r="J3639" s="58" t="n"/>
      <c r="K3639" s="63">
        <f>IF(tblMovement[[#This Row],[Source]]="","",IFERROR(INDEX(tblSources[Type],MATCH(tblMovement[[#This Row],[Source]],tblSources[Source],0)),"?"))</f>
        <v/>
      </c>
      <c r="L3639" s="63">
        <f>IF(tblMovement[[#This Row],[Destination]]="","",IFERROR(INDEX(tblDestinations[Type],MATCH(tblMovement[[#This Row],[Destination]],tblDestinations[Destination],0)),"?"))</f>
        <v/>
      </c>
      <c r="M3639" s="64">
        <f>IF(tblMovement[[#This Row],[Material]]="","",IF(LEFT(tblMovement[[#This Row],[Material]],3)="Ore",1,0))</f>
        <v/>
      </c>
      <c r="N3639" s="59">
        <f>IF(OR(tblMovement[[#This Row],[Tonnes_t]]="",tblMovement[[#This Row],[Grade_gpt]]=""),0,tblMovement[[#This Row],[Tonnes_t]]*tblMovement[[#This Row],[Grade_gpt]]/cfg_TroyOz)</f>
        <v/>
      </c>
      <c r="O3639" s="59">
        <f>IF(tblMovement[[#This Row],[Is_Ore]]=1,tblMovement[[#This Row],[Contained_oz]],0)</f>
        <v/>
      </c>
    </row>
    <row r="3640">
      <c r="A3640" s="54" t="n"/>
      <c r="B3640" s="61" t="n"/>
      <c r="C3640" s="61" t="n"/>
      <c r="D3640" s="61" t="n"/>
      <c r="E3640" s="61" t="n"/>
      <c r="F3640" s="55" t="n"/>
      <c r="G3640" s="56" t="n"/>
      <c r="H3640" s="55" t="n"/>
      <c r="I3640" s="62" t="n"/>
      <c r="J3640" s="58" t="n"/>
      <c r="K3640" s="63">
        <f>IF(tblMovement[[#This Row],[Source]]="","",IFERROR(INDEX(tblSources[Type],MATCH(tblMovement[[#This Row],[Source]],tblSources[Source],0)),"?"))</f>
        <v/>
      </c>
      <c r="L3640" s="63">
        <f>IF(tblMovement[[#This Row],[Destination]]="","",IFERROR(INDEX(tblDestinations[Type],MATCH(tblMovement[[#This Row],[Destination]],tblDestinations[Destination],0)),"?"))</f>
        <v/>
      </c>
      <c r="M3640" s="64">
        <f>IF(tblMovement[[#This Row],[Material]]="","",IF(LEFT(tblMovement[[#This Row],[Material]],3)="Ore",1,0))</f>
        <v/>
      </c>
      <c r="N3640" s="59">
        <f>IF(OR(tblMovement[[#This Row],[Tonnes_t]]="",tblMovement[[#This Row],[Grade_gpt]]=""),0,tblMovement[[#This Row],[Tonnes_t]]*tblMovement[[#This Row],[Grade_gpt]]/cfg_TroyOz)</f>
        <v/>
      </c>
      <c r="O3640" s="59">
        <f>IF(tblMovement[[#This Row],[Is_Ore]]=1,tblMovement[[#This Row],[Contained_oz]],0)</f>
        <v/>
      </c>
    </row>
    <row r="3641">
      <c r="A3641" s="54" t="n"/>
      <c r="B3641" s="61" t="n"/>
      <c r="C3641" s="61" t="n"/>
      <c r="D3641" s="61" t="n"/>
      <c r="E3641" s="61" t="n"/>
      <c r="F3641" s="55" t="n"/>
      <c r="G3641" s="56" t="n"/>
      <c r="H3641" s="55" t="n"/>
      <c r="I3641" s="62" t="n"/>
      <c r="J3641" s="58" t="n"/>
      <c r="K3641" s="63">
        <f>IF(tblMovement[[#This Row],[Source]]="","",IFERROR(INDEX(tblSources[Type],MATCH(tblMovement[[#This Row],[Source]],tblSources[Source],0)),"?"))</f>
        <v/>
      </c>
      <c r="L3641" s="63">
        <f>IF(tblMovement[[#This Row],[Destination]]="","",IFERROR(INDEX(tblDestinations[Type],MATCH(tblMovement[[#This Row],[Destination]],tblDestinations[Destination],0)),"?"))</f>
        <v/>
      </c>
      <c r="M3641" s="64">
        <f>IF(tblMovement[[#This Row],[Material]]="","",IF(LEFT(tblMovement[[#This Row],[Material]],3)="Ore",1,0))</f>
        <v/>
      </c>
      <c r="N3641" s="59">
        <f>IF(OR(tblMovement[[#This Row],[Tonnes_t]]="",tblMovement[[#This Row],[Grade_gpt]]=""),0,tblMovement[[#This Row],[Tonnes_t]]*tblMovement[[#This Row],[Grade_gpt]]/cfg_TroyOz)</f>
        <v/>
      </c>
      <c r="O3641" s="59">
        <f>IF(tblMovement[[#This Row],[Is_Ore]]=1,tblMovement[[#This Row],[Contained_oz]],0)</f>
        <v/>
      </c>
    </row>
    <row r="3642">
      <c r="A3642" s="54" t="n"/>
      <c r="B3642" s="61" t="n"/>
      <c r="C3642" s="61" t="n"/>
      <c r="D3642" s="61" t="n"/>
      <c r="E3642" s="61" t="n"/>
      <c r="F3642" s="55" t="n"/>
      <c r="G3642" s="56" t="n"/>
      <c r="H3642" s="55" t="n"/>
      <c r="I3642" s="62" t="n"/>
      <c r="J3642" s="58" t="n"/>
      <c r="K3642" s="63">
        <f>IF(tblMovement[[#This Row],[Source]]="","",IFERROR(INDEX(tblSources[Type],MATCH(tblMovement[[#This Row],[Source]],tblSources[Source],0)),"?"))</f>
        <v/>
      </c>
      <c r="L3642" s="63">
        <f>IF(tblMovement[[#This Row],[Destination]]="","",IFERROR(INDEX(tblDestinations[Type],MATCH(tblMovement[[#This Row],[Destination]],tblDestinations[Destination],0)),"?"))</f>
        <v/>
      </c>
      <c r="M3642" s="64">
        <f>IF(tblMovement[[#This Row],[Material]]="","",IF(LEFT(tblMovement[[#This Row],[Material]],3)="Ore",1,0))</f>
        <v/>
      </c>
      <c r="N3642" s="59">
        <f>IF(OR(tblMovement[[#This Row],[Tonnes_t]]="",tblMovement[[#This Row],[Grade_gpt]]=""),0,tblMovement[[#This Row],[Tonnes_t]]*tblMovement[[#This Row],[Grade_gpt]]/cfg_TroyOz)</f>
        <v/>
      </c>
      <c r="O3642" s="59">
        <f>IF(tblMovement[[#This Row],[Is_Ore]]=1,tblMovement[[#This Row],[Contained_oz]],0)</f>
        <v/>
      </c>
    </row>
    <row r="3643">
      <c r="A3643" s="54" t="n"/>
      <c r="B3643" s="61" t="n"/>
      <c r="C3643" s="61" t="n"/>
      <c r="D3643" s="61" t="n"/>
      <c r="E3643" s="61" t="n"/>
      <c r="F3643" s="55" t="n"/>
      <c r="G3643" s="56" t="n"/>
      <c r="H3643" s="55" t="n"/>
      <c r="I3643" s="62" t="n"/>
      <c r="J3643" s="58" t="n"/>
      <c r="K3643" s="63">
        <f>IF(tblMovement[[#This Row],[Source]]="","",IFERROR(INDEX(tblSources[Type],MATCH(tblMovement[[#This Row],[Source]],tblSources[Source],0)),"?"))</f>
        <v/>
      </c>
      <c r="L3643" s="63">
        <f>IF(tblMovement[[#This Row],[Destination]]="","",IFERROR(INDEX(tblDestinations[Type],MATCH(tblMovement[[#This Row],[Destination]],tblDestinations[Destination],0)),"?"))</f>
        <v/>
      </c>
      <c r="M3643" s="64">
        <f>IF(tblMovement[[#This Row],[Material]]="","",IF(LEFT(tblMovement[[#This Row],[Material]],3)="Ore",1,0))</f>
        <v/>
      </c>
      <c r="N3643" s="59">
        <f>IF(OR(tblMovement[[#This Row],[Tonnes_t]]="",tblMovement[[#This Row],[Grade_gpt]]=""),0,tblMovement[[#This Row],[Tonnes_t]]*tblMovement[[#This Row],[Grade_gpt]]/cfg_TroyOz)</f>
        <v/>
      </c>
      <c r="O3643" s="59">
        <f>IF(tblMovement[[#This Row],[Is_Ore]]=1,tblMovement[[#This Row],[Contained_oz]],0)</f>
        <v/>
      </c>
    </row>
    <row r="3644">
      <c r="A3644" s="54" t="n"/>
      <c r="B3644" s="61" t="n"/>
      <c r="C3644" s="61" t="n"/>
      <c r="D3644" s="61" t="n"/>
      <c r="E3644" s="61" t="n"/>
      <c r="F3644" s="55" t="n"/>
      <c r="G3644" s="56" t="n"/>
      <c r="H3644" s="55" t="n"/>
      <c r="I3644" s="62" t="n"/>
      <c r="J3644" s="58" t="n"/>
      <c r="K3644" s="63">
        <f>IF(tblMovement[[#This Row],[Source]]="","",IFERROR(INDEX(tblSources[Type],MATCH(tblMovement[[#This Row],[Source]],tblSources[Source],0)),"?"))</f>
        <v/>
      </c>
      <c r="L3644" s="63">
        <f>IF(tblMovement[[#This Row],[Destination]]="","",IFERROR(INDEX(tblDestinations[Type],MATCH(tblMovement[[#This Row],[Destination]],tblDestinations[Destination],0)),"?"))</f>
        <v/>
      </c>
      <c r="M3644" s="64">
        <f>IF(tblMovement[[#This Row],[Material]]="","",IF(LEFT(tblMovement[[#This Row],[Material]],3)="Ore",1,0))</f>
        <v/>
      </c>
      <c r="N3644" s="59">
        <f>IF(OR(tblMovement[[#This Row],[Tonnes_t]]="",tblMovement[[#This Row],[Grade_gpt]]=""),0,tblMovement[[#This Row],[Tonnes_t]]*tblMovement[[#This Row],[Grade_gpt]]/cfg_TroyOz)</f>
        <v/>
      </c>
      <c r="O3644" s="59">
        <f>IF(tblMovement[[#This Row],[Is_Ore]]=1,tblMovement[[#This Row],[Contained_oz]],0)</f>
        <v/>
      </c>
    </row>
    <row r="3645">
      <c r="A3645" s="54" t="n"/>
      <c r="B3645" s="61" t="n"/>
      <c r="C3645" s="61" t="n"/>
      <c r="D3645" s="61" t="n"/>
      <c r="E3645" s="61" t="n"/>
      <c r="F3645" s="55" t="n"/>
      <c r="G3645" s="56" t="n"/>
      <c r="H3645" s="55" t="n"/>
      <c r="I3645" s="62" t="n"/>
      <c r="J3645" s="58" t="n"/>
      <c r="K3645" s="63">
        <f>IF(tblMovement[[#This Row],[Source]]="","",IFERROR(INDEX(tblSources[Type],MATCH(tblMovement[[#This Row],[Source]],tblSources[Source],0)),"?"))</f>
        <v/>
      </c>
      <c r="L3645" s="63">
        <f>IF(tblMovement[[#This Row],[Destination]]="","",IFERROR(INDEX(tblDestinations[Type],MATCH(tblMovement[[#This Row],[Destination]],tblDestinations[Destination],0)),"?"))</f>
        <v/>
      </c>
      <c r="M3645" s="64">
        <f>IF(tblMovement[[#This Row],[Material]]="","",IF(LEFT(tblMovement[[#This Row],[Material]],3)="Ore",1,0))</f>
        <v/>
      </c>
      <c r="N3645" s="59">
        <f>IF(OR(tblMovement[[#This Row],[Tonnes_t]]="",tblMovement[[#This Row],[Grade_gpt]]=""),0,tblMovement[[#This Row],[Tonnes_t]]*tblMovement[[#This Row],[Grade_gpt]]/cfg_TroyOz)</f>
        <v/>
      </c>
      <c r="O3645" s="59">
        <f>IF(tblMovement[[#This Row],[Is_Ore]]=1,tblMovement[[#This Row],[Contained_oz]],0)</f>
        <v/>
      </c>
    </row>
    <row r="3646">
      <c r="A3646" s="54" t="n"/>
      <c r="B3646" s="61" t="n"/>
      <c r="C3646" s="61" t="n"/>
      <c r="D3646" s="61" t="n"/>
      <c r="E3646" s="61" t="n"/>
      <c r="F3646" s="55" t="n"/>
      <c r="G3646" s="56" t="n"/>
      <c r="H3646" s="55" t="n"/>
      <c r="I3646" s="62" t="n"/>
      <c r="J3646" s="58" t="n"/>
      <c r="K3646" s="63">
        <f>IF(tblMovement[[#This Row],[Source]]="","",IFERROR(INDEX(tblSources[Type],MATCH(tblMovement[[#This Row],[Source]],tblSources[Source],0)),"?"))</f>
        <v/>
      </c>
      <c r="L3646" s="63">
        <f>IF(tblMovement[[#This Row],[Destination]]="","",IFERROR(INDEX(tblDestinations[Type],MATCH(tblMovement[[#This Row],[Destination]],tblDestinations[Destination],0)),"?"))</f>
        <v/>
      </c>
      <c r="M3646" s="64">
        <f>IF(tblMovement[[#This Row],[Material]]="","",IF(LEFT(tblMovement[[#This Row],[Material]],3)="Ore",1,0))</f>
        <v/>
      </c>
      <c r="N3646" s="59">
        <f>IF(OR(tblMovement[[#This Row],[Tonnes_t]]="",tblMovement[[#This Row],[Grade_gpt]]=""),0,tblMovement[[#This Row],[Tonnes_t]]*tblMovement[[#This Row],[Grade_gpt]]/cfg_TroyOz)</f>
        <v/>
      </c>
      <c r="O3646" s="59">
        <f>IF(tblMovement[[#This Row],[Is_Ore]]=1,tblMovement[[#This Row],[Contained_oz]],0)</f>
        <v/>
      </c>
    </row>
    <row r="3647">
      <c r="A3647" s="54" t="n"/>
      <c r="B3647" s="61" t="n"/>
      <c r="C3647" s="61" t="n"/>
      <c r="D3647" s="61" t="n"/>
      <c r="E3647" s="61" t="n"/>
      <c r="F3647" s="55" t="n"/>
      <c r="G3647" s="56" t="n"/>
      <c r="H3647" s="55" t="n"/>
      <c r="I3647" s="62" t="n"/>
      <c r="J3647" s="58" t="n"/>
      <c r="K3647" s="63">
        <f>IF(tblMovement[[#This Row],[Source]]="","",IFERROR(INDEX(tblSources[Type],MATCH(tblMovement[[#This Row],[Source]],tblSources[Source],0)),"?"))</f>
        <v/>
      </c>
      <c r="L3647" s="63">
        <f>IF(tblMovement[[#This Row],[Destination]]="","",IFERROR(INDEX(tblDestinations[Type],MATCH(tblMovement[[#This Row],[Destination]],tblDestinations[Destination],0)),"?"))</f>
        <v/>
      </c>
      <c r="M3647" s="64">
        <f>IF(tblMovement[[#This Row],[Material]]="","",IF(LEFT(tblMovement[[#This Row],[Material]],3)="Ore",1,0))</f>
        <v/>
      </c>
      <c r="N3647" s="59">
        <f>IF(OR(tblMovement[[#This Row],[Tonnes_t]]="",tblMovement[[#This Row],[Grade_gpt]]=""),0,tblMovement[[#This Row],[Tonnes_t]]*tblMovement[[#This Row],[Grade_gpt]]/cfg_TroyOz)</f>
        <v/>
      </c>
      <c r="O3647" s="59">
        <f>IF(tblMovement[[#This Row],[Is_Ore]]=1,tblMovement[[#This Row],[Contained_oz]],0)</f>
        <v/>
      </c>
    </row>
    <row r="3648">
      <c r="A3648" s="54" t="n"/>
      <c r="B3648" s="61" t="n"/>
      <c r="C3648" s="61" t="n"/>
      <c r="D3648" s="61" t="n"/>
      <c r="E3648" s="61" t="n"/>
      <c r="F3648" s="55" t="n"/>
      <c r="G3648" s="56" t="n"/>
      <c r="H3648" s="55" t="n"/>
      <c r="I3648" s="62" t="n"/>
      <c r="J3648" s="58" t="n"/>
      <c r="K3648" s="63">
        <f>IF(tblMovement[[#This Row],[Source]]="","",IFERROR(INDEX(tblSources[Type],MATCH(tblMovement[[#This Row],[Source]],tblSources[Source],0)),"?"))</f>
        <v/>
      </c>
      <c r="L3648" s="63">
        <f>IF(tblMovement[[#This Row],[Destination]]="","",IFERROR(INDEX(tblDestinations[Type],MATCH(tblMovement[[#This Row],[Destination]],tblDestinations[Destination],0)),"?"))</f>
        <v/>
      </c>
      <c r="M3648" s="64">
        <f>IF(tblMovement[[#This Row],[Material]]="","",IF(LEFT(tblMovement[[#This Row],[Material]],3)="Ore",1,0))</f>
        <v/>
      </c>
      <c r="N3648" s="59">
        <f>IF(OR(tblMovement[[#This Row],[Tonnes_t]]="",tblMovement[[#This Row],[Grade_gpt]]=""),0,tblMovement[[#This Row],[Tonnes_t]]*tblMovement[[#This Row],[Grade_gpt]]/cfg_TroyOz)</f>
        <v/>
      </c>
      <c r="O3648" s="59">
        <f>IF(tblMovement[[#This Row],[Is_Ore]]=1,tblMovement[[#This Row],[Contained_oz]],0)</f>
        <v/>
      </c>
    </row>
    <row r="3649">
      <c r="A3649" s="54" t="n"/>
      <c r="B3649" s="61" t="n"/>
      <c r="C3649" s="61" t="n"/>
      <c r="D3649" s="61" t="n"/>
      <c r="E3649" s="61" t="n"/>
      <c r="F3649" s="55" t="n"/>
      <c r="G3649" s="56" t="n"/>
      <c r="H3649" s="55" t="n"/>
      <c r="I3649" s="62" t="n"/>
      <c r="J3649" s="58" t="n"/>
      <c r="K3649" s="63">
        <f>IF(tblMovement[[#This Row],[Source]]="","",IFERROR(INDEX(tblSources[Type],MATCH(tblMovement[[#This Row],[Source]],tblSources[Source],0)),"?"))</f>
        <v/>
      </c>
      <c r="L3649" s="63">
        <f>IF(tblMovement[[#This Row],[Destination]]="","",IFERROR(INDEX(tblDestinations[Type],MATCH(tblMovement[[#This Row],[Destination]],tblDestinations[Destination],0)),"?"))</f>
        <v/>
      </c>
      <c r="M3649" s="64">
        <f>IF(tblMovement[[#This Row],[Material]]="","",IF(LEFT(tblMovement[[#This Row],[Material]],3)="Ore",1,0))</f>
        <v/>
      </c>
      <c r="N3649" s="59">
        <f>IF(OR(tblMovement[[#This Row],[Tonnes_t]]="",tblMovement[[#This Row],[Grade_gpt]]=""),0,tblMovement[[#This Row],[Tonnes_t]]*tblMovement[[#This Row],[Grade_gpt]]/cfg_TroyOz)</f>
        <v/>
      </c>
      <c r="O3649" s="59">
        <f>IF(tblMovement[[#This Row],[Is_Ore]]=1,tblMovement[[#This Row],[Contained_oz]],0)</f>
        <v/>
      </c>
    </row>
    <row r="3650">
      <c r="A3650" s="54" t="n"/>
      <c r="B3650" s="61" t="n"/>
      <c r="C3650" s="61" t="n"/>
      <c r="D3650" s="61" t="n"/>
      <c r="E3650" s="61" t="n"/>
      <c r="F3650" s="55" t="n"/>
      <c r="G3650" s="56" t="n"/>
      <c r="H3650" s="55" t="n"/>
      <c r="I3650" s="62" t="n"/>
      <c r="J3650" s="58" t="n"/>
      <c r="K3650" s="63">
        <f>IF(tblMovement[[#This Row],[Source]]="","",IFERROR(INDEX(tblSources[Type],MATCH(tblMovement[[#This Row],[Source]],tblSources[Source],0)),"?"))</f>
        <v/>
      </c>
      <c r="L3650" s="63">
        <f>IF(tblMovement[[#This Row],[Destination]]="","",IFERROR(INDEX(tblDestinations[Type],MATCH(tblMovement[[#This Row],[Destination]],tblDestinations[Destination],0)),"?"))</f>
        <v/>
      </c>
      <c r="M3650" s="64">
        <f>IF(tblMovement[[#This Row],[Material]]="","",IF(LEFT(tblMovement[[#This Row],[Material]],3)="Ore",1,0))</f>
        <v/>
      </c>
      <c r="N3650" s="59">
        <f>IF(OR(tblMovement[[#This Row],[Tonnes_t]]="",tblMovement[[#This Row],[Grade_gpt]]=""),0,tblMovement[[#This Row],[Tonnes_t]]*tblMovement[[#This Row],[Grade_gpt]]/cfg_TroyOz)</f>
        <v/>
      </c>
      <c r="O3650" s="59">
        <f>IF(tblMovement[[#This Row],[Is_Ore]]=1,tblMovement[[#This Row],[Contained_oz]],0)</f>
        <v/>
      </c>
    </row>
    <row r="3651">
      <c r="A3651" s="54" t="n"/>
      <c r="B3651" s="61" t="n"/>
      <c r="C3651" s="61" t="n"/>
      <c r="D3651" s="61" t="n"/>
      <c r="E3651" s="61" t="n"/>
      <c r="F3651" s="55" t="n"/>
      <c r="G3651" s="56" t="n"/>
      <c r="H3651" s="55" t="n"/>
      <c r="I3651" s="62" t="n"/>
      <c r="J3651" s="58" t="n"/>
      <c r="K3651" s="63">
        <f>IF(tblMovement[[#This Row],[Source]]="","",IFERROR(INDEX(tblSources[Type],MATCH(tblMovement[[#This Row],[Source]],tblSources[Source],0)),"?"))</f>
        <v/>
      </c>
      <c r="L3651" s="63">
        <f>IF(tblMovement[[#This Row],[Destination]]="","",IFERROR(INDEX(tblDestinations[Type],MATCH(tblMovement[[#This Row],[Destination]],tblDestinations[Destination],0)),"?"))</f>
        <v/>
      </c>
      <c r="M3651" s="64">
        <f>IF(tblMovement[[#This Row],[Material]]="","",IF(LEFT(tblMovement[[#This Row],[Material]],3)="Ore",1,0))</f>
        <v/>
      </c>
      <c r="N3651" s="59">
        <f>IF(OR(tblMovement[[#This Row],[Tonnes_t]]="",tblMovement[[#This Row],[Grade_gpt]]=""),0,tblMovement[[#This Row],[Tonnes_t]]*tblMovement[[#This Row],[Grade_gpt]]/cfg_TroyOz)</f>
        <v/>
      </c>
      <c r="O3651" s="59">
        <f>IF(tblMovement[[#This Row],[Is_Ore]]=1,tblMovement[[#This Row],[Contained_oz]],0)</f>
        <v/>
      </c>
    </row>
    <row r="3652">
      <c r="A3652" s="54" t="n"/>
      <c r="B3652" s="61" t="n"/>
      <c r="C3652" s="61" t="n"/>
      <c r="D3652" s="61" t="n"/>
      <c r="E3652" s="61" t="n"/>
      <c r="F3652" s="55" t="n"/>
      <c r="G3652" s="56" t="n"/>
      <c r="H3652" s="55" t="n"/>
      <c r="I3652" s="62" t="n"/>
      <c r="J3652" s="58" t="n"/>
      <c r="K3652" s="63">
        <f>IF(tblMovement[[#This Row],[Source]]="","",IFERROR(INDEX(tblSources[Type],MATCH(tblMovement[[#This Row],[Source]],tblSources[Source],0)),"?"))</f>
        <v/>
      </c>
      <c r="L3652" s="63">
        <f>IF(tblMovement[[#This Row],[Destination]]="","",IFERROR(INDEX(tblDestinations[Type],MATCH(tblMovement[[#This Row],[Destination]],tblDestinations[Destination],0)),"?"))</f>
        <v/>
      </c>
      <c r="M3652" s="64">
        <f>IF(tblMovement[[#This Row],[Material]]="","",IF(LEFT(tblMovement[[#This Row],[Material]],3)="Ore",1,0))</f>
        <v/>
      </c>
      <c r="N3652" s="59">
        <f>IF(OR(tblMovement[[#This Row],[Tonnes_t]]="",tblMovement[[#This Row],[Grade_gpt]]=""),0,tblMovement[[#This Row],[Tonnes_t]]*tblMovement[[#This Row],[Grade_gpt]]/cfg_TroyOz)</f>
        <v/>
      </c>
      <c r="O3652" s="59">
        <f>IF(tblMovement[[#This Row],[Is_Ore]]=1,tblMovement[[#This Row],[Contained_oz]],0)</f>
        <v/>
      </c>
    </row>
    <row r="3653">
      <c r="A3653" s="54" t="n"/>
      <c r="B3653" s="61" t="n"/>
      <c r="C3653" s="61" t="n"/>
      <c r="D3653" s="61" t="n"/>
      <c r="E3653" s="61" t="n"/>
      <c r="F3653" s="55" t="n"/>
      <c r="G3653" s="56" t="n"/>
      <c r="H3653" s="55" t="n"/>
      <c r="I3653" s="62" t="n"/>
      <c r="J3653" s="58" t="n"/>
      <c r="K3653" s="63">
        <f>IF(tblMovement[[#This Row],[Source]]="","",IFERROR(INDEX(tblSources[Type],MATCH(tblMovement[[#This Row],[Source]],tblSources[Source],0)),"?"))</f>
        <v/>
      </c>
      <c r="L3653" s="63">
        <f>IF(tblMovement[[#This Row],[Destination]]="","",IFERROR(INDEX(tblDestinations[Type],MATCH(tblMovement[[#This Row],[Destination]],tblDestinations[Destination],0)),"?"))</f>
        <v/>
      </c>
      <c r="M3653" s="64">
        <f>IF(tblMovement[[#This Row],[Material]]="","",IF(LEFT(tblMovement[[#This Row],[Material]],3)="Ore",1,0))</f>
        <v/>
      </c>
      <c r="N3653" s="59">
        <f>IF(OR(tblMovement[[#This Row],[Tonnes_t]]="",tblMovement[[#This Row],[Grade_gpt]]=""),0,tblMovement[[#This Row],[Tonnes_t]]*tblMovement[[#This Row],[Grade_gpt]]/cfg_TroyOz)</f>
        <v/>
      </c>
      <c r="O3653" s="59">
        <f>IF(tblMovement[[#This Row],[Is_Ore]]=1,tblMovement[[#This Row],[Contained_oz]],0)</f>
        <v/>
      </c>
    </row>
    <row r="3654">
      <c r="A3654" s="54" t="n"/>
      <c r="B3654" s="61" t="n"/>
      <c r="C3654" s="61" t="n"/>
      <c r="D3654" s="61" t="n"/>
      <c r="E3654" s="61" t="n"/>
      <c r="F3654" s="55" t="n"/>
      <c r="G3654" s="56" t="n"/>
      <c r="H3654" s="55" t="n"/>
      <c r="I3654" s="62" t="n"/>
      <c r="J3654" s="58" t="n"/>
      <c r="K3654" s="63">
        <f>IF(tblMovement[[#This Row],[Source]]="","",IFERROR(INDEX(tblSources[Type],MATCH(tblMovement[[#This Row],[Source]],tblSources[Source],0)),"?"))</f>
        <v/>
      </c>
      <c r="L3654" s="63">
        <f>IF(tblMovement[[#This Row],[Destination]]="","",IFERROR(INDEX(tblDestinations[Type],MATCH(tblMovement[[#This Row],[Destination]],tblDestinations[Destination],0)),"?"))</f>
        <v/>
      </c>
      <c r="M3654" s="64">
        <f>IF(tblMovement[[#This Row],[Material]]="","",IF(LEFT(tblMovement[[#This Row],[Material]],3)="Ore",1,0))</f>
        <v/>
      </c>
      <c r="N3654" s="59">
        <f>IF(OR(tblMovement[[#This Row],[Tonnes_t]]="",tblMovement[[#This Row],[Grade_gpt]]=""),0,tblMovement[[#This Row],[Tonnes_t]]*tblMovement[[#This Row],[Grade_gpt]]/cfg_TroyOz)</f>
        <v/>
      </c>
      <c r="O3654" s="59">
        <f>IF(tblMovement[[#This Row],[Is_Ore]]=1,tblMovement[[#This Row],[Contained_oz]],0)</f>
        <v/>
      </c>
    </row>
    <row r="3655">
      <c r="A3655" s="54" t="n"/>
      <c r="B3655" s="61" t="n"/>
      <c r="C3655" s="61" t="n"/>
      <c r="D3655" s="61" t="n"/>
      <c r="E3655" s="61" t="n"/>
      <c r="F3655" s="55" t="n"/>
      <c r="G3655" s="56" t="n"/>
      <c r="H3655" s="55" t="n"/>
      <c r="I3655" s="62" t="n"/>
      <c r="J3655" s="58" t="n"/>
      <c r="K3655" s="63">
        <f>IF(tblMovement[[#This Row],[Source]]="","",IFERROR(INDEX(tblSources[Type],MATCH(tblMovement[[#This Row],[Source]],tblSources[Source],0)),"?"))</f>
        <v/>
      </c>
      <c r="L3655" s="63">
        <f>IF(tblMovement[[#This Row],[Destination]]="","",IFERROR(INDEX(tblDestinations[Type],MATCH(tblMovement[[#This Row],[Destination]],tblDestinations[Destination],0)),"?"))</f>
        <v/>
      </c>
      <c r="M3655" s="64">
        <f>IF(tblMovement[[#This Row],[Material]]="","",IF(LEFT(tblMovement[[#This Row],[Material]],3)="Ore",1,0))</f>
        <v/>
      </c>
      <c r="N3655" s="59">
        <f>IF(OR(tblMovement[[#This Row],[Tonnes_t]]="",tblMovement[[#This Row],[Grade_gpt]]=""),0,tblMovement[[#This Row],[Tonnes_t]]*tblMovement[[#This Row],[Grade_gpt]]/cfg_TroyOz)</f>
        <v/>
      </c>
      <c r="O3655" s="59">
        <f>IF(tblMovement[[#This Row],[Is_Ore]]=1,tblMovement[[#This Row],[Contained_oz]],0)</f>
        <v/>
      </c>
    </row>
    <row r="3656">
      <c r="A3656" s="54" t="n"/>
      <c r="B3656" s="61" t="n"/>
      <c r="C3656" s="61" t="n"/>
      <c r="D3656" s="61" t="n"/>
      <c r="E3656" s="61" t="n"/>
      <c r="F3656" s="55" t="n"/>
      <c r="G3656" s="56" t="n"/>
      <c r="H3656" s="55" t="n"/>
      <c r="I3656" s="62" t="n"/>
      <c r="J3656" s="58" t="n"/>
      <c r="K3656" s="63">
        <f>IF(tblMovement[[#This Row],[Source]]="","",IFERROR(INDEX(tblSources[Type],MATCH(tblMovement[[#This Row],[Source]],tblSources[Source],0)),"?"))</f>
        <v/>
      </c>
      <c r="L3656" s="63">
        <f>IF(tblMovement[[#This Row],[Destination]]="","",IFERROR(INDEX(tblDestinations[Type],MATCH(tblMovement[[#This Row],[Destination]],tblDestinations[Destination],0)),"?"))</f>
        <v/>
      </c>
      <c r="M3656" s="64">
        <f>IF(tblMovement[[#This Row],[Material]]="","",IF(LEFT(tblMovement[[#This Row],[Material]],3)="Ore",1,0))</f>
        <v/>
      </c>
      <c r="N3656" s="59">
        <f>IF(OR(tblMovement[[#This Row],[Tonnes_t]]="",tblMovement[[#This Row],[Grade_gpt]]=""),0,tblMovement[[#This Row],[Tonnes_t]]*tblMovement[[#This Row],[Grade_gpt]]/cfg_TroyOz)</f>
        <v/>
      </c>
      <c r="O3656" s="59">
        <f>IF(tblMovement[[#This Row],[Is_Ore]]=1,tblMovement[[#This Row],[Contained_oz]],0)</f>
        <v/>
      </c>
    </row>
    <row r="3657">
      <c r="A3657" s="54" t="n"/>
      <c r="B3657" s="61" t="n"/>
      <c r="C3657" s="61" t="n"/>
      <c r="D3657" s="61" t="n"/>
      <c r="E3657" s="61" t="n"/>
      <c r="F3657" s="55" t="n"/>
      <c r="G3657" s="56" t="n"/>
      <c r="H3657" s="55" t="n"/>
      <c r="I3657" s="62" t="n"/>
      <c r="J3657" s="58" t="n"/>
      <c r="K3657" s="63">
        <f>IF(tblMovement[[#This Row],[Source]]="","",IFERROR(INDEX(tblSources[Type],MATCH(tblMovement[[#This Row],[Source]],tblSources[Source],0)),"?"))</f>
        <v/>
      </c>
      <c r="L3657" s="63">
        <f>IF(tblMovement[[#This Row],[Destination]]="","",IFERROR(INDEX(tblDestinations[Type],MATCH(tblMovement[[#This Row],[Destination]],tblDestinations[Destination],0)),"?"))</f>
        <v/>
      </c>
      <c r="M3657" s="64">
        <f>IF(tblMovement[[#This Row],[Material]]="","",IF(LEFT(tblMovement[[#This Row],[Material]],3)="Ore",1,0))</f>
        <v/>
      </c>
      <c r="N3657" s="59">
        <f>IF(OR(tblMovement[[#This Row],[Tonnes_t]]="",tblMovement[[#This Row],[Grade_gpt]]=""),0,tblMovement[[#This Row],[Tonnes_t]]*tblMovement[[#This Row],[Grade_gpt]]/cfg_TroyOz)</f>
        <v/>
      </c>
      <c r="O3657" s="59">
        <f>IF(tblMovement[[#This Row],[Is_Ore]]=1,tblMovement[[#This Row],[Contained_oz]],0)</f>
        <v/>
      </c>
    </row>
    <row r="3658">
      <c r="A3658" s="54" t="n"/>
      <c r="B3658" s="61" t="n"/>
      <c r="C3658" s="61" t="n"/>
      <c r="D3658" s="61" t="n"/>
      <c r="E3658" s="61" t="n"/>
      <c r="F3658" s="55" t="n"/>
      <c r="G3658" s="56" t="n"/>
      <c r="H3658" s="55" t="n"/>
      <c r="I3658" s="62" t="n"/>
      <c r="J3658" s="58" t="n"/>
      <c r="K3658" s="63">
        <f>IF(tblMovement[[#This Row],[Source]]="","",IFERROR(INDEX(tblSources[Type],MATCH(tblMovement[[#This Row],[Source]],tblSources[Source],0)),"?"))</f>
        <v/>
      </c>
      <c r="L3658" s="63">
        <f>IF(tblMovement[[#This Row],[Destination]]="","",IFERROR(INDEX(tblDestinations[Type],MATCH(tblMovement[[#This Row],[Destination]],tblDestinations[Destination],0)),"?"))</f>
        <v/>
      </c>
      <c r="M3658" s="64">
        <f>IF(tblMovement[[#This Row],[Material]]="","",IF(LEFT(tblMovement[[#This Row],[Material]],3)="Ore",1,0))</f>
        <v/>
      </c>
      <c r="N3658" s="59">
        <f>IF(OR(tblMovement[[#This Row],[Tonnes_t]]="",tblMovement[[#This Row],[Grade_gpt]]=""),0,tblMovement[[#This Row],[Tonnes_t]]*tblMovement[[#This Row],[Grade_gpt]]/cfg_TroyOz)</f>
        <v/>
      </c>
      <c r="O3658" s="59">
        <f>IF(tblMovement[[#This Row],[Is_Ore]]=1,tblMovement[[#This Row],[Contained_oz]],0)</f>
        <v/>
      </c>
    </row>
    <row r="3659">
      <c r="A3659" s="54" t="n"/>
      <c r="B3659" s="61" t="n"/>
      <c r="C3659" s="61" t="n"/>
      <c r="D3659" s="61" t="n"/>
      <c r="E3659" s="61" t="n"/>
      <c r="F3659" s="55" t="n"/>
      <c r="G3659" s="56" t="n"/>
      <c r="H3659" s="55" t="n"/>
      <c r="I3659" s="62" t="n"/>
      <c r="J3659" s="58" t="n"/>
      <c r="K3659" s="63">
        <f>IF(tblMovement[[#This Row],[Source]]="","",IFERROR(INDEX(tblSources[Type],MATCH(tblMovement[[#This Row],[Source]],tblSources[Source],0)),"?"))</f>
        <v/>
      </c>
      <c r="L3659" s="63">
        <f>IF(tblMovement[[#This Row],[Destination]]="","",IFERROR(INDEX(tblDestinations[Type],MATCH(tblMovement[[#This Row],[Destination]],tblDestinations[Destination],0)),"?"))</f>
        <v/>
      </c>
      <c r="M3659" s="64">
        <f>IF(tblMovement[[#This Row],[Material]]="","",IF(LEFT(tblMovement[[#This Row],[Material]],3)="Ore",1,0))</f>
        <v/>
      </c>
      <c r="N3659" s="59">
        <f>IF(OR(tblMovement[[#This Row],[Tonnes_t]]="",tblMovement[[#This Row],[Grade_gpt]]=""),0,tblMovement[[#This Row],[Tonnes_t]]*tblMovement[[#This Row],[Grade_gpt]]/cfg_TroyOz)</f>
        <v/>
      </c>
      <c r="O3659" s="59">
        <f>IF(tblMovement[[#This Row],[Is_Ore]]=1,tblMovement[[#This Row],[Contained_oz]],0)</f>
        <v/>
      </c>
    </row>
    <row r="3660">
      <c r="A3660" s="54" t="n"/>
      <c r="B3660" s="61" t="n"/>
      <c r="C3660" s="61" t="n"/>
      <c r="D3660" s="61" t="n"/>
      <c r="E3660" s="61" t="n"/>
      <c r="F3660" s="55" t="n"/>
      <c r="G3660" s="56" t="n"/>
      <c r="H3660" s="55" t="n"/>
      <c r="I3660" s="62" t="n"/>
      <c r="J3660" s="58" t="n"/>
      <c r="K3660" s="63">
        <f>IF(tblMovement[[#This Row],[Source]]="","",IFERROR(INDEX(tblSources[Type],MATCH(tblMovement[[#This Row],[Source]],tblSources[Source],0)),"?"))</f>
        <v/>
      </c>
      <c r="L3660" s="63">
        <f>IF(tblMovement[[#This Row],[Destination]]="","",IFERROR(INDEX(tblDestinations[Type],MATCH(tblMovement[[#This Row],[Destination]],tblDestinations[Destination],0)),"?"))</f>
        <v/>
      </c>
      <c r="M3660" s="64">
        <f>IF(tblMovement[[#This Row],[Material]]="","",IF(LEFT(tblMovement[[#This Row],[Material]],3)="Ore",1,0))</f>
        <v/>
      </c>
      <c r="N3660" s="59">
        <f>IF(OR(tblMovement[[#This Row],[Tonnes_t]]="",tblMovement[[#This Row],[Grade_gpt]]=""),0,tblMovement[[#This Row],[Tonnes_t]]*tblMovement[[#This Row],[Grade_gpt]]/cfg_TroyOz)</f>
        <v/>
      </c>
      <c r="O3660" s="59">
        <f>IF(tblMovement[[#This Row],[Is_Ore]]=1,tblMovement[[#This Row],[Contained_oz]],0)</f>
        <v/>
      </c>
    </row>
    <row r="3661">
      <c r="A3661" s="54" t="n"/>
      <c r="B3661" s="61" t="n"/>
      <c r="C3661" s="61" t="n"/>
      <c r="D3661" s="61" t="n"/>
      <c r="E3661" s="61" t="n"/>
      <c r="F3661" s="55" t="n"/>
      <c r="G3661" s="56" t="n"/>
      <c r="H3661" s="55" t="n"/>
      <c r="I3661" s="62" t="n"/>
      <c r="J3661" s="58" t="n"/>
      <c r="K3661" s="63">
        <f>IF(tblMovement[[#This Row],[Source]]="","",IFERROR(INDEX(tblSources[Type],MATCH(tblMovement[[#This Row],[Source]],tblSources[Source],0)),"?"))</f>
        <v/>
      </c>
      <c r="L3661" s="63">
        <f>IF(tblMovement[[#This Row],[Destination]]="","",IFERROR(INDEX(tblDestinations[Type],MATCH(tblMovement[[#This Row],[Destination]],tblDestinations[Destination],0)),"?"))</f>
        <v/>
      </c>
      <c r="M3661" s="64">
        <f>IF(tblMovement[[#This Row],[Material]]="","",IF(LEFT(tblMovement[[#This Row],[Material]],3)="Ore",1,0))</f>
        <v/>
      </c>
      <c r="N3661" s="59">
        <f>IF(OR(tblMovement[[#This Row],[Tonnes_t]]="",tblMovement[[#This Row],[Grade_gpt]]=""),0,tblMovement[[#This Row],[Tonnes_t]]*tblMovement[[#This Row],[Grade_gpt]]/cfg_TroyOz)</f>
        <v/>
      </c>
      <c r="O3661" s="59">
        <f>IF(tblMovement[[#This Row],[Is_Ore]]=1,tblMovement[[#This Row],[Contained_oz]],0)</f>
        <v/>
      </c>
    </row>
    <row r="3662">
      <c r="A3662" s="54" t="n"/>
      <c r="B3662" s="61" t="n"/>
      <c r="C3662" s="61" t="n"/>
      <c r="D3662" s="61" t="n"/>
      <c r="E3662" s="61" t="n"/>
      <c r="F3662" s="55" t="n"/>
      <c r="G3662" s="56" t="n"/>
      <c r="H3662" s="55" t="n"/>
      <c r="I3662" s="62" t="n"/>
      <c r="J3662" s="58" t="n"/>
      <c r="K3662" s="63">
        <f>IF(tblMovement[[#This Row],[Source]]="","",IFERROR(INDEX(tblSources[Type],MATCH(tblMovement[[#This Row],[Source]],tblSources[Source],0)),"?"))</f>
        <v/>
      </c>
      <c r="L3662" s="63">
        <f>IF(tblMovement[[#This Row],[Destination]]="","",IFERROR(INDEX(tblDestinations[Type],MATCH(tblMovement[[#This Row],[Destination]],tblDestinations[Destination],0)),"?"))</f>
        <v/>
      </c>
      <c r="M3662" s="64">
        <f>IF(tblMovement[[#This Row],[Material]]="","",IF(LEFT(tblMovement[[#This Row],[Material]],3)="Ore",1,0))</f>
        <v/>
      </c>
      <c r="N3662" s="59">
        <f>IF(OR(tblMovement[[#This Row],[Tonnes_t]]="",tblMovement[[#This Row],[Grade_gpt]]=""),0,tblMovement[[#This Row],[Tonnes_t]]*tblMovement[[#This Row],[Grade_gpt]]/cfg_TroyOz)</f>
        <v/>
      </c>
      <c r="O3662" s="59">
        <f>IF(tblMovement[[#This Row],[Is_Ore]]=1,tblMovement[[#This Row],[Contained_oz]],0)</f>
        <v/>
      </c>
    </row>
    <row r="3663">
      <c r="A3663" s="54" t="n"/>
      <c r="B3663" s="61" t="n"/>
      <c r="C3663" s="61" t="n"/>
      <c r="D3663" s="61" t="n"/>
      <c r="E3663" s="61" t="n"/>
      <c r="F3663" s="55" t="n"/>
      <c r="G3663" s="56" t="n"/>
      <c r="H3663" s="55" t="n"/>
      <c r="I3663" s="62" t="n"/>
      <c r="J3663" s="58" t="n"/>
      <c r="K3663" s="63">
        <f>IF(tblMovement[[#This Row],[Source]]="","",IFERROR(INDEX(tblSources[Type],MATCH(tblMovement[[#This Row],[Source]],tblSources[Source],0)),"?"))</f>
        <v/>
      </c>
      <c r="L3663" s="63">
        <f>IF(tblMovement[[#This Row],[Destination]]="","",IFERROR(INDEX(tblDestinations[Type],MATCH(tblMovement[[#This Row],[Destination]],tblDestinations[Destination],0)),"?"))</f>
        <v/>
      </c>
      <c r="M3663" s="64">
        <f>IF(tblMovement[[#This Row],[Material]]="","",IF(LEFT(tblMovement[[#This Row],[Material]],3)="Ore",1,0))</f>
        <v/>
      </c>
      <c r="N3663" s="59">
        <f>IF(OR(tblMovement[[#This Row],[Tonnes_t]]="",tblMovement[[#This Row],[Grade_gpt]]=""),0,tblMovement[[#This Row],[Tonnes_t]]*tblMovement[[#This Row],[Grade_gpt]]/cfg_TroyOz)</f>
        <v/>
      </c>
      <c r="O3663" s="59">
        <f>IF(tblMovement[[#This Row],[Is_Ore]]=1,tblMovement[[#This Row],[Contained_oz]],0)</f>
        <v/>
      </c>
    </row>
    <row r="3664">
      <c r="A3664" s="54" t="n"/>
      <c r="B3664" s="61" t="n"/>
      <c r="C3664" s="61" t="n"/>
      <c r="D3664" s="61" t="n"/>
      <c r="E3664" s="61" t="n"/>
      <c r="F3664" s="55" t="n"/>
      <c r="G3664" s="56" t="n"/>
      <c r="H3664" s="55" t="n"/>
      <c r="I3664" s="62" t="n"/>
      <c r="J3664" s="58" t="n"/>
      <c r="K3664" s="63">
        <f>IF(tblMovement[[#This Row],[Source]]="","",IFERROR(INDEX(tblSources[Type],MATCH(tblMovement[[#This Row],[Source]],tblSources[Source],0)),"?"))</f>
        <v/>
      </c>
      <c r="L3664" s="63">
        <f>IF(tblMovement[[#This Row],[Destination]]="","",IFERROR(INDEX(tblDestinations[Type],MATCH(tblMovement[[#This Row],[Destination]],tblDestinations[Destination],0)),"?"))</f>
        <v/>
      </c>
      <c r="M3664" s="64">
        <f>IF(tblMovement[[#This Row],[Material]]="","",IF(LEFT(tblMovement[[#This Row],[Material]],3)="Ore",1,0))</f>
        <v/>
      </c>
      <c r="N3664" s="59">
        <f>IF(OR(tblMovement[[#This Row],[Tonnes_t]]="",tblMovement[[#This Row],[Grade_gpt]]=""),0,tblMovement[[#This Row],[Tonnes_t]]*tblMovement[[#This Row],[Grade_gpt]]/cfg_TroyOz)</f>
        <v/>
      </c>
      <c r="O3664" s="59">
        <f>IF(tblMovement[[#This Row],[Is_Ore]]=1,tblMovement[[#This Row],[Contained_oz]],0)</f>
        <v/>
      </c>
    </row>
    <row r="3665">
      <c r="A3665" s="54" t="n"/>
      <c r="B3665" s="61" t="n"/>
      <c r="C3665" s="61" t="n"/>
      <c r="D3665" s="61" t="n"/>
      <c r="E3665" s="61" t="n"/>
      <c r="F3665" s="55" t="n"/>
      <c r="G3665" s="56" t="n"/>
      <c r="H3665" s="55" t="n"/>
      <c r="I3665" s="62" t="n"/>
      <c r="J3665" s="58" t="n"/>
      <c r="K3665" s="63">
        <f>IF(tblMovement[[#This Row],[Source]]="","",IFERROR(INDEX(tblSources[Type],MATCH(tblMovement[[#This Row],[Source]],tblSources[Source],0)),"?"))</f>
        <v/>
      </c>
      <c r="L3665" s="63">
        <f>IF(tblMovement[[#This Row],[Destination]]="","",IFERROR(INDEX(tblDestinations[Type],MATCH(tblMovement[[#This Row],[Destination]],tblDestinations[Destination],0)),"?"))</f>
        <v/>
      </c>
      <c r="M3665" s="64">
        <f>IF(tblMovement[[#This Row],[Material]]="","",IF(LEFT(tblMovement[[#This Row],[Material]],3)="Ore",1,0))</f>
        <v/>
      </c>
      <c r="N3665" s="59">
        <f>IF(OR(tblMovement[[#This Row],[Tonnes_t]]="",tblMovement[[#This Row],[Grade_gpt]]=""),0,tblMovement[[#This Row],[Tonnes_t]]*tblMovement[[#This Row],[Grade_gpt]]/cfg_TroyOz)</f>
        <v/>
      </c>
      <c r="O3665" s="59">
        <f>IF(tblMovement[[#This Row],[Is_Ore]]=1,tblMovement[[#This Row],[Contained_oz]],0)</f>
        <v/>
      </c>
    </row>
    <row r="3666">
      <c r="A3666" s="54" t="n"/>
      <c r="B3666" s="61" t="n"/>
      <c r="C3666" s="61" t="n"/>
      <c r="D3666" s="61" t="n"/>
      <c r="E3666" s="61" t="n"/>
      <c r="F3666" s="55" t="n"/>
      <c r="G3666" s="56" t="n"/>
      <c r="H3666" s="55" t="n"/>
      <c r="I3666" s="62" t="n"/>
      <c r="J3666" s="58" t="n"/>
      <c r="K3666" s="63">
        <f>IF(tblMovement[[#This Row],[Source]]="","",IFERROR(INDEX(tblSources[Type],MATCH(tblMovement[[#This Row],[Source]],tblSources[Source],0)),"?"))</f>
        <v/>
      </c>
      <c r="L3666" s="63">
        <f>IF(tblMovement[[#This Row],[Destination]]="","",IFERROR(INDEX(tblDestinations[Type],MATCH(tblMovement[[#This Row],[Destination]],tblDestinations[Destination],0)),"?"))</f>
        <v/>
      </c>
      <c r="M3666" s="64">
        <f>IF(tblMovement[[#This Row],[Material]]="","",IF(LEFT(tblMovement[[#This Row],[Material]],3)="Ore",1,0))</f>
        <v/>
      </c>
      <c r="N3666" s="59">
        <f>IF(OR(tblMovement[[#This Row],[Tonnes_t]]="",tblMovement[[#This Row],[Grade_gpt]]=""),0,tblMovement[[#This Row],[Tonnes_t]]*tblMovement[[#This Row],[Grade_gpt]]/cfg_TroyOz)</f>
        <v/>
      </c>
      <c r="O3666" s="59">
        <f>IF(tblMovement[[#This Row],[Is_Ore]]=1,tblMovement[[#This Row],[Contained_oz]],0)</f>
        <v/>
      </c>
    </row>
    <row r="3667">
      <c r="A3667" s="54" t="n"/>
      <c r="B3667" s="61" t="n"/>
      <c r="C3667" s="61" t="n"/>
      <c r="D3667" s="61" t="n"/>
      <c r="E3667" s="61" t="n"/>
      <c r="F3667" s="55" t="n"/>
      <c r="G3667" s="56" t="n"/>
      <c r="H3667" s="55" t="n"/>
      <c r="I3667" s="62" t="n"/>
      <c r="J3667" s="58" t="n"/>
      <c r="K3667" s="63">
        <f>IF(tblMovement[[#This Row],[Source]]="","",IFERROR(INDEX(tblSources[Type],MATCH(tblMovement[[#This Row],[Source]],tblSources[Source],0)),"?"))</f>
        <v/>
      </c>
      <c r="L3667" s="63">
        <f>IF(tblMovement[[#This Row],[Destination]]="","",IFERROR(INDEX(tblDestinations[Type],MATCH(tblMovement[[#This Row],[Destination]],tblDestinations[Destination],0)),"?"))</f>
        <v/>
      </c>
      <c r="M3667" s="64">
        <f>IF(tblMovement[[#This Row],[Material]]="","",IF(LEFT(tblMovement[[#This Row],[Material]],3)="Ore",1,0))</f>
        <v/>
      </c>
      <c r="N3667" s="59">
        <f>IF(OR(tblMovement[[#This Row],[Tonnes_t]]="",tblMovement[[#This Row],[Grade_gpt]]=""),0,tblMovement[[#This Row],[Tonnes_t]]*tblMovement[[#This Row],[Grade_gpt]]/cfg_TroyOz)</f>
        <v/>
      </c>
      <c r="O3667" s="59">
        <f>IF(tblMovement[[#This Row],[Is_Ore]]=1,tblMovement[[#This Row],[Contained_oz]],0)</f>
        <v/>
      </c>
    </row>
    <row r="3668">
      <c r="A3668" s="54" t="n"/>
      <c r="B3668" s="61" t="n"/>
      <c r="C3668" s="61" t="n"/>
      <c r="D3668" s="61" t="n"/>
      <c r="E3668" s="61" t="n"/>
      <c r="F3668" s="55" t="n"/>
      <c r="G3668" s="56" t="n"/>
      <c r="H3668" s="55" t="n"/>
      <c r="I3668" s="62" t="n"/>
      <c r="J3668" s="58" t="n"/>
      <c r="K3668" s="63">
        <f>IF(tblMovement[[#This Row],[Source]]="","",IFERROR(INDEX(tblSources[Type],MATCH(tblMovement[[#This Row],[Source]],tblSources[Source],0)),"?"))</f>
        <v/>
      </c>
      <c r="L3668" s="63">
        <f>IF(tblMovement[[#This Row],[Destination]]="","",IFERROR(INDEX(tblDestinations[Type],MATCH(tblMovement[[#This Row],[Destination]],tblDestinations[Destination],0)),"?"))</f>
        <v/>
      </c>
      <c r="M3668" s="64">
        <f>IF(tblMovement[[#This Row],[Material]]="","",IF(LEFT(tblMovement[[#This Row],[Material]],3)="Ore",1,0))</f>
        <v/>
      </c>
      <c r="N3668" s="59">
        <f>IF(OR(tblMovement[[#This Row],[Tonnes_t]]="",tblMovement[[#This Row],[Grade_gpt]]=""),0,tblMovement[[#This Row],[Tonnes_t]]*tblMovement[[#This Row],[Grade_gpt]]/cfg_TroyOz)</f>
        <v/>
      </c>
      <c r="O3668" s="59">
        <f>IF(tblMovement[[#This Row],[Is_Ore]]=1,tblMovement[[#This Row],[Contained_oz]],0)</f>
        <v/>
      </c>
    </row>
    <row r="3669">
      <c r="A3669" s="54" t="n"/>
      <c r="B3669" s="61" t="n"/>
      <c r="C3669" s="61" t="n"/>
      <c r="D3669" s="61" t="n"/>
      <c r="E3669" s="61" t="n"/>
      <c r="F3669" s="55" t="n"/>
      <c r="G3669" s="56" t="n"/>
      <c r="H3669" s="55" t="n"/>
      <c r="I3669" s="62" t="n"/>
      <c r="J3669" s="58" t="n"/>
      <c r="K3669" s="63">
        <f>IF(tblMovement[[#This Row],[Source]]="","",IFERROR(INDEX(tblSources[Type],MATCH(tblMovement[[#This Row],[Source]],tblSources[Source],0)),"?"))</f>
        <v/>
      </c>
      <c r="L3669" s="63">
        <f>IF(tblMovement[[#This Row],[Destination]]="","",IFERROR(INDEX(tblDestinations[Type],MATCH(tblMovement[[#This Row],[Destination]],tblDestinations[Destination],0)),"?"))</f>
        <v/>
      </c>
      <c r="M3669" s="64">
        <f>IF(tblMovement[[#This Row],[Material]]="","",IF(LEFT(tblMovement[[#This Row],[Material]],3)="Ore",1,0))</f>
        <v/>
      </c>
      <c r="N3669" s="59">
        <f>IF(OR(tblMovement[[#This Row],[Tonnes_t]]="",tblMovement[[#This Row],[Grade_gpt]]=""),0,tblMovement[[#This Row],[Tonnes_t]]*tblMovement[[#This Row],[Grade_gpt]]/cfg_TroyOz)</f>
        <v/>
      </c>
      <c r="O3669" s="59">
        <f>IF(tblMovement[[#This Row],[Is_Ore]]=1,tblMovement[[#This Row],[Contained_oz]],0)</f>
        <v/>
      </c>
    </row>
    <row r="3670">
      <c r="A3670" s="54" t="n"/>
      <c r="B3670" s="61" t="n"/>
      <c r="C3670" s="61" t="n"/>
      <c r="D3670" s="61" t="n"/>
      <c r="E3670" s="61" t="n"/>
      <c r="F3670" s="55" t="n"/>
      <c r="G3670" s="56" t="n"/>
      <c r="H3670" s="55" t="n"/>
      <c r="I3670" s="62" t="n"/>
      <c r="J3670" s="58" t="n"/>
      <c r="K3670" s="63">
        <f>IF(tblMovement[[#This Row],[Source]]="","",IFERROR(INDEX(tblSources[Type],MATCH(tblMovement[[#This Row],[Source]],tblSources[Source],0)),"?"))</f>
        <v/>
      </c>
      <c r="L3670" s="63">
        <f>IF(tblMovement[[#This Row],[Destination]]="","",IFERROR(INDEX(tblDestinations[Type],MATCH(tblMovement[[#This Row],[Destination]],tblDestinations[Destination],0)),"?"))</f>
        <v/>
      </c>
      <c r="M3670" s="64">
        <f>IF(tblMovement[[#This Row],[Material]]="","",IF(LEFT(tblMovement[[#This Row],[Material]],3)="Ore",1,0))</f>
        <v/>
      </c>
      <c r="N3670" s="59">
        <f>IF(OR(tblMovement[[#This Row],[Tonnes_t]]="",tblMovement[[#This Row],[Grade_gpt]]=""),0,tblMovement[[#This Row],[Tonnes_t]]*tblMovement[[#This Row],[Grade_gpt]]/cfg_TroyOz)</f>
        <v/>
      </c>
      <c r="O3670" s="59">
        <f>IF(tblMovement[[#This Row],[Is_Ore]]=1,tblMovement[[#This Row],[Contained_oz]],0)</f>
        <v/>
      </c>
    </row>
    <row r="3671">
      <c r="A3671" s="54" t="n"/>
      <c r="B3671" s="61" t="n"/>
      <c r="C3671" s="61" t="n"/>
      <c r="D3671" s="61" t="n"/>
      <c r="E3671" s="61" t="n"/>
      <c r="F3671" s="55" t="n"/>
      <c r="G3671" s="56" t="n"/>
      <c r="H3671" s="55" t="n"/>
      <c r="I3671" s="62" t="n"/>
      <c r="J3671" s="58" t="n"/>
      <c r="K3671" s="63">
        <f>IF(tblMovement[[#This Row],[Source]]="","",IFERROR(INDEX(tblSources[Type],MATCH(tblMovement[[#This Row],[Source]],tblSources[Source],0)),"?"))</f>
        <v/>
      </c>
      <c r="L3671" s="63">
        <f>IF(tblMovement[[#This Row],[Destination]]="","",IFERROR(INDEX(tblDestinations[Type],MATCH(tblMovement[[#This Row],[Destination]],tblDestinations[Destination],0)),"?"))</f>
        <v/>
      </c>
      <c r="M3671" s="64">
        <f>IF(tblMovement[[#This Row],[Material]]="","",IF(LEFT(tblMovement[[#This Row],[Material]],3)="Ore",1,0))</f>
        <v/>
      </c>
      <c r="N3671" s="59">
        <f>IF(OR(tblMovement[[#This Row],[Tonnes_t]]="",tblMovement[[#This Row],[Grade_gpt]]=""),0,tblMovement[[#This Row],[Tonnes_t]]*tblMovement[[#This Row],[Grade_gpt]]/cfg_TroyOz)</f>
        <v/>
      </c>
      <c r="O3671" s="59">
        <f>IF(tblMovement[[#This Row],[Is_Ore]]=1,tblMovement[[#This Row],[Contained_oz]],0)</f>
        <v/>
      </c>
    </row>
    <row r="3672">
      <c r="A3672" s="54" t="n"/>
      <c r="B3672" s="61" t="n"/>
      <c r="C3672" s="61" t="n"/>
      <c r="D3672" s="61" t="n"/>
      <c r="E3672" s="61" t="n"/>
      <c r="F3672" s="55" t="n"/>
      <c r="G3672" s="56" t="n"/>
      <c r="H3672" s="55" t="n"/>
      <c r="I3672" s="62" t="n"/>
      <c r="J3672" s="58" t="n"/>
      <c r="K3672" s="63">
        <f>IF(tblMovement[[#This Row],[Source]]="","",IFERROR(INDEX(tblSources[Type],MATCH(tblMovement[[#This Row],[Source]],tblSources[Source],0)),"?"))</f>
        <v/>
      </c>
      <c r="L3672" s="63">
        <f>IF(tblMovement[[#This Row],[Destination]]="","",IFERROR(INDEX(tblDestinations[Type],MATCH(tblMovement[[#This Row],[Destination]],tblDestinations[Destination],0)),"?"))</f>
        <v/>
      </c>
      <c r="M3672" s="64">
        <f>IF(tblMovement[[#This Row],[Material]]="","",IF(LEFT(tblMovement[[#This Row],[Material]],3)="Ore",1,0))</f>
        <v/>
      </c>
      <c r="N3672" s="59">
        <f>IF(OR(tblMovement[[#This Row],[Tonnes_t]]="",tblMovement[[#This Row],[Grade_gpt]]=""),0,tblMovement[[#This Row],[Tonnes_t]]*tblMovement[[#This Row],[Grade_gpt]]/cfg_TroyOz)</f>
        <v/>
      </c>
      <c r="O3672" s="59">
        <f>IF(tblMovement[[#This Row],[Is_Ore]]=1,tblMovement[[#This Row],[Contained_oz]],0)</f>
        <v/>
      </c>
    </row>
    <row r="3673">
      <c r="A3673" s="54" t="n"/>
      <c r="B3673" s="61" t="n"/>
      <c r="C3673" s="61" t="n"/>
      <c r="D3673" s="61" t="n"/>
      <c r="E3673" s="61" t="n"/>
      <c r="F3673" s="55" t="n"/>
      <c r="G3673" s="56" t="n"/>
      <c r="H3673" s="55" t="n"/>
      <c r="I3673" s="62" t="n"/>
      <c r="J3673" s="58" t="n"/>
      <c r="K3673" s="63">
        <f>IF(tblMovement[[#This Row],[Source]]="","",IFERROR(INDEX(tblSources[Type],MATCH(tblMovement[[#This Row],[Source]],tblSources[Source],0)),"?"))</f>
        <v/>
      </c>
      <c r="L3673" s="63">
        <f>IF(tblMovement[[#This Row],[Destination]]="","",IFERROR(INDEX(tblDestinations[Type],MATCH(tblMovement[[#This Row],[Destination]],tblDestinations[Destination],0)),"?"))</f>
        <v/>
      </c>
      <c r="M3673" s="64">
        <f>IF(tblMovement[[#This Row],[Material]]="","",IF(LEFT(tblMovement[[#This Row],[Material]],3)="Ore",1,0))</f>
        <v/>
      </c>
      <c r="N3673" s="59">
        <f>IF(OR(tblMovement[[#This Row],[Tonnes_t]]="",tblMovement[[#This Row],[Grade_gpt]]=""),0,tblMovement[[#This Row],[Tonnes_t]]*tblMovement[[#This Row],[Grade_gpt]]/cfg_TroyOz)</f>
        <v/>
      </c>
      <c r="O3673" s="59">
        <f>IF(tblMovement[[#This Row],[Is_Ore]]=1,tblMovement[[#This Row],[Contained_oz]],0)</f>
        <v/>
      </c>
    </row>
    <row r="3674">
      <c r="A3674" s="54" t="n"/>
      <c r="B3674" s="61" t="n"/>
      <c r="C3674" s="61" t="n"/>
      <c r="D3674" s="61" t="n"/>
      <c r="E3674" s="61" t="n"/>
      <c r="F3674" s="55" t="n"/>
      <c r="G3674" s="56" t="n"/>
      <c r="H3674" s="55" t="n"/>
      <c r="I3674" s="62" t="n"/>
      <c r="J3674" s="58" t="n"/>
      <c r="K3674" s="63">
        <f>IF(tblMovement[[#This Row],[Source]]="","",IFERROR(INDEX(tblSources[Type],MATCH(tblMovement[[#This Row],[Source]],tblSources[Source],0)),"?"))</f>
        <v/>
      </c>
      <c r="L3674" s="63">
        <f>IF(tblMovement[[#This Row],[Destination]]="","",IFERROR(INDEX(tblDestinations[Type],MATCH(tblMovement[[#This Row],[Destination]],tblDestinations[Destination],0)),"?"))</f>
        <v/>
      </c>
      <c r="M3674" s="64">
        <f>IF(tblMovement[[#This Row],[Material]]="","",IF(LEFT(tblMovement[[#This Row],[Material]],3)="Ore",1,0))</f>
        <v/>
      </c>
      <c r="N3674" s="59">
        <f>IF(OR(tblMovement[[#This Row],[Tonnes_t]]="",tblMovement[[#This Row],[Grade_gpt]]=""),0,tblMovement[[#This Row],[Tonnes_t]]*tblMovement[[#This Row],[Grade_gpt]]/cfg_TroyOz)</f>
        <v/>
      </c>
      <c r="O3674" s="59">
        <f>IF(tblMovement[[#This Row],[Is_Ore]]=1,tblMovement[[#This Row],[Contained_oz]],0)</f>
        <v/>
      </c>
    </row>
    <row r="3675">
      <c r="A3675" s="54" t="n"/>
      <c r="B3675" s="61" t="n"/>
      <c r="C3675" s="61" t="n"/>
      <c r="D3675" s="61" t="n"/>
      <c r="E3675" s="61" t="n"/>
      <c r="F3675" s="55" t="n"/>
      <c r="G3675" s="56" t="n"/>
      <c r="H3675" s="55" t="n"/>
      <c r="I3675" s="62" t="n"/>
      <c r="J3675" s="58" t="n"/>
      <c r="K3675" s="63">
        <f>IF(tblMovement[[#This Row],[Source]]="","",IFERROR(INDEX(tblSources[Type],MATCH(tblMovement[[#This Row],[Source]],tblSources[Source],0)),"?"))</f>
        <v/>
      </c>
      <c r="L3675" s="63">
        <f>IF(tblMovement[[#This Row],[Destination]]="","",IFERROR(INDEX(tblDestinations[Type],MATCH(tblMovement[[#This Row],[Destination]],tblDestinations[Destination],0)),"?"))</f>
        <v/>
      </c>
      <c r="M3675" s="64">
        <f>IF(tblMovement[[#This Row],[Material]]="","",IF(LEFT(tblMovement[[#This Row],[Material]],3)="Ore",1,0))</f>
        <v/>
      </c>
      <c r="N3675" s="59">
        <f>IF(OR(tblMovement[[#This Row],[Tonnes_t]]="",tblMovement[[#This Row],[Grade_gpt]]=""),0,tblMovement[[#This Row],[Tonnes_t]]*tblMovement[[#This Row],[Grade_gpt]]/cfg_TroyOz)</f>
        <v/>
      </c>
      <c r="O3675" s="59">
        <f>IF(tblMovement[[#This Row],[Is_Ore]]=1,tblMovement[[#This Row],[Contained_oz]],0)</f>
        <v/>
      </c>
    </row>
    <row r="3676">
      <c r="A3676" s="54" t="n"/>
      <c r="B3676" s="61" t="n"/>
      <c r="C3676" s="61" t="n"/>
      <c r="D3676" s="61" t="n"/>
      <c r="E3676" s="61" t="n"/>
      <c r="F3676" s="55" t="n"/>
      <c r="G3676" s="56" t="n"/>
      <c r="H3676" s="55" t="n"/>
      <c r="I3676" s="62" t="n"/>
      <c r="J3676" s="58" t="n"/>
      <c r="K3676" s="63">
        <f>IF(tblMovement[[#This Row],[Source]]="","",IFERROR(INDEX(tblSources[Type],MATCH(tblMovement[[#This Row],[Source]],tblSources[Source],0)),"?"))</f>
        <v/>
      </c>
      <c r="L3676" s="63">
        <f>IF(tblMovement[[#This Row],[Destination]]="","",IFERROR(INDEX(tblDestinations[Type],MATCH(tblMovement[[#This Row],[Destination]],tblDestinations[Destination],0)),"?"))</f>
        <v/>
      </c>
      <c r="M3676" s="64">
        <f>IF(tblMovement[[#This Row],[Material]]="","",IF(LEFT(tblMovement[[#This Row],[Material]],3)="Ore",1,0))</f>
        <v/>
      </c>
      <c r="N3676" s="59">
        <f>IF(OR(tblMovement[[#This Row],[Tonnes_t]]="",tblMovement[[#This Row],[Grade_gpt]]=""),0,tblMovement[[#This Row],[Tonnes_t]]*tblMovement[[#This Row],[Grade_gpt]]/cfg_TroyOz)</f>
        <v/>
      </c>
      <c r="O3676" s="59">
        <f>IF(tblMovement[[#This Row],[Is_Ore]]=1,tblMovement[[#This Row],[Contained_oz]],0)</f>
        <v/>
      </c>
    </row>
    <row r="3677">
      <c r="A3677" s="54" t="n"/>
      <c r="B3677" s="61" t="n"/>
      <c r="C3677" s="61" t="n"/>
      <c r="D3677" s="61" t="n"/>
      <c r="E3677" s="61" t="n"/>
      <c r="F3677" s="55" t="n"/>
      <c r="G3677" s="56" t="n"/>
      <c r="H3677" s="55" t="n"/>
      <c r="I3677" s="62" t="n"/>
      <c r="J3677" s="58" t="n"/>
      <c r="K3677" s="63">
        <f>IF(tblMovement[[#This Row],[Source]]="","",IFERROR(INDEX(tblSources[Type],MATCH(tblMovement[[#This Row],[Source]],tblSources[Source],0)),"?"))</f>
        <v/>
      </c>
      <c r="L3677" s="63">
        <f>IF(tblMovement[[#This Row],[Destination]]="","",IFERROR(INDEX(tblDestinations[Type],MATCH(tblMovement[[#This Row],[Destination]],tblDestinations[Destination],0)),"?"))</f>
        <v/>
      </c>
      <c r="M3677" s="64">
        <f>IF(tblMovement[[#This Row],[Material]]="","",IF(LEFT(tblMovement[[#This Row],[Material]],3)="Ore",1,0))</f>
        <v/>
      </c>
      <c r="N3677" s="59">
        <f>IF(OR(tblMovement[[#This Row],[Tonnes_t]]="",tblMovement[[#This Row],[Grade_gpt]]=""),0,tblMovement[[#This Row],[Tonnes_t]]*tblMovement[[#This Row],[Grade_gpt]]/cfg_TroyOz)</f>
        <v/>
      </c>
      <c r="O3677" s="59">
        <f>IF(tblMovement[[#This Row],[Is_Ore]]=1,tblMovement[[#This Row],[Contained_oz]],0)</f>
        <v/>
      </c>
    </row>
    <row r="3678">
      <c r="A3678" s="54" t="n"/>
      <c r="B3678" s="61" t="n"/>
      <c r="C3678" s="61" t="n"/>
      <c r="D3678" s="61" t="n"/>
      <c r="E3678" s="61" t="n"/>
      <c r="F3678" s="55" t="n"/>
      <c r="G3678" s="56" t="n"/>
      <c r="H3678" s="55" t="n"/>
      <c r="I3678" s="62" t="n"/>
      <c r="J3678" s="58" t="n"/>
      <c r="K3678" s="63">
        <f>IF(tblMovement[[#This Row],[Source]]="","",IFERROR(INDEX(tblSources[Type],MATCH(tblMovement[[#This Row],[Source]],tblSources[Source],0)),"?"))</f>
        <v/>
      </c>
      <c r="L3678" s="63">
        <f>IF(tblMovement[[#This Row],[Destination]]="","",IFERROR(INDEX(tblDestinations[Type],MATCH(tblMovement[[#This Row],[Destination]],tblDestinations[Destination],0)),"?"))</f>
        <v/>
      </c>
      <c r="M3678" s="64">
        <f>IF(tblMovement[[#This Row],[Material]]="","",IF(LEFT(tblMovement[[#This Row],[Material]],3)="Ore",1,0))</f>
        <v/>
      </c>
      <c r="N3678" s="59">
        <f>IF(OR(tblMovement[[#This Row],[Tonnes_t]]="",tblMovement[[#This Row],[Grade_gpt]]=""),0,tblMovement[[#This Row],[Tonnes_t]]*tblMovement[[#This Row],[Grade_gpt]]/cfg_TroyOz)</f>
        <v/>
      </c>
      <c r="O3678" s="59">
        <f>IF(tblMovement[[#This Row],[Is_Ore]]=1,tblMovement[[#This Row],[Contained_oz]],0)</f>
        <v/>
      </c>
    </row>
    <row r="3679">
      <c r="A3679" s="54" t="n"/>
      <c r="B3679" s="61" t="n"/>
      <c r="C3679" s="61" t="n"/>
      <c r="D3679" s="61" t="n"/>
      <c r="E3679" s="61" t="n"/>
      <c r="F3679" s="55" t="n"/>
      <c r="G3679" s="56" t="n"/>
      <c r="H3679" s="55" t="n"/>
      <c r="I3679" s="62" t="n"/>
      <c r="J3679" s="58" t="n"/>
      <c r="K3679" s="63">
        <f>IF(tblMovement[[#This Row],[Source]]="","",IFERROR(INDEX(tblSources[Type],MATCH(tblMovement[[#This Row],[Source]],tblSources[Source],0)),"?"))</f>
        <v/>
      </c>
      <c r="L3679" s="63">
        <f>IF(tblMovement[[#This Row],[Destination]]="","",IFERROR(INDEX(tblDestinations[Type],MATCH(tblMovement[[#This Row],[Destination]],tblDestinations[Destination],0)),"?"))</f>
        <v/>
      </c>
      <c r="M3679" s="64">
        <f>IF(tblMovement[[#This Row],[Material]]="","",IF(LEFT(tblMovement[[#This Row],[Material]],3)="Ore",1,0))</f>
        <v/>
      </c>
      <c r="N3679" s="59">
        <f>IF(OR(tblMovement[[#This Row],[Tonnes_t]]="",tblMovement[[#This Row],[Grade_gpt]]=""),0,tblMovement[[#This Row],[Tonnes_t]]*tblMovement[[#This Row],[Grade_gpt]]/cfg_TroyOz)</f>
        <v/>
      </c>
      <c r="O3679" s="59">
        <f>IF(tblMovement[[#This Row],[Is_Ore]]=1,tblMovement[[#This Row],[Contained_oz]],0)</f>
        <v/>
      </c>
    </row>
    <row r="3680">
      <c r="A3680" s="54" t="n"/>
      <c r="B3680" s="61" t="n"/>
      <c r="C3680" s="61" t="n"/>
      <c r="D3680" s="61" t="n"/>
      <c r="E3680" s="61" t="n"/>
      <c r="F3680" s="55" t="n"/>
      <c r="G3680" s="56" t="n"/>
      <c r="H3680" s="55" t="n"/>
      <c r="I3680" s="62" t="n"/>
      <c r="J3680" s="58" t="n"/>
      <c r="K3680" s="63">
        <f>IF(tblMovement[[#This Row],[Source]]="","",IFERROR(INDEX(tblSources[Type],MATCH(tblMovement[[#This Row],[Source]],tblSources[Source],0)),"?"))</f>
        <v/>
      </c>
      <c r="L3680" s="63">
        <f>IF(tblMovement[[#This Row],[Destination]]="","",IFERROR(INDEX(tblDestinations[Type],MATCH(tblMovement[[#This Row],[Destination]],tblDestinations[Destination],0)),"?"))</f>
        <v/>
      </c>
      <c r="M3680" s="64">
        <f>IF(tblMovement[[#This Row],[Material]]="","",IF(LEFT(tblMovement[[#This Row],[Material]],3)="Ore",1,0))</f>
        <v/>
      </c>
      <c r="N3680" s="59">
        <f>IF(OR(tblMovement[[#This Row],[Tonnes_t]]="",tblMovement[[#This Row],[Grade_gpt]]=""),0,tblMovement[[#This Row],[Tonnes_t]]*tblMovement[[#This Row],[Grade_gpt]]/cfg_TroyOz)</f>
        <v/>
      </c>
      <c r="O3680" s="59">
        <f>IF(tblMovement[[#This Row],[Is_Ore]]=1,tblMovement[[#This Row],[Contained_oz]],0)</f>
        <v/>
      </c>
    </row>
    <row r="3681">
      <c r="A3681" s="54" t="n"/>
      <c r="B3681" s="61" t="n"/>
      <c r="C3681" s="61" t="n"/>
      <c r="D3681" s="61" t="n"/>
      <c r="E3681" s="61" t="n"/>
      <c r="F3681" s="55" t="n"/>
      <c r="G3681" s="56" t="n"/>
      <c r="H3681" s="55" t="n"/>
      <c r="I3681" s="62" t="n"/>
      <c r="J3681" s="58" t="n"/>
      <c r="K3681" s="63">
        <f>IF(tblMovement[[#This Row],[Source]]="","",IFERROR(INDEX(tblSources[Type],MATCH(tblMovement[[#This Row],[Source]],tblSources[Source],0)),"?"))</f>
        <v/>
      </c>
      <c r="L3681" s="63">
        <f>IF(tblMovement[[#This Row],[Destination]]="","",IFERROR(INDEX(tblDestinations[Type],MATCH(tblMovement[[#This Row],[Destination]],tblDestinations[Destination],0)),"?"))</f>
        <v/>
      </c>
      <c r="M3681" s="64">
        <f>IF(tblMovement[[#This Row],[Material]]="","",IF(LEFT(tblMovement[[#This Row],[Material]],3)="Ore",1,0))</f>
        <v/>
      </c>
      <c r="N3681" s="59">
        <f>IF(OR(tblMovement[[#This Row],[Tonnes_t]]="",tblMovement[[#This Row],[Grade_gpt]]=""),0,tblMovement[[#This Row],[Tonnes_t]]*tblMovement[[#This Row],[Grade_gpt]]/cfg_TroyOz)</f>
        <v/>
      </c>
      <c r="O3681" s="59">
        <f>IF(tblMovement[[#This Row],[Is_Ore]]=1,tblMovement[[#This Row],[Contained_oz]],0)</f>
        <v/>
      </c>
    </row>
    <row r="3682">
      <c r="A3682" s="54" t="n"/>
      <c r="B3682" s="61" t="n"/>
      <c r="C3682" s="61" t="n"/>
      <c r="D3682" s="61" t="n"/>
      <c r="E3682" s="61" t="n"/>
      <c r="F3682" s="55" t="n"/>
      <c r="G3682" s="56" t="n"/>
      <c r="H3682" s="55" t="n"/>
      <c r="I3682" s="62" t="n"/>
      <c r="J3682" s="58" t="n"/>
      <c r="K3682" s="63">
        <f>IF(tblMovement[[#This Row],[Source]]="","",IFERROR(INDEX(tblSources[Type],MATCH(tblMovement[[#This Row],[Source]],tblSources[Source],0)),"?"))</f>
        <v/>
      </c>
      <c r="L3682" s="63">
        <f>IF(tblMovement[[#This Row],[Destination]]="","",IFERROR(INDEX(tblDestinations[Type],MATCH(tblMovement[[#This Row],[Destination]],tblDestinations[Destination],0)),"?"))</f>
        <v/>
      </c>
      <c r="M3682" s="64">
        <f>IF(tblMovement[[#This Row],[Material]]="","",IF(LEFT(tblMovement[[#This Row],[Material]],3)="Ore",1,0))</f>
        <v/>
      </c>
      <c r="N3682" s="59">
        <f>IF(OR(tblMovement[[#This Row],[Tonnes_t]]="",tblMovement[[#This Row],[Grade_gpt]]=""),0,tblMovement[[#This Row],[Tonnes_t]]*tblMovement[[#This Row],[Grade_gpt]]/cfg_TroyOz)</f>
        <v/>
      </c>
      <c r="O3682" s="59">
        <f>IF(tblMovement[[#This Row],[Is_Ore]]=1,tblMovement[[#This Row],[Contained_oz]],0)</f>
        <v/>
      </c>
    </row>
    <row r="3683">
      <c r="A3683" s="54" t="n"/>
      <c r="B3683" s="61" t="n"/>
      <c r="C3683" s="61" t="n"/>
      <c r="D3683" s="61" t="n"/>
      <c r="E3683" s="61" t="n"/>
      <c r="F3683" s="55" t="n"/>
      <c r="G3683" s="56" t="n"/>
      <c r="H3683" s="55" t="n"/>
      <c r="I3683" s="62" t="n"/>
      <c r="J3683" s="58" t="n"/>
      <c r="K3683" s="63">
        <f>IF(tblMovement[[#This Row],[Source]]="","",IFERROR(INDEX(tblSources[Type],MATCH(tblMovement[[#This Row],[Source]],tblSources[Source],0)),"?"))</f>
        <v/>
      </c>
      <c r="L3683" s="63">
        <f>IF(tblMovement[[#This Row],[Destination]]="","",IFERROR(INDEX(tblDestinations[Type],MATCH(tblMovement[[#This Row],[Destination]],tblDestinations[Destination],0)),"?"))</f>
        <v/>
      </c>
      <c r="M3683" s="64">
        <f>IF(tblMovement[[#This Row],[Material]]="","",IF(LEFT(tblMovement[[#This Row],[Material]],3)="Ore",1,0))</f>
        <v/>
      </c>
      <c r="N3683" s="59">
        <f>IF(OR(tblMovement[[#This Row],[Tonnes_t]]="",tblMovement[[#This Row],[Grade_gpt]]=""),0,tblMovement[[#This Row],[Tonnes_t]]*tblMovement[[#This Row],[Grade_gpt]]/cfg_TroyOz)</f>
        <v/>
      </c>
      <c r="O3683" s="59">
        <f>IF(tblMovement[[#This Row],[Is_Ore]]=1,tblMovement[[#This Row],[Contained_oz]],0)</f>
        <v/>
      </c>
    </row>
    <row r="3684">
      <c r="A3684" s="54" t="n"/>
      <c r="B3684" s="61" t="n"/>
      <c r="C3684" s="61" t="n"/>
      <c r="D3684" s="61" t="n"/>
      <c r="E3684" s="61" t="n"/>
      <c r="F3684" s="55" t="n"/>
      <c r="G3684" s="56" t="n"/>
      <c r="H3684" s="55" t="n"/>
      <c r="I3684" s="62" t="n"/>
      <c r="J3684" s="58" t="n"/>
      <c r="K3684" s="63">
        <f>IF(tblMovement[[#This Row],[Source]]="","",IFERROR(INDEX(tblSources[Type],MATCH(tblMovement[[#This Row],[Source]],tblSources[Source],0)),"?"))</f>
        <v/>
      </c>
      <c r="L3684" s="63">
        <f>IF(tblMovement[[#This Row],[Destination]]="","",IFERROR(INDEX(tblDestinations[Type],MATCH(tblMovement[[#This Row],[Destination]],tblDestinations[Destination],0)),"?"))</f>
        <v/>
      </c>
      <c r="M3684" s="64">
        <f>IF(tblMovement[[#This Row],[Material]]="","",IF(LEFT(tblMovement[[#This Row],[Material]],3)="Ore",1,0))</f>
        <v/>
      </c>
      <c r="N3684" s="59">
        <f>IF(OR(tblMovement[[#This Row],[Tonnes_t]]="",tblMovement[[#This Row],[Grade_gpt]]=""),0,tblMovement[[#This Row],[Tonnes_t]]*tblMovement[[#This Row],[Grade_gpt]]/cfg_TroyOz)</f>
        <v/>
      </c>
      <c r="O3684" s="59">
        <f>IF(tblMovement[[#This Row],[Is_Ore]]=1,tblMovement[[#This Row],[Contained_oz]],0)</f>
        <v/>
      </c>
    </row>
    <row r="3685">
      <c r="A3685" s="54" t="n"/>
      <c r="B3685" s="61" t="n"/>
      <c r="C3685" s="61" t="n"/>
      <c r="D3685" s="61" t="n"/>
      <c r="E3685" s="61" t="n"/>
      <c r="F3685" s="55" t="n"/>
      <c r="G3685" s="56" t="n"/>
      <c r="H3685" s="55" t="n"/>
      <c r="I3685" s="62" t="n"/>
      <c r="J3685" s="58" t="n"/>
      <c r="K3685" s="63">
        <f>IF(tblMovement[[#This Row],[Source]]="","",IFERROR(INDEX(tblSources[Type],MATCH(tblMovement[[#This Row],[Source]],tblSources[Source],0)),"?"))</f>
        <v/>
      </c>
      <c r="L3685" s="63">
        <f>IF(tblMovement[[#This Row],[Destination]]="","",IFERROR(INDEX(tblDestinations[Type],MATCH(tblMovement[[#This Row],[Destination]],tblDestinations[Destination],0)),"?"))</f>
        <v/>
      </c>
      <c r="M3685" s="64">
        <f>IF(tblMovement[[#This Row],[Material]]="","",IF(LEFT(tblMovement[[#This Row],[Material]],3)="Ore",1,0))</f>
        <v/>
      </c>
      <c r="N3685" s="59">
        <f>IF(OR(tblMovement[[#This Row],[Tonnes_t]]="",tblMovement[[#This Row],[Grade_gpt]]=""),0,tblMovement[[#This Row],[Tonnes_t]]*tblMovement[[#This Row],[Grade_gpt]]/cfg_TroyOz)</f>
        <v/>
      </c>
      <c r="O3685" s="59">
        <f>IF(tblMovement[[#This Row],[Is_Ore]]=1,tblMovement[[#This Row],[Contained_oz]],0)</f>
        <v/>
      </c>
    </row>
    <row r="3686">
      <c r="A3686" s="54" t="n"/>
      <c r="B3686" s="61" t="n"/>
      <c r="C3686" s="61" t="n"/>
      <c r="D3686" s="61" t="n"/>
      <c r="E3686" s="61" t="n"/>
      <c r="F3686" s="55" t="n"/>
      <c r="G3686" s="56" t="n"/>
      <c r="H3686" s="55" t="n"/>
      <c r="I3686" s="62" t="n"/>
      <c r="J3686" s="58" t="n"/>
      <c r="K3686" s="63">
        <f>IF(tblMovement[[#This Row],[Source]]="","",IFERROR(INDEX(tblSources[Type],MATCH(tblMovement[[#This Row],[Source]],tblSources[Source],0)),"?"))</f>
        <v/>
      </c>
      <c r="L3686" s="63">
        <f>IF(tblMovement[[#This Row],[Destination]]="","",IFERROR(INDEX(tblDestinations[Type],MATCH(tblMovement[[#This Row],[Destination]],tblDestinations[Destination],0)),"?"))</f>
        <v/>
      </c>
      <c r="M3686" s="64">
        <f>IF(tblMovement[[#This Row],[Material]]="","",IF(LEFT(tblMovement[[#This Row],[Material]],3)="Ore",1,0))</f>
        <v/>
      </c>
      <c r="N3686" s="59">
        <f>IF(OR(tblMovement[[#This Row],[Tonnes_t]]="",tblMovement[[#This Row],[Grade_gpt]]=""),0,tblMovement[[#This Row],[Tonnes_t]]*tblMovement[[#This Row],[Grade_gpt]]/cfg_TroyOz)</f>
        <v/>
      </c>
      <c r="O3686" s="59">
        <f>IF(tblMovement[[#This Row],[Is_Ore]]=1,tblMovement[[#This Row],[Contained_oz]],0)</f>
        <v/>
      </c>
    </row>
    <row r="3687">
      <c r="A3687" s="54" t="n"/>
      <c r="B3687" s="61" t="n"/>
      <c r="C3687" s="61" t="n"/>
      <c r="D3687" s="61" t="n"/>
      <c r="E3687" s="61" t="n"/>
      <c r="F3687" s="55" t="n"/>
      <c r="G3687" s="56" t="n"/>
      <c r="H3687" s="55" t="n"/>
      <c r="I3687" s="62" t="n"/>
      <c r="J3687" s="58" t="n"/>
      <c r="K3687" s="63">
        <f>IF(tblMovement[[#This Row],[Source]]="","",IFERROR(INDEX(tblSources[Type],MATCH(tblMovement[[#This Row],[Source]],tblSources[Source],0)),"?"))</f>
        <v/>
      </c>
      <c r="L3687" s="63">
        <f>IF(tblMovement[[#This Row],[Destination]]="","",IFERROR(INDEX(tblDestinations[Type],MATCH(tblMovement[[#This Row],[Destination]],tblDestinations[Destination],0)),"?"))</f>
        <v/>
      </c>
      <c r="M3687" s="64">
        <f>IF(tblMovement[[#This Row],[Material]]="","",IF(LEFT(tblMovement[[#This Row],[Material]],3)="Ore",1,0))</f>
        <v/>
      </c>
      <c r="N3687" s="59">
        <f>IF(OR(tblMovement[[#This Row],[Tonnes_t]]="",tblMovement[[#This Row],[Grade_gpt]]=""),0,tblMovement[[#This Row],[Tonnes_t]]*tblMovement[[#This Row],[Grade_gpt]]/cfg_TroyOz)</f>
        <v/>
      </c>
      <c r="O3687" s="59">
        <f>IF(tblMovement[[#This Row],[Is_Ore]]=1,tblMovement[[#This Row],[Contained_oz]],0)</f>
        <v/>
      </c>
    </row>
    <row r="3688">
      <c r="A3688" s="54" t="n"/>
      <c r="B3688" s="61" t="n"/>
      <c r="C3688" s="61" t="n"/>
      <c r="D3688" s="61" t="n"/>
      <c r="E3688" s="61" t="n"/>
      <c r="F3688" s="55" t="n"/>
      <c r="G3688" s="56" t="n"/>
      <c r="H3688" s="55" t="n"/>
      <c r="I3688" s="62" t="n"/>
      <c r="J3688" s="58" t="n"/>
      <c r="K3688" s="63">
        <f>IF(tblMovement[[#This Row],[Source]]="","",IFERROR(INDEX(tblSources[Type],MATCH(tblMovement[[#This Row],[Source]],tblSources[Source],0)),"?"))</f>
        <v/>
      </c>
      <c r="L3688" s="63">
        <f>IF(tblMovement[[#This Row],[Destination]]="","",IFERROR(INDEX(tblDestinations[Type],MATCH(tblMovement[[#This Row],[Destination]],tblDestinations[Destination],0)),"?"))</f>
        <v/>
      </c>
      <c r="M3688" s="64">
        <f>IF(tblMovement[[#This Row],[Material]]="","",IF(LEFT(tblMovement[[#This Row],[Material]],3)="Ore",1,0))</f>
        <v/>
      </c>
      <c r="N3688" s="59">
        <f>IF(OR(tblMovement[[#This Row],[Tonnes_t]]="",tblMovement[[#This Row],[Grade_gpt]]=""),0,tblMovement[[#This Row],[Tonnes_t]]*tblMovement[[#This Row],[Grade_gpt]]/cfg_TroyOz)</f>
        <v/>
      </c>
      <c r="O3688" s="59">
        <f>IF(tblMovement[[#This Row],[Is_Ore]]=1,tblMovement[[#This Row],[Contained_oz]],0)</f>
        <v/>
      </c>
    </row>
    <row r="3689">
      <c r="A3689" s="54" t="n"/>
      <c r="B3689" s="61" t="n"/>
      <c r="C3689" s="61" t="n"/>
      <c r="D3689" s="61" t="n"/>
      <c r="E3689" s="61" t="n"/>
      <c r="F3689" s="55" t="n"/>
      <c r="G3689" s="56" t="n"/>
      <c r="H3689" s="55" t="n"/>
      <c r="I3689" s="62" t="n"/>
      <c r="J3689" s="58" t="n"/>
      <c r="K3689" s="63">
        <f>IF(tblMovement[[#This Row],[Source]]="","",IFERROR(INDEX(tblSources[Type],MATCH(tblMovement[[#This Row],[Source]],tblSources[Source],0)),"?"))</f>
        <v/>
      </c>
      <c r="L3689" s="63">
        <f>IF(tblMovement[[#This Row],[Destination]]="","",IFERROR(INDEX(tblDestinations[Type],MATCH(tblMovement[[#This Row],[Destination]],tblDestinations[Destination],0)),"?"))</f>
        <v/>
      </c>
      <c r="M3689" s="64">
        <f>IF(tblMovement[[#This Row],[Material]]="","",IF(LEFT(tblMovement[[#This Row],[Material]],3)="Ore",1,0))</f>
        <v/>
      </c>
      <c r="N3689" s="59">
        <f>IF(OR(tblMovement[[#This Row],[Tonnes_t]]="",tblMovement[[#This Row],[Grade_gpt]]=""),0,tblMovement[[#This Row],[Tonnes_t]]*tblMovement[[#This Row],[Grade_gpt]]/cfg_TroyOz)</f>
        <v/>
      </c>
      <c r="O3689" s="59">
        <f>IF(tblMovement[[#This Row],[Is_Ore]]=1,tblMovement[[#This Row],[Contained_oz]],0)</f>
        <v/>
      </c>
    </row>
    <row r="3690">
      <c r="A3690" s="54" t="n"/>
      <c r="B3690" s="61" t="n"/>
      <c r="C3690" s="61" t="n"/>
      <c r="D3690" s="61" t="n"/>
      <c r="E3690" s="61" t="n"/>
      <c r="F3690" s="55" t="n"/>
      <c r="G3690" s="56" t="n"/>
      <c r="H3690" s="55" t="n"/>
      <c r="I3690" s="62" t="n"/>
      <c r="J3690" s="58" t="n"/>
      <c r="K3690" s="63">
        <f>IF(tblMovement[[#This Row],[Source]]="","",IFERROR(INDEX(tblSources[Type],MATCH(tblMovement[[#This Row],[Source]],tblSources[Source],0)),"?"))</f>
        <v/>
      </c>
      <c r="L3690" s="63">
        <f>IF(tblMovement[[#This Row],[Destination]]="","",IFERROR(INDEX(tblDestinations[Type],MATCH(tblMovement[[#This Row],[Destination]],tblDestinations[Destination],0)),"?"))</f>
        <v/>
      </c>
      <c r="M3690" s="64">
        <f>IF(tblMovement[[#This Row],[Material]]="","",IF(LEFT(tblMovement[[#This Row],[Material]],3)="Ore",1,0))</f>
        <v/>
      </c>
      <c r="N3690" s="59">
        <f>IF(OR(tblMovement[[#This Row],[Tonnes_t]]="",tblMovement[[#This Row],[Grade_gpt]]=""),0,tblMovement[[#This Row],[Tonnes_t]]*tblMovement[[#This Row],[Grade_gpt]]/cfg_TroyOz)</f>
        <v/>
      </c>
      <c r="O3690" s="59">
        <f>IF(tblMovement[[#This Row],[Is_Ore]]=1,tblMovement[[#This Row],[Contained_oz]],0)</f>
        <v/>
      </c>
    </row>
    <row r="3691">
      <c r="A3691" s="54" t="n"/>
      <c r="B3691" s="61" t="n"/>
      <c r="C3691" s="61" t="n"/>
      <c r="D3691" s="61" t="n"/>
      <c r="E3691" s="61" t="n"/>
      <c r="F3691" s="55" t="n"/>
      <c r="G3691" s="56" t="n"/>
      <c r="H3691" s="55" t="n"/>
      <c r="I3691" s="62" t="n"/>
      <c r="J3691" s="58" t="n"/>
      <c r="K3691" s="63">
        <f>IF(tblMovement[[#This Row],[Source]]="","",IFERROR(INDEX(tblSources[Type],MATCH(tblMovement[[#This Row],[Source]],tblSources[Source],0)),"?"))</f>
        <v/>
      </c>
      <c r="L3691" s="63">
        <f>IF(tblMovement[[#This Row],[Destination]]="","",IFERROR(INDEX(tblDestinations[Type],MATCH(tblMovement[[#This Row],[Destination]],tblDestinations[Destination],0)),"?"))</f>
        <v/>
      </c>
      <c r="M3691" s="64">
        <f>IF(tblMovement[[#This Row],[Material]]="","",IF(LEFT(tblMovement[[#This Row],[Material]],3)="Ore",1,0))</f>
        <v/>
      </c>
      <c r="N3691" s="59">
        <f>IF(OR(tblMovement[[#This Row],[Tonnes_t]]="",tblMovement[[#This Row],[Grade_gpt]]=""),0,tblMovement[[#This Row],[Tonnes_t]]*tblMovement[[#This Row],[Grade_gpt]]/cfg_TroyOz)</f>
        <v/>
      </c>
      <c r="O3691" s="59">
        <f>IF(tblMovement[[#This Row],[Is_Ore]]=1,tblMovement[[#This Row],[Contained_oz]],0)</f>
        <v/>
      </c>
    </row>
    <row r="3692">
      <c r="A3692" s="54" t="n"/>
      <c r="B3692" s="61" t="n"/>
      <c r="C3692" s="61" t="n"/>
      <c r="D3692" s="61" t="n"/>
      <c r="E3692" s="61" t="n"/>
      <c r="F3692" s="55" t="n"/>
      <c r="G3692" s="56" t="n"/>
      <c r="H3692" s="55" t="n"/>
      <c r="I3692" s="62" t="n"/>
      <c r="J3692" s="58" t="n"/>
      <c r="K3692" s="63">
        <f>IF(tblMovement[[#This Row],[Source]]="","",IFERROR(INDEX(tblSources[Type],MATCH(tblMovement[[#This Row],[Source]],tblSources[Source],0)),"?"))</f>
        <v/>
      </c>
      <c r="L3692" s="63">
        <f>IF(tblMovement[[#This Row],[Destination]]="","",IFERROR(INDEX(tblDestinations[Type],MATCH(tblMovement[[#This Row],[Destination]],tblDestinations[Destination],0)),"?"))</f>
        <v/>
      </c>
      <c r="M3692" s="64">
        <f>IF(tblMovement[[#This Row],[Material]]="","",IF(LEFT(tblMovement[[#This Row],[Material]],3)="Ore",1,0))</f>
        <v/>
      </c>
      <c r="N3692" s="59">
        <f>IF(OR(tblMovement[[#This Row],[Tonnes_t]]="",tblMovement[[#This Row],[Grade_gpt]]=""),0,tblMovement[[#This Row],[Tonnes_t]]*tblMovement[[#This Row],[Grade_gpt]]/cfg_TroyOz)</f>
        <v/>
      </c>
      <c r="O3692" s="59">
        <f>IF(tblMovement[[#This Row],[Is_Ore]]=1,tblMovement[[#This Row],[Contained_oz]],0)</f>
        <v/>
      </c>
    </row>
    <row r="3693">
      <c r="A3693" s="54" t="n"/>
      <c r="B3693" s="61" t="n"/>
      <c r="C3693" s="61" t="n"/>
      <c r="D3693" s="61" t="n"/>
      <c r="E3693" s="61" t="n"/>
      <c r="F3693" s="55" t="n"/>
      <c r="G3693" s="56" t="n"/>
      <c r="H3693" s="55" t="n"/>
      <c r="I3693" s="62" t="n"/>
      <c r="J3693" s="58" t="n"/>
      <c r="K3693" s="63">
        <f>IF(tblMovement[[#This Row],[Source]]="","",IFERROR(INDEX(tblSources[Type],MATCH(tblMovement[[#This Row],[Source]],tblSources[Source],0)),"?"))</f>
        <v/>
      </c>
      <c r="L3693" s="63">
        <f>IF(tblMovement[[#This Row],[Destination]]="","",IFERROR(INDEX(tblDestinations[Type],MATCH(tblMovement[[#This Row],[Destination]],tblDestinations[Destination],0)),"?"))</f>
        <v/>
      </c>
      <c r="M3693" s="64">
        <f>IF(tblMovement[[#This Row],[Material]]="","",IF(LEFT(tblMovement[[#This Row],[Material]],3)="Ore",1,0))</f>
        <v/>
      </c>
      <c r="N3693" s="59">
        <f>IF(OR(tblMovement[[#This Row],[Tonnes_t]]="",tblMovement[[#This Row],[Grade_gpt]]=""),0,tblMovement[[#This Row],[Tonnes_t]]*tblMovement[[#This Row],[Grade_gpt]]/cfg_TroyOz)</f>
        <v/>
      </c>
      <c r="O3693" s="59">
        <f>IF(tblMovement[[#This Row],[Is_Ore]]=1,tblMovement[[#This Row],[Contained_oz]],0)</f>
        <v/>
      </c>
    </row>
    <row r="3694">
      <c r="A3694" s="54" t="n"/>
      <c r="B3694" s="61" t="n"/>
      <c r="C3694" s="61" t="n"/>
      <c r="D3694" s="61" t="n"/>
      <c r="E3694" s="61" t="n"/>
      <c r="F3694" s="55" t="n"/>
      <c r="G3694" s="56" t="n"/>
      <c r="H3694" s="55" t="n"/>
      <c r="I3694" s="62" t="n"/>
      <c r="J3694" s="58" t="n"/>
      <c r="K3694" s="63">
        <f>IF(tblMovement[[#This Row],[Source]]="","",IFERROR(INDEX(tblSources[Type],MATCH(tblMovement[[#This Row],[Source]],tblSources[Source],0)),"?"))</f>
        <v/>
      </c>
      <c r="L3694" s="63">
        <f>IF(tblMovement[[#This Row],[Destination]]="","",IFERROR(INDEX(tblDestinations[Type],MATCH(tblMovement[[#This Row],[Destination]],tblDestinations[Destination],0)),"?"))</f>
        <v/>
      </c>
      <c r="M3694" s="64">
        <f>IF(tblMovement[[#This Row],[Material]]="","",IF(LEFT(tblMovement[[#This Row],[Material]],3)="Ore",1,0))</f>
        <v/>
      </c>
      <c r="N3694" s="59">
        <f>IF(OR(tblMovement[[#This Row],[Tonnes_t]]="",tblMovement[[#This Row],[Grade_gpt]]=""),0,tblMovement[[#This Row],[Tonnes_t]]*tblMovement[[#This Row],[Grade_gpt]]/cfg_TroyOz)</f>
        <v/>
      </c>
      <c r="O3694" s="59">
        <f>IF(tblMovement[[#This Row],[Is_Ore]]=1,tblMovement[[#This Row],[Contained_oz]],0)</f>
        <v/>
      </c>
    </row>
    <row r="3695">
      <c r="A3695" s="54" t="n"/>
      <c r="B3695" s="61" t="n"/>
      <c r="C3695" s="61" t="n"/>
      <c r="D3695" s="61" t="n"/>
      <c r="E3695" s="61" t="n"/>
      <c r="F3695" s="55" t="n"/>
      <c r="G3695" s="56" t="n"/>
      <c r="H3695" s="55" t="n"/>
      <c r="I3695" s="62" t="n"/>
      <c r="J3695" s="58" t="n"/>
      <c r="K3695" s="63">
        <f>IF(tblMovement[[#This Row],[Source]]="","",IFERROR(INDEX(tblSources[Type],MATCH(tblMovement[[#This Row],[Source]],tblSources[Source],0)),"?"))</f>
        <v/>
      </c>
      <c r="L3695" s="63">
        <f>IF(tblMovement[[#This Row],[Destination]]="","",IFERROR(INDEX(tblDestinations[Type],MATCH(tblMovement[[#This Row],[Destination]],tblDestinations[Destination],0)),"?"))</f>
        <v/>
      </c>
      <c r="M3695" s="64">
        <f>IF(tblMovement[[#This Row],[Material]]="","",IF(LEFT(tblMovement[[#This Row],[Material]],3)="Ore",1,0))</f>
        <v/>
      </c>
      <c r="N3695" s="59">
        <f>IF(OR(tblMovement[[#This Row],[Tonnes_t]]="",tblMovement[[#This Row],[Grade_gpt]]=""),0,tblMovement[[#This Row],[Tonnes_t]]*tblMovement[[#This Row],[Grade_gpt]]/cfg_TroyOz)</f>
        <v/>
      </c>
      <c r="O3695" s="59">
        <f>IF(tblMovement[[#This Row],[Is_Ore]]=1,tblMovement[[#This Row],[Contained_oz]],0)</f>
        <v/>
      </c>
    </row>
    <row r="3696">
      <c r="A3696" s="54" t="n"/>
      <c r="B3696" s="61" t="n"/>
      <c r="C3696" s="61" t="n"/>
      <c r="D3696" s="61" t="n"/>
      <c r="E3696" s="61" t="n"/>
      <c r="F3696" s="55" t="n"/>
      <c r="G3696" s="56" t="n"/>
      <c r="H3696" s="55" t="n"/>
      <c r="I3696" s="62" t="n"/>
      <c r="J3696" s="58" t="n"/>
      <c r="K3696" s="63">
        <f>IF(tblMovement[[#This Row],[Source]]="","",IFERROR(INDEX(tblSources[Type],MATCH(tblMovement[[#This Row],[Source]],tblSources[Source],0)),"?"))</f>
        <v/>
      </c>
      <c r="L3696" s="63">
        <f>IF(tblMovement[[#This Row],[Destination]]="","",IFERROR(INDEX(tblDestinations[Type],MATCH(tblMovement[[#This Row],[Destination]],tblDestinations[Destination],0)),"?"))</f>
        <v/>
      </c>
      <c r="M3696" s="64">
        <f>IF(tblMovement[[#This Row],[Material]]="","",IF(LEFT(tblMovement[[#This Row],[Material]],3)="Ore",1,0))</f>
        <v/>
      </c>
      <c r="N3696" s="59">
        <f>IF(OR(tblMovement[[#This Row],[Tonnes_t]]="",tblMovement[[#This Row],[Grade_gpt]]=""),0,tblMovement[[#This Row],[Tonnes_t]]*tblMovement[[#This Row],[Grade_gpt]]/cfg_TroyOz)</f>
        <v/>
      </c>
      <c r="O3696" s="59">
        <f>IF(tblMovement[[#This Row],[Is_Ore]]=1,tblMovement[[#This Row],[Contained_oz]],0)</f>
        <v/>
      </c>
    </row>
    <row r="3697">
      <c r="A3697" s="54" t="n"/>
      <c r="B3697" s="61" t="n"/>
      <c r="C3697" s="61" t="n"/>
      <c r="D3697" s="61" t="n"/>
      <c r="E3697" s="61" t="n"/>
      <c r="F3697" s="55" t="n"/>
      <c r="G3697" s="56" t="n"/>
      <c r="H3697" s="55" t="n"/>
      <c r="I3697" s="62" t="n"/>
      <c r="J3697" s="58" t="n"/>
      <c r="K3697" s="63">
        <f>IF(tblMovement[[#This Row],[Source]]="","",IFERROR(INDEX(tblSources[Type],MATCH(tblMovement[[#This Row],[Source]],tblSources[Source],0)),"?"))</f>
        <v/>
      </c>
      <c r="L3697" s="63">
        <f>IF(tblMovement[[#This Row],[Destination]]="","",IFERROR(INDEX(tblDestinations[Type],MATCH(tblMovement[[#This Row],[Destination]],tblDestinations[Destination],0)),"?"))</f>
        <v/>
      </c>
      <c r="M3697" s="64">
        <f>IF(tblMovement[[#This Row],[Material]]="","",IF(LEFT(tblMovement[[#This Row],[Material]],3)="Ore",1,0))</f>
        <v/>
      </c>
      <c r="N3697" s="59">
        <f>IF(OR(tblMovement[[#This Row],[Tonnes_t]]="",tblMovement[[#This Row],[Grade_gpt]]=""),0,tblMovement[[#This Row],[Tonnes_t]]*tblMovement[[#This Row],[Grade_gpt]]/cfg_TroyOz)</f>
        <v/>
      </c>
      <c r="O3697" s="59">
        <f>IF(tblMovement[[#This Row],[Is_Ore]]=1,tblMovement[[#This Row],[Contained_oz]],0)</f>
        <v/>
      </c>
    </row>
    <row r="3698">
      <c r="A3698" s="54" t="n"/>
      <c r="B3698" s="61" t="n"/>
      <c r="C3698" s="61" t="n"/>
      <c r="D3698" s="61" t="n"/>
      <c r="E3698" s="61" t="n"/>
      <c r="F3698" s="55" t="n"/>
      <c r="G3698" s="56" t="n"/>
      <c r="H3698" s="55" t="n"/>
      <c r="I3698" s="62" t="n"/>
      <c r="J3698" s="58" t="n"/>
      <c r="K3698" s="63">
        <f>IF(tblMovement[[#This Row],[Source]]="","",IFERROR(INDEX(tblSources[Type],MATCH(tblMovement[[#This Row],[Source]],tblSources[Source],0)),"?"))</f>
        <v/>
      </c>
      <c r="L3698" s="63">
        <f>IF(tblMovement[[#This Row],[Destination]]="","",IFERROR(INDEX(tblDestinations[Type],MATCH(tblMovement[[#This Row],[Destination]],tblDestinations[Destination],0)),"?"))</f>
        <v/>
      </c>
      <c r="M3698" s="64">
        <f>IF(tblMovement[[#This Row],[Material]]="","",IF(LEFT(tblMovement[[#This Row],[Material]],3)="Ore",1,0))</f>
        <v/>
      </c>
      <c r="N3698" s="59">
        <f>IF(OR(tblMovement[[#This Row],[Tonnes_t]]="",tblMovement[[#This Row],[Grade_gpt]]=""),0,tblMovement[[#This Row],[Tonnes_t]]*tblMovement[[#This Row],[Grade_gpt]]/cfg_TroyOz)</f>
        <v/>
      </c>
      <c r="O3698" s="59">
        <f>IF(tblMovement[[#This Row],[Is_Ore]]=1,tblMovement[[#This Row],[Contained_oz]],0)</f>
        <v/>
      </c>
    </row>
    <row r="3699">
      <c r="A3699" s="54" t="n"/>
      <c r="B3699" s="61" t="n"/>
      <c r="C3699" s="61" t="n"/>
      <c r="D3699" s="61" t="n"/>
      <c r="E3699" s="61" t="n"/>
      <c r="F3699" s="55" t="n"/>
      <c r="G3699" s="56" t="n"/>
      <c r="H3699" s="55" t="n"/>
      <c r="I3699" s="62" t="n"/>
      <c r="J3699" s="58" t="n"/>
      <c r="K3699" s="63">
        <f>IF(tblMovement[[#This Row],[Source]]="","",IFERROR(INDEX(tblSources[Type],MATCH(tblMovement[[#This Row],[Source]],tblSources[Source],0)),"?"))</f>
        <v/>
      </c>
      <c r="L3699" s="63">
        <f>IF(tblMovement[[#This Row],[Destination]]="","",IFERROR(INDEX(tblDestinations[Type],MATCH(tblMovement[[#This Row],[Destination]],tblDestinations[Destination],0)),"?"))</f>
        <v/>
      </c>
      <c r="M3699" s="64">
        <f>IF(tblMovement[[#This Row],[Material]]="","",IF(LEFT(tblMovement[[#This Row],[Material]],3)="Ore",1,0))</f>
        <v/>
      </c>
      <c r="N3699" s="59">
        <f>IF(OR(tblMovement[[#This Row],[Tonnes_t]]="",tblMovement[[#This Row],[Grade_gpt]]=""),0,tblMovement[[#This Row],[Tonnes_t]]*tblMovement[[#This Row],[Grade_gpt]]/cfg_TroyOz)</f>
        <v/>
      </c>
      <c r="O3699" s="59">
        <f>IF(tblMovement[[#This Row],[Is_Ore]]=1,tblMovement[[#This Row],[Contained_oz]],0)</f>
        <v/>
      </c>
    </row>
    <row r="3700">
      <c r="A3700" s="54" t="n"/>
      <c r="B3700" s="61" t="n"/>
      <c r="C3700" s="61" t="n"/>
      <c r="D3700" s="61" t="n"/>
      <c r="E3700" s="61" t="n"/>
      <c r="F3700" s="55" t="n"/>
      <c r="G3700" s="56" t="n"/>
      <c r="H3700" s="55" t="n"/>
      <c r="I3700" s="62" t="n"/>
      <c r="J3700" s="58" t="n"/>
      <c r="K3700" s="63">
        <f>IF(tblMovement[[#This Row],[Source]]="","",IFERROR(INDEX(tblSources[Type],MATCH(tblMovement[[#This Row],[Source]],tblSources[Source],0)),"?"))</f>
        <v/>
      </c>
      <c r="L3700" s="63">
        <f>IF(tblMovement[[#This Row],[Destination]]="","",IFERROR(INDEX(tblDestinations[Type],MATCH(tblMovement[[#This Row],[Destination]],tblDestinations[Destination],0)),"?"))</f>
        <v/>
      </c>
      <c r="M3700" s="64">
        <f>IF(tblMovement[[#This Row],[Material]]="","",IF(LEFT(tblMovement[[#This Row],[Material]],3)="Ore",1,0))</f>
        <v/>
      </c>
      <c r="N3700" s="59">
        <f>IF(OR(tblMovement[[#This Row],[Tonnes_t]]="",tblMovement[[#This Row],[Grade_gpt]]=""),0,tblMovement[[#This Row],[Tonnes_t]]*tblMovement[[#This Row],[Grade_gpt]]/cfg_TroyOz)</f>
        <v/>
      </c>
      <c r="O3700" s="59">
        <f>IF(tblMovement[[#This Row],[Is_Ore]]=1,tblMovement[[#This Row],[Contained_oz]],0)</f>
        <v/>
      </c>
    </row>
    <row r="3701">
      <c r="A3701" s="54" t="n"/>
      <c r="B3701" s="61" t="n"/>
      <c r="C3701" s="61" t="n"/>
      <c r="D3701" s="61" t="n"/>
      <c r="E3701" s="61" t="n"/>
      <c r="F3701" s="55" t="n"/>
      <c r="G3701" s="56" t="n"/>
      <c r="H3701" s="55" t="n"/>
      <c r="I3701" s="62" t="n"/>
      <c r="J3701" s="58" t="n"/>
      <c r="K3701" s="63">
        <f>IF(tblMovement[[#This Row],[Source]]="","",IFERROR(INDEX(tblSources[Type],MATCH(tblMovement[[#This Row],[Source]],tblSources[Source],0)),"?"))</f>
        <v/>
      </c>
      <c r="L3701" s="63">
        <f>IF(tblMovement[[#This Row],[Destination]]="","",IFERROR(INDEX(tblDestinations[Type],MATCH(tblMovement[[#This Row],[Destination]],tblDestinations[Destination],0)),"?"))</f>
        <v/>
      </c>
      <c r="M3701" s="64">
        <f>IF(tblMovement[[#This Row],[Material]]="","",IF(LEFT(tblMovement[[#This Row],[Material]],3)="Ore",1,0))</f>
        <v/>
      </c>
      <c r="N3701" s="59">
        <f>IF(OR(tblMovement[[#This Row],[Tonnes_t]]="",tblMovement[[#This Row],[Grade_gpt]]=""),0,tblMovement[[#This Row],[Tonnes_t]]*tblMovement[[#This Row],[Grade_gpt]]/cfg_TroyOz)</f>
        <v/>
      </c>
      <c r="O3701" s="59">
        <f>IF(tblMovement[[#This Row],[Is_Ore]]=1,tblMovement[[#This Row],[Contained_oz]],0)</f>
        <v/>
      </c>
    </row>
    <row r="3702">
      <c r="A3702" s="54" t="n"/>
      <c r="B3702" s="61" t="n"/>
      <c r="C3702" s="61" t="n"/>
      <c r="D3702" s="61" t="n"/>
      <c r="E3702" s="61" t="n"/>
      <c r="F3702" s="55" t="n"/>
      <c r="G3702" s="56" t="n"/>
      <c r="H3702" s="55" t="n"/>
      <c r="I3702" s="62" t="n"/>
      <c r="J3702" s="58" t="n"/>
      <c r="K3702" s="63">
        <f>IF(tblMovement[[#This Row],[Source]]="","",IFERROR(INDEX(tblSources[Type],MATCH(tblMovement[[#This Row],[Source]],tblSources[Source],0)),"?"))</f>
        <v/>
      </c>
      <c r="L3702" s="63">
        <f>IF(tblMovement[[#This Row],[Destination]]="","",IFERROR(INDEX(tblDestinations[Type],MATCH(tblMovement[[#This Row],[Destination]],tblDestinations[Destination],0)),"?"))</f>
        <v/>
      </c>
      <c r="M3702" s="64">
        <f>IF(tblMovement[[#This Row],[Material]]="","",IF(LEFT(tblMovement[[#This Row],[Material]],3)="Ore",1,0))</f>
        <v/>
      </c>
      <c r="N3702" s="59">
        <f>IF(OR(tblMovement[[#This Row],[Tonnes_t]]="",tblMovement[[#This Row],[Grade_gpt]]=""),0,tblMovement[[#This Row],[Tonnes_t]]*tblMovement[[#This Row],[Grade_gpt]]/cfg_TroyOz)</f>
        <v/>
      </c>
      <c r="O3702" s="59">
        <f>IF(tblMovement[[#This Row],[Is_Ore]]=1,tblMovement[[#This Row],[Contained_oz]],0)</f>
        <v/>
      </c>
    </row>
    <row r="3703">
      <c r="A3703" s="54" t="n"/>
      <c r="B3703" s="61" t="n"/>
      <c r="C3703" s="61" t="n"/>
      <c r="D3703" s="61" t="n"/>
      <c r="E3703" s="61" t="n"/>
      <c r="F3703" s="55" t="n"/>
      <c r="G3703" s="56" t="n"/>
      <c r="H3703" s="55" t="n"/>
      <c r="I3703" s="62" t="n"/>
      <c r="J3703" s="58" t="n"/>
      <c r="K3703" s="63">
        <f>IF(tblMovement[[#This Row],[Source]]="","",IFERROR(INDEX(tblSources[Type],MATCH(tblMovement[[#This Row],[Source]],tblSources[Source],0)),"?"))</f>
        <v/>
      </c>
      <c r="L3703" s="63">
        <f>IF(tblMovement[[#This Row],[Destination]]="","",IFERROR(INDEX(tblDestinations[Type],MATCH(tblMovement[[#This Row],[Destination]],tblDestinations[Destination],0)),"?"))</f>
        <v/>
      </c>
      <c r="M3703" s="64">
        <f>IF(tblMovement[[#This Row],[Material]]="","",IF(LEFT(tblMovement[[#This Row],[Material]],3)="Ore",1,0))</f>
        <v/>
      </c>
      <c r="N3703" s="59">
        <f>IF(OR(tblMovement[[#This Row],[Tonnes_t]]="",tblMovement[[#This Row],[Grade_gpt]]=""),0,tblMovement[[#This Row],[Tonnes_t]]*tblMovement[[#This Row],[Grade_gpt]]/cfg_TroyOz)</f>
        <v/>
      </c>
      <c r="O3703" s="59">
        <f>IF(tblMovement[[#This Row],[Is_Ore]]=1,tblMovement[[#This Row],[Contained_oz]],0)</f>
        <v/>
      </c>
    </row>
    <row r="3704">
      <c r="A3704" s="54" t="n"/>
      <c r="B3704" s="61" t="n"/>
      <c r="C3704" s="61" t="n"/>
      <c r="D3704" s="61" t="n"/>
      <c r="E3704" s="61" t="n"/>
      <c r="F3704" s="55" t="n"/>
      <c r="G3704" s="56" t="n"/>
      <c r="H3704" s="55" t="n"/>
      <c r="I3704" s="62" t="n"/>
      <c r="J3704" s="58" t="n"/>
      <c r="K3704" s="63">
        <f>IF(tblMovement[[#This Row],[Source]]="","",IFERROR(INDEX(tblSources[Type],MATCH(tblMovement[[#This Row],[Source]],tblSources[Source],0)),"?"))</f>
        <v/>
      </c>
      <c r="L3704" s="63">
        <f>IF(tblMovement[[#This Row],[Destination]]="","",IFERROR(INDEX(tblDestinations[Type],MATCH(tblMovement[[#This Row],[Destination]],tblDestinations[Destination],0)),"?"))</f>
        <v/>
      </c>
      <c r="M3704" s="64">
        <f>IF(tblMovement[[#This Row],[Material]]="","",IF(LEFT(tblMovement[[#This Row],[Material]],3)="Ore",1,0))</f>
        <v/>
      </c>
      <c r="N3704" s="59">
        <f>IF(OR(tblMovement[[#This Row],[Tonnes_t]]="",tblMovement[[#This Row],[Grade_gpt]]=""),0,tblMovement[[#This Row],[Tonnes_t]]*tblMovement[[#This Row],[Grade_gpt]]/cfg_TroyOz)</f>
        <v/>
      </c>
      <c r="O3704" s="59">
        <f>IF(tblMovement[[#This Row],[Is_Ore]]=1,tblMovement[[#This Row],[Contained_oz]],0)</f>
        <v/>
      </c>
    </row>
    <row r="3705">
      <c r="A3705" s="54" t="n"/>
      <c r="B3705" s="61" t="n"/>
      <c r="C3705" s="61" t="n"/>
      <c r="D3705" s="61" t="n"/>
      <c r="E3705" s="61" t="n"/>
      <c r="F3705" s="55" t="n"/>
      <c r="G3705" s="56" t="n"/>
      <c r="H3705" s="55" t="n"/>
      <c r="I3705" s="62" t="n"/>
      <c r="J3705" s="58" t="n"/>
      <c r="K3705" s="63">
        <f>IF(tblMovement[[#This Row],[Source]]="","",IFERROR(INDEX(tblSources[Type],MATCH(tblMovement[[#This Row],[Source]],tblSources[Source],0)),"?"))</f>
        <v/>
      </c>
      <c r="L3705" s="63">
        <f>IF(tblMovement[[#This Row],[Destination]]="","",IFERROR(INDEX(tblDestinations[Type],MATCH(tblMovement[[#This Row],[Destination]],tblDestinations[Destination],0)),"?"))</f>
        <v/>
      </c>
      <c r="M3705" s="64">
        <f>IF(tblMovement[[#This Row],[Material]]="","",IF(LEFT(tblMovement[[#This Row],[Material]],3)="Ore",1,0))</f>
        <v/>
      </c>
      <c r="N3705" s="59">
        <f>IF(OR(tblMovement[[#This Row],[Tonnes_t]]="",tblMovement[[#This Row],[Grade_gpt]]=""),0,tblMovement[[#This Row],[Tonnes_t]]*tblMovement[[#This Row],[Grade_gpt]]/cfg_TroyOz)</f>
        <v/>
      </c>
      <c r="O3705" s="59">
        <f>IF(tblMovement[[#This Row],[Is_Ore]]=1,tblMovement[[#This Row],[Contained_oz]],0)</f>
        <v/>
      </c>
    </row>
    <row r="3706">
      <c r="A3706" s="54" t="n"/>
      <c r="B3706" s="61" t="n"/>
      <c r="C3706" s="61" t="n"/>
      <c r="D3706" s="61" t="n"/>
      <c r="E3706" s="61" t="n"/>
      <c r="F3706" s="55" t="n"/>
      <c r="G3706" s="56" t="n"/>
      <c r="H3706" s="55" t="n"/>
      <c r="I3706" s="62" t="n"/>
      <c r="J3706" s="58" t="n"/>
      <c r="K3706" s="63">
        <f>IF(tblMovement[[#This Row],[Source]]="","",IFERROR(INDEX(tblSources[Type],MATCH(tblMovement[[#This Row],[Source]],tblSources[Source],0)),"?"))</f>
        <v/>
      </c>
      <c r="L3706" s="63">
        <f>IF(tblMovement[[#This Row],[Destination]]="","",IFERROR(INDEX(tblDestinations[Type],MATCH(tblMovement[[#This Row],[Destination]],tblDestinations[Destination],0)),"?"))</f>
        <v/>
      </c>
      <c r="M3706" s="64">
        <f>IF(tblMovement[[#This Row],[Material]]="","",IF(LEFT(tblMovement[[#This Row],[Material]],3)="Ore",1,0))</f>
        <v/>
      </c>
      <c r="N3706" s="59">
        <f>IF(OR(tblMovement[[#This Row],[Tonnes_t]]="",tblMovement[[#This Row],[Grade_gpt]]=""),0,tblMovement[[#This Row],[Tonnes_t]]*tblMovement[[#This Row],[Grade_gpt]]/cfg_TroyOz)</f>
        <v/>
      </c>
      <c r="O3706" s="59">
        <f>IF(tblMovement[[#This Row],[Is_Ore]]=1,tblMovement[[#This Row],[Contained_oz]],0)</f>
        <v/>
      </c>
    </row>
    <row r="3707">
      <c r="A3707" s="54" t="n"/>
      <c r="B3707" s="61" t="n"/>
      <c r="C3707" s="61" t="n"/>
      <c r="D3707" s="61" t="n"/>
      <c r="E3707" s="61" t="n"/>
      <c r="F3707" s="55" t="n"/>
      <c r="G3707" s="56" t="n"/>
      <c r="H3707" s="55" t="n"/>
      <c r="I3707" s="62" t="n"/>
      <c r="J3707" s="58" t="n"/>
      <c r="K3707" s="63">
        <f>IF(tblMovement[[#This Row],[Source]]="","",IFERROR(INDEX(tblSources[Type],MATCH(tblMovement[[#This Row],[Source]],tblSources[Source],0)),"?"))</f>
        <v/>
      </c>
      <c r="L3707" s="63">
        <f>IF(tblMovement[[#This Row],[Destination]]="","",IFERROR(INDEX(tblDestinations[Type],MATCH(tblMovement[[#This Row],[Destination]],tblDestinations[Destination],0)),"?"))</f>
        <v/>
      </c>
      <c r="M3707" s="64">
        <f>IF(tblMovement[[#This Row],[Material]]="","",IF(LEFT(tblMovement[[#This Row],[Material]],3)="Ore",1,0))</f>
        <v/>
      </c>
      <c r="N3707" s="59">
        <f>IF(OR(tblMovement[[#This Row],[Tonnes_t]]="",tblMovement[[#This Row],[Grade_gpt]]=""),0,tblMovement[[#This Row],[Tonnes_t]]*tblMovement[[#This Row],[Grade_gpt]]/cfg_TroyOz)</f>
        <v/>
      </c>
      <c r="O3707" s="59">
        <f>IF(tblMovement[[#This Row],[Is_Ore]]=1,tblMovement[[#This Row],[Contained_oz]],0)</f>
        <v/>
      </c>
    </row>
    <row r="3708">
      <c r="A3708" s="54" t="n"/>
      <c r="B3708" s="61" t="n"/>
      <c r="C3708" s="61" t="n"/>
      <c r="D3708" s="61" t="n"/>
      <c r="E3708" s="61" t="n"/>
      <c r="F3708" s="55" t="n"/>
      <c r="G3708" s="56" t="n"/>
      <c r="H3708" s="55" t="n"/>
      <c r="I3708" s="62" t="n"/>
      <c r="J3708" s="58" t="n"/>
      <c r="K3708" s="63">
        <f>IF(tblMovement[[#This Row],[Source]]="","",IFERROR(INDEX(tblSources[Type],MATCH(tblMovement[[#This Row],[Source]],tblSources[Source],0)),"?"))</f>
        <v/>
      </c>
      <c r="L3708" s="63">
        <f>IF(tblMovement[[#This Row],[Destination]]="","",IFERROR(INDEX(tblDestinations[Type],MATCH(tblMovement[[#This Row],[Destination]],tblDestinations[Destination],0)),"?"))</f>
        <v/>
      </c>
      <c r="M3708" s="64">
        <f>IF(tblMovement[[#This Row],[Material]]="","",IF(LEFT(tblMovement[[#This Row],[Material]],3)="Ore",1,0))</f>
        <v/>
      </c>
      <c r="N3708" s="59">
        <f>IF(OR(tblMovement[[#This Row],[Tonnes_t]]="",tblMovement[[#This Row],[Grade_gpt]]=""),0,tblMovement[[#This Row],[Tonnes_t]]*tblMovement[[#This Row],[Grade_gpt]]/cfg_TroyOz)</f>
        <v/>
      </c>
      <c r="O3708" s="59">
        <f>IF(tblMovement[[#This Row],[Is_Ore]]=1,tblMovement[[#This Row],[Contained_oz]],0)</f>
        <v/>
      </c>
    </row>
    <row r="3709">
      <c r="A3709" s="54" t="n"/>
      <c r="B3709" s="61" t="n"/>
      <c r="C3709" s="61" t="n"/>
      <c r="D3709" s="61" t="n"/>
      <c r="E3709" s="61" t="n"/>
      <c r="F3709" s="55" t="n"/>
      <c r="G3709" s="56" t="n"/>
      <c r="H3709" s="55" t="n"/>
      <c r="I3709" s="62" t="n"/>
      <c r="J3709" s="58" t="n"/>
      <c r="K3709" s="63">
        <f>IF(tblMovement[[#This Row],[Source]]="","",IFERROR(INDEX(tblSources[Type],MATCH(tblMovement[[#This Row],[Source]],tblSources[Source],0)),"?"))</f>
        <v/>
      </c>
      <c r="L3709" s="63">
        <f>IF(tblMovement[[#This Row],[Destination]]="","",IFERROR(INDEX(tblDestinations[Type],MATCH(tblMovement[[#This Row],[Destination]],tblDestinations[Destination],0)),"?"))</f>
        <v/>
      </c>
      <c r="M3709" s="64">
        <f>IF(tblMovement[[#This Row],[Material]]="","",IF(LEFT(tblMovement[[#This Row],[Material]],3)="Ore",1,0))</f>
        <v/>
      </c>
      <c r="N3709" s="59">
        <f>IF(OR(tblMovement[[#This Row],[Tonnes_t]]="",tblMovement[[#This Row],[Grade_gpt]]=""),0,tblMovement[[#This Row],[Tonnes_t]]*tblMovement[[#This Row],[Grade_gpt]]/cfg_TroyOz)</f>
        <v/>
      </c>
      <c r="O3709" s="59">
        <f>IF(tblMovement[[#This Row],[Is_Ore]]=1,tblMovement[[#This Row],[Contained_oz]],0)</f>
        <v/>
      </c>
    </row>
    <row r="3710">
      <c r="A3710" s="54" t="n"/>
      <c r="B3710" s="61" t="n"/>
      <c r="C3710" s="61" t="n"/>
      <c r="D3710" s="61" t="n"/>
      <c r="E3710" s="61" t="n"/>
      <c r="F3710" s="55" t="n"/>
      <c r="G3710" s="56" t="n"/>
      <c r="H3710" s="55" t="n"/>
      <c r="I3710" s="62" t="n"/>
      <c r="J3710" s="58" t="n"/>
      <c r="K3710" s="63">
        <f>IF(tblMovement[[#This Row],[Source]]="","",IFERROR(INDEX(tblSources[Type],MATCH(tblMovement[[#This Row],[Source]],tblSources[Source],0)),"?"))</f>
        <v/>
      </c>
      <c r="L3710" s="63">
        <f>IF(tblMovement[[#This Row],[Destination]]="","",IFERROR(INDEX(tblDestinations[Type],MATCH(tblMovement[[#This Row],[Destination]],tblDestinations[Destination],0)),"?"))</f>
        <v/>
      </c>
      <c r="M3710" s="64">
        <f>IF(tblMovement[[#This Row],[Material]]="","",IF(LEFT(tblMovement[[#This Row],[Material]],3)="Ore",1,0))</f>
        <v/>
      </c>
      <c r="N3710" s="59">
        <f>IF(OR(tblMovement[[#This Row],[Tonnes_t]]="",tblMovement[[#This Row],[Grade_gpt]]=""),0,tblMovement[[#This Row],[Tonnes_t]]*tblMovement[[#This Row],[Grade_gpt]]/cfg_TroyOz)</f>
        <v/>
      </c>
      <c r="O3710" s="59">
        <f>IF(tblMovement[[#This Row],[Is_Ore]]=1,tblMovement[[#This Row],[Contained_oz]],0)</f>
        <v/>
      </c>
    </row>
    <row r="3711">
      <c r="A3711" s="54" t="n"/>
      <c r="B3711" s="61" t="n"/>
      <c r="C3711" s="61" t="n"/>
      <c r="D3711" s="61" t="n"/>
      <c r="E3711" s="61" t="n"/>
      <c r="F3711" s="55" t="n"/>
      <c r="G3711" s="56" t="n"/>
      <c r="H3711" s="55" t="n"/>
      <c r="I3711" s="62" t="n"/>
      <c r="J3711" s="58" t="n"/>
      <c r="K3711" s="63">
        <f>IF(tblMovement[[#This Row],[Source]]="","",IFERROR(INDEX(tblSources[Type],MATCH(tblMovement[[#This Row],[Source]],tblSources[Source],0)),"?"))</f>
        <v/>
      </c>
      <c r="L3711" s="63">
        <f>IF(tblMovement[[#This Row],[Destination]]="","",IFERROR(INDEX(tblDestinations[Type],MATCH(tblMovement[[#This Row],[Destination]],tblDestinations[Destination],0)),"?"))</f>
        <v/>
      </c>
      <c r="M3711" s="64">
        <f>IF(tblMovement[[#This Row],[Material]]="","",IF(LEFT(tblMovement[[#This Row],[Material]],3)="Ore",1,0))</f>
        <v/>
      </c>
      <c r="N3711" s="59">
        <f>IF(OR(tblMovement[[#This Row],[Tonnes_t]]="",tblMovement[[#This Row],[Grade_gpt]]=""),0,tblMovement[[#This Row],[Tonnes_t]]*tblMovement[[#This Row],[Grade_gpt]]/cfg_TroyOz)</f>
        <v/>
      </c>
      <c r="O3711" s="59">
        <f>IF(tblMovement[[#This Row],[Is_Ore]]=1,tblMovement[[#This Row],[Contained_oz]],0)</f>
        <v/>
      </c>
    </row>
    <row r="3712">
      <c r="A3712" s="54" t="n"/>
      <c r="B3712" s="61" t="n"/>
      <c r="C3712" s="61" t="n"/>
      <c r="D3712" s="61" t="n"/>
      <c r="E3712" s="61" t="n"/>
      <c r="F3712" s="55" t="n"/>
      <c r="G3712" s="56" t="n"/>
      <c r="H3712" s="55" t="n"/>
      <c r="I3712" s="62" t="n"/>
      <c r="J3712" s="58" t="n"/>
      <c r="K3712" s="63">
        <f>IF(tblMovement[[#This Row],[Source]]="","",IFERROR(INDEX(tblSources[Type],MATCH(tblMovement[[#This Row],[Source]],tblSources[Source],0)),"?"))</f>
        <v/>
      </c>
      <c r="L3712" s="63">
        <f>IF(tblMovement[[#This Row],[Destination]]="","",IFERROR(INDEX(tblDestinations[Type],MATCH(tblMovement[[#This Row],[Destination]],tblDestinations[Destination],0)),"?"))</f>
        <v/>
      </c>
      <c r="M3712" s="64">
        <f>IF(tblMovement[[#This Row],[Material]]="","",IF(LEFT(tblMovement[[#This Row],[Material]],3)="Ore",1,0))</f>
        <v/>
      </c>
      <c r="N3712" s="59">
        <f>IF(OR(tblMovement[[#This Row],[Tonnes_t]]="",tblMovement[[#This Row],[Grade_gpt]]=""),0,tblMovement[[#This Row],[Tonnes_t]]*tblMovement[[#This Row],[Grade_gpt]]/cfg_TroyOz)</f>
        <v/>
      </c>
      <c r="O3712" s="59">
        <f>IF(tblMovement[[#This Row],[Is_Ore]]=1,tblMovement[[#This Row],[Contained_oz]],0)</f>
        <v/>
      </c>
    </row>
    <row r="3713">
      <c r="A3713" s="54" t="n"/>
      <c r="B3713" s="61" t="n"/>
      <c r="C3713" s="61" t="n"/>
      <c r="D3713" s="61" t="n"/>
      <c r="E3713" s="61" t="n"/>
      <c r="F3713" s="55" t="n"/>
      <c r="G3713" s="56" t="n"/>
      <c r="H3713" s="55" t="n"/>
      <c r="I3713" s="62" t="n"/>
      <c r="J3713" s="58" t="n"/>
      <c r="K3713" s="63">
        <f>IF(tblMovement[[#This Row],[Source]]="","",IFERROR(INDEX(tblSources[Type],MATCH(tblMovement[[#This Row],[Source]],tblSources[Source],0)),"?"))</f>
        <v/>
      </c>
      <c r="L3713" s="63">
        <f>IF(tblMovement[[#This Row],[Destination]]="","",IFERROR(INDEX(tblDestinations[Type],MATCH(tblMovement[[#This Row],[Destination]],tblDestinations[Destination],0)),"?"))</f>
        <v/>
      </c>
      <c r="M3713" s="64">
        <f>IF(tblMovement[[#This Row],[Material]]="","",IF(LEFT(tblMovement[[#This Row],[Material]],3)="Ore",1,0))</f>
        <v/>
      </c>
      <c r="N3713" s="59">
        <f>IF(OR(tblMovement[[#This Row],[Tonnes_t]]="",tblMovement[[#This Row],[Grade_gpt]]=""),0,tblMovement[[#This Row],[Tonnes_t]]*tblMovement[[#This Row],[Grade_gpt]]/cfg_TroyOz)</f>
        <v/>
      </c>
      <c r="O3713" s="59">
        <f>IF(tblMovement[[#This Row],[Is_Ore]]=1,tblMovement[[#This Row],[Contained_oz]],0)</f>
        <v/>
      </c>
    </row>
    <row r="3714">
      <c r="A3714" s="54" t="n"/>
      <c r="B3714" s="61" t="n"/>
      <c r="C3714" s="61" t="n"/>
      <c r="D3714" s="61" t="n"/>
      <c r="E3714" s="61" t="n"/>
      <c r="F3714" s="55" t="n"/>
      <c r="G3714" s="56" t="n"/>
      <c r="H3714" s="55" t="n"/>
      <c r="I3714" s="62" t="n"/>
      <c r="J3714" s="58" t="n"/>
      <c r="K3714" s="63">
        <f>IF(tblMovement[[#This Row],[Source]]="","",IFERROR(INDEX(tblSources[Type],MATCH(tblMovement[[#This Row],[Source]],tblSources[Source],0)),"?"))</f>
        <v/>
      </c>
      <c r="L3714" s="63">
        <f>IF(tblMovement[[#This Row],[Destination]]="","",IFERROR(INDEX(tblDestinations[Type],MATCH(tblMovement[[#This Row],[Destination]],tblDestinations[Destination],0)),"?"))</f>
        <v/>
      </c>
      <c r="M3714" s="64">
        <f>IF(tblMovement[[#This Row],[Material]]="","",IF(LEFT(tblMovement[[#This Row],[Material]],3)="Ore",1,0))</f>
        <v/>
      </c>
      <c r="N3714" s="59">
        <f>IF(OR(tblMovement[[#This Row],[Tonnes_t]]="",tblMovement[[#This Row],[Grade_gpt]]=""),0,tblMovement[[#This Row],[Tonnes_t]]*tblMovement[[#This Row],[Grade_gpt]]/cfg_TroyOz)</f>
        <v/>
      </c>
      <c r="O3714" s="59">
        <f>IF(tblMovement[[#This Row],[Is_Ore]]=1,tblMovement[[#This Row],[Contained_oz]],0)</f>
        <v/>
      </c>
    </row>
    <row r="3715">
      <c r="A3715" s="54" t="n"/>
      <c r="B3715" s="61" t="n"/>
      <c r="C3715" s="61" t="n"/>
      <c r="D3715" s="61" t="n"/>
      <c r="E3715" s="61" t="n"/>
      <c r="F3715" s="55" t="n"/>
      <c r="G3715" s="56" t="n"/>
      <c r="H3715" s="55" t="n"/>
      <c r="I3715" s="62" t="n"/>
      <c r="J3715" s="58" t="n"/>
      <c r="K3715" s="63">
        <f>IF(tblMovement[[#This Row],[Source]]="","",IFERROR(INDEX(tblSources[Type],MATCH(tblMovement[[#This Row],[Source]],tblSources[Source],0)),"?"))</f>
        <v/>
      </c>
      <c r="L3715" s="63">
        <f>IF(tblMovement[[#This Row],[Destination]]="","",IFERROR(INDEX(tblDestinations[Type],MATCH(tblMovement[[#This Row],[Destination]],tblDestinations[Destination],0)),"?"))</f>
        <v/>
      </c>
      <c r="M3715" s="64">
        <f>IF(tblMovement[[#This Row],[Material]]="","",IF(LEFT(tblMovement[[#This Row],[Material]],3)="Ore",1,0))</f>
        <v/>
      </c>
      <c r="N3715" s="59">
        <f>IF(OR(tblMovement[[#This Row],[Tonnes_t]]="",tblMovement[[#This Row],[Grade_gpt]]=""),0,tblMovement[[#This Row],[Tonnes_t]]*tblMovement[[#This Row],[Grade_gpt]]/cfg_TroyOz)</f>
        <v/>
      </c>
      <c r="O3715" s="59">
        <f>IF(tblMovement[[#This Row],[Is_Ore]]=1,tblMovement[[#This Row],[Contained_oz]],0)</f>
        <v/>
      </c>
    </row>
    <row r="3716">
      <c r="A3716" s="54" t="n"/>
      <c r="B3716" s="61" t="n"/>
      <c r="C3716" s="61" t="n"/>
      <c r="D3716" s="61" t="n"/>
      <c r="E3716" s="61" t="n"/>
      <c r="F3716" s="55" t="n"/>
      <c r="G3716" s="56" t="n"/>
      <c r="H3716" s="55" t="n"/>
      <c r="I3716" s="62" t="n"/>
      <c r="J3716" s="58" t="n"/>
      <c r="K3716" s="63">
        <f>IF(tblMovement[[#This Row],[Source]]="","",IFERROR(INDEX(tblSources[Type],MATCH(tblMovement[[#This Row],[Source]],tblSources[Source],0)),"?"))</f>
        <v/>
      </c>
      <c r="L3716" s="63">
        <f>IF(tblMovement[[#This Row],[Destination]]="","",IFERROR(INDEX(tblDestinations[Type],MATCH(tblMovement[[#This Row],[Destination]],tblDestinations[Destination],0)),"?"))</f>
        <v/>
      </c>
      <c r="M3716" s="64">
        <f>IF(tblMovement[[#This Row],[Material]]="","",IF(LEFT(tblMovement[[#This Row],[Material]],3)="Ore",1,0))</f>
        <v/>
      </c>
      <c r="N3716" s="59">
        <f>IF(OR(tblMovement[[#This Row],[Tonnes_t]]="",tblMovement[[#This Row],[Grade_gpt]]=""),0,tblMovement[[#This Row],[Tonnes_t]]*tblMovement[[#This Row],[Grade_gpt]]/cfg_TroyOz)</f>
        <v/>
      </c>
      <c r="O3716" s="59">
        <f>IF(tblMovement[[#This Row],[Is_Ore]]=1,tblMovement[[#This Row],[Contained_oz]],0)</f>
        <v/>
      </c>
    </row>
    <row r="3717">
      <c r="A3717" s="54" t="n"/>
      <c r="B3717" s="61" t="n"/>
      <c r="C3717" s="61" t="n"/>
      <c r="D3717" s="61" t="n"/>
      <c r="E3717" s="61" t="n"/>
      <c r="F3717" s="55" t="n"/>
      <c r="G3717" s="56" t="n"/>
      <c r="H3717" s="55" t="n"/>
      <c r="I3717" s="62" t="n"/>
      <c r="J3717" s="58" t="n"/>
      <c r="K3717" s="63">
        <f>IF(tblMovement[[#This Row],[Source]]="","",IFERROR(INDEX(tblSources[Type],MATCH(tblMovement[[#This Row],[Source]],tblSources[Source],0)),"?"))</f>
        <v/>
      </c>
      <c r="L3717" s="63">
        <f>IF(tblMovement[[#This Row],[Destination]]="","",IFERROR(INDEX(tblDestinations[Type],MATCH(tblMovement[[#This Row],[Destination]],tblDestinations[Destination],0)),"?"))</f>
        <v/>
      </c>
      <c r="M3717" s="64">
        <f>IF(tblMovement[[#This Row],[Material]]="","",IF(LEFT(tblMovement[[#This Row],[Material]],3)="Ore",1,0))</f>
        <v/>
      </c>
      <c r="N3717" s="59">
        <f>IF(OR(tblMovement[[#This Row],[Tonnes_t]]="",tblMovement[[#This Row],[Grade_gpt]]=""),0,tblMovement[[#This Row],[Tonnes_t]]*tblMovement[[#This Row],[Grade_gpt]]/cfg_TroyOz)</f>
        <v/>
      </c>
      <c r="O3717" s="59">
        <f>IF(tblMovement[[#This Row],[Is_Ore]]=1,tblMovement[[#This Row],[Contained_oz]],0)</f>
        <v/>
      </c>
    </row>
    <row r="3718">
      <c r="A3718" s="54" t="n"/>
      <c r="B3718" s="61" t="n"/>
      <c r="C3718" s="61" t="n"/>
      <c r="D3718" s="61" t="n"/>
      <c r="E3718" s="61" t="n"/>
      <c r="F3718" s="55" t="n"/>
      <c r="G3718" s="56" t="n"/>
      <c r="H3718" s="55" t="n"/>
      <c r="I3718" s="62" t="n"/>
      <c r="J3718" s="58" t="n"/>
      <c r="K3718" s="63">
        <f>IF(tblMovement[[#This Row],[Source]]="","",IFERROR(INDEX(tblSources[Type],MATCH(tblMovement[[#This Row],[Source]],tblSources[Source],0)),"?"))</f>
        <v/>
      </c>
      <c r="L3718" s="63">
        <f>IF(tblMovement[[#This Row],[Destination]]="","",IFERROR(INDEX(tblDestinations[Type],MATCH(tblMovement[[#This Row],[Destination]],tblDestinations[Destination],0)),"?"))</f>
        <v/>
      </c>
      <c r="M3718" s="64">
        <f>IF(tblMovement[[#This Row],[Material]]="","",IF(LEFT(tblMovement[[#This Row],[Material]],3)="Ore",1,0))</f>
        <v/>
      </c>
      <c r="N3718" s="59">
        <f>IF(OR(tblMovement[[#This Row],[Tonnes_t]]="",tblMovement[[#This Row],[Grade_gpt]]=""),0,tblMovement[[#This Row],[Tonnes_t]]*tblMovement[[#This Row],[Grade_gpt]]/cfg_TroyOz)</f>
        <v/>
      </c>
      <c r="O3718" s="59">
        <f>IF(tblMovement[[#This Row],[Is_Ore]]=1,tblMovement[[#This Row],[Contained_oz]],0)</f>
        <v/>
      </c>
    </row>
    <row r="3719">
      <c r="A3719" s="54" t="n"/>
      <c r="B3719" s="61" t="n"/>
      <c r="C3719" s="61" t="n"/>
      <c r="D3719" s="61" t="n"/>
      <c r="E3719" s="61" t="n"/>
      <c r="F3719" s="55" t="n"/>
      <c r="G3719" s="56" t="n"/>
      <c r="H3719" s="55" t="n"/>
      <c r="I3719" s="62" t="n"/>
      <c r="J3719" s="58" t="n"/>
      <c r="K3719" s="63">
        <f>IF(tblMovement[[#This Row],[Source]]="","",IFERROR(INDEX(tblSources[Type],MATCH(tblMovement[[#This Row],[Source]],tblSources[Source],0)),"?"))</f>
        <v/>
      </c>
      <c r="L3719" s="63">
        <f>IF(tblMovement[[#This Row],[Destination]]="","",IFERROR(INDEX(tblDestinations[Type],MATCH(tblMovement[[#This Row],[Destination]],tblDestinations[Destination],0)),"?"))</f>
        <v/>
      </c>
      <c r="M3719" s="64">
        <f>IF(tblMovement[[#This Row],[Material]]="","",IF(LEFT(tblMovement[[#This Row],[Material]],3)="Ore",1,0))</f>
        <v/>
      </c>
      <c r="N3719" s="59">
        <f>IF(OR(tblMovement[[#This Row],[Tonnes_t]]="",tblMovement[[#This Row],[Grade_gpt]]=""),0,tblMovement[[#This Row],[Tonnes_t]]*tblMovement[[#This Row],[Grade_gpt]]/cfg_TroyOz)</f>
        <v/>
      </c>
      <c r="O3719" s="59">
        <f>IF(tblMovement[[#This Row],[Is_Ore]]=1,tblMovement[[#This Row],[Contained_oz]],0)</f>
        <v/>
      </c>
    </row>
    <row r="3720">
      <c r="A3720" s="54" t="n"/>
      <c r="B3720" s="61" t="n"/>
      <c r="C3720" s="61" t="n"/>
      <c r="D3720" s="61" t="n"/>
      <c r="E3720" s="61" t="n"/>
      <c r="F3720" s="55" t="n"/>
      <c r="G3720" s="56" t="n"/>
      <c r="H3720" s="55" t="n"/>
      <c r="I3720" s="62" t="n"/>
      <c r="J3720" s="58" t="n"/>
      <c r="K3720" s="63">
        <f>IF(tblMovement[[#This Row],[Source]]="","",IFERROR(INDEX(tblSources[Type],MATCH(tblMovement[[#This Row],[Source]],tblSources[Source],0)),"?"))</f>
        <v/>
      </c>
      <c r="L3720" s="63">
        <f>IF(tblMovement[[#This Row],[Destination]]="","",IFERROR(INDEX(tblDestinations[Type],MATCH(tblMovement[[#This Row],[Destination]],tblDestinations[Destination],0)),"?"))</f>
        <v/>
      </c>
      <c r="M3720" s="64">
        <f>IF(tblMovement[[#This Row],[Material]]="","",IF(LEFT(tblMovement[[#This Row],[Material]],3)="Ore",1,0))</f>
        <v/>
      </c>
      <c r="N3720" s="59">
        <f>IF(OR(tblMovement[[#This Row],[Tonnes_t]]="",tblMovement[[#This Row],[Grade_gpt]]=""),0,tblMovement[[#This Row],[Tonnes_t]]*tblMovement[[#This Row],[Grade_gpt]]/cfg_TroyOz)</f>
        <v/>
      </c>
      <c r="O3720" s="59">
        <f>IF(tblMovement[[#This Row],[Is_Ore]]=1,tblMovement[[#This Row],[Contained_oz]],0)</f>
        <v/>
      </c>
    </row>
    <row r="3721">
      <c r="A3721" s="54" t="n"/>
      <c r="B3721" s="61" t="n"/>
      <c r="C3721" s="61" t="n"/>
      <c r="D3721" s="61" t="n"/>
      <c r="E3721" s="61" t="n"/>
      <c r="F3721" s="55" t="n"/>
      <c r="G3721" s="56" t="n"/>
      <c r="H3721" s="55" t="n"/>
      <c r="I3721" s="62" t="n"/>
      <c r="J3721" s="58" t="n"/>
      <c r="K3721" s="63">
        <f>IF(tblMovement[[#This Row],[Source]]="","",IFERROR(INDEX(tblSources[Type],MATCH(tblMovement[[#This Row],[Source]],tblSources[Source],0)),"?"))</f>
        <v/>
      </c>
      <c r="L3721" s="63">
        <f>IF(tblMovement[[#This Row],[Destination]]="","",IFERROR(INDEX(tblDestinations[Type],MATCH(tblMovement[[#This Row],[Destination]],tblDestinations[Destination],0)),"?"))</f>
        <v/>
      </c>
      <c r="M3721" s="64">
        <f>IF(tblMovement[[#This Row],[Material]]="","",IF(LEFT(tblMovement[[#This Row],[Material]],3)="Ore",1,0))</f>
        <v/>
      </c>
      <c r="N3721" s="59">
        <f>IF(OR(tblMovement[[#This Row],[Tonnes_t]]="",tblMovement[[#This Row],[Grade_gpt]]=""),0,tblMovement[[#This Row],[Tonnes_t]]*tblMovement[[#This Row],[Grade_gpt]]/cfg_TroyOz)</f>
        <v/>
      </c>
      <c r="O3721" s="59">
        <f>IF(tblMovement[[#This Row],[Is_Ore]]=1,tblMovement[[#This Row],[Contained_oz]],0)</f>
        <v/>
      </c>
    </row>
    <row r="3722">
      <c r="A3722" s="54" t="n"/>
      <c r="B3722" s="61" t="n"/>
      <c r="C3722" s="61" t="n"/>
      <c r="D3722" s="61" t="n"/>
      <c r="E3722" s="61" t="n"/>
      <c r="F3722" s="55" t="n"/>
      <c r="G3722" s="56" t="n"/>
      <c r="H3722" s="55" t="n"/>
      <c r="I3722" s="62" t="n"/>
      <c r="J3722" s="58" t="n"/>
      <c r="K3722" s="63">
        <f>IF(tblMovement[[#This Row],[Source]]="","",IFERROR(INDEX(tblSources[Type],MATCH(tblMovement[[#This Row],[Source]],tblSources[Source],0)),"?"))</f>
        <v/>
      </c>
      <c r="L3722" s="63">
        <f>IF(tblMovement[[#This Row],[Destination]]="","",IFERROR(INDEX(tblDestinations[Type],MATCH(tblMovement[[#This Row],[Destination]],tblDestinations[Destination],0)),"?"))</f>
        <v/>
      </c>
      <c r="M3722" s="64">
        <f>IF(tblMovement[[#This Row],[Material]]="","",IF(LEFT(tblMovement[[#This Row],[Material]],3)="Ore",1,0))</f>
        <v/>
      </c>
      <c r="N3722" s="59">
        <f>IF(OR(tblMovement[[#This Row],[Tonnes_t]]="",tblMovement[[#This Row],[Grade_gpt]]=""),0,tblMovement[[#This Row],[Tonnes_t]]*tblMovement[[#This Row],[Grade_gpt]]/cfg_TroyOz)</f>
        <v/>
      </c>
      <c r="O3722" s="59">
        <f>IF(tblMovement[[#This Row],[Is_Ore]]=1,tblMovement[[#This Row],[Contained_oz]],0)</f>
        <v/>
      </c>
    </row>
    <row r="3723">
      <c r="A3723" s="54" t="n"/>
      <c r="B3723" s="61" t="n"/>
      <c r="C3723" s="61" t="n"/>
      <c r="D3723" s="61" t="n"/>
      <c r="E3723" s="61" t="n"/>
      <c r="F3723" s="55" t="n"/>
      <c r="G3723" s="56" t="n"/>
      <c r="H3723" s="55" t="n"/>
      <c r="I3723" s="62" t="n"/>
      <c r="J3723" s="58" t="n"/>
      <c r="K3723" s="63">
        <f>IF(tblMovement[[#This Row],[Source]]="","",IFERROR(INDEX(tblSources[Type],MATCH(tblMovement[[#This Row],[Source]],tblSources[Source],0)),"?"))</f>
        <v/>
      </c>
      <c r="L3723" s="63">
        <f>IF(tblMovement[[#This Row],[Destination]]="","",IFERROR(INDEX(tblDestinations[Type],MATCH(tblMovement[[#This Row],[Destination]],tblDestinations[Destination],0)),"?"))</f>
        <v/>
      </c>
      <c r="M3723" s="64">
        <f>IF(tblMovement[[#This Row],[Material]]="","",IF(LEFT(tblMovement[[#This Row],[Material]],3)="Ore",1,0))</f>
        <v/>
      </c>
      <c r="N3723" s="59">
        <f>IF(OR(tblMovement[[#This Row],[Tonnes_t]]="",tblMovement[[#This Row],[Grade_gpt]]=""),0,tblMovement[[#This Row],[Tonnes_t]]*tblMovement[[#This Row],[Grade_gpt]]/cfg_TroyOz)</f>
        <v/>
      </c>
      <c r="O3723" s="59">
        <f>IF(tblMovement[[#This Row],[Is_Ore]]=1,tblMovement[[#This Row],[Contained_oz]],0)</f>
        <v/>
      </c>
    </row>
    <row r="3724">
      <c r="A3724" s="54" t="n"/>
      <c r="B3724" s="61" t="n"/>
      <c r="C3724" s="61" t="n"/>
      <c r="D3724" s="61" t="n"/>
      <c r="E3724" s="61" t="n"/>
      <c r="F3724" s="55" t="n"/>
      <c r="G3724" s="56" t="n"/>
      <c r="H3724" s="55" t="n"/>
      <c r="I3724" s="62" t="n"/>
      <c r="J3724" s="58" t="n"/>
      <c r="K3724" s="63">
        <f>IF(tblMovement[[#This Row],[Source]]="","",IFERROR(INDEX(tblSources[Type],MATCH(tblMovement[[#This Row],[Source]],tblSources[Source],0)),"?"))</f>
        <v/>
      </c>
      <c r="L3724" s="63">
        <f>IF(tblMovement[[#This Row],[Destination]]="","",IFERROR(INDEX(tblDestinations[Type],MATCH(tblMovement[[#This Row],[Destination]],tblDestinations[Destination],0)),"?"))</f>
        <v/>
      </c>
      <c r="M3724" s="64">
        <f>IF(tblMovement[[#This Row],[Material]]="","",IF(LEFT(tblMovement[[#This Row],[Material]],3)="Ore",1,0))</f>
        <v/>
      </c>
      <c r="N3724" s="59">
        <f>IF(OR(tblMovement[[#This Row],[Tonnes_t]]="",tblMovement[[#This Row],[Grade_gpt]]=""),0,tblMovement[[#This Row],[Tonnes_t]]*tblMovement[[#This Row],[Grade_gpt]]/cfg_TroyOz)</f>
        <v/>
      </c>
      <c r="O3724" s="59">
        <f>IF(tblMovement[[#This Row],[Is_Ore]]=1,tblMovement[[#This Row],[Contained_oz]],0)</f>
        <v/>
      </c>
    </row>
    <row r="3725">
      <c r="A3725" s="54" t="n"/>
      <c r="B3725" s="61" t="n"/>
      <c r="C3725" s="61" t="n"/>
      <c r="D3725" s="61" t="n"/>
      <c r="E3725" s="61" t="n"/>
      <c r="F3725" s="55" t="n"/>
      <c r="G3725" s="56" t="n"/>
      <c r="H3725" s="55" t="n"/>
      <c r="I3725" s="62" t="n"/>
      <c r="J3725" s="58" t="n"/>
      <c r="K3725" s="63">
        <f>IF(tblMovement[[#This Row],[Source]]="","",IFERROR(INDEX(tblSources[Type],MATCH(tblMovement[[#This Row],[Source]],tblSources[Source],0)),"?"))</f>
        <v/>
      </c>
      <c r="L3725" s="63">
        <f>IF(tblMovement[[#This Row],[Destination]]="","",IFERROR(INDEX(tblDestinations[Type],MATCH(tblMovement[[#This Row],[Destination]],tblDestinations[Destination],0)),"?"))</f>
        <v/>
      </c>
      <c r="M3725" s="64">
        <f>IF(tblMovement[[#This Row],[Material]]="","",IF(LEFT(tblMovement[[#This Row],[Material]],3)="Ore",1,0))</f>
        <v/>
      </c>
      <c r="N3725" s="59">
        <f>IF(OR(tblMovement[[#This Row],[Tonnes_t]]="",tblMovement[[#This Row],[Grade_gpt]]=""),0,tblMovement[[#This Row],[Tonnes_t]]*tblMovement[[#This Row],[Grade_gpt]]/cfg_TroyOz)</f>
        <v/>
      </c>
      <c r="O3725" s="59">
        <f>IF(tblMovement[[#This Row],[Is_Ore]]=1,tblMovement[[#This Row],[Contained_oz]],0)</f>
        <v/>
      </c>
    </row>
    <row r="3726">
      <c r="A3726" s="54" t="n"/>
      <c r="B3726" s="61" t="n"/>
      <c r="C3726" s="61" t="n"/>
      <c r="D3726" s="61" t="n"/>
      <c r="E3726" s="61" t="n"/>
      <c r="F3726" s="55" t="n"/>
      <c r="G3726" s="56" t="n"/>
      <c r="H3726" s="55" t="n"/>
      <c r="I3726" s="62" t="n"/>
      <c r="J3726" s="58" t="n"/>
      <c r="K3726" s="63">
        <f>IF(tblMovement[[#This Row],[Source]]="","",IFERROR(INDEX(tblSources[Type],MATCH(tblMovement[[#This Row],[Source]],tblSources[Source],0)),"?"))</f>
        <v/>
      </c>
      <c r="L3726" s="63">
        <f>IF(tblMovement[[#This Row],[Destination]]="","",IFERROR(INDEX(tblDestinations[Type],MATCH(tblMovement[[#This Row],[Destination]],tblDestinations[Destination],0)),"?"))</f>
        <v/>
      </c>
      <c r="M3726" s="64">
        <f>IF(tblMovement[[#This Row],[Material]]="","",IF(LEFT(tblMovement[[#This Row],[Material]],3)="Ore",1,0))</f>
        <v/>
      </c>
      <c r="N3726" s="59">
        <f>IF(OR(tblMovement[[#This Row],[Tonnes_t]]="",tblMovement[[#This Row],[Grade_gpt]]=""),0,tblMovement[[#This Row],[Tonnes_t]]*tblMovement[[#This Row],[Grade_gpt]]/cfg_TroyOz)</f>
        <v/>
      </c>
      <c r="O3726" s="59">
        <f>IF(tblMovement[[#This Row],[Is_Ore]]=1,tblMovement[[#This Row],[Contained_oz]],0)</f>
        <v/>
      </c>
    </row>
    <row r="3727">
      <c r="A3727" s="54" t="n"/>
      <c r="B3727" s="61" t="n"/>
      <c r="C3727" s="61" t="n"/>
      <c r="D3727" s="61" t="n"/>
      <c r="E3727" s="61" t="n"/>
      <c r="F3727" s="55" t="n"/>
      <c r="G3727" s="56" t="n"/>
      <c r="H3727" s="55" t="n"/>
      <c r="I3727" s="62" t="n"/>
      <c r="J3727" s="58" t="n"/>
      <c r="K3727" s="63">
        <f>IF(tblMovement[[#This Row],[Source]]="","",IFERROR(INDEX(tblSources[Type],MATCH(tblMovement[[#This Row],[Source]],tblSources[Source],0)),"?"))</f>
        <v/>
      </c>
      <c r="L3727" s="63">
        <f>IF(tblMovement[[#This Row],[Destination]]="","",IFERROR(INDEX(tblDestinations[Type],MATCH(tblMovement[[#This Row],[Destination]],tblDestinations[Destination],0)),"?"))</f>
        <v/>
      </c>
      <c r="M3727" s="64">
        <f>IF(tblMovement[[#This Row],[Material]]="","",IF(LEFT(tblMovement[[#This Row],[Material]],3)="Ore",1,0))</f>
        <v/>
      </c>
      <c r="N3727" s="59">
        <f>IF(OR(tblMovement[[#This Row],[Tonnes_t]]="",tblMovement[[#This Row],[Grade_gpt]]=""),0,tblMovement[[#This Row],[Tonnes_t]]*tblMovement[[#This Row],[Grade_gpt]]/cfg_TroyOz)</f>
        <v/>
      </c>
      <c r="O3727" s="59">
        <f>IF(tblMovement[[#This Row],[Is_Ore]]=1,tblMovement[[#This Row],[Contained_oz]],0)</f>
        <v/>
      </c>
    </row>
    <row r="3728">
      <c r="A3728" s="54" t="n"/>
      <c r="B3728" s="61" t="n"/>
      <c r="C3728" s="61" t="n"/>
      <c r="D3728" s="61" t="n"/>
      <c r="E3728" s="61" t="n"/>
      <c r="F3728" s="55" t="n"/>
      <c r="G3728" s="56" t="n"/>
      <c r="H3728" s="55" t="n"/>
      <c r="I3728" s="62" t="n"/>
      <c r="J3728" s="58" t="n"/>
      <c r="K3728" s="63">
        <f>IF(tblMovement[[#This Row],[Source]]="","",IFERROR(INDEX(tblSources[Type],MATCH(tblMovement[[#This Row],[Source]],tblSources[Source],0)),"?"))</f>
        <v/>
      </c>
      <c r="L3728" s="63">
        <f>IF(tblMovement[[#This Row],[Destination]]="","",IFERROR(INDEX(tblDestinations[Type],MATCH(tblMovement[[#This Row],[Destination]],tblDestinations[Destination],0)),"?"))</f>
        <v/>
      </c>
      <c r="M3728" s="64">
        <f>IF(tblMovement[[#This Row],[Material]]="","",IF(LEFT(tblMovement[[#This Row],[Material]],3)="Ore",1,0))</f>
        <v/>
      </c>
      <c r="N3728" s="59">
        <f>IF(OR(tblMovement[[#This Row],[Tonnes_t]]="",tblMovement[[#This Row],[Grade_gpt]]=""),0,tblMovement[[#This Row],[Tonnes_t]]*tblMovement[[#This Row],[Grade_gpt]]/cfg_TroyOz)</f>
        <v/>
      </c>
      <c r="O3728" s="59">
        <f>IF(tblMovement[[#This Row],[Is_Ore]]=1,tblMovement[[#This Row],[Contained_oz]],0)</f>
        <v/>
      </c>
    </row>
    <row r="3729">
      <c r="A3729" s="54" t="n"/>
      <c r="B3729" s="61" t="n"/>
      <c r="C3729" s="61" t="n"/>
      <c r="D3729" s="61" t="n"/>
      <c r="E3729" s="61" t="n"/>
      <c r="F3729" s="55" t="n"/>
      <c r="G3729" s="56" t="n"/>
      <c r="H3729" s="55" t="n"/>
      <c r="I3729" s="62" t="n"/>
      <c r="J3729" s="58" t="n"/>
      <c r="K3729" s="63">
        <f>IF(tblMovement[[#This Row],[Source]]="","",IFERROR(INDEX(tblSources[Type],MATCH(tblMovement[[#This Row],[Source]],tblSources[Source],0)),"?"))</f>
        <v/>
      </c>
      <c r="L3729" s="63">
        <f>IF(tblMovement[[#This Row],[Destination]]="","",IFERROR(INDEX(tblDestinations[Type],MATCH(tblMovement[[#This Row],[Destination]],tblDestinations[Destination],0)),"?"))</f>
        <v/>
      </c>
      <c r="M3729" s="64">
        <f>IF(tblMovement[[#This Row],[Material]]="","",IF(LEFT(tblMovement[[#This Row],[Material]],3)="Ore",1,0))</f>
        <v/>
      </c>
      <c r="N3729" s="59">
        <f>IF(OR(tblMovement[[#This Row],[Tonnes_t]]="",tblMovement[[#This Row],[Grade_gpt]]=""),0,tblMovement[[#This Row],[Tonnes_t]]*tblMovement[[#This Row],[Grade_gpt]]/cfg_TroyOz)</f>
        <v/>
      </c>
      <c r="O3729" s="59">
        <f>IF(tblMovement[[#This Row],[Is_Ore]]=1,tblMovement[[#This Row],[Contained_oz]],0)</f>
        <v/>
      </c>
    </row>
    <row r="3730">
      <c r="A3730" s="54" t="n"/>
      <c r="B3730" s="61" t="n"/>
      <c r="C3730" s="61" t="n"/>
      <c r="D3730" s="61" t="n"/>
      <c r="E3730" s="61" t="n"/>
      <c r="F3730" s="55" t="n"/>
      <c r="G3730" s="56" t="n"/>
      <c r="H3730" s="55" t="n"/>
      <c r="I3730" s="62" t="n"/>
      <c r="J3730" s="58" t="n"/>
      <c r="K3730" s="63">
        <f>IF(tblMovement[[#This Row],[Source]]="","",IFERROR(INDEX(tblSources[Type],MATCH(tblMovement[[#This Row],[Source]],tblSources[Source],0)),"?"))</f>
        <v/>
      </c>
      <c r="L3730" s="63">
        <f>IF(tblMovement[[#This Row],[Destination]]="","",IFERROR(INDEX(tblDestinations[Type],MATCH(tblMovement[[#This Row],[Destination]],tblDestinations[Destination],0)),"?"))</f>
        <v/>
      </c>
      <c r="M3730" s="64">
        <f>IF(tblMovement[[#This Row],[Material]]="","",IF(LEFT(tblMovement[[#This Row],[Material]],3)="Ore",1,0))</f>
        <v/>
      </c>
      <c r="N3730" s="59">
        <f>IF(OR(tblMovement[[#This Row],[Tonnes_t]]="",tblMovement[[#This Row],[Grade_gpt]]=""),0,tblMovement[[#This Row],[Tonnes_t]]*tblMovement[[#This Row],[Grade_gpt]]/cfg_TroyOz)</f>
        <v/>
      </c>
      <c r="O3730" s="59">
        <f>IF(tblMovement[[#This Row],[Is_Ore]]=1,tblMovement[[#This Row],[Contained_oz]],0)</f>
        <v/>
      </c>
    </row>
    <row r="3731">
      <c r="A3731" s="54" t="n"/>
      <c r="B3731" s="61" t="n"/>
      <c r="C3731" s="61" t="n"/>
      <c r="D3731" s="61" t="n"/>
      <c r="E3731" s="61" t="n"/>
      <c r="F3731" s="55" t="n"/>
      <c r="G3731" s="56" t="n"/>
      <c r="H3731" s="55" t="n"/>
      <c r="I3731" s="62" t="n"/>
      <c r="J3731" s="58" t="n"/>
      <c r="K3731" s="63">
        <f>IF(tblMovement[[#This Row],[Source]]="","",IFERROR(INDEX(tblSources[Type],MATCH(tblMovement[[#This Row],[Source]],tblSources[Source],0)),"?"))</f>
        <v/>
      </c>
      <c r="L3731" s="63">
        <f>IF(tblMovement[[#This Row],[Destination]]="","",IFERROR(INDEX(tblDestinations[Type],MATCH(tblMovement[[#This Row],[Destination]],tblDestinations[Destination],0)),"?"))</f>
        <v/>
      </c>
      <c r="M3731" s="64">
        <f>IF(tblMovement[[#This Row],[Material]]="","",IF(LEFT(tblMovement[[#This Row],[Material]],3)="Ore",1,0))</f>
        <v/>
      </c>
      <c r="N3731" s="59">
        <f>IF(OR(tblMovement[[#This Row],[Tonnes_t]]="",tblMovement[[#This Row],[Grade_gpt]]=""),0,tblMovement[[#This Row],[Tonnes_t]]*tblMovement[[#This Row],[Grade_gpt]]/cfg_TroyOz)</f>
        <v/>
      </c>
      <c r="O3731" s="59">
        <f>IF(tblMovement[[#This Row],[Is_Ore]]=1,tblMovement[[#This Row],[Contained_oz]],0)</f>
        <v/>
      </c>
    </row>
    <row r="3732">
      <c r="A3732" s="54" t="n"/>
      <c r="B3732" s="61" t="n"/>
      <c r="C3732" s="61" t="n"/>
      <c r="D3732" s="61" t="n"/>
      <c r="E3732" s="61" t="n"/>
      <c r="F3732" s="55" t="n"/>
      <c r="G3732" s="56" t="n"/>
      <c r="H3732" s="55" t="n"/>
      <c r="I3732" s="62" t="n"/>
      <c r="J3732" s="58" t="n"/>
      <c r="K3732" s="63">
        <f>IF(tblMovement[[#This Row],[Source]]="","",IFERROR(INDEX(tblSources[Type],MATCH(tblMovement[[#This Row],[Source]],tblSources[Source],0)),"?"))</f>
        <v/>
      </c>
      <c r="L3732" s="63">
        <f>IF(tblMovement[[#This Row],[Destination]]="","",IFERROR(INDEX(tblDestinations[Type],MATCH(tblMovement[[#This Row],[Destination]],tblDestinations[Destination],0)),"?"))</f>
        <v/>
      </c>
      <c r="M3732" s="64">
        <f>IF(tblMovement[[#This Row],[Material]]="","",IF(LEFT(tblMovement[[#This Row],[Material]],3)="Ore",1,0))</f>
        <v/>
      </c>
      <c r="N3732" s="59">
        <f>IF(OR(tblMovement[[#This Row],[Tonnes_t]]="",tblMovement[[#This Row],[Grade_gpt]]=""),0,tblMovement[[#This Row],[Tonnes_t]]*tblMovement[[#This Row],[Grade_gpt]]/cfg_TroyOz)</f>
        <v/>
      </c>
      <c r="O3732" s="59">
        <f>IF(tblMovement[[#This Row],[Is_Ore]]=1,tblMovement[[#This Row],[Contained_oz]],0)</f>
        <v/>
      </c>
    </row>
    <row r="3733">
      <c r="A3733" s="54" t="n"/>
      <c r="B3733" s="61" t="n"/>
      <c r="C3733" s="61" t="n"/>
      <c r="D3733" s="61" t="n"/>
      <c r="E3733" s="61" t="n"/>
      <c r="F3733" s="55" t="n"/>
      <c r="G3733" s="56" t="n"/>
      <c r="H3733" s="55" t="n"/>
      <c r="I3733" s="62" t="n"/>
      <c r="J3733" s="58" t="n"/>
      <c r="K3733" s="63">
        <f>IF(tblMovement[[#This Row],[Source]]="","",IFERROR(INDEX(tblSources[Type],MATCH(tblMovement[[#This Row],[Source]],tblSources[Source],0)),"?"))</f>
        <v/>
      </c>
      <c r="L3733" s="63">
        <f>IF(tblMovement[[#This Row],[Destination]]="","",IFERROR(INDEX(tblDestinations[Type],MATCH(tblMovement[[#This Row],[Destination]],tblDestinations[Destination],0)),"?"))</f>
        <v/>
      </c>
      <c r="M3733" s="64">
        <f>IF(tblMovement[[#This Row],[Material]]="","",IF(LEFT(tblMovement[[#This Row],[Material]],3)="Ore",1,0))</f>
        <v/>
      </c>
      <c r="N3733" s="59">
        <f>IF(OR(tblMovement[[#This Row],[Tonnes_t]]="",tblMovement[[#This Row],[Grade_gpt]]=""),0,tblMovement[[#This Row],[Tonnes_t]]*tblMovement[[#This Row],[Grade_gpt]]/cfg_TroyOz)</f>
        <v/>
      </c>
      <c r="O3733" s="59">
        <f>IF(tblMovement[[#This Row],[Is_Ore]]=1,tblMovement[[#This Row],[Contained_oz]],0)</f>
        <v/>
      </c>
    </row>
    <row r="3734">
      <c r="A3734" s="54" t="n"/>
      <c r="B3734" s="61" t="n"/>
      <c r="C3734" s="61" t="n"/>
      <c r="D3734" s="61" t="n"/>
      <c r="E3734" s="61" t="n"/>
      <c r="F3734" s="55" t="n"/>
      <c r="G3734" s="56" t="n"/>
      <c r="H3734" s="55" t="n"/>
      <c r="I3734" s="62" t="n"/>
      <c r="J3734" s="58" t="n"/>
      <c r="K3734" s="63">
        <f>IF(tblMovement[[#This Row],[Source]]="","",IFERROR(INDEX(tblSources[Type],MATCH(tblMovement[[#This Row],[Source]],tblSources[Source],0)),"?"))</f>
        <v/>
      </c>
      <c r="L3734" s="63">
        <f>IF(tblMovement[[#This Row],[Destination]]="","",IFERROR(INDEX(tblDestinations[Type],MATCH(tblMovement[[#This Row],[Destination]],tblDestinations[Destination],0)),"?"))</f>
        <v/>
      </c>
      <c r="M3734" s="64">
        <f>IF(tblMovement[[#This Row],[Material]]="","",IF(LEFT(tblMovement[[#This Row],[Material]],3)="Ore",1,0))</f>
        <v/>
      </c>
      <c r="N3734" s="59">
        <f>IF(OR(tblMovement[[#This Row],[Tonnes_t]]="",tblMovement[[#This Row],[Grade_gpt]]=""),0,tblMovement[[#This Row],[Tonnes_t]]*tblMovement[[#This Row],[Grade_gpt]]/cfg_TroyOz)</f>
        <v/>
      </c>
      <c r="O3734" s="59">
        <f>IF(tblMovement[[#This Row],[Is_Ore]]=1,tblMovement[[#This Row],[Contained_oz]],0)</f>
        <v/>
      </c>
    </row>
    <row r="3735">
      <c r="A3735" s="54" t="n"/>
      <c r="B3735" s="61" t="n"/>
      <c r="C3735" s="61" t="n"/>
      <c r="D3735" s="61" t="n"/>
      <c r="E3735" s="61" t="n"/>
      <c r="F3735" s="55" t="n"/>
      <c r="G3735" s="56" t="n"/>
      <c r="H3735" s="55" t="n"/>
      <c r="I3735" s="62" t="n"/>
      <c r="J3735" s="58" t="n"/>
      <c r="K3735" s="63">
        <f>IF(tblMovement[[#This Row],[Source]]="","",IFERROR(INDEX(tblSources[Type],MATCH(tblMovement[[#This Row],[Source]],tblSources[Source],0)),"?"))</f>
        <v/>
      </c>
      <c r="L3735" s="63">
        <f>IF(tblMovement[[#This Row],[Destination]]="","",IFERROR(INDEX(tblDestinations[Type],MATCH(tblMovement[[#This Row],[Destination]],tblDestinations[Destination],0)),"?"))</f>
        <v/>
      </c>
      <c r="M3735" s="64">
        <f>IF(tblMovement[[#This Row],[Material]]="","",IF(LEFT(tblMovement[[#This Row],[Material]],3)="Ore",1,0))</f>
        <v/>
      </c>
      <c r="N3735" s="59">
        <f>IF(OR(tblMovement[[#This Row],[Tonnes_t]]="",tblMovement[[#This Row],[Grade_gpt]]=""),0,tblMovement[[#This Row],[Tonnes_t]]*tblMovement[[#This Row],[Grade_gpt]]/cfg_TroyOz)</f>
        <v/>
      </c>
      <c r="O3735" s="59">
        <f>IF(tblMovement[[#This Row],[Is_Ore]]=1,tblMovement[[#This Row],[Contained_oz]],0)</f>
        <v/>
      </c>
    </row>
    <row r="3736">
      <c r="A3736" s="54" t="n"/>
      <c r="B3736" s="61" t="n"/>
      <c r="C3736" s="61" t="n"/>
      <c r="D3736" s="61" t="n"/>
      <c r="E3736" s="61" t="n"/>
      <c r="F3736" s="55" t="n"/>
      <c r="G3736" s="56" t="n"/>
      <c r="H3736" s="55" t="n"/>
      <c r="I3736" s="62" t="n"/>
      <c r="J3736" s="58" t="n"/>
      <c r="K3736" s="63">
        <f>IF(tblMovement[[#This Row],[Source]]="","",IFERROR(INDEX(tblSources[Type],MATCH(tblMovement[[#This Row],[Source]],tblSources[Source],0)),"?"))</f>
        <v/>
      </c>
      <c r="L3736" s="63">
        <f>IF(tblMovement[[#This Row],[Destination]]="","",IFERROR(INDEX(tblDestinations[Type],MATCH(tblMovement[[#This Row],[Destination]],tblDestinations[Destination],0)),"?"))</f>
        <v/>
      </c>
      <c r="M3736" s="64">
        <f>IF(tblMovement[[#This Row],[Material]]="","",IF(LEFT(tblMovement[[#This Row],[Material]],3)="Ore",1,0))</f>
        <v/>
      </c>
      <c r="N3736" s="59">
        <f>IF(OR(tblMovement[[#This Row],[Tonnes_t]]="",tblMovement[[#This Row],[Grade_gpt]]=""),0,tblMovement[[#This Row],[Tonnes_t]]*tblMovement[[#This Row],[Grade_gpt]]/cfg_TroyOz)</f>
        <v/>
      </c>
      <c r="O3736" s="59">
        <f>IF(tblMovement[[#This Row],[Is_Ore]]=1,tblMovement[[#This Row],[Contained_oz]],0)</f>
        <v/>
      </c>
    </row>
    <row r="3737">
      <c r="A3737" s="54" t="n"/>
      <c r="B3737" s="61" t="n"/>
      <c r="C3737" s="61" t="n"/>
      <c r="D3737" s="61" t="n"/>
      <c r="E3737" s="61" t="n"/>
      <c r="F3737" s="55" t="n"/>
      <c r="G3737" s="56" t="n"/>
      <c r="H3737" s="55" t="n"/>
      <c r="I3737" s="62" t="n"/>
      <c r="J3737" s="58" t="n"/>
      <c r="K3737" s="63">
        <f>IF(tblMovement[[#This Row],[Source]]="","",IFERROR(INDEX(tblSources[Type],MATCH(tblMovement[[#This Row],[Source]],tblSources[Source],0)),"?"))</f>
        <v/>
      </c>
      <c r="L3737" s="63">
        <f>IF(tblMovement[[#This Row],[Destination]]="","",IFERROR(INDEX(tblDestinations[Type],MATCH(tblMovement[[#This Row],[Destination]],tblDestinations[Destination],0)),"?"))</f>
        <v/>
      </c>
      <c r="M3737" s="64">
        <f>IF(tblMovement[[#This Row],[Material]]="","",IF(LEFT(tblMovement[[#This Row],[Material]],3)="Ore",1,0))</f>
        <v/>
      </c>
      <c r="N3737" s="59">
        <f>IF(OR(tblMovement[[#This Row],[Tonnes_t]]="",tblMovement[[#This Row],[Grade_gpt]]=""),0,tblMovement[[#This Row],[Tonnes_t]]*tblMovement[[#This Row],[Grade_gpt]]/cfg_TroyOz)</f>
        <v/>
      </c>
      <c r="O3737" s="59">
        <f>IF(tblMovement[[#This Row],[Is_Ore]]=1,tblMovement[[#This Row],[Contained_oz]],0)</f>
        <v/>
      </c>
    </row>
    <row r="3738">
      <c r="A3738" s="54" t="n"/>
      <c r="B3738" s="61" t="n"/>
      <c r="C3738" s="61" t="n"/>
      <c r="D3738" s="61" t="n"/>
      <c r="E3738" s="61" t="n"/>
      <c r="F3738" s="55" t="n"/>
      <c r="G3738" s="56" t="n"/>
      <c r="H3738" s="55" t="n"/>
      <c r="I3738" s="62" t="n"/>
      <c r="J3738" s="58" t="n"/>
      <c r="K3738" s="63">
        <f>IF(tblMovement[[#This Row],[Source]]="","",IFERROR(INDEX(tblSources[Type],MATCH(tblMovement[[#This Row],[Source]],tblSources[Source],0)),"?"))</f>
        <v/>
      </c>
      <c r="L3738" s="63">
        <f>IF(tblMovement[[#This Row],[Destination]]="","",IFERROR(INDEX(tblDestinations[Type],MATCH(tblMovement[[#This Row],[Destination]],tblDestinations[Destination],0)),"?"))</f>
        <v/>
      </c>
      <c r="M3738" s="64">
        <f>IF(tblMovement[[#This Row],[Material]]="","",IF(LEFT(tblMovement[[#This Row],[Material]],3)="Ore",1,0))</f>
        <v/>
      </c>
      <c r="N3738" s="59">
        <f>IF(OR(tblMovement[[#This Row],[Tonnes_t]]="",tblMovement[[#This Row],[Grade_gpt]]=""),0,tblMovement[[#This Row],[Tonnes_t]]*tblMovement[[#This Row],[Grade_gpt]]/cfg_TroyOz)</f>
        <v/>
      </c>
      <c r="O3738" s="59">
        <f>IF(tblMovement[[#This Row],[Is_Ore]]=1,tblMovement[[#This Row],[Contained_oz]],0)</f>
        <v/>
      </c>
    </row>
    <row r="3739">
      <c r="A3739" s="54" t="n"/>
      <c r="B3739" s="61" t="n"/>
      <c r="C3739" s="61" t="n"/>
      <c r="D3739" s="61" t="n"/>
      <c r="E3739" s="61" t="n"/>
      <c r="F3739" s="55" t="n"/>
      <c r="G3739" s="56" t="n"/>
      <c r="H3739" s="55" t="n"/>
      <c r="I3739" s="62" t="n"/>
      <c r="J3739" s="58" t="n"/>
      <c r="K3739" s="63">
        <f>IF(tblMovement[[#This Row],[Source]]="","",IFERROR(INDEX(tblSources[Type],MATCH(tblMovement[[#This Row],[Source]],tblSources[Source],0)),"?"))</f>
        <v/>
      </c>
      <c r="L3739" s="63">
        <f>IF(tblMovement[[#This Row],[Destination]]="","",IFERROR(INDEX(tblDestinations[Type],MATCH(tblMovement[[#This Row],[Destination]],tblDestinations[Destination],0)),"?"))</f>
        <v/>
      </c>
      <c r="M3739" s="64">
        <f>IF(tblMovement[[#This Row],[Material]]="","",IF(LEFT(tblMovement[[#This Row],[Material]],3)="Ore",1,0))</f>
        <v/>
      </c>
      <c r="N3739" s="59">
        <f>IF(OR(tblMovement[[#This Row],[Tonnes_t]]="",tblMovement[[#This Row],[Grade_gpt]]=""),0,tblMovement[[#This Row],[Tonnes_t]]*tblMovement[[#This Row],[Grade_gpt]]/cfg_TroyOz)</f>
        <v/>
      </c>
      <c r="O3739" s="59">
        <f>IF(tblMovement[[#This Row],[Is_Ore]]=1,tblMovement[[#This Row],[Contained_oz]],0)</f>
        <v/>
      </c>
    </row>
    <row r="3740">
      <c r="A3740" s="54" t="n"/>
      <c r="B3740" s="61" t="n"/>
      <c r="C3740" s="61" t="n"/>
      <c r="D3740" s="61" t="n"/>
      <c r="E3740" s="61" t="n"/>
      <c r="F3740" s="55" t="n"/>
      <c r="G3740" s="56" t="n"/>
      <c r="H3740" s="55" t="n"/>
      <c r="I3740" s="62" t="n"/>
      <c r="J3740" s="58" t="n"/>
      <c r="K3740" s="63">
        <f>IF(tblMovement[[#This Row],[Source]]="","",IFERROR(INDEX(tblSources[Type],MATCH(tblMovement[[#This Row],[Source]],tblSources[Source],0)),"?"))</f>
        <v/>
      </c>
      <c r="L3740" s="63">
        <f>IF(tblMovement[[#This Row],[Destination]]="","",IFERROR(INDEX(tblDestinations[Type],MATCH(tblMovement[[#This Row],[Destination]],tblDestinations[Destination],0)),"?"))</f>
        <v/>
      </c>
      <c r="M3740" s="64">
        <f>IF(tblMovement[[#This Row],[Material]]="","",IF(LEFT(tblMovement[[#This Row],[Material]],3)="Ore",1,0))</f>
        <v/>
      </c>
      <c r="N3740" s="59">
        <f>IF(OR(tblMovement[[#This Row],[Tonnes_t]]="",tblMovement[[#This Row],[Grade_gpt]]=""),0,tblMovement[[#This Row],[Tonnes_t]]*tblMovement[[#This Row],[Grade_gpt]]/cfg_TroyOz)</f>
        <v/>
      </c>
      <c r="O3740" s="59">
        <f>IF(tblMovement[[#This Row],[Is_Ore]]=1,tblMovement[[#This Row],[Contained_oz]],0)</f>
        <v/>
      </c>
    </row>
    <row r="3741">
      <c r="A3741" s="54" t="n"/>
      <c r="B3741" s="61" t="n"/>
      <c r="C3741" s="61" t="n"/>
      <c r="D3741" s="61" t="n"/>
      <c r="E3741" s="61" t="n"/>
      <c r="F3741" s="55" t="n"/>
      <c r="G3741" s="56" t="n"/>
      <c r="H3741" s="55" t="n"/>
      <c r="I3741" s="62" t="n"/>
      <c r="J3741" s="58" t="n"/>
      <c r="K3741" s="63">
        <f>IF(tblMovement[[#This Row],[Source]]="","",IFERROR(INDEX(tblSources[Type],MATCH(tblMovement[[#This Row],[Source]],tblSources[Source],0)),"?"))</f>
        <v/>
      </c>
      <c r="L3741" s="63">
        <f>IF(tblMovement[[#This Row],[Destination]]="","",IFERROR(INDEX(tblDestinations[Type],MATCH(tblMovement[[#This Row],[Destination]],tblDestinations[Destination],0)),"?"))</f>
        <v/>
      </c>
      <c r="M3741" s="64">
        <f>IF(tblMovement[[#This Row],[Material]]="","",IF(LEFT(tblMovement[[#This Row],[Material]],3)="Ore",1,0))</f>
        <v/>
      </c>
      <c r="N3741" s="59">
        <f>IF(OR(tblMovement[[#This Row],[Tonnes_t]]="",tblMovement[[#This Row],[Grade_gpt]]=""),0,tblMovement[[#This Row],[Tonnes_t]]*tblMovement[[#This Row],[Grade_gpt]]/cfg_TroyOz)</f>
        <v/>
      </c>
      <c r="O3741" s="59">
        <f>IF(tblMovement[[#This Row],[Is_Ore]]=1,tblMovement[[#This Row],[Contained_oz]],0)</f>
        <v/>
      </c>
    </row>
    <row r="3742">
      <c r="A3742" s="54" t="n"/>
      <c r="B3742" s="61" t="n"/>
      <c r="C3742" s="61" t="n"/>
      <c r="D3742" s="61" t="n"/>
      <c r="E3742" s="61" t="n"/>
      <c r="F3742" s="55" t="n"/>
      <c r="G3742" s="56" t="n"/>
      <c r="H3742" s="55" t="n"/>
      <c r="I3742" s="62" t="n"/>
      <c r="J3742" s="58" t="n"/>
      <c r="K3742" s="63">
        <f>IF(tblMovement[[#This Row],[Source]]="","",IFERROR(INDEX(tblSources[Type],MATCH(tblMovement[[#This Row],[Source]],tblSources[Source],0)),"?"))</f>
        <v/>
      </c>
      <c r="L3742" s="63">
        <f>IF(tblMovement[[#This Row],[Destination]]="","",IFERROR(INDEX(tblDestinations[Type],MATCH(tblMovement[[#This Row],[Destination]],tblDestinations[Destination],0)),"?"))</f>
        <v/>
      </c>
      <c r="M3742" s="64">
        <f>IF(tblMovement[[#This Row],[Material]]="","",IF(LEFT(tblMovement[[#This Row],[Material]],3)="Ore",1,0))</f>
        <v/>
      </c>
      <c r="N3742" s="59">
        <f>IF(OR(tblMovement[[#This Row],[Tonnes_t]]="",tblMovement[[#This Row],[Grade_gpt]]=""),0,tblMovement[[#This Row],[Tonnes_t]]*tblMovement[[#This Row],[Grade_gpt]]/cfg_TroyOz)</f>
        <v/>
      </c>
      <c r="O3742" s="59">
        <f>IF(tblMovement[[#This Row],[Is_Ore]]=1,tblMovement[[#This Row],[Contained_oz]],0)</f>
        <v/>
      </c>
    </row>
    <row r="3743">
      <c r="A3743" s="54" t="n"/>
      <c r="B3743" s="61" t="n"/>
      <c r="C3743" s="61" t="n"/>
      <c r="D3743" s="61" t="n"/>
      <c r="E3743" s="61" t="n"/>
      <c r="F3743" s="55" t="n"/>
      <c r="G3743" s="56" t="n"/>
      <c r="H3743" s="55" t="n"/>
      <c r="I3743" s="62" t="n"/>
      <c r="J3743" s="58" t="n"/>
      <c r="K3743" s="63">
        <f>IF(tblMovement[[#This Row],[Source]]="","",IFERROR(INDEX(tblSources[Type],MATCH(tblMovement[[#This Row],[Source]],tblSources[Source],0)),"?"))</f>
        <v/>
      </c>
      <c r="L3743" s="63">
        <f>IF(tblMovement[[#This Row],[Destination]]="","",IFERROR(INDEX(tblDestinations[Type],MATCH(tblMovement[[#This Row],[Destination]],tblDestinations[Destination],0)),"?"))</f>
        <v/>
      </c>
      <c r="M3743" s="64">
        <f>IF(tblMovement[[#This Row],[Material]]="","",IF(LEFT(tblMovement[[#This Row],[Material]],3)="Ore",1,0))</f>
        <v/>
      </c>
      <c r="N3743" s="59">
        <f>IF(OR(tblMovement[[#This Row],[Tonnes_t]]="",tblMovement[[#This Row],[Grade_gpt]]=""),0,tblMovement[[#This Row],[Tonnes_t]]*tblMovement[[#This Row],[Grade_gpt]]/cfg_TroyOz)</f>
        <v/>
      </c>
      <c r="O3743" s="59">
        <f>IF(tblMovement[[#This Row],[Is_Ore]]=1,tblMovement[[#This Row],[Contained_oz]],0)</f>
        <v/>
      </c>
    </row>
    <row r="3744">
      <c r="A3744" s="54" t="n"/>
      <c r="B3744" s="61" t="n"/>
      <c r="C3744" s="61" t="n"/>
      <c r="D3744" s="61" t="n"/>
      <c r="E3744" s="61" t="n"/>
      <c r="F3744" s="55" t="n"/>
      <c r="G3744" s="56" t="n"/>
      <c r="H3744" s="55" t="n"/>
      <c r="I3744" s="62" t="n"/>
      <c r="J3744" s="58" t="n"/>
      <c r="K3744" s="63">
        <f>IF(tblMovement[[#This Row],[Source]]="","",IFERROR(INDEX(tblSources[Type],MATCH(tblMovement[[#This Row],[Source]],tblSources[Source],0)),"?"))</f>
        <v/>
      </c>
      <c r="L3744" s="63">
        <f>IF(tblMovement[[#This Row],[Destination]]="","",IFERROR(INDEX(tblDestinations[Type],MATCH(tblMovement[[#This Row],[Destination]],tblDestinations[Destination],0)),"?"))</f>
        <v/>
      </c>
      <c r="M3744" s="64">
        <f>IF(tblMovement[[#This Row],[Material]]="","",IF(LEFT(tblMovement[[#This Row],[Material]],3)="Ore",1,0))</f>
        <v/>
      </c>
      <c r="N3744" s="59">
        <f>IF(OR(tblMovement[[#This Row],[Tonnes_t]]="",tblMovement[[#This Row],[Grade_gpt]]=""),0,tblMovement[[#This Row],[Tonnes_t]]*tblMovement[[#This Row],[Grade_gpt]]/cfg_TroyOz)</f>
        <v/>
      </c>
      <c r="O3744" s="59">
        <f>IF(tblMovement[[#This Row],[Is_Ore]]=1,tblMovement[[#This Row],[Contained_oz]],0)</f>
        <v/>
      </c>
    </row>
    <row r="3745">
      <c r="A3745" s="54" t="n"/>
      <c r="B3745" s="61" t="n"/>
      <c r="C3745" s="61" t="n"/>
      <c r="D3745" s="61" t="n"/>
      <c r="E3745" s="61" t="n"/>
      <c r="F3745" s="55" t="n"/>
      <c r="G3745" s="56" t="n"/>
      <c r="H3745" s="55" t="n"/>
      <c r="I3745" s="62" t="n"/>
      <c r="J3745" s="58" t="n"/>
      <c r="K3745" s="63">
        <f>IF(tblMovement[[#This Row],[Source]]="","",IFERROR(INDEX(tblSources[Type],MATCH(tblMovement[[#This Row],[Source]],tblSources[Source],0)),"?"))</f>
        <v/>
      </c>
      <c r="L3745" s="63">
        <f>IF(tblMovement[[#This Row],[Destination]]="","",IFERROR(INDEX(tblDestinations[Type],MATCH(tblMovement[[#This Row],[Destination]],tblDestinations[Destination],0)),"?"))</f>
        <v/>
      </c>
      <c r="M3745" s="64">
        <f>IF(tblMovement[[#This Row],[Material]]="","",IF(LEFT(tblMovement[[#This Row],[Material]],3)="Ore",1,0))</f>
        <v/>
      </c>
      <c r="N3745" s="59">
        <f>IF(OR(tblMovement[[#This Row],[Tonnes_t]]="",tblMovement[[#This Row],[Grade_gpt]]=""),0,tblMovement[[#This Row],[Tonnes_t]]*tblMovement[[#This Row],[Grade_gpt]]/cfg_TroyOz)</f>
        <v/>
      </c>
      <c r="O3745" s="59">
        <f>IF(tblMovement[[#This Row],[Is_Ore]]=1,tblMovement[[#This Row],[Contained_oz]],0)</f>
        <v/>
      </c>
    </row>
    <row r="3746">
      <c r="A3746" s="54" t="n"/>
      <c r="B3746" s="61" t="n"/>
      <c r="C3746" s="61" t="n"/>
      <c r="D3746" s="61" t="n"/>
      <c r="E3746" s="61" t="n"/>
      <c r="F3746" s="55" t="n"/>
      <c r="G3746" s="56" t="n"/>
      <c r="H3746" s="55" t="n"/>
      <c r="I3746" s="62" t="n"/>
      <c r="J3746" s="58" t="n"/>
      <c r="K3746" s="63">
        <f>IF(tblMovement[[#This Row],[Source]]="","",IFERROR(INDEX(tblSources[Type],MATCH(tblMovement[[#This Row],[Source]],tblSources[Source],0)),"?"))</f>
        <v/>
      </c>
      <c r="L3746" s="63">
        <f>IF(tblMovement[[#This Row],[Destination]]="","",IFERROR(INDEX(tblDestinations[Type],MATCH(tblMovement[[#This Row],[Destination]],tblDestinations[Destination],0)),"?"))</f>
        <v/>
      </c>
      <c r="M3746" s="64">
        <f>IF(tblMovement[[#This Row],[Material]]="","",IF(LEFT(tblMovement[[#This Row],[Material]],3)="Ore",1,0))</f>
        <v/>
      </c>
      <c r="N3746" s="59">
        <f>IF(OR(tblMovement[[#This Row],[Tonnes_t]]="",tblMovement[[#This Row],[Grade_gpt]]=""),0,tblMovement[[#This Row],[Tonnes_t]]*tblMovement[[#This Row],[Grade_gpt]]/cfg_TroyOz)</f>
        <v/>
      </c>
      <c r="O3746" s="59">
        <f>IF(tblMovement[[#This Row],[Is_Ore]]=1,tblMovement[[#This Row],[Contained_oz]],0)</f>
        <v/>
      </c>
    </row>
    <row r="3747">
      <c r="A3747" s="54" t="n"/>
      <c r="B3747" s="61" t="n"/>
      <c r="C3747" s="61" t="n"/>
      <c r="D3747" s="61" t="n"/>
      <c r="E3747" s="61" t="n"/>
      <c r="F3747" s="55" t="n"/>
      <c r="G3747" s="56" t="n"/>
      <c r="H3747" s="55" t="n"/>
      <c r="I3747" s="62" t="n"/>
      <c r="J3747" s="58" t="n"/>
      <c r="K3747" s="63">
        <f>IF(tblMovement[[#This Row],[Source]]="","",IFERROR(INDEX(tblSources[Type],MATCH(tblMovement[[#This Row],[Source]],tblSources[Source],0)),"?"))</f>
        <v/>
      </c>
      <c r="L3747" s="63">
        <f>IF(tblMovement[[#This Row],[Destination]]="","",IFERROR(INDEX(tblDestinations[Type],MATCH(tblMovement[[#This Row],[Destination]],tblDestinations[Destination],0)),"?"))</f>
        <v/>
      </c>
      <c r="M3747" s="64">
        <f>IF(tblMovement[[#This Row],[Material]]="","",IF(LEFT(tblMovement[[#This Row],[Material]],3)="Ore",1,0))</f>
        <v/>
      </c>
      <c r="N3747" s="59">
        <f>IF(OR(tblMovement[[#This Row],[Tonnes_t]]="",tblMovement[[#This Row],[Grade_gpt]]=""),0,tblMovement[[#This Row],[Tonnes_t]]*tblMovement[[#This Row],[Grade_gpt]]/cfg_TroyOz)</f>
        <v/>
      </c>
      <c r="O3747" s="59">
        <f>IF(tblMovement[[#This Row],[Is_Ore]]=1,tblMovement[[#This Row],[Contained_oz]],0)</f>
        <v/>
      </c>
    </row>
    <row r="3748">
      <c r="A3748" s="54" t="n"/>
      <c r="B3748" s="61" t="n"/>
      <c r="C3748" s="61" t="n"/>
      <c r="D3748" s="61" t="n"/>
      <c r="E3748" s="61" t="n"/>
      <c r="F3748" s="55" t="n"/>
      <c r="G3748" s="56" t="n"/>
      <c r="H3748" s="55" t="n"/>
      <c r="I3748" s="62" t="n"/>
      <c r="J3748" s="58" t="n"/>
      <c r="K3748" s="63">
        <f>IF(tblMovement[[#This Row],[Source]]="","",IFERROR(INDEX(tblSources[Type],MATCH(tblMovement[[#This Row],[Source]],tblSources[Source],0)),"?"))</f>
        <v/>
      </c>
      <c r="L3748" s="63">
        <f>IF(tblMovement[[#This Row],[Destination]]="","",IFERROR(INDEX(tblDestinations[Type],MATCH(tblMovement[[#This Row],[Destination]],tblDestinations[Destination],0)),"?"))</f>
        <v/>
      </c>
      <c r="M3748" s="64">
        <f>IF(tblMovement[[#This Row],[Material]]="","",IF(LEFT(tblMovement[[#This Row],[Material]],3)="Ore",1,0))</f>
        <v/>
      </c>
      <c r="N3748" s="59">
        <f>IF(OR(tblMovement[[#This Row],[Tonnes_t]]="",tblMovement[[#This Row],[Grade_gpt]]=""),0,tblMovement[[#This Row],[Tonnes_t]]*tblMovement[[#This Row],[Grade_gpt]]/cfg_TroyOz)</f>
        <v/>
      </c>
      <c r="O3748" s="59">
        <f>IF(tblMovement[[#This Row],[Is_Ore]]=1,tblMovement[[#This Row],[Contained_oz]],0)</f>
        <v/>
      </c>
    </row>
    <row r="3749">
      <c r="A3749" s="54" t="n"/>
      <c r="B3749" s="61" t="n"/>
      <c r="C3749" s="61" t="n"/>
      <c r="D3749" s="61" t="n"/>
      <c r="E3749" s="61" t="n"/>
      <c r="F3749" s="55" t="n"/>
      <c r="G3749" s="56" t="n"/>
      <c r="H3749" s="55" t="n"/>
      <c r="I3749" s="62" t="n"/>
      <c r="J3749" s="58" t="n"/>
      <c r="K3749" s="63">
        <f>IF(tblMovement[[#This Row],[Source]]="","",IFERROR(INDEX(tblSources[Type],MATCH(tblMovement[[#This Row],[Source]],tblSources[Source],0)),"?"))</f>
        <v/>
      </c>
      <c r="L3749" s="63">
        <f>IF(tblMovement[[#This Row],[Destination]]="","",IFERROR(INDEX(tblDestinations[Type],MATCH(tblMovement[[#This Row],[Destination]],tblDestinations[Destination],0)),"?"))</f>
        <v/>
      </c>
      <c r="M3749" s="64">
        <f>IF(tblMovement[[#This Row],[Material]]="","",IF(LEFT(tblMovement[[#This Row],[Material]],3)="Ore",1,0))</f>
        <v/>
      </c>
      <c r="N3749" s="59">
        <f>IF(OR(tblMovement[[#This Row],[Tonnes_t]]="",tblMovement[[#This Row],[Grade_gpt]]=""),0,tblMovement[[#This Row],[Tonnes_t]]*tblMovement[[#This Row],[Grade_gpt]]/cfg_TroyOz)</f>
        <v/>
      </c>
      <c r="O3749" s="59">
        <f>IF(tblMovement[[#This Row],[Is_Ore]]=1,tblMovement[[#This Row],[Contained_oz]],0)</f>
        <v/>
      </c>
    </row>
    <row r="3750">
      <c r="A3750" s="54" t="n"/>
      <c r="B3750" s="61" t="n"/>
      <c r="C3750" s="61" t="n"/>
      <c r="D3750" s="61" t="n"/>
      <c r="E3750" s="61" t="n"/>
      <c r="F3750" s="55" t="n"/>
      <c r="G3750" s="56" t="n"/>
      <c r="H3750" s="55" t="n"/>
      <c r="I3750" s="62" t="n"/>
      <c r="J3750" s="58" t="n"/>
      <c r="K3750" s="63">
        <f>IF(tblMovement[[#This Row],[Source]]="","",IFERROR(INDEX(tblSources[Type],MATCH(tblMovement[[#This Row],[Source]],tblSources[Source],0)),"?"))</f>
        <v/>
      </c>
      <c r="L3750" s="63">
        <f>IF(tblMovement[[#This Row],[Destination]]="","",IFERROR(INDEX(tblDestinations[Type],MATCH(tblMovement[[#This Row],[Destination]],tblDestinations[Destination],0)),"?"))</f>
        <v/>
      </c>
      <c r="M3750" s="64">
        <f>IF(tblMovement[[#This Row],[Material]]="","",IF(LEFT(tblMovement[[#This Row],[Material]],3)="Ore",1,0))</f>
        <v/>
      </c>
      <c r="N3750" s="59">
        <f>IF(OR(tblMovement[[#This Row],[Tonnes_t]]="",tblMovement[[#This Row],[Grade_gpt]]=""),0,tblMovement[[#This Row],[Tonnes_t]]*tblMovement[[#This Row],[Grade_gpt]]/cfg_TroyOz)</f>
        <v/>
      </c>
      <c r="O3750" s="59">
        <f>IF(tblMovement[[#This Row],[Is_Ore]]=1,tblMovement[[#This Row],[Contained_oz]],0)</f>
        <v/>
      </c>
    </row>
    <row r="3751">
      <c r="A3751" s="54" t="n"/>
      <c r="B3751" s="61" t="n"/>
      <c r="C3751" s="61" t="n"/>
      <c r="D3751" s="61" t="n"/>
      <c r="E3751" s="61" t="n"/>
      <c r="F3751" s="55" t="n"/>
      <c r="G3751" s="56" t="n"/>
      <c r="H3751" s="55" t="n"/>
      <c r="I3751" s="62" t="n"/>
      <c r="J3751" s="58" t="n"/>
      <c r="K3751" s="63">
        <f>IF(tblMovement[[#This Row],[Source]]="","",IFERROR(INDEX(tblSources[Type],MATCH(tblMovement[[#This Row],[Source]],tblSources[Source],0)),"?"))</f>
        <v/>
      </c>
      <c r="L3751" s="63">
        <f>IF(tblMovement[[#This Row],[Destination]]="","",IFERROR(INDEX(tblDestinations[Type],MATCH(tblMovement[[#This Row],[Destination]],tblDestinations[Destination],0)),"?"))</f>
        <v/>
      </c>
      <c r="M3751" s="64">
        <f>IF(tblMovement[[#This Row],[Material]]="","",IF(LEFT(tblMovement[[#This Row],[Material]],3)="Ore",1,0))</f>
        <v/>
      </c>
      <c r="N3751" s="59">
        <f>IF(OR(tblMovement[[#This Row],[Tonnes_t]]="",tblMovement[[#This Row],[Grade_gpt]]=""),0,tblMovement[[#This Row],[Tonnes_t]]*tblMovement[[#This Row],[Grade_gpt]]/cfg_TroyOz)</f>
        <v/>
      </c>
      <c r="O3751" s="59">
        <f>IF(tblMovement[[#This Row],[Is_Ore]]=1,tblMovement[[#This Row],[Contained_oz]],0)</f>
        <v/>
      </c>
    </row>
    <row r="3752">
      <c r="A3752" s="54" t="n"/>
      <c r="B3752" s="61" t="n"/>
      <c r="C3752" s="61" t="n"/>
      <c r="D3752" s="61" t="n"/>
      <c r="E3752" s="61" t="n"/>
      <c r="F3752" s="55" t="n"/>
      <c r="G3752" s="56" t="n"/>
      <c r="H3752" s="55" t="n"/>
      <c r="I3752" s="62" t="n"/>
      <c r="J3752" s="58" t="n"/>
      <c r="K3752" s="63">
        <f>IF(tblMovement[[#This Row],[Source]]="","",IFERROR(INDEX(tblSources[Type],MATCH(tblMovement[[#This Row],[Source]],tblSources[Source],0)),"?"))</f>
        <v/>
      </c>
      <c r="L3752" s="63">
        <f>IF(tblMovement[[#This Row],[Destination]]="","",IFERROR(INDEX(tblDestinations[Type],MATCH(tblMovement[[#This Row],[Destination]],tblDestinations[Destination],0)),"?"))</f>
        <v/>
      </c>
      <c r="M3752" s="64">
        <f>IF(tblMovement[[#This Row],[Material]]="","",IF(LEFT(tblMovement[[#This Row],[Material]],3)="Ore",1,0))</f>
        <v/>
      </c>
      <c r="N3752" s="59">
        <f>IF(OR(tblMovement[[#This Row],[Tonnes_t]]="",tblMovement[[#This Row],[Grade_gpt]]=""),0,tblMovement[[#This Row],[Tonnes_t]]*tblMovement[[#This Row],[Grade_gpt]]/cfg_TroyOz)</f>
        <v/>
      </c>
      <c r="O3752" s="59">
        <f>IF(tblMovement[[#This Row],[Is_Ore]]=1,tblMovement[[#This Row],[Contained_oz]],0)</f>
        <v/>
      </c>
    </row>
    <row r="3753">
      <c r="A3753" s="54" t="n"/>
      <c r="B3753" s="61" t="n"/>
      <c r="C3753" s="61" t="n"/>
      <c r="D3753" s="61" t="n"/>
      <c r="E3753" s="61" t="n"/>
      <c r="F3753" s="55" t="n"/>
      <c r="G3753" s="56" t="n"/>
      <c r="H3753" s="55" t="n"/>
      <c r="I3753" s="62" t="n"/>
      <c r="J3753" s="58" t="n"/>
      <c r="K3753" s="63">
        <f>IF(tblMovement[[#This Row],[Source]]="","",IFERROR(INDEX(tblSources[Type],MATCH(tblMovement[[#This Row],[Source]],tblSources[Source],0)),"?"))</f>
        <v/>
      </c>
      <c r="L3753" s="63">
        <f>IF(tblMovement[[#This Row],[Destination]]="","",IFERROR(INDEX(tblDestinations[Type],MATCH(tblMovement[[#This Row],[Destination]],tblDestinations[Destination],0)),"?"))</f>
        <v/>
      </c>
      <c r="M3753" s="64">
        <f>IF(tblMovement[[#This Row],[Material]]="","",IF(LEFT(tblMovement[[#This Row],[Material]],3)="Ore",1,0))</f>
        <v/>
      </c>
      <c r="N3753" s="59">
        <f>IF(OR(tblMovement[[#This Row],[Tonnes_t]]="",tblMovement[[#This Row],[Grade_gpt]]=""),0,tblMovement[[#This Row],[Tonnes_t]]*tblMovement[[#This Row],[Grade_gpt]]/cfg_TroyOz)</f>
        <v/>
      </c>
      <c r="O3753" s="59">
        <f>IF(tblMovement[[#This Row],[Is_Ore]]=1,tblMovement[[#This Row],[Contained_oz]],0)</f>
        <v/>
      </c>
    </row>
    <row r="3754">
      <c r="A3754" s="54" t="n"/>
      <c r="B3754" s="61" t="n"/>
      <c r="C3754" s="61" t="n"/>
      <c r="D3754" s="61" t="n"/>
      <c r="E3754" s="61" t="n"/>
      <c r="F3754" s="55" t="n"/>
      <c r="G3754" s="56" t="n"/>
      <c r="H3754" s="55" t="n"/>
      <c r="I3754" s="62" t="n"/>
      <c r="J3754" s="58" t="n"/>
      <c r="K3754" s="63">
        <f>IF(tblMovement[[#This Row],[Source]]="","",IFERROR(INDEX(tblSources[Type],MATCH(tblMovement[[#This Row],[Source]],tblSources[Source],0)),"?"))</f>
        <v/>
      </c>
      <c r="L3754" s="63">
        <f>IF(tblMovement[[#This Row],[Destination]]="","",IFERROR(INDEX(tblDestinations[Type],MATCH(tblMovement[[#This Row],[Destination]],tblDestinations[Destination],0)),"?"))</f>
        <v/>
      </c>
      <c r="M3754" s="64">
        <f>IF(tblMovement[[#This Row],[Material]]="","",IF(LEFT(tblMovement[[#This Row],[Material]],3)="Ore",1,0))</f>
        <v/>
      </c>
      <c r="N3754" s="59">
        <f>IF(OR(tblMovement[[#This Row],[Tonnes_t]]="",tblMovement[[#This Row],[Grade_gpt]]=""),0,tblMovement[[#This Row],[Tonnes_t]]*tblMovement[[#This Row],[Grade_gpt]]/cfg_TroyOz)</f>
        <v/>
      </c>
      <c r="O3754" s="59">
        <f>IF(tblMovement[[#This Row],[Is_Ore]]=1,tblMovement[[#This Row],[Contained_oz]],0)</f>
        <v/>
      </c>
    </row>
    <row r="3755">
      <c r="A3755" s="54" t="n"/>
      <c r="B3755" s="61" t="n"/>
      <c r="C3755" s="61" t="n"/>
      <c r="D3755" s="61" t="n"/>
      <c r="E3755" s="61" t="n"/>
      <c r="F3755" s="55" t="n"/>
      <c r="G3755" s="56" t="n"/>
      <c r="H3755" s="55" t="n"/>
      <c r="I3755" s="62" t="n"/>
      <c r="J3755" s="58" t="n"/>
      <c r="K3755" s="63">
        <f>IF(tblMovement[[#This Row],[Source]]="","",IFERROR(INDEX(tblSources[Type],MATCH(tblMovement[[#This Row],[Source]],tblSources[Source],0)),"?"))</f>
        <v/>
      </c>
      <c r="L3755" s="63">
        <f>IF(tblMovement[[#This Row],[Destination]]="","",IFERROR(INDEX(tblDestinations[Type],MATCH(tblMovement[[#This Row],[Destination]],tblDestinations[Destination],0)),"?"))</f>
        <v/>
      </c>
      <c r="M3755" s="64">
        <f>IF(tblMovement[[#This Row],[Material]]="","",IF(LEFT(tblMovement[[#This Row],[Material]],3)="Ore",1,0))</f>
        <v/>
      </c>
      <c r="N3755" s="59">
        <f>IF(OR(tblMovement[[#This Row],[Tonnes_t]]="",tblMovement[[#This Row],[Grade_gpt]]=""),0,tblMovement[[#This Row],[Tonnes_t]]*tblMovement[[#This Row],[Grade_gpt]]/cfg_TroyOz)</f>
        <v/>
      </c>
      <c r="O3755" s="59">
        <f>IF(tblMovement[[#This Row],[Is_Ore]]=1,tblMovement[[#This Row],[Contained_oz]],0)</f>
        <v/>
      </c>
    </row>
    <row r="3756">
      <c r="A3756" s="54" t="n"/>
      <c r="B3756" s="61" t="n"/>
      <c r="C3756" s="61" t="n"/>
      <c r="D3756" s="61" t="n"/>
      <c r="E3756" s="61" t="n"/>
      <c r="F3756" s="55" t="n"/>
      <c r="G3756" s="56" t="n"/>
      <c r="H3756" s="55" t="n"/>
      <c r="I3756" s="62" t="n"/>
      <c r="J3756" s="58" t="n"/>
      <c r="K3756" s="63">
        <f>IF(tblMovement[[#This Row],[Source]]="","",IFERROR(INDEX(tblSources[Type],MATCH(tblMovement[[#This Row],[Source]],tblSources[Source],0)),"?"))</f>
        <v/>
      </c>
      <c r="L3756" s="63">
        <f>IF(tblMovement[[#This Row],[Destination]]="","",IFERROR(INDEX(tblDestinations[Type],MATCH(tblMovement[[#This Row],[Destination]],tblDestinations[Destination],0)),"?"))</f>
        <v/>
      </c>
      <c r="M3756" s="64">
        <f>IF(tblMovement[[#This Row],[Material]]="","",IF(LEFT(tblMovement[[#This Row],[Material]],3)="Ore",1,0))</f>
        <v/>
      </c>
      <c r="N3756" s="59">
        <f>IF(OR(tblMovement[[#This Row],[Tonnes_t]]="",tblMovement[[#This Row],[Grade_gpt]]=""),0,tblMovement[[#This Row],[Tonnes_t]]*tblMovement[[#This Row],[Grade_gpt]]/cfg_TroyOz)</f>
        <v/>
      </c>
      <c r="O3756" s="59">
        <f>IF(tblMovement[[#This Row],[Is_Ore]]=1,tblMovement[[#This Row],[Contained_oz]],0)</f>
        <v/>
      </c>
    </row>
    <row r="3757">
      <c r="A3757" s="54" t="n"/>
      <c r="B3757" s="61" t="n"/>
      <c r="C3757" s="61" t="n"/>
      <c r="D3757" s="61" t="n"/>
      <c r="E3757" s="61" t="n"/>
      <c r="F3757" s="55" t="n"/>
      <c r="G3757" s="56" t="n"/>
      <c r="H3757" s="55" t="n"/>
      <c r="I3757" s="62" t="n"/>
      <c r="J3757" s="58" t="n"/>
      <c r="K3757" s="63">
        <f>IF(tblMovement[[#This Row],[Source]]="","",IFERROR(INDEX(tblSources[Type],MATCH(tblMovement[[#This Row],[Source]],tblSources[Source],0)),"?"))</f>
        <v/>
      </c>
      <c r="L3757" s="63">
        <f>IF(tblMovement[[#This Row],[Destination]]="","",IFERROR(INDEX(tblDestinations[Type],MATCH(tblMovement[[#This Row],[Destination]],tblDestinations[Destination],0)),"?"))</f>
        <v/>
      </c>
      <c r="M3757" s="64">
        <f>IF(tblMovement[[#This Row],[Material]]="","",IF(LEFT(tblMovement[[#This Row],[Material]],3)="Ore",1,0))</f>
        <v/>
      </c>
      <c r="N3757" s="59">
        <f>IF(OR(tblMovement[[#This Row],[Tonnes_t]]="",tblMovement[[#This Row],[Grade_gpt]]=""),0,tblMovement[[#This Row],[Tonnes_t]]*tblMovement[[#This Row],[Grade_gpt]]/cfg_TroyOz)</f>
        <v/>
      </c>
      <c r="O3757" s="59">
        <f>IF(tblMovement[[#This Row],[Is_Ore]]=1,tblMovement[[#This Row],[Contained_oz]],0)</f>
        <v/>
      </c>
    </row>
    <row r="3758">
      <c r="A3758" s="54" t="n"/>
      <c r="B3758" s="61" t="n"/>
      <c r="C3758" s="61" t="n"/>
      <c r="D3758" s="61" t="n"/>
      <c r="E3758" s="61" t="n"/>
      <c r="F3758" s="55" t="n"/>
      <c r="G3758" s="56" t="n"/>
      <c r="H3758" s="55" t="n"/>
      <c r="I3758" s="62" t="n"/>
      <c r="J3758" s="58" t="n"/>
      <c r="K3758" s="63">
        <f>IF(tblMovement[[#This Row],[Source]]="","",IFERROR(INDEX(tblSources[Type],MATCH(tblMovement[[#This Row],[Source]],tblSources[Source],0)),"?"))</f>
        <v/>
      </c>
      <c r="L3758" s="63">
        <f>IF(tblMovement[[#This Row],[Destination]]="","",IFERROR(INDEX(tblDestinations[Type],MATCH(tblMovement[[#This Row],[Destination]],tblDestinations[Destination],0)),"?"))</f>
        <v/>
      </c>
      <c r="M3758" s="64">
        <f>IF(tblMovement[[#This Row],[Material]]="","",IF(LEFT(tblMovement[[#This Row],[Material]],3)="Ore",1,0))</f>
        <v/>
      </c>
      <c r="N3758" s="59">
        <f>IF(OR(tblMovement[[#This Row],[Tonnes_t]]="",tblMovement[[#This Row],[Grade_gpt]]=""),0,tblMovement[[#This Row],[Tonnes_t]]*tblMovement[[#This Row],[Grade_gpt]]/cfg_TroyOz)</f>
        <v/>
      </c>
      <c r="O3758" s="59">
        <f>IF(tblMovement[[#This Row],[Is_Ore]]=1,tblMovement[[#This Row],[Contained_oz]],0)</f>
        <v/>
      </c>
    </row>
    <row r="3759">
      <c r="A3759" s="54" t="n"/>
      <c r="B3759" s="61" t="n"/>
      <c r="C3759" s="61" t="n"/>
      <c r="D3759" s="61" t="n"/>
      <c r="E3759" s="61" t="n"/>
      <c r="F3759" s="55" t="n"/>
      <c r="G3759" s="56" t="n"/>
      <c r="H3759" s="55" t="n"/>
      <c r="I3759" s="62" t="n"/>
      <c r="J3759" s="58" t="n"/>
      <c r="K3759" s="63">
        <f>IF(tblMovement[[#This Row],[Source]]="","",IFERROR(INDEX(tblSources[Type],MATCH(tblMovement[[#This Row],[Source]],tblSources[Source],0)),"?"))</f>
        <v/>
      </c>
      <c r="L3759" s="63">
        <f>IF(tblMovement[[#This Row],[Destination]]="","",IFERROR(INDEX(tblDestinations[Type],MATCH(tblMovement[[#This Row],[Destination]],tblDestinations[Destination],0)),"?"))</f>
        <v/>
      </c>
      <c r="M3759" s="64">
        <f>IF(tblMovement[[#This Row],[Material]]="","",IF(LEFT(tblMovement[[#This Row],[Material]],3)="Ore",1,0))</f>
        <v/>
      </c>
      <c r="N3759" s="59">
        <f>IF(OR(tblMovement[[#This Row],[Tonnes_t]]="",tblMovement[[#This Row],[Grade_gpt]]=""),0,tblMovement[[#This Row],[Tonnes_t]]*tblMovement[[#This Row],[Grade_gpt]]/cfg_TroyOz)</f>
        <v/>
      </c>
      <c r="O3759" s="59">
        <f>IF(tblMovement[[#This Row],[Is_Ore]]=1,tblMovement[[#This Row],[Contained_oz]],0)</f>
        <v/>
      </c>
    </row>
    <row r="3760">
      <c r="A3760" s="54" t="n"/>
      <c r="B3760" s="61" t="n"/>
      <c r="C3760" s="61" t="n"/>
      <c r="D3760" s="61" t="n"/>
      <c r="E3760" s="61" t="n"/>
      <c r="F3760" s="55" t="n"/>
      <c r="G3760" s="56" t="n"/>
      <c r="H3760" s="55" t="n"/>
      <c r="I3760" s="62" t="n"/>
      <c r="J3760" s="58" t="n"/>
      <c r="K3760" s="63">
        <f>IF(tblMovement[[#This Row],[Source]]="","",IFERROR(INDEX(tblSources[Type],MATCH(tblMovement[[#This Row],[Source]],tblSources[Source],0)),"?"))</f>
        <v/>
      </c>
      <c r="L3760" s="63">
        <f>IF(tblMovement[[#This Row],[Destination]]="","",IFERROR(INDEX(tblDestinations[Type],MATCH(tblMovement[[#This Row],[Destination]],tblDestinations[Destination],0)),"?"))</f>
        <v/>
      </c>
      <c r="M3760" s="64">
        <f>IF(tblMovement[[#This Row],[Material]]="","",IF(LEFT(tblMovement[[#This Row],[Material]],3)="Ore",1,0))</f>
        <v/>
      </c>
      <c r="N3760" s="59">
        <f>IF(OR(tblMovement[[#This Row],[Tonnes_t]]="",tblMovement[[#This Row],[Grade_gpt]]=""),0,tblMovement[[#This Row],[Tonnes_t]]*tblMovement[[#This Row],[Grade_gpt]]/cfg_TroyOz)</f>
        <v/>
      </c>
      <c r="O3760" s="59">
        <f>IF(tblMovement[[#This Row],[Is_Ore]]=1,tblMovement[[#This Row],[Contained_oz]],0)</f>
        <v/>
      </c>
    </row>
    <row r="3761">
      <c r="A3761" s="54" t="n"/>
      <c r="B3761" s="61" t="n"/>
      <c r="C3761" s="61" t="n"/>
      <c r="D3761" s="61" t="n"/>
      <c r="E3761" s="61" t="n"/>
      <c r="F3761" s="55" t="n"/>
      <c r="G3761" s="56" t="n"/>
      <c r="H3761" s="55" t="n"/>
      <c r="I3761" s="62" t="n"/>
      <c r="J3761" s="58" t="n"/>
      <c r="K3761" s="63">
        <f>IF(tblMovement[[#This Row],[Source]]="","",IFERROR(INDEX(tblSources[Type],MATCH(tblMovement[[#This Row],[Source]],tblSources[Source],0)),"?"))</f>
        <v/>
      </c>
      <c r="L3761" s="63">
        <f>IF(tblMovement[[#This Row],[Destination]]="","",IFERROR(INDEX(tblDestinations[Type],MATCH(tblMovement[[#This Row],[Destination]],tblDestinations[Destination],0)),"?"))</f>
        <v/>
      </c>
      <c r="M3761" s="64">
        <f>IF(tblMovement[[#This Row],[Material]]="","",IF(LEFT(tblMovement[[#This Row],[Material]],3)="Ore",1,0))</f>
        <v/>
      </c>
      <c r="N3761" s="59">
        <f>IF(OR(tblMovement[[#This Row],[Tonnes_t]]="",tblMovement[[#This Row],[Grade_gpt]]=""),0,tblMovement[[#This Row],[Tonnes_t]]*tblMovement[[#This Row],[Grade_gpt]]/cfg_TroyOz)</f>
        <v/>
      </c>
      <c r="O3761" s="59">
        <f>IF(tblMovement[[#This Row],[Is_Ore]]=1,tblMovement[[#This Row],[Contained_oz]],0)</f>
        <v/>
      </c>
    </row>
    <row r="3762">
      <c r="A3762" s="54" t="n"/>
      <c r="B3762" s="61" t="n"/>
      <c r="C3762" s="61" t="n"/>
      <c r="D3762" s="61" t="n"/>
      <c r="E3762" s="61" t="n"/>
      <c r="F3762" s="55" t="n"/>
      <c r="G3762" s="56" t="n"/>
      <c r="H3762" s="55" t="n"/>
      <c r="I3762" s="62" t="n"/>
      <c r="J3762" s="58" t="n"/>
      <c r="K3762" s="63">
        <f>IF(tblMovement[[#This Row],[Source]]="","",IFERROR(INDEX(tblSources[Type],MATCH(tblMovement[[#This Row],[Source]],tblSources[Source],0)),"?"))</f>
        <v/>
      </c>
      <c r="L3762" s="63">
        <f>IF(tblMovement[[#This Row],[Destination]]="","",IFERROR(INDEX(tblDestinations[Type],MATCH(tblMovement[[#This Row],[Destination]],tblDestinations[Destination],0)),"?"))</f>
        <v/>
      </c>
      <c r="M3762" s="64">
        <f>IF(tblMovement[[#This Row],[Material]]="","",IF(LEFT(tblMovement[[#This Row],[Material]],3)="Ore",1,0))</f>
        <v/>
      </c>
      <c r="N3762" s="59">
        <f>IF(OR(tblMovement[[#This Row],[Tonnes_t]]="",tblMovement[[#This Row],[Grade_gpt]]=""),0,tblMovement[[#This Row],[Tonnes_t]]*tblMovement[[#This Row],[Grade_gpt]]/cfg_TroyOz)</f>
        <v/>
      </c>
      <c r="O3762" s="59">
        <f>IF(tblMovement[[#This Row],[Is_Ore]]=1,tblMovement[[#This Row],[Contained_oz]],0)</f>
        <v/>
      </c>
    </row>
    <row r="3763">
      <c r="A3763" s="54" t="n"/>
      <c r="B3763" s="61" t="n"/>
      <c r="C3763" s="61" t="n"/>
      <c r="D3763" s="61" t="n"/>
      <c r="E3763" s="61" t="n"/>
      <c r="F3763" s="55" t="n"/>
      <c r="G3763" s="56" t="n"/>
      <c r="H3763" s="55" t="n"/>
      <c r="I3763" s="62" t="n"/>
      <c r="J3763" s="58" t="n"/>
      <c r="K3763" s="63">
        <f>IF(tblMovement[[#This Row],[Source]]="","",IFERROR(INDEX(tblSources[Type],MATCH(tblMovement[[#This Row],[Source]],tblSources[Source],0)),"?"))</f>
        <v/>
      </c>
      <c r="L3763" s="63">
        <f>IF(tblMovement[[#This Row],[Destination]]="","",IFERROR(INDEX(tblDestinations[Type],MATCH(tblMovement[[#This Row],[Destination]],tblDestinations[Destination],0)),"?"))</f>
        <v/>
      </c>
      <c r="M3763" s="64">
        <f>IF(tblMovement[[#This Row],[Material]]="","",IF(LEFT(tblMovement[[#This Row],[Material]],3)="Ore",1,0))</f>
        <v/>
      </c>
      <c r="N3763" s="59">
        <f>IF(OR(tblMovement[[#This Row],[Tonnes_t]]="",tblMovement[[#This Row],[Grade_gpt]]=""),0,tblMovement[[#This Row],[Tonnes_t]]*tblMovement[[#This Row],[Grade_gpt]]/cfg_TroyOz)</f>
        <v/>
      </c>
      <c r="O3763" s="59">
        <f>IF(tblMovement[[#This Row],[Is_Ore]]=1,tblMovement[[#This Row],[Contained_oz]],0)</f>
        <v/>
      </c>
    </row>
    <row r="3764">
      <c r="A3764" s="54" t="n"/>
      <c r="B3764" s="61" t="n"/>
      <c r="C3764" s="61" t="n"/>
      <c r="D3764" s="61" t="n"/>
      <c r="E3764" s="61" t="n"/>
      <c r="F3764" s="55" t="n"/>
      <c r="G3764" s="56" t="n"/>
      <c r="H3764" s="55" t="n"/>
      <c r="I3764" s="62" t="n"/>
      <c r="J3764" s="58" t="n"/>
      <c r="K3764" s="63">
        <f>IF(tblMovement[[#This Row],[Source]]="","",IFERROR(INDEX(tblSources[Type],MATCH(tblMovement[[#This Row],[Source]],tblSources[Source],0)),"?"))</f>
        <v/>
      </c>
      <c r="L3764" s="63">
        <f>IF(tblMovement[[#This Row],[Destination]]="","",IFERROR(INDEX(tblDestinations[Type],MATCH(tblMovement[[#This Row],[Destination]],tblDestinations[Destination],0)),"?"))</f>
        <v/>
      </c>
      <c r="M3764" s="64">
        <f>IF(tblMovement[[#This Row],[Material]]="","",IF(LEFT(tblMovement[[#This Row],[Material]],3)="Ore",1,0))</f>
        <v/>
      </c>
      <c r="N3764" s="59">
        <f>IF(OR(tblMovement[[#This Row],[Tonnes_t]]="",tblMovement[[#This Row],[Grade_gpt]]=""),0,tblMovement[[#This Row],[Tonnes_t]]*tblMovement[[#This Row],[Grade_gpt]]/cfg_TroyOz)</f>
        <v/>
      </c>
      <c r="O3764" s="59">
        <f>IF(tblMovement[[#This Row],[Is_Ore]]=1,tblMovement[[#This Row],[Contained_oz]],0)</f>
        <v/>
      </c>
    </row>
    <row r="3765">
      <c r="A3765" s="54" t="n"/>
      <c r="B3765" s="61" t="n"/>
      <c r="C3765" s="61" t="n"/>
      <c r="D3765" s="61" t="n"/>
      <c r="E3765" s="61" t="n"/>
      <c r="F3765" s="55" t="n"/>
      <c r="G3765" s="56" t="n"/>
      <c r="H3765" s="55" t="n"/>
      <c r="I3765" s="62" t="n"/>
      <c r="J3765" s="58" t="n"/>
      <c r="K3765" s="63">
        <f>IF(tblMovement[[#This Row],[Source]]="","",IFERROR(INDEX(tblSources[Type],MATCH(tblMovement[[#This Row],[Source]],tblSources[Source],0)),"?"))</f>
        <v/>
      </c>
      <c r="L3765" s="63">
        <f>IF(tblMovement[[#This Row],[Destination]]="","",IFERROR(INDEX(tblDestinations[Type],MATCH(tblMovement[[#This Row],[Destination]],tblDestinations[Destination],0)),"?"))</f>
        <v/>
      </c>
      <c r="M3765" s="64">
        <f>IF(tblMovement[[#This Row],[Material]]="","",IF(LEFT(tblMovement[[#This Row],[Material]],3)="Ore",1,0))</f>
        <v/>
      </c>
      <c r="N3765" s="59">
        <f>IF(OR(tblMovement[[#This Row],[Tonnes_t]]="",tblMovement[[#This Row],[Grade_gpt]]=""),0,tblMovement[[#This Row],[Tonnes_t]]*tblMovement[[#This Row],[Grade_gpt]]/cfg_TroyOz)</f>
        <v/>
      </c>
      <c r="O3765" s="59">
        <f>IF(tblMovement[[#This Row],[Is_Ore]]=1,tblMovement[[#This Row],[Contained_oz]],0)</f>
        <v/>
      </c>
    </row>
    <row r="3766">
      <c r="A3766" s="54" t="n"/>
      <c r="B3766" s="61" t="n"/>
      <c r="C3766" s="61" t="n"/>
      <c r="D3766" s="61" t="n"/>
      <c r="E3766" s="61" t="n"/>
      <c r="F3766" s="55" t="n"/>
      <c r="G3766" s="56" t="n"/>
      <c r="H3766" s="55" t="n"/>
      <c r="I3766" s="62" t="n"/>
      <c r="J3766" s="58" t="n"/>
      <c r="K3766" s="63">
        <f>IF(tblMovement[[#This Row],[Source]]="","",IFERROR(INDEX(tblSources[Type],MATCH(tblMovement[[#This Row],[Source]],tblSources[Source],0)),"?"))</f>
        <v/>
      </c>
      <c r="L3766" s="63">
        <f>IF(tblMovement[[#This Row],[Destination]]="","",IFERROR(INDEX(tblDestinations[Type],MATCH(tblMovement[[#This Row],[Destination]],tblDestinations[Destination],0)),"?"))</f>
        <v/>
      </c>
      <c r="M3766" s="64">
        <f>IF(tblMovement[[#This Row],[Material]]="","",IF(LEFT(tblMovement[[#This Row],[Material]],3)="Ore",1,0))</f>
        <v/>
      </c>
      <c r="N3766" s="59">
        <f>IF(OR(tblMovement[[#This Row],[Tonnes_t]]="",tblMovement[[#This Row],[Grade_gpt]]=""),0,tblMovement[[#This Row],[Tonnes_t]]*tblMovement[[#This Row],[Grade_gpt]]/cfg_TroyOz)</f>
        <v/>
      </c>
      <c r="O3766" s="59">
        <f>IF(tblMovement[[#This Row],[Is_Ore]]=1,tblMovement[[#This Row],[Contained_oz]],0)</f>
        <v/>
      </c>
    </row>
    <row r="3767">
      <c r="A3767" s="54" t="n"/>
      <c r="B3767" s="61" t="n"/>
      <c r="C3767" s="61" t="n"/>
      <c r="D3767" s="61" t="n"/>
      <c r="E3767" s="61" t="n"/>
      <c r="F3767" s="55" t="n"/>
      <c r="G3767" s="56" t="n"/>
      <c r="H3767" s="55" t="n"/>
      <c r="I3767" s="62" t="n"/>
      <c r="J3767" s="58" t="n"/>
      <c r="K3767" s="63">
        <f>IF(tblMovement[[#This Row],[Source]]="","",IFERROR(INDEX(tblSources[Type],MATCH(tblMovement[[#This Row],[Source]],tblSources[Source],0)),"?"))</f>
        <v/>
      </c>
      <c r="L3767" s="63">
        <f>IF(tblMovement[[#This Row],[Destination]]="","",IFERROR(INDEX(tblDestinations[Type],MATCH(tblMovement[[#This Row],[Destination]],tblDestinations[Destination],0)),"?"))</f>
        <v/>
      </c>
      <c r="M3767" s="64">
        <f>IF(tblMovement[[#This Row],[Material]]="","",IF(LEFT(tblMovement[[#This Row],[Material]],3)="Ore",1,0))</f>
        <v/>
      </c>
      <c r="N3767" s="59">
        <f>IF(OR(tblMovement[[#This Row],[Tonnes_t]]="",tblMovement[[#This Row],[Grade_gpt]]=""),0,tblMovement[[#This Row],[Tonnes_t]]*tblMovement[[#This Row],[Grade_gpt]]/cfg_TroyOz)</f>
        <v/>
      </c>
      <c r="O3767" s="59">
        <f>IF(tblMovement[[#This Row],[Is_Ore]]=1,tblMovement[[#This Row],[Contained_oz]],0)</f>
        <v/>
      </c>
    </row>
    <row r="3768">
      <c r="A3768" s="54" t="n"/>
      <c r="B3768" s="61" t="n"/>
      <c r="C3768" s="61" t="n"/>
      <c r="D3768" s="61" t="n"/>
      <c r="E3768" s="61" t="n"/>
      <c r="F3768" s="55" t="n"/>
      <c r="G3768" s="56" t="n"/>
      <c r="H3768" s="55" t="n"/>
      <c r="I3768" s="62" t="n"/>
      <c r="J3768" s="58" t="n"/>
      <c r="K3768" s="63">
        <f>IF(tblMovement[[#This Row],[Source]]="","",IFERROR(INDEX(tblSources[Type],MATCH(tblMovement[[#This Row],[Source]],tblSources[Source],0)),"?"))</f>
        <v/>
      </c>
      <c r="L3768" s="63">
        <f>IF(tblMovement[[#This Row],[Destination]]="","",IFERROR(INDEX(tblDestinations[Type],MATCH(tblMovement[[#This Row],[Destination]],tblDestinations[Destination],0)),"?"))</f>
        <v/>
      </c>
      <c r="M3768" s="64">
        <f>IF(tblMovement[[#This Row],[Material]]="","",IF(LEFT(tblMovement[[#This Row],[Material]],3)="Ore",1,0))</f>
        <v/>
      </c>
      <c r="N3768" s="59">
        <f>IF(OR(tblMovement[[#This Row],[Tonnes_t]]="",tblMovement[[#This Row],[Grade_gpt]]=""),0,tblMovement[[#This Row],[Tonnes_t]]*tblMovement[[#This Row],[Grade_gpt]]/cfg_TroyOz)</f>
        <v/>
      </c>
      <c r="O3768" s="59">
        <f>IF(tblMovement[[#This Row],[Is_Ore]]=1,tblMovement[[#This Row],[Contained_oz]],0)</f>
        <v/>
      </c>
    </row>
    <row r="3769">
      <c r="A3769" s="54" t="n"/>
      <c r="B3769" s="61" t="n"/>
      <c r="C3769" s="61" t="n"/>
      <c r="D3769" s="61" t="n"/>
      <c r="E3769" s="61" t="n"/>
      <c r="F3769" s="55" t="n"/>
      <c r="G3769" s="56" t="n"/>
      <c r="H3769" s="55" t="n"/>
      <c r="I3769" s="62" t="n"/>
      <c r="J3769" s="58" t="n"/>
      <c r="K3769" s="63">
        <f>IF(tblMovement[[#This Row],[Source]]="","",IFERROR(INDEX(tblSources[Type],MATCH(tblMovement[[#This Row],[Source]],tblSources[Source],0)),"?"))</f>
        <v/>
      </c>
      <c r="L3769" s="63">
        <f>IF(tblMovement[[#This Row],[Destination]]="","",IFERROR(INDEX(tblDestinations[Type],MATCH(tblMovement[[#This Row],[Destination]],tblDestinations[Destination],0)),"?"))</f>
        <v/>
      </c>
      <c r="M3769" s="64">
        <f>IF(tblMovement[[#This Row],[Material]]="","",IF(LEFT(tblMovement[[#This Row],[Material]],3)="Ore",1,0))</f>
        <v/>
      </c>
      <c r="N3769" s="59">
        <f>IF(OR(tblMovement[[#This Row],[Tonnes_t]]="",tblMovement[[#This Row],[Grade_gpt]]=""),0,tblMovement[[#This Row],[Tonnes_t]]*tblMovement[[#This Row],[Grade_gpt]]/cfg_TroyOz)</f>
        <v/>
      </c>
      <c r="O3769" s="59">
        <f>IF(tblMovement[[#This Row],[Is_Ore]]=1,tblMovement[[#This Row],[Contained_oz]],0)</f>
        <v/>
      </c>
    </row>
    <row r="3770">
      <c r="A3770" s="54" t="n"/>
      <c r="B3770" s="61" t="n"/>
      <c r="C3770" s="61" t="n"/>
      <c r="D3770" s="61" t="n"/>
      <c r="E3770" s="61" t="n"/>
      <c r="F3770" s="55" t="n"/>
      <c r="G3770" s="56" t="n"/>
      <c r="H3770" s="55" t="n"/>
      <c r="I3770" s="62" t="n"/>
      <c r="J3770" s="58" t="n"/>
      <c r="K3770" s="63">
        <f>IF(tblMovement[[#This Row],[Source]]="","",IFERROR(INDEX(tblSources[Type],MATCH(tblMovement[[#This Row],[Source]],tblSources[Source],0)),"?"))</f>
        <v/>
      </c>
      <c r="L3770" s="63">
        <f>IF(tblMovement[[#This Row],[Destination]]="","",IFERROR(INDEX(tblDestinations[Type],MATCH(tblMovement[[#This Row],[Destination]],tblDestinations[Destination],0)),"?"))</f>
        <v/>
      </c>
      <c r="M3770" s="64">
        <f>IF(tblMovement[[#This Row],[Material]]="","",IF(LEFT(tblMovement[[#This Row],[Material]],3)="Ore",1,0))</f>
        <v/>
      </c>
      <c r="N3770" s="59">
        <f>IF(OR(tblMovement[[#This Row],[Tonnes_t]]="",tblMovement[[#This Row],[Grade_gpt]]=""),0,tblMovement[[#This Row],[Tonnes_t]]*tblMovement[[#This Row],[Grade_gpt]]/cfg_TroyOz)</f>
        <v/>
      </c>
      <c r="O3770" s="59">
        <f>IF(tblMovement[[#This Row],[Is_Ore]]=1,tblMovement[[#This Row],[Contained_oz]],0)</f>
        <v/>
      </c>
    </row>
    <row r="3771">
      <c r="A3771" s="54" t="n"/>
      <c r="B3771" s="61" t="n"/>
      <c r="C3771" s="61" t="n"/>
      <c r="D3771" s="61" t="n"/>
      <c r="E3771" s="61" t="n"/>
      <c r="F3771" s="55" t="n"/>
      <c r="G3771" s="56" t="n"/>
      <c r="H3771" s="55" t="n"/>
      <c r="I3771" s="62" t="n"/>
      <c r="J3771" s="58" t="n"/>
      <c r="K3771" s="63">
        <f>IF(tblMovement[[#This Row],[Source]]="","",IFERROR(INDEX(tblSources[Type],MATCH(tblMovement[[#This Row],[Source]],tblSources[Source],0)),"?"))</f>
        <v/>
      </c>
      <c r="L3771" s="63">
        <f>IF(tblMovement[[#This Row],[Destination]]="","",IFERROR(INDEX(tblDestinations[Type],MATCH(tblMovement[[#This Row],[Destination]],tblDestinations[Destination],0)),"?"))</f>
        <v/>
      </c>
      <c r="M3771" s="64">
        <f>IF(tblMovement[[#This Row],[Material]]="","",IF(LEFT(tblMovement[[#This Row],[Material]],3)="Ore",1,0))</f>
        <v/>
      </c>
      <c r="N3771" s="59">
        <f>IF(OR(tblMovement[[#This Row],[Tonnes_t]]="",tblMovement[[#This Row],[Grade_gpt]]=""),0,tblMovement[[#This Row],[Tonnes_t]]*tblMovement[[#This Row],[Grade_gpt]]/cfg_TroyOz)</f>
        <v/>
      </c>
      <c r="O3771" s="59">
        <f>IF(tblMovement[[#This Row],[Is_Ore]]=1,tblMovement[[#This Row],[Contained_oz]],0)</f>
        <v/>
      </c>
    </row>
    <row r="3772">
      <c r="A3772" s="54" t="n"/>
      <c r="B3772" s="61" t="n"/>
      <c r="C3772" s="61" t="n"/>
      <c r="D3772" s="61" t="n"/>
      <c r="E3772" s="61" t="n"/>
      <c r="F3772" s="55" t="n"/>
      <c r="G3772" s="56" t="n"/>
      <c r="H3772" s="55" t="n"/>
      <c r="I3772" s="62" t="n"/>
      <c r="J3772" s="58" t="n"/>
      <c r="K3772" s="63">
        <f>IF(tblMovement[[#This Row],[Source]]="","",IFERROR(INDEX(tblSources[Type],MATCH(tblMovement[[#This Row],[Source]],tblSources[Source],0)),"?"))</f>
        <v/>
      </c>
      <c r="L3772" s="63">
        <f>IF(tblMovement[[#This Row],[Destination]]="","",IFERROR(INDEX(tblDestinations[Type],MATCH(tblMovement[[#This Row],[Destination]],tblDestinations[Destination],0)),"?"))</f>
        <v/>
      </c>
      <c r="M3772" s="64">
        <f>IF(tblMovement[[#This Row],[Material]]="","",IF(LEFT(tblMovement[[#This Row],[Material]],3)="Ore",1,0))</f>
        <v/>
      </c>
      <c r="N3772" s="59">
        <f>IF(OR(tblMovement[[#This Row],[Tonnes_t]]="",tblMovement[[#This Row],[Grade_gpt]]=""),0,tblMovement[[#This Row],[Tonnes_t]]*tblMovement[[#This Row],[Grade_gpt]]/cfg_TroyOz)</f>
        <v/>
      </c>
      <c r="O3772" s="59">
        <f>IF(tblMovement[[#This Row],[Is_Ore]]=1,tblMovement[[#This Row],[Contained_oz]],0)</f>
        <v/>
      </c>
    </row>
    <row r="3773">
      <c r="A3773" s="54" t="n"/>
      <c r="B3773" s="61" t="n"/>
      <c r="C3773" s="61" t="n"/>
      <c r="D3773" s="61" t="n"/>
      <c r="E3773" s="61" t="n"/>
      <c r="F3773" s="55" t="n"/>
      <c r="G3773" s="56" t="n"/>
      <c r="H3773" s="55" t="n"/>
      <c r="I3773" s="62" t="n"/>
      <c r="J3773" s="58" t="n"/>
      <c r="K3773" s="63">
        <f>IF(tblMovement[[#This Row],[Source]]="","",IFERROR(INDEX(tblSources[Type],MATCH(tblMovement[[#This Row],[Source]],tblSources[Source],0)),"?"))</f>
        <v/>
      </c>
      <c r="L3773" s="63">
        <f>IF(tblMovement[[#This Row],[Destination]]="","",IFERROR(INDEX(tblDestinations[Type],MATCH(tblMovement[[#This Row],[Destination]],tblDestinations[Destination],0)),"?"))</f>
        <v/>
      </c>
      <c r="M3773" s="64">
        <f>IF(tblMovement[[#This Row],[Material]]="","",IF(LEFT(tblMovement[[#This Row],[Material]],3)="Ore",1,0))</f>
        <v/>
      </c>
      <c r="N3773" s="59">
        <f>IF(OR(tblMovement[[#This Row],[Tonnes_t]]="",tblMovement[[#This Row],[Grade_gpt]]=""),0,tblMovement[[#This Row],[Tonnes_t]]*tblMovement[[#This Row],[Grade_gpt]]/cfg_TroyOz)</f>
        <v/>
      </c>
      <c r="O3773" s="59">
        <f>IF(tblMovement[[#This Row],[Is_Ore]]=1,tblMovement[[#This Row],[Contained_oz]],0)</f>
        <v/>
      </c>
    </row>
    <row r="3774">
      <c r="A3774" s="54" t="n"/>
      <c r="B3774" s="61" t="n"/>
      <c r="C3774" s="61" t="n"/>
      <c r="D3774" s="61" t="n"/>
      <c r="E3774" s="61" t="n"/>
      <c r="F3774" s="55" t="n"/>
      <c r="G3774" s="56" t="n"/>
      <c r="H3774" s="55" t="n"/>
      <c r="I3774" s="62" t="n"/>
      <c r="J3774" s="58" t="n"/>
      <c r="K3774" s="63">
        <f>IF(tblMovement[[#This Row],[Source]]="","",IFERROR(INDEX(tblSources[Type],MATCH(tblMovement[[#This Row],[Source]],tblSources[Source],0)),"?"))</f>
        <v/>
      </c>
      <c r="L3774" s="63">
        <f>IF(tblMovement[[#This Row],[Destination]]="","",IFERROR(INDEX(tblDestinations[Type],MATCH(tblMovement[[#This Row],[Destination]],tblDestinations[Destination],0)),"?"))</f>
        <v/>
      </c>
      <c r="M3774" s="64">
        <f>IF(tblMovement[[#This Row],[Material]]="","",IF(LEFT(tblMovement[[#This Row],[Material]],3)="Ore",1,0))</f>
        <v/>
      </c>
      <c r="N3774" s="59">
        <f>IF(OR(tblMovement[[#This Row],[Tonnes_t]]="",tblMovement[[#This Row],[Grade_gpt]]=""),0,tblMovement[[#This Row],[Tonnes_t]]*tblMovement[[#This Row],[Grade_gpt]]/cfg_TroyOz)</f>
        <v/>
      </c>
      <c r="O3774" s="59">
        <f>IF(tblMovement[[#This Row],[Is_Ore]]=1,tblMovement[[#This Row],[Contained_oz]],0)</f>
        <v/>
      </c>
    </row>
    <row r="3775">
      <c r="A3775" s="54" t="n"/>
      <c r="B3775" s="61" t="n"/>
      <c r="C3775" s="61" t="n"/>
      <c r="D3775" s="61" t="n"/>
      <c r="E3775" s="61" t="n"/>
      <c r="F3775" s="55" t="n"/>
      <c r="G3775" s="56" t="n"/>
      <c r="H3775" s="55" t="n"/>
      <c r="I3775" s="62" t="n"/>
      <c r="J3775" s="58" t="n"/>
      <c r="K3775" s="63">
        <f>IF(tblMovement[[#This Row],[Source]]="","",IFERROR(INDEX(tblSources[Type],MATCH(tblMovement[[#This Row],[Source]],tblSources[Source],0)),"?"))</f>
        <v/>
      </c>
      <c r="L3775" s="63">
        <f>IF(tblMovement[[#This Row],[Destination]]="","",IFERROR(INDEX(tblDestinations[Type],MATCH(tblMovement[[#This Row],[Destination]],tblDestinations[Destination],0)),"?"))</f>
        <v/>
      </c>
      <c r="M3775" s="64">
        <f>IF(tblMovement[[#This Row],[Material]]="","",IF(LEFT(tblMovement[[#This Row],[Material]],3)="Ore",1,0))</f>
        <v/>
      </c>
      <c r="N3775" s="59">
        <f>IF(OR(tblMovement[[#This Row],[Tonnes_t]]="",tblMovement[[#This Row],[Grade_gpt]]=""),0,tblMovement[[#This Row],[Tonnes_t]]*tblMovement[[#This Row],[Grade_gpt]]/cfg_TroyOz)</f>
        <v/>
      </c>
      <c r="O3775" s="59">
        <f>IF(tblMovement[[#This Row],[Is_Ore]]=1,tblMovement[[#This Row],[Contained_oz]],0)</f>
        <v/>
      </c>
    </row>
    <row r="3776">
      <c r="A3776" s="54" t="n"/>
      <c r="B3776" s="61" t="n"/>
      <c r="C3776" s="61" t="n"/>
      <c r="D3776" s="61" t="n"/>
      <c r="E3776" s="61" t="n"/>
      <c r="F3776" s="55" t="n"/>
      <c r="G3776" s="56" t="n"/>
      <c r="H3776" s="55" t="n"/>
      <c r="I3776" s="62" t="n"/>
      <c r="J3776" s="58" t="n"/>
      <c r="K3776" s="63">
        <f>IF(tblMovement[[#This Row],[Source]]="","",IFERROR(INDEX(tblSources[Type],MATCH(tblMovement[[#This Row],[Source]],tblSources[Source],0)),"?"))</f>
        <v/>
      </c>
      <c r="L3776" s="63">
        <f>IF(tblMovement[[#This Row],[Destination]]="","",IFERROR(INDEX(tblDestinations[Type],MATCH(tblMovement[[#This Row],[Destination]],tblDestinations[Destination],0)),"?"))</f>
        <v/>
      </c>
      <c r="M3776" s="64">
        <f>IF(tblMovement[[#This Row],[Material]]="","",IF(LEFT(tblMovement[[#This Row],[Material]],3)="Ore",1,0))</f>
        <v/>
      </c>
      <c r="N3776" s="59">
        <f>IF(OR(tblMovement[[#This Row],[Tonnes_t]]="",tblMovement[[#This Row],[Grade_gpt]]=""),0,tblMovement[[#This Row],[Tonnes_t]]*tblMovement[[#This Row],[Grade_gpt]]/cfg_TroyOz)</f>
        <v/>
      </c>
      <c r="O3776" s="59">
        <f>IF(tblMovement[[#This Row],[Is_Ore]]=1,tblMovement[[#This Row],[Contained_oz]],0)</f>
        <v/>
      </c>
    </row>
    <row r="3777">
      <c r="A3777" s="54" t="n"/>
      <c r="B3777" s="61" t="n"/>
      <c r="C3777" s="61" t="n"/>
      <c r="D3777" s="61" t="n"/>
      <c r="E3777" s="61" t="n"/>
      <c r="F3777" s="55" t="n"/>
      <c r="G3777" s="56" t="n"/>
      <c r="H3777" s="55" t="n"/>
      <c r="I3777" s="62" t="n"/>
      <c r="J3777" s="58" t="n"/>
      <c r="K3777" s="63">
        <f>IF(tblMovement[[#This Row],[Source]]="","",IFERROR(INDEX(tblSources[Type],MATCH(tblMovement[[#This Row],[Source]],tblSources[Source],0)),"?"))</f>
        <v/>
      </c>
      <c r="L3777" s="63">
        <f>IF(tblMovement[[#This Row],[Destination]]="","",IFERROR(INDEX(tblDestinations[Type],MATCH(tblMovement[[#This Row],[Destination]],tblDestinations[Destination],0)),"?"))</f>
        <v/>
      </c>
      <c r="M3777" s="64">
        <f>IF(tblMovement[[#This Row],[Material]]="","",IF(LEFT(tblMovement[[#This Row],[Material]],3)="Ore",1,0))</f>
        <v/>
      </c>
      <c r="N3777" s="59">
        <f>IF(OR(tblMovement[[#This Row],[Tonnes_t]]="",tblMovement[[#This Row],[Grade_gpt]]=""),0,tblMovement[[#This Row],[Tonnes_t]]*tblMovement[[#This Row],[Grade_gpt]]/cfg_TroyOz)</f>
        <v/>
      </c>
      <c r="O3777" s="59">
        <f>IF(tblMovement[[#This Row],[Is_Ore]]=1,tblMovement[[#This Row],[Contained_oz]],0)</f>
        <v/>
      </c>
    </row>
    <row r="3778">
      <c r="A3778" s="54" t="n"/>
      <c r="B3778" s="61" t="n"/>
      <c r="C3778" s="61" t="n"/>
      <c r="D3778" s="61" t="n"/>
      <c r="E3778" s="61" t="n"/>
      <c r="F3778" s="55" t="n"/>
      <c r="G3778" s="56" t="n"/>
      <c r="H3778" s="55" t="n"/>
      <c r="I3778" s="62" t="n"/>
      <c r="J3778" s="58" t="n"/>
      <c r="K3778" s="63">
        <f>IF(tblMovement[[#This Row],[Source]]="","",IFERROR(INDEX(tblSources[Type],MATCH(tblMovement[[#This Row],[Source]],tblSources[Source],0)),"?"))</f>
        <v/>
      </c>
      <c r="L3778" s="63">
        <f>IF(tblMovement[[#This Row],[Destination]]="","",IFERROR(INDEX(tblDestinations[Type],MATCH(tblMovement[[#This Row],[Destination]],tblDestinations[Destination],0)),"?"))</f>
        <v/>
      </c>
      <c r="M3778" s="64">
        <f>IF(tblMovement[[#This Row],[Material]]="","",IF(LEFT(tblMovement[[#This Row],[Material]],3)="Ore",1,0))</f>
        <v/>
      </c>
      <c r="N3778" s="59">
        <f>IF(OR(tblMovement[[#This Row],[Tonnes_t]]="",tblMovement[[#This Row],[Grade_gpt]]=""),0,tblMovement[[#This Row],[Tonnes_t]]*tblMovement[[#This Row],[Grade_gpt]]/cfg_TroyOz)</f>
        <v/>
      </c>
      <c r="O3778" s="59">
        <f>IF(tblMovement[[#This Row],[Is_Ore]]=1,tblMovement[[#This Row],[Contained_oz]],0)</f>
        <v/>
      </c>
    </row>
    <row r="3779">
      <c r="A3779" s="54" t="n"/>
      <c r="B3779" s="61" t="n"/>
      <c r="C3779" s="61" t="n"/>
      <c r="D3779" s="61" t="n"/>
      <c r="E3779" s="61" t="n"/>
      <c r="F3779" s="55" t="n"/>
      <c r="G3779" s="56" t="n"/>
      <c r="H3779" s="55" t="n"/>
      <c r="I3779" s="62" t="n"/>
      <c r="J3779" s="58" t="n"/>
      <c r="K3779" s="63">
        <f>IF(tblMovement[[#This Row],[Source]]="","",IFERROR(INDEX(tblSources[Type],MATCH(tblMovement[[#This Row],[Source]],tblSources[Source],0)),"?"))</f>
        <v/>
      </c>
      <c r="L3779" s="63">
        <f>IF(tblMovement[[#This Row],[Destination]]="","",IFERROR(INDEX(tblDestinations[Type],MATCH(tblMovement[[#This Row],[Destination]],tblDestinations[Destination],0)),"?"))</f>
        <v/>
      </c>
      <c r="M3779" s="64">
        <f>IF(tblMovement[[#This Row],[Material]]="","",IF(LEFT(tblMovement[[#This Row],[Material]],3)="Ore",1,0))</f>
        <v/>
      </c>
      <c r="N3779" s="59">
        <f>IF(OR(tblMovement[[#This Row],[Tonnes_t]]="",tblMovement[[#This Row],[Grade_gpt]]=""),0,tblMovement[[#This Row],[Tonnes_t]]*tblMovement[[#This Row],[Grade_gpt]]/cfg_TroyOz)</f>
        <v/>
      </c>
      <c r="O3779" s="59">
        <f>IF(tblMovement[[#This Row],[Is_Ore]]=1,tblMovement[[#This Row],[Contained_oz]],0)</f>
        <v/>
      </c>
    </row>
    <row r="3780">
      <c r="A3780" s="54" t="n"/>
      <c r="B3780" s="61" t="n"/>
      <c r="C3780" s="61" t="n"/>
      <c r="D3780" s="61" t="n"/>
      <c r="E3780" s="61" t="n"/>
      <c r="F3780" s="55" t="n"/>
      <c r="G3780" s="56" t="n"/>
      <c r="H3780" s="55" t="n"/>
      <c r="I3780" s="62" t="n"/>
      <c r="J3780" s="58" t="n"/>
      <c r="K3780" s="63">
        <f>IF(tblMovement[[#This Row],[Source]]="","",IFERROR(INDEX(tblSources[Type],MATCH(tblMovement[[#This Row],[Source]],tblSources[Source],0)),"?"))</f>
        <v/>
      </c>
      <c r="L3780" s="63">
        <f>IF(tblMovement[[#This Row],[Destination]]="","",IFERROR(INDEX(tblDestinations[Type],MATCH(tblMovement[[#This Row],[Destination]],tblDestinations[Destination],0)),"?"))</f>
        <v/>
      </c>
      <c r="M3780" s="64">
        <f>IF(tblMovement[[#This Row],[Material]]="","",IF(LEFT(tblMovement[[#This Row],[Material]],3)="Ore",1,0))</f>
        <v/>
      </c>
      <c r="N3780" s="59">
        <f>IF(OR(tblMovement[[#This Row],[Tonnes_t]]="",tblMovement[[#This Row],[Grade_gpt]]=""),0,tblMovement[[#This Row],[Tonnes_t]]*tblMovement[[#This Row],[Grade_gpt]]/cfg_TroyOz)</f>
        <v/>
      </c>
      <c r="O3780" s="59">
        <f>IF(tblMovement[[#This Row],[Is_Ore]]=1,tblMovement[[#This Row],[Contained_oz]],0)</f>
        <v/>
      </c>
    </row>
    <row r="3781">
      <c r="A3781" s="54" t="n"/>
      <c r="B3781" s="61" t="n"/>
      <c r="C3781" s="61" t="n"/>
      <c r="D3781" s="61" t="n"/>
      <c r="E3781" s="61" t="n"/>
      <c r="F3781" s="55" t="n"/>
      <c r="G3781" s="56" t="n"/>
      <c r="H3781" s="55" t="n"/>
      <c r="I3781" s="62" t="n"/>
      <c r="J3781" s="58" t="n"/>
      <c r="K3781" s="63">
        <f>IF(tblMovement[[#This Row],[Source]]="","",IFERROR(INDEX(tblSources[Type],MATCH(tblMovement[[#This Row],[Source]],tblSources[Source],0)),"?"))</f>
        <v/>
      </c>
      <c r="L3781" s="63">
        <f>IF(tblMovement[[#This Row],[Destination]]="","",IFERROR(INDEX(tblDestinations[Type],MATCH(tblMovement[[#This Row],[Destination]],tblDestinations[Destination],0)),"?"))</f>
        <v/>
      </c>
      <c r="M3781" s="64">
        <f>IF(tblMovement[[#This Row],[Material]]="","",IF(LEFT(tblMovement[[#This Row],[Material]],3)="Ore",1,0))</f>
        <v/>
      </c>
      <c r="N3781" s="59">
        <f>IF(OR(tblMovement[[#This Row],[Tonnes_t]]="",tblMovement[[#This Row],[Grade_gpt]]=""),0,tblMovement[[#This Row],[Tonnes_t]]*tblMovement[[#This Row],[Grade_gpt]]/cfg_TroyOz)</f>
        <v/>
      </c>
      <c r="O3781" s="59">
        <f>IF(tblMovement[[#This Row],[Is_Ore]]=1,tblMovement[[#This Row],[Contained_oz]],0)</f>
        <v/>
      </c>
    </row>
    <row r="3782">
      <c r="A3782" s="54" t="n"/>
      <c r="B3782" s="61" t="n"/>
      <c r="C3782" s="61" t="n"/>
      <c r="D3782" s="61" t="n"/>
      <c r="E3782" s="61" t="n"/>
      <c r="F3782" s="55" t="n"/>
      <c r="G3782" s="56" t="n"/>
      <c r="H3782" s="55" t="n"/>
      <c r="I3782" s="62" t="n"/>
      <c r="J3782" s="58" t="n"/>
      <c r="K3782" s="63">
        <f>IF(tblMovement[[#This Row],[Source]]="","",IFERROR(INDEX(tblSources[Type],MATCH(tblMovement[[#This Row],[Source]],tblSources[Source],0)),"?"))</f>
        <v/>
      </c>
      <c r="L3782" s="63">
        <f>IF(tblMovement[[#This Row],[Destination]]="","",IFERROR(INDEX(tblDestinations[Type],MATCH(tblMovement[[#This Row],[Destination]],tblDestinations[Destination],0)),"?"))</f>
        <v/>
      </c>
      <c r="M3782" s="64">
        <f>IF(tblMovement[[#This Row],[Material]]="","",IF(LEFT(tblMovement[[#This Row],[Material]],3)="Ore",1,0))</f>
        <v/>
      </c>
      <c r="N3782" s="59">
        <f>IF(OR(tblMovement[[#This Row],[Tonnes_t]]="",tblMovement[[#This Row],[Grade_gpt]]=""),0,tblMovement[[#This Row],[Tonnes_t]]*tblMovement[[#This Row],[Grade_gpt]]/cfg_TroyOz)</f>
        <v/>
      </c>
      <c r="O3782" s="59">
        <f>IF(tblMovement[[#This Row],[Is_Ore]]=1,tblMovement[[#This Row],[Contained_oz]],0)</f>
        <v/>
      </c>
    </row>
    <row r="3783">
      <c r="A3783" s="54" t="n"/>
      <c r="B3783" s="61" t="n"/>
      <c r="C3783" s="61" t="n"/>
      <c r="D3783" s="61" t="n"/>
      <c r="E3783" s="61" t="n"/>
      <c r="F3783" s="55" t="n"/>
      <c r="G3783" s="56" t="n"/>
      <c r="H3783" s="55" t="n"/>
      <c r="I3783" s="62" t="n"/>
      <c r="J3783" s="58" t="n"/>
      <c r="K3783" s="63">
        <f>IF(tblMovement[[#This Row],[Source]]="","",IFERROR(INDEX(tblSources[Type],MATCH(tblMovement[[#This Row],[Source]],tblSources[Source],0)),"?"))</f>
        <v/>
      </c>
      <c r="L3783" s="63">
        <f>IF(tblMovement[[#This Row],[Destination]]="","",IFERROR(INDEX(tblDestinations[Type],MATCH(tblMovement[[#This Row],[Destination]],tblDestinations[Destination],0)),"?"))</f>
        <v/>
      </c>
      <c r="M3783" s="64">
        <f>IF(tblMovement[[#This Row],[Material]]="","",IF(LEFT(tblMovement[[#This Row],[Material]],3)="Ore",1,0))</f>
        <v/>
      </c>
      <c r="N3783" s="59">
        <f>IF(OR(tblMovement[[#This Row],[Tonnes_t]]="",tblMovement[[#This Row],[Grade_gpt]]=""),0,tblMovement[[#This Row],[Tonnes_t]]*tblMovement[[#This Row],[Grade_gpt]]/cfg_TroyOz)</f>
        <v/>
      </c>
      <c r="O3783" s="59">
        <f>IF(tblMovement[[#This Row],[Is_Ore]]=1,tblMovement[[#This Row],[Contained_oz]],0)</f>
        <v/>
      </c>
    </row>
    <row r="3784">
      <c r="A3784" s="54" t="n"/>
      <c r="B3784" s="61" t="n"/>
      <c r="C3784" s="61" t="n"/>
      <c r="D3784" s="61" t="n"/>
      <c r="E3784" s="61" t="n"/>
      <c r="F3784" s="55" t="n"/>
      <c r="G3784" s="56" t="n"/>
      <c r="H3784" s="55" t="n"/>
      <c r="I3784" s="62" t="n"/>
      <c r="J3784" s="58" t="n"/>
      <c r="K3784" s="63">
        <f>IF(tblMovement[[#This Row],[Source]]="","",IFERROR(INDEX(tblSources[Type],MATCH(tblMovement[[#This Row],[Source]],tblSources[Source],0)),"?"))</f>
        <v/>
      </c>
      <c r="L3784" s="63">
        <f>IF(tblMovement[[#This Row],[Destination]]="","",IFERROR(INDEX(tblDestinations[Type],MATCH(tblMovement[[#This Row],[Destination]],tblDestinations[Destination],0)),"?"))</f>
        <v/>
      </c>
      <c r="M3784" s="64">
        <f>IF(tblMovement[[#This Row],[Material]]="","",IF(LEFT(tblMovement[[#This Row],[Material]],3)="Ore",1,0))</f>
        <v/>
      </c>
      <c r="N3784" s="59">
        <f>IF(OR(tblMovement[[#This Row],[Tonnes_t]]="",tblMovement[[#This Row],[Grade_gpt]]=""),0,tblMovement[[#This Row],[Tonnes_t]]*tblMovement[[#This Row],[Grade_gpt]]/cfg_TroyOz)</f>
        <v/>
      </c>
      <c r="O3784" s="59">
        <f>IF(tblMovement[[#This Row],[Is_Ore]]=1,tblMovement[[#This Row],[Contained_oz]],0)</f>
        <v/>
      </c>
    </row>
    <row r="3785">
      <c r="A3785" s="54" t="n"/>
      <c r="B3785" s="61" t="n"/>
      <c r="C3785" s="61" t="n"/>
      <c r="D3785" s="61" t="n"/>
      <c r="E3785" s="61" t="n"/>
      <c r="F3785" s="55" t="n"/>
      <c r="G3785" s="56" t="n"/>
      <c r="H3785" s="55" t="n"/>
      <c r="I3785" s="62" t="n"/>
      <c r="J3785" s="58" t="n"/>
      <c r="K3785" s="63">
        <f>IF(tblMovement[[#This Row],[Source]]="","",IFERROR(INDEX(tblSources[Type],MATCH(tblMovement[[#This Row],[Source]],tblSources[Source],0)),"?"))</f>
        <v/>
      </c>
      <c r="L3785" s="63">
        <f>IF(tblMovement[[#This Row],[Destination]]="","",IFERROR(INDEX(tblDestinations[Type],MATCH(tblMovement[[#This Row],[Destination]],tblDestinations[Destination],0)),"?"))</f>
        <v/>
      </c>
      <c r="M3785" s="64">
        <f>IF(tblMovement[[#This Row],[Material]]="","",IF(LEFT(tblMovement[[#This Row],[Material]],3)="Ore",1,0))</f>
        <v/>
      </c>
      <c r="N3785" s="59">
        <f>IF(OR(tblMovement[[#This Row],[Tonnes_t]]="",tblMovement[[#This Row],[Grade_gpt]]=""),0,tblMovement[[#This Row],[Tonnes_t]]*tblMovement[[#This Row],[Grade_gpt]]/cfg_TroyOz)</f>
        <v/>
      </c>
      <c r="O3785" s="59">
        <f>IF(tblMovement[[#This Row],[Is_Ore]]=1,tblMovement[[#This Row],[Contained_oz]],0)</f>
        <v/>
      </c>
    </row>
    <row r="3786">
      <c r="A3786" s="54" t="n"/>
      <c r="B3786" s="61" t="n"/>
      <c r="C3786" s="61" t="n"/>
      <c r="D3786" s="61" t="n"/>
      <c r="E3786" s="61" t="n"/>
      <c r="F3786" s="55" t="n"/>
      <c r="G3786" s="56" t="n"/>
      <c r="H3786" s="55" t="n"/>
      <c r="I3786" s="62" t="n"/>
      <c r="J3786" s="58" t="n"/>
      <c r="K3786" s="63">
        <f>IF(tblMovement[[#This Row],[Source]]="","",IFERROR(INDEX(tblSources[Type],MATCH(tblMovement[[#This Row],[Source]],tblSources[Source],0)),"?"))</f>
        <v/>
      </c>
      <c r="L3786" s="63">
        <f>IF(tblMovement[[#This Row],[Destination]]="","",IFERROR(INDEX(tblDestinations[Type],MATCH(tblMovement[[#This Row],[Destination]],tblDestinations[Destination],0)),"?"))</f>
        <v/>
      </c>
      <c r="M3786" s="64">
        <f>IF(tblMovement[[#This Row],[Material]]="","",IF(LEFT(tblMovement[[#This Row],[Material]],3)="Ore",1,0))</f>
        <v/>
      </c>
      <c r="N3786" s="59">
        <f>IF(OR(tblMovement[[#This Row],[Tonnes_t]]="",tblMovement[[#This Row],[Grade_gpt]]=""),0,tblMovement[[#This Row],[Tonnes_t]]*tblMovement[[#This Row],[Grade_gpt]]/cfg_TroyOz)</f>
        <v/>
      </c>
      <c r="O3786" s="59">
        <f>IF(tblMovement[[#This Row],[Is_Ore]]=1,tblMovement[[#This Row],[Contained_oz]],0)</f>
        <v/>
      </c>
    </row>
    <row r="3787">
      <c r="A3787" s="54" t="n"/>
      <c r="B3787" s="61" t="n"/>
      <c r="C3787" s="61" t="n"/>
      <c r="D3787" s="61" t="n"/>
      <c r="E3787" s="61" t="n"/>
      <c r="F3787" s="55" t="n"/>
      <c r="G3787" s="56" t="n"/>
      <c r="H3787" s="55" t="n"/>
      <c r="I3787" s="62" t="n"/>
      <c r="J3787" s="58" t="n"/>
      <c r="K3787" s="63">
        <f>IF(tblMovement[[#This Row],[Source]]="","",IFERROR(INDEX(tblSources[Type],MATCH(tblMovement[[#This Row],[Source]],tblSources[Source],0)),"?"))</f>
        <v/>
      </c>
      <c r="L3787" s="63">
        <f>IF(tblMovement[[#This Row],[Destination]]="","",IFERROR(INDEX(tblDestinations[Type],MATCH(tblMovement[[#This Row],[Destination]],tblDestinations[Destination],0)),"?"))</f>
        <v/>
      </c>
      <c r="M3787" s="64">
        <f>IF(tblMovement[[#This Row],[Material]]="","",IF(LEFT(tblMovement[[#This Row],[Material]],3)="Ore",1,0))</f>
        <v/>
      </c>
      <c r="N3787" s="59">
        <f>IF(OR(tblMovement[[#This Row],[Tonnes_t]]="",tblMovement[[#This Row],[Grade_gpt]]=""),0,tblMovement[[#This Row],[Tonnes_t]]*tblMovement[[#This Row],[Grade_gpt]]/cfg_TroyOz)</f>
        <v/>
      </c>
      <c r="O3787" s="59">
        <f>IF(tblMovement[[#This Row],[Is_Ore]]=1,tblMovement[[#This Row],[Contained_oz]],0)</f>
        <v/>
      </c>
    </row>
    <row r="3788">
      <c r="A3788" s="54" t="n"/>
      <c r="B3788" s="61" t="n"/>
      <c r="C3788" s="61" t="n"/>
      <c r="D3788" s="61" t="n"/>
      <c r="E3788" s="61" t="n"/>
      <c r="F3788" s="55" t="n"/>
      <c r="G3788" s="56" t="n"/>
      <c r="H3788" s="55" t="n"/>
      <c r="I3788" s="62" t="n"/>
      <c r="J3788" s="58" t="n"/>
      <c r="K3788" s="63">
        <f>IF(tblMovement[[#This Row],[Source]]="","",IFERROR(INDEX(tblSources[Type],MATCH(tblMovement[[#This Row],[Source]],tblSources[Source],0)),"?"))</f>
        <v/>
      </c>
      <c r="L3788" s="63">
        <f>IF(tblMovement[[#This Row],[Destination]]="","",IFERROR(INDEX(tblDestinations[Type],MATCH(tblMovement[[#This Row],[Destination]],tblDestinations[Destination],0)),"?"))</f>
        <v/>
      </c>
      <c r="M3788" s="64">
        <f>IF(tblMovement[[#This Row],[Material]]="","",IF(LEFT(tblMovement[[#This Row],[Material]],3)="Ore",1,0))</f>
        <v/>
      </c>
      <c r="N3788" s="59">
        <f>IF(OR(tblMovement[[#This Row],[Tonnes_t]]="",tblMovement[[#This Row],[Grade_gpt]]=""),0,tblMovement[[#This Row],[Tonnes_t]]*tblMovement[[#This Row],[Grade_gpt]]/cfg_TroyOz)</f>
        <v/>
      </c>
      <c r="O3788" s="59">
        <f>IF(tblMovement[[#This Row],[Is_Ore]]=1,tblMovement[[#This Row],[Contained_oz]],0)</f>
        <v/>
      </c>
    </row>
    <row r="3789">
      <c r="A3789" s="54" t="n"/>
      <c r="B3789" s="61" t="n"/>
      <c r="C3789" s="61" t="n"/>
      <c r="D3789" s="61" t="n"/>
      <c r="E3789" s="61" t="n"/>
      <c r="F3789" s="55" t="n"/>
      <c r="G3789" s="56" t="n"/>
      <c r="H3789" s="55" t="n"/>
      <c r="I3789" s="62" t="n"/>
      <c r="J3789" s="58" t="n"/>
      <c r="K3789" s="63">
        <f>IF(tblMovement[[#This Row],[Source]]="","",IFERROR(INDEX(tblSources[Type],MATCH(tblMovement[[#This Row],[Source]],tblSources[Source],0)),"?"))</f>
        <v/>
      </c>
      <c r="L3789" s="63">
        <f>IF(tblMovement[[#This Row],[Destination]]="","",IFERROR(INDEX(tblDestinations[Type],MATCH(tblMovement[[#This Row],[Destination]],tblDestinations[Destination],0)),"?"))</f>
        <v/>
      </c>
      <c r="M3789" s="64">
        <f>IF(tblMovement[[#This Row],[Material]]="","",IF(LEFT(tblMovement[[#This Row],[Material]],3)="Ore",1,0))</f>
        <v/>
      </c>
      <c r="N3789" s="59">
        <f>IF(OR(tblMovement[[#This Row],[Tonnes_t]]="",tblMovement[[#This Row],[Grade_gpt]]=""),0,tblMovement[[#This Row],[Tonnes_t]]*tblMovement[[#This Row],[Grade_gpt]]/cfg_TroyOz)</f>
        <v/>
      </c>
      <c r="O3789" s="59">
        <f>IF(tblMovement[[#This Row],[Is_Ore]]=1,tblMovement[[#This Row],[Contained_oz]],0)</f>
        <v/>
      </c>
    </row>
    <row r="3790">
      <c r="A3790" s="54" t="n"/>
      <c r="B3790" s="61" t="n"/>
      <c r="C3790" s="61" t="n"/>
      <c r="D3790" s="61" t="n"/>
      <c r="E3790" s="61" t="n"/>
      <c r="F3790" s="55" t="n"/>
      <c r="G3790" s="56" t="n"/>
      <c r="H3790" s="55" t="n"/>
      <c r="I3790" s="62" t="n"/>
      <c r="J3790" s="58" t="n"/>
      <c r="K3790" s="63">
        <f>IF(tblMovement[[#This Row],[Source]]="","",IFERROR(INDEX(tblSources[Type],MATCH(tblMovement[[#This Row],[Source]],tblSources[Source],0)),"?"))</f>
        <v/>
      </c>
      <c r="L3790" s="63">
        <f>IF(tblMovement[[#This Row],[Destination]]="","",IFERROR(INDEX(tblDestinations[Type],MATCH(tblMovement[[#This Row],[Destination]],tblDestinations[Destination],0)),"?"))</f>
        <v/>
      </c>
      <c r="M3790" s="64">
        <f>IF(tblMovement[[#This Row],[Material]]="","",IF(LEFT(tblMovement[[#This Row],[Material]],3)="Ore",1,0))</f>
        <v/>
      </c>
      <c r="N3790" s="59">
        <f>IF(OR(tblMovement[[#This Row],[Tonnes_t]]="",tblMovement[[#This Row],[Grade_gpt]]=""),0,tblMovement[[#This Row],[Tonnes_t]]*tblMovement[[#This Row],[Grade_gpt]]/cfg_TroyOz)</f>
        <v/>
      </c>
      <c r="O3790" s="59">
        <f>IF(tblMovement[[#This Row],[Is_Ore]]=1,tblMovement[[#This Row],[Contained_oz]],0)</f>
        <v/>
      </c>
    </row>
    <row r="3791">
      <c r="A3791" s="54" t="n"/>
      <c r="B3791" s="61" t="n"/>
      <c r="C3791" s="61" t="n"/>
      <c r="D3791" s="61" t="n"/>
      <c r="E3791" s="61" t="n"/>
      <c r="F3791" s="55" t="n"/>
      <c r="G3791" s="56" t="n"/>
      <c r="H3791" s="55" t="n"/>
      <c r="I3791" s="62" t="n"/>
      <c r="J3791" s="58" t="n"/>
      <c r="K3791" s="63">
        <f>IF(tblMovement[[#This Row],[Source]]="","",IFERROR(INDEX(tblSources[Type],MATCH(tblMovement[[#This Row],[Source]],tblSources[Source],0)),"?"))</f>
        <v/>
      </c>
      <c r="L3791" s="63">
        <f>IF(tblMovement[[#This Row],[Destination]]="","",IFERROR(INDEX(tblDestinations[Type],MATCH(tblMovement[[#This Row],[Destination]],tblDestinations[Destination],0)),"?"))</f>
        <v/>
      </c>
      <c r="M3791" s="64">
        <f>IF(tblMovement[[#This Row],[Material]]="","",IF(LEFT(tblMovement[[#This Row],[Material]],3)="Ore",1,0))</f>
        <v/>
      </c>
      <c r="N3791" s="59">
        <f>IF(OR(tblMovement[[#This Row],[Tonnes_t]]="",tblMovement[[#This Row],[Grade_gpt]]=""),0,tblMovement[[#This Row],[Tonnes_t]]*tblMovement[[#This Row],[Grade_gpt]]/cfg_TroyOz)</f>
        <v/>
      </c>
      <c r="O3791" s="59">
        <f>IF(tblMovement[[#This Row],[Is_Ore]]=1,tblMovement[[#This Row],[Contained_oz]],0)</f>
        <v/>
      </c>
    </row>
    <row r="3792">
      <c r="A3792" s="54" t="n"/>
      <c r="B3792" s="61" t="n"/>
      <c r="C3792" s="61" t="n"/>
      <c r="D3792" s="61" t="n"/>
      <c r="E3792" s="61" t="n"/>
      <c r="F3792" s="55" t="n"/>
      <c r="G3792" s="56" t="n"/>
      <c r="H3792" s="55" t="n"/>
      <c r="I3792" s="62" t="n"/>
      <c r="J3792" s="58" t="n"/>
      <c r="K3792" s="63">
        <f>IF(tblMovement[[#This Row],[Source]]="","",IFERROR(INDEX(tblSources[Type],MATCH(tblMovement[[#This Row],[Source]],tblSources[Source],0)),"?"))</f>
        <v/>
      </c>
      <c r="L3792" s="63">
        <f>IF(tblMovement[[#This Row],[Destination]]="","",IFERROR(INDEX(tblDestinations[Type],MATCH(tblMovement[[#This Row],[Destination]],tblDestinations[Destination],0)),"?"))</f>
        <v/>
      </c>
      <c r="M3792" s="64">
        <f>IF(tblMovement[[#This Row],[Material]]="","",IF(LEFT(tblMovement[[#This Row],[Material]],3)="Ore",1,0))</f>
        <v/>
      </c>
      <c r="N3792" s="59">
        <f>IF(OR(tblMovement[[#This Row],[Tonnes_t]]="",tblMovement[[#This Row],[Grade_gpt]]=""),0,tblMovement[[#This Row],[Tonnes_t]]*tblMovement[[#This Row],[Grade_gpt]]/cfg_TroyOz)</f>
        <v/>
      </c>
      <c r="O3792" s="59">
        <f>IF(tblMovement[[#This Row],[Is_Ore]]=1,tblMovement[[#This Row],[Contained_oz]],0)</f>
        <v/>
      </c>
    </row>
    <row r="3793">
      <c r="A3793" s="54" t="n"/>
      <c r="B3793" s="61" t="n"/>
      <c r="C3793" s="61" t="n"/>
      <c r="D3793" s="61" t="n"/>
      <c r="E3793" s="61" t="n"/>
      <c r="F3793" s="55" t="n"/>
      <c r="G3793" s="56" t="n"/>
      <c r="H3793" s="55" t="n"/>
      <c r="I3793" s="62" t="n"/>
      <c r="J3793" s="58" t="n"/>
      <c r="K3793" s="63">
        <f>IF(tblMovement[[#This Row],[Source]]="","",IFERROR(INDEX(tblSources[Type],MATCH(tblMovement[[#This Row],[Source]],tblSources[Source],0)),"?"))</f>
        <v/>
      </c>
      <c r="L3793" s="63">
        <f>IF(tblMovement[[#This Row],[Destination]]="","",IFERROR(INDEX(tblDestinations[Type],MATCH(tblMovement[[#This Row],[Destination]],tblDestinations[Destination],0)),"?"))</f>
        <v/>
      </c>
      <c r="M3793" s="64">
        <f>IF(tblMovement[[#This Row],[Material]]="","",IF(LEFT(tblMovement[[#This Row],[Material]],3)="Ore",1,0))</f>
        <v/>
      </c>
      <c r="N3793" s="59">
        <f>IF(OR(tblMovement[[#This Row],[Tonnes_t]]="",tblMovement[[#This Row],[Grade_gpt]]=""),0,tblMovement[[#This Row],[Tonnes_t]]*tblMovement[[#This Row],[Grade_gpt]]/cfg_TroyOz)</f>
        <v/>
      </c>
      <c r="O3793" s="59">
        <f>IF(tblMovement[[#This Row],[Is_Ore]]=1,tblMovement[[#This Row],[Contained_oz]],0)</f>
        <v/>
      </c>
    </row>
    <row r="3794">
      <c r="A3794" s="54" t="n"/>
      <c r="B3794" s="61" t="n"/>
      <c r="C3794" s="61" t="n"/>
      <c r="D3794" s="61" t="n"/>
      <c r="E3794" s="61" t="n"/>
      <c r="F3794" s="55" t="n"/>
      <c r="G3794" s="56" t="n"/>
      <c r="H3794" s="55" t="n"/>
      <c r="I3794" s="62" t="n"/>
      <c r="J3794" s="58" t="n"/>
      <c r="K3794" s="63">
        <f>IF(tblMovement[[#This Row],[Source]]="","",IFERROR(INDEX(tblSources[Type],MATCH(tblMovement[[#This Row],[Source]],tblSources[Source],0)),"?"))</f>
        <v/>
      </c>
      <c r="L3794" s="63">
        <f>IF(tblMovement[[#This Row],[Destination]]="","",IFERROR(INDEX(tblDestinations[Type],MATCH(tblMovement[[#This Row],[Destination]],tblDestinations[Destination],0)),"?"))</f>
        <v/>
      </c>
      <c r="M3794" s="64">
        <f>IF(tblMovement[[#This Row],[Material]]="","",IF(LEFT(tblMovement[[#This Row],[Material]],3)="Ore",1,0))</f>
        <v/>
      </c>
      <c r="N3794" s="59">
        <f>IF(OR(tblMovement[[#This Row],[Tonnes_t]]="",tblMovement[[#This Row],[Grade_gpt]]=""),0,tblMovement[[#This Row],[Tonnes_t]]*tblMovement[[#This Row],[Grade_gpt]]/cfg_TroyOz)</f>
        <v/>
      </c>
      <c r="O3794" s="59">
        <f>IF(tblMovement[[#This Row],[Is_Ore]]=1,tblMovement[[#This Row],[Contained_oz]],0)</f>
        <v/>
      </c>
    </row>
    <row r="3795">
      <c r="A3795" s="54" t="n"/>
      <c r="B3795" s="61" t="n"/>
      <c r="C3795" s="61" t="n"/>
      <c r="D3795" s="61" t="n"/>
      <c r="E3795" s="61" t="n"/>
      <c r="F3795" s="55" t="n"/>
      <c r="G3795" s="56" t="n"/>
      <c r="H3795" s="55" t="n"/>
      <c r="I3795" s="62" t="n"/>
      <c r="J3795" s="58" t="n"/>
      <c r="K3795" s="63">
        <f>IF(tblMovement[[#This Row],[Source]]="","",IFERROR(INDEX(tblSources[Type],MATCH(tblMovement[[#This Row],[Source]],tblSources[Source],0)),"?"))</f>
        <v/>
      </c>
      <c r="L3795" s="63">
        <f>IF(tblMovement[[#This Row],[Destination]]="","",IFERROR(INDEX(tblDestinations[Type],MATCH(tblMovement[[#This Row],[Destination]],tblDestinations[Destination],0)),"?"))</f>
        <v/>
      </c>
      <c r="M3795" s="64">
        <f>IF(tblMovement[[#This Row],[Material]]="","",IF(LEFT(tblMovement[[#This Row],[Material]],3)="Ore",1,0))</f>
        <v/>
      </c>
      <c r="N3795" s="59">
        <f>IF(OR(tblMovement[[#This Row],[Tonnes_t]]="",tblMovement[[#This Row],[Grade_gpt]]=""),0,tblMovement[[#This Row],[Tonnes_t]]*tblMovement[[#This Row],[Grade_gpt]]/cfg_TroyOz)</f>
        <v/>
      </c>
      <c r="O3795" s="59">
        <f>IF(tblMovement[[#This Row],[Is_Ore]]=1,tblMovement[[#This Row],[Contained_oz]],0)</f>
        <v/>
      </c>
    </row>
    <row r="3796">
      <c r="A3796" s="54" t="n"/>
      <c r="B3796" s="61" t="n"/>
      <c r="C3796" s="61" t="n"/>
      <c r="D3796" s="61" t="n"/>
      <c r="E3796" s="61" t="n"/>
      <c r="F3796" s="55" t="n"/>
      <c r="G3796" s="56" t="n"/>
      <c r="H3796" s="55" t="n"/>
      <c r="I3796" s="62" t="n"/>
      <c r="J3796" s="58" t="n"/>
      <c r="K3796" s="63">
        <f>IF(tblMovement[[#This Row],[Source]]="","",IFERROR(INDEX(tblSources[Type],MATCH(tblMovement[[#This Row],[Source]],tblSources[Source],0)),"?"))</f>
        <v/>
      </c>
      <c r="L3796" s="63">
        <f>IF(tblMovement[[#This Row],[Destination]]="","",IFERROR(INDEX(tblDestinations[Type],MATCH(tblMovement[[#This Row],[Destination]],tblDestinations[Destination],0)),"?"))</f>
        <v/>
      </c>
      <c r="M3796" s="64">
        <f>IF(tblMovement[[#This Row],[Material]]="","",IF(LEFT(tblMovement[[#This Row],[Material]],3)="Ore",1,0))</f>
        <v/>
      </c>
      <c r="N3796" s="59">
        <f>IF(OR(tblMovement[[#This Row],[Tonnes_t]]="",tblMovement[[#This Row],[Grade_gpt]]=""),0,tblMovement[[#This Row],[Tonnes_t]]*tblMovement[[#This Row],[Grade_gpt]]/cfg_TroyOz)</f>
        <v/>
      </c>
      <c r="O3796" s="59">
        <f>IF(tblMovement[[#This Row],[Is_Ore]]=1,tblMovement[[#This Row],[Contained_oz]],0)</f>
        <v/>
      </c>
    </row>
    <row r="3797">
      <c r="A3797" s="54" t="n"/>
      <c r="B3797" s="61" t="n"/>
      <c r="C3797" s="61" t="n"/>
      <c r="D3797" s="61" t="n"/>
      <c r="E3797" s="61" t="n"/>
      <c r="F3797" s="55" t="n"/>
      <c r="G3797" s="56" t="n"/>
      <c r="H3797" s="55" t="n"/>
      <c r="I3797" s="62" t="n"/>
      <c r="J3797" s="58" t="n"/>
      <c r="K3797" s="63">
        <f>IF(tblMovement[[#This Row],[Source]]="","",IFERROR(INDEX(tblSources[Type],MATCH(tblMovement[[#This Row],[Source]],tblSources[Source],0)),"?"))</f>
        <v/>
      </c>
      <c r="L3797" s="63">
        <f>IF(tblMovement[[#This Row],[Destination]]="","",IFERROR(INDEX(tblDestinations[Type],MATCH(tblMovement[[#This Row],[Destination]],tblDestinations[Destination],0)),"?"))</f>
        <v/>
      </c>
      <c r="M3797" s="64">
        <f>IF(tblMovement[[#This Row],[Material]]="","",IF(LEFT(tblMovement[[#This Row],[Material]],3)="Ore",1,0))</f>
        <v/>
      </c>
      <c r="N3797" s="59">
        <f>IF(OR(tblMovement[[#This Row],[Tonnes_t]]="",tblMovement[[#This Row],[Grade_gpt]]=""),0,tblMovement[[#This Row],[Tonnes_t]]*tblMovement[[#This Row],[Grade_gpt]]/cfg_TroyOz)</f>
        <v/>
      </c>
      <c r="O3797" s="59">
        <f>IF(tblMovement[[#This Row],[Is_Ore]]=1,tblMovement[[#This Row],[Contained_oz]],0)</f>
        <v/>
      </c>
    </row>
    <row r="3798">
      <c r="A3798" s="54" t="n"/>
      <c r="B3798" s="61" t="n"/>
      <c r="C3798" s="61" t="n"/>
      <c r="D3798" s="61" t="n"/>
      <c r="E3798" s="61" t="n"/>
      <c r="F3798" s="55" t="n"/>
      <c r="G3798" s="56" t="n"/>
      <c r="H3798" s="55" t="n"/>
      <c r="I3798" s="62" t="n"/>
      <c r="J3798" s="58" t="n"/>
      <c r="K3798" s="63">
        <f>IF(tblMovement[[#This Row],[Source]]="","",IFERROR(INDEX(tblSources[Type],MATCH(tblMovement[[#This Row],[Source]],tblSources[Source],0)),"?"))</f>
        <v/>
      </c>
      <c r="L3798" s="63">
        <f>IF(tblMovement[[#This Row],[Destination]]="","",IFERROR(INDEX(tblDestinations[Type],MATCH(tblMovement[[#This Row],[Destination]],tblDestinations[Destination],0)),"?"))</f>
        <v/>
      </c>
      <c r="M3798" s="64">
        <f>IF(tblMovement[[#This Row],[Material]]="","",IF(LEFT(tblMovement[[#This Row],[Material]],3)="Ore",1,0))</f>
        <v/>
      </c>
      <c r="N3798" s="59">
        <f>IF(OR(tblMovement[[#This Row],[Tonnes_t]]="",tblMovement[[#This Row],[Grade_gpt]]=""),0,tblMovement[[#This Row],[Tonnes_t]]*tblMovement[[#This Row],[Grade_gpt]]/cfg_TroyOz)</f>
        <v/>
      </c>
      <c r="O3798" s="59">
        <f>IF(tblMovement[[#This Row],[Is_Ore]]=1,tblMovement[[#This Row],[Contained_oz]],0)</f>
        <v/>
      </c>
    </row>
    <row r="3799">
      <c r="A3799" s="54" t="n"/>
      <c r="B3799" s="61" t="n"/>
      <c r="C3799" s="61" t="n"/>
      <c r="D3799" s="61" t="n"/>
      <c r="E3799" s="61" t="n"/>
      <c r="F3799" s="55" t="n"/>
      <c r="G3799" s="56" t="n"/>
      <c r="H3799" s="55" t="n"/>
      <c r="I3799" s="62" t="n"/>
      <c r="J3799" s="58" t="n"/>
      <c r="K3799" s="63">
        <f>IF(tblMovement[[#This Row],[Source]]="","",IFERROR(INDEX(tblSources[Type],MATCH(tblMovement[[#This Row],[Source]],tblSources[Source],0)),"?"))</f>
        <v/>
      </c>
      <c r="L3799" s="63">
        <f>IF(tblMovement[[#This Row],[Destination]]="","",IFERROR(INDEX(tblDestinations[Type],MATCH(tblMovement[[#This Row],[Destination]],tblDestinations[Destination],0)),"?"))</f>
        <v/>
      </c>
      <c r="M3799" s="64">
        <f>IF(tblMovement[[#This Row],[Material]]="","",IF(LEFT(tblMovement[[#This Row],[Material]],3)="Ore",1,0))</f>
        <v/>
      </c>
      <c r="N3799" s="59">
        <f>IF(OR(tblMovement[[#This Row],[Tonnes_t]]="",tblMovement[[#This Row],[Grade_gpt]]=""),0,tblMovement[[#This Row],[Tonnes_t]]*tblMovement[[#This Row],[Grade_gpt]]/cfg_TroyOz)</f>
        <v/>
      </c>
      <c r="O3799" s="59">
        <f>IF(tblMovement[[#This Row],[Is_Ore]]=1,tblMovement[[#This Row],[Contained_oz]],0)</f>
        <v/>
      </c>
    </row>
    <row r="3800">
      <c r="A3800" s="54" t="n"/>
      <c r="B3800" s="61" t="n"/>
      <c r="C3800" s="61" t="n"/>
      <c r="D3800" s="61" t="n"/>
      <c r="E3800" s="61" t="n"/>
      <c r="F3800" s="55" t="n"/>
      <c r="G3800" s="56" t="n"/>
      <c r="H3800" s="55" t="n"/>
      <c r="I3800" s="62" t="n"/>
      <c r="J3800" s="58" t="n"/>
      <c r="K3800" s="63">
        <f>IF(tblMovement[[#This Row],[Source]]="","",IFERROR(INDEX(tblSources[Type],MATCH(tblMovement[[#This Row],[Source]],tblSources[Source],0)),"?"))</f>
        <v/>
      </c>
      <c r="L3800" s="63">
        <f>IF(tblMovement[[#This Row],[Destination]]="","",IFERROR(INDEX(tblDestinations[Type],MATCH(tblMovement[[#This Row],[Destination]],tblDestinations[Destination],0)),"?"))</f>
        <v/>
      </c>
      <c r="M3800" s="64">
        <f>IF(tblMovement[[#This Row],[Material]]="","",IF(LEFT(tblMovement[[#This Row],[Material]],3)="Ore",1,0))</f>
        <v/>
      </c>
      <c r="N3800" s="59">
        <f>IF(OR(tblMovement[[#This Row],[Tonnes_t]]="",tblMovement[[#This Row],[Grade_gpt]]=""),0,tblMovement[[#This Row],[Tonnes_t]]*tblMovement[[#This Row],[Grade_gpt]]/cfg_TroyOz)</f>
        <v/>
      </c>
      <c r="O3800" s="59">
        <f>IF(tblMovement[[#This Row],[Is_Ore]]=1,tblMovement[[#This Row],[Contained_oz]],0)</f>
        <v/>
      </c>
    </row>
    <row r="3801">
      <c r="A3801" s="54" t="n"/>
      <c r="B3801" s="61" t="n"/>
      <c r="C3801" s="61" t="n"/>
      <c r="D3801" s="61" t="n"/>
      <c r="E3801" s="61" t="n"/>
      <c r="F3801" s="55" t="n"/>
      <c r="G3801" s="56" t="n"/>
      <c r="H3801" s="55" t="n"/>
      <c r="I3801" s="62" t="n"/>
      <c r="J3801" s="58" t="n"/>
      <c r="K3801" s="63">
        <f>IF(tblMovement[[#This Row],[Source]]="","",IFERROR(INDEX(tblSources[Type],MATCH(tblMovement[[#This Row],[Source]],tblSources[Source],0)),"?"))</f>
        <v/>
      </c>
      <c r="L3801" s="63">
        <f>IF(tblMovement[[#This Row],[Destination]]="","",IFERROR(INDEX(tblDestinations[Type],MATCH(tblMovement[[#This Row],[Destination]],tblDestinations[Destination],0)),"?"))</f>
        <v/>
      </c>
      <c r="M3801" s="64">
        <f>IF(tblMovement[[#This Row],[Material]]="","",IF(LEFT(tblMovement[[#This Row],[Material]],3)="Ore",1,0))</f>
        <v/>
      </c>
      <c r="N3801" s="59">
        <f>IF(OR(tblMovement[[#This Row],[Tonnes_t]]="",tblMovement[[#This Row],[Grade_gpt]]=""),0,tblMovement[[#This Row],[Tonnes_t]]*tblMovement[[#This Row],[Grade_gpt]]/cfg_TroyOz)</f>
        <v/>
      </c>
      <c r="O3801" s="59">
        <f>IF(tblMovement[[#This Row],[Is_Ore]]=1,tblMovement[[#This Row],[Contained_oz]],0)</f>
        <v/>
      </c>
    </row>
    <row r="3802">
      <c r="A3802" s="54" t="n"/>
      <c r="B3802" s="61" t="n"/>
      <c r="C3802" s="61" t="n"/>
      <c r="D3802" s="61" t="n"/>
      <c r="E3802" s="61" t="n"/>
      <c r="F3802" s="55" t="n"/>
      <c r="G3802" s="56" t="n"/>
      <c r="H3802" s="55" t="n"/>
      <c r="I3802" s="62" t="n"/>
      <c r="J3802" s="58" t="n"/>
      <c r="K3802" s="63">
        <f>IF(tblMovement[[#This Row],[Source]]="","",IFERROR(INDEX(tblSources[Type],MATCH(tblMovement[[#This Row],[Source]],tblSources[Source],0)),"?"))</f>
        <v/>
      </c>
      <c r="L3802" s="63">
        <f>IF(tblMovement[[#This Row],[Destination]]="","",IFERROR(INDEX(tblDestinations[Type],MATCH(tblMovement[[#This Row],[Destination]],tblDestinations[Destination],0)),"?"))</f>
        <v/>
      </c>
      <c r="M3802" s="64">
        <f>IF(tblMovement[[#This Row],[Material]]="","",IF(LEFT(tblMovement[[#This Row],[Material]],3)="Ore",1,0))</f>
        <v/>
      </c>
      <c r="N3802" s="59">
        <f>IF(OR(tblMovement[[#This Row],[Tonnes_t]]="",tblMovement[[#This Row],[Grade_gpt]]=""),0,tblMovement[[#This Row],[Tonnes_t]]*tblMovement[[#This Row],[Grade_gpt]]/cfg_TroyOz)</f>
        <v/>
      </c>
      <c r="O3802" s="59">
        <f>IF(tblMovement[[#This Row],[Is_Ore]]=1,tblMovement[[#This Row],[Contained_oz]],0)</f>
        <v/>
      </c>
    </row>
    <row r="3803">
      <c r="A3803" s="54" t="n"/>
      <c r="B3803" s="61" t="n"/>
      <c r="C3803" s="61" t="n"/>
      <c r="D3803" s="61" t="n"/>
      <c r="E3803" s="61" t="n"/>
      <c r="F3803" s="55" t="n"/>
      <c r="G3803" s="56" t="n"/>
      <c r="H3803" s="55" t="n"/>
      <c r="I3803" s="62" t="n"/>
      <c r="J3803" s="58" t="n"/>
      <c r="K3803" s="63">
        <f>IF(tblMovement[[#This Row],[Source]]="","",IFERROR(INDEX(tblSources[Type],MATCH(tblMovement[[#This Row],[Source]],tblSources[Source],0)),"?"))</f>
        <v/>
      </c>
      <c r="L3803" s="63">
        <f>IF(tblMovement[[#This Row],[Destination]]="","",IFERROR(INDEX(tblDestinations[Type],MATCH(tblMovement[[#This Row],[Destination]],tblDestinations[Destination],0)),"?"))</f>
        <v/>
      </c>
      <c r="M3803" s="64">
        <f>IF(tblMovement[[#This Row],[Material]]="","",IF(LEFT(tblMovement[[#This Row],[Material]],3)="Ore",1,0))</f>
        <v/>
      </c>
      <c r="N3803" s="59">
        <f>IF(OR(tblMovement[[#This Row],[Tonnes_t]]="",tblMovement[[#This Row],[Grade_gpt]]=""),0,tblMovement[[#This Row],[Tonnes_t]]*tblMovement[[#This Row],[Grade_gpt]]/cfg_TroyOz)</f>
        <v/>
      </c>
      <c r="O3803" s="59">
        <f>IF(tblMovement[[#This Row],[Is_Ore]]=1,tblMovement[[#This Row],[Contained_oz]],0)</f>
        <v/>
      </c>
    </row>
    <row r="3804">
      <c r="A3804" s="54" t="n"/>
      <c r="B3804" s="61" t="n"/>
      <c r="C3804" s="61" t="n"/>
      <c r="D3804" s="61" t="n"/>
      <c r="E3804" s="61" t="n"/>
      <c r="F3804" s="55" t="n"/>
      <c r="G3804" s="56" t="n"/>
      <c r="H3804" s="55" t="n"/>
      <c r="I3804" s="62" t="n"/>
      <c r="J3804" s="58" t="n"/>
      <c r="K3804" s="63">
        <f>IF(tblMovement[[#This Row],[Source]]="","",IFERROR(INDEX(tblSources[Type],MATCH(tblMovement[[#This Row],[Source]],tblSources[Source],0)),"?"))</f>
        <v/>
      </c>
      <c r="L3804" s="63">
        <f>IF(tblMovement[[#This Row],[Destination]]="","",IFERROR(INDEX(tblDestinations[Type],MATCH(tblMovement[[#This Row],[Destination]],tblDestinations[Destination],0)),"?"))</f>
        <v/>
      </c>
      <c r="M3804" s="64">
        <f>IF(tblMovement[[#This Row],[Material]]="","",IF(LEFT(tblMovement[[#This Row],[Material]],3)="Ore",1,0))</f>
        <v/>
      </c>
      <c r="N3804" s="59">
        <f>IF(OR(tblMovement[[#This Row],[Tonnes_t]]="",tblMovement[[#This Row],[Grade_gpt]]=""),0,tblMovement[[#This Row],[Tonnes_t]]*tblMovement[[#This Row],[Grade_gpt]]/cfg_TroyOz)</f>
        <v/>
      </c>
      <c r="O3804" s="59">
        <f>IF(tblMovement[[#This Row],[Is_Ore]]=1,tblMovement[[#This Row],[Contained_oz]],0)</f>
        <v/>
      </c>
    </row>
    <row r="3805">
      <c r="A3805" s="54" t="n"/>
      <c r="B3805" s="61" t="n"/>
      <c r="C3805" s="61" t="n"/>
      <c r="D3805" s="61" t="n"/>
      <c r="E3805" s="61" t="n"/>
      <c r="F3805" s="55" t="n"/>
      <c r="G3805" s="56" t="n"/>
      <c r="H3805" s="55" t="n"/>
      <c r="I3805" s="62" t="n"/>
      <c r="J3805" s="58" t="n"/>
      <c r="K3805" s="63">
        <f>IF(tblMovement[[#This Row],[Source]]="","",IFERROR(INDEX(tblSources[Type],MATCH(tblMovement[[#This Row],[Source]],tblSources[Source],0)),"?"))</f>
        <v/>
      </c>
      <c r="L3805" s="63">
        <f>IF(tblMovement[[#This Row],[Destination]]="","",IFERROR(INDEX(tblDestinations[Type],MATCH(tblMovement[[#This Row],[Destination]],tblDestinations[Destination],0)),"?"))</f>
        <v/>
      </c>
      <c r="M3805" s="64">
        <f>IF(tblMovement[[#This Row],[Material]]="","",IF(LEFT(tblMovement[[#This Row],[Material]],3)="Ore",1,0))</f>
        <v/>
      </c>
      <c r="N3805" s="59">
        <f>IF(OR(tblMovement[[#This Row],[Tonnes_t]]="",tblMovement[[#This Row],[Grade_gpt]]=""),0,tblMovement[[#This Row],[Tonnes_t]]*tblMovement[[#This Row],[Grade_gpt]]/cfg_TroyOz)</f>
        <v/>
      </c>
      <c r="O3805" s="59">
        <f>IF(tblMovement[[#This Row],[Is_Ore]]=1,tblMovement[[#This Row],[Contained_oz]],0)</f>
        <v/>
      </c>
    </row>
    <row r="3806">
      <c r="A3806" s="54" t="n"/>
      <c r="B3806" s="61" t="n"/>
      <c r="C3806" s="61" t="n"/>
      <c r="D3806" s="61" t="n"/>
      <c r="E3806" s="61" t="n"/>
      <c r="F3806" s="55" t="n"/>
      <c r="G3806" s="56" t="n"/>
      <c r="H3806" s="55" t="n"/>
      <c r="I3806" s="62" t="n"/>
      <c r="J3806" s="58" t="n"/>
      <c r="K3806" s="63">
        <f>IF(tblMovement[[#This Row],[Source]]="","",IFERROR(INDEX(tblSources[Type],MATCH(tblMovement[[#This Row],[Source]],tblSources[Source],0)),"?"))</f>
        <v/>
      </c>
      <c r="L3806" s="63">
        <f>IF(tblMovement[[#This Row],[Destination]]="","",IFERROR(INDEX(tblDestinations[Type],MATCH(tblMovement[[#This Row],[Destination]],tblDestinations[Destination],0)),"?"))</f>
        <v/>
      </c>
      <c r="M3806" s="64">
        <f>IF(tblMovement[[#This Row],[Material]]="","",IF(LEFT(tblMovement[[#This Row],[Material]],3)="Ore",1,0))</f>
        <v/>
      </c>
      <c r="N3806" s="59">
        <f>IF(OR(tblMovement[[#This Row],[Tonnes_t]]="",tblMovement[[#This Row],[Grade_gpt]]=""),0,tblMovement[[#This Row],[Tonnes_t]]*tblMovement[[#This Row],[Grade_gpt]]/cfg_TroyOz)</f>
        <v/>
      </c>
      <c r="O3806" s="59">
        <f>IF(tblMovement[[#This Row],[Is_Ore]]=1,tblMovement[[#This Row],[Contained_oz]],0)</f>
        <v/>
      </c>
    </row>
    <row r="3807">
      <c r="A3807" s="54" t="n"/>
      <c r="B3807" s="61" t="n"/>
      <c r="C3807" s="61" t="n"/>
      <c r="D3807" s="61" t="n"/>
      <c r="E3807" s="61" t="n"/>
      <c r="F3807" s="55" t="n"/>
      <c r="G3807" s="56" t="n"/>
      <c r="H3807" s="55" t="n"/>
      <c r="I3807" s="62" t="n"/>
      <c r="J3807" s="58" t="n"/>
      <c r="K3807" s="63">
        <f>IF(tblMovement[[#This Row],[Source]]="","",IFERROR(INDEX(tblSources[Type],MATCH(tblMovement[[#This Row],[Source]],tblSources[Source],0)),"?"))</f>
        <v/>
      </c>
      <c r="L3807" s="63">
        <f>IF(tblMovement[[#This Row],[Destination]]="","",IFERROR(INDEX(tblDestinations[Type],MATCH(tblMovement[[#This Row],[Destination]],tblDestinations[Destination],0)),"?"))</f>
        <v/>
      </c>
      <c r="M3807" s="64">
        <f>IF(tblMovement[[#This Row],[Material]]="","",IF(LEFT(tblMovement[[#This Row],[Material]],3)="Ore",1,0))</f>
        <v/>
      </c>
      <c r="N3807" s="59">
        <f>IF(OR(tblMovement[[#This Row],[Tonnes_t]]="",tblMovement[[#This Row],[Grade_gpt]]=""),0,tblMovement[[#This Row],[Tonnes_t]]*tblMovement[[#This Row],[Grade_gpt]]/cfg_TroyOz)</f>
        <v/>
      </c>
      <c r="O3807" s="59">
        <f>IF(tblMovement[[#This Row],[Is_Ore]]=1,tblMovement[[#This Row],[Contained_oz]],0)</f>
        <v/>
      </c>
    </row>
    <row r="3808">
      <c r="A3808" s="54" t="n"/>
      <c r="B3808" s="61" t="n"/>
      <c r="C3808" s="61" t="n"/>
      <c r="D3808" s="61" t="n"/>
      <c r="E3808" s="61" t="n"/>
      <c r="F3808" s="55" t="n"/>
      <c r="G3808" s="56" t="n"/>
      <c r="H3808" s="55" t="n"/>
      <c r="I3808" s="62" t="n"/>
      <c r="J3808" s="58" t="n"/>
      <c r="K3808" s="63">
        <f>IF(tblMovement[[#This Row],[Source]]="","",IFERROR(INDEX(tblSources[Type],MATCH(tblMovement[[#This Row],[Source]],tblSources[Source],0)),"?"))</f>
        <v/>
      </c>
      <c r="L3808" s="63">
        <f>IF(tblMovement[[#This Row],[Destination]]="","",IFERROR(INDEX(tblDestinations[Type],MATCH(tblMovement[[#This Row],[Destination]],tblDestinations[Destination],0)),"?"))</f>
        <v/>
      </c>
      <c r="M3808" s="64">
        <f>IF(tblMovement[[#This Row],[Material]]="","",IF(LEFT(tblMovement[[#This Row],[Material]],3)="Ore",1,0))</f>
        <v/>
      </c>
      <c r="N3808" s="59">
        <f>IF(OR(tblMovement[[#This Row],[Tonnes_t]]="",tblMovement[[#This Row],[Grade_gpt]]=""),0,tblMovement[[#This Row],[Tonnes_t]]*tblMovement[[#This Row],[Grade_gpt]]/cfg_TroyOz)</f>
        <v/>
      </c>
      <c r="O3808" s="59">
        <f>IF(tblMovement[[#This Row],[Is_Ore]]=1,tblMovement[[#This Row],[Contained_oz]],0)</f>
        <v/>
      </c>
    </row>
    <row r="3809">
      <c r="A3809" s="54" t="n"/>
      <c r="B3809" s="61" t="n"/>
      <c r="C3809" s="61" t="n"/>
      <c r="D3809" s="61" t="n"/>
      <c r="E3809" s="61" t="n"/>
      <c r="F3809" s="55" t="n"/>
      <c r="G3809" s="56" t="n"/>
      <c r="H3809" s="55" t="n"/>
      <c r="I3809" s="62" t="n"/>
      <c r="J3809" s="58" t="n"/>
      <c r="K3809" s="63">
        <f>IF(tblMovement[[#This Row],[Source]]="","",IFERROR(INDEX(tblSources[Type],MATCH(tblMovement[[#This Row],[Source]],tblSources[Source],0)),"?"))</f>
        <v/>
      </c>
      <c r="L3809" s="63">
        <f>IF(tblMovement[[#This Row],[Destination]]="","",IFERROR(INDEX(tblDestinations[Type],MATCH(tblMovement[[#This Row],[Destination]],tblDestinations[Destination],0)),"?"))</f>
        <v/>
      </c>
      <c r="M3809" s="64">
        <f>IF(tblMovement[[#This Row],[Material]]="","",IF(LEFT(tblMovement[[#This Row],[Material]],3)="Ore",1,0))</f>
        <v/>
      </c>
      <c r="N3809" s="59">
        <f>IF(OR(tblMovement[[#This Row],[Tonnes_t]]="",tblMovement[[#This Row],[Grade_gpt]]=""),0,tblMovement[[#This Row],[Tonnes_t]]*tblMovement[[#This Row],[Grade_gpt]]/cfg_TroyOz)</f>
        <v/>
      </c>
      <c r="O3809" s="59">
        <f>IF(tblMovement[[#This Row],[Is_Ore]]=1,tblMovement[[#This Row],[Contained_oz]],0)</f>
        <v/>
      </c>
    </row>
    <row r="3810">
      <c r="A3810" s="54" t="n"/>
      <c r="B3810" s="61" t="n"/>
      <c r="C3810" s="61" t="n"/>
      <c r="D3810" s="61" t="n"/>
      <c r="E3810" s="61" t="n"/>
      <c r="F3810" s="55" t="n"/>
      <c r="G3810" s="56" t="n"/>
      <c r="H3810" s="55" t="n"/>
      <c r="I3810" s="62" t="n"/>
      <c r="J3810" s="58" t="n"/>
      <c r="K3810" s="63">
        <f>IF(tblMovement[[#This Row],[Source]]="","",IFERROR(INDEX(tblSources[Type],MATCH(tblMovement[[#This Row],[Source]],tblSources[Source],0)),"?"))</f>
        <v/>
      </c>
      <c r="L3810" s="63">
        <f>IF(tblMovement[[#This Row],[Destination]]="","",IFERROR(INDEX(tblDestinations[Type],MATCH(tblMovement[[#This Row],[Destination]],tblDestinations[Destination],0)),"?"))</f>
        <v/>
      </c>
      <c r="M3810" s="64">
        <f>IF(tblMovement[[#This Row],[Material]]="","",IF(LEFT(tblMovement[[#This Row],[Material]],3)="Ore",1,0))</f>
        <v/>
      </c>
      <c r="N3810" s="59">
        <f>IF(OR(tblMovement[[#This Row],[Tonnes_t]]="",tblMovement[[#This Row],[Grade_gpt]]=""),0,tblMovement[[#This Row],[Tonnes_t]]*tblMovement[[#This Row],[Grade_gpt]]/cfg_TroyOz)</f>
        <v/>
      </c>
      <c r="O3810" s="59">
        <f>IF(tblMovement[[#This Row],[Is_Ore]]=1,tblMovement[[#This Row],[Contained_oz]],0)</f>
        <v/>
      </c>
    </row>
    <row r="3811">
      <c r="A3811" s="54" t="n"/>
      <c r="B3811" s="61" t="n"/>
      <c r="C3811" s="61" t="n"/>
      <c r="D3811" s="61" t="n"/>
      <c r="E3811" s="61" t="n"/>
      <c r="F3811" s="55" t="n"/>
      <c r="G3811" s="56" t="n"/>
      <c r="H3811" s="55" t="n"/>
      <c r="I3811" s="62" t="n"/>
      <c r="J3811" s="58" t="n"/>
      <c r="K3811" s="63">
        <f>IF(tblMovement[[#This Row],[Source]]="","",IFERROR(INDEX(tblSources[Type],MATCH(tblMovement[[#This Row],[Source]],tblSources[Source],0)),"?"))</f>
        <v/>
      </c>
      <c r="L3811" s="63">
        <f>IF(tblMovement[[#This Row],[Destination]]="","",IFERROR(INDEX(tblDestinations[Type],MATCH(tblMovement[[#This Row],[Destination]],tblDestinations[Destination],0)),"?"))</f>
        <v/>
      </c>
      <c r="M3811" s="64">
        <f>IF(tblMovement[[#This Row],[Material]]="","",IF(LEFT(tblMovement[[#This Row],[Material]],3)="Ore",1,0))</f>
        <v/>
      </c>
      <c r="N3811" s="59">
        <f>IF(OR(tblMovement[[#This Row],[Tonnes_t]]="",tblMovement[[#This Row],[Grade_gpt]]=""),0,tblMovement[[#This Row],[Tonnes_t]]*tblMovement[[#This Row],[Grade_gpt]]/cfg_TroyOz)</f>
        <v/>
      </c>
      <c r="O3811" s="59">
        <f>IF(tblMovement[[#This Row],[Is_Ore]]=1,tblMovement[[#This Row],[Contained_oz]],0)</f>
        <v/>
      </c>
    </row>
    <row r="3812">
      <c r="A3812" s="54" t="n"/>
      <c r="B3812" s="61" t="n"/>
      <c r="C3812" s="61" t="n"/>
      <c r="D3812" s="61" t="n"/>
      <c r="E3812" s="61" t="n"/>
      <c r="F3812" s="55" t="n"/>
      <c r="G3812" s="56" t="n"/>
      <c r="H3812" s="55" t="n"/>
      <c r="I3812" s="62" t="n"/>
      <c r="J3812" s="58" t="n"/>
      <c r="K3812" s="63">
        <f>IF(tblMovement[[#This Row],[Source]]="","",IFERROR(INDEX(tblSources[Type],MATCH(tblMovement[[#This Row],[Source]],tblSources[Source],0)),"?"))</f>
        <v/>
      </c>
      <c r="L3812" s="63">
        <f>IF(tblMovement[[#This Row],[Destination]]="","",IFERROR(INDEX(tblDestinations[Type],MATCH(tblMovement[[#This Row],[Destination]],tblDestinations[Destination],0)),"?"))</f>
        <v/>
      </c>
      <c r="M3812" s="64">
        <f>IF(tblMovement[[#This Row],[Material]]="","",IF(LEFT(tblMovement[[#This Row],[Material]],3)="Ore",1,0))</f>
        <v/>
      </c>
      <c r="N3812" s="59">
        <f>IF(OR(tblMovement[[#This Row],[Tonnes_t]]="",tblMovement[[#This Row],[Grade_gpt]]=""),0,tblMovement[[#This Row],[Tonnes_t]]*tblMovement[[#This Row],[Grade_gpt]]/cfg_TroyOz)</f>
        <v/>
      </c>
      <c r="O3812" s="59">
        <f>IF(tblMovement[[#This Row],[Is_Ore]]=1,tblMovement[[#This Row],[Contained_oz]],0)</f>
        <v/>
      </c>
    </row>
    <row r="3813">
      <c r="A3813" s="54" t="n"/>
      <c r="B3813" s="61" t="n"/>
      <c r="C3813" s="61" t="n"/>
      <c r="D3813" s="61" t="n"/>
      <c r="E3813" s="61" t="n"/>
      <c r="F3813" s="55" t="n"/>
      <c r="G3813" s="56" t="n"/>
      <c r="H3813" s="55" t="n"/>
      <c r="I3813" s="62" t="n"/>
      <c r="J3813" s="58" t="n"/>
      <c r="K3813" s="63">
        <f>IF(tblMovement[[#This Row],[Source]]="","",IFERROR(INDEX(tblSources[Type],MATCH(tblMovement[[#This Row],[Source]],tblSources[Source],0)),"?"))</f>
        <v/>
      </c>
      <c r="L3813" s="63">
        <f>IF(tblMovement[[#This Row],[Destination]]="","",IFERROR(INDEX(tblDestinations[Type],MATCH(tblMovement[[#This Row],[Destination]],tblDestinations[Destination],0)),"?"))</f>
        <v/>
      </c>
      <c r="M3813" s="64">
        <f>IF(tblMovement[[#This Row],[Material]]="","",IF(LEFT(tblMovement[[#This Row],[Material]],3)="Ore",1,0))</f>
        <v/>
      </c>
      <c r="N3813" s="59">
        <f>IF(OR(tblMovement[[#This Row],[Tonnes_t]]="",tblMovement[[#This Row],[Grade_gpt]]=""),0,tblMovement[[#This Row],[Tonnes_t]]*tblMovement[[#This Row],[Grade_gpt]]/cfg_TroyOz)</f>
        <v/>
      </c>
      <c r="O3813" s="59">
        <f>IF(tblMovement[[#This Row],[Is_Ore]]=1,tblMovement[[#This Row],[Contained_oz]],0)</f>
        <v/>
      </c>
    </row>
    <row r="3814">
      <c r="A3814" s="54" t="n"/>
      <c r="B3814" s="61" t="n"/>
      <c r="C3814" s="61" t="n"/>
      <c r="D3814" s="61" t="n"/>
      <c r="E3814" s="61" t="n"/>
      <c r="F3814" s="55" t="n"/>
      <c r="G3814" s="56" t="n"/>
      <c r="H3814" s="55" t="n"/>
      <c r="I3814" s="62" t="n"/>
      <c r="J3814" s="58" t="n"/>
      <c r="K3814" s="63">
        <f>IF(tblMovement[[#This Row],[Source]]="","",IFERROR(INDEX(tblSources[Type],MATCH(tblMovement[[#This Row],[Source]],tblSources[Source],0)),"?"))</f>
        <v/>
      </c>
      <c r="L3814" s="63">
        <f>IF(tblMovement[[#This Row],[Destination]]="","",IFERROR(INDEX(tblDestinations[Type],MATCH(tblMovement[[#This Row],[Destination]],tblDestinations[Destination],0)),"?"))</f>
        <v/>
      </c>
      <c r="M3814" s="64">
        <f>IF(tblMovement[[#This Row],[Material]]="","",IF(LEFT(tblMovement[[#This Row],[Material]],3)="Ore",1,0))</f>
        <v/>
      </c>
      <c r="N3814" s="59">
        <f>IF(OR(tblMovement[[#This Row],[Tonnes_t]]="",tblMovement[[#This Row],[Grade_gpt]]=""),0,tblMovement[[#This Row],[Tonnes_t]]*tblMovement[[#This Row],[Grade_gpt]]/cfg_TroyOz)</f>
        <v/>
      </c>
      <c r="O3814" s="59">
        <f>IF(tblMovement[[#This Row],[Is_Ore]]=1,tblMovement[[#This Row],[Contained_oz]],0)</f>
        <v/>
      </c>
    </row>
    <row r="3815">
      <c r="A3815" s="54" t="n"/>
      <c r="B3815" s="61" t="n"/>
      <c r="C3815" s="61" t="n"/>
      <c r="D3815" s="61" t="n"/>
      <c r="E3815" s="61" t="n"/>
      <c r="F3815" s="55" t="n"/>
      <c r="G3815" s="56" t="n"/>
      <c r="H3815" s="55" t="n"/>
      <c r="I3815" s="62" t="n"/>
      <c r="J3815" s="58" t="n"/>
      <c r="K3815" s="63">
        <f>IF(tblMovement[[#This Row],[Source]]="","",IFERROR(INDEX(tblSources[Type],MATCH(tblMovement[[#This Row],[Source]],tblSources[Source],0)),"?"))</f>
        <v/>
      </c>
      <c r="L3815" s="63">
        <f>IF(tblMovement[[#This Row],[Destination]]="","",IFERROR(INDEX(tblDestinations[Type],MATCH(tblMovement[[#This Row],[Destination]],tblDestinations[Destination],0)),"?"))</f>
        <v/>
      </c>
      <c r="M3815" s="64">
        <f>IF(tblMovement[[#This Row],[Material]]="","",IF(LEFT(tblMovement[[#This Row],[Material]],3)="Ore",1,0))</f>
        <v/>
      </c>
      <c r="N3815" s="59">
        <f>IF(OR(tblMovement[[#This Row],[Tonnes_t]]="",tblMovement[[#This Row],[Grade_gpt]]=""),0,tblMovement[[#This Row],[Tonnes_t]]*tblMovement[[#This Row],[Grade_gpt]]/cfg_TroyOz)</f>
        <v/>
      </c>
      <c r="O3815" s="59">
        <f>IF(tblMovement[[#This Row],[Is_Ore]]=1,tblMovement[[#This Row],[Contained_oz]],0)</f>
        <v/>
      </c>
    </row>
    <row r="3816">
      <c r="A3816" s="54" t="n"/>
      <c r="B3816" s="61" t="n"/>
      <c r="C3816" s="61" t="n"/>
      <c r="D3816" s="61" t="n"/>
      <c r="E3816" s="61" t="n"/>
      <c r="F3816" s="55" t="n"/>
      <c r="G3816" s="56" t="n"/>
      <c r="H3816" s="55" t="n"/>
      <c r="I3816" s="62" t="n"/>
      <c r="J3816" s="58" t="n"/>
      <c r="K3816" s="63">
        <f>IF(tblMovement[[#This Row],[Source]]="","",IFERROR(INDEX(tblSources[Type],MATCH(tblMovement[[#This Row],[Source]],tblSources[Source],0)),"?"))</f>
        <v/>
      </c>
      <c r="L3816" s="63">
        <f>IF(tblMovement[[#This Row],[Destination]]="","",IFERROR(INDEX(tblDestinations[Type],MATCH(tblMovement[[#This Row],[Destination]],tblDestinations[Destination],0)),"?"))</f>
        <v/>
      </c>
      <c r="M3816" s="64">
        <f>IF(tblMovement[[#This Row],[Material]]="","",IF(LEFT(tblMovement[[#This Row],[Material]],3)="Ore",1,0))</f>
        <v/>
      </c>
      <c r="N3816" s="59">
        <f>IF(OR(tblMovement[[#This Row],[Tonnes_t]]="",tblMovement[[#This Row],[Grade_gpt]]=""),0,tblMovement[[#This Row],[Tonnes_t]]*tblMovement[[#This Row],[Grade_gpt]]/cfg_TroyOz)</f>
        <v/>
      </c>
      <c r="O3816" s="59">
        <f>IF(tblMovement[[#This Row],[Is_Ore]]=1,tblMovement[[#This Row],[Contained_oz]],0)</f>
        <v/>
      </c>
    </row>
    <row r="3817">
      <c r="A3817" s="54" t="n"/>
      <c r="B3817" s="61" t="n"/>
      <c r="C3817" s="61" t="n"/>
      <c r="D3817" s="61" t="n"/>
      <c r="E3817" s="61" t="n"/>
      <c r="F3817" s="55" t="n"/>
      <c r="G3817" s="56" t="n"/>
      <c r="H3817" s="55" t="n"/>
      <c r="I3817" s="62" t="n"/>
      <c r="J3817" s="58" t="n"/>
      <c r="K3817" s="63">
        <f>IF(tblMovement[[#This Row],[Source]]="","",IFERROR(INDEX(tblSources[Type],MATCH(tblMovement[[#This Row],[Source]],tblSources[Source],0)),"?"))</f>
        <v/>
      </c>
      <c r="L3817" s="63">
        <f>IF(tblMovement[[#This Row],[Destination]]="","",IFERROR(INDEX(tblDestinations[Type],MATCH(tblMovement[[#This Row],[Destination]],tblDestinations[Destination],0)),"?"))</f>
        <v/>
      </c>
      <c r="M3817" s="64">
        <f>IF(tblMovement[[#This Row],[Material]]="","",IF(LEFT(tblMovement[[#This Row],[Material]],3)="Ore",1,0))</f>
        <v/>
      </c>
      <c r="N3817" s="59">
        <f>IF(OR(tblMovement[[#This Row],[Tonnes_t]]="",tblMovement[[#This Row],[Grade_gpt]]=""),0,tblMovement[[#This Row],[Tonnes_t]]*tblMovement[[#This Row],[Grade_gpt]]/cfg_TroyOz)</f>
        <v/>
      </c>
      <c r="O3817" s="59">
        <f>IF(tblMovement[[#This Row],[Is_Ore]]=1,tblMovement[[#This Row],[Contained_oz]],0)</f>
        <v/>
      </c>
    </row>
    <row r="3818">
      <c r="A3818" s="54" t="n"/>
      <c r="B3818" s="61" t="n"/>
      <c r="C3818" s="61" t="n"/>
      <c r="D3818" s="61" t="n"/>
      <c r="E3818" s="61" t="n"/>
      <c r="F3818" s="55" t="n"/>
      <c r="G3818" s="56" t="n"/>
      <c r="H3818" s="55" t="n"/>
      <c r="I3818" s="62" t="n"/>
      <c r="J3818" s="58" t="n"/>
      <c r="K3818" s="63">
        <f>IF(tblMovement[[#This Row],[Source]]="","",IFERROR(INDEX(tblSources[Type],MATCH(tblMovement[[#This Row],[Source]],tblSources[Source],0)),"?"))</f>
        <v/>
      </c>
      <c r="L3818" s="63">
        <f>IF(tblMovement[[#This Row],[Destination]]="","",IFERROR(INDEX(tblDestinations[Type],MATCH(tblMovement[[#This Row],[Destination]],tblDestinations[Destination],0)),"?"))</f>
        <v/>
      </c>
      <c r="M3818" s="64">
        <f>IF(tblMovement[[#This Row],[Material]]="","",IF(LEFT(tblMovement[[#This Row],[Material]],3)="Ore",1,0))</f>
        <v/>
      </c>
      <c r="N3818" s="59">
        <f>IF(OR(tblMovement[[#This Row],[Tonnes_t]]="",tblMovement[[#This Row],[Grade_gpt]]=""),0,tblMovement[[#This Row],[Tonnes_t]]*tblMovement[[#This Row],[Grade_gpt]]/cfg_TroyOz)</f>
        <v/>
      </c>
      <c r="O3818" s="59">
        <f>IF(tblMovement[[#This Row],[Is_Ore]]=1,tblMovement[[#This Row],[Contained_oz]],0)</f>
        <v/>
      </c>
    </row>
    <row r="3819">
      <c r="A3819" s="54" t="n"/>
      <c r="B3819" s="61" t="n"/>
      <c r="C3819" s="61" t="n"/>
      <c r="D3819" s="61" t="n"/>
      <c r="E3819" s="61" t="n"/>
      <c r="F3819" s="55" t="n"/>
      <c r="G3819" s="56" t="n"/>
      <c r="H3819" s="55" t="n"/>
      <c r="I3819" s="62" t="n"/>
      <c r="J3819" s="58" t="n"/>
      <c r="K3819" s="63">
        <f>IF(tblMovement[[#This Row],[Source]]="","",IFERROR(INDEX(tblSources[Type],MATCH(tblMovement[[#This Row],[Source]],tblSources[Source],0)),"?"))</f>
        <v/>
      </c>
      <c r="L3819" s="63">
        <f>IF(tblMovement[[#This Row],[Destination]]="","",IFERROR(INDEX(tblDestinations[Type],MATCH(tblMovement[[#This Row],[Destination]],tblDestinations[Destination],0)),"?"))</f>
        <v/>
      </c>
      <c r="M3819" s="64">
        <f>IF(tblMovement[[#This Row],[Material]]="","",IF(LEFT(tblMovement[[#This Row],[Material]],3)="Ore",1,0))</f>
        <v/>
      </c>
      <c r="N3819" s="59">
        <f>IF(OR(tblMovement[[#This Row],[Tonnes_t]]="",tblMovement[[#This Row],[Grade_gpt]]=""),0,tblMovement[[#This Row],[Tonnes_t]]*tblMovement[[#This Row],[Grade_gpt]]/cfg_TroyOz)</f>
        <v/>
      </c>
      <c r="O3819" s="59">
        <f>IF(tblMovement[[#This Row],[Is_Ore]]=1,tblMovement[[#This Row],[Contained_oz]],0)</f>
        <v/>
      </c>
    </row>
    <row r="3820">
      <c r="A3820" s="54" t="n"/>
      <c r="B3820" s="61" t="n"/>
      <c r="C3820" s="61" t="n"/>
      <c r="D3820" s="61" t="n"/>
      <c r="E3820" s="61" t="n"/>
      <c r="F3820" s="55" t="n"/>
      <c r="G3820" s="56" t="n"/>
      <c r="H3820" s="55" t="n"/>
      <c r="I3820" s="62" t="n"/>
      <c r="J3820" s="58" t="n"/>
      <c r="K3820" s="63">
        <f>IF(tblMovement[[#This Row],[Source]]="","",IFERROR(INDEX(tblSources[Type],MATCH(tblMovement[[#This Row],[Source]],tblSources[Source],0)),"?"))</f>
        <v/>
      </c>
      <c r="L3820" s="63">
        <f>IF(tblMovement[[#This Row],[Destination]]="","",IFERROR(INDEX(tblDestinations[Type],MATCH(tblMovement[[#This Row],[Destination]],tblDestinations[Destination],0)),"?"))</f>
        <v/>
      </c>
      <c r="M3820" s="64">
        <f>IF(tblMovement[[#This Row],[Material]]="","",IF(LEFT(tblMovement[[#This Row],[Material]],3)="Ore",1,0))</f>
        <v/>
      </c>
      <c r="N3820" s="59">
        <f>IF(OR(tblMovement[[#This Row],[Tonnes_t]]="",tblMovement[[#This Row],[Grade_gpt]]=""),0,tblMovement[[#This Row],[Tonnes_t]]*tblMovement[[#This Row],[Grade_gpt]]/cfg_TroyOz)</f>
        <v/>
      </c>
      <c r="O3820" s="59">
        <f>IF(tblMovement[[#This Row],[Is_Ore]]=1,tblMovement[[#This Row],[Contained_oz]],0)</f>
        <v/>
      </c>
    </row>
    <row r="3821">
      <c r="A3821" s="54" t="n"/>
      <c r="B3821" s="61" t="n"/>
      <c r="C3821" s="61" t="n"/>
      <c r="D3821" s="61" t="n"/>
      <c r="E3821" s="61" t="n"/>
      <c r="F3821" s="55" t="n"/>
      <c r="G3821" s="56" t="n"/>
      <c r="H3821" s="55" t="n"/>
      <c r="I3821" s="62" t="n"/>
      <c r="J3821" s="58" t="n"/>
      <c r="K3821" s="63">
        <f>IF(tblMovement[[#This Row],[Source]]="","",IFERROR(INDEX(tblSources[Type],MATCH(tblMovement[[#This Row],[Source]],tblSources[Source],0)),"?"))</f>
        <v/>
      </c>
      <c r="L3821" s="63">
        <f>IF(tblMovement[[#This Row],[Destination]]="","",IFERROR(INDEX(tblDestinations[Type],MATCH(tblMovement[[#This Row],[Destination]],tblDestinations[Destination],0)),"?"))</f>
        <v/>
      </c>
      <c r="M3821" s="64">
        <f>IF(tblMovement[[#This Row],[Material]]="","",IF(LEFT(tblMovement[[#This Row],[Material]],3)="Ore",1,0))</f>
        <v/>
      </c>
      <c r="N3821" s="59">
        <f>IF(OR(tblMovement[[#This Row],[Tonnes_t]]="",tblMovement[[#This Row],[Grade_gpt]]=""),0,tblMovement[[#This Row],[Tonnes_t]]*tblMovement[[#This Row],[Grade_gpt]]/cfg_TroyOz)</f>
        <v/>
      </c>
      <c r="O3821" s="59">
        <f>IF(tblMovement[[#This Row],[Is_Ore]]=1,tblMovement[[#This Row],[Contained_oz]],0)</f>
        <v/>
      </c>
    </row>
    <row r="3822">
      <c r="A3822" s="54" t="n"/>
      <c r="B3822" s="61" t="n"/>
      <c r="C3822" s="61" t="n"/>
      <c r="D3822" s="61" t="n"/>
      <c r="E3822" s="61" t="n"/>
      <c r="F3822" s="55" t="n"/>
      <c r="G3822" s="56" t="n"/>
      <c r="H3822" s="55" t="n"/>
      <c r="I3822" s="62" t="n"/>
      <c r="J3822" s="58" t="n"/>
      <c r="K3822" s="63">
        <f>IF(tblMovement[[#This Row],[Source]]="","",IFERROR(INDEX(tblSources[Type],MATCH(tblMovement[[#This Row],[Source]],tblSources[Source],0)),"?"))</f>
        <v/>
      </c>
      <c r="L3822" s="63">
        <f>IF(tblMovement[[#This Row],[Destination]]="","",IFERROR(INDEX(tblDestinations[Type],MATCH(tblMovement[[#This Row],[Destination]],tblDestinations[Destination],0)),"?"))</f>
        <v/>
      </c>
      <c r="M3822" s="64">
        <f>IF(tblMovement[[#This Row],[Material]]="","",IF(LEFT(tblMovement[[#This Row],[Material]],3)="Ore",1,0))</f>
        <v/>
      </c>
      <c r="N3822" s="59">
        <f>IF(OR(tblMovement[[#This Row],[Tonnes_t]]="",tblMovement[[#This Row],[Grade_gpt]]=""),0,tblMovement[[#This Row],[Tonnes_t]]*tblMovement[[#This Row],[Grade_gpt]]/cfg_TroyOz)</f>
        <v/>
      </c>
      <c r="O3822" s="59">
        <f>IF(tblMovement[[#This Row],[Is_Ore]]=1,tblMovement[[#This Row],[Contained_oz]],0)</f>
        <v/>
      </c>
    </row>
    <row r="3823">
      <c r="A3823" s="54" t="n"/>
      <c r="B3823" s="61" t="n"/>
      <c r="C3823" s="61" t="n"/>
      <c r="D3823" s="61" t="n"/>
      <c r="E3823" s="61" t="n"/>
      <c r="F3823" s="55" t="n"/>
      <c r="G3823" s="56" t="n"/>
      <c r="H3823" s="55" t="n"/>
      <c r="I3823" s="62" t="n"/>
      <c r="J3823" s="58" t="n"/>
      <c r="K3823" s="63">
        <f>IF(tblMovement[[#This Row],[Source]]="","",IFERROR(INDEX(tblSources[Type],MATCH(tblMovement[[#This Row],[Source]],tblSources[Source],0)),"?"))</f>
        <v/>
      </c>
      <c r="L3823" s="63">
        <f>IF(tblMovement[[#This Row],[Destination]]="","",IFERROR(INDEX(tblDestinations[Type],MATCH(tblMovement[[#This Row],[Destination]],tblDestinations[Destination],0)),"?"))</f>
        <v/>
      </c>
      <c r="M3823" s="64">
        <f>IF(tblMovement[[#This Row],[Material]]="","",IF(LEFT(tblMovement[[#This Row],[Material]],3)="Ore",1,0))</f>
        <v/>
      </c>
      <c r="N3823" s="59">
        <f>IF(OR(tblMovement[[#This Row],[Tonnes_t]]="",tblMovement[[#This Row],[Grade_gpt]]=""),0,tblMovement[[#This Row],[Tonnes_t]]*tblMovement[[#This Row],[Grade_gpt]]/cfg_TroyOz)</f>
        <v/>
      </c>
      <c r="O3823" s="59">
        <f>IF(tblMovement[[#This Row],[Is_Ore]]=1,tblMovement[[#This Row],[Contained_oz]],0)</f>
        <v/>
      </c>
    </row>
    <row r="3824">
      <c r="A3824" s="54" t="n"/>
      <c r="B3824" s="61" t="n"/>
      <c r="C3824" s="61" t="n"/>
      <c r="D3824" s="61" t="n"/>
      <c r="E3824" s="61" t="n"/>
      <c r="F3824" s="55" t="n"/>
      <c r="G3824" s="56" t="n"/>
      <c r="H3824" s="55" t="n"/>
      <c r="I3824" s="62" t="n"/>
      <c r="J3824" s="58" t="n"/>
      <c r="K3824" s="63">
        <f>IF(tblMovement[[#This Row],[Source]]="","",IFERROR(INDEX(tblSources[Type],MATCH(tblMovement[[#This Row],[Source]],tblSources[Source],0)),"?"))</f>
        <v/>
      </c>
      <c r="L3824" s="63">
        <f>IF(tblMovement[[#This Row],[Destination]]="","",IFERROR(INDEX(tblDestinations[Type],MATCH(tblMovement[[#This Row],[Destination]],tblDestinations[Destination],0)),"?"))</f>
        <v/>
      </c>
      <c r="M3824" s="64">
        <f>IF(tblMovement[[#This Row],[Material]]="","",IF(LEFT(tblMovement[[#This Row],[Material]],3)="Ore",1,0))</f>
        <v/>
      </c>
      <c r="N3824" s="59">
        <f>IF(OR(tblMovement[[#This Row],[Tonnes_t]]="",tblMovement[[#This Row],[Grade_gpt]]=""),0,tblMovement[[#This Row],[Tonnes_t]]*tblMovement[[#This Row],[Grade_gpt]]/cfg_TroyOz)</f>
        <v/>
      </c>
      <c r="O3824" s="59">
        <f>IF(tblMovement[[#This Row],[Is_Ore]]=1,tblMovement[[#This Row],[Contained_oz]],0)</f>
        <v/>
      </c>
    </row>
    <row r="3825">
      <c r="A3825" s="54" t="n"/>
      <c r="B3825" s="61" t="n"/>
      <c r="C3825" s="61" t="n"/>
      <c r="D3825" s="61" t="n"/>
      <c r="E3825" s="61" t="n"/>
      <c r="F3825" s="55" t="n"/>
      <c r="G3825" s="56" t="n"/>
      <c r="H3825" s="55" t="n"/>
      <c r="I3825" s="62" t="n"/>
      <c r="J3825" s="58" t="n"/>
      <c r="K3825" s="63">
        <f>IF(tblMovement[[#This Row],[Source]]="","",IFERROR(INDEX(tblSources[Type],MATCH(tblMovement[[#This Row],[Source]],tblSources[Source],0)),"?"))</f>
        <v/>
      </c>
      <c r="L3825" s="63">
        <f>IF(tblMovement[[#This Row],[Destination]]="","",IFERROR(INDEX(tblDestinations[Type],MATCH(tblMovement[[#This Row],[Destination]],tblDestinations[Destination],0)),"?"))</f>
        <v/>
      </c>
      <c r="M3825" s="64">
        <f>IF(tblMovement[[#This Row],[Material]]="","",IF(LEFT(tblMovement[[#This Row],[Material]],3)="Ore",1,0))</f>
        <v/>
      </c>
      <c r="N3825" s="59">
        <f>IF(OR(tblMovement[[#This Row],[Tonnes_t]]="",tblMovement[[#This Row],[Grade_gpt]]=""),0,tblMovement[[#This Row],[Tonnes_t]]*tblMovement[[#This Row],[Grade_gpt]]/cfg_TroyOz)</f>
        <v/>
      </c>
      <c r="O3825" s="59">
        <f>IF(tblMovement[[#This Row],[Is_Ore]]=1,tblMovement[[#This Row],[Contained_oz]],0)</f>
        <v/>
      </c>
    </row>
    <row r="3826">
      <c r="A3826" s="54" t="n"/>
      <c r="B3826" s="61" t="n"/>
      <c r="C3826" s="61" t="n"/>
      <c r="D3826" s="61" t="n"/>
      <c r="E3826" s="61" t="n"/>
      <c r="F3826" s="55" t="n"/>
      <c r="G3826" s="56" t="n"/>
      <c r="H3826" s="55" t="n"/>
      <c r="I3826" s="62" t="n"/>
      <c r="J3826" s="58" t="n"/>
      <c r="K3826" s="63">
        <f>IF(tblMovement[[#This Row],[Source]]="","",IFERROR(INDEX(tblSources[Type],MATCH(tblMovement[[#This Row],[Source]],tblSources[Source],0)),"?"))</f>
        <v/>
      </c>
      <c r="L3826" s="63">
        <f>IF(tblMovement[[#This Row],[Destination]]="","",IFERROR(INDEX(tblDestinations[Type],MATCH(tblMovement[[#This Row],[Destination]],tblDestinations[Destination],0)),"?"))</f>
        <v/>
      </c>
      <c r="M3826" s="64">
        <f>IF(tblMovement[[#This Row],[Material]]="","",IF(LEFT(tblMovement[[#This Row],[Material]],3)="Ore",1,0))</f>
        <v/>
      </c>
      <c r="N3826" s="59">
        <f>IF(OR(tblMovement[[#This Row],[Tonnes_t]]="",tblMovement[[#This Row],[Grade_gpt]]=""),0,tblMovement[[#This Row],[Tonnes_t]]*tblMovement[[#This Row],[Grade_gpt]]/cfg_TroyOz)</f>
        <v/>
      </c>
      <c r="O3826" s="59">
        <f>IF(tblMovement[[#This Row],[Is_Ore]]=1,tblMovement[[#This Row],[Contained_oz]],0)</f>
        <v/>
      </c>
    </row>
    <row r="3827">
      <c r="A3827" s="54" t="n"/>
      <c r="B3827" s="61" t="n"/>
      <c r="C3827" s="61" t="n"/>
      <c r="D3827" s="61" t="n"/>
      <c r="E3827" s="61" t="n"/>
      <c r="F3827" s="55" t="n"/>
      <c r="G3827" s="56" t="n"/>
      <c r="H3827" s="55" t="n"/>
      <c r="I3827" s="62" t="n"/>
      <c r="J3827" s="58" t="n"/>
      <c r="K3827" s="63">
        <f>IF(tblMovement[[#This Row],[Source]]="","",IFERROR(INDEX(tblSources[Type],MATCH(tblMovement[[#This Row],[Source]],tblSources[Source],0)),"?"))</f>
        <v/>
      </c>
      <c r="L3827" s="63">
        <f>IF(tblMovement[[#This Row],[Destination]]="","",IFERROR(INDEX(tblDestinations[Type],MATCH(tblMovement[[#This Row],[Destination]],tblDestinations[Destination],0)),"?"))</f>
        <v/>
      </c>
      <c r="M3827" s="64">
        <f>IF(tblMovement[[#This Row],[Material]]="","",IF(LEFT(tblMovement[[#This Row],[Material]],3)="Ore",1,0))</f>
        <v/>
      </c>
      <c r="N3827" s="59">
        <f>IF(OR(tblMovement[[#This Row],[Tonnes_t]]="",tblMovement[[#This Row],[Grade_gpt]]=""),0,tblMovement[[#This Row],[Tonnes_t]]*tblMovement[[#This Row],[Grade_gpt]]/cfg_TroyOz)</f>
        <v/>
      </c>
      <c r="O3827" s="59">
        <f>IF(tblMovement[[#This Row],[Is_Ore]]=1,tblMovement[[#This Row],[Contained_oz]],0)</f>
        <v/>
      </c>
    </row>
    <row r="3828">
      <c r="A3828" s="54" t="n"/>
      <c r="B3828" s="61" t="n"/>
      <c r="C3828" s="61" t="n"/>
      <c r="D3828" s="61" t="n"/>
      <c r="E3828" s="61" t="n"/>
      <c r="F3828" s="55" t="n"/>
      <c r="G3828" s="56" t="n"/>
      <c r="H3828" s="55" t="n"/>
      <c r="I3828" s="62" t="n"/>
      <c r="J3828" s="58" t="n"/>
      <c r="K3828" s="63">
        <f>IF(tblMovement[[#This Row],[Source]]="","",IFERROR(INDEX(tblSources[Type],MATCH(tblMovement[[#This Row],[Source]],tblSources[Source],0)),"?"))</f>
        <v/>
      </c>
      <c r="L3828" s="63">
        <f>IF(tblMovement[[#This Row],[Destination]]="","",IFERROR(INDEX(tblDestinations[Type],MATCH(tblMovement[[#This Row],[Destination]],tblDestinations[Destination],0)),"?"))</f>
        <v/>
      </c>
      <c r="M3828" s="64">
        <f>IF(tblMovement[[#This Row],[Material]]="","",IF(LEFT(tblMovement[[#This Row],[Material]],3)="Ore",1,0))</f>
        <v/>
      </c>
      <c r="N3828" s="59">
        <f>IF(OR(tblMovement[[#This Row],[Tonnes_t]]="",tblMovement[[#This Row],[Grade_gpt]]=""),0,tblMovement[[#This Row],[Tonnes_t]]*tblMovement[[#This Row],[Grade_gpt]]/cfg_TroyOz)</f>
        <v/>
      </c>
      <c r="O3828" s="59">
        <f>IF(tblMovement[[#This Row],[Is_Ore]]=1,tblMovement[[#This Row],[Contained_oz]],0)</f>
        <v/>
      </c>
    </row>
    <row r="3829">
      <c r="A3829" s="54" t="n"/>
      <c r="B3829" s="61" t="n"/>
      <c r="C3829" s="61" t="n"/>
      <c r="D3829" s="61" t="n"/>
      <c r="E3829" s="61" t="n"/>
      <c r="F3829" s="55" t="n"/>
      <c r="G3829" s="56" t="n"/>
      <c r="H3829" s="55" t="n"/>
      <c r="I3829" s="62" t="n"/>
      <c r="J3829" s="58" t="n"/>
      <c r="K3829" s="63">
        <f>IF(tblMovement[[#This Row],[Source]]="","",IFERROR(INDEX(tblSources[Type],MATCH(tblMovement[[#This Row],[Source]],tblSources[Source],0)),"?"))</f>
        <v/>
      </c>
      <c r="L3829" s="63">
        <f>IF(tblMovement[[#This Row],[Destination]]="","",IFERROR(INDEX(tblDestinations[Type],MATCH(tblMovement[[#This Row],[Destination]],tblDestinations[Destination],0)),"?"))</f>
        <v/>
      </c>
      <c r="M3829" s="64">
        <f>IF(tblMovement[[#This Row],[Material]]="","",IF(LEFT(tblMovement[[#This Row],[Material]],3)="Ore",1,0))</f>
        <v/>
      </c>
      <c r="N3829" s="59">
        <f>IF(OR(tblMovement[[#This Row],[Tonnes_t]]="",tblMovement[[#This Row],[Grade_gpt]]=""),0,tblMovement[[#This Row],[Tonnes_t]]*tblMovement[[#This Row],[Grade_gpt]]/cfg_TroyOz)</f>
        <v/>
      </c>
      <c r="O3829" s="59">
        <f>IF(tblMovement[[#This Row],[Is_Ore]]=1,tblMovement[[#This Row],[Contained_oz]],0)</f>
        <v/>
      </c>
    </row>
    <row r="3830">
      <c r="A3830" s="54" t="n"/>
      <c r="B3830" s="61" t="n"/>
      <c r="C3830" s="61" t="n"/>
      <c r="D3830" s="61" t="n"/>
      <c r="E3830" s="61" t="n"/>
      <c r="F3830" s="55" t="n"/>
      <c r="G3830" s="56" t="n"/>
      <c r="H3830" s="55" t="n"/>
      <c r="I3830" s="62" t="n"/>
      <c r="J3830" s="58" t="n"/>
      <c r="K3830" s="63">
        <f>IF(tblMovement[[#This Row],[Source]]="","",IFERROR(INDEX(tblSources[Type],MATCH(tblMovement[[#This Row],[Source]],tblSources[Source],0)),"?"))</f>
        <v/>
      </c>
      <c r="L3830" s="63">
        <f>IF(tblMovement[[#This Row],[Destination]]="","",IFERROR(INDEX(tblDestinations[Type],MATCH(tblMovement[[#This Row],[Destination]],tblDestinations[Destination],0)),"?"))</f>
        <v/>
      </c>
      <c r="M3830" s="64">
        <f>IF(tblMovement[[#This Row],[Material]]="","",IF(LEFT(tblMovement[[#This Row],[Material]],3)="Ore",1,0))</f>
        <v/>
      </c>
      <c r="N3830" s="59">
        <f>IF(OR(tblMovement[[#This Row],[Tonnes_t]]="",tblMovement[[#This Row],[Grade_gpt]]=""),0,tblMovement[[#This Row],[Tonnes_t]]*tblMovement[[#This Row],[Grade_gpt]]/cfg_TroyOz)</f>
        <v/>
      </c>
      <c r="O3830" s="59">
        <f>IF(tblMovement[[#This Row],[Is_Ore]]=1,tblMovement[[#This Row],[Contained_oz]],0)</f>
        <v/>
      </c>
    </row>
    <row r="3831">
      <c r="A3831" s="54" t="n"/>
      <c r="B3831" s="61" t="n"/>
      <c r="C3831" s="61" t="n"/>
      <c r="D3831" s="61" t="n"/>
      <c r="E3831" s="61" t="n"/>
      <c r="F3831" s="55" t="n"/>
      <c r="G3831" s="56" t="n"/>
      <c r="H3831" s="55" t="n"/>
      <c r="I3831" s="62" t="n"/>
      <c r="J3831" s="58" t="n"/>
      <c r="K3831" s="63">
        <f>IF(tblMovement[[#This Row],[Source]]="","",IFERROR(INDEX(tblSources[Type],MATCH(tblMovement[[#This Row],[Source]],tblSources[Source],0)),"?"))</f>
        <v/>
      </c>
      <c r="L3831" s="63">
        <f>IF(tblMovement[[#This Row],[Destination]]="","",IFERROR(INDEX(tblDestinations[Type],MATCH(tblMovement[[#This Row],[Destination]],tblDestinations[Destination],0)),"?"))</f>
        <v/>
      </c>
      <c r="M3831" s="64">
        <f>IF(tblMovement[[#This Row],[Material]]="","",IF(LEFT(tblMovement[[#This Row],[Material]],3)="Ore",1,0))</f>
        <v/>
      </c>
      <c r="N3831" s="59">
        <f>IF(OR(tblMovement[[#This Row],[Tonnes_t]]="",tblMovement[[#This Row],[Grade_gpt]]=""),0,tblMovement[[#This Row],[Tonnes_t]]*tblMovement[[#This Row],[Grade_gpt]]/cfg_TroyOz)</f>
        <v/>
      </c>
      <c r="O3831" s="59">
        <f>IF(tblMovement[[#This Row],[Is_Ore]]=1,tblMovement[[#This Row],[Contained_oz]],0)</f>
        <v/>
      </c>
    </row>
    <row r="3832">
      <c r="A3832" s="54" t="n"/>
      <c r="B3832" s="61" t="n"/>
      <c r="C3832" s="61" t="n"/>
      <c r="D3832" s="61" t="n"/>
      <c r="E3832" s="61" t="n"/>
      <c r="F3832" s="55" t="n"/>
      <c r="G3832" s="56" t="n"/>
      <c r="H3832" s="55" t="n"/>
      <c r="I3832" s="62" t="n"/>
      <c r="J3832" s="58" t="n"/>
      <c r="K3832" s="63">
        <f>IF(tblMovement[[#This Row],[Source]]="","",IFERROR(INDEX(tblSources[Type],MATCH(tblMovement[[#This Row],[Source]],tblSources[Source],0)),"?"))</f>
        <v/>
      </c>
      <c r="L3832" s="63">
        <f>IF(tblMovement[[#This Row],[Destination]]="","",IFERROR(INDEX(tblDestinations[Type],MATCH(tblMovement[[#This Row],[Destination]],tblDestinations[Destination],0)),"?"))</f>
        <v/>
      </c>
      <c r="M3832" s="64">
        <f>IF(tblMovement[[#This Row],[Material]]="","",IF(LEFT(tblMovement[[#This Row],[Material]],3)="Ore",1,0))</f>
        <v/>
      </c>
      <c r="N3832" s="59">
        <f>IF(OR(tblMovement[[#This Row],[Tonnes_t]]="",tblMovement[[#This Row],[Grade_gpt]]=""),0,tblMovement[[#This Row],[Tonnes_t]]*tblMovement[[#This Row],[Grade_gpt]]/cfg_TroyOz)</f>
        <v/>
      </c>
      <c r="O3832" s="59">
        <f>IF(tblMovement[[#This Row],[Is_Ore]]=1,tblMovement[[#This Row],[Contained_oz]],0)</f>
        <v/>
      </c>
    </row>
    <row r="3833">
      <c r="A3833" s="54" t="n"/>
      <c r="B3833" s="61" t="n"/>
      <c r="C3833" s="61" t="n"/>
      <c r="D3833" s="61" t="n"/>
      <c r="E3833" s="61" t="n"/>
      <c r="F3833" s="55" t="n"/>
      <c r="G3833" s="56" t="n"/>
      <c r="H3833" s="55" t="n"/>
      <c r="I3833" s="62" t="n"/>
      <c r="J3833" s="58" t="n"/>
      <c r="K3833" s="63">
        <f>IF(tblMovement[[#This Row],[Source]]="","",IFERROR(INDEX(tblSources[Type],MATCH(tblMovement[[#This Row],[Source]],tblSources[Source],0)),"?"))</f>
        <v/>
      </c>
      <c r="L3833" s="63">
        <f>IF(tblMovement[[#This Row],[Destination]]="","",IFERROR(INDEX(tblDestinations[Type],MATCH(tblMovement[[#This Row],[Destination]],tblDestinations[Destination],0)),"?"))</f>
        <v/>
      </c>
      <c r="M3833" s="64">
        <f>IF(tblMovement[[#This Row],[Material]]="","",IF(LEFT(tblMovement[[#This Row],[Material]],3)="Ore",1,0))</f>
        <v/>
      </c>
      <c r="N3833" s="59">
        <f>IF(OR(tblMovement[[#This Row],[Tonnes_t]]="",tblMovement[[#This Row],[Grade_gpt]]=""),0,tblMovement[[#This Row],[Tonnes_t]]*tblMovement[[#This Row],[Grade_gpt]]/cfg_TroyOz)</f>
        <v/>
      </c>
      <c r="O3833" s="59">
        <f>IF(tblMovement[[#This Row],[Is_Ore]]=1,tblMovement[[#This Row],[Contained_oz]],0)</f>
        <v/>
      </c>
    </row>
    <row r="3834">
      <c r="A3834" s="54" t="n"/>
      <c r="B3834" s="61" t="n"/>
      <c r="C3834" s="61" t="n"/>
      <c r="D3834" s="61" t="n"/>
      <c r="E3834" s="61" t="n"/>
      <c r="F3834" s="55" t="n"/>
      <c r="G3834" s="56" t="n"/>
      <c r="H3834" s="55" t="n"/>
      <c r="I3834" s="62" t="n"/>
      <c r="J3834" s="58" t="n"/>
      <c r="K3834" s="63">
        <f>IF(tblMovement[[#This Row],[Source]]="","",IFERROR(INDEX(tblSources[Type],MATCH(tblMovement[[#This Row],[Source]],tblSources[Source],0)),"?"))</f>
        <v/>
      </c>
      <c r="L3834" s="63">
        <f>IF(tblMovement[[#This Row],[Destination]]="","",IFERROR(INDEX(tblDestinations[Type],MATCH(tblMovement[[#This Row],[Destination]],tblDestinations[Destination],0)),"?"))</f>
        <v/>
      </c>
      <c r="M3834" s="64">
        <f>IF(tblMovement[[#This Row],[Material]]="","",IF(LEFT(tblMovement[[#This Row],[Material]],3)="Ore",1,0))</f>
        <v/>
      </c>
      <c r="N3834" s="59">
        <f>IF(OR(tblMovement[[#This Row],[Tonnes_t]]="",tblMovement[[#This Row],[Grade_gpt]]=""),0,tblMovement[[#This Row],[Tonnes_t]]*tblMovement[[#This Row],[Grade_gpt]]/cfg_TroyOz)</f>
        <v/>
      </c>
      <c r="O3834" s="59">
        <f>IF(tblMovement[[#This Row],[Is_Ore]]=1,tblMovement[[#This Row],[Contained_oz]],0)</f>
        <v/>
      </c>
    </row>
    <row r="3835">
      <c r="A3835" s="54" t="n"/>
      <c r="B3835" s="61" t="n"/>
      <c r="C3835" s="61" t="n"/>
      <c r="D3835" s="61" t="n"/>
      <c r="E3835" s="61" t="n"/>
      <c r="F3835" s="55" t="n"/>
      <c r="G3835" s="56" t="n"/>
      <c r="H3835" s="55" t="n"/>
      <c r="I3835" s="62" t="n"/>
      <c r="J3835" s="58" t="n"/>
      <c r="K3835" s="63">
        <f>IF(tblMovement[[#This Row],[Source]]="","",IFERROR(INDEX(tblSources[Type],MATCH(tblMovement[[#This Row],[Source]],tblSources[Source],0)),"?"))</f>
        <v/>
      </c>
      <c r="L3835" s="63">
        <f>IF(tblMovement[[#This Row],[Destination]]="","",IFERROR(INDEX(tblDestinations[Type],MATCH(tblMovement[[#This Row],[Destination]],tblDestinations[Destination],0)),"?"))</f>
        <v/>
      </c>
      <c r="M3835" s="64">
        <f>IF(tblMovement[[#This Row],[Material]]="","",IF(LEFT(tblMovement[[#This Row],[Material]],3)="Ore",1,0))</f>
        <v/>
      </c>
      <c r="N3835" s="59">
        <f>IF(OR(tblMovement[[#This Row],[Tonnes_t]]="",tblMovement[[#This Row],[Grade_gpt]]=""),0,tblMovement[[#This Row],[Tonnes_t]]*tblMovement[[#This Row],[Grade_gpt]]/cfg_TroyOz)</f>
        <v/>
      </c>
      <c r="O3835" s="59">
        <f>IF(tblMovement[[#This Row],[Is_Ore]]=1,tblMovement[[#This Row],[Contained_oz]],0)</f>
        <v/>
      </c>
    </row>
    <row r="3836">
      <c r="A3836" s="54" t="n"/>
      <c r="B3836" s="61" t="n"/>
      <c r="C3836" s="61" t="n"/>
      <c r="D3836" s="61" t="n"/>
      <c r="E3836" s="61" t="n"/>
      <c r="F3836" s="55" t="n"/>
      <c r="G3836" s="56" t="n"/>
      <c r="H3836" s="55" t="n"/>
      <c r="I3836" s="62" t="n"/>
      <c r="J3836" s="58" t="n"/>
      <c r="K3836" s="63">
        <f>IF(tblMovement[[#This Row],[Source]]="","",IFERROR(INDEX(tblSources[Type],MATCH(tblMovement[[#This Row],[Source]],tblSources[Source],0)),"?"))</f>
        <v/>
      </c>
      <c r="L3836" s="63">
        <f>IF(tblMovement[[#This Row],[Destination]]="","",IFERROR(INDEX(tblDestinations[Type],MATCH(tblMovement[[#This Row],[Destination]],tblDestinations[Destination],0)),"?"))</f>
        <v/>
      </c>
      <c r="M3836" s="64">
        <f>IF(tblMovement[[#This Row],[Material]]="","",IF(LEFT(tblMovement[[#This Row],[Material]],3)="Ore",1,0))</f>
        <v/>
      </c>
      <c r="N3836" s="59">
        <f>IF(OR(tblMovement[[#This Row],[Tonnes_t]]="",tblMovement[[#This Row],[Grade_gpt]]=""),0,tblMovement[[#This Row],[Tonnes_t]]*tblMovement[[#This Row],[Grade_gpt]]/cfg_TroyOz)</f>
        <v/>
      </c>
      <c r="O3836" s="59">
        <f>IF(tblMovement[[#This Row],[Is_Ore]]=1,tblMovement[[#This Row],[Contained_oz]],0)</f>
        <v/>
      </c>
    </row>
    <row r="3837">
      <c r="A3837" s="54" t="n"/>
      <c r="B3837" s="61" t="n"/>
      <c r="C3837" s="61" t="n"/>
      <c r="D3837" s="61" t="n"/>
      <c r="E3837" s="61" t="n"/>
      <c r="F3837" s="55" t="n"/>
      <c r="G3837" s="56" t="n"/>
      <c r="H3837" s="55" t="n"/>
      <c r="I3837" s="62" t="n"/>
      <c r="J3837" s="58" t="n"/>
      <c r="K3837" s="63">
        <f>IF(tblMovement[[#This Row],[Source]]="","",IFERROR(INDEX(tblSources[Type],MATCH(tblMovement[[#This Row],[Source]],tblSources[Source],0)),"?"))</f>
        <v/>
      </c>
      <c r="L3837" s="63">
        <f>IF(tblMovement[[#This Row],[Destination]]="","",IFERROR(INDEX(tblDestinations[Type],MATCH(tblMovement[[#This Row],[Destination]],tblDestinations[Destination],0)),"?"))</f>
        <v/>
      </c>
      <c r="M3837" s="64">
        <f>IF(tblMovement[[#This Row],[Material]]="","",IF(LEFT(tblMovement[[#This Row],[Material]],3)="Ore",1,0))</f>
        <v/>
      </c>
      <c r="N3837" s="59">
        <f>IF(OR(tblMovement[[#This Row],[Tonnes_t]]="",tblMovement[[#This Row],[Grade_gpt]]=""),0,tblMovement[[#This Row],[Tonnes_t]]*tblMovement[[#This Row],[Grade_gpt]]/cfg_TroyOz)</f>
        <v/>
      </c>
      <c r="O3837" s="59">
        <f>IF(tblMovement[[#This Row],[Is_Ore]]=1,tblMovement[[#This Row],[Contained_oz]],0)</f>
        <v/>
      </c>
    </row>
    <row r="3838">
      <c r="A3838" s="54" t="n"/>
      <c r="B3838" s="61" t="n"/>
      <c r="C3838" s="61" t="n"/>
      <c r="D3838" s="61" t="n"/>
      <c r="E3838" s="61" t="n"/>
      <c r="F3838" s="55" t="n"/>
      <c r="G3838" s="56" t="n"/>
      <c r="H3838" s="55" t="n"/>
      <c r="I3838" s="62" t="n"/>
      <c r="J3838" s="58" t="n"/>
      <c r="K3838" s="63">
        <f>IF(tblMovement[[#This Row],[Source]]="","",IFERROR(INDEX(tblSources[Type],MATCH(tblMovement[[#This Row],[Source]],tblSources[Source],0)),"?"))</f>
        <v/>
      </c>
      <c r="L3838" s="63">
        <f>IF(tblMovement[[#This Row],[Destination]]="","",IFERROR(INDEX(tblDestinations[Type],MATCH(tblMovement[[#This Row],[Destination]],tblDestinations[Destination],0)),"?"))</f>
        <v/>
      </c>
      <c r="M3838" s="64">
        <f>IF(tblMovement[[#This Row],[Material]]="","",IF(LEFT(tblMovement[[#This Row],[Material]],3)="Ore",1,0))</f>
        <v/>
      </c>
      <c r="N3838" s="59">
        <f>IF(OR(tblMovement[[#This Row],[Tonnes_t]]="",tblMovement[[#This Row],[Grade_gpt]]=""),0,tblMovement[[#This Row],[Tonnes_t]]*tblMovement[[#This Row],[Grade_gpt]]/cfg_TroyOz)</f>
        <v/>
      </c>
      <c r="O3838" s="59">
        <f>IF(tblMovement[[#This Row],[Is_Ore]]=1,tblMovement[[#This Row],[Contained_oz]],0)</f>
        <v/>
      </c>
    </row>
    <row r="3839">
      <c r="A3839" s="54" t="n"/>
      <c r="B3839" s="61" t="n"/>
      <c r="C3839" s="61" t="n"/>
      <c r="D3839" s="61" t="n"/>
      <c r="E3839" s="61" t="n"/>
      <c r="F3839" s="55" t="n"/>
      <c r="G3839" s="56" t="n"/>
      <c r="H3839" s="55" t="n"/>
      <c r="I3839" s="62" t="n"/>
      <c r="J3839" s="58" t="n"/>
      <c r="K3839" s="63">
        <f>IF(tblMovement[[#This Row],[Source]]="","",IFERROR(INDEX(tblSources[Type],MATCH(tblMovement[[#This Row],[Source]],tblSources[Source],0)),"?"))</f>
        <v/>
      </c>
      <c r="L3839" s="63">
        <f>IF(tblMovement[[#This Row],[Destination]]="","",IFERROR(INDEX(tblDestinations[Type],MATCH(tblMovement[[#This Row],[Destination]],tblDestinations[Destination],0)),"?"))</f>
        <v/>
      </c>
      <c r="M3839" s="64">
        <f>IF(tblMovement[[#This Row],[Material]]="","",IF(LEFT(tblMovement[[#This Row],[Material]],3)="Ore",1,0))</f>
        <v/>
      </c>
      <c r="N3839" s="59">
        <f>IF(OR(tblMovement[[#This Row],[Tonnes_t]]="",tblMovement[[#This Row],[Grade_gpt]]=""),0,tblMovement[[#This Row],[Tonnes_t]]*tblMovement[[#This Row],[Grade_gpt]]/cfg_TroyOz)</f>
        <v/>
      </c>
      <c r="O3839" s="59">
        <f>IF(tblMovement[[#This Row],[Is_Ore]]=1,tblMovement[[#This Row],[Contained_oz]],0)</f>
        <v/>
      </c>
    </row>
    <row r="3840">
      <c r="A3840" s="54" t="n"/>
      <c r="B3840" s="61" t="n"/>
      <c r="C3840" s="61" t="n"/>
      <c r="D3840" s="61" t="n"/>
      <c r="E3840" s="61" t="n"/>
      <c r="F3840" s="55" t="n"/>
      <c r="G3840" s="56" t="n"/>
      <c r="H3840" s="55" t="n"/>
      <c r="I3840" s="62" t="n"/>
      <c r="J3840" s="58" t="n"/>
      <c r="K3840" s="63">
        <f>IF(tblMovement[[#This Row],[Source]]="","",IFERROR(INDEX(tblSources[Type],MATCH(tblMovement[[#This Row],[Source]],tblSources[Source],0)),"?"))</f>
        <v/>
      </c>
      <c r="L3840" s="63">
        <f>IF(tblMovement[[#This Row],[Destination]]="","",IFERROR(INDEX(tblDestinations[Type],MATCH(tblMovement[[#This Row],[Destination]],tblDestinations[Destination],0)),"?"))</f>
        <v/>
      </c>
      <c r="M3840" s="64">
        <f>IF(tblMovement[[#This Row],[Material]]="","",IF(LEFT(tblMovement[[#This Row],[Material]],3)="Ore",1,0))</f>
        <v/>
      </c>
      <c r="N3840" s="59">
        <f>IF(OR(tblMovement[[#This Row],[Tonnes_t]]="",tblMovement[[#This Row],[Grade_gpt]]=""),0,tblMovement[[#This Row],[Tonnes_t]]*tblMovement[[#This Row],[Grade_gpt]]/cfg_TroyOz)</f>
        <v/>
      </c>
      <c r="O3840" s="59">
        <f>IF(tblMovement[[#This Row],[Is_Ore]]=1,tblMovement[[#This Row],[Contained_oz]],0)</f>
        <v/>
      </c>
    </row>
    <row r="3841">
      <c r="A3841" s="54" t="n"/>
      <c r="B3841" s="61" t="n"/>
      <c r="C3841" s="61" t="n"/>
      <c r="D3841" s="61" t="n"/>
      <c r="E3841" s="61" t="n"/>
      <c r="F3841" s="55" t="n"/>
      <c r="G3841" s="56" t="n"/>
      <c r="H3841" s="55" t="n"/>
      <c r="I3841" s="62" t="n"/>
      <c r="J3841" s="58" t="n"/>
      <c r="K3841" s="63">
        <f>IF(tblMovement[[#This Row],[Source]]="","",IFERROR(INDEX(tblSources[Type],MATCH(tblMovement[[#This Row],[Source]],tblSources[Source],0)),"?"))</f>
        <v/>
      </c>
      <c r="L3841" s="63">
        <f>IF(tblMovement[[#This Row],[Destination]]="","",IFERROR(INDEX(tblDestinations[Type],MATCH(tblMovement[[#This Row],[Destination]],tblDestinations[Destination],0)),"?"))</f>
        <v/>
      </c>
      <c r="M3841" s="64">
        <f>IF(tblMovement[[#This Row],[Material]]="","",IF(LEFT(tblMovement[[#This Row],[Material]],3)="Ore",1,0))</f>
        <v/>
      </c>
      <c r="N3841" s="59">
        <f>IF(OR(tblMovement[[#This Row],[Tonnes_t]]="",tblMovement[[#This Row],[Grade_gpt]]=""),0,tblMovement[[#This Row],[Tonnes_t]]*tblMovement[[#This Row],[Grade_gpt]]/cfg_TroyOz)</f>
        <v/>
      </c>
      <c r="O3841" s="59">
        <f>IF(tblMovement[[#This Row],[Is_Ore]]=1,tblMovement[[#This Row],[Contained_oz]],0)</f>
        <v/>
      </c>
    </row>
    <row r="3842">
      <c r="A3842" s="54" t="n"/>
      <c r="B3842" s="61" t="n"/>
      <c r="C3842" s="61" t="n"/>
      <c r="D3842" s="61" t="n"/>
      <c r="E3842" s="61" t="n"/>
      <c r="F3842" s="55" t="n"/>
      <c r="G3842" s="56" t="n"/>
      <c r="H3842" s="55" t="n"/>
      <c r="I3842" s="62" t="n"/>
      <c r="J3842" s="58" t="n"/>
      <c r="K3842" s="63">
        <f>IF(tblMovement[[#This Row],[Source]]="","",IFERROR(INDEX(tblSources[Type],MATCH(tblMovement[[#This Row],[Source]],tblSources[Source],0)),"?"))</f>
        <v/>
      </c>
      <c r="L3842" s="63">
        <f>IF(tblMovement[[#This Row],[Destination]]="","",IFERROR(INDEX(tblDestinations[Type],MATCH(tblMovement[[#This Row],[Destination]],tblDestinations[Destination],0)),"?"))</f>
        <v/>
      </c>
      <c r="M3842" s="64">
        <f>IF(tblMovement[[#This Row],[Material]]="","",IF(LEFT(tblMovement[[#This Row],[Material]],3)="Ore",1,0))</f>
        <v/>
      </c>
      <c r="N3842" s="59">
        <f>IF(OR(tblMovement[[#This Row],[Tonnes_t]]="",tblMovement[[#This Row],[Grade_gpt]]=""),0,tblMovement[[#This Row],[Tonnes_t]]*tblMovement[[#This Row],[Grade_gpt]]/cfg_TroyOz)</f>
        <v/>
      </c>
      <c r="O3842" s="59">
        <f>IF(tblMovement[[#This Row],[Is_Ore]]=1,tblMovement[[#This Row],[Contained_oz]],0)</f>
        <v/>
      </c>
    </row>
    <row r="3843">
      <c r="A3843" s="54" t="n"/>
      <c r="B3843" s="61" t="n"/>
      <c r="C3843" s="61" t="n"/>
      <c r="D3843" s="61" t="n"/>
      <c r="E3843" s="61" t="n"/>
      <c r="F3843" s="55" t="n"/>
      <c r="G3843" s="56" t="n"/>
      <c r="H3843" s="55" t="n"/>
      <c r="I3843" s="62" t="n"/>
      <c r="J3843" s="58" t="n"/>
      <c r="K3843" s="63">
        <f>IF(tblMovement[[#This Row],[Source]]="","",IFERROR(INDEX(tblSources[Type],MATCH(tblMovement[[#This Row],[Source]],tblSources[Source],0)),"?"))</f>
        <v/>
      </c>
      <c r="L3843" s="63">
        <f>IF(tblMovement[[#This Row],[Destination]]="","",IFERROR(INDEX(tblDestinations[Type],MATCH(tblMovement[[#This Row],[Destination]],tblDestinations[Destination],0)),"?"))</f>
        <v/>
      </c>
      <c r="M3843" s="64">
        <f>IF(tblMovement[[#This Row],[Material]]="","",IF(LEFT(tblMovement[[#This Row],[Material]],3)="Ore",1,0))</f>
        <v/>
      </c>
      <c r="N3843" s="59">
        <f>IF(OR(tblMovement[[#This Row],[Tonnes_t]]="",tblMovement[[#This Row],[Grade_gpt]]=""),0,tblMovement[[#This Row],[Tonnes_t]]*tblMovement[[#This Row],[Grade_gpt]]/cfg_TroyOz)</f>
        <v/>
      </c>
      <c r="O3843" s="59">
        <f>IF(tblMovement[[#This Row],[Is_Ore]]=1,tblMovement[[#This Row],[Contained_oz]],0)</f>
        <v/>
      </c>
    </row>
    <row r="3844">
      <c r="A3844" s="54" t="n"/>
      <c r="B3844" s="61" t="n"/>
      <c r="C3844" s="61" t="n"/>
      <c r="D3844" s="61" t="n"/>
      <c r="E3844" s="61" t="n"/>
      <c r="F3844" s="55" t="n"/>
      <c r="G3844" s="56" t="n"/>
      <c r="H3844" s="55" t="n"/>
      <c r="I3844" s="62" t="n"/>
      <c r="J3844" s="58" t="n"/>
      <c r="K3844" s="63">
        <f>IF(tblMovement[[#This Row],[Source]]="","",IFERROR(INDEX(tblSources[Type],MATCH(tblMovement[[#This Row],[Source]],tblSources[Source],0)),"?"))</f>
        <v/>
      </c>
      <c r="L3844" s="63">
        <f>IF(tblMovement[[#This Row],[Destination]]="","",IFERROR(INDEX(tblDestinations[Type],MATCH(tblMovement[[#This Row],[Destination]],tblDestinations[Destination],0)),"?"))</f>
        <v/>
      </c>
      <c r="M3844" s="64">
        <f>IF(tblMovement[[#This Row],[Material]]="","",IF(LEFT(tblMovement[[#This Row],[Material]],3)="Ore",1,0))</f>
        <v/>
      </c>
      <c r="N3844" s="59">
        <f>IF(OR(tblMovement[[#This Row],[Tonnes_t]]="",tblMovement[[#This Row],[Grade_gpt]]=""),0,tblMovement[[#This Row],[Tonnes_t]]*tblMovement[[#This Row],[Grade_gpt]]/cfg_TroyOz)</f>
        <v/>
      </c>
      <c r="O3844" s="59">
        <f>IF(tblMovement[[#This Row],[Is_Ore]]=1,tblMovement[[#This Row],[Contained_oz]],0)</f>
        <v/>
      </c>
    </row>
    <row r="3845">
      <c r="A3845" s="54" t="n"/>
      <c r="B3845" s="61" t="n"/>
      <c r="C3845" s="61" t="n"/>
      <c r="D3845" s="61" t="n"/>
      <c r="E3845" s="61" t="n"/>
      <c r="F3845" s="55" t="n"/>
      <c r="G3845" s="56" t="n"/>
      <c r="H3845" s="55" t="n"/>
      <c r="I3845" s="62" t="n"/>
      <c r="J3845" s="58" t="n"/>
      <c r="K3845" s="63">
        <f>IF(tblMovement[[#This Row],[Source]]="","",IFERROR(INDEX(tblSources[Type],MATCH(tblMovement[[#This Row],[Source]],tblSources[Source],0)),"?"))</f>
        <v/>
      </c>
      <c r="L3845" s="63">
        <f>IF(tblMovement[[#This Row],[Destination]]="","",IFERROR(INDEX(tblDestinations[Type],MATCH(tblMovement[[#This Row],[Destination]],tblDestinations[Destination],0)),"?"))</f>
        <v/>
      </c>
      <c r="M3845" s="64">
        <f>IF(tblMovement[[#This Row],[Material]]="","",IF(LEFT(tblMovement[[#This Row],[Material]],3)="Ore",1,0))</f>
        <v/>
      </c>
      <c r="N3845" s="59">
        <f>IF(OR(tblMovement[[#This Row],[Tonnes_t]]="",tblMovement[[#This Row],[Grade_gpt]]=""),0,tblMovement[[#This Row],[Tonnes_t]]*tblMovement[[#This Row],[Grade_gpt]]/cfg_TroyOz)</f>
        <v/>
      </c>
      <c r="O3845" s="59">
        <f>IF(tblMovement[[#This Row],[Is_Ore]]=1,tblMovement[[#This Row],[Contained_oz]],0)</f>
        <v/>
      </c>
    </row>
    <row r="3846">
      <c r="A3846" s="54" t="n"/>
      <c r="B3846" s="61" t="n"/>
      <c r="C3846" s="61" t="n"/>
      <c r="D3846" s="61" t="n"/>
      <c r="E3846" s="61" t="n"/>
      <c r="F3846" s="55" t="n"/>
      <c r="G3846" s="56" t="n"/>
      <c r="H3846" s="55" t="n"/>
      <c r="I3846" s="62" t="n"/>
      <c r="J3846" s="58" t="n"/>
      <c r="K3846" s="63">
        <f>IF(tblMovement[[#This Row],[Source]]="","",IFERROR(INDEX(tblSources[Type],MATCH(tblMovement[[#This Row],[Source]],tblSources[Source],0)),"?"))</f>
        <v/>
      </c>
      <c r="L3846" s="63">
        <f>IF(tblMovement[[#This Row],[Destination]]="","",IFERROR(INDEX(tblDestinations[Type],MATCH(tblMovement[[#This Row],[Destination]],tblDestinations[Destination],0)),"?"))</f>
        <v/>
      </c>
      <c r="M3846" s="64">
        <f>IF(tblMovement[[#This Row],[Material]]="","",IF(LEFT(tblMovement[[#This Row],[Material]],3)="Ore",1,0))</f>
        <v/>
      </c>
      <c r="N3846" s="59">
        <f>IF(OR(tblMovement[[#This Row],[Tonnes_t]]="",tblMovement[[#This Row],[Grade_gpt]]=""),0,tblMovement[[#This Row],[Tonnes_t]]*tblMovement[[#This Row],[Grade_gpt]]/cfg_TroyOz)</f>
        <v/>
      </c>
      <c r="O3846" s="59">
        <f>IF(tblMovement[[#This Row],[Is_Ore]]=1,tblMovement[[#This Row],[Contained_oz]],0)</f>
        <v/>
      </c>
    </row>
    <row r="3847">
      <c r="A3847" s="54" t="n"/>
      <c r="B3847" s="61" t="n"/>
      <c r="C3847" s="61" t="n"/>
      <c r="D3847" s="61" t="n"/>
      <c r="E3847" s="61" t="n"/>
      <c r="F3847" s="55" t="n"/>
      <c r="G3847" s="56" t="n"/>
      <c r="H3847" s="55" t="n"/>
      <c r="I3847" s="62" t="n"/>
      <c r="J3847" s="58" t="n"/>
      <c r="K3847" s="63">
        <f>IF(tblMovement[[#This Row],[Source]]="","",IFERROR(INDEX(tblSources[Type],MATCH(tblMovement[[#This Row],[Source]],tblSources[Source],0)),"?"))</f>
        <v/>
      </c>
      <c r="L3847" s="63">
        <f>IF(tblMovement[[#This Row],[Destination]]="","",IFERROR(INDEX(tblDestinations[Type],MATCH(tblMovement[[#This Row],[Destination]],tblDestinations[Destination],0)),"?"))</f>
        <v/>
      </c>
      <c r="M3847" s="64">
        <f>IF(tblMovement[[#This Row],[Material]]="","",IF(LEFT(tblMovement[[#This Row],[Material]],3)="Ore",1,0))</f>
        <v/>
      </c>
      <c r="N3847" s="59">
        <f>IF(OR(tblMovement[[#This Row],[Tonnes_t]]="",tblMovement[[#This Row],[Grade_gpt]]=""),0,tblMovement[[#This Row],[Tonnes_t]]*tblMovement[[#This Row],[Grade_gpt]]/cfg_TroyOz)</f>
        <v/>
      </c>
      <c r="O3847" s="59">
        <f>IF(tblMovement[[#This Row],[Is_Ore]]=1,tblMovement[[#This Row],[Contained_oz]],0)</f>
        <v/>
      </c>
    </row>
    <row r="3848">
      <c r="A3848" s="54" t="n"/>
      <c r="B3848" s="61" t="n"/>
      <c r="C3848" s="61" t="n"/>
      <c r="D3848" s="61" t="n"/>
      <c r="E3848" s="61" t="n"/>
      <c r="F3848" s="55" t="n"/>
      <c r="G3848" s="56" t="n"/>
      <c r="H3848" s="55" t="n"/>
      <c r="I3848" s="62" t="n"/>
      <c r="J3848" s="58" t="n"/>
      <c r="K3848" s="63">
        <f>IF(tblMovement[[#This Row],[Source]]="","",IFERROR(INDEX(tblSources[Type],MATCH(tblMovement[[#This Row],[Source]],tblSources[Source],0)),"?"))</f>
        <v/>
      </c>
      <c r="L3848" s="63">
        <f>IF(tblMovement[[#This Row],[Destination]]="","",IFERROR(INDEX(tblDestinations[Type],MATCH(tblMovement[[#This Row],[Destination]],tblDestinations[Destination],0)),"?"))</f>
        <v/>
      </c>
      <c r="M3848" s="64">
        <f>IF(tblMovement[[#This Row],[Material]]="","",IF(LEFT(tblMovement[[#This Row],[Material]],3)="Ore",1,0))</f>
        <v/>
      </c>
      <c r="N3848" s="59">
        <f>IF(OR(tblMovement[[#This Row],[Tonnes_t]]="",tblMovement[[#This Row],[Grade_gpt]]=""),0,tblMovement[[#This Row],[Tonnes_t]]*tblMovement[[#This Row],[Grade_gpt]]/cfg_TroyOz)</f>
        <v/>
      </c>
      <c r="O3848" s="59">
        <f>IF(tblMovement[[#This Row],[Is_Ore]]=1,tblMovement[[#This Row],[Contained_oz]],0)</f>
        <v/>
      </c>
    </row>
    <row r="3849">
      <c r="A3849" s="54" t="n"/>
      <c r="B3849" s="61" t="n"/>
      <c r="C3849" s="61" t="n"/>
      <c r="D3849" s="61" t="n"/>
      <c r="E3849" s="61" t="n"/>
      <c r="F3849" s="55" t="n"/>
      <c r="G3849" s="56" t="n"/>
      <c r="H3849" s="55" t="n"/>
      <c r="I3849" s="62" t="n"/>
      <c r="J3849" s="58" t="n"/>
      <c r="K3849" s="63">
        <f>IF(tblMovement[[#This Row],[Source]]="","",IFERROR(INDEX(tblSources[Type],MATCH(tblMovement[[#This Row],[Source]],tblSources[Source],0)),"?"))</f>
        <v/>
      </c>
      <c r="L3849" s="63">
        <f>IF(tblMovement[[#This Row],[Destination]]="","",IFERROR(INDEX(tblDestinations[Type],MATCH(tblMovement[[#This Row],[Destination]],tblDestinations[Destination],0)),"?"))</f>
        <v/>
      </c>
      <c r="M3849" s="64">
        <f>IF(tblMovement[[#This Row],[Material]]="","",IF(LEFT(tblMovement[[#This Row],[Material]],3)="Ore",1,0))</f>
        <v/>
      </c>
      <c r="N3849" s="59">
        <f>IF(OR(tblMovement[[#This Row],[Tonnes_t]]="",tblMovement[[#This Row],[Grade_gpt]]=""),0,tblMovement[[#This Row],[Tonnes_t]]*tblMovement[[#This Row],[Grade_gpt]]/cfg_TroyOz)</f>
        <v/>
      </c>
      <c r="O3849" s="59">
        <f>IF(tblMovement[[#This Row],[Is_Ore]]=1,tblMovement[[#This Row],[Contained_oz]],0)</f>
        <v/>
      </c>
    </row>
    <row r="3850">
      <c r="A3850" s="54" t="n"/>
      <c r="B3850" s="61" t="n"/>
      <c r="C3850" s="61" t="n"/>
      <c r="D3850" s="61" t="n"/>
      <c r="E3850" s="61" t="n"/>
      <c r="F3850" s="55" t="n"/>
      <c r="G3850" s="56" t="n"/>
      <c r="H3850" s="55" t="n"/>
      <c r="I3850" s="62" t="n"/>
      <c r="J3850" s="58" t="n"/>
      <c r="K3850" s="63">
        <f>IF(tblMovement[[#This Row],[Source]]="","",IFERROR(INDEX(tblSources[Type],MATCH(tblMovement[[#This Row],[Source]],tblSources[Source],0)),"?"))</f>
        <v/>
      </c>
      <c r="L3850" s="63">
        <f>IF(tblMovement[[#This Row],[Destination]]="","",IFERROR(INDEX(tblDestinations[Type],MATCH(tblMovement[[#This Row],[Destination]],tblDestinations[Destination],0)),"?"))</f>
        <v/>
      </c>
      <c r="M3850" s="64">
        <f>IF(tblMovement[[#This Row],[Material]]="","",IF(LEFT(tblMovement[[#This Row],[Material]],3)="Ore",1,0))</f>
        <v/>
      </c>
      <c r="N3850" s="59">
        <f>IF(OR(tblMovement[[#This Row],[Tonnes_t]]="",tblMovement[[#This Row],[Grade_gpt]]=""),0,tblMovement[[#This Row],[Tonnes_t]]*tblMovement[[#This Row],[Grade_gpt]]/cfg_TroyOz)</f>
        <v/>
      </c>
      <c r="O3850" s="59">
        <f>IF(tblMovement[[#This Row],[Is_Ore]]=1,tblMovement[[#This Row],[Contained_oz]],0)</f>
        <v/>
      </c>
    </row>
    <row r="3851">
      <c r="A3851" s="54" t="n"/>
      <c r="B3851" s="61" t="n"/>
      <c r="C3851" s="61" t="n"/>
      <c r="D3851" s="61" t="n"/>
      <c r="E3851" s="61" t="n"/>
      <c r="F3851" s="55" t="n"/>
      <c r="G3851" s="56" t="n"/>
      <c r="H3851" s="55" t="n"/>
      <c r="I3851" s="62" t="n"/>
      <c r="J3851" s="58" t="n"/>
      <c r="K3851" s="63">
        <f>IF(tblMovement[[#This Row],[Source]]="","",IFERROR(INDEX(tblSources[Type],MATCH(tblMovement[[#This Row],[Source]],tblSources[Source],0)),"?"))</f>
        <v/>
      </c>
      <c r="L3851" s="63">
        <f>IF(tblMovement[[#This Row],[Destination]]="","",IFERROR(INDEX(tblDestinations[Type],MATCH(tblMovement[[#This Row],[Destination]],tblDestinations[Destination],0)),"?"))</f>
        <v/>
      </c>
      <c r="M3851" s="64">
        <f>IF(tblMovement[[#This Row],[Material]]="","",IF(LEFT(tblMovement[[#This Row],[Material]],3)="Ore",1,0))</f>
        <v/>
      </c>
      <c r="N3851" s="59">
        <f>IF(OR(tblMovement[[#This Row],[Tonnes_t]]="",tblMovement[[#This Row],[Grade_gpt]]=""),0,tblMovement[[#This Row],[Tonnes_t]]*tblMovement[[#This Row],[Grade_gpt]]/cfg_TroyOz)</f>
        <v/>
      </c>
      <c r="O3851" s="59">
        <f>IF(tblMovement[[#This Row],[Is_Ore]]=1,tblMovement[[#This Row],[Contained_oz]],0)</f>
        <v/>
      </c>
    </row>
    <row r="3852">
      <c r="A3852" s="54" t="n"/>
      <c r="B3852" s="61" t="n"/>
      <c r="C3852" s="61" t="n"/>
      <c r="D3852" s="61" t="n"/>
      <c r="E3852" s="61" t="n"/>
      <c r="F3852" s="55" t="n"/>
      <c r="G3852" s="56" t="n"/>
      <c r="H3852" s="55" t="n"/>
      <c r="I3852" s="62" t="n"/>
      <c r="J3852" s="58" t="n"/>
      <c r="K3852" s="63">
        <f>IF(tblMovement[[#This Row],[Source]]="","",IFERROR(INDEX(tblSources[Type],MATCH(tblMovement[[#This Row],[Source]],tblSources[Source],0)),"?"))</f>
        <v/>
      </c>
      <c r="L3852" s="63">
        <f>IF(tblMovement[[#This Row],[Destination]]="","",IFERROR(INDEX(tblDestinations[Type],MATCH(tblMovement[[#This Row],[Destination]],tblDestinations[Destination],0)),"?"))</f>
        <v/>
      </c>
      <c r="M3852" s="64">
        <f>IF(tblMovement[[#This Row],[Material]]="","",IF(LEFT(tblMovement[[#This Row],[Material]],3)="Ore",1,0))</f>
        <v/>
      </c>
      <c r="N3852" s="59">
        <f>IF(OR(tblMovement[[#This Row],[Tonnes_t]]="",tblMovement[[#This Row],[Grade_gpt]]=""),0,tblMovement[[#This Row],[Tonnes_t]]*tblMovement[[#This Row],[Grade_gpt]]/cfg_TroyOz)</f>
        <v/>
      </c>
      <c r="O3852" s="59">
        <f>IF(tblMovement[[#This Row],[Is_Ore]]=1,tblMovement[[#This Row],[Contained_oz]],0)</f>
        <v/>
      </c>
    </row>
    <row r="3853">
      <c r="A3853" s="54" t="n"/>
      <c r="B3853" s="61" t="n"/>
      <c r="C3853" s="61" t="n"/>
      <c r="D3853" s="61" t="n"/>
      <c r="E3853" s="61" t="n"/>
      <c r="F3853" s="55" t="n"/>
      <c r="G3853" s="56" t="n"/>
      <c r="H3853" s="55" t="n"/>
      <c r="I3853" s="62" t="n"/>
      <c r="J3853" s="58" t="n"/>
      <c r="K3853" s="63">
        <f>IF(tblMovement[[#This Row],[Source]]="","",IFERROR(INDEX(tblSources[Type],MATCH(tblMovement[[#This Row],[Source]],tblSources[Source],0)),"?"))</f>
        <v/>
      </c>
      <c r="L3853" s="63">
        <f>IF(tblMovement[[#This Row],[Destination]]="","",IFERROR(INDEX(tblDestinations[Type],MATCH(tblMovement[[#This Row],[Destination]],tblDestinations[Destination],0)),"?"))</f>
        <v/>
      </c>
      <c r="M3853" s="64">
        <f>IF(tblMovement[[#This Row],[Material]]="","",IF(LEFT(tblMovement[[#This Row],[Material]],3)="Ore",1,0))</f>
        <v/>
      </c>
      <c r="N3853" s="59">
        <f>IF(OR(tblMovement[[#This Row],[Tonnes_t]]="",tblMovement[[#This Row],[Grade_gpt]]=""),0,tblMovement[[#This Row],[Tonnes_t]]*tblMovement[[#This Row],[Grade_gpt]]/cfg_TroyOz)</f>
        <v/>
      </c>
      <c r="O3853" s="59">
        <f>IF(tblMovement[[#This Row],[Is_Ore]]=1,tblMovement[[#This Row],[Contained_oz]],0)</f>
        <v/>
      </c>
    </row>
    <row r="3854">
      <c r="A3854" s="54" t="n"/>
      <c r="B3854" s="61" t="n"/>
      <c r="C3854" s="61" t="n"/>
      <c r="D3854" s="61" t="n"/>
      <c r="E3854" s="61" t="n"/>
      <c r="F3854" s="55" t="n"/>
      <c r="G3854" s="56" t="n"/>
      <c r="H3854" s="55" t="n"/>
      <c r="I3854" s="62" t="n"/>
      <c r="J3854" s="58" t="n"/>
      <c r="K3854" s="63">
        <f>IF(tblMovement[[#This Row],[Source]]="","",IFERROR(INDEX(tblSources[Type],MATCH(tblMovement[[#This Row],[Source]],tblSources[Source],0)),"?"))</f>
        <v/>
      </c>
      <c r="L3854" s="63">
        <f>IF(tblMovement[[#This Row],[Destination]]="","",IFERROR(INDEX(tblDestinations[Type],MATCH(tblMovement[[#This Row],[Destination]],tblDestinations[Destination],0)),"?"))</f>
        <v/>
      </c>
      <c r="M3854" s="64">
        <f>IF(tblMovement[[#This Row],[Material]]="","",IF(LEFT(tblMovement[[#This Row],[Material]],3)="Ore",1,0))</f>
        <v/>
      </c>
      <c r="N3854" s="59">
        <f>IF(OR(tblMovement[[#This Row],[Tonnes_t]]="",tblMovement[[#This Row],[Grade_gpt]]=""),0,tblMovement[[#This Row],[Tonnes_t]]*tblMovement[[#This Row],[Grade_gpt]]/cfg_TroyOz)</f>
        <v/>
      </c>
      <c r="O3854" s="59">
        <f>IF(tblMovement[[#This Row],[Is_Ore]]=1,tblMovement[[#This Row],[Contained_oz]],0)</f>
        <v/>
      </c>
    </row>
    <row r="3855">
      <c r="A3855" s="54" t="n"/>
      <c r="B3855" s="61" t="n"/>
      <c r="C3855" s="61" t="n"/>
      <c r="D3855" s="61" t="n"/>
      <c r="E3855" s="61" t="n"/>
      <c r="F3855" s="55" t="n"/>
      <c r="G3855" s="56" t="n"/>
      <c r="H3855" s="55" t="n"/>
      <c r="I3855" s="62" t="n"/>
      <c r="J3855" s="58" t="n"/>
      <c r="K3855" s="63">
        <f>IF(tblMovement[[#This Row],[Source]]="","",IFERROR(INDEX(tblSources[Type],MATCH(tblMovement[[#This Row],[Source]],tblSources[Source],0)),"?"))</f>
        <v/>
      </c>
      <c r="L3855" s="63">
        <f>IF(tblMovement[[#This Row],[Destination]]="","",IFERROR(INDEX(tblDestinations[Type],MATCH(tblMovement[[#This Row],[Destination]],tblDestinations[Destination],0)),"?"))</f>
        <v/>
      </c>
      <c r="M3855" s="64">
        <f>IF(tblMovement[[#This Row],[Material]]="","",IF(LEFT(tblMovement[[#This Row],[Material]],3)="Ore",1,0))</f>
        <v/>
      </c>
      <c r="N3855" s="59">
        <f>IF(OR(tblMovement[[#This Row],[Tonnes_t]]="",tblMovement[[#This Row],[Grade_gpt]]=""),0,tblMovement[[#This Row],[Tonnes_t]]*tblMovement[[#This Row],[Grade_gpt]]/cfg_TroyOz)</f>
        <v/>
      </c>
      <c r="O3855" s="59">
        <f>IF(tblMovement[[#This Row],[Is_Ore]]=1,tblMovement[[#This Row],[Contained_oz]],0)</f>
        <v/>
      </c>
    </row>
    <row r="3856">
      <c r="A3856" s="54" t="n"/>
      <c r="B3856" s="61" t="n"/>
      <c r="C3856" s="61" t="n"/>
      <c r="D3856" s="61" t="n"/>
      <c r="E3856" s="61" t="n"/>
      <c r="F3856" s="55" t="n"/>
      <c r="G3856" s="56" t="n"/>
      <c r="H3856" s="55" t="n"/>
      <c r="I3856" s="62" t="n"/>
      <c r="J3856" s="58" t="n"/>
      <c r="K3856" s="63">
        <f>IF(tblMovement[[#This Row],[Source]]="","",IFERROR(INDEX(tblSources[Type],MATCH(tblMovement[[#This Row],[Source]],tblSources[Source],0)),"?"))</f>
        <v/>
      </c>
      <c r="L3856" s="63">
        <f>IF(tblMovement[[#This Row],[Destination]]="","",IFERROR(INDEX(tblDestinations[Type],MATCH(tblMovement[[#This Row],[Destination]],tblDestinations[Destination],0)),"?"))</f>
        <v/>
      </c>
      <c r="M3856" s="64">
        <f>IF(tblMovement[[#This Row],[Material]]="","",IF(LEFT(tblMovement[[#This Row],[Material]],3)="Ore",1,0))</f>
        <v/>
      </c>
      <c r="N3856" s="59">
        <f>IF(OR(tblMovement[[#This Row],[Tonnes_t]]="",tblMovement[[#This Row],[Grade_gpt]]=""),0,tblMovement[[#This Row],[Tonnes_t]]*tblMovement[[#This Row],[Grade_gpt]]/cfg_TroyOz)</f>
        <v/>
      </c>
      <c r="O3856" s="59">
        <f>IF(tblMovement[[#This Row],[Is_Ore]]=1,tblMovement[[#This Row],[Contained_oz]],0)</f>
        <v/>
      </c>
    </row>
    <row r="3857">
      <c r="A3857" s="54" t="n"/>
      <c r="B3857" s="61" t="n"/>
      <c r="C3857" s="61" t="n"/>
      <c r="D3857" s="61" t="n"/>
      <c r="E3857" s="61" t="n"/>
      <c r="F3857" s="55" t="n"/>
      <c r="G3857" s="56" t="n"/>
      <c r="H3857" s="55" t="n"/>
      <c r="I3857" s="62" t="n"/>
      <c r="J3857" s="58" t="n"/>
      <c r="K3857" s="63">
        <f>IF(tblMovement[[#This Row],[Source]]="","",IFERROR(INDEX(tblSources[Type],MATCH(tblMovement[[#This Row],[Source]],tblSources[Source],0)),"?"))</f>
        <v/>
      </c>
      <c r="L3857" s="63">
        <f>IF(tblMovement[[#This Row],[Destination]]="","",IFERROR(INDEX(tblDestinations[Type],MATCH(tblMovement[[#This Row],[Destination]],tblDestinations[Destination],0)),"?"))</f>
        <v/>
      </c>
      <c r="M3857" s="64">
        <f>IF(tblMovement[[#This Row],[Material]]="","",IF(LEFT(tblMovement[[#This Row],[Material]],3)="Ore",1,0))</f>
        <v/>
      </c>
      <c r="N3857" s="59">
        <f>IF(OR(tblMovement[[#This Row],[Tonnes_t]]="",tblMovement[[#This Row],[Grade_gpt]]=""),0,tblMovement[[#This Row],[Tonnes_t]]*tblMovement[[#This Row],[Grade_gpt]]/cfg_TroyOz)</f>
        <v/>
      </c>
      <c r="O3857" s="59">
        <f>IF(tblMovement[[#This Row],[Is_Ore]]=1,tblMovement[[#This Row],[Contained_oz]],0)</f>
        <v/>
      </c>
    </row>
    <row r="3858">
      <c r="A3858" s="54" t="n"/>
      <c r="B3858" s="61" t="n"/>
      <c r="C3858" s="61" t="n"/>
      <c r="D3858" s="61" t="n"/>
      <c r="E3858" s="61" t="n"/>
      <c r="F3858" s="55" t="n"/>
      <c r="G3858" s="56" t="n"/>
      <c r="H3858" s="55" t="n"/>
      <c r="I3858" s="62" t="n"/>
      <c r="J3858" s="58" t="n"/>
      <c r="K3858" s="63">
        <f>IF(tblMovement[[#This Row],[Source]]="","",IFERROR(INDEX(tblSources[Type],MATCH(tblMovement[[#This Row],[Source]],tblSources[Source],0)),"?"))</f>
        <v/>
      </c>
      <c r="L3858" s="63">
        <f>IF(tblMovement[[#This Row],[Destination]]="","",IFERROR(INDEX(tblDestinations[Type],MATCH(tblMovement[[#This Row],[Destination]],tblDestinations[Destination],0)),"?"))</f>
        <v/>
      </c>
      <c r="M3858" s="64">
        <f>IF(tblMovement[[#This Row],[Material]]="","",IF(LEFT(tblMovement[[#This Row],[Material]],3)="Ore",1,0))</f>
        <v/>
      </c>
      <c r="N3858" s="59">
        <f>IF(OR(tblMovement[[#This Row],[Tonnes_t]]="",tblMovement[[#This Row],[Grade_gpt]]=""),0,tblMovement[[#This Row],[Tonnes_t]]*tblMovement[[#This Row],[Grade_gpt]]/cfg_TroyOz)</f>
        <v/>
      </c>
      <c r="O3858" s="59">
        <f>IF(tblMovement[[#This Row],[Is_Ore]]=1,tblMovement[[#This Row],[Contained_oz]],0)</f>
        <v/>
      </c>
    </row>
    <row r="3859">
      <c r="A3859" s="54" t="n"/>
      <c r="B3859" s="61" t="n"/>
      <c r="C3859" s="61" t="n"/>
      <c r="D3859" s="61" t="n"/>
      <c r="E3859" s="61" t="n"/>
      <c r="F3859" s="55" t="n"/>
      <c r="G3859" s="56" t="n"/>
      <c r="H3859" s="55" t="n"/>
      <c r="I3859" s="62" t="n"/>
      <c r="J3859" s="58" t="n"/>
      <c r="K3859" s="63">
        <f>IF(tblMovement[[#This Row],[Source]]="","",IFERROR(INDEX(tblSources[Type],MATCH(tblMovement[[#This Row],[Source]],tblSources[Source],0)),"?"))</f>
        <v/>
      </c>
      <c r="L3859" s="63">
        <f>IF(tblMovement[[#This Row],[Destination]]="","",IFERROR(INDEX(tblDestinations[Type],MATCH(tblMovement[[#This Row],[Destination]],tblDestinations[Destination],0)),"?"))</f>
        <v/>
      </c>
      <c r="M3859" s="64">
        <f>IF(tblMovement[[#This Row],[Material]]="","",IF(LEFT(tblMovement[[#This Row],[Material]],3)="Ore",1,0))</f>
        <v/>
      </c>
      <c r="N3859" s="59">
        <f>IF(OR(tblMovement[[#This Row],[Tonnes_t]]="",tblMovement[[#This Row],[Grade_gpt]]=""),0,tblMovement[[#This Row],[Tonnes_t]]*tblMovement[[#This Row],[Grade_gpt]]/cfg_TroyOz)</f>
        <v/>
      </c>
      <c r="O3859" s="59">
        <f>IF(tblMovement[[#This Row],[Is_Ore]]=1,tblMovement[[#This Row],[Contained_oz]],0)</f>
        <v/>
      </c>
    </row>
    <row r="3860">
      <c r="A3860" s="54" t="n"/>
      <c r="B3860" s="61" t="n"/>
      <c r="C3860" s="61" t="n"/>
      <c r="D3860" s="61" t="n"/>
      <c r="E3860" s="61" t="n"/>
      <c r="F3860" s="55" t="n"/>
      <c r="G3860" s="56" t="n"/>
      <c r="H3860" s="55" t="n"/>
      <c r="I3860" s="62" t="n"/>
      <c r="J3860" s="58" t="n"/>
      <c r="K3860" s="63">
        <f>IF(tblMovement[[#This Row],[Source]]="","",IFERROR(INDEX(tblSources[Type],MATCH(tblMovement[[#This Row],[Source]],tblSources[Source],0)),"?"))</f>
        <v/>
      </c>
      <c r="L3860" s="63">
        <f>IF(tblMovement[[#This Row],[Destination]]="","",IFERROR(INDEX(tblDestinations[Type],MATCH(tblMovement[[#This Row],[Destination]],tblDestinations[Destination],0)),"?"))</f>
        <v/>
      </c>
      <c r="M3860" s="64">
        <f>IF(tblMovement[[#This Row],[Material]]="","",IF(LEFT(tblMovement[[#This Row],[Material]],3)="Ore",1,0))</f>
        <v/>
      </c>
      <c r="N3860" s="59">
        <f>IF(OR(tblMovement[[#This Row],[Tonnes_t]]="",tblMovement[[#This Row],[Grade_gpt]]=""),0,tblMovement[[#This Row],[Tonnes_t]]*tblMovement[[#This Row],[Grade_gpt]]/cfg_TroyOz)</f>
        <v/>
      </c>
      <c r="O3860" s="59">
        <f>IF(tblMovement[[#This Row],[Is_Ore]]=1,tblMovement[[#This Row],[Contained_oz]],0)</f>
        <v/>
      </c>
    </row>
    <row r="3861">
      <c r="A3861" s="54" t="n"/>
      <c r="B3861" s="61" t="n"/>
      <c r="C3861" s="61" t="n"/>
      <c r="D3861" s="61" t="n"/>
      <c r="E3861" s="61" t="n"/>
      <c r="F3861" s="55" t="n"/>
      <c r="G3861" s="56" t="n"/>
      <c r="H3861" s="55" t="n"/>
      <c r="I3861" s="62" t="n"/>
      <c r="J3861" s="58" t="n"/>
      <c r="K3861" s="63">
        <f>IF(tblMovement[[#This Row],[Source]]="","",IFERROR(INDEX(tblSources[Type],MATCH(tblMovement[[#This Row],[Source]],tblSources[Source],0)),"?"))</f>
        <v/>
      </c>
      <c r="L3861" s="63">
        <f>IF(tblMovement[[#This Row],[Destination]]="","",IFERROR(INDEX(tblDestinations[Type],MATCH(tblMovement[[#This Row],[Destination]],tblDestinations[Destination],0)),"?"))</f>
        <v/>
      </c>
      <c r="M3861" s="64">
        <f>IF(tblMovement[[#This Row],[Material]]="","",IF(LEFT(tblMovement[[#This Row],[Material]],3)="Ore",1,0))</f>
        <v/>
      </c>
      <c r="N3861" s="59">
        <f>IF(OR(tblMovement[[#This Row],[Tonnes_t]]="",tblMovement[[#This Row],[Grade_gpt]]=""),0,tblMovement[[#This Row],[Tonnes_t]]*tblMovement[[#This Row],[Grade_gpt]]/cfg_TroyOz)</f>
        <v/>
      </c>
      <c r="O3861" s="59">
        <f>IF(tblMovement[[#This Row],[Is_Ore]]=1,tblMovement[[#This Row],[Contained_oz]],0)</f>
        <v/>
      </c>
    </row>
    <row r="3862">
      <c r="A3862" s="54" t="n"/>
      <c r="B3862" s="61" t="n"/>
      <c r="C3862" s="61" t="n"/>
      <c r="D3862" s="61" t="n"/>
      <c r="E3862" s="61" t="n"/>
      <c r="F3862" s="55" t="n"/>
      <c r="G3862" s="56" t="n"/>
      <c r="H3862" s="55" t="n"/>
      <c r="I3862" s="62" t="n"/>
      <c r="J3862" s="58" t="n"/>
      <c r="K3862" s="63">
        <f>IF(tblMovement[[#This Row],[Source]]="","",IFERROR(INDEX(tblSources[Type],MATCH(tblMovement[[#This Row],[Source]],tblSources[Source],0)),"?"))</f>
        <v/>
      </c>
      <c r="L3862" s="63">
        <f>IF(tblMovement[[#This Row],[Destination]]="","",IFERROR(INDEX(tblDestinations[Type],MATCH(tblMovement[[#This Row],[Destination]],tblDestinations[Destination],0)),"?"))</f>
        <v/>
      </c>
      <c r="M3862" s="64">
        <f>IF(tblMovement[[#This Row],[Material]]="","",IF(LEFT(tblMovement[[#This Row],[Material]],3)="Ore",1,0))</f>
        <v/>
      </c>
      <c r="N3862" s="59">
        <f>IF(OR(tblMovement[[#This Row],[Tonnes_t]]="",tblMovement[[#This Row],[Grade_gpt]]=""),0,tblMovement[[#This Row],[Tonnes_t]]*tblMovement[[#This Row],[Grade_gpt]]/cfg_TroyOz)</f>
        <v/>
      </c>
      <c r="O3862" s="59">
        <f>IF(tblMovement[[#This Row],[Is_Ore]]=1,tblMovement[[#This Row],[Contained_oz]],0)</f>
        <v/>
      </c>
    </row>
    <row r="3863">
      <c r="A3863" s="54" t="n"/>
      <c r="B3863" s="61" t="n"/>
      <c r="C3863" s="61" t="n"/>
      <c r="D3863" s="61" t="n"/>
      <c r="E3863" s="61" t="n"/>
      <c r="F3863" s="55" t="n"/>
      <c r="G3863" s="56" t="n"/>
      <c r="H3863" s="55" t="n"/>
      <c r="I3863" s="62" t="n"/>
      <c r="J3863" s="58" t="n"/>
      <c r="K3863" s="63">
        <f>IF(tblMovement[[#This Row],[Source]]="","",IFERROR(INDEX(tblSources[Type],MATCH(tblMovement[[#This Row],[Source]],tblSources[Source],0)),"?"))</f>
        <v/>
      </c>
      <c r="L3863" s="63">
        <f>IF(tblMovement[[#This Row],[Destination]]="","",IFERROR(INDEX(tblDestinations[Type],MATCH(tblMovement[[#This Row],[Destination]],tblDestinations[Destination],0)),"?"))</f>
        <v/>
      </c>
      <c r="M3863" s="64">
        <f>IF(tblMovement[[#This Row],[Material]]="","",IF(LEFT(tblMovement[[#This Row],[Material]],3)="Ore",1,0))</f>
        <v/>
      </c>
      <c r="N3863" s="59">
        <f>IF(OR(tblMovement[[#This Row],[Tonnes_t]]="",tblMovement[[#This Row],[Grade_gpt]]=""),0,tblMovement[[#This Row],[Tonnes_t]]*tblMovement[[#This Row],[Grade_gpt]]/cfg_TroyOz)</f>
        <v/>
      </c>
      <c r="O3863" s="59">
        <f>IF(tblMovement[[#This Row],[Is_Ore]]=1,tblMovement[[#This Row],[Contained_oz]],0)</f>
        <v/>
      </c>
    </row>
    <row r="3864">
      <c r="A3864" s="54" t="n"/>
      <c r="B3864" s="61" t="n"/>
      <c r="C3864" s="61" t="n"/>
      <c r="D3864" s="61" t="n"/>
      <c r="E3864" s="61" t="n"/>
      <c r="F3864" s="55" t="n"/>
      <c r="G3864" s="56" t="n"/>
      <c r="H3864" s="55" t="n"/>
      <c r="I3864" s="62" t="n"/>
      <c r="J3864" s="58" t="n"/>
      <c r="K3864" s="63">
        <f>IF(tblMovement[[#This Row],[Source]]="","",IFERROR(INDEX(tblSources[Type],MATCH(tblMovement[[#This Row],[Source]],tblSources[Source],0)),"?"))</f>
        <v/>
      </c>
      <c r="L3864" s="63">
        <f>IF(tblMovement[[#This Row],[Destination]]="","",IFERROR(INDEX(tblDestinations[Type],MATCH(tblMovement[[#This Row],[Destination]],tblDestinations[Destination],0)),"?"))</f>
        <v/>
      </c>
      <c r="M3864" s="64">
        <f>IF(tblMovement[[#This Row],[Material]]="","",IF(LEFT(tblMovement[[#This Row],[Material]],3)="Ore",1,0))</f>
        <v/>
      </c>
      <c r="N3864" s="59">
        <f>IF(OR(tblMovement[[#This Row],[Tonnes_t]]="",tblMovement[[#This Row],[Grade_gpt]]=""),0,tblMovement[[#This Row],[Tonnes_t]]*tblMovement[[#This Row],[Grade_gpt]]/cfg_TroyOz)</f>
        <v/>
      </c>
      <c r="O3864" s="59">
        <f>IF(tblMovement[[#This Row],[Is_Ore]]=1,tblMovement[[#This Row],[Contained_oz]],0)</f>
        <v/>
      </c>
    </row>
    <row r="3865">
      <c r="A3865" s="54" t="n"/>
      <c r="B3865" s="61" t="n"/>
      <c r="C3865" s="61" t="n"/>
      <c r="D3865" s="61" t="n"/>
      <c r="E3865" s="61" t="n"/>
      <c r="F3865" s="55" t="n"/>
      <c r="G3865" s="56" t="n"/>
      <c r="H3865" s="55" t="n"/>
      <c r="I3865" s="62" t="n"/>
      <c r="J3865" s="58" t="n"/>
      <c r="K3865" s="63">
        <f>IF(tblMovement[[#This Row],[Source]]="","",IFERROR(INDEX(tblSources[Type],MATCH(tblMovement[[#This Row],[Source]],tblSources[Source],0)),"?"))</f>
        <v/>
      </c>
      <c r="L3865" s="63">
        <f>IF(tblMovement[[#This Row],[Destination]]="","",IFERROR(INDEX(tblDestinations[Type],MATCH(tblMovement[[#This Row],[Destination]],tblDestinations[Destination],0)),"?"))</f>
        <v/>
      </c>
      <c r="M3865" s="64">
        <f>IF(tblMovement[[#This Row],[Material]]="","",IF(LEFT(tblMovement[[#This Row],[Material]],3)="Ore",1,0))</f>
        <v/>
      </c>
      <c r="N3865" s="59">
        <f>IF(OR(tblMovement[[#This Row],[Tonnes_t]]="",tblMovement[[#This Row],[Grade_gpt]]=""),0,tblMovement[[#This Row],[Tonnes_t]]*tblMovement[[#This Row],[Grade_gpt]]/cfg_TroyOz)</f>
        <v/>
      </c>
      <c r="O3865" s="59">
        <f>IF(tblMovement[[#This Row],[Is_Ore]]=1,tblMovement[[#This Row],[Contained_oz]],0)</f>
        <v/>
      </c>
    </row>
    <row r="3866">
      <c r="A3866" s="54" t="n"/>
      <c r="B3866" s="61" t="n"/>
      <c r="C3866" s="61" t="n"/>
      <c r="D3866" s="61" t="n"/>
      <c r="E3866" s="61" t="n"/>
      <c r="F3866" s="55" t="n"/>
      <c r="G3866" s="56" t="n"/>
      <c r="H3866" s="55" t="n"/>
      <c r="I3866" s="62" t="n"/>
      <c r="J3866" s="58" t="n"/>
      <c r="K3866" s="63">
        <f>IF(tblMovement[[#This Row],[Source]]="","",IFERROR(INDEX(tblSources[Type],MATCH(tblMovement[[#This Row],[Source]],tblSources[Source],0)),"?"))</f>
        <v/>
      </c>
      <c r="L3866" s="63">
        <f>IF(tblMovement[[#This Row],[Destination]]="","",IFERROR(INDEX(tblDestinations[Type],MATCH(tblMovement[[#This Row],[Destination]],tblDestinations[Destination],0)),"?"))</f>
        <v/>
      </c>
      <c r="M3866" s="64">
        <f>IF(tblMovement[[#This Row],[Material]]="","",IF(LEFT(tblMovement[[#This Row],[Material]],3)="Ore",1,0))</f>
        <v/>
      </c>
      <c r="N3866" s="59">
        <f>IF(OR(tblMovement[[#This Row],[Tonnes_t]]="",tblMovement[[#This Row],[Grade_gpt]]=""),0,tblMovement[[#This Row],[Tonnes_t]]*tblMovement[[#This Row],[Grade_gpt]]/cfg_TroyOz)</f>
        <v/>
      </c>
      <c r="O3866" s="59">
        <f>IF(tblMovement[[#This Row],[Is_Ore]]=1,tblMovement[[#This Row],[Contained_oz]],0)</f>
        <v/>
      </c>
    </row>
    <row r="3867">
      <c r="A3867" s="54" t="n"/>
      <c r="B3867" s="61" t="n"/>
      <c r="C3867" s="61" t="n"/>
      <c r="D3867" s="61" t="n"/>
      <c r="E3867" s="61" t="n"/>
      <c r="F3867" s="55" t="n"/>
      <c r="G3867" s="56" t="n"/>
      <c r="H3867" s="55" t="n"/>
      <c r="I3867" s="62" t="n"/>
      <c r="J3867" s="58" t="n"/>
      <c r="K3867" s="63">
        <f>IF(tblMovement[[#This Row],[Source]]="","",IFERROR(INDEX(tblSources[Type],MATCH(tblMovement[[#This Row],[Source]],tblSources[Source],0)),"?"))</f>
        <v/>
      </c>
      <c r="L3867" s="63">
        <f>IF(tblMovement[[#This Row],[Destination]]="","",IFERROR(INDEX(tblDestinations[Type],MATCH(tblMovement[[#This Row],[Destination]],tblDestinations[Destination],0)),"?"))</f>
        <v/>
      </c>
      <c r="M3867" s="64">
        <f>IF(tblMovement[[#This Row],[Material]]="","",IF(LEFT(tblMovement[[#This Row],[Material]],3)="Ore",1,0))</f>
        <v/>
      </c>
      <c r="N3867" s="59">
        <f>IF(OR(tblMovement[[#This Row],[Tonnes_t]]="",tblMovement[[#This Row],[Grade_gpt]]=""),0,tblMovement[[#This Row],[Tonnes_t]]*tblMovement[[#This Row],[Grade_gpt]]/cfg_TroyOz)</f>
        <v/>
      </c>
      <c r="O3867" s="59">
        <f>IF(tblMovement[[#This Row],[Is_Ore]]=1,tblMovement[[#This Row],[Contained_oz]],0)</f>
        <v/>
      </c>
    </row>
    <row r="3868">
      <c r="A3868" s="54" t="n"/>
      <c r="B3868" s="61" t="n"/>
      <c r="C3868" s="61" t="n"/>
      <c r="D3868" s="61" t="n"/>
      <c r="E3868" s="61" t="n"/>
      <c r="F3868" s="55" t="n"/>
      <c r="G3868" s="56" t="n"/>
      <c r="H3868" s="55" t="n"/>
      <c r="I3868" s="62" t="n"/>
      <c r="J3868" s="58" t="n"/>
      <c r="K3868" s="63">
        <f>IF(tblMovement[[#This Row],[Source]]="","",IFERROR(INDEX(tblSources[Type],MATCH(tblMovement[[#This Row],[Source]],tblSources[Source],0)),"?"))</f>
        <v/>
      </c>
      <c r="L3868" s="63">
        <f>IF(tblMovement[[#This Row],[Destination]]="","",IFERROR(INDEX(tblDestinations[Type],MATCH(tblMovement[[#This Row],[Destination]],tblDestinations[Destination],0)),"?"))</f>
        <v/>
      </c>
      <c r="M3868" s="64">
        <f>IF(tblMovement[[#This Row],[Material]]="","",IF(LEFT(tblMovement[[#This Row],[Material]],3)="Ore",1,0))</f>
        <v/>
      </c>
      <c r="N3868" s="59">
        <f>IF(OR(tblMovement[[#This Row],[Tonnes_t]]="",tblMovement[[#This Row],[Grade_gpt]]=""),0,tblMovement[[#This Row],[Tonnes_t]]*tblMovement[[#This Row],[Grade_gpt]]/cfg_TroyOz)</f>
        <v/>
      </c>
      <c r="O3868" s="59">
        <f>IF(tblMovement[[#This Row],[Is_Ore]]=1,tblMovement[[#This Row],[Contained_oz]],0)</f>
        <v/>
      </c>
    </row>
    <row r="3869">
      <c r="A3869" s="54" t="n"/>
      <c r="B3869" s="61" t="n"/>
      <c r="C3869" s="61" t="n"/>
      <c r="D3869" s="61" t="n"/>
      <c r="E3869" s="61" t="n"/>
      <c r="F3869" s="55" t="n"/>
      <c r="G3869" s="56" t="n"/>
      <c r="H3869" s="55" t="n"/>
      <c r="I3869" s="62" t="n"/>
      <c r="J3869" s="58" t="n"/>
      <c r="K3869" s="63">
        <f>IF(tblMovement[[#This Row],[Source]]="","",IFERROR(INDEX(tblSources[Type],MATCH(tblMovement[[#This Row],[Source]],tblSources[Source],0)),"?"))</f>
        <v/>
      </c>
      <c r="L3869" s="63">
        <f>IF(tblMovement[[#This Row],[Destination]]="","",IFERROR(INDEX(tblDestinations[Type],MATCH(tblMovement[[#This Row],[Destination]],tblDestinations[Destination],0)),"?"))</f>
        <v/>
      </c>
      <c r="M3869" s="64">
        <f>IF(tblMovement[[#This Row],[Material]]="","",IF(LEFT(tblMovement[[#This Row],[Material]],3)="Ore",1,0))</f>
        <v/>
      </c>
      <c r="N3869" s="59">
        <f>IF(OR(tblMovement[[#This Row],[Tonnes_t]]="",tblMovement[[#This Row],[Grade_gpt]]=""),0,tblMovement[[#This Row],[Tonnes_t]]*tblMovement[[#This Row],[Grade_gpt]]/cfg_TroyOz)</f>
        <v/>
      </c>
      <c r="O3869" s="59">
        <f>IF(tblMovement[[#This Row],[Is_Ore]]=1,tblMovement[[#This Row],[Contained_oz]],0)</f>
        <v/>
      </c>
    </row>
    <row r="3870">
      <c r="A3870" s="54" t="n"/>
      <c r="B3870" s="61" t="n"/>
      <c r="C3870" s="61" t="n"/>
      <c r="D3870" s="61" t="n"/>
      <c r="E3870" s="61" t="n"/>
      <c r="F3870" s="55" t="n"/>
      <c r="G3870" s="56" t="n"/>
      <c r="H3870" s="55" t="n"/>
      <c r="I3870" s="62" t="n"/>
      <c r="J3870" s="58" t="n"/>
      <c r="K3870" s="63">
        <f>IF(tblMovement[[#This Row],[Source]]="","",IFERROR(INDEX(tblSources[Type],MATCH(tblMovement[[#This Row],[Source]],tblSources[Source],0)),"?"))</f>
        <v/>
      </c>
      <c r="L3870" s="63">
        <f>IF(tblMovement[[#This Row],[Destination]]="","",IFERROR(INDEX(tblDestinations[Type],MATCH(tblMovement[[#This Row],[Destination]],tblDestinations[Destination],0)),"?"))</f>
        <v/>
      </c>
      <c r="M3870" s="64">
        <f>IF(tblMovement[[#This Row],[Material]]="","",IF(LEFT(tblMovement[[#This Row],[Material]],3)="Ore",1,0))</f>
        <v/>
      </c>
      <c r="N3870" s="59">
        <f>IF(OR(tblMovement[[#This Row],[Tonnes_t]]="",tblMovement[[#This Row],[Grade_gpt]]=""),0,tblMovement[[#This Row],[Tonnes_t]]*tblMovement[[#This Row],[Grade_gpt]]/cfg_TroyOz)</f>
        <v/>
      </c>
      <c r="O3870" s="59">
        <f>IF(tblMovement[[#This Row],[Is_Ore]]=1,tblMovement[[#This Row],[Contained_oz]],0)</f>
        <v/>
      </c>
    </row>
    <row r="3871">
      <c r="A3871" s="54" t="n"/>
      <c r="B3871" s="61" t="n"/>
      <c r="C3871" s="61" t="n"/>
      <c r="D3871" s="61" t="n"/>
      <c r="E3871" s="61" t="n"/>
      <c r="F3871" s="55" t="n"/>
      <c r="G3871" s="56" t="n"/>
      <c r="H3871" s="55" t="n"/>
      <c r="I3871" s="62" t="n"/>
      <c r="J3871" s="58" t="n"/>
      <c r="K3871" s="63">
        <f>IF(tblMovement[[#This Row],[Source]]="","",IFERROR(INDEX(tblSources[Type],MATCH(tblMovement[[#This Row],[Source]],tblSources[Source],0)),"?"))</f>
        <v/>
      </c>
      <c r="L3871" s="63">
        <f>IF(tblMovement[[#This Row],[Destination]]="","",IFERROR(INDEX(tblDestinations[Type],MATCH(tblMovement[[#This Row],[Destination]],tblDestinations[Destination],0)),"?"))</f>
        <v/>
      </c>
      <c r="M3871" s="64">
        <f>IF(tblMovement[[#This Row],[Material]]="","",IF(LEFT(tblMovement[[#This Row],[Material]],3)="Ore",1,0))</f>
        <v/>
      </c>
      <c r="N3871" s="59">
        <f>IF(OR(tblMovement[[#This Row],[Tonnes_t]]="",tblMovement[[#This Row],[Grade_gpt]]=""),0,tblMovement[[#This Row],[Tonnes_t]]*tblMovement[[#This Row],[Grade_gpt]]/cfg_TroyOz)</f>
        <v/>
      </c>
      <c r="O3871" s="59">
        <f>IF(tblMovement[[#This Row],[Is_Ore]]=1,tblMovement[[#This Row],[Contained_oz]],0)</f>
        <v/>
      </c>
    </row>
    <row r="3872">
      <c r="A3872" s="54" t="n"/>
      <c r="B3872" s="61" t="n"/>
      <c r="C3872" s="61" t="n"/>
      <c r="D3872" s="61" t="n"/>
      <c r="E3872" s="61" t="n"/>
      <c r="F3872" s="55" t="n"/>
      <c r="G3872" s="56" t="n"/>
      <c r="H3872" s="55" t="n"/>
      <c r="I3872" s="62" t="n"/>
      <c r="J3872" s="58" t="n"/>
      <c r="K3872" s="63">
        <f>IF(tblMovement[[#This Row],[Source]]="","",IFERROR(INDEX(tblSources[Type],MATCH(tblMovement[[#This Row],[Source]],tblSources[Source],0)),"?"))</f>
        <v/>
      </c>
      <c r="L3872" s="63">
        <f>IF(tblMovement[[#This Row],[Destination]]="","",IFERROR(INDEX(tblDestinations[Type],MATCH(tblMovement[[#This Row],[Destination]],tblDestinations[Destination],0)),"?"))</f>
        <v/>
      </c>
      <c r="M3872" s="64">
        <f>IF(tblMovement[[#This Row],[Material]]="","",IF(LEFT(tblMovement[[#This Row],[Material]],3)="Ore",1,0))</f>
        <v/>
      </c>
      <c r="N3872" s="59">
        <f>IF(OR(tblMovement[[#This Row],[Tonnes_t]]="",tblMovement[[#This Row],[Grade_gpt]]=""),0,tblMovement[[#This Row],[Tonnes_t]]*tblMovement[[#This Row],[Grade_gpt]]/cfg_TroyOz)</f>
        <v/>
      </c>
      <c r="O3872" s="59">
        <f>IF(tblMovement[[#This Row],[Is_Ore]]=1,tblMovement[[#This Row],[Contained_oz]],0)</f>
        <v/>
      </c>
    </row>
    <row r="3873">
      <c r="A3873" s="54" t="n"/>
      <c r="B3873" s="61" t="n"/>
      <c r="C3873" s="61" t="n"/>
      <c r="D3873" s="61" t="n"/>
      <c r="E3873" s="61" t="n"/>
      <c r="F3873" s="55" t="n"/>
      <c r="G3873" s="56" t="n"/>
      <c r="H3873" s="55" t="n"/>
      <c r="I3873" s="62" t="n"/>
      <c r="J3873" s="58" t="n"/>
      <c r="K3873" s="63">
        <f>IF(tblMovement[[#This Row],[Source]]="","",IFERROR(INDEX(tblSources[Type],MATCH(tblMovement[[#This Row],[Source]],tblSources[Source],0)),"?"))</f>
        <v/>
      </c>
      <c r="L3873" s="63">
        <f>IF(tblMovement[[#This Row],[Destination]]="","",IFERROR(INDEX(tblDestinations[Type],MATCH(tblMovement[[#This Row],[Destination]],tblDestinations[Destination],0)),"?"))</f>
        <v/>
      </c>
      <c r="M3873" s="64">
        <f>IF(tblMovement[[#This Row],[Material]]="","",IF(LEFT(tblMovement[[#This Row],[Material]],3)="Ore",1,0))</f>
        <v/>
      </c>
      <c r="N3873" s="59">
        <f>IF(OR(tblMovement[[#This Row],[Tonnes_t]]="",tblMovement[[#This Row],[Grade_gpt]]=""),0,tblMovement[[#This Row],[Tonnes_t]]*tblMovement[[#This Row],[Grade_gpt]]/cfg_TroyOz)</f>
        <v/>
      </c>
      <c r="O3873" s="59">
        <f>IF(tblMovement[[#This Row],[Is_Ore]]=1,tblMovement[[#This Row],[Contained_oz]],0)</f>
        <v/>
      </c>
    </row>
    <row r="3874">
      <c r="A3874" s="54" t="n"/>
      <c r="B3874" s="61" t="n"/>
      <c r="C3874" s="61" t="n"/>
      <c r="D3874" s="61" t="n"/>
      <c r="E3874" s="61" t="n"/>
      <c r="F3874" s="55" t="n"/>
      <c r="G3874" s="56" t="n"/>
      <c r="H3874" s="55" t="n"/>
      <c r="I3874" s="62" t="n"/>
      <c r="J3874" s="58" t="n"/>
      <c r="K3874" s="63">
        <f>IF(tblMovement[[#This Row],[Source]]="","",IFERROR(INDEX(tblSources[Type],MATCH(tblMovement[[#This Row],[Source]],tblSources[Source],0)),"?"))</f>
        <v/>
      </c>
      <c r="L3874" s="63">
        <f>IF(tblMovement[[#This Row],[Destination]]="","",IFERROR(INDEX(tblDestinations[Type],MATCH(tblMovement[[#This Row],[Destination]],tblDestinations[Destination],0)),"?"))</f>
        <v/>
      </c>
      <c r="M3874" s="64">
        <f>IF(tblMovement[[#This Row],[Material]]="","",IF(LEFT(tblMovement[[#This Row],[Material]],3)="Ore",1,0))</f>
        <v/>
      </c>
      <c r="N3874" s="59">
        <f>IF(OR(tblMovement[[#This Row],[Tonnes_t]]="",tblMovement[[#This Row],[Grade_gpt]]=""),0,tblMovement[[#This Row],[Tonnes_t]]*tblMovement[[#This Row],[Grade_gpt]]/cfg_TroyOz)</f>
        <v/>
      </c>
      <c r="O3874" s="59">
        <f>IF(tblMovement[[#This Row],[Is_Ore]]=1,tblMovement[[#This Row],[Contained_oz]],0)</f>
        <v/>
      </c>
    </row>
    <row r="3875">
      <c r="A3875" s="54" t="n"/>
      <c r="B3875" s="61" t="n"/>
      <c r="C3875" s="61" t="n"/>
      <c r="D3875" s="61" t="n"/>
      <c r="E3875" s="61" t="n"/>
      <c r="F3875" s="55" t="n"/>
      <c r="G3875" s="56" t="n"/>
      <c r="H3875" s="55" t="n"/>
      <c r="I3875" s="62" t="n"/>
      <c r="J3875" s="58" t="n"/>
      <c r="K3875" s="63">
        <f>IF(tblMovement[[#This Row],[Source]]="","",IFERROR(INDEX(tblSources[Type],MATCH(tblMovement[[#This Row],[Source]],tblSources[Source],0)),"?"))</f>
        <v/>
      </c>
      <c r="L3875" s="63">
        <f>IF(tblMovement[[#This Row],[Destination]]="","",IFERROR(INDEX(tblDestinations[Type],MATCH(tblMovement[[#This Row],[Destination]],tblDestinations[Destination],0)),"?"))</f>
        <v/>
      </c>
      <c r="M3875" s="64">
        <f>IF(tblMovement[[#This Row],[Material]]="","",IF(LEFT(tblMovement[[#This Row],[Material]],3)="Ore",1,0))</f>
        <v/>
      </c>
      <c r="N3875" s="59">
        <f>IF(OR(tblMovement[[#This Row],[Tonnes_t]]="",tblMovement[[#This Row],[Grade_gpt]]=""),0,tblMovement[[#This Row],[Tonnes_t]]*tblMovement[[#This Row],[Grade_gpt]]/cfg_TroyOz)</f>
        <v/>
      </c>
      <c r="O3875" s="59">
        <f>IF(tblMovement[[#This Row],[Is_Ore]]=1,tblMovement[[#This Row],[Contained_oz]],0)</f>
        <v/>
      </c>
    </row>
    <row r="3876">
      <c r="A3876" s="54" t="n"/>
      <c r="B3876" s="61" t="n"/>
      <c r="C3876" s="61" t="n"/>
      <c r="D3876" s="61" t="n"/>
      <c r="E3876" s="61" t="n"/>
      <c r="F3876" s="55" t="n"/>
      <c r="G3876" s="56" t="n"/>
      <c r="H3876" s="55" t="n"/>
      <c r="I3876" s="62" t="n"/>
      <c r="J3876" s="58" t="n"/>
      <c r="K3876" s="63">
        <f>IF(tblMovement[[#This Row],[Source]]="","",IFERROR(INDEX(tblSources[Type],MATCH(tblMovement[[#This Row],[Source]],tblSources[Source],0)),"?"))</f>
        <v/>
      </c>
      <c r="L3876" s="63">
        <f>IF(tblMovement[[#This Row],[Destination]]="","",IFERROR(INDEX(tblDestinations[Type],MATCH(tblMovement[[#This Row],[Destination]],tblDestinations[Destination],0)),"?"))</f>
        <v/>
      </c>
      <c r="M3876" s="64">
        <f>IF(tblMovement[[#This Row],[Material]]="","",IF(LEFT(tblMovement[[#This Row],[Material]],3)="Ore",1,0))</f>
        <v/>
      </c>
      <c r="N3876" s="59">
        <f>IF(OR(tblMovement[[#This Row],[Tonnes_t]]="",tblMovement[[#This Row],[Grade_gpt]]=""),0,tblMovement[[#This Row],[Tonnes_t]]*tblMovement[[#This Row],[Grade_gpt]]/cfg_TroyOz)</f>
        <v/>
      </c>
      <c r="O3876" s="59">
        <f>IF(tblMovement[[#This Row],[Is_Ore]]=1,tblMovement[[#This Row],[Contained_oz]],0)</f>
        <v/>
      </c>
    </row>
    <row r="3877">
      <c r="A3877" s="54" t="n"/>
      <c r="B3877" s="61" t="n"/>
      <c r="C3877" s="61" t="n"/>
      <c r="D3877" s="61" t="n"/>
      <c r="E3877" s="61" t="n"/>
      <c r="F3877" s="55" t="n"/>
      <c r="G3877" s="56" t="n"/>
      <c r="H3877" s="55" t="n"/>
      <c r="I3877" s="62" t="n"/>
      <c r="J3877" s="58" t="n"/>
      <c r="K3877" s="63">
        <f>IF(tblMovement[[#This Row],[Source]]="","",IFERROR(INDEX(tblSources[Type],MATCH(tblMovement[[#This Row],[Source]],tblSources[Source],0)),"?"))</f>
        <v/>
      </c>
      <c r="L3877" s="63">
        <f>IF(tblMovement[[#This Row],[Destination]]="","",IFERROR(INDEX(tblDestinations[Type],MATCH(tblMovement[[#This Row],[Destination]],tblDestinations[Destination],0)),"?"))</f>
        <v/>
      </c>
      <c r="M3877" s="64">
        <f>IF(tblMovement[[#This Row],[Material]]="","",IF(LEFT(tblMovement[[#This Row],[Material]],3)="Ore",1,0))</f>
        <v/>
      </c>
      <c r="N3877" s="59">
        <f>IF(OR(tblMovement[[#This Row],[Tonnes_t]]="",tblMovement[[#This Row],[Grade_gpt]]=""),0,tblMovement[[#This Row],[Tonnes_t]]*tblMovement[[#This Row],[Grade_gpt]]/cfg_TroyOz)</f>
        <v/>
      </c>
      <c r="O3877" s="59">
        <f>IF(tblMovement[[#This Row],[Is_Ore]]=1,tblMovement[[#This Row],[Contained_oz]],0)</f>
        <v/>
      </c>
    </row>
    <row r="3878">
      <c r="A3878" s="54" t="n"/>
      <c r="B3878" s="61" t="n"/>
      <c r="C3878" s="61" t="n"/>
      <c r="D3878" s="61" t="n"/>
      <c r="E3878" s="61" t="n"/>
      <c r="F3878" s="55" t="n"/>
      <c r="G3878" s="56" t="n"/>
      <c r="H3878" s="55" t="n"/>
      <c r="I3878" s="62" t="n"/>
      <c r="J3878" s="58" t="n"/>
      <c r="K3878" s="63">
        <f>IF(tblMovement[[#This Row],[Source]]="","",IFERROR(INDEX(tblSources[Type],MATCH(tblMovement[[#This Row],[Source]],tblSources[Source],0)),"?"))</f>
        <v/>
      </c>
      <c r="L3878" s="63">
        <f>IF(tblMovement[[#This Row],[Destination]]="","",IFERROR(INDEX(tblDestinations[Type],MATCH(tblMovement[[#This Row],[Destination]],tblDestinations[Destination],0)),"?"))</f>
        <v/>
      </c>
      <c r="M3878" s="64">
        <f>IF(tblMovement[[#This Row],[Material]]="","",IF(LEFT(tblMovement[[#This Row],[Material]],3)="Ore",1,0))</f>
        <v/>
      </c>
      <c r="N3878" s="59">
        <f>IF(OR(tblMovement[[#This Row],[Tonnes_t]]="",tblMovement[[#This Row],[Grade_gpt]]=""),0,tblMovement[[#This Row],[Tonnes_t]]*tblMovement[[#This Row],[Grade_gpt]]/cfg_TroyOz)</f>
        <v/>
      </c>
      <c r="O3878" s="59">
        <f>IF(tblMovement[[#This Row],[Is_Ore]]=1,tblMovement[[#This Row],[Contained_oz]],0)</f>
        <v/>
      </c>
    </row>
    <row r="3879">
      <c r="A3879" s="54" t="n"/>
      <c r="B3879" s="61" t="n"/>
      <c r="C3879" s="61" t="n"/>
      <c r="D3879" s="61" t="n"/>
      <c r="E3879" s="61" t="n"/>
      <c r="F3879" s="55" t="n"/>
      <c r="G3879" s="56" t="n"/>
      <c r="H3879" s="55" t="n"/>
      <c r="I3879" s="62" t="n"/>
      <c r="J3879" s="58" t="n"/>
      <c r="K3879" s="63">
        <f>IF(tblMovement[[#This Row],[Source]]="","",IFERROR(INDEX(tblSources[Type],MATCH(tblMovement[[#This Row],[Source]],tblSources[Source],0)),"?"))</f>
        <v/>
      </c>
      <c r="L3879" s="63">
        <f>IF(tblMovement[[#This Row],[Destination]]="","",IFERROR(INDEX(tblDestinations[Type],MATCH(tblMovement[[#This Row],[Destination]],tblDestinations[Destination],0)),"?"))</f>
        <v/>
      </c>
      <c r="M3879" s="64">
        <f>IF(tblMovement[[#This Row],[Material]]="","",IF(LEFT(tblMovement[[#This Row],[Material]],3)="Ore",1,0))</f>
        <v/>
      </c>
      <c r="N3879" s="59">
        <f>IF(OR(tblMovement[[#This Row],[Tonnes_t]]="",tblMovement[[#This Row],[Grade_gpt]]=""),0,tblMovement[[#This Row],[Tonnes_t]]*tblMovement[[#This Row],[Grade_gpt]]/cfg_TroyOz)</f>
        <v/>
      </c>
      <c r="O3879" s="59">
        <f>IF(tblMovement[[#This Row],[Is_Ore]]=1,tblMovement[[#This Row],[Contained_oz]],0)</f>
        <v/>
      </c>
    </row>
    <row r="3880">
      <c r="A3880" s="54" t="n"/>
      <c r="B3880" s="61" t="n"/>
      <c r="C3880" s="61" t="n"/>
      <c r="D3880" s="61" t="n"/>
      <c r="E3880" s="61" t="n"/>
      <c r="F3880" s="55" t="n"/>
      <c r="G3880" s="56" t="n"/>
      <c r="H3880" s="55" t="n"/>
      <c r="I3880" s="62" t="n"/>
      <c r="J3880" s="58" t="n"/>
      <c r="K3880" s="63">
        <f>IF(tblMovement[[#This Row],[Source]]="","",IFERROR(INDEX(tblSources[Type],MATCH(tblMovement[[#This Row],[Source]],tblSources[Source],0)),"?"))</f>
        <v/>
      </c>
      <c r="L3880" s="63">
        <f>IF(tblMovement[[#This Row],[Destination]]="","",IFERROR(INDEX(tblDestinations[Type],MATCH(tblMovement[[#This Row],[Destination]],tblDestinations[Destination],0)),"?"))</f>
        <v/>
      </c>
      <c r="M3880" s="64">
        <f>IF(tblMovement[[#This Row],[Material]]="","",IF(LEFT(tblMovement[[#This Row],[Material]],3)="Ore",1,0))</f>
        <v/>
      </c>
      <c r="N3880" s="59">
        <f>IF(OR(tblMovement[[#This Row],[Tonnes_t]]="",tblMovement[[#This Row],[Grade_gpt]]=""),0,tblMovement[[#This Row],[Tonnes_t]]*tblMovement[[#This Row],[Grade_gpt]]/cfg_TroyOz)</f>
        <v/>
      </c>
      <c r="O3880" s="59">
        <f>IF(tblMovement[[#This Row],[Is_Ore]]=1,tblMovement[[#This Row],[Contained_oz]],0)</f>
        <v/>
      </c>
    </row>
    <row r="3881">
      <c r="A3881" s="54" t="n"/>
      <c r="B3881" s="61" t="n"/>
      <c r="C3881" s="61" t="n"/>
      <c r="D3881" s="61" t="n"/>
      <c r="E3881" s="61" t="n"/>
      <c r="F3881" s="55" t="n"/>
      <c r="G3881" s="56" t="n"/>
      <c r="H3881" s="55" t="n"/>
      <c r="I3881" s="62" t="n"/>
      <c r="J3881" s="58" t="n"/>
      <c r="K3881" s="63">
        <f>IF(tblMovement[[#This Row],[Source]]="","",IFERROR(INDEX(tblSources[Type],MATCH(tblMovement[[#This Row],[Source]],tblSources[Source],0)),"?"))</f>
        <v/>
      </c>
      <c r="L3881" s="63">
        <f>IF(tblMovement[[#This Row],[Destination]]="","",IFERROR(INDEX(tblDestinations[Type],MATCH(tblMovement[[#This Row],[Destination]],tblDestinations[Destination],0)),"?"))</f>
        <v/>
      </c>
      <c r="M3881" s="64">
        <f>IF(tblMovement[[#This Row],[Material]]="","",IF(LEFT(tblMovement[[#This Row],[Material]],3)="Ore",1,0))</f>
        <v/>
      </c>
      <c r="N3881" s="59">
        <f>IF(OR(tblMovement[[#This Row],[Tonnes_t]]="",tblMovement[[#This Row],[Grade_gpt]]=""),0,tblMovement[[#This Row],[Tonnes_t]]*tblMovement[[#This Row],[Grade_gpt]]/cfg_TroyOz)</f>
        <v/>
      </c>
      <c r="O3881" s="59">
        <f>IF(tblMovement[[#This Row],[Is_Ore]]=1,tblMovement[[#This Row],[Contained_oz]],0)</f>
        <v/>
      </c>
    </row>
    <row r="3882">
      <c r="A3882" s="54" t="n"/>
      <c r="B3882" s="61" t="n"/>
      <c r="C3882" s="61" t="n"/>
      <c r="D3882" s="61" t="n"/>
      <c r="E3882" s="61" t="n"/>
      <c r="F3882" s="55" t="n"/>
      <c r="G3882" s="56" t="n"/>
      <c r="H3882" s="55" t="n"/>
      <c r="I3882" s="62" t="n"/>
      <c r="J3882" s="58" t="n"/>
      <c r="K3882" s="63">
        <f>IF(tblMovement[[#This Row],[Source]]="","",IFERROR(INDEX(tblSources[Type],MATCH(tblMovement[[#This Row],[Source]],tblSources[Source],0)),"?"))</f>
        <v/>
      </c>
      <c r="L3882" s="63">
        <f>IF(tblMovement[[#This Row],[Destination]]="","",IFERROR(INDEX(tblDestinations[Type],MATCH(tblMovement[[#This Row],[Destination]],tblDestinations[Destination],0)),"?"))</f>
        <v/>
      </c>
      <c r="M3882" s="64">
        <f>IF(tblMovement[[#This Row],[Material]]="","",IF(LEFT(tblMovement[[#This Row],[Material]],3)="Ore",1,0))</f>
        <v/>
      </c>
      <c r="N3882" s="59">
        <f>IF(OR(tblMovement[[#This Row],[Tonnes_t]]="",tblMovement[[#This Row],[Grade_gpt]]=""),0,tblMovement[[#This Row],[Tonnes_t]]*tblMovement[[#This Row],[Grade_gpt]]/cfg_TroyOz)</f>
        <v/>
      </c>
      <c r="O3882" s="59">
        <f>IF(tblMovement[[#This Row],[Is_Ore]]=1,tblMovement[[#This Row],[Contained_oz]],0)</f>
        <v/>
      </c>
    </row>
    <row r="3883">
      <c r="A3883" s="54" t="n"/>
      <c r="B3883" s="61" t="n"/>
      <c r="C3883" s="61" t="n"/>
      <c r="D3883" s="61" t="n"/>
      <c r="E3883" s="61" t="n"/>
      <c r="F3883" s="55" t="n"/>
      <c r="G3883" s="56" t="n"/>
      <c r="H3883" s="55" t="n"/>
      <c r="I3883" s="62" t="n"/>
      <c r="J3883" s="58" t="n"/>
      <c r="K3883" s="63">
        <f>IF(tblMovement[[#This Row],[Source]]="","",IFERROR(INDEX(tblSources[Type],MATCH(tblMovement[[#This Row],[Source]],tblSources[Source],0)),"?"))</f>
        <v/>
      </c>
      <c r="L3883" s="63">
        <f>IF(tblMovement[[#This Row],[Destination]]="","",IFERROR(INDEX(tblDestinations[Type],MATCH(tblMovement[[#This Row],[Destination]],tblDestinations[Destination],0)),"?"))</f>
        <v/>
      </c>
      <c r="M3883" s="64">
        <f>IF(tblMovement[[#This Row],[Material]]="","",IF(LEFT(tblMovement[[#This Row],[Material]],3)="Ore",1,0))</f>
        <v/>
      </c>
      <c r="N3883" s="59">
        <f>IF(OR(tblMovement[[#This Row],[Tonnes_t]]="",tblMovement[[#This Row],[Grade_gpt]]=""),0,tblMovement[[#This Row],[Tonnes_t]]*tblMovement[[#This Row],[Grade_gpt]]/cfg_TroyOz)</f>
        <v/>
      </c>
      <c r="O3883" s="59">
        <f>IF(tblMovement[[#This Row],[Is_Ore]]=1,tblMovement[[#This Row],[Contained_oz]],0)</f>
        <v/>
      </c>
    </row>
    <row r="3884">
      <c r="A3884" s="54" t="n"/>
      <c r="B3884" s="61" t="n"/>
      <c r="C3884" s="61" t="n"/>
      <c r="D3884" s="61" t="n"/>
      <c r="E3884" s="61" t="n"/>
      <c r="F3884" s="55" t="n"/>
      <c r="G3884" s="56" t="n"/>
      <c r="H3884" s="55" t="n"/>
      <c r="I3884" s="62" t="n"/>
      <c r="J3884" s="58" t="n"/>
      <c r="K3884" s="63">
        <f>IF(tblMovement[[#This Row],[Source]]="","",IFERROR(INDEX(tblSources[Type],MATCH(tblMovement[[#This Row],[Source]],tblSources[Source],0)),"?"))</f>
        <v/>
      </c>
      <c r="L3884" s="63">
        <f>IF(tblMovement[[#This Row],[Destination]]="","",IFERROR(INDEX(tblDestinations[Type],MATCH(tblMovement[[#This Row],[Destination]],tblDestinations[Destination],0)),"?"))</f>
        <v/>
      </c>
      <c r="M3884" s="64">
        <f>IF(tblMovement[[#This Row],[Material]]="","",IF(LEFT(tblMovement[[#This Row],[Material]],3)="Ore",1,0))</f>
        <v/>
      </c>
      <c r="N3884" s="59">
        <f>IF(OR(tblMovement[[#This Row],[Tonnes_t]]="",tblMovement[[#This Row],[Grade_gpt]]=""),0,tblMovement[[#This Row],[Tonnes_t]]*tblMovement[[#This Row],[Grade_gpt]]/cfg_TroyOz)</f>
        <v/>
      </c>
      <c r="O3884" s="59">
        <f>IF(tblMovement[[#This Row],[Is_Ore]]=1,tblMovement[[#This Row],[Contained_oz]],0)</f>
        <v/>
      </c>
    </row>
    <row r="3885">
      <c r="A3885" s="54" t="n"/>
      <c r="B3885" s="61" t="n"/>
      <c r="C3885" s="61" t="n"/>
      <c r="D3885" s="61" t="n"/>
      <c r="E3885" s="61" t="n"/>
      <c r="F3885" s="55" t="n"/>
      <c r="G3885" s="56" t="n"/>
      <c r="H3885" s="55" t="n"/>
      <c r="I3885" s="62" t="n"/>
      <c r="J3885" s="58" t="n"/>
      <c r="K3885" s="63">
        <f>IF(tblMovement[[#This Row],[Source]]="","",IFERROR(INDEX(tblSources[Type],MATCH(tblMovement[[#This Row],[Source]],tblSources[Source],0)),"?"))</f>
        <v/>
      </c>
      <c r="L3885" s="63">
        <f>IF(tblMovement[[#This Row],[Destination]]="","",IFERROR(INDEX(tblDestinations[Type],MATCH(tblMovement[[#This Row],[Destination]],tblDestinations[Destination],0)),"?"))</f>
        <v/>
      </c>
      <c r="M3885" s="64">
        <f>IF(tblMovement[[#This Row],[Material]]="","",IF(LEFT(tblMovement[[#This Row],[Material]],3)="Ore",1,0))</f>
        <v/>
      </c>
      <c r="N3885" s="59">
        <f>IF(OR(tblMovement[[#This Row],[Tonnes_t]]="",tblMovement[[#This Row],[Grade_gpt]]=""),0,tblMovement[[#This Row],[Tonnes_t]]*tblMovement[[#This Row],[Grade_gpt]]/cfg_TroyOz)</f>
        <v/>
      </c>
      <c r="O3885" s="59">
        <f>IF(tblMovement[[#This Row],[Is_Ore]]=1,tblMovement[[#This Row],[Contained_oz]],0)</f>
        <v/>
      </c>
    </row>
    <row r="3886">
      <c r="A3886" s="54" t="n"/>
      <c r="B3886" s="61" t="n"/>
      <c r="C3886" s="61" t="n"/>
      <c r="D3886" s="61" t="n"/>
      <c r="E3886" s="61" t="n"/>
      <c r="F3886" s="55" t="n"/>
      <c r="G3886" s="56" t="n"/>
      <c r="H3886" s="55" t="n"/>
      <c r="I3886" s="62" t="n"/>
      <c r="J3886" s="58" t="n"/>
      <c r="K3886" s="63">
        <f>IF(tblMovement[[#This Row],[Source]]="","",IFERROR(INDEX(tblSources[Type],MATCH(tblMovement[[#This Row],[Source]],tblSources[Source],0)),"?"))</f>
        <v/>
      </c>
      <c r="L3886" s="63">
        <f>IF(tblMovement[[#This Row],[Destination]]="","",IFERROR(INDEX(tblDestinations[Type],MATCH(tblMovement[[#This Row],[Destination]],tblDestinations[Destination],0)),"?"))</f>
        <v/>
      </c>
      <c r="M3886" s="64">
        <f>IF(tblMovement[[#This Row],[Material]]="","",IF(LEFT(tblMovement[[#This Row],[Material]],3)="Ore",1,0))</f>
        <v/>
      </c>
      <c r="N3886" s="59">
        <f>IF(OR(tblMovement[[#This Row],[Tonnes_t]]="",tblMovement[[#This Row],[Grade_gpt]]=""),0,tblMovement[[#This Row],[Tonnes_t]]*tblMovement[[#This Row],[Grade_gpt]]/cfg_TroyOz)</f>
        <v/>
      </c>
      <c r="O3886" s="59">
        <f>IF(tblMovement[[#This Row],[Is_Ore]]=1,tblMovement[[#This Row],[Contained_oz]],0)</f>
        <v/>
      </c>
    </row>
    <row r="3887">
      <c r="A3887" s="54" t="n"/>
      <c r="B3887" s="61" t="n"/>
      <c r="C3887" s="61" t="n"/>
      <c r="D3887" s="61" t="n"/>
      <c r="E3887" s="61" t="n"/>
      <c r="F3887" s="55" t="n"/>
      <c r="G3887" s="56" t="n"/>
      <c r="H3887" s="55" t="n"/>
      <c r="I3887" s="62" t="n"/>
      <c r="J3887" s="58" t="n"/>
      <c r="K3887" s="63">
        <f>IF(tblMovement[[#This Row],[Source]]="","",IFERROR(INDEX(tblSources[Type],MATCH(tblMovement[[#This Row],[Source]],tblSources[Source],0)),"?"))</f>
        <v/>
      </c>
      <c r="L3887" s="63">
        <f>IF(tblMovement[[#This Row],[Destination]]="","",IFERROR(INDEX(tblDestinations[Type],MATCH(tblMovement[[#This Row],[Destination]],tblDestinations[Destination],0)),"?"))</f>
        <v/>
      </c>
      <c r="M3887" s="64">
        <f>IF(tblMovement[[#This Row],[Material]]="","",IF(LEFT(tblMovement[[#This Row],[Material]],3)="Ore",1,0))</f>
        <v/>
      </c>
      <c r="N3887" s="59">
        <f>IF(OR(tblMovement[[#This Row],[Tonnes_t]]="",tblMovement[[#This Row],[Grade_gpt]]=""),0,tblMovement[[#This Row],[Tonnes_t]]*tblMovement[[#This Row],[Grade_gpt]]/cfg_TroyOz)</f>
        <v/>
      </c>
      <c r="O3887" s="59">
        <f>IF(tblMovement[[#This Row],[Is_Ore]]=1,tblMovement[[#This Row],[Contained_oz]],0)</f>
        <v/>
      </c>
    </row>
    <row r="3888">
      <c r="A3888" s="54" t="n"/>
      <c r="B3888" s="61" t="n"/>
      <c r="C3888" s="61" t="n"/>
      <c r="D3888" s="61" t="n"/>
      <c r="E3888" s="61" t="n"/>
      <c r="F3888" s="55" t="n"/>
      <c r="G3888" s="56" t="n"/>
      <c r="H3888" s="55" t="n"/>
      <c r="I3888" s="62" t="n"/>
      <c r="J3888" s="58" t="n"/>
      <c r="K3888" s="63">
        <f>IF(tblMovement[[#This Row],[Source]]="","",IFERROR(INDEX(tblSources[Type],MATCH(tblMovement[[#This Row],[Source]],tblSources[Source],0)),"?"))</f>
        <v/>
      </c>
      <c r="L3888" s="63">
        <f>IF(tblMovement[[#This Row],[Destination]]="","",IFERROR(INDEX(tblDestinations[Type],MATCH(tblMovement[[#This Row],[Destination]],tblDestinations[Destination],0)),"?"))</f>
        <v/>
      </c>
      <c r="M3888" s="64">
        <f>IF(tblMovement[[#This Row],[Material]]="","",IF(LEFT(tblMovement[[#This Row],[Material]],3)="Ore",1,0))</f>
        <v/>
      </c>
      <c r="N3888" s="59">
        <f>IF(OR(tblMovement[[#This Row],[Tonnes_t]]="",tblMovement[[#This Row],[Grade_gpt]]=""),0,tblMovement[[#This Row],[Tonnes_t]]*tblMovement[[#This Row],[Grade_gpt]]/cfg_TroyOz)</f>
        <v/>
      </c>
      <c r="O3888" s="59">
        <f>IF(tblMovement[[#This Row],[Is_Ore]]=1,tblMovement[[#This Row],[Contained_oz]],0)</f>
        <v/>
      </c>
    </row>
    <row r="3889">
      <c r="A3889" s="54" t="n"/>
      <c r="B3889" s="61" t="n"/>
      <c r="C3889" s="61" t="n"/>
      <c r="D3889" s="61" t="n"/>
      <c r="E3889" s="61" t="n"/>
      <c r="F3889" s="55" t="n"/>
      <c r="G3889" s="56" t="n"/>
      <c r="H3889" s="55" t="n"/>
      <c r="I3889" s="62" t="n"/>
      <c r="J3889" s="58" t="n"/>
      <c r="K3889" s="63">
        <f>IF(tblMovement[[#This Row],[Source]]="","",IFERROR(INDEX(tblSources[Type],MATCH(tblMovement[[#This Row],[Source]],tblSources[Source],0)),"?"))</f>
        <v/>
      </c>
      <c r="L3889" s="63">
        <f>IF(tblMovement[[#This Row],[Destination]]="","",IFERROR(INDEX(tblDestinations[Type],MATCH(tblMovement[[#This Row],[Destination]],tblDestinations[Destination],0)),"?"))</f>
        <v/>
      </c>
      <c r="M3889" s="64">
        <f>IF(tblMovement[[#This Row],[Material]]="","",IF(LEFT(tblMovement[[#This Row],[Material]],3)="Ore",1,0))</f>
        <v/>
      </c>
      <c r="N3889" s="59">
        <f>IF(OR(tblMovement[[#This Row],[Tonnes_t]]="",tblMovement[[#This Row],[Grade_gpt]]=""),0,tblMovement[[#This Row],[Tonnes_t]]*tblMovement[[#This Row],[Grade_gpt]]/cfg_TroyOz)</f>
        <v/>
      </c>
      <c r="O3889" s="59">
        <f>IF(tblMovement[[#This Row],[Is_Ore]]=1,tblMovement[[#This Row],[Contained_oz]],0)</f>
        <v/>
      </c>
    </row>
    <row r="3890">
      <c r="A3890" s="54" t="n"/>
      <c r="B3890" s="61" t="n"/>
      <c r="C3890" s="61" t="n"/>
      <c r="D3890" s="61" t="n"/>
      <c r="E3890" s="61" t="n"/>
      <c r="F3890" s="55" t="n"/>
      <c r="G3890" s="56" t="n"/>
      <c r="H3890" s="55" t="n"/>
      <c r="I3890" s="62" t="n"/>
      <c r="J3890" s="58" t="n"/>
      <c r="K3890" s="63">
        <f>IF(tblMovement[[#This Row],[Source]]="","",IFERROR(INDEX(tblSources[Type],MATCH(tblMovement[[#This Row],[Source]],tblSources[Source],0)),"?"))</f>
        <v/>
      </c>
      <c r="L3890" s="63">
        <f>IF(tblMovement[[#This Row],[Destination]]="","",IFERROR(INDEX(tblDestinations[Type],MATCH(tblMovement[[#This Row],[Destination]],tblDestinations[Destination],0)),"?"))</f>
        <v/>
      </c>
      <c r="M3890" s="64">
        <f>IF(tblMovement[[#This Row],[Material]]="","",IF(LEFT(tblMovement[[#This Row],[Material]],3)="Ore",1,0))</f>
        <v/>
      </c>
      <c r="N3890" s="59">
        <f>IF(OR(tblMovement[[#This Row],[Tonnes_t]]="",tblMovement[[#This Row],[Grade_gpt]]=""),0,tblMovement[[#This Row],[Tonnes_t]]*tblMovement[[#This Row],[Grade_gpt]]/cfg_TroyOz)</f>
        <v/>
      </c>
      <c r="O3890" s="59">
        <f>IF(tblMovement[[#This Row],[Is_Ore]]=1,tblMovement[[#This Row],[Contained_oz]],0)</f>
        <v/>
      </c>
    </row>
    <row r="3891">
      <c r="A3891" s="54" t="n"/>
      <c r="B3891" s="61" t="n"/>
      <c r="C3891" s="61" t="n"/>
      <c r="D3891" s="61" t="n"/>
      <c r="E3891" s="61" t="n"/>
      <c r="F3891" s="55" t="n"/>
      <c r="G3891" s="56" t="n"/>
      <c r="H3891" s="55" t="n"/>
      <c r="I3891" s="62" t="n"/>
      <c r="J3891" s="58" t="n"/>
      <c r="K3891" s="63">
        <f>IF(tblMovement[[#This Row],[Source]]="","",IFERROR(INDEX(tblSources[Type],MATCH(tblMovement[[#This Row],[Source]],tblSources[Source],0)),"?"))</f>
        <v/>
      </c>
      <c r="L3891" s="63">
        <f>IF(tblMovement[[#This Row],[Destination]]="","",IFERROR(INDEX(tblDestinations[Type],MATCH(tblMovement[[#This Row],[Destination]],tblDestinations[Destination],0)),"?"))</f>
        <v/>
      </c>
      <c r="M3891" s="64">
        <f>IF(tblMovement[[#This Row],[Material]]="","",IF(LEFT(tblMovement[[#This Row],[Material]],3)="Ore",1,0))</f>
        <v/>
      </c>
      <c r="N3891" s="59">
        <f>IF(OR(tblMovement[[#This Row],[Tonnes_t]]="",tblMovement[[#This Row],[Grade_gpt]]=""),0,tblMovement[[#This Row],[Tonnes_t]]*tblMovement[[#This Row],[Grade_gpt]]/cfg_TroyOz)</f>
        <v/>
      </c>
      <c r="O3891" s="59">
        <f>IF(tblMovement[[#This Row],[Is_Ore]]=1,tblMovement[[#This Row],[Contained_oz]],0)</f>
        <v/>
      </c>
    </row>
    <row r="3892">
      <c r="A3892" s="54" t="n"/>
      <c r="B3892" s="61" t="n"/>
      <c r="C3892" s="61" t="n"/>
      <c r="D3892" s="61" t="n"/>
      <c r="E3892" s="61" t="n"/>
      <c r="F3892" s="55" t="n"/>
      <c r="G3892" s="56" t="n"/>
      <c r="H3892" s="55" t="n"/>
      <c r="I3892" s="62" t="n"/>
      <c r="J3892" s="58" t="n"/>
      <c r="K3892" s="63">
        <f>IF(tblMovement[[#This Row],[Source]]="","",IFERROR(INDEX(tblSources[Type],MATCH(tblMovement[[#This Row],[Source]],tblSources[Source],0)),"?"))</f>
        <v/>
      </c>
      <c r="L3892" s="63">
        <f>IF(tblMovement[[#This Row],[Destination]]="","",IFERROR(INDEX(tblDestinations[Type],MATCH(tblMovement[[#This Row],[Destination]],tblDestinations[Destination],0)),"?"))</f>
        <v/>
      </c>
      <c r="M3892" s="64">
        <f>IF(tblMovement[[#This Row],[Material]]="","",IF(LEFT(tblMovement[[#This Row],[Material]],3)="Ore",1,0))</f>
        <v/>
      </c>
      <c r="N3892" s="59">
        <f>IF(OR(tblMovement[[#This Row],[Tonnes_t]]="",tblMovement[[#This Row],[Grade_gpt]]=""),0,tblMovement[[#This Row],[Tonnes_t]]*tblMovement[[#This Row],[Grade_gpt]]/cfg_TroyOz)</f>
        <v/>
      </c>
      <c r="O3892" s="59">
        <f>IF(tblMovement[[#This Row],[Is_Ore]]=1,tblMovement[[#This Row],[Contained_oz]],0)</f>
        <v/>
      </c>
    </row>
    <row r="3893">
      <c r="A3893" s="54" t="n"/>
      <c r="B3893" s="61" t="n"/>
      <c r="C3893" s="61" t="n"/>
      <c r="D3893" s="61" t="n"/>
      <c r="E3893" s="61" t="n"/>
      <c r="F3893" s="55" t="n"/>
      <c r="G3893" s="56" t="n"/>
      <c r="H3893" s="55" t="n"/>
      <c r="I3893" s="62" t="n"/>
      <c r="J3893" s="58" t="n"/>
      <c r="K3893" s="63">
        <f>IF(tblMovement[[#This Row],[Source]]="","",IFERROR(INDEX(tblSources[Type],MATCH(tblMovement[[#This Row],[Source]],tblSources[Source],0)),"?"))</f>
        <v/>
      </c>
      <c r="L3893" s="63">
        <f>IF(tblMovement[[#This Row],[Destination]]="","",IFERROR(INDEX(tblDestinations[Type],MATCH(tblMovement[[#This Row],[Destination]],tblDestinations[Destination],0)),"?"))</f>
        <v/>
      </c>
      <c r="M3893" s="64">
        <f>IF(tblMovement[[#This Row],[Material]]="","",IF(LEFT(tblMovement[[#This Row],[Material]],3)="Ore",1,0))</f>
        <v/>
      </c>
      <c r="N3893" s="59">
        <f>IF(OR(tblMovement[[#This Row],[Tonnes_t]]="",tblMovement[[#This Row],[Grade_gpt]]=""),0,tblMovement[[#This Row],[Tonnes_t]]*tblMovement[[#This Row],[Grade_gpt]]/cfg_TroyOz)</f>
        <v/>
      </c>
      <c r="O3893" s="59">
        <f>IF(tblMovement[[#This Row],[Is_Ore]]=1,tblMovement[[#This Row],[Contained_oz]],0)</f>
        <v/>
      </c>
    </row>
    <row r="3894">
      <c r="A3894" s="54" t="n"/>
      <c r="B3894" s="61" t="n"/>
      <c r="C3894" s="61" t="n"/>
      <c r="D3894" s="61" t="n"/>
      <c r="E3894" s="61" t="n"/>
      <c r="F3894" s="55" t="n"/>
      <c r="G3894" s="56" t="n"/>
      <c r="H3894" s="55" t="n"/>
      <c r="I3894" s="62" t="n"/>
      <c r="J3894" s="58" t="n"/>
      <c r="K3894" s="63">
        <f>IF(tblMovement[[#This Row],[Source]]="","",IFERROR(INDEX(tblSources[Type],MATCH(tblMovement[[#This Row],[Source]],tblSources[Source],0)),"?"))</f>
        <v/>
      </c>
      <c r="L3894" s="63">
        <f>IF(tblMovement[[#This Row],[Destination]]="","",IFERROR(INDEX(tblDestinations[Type],MATCH(tblMovement[[#This Row],[Destination]],tblDestinations[Destination],0)),"?"))</f>
        <v/>
      </c>
      <c r="M3894" s="64">
        <f>IF(tblMovement[[#This Row],[Material]]="","",IF(LEFT(tblMovement[[#This Row],[Material]],3)="Ore",1,0))</f>
        <v/>
      </c>
      <c r="N3894" s="59">
        <f>IF(OR(tblMovement[[#This Row],[Tonnes_t]]="",tblMovement[[#This Row],[Grade_gpt]]=""),0,tblMovement[[#This Row],[Tonnes_t]]*tblMovement[[#This Row],[Grade_gpt]]/cfg_TroyOz)</f>
        <v/>
      </c>
      <c r="O3894" s="59">
        <f>IF(tblMovement[[#This Row],[Is_Ore]]=1,tblMovement[[#This Row],[Contained_oz]],0)</f>
        <v/>
      </c>
    </row>
    <row r="3895">
      <c r="A3895" s="54" t="n"/>
      <c r="B3895" s="61" t="n"/>
      <c r="C3895" s="61" t="n"/>
      <c r="D3895" s="61" t="n"/>
      <c r="E3895" s="61" t="n"/>
      <c r="F3895" s="55" t="n"/>
      <c r="G3895" s="56" t="n"/>
      <c r="H3895" s="55" t="n"/>
      <c r="I3895" s="62" t="n"/>
      <c r="J3895" s="58" t="n"/>
      <c r="K3895" s="63">
        <f>IF(tblMovement[[#This Row],[Source]]="","",IFERROR(INDEX(tblSources[Type],MATCH(tblMovement[[#This Row],[Source]],tblSources[Source],0)),"?"))</f>
        <v/>
      </c>
      <c r="L3895" s="63">
        <f>IF(tblMovement[[#This Row],[Destination]]="","",IFERROR(INDEX(tblDestinations[Type],MATCH(tblMovement[[#This Row],[Destination]],tblDestinations[Destination],0)),"?"))</f>
        <v/>
      </c>
      <c r="M3895" s="64">
        <f>IF(tblMovement[[#This Row],[Material]]="","",IF(LEFT(tblMovement[[#This Row],[Material]],3)="Ore",1,0))</f>
        <v/>
      </c>
      <c r="N3895" s="59">
        <f>IF(OR(tblMovement[[#This Row],[Tonnes_t]]="",tblMovement[[#This Row],[Grade_gpt]]=""),0,tblMovement[[#This Row],[Tonnes_t]]*tblMovement[[#This Row],[Grade_gpt]]/cfg_TroyOz)</f>
        <v/>
      </c>
      <c r="O3895" s="59">
        <f>IF(tblMovement[[#This Row],[Is_Ore]]=1,tblMovement[[#This Row],[Contained_oz]],0)</f>
        <v/>
      </c>
    </row>
    <row r="3896">
      <c r="A3896" s="54" t="n"/>
      <c r="B3896" s="61" t="n"/>
      <c r="C3896" s="61" t="n"/>
      <c r="D3896" s="61" t="n"/>
      <c r="E3896" s="61" t="n"/>
      <c r="F3896" s="55" t="n"/>
      <c r="G3896" s="56" t="n"/>
      <c r="H3896" s="55" t="n"/>
      <c r="I3896" s="62" t="n"/>
      <c r="J3896" s="58" t="n"/>
      <c r="K3896" s="63">
        <f>IF(tblMovement[[#This Row],[Source]]="","",IFERROR(INDEX(tblSources[Type],MATCH(tblMovement[[#This Row],[Source]],tblSources[Source],0)),"?"))</f>
        <v/>
      </c>
      <c r="L3896" s="63">
        <f>IF(tblMovement[[#This Row],[Destination]]="","",IFERROR(INDEX(tblDestinations[Type],MATCH(tblMovement[[#This Row],[Destination]],tblDestinations[Destination],0)),"?"))</f>
        <v/>
      </c>
      <c r="M3896" s="64">
        <f>IF(tblMovement[[#This Row],[Material]]="","",IF(LEFT(tblMovement[[#This Row],[Material]],3)="Ore",1,0))</f>
        <v/>
      </c>
      <c r="N3896" s="59">
        <f>IF(OR(tblMovement[[#This Row],[Tonnes_t]]="",tblMovement[[#This Row],[Grade_gpt]]=""),0,tblMovement[[#This Row],[Tonnes_t]]*tblMovement[[#This Row],[Grade_gpt]]/cfg_TroyOz)</f>
        <v/>
      </c>
      <c r="O3896" s="59">
        <f>IF(tblMovement[[#This Row],[Is_Ore]]=1,tblMovement[[#This Row],[Contained_oz]],0)</f>
        <v/>
      </c>
    </row>
    <row r="3897">
      <c r="A3897" s="54" t="n"/>
      <c r="B3897" s="61" t="n"/>
      <c r="C3897" s="61" t="n"/>
      <c r="D3897" s="61" t="n"/>
      <c r="E3897" s="61" t="n"/>
      <c r="F3897" s="55" t="n"/>
      <c r="G3897" s="56" t="n"/>
      <c r="H3897" s="55" t="n"/>
      <c r="I3897" s="62" t="n"/>
      <c r="J3897" s="58" t="n"/>
      <c r="K3897" s="63">
        <f>IF(tblMovement[[#This Row],[Source]]="","",IFERROR(INDEX(tblSources[Type],MATCH(tblMovement[[#This Row],[Source]],tblSources[Source],0)),"?"))</f>
        <v/>
      </c>
      <c r="L3897" s="63">
        <f>IF(tblMovement[[#This Row],[Destination]]="","",IFERROR(INDEX(tblDestinations[Type],MATCH(tblMovement[[#This Row],[Destination]],tblDestinations[Destination],0)),"?"))</f>
        <v/>
      </c>
      <c r="M3897" s="64">
        <f>IF(tblMovement[[#This Row],[Material]]="","",IF(LEFT(tblMovement[[#This Row],[Material]],3)="Ore",1,0))</f>
        <v/>
      </c>
      <c r="N3897" s="59">
        <f>IF(OR(tblMovement[[#This Row],[Tonnes_t]]="",tblMovement[[#This Row],[Grade_gpt]]=""),0,tblMovement[[#This Row],[Tonnes_t]]*tblMovement[[#This Row],[Grade_gpt]]/cfg_TroyOz)</f>
        <v/>
      </c>
      <c r="O3897" s="59">
        <f>IF(tblMovement[[#This Row],[Is_Ore]]=1,tblMovement[[#This Row],[Contained_oz]],0)</f>
        <v/>
      </c>
    </row>
    <row r="3898">
      <c r="A3898" s="54" t="n"/>
      <c r="B3898" s="61" t="n"/>
      <c r="C3898" s="61" t="n"/>
      <c r="D3898" s="61" t="n"/>
      <c r="E3898" s="61" t="n"/>
      <c r="F3898" s="55" t="n"/>
      <c r="G3898" s="56" t="n"/>
      <c r="H3898" s="55" t="n"/>
      <c r="I3898" s="62" t="n"/>
      <c r="J3898" s="58" t="n"/>
      <c r="K3898" s="63">
        <f>IF(tblMovement[[#This Row],[Source]]="","",IFERROR(INDEX(tblSources[Type],MATCH(tblMovement[[#This Row],[Source]],tblSources[Source],0)),"?"))</f>
        <v/>
      </c>
      <c r="L3898" s="63">
        <f>IF(tblMovement[[#This Row],[Destination]]="","",IFERROR(INDEX(tblDestinations[Type],MATCH(tblMovement[[#This Row],[Destination]],tblDestinations[Destination],0)),"?"))</f>
        <v/>
      </c>
      <c r="M3898" s="64">
        <f>IF(tblMovement[[#This Row],[Material]]="","",IF(LEFT(tblMovement[[#This Row],[Material]],3)="Ore",1,0))</f>
        <v/>
      </c>
      <c r="N3898" s="59">
        <f>IF(OR(tblMovement[[#This Row],[Tonnes_t]]="",tblMovement[[#This Row],[Grade_gpt]]=""),0,tblMovement[[#This Row],[Tonnes_t]]*tblMovement[[#This Row],[Grade_gpt]]/cfg_TroyOz)</f>
        <v/>
      </c>
      <c r="O3898" s="59">
        <f>IF(tblMovement[[#This Row],[Is_Ore]]=1,tblMovement[[#This Row],[Contained_oz]],0)</f>
        <v/>
      </c>
    </row>
    <row r="3899">
      <c r="A3899" s="54" t="n"/>
      <c r="B3899" s="61" t="n"/>
      <c r="C3899" s="61" t="n"/>
      <c r="D3899" s="61" t="n"/>
      <c r="E3899" s="61" t="n"/>
      <c r="F3899" s="55" t="n"/>
      <c r="G3899" s="56" t="n"/>
      <c r="H3899" s="55" t="n"/>
      <c r="I3899" s="62" t="n"/>
      <c r="J3899" s="58" t="n"/>
      <c r="K3899" s="63">
        <f>IF(tblMovement[[#This Row],[Source]]="","",IFERROR(INDEX(tblSources[Type],MATCH(tblMovement[[#This Row],[Source]],tblSources[Source],0)),"?"))</f>
        <v/>
      </c>
      <c r="L3899" s="63">
        <f>IF(tblMovement[[#This Row],[Destination]]="","",IFERROR(INDEX(tblDestinations[Type],MATCH(tblMovement[[#This Row],[Destination]],tblDestinations[Destination],0)),"?"))</f>
        <v/>
      </c>
      <c r="M3899" s="64">
        <f>IF(tblMovement[[#This Row],[Material]]="","",IF(LEFT(tblMovement[[#This Row],[Material]],3)="Ore",1,0))</f>
        <v/>
      </c>
      <c r="N3899" s="59">
        <f>IF(OR(tblMovement[[#This Row],[Tonnes_t]]="",tblMovement[[#This Row],[Grade_gpt]]=""),0,tblMovement[[#This Row],[Tonnes_t]]*tblMovement[[#This Row],[Grade_gpt]]/cfg_TroyOz)</f>
        <v/>
      </c>
      <c r="O3899" s="59">
        <f>IF(tblMovement[[#This Row],[Is_Ore]]=1,tblMovement[[#This Row],[Contained_oz]],0)</f>
        <v/>
      </c>
    </row>
    <row r="3900">
      <c r="A3900" s="54" t="n"/>
      <c r="B3900" s="61" t="n"/>
      <c r="C3900" s="61" t="n"/>
      <c r="D3900" s="61" t="n"/>
      <c r="E3900" s="61" t="n"/>
      <c r="F3900" s="55" t="n"/>
      <c r="G3900" s="56" t="n"/>
      <c r="H3900" s="55" t="n"/>
      <c r="I3900" s="62" t="n"/>
      <c r="J3900" s="58" t="n"/>
      <c r="K3900" s="63">
        <f>IF(tblMovement[[#This Row],[Source]]="","",IFERROR(INDEX(tblSources[Type],MATCH(tblMovement[[#This Row],[Source]],tblSources[Source],0)),"?"))</f>
        <v/>
      </c>
      <c r="L3900" s="63">
        <f>IF(tblMovement[[#This Row],[Destination]]="","",IFERROR(INDEX(tblDestinations[Type],MATCH(tblMovement[[#This Row],[Destination]],tblDestinations[Destination],0)),"?"))</f>
        <v/>
      </c>
      <c r="M3900" s="64">
        <f>IF(tblMovement[[#This Row],[Material]]="","",IF(LEFT(tblMovement[[#This Row],[Material]],3)="Ore",1,0))</f>
        <v/>
      </c>
      <c r="N3900" s="59">
        <f>IF(OR(tblMovement[[#This Row],[Tonnes_t]]="",tblMovement[[#This Row],[Grade_gpt]]=""),0,tblMovement[[#This Row],[Tonnes_t]]*tblMovement[[#This Row],[Grade_gpt]]/cfg_TroyOz)</f>
        <v/>
      </c>
      <c r="O3900" s="59">
        <f>IF(tblMovement[[#This Row],[Is_Ore]]=1,tblMovement[[#This Row],[Contained_oz]],0)</f>
        <v/>
      </c>
    </row>
    <row r="3901">
      <c r="A3901" s="54" t="n"/>
      <c r="B3901" s="61" t="n"/>
      <c r="C3901" s="61" t="n"/>
      <c r="D3901" s="61" t="n"/>
      <c r="E3901" s="61" t="n"/>
      <c r="F3901" s="55" t="n"/>
      <c r="G3901" s="56" t="n"/>
      <c r="H3901" s="55" t="n"/>
      <c r="I3901" s="62" t="n"/>
      <c r="J3901" s="58" t="n"/>
      <c r="K3901" s="63">
        <f>IF(tblMovement[[#This Row],[Source]]="","",IFERROR(INDEX(tblSources[Type],MATCH(tblMovement[[#This Row],[Source]],tblSources[Source],0)),"?"))</f>
        <v/>
      </c>
      <c r="L3901" s="63">
        <f>IF(tblMovement[[#This Row],[Destination]]="","",IFERROR(INDEX(tblDestinations[Type],MATCH(tblMovement[[#This Row],[Destination]],tblDestinations[Destination],0)),"?"))</f>
        <v/>
      </c>
      <c r="M3901" s="64">
        <f>IF(tblMovement[[#This Row],[Material]]="","",IF(LEFT(tblMovement[[#This Row],[Material]],3)="Ore",1,0))</f>
        <v/>
      </c>
      <c r="N3901" s="59">
        <f>IF(OR(tblMovement[[#This Row],[Tonnes_t]]="",tblMovement[[#This Row],[Grade_gpt]]=""),0,tblMovement[[#This Row],[Tonnes_t]]*tblMovement[[#This Row],[Grade_gpt]]/cfg_TroyOz)</f>
        <v/>
      </c>
      <c r="O3901" s="59">
        <f>IF(tblMovement[[#This Row],[Is_Ore]]=1,tblMovement[[#This Row],[Contained_oz]],0)</f>
        <v/>
      </c>
    </row>
    <row r="3902">
      <c r="A3902" s="54" t="n"/>
      <c r="B3902" s="61" t="n"/>
      <c r="C3902" s="61" t="n"/>
      <c r="D3902" s="61" t="n"/>
      <c r="E3902" s="61" t="n"/>
      <c r="F3902" s="55" t="n"/>
      <c r="G3902" s="56" t="n"/>
      <c r="H3902" s="55" t="n"/>
      <c r="I3902" s="62" t="n"/>
      <c r="J3902" s="58" t="n"/>
      <c r="K3902" s="63">
        <f>IF(tblMovement[[#This Row],[Source]]="","",IFERROR(INDEX(tblSources[Type],MATCH(tblMovement[[#This Row],[Source]],tblSources[Source],0)),"?"))</f>
        <v/>
      </c>
      <c r="L3902" s="63">
        <f>IF(tblMovement[[#This Row],[Destination]]="","",IFERROR(INDEX(tblDestinations[Type],MATCH(tblMovement[[#This Row],[Destination]],tblDestinations[Destination],0)),"?"))</f>
        <v/>
      </c>
      <c r="M3902" s="64">
        <f>IF(tblMovement[[#This Row],[Material]]="","",IF(LEFT(tblMovement[[#This Row],[Material]],3)="Ore",1,0))</f>
        <v/>
      </c>
      <c r="N3902" s="59">
        <f>IF(OR(tblMovement[[#This Row],[Tonnes_t]]="",tblMovement[[#This Row],[Grade_gpt]]=""),0,tblMovement[[#This Row],[Tonnes_t]]*tblMovement[[#This Row],[Grade_gpt]]/cfg_TroyOz)</f>
        <v/>
      </c>
      <c r="O3902" s="59">
        <f>IF(tblMovement[[#This Row],[Is_Ore]]=1,tblMovement[[#This Row],[Contained_oz]],0)</f>
        <v/>
      </c>
    </row>
    <row r="3903">
      <c r="A3903" s="54" t="n"/>
      <c r="B3903" s="61" t="n"/>
      <c r="C3903" s="61" t="n"/>
      <c r="D3903" s="61" t="n"/>
      <c r="E3903" s="61" t="n"/>
      <c r="F3903" s="55" t="n"/>
      <c r="G3903" s="56" t="n"/>
      <c r="H3903" s="55" t="n"/>
      <c r="I3903" s="62" t="n"/>
      <c r="J3903" s="58" t="n"/>
      <c r="K3903" s="63">
        <f>IF(tblMovement[[#This Row],[Source]]="","",IFERROR(INDEX(tblSources[Type],MATCH(tblMovement[[#This Row],[Source]],tblSources[Source],0)),"?"))</f>
        <v/>
      </c>
      <c r="L3903" s="63">
        <f>IF(tblMovement[[#This Row],[Destination]]="","",IFERROR(INDEX(tblDestinations[Type],MATCH(tblMovement[[#This Row],[Destination]],tblDestinations[Destination],0)),"?"))</f>
        <v/>
      </c>
      <c r="M3903" s="64">
        <f>IF(tblMovement[[#This Row],[Material]]="","",IF(LEFT(tblMovement[[#This Row],[Material]],3)="Ore",1,0))</f>
        <v/>
      </c>
      <c r="N3903" s="59">
        <f>IF(OR(tblMovement[[#This Row],[Tonnes_t]]="",tblMovement[[#This Row],[Grade_gpt]]=""),0,tblMovement[[#This Row],[Tonnes_t]]*tblMovement[[#This Row],[Grade_gpt]]/cfg_TroyOz)</f>
        <v/>
      </c>
      <c r="O3903" s="59">
        <f>IF(tblMovement[[#This Row],[Is_Ore]]=1,tblMovement[[#This Row],[Contained_oz]],0)</f>
        <v/>
      </c>
    </row>
    <row r="3904">
      <c r="A3904" s="54" t="n"/>
      <c r="B3904" s="61" t="n"/>
      <c r="C3904" s="61" t="n"/>
      <c r="D3904" s="61" t="n"/>
      <c r="E3904" s="61" t="n"/>
      <c r="F3904" s="55" t="n"/>
      <c r="G3904" s="56" t="n"/>
      <c r="H3904" s="55" t="n"/>
      <c r="I3904" s="62" t="n"/>
      <c r="J3904" s="58" t="n"/>
      <c r="K3904" s="63">
        <f>IF(tblMovement[[#This Row],[Source]]="","",IFERROR(INDEX(tblSources[Type],MATCH(tblMovement[[#This Row],[Source]],tblSources[Source],0)),"?"))</f>
        <v/>
      </c>
      <c r="L3904" s="63">
        <f>IF(tblMovement[[#This Row],[Destination]]="","",IFERROR(INDEX(tblDestinations[Type],MATCH(tblMovement[[#This Row],[Destination]],tblDestinations[Destination],0)),"?"))</f>
        <v/>
      </c>
      <c r="M3904" s="64">
        <f>IF(tblMovement[[#This Row],[Material]]="","",IF(LEFT(tblMovement[[#This Row],[Material]],3)="Ore",1,0))</f>
        <v/>
      </c>
      <c r="N3904" s="59">
        <f>IF(OR(tblMovement[[#This Row],[Tonnes_t]]="",tblMovement[[#This Row],[Grade_gpt]]=""),0,tblMovement[[#This Row],[Tonnes_t]]*tblMovement[[#This Row],[Grade_gpt]]/cfg_TroyOz)</f>
        <v/>
      </c>
      <c r="O3904" s="59">
        <f>IF(tblMovement[[#This Row],[Is_Ore]]=1,tblMovement[[#This Row],[Contained_oz]],0)</f>
        <v/>
      </c>
    </row>
    <row r="3905">
      <c r="A3905" s="54" t="n"/>
      <c r="B3905" s="61" t="n"/>
      <c r="C3905" s="61" t="n"/>
      <c r="D3905" s="61" t="n"/>
      <c r="E3905" s="61" t="n"/>
      <c r="F3905" s="55" t="n"/>
      <c r="G3905" s="56" t="n"/>
      <c r="H3905" s="55" t="n"/>
      <c r="I3905" s="62" t="n"/>
      <c r="J3905" s="58" t="n"/>
      <c r="K3905" s="63">
        <f>IF(tblMovement[[#This Row],[Source]]="","",IFERROR(INDEX(tblSources[Type],MATCH(tblMovement[[#This Row],[Source]],tblSources[Source],0)),"?"))</f>
        <v/>
      </c>
      <c r="L3905" s="63">
        <f>IF(tblMovement[[#This Row],[Destination]]="","",IFERROR(INDEX(tblDestinations[Type],MATCH(tblMovement[[#This Row],[Destination]],tblDestinations[Destination],0)),"?"))</f>
        <v/>
      </c>
      <c r="M3905" s="64">
        <f>IF(tblMovement[[#This Row],[Material]]="","",IF(LEFT(tblMovement[[#This Row],[Material]],3)="Ore",1,0))</f>
        <v/>
      </c>
      <c r="N3905" s="59">
        <f>IF(OR(tblMovement[[#This Row],[Tonnes_t]]="",tblMovement[[#This Row],[Grade_gpt]]=""),0,tblMovement[[#This Row],[Tonnes_t]]*tblMovement[[#This Row],[Grade_gpt]]/cfg_TroyOz)</f>
        <v/>
      </c>
      <c r="O3905" s="59">
        <f>IF(tblMovement[[#This Row],[Is_Ore]]=1,tblMovement[[#This Row],[Contained_oz]],0)</f>
        <v/>
      </c>
    </row>
    <row r="3906">
      <c r="A3906" s="54" t="n"/>
      <c r="B3906" s="61" t="n"/>
      <c r="C3906" s="61" t="n"/>
      <c r="D3906" s="61" t="n"/>
      <c r="E3906" s="61" t="n"/>
      <c r="F3906" s="55" t="n"/>
      <c r="G3906" s="56" t="n"/>
      <c r="H3906" s="55" t="n"/>
      <c r="I3906" s="62" t="n"/>
      <c r="J3906" s="58" t="n"/>
      <c r="K3906" s="63">
        <f>IF(tblMovement[[#This Row],[Source]]="","",IFERROR(INDEX(tblSources[Type],MATCH(tblMovement[[#This Row],[Source]],tblSources[Source],0)),"?"))</f>
        <v/>
      </c>
      <c r="L3906" s="63">
        <f>IF(tblMovement[[#This Row],[Destination]]="","",IFERROR(INDEX(tblDestinations[Type],MATCH(tblMovement[[#This Row],[Destination]],tblDestinations[Destination],0)),"?"))</f>
        <v/>
      </c>
      <c r="M3906" s="64">
        <f>IF(tblMovement[[#This Row],[Material]]="","",IF(LEFT(tblMovement[[#This Row],[Material]],3)="Ore",1,0))</f>
        <v/>
      </c>
      <c r="N3906" s="59">
        <f>IF(OR(tblMovement[[#This Row],[Tonnes_t]]="",tblMovement[[#This Row],[Grade_gpt]]=""),0,tblMovement[[#This Row],[Tonnes_t]]*tblMovement[[#This Row],[Grade_gpt]]/cfg_TroyOz)</f>
        <v/>
      </c>
      <c r="O3906" s="59">
        <f>IF(tblMovement[[#This Row],[Is_Ore]]=1,tblMovement[[#This Row],[Contained_oz]],0)</f>
        <v/>
      </c>
    </row>
    <row r="3907">
      <c r="A3907" s="54" t="n"/>
      <c r="B3907" s="61" t="n"/>
      <c r="C3907" s="61" t="n"/>
      <c r="D3907" s="61" t="n"/>
      <c r="E3907" s="61" t="n"/>
      <c r="F3907" s="55" t="n"/>
      <c r="G3907" s="56" t="n"/>
      <c r="H3907" s="55" t="n"/>
      <c r="I3907" s="62" t="n"/>
      <c r="J3907" s="58" t="n"/>
      <c r="K3907" s="63">
        <f>IF(tblMovement[[#This Row],[Source]]="","",IFERROR(INDEX(tblSources[Type],MATCH(tblMovement[[#This Row],[Source]],tblSources[Source],0)),"?"))</f>
        <v/>
      </c>
      <c r="L3907" s="63">
        <f>IF(tblMovement[[#This Row],[Destination]]="","",IFERROR(INDEX(tblDestinations[Type],MATCH(tblMovement[[#This Row],[Destination]],tblDestinations[Destination],0)),"?"))</f>
        <v/>
      </c>
      <c r="M3907" s="64">
        <f>IF(tblMovement[[#This Row],[Material]]="","",IF(LEFT(tblMovement[[#This Row],[Material]],3)="Ore",1,0))</f>
        <v/>
      </c>
      <c r="N3907" s="59">
        <f>IF(OR(tblMovement[[#This Row],[Tonnes_t]]="",tblMovement[[#This Row],[Grade_gpt]]=""),0,tblMovement[[#This Row],[Tonnes_t]]*tblMovement[[#This Row],[Grade_gpt]]/cfg_TroyOz)</f>
        <v/>
      </c>
      <c r="O3907" s="59">
        <f>IF(tblMovement[[#This Row],[Is_Ore]]=1,tblMovement[[#This Row],[Contained_oz]],0)</f>
        <v/>
      </c>
    </row>
    <row r="3908">
      <c r="A3908" s="54" t="n"/>
      <c r="B3908" s="61" t="n"/>
      <c r="C3908" s="61" t="n"/>
      <c r="D3908" s="61" t="n"/>
      <c r="E3908" s="61" t="n"/>
      <c r="F3908" s="55" t="n"/>
      <c r="G3908" s="56" t="n"/>
      <c r="H3908" s="55" t="n"/>
      <c r="I3908" s="62" t="n"/>
      <c r="J3908" s="58" t="n"/>
      <c r="K3908" s="63">
        <f>IF(tblMovement[[#This Row],[Source]]="","",IFERROR(INDEX(tblSources[Type],MATCH(tblMovement[[#This Row],[Source]],tblSources[Source],0)),"?"))</f>
        <v/>
      </c>
      <c r="L3908" s="63">
        <f>IF(tblMovement[[#This Row],[Destination]]="","",IFERROR(INDEX(tblDestinations[Type],MATCH(tblMovement[[#This Row],[Destination]],tblDestinations[Destination],0)),"?"))</f>
        <v/>
      </c>
      <c r="M3908" s="64">
        <f>IF(tblMovement[[#This Row],[Material]]="","",IF(LEFT(tblMovement[[#This Row],[Material]],3)="Ore",1,0))</f>
        <v/>
      </c>
      <c r="N3908" s="59">
        <f>IF(OR(tblMovement[[#This Row],[Tonnes_t]]="",tblMovement[[#This Row],[Grade_gpt]]=""),0,tblMovement[[#This Row],[Tonnes_t]]*tblMovement[[#This Row],[Grade_gpt]]/cfg_TroyOz)</f>
        <v/>
      </c>
      <c r="O3908" s="59">
        <f>IF(tblMovement[[#This Row],[Is_Ore]]=1,tblMovement[[#This Row],[Contained_oz]],0)</f>
        <v/>
      </c>
    </row>
    <row r="3909">
      <c r="A3909" s="54" t="n"/>
      <c r="B3909" s="61" t="n"/>
      <c r="C3909" s="61" t="n"/>
      <c r="D3909" s="61" t="n"/>
      <c r="E3909" s="61" t="n"/>
      <c r="F3909" s="55" t="n"/>
      <c r="G3909" s="56" t="n"/>
      <c r="H3909" s="55" t="n"/>
      <c r="I3909" s="62" t="n"/>
      <c r="J3909" s="58" t="n"/>
      <c r="K3909" s="63">
        <f>IF(tblMovement[[#This Row],[Source]]="","",IFERROR(INDEX(tblSources[Type],MATCH(tblMovement[[#This Row],[Source]],tblSources[Source],0)),"?"))</f>
        <v/>
      </c>
      <c r="L3909" s="63">
        <f>IF(tblMovement[[#This Row],[Destination]]="","",IFERROR(INDEX(tblDestinations[Type],MATCH(tblMovement[[#This Row],[Destination]],tblDestinations[Destination],0)),"?"))</f>
        <v/>
      </c>
      <c r="M3909" s="64">
        <f>IF(tblMovement[[#This Row],[Material]]="","",IF(LEFT(tblMovement[[#This Row],[Material]],3)="Ore",1,0))</f>
        <v/>
      </c>
      <c r="N3909" s="59">
        <f>IF(OR(tblMovement[[#This Row],[Tonnes_t]]="",tblMovement[[#This Row],[Grade_gpt]]=""),0,tblMovement[[#This Row],[Tonnes_t]]*tblMovement[[#This Row],[Grade_gpt]]/cfg_TroyOz)</f>
        <v/>
      </c>
      <c r="O3909" s="59">
        <f>IF(tblMovement[[#This Row],[Is_Ore]]=1,tblMovement[[#This Row],[Contained_oz]],0)</f>
        <v/>
      </c>
    </row>
    <row r="3910">
      <c r="A3910" s="54" t="n"/>
      <c r="B3910" s="61" t="n"/>
      <c r="C3910" s="61" t="n"/>
      <c r="D3910" s="61" t="n"/>
      <c r="E3910" s="61" t="n"/>
      <c r="F3910" s="55" t="n"/>
      <c r="G3910" s="56" t="n"/>
      <c r="H3910" s="55" t="n"/>
      <c r="I3910" s="62" t="n"/>
      <c r="J3910" s="58" t="n"/>
      <c r="K3910" s="63">
        <f>IF(tblMovement[[#This Row],[Source]]="","",IFERROR(INDEX(tblSources[Type],MATCH(tblMovement[[#This Row],[Source]],tblSources[Source],0)),"?"))</f>
        <v/>
      </c>
      <c r="L3910" s="63">
        <f>IF(tblMovement[[#This Row],[Destination]]="","",IFERROR(INDEX(tblDestinations[Type],MATCH(tblMovement[[#This Row],[Destination]],tblDestinations[Destination],0)),"?"))</f>
        <v/>
      </c>
      <c r="M3910" s="64">
        <f>IF(tblMovement[[#This Row],[Material]]="","",IF(LEFT(tblMovement[[#This Row],[Material]],3)="Ore",1,0))</f>
        <v/>
      </c>
      <c r="N3910" s="59">
        <f>IF(OR(tblMovement[[#This Row],[Tonnes_t]]="",tblMovement[[#This Row],[Grade_gpt]]=""),0,tblMovement[[#This Row],[Tonnes_t]]*tblMovement[[#This Row],[Grade_gpt]]/cfg_TroyOz)</f>
        <v/>
      </c>
      <c r="O3910" s="59">
        <f>IF(tblMovement[[#This Row],[Is_Ore]]=1,tblMovement[[#This Row],[Contained_oz]],0)</f>
        <v/>
      </c>
    </row>
    <row r="3911">
      <c r="A3911" s="54" t="n"/>
      <c r="B3911" s="61" t="n"/>
      <c r="C3911" s="61" t="n"/>
      <c r="D3911" s="61" t="n"/>
      <c r="E3911" s="61" t="n"/>
      <c r="F3911" s="55" t="n"/>
      <c r="G3911" s="56" t="n"/>
      <c r="H3911" s="55" t="n"/>
      <c r="I3911" s="62" t="n"/>
      <c r="J3911" s="58" t="n"/>
      <c r="K3911" s="63">
        <f>IF(tblMovement[[#This Row],[Source]]="","",IFERROR(INDEX(tblSources[Type],MATCH(tblMovement[[#This Row],[Source]],tblSources[Source],0)),"?"))</f>
        <v/>
      </c>
      <c r="L3911" s="63">
        <f>IF(tblMovement[[#This Row],[Destination]]="","",IFERROR(INDEX(tblDestinations[Type],MATCH(tblMovement[[#This Row],[Destination]],tblDestinations[Destination],0)),"?"))</f>
        <v/>
      </c>
      <c r="M3911" s="64">
        <f>IF(tblMovement[[#This Row],[Material]]="","",IF(LEFT(tblMovement[[#This Row],[Material]],3)="Ore",1,0))</f>
        <v/>
      </c>
      <c r="N3911" s="59">
        <f>IF(OR(tblMovement[[#This Row],[Tonnes_t]]="",tblMovement[[#This Row],[Grade_gpt]]=""),0,tblMovement[[#This Row],[Tonnes_t]]*tblMovement[[#This Row],[Grade_gpt]]/cfg_TroyOz)</f>
        <v/>
      </c>
      <c r="O3911" s="59">
        <f>IF(tblMovement[[#This Row],[Is_Ore]]=1,tblMovement[[#This Row],[Contained_oz]],0)</f>
        <v/>
      </c>
    </row>
    <row r="3912">
      <c r="A3912" s="54" t="n"/>
      <c r="B3912" s="61" t="n"/>
      <c r="C3912" s="61" t="n"/>
      <c r="D3912" s="61" t="n"/>
      <c r="E3912" s="61" t="n"/>
      <c r="F3912" s="55" t="n"/>
      <c r="G3912" s="56" t="n"/>
      <c r="H3912" s="55" t="n"/>
      <c r="I3912" s="62" t="n"/>
      <c r="J3912" s="58" t="n"/>
      <c r="K3912" s="63">
        <f>IF(tblMovement[[#This Row],[Source]]="","",IFERROR(INDEX(tblSources[Type],MATCH(tblMovement[[#This Row],[Source]],tblSources[Source],0)),"?"))</f>
        <v/>
      </c>
      <c r="L3912" s="63">
        <f>IF(tblMovement[[#This Row],[Destination]]="","",IFERROR(INDEX(tblDestinations[Type],MATCH(tblMovement[[#This Row],[Destination]],tblDestinations[Destination],0)),"?"))</f>
        <v/>
      </c>
      <c r="M3912" s="64">
        <f>IF(tblMovement[[#This Row],[Material]]="","",IF(LEFT(tblMovement[[#This Row],[Material]],3)="Ore",1,0))</f>
        <v/>
      </c>
      <c r="N3912" s="59">
        <f>IF(OR(tblMovement[[#This Row],[Tonnes_t]]="",tblMovement[[#This Row],[Grade_gpt]]=""),0,tblMovement[[#This Row],[Tonnes_t]]*tblMovement[[#This Row],[Grade_gpt]]/cfg_TroyOz)</f>
        <v/>
      </c>
      <c r="O3912" s="59">
        <f>IF(tblMovement[[#This Row],[Is_Ore]]=1,tblMovement[[#This Row],[Contained_oz]],0)</f>
        <v/>
      </c>
    </row>
    <row r="3913">
      <c r="A3913" s="54" t="n"/>
      <c r="B3913" s="61" t="n"/>
      <c r="C3913" s="61" t="n"/>
      <c r="D3913" s="61" t="n"/>
      <c r="E3913" s="61" t="n"/>
      <c r="F3913" s="55" t="n"/>
      <c r="G3913" s="56" t="n"/>
      <c r="H3913" s="55" t="n"/>
      <c r="I3913" s="62" t="n"/>
      <c r="J3913" s="58" t="n"/>
      <c r="K3913" s="63">
        <f>IF(tblMovement[[#This Row],[Source]]="","",IFERROR(INDEX(tblSources[Type],MATCH(tblMovement[[#This Row],[Source]],tblSources[Source],0)),"?"))</f>
        <v/>
      </c>
      <c r="L3913" s="63">
        <f>IF(tblMovement[[#This Row],[Destination]]="","",IFERROR(INDEX(tblDestinations[Type],MATCH(tblMovement[[#This Row],[Destination]],tblDestinations[Destination],0)),"?"))</f>
        <v/>
      </c>
      <c r="M3913" s="64">
        <f>IF(tblMovement[[#This Row],[Material]]="","",IF(LEFT(tblMovement[[#This Row],[Material]],3)="Ore",1,0))</f>
        <v/>
      </c>
      <c r="N3913" s="59">
        <f>IF(OR(tblMovement[[#This Row],[Tonnes_t]]="",tblMovement[[#This Row],[Grade_gpt]]=""),0,tblMovement[[#This Row],[Tonnes_t]]*tblMovement[[#This Row],[Grade_gpt]]/cfg_TroyOz)</f>
        <v/>
      </c>
      <c r="O3913" s="59">
        <f>IF(tblMovement[[#This Row],[Is_Ore]]=1,tblMovement[[#This Row],[Contained_oz]],0)</f>
        <v/>
      </c>
    </row>
    <row r="3914">
      <c r="A3914" s="54" t="n"/>
      <c r="B3914" s="61" t="n"/>
      <c r="C3914" s="61" t="n"/>
      <c r="D3914" s="61" t="n"/>
      <c r="E3914" s="61" t="n"/>
      <c r="F3914" s="55" t="n"/>
      <c r="G3914" s="56" t="n"/>
      <c r="H3914" s="55" t="n"/>
      <c r="I3914" s="62" t="n"/>
      <c r="J3914" s="58" t="n"/>
      <c r="K3914" s="63">
        <f>IF(tblMovement[[#This Row],[Source]]="","",IFERROR(INDEX(tblSources[Type],MATCH(tblMovement[[#This Row],[Source]],tblSources[Source],0)),"?"))</f>
        <v/>
      </c>
      <c r="L3914" s="63">
        <f>IF(tblMovement[[#This Row],[Destination]]="","",IFERROR(INDEX(tblDestinations[Type],MATCH(tblMovement[[#This Row],[Destination]],tblDestinations[Destination],0)),"?"))</f>
        <v/>
      </c>
      <c r="M3914" s="64">
        <f>IF(tblMovement[[#This Row],[Material]]="","",IF(LEFT(tblMovement[[#This Row],[Material]],3)="Ore",1,0))</f>
        <v/>
      </c>
      <c r="N3914" s="59">
        <f>IF(OR(tblMovement[[#This Row],[Tonnes_t]]="",tblMovement[[#This Row],[Grade_gpt]]=""),0,tblMovement[[#This Row],[Tonnes_t]]*tblMovement[[#This Row],[Grade_gpt]]/cfg_TroyOz)</f>
        <v/>
      </c>
      <c r="O3914" s="59">
        <f>IF(tblMovement[[#This Row],[Is_Ore]]=1,tblMovement[[#This Row],[Contained_oz]],0)</f>
        <v/>
      </c>
    </row>
    <row r="3915">
      <c r="A3915" s="54" t="n"/>
      <c r="B3915" s="61" t="n"/>
      <c r="C3915" s="61" t="n"/>
      <c r="D3915" s="61" t="n"/>
      <c r="E3915" s="61" t="n"/>
      <c r="F3915" s="55" t="n"/>
      <c r="G3915" s="56" t="n"/>
      <c r="H3915" s="55" t="n"/>
      <c r="I3915" s="62" t="n"/>
      <c r="J3915" s="58" t="n"/>
      <c r="K3915" s="63">
        <f>IF(tblMovement[[#This Row],[Source]]="","",IFERROR(INDEX(tblSources[Type],MATCH(tblMovement[[#This Row],[Source]],tblSources[Source],0)),"?"))</f>
        <v/>
      </c>
      <c r="L3915" s="63">
        <f>IF(tblMovement[[#This Row],[Destination]]="","",IFERROR(INDEX(tblDestinations[Type],MATCH(tblMovement[[#This Row],[Destination]],tblDestinations[Destination],0)),"?"))</f>
        <v/>
      </c>
      <c r="M3915" s="64">
        <f>IF(tblMovement[[#This Row],[Material]]="","",IF(LEFT(tblMovement[[#This Row],[Material]],3)="Ore",1,0))</f>
        <v/>
      </c>
      <c r="N3915" s="59">
        <f>IF(OR(tblMovement[[#This Row],[Tonnes_t]]="",tblMovement[[#This Row],[Grade_gpt]]=""),0,tblMovement[[#This Row],[Tonnes_t]]*tblMovement[[#This Row],[Grade_gpt]]/cfg_TroyOz)</f>
        <v/>
      </c>
      <c r="O3915" s="59">
        <f>IF(tblMovement[[#This Row],[Is_Ore]]=1,tblMovement[[#This Row],[Contained_oz]],0)</f>
        <v/>
      </c>
    </row>
    <row r="3916">
      <c r="A3916" s="54" t="n"/>
      <c r="B3916" s="61" t="n"/>
      <c r="C3916" s="61" t="n"/>
      <c r="D3916" s="61" t="n"/>
      <c r="E3916" s="61" t="n"/>
      <c r="F3916" s="55" t="n"/>
      <c r="G3916" s="56" t="n"/>
      <c r="H3916" s="55" t="n"/>
      <c r="I3916" s="62" t="n"/>
      <c r="J3916" s="58" t="n"/>
      <c r="K3916" s="63">
        <f>IF(tblMovement[[#This Row],[Source]]="","",IFERROR(INDEX(tblSources[Type],MATCH(tblMovement[[#This Row],[Source]],tblSources[Source],0)),"?"))</f>
        <v/>
      </c>
      <c r="L3916" s="63">
        <f>IF(tblMovement[[#This Row],[Destination]]="","",IFERROR(INDEX(tblDestinations[Type],MATCH(tblMovement[[#This Row],[Destination]],tblDestinations[Destination],0)),"?"))</f>
        <v/>
      </c>
      <c r="M3916" s="64">
        <f>IF(tblMovement[[#This Row],[Material]]="","",IF(LEFT(tblMovement[[#This Row],[Material]],3)="Ore",1,0))</f>
        <v/>
      </c>
      <c r="N3916" s="59">
        <f>IF(OR(tblMovement[[#This Row],[Tonnes_t]]="",tblMovement[[#This Row],[Grade_gpt]]=""),0,tblMovement[[#This Row],[Tonnes_t]]*tblMovement[[#This Row],[Grade_gpt]]/cfg_TroyOz)</f>
        <v/>
      </c>
      <c r="O3916" s="59">
        <f>IF(tblMovement[[#This Row],[Is_Ore]]=1,tblMovement[[#This Row],[Contained_oz]],0)</f>
        <v/>
      </c>
    </row>
    <row r="3917">
      <c r="A3917" s="54" t="n"/>
      <c r="B3917" s="61" t="n"/>
      <c r="C3917" s="61" t="n"/>
      <c r="D3917" s="61" t="n"/>
      <c r="E3917" s="61" t="n"/>
      <c r="F3917" s="55" t="n"/>
      <c r="G3917" s="56" t="n"/>
      <c r="H3917" s="55" t="n"/>
      <c r="I3917" s="62" t="n"/>
      <c r="J3917" s="58" t="n"/>
      <c r="K3917" s="63">
        <f>IF(tblMovement[[#This Row],[Source]]="","",IFERROR(INDEX(tblSources[Type],MATCH(tblMovement[[#This Row],[Source]],tblSources[Source],0)),"?"))</f>
        <v/>
      </c>
      <c r="L3917" s="63">
        <f>IF(tblMovement[[#This Row],[Destination]]="","",IFERROR(INDEX(tblDestinations[Type],MATCH(tblMovement[[#This Row],[Destination]],tblDestinations[Destination],0)),"?"))</f>
        <v/>
      </c>
      <c r="M3917" s="64">
        <f>IF(tblMovement[[#This Row],[Material]]="","",IF(LEFT(tblMovement[[#This Row],[Material]],3)="Ore",1,0))</f>
        <v/>
      </c>
      <c r="N3917" s="59">
        <f>IF(OR(tblMovement[[#This Row],[Tonnes_t]]="",tblMovement[[#This Row],[Grade_gpt]]=""),0,tblMovement[[#This Row],[Tonnes_t]]*tblMovement[[#This Row],[Grade_gpt]]/cfg_TroyOz)</f>
        <v/>
      </c>
      <c r="O3917" s="59">
        <f>IF(tblMovement[[#This Row],[Is_Ore]]=1,tblMovement[[#This Row],[Contained_oz]],0)</f>
        <v/>
      </c>
    </row>
    <row r="3918">
      <c r="A3918" s="54" t="n"/>
      <c r="B3918" s="61" t="n"/>
      <c r="C3918" s="61" t="n"/>
      <c r="D3918" s="61" t="n"/>
      <c r="E3918" s="61" t="n"/>
      <c r="F3918" s="55" t="n"/>
      <c r="G3918" s="56" t="n"/>
      <c r="H3918" s="55" t="n"/>
      <c r="I3918" s="62" t="n"/>
      <c r="J3918" s="58" t="n"/>
      <c r="K3918" s="63">
        <f>IF(tblMovement[[#This Row],[Source]]="","",IFERROR(INDEX(tblSources[Type],MATCH(tblMovement[[#This Row],[Source]],tblSources[Source],0)),"?"))</f>
        <v/>
      </c>
      <c r="L3918" s="63">
        <f>IF(tblMovement[[#This Row],[Destination]]="","",IFERROR(INDEX(tblDestinations[Type],MATCH(tblMovement[[#This Row],[Destination]],tblDestinations[Destination],0)),"?"))</f>
        <v/>
      </c>
      <c r="M3918" s="64">
        <f>IF(tblMovement[[#This Row],[Material]]="","",IF(LEFT(tblMovement[[#This Row],[Material]],3)="Ore",1,0))</f>
        <v/>
      </c>
      <c r="N3918" s="59">
        <f>IF(OR(tblMovement[[#This Row],[Tonnes_t]]="",tblMovement[[#This Row],[Grade_gpt]]=""),0,tblMovement[[#This Row],[Tonnes_t]]*tblMovement[[#This Row],[Grade_gpt]]/cfg_TroyOz)</f>
        <v/>
      </c>
      <c r="O3918" s="59">
        <f>IF(tblMovement[[#This Row],[Is_Ore]]=1,tblMovement[[#This Row],[Contained_oz]],0)</f>
        <v/>
      </c>
    </row>
    <row r="3919">
      <c r="A3919" s="54" t="n"/>
      <c r="B3919" s="61" t="n"/>
      <c r="C3919" s="61" t="n"/>
      <c r="D3919" s="61" t="n"/>
      <c r="E3919" s="61" t="n"/>
      <c r="F3919" s="55" t="n"/>
      <c r="G3919" s="56" t="n"/>
      <c r="H3919" s="55" t="n"/>
      <c r="I3919" s="62" t="n"/>
      <c r="J3919" s="58" t="n"/>
      <c r="K3919" s="63">
        <f>IF(tblMovement[[#This Row],[Source]]="","",IFERROR(INDEX(tblSources[Type],MATCH(tblMovement[[#This Row],[Source]],tblSources[Source],0)),"?"))</f>
        <v/>
      </c>
      <c r="L3919" s="63">
        <f>IF(tblMovement[[#This Row],[Destination]]="","",IFERROR(INDEX(tblDestinations[Type],MATCH(tblMovement[[#This Row],[Destination]],tblDestinations[Destination],0)),"?"))</f>
        <v/>
      </c>
      <c r="M3919" s="64">
        <f>IF(tblMovement[[#This Row],[Material]]="","",IF(LEFT(tblMovement[[#This Row],[Material]],3)="Ore",1,0))</f>
        <v/>
      </c>
      <c r="N3919" s="59">
        <f>IF(OR(tblMovement[[#This Row],[Tonnes_t]]="",tblMovement[[#This Row],[Grade_gpt]]=""),0,tblMovement[[#This Row],[Tonnes_t]]*tblMovement[[#This Row],[Grade_gpt]]/cfg_TroyOz)</f>
        <v/>
      </c>
      <c r="O3919" s="59">
        <f>IF(tblMovement[[#This Row],[Is_Ore]]=1,tblMovement[[#This Row],[Contained_oz]],0)</f>
        <v/>
      </c>
    </row>
    <row r="3920">
      <c r="A3920" s="54" t="n"/>
      <c r="B3920" s="61" t="n"/>
      <c r="C3920" s="61" t="n"/>
      <c r="D3920" s="61" t="n"/>
      <c r="E3920" s="61" t="n"/>
      <c r="F3920" s="55" t="n"/>
      <c r="G3920" s="56" t="n"/>
      <c r="H3920" s="55" t="n"/>
      <c r="I3920" s="62" t="n"/>
      <c r="J3920" s="58" t="n"/>
      <c r="K3920" s="63">
        <f>IF(tblMovement[[#This Row],[Source]]="","",IFERROR(INDEX(tblSources[Type],MATCH(tblMovement[[#This Row],[Source]],tblSources[Source],0)),"?"))</f>
        <v/>
      </c>
      <c r="L3920" s="63">
        <f>IF(tblMovement[[#This Row],[Destination]]="","",IFERROR(INDEX(tblDestinations[Type],MATCH(tblMovement[[#This Row],[Destination]],tblDestinations[Destination],0)),"?"))</f>
        <v/>
      </c>
      <c r="M3920" s="64">
        <f>IF(tblMovement[[#This Row],[Material]]="","",IF(LEFT(tblMovement[[#This Row],[Material]],3)="Ore",1,0))</f>
        <v/>
      </c>
      <c r="N3920" s="59">
        <f>IF(OR(tblMovement[[#This Row],[Tonnes_t]]="",tblMovement[[#This Row],[Grade_gpt]]=""),0,tblMovement[[#This Row],[Tonnes_t]]*tblMovement[[#This Row],[Grade_gpt]]/cfg_TroyOz)</f>
        <v/>
      </c>
      <c r="O3920" s="59">
        <f>IF(tblMovement[[#This Row],[Is_Ore]]=1,tblMovement[[#This Row],[Contained_oz]],0)</f>
        <v/>
      </c>
    </row>
    <row r="3921">
      <c r="A3921" s="54" t="n"/>
      <c r="B3921" s="61" t="n"/>
      <c r="C3921" s="61" t="n"/>
      <c r="D3921" s="61" t="n"/>
      <c r="E3921" s="61" t="n"/>
      <c r="F3921" s="55" t="n"/>
      <c r="G3921" s="56" t="n"/>
      <c r="H3921" s="55" t="n"/>
      <c r="I3921" s="62" t="n"/>
      <c r="J3921" s="58" t="n"/>
      <c r="K3921" s="63">
        <f>IF(tblMovement[[#This Row],[Source]]="","",IFERROR(INDEX(tblSources[Type],MATCH(tblMovement[[#This Row],[Source]],tblSources[Source],0)),"?"))</f>
        <v/>
      </c>
      <c r="L3921" s="63">
        <f>IF(tblMovement[[#This Row],[Destination]]="","",IFERROR(INDEX(tblDestinations[Type],MATCH(tblMovement[[#This Row],[Destination]],tblDestinations[Destination],0)),"?"))</f>
        <v/>
      </c>
      <c r="M3921" s="64">
        <f>IF(tblMovement[[#This Row],[Material]]="","",IF(LEFT(tblMovement[[#This Row],[Material]],3)="Ore",1,0))</f>
        <v/>
      </c>
      <c r="N3921" s="59">
        <f>IF(OR(tblMovement[[#This Row],[Tonnes_t]]="",tblMovement[[#This Row],[Grade_gpt]]=""),0,tblMovement[[#This Row],[Tonnes_t]]*tblMovement[[#This Row],[Grade_gpt]]/cfg_TroyOz)</f>
        <v/>
      </c>
      <c r="O3921" s="59">
        <f>IF(tblMovement[[#This Row],[Is_Ore]]=1,tblMovement[[#This Row],[Contained_oz]],0)</f>
        <v/>
      </c>
    </row>
    <row r="3922">
      <c r="A3922" s="54" t="n"/>
      <c r="B3922" s="61" t="n"/>
      <c r="C3922" s="61" t="n"/>
      <c r="D3922" s="61" t="n"/>
      <c r="E3922" s="61" t="n"/>
      <c r="F3922" s="55" t="n"/>
      <c r="G3922" s="56" t="n"/>
      <c r="H3922" s="55" t="n"/>
      <c r="I3922" s="62" t="n"/>
      <c r="J3922" s="58" t="n"/>
      <c r="K3922" s="63">
        <f>IF(tblMovement[[#This Row],[Source]]="","",IFERROR(INDEX(tblSources[Type],MATCH(tblMovement[[#This Row],[Source]],tblSources[Source],0)),"?"))</f>
        <v/>
      </c>
      <c r="L3922" s="63">
        <f>IF(tblMovement[[#This Row],[Destination]]="","",IFERROR(INDEX(tblDestinations[Type],MATCH(tblMovement[[#This Row],[Destination]],tblDestinations[Destination],0)),"?"))</f>
        <v/>
      </c>
      <c r="M3922" s="64">
        <f>IF(tblMovement[[#This Row],[Material]]="","",IF(LEFT(tblMovement[[#This Row],[Material]],3)="Ore",1,0))</f>
        <v/>
      </c>
      <c r="N3922" s="59">
        <f>IF(OR(tblMovement[[#This Row],[Tonnes_t]]="",tblMovement[[#This Row],[Grade_gpt]]=""),0,tblMovement[[#This Row],[Tonnes_t]]*tblMovement[[#This Row],[Grade_gpt]]/cfg_TroyOz)</f>
        <v/>
      </c>
      <c r="O3922" s="59">
        <f>IF(tblMovement[[#This Row],[Is_Ore]]=1,tblMovement[[#This Row],[Contained_oz]],0)</f>
        <v/>
      </c>
    </row>
    <row r="3923">
      <c r="A3923" s="54" t="n"/>
      <c r="B3923" s="61" t="n"/>
      <c r="C3923" s="61" t="n"/>
      <c r="D3923" s="61" t="n"/>
      <c r="E3923" s="61" t="n"/>
      <c r="F3923" s="55" t="n"/>
      <c r="G3923" s="56" t="n"/>
      <c r="H3923" s="55" t="n"/>
      <c r="I3923" s="62" t="n"/>
      <c r="J3923" s="58" t="n"/>
      <c r="K3923" s="63">
        <f>IF(tblMovement[[#This Row],[Source]]="","",IFERROR(INDEX(tblSources[Type],MATCH(tblMovement[[#This Row],[Source]],tblSources[Source],0)),"?"))</f>
        <v/>
      </c>
      <c r="L3923" s="63">
        <f>IF(tblMovement[[#This Row],[Destination]]="","",IFERROR(INDEX(tblDestinations[Type],MATCH(tblMovement[[#This Row],[Destination]],tblDestinations[Destination],0)),"?"))</f>
        <v/>
      </c>
      <c r="M3923" s="64">
        <f>IF(tblMovement[[#This Row],[Material]]="","",IF(LEFT(tblMovement[[#This Row],[Material]],3)="Ore",1,0))</f>
        <v/>
      </c>
      <c r="N3923" s="59">
        <f>IF(OR(tblMovement[[#This Row],[Tonnes_t]]="",tblMovement[[#This Row],[Grade_gpt]]=""),0,tblMovement[[#This Row],[Tonnes_t]]*tblMovement[[#This Row],[Grade_gpt]]/cfg_TroyOz)</f>
        <v/>
      </c>
      <c r="O3923" s="59">
        <f>IF(tblMovement[[#This Row],[Is_Ore]]=1,tblMovement[[#This Row],[Contained_oz]],0)</f>
        <v/>
      </c>
    </row>
    <row r="3924">
      <c r="A3924" s="54" t="n"/>
      <c r="B3924" s="61" t="n"/>
      <c r="C3924" s="61" t="n"/>
      <c r="D3924" s="61" t="n"/>
      <c r="E3924" s="61" t="n"/>
      <c r="F3924" s="55" t="n"/>
      <c r="G3924" s="56" t="n"/>
      <c r="H3924" s="55" t="n"/>
      <c r="I3924" s="62" t="n"/>
      <c r="J3924" s="58" t="n"/>
      <c r="K3924" s="63">
        <f>IF(tblMovement[[#This Row],[Source]]="","",IFERROR(INDEX(tblSources[Type],MATCH(tblMovement[[#This Row],[Source]],tblSources[Source],0)),"?"))</f>
        <v/>
      </c>
      <c r="L3924" s="63">
        <f>IF(tblMovement[[#This Row],[Destination]]="","",IFERROR(INDEX(tblDestinations[Type],MATCH(tblMovement[[#This Row],[Destination]],tblDestinations[Destination],0)),"?"))</f>
        <v/>
      </c>
      <c r="M3924" s="64">
        <f>IF(tblMovement[[#This Row],[Material]]="","",IF(LEFT(tblMovement[[#This Row],[Material]],3)="Ore",1,0))</f>
        <v/>
      </c>
      <c r="N3924" s="59">
        <f>IF(OR(tblMovement[[#This Row],[Tonnes_t]]="",tblMovement[[#This Row],[Grade_gpt]]=""),0,tblMovement[[#This Row],[Tonnes_t]]*tblMovement[[#This Row],[Grade_gpt]]/cfg_TroyOz)</f>
        <v/>
      </c>
      <c r="O3924" s="59">
        <f>IF(tblMovement[[#This Row],[Is_Ore]]=1,tblMovement[[#This Row],[Contained_oz]],0)</f>
        <v/>
      </c>
    </row>
    <row r="3925">
      <c r="A3925" s="54" t="n"/>
      <c r="B3925" s="61" t="n"/>
      <c r="C3925" s="61" t="n"/>
      <c r="D3925" s="61" t="n"/>
      <c r="E3925" s="61" t="n"/>
      <c r="F3925" s="55" t="n"/>
      <c r="G3925" s="56" t="n"/>
      <c r="H3925" s="55" t="n"/>
      <c r="I3925" s="62" t="n"/>
      <c r="J3925" s="58" t="n"/>
      <c r="K3925" s="63">
        <f>IF(tblMovement[[#This Row],[Source]]="","",IFERROR(INDEX(tblSources[Type],MATCH(tblMovement[[#This Row],[Source]],tblSources[Source],0)),"?"))</f>
        <v/>
      </c>
      <c r="L3925" s="63">
        <f>IF(tblMovement[[#This Row],[Destination]]="","",IFERROR(INDEX(tblDestinations[Type],MATCH(tblMovement[[#This Row],[Destination]],tblDestinations[Destination],0)),"?"))</f>
        <v/>
      </c>
      <c r="M3925" s="64">
        <f>IF(tblMovement[[#This Row],[Material]]="","",IF(LEFT(tblMovement[[#This Row],[Material]],3)="Ore",1,0))</f>
        <v/>
      </c>
      <c r="N3925" s="59">
        <f>IF(OR(tblMovement[[#This Row],[Tonnes_t]]="",tblMovement[[#This Row],[Grade_gpt]]=""),0,tblMovement[[#This Row],[Tonnes_t]]*tblMovement[[#This Row],[Grade_gpt]]/cfg_TroyOz)</f>
        <v/>
      </c>
      <c r="O3925" s="59">
        <f>IF(tblMovement[[#This Row],[Is_Ore]]=1,tblMovement[[#This Row],[Contained_oz]],0)</f>
        <v/>
      </c>
    </row>
    <row r="3926">
      <c r="A3926" s="54" t="n"/>
      <c r="B3926" s="61" t="n"/>
      <c r="C3926" s="61" t="n"/>
      <c r="D3926" s="61" t="n"/>
      <c r="E3926" s="61" t="n"/>
      <c r="F3926" s="55" t="n"/>
      <c r="G3926" s="56" t="n"/>
      <c r="H3926" s="55" t="n"/>
      <c r="I3926" s="62" t="n"/>
      <c r="J3926" s="58" t="n"/>
      <c r="K3926" s="63">
        <f>IF(tblMovement[[#This Row],[Source]]="","",IFERROR(INDEX(tblSources[Type],MATCH(tblMovement[[#This Row],[Source]],tblSources[Source],0)),"?"))</f>
        <v/>
      </c>
      <c r="L3926" s="63">
        <f>IF(tblMovement[[#This Row],[Destination]]="","",IFERROR(INDEX(tblDestinations[Type],MATCH(tblMovement[[#This Row],[Destination]],tblDestinations[Destination],0)),"?"))</f>
        <v/>
      </c>
      <c r="M3926" s="64">
        <f>IF(tblMovement[[#This Row],[Material]]="","",IF(LEFT(tblMovement[[#This Row],[Material]],3)="Ore",1,0))</f>
        <v/>
      </c>
      <c r="N3926" s="59">
        <f>IF(OR(tblMovement[[#This Row],[Tonnes_t]]="",tblMovement[[#This Row],[Grade_gpt]]=""),0,tblMovement[[#This Row],[Tonnes_t]]*tblMovement[[#This Row],[Grade_gpt]]/cfg_TroyOz)</f>
        <v/>
      </c>
      <c r="O3926" s="59">
        <f>IF(tblMovement[[#This Row],[Is_Ore]]=1,tblMovement[[#This Row],[Contained_oz]],0)</f>
        <v/>
      </c>
    </row>
    <row r="3927">
      <c r="A3927" s="54" t="n"/>
      <c r="B3927" s="61" t="n"/>
      <c r="C3927" s="61" t="n"/>
      <c r="D3927" s="61" t="n"/>
      <c r="E3927" s="61" t="n"/>
      <c r="F3927" s="55" t="n"/>
      <c r="G3927" s="56" t="n"/>
      <c r="H3927" s="55" t="n"/>
      <c r="I3927" s="62" t="n"/>
      <c r="J3927" s="58" t="n"/>
      <c r="K3927" s="63">
        <f>IF(tblMovement[[#This Row],[Source]]="","",IFERROR(INDEX(tblSources[Type],MATCH(tblMovement[[#This Row],[Source]],tblSources[Source],0)),"?"))</f>
        <v/>
      </c>
      <c r="L3927" s="63">
        <f>IF(tblMovement[[#This Row],[Destination]]="","",IFERROR(INDEX(tblDestinations[Type],MATCH(tblMovement[[#This Row],[Destination]],tblDestinations[Destination],0)),"?"))</f>
        <v/>
      </c>
      <c r="M3927" s="64">
        <f>IF(tblMovement[[#This Row],[Material]]="","",IF(LEFT(tblMovement[[#This Row],[Material]],3)="Ore",1,0))</f>
        <v/>
      </c>
      <c r="N3927" s="59">
        <f>IF(OR(tblMovement[[#This Row],[Tonnes_t]]="",tblMovement[[#This Row],[Grade_gpt]]=""),0,tblMovement[[#This Row],[Tonnes_t]]*tblMovement[[#This Row],[Grade_gpt]]/cfg_TroyOz)</f>
        <v/>
      </c>
      <c r="O3927" s="59">
        <f>IF(tblMovement[[#This Row],[Is_Ore]]=1,tblMovement[[#This Row],[Contained_oz]],0)</f>
        <v/>
      </c>
    </row>
    <row r="3928">
      <c r="A3928" s="54" t="n"/>
      <c r="B3928" s="61" t="n"/>
      <c r="C3928" s="61" t="n"/>
      <c r="D3928" s="61" t="n"/>
      <c r="E3928" s="61" t="n"/>
      <c r="F3928" s="55" t="n"/>
      <c r="G3928" s="56" t="n"/>
      <c r="H3928" s="55" t="n"/>
      <c r="I3928" s="62" t="n"/>
      <c r="J3928" s="58" t="n"/>
      <c r="K3928" s="63">
        <f>IF(tblMovement[[#This Row],[Source]]="","",IFERROR(INDEX(tblSources[Type],MATCH(tblMovement[[#This Row],[Source]],tblSources[Source],0)),"?"))</f>
        <v/>
      </c>
      <c r="L3928" s="63">
        <f>IF(tblMovement[[#This Row],[Destination]]="","",IFERROR(INDEX(tblDestinations[Type],MATCH(tblMovement[[#This Row],[Destination]],tblDestinations[Destination],0)),"?"))</f>
        <v/>
      </c>
      <c r="M3928" s="64">
        <f>IF(tblMovement[[#This Row],[Material]]="","",IF(LEFT(tblMovement[[#This Row],[Material]],3)="Ore",1,0))</f>
        <v/>
      </c>
      <c r="N3928" s="59">
        <f>IF(OR(tblMovement[[#This Row],[Tonnes_t]]="",tblMovement[[#This Row],[Grade_gpt]]=""),0,tblMovement[[#This Row],[Tonnes_t]]*tblMovement[[#This Row],[Grade_gpt]]/cfg_TroyOz)</f>
        <v/>
      </c>
      <c r="O3928" s="59">
        <f>IF(tblMovement[[#This Row],[Is_Ore]]=1,tblMovement[[#This Row],[Contained_oz]],0)</f>
        <v/>
      </c>
    </row>
    <row r="3929">
      <c r="A3929" s="54" t="n"/>
      <c r="B3929" s="61" t="n"/>
      <c r="C3929" s="61" t="n"/>
      <c r="D3929" s="61" t="n"/>
      <c r="E3929" s="61" t="n"/>
      <c r="F3929" s="55" t="n"/>
      <c r="G3929" s="56" t="n"/>
      <c r="H3929" s="55" t="n"/>
      <c r="I3929" s="62" t="n"/>
      <c r="J3929" s="58" t="n"/>
      <c r="K3929" s="63">
        <f>IF(tblMovement[[#This Row],[Source]]="","",IFERROR(INDEX(tblSources[Type],MATCH(tblMovement[[#This Row],[Source]],tblSources[Source],0)),"?"))</f>
        <v/>
      </c>
      <c r="L3929" s="63">
        <f>IF(tblMovement[[#This Row],[Destination]]="","",IFERROR(INDEX(tblDestinations[Type],MATCH(tblMovement[[#This Row],[Destination]],tblDestinations[Destination],0)),"?"))</f>
        <v/>
      </c>
      <c r="M3929" s="64">
        <f>IF(tblMovement[[#This Row],[Material]]="","",IF(LEFT(tblMovement[[#This Row],[Material]],3)="Ore",1,0))</f>
        <v/>
      </c>
      <c r="N3929" s="59">
        <f>IF(OR(tblMovement[[#This Row],[Tonnes_t]]="",tblMovement[[#This Row],[Grade_gpt]]=""),0,tblMovement[[#This Row],[Tonnes_t]]*tblMovement[[#This Row],[Grade_gpt]]/cfg_TroyOz)</f>
        <v/>
      </c>
      <c r="O3929" s="59">
        <f>IF(tblMovement[[#This Row],[Is_Ore]]=1,tblMovement[[#This Row],[Contained_oz]],0)</f>
        <v/>
      </c>
    </row>
    <row r="3930">
      <c r="A3930" s="54" t="n"/>
      <c r="B3930" s="61" t="n"/>
      <c r="C3930" s="61" t="n"/>
      <c r="D3930" s="61" t="n"/>
      <c r="E3930" s="61" t="n"/>
      <c r="F3930" s="55" t="n"/>
      <c r="G3930" s="56" t="n"/>
      <c r="H3930" s="55" t="n"/>
      <c r="I3930" s="62" t="n"/>
      <c r="J3930" s="58" t="n"/>
      <c r="K3930" s="63">
        <f>IF(tblMovement[[#This Row],[Source]]="","",IFERROR(INDEX(tblSources[Type],MATCH(tblMovement[[#This Row],[Source]],tblSources[Source],0)),"?"))</f>
        <v/>
      </c>
      <c r="L3930" s="63">
        <f>IF(tblMovement[[#This Row],[Destination]]="","",IFERROR(INDEX(tblDestinations[Type],MATCH(tblMovement[[#This Row],[Destination]],tblDestinations[Destination],0)),"?"))</f>
        <v/>
      </c>
      <c r="M3930" s="64">
        <f>IF(tblMovement[[#This Row],[Material]]="","",IF(LEFT(tblMovement[[#This Row],[Material]],3)="Ore",1,0))</f>
        <v/>
      </c>
      <c r="N3930" s="59">
        <f>IF(OR(tblMovement[[#This Row],[Tonnes_t]]="",tblMovement[[#This Row],[Grade_gpt]]=""),0,tblMovement[[#This Row],[Tonnes_t]]*tblMovement[[#This Row],[Grade_gpt]]/cfg_TroyOz)</f>
        <v/>
      </c>
      <c r="O3930" s="59">
        <f>IF(tblMovement[[#This Row],[Is_Ore]]=1,tblMovement[[#This Row],[Contained_oz]],0)</f>
        <v/>
      </c>
    </row>
    <row r="3931">
      <c r="A3931" s="54" t="n"/>
      <c r="B3931" s="61" t="n"/>
      <c r="C3931" s="61" t="n"/>
      <c r="D3931" s="61" t="n"/>
      <c r="E3931" s="61" t="n"/>
      <c r="F3931" s="55" t="n"/>
      <c r="G3931" s="56" t="n"/>
      <c r="H3931" s="55" t="n"/>
      <c r="I3931" s="62" t="n"/>
      <c r="J3931" s="58" t="n"/>
      <c r="K3931" s="63">
        <f>IF(tblMovement[[#This Row],[Source]]="","",IFERROR(INDEX(tblSources[Type],MATCH(tblMovement[[#This Row],[Source]],tblSources[Source],0)),"?"))</f>
        <v/>
      </c>
      <c r="L3931" s="63">
        <f>IF(tblMovement[[#This Row],[Destination]]="","",IFERROR(INDEX(tblDestinations[Type],MATCH(tblMovement[[#This Row],[Destination]],tblDestinations[Destination],0)),"?"))</f>
        <v/>
      </c>
      <c r="M3931" s="64">
        <f>IF(tblMovement[[#This Row],[Material]]="","",IF(LEFT(tblMovement[[#This Row],[Material]],3)="Ore",1,0))</f>
        <v/>
      </c>
      <c r="N3931" s="59">
        <f>IF(OR(tblMovement[[#This Row],[Tonnes_t]]="",tblMovement[[#This Row],[Grade_gpt]]=""),0,tblMovement[[#This Row],[Tonnes_t]]*tblMovement[[#This Row],[Grade_gpt]]/cfg_TroyOz)</f>
        <v/>
      </c>
      <c r="O3931" s="59">
        <f>IF(tblMovement[[#This Row],[Is_Ore]]=1,tblMovement[[#This Row],[Contained_oz]],0)</f>
        <v/>
      </c>
    </row>
    <row r="3932">
      <c r="A3932" s="54" t="n"/>
      <c r="B3932" s="61" t="n"/>
      <c r="C3932" s="61" t="n"/>
      <c r="D3932" s="61" t="n"/>
      <c r="E3932" s="61" t="n"/>
      <c r="F3932" s="55" t="n"/>
      <c r="G3932" s="56" t="n"/>
      <c r="H3932" s="55" t="n"/>
      <c r="I3932" s="62" t="n"/>
      <c r="J3932" s="58" t="n"/>
      <c r="K3932" s="63">
        <f>IF(tblMovement[[#This Row],[Source]]="","",IFERROR(INDEX(tblSources[Type],MATCH(tblMovement[[#This Row],[Source]],tblSources[Source],0)),"?"))</f>
        <v/>
      </c>
      <c r="L3932" s="63">
        <f>IF(tblMovement[[#This Row],[Destination]]="","",IFERROR(INDEX(tblDestinations[Type],MATCH(tblMovement[[#This Row],[Destination]],tblDestinations[Destination],0)),"?"))</f>
        <v/>
      </c>
      <c r="M3932" s="64">
        <f>IF(tblMovement[[#This Row],[Material]]="","",IF(LEFT(tblMovement[[#This Row],[Material]],3)="Ore",1,0))</f>
        <v/>
      </c>
      <c r="N3932" s="59">
        <f>IF(OR(tblMovement[[#This Row],[Tonnes_t]]="",tblMovement[[#This Row],[Grade_gpt]]=""),0,tblMovement[[#This Row],[Tonnes_t]]*tblMovement[[#This Row],[Grade_gpt]]/cfg_TroyOz)</f>
        <v/>
      </c>
      <c r="O3932" s="59">
        <f>IF(tblMovement[[#This Row],[Is_Ore]]=1,tblMovement[[#This Row],[Contained_oz]],0)</f>
        <v/>
      </c>
    </row>
    <row r="3933">
      <c r="A3933" s="54" t="n"/>
      <c r="B3933" s="61" t="n"/>
      <c r="C3933" s="61" t="n"/>
      <c r="D3933" s="61" t="n"/>
      <c r="E3933" s="61" t="n"/>
      <c r="F3933" s="55" t="n"/>
      <c r="G3933" s="56" t="n"/>
      <c r="H3933" s="55" t="n"/>
      <c r="I3933" s="62" t="n"/>
      <c r="J3933" s="58" t="n"/>
      <c r="K3933" s="63">
        <f>IF(tblMovement[[#This Row],[Source]]="","",IFERROR(INDEX(tblSources[Type],MATCH(tblMovement[[#This Row],[Source]],tblSources[Source],0)),"?"))</f>
        <v/>
      </c>
      <c r="L3933" s="63">
        <f>IF(tblMovement[[#This Row],[Destination]]="","",IFERROR(INDEX(tblDestinations[Type],MATCH(tblMovement[[#This Row],[Destination]],tblDestinations[Destination],0)),"?"))</f>
        <v/>
      </c>
      <c r="M3933" s="64">
        <f>IF(tblMovement[[#This Row],[Material]]="","",IF(LEFT(tblMovement[[#This Row],[Material]],3)="Ore",1,0))</f>
        <v/>
      </c>
      <c r="N3933" s="59">
        <f>IF(OR(tblMovement[[#This Row],[Tonnes_t]]="",tblMovement[[#This Row],[Grade_gpt]]=""),0,tblMovement[[#This Row],[Tonnes_t]]*tblMovement[[#This Row],[Grade_gpt]]/cfg_TroyOz)</f>
        <v/>
      </c>
      <c r="O3933" s="59">
        <f>IF(tblMovement[[#This Row],[Is_Ore]]=1,tblMovement[[#This Row],[Contained_oz]],0)</f>
        <v/>
      </c>
    </row>
    <row r="3934">
      <c r="A3934" s="54" t="n"/>
      <c r="B3934" s="61" t="n"/>
      <c r="C3934" s="61" t="n"/>
      <c r="D3934" s="61" t="n"/>
      <c r="E3934" s="61" t="n"/>
      <c r="F3934" s="55" t="n"/>
      <c r="G3934" s="56" t="n"/>
      <c r="H3934" s="55" t="n"/>
      <c r="I3934" s="62" t="n"/>
      <c r="J3934" s="58" t="n"/>
      <c r="K3934" s="63">
        <f>IF(tblMovement[[#This Row],[Source]]="","",IFERROR(INDEX(tblSources[Type],MATCH(tblMovement[[#This Row],[Source]],tblSources[Source],0)),"?"))</f>
        <v/>
      </c>
      <c r="L3934" s="63">
        <f>IF(tblMovement[[#This Row],[Destination]]="","",IFERROR(INDEX(tblDestinations[Type],MATCH(tblMovement[[#This Row],[Destination]],tblDestinations[Destination],0)),"?"))</f>
        <v/>
      </c>
      <c r="M3934" s="64">
        <f>IF(tblMovement[[#This Row],[Material]]="","",IF(LEFT(tblMovement[[#This Row],[Material]],3)="Ore",1,0))</f>
        <v/>
      </c>
      <c r="N3934" s="59">
        <f>IF(OR(tblMovement[[#This Row],[Tonnes_t]]="",tblMovement[[#This Row],[Grade_gpt]]=""),0,tblMovement[[#This Row],[Tonnes_t]]*tblMovement[[#This Row],[Grade_gpt]]/cfg_TroyOz)</f>
        <v/>
      </c>
      <c r="O3934" s="59">
        <f>IF(tblMovement[[#This Row],[Is_Ore]]=1,tblMovement[[#This Row],[Contained_oz]],0)</f>
        <v/>
      </c>
    </row>
    <row r="3935">
      <c r="A3935" s="54" t="n"/>
      <c r="B3935" s="61" t="n"/>
      <c r="C3935" s="61" t="n"/>
      <c r="D3935" s="61" t="n"/>
      <c r="E3935" s="61" t="n"/>
      <c r="F3935" s="55" t="n"/>
      <c r="G3935" s="56" t="n"/>
      <c r="H3935" s="55" t="n"/>
      <c r="I3935" s="62" t="n"/>
      <c r="J3935" s="58" t="n"/>
      <c r="K3935" s="63">
        <f>IF(tblMovement[[#This Row],[Source]]="","",IFERROR(INDEX(tblSources[Type],MATCH(tblMovement[[#This Row],[Source]],tblSources[Source],0)),"?"))</f>
        <v/>
      </c>
      <c r="L3935" s="63">
        <f>IF(tblMovement[[#This Row],[Destination]]="","",IFERROR(INDEX(tblDestinations[Type],MATCH(tblMovement[[#This Row],[Destination]],tblDestinations[Destination],0)),"?"))</f>
        <v/>
      </c>
      <c r="M3935" s="64">
        <f>IF(tblMovement[[#This Row],[Material]]="","",IF(LEFT(tblMovement[[#This Row],[Material]],3)="Ore",1,0))</f>
        <v/>
      </c>
      <c r="N3935" s="59">
        <f>IF(OR(tblMovement[[#This Row],[Tonnes_t]]="",tblMovement[[#This Row],[Grade_gpt]]=""),0,tblMovement[[#This Row],[Tonnes_t]]*tblMovement[[#This Row],[Grade_gpt]]/cfg_TroyOz)</f>
        <v/>
      </c>
      <c r="O3935" s="59">
        <f>IF(tblMovement[[#This Row],[Is_Ore]]=1,tblMovement[[#This Row],[Contained_oz]],0)</f>
        <v/>
      </c>
    </row>
    <row r="3936">
      <c r="A3936" s="54" t="n"/>
      <c r="B3936" s="61" t="n"/>
      <c r="C3936" s="61" t="n"/>
      <c r="D3936" s="61" t="n"/>
      <c r="E3936" s="61" t="n"/>
      <c r="F3936" s="55" t="n"/>
      <c r="G3936" s="56" t="n"/>
      <c r="H3936" s="55" t="n"/>
      <c r="I3936" s="62" t="n"/>
      <c r="J3936" s="58" t="n"/>
      <c r="K3936" s="63">
        <f>IF(tblMovement[[#This Row],[Source]]="","",IFERROR(INDEX(tblSources[Type],MATCH(tblMovement[[#This Row],[Source]],tblSources[Source],0)),"?"))</f>
        <v/>
      </c>
      <c r="L3936" s="63">
        <f>IF(tblMovement[[#This Row],[Destination]]="","",IFERROR(INDEX(tblDestinations[Type],MATCH(tblMovement[[#This Row],[Destination]],tblDestinations[Destination],0)),"?"))</f>
        <v/>
      </c>
      <c r="M3936" s="64">
        <f>IF(tblMovement[[#This Row],[Material]]="","",IF(LEFT(tblMovement[[#This Row],[Material]],3)="Ore",1,0))</f>
        <v/>
      </c>
      <c r="N3936" s="59">
        <f>IF(OR(tblMovement[[#This Row],[Tonnes_t]]="",tblMovement[[#This Row],[Grade_gpt]]=""),0,tblMovement[[#This Row],[Tonnes_t]]*tblMovement[[#This Row],[Grade_gpt]]/cfg_TroyOz)</f>
        <v/>
      </c>
      <c r="O3936" s="59">
        <f>IF(tblMovement[[#This Row],[Is_Ore]]=1,tblMovement[[#This Row],[Contained_oz]],0)</f>
        <v/>
      </c>
    </row>
    <row r="3937">
      <c r="A3937" s="54" t="n"/>
      <c r="B3937" s="61" t="n"/>
      <c r="C3937" s="61" t="n"/>
      <c r="D3937" s="61" t="n"/>
      <c r="E3937" s="61" t="n"/>
      <c r="F3937" s="55" t="n"/>
      <c r="G3937" s="56" t="n"/>
      <c r="H3937" s="55" t="n"/>
      <c r="I3937" s="62" t="n"/>
      <c r="J3937" s="58" t="n"/>
      <c r="K3937" s="63">
        <f>IF(tblMovement[[#This Row],[Source]]="","",IFERROR(INDEX(tblSources[Type],MATCH(tblMovement[[#This Row],[Source]],tblSources[Source],0)),"?"))</f>
        <v/>
      </c>
      <c r="L3937" s="63">
        <f>IF(tblMovement[[#This Row],[Destination]]="","",IFERROR(INDEX(tblDestinations[Type],MATCH(tblMovement[[#This Row],[Destination]],tblDestinations[Destination],0)),"?"))</f>
        <v/>
      </c>
      <c r="M3937" s="64">
        <f>IF(tblMovement[[#This Row],[Material]]="","",IF(LEFT(tblMovement[[#This Row],[Material]],3)="Ore",1,0))</f>
        <v/>
      </c>
      <c r="N3937" s="59">
        <f>IF(OR(tblMovement[[#This Row],[Tonnes_t]]="",tblMovement[[#This Row],[Grade_gpt]]=""),0,tblMovement[[#This Row],[Tonnes_t]]*tblMovement[[#This Row],[Grade_gpt]]/cfg_TroyOz)</f>
        <v/>
      </c>
      <c r="O3937" s="59">
        <f>IF(tblMovement[[#This Row],[Is_Ore]]=1,tblMovement[[#This Row],[Contained_oz]],0)</f>
        <v/>
      </c>
    </row>
    <row r="3938">
      <c r="A3938" s="54" t="n"/>
      <c r="B3938" s="61" t="n"/>
      <c r="C3938" s="61" t="n"/>
      <c r="D3938" s="61" t="n"/>
      <c r="E3938" s="61" t="n"/>
      <c r="F3938" s="55" t="n"/>
      <c r="G3938" s="56" t="n"/>
      <c r="H3938" s="55" t="n"/>
      <c r="I3938" s="62" t="n"/>
      <c r="J3938" s="58" t="n"/>
      <c r="K3938" s="63">
        <f>IF(tblMovement[[#This Row],[Source]]="","",IFERROR(INDEX(tblSources[Type],MATCH(tblMovement[[#This Row],[Source]],tblSources[Source],0)),"?"))</f>
        <v/>
      </c>
      <c r="L3938" s="63">
        <f>IF(tblMovement[[#This Row],[Destination]]="","",IFERROR(INDEX(tblDestinations[Type],MATCH(tblMovement[[#This Row],[Destination]],tblDestinations[Destination],0)),"?"))</f>
        <v/>
      </c>
      <c r="M3938" s="64">
        <f>IF(tblMovement[[#This Row],[Material]]="","",IF(LEFT(tblMovement[[#This Row],[Material]],3)="Ore",1,0))</f>
        <v/>
      </c>
      <c r="N3938" s="59">
        <f>IF(OR(tblMovement[[#This Row],[Tonnes_t]]="",tblMovement[[#This Row],[Grade_gpt]]=""),0,tblMovement[[#This Row],[Tonnes_t]]*tblMovement[[#This Row],[Grade_gpt]]/cfg_TroyOz)</f>
        <v/>
      </c>
      <c r="O3938" s="59">
        <f>IF(tblMovement[[#This Row],[Is_Ore]]=1,tblMovement[[#This Row],[Contained_oz]],0)</f>
        <v/>
      </c>
    </row>
    <row r="3939">
      <c r="A3939" s="54" t="n"/>
      <c r="B3939" s="61" t="n"/>
      <c r="C3939" s="61" t="n"/>
      <c r="D3939" s="61" t="n"/>
      <c r="E3939" s="61" t="n"/>
      <c r="F3939" s="55" t="n"/>
      <c r="G3939" s="56" t="n"/>
      <c r="H3939" s="55" t="n"/>
      <c r="I3939" s="62" t="n"/>
      <c r="J3939" s="58" t="n"/>
      <c r="K3939" s="63">
        <f>IF(tblMovement[[#This Row],[Source]]="","",IFERROR(INDEX(tblSources[Type],MATCH(tblMovement[[#This Row],[Source]],tblSources[Source],0)),"?"))</f>
        <v/>
      </c>
      <c r="L3939" s="63">
        <f>IF(tblMovement[[#This Row],[Destination]]="","",IFERROR(INDEX(tblDestinations[Type],MATCH(tblMovement[[#This Row],[Destination]],tblDestinations[Destination],0)),"?"))</f>
        <v/>
      </c>
      <c r="M3939" s="64">
        <f>IF(tblMovement[[#This Row],[Material]]="","",IF(LEFT(tblMovement[[#This Row],[Material]],3)="Ore",1,0))</f>
        <v/>
      </c>
      <c r="N3939" s="59">
        <f>IF(OR(tblMovement[[#This Row],[Tonnes_t]]="",tblMovement[[#This Row],[Grade_gpt]]=""),0,tblMovement[[#This Row],[Tonnes_t]]*tblMovement[[#This Row],[Grade_gpt]]/cfg_TroyOz)</f>
        <v/>
      </c>
      <c r="O3939" s="59">
        <f>IF(tblMovement[[#This Row],[Is_Ore]]=1,tblMovement[[#This Row],[Contained_oz]],0)</f>
        <v/>
      </c>
    </row>
    <row r="3940">
      <c r="A3940" s="54" t="n"/>
      <c r="B3940" s="61" t="n"/>
      <c r="C3940" s="61" t="n"/>
      <c r="D3940" s="61" t="n"/>
      <c r="E3940" s="61" t="n"/>
      <c r="F3940" s="55" t="n"/>
      <c r="G3940" s="56" t="n"/>
      <c r="H3940" s="55" t="n"/>
      <c r="I3940" s="62" t="n"/>
      <c r="J3940" s="58" t="n"/>
      <c r="K3940" s="63">
        <f>IF(tblMovement[[#This Row],[Source]]="","",IFERROR(INDEX(tblSources[Type],MATCH(tblMovement[[#This Row],[Source]],tblSources[Source],0)),"?"))</f>
        <v/>
      </c>
      <c r="L3940" s="63">
        <f>IF(tblMovement[[#This Row],[Destination]]="","",IFERROR(INDEX(tblDestinations[Type],MATCH(tblMovement[[#This Row],[Destination]],tblDestinations[Destination],0)),"?"))</f>
        <v/>
      </c>
      <c r="M3940" s="64">
        <f>IF(tblMovement[[#This Row],[Material]]="","",IF(LEFT(tblMovement[[#This Row],[Material]],3)="Ore",1,0))</f>
        <v/>
      </c>
      <c r="N3940" s="59">
        <f>IF(OR(tblMovement[[#This Row],[Tonnes_t]]="",tblMovement[[#This Row],[Grade_gpt]]=""),0,tblMovement[[#This Row],[Tonnes_t]]*tblMovement[[#This Row],[Grade_gpt]]/cfg_TroyOz)</f>
        <v/>
      </c>
      <c r="O3940" s="59">
        <f>IF(tblMovement[[#This Row],[Is_Ore]]=1,tblMovement[[#This Row],[Contained_oz]],0)</f>
        <v/>
      </c>
    </row>
    <row r="3941">
      <c r="A3941" s="54" t="n"/>
      <c r="B3941" s="61" t="n"/>
      <c r="C3941" s="61" t="n"/>
      <c r="D3941" s="61" t="n"/>
      <c r="E3941" s="61" t="n"/>
      <c r="F3941" s="55" t="n"/>
      <c r="G3941" s="56" t="n"/>
      <c r="H3941" s="55" t="n"/>
      <c r="I3941" s="62" t="n"/>
      <c r="J3941" s="58" t="n"/>
      <c r="K3941" s="63">
        <f>IF(tblMovement[[#This Row],[Source]]="","",IFERROR(INDEX(tblSources[Type],MATCH(tblMovement[[#This Row],[Source]],tblSources[Source],0)),"?"))</f>
        <v/>
      </c>
      <c r="L3941" s="63">
        <f>IF(tblMovement[[#This Row],[Destination]]="","",IFERROR(INDEX(tblDestinations[Type],MATCH(tblMovement[[#This Row],[Destination]],tblDestinations[Destination],0)),"?"))</f>
        <v/>
      </c>
      <c r="M3941" s="64">
        <f>IF(tblMovement[[#This Row],[Material]]="","",IF(LEFT(tblMovement[[#This Row],[Material]],3)="Ore",1,0))</f>
        <v/>
      </c>
      <c r="N3941" s="59">
        <f>IF(OR(tblMovement[[#This Row],[Tonnes_t]]="",tblMovement[[#This Row],[Grade_gpt]]=""),0,tblMovement[[#This Row],[Tonnes_t]]*tblMovement[[#This Row],[Grade_gpt]]/cfg_TroyOz)</f>
        <v/>
      </c>
      <c r="O3941" s="59">
        <f>IF(tblMovement[[#This Row],[Is_Ore]]=1,tblMovement[[#This Row],[Contained_oz]],0)</f>
        <v/>
      </c>
    </row>
    <row r="3942">
      <c r="A3942" s="54" t="n"/>
      <c r="B3942" s="61" t="n"/>
      <c r="C3942" s="61" t="n"/>
      <c r="D3942" s="61" t="n"/>
      <c r="E3942" s="61" t="n"/>
      <c r="F3942" s="55" t="n"/>
      <c r="G3942" s="56" t="n"/>
      <c r="H3942" s="55" t="n"/>
      <c r="I3942" s="62" t="n"/>
      <c r="J3942" s="58" t="n"/>
      <c r="K3942" s="63">
        <f>IF(tblMovement[[#This Row],[Source]]="","",IFERROR(INDEX(tblSources[Type],MATCH(tblMovement[[#This Row],[Source]],tblSources[Source],0)),"?"))</f>
        <v/>
      </c>
      <c r="L3942" s="63">
        <f>IF(tblMovement[[#This Row],[Destination]]="","",IFERROR(INDEX(tblDestinations[Type],MATCH(tblMovement[[#This Row],[Destination]],tblDestinations[Destination],0)),"?"))</f>
        <v/>
      </c>
      <c r="M3942" s="64">
        <f>IF(tblMovement[[#This Row],[Material]]="","",IF(LEFT(tblMovement[[#This Row],[Material]],3)="Ore",1,0))</f>
        <v/>
      </c>
      <c r="N3942" s="59">
        <f>IF(OR(tblMovement[[#This Row],[Tonnes_t]]="",tblMovement[[#This Row],[Grade_gpt]]=""),0,tblMovement[[#This Row],[Tonnes_t]]*tblMovement[[#This Row],[Grade_gpt]]/cfg_TroyOz)</f>
        <v/>
      </c>
      <c r="O3942" s="59">
        <f>IF(tblMovement[[#This Row],[Is_Ore]]=1,tblMovement[[#This Row],[Contained_oz]],0)</f>
        <v/>
      </c>
    </row>
    <row r="3943">
      <c r="A3943" s="54" t="n"/>
      <c r="B3943" s="61" t="n"/>
      <c r="C3943" s="61" t="n"/>
      <c r="D3943" s="61" t="n"/>
      <c r="E3943" s="61" t="n"/>
      <c r="F3943" s="55" t="n"/>
      <c r="G3943" s="56" t="n"/>
      <c r="H3943" s="55" t="n"/>
      <c r="I3943" s="62" t="n"/>
      <c r="J3943" s="58" t="n"/>
      <c r="K3943" s="63">
        <f>IF(tblMovement[[#This Row],[Source]]="","",IFERROR(INDEX(tblSources[Type],MATCH(tblMovement[[#This Row],[Source]],tblSources[Source],0)),"?"))</f>
        <v/>
      </c>
      <c r="L3943" s="63">
        <f>IF(tblMovement[[#This Row],[Destination]]="","",IFERROR(INDEX(tblDestinations[Type],MATCH(tblMovement[[#This Row],[Destination]],tblDestinations[Destination],0)),"?"))</f>
        <v/>
      </c>
      <c r="M3943" s="64">
        <f>IF(tblMovement[[#This Row],[Material]]="","",IF(LEFT(tblMovement[[#This Row],[Material]],3)="Ore",1,0))</f>
        <v/>
      </c>
      <c r="N3943" s="59">
        <f>IF(OR(tblMovement[[#This Row],[Tonnes_t]]="",tblMovement[[#This Row],[Grade_gpt]]=""),0,tblMovement[[#This Row],[Tonnes_t]]*tblMovement[[#This Row],[Grade_gpt]]/cfg_TroyOz)</f>
        <v/>
      </c>
      <c r="O3943" s="59">
        <f>IF(tblMovement[[#This Row],[Is_Ore]]=1,tblMovement[[#This Row],[Contained_oz]],0)</f>
        <v/>
      </c>
    </row>
    <row r="3944">
      <c r="A3944" s="54" t="n"/>
      <c r="B3944" s="61" t="n"/>
      <c r="C3944" s="61" t="n"/>
      <c r="D3944" s="61" t="n"/>
      <c r="E3944" s="61" t="n"/>
      <c r="F3944" s="55" t="n"/>
      <c r="G3944" s="56" t="n"/>
      <c r="H3944" s="55" t="n"/>
      <c r="I3944" s="62" t="n"/>
      <c r="J3944" s="58" t="n"/>
      <c r="K3944" s="63">
        <f>IF(tblMovement[[#This Row],[Source]]="","",IFERROR(INDEX(tblSources[Type],MATCH(tblMovement[[#This Row],[Source]],tblSources[Source],0)),"?"))</f>
        <v/>
      </c>
      <c r="L3944" s="63">
        <f>IF(tblMovement[[#This Row],[Destination]]="","",IFERROR(INDEX(tblDestinations[Type],MATCH(tblMovement[[#This Row],[Destination]],tblDestinations[Destination],0)),"?"))</f>
        <v/>
      </c>
      <c r="M3944" s="64">
        <f>IF(tblMovement[[#This Row],[Material]]="","",IF(LEFT(tblMovement[[#This Row],[Material]],3)="Ore",1,0))</f>
        <v/>
      </c>
      <c r="N3944" s="59">
        <f>IF(OR(tblMovement[[#This Row],[Tonnes_t]]="",tblMovement[[#This Row],[Grade_gpt]]=""),0,tblMovement[[#This Row],[Tonnes_t]]*tblMovement[[#This Row],[Grade_gpt]]/cfg_TroyOz)</f>
        <v/>
      </c>
      <c r="O3944" s="59">
        <f>IF(tblMovement[[#This Row],[Is_Ore]]=1,tblMovement[[#This Row],[Contained_oz]],0)</f>
        <v/>
      </c>
    </row>
    <row r="3945">
      <c r="A3945" s="54" t="n"/>
      <c r="B3945" s="61" t="n"/>
      <c r="C3945" s="61" t="n"/>
      <c r="D3945" s="61" t="n"/>
      <c r="E3945" s="61" t="n"/>
      <c r="F3945" s="55" t="n"/>
      <c r="G3945" s="56" t="n"/>
      <c r="H3945" s="55" t="n"/>
      <c r="I3945" s="62" t="n"/>
      <c r="J3945" s="58" t="n"/>
      <c r="K3945" s="63">
        <f>IF(tblMovement[[#This Row],[Source]]="","",IFERROR(INDEX(tblSources[Type],MATCH(tblMovement[[#This Row],[Source]],tblSources[Source],0)),"?"))</f>
        <v/>
      </c>
      <c r="L3945" s="63">
        <f>IF(tblMovement[[#This Row],[Destination]]="","",IFERROR(INDEX(tblDestinations[Type],MATCH(tblMovement[[#This Row],[Destination]],tblDestinations[Destination],0)),"?"))</f>
        <v/>
      </c>
      <c r="M3945" s="64">
        <f>IF(tblMovement[[#This Row],[Material]]="","",IF(LEFT(tblMovement[[#This Row],[Material]],3)="Ore",1,0))</f>
        <v/>
      </c>
      <c r="N3945" s="59">
        <f>IF(OR(tblMovement[[#This Row],[Tonnes_t]]="",tblMovement[[#This Row],[Grade_gpt]]=""),0,tblMovement[[#This Row],[Tonnes_t]]*tblMovement[[#This Row],[Grade_gpt]]/cfg_TroyOz)</f>
        <v/>
      </c>
      <c r="O3945" s="59">
        <f>IF(tblMovement[[#This Row],[Is_Ore]]=1,tblMovement[[#This Row],[Contained_oz]],0)</f>
        <v/>
      </c>
    </row>
    <row r="3946">
      <c r="A3946" s="54" t="n"/>
      <c r="B3946" s="61" t="n"/>
      <c r="C3946" s="61" t="n"/>
      <c r="D3946" s="61" t="n"/>
      <c r="E3946" s="61" t="n"/>
      <c r="F3946" s="55" t="n"/>
      <c r="G3946" s="56" t="n"/>
      <c r="H3946" s="55" t="n"/>
      <c r="I3946" s="62" t="n"/>
      <c r="J3946" s="58" t="n"/>
      <c r="K3946" s="63">
        <f>IF(tblMovement[[#This Row],[Source]]="","",IFERROR(INDEX(tblSources[Type],MATCH(tblMovement[[#This Row],[Source]],tblSources[Source],0)),"?"))</f>
        <v/>
      </c>
      <c r="L3946" s="63">
        <f>IF(tblMovement[[#This Row],[Destination]]="","",IFERROR(INDEX(tblDestinations[Type],MATCH(tblMovement[[#This Row],[Destination]],tblDestinations[Destination],0)),"?"))</f>
        <v/>
      </c>
      <c r="M3946" s="64">
        <f>IF(tblMovement[[#This Row],[Material]]="","",IF(LEFT(tblMovement[[#This Row],[Material]],3)="Ore",1,0))</f>
        <v/>
      </c>
      <c r="N3946" s="59">
        <f>IF(OR(tblMovement[[#This Row],[Tonnes_t]]="",tblMovement[[#This Row],[Grade_gpt]]=""),0,tblMovement[[#This Row],[Tonnes_t]]*tblMovement[[#This Row],[Grade_gpt]]/cfg_TroyOz)</f>
        <v/>
      </c>
      <c r="O3946" s="59">
        <f>IF(tblMovement[[#This Row],[Is_Ore]]=1,tblMovement[[#This Row],[Contained_oz]],0)</f>
        <v/>
      </c>
    </row>
    <row r="3947">
      <c r="A3947" s="54" t="n"/>
      <c r="B3947" s="61" t="n"/>
      <c r="C3947" s="61" t="n"/>
      <c r="D3947" s="61" t="n"/>
      <c r="E3947" s="61" t="n"/>
      <c r="F3947" s="55" t="n"/>
      <c r="G3947" s="56" t="n"/>
      <c r="H3947" s="55" t="n"/>
      <c r="I3947" s="62" t="n"/>
      <c r="J3947" s="58" t="n"/>
      <c r="K3947" s="63">
        <f>IF(tblMovement[[#This Row],[Source]]="","",IFERROR(INDEX(tblSources[Type],MATCH(tblMovement[[#This Row],[Source]],tblSources[Source],0)),"?"))</f>
        <v/>
      </c>
      <c r="L3947" s="63">
        <f>IF(tblMovement[[#This Row],[Destination]]="","",IFERROR(INDEX(tblDestinations[Type],MATCH(tblMovement[[#This Row],[Destination]],tblDestinations[Destination],0)),"?"))</f>
        <v/>
      </c>
      <c r="M3947" s="64">
        <f>IF(tblMovement[[#This Row],[Material]]="","",IF(LEFT(tblMovement[[#This Row],[Material]],3)="Ore",1,0))</f>
        <v/>
      </c>
      <c r="N3947" s="59">
        <f>IF(OR(tblMovement[[#This Row],[Tonnes_t]]="",tblMovement[[#This Row],[Grade_gpt]]=""),0,tblMovement[[#This Row],[Tonnes_t]]*tblMovement[[#This Row],[Grade_gpt]]/cfg_TroyOz)</f>
        <v/>
      </c>
      <c r="O3947" s="59">
        <f>IF(tblMovement[[#This Row],[Is_Ore]]=1,tblMovement[[#This Row],[Contained_oz]],0)</f>
        <v/>
      </c>
    </row>
    <row r="3948">
      <c r="A3948" s="54" t="n"/>
      <c r="B3948" s="61" t="n"/>
      <c r="C3948" s="61" t="n"/>
      <c r="D3948" s="61" t="n"/>
      <c r="E3948" s="61" t="n"/>
      <c r="F3948" s="55" t="n"/>
      <c r="G3948" s="56" t="n"/>
      <c r="H3948" s="55" t="n"/>
      <c r="I3948" s="62" t="n"/>
      <c r="J3948" s="58" t="n"/>
      <c r="K3948" s="63">
        <f>IF(tblMovement[[#This Row],[Source]]="","",IFERROR(INDEX(tblSources[Type],MATCH(tblMovement[[#This Row],[Source]],tblSources[Source],0)),"?"))</f>
        <v/>
      </c>
      <c r="L3948" s="63">
        <f>IF(tblMovement[[#This Row],[Destination]]="","",IFERROR(INDEX(tblDestinations[Type],MATCH(tblMovement[[#This Row],[Destination]],tblDestinations[Destination],0)),"?"))</f>
        <v/>
      </c>
      <c r="M3948" s="64">
        <f>IF(tblMovement[[#This Row],[Material]]="","",IF(LEFT(tblMovement[[#This Row],[Material]],3)="Ore",1,0))</f>
        <v/>
      </c>
      <c r="N3948" s="59">
        <f>IF(OR(tblMovement[[#This Row],[Tonnes_t]]="",tblMovement[[#This Row],[Grade_gpt]]=""),0,tblMovement[[#This Row],[Tonnes_t]]*tblMovement[[#This Row],[Grade_gpt]]/cfg_TroyOz)</f>
        <v/>
      </c>
      <c r="O3948" s="59">
        <f>IF(tblMovement[[#This Row],[Is_Ore]]=1,tblMovement[[#This Row],[Contained_oz]],0)</f>
        <v/>
      </c>
    </row>
    <row r="3949">
      <c r="A3949" s="54" t="n"/>
      <c r="B3949" s="61" t="n"/>
      <c r="C3949" s="61" t="n"/>
      <c r="D3949" s="61" t="n"/>
      <c r="E3949" s="61" t="n"/>
      <c r="F3949" s="55" t="n"/>
      <c r="G3949" s="56" t="n"/>
      <c r="H3949" s="55" t="n"/>
      <c r="I3949" s="62" t="n"/>
      <c r="J3949" s="58" t="n"/>
      <c r="K3949" s="63">
        <f>IF(tblMovement[[#This Row],[Source]]="","",IFERROR(INDEX(tblSources[Type],MATCH(tblMovement[[#This Row],[Source]],tblSources[Source],0)),"?"))</f>
        <v/>
      </c>
      <c r="L3949" s="63">
        <f>IF(tblMovement[[#This Row],[Destination]]="","",IFERROR(INDEX(tblDestinations[Type],MATCH(tblMovement[[#This Row],[Destination]],tblDestinations[Destination],0)),"?"))</f>
        <v/>
      </c>
      <c r="M3949" s="64">
        <f>IF(tblMovement[[#This Row],[Material]]="","",IF(LEFT(tblMovement[[#This Row],[Material]],3)="Ore",1,0))</f>
        <v/>
      </c>
      <c r="N3949" s="59">
        <f>IF(OR(tblMovement[[#This Row],[Tonnes_t]]="",tblMovement[[#This Row],[Grade_gpt]]=""),0,tblMovement[[#This Row],[Tonnes_t]]*tblMovement[[#This Row],[Grade_gpt]]/cfg_TroyOz)</f>
        <v/>
      </c>
      <c r="O3949" s="59">
        <f>IF(tblMovement[[#This Row],[Is_Ore]]=1,tblMovement[[#This Row],[Contained_oz]],0)</f>
        <v/>
      </c>
    </row>
    <row r="3950">
      <c r="A3950" s="54" t="n"/>
      <c r="B3950" s="61" t="n"/>
      <c r="C3950" s="61" t="n"/>
      <c r="D3950" s="61" t="n"/>
      <c r="E3950" s="61" t="n"/>
      <c r="F3950" s="55" t="n"/>
      <c r="G3950" s="56" t="n"/>
      <c r="H3950" s="55" t="n"/>
      <c r="I3950" s="62" t="n"/>
      <c r="J3950" s="58" t="n"/>
      <c r="K3950" s="63">
        <f>IF(tblMovement[[#This Row],[Source]]="","",IFERROR(INDEX(tblSources[Type],MATCH(tblMovement[[#This Row],[Source]],tblSources[Source],0)),"?"))</f>
        <v/>
      </c>
      <c r="L3950" s="63">
        <f>IF(tblMovement[[#This Row],[Destination]]="","",IFERROR(INDEX(tblDestinations[Type],MATCH(tblMovement[[#This Row],[Destination]],tblDestinations[Destination],0)),"?"))</f>
        <v/>
      </c>
      <c r="M3950" s="64">
        <f>IF(tblMovement[[#This Row],[Material]]="","",IF(LEFT(tblMovement[[#This Row],[Material]],3)="Ore",1,0))</f>
        <v/>
      </c>
      <c r="N3950" s="59">
        <f>IF(OR(tblMovement[[#This Row],[Tonnes_t]]="",tblMovement[[#This Row],[Grade_gpt]]=""),0,tblMovement[[#This Row],[Tonnes_t]]*tblMovement[[#This Row],[Grade_gpt]]/cfg_TroyOz)</f>
        <v/>
      </c>
      <c r="O3950" s="59">
        <f>IF(tblMovement[[#This Row],[Is_Ore]]=1,tblMovement[[#This Row],[Contained_oz]],0)</f>
        <v/>
      </c>
    </row>
    <row r="3951">
      <c r="A3951" s="54" t="n"/>
      <c r="B3951" s="61" t="n"/>
      <c r="C3951" s="61" t="n"/>
      <c r="D3951" s="61" t="n"/>
      <c r="E3951" s="61" t="n"/>
      <c r="F3951" s="55" t="n"/>
      <c r="G3951" s="56" t="n"/>
      <c r="H3951" s="55" t="n"/>
      <c r="I3951" s="62" t="n"/>
      <c r="J3951" s="58" t="n"/>
      <c r="K3951" s="63">
        <f>IF(tblMovement[[#This Row],[Source]]="","",IFERROR(INDEX(tblSources[Type],MATCH(tblMovement[[#This Row],[Source]],tblSources[Source],0)),"?"))</f>
        <v/>
      </c>
      <c r="L3951" s="63">
        <f>IF(tblMovement[[#This Row],[Destination]]="","",IFERROR(INDEX(tblDestinations[Type],MATCH(tblMovement[[#This Row],[Destination]],tblDestinations[Destination],0)),"?"))</f>
        <v/>
      </c>
      <c r="M3951" s="64">
        <f>IF(tblMovement[[#This Row],[Material]]="","",IF(LEFT(tblMovement[[#This Row],[Material]],3)="Ore",1,0))</f>
        <v/>
      </c>
      <c r="N3951" s="59">
        <f>IF(OR(tblMovement[[#This Row],[Tonnes_t]]="",tblMovement[[#This Row],[Grade_gpt]]=""),0,tblMovement[[#This Row],[Tonnes_t]]*tblMovement[[#This Row],[Grade_gpt]]/cfg_TroyOz)</f>
        <v/>
      </c>
      <c r="O3951" s="59">
        <f>IF(tblMovement[[#This Row],[Is_Ore]]=1,tblMovement[[#This Row],[Contained_oz]],0)</f>
        <v/>
      </c>
    </row>
    <row r="3952">
      <c r="A3952" s="54" t="n"/>
      <c r="B3952" s="61" t="n"/>
      <c r="C3952" s="61" t="n"/>
      <c r="D3952" s="61" t="n"/>
      <c r="E3952" s="61" t="n"/>
      <c r="F3952" s="55" t="n"/>
      <c r="G3952" s="56" t="n"/>
      <c r="H3952" s="55" t="n"/>
      <c r="I3952" s="62" t="n"/>
      <c r="J3952" s="58" t="n"/>
      <c r="K3952" s="63">
        <f>IF(tblMovement[[#This Row],[Source]]="","",IFERROR(INDEX(tblSources[Type],MATCH(tblMovement[[#This Row],[Source]],tblSources[Source],0)),"?"))</f>
        <v/>
      </c>
      <c r="L3952" s="63">
        <f>IF(tblMovement[[#This Row],[Destination]]="","",IFERROR(INDEX(tblDestinations[Type],MATCH(tblMovement[[#This Row],[Destination]],tblDestinations[Destination],0)),"?"))</f>
        <v/>
      </c>
      <c r="M3952" s="64">
        <f>IF(tblMovement[[#This Row],[Material]]="","",IF(LEFT(tblMovement[[#This Row],[Material]],3)="Ore",1,0))</f>
        <v/>
      </c>
      <c r="N3952" s="59">
        <f>IF(OR(tblMovement[[#This Row],[Tonnes_t]]="",tblMovement[[#This Row],[Grade_gpt]]=""),0,tblMovement[[#This Row],[Tonnes_t]]*tblMovement[[#This Row],[Grade_gpt]]/cfg_TroyOz)</f>
        <v/>
      </c>
      <c r="O3952" s="59">
        <f>IF(tblMovement[[#This Row],[Is_Ore]]=1,tblMovement[[#This Row],[Contained_oz]],0)</f>
        <v/>
      </c>
    </row>
    <row r="3953">
      <c r="A3953" s="54" t="n"/>
      <c r="B3953" s="61" t="n"/>
      <c r="C3953" s="61" t="n"/>
      <c r="D3953" s="61" t="n"/>
      <c r="E3953" s="61" t="n"/>
      <c r="F3953" s="55" t="n"/>
      <c r="G3953" s="56" t="n"/>
      <c r="H3953" s="55" t="n"/>
      <c r="I3953" s="62" t="n"/>
      <c r="J3953" s="58" t="n"/>
      <c r="K3953" s="63">
        <f>IF(tblMovement[[#This Row],[Source]]="","",IFERROR(INDEX(tblSources[Type],MATCH(tblMovement[[#This Row],[Source]],tblSources[Source],0)),"?"))</f>
        <v/>
      </c>
      <c r="L3953" s="63">
        <f>IF(tblMovement[[#This Row],[Destination]]="","",IFERROR(INDEX(tblDestinations[Type],MATCH(tblMovement[[#This Row],[Destination]],tblDestinations[Destination],0)),"?"))</f>
        <v/>
      </c>
      <c r="M3953" s="64">
        <f>IF(tblMovement[[#This Row],[Material]]="","",IF(LEFT(tblMovement[[#This Row],[Material]],3)="Ore",1,0))</f>
        <v/>
      </c>
      <c r="N3953" s="59">
        <f>IF(OR(tblMovement[[#This Row],[Tonnes_t]]="",tblMovement[[#This Row],[Grade_gpt]]=""),0,tblMovement[[#This Row],[Tonnes_t]]*tblMovement[[#This Row],[Grade_gpt]]/cfg_TroyOz)</f>
        <v/>
      </c>
      <c r="O3953" s="59">
        <f>IF(tblMovement[[#This Row],[Is_Ore]]=1,tblMovement[[#This Row],[Contained_oz]],0)</f>
        <v/>
      </c>
    </row>
    <row r="3954">
      <c r="A3954" s="54" t="n"/>
      <c r="B3954" s="61" t="n"/>
      <c r="C3954" s="61" t="n"/>
      <c r="D3954" s="61" t="n"/>
      <c r="E3954" s="61" t="n"/>
      <c r="F3954" s="55" t="n"/>
      <c r="G3954" s="56" t="n"/>
      <c r="H3954" s="55" t="n"/>
      <c r="I3954" s="62" t="n"/>
      <c r="J3954" s="58" t="n"/>
      <c r="K3954" s="63">
        <f>IF(tblMovement[[#This Row],[Source]]="","",IFERROR(INDEX(tblSources[Type],MATCH(tblMovement[[#This Row],[Source]],tblSources[Source],0)),"?"))</f>
        <v/>
      </c>
      <c r="L3954" s="63">
        <f>IF(tblMovement[[#This Row],[Destination]]="","",IFERROR(INDEX(tblDestinations[Type],MATCH(tblMovement[[#This Row],[Destination]],tblDestinations[Destination],0)),"?"))</f>
        <v/>
      </c>
      <c r="M3954" s="64">
        <f>IF(tblMovement[[#This Row],[Material]]="","",IF(LEFT(tblMovement[[#This Row],[Material]],3)="Ore",1,0))</f>
        <v/>
      </c>
      <c r="N3954" s="59">
        <f>IF(OR(tblMovement[[#This Row],[Tonnes_t]]="",tblMovement[[#This Row],[Grade_gpt]]=""),0,tblMovement[[#This Row],[Tonnes_t]]*tblMovement[[#This Row],[Grade_gpt]]/cfg_TroyOz)</f>
        <v/>
      </c>
      <c r="O3954" s="59">
        <f>IF(tblMovement[[#This Row],[Is_Ore]]=1,tblMovement[[#This Row],[Contained_oz]],0)</f>
        <v/>
      </c>
    </row>
    <row r="3955">
      <c r="A3955" s="54" t="n"/>
      <c r="B3955" s="61" t="n"/>
      <c r="C3955" s="61" t="n"/>
      <c r="D3955" s="61" t="n"/>
      <c r="E3955" s="61" t="n"/>
      <c r="F3955" s="55" t="n"/>
      <c r="G3955" s="56" t="n"/>
      <c r="H3955" s="55" t="n"/>
      <c r="I3955" s="62" t="n"/>
      <c r="J3955" s="58" t="n"/>
      <c r="K3955" s="63">
        <f>IF(tblMovement[[#This Row],[Source]]="","",IFERROR(INDEX(tblSources[Type],MATCH(tblMovement[[#This Row],[Source]],tblSources[Source],0)),"?"))</f>
        <v/>
      </c>
      <c r="L3955" s="63">
        <f>IF(tblMovement[[#This Row],[Destination]]="","",IFERROR(INDEX(tblDestinations[Type],MATCH(tblMovement[[#This Row],[Destination]],tblDestinations[Destination],0)),"?"))</f>
        <v/>
      </c>
      <c r="M3955" s="64">
        <f>IF(tblMovement[[#This Row],[Material]]="","",IF(LEFT(tblMovement[[#This Row],[Material]],3)="Ore",1,0))</f>
        <v/>
      </c>
      <c r="N3955" s="59">
        <f>IF(OR(tblMovement[[#This Row],[Tonnes_t]]="",tblMovement[[#This Row],[Grade_gpt]]=""),0,tblMovement[[#This Row],[Tonnes_t]]*tblMovement[[#This Row],[Grade_gpt]]/cfg_TroyOz)</f>
        <v/>
      </c>
      <c r="O3955" s="59">
        <f>IF(tblMovement[[#This Row],[Is_Ore]]=1,tblMovement[[#This Row],[Contained_oz]],0)</f>
        <v/>
      </c>
    </row>
    <row r="3956">
      <c r="A3956" s="54" t="n"/>
      <c r="B3956" s="61" t="n"/>
      <c r="C3956" s="61" t="n"/>
      <c r="D3956" s="61" t="n"/>
      <c r="E3956" s="61" t="n"/>
      <c r="F3956" s="55" t="n"/>
      <c r="G3956" s="56" t="n"/>
      <c r="H3956" s="55" t="n"/>
      <c r="I3956" s="62" t="n"/>
      <c r="J3956" s="58" t="n"/>
      <c r="K3956" s="63">
        <f>IF(tblMovement[[#This Row],[Source]]="","",IFERROR(INDEX(tblSources[Type],MATCH(tblMovement[[#This Row],[Source]],tblSources[Source],0)),"?"))</f>
        <v/>
      </c>
      <c r="L3956" s="63">
        <f>IF(tblMovement[[#This Row],[Destination]]="","",IFERROR(INDEX(tblDestinations[Type],MATCH(tblMovement[[#This Row],[Destination]],tblDestinations[Destination],0)),"?"))</f>
        <v/>
      </c>
      <c r="M3956" s="64">
        <f>IF(tblMovement[[#This Row],[Material]]="","",IF(LEFT(tblMovement[[#This Row],[Material]],3)="Ore",1,0))</f>
        <v/>
      </c>
      <c r="N3956" s="59">
        <f>IF(OR(tblMovement[[#This Row],[Tonnes_t]]="",tblMovement[[#This Row],[Grade_gpt]]=""),0,tblMovement[[#This Row],[Tonnes_t]]*tblMovement[[#This Row],[Grade_gpt]]/cfg_TroyOz)</f>
        <v/>
      </c>
      <c r="O3956" s="59">
        <f>IF(tblMovement[[#This Row],[Is_Ore]]=1,tblMovement[[#This Row],[Contained_oz]],0)</f>
        <v/>
      </c>
    </row>
    <row r="3957">
      <c r="A3957" s="54" t="n"/>
      <c r="B3957" s="61" t="n"/>
      <c r="C3957" s="61" t="n"/>
      <c r="D3957" s="61" t="n"/>
      <c r="E3957" s="61" t="n"/>
      <c r="F3957" s="55" t="n"/>
      <c r="G3957" s="56" t="n"/>
      <c r="H3957" s="55" t="n"/>
      <c r="I3957" s="62" t="n"/>
      <c r="J3957" s="58" t="n"/>
      <c r="K3957" s="63">
        <f>IF(tblMovement[[#This Row],[Source]]="","",IFERROR(INDEX(tblSources[Type],MATCH(tblMovement[[#This Row],[Source]],tblSources[Source],0)),"?"))</f>
        <v/>
      </c>
      <c r="L3957" s="63">
        <f>IF(tblMovement[[#This Row],[Destination]]="","",IFERROR(INDEX(tblDestinations[Type],MATCH(tblMovement[[#This Row],[Destination]],tblDestinations[Destination],0)),"?"))</f>
        <v/>
      </c>
      <c r="M3957" s="64">
        <f>IF(tblMovement[[#This Row],[Material]]="","",IF(LEFT(tblMovement[[#This Row],[Material]],3)="Ore",1,0))</f>
        <v/>
      </c>
      <c r="N3957" s="59">
        <f>IF(OR(tblMovement[[#This Row],[Tonnes_t]]="",tblMovement[[#This Row],[Grade_gpt]]=""),0,tblMovement[[#This Row],[Tonnes_t]]*tblMovement[[#This Row],[Grade_gpt]]/cfg_TroyOz)</f>
        <v/>
      </c>
      <c r="O3957" s="59">
        <f>IF(tblMovement[[#This Row],[Is_Ore]]=1,tblMovement[[#This Row],[Contained_oz]],0)</f>
        <v/>
      </c>
    </row>
    <row r="3958">
      <c r="A3958" s="54" t="n"/>
      <c r="B3958" s="61" t="n"/>
      <c r="C3958" s="61" t="n"/>
      <c r="D3958" s="61" t="n"/>
      <c r="E3958" s="61" t="n"/>
      <c r="F3958" s="55" t="n"/>
      <c r="G3958" s="56" t="n"/>
      <c r="H3958" s="55" t="n"/>
      <c r="I3958" s="62" t="n"/>
      <c r="J3958" s="58" t="n"/>
      <c r="K3958" s="63">
        <f>IF(tblMovement[[#This Row],[Source]]="","",IFERROR(INDEX(tblSources[Type],MATCH(tblMovement[[#This Row],[Source]],tblSources[Source],0)),"?"))</f>
        <v/>
      </c>
      <c r="L3958" s="63">
        <f>IF(tblMovement[[#This Row],[Destination]]="","",IFERROR(INDEX(tblDestinations[Type],MATCH(tblMovement[[#This Row],[Destination]],tblDestinations[Destination],0)),"?"))</f>
        <v/>
      </c>
      <c r="M3958" s="64">
        <f>IF(tblMovement[[#This Row],[Material]]="","",IF(LEFT(tblMovement[[#This Row],[Material]],3)="Ore",1,0))</f>
        <v/>
      </c>
      <c r="N3958" s="59">
        <f>IF(OR(tblMovement[[#This Row],[Tonnes_t]]="",tblMovement[[#This Row],[Grade_gpt]]=""),0,tblMovement[[#This Row],[Tonnes_t]]*tblMovement[[#This Row],[Grade_gpt]]/cfg_TroyOz)</f>
        <v/>
      </c>
      <c r="O3958" s="59">
        <f>IF(tblMovement[[#This Row],[Is_Ore]]=1,tblMovement[[#This Row],[Contained_oz]],0)</f>
        <v/>
      </c>
    </row>
    <row r="3959">
      <c r="A3959" s="54" t="n"/>
      <c r="B3959" s="61" t="n"/>
      <c r="C3959" s="61" t="n"/>
      <c r="D3959" s="61" t="n"/>
      <c r="E3959" s="61" t="n"/>
      <c r="F3959" s="55" t="n"/>
      <c r="G3959" s="56" t="n"/>
      <c r="H3959" s="55" t="n"/>
      <c r="I3959" s="62" t="n"/>
      <c r="J3959" s="58" t="n"/>
      <c r="K3959" s="63">
        <f>IF(tblMovement[[#This Row],[Source]]="","",IFERROR(INDEX(tblSources[Type],MATCH(tblMovement[[#This Row],[Source]],tblSources[Source],0)),"?"))</f>
        <v/>
      </c>
      <c r="L3959" s="63">
        <f>IF(tblMovement[[#This Row],[Destination]]="","",IFERROR(INDEX(tblDestinations[Type],MATCH(tblMovement[[#This Row],[Destination]],tblDestinations[Destination],0)),"?"))</f>
        <v/>
      </c>
      <c r="M3959" s="64">
        <f>IF(tblMovement[[#This Row],[Material]]="","",IF(LEFT(tblMovement[[#This Row],[Material]],3)="Ore",1,0))</f>
        <v/>
      </c>
      <c r="N3959" s="59">
        <f>IF(OR(tblMovement[[#This Row],[Tonnes_t]]="",tblMovement[[#This Row],[Grade_gpt]]=""),0,tblMovement[[#This Row],[Tonnes_t]]*tblMovement[[#This Row],[Grade_gpt]]/cfg_TroyOz)</f>
        <v/>
      </c>
      <c r="O3959" s="59">
        <f>IF(tblMovement[[#This Row],[Is_Ore]]=1,tblMovement[[#This Row],[Contained_oz]],0)</f>
        <v/>
      </c>
    </row>
    <row r="3960">
      <c r="A3960" s="54" t="n"/>
      <c r="B3960" s="61" t="n"/>
      <c r="C3960" s="61" t="n"/>
      <c r="D3960" s="61" t="n"/>
      <c r="E3960" s="61" t="n"/>
      <c r="F3960" s="55" t="n"/>
      <c r="G3960" s="56" t="n"/>
      <c r="H3960" s="55" t="n"/>
      <c r="I3960" s="62" t="n"/>
      <c r="J3960" s="58" t="n"/>
      <c r="K3960" s="63">
        <f>IF(tblMovement[[#This Row],[Source]]="","",IFERROR(INDEX(tblSources[Type],MATCH(tblMovement[[#This Row],[Source]],tblSources[Source],0)),"?"))</f>
        <v/>
      </c>
      <c r="L3960" s="63">
        <f>IF(tblMovement[[#This Row],[Destination]]="","",IFERROR(INDEX(tblDestinations[Type],MATCH(tblMovement[[#This Row],[Destination]],tblDestinations[Destination],0)),"?"))</f>
        <v/>
      </c>
      <c r="M3960" s="64">
        <f>IF(tblMovement[[#This Row],[Material]]="","",IF(LEFT(tblMovement[[#This Row],[Material]],3)="Ore",1,0))</f>
        <v/>
      </c>
      <c r="N3960" s="59">
        <f>IF(OR(tblMovement[[#This Row],[Tonnes_t]]="",tblMovement[[#This Row],[Grade_gpt]]=""),0,tblMovement[[#This Row],[Tonnes_t]]*tblMovement[[#This Row],[Grade_gpt]]/cfg_TroyOz)</f>
        <v/>
      </c>
      <c r="O3960" s="59">
        <f>IF(tblMovement[[#This Row],[Is_Ore]]=1,tblMovement[[#This Row],[Contained_oz]],0)</f>
        <v/>
      </c>
    </row>
    <row r="3961">
      <c r="A3961" s="54" t="n"/>
      <c r="B3961" s="61" t="n"/>
      <c r="C3961" s="61" t="n"/>
      <c r="D3961" s="61" t="n"/>
      <c r="E3961" s="61" t="n"/>
      <c r="F3961" s="55" t="n"/>
      <c r="G3961" s="56" t="n"/>
      <c r="H3961" s="55" t="n"/>
      <c r="I3961" s="62" t="n"/>
      <c r="J3961" s="58" t="n"/>
      <c r="K3961" s="63">
        <f>IF(tblMovement[[#This Row],[Source]]="","",IFERROR(INDEX(tblSources[Type],MATCH(tblMovement[[#This Row],[Source]],tblSources[Source],0)),"?"))</f>
        <v/>
      </c>
      <c r="L3961" s="63">
        <f>IF(tblMovement[[#This Row],[Destination]]="","",IFERROR(INDEX(tblDestinations[Type],MATCH(tblMovement[[#This Row],[Destination]],tblDestinations[Destination],0)),"?"))</f>
        <v/>
      </c>
      <c r="M3961" s="64">
        <f>IF(tblMovement[[#This Row],[Material]]="","",IF(LEFT(tblMovement[[#This Row],[Material]],3)="Ore",1,0))</f>
        <v/>
      </c>
      <c r="N3961" s="59">
        <f>IF(OR(tblMovement[[#This Row],[Tonnes_t]]="",tblMovement[[#This Row],[Grade_gpt]]=""),0,tblMovement[[#This Row],[Tonnes_t]]*tblMovement[[#This Row],[Grade_gpt]]/cfg_TroyOz)</f>
        <v/>
      </c>
      <c r="O3961" s="59">
        <f>IF(tblMovement[[#This Row],[Is_Ore]]=1,tblMovement[[#This Row],[Contained_oz]],0)</f>
        <v/>
      </c>
    </row>
    <row r="3962">
      <c r="A3962" s="54" t="n"/>
      <c r="B3962" s="61" t="n"/>
      <c r="C3962" s="61" t="n"/>
      <c r="D3962" s="61" t="n"/>
      <c r="E3962" s="61" t="n"/>
      <c r="F3962" s="55" t="n"/>
      <c r="G3962" s="56" t="n"/>
      <c r="H3962" s="55" t="n"/>
      <c r="I3962" s="62" t="n"/>
      <c r="J3962" s="58" t="n"/>
      <c r="K3962" s="63">
        <f>IF(tblMovement[[#This Row],[Source]]="","",IFERROR(INDEX(tblSources[Type],MATCH(tblMovement[[#This Row],[Source]],tblSources[Source],0)),"?"))</f>
        <v/>
      </c>
      <c r="L3962" s="63">
        <f>IF(tblMovement[[#This Row],[Destination]]="","",IFERROR(INDEX(tblDestinations[Type],MATCH(tblMovement[[#This Row],[Destination]],tblDestinations[Destination],0)),"?"))</f>
        <v/>
      </c>
      <c r="M3962" s="64">
        <f>IF(tblMovement[[#This Row],[Material]]="","",IF(LEFT(tblMovement[[#This Row],[Material]],3)="Ore",1,0))</f>
        <v/>
      </c>
      <c r="N3962" s="59">
        <f>IF(OR(tblMovement[[#This Row],[Tonnes_t]]="",tblMovement[[#This Row],[Grade_gpt]]=""),0,tblMovement[[#This Row],[Tonnes_t]]*tblMovement[[#This Row],[Grade_gpt]]/cfg_TroyOz)</f>
        <v/>
      </c>
      <c r="O3962" s="59">
        <f>IF(tblMovement[[#This Row],[Is_Ore]]=1,tblMovement[[#This Row],[Contained_oz]],0)</f>
        <v/>
      </c>
    </row>
    <row r="3963">
      <c r="A3963" s="54" t="n"/>
      <c r="B3963" s="61" t="n"/>
      <c r="C3963" s="61" t="n"/>
      <c r="D3963" s="61" t="n"/>
      <c r="E3963" s="61" t="n"/>
      <c r="F3963" s="55" t="n"/>
      <c r="G3963" s="56" t="n"/>
      <c r="H3963" s="55" t="n"/>
      <c r="I3963" s="62" t="n"/>
      <c r="J3963" s="58" t="n"/>
      <c r="K3963" s="63">
        <f>IF(tblMovement[[#This Row],[Source]]="","",IFERROR(INDEX(tblSources[Type],MATCH(tblMovement[[#This Row],[Source]],tblSources[Source],0)),"?"))</f>
        <v/>
      </c>
      <c r="L3963" s="63">
        <f>IF(tblMovement[[#This Row],[Destination]]="","",IFERROR(INDEX(tblDestinations[Type],MATCH(tblMovement[[#This Row],[Destination]],tblDestinations[Destination],0)),"?"))</f>
        <v/>
      </c>
      <c r="M3963" s="64">
        <f>IF(tblMovement[[#This Row],[Material]]="","",IF(LEFT(tblMovement[[#This Row],[Material]],3)="Ore",1,0))</f>
        <v/>
      </c>
      <c r="N3963" s="59">
        <f>IF(OR(tblMovement[[#This Row],[Tonnes_t]]="",tblMovement[[#This Row],[Grade_gpt]]=""),0,tblMovement[[#This Row],[Tonnes_t]]*tblMovement[[#This Row],[Grade_gpt]]/cfg_TroyOz)</f>
        <v/>
      </c>
      <c r="O3963" s="59">
        <f>IF(tblMovement[[#This Row],[Is_Ore]]=1,tblMovement[[#This Row],[Contained_oz]],0)</f>
        <v/>
      </c>
    </row>
    <row r="3964">
      <c r="A3964" s="54" t="n"/>
      <c r="B3964" s="61" t="n"/>
      <c r="C3964" s="61" t="n"/>
      <c r="D3964" s="61" t="n"/>
      <c r="E3964" s="61" t="n"/>
      <c r="F3964" s="55" t="n"/>
      <c r="G3964" s="56" t="n"/>
      <c r="H3964" s="55" t="n"/>
      <c r="I3964" s="62" t="n"/>
      <c r="J3964" s="58" t="n"/>
      <c r="K3964" s="63">
        <f>IF(tblMovement[[#This Row],[Source]]="","",IFERROR(INDEX(tblSources[Type],MATCH(tblMovement[[#This Row],[Source]],tblSources[Source],0)),"?"))</f>
        <v/>
      </c>
      <c r="L3964" s="63">
        <f>IF(tblMovement[[#This Row],[Destination]]="","",IFERROR(INDEX(tblDestinations[Type],MATCH(tblMovement[[#This Row],[Destination]],tblDestinations[Destination],0)),"?"))</f>
        <v/>
      </c>
      <c r="M3964" s="64">
        <f>IF(tblMovement[[#This Row],[Material]]="","",IF(LEFT(tblMovement[[#This Row],[Material]],3)="Ore",1,0))</f>
        <v/>
      </c>
      <c r="N3964" s="59">
        <f>IF(OR(tblMovement[[#This Row],[Tonnes_t]]="",tblMovement[[#This Row],[Grade_gpt]]=""),0,tblMovement[[#This Row],[Tonnes_t]]*tblMovement[[#This Row],[Grade_gpt]]/cfg_TroyOz)</f>
        <v/>
      </c>
      <c r="O3964" s="59">
        <f>IF(tblMovement[[#This Row],[Is_Ore]]=1,tblMovement[[#This Row],[Contained_oz]],0)</f>
        <v/>
      </c>
    </row>
    <row r="3965">
      <c r="A3965" s="54" t="n"/>
      <c r="B3965" s="61" t="n"/>
      <c r="C3965" s="61" t="n"/>
      <c r="D3965" s="61" t="n"/>
      <c r="E3965" s="61" t="n"/>
      <c r="F3965" s="55" t="n"/>
      <c r="G3965" s="56" t="n"/>
      <c r="H3965" s="55" t="n"/>
      <c r="I3965" s="62" t="n"/>
      <c r="J3965" s="58" t="n"/>
      <c r="K3965" s="63">
        <f>IF(tblMovement[[#This Row],[Source]]="","",IFERROR(INDEX(tblSources[Type],MATCH(tblMovement[[#This Row],[Source]],tblSources[Source],0)),"?"))</f>
        <v/>
      </c>
      <c r="L3965" s="63">
        <f>IF(tblMovement[[#This Row],[Destination]]="","",IFERROR(INDEX(tblDestinations[Type],MATCH(tblMovement[[#This Row],[Destination]],tblDestinations[Destination],0)),"?"))</f>
        <v/>
      </c>
      <c r="M3965" s="64">
        <f>IF(tblMovement[[#This Row],[Material]]="","",IF(LEFT(tblMovement[[#This Row],[Material]],3)="Ore",1,0))</f>
        <v/>
      </c>
      <c r="N3965" s="59">
        <f>IF(OR(tblMovement[[#This Row],[Tonnes_t]]="",tblMovement[[#This Row],[Grade_gpt]]=""),0,tblMovement[[#This Row],[Tonnes_t]]*tblMovement[[#This Row],[Grade_gpt]]/cfg_TroyOz)</f>
        <v/>
      </c>
      <c r="O3965" s="59">
        <f>IF(tblMovement[[#This Row],[Is_Ore]]=1,tblMovement[[#This Row],[Contained_oz]],0)</f>
        <v/>
      </c>
    </row>
    <row r="3966">
      <c r="A3966" s="54" t="n"/>
      <c r="B3966" s="61" t="n"/>
      <c r="C3966" s="61" t="n"/>
      <c r="D3966" s="61" t="n"/>
      <c r="E3966" s="61" t="n"/>
      <c r="F3966" s="55" t="n"/>
      <c r="G3966" s="56" t="n"/>
      <c r="H3966" s="55" t="n"/>
      <c r="I3966" s="62" t="n"/>
      <c r="J3966" s="58" t="n"/>
      <c r="K3966" s="63">
        <f>IF(tblMovement[[#This Row],[Source]]="","",IFERROR(INDEX(tblSources[Type],MATCH(tblMovement[[#This Row],[Source]],tblSources[Source],0)),"?"))</f>
        <v/>
      </c>
      <c r="L3966" s="63">
        <f>IF(tblMovement[[#This Row],[Destination]]="","",IFERROR(INDEX(tblDestinations[Type],MATCH(tblMovement[[#This Row],[Destination]],tblDestinations[Destination],0)),"?"))</f>
        <v/>
      </c>
      <c r="M3966" s="64">
        <f>IF(tblMovement[[#This Row],[Material]]="","",IF(LEFT(tblMovement[[#This Row],[Material]],3)="Ore",1,0))</f>
        <v/>
      </c>
      <c r="N3966" s="59">
        <f>IF(OR(tblMovement[[#This Row],[Tonnes_t]]="",tblMovement[[#This Row],[Grade_gpt]]=""),0,tblMovement[[#This Row],[Tonnes_t]]*tblMovement[[#This Row],[Grade_gpt]]/cfg_TroyOz)</f>
        <v/>
      </c>
      <c r="O3966" s="59">
        <f>IF(tblMovement[[#This Row],[Is_Ore]]=1,tblMovement[[#This Row],[Contained_oz]],0)</f>
        <v/>
      </c>
    </row>
    <row r="3967">
      <c r="A3967" s="54" t="n"/>
      <c r="B3967" s="61" t="n"/>
      <c r="C3967" s="61" t="n"/>
      <c r="D3967" s="61" t="n"/>
      <c r="E3967" s="61" t="n"/>
      <c r="F3967" s="55" t="n"/>
      <c r="G3967" s="56" t="n"/>
      <c r="H3967" s="55" t="n"/>
      <c r="I3967" s="62" t="n"/>
      <c r="J3967" s="58" t="n"/>
      <c r="K3967" s="63">
        <f>IF(tblMovement[[#This Row],[Source]]="","",IFERROR(INDEX(tblSources[Type],MATCH(tblMovement[[#This Row],[Source]],tblSources[Source],0)),"?"))</f>
        <v/>
      </c>
      <c r="L3967" s="63">
        <f>IF(tblMovement[[#This Row],[Destination]]="","",IFERROR(INDEX(tblDestinations[Type],MATCH(tblMovement[[#This Row],[Destination]],tblDestinations[Destination],0)),"?"))</f>
        <v/>
      </c>
      <c r="M3967" s="64">
        <f>IF(tblMovement[[#This Row],[Material]]="","",IF(LEFT(tblMovement[[#This Row],[Material]],3)="Ore",1,0))</f>
        <v/>
      </c>
      <c r="N3967" s="59">
        <f>IF(OR(tblMovement[[#This Row],[Tonnes_t]]="",tblMovement[[#This Row],[Grade_gpt]]=""),0,tblMovement[[#This Row],[Tonnes_t]]*tblMovement[[#This Row],[Grade_gpt]]/cfg_TroyOz)</f>
        <v/>
      </c>
      <c r="O3967" s="59">
        <f>IF(tblMovement[[#This Row],[Is_Ore]]=1,tblMovement[[#This Row],[Contained_oz]],0)</f>
        <v/>
      </c>
    </row>
    <row r="3968">
      <c r="A3968" s="54" t="n"/>
      <c r="B3968" s="61" t="n"/>
      <c r="C3968" s="61" t="n"/>
      <c r="D3968" s="61" t="n"/>
      <c r="E3968" s="61" t="n"/>
      <c r="F3968" s="55" t="n"/>
      <c r="G3968" s="56" t="n"/>
      <c r="H3968" s="55" t="n"/>
      <c r="I3968" s="62" t="n"/>
      <c r="J3968" s="58" t="n"/>
      <c r="K3968" s="63">
        <f>IF(tblMovement[[#This Row],[Source]]="","",IFERROR(INDEX(tblSources[Type],MATCH(tblMovement[[#This Row],[Source]],tblSources[Source],0)),"?"))</f>
        <v/>
      </c>
      <c r="L3968" s="63">
        <f>IF(tblMovement[[#This Row],[Destination]]="","",IFERROR(INDEX(tblDestinations[Type],MATCH(tblMovement[[#This Row],[Destination]],tblDestinations[Destination],0)),"?"))</f>
        <v/>
      </c>
      <c r="M3968" s="64">
        <f>IF(tblMovement[[#This Row],[Material]]="","",IF(LEFT(tblMovement[[#This Row],[Material]],3)="Ore",1,0))</f>
        <v/>
      </c>
      <c r="N3968" s="59">
        <f>IF(OR(tblMovement[[#This Row],[Tonnes_t]]="",tblMovement[[#This Row],[Grade_gpt]]=""),0,tblMovement[[#This Row],[Tonnes_t]]*tblMovement[[#This Row],[Grade_gpt]]/cfg_TroyOz)</f>
        <v/>
      </c>
      <c r="O3968" s="59">
        <f>IF(tblMovement[[#This Row],[Is_Ore]]=1,tblMovement[[#This Row],[Contained_oz]],0)</f>
        <v/>
      </c>
    </row>
    <row r="3969">
      <c r="A3969" s="54" t="n"/>
      <c r="B3969" s="61" t="n"/>
      <c r="C3969" s="61" t="n"/>
      <c r="D3969" s="61" t="n"/>
      <c r="E3969" s="61" t="n"/>
      <c r="F3969" s="55" t="n"/>
      <c r="G3969" s="56" t="n"/>
      <c r="H3969" s="55" t="n"/>
      <c r="I3969" s="62" t="n"/>
      <c r="J3969" s="58" t="n"/>
      <c r="K3969" s="63">
        <f>IF(tblMovement[[#This Row],[Source]]="","",IFERROR(INDEX(tblSources[Type],MATCH(tblMovement[[#This Row],[Source]],tblSources[Source],0)),"?"))</f>
        <v/>
      </c>
      <c r="L3969" s="63">
        <f>IF(tblMovement[[#This Row],[Destination]]="","",IFERROR(INDEX(tblDestinations[Type],MATCH(tblMovement[[#This Row],[Destination]],tblDestinations[Destination],0)),"?"))</f>
        <v/>
      </c>
      <c r="M3969" s="64">
        <f>IF(tblMovement[[#This Row],[Material]]="","",IF(LEFT(tblMovement[[#This Row],[Material]],3)="Ore",1,0))</f>
        <v/>
      </c>
      <c r="N3969" s="59">
        <f>IF(OR(tblMovement[[#This Row],[Tonnes_t]]="",tblMovement[[#This Row],[Grade_gpt]]=""),0,tblMovement[[#This Row],[Tonnes_t]]*tblMovement[[#This Row],[Grade_gpt]]/cfg_TroyOz)</f>
        <v/>
      </c>
      <c r="O3969" s="59">
        <f>IF(tblMovement[[#This Row],[Is_Ore]]=1,tblMovement[[#This Row],[Contained_oz]],0)</f>
        <v/>
      </c>
    </row>
    <row r="3970">
      <c r="A3970" s="54" t="n"/>
      <c r="B3970" s="61" t="n"/>
      <c r="C3970" s="61" t="n"/>
      <c r="D3970" s="61" t="n"/>
      <c r="E3970" s="61" t="n"/>
      <c r="F3970" s="55" t="n"/>
      <c r="G3970" s="56" t="n"/>
      <c r="H3970" s="55" t="n"/>
      <c r="I3970" s="62" t="n"/>
      <c r="J3970" s="58" t="n"/>
      <c r="K3970" s="63">
        <f>IF(tblMovement[[#This Row],[Source]]="","",IFERROR(INDEX(tblSources[Type],MATCH(tblMovement[[#This Row],[Source]],tblSources[Source],0)),"?"))</f>
        <v/>
      </c>
      <c r="L3970" s="63">
        <f>IF(tblMovement[[#This Row],[Destination]]="","",IFERROR(INDEX(tblDestinations[Type],MATCH(tblMovement[[#This Row],[Destination]],tblDestinations[Destination],0)),"?"))</f>
        <v/>
      </c>
      <c r="M3970" s="64">
        <f>IF(tblMovement[[#This Row],[Material]]="","",IF(LEFT(tblMovement[[#This Row],[Material]],3)="Ore",1,0))</f>
        <v/>
      </c>
      <c r="N3970" s="59">
        <f>IF(OR(tblMovement[[#This Row],[Tonnes_t]]="",tblMovement[[#This Row],[Grade_gpt]]=""),0,tblMovement[[#This Row],[Tonnes_t]]*tblMovement[[#This Row],[Grade_gpt]]/cfg_TroyOz)</f>
        <v/>
      </c>
      <c r="O3970" s="59">
        <f>IF(tblMovement[[#This Row],[Is_Ore]]=1,tblMovement[[#This Row],[Contained_oz]],0)</f>
        <v/>
      </c>
    </row>
    <row r="3971">
      <c r="A3971" s="54" t="n"/>
      <c r="B3971" s="61" t="n"/>
      <c r="C3971" s="61" t="n"/>
      <c r="D3971" s="61" t="n"/>
      <c r="E3971" s="61" t="n"/>
      <c r="F3971" s="55" t="n"/>
      <c r="G3971" s="56" t="n"/>
      <c r="H3971" s="55" t="n"/>
      <c r="I3971" s="62" t="n"/>
      <c r="J3971" s="58" t="n"/>
      <c r="K3971" s="63">
        <f>IF(tblMovement[[#This Row],[Source]]="","",IFERROR(INDEX(tblSources[Type],MATCH(tblMovement[[#This Row],[Source]],tblSources[Source],0)),"?"))</f>
        <v/>
      </c>
      <c r="L3971" s="63">
        <f>IF(tblMovement[[#This Row],[Destination]]="","",IFERROR(INDEX(tblDestinations[Type],MATCH(tblMovement[[#This Row],[Destination]],tblDestinations[Destination],0)),"?"))</f>
        <v/>
      </c>
      <c r="M3971" s="64">
        <f>IF(tblMovement[[#This Row],[Material]]="","",IF(LEFT(tblMovement[[#This Row],[Material]],3)="Ore",1,0))</f>
        <v/>
      </c>
      <c r="N3971" s="59">
        <f>IF(OR(tblMovement[[#This Row],[Tonnes_t]]="",tblMovement[[#This Row],[Grade_gpt]]=""),0,tblMovement[[#This Row],[Tonnes_t]]*tblMovement[[#This Row],[Grade_gpt]]/cfg_TroyOz)</f>
        <v/>
      </c>
      <c r="O3971" s="59">
        <f>IF(tblMovement[[#This Row],[Is_Ore]]=1,tblMovement[[#This Row],[Contained_oz]],0)</f>
        <v/>
      </c>
    </row>
    <row r="3972">
      <c r="A3972" s="54" t="n"/>
      <c r="B3972" s="61" t="n"/>
      <c r="C3972" s="61" t="n"/>
      <c r="D3972" s="61" t="n"/>
      <c r="E3972" s="61" t="n"/>
      <c r="F3972" s="55" t="n"/>
      <c r="G3972" s="56" t="n"/>
      <c r="H3972" s="55" t="n"/>
      <c r="I3972" s="62" t="n"/>
      <c r="J3972" s="58" t="n"/>
      <c r="K3972" s="63">
        <f>IF(tblMovement[[#This Row],[Source]]="","",IFERROR(INDEX(tblSources[Type],MATCH(tblMovement[[#This Row],[Source]],tblSources[Source],0)),"?"))</f>
        <v/>
      </c>
      <c r="L3972" s="63">
        <f>IF(tblMovement[[#This Row],[Destination]]="","",IFERROR(INDEX(tblDestinations[Type],MATCH(tblMovement[[#This Row],[Destination]],tblDestinations[Destination],0)),"?"))</f>
        <v/>
      </c>
      <c r="M3972" s="64">
        <f>IF(tblMovement[[#This Row],[Material]]="","",IF(LEFT(tblMovement[[#This Row],[Material]],3)="Ore",1,0))</f>
        <v/>
      </c>
      <c r="N3972" s="59">
        <f>IF(OR(tblMovement[[#This Row],[Tonnes_t]]="",tblMovement[[#This Row],[Grade_gpt]]=""),0,tblMovement[[#This Row],[Tonnes_t]]*tblMovement[[#This Row],[Grade_gpt]]/cfg_TroyOz)</f>
        <v/>
      </c>
      <c r="O3972" s="59">
        <f>IF(tblMovement[[#This Row],[Is_Ore]]=1,tblMovement[[#This Row],[Contained_oz]],0)</f>
        <v/>
      </c>
    </row>
    <row r="3973">
      <c r="A3973" s="54" t="n"/>
      <c r="B3973" s="61" t="n"/>
      <c r="C3973" s="61" t="n"/>
      <c r="D3973" s="61" t="n"/>
      <c r="E3973" s="61" t="n"/>
      <c r="F3973" s="55" t="n"/>
      <c r="G3973" s="56" t="n"/>
      <c r="H3973" s="55" t="n"/>
      <c r="I3973" s="62" t="n"/>
      <c r="J3973" s="58" t="n"/>
      <c r="K3973" s="63">
        <f>IF(tblMovement[[#This Row],[Source]]="","",IFERROR(INDEX(tblSources[Type],MATCH(tblMovement[[#This Row],[Source]],tblSources[Source],0)),"?"))</f>
        <v/>
      </c>
      <c r="L3973" s="63">
        <f>IF(tblMovement[[#This Row],[Destination]]="","",IFERROR(INDEX(tblDestinations[Type],MATCH(tblMovement[[#This Row],[Destination]],tblDestinations[Destination],0)),"?"))</f>
        <v/>
      </c>
      <c r="M3973" s="64">
        <f>IF(tblMovement[[#This Row],[Material]]="","",IF(LEFT(tblMovement[[#This Row],[Material]],3)="Ore",1,0))</f>
        <v/>
      </c>
      <c r="N3973" s="59">
        <f>IF(OR(tblMovement[[#This Row],[Tonnes_t]]="",tblMovement[[#This Row],[Grade_gpt]]=""),0,tblMovement[[#This Row],[Tonnes_t]]*tblMovement[[#This Row],[Grade_gpt]]/cfg_TroyOz)</f>
        <v/>
      </c>
      <c r="O3973" s="59">
        <f>IF(tblMovement[[#This Row],[Is_Ore]]=1,tblMovement[[#This Row],[Contained_oz]],0)</f>
        <v/>
      </c>
    </row>
    <row r="3974">
      <c r="A3974" s="54" t="n"/>
      <c r="B3974" s="61" t="n"/>
      <c r="C3974" s="61" t="n"/>
      <c r="D3974" s="61" t="n"/>
      <c r="E3974" s="61" t="n"/>
      <c r="F3974" s="55" t="n"/>
      <c r="G3974" s="56" t="n"/>
      <c r="H3974" s="55" t="n"/>
      <c r="I3974" s="62" t="n"/>
      <c r="J3974" s="58" t="n"/>
      <c r="K3974" s="63">
        <f>IF(tblMovement[[#This Row],[Source]]="","",IFERROR(INDEX(tblSources[Type],MATCH(tblMovement[[#This Row],[Source]],tblSources[Source],0)),"?"))</f>
        <v/>
      </c>
      <c r="L3974" s="63">
        <f>IF(tblMovement[[#This Row],[Destination]]="","",IFERROR(INDEX(tblDestinations[Type],MATCH(tblMovement[[#This Row],[Destination]],tblDestinations[Destination],0)),"?"))</f>
        <v/>
      </c>
      <c r="M3974" s="64">
        <f>IF(tblMovement[[#This Row],[Material]]="","",IF(LEFT(tblMovement[[#This Row],[Material]],3)="Ore",1,0))</f>
        <v/>
      </c>
      <c r="N3974" s="59">
        <f>IF(OR(tblMovement[[#This Row],[Tonnes_t]]="",tblMovement[[#This Row],[Grade_gpt]]=""),0,tblMovement[[#This Row],[Tonnes_t]]*tblMovement[[#This Row],[Grade_gpt]]/cfg_TroyOz)</f>
        <v/>
      </c>
      <c r="O3974" s="59">
        <f>IF(tblMovement[[#This Row],[Is_Ore]]=1,tblMovement[[#This Row],[Contained_oz]],0)</f>
        <v/>
      </c>
    </row>
    <row r="3975">
      <c r="A3975" s="54" t="n"/>
      <c r="B3975" s="61" t="n"/>
      <c r="C3975" s="61" t="n"/>
      <c r="D3975" s="61" t="n"/>
      <c r="E3975" s="61" t="n"/>
      <c r="F3975" s="55" t="n"/>
      <c r="G3975" s="56" t="n"/>
      <c r="H3975" s="55" t="n"/>
      <c r="I3975" s="62" t="n"/>
      <c r="J3975" s="58" t="n"/>
      <c r="K3975" s="63">
        <f>IF(tblMovement[[#This Row],[Source]]="","",IFERROR(INDEX(tblSources[Type],MATCH(tblMovement[[#This Row],[Source]],tblSources[Source],0)),"?"))</f>
        <v/>
      </c>
      <c r="L3975" s="63">
        <f>IF(tblMovement[[#This Row],[Destination]]="","",IFERROR(INDEX(tblDestinations[Type],MATCH(tblMovement[[#This Row],[Destination]],tblDestinations[Destination],0)),"?"))</f>
        <v/>
      </c>
      <c r="M3975" s="64">
        <f>IF(tblMovement[[#This Row],[Material]]="","",IF(LEFT(tblMovement[[#This Row],[Material]],3)="Ore",1,0))</f>
        <v/>
      </c>
      <c r="N3975" s="59">
        <f>IF(OR(tblMovement[[#This Row],[Tonnes_t]]="",tblMovement[[#This Row],[Grade_gpt]]=""),0,tblMovement[[#This Row],[Tonnes_t]]*tblMovement[[#This Row],[Grade_gpt]]/cfg_TroyOz)</f>
        <v/>
      </c>
      <c r="O3975" s="59">
        <f>IF(tblMovement[[#This Row],[Is_Ore]]=1,tblMovement[[#This Row],[Contained_oz]],0)</f>
        <v/>
      </c>
    </row>
    <row r="3976">
      <c r="A3976" s="54" t="n"/>
      <c r="B3976" s="61" t="n"/>
      <c r="C3976" s="61" t="n"/>
      <c r="D3976" s="61" t="n"/>
      <c r="E3976" s="61" t="n"/>
      <c r="F3976" s="55" t="n"/>
      <c r="G3976" s="56" t="n"/>
      <c r="H3976" s="55" t="n"/>
      <c r="I3976" s="62" t="n"/>
      <c r="J3976" s="58" t="n"/>
      <c r="K3976" s="63">
        <f>IF(tblMovement[[#This Row],[Source]]="","",IFERROR(INDEX(tblSources[Type],MATCH(tblMovement[[#This Row],[Source]],tblSources[Source],0)),"?"))</f>
        <v/>
      </c>
      <c r="L3976" s="63">
        <f>IF(tblMovement[[#This Row],[Destination]]="","",IFERROR(INDEX(tblDestinations[Type],MATCH(tblMovement[[#This Row],[Destination]],tblDestinations[Destination],0)),"?"))</f>
        <v/>
      </c>
      <c r="M3976" s="64">
        <f>IF(tblMovement[[#This Row],[Material]]="","",IF(LEFT(tblMovement[[#This Row],[Material]],3)="Ore",1,0))</f>
        <v/>
      </c>
      <c r="N3976" s="59">
        <f>IF(OR(tblMovement[[#This Row],[Tonnes_t]]="",tblMovement[[#This Row],[Grade_gpt]]=""),0,tblMovement[[#This Row],[Tonnes_t]]*tblMovement[[#This Row],[Grade_gpt]]/cfg_TroyOz)</f>
        <v/>
      </c>
      <c r="O3976" s="59">
        <f>IF(tblMovement[[#This Row],[Is_Ore]]=1,tblMovement[[#This Row],[Contained_oz]],0)</f>
        <v/>
      </c>
    </row>
    <row r="3977">
      <c r="A3977" s="54" t="n"/>
      <c r="B3977" s="61" t="n"/>
      <c r="C3977" s="61" t="n"/>
      <c r="D3977" s="61" t="n"/>
      <c r="E3977" s="61" t="n"/>
      <c r="F3977" s="55" t="n"/>
      <c r="G3977" s="56" t="n"/>
      <c r="H3977" s="55" t="n"/>
      <c r="I3977" s="62" t="n"/>
      <c r="J3977" s="58" t="n"/>
      <c r="K3977" s="63">
        <f>IF(tblMovement[[#This Row],[Source]]="","",IFERROR(INDEX(tblSources[Type],MATCH(tblMovement[[#This Row],[Source]],tblSources[Source],0)),"?"))</f>
        <v/>
      </c>
      <c r="L3977" s="63">
        <f>IF(tblMovement[[#This Row],[Destination]]="","",IFERROR(INDEX(tblDestinations[Type],MATCH(tblMovement[[#This Row],[Destination]],tblDestinations[Destination],0)),"?"))</f>
        <v/>
      </c>
      <c r="M3977" s="64">
        <f>IF(tblMovement[[#This Row],[Material]]="","",IF(LEFT(tblMovement[[#This Row],[Material]],3)="Ore",1,0))</f>
        <v/>
      </c>
      <c r="N3977" s="59">
        <f>IF(OR(tblMovement[[#This Row],[Tonnes_t]]="",tblMovement[[#This Row],[Grade_gpt]]=""),0,tblMovement[[#This Row],[Tonnes_t]]*tblMovement[[#This Row],[Grade_gpt]]/cfg_TroyOz)</f>
        <v/>
      </c>
      <c r="O3977" s="59">
        <f>IF(tblMovement[[#This Row],[Is_Ore]]=1,tblMovement[[#This Row],[Contained_oz]],0)</f>
        <v/>
      </c>
    </row>
    <row r="3978">
      <c r="A3978" s="54" t="n"/>
      <c r="B3978" s="61" t="n"/>
      <c r="C3978" s="61" t="n"/>
      <c r="D3978" s="61" t="n"/>
      <c r="E3978" s="61" t="n"/>
      <c r="F3978" s="55" t="n"/>
      <c r="G3978" s="56" t="n"/>
      <c r="H3978" s="55" t="n"/>
      <c r="I3978" s="62" t="n"/>
      <c r="J3978" s="58" t="n"/>
      <c r="K3978" s="63">
        <f>IF(tblMovement[[#This Row],[Source]]="","",IFERROR(INDEX(tblSources[Type],MATCH(tblMovement[[#This Row],[Source]],tblSources[Source],0)),"?"))</f>
        <v/>
      </c>
      <c r="L3978" s="63">
        <f>IF(tblMovement[[#This Row],[Destination]]="","",IFERROR(INDEX(tblDestinations[Type],MATCH(tblMovement[[#This Row],[Destination]],tblDestinations[Destination],0)),"?"))</f>
        <v/>
      </c>
      <c r="M3978" s="64">
        <f>IF(tblMovement[[#This Row],[Material]]="","",IF(LEFT(tblMovement[[#This Row],[Material]],3)="Ore",1,0))</f>
        <v/>
      </c>
      <c r="N3978" s="59">
        <f>IF(OR(tblMovement[[#This Row],[Tonnes_t]]="",tblMovement[[#This Row],[Grade_gpt]]=""),0,tblMovement[[#This Row],[Tonnes_t]]*tblMovement[[#This Row],[Grade_gpt]]/cfg_TroyOz)</f>
        <v/>
      </c>
      <c r="O3978" s="59">
        <f>IF(tblMovement[[#This Row],[Is_Ore]]=1,tblMovement[[#This Row],[Contained_oz]],0)</f>
        <v/>
      </c>
    </row>
    <row r="3979">
      <c r="A3979" s="54" t="n"/>
      <c r="B3979" s="61" t="n"/>
      <c r="C3979" s="61" t="n"/>
      <c r="D3979" s="61" t="n"/>
      <c r="E3979" s="61" t="n"/>
      <c r="F3979" s="55" t="n"/>
      <c r="G3979" s="56" t="n"/>
      <c r="H3979" s="55" t="n"/>
      <c r="I3979" s="62" t="n"/>
      <c r="J3979" s="58" t="n"/>
      <c r="K3979" s="63">
        <f>IF(tblMovement[[#This Row],[Source]]="","",IFERROR(INDEX(tblSources[Type],MATCH(tblMovement[[#This Row],[Source]],tblSources[Source],0)),"?"))</f>
        <v/>
      </c>
      <c r="L3979" s="63">
        <f>IF(tblMovement[[#This Row],[Destination]]="","",IFERROR(INDEX(tblDestinations[Type],MATCH(tblMovement[[#This Row],[Destination]],tblDestinations[Destination],0)),"?"))</f>
        <v/>
      </c>
      <c r="M3979" s="64">
        <f>IF(tblMovement[[#This Row],[Material]]="","",IF(LEFT(tblMovement[[#This Row],[Material]],3)="Ore",1,0))</f>
        <v/>
      </c>
      <c r="N3979" s="59">
        <f>IF(OR(tblMovement[[#This Row],[Tonnes_t]]="",tblMovement[[#This Row],[Grade_gpt]]=""),0,tblMovement[[#This Row],[Tonnes_t]]*tblMovement[[#This Row],[Grade_gpt]]/cfg_TroyOz)</f>
        <v/>
      </c>
      <c r="O3979" s="59">
        <f>IF(tblMovement[[#This Row],[Is_Ore]]=1,tblMovement[[#This Row],[Contained_oz]],0)</f>
        <v/>
      </c>
    </row>
    <row r="3980">
      <c r="A3980" s="54" t="n"/>
      <c r="B3980" s="61" t="n"/>
      <c r="C3980" s="61" t="n"/>
      <c r="D3980" s="61" t="n"/>
      <c r="E3980" s="61" t="n"/>
      <c r="F3980" s="55" t="n"/>
      <c r="G3980" s="56" t="n"/>
      <c r="H3980" s="55" t="n"/>
      <c r="I3980" s="62" t="n"/>
      <c r="J3980" s="58" t="n"/>
      <c r="K3980" s="63">
        <f>IF(tblMovement[[#This Row],[Source]]="","",IFERROR(INDEX(tblSources[Type],MATCH(tblMovement[[#This Row],[Source]],tblSources[Source],0)),"?"))</f>
        <v/>
      </c>
      <c r="L3980" s="63">
        <f>IF(tblMovement[[#This Row],[Destination]]="","",IFERROR(INDEX(tblDestinations[Type],MATCH(tblMovement[[#This Row],[Destination]],tblDestinations[Destination],0)),"?"))</f>
        <v/>
      </c>
      <c r="M3980" s="64">
        <f>IF(tblMovement[[#This Row],[Material]]="","",IF(LEFT(tblMovement[[#This Row],[Material]],3)="Ore",1,0))</f>
        <v/>
      </c>
      <c r="N3980" s="59">
        <f>IF(OR(tblMovement[[#This Row],[Tonnes_t]]="",tblMovement[[#This Row],[Grade_gpt]]=""),0,tblMovement[[#This Row],[Tonnes_t]]*tblMovement[[#This Row],[Grade_gpt]]/cfg_TroyOz)</f>
        <v/>
      </c>
      <c r="O3980" s="59">
        <f>IF(tblMovement[[#This Row],[Is_Ore]]=1,tblMovement[[#This Row],[Contained_oz]],0)</f>
        <v/>
      </c>
    </row>
    <row r="3981">
      <c r="A3981" s="54" t="n"/>
      <c r="B3981" s="61" t="n"/>
      <c r="C3981" s="61" t="n"/>
      <c r="D3981" s="61" t="n"/>
      <c r="E3981" s="61" t="n"/>
      <c r="F3981" s="55" t="n"/>
      <c r="G3981" s="56" t="n"/>
      <c r="H3981" s="55" t="n"/>
      <c r="I3981" s="62" t="n"/>
      <c r="J3981" s="58" t="n"/>
      <c r="K3981" s="63">
        <f>IF(tblMovement[[#This Row],[Source]]="","",IFERROR(INDEX(tblSources[Type],MATCH(tblMovement[[#This Row],[Source]],tblSources[Source],0)),"?"))</f>
        <v/>
      </c>
      <c r="L3981" s="63">
        <f>IF(tblMovement[[#This Row],[Destination]]="","",IFERROR(INDEX(tblDestinations[Type],MATCH(tblMovement[[#This Row],[Destination]],tblDestinations[Destination],0)),"?"))</f>
        <v/>
      </c>
      <c r="M3981" s="64">
        <f>IF(tblMovement[[#This Row],[Material]]="","",IF(LEFT(tblMovement[[#This Row],[Material]],3)="Ore",1,0))</f>
        <v/>
      </c>
      <c r="N3981" s="59">
        <f>IF(OR(tblMovement[[#This Row],[Tonnes_t]]="",tblMovement[[#This Row],[Grade_gpt]]=""),0,tblMovement[[#This Row],[Tonnes_t]]*tblMovement[[#This Row],[Grade_gpt]]/cfg_TroyOz)</f>
        <v/>
      </c>
      <c r="O3981" s="59">
        <f>IF(tblMovement[[#This Row],[Is_Ore]]=1,tblMovement[[#This Row],[Contained_oz]],0)</f>
        <v/>
      </c>
    </row>
    <row r="3982">
      <c r="A3982" s="54" t="n"/>
      <c r="B3982" s="61" t="n"/>
      <c r="C3982" s="61" t="n"/>
      <c r="D3982" s="61" t="n"/>
      <c r="E3982" s="61" t="n"/>
      <c r="F3982" s="55" t="n"/>
      <c r="G3982" s="56" t="n"/>
      <c r="H3982" s="55" t="n"/>
      <c r="I3982" s="62" t="n"/>
      <c r="J3982" s="58" t="n"/>
      <c r="K3982" s="63">
        <f>IF(tblMovement[[#This Row],[Source]]="","",IFERROR(INDEX(tblSources[Type],MATCH(tblMovement[[#This Row],[Source]],tblSources[Source],0)),"?"))</f>
        <v/>
      </c>
      <c r="L3982" s="63">
        <f>IF(tblMovement[[#This Row],[Destination]]="","",IFERROR(INDEX(tblDestinations[Type],MATCH(tblMovement[[#This Row],[Destination]],tblDestinations[Destination],0)),"?"))</f>
        <v/>
      </c>
      <c r="M3982" s="64">
        <f>IF(tblMovement[[#This Row],[Material]]="","",IF(LEFT(tblMovement[[#This Row],[Material]],3)="Ore",1,0))</f>
        <v/>
      </c>
      <c r="N3982" s="59">
        <f>IF(OR(tblMovement[[#This Row],[Tonnes_t]]="",tblMovement[[#This Row],[Grade_gpt]]=""),0,tblMovement[[#This Row],[Tonnes_t]]*tblMovement[[#This Row],[Grade_gpt]]/cfg_TroyOz)</f>
        <v/>
      </c>
      <c r="O3982" s="59">
        <f>IF(tblMovement[[#This Row],[Is_Ore]]=1,tblMovement[[#This Row],[Contained_oz]],0)</f>
        <v/>
      </c>
    </row>
    <row r="3983">
      <c r="A3983" s="54" t="n"/>
      <c r="B3983" s="61" t="n"/>
      <c r="C3983" s="61" t="n"/>
      <c r="D3983" s="61" t="n"/>
      <c r="E3983" s="61" t="n"/>
      <c r="F3983" s="55" t="n"/>
      <c r="G3983" s="56" t="n"/>
      <c r="H3983" s="55" t="n"/>
      <c r="I3983" s="62" t="n"/>
      <c r="J3983" s="58" t="n"/>
      <c r="K3983" s="63">
        <f>IF(tblMovement[[#This Row],[Source]]="","",IFERROR(INDEX(tblSources[Type],MATCH(tblMovement[[#This Row],[Source]],tblSources[Source],0)),"?"))</f>
        <v/>
      </c>
      <c r="L3983" s="63">
        <f>IF(tblMovement[[#This Row],[Destination]]="","",IFERROR(INDEX(tblDestinations[Type],MATCH(tblMovement[[#This Row],[Destination]],tblDestinations[Destination],0)),"?"))</f>
        <v/>
      </c>
      <c r="M3983" s="64">
        <f>IF(tblMovement[[#This Row],[Material]]="","",IF(LEFT(tblMovement[[#This Row],[Material]],3)="Ore",1,0))</f>
        <v/>
      </c>
      <c r="N3983" s="59">
        <f>IF(OR(tblMovement[[#This Row],[Tonnes_t]]="",tblMovement[[#This Row],[Grade_gpt]]=""),0,tblMovement[[#This Row],[Tonnes_t]]*tblMovement[[#This Row],[Grade_gpt]]/cfg_TroyOz)</f>
        <v/>
      </c>
      <c r="O3983" s="59">
        <f>IF(tblMovement[[#This Row],[Is_Ore]]=1,tblMovement[[#This Row],[Contained_oz]],0)</f>
        <v/>
      </c>
    </row>
    <row r="3984">
      <c r="A3984" s="54" t="n"/>
      <c r="B3984" s="61" t="n"/>
      <c r="C3984" s="61" t="n"/>
      <c r="D3984" s="61" t="n"/>
      <c r="E3984" s="61" t="n"/>
      <c r="F3984" s="55" t="n"/>
      <c r="G3984" s="56" t="n"/>
      <c r="H3984" s="55" t="n"/>
      <c r="I3984" s="62" t="n"/>
      <c r="J3984" s="58" t="n"/>
      <c r="K3984" s="63">
        <f>IF(tblMovement[[#This Row],[Source]]="","",IFERROR(INDEX(tblSources[Type],MATCH(tblMovement[[#This Row],[Source]],tblSources[Source],0)),"?"))</f>
        <v/>
      </c>
      <c r="L3984" s="63">
        <f>IF(tblMovement[[#This Row],[Destination]]="","",IFERROR(INDEX(tblDestinations[Type],MATCH(tblMovement[[#This Row],[Destination]],tblDestinations[Destination],0)),"?"))</f>
        <v/>
      </c>
      <c r="M3984" s="64">
        <f>IF(tblMovement[[#This Row],[Material]]="","",IF(LEFT(tblMovement[[#This Row],[Material]],3)="Ore",1,0))</f>
        <v/>
      </c>
      <c r="N3984" s="59">
        <f>IF(OR(tblMovement[[#This Row],[Tonnes_t]]="",tblMovement[[#This Row],[Grade_gpt]]=""),0,tblMovement[[#This Row],[Tonnes_t]]*tblMovement[[#This Row],[Grade_gpt]]/cfg_TroyOz)</f>
        <v/>
      </c>
      <c r="O3984" s="59">
        <f>IF(tblMovement[[#This Row],[Is_Ore]]=1,tblMovement[[#This Row],[Contained_oz]],0)</f>
        <v/>
      </c>
    </row>
    <row r="3985">
      <c r="A3985" s="54" t="n"/>
      <c r="B3985" s="61" t="n"/>
      <c r="C3985" s="61" t="n"/>
      <c r="D3985" s="61" t="n"/>
      <c r="E3985" s="61" t="n"/>
      <c r="F3985" s="55" t="n"/>
      <c r="G3985" s="56" t="n"/>
      <c r="H3985" s="55" t="n"/>
      <c r="I3985" s="62" t="n"/>
      <c r="J3985" s="58" t="n"/>
      <c r="K3985" s="63">
        <f>IF(tblMovement[[#This Row],[Source]]="","",IFERROR(INDEX(tblSources[Type],MATCH(tblMovement[[#This Row],[Source]],tblSources[Source],0)),"?"))</f>
        <v/>
      </c>
      <c r="L3985" s="63">
        <f>IF(tblMovement[[#This Row],[Destination]]="","",IFERROR(INDEX(tblDestinations[Type],MATCH(tblMovement[[#This Row],[Destination]],tblDestinations[Destination],0)),"?"))</f>
        <v/>
      </c>
      <c r="M3985" s="64">
        <f>IF(tblMovement[[#This Row],[Material]]="","",IF(LEFT(tblMovement[[#This Row],[Material]],3)="Ore",1,0))</f>
        <v/>
      </c>
      <c r="N3985" s="59">
        <f>IF(OR(tblMovement[[#This Row],[Tonnes_t]]="",tblMovement[[#This Row],[Grade_gpt]]=""),0,tblMovement[[#This Row],[Tonnes_t]]*tblMovement[[#This Row],[Grade_gpt]]/cfg_TroyOz)</f>
        <v/>
      </c>
      <c r="O3985" s="59">
        <f>IF(tblMovement[[#This Row],[Is_Ore]]=1,tblMovement[[#This Row],[Contained_oz]],0)</f>
        <v/>
      </c>
    </row>
    <row r="3986">
      <c r="A3986" s="54" t="n"/>
      <c r="B3986" s="61" t="n"/>
      <c r="C3986" s="61" t="n"/>
      <c r="D3986" s="61" t="n"/>
      <c r="E3986" s="61" t="n"/>
      <c r="F3986" s="55" t="n"/>
      <c r="G3986" s="56" t="n"/>
      <c r="H3986" s="55" t="n"/>
      <c r="I3986" s="62" t="n"/>
      <c r="J3986" s="58" t="n"/>
      <c r="K3986" s="63">
        <f>IF(tblMovement[[#This Row],[Source]]="","",IFERROR(INDEX(tblSources[Type],MATCH(tblMovement[[#This Row],[Source]],tblSources[Source],0)),"?"))</f>
        <v/>
      </c>
      <c r="L3986" s="63">
        <f>IF(tblMovement[[#This Row],[Destination]]="","",IFERROR(INDEX(tblDestinations[Type],MATCH(tblMovement[[#This Row],[Destination]],tblDestinations[Destination],0)),"?"))</f>
        <v/>
      </c>
      <c r="M3986" s="64">
        <f>IF(tblMovement[[#This Row],[Material]]="","",IF(LEFT(tblMovement[[#This Row],[Material]],3)="Ore",1,0))</f>
        <v/>
      </c>
      <c r="N3986" s="59">
        <f>IF(OR(tblMovement[[#This Row],[Tonnes_t]]="",tblMovement[[#This Row],[Grade_gpt]]=""),0,tblMovement[[#This Row],[Tonnes_t]]*tblMovement[[#This Row],[Grade_gpt]]/cfg_TroyOz)</f>
        <v/>
      </c>
      <c r="O3986" s="59">
        <f>IF(tblMovement[[#This Row],[Is_Ore]]=1,tblMovement[[#This Row],[Contained_oz]],0)</f>
        <v/>
      </c>
    </row>
    <row r="3987">
      <c r="A3987" s="54" t="n"/>
      <c r="B3987" s="61" t="n"/>
      <c r="C3987" s="61" t="n"/>
      <c r="D3987" s="61" t="n"/>
      <c r="E3987" s="61" t="n"/>
      <c r="F3987" s="55" t="n"/>
      <c r="G3987" s="56" t="n"/>
      <c r="H3987" s="55" t="n"/>
      <c r="I3987" s="62" t="n"/>
      <c r="J3987" s="58" t="n"/>
      <c r="K3987" s="63">
        <f>IF(tblMovement[[#This Row],[Source]]="","",IFERROR(INDEX(tblSources[Type],MATCH(tblMovement[[#This Row],[Source]],tblSources[Source],0)),"?"))</f>
        <v/>
      </c>
      <c r="L3987" s="63">
        <f>IF(tblMovement[[#This Row],[Destination]]="","",IFERROR(INDEX(tblDestinations[Type],MATCH(tblMovement[[#This Row],[Destination]],tblDestinations[Destination],0)),"?"))</f>
        <v/>
      </c>
      <c r="M3987" s="64">
        <f>IF(tblMovement[[#This Row],[Material]]="","",IF(LEFT(tblMovement[[#This Row],[Material]],3)="Ore",1,0))</f>
        <v/>
      </c>
      <c r="N3987" s="59">
        <f>IF(OR(tblMovement[[#This Row],[Tonnes_t]]="",tblMovement[[#This Row],[Grade_gpt]]=""),0,tblMovement[[#This Row],[Tonnes_t]]*tblMovement[[#This Row],[Grade_gpt]]/cfg_TroyOz)</f>
        <v/>
      </c>
      <c r="O3987" s="59">
        <f>IF(tblMovement[[#This Row],[Is_Ore]]=1,tblMovement[[#This Row],[Contained_oz]],0)</f>
        <v/>
      </c>
    </row>
    <row r="3988">
      <c r="A3988" s="54" t="n"/>
      <c r="B3988" s="61" t="n"/>
      <c r="C3988" s="61" t="n"/>
      <c r="D3988" s="61" t="n"/>
      <c r="E3988" s="61" t="n"/>
      <c r="F3988" s="55" t="n"/>
      <c r="G3988" s="56" t="n"/>
      <c r="H3988" s="55" t="n"/>
      <c r="I3988" s="62" t="n"/>
      <c r="J3988" s="58" t="n"/>
      <c r="K3988" s="63">
        <f>IF(tblMovement[[#This Row],[Source]]="","",IFERROR(INDEX(tblSources[Type],MATCH(tblMovement[[#This Row],[Source]],tblSources[Source],0)),"?"))</f>
        <v/>
      </c>
      <c r="L3988" s="63">
        <f>IF(tblMovement[[#This Row],[Destination]]="","",IFERROR(INDEX(tblDestinations[Type],MATCH(tblMovement[[#This Row],[Destination]],tblDestinations[Destination],0)),"?"))</f>
        <v/>
      </c>
      <c r="M3988" s="64">
        <f>IF(tblMovement[[#This Row],[Material]]="","",IF(LEFT(tblMovement[[#This Row],[Material]],3)="Ore",1,0))</f>
        <v/>
      </c>
      <c r="N3988" s="59">
        <f>IF(OR(tblMovement[[#This Row],[Tonnes_t]]="",tblMovement[[#This Row],[Grade_gpt]]=""),0,tblMovement[[#This Row],[Tonnes_t]]*tblMovement[[#This Row],[Grade_gpt]]/cfg_TroyOz)</f>
        <v/>
      </c>
      <c r="O3988" s="59">
        <f>IF(tblMovement[[#This Row],[Is_Ore]]=1,tblMovement[[#This Row],[Contained_oz]],0)</f>
        <v/>
      </c>
    </row>
    <row r="3989">
      <c r="A3989" s="54" t="n"/>
      <c r="B3989" s="61" t="n"/>
      <c r="C3989" s="61" t="n"/>
      <c r="D3989" s="61" t="n"/>
      <c r="E3989" s="61" t="n"/>
      <c r="F3989" s="55" t="n"/>
      <c r="G3989" s="56" t="n"/>
      <c r="H3989" s="55" t="n"/>
      <c r="I3989" s="62" t="n"/>
      <c r="J3989" s="58" t="n"/>
      <c r="K3989" s="63">
        <f>IF(tblMovement[[#This Row],[Source]]="","",IFERROR(INDEX(tblSources[Type],MATCH(tblMovement[[#This Row],[Source]],tblSources[Source],0)),"?"))</f>
        <v/>
      </c>
      <c r="L3989" s="63">
        <f>IF(tblMovement[[#This Row],[Destination]]="","",IFERROR(INDEX(tblDestinations[Type],MATCH(tblMovement[[#This Row],[Destination]],tblDestinations[Destination],0)),"?"))</f>
        <v/>
      </c>
      <c r="M3989" s="64">
        <f>IF(tblMovement[[#This Row],[Material]]="","",IF(LEFT(tblMovement[[#This Row],[Material]],3)="Ore",1,0))</f>
        <v/>
      </c>
      <c r="N3989" s="59">
        <f>IF(OR(tblMovement[[#This Row],[Tonnes_t]]="",tblMovement[[#This Row],[Grade_gpt]]=""),0,tblMovement[[#This Row],[Tonnes_t]]*tblMovement[[#This Row],[Grade_gpt]]/cfg_TroyOz)</f>
        <v/>
      </c>
      <c r="O3989" s="59">
        <f>IF(tblMovement[[#This Row],[Is_Ore]]=1,tblMovement[[#This Row],[Contained_oz]],0)</f>
        <v/>
      </c>
    </row>
    <row r="3990">
      <c r="A3990" s="54" t="n"/>
      <c r="B3990" s="61" t="n"/>
      <c r="C3990" s="61" t="n"/>
      <c r="D3990" s="61" t="n"/>
      <c r="E3990" s="61" t="n"/>
      <c r="F3990" s="55" t="n"/>
      <c r="G3990" s="56" t="n"/>
      <c r="H3990" s="55" t="n"/>
      <c r="I3990" s="62" t="n"/>
      <c r="J3990" s="58" t="n"/>
      <c r="K3990" s="63">
        <f>IF(tblMovement[[#This Row],[Source]]="","",IFERROR(INDEX(tblSources[Type],MATCH(tblMovement[[#This Row],[Source]],tblSources[Source],0)),"?"))</f>
        <v/>
      </c>
      <c r="L3990" s="63">
        <f>IF(tblMovement[[#This Row],[Destination]]="","",IFERROR(INDEX(tblDestinations[Type],MATCH(tblMovement[[#This Row],[Destination]],tblDestinations[Destination],0)),"?"))</f>
        <v/>
      </c>
      <c r="M3990" s="64">
        <f>IF(tblMovement[[#This Row],[Material]]="","",IF(LEFT(tblMovement[[#This Row],[Material]],3)="Ore",1,0))</f>
        <v/>
      </c>
      <c r="N3990" s="59">
        <f>IF(OR(tblMovement[[#This Row],[Tonnes_t]]="",tblMovement[[#This Row],[Grade_gpt]]=""),0,tblMovement[[#This Row],[Tonnes_t]]*tblMovement[[#This Row],[Grade_gpt]]/cfg_TroyOz)</f>
        <v/>
      </c>
      <c r="O3990" s="59">
        <f>IF(tblMovement[[#This Row],[Is_Ore]]=1,tblMovement[[#This Row],[Contained_oz]],0)</f>
        <v/>
      </c>
    </row>
    <row r="3991">
      <c r="A3991" s="54" t="n"/>
      <c r="B3991" s="61" t="n"/>
      <c r="C3991" s="61" t="n"/>
      <c r="D3991" s="61" t="n"/>
      <c r="E3991" s="61" t="n"/>
      <c r="F3991" s="55" t="n"/>
      <c r="G3991" s="56" t="n"/>
      <c r="H3991" s="55" t="n"/>
      <c r="I3991" s="62" t="n"/>
      <c r="J3991" s="58" t="n"/>
      <c r="K3991" s="63">
        <f>IF(tblMovement[[#This Row],[Source]]="","",IFERROR(INDEX(tblSources[Type],MATCH(tblMovement[[#This Row],[Source]],tblSources[Source],0)),"?"))</f>
        <v/>
      </c>
      <c r="L3991" s="63">
        <f>IF(tblMovement[[#This Row],[Destination]]="","",IFERROR(INDEX(tblDestinations[Type],MATCH(tblMovement[[#This Row],[Destination]],tblDestinations[Destination],0)),"?"))</f>
        <v/>
      </c>
      <c r="M3991" s="64">
        <f>IF(tblMovement[[#This Row],[Material]]="","",IF(LEFT(tblMovement[[#This Row],[Material]],3)="Ore",1,0))</f>
        <v/>
      </c>
      <c r="N3991" s="59">
        <f>IF(OR(tblMovement[[#This Row],[Tonnes_t]]="",tblMovement[[#This Row],[Grade_gpt]]=""),0,tblMovement[[#This Row],[Tonnes_t]]*tblMovement[[#This Row],[Grade_gpt]]/cfg_TroyOz)</f>
        <v/>
      </c>
      <c r="O3991" s="59">
        <f>IF(tblMovement[[#This Row],[Is_Ore]]=1,tblMovement[[#This Row],[Contained_oz]],0)</f>
        <v/>
      </c>
    </row>
    <row r="3992">
      <c r="A3992" s="54" t="n"/>
      <c r="B3992" s="61" t="n"/>
      <c r="C3992" s="61" t="n"/>
      <c r="D3992" s="61" t="n"/>
      <c r="E3992" s="61" t="n"/>
      <c r="F3992" s="55" t="n"/>
      <c r="G3992" s="56" t="n"/>
      <c r="H3992" s="55" t="n"/>
      <c r="I3992" s="62" t="n"/>
      <c r="J3992" s="58" t="n"/>
      <c r="K3992" s="63">
        <f>IF(tblMovement[[#This Row],[Source]]="","",IFERROR(INDEX(tblSources[Type],MATCH(tblMovement[[#This Row],[Source]],tblSources[Source],0)),"?"))</f>
        <v/>
      </c>
      <c r="L3992" s="63">
        <f>IF(tblMovement[[#This Row],[Destination]]="","",IFERROR(INDEX(tblDestinations[Type],MATCH(tblMovement[[#This Row],[Destination]],tblDestinations[Destination],0)),"?"))</f>
        <v/>
      </c>
      <c r="M3992" s="64">
        <f>IF(tblMovement[[#This Row],[Material]]="","",IF(LEFT(tblMovement[[#This Row],[Material]],3)="Ore",1,0))</f>
        <v/>
      </c>
      <c r="N3992" s="59">
        <f>IF(OR(tblMovement[[#This Row],[Tonnes_t]]="",tblMovement[[#This Row],[Grade_gpt]]=""),0,tblMovement[[#This Row],[Tonnes_t]]*tblMovement[[#This Row],[Grade_gpt]]/cfg_TroyOz)</f>
        <v/>
      </c>
      <c r="O3992" s="59">
        <f>IF(tblMovement[[#This Row],[Is_Ore]]=1,tblMovement[[#This Row],[Contained_oz]],0)</f>
        <v/>
      </c>
    </row>
    <row r="3993">
      <c r="A3993" s="54" t="n"/>
      <c r="B3993" s="61" t="n"/>
      <c r="C3993" s="61" t="n"/>
      <c r="D3993" s="61" t="n"/>
      <c r="E3993" s="61" t="n"/>
      <c r="F3993" s="55" t="n"/>
      <c r="G3993" s="56" t="n"/>
      <c r="H3993" s="55" t="n"/>
      <c r="I3993" s="62" t="n"/>
      <c r="J3993" s="58" t="n"/>
      <c r="K3993" s="63">
        <f>IF(tblMovement[[#This Row],[Source]]="","",IFERROR(INDEX(tblSources[Type],MATCH(tblMovement[[#This Row],[Source]],tblSources[Source],0)),"?"))</f>
        <v/>
      </c>
      <c r="L3993" s="63">
        <f>IF(tblMovement[[#This Row],[Destination]]="","",IFERROR(INDEX(tblDestinations[Type],MATCH(tblMovement[[#This Row],[Destination]],tblDestinations[Destination],0)),"?"))</f>
        <v/>
      </c>
      <c r="M3993" s="64">
        <f>IF(tblMovement[[#This Row],[Material]]="","",IF(LEFT(tblMovement[[#This Row],[Material]],3)="Ore",1,0))</f>
        <v/>
      </c>
      <c r="N3993" s="59">
        <f>IF(OR(tblMovement[[#This Row],[Tonnes_t]]="",tblMovement[[#This Row],[Grade_gpt]]=""),0,tblMovement[[#This Row],[Tonnes_t]]*tblMovement[[#This Row],[Grade_gpt]]/cfg_TroyOz)</f>
        <v/>
      </c>
      <c r="O3993" s="59">
        <f>IF(tblMovement[[#This Row],[Is_Ore]]=1,tblMovement[[#This Row],[Contained_oz]],0)</f>
        <v/>
      </c>
    </row>
    <row r="3994">
      <c r="A3994" s="54" t="n"/>
      <c r="B3994" s="61" t="n"/>
      <c r="C3994" s="61" t="n"/>
      <c r="D3994" s="61" t="n"/>
      <c r="E3994" s="61" t="n"/>
      <c r="F3994" s="55" t="n"/>
      <c r="G3994" s="56" t="n"/>
      <c r="H3994" s="55" t="n"/>
      <c r="I3994" s="62" t="n"/>
      <c r="J3994" s="58" t="n"/>
      <c r="K3994" s="63">
        <f>IF(tblMovement[[#This Row],[Source]]="","",IFERROR(INDEX(tblSources[Type],MATCH(tblMovement[[#This Row],[Source]],tblSources[Source],0)),"?"))</f>
        <v/>
      </c>
      <c r="L3994" s="63">
        <f>IF(tblMovement[[#This Row],[Destination]]="","",IFERROR(INDEX(tblDestinations[Type],MATCH(tblMovement[[#This Row],[Destination]],tblDestinations[Destination],0)),"?"))</f>
        <v/>
      </c>
      <c r="M3994" s="64">
        <f>IF(tblMovement[[#This Row],[Material]]="","",IF(LEFT(tblMovement[[#This Row],[Material]],3)="Ore",1,0))</f>
        <v/>
      </c>
      <c r="N3994" s="59">
        <f>IF(OR(tblMovement[[#This Row],[Tonnes_t]]="",tblMovement[[#This Row],[Grade_gpt]]=""),0,tblMovement[[#This Row],[Tonnes_t]]*tblMovement[[#This Row],[Grade_gpt]]/cfg_TroyOz)</f>
        <v/>
      </c>
      <c r="O3994" s="59">
        <f>IF(tblMovement[[#This Row],[Is_Ore]]=1,tblMovement[[#This Row],[Contained_oz]],0)</f>
        <v/>
      </c>
    </row>
    <row r="3995">
      <c r="A3995" s="54" t="n"/>
      <c r="B3995" s="61" t="n"/>
      <c r="C3995" s="61" t="n"/>
      <c r="D3995" s="61" t="n"/>
      <c r="E3995" s="61" t="n"/>
      <c r="F3995" s="55" t="n"/>
      <c r="G3995" s="56" t="n"/>
      <c r="H3995" s="55" t="n"/>
      <c r="I3995" s="62" t="n"/>
      <c r="J3995" s="58" t="n"/>
      <c r="K3995" s="63">
        <f>IF(tblMovement[[#This Row],[Source]]="","",IFERROR(INDEX(tblSources[Type],MATCH(tblMovement[[#This Row],[Source]],tblSources[Source],0)),"?"))</f>
        <v/>
      </c>
      <c r="L3995" s="63">
        <f>IF(tblMovement[[#This Row],[Destination]]="","",IFERROR(INDEX(tblDestinations[Type],MATCH(tblMovement[[#This Row],[Destination]],tblDestinations[Destination],0)),"?"))</f>
        <v/>
      </c>
      <c r="M3995" s="64">
        <f>IF(tblMovement[[#This Row],[Material]]="","",IF(LEFT(tblMovement[[#This Row],[Material]],3)="Ore",1,0))</f>
        <v/>
      </c>
      <c r="N3995" s="59">
        <f>IF(OR(tblMovement[[#This Row],[Tonnes_t]]="",tblMovement[[#This Row],[Grade_gpt]]=""),0,tblMovement[[#This Row],[Tonnes_t]]*tblMovement[[#This Row],[Grade_gpt]]/cfg_TroyOz)</f>
        <v/>
      </c>
      <c r="O3995" s="59">
        <f>IF(tblMovement[[#This Row],[Is_Ore]]=1,tblMovement[[#This Row],[Contained_oz]],0)</f>
        <v/>
      </c>
    </row>
    <row r="3996">
      <c r="A3996" s="54" t="n"/>
      <c r="B3996" s="61" t="n"/>
      <c r="C3996" s="61" t="n"/>
      <c r="D3996" s="61" t="n"/>
      <c r="E3996" s="61" t="n"/>
      <c r="F3996" s="55" t="n"/>
      <c r="G3996" s="56" t="n"/>
      <c r="H3996" s="55" t="n"/>
      <c r="I3996" s="62" t="n"/>
      <c r="J3996" s="58" t="n"/>
      <c r="K3996" s="63">
        <f>IF(tblMovement[[#This Row],[Source]]="","",IFERROR(INDEX(tblSources[Type],MATCH(tblMovement[[#This Row],[Source]],tblSources[Source],0)),"?"))</f>
        <v/>
      </c>
      <c r="L3996" s="63">
        <f>IF(tblMovement[[#This Row],[Destination]]="","",IFERROR(INDEX(tblDestinations[Type],MATCH(tblMovement[[#This Row],[Destination]],tblDestinations[Destination],0)),"?"))</f>
        <v/>
      </c>
      <c r="M3996" s="64">
        <f>IF(tblMovement[[#This Row],[Material]]="","",IF(LEFT(tblMovement[[#This Row],[Material]],3)="Ore",1,0))</f>
        <v/>
      </c>
      <c r="N3996" s="59">
        <f>IF(OR(tblMovement[[#This Row],[Tonnes_t]]="",tblMovement[[#This Row],[Grade_gpt]]=""),0,tblMovement[[#This Row],[Tonnes_t]]*tblMovement[[#This Row],[Grade_gpt]]/cfg_TroyOz)</f>
        <v/>
      </c>
      <c r="O3996" s="59">
        <f>IF(tblMovement[[#This Row],[Is_Ore]]=1,tblMovement[[#This Row],[Contained_oz]],0)</f>
        <v/>
      </c>
    </row>
    <row r="3997">
      <c r="A3997" s="54" t="n"/>
      <c r="B3997" s="61" t="n"/>
      <c r="C3997" s="61" t="n"/>
      <c r="D3997" s="61" t="n"/>
      <c r="E3997" s="61" t="n"/>
      <c r="F3997" s="55" t="n"/>
      <c r="G3997" s="56" t="n"/>
      <c r="H3997" s="55" t="n"/>
      <c r="I3997" s="62" t="n"/>
      <c r="J3997" s="58" t="n"/>
      <c r="K3997" s="63">
        <f>IF(tblMovement[[#This Row],[Source]]="","",IFERROR(INDEX(tblSources[Type],MATCH(tblMovement[[#This Row],[Source]],tblSources[Source],0)),"?"))</f>
        <v/>
      </c>
      <c r="L3997" s="63">
        <f>IF(tblMovement[[#This Row],[Destination]]="","",IFERROR(INDEX(tblDestinations[Type],MATCH(tblMovement[[#This Row],[Destination]],tblDestinations[Destination],0)),"?"))</f>
        <v/>
      </c>
      <c r="M3997" s="64">
        <f>IF(tblMovement[[#This Row],[Material]]="","",IF(LEFT(tblMovement[[#This Row],[Material]],3)="Ore",1,0))</f>
        <v/>
      </c>
      <c r="N3997" s="59">
        <f>IF(OR(tblMovement[[#This Row],[Tonnes_t]]="",tblMovement[[#This Row],[Grade_gpt]]=""),0,tblMovement[[#This Row],[Tonnes_t]]*tblMovement[[#This Row],[Grade_gpt]]/cfg_TroyOz)</f>
        <v/>
      </c>
      <c r="O3997" s="59">
        <f>IF(tblMovement[[#This Row],[Is_Ore]]=1,tblMovement[[#This Row],[Contained_oz]],0)</f>
        <v/>
      </c>
    </row>
    <row r="3998">
      <c r="A3998" s="54" t="n"/>
      <c r="B3998" s="61" t="n"/>
      <c r="C3998" s="61" t="n"/>
      <c r="D3998" s="61" t="n"/>
      <c r="E3998" s="61" t="n"/>
      <c r="F3998" s="55" t="n"/>
      <c r="G3998" s="56" t="n"/>
      <c r="H3998" s="55" t="n"/>
      <c r="I3998" s="62" t="n"/>
      <c r="J3998" s="58" t="n"/>
      <c r="K3998" s="63">
        <f>IF(tblMovement[[#This Row],[Source]]="","",IFERROR(INDEX(tblSources[Type],MATCH(tblMovement[[#This Row],[Source]],tblSources[Source],0)),"?"))</f>
        <v/>
      </c>
      <c r="L3998" s="63">
        <f>IF(tblMovement[[#This Row],[Destination]]="","",IFERROR(INDEX(tblDestinations[Type],MATCH(tblMovement[[#This Row],[Destination]],tblDestinations[Destination],0)),"?"))</f>
        <v/>
      </c>
      <c r="M3998" s="64">
        <f>IF(tblMovement[[#This Row],[Material]]="","",IF(LEFT(tblMovement[[#This Row],[Material]],3)="Ore",1,0))</f>
        <v/>
      </c>
      <c r="N3998" s="59">
        <f>IF(OR(tblMovement[[#This Row],[Tonnes_t]]="",tblMovement[[#This Row],[Grade_gpt]]=""),0,tblMovement[[#This Row],[Tonnes_t]]*tblMovement[[#This Row],[Grade_gpt]]/cfg_TroyOz)</f>
        <v/>
      </c>
      <c r="O3998" s="59">
        <f>IF(tblMovement[[#This Row],[Is_Ore]]=1,tblMovement[[#This Row],[Contained_oz]],0)</f>
        <v/>
      </c>
    </row>
    <row r="3999">
      <c r="A3999" s="54" t="n"/>
      <c r="B3999" s="61" t="n"/>
      <c r="C3999" s="61" t="n"/>
      <c r="D3999" s="61" t="n"/>
      <c r="E3999" s="61" t="n"/>
      <c r="F3999" s="55" t="n"/>
      <c r="G3999" s="56" t="n"/>
      <c r="H3999" s="55" t="n"/>
      <c r="I3999" s="62" t="n"/>
      <c r="J3999" s="58" t="n"/>
      <c r="K3999" s="63">
        <f>IF(tblMovement[[#This Row],[Source]]="","",IFERROR(INDEX(tblSources[Type],MATCH(tblMovement[[#This Row],[Source]],tblSources[Source],0)),"?"))</f>
        <v/>
      </c>
      <c r="L3999" s="63">
        <f>IF(tblMovement[[#This Row],[Destination]]="","",IFERROR(INDEX(tblDestinations[Type],MATCH(tblMovement[[#This Row],[Destination]],tblDestinations[Destination],0)),"?"))</f>
        <v/>
      </c>
      <c r="M3999" s="64">
        <f>IF(tblMovement[[#This Row],[Material]]="","",IF(LEFT(tblMovement[[#This Row],[Material]],3)="Ore",1,0))</f>
        <v/>
      </c>
      <c r="N3999" s="59">
        <f>IF(OR(tblMovement[[#This Row],[Tonnes_t]]="",tblMovement[[#This Row],[Grade_gpt]]=""),0,tblMovement[[#This Row],[Tonnes_t]]*tblMovement[[#This Row],[Grade_gpt]]/cfg_TroyOz)</f>
        <v/>
      </c>
      <c r="O3999" s="59">
        <f>IF(tblMovement[[#This Row],[Is_Ore]]=1,tblMovement[[#This Row],[Contained_oz]],0)</f>
        <v/>
      </c>
    </row>
    <row r="4000">
      <c r="A4000" s="54" t="n"/>
      <c r="B4000" s="61" t="n"/>
      <c r="C4000" s="61" t="n"/>
      <c r="D4000" s="61" t="n"/>
      <c r="E4000" s="61" t="n"/>
      <c r="F4000" s="55" t="n"/>
      <c r="G4000" s="56" t="n"/>
      <c r="H4000" s="55" t="n"/>
      <c r="I4000" s="62" t="n"/>
      <c r="J4000" s="58" t="n"/>
      <c r="K4000" s="63">
        <f>IF(tblMovement[[#This Row],[Source]]="","",IFERROR(INDEX(tblSources[Type],MATCH(tblMovement[[#This Row],[Source]],tblSources[Source],0)),"?"))</f>
        <v/>
      </c>
      <c r="L4000" s="63">
        <f>IF(tblMovement[[#This Row],[Destination]]="","",IFERROR(INDEX(tblDestinations[Type],MATCH(tblMovement[[#This Row],[Destination]],tblDestinations[Destination],0)),"?"))</f>
        <v/>
      </c>
      <c r="M4000" s="64">
        <f>IF(tblMovement[[#This Row],[Material]]="","",IF(LEFT(tblMovement[[#This Row],[Material]],3)="Ore",1,0))</f>
        <v/>
      </c>
      <c r="N4000" s="59">
        <f>IF(OR(tblMovement[[#This Row],[Tonnes_t]]="",tblMovement[[#This Row],[Grade_gpt]]=""),0,tblMovement[[#This Row],[Tonnes_t]]*tblMovement[[#This Row],[Grade_gpt]]/cfg_TroyOz)</f>
        <v/>
      </c>
      <c r="O4000" s="59">
        <f>IF(tblMovement[[#This Row],[Is_Ore]]=1,tblMovement[[#This Row],[Contained_oz]],0)</f>
        <v/>
      </c>
    </row>
    <row r="4001">
      <c r="A4001" s="54" t="n"/>
      <c r="B4001" s="61" t="n"/>
      <c r="C4001" s="61" t="n"/>
      <c r="D4001" s="61" t="n"/>
      <c r="E4001" s="61" t="n"/>
      <c r="F4001" s="55" t="n"/>
      <c r="G4001" s="56" t="n"/>
      <c r="H4001" s="55" t="n"/>
      <c r="I4001" s="62" t="n"/>
      <c r="J4001" s="58" t="n"/>
      <c r="K4001" s="63">
        <f>IF(tblMovement[[#This Row],[Source]]="","",IFERROR(INDEX(tblSources[Type],MATCH(tblMovement[[#This Row],[Source]],tblSources[Source],0)),"?"))</f>
        <v/>
      </c>
      <c r="L4001" s="63">
        <f>IF(tblMovement[[#This Row],[Destination]]="","",IFERROR(INDEX(tblDestinations[Type],MATCH(tblMovement[[#This Row],[Destination]],tblDestinations[Destination],0)),"?"))</f>
        <v/>
      </c>
      <c r="M4001" s="64">
        <f>IF(tblMovement[[#This Row],[Material]]="","",IF(LEFT(tblMovement[[#This Row],[Material]],3)="Ore",1,0))</f>
        <v/>
      </c>
      <c r="N4001" s="59">
        <f>IF(OR(tblMovement[[#This Row],[Tonnes_t]]="",tblMovement[[#This Row],[Grade_gpt]]=""),0,tblMovement[[#This Row],[Tonnes_t]]*tblMovement[[#This Row],[Grade_gpt]]/cfg_TroyOz)</f>
        <v/>
      </c>
      <c r="O4001" s="59">
        <f>IF(tblMovement[[#This Row],[Is_Ore]]=1,tblMovement[[#This Row],[Contained_oz]],0)</f>
        <v/>
      </c>
    </row>
    <row r="4002">
      <c r="A4002" s="54" t="n"/>
      <c r="B4002" s="61" t="n"/>
      <c r="C4002" s="61" t="n"/>
      <c r="D4002" s="61" t="n"/>
      <c r="E4002" s="61" t="n"/>
      <c r="F4002" s="55" t="n"/>
      <c r="G4002" s="56" t="n"/>
      <c r="H4002" s="55" t="n"/>
      <c r="I4002" s="62" t="n"/>
      <c r="J4002" s="58" t="n"/>
      <c r="K4002" s="63">
        <f>IF(tblMovement[[#This Row],[Source]]="","",IFERROR(INDEX(tblSources[Type],MATCH(tblMovement[[#This Row],[Source]],tblSources[Source],0)),"?"))</f>
        <v/>
      </c>
      <c r="L4002" s="63">
        <f>IF(tblMovement[[#This Row],[Destination]]="","",IFERROR(INDEX(tblDestinations[Type],MATCH(tblMovement[[#This Row],[Destination]],tblDestinations[Destination],0)),"?"))</f>
        <v/>
      </c>
      <c r="M4002" s="64">
        <f>IF(tblMovement[[#This Row],[Material]]="","",IF(LEFT(tblMovement[[#This Row],[Material]],3)="Ore",1,0))</f>
        <v/>
      </c>
      <c r="N4002" s="59">
        <f>IF(OR(tblMovement[[#This Row],[Tonnes_t]]="",tblMovement[[#This Row],[Grade_gpt]]=""),0,tblMovement[[#This Row],[Tonnes_t]]*tblMovement[[#This Row],[Grade_gpt]]/cfg_TroyOz)</f>
        <v/>
      </c>
      <c r="O4002" s="59">
        <f>IF(tblMovement[[#This Row],[Is_Ore]]=1,tblMovement[[#This Row],[Contained_oz]],0)</f>
        <v/>
      </c>
    </row>
    <row r="4003">
      <c r="A4003" s="54" t="n"/>
      <c r="B4003" s="61" t="n"/>
      <c r="C4003" s="61" t="n"/>
      <c r="D4003" s="61" t="n"/>
      <c r="E4003" s="61" t="n"/>
      <c r="F4003" s="55" t="n"/>
      <c r="G4003" s="56" t="n"/>
      <c r="H4003" s="55" t="n"/>
      <c r="I4003" s="62" t="n"/>
      <c r="J4003" s="58" t="n"/>
      <c r="K4003" s="63">
        <f>IF(tblMovement[[#This Row],[Source]]="","",IFERROR(INDEX(tblSources[Type],MATCH(tblMovement[[#This Row],[Source]],tblSources[Source],0)),"?"))</f>
        <v/>
      </c>
      <c r="L4003" s="63">
        <f>IF(tblMovement[[#This Row],[Destination]]="","",IFERROR(INDEX(tblDestinations[Type],MATCH(tblMovement[[#This Row],[Destination]],tblDestinations[Destination],0)),"?"))</f>
        <v/>
      </c>
      <c r="M4003" s="64">
        <f>IF(tblMovement[[#This Row],[Material]]="","",IF(LEFT(tblMovement[[#This Row],[Material]],3)="Ore",1,0))</f>
        <v/>
      </c>
      <c r="N4003" s="59">
        <f>IF(OR(tblMovement[[#This Row],[Tonnes_t]]="",tblMovement[[#This Row],[Grade_gpt]]=""),0,tblMovement[[#This Row],[Tonnes_t]]*tblMovement[[#This Row],[Grade_gpt]]/cfg_TroyOz)</f>
        <v/>
      </c>
      <c r="O4003" s="59">
        <f>IF(tblMovement[[#This Row],[Is_Ore]]=1,tblMovement[[#This Row],[Contained_oz]],0)</f>
        <v/>
      </c>
    </row>
    <row r="4004">
      <c r="A4004" s="54" t="n"/>
      <c r="B4004" s="61" t="n"/>
      <c r="C4004" s="61" t="n"/>
      <c r="D4004" s="61" t="n"/>
      <c r="E4004" s="61" t="n"/>
      <c r="F4004" s="55" t="n"/>
      <c r="G4004" s="56" t="n"/>
      <c r="H4004" s="55" t="n"/>
      <c r="I4004" s="62" t="n"/>
      <c r="J4004" s="58" t="n"/>
      <c r="K4004" s="63">
        <f>IF(tblMovement[[#This Row],[Source]]="","",IFERROR(INDEX(tblSources[Type],MATCH(tblMovement[[#This Row],[Source]],tblSources[Source],0)),"?"))</f>
        <v/>
      </c>
      <c r="L4004" s="63">
        <f>IF(tblMovement[[#This Row],[Destination]]="","",IFERROR(INDEX(tblDestinations[Type],MATCH(tblMovement[[#This Row],[Destination]],tblDestinations[Destination],0)),"?"))</f>
        <v/>
      </c>
      <c r="M4004" s="64">
        <f>IF(tblMovement[[#This Row],[Material]]="","",IF(LEFT(tblMovement[[#This Row],[Material]],3)="Ore",1,0))</f>
        <v/>
      </c>
      <c r="N4004" s="59">
        <f>IF(OR(tblMovement[[#This Row],[Tonnes_t]]="",tblMovement[[#This Row],[Grade_gpt]]=""),0,tblMovement[[#This Row],[Tonnes_t]]*tblMovement[[#This Row],[Grade_gpt]]/cfg_TroyOz)</f>
        <v/>
      </c>
      <c r="O4004" s="59">
        <f>IF(tblMovement[[#This Row],[Is_Ore]]=1,tblMovement[[#This Row],[Contained_oz]],0)</f>
        <v/>
      </c>
    </row>
    <row r="4005">
      <c r="A4005" s="54" t="n"/>
      <c r="B4005" s="61" t="n"/>
      <c r="C4005" s="61" t="n"/>
      <c r="D4005" s="61" t="n"/>
      <c r="E4005" s="61" t="n"/>
      <c r="F4005" s="55" t="n"/>
      <c r="G4005" s="56" t="n"/>
      <c r="H4005" s="55" t="n"/>
      <c r="I4005" s="62" t="n"/>
      <c r="J4005" s="58" t="n"/>
      <c r="K4005" s="63">
        <f>IF(tblMovement[[#This Row],[Source]]="","",IFERROR(INDEX(tblSources[Type],MATCH(tblMovement[[#This Row],[Source]],tblSources[Source],0)),"?"))</f>
        <v/>
      </c>
      <c r="L4005" s="63">
        <f>IF(tblMovement[[#This Row],[Destination]]="","",IFERROR(INDEX(tblDestinations[Type],MATCH(tblMovement[[#This Row],[Destination]],tblDestinations[Destination],0)),"?"))</f>
        <v/>
      </c>
      <c r="M4005" s="64">
        <f>IF(tblMovement[[#This Row],[Material]]="","",IF(LEFT(tblMovement[[#This Row],[Material]],3)="Ore",1,0))</f>
        <v/>
      </c>
      <c r="N4005" s="59">
        <f>IF(OR(tblMovement[[#This Row],[Tonnes_t]]="",tblMovement[[#This Row],[Grade_gpt]]=""),0,tblMovement[[#This Row],[Tonnes_t]]*tblMovement[[#This Row],[Grade_gpt]]/cfg_TroyOz)</f>
        <v/>
      </c>
      <c r="O4005" s="59">
        <f>IF(tblMovement[[#This Row],[Is_Ore]]=1,tblMovement[[#This Row],[Contained_oz]],0)</f>
        <v/>
      </c>
    </row>
    <row r="4006">
      <c r="A4006" s="54" t="n"/>
      <c r="B4006" s="61" t="n"/>
      <c r="C4006" s="61" t="n"/>
      <c r="D4006" s="61" t="n"/>
      <c r="E4006" s="61" t="n"/>
      <c r="F4006" s="55" t="n"/>
      <c r="G4006" s="56" t="n"/>
      <c r="H4006" s="55" t="n"/>
      <c r="I4006" s="62" t="n"/>
      <c r="J4006" s="58" t="n"/>
      <c r="K4006" s="63">
        <f>IF(tblMovement[[#This Row],[Source]]="","",IFERROR(INDEX(tblSources[Type],MATCH(tblMovement[[#This Row],[Source]],tblSources[Source],0)),"?"))</f>
        <v/>
      </c>
      <c r="L4006" s="63">
        <f>IF(tblMovement[[#This Row],[Destination]]="","",IFERROR(INDEX(tblDestinations[Type],MATCH(tblMovement[[#This Row],[Destination]],tblDestinations[Destination],0)),"?"))</f>
        <v/>
      </c>
      <c r="M4006" s="64">
        <f>IF(tblMovement[[#This Row],[Material]]="","",IF(LEFT(tblMovement[[#This Row],[Material]],3)="Ore",1,0))</f>
        <v/>
      </c>
      <c r="N4006" s="59">
        <f>IF(OR(tblMovement[[#This Row],[Tonnes_t]]="",tblMovement[[#This Row],[Grade_gpt]]=""),0,tblMovement[[#This Row],[Tonnes_t]]*tblMovement[[#This Row],[Grade_gpt]]/cfg_TroyOz)</f>
        <v/>
      </c>
      <c r="O4006" s="59">
        <f>IF(tblMovement[[#This Row],[Is_Ore]]=1,tblMovement[[#This Row],[Contained_oz]],0)</f>
        <v/>
      </c>
    </row>
    <row r="4007">
      <c r="A4007" s="54" t="n"/>
      <c r="B4007" s="61" t="n"/>
      <c r="C4007" s="61" t="n"/>
      <c r="D4007" s="61" t="n"/>
      <c r="E4007" s="61" t="n"/>
      <c r="F4007" s="55" t="n"/>
      <c r="G4007" s="56" t="n"/>
      <c r="H4007" s="55" t="n"/>
      <c r="I4007" s="62" t="n"/>
      <c r="J4007" s="58" t="n"/>
      <c r="K4007" s="63">
        <f>IF(tblMovement[[#This Row],[Source]]="","",IFERROR(INDEX(tblSources[Type],MATCH(tblMovement[[#This Row],[Source]],tblSources[Source],0)),"?"))</f>
        <v/>
      </c>
      <c r="L4007" s="63">
        <f>IF(tblMovement[[#This Row],[Destination]]="","",IFERROR(INDEX(tblDestinations[Type],MATCH(tblMovement[[#This Row],[Destination]],tblDestinations[Destination],0)),"?"))</f>
        <v/>
      </c>
      <c r="M4007" s="64">
        <f>IF(tblMovement[[#This Row],[Material]]="","",IF(LEFT(tblMovement[[#This Row],[Material]],3)="Ore",1,0))</f>
        <v/>
      </c>
      <c r="N4007" s="59">
        <f>IF(OR(tblMovement[[#This Row],[Tonnes_t]]="",tblMovement[[#This Row],[Grade_gpt]]=""),0,tblMovement[[#This Row],[Tonnes_t]]*tblMovement[[#This Row],[Grade_gpt]]/cfg_TroyOz)</f>
        <v/>
      </c>
      <c r="O4007" s="59">
        <f>IF(tblMovement[[#This Row],[Is_Ore]]=1,tblMovement[[#This Row],[Contained_oz]],0)</f>
        <v/>
      </c>
    </row>
    <row r="4008">
      <c r="A4008" s="54" t="n"/>
      <c r="B4008" s="61" t="n"/>
      <c r="C4008" s="61" t="n"/>
      <c r="D4008" s="61" t="n"/>
      <c r="E4008" s="61" t="n"/>
      <c r="F4008" s="55" t="n"/>
      <c r="G4008" s="56" t="n"/>
      <c r="H4008" s="55" t="n"/>
      <c r="I4008" s="62" t="n"/>
      <c r="J4008" s="58" t="n"/>
      <c r="K4008" s="63">
        <f>IF(tblMovement[[#This Row],[Source]]="","",IFERROR(INDEX(tblSources[Type],MATCH(tblMovement[[#This Row],[Source]],tblSources[Source],0)),"?"))</f>
        <v/>
      </c>
      <c r="L4008" s="63">
        <f>IF(tblMovement[[#This Row],[Destination]]="","",IFERROR(INDEX(tblDestinations[Type],MATCH(tblMovement[[#This Row],[Destination]],tblDestinations[Destination],0)),"?"))</f>
        <v/>
      </c>
      <c r="M4008" s="64">
        <f>IF(tblMovement[[#This Row],[Material]]="","",IF(LEFT(tblMovement[[#This Row],[Material]],3)="Ore",1,0))</f>
        <v/>
      </c>
      <c r="N4008" s="59">
        <f>IF(OR(tblMovement[[#This Row],[Tonnes_t]]="",tblMovement[[#This Row],[Grade_gpt]]=""),0,tblMovement[[#This Row],[Tonnes_t]]*tblMovement[[#This Row],[Grade_gpt]]/cfg_TroyOz)</f>
        <v/>
      </c>
      <c r="O4008" s="59">
        <f>IF(tblMovement[[#This Row],[Is_Ore]]=1,tblMovement[[#This Row],[Contained_oz]],0)</f>
        <v/>
      </c>
    </row>
    <row r="4009">
      <c r="A4009" s="54" t="n"/>
      <c r="B4009" s="61" t="n"/>
      <c r="C4009" s="61" t="n"/>
      <c r="D4009" s="61" t="n"/>
      <c r="E4009" s="61" t="n"/>
      <c r="F4009" s="55" t="n"/>
      <c r="G4009" s="56" t="n"/>
      <c r="H4009" s="55" t="n"/>
      <c r="I4009" s="62" t="n"/>
      <c r="J4009" s="58" t="n"/>
      <c r="K4009" s="63">
        <f>IF(tblMovement[[#This Row],[Source]]="","",IFERROR(INDEX(tblSources[Type],MATCH(tblMovement[[#This Row],[Source]],tblSources[Source],0)),"?"))</f>
        <v/>
      </c>
      <c r="L4009" s="63">
        <f>IF(tblMovement[[#This Row],[Destination]]="","",IFERROR(INDEX(tblDestinations[Type],MATCH(tblMovement[[#This Row],[Destination]],tblDestinations[Destination],0)),"?"))</f>
        <v/>
      </c>
      <c r="M4009" s="64">
        <f>IF(tblMovement[[#This Row],[Material]]="","",IF(LEFT(tblMovement[[#This Row],[Material]],3)="Ore",1,0))</f>
        <v/>
      </c>
      <c r="N4009" s="59">
        <f>IF(OR(tblMovement[[#This Row],[Tonnes_t]]="",tblMovement[[#This Row],[Grade_gpt]]=""),0,tblMovement[[#This Row],[Tonnes_t]]*tblMovement[[#This Row],[Grade_gpt]]/cfg_TroyOz)</f>
        <v/>
      </c>
      <c r="O4009" s="59">
        <f>IF(tblMovement[[#This Row],[Is_Ore]]=1,tblMovement[[#This Row],[Contained_oz]],0)</f>
        <v/>
      </c>
    </row>
    <row r="4010">
      <c r="A4010" s="54" t="n"/>
      <c r="B4010" s="61" t="n"/>
      <c r="C4010" s="61" t="n"/>
      <c r="D4010" s="61" t="n"/>
      <c r="E4010" s="61" t="n"/>
      <c r="F4010" s="55" t="n"/>
      <c r="G4010" s="56" t="n"/>
      <c r="H4010" s="55" t="n"/>
      <c r="I4010" s="62" t="n"/>
      <c r="J4010" s="58" t="n"/>
      <c r="K4010" s="63">
        <f>IF(tblMovement[[#This Row],[Source]]="","",IFERROR(INDEX(tblSources[Type],MATCH(tblMovement[[#This Row],[Source]],tblSources[Source],0)),"?"))</f>
        <v/>
      </c>
      <c r="L4010" s="63">
        <f>IF(tblMovement[[#This Row],[Destination]]="","",IFERROR(INDEX(tblDestinations[Type],MATCH(tblMovement[[#This Row],[Destination]],tblDestinations[Destination],0)),"?"))</f>
        <v/>
      </c>
      <c r="M4010" s="64">
        <f>IF(tblMovement[[#This Row],[Material]]="","",IF(LEFT(tblMovement[[#This Row],[Material]],3)="Ore",1,0))</f>
        <v/>
      </c>
      <c r="N4010" s="59">
        <f>IF(OR(tblMovement[[#This Row],[Tonnes_t]]="",tblMovement[[#This Row],[Grade_gpt]]=""),0,tblMovement[[#This Row],[Tonnes_t]]*tblMovement[[#This Row],[Grade_gpt]]/cfg_TroyOz)</f>
        <v/>
      </c>
      <c r="O4010" s="59">
        <f>IF(tblMovement[[#This Row],[Is_Ore]]=1,tblMovement[[#This Row],[Contained_oz]],0)</f>
        <v/>
      </c>
    </row>
    <row r="4011">
      <c r="A4011" s="54" t="n"/>
      <c r="B4011" s="61" t="n"/>
      <c r="C4011" s="61" t="n"/>
      <c r="D4011" s="61" t="n"/>
      <c r="E4011" s="61" t="n"/>
      <c r="F4011" s="55" t="n"/>
      <c r="G4011" s="56" t="n"/>
      <c r="H4011" s="55" t="n"/>
      <c r="I4011" s="62" t="n"/>
      <c r="J4011" s="58" t="n"/>
      <c r="K4011" s="63">
        <f>IF(tblMovement[[#This Row],[Source]]="","",IFERROR(INDEX(tblSources[Type],MATCH(tblMovement[[#This Row],[Source]],tblSources[Source],0)),"?"))</f>
        <v/>
      </c>
      <c r="L4011" s="63">
        <f>IF(tblMovement[[#This Row],[Destination]]="","",IFERROR(INDEX(tblDestinations[Type],MATCH(tblMovement[[#This Row],[Destination]],tblDestinations[Destination],0)),"?"))</f>
        <v/>
      </c>
      <c r="M4011" s="64">
        <f>IF(tblMovement[[#This Row],[Material]]="","",IF(LEFT(tblMovement[[#This Row],[Material]],3)="Ore",1,0))</f>
        <v/>
      </c>
      <c r="N4011" s="59">
        <f>IF(OR(tblMovement[[#This Row],[Tonnes_t]]="",tblMovement[[#This Row],[Grade_gpt]]=""),0,tblMovement[[#This Row],[Tonnes_t]]*tblMovement[[#This Row],[Grade_gpt]]/cfg_TroyOz)</f>
        <v/>
      </c>
      <c r="O4011" s="59">
        <f>IF(tblMovement[[#This Row],[Is_Ore]]=1,tblMovement[[#This Row],[Contained_oz]],0)</f>
        <v/>
      </c>
    </row>
    <row r="4012">
      <c r="A4012" s="54" t="n"/>
      <c r="B4012" s="61" t="n"/>
      <c r="C4012" s="61" t="n"/>
      <c r="D4012" s="61" t="n"/>
      <c r="E4012" s="61" t="n"/>
      <c r="F4012" s="55" t="n"/>
      <c r="G4012" s="56" t="n"/>
      <c r="H4012" s="55" t="n"/>
      <c r="I4012" s="62" t="n"/>
      <c r="J4012" s="58" t="n"/>
      <c r="K4012" s="63">
        <f>IF(tblMovement[[#This Row],[Source]]="","",IFERROR(INDEX(tblSources[Type],MATCH(tblMovement[[#This Row],[Source]],tblSources[Source],0)),"?"))</f>
        <v/>
      </c>
      <c r="L4012" s="63">
        <f>IF(tblMovement[[#This Row],[Destination]]="","",IFERROR(INDEX(tblDestinations[Type],MATCH(tblMovement[[#This Row],[Destination]],tblDestinations[Destination],0)),"?"))</f>
        <v/>
      </c>
      <c r="M4012" s="64">
        <f>IF(tblMovement[[#This Row],[Material]]="","",IF(LEFT(tblMovement[[#This Row],[Material]],3)="Ore",1,0))</f>
        <v/>
      </c>
      <c r="N4012" s="59">
        <f>IF(OR(tblMovement[[#This Row],[Tonnes_t]]="",tblMovement[[#This Row],[Grade_gpt]]=""),0,tblMovement[[#This Row],[Tonnes_t]]*tblMovement[[#This Row],[Grade_gpt]]/cfg_TroyOz)</f>
        <v/>
      </c>
      <c r="O4012" s="59">
        <f>IF(tblMovement[[#This Row],[Is_Ore]]=1,tblMovement[[#This Row],[Contained_oz]],0)</f>
        <v/>
      </c>
    </row>
    <row r="4013">
      <c r="A4013" s="54" t="n"/>
      <c r="B4013" s="61" t="n"/>
      <c r="C4013" s="61" t="n"/>
      <c r="D4013" s="61" t="n"/>
      <c r="E4013" s="61" t="n"/>
      <c r="F4013" s="55" t="n"/>
      <c r="G4013" s="56" t="n"/>
      <c r="H4013" s="55" t="n"/>
      <c r="I4013" s="62" t="n"/>
      <c r="J4013" s="58" t="n"/>
      <c r="K4013" s="63">
        <f>IF(tblMovement[[#This Row],[Source]]="","",IFERROR(INDEX(tblSources[Type],MATCH(tblMovement[[#This Row],[Source]],tblSources[Source],0)),"?"))</f>
        <v/>
      </c>
      <c r="L4013" s="63">
        <f>IF(tblMovement[[#This Row],[Destination]]="","",IFERROR(INDEX(tblDestinations[Type],MATCH(tblMovement[[#This Row],[Destination]],tblDestinations[Destination],0)),"?"))</f>
        <v/>
      </c>
      <c r="M4013" s="64">
        <f>IF(tblMovement[[#This Row],[Material]]="","",IF(LEFT(tblMovement[[#This Row],[Material]],3)="Ore",1,0))</f>
        <v/>
      </c>
      <c r="N4013" s="59">
        <f>IF(OR(tblMovement[[#This Row],[Tonnes_t]]="",tblMovement[[#This Row],[Grade_gpt]]=""),0,tblMovement[[#This Row],[Tonnes_t]]*tblMovement[[#This Row],[Grade_gpt]]/cfg_TroyOz)</f>
        <v/>
      </c>
      <c r="O4013" s="59">
        <f>IF(tblMovement[[#This Row],[Is_Ore]]=1,tblMovement[[#This Row],[Contained_oz]],0)</f>
        <v/>
      </c>
    </row>
    <row r="4014">
      <c r="A4014" s="54" t="n"/>
      <c r="B4014" s="61" t="n"/>
      <c r="C4014" s="61" t="n"/>
      <c r="D4014" s="61" t="n"/>
      <c r="E4014" s="61" t="n"/>
      <c r="F4014" s="55" t="n"/>
      <c r="G4014" s="56" t="n"/>
      <c r="H4014" s="55" t="n"/>
      <c r="I4014" s="62" t="n"/>
      <c r="J4014" s="58" t="n"/>
      <c r="K4014" s="63">
        <f>IF(tblMovement[[#This Row],[Source]]="","",IFERROR(INDEX(tblSources[Type],MATCH(tblMovement[[#This Row],[Source]],tblSources[Source],0)),"?"))</f>
        <v/>
      </c>
      <c r="L4014" s="63">
        <f>IF(tblMovement[[#This Row],[Destination]]="","",IFERROR(INDEX(tblDestinations[Type],MATCH(tblMovement[[#This Row],[Destination]],tblDestinations[Destination],0)),"?"))</f>
        <v/>
      </c>
      <c r="M4014" s="64">
        <f>IF(tblMovement[[#This Row],[Material]]="","",IF(LEFT(tblMovement[[#This Row],[Material]],3)="Ore",1,0))</f>
        <v/>
      </c>
      <c r="N4014" s="59">
        <f>IF(OR(tblMovement[[#This Row],[Tonnes_t]]="",tblMovement[[#This Row],[Grade_gpt]]=""),0,tblMovement[[#This Row],[Tonnes_t]]*tblMovement[[#This Row],[Grade_gpt]]/cfg_TroyOz)</f>
        <v/>
      </c>
      <c r="O4014" s="59">
        <f>IF(tblMovement[[#This Row],[Is_Ore]]=1,tblMovement[[#This Row],[Contained_oz]],0)</f>
        <v/>
      </c>
    </row>
    <row r="4015">
      <c r="A4015" s="54" t="n"/>
      <c r="B4015" s="61" t="n"/>
      <c r="C4015" s="61" t="n"/>
      <c r="D4015" s="61" t="n"/>
      <c r="E4015" s="61" t="n"/>
      <c r="F4015" s="55" t="n"/>
      <c r="G4015" s="56" t="n"/>
      <c r="H4015" s="55" t="n"/>
      <c r="I4015" s="62" t="n"/>
      <c r="J4015" s="58" t="n"/>
      <c r="K4015" s="63">
        <f>IF(tblMovement[[#This Row],[Source]]="","",IFERROR(INDEX(tblSources[Type],MATCH(tblMovement[[#This Row],[Source]],tblSources[Source],0)),"?"))</f>
        <v/>
      </c>
      <c r="L4015" s="63">
        <f>IF(tblMovement[[#This Row],[Destination]]="","",IFERROR(INDEX(tblDestinations[Type],MATCH(tblMovement[[#This Row],[Destination]],tblDestinations[Destination],0)),"?"))</f>
        <v/>
      </c>
      <c r="M4015" s="64">
        <f>IF(tblMovement[[#This Row],[Material]]="","",IF(LEFT(tblMovement[[#This Row],[Material]],3)="Ore",1,0))</f>
        <v/>
      </c>
      <c r="N4015" s="59">
        <f>IF(OR(tblMovement[[#This Row],[Tonnes_t]]="",tblMovement[[#This Row],[Grade_gpt]]=""),0,tblMovement[[#This Row],[Tonnes_t]]*tblMovement[[#This Row],[Grade_gpt]]/cfg_TroyOz)</f>
        <v/>
      </c>
      <c r="O4015" s="59">
        <f>IF(tblMovement[[#This Row],[Is_Ore]]=1,tblMovement[[#This Row],[Contained_oz]],0)</f>
        <v/>
      </c>
    </row>
    <row r="4016">
      <c r="A4016" s="54" t="n"/>
      <c r="B4016" s="61" t="n"/>
      <c r="C4016" s="61" t="n"/>
      <c r="D4016" s="61" t="n"/>
      <c r="E4016" s="61" t="n"/>
      <c r="F4016" s="55" t="n"/>
      <c r="G4016" s="56" t="n"/>
      <c r="H4016" s="55" t="n"/>
      <c r="I4016" s="62" t="n"/>
      <c r="J4016" s="58" t="n"/>
      <c r="K4016" s="63">
        <f>IF(tblMovement[[#This Row],[Source]]="","",IFERROR(INDEX(tblSources[Type],MATCH(tblMovement[[#This Row],[Source]],tblSources[Source],0)),"?"))</f>
        <v/>
      </c>
      <c r="L4016" s="63">
        <f>IF(tblMovement[[#This Row],[Destination]]="","",IFERROR(INDEX(tblDestinations[Type],MATCH(tblMovement[[#This Row],[Destination]],tblDestinations[Destination],0)),"?"))</f>
        <v/>
      </c>
      <c r="M4016" s="64">
        <f>IF(tblMovement[[#This Row],[Material]]="","",IF(LEFT(tblMovement[[#This Row],[Material]],3)="Ore",1,0))</f>
        <v/>
      </c>
      <c r="N4016" s="59">
        <f>IF(OR(tblMovement[[#This Row],[Tonnes_t]]="",tblMovement[[#This Row],[Grade_gpt]]=""),0,tblMovement[[#This Row],[Tonnes_t]]*tblMovement[[#This Row],[Grade_gpt]]/cfg_TroyOz)</f>
        <v/>
      </c>
      <c r="O4016" s="59">
        <f>IF(tblMovement[[#This Row],[Is_Ore]]=1,tblMovement[[#This Row],[Contained_oz]],0)</f>
        <v/>
      </c>
    </row>
    <row r="4017">
      <c r="A4017" s="54" t="n"/>
      <c r="B4017" s="61" t="n"/>
      <c r="C4017" s="61" t="n"/>
      <c r="D4017" s="61" t="n"/>
      <c r="E4017" s="61" t="n"/>
      <c r="F4017" s="55" t="n"/>
      <c r="G4017" s="56" t="n"/>
      <c r="H4017" s="55" t="n"/>
      <c r="I4017" s="62" t="n"/>
      <c r="J4017" s="58" t="n"/>
      <c r="K4017" s="63">
        <f>IF(tblMovement[[#This Row],[Source]]="","",IFERROR(INDEX(tblSources[Type],MATCH(tblMovement[[#This Row],[Source]],tblSources[Source],0)),"?"))</f>
        <v/>
      </c>
      <c r="L4017" s="63">
        <f>IF(tblMovement[[#This Row],[Destination]]="","",IFERROR(INDEX(tblDestinations[Type],MATCH(tblMovement[[#This Row],[Destination]],tblDestinations[Destination],0)),"?"))</f>
        <v/>
      </c>
      <c r="M4017" s="64">
        <f>IF(tblMovement[[#This Row],[Material]]="","",IF(LEFT(tblMovement[[#This Row],[Material]],3)="Ore",1,0))</f>
        <v/>
      </c>
      <c r="N4017" s="59">
        <f>IF(OR(tblMovement[[#This Row],[Tonnes_t]]="",tblMovement[[#This Row],[Grade_gpt]]=""),0,tblMovement[[#This Row],[Tonnes_t]]*tblMovement[[#This Row],[Grade_gpt]]/cfg_TroyOz)</f>
        <v/>
      </c>
      <c r="O4017" s="59">
        <f>IF(tblMovement[[#This Row],[Is_Ore]]=1,tblMovement[[#This Row],[Contained_oz]],0)</f>
        <v/>
      </c>
    </row>
    <row r="4018">
      <c r="A4018" s="54" t="n"/>
      <c r="B4018" s="61" t="n"/>
      <c r="C4018" s="61" t="n"/>
      <c r="D4018" s="61" t="n"/>
      <c r="E4018" s="61" t="n"/>
      <c r="F4018" s="55" t="n"/>
      <c r="G4018" s="56" t="n"/>
      <c r="H4018" s="55" t="n"/>
      <c r="I4018" s="62" t="n"/>
      <c r="J4018" s="58" t="n"/>
      <c r="K4018" s="63">
        <f>IF(tblMovement[[#This Row],[Source]]="","",IFERROR(INDEX(tblSources[Type],MATCH(tblMovement[[#This Row],[Source]],tblSources[Source],0)),"?"))</f>
        <v/>
      </c>
      <c r="L4018" s="63">
        <f>IF(tblMovement[[#This Row],[Destination]]="","",IFERROR(INDEX(tblDestinations[Type],MATCH(tblMovement[[#This Row],[Destination]],tblDestinations[Destination],0)),"?"))</f>
        <v/>
      </c>
      <c r="M4018" s="64">
        <f>IF(tblMovement[[#This Row],[Material]]="","",IF(LEFT(tblMovement[[#This Row],[Material]],3)="Ore",1,0))</f>
        <v/>
      </c>
      <c r="N4018" s="59">
        <f>IF(OR(tblMovement[[#This Row],[Tonnes_t]]="",tblMovement[[#This Row],[Grade_gpt]]=""),0,tblMovement[[#This Row],[Tonnes_t]]*tblMovement[[#This Row],[Grade_gpt]]/cfg_TroyOz)</f>
        <v/>
      </c>
      <c r="O4018" s="59">
        <f>IF(tblMovement[[#This Row],[Is_Ore]]=1,tblMovement[[#This Row],[Contained_oz]],0)</f>
        <v/>
      </c>
    </row>
    <row r="4019">
      <c r="A4019" s="54" t="n"/>
      <c r="B4019" s="61" t="n"/>
      <c r="C4019" s="61" t="n"/>
      <c r="D4019" s="61" t="n"/>
      <c r="E4019" s="61" t="n"/>
      <c r="F4019" s="55" t="n"/>
      <c r="G4019" s="56" t="n"/>
      <c r="H4019" s="55" t="n"/>
      <c r="I4019" s="62" t="n"/>
      <c r="J4019" s="58" t="n"/>
      <c r="K4019" s="63">
        <f>IF(tblMovement[[#This Row],[Source]]="","",IFERROR(INDEX(tblSources[Type],MATCH(tblMovement[[#This Row],[Source]],tblSources[Source],0)),"?"))</f>
        <v/>
      </c>
      <c r="L4019" s="63">
        <f>IF(tblMovement[[#This Row],[Destination]]="","",IFERROR(INDEX(tblDestinations[Type],MATCH(tblMovement[[#This Row],[Destination]],tblDestinations[Destination],0)),"?"))</f>
        <v/>
      </c>
      <c r="M4019" s="64">
        <f>IF(tblMovement[[#This Row],[Material]]="","",IF(LEFT(tblMovement[[#This Row],[Material]],3)="Ore",1,0))</f>
        <v/>
      </c>
      <c r="N4019" s="59">
        <f>IF(OR(tblMovement[[#This Row],[Tonnes_t]]="",tblMovement[[#This Row],[Grade_gpt]]=""),0,tblMovement[[#This Row],[Tonnes_t]]*tblMovement[[#This Row],[Grade_gpt]]/cfg_TroyOz)</f>
        <v/>
      </c>
      <c r="O4019" s="59">
        <f>IF(tblMovement[[#This Row],[Is_Ore]]=1,tblMovement[[#This Row],[Contained_oz]],0)</f>
        <v/>
      </c>
    </row>
    <row r="4020">
      <c r="A4020" s="54" t="n"/>
      <c r="B4020" s="61" t="n"/>
      <c r="C4020" s="61" t="n"/>
      <c r="D4020" s="61" t="n"/>
      <c r="E4020" s="61" t="n"/>
      <c r="F4020" s="55" t="n"/>
      <c r="G4020" s="56" t="n"/>
      <c r="H4020" s="55" t="n"/>
      <c r="I4020" s="62" t="n"/>
      <c r="J4020" s="58" t="n"/>
      <c r="K4020" s="63">
        <f>IF(tblMovement[[#This Row],[Source]]="","",IFERROR(INDEX(tblSources[Type],MATCH(tblMovement[[#This Row],[Source]],tblSources[Source],0)),"?"))</f>
        <v/>
      </c>
      <c r="L4020" s="63">
        <f>IF(tblMovement[[#This Row],[Destination]]="","",IFERROR(INDEX(tblDestinations[Type],MATCH(tblMovement[[#This Row],[Destination]],tblDestinations[Destination],0)),"?"))</f>
        <v/>
      </c>
      <c r="M4020" s="64">
        <f>IF(tblMovement[[#This Row],[Material]]="","",IF(LEFT(tblMovement[[#This Row],[Material]],3)="Ore",1,0))</f>
        <v/>
      </c>
      <c r="N4020" s="59">
        <f>IF(OR(tblMovement[[#This Row],[Tonnes_t]]="",tblMovement[[#This Row],[Grade_gpt]]=""),0,tblMovement[[#This Row],[Tonnes_t]]*tblMovement[[#This Row],[Grade_gpt]]/cfg_TroyOz)</f>
        <v/>
      </c>
      <c r="O4020" s="59">
        <f>IF(tblMovement[[#This Row],[Is_Ore]]=1,tblMovement[[#This Row],[Contained_oz]],0)</f>
        <v/>
      </c>
    </row>
    <row r="4021">
      <c r="A4021" s="54" t="n"/>
      <c r="B4021" s="61" t="n"/>
      <c r="C4021" s="61" t="n"/>
      <c r="D4021" s="61" t="n"/>
      <c r="E4021" s="61" t="n"/>
      <c r="F4021" s="55" t="n"/>
      <c r="G4021" s="56" t="n"/>
      <c r="H4021" s="55" t="n"/>
      <c r="I4021" s="62" t="n"/>
      <c r="J4021" s="58" t="n"/>
      <c r="K4021" s="63">
        <f>IF(tblMovement[[#This Row],[Source]]="","",IFERROR(INDEX(tblSources[Type],MATCH(tblMovement[[#This Row],[Source]],tblSources[Source],0)),"?"))</f>
        <v/>
      </c>
      <c r="L4021" s="63">
        <f>IF(tblMovement[[#This Row],[Destination]]="","",IFERROR(INDEX(tblDestinations[Type],MATCH(tblMovement[[#This Row],[Destination]],tblDestinations[Destination],0)),"?"))</f>
        <v/>
      </c>
      <c r="M4021" s="64">
        <f>IF(tblMovement[[#This Row],[Material]]="","",IF(LEFT(tblMovement[[#This Row],[Material]],3)="Ore",1,0))</f>
        <v/>
      </c>
      <c r="N4021" s="59">
        <f>IF(OR(tblMovement[[#This Row],[Tonnes_t]]="",tblMovement[[#This Row],[Grade_gpt]]=""),0,tblMovement[[#This Row],[Tonnes_t]]*tblMovement[[#This Row],[Grade_gpt]]/cfg_TroyOz)</f>
        <v/>
      </c>
      <c r="O4021" s="59">
        <f>IF(tblMovement[[#This Row],[Is_Ore]]=1,tblMovement[[#This Row],[Contained_oz]],0)</f>
        <v/>
      </c>
    </row>
    <row r="4022">
      <c r="A4022" s="54" t="n"/>
      <c r="B4022" s="61" t="n"/>
      <c r="C4022" s="61" t="n"/>
      <c r="D4022" s="61" t="n"/>
      <c r="E4022" s="61" t="n"/>
      <c r="F4022" s="55" t="n"/>
      <c r="G4022" s="56" t="n"/>
      <c r="H4022" s="55" t="n"/>
      <c r="I4022" s="62" t="n"/>
      <c r="J4022" s="58" t="n"/>
      <c r="K4022" s="63">
        <f>IF(tblMovement[[#This Row],[Source]]="","",IFERROR(INDEX(tblSources[Type],MATCH(tblMovement[[#This Row],[Source]],tblSources[Source],0)),"?"))</f>
        <v/>
      </c>
      <c r="L4022" s="63">
        <f>IF(tblMovement[[#This Row],[Destination]]="","",IFERROR(INDEX(tblDestinations[Type],MATCH(tblMovement[[#This Row],[Destination]],tblDestinations[Destination],0)),"?"))</f>
        <v/>
      </c>
      <c r="M4022" s="64">
        <f>IF(tblMovement[[#This Row],[Material]]="","",IF(LEFT(tblMovement[[#This Row],[Material]],3)="Ore",1,0))</f>
        <v/>
      </c>
      <c r="N4022" s="59">
        <f>IF(OR(tblMovement[[#This Row],[Tonnes_t]]="",tblMovement[[#This Row],[Grade_gpt]]=""),0,tblMovement[[#This Row],[Tonnes_t]]*tblMovement[[#This Row],[Grade_gpt]]/cfg_TroyOz)</f>
        <v/>
      </c>
      <c r="O4022" s="59">
        <f>IF(tblMovement[[#This Row],[Is_Ore]]=1,tblMovement[[#This Row],[Contained_oz]],0)</f>
        <v/>
      </c>
    </row>
    <row r="4023">
      <c r="A4023" s="54" t="n"/>
      <c r="B4023" s="61" t="n"/>
      <c r="C4023" s="61" t="n"/>
      <c r="D4023" s="61" t="n"/>
      <c r="E4023" s="61" t="n"/>
      <c r="F4023" s="55" t="n"/>
      <c r="G4023" s="56" t="n"/>
      <c r="H4023" s="55" t="n"/>
      <c r="I4023" s="62" t="n"/>
      <c r="J4023" s="58" t="n"/>
      <c r="K4023" s="63">
        <f>IF(tblMovement[[#This Row],[Source]]="","",IFERROR(INDEX(tblSources[Type],MATCH(tblMovement[[#This Row],[Source]],tblSources[Source],0)),"?"))</f>
        <v/>
      </c>
      <c r="L4023" s="63">
        <f>IF(tblMovement[[#This Row],[Destination]]="","",IFERROR(INDEX(tblDestinations[Type],MATCH(tblMovement[[#This Row],[Destination]],tblDestinations[Destination],0)),"?"))</f>
        <v/>
      </c>
      <c r="M4023" s="64">
        <f>IF(tblMovement[[#This Row],[Material]]="","",IF(LEFT(tblMovement[[#This Row],[Material]],3)="Ore",1,0))</f>
        <v/>
      </c>
      <c r="N4023" s="59">
        <f>IF(OR(tblMovement[[#This Row],[Tonnes_t]]="",tblMovement[[#This Row],[Grade_gpt]]=""),0,tblMovement[[#This Row],[Tonnes_t]]*tblMovement[[#This Row],[Grade_gpt]]/cfg_TroyOz)</f>
        <v/>
      </c>
      <c r="O4023" s="59">
        <f>IF(tblMovement[[#This Row],[Is_Ore]]=1,tblMovement[[#This Row],[Contained_oz]],0)</f>
        <v/>
      </c>
    </row>
    <row r="4024">
      <c r="A4024" s="54" t="n"/>
      <c r="B4024" s="61" t="n"/>
      <c r="C4024" s="61" t="n"/>
      <c r="D4024" s="61" t="n"/>
      <c r="E4024" s="61" t="n"/>
      <c r="F4024" s="55" t="n"/>
      <c r="G4024" s="56" t="n"/>
      <c r="H4024" s="55" t="n"/>
      <c r="I4024" s="62" t="n"/>
      <c r="J4024" s="58" t="n"/>
      <c r="K4024" s="63">
        <f>IF(tblMovement[[#This Row],[Source]]="","",IFERROR(INDEX(tblSources[Type],MATCH(tblMovement[[#This Row],[Source]],tblSources[Source],0)),"?"))</f>
        <v/>
      </c>
      <c r="L4024" s="63">
        <f>IF(tblMovement[[#This Row],[Destination]]="","",IFERROR(INDEX(tblDestinations[Type],MATCH(tblMovement[[#This Row],[Destination]],tblDestinations[Destination],0)),"?"))</f>
        <v/>
      </c>
      <c r="M4024" s="64">
        <f>IF(tblMovement[[#This Row],[Material]]="","",IF(LEFT(tblMovement[[#This Row],[Material]],3)="Ore",1,0))</f>
        <v/>
      </c>
      <c r="N4024" s="59">
        <f>IF(OR(tblMovement[[#This Row],[Tonnes_t]]="",tblMovement[[#This Row],[Grade_gpt]]=""),0,tblMovement[[#This Row],[Tonnes_t]]*tblMovement[[#This Row],[Grade_gpt]]/cfg_TroyOz)</f>
        <v/>
      </c>
      <c r="O4024" s="59">
        <f>IF(tblMovement[[#This Row],[Is_Ore]]=1,tblMovement[[#This Row],[Contained_oz]],0)</f>
        <v/>
      </c>
    </row>
    <row r="4025">
      <c r="A4025" s="54" t="n"/>
      <c r="B4025" s="61" t="n"/>
      <c r="C4025" s="61" t="n"/>
      <c r="D4025" s="61" t="n"/>
      <c r="E4025" s="61" t="n"/>
      <c r="F4025" s="55" t="n"/>
      <c r="G4025" s="56" t="n"/>
      <c r="H4025" s="55" t="n"/>
      <c r="I4025" s="62" t="n"/>
      <c r="J4025" s="58" t="n"/>
      <c r="K4025" s="63">
        <f>IF(tblMovement[[#This Row],[Source]]="","",IFERROR(INDEX(tblSources[Type],MATCH(tblMovement[[#This Row],[Source]],tblSources[Source],0)),"?"))</f>
        <v/>
      </c>
      <c r="L4025" s="63">
        <f>IF(tblMovement[[#This Row],[Destination]]="","",IFERROR(INDEX(tblDestinations[Type],MATCH(tblMovement[[#This Row],[Destination]],tblDestinations[Destination],0)),"?"))</f>
        <v/>
      </c>
      <c r="M4025" s="64">
        <f>IF(tblMovement[[#This Row],[Material]]="","",IF(LEFT(tblMovement[[#This Row],[Material]],3)="Ore",1,0))</f>
        <v/>
      </c>
      <c r="N4025" s="59">
        <f>IF(OR(tblMovement[[#This Row],[Tonnes_t]]="",tblMovement[[#This Row],[Grade_gpt]]=""),0,tblMovement[[#This Row],[Tonnes_t]]*tblMovement[[#This Row],[Grade_gpt]]/cfg_TroyOz)</f>
        <v/>
      </c>
      <c r="O4025" s="59">
        <f>IF(tblMovement[[#This Row],[Is_Ore]]=1,tblMovement[[#This Row],[Contained_oz]],0)</f>
        <v/>
      </c>
    </row>
    <row r="4026">
      <c r="A4026" s="54" t="n"/>
      <c r="B4026" s="61" t="n"/>
      <c r="C4026" s="61" t="n"/>
      <c r="D4026" s="61" t="n"/>
      <c r="E4026" s="61" t="n"/>
      <c r="F4026" s="55" t="n"/>
      <c r="G4026" s="56" t="n"/>
      <c r="H4026" s="55" t="n"/>
      <c r="I4026" s="62" t="n"/>
      <c r="J4026" s="58" t="n"/>
      <c r="K4026" s="63">
        <f>IF(tblMovement[[#This Row],[Source]]="","",IFERROR(INDEX(tblSources[Type],MATCH(tblMovement[[#This Row],[Source]],tblSources[Source],0)),"?"))</f>
        <v/>
      </c>
      <c r="L4026" s="63">
        <f>IF(tblMovement[[#This Row],[Destination]]="","",IFERROR(INDEX(tblDestinations[Type],MATCH(tblMovement[[#This Row],[Destination]],tblDestinations[Destination],0)),"?"))</f>
        <v/>
      </c>
      <c r="M4026" s="64">
        <f>IF(tblMovement[[#This Row],[Material]]="","",IF(LEFT(tblMovement[[#This Row],[Material]],3)="Ore",1,0))</f>
        <v/>
      </c>
      <c r="N4026" s="59">
        <f>IF(OR(tblMovement[[#This Row],[Tonnes_t]]="",tblMovement[[#This Row],[Grade_gpt]]=""),0,tblMovement[[#This Row],[Tonnes_t]]*tblMovement[[#This Row],[Grade_gpt]]/cfg_TroyOz)</f>
        <v/>
      </c>
      <c r="O4026" s="59">
        <f>IF(tblMovement[[#This Row],[Is_Ore]]=1,tblMovement[[#This Row],[Contained_oz]],0)</f>
        <v/>
      </c>
    </row>
    <row r="4027">
      <c r="A4027" s="54" t="n"/>
      <c r="B4027" s="61" t="n"/>
      <c r="C4027" s="61" t="n"/>
      <c r="D4027" s="61" t="n"/>
      <c r="E4027" s="61" t="n"/>
      <c r="F4027" s="55" t="n"/>
      <c r="G4027" s="56" t="n"/>
      <c r="H4027" s="55" t="n"/>
      <c r="I4027" s="62" t="n"/>
      <c r="J4027" s="58" t="n"/>
      <c r="K4027" s="63">
        <f>IF(tblMovement[[#This Row],[Source]]="","",IFERROR(INDEX(tblSources[Type],MATCH(tblMovement[[#This Row],[Source]],tblSources[Source],0)),"?"))</f>
        <v/>
      </c>
      <c r="L4027" s="63">
        <f>IF(tblMovement[[#This Row],[Destination]]="","",IFERROR(INDEX(tblDestinations[Type],MATCH(tblMovement[[#This Row],[Destination]],tblDestinations[Destination],0)),"?"))</f>
        <v/>
      </c>
      <c r="M4027" s="64">
        <f>IF(tblMovement[[#This Row],[Material]]="","",IF(LEFT(tblMovement[[#This Row],[Material]],3)="Ore",1,0))</f>
        <v/>
      </c>
      <c r="N4027" s="59">
        <f>IF(OR(tblMovement[[#This Row],[Tonnes_t]]="",tblMovement[[#This Row],[Grade_gpt]]=""),0,tblMovement[[#This Row],[Tonnes_t]]*tblMovement[[#This Row],[Grade_gpt]]/cfg_TroyOz)</f>
        <v/>
      </c>
      <c r="O4027" s="59">
        <f>IF(tblMovement[[#This Row],[Is_Ore]]=1,tblMovement[[#This Row],[Contained_oz]],0)</f>
        <v/>
      </c>
    </row>
    <row r="4028">
      <c r="A4028" s="54" t="n"/>
      <c r="B4028" s="61" t="n"/>
      <c r="C4028" s="61" t="n"/>
      <c r="D4028" s="61" t="n"/>
      <c r="E4028" s="61" t="n"/>
      <c r="F4028" s="55" t="n"/>
      <c r="G4028" s="56" t="n"/>
      <c r="H4028" s="55" t="n"/>
      <c r="I4028" s="62" t="n"/>
      <c r="J4028" s="58" t="n"/>
      <c r="K4028" s="63">
        <f>IF(tblMovement[[#This Row],[Source]]="","",IFERROR(INDEX(tblSources[Type],MATCH(tblMovement[[#This Row],[Source]],tblSources[Source],0)),"?"))</f>
        <v/>
      </c>
      <c r="L4028" s="63">
        <f>IF(tblMovement[[#This Row],[Destination]]="","",IFERROR(INDEX(tblDestinations[Type],MATCH(tblMovement[[#This Row],[Destination]],tblDestinations[Destination],0)),"?"))</f>
        <v/>
      </c>
      <c r="M4028" s="64">
        <f>IF(tblMovement[[#This Row],[Material]]="","",IF(LEFT(tblMovement[[#This Row],[Material]],3)="Ore",1,0))</f>
        <v/>
      </c>
      <c r="N4028" s="59">
        <f>IF(OR(tblMovement[[#This Row],[Tonnes_t]]="",tblMovement[[#This Row],[Grade_gpt]]=""),0,tblMovement[[#This Row],[Tonnes_t]]*tblMovement[[#This Row],[Grade_gpt]]/cfg_TroyOz)</f>
        <v/>
      </c>
      <c r="O4028" s="59">
        <f>IF(tblMovement[[#This Row],[Is_Ore]]=1,tblMovement[[#This Row],[Contained_oz]],0)</f>
        <v/>
      </c>
    </row>
    <row r="4029">
      <c r="A4029" s="54" t="n"/>
      <c r="B4029" s="61" t="n"/>
      <c r="C4029" s="61" t="n"/>
      <c r="D4029" s="61" t="n"/>
      <c r="E4029" s="61" t="n"/>
      <c r="F4029" s="55" t="n"/>
      <c r="G4029" s="56" t="n"/>
      <c r="H4029" s="55" t="n"/>
      <c r="I4029" s="62" t="n"/>
      <c r="J4029" s="58" t="n"/>
      <c r="K4029" s="63">
        <f>IF(tblMovement[[#This Row],[Source]]="","",IFERROR(INDEX(tblSources[Type],MATCH(tblMovement[[#This Row],[Source]],tblSources[Source],0)),"?"))</f>
        <v/>
      </c>
      <c r="L4029" s="63">
        <f>IF(tblMovement[[#This Row],[Destination]]="","",IFERROR(INDEX(tblDestinations[Type],MATCH(tblMovement[[#This Row],[Destination]],tblDestinations[Destination],0)),"?"))</f>
        <v/>
      </c>
      <c r="M4029" s="64">
        <f>IF(tblMovement[[#This Row],[Material]]="","",IF(LEFT(tblMovement[[#This Row],[Material]],3)="Ore",1,0))</f>
        <v/>
      </c>
      <c r="N4029" s="59">
        <f>IF(OR(tblMovement[[#This Row],[Tonnes_t]]="",tblMovement[[#This Row],[Grade_gpt]]=""),0,tblMovement[[#This Row],[Tonnes_t]]*tblMovement[[#This Row],[Grade_gpt]]/cfg_TroyOz)</f>
        <v/>
      </c>
      <c r="O4029" s="59">
        <f>IF(tblMovement[[#This Row],[Is_Ore]]=1,tblMovement[[#This Row],[Contained_oz]],0)</f>
        <v/>
      </c>
    </row>
    <row r="4030">
      <c r="A4030" s="54" t="n"/>
      <c r="B4030" s="61" t="n"/>
      <c r="C4030" s="61" t="n"/>
      <c r="D4030" s="61" t="n"/>
      <c r="E4030" s="61" t="n"/>
      <c r="F4030" s="55" t="n"/>
      <c r="G4030" s="56" t="n"/>
      <c r="H4030" s="55" t="n"/>
      <c r="I4030" s="62" t="n"/>
      <c r="J4030" s="58" t="n"/>
      <c r="K4030" s="63">
        <f>IF(tblMovement[[#This Row],[Source]]="","",IFERROR(INDEX(tblSources[Type],MATCH(tblMovement[[#This Row],[Source]],tblSources[Source],0)),"?"))</f>
        <v/>
      </c>
      <c r="L4030" s="63">
        <f>IF(tblMovement[[#This Row],[Destination]]="","",IFERROR(INDEX(tblDestinations[Type],MATCH(tblMovement[[#This Row],[Destination]],tblDestinations[Destination],0)),"?"))</f>
        <v/>
      </c>
      <c r="M4030" s="64">
        <f>IF(tblMovement[[#This Row],[Material]]="","",IF(LEFT(tblMovement[[#This Row],[Material]],3)="Ore",1,0))</f>
        <v/>
      </c>
      <c r="N4030" s="59">
        <f>IF(OR(tblMovement[[#This Row],[Tonnes_t]]="",tblMovement[[#This Row],[Grade_gpt]]=""),0,tblMovement[[#This Row],[Tonnes_t]]*tblMovement[[#This Row],[Grade_gpt]]/cfg_TroyOz)</f>
        <v/>
      </c>
      <c r="O4030" s="59">
        <f>IF(tblMovement[[#This Row],[Is_Ore]]=1,tblMovement[[#This Row],[Contained_oz]],0)</f>
        <v/>
      </c>
    </row>
    <row r="4031">
      <c r="A4031" s="54" t="n"/>
      <c r="B4031" s="61" t="n"/>
      <c r="C4031" s="61" t="n"/>
      <c r="D4031" s="61" t="n"/>
      <c r="E4031" s="61" t="n"/>
      <c r="F4031" s="55" t="n"/>
      <c r="G4031" s="56" t="n"/>
      <c r="H4031" s="55" t="n"/>
      <c r="I4031" s="62" t="n"/>
      <c r="J4031" s="58" t="n"/>
      <c r="K4031" s="63">
        <f>IF(tblMovement[[#This Row],[Source]]="","",IFERROR(INDEX(tblSources[Type],MATCH(tblMovement[[#This Row],[Source]],tblSources[Source],0)),"?"))</f>
        <v/>
      </c>
      <c r="L4031" s="63">
        <f>IF(tblMovement[[#This Row],[Destination]]="","",IFERROR(INDEX(tblDestinations[Type],MATCH(tblMovement[[#This Row],[Destination]],tblDestinations[Destination],0)),"?"))</f>
        <v/>
      </c>
      <c r="M4031" s="64">
        <f>IF(tblMovement[[#This Row],[Material]]="","",IF(LEFT(tblMovement[[#This Row],[Material]],3)="Ore",1,0))</f>
        <v/>
      </c>
      <c r="N4031" s="59">
        <f>IF(OR(tblMovement[[#This Row],[Tonnes_t]]="",tblMovement[[#This Row],[Grade_gpt]]=""),0,tblMovement[[#This Row],[Tonnes_t]]*tblMovement[[#This Row],[Grade_gpt]]/cfg_TroyOz)</f>
        <v/>
      </c>
      <c r="O4031" s="59">
        <f>IF(tblMovement[[#This Row],[Is_Ore]]=1,tblMovement[[#This Row],[Contained_oz]],0)</f>
        <v/>
      </c>
    </row>
    <row r="4032">
      <c r="A4032" s="54" t="n"/>
      <c r="B4032" s="61" t="n"/>
      <c r="C4032" s="61" t="n"/>
      <c r="D4032" s="61" t="n"/>
      <c r="E4032" s="61" t="n"/>
      <c r="F4032" s="55" t="n"/>
      <c r="G4032" s="56" t="n"/>
      <c r="H4032" s="55" t="n"/>
      <c r="I4032" s="62" t="n"/>
      <c r="J4032" s="58" t="n"/>
      <c r="K4032" s="63">
        <f>IF(tblMovement[[#This Row],[Source]]="","",IFERROR(INDEX(tblSources[Type],MATCH(tblMovement[[#This Row],[Source]],tblSources[Source],0)),"?"))</f>
        <v/>
      </c>
      <c r="L4032" s="63">
        <f>IF(tblMovement[[#This Row],[Destination]]="","",IFERROR(INDEX(tblDestinations[Type],MATCH(tblMovement[[#This Row],[Destination]],tblDestinations[Destination],0)),"?"))</f>
        <v/>
      </c>
      <c r="M4032" s="64">
        <f>IF(tblMovement[[#This Row],[Material]]="","",IF(LEFT(tblMovement[[#This Row],[Material]],3)="Ore",1,0))</f>
        <v/>
      </c>
      <c r="N4032" s="59">
        <f>IF(OR(tblMovement[[#This Row],[Tonnes_t]]="",tblMovement[[#This Row],[Grade_gpt]]=""),0,tblMovement[[#This Row],[Tonnes_t]]*tblMovement[[#This Row],[Grade_gpt]]/cfg_TroyOz)</f>
        <v/>
      </c>
      <c r="O4032" s="59">
        <f>IF(tblMovement[[#This Row],[Is_Ore]]=1,tblMovement[[#This Row],[Contained_oz]],0)</f>
        <v/>
      </c>
    </row>
    <row r="4033">
      <c r="A4033" s="54" t="n"/>
      <c r="B4033" s="61" t="n"/>
      <c r="C4033" s="61" t="n"/>
      <c r="D4033" s="61" t="n"/>
      <c r="E4033" s="61" t="n"/>
      <c r="F4033" s="55" t="n"/>
      <c r="G4033" s="56" t="n"/>
      <c r="H4033" s="55" t="n"/>
      <c r="I4033" s="62" t="n"/>
      <c r="J4033" s="58" t="n"/>
      <c r="K4033" s="63">
        <f>IF(tblMovement[[#This Row],[Source]]="","",IFERROR(INDEX(tblSources[Type],MATCH(tblMovement[[#This Row],[Source]],tblSources[Source],0)),"?"))</f>
        <v/>
      </c>
      <c r="L4033" s="63">
        <f>IF(tblMovement[[#This Row],[Destination]]="","",IFERROR(INDEX(tblDestinations[Type],MATCH(tblMovement[[#This Row],[Destination]],tblDestinations[Destination],0)),"?"))</f>
        <v/>
      </c>
      <c r="M4033" s="64">
        <f>IF(tblMovement[[#This Row],[Material]]="","",IF(LEFT(tblMovement[[#This Row],[Material]],3)="Ore",1,0))</f>
        <v/>
      </c>
      <c r="N4033" s="59">
        <f>IF(OR(tblMovement[[#This Row],[Tonnes_t]]="",tblMovement[[#This Row],[Grade_gpt]]=""),0,tblMovement[[#This Row],[Tonnes_t]]*tblMovement[[#This Row],[Grade_gpt]]/cfg_TroyOz)</f>
        <v/>
      </c>
      <c r="O4033" s="59">
        <f>IF(tblMovement[[#This Row],[Is_Ore]]=1,tblMovement[[#This Row],[Contained_oz]],0)</f>
        <v/>
      </c>
    </row>
    <row r="4034">
      <c r="A4034" s="54" t="n"/>
      <c r="B4034" s="61" t="n"/>
      <c r="C4034" s="61" t="n"/>
      <c r="D4034" s="61" t="n"/>
      <c r="E4034" s="61" t="n"/>
      <c r="F4034" s="55" t="n"/>
      <c r="G4034" s="56" t="n"/>
      <c r="H4034" s="55" t="n"/>
      <c r="I4034" s="62" t="n"/>
      <c r="J4034" s="58" t="n"/>
      <c r="K4034" s="63">
        <f>IF(tblMovement[[#This Row],[Source]]="","",IFERROR(INDEX(tblSources[Type],MATCH(tblMovement[[#This Row],[Source]],tblSources[Source],0)),"?"))</f>
        <v/>
      </c>
      <c r="L4034" s="63">
        <f>IF(tblMovement[[#This Row],[Destination]]="","",IFERROR(INDEX(tblDestinations[Type],MATCH(tblMovement[[#This Row],[Destination]],tblDestinations[Destination],0)),"?"))</f>
        <v/>
      </c>
      <c r="M4034" s="64">
        <f>IF(tblMovement[[#This Row],[Material]]="","",IF(LEFT(tblMovement[[#This Row],[Material]],3)="Ore",1,0))</f>
        <v/>
      </c>
      <c r="N4034" s="59">
        <f>IF(OR(tblMovement[[#This Row],[Tonnes_t]]="",tblMovement[[#This Row],[Grade_gpt]]=""),0,tblMovement[[#This Row],[Tonnes_t]]*tblMovement[[#This Row],[Grade_gpt]]/cfg_TroyOz)</f>
        <v/>
      </c>
      <c r="O4034" s="59">
        <f>IF(tblMovement[[#This Row],[Is_Ore]]=1,tblMovement[[#This Row],[Contained_oz]],0)</f>
        <v/>
      </c>
    </row>
    <row r="4035">
      <c r="A4035" s="54" t="n"/>
      <c r="B4035" s="61" t="n"/>
      <c r="C4035" s="61" t="n"/>
      <c r="D4035" s="61" t="n"/>
      <c r="E4035" s="61" t="n"/>
      <c r="F4035" s="55" t="n"/>
      <c r="G4035" s="56" t="n"/>
      <c r="H4035" s="55" t="n"/>
      <c r="I4035" s="62" t="n"/>
      <c r="J4035" s="58" t="n"/>
      <c r="K4035" s="63">
        <f>IF(tblMovement[[#This Row],[Source]]="","",IFERROR(INDEX(tblSources[Type],MATCH(tblMovement[[#This Row],[Source]],tblSources[Source],0)),"?"))</f>
        <v/>
      </c>
      <c r="L4035" s="63">
        <f>IF(tblMovement[[#This Row],[Destination]]="","",IFERROR(INDEX(tblDestinations[Type],MATCH(tblMovement[[#This Row],[Destination]],tblDestinations[Destination],0)),"?"))</f>
        <v/>
      </c>
      <c r="M4035" s="64">
        <f>IF(tblMovement[[#This Row],[Material]]="","",IF(LEFT(tblMovement[[#This Row],[Material]],3)="Ore",1,0))</f>
        <v/>
      </c>
      <c r="N4035" s="59">
        <f>IF(OR(tblMovement[[#This Row],[Tonnes_t]]="",tblMovement[[#This Row],[Grade_gpt]]=""),0,tblMovement[[#This Row],[Tonnes_t]]*tblMovement[[#This Row],[Grade_gpt]]/cfg_TroyOz)</f>
        <v/>
      </c>
      <c r="O4035" s="59">
        <f>IF(tblMovement[[#This Row],[Is_Ore]]=1,tblMovement[[#This Row],[Contained_oz]],0)</f>
        <v/>
      </c>
    </row>
    <row r="4036">
      <c r="A4036" s="54" t="n"/>
      <c r="B4036" s="61" t="n"/>
      <c r="C4036" s="61" t="n"/>
      <c r="D4036" s="61" t="n"/>
      <c r="E4036" s="61" t="n"/>
      <c r="F4036" s="55" t="n"/>
      <c r="G4036" s="56" t="n"/>
      <c r="H4036" s="55" t="n"/>
      <c r="I4036" s="62" t="n"/>
      <c r="J4036" s="58" t="n"/>
      <c r="K4036" s="63">
        <f>IF(tblMovement[[#This Row],[Source]]="","",IFERROR(INDEX(tblSources[Type],MATCH(tblMovement[[#This Row],[Source]],tblSources[Source],0)),"?"))</f>
        <v/>
      </c>
      <c r="L4036" s="63">
        <f>IF(tblMovement[[#This Row],[Destination]]="","",IFERROR(INDEX(tblDestinations[Type],MATCH(tblMovement[[#This Row],[Destination]],tblDestinations[Destination],0)),"?"))</f>
        <v/>
      </c>
      <c r="M4036" s="64">
        <f>IF(tblMovement[[#This Row],[Material]]="","",IF(LEFT(tblMovement[[#This Row],[Material]],3)="Ore",1,0))</f>
        <v/>
      </c>
      <c r="N4036" s="59">
        <f>IF(OR(tblMovement[[#This Row],[Tonnes_t]]="",tblMovement[[#This Row],[Grade_gpt]]=""),0,tblMovement[[#This Row],[Tonnes_t]]*tblMovement[[#This Row],[Grade_gpt]]/cfg_TroyOz)</f>
        <v/>
      </c>
      <c r="O4036" s="59">
        <f>IF(tblMovement[[#This Row],[Is_Ore]]=1,tblMovement[[#This Row],[Contained_oz]],0)</f>
        <v/>
      </c>
    </row>
    <row r="4037">
      <c r="A4037" s="54" t="n"/>
      <c r="B4037" s="61" t="n"/>
      <c r="C4037" s="61" t="n"/>
      <c r="D4037" s="61" t="n"/>
      <c r="E4037" s="61" t="n"/>
      <c r="F4037" s="55" t="n"/>
      <c r="G4037" s="56" t="n"/>
      <c r="H4037" s="55" t="n"/>
      <c r="I4037" s="62" t="n"/>
      <c r="J4037" s="58" t="n"/>
      <c r="K4037" s="63">
        <f>IF(tblMovement[[#This Row],[Source]]="","",IFERROR(INDEX(tblSources[Type],MATCH(tblMovement[[#This Row],[Source]],tblSources[Source],0)),"?"))</f>
        <v/>
      </c>
      <c r="L4037" s="63">
        <f>IF(tblMovement[[#This Row],[Destination]]="","",IFERROR(INDEX(tblDestinations[Type],MATCH(tblMovement[[#This Row],[Destination]],tblDestinations[Destination],0)),"?"))</f>
        <v/>
      </c>
      <c r="M4037" s="64">
        <f>IF(tblMovement[[#This Row],[Material]]="","",IF(LEFT(tblMovement[[#This Row],[Material]],3)="Ore",1,0))</f>
        <v/>
      </c>
      <c r="N4037" s="59">
        <f>IF(OR(tblMovement[[#This Row],[Tonnes_t]]="",tblMovement[[#This Row],[Grade_gpt]]=""),0,tblMovement[[#This Row],[Tonnes_t]]*tblMovement[[#This Row],[Grade_gpt]]/cfg_TroyOz)</f>
        <v/>
      </c>
      <c r="O4037" s="59">
        <f>IF(tblMovement[[#This Row],[Is_Ore]]=1,tblMovement[[#This Row],[Contained_oz]],0)</f>
        <v/>
      </c>
    </row>
    <row r="4038">
      <c r="A4038" s="54" t="n"/>
      <c r="B4038" s="61" t="n"/>
      <c r="C4038" s="61" t="n"/>
      <c r="D4038" s="61" t="n"/>
      <c r="E4038" s="61" t="n"/>
      <c r="F4038" s="55" t="n"/>
      <c r="G4038" s="56" t="n"/>
      <c r="H4038" s="55" t="n"/>
      <c r="I4038" s="62" t="n"/>
      <c r="J4038" s="58" t="n"/>
      <c r="K4038" s="63">
        <f>IF(tblMovement[[#This Row],[Source]]="","",IFERROR(INDEX(tblSources[Type],MATCH(tblMovement[[#This Row],[Source]],tblSources[Source],0)),"?"))</f>
        <v/>
      </c>
      <c r="L4038" s="63">
        <f>IF(tblMovement[[#This Row],[Destination]]="","",IFERROR(INDEX(tblDestinations[Type],MATCH(tblMovement[[#This Row],[Destination]],tblDestinations[Destination],0)),"?"))</f>
        <v/>
      </c>
      <c r="M4038" s="64">
        <f>IF(tblMovement[[#This Row],[Material]]="","",IF(LEFT(tblMovement[[#This Row],[Material]],3)="Ore",1,0))</f>
        <v/>
      </c>
      <c r="N4038" s="59">
        <f>IF(OR(tblMovement[[#This Row],[Tonnes_t]]="",tblMovement[[#This Row],[Grade_gpt]]=""),0,tblMovement[[#This Row],[Tonnes_t]]*tblMovement[[#This Row],[Grade_gpt]]/cfg_TroyOz)</f>
        <v/>
      </c>
      <c r="O4038" s="59">
        <f>IF(tblMovement[[#This Row],[Is_Ore]]=1,tblMovement[[#This Row],[Contained_oz]],0)</f>
        <v/>
      </c>
    </row>
    <row r="4039">
      <c r="A4039" s="54" t="n"/>
      <c r="B4039" s="61" t="n"/>
      <c r="C4039" s="61" t="n"/>
      <c r="D4039" s="61" t="n"/>
      <c r="E4039" s="61" t="n"/>
      <c r="F4039" s="55" t="n"/>
      <c r="G4039" s="56" t="n"/>
      <c r="H4039" s="55" t="n"/>
      <c r="I4039" s="62" t="n"/>
      <c r="J4039" s="58" t="n"/>
      <c r="K4039" s="63">
        <f>IF(tblMovement[[#This Row],[Source]]="","",IFERROR(INDEX(tblSources[Type],MATCH(tblMovement[[#This Row],[Source]],tblSources[Source],0)),"?"))</f>
        <v/>
      </c>
      <c r="L4039" s="63">
        <f>IF(tblMovement[[#This Row],[Destination]]="","",IFERROR(INDEX(tblDestinations[Type],MATCH(tblMovement[[#This Row],[Destination]],tblDestinations[Destination],0)),"?"))</f>
        <v/>
      </c>
      <c r="M4039" s="64">
        <f>IF(tblMovement[[#This Row],[Material]]="","",IF(LEFT(tblMovement[[#This Row],[Material]],3)="Ore",1,0))</f>
        <v/>
      </c>
      <c r="N4039" s="59">
        <f>IF(OR(tblMovement[[#This Row],[Tonnes_t]]="",tblMovement[[#This Row],[Grade_gpt]]=""),0,tblMovement[[#This Row],[Tonnes_t]]*tblMovement[[#This Row],[Grade_gpt]]/cfg_TroyOz)</f>
        <v/>
      </c>
      <c r="O4039" s="59">
        <f>IF(tblMovement[[#This Row],[Is_Ore]]=1,tblMovement[[#This Row],[Contained_oz]],0)</f>
        <v/>
      </c>
    </row>
    <row r="4040">
      <c r="A4040" s="54" t="n"/>
      <c r="B4040" s="61" t="n"/>
      <c r="C4040" s="61" t="n"/>
      <c r="D4040" s="61" t="n"/>
      <c r="E4040" s="61" t="n"/>
      <c r="F4040" s="55" t="n"/>
      <c r="G4040" s="56" t="n"/>
      <c r="H4040" s="55" t="n"/>
      <c r="I4040" s="62" t="n"/>
      <c r="J4040" s="58" t="n"/>
      <c r="K4040" s="63">
        <f>IF(tblMovement[[#This Row],[Source]]="","",IFERROR(INDEX(tblSources[Type],MATCH(tblMovement[[#This Row],[Source]],tblSources[Source],0)),"?"))</f>
        <v/>
      </c>
      <c r="L4040" s="63">
        <f>IF(tblMovement[[#This Row],[Destination]]="","",IFERROR(INDEX(tblDestinations[Type],MATCH(tblMovement[[#This Row],[Destination]],tblDestinations[Destination],0)),"?"))</f>
        <v/>
      </c>
      <c r="M4040" s="64">
        <f>IF(tblMovement[[#This Row],[Material]]="","",IF(LEFT(tblMovement[[#This Row],[Material]],3)="Ore",1,0))</f>
        <v/>
      </c>
      <c r="N4040" s="59">
        <f>IF(OR(tblMovement[[#This Row],[Tonnes_t]]="",tblMovement[[#This Row],[Grade_gpt]]=""),0,tblMovement[[#This Row],[Tonnes_t]]*tblMovement[[#This Row],[Grade_gpt]]/cfg_TroyOz)</f>
        <v/>
      </c>
      <c r="O4040" s="59">
        <f>IF(tblMovement[[#This Row],[Is_Ore]]=1,tblMovement[[#This Row],[Contained_oz]],0)</f>
        <v/>
      </c>
    </row>
    <row r="4041">
      <c r="A4041" s="54" t="n"/>
      <c r="B4041" s="61" t="n"/>
      <c r="C4041" s="61" t="n"/>
      <c r="D4041" s="61" t="n"/>
      <c r="E4041" s="61" t="n"/>
      <c r="F4041" s="55" t="n"/>
      <c r="G4041" s="56" t="n"/>
      <c r="H4041" s="55" t="n"/>
      <c r="I4041" s="62" t="n"/>
      <c r="J4041" s="58" t="n"/>
      <c r="K4041" s="63">
        <f>IF(tblMovement[[#This Row],[Source]]="","",IFERROR(INDEX(tblSources[Type],MATCH(tblMovement[[#This Row],[Source]],tblSources[Source],0)),"?"))</f>
        <v/>
      </c>
      <c r="L4041" s="63">
        <f>IF(tblMovement[[#This Row],[Destination]]="","",IFERROR(INDEX(tblDestinations[Type],MATCH(tblMovement[[#This Row],[Destination]],tblDestinations[Destination],0)),"?"))</f>
        <v/>
      </c>
      <c r="M4041" s="64">
        <f>IF(tblMovement[[#This Row],[Material]]="","",IF(LEFT(tblMovement[[#This Row],[Material]],3)="Ore",1,0))</f>
        <v/>
      </c>
      <c r="N4041" s="59">
        <f>IF(OR(tblMovement[[#This Row],[Tonnes_t]]="",tblMovement[[#This Row],[Grade_gpt]]=""),0,tblMovement[[#This Row],[Tonnes_t]]*tblMovement[[#This Row],[Grade_gpt]]/cfg_TroyOz)</f>
        <v/>
      </c>
      <c r="O4041" s="59">
        <f>IF(tblMovement[[#This Row],[Is_Ore]]=1,tblMovement[[#This Row],[Contained_oz]],0)</f>
        <v/>
      </c>
    </row>
    <row r="4042">
      <c r="A4042" s="54" t="n"/>
      <c r="B4042" s="61" t="n"/>
      <c r="C4042" s="61" t="n"/>
      <c r="D4042" s="61" t="n"/>
      <c r="E4042" s="61" t="n"/>
      <c r="F4042" s="55" t="n"/>
      <c r="G4042" s="56" t="n"/>
      <c r="H4042" s="55" t="n"/>
      <c r="I4042" s="62" t="n"/>
      <c r="J4042" s="58" t="n"/>
      <c r="K4042" s="63">
        <f>IF(tblMovement[[#This Row],[Source]]="","",IFERROR(INDEX(tblSources[Type],MATCH(tblMovement[[#This Row],[Source]],tblSources[Source],0)),"?"))</f>
        <v/>
      </c>
      <c r="L4042" s="63">
        <f>IF(tblMovement[[#This Row],[Destination]]="","",IFERROR(INDEX(tblDestinations[Type],MATCH(tblMovement[[#This Row],[Destination]],tblDestinations[Destination],0)),"?"))</f>
        <v/>
      </c>
      <c r="M4042" s="64">
        <f>IF(tblMovement[[#This Row],[Material]]="","",IF(LEFT(tblMovement[[#This Row],[Material]],3)="Ore",1,0))</f>
        <v/>
      </c>
      <c r="N4042" s="59">
        <f>IF(OR(tblMovement[[#This Row],[Tonnes_t]]="",tblMovement[[#This Row],[Grade_gpt]]=""),0,tblMovement[[#This Row],[Tonnes_t]]*tblMovement[[#This Row],[Grade_gpt]]/cfg_TroyOz)</f>
        <v/>
      </c>
      <c r="O4042" s="59">
        <f>IF(tblMovement[[#This Row],[Is_Ore]]=1,tblMovement[[#This Row],[Contained_oz]],0)</f>
        <v/>
      </c>
    </row>
    <row r="4043">
      <c r="A4043" s="54" t="n"/>
      <c r="B4043" s="61" t="n"/>
      <c r="C4043" s="61" t="n"/>
      <c r="D4043" s="61" t="n"/>
      <c r="E4043" s="61" t="n"/>
      <c r="F4043" s="55" t="n"/>
      <c r="G4043" s="56" t="n"/>
      <c r="H4043" s="55" t="n"/>
      <c r="I4043" s="62" t="n"/>
      <c r="J4043" s="58" t="n"/>
      <c r="K4043" s="63">
        <f>IF(tblMovement[[#This Row],[Source]]="","",IFERROR(INDEX(tblSources[Type],MATCH(tblMovement[[#This Row],[Source]],tblSources[Source],0)),"?"))</f>
        <v/>
      </c>
      <c r="L4043" s="63">
        <f>IF(tblMovement[[#This Row],[Destination]]="","",IFERROR(INDEX(tblDestinations[Type],MATCH(tblMovement[[#This Row],[Destination]],tblDestinations[Destination],0)),"?"))</f>
        <v/>
      </c>
      <c r="M4043" s="64">
        <f>IF(tblMovement[[#This Row],[Material]]="","",IF(LEFT(tblMovement[[#This Row],[Material]],3)="Ore",1,0))</f>
        <v/>
      </c>
      <c r="N4043" s="59">
        <f>IF(OR(tblMovement[[#This Row],[Tonnes_t]]="",tblMovement[[#This Row],[Grade_gpt]]=""),0,tblMovement[[#This Row],[Tonnes_t]]*tblMovement[[#This Row],[Grade_gpt]]/cfg_TroyOz)</f>
        <v/>
      </c>
      <c r="O4043" s="59">
        <f>IF(tblMovement[[#This Row],[Is_Ore]]=1,tblMovement[[#This Row],[Contained_oz]],0)</f>
        <v/>
      </c>
    </row>
    <row r="4044">
      <c r="A4044" s="54" t="n"/>
      <c r="B4044" s="61" t="n"/>
      <c r="C4044" s="61" t="n"/>
      <c r="D4044" s="61" t="n"/>
      <c r="E4044" s="61" t="n"/>
      <c r="F4044" s="55" t="n"/>
      <c r="G4044" s="56" t="n"/>
      <c r="H4044" s="55" t="n"/>
      <c r="I4044" s="62" t="n"/>
      <c r="J4044" s="58" t="n"/>
      <c r="K4044" s="63">
        <f>IF(tblMovement[[#This Row],[Source]]="","",IFERROR(INDEX(tblSources[Type],MATCH(tblMovement[[#This Row],[Source]],tblSources[Source],0)),"?"))</f>
        <v/>
      </c>
      <c r="L4044" s="63">
        <f>IF(tblMovement[[#This Row],[Destination]]="","",IFERROR(INDEX(tblDestinations[Type],MATCH(tblMovement[[#This Row],[Destination]],tblDestinations[Destination],0)),"?"))</f>
        <v/>
      </c>
      <c r="M4044" s="64">
        <f>IF(tblMovement[[#This Row],[Material]]="","",IF(LEFT(tblMovement[[#This Row],[Material]],3)="Ore",1,0))</f>
        <v/>
      </c>
      <c r="N4044" s="59">
        <f>IF(OR(tblMovement[[#This Row],[Tonnes_t]]="",tblMovement[[#This Row],[Grade_gpt]]=""),0,tblMovement[[#This Row],[Tonnes_t]]*tblMovement[[#This Row],[Grade_gpt]]/cfg_TroyOz)</f>
        <v/>
      </c>
      <c r="O4044" s="59">
        <f>IF(tblMovement[[#This Row],[Is_Ore]]=1,tblMovement[[#This Row],[Contained_oz]],0)</f>
        <v/>
      </c>
    </row>
    <row r="4045">
      <c r="A4045" s="54" t="n"/>
      <c r="B4045" s="61" t="n"/>
      <c r="C4045" s="61" t="n"/>
      <c r="D4045" s="61" t="n"/>
      <c r="E4045" s="61" t="n"/>
      <c r="F4045" s="55" t="n"/>
      <c r="G4045" s="56" t="n"/>
      <c r="H4045" s="55" t="n"/>
      <c r="I4045" s="62" t="n"/>
      <c r="J4045" s="58" t="n"/>
      <c r="K4045" s="63">
        <f>IF(tblMovement[[#This Row],[Source]]="","",IFERROR(INDEX(tblSources[Type],MATCH(tblMovement[[#This Row],[Source]],tblSources[Source],0)),"?"))</f>
        <v/>
      </c>
      <c r="L4045" s="63">
        <f>IF(tblMovement[[#This Row],[Destination]]="","",IFERROR(INDEX(tblDestinations[Type],MATCH(tblMovement[[#This Row],[Destination]],tblDestinations[Destination],0)),"?"))</f>
        <v/>
      </c>
      <c r="M4045" s="64">
        <f>IF(tblMovement[[#This Row],[Material]]="","",IF(LEFT(tblMovement[[#This Row],[Material]],3)="Ore",1,0))</f>
        <v/>
      </c>
      <c r="N4045" s="59">
        <f>IF(OR(tblMovement[[#This Row],[Tonnes_t]]="",tblMovement[[#This Row],[Grade_gpt]]=""),0,tblMovement[[#This Row],[Tonnes_t]]*tblMovement[[#This Row],[Grade_gpt]]/cfg_TroyOz)</f>
        <v/>
      </c>
      <c r="O4045" s="59">
        <f>IF(tblMovement[[#This Row],[Is_Ore]]=1,tblMovement[[#This Row],[Contained_oz]],0)</f>
        <v/>
      </c>
    </row>
    <row r="4046">
      <c r="A4046" s="54" t="n"/>
      <c r="B4046" s="61" t="n"/>
      <c r="C4046" s="61" t="n"/>
      <c r="D4046" s="61" t="n"/>
      <c r="E4046" s="61" t="n"/>
      <c r="F4046" s="55" t="n"/>
      <c r="G4046" s="56" t="n"/>
      <c r="H4046" s="55" t="n"/>
      <c r="I4046" s="62" t="n"/>
      <c r="J4046" s="58" t="n"/>
      <c r="K4046" s="63">
        <f>IF(tblMovement[[#This Row],[Source]]="","",IFERROR(INDEX(tblSources[Type],MATCH(tblMovement[[#This Row],[Source]],tblSources[Source],0)),"?"))</f>
        <v/>
      </c>
      <c r="L4046" s="63">
        <f>IF(tblMovement[[#This Row],[Destination]]="","",IFERROR(INDEX(tblDestinations[Type],MATCH(tblMovement[[#This Row],[Destination]],tblDestinations[Destination],0)),"?"))</f>
        <v/>
      </c>
      <c r="M4046" s="64">
        <f>IF(tblMovement[[#This Row],[Material]]="","",IF(LEFT(tblMovement[[#This Row],[Material]],3)="Ore",1,0))</f>
        <v/>
      </c>
      <c r="N4046" s="59">
        <f>IF(OR(tblMovement[[#This Row],[Tonnes_t]]="",tblMovement[[#This Row],[Grade_gpt]]=""),0,tblMovement[[#This Row],[Tonnes_t]]*tblMovement[[#This Row],[Grade_gpt]]/cfg_TroyOz)</f>
        <v/>
      </c>
      <c r="O4046" s="59">
        <f>IF(tblMovement[[#This Row],[Is_Ore]]=1,tblMovement[[#This Row],[Contained_oz]],0)</f>
        <v/>
      </c>
    </row>
    <row r="4047">
      <c r="A4047" s="54" t="n"/>
      <c r="B4047" s="61" t="n"/>
      <c r="C4047" s="61" t="n"/>
      <c r="D4047" s="61" t="n"/>
      <c r="E4047" s="61" t="n"/>
      <c r="F4047" s="55" t="n"/>
      <c r="G4047" s="56" t="n"/>
      <c r="H4047" s="55" t="n"/>
      <c r="I4047" s="62" t="n"/>
      <c r="J4047" s="58" t="n"/>
      <c r="K4047" s="63">
        <f>IF(tblMovement[[#This Row],[Source]]="","",IFERROR(INDEX(tblSources[Type],MATCH(tblMovement[[#This Row],[Source]],tblSources[Source],0)),"?"))</f>
        <v/>
      </c>
      <c r="L4047" s="63">
        <f>IF(tblMovement[[#This Row],[Destination]]="","",IFERROR(INDEX(tblDestinations[Type],MATCH(tblMovement[[#This Row],[Destination]],tblDestinations[Destination],0)),"?"))</f>
        <v/>
      </c>
      <c r="M4047" s="64">
        <f>IF(tblMovement[[#This Row],[Material]]="","",IF(LEFT(tblMovement[[#This Row],[Material]],3)="Ore",1,0))</f>
        <v/>
      </c>
      <c r="N4047" s="59">
        <f>IF(OR(tblMovement[[#This Row],[Tonnes_t]]="",tblMovement[[#This Row],[Grade_gpt]]=""),0,tblMovement[[#This Row],[Tonnes_t]]*tblMovement[[#This Row],[Grade_gpt]]/cfg_TroyOz)</f>
        <v/>
      </c>
      <c r="O4047" s="59">
        <f>IF(tblMovement[[#This Row],[Is_Ore]]=1,tblMovement[[#This Row],[Contained_oz]],0)</f>
        <v/>
      </c>
    </row>
    <row r="4048">
      <c r="A4048" s="54" t="n"/>
      <c r="B4048" s="61" t="n"/>
      <c r="C4048" s="61" t="n"/>
      <c r="D4048" s="61" t="n"/>
      <c r="E4048" s="61" t="n"/>
      <c r="F4048" s="55" t="n"/>
      <c r="G4048" s="56" t="n"/>
      <c r="H4048" s="55" t="n"/>
      <c r="I4048" s="62" t="n"/>
      <c r="J4048" s="58" t="n"/>
      <c r="K4048" s="63">
        <f>IF(tblMovement[[#This Row],[Source]]="","",IFERROR(INDEX(tblSources[Type],MATCH(tblMovement[[#This Row],[Source]],tblSources[Source],0)),"?"))</f>
        <v/>
      </c>
      <c r="L4048" s="63">
        <f>IF(tblMovement[[#This Row],[Destination]]="","",IFERROR(INDEX(tblDestinations[Type],MATCH(tblMovement[[#This Row],[Destination]],tblDestinations[Destination],0)),"?"))</f>
        <v/>
      </c>
      <c r="M4048" s="64">
        <f>IF(tblMovement[[#This Row],[Material]]="","",IF(LEFT(tblMovement[[#This Row],[Material]],3)="Ore",1,0))</f>
        <v/>
      </c>
      <c r="N4048" s="59">
        <f>IF(OR(tblMovement[[#This Row],[Tonnes_t]]="",tblMovement[[#This Row],[Grade_gpt]]=""),0,tblMovement[[#This Row],[Tonnes_t]]*tblMovement[[#This Row],[Grade_gpt]]/cfg_TroyOz)</f>
        <v/>
      </c>
      <c r="O4048" s="59">
        <f>IF(tblMovement[[#This Row],[Is_Ore]]=1,tblMovement[[#This Row],[Contained_oz]],0)</f>
        <v/>
      </c>
    </row>
    <row r="4049">
      <c r="A4049" s="54" t="n"/>
      <c r="B4049" s="61" t="n"/>
      <c r="C4049" s="61" t="n"/>
      <c r="D4049" s="61" t="n"/>
      <c r="E4049" s="61" t="n"/>
      <c r="F4049" s="55" t="n"/>
      <c r="G4049" s="56" t="n"/>
      <c r="H4049" s="55" t="n"/>
      <c r="I4049" s="62" t="n"/>
      <c r="J4049" s="58" t="n"/>
      <c r="K4049" s="63">
        <f>IF(tblMovement[[#This Row],[Source]]="","",IFERROR(INDEX(tblSources[Type],MATCH(tblMovement[[#This Row],[Source]],tblSources[Source],0)),"?"))</f>
        <v/>
      </c>
      <c r="L4049" s="63">
        <f>IF(tblMovement[[#This Row],[Destination]]="","",IFERROR(INDEX(tblDestinations[Type],MATCH(tblMovement[[#This Row],[Destination]],tblDestinations[Destination],0)),"?"))</f>
        <v/>
      </c>
      <c r="M4049" s="64">
        <f>IF(tblMovement[[#This Row],[Material]]="","",IF(LEFT(tblMovement[[#This Row],[Material]],3)="Ore",1,0))</f>
        <v/>
      </c>
      <c r="N4049" s="59">
        <f>IF(OR(tblMovement[[#This Row],[Tonnes_t]]="",tblMovement[[#This Row],[Grade_gpt]]=""),0,tblMovement[[#This Row],[Tonnes_t]]*tblMovement[[#This Row],[Grade_gpt]]/cfg_TroyOz)</f>
        <v/>
      </c>
      <c r="O4049" s="59">
        <f>IF(tblMovement[[#This Row],[Is_Ore]]=1,tblMovement[[#This Row],[Contained_oz]],0)</f>
        <v/>
      </c>
    </row>
    <row r="4050">
      <c r="A4050" s="54" t="n"/>
      <c r="B4050" s="61" t="n"/>
      <c r="C4050" s="61" t="n"/>
      <c r="D4050" s="61" t="n"/>
      <c r="E4050" s="61" t="n"/>
      <c r="F4050" s="55" t="n"/>
      <c r="G4050" s="56" t="n"/>
      <c r="H4050" s="55" t="n"/>
      <c r="I4050" s="62" t="n"/>
      <c r="J4050" s="58" t="n"/>
      <c r="K4050" s="63">
        <f>IF(tblMovement[[#This Row],[Source]]="","",IFERROR(INDEX(tblSources[Type],MATCH(tblMovement[[#This Row],[Source]],tblSources[Source],0)),"?"))</f>
        <v/>
      </c>
      <c r="L4050" s="63">
        <f>IF(tblMovement[[#This Row],[Destination]]="","",IFERROR(INDEX(tblDestinations[Type],MATCH(tblMovement[[#This Row],[Destination]],tblDestinations[Destination],0)),"?"))</f>
        <v/>
      </c>
      <c r="M4050" s="64">
        <f>IF(tblMovement[[#This Row],[Material]]="","",IF(LEFT(tblMovement[[#This Row],[Material]],3)="Ore",1,0))</f>
        <v/>
      </c>
      <c r="N4050" s="59">
        <f>IF(OR(tblMovement[[#This Row],[Tonnes_t]]="",tblMovement[[#This Row],[Grade_gpt]]=""),0,tblMovement[[#This Row],[Tonnes_t]]*tblMovement[[#This Row],[Grade_gpt]]/cfg_TroyOz)</f>
        <v/>
      </c>
      <c r="O4050" s="59">
        <f>IF(tblMovement[[#This Row],[Is_Ore]]=1,tblMovement[[#This Row],[Contained_oz]],0)</f>
        <v/>
      </c>
    </row>
    <row r="4051">
      <c r="A4051" s="54" t="n"/>
      <c r="B4051" s="61" t="n"/>
      <c r="C4051" s="61" t="n"/>
      <c r="D4051" s="61" t="n"/>
      <c r="E4051" s="61" t="n"/>
      <c r="F4051" s="55" t="n"/>
      <c r="G4051" s="56" t="n"/>
      <c r="H4051" s="55" t="n"/>
      <c r="I4051" s="62" t="n"/>
      <c r="J4051" s="58" t="n"/>
      <c r="K4051" s="63">
        <f>IF(tblMovement[[#This Row],[Source]]="","",IFERROR(INDEX(tblSources[Type],MATCH(tblMovement[[#This Row],[Source]],tblSources[Source],0)),"?"))</f>
        <v/>
      </c>
      <c r="L4051" s="63">
        <f>IF(tblMovement[[#This Row],[Destination]]="","",IFERROR(INDEX(tblDestinations[Type],MATCH(tblMovement[[#This Row],[Destination]],tblDestinations[Destination],0)),"?"))</f>
        <v/>
      </c>
      <c r="M4051" s="64">
        <f>IF(tblMovement[[#This Row],[Material]]="","",IF(LEFT(tblMovement[[#This Row],[Material]],3)="Ore",1,0))</f>
        <v/>
      </c>
      <c r="N4051" s="59">
        <f>IF(OR(tblMovement[[#This Row],[Tonnes_t]]="",tblMovement[[#This Row],[Grade_gpt]]=""),0,tblMovement[[#This Row],[Tonnes_t]]*tblMovement[[#This Row],[Grade_gpt]]/cfg_TroyOz)</f>
        <v/>
      </c>
      <c r="O4051" s="59">
        <f>IF(tblMovement[[#This Row],[Is_Ore]]=1,tblMovement[[#This Row],[Contained_oz]],0)</f>
        <v/>
      </c>
    </row>
    <row r="4052">
      <c r="A4052" s="54" t="n"/>
      <c r="B4052" s="61" t="n"/>
      <c r="C4052" s="61" t="n"/>
      <c r="D4052" s="61" t="n"/>
      <c r="E4052" s="61" t="n"/>
      <c r="F4052" s="55" t="n"/>
      <c r="G4052" s="56" t="n"/>
      <c r="H4052" s="55" t="n"/>
      <c r="I4052" s="62" t="n"/>
      <c r="J4052" s="58" t="n"/>
      <c r="K4052" s="63">
        <f>IF(tblMovement[[#This Row],[Source]]="","",IFERROR(INDEX(tblSources[Type],MATCH(tblMovement[[#This Row],[Source]],tblSources[Source],0)),"?"))</f>
        <v/>
      </c>
      <c r="L4052" s="63">
        <f>IF(tblMovement[[#This Row],[Destination]]="","",IFERROR(INDEX(tblDestinations[Type],MATCH(tblMovement[[#This Row],[Destination]],tblDestinations[Destination],0)),"?"))</f>
        <v/>
      </c>
      <c r="M4052" s="64">
        <f>IF(tblMovement[[#This Row],[Material]]="","",IF(LEFT(tblMovement[[#This Row],[Material]],3)="Ore",1,0))</f>
        <v/>
      </c>
      <c r="N4052" s="59">
        <f>IF(OR(tblMovement[[#This Row],[Tonnes_t]]="",tblMovement[[#This Row],[Grade_gpt]]=""),0,tblMovement[[#This Row],[Tonnes_t]]*tblMovement[[#This Row],[Grade_gpt]]/cfg_TroyOz)</f>
        <v/>
      </c>
      <c r="O4052" s="59">
        <f>IF(tblMovement[[#This Row],[Is_Ore]]=1,tblMovement[[#This Row],[Contained_oz]],0)</f>
        <v/>
      </c>
    </row>
    <row r="4053">
      <c r="A4053" s="54" t="n"/>
      <c r="B4053" s="61" t="n"/>
      <c r="C4053" s="61" t="n"/>
      <c r="D4053" s="61" t="n"/>
      <c r="E4053" s="61" t="n"/>
      <c r="F4053" s="55" t="n"/>
      <c r="G4053" s="56" t="n"/>
      <c r="H4053" s="55" t="n"/>
      <c r="I4053" s="62" t="n"/>
      <c r="J4053" s="58" t="n"/>
      <c r="K4053" s="63">
        <f>IF(tblMovement[[#This Row],[Source]]="","",IFERROR(INDEX(tblSources[Type],MATCH(tblMovement[[#This Row],[Source]],tblSources[Source],0)),"?"))</f>
        <v/>
      </c>
      <c r="L4053" s="63">
        <f>IF(tblMovement[[#This Row],[Destination]]="","",IFERROR(INDEX(tblDestinations[Type],MATCH(tblMovement[[#This Row],[Destination]],tblDestinations[Destination],0)),"?"))</f>
        <v/>
      </c>
      <c r="M4053" s="64">
        <f>IF(tblMovement[[#This Row],[Material]]="","",IF(LEFT(tblMovement[[#This Row],[Material]],3)="Ore",1,0))</f>
        <v/>
      </c>
      <c r="N4053" s="59">
        <f>IF(OR(tblMovement[[#This Row],[Tonnes_t]]="",tblMovement[[#This Row],[Grade_gpt]]=""),0,tblMovement[[#This Row],[Tonnes_t]]*tblMovement[[#This Row],[Grade_gpt]]/cfg_TroyOz)</f>
        <v/>
      </c>
      <c r="O4053" s="59">
        <f>IF(tblMovement[[#This Row],[Is_Ore]]=1,tblMovement[[#This Row],[Contained_oz]],0)</f>
        <v/>
      </c>
    </row>
    <row r="4054">
      <c r="A4054" s="54" t="n"/>
      <c r="B4054" s="61" t="n"/>
      <c r="C4054" s="61" t="n"/>
      <c r="D4054" s="61" t="n"/>
      <c r="E4054" s="61" t="n"/>
      <c r="F4054" s="55" t="n"/>
      <c r="G4054" s="56" t="n"/>
      <c r="H4054" s="55" t="n"/>
      <c r="I4054" s="62" t="n"/>
      <c r="J4054" s="58" t="n"/>
      <c r="K4054" s="63">
        <f>IF(tblMovement[[#This Row],[Source]]="","",IFERROR(INDEX(tblSources[Type],MATCH(tblMovement[[#This Row],[Source]],tblSources[Source],0)),"?"))</f>
        <v/>
      </c>
      <c r="L4054" s="63">
        <f>IF(tblMovement[[#This Row],[Destination]]="","",IFERROR(INDEX(tblDestinations[Type],MATCH(tblMovement[[#This Row],[Destination]],tblDestinations[Destination],0)),"?"))</f>
        <v/>
      </c>
      <c r="M4054" s="64">
        <f>IF(tblMovement[[#This Row],[Material]]="","",IF(LEFT(tblMovement[[#This Row],[Material]],3)="Ore",1,0))</f>
        <v/>
      </c>
      <c r="N4054" s="59">
        <f>IF(OR(tblMovement[[#This Row],[Tonnes_t]]="",tblMovement[[#This Row],[Grade_gpt]]=""),0,tblMovement[[#This Row],[Tonnes_t]]*tblMovement[[#This Row],[Grade_gpt]]/cfg_TroyOz)</f>
        <v/>
      </c>
      <c r="O4054" s="59">
        <f>IF(tblMovement[[#This Row],[Is_Ore]]=1,tblMovement[[#This Row],[Contained_oz]],0)</f>
        <v/>
      </c>
    </row>
    <row r="4055">
      <c r="A4055" s="54" t="n"/>
      <c r="B4055" s="61" t="n"/>
      <c r="C4055" s="61" t="n"/>
      <c r="D4055" s="61" t="n"/>
      <c r="E4055" s="61" t="n"/>
      <c r="F4055" s="55" t="n"/>
      <c r="G4055" s="56" t="n"/>
      <c r="H4055" s="55" t="n"/>
      <c r="I4055" s="62" t="n"/>
      <c r="J4055" s="58" t="n"/>
      <c r="K4055" s="63">
        <f>IF(tblMovement[[#This Row],[Source]]="","",IFERROR(INDEX(tblSources[Type],MATCH(tblMovement[[#This Row],[Source]],tblSources[Source],0)),"?"))</f>
        <v/>
      </c>
      <c r="L4055" s="63">
        <f>IF(tblMovement[[#This Row],[Destination]]="","",IFERROR(INDEX(tblDestinations[Type],MATCH(tblMovement[[#This Row],[Destination]],tblDestinations[Destination],0)),"?"))</f>
        <v/>
      </c>
      <c r="M4055" s="64">
        <f>IF(tblMovement[[#This Row],[Material]]="","",IF(LEFT(tblMovement[[#This Row],[Material]],3)="Ore",1,0))</f>
        <v/>
      </c>
      <c r="N4055" s="59">
        <f>IF(OR(tblMovement[[#This Row],[Tonnes_t]]="",tblMovement[[#This Row],[Grade_gpt]]=""),0,tblMovement[[#This Row],[Tonnes_t]]*tblMovement[[#This Row],[Grade_gpt]]/cfg_TroyOz)</f>
        <v/>
      </c>
      <c r="O4055" s="59">
        <f>IF(tblMovement[[#This Row],[Is_Ore]]=1,tblMovement[[#This Row],[Contained_oz]],0)</f>
        <v/>
      </c>
    </row>
    <row r="4056">
      <c r="A4056" s="54" t="n"/>
      <c r="B4056" s="61" t="n"/>
      <c r="C4056" s="61" t="n"/>
      <c r="D4056" s="61" t="n"/>
      <c r="E4056" s="61" t="n"/>
      <c r="F4056" s="55" t="n"/>
      <c r="G4056" s="56" t="n"/>
      <c r="H4056" s="55" t="n"/>
      <c r="I4056" s="62" t="n"/>
      <c r="J4056" s="58" t="n"/>
      <c r="K4056" s="63">
        <f>IF(tblMovement[[#This Row],[Source]]="","",IFERROR(INDEX(tblSources[Type],MATCH(tblMovement[[#This Row],[Source]],tblSources[Source],0)),"?"))</f>
        <v/>
      </c>
      <c r="L4056" s="63">
        <f>IF(tblMovement[[#This Row],[Destination]]="","",IFERROR(INDEX(tblDestinations[Type],MATCH(tblMovement[[#This Row],[Destination]],tblDestinations[Destination],0)),"?"))</f>
        <v/>
      </c>
      <c r="M4056" s="64">
        <f>IF(tblMovement[[#This Row],[Material]]="","",IF(LEFT(tblMovement[[#This Row],[Material]],3)="Ore",1,0))</f>
        <v/>
      </c>
      <c r="N4056" s="59">
        <f>IF(OR(tblMovement[[#This Row],[Tonnes_t]]="",tblMovement[[#This Row],[Grade_gpt]]=""),0,tblMovement[[#This Row],[Tonnes_t]]*tblMovement[[#This Row],[Grade_gpt]]/cfg_TroyOz)</f>
        <v/>
      </c>
      <c r="O4056" s="59">
        <f>IF(tblMovement[[#This Row],[Is_Ore]]=1,tblMovement[[#This Row],[Contained_oz]],0)</f>
        <v/>
      </c>
    </row>
    <row r="4057">
      <c r="A4057" s="54" t="n"/>
      <c r="B4057" s="61" t="n"/>
      <c r="C4057" s="61" t="n"/>
      <c r="D4057" s="61" t="n"/>
      <c r="E4057" s="61" t="n"/>
      <c r="F4057" s="55" t="n"/>
      <c r="G4057" s="56" t="n"/>
      <c r="H4057" s="55" t="n"/>
      <c r="I4057" s="62" t="n"/>
      <c r="J4057" s="58" t="n"/>
      <c r="K4057" s="63">
        <f>IF(tblMovement[[#This Row],[Source]]="","",IFERROR(INDEX(tblSources[Type],MATCH(tblMovement[[#This Row],[Source]],tblSources[Source],0)),"?"))</f>
        <v/>
      </c>
      <c r="L4057" s="63">
        <f>IF(tblMovement[[#This Row],[Destination]]="","",IFERROR(INDEX(tblDestinations[Type],MATCH(tblMovement[[#This Row],[Destination]],tblDestinations[Destination],0)),"?"))</f>
        <v/>
      </c>
      <c r="M4057" s="64">
        <f>IF(tblMovement[[#This Row],[Material]]="","",IF(LEFT(tblMovement[[#This Row],[Material]],3)="Ore",1,0))</f>
        <v/>
      </c>
      <c r="N4057" s="59">
        <f>IF(OR(tblMovement[[#This Row],[Tonnes_t]]="",tblMovement[[#This Row],[Grade_gpt]]=""),0,tblMovement[[#This Row],[Tonnes_t]]*tblMovement[[#This Row],[Grade_gpt]]/cfg_TroyOz)</f>
        <v/>
      </c>
      <c r="O4057" s="59">
        <f>IF(tblMovement[[#This Row],[Is_Ore]]=1,tblMovement[[#This Row],[Contained_oz]],0)</f>
        <v/>
      </c>
    </row>
    <row r="4058">
      <c r="A4058" s="54" t="n"/>
      <c r="B4058" s="61" t="n"/>
      <c r="C4058" s="61" t="n"/>
      <c r="D4058" s="61" t="n"/>
      <c r="E4058" s="61" t="n"/>
      <c r="F4058" s="55" t="n"/>
      <c r="G4058" s="56" t="n"/>
      <c r="H4058" s="55" t="n"/>
      <c r="I4058" s="62" t="n"/>
      <c r="J4058" s="58" t="n"/>
      <c r="K4058" s="63">
        <f>IF(tblMovement[[#This Row],[Source]]="","",IFERROR(INDEX(tblSources[Type],MATCH(tblMovement[[#This Row],[Source]],tblSources[Source],0)),"?"))</f>
        <v/>
      </c>
      <c r="L4058" s="63">
        <f>IF(tblMovement[[#This Row],[Destination]]="","",IFERROR(INDEX(tblDestinations[Type],MATCH(tblMovement[[#This Row],[Destination]],tblDestinations[Destination],0)),"?"))</f>
        <v/>
      </c>
      <c r="M4058" s="64">
        <f>IF(tblMovement[[#This Row],[Material]]="","",IF(LEFT(tblMovement[[#This Row],[Material]],3)="Ore",1,0))</f>
        <v/>
      </c>
      <c r="N4058" s="59">
        <f>IF(OR(tblMovement[[#This Row],[Tonnes_t]]="",tblMovement[[#This Row],[Grade_gpt]]=""),0,tblMovement[[#This Row],[Tonnes_t]]*tblMovement[[#This Row],[Grade_gpt]]/cfg_TroyOz)</f>
        <v/>
      </c>
      <c r="O4058" s="59">
        <f>IF(tblMovement[[#This Row],[Is_Ore]]=1,tblMovement[[#This Row],[Contained_oz]],0)</f>
        <v/>
      </c>
    </row>
    <row r="4059">
      <c r="A4059" s="54" t="n"/>
      <c r="B4059" s="61" t="n"/>
      <c r="C4059" s="61" t="n"/>
      <c r="D4059" s="61" t="n"/>
      <c r="E4059" s="61" t="n"/>
      <c r="F4059" s="55" t="n"/>
      <c r="G4059" s="56" t="n"/>
      <c r="H4059" s="55" t="n"/>
      <c r="I4059" s="62" t="n"/>
      <c r="J4059" s="58" t="n"/>
      <c r="K4059" s="63">
        <f>IF(tblMovement[[#This Row],[Source]]="","",IFERROR(INDEX(tblSources[Type],MATCH(tblMovement[[#This Row],[Source]],tblSources[Source],0)),"?"))</f>
        <v/>
      </c>
      <c r="L4059" s="63">
        <f>IF(tblMovement[[#This Row],[Destination]]="","",IFERROR(INDEX(tblDestinations[Type],MATCH(tblMovement[[#This Row],[Destination]],tblDestinations[Destination],0)),"?"))</f>
        <v/>
      </c>
      <c r="M4059" s="64">
        <f>IF(tblMovement[[#This Row],[Material]]="","",IF(LEFT(tblMovement[[#This Row],[Material]],3)="Ore",1,0))</f>
        <v/>
      </c>
      <c r="N4059" s="59">
        <f>IF(OR(tblMovement[[#This Row],[Tonnes_t]]="",tblMovement[[#This Row],[Grade_gpt]]=""),0,tblMovement[[#This Row],[Tonnes_t]]*tblMovement[[#This Row],[Grade_gpt]]/cfg_TroyOz)</f>
        <v/>
      </c>
      <c r="O4059" s="59">
        <f>IF(tblMovement[[#This Row],[Is_Ore]]=1,tblMovement[[#This Row],[Contained_oz]],0)</f>
        <v/>
      </c>
    </row>
    <row r="4060">
      <c r="A4060" s="54" t="n"/>
      <c r="B4060" s="61" t="n"/>
      <c r="C4060" s="61" t="n"/>
      <c r="D4060" s="61" t="n"/>
      <c r="E4060" s="61" t="n"/>
      <c r="F4060" s="55" t="n"/>
      <c r="G4060" s="56" t="n"/>
      <c r="H4060" s="55" t="n"/>
      <c r="I4060" s="62" t="n"/>
      <c r="J4060" s="58" t="n"/>
      <c r="K4060" s="63">
        <f>IF(tblMovement[[#This Row],[Source]]="","",IFERROR(INDEX(tblSources[Type],MATCH(tblMovement[[#This Row],[Source]],tblSources[Source],0)),"?"))</f>
        <v/>
      </c>
      <c r="L4060" s="63">
        <f>IF(tblMovement[[#This Row],[Destination]]="","",IFERROR(INDEX(tblDestinations[Type],MATCH(tblMovement[[#This Row],[Destination]],tblDestinations[Destination],0)),"?"))</f>
        <v/>
      </c>
      <c r="M4060" s="64">
        <f>IF(tblMovement[[#This Row],[Material]]="","",IF(LEFT(tblMovement[[#This Row],[Material]],3)="Ore",1,0))</f>
        <v/>
      </c>
      <c r="N4060" s="59">
        <f>IF(OR(tblMovement[[#This Row],[Tonnes_t]]="",tblMovement[[#This Row],[Grade_gpt]]=""),0,tblMovement[[#This Row],[Tonnes_t]]*tblMovement[[#This Row],[Grade_gpt]]/cfg_TroyOz)</f>
        <v/>
      </c>
      <c r="O4060" s="59">
        <f>IF(tblMovement[[#This Row],[Is_Ore]]=1,tblMovement[[#This Row],[Contained_oz]],0)</f>
        <v/>
      </c>
    </row>
    <row r="4061">
      <c r="A4061" s="54" t="n"/>
      <c r="B4061" s="61" t="n"/>
      <c r="C4061" s="61" t="n"/>
      <c r="D4061" s="61" t="n"/>
      <c r="E4061" s="61" t="n"/>
      <c r="F4061" s="55" t="n"/>
      <c r="G4061" s="56" t="n"/>
      <c r="H4061" s="55" t="n"/>
      <c r="I4061" s="62" t="n"/>
      <c r="J4061" s="58" t="n"/>
      <c r="K4061" s="63">
        <f>IF(tblMovement[[#This Row],[Source]]="","",IFERROR(INDEX(tblSources[Type],MATCH(tblMovement[[#This Row],[Source]],tblSources[Source],0)),"?"))</f>
        <v/>
      </c>
      <c r="L4061" s="63">
        <f>IF(tblMovement[[#This Row],[Destination]]="","",IFERROR(INDEX(tblDestinations[Type],MATCH(tblMovement[[#This Row],[Destination]],tblDestinations[Destination],0)),"?"))</f>
        <v/>
      </c>
      <c r="M4061" s="64">
        <f>IF(tblMovement[[#This Row],[Material]]="","",IF(LEFT(tblMovement[[#This Row],[Material]],3)="Ore",1,0))</f>
        <v/>
      </c>
      <c r="N4061" s="59">
        <f>IF(OR(tblMovement[[#This Row],[Tonnes_t]]="",tblMovement[[#This Row],[Grade_gpt]]=""),0,tblMovement[[#This Row],[Tonnes_t]]*tblMovement[[#This Row],[Grade_gpt]]/cfg_TroyOz)</f>
        <v/>
      </c>
      <c r="O4061" s="59">
        <f>IF(tblMovement[[#This Row],[Is_Ore]]=1,tblMovement[[#This Row],[Contained_oz]],0)</f>
        <v/>
      </c>
    </row>
    <row r="4062">
      <c r="A4062" s="54" t="n"/>
      <c r="B4062" s="61" t="n"/>
      <c r="C4062" s="61" t="n"/>
      <c r="D4062" s="61" t="n"/>
      <c r="E4062" s="61" t="n"/>
      <c r="F4062" s="55" t="n"/>
      <c r="G4062" s="56" t="n"/>
      <c r="H4062" s="55" t="n"/>
      <c r="I4062" s="62" t="n"/>
      <c r="J4062" s="58" t="n"/>
      <c r="K4062" s="63">
        <f>IF(tblMovement[[#This Row],[Source]]="","",IFERROR(INDEX(tblSources[Type],MATCH(tblMovement[[#This Row],[Source]],tblSources[Source],0)),"?"))</f>
        <v/>
      </c>
      <c r="L4062" s="63">
        <f>IF(tblMovement[[#This Row],[Destination]]="","",IFERROR(INDEX(tblDestinations[Type],MATCH(tblMovement[[#This Row],[Destination]],tblDestinations[Destination],0)),"?"))</f>
        <v/>
      </c>
      <c r="M4062" s="64">
        <f>IF(tblMovement[[#This Row],[Material]]="","",IF(LEFT(tblMovement[[#This Row],[Material]],3)="Ore",1,0))</f>
        <v/>
      </c>
      <c r="N4062" s="59">
        <f>IF(OR(tblMovement[[#This Row],[Tonnes_t]]="",tblMovement[[#This Row],[Grade_gpt]]=""),0,tblMovement[[#This Row],[Tonnes_t]]*tblMovement[[#This Row],[Grade_gpt]]/cfg_TroyOz)</f>
        <v/>
      </c>
      <c r="O4062" s="59">
        <f>IF(tblMovement[[#This Row],[Is_Ore]]=1,tblMovement[[#This Row],[Contained_oz]],0)</f>
        <v/>
      </c>
    </row>
    <row r="4063">
      <c r="A4063" s="54" t="n"/>
      <c r="B4063" s="61" t="n"/>
      <c r="C4063" s="61" t="n"/>
      <c r="D4063" s="61" t="n"/>
      <c r="E4063" s="61" t="n"/>
      <c r="F4063" s="55" t="n"/>
      <c r="G4063" s="56" t="n"/>
      <c r="H4063" s="55" t="n"/>
      <c r="I4063" s="62" t="n"/>
      <c r="J4063" s="58" t="n"/>
      <c r="K4063" s="63">
        <f>IF(tblMovement[[#This Row],[Source]]="","",IFERROR(INDEX(tblSources[Type],MATCH(tblMovement[[#This Row],[Source]],tblSources[Source],0)),"?"))</f>
        <v/>
      </c>
      <c r="L4063" s="63">
        <f>IF(tblMovement[[#This Row],[Destination]]="","",IFERROR(INDEX(tblDestinations[Type],MATCH(tblMovement[[#This Row],[Destination]],tblDestinations[Destination],0)),"?"))</f>
        <v/>
      </c>
      <c r="M4063" s="64">
        <f>IF(tblMovement[[#This Row],[Material]]="","",IF(LEFT(tblMovement[[#This Row],[Material]],3)="Ore",1,0))</f>
        <v/>
      </c>
      <c r="N4063" s="59">
        <f>IF(OR(tblMovement[[#This Row],[Tonnes_t]]="",tblMovement[[#This Row],[Grade_gpt]]=""),0,tblMovement[[#This Row],[Tonnes_t]]*tblMovement[[#This Row],[Grade_gpt]]/cfg_TroyOz)</f>
        <v/>
      </c>
      <c r="O4063" s="59">
        <f>IF(tblMovement[[#This Row],[Is_Ore]]=1,tblMovement[[#This Row],[Contained_oz]],0)</f>
        <v/>
      </c>
    </row>
    <row r="4064">
      <c r="A4064" s="54" t="n"/>
      <c r="B4064" s="61" t="n"/>
      <c r="C4064" s="61" t="n"/>
      <c r="D4064" s="61" t="n"/>
      <c r="E4064" s="61" t="n"/>
      <c r="F4064" s="55" t="n"/>
      <c r="G4064" s="56" t="n"/>
      <c r="H4064" s="55" t="n"/>
      <c r="I4064" s="62" t="n"/>
      <c r="J4064" s="58" t="n"/>
      <c r="K4064" s="63">
        <f>IF(tblMovement[[#This Row],[Source]]="","",IFERROR(INDEX(tblSources[Type],MATCH(tblMovement[[#This Row],[Source]],tblSources[Source],0)),"?"))</f>
        <v/>
      </c>
      <c r="L4064" s="63">
        <f>IF(tblMovement[[#This Row],[Destination]]="","",IFERROR(INDEX(tblDestinations[Type],MATCH(tblMovement[[#This Row],[Destination]],tblDestinations[Destination],0)),"?"))</f>
        <v/>
      </c>
      <c r="M4064" s="64">
        <f>IF(tblMovement[[#This Row],[Material]]="","",IF(LEFT(tblMovement[[#This Row],[Material]],3)="Ore",1,0))</f>
        <v/>
      </c>
      <c r="N4064" s="59">
        <f>IF(OR(tblMovement[[#This Row],[Tonnes_t]]="",tblMovement[[#This Row],[Grade_gpt]]=""),0,tblMovement[[#This Row],[Tonnes_t]]*tblMovement[[#This Row],[Grade_gpt]]/cfg_TroyOz)</f>
        <v/>
      </c>
      <c r="O4064" s="59">
        <f>IF(tblMovement[[#This Row],[Is_Ore]]=1,tblMovement[[#This Row],[Contained_oz]],0)</f>
        <v/>
      </c>
    </row>
    <row r="4065">
      <c r="A4065" s="54" t="n"/>
      <c r="B4065" s="61" t="n"/>
      <c r="C4065" s="61" t="n"/>
      <c r="D4065" s="61" t="n"/>
      <c r="E4065" s="61" t="n"/>
      <c r="F4065" s="55" t="n"/>
      <c r="G4065" s="56" t="n"/>
      <c r="H4065" s="55" t="n"/>
      <c r="I4065" s="62" t="n"/>
      <c r="J4065" s="58" t="n"/>
      <c r="K4065" s="63">
        <f>IF(tblMovement[[#This Row],[Source]]="","",IFERROR(INDEX(tblSources[Type],MATCH(tblMovement[[#This Row],[Source]],tblSources[Source],0)),"?"))</f>
        <v/>
      </c>
      <c r="L4065" s="63">
        <f>IF(tblMovement[[#This Row],[Destination]]="","",IFERROR(INDEX(tblDestinations[Type],MATCH(tblMovement[[#This Row],[Destination]],tblDestinations[Destination],0)),"?"))</f>
        <v/>
      </c>
      <c r="M4065" s="64">
        <f>IF(tblMovement[[#This Row],[Material]]="","",IF(LEFT(tblMovement[[#This Row],[Material]],3)="Ore",1,0))</f>
        <v/>
      </c>
      <c r="N4065" s="59">
        <f>IF(OR(tblMovement[[#This Row],[Tonnes_t]]="",tblMovement[[#This Row],[Grade_gpt]]=""),0,tblMovement[[#This Row],[Tonnes_t]]*tblMovement[[#This Row],[Grade_gpt]]/cfg_TroyOz)</f>
        <v/>
      </c>
      <c r="O4065" s="59">
        <f>IF(tblMovement[[#This Row],[Is_Ore]]=1,tblMovement[[#This Row],[Contained_oz]],0)</f>
        <v/>
      </c>
    </row>
    <row r="4066">
      <c r="A4066" s="54" t="n"/>
      <c r="B4066" s="61" t="n"/>
      <c r="C4066" s="61" t="n"/>
      <c r="D4066" s="61" t="n"/>
      <c r="E4066" s="61" t="n"/>
      <c r="F4066" s="55" t="n"/>
      <c r="G4066" s="56" t="n"/>
      <c r="H4066" s="55" t="n"/>
      <c r="I4066" s="62" t="n"/>
      <c r="J4066" s="58" t="n"/>
      <c r="K4066" s="63">
        <f>IF(tblMovement[[#This Row],[Source]]="","",IFERROR(INDEX(tblSources[Type],MATCH(tblMovement[[#This Row],[Source]],tblSources[Source],0)),"?"))</f>
        <v/>
      </c>
      <c r="L4066" s="63">
        <f>IF(tblMovement[[#This Row],[Destination]]="","",IFERROR(INDEX(tblDestinations[Type],MATCH(tblMovement[[#This Row],[Destination]],tblDestinations[Destination],0)),"?"))</f>
        <v/>
      </c>
      <c r="M4066" s="64">
        <f>IF(tblMovement[[#This Row],[Material]]="","",IF(LEFT(tblMovement[[#This Row],[Material]],3)="Ore",1,0))</f>
        <v/>
      </c>
      <c r="N4066" s="59">
        <f>IF(OR(tblMovement[[#This Row],[Tonnes_t]]="",tblMovement[[#This Row],[Grade_gpt]]=""),0,tblMovement[[#This Row],[Tonnes_t]]*tblMovement[[#This Row],[Grade_gpt]]/cfg_TroyOz)</f>
        <v/>
      </c>
      <c r="O4066" s="59">
        <f>IF(tblMovement[[#This Row],[Is_Ore]]=1,tblMovement[[#This Row],[Contained_oz]],0)</f>
        <v/>
      </c>
    </row>
    <row r="4067">
      <c r="A4067" s="54" t="n"/>
      <c r="B4067" s="61" t="n"/>
      <c r="C4067" s="61" t="n"/>
      <c r="D4067" s="61" t="n"/>
      <c r="E4067" s="61" t="n"/>
      <c r="F4067" s="55" t="n"/>
      <c r="G4067" s="56" t="n"/>
      <c r="H4067" s="55" t="n"/>
      <c r="I4067" s="62" t="n"/>
      <c r="J4067" s="58" t="n"/>
      <c r="K4067" s="63">
        <f>IF(tblMovement[[#This Row],[Source]]="","",IFERROR(INDEX(tblSources[Type],MATCH(tblMovement[[#This Row],[Source]],tblSources[Source],0)),"?"))</f>
        <v/>
      </c>
      <c r="L4067" s="63">
        <f>IF(tblMovement[[#This Row],[Destination]]="","",IFERROR(INDEX(tblDestinations[Type],MATCH(tblMovement[[#This Row],[Destination]],tblDestinations[Destination],0)),"?"))</f>
        <v/>
      </c>
      <c r="M4067" s="64">
        <f>IF(tblMovement[[#This Row],[Material]]="","",IF(LEFT(tblMovement[[#This Row],[Material]],3)="Ore",1,0))</f>
        <v/>
      </c>
      <c r="N4067" s="59">
        <f>IF(OR(tblMovement[[#This Row],[Tonnes_t]]="",tblMovement[[#This Row],[Grade_gpt]]=""),0,tblMovement[[#This Row],[Tonnes_t]]*tblMovement[[#This Row],[Grade_gpt]]/cfg_TroyOz)</f>
        <v/>
      </c>
      <c r="O4067" s="59">
        <f>IF(tblMovement[[#This Row],[Is_Ore]]=1,tblMovement[[#This Row],[Contained_oz]],0)</f>
        <v/>
      </c>
    </row>
    <row r="4068">
      <c r="A4068" s="54" t="n"/>
      <c r="B4068" s="61" t="n"/>
      <c r="C4068" s="61" t="n"/>
      <c r="D4068" s="61" t="n"/>
      <c r="E4068" s="61" t="n"/>
      <c r="F4068" s="55" t="n"/>
      <c r="G4068" s="56" t="n"/>
      <c r="H4068" s="55" t="n"/>
      <c r="I4068" s="62" t="n"/>
      <c r="J4068" s="58" t="n"/>
      <c r="K4068" s="63">
        <f>IF(tblMovement[[#This Row],[Source]]="","",IFERROR(INDEX(tblSources[Type],MATCH(tblMovement[[#This Row],[Source]],tblSources[Source],0)),"?"))</f>
        <v/>
      </c>
      <c r="L4068" s="63">
        <f>IF(tblMovement[[#This Row],[Destination]]="","",IFERROR(INDEX(tblDestinations[Type],MATCH(tblMovement[[#This Row],[Destination]],tblDestinations[Destination],0)),"?"))</f>
        <v/>
      </c>
      <c r="M4068" s="64">
        <f>IF(tblMovement[[#This Row],[Material]]="","",IF(LEFT(tblMovement[[#This Row],[Material]],3)="Ore",1,0))</f>
        <v/>
      </c>
      <c r="N4068" s="59">
        <f>IF(OR(tblMovement[[#This Row],[Tonnes_t]]="",tblMovement[[#This Row],[Grade_gpt]]=""),0,tblMovement[[#This Row],[Tonnes_t]]*tblMovement[[#This Row],[Grade_gpt]]/cfg_TroyOz)</f>
        <v/>
      </c>
      <c r="O4068" s="59">
        <f>IF(tblMovement[[#This Row],[Is_Ore]]=1,tblMovement[[#This Row],[Contained_oz]],0)</f>
        <v/>
      </c>
    </row>
    <row r="4069">
      <c r="A4069" s="54" t="n"/>
      <c r="B4069" s="61" t="n"/>
      <c r="C4069" s="61" t="n"/>
      <c r="D4069" s="61" t="n"/>
      <c r="E4069" s="61" t="n"/>
      <c r="F4069" s="55" t="n"/>
      <c r="G4069" s="56" t="n"/>
      <c r="H4069" s="55" t="n"/>
      <c r="I4069" s="62" t="n"/>
      <c r="J4069" s="58" t="n"/>
      <c r="K4069" s="63">
        <f>IF(tblMovement[[#This Row],[Source]]="","",IFERROR(INDEX(tblSources[Type],MATCH(tblMovement[[#This Row],[Source]],tblSources[Source],0)),"?"))</f>
        <v/>
      </c>
      <c r="L4069" s="63">
        <f>IF(tblMovement[[#This Row],[Destination]]="","",IFERROR(INDEX(tblDestinations[Type],MATCH(tblMovement[[#This Row],[Destination]],tblDestinations[Destination],0)),"?"))</f>
        <v/>
      </c>
      <c r="M4069" s="64">
        <f>IF(tblMovement[[#This Row],[Material]]="","",IF(LEFT(tblMovement[[#This Row],[Material]],3)="Ore",1,0))</f>
        <v/>
      </c>
      <c r="N4069" s="59">
        <f>IF(OR(tblMovement[[#This Row],[Tonnes_t]]="",tblMovement[[#This Row],[Grade_gpt]]=""),0,tblMovement[[#This Row],[Tonnes_t]]*tblMovement[[#This Row],[Grade_gpt]]/cfg_TroyOz)</f>
        <v/>
      </c>
      <c r="O4069" s="59">
        <f>IF(tblMovement[[#This Row],[Is_Ore]]=1,tblMovement[[#This Row],[Contained_oz]],0)</f>
        <v/>
      </c>
    </row>
    <row r="4070">
      <c r="A4070" s="54" t="n"/>
      <c r="B4070" s="61" t="n"/>
      <c r="C4070" s="61" t="n"/>
      <c r="D4070" s="61" t="n"/>
      <c r="E4070" s="61" t="n"/>
      <c r="F4070" s="55" t="n"/>
      <c r="G4070" s="56" t="n"/>
      <c r="H4070" s="55" t="n"/>
      <c r="I4070" s="62" t="n"/>
      <c r="J4070" s="58" t="n"/>
      <c r="K4070" s="63">
        <f>IF(tblMovement[[#This Row],[Source]]="","",IFERROR(INDEX(tblSources[Type],MATCH(tblMovement[[#This Row],[Source]],tblSources[Source],0)),"?"))</f>
        <v/>
      </c>
      <c r="L4070" s="63">
        <f>IF(tblMovement[[#This Row],[Destination]]="","",IFERROR(INDEX(tblDestinations[Type],MATCH(tblMovement[[#This Row],[Destination]],tblDestinations[Destination],0)),"?"))</f>
        <v/>
      </c>
      <c r="M4070" s="64">
        <f>IF(tblMovement[[#This Row],[Material]]="","",IF(LEFT(tblMovement[[#This Row],[Material]],3)="Ore",1,0))</f>
        <v/>
      </c>
      <c r="N4070" s="59">
        <f>IF(OR(tblMovement[[#This Row],[Tonnes_t]]="",tblMovement[[#This Row],[Grade_gpt]]=""),0,tblMovement[[#This Row],[Tonnes_t]]*tblMovement[[#This Row],[Grade_gpt]]/cfg_TroyOz)</f>
        <v/>
      </c>
      <c r="O4070" s="59">
        <f>IF(tblMovement[[#This Row],[Is_Ore]]=1,tblMovement[[#This Row],[Contained_oz]],0)</f>
        <v/>
      </c>
    </row>
    <row r="4071">
      <c r="A4071" s="54" t="n"/>
      <c r="B4071" s="61" t="n"/>
      <c r="C4071" s="61" t="n"/>
      <c r="D4071" s="61" t="n"/>
      <c r="E4071" s="61" t="n"/>
      <c r="F4071" s="55" t="n"/>
      <c r="G4071" s="56" t="n"/>
      <c r="H4071" s="55" t="n"/>
      <c r="I4071" s="62" t="n"/>
      <c r="J4071" s="58" t="n"/>
      <c r="K4071" s="63">
        <f>IF(tblMovement[[#This Row],[Source]]="","",IFERROR(INDEX(tblSources[Type],MATCH(tblMovement[[#This Row],[Source]],tblSources[Source],0)),"?"))</f>
        <v/>
      </c>
      <c r="L4071" s="63">
        <f>IF(tblMovement[[#This Row],[Destination]]="","",IFERROR(INDEX(tblDestinations[Type],MATCH(tblMovement[[#This Row],[Destination]],tblDestinations[Destination],0)),"?"))</f>
        <v/>
      </c>
      <c r="M4071" s="64">
        <f>IF(tblMovement[[#This Row],[Material]]="","",IF(LEFT(tblMovement[[#This Row],[Material]],3)="Ore",1,0))</f>
        <v/>
      </c>
      <c r="N4071" s="59">
        <f>IF(OR(tblMovement[[#This Row],[Tonnes_t]]="",tblMovement[[#This Row],[Grade_gpt]]=""),0,tblMovement[[#This Row],[Tonnes_t]]*tblMovement[[#This Row],[Grade_gpt]]/cfg_TroyOz)</f>
        <v/>
      </c>
      <c r="O4071" s="59">
        <f>IF(tblMovement[[#This Row],[Is_Ore]]=1,tblMovement[[#This Row],[Contained_oz]],0)</f>
        <v/>
      </c>
    </row>
    <row r="4072">
      <c r="A4072" s="54" t="n"/>
      <c r="B4072" s="61" t="n"/>
      <c r="C4072" s="61" t="n"/>
      <c r="D4072" s="61" t="n"/>
      <c r="E4072" s="61" t="n"/>
      <c r="F4072" s="55" t="n"/>
      <c r="G4072" s="56" t="n"/>
      <c r="H4072" s="55" t="n"/>
      <c r="I4072" s="62" t="n"/>
      <c r="J4072" s="58" t="n"/>
      <c r="K4072" s="63">
        <f>IF(tblMovement[[#This Row],[Source]]="","",IFERROR(INDEX(tblSources[Type],MATCH(tblMovement[[#This Row],[Source]],tblSources[Source],0)),"?"))</f>
        <v/>
      </c>
      <c r="L4072" s="63">
        <f>IF(tblMovement[[#This Row],[Destination]]="","",IFERROR(INDEX(tblDestinations[Type],MATCH(tblMovement[[#This Row],[Destination]],tblDestinations[Destination],0)),"?"))</f>
        <v/>
      </c>
      <c r="M4072" s="64">
        <f>IF(tblMovement[[#This Row],[Material]]="","",IF(LEFT(tblMovement[[#This Row],[Material]],3)="Ore",1,0))</f>
        <v/>
      </c>
      <c r="N4072" s="59">
        <f>IF(OR(tblMovement[[#This Row],[Tonnes_t]]="",tblMovement[[#This Row],[Grade_gpt]]=""),0,tblMovement[[#This Row],[Tonnes_t]]*tblMovement[[#This Row],[Grade_gpt]]/cfg_TroyOz)</f>
        <v/>
      </c>
      <c r="O4072" s="59">
        <f>IF(tblMovement[[#This Row],[Is_Ore]]=1,tblMovement[[#This Row],[Contained_oz]],0)</f>
        <v/>
      </c>
    </row>
    <row r="4073">
      <c r="A4073" s="54" t="n"/>
      <c r="B4073" s="61" t="n"/>
      <c r="C4073" s="61" t="n"/>
      <c r="D4073" s="61" t="n"/>
      <c r="E4073" s="61" t="n"/>
      <c r="F4073" s="55" t="n"/>
      <c r="G4073" s="56" t="n"/>
      <c r="H4073" s="55" t="n"/>
      <c r="I4073" s="62" t="n"/>
      <c r="J4073" s="58" t="n"/>
      <c r="K4073" s="63">
        <f>IF(tblMovement[[#This Row],[Source]]="","",IFERROR(INDEX(tblSources[Type],MATCH(tblMovement[[#This Row],[Source]],tblSources[Source],0)),"?"))</f>
        <v/>
      </c>
      <c r="L4073" s="63">
        <f>IF(tblMovement[[#This Row],[Destination]]="","",IFERROR(INDEX(tblDestinations[Type],MATCH(tblMovement[[#This Row],[Destination]],tblDestinations[Destination],0)),"?"))</f>
        <v/>
      </c>
      <c r="M4073" s="64">
        <f>IF(tblMovement[[#This Row],[Material]]="","",IF(LEFT(tblMovement[[#This Row],[Material]],3)="Ore",1,0))</f>
        <v/>
      </c>
      <c r="N4073" s="59">
        <f>IF(OR(tblMovement[[#This Row],[Tonnes_t]]="",tblMovement[[#This Row],[Grade_gpt]]=""),0,tblMovement[[#This Row],[Tonnes_t]]*tblMovement[[#This Row],[Grade_gpt]]/cfg_TroyOz)</f>
        <v/>
      </c>
      <c r="O4073" s="59">
        <f>IF(tblMovement[[#This Row],[Is_Ore]]=1,tblMovement[[#This Row],[Contained_oz]],0)</f>
        <v/>
      </c>
    </row>
    <row r="4074">
      <c r="A4074" s="54" t="n"/>
      <c r="B4074" s="61" t="n"/>
      <c r="C4074" s="61" t="n"/>
      <c r="D4074" s="61" t="n"/>
      <c r="E4074" s="61" t="n"/>
      <c r="F4074" s="55" t="n"/>
      <c r="G4074" s="56" t="n"/>
      <c r="H4074" s="55" t="n"/>
      <c r="I4074" s="62" t="n"/>
      <c r="J4074" s="58" t="n"/>
      <c r="K4074" s="63">
        <f>IF(tblMovement[[#This Row],[Source]]="","",IFERROR(INDEX(tblSources[Type],MATCH(tblMovement[[#This Row],[Source]],tblSources[Source],0)),"?"))</f>
        <v/>
      </c>
      <c r="L4074" s="63">
        <f>IF(tblMovement[[#This Row],[Destination]]="","",IFERROR(INDEX(tblDestinations[Type],MATCH(tblMovement[[#This Row],[Destination]],tblDestinations[Destination],0)),"?"))</f>
        <v/>
      </c>
      <c r="M4074" s="64">
        <f>IF(tblMovement[[#This Row],[Material]]="","",IF(LEFT(tblMovement[[#This Row],[Material]],3)="Ore",1,0))</f>
        <v/>
      </c>
      <c r="N4074" s="59">
        <f>IF(OR(tblMovement[[#This Row],[Tonnes_t]]="",tblMovement[[#This Row],[Grade_gpt]]=""),0,tblMovement[[#This Row],[Tonnes_t]]*tblMovement[[#This Row],[Grade_gpt]]/cfg_TroyOz)</f>
        <v/>
      </c>
      <c r="O4074" s="59">
        <f>IF(tblMovement[[#This Row],[Is_Ore]]=1,tblMovement[[#This Row],[Contained_oz]],0)</f>
        <v/>
      </c>
    </row>
    <row r="4075">
      <c r="A4075" s="54" t="n"/>
      <c r="B4075" s="61" t="n"/>
      <c r="C4075" s="61" t="n"/>
      <c r="D4075" s="61" t="n"/>
      <c r="E4075" s="61" t="n"/>
      <c r="F4075" s="55" t="n"/>
      <c r="G4075" s="56" t="n"/>
      <c r="H4075" s="55" t="n"/>
      <c r="I4075" s="62" t="n"/>
      <c r="J4075" s="58" t="n"/>
      <c r="K4075" s="63">
        <f>IF(tblMovement[[#This Row],[Source]]="","",IFERROR(INDEX(tblSources[Type],MATCH(tblMovement[[#This Row],[Source]],tblSources[Source],0)),"?"))</f>
        <v/>
      </c>
      <c r="L4075" s="63">
        <f>IF(tblMovement[[#This Row],[Destination]]="","",IFERROR(INDEX(tblDestinations[Type],MATCH(tblMovement[[#This Row],[Destination]],tblDestinations[Destination],0)),"?"))</f>
        <v/>
      </c>
      <c r="M4075" s="64">
        <f>IF(tblMovement[[#This Row],[Material]]="","",IF(LEFT(tblMovement[[#This Row],[Material]],3)="Ore",1,0))</f>
        <v/>
      </c>
      <c r="N4075" s="59">
        <f>IF(OR(tblMovement[[#This Row],[Tonnes_t]]="",tblMovement[[#This Row],[Grade_gpt]]=""),0,tblMovement[[#This Row],[Tonnes_t]]*tblMovement[[#This Row],[Grade_gpt]]/cfg_TroyOz)</f>
        <v/>
      </c>
      <c r="O4075" s="59">
        <f>IF(tblMovement[[#This Row],[Is_Ore]]=1,tblMovement[[#This Row],[Contained_oz]],0)</f>
        <v/>
      </c>
    </row>
    <row r="4076">
      <c r="A4076" s="54" t="n"/>
      <c r="B4076" s="61" t="n"/>
      <c r="C4076" s="61" t="n"/>
      <c r="D4076" s="61" t="n"/>
      <c r="E4076" s="61" t="n"/>
      <c r="F4076" s="55" t="n"/>
      <c r="G4076" s="56" t="n"/>
      <c r="H4076" s="55" t="n"/>
      <c r="I4076" s="62" t="n"/>
      <c r="J4076" s="58" t="n"/>
      <c r="K4076" s="63">
        <f>IF(tblMovement[[#This Row],[Source]]="","",IFERROR(INDEX(tblSources[Type],MATCH(tblMovement[[#This Row],[Source]],tblSources[Source],0)),"?"))</f>
        <v/>
      </c>
      <c r="L4076" s="63">
        <f>IF(tblMovement[[#This Row],[Destination]]="","",IFERROR(INDEX(tblDestinations[Type],MATCH(tblMovement[[#This Row],[Destination]],tblDestinations[Destination],0)),"?"))</f>
        <v/>
      </c>
      <c r="M4076" s="64">
        <f>IF(tblMovement[[#This Row],[Material]]="","",IF(LEFT(tblMovement[[#This Row],[Material]],3)="Ore",1,0))</f>
        <v/>
      </c>
      <c r="N4076" s="59">
        <f>IF(OR(tblMovement[[#This Row],[Tonnes_t]]="",tblMovement[[#This Row],[Grade_gpt]]=""),0,tblMovement[[#This Row],[Tonnes_t]]*tblMovement[[#This Row],[Grade_gpt]]/cfg_TroyOz)</f>
        <v/>
      </c>
      <c r="O4076" s="59">
        <f>IF(tblMovement[[#This Row],[Is_Ore]]=1,tblMovement[[#This Row],[Contained_oz]],0)</f>
        <v/>
      </c>
    </row>
    <row r="4077">
      <c r="A4077" s="54" t="n"/>
      <c r="B4077" s="61" t="n"/>
      <c r="C4077" s="61" t="n"/>
      <c r="D4077" s="61" t="n"/>
      <c r="E4077" s="61" t="n"/>
      <c r="F4077" s="55" t="n"/>
      <c r="G4077" s="56" t="n"/>
      <c r="H4077" s="55" t="n"/>
      <c r="I4077" s="62" t="n"/>
      <c r="J4077" s="58" t="n"/>
      <c r="K4077" s="63">
        <f>IF(tblMovement[[#This Row],[Source]]="","",IFERROR(INDEX(tblSources[Type],MATCH(tblMovement[[#This Row],[Source]],tblSources[Source],0)),"?"))</f>
        <v/>
      </c>
      <c r="L4077" s="63">
        <f>IF(tblMovement[[#This Row],[Destination]]="","",IFERROR(INDEX(tblDestinations[Type],MATCH(tblMovement[[#This Row],[Destination]],tblDestinations[Destination],0)),"?"))</f>
        <v/>
      </c>
      <c r="M4077" s="64">
        <f>IF(tblMovement[[#This Row],[Material]]="","",IF(LEFT(tblMovement[[#This Row],[Material]],3)="Ore",1,0))</f>
        <v/>
      </c>
      <c r="N4077" s="59">
        <f>IF(OR(tblMovement[[#This Row],[Tonnes_t]]="",tblMovement[[#This Row],[Grade_gpt]]=""),0,tblMovement[[#This Row],[Tonnes_t]]*tblMovement[[#This Row],[Grade_gpt]]/cfg_TroyOz)</f>
        <v/>
      </c>
      <c r="O4077" s="59">
        <f>IF(tblMovement[[#This Row],[Is_Ore]]=1,tblMovement[[#This Row],[Contained_oz]],0)</f>
        <v/>
      </c>
    </row>
    <row r="4078">
      <c r="A4078" s="54" t="n"/>
      <c r="B4078" s="61" t="n"/>
      <c r="C4078" s="61" t="n"/>
      <c r="D4078" s="61" t="n"/>
      <c r="E4078" s="61" t="n"/>
      <c r="F4078" s="55" t="n"/>
      <c r="G4078" s="56" t="n"/>
      <c r="H4078" s="55" t="n"/>
      <c r="I4078" s="62" t="n"/>
      <c r="J4078" s="58" t="n"/>
      <c r="K4078" s="63">
        <f>IF(tblMovement[[#This Row],[Source]]="","",IFERROR(INDEX(tblSources[Type],MATCH(tblMovement[[#This Row],[Source]],tblSources[Source],0)),"?"))</f>
        <v/>
      </c>
      <c r="L4078" s="63">
        <f>IF(tblMovement[[#This Row],[Destination]]="","",IFERROR(INDEX(tblDestinations[Type],MATCH(tblMovement[[#This Row],[Destination]],tblDestinations[Destination],0)),"?"))</f>
        <v/>
      </c>
      <c r="M4078" s="64">
        <f>IF(tblMovement[[#This Row],[Material]]="","",IF(LEFT(tblMovement[[#This Row],[Material]],3)="Ore",1,0))</f>
        <v/>
      </c>
      <c r="N4078" s="59">
        <f>IF(OR(tblMovement[[#This Row],[Tonnes_t]]="",tblMovement[[#This Row],[Grade_gpt]]=""),0,tblMovement[[#This Row],[Tonnes_t]]*tblMovement[[#This Row],[Grade_gpt]]/cfg_TroyOz)</f>
        <v/>
      </c>
      <c r="O4078" s="59">
        <f>IF(tblMovement[[#This Row],[Is_Ore]]=1,tblMovement[[#This Row],[Contained_oz]],0)</f>
        <v/>
      </c>
    </row>
    <row r="4079">
      <c r="A4079" s="54" t="n"/>
      <c r="B4079" s="61" t="n"/>
      <c r="C4079" s="61" t="n"/>
      <c r="D4079" s="61" t="n"/>
      <c r="E4079" s="61" t="n"/>
      <c r="F4079" s="55" t="n"/>
      <c r="G4079" s="56" t="n"/>
      <c r="H4079" s="55" t="n"/>
      <c r="I4079" s="62" t="n"/>
      <c r="J4079" s="58" t="n"/>
      <c r="K4079" s="63">
        <f>IF(tblMovement[[#This Row],[Source]]="","",IFERROR(INDEX(tblSources[Type],MATCH(tblMovement[[#This Row],[Source]],tblSources[Source],0)),"?"))</f>
        <v/>
      </c>
      <c r="L4079" s="63">
        <f>IF(tblMovement[[#This Row],[Destination]]="","",IFERROR(INDEX(tblDestinations[Type],MATCH(tblMovement[[#This Row],[Destination]],tblDestinations[Destination],0)),"?"))</f>
        <v/>
      </c>
      <c r="M4079" s="64">
        <f>IF(tblMovement[[#This Row],[Material]]="","",IF(LEFT(tblMovement[[#This Row],[Material]],3)="Ore",1,0))</f>
        <v/>
      </c>
      <c r="N4079" s="59">
        <f>IF(OR(tblMovement[[#This Row],[Tonnes_t]]="",tblMovement[[#This Row],[Grade_gpt]]=""),0,tblMovement[[#This Row],[Tonnes_t]]*tblMovement[[#This Row],[Grade_gpt]]/cfg_TroyOz)</f>
        <v/>
      </c>
      <c r="O4079" s="59">
        <f>IF(tblMovement[[#This Row],[Is_Ore]]=1,tblMovement[[#This Row],[Contained_oz]],0)</f>
        <v/>
      </c>
    </row>
    <row r="4080">
      <c r="A4080" s="54" t="n"/>
      <c r="B4080" s="61" t="n"/>
      <c r="C4080" s="61" t="n"/>
      <c r="D4080" s="61" t="n"/>
      <c r="E4080" s="61" t="n"/>
      <c r="F4080" s="55" t="n"/>
      <c r="G4080" s="56" t="n"/>
      <c r="H4080" s="55" t="n"/>
      <c r="I4080" s="62" t="n"/>
      <c r="J4080" s="58" t="n"/>
      <c r="K4080" s="63">
        <f>IF(tblMovement[[#This Row],[Source]]="","",IFERROR(INDEX(tblSources[Type],MATCH(tblMovement[[#This Row],[Source]],tblSources[Source],0)),"?"))</f>
        <v/>
      </c>
      <c r="L4080" s="63">
        <f>IF(tblMovement[[#This Row],[Destination]]="","",IFERROR(INDEX(tblDestinations[Type],MATCH(tblMovement[[#This Row],[Destination]],tblDestinations[Destination],0)),"?"))</f>
        <v/>
      </c>
      <c r="M4080" s="64">
        <f>IF(tblMovement[[#This Row],[Material]]="","",IF(LEFT(tblMovement[[#This Row],[Material]],3)="Ore",1,0))</f>
        <v/>
      </c>
      <c r="N4080" s="59">
        <f>IF(OR(tblMovement[[#This Row],[Tonnes_t]]="",tblMovement[[#This Row],[Grade_gpt]]=""),0,tblMovement[[#This Row],[Tonnes_t]]*tblMovement[[#This Row],[Grade_gpt]]/cfg_TroyOz)</f>
        <v/>
      </c>
      <c r="O4080" s="59">
        <f>IF(tblMovement[[#This Row],[Is_Ore]]=1,tblMovement[[#This Row],[Contained_oz]],0)</f>
        <v/>
      </c>
    </row>
    <row r="4081">
      <c r="A4081" s="54" t="n"/>
      <c r="B4081" s="61" t="n"/>
      <c r="C4081" s="61" t="n"/>
      <c r="D4081" s="61" t="n"/>
      <c r="E4081" s="61" t="n"/>
      <c r="F4081" s="55" t="n"/>
      <c r="G4081" s="56" t="n"/>
      <c r="H4081" s="55" t="n"/>
      <c r="I4081" s="62" t="n"/>
      <c r="J4081" s="58" t="n"/>
      <c r="K4081" s="63">
        <f>IF(tblMovement[[#This Row],[Source]]="","",IFERROR(INDEX(tblSources[Type],MATCH(tblMovement[[#This Row],[Source]],tblSources[Source],0)),"?"))</f>
        <v/>
      </c>
      <c r="L4081" s="63">
        <f>IF(tblMovement[[#This Row],[Destination]]="","",IFERROR(INDEX(tblDestinations[Type],MATCH(tblMovement[[#This Row],[Destination]],tblDestinations[Destination],0)),"?"))</f>
        <v/>
      </c>
      <c r="M4081" s="64">
        <f>IF(tblMovement[[#This Row],[Material]]="","",IF(LEFT(tblMovement[[#This Row],[Material]],3)="Ore",1,0))</f>
        <v/>
      </c>
      <c r="N4081" s="59">
        <f>IF(OR(tblMovement[[#This Row],[Tonnes_t]]="",tblMovement[[#This Row],[Grade_gpt]]=""),0,tblMovement[[#This Row],[Tonnes_t]]*tblMovement[[#This Row],[Grade_gpt]]/cfg_TroyOz)</f>
        <v/>
      </c>
      <c r="O4081" s="59">
        <f>IF(tblMovement[[#This Row],[Is_Ore]]=1,tblMovement[[#This Row],[Contained_oz]],0)</f>
        <v/>
      </c>
    </row>
    <row r="4082">
      <c r="A4082" s="54" t="n"/>
      <c r="B4082" s="61" t="n"/>
      <c r="C4082" s="61" t="n"/>
      <c r="D4082" s="61" t="n"/>
      <c r="E4082" s="61" t="n"/>
      <c r="F4082" s="55" t="n"/>
      <c r="G4082" s="56" t="n"/>
      <c r="H4082" s="55" t="n"/>
      <c r="I4082" s="62" t="n"/>
      <c r="J4082" s="58" t="n"/>
      <c r="K4082" s="63">
        <f>IF(tblMovement[[#This Row],[Source]]="","",IFERROR(INDEX(tblSources[Type],MATCH(tblMovement[[#This Row],[Source]],tblSources[Source],0)),"?"))</f>
        <v/>
      </c>
      <c r="L4082" s="63">
        <f>IF(tblMovement[[#This Row],[Destination]]="","",IFERROR(INDEX(tblDestinations[Type],MATCH(tblMovement[[#This Row],[Destination]],tblDestinations[Destination],0)),"?"))</f>
        <v/>
      </c>
      <c r="M4082" s="64">
        <f>IF(tblMovement[[#This Row],[Material]]="","",IF(LEFT(tblMovement[[#This Row],[Material]],3)="Ore",1,0))</f>
        <v/>
      </c>
      <c r="N4082" s="59">
        <f>IF(OR(tblMovement[[#This Row],[Tonnes_t]]="",tblMovement[[#This Row],[Grade_gpt]]=""),0,tblMovement[[#This Row],[Tonnes_t]]*tblMovement[[#This Row],[Grade_gpt]]/cfg_TroyOz)</f>
        <v/>
      </c>
      <c r="O4082" s="59">
        <f>IF(tblMovement[[#This Row],[Is_Ore]]=1,tblMovement[[#This Row],[Contained_oz]],0)</f>
        <v/>
      </c>
    </row>
    <row r="4083">
      <c r="A4083" s="54" t="n"/>
      <c r="B4083" s="61" t="n"/>
      <c r="C4083" s="61" t="n"/>
      <c r="D4083" s="61" t="n"/>
      <c r="E4083" s="61" t="n"/>
      <c r="F4083" s="55" t="n"/>
      <c r="G4083" s="56" t="n"/>
      <c r="H4083" s="55" t="n"/>
      <c r="I4083" s="62" t="n"/>
      <c r="J4083" s="58" t="n"/>
      <c r="K4083" s="63">
        <f>IF(tblMovement[[#This Row],[Source]]="","",IFERROR(INDEX(tblSources[Type],MATCH(tblMovement[[#This Row],[Source]],tblSources[Source],0)),"?"))</f>
        <v/>
      </c>
      <c r="L4083" s="63">
        <f>IF(tblMovement[[#This Row],[Destination]]="","",IFERROR(INDEX(tblDestinations[Type],MATCH(tblMovement[[#This Row],[Destination]],tblDestinations[Destination],0)),"?"))</f>
        <v/>
      </c>
      <c r="M4083" s="64">
        <f>IF(tblMovement[[#This Row],[Material]]="","",IF(LEFT(tblMovement[[#This Row],[Material]],3)="Ore",1,0))</f>
        <v/>
      </c>
      <c r="N4083" s="59">
        <f>IF(OR(tblMovement[[#This Row],[Tonnes_t]]="",tblMovement[[#This Row],[Grade_gpt]]=""),0,tblMovement[[#This Row],[Tonnes_t]]*tblMovement[[#This Row],[Grade_gpt]]/cfg_TroyOz)</f>
        <v/>
      </c>
      <c r="O4083" s="59">
        <f>IF(tblMovement[[#This Row],[Is_Ore]]=1,tblMovement[[#This Row],[Contained_oz]],0)</f>
        <v/>
      </c>
    </row>
    <row r="4084">
      <c r="A4084" s="54" t="n"/>
      <c r="B4084" s="61" t="n"/>
      <c r="C4084" s="61" t="n"/>
      <c r="D4084" s="61" t="n"/>
      <c r="E4084" s="61" t="n"/>
      <c r="F4084" s="55" t="n"/>
      <c r="G4084" s="56" t="n"/>
      <c r="H4084" s="55" t="n"/>
      <c r="I4084" s="62" t="n"/>
      <c r="J4084" s="58" t="n"/>
      <c r="K4084" s="63">
        <f>IF(tblMovement[[#This Row],[Source]]="","",IFERROR(INDEX(tblSources[Type],MATCH(tblMovement[[#This Row],[Source]],tblSources[Source],0)),"?"))</f>
        <v/>
      </c>
      <c r="L4084" s="63">
        <f>IF(tblMovement[[#This Row],[Destination]]="","",IFERROR(INDEX(tblDestinations[Type],MATCH(tblMovement[[#This Row],[Destination]],tblDestinations[Destination],0)),"?"))</f>
        <v/>
      </c>
      <c r="M4084" s="64">
        <f>IF(tblMovement[[#This Row],[Material]]="","",IF(LEFT(tblMovement[[#This Row],[Material]],3)="Ore",1,0))</f>
        <v/>
      </c>
      <c r="N4084" s="59">
        <f>IF(OR(tblMovement[[#This Row],[Tonnes_t]]="",tblMovement[[#This Row],[Grade_gpt]]=""),0,tblMovement[[#This Row],[Tonnes_t]]*tblMovement[[#This Row],[Grade_gpt]]/cfg_TroyOz)</f>
        <v/>
      </c>
      <c r="O4084" s="59">
        <f>IF(tblMovement[[#This Row],[Is_Ore]]=1,tblMovement[[#This Row],[Contained_oz]],0)</f>
        <v/>
      </c>
    </row>
    <row r="4085">
      <c r="A4085" s="54" t="n"/>
      <c r="B4085" s="61" t="n"/>
      <c r="C4085" s="61" t="n"/>
      <c r="D4085" s="61" t="n"/>
      <c r="E4085" s="61" t="n"/>
      <c r="F4085" s="55" t="n"/>
      <c r="G4085" s="56" t="n"/>
      <c r="H4085" s="55" t="n"/>
      <c r="I4085" s="62" t="n"/>
      <c r="J4085" s="58" t="n"/>
      <c r="K4085" s="63">
        <f>IF(tblMovement[[#This Row],[Source]]="","",IFERROR(INDEX(tblSources[Type],MATCH(tblMovement[[#This Row],[Source]],tblSources[Source],0)),"?"))</f>
        <v/>
      </c>
      <c r="L4085" s="63">
        <f>IF(tblMovement[[#This Row],[Destination]]="","",IFERROR(INDEX(tblDestinations[Type],MATCH(tblMovement[[#This Row],[Destination]],tblDestinations[Destination],0)),"?"))</f>
        <v/>
      </c>
      <c r="M4085" s="64">
        <f>IF(tblMovement[[#This Row],[Material]]="","",IF(LEFT(tblMovement[[#This Row],[Material]],3)="Ore",1,0))</f>
        <v/>
      </c>
      <c r="N4085" s="59">
        <f>IF(OR(tblMovement[[#This Row],[Tonnes_t]]="",tblMovement[[#This Row],[Grade_gpt]]=""),0,tblMovement[[#This Row],[Tonnes_t]]*tblMovement[[#This Row],[Grade_gpt]]/cfg_TroyOz)</f>
        <v/>
      </c>
      <c r="O4085" s="59">
        <f>IF(tblMovement[[#This Row],[Is_Ore]]=1,tblMovement[[#This Row],[Contained_oz]],0)</f>
        <v/>
      </c>
    </row>
    <row r="4086">
      <c r="A4086" s="54" t="n"/>
      <c r="B4086" s="61" t="n"/>
      <c r="C4086" s="61" t="n"/>
      <c r="D4086" s="61" t="n"/>
      <c r="E4086" s="61" t="n"/>
      <c r="F4086" s="55" t="n"/>
      <c r="G4086" s="56" t="n"/>
      <c r="H4086" s="55" t="n"/>
      <c r="I4086" s="62" t="n"/>
      <c r="J4086" s="58" t="n"/>
      <c r="K4086" s="63">
        <f>IF(tblMovement[[#This Row],[Source]]="","",IFERROR(INDEX(tblSources[Type],MATCH(tblMovement[[#This Row],[Source]],tblSources[Source],0)),"?"))</f>
        <v/>
      </c>
      <c r="L4086" s="63">
        <f>IF(tblMovement[[#This Row],[Destination]]="","",IFERROR(INDEX(tblDestinations[Type],MATCH(tblMovement[[#This Row],[Destination]],tblDestinations[Destination],0)),"?"))</f>
        <v/>
      </c>
      <c r="M4086" s="64">
        <f>IF(tblMovement[[#This Row],[Material]]="","",IF(LEFT(tblMovement[[#This Row],[Material]],3)="Ore",1,0))</f>
        <v/>
      </c>
      <c r="N4086" s="59">
        <f>IF(OR(tblMovement[[#This Row],[Tonnes_t]]="",tblMovement[[#This Row],[Grade_gpt]]=""),0,tblMovement[[#This Row],[Tonnes_t]]*tblMovement[[#This Row],[Grade_gpt]]/cfg_TroyOz)</f>
        <v/>
      </c>
      <c r="O4086" s="59">
        <f>IF(tblMovement[[#This Row],[Is_Ore]]=1,tblMovement[[#This Row],[Contained_oz]],0)</f>
        <v/>
      </c>
    </row>
    <row r="4087">
      <c r="A4087" s="54" t="n"/>
      <c r="B4087" s="61" t="n"/>
      <c r="C4087" s="61" t="n"/>
      <c r="D4087" s="61" t="n"/>
      <c r="E4087" s="61" t="n"/>
      <c r="F4087" s="55" t="n"/>
      <c r="G4087" s="56" t="n"/>
      <c r="H4087" s="55" t="n"/>
      <c r="I4087" s="62" t="n"/>
      <c r="J4087" s="58" t="n"/>
      <c r="K4087" s="63">
        <f>IF(tblMovement[[#This Row],[Source]]="","",IFERROR(INDEX(tblSources[Type],MATCH(tblMovement[[#This Row],[Source]],tblSources[Source],0)),"?"))</f>
        <v/>
      </c>
      <c r="L4087" s="63">
        <f>IF(tblMovement[[#This Row],[Destination]]="","",IFERROR(INDEX(tblDestinations[Type],MATCH(tblMovement[[#This Row],[Destination]],tblDestinations[Destination],0)),"?"))</f>
        <v/>
      </c>
      <c r="M4087" s="64">
        <f>IF(tblMovement[[#This Row],[Material]]="","",IF(LEFT(tblMovement[[#This Row],[Material]],3)="Ore",1,0))</f>
        <v/>
      </c>
      <c r="N4087" s="59">
        <f>IF(OR(tblMovement[[#This Row],[Tonnes_t]]="",tblMovement[[#This Row],[Grade_gpt]]=""),0,tblMovement[[#This Row],[Tonnes_t]]*tblMovement[[#This Row],[Grade_gpt]]/cfg_TroyOz)</f>
        <v/>
      </c>
      <c r="O4087" s="59">
        <f>IF(tblMovement[[#This Row],[Is_Ore]]=1,tblMovement[[#This Row],[Contained_oz]],0)</f>
        <v/>
      </c>
    </row>
    <row r="4088">
      <c r="A4088" s="54" t="n"/>
      <c r="B4088" s="61" t="n"/>
      <c r="C4088" s="61" t="n"/>
      <c r="D4088" s="61" t="n"/>
      <c r="E4088" s="61" t="n"/>
      <c r="F4088" s="55" t="n"/>
      <c r="G4088" s="56" t="n"/>
      <c r="H4088" s="55" t="n"/>
      <c r="I4088" s="62" t="n"/>
      <c r="J4088" s="58" t="n"/>
      <c r="K4088" s="63">
        <f>IF(tblMovement[[#This Row],[Source]]="","",IFERROR(INDEX(tblSources[Type],MATCH(tblMovement[[#This Row],[Source]],tblSources[Source],0)),"?"))</f>
        <v/>
      </c>
      <c r="L4088" s="63">
        <f>IF(tblMovement[[#This Row],[Destination]]="","",IFERROR(INDEX(tblDestinations[Type],MATCH(tblMovement[[#This Row],[Destination]],tblDestinations[Destination],0)),"?"))</f>
        <v/>
      </c>
      <c r="M4088" s="64">
        <f>IF(tblMovement[[#This Row],[Material]]="","",IF(LEFT(tblMovement[[#This Row],[Material]],3)="Ore",1,0))</f>
        <v/>
      </c>
      <c r="N4088" s="59">
        <f>IF(OR(tblMovement[[#This Row],[Tonnes_t]]="",tblMovement[[#This Row],[Grade_gpt]]=""),0,tblMovement[[#This Row],[Tonnes_t]]*tblMovement[[#This Row],[Grade_gpt]]/cfg_TroyOz)</f>
        <v/>
      </c>
      <c r="O4088" s="59">
        <f>IF(tblMovement[[#This Row],[Is_Ore]]=1,tblMovement[[#This Row],[Contained_oz]],0)</f>
        <v/>
      </c>
    </row>
    <row r="4089">
      <c r="A4089" s="54" t="n"/>
      <c r="B4089" s="61" t="n"/>
      <c r="C4089" s="61" t="n"/>
      <c r="D4089" s="61" t="n"/>
      <c r="E4089" s="61" t="n"/>
      <c r="F4089" s="55" t="n"/>
      <c r="G4089" s="56" t="n"/>
      <c r="H4089" s="55" t="n"/>
      <c r="I4089" s="62" t="n"/>
      <c r="J4089" s="58" t="n"/>
      <c r="K4089" s="63">
        <f>IF(tblMovement[[#This Row],[Source]]="","",IFERROR(INDEX(tblSources[Type],MATCH(tblMovement[[#This Row],[Source]],tblSources[Source],0)),"?"))</f>
        <v/>
      </c>
      <c r="L4089" s="63">
        <f>IF(tblMovement[[#This Row],[Destination]]="","",IFERROR(INDEX(tblDestinations[Type],MATCH(tblMovement[[#This Row],[Destination]],tblDestinations[Destination],0)),"?"))</f>
        <v/>
      </c>
      <c r="M4089" s="64">
        <f>IF(tblMovement[[#This Row],[Material]]="","",IF(LEFT(tblMovement[[#This Row],[Material]],3)="Ore",1,0))</f>
        <v/>
      </c>
      <c r="N4089" s="59">
        <f>IF(OR(tblMovement[[#This Row],[Tonnes_t]]="",tblMovement[[#This Row],[Grade_gpt]]=""),0,tblMovement[[#This Row],[Tonnes_t]]*tblMovement[[#This Row],[Grade_gpt]]/cfg_TroyOz)</f>
        <v/>
      </c>
      <c r="O4089" s="59">
        <f>IF(tblMovement[[#This Row],[Is_Ore]]=1,tblMovement[[#This Row],[Contained_oz]],0)</f>
        <v/>
      </c>
    </row>
    <row r="4090">
      <c r="A4090" s="54" t="n"/>
      <c r="B4090" s="61" t="n"/>
      <c r="C4090" s="61" t="n"/>
      <c r="D4090" s="61" t="n"/>
      <c r="E4090" s="61" t="n"/>
      <c r="F4090" s="55" t="n"/>
      <c r="G4090" s="56" t="n"/>
      <c r="H4090" s="55" t="n"/>
      <c r="I4090" s="62" t="n"/>
      <c r="J4090" s="58" t="n"/>
      <c r="K4090" s="63">
        <f>IF(tblMovement[[#This Row],[Source]]="","",IFERROR(INDEX(tblSources[Type],MATCH(tblMovement[[#This Row],[Source]],tblSources[Source],0)),"?"))</f>
        <v/>
      </c>
      <c r="L4090" s="63">
        <f>IF(tblMovement[[#This Row],[Destination]]="","",IFERROR(INDEX(tblDestinations[Type],MATCH(tblMovement[[#This Row],[Destination]],tblDestinations[Destination],0)),"?"))</f>
        <v/>
      </c>
      <c r="M4090" s="64">
        <f>IF(tblMovement[[#This Row],[Material]]="","",IF(LEFT(tblMovement[[#This Row],[Material]],3)="Ore",1,0))</f>
        <v/>
      </c>
      <c r="N4090" s="59">
        <f>IF(OR(tblMovement[[#This Row],[Tonnes_t]]="",tblMovement[[#This Row],[Grade_gpt]]=""),0,tblMovement[[#This Row],[Tonnes_t]]*tblMovement[[#This Row],[Grade_gpt]]/cfg_TroyOz)</f>
        <v/>
      </c>
      <c r="O4090" s="59">
        <f>IF(tblMovement[[#This Row],[Is_Ore]]=1,tblMovement[[#This Row],[Contained_oz]],0)</f>
        <v/>
      </c>
    </row>
    <row r="4091">
      <c r="A4091" s="54" t="n"/>
      <c r="B4091" s="61" t="n"/>
      <c r="C4091" s="61" t="n"/>
      <c r="D4091" s="61" t="n"/>
      <c r="E4091" s="61" t="n"/>
      <c r="F4091" s="55" t="n"/>
      <c r="G4091" s="56" t="n"/>
      <c r="H4091" s="55" t="n"/>
      <c r="I4091" s="62" t="n"/>
      <c r="J4091" s="58" t="n"/>
      <c r="K4091" s="63">
        <f>IF(tblMovement[[#This Row],[Source]]="","",IFERROR(INDEX(tblSources[Type],MATCH(tblMovement[[#This Row],[Source]],tblSources[Source],0)),"?"))</f>
        <v/>
      </c>
      <c r="L4091" s="63">
        <f>IF(tblMovement[[#This Row],[Destination]]="","",IFERROR(INDEX(tblDestinations[Type],MATCH(tblMovement[[#This Row],[Destination]],tblDestinations[Destination],0)),"?"))</f>
        <v/>
      </c>
      <c r="M4091" s="64">
        <f>IF(tblMovement[[#This Row],[Material]]="","",IF(LEFT(tblMovement[[#This Row],[Material]],3)="Ore",1,0))</f>
        <v/>
      </c>
      <c r="N4091" s="59">
        <f>IF(OR(tblMovement[[#This Row],[Tonnes_t]]="",tblMovement[[#This Row],[Grade_gpt]]=""),0,tblMovement[[#This Row],[Tonnes_t]]*tblMovement[[#This Row],[Grade_gpt]]/cfg_TroyOz)</f>
        <v/>
      </c>
      <c r="O4091" s="59">
        <f>IF(tblMovement[[#This Row],[Is_Ore]]=1,tblMovement[[#This Row],[Contained_oz]],0)</f>
        <v/>
      </c>
    </row>
    <row r="4092">
      <c r="A4092" s="54" t="n"/>
      <c r="B4092" s="61" t="n"/>
      <c r="C4092" s="61" t="n"/>
      <c r="D4092" s="61" t="n"/>
      <c r="E4092" s="61" t="n"/>
      <c r="F4092" s="55" t="n"/>
      <c r="G4092" s="56" t="n"/>
      <c r="H4092" s="55" t="n"/>
      <c r="I4092" s="62" t="n"/>
      <c r="J4092" s="58" t="n"/>
      <c r="K4092" s="63">
        <f>IF(tblMovement[[#This Row],[Source]]="","",IFERROR(INDEX(tblSources[Type],MATCH(tblMovement[[#This Row],[Source]],tblSources[Source],0)),"?"))</f>
        <v/>
      </c>
      <c r="L4092" s="63">
        <f>IF(tblMovement[[#This Row],[Destination]]="","",IFERROR(INDEX(tblDestinations[Type],MATCH(tblMovement[[#This Row],[Destination]],tblDestinations[Destination],0)),"?"))</f>
        <v/>
      </c>
      <c r="M4092" s="64">
        <f>IF(tblMovement[[#This Row],[Material]]="","",IF(LEFT(tblMovement[[#This Row],[Material]],3)="Ore",1,0))</f>
        <v/>
      </c>
      <c r="N4092" s="59">
        <f>IF(OR(tblMovement[[#This Row],[Tonnes_t]]="",tblMovement[[#This Row],[Grade_gpt]]=""),0,tblMovement[[#This Row],[Tonnes_t]]*tblMovement[[#This Row],[Grade_gpt]]/cfg_TroyOz)</f>
        <v/>
      </c>
      <c r="O4092" s="59">
        <f>IF(tblMovement[[#This Row],[Is_Ore]]=1,tblMovement[[#This Row],[Contained_oz]],0)</f>
        <v/>
      </c>
    </row>
    <row r="4093">
      <c r="A4093" s="54" t="n"/>
      <c r="B4093" s="61" t="n"/>
      <c r="C4093" s="61" t="n"/>
      <c r="D4093" s="61" t="n"/>
      <c r="E4093" s="61" t="n"/>
      <c r="F4093" s="55" t="n"/>
      <c r="G4093" s="56" t="n"/>
      <c r="H4093" s="55" t="n"/>
      <c r="I4093" s="62" t="n"/>
      <c r="J4093" s="58" t="n"/>
      <c r="K4093" s="63">
        <f>IF(tblMovement[[#This Row],[Source]]="","",IFERROR(INDEX(tblSources[Type],MATCH(tblMovement[[#This Row],[Source]],tblSources[Source],0)),"?"))</f>
        <v/>
      </c>
      <c r="L4093" s="63">
        <f>IF(tblMovement[[#This Row],[Destination]]="","",IFERROR(INDEX(tblDestinations[Type],MATCH(tblMovement[[#This Row],[Destination]],tblDestinations[Destination],0)),"?"))</f>
        <v/>
      </c>
      <c r="M4093" s="64">
        <f>IF(tblMovement[[#This Row],[Material]]="","",IF(LEFT(tblMovement[[#This Row],[Material]],3)="Ore",1,0))</f>
        <v/>
      </c>
      <c r="N4093" s="59">
        <f>IF(OR(tblMovement[[#This Row],[Tonnes_t]]="",tblMovement[[#This Row],[Grade_gpt]]=""),0,tblMovement[[#This Row],[Tonnes_t]]*tblMovement[[#This Row],[Grade_gpt]]/cfg_TroyOz)</f>
        <v/>
      </c>
      <c r="O4093" s="59">
        <f>IF(tblMovement[[#This Row],[Is_Ore]]=1,tblMovement[[#This Row],[Contained_oz]],0)</f>
        <v/>
      </c>
    </row>
    <row r="4094">
      <c r="A4094" s="54" t="n"/>
      <c r="B4094" s="61" t="n"/>
      <c r="C4094" s="61" t="n"/>
      <c r="D4094" s="61" t="n"/>
      <c r="E4094" s="61" t="n"/>
      <c r="F4094" s="55" t="n"/>
      <c r="G4094" s="56" t="n"/>
      <c r="H4094" s="55" t="n"/>
      <c r="I4094" s="62" t="n"/>
      <c r="J4094" s="58" t="n"/>
      <c r="K4094" s="63">
        <f>IF(tblMovement[[#This Row],[Source]]="","",IFERROR(INDEX(tblSources[Type],MATCH(tblMovement[[#This Row],[Source]],tblSources[Source],0)),"?"))</f>
        <v/>
      </c>
      <c r="L4094" s="63">
        <f>IF(tblMovement[[#This Row],[Destination]]="","",IFERROR(INDEX(tblDestinations[Type],MATCH(tblMovement[[#This Row],[Destination]],tblDestinations[Destination],0)),"?"))</f>
        <v/>
      </c>
      <c r="M4094" s="64">
        <f>IF(tblMovement[[#This Row],[Material]]="","",IF(LEFT(tblMovement[[#This Row],[Material]],3)="Ore",1,0))</f>
        <v/>
      </c>
      <c r="N4094" s="59">
        <f>IF(OR(tblMovement[[#This Row],[Tonnes_t]]="",tblMovement[[#This Row],[Grade_gpt]]=""),0,tblMovement[[#This Row],[Tonnes_t]]*tblMovement[[#This Row],[Grade_gpt]]/cfg_TroyOz)</f>
        <v/>
      </c>
      <c r="O4094" s="59">
        <f>IF(tblMovement[[#This Row],[Is_Ore]]=1,tblMovement[[#This Row],[Contained_oz]],0)</f>
        <v/>
      </c>
    </row>
    <row r="4095">
      <c r="A4095" s="54" t="n"/>
      <c r="B4095" s="61" t="n"/>
      <c r="C4095" s="61" t="n"/>
      <c r="D4095" s="61" t="n"/>
      <c r="E4095" s="61" t="n"/>
      <c r="F4095" s="55" t="n"/>
      <c r="G4095" s="56" t="n"/>
      <c r="H4095" s="55" t="n"/>
      <c r="I4095" s="62" t="n"/>
      <c r="J4095" s="58" t="n"/>
      <c r="K4095" s="63">
        <f>IF(tblMovement[[#This Row],[Source]]="","",IFERROR(INDEX(tblSources[Type],MATCH(tblMovement[[#This Row],[Source]],tblSources[Source],0)),"?"))</f>
        <v/>
      </c>
      <c r="L4095" s="63">
        <f>IF(tblMovement[[#This Row],[Destination]]="","",IFERROR(INDEX(tblDestinations[Type],MATCH(tblMovement[[#This Row],[Destination]],tblDestinations[Destination],0)),"?"))</f>
        <v/>
      </c>
      <c r="M4095" s="64">
        <f>IF(tblMovement[[#This Row],[Material]]="","",IF(LEFT(tblMovement[[#This Row],[Material]],3)="Ore",1,0))</f>
        <v/>
      </c>
      <c r="N4095" s="59">
        <f>IF(OR(tblMovement[[#This Row],[Tonnes_t]]="",tblMovement[[#This Row],[Grade_gpt]]=""),0,tblMovement[[#This Row],[Tonnes_t]]*tblMovement[[#This Row],[Grade_gpt]]/cfg_TroyOz)</f>
        <v/>
      </c>
      <c r="O4095" s="59">
        <f>IF(tblMovement[[#This Row],[Is_Ore]]=1,tblMovement[[#This Row],[Contained_oz]],0)</f>
        <v/>
      </c>
    </row>
    <row r="4096">
      <c r="A4096" s="54" t="n"/>
      <c r="B4096" s="61" t="n"/>
      <c r="C4096" s="61" t="n"/>
      <c r="D4096" s="61" t="n"/>
      <c r="E4096" s="61" t="n"/>
      <c r="F4096" s="55" t="n"/>
      <c r="G4096" s="56" t="n"/>
      <c r="H4096" s="55" t="n"/>
      <c r="I4096" s="62" t="n"/>
      <c r="J4096" s="58" t="n"/>
      <c r="K4096" s="63">
        <f>IF(tblMovement[[#This Row],[Source]]="","",IFERROR(INDEX(tblSources[Type],MATCH(tblMovement[[#This Row],[Source]],tblSources[Source],0)),"?"))</f>
        <v/>
      </c>
      <c r="L4096" s="63">
        <f>IF(tblMovement[[#This Row],[Destination]]="","",IFERROR(INDEX(tblDestinations[Type],MATCH(tblMovement[[#This Row],[Destination]],tblDestinations[Destination],0)),"?"))</f>
        <v/>
      </c>
      <c r="M4096" s="64">
        <f>IF(tblMovement[[#This Row],[Material]]="","",IF(LEFT(tblMovement[[#This Row],[Material]],3)="Ore",1,0))</f>
        <v/>
      </c>
      <c r="N4096" s="59">
        <f>IF(OR(tblMovement[[#This Row],[Tonnes_t]]="",tblMovement[[#This Row],[Grade_gpt]]=""),0,tblMovement[[#This Row],[Tonnes_t]]*tblMovement[[#This Row],[Grade_gpt]]/cfg_TroyOz)</f>
        <v/>
      </c>
      <c r="O4096" s="59">
        <f>IF(tblMovement[[#This Row],[Is_Ore]]=1,tblMovement[[#This Row],[Contained_oz]],0)</f>
        <v/>
      </c>
    </row>
    <row r="4097">
      <c r="A4097" s="54" t="n"/>
      <c r="B4097" s="61" t="n"/>
      <c r="C4097" s="61" t="n"/>
      <c r="D4097" s="61" t="n"/>
      <c r="E4097" s="61" t="n"/>
      <c r="F4097" s="55" t="n"/>
      <c r="G4097" s="56" t="n"/>
      <c r="H4097" s="55" t="n"/>
      <c r="I4097" s="62" t="n"/>
      <c r="J4097" s="58" t="n"/>
      <c r="K4097" s="63">
        <f>IF(tblMovement[[#This Row],[Source]]="","",IFERROR(INDEX(tblSources[Type],MATCH(tblMovement[[#This Row],[Source]],tblSources[Source],0)),"?"))</f>
        <v/>
      </c>
      <c r="L4097" s="63">
        <f>IF(tblMovement[[#This Row],[Destination]]="","",IFERROR(INDEX(tblDestinations[Type],MATCH(tblMovement[[#This Row],[Destination]],tblDestinations[Destination],0)),"?"))</f>
        <v/>
      </c>
      <c r="M4097" s="64">
        <f>IF(tblMovement[[#This Row],[Material]]="","",IF(LEFT(tblMovement[[#This Row],[Material]],3)="Ore",1,0))</f>
        <v/>
      </c>
      <c r="N4097" s="59">
        <f>IF(OR(tblMovement[[#This Row],[Tonnes_t]]="",tblMovement[[#This Row],[Grade_gpt]]=""),0,tblMovement[[#This Row],[Tonnes_t]]*tblMovement[[#This Row],[Grade_gpt]]/cfg_TroyOz)</f>
        <v/>
      </c>
      <c r="O4097" s="59">
        <f>IF(tblMovement[[#This Row],[Is_Ore]]=1,tblMovement[[#This Row],[Contained_oz]],0)</f>
        <v/>
      </c>
    </row>
    <row r="4098">
      <c r="A4098" s="54" t="n"/>
      <c r="B4098" s="61" t="n"/>
      <c r="C4098" s="61" t="n"/>
      <c r="D4098" s="61" t="n"/>
      <c r="E4098" s="61" t="n"/>
      <c r="F4098" s="55" t="n"/>
      <c r="G4098" s="56" t="n"/>
      <c r="H4098" s="55" t="n"/>
      <c r="I4098" s="62" t="n"/>
      <c r="J4098" s="58" t="n"/>
      <c r="K4098" s="63">
        <f>IF(tblMovement[[#This Row],[Source]]="","",IFERROR(INDEX(tblSources[Type],MATCH(tblMovement[[#This Row],[Source]],tblSources[Source],0)),"?"))</f>
        <v/>
      </c>
      <c r="L4098" s="63">
        <f>IF(tblMovement[[#This Row],[Destination]]="","",IFERROR(INDEX(tblDestinations[Type],MATCH(tblMovement[[#This Row],[Destination]],tblDestinations[Destination],0)),"?"))</f>
        <v/>
      </c>
      <c r="M4098" s="64">
        <f>IF(tblMovement[[#This Row],[Material]]="","",IF(LEFT(tblMovement[[#This Row],[Material]],3)="Ore",1,0))</f>
        <v/>
      </c>
      <c r="N4098" s="59">
        <f>IF(OR(tblMovement[[#This Row],[Tonnes_t]]="",tblMovement[[#This Row],[Grade_gpt]]=""),0,tblMovement[[#This Row],[Tonnes_t]]*tblMovement[[#This Row],[Grade_gpt]]/cfg_TroyOz)</f>
        <v/>
      </c>
      <c r="O4098" s="59">
        <f>IF(tblMovement[[#This Row],[Is_Ore]]=1,tblMovement[[#This Row],[Contained_oz]],0)</f>
        <v/>
      </c>
    </row>
    <row r="4099">
      <c r="A4099" s="54" t="n"/>
      <c r="B4099" s="61" t="n"/>
      <c r="C4099" s="61" t="n"/>
      <c r="D4099" s="61" t="n"/>
      <c r="E4099" s="61" t="n"/>
      <c r="F4099" s="55" t="n"/>
      <c r="G4099" s="56" t="n"/>
      <c r="H4099" s="55" t="n"/>
      <c r="I4099" s="62" t="n"/>
      <c r="J4099" s="58" t="n"/>
      <c r="K4099" s="63">
        <f>IF(tblMovement[[#This Row],[Source]]="","",IFERROR(INDEX(tblSources[Type],MATCH(tblMovement[[#This Row],[Source]],tblSources[Source],0)),"?"))</f>
        <v/>
      </c>
      <c r="L4099" s="63">
        <f>IF(tblMovement[[#This Row],[Destination]]="","",IFERROR(INDEX(tblDestinations[Type],MATCH(tblMovement[[#This Row],[Destination]],tblDestinations[Destination],0)),"?"))</f>
        <v/>
      </c>
      <c r="M4099" s="64">
        <f>IF(tblMovement[[#This Row],[Material]]="","",IF(LEFT(tblMovement[[#This Row],[Material]],3)="Ore",1,0))</f>
        <v/>
      </c>
      <c r="N4099" s="59">
        <f>IF(OR(tblMovement[[#This Row],[Tonnes_t]]="",tblMovement[[#This Row],[Grade_gpt]]=""),0,tblMovement[[#This Row],[Tonnes_t]]*tblMovement[[#This Row],[Grade_gpt]]/cfg_TroyOz)</f>
        <v/>
      </c>
      <c r="O4099" s="59">
        <f>IF(tblMovement[[#This Row],[Is_Ore]]=1,tblMovement[[#This Row],[Contained_oz]],0)</f>
        <v/>
      </c>
    </row>
    <row r="4100">
      <c r="A4100" s="54" t="n"/>
      <c r="B4100" s="61" t="n"/>
      <c r="C4100" s="61" t="n"/>
      <c r="D4100" s="61" t="n"/>
      <c r="E4100" s="61" t="n"/>
      <c r="F4100" s="55" t="n"/>
      <c r="G4100" s="56" t="n"/>
      <c r="H4100" s="55" t="n"/>
      <c r="I4100" s="62" t="n"/>
      <c r="J4100" s="58" t="n"/>
      <c r="K4100" s="63">
        <f>IF(tblMovement[[#This Row],[Source]]="","",IFERROR(INDEX(tblSources[Type],MATCH(tblMovement[[#This Row],[Source]],tblSources[Source],0)),"?"))</f>
        <v/>
      </c>
      <c r="L4100" s="63">
        <f>IF(tblMovement[[#This Row],[Destination]]="","",IFERROR(INDEX(tblDestinations[Type],MATCH(tblMovement[[#This Row],[Destination]],tblDestinations[Destination],0)),"?"))</f>
        <v/>
      </c>
      <c r="M4100" s="64">
        <f>IF(tblMovement[[#This Row],[Material]]="","",IF(LEFT(tblMovement[[#This Row],[Material]],3)="Ore",1,0))</f>
        <v/>
      </c>
      <c r="N4100" s="59">
        <f>IF(OR(tblMovement[[#This Row],[Tonnes_t]]="",tblMovement[[#This Row],[Grade_gpt]]=""),0,tblMovement[[#This Row],[Tonnes_t]]*tblMovement[[#This Row],[Grade_gpt]]/cfg_TroyOz)</f>
        <v/>
      </c>
      <c r="O4100" s="59">
        <f>IF(tblMovement[[#This Row],[Is_Ore]]=1,tblMovement[[#This Row],[Contained_oz]],0)</f>
        <v/>
      </c>
    </row>
    <row r="4101">
      <c r="A4101" s="54" t="n"/>
      <c r="B4101" s="61" t="n"/>
      <c r="C4101" s="61" t="n"/>
      <c r="D4101" s="61" t="n"/>
      <c r="E4101" s="61" t="n"/>
      <c r="F4101" s="55" t="n"/>
      <c r="G4101" s="56" t="n"/>
      <c r="H4101" s="55" t="n"/>
      <c r="I4101" s="62" t="n"/>
      <c r="J4101" s="58" t="n"/>
      <c r="K4101" s="63">
        <f>IF(tblMovement[[#This Row],[Source]]="","",IFERROR(INDEX(tblSources[Type],MATCH(tblMovement[[#This Row],[Source]],tblSources[Source],0)),"?"))</f>
        <v/>
      </c>
      <c r="L4101" s="63">
        <f>IF(tblMovement[[#This Row],[Destination]]="","",IFERROR(INDEX(tblDestinations[Type],MATCH(tblMovement[[#This Row],[Destination]],tblDestinations[Destination],0)),"?"))</f>
        <v/>
      </c>
      <c r="M4101" s="64">
        <f>IF(tblMovement[[#This Row],[Material]]="","",IF(LEFT(tblMovement[[#This Row],[Material]],3)="Ore",1,0))</f>
        <v/>
      </c>
      <c r="N4101" s="59">
        <f>IF(OR(tblMovement[[#This Row],[Tonnes_t]]="",tblMovement[[#This Row],[Grade_gpt]]=""),0,tblMovement[[#This Row],[Tonnes_t]]*tblMovement[[#This Row],[Grade_gpt]]/cfg_TroyOz)</f>
        <v/>
      </c>
      <c r="O4101" s="59">
        <f>IF(tblMovement[[#This Row],[Is_Ore]]=1,tblMovement[[#This Row],[Contained_oz]],0)</f>
        <v/>
      </c>
    </row>
    <row r="4102">
      <c r="A4102" s="54" t="n"/>
      <c r="B4102" s="61" t="n"/>
      <c r="C4102" s="61" t="n"/>
      <c r="D4102" s="61" t="n"/>
      <c r="E4102" s="61" t="n"/>
      <c r="F4102" s="55" t="n"/>
      <c r="G4102" s="56" t="n"/>
      <c r="H4102" s="55" t="n"/>
      <c r="I4102" s="62" t="n"/>
      <c r="J4102" s="58" t="n"/>
      <c r="K4102" s="63">
        <f>IF(tblMovement[[#This Row],[Source]]="","",IFERROR(INDEX(tblSources[Type],MATCH(tblMovement[[#This Row],[Source]],tblSources[Source],0)),"?"))</f>
        <v/>
      </c>
      <c r="L4102" s="63">
        <f>IF(tblMovement[[#This Row],[Destination]]="","",IFERROR(INDEX(tblDestinations[Type],MATCH(tblMovement[[#This Row],[Destination]],tblDestinations[Destination],0)),"?"))</f>
        <v/>
      </c>
      <c r="M4102" s="64">
        <f>IF(tblMovement[[#This Row],[Material]]="","",IF(LEFT(tblMovement[[#This Row],[Material]],3)="Ore",1,0))</f>
        <v/>
      </c>
      <c r="N4102" s="59">
        <f>IF(OR(tblMovement[[#This Row],[Tonnes_t]]="",tblMovement[[#This Row],[Grade_gpt]]=""),0,tblMovement[[#This Row],[Tonnes_t]]*tblMovement[[#This Row],[Grade_gpt]]/cfg_TroyOz)</f>
        <v/>
      </c>
      <c r="O4102" s="59">
        <f>IF(tblMovement[[#This Row],[Is_Ore]]=1,tblMovement[[#This Row],[Contained_oz]],0)</f>
        <v/>
      </c>
    </row>
    <row r="4103">
      <c r="A4103" s="54" t="n"/>
      <c r="B4103" s="61" t="n"/>
      <c r="C4103" s="61" t="n"/>
      <c r="D4103" s="61" t="n"/>
      <c r="E4103" s="61" t="n"/>
      <c r="F4103" s="55" t="n"/>
      <c r="G4103" s="56" t="n"/>
      <c r="H4103" s="55" t="n"/>
      <c r="I4103" s="62" t="n"/>
      <c r="J4103" s="58" t="n"/>
      <c r="K4103" s="63">
        <f>IF(tblMovement[[#This Row],[Source]]="","",IFERROR(INDEX(tblSources[Type],MATCH(tblMovement[[#This Row],[Source]],tblSources[Source],0)),"?"))</f>
        <v/>
      </c>
      <c r="L4103" s="63">
        <f>IF(tblMovement[[#This Row],[Destination]]="","",IFERROR(INDEX(tblDestinations[Type],MATCH(tblMovement[[#This Row],[Destination]],tblDestinations[Destination],0)),"?"))</f>
        <v/>
      </c>
      <c r="M4103" s="64">
        <f>IF(tblMovement[[#This Row],[Material]]="","",IF(LEFT(tblMovement[[#This Row],[Material]],3)="Ore",1,0))</f>
        <v/>
      </c>
      <c r="N4103" s="59">
        <f>IF(OR(tblMovement[[#This Row],[Tonnes_t]]="",tblMovement[[#This Row],[Grade_gpt]]=""),0,tblMovement[[#This Row],[Tonnes_t]]*tblMovement[[#This Row],[Grade_gpt]]/cfg_TroyOz)</f>
        <v/>
      </c>
      <c r="O4103" s="59">
        <f>IF(tblMovement[[#This Row],[Is_Ore]]=1,tblMovement[[#This Row],[Contained_oz]],0)</f>
        <v/>
      </c>
    </row>
    <row r="4104">
      <c r="A4104" s="54" t="n"/>
      <c r="B4104" s="61" t="n"/>
      <c r="C4104" s="61" t="n"/>
      <c r="D4104" s="61" t="n"/>
      <c r="E4104" s="61" t="n"/>
      <c r="F4104" s="55" t="n"/>
      <c r="G4104" s="56" t="n"/>
      <c r="H4104" s="55" t="n"/>
      <c r="I4104" s="62" t="n"/>
      <c r="J4104" s="58" t="n"/>
      <c r="K4104" s="63">
        <f>IF(tblMovement[[#This Row],[Source]]="","",IFERROR(INDEX(tblSources[Type],MATCH(tblMovement[[#This Row],[Source]],tblSources[Source],0)),"?"))</f>
        <v/>
      </c>
      <c r="L4104" s="63">
        <f>IF(tblMovement[[#This Row],[Destination]]="","",IFERROR(INDEX(tblDestinations[Type],MATCH(tblMovement[[#This Row],[Destination]],tblDestinations[Destination],0)),"?"))</f>
        <v/>
      </c>
      <c r="M4104" s="64">
        <f>IF(tblMovement[[#This Row],[Material]]="","",IF(LEFT(tblMovement[[#This Row],[Material]],3)="Ore",1,0))</f>
        <v/>
      </c>
      <c r="N4104" s="59">
        <f>IF(OR(tblMovement[[#This Row],[Tonnes_t]]="",tblMovement[[#This Row],[Grade_gpt]]=""),0,tblMovement[[#This Row],[Tonnes_t]]*tblMovement[[#This Row],[Grade_gpt]]/cfg_TroyOz)</f>
        <v/>
      </c>
      <c r="O4104" s="59">
        <f>IF(tblMovement[[#This Row],[Is_Ore]]=1,tblMovement[[#This Row],[Contained_oz]],0)</f>
        <v/>
      </c>
    </row>
    <row r="4105">
      <c r="A4105" s="54" t="n"/>
      <c r="B4105" s="61" t="n"/>
      <c r="C4105" s="61" t="n"/>
      <c r="D4105" s="61" t="n"/>
      <c r="E4105" s="61" t="n"/>
      <c r="F4105" s="55" t="n"/>
      <c r="G4105" s="56" t="n"/>
      <c r="H4105" s="55" t="n"/>
      <c r="I4105" s="62" t="n"/>
      <c r="J4105" s="58" t="n"/>
      <c r="K4105" s="63">
        <f>IF(tblMovement[[#This Row],[Source]]="","",IFERROR(INDEX(tblSources[Type],MATCH(tblMovement[[#This Row],[Source]],tblSources[Source],0)),"?"))</f>
        <v/>
      </c>
      <c r="L4105" s="63">
        <f>IF(tblMovement[[#This Row],[Destination]]="","",IFERROR(INDEX(tblDestinations[Type],MATCH(tblMovement[[#This Row],[Destination]],tblDestinations[Destination],0)),"?"))</f>
        <v/>
      </c>
      <c r="M4105" s="64">
        <f>IF(tblMovement[[#This Row],[Material]]="","",IF(LEFT(tblMovement[[#This Row],[Material]],3)="Ore",1,0))</f>
        <v/>
      </c>
      <c r="N4105" s="59">
        <f>IF(OR(tblMovement[[#This Row],[Tonnes_t]]="",tblMovement[[#This Row],[Grade_gpt]]=""),0,tblMovement[[#This Row],[Tonnes_t]]*tblMovement[[#This Row],[Grade_gpt]]/cfg_TroyOz)</f>
        <v/>
      </c>
      <c r="O4105" s="59">
        <f>IF(tblMovement[[#This Row],[Is_Ore]]=1,tblMovement[[#This Row],[Contained_oz]],0)</f>
        <v/>
      </c>
    </row>
    <row r="4106">
      <c r="A4106" s="54" t="n"/>
      <c r="B4106" s="61" t="n"/>
      <c r="C4106" s="61" t="n"/>
      <c r="D4106" s="61" t="n"/>
      <c r="E4106" s="61" t="n"/>
      <c r="F4106" s="55" t="n"/>
      <c r="G4106" s="56" t="n"/>
      <c r="H4106" s="55" t="n"/>
      <c r="I4106" s="62" t="n"/>
      <c r="J4106" s="58" t="n"/>
      <c r="K4106" s="63">
        <f>IF(tblMovement[[#This Row],[Source]]="","",IFERROR(INDEX(tblSources[Type],MATCH(tblMovement[[#This Row],[Source]],tblSources[Source],0)),"?"))</f>
        <v/>
      </c>
      <c r="L4106" s="63">
        <f>IF(tblMovement[[#This Row],[Destination]]="","",IFERROR(INDEX(tblDestinations[Type],MATCH(tblMovement[[#This Row],[Destination]],tblDestinations[Destination],0)),"?"))</f>
        <v/>
      </c>
      <c r="M4106" s="64">
        <f>IF(tblMovement[[#This Row],[Material]]="","",IF(LEFT(tblMovement[[#This Row],[Material]],3)="Ore",1,0))</f>
        <v/>
      </c>
      <c r="N4106" s="59">
        <f>IF(OR(tblMovement[[#This Row],[Tonnes_t]]="",tblMovement[[#This Row],[Grade_gpt]]=""),0,tblMovement[[#This Row],[Tonnes_t]]*tblMovement[[#This Row],[Grade_gpt]]/cfg_TroyOz)</f>
        <v/>
      </c>
      <c r="O4106" s="59">
        <f>IF(tblMovement[[#This Row],[Is_Ore]]=1,tblMovement[[#This Row],[Contained_oz]],0)</f>
        <v/>
      </c>
    </row>
    <row r="4107">
      <c r="A4107" s="54" t="n"/>
      <c r="B4107" s="61" t="n"/>
      <c r="C4107" s="61" t="n"/>
      <c r="D4107" s="61" t="n"/>
      <c r="E4107" s="61" t="n"/>
      <c r="F4107" s="55" t="n"/>
      <c r="G4107" s="56" t="n"/>
      <c r="H4107" s="55" t="n"/>
      <c r="I4107" s="62" t="n"/>
      <c r="J4107" s="58" t="n"/>
      <c r="K4107" s="63">
        <f>IF(tblMovement[[#This Row],[Source]]="","",IFERROR(INDEX(tblSources[Type],MATCH(tblMovement[[#This Row],[Source]],tblSources[Source],0)),"?"))</f>
        <v/>
      </c>
      <c r="L4107" s="63">
        <f>IF(tblMovement[[#This Row],[Destination]]="","",IFERROR(INDEX(tblDestinations[Type],MATCH(tblMovement[[#This Row],[Destination]],tblDestinations[Destination],0)),"?"))</f>
        <v/>
      </c>
      <c r="M4107" s="64">
        <f>IF(tblMovement[[#This Row],[Material]]="","",IF(LEFT(tblMovement[[#This Row],[Material]],3)="Ore",1,0))</f>
        <v/>
      </c>
      <c r="N4107" s="59">
        <f>IF(OR(tblMovement[[#This Row],[Tonnes_t]]="",tblMovement[[#This Row],[Grade_gpt]]=""),0,tblMovement[[#This Row],[Tonnes_t]]*tblMovement[[#This Row],[Grade_gpt]]/cfg_TroyOz)</f>
        <v/>
      </c>
      <c r="O4107" s="59">
        <f>IF(tblMovement[[#This Row],[Is_Ore]]=1,tblMovement[[#This Row],[Contained_oz]],0)</f>
        <v/>
      </c>
    </row>
    <row r="4108">
      <c r="A4108" s="54" t="n"/>
      <c r="B4108" s="61" t="n"/>
      <c r="C4108" s="61" t="n"/>
      <c r="D4108" s="61" t="n"/>
      <c r="E4108" s="61" t="n"/>
      <c r="F4108" s="55" t="n"/>
      <c r="G4108" s="56" t="n"/>
      <c r="H4108" s="55" t="n"/>
      <c r="I4108" s="62" t="n"/>
      <c r="J4108" s="58" t="n"/>
      <c r="K4108" s="63">
        <f>IF(tblMovement[[#This Row],[Source]]="","",IFERROR(INDEX(tblSources[Type],MATCH(tblMovement[[#This Row],[Source]],tblSources[Source],0)),"?"))</f>
        <v/>
      </c>
      <c r="L4108" s="63">
        <f>IF(tblMovement[[#This Row],[Destination]]="","",IFERROR(INDEX(tblDestinations[Type],MATCH(tblMovement[[#This Row],[Destination]],tblDestinations[Destination],0)),"?"))</f>
        <v/>
      </c>
      <c r="M4108" s="64">
        <f>IF(tblMovement[[#This Row],[Material]]="","",IF(LEFT(tblMovement[[#This Row],[Material]],3)="Ore",1,0))</f>
        <v/>
      </c>
      <c r="N4108" s="59">
        <f>IF(OR(tblMovement[[#This Row],[Tonnes_t]]="",tblMovement[[#This Row],[Grade_gpt]]=""),0,tblMovement[[#This Row],[Tonnes_t]]*tblMovement[[#This Row],[Grade_gpt]]/cfg_TroyOz)</f>
        <v/>
      </c>
      <c r="O4108" s="59">
        <f>IF(tblMovement[[#This Row],[Is_Ore]]=1,tblMovement[[#This Row],[Contained_oz]],0)</f>
        <v/>
      </c>
    </row>
    <row r="4109">
      <c r="A4109" s="54" t="n"/>
      <c r="B4109" s="61" t="n"/>
      <c r="C4109" s="61" t="n"/>
      <c r="D4109" s="61" t="n"/>
      <c r="E4109" s="61" t="n"/>
      <c r="F4109" s="55" t="n"/>
      <c r="G4109" s="56" t="n"/>
      <c r="H4109" s="55" t="n"/>
      <c r="I4109" s="62" t="n"/>
      <c r="J4109" s="58" t="n"/>
      <c r="K4109" s="63">
        <f>IF(tblMovement[[#This Row],[Source]]="","",IFERROR(INDEX(tblSources[Type],MATCH(tblMovement[[#This Row],[Source]],tblSources[Source],0)),"?"))</f>
        <v/>
      </c>
      <c r="L4109" s="63">
        <f>IF(tblMovement[[#This Row],[Destination]]="","",IFERROR(INDEX(tblDestinations[Type],MATCH(tblMovement[[#This Row],[Destination]],tblDestinations[Destination],0)),"?"))</f>
        <v/>
      </c>
      <c r="M4109" s="64">
        <f>IF(tblMovement[[#This Row],[Material]]="","",IF(LEFT(tblMovement[[#This Row],[Material]],3)="Ore",1,0))</f>
        <v/>
      </c>
      <c r="N4109" s="59">
        <f>IF(OR(tblMovement[[#This Row],[Tonnes_t]]="",tblMovement[[#This Row],[Grade_gpt]]=""),0,tblMovement[[#This Row],[Tonnes_t]]*tblMovement[[#This Row],[Grade_gpt]]/cfg_TroyOz)</f>
        <v/>
      </c>
      <c r="O4109" s="59">
        <f>IF(tblMovement[[#This Row],[Is_Ore]]=1,tblMovement[[#This Row],[Contained_oz]],0)</f>
        <v/>
      </c>
    </row>
    <row r="4110">
      <c r="A4110" s="54" t="n"/>
      <c r="B4110" s="61" t="n"/>
      <c r="C4110" s="61" t="n"/>
      <c r="D4110" s="61" t="n"/>
      <c r="E4110" s="61" t="n"/>
      <c r="F4110" s="55" t="n"/>
      <c r="G4110" s="56" t="n"/>
      <c r="H4110" s="55" t="n"/>
      <c r="I4110" s="62" t="n"/>
      <c r="J4110" s="58" t="n"/>
      <c r="K4110" s="63">
        <f>IF(tblMovement[[#This Row],[Source]]="","",IFERROR(INDEX(tblSources[Type],MATCH(tblMovement[[#This Row],[Source]],tblSources[Source],0)),"?"))</f>
        <v/>
      </c>
      <c r="L4110" s="63">
        <f>IF(tblMovement[[#This Row],[Destination]]="","",IFERROR(INDEX(tblDestinations[Type],MATCH(tblMovement[[#This Row],[Destination]],tblDestinations[Destination],0)),"?"))</f>
        <v/>
      </c>
      <c r="M4110" s="64">
        <f>IF(tblMovement[[#This Row],[Material]]="","",IF(LEFT(tblMovement[[#This Row],[Material]],3)="Ore",1,0))</f>
        <v/>
      </c>
      <c r="N4110" s="59">
        <f>IF(OR(tblMovement[[#This Row],[Tonnes_t]]="",tblMovement[[#This Row],[Grade_gpt]]=""),0,tblMovement[[#This Row],[Tonnes_t]]*tblMovement[[#This Row],[Grade_gpt]]/cfg_TroyOz)</f>
        <v/>
      </c>
      <c r="O4110" s="59">
        <f>IF(tblMovement[[#This Row],[Is_Ore]]=1,tblMovement[[#This Row],[Contained_oz]],0)</f>
        <v/>
      </c>
    </row>
    <row r="4111">
      <c r="A4111" s="54" t="n"/>
      <c r="B4111" s="61" t="n"/>
      <c r="C4111" s="61" t="n"/>
      <c r="D4111" s="61" t="n"/>
      <c r="E4111" s="61" t="n"/>
      <c r="F4111" s="55" t="n"/>
      <c r="G4111" s="56" t="n"/>
      <c r="H4111" s="55" t="n"/>
      <c r="I4111" s="62" t="n"/>
      <c r="J4111" s="58" t="n"/>
      <c r="K4111" s="63">
        <f>IF(tblMovement[[#This Row],[Source]]="","",IFERROR(INDEX(tblSources[Type],MATCH(tblMovement[[#This Row],[Source]],tblSources[Source],0)),"?"))</f>
        <v/>
      </c>
      <c r="L4111" s="63">
        <f>IF(tblMovement[[#This Row],[Destination]]="","",IFERROR(INDEX(tblDestinations[Type],MATCH(tblMovement[[#This Row],[Destination]],tblDestinations[Destination],0)),"?"))</f>
        <v/>
      </c>
      <c r="M4111" s="64">
        <f>IF(tblMovement[[#This Row],[Material]]="","",IF(LEFT(tblMovement[[#This Row],[Material]],3)="Ore",1,0))</f>
        <v/>
      </c>
      <c r="N4111" s="59">
        <f>IF(OR(tblMovement[[#This Row],[Tonnes_t]]="",tblMovement[[#This Row],[Grade_gpt]]=""),0,tblMovement[[#This Row],[Tonnes_t]]*tblMovement[[#This Row],[Grade_gpt]]/cfg_TroyOz)</f>
        <v/>
      </c>
      <c r="O4111" s="59">
        <f>IF(tblMovement[[#This Row],[Is_Ore]]=1,tblMovement[[#This Row],[Contained_oz]],0)</f>
        <v/>
      </c>
    </row>
    <row r="4112">
      <c r="A4112" s="54" t="n"/>
      <c r="B4112" s="61" t="n"/>
      <c r="C4112" s="61" t="n"/>
      <c r="D4112" s="61" t="n"/>
      <c r="E4112" s="61" t="n"/>
      <c r="F4112" s="55" t="n"/>
      <c r="G4112" s="56" t="n"/>
      <c r="H4112" s="55" t="n"/>
      <c r="I4112" s="62" t="n"/>
      <c r="J4112" s="58" t="n"/>
      <c r="K4112" s="63">
        <f>IF(tblMovement[[#This Row],[Source]]="","",IFERROR(INDEX(tblSources[Type],MATCH(tblMovement[[#This Row],[Source]],tblSources[Source],0)),"?"))</f>
        <v/>
      </c>
      <c r="L4112" s="63">
        <f>IF(tblMovement[[#This Row],[Destination]]="","",IFERROR(INDEX(tblDestinations[Type],MATCH(tblMovement[[#This Row],[Destination]],tblDestinations[Destination],0)),"?"))</f>
        <v/>
      </c>
      <c r="M4112" s="64">
        <f>IF(tblMovement[[#This Row],[Material]]="","",IF(LEFT(tblMovement[[#This Row],[Material]],3)="Ore",1,0))</f>
        <v/>
      </c>
      <c r="N4112" s="59">
        <f>IF(OR(tblMovement[[#This Row],[Tonnes_t]]="",tblMovement[[#This Row],[Grade_gpt]]=""),0,tblMovement[[#This Row],[Tonnes_t]]*tblMovement[[#This Row],[Grade_gpt]]/cfg_TroyOz)</f>
        <v/>
      </c>
      <c r="O4112" s="59">
        <f>IF(tblMovement[[#This Row],[Is_Ore]]=1,tblMovement[[#This Row],[Contained_oz]],0)</f>
        <v/>
      </c>
    </row>
    <row r="4113">
      <c r="A4113" s="54" t="n"/>
      <c r="B4113" s="61" t="n"/>
      <c r="C4113" s="61" t="n"/>
      <c r="D4113" s="61" t="n"/>
      <c r="E4113" s="61" t="n"/>
      <c r="F4113" s="55" t="n"/>
      <c r="G4113" s="56" t="n"/>
      <c r="H4113" s="55" t="n"/>
      <c r="I4113" s="62" t="n"/>
      <c r="J4113" s="58" t="n"/>
      <c r="K4113" s="63">
        <f>IF(tblMovement[[#This Row],[Source]]="","",IFERROR(INDEX(tblSources[Type],MATCH(tblMovement[[#This Row],[Source]],tblSources[Source],0)),"?"))</f>
        <v/>
      </c>
      <c r="L4113" s="63">
        <f>IF(tblMovement[[#This Row],[Destination]]="","",IFERROR(INDEX(tblDestinations[Type],MATCH(tblMovement[[#This Row],[Destination]],tblDestinations[Destination],0)),"?"))</f>
        <v/>
      </c>
      <c r="M4113" s="64">
        <f>IF(tblMovement[[#This Row],[Material]]="","",IF(LEFT(tblMovement[[#This Row],[Material]],3)="Ore",1,0))</f>
        <v/>
      </c>
      <c r="N4113" s="59">
        <f>IF(OR(tblMovement[[#This Row],[Tonnes_t]]="",tblMovement[[#This Row],[Grade_gpt]]=""),0,tblMovement[[#This Row],[Tonnes_t]]*tblMovement[[#This Row],[Grade_gpt]]/cfg_TroyOz)</f>
        <v/>
      </c>
      <c r="O4113" s="59">
        <f>IF(tblMovement[[#This Row],[Is_Ore]]=1,tblMovement[[#This Row],[Contained_oz]],0)</f>
        <v/>
      </c>
    </row>
    <row r="4114">
      <c r="A4114" s="54" t="n"/>
      <c r="B4114" s="61" t="n"/>
      <c r="C4114" s="61" t="n"/>
      <c r="D4114" s="61" t="n"/>
      <c r="E4114" s="61" t="n"/>
      <c r="F4114" s="55" t="n"/>
      <c r="G4114" s="56" t="n"/>
      <c r="H4114" s="55" t="n"/>
      <c r="I4114" s="62" t="n"/>
      <c r="J4114" s="58" t="n"/>
      <c r="K4114" s="63">
        <f>IF(tblMovement[[#This Row],[Source]]="","",IFERROR(INDEX(tblSources[Type],MATCH(tblMovement[[#This Row],[Source]],tblSources[Source],0)),"?"))</f>
        <v/>
      </c>
      <c r="L4114" s="63">
        <f>IF(tblMovement[[#This Row],[Destination]]="","",IFERROR(INDEX(tblDestinations[Type],MATCH(tblMovement[[#This Row],[Destination]],tblDestinations[Destination],0)),"?"))</f>
        <v/>
      </c>
      <c r="M4114" s="64">
        <f>IF(tblMovement[[#This Row],[Material]]="","",IF(LEFT(tblMovement[[#This Row],[Material]],3)="Ore",1,0))</f>
        <v/>
      </c>
      <c r="N4114" s="59">
        <f>IF(OR(tblMovement[[#This Row],[Tonnes_t]]="",tblMovement[[#This Row],[Grade_gpt]]=""),0,tblMovement[[#This Row],[Tonnes_t]]*tblMovement[[#This Row],[Grade_gpt]]/cfg_TroyOz)</f>
        <v/>
      </c>
      <c r="O4114" s="59">
        <f>IF(tblMovement[[#This Row],[Is_Ore]]=1,tblMovement[[#This Row],[Contained_oz]],0)</f>
        <v/>
      </c>
    </row>
    <row r="4115">
      <c r="A4115" s="54" t="n"/>
      <c r="B4115" s="61" t="n"/>
      <c r="C4115" s="61" t="n"/>
      <c r="D4115" s="61" t="n"/>
      <c r="E4115" s="61" t="n"/>
      <c r="F4115" s="55" t="n"/>
      <c r="G4115" s="56" t="n"/>
      <c r="H4115" s="55" t="n"/>
      <c r="I4115" s="62" t="n"/>
      <c r="J4115" s="58" t="n"/>
      <c r="K4115" s="63">
        <f>IF(tblMovement[[#This Row],[Source]]="","",IFERROR(INDEX(tblSources[Type],MATCH(tblMovement[[#This Row],[Source]],tblSources[Source],0)),"?"))</f>
        <v/>
      </c>
      <c r="L4115" s="63">
        <f>IF(tblMovement[[#This Row],[Destination]]="","",IFERROR(INDEX(tblDestinations[Type],MATCH(tblMovement[[#This Row],[Destination]],tblDestinations[Destination],0)),"?"))</f>
        <v/>
      </c>
      <c r="M4115" s="64">
        <f>IF(tblMovement[[#This Row],[Material]]="","",IF(LEFT(tblMovement[[#This Row],[Material]],3)="Ore",1,0))</f>
        <v/>
      </c>
      <c r="N4115" s="59">
        <f>IF(OR(tblMovement[[#This Row],[Tonnes_t]]="",tblMovement[[#This Row],[Grade_gpt]]=""),0,tblMovement[[#This Row],[Tonnes_t]]*tblMovement[[#This Row],[Grade_gpt]]/cfg_TroyOz)</f>
        <v/>
      </c>
      <c r="O4115" s="59">
        <f>IF(tblMovement[[#This Row],[Is_Ore]]=1,tblMovement[[#This Row],[Contained_oz]],0)</f>
        <v/>
      </c>
    </row>
    <row r="4116">
      <c r="A4116" s="54" t="n"/>
      <c r="B4116" s="61" t="n"/>
      <c r="C4116" s="61" t="n"/>
      <c r="D4116" s="61" t="n"/>
      <c r="E4116" s="61" t="n"/>
      <c r="F4116" s="55" t="n"/>
      <c r="G4116" s="56" t="n"/>
      <c r="H4116" s="55" t="n"/>
      <c r="I4116" s="62" t="n"/>
      <c r="J4116" s="58" t="n"/>
      <c r="K4116" s="63">
        <f>IF(tblMovement[[#This Row],[Source]]="","",IFERROR(INDEX(tblSources[Type],MATCH(tblMovement[[#This Row],[Source]],tblSources[Source],0)),"?"))</f>
        <v/>
      </c>
      <c r="L4116" s="63">
        <f>IF(tblMovement[[#This Row],[Destination]]="","",IFERROR(INDEX(tblDestinations[Type],MATCH(tblMovement[[#This Row],[Destination]],tblDestinations[Destination],0)),"?"))</f>
        <v/>
      </c>
      <c r="M4116" s="64">
        <f>IF(tblMovement[[#This Row],[Material]]="","",IF(LEFT(tblMovement[[#This Row],[Material]],3)="Ore",1,0))</f>
        <v/>
      </c>
      <c r="N4116" s="59">
        <f>IF(OR(tblMovement[[#This Row],[Tonnes_t]]="",tblMovement[[#This Row],[Grade_gpt]]=""),0,tblMovement[[#This Row],[Tonnes_t]]*tblMovement[[#This Row],[Grade_gpt]]/cfg_TroyOz)</f>
        <v/>
      </c>
      <c r="O4116" s="59">
        <f>IF(tblMovement[[#This Row],[Is_Ore]]=1,tblMovement[[#This Row],[Contained_oz]],0)</f>
        <v/>
      </c>
    </row>
    <row r="4117">
      <c r="A4117" s="54" t="n"/>
      <c r="B4117" s="61" t="n"/>
      <c r="C4117" s="61" t="n"/>
      <c r="D4117" s="61" t="n"/>
      <c r="E4117" s="61" t="n"/>
      <c r="F4117" s="55" t="n"/>
      <c r="G4117" s="56" t="n"/>
      <c r="H4117" s="55" t="n"/>
      <c r="I4117" s="62" t="n"/>
      <c r="J4117" s="58" t="n"/>
      <c r="K4117" s="63">
        <f>IF(tblMovement[[#This Row],[Source]]="","",IFERROR(INDEX(tblSources[Type],MATCH(tblMovement[[#This Row],[Source]],tblSources[Source],0)),"?"))</f>
        <v/>
      </c>
      <c r="L4117" s="63">
        <f>IF(tblMovement[[#This Row],[Destination]]="","",IFERROR(INDEX(tblDestinations[Type],MATCH(tblMovement[[#This Row],[Destination]],tblDestinations[Destination],0)),"?"))</f>
        <v/>
      </c>
      <c r="M4117" s="64">
        <f>IF(tblMovement[[#This Row],[Material]]="","",IF(LEFT(tblMovement[[#This Row],[Material]],3)="Ore",1,0))</f>
        <v/>
      </c>
      <c r="N4117" s="59">
        <f>IF(OR(tblMovement[[#This Row],[Tonnes_t]]="",tblMovement[[#This Row],[Grade_gpt]]=""),0,tblMovement[[#This Row],[Tonnes_t]]*tblMovement[[#This Row],[Grade_gpt]]/cfg_TroyOz)</f>
        <v/>
      </c>
      <c r="O4117" s="59">
        <f>IF(tblMovement[[#This Row],[Is_Ore]]=1,tblMovement[[#This Row],[Contained_oz]],0)</f>
        <v/>
      </c>
    </row>
    <row r="4118">
      <c r="A4118" s="54" t="n"/>
      <c r="B4118" s="61" t="n"/>
      <c r="C4118" s="61" t="n"/>
      <c r="D4118" s="61" t="n"/>
      <c r="E4118" s="61" t="n"/>
      <c r="F4118" s="55" t="n"/>
      <c r="G4118" s="56" t="n"/>
      <c r="H4118" s="55" t="n"/>
      <c r="I4118" s="62" t="n"/>
      <c r="J4118" s="58" t="n"/>
      <c r="K4118" s="63">
        <f>IF(tblMovement[[#This Row],[Source]]="","",IFERROR(INDEX(tblSources[Type],MATCH(tblMovement[[#This Row],[Source]],tblSources[Source],0)),"?"))</f>
        <v/>
      </c>
      <c r="L4118" s="63">
        <f>IF(tblMovement[[#This Row],[Destination]]="","",IFERROR(INDEX(tblDestinations[Type],MATCH(tblMovement[[#This Row],[Destination]],tblDestinations[Destination],0)),"?"))</f>
        <v/>
      </c>
      <c r="M4118" s="64">
        <f>IF(tblMovement[[#This Row],[Material]]="","",IF(LEFT(tblMovement[[#This Row],[Material]],3)="Ore",1,0))</f>
        <v/>
      </c>
      <c r="N4118" s="59">
        <f>IF(OR(tblMovement[[#This Row],[Tonnes_t]]="",tblMovement[[#This Row],[Grade_gpt]]=""),0,tblMovement[[#This Row],[Tonnes_t]]*tblMovement[[#This Row],[Grade_gpt]]/cfg_TroyOz)</f>
        <v/>
      </c>
      <c r="O4118" s="59">
        <f>IF(tblMovement[[#This Row],[Is_Ore]]=1,tblMovement[[#This Row],[Contained_oz]],0)</f>
        <v/>
      </c>
    </row>
    <row r="4119">
      <c r="A4119" s="54" t="n"/>
      <c r="B4119" s="61" t="n"/>
      <c r="C4119" s="61" t="n"/>
      <c r="D4119" s="61" t="n"/>
      <c r="E4119" s="61" t="n"/>
      <c r="F4119" s="55" t="n"/>
      <c r="G4119" s="56" t="n"/>
      <c r="H4119" s="55" t="n"/>
      <c r="I4119" s="62" t="n"/>
      <c r="J4119" s="58" t="n"/>
      <c r="K4119" s="63">
        <f>IF(tblMovement[[#This Row],[Source]]="","",IFERROR(INDEX(tblSources[Type],MATCH(tblMovement[[#This Row],[Source]],tblSources[Source],0)),"?"))</f>
        <v/>
      </c>
      <c r="L4119" s="63">
        <f>IF(tblMovement[[#This Row],[Destination]]="","",IFERROR(INDEX(tblDestinations[Type],MATCH(tblMovement[[#This Row],[Destination]],tblDestinations[Destination],0)),"?"))</f>
        <v/>
      </c>
      <c r="M4119" s="64">
        <f>IF(tblMovement[[#This Row],[Material]]="","",IF(LEFT(tblMovement[[#This Row],[Material]],3)="Ore",1,0))</f>
        <v/>
      </c>
      <c r="N4119" s="59">
        <f>IF(OR(tblMovement[[#This Row],[Tonnes_t]]="",tblMovement[[#This Row],[Grade_gpt]]=""),0,tblMovement[[#This Row],[Tonnes_t]]*tblMovement[[#This Row],[Grade_gpt]]/cfg_TroyOz)</f>
        <v/>
      </c>
      <c r="O4119" s="59">
        <f>IF(tblMovement[[#This Row],[Is_Ore]]=1,tblMovement[[#This Row],[Contained_oz]],0)</f>
        <v/>
      </c>
    </row>
    <row r="4120">
      <c r="A4120" s="54" t="n"/>
      <c r="B4120" s="61" t="n"/>
      <c r="C4120" s="61" t="n"/>
      <c r="D4120" s="61" t="n"/>
      <c r="E4120" s="61" t="n"/>
      <c r="F4120" s="55" t="n"/>
      <c r="G4120" s="56" t="n"/>
      <c r="H4120" s="55" t="n"/>
      <c r="I4120" s="62" t="n"/>
      <c r="J4120" s="58" t="n"/>
      <c r="K4120" s="63">
        <f>IF(tblMovement[[#This Row],[Source]]="","",IFERROR(INDEX(tblSources[Type],MATCH(tblMovement[[#This Row],[Source]],tblSources[Source],0)),"?"))</f>
        <v/>
      </c>
      <c r="L4120" s="63">
        <f>IF(tblMovement[[#This Row],[Destination]]="","",IFERROR(INDEX(tblDestinations[Type],MATCH(tblMovement[[#This Row],[Destination]],tblDestinations[Destination],0)),"?"))</f>
        <v/>
      </c>
      <c r="M4120" s="64">
        <f>IF(tblMovement[[#This Row],[Material]]="","",IF(LEFT(tblMovement[[#This Row],[Material]],3)="Ore",1,0))</f>
        <v/>
      </c>
      <c r="N4120" s="59">
        <f>IF(OR(tblMovement[[#This Row],[Tonnes_t]]="",tblMovement[[#This Row],[Grade_gpt]]=""),0,tblMovement[[#This Row],[Tonnes_t]]*tblMovement[[#This Row],[Grade_gpt]]/cfg_TroyOz)</f>
        <v/>
      </c>
      <c r="O4120" s="59">
        <f>IF(tblMovement[[#This Row],[Is_Ore]]=1,tblMovement[[#This Row],[Contained_oz]],0)</f>
        <v/>
      </c>
    </row>
    <row r="4121">
      <c r="A4121" s="54" t="n"/>
      <c r="B4121" s="61" t="n"/>
      <c r="C4121" s="61" t="n"/>
      <c r="D4121" s="61" t="n"/>
      <c r="E4121" s="61" t="n"/>
      <c r="F4121" s="55" t="n"/>
      <c r="G4121" s="56" t="n"/>
      <c r="H4121" s="55" t="n"/>
      <c r="I4121" s="62" t="n"/>
      <c r="J4121" s="58" t="n"/>
      <c r="K4121" s="63">
        <f>IF(tblMovement[[#This Row],[Source]]="","",IFERROR(INDEX(tblSources[Type],MATCH(tblMovement[[#This Row],[Source]],tblSources[Source],0)),"?"))</f>
        <v/>
      </c>
      <c r="L4121" s="63">
        <f>IF(tblMovement[[#This Row],[Destination]]="","",IFERROR(INDEX(tblDestinations[Type],MATCH(tblMovement[[#This Row],[Destination]],tblDestinations[Destination],0)),"?"))</f>
        <v/>
      </c>
      <c r="M4121" s="64">
        <f>IF(tblMovement[[#This Row],[Material]]="","",IF(LEFT(tblMovement[[#This Row],[Material]],3)="Ore",1,0))</f>
        <v/>
      </c>
      <c r="N4121" s="59">
        <f>IF(OR(tblMovement[[#This Row],[Tonnes_t]]="",tblMovement[[#This Row],[Grade_gpt]]=""),0,tblMovement[[#This Row],[Tonnes_t]]*tblMovement[[#This Row],[Grade_gpt]]/cfg_TroyOz)</f>
        <v/>
      </c>
      <c r="O4121" s="59">
        <f>IF(tblMovement[[#This Row],[Is_Ore]]=1,tblMovement[[#This Row],[Contained_oz]],0)</f>
        <v/>
      </c>
    </row>
    <row r="4122">
      <c r="A4122" s="54" t="n"/>
      <c r="B4122" s="61" t="n"/>
      <c r="C4122" s="61" t="n"/>
      <c r="D4122" s="61" t="n"/>
      <c r="E4122" s="61" t="n"/>
      <c r="F4122" s="55" t="n"/>
      <c r="G4122" s="56" t="n"/>
      <c r="H4122" s="55" t="n"/>
      <c r="I4122" s="62" t="n"/>
      <c r="J4122" s="58" t="n"/>
      <c r="K4122" s="63">
        <f>IF(tblMovement[[#This Row],[Source]]="","",IFERROR(INDEX(tblSources[Type],MATCH(tblMovement[[#This Row],[Source]],tblSources[Source],0)),"?"))</f>
        <v/>
      </c>
      <c r="L4122" s="63">
        <f>IF(tblMovement[[#This Row],[Destination]]="","",IFERROR(INDEX(tblDestinations[Type],MATCH(tblMovement[[#This Row],[Destination]],tblDestinations[Destination],0)),"?"))</f>
        <v/>
      </c>
      <c r="M4122" s="64">
        <f>IF(tblMovement[[#This Row],[Material]]="","",IF(LEFT(tblMovement[[#This Row],[Material]],3)="Ore",1,0))</f>
        <v/>
      </c>
      <c r="N4122" s="59">
        <f>IF(OR(tblMovement[[#This Row],[Tonnes_t]]="",tblMovement[[#This Row],[Grade_gpt]]=""),0,tblMovement[[#This Row],[Tonnes_t]]*tblMovement[[#This Row],[Grade_gpt]]/cfg_TroyOz)</f>
        <v/>
      </c>
      <c r="O4122" s="59">
        <f>IF(tblMovement[[#This Row],[Is_Ore]]=1,tblMovement[[#This Row],[Contained_oz]],0)</f>
        <v/>
      </c>
    </row>
    <row r="4123">
      <c r="A4123" s="54" t="n"/>
      <c r="B4123" s="61" t="n"/>
      <c r="C4123" s="61" t="n"/>
      <c r="D4123" s="61" t="n"/>
      <c r="E4123" s="61" t="n"/>
      <c r="F4123" s="55" t="n"/>
      <c r="G4123" s="56" t="n"/>
      <c r="H4123" s="55" t="n"/>
      <c r="I4123" s="62" t="n"/>
      <c r="J4123" s="58" t="n"/>
      <c r="K4123" s="63">
        <f>IF(tblMovement[[#This Row],[Source]]="","",IFERROR(INDEX(tblSources[Type],MATCH(tblMovement[[#This Row],[Source]],tblSources[Source],0)),"?"))</f>
        <v/>
      </c>
      <c r="L4123" s="63">
        <f>IF(tblMovement[[#This Row],[Destination]]="","",IFERROR(INDEX(tblDestinations[Type],MATCH(tblMovement[[#This Row],[Destination]],tblDestinations[Destination],0)),"?"))</f>
        <v/>
      </c>
      <c r="M4123" s="64">
        <f>IF(tblMovement[[#This Row],[Material]]="","",IF(LEFT(tblMovement[[#This Row],[Material]],3)="Ore",1,0))</f>
        <v/>
      </c>
      <c r="N4123" s="59">
        <f>IF(OR(tblMovement[[#This Row],[Tonnes_t]]="",tblMovement[[#This Row],[Grade_gpt]]=""),0,tblMovement[[#This Row],[Tonnes_t]]*tblMovement[[#This Row],[Grade_gpt]]/cfg_TroyOz)</f>
        <v/>
      </c>
      <c r="O4123" s="59">
        <f>IF(tblMovement[[#This Row],[Is_Ore]]=1,tblMovement[[#This Row],[Contained_oz]],0)</f>
        <v/>
      </c>
    </row>
    <row r="4124">
      <c r="A4124" s="54" t="n"/>
      <c r="B4124" s="61" t="n"/>
      <c r="C4124" s="61" t="n"/>
      <c r="D4124" s="61" t="n"/>
      <c r="E4124" s="61" t="n"/>
      <c r="F4124" s="55" t="n"/>
      <c r="G4124" s="56" t="n"/>
      <c r="H4124" s="55" t="n"/>
      <c r="I4124" s="62" t="n"/>
      <c r="J4124" s="58" t="n"/>
      <c r="K4124" s="63">
        <f>IF(tblMovement[[#This Row],[Source]]="","",IFERROR(INDEX(tblSources[Type],MATCH(tblMovement[[#This Row],[Source]],tblSources[Source],0)),"?"))</f>
        <v/>
      </c>
      <c r="L4124" s="63">
        <f>IF(tblMovement[[#This Row],[Destination]]="","",IFERROR(INDEX(tblDestinations[Type],MATCH(tblMovement[[#This Row],[Destination]],tblDestinations[Destination],0)),"?"))</f>
        <v/>
      </c>
      <c r="M4124" s="64">
        <f>IF(tblMovement[[#This Row],[Material]]="","",IF(LEFT(tblMovement[[#This Row],[Material]],3)="Ore",1,0))</f>
        <v/>
      </c>
      <c r="N4124" s="59">
        <f>IF(OR(tblMovement[[#This Row],[Tonnes_t]]="",tblMovement[[#This Row],[Grade_gpt]]=""),0,tblMovement[[#This Row],[Tonnes_t]]*tblMovement[[#This Row],[Grade_gpt]]/cfg_TroyOz)</f>
        <v/>
      </c>
      <c r="O4124" s="59">
        <f>IF(tblMovement[[#This Row],[Is_Ore]]=1,tblMovement[[#This Row],[Contained_oz]],0)</f>
        <v/>
      </c>
    </row>
    <row r="4125">
      <c r="A4125" s="54" t="n"/>
      <c r="B4125" s="61" t="n"/>
      <c r="C4125" s="61" t="n"/>
      <c r="D4125" s="61" t="n"/>
      <c r="E4125" s="61" t="n"/>
      <c r="F4125" s="55" t="n"/>
      <c r="G4125" s="56" t="n"/>
      <c r="H4125" s="55" t="n"/>
      <c r="I4125" s="62" t="n"/>
      <c r="J4125" s="58" t="n"/>
      <c r="K4125" s="63">
        <f>IF(tblMovement[[#This Row],[Source]]="","",IFERROR(INDEX(tblSources[Type],MATCH(tblMovement[[#This Row],[Source]],tblSources[Source],0)),"?"))</f>
        <v/>
      </c>
      <c r="L4125" s="63">
        <f>IF(tblMovement[[#This Row],[Destination]]="","",IFERROR(INDEX(tblDestinations[Type],MATCH(tblMovement[[#This Row],[Destination]],tblDestinations[Destination],0)),"?"))</f>
        <v/>
      </c>
      <c r="M4125" s="64">
        <f>IF(tblMovement[[#This Row],[Material]]="","",IF(LEFT(tblMovement[[#This Row],[Material]],3)="Ore",1,0))</f>
        <v/>
      </c>
      <c r="N4125" s="59">
        <f>IF(OR(tblMovement[[#This Row],[Tonnes_t]]="",tblMovement[[#This Row],[Grade_gpt]]=""),0,tblMovement[[#This Row],[Tonnes_t]]*tblMovement[[#This Row],[Grade_gpt]]/cfg_TroyOz)</f>
        <v/>
      </c>
      <c r="O4125" s="59">
        <f>IF(tblMovement[[#This Row],[Is_Ore]]=1,tblMovement[[#This Row],[Contained_oz]],0)</f>
        <v/>
      </c>
    </row>
    <row r="4126">
      <c r="A4126" s="54" t="n"/>
      <c r="B4126" s="61" t="n"/>
      <c r="C4126" s="61" t="n"/>
      <c r="D4126" s="61" t="n"/>
      <c r="E4126" s="61" t="n"/>
      <c r="F4126" s="55" t="n"/>
      <c r="G4126" s="56" t="n"/>
      <c r="H4126" s="55" t="n"/>
      <c r="I4126" s="62" t="n"/>
      <c r="J4126" s="58" t="n"/>
      <c r="K4126" s="63">
        <f>IF(tblMovement[[#This Row],[Source]]="","",IFERROR(INDEX(tblSources[Type],MATCH(tblMovement[[#This Row],[Source]],tblSources[Source],0)),"?"))</f>
        <v/>
      </c>
      <c r="L4126" s="63">
        <f>IF(tblMovement[[#This Row],[Destination]]="","",IFERROR(INDEX(tblDestinations[Type],MATCH(tblMovement[[#This Row],[Destination]],tblDestinations[Destination],0)),"?"))</f>
        <v/>
      </c>
      <c r="M4126" s="64">
        <f>IF(tblMovement[[#This Row],[Material]]="","",IF(LEFT(tblMovement[[#This Row],[Material]],3)="Ore",1,0))</f>
        <v/>
      </c>
      <c r="N4126" s="59">
        <f>IF(OR(tblMovement[[#This Row],[Tonnes_t]]="",tblMovement[[#This Row],[Grade_gpt]]=""),0,tblMovement[[#This Row],[Tonnes_t]]*tblMovement[[#This Row],[Grade_gpt]]/cfg_TroyOz)</f>
        <v/>
      </c>
      <c r="O4126" s="59">
        <f>IF(tblMovement[[#This Row],[Is_Ore]]=1,tblMovement[[#This Row],[Contained_oz]],0)</f>
        <v/>
      </c>
    </row>
    <row r="4127">
      <c r="A4127" s="54" t="n"/>
      <c r="B4127" s="61" t="n"/>
      <c r="C4127" s="61" t="n"/>
      <c r="D4127" s="61" t="n"/>
      <c r="E4127" s="61" t="n"/>
      <c r="F4127" s="55" t="n"/>
      <c r="G4127" s="56" t="n"/>
      <c r="H4127" s="55" t="n"/>
      <c r="I4127" s="62" t="n"/>
      <c r="J4127" s="58" t="n"/>
      <c r="K4127" s="63">
        <f>IF(tblMovement[[#This Row],[Source]]="","",IFERROR(INDEX(tblSources[Type],MATCH(tblMovement[[#This Row],[Source]],tblSources[Source],0)),"?"))</f>
        <v/>
      </c>
      <c r="L4127" s="63">
        <f>IF(tblMovement[[#This Row],[Destination]]="","",IFERROR(INDEX(tblDestinations[Type],MATCH(tblMovement[[#This Row],[Destination]],tblDestinations[Destination],0)),"?"))</f>
        <v/>
      </c>
      <c r="M4127" s="64">
        <f>IF(tblMovement[[#This Row],[Material]]="","",IF(LEFT(tblMovement[[#This Row],[Material]],3)="Ore",1,0))</f>
        <v/>
      </c>
      <c r="N4127" s="59">
        <f>IF(OR(tblMovement[[#This Row],[Tonnes_t]]="",tblMovement[[#This Row],[Grade_gpt]]=""),0,tblMovement[[#This Row],[Tonnes_t]]*tblMovement[[#This Row],[Grade_gpt]]/cfg_TroyOz)</f>
        <v/>
      </c>
      <c r="O4127" s="59">
        <f>IF(tblMovement[[#This Row],[Is_Ore]]=1,tblMovement[[#This Row],[Contained_oz]],0)</f>
        <v/>
      </c>
    </row>
    <row r="4128">
      <c r="A4128" s="54" t="n"/>
      <c r="B4128" s="61" t="n"/>
      <c r="C4128" s="61" t="n"/>
      <c r="D4128" s="61" t="n"/>
      <c r="E4128" s="61" t="n"/>
      <c r="F4128" s="55" t="n"/>
      <c r="G4128" s="56" t="n"/>
      <c r="H4128" s="55" t="n"/>
      <c r="I4128" s="62" t="n"/>
      <c r="J4128" s="58" t="n"/>
      <c r="K4128" s="63">
        <f>IF(tblMovement[[#This Row],[Source]]="","",IFERROR(INDEX(tblSources[Type],MATCH(tblMovement[[#This Row],[Source]],tblSources[Source],0)),"?"))</f>
        <v/>
      </c>
      <c r="L4128" s="63">
        <f>IF(tblMovement[[#This Row],[Destination]]="","",IFERROR(INDEX(tblDestinations[Type],MATCH(tblMovement[[#This Row],[Destination]],tblDestinations[Destination],0)),"?"))</f>
        <v/>
      </c>
      <c r="M4128" s="64">
        <f>IF(tblMovement[[#This Row],[Material]]="","",IF(LEFT(tblMovement[[#This Row],[Material]],3)="Ore",1,0))</f>
        <v/>
      </c>
      <c r="N4128" s="59">
        <f>IF(OR(tblMovement[[#This Row],[Tonnes_t]]="",tblMovement[[#This Row],[Grade_gpt]]=""),0,tblMovement[[#This Row],[Tonnes_t]]*tblMovement[[#This Row],[Grade_gpt]]/cfg_TroyOz)</f>
        <v/>
      </c>
      <c r="O4128" s="59">
        <f>IF(tblMovement[[#This Row],[Is_Ore]]=1,tblMovement[[#This Row],[Contained_oz]],0)</f>
        <v/>
      </c>
    </row>
    <row r="4129">
      <c r="A4129" s="54" t="n"/>
      <c r="B4129" s="61" t="n"/>
      <c r="C4129" s="61" t="n"/>
      <c r="D4129" s="61" t="n"/>
      <c r="E4129" s="61" t="n"/>
      <c r="F4129" s="55" t="n"/>
      <c r="G4129" s="56" t="n"/>
      <c r="H4129" s="55" t="n"/>
      <c r="I4129" s="62" t="n"/>
      <c r="J4129" s="58" t="n"/>
      <c r="K4129" s="63">
        <f>IF(tblMovement[[#This Row],[Source]]="","",IFERROR(INDEX(tblSources[Type],MATCH(tblMovement[[#This Row],[Source]],tblSources[Source],0)),"?"))</f>
        <v/>
      </c>
      <c r="L4129" s="63">
        <f>IF(tblMovement[[#This Row],[Destination]]="","",IFERROR(INDEX(tblDestinations[Type],MATCH(tblMovement[[#This Row],[Destination]],tblDestinations[Destination],0)),"?"))</f>
        <v/>
      </c>
      <c r="M4129" s="64">
        <f>IF(tblMovement[[#This Row],[Material]]="","",IF(LEFT(tblMovement[[#This Row],[Material]],3)="Ore",1,0))</f>
        <v/>
      </c>
      <c r="N4129" s="59">
        <f>IF(OR(tblMovement[[#This Row],[Tonnes_t]]="",tblMovement[[#This Row],[Grade_gpt]]=""),0,tblMovement[[#This Row],[Tonnes_t]]*tblMovement[[#This Row],[Grade_gpt]]/cfg_TroyOz)</f>
        <v/>
      </c>
      <c r="O4129" s="59">
        <f>IF(tblMovement[[#This Row],[Is_Ore]]=1,tblMovement[[#This Row],[Contained_oz]],0)</f>
        <v/>
      </c>
    </row>
    <row r="4130">
      <c r="A4130" s="54" t="n"/>
      <c r="B4130" s="61" t="n"/>
      <c r="C4130" s="61" t="n"/>
      <c r="D4130" s="61" t="n"/>
      <c r="E4130" s="61" t="n"/>
      <c r="F4130" s="55" t="n"/>
      <c r="G4130" s="56" t="n"/>
      <c r="H4130" s="55" t="n"/>
      <c r="I4130" s="62" t="n"/>
      <c r="J4130" s="58" t="n"/>
      <c r="K4130" s="63">
        <f>IF(tblMovement[[#This Row],[Source]]="","",IFERROR(INDEX(tblSources[Type],MATCH(tblMovement[[#This Row],[Source]],tblSources[Source],0)),"?"))</f>
        <v/>
      </c>
      <c r="L4130" s="63">
        <f>IF(tblMovement[[#This Row],[Destination]]="","",IFERROR(INDEX(tblDestinations[Type],MATCH(tblMovement[[#This Row],[Destination]],tblDestinations[Destination],0)),"?"))</f>
        <v/>
      </c>
      <c r="M4130" s="64">
        <f>IF(tblMovement[[#This Row],[Material]]="","",IF(LEFT(tblMovement[[#This Row],[Material]],3)="Ore",1,0))</f>
        <v/>
      </c>
      <c r="N4130" s="59">
        <f>IF(OR(tblMovement[[#This Row],[Tonnes_t]]="",tblMovement[[#This Row],[Grade_gpt]]=""),0,tblMovement[[#This Row],[Tonnes_t]]*tblMovement[[#This Row],[Grade_gpt]]/cfg_TroyOz)</f>
        <v/>
      </c>
      <c r="O4130" s="59">
        <f>IF(tblMovement[[#This Row],[Is_Ore]]=1,tblMovement[[#This Row],[Contained_oz]],0)</f>
        <v/>
      </c>
    </row>
    <row r="4131">
      <c r="A4131" s="54" t="n"/>
      <c r="B4131" s="61" t="n"/>
      <c r="C4131" s="61" t="n"/>
      <c r="D4131" s="61" t="n"/>
      <c r="E4131" s="61" t="n"/>
      <c r="F4131" s="55" t="n"/>
      <c r="G4131" s="56" t="n"/>
      <c r="H4131" s="55" t="n"/>
      <c r="I4131" s="62" t="n"/>
      <c r="J4131" s="58" t="n"/>
      <c r="K4131" s="63">
        <f>IF(tblMovement[[#This Row],[Source]]="","",IFERROR(INDEX(tblSources[Type],MATCH(tblMovement[[#This Row],[Source]],tblSources[Source],0)),"?"))</f>
        <v/>
      </c>
      <c r="L4131" s="63">
        <f>IF(tblMovement[[#This Row],[Destination]]="","",IFERROR(INDEX(tblDestinations[Type],MATCH(tblMovement[[#This Row],[Destination]],tblDestinations[Destination],0)),"?"))</f>
        <v/>
      </c>
      <c r="M4131" s="64">
        <f>IF(tblMovement[[#This Row],[Material]]="","",IF(LEFT(tblMovement[[#This Row],[Material]],3)="Ore",1,0))</f>
        <v/>
      </c>
      <c r="N4131" s="59">
        <f>IF(OR(tblMovement[[#This Row],[Tonnes_t]]="",tblMovement[[#This Row],[Grade_gpt]]=""),0,tblMovement[[#This Row],[Tonnes_t]]*tblMovement[[#This Row],[Grade_gpt]]/cfg_TroyOz)</f>
        <v/>
      </c>
      <c r="O4131" s="59">
        <f>IF(tblMovement[[#This Row],[Is_Ore]]=1,tblMovement[[#This Row],[Contained_oz]],0)</f>
        <v/>
      </c>
    </row>
    <row r="4132">
      <c r="A4132" s="54" t="n"/>
      <c r="B4132" s="61" t="n"/>
      <c r="C4132" s="61" t="n"/>
      <c r="D4132" s="61" t="n"/>
      <c r="E4132" s="61" t="n"/>
      <c r="F4132" s="55" t="n"/>
      <c r="G4132" s="56" t="n"/>
      <c r="H4132" s="55" t="n"/>
      <c r="I4132" s="62" t="n"/>
      <c r="J4132" s="58" t="n"/>
      <c r="K4132" s="63">
        <f>IF(tblMovement[[#This Row],[Source]]="","",IFERROR(INDEX(tblSources[Type],MATCH(tblMovement[[#This Row],[Source]],tblSources[Source],0)),"?"))</f>
        <v/>
      </c>
      <c r="L4132" s="63">
        <f>IF(tblMovement[[#This Row],[Destination]]="","",IFERROR(INDEX(tblDestinations[Type],MATCH(tblMovement[[#This Row],[Destination]],tblDestinations[Destination],0)),"?"))</f>
        <v/>
      </c>
      <c r="M4132" s="64">
        <f>IF(tblMovement[[#This Row],[Material]]="","",IF(LEFT(tblMovement[[#This Row],[Material]],3)="Ore",1,0))</f>
        <v/>
      </c>
      <c r="N4132" s="59">
        <f>IF(OR(tblMovement[[#This Row],[Tonnes_t]]="",tblMovement[[#This Row],[Grade_gpt]]=""),0,tblMovement[[#This Row],[Tonnes_t]]*tblMovement[[#This Row],[Grade_gpt]]/cfg_TroyOz)</f>
        <v/>
      </c>
      <c r="O4132" s="59">
        <f>IF(tblMovement[[#This Row],[Is_Ore]]=1,tblMovement[[#This Row],[Contained_oz]],0)</f>
        <v/>
      </c>
    </row>
    <row r="4133">
      <c r="A4133" s="54" t="n"/>
      <c r="B4133" s="61" t="n"/>
      <c r="C4133" s="61" t="n"/>
      <c r="D4133" s="61" t="n"/>
      <c r="E4133" s="61" t="n"/>
      <c r="F4133" s="55" t="n"/>
      <c r="G4133" s="56" t="n"/>
      <c r="H4133" s="55" t="n"/>
      <c r="I4133" s="62" t="n"/>
      <c r="J4133" s="58" t="n"/>
      <c r="K4133" s="63">
        <f>IF(tblMovement[[#This Row],[Source]]="","",IFERROR(INDEX(tblSources[Type],MATCH(tblMovement[[#This Row],[Source]],tblSources[Source],0)),"?"))</f>
        <v/>
      </c>
      <c r="L4133" s="63">
        <f>IF(tblMovement[[#This Row],[Destination]]="","",IFERROR(INDEX(tblDestinations[Type],MATCH(tblMovement[[#This Row],[Destination]],tblDestinations[Destination],0)),"?"))</f>
        <v/>
      </c>
      <c r="M4133" s="64">
        <f>IF(tblMovement[[#This Row],[Material]]="","",IF(LEFT(tblMovement[[#This Row],[Material]],3)="Ore",1,0))</f>
        <v/>
      </c>
      <c r="N4133" s="59">
        <f>IF(OR(tblMovement[[#This Row],[Tonnes_t]]="",tblMovement[[#This Row],[Grade_gpt]]=""),0,tblMovement[[#This Row],[Tonnes_t]]*tblMovement[[#This Row],[Grade_gpt]]/cfg_TroyOz)</f>
        <v/>
      </c>
      <c r="O4133" s="59">
        <f>IF(tblMovement[[#This Row],[Is_Ore]]=1,tblMovement[[#This Row],[Contained_oz]],0)</f>
        <v/>
      </c>
    </row>
    <row r="4134">
      <c r="A4134" s="54" t="n"/>
      <c r="B4134" s="61" t="n"/>
      <c r="C4134" s="61" t="n"/>
      <c r="D4134" s="61" t="n"/>
      <c r="E4134" s="61" t="n"/>
      <c r="F4134" s="55" t="n"/>
      <c r="G4134" s="56" t="n"/>
      <c r="H4134" s="55" t="n"/>
      <c r="I4134" s="62" t="n"/>
      <c r="J4134" s="58" t="n"/>
      <c r="K4134" s="63">
        <f>IF(tblMovement[[#This Row],[Source]]="","",IFERROR(INDEX(tblSources[Type],MATCH(tblMovement[[#This Row],[Source]],tblSources[Source],0)),"?"))</f>
        <v/>
      </c>
      <c r="L4134" s="63">
        <f>IF(tblMovement[[#This Row],[Destination]]="","",IFERROR(INDEX(tblDestinations[Type],MATCH(tblMovement[[#This Row],[Destination]],tblDestinations[Destination],0)),"?"))</f>
        <v/>
      </c>
      <c r="M4134" s="64">
        <f>IF(tblMovement[[#This Row],[Material]]="","",IF(LEFT(tblMovement[[#This Row],[Material]],3)="Ore",1,0))</f>
        <v/>
      </c>
      <c r="N4134" s="59">
        <f>IF(OR(tblMovement[[#This Row],[Tonnes_t]]="",tblMovement[[#This Row],[Grade_gpt]]=""),0,tblMovement[[#This Row],[Tonnes_t]]*tblMovement[[#This Row],[Grade_gpt]]/cfg_TroyOz)</f>
        <v/>
      </c>
      <c r="O4134" s="59">
        <f>IF(tblMovement[[#This Row],[Is_Ore]]=1,tblMovement[[#This Row],[Contained_oz]],0)</f>
        <v/>
      </c>
    </row>
    <row r="4135">
      <c r="A4135" s="54" t="n"/>
      <c r="B4135" s="61" t="n"/>
      <c r="C4135" s="61" t="n"/>
      <c r="D4135" s="61" t="n"/>
      <c r="E4135" s="61" t="n"/>
      <c r="F4135" s="55" t="n"/>
      <c r="G4135" s="56" t="n"/>
      <c r="H4135" s="55" t="n"/>
      <c r="I4135" s="62" t="n"/>
      <c r="J4135" s="58" t="n"/>
      <c r="K4135" s="63">
        <f>IF(tblMovement[[#This Row],[Source]]="","",IFERROR(INDEX(tblSources[Type],MATCH(tblMovement[[#This Row],[Source]],tblSources[Source],0)),"?"))</f>
        <v/>
      </c>
      <c r="L4135" s="63">
        <f>IF(tblMovement[[#This Row],[Destination]]="","",IFERROR(INDEX(tblDestinations[Type],MATCH(tblMovement[[#This Row],[Destination]],tblDestinations[Destination],0)),"?"))</f>
        <v/>
      </c>
      <c r="M4135" s="64">
        <f>IF(tblMovement[[#This Row],[Material]]="","",IF(LEFT(tblMovement[[#This Row],[Material]],3)="Ore",1,0))</f>
        <v/>
      </c>
      <c r="N4135" s="59">
        <f>IF(OR(tblMovement[[#This Row],[Tonnes_t]]="",tblMovement[[#This Row],[Grade_gpt]]=""),0,tblMovement[[#This Row],[Tonnes_t]]*tblMovement[[#This Row],[Grade_gpt]]/cfg_TroyOz)</f>
        <v/>
      </c>
      <c r="O4135" s="59">
        <f>IF(tblMovement[[#This Row],[Is_Ore]]=1,tblMovement[[#This Row],[Contained_oz]],0)</f>
        <v/>
      </c>
    </row>
    <row r="4136">
      <c r="A4136" s="54" t="n"/>
      <c r="B4136" s="61" t="n"/>
      <c r="C4136" s="61" t="n"/>
      <c r="D4136" s="61" t="n"/>
      <c r="E4136" s="61" t="n"/>
      <c r="F4136" s="55" t="n"/>
      <c r="G4136" s="56" t="n"/>
      <c r="H4136" s="55" t="n"/>
      <c r="I4136" s="62" t="n"/>
      <c r="J4136" s="58" t="n"/>
      <c r="K4136" s="63">
        <f>IF(tblMovement[[#This Row],[Source]]="","",IFERROR(INDEX(tblSources[Type],MATCH(tblMovement[[#This Row],[Source]],tblSources[Source],0)),"?"))</f>
        <v/>
      </c>
      <c r="L4136" s="63">
        <f>IF(tblMovement[[#This Row],[Destination]]="","",IFERROR(INDEX(tblDestinations[Type],MATCH(tblMovement[[#This Row],[Destination]],tblDestinations[Destination],0)),"?"))</f>
        <v/>
      </c>
      <c r="M4136" s="64">
        <f>IF(tblMovement[[#This Row],[Material]]="","",IF(LEFT(tblMovement[[#This Row],[Material]],3)="Ore",1,0))</f>
        <v/>
      </c>
      <c r="N4136" s="59">
        <f>IF(OR(tblMovement[[#This Row],[Tonnes_t]]="",tblMovement[[#This Row],[Grade_gpt]]=""),0,tblMovement[[#This Row],[Tonnes_t]]*tblMovement[[#This Row],[Grade_gpt]]/cfg_TroyOz)</f>
        <v/>
      </c>
      <c r="O4136" s="59">
        <f>IF(tblMovement[[#This Row],[Is_Ore]]=1,tblMovement[[#This Row],[Contained_oz]],0)</f>
        <v/>
      </c>
    </row>
    <row r="4137">
      <c r="A4137" s="54" t="n"/>
      <c r="B4137" s="61" t="n"/>
      <c r="C4137" s="61" t="n"/>
      <c r="D4137" s="61" t="n"/>
      <c r="E4137" s="61" t="n"/>
      <c r="F4137" s="55" t="n"/>
      <c r="G4137" s="56" t="n"/>
      <c r="H4137" s="55" t="n"/>
      <c r="I4137" s="62" t="n"/>
      <c r="J4137" s="58" t="n"/>
      <c r="K4137" s="63">
        <f>IF(tblMovement[[#This Row],[Source]]="","",IFERROR(INDEX(tblSources[Type],MATCH(tblMovement[[#This Row],[Source]],tblSources[Source],0)),"?"))</f>
        <v/>
      </c>
      <c r="L4137" s="63">
        <f>IF(tblMovement[[#This Row],[Destination]]="","",IFERROR(INDEX(tblDestinations[Type],MATCH(tblMovement[[#This Row],[Destination]],tblDestinations[Destination],0)),"?"))</f>
        <v/>
      </c>
      <c r="M4137" s="64">
        <f>IF(tblMovement[[#This Row],[Material]]="","",IF(LEFT(tblMovement[[#This Row],[Material]],3)="Ore",1,0))</f>
        <v/>
      </c>
      <c r="N4137" s="59">
        <f>IF(OR(tblMovement[[#This Row],[Tonnes_t]]="",tblMovement[[#This Row],[Grade_gpt]]=""),0,tblMovement[[#This Row],[Tonnes_t]]*tblMovement[[#This Row],[Grade_gpt]]/cfg_TroyOz)</f>
        <v/>
      </c>
      <c r="O4137" s="59">
        <f>IF(tblMovement[[#This Row],[Is_Ore]]=1,tblMovement[[#This Row],[Contained_oz]],0)</f>
        <v/>
      </c>
    </row>
    <row r="4138">
      <c r="A4138" s="54" t="n"/>
      <c r="B4138" s="61" t="n"/>
      <c r="C4138" s="61" t="n"/>
      <c r="D4138" s="61" t="n"/>
      <c r="E4138" s="61" t="n"/>
      <c r="F4138" s="55" t="n"/>
      <c r="G4138" s="56" t="n"/>
      <c r="H4138" s="55" t="n"/>
      <c r="I4138" s="62" t="n"/>
      <c r="J4138" s="58" t="n"/>
      <c r="K4138" s="63">
        <f>IF(tblMovement[[#This Row],[Source]]="","",IFERROR(INDEX(tblSources[Type],MATCH(tblMovement[[#This Row],[Source]],tblSources[Source],0)),"?"))</f>
        <v/>
      </c>
      <c r="L4138" s="63">
        <f>IF(tblMovement[[#This Row],[Destination]]="","",IFERROR(INDEX(tblDestinations[Type],MATCH(tblMovement[[#This Row],[Destination]],tblDestinations[Destination],0)),"?"))</f>
        <v/>
      </c>
      <c r="M4138" s="64">
        <f>IF(tblMovement[[#This Row],[Material]]="","",IF(LEFT(tblMovement[[#This Row],[Material]],3)="Ore",1,0))</f>
        <v/>
      </c>
      <c r="N4138" s="59">
        <f>IF(OR(tblMovement[[#This Row],[Tonnes_t]]="",tblMovement[[#This Row],[Grade_gpt]]=""),0,tblMovement[[#This Row],[Tonnes_t]]*tblMovement[[#This Row],[Grade_gpt]]/cfg_TroyOz)</f>
        <v/>
      </c>
      <c r="O4138" s="59">
        <f>IF(tblMovement[[#This Row],[Is_Ore]]=1,tblMovement[[#This Row],[Contained_oz]],0)</f>
        <v/>
      </c>
    </row>
    <row r="4139">
      <c r="A4139" s="54" t="n"/>
      <c r="B4139" s="61" t="n"/>
      <c r="C4139" s="61" t="n"/>
      <c r="D4139" s="61" t="n"/>
      <c r="E4139" s="61" t="n"/>
      <c r="F4139" s="55" t="n"/>
      <c r="G4139" s="56" t="n"/>
      <c r="H4139" s="55" t="n"/>
      <c r="I4139" s="62" t="n"/>
      <c r="J4139" s="58" t="n"/>
      <c r="K4139" s="63">
        <f>IF(tblMovement[[#This Row],[Source]]="","",IFERROR(INDEX(tblSources[Type],MATCH(tblMovement[[#This Row],[Source]],tblSources[Source],0)),"?"))</f>
        <v/>
      </c>
      <c r="L4139" s="63">
        <f>IF(tblMovement[[#This Row],[Destination]]="","",IFERROR(INDEX(tblDestinations[Type],MATCH(tblMovement[[#This Row],[Destination]],tblDestinations[Destination],0)),"?"))</f>
        <v/>
      </c>
      <c r="M4139" s="64">
        <f>IF(tblMovement[[#This Row],[Material]]="","",IF(LEFT(tblMovement[[#This Row],[Material]],3)="Ore",1,0))</f>
        <v/>
      </c>
      <c r="N4139" s="59">
        <f>IF(OR(tblMovement[[#This Row],[Tonnes_t]]="",tblMovement[[#This Row],[Grade_gpt]]=""),0,tblMovement[[#This Row],[Tonnes_t]]*tblMovement[[#This Row],[Grade_gpt]]/cfg_TroyOz)</f>
        <v/>
      </c>
      <c r="O4139" s="59">
        <f>IF(tblMovement[[#This Row],[Is_Ore]]=1,tblMovement[[#This Row],[Contained_oz]],0)</f>
        <v/>
      </c>
    </row>
    <row r="4140">
      <c r="A4140" s="54" t="n"/>
      <c r="B4140" s="61" t="n"/>
      <c r="C4140" s="61" t="n"/>
      <c r="D4140" s="61" t="n"/>
      <c r="E4140" s="61" t="n"/>
      <c r="F4140" s="55" t="n"/>
      <c r="G4140" s="56" t="n"/>
      <c r="H4140" s="55" t="n"/>
      <c r="I4140" s="62" t="n"/>
      <c r="J4140" s="58" t="n"/>
      <c r="K4140" s="63">
        <f>IF(tblMovement[[#This Row],[Source]]="","",IFERROR(INDEX(tblSources[Type],MATCH(tblMovement[[#This Row],[Source]],tblSources[Source],0)),"?"))</f>
        <v/>
      </c>
      <c r="L4140" s="63">
        <f>IF(tblMovement[[#This Row],[Destination]]="","",IFERROR(INDEX(tblDestinations[Type],MATCH(tblMovement[[#This Row],[Destination]],tblDestinations[Destination],0)),"?"))</f>
        <v/>
      </c>
      <c r="M4140" s="64">
        <f>IF(tblMovement[[#This Row],[Material]]="","",IF(LEFT(tblMovement[[#This Row],[Material]],3)="Ore",1,0))</f>
        <v/>
      </c>
      <c r="N4140" s="59">
        <f>IF(OR(tblMovement[[#This Row],[Tonnes_t]]="",tblMovement[[#This Row],[Grade_gpt]]=""),0,tblMovement[[#This Row],[Tonnes_t]]*tblMovement[[#This Row],[Grade_gpt]]/cfg_TroyOz)</f>
        <v/>
      </c>
      <c r="O4140" s="59">
        <f>IF(tblMovement[[#This Row],[Is_Ore]]=1,tblMovement[[#This Row],[Contained_oz]],0)</f>
        <v/>
      </c>
    </row>
    <row r="4141">
      <c r="A4141" s="54" t="n"/>
      <c r="B4141" s="61" t="n"/>
      <c r="C4141" s="61" t="n"/>
      <c r="D4141" s="61" t="n"/>
      <c r="E4141" s="61" t="n"/>
      <c r="F4141" s="55" t="n"/>
      <c r="G4141" s="56" t="n"/>
      <c r="H4141" s="55" t="n"/>
      <c r="I4141" s="62" t="n"/>
      <c r="J4141" s="58" t="n"/>
      <c r="K4141" s="63">
        <f>IF(tblMovement[[#This Row],[Source]]="","",IFERROR(INDEX(tblSources[Type],MATCH(tblMovement[[#This Row],[Source]],tblSources[Source],0)),"?"))</f>
        <v/>
      </c>
      <c r="L4141" s="63">
        <f>IF(tblMovement[[#This Row],[Destination]]="","",IFERROR(INDEX(tblDestinations[Type],MATCH(tblMovement[[#This Row],[Destination]],tblDestinations[Destination],0)),"?"))</f>
        <v/>
      </c>
      <c r="M4141" s="64">
        <f>IF(tblMovement[[#This Row],[Material]]="","",IF(LEFT(tblMovement[[#This Row],[Material]],3)="Ore",1,0))</f>
        <v/>
      </c>
      <c r="N4141" s="59">
        <f>IF(OR(tblMovement[[#This Row],[Tonnes_t]]="",tblMovement[[#This Row],[Grade_gpt]]=""),0,tblMovement[[#This Row],[Tonnes_t]]*tblMovement[[#This Row],[Grade_gpt]]/cfg_TroyOz)</f>
        <v/>
      </c>
      <c r="O4141" s="59">
        <f>IF(tblMovement[[#This Row],[Is_Ore]]=1,tblMovement[[#This Row],[Contained_oz]],0)</f>
        <v/>
      </c>
    </row>
    <row r="4142">
      <c r="A4142" s="54" t="n"/>
      <c r="B4142" s="61" t="n"/>
      <c r="C4142" s="61" t="n"/>
      <c r="D4142" s="61" t="n"/>
      <c r="E4142" s="61" t="n"/>
      <c r="F4142" s="55" t="n"/>
      <c r="G4142" s="56" t="n"/>
      <c r="H4142" s="55" t="n"/>
      <c r="I4142" s="62" t="n"/>
      <c r="J4142" s="58" t="n"/>
      <c r="K4142" s="63">
        <f>IF(tblMovement[[#This Row],[Source]]="","",IFERROR(INDEX(tblSources[Type],MATCH(tblMovement[[#This Row],[Source]],tblSources[Source],0)),"?"))</f>
        <v/>
      </c>
      <c r="L4142" s="63">
        <f>IF(tblMovement[[#This Row],[Destination]]="","",IFERROR(INDEX(tblDestinations[Type],MATCH(tblMovement[[#This Row],[Destination]],tblDestinations[Destination],0)),"?"))</f>
        <v/>
      </c>
      <c r="M4142" s="64">
        <f>IF(tblMovement[[#This Row],[Material]]="","",IF(LEFT(tblMovement[[#This Row],[Material]],3)="Ore",1,0))</f>
        <v/>
      </c>
      <c r="N4142" s="59">
        <f>IF(OR(tblMovement[[#This Row],[Tonnes_t]]="",tblMovement[[#This Row],[Grade_gpt]]=""),0,tblMovement[[#This Row],[Tonnes_t]]*tblMovement[[#This Row],[Grade_gpt]]/cfg_TroyOz)</f>
        <v/>
      </c>
      <c r="O4142" s="59">
        <f>IF(tblMovement[[#This Row],[Is_Ore]]=1,tblMovement[[#This Row],[Contained_oz]],0)</f>
        <v/>
      </c>
    </row>
    <row r="4143">
      <c r="A4143" s="54" t="n"/>
      <c r="B4143" s="61" t="n"/>
      <c r="C4143" s="61" t="n"/>
      <c r="D4143" s="61" t="n"/>
      <c r="E4143" s="61" t="n"/>
      <c r="F4143" s="55" t="n"/>
      <c r="G4143" s="56" t="n"/>
      <c r="H4143" s="55" t="n"/>
      <c r="I4143" s="62" t="n"/>
      <c r="J4143" s="58" t="n"/>
      <c r="K4143" s="63">
        <f>IF(tblMovement[[#This Row],[Source]]="","",IFERROR(INDEX(tblSources[Type],MATCH(tblMovement[[#This Row],[Source]],tblSources[Source],0)),"?"))</f>
        <v/>
      </c>
      <c r="L4143" s="63">
        <f>IF(tblMovement[[#This Row],[Destination]]="","",IFERROR(INDEX(tblDestinations[Type],MATCH(tblMovement[[#This Row],[Destination]],tblDestinations[Destination],0)),"?"))</f>
        <v/>
      </c>
      <c r="M4143" s="64">
        <f>IF(tblMovement[[#This Row],[Material]]="","",IF(LEFT(tblMovement[[#This Row],[Material]],3)="Ore",1,0))</f>
        <v/>
      </c>
      <c r="N4143" s="59">
        <f>IF(OR(tblMovement[[#This Row],[Tonnes_t]]="",tblMovement[[#This Row],[Grade_gpt]]=""),0,tblMovement[[#This Row],[Tonnes_t]]*tblMovement[[#This Row],[Grade_gpt]]/cfg_TroyOz)</f>
        <v/>
      </c>
      <c r="O4143" s="59">
        <f>IF(tblMovement[[#This Row],[Is_Ore]]=1,tblMovement[[#This Row],[Contained_oz]],0)</f>
        <v/>
      </c>
    </row>
    <row r="4144">
      <c r="A4144" s="54" t="n"/>
      <c r="B4144" s="61" t="n"/>
      <c r="C4144" s="61" t="n"/>
      <c r="D4144" s="61" t="n"/>
      <c r="E4144" s="61" t="n"/>
      <c r="F4144" s="55" t="n"/>
      <c r="G4144" s="56" t="n"/>
      <c r="H4144" s="55" t="n"/>
      <c r="I4144" s="62" t="n"/>
      <c r="J4144" s="58" t="n"/>
      <c r="K4144" s="63">
        <f>IF(tblMovement[[#This Row],[Source]]="","",IFERROR(INDEX(tblSources[Type],MATCH(tblMovement[[#This Row],[Source]],tblSources[Source],0)),"?"))</f>
        <v/>
      </c>
      <c r="L4144" s="63">
        <f>IF(tblMovement[[#This Row],[Destination]]="","",IFERROR(INDEX(tblDestinations[Type],MATCH(tblMovement[[#This Row],[Destination]],tblDestinations[Destination],0)),"?"))</f>
        <v/>
      </c>
      <c r="M4144" s="64">
        <f>IF(tblMovement[[#This Row],[Material]]="","",IF(LEFT(tblMovement[[#This Row],[Material]],3)="Ore",1,0))</f>
        <v/>
      </c>
      <c r="N4144" s="59">
        <f>IF(OR(tblMovement[[#This Row],[Tonnes_t]]="",tblMovement[[#This Row],[Grade_gpt]]=""),0,tblMovement[[#This Row],[Tonnes_t]]*tblMovement[[#This Row],[Grade_gpt]]/cfg_TroyOz)</f>
        <v/>
      </c>
      <c r="O4144" s="59">
        <f>IF(tblMovement[[#This Row],[Is_Ore]]=1,tblMovement[[#This Row],[Contained_oz]],0)</f>
        <v/>
      </c>
    </row>
    <row r="4145">
      <c r="A4145" s="54" t="n"/>
      <c r="B4145" s="61" t="n"/>
      <c r="C4145" s="61" t="n"/>
      <c r="D4145" s="61" t="n"/>
      <c r="E4145" s="61" t="n"/>
      <c r="F4145" s="55" t="n"/>
      <c r="G4145" s="56" t="n"/>
      <c r="H4145" s="55" t="n"/>
      <c r="I4145" s="62" t="n"/>
      <c r="J4145" s="58" t="n"/>
      <c r="K4145" s="63">
        <f>IF(tblMovement[[#This Row],[Source]]="","",IFERROR(INDEX(tblSources[Type],MATCH(tblMovement[[#This Row],[Source]],tblSources[Source],0)),"?"))</f>
        <v/>
      </c>
      <c r="L4145" s="63">
        <f>IF(tblMovement[[#This Row],[Destination]]="","",IFERROR(INDEX(tblDestinations[Type],MATCH(tblMovement[[#This Row],[Destination]],tblDestinations[Destination],0)),"?"))</f>
        <v/>
      </c>
      <c r="M4145" s="64">
        <f>IF(tblMovement[[#This Row],[Material]]="","",IF(LEFT(tblMovement[[#This Row],[Material]],3)="Ore",1,0))</f>
        <v/>
      </c>
      <c r="N4145" s="59">
        <f>IF(OR(tblMovement[[#This Row],[Tonnes_t]]="",tblMovement[[#This Row],[Grade_gpt]]=""),0,tblMovement[[#This Row],[Tonnes_t]]*tblMovement[[#This Row],[Grade_gpt]]/cfg_TroyOz)</f>
        <v/>
      </c>
      <c r="O4145" s="59">
        <f>IF(tblMovement[[#This Row],[Is_Ore]]=1,tblMovement[[#This Row],[Contained_oz]],0)</f>
        <v/>
      </c>
    </row>
    <row r="4146">
      <c r="A4146" s="54" t="n"/>
      <c r="B4146" s="61" t="n"/>
      <c r="C4146" s="61" t="n"/>
      <c r="D4146" s="61" t="n"/>
      <c r="E4146" s="61" t="n"/>
      <c r="F4146" s="55" t="n"/>
      <c r="G4146" s="56" t="n"/>
      <c r="H4146" s="55" t="n"/>
      <c r="I4146" s="62" t="n"/>
      <c r="J4146" s="58" t="n"/>
      <c r="K4146" s="63">
        <f>IF(tblMovement[[#This Row],[Source]]="","",IFERROR(INDEX(tblSources[Type],MATCH(tblMovement[[#This Row],[Source]],tblSources[Source],0)),"?"))</f>
        <v/>
      </c>
      <c r="L4146" s="63">
        <f>IF(tblMovement[[#This Row],[Destination]]="","",IFERROR(INDEX(tblDestinations[Type],MATCH(tblMovement[[#This Row],[Destination]],tblDestinations[Destination],0)),"?"))</f>
        <v/>
      </c>
      <c r="M4146" s="64">
        <f>IF(tblMovement[[#This Row],[Material]]="","",IF(LEFT(tblMovement[[#This Row],[Material]],3)="Ore",1,0))</f>
        <v/>
      </c>
      <c r="N4146" s="59">
        <f>IF(OR(tblMovement[[#This Row],[Tonnes_t]]="",tblMovement[[#This Row],[Grade_gpt]]=""),0,tblMovement[[#This Row],[Tonnes_t]]*tblMovement[[#This Row],[Grade_gpt]]/cfg_TroyOz)</f>
        <v/>
      </c>
      <c r="O4146" s="59">
        <f>IF(tblMovement[[#This Row],[Is_Ore]]=1,tblMovement[[#This Row],[Contained_oz]],0)</f>
        <v/>
      </c>
    </row>
    <row r="4147">
      <c r="A4147" s="54" t="n"/>
      <c r="B4147" s="61" t="n"/>
      <c r="C4147" s="61" t="n"/>
      <c r="D4147" s="61" t="n"/>
      <c r="E4147" s="61" t="n"/>
      <c r="F4147" s="55" t="n"/>
      <c r="G4147" s="56" t="n"/>
      <c r="H4147" s="55" t="n"/>
      <c r="I4147" s="62" t="n"/>
      <c r="J4147" s="58" t="n"/>
      <c r="K4147" s="63">
        <f>IF(tblMovement[[#This Row],[Source]]="","",IFERROR(INDEX(tblSources[Type],MATCH(tblMovement[[#This Row],[Source]],tblSources[Source],0)),"?"))</f>
        <v/>
      </c>
      <c r="L4147" s="63">
        <f>IF(tblMovement[[#This Row],[Destination]]="","",IFERROR(INDEX(tblDestinations[Type],MATCH(tblMovement[[#This Row],[Destination]],tblDestinations[Destination],0)),"?"))</f>
        <v/>
      </c>
      <c r="M4147" s="64">
        <f>IF(tblMovement[[#This Row],[Material]]="","",IF(LEFT(tblMovement[[#This Row],[Material]],3)="Ore",1,0))</f>
        <v/>
      </c>
      <c r="N4147" s="59">
        <f>IF(OR(tblMovement[[#This Row],[Tonnes_t]]="",tblMovement[[#This Row],[Grade_gpt]]=""),0,tblMovement[[#This Row],[Tonnes_t]]*tblMovement[[#This Row],[Grade_gpt]]/cfg_TroyOz)</f>
        <v/>
      </c>
      <c r="O4147" s="59">
        <f>IF(tblMovement[[#This Row],[Is_Ore]]=1,tblMovement[[#This Row],[Contained_oz]],0)</f>
        <v/>
      </c>
    </row>
    <row r="4148">
      <c r="A4148" s="54" t="n"/>
      <c r="B4148" s="61" t="n"/>
      <c r="C4148" s="61" t="n"/>
      <c r="D4148" s="61" t="n"/>
      <c r="E4148" s="61" t="n"/>
      <c r="F4148" s="55" t="n"/>
      <c r="G4148" s="56" t="n"/>
      <c r="H4148" s="55" t="n"/>
      <c r="I4148" s="62" t="n"/>
      <c r="J4148" s="58" t="n"/>
      <c r="K4148" s="63">
        <f>IF(tblMovement[[#This Row],[Source]]="","",IFERROR(INDEX(tblSources[Type],MATCH(tblMovement[[#This Row],[Source]],tblSources[Source],0)),"?"))</f>
        <v/>
      </c>
      <c r="L4148" s="63">
        <f>IF(tblMovement[[#This Row],[Destination]]="","",IFERROR(INDEX(tblDestinations[Type],MATCH(tblMovement[[#This Row],[Destination]],tblDestinations[Destination],0)),"?"))</f>
        <v/>
      </c>
      <c r="M4148" s="64">
        <f>IF(tblMovement[[#This Row],[Material]]="","",IF(LEFT(tblMovement[[#This Row],[Material]],3)="Ore",1,0))</f>
        <v/>
      </c>
      <c r="N4148" s="59">
        <f>IF(OR(tblMovement[[#This Row],[Tonnes_t]]="",tblMovement[[#This Row],[Grade_gpt]]=""),0,tblMovement[[#This Row],[Tonnes_t]]*tblMovement[[#This Row],[Grade_gpt]]/cfg_TroyOz)</f>
        <v/>
      </c>
      <c r="O4148" s="59">
        <f>IF(tblMovement[[#This Row],[Is_Ore]]=1,tblMovement[[#This Row],[Contained_oz]],0)</f>
        <v/>
      </c>
    </row>
    <row r="4149">
      <c r="A4149" s="54" t="n"/>
      <c r="B4149" s="61" t="n"/>
      <c r="C4149" s="61" t="n"/>
      <c r="D4149" s="61" t="n"/>
      <c r="E4149" s="61" t="n"/>
      <c r="F4149" s="55" t="n"/>
      <c r="G4149" s="56" t="n"/>
      <c r="H4149" s="55" t="n"/>
      <c r="I4149" s="62" t="n"/>
      <c r="J4149" s="58" t="n"/>
      <c r="K4149" s="63">
        <f>IF(tblMovement[[#This Row],[Source]]="","",IFERROR(INDEX(tblSources[Type],MATCH(tblMovement[[#This Row],[Source]],tblSources[Source],0)),"?"))</f>
        <v/>
      </c>
      <c r="L4149" s="63">
        <f>IF(tblMovement[[#This Row],[Destination]]="","",IFERROR(INDEX(tblDestinations[Type],MATCH(tblMovement[[#This Row],[Destination]],tblDestinations[Destination],0)),"?"))</f>
        <v/>
      </c>
      <c r="M4149" s="64">
        <f>IF(tblMovement[[#This Row],[Material]]="","",IF(LEFT(tblMovement[[#This Row],[Material]],3)="Ore",1,0))</f>
        <v/>
      </c>
      <c r="N4149" s="59">
        <f>IF(OR(tblMovement[[#This Row],[Tonnes_t]]="",tblMovement[[#This Row],[Grade_gpt]]=""),0,tblMovement[[#This Row],[Tonnes_t]]*tblMovement[[#This Row],[Grade_gpt]]/cfg_TroyOz)</f>
        <v/>
      </c>
      <c r="O4149" s="59">
        <f>IF(tblMovement[[#This Row],[Is_Ore]]=1,tblMovement[[#This Row],[Contained_oz]],0)</f>
        <v/>
      </c>
    </row>
    <row r="4150">
      <c r="A4150" s="54" t="n"/>
      <c r="B4150" s="61" t="n"/>
      <c r="C4150" s="61" t="n"/>
      <c r="D4150" s="61" t="n"/>
      <c r="E4150" s="61" t="n"/>
      <c r="F4150" s="55" t="n"/>
      <c r="G4150" s="56" t="n"/>
      <c r="H4150" s="55" t="n"/>
      <c r="I4150" s="62" t="n"/>
      <c r="J4150" s="58" t="n"/>
      <c r="K4150" s="63">
        <f>IF(tblMovement[[#This Row],[Source]]="","",IFERROR(INDEX(tblSources[Type],MATCH(tblMovement[[#This Row],[Source]],tblSources[Source],0)),"?"))</f>
        <v/>
      </c>
      <c r="L4150" s="63">
        <f>IF(tblMovement[[#This Row],[Destination]]="","",IFERROR(INDEX(tblDestinations[Type],MATCH(tblMovement[[#This Row],[Destination]],tblDestinations[Destination],0)),"?"))</f>
        <v/>
      </c>
      <c r="M4150" s="64">
        <f>IF(tblMovement[[#This Row],[Material]]="","",IF(LEFT(tblMovement[[#This Row],[Material]],3)="Ore",1,0))</f>
        <v/>
      </c>
      <c r="N4150" s="59">
        <f>IF(OR(tblMovement[[#This Row],[Tonnes_t]]="",tblMovement[[#This Row],[Grade_gpt]]=""),0,tblMovement[[#This Row],[Tonnes_t]]*tblMovement[[#This Row],[Grade_gpt]]/cfg_TroyOz)</f>
        <v/>
      </c>
      <c r="O4150" s="59">
        <f>IF(tblMovement[[#This Row],[Is_Ore]]=1,tblMovement[[#This Row],[Contained_oz]],0)</f>
        <v/>
      </c>
    </row>
    <row r="4151">
      <c r="A4151" s="54" t="n"/>
      <c r="B4151" s="61" t="n"/>
      <c r="C4151" s="61" t="n"/>
      <c r="D4151" s="61" t="n"/>
      <c r="E4151" s="61" t="n"/>
      <c r="F4151" s="55" t="n"/>
      <c r="G4151" s="56" t="n"/>
      <c r="H4151" s="55" t="n"/>
      <c r="I4151" s="62" t="n"/>
      <c r="J4151" s="58" t="n"/>
      <c r="K4151" s="63">
        <f>IF(tblMovement[[#This Row],[Source]]="","",IFERROR(INDEX(tblSources[Type],MATCH(tblMovement[[#This Row],[Source]],tblSources[Source],0)),"?"))</f>
        <v/>
      </c>
      <c r="L4151" s="63">
        <f>IF(tblMovement[[#This Row],[Destination]]="","",IFERROR(INDEX(tblDestinations[Type],MATCH(tblMovement[[#This Row],[Destination]],tblDestinations[Destination],0)),"?"))</f>
        <v/>
      </c>
      <c r="M4151" s="64">
        <f>IF(tblMovement[[#This Row],[Material]]="","",IF(LEFT(tblMovement[[#This Row],[Material]],3)="Ore",1,0))</f>
        <v/>
      </c>
      <c r="N4151" s="59">
        <f>IF(OR(tblMovement[[#This Row],[Tonnes_t]]="",tblMovement[[#This Row],[Grade_gpt]]=""),0,tblMovement[[#This Row],[Tonnes_t]]*tblMovement[[#This Row],[Grade_gpt]]/cfg_TroyOz)</f>
        <v/>
      </c>
      <c r="O4151" s="59">
        <f>IF(tblMovement[[#This Row],[Is_Ore]]=1,tblMovement[[#This Row],[Contained_oz]],0)</f>
        <v/>
      </c>
    </row>
    <row r="4152">
      <c r="A4152" s="54" t="n"/>
      <c r="B4152" s="61" t="n"/>
      <c r="C4152" s="61" t="n"/>
      <c r="D4152" s="61" t="n"/>
      <c r="E4152" s="61" t="n"/>
      <c r="F4152" s="55" t="n"/>
      <c r="G4152" s="56" t="n"/>
      <c r="H4152" s="55" t="n"/>
      <c r="I4152" s="62" t="n"/>
      <c r="J4152" s="58" t="n"/>
      <c r="K4152" s="63">
        <f>IF(tblMovement[[#This Row],[Source]]="","",IFERROR(INDEX(tblSources[Type],MATCH(tblMovement[[#This Row],[Source]],tblSources[Source],0)),"?"))</f>
        <v/>
      </c>
      <c r="L4152" s="63">
        <f>IF(tblMovement[[#This Row],[Destination]]="","",IFERROR(INDEX(tblDestinations[Type],MATCH(tblMovement[[#This Row],[Destination]],tblDestinations[Destination],0)),"?"))</f>
        <v/>
      </c>
      <c r="M4152" s="64">
        <f>IF(tblMovement[[#This Row],[Material]]="","",IF(LEFT(tblMovement[[#This Row],[Material]],3)="Ore",1,0))</f>
        <v/>
      </c>
      <c r="N4152" s="59">
        <f>IF(OR(tblMovement[[#This Row],[Tonnes_t]]="",tblMovement[[#This Row],[Grade_gpt]]=""),0,tblMovement[[#This Row],[Tonnes_t]]*tblMovement[[#This Row],[Grade_gpt]]/cfg_TroyOz)</f>
        <v/>
      </c>
      <c r="O4152" s="59">
        <f>IF(tblMovement[[#This Row],[Is_Ore]]=1,tblMovement[[#This Row],[Contained_oz]],0)</f>
        <v/>
      </c>
    </row>
    <row r="4153">
      <c r="A4153" s="54" t="n"/>
      <c r="B4153" s="61" t="n"/>
      <c r="C4153" s="61" t="n"/>
      <c r="D4153" s="61" t="n"/>
      <c r="E4153" s="61" t="n"/>
      <c r="F4153" s="55" t="n"/>
      <c r="G4153" s="56" t="n"/>
      <c r="H4153" s="55" t="n"/>
      <c r="I4153" s="62" t="n"/>
      <c r="J4153" s="58" t="n"/>
      <c r="K4153" s="63">
        <f>IF(tblMovement[[#This Row],[Source]]="","",IFERROR(INDEX(tblSources[Type],MATCH(tblMovement[[#This Row],[Source]],tblSources[Source],0)),"?"))</f>
        <v/>
      </c>
      <c r="L4153" s="63">
        <f>IF(tblMovement[[#This Row],[Destination]]="","",IFERROR(INDEX(tblDestinations[Type],MATCH(tblMovement[[#This Row],[Destination]],tblDestinations[Destination],0)),"?"))</f>
        <v/>
      </c>
      <c r="M4153" s="64">
        <f>IF(tblMovement[[#This Row],[Material]]="","",IF(LEFT(tblMovement[[#This Row],[Material]],3)="Ore",1,0))</f>
        <v/>
      </c>
      <c r="N4153" s="59">
        <f>IF(OR(tblMovement[[#This Row],[Tonnes_t]]="",tblMovement[[#This Row],[Grade_gpt]]=""),0,tblMovement[[#This Row],[Tonnes_t]]*tblMovement[[#This Row],[Grade_gpt]]/cfg_TroyOz)</f>
        <v/>
      </c>
      <c r="O4153" s="59">
        <f>IF(tblMovement[[#This Row],[Is_Ore]]=1,tblMovement[[#This Row],[Contained_oz]],0)</f>
        <v/>
      </c>
    </row>
    <row r="4154">
      <c r="A4154" s="54" t="n"/>
      <c r="B4154" s="61" t="n"/>
      <c r="C4154" s="61" t="n"/>
      <c r="D4154" s="61" t="n"/>
      <c r="E4154" s="61" t="n"/>
      <c r="F4154" s="55" t="n"/>
      <c r="G4154" s="56" t="n"/>
      <c r="H4154" s="55" t="n"/>
      <c r="I4154" s="62" t="n"/>
      <c r="J4154" s="58" t="n"/>
      <c r="K4154" s="63">
        <f>IF(tblMovement[[#This Row],[Source]]="","",IFERROR(INDEX(tblSources[Type],MATCH(tblMovement[[#This Row],[Source]],tblSources[Source],0)),"?"))</f>
        <v/>
      </c>
      <c r="L4154" s="63">
        <f>IF(tblMovement[[#This Row],[Destination]]="","",IFERROR(INDEX(tblDestinations[Type],MATCH(tblMovement[[#This Row],[Destination]],tblDestinations[Destination],0)),"?"))</f>
        <v/>
      </c>
      <c r="M4154" s="64">
        <f>IF(tblMovement[[#This Row],[Material]]="","",IF(LEFT(tblMovement[[#This Row],[Material]],3)="Ore",1,0))</f>
        <v/>
      </c>
      <c r="N4154" s="59">
        <f>IF(OR(tblMovement[[#This Row],[Tonnes_t]]="",tblMovement[[#This Row],[Grade_gpt]]=""),0,tblMovement[[#This Row],[Tonnes_t]]*tblMovement[[#This Row],[Grade_gpt]]/cfg_TroyOz)</f>
        <v/>
      </c>
      <c r="O4154" s="59">
        <f>IF(tblMovement[[#This Row],[Is_Ore]]=1,tblMovement[[#This Row],[Contained_oz]],0)</f>
        <v/>
      </c>
    </row>
    <row r="4155">
      <c r="A4155" s="54" t="n"/>
      <c r="B4155" s="61" t="n"/>
      <c r="C4155" s="61" t="n"/>
      <c r="D4155" s="61" t="n"/>
      <c r="E4155" s="61" t="n"/>
      <c r="F4155" s="55" t="n"/>
      <c r="G4155" s="56" t="n"/>
      <c r="H4155" s="55" t="n"/>
      <c r="I4155" s="62" t="n"/>
      <c r="J4155" s="58" t="n"/>
      <c r="K4155" s="63">
        <f>IF(tblMovement[[#This Row],[Source]]="","",IFERROR(INDEX(tblSources[Type],MATCH(tblMovement[[#This Row],[Source]],tblSources[Source],0)),"?"))</f>
        <v/>
      </c>
      <c r="L4155" s="63">
        <f>IF(tblMovement[[#This Row],[Destination]]="","",IFERROR(INDEX(tblDestinations[Type],MATCH(tblMovement[[#This Row],[Destination]],tblDestinations[Destination],0)),"?"))</f>
        <v/>
      </c>
      <c r="M4155" s="64">
        <f>IF(tblMovement[[#This Row],[Material]]="","",IF(LEFT(tblMovement[[#This Row],[Material]],3)="Ore",1,0))</f>
        <v/>
      </c>
      <c r="N4155" s="59">
        <f>IF(OR(tblMovement[[#This Row],[Tonnes_t]]="",tblMovement[[#This Row],[Grade_gpt]]=""),0,tblMovement[[#This Row],[Tonnes_t]]*tblMovement[[#This Row],[Grade_gpt]]/cfg_TroyOz)</f>
        <v/>
      </c>
      <c r="O4155" s="59">
        <f>IF(tblMovement[[#This Row],[Is_Ore]]=1,tblMovement[[#This Row],[Contained_oz]],0)</f>
        <v/>
      </c>
    </row>
    <row r="4156">
      <c r="A4156" s="54" t="n"/>
      <c r="B4156" s="61" t="n"/>
      <c r="C4156" s="61" t="n"/>
      <c r="D4156" s="61" t="n"/>
      <c r="E4156" s="61" t="n"/>
      <c r="F4156" s="55" t="n"/>
      <c r="G4156" s="56" t="n"/>
      <c r="H4156" s="55" t="n"/>
      <c r="I4156" s="62" t="n"/>
      <c r="J4156" s="58" t="n"/>
      <c r="K4156" s="63">
        <f>IF(tblMovement[[#This Row],[Source]]="","",IFERROR(INDEX(tblSources[Type],MATCH(tblMovement[[#This Row],[Source]],tblSources[Source],0)),"?"))</f>
        <v/>
      </c>
      <c r="L4156" s="63">
        <f>IF(tblMovement[[#This Row],[Destination]]="","",IFERROR(INDEX(tblDestinations[Type],MATCH(tblMovement[[#This Row],[Destination]],tblDestinations[Destination],0)),"?"))</f>
        <v/>
      </c>
      <c r="M4156" s="64">
        <f>IF(tblMovement[[#This Row],[Material]]="","",IF(LEFT(tblMovement[[#This Row],[Material]],3)="Ore",1,0))</f>
        <v/>
      </c>
      <c r="N4156" s="59">
        <f>IF(OR(tblMovement[[#This Row],[Tonnes_t]]="",tblMovement[[#This Row],[Grade_gpt]]=""),0,tblMovement[[#This Row],[Tonnes_t]]*tblMovement[[#This Row],[Grade_gpt]]/cfg_TroyOz)</f>
        <v/>
      </c>
      <c r="O4156" s="59">
        <f>IF(tblMovement[[#This Row],[Is_Ore]]=1,tblMovement[[#This Row],[Contained_oz]],0)</f>
        <v/>
      </c>
    </row>
    <row r="4157">
      <c r="A4157" s="54" t="n"/>
      <c r="B4157" s="61" t="n"/>
      <c r="C4157" s="61" t="n"/>
      <c r="D4157" s="61" t="n"/>
      <c r="E4157" s="61" t="n"/>
      <c r="F4157" s="55" t="n"/>
      <c r="G4157" s="56" t="n"/>
      <c r="H4157" s="55" t="n"/>
      <c r="I4157" s="62" t="n"/>
      <c r="J4157" s="58" t="n"/>
      <c r="K4157" s="63">
        <f>IF(tblMovement[[#This Row],[Source]]="","",IFERROR(INDEX(tblSources[Type],MATCH(tblMovement[[#This Row],[Source]],tblSources[Source],0)),"?"))</f>
        <v/>
      </c>
      <c r="L4157" s="63">
        <f>IF(tblMovement[[#This Row],[Destination]]="","",IFERROR(INDEX(tblDestinations[Type],MATCH(tblMovement[[#This Row],[Destination]],tblDestinations[Destination],0)),"?"))</f>
        <v/>
      </c>
      <c r="M4157" s="64">
        <f>IF(tblMovement[[#This Row],[Material]]="","",IF(LEFT(tblMovement[[#This Row],[Material]],3)="Ore",1,0))</f>
        <v/>
      </c>
      <c r="N4157" s="59">
        <f>IF(OR(tblMovement[[#This Row],[Tonnes_t]]="",tblMovement[[#This Row],[Grade_gpt]]=""),0,tblMovement[[#This Row],[Tonnes_t]]*tblMovement[[#This Row],[Grade_gpt]]/cfg_TroyOz)</f>
        <v/>
      </c>
      <c r="O4157" s="59">
        <f>IF(tblMovement[[#This Row],[Is_Ore]]=1,tblMovement[[#This Row],[Contained_oz]],0)</f>
        <v/>
      </c>
    </row>
    <row r="4158">
      <c r="A4158" s="54" t="n"/>
      <c r="B4158" s="61" t="n"/>
      <c r="C4158" s="61" t="n"/>
      <c r="D4158" s="61" t="n"/>
      <c r="E4158" s="61" t="n"/>
      <c r="F4158" s="55" t="n"/>
      <c r="G4158" s="56" t="n"/>
      <c r="H4158" s="55" t="n"/>
      <c r="I4158" s="62" t="n"/>
      <c r="J4158" s="58" t="n"/>
      <c r="K4158" s="63">
        <f>IF(tblMovement[[#This Row],[Source]]="","",IFERROR(INDEX(tblSources[Type],MATCH(tblMovement[[#This Row],[Source]],tblSources[Source],0)),"?"))</f>
        <v/>
      </c>
      <c r="L4158" s="63">
        <f>IF(tblMovement[[#This Row],[Destination]]="","",IFERROR(INDEX(tblDestinations[Type],MATCH(tblMovement[[#This Row],[Destination]],tblDestinations[Destination],0)),"?"))</f>
        <v/>
      </c>
      <c r="M4158" s="64">
        <f>IF(tblMovement[[#This Row],[Material]]="","",IF(LEFT(tblMovement[[#This Row],[Material]],3)="Ore",1,0))</f>
        <v/>
      </c>
      <c r="N4158" s="59">
        <f>IF(OR(tblMovement[[#This Row],[Tonnes_t]]="",tblMovement[[#This Row],[Grade_gpt]]=""),0,tblMovement[[#This Row],[Tonnes_t]]*tblMovement[[#This Row],[Grade_gpt]]/cfg_TroyOz)</f>
        <v/>
      </c>
      <c r="O4158" s="59">
        <f>IF(tblMovement[[#This Row],[Is_Ore]]=1,tblMovement[[#This Row],[Contained_oz]],0)</f>
        <v/>
      </c>
    </row>
    <row r="4159">
      <c r="A4159" s="54" t="n"/>
      <c r="B4159" s="61" t="n"/>
      <c r="C4159" s="61" t="n"/>
      <c r="D4159" s="61" t="n"/>
      <c r="E4159" s="61" t="n"/>
      <c r="F4159" s="55" t="n"/>
      <c r="G4159" s="56" t="n"/>
      <c r="H4159" s="55" t="n"/>
      <c r="I4159" s="62" t="n"/>
      <c r="J4159" s="58" t="n"/>
      <c r="K4159" s="63">
        <f>IF(tblMovement[[#This Row],[Source]]="","",IFERROR(INDEX(tblSources[Type],MATCH(tblMovement[[#This Row],[Source]],tblSources[Source],0)),"?"))</f>
        <v/>
      </c>
      <c r="L4159" s="63">
        <f>IF(tblMovement[[#This Row],[Destination]]="","",IFERROR(INDEX(tblDestinations[Type],MATCH(tblMovement[[#This Row],[Destination]],tblDestinations[Destination],0)),"?"))</f>
        <v/>
      </c>
      <c r="M4159" s="64">
        <f>IF(tblMovement[[#This Row],[Material]]="","",IF(LEFT(tblMovement[[#This Row],[Material]],3)="Ore",1,0))</f>
        <v/>
      </c>
      <c r="N4159" s="59">
        <f>IF(OR(tblMovement[[#This Row],[Tonnes_t]]="",tblMovement[[#This Row],[Grade_gpt]]=""),0,tblMovement[[#This Row],[Tonnes_t]]*tblMovement[[#This Row],[Grade_gpt]]/cfg_TroyOz)</f>
        <v/>
      </c>
      <c r="O4159" s="59">
        <f>IF(tblMovement[[#This Row],[Is_Ore]]=1,tblMovement[[#This Row],[Contained_oz]],0)</f>
        <v/>
      </c>
    </row>
    <row r="4160">
      <c r="A4160" s="54" t="n"/>
      <c r="B4160" s="61" t="n"/>
      <c r="C4160" s="61" t="n"/>
      <c r="D4160" s="61" t="n"/>
      <c r="E4160" s="61" t="n"/>
      <c r="F4160" s="55" t="n"/>
      <c r="G4160" s="56" t="n"/>
      <c r="H4160" s="55" t="n"/>
      <c r="I4160" s="62" t="n"/>
      <c r="J4160" s="58" t="n"/>
      <c r="K4160" s="63">
        <f>IF(tblMovement[[#This Row],[Source]]="","",IFERROR(INDEX(tblSources[Type],MATCH(tblMovement[[#This Row],[Source]],tblSources[Source],0)),"?"))</f>
        <v/>
      </c>
      <c r="L4160" s="63">
        <f>IF(tblMovement[[#This Row],[Destination]]="","",IFERROR(INDEX(tblDestinations[Type],MATCH(tblMovement[[#This Row],[Destination]],tblDestinations[Destination],0)),"?"))</f>
        <v/>
      </c>
      <c r="M4160" s="64">
        <f>IF(tblMovement[[#This Row],[Material]]="","",IF(LEFT(tblMovement[[#This Row],[Material]],3)="Ore",1,0))</f>
        <v/>
      </c>
      <c r="N4160" s="59">
        <f>IF(OR(tblMovement[[#This Row],[Tonnes_t]]="",tblMovement[[#This Row],[Grade_gpt]]=""),0,tblMovement[[#This Row],[Tonnes_t]]*tblMovement[[#This Row],[Grade_gpt]]/cfg_TroyOz)</f>
        <v/>
      </c>
      <c r="O4160" s="59">
        <f>IF(tblMovement[[#This Row],[Is_Ore]]=1,tblMovement[[#This Row],[Contained_oz]],0)</f>
        <v/>
      </c>
    </row>
    <row r="4161">
      <c r="A4161" s="54" t="n"/>
      <c r="B4161" s="61" t="n"/>
      <c r="C4161" s="61" t="n"/>
      <c r="D4161" s="61" t="n"/>
      <c r="E4161" s="61" t="n"/>
      <c r="F4161" s="55" t="n"/>
      <c r="G4161" s="56" t="n"/>
      <c r="H4161" s="55" t="n"/>
      <c r="I4161" s="62" t="n"/>
      <c r="J4161" s="58" t="n"/>
      <c r="K4161" s="63">
        <f>IF(tblMovement[[#This Row],[Source]]="","",IFERROR(INDEX(tblSources[Type],MATCH(tblMovement[[#This Row],[Source]],tblSources[Source],0)),"?"))</f>
        <v/>
      </c>
      <c r="L4161" s="63">
        <f>IF(tblMovement[[#This Row],[Destination]]="","",IFERROR(INDEX(tblDestinations[Type],MATCH(tblMovement[[#This Row],[Destination]],tblDestinations[Destination],0)),"?"))</f>
        <v/>
      </c>
      <c r="M4161" s="64">
        <f>IF(tblMovement[[#This Row],[Material]]="","",IF(LEFT(tblMovement[[#This Row],[Material]],3)="Ore",1,0))</f>
        <v/>
      </c>
      <c r="N4161" s="59">
        <f>IF(OR(tblMovement[[#This Row],[Tonnes_t]]="",tblMovement[[#This Row],[Grade_gpt]]=""),0,tblMovement[[#This Row],[Tonnes_t]]*tblMovement[[#This Row],[Grade_gpt]]/cfg_TroyOz)</f>
        <v/>
      </c>
      <c r="O4161" s="59">
        <f>IF(tblMovement[[#This Row],[Is_Ore]]=1,tblMovement[[#This Row],[Contained_oz]],0)</f>
        <v/>
      </c>
    </row>
    <row r="4162">
      <c r="A4162" s="54" t="n"/>
      <c r="B4162" s="61" t="n"/>
      <c r="C4162" s="61" t="n"/>
      <c r="D4162" s="61" t="n"/>
      <c r="E4162" s="61" t="n"/>
      <c r="F4162" s="55" t="n"/>
      <c r="G4162" s="56" t="n"/>
      <c r="H4162" s="55" t="n"/>
      <c r="I4162" s="62" t="n"/>
      <c r="J4162" s="58" t="n"/>
      <c r="K4162" s="63">
        <f>IF(tblMovement[[#This Row],[Source]]="","",IFERROR(INDEX(tblSources[Type],MATCH(tblMovement[[#This Row],[Source]],tblSources[Source],0)),"?"))</f>
        <v/>
      </c>
      <c r="L4162" s="63">
        <f>IF(tblMovement[[#This Row],[Destination]]="","",IFERROR(INDEX(tblDestinations[Type],MATCH(tblMovement[[#This Row],[Destination]],tblDestinations[Destination],0)),"?"))</f>
        <v/>
      </c>
      <c r="M4162" s="64">
        <f>IF(tblMovement[[#This Row],[Material]]="","",IF(LEFT(tblMovement[[#This Row],[Material]],3)="Ore",1,0))</f>
        <v/>
      </c>
      <c r="N4162" s="59">
        <f>IF(OR(tblMovement[[#This Row],[Tonnes_t]]="",tblMovement[[#This Row],[Grade_gpt]]=""),0,tblMovement[[#This Row],[Tonnes_t]]*tblMovement[[#This Row],[Grade_gpt]]/cfg_TroyOz)</f>
        <v/>
      </c>
      <c r="O4162" s="59">
        <f>IF(tblMovement[[#This Row],[Is_Ore]]=1,tblMovement[[#This Row],[Contained_oz]],0)</f>
        <v/>
      </c>
    </row>
    <row r="4163">
      <c r="A4163" s="54" t="n"/>
      <c r="B4163" s="61" t="n"/>
      <c r="C4163" s="61" t="n"/>
      <c r="D4163" s="61" t="n"/>
      <c r="E4163" s="61" t="n"/>
      <c r="F4163" s="55" t="n"/>
      <c r="G4163" s="56" t="n"/>
      <c r="H4163" s="55" t="n"/>
      <c r="I4163" s="62" t="n"/>
      <c r="J4163" s="58" t="n"/>
      <c r="K4163" s="63">
        <f>IF(tblMovement[[#This Row],[Source]]="","",IFERROR(INDEX(tblSources[Type],MATCH(tblMovement[[#This Row],[Source]],tblSources[Source],0)),"?"))</f>
        <v/>
      </c>
      <c r="L4163" s="63">
        <f>IF(tblMovement[[#This Row],[Destination]]="","",IFERROR(INDEX(tblDestinations[Type],MATCH(tblMovement[[#This Row],[Destination]],tblDestinations[Destination],0)),"?"))</f>
        <v/>
      </c>
      <c r="M4163" s="64">
        <f>IF(tblMovement[[#This Row],[Material]]="","",IF(LEFT(tblMovement[[#This Row],[Material]],3)="Ore",1,0))</f>
        <v/>
      </c>
      <c r="N4163" s="59">
        <f>IF(OR(tblMovement[[#This Row],[Tonnes_t]]="",tblMovement[[#This Row],[Grade_gpt]]=""),0,tblMovement[[#This Row],[Tonnes_t]]*tblMovement[[#This Row],[Grade_gpt]]/cfg_TroyOz)</f>
        <v/>
      </c>
      <c r="O4163" s="59">
        <f>IF(tblMovement[[#This Row],[Is_Ore]]=1,tblMovement[[#This Row],[Contained_oz]],0)</f>
        <v/>
      </c>
    </row>
    <row r="4164">
      <c r="A4164" s="54" t="n"/>
      <c r="B4164" s="61" t="n"/>
      <c r="C4164" s="61" t="n"/>
      <c r="D4164" s="61" t="n"/>
      <c r="E4164" s="61" t="n"/>
      <c r="F4164" s="55" t="n"/>
      <c r="G4164" s="56" t="n"/>
      <c r="H4164" s="55" t="n"/>
      <c r="I4164" s="62" t="n"/>
      <c r="J4164" s="58" t="n"/>
      <c r="K4164" s="63">
        <f>IF(tblMovement[[#This Row],[Source]]="","",IFERROR(INDEX(tblSources[Type],MATCH(tblMovement[[#This Row],[Source]],tblSources[Source],0)),"?"))</f>
        <v/>
      </c>
      <c r="L4164" s="63">
        <f>IF(tblMovement[[#This Row],[Destination]]="","",IFERROR(INDEX(tblDestinations[Type],MATCH(tblMovement[[#This Row],[Destination]],tblDestinations[Destination],0)),"?"))</f>
        <v/>
      </c>
      <c r="M4164" s="64">
        <f>IF(tblMovement[[#This Row],[Material]]="","",IF(LEFT(tblMovement[[#This Row],[Material]],3)="Ore",1,0))</f>
        <v/>
      </c>
      <c r="N4164" s="59">
        <f>IF(OR(tblMovement[[#This Row],[Tonnes_t]]="",tblMovement[[#This Row],[Grade_gpt]]=""),0,tblMovement[[#This Row],[Tonnes_t]]*tblMovement[[#This Row],[Grade_gpt]]/cfg_TroyOz)</f>
        <v/>
      </c>
      <c r="O4164" s="59">
        <f>IF(tblMovement[[#This Row],[Is_Ore]]=1,tblMovement[[#This Row],[Contained_oz]],0)</f>
        <v/>
      </c>
    </row>
    <row r="4165">
      <c r="A4165" s="54" t="n"/>
      <c r="B4165" s="61" t="n"/>
      <c r="C4165" s="61" t="n"/>
      <c r="D4165" s="61" t="n"/>
      <c r="E4165" s="61" t="n"/>
      <c r="F4165" s="55" t="n"/>
      <c r="G4165" s="56" t="n"/>
      <c r="H4165" s="55" t="n"/>
      <c r="I4165" s="62" t="n"/>
      <c r="J4165" s="58" t="n"/>
      <c r="K4165" s="63">
        <f>IF(tblMovement[[#This Row],[Source]]="","",IFERROR(INDEX(tblSources[Type],MATCH(tblMovement[[#This Row],[Source]],tblSources[Source],0)),"?"))</f>
        <v/>
      </c>
      <c r="L4165" s="63">
        <f>IF(tblMovement[[#This Row],[Destination]]="","",IFERROR(INDEX(tblDestinations[Type],MATCH(tblMovement[[#This Row],[Destination]],tblDestinations[Destination],0)),"?"))</f>
        <v/>
      </c>
      <c r="M4165" s="64">
        <f>IF(tblMovement[[#This Row],[Material]]="","",IF(LEFT(tblMovement[[#This Row],[Material]],3)="Ore",1,0))</f>
        <v/>
      </c>
      <c r="N4165" s="59">
        <f>IF(OR(tblMovement[[#This Row],[Tonnes_t]]="",tblMovement[[#This Row],[Grade_gpt]]=""),0,tblMovement[[#This Row],[Tonnes_t]]*tblMovement[[#This Row],[Grade_gpt]]/cfg_TroyOz)</f>
        <v/>
      </c>
      <c r="O4165" s="59">
        <f>IF(tblMovement[[#This Row],[Is_Ore]]=1,tblMovement[[#This Row],[Contained_oz]],0)</f>
        <v/>
      </c>
    </row>
    <row r="4166">
      <c r="A4166" s="54" t="n"/>
      <c r="B4166" s="61" t="n"/>
      <c r="C4166" s="61" t="n"/>
      <c r="D4166" s="61" t="n"/>
      <c r="E4166" s="61" t="n"/>
      <c r="F4166" s="55" t="n"/>
      <c r="G4166" s="56" t="n"/>
      <c r="H4166" s="55" t="n"/>
      <c r="I4166" s="62" t="n"/>
      <c r="J4166" s="58" t="n"/>
      <c r="K4166" s="63">
        <f>IF(tblMovement[[#This Row],[Source]]="","",IFERROR(INDEX(tblSources[Type],MATCH(tblMovement[[#This Row],[Source]],tblSources[Source],0)),"?"))</f>
        <v/>
      </c>
      <c r="L4166" s="63">
        <f>IF(tblMovement[[#This Row],[Destination]]="","",IFERROR(INDEX(tblDestinations[Type],MATCH(tblMovement[[#This Row],[Destination]],tblDestinations[Destination],0)),"?"))</f>
        <v/>
      </c>
      <c r="M4166" s="64">
        <f>IF(tblMovement[[#This Row],[Material]]="","",IF(LEFT(tblMovement[[#This Row],[Material]],3)="Ore",1,0))</f>
        <v/>
      </c>
      <c r="N4166" s="59">
        <f>IF(OR(tblMovement[[#This Row],[Tonnes_t]]="",tblMovement[[#This Row],[Grade_gpt]]=""),0,tblMovement[[#This Row],[Tonnes_t]]*tblMovement[[#This Row],[Grade_gpt]]/cfg_TroyOz)</f>
        <v/>
      </c>
      <c r="O4166" s="59">
        <f>IF(tblMovement[[#This Row],[Is_Ore]]=1,tblMovement[[#This Row],[Contained_oz]],0)</f>
        <v/>
      </c>
    </row>
    <row r="4167">
      <c r="A4167" s="54" t="n"/>
      <c r="B4167" s="61" t="n"/>
      <c r="C4167" s="61" t="n"/>
      <c r="D4167" s="61" t="n"/>
      <c r="E4167" s="61" t="n"/>
      <c r="F4167" s="55" t="n"/>
      <c r="G4167" s="56" t="n"/>
      <c r="H4167" s="55" t="n"/>
      <c r="I4167" s="62" t="n"/>
      <c r="J4167" s="58" t="n"/>
      <c r="K4167" s="63">
        <f>IF(tblMovement[[#This Row],[Source]]="","",IFERROR(INDEX(tblSources[Type],MATCH(tblMovement[[#This Row],[Source]],tblSources[Source],0)),"?"))</f>
        <v/>
      </c>
      <c r="L4167" s="63">
        <f>IF(tblMovement[[#This Row],[Destination]]="","",IFERROR(INDEX(tblDestinations[Type],MATCH(tblMovement[[#This Row],[Destination]],tblDestinations[Destination],0)),"?"))</f>
        <v/>
      </c>
      <c r="M4167" s="64">
        <f>IF(tblMovement[[#This Row],[Material]]="","",IF(LEFT(tblMovement[[#This Row],[Material]],3)="Ore",1,0))</f>
        <v/>
      </c>
      <c r="N4167" s="59">
        <f>IF(OR(tblMovement[[#This Row],[Tonnes_t]]="",tblMovement[[#This Row],[Grade_gpt]]=""),0,tblMovement[[#This Row],[Tonnes_t]]*tblMovement[[#This Row],[Grade_gpt]]/cfg_TroyOz)</f>
        <v/>
      </c>
      <c r="O4167" s="59">
        <f>IF(tblMovement[[#This Row],[Is_Ore]]=1,tblMovement[[#This Row],[Contained_oz]],0)</f>
        <v/>
      </c>
    </row>
    <row r="4168">
      <c r="A4168" s="54" t="n"/>
      <c r="B4168" s="61" t="n"/>
      <c r="C4168" s="61" t="n"/>
      <c r="D4168" s="61" t="n"/>
      <c r="E4168" s="61" t="n"/>
      <c r="F4168" s="55" t="n"/>
      <c r="G4168" s="56" t="n"/>
      <c r="H4168" s="55" t="n"/>
      <c r="I4168" s="62" t="n"/>
      <c r="J4168" s="58" t="n"/>
      <c r="K4168" s="63">
        <f>IF(tblMovement[[#This Row],[Source]]="","",IFERROR(INDEX(tblSources[Type],MATCH(tblMovement[[#This Row],[Source]],tblSources[Source],0)),"?"))</f>
        <v/>
      </c>
      <c r="L4168" s="63">
        <f>IF(tblMovement[[#This Row],[Destination]]="","",IFERROR(INDEX(tblDestinations[Type],MATCH(tblMovement[[#This Row],[Destination]],tblDestinations[Destination],0)),"?"))</f>
        <v/>
      </c>
      <c r="M4168" s="64">
        <f>IF(tblMovement[[#This Row],[Material]]="","",IF(LEFT(tblMovement[[#This Row],[Material]],3)="Ore",1,0))</f>
        <v/>
      </c>
      <c r="N4168" s="59">
        <f>IF(OR(tblMovement[[#This Row],[Tonnes_t]]="",tblMovement[[#This Row],[Grade_gpt]]=""),0,tblMovement[[#This Row],[Tonnes_t]]*tblMovement[[#This Row],[Grade_gpt]]/cfg_TroyOz)</f>
        <v/>
      </c>
      <c r="O4168" s="59">
        <f>IF(tblMovement[[#This Row],[Is_Ore]]=1,tblMovement[[#This Row],[Contained_oz]],0)</f>
        <v/>
      </c>
    </row>
    <row r="4169">
      <c r="A4169" s="54" t="n"/>
      <c r="B4169" s="61" t="n"/>
      <c r="C4169" s="61" t="n"/>
      <c r="D4169" s="61" t="n"/>
      <c r="E4169" s="61" t="n"/>
      <c r="F4169" s="55" t="n"/>
      <c r="G4169" s="56" t="n"/>
      <c r="H4169" s="55" t="n"/>
      <c r="I4169" s="62" t="n"/>
      <c r="J4169" s="58" t="n"/>
      <c r="K4169" s="63">
        <f>IF(tblMovement[[#This Row],[Source]]="","",IFERROR(INDEX(tblSources[Type],MATCH(tblMovement[[#This Row],[Source]],tblSources[Source],0)),"?"))</f>
        <v/>
      </c>
      <c r="L4169" s="63">
        <f>IF(tblMovement[[#This Row],[Destination]]="","",IFERROR(INDEX(tblDestinations[Type],MATCH(tblMovement[[#This Row],[Destination]],tblDestinations[Destination],0)),"?"))</f>
        <v/>
      </c>
      <c r="M4169" s="64">
        <f>IF(tblMovement[[#This Row],[Material]]="","",IF(LEFT(tblMovement[[#This Row],[Material]],3)="Ore",1,0))</f>
        <v/>
      </c>
      <c r="N4169" s="59">
        <f>IF(OR(tblMovement[[#This Row],[Tonnes_t]]="",tblMovement[[#This Row],[Grade_gpt]]=""),0,tblMovement[[#This Row],[Tonnes_t]]*tblMovement[[#This Row],[Grade_gpt]]/cfg_TroyOz)</f>
        <v/>
      </c>
      <c r="O4169" s="59">
        <f>IF(tblMovement[[#This Row],[Is_Ore]]=1,tblMovement[[#This Row],[Contained_oz]],0)</f>
        <v/>
      </c>
    </row>
    <row r="4170">
      <c r="A4170" s="54" t="n"/>
      <c r="B4170" s="61" t="n"/>
      <c r="C4170" s="61" t="n"/>
      <c r="D4170" s="61" t="n"/>
      <c r="E4170" s="61" t="n"/>
      <c r="F4170" s="55" t="n"/>
      <c r="G4170" s="56" t="n"/>
      <c r="H4170" s="55" t="n"/>
      <c r="I4170" s="62" t="n"/>
      <c r="J4170" s="58" t="n"/>
      <c r="K4170" s="63">
        <f>IF(tblMovement[[#This Row],[Source]]="","",IFERROR(INDEX(tblSources[Type],MATCH(tblMovement[[#This Row],[Source]],tblSources[Source],0)),"?"))</f>
        <v/>
      </c>
      <c r="L4170" s="63">
        <f>IF(tblMovement[[#This Row],[Destination]]="","",IFERROR(INDEX(tblDestinations[Type],MATCH(tblMovement[[#This Row],[Destination]],tblDestinations[Destination],0)),"?"))</f>
        <v/>
      </c>
      <c r="M4170" s="64">
        <f>IF(tblMovement[[#This Row],[Material]]="","",IF(LEFT(tblMovement[[#This Row],[Material]],3)="Ore",1,0))</f>
        <v/>
      </c>
      <c r="N4170" s="59">
        <f>IF(OR(tblMovement[[#This Row],[Tonnes_t]]="",tblMovement[[#This Row],[Grade_gpt]]=""),0,tblMovement[[#This Row],[Tonnes_t]]*tblMovement[[#This Row],[Grade_gpt]]/cfg_TroyOz)</f>
        <v/>
      </c>
      <c r="O4170" s="59">
        <f>IF(tblMovement[[#This Row],[Is_Ore]]=1,tblMovement[[#This Row],[Contained_oz]],0)</f>
        <v/>
      </c>
    </row>
    <row r="4171">
      <c r="A4171" s="54" t="n"/>
      <c r="B4171" s="61" t="n"/>
      <c r="C4171" s="61" t="n"/>
      <c r="D4171" s="61" t="n"/>
      <c r="E4171" s="61" t="n"/>
      <c r="F4171" s="55" t="n"/>
      <c r="G4171" s="56" t="n"/>
      <c r="H4171" s="55" t="n"/>
      <c r="I4171" s="62" t="n"/>
      <c r="J4171" s="58" t="n"/>
      <c r="K4171" s="63">
        <f>IF(tblMovement[[#This Row],[Source]]="","",IFERROR(INDEX(tblSources[Type],MATCH(tblMovement[[#This Row],[Source]],tblSources[Source],0)),"?"))</f>
        <v/>
      </c>
      <c r="L4171" s="63">
        <f>IF(tblMovement[[#This Row],[Destination]]="","",IFERROR(INDEX(tblDestinations[Type],MATCH(tblMovement[[#This Row],[Destination]],tblDestinations[Destination],0)),"?"))</f>
        <v/>
      </c>
      <c r="M4171" s="64">
        <f>IF(tblMovement[[#This Row],[Material]]="","",IF(LEFT(tblMovement[[#This Row],[Material]],3)="Ore",1,0))</f>
        <v/>
      </c>
      <c r="N4171" s="59">
        <f>IF(OR(tblMovement[[#This Row],[Tonnes_t]]="",tblMovement[[#This Row],[Grade_gpt]]=""),0,tblMovement[[#This Row],[Tonnes_t]]*tblMovement[[#This Row],[Grade_gpt]]/cfg_TroyOz)</f>
        <v/>
      </c>
      <c r="O4171" s="59">
        <f>IF(tblMovement[[#This Row],[Is_Ore]]=1,tblMovement[[#This Row],[Contained_oz]],0)</f>
        <v/>
      </c>
    </row>
    <row r="4172">
      <c r="A4172" s="54" t="n"/>
      <c r="B4172" s="61" t="n"/>
      <c r="C4172" s="61" t="n"/>
      <c r="D4172" s="61" t="n"/>
      <c r="E4172" s="61" t="n"/>
      <c r="F4172" s="55" t="n"/>
      <c r="G4172" s="56" t="n"/>
      <c r="H4172" s="55" t="n"/>
      <c r="I4172" s="62" t="n"/>
      <c r="J4172" s="58" t="n"/>
      <c r="K4172" s="63">
        <f>IF(tblMovement[[#This Row],[Source]]="","",IFERROR(INDEX(tblSources[Type],MATCH(tblMovement[[#This Row],[Source]],tblSources[Source],0)),"?"))</f>
        <v/>
      </c>
      <c r="L4172" s="63">
        <f>IF(tblMovement[[#This Row],[Destination]]="","",IFERROR(INDEX(tblDestinations[Type],MATCH(tblMovement[[#This Row],[Destination]],tblDestinations[Destination],0)),"?"))</f>
        <v/>
      </c>
      <c r="M4172" s="64">
        <f>IF(tblMovement[[#This Row],[Material]]="","",IF(LEFT(tblMovement[[#This Row],[Material]],3)="Ore",1,0))</f>
        <v/>
      </c>
      <c r="N4172" s="59">
        <f>IF(OR(tblMovement[[#This Row],[Tonnes_t]]="",tblMovement[[#This Row],[Grade_gpt]]=""),0,tblMovement[[#This Row],[Tonnes_t]]*tblMovement[[#This Row],[Grade_gpt]]/cfg_TroyOz)</f>
        <v/>
      </c>
      <c r="O4172" s="59">
        <f>IF(tblMovement[[#This Row],[Is_Ore]]=1,tblMovement[[#This Row],[Contained_oz]],0)</f>
        <v/>
      </c>
    </row>
    <row r="4173">
      <c r="A4173" s="54" t="n"/>
      <c r="B4173" s="61" t="n"/>
      <c r="C4173" s="61" t="n"/>
      <c r="D4173" s="61" t="n"/>
      <c r="E4173" s="61" t="n"/>
      <c r="F4173" s="55" t="n"/>
      <c r="G4173" s="56" t="n"/>
      <c r="H4173" s="55" t="n"/>
      <c r="I4173" s="62" t="n"/>
      <c r="J4173" s="58" t="n"/>
      <c r="K4173" s="63">
        <f>IF(tblMovement[[#This Row],[Source]]="","",IFERROR(INDEX(tblSources[Type],MATCH(tblMovement[[#This Row],[Source]],tblSources[Source],0)),"?"))</f>
        <v/>
      </c>
      <c r="L4173" s="63">
        <f>IF(tblMovement[[#This Row],[Destination]]="","",IFERROR(INDEX(tblDestinations[Type],MATCH(tblMovement[[#This Row],[Destination]],tblDestinations[Destination],0)),"?"))</f>
        <v/>
      </c>
      <c r="M4173" s="64">
        <f>IF(tblMovement[[#This Row],[Material]]="","",IF(LEFT(tblMovement[[#This Row],[Material]],3)="Ore",1,0))</f>
        <v/>
      </c>
      <c r="N4173" s="59">
        <f>IF(OR(tblMovement[[#This Row],[Tonnes_t]]="",tblMovement[[#This Row],[Grade_gpt]]=""),0,tblMovement[[#This Row],[Tonnes_t]]*tblMovement[[#This Row],[Grade_gpt]]/cfg_TroyOz)</f>
        <v/>
      </c>
      <c r="O4173" s="59">
        <f>IF(tblMovement[[#This Row],[Is_Ore]]=1,tblMovement[[#This Row],[Contained_oz]],0)</f>
        <v/>
      </c>
    </row>
    <row r="4174">
      <c r="A4174" s="54" t="n"/>
      <c r="B4174" s="61" t="n"/>
      <c r="C4174" s="61" t="n"/>
      <c r="D4174" s="61" t="n"/>
      <c r="E4174" s="61" t="n"/>
      <c r="F4174" s="55" t="n"/>
      <c r="G4174" s="56" t="n"/>
      <c r="H4174" s="55" t="n"/>
      <c r="I4174" s="62" t="n"/>
      <c r="J4174" s="58" t="n"/>
      <c r="K4174" s="63">
        <f>IF(tblMovement[[#This Row],[Source]]="","",IFERROR(INDEX(tblSources[Type],MATCH(tblMovement[[#This Row],[Source]],tblSources[Source],0)),"?"))</f>
        <v/>
      </c>
      <c r="L4174" s="63">
        <f>IF(tblMovement[[#This Row],[Destination]]="","",IFERROR(INDEX(tblDestinations[Type],MATCH(tblMovement[[#This Row],[Destination]],tblDestinations[Destination],0)),"?"))</f>
        <v/>
      </c>
      <c r="M4174" s="64">
        <f>IF(tblMovement[[#This Row],[Material]]="","",IF(LEFT(tblMovement[[#This Row],[Material]],3)="Ore",1,0))</f>
        <v/>
      </c>
      <c r="N4174" s="59">
        <f>IF(OR(tblMovement[[#This Row],[Tonnes_t]]="",tblMovement[[#This Row],[Grade_gpt]]=""),0,tblMovement[[#This Row],[Tonnes_t]]*tblMovement[[#This Row],[Grade_gpt]]/cfg_TroyOz)</f>
        <v/>
      </c>
      <c r="O4174" s="59">
        <f>IF(tblMovement[[#This Row],[Is_Ore]]=1,tblMovement[[#This Row],[Contained_oz]],0)</f>
        <v/>
      </c>
    </row>
    <row r="4175">
      <c r="A4175" s="54" t="n"/>
      <c r="B4175" s="61" t="n"/>
      <c r="C4175" s="61" t="n"/>
      <c r="D4175" s="61" t="n"/>
      <c r="E4175" s="61" t="n"/>
      <c r="F4175" s="55" t="n"/>
      <c r="G4175" s="56" t="n"/>
      <c r="H4175" s="55" t="n"/>
      <c r="I4175" s="62" t="n"/>
      <c r="J4175" s="58" t="n"/>
      <c r="K4175" s="63">
        <f>IF(tblMovement[[#This Row],[Source]]="","",IFERROR(INDEX(tblSources[Type],MATCH(tblMovement[[#This Row],[Source]],tblSources[Source],0)),"?"))</f>
        <v/>
      </c>
      <c r="L4175" s="63">
        <f>IF(tblMovement[[#This Row],[Destination]]="","",IFERROR(INDEX(tblDestinations[Type],MATCH(tblMovement[[#This Row],[Destination]],tblDestinations[Destination],0)),"?"))</f>
        <v/>
      </c>
      <c r="M4175" s="64">
        <f>IF(tblMovement[[#This Row],[Material]]="","",IF(LEFT(tblMovement[[#This Row],[Material]],3)="Ore",1,0))</f>
        <v/>
      </c>
      <c r="N4175" s="59">
        <f>IF(OR(tblMovement[[#This Row],[Tonnes_t]]="",tblMovement[[#This Row],[Grade_gpt]]=""),0,tblMovement[[#This Row],[Tonnes_t]]*tblMovement[[#This Row],[Grade_gpt]]/cfg_TroyOz)</f>
        <v/>
      </c>
      <c r="O4175" s="59">
        <f>IF(tblMovement[[#This Row],[Is_Ore]]=1,tblMovement[[#This Row],[Contained_oz]],0)</f>
        <v/>
      </c>
    </row>
    <row r="4176">
      <c r="A4176" s="54" t="n"/>
      <c r="B4176" s="61" t="n"/>
      <c r="C4176" s="61" t="n"/>
      <c r="D4176" s="61" t="n"/>
      <c r="E4176" s="61" t="n"/>
      <c r="F4176" s="55" t="n"/>
      <c r="G4176" s="56" t="n"/>
      <c r="H4176" s="55" t="n"/>
      <c r="I4176" s="62" t="n"/>
      <c r="J4176" s="58" t="n"/>
      <c r="K4176" s="63">
        <f>IF(tblMovement[[#This Row],[Source]]="","",IFERROR(INDEX(tblSources[Type],MATCH(tblMovement[[#This Row],[Source]],tblSources[Source],0)),"?"))</f>
        <v/>
      </c>
      <c r="L4176" s="63">
        <f>IF(tblMovement[[#This Row],[Destination]]="","",IFERROR(INDEX(tblDestinations[Type],MATCH(tblMovement[[#This Row],[Destination]],tblDestinations[Destination],0)),"?"))</f>
        <v/>
      </c>
      <c r="M4176" s="64">
        <f>IF(tblMovement[[#This Row],[Material]]="","",IF(LEFT(tblMovement[[#This Row],[Material]],3)="Ore",1,0))</f>
        <v/>
      </c>
      <c r="N4176" s="59">
        <f>IF(OR(tblMovement[[#This Row],[Tonnes_t]]="",tblMovement[[#This Row],[Grade_gpt]]=""),0,tblMovement[[#This Row],[Tonnes_t]]*tblMovement[[#This Row],[Grade_gpt]]/cfg_TroyOz)</f>
        <v/>
      </c>
      <c r="O4176" s="59">
        <f>IF(tblMovement[[#This Row],[Is_Ore]]=1,tblMovement[[#This Row],[Contained_oz]],0)</f>
        <v/>
      </c>
    </row>
    <row r="4177">
      <c r="A4177" s="54" t="n"/>
      <c r="B4177" s="61" t="n"/>
      <c r="C4177" s="61" t="n"/>
      <c r="D4177" s="61" t="n"/>
      <c r="E4177" s="61" t="n"/>
      <c r="F4177" s="55" t="n"/>
      <c r="G4177" s="56" t="n"/>
      <c r="H4177" s="55" t="n"/>
      <c r="I4177" s="62" t="n"/>
      <c r="J4177" s="58" t="n"/>
      <c r="K4177" s="63">
        <f>IF(tblMovement[[#This Row],[Source]]="","",IFERROR(INDEX(tblSources[Type],MATCH(tblMovement[[#This Row],[Source]],tblSources[Source],0)),"?"))</f>
        <v/>
      </c>
      <c r="L4177" s="63">
        <f>IF(tblMovement[[#This Row],[Destination]]="","",IFERROR(INDEX(tblDestinations[Type],MATCH(tblMovement[[#This Row],[Destination]],tblDestinations[Destination],0)),"?"))</f>
        <v/>
      </c>
      <c r="M4177" s="64">
        <f>IF(tblMovement[[#This Row],[Material]]="","",IF(LEFT(tblMovement[[#This Row],[Material]],3)="Ore",1,0))</f>
        <v/>
      </c>
      <c r="N4177" s="59">
        <f>IF(OR(tblMovement[[#This Row],[Tonnes_t]]="",tblMovement[[#This Row],[Grade_gpt]]=""),0,tblMovement[[#This Row],[Tonnes_t]]*tblMovement[[#This Row],[Grade_gpt]]/cfg_TroyOz)</f>
        <v/>
      </c>
      <c r="O4177" s="59">
        <f>IF(tblMovement[[#This Row],[Is_Ore]]=1,tblMovement[[#This Row],[Contained_oz]],0)</f>
        <v/>
      </c>
    </row>
    <row r="4178">
      <c r="A4178" s="54" t="n"/>
      <c r="B4178" s="61" t="n"/>
      <c r="C4178" s="61" t="n"/>
      <c r="D4178" s="61" t="n"/>
      <c r="E4178" s="61" t="n"/>
      <c r="F4178" s="55" t="n"/>
      <c r="G4178" s="56" t="n"/>
      <c r="H4178" s="55" t="n"/>
      <c r="I4178" s="62" t="n"/>
      <c r="J4178" s="58" t="n"/>
      <c r="K4178" s="63">
        <f>IF(tblMovement[[#This Row],[Source]]="","",IFERROR(INDEX(tblSources[Type],MATCH(tblMovement[[#This Row],[Source]],tblSources[Source],0)),"?"))</f>
        <v/>
      </c>
      <c r="L4178" s="63">
        <f>IF(tblMovement[[#This Row],[Destination]]="","",IFERROR(INDEX(tblDestinations[Type],MATCH(tblMovement[[#This Row],[Destination]],tblDestinations[Destination],0)),"?"))</f>
        <v/>
      </c>
      <c r="M4178" s="64">
        <f>IF(tblMovement[[#This Row],[Material]]="","",IF(LEFT(tblMovement[[#This Row],[Material]],3)="Ore",1,0))</f>
        <v/>
      </c>
      <c r="N4178" s="59">
        <f>IF(OR(tblMovement[[#This Row],[Tonnes_t]]="",tblMovement[[#This Row],[Grade_gpt]]=""),0,tblMovement[[#This Row],[Tonnes_t]]*tblMovement[[#This Row],[Grade_gpt]]/cfg_TroyOz)</f>
        <v/>
      </c>
      <c r="O4178" s="59">
        <f>IF(tblMovement[[#This Row],[Is_Ore]]=1,tblMovement[[#This Row],[Contained_oz]],0)</f>
        <v/>
      </c>
    </row>
    <row r="4179">
      <c r="A4179" s="54" t="n"/>
      <c r="B4179" s="61" t="n"/>
      <c r="C4179" s="61" t="n"/>
      <c r="D4179" s="61" t="n"/>
      <c r="E4179" s="61" t="n"/>
      <c r="F4179" s="55" t="n"/>
      <c r="G4179" s="56" t="n"/>
      <c r="H4179" s="55" t="n"/>
      <c r="I4179" s="62" t="n"/>
      <c r="J4179" s="58" t="n"/>
      <c r="K4179" s="63">
        <f>IF(tblMovement[[#This Row],[Source]]="","",IFERROR(INDEX(tblSources[Type],MATCH(tblMovement[[#This Row],[Source]],tblSources[Source],0)),"?"))</f>
        <v/>
      </c>
      <c r="L4179" s="63">
        <f>IF(tblMovement[[#This Row],[Destination]]="","",IFERROR(INDEX(tblDestinations[Type],MATCH(tblMovement[[#This Row],[Destination]],tblDestinations[Destination],0)),"?"))</f>
        <v/>
      </c>
      <c r="M4179" s="64">
        <f>IF(tblMovement[[#This Row],[Material]]="","",IF(LEFT(tblMovement[[#This Row],[Material]],3)="Ore",1,0))</f>
        <v/>
      </c>
      <c r="N4179" s="59">
        <f>IF(OR(tblMovement[[#This Row],[Tonnes_t]]="",tblMovement[[#This Row],[Grade_gpt]]=""),0,tblMovement[[#This Row],[Tonnes_t]]*tblMovement[[#This Row],[Grade_gpt]]/cfg_TroyOz)</f>
        <v/>
      </c>
      <c r="O4179" s="59">
        <f>IF(tblMovement[[#This Row],[Is_Ore]]=1,tblMovement[[#This Row],[Contained_oz]],0)</f>
        <v/>
      </c>
    </row>
    <row r="4180">
      <c r="A4180" s="54" t="n"/>
      <c r="B4180" s="61" t="n"/>
      <c r="C4180" s="61" t="n"/>
      <c r="D4180" s="61" t="n"/>
      <c r="E4180" s="61" t="n"/>
      <c r="F4180" s="55" t="n"/>
      <c r="G4180" s="56" t="n"/>
      <c r="H4180" s="55" t="n"/>
      <c r="I4180" s="62" t="n"/>
      <c r="J4180" s="58" t="n"/>
      <c r="K4180" s="63">
        <f>IF(tblMovement[[#This Row],[Source]]="","",IFERROR(INDEX(tblSources[Type],MATCH(tblMovement[[#This Row],[Source]],tblSources[Source],0)),"?"))</f>
        <v/>
      </c>
      <c r="L4180" s="63">
        <f>IF(tblMovement[[#This Row],[Destination]]="","",IFERROR(INDEX(tblDestinations[Type],MATCH(tblMovement[[#This Row],[Destination]],tblDestinations[Destination],0)),"?"))</f>
        <v/>
      </c>
      <c r="M4180" s="64">
        <f>IF(tblMovement[[#This Row],[Material]]="","",IF(LEFT(tblMovement[[#This Row],[Material]],3)="Ore",1,0))</f>
        <v/>
      </c>
      <c r="N4180" s="59">
        <f>IF(OR(tblMovement[[#This Row],[Tonnes_t]]="",tblMovement[[#This Row],[Grade_gpt]]=""),0,tblMovement[[#This Row],[Tonnes_t]]*tblMovement[[#This Row],[Grade_gpt]]/cfg_TroyOz)</f>
        <v/>
      </c>
      <c r="O4180" s="59">
        <f>IF(tblMovement[[#This Row],[Is_Ore]]=1,tblMovement[[#This Row],[Contained_oz]],0)</f>
        <v/>
      </c>
    </row>
    <row r="4181">
      <c r="A4181" s="54" t="n"/>
      <c r="B4181" s="61" t="n"/>
      <c r="C4181" s="61" t="n"/>
      <c r="D4181" s="61" t="n"/>
      <c r="E4181" s="61" t="n"/>
      <c r="F4181" s="55" t="n"/>
      <c r="G4181" s="56" t="n"/>
      <c r="H4181" s="55" t="n"/>
      <c r="I4181" s="62" t="n"/>
      <c r="J4181" s="58" t="n"/>
      <c r="K4181" s="63">
        <f>IF(tblMovement[[#This Row],[Source]]="","",IFERROR(INDEX(tblSources[Type],MATCH(tblMovement[[#This Row],[Source]],tblSources[Source],0)),"?"))</f>
        <v/>
      </c>
      <c r="L4181" s="63">
        <f>IF(tblMovement[[#This Row],[Destination]]="","",IFERROR(INDEX(tblDestinations[Type],MATCH(tblMovement[[#This Row],[Destination]],tblDestinations[Destination],0)),"?"))</f>
        <v/>
      </c>
      <c r="M4181" s="64">
        <f>IF(tblMovement[[#This Row],[Material]]="","",IF(LEFT(tblMovement[[#This Row],[Material]],3)="Ore",1,0))</f>
        <v/>
      </c>
      <c r="N4181" s="59">
        <f>IF(OR(tblMovement[[#This Row],[Tonnes_t]]="",tblMovement[[#This Row],[Grade_gpt]]=""),0,tblMovement[[#This Row],[Tonnes_t]]*tblMovement[[#This Row],[Grade_gpt]]/cfg_TroyOz)</f>
        <v/>
      </c>
      <c r="O4181" s="59">
        <f>IF(tblMovement[[#This Row],[Is_Ore]]=1,tblMovement[[#This Row],[Contained_oz]],0)</f>
        <v/>
      </c>
    </row>
    <row r="4182">
      <c r="A4182" s="54" t="n"/>
      <c r="B4182" s="61" t="n"/>
      <c r="C4182" s="61" t="n"/>
      <c r="D4182" s="61" t="n"/>
      <c r="E4182" s="61" t="n"/>
      <c r="F4182" s="55" t="n"/>
      <c r="G4182" s="56" t="n"/>
      <c r="H4182" s="55" t="n"/>
      <c r="I4182" s="62" t="n"/>
      <c r="J4182" s="58" t="n"/>
      <c r="K4182" s="63">
        <f>IF(tblMovement[[#This Row],[Source]]="","",IFERROR(INDEX(tblSources[Type],MATCH(tblMovement[[#This Row],[Source]],tblSources[Source],0)),"?"))</f>
        <v/>
      </c>
      <c r="L4182" s="63">
        <f>IF(tblMovement[[#This Row],[Destination]]="","",IFERROR(INDEX(tblDestinations[Type],MATCH(tblMovement[[#This Row],[Destination]],tblDestinations[Destination],0)),"?"))</f>
        <v/>
      </c>
      <c r="M4182" s="64">
        <f>IF(tblMovement[[#This Row],[Material]]="","",IF(LEFT(tblMovement[[#This Row],[Material]],3)="Ore",1,0))</f>
        <v/>
      </c>
      <c r="N4182" s="59">
        <f>IF(OR(tblMovement[[#This Row],[Tonnes_t]]="",tblMovement[[#This Row],[Grade_gpt]]=""),0,tblMovement[[#This Row],[Tonnes_t]]*tblMovement[[#This Row],[Grade_gpt]]/cfg_TroyOz)</f>
        <v/>
      </c>
      <c r="O4182" s="59">
        <f>IF(tblMovement[[#This Row],[Is_Ore]]=1,tblMovement[[#This Row],[Contained_oz]],0)</f>
        <v/>
      </c>
    </row>
    <row r="4183">
      <c r="A4183" s="54" t="n"/>
      <c r="B4183" s="61" t="n"/>
      <c r="C4183" s="61" t="n"/>
      <c r="D4183" s="61" t="n"/>
      <c r="E4183" s="61" t="n"/>
      <c r="F4183" s="55" t="n"/>
      <c r="G4183" s="56" t="n"/>
      <c r="H4183" s="55" t="n"/>
      <c r="I4183" s="62" t="n"/>
      <c r="J4183" s="58" t="n"/>
      <c r="K4183" s="63">
        <f>IF(tblMovement[[#This Row],[Source]]="","",IFERROR(INDEX(tblSources[Type],MATCH(tblMovement[[#This Row],[Source]],tblSources[Source],0)),"?"))</f>
        <v/>
      </c>
      <c r="L4183" s="63">
        <f>IF(tblMovement[[#This Row],[Destination]]="","",IFERROR(INDEX(tblDestinations[Type],MATCH(tblMovement[[#This Row],[Destination]],tblDestinations[Destination],0)),"?"))</f>
        <v/>
      </c>
      <c r="M4183" s="64">
        <f>IF(tblMovement[[#This Row],[Material]]="","",IF(LEFT(tblMovement[[#This Row],[Material]],3)="Ore",1,0))</f>
        <v/>
      </c>
      <c r="N4183" s="59">
        <f>IF(OR(tblMovement[[#This Row],[Tonnes_t]]="",tblMovement[[#This Row],[Grade_gpt]]=""),0,tblMovement[[#This Row],[Tonnes_t]]*tblMovement[[#This Row],[Grade_gpt]]/cfg_TroyOz)</f>
        <v/>
      </c>
      <c r="O4183" s="59">
        <f>IF(tblMovement[[#This Row],[Is_Ore]]=1,tblMovement[[#This Row],[Contained_oz]],0)</f>
        <v/>
      </c>
    </row>
    <row r="4184">
      <c r="A4184" s="54" t="n"/>
      <c r="B4184" s="61" t="n"/>
      <c r="C4184" s="61" t="n"/>
      <c r="D4184" s="61" t="n"/>
      <c r="E4184" s="61" t="n"/>
      <c r="F4184" s="55" t="n"/>
      <c r="G4184" s="56" t="n"/>
      <c r="H4184" s="55" t="n"/>
      <c r="I4184" s="62" t="n"/>
      <c r="J4184" s="58" t="n"/>
      <c r="K4184" s="63">
        <f>IF(tblMovement[[#This Row],[Source]]="","",IFERROR(INDEX(tblSources[Type],MATCH(tblMovement[[#This Row],[Source]],tblSources[Source],0)),"?"))</f>
        <v/>
      </c>
      <c r="L4184" s="63">
        <f>IF(tblMovement[[#This Row],[Destination]]="","",IFERROR(INDEX(tblDestinations[Type],MATCH(tblMovement[[#This Row],[Destination]],tblDestinations[Destination],0)),"?"))</f>
        <v/>
      </c>
      <c r="M4184" s="64">
        <f>IF(tblMovement[[#This Row],[Material]]="","",IF(LEFT(tblMovement[[#This Row],[Material]],3)="Ore",1,0))</f>
        <v/>
      </c>
      <c r="N4184" s="59">
        <f>IF(OR(tblMovement[[#This Row],[Tonnes_t]]="",tblMovement[[#This Row],[Grade_gpt]]=""),0,tblMovement[[#This Row],[Tonnes_t]]*tblMovement[[#This Row],[Grade_gpt]]/cfg_TroyOz)</f>
        <v/>
      </c>
      <c r="O4184" s="59">
        <f>IF(tblMovement[[#This Row],[Is_Ore]]=1,tblMovement[[#This Row],[Contained_oz]],0)</f>
        <v/>
      </c>
    </row>
    <row r="4185">
      <c r="A4185" s="54" t="n"/>
      <c r="B4185" s="61" t="n"/>
      <c r="C4185" s="61" t="n"/>
      <c r="D4185" s="61" t="n"/>
      <c r="E4185" s="61" t="n"/>
      <c r="F4185" s="55" t="n"/>
      <c r="G4185" s="56" t="n"/>
      <c r="H4185" s="55" t="n"/>
      <c r="I4185" s="62" t="n"/>
      <c r="J4185" s="58" t="n"/>
      <c r="K4185" s="63">
        <f>IF(tblMovement[[#This Row],[Source]]="","",IFERROR(INDEX(tblSources[Type],MATCH(tblMovement[[#This Row],[Source]],tblSources[Source],0)),"?"))</f>
        <v/>
      </c>
      <c r="L4185" s="63">
        <f>IF(tblMovement[[#This Row],[Destination]]="","",IFERROR(INDEX(tblDestinations[Type],MATCH(tblMovement[[#This Row],[Destination]],tblDestinations[Destination],0)),"?"))</f>
        <v/>
      </c>
      <c r="M4185" s="64">
        <f>IF(tblMovement[[#This Row],[Material]]="","",IF(LEFT(tblMovement[[#This Row],[Material]],3)="Ore",1,0))</f>
        <v/>
      </c>
      <c r="N4185" s="59">
        <f>IF(OR(tblMovement[[#This Row],[Tonnes_t]]="",tblMovement[[#This Row],[Grade_gpt]]=""),0,tblMovement[[#This Row],[Tonnes_t]]*tblMovement[[#This Row],[Grade_gpt]]/cfg_TroyOz)</f>
        <v/>
      </c>
      <c r="O4185" s="59">
        <f>IF(tblMovement[[#This Row],[Is_Ore]]=1,tblMovement[[#This Row],[Contained_oz]],0)</f>
        <v/>
      </c>
    </row>
    <row r="4186">
      <c r="A4186" s="54" t="n"/>
      <c r="B4186" s="61" t="n"/>
      <c r="C4186" s="61" t="n"/>
      <c r="D4186" s="61" t="n"/>
      <c r="E4186" s="61" t="n"/>
      <c r="F4186" s="55" t="n"/>
      <c r="G4186" s="56" t="n"/>
      <c r="H4186" s="55" t="n"/>
      <c r="I4186" s="62" t="n"/>
      <c r="J4186" s="58" t="n"/>
      <c r="K4186" s="63">
        <f>IF(tblMovement[[#This Row],[Source]]="","",IFERROR(INDEX(tblSources[Type],MATCH(tblMovement[[#This Row],[Source]],tblSources[Source],0)),"?"))</f>
        <v/>
      </c>
      <c r="L4186" s="63">
        <f>IF(tblMovement[[#This Row],[Destination]]="","",IFERROR(INDEX(tblDestinations[Type],MATCH(tblMovement[[#This Row],[Destination]],tblDestinations[Destination],0)),"?"))</f>
        <v/>
      </c>
      <c r="M4186" s="64">
        <f>IF(tblMovement[[#This Row],[Material]]="","",IF(LEFT(tblMovement[[#This Row],[Material]],3)="Ore",1,0))</f>
        <v/>
      </c>
      <c r="N4186" s="59">
        <f>IF(OR(tblMovement[[#This Row],[Tonnes_t]]="",tblMovement[[#This Row],[Grade_gpt]]=""),0,tblMovement[[#This Row],[Tonnes_t]]*tblMovement[[#This Row],[Grade_gpt]]/cfg_TroyOz)</f>
        <v/>
      </c>
      <c r="O4186" s="59">
        <f>IF(tblMovement[[#This Row],[Is_Ore]]=1,tblMovement[[#This Row],[Contained_oz]],0)</f>
        <v/>
      </c>
    </row>
    <row r="4187">
      <c r="A4187" s="54" t="n"/>
      <c r="B4187" s="61" t="n"/>
      <c r="C4187" s="61" t="n"/>
      <c r="D4187" s="61" t="n"/>
      <c r="E4187" s="61" t="n"/>
      <c r="F4187" s="55" t="n"/>
      <c r="G4187" s="56" t="n"/>
      <c r="H4187" s="55" t="n"/>
      <c r="I4187" s="62" t="n"/>
      <c r="J4187" s="58" t="n"/>
      <c r="K4187" s="63">
        <f>IF(tblMovement[[#This Row],[Source]]="","",IFERROR(INDEX(tblSources[Type],MATCH(tblMovement[[#This Row],[Source]],tblSources[Source],0)),"?"))</f>
        <v/>
      </c>
      <c r="L4187" s="63">
        <f>IF(tblMovement[[#This Row],[Destination]]="","",IFERROR(INDEX(tblDestinations[Type],MATCH(tblMovement[[#This Row],[Destination]],tblDestinations[Destination],0)),"?"))</f>
        <v/>
      </c>
      <c r="M4187" s="64">
        <f>IF(tblMovement[[#This Row],[Material]]="","",IF(LEFT(tblMovement[[#This Row],[Material]],3)="Ore",1,0))</f>
        <v/>
      </c>
      <c r="N4187" s="59">
        <f>IF(OR(tblMovement[[#This Row],[Tonnes_t]]="",tblMovement[[#This Row],[Grade_gpt]]=""),0,tblMovement[[#This Row],[Tonnes_t]]*tblMovement[[#This Row],[Grade_gpt]]/cfg_TroyOz)</f>
        <v/>
      </c>
      <c r="O4187" s="59">
        <f>IF(tblMovement[[#This Row],[Is_Ore]]=1,tblMovement[[#This Row],[Contained_oz]],0)</f>
        <v/>
      </c>
    </row>
    <row r="4188">
      <c r="A4188" s="54" t="n"/>
      <c r="B4188" s="61" t="n"/>
      <c r="C4188" s="61" t="n"/>
      <c r="D4188" s="61" t="n"/>
      <c r="E4188" s="61" t="n"/>
      <c r="F4188" s="55" t="n"/>
      <c r="G4188" s="56" t="n"/>
      <c r="H4188" s="55" t="n"/>
      <c r="I4188" s="62" t="n"/>
      <c r="J4188" s="58" t="n"/>
      <c r="K4188" s="63">
        <f>IF(tblMovement[[#This Row],[Source]]="","",IFERROR(INDEX(tblSources[Type],MATCH(tblMovement[[#This Row],[Source]],tblSources[Source],0)),"?"))</f>
        <v/>
      </c>
      <c r="L4188" s="63">
        <f>IF(tblMovement[[#This Row],[Destination]]="","",IFERROR(INDEX(tblDestinations[Type],MATCH(tblMovement[[#This Row],[Destination]],tblDestinations[Destination],0)),"?"))</f>
        <v/>
      </c>
      <c r="M4188" s="64">
        <f>IF(tblMovement[[#This Row],[Material]]="","",IF(LEFT(tblMovement[[#This Row],[Material]],3)="Ore",1,0))</f>
        <v/>
      </c>
      <c r="N4188" s="59">
        <f>IF(OR(tblMovement[[#This Row],[Tonnes_t]]="",tblMovement[[#This Row],[Grade_gpt]]=""),0,tblMovement[[#This Row],[Tonnes_t]]*tblMovement[[#This Row],[Grade_gpt]]/cfg_TroyOz)</f>
        <v/>
      </c>
      <c r="O4188" s="59">
        <f>IF(tblMovement[[#This Row],[Is_Ore]]=1,tblMovement[[#This Row],[Contained_oz]],0)</f>
        <v/>
      </c>
    </row>
    <row r="4189">
      <c r="A4189" s="54" t="n"/>
      <c r="B4189" s="61" t="n"/>
      <c r="C4189" s="61" t="n"/>
      <c r="D4189" s="61" t="n"/>
      <c r="E4189" s="61" t="n"/>
      <c r="F4189" s="55" t="n"/>
      <c r="G4189" s="56" t="n"/>
      <c r="H4189" s="55" t="n"/>
      <c r="I4189" s="62" t="n"/>
      <c r="J4189" s="58" t="n"/>
      <c r="K4189" s="63">
        <f>IF(tblMovement[[#This Row],[Source]]="","",IFERROR(INDEX(tblSources[Type],MATCH(tblMovement[[#This Row],[Source]],tblSources[Source],0)),"?"))</f>
        <v/>
      </c>
      <c r="L4189" s="63">
        <f>IF(tblMovement[[#This Row],[Destination]]="","",IFERROR(INDEX(tblDestinations[Type],MATCH(tblMovement[[#This Row],[Destination]],tblDestinations[Destination],0)),"?"))</f>
        <v/>
      </c>
      <c r="M4189" s="64">
        <f>IF(tblMovement[[#This Row],[Material]]="","",IF(LEFT(tblMovement[[#This Row],[Material]],3)="Ore",1,0))</f>
        <v/>
      </c>
      <c r="N4189" s="59">
        <f>IF(OR(tblMovement[[#This Row],[Tonnes_t]]="",tblMovement[[#This Row],[Grade_gpt]]=""),0,tblMovement[[#This Row],[Tonnes_t]]*tblMovement[[#This Row],[Grade_gpt]]/cfg_TroyOz)</f>
        <v/>
      </c>
      <c r="O4189" s="59">
        <f>IF(tblMovement[[#This Row],[Is_Ore]]=1,tblMovement[[#This Row],[Contained_oz]],0)</f>
        <v/>
      </c>
    </row>
    <row r="4190">
      <c r="A4190" s="54" t="n"/>
      <c r="B4190" s="61" t="n"/>
      <c r="C4190" s="61" t="n"/>
      <c r="D4190" s="61" t="n"/>
      <c r="E4190" s="61" t="n"/>
      <c r="F4190" s="55" t="n"/>
      <c r="G4190" s="56" t="n"/>
      <c r="H4190" s="55" t="n"/>
      <c r="I4190" s="62" t="n"/>
      <c r="J4190" s="58" t="n"/>
      <c r="K4190" s="63">
        <f>IF(tblMovement[[#This Row],[Source]]="","",IFERROR(INDEX(tblSources[Type],MATCH(tblMovement[[#This Row],[Source]],tblSources[Source],0)),"?"))</f>
        <v/>
      </c>
      <c r="L4190" s="63">
        <f>IF(tblMovement[[#This Row],[Destination]]="","",IFERROR(INDEX(tblDestinations[Type],MATCH(tblMovement[[#This Row],[Destination]],tblDestinations[Destination],0)),"?"))</f>
        <v/>
      </c>
      <c r="M4190" s="64">
        <f>IF(tblMovement[[#This Row],[Material]]="","",IF(LEFT(tblMovement[[#This Row],[Material]],3)="Ore",1,0))</f>
        <v/>
      </c>
      <c r="N4190" s="59">
        <f>IF(OR(tblMovement[[#This Row],[Tonnes_t]]="",tblMovement[[#This Row],[Grade_gpt]]=""),0,tblMovement[[#This Row],[Tonnes_t]]*tblMovement[[#This Row],[Grade_gpt]]/cfg_TroyOz)</f>
        <v/>
      </c>
      <c r="O4190" s="59">
        <f>IF(tblMovement[[#This Row],[Is_Ore]]=1,tblMovement[[#This Row],[Contained_oz]],0)</f>
        <v/>
      </c>
    </row>
    <row r="4191">
      <c r="A4191" s="54" t="n"/>
      <c r="B4191" s="61" t="n"/>
      <c r="C4191" s="61" t="n"/>
      <c r="D4191" s="61" t="n"/>
      <c r="E4191" s="61" t="n"/>
      <c r="F4191" s="55" t="n"/>
      <c r="G4191" s="56" t="n"/>
      <c r="H4191" s="55" t="n"/>
      <c r="I4191" s="62" t="n"/>
      <c r="J4191" s="58" t="n"/>
      <c r="K4191" s="63">
        <f>IF(tblMovement[[#This Row],[Source]]="","",IFERROR(INDEX(tblSources[Type],MATCH(tblMovement[[#This Row],[Source]],tblSources[Source],0)),"?"))</f>
        <v/>
      </c>
      <c r="L4191" s="63">
        <f>IF(tblMovement[[#This Row],[Destination]]="","",IFERROR(INDEX(tblDestinations[Type],MATCH(tblMovement[[#This Row],[Destination]],tblDestinations[Destination],0)),"?"))</f>
        <v/>
      </c>
      <c r="M4191" s="64">
        <f>IF(tblMovement[[#This Row],[Material]]="","",IF(LEFT(tblMovement[[#This Row],[Material]],3)="Ore",1,0))</f>
        <v/>
      </c>
      <c r="N4191" s="59">
        <f>IF(OR(tblMovement[[#This Row],[Tonnes_t]]="",tblMovement[[#This Row],[Grade_gpt]]=""),0,tblMovement[[#This Row],[Tonnes_t]]*tblMovement[[#This Row],[Grade_gpt]]/cfg_TroyOz)</f>
        <v/>
      </c>
      <c r="O4191" s="59">
        <f>IF(tblMovement[[#This Row],[Is_Ore]]=1,tblMovement[[#This Row],[Contained_oz]],0)</f>
        <v/>
      </c>
    </row>
    <row r="4192">
      <c r="A4192" s="54" t="n"/>
      <c r="B4192" s="61" t="n"/>
      <c r="C4192" s="61" t="n"/>
      <c r="D4192" s="61" t="n"/>
      <c r="E4192" s="61" t="n"/>
      <c r="F4192" s="55" t="n"/>
      <c r="G4192" s="56" t="n"/>
      <c r="H4192" s="55" t="n"/>
      <c r="I4192" s="62" t="n"/>
      <c r="J4192" s="58" t="n"/>
      <c r="K4192" s="63">
        <f>IF(tblMovement[[#This Row],[Source]]="","",IFERROR(INDEX(tblSources[Type],MATCH(tblMovement[[#This Row],[Source]],tblSources[Source],0)),"?"))</f>
        <v/>
      </c>
      <c r="L4192" s="63">
        <f>IF(tblMovement[[#This Row],[Destination]]="","",IFERROR(INDEX(tblDestinations[Type],MATCH(tblMovement[[#This Row],[Destination]],tblDestinations[Destination],0)),"?"))</f>
        <v/>
      </c>
      <c r="M4192" s="64">
        <f>IF(tblMovement[[#This Row],[Material]]="","",IF(LEFT(tblMovement[[#This Row],[Material]],3)="Ore",1,0))</f>
        <v/>
      </c>
      <c r="N4192" s="59">
        <f>IF(OR(tblMovement[[#This Row],[Tonnes_t]]="",tblMovement[[#This Row],[Grade_gpt]]=""),0,tblMovement[[#This Row],[Tonnes_t]]*tblMovement[[#This Row],[Grade_gpt]]/cfg_TroyOz)</f>
        <v/>
      </c>
      <c r="O4192" s="59">
        <f>IF(tblMovement[[#This Row],[Is_Ore]]=1,tblMovement[[#This Row],[Contained_oz]],0)</f>
        <v/>
      </c>
    </row>
    <row r="4193">
      <c r="A4193" s="54" t="n"/>
      <c r="B4193" s="61" t="n"/>
      <c r="C4193" s="61" t="n"/>
      <c r="D4193" s="61" t="n"/>
      <c r="E4193" s="61" t="n"/>
      <c r="F4193" s="55" t="n"/>
      <c r="G4193" s="56" t="n"/>
      <c r="H4193" s="55" t="n"/>
      <c r="I4193" s="62" t="n"/>
      <c r="J4193" s="58" t="n"/>
      <c r="K4193" s="63">
        <f>IF(tblMovement[[#This Row],[Source]]="","",IFERROR(INDEX(tblSources[Type],MATCH(tblMovement[[#This Row],[Source]],tblSources[Source],0)),"?"))</f>
        <v/>
      </c>
      <c r="L4193" s="63">
        <f>IF(tblMovement[[#This Row],[Destination]]="","",IFERROR(INDEX(tblDestinations[Type],MATCH(tblMovement[[#This Row],[Destination]],tblDestinations[Destination],0)),"?"))</f>
        <v/>
      </c>
      <c r="M4193" s="64">
        <f>IF(tblMovement[[#This Row],[Material]]="","",IF(LEFT(tblMovement[[#This Row],[Material]],3)="Ore",1,0))</f>
        <v/>
      </c>
      <c r="N4193" s="59">
        <f>IF(OR(tblMovement[[#This Row],[Tonnes_t]]="",tblMovement[[#This Row],[Grade_gpt]]=""),0,tblMovement[[#This Row],[Tonnes_t]]*tblMovement[[#This Row],[Grade_gpt]]/cfg_TroyOz)</f>
        <v/>
      </c>
      <c r="O4193" s="59">
        <f>IF(tblMovement[[#This Row],[Is_Ore]]=1,tblMovement[[#This Row],[Contained_oz]],0)</f>
        <v/>
      </c>
    </row>
    <row r="4194">
      <c r="A4194" s="54" t="n"/>
      <c r="B4194" s="61" t="n"/>
      <c r="C4194" s="61" t="n"/>
      <c r="D4194" s="61" t="n"/>
      <c r="E4194" s="61" t="n"/>
      <c r="F4194" s="55" t="n"/>
      <c r="G4194" s="56" t="n"/>
      <c r="H4194" s="55" t="n"/>
      <c r="I4194" s="62" t="n"/>
      <c r="J4194" s="58" t="n"/>
      <c r="K4194" s="63">
        <f>IF(tblMovement[[#This Row],[Source]]="","",IFERROR(INDEX(tblSources[Type],MATCH(tblMovement[[#This Row],[Source]],tblSources[Source],0)),"?"))</f>
        <v/>
      </c>
      <c r="L4194" s="63">
        <f>IF(tblMovement[[#This Row],[Destination]]="","",IFERROR(INDEX(tblDestinations[Type],MATCH(tblMovement[[#This Row],[Destination]],tblDestinations[Destination],0)),"?"))</f>
        <v/>
      </c>
      <c r="M4194" s="64">
        <f>IF(tblMovement[[#This Row],[Material]]="","",IF(LEFT(tblMovement[[#This Row],[Material]],3)="Ore",1,0))</f>
        <v/>
      </c>
      <c r="N4194" s="59">
        <f>IF(OR(tblMovement[[#This Row],[Tonnes_t]]="",tblMovement[[#This Row],[Grade_gpt]]=""),0,tblMovement[[#This Row],[Tonnes_t]]*tblMovement[[#This Row],[Grade_gpt]]/cfg_TroyOz)</f>
        <v/>
      </c>
      <c r="O4194" s="59">
        <f>IF(tblMovement[[#This Row],[Is_Ore]]=1,tblMovement[[#This Row],[Contained_oz]],0)</f>
        <v/>
      </c>
    </row>
    <row r="4195">
      <c r="A4195" s="54" t="n"/>
      <c r="B4195" s="61" t="n"/>
      <c r="C4195" s="61" t="n"/>
      <c r="D4195" s="61" t="n"/>
      <c r="E4195" s="61" t="n"/>
      <c r="F4195" s="55" t="n"/>
      <c r="G4195" s="56" t="n"/>
      <c r="H4195" s="55" t="n"/>
      <c r="I4195" s="62" t="n"/>
      <c r="J4195" s="58" t="n"/>
      <c r="K4195" s="63">
        <f>IF(tblMovement[[#This Row],[Source]]="","",IFERROR(INDEX(tblSources[Type],MATCH(tblMovement[[#This Row],[Source]],tblSources[Source],0)),"?"))</f>
        <v/>
      </c>
      <c r="L4195" s="63">
        <f>IF(tblMovement[[#This Row],[Destination]]="","",IFERROR(INDEX(tblDestinations[Type],MATCH(tblMovement[[#This Row],[Destination]],tblDestinations[Destination],0)),"?"))</f>
        <v/>
      </c>
      <c r="M4195" s="64">
        <f>IF(tblMovement[[#This Row],[Material]]="","",IF(LEFT(tblMovement[[#This Row],[Material]],3)="Ore",1,0))</f>
        <v/>
      </c>
      <c r="N4195" s="59">
        <f>IF(OR(tblMovement[[#This Row],[Tonnes_t]]="",tblMovement[[#This Row],[Grade_gpt]]=""),0,tblMovement[[#This Row],[Tonnes_t]]*tblMovement[[#This Row],[Grade_gpt]]/cfg_TroyOz)</f>
        <v/>
      </c>
      <c r="O4195" s="59">
        <f>IF(tblMovement[[#This Row],[Is_Ore]]=1,tblMovement[[#This Row],[Contained_oz]],0)</f>
        <v/>
      </c>
    </row>
    <row r="4196">
      <c r="A4196" s="54" t="n"/>
      <c r="B4196" s="61" t="n"/>
      <c r="C4196" s="61" t="n"/>
      <c r="D4196" s="61" t="n"/>
      <c r="E4196" s="61" t="n"/>
      <c r="F4196" s="55" t="n"/>
      <c r="G4196" s="56" t="n"/>
      <c r="H4196" s="55" t="n"/>
      <c r="I4196" s="62" t="n"/>
      <c r="J4196" s="58" t="n"/>
      <c r="K4196" s="63">
        <f>IF(tblMovement[[#This Row],[Source]]="","",IFERROR(INDEX(tblSources[Type],MATCH(tblMovement[[#This Row],[Source]],tblSources[Source],0)),"?"))</f>
        <v/>
      </c>
      <c r="L4196" s="63">
        <f>IF(tblMovement[[#This Row],[Destination]]="","",IFERROR(INDEX(tblDestinations[Type],MATCH(tblMovement[[#This Row],[Destination]],tblDestinations[Destination],0)),"?"))</f>
        <v/>
      </c>
      <c r="M4196" s="64">
        <f>IF(tblMovement[[#This Row],[Material]]="","",IF(LEFT(tblMovement[[#This Row],[Material]],3)="Ore",1,0))</f>
        <v/>
      </c>
      <c r="N4196" s="59">
        <f>IF(OR(tblMovement[[#This Row],[Tonnes_t]]="",tblMovement[[#This Row],[Grade_gpt]]=""),0,tblMovement[[#This Row],[Tonnes_t]]*tblMovement[[#This Row],[Grade_gpt]]/cfg_TroyOz)</f>
        <v/>
      </c>
      <c r="O4196" s="59">
        <f>IF(tblMovement[[#This Row],[Is_Ore]]=1,tblMovement[[#This Row],[Contained_oz]],0)</f>
        <v/>
      </c>
    </row>
    <row r="4197">
      <c r="A4197" s="54" t="n"/>
      <c r="B4197" s="61" t="n"/>
      <c r="C4197" s="61" t="n"/>
      <c r="D4197" s="61" t="n"/>
      <c r="E4197" s="61" t="n"/>
      <c r="F4197" s="55" t="n"/>
      <c r="G4197" s="56" t="n"/>
      <c r="H4197" s="55" t="n"/>
      <c r="I4197" s="62" t="n"/>
      <c r="J4197" s="58" t="n"/>
      <c r="K4197" s="63">
        <f>IF(tblMovement[[#This Row],[Source]]="","",IFERROR(INDEX(tblSources[Type],MATCH(tblMovement[[#This Row],[Source]],tblSources[Source],0)),"?"))</f>
        <v/>
      </c>
      <c r="L4197" s="63">
        <f>IF(tblMovement[[#This Row],[Destination]]="","",IFERROR(INDEX(tblDestinations[Type],MATCH(tblMovement[[#This Row],[Destination]],tblDestinations[Destination],0)),"?"))</f>
        <v/>
      </c>
      <c r="M4197" s="64">
        <f>IF(tblMovement[[#This Row],[Material]]="","",IF(LEFT(tblMovement[[#This Row],[Material]],3)="Ore",1,0))</f>
        <v/>
      </c>
      <c r="N4197" s="59">
        <f>IF(OR(tblMovement[[#This Row],[Tonnes_t]]="",tblMovement[[#This Row],[Grade_gpt]]=""),0,tblMovement[[#This Row],[Tonnes_t]]*tblMovement[[#This Row],[Grade_gpt]]/cfg_TroyOz)</f>
        <v/>
      </c>
      <c r="O4197" s="59">
        <f>IF(tblMovement[[#This Row],[Is_Ore]]=1,tblMovement[[#This Row],[Contained_oz]],0)</f>
        <v/>
      </c>
    </row>
    <row r="4198">
      <c r="A4198" s="54" t="n"/>
      <c r="B4198" s="61" t="n"/>
      <c r="C4198" s="61" t="n"/>
      <c r="D4198" s="61" t="n"/>
      <c r="E4198" s="61" t="n"/>
      <c r="F4198" s="55" t="n"/>
      <c r="G4198" s="56" t="n"/>
      <c r="H4198" s="55" t="n"/>
      <c r="I4198" s="62" t="n"/>
      <c r="J4198" s="58" t="n"/>
      <c r="K4198" s="63">
        <f>IF(tblMovement[[#This Row],[Source]]="","",IFERROR(INDEX(tblSources[Type],MATCH(tblMovement[[#This Row],[Source]],tblSources[Source],0)),"?"))</f>
        <v/>
      </c>
      <c r="L4198" s="63">
        <f>IF(tblMovement[[#This Row],[Destination]]="","",IFERROR(INDEX(tblDestinations[Type],MATCH(tblMovement[[#This Row],[Destination]],tblDestinations[Destination],0)),"?"))</f>
        <v/>
      </c>
      <c r="M4198" s="64">
        <f>IF(tblMovement[[#This Row],[Material]]="","",IF(LEFT(tblMovement[[#This Row],[Material]],3)="Ore",1,0))</f>
        <v/>
      </c>
      <c r="N4198" s="59">
        <f>IF(OR(tblMovement[[#This Row],[Tonnes_t]]="",tblMovement[[#This Row],[Grade_gpt]]=""),0,tblMovement[[#This Row],[Tonnes_t]]*tblMovement[[#This Row],[Grade_gpt]]/cfg_TroyOz)</f>
        <v/>
      </c>
      <c r="O4198" s="59">
        <f>IF(tblMovement[[#This Row],[Is_Ore]]=1,tblMovement[[#This Row],[Contained_oz]],0)</f>
        <v/>
      </c>
    </row>
    <row r="4199">
      <c r="A4199" s="54" t="n"/>
      <c r="B4199" s="61" t="n"/>
      <c r="C4199" s="61" t="n"/>
      <c r="D4199" s="61" t="n"/>
      <c r="E4199" s="61" t="n"/>
      <c r="F4199" s="55" t="n"/>
      <c r="G4199" s="56" t="n"/>
      <c r="H4199" s="55" t="n"/>
      <c r="I4199" s="62" t="n"/>
      <c r="J4199" s="58" t="n"/>
      <c r="K4199" s="63">
        <f>IF(tblMovement[[#This Row],[Source]]="","",IFERROR(INDEX(tblSources[Type],MATCH(tblMovement[[#This Row],[Source]],tblSources[Source],0)),"?"))</f>
        <v/>
      </c>
      <c r="L4199" s="63">
        <f>IF(tblMovement[[#This Row],[Destination]]="","",IFERROR(INDEX(tblDestinations[Type],MATCH(tblMovement[[#This Row],[Destination]],tblDestinations[Destination],0)),"?"))</f>
        <v/>
      </c>
      <c r="M4199" s="64">
        <f>IF(tblMovement[[#This Row],[Material]]="","",IF(LEFT(tblMovement[[#This Row],[Material]],3)="Ore",1,0))</f>
        <v/>
      </c>
      <c r="N4199" s="59">
        <f>IF(OR(tblMovement[[#This Row],[Tonnes_t]]="",tblMovement[[#This Row],[Grade_gpt]]=""),0,tblMovement[[#This Row],[Tonnes_t]]*tblMovement[[#This Row],[Grade_gpt]]/cfg_TroyOz)</f>
        <v/>
      </c>
      <c r="O4199" s="59">
        <f>IF(tblMovement[[#This Row],[Is_Ore]]=1,tblMovement[[#This Row],[Contained_oz]],0)</f>
        <v/>
      </c>
    </row>
    <row r="4200">
      <c r="A4200" s="54" t="n"/>
      <c r="B4200" s="61" t="n"/>
      <c r="C4200" s="61" t="n"/>
      <c r="D4200" s="61" t="n"/>
      <c r="E4200" s="61" t="n"/>
      <c r="F4200" s="55" t="n"/>
      <c r="G4200" s="56" t="n"/>
      <c r="H4200" s="55" t="n"/>
      <c r="I4200" s="62" t="n"/>
      <c r="J4200" s="58" t="n"/>
      <c r="K4200" s="63">
        <f>IF(tblMovement[[#This Row],[Source]]="","",IFERROR(INDEX(tblSources[Type],MATCH(tblMovement[[#This Row],[Source]],tblSources[Source],0)),"?"))</f>
        <v/>
      </c>
      <c r="L4200" s="63">
        <f>IF(tblMovement[[#This Row],[Destination]]="","",IFERROR(INDEX(tblDestinations[Type],MATCH(tblMovement[[#This Row],[Destination]],tblDestinations[Destination],0)),"?"))</f>
        <v/>
      </c>
      <c r="M4200" s="64">
        <f>IF(tblMovement[[#This Row],[Material]]="","",IF(LEFT(tblMovement[[#This Row],[Material]],3)="Ore",1,0))</f>
        <v/>
      </c>
      <c r="N4200" s="59">
        <f>IF(OR(tblMovement[[#This Row],[Tonnes_t]]="",tblMovement[[#This Row],[Grade_gpt]]=""),0,tblMovement[[#This Row],[Tonnes_t]]*tblMovement[[#This Row],[Grade_gpt]]/cfg_TroyOz)</f>
        <v/>
      </c>
      <c r="O4200" s="59">
        <f>IF(tblMovement[[#This Row],[Is_Ore]]=1,tblMovement[[#This Row],[Contained_oz]],0)</f>
        <v/>
      </c>
    </row>
    <row r="4201">
      <c r="A4201" s="54" t="n"/>
      <c r="B4201" s="61" t="n"/>
      <c r="C4201" s="61" t="n"/>
      <c r="D4201" s="61" t="n"/>
      <c r="E4201" s="61" t="n"/>
      <c r="F4201" s="55" t="n"/>
      <c r="G4201" s="56" t="n"/>
      <c r="H4201" s="55" t="n"/>
      <c r="I4201" s="62" t="n"/>
      <c r="J4201" s="58" t="n"/>
      <c r="K4201" s="63">
        <f>IF(tblMovement[[#This Row],[Source]]="","",IFERROR(INDEX(tblSources[Type],MATCH(tblMovement[[#This Row],[Source]],tblSources[Source],0)),"?"))</f>
        <v/>
      </c>
      <c r="L4201" s="63">
        <f>IF(tblMovement[[#This Row],[Destination]]="","",IFERROR(INDEX(tblDestinations[Type],MATCH(tblMovement[[#This Row],[Destination]],tblDestinations[Destination],0)),"?"))</f>
        <v/>
      </c>
      <c r="M4201" s="64">
        <f>IF(tblMovement[[#This Row],[Material]]="","",IF(LEFT(tblMovement[[#This Row],[Material]],3)="Ore",1,0))</f>
        <v/>
      </c>
      <c r="N4201" s="59">
        <f>IF(OR(tblMovement[[#This Row],[Tonnes_t]]="",tblMovement[[#This Row],[Grade_gpt]]=""),0,tblMovement[[#This Row],[Tonnes_t]]*tblMovement[[#This Row],[Grade_gpt]]/cfg_TroyOz)</f>
        <v/>
      </c>
      <c r="O4201" s="59">
        <f>IF(tblMovement[[#This Row],[Is_Ore]]=1,tblMovement[[#This Row],[Contained_oz]],0)</f>
        <v/>
      </c>
    </row>
    <row r="4202">
      <c r="A4202" s="54" t="n"/>
      <c r="B4202" s="61" t="n"/>
      <c r="C4202" s="61" t="n"/>
      <c r="D4202" s="61" t="n"/>
      <c r="E4202" s="61" t="n"/>
      <c r="F4202" s="55" t="n"/>
      <c r="G4202" s="56" t="n"/>
      <c r="H4202" s="55" t="n"/>
      <c r="I4202" s="62" t="n"/>
      <c r="J4202" s="58" t="n"/>
      <c r="K4202" s="63">
        <f>IF(tblMovement[[#This Row],[Source]]="","",IFERROR(INDEX(tblSources[Type],MATCH(tblMovement[[#This Row],[Source]],tblSources[Source],0)),"?"))</f>
        <v/>
      </c>
      <c r="L4202" s="63">
        <f>IF(tblMovement[[#This Row],[Destination]]="","",IFERROR(INDEX(tblDestinations[Type],MATCH(tblMovement[[#This Row],[Destination]],tblDestinations[Destination],0)),"?"))</f>
        <v/>
      </c>
      <c r="M4202" s="64">
        <f>IF(tblMovement[[#This Row],[Material]]="","",IF(LEFT(tblMovement[[#This Row],[Material]],3)="Ore",1,0))</f>
        <v/>
      </c>
      <c r="N4202" s="59">
        <f>IF(OR(tblMovement[[#This Row],[Tonnes_t]]="",tblMovement[[#This Row],[Grade_gpt]]=""),0,tblMovement[[#This Row],[Tonnes_t]]*tblMovement[[#This Row],[Grade_gpt]]/cfg_TroyOz)</f>
        <v/>
      </c>
      <c r="O4202" s="59">
        <f>IF(tblMovement[[#This Row],[Is_Ore]]=1,tblMovement[[#This Row],[Contained_oz]],0)</f>
        <v/>
      </c>
    </row>
    <row r="4203">
      <c r="A4203" s="54" t="n"/>
      <c r="B4203" s="61" t="n"/>
      <c r="C4203" s="61" t="n"/>
      <c r="D4203" s="61" t="n"/>
      <c r="E4203" s="61" t="n"/>
      <c r="F4203" s="55" t="n"/>
      <c r="G4203" s="56" t="n"/>
      <c r="H4203" s="55" t="n"/>
      <c r="I4203" s="62" t="n"/>
      <c r="J4203" s="58" t="n"/>
      <c r="K4203" s="63">
        <f>IF(tblMovement[[#This Row],[Source]]="","",IFERROR(INDEX(tblSources[Type],MATCH(tblMovement[[#This Row],[Source]],tblSources[Source],0)),"?"))</f>
        <v/>
      </c>
      <c r="L4203" s="63">
        <f>IF(tblMovement[[#This Row],[Destination]]="","",IFERROR(INDEX(tblDestinations[Type],MATCH(tblMovement[[#This Row],[Destination]],tblDestinations[Destination],0)),"?"))</f>
        <v/>
      </c>
      <c r="M4203" s="64">
        <f>IF(tblMovement[[#This Row],[Material]]="","",IF(LEFT(tblMovement[[#This Row],[Material]],3)="Ore",1,0))</f>
        <v/>
      </c>
      <c r="N4203" s="59">
        <f>IF(OR(tblMovement[[#This Row],[Tonnes_t]]="",tblMovement[[#This Row],[Grade_gpt]]=""),0,tblMovement[[#This Row],[Tonnes_t]]*tblMovement[[#This Row],[Grade_gpt]]/cfg_TroyOz)</f>
        <v/>
      </c>
      <c r="O4203" s="59">
        <f>IF(tblMovement[[#This Row],[Is_Ore]]=1,tblMovement[[#This Row],[Contained_oz]],0)</f>
        <v/>
      </c>
    </row>
    <row r="4204">
      <c r="A4204" s="54" t="n"/>
      <c r="B4204" s="61" t="n"/>
      <c r="C4204" s="61" t="n"/>
      <c r="D4204" s="61" t="n"/>
      <c r="E4204" s="61" t="n"/>
      <c r="F4204" s="55" t="n"/>
      <c r="G4204" s="56" t="n"/>
      <c r="H4204" s="55" t="n"/>
      <c r="I4204" s="62" t="n"/>
      <c r="J4204" s="58" t="n"/>
      <c r="K4204" s="63">
        <f>IF(tblMovement[[#This Row],[Source]]="","",IFERROR(INDEX(tblSources[Type],MATCH(tblMovement[[#This Row],[Source]],tblSources[Source],0)),"?"))</f>
        <v/>
      </c>
      <c r="L4204" s="63">
        <f>IF(tblMovement[[#This Row],[Destination]]="","",IFERROR(INDEX(tblDestinations[Type],MATCH(tblMovement[[#This Row],[Destination]],tblDestinations[Destination],0)),"?"))</f>
        <v/>
      </c>
      <c r="M4204" s="64">
        <f>IF(tblMovement[[#This Row],[Material]]="","",IF(LEFT(tblMovement[[#This Row],[Material]],3)="Ore",1,0))</f>
        <v/>
      </c>
      <c r="N4204" s="59">
        <f>IF(OR(tblMovement[[#This Row],[Tonnes_t]]="",tblMovement[[#This Row],[Grade_gpt]]=""),0,tblMovement[[#This Row],[Tonnes_t]]*tblMovement[[#This Row],[Grade_gpt]]/cfg_TroyOz)</f>
        <v/>
      </c>
      <c r="O4204" s="59">
        <f>IF(tblMovement[[#This Row],[Is_Ore]]=1,tblMovement[[#This Row],[Contained_oz]],0)</f>
        <v/>
      </c>
    </row>
    <row r="4205">
      <c r="A4205" s="54" t="n"/>
      <c r="B4205" s="61" t="n"/>
      <c r="C4205" s="61" t="n"/>
      <c r="D4205" s="61" t="n"/>
      <c r="E4205" s="61" t="n"/>
      <c r="F4205" s="55" t="n"/>
      <c r="G4205" s="56" t="n"/>
      <c r="H4205" s="55" t="n"/>
      <c r="I4205" s="62" t="n"/>
      <c r="J4205" s="58" t="n"/>
      <c r="K4205" s="63">
        <f>IF(tblMovement[[#This Row],[Source]]="","",IFERROR(INDEX(tblSources[Type],MATCH(tblMovement[[#This Row],[Source]],tblSources[Source],0)),"?"))</f>
        <v/>
      </c>
      <c r="L4205" s="63">
        <f>IF(tblMovement[[#This Row],[Destination]]="","",IFERROR(INDEX(tblDestinations[Type],MATCH(tblMovement[[#This Row],[Destination]],tblDestinations[Destination],0)),"?"))</f>
        <v/>
      </c>
      <c r="M4205" s="64">
        <f>IF(tblMovement[[#This Row],[Material]]="","",IF(LEFT(tblMovement[[#This Row],[Material]],3)="Ore",1,0))</f>
        <v/>
      </c>
      <c r="N4205" s="59">
        <f>IF(OR(tblMovement[[#This Row],[Tonnes_t]]="",tblMovement[[#This Row],[Grade_gpt]]=""),0,tblMovement[[#This Row],[Tonnes_t]]*tblMovement[[#This Row],[Grade_gpt]]/cfg_TroyOz)</f>
        <v/>
      </c>
      <c r="O4205" s="59">
        <f>IF(tblMovement[[#This Row],[Is_Ore]]=1,tblMovement[[#This Row],[Contained_oz]],0)</f>
        <v/>
      </c>
    </row>
    <row r="4206">
      <c r="A4206" s="54" t="n"/>
      <c r="B4206" s="61" t="n"/>
      <c r="C4206" s="61" t="n"/>
      <c r="D4206" s="61" t="n"/>
      <c r="E4206" s="61" t="n"/>
      <c r="F4206" s="55" t="n"/>
      <c r="G4206" s="56" t="n"/>
      <c r="H4206" s="55" t="n"/>
      <c r="I4206" s="62" t="n"/>
      <c r="J4206" s="58" t="n"/>
      <c r="K4206" s="63">
        <f>IF(tblMovement[[#This Row],[Source]]="","",IFERROR(INDEX(tblSources[Type],MATCH(tblMovement[[#This Row],[Source]],tblSources[Source],0)),"?"))</f>
        <v/>
      </c>
      <c r="L4206" s="63">
        <f>IF(tblMovement[[#This Row],[Destination]]="","",IFERROR(INDEX(tblDestinations[Type],MATCH(tblMovement[[#This Row],[Destination]],tblDestinations[Destination],0)),"?"))</f>
        <v/>
      </c>
      <c r="M4206" s="64">
        <f>IF(tblMovement[[#This Row],[Material]]="","",IF(LEFT(tblMovement[[#This Row],[Material]],3)="Ore",1,0))</f>
        <v/>
      </c>
      <c r="N4206" s="59">
        <f>IF(OR(tblMovement[[#This Row],[Tonnes_t]]="",tblMovement[[#This Row],[Grade_gpt]]=""),0,tblMovement[[#This Row],[Tonnes_t]]*tblMovement[[#This Row],[Grade_gpt]]/cfg_TroyOz)</f>
        <v/>
      </c>
      <c r="O4206" s="59">
        <f>IF(tblMovement[[#This Row],[Is_Ore]]=1,tblMovement[[#This Row],[Contained_oz]],0)</f>
        <v/>
      </c>
    </row>
    <row r="4207">
      <c r="A4207" s="54" t="n"/>
      <c r="B4207" s="61" t="n"/>
      <c r="C4207" s="61" t="n"/>
      <c r="D4207" s="61" t="n"/>
      <c r="E4207" s="61" t="n"/>
      <c r="F4207" s="55" t="n"/>
      <c r="G4207" s="56" t="n"/>
      <c r="H4207" s="55" t="n"/>
      <c r="I4207" s="62" t="n"/>
      <c r="J4207" s="58" t="n"/>
      <c r="K4207" s="63">
        <f>IF(tblMovement[[#This Row],[Source]]="","",IFERROR(INDEX(tblSources[Type],MATCH(tblMovement[[#This Row],[Source]],tblSources[Source],0)),"?"))</f>
        <v/>
      </c>
      <c r="L4207" s="63">
        <f>IF(tblMovement[[#This Row],[Destination]]="","",IFERROR(INDEX(tblDestinations[Type],MATCH(tblMovement[[#This Row],[Destination]],tblDestinations[Destination],0)),"?"))</f>
        <v/>
      </c>
      <c r="M4207" s="64">
        <f>IF(tblMovement[[#This Row],[Material]]="","",IF(LEFT(tblMovement[[#This Row],[Material]],3)="Ore",1,0))</f>
        <v/>
      </c>
      <c r="N4207" s="59">
        <f>IF(OR(tblMovement[[#This Row],[Tonnes_t]]="",tblMovement[[#This Row],[Grade_gpt]]=""),0,tblMovement[[#This Row],[Tonnes_t]]*tblMovement[[#This Row],[Grade_gpt]]/cfg_TroyOz)</f>
        <v/>
      </c>
      <c r="O4207" s="59">
        <f>IF(tblMovement[[#This Row],[Is_Ore]]=1,tblMovement[[#This Row],[Contained_oz]],0)</f>
        <v/>
      </c>
    </row>
    <row r="4208">
      <c r="A4208" s="54" t="n"/>
      <c r="B4208" s="61" t="n"/>
      <c r="C4208" s="61" t="n"/>
      <c r="D4208" s="61" t="n"/>
      <c r="E4208" s="61" t="n"/>
      <c r="F4208" s="55" t="n"/>
      <c r="G4208" s="56" t="n"/>
      <c r="H4208" s="55" t="n"/>
      <c r="I4208" s="62" t="n"/>
      <c r="J4208" s="58" t="n"/>
      <c r="K4208" s="63">
        <f>IF(tblMovement[[#This Row],[Source]]="","",IFERROR(INDEX(tblSources[Type],MATCH(tblMovement[[#This Row],[Source]],tblSources[Source],0)),"?"))</f>
        <v/>
      </c>
      <c r="L4208" s="63">
        <f>IF(tblMovement[[#This Row],[Destination]]="","",IFERROR(INDEX(tblDestinations[Type],MATCH(tblMovement[[#This Row],[Destination]],tblDestinations[Destination],0)),"?"))</f>
        <v/>
      </c>
      <c r="M4208" s="64">
        <f>IF(tblMovement[[#This Row],[Material]]="","",IF(LEFT(tblMovement[[#This Row],[Material]],3)="Ore",1,0))</f>
        <v/>
      </c>
      <c r="N4208" s="59">
        <f>IF(OR(tblMovement[[#This Row],[Tonnes_t]]="",tblMovement[[#This Row],[Grade_gpt]]=""),0,tblMovement[[#This Row],[Tonnes_t]]*tblMovement[[#This Row],[Grade_gpt]]/cfg_TroyOz)</f>
        <v/>
      </c>
      <c r="O4208" s="59">
        <f>IF(tblMovement[[#This Row],[Is_Ore]]=1,tblMovement[[#This Row],[Contained_oz]],0)</f>
        <v/>
      </c>
    </row>
    <row r="4209">
      <c r="A4209" s="54" t="n"/>
      <c r="B4209" s="61" t="n"/>
      <c r="C4209" s="61" t="n"/>
      <c r="D4209" s="61" t="n"/>
      <c r="E4209" s="61" t="n"/>
      <c r="F4209" s="55" t="n"/>
      <c r="G4209" s="56" t="n"/>
      <c r="H4209" s="55" t="n"/>
      <c r="I4209" s="62" t="n"/>
      <c r="J4209" s="58" t="n"/>
      <c r="K4209" s="63">
        <f>IF(tblMovement[[#This Row],[Source]]="","",IFERROR(INDEX(tblSources[Type],MATCH(tblMovement[[#This Row],[Source]],tblSources[Source],0)),"?"))</f>
        <v/>
      </c>
      <c r="L4209" s="63">
        <f>IF(tblMovement[[#This Row],[Destination]]="","",IFERROR(INDEX(tblDestinations[Type],MATCH(tblMovement[[#This Row],[Destination]],tblDestinations[Destination],0)),"?"))</f>
        <v/>
      </c>
      <c r="M4209" s="64">
        <f>IF(tblMovement[[#This Row],[Material]]="","",IF(LEFT(tblMovement[[#This Row],[Material]],3)="Ore",1,0))</f>
        <v/>
      </c>
      <c r="N4209" s="59">
        <f>IF(OR(tblMovement[[#This Row],[Tonnes_t]]="",tblMovement[[#This Row],[Grade_gpt]]=""),0,tblMovement[[#This Row],[Tonnes_t]]*tblMovement[[#This Row],[Grade_gpt]]/cfg_TroyOz)</f>
        <v/>
      </c>
      <c r="O4209" s="59">
        <f>IF(tblMovement[[#This Row],[Is_Ore]]=1,tblMovement[[#This Row],[Contained_oz]],0)</f>
        <v/>
      </c>
    </row>
    <row r="4210">
      <c r="A4210" s="54" t="n"/>
      <c r="B4210" s="61" t="n"/>
      <c r="C4210" s="61" t="n"/>
      <c r="D4210" s="61" t="n"/>
      <c r="E4210" s="61" t="n"/>
      <c r="F4210" s="55" t="n"/>
      <c r="G4210" s="56" t="n"/>
      <c r="H4210" s="55" t="n"/>
      <c r="I4210" s="62" t="n"/>
      <c r="J4210" s="58" t="n"/>
      <c r="K4210" s="63">
        <f>IF(tblMovement[[#This Row],[Source]]="","",IFERROR(INDEX(tblSources[Type],MATCH(tblMovement[[#This Row],[Source]],tblSources[Source],0)),"?"))</f>
        <v/>
      </c>
      <c r="L4210" s="63">
        <f>IF(tblMovement[[#This Row],[Destination]]="","",IFERROR(INDEX(tblDestinations[Type],MATCH(tblMovement[[#This Row],[Destination]],tblDestinations[Destination],0)),"?"))</f>
        <v/>
      </c>
      <c r="M4210" s="64">
        <f>IF(tblMovement[[#This Row],[Material]]="","",IF(LEFT(tblMovement[[#This Row],[Material]],3)="Ore",1,0))</f>
        <v/>
      </c>
      <c r="N4210" s="59">
        <f>IF(OR(tblMovement[[#This Row],[Tonnes_t]]="",tblMovement[[#This Row],[Grade_gpt]]=""),0,tblMovement[[#This Row],[Tonnes_t]]*tblMovement[[#This Row],[Grade_gpt]]/cfg_TroyOz)</f>
        <v/>
      </c>
      <c r="O4210" s="59">
        <f>IF(tblMovement[[#This Row],[Is_Ore]]=1,tblMovement[[#This Row],[Contained_oz]],0)</f>
        <v/>
      </c>
    </row>
    <row r="4211">
      <c r="A4211" s="54" t="n"/>
      <c r="B4211" s="61" t="n"/>
      <c r="C4211" s="61" t="n"/>
      <c r="D4211" s="61" t="n"/>
      <c r="E4211" s="61" t="n"/>
      <c r="F4211" s="55" t="n"/>
      <c r="G4211" s="56" t="n"/>
      <c r="H4211" s="55" t="n"/>
      <c r="I4211" s="62" t="n"/>
      <c r="J4211" s="58" t="n"/>
      <c r="K4211" s="63">
        <f>IF(tblMovement[[#This Row],[Source]]="","",IFERROR(INDEX(tblSources[Type],MATCH(tblMovement[[#This Row],[Source]],tblSources[Source],0)),"?"))</f>
        <v/>
      </c>
      <c r="L4211" s="63">
        <f>IF(tblMovement[[#This Row],[Destination]]="","",IFERROR(INDEX(tblDestinations[Type],MATCH(tblMovement[[#This Row],[Destination]],tblDestinations[Destination],0)),"?"))</f>
        <v/>
      </c>
      <c r="M4211" s="64">
        <f>IF(tblMovement[[#This Row],[Material]]="","",IF(LEFT(tblMovement[[#This Row],[Material]],3)="Ore",1,0))</f>
        <v/>
      </c>
      <c r="N4211" s="59">
        <f>IF(OR(tblMovement[[#This Row],[Tonnes_t]]="",tblMovement[[#This Row],[Grade_gpt]]=""),0,tblMovement[[#This Row],[Tonnes_t]]*tblMovement[[#This Row],[Grade_gpt]]/cfg_TroyOz)</f>
        <v/>
      </c>
      <c r="O4211" s="59">
        <f>IF(tblMovement[[#This Row],[Is_Ore]]=1,tblMovement[[#This Row],[Contained_oz]],0)</f>
        <v/>
      </c>
    </row>
    <row r="4212">
      <c r="A4212" s="54" t="n"/>
      <c r="B4212" s="61" t="n"/>
      <c r="C4212" s="61" t="n"/>
      <c r="D4212" s="61" t="n"/>
      <c r="E4212" s="61" t="n"/>
      <c r="F4212" s="55" t="n"/>
      <c r="G4212" s="56" t="n"/>
      <c r="H4212" s="55" t="n"/>
      <c r="I4212" s="62" t="n"/>
      <c r="J4212" s="58" t="n"/>
      <c r="K4212" s="63">
        <f>IF(tblMovement[[#This Row],[Source]]="","",IFERROR(INDEX(tblSources[Type],MATCH(tblMovement[[#This Row],[Source]],tblSources[Source],0)),"?"))</f>
        <v/>
      </c>
      <c r="L4212" s="63">
        <f>IF(tblMovement[[#This Row],[Destination]]="","",IFERROR(INDEX(tblDestinations[Type],MATCH(tblMovement[[#This Row],[Destination]],tblDestinations[Destination],0)),"?"))</f>
        <v/>
      </c>
      <c r="M4212" s="64">
        <f>IF(tblMovement[[#This Row],[Material]]="","",IF(LEFT(tblMovement[[#This Row],[Material]],3)="Ore",1,0))</f>
        <v/>
      </c>
      <c r="N4212" s="59">
        <f>IF(OR(tblMovement[[#This Row],[Tonnes_t]]="",tblMovement[[#This Row],[Grade_gpt]]=""),0,tblMovement[[#This Row],[Tonnes_t]]*tblMovement[[#This Row],[Grade_gpt]]/cfg_TroyOz)</f>
        <v/>
      </c>
      <c r="O4212" s="59">
        <f>IF(tblMovement[[#This Row],[Is_Ore]]=1,tblMovement[[#This Row],[Contained_oz]],0)</f>
        <v/>
      </c>
    </row>
    <row r="4213">
      <c r="A4213" s="54" t="n"/>
      <c r="B4213" s="61" t="n"/>
      <c r="C4213" s="61" t="n"/>
      <c r="D4213" s="61" t="n"/>
      <c r="E4213" s="61" t="n"/>
      <c r="F4213" s="55" t="n"/>
      <c r="G4213" s="56" t="n"/>
      <c r="H4213" s="55" t="n"/>
      <c r="I4213" s="62" t="n"/>
      <c r="J4213" s="58" t="n"/>
      <c r="K4213" s="63">
        <f>IF(tblMovement[[#This Row],[Source]]="","",IFERROR(INDEX(tblSources[Type],MATCH(tblMovement[[#This Row],[Source]],tblSources[Source],0)),"?"))</f>
        <v/>
      </c>
      <c r="L4213" s="63">
        <f>IF(tblMovement[[#This Row],[Destination]]="","",IFERROR(INDEX(tblDestinations[Type],MATCH(tblMovement[[#This Row],[Destination]],tblDestinations[Destination],0)),"?"))</f>
        <v/>
      </c>
      <c r="M4213" s="64">
        <f>IF(tblMovement[[#This Row],[Material]]="","",IF(LEFT(tblMovement[[#This Row],[Material]],3)="Ore",1,0))</f>
        <v/>
      </c>
      <c r="N4213" s="59">
        <f>IF(OR(tblMovement[[#This Row],[Tonnes_t]]="",tblMovement[[#This Row],[Grade_gpt]]=""),0,tblMovement[[#This Row],[Tonnes_t]]*tblMovement[[#This Row],[Grade_gpt]]/cfg_TroyOz)</f>
        <v/>
      </c>
      <c r="O4213" s="59">
        <f>IF(tblMovement[[#This Row],[Is_Ore]]=1,tblMovement[[#This Row],[Contained_oz]],0)</f>
        <v/>
      </c>
    </row>
    <row r="4214">
      <c r="A4214" s="54" t="n"/>
      <c r="B4214" s="61" t="n"/>
      <c r="C4214" s="61" t="n"/>
      <c r="D4214" s="61" t="n"/>
      <c r="E4214" s="61" t="n"/>
      <c r="F4214" s="55" t="n"/>
      <c r="G4214" s="56" t="n"/>
      <c r="H4214" s="55" t="n"/>
      <c r="I4214" s="62" t="n"/>
      <c r="J4214" s="58" t="n"/>
      <c r="K4214" s="63">
        <f>IF(tblMovement[[#This Row],[Source]]="","",IFERROR(INDEX(tblSources[Type],MATCH(tblMovement[[#This Row],[Source]],tblSources[Source],0)),"?"))</f>
        <v/>
      </c>
      <c r="L4214" s="63">
        <f>IF(tblMovement[[#This Row],[Destination]]="","",IFERROR(INDEX(tblDestinations[Type],MATCH(tblMovement[[#This Row],[Destination]],tblDestinations[Destination],0)),"?"))</f>
        <v/>
      </c>
      <c r="M4214" s="64">
        <f>IF(tblMovement[[#This Row],[Material]]="","",IF(LEFT(tblMovement[[#This Row],[Material]],3)="Ore",1,0))</f>
        <v/>
      </c>
      <c r="N4214" s="59">
        <f>IF(OR(tblMovement[[#This Row],[Tonnes_t]]="",tblMovement[[#This Row],[Grade_gpt]]=""),0,tblMovement[[#This Row],[Tonnes_t]]*tblMovement[[#This Row],[Grade_gpt]]/cfg_TroyOz)</f>
        <v/>
      </c>
      <c r="O4214" s="59">
        <f>IF(tblMovement[[#This Row],[Is_Ore]]=1,tblMovement[[#This Row],[Contained_oz]],0)</f>
        <v/>
      </c>
    </row>
    <row r="4215">
      <c r="A4215" s="54" t="n"/>
      <c r="B4215" s="61" t="n"/>
      <c r="C4215" s="61" t="n"/>
      <c r="D4215" s="61" t="n"/>
      <c r="E4215" s="61" t="n"/>
      <c r="F4215" s="55" t="n"/>
      <c r="G4215" s="56" t="n"/>
      <c r="H4215" s="55" t="n"/>
      <c r="I4215" s="62" t="n"/>
      <c r="J4215" s="58" t="n"/>
      <c r="K4215" s="63">
        <f>IF(tblMovement[[#This Row],[Source]]="","",IFERROR(INDEX(tblSources[Type],MATCH(tblMovement[[#This Row],[Source]],tblSources[Source],0)),"?"))</f>
        <v/>
      </c>
      <c r="L4215" s="63">
        <f>IF(tblMovement[[#This Row],[Destination]]="","",IFERROR(INDEX(tblDestinations[Type],MATCH(tblMovement[[#This Row],[Destination]],tblDestinations[Destination],0)),"?"))</f>
        <v/>
      </c>
      <c r="M4215" s="64">
        <f>IF(tblMovement[[#This Row],[Material]]="","",IF(LEFT(tblMovement[[#This Row],[Material]],3)="Ore",1,0))</f>
        <v/>
      </c>
      <c r="N4215" s="59">
        <f>IF(OR(tblMovement[[#This Row],[Tonnes_t]]="",tblMovement[[#This Row],[Grade_gpt]]=""),0,tblMovement[[#This Row],[Tonnes_t]]*tblMovement[[#This Row],[Grade_gpt]]/cfg_TroyOz)</f>
        <v/>
      </c>
      <c r="O4215" s="59">
        <f>IF(tblMovement[[#This Row],[Is_Ore]]=1,tblMovement[[#This Row],[Contained_oz]],0)</f>
        <v/>
      </c>
    </row>
    <row r="4216">
      <c r="A4216" s="54" t="n"/>
      <c r="B4216" s="61" t="n"/>
      <c r="C4216" s="61" t="n"/>
      <c r="D4216" s="61" t="n"/>
      <c r="E4216" s="61" t="n"/>
      <c r="F4216" s="55" t="n"/>
      <c r="G4216" s="56" t="n"/>
      <c r="H4216" s="55" t="n"/>
      <c r="I4216" s="62" t="n"/>
      <c r="J4216" s="58" t="n"/>
      <c r="K4216" s="63">
        <f>IF(tblMovement[[#This Row],[Source]]="","",IFERROR(INDEX(tblSources[Type],MATCH(tblMovement[[#This Row],[Source]],tblSources[Source],0)),"?"))</f>
        <v/>
      </c>
      <c r="L4216" s="63">
        <f>IF(tblMovement[[#This Row],[Destination]]="","",IFERROR(INDEX(tblDestinations[Type],MATCH(tblMovement[[#This Row],[Destination]],tblDestinations[Destination],0)),"?"))</f>
        <v/>
      </c>
      <c r="M4216" s="64">
        <f>IF(tblMovement[[#This Row],[Material]]="","",IF(LEFT(tblMovement[[#This Row],[Material]],3)="Ore",1,0))</f>
        <v/>
      </c>
      <c r="N4216" s="59">
        <f>IF(OR(tblMovement[[#This Row],[Tonnes_t]]="",tblMovement[[#This Row],[Grade_gpt]]=""),0,tblMovement[[#This Row],[Tonnes_t]]*tblMovement[[#This Row],[Grade_gpt]]/cfg_TroyOz)</f>
        <v/>
      </c>
      <c r="O4216" s="59">
        <f>IF(tblMovement[[#This Row],[Is_Ore]]=1,tblMovement[[#This Row],[Contained_oz]],0)</f>
        <v/>
      </c>
    </row>
    <row r="4217">
      <c r="A4217" s="54" t="n"/>
      <c r="B4217" s="61" t="n"/>
      <c r="C4217" s="61" t="n"/>
      <c r="D4217" s="61" t="n"/>
      <c r="E4217" s="61" t="n"/>
      <c r="F4217" s="55" t="n"/>
      <c r="G4217" s="56" t="n"/>
      <c r="H4217" s="55" t="n"/>
      <c r="I4217" s="62" t="n"/>
      <c r="J4217" s="58" t="n"/>
      <c r="K4217" s="63">
        <f>IF(tblMovement[[#This Row],[Source]]="","",IFERROR(INDEX(tblSources[Type],MATCH(tblMovement[[#This Row],[Source]],tblSources[Source],0)),"?"))</f>
        <v/>
      </c>
      <c r="L4217" s="63">
        <f>IF(tblMovement[[#This Row],[Destination]]="","",IFERROR(INDEX(tblDestinations[Type],MATCH(tblMovement[[#This Row],[Destination]],tblDestinations[Destination],0)),"?"))</f>
        <v/>
      </c>
      <c r="M4217" s="64">
        <f>IF(tblMovement[[#This Row],[Material]]="","",IF(LEFT(tblMovement[[#This Row],[Material]],3)="Ore",1,0))</f>
        <v/>
      </c>
      <c r="N4217" s="59">
        <f>IF(OR(tblMovement[[#This Row],[Tonnes_t]]="",tblMovement[[#This Row],[Grade_gpt]]=""),0,tblMovement[[#This Row],[Tonnes_t]]*tblMovement[[#This Row],[Grade_gpt]]/cfg_TroyOz)</f>
        <v/>
      </c>
      <c r="O4217" s="59">
        <f>IF(tblMovement[[#This Row],[Is_Ore]]=1,tblMovement[[#This Row],[Contained_oz]],0)</f>
        <v/>
      </c>
    </row>
    <row r="4218">
      <c r="A4218" s="54" t="n"/>
      <c r="B4218" s="61" t="n"/>
      <c r="C4218" s="61" t="n"/>
      <c r="D4218" s="61" t="n"/>
      <c r="E4218" s="61" t="n"/>
      <c r="F4218" s="55" t="n"/>
      <c r="G4218" s="56" t="n"/>
      <c r="H4218" s="55" t="n"/>
      <c r="I4218" s="62" t="n"/>
      <c r="J4218" s="58" t="n"/>
      <c r="K4218" s="63">
        <f>IF(tblMovement[[#This Row],[Source]]="","",IFERROR(INDEX(tblSources[Type],MATCH(tblMovement[[#This Row],[Source]],tblSources[Source],0)),"?"))</f>
        <v/>
      </c>
      <c r="L4218" s="63">
        <f>IF(tblMovement[[#This Row],[Destination]]="","",IFERROR(INDEX(tblDestinations[Type],MATCH(tblMovement[[#This Row],[Destination]],tblDestinations[Destination],0)),"?"))</f>
        <v/>
      </c>
      <c r="M4218" s="64">
        <f>IF(tblMovement[[#This Row],[Material]]="","",IF(LEFT(tblMovement[[#This Row],[Material]],3)="Ore",1,0))</f>
        <v/>
      </c>
      <c r="N4218" s="59">
        <f>IF(OR(tblMovement[[#This Row],[Tonnes_t]]="",tblMovement[[#This Row],[Grade_gpt]]=""),0,tblMovement[[#This Row],[Tonnes_t]]*tblMovement[[#This Row],[Grade_gpt]]/cfg_TroyOz)</f>
        <v/>
      </c>
      <c r="O4218" s="59">
        <f>IF(tblMovement[[#This Row],[Is_Ore]]=1,tblMovement[[#This Row],[Contained_oz]],0)</f>
        <v/>
      </c>
    </row>
    <row r="4219">
      <c r="A4219" s="54" t="n"/>
      <c r="B4219" s="61" t="n"/>
      <c r="C4219" s="61" t="n"/>
      <c r="D4219" s="61" t="n"/>
      <c r="E4219" s="61" t="n"/>
      <c r="F4219" s="55" t="n"/>
      <c r="G4219" s="56" t="n"/>
      <c r="H4219" s="55" t="n"/>
      <c r="I4219" s="62" t="n"/>
      <c r="J4219" s="58" t="n"/>
      <c r="K4219" s="63">
        <f>IF(tblMovement[[#This Row],[Source]]="","",IFERROR(INDEX(tblSources[Type],MATCH(tblMovement[[#This Row],[Source]],tblSources[Source],0)),"?"))</f>
        <v/>
      </c>
      <c r="L4219" s="63">
        <f>IF(tblMovement[[#This Row],[Destination]]="","",IFERROR(INDEX(tblDestinations[Type],MATCH(tblMovement[[#This Row],[Destination]],tblDestinations[Destination],0)),"?"))</f>
        <v/>
      </c>
      <c r="M4219" s="64">
        <f>IF(tblMovement[[#This Row],[Material]]="","",IF(LEFT(tblMovement[[#This Row],[Material]],3)="Ore",1,0))</f>
        <v/>
      </c>
      <c r="N4219" s="59">
        <f>IF(OR(tblMovement[[#This Row],[Tonnes_t]]="",tblMovement[[#This Row],[Grade_gpt]]=""),0,tblMovement[[#This Row],[Tonnes_t]]*tblMovement[[#This Row],[Grade_gpt]]/cfg_TroyOz)</f>
        <v/>
      </c>
      <c r="O4219" s="59">
        <f>IF(tblMovement[[#This Row],[Is_Ore]]=1,tblMovement[[#This Row],[Contained_oz]],0)</f>
        <v/>
      </c>
    </row>
    <row r="4220">
      <c r="A4220" s="54" t="n"/>
      <c r="B4220" s="61" t="n"/>
      <c r="C4220" s="61" t="n"/>
      <c r="D4220" s="61" t="n"/>
      <c r="E4220" s="61" t="n"/>
      <c r="F4220" s="55" t="n"/>
      <c r="G4220" s="56" t="n"/>
      <c r="H4220" s="55" t="n"/>
      <c r="I4220" s="62" t="n"/>
      <c r="J4220" s="58" t="n"/>
      <c r="K4220" s="63">
        <f>IF(tblMovement[[#This Row],[Source]]="","",IFERROR(INDEX(tblSources[Type],MATCH(tblMovement[[#This Row],[Source]],tblSources[Source],0)),"?"))</f>
        <v/>
      </c>
      <c r="L4220" s="63">
        <f>IF(tblMovement[[#This Row],[Destination]]="","",IFERROR(INDEX(tblDestinations[Type],MATCH(tblMovement[[#This Row],[Destination]],tblDestinations[Destination],0)),"?"))</f>
        <v/>
      </c>
      <c r="M4220" s="64">
        <f>IF(tblMovement[[#This Row],[Material]]="","",IF(LEFT(tblMovement[[#This Row],[Material]],3)="Ore",1,0))</f>
        <v/>
      </c>
      <c r="N4220" s="59">
        <f>IF(OR(tblMovement[[#This Row],[Tonnes_t]]="",tblMovement[[#This Row],[Grade_gpt]]=""),0,tblMovement[[#This Row],[Tonnes_t]]*tblMovement[[#This Row],[Grade_gpt]]/cfg_TroyOz)</f>
        <v/>
      </c>
      <c r="O4220" s="59">
        <f>IF(tblMovement[[#This Row],[Is_Ore]]=1,tblMovement[[#This Row],[Contained_oz]],0)</f>
        <v/>
      </c>
    </row>
    <row r="4221">
      <c r="A4221" s="54" t="n"/>
      <c r="B4221" s="61" t="n"/>
      <c r="C4221" s="61" t="n"/>
      <c r="D4221" s="61" t="n"/>
      <c r="E4221" s="61" t="n"/>
      <c r="F4221" s="55" t="n"/>
      <c r="G4221" s="56" t="n"/>
      <c r="H4221" s="55" t="n"/>
      <c r="I4221" s="62" t="n"/>
      <c r="J4221" s="58" t="n"/>
      <c r="K4221" s="63">
        <f>IF(tblMovement[[#This Row],[Source]]="","",IFERROR(INDEX(tblSources[Type],MATCH(tblMovement[[#This Row],[Source]],tblSources[Source],0)),"?"))</f>
        <v/>
      </c>
      <c r="L4221" s="63">
        <f>IF(tblMovement[[#This Row],[Destination]]="","",IFERROR(INDEX(tblDestinations[Type],MATCH(tblMovement[[#This Row],[Destination]],tblDestinations[Destination],0)),"?"))</f>
        <v/>
      </c>
      <c r="M4221" s="64">
        <f>IF(tblMovement[[#This Row],[Material]]="","",IF(LEFT(tblMovement[[#This Row],[Material]],3)="Ore",1,0))</f>
        <v/>
      </c>
      <c r="N4221" s="59">
        <f>IF(OR(tblMovement[[#This Row],[Tonnes_t]]="",tblMovement[[#This Row],[Grade_gpt]]=""),0,tblMovement[[#This Row],[Tonnes_t]]*tblMovement[[#This Row],[Grade_gpt]]/cfg_TroyOz)</f>
        <v/>
      </c>
      <c r="O4221" s="59">
        <f>IF(tblMovement[[#This Row],[Is_Ore]]=1,tblMovement[[#This Row],[Contained_oz]],0)</f>
        <v/>
      </c>
    </row>
    <row r="4222">
      <c r="A4222" s="54" t="n"/>
      <c r="B4222" s="61" t="n"/>
      <c r="C4222" s="61" t="n"/>
      <c r="D4222" s="61" t="n"/>
      <c r="E4222" s="61" t="n"/>
      <c r="F4222" s="55" t="n"/>
      <c r="G4222" s="56" t="n"/>
      <c r="H4222" s="55" t="n"/>
      <c r="I4222" s="62" t="n"/>
      <c r="J4222" s="58" t="n"/>
      <c r="K4222" s="63">
        <f>IF(tblMovement[[#This Row],[Source]]="","",IFERROR(INDEX(tblSources[Type],MATCH(tblMovement[[#This Row],[Source]],tblSources[Source],0)),"?"))</f>
        <v/>
      </c>
      <c r="L4222" s="63">
        <f>IF(tblMovement[[#This Row],[Destination]]="","",IFERROR(INDEX(tblDestinations[Type],MATCH(tblMovement[[#This Row],[Destination]],tblDestinations[Destination],0)),"?"))</f>
        <v/>
      </c>
      <c r="M4222" s="64">
        <f>IF(tblMovement[[#This Row],[Material]]="","",IF(LEFT(tblMovement[[#This Row],[Material]],3)="Ore",1,0))</f>
        <v/>
      </c>
      <c r="N4222" s="59">
        <f>IF(OR(tblMovement[[#This Row],[Tonnes_t]]="",tblMovement[[#This Row],[Grade_gpt]]=""),0,tblMovement[[#This Row],[Tonnes_t]]*tblMovement[[#This Row],[Grade_gpt]]/cfg_TroyOz)</f>
        <v/>
      </c>
      <c r="O4222" s="59">
        <f>IF(tblMovement[[#This Row],[Is_Ore]]=1,tblMovement[[#This Row],[Contained_oz]],0)</f>
        <v/>
      </c>
    </row>
    <row r="4223">
      <c r="A4223" s="54" t="n"/>
      <c r="B4223" s="61" t="n"/>
      <c r="C4223" s="61" t="n"/>
      <c r="D4223" s="61" t="n"/>
      <c r="E4223" s="61" t="n"/>
      <c r="F4223" s="55" t="n"/>
      <c r="G4223" s="56" t="n"/>
      <c r="H4223" s="55" t="n"/>
      <c r="I4223" s="62" t="n"/>
      <c r="J4223" s="58" t="n"/>
      <c r="K4223" s="63">
        <f>IF(tblMovement[[#This Row],[Source]]="","",IFERROR(INDEX(tblSources[Type],MATCH(tblMovement[[#This Row],[Source]],tblSources[Source],0)),"?"))</f>
        <v/>
      </c>
      <c r="L4223" s="63">
        <f>IF(tblMovement[[#This Row],[Destination]]="","",IFERROR(INDEX(tblDestinations[Type],MATCH(tblMovement[[#This Row],[Destination]],tblDestinations[Destination],0)),"?"))</f>
        <v/>
      </c>
      <c r="M4223" s="64">
        <f>IF(tblMovement[[#This Row],[Material]]="","",IF(LEFT(tblMovement[[#This Row],[Material]],3)="Ore",1,0))</f>
        <v/>
      </c>
      <c r="N4223" s="59">
        <f>IF(OR(tblMovement[[#This Row],[Tonnes_t]]="",tblMovement[[#This Row],[Grade_gpt]]=""),0,tblMovement[[#This Row],[Tonnes_t]]*tblMovement[[#This Row],[Grade_gpt]]/cfg_TroyOz)</f>
        <v/>
      </c>
      <c r="O4223" s="59">
        <f>IF(tblMovement[[#This Row],[Is_Ore]]=1,tblMovement[[#This Row],[Contained_oz]],0)</f>
        <v/>
      </c>
    </row>
    <row r="4224">
      <c r="A4224" s="54" t="n"/>
      <c r="B4224" s="61" t="n"/>
      <c r="C4224" s="61" t="n"/>
      <c r="D4224" s="61" t="n"/>
      <c r="E4224" s="61" t="n"/>
      <c r="F4224" s="55" t="n"/>
      <c r="G4224" s="56" t="n"/>
      <c r="H4224" s="55" t="n"/>
      <c r="I4224" s="62" t="n"/>
      <c r="J4224" s="58" t="n"/>
      <c r="K4224" s="63">
        <f>IF(tblMovement[[#This Row],[Source]]="","",IFERROR(INDEX(tblSources[Type],MATCH(tblMovement[[#This Row],[Source]],tblSources[Source],0)),"?"))</f>
        <v/>
      </c>
      <c r="L4224" s="63">
        <f>IF(tblMovement[[#This Row],[Destination]]="","",IFERROR(INDEX(tblDestinations[Type],MATCH(tblMovement[[#This Row],[Destination]],tblDestinations[Destination],0)),"?"))</f>
        <v/>
      </c>
      <c r="M4224" s="64">
        <f>IF(tblMovement[[#This Row],[Material]]="","",IF(LEFT(tblMovement[[#This Row],[Material]],3)="Ore",1,0))</f>
        <v/>
      </c>
      <c r="N4224" s="59">
        <f>IF(OR(tblMovement[[#This Row],[Tonnes_t]]="",tblMovement[[#This Row],[Grade_gpt]]=""),0,tblMovement[[#This Row],[Tonnes_t]]*tblMovement[[#This Row],[Grade_gpt]]/cfg_TroyOz)</f>
        <v/>
      </c>
      <c r="O4224" s="59">
        <f>IF(tblMovement[[#This Row],[Is_Ore]]=1,tblMovement[[#This Row],[Contained_oz]],0)</f>
        <v/>
      </c>
    </row>
    <row r="4225">
      <c r="A4225" s="54" t="n"/>
      <c r="B4225" s="61" t="n"/>
      <c r="C4225" s="61" t="n"/>
      <c r="D4225" s="61" t="n"/>
      <c r="E4225" s="61" t="n"/>
      <c r="F4225" s="55" t="n"/>
      <c r="G4225" s="56" t="n"/>
      <c r="H4225" s="55" t="n"/>
      <c r="I4225" s="62" t="n"/>
      <c r="J4225" s="58" t="n"/>
      <c r="K4225" s="63">
        <f>IF(tblMovement[[#This Row],[Source]]="","",IFERROR(INDEX(tblSources[Type],MATCH(tblMovement[[#This Row],[Source]],tblSources[Source],0)),"?"))</f>
        <v/>
      </c>
      <c r="L4225" s="63">
        <f>IF(tblMovement[[#This Row],[Destination]]="","",IFERROR(INDEX(tblDestinations[Type],MATCH(tblMovement[[#This Row],[Destination]],tblDestinations[Destination],0)),"?"))</f>
        <v/>
      </c>
      <c r="M4225" s="64">
        <f>IF(tblMovement[[#This Row],[Material]]="","",IF(LEFT(tblMovement[[#This Row],[Material]],3)="Ore",1,0))</f>
        <v/>
      </c>
      <c r="N4225" s="59">
        <f>IF(OR(tblMovement[[#This Row],[Tonnes_t]]="",tblMovement[[#This Row],[Grade_gpt]]=""),0,tblMovement[[#This Row],[Tonnes_t]]*tblMovement[[#This Row],[Grade_gpt]]/cfg_TroyOz)</f>
        <v/>
      </c>
      <c r="O4225" s="59">
        <f>IF(tblMovement[[#This Row],[Is_Ore]]=1,tblMovement[[#This Row],[Contained_oz]],0)</f>
        <v/>
      </c>
    </row>
    <row r="4226">
      <c r="A4226" s="54" t="n"/>
      <c r="B4226" s="61" t="n"/>
      <c r="C4226" s="61" t="n"/>
      <c r="D4226" s="61" t="n"/>
      <c r="E4226" s="61" t="n"/>
      <c r="F4226" s="55" t="n"/>
      <c r="G4226" s="56" t="n"/>
      <c r="H4226" s="55" t="n"/>
      <c r="I4226" s="62" t="n"/>
      <c r="J4226" s="58" t="n"/>
      <c r="K4226" s="63">
        <f>IF(tblMovement[[#This Row],[Source]]="","",IFERROR(INDEX(tblSources[Type],MATCH(tblMovement[[#This Row],[Source]],tblSources[Source],0)),"?"))</f>
        <v/>
      </c>
      <c r="L4226" s="63">
        <f>IF(tblMovement[[#This Row],[Destination]]="","",IFERROR(INDEX(tblDestinations[Type],MATCH(tblMovement[[#This Row],[Destination]],tblDestinations[Destination],0)),"?"))</f>
        <v/>
      </c>
      <c r="M4226" s="64">
        <f>IF(tblMovement[[#This Row],[Material]]="","",IF(LEFT(tblMovement[[#This Row],[Material]],3)="Ore",1,0))</f>
        <v/>
      </c>
      <c r="N4226" s="59">
        <f>IF(OR(tblMovement[[#This Row],[Tonnes_t]]="",tblMovement[[#This Row],[Grade_gpt]]=""),0,tblMovement[[#This Row],[Tonnes_t]]*tblMovement[[#This Row],[Grade_gpt]]/cfg_TroyOz)</f>
        <v/>
      </c>
      <c r="O4226" s="59">
        <f>IF(tblMovement[[#This Row],[Is_Ore]]=1,tblMovement[[#This Row],[Contained_oz]],0)</f>
        <v/>
      </c>
    </row>
    <row r="4227">
      <c r="A4227" s="54" t="n"/>
      <c r="B4227" s="61" t="n"/>
      <c r="C4227" s="61" t="n"/>
      <c r="D4227" s="61" t="n"/>
      <c r="E4227" s="61" t="n"/>
      <c r="F4227" s="55" t="n"/>
      <c r="G4227" s="56" t="n"/>
      <c r="H4227" s="55" t="n"/>
      <c r="I4227" s="62" t="n"/>
      <c r="J4227" s="58" t="n"/>
      <c r="K4227" s="63">
        <f>IF(tblMovement[[#This Row],[Source]]="","",IFERROR(INDEX(tblSources[Type],MATCH(tblMovement[[#This Row],[Source]],tblSources[Source],0)),"?"))</f>
        <v/>
      </c>
      <c r="L4227" s="63">
        <f>IF(tblMovement[[#This Row],[Destination]]="","",IFERROR(INDEX(tblDestinations[Type],MATCH(tblMovement[[#This Row],[Destination]],tblDestinations[Destination],0)),"?"))</f>
        <v/>
      </c>
      <c r="M4227" s="64">
        <f>IF(tblMovement[[#This Row],[Material]]="","",IF(LEFT(tblMovement[[#This Row],[Material]],3)="Ore",1,0))</f>
        <v/>
      </c>
      <c r="N4227" s="59">
        <f>IF(OR(tblMovement[[#This Row],[Tonnes_t]]="",tblMovement[[#This Row],[Grade_gpt]]=""),0,tblMovement[[#This Row],[Tonnes_t]]*tblMovement[[#This Row],[Grade_gpt]]/cfg_TroyOz)</f>
        <v/>
      </c>
      <c r="O4227" s="59">
        <f>IF(tblMovement[[#This Row],[Is_Ore]]=1,tblMovement[[#This Row],[Contained_oz]],0)</f>
        <v/>
      </c>
    </row>
    <row r="4228">
      <c r="A4228" s="54" t="n"/>
      <c r="B4228" s="61" t="n"/>
      <c r="C4228" s="61" t="n"/>
      <c r="D4228" s="61" t="n"/>
      <c r="E4228" s="61" t="n"/>
      <c r="F4228" s="55" t="n"/>
      <c r="G4228" s="56" t="n"/>
      <c r="H4228" s="55" t="n"/>
      <c r="I4228" s="62" t="n"/>
      <c r="J4228" s="58" t="n"/>
      <c r="K4228" s="63">
        <f>IF(tblMovement[[#This Row],[Source]]="","",IFERROR(INDEX(tblSources[Type],MATCH(tblMovement[[#This Row],[Source]],tblSources[Source],0)),"?"))</f>
        <v/>
      </c>
      <c r="L4228" s="63">
        <f>IF(tblMovement[[#This Row],[Destination]]="","",IFERROR(INDEX(tblDestinations[Type],MATCH(tblMovement[[#This Row],[Destination]],tblDestinations[Destination],0)),"?"))</f>
        <v/>
      </c>
      <c r="M4228" s="64">
        <f>IF(tblMovement[[#This Row],[Material]]="","",IF(LEFT(tblMovement[[#This Row],[Material]],3)="Ore",1,0))</f>
        <v/>
      </c>
      <c r="N4228" s="59">
        <f>IF(OR(tblMovement[[#This Row],[Tonnes_t]]="",tblMovement[[#This Row],[Grade_gpt]]=""),0,tblMovement[[#This Row],[Tonnes_t]]*tblMovement[[#This Row],[Grade_gpt]]/cfg_TroyOz)</f>
        <v/>
      </c>
      <c r="O4228" s="59">
        <f>IF(tblMovement[[#This Row],[Is_Ore]]=1,tblMovement[[#This Row],[Contained_oz]],0)</f>
        <v/>
      </c>
    </row>
    <row r="4229">
      <c r="A4229" s="54" t="n"/>
      <c r="B4229" s="61" t="n"/>
      <c r="C4229" s="61" t="n"/>
      <c r="D4229" s="61" t="n"/>
      <c r="E4229" s="61" t="n"/>
      <c r="F4229" s="55" t="n"/>
      <c r="G4229" s="56" t="n"/>
      <c r="H4229" s="55" t="n"/>
      <c r="I4229" s="62" t="n"/>
      <c r="J4229" s="58" t="n"/>
      <c r="K4229" s="63">
        <f>IF(tblMovement[[#This Row],[Source]]="","",IFERROR(INDEX(tblSources[Type],MATCH(tblMovement[[#This Row],[Source]],tblSources[Source],0)),"?"))</f>
        <v/>
      </c>
      <c r="L4229" s="63">
        <f>IF(tblMovement[[#This Row],[Destination]]="","",IFERROR(INDEX(tblDestinations[Type],MATCH(tblMovement[[#This Row],[Destination]],tblDestinations[Destination],0)),"?"))</f>
        <v/>
      </c>
      <c r="M4229" s="64">
        <f>IF(tblMovement[[#This Row],[Material]]="","",IF(LEFT(tblMovement[[#This Row],[Material]],3)="Ore",1,0))</f>
        <v/>
      </c>
      <c r="N4229" s="59">
        <f>IF(OR(tblMovement[[#This Row],[Tonnes_t]]="",tblMovement[[#This Row],[Grade_gpt]]=""),0,tblMovement[[#This Row],[Tonnes_t]]*tblMovement[[#This Row],[Grade_gpt]]/cfg_TroyOz)</f>
        <v/>
      </c>
      <c r="O4229" s="59">
        <f>IF(tblMovement[[#This Row],[Is_Ore]]=1,tblMovement[[#This Row],[Contained_oz]],0)</f>
        <v/>
      </c>
    </row>
    <row r="4230">
      <c r="A4230" s="54" t="n"/>
      <c r="B4230" s="61" t="n"/>
      <c r="C4230" s="61" t="n"/>
      <c r="D4230" s="61" t="n"/>
      <c r="E4230" s="61" t="n"/>
      <c r="F4230" s="55" t="n"/>
      <c r="G4230" s="56" t="n"/>
      <c r="H4230" s="55" t="n"/>
      <c r="I4230" s="62" t="n"/>
      <c r="J4230" s="58" t="n"/>
      <c r="K4230" s="63">
        <f>IF(tblMovement[[#This Row],[Source]]="","",IFERROR(INDEX(tblSources[Type],MATCH(tblMovement[[#This Row],[Source]],tblSources[Source],0)),"?"))</f>
        <v/>
      </c>
      <c r="L4230" s="63">
        <f>IF(tblMovement[[#This Row],[Destination]]="","",IFERROR(INDEX(tblDestinations[Type],MATCH(tblMovement[[#This Row],[Destination]],tblDestinations[Destination],0)),"?"))</f>
        <v/>
      </c>
      <c r="M4230" s="64">
        <f>IF(tblMovement[[#This Row],[Material]]="","",IF(LEFT(tblMovement[[#This Row],[Material]],3)="Ore",1,0))</f>
        <v/>
      </c>
      <c r="N4230" s="59">
        <f>IF(OR(tblMovement[[#This Row],[Tonnes_t]]="",tblMovement[[#This Row],[Grade_gpt]]=""),0,tblMovement[[#This Row],[Tonnes_t]]*tblMovement[[#This Row],[Grade_gpt]]/cfg_TroyOz)</f>
        <v/>
      </c>
      <c r="O4230" s="59">
        <f>IF(tblMovement[[#This Row],[Is_Ore]]=1,tblMovement[[#This Row],[Contained_oz]],0)</f>
        <v/>
      </c>
    </row>
    <row r="4231">
      <c r="A4231" s="54" t="n"/>
      <c r="B4231" s="61" t="n"/>
      <c r="C4231" s="61" t="n"/>
      <c r="D4231" s="61" t="n"/>
      <c r="E4231" s="61" t="n"/>
      <c r="F4231" s="55" t="n"/>
      <c r="G4231" s="56" t="n"/>
      <c r="H4231" s="55" t="n"/>
      <c r="I4231" s="62" t="n"/>
      <c r="J4231" s="58" t="n"/>
      <c r="K4231" s="63">
        <f>IF(tblMovement[[#This Row],[Source]]="","",IFERROR(INDEX(tblSources[Type],MATCH(tblMovement[[#This Row],[Source]],tblSources[Source],0)),"?"))</f>
        <v/>
      </c>
      <c r="L4231" s="63">
        <f>IF(tblMovement[[#This Row],[Destination]]="","",IFERROR(INDEX(tblDestinations[Type],MATCH(tblMovement[[#This Row],[Destination]],tblDestinations[Destination],0)),"?"))</f>
        <v/>
      </c>
      <c r="M4231" s="64">
        <f>IF(tblMovement[[#This Row],[Material]]="","",IF(LEFT(tblMovement[[#This Row],[Material]],3)="Ore",1,0))</f>
        <v/>
      </c>
      <c r="N4231" s="59">
        <f>IF(OR(tblMovement[[#This Row],[Tonnes_t]]="",tblMovement[[#This Row],[Grade_gpt]]=""),0,tblMovement[[#This Row],[Tonnes_t]]*tblMovement[[#This Row],[Grade_gpt]]/cfg_TroyOz)</f>
        <v/>
      </c>
      <c r="O4231" s="59">
        <f>IF(tblMovement[[#This Row],[Is_Ore]]=1,tblMovement[[#This Row],[Contained_oz]],0)</f>
        <v/>
      </c>
    </row>
    <row r="4232">
      <c r="A4232" s="54" t="n"/>
      <c r="B4232" s="61" t="n"/>
      <c r="C4232" s="61" t="n"/>
      <c r="D4232" s="61" t="n"/>
      <c r="E4232" s="61" t="n"/>
      <c r="F4232" s="55" t="n"/>
      <c r="G4232" s="56" t="n"/>
      <c r="H4232" s="55" t="n"/>
      <c r="I4232" s="62" t="n"/>
      <c r="J4232" s="58" t="n"/>
      <c r="K4232" s="63">
        <f>IF(tblMovement[[#This Row],[Source]]="","",IFERROR(INDEX(tblSources[Type],MATCH(tblMovement[[#This Row],[Source]],tblSources[Source],0)),"?"))</f>
        <v/>
      </c>
      <c r="L4232" s="63">
        <f>IF(tblMovement[[#This Row],[Destination]]="","",IFERROR(INDEX(tblDestinations[Type],MATCH(tblMovement[[#This Row],[Destination]],tblDestinations[Destination],0)),"?"))</f>
        <v/>
      </c>
      <c r="M4232" s="64">
        <f>IF(tblMovement[[#This Row],[Material]]="","",IF(LEFT(tblMovement[[#This Row],[Material]],3)="Ore",1,0))</f>
        <v/>
      </c>
      <c r="N4232" s="59">
        <f>IF(OR(tblMovement[[#This Row],[Tonnes_t]]="",tblMovement[[#This Row],[Grade_gpt]]=""),0,tblMovement[[#This Row],[Tonnes_t]]*tblMovement[[#This Row],[Grade_gpt]]/cfg_TroyOz)</f>
        <v/>
      </c>
      <c r="O4232" s="59">
        <f>IF(tblMovement[[#This Row],[Is_Ore]]=1,tblMovement[[#This Row],[Contained_oz]],0)</f>
        <v/>
      </c>
    </row>
    <row r="4233">
      <c r="A4233" s="54" t="n"/>
      <c r="B4233" s="61" t="n"/>
      <c r="C4233" s="61" t="n"/>
      <c r="D4233" s="61" t="n"/>
      <c r="E4233" s="61" t="n"/>
      <c r="F4233" s="55" t="n"/>
      <c r="G4233" s="56" t="n"/>
      <c r="H4233" s="55" t="n"/>
      <c r="I4233" s="62" t="n"/>
      <c r="J4233" s="58" t="n"/>
      <c r="K4233" s="63">
        <f>IF(tblMovement[[#This Row],[Source]]="","",IFERROR(INDEX(tblSources[Type],MATCH(tblMovement[[#This Row],[Source]],tblSources[Source],0)),"?"))</f>
        <v/>
      </c>
      <c r="L4233" s="63">
        <f>IF(tblMovement[[#This Row],[Destination]]="","",IFERROR(INDEX(tblDestinations[Type],MATCH(tblMovement[[#This Row],[Destination]],tblDestinations[Destination],0)),"?"))</f>
        <v/>
      </c>
      <c r="M4233" s="64">
        <f>IF(tblMovement[[#This Row],[Material]]="","",IF(LEFT(tblMovement[[#This Row],[Material]],3)="Ore",1,0))</f>
        <v/>
      </c>
      <c r="N4233" s="59">
        <f>IF(OR(tblMovement[[#This Row],[Tonnes_t]]="",tblMovement[[#This Row],[Grade_gpt]]=""),0,tblMovement[[#This Row],[Tonnes_t]]*tblMovement[[#This Row],[Grade_gpt]]/cfg_TroyOz)</f>
        <v/>
      </c>
      <c r="O4233" s="59">
        <f>IF(tblMovement[[#This Row],[Is_Ore]]=1,tblMovement[[#This Row],[Contained_oz]],0)</f>
        <v/>
      </c>
    </row>
    <row r="4234">
      <c r="A4234" s="54" t="n"/>
      <c r="B4234" s="61" t="n"/>
      <c r="C4234" s="61" t="n"/>
      <c r="D4234" s="61" t="n"/>
      <c r="E4234" s="61" t="n"/>
      <c r="F4234" s="55" t="n"/>
      <c r="G4234" s="56" t="n"/>
      <c r="H4234" s="55" t="n"/>
      <c r="I4234" s="62" t="n"/>
      <c r="J4234" s="58" t="n"/>
      <c r="K4234" s="63">
        <f>IF(tblMovement[[#This Row],[Source]]="","",IFERROR(INDEX(tblSources[Type],MATCH(tblMovement[[#This Row],[Source]],tblSources[Source],0)),"?"))</f>
        <v/>
      </c>
      <c r="L4234" s="63">
        <f>IF(tblMovement[[#This Row],[Destination]]="","",IFERROR(INDEX(tblDestinations[Type],MATCH(tblMovement[[#This Row],[Destination]],tblDestinations[Destination],0)),"?"))</f>
        <v/>
      </c>
      <c r="M4234" s="64">
        <f>IF(tblMovement[[#This Row],[Material]]="","",IF(LEFT(tblMovement[[#This Row],[Material]],3)="Ore",1,0))</f>
        <v/>
      </c>
      <c r="N4234" s="59">
        <f>IF(OR(tblMovement[[#This Row],[Tonnes_t]]="",tblMovement[[#This Row],[Grade_gpt]]=""),0,tblMovement[[#This Row],[Tonnes_t]]*tblMovement[[#This Row],[Grade_gpt]]/cfg_TroyOz)</f>
        <v/>
      </c>
      <c r="O4234" s="59">
        <f>IF(tblMovement[[#This Row],[Is_Ore]]=1,tblMovement[[#This Row],[Contained_oz]],0)</f>
        <v/>
      </c>
    </row>
    <row r="4235">
      <c r="A4235" s="54" t="n"/>
      <c r="B4235" s="61" t="n"/>
      <c r="C4235" s="61" t="n"/>
      <c r="D4235" s="61" t="n"/>
      <c r="E4235" s="61" t="n"/>
      <c r="F4235" s="55" t="n"/>
      <c r="G4235" s="56" t="n"/>
      <c r="H4235" s="55" t="n"/>
      <c r="I4235" s="62" t="n"/>
      <c r="J4235" s="58" t="n"/>
      <c r="K4235" s="63">
        <f>IF(tblMovement[[#This Row],[Source]]="","",IFERROR(INDEX(tblSources[Type],MATCH(tblMovement[[#This Row],[Source]],tblSources[Source],0)),"?"))</f>
        <v/>
      </c>
      <c r="L4235" s="63">
        <f>IF(tblMovement[[#This Row],[Destination]]="","",IFERROR(INDEX(tblDestinations[Type],MATCH(tblMovement[[#This Row],[Destination]],tblDestinations[Destination],0)),"?"))</f>
        <v/>
      </c>
      <c r="M4235" s="64">
        <f>IF(tblMovement[[#This Row],[Material]]="","",IF(LEFT(tblMovement[[#This Row],[Material]],3)="Ore",1,0))</f>
        <v/>
      </c>
      <c r="N4235" s="59">
        <f>IF(OR(tblMovement[[#This Row],[Tonnes_t]]="",tblMovement[[#This Row],[Grade_gpt]]=""),0,tblMovement[[#This Row],[Tonnes_t]]*tblMovement[[#This Row],[Grade_gpt]]/cfg_TroyOz)</f>
        <v/>
      </c>
      <c r="O4235" s="59">
        <f>IF(tblMovement[[#This Row],[Is_Ore]]=1,tblMovement[[#This Row],[Contained_oz]],0)</f>
        <v/>
      </c>
    </row>
    <row r="4236">
      <c r="A4236" s="54" t="n"/>
      <c r="B4236" s="61" t="n"/>
      <c r="C4236" s="61" t="n"/>
      <c r="D4236" s="61" t="n"/>
      <c r="E4236" s="61" t="n"/>
      <c r="F4236" s="55" t="n"/>
      <c r="G4236" s="56" t="n"/>
      <c r="H4236" s="55" t="n"/>
      <c r="I4236" s="62" t="n"/>
      <c r="J4236" s="58" t="n"/>
      <c r="K4236" s="63">
        <f>IF(tblMovement[[#This Row],[Source]]="","",IFERROR(INDEX(tblSources[Type],MATCH(tblMovement[[#This Row],[Source]],tblSources[Source],0)),"?"))</f>
        <v/>
      </c>
      <c r="L4236" s="63">
        <f>IF(tblMovement[[#This Row],[Destination]]="","",IFERROR(INDEX(tblDestinations[Type],MATCH(tblMovement[[#This Row],[Destination]],tblDestinations[Destination],0)),"?"))</f>
        <v/>
      </c>
      <c r="M4236" s="64">
        <f>IF(tblMovement[[#This Row],[Material]]="","",IF(LEFT(tblMovement[[#This Row],[Material]],3)="Ore",1,0))</f>
        <v/>
      </c>
      <c r="N4236" s="59">
        <f>IF(OR(tblMovement[[#This Row],[Tonnes_t]]="",tblMovement[[#This Row],[Grade_gpt]]=""),0,tblMovement[[#This Row],[Tonnes_t]]*tblMovement[[#This Row],[Grade_gpt]]/cfg_TroyOz)</f>
        <v/>
      </c>
      <c r="O4236" s="59">
        <f>IF(tblMovement[[#This Row],[Is_Ore]]=1,tblMovement[[#This Row],[Contained_oz]],0)</f>
        <v/>
      </c>
    </row>
    <row r="4237">
      <c r="A4237" s="54" t="n"/>
      <c r="B4237" s="61" t="n"/>
      <c r="C4237" s="61" t="n"/>
      <c r="D4237" s="61" t="n"/>
      <c r="E4237" s="61" t="n"/>
      <c r="F4237" s="55" t="n"/>
      <c r="G4237" s="56" t="n"/>
      <c r="H4237" s="55" t="n"/>
      <c r="I4237" s="62" t="n"/>
      <c r="J4237" s="58" t="n"/>
      <c r="K4237" s="63">
        <f>IF(tblMovement[[#This Row],[Source]]="","",IFERROR(INDEX(tblSources[Type],MATCH(tblMovement[[#This Row],[Source]],tblSources[Source],0)),"?"))</f>
        <v/>
      </c>
      <c r="L4237" s="63">
        <f>IF(tblMovement[[#This Row],[Destination]]="","",IFERROR(INDEX(tblDestinations[Type],MATCH(tblMovement[[#This Row],[Destination]],tblDestinations[Destination],0)),"?"))</f>
        <v/>
      </c>
      <c r="M4237" s="64">
        <f>IF(tblMovement[[#This Row],[Material]]="","",IF(LEFT(tblMovement[[#This Row],[Material]],3)="Ore",1,0))</f>
        <v/>
      </c>
      <c r="N4237" s="59">
        <f>IF(OR(tblMovement[[#This Row],[Tonnes_t]]="",tblMovement[[#This Row],[Grade_gpt]]=""),0,tblMovement[[#This Row],[Tonnes_t]]*tblMovement[[#This Row],[Grade_gpt]]/cfg_TroyOz)</f>
        <v/>
      </c>
      <c r="O4237" s="59">
        <f>IF(tblMovement[[#This Row],[Is_Ore]]=1,tblMovement[[#This Row],[Contained_oz]],0)</f>
        <v/>
      </c>
    </row>
    <row r="4238">
      <c r="A4238" s="54" t="n"/>
      <c r="B4238" s="61" t="n"/>
      <c r="C4238" s="61" t="n"/>
      <c r="D4238" s="61" t="n"/>
      <c r="E4238" s="61" t="n"/>
      <c r="F4238" s="55" t="n"/>
      <c r="G4238" s="56" t="n"/>
      <c r="H4238" s="55" t="n"/>
      <c r="I4238" s="62" t="n"/>
      <c r="J4238" s="58" t="n"/>
      <c r="K4238" s="63">
        <f>IF(tblMovement[[#This Row],[Source]]="","",IFERROR(INDEX(tblSources[Type],MATCH(tblMovement[[#This Row],[Source]],tblSources[Source],0)),"?"))</f>
        <v/>
      </c>
      <c r="L4238" s="63">
        <f>IF(tblMovement[[#This Row],[Destination]]="","",IFERROR(INDEX(tblDestinations[Type],MATCH(tblMovement[[#This Row],[Destination]],tblDestinations[Destination],0)),"?"))</f>
        <v/>
      </c>
      <c r="M4238" s="64">
        <f>IF(tblMovement[[#This Row],[Material]]="","",IF(LEFT(tblMovement[[#This Row],[Material]],3)="Ore",1,0))</f>
        <v/>
      </c>
      <c r="N4238" s="59">
        <f>IF(OR(tblMovement[[#This Row],[Tonnes_t]]="",tblMovement[[#This Row],[Grade_gpt]]=""),0,tblMovement[[#This Row],[Tonnes_t]]*tblMovement[[#This Row],[Grade_gpt]]/cfg_TroyOz)</f>
        <v/>
      </c>
      <c r="O4238" s="59">
        <f>IF(tblMovement[[#This Row],[Is_Ore]]=1,tblMovement[[#This Row],[Contained_oz]],0)</f>
        <v/>
      </c>
    </row>
    <row r="4239">
      <c r="A4239" s="54" t="n"/>
      <c r="B4239" s="61" t="n"/>
      <c r="C4239" s="61" t="n"/>
      <c r="D4239" s="61" t="n"/>
      <c r="E4239" s="61" t="n"/>
      <c r="F4239" s="55" t="n"/>
      <c r="G4239" s="56" t="n"/>
      <c r="H4239" s="55" t="n"/>
      <c r="I4239" s="62" t="n"/>
      <c r="J4239" s="58" t="n"/>
      <c r="K4239" s="63">
        <f>IF(tblMovement[[#This Row],[Source]]="","",IFERROR(INDEX(tblSources[Type],MATCH(tblMovement[[#This Row],[Source]],tblSources[Source],0)),"?"))</f>
        <v/>
      </c>
      <c r="L4239" s="63">
        <f>IF(tblMovement[[#This Row],[Destination]]="","",IFERROR(INDEX(tblDestinations[Type],MATCH(tblMovement[[#This Row],[Destination]],tblDestinations[Destination],0)),"?"))</f>
        <v/>
      </c>
      <c r="M4239" s="64">
        <f>IF(tblMovement[[#This Row],[Material]]="","",IF(LEFT(tblMovement[[#This Row],[Material]],3)="Ore",1,0))</f>
        <v/>
      </c>
      <c r="N4239" s="59">
        <f>IF(OR(tblMovement[[#This Row],[Tonnes_t]]="",tblMovement[[#This Row],[Grade_gpt]]=""),0,tblMovement[[#This Row],[Tonnes_t]]*tblMovement[[#This Row],[Grade_gpt]]/cfg_TroyOz)</f>
        <v/>
      </c>
      <c r="O4239" s="59">
        <f>IF(tblMovement[[#This Row],[Is_Ore]]=1,tblMovement[[#This Row],[Contained_oz]],0)</f>
        <v/>
      </c>
    </row>
    <row r="4240">
      <c r="A4240" s="54" t="n"/>
      <c r="B4240" s="61" t="n"/>
      <c r="C4240" s="61" t="n"/>
      <c r="D4240" s="61" t="n"/>
      <c r="E4240" s="61" t="n"/>
      <c r="F4240" s="55" t="n"/>
      <c r="G4240" s="56" t="n"/>
      <c r="H4240" s="55" t="n"/>
      <c r="I4240" s="62" t="n"/>
      <c r="J4240" s="58" t="n"/>
      <c r="K4240" s="63">
        <f>IF(tblMovement[[#This Row],[Source]]="","",IFERROR(INDEX(tblSources[Type],MATCH(tblMovement[[#This Row],[Source]],tblSources[Source],0)),"?"))</f>
        <v/>
      </c>
      <c r="L4240" s="63">
        <f>IF(tblMovement[[#This Row],[Destination]]="","",IFERROR(INDEX(tblDestinations[Type],MATCH(tblMovement[[#This Row],[Destination]],tblDestinations[Destination],0)),"?"))</f>
        <v/>
      </c>
      <c r="M4240" s="64">
        <f>IF(tblMovement[[#This Row],[Material]]="","",IF(LEFT(tblMovement[[#This Row],[Material]],3)="Ore",1,0))</f>
        <v/>
      </c>
      <c r="N4240" s="59">
        <f>IF(OR(tblMovement[[#This Row],[Tonnes_t]]="",tblMovement[[#This Row],[Grade_gpt]]=""),0,tblMovement[[#This Row],[Tonnes_t]]*tblMovement[[#This Row],[Grade_gpt]]/cfg_TroyOz)</f>
        <v/>
      </c>
      <c r="O4240" s="59">
        <f>IF(tblMovement[[#This Row],[Is_Ore]]=1,tblMovement[[#This Row],[Contained_oz]],0)</f>
        <v/>
      </c>
    </row>
    <row r="4241">
      <c r="A4241" s="54" t="n"/>
      <c r="B4241" s="61" t="n"/>
      <c r="C4241" s="61" t="n"/>
      <c r="D4241" s="61" t="n"/>
      <c r="E4241" s="61" t="n"/>
      <c r="F4241" s="55" t="n"/>
      <c r="G4241" s="56" t="n"/>
      <c r="H4241" s="55" t="n"/>
      <c r="I4241" s="62" t="n"/>
      <c r="J4241" s="58" t="n"/>
      <c r="K4241" s="63">
        <f>IF(tblMovement[[#This Row],[Source]]="","",IFERROR(INDEX(tblSources[Type],MATCH(tblMovement[[#This Row],[Source]],tblSources[Source],0)),"?"))</f>
        <v/>
      </c>
      <c r="L4241" s="63">
        <f>IF(tblMovement[[#This Row],[Destination]]="","",IFERROR(INDEX(tblDestinations[Type],MATCH(tblMovement[[#This Row],[Destination]],tblDestinations[Destination],0)),"?"))</f>
        <v/>
      </c>
      <c r="M4241" s="64">
        <f>IF(tblMovement[[#This Row],[Material]]="","",IF(LEFT(tblMovement[[#This Row],[Material]],3)="Ore",1,0))</f>
        <v/>
      </c>
      <c r="N4241" s="59">
        <f>IF(OR(tblMovement[[#This Row],[Tonnes_t]]="",tblMovement[[#This Row],[Grade_gpt]]=""),0,tblMovement[[#This Row],[Tonnes_t]]*tblMovement[[#This Row],[Grade_gpt]]/cfg_TroyOz)</f>
        <v/>
      </c>
      <c r="O4241" s="59">
        <f>IF(tblMovement[[#This Row],[Is_Ore]]=1,tblMovement[[#This Row],[Contained_oz]],0)</f>
        <v/>
      </c>
    </row>
    <row r="4242">
      <c r="A4242" s="54" t="n"/>
      <c r="B4242" s="61" t="n"/>
      <c r="C4242" s="61" t="n"/>
      <c r="D4242" s="61" t="n"/>
      <c r="E4242" s="61" t="n"/>
      <c r="F4242" s="55" t="n"/>
      <c r="G4242" s="56" t="n"/>
      <c r="H4242" s="55" t="n"/>
      <c r="I4242" s="62" t="n"/>
      <c r="J4242" s="58" t="n"/>
      <c r="K4242" s="63">
        <f>IF(tblMovement[[#This Row],[Source]]="","",IFERROR(INDEX(tblSources[Type],MATCH(tblMovement[[#This Row],[Source]],tblSources[Source],0)),"?"))</f>
        <v/>
      </c>
      <c r="L4242" s="63">
        <f>IF(tblMovement[[#This Row],[Destination]]="","",IFERROR(INDEX(tblDestinations[Type],MATCH(tblMovement[[#This Row],[Destination]],tblDestinations[Destination],0)),"?"))</f>
        <v/>
      </c>
      <c r="M4242" s="64">
        <f>IF(tblMovement[[#This Row],[Material]]="","",IF(LEFT(tblMovement[[#This Row],[Material]],3)="Ore",1,0))</f>
        <v/>
      </c>
      <c r="N4242" s="59">
        <f>IF(OR(tblMovement[[#This Row],[Tonnes_t]]="",tblMovement[[#This Row],[Grade_gpt]]=""),0,tblMovement[[#This Row],[Tonnes_t]]*tblMovement[[#This Row],[Grade_gpt]]/cfg_TroyOz)</f>
        <v/>
      </c>
      <c r="O4242" s="59">
        <f>IF(tblMovement[[#This Row],[Is_Ore]]=1,tblMovement[[#This Row],[Contained_oz]],0)</f>
        <v/>
      </c>
    </row>
    <row r="4243">
      <c r="A4243" s="54" t="n"/>
      <c r="B4243" s="61" t="n"/>
      <c r="C4243" s="61" t="n"/>
      <c r="D4243" s="61" t="n"/>
      <c r="E4243" s="61" t="n"/>
      <c r="F4243" s="55" t="n"/>
      <c r="G4243" s="56" t="n"/>
      <c r="H4243" s="55" t="n"/>
      <c r="I4243" s="62" t="n"/>
      <c r="J4243" s="58" t="n"/>
      <c r="K4243" s="63">
        <f>IF(tblMovement[[#This Row],[Source]]="","",IFERROR(INDEX(tblSources[Type],MATCH(tblMovement[[#This Row],[Source]],tblSources[Source],0)),"?"))</f>
        <v/>
      </c>
      <c r="L4243" s="63">
        <f>IF(tblMovement[[#This Row],[Destination]]="","",IFERROR(INDEX(tblDestinations[Type],MATCH(tblMovement[[#This Row],[Destination]],tblDestinations[Destination],0)),"?"))</f>
        <v/>
      </c>
      <c r="M4243" s="64">
        <f>IF(tblMovement[[#This Row],[Material]]="","",IF(LEFT(tblMovement[[#This Row],[Material]],3)="Ore",1,0))</f>
        <v/>
      </c>
      <c r="N4243" s="59">
        <f>IF(OR(tblMovement[[#This Row],[Tonnes_t]]="",tblMovement[[#This Row],[Grade_gpt]]=""),0,tblMovement[[#This Row],[Tonnes_t]]*tblMovement[[#This Row],[Grade_gpt]]/cfg_TroyOz)</f>
        <v/>
      </c>
      <c r="O4243" s="59">
        <f>IF(tblMovement[[#This Row],[Is_Ore]]=1,tblMovement[[#This Row],[Contained_oz]],0)</f>
        <v/>
      </c>
    </row>
    <row r="4244">
      <c r="A4244" s="54" t="n"/>
      <c r="B4244" s="61" t="n"/>
      <c r="C4244" s="61" t="n"/>
      <c r="D4244" s="61" t="n"/>
      <c r="E4244" s="61" t="n"/>
      <c r="F4244" s="55" t="n"/>
      <c r="G4244" s="56" t="n"/>
      <c r="H4244" s="55" t="n"/>
      <c r="I4244" s="62" t="n"/>
      <c r="J4244" s="58" t="n"/>
      <c r="K4244" s="63">
        <f>IF(tblMovement[[#This Row],[Source]]="","",IFERROR(INDEX(tblSources[Type],MATCH(tblMovement[[#This Row],[Source]],tblSources[Source],0)),"?"))</f>
        <v/>
      </c>
      <c r="L4244" s="63">
        <f>IF(tblMovement[[#This Row],[Destination]]="","",IFERROR(INDEX(tblDestinations[Type],MATCH(tblMovement[[#This Row],[Destination]],tblDestinations[Destination],0)),"?"))</f>
        <v/>
      </c>
      <c r="M4244" s="64">
        <f>IF(tblMovement[[#This Row],[Material]]="","",IF(LEFT(tblMovement[[#This Row],[Material]],3)="Ore",1,0))</f>
        <v/>
      </c>
      <c r="N4244" s="59">
        <f>IF(OR(tblMovement[[#This Row],[Tonnes_t]]="",tblMovement[[#This Row],[Grade_gpt]]=""),0,tblMovement[[#This Row],[Tonnes_t]]*tblMovement[[#This Row],[Grade_gpt]]/cfg_TroyOz)</f>
        <v/>
      </c>
      <c r="O4244" s="59">
        <f>IF(tblMovement[[#This Row],[Is_Ore]]=1,tblMovement[[#This Row],[Contained_oz]],0)</f>
        <v/>
      </c>
    </row>
    <row r="4245">
      <c r="A4245" s="54" t="n"/>
      <c r="B4245" s="61" t="n"/>
      <c r="C4245" s="61" t="n"/>
      <c r="D4245" s="61" t="n"/>
      <c r="E4245" s="61" t="n"/>
      <c r="F4245" s="55" t="n"/>
      <c r="G4245" s="56" t="n"/>
      <c r="H4245" s="55" t="n"/>
      <c r="I4245" s="62" t="n"/>
      <c r="J4245" s="58" t="n"/>
      <c r="K4245" s="63">
        <f>IF(tblMovement[[#This Row],[Source]]="","",IFERROR(INDEX(tblSources[Type],MATCH(tblMovement[[#This Row],[Source]],tblSources[Source],0)),"?"))</f>
        <v/>
      </c>
      <c r="L4245" s="63">
        <f>IF(tblMovement[[#This Row],[Destination]]="","",IFERROR(INDEX(tblDestinations[Type],MATCH(tblMovement[[#This Row],[Destination]],tblDestinations[Destination],0)),"?"))</f>
        <v/>
      </c>
      <c r="M4245" s="64">
        <f>IF(tblMovement[[#This Row],[Material]]="","",IF(LEFT(tblMovement[[#This Row],[Material]],3)="Ore",1,0))</f>
        <v/>
      </c>
      <c r="N4245" s="59">
        <f>IF(OR(tblMovement[[#This Row],[Tonnes_t]]="",tblMovement[[#This Row],[Grade_gpt]]=""),0,tblMovement[[#This Row],[Tonnes_t]]*tblMovement[[#This Row],[Grade_gpt]]/cfg_TroyOz)</f>
        <v/>
      </c>
      <c r="O4245" s="59">
        <f>IF(tblMovement[[#This Row],[Is_Ore]]=1,tblMovement[[#This Row],[Contained_oz]],0)</f>
        <v/>
      </c>
    </row>
    <row r="4246">
      <c r="A4246" s="54" t="n"/>
      <c r="B4246" s="61" t="n"/>
      <c r="C4246" s="61" t="n"/>
      <c r="D4246" s="61" t="n"/>
      <c r="E4246" s="61" t="n"/>
      <c r="F4246" s="55" t="n"/>
      <c r="G4246" s="56" t="n"/>
      <c r="H4246" s="55" t="n"/>
      <c r="I4246" s="62" t="n"/>
      <c r="J4246" s="58" t="n"/>
      <c r="K4246" s="63">
        <f>IF(tblMovement[[#This Row],[Source]]="","",IFERROR(INDEX(tblSources[Type],MATCH(tblMovement[[#This Row],[Source]],tblSources[Source],0)),"?"))</f>
        <v/>
      </c>
      <c r="L4246" s="63">
        <f>IF(tblMovement[[#This Row],[Destination]]="","",IFERROR(INDEX(tblDestinations[Type],MATCH(tblMovement[[#This Row],[Destination]],tblDestinations[Destination],0)),"?"))</f>
        <v/>
      </c>
      <c r="M4246" s="64">
        <f>IF(tblMovement[[#This Row],[Material]]="","",IF(LEFT(tblMovement[[#This Row],[Material]],3)="Ore",1,0))</f>
        <v/>
      </c>
      <c r="N4246" s="59">
        <f>IF(OR(tblMovement[[#This Row],[Tonnes_t]]="",tblMovement[[#This Row],[Grade_gpt]]=""),0,tblMovement[[#This Row],[Tonnes_t]]*tblMovement[[#This Row],[Grade_gpt]]/cfg_TroyOz)</f>
        <v/>
      </c>
      <c r="O4246" s="59">
        <f>IF(tblMovement[[#This Row],[Is_Ore]]=1,tblMovement[[#This Row],[Contained_oz]],0)</f>
        <v/>
      </c>
    </row>
    <row r="4247">
      <c r="A4247" s="54" t="n"/>
      <c r="B4247" s="61" t="n"/>
      <c r="C4247" s="61" t="n"/>
      <c r="D4247" s="61" t="n"/>
      <c r="E4247" s="61" t="n"/>
      <c r="F4247" s="55" t="n"/>
      <c r="G4247" s="56" t="n"/>
      <c r="H4247" s="55" t="n"/>
      <c r="I4247" s="62" t="n"/>
      <c r="J4247" s="58" t="n"/>
      <c r="K4247" s="63">
        <f>IF(tblMovement[[#This Row],[Source]]="","",IFERROR(INDEX(tblSources[Type],MATCH(tblMovement[[#This Row],[Source]],tblSources[Source],0)),"?"))</f>
        <v/>
      </c>
      <c r="L4247" s="63">
        <f>IF(tblMovement[[#This Row],[Destination]]="","",IFERROR(INDEX(tblDestinations[Type],MATCH(tblMovement[[#This Row],[Destination]],tblDestinations[Destination],0)),"?"))</f>
        <v/>
      </c>
      <c r="M4247" s="64">
        <f>IF(tblMovement[[#This Row],[Material]]="","",IF(LEFT(tblMovement[[#This Row],[Material]],3)="Ore",1,0))</f>
        <v/>
      </c>
      <c r="N4247" s="59">
        <f>IF(OR(tblMovement[[#This Row],[Tonnes_t]]="",tblMovement[[#This Row],[Grade_gpt]]=""),0,tblMovement[[#This Row],[Tonnes_t]]*tblMovement[[#This Row],[Grade_gpt]]/cfg_TroyOz)</f>
        <v/>
      </c>
      <c r="O4247" s="59">
        <f>IF(tblMovement[[#This Row],[Is_Ore]]=1,tblMovement[[#This Row],[Contained_oz]],0)</f>
        <v/>
      </c>
    </row>
    <row r="4248">
      <c r="A4248" s="54" t="n"/>
      <c r="B4248" s="61" t="n"/>
      <c r="C4248" s="61" t="n"/>
      <c r="D4248" s="61" t="n"/>
      <c r="E4248" s="61" t="n"/>
      <c r="F4248" s="55" t="n"/>
      <c r="G4248" s="56" t="n"/>
      <c r="H4248" s="55" t="n"/>
      <c r="I4248" s="62" t="n"/>
      <c r="J4248" s="58" t="n"/>
      <c r="K4248" s="63">
        <f>IF(tblMovement[[#This Row],[Source]]="","",IFERROR(INDEX(tblSources[Type],MATCH(tblMovement[[#This Row],[Source]],tblSources[Source],0)),"?"))</f>
        <v/>
      </c>
      <c r="L4248" s="63">
        <f>IF(tblMovement[[#This Row],[Destination]]="","",IFERROR(INDEX(tblDestinations[Type],MATCH(tblMovement[[#This Row],[Destination]],tblDestinations[Destination],0)),"?"))</f>
        <v/>
      </c>
      <c r="M4248" s="64">
        <f>IF(tblMovement[[#This Row],[Material]]="","",IF(LEFT(tblMovement[[#This Row],[Material]],3)="Ore",1,0))</f>
        <v/>
      </c>
      <c r="N4248" s="59">
        <f>IF(OR(tblMovement[[#This Row],[Tonnes_t]]="",tblMovement[[#This Row],[Grade_gpt]]=""),0,tblMovement[[#This Row],[Tonnes_t]]*tblMovement[[#This Row],[Grade_gpt]]/cfg_TroyOz)</f>
        <v/>
      </c>
      <c r="O4248" s="59">
        <f>IF(tblMovement[[#This Row],[Is_Ore]]=1,tblMovement[[#This Row],[Contained_oz]],0)</f>
        <v/>
      </c>
    </row>
    <row r="4249">
      <c r="A4249" s="54" t="n"/>
      <c r="B4249" s="61" t="n"/>
      <c r="C4249" s="61" t="n"/>
      <c r="D4249" s="61" t="n"/>
      <c r="E4249" s="61" t="n"/>
      <c r="F4249" s="55" t="n"/>
      <c r="G4249" s="56" t="n"/>
      <c r="H4249" s="55" t="n"/>
      <c r="I4249" s="62" t="n"/>
      <c r="J4249" s="58" t="n"/>
      <c r="K4249" s="63">
        <f>IF(tblMovement[[#This Row],[Source]]="","",IFERROR(INDEX(tblSources[Type],MATCH(tblMovement[[#This Row],[Source]],tblSources[Source],0)),"?"))</f>
        <v/>
      </c>
      <c r="L4249" s="63">
        <f>IF(tblMovement[[#This Row],[Destination]]="","",IFERROR(INDEX(tblDestinations[Type],MATCH(tblMovement[[#This Row],[Destination]],tblDestinations[Destination],0)),"?"))</f>
        <v/>
      </c>
      <c r="M4249" s="64">
        <f>IF(tblMovement[[#This Row],[Material]]="","",IF(LEFT(tblMovement[[#This Row],[Material]],3)="Ore",1,0))</f>
        <v/>
      </c>
      <c r="N4249" s="59">
        <f>IF(OR(tblMovement[[#This Row],[Tonnes_t]]="",tblMovement[[#This Row],[Grade_gpt]]=""),0,tblMovement[[#This Row],[Tonnes_t]]*tblMovement[[#This Row],[Grade_gpt]]/cfg_TroyOz)</f>
        <v/>
      </c>
      <c r="O4249" s="59">
        <f>IF(tblMovement[[#This Row],[Is_Ore]]=1,tblMovement[[#This Row],[Contained_oz]],0)</f>
        <v/>
      </c>
    </row>
    <row r="4250">
      <c r="A4250" s="54" t="n"/>
      <c r="B4250" s="61" t="n"/>
      <c r="C4250" s="61" t="n"/>
      <c r="D4250" s="61" t="n"/>
      <c r="E4250" s="61" t="n"/>
      <c r="F4250" s="55" t="n"/>
      <c r="G4250" s="56" t="n"/>
      <c r="H4250" s="55" t="n"/>
      <c r="I4250" s="62" t="n"/>
      <c r="J4250" s="58" t="n"/>
      <c r="K4250" s="63">
        <f>IF(tblMovement[[#This Row],[Source]]="","",IFERROR(INDEX(tblSources[Type],MATCH(tblMovement[[#This Row],[Source]],tblSources[Source],0)),"?"))</f>
        <v/>
      </c>
      <c r="L4250" s="63">
        <f>IF(tblMovement[[#This Row],[Destination]]="","",IFERROR(INDEX(tblDestinations[Type],MATCH(tblMovement[[#This Row],[Destination]],tblDestinations[Destination],0)),"?"))</f>
        <v/>
      </c>
      <c r="M4250" s="64">
        <f>IF(tblMovement[[#This Row],[Material]]="","",IF(LEFT(tblMovement[[#This Row],[Material]],3)="Ore",1,0))</f>
        <v/>
      </c>
      <c r="N4250" s="59">
        <f>IF(OR(tblMovement[[#This Row],[Tonnes_t]]="",tblMovement[[#This Row],[Grade_gpt]]=""),0,tblMovement[[#This Row],[Tonnes_t]]*tblMovement[[#This Row],[Grade_gpt]]/cfg_TroyOz)</f>
        <v/>
      </c>
      <c r="O4250" s="59">
        <f>IF(tblMovement[[#This Row],[Is_Ore]]=1,tblMovement[[#This Row],[Contained_oz]],0)</f>
        <v/>
      </c>
    </row>
    <row r="4251">
      <c r="A4251" s="54" t="n"/>
      <c r="B4251" s="61" t="n"/>
      <c r="C4251" s="61" t="n"/>
      <c r="D4251" s="61" t="n"/>
      <c r="E4251" s="61" t="n"/>
      <c r="F4251" s="55" t="n"/>
      <c r="G4251" s="56" t="n"/>
      <c r="H4251" s="55" t="n"/>
      <c r="I4251" s="62" t="n"/>
      <c r="J4251" s="58" t="n"/>
      <c r="K4251" s="63">
        <f>IF(tblMovement[[#This Row],[Source]]="","",IFERROR(INDEX(tblSources[Type],MATCH(tblMovement[[#This Row],[Source]],tblSources[Source],0)),"?"))</f>
        <v/>
      </c>
      <c r="L4251" s="63">
        <f>IF(tblMovement[[#This Row],[Destination]]="","",IFERROR(INDEX(tblDestinations[Type],MATCH(tblMovement[[#This Row],[Destination]],tblDestinations[Destination],0)),"?"))</f>
        <v/>
      </c>
      <c r="M4251" s="64">
        <f>IF(tblMovement[[#This Row],[Material]]="","",IF(LEFT(tblMovement[[#This Row],[Material]],3)="Ore",1,0))</f>
        <v/>
      </c>
      <c r="N4251" s="59">
        <f>IF(OR(tblMovement[[#This Row],[Tonnes_t]]="",tblMovement[[#This Row],[Grade_gpt]]=""),0,tblMovement[[#This Row],[Tonnes_t]]*tblMovement[[#This Row],[Grade_gpt]]/cfg_TroyOz)</f>
        <v/>
      </c>
      <c r="O4251" s="59">
        <f>IF(tblMovement[[#This Row],[Is_Ore]]=1,tblMovement[[#This Row],[Contained_oz]],0)</f>
        <v/>
      </c>
    </row>
    <row r="4252">
      <c r="A4252" s="54" t="n"/>
      <c r="B4252" s="61" t="n"/>
      <c r="C4252" s="61" t="n"/>
      <c r="D4252" s="61" t="n"/>
      <c r="E4252" s="61" t="n"/>
      <c r="F4252" s="55" t="n"/>
      <c r="G4252" s="56" t="n"/>
      <c r="H4252" s="55" t="n"/>
      <c r="I4252" s="62" t="n"/>
      <c r="J4252" s="58" t="n"/>
      <c r="K4252" s="63">
        <f>IF(tblMovement[[#This Row],[Source]]="","",IFERROR(INDEX(tblSources[Type],MATCH(tblMovement[[#This Row],[Source]],tblSources[Source],0)),"?"))</f>
        <v/>
      </c>
      <c r="L4252" s="63">
        <f>IF(tblMovement[[#This Row],[Destination]]="","",IFERROR(INDEX(tblDestinations[Type],MATCH(tblMovement[[#This Row],[Destination]],tblDestinations[Destination],0)),"?"))</f>
        <v/>
      </c>
      <c r="M4252" s="64">
        <f>IF(tblMovement[[#This Row],[Material]]="","",IF(LEFT(tblMovement[[#This Row],[Material]],3)="Ore",1,0))</f>
        <v/>
      </c>
      <c r="N4252" s="59">
        <f>IF(OR(tblMovement[[#This Row],[Tonnes_t]]="",tblMovement[[#This Row],[Grade_gpt]]=""),0,tblMovement[[#This Row],[Tonnes_t]]*tblMovement[[#This Row],[Grade_gpt]]/cfg_TroyOz)</f>
        <v/>
      </c>
      <c r="O4252" s="59">
        <f>IF(tblMovement[[#This Row],[Is_Ore]]=1,tblMovement[[#This Row],[Contained_oz]],0)</f>
        <v/>
      </c>
    </row>
    <row r="4253">
      <c r="A4253" s="54" t="n"/>
      <c r="B4253" s="61" t="n"/>
      <c r="C4253" s="61" t="n"/>
      <c r="D4253" s="61" t="n"/>
      <c r="E4253" s="61" t="n"/>
      <c r="F4253" s="55" t="n"/>
      <c r="G4253" s="56" t="n"/>
      <c r="H4253" s="55" t="n"/>
      <c r="I4253" s="62" t="n"/>
      <c r="J4253" s="58" t="n"/>
      <c r="K4253" s="63">
        <f>IF(tblMovement[[#This Row],[Source]]="","",IFERROR(INDEX(tblSources[Type],MATCH(tblMovement[[#This Row],[Source]],tblSources[Source],0)),"?"))</f>
        <v/>
      </c>
      <c r="L4253" s="63">
        <f>IF(tblMovement[[#This Row],[Destination]]="","",IFERROR(INDEX(tblDestinations[Type],MATCH(tblMovement[[#This Row],[Destination]],tblDestinations[Destination],0)),"?"))</f>
        <v/>
      </c>
      <c r="M4253" s="64">
        <f>IF(tblMovement[[#This Row],[Material]]="","",IF(LEFT(tblMovement[[#This Row],[Material]],3)="Ore",1,0))</f>
        <v/>
      </c>
      <c r="N4253" s="59">
        <f>IF(OR(tblMovement[[#This Row],[Tonnes_t]]="",tblMovement[[#This Row],[Grade_gpt]]=""),0,tblMovement[[#This Row],[Tonnes_t]]*tblMovement[[#This Row],[Grade_gpt]]/cfg_TroyOz)</f>
        <v/>
      </c>
      <c r="O4253" s="59">
        <f>IF(tblMovement[[#This Row],[Is_Ore]]=1,tblMovement[[#This Row],[Contained_oz]],0)</f>
        <v/>
      </c>
    </row>
    <row r="4254">
      <c r="A4254" s="54" t="n"/>
      <c r="B4254" s="61" t="n"/>
      <c r="C4254" s="61" t="n"/>
      <c r="D4254" s="61" t="n"/>
      <c r="E4254" s="61" t="n"/>
      <c r="F4254" s="55" t="n"/>
      <c r="G4254" s="56" t="n"/>
      <c r="H4254" s="55" t="n"/>
      <c r="I4254" s="62" t="n"/>
      <c r="J4254" s="58" t="n"/>
      <c r="K4254" s="63">
        <f>IF(tblMovement[[#This Row],[Source]]="","",IFERROR(INDEX(tblSources[Type],MATCH(tblMovement[[#This Row],[Source]],tblSources[Source],0)),"?"))</f>
        <v/>
      </c>
      <c r="L4254" s="63">
        <f>IF(tblMovement[[#This Row],[Destination]]="","",IFERROR(INDEX(tblDestinations[Type],MATCH(tblMovement[[#This Row],[Destination]],tblDestinations[Destination],0)),"?"))</f>
        <v/>
      </c>
      <c r="M4254" s="64">
        <f>IF(tblMovement[[#This Row],[Material]]="","",IF(LEFT(tblMovement[[#This Row],[Material]],3)="Ore",1,0))</f>
        <v/>
      </c>
      <c r="N4254" s="59">
        <f>IF(OR(tblMovement[[#This Row],[Tonnes_t]]="",tblMovement[[#This Row],[Grade_gpt]]=""),0,tblMovement[[#This Row],[Tonnes_t]]*tblMovement[[#This Row],[Grade_gpt]]/cfg_TroyOz)</f>
        <v/>
      </c>
      <c r="O4254" s="59">
        <f>IF(tblMovement[[#This Row],[Is_Ore]]=1,tblMovement[[#This Row],[Contained_oz]],0)</f>
        <v/>
      </c>
    </row>
    <row r="4255">
      <c r="A4255" s="54" t="n"/>
      <c r="B4255" s="61" t="n"/>
      <c r="C4255" s="61" t="n"/>
      <c r="D4255" s="61" t="n"/>
      <c r="E4255" s="61" t="n"/>
      <c r="F4255" s="55" t="n"/>
      <c r="G4255" s="56" t="n"/>
      <c r="H4255" s="55" t="n"/>
      <c r="I4255" s="62" t="n"/>
      <c r="J4255" s="58" t="n"/>
      <c r="K4255" s="63">
        <f>IF(tblMovement[[#This Row],[Source]]="","",IFERROR(INDEX(tblSources[Type],MATCH(tblMovement[[#This Row],[Source]],tblSources[Source],0)),"?"))</f>
        <v/>
      </c>
      <c r="L4255" s="63">
        <f>IF(tblMovement[[#This Row],[Destination]]="","",IFERROR(INDEX(tblDestinations[Type],MATCH(tblMovement[[#This Row],[Destination]],tblDestinations[Destination],0)),"?"))</f>
        <v/>
      </c>
      <c r="M4255" s="64">
        <f>IF(tblMovement[[#This Row],[Material]]="","",IF(LEFT(tblMovement[[#This Row],[Material]],3)="Ore",1,0))</f>
        <v/>
      </c>
      <c r="N4255" s="59">
        <f>IF(OR(tblMovement[[#This Row],[Tonnes_t]]="",tblMovement[[#This Row],[Grade_gpt]]=""),0,tblMovement[[#This Row],[Tonnes_t]]*tblMovement[[#This Row],[Grade_gpt]]/cfg_TroyOz)</f>
        <v/>
      </c>
      <c r="O4255" s="59">
        <f>IF(tblMovement[[#This Row],[Is_Ore]]=1,tblMovement[[#This Row],[Contained_oz]],0)</f>
        <v/>
      </c>
    </row>
    <row r="4256">
      <c r="A4256" s="54" t="n"/>
      <c r="B4256" s="61" t="n"/>
      <c r="C4256" s="61" t="n"/>
      <c r="D4256" s="61" t="n"/>
      <c r="E4256" s="61" t="n"/>
      <c r="F4256" s="55" t="n"/>
      <c r="G4256" s="56" t="n"/>
      <c r="H4256" s="55" t="n"/>
      <c r="I4256" s="62" t="n"/>
      <c r="J4256" s="58" t="n"/>
      <c r="K4256" s="63">
        <f>IF(tblMovement[[#This Row],[Source]]="","",IFERROR(INDEX(tblSources[Type],MATCH(tblMovement[[#This Row],[Source]],tblSources[Source],0)),"?"))</f>
        <v/>
      </c>
      <c r="L4256" s="63">
        <f>IF(tblMovement[[#This Row],[Destination]]="","",IFERROR(INDEX(tblDestinations[Type],MATCH(tblMovement[[#This Row],[Destination]],tblDestinations[Destination],0)),"?"))</f>
        <v/>
      </c>
      <c r="M4256" s="64">
        <f>IF(tblMovement[[#This Row],[Material]]="","",IF(LEFT(tblMovement[[#This Row],[Material]],3)="Ore",1,0))</f>
        <v/>
      </c>
      <c r="N4256" s="59">
        <f>IF(OR(tblMovement[[#This Row],[Tonnes_t]]="",tblMovement[[#This Row],[Grade_gpt]]=""),0,tblMovement[[#This Row],[Tonnes_t]]*tblMovement[[#This Row],[Grade_gpt]]/cfg_TroyOz)</f>
        <v/>
      </c>
      <c r="O4256" s="59">
        <f>IF(tblMovement[[#This Row],[Is_Ore]]=1,tblMovement[[#This Row],[Contained_oz]],0)</f>
        <v/>
      </c>
    </row>
    <row r="4257">
      <c r="A4257" s="54" t="n"/>
      <c r="B4257" s="61" t="n"/>
      <c r="C4257" s="61" t="n"/>
      <c r="D4257" s="61" t="n"/>
      <c r="E4257" s="61" t="n"/>
      <c r="F4257" s="55" t="n"/>
      <c r="G4257" s="56" t="n"/>
      <c r="H4257" s="55" t="n"/>
      <c r="I4257" s="62" t="n"/>
      <c r="J4257" s="58" t="n"/>
      <c r="K4257" s="63">
        <f>IF(tblMovement[[#This Row],[Source]]="","",IFERROR(INDEX(tblSources[Type],MATCH(tblMovement[[#This Row],[Source]],tblSources[Source],0)),"?"))</f>
        <v/>
      </c>
      <c r="L4257" s="63">
        <f>IF(tblMovement[[#This Row],[Destination]]="","",IFERROR(INDEX(tblDestinations[Type],MATCH(tblMovement[[#This Row],[Destination]],tblDestinations[Destination],0)),"?"))</f>
        <v/>
      </c>
      <c r="M4257" s="64">
        <f>IF(tblMovement[[#This Row],[Material]]="","",IF(LEFT(tblMovement[[#This Row],[Material]],3)="Ore",1,0))</f>
        <v/>
      </c>
      <c r="N4257" s="59">
        <f>IF(OR(tblMovement[[#This Row],[Tonnes_t]]="",tblMovement[[#This Row],[Grade_gpt]]=""),0,tblMovement[[#This Row],[Tonnes_t]]*tblMovement[[#This Row],[Grade_gpt]]/cfg_TroyOz)</f>
        <v/>
      </c>
      <c r="O4257" s="59">
        <f>IF(tblMovement[[#This Row],[Is_Ore]]=1,tblMovement[[#This Row],[Contained_oz]],0)</f>
        <v/>
      </c>
    </row>
    <row r="4258">
      <c r="A4258" s="54" t="n"/>
      <c r="B4258" s="61" t="n"/>
      <c r="C4258" s="61" t="n"/>
      <c r="D4258" s="61" t="n"/>
      <c r="E4258" s="61" t="n"/>
      <c r="F4258" s="55" t="n"/>
      <c r="G4258" s="56" t="n"/>
      <c r="H4258" s="55" t="n"/>
      <c r="I4258" s="62" t="n"/>
      <c r="J4258" s="58" t="n"/>
      <c r="K4258" s="63">
        <f>IF(tblMovement[[#This Row],[Source]]="","",IFERROR(INDEX(tblSources[Type],MATCH(tblMovement[[#This Row],[Source]],tblSources[Source],0)),"?"))</f>
        <v/>
      </c>
      <c r="L4258" s="63">
        <f>IF(tblMovement[[#This Row],[Destination]]="","",IFERROR(INDEX(tblDestinations[Type],MATCH(tblMovement[[#This Row],[Destination]],tblDestinations[Destination],0)),"?"))</f>
        <v/>
      </c>
      <c r="M4258" s="64">
        <f>IF(tblMovement[[#This Row],[Material]]="","",IF(LEFT(tblMovement[[#This Row],[Material]],3)="Ore",1,0))</f>
        <v/>
      </c>
      <c r="N4258" s="59">
        <f>IF(OR(tblMovement[[#This Row],[Tonnes_t]]="",tblMovement[[#This Row],[Grade_gpt]]=""),0,tblMovement[[#This Row],[Tonnes_t]]*tblMovement[[#This Row],[Grade_gpt]]/cfg_TroyOz)</f>
        <v/>
      </c>
      <c r="O4258" s="59">
        <f>IF(tblMovement[[#This Row],[Is_Ore]]=1,tblMovement[[#This Row],[Contained_oz]],0)</f>
        <v/>
      </c>
    </row>
    <row r="4259">
      <c r="A4259" s="54" t="n"/>
      <c r="B4259" s="61" t="n"/>
      <c r="C4259" s="61" t="n"/>
      <c r="D4259" s="61" t="n"/>
      <c r="E4259" s="61" t="n"/>
      <c r="F4259" s="55" t="n"/>
      <c r="G4259" s="56" t="n"/>
      <c r="H4259" s="55" t="n"/>
      <c r="I4259" s="62" t="n"/>
      <c r="J4259" s="58" t="n"/>
      <c r="K4259" s="63">
        <f>IF(tblMovement[[#This Row],[Source]]="","",IFERROR(INDEX(tblSources[Type],MATCH(tblMovement[[#This Row],[Source]],tblSources[Source],0)),"?"))</f>
        <v/>
      </c>
      <c r="L4259" s="63">
        <f>IF(tblMovement[[#This Row],[Destination]]="","",IFERROR(INDEX(tblDestinations[Type],MATCH(tblMovement[[#This Row],[Destination]],tblDestinations[Destination],0)),"?"))</f>
        <v/>
      </c>
      <c r="M4259" s="64">
        <f>IF(tblMovement[[#This Row],[Material]]="","",IF(LEFT(tblMovement[[#This Row],[Material]],3)="Ore",1,0))</f>
        <v/>
      </c>
      <c r="N4259" s="59">
        <f>IF(OR(tblMovement[[#This Row],[Tonnes_t]]="",tblMovement[[#This Row],[Grade_gpt]]=""),0,tblMovement[[#This Row],[Tonnes_t]]*tblMovement[[#This Row],[Grade_gpt]]/cfg_TroyOz)</f>
        <v/>
      </c>
      <c r="O4259" s="59">
        <f>IF(tblMovement[[#This Row],[Is_Ore]]=1,tblMovement[[#This Row],[Contained_oz]],0)</f>
        <v/>
      </c>
    </row>
    <row r="4260">
      <c r="A4260" s="54" t="n"/>
      <c r="B4260" s="61" t="n"/>
      <c r="C4260" s="61" t="n"/>
      <c r="D4260" s="61" t="n"/>
      <c r="E4260" s="61" t="n"/>
      <c r="F4260" s="55" t="n"/>
      <c r="G4260" s="56" t="n"/>
      <c r="H4260" s="55" t="n"/>
      <c r="I4260" s="62" t="n"/>
      <c r="J4260" s="58" t="n"/>
      <c r="K4260" s="63">
        <f>IF(tblMovement[[#This Row],[Source]]="","",IFERROR(INDEX(tblSources[Type],MATCH(tblMovement[[#This Row],[Source]],tblSources[Source],0)),"?"))</f>
        <v/>
      </c>
      <c r="L4260" s="63">
        <f>IF(tblMovement[[#This Row],[Destination]]="","",IFERROR(INDEX(tblDestinations[Type],MATCH(tblMovement[[#This Row],[Destination]],tblDestinations[Destination],0)),"?"))</f>
        <v/>
      </c>
      <c r="M4260" s="64">
        <f>IF(tblMovement[[#This Row],[Material]]="","",IF(LEFT(tblMovement[[#This Row],[Material]],3)="Ore",1,0))</f>
        <v/>
      </c>
      <c r="N4260" s="59">
        <f>IF(OR(tblMovement[[#This Row],[Tonnes_t]]="",tblMovement[[#This Row],[Grade_gpt]]=""),0,tblMovement[[#This Row],[Tonnes_t]]*tblMovement[[#This Row],[Grade_gpt]]/cfg_TroyOz)</f>
        <v/>
      </c>
      <c r="O4260" s="59">
        <f>IF(tblMovement[[#This Row],[Is_Ore]]=1,tblMovement[[#This Row],[Contained_oz]],0)</f>
        <v/>
      </c>
    </row>
    <row r="4261">
      <c r="A4261" s="54" t="n"/>
      <c r="B4261" s="61" t="n"/>
      <c r="C4261" s="61" t="n"/>
      <c r="D4261" s="61" t="n"/>
      <c r="E4261" s="61" t="n"/>
      <c r="F4261" s="55" t="n"/>
      <c r="G4261" s="56" t="n"/>
      <c r="H4261" s="55" t="n"/>
      <c r="I4261" s="62" t="n"/>
      <c r="J4261" s="58" t="n"/>
      <c r="K4261" s="63">
        <f>IF(tblMovement[[#This Row],[Source]]="","",IFERROR(INDEX(tblSources[Type],MATCH(tblMovement[[#This Row],[Source]],tblSources[Source],0)),"?"))</f>
        <v/>
      </c>
      <c r="L4261" s="63">
        <f>IF(tblMovement[[#This Row],[Destination]]="","",IFERROR(INDEX(tblDestinations[Type],MATCH(tblMovement[[#This Row],[Destination]],tblDestinations[Destination],0)),"?"))</f>
        <v/>
      </c>
      <c r="M4261" s="64">
        <f>IF(tblMovement[[#This Row],[Material]]="","",IF(LEFT(tblMovement[[#This Row],[Material]],3)="Ore",1,0))</f>
        <v/>
      </c>
      <c r="N4261" s="59">
        <f>IF(OR(tblMovement[[#This Row],[Tonnes_t]]="",tblMovement[[#This Row],[Grade_gpt]]=""),0,tblMovement[[#This Row],[Tonnes_t]]*tblMovement[[#This Row],[Grade_gpt]]/cfg_TroyOz)</f>
        <v/>
      </c>
      <c r="O4261" s="59">
        <f>IF(tblMovement[[#This Row],[Is_Ore]]=1,tblMovement[[#This Row],[Contained_oz]],0)</f>
        <v/>
      </c>
    </row>
    <row r="4262">
      <c r="A4262" s="54" t="n"/>
      <c r="B4262" s="61" t="n"/>
      <c r="C4262" s="61" t="n"/>
      <c r="D4262" s="61" t="n"/>
      <c r="E4262" s="61" t="n"/>
      <c r="F4262" s="55" t="n"/>
      <c r="G4262" s="56" t="n"/>
      <c r="H4262" s="55" t="n"/>
      <c r="I4262" s="62" t="n"/>
      <c r="J4262" s="58" t="n"/>
      <c r="K4262" s="63">
        <f>IF(tblMovement[[#This Row],[Source]]="","",IFERROR(INDEX(tblSources[Type],MATCH(tblMovement[[#This Row],[Source]],tblSources[Source],0)),"?"))</f>
        <v/>
      </c>
      <c r="L4262" s="63">
        <f>IF(tblMovement[[#This Row],[Destination]]="","",IFERROR(INDEX(tblDestinations[Type],MATCH(tblMovement[[#This Row],[Destination]],tblDestinations[Destination],0)),"?"))</f>
        <v/>
      </c>
      <c r="M4262" s="64">
        <f>IF(tblMovement[[#This Row],[Material]]="","",IF(LEFT(tblMovement[[#This Row],[Material]],3)="Ore",1,0))</f>
        <v/>
      </c>
      <c r="N4262" s="59">
        <f>IF(OR(tblMovement[[#This Row],[Tonnes_t]]="",tblMovement[[#This Row],[Grade_gpt]]=""),0,tblMovement[[#This Row],[Tonnes_t]]*tblMovement[[#This Row],[Grade_gpt]]/cfg_TroyOz)</f>
        <v/>
      </c>
      <c r="O4262" s="59">
        <f>IF(tblMovement[[#This Row],[Is_Ore]]=1,tblMovement[[#This Row],[Contained_oz]],0)</f>
        <v/>
      </c>
    </row>
    <row r="4263">
      <c r="A4263" s="54" t="n"/>
      <c r="B4263" s="61" t="n"/>
      <c r="C4263" s="61" t="n"/>
      <c r="D4263" s="61" t="n"/>
      <c r="E4263" s="61" t="n"/>
      <c r="F4263" s="55" t="n"/>
      <c r="G4263" s="56" t="n"/>
      <c r="H4263" s="55" t="n"/>
      <c r="I4263" s="62" t="n"/>
      <c r="J4263" s="58" t="n"/>
      <c r="K4263" s="63">
        <f>IF(tblMovement[[#This Row],[Source]]="","",IFERROR(INDEX(tblSources[Type],MATCH(tblMovement[[#This Row],[Source]],tblSources[Source],0)),"?"))</f>
        <v/>
      </c>
      <c r="L4263" s="63">
        <f>IF(tblMovement[[#This Row],[Destination]]="","",IFERROR(INDEX(tblDestinations[Type],MATCH(tblMovement[[#This Row],[Destination]],tblDestinations[Destination],0)),"?"))</f>
        <v/>
      </c>
      <c r="M4263" s="64">
        <f>IF(tblMovement[[#This Row],[Material]]="","",IF(LEFT(tblMovement[[#This Row],[Material]],3)="Ore",1,0))</f>
        <v/>
      </c>
      <c r="N4263" s="59">
        <f>IF(OR(tblMovement[[#This Row],[Tonnes_t]]="",tblMovement[[#This Row],[Grade_gpt]]=""),0,tblMovement[[#This Row],[Tonnes_t]]*tblMovement[[#This Row],[Grade_gpt]]/cfg_TroyOz)</f>
        <v/>
      </c>
      <c r="O4263" s="59">
        <f>IF(tblMovement[[#This Row],[Is_Ore]]=1,tblMovement[[#This Row],[Contained_oz]],0)</f>
        <v/>
      </c>
    </row>
    <row r="4264">
      <c r="A4264" s="54" t="n"/>
      <c r="B4264" s="61" t="n"/>
      <c r="C4264" s="61" t="n"/>
      <c r="D4264" s="61" t="n"/>
      <c r="E4264" s="61" t="n"/>
      <c r="F4264" s="55" t="n"/>
      <c r="G4264" s="56" t="n"/>
      <c r="H4264" s="55" t="n"/>
      <c r="I4264" s="62" t="n"/>
      <c r="J4264" s="58" t="n"/>
      <c r="K4264" s="63">
        <f>IF(tblMovement[[#This Row],[Source]]="","",IFERROR(INDEX(tblSources[Type],MATCH(tblMovement[[#This Row],[Source]],tblSources[Source],0)),"?"))</f>
        <v/>
      </c>
      <c r="L4264" s="63">
        <f>IF(tblMovement[[#This Row],[Destination]]="","",IFERROR(INDEX(tblDestinations[Type],MATCH(tblMovement[[#This Row],[Destination]],tblDestinations[Destination],0)),"?"))</f>
        <v/>
      </c>
      <c r="M4264" s="64">
        <f>IF(tblMovement[[#This Row],[Material]]="","",IF(LEFT(tblMovement[[#This Row],[Material]],3)="Ore",1,0))</f>
        <v/>
      </c>
      <c r="N4264" s="59">
        <f>IF(OR(tblMovement[[#This Row],[Tonnes_t]]="",tblMovement[[#This Row],[Grade_gpt]]=""),0,tblMovement[[#This Row],[Tonnes_t]]*tblMovement[[#This Row],[Grade_gpt]]/cfg_TroyOz)</f>
        <v/>
      </c>
      <c r="O4264" s="59">
        <f>IF(tblMovement[[#This Row],[Is_Ore]]=1,tblMovement[[#This Row],[Contained_oz]],0)</f>
        <v/>
      </c>
    </row>
    <row r="4265">
      <c r="A4265" s="54" t="n"/>
      <c r="B4265" s="61" t="n"/>
      <c r="C4265" s="61" t="n"/>
      <c r="D4265" s="61" t="n"/>
      <c r="E4265" s="61" t="n"/>
      <c r="F4265" s="55" t="n"/>
      <c r="G4265" s="56" t="n"/>
      <c r="H4265" s="55" t="n"/>
      <c r="I4265" s="62" t="n"/>
      <c r="J4265" s="58" t="n"/>
      <c r="K4265" s="63">
        <f>IF(tblMovement[[#This Row],[Source]]="","",IFERROR(INDEX(tblSources[Type],MATCH(tblMovement[[#This Row],[Source]],tblSources[Source],0)),"?"))</f>
        <v/>
      </c>
      <c r="L4265" s="63">
        <f>IF(tblMovement[[#This Row],[Destination]]="","",IFERROR(INDEX(tblDestinations[Type],MATCH(tblMovement[[#This Row],[Destination]],tblDestinations[Destination],0)),"?"))</f>
        <v/>
      </c>
      <c r="M4265" s="64">
        <f>IF(tblMovement[[#This Row],[Material]]="","",IF(LEFT(tblMovement[[#This Row],[Material]],3)="Ore",1,0))</f>
        <v/>
      </c>
      <c r="N4265" s="59">
        <f>IF(OR(tblMovement[[#This Row],[Tonnes_t]]="",tblMovement[[#This Row],[Grade_gpt]]=""),0,tblMovement[[#This Row],[Tonnes_t]]*tblMovement[[#This Row],[Grade_gpt]]/cfg_TroyOz)</f>
        <v/>
      </c>
      <c r="O4265" s="59">
        <f>IF(tblMovement[[#This Row],[Is_Ore]]=1,tblMovement[[#This Row],[Contained_oz]],0)</f>
        <v/>
      </c>
    </row>
    <row r="4266">
      <c r="A4266" s="54" t="n"/>
      <c r="B4266" s="61" t="n"/>
      <c r="C4266" s="61" t="n"/>
      <c r="D4266" s="61" t="n"/>
      <c r="E4266" s="61" t="n"/>
      <c r="F4266" s="55" t="n"/>
      <c r="G4266" s="56" t="n"/>
      <c r="H4266" s="55" t="n"/>
      <c r="I4266" s="62" t="n"/>
      <c r="J4266" s="58" t="n"/>
      <c r="K4266" s="63">
        <f>IF(tblMovement[[#This Row],[Source]]="","",IFERROR(INDEX(tblSources[Type],MATCH(tblMovement[[#This Row],[Source]],tblSources[Source],0)),"?"))</f>
        <v/>
      </c>
      <c r="L4266" s="63">
        <f>IF(tblMovement[[#This Row],[Destination]]="","",IFERROR(INDEX(tblDestinations[Type],MATCH(tblMovement[[#This Row],[Destination]],tblDestinations[Destination],0)),"?"))</f>
        <v/>
      </c>
      <c r="M4266" s="64">
        <f>IF(tblMovement[[#This Row],[Material]]="","",IF(LEFT(tblMovement[[#This Row],[Material]],3)="Ore",1,0))</f>
        <v/>
      </c>
      <c r="N4266" s="59">
        <f>IF(OR(tblMovement[[#This Row],[Tonnes_t]]="",tblMovement[[#This Row],[Grade_gpt]]=""),0,tblMovement[[#This Row],[Tonnes_t]]*tblMovement[[#This Row],[Grade_gpt]]/cfg_TroyOz)</f>
        <v/>
      </c>
      <c r="O4266" s="59">
        <f>IF(tblMovement[[#This Row],[Is_Ore]]=1,tblMovement[[#This Row],[Contained_oz]],0)</f>
        <v/>
      </c>
    </row>
    <row r="4267">
      <c r="A4267" s="54" t="n"/>
      <c r="B4267" s="61" t="n"/>
      <c r="C4267" s="61" t="n"/>
      <c r="D4267" s="61" t="n"/>
      <c r="E4267" s="61" t="n"/>
      <c r="F4267" s="55" t="n"/>
      <c r="G4267" s="56" t="n"/>
      <c r="H4267" s="55" t="n"/>
      <c r="I4267" s="62" t="n"/>
      <c r="J4267" s="58" t="n"/>
      <c r="K4267" s="63">
        <f>IF(tblMovement[[#This Row],[Source]]="","",IFERROR(INDEX(tblSources[Type],MATCH(tblMovement[[#This Row],[Source]],tblSources[Source],0)),"?"))</f>
        <v/>
      </c>
      <c r="L4267" s="63">
        <f>IF(tblMovement[[#This Row],[Destination]]="","",IFERROR(INDEX(tblDestinations[Type],MATCH(tblMovement[[#This Row],[Destination]],tblDestinations[Destination],0)),"?"))</f>
        <v/>
      </c>
      <c r="M4267" s="64">
        <f>IF(tblMovement[[#This Row],[Material]]="","",IF(LEFT(tblMovement[[#This Row],[Material]],3)="Ore",1,0))</f>
        <v/>
      </c>
      <c r="N4267" s="59">
        <f>IF(OR(tblMovement[[#This Row],[Tonnes_t]]="",tblMovement[[#This Row],[Grade_gpt]]=""),0,tblMovement[[#This Row],[Tonnes_t]]*tblMovement[[#This Row],[Grade_gpt]]/cfg_TroyOz)</f>
        <v/>
      </c>
      <c r="O4267" s="59">
        <f>IF(tblMovement[[#This Row],[Is_Ore]]=1,tblMovement[[#This Row],[Contained_oz]],0)</f>
        <v/>
      </c>
    </row>
    <row r="4268">
      <c r="A4268" s="54" t="n"/>
      <c r="B4268" s="61" t="n"/>
      <c r="C4268" s="61" t="n"/>
      <c r="D4268" s="61" t="n"/>
      <c r="E4268" s="61" t="n"/>
      <c r="F4268" s="55" t="n"/>
      <c r="G4268" s="56" t="n"/>
      <c r="H4268" s="55" t="n"/>
      <c r="I4268" s="62" t="n"/>
      <c r="J4268" s="58" t="n"/>
      <c r="K4268" s="63">
        <f>IF(tblMovement[[#This Row],[Source]]="","",IFERROR(INDEX(tblSources[Type],MATCH(tblMovement[[#This Row],[Source]],tblSources[Source],0)),"?"))</f>
        <v/>
      </c>
      <c r="L4268" s="63">
        <f>IF(tblMovement[[#This Row],[Destination]]="","",IFERROR(INDEX(tblDestinations[Type],MATCH(tblMovement[[#This Row],[Destination]],tblDestinations[Destination],0)),"?"))</f>
        <v/>
      </c>
      <c r="M4268" s="64">
        <f>IF(tblMovement[[#This Row],[Material]]="","",IF(LEFT(tblMovement[[#This Row],[Material]],3)="Ore",1,0))</f>
        <v/>
      </c>
      <c r="N4268" s="59">
        <f>IF(OR(tblMovement[[#This Row],[Tonnes_t]]="",tblMovement[[#This Row],[Grade_gpt]]=""),0,tblMovement[[#This Row],[Tonnes_t]]*tblMovement[[#This Row],[Grade_gpt]]/cfg_TroyOz)</f>
        <v/>
      </c>
      <c r="O4268" s="59">
        <f>IF(tblMovement[[#This Row],[Is_Ore]]=1,tblMovement[[#This Row],[Contained_oz]],0)</f>
        <v/>
      </c>
    </row>
    <row r="4269">
      <c r="A4269" s="54" t="n"/>
      <c r="B4269" s="61" t="n"/>
      <c r="C4269" s="61" t="n"/>
      <c r="D4269" s="61" t="n"/>
      <c r="E4269" s="61" t="n"/>
      <c r="F4269" s="55" t="n"/>
      <c r="G4269" s="56" t="n"/>
      <c r="H4269" s="55" t="n"/>
      <c r="I4269" s="62" t="n"/>
      <c r="J4269" s="58" t="n"/>
      <c r="K4269" s="63">
        <f>IF(tblMovement[[#This Row],[Source]]="","",IFERROR(INDEX(tblSources[Type],MATCH(tblMovement[[#This Row],[Source]],tblSources[Source],0)),"?"))</f>
        <v/>
      </c>
      <c r="L4269" s="63">
        <f>IF(tblMovement[[#This Row],[Destination]]="","",IFERROR(INDEX(tblDestinations[Type],MATCH(tblMovement[[#This Row],[Destination]],tblDestinations[Destination],0)),"?"))</f>
        <v/>
      </c>
      <c r="M4269" s="64">
        <f>IF(tblMovement[[#This Row],[Material]]="","",IF(LEFT(tblMovement[[#This Row],[Material]],3)="Ore",1,0))</f>
        <v/>
      </c>
      <c r="N4269" s="59">
        <f>IF(OR(tblMovement[[#This Row],[Tonnes_t]]="",tblMovement[[#This Row],[Grade_gpt]]=""),0,tblMovement[[#This Row],[Tonnes_t]]*tblMovement[[#This Row],[Grade_gpt]]/cfg_TroyOz)</f>
        <v/>
      </c>
      <c r="O4269" s="59">
        <f>IF(tblMovement[[#This Row],[Is_Ore]]=1,tblMovement[[#This Row],[Contained_oz]],0)</f>
        <v/>
      </c>
    </row>
    <row r="4270">
      <c r="A4270" s="54" t="n"/>
      <c r="B4270" s="61" t="n"/>
      <c r="C4270" s="61" t="n"/>
      <c r="D4270" s="61" t="n"/>
      <c r="E4270" s="61" t="n"/>
      <c r="F4270" s="55" t="n"/>
      <c r="G4270" s="56" t="n"/>
      <c r="H4270" s="55" t="n"/>
      <c r="I4270" s="62" t="n"/>
      <c r="J4270" s="58" t="n"/>
      <c r="K4270" s="63">
        <f>IF(tblMovement[[#This Row],[Source]]="","",IFERROR(INDEX(tblSources[Type],MATCH(tblMovement[[#This Row],[Source]],tblSources[Source],0)),"?"))</f>
        <v/>
      </c>
      <c r="L4270" s="63">
        <f>IF(tblMovement[[#This Row],[Destination]]="","",IFERROR(INDEX(tblDestinations[Type],MATCH(tblMovement[[#This Row],[Destination]],tblDestinations[Destination],0)),"?"))</f>
        <v/>
      </c>
      <c r="M4270" s="64">
        <f>IF(tblMovement[[#This Row],[Material]]="","",IF(LEFT(tblMovement[[#This Row],[Material]],3)="Ore",1,0))</f>
        <v/>
      </c>
      <c r="N4270" s="59">
        <f>IF(OR(tblMovement[[#This Row],[Tonnes_t]]="",tblMovement[[#This Row],[Grade_gpt]]=""),0,tblMovement[[#This Row],[Tonnes_t]]*tblMovement[[#This Row],[Grade_gpt]]/cfg_TroyOz)</f>
        <v/>
      </c>
      <c r="O4270" s="59">
        <f>IF(tblMovement[[#This Row],[Is_Ore]]=1,tblMovement[[#This Row],[Contained_oz]],0)</f>
        <v/>
      </c>
    </row>
    <row r="4271">
      <c r="A4271" s="54" t="n"/>
      <c r="B4271" s="61" t="n"/>
      <c r="C4271" s="61" t="n"/>
      <c r="D4271" s="61" t="n"/>
      <c r="E4271" s="61" t="n"/>
      <c r="F4271" s="55" t="n"/>
      <c r="G4271" s="56" t="n"/>
      <c r="H4271" s="55" t="n"/>
      <c r="I4271" s="62" t="n"/>
      <c r="J4271" s="58" t="n"/>
      <c r="K4271" s="63">
        <f>IF(tblMovement[[#This Row],[Source]]="","",IFERROR(INDEX(tblSources[Type],MATCH(tblMovement[[#This Row],[Source]],tblSources[Source],0)),"?"))</f>
        <v/>
      </c>
      <c r="L4271" s="63">
        <f>IF(tblMovement[[#This Row],[Destination]]="","",IFERROR(INDEX(tblDestinations[Type],MATCH(tblMovement[[#This Row],[Destination]],tblDestinations[Destination],0)),"?"))</f>
        <v/>
      </c>
      <c r="M4271" s="64">
        <f>IF(tblMovement[[#This Row],[Material]]="","",IF(LEFT(tblMovement[[#This Row],[Material]],3)="Ore",1,0))</f>
        <v/>
      </c>
      <c r="N4271" s="59">
        <f>IF(OR(tblMovement[[#This Row],[Tonnes_t]]="",tblMovement[[#This Row],[Grade_gpt]]=""),0,tblMovement[[#This Row],[Tonnes_t]]*tblMovement[[#This Row],[Grade_gpt]]/cfg_TroyOz)</f>
        <v/>
      </c>
      <c r="O4271" s="59">
        <f>IF(tblMovement[[#This Row],[Is_Ore]]=1,tblMovement[[#This Row],[Contained_oz]],0)</f>
        <v/>
      </c>
    </row>
    <row r="4272">
      <c r="A4272" s="54" t="n"/>
      <c r="B4272" s="61" t="n"/>
      <c r="C4272" s="61" t="n"/>
      <c r="D4272" s="61" t="n"/>
      <c r="E4272" s="61" t="n"/>
      <c r="F4272" s="55" t="n"/>
      <c r="G4272" s="56" t="n"/>
      <c r="H4272" s="55" t="n"/>
      <c r="I4272" s="62" t="n"/>
      <c r="J4272" s="58" t="n"/>
      <c r="K4272" s="63">
        <f>IF(tblMovement[[#This Row],[Source]]="","",IFERROR(INDEX(tblSources[Type],MATCH(tblMovement[[#This Row],[Source]],tblSources[Source],0)),"?"))</f>
        <v/>
      </c>
      <c r="L4272" s="63">
        <f>IF(tblMovement[[#This Row],[Destination]]="","",IFERROR(INDEX(tblDestinations[Type],MATCH(tblMovement[[#This Row],[Destination]],tblDestinations[Destination],0)),"?"))</f>
        <v/>
      </c>
      <c r="M4272" s="64">
        <f>IF(tblMovement[[#This Row],[Material]]="","",IF(LEFT(tblMovement[[#This Row],[Material]],3)="Ore",1,0))</f>
        <v/>
      </c>
      <c r="N4272" s="59">
        <f>IF(OR(tblMovement[[#This Row],[Tonnes_t]]="",tblMovement[[#This Row],[Grade_gpt]]=""),0,tblMovement[[#This Row],[Tonnes_t]]*tblMovement[[#This Row],[Grade_gpt]]/cfg_TroyOz)</f>
        <v/>
      </c>
      <c r="O4272" s="59">
        <f>IF(tblMovement[[#This Row],[Is_Ore]]=1,tblMovement[[#This Row],[Contained_oz]],0)</f>
        <v/>
      </c>
    </row>
    <row r="4273">
      <c r="A4273" s="54" t="n"/>
      <c r="B4273" s="61" t="n"/>
      <c r="C4273" s="61" t="n"/>
      <c r="D4273" s="61" t="n"/>
      <c r="E4273" s="61" t="n"/>
      <c r="F4273" s="55" t="n"/>
      <c r="G4273" s="56" t="n"/>
      <c r="H4273" s="55" t="n"/>
      <c r="I4273" s="62" t="n"/>
      <c r="J4273" s="58" t="n"/>
      <c r="K4273" s="63">
        <f>IF(tblMovement[[#This Row],[Source]]="","",IFERROR(INDEX(tblSources[Type],MATCH(tblMovement[[#This Row],[Source]],tblSources[Source],0)),"?"))</f>
        <v/>
      </c>
      <c r="L4273" s="63">
        <f>IF(tblMovement[[#This Row],[Destination]]="","",IFERROR(INDEX(tblDestinations[Type],MATCH(tblMovement[[#This Row],[Destination]],tblDestinations[Destination],0)),"?"))</f>
        <v/>
      </c>
      <c r="M4273" s="64">
        <f>IF(tblMovement[[#This Row],[Material]]="","",IF(LEFT(tblMovement[[#This Row],[Material]],3)="Ore",1,0))</f>
        <v/>
      </c>
      <c r="N4273" s="59">
        <f>IF(OR(tblMovement[[#This Row],[Tonnes_t]]="",tblMovement[[#This Row],[Grade_gpt]]=""),0,tblMovement[[#This Row],[Tonnes_t]]*tblMovement[[#This Row],[Grade_gpt]]/cfg_TroyOz)</f>
        <v/>
      </c>
      <c r="O4273" s="59">
        <f>IF(tblMovement[[#This Row],[Is_Ore]]=1,tblMovement[[#This Row],[Contained_oz]],0)</f>
        <v/>
      </c>
    </row>
    <row r="4274">
      <c r="A4274" s="54" t="n"/>
      <c r="B4274" s="61" t="n"/>
      <c r="C4274" s="61" t="n"/>
      <c r="D4274" s="61" t="n"/>
      <c r="E4274" s="61" t="n"/>
      <c r="F4274" s="55" t="n"/>
      <c r="G4274" s="56" t="n"/>
      <c r="H4274" s="55" t="n"/>
      <c r="I4274" s="62" t="n"/>
      <c r="J4274" s="58" t="n"/>
      <c r="K4274" s="63">
        <f>IF(tblMovement[[#This Row],[Source]]="","",IFERROR(INDEX(tblSources[Type],MATCH(tblMovement[[#This Row],[Source]],tblSources[Source],0)),"?"))</f>
        <v/>
      </c>
      <c r="L4274" s="63">
        <f>IF(tblMovement[[#This Row],[Destination]]="","",IFERROR(INDEX(tblDestinations[Type],MATCH(tblMovement[[#This Row],[Destination]],tblDestinations[Destination],0)),"?"))</f>
        <v/>
      </c>
      <c r="M4274" s="64">
        <f>IF(tblMovement[[#This Row],[Material]]="","",IF(LEFT(tblMovement[[#This Row],[Material]],3)="Ore",1,0))</f>
        <v/>
      </c>
      <c r="N4274" s="59">
        <f>IF(OR(tblMovement[[#This Row],[Tonnes_t]]="",tblMovement[[#This Row],[Grade_gpt]]=""),0,tblMovement[[#This Row],[Tonnes_t]]*tblMovement[[#This Row],[Grade_gpt]]/cfg_TroyOz)</f>
        <v/>
      </c>
      <c r="O4274" s="59">
        <f>IF(tblMovement[[#This Row],[Is_Ore]]=1,tblMovement[[#This Row],[Contained_oz]],0)</f>
        <v/>
      </c>
    </row>
    <row r="4275">
      <c r="A4275" s="54" t="n"/>
      <c r="B4275" s="61" t="n"/>
      <c r="C4275" s="61" t="n"/>
      <c r="D4275" s="61" t="n"/>
      <c r="E4275" s="61" t="n"/>
      <c r="F4275" s="55" t="n"/>
      <c r="G4275" s="56" t="n"/>
      <c r="H4275" s="55" t="n"/>
      <c r="I4275" s="62" t="n"/>
      <c r="J4275" s="58" t="n"/>
      <c r="K4275" s="63">
        <f>IF(tblMovement[[#This Row],[Source]]="","",IFERROR(INDEX(tblSources[Type],MATCH(tblMovement[[#This Row],[Source]],tblSources[Source],0)),"?"))</f>
        <v/>
      </c>
      <c r="L4275" s="63">
        <f>IF(tblMovement[[#This Row],[Destination]]="","",IFERROR(INDEX(tblDestinations[Type],MATCH(tblMovement[[#This Row],[Destination]],tblDestinations[Destination],0)),"?"))</f>
        <v/>
      </c>
      <c r="M4275" s="64">
        <f>IF(tblMovement[[#This Row],[Material]]="","",IF(LEFT(tblMovement[[#This Row],[Material]],3)="Ore",1,0))</f>
        <v/>
      </c>
      <c r="N4275" s="59">
        <f>IF(OR(tblMovement[[#This Row],[Tonnes_t]]="",tblMovement[[#This Row],[Grade_gpt]]=""),0,tblMovement[[#This Row],[Tonnes_t]]*tblMovement[[#This Row],[Grade_gpt]]/cfg_TroyOz)</f>
        <v/>
      </c>
      <c r="O4275" s="59">
        <f>IF(tblMovement[[#This Row],[Is_Ore]]=1,tblMovement[[#This Row],[Contained_oz]],0)</f>
        <v/>
      </c>
    </row>
    <row r="4276">
      <c r="A4276" s="54" t="n"/>
      <c r="B4276" s="61" t="n"/>
      <c r="C4276" s="61" t="n"/>
      <c r="D4276" s="61" t="n"/>
      <c r="E4276" s="61" t="n"/>
      <c r="F4276" s="55" t="n"/>
      <c r="G4276" s="56" t="n"/>
      <c r="H4276" s="55" t="n"/>
      <c r="I4276" s="62" t="n"/>
      <c r="J4276" s="58" t="n"/>
      <c r="K4276" s="63">
        <f>IF(tblMovement[[#This Row],[Source]]="","",IFERROR(INDEX(tblSources[Type],MATCH(tblMovement[[#This Row],[Source]],tblSources[Source],0)),"?"))</f>
        <v/>
      </c>
      <c r="L4276" s="63">
        <f>IF(tblMovement[[#This Row],[Destination]]="","",IFERROR(INDEX(tblDestinations[Type],MATCH(tblMovement[[#This Row],[Destination]],tblDestinations[Destination],0)),"?"))</f>
        <v/>
      </c>
      <c r="M4276" s="64">
        <f>IF(tblMovement[[#This Row],[Material]]="","",IF(LEFT(tblMovement[[#This Row],[Material]],3)="Ore",1,0))</f>
        <v/>
      </c>
      <c r="N4276" s="59">
        <f>IF(OR(tblMovement[[#This Row],[Tonnes_t]]="",tblMovement[[#This Row],[Grade_gpt]]=""),0,tblMovement[[#This Row],[Tonnes_t]]*tblMovement[[#This Row],[Grade_gpt]]/cfg_TroyOz)</f>
        <v/>
      </c>
      <c r="O4276" s="59">
        <f>IF(tblMovement[[#This Row],[Is_Ore]]=1,tblMovement[[#This Row],[Contained_oz]],0)</f>
        <v/>
      </c>
    </row>
    <row r="4277">
      <c r="A4277" s="54" t="n"/>
      <c r="B4277" s="61" t="n"/>
      <c r="C4277" s="61" t="n"/>
      <c r="D4277" s="61" t="n"/>
      <c r="E4277" s="61" t="n"/>
      <c r="F4277" s="55" t="n"/>
      <c r="G4277" s="56" t="n"/>
      <c r="H4277" s="55" t="n"/>
      <c r="I4277" s="62" t="n"/>
      <c r="J4277" s="58" t="n"/>
      <c r="K4277" s="63">
        <f>IF(tblMovement[[#This Row],[Source]]="","",IFERROR(INDEX(tblSources[Type],MATCH(tblMovement[[#This Row],[Source]],tblSources[Source],0)),"?"))</f>
        <v/>
      </c>
      <c r="L4277" s="63">
        <f>IF(tblMovement[[#This Row],[Destination]]="","",IFERROR(INDEX(tblDestinations[Type],MATCH(tblMovement[[#This Row],[Destination]],tblDestinations[Destination],0)),"?"))</f>
        <v/>
      </c>
      <c r="M4277" s="64">
        <f>IF(tblMovement[[#This Row],[Material]]="","",IF(LEFT(tblMovement[[#This Row],[Material]],3)="Ore",1,0))</f>
        <v/>
      </c>
      <c r="N4277" s="59">
        <f>IF(OR(tblMovement[[#This Row],[Tonnes_t]]="",tblMovement[[#This Row],[Grade_gpt]]=""),0,tblMovement[[#This Row],[Tonnes_t]]*tblMovement[[#This Row],[Grade_gpt]]/cfg_TroyOz)</f>
        <v/>
      </c>
      <c r="O4277" s="59">
        <f>IF(tblMovement[[#This Row],[Is_Ore]]=1,tblMovement[[#This Row],[Contained_oz]],0)</f>
        <v/>
      </c>
    </row>
    <row r="4278">
      <c r="A4278" s="54" t="n"/>
      <c r="B4278" s="61" t="n"/>
      <c r="C4278" s="61" t="n"/>
      <c r="D4278" s="61" t="n"/>
      <c r="E4278" s="61" t="n"/>
      <c r="F4278" s="55" t="n"/>
      <c r="G4278" s="56" t="n"/>
      <c r="H4278" s="55" t="n"/>
      <c r="I4278" s="62" t="n"/>
      <c r="J4278" s="58" t="n"/>
      <c r="K4278" s="63">
        <f>IF(tblMovement[[#This Row],[Source]]="","",IFERROR(INDEX(tblSources[Type],MATCH(tblMovement[[#This Row],[Source]],tblSources[Source],0)),"?"))</f>
        <v/>
      </c>
      <c r="L4278" s="63">
        <f>IF(tblMovement[[#This Row],[Destination]]="","",IFERROR(INDEX(tblDestinations[Type],MATCH(tblMovement[[#This Row],[Destination]],tblDestinations[Destination],0)),"?"))</f>
        <v/>
      </c>
      <c r="M4278" s="64">
        <f>IF(tblMovement[[#This Row],[Material]]="","",IF(LEFT(tblMovement[[#This Row],[Material]],3)="Ore",1,0))</f>
        <v/>
      </c>
      <c r="N4278" s="59">
        <f>IF(OR(tblMovement[[#This Row],[Tonnes_t]]="",tblMovement[[#This Row],[Grade_gpt]]=""),0,tblMovement[[#This Row],[Tonnes_t]]*tblMovement[[#This Row],[Grade_gpt]]/cfg_TroyOz)</f>
        <v/>
      </c>
      <c r="O4278" s="59">
        <f>IF(tblMovement[[#This Row],[Is_Ore]]=1,tblMovement[[#This Row],[Contained_oz]],0)</f>
        <v/>
      </c>
    </row>
    <row r="4279">
      <c r="A4279" s="54" t="n"/>
      <c r="B4279" s="61" t="n"/>
      <c r="C4279" s="61" t="n"/>
      <c r="D4279" s="61" t="n"/>
      <c r="E4279" s="61" t="n"/>
      <c r="F4279" s="55" t="n"/>
      <c r="G4279" s="56" t="n"/>
      <c r="H4279" s="55" t="n"/>
      <c r="I4279" s="62" t="n"/>
      <c r="J4279" s="58" t="n"/>
      <c r="K4279" s="63">
        <f>IF(tblMovement[[#This Row],[Source]]="","",IFERROR(INDEX(tblSources[Type],MATCH(tblMovement[[#This Row],[Source]],tblSources[Source],0)),"?"))</f>
        <v/>
      </c>
      <c r="L4279" s="63">
        <f>IF(tblMovement[[#This Row],[Destination]]="","",IFERROR(INDEX(tblDestinations[Type],MATCH(tblMovement[[#This Row],[Destination]],tblDestinations[Destination],0)),"?"))</f>
        <v/>
      </c>
      <c r="M4279" s="64">
        <f>IF(tblMovement[[#This Row],[Material]]="","",IF(LEFT(tblMovement[[#This Row],[Material]],3)="Ore",1,0))</f>
        <v/>
      </c>
      <c r="N4279" s="59">
        <f>IF(OR(tblMovement[[#This Row],[Tonnes_t]]="",tblMovement[[#This Row],[Grade_gpt]]=""),0,tblMovement[[#This Row],[Tonnes_t]]*tblMovement[[#This Row],[Grade_gpt]]/cfg_TroyOz)</f>
        <v/>
      </c>
      <c r="O4279" s="59">
        <f>IF(tblMovement[[#This Row],[Is_Ore]]=1,tblMovement[[#This Row],[Contained_oz]],0)</f>
        <v/>
      </c>
    </row>
    <row r="4280">
      <c r="A4280" s="54" t="n"/>
      <c r="B4280" s="61" t="n"/>
      <c r="C4280" s="61" t="n"/>
      <c r="D4280" s="61" t="n"/>
      <c r="E4280" s="61" t="n"/>
      <c r="F4280" s="55" t="n"/>
      <c r="G4280" s="56" t="n"/>
      <c r="H4280" s="55" t="n"/>
      <c r="I4280" s="62" t="n"/>
      <c r="J4280" s="58" t="n"/>
      <c r="K4280" s="63">
        <f>IF(tblMovement[[#This Row],[Source]]="","",IFERROR(INDEX(tblSources[Type],MATCH(tblMovement[[#This Row],[Source]],tblSources[Source],0)),"?"))</f>
        <v/>
      </c>
      <c r="L4280" s="63">
        <f>IF(tblMovement[[#This Row],[Destination]]="","",IFERROR(INDEX(tblDestinations[Type],MATCH(tblMovement[[#This Row],[Destination]],tblDestinations[Destination],0)),"?"))</f>
        <v/>
      </c>
      <c r="M4280" s="64">
        <f>IF(tblMovement[[#This Row],[Material]]="","",IF(LEFT(tblMovement[[#This Row],[Material]],3)="Ore",1,0))</f>
        <v/>
      </c>
      <c r="N4280" s="59">
        <f>IF(OR(tblMovement[[#This Row],[Tonnes_t]]="",tblMovement[[#This Row],[Grade_gpt]]=""),0,tblMovement[[#This Row],[Tonnes_t]]*tblMovement[[#This Row],[Grade_gpt]]/cfg_TroyOz)</f>
        <v/>
      </c>
      <c r="O4280" s="59">
        <f>IF(tblMovement[[#This Row],[Is_Ore]]=1,tblMovement[[#This Row],[Contained_oz]],0)</f>
        <v/>
      </c>
    </row>
    <row r="4281">
      <c r="A4281" s="54" t="n"/>
      <c r="B4281" s="61" t="n"/>
      <c r="C4281" s="61" t="n"/>
      <c r="D4281" s="61" t="n"/>
      <c r="E4281" s="61" t="n"/>
      <c r="F4281" s="55" t="n"/>
      <c r="G4281" s="56" t="n"/>
      <c r="H4281" s="55" t="n"/>
      <c r="I4281" s="62" t="n"/>
      <c r="J4281" s="58" t="n"/>
      <c r="K4281" s="63">
        <f>IF(tblMovement[[#This Row],[Source]]="","",IFERROR(INDEX(tblSources[Type],MATCH(tblMovement[[#This Row],[Source]],tblSources[Source],0)),"?"))</f>
        <v/>
      </c>
      <c r="L4281" s="63">
        <f>IF(tblMovement[[#This Row],[Destination]]="","",IFERROR(INDEX(tblDestinations[Type],MATCH(tblMovement[[#This Row],[Destination]],tblDestinations[Destination],0)),"?"))</f>
        <v/>
      </c>
      <c r="M4281" s="64">
        <f>IF(tblMovement[[#This Row],[Material]]="","",IF(LEFT(tblMovement[[#This Row],[Material]],3)="Ore",1,0))</f>
        <v/>
      </c>
      <c r="N4281" s="59">
        <f>IF(OR(tblMovement[[#This Row],[Tonnes_t]]="",tblMovement[[#This Row],[Grade_gpt]]=""),0,tblMovement[[#This Row],[Tonnes_t]]*tblMovement[[#This Row],[Grade_gpt]]/cfg_TroyOz)</f>
        <v/>
      </c>
      <c r="O4281" s="59">
        <f>IF(tblMovement[[#This Row],[Is_Ore]]=1,tblMovement[[#This Row],[Contained_oz]],0)</f>
        <v/>
      </c>
    </row>
    <row r="4282">
      <c r="A4282" s="54" t="n"/>
      <c r="B4282" s="61" t="n"/>
      <c r="C4282" s="61" t="n"/>
      <c r="D4282" s="61" t="n"/>
      <c r="E4282" s="61" t="n"/>
      <c r="F4282" s="55" t="n"/>
      <c r="G4282" s="56" t="n"/>
      <c r="H4282" s="55" t="n"/>
      <c r="I4282" s="62" t="n"/>
      <c r="J4282" s="58" t="n"/>
      <c r="K4282" s="63">
        <f>IF(tblMovement[[#This Row],[Source]]="","",IFERROR(INDEX(tblSources[Type],MATCH(tblMovement[[#This Row],[Source]],tblSources[Source],0)),"?"))</f>
        <v/>
      </c>
      <c r="L4282" s="63">
        <f>IF(tblMovement[[#This Row],[Destination]]="","",IFERROR(INDEX(tblDestinations[Type],MATCH(tblMovement[[#This Row],[Destination]],tblDestinations[Destination],0)),"?"))</f>
        <v/>
      </c>
      <c r="M4282" s="64">
        <f>IF(tblMovement[[#This Row],[Material]]="","",IF(LEFT(tblMovement[[#This Row],[Material]],3)="Ore",1,0))</f>
        <v/>
      </c>
      <c r="N4282" s="59">
        <f>IF(OR(tblMovement[[#This Row],[Tonnes_t]]="",tblMovement[[#This Row],[Grade_gpt]]=""),0,tblMovement[[#This Row],[Tonnes_t]]*tblMovement[[#This Row],[Grade_gpt]]/cfg_TroyOz)</f>
        <v/>
      </c>
      <c r="O4282" s="59">
        <f>IF(tblMovement[[#This Row],[Is_Ore]]=1,tblMovement[[#This Row],[Contained_oz]],0)</f>
        <v/>
      </c>
    </row>
    <row r="4283">
      <c r="A4283" s="54" t="n"/>
      <c r="B4283" s="61" t="n"/>
      <c r="C4283" s="61" t="n"/>
      <c r="D4283" s="61" t="n"/>
      <c r="E4283" s="61" t="n"/>
      <c r="F4283" s="55" t="n"/>
      <c r="G4283" s="56" t="n"/>
      <c r="H4283" s="55" t="n"/>
      <c r="I4283" s="62" t="n"/>
      <c r="J4283" s="58" t="n"/>
      <c r="K4283" s="63">
        <f>IF(tblMovement[[#This Row],[Source]]="","",IFERROR(INDEX(tblSources[Type],MATCH(tblMovement[[#This Row],[Source]],tblSources[Source],0)),"?"))</f>
        <v/>
      </c>
      <c r="L4283" s="63">
        <f>IF(tblMovement[[#This Row],[Destination]]="","",IFERROR(INDEX(tblDestinations[Type],MATCH(tblMovement[[#This Row],[Destination]],tblDestinations[Destination],0)),"?"))</f>
        <v/>
      </c>
      <c r="M4283" s="64">
        <f>IF(tblMovement[[#This Row],[Material]]="","",IF(LEFT(tblMovement[[#This Row],[Material]],3)="Ore",1,0))</f>
        <v/>
      </c>
      <c r="N4283" s="59">
        <f>IF(OR(tblMovement[[#This Row],[Tonnes_t]]="",tblMovement[[#This Row],[Grade_gpt]]=""),0,tblMovement[[#This Row],[Tonnes_t]]*tblMovement[[#This Row],[Grade_gpt]]/cfg_TroyOz)</f>
        <v/>
      </c>
      <c r="O4283" s="59">
        <f>IF(tblMovement[[#This Row],[Is_Ore]]=1,tblMovement[[#This Row],[Contained_oz]],0)</f>
        <v/>
      </c>
    </row>
    <row r="4284">
      <c r="A4284" s="54" t="n"/>
      <c r="B4284" s="61" t="n"/>
      <c r="C4284" s="61" t="n"/>
      <c r="D4284" s="61" t="n"/>
      <c r="E4284" s="61" t="n"/>
      <c r="F4284" s="55" t="n"/>
      <c r="G4284" s="56" t="n"/>
      <c r="H4284" s="55" t="n"/>
      <c r="I4284" s="62" t="n"/>
      <c r="J4284" s="58" t="n"/>
      <c r="K4284" s="63">
        <f>IF(tblMovement[[#This Row],[Source]]="","",IFERROR(INDEX(tblSources[Type],MATCH(tblMovement[[#This Row],[Source]],tblSources[Source],0)),"?"))</f>
        <v/>
      </c>
      <c r="L4284" s="63">
        <f>IF(tblMovement[[#This Row],[Destination]]="","",IFERROR(INDEX(tblDestinations[Type],MATCH(tblMovement[[#This Row],[Destination]],tblDestinations[Destination],0)),"?"))</f>
        <v/>
      </c>
      <c r="M4284" s="64">
        <f>IF(tblMovement[[#This Row],[Material]]="","",IF(LEFT(tblMovement[[#This Row],[Material]],3)="Ore",1,0))</f>
        <v/>
      </c>
      <c r="N4284" s="59">
        <f>IF(OR(tblMovement[[#This Row],[Tonnes_t]]="",tblMovement[[#This Row],[Grade_gpt]]=""),0,tblMovement[[#This Row],[Tonnes_t]]*tblMovement[[#This Row],[Grade_gpt]]/cfg_TroyOz)</f>
        <v/>
      </c>
      <c r="O4284" s="59">
        <f>IF(tblMovement[[#This Row],[Is_Ore]]=1,tblMovement[[#This Row],[Contained_oz]],0)</f>
        <v/>
      </c>
    </row>
    <row r="4285">
      <c r="A4285" s="54" t="n"/>
      <c r="B4285" s="61" t="n"/>
      <c r="C4285" s="61" t="n"/>
      <c r="D4285" s="61" t="n"/>
      <c r="E4285" s="61" t="n"/>
      <c r="F4285" s="55" t="n"/>
      <c r="G4285" s="56" t="n"/>
      <c r="H4285" s="55" t="n"/>
      <c r="I4285" s="62" t="n"/>
      <c r="J4285" s="58" t="n"/>
      <c r="K4285" s="63">
        <f>IF(tblMovement[[#This Row],[Source]]="","",IFERROR(INDEX(tblSources[Type],MATCH(tblMovement[[#This Row],[Source]],tblSources[Source],0)),"?"))</f>
        <v/>
      </c>
      <c r="L4285" s="63">
        <f>IF(tblMovement[[#This Row],[Destination]]="","",IFERROR(INDEX(tblDestinations[Type],MATCH(tblMovement[[#This Row],[Destination]],tblDestinations[Destination],0)),"?"))</f>
        <v/>
      </c>
      <c r="M4285" s="64">
        <f>IF(tblMovement[[#This Row],[Material]]="","",IF(LEFT(tblMovement[[#This Row],[Material]],3)="Ore",1,0))</f>
        <v/>
      </c>
      <c r="N4285" s="59">
        <f>IF(OR(tblMovement[[#This Row],[Tonnes_t]]="",tblMovement[[#This Row],[Grade_gpt]]=""),0,tblMovement[[#This Row],[Tonnes_t]]*tblMovement[[#This Row],[Grade_gpt]]/cfg_TroyOz)</f>
        <v/>
      </c>
      <c r="O4285" s="59">
        <f>IF(tblMovement[[#This Row],[Is_Ore]]=1,tblMovement[[#This Row],[Contained_oz]],0)</f>
        <v/>
      </c>
    </row>
    <row r="4286">
      <c r="A4286" s="54" t="n"/>
      <c r="B4286" s="61" t="n"/>
      <c r="C4286" s="61" t="n"/>
      <c r="D4286" s="61" t="n"/>
      <c r="E4286" s="61" t="n"/>
      <c r="F4286" s="55" t="n"/>
      <c r="G4286" s="56" t="n"/>
      <c r="H4286" s="55" t="n"/>
      <c r="I4286" s="62" t="n"/>
      <c r="J4286" s="58" t="n"/>
      <c r="K4286" s="63">
        <f>IF(tblMovement[[#This Row],[Source]]="","",IFERROR(INDEX(tblSources[Type],MATCH(tblMovement[[#This Row],[Source]],tblSources[Source],0)),"?"))</f>
        <v/>
      </c>
      <c r="L4286" s="63">
        <f>IF(tblMovement[[#This Row],[Destination]]="","",IFERROR(INDEX(tblDestinations[Type],MATCH(tblMovement[[#This Row],[Destination]],tblDestinations[Destination],0)),"?"))</f>
        <v/>
      </c>
      <c r="M4286" s="64">
        <f>IF(tblMovement[[#This Row],[Material]]="","",IF(LEFT(tblMovement[[#This Row],[Material]],3)="Ore",1,0))</f>
        <v/>
      </c>
      <c r="N4286" s="59">
        <f>IF(OR(tblMovement[[#This Row],[Tonnes_t]]="",tblMovement[[#This Row],[Grade_gpt]]=""),0,tblMovement[[#This Row],[Tonnes_t]]*tblMovement[[#This Row],[Grade_gpt]]/cfg_TroyOz)</f>
        <v/>
      </c>
      <c r="O4286" s="59">
        <f>IF(tblMovement[[#This Row],[Is_Ore]]=1,tblMovement[[#This Row],[Contained_oz]],0)</f>
        <v/>
      </c>
    </row>
    <row r="4287">
      <c r="A4287" s="54" t="n"/>
      <c r="B4287" s="61" t="n"/>
      <c r="C4287" s="61" t="n"/>
      <c r="D4287" s="61" t="n"/>
      <c r="E4287" s="61" t="n"/>
      <c r="F4287" s="55" t="n"/>
      <c r="G4287" s="56" t="n"/>
      <c r="H4287" s="55" t="n"/>
      <c r="I4287" s="62" t="n"/>
      <c r="J4287" s="58" t="n"/>
      <c r="K4287" s="63">
        <f>IF(tblMovement[[#This Row],[Source]]="","",IFERROR(INDEX(tblSources[Type],MATCH(tblMovement[[#This Row],[Source]],tblSources[Source],0)),"?"))</f>
        <v/>
      </c>
      <c r="L4287" s="63">
        <f>IF(tblMovement[[#This Row],[Destination]]="","",IFERROR(INDEX(tblDestinations[Type],MATCH(tblMovement[[#This Row],[Destination]],tblDestinations[Destination],0)),"?"))</f>
        <v/>
      </c>
      <c r="M4287" s="64">
        <f>IF(tblMovement[[#This Row],[Material]]="","",IF(LEFT(tblMovement[[#This Row],[Material]],3)="Ore",1,0))</f>
        <v/>
      </c>
      <c r="N4287" s="59">
        <f>IF(OR(tblMovement[[#This Row],[Tonnes_t]]="",tblMovement[[#This Row],[Grade_gpt]]=""),0,tblMovement[[#This Row],[Tonnes_t]]*tblMovement[[#This Row],[Grade_gpt]]/cfg_TroyOz)</f>
        <v/>
      </c>
      <c r="O4287" s="59">
        <f>IF(tblMovement[[#This Row],[Is_Ore]]=1,tblMovement[[#This Row],[Contained_oz]],0)</f>
        <v/>
      </c>
    </row>
    <row r="4288">
      <c r="A4288" s="54" t="n"/>
      <c r="B4288" s="61" t="n"/>
      <c r="C4288" s="61" t="n"/>
      <c r="D4288" s="61" t="n"/>
      <c r="E4288" s="61" t="n"/>
      <c r="F4288" s="55" t="n"/>
      <c r="G4288" s="56" t="n"/>
      <c r="H4288" s="55" t="n"/>
      <c r="I4288" s="62" t="n"/>
      <c r="J4288" s="58" t="n"/>
      <c r="K4288" s="63">
        <f>IF(tblMovement[[#This Row],[Source]]="","",IFERROR(INDEX(tblSources[Type],MATCH(tblMovement[[#This Row],[Source]],tblSources[Source],0)),"?"))</f>
        <v/>
      </c>
      <c r="L4288" s="63">
        <f>IF(tblMovement[[#This Row],[Destination]]="","",IFERROR(INDEX(tblDestinations[Type],MATCH(tblMovement[[#This Row],[Destination]],tblDestinations[Destination],0)),"?"))</f>
        <v/>
      </c>
      <c r="M4288" s="64">
        <f>IF(tblMovement[[#This Row],[Material]]="","",IF(LEFT(tblMovement[[#This Row],[Material]],3)="Ore",1,0))</f>
        <v/>
      </c>
      <c r="N4288" s="59">
        <f>IF(OR(tblMovement[[#This Row],[Tonnes_t]]="",tblMovement[[#This Row],[Grade_gpt]]=""),0,tblMovement[[#This Row],[Tonnes_t]]*tblMovement[[#This Row],[Grade_gpt]]/cfg_TroyOz)</f>
        <v/>
      </c>
      <c r="O4288" s="59">
        <f>IF(tblMovement[[#This Row],[Is_Ore]]=1,tblMovement[[#This Row],[Contained_oz]],0)</f>
        <v/>
      </c>
    </row>
    <row r="4289">
      <c r="A4289" s="54" t="n"/>
      <c r="B4289" s="61" t="n"/>
      <c r="C4289" s="61" t="n"/>
      <c r="D4289" s="61" t="n"/>
      <c r="E4289" s="61" t="n"/>
      <c r="F4289" s="55" t="n"/>
      <c r="G4289" s="56" t="n"/>
      <c r="H4289" s="55" t="n"/>
      <c r="I4289" s="62" t="n"/>
      <c r="J4289" s="58" t="n"/>
      <c r="K4289" s="63">
        <f>IF(tblMovement[[#This Row],[Source]]="","",IFERROR(INDEX(tblSources[Type],MATCH(tblMovement[[#This Row],[Source]],tblSources[Source],0)),"?"))</f>
        <v/>
      </c>
      <c r="L4289" s="63">
        <f>IF(tblMovement[[#This Row],[Destination]]="","",IFERROR(INDEX(tblDestinations[Type],MATCH(tblMovement[[#This Row],[Destination]],tblDestinations[Destination],0)),"?"))</f>
        <v/>
      </c>
      <c r="M4289" s="64">
        <f>IF(tblMovement[[#This Row],[Material]]="","",IF(LEFT(tblMovement[[#This Row],[Material]],3)="Ore",1,0))</f>
        <v/>
      </c>
      <c r="N4289" s="59">
        <f>IF(OR(tblMovement[[#This Row],[Tonnes_t]]="",tblMovement[[#This Row],[Grade_gpt]]=""),0,tblMovement[[#This Row],[Tonnes_t]]*tblMovement[[#This Row],[Grade_gpt]]/cfg_TroyOz)</f>
        <v/>
      </c>
      <c r="O4289" s="59">
        <f>IF(tblMovement[[#This Row],[Is_Ore]]=1,tblMovement[[#This Row],[Contained_oz]],0)</f>
        <v/>
      </c>
    </row>
    <row r="4290">
      <c r="A4290" s="54" t="n"/>
      <c r="B4290" s="61" t="n"/>
      <c r="C4290" s="61" t="n"/>
      <c r="D4290" s="61" t="n"/>
      <c r="E4290" s="61" t="n"/>
      <c r="F4290" s="55" t="n"/>
      <c r="G4290" s="56" t="n"/>
      <c r="H4290" s="55" t="n"/>
      <c r="I4290" s="62" t="n"/>
      <c r="J4290" s="58" t="n"/>
      <c r="K4290" s="63">
        <f>IF(tblMovement[[#This Row],[Source]]="","",IFERROR(INDEX(tblSources[Type],MATCH(tblMovement[[#This Row],[Source]],tblSources[Source],0)),"?"))</f>
        <v/>
      </c>
      <c r="L4290" s="63">
        <f>IF(tblMovement[[#This Row],[Destination]]="","",IFERROR(INDEX(tblDestinations[Type],MATCH(tblMovement[[#This Row],[Destination]],tblDestinations[Destination],0)),"?"))</f>
        <v/>
      </c>
      <c r="M4290" s="64">
        <f>IF(tblMovement[[#This Row],[Material]]="","",IF(LEFT(tblMovement[[#This Row],[Material]],3)="Ore",1,0))</f>
        <v/>
      </c>
      <c r="N4290" s="59">
        <f>IF(OR(tblMovement[[#This Row],[Tonnes_t]]="",tblMovement[[#This Row],[Grade_gpt]]=""),0,tblMovement[[#This Row],[Tonnes_t]]*tblMovement[[#This Row],[Grade_gpt]]/cfg_TroyOz)</f>
        <v/>
      </c>
      <c r="O4290" s="59">
        <f>IF(tblMovement[[#This Row],[Is_Ore]]=1,tblMovement[[#This Row],[Contained_oz]],0)</f>
        <v/>
      </c>
    </row>
    <row r="4291">
      <c r="A4291" s="54" t="n"/>
      <c r="B4291" s="61" t="n"/>
      <c r="C4291" s="61" t="n"/>
      <c r="D4291" s="61" t="n"/>
      <c r="E4291" s="61" t="n"/>
      <c r="F4291" s="55" t="n"/>
      <c r="G4291" s="56" t="n"/>
      <c r="H4291" s="55" t="n"/>
      <c r="I4291" s="62" t="n"/>
      <c r="J4291" s="58" t="n"/>
      <c r="K4291" s="63">
        <f>IF(tblMovement[[#This Row],[Source]]="","",IFERROR(INDEX(tblSources[Type],MATCH(tblMovement[[#This Row],[Source]],tblSources[Source],0)),"?"))</f>
        <v/>
      </c>
      <c r="L4291" s="63">
        <f>IF(tblMovement[[#This Row],[Destination]]="","",IFERROR(INDEX(tblDestinations[Type],MATCH(tblMovement[[#This Row],[Destination]],tblDestinations[Destination],0)),"?"))</f>
        <v/>
      </c>
      <c r="M4291" s="64">
        <f>IF(tblMovement[[#This Row],[Material]]="","",IF(LEFT(tblMovement[[#This Row],[Material]],3)="Ore",1,0))</f>
        <v/>
      </c>
      <c r="N4291" s="59">
        <f>IF(OR(tblMovement[[#This Row],[Tonnes_t]]="",tblMovement[[#This Row],[Grade_gpt]]=""),0,tblMovement[[#This Row],[Tonnes_t]]*tblMovement[[#This Row],[Grade_gpt]]/cfg_TroyOz)</f>
        <v/>
      </c>
      <c r="O4291" s="59">
        <f>IF(tblMovement[[#This Row],[Is_Ore]]=1,tblMovement[[#This Row],[Contained_oz]],0)</f>
        <v/>
      </c>
    </row>
    <row r="4292">
      <c r="A4292" s="54" t="n"/>
      <c r="B4292" s="61" t="n"/>
      <c r="C4292" s="61" t="n"/>
      <c r="D4292" s="61" t="n"/>
      <c r="E4292" s="61" t="n"/>
      <c r="F4292" s="55" t="n"/>
      <c r="G4292" s="56" t="n"/>
      <c r="H4292" s="55" t="n"/>
      <c r="I4292" s="62" t="n"/>
      <c r="J4292" s="58" t="n"/>
      <c r="K4292" s="63">
        <f>IF(tblMovement[[#This Row],[Source]]="","",IFERROR(INDEX(tblSources[Type],MATCH(tblMovement[[#This Row],[Source]],tblSources[Source],0)),"?"))</f>
        <v/>
      </c>
      <c r="L4292" s="63">
        <f>IF(tblMovement[[#This Row],[Destination]]="","",IFERROR(INDEX(tblDestinations[Type],MATCH(tblMovement[[#This Row],[Destination]],tblDestinations[Destination],0)),"?"))</f>
        <v/>
      </c>
      <c r="M4292" s="64">
        <f>IF(tblMovement[[#This Row],[Material]]="","",IF(LEFT(tblMovement[[#This Row],[Material]],3)="Ore",1,0))</f>
        <v/>
      </c>
      <c r="N4292" s="59">
        <f>IF(OR(tblMovement[[#This Row],[Tonnes_t]]="",tblMovement[[#This Row],[Grade_gpt]]=""),0,tblMovement[[#This Row],[Tonnes_t]]*tblMovement[[#This Row],[Grade_gpt]]/cfg_TroyOz)</f>
        <v/>
      </c>
      <c r="O4292" s="59">
        <f>IF(tblMovement[[#This Row],[Is_Ore]]=1,tblMovement[[#This Row],[Contained_oz]],0)</f>
        <v/>
      </c>
    </row>
    <row r="4293">
      <c r="A4293" s="54" t="n"/>
      <c r="B4293" s="61" t="n"/>
      <c r="C4293" s="61" t="n"/>
      <c r="D4293" s="61" t="n"/>
      <c r="E4293" s="61" t="n"/>
      <c r="F4293" s="55" t="n"/>
      <c r="G4293" s="56" t="n"/>
      <c r="H4293" s="55" t="n"/>
      <c r="I4293" s="62" t="n"/>
      <c r="J4293" s="58" t="n"/>
      <c r="K4293" s="63">
        <f>IF(tblMovement[[#This Row],[Source]]="","",IFERROR(INDEX(tblSources[Type],MATCH(tblMovement[[#This Row],[Source]],tblSources[Source],0)),"?"))</f>
        <v/>
      </c>
      <c r="L4293" s="63">
        <f>IF(tblMovement[[#This Row],[Destination]]="","",IFERROR(INDEX(tblDestinations[Type],MATCH(tblMovement[[#This Row],[Destination]],tblDestinations[Destination],0)),"?"))</f>
        <v/>
      </c>
      <c r="M4293" s="64">
        <f>IF(tblMovement[[#This Row],[Material]]="","",IF(LEFT(tblMovement[[#This Row],[Material]],3)="Ore",1,0))</f>
        <v/>
      </c>
      <c r="N4293" s="59">
        <f>IF(OR(tblMovement[[#This Row],[Tonnes_t]]="",tblMovement[[#This Row],[Grade_gpt]]=""),0,tblMovement[[#This Row],[Tonnes_t]]*tblMovement[[#This Row],[Grade_gpt]]/cfg_TroyOz)</f>
        <v/>
      </c>
      <c r="O4293" s="59">
        <f>IF(tblMovement[[#This Row],[Is_Ore]]=1,tblMovement[[#This Row],[Contained_oz]],0)</f>
        <v/>
      </c>
    </row>
    <row r="4294">
      <c r="A4294" s="54" t="n"/>
      <c r="B4294" s="61" t="n"/>
      <c r="C4294" s="61" t="n"/>
      <c r="D4294" s="61" t="n"/>
      <c r="E4294" s="61" t="n"/>
      <c r="F4294" s="55" t="n"/>
      <c r="G4294" s="56" t="n"/>
      <c r="H4294" s="55" t="n"/>
      <c r="I4294" s="62" t="n"/>
      <c r="J4294" s="58" t="n"/>
      <c r="K4294" s="63">
        <f>IF(tblMovement[[#This Row],[Source]]="","",IFERROR(INDEX(tblSources[Type],MATCH(tblMovement[[#This Row],[Source]],tblSources[Source],0)),"?"))</f>
        <v/>
      </c>
      <c r="L4294" s="63">
        <f>IF(tblMovement[[#This Row],[Destination]]="","",IFERROR(INDEX(tblDestinations[Type],MATCH(tblMovement[[#This Row],[Destination]],tblDestinations[Destination],0)),"?"))</f>
        <v/>
      </c>
      <c r="M4294" s="64">
        <f>IF(tblMovement[[#This Row],[Material]]="","",IF(LEFT(tblMovement[[#This Row],[Material]],3)="Ore",1,0))</f>
        <v/>
      </c>
      <c r="N4294" s="59">
        <f>IF(OR(tblMovement[[#This Row],[Tonnes_t]]="",tblMovement[[#This Row],[Grade_gpt]]=""),0,tblMovement[[#This Row],[Tonnes_t]]*tblMovement[[#This Row],[Grade_gpt]]/cfg_TroyOz)</f>
        <v/>
      </c>
      <c r="O4294" s="59">
        <f>IF(tblMovement[[#This Row],[Is_Ore]]=1,tblMovement[[#This Row],[Contained_oz]],0)</f>
        <v/>
      </c>
    </row>
    <row r="4295">
      <c r="A4295" s="54" t="n"/>
      <c r="B4295" s="61" t="n"/>
      <c r="C4295" s="61" t="n"/>
      <c r="D4295" s="61" t="n"/>
      <c r="E4295" s="61" t="n"/>
      <c r="F4295" s="55" t="n"/>
      <c r="G4295" s="56" t="n"/>
      <c r="H4295" s="55" t="n"/>
      <c r="I4295" s="62" t="n"/>
      <c r="J4295" s="58" t="n"/>
      <c r="K4295" s="63">
        <f>IF(tblMovement[[#This Row],[Source]]="","",IFERROR(INDEX(tblSources[Type],MATCH(tblMovement[[#This Row],[Source]],tblSources[Source],0)),"?"))</f>
        <v/>
      </c>
      <c r="L4295" s="63">
        <f>IF(tblMovement[[#This Row],[Destination]]="","",IFERROR(INDEX(tblDestinations[Type],MATCH(tblMovement[[#This Row],[Destination]],tblDestinations[Destination],0)),"?"))</f>
        <v/>
      </c>
      <c r="M4295" s="64">
        <f>IF(tblMovement[[#This Row],[Material]]="","",IF(LEFT(tblMovement[[#This Row],[Material]],3)="Ore",1,0))</f>
        <v/>
      </c>
      <c r="N4295" s="59">
        <f>IF(OR(tblMovement[[#This Row],[Tonnes_t]]="",tblMovement[[#This Row],[Grade_gpt]]=""),0,tblMovement[[#This Row],[Tonnes_t]]*tblMovement[[#This Row],[Grade_gpt]]/cfg_TroyOz)</f>
        <v/>
      </c>
      <c r="O4295" s="59">
        <f>IF(tblMovement[[#This Row],[Is_Ore]]=1,tblMovement[[#This Row],[Contained_oz]],0)</f>
        <v/>
      </c>
    </row>
    <row r="4296">
      <c r="A4296" s="54" t="n"/>
      <c r="B4296" s="61" t="n"/>
      <c r="C4296" s="61" t="n"/>
      <c r="D4296" s="61" t="n"/>
      <c r="E4296" s="61" t="n"/>
      <c r="F4296" s="55" t="n"/>
      <c r="G4296" s="56" t="n"/>
      <c r="H4296" s="55" t="n"/>
      <c r="I4296" s="62" t="n"/>
      <c r="J4296" s="58" t="n"/>
      <c r="K4296" s="63">
        <f>IF(tblMovement[[#This Row],[Source]]="","",IFERROR(INDEX(tblSources[Type],MATCH(tblMovement[[#This Row],[Source]],tblSources[Source],0)),"?"))</f>
        <v/>
      </c>
      <c r="L4296" s="63">
        <f>IF(tblMovement[[#This Row],[Destination]]="","",IFERROR(INDEX(tblDestinations[Type],MATCH(tblMovement[[#This Row],[Destination]],tblDestinations[Destination],0)),"?"))</f>
        <v/>
      </c>
      <c r="M4296" s="64">
        <f>IF(tblMovement[[#This Row],[Material]]="","",IF(LEFT(tblMovement[[#This Row],[Material]],3)="Ore",1,0))</f>
        <v/>
      </c>
      <c r="N4296" s="59">
        <f>IF(OR(tblMovement[[#This Row],[Tonnes_t]]="",tblMovement[[#This Row],[Grade_gpt]]=""),0,tblMovement[[#This Row],[Tonnes_t]]*tblMovement[[#This Row],[Grade_gpt]]/cfg_TroyOz)</f>
        <v/>
      </c>
      <c r="O4296" s="59">
        <f>IF(tblMovement[[#This Row],[Is_Ore]]=1,tblMovement[[#This Row],[Contained_oz]],0)</f>
        <v/>
      </c>
    </row>
    <row r="4297">
      <c r="A4297" s="54" t="n"/>
      <c r="B4297" s="61" t="n"/>
      <c r="C4297" s="61" t="n"/>
      <c r="D4297" s="61" t="n"/>
      <c r="E4297" s="61" t="n"/>
      <c r="F4297" s="55" t="n"/>
      <c r="G4297" s="56" t="n"/>
      <c r="H4297" s="55" t="n"/>
      <c r="I4297" s="62" t="n"/>
      <c r="J4297" s="58" t="n"/>
      <c r="K4297" s="63">
        <f>IF(tblMovement[[#This Row],[Source]]="","",IFERROR(INDEX(tblSources[Type],MATCH(tblMovement[[#This Row],[Source]],tblSources[Source],0)),"?"))</f>
        <v/>
      </c>
      <c r="L4297" s="63">
        <f>IF(tblMovement[[#This Row],[Destination]]="","",IFERROR(INDEX(tblDestinations[Type],MATCH(tblMovement[[#This Row],[Destination]],tblDestinations[Destination],0)),"?"))</f>
        <v/>
      </c>
      <c r="M4297" s="64">
        <f>IF(tblMovement[[#This Row],[Material]]="","",IF(LEFT(tblMovement[[#This Row],[Material]],3)="Ore",1,0))</f>
        <v/>
      </c>
      <c r="N4297" s="59">
        <f>IF(OR(tblMovement[[#This Row],[Tonnes_t]]="",tblMovement[[#This Row],[Grade_gpt]]=""),0,tblMovement[[#This Row],[Tonnes_t]]*tblMovement[[#This Row],[Grade_gpt]]/cfg_TroyOz)</f>
        <v/>
      </c>
      <c r="O4297" s="59">
        <f>IF(tblMovement[[#This Row],[Is_Ore]]=1,tblMovement[[#This Row],[Contained_oz]],0)</f>
        <v/>
      </c>
    </row>
    <row r="4298">
      <c r="A4298" s="54" t="n"/>
      <c r="B4298" s="61" t="n"/>
      <c r="C4298" s="61" t="n"/>
      <c r="D4298" s="61" t="n"/>
      <c r="E4298" s="61" t="n"/>
      <c r="F4298" s="55" t="n"/>
      <c r="G4298" s="56" t="n"/>
      <c r="H4298" s="55" t="n"/>
      <c r="I4298" s="62" t="n"/>
      <c r="J4298" s="58" t="n"/>
      <c r="K4298" s="63">
        <f>IF(tblMovement[[#This Row],[Source]]="","",IFERROR(INDEX(tblSources[Type],MATCH(tblMovement[[#This Row],[Source]],tblSources[Source],0)),"?"))</f>
        <v/>
      </c>
      <c r="L4298" s="63">
        <f>IF(tblMovement[[#This Row],[Destination]]="","",IFERROR(INDEX(tblDestinations[Type],MATCH(tblMovement[[#This Row],[Destination]],tblDestinations[Destination],0)),"?"))</f>
        <v/>
      </c>
      <c r="M4298" s="64">
        <f>IF(tblMovement[[#This Row],[Material]]="","",IF(LEFT(tblMovement[[#This Row],[Material]],3)="Ore",1,0))</f>
        <v/>
      </c>
      <c r="N4298" s="59">
        <f>IF(OR(tblMovement[[#This Row],[Tonnes_t]]="",tblMovement[[#This Row],[Grade_gpt]]=""),0,tblMovement[[#This Row],[Tonnes_t]]*tblMovement[[#This Row],[Grade_gpt]]/cfg_TroyOz)</f>
        <v/>
      </c>
      <c r="O4298" s="59">
        <f>IF(tblMovement[[#This Row],[Is_Ore]]=1,tblMovement[[#This Row],[Contained_oz]],0)</f>
        <v/>
      </c>
    </row>
    <row r="4299">
      <c r="A4299" s="54" t="n"/>
      <c r="B4299" s="61" t="n"/>
      <c r="C4299" s="61" t="n"/>
      <c r="D4299" s="61" t="n"/>
      <c r="E4299" s="61" t="n"/>
      <c r="F4299" s="55" t="n"/>
      <c r="G4299" s="56" t="n"/>
      <c r="H4299" s="55" t="n"/>
      <c r="I4299" s="62" t="n"/>
      <c r="J4299" s="58" t="n"/>
      <c r="K4299" s="63">
        <f>IF(tblMovement[[#This Row],[Source]]="","",IFERROR(INDEX(tblSources[Type],MATCH(tblMovement[[#This Row],[Source]],tblSources[Source],0)),"?"))</f>
        <v/>
      </c>
      <c r="L4299" s="63">
        <f>IF(tblMovement[[#This Row],[Destination]]="","",IFERROR(INDEX(tblDestinations[Type],MATCH(tblMovement[[#This Row],[Destination]],tblDestinations[Destination],0)),"?"))</f>
        <v/>
      </c>
      <c r="M4299" s="64">
        <f>IF(tblMovement[[#This Row],[Material]]="","",IF(LEFT(tblMovement[[#This Row],[Material]],3)="Ore",1,0))</f>
        <v/>
      </c>
      <c r="N4299" s="59">
        <f>IF(OR(tblMovement[[#This Row],[Tonnes_t]]="",tblMovement[[#This Row],[Grade_gpt]]=""),0,tblMovement[[#This Row],[Tonnes_t]]*tblMovement[[#This Row],[Grade_gpt]]/cfg_TroyOz)</f>
        <v/>
      </c>
      <c r="O4299" s="59">
        <f>IF(tblMovement[[#This Row],[Is_Ore]]=1,tblMovement[[#This Row],[Contained_oz]],0)</f>
        <v/>
      </c>
    </row>
    <row r="4300">
      <c r="A4300" s="54" t="n"/>
      <c r="B4300" s="61" t="n"/>
      <c r="C4300" s="61" t="n"/>
      <c r="D4300" s="61" t="n"/>
      <c r="E4300" s="61" t="n"/>
      <c r="F4300" s="55" t="n"/>
      <c r="G4300" s="56" t="n"/>
      <c r="H4300" s="55" t="n"/>
      <c r="I4300" s="62" t="n"/>
      <c r="J4300" s="58" t="n"/>
      <c r="K4300" s="63">
        <f>IF(tblMovement[[#This Row],[Source]]="","",IFERROR(INDEX(tblSources[Type],MATCH(tblMovement[[#This Row],[Source]],tblSources[Source],0)),"?"))</f>
        <v/>
      </c>
      <c r="L4300" s="63">
        <f>IF(tblMovement[[#This Row],[Destination]]="","",IFERROR(INDEX(tblDestinations[Type],MATCH(tblMovement[[#This Row],[Destination]],tblDestinations[Destination],0)),"?"))</f>
        <v/>
      </c>
      <c r="M4300" s="64">
        <f>IF(tblMovement[[#This Row],[Material]]="","",IF(LEFT(tblMovement[[#This Row],[Material]],3)="Ore",1,0))</f>
        <v/>
      </c>
      <c r="N4300" s="59">
        <f>IF(OR(tblMovement[[#This Row],[Tonnes_t]]="",tblMovement[[#This Row],[Grade_gpt]]=""),0,tblMovement[[#This Row],[Tonnes_t]]*tblMovement[[#This Row],[Grade_gpt]]/cfg_TroyOz)</f>
        <v/>
      </c>
      <c r="O4300" s="59">
        <f>IF(tblMovement[[#This Row],[Is_Ore]]=1,tblMovement[[#This Row],[Contained_oz]],0)</f>
        <v/>
      </c>
    </row>
    <row r="4301">
      <c r="A4301" s="54" t="n"/>
      <c r="B4301" s="61" t="n"/>
      <c r="C4301" s="61" t="n"/>
      <c r="D4301" s="61" t="n"/>
      <c r="E4301" s="61" t="n"/>
      <c r="F4301" s="55" t="n"/>
      <c r="G4301" s="56" t="n"/>
      <c r="H4301" s="55" t="n"/>
      <c r="I4301" s="62" t="n"/>
      <c r="J4301" s="58" t="n"/>
      <c r="K4301" s="63">
        <f>IF(tblMovement[[#This Row],[Source]]="","",IFERROR(INDEX(tblSources[Type],MATCH(tblMovement[[#This Row],[Source]],tblSources[Source],0)),"?"))</f>
        <v/>
      </c>
      <c r="L4301" s="63">
        <f>IF(tblMovement[[#This Row],[Destination]]="","",IFERROR(INDEX(tblDestinations[Type],MATCH(tblMovement[[#This Row],[Destination]],tblDestinations[Destination],0)),"?"))</f>
        <v/>
      </c>
      <c r="M4301" s="64">
        <f>IF(tblMovement[[#This Row],[Material]]="","",IF(LEFT(tblMovement[[#This Row],[Material]],3)="Ore",1,0))</f>
        <v/>
      </c>
      <c r="N4301" s="59">
        <f>IF(OR(tblMovement[[#This Row],[Tonnes_t]]="",tblMovement[[#This Row],[Grade_gpt]]=""),0,tblMovement[[#This Row],[Tonnes_t]]*tblMovement[[#This Row],[Grade_gpt]]/cfg_TroyOz)</f>
        <v/>
      </c>
      <c r="O4301" s="59">
        <f>IF(tblMovement[[#This Row],[Is_Ore]]=1,tblMovement[[#This Row],[Contained_oz]],0)</f>
        <v/>
      </c>
    </row>
    <row r="4302">
      <c r="A4302" s="54" t="n"/>
      <c r="B4302" s="61" t="n"/>
      <c r="C4302" s="61" t="n"/>
      <c r="D4302" s="61" t="n"/>
      <c r="E4302" s="61" t="n"/>
      <c r="F4302" s="55" t="n"/>
      <c r="G4302" s="56" t="n"/>
      <c r="H4302" s="55" t="n"/>
      <c r="I4302" s="62" t="n"/>
      <c r="J4302" s="58" t="n"/>
      <c r="K4302" s="63">
        <f>IF(tblMovement[[#This Row],[Source]]="","",IFERROR(INDEX(tblSources[Type],MATCH(tblMovement[[#This Row],[Source]],tblSources[Source],0)),"?"))</f>
        <v/>
      </c>
      <c r="L4302" s="63">
        <f>IF(tblMovement[[#This Row],[Destination]]="","",IFERROR(INDEX(tblDestinations[Type],MATCH(tblMovement[[#This Row],[Destination]],tblDestinations[Destination],0)),"?"))</f>
        <v/>
      </c>
      <c r="M4302" s="64">
        <f>IF(tblMovement[[#This Row],[Material]]="","",IF(LEFT(tblMovement[[#This Row],[Material]],3)="Ore",1,0))</f>
        <v/>
      </c>
      <c r="N4302" s="59">
        <f>IF(OR(tblMovement[[#This Row],[Tonnes_t]]="",tblMovement[[#This Row],[Grade_gpt]]=""),0,tblMovement[[#This Row],[Tonnes_t]]*tblMovement[[#This Row],[Grade_gpt]]/cfg_TroyOz)</f>
        <v/>
      </c>
      <c r="O4302" s="59">
        <f>IF(tblMovement[[#This Row],[Is_Ore]]=1,tblMovement[[#This Row],[Contained_oz]],0)</f>
        <v/>
      </c>
    </row>
    <row r="4303">
      <c r="A4303" s="54" t="n"/>
      <c r="B4303" s="61" t="n"/>
      <c r="C4303" s="61" t="n"/>
      <c r="D4303" s="61" t="n"/>
      <c r="E4303" s="61" t="n"/>
      <c r="F4303" s="55" t="n"/>
      <c r="G4303" s="56" t="n"/>
      <c r="H4303" s="55" t="n"/>
      <c r="I4303" s="62" t="n"/>
      <c r="J4303" s="58" t="n"/>
      <c r="K4303" s="63">
        <f>IF(tblMovement[[#This Row],[Source]]="","",IFERROR(INDEX(tblSources[Type],MATCH(tblMovement[[#This Row],[Source]],tblSources[Source],0)),"?"))</f>
        <v/>
      </c>
      <c r="L4303" s="63">
        <f>IF(tblMovement[[#This Row],[Destination]]="","",IFERROR(INDEX(tblDestinations[Type],MATCH(tblMovement[[#This Row],[Destination]],tblDestinations[Destination],0)),"?"))</f>
        <v/>
      </c>
      <c r="M4303" s="64">
        <f>IF(tblMovement[[#This Row],[Material]]="","",IF(LEFT(tblMovement[[#This Row],[Material]],3)="Ore",1,0))</f>
        <v/>
      </c>
      <c r="N4303" s="59">
        <f>IF(OR(tblMovement[[#This Row],[Tonnes_t]]="",tblMovement[[#This Row],[Grade_gpt]]=""),0,tblMovement[[#This Row],[Tonnes_t]]*tblMovement[[#This Row],[Grade_gpt]]/cfg_TroyOz)</f>
        <v/>
      </c>
      <c r="O4303" s="59">
        <f>IF(tblMovement[[#This Row],[Is_Ore]]=1,tblMovement[[#This Row],[Contained_oz]],0)</f>
        <v/>
      </c>
    </row>
    <row r="4304">
      <c r="A4304" s="54" t="n"/>
      <c r="B4304" s="61" t="n"/>
      <c r="C4304" s="61" t="n"/>
      <c r="D4304" s="61" t="n"/>
      <c r="E4304" s="61" t="n"/>
      <c r="F4304" s="55" t="n"/>
      <c r="G4304" s="56" t="n"/>
      <c r="H4304" s="55" t="n"/>
      <c r="I4304" s="62" t="n"/>
      <c r="J4304" s="58" t="n"/>
      <c r="K4304" s="63">
        <f>IF(tblMovement[[#This Row],[Source]]="","",IFERROR(INDEX(tblSources[Type],MATCH(tblMovement[[#This Row],[Source]],tblSources[Source],0)),"?"))</f>
        <v/>
      </c>
      <c r="L4304" s="63">
        <f>IF(tblMovement[[#This Row],[Destination]]="","",IFERROR(INDEX(tblDestinations[Type],MATCH(tblMovement[[#This Row],[Destination]],tblDestinations[Destination],0)),"?"))</f>
        <v/>
      </c>
      <c r="M4304" s="64">
        <f>IF(tblMovement[[#This Row],[Material]]="","",IF(LEFT(tblMovement[[#This Row],[Material]],3)="Ore",1,0))</f>
        <v/>
      </c>
      <c r="N4304" s="59">
        <f>IF(OR(tblMovement[[#This Row],[Tonnes_t]]="",tblMovement[[#This Row],[Grade_gpt]]=""),0,tblMovement[[#This Row],[Tonnes_t]]*tblMovement[[#This Row],[Grade_gpt]]/cfg_TroyOz)</f>
        <v/>
      </c>
      <c r="O4304" s="59">
        <f>IF(tblMovement[[#This Row],[Is_Ore]]=1,tblMovement[[#This Row],[Contained_oz]],0)</f>
        <v/>
      </c>
    </row>
    <row r="4305">
      <c r="A4305" s="54" t="n"/>
      <c r="B4305" s="61" t="n"/>
      <c r="C4305" s="61" t="n"/>
      <c r="D4305" s="61" t="n"/>
      <c r="E4305" s="61" t="n"/>
      <c r="F4305" s="55" t="n"/>
      <c r="G4305" s="56" t="n"/>
      <c r="H4305" s="55" t="n"/>
      <c r="I4305" s="62" t="n"/>
      <c r="J4305" s="58" t="n"/>
      <c r="K4305" s="63">
        <f>IF(tblMovement[[#This Row],[Source]]="","",IFERROR(INDEX(tblSources[Type],MATCH(tblMovement[[#This Row],[Source]],tblSources[Source],0)),"?"))</f>
        <v/>
      </c>
      <c r="L4305" s="63">
        <f>IF(tblMovement[[#This Row],[Destination]]="","",IFERROR(INDEX(tblDestinations[Type],MATCH(tblMovement[[#This Row],[Destination]],tblDestinations[Destination],0)),"?"))</f>
        <v/>
      </c>
      <c r="M4305" s="64">
        <f>IF(tblMovement[[#This Row],[Material]]="","",IF(LEFT(tblMovement[[#This Row],[Material]],3)="Ore",1,0))</f>
        <v/>
      </c>
      <c r="N4305" s="59">
        <f>IF(OR(tblMovement[[#This Row],[Tonnes_t]]="",tblMovement[[#This Row],[Grade_gpt]]=""),0,tblMovement[[#This Row],[Tonnes_t]]*tblMovement[[#This Row],[Grade_gpt]]/cfg_TroyOz)</f>
        <v/>
      </c>
      <c r="O4305" s="59">
        <f>IF(tblMovement[[#This Row],[Is_Ore]]=1,tblMovement[[#This Row],[Contained_oz]],0)</f>
        <v/>
      </c>
    </row>
    <row r="4306">
      <c r="A4306" s="54" t="n"/>
      <c r="B4306" s="61" t="n"/>
      <c r="C4306" s="61" t="n"/>
      <c r="D4306" s="61" t="n"/>
      <c r="E4306" s="61" t="n"/>
      <c r="F4306" s="55" t="n"/>
      <c r="G4306" s="56" t="n"/>
      <c r="H4306" s="55" t="n"/>
      <c r="I4306" s="62" t="n"/>
      <c r="J4306" s="58" t="n"/>
      <c r="K4306" s="63">
        <f>IF(tblMovement[[#This Row],[Source]]="","",IFERROR(INDEX(tblSources[Type],MATCH(tblMovement[[#This Row],[Source]],tblSources[Source],0)),"?"))</f>
        <v/>
      </c>
      <c r="L4306" s="63">
        <f>IF(tblMovement[[#This Row],[Destination]]="","",IFERROR(INDEX(tblDestinations[Type],MATCH(tblMovement[[#This Row],[Destination]],tblDestinations[Destination],0)),"?"))</f>
        <v/>
      </c>
      <c r="M4306" s="64">
        <f>IF(tblMovement[[#This Row],[Material]]="","",IF(LEFT(tblMovement[[#This Row],[Material]],3)="Ore",1,0))</f>
        <v/>
      </c>
      <c r="N4306" s="59">
        <f>IF(OR(tblMovement[[#This Row],[Tonnes_t]]="",tblMovement[[#This Row],[Grade_gpt]]=""),0,tblMovement[[#This Row],[Tonnes_t]]*tblMovement[[#This Row],[Grade_gpt]]/cfg_TroyOz)</f>
        <v/>
      </c>
      <c r="O4306" s="59">
        <f>IF(tblMovement[[#This Row],[Is_Ore]]=1,tblMovement[[#This Row],[Contained_oz]],0)</f>
        <v/>
      </c>
    </row>
    <row r="4307">
      <c r="A4307" s="54" t="n"/>
      <c r="B4307" s="61" t="n"/>
      <c r="C4307" s="61" t="n"/>
      <c r="D4307" s="61" t="n"/>
      <c r="E4307" s="61" t="n"/>
      <c r="F4307" s="55" t="n"/>
      <c r="G4307" s="56" t="n"/>
      <c r="H4307" s="55" t="n"/>
      <c r="I4307" s="62" t="n"/>
      <c r="J4307" s="58" t="n"/>
      <c r="K4307" s="63">
        <f>IF(tblMovement[[#This Row],[Source]]="","",IFERROR(INDEX(tblSources[Type],MATCH(tblMovement[[#This Row],[Source]],tblSources[Source],0)),"?"))</f>
        <v/>
      </c>
      <c r="L4307" s="63">
        <f>IF(tblMovement[[#This Row],[Destination]]="","",IFERROR(INDEX(tblDestinations[Type],MATCH(tblMovement[[#This Row],[Destination]],tblDestinations[Destination],0)),"?"))</f>
        <v/>
      </c>
      <c r="M4307" s="64">
        <f>IF(tblMovement[[#This Row],[Material]]="","",IF(LEFT(tblMovement[[#This Row],[Material]],3)="Ore",1,0))</f>
        <v/>
      </c>
      <c r="N4307" s="59">
        <f>IF(OR(tblMovement[[#This Row],[Tonnes_t]]="",tblMovement[[#This Row],[Grade_gpt]]=""),0,tblMovement[[#This Row],[Tonnes_t]]*tblMovement[[#This Row],[Grade_gpt]]/cfg_TroyOz)</f>
        <v/>
      </c>
      <c r="O4307" s="59">
        <f>IF(tblMovement[[#This Row],[Is_Ore]]=1,tblMovement[[#This Row],[Contained_oz]],0)</f>
        <v/>
      </c>
    </row>
    <row r="4308">
      <c r="A4308" s="54" t="n"/>
      <c r="B4308" s="61" t="n"/>
      <c r="C4308" s="61" t="n"/>
      <c r="D4308" s="61" t="n"/>
      <c r="E4308" s="61" t="n"/>
      <c r="F4308" s="55" t="n"/>
      <c r="G4308" s="56" t="n"/>
      <c r="H4308" s="55" t="n"/>
      <c r="I4308" s="62" t="n"/>
      <c r="J4308" s="58" t="n"/>
      <c r="K4308" s="63">
        <f>IF(tblMovement[[#This Row],[Source]]="","",IFERROR(INDEX(tblSources[Type],MATCH(tblMovement[[#This Row],[Source]],tblSources[Source],0)),"?"))</f>
        <v/>
      </c>
      <c r="L4308" s="63">
        <f>IF(tblMovement[[#This Row],[Destination]]="","",IFERROR(INDEX(tblDestinations[Type],MATCH(tblMovement[[#This Row],[Destination]],tblDestinations[Destination],0)),"?"))</f>
        <v/>
      </c>
      <c r="M4308" s="64">
        <f>IF(tblMovement[[#This Row],[Material]]="","",IF(LEFT(tblMovement[[#This Row],[Material]],3)="Ore",1,0))</f>
        <v/>
      </c>
      <c r="N4308" s="59">
        <f>IF(OR(tblMovement[[#This Row],[Tonnes_t]]="",tblMovement[[#This Row],[Grade_gpt]]=""),0,tblMovement[[#This Row],[Tonnes_t]]*tblMovement[[#This Row],[Grade_gpt]]/cfg_TroyOz)</f>
        <v/>
      </c>
      <c r="O4308" s="59">
        <f>IF(tblMovement[[#This Row],[Is_Ore]]=1,tblMovement[[#This Row],[Contained_oz]],0)</f>
        <v/>
      </c>
    </row>
    <row r="4309">
      <c r="A4309" s="54" t="n"/>
      <c r="B4309" s="61" t="n"/>
      <c r="C4309" s="61" t="n"/>
      <c r="D4309" s="61" t="n"/>
      <c r="E4309" s="61" t="n"/>
      <c r="F4309" s="55" t="n"/>
      <c r="G4309" s="56" t="n"/>
      <c r="H4309" s="55" t="n"/>
      <c r="I4309" s="62" t="n"/>
      <c r="J4309" s="58" t="n"/>
      <c r="K4309" s="63">
        <f>IF(tblMovement[[#This Row],[Source]]="","",IFERROR(INDEX(tblSources[Type],MATCH(tblMovement[[#This Row],[Source]],tblSources[Source],0)),"?"))</f>
        <v/>
      </c>
      <c r="L4309" s="63">
        <f>IF(tblMovement[[#This Row],[Destination]]="","",IFERROR(INDEX(tblDestinations[Type],MATCH(tblMovement[[#This Row],[Destination]],tblDestinations[Destination],0)),"?"))</f>
        <v/>
      </c>
      <c r="M4309" s="64">
        <f>IF(tblMovement[[#This Row],[Material]]="","",IF(LEFT(tblMovement[[#This Row],[Material]],3)="Ore",1,0))</f>
        <v/>
      </c>
      <c r="N4309" s="59">
        <f>IF(OR(tblMovement[[#This Row],[Tonnes_t]]="",tblMovement[[#This Row],[Grade_gpt]]=""),0,tblMovement[[#This Row],[Tonnes_t]]*tblMovement[[#This Row],[Grade_gpt]]/cfg_TroyOz)</f>
        <v/>
      </c>
      <c r="O4309" s="59">
        <f>IF(tblMovement[[#This Row],[Is_Ore]]=1,tblMovement[[#This Row],[Contained_oz]],0)</f>
        <v/>
      </c>
    </row>
    <row r="4310">
      <c r="A4310" s="54" t="n"/>
      <c r="B4310" s="61" t="n"/>
      <c r="C4310" s="61" t="n"/>
      <c r="D4310" s="61" t="n"/>
      <c r="E4310" s="61" t="n"/>
      <c r="F4310" s="55" t="n"/>
      <c r="G4310" s="56" t="n"/>
      <c r="H4310" s="55" t="n"/>
      <c r="I4310" s="62" t="n"/>
      <c r="J4310" s="58" t="n"/>
      <c r="K4310" s="63">
        <f>IF(tblMovement[[#This Row],[Source]]="","",IFERROR(INDEX(tblSources[Type],MATCH(tblMovement[[#This Row],[Source]],tblSources[Source],0)),"?"))</f>
        <v/>
      </c>
      <c r="L4310" s="63">
        <f>IF(tblMovement[[#This Row],[Destination]]="","",IFERROR(INDEX(tblDestinations[Type],MATCH(tblMovement[[#This Row],[Destination]],tblDestinations[Destination],0)),"?"))</f>
        <v/>
      </c>
      <c r="M4310" s="64">
        <f>IF(tblMovement[[#This Row],[Material]]="","",IF(LEFT(tblMovement[[#This Row],[Material]],3)="Ore",1,0))</f>
        <v/>
      </c>
      <c r="N4310" s="59">
        <f>IF(OR(tblMovement[[#This Row],[Tonnes_t]]="",tblMovement[[#This Row],[Grade_gpt]]=""),0,tblMovement[[#This Row],[Tonnes_t]]*tblMovement[[#This Row],[Grade_gpt]]/cfg_TroyOz)</f>
        <v/>
      </c>
      <c r="O4310" s="59">
        <f>IF(tblMovement[[#This Row],[Is_Ore]]=1,tblMovement[[#This Row],[Contained_oz]],0)</f>
        <v/>
      </c>
    </row>
    <row r="4311">
      <c r="A4311" s="54" t="n"/>
      <c r="B4311" s="61" t="n"/>
      <c r="C4311" s="61" t="n"/>
      <c r="D4311" s="61" t="n"/>
      <c r="E4311" s="61" t="n"/>
      <c r="F4311" s="55" t="n"/>
      <c r="G4311" s="56" t="n"/>
      <c r="H4311" s="55" t="n"/>
      <c r="I4311" s="62" t="n"/>
      <c r="J4311" s="58" t="n"/>
      <c r="K4311" s="63">
        <f>IF(tblMovement[[#This Row],[Source]]="","",IFERROR(INDEX(tblSources[Type],MATCH(tblMovement[[#This Row],[Source]],tblSources[Source],0)),"?"))</f>
        <v/>
      </c>
      <c r="L4311" s="63">
        <f>IF(tblMovement[[#This Row],[Destination]]="","",IFERROR(INDEX(tblDestinations[Type],MATCH(tblMovement[[#This Row],[Destination]],tblDestinations[Destination],0)),"?"))</f>
        <v/>
      </c>
      <c r="M4311" s="64">
        <f>IF(tblMovement[[#This Row],[Material]]="","",IF(LEFT(tblMovement[[#This Row],[Material]],3)="Ore",1,0))</f>
        <v/>
      </c>
      <c r="N4311" s="59">
        <f>IF(OR(tblMovement[[#This Row],[Tonnes_t]]="",tblMovement[[#This Row],[Grade_gpt]]=""),0,tblMovement[[#This Row],[Tonnes_t]]*tblMovement[[#This Row],[Grade_gpt]]/cfg_TroyOz)</f>
        <v/>
      </c>
      <c r="O4311" s="59">
        <f>IF(tblMovement[[#This Row],[Is_Ore]]=1,tblMovement[[#This Row],[Contained_oz]],0)</f>
        <v/>
      </c>
    </row>
    <row r="4312">
      <c r="A4312" s="54" t="n"/>
      <c r="B4312" s="61" t="n"/>
      <c r="C4312" s="61" t="n"/>
      <c r="D4312" s="61" t="n"/>
      <c r="E4312" s="61" t="n"/>
      <c r="F4312" s="55" t="n"/>
      <c r="G4312" s="56" t="n"/>
      <c r="H4312" s="55" t="n"/>
      <c r="I4312" s="62" t="n"/>
      <c r="J4312" s="58" t="n"/>
      <c r="K4312" s="63">
        <f>IF(tblMovement[[#This Row],[Source]]="","",IFERROR(INDEX(tblSources[Type],MATCH(tblMovement[[#This Row],[Source]],tblSources[Source],0)),"?"))</f>
        <v/>
      </c>
      <c r="L4312" s="63">
        <f>IF(tblMovement[[#This Row],[Destination]]="","",IFERROR(INDEX(tblDestinations[Type],MATCH(tblMovement[[#This Row],[Destination]],tblDestinations[Destination],0)),"?"))</f>
        <v/>
      </c>
      <c r="M4312" s="64">
        <f>IF(tblMovement[[#This Row],[Material]]="","",IF(LEFT(tblMovement[[#This Row],[Material]],3)="Ore",1,0))</f>
        <v/>
      </c>
      <c r="N4312" s="59">
        <f>IF(OR(tblMovement[[#This Row],[Tonnes_t]]="",tblMovement[[#This Row],[Grade_gpt]]=""),0,tblMovement[[#This Row],[Tonnes_t]]*tblMovement[[#This Row],[Grade_gpt]]/cfg_TroyOz)</f>
        <v/>
      </c>
      <c r="O4312" s="59">
        <f>IF(tblMovement[[#This Row],[Is_Ore]]=1,tblMovement[[#This Row],[Contained_oz]],0)</f>
        <v/>
      </c>
    </row>
    <row r="4313">
      <c r="A4313" s="54" t="n"/>
      <c r="B4313" s="61" t="n"/>
      <c r="C4313" s="61" t="n"/>
      <c r="D4313" s="61" t="n"/>
      <c r="E4313" s="61" t="n"/>
      <c r="F4313" s="55" t="n"/>
      <c r="G4313" s="56" t="n"/>
      <c r="H4313" s="55" t="n"/>
      <c r="I4313" s="62" t="n"/>
      <c r="J4313" s="58" t="n"/>
      <c r="K4313" s="63">
        <f>IF(tblMovement[[#This Row],[Source]]="","",IFERROR(INDEX(tblSources[Type],MATCH(tblMovement[[#This Row],[Source]],tblSources[Source],0)),"?"))</f>
        <v/>
      </c>
      <c r="L4313" s="63">
        <f>IF(tblMovement[[#This Row],[Destination]]="","",IFERROR(INDEX(tblDestinations[Type],MATCH(tblMovement[[#This Row],[Destination]],tblDestinations[Destination],0)),"?"))</f>
        <v/>
      </c>
      <c r="M4313" s="64">
        <f>IF(tblMovement[[#This Row],[Material]]="","",IF(LEFT(tblMovement[[#This Row],[Material]],3)="Ore",1,0))</f>
        <v/>
      </c>
      <c r="N4313" s="59">
        <f>IF(OR(tblMovement[[#This Row],[Tonnes_t]]="",tblMovement[[#This Row],[Grade_gpt]]=""),0,tblMovement[[#This Row],[Tonnes_t]]*tblMovement[[#This Row],[Grade_gpt]]/cfg_TroyOz)</f>
        <v/>
      </c>
      <c r="O4313" s="59">
        <f>IF(tblMovement[[#This Row],[Is_Ore]]=1,tblMovement[[#This Row],[Contained_oz]],0)</f>
        <v/>
      </c>
    </row>
    <row r="4314">
      <c r="A4314" s="54" t="n"/>
      <c r="B4314" s="61" t="n"/>
      <c r="C4314" s="61" t="n"/>
      <c r="D4314" s="61" t="n"/>
      <c r="E4314" s="61" t="n"/>
      <c r="F4314" s="55" t="n"/>
      <c r="G4314" s="56" t="n"/>
      <c r="H4314" s="55" t="n"/>
      <c r="I4314" s="62" t="n"/>
      <c r="J4314" s="58" t="n"/>
      <c r="K4314" s="63">
        <f>IF(tblMovement[[#This Row],[Source]]="","",IFERROR(INDEX(tblSources[Type],MATCH(tblMovement[[#This Row],[Source]],tblSources[Source],0)),"?"))</f>
        <v/>
      </c>
      <c r="L4314" s="63">
        <f>IF(tblMovement[[#This Row],[Destination]]="","",IFERROR(INDEX(tblDestinations[Type],MATCH(tblMovement[[#This Row],[Destination]],tblDestinations[Destination],0)),"?"))</f>
        <v/>
      </c>
      <c r="M4314" s="64">
        <f>IF(tblMovement[[#This Row],[Material]]="","",IF(LEFT(tblMovement[[#This Row],[Material]],3)="Ore",1,0))</f>
        <v/>
      </c>
      <c r="N4314" s="59">
        <f>IF(OR(tblMovement[[#This Row],[Tonnes_t]]="",tblMovement[[#This Row],[Grade_gpt]]=""),0,tblMovement[[#This Row],[Tonnes_t]]*tblMovement[[#This Row],[Grade_gpt]]/cfg_TroyOz)</f>
        <v/>
      </c>
      <c r="O4314" s="59">
        <f>IF(tblMovement[[#This Row],[Is_Ore]]=1,tblMovement[[#This Row],[Contained_oz]],0)</f>
        <v/>
      </c>
    </row>
    <row r="4315">
      <c r="A4315" s="54" t="n"/>
      <c r="B4315" s="61" t="n"/>
      <c r="C4315" s="61" t="n"/>
      <c r="D4315" s="61" t="n"/>
      <c r="E4315" s="61" t="n"/>
      <c r="F4315" s="55" t="n"/>
      <c r="G4315" s="56" t="n"/>
      <c r="H4315" s="55" t="n"/>
      <c r="I4315" s="62" t="n"/>
      <c r="J4315" s="58" t="n"/>
      <c r="K4315" s="63">
        <f>IF(tblMovement[[#This Row],[Source]]="","",IFERROR(INDEX(tblSources[Type],MATCH(tblMovement[[#This Row],[Source]],tblSources[Source],0)),"?"))</f>
        <v/>
      </c>
      <c r="L4315" s="63">
        <f>IF(tblMovement[[#This Row],[Destination]]="","",IFERROR(INDEX(tblDestinations[Type],MATCH(tblMovement[[#This Row],[Destination]],tblDestinations[Destination],0)),"?"))</f>
        <v/>
      </c>
      <c r="M4315" s="64">
        <f>IF(tblMovement[[#This Row],[Material]]="","",IF(LEFT(tblMovement[[#This Row],[Material]],3)="Ore",1,0))</f>
        <v/>
      </c>
      <c r="N4315" s="59">
        <f>IF(OR(tblMovement[[#This Row],[Tonnes_t]]="",tblMovement[[#This Row],[Grade_gpt]]=""),0,tblMovement[[#This Row],[Tonnes_t]]*tblMovement[[#This Row],[Grade_gpt]]/cfg_TroyOz)</f>
        <v/>
      </c>
      <c r="O4315" s="59">
        <f>IF(tblMovement[[#This Row],[Is_Ore]]=1,tblMovement[[#This Row],[Contained_oz]],0)</f>
        <v/>
      </c>
    </row>
    <row r="4316">
      <c r="A4316" s="54" t="n"/>
      <c r="B4316" s="61" t="n"/>
      <c r="C4316" s="61" t="n"/>
      <c r="D4316" s="61" t="n"/>
      <c r="E4316" s="61" t="n"/>
      <c r="F4316" s="55" t="n"/>
      <c r="G4316" s="56" t="n"/>
      <c r="H4316" s="55" t="n"/>
      <c r="I4316" s="62" t="n"/>
      <c r="J4316" s="58" t="n"/>
      <c r="K4316" s="63">
        <f>IF(tblMovement[[#This Row],[Source]]="","",IFERROR(INDEX(tblSources[Type],MATCH(tblMovement[[#This Row],[Source]],tblSources[Source],0)),"?"))</f>
        <v/>
      </c>
      <c r="L4316" s="63">
        <f>IF(tblMovement[[#This Row],[Destination]]="","",IFERROR(INDEX(tblDestinations[Type],MATCH(tblMovement[[#This Row],[Destination]],tblDestinations[Destination],0)),"?"))</f>
        <v/>
      </c>
      <c r="M4316" s="64">
        <f>IF(tblMovement[[#This Row],[Material]]="","",IF(LEFT(tblMovement[[#This Row],[Material]],3)="Ore",1,0))</f>
        <v/>
      </c>
      <c r="N4316" s="59">
        <f>IF(OR(tblMovement[[#This Row],[Tonnes_t]]="",tblMovement[[#This Row],[Grade_gpt]]=""),0,tblMovement[[#This Row],[Tonnes_t]]*tblMovement[[#This Row],[Grade_gpt]]/cfg_TroyOz)</f>
        <v/>
      </c>
      <c r="O4316" s="59">
        <f>IF(tblMovement[[#This Row],[Is_Ore]]=1,tblMovement[[#This Row],[Contained_oz]],0)</f>
        <v/>
      </c>
    </row>
    <row r="4317">
      <c r="A4317" s="54" t="n"/>
      <c r="B4317" s="61" t="n"/>
      <c r="C4317" s="61" t="n"/>
      <c r="D4317" s="61" t="n"/>
      <c r="E4317" s="61" t="n"/>
      <c r="F4317" s="55" t="n"/>
      <c r="G4317" s="56" t="n"/>
      <c r="H4317" s="55" t="n"/>
      <c r="I4317" s="62" t="n"/>
      <c r="J4317" s="58" t="n"/>
      <c r="K4317" s="63">
        <f>IF(tblMovement[[#This Row],[Source]]="","",IFERROR(INDEX(tblSources[Type],MATCH(tblMovement[[#This Row],[Source]],tblSources[Source],0)),"?"))</f>
        <v/>
      </c>
      <c r="L4317" s="63">
        <f>IF(tblMovement[[#This Row],[Destination]]="","",IFERROR(INDEX(tblDestinations[Type],MATCH(tblMovement[[#This Row],[Destination]],tblDestinations[Destination],0)),"?"))</f>
        <v/>
      </c>
      <c r="M4317" s="64">
        <f>IF(tblMovement[[#This Row],[Material]]="","",IF(LEFT(tblMovement[[#This Row],[Material]],3)="Ore",1,0))</f>
        <v/>
      </c>
      <c r="N4317" s="59">
        <f>IF(OR(tblMovement[[#This Row],[Tonnes_t]]="",tblMovement[[#This Row],[Grade_gpt]]=""),0,tblMovement[[#This Row],[Tonnes_t]]*tblMovement[[#This Row],[Grade_gpt]]/cfg_TroyOz)</f>
        <v/>
      </c>
      <c r="O4317" s="59">
        <f>IF(tblMovement[[#This Row],[Is_Ore]]=1,tblMovement[[#This Row],[Contained_oz]],0)</f>
        <v/>
      </c>
    </row>
    <row r="4318">
      <c r="A4318" s="54" t="n"/>
      <c r="B4318" s="61" t="n"/>
      <c r="C4318" s="61" t="n"/>
      <c r="D4318" s="61" t="n"/>
      <c r="E4318" s="61" t="n"/>
      <c r="F4318" s="55" t="n"/>
      <c r="G4318" s="56" t="n"/>
      <c r="H4318" s="55" t="n"/>
      <c r="I4318" s="62" t="n"/>
      <c r="J4318" s="58" t="n"/>
      <c r="K4318" s="63">
        <f>IF(tblMovement[[#This Row],[Source]]="","",IFERROR(INDEX(tblSources[Type],MATCH(tblMovement[[#This Row],[Source]],tblSources[Source],0)),"?"))</f>
        <v/>
      </c>
      <c r="L4318" s="63">
        <f>IF(tblMovement[[#This Row],[Destination]]="","",IFERROR(INDEX(tblDestinations[Type],MATCH(tblMovement[[#This Row],[Destination]],tblDestinations[Destination],0)),"?"))</f>
        <v/>
      </c>
      <c r="M4318" s="64">
        <f>IF(tblMovement[[#This Row],[Material]]="","",IF(LEFT(tblMovement[[#This Row],[Material]],3)="Ore",1,0))</f>
        <v/>
      </c>
      <c r="N4318" s="59">
        <f>IF(OR(tblMovement[[#This Row],[Tonnes_t]]="",tblMovement[[#This Row],[Grade_gpt]]=""),0,tblMovement[[#This Row],[Tonnes_t]]*tblMovement[[#This Row],[Grade_gpt]]/cfg_TroyOz)</f>
        <v/>
      </c>
      <c r="O4318" s="59">
        <f>IF(tblMovement[[#This Row],[Is_Ore]]=1,tblMovement[[#This Row],[Contained_oz]],0)</f>
        <v/>
      </c>
    </row>
    <row r="4319">
      <c r="A4319" s="54" t="n"/>
      <c r="B4319" s="61" t="n"/>
      <c r="C4319" s="61" t="n"/>
      <c r="D4319" s="61" t="n"/>
      <c r="E4319" s="61" t="n"/>
      <c r="F4319" s="55" t="n"/>
      <c r="G4319" s="56" t="n"/>
      <c r="H4319" s="55" t="n"/>
      <c r="I4319" s="62" t="n"/>
      <c r="J4319" s="58" t="n"/>
      <c r="K4319" s="63">
        <f>IF(tblMovement[[#This Row],[Source]]="","",IFERROR(INDEX(tblSources[Type],MATCH(tblMovement[[#This Row],[Source]],tblSources[Source],0)),"?"))</f>
        <v/>
      </c>
      <c r="L4319" s="63">
        <f>IF(tblMovement[[#This Row],[Destination]]="","",IFERROR(INDEX(tblDestinations[Type],MATCH(tblMovement[[#This Row],[Destination]],tblDestinations[Destination],0)),"?"))</f>
        <v/>
      </c>
      <c r="M4319" s="64">
        <f>IF(tblMovement[[#This Row],[Material]]="","",IF(LEFT(tblMovement[[#This Row],[Material]],3)="Ore",1,0))</f>
        <v/>
      </c>
      <c r="N4319" s="59">
        <f>IF(OR(tblMovement[[#This Row],[Tonnes_t]]="",tblMovement[[#This Row],[Grade_gpt]]=""),0,tblMovement[[#This Row],[Tonnes_t]]*tblMovement[[#This Row],[Grade_gpt]]/cfg_TroyOz)</f>
        <v/>
      </c>
      <c r="O4319" s="59">
        <f>IF(tblMovement[[#This Row],[Is_Ore]]=1,tblMovement[[#This Row],[Contained_oz]],0)</f>
        <v/>
      </c>
    </row>
    <row r="4320">
      <c r="A4320" s="54" t="n"/>
      <c r="B4320" s="61" t="n"/>
      <c r="C4320" s="61" t="n"/>
      <c r="D4320" s="61" t="n"/>
      <c r="E4320" s="61" t="n"/>
      <c r="F4320" s="55" t="n"/>
      <c r="G4320" s="56" t="n"/>
      <c r="H4320" s="55" t="n"/>
      <c r="I4320" s="62" t="n"/>
      <c r="J4320" s="58" t="n"/>
      <c r="K4320" s="63">
        <f>IF(tblMovement[[#This Row],[Source]]="","",IFERROR(INDEX(tblSources[Type],MATCH(tblMovement[[#This Row],[Source]],tblSources[Source],0)),"?"))</f>
        <v/>
      </c>
      <c r="L4320" s="63">
        <f>IF(tblMovement[[#This Row],[Destination]]="","",IFERROR(INDEX(tblDestinations[Type],MATCH(tblMovement[[#This Row],[Destination]],tblDestinations[Destination],0)),"?"))</f>
        <v/>
      </c>
      <c r="M4320" s="64">
        <f>IF(tblMovement[[#This Row],[Material]]="","",IF(LEFT(tblMovement[[#This Row],[Material]],3)="Ore",1,0))</f>
        <v/>
      </c>
      <c r="N4320" s="59">
        <f>IF(OR(tblMovement[[#This Row],[Tonnes_t]]="",tblMovement[[#This Row],[Grade_gpt]]=""),0,tblMovement[[#This Row],[Tonnes_t]]*tblMovement[[#This Row],[Grade_gpt]]/cfg_TroyOz)</f>
        <v/>
      </c>
      <c r="O4320" s="59">
        <f>IF(tblMovement[[#This Row],[Is_Ore]]=1,tblMovement[[#This Row],[Contained_oz]],0)</f>
        <v/>
      </c>
    </row>
    <row r="4321">
      <c r="A4321" s="54" t="n"/>
      <c r="B4321" s="61" t="n"/>
      <c r="C4321" s="61" t="n"/>
      <c r="D4321" s="61" t="n"/>
      <c r="E4321" s="61" t="n"/>
      <c r="F4321" s="55" t="n"/>
      <c r="G4321" s="56" t="n"/>
      <c r="H4321" s="55" t="n"/>
      <c r="I4321" s="62" t="n"/>
      <c r="J4321" s="58" t="n"/>
      <c r="K4321" s="63">
        <f>IF(tblMovement[[#This Row],[Source]]="","",IFERROR(INDEX(tblSources[Type],MATCH(tblMovement[[#This Row],[Source]],tblSources[Source],0)),"?"))</f>
        <v/>
      </c>
      <c r="L4321" s="63">
        <f>IF(tblMovement[[#This Row],[Destination]]="","",IFERROR(INDEX(tblDestinations[Type],MATCH(tblMovement[[#This Row],[Destination]],tblDestinations[Destination],0)),"?"))</f>
        <v/>
      </c>
      <c r="M4321" s="64">
        <f>IF(tblMovement[[#This Row],[Material]]="","",IF(LEFT(tblMovement[[#This Row],[Material]],3)="Ore",1,0))</f>
        <v/>
      </c>
      <c r="N4321" s="59">
        <f>IF(OR(tblMovement[[#This Row],[Tonnes_t]]="",tblMovement[[#This Row],[Grade_gpt]]=""),0,tblMovement[[#This Row],[Tonnes_t]]*tblMovement[[#This Row],[Grade_gpt]]/cfg_TroyOz)</f>
        <v/>
      </c>
      <c r="O4321" s="59">
        <f>IF(tblMovement[[#This Row],[Is_Ore]]=1,tblMovement[[#This Row],[Contained_oz]],0)</f>
        <v/>
      </c>
    </row>
    <row r="4322">
      <c r="A4322" s="54" t="n"/>
      <c r="B4322" s="61" t="n"/>
      <c r="C4322" s="61" t="n"/>
      <c r="D4322" s="61" t="n"/>
      <c r="E4322" s="61" t="n"/>
      <c r="F4322" s="55" t="n"/>
      <c r="G4322" s="56" t="n"/>
      <c r="H4322" s="55" t="n"/>
      <c r="I4322" s="62" t="n"/>
      <c r="J4322" s="58" t="n"/>
      <c r="K4322" s="63">
        <f>IF(tblMovement[[#This Row],[Source]]="","",IFERROR(INDEX(tblSources[Type],MATCH(tblMovement[[#This Row],[Source]],tblSources[Source],0)),"?"))</f>
        <v/>
      </c>
      <c r="L4322" s="63">
        <f>IF(tblMovement[[#This Row],[Destination]]="","",IFERROR(INDEX(tblDestinations[Type],MATCH(tblMovement[[#This Row],[Destination]],tblDestinations[Destination],0)),"?"))</f>
        <v/>
      </c>
      <c r="M4322" s="64">
        <f>IF(tblMovement[[#This Row],[Material]]="","",IF(LEFT(tblMovement[[#This Row],[Material]],3)="Ore",1,0))</f>
        <v/>
      </c>
      <c r="N4322" s="59">
        <f>IF(OR(tblMovement[[#This Row],[Tonnes_t]]="",tblMovement[[#This Row],[Grade_gpt]]=""),0,tblMovement[[#This Row],[Tonnes_t]]*tblMovement[[#This Row],[Grade_gpt]]/cfg_TroyOz)</f>
        <v/>
      </c>
      <c r="O4322" s="59">
        <f>IF(tblMovement[[#This Row],[Is_Ore]]=1,tblMovement[[#This Row],[Contained_oz]],0)</f>
        <v/>
      </c>
    </row>
    <row r="4323">
      <c r="A4323" s="54" t="n"/>
      <c r="B4323" s="61" t="n"/>
      <c r="C4323" s="61" t="n"/>
      <c r="D4323" s="61" t="n"/>
      <c r="E4323" s="61" t="n"/>
      <c r="F4323" s="55" t="n"/>
      <c r="G4323" s="56" t="n"/>
      <c r="H4323" s="55" t="n"/>
      <c r="I4323" s="62" t="n"/>
      <c r="J4323" s="58" t="n"/>
      <c r="K4323" s="63">
        <f>IF(tblMovement[[#This Row],[Source]]="","",IFERROR(INDEX(tblSources[Type],MATCH(tblMovement[[#This Row],[Source]],tblSources[Source],0)),"?"))</f>
        <v/>
      </c>
      <c r="L4323" s="63">
        <f>IF(tblMovement[[#This Row],[Destination]]="","",IFERROR(INDEX(tblDestinations[Type],MATCH(tblMovement[[#This Row],[Destination]],tblDestinations[Destination],0)),"?"))</f>
        <v/>
      </c>
      <c r="M4323" s="64">
        <f>IF(tblMovement[[#This Row],[Material]]="","",IF(LEFT(tblMovement[[#This Row],[Material]],3)="Ore",1,0))</f>
        <v/>
      </c>
      <c r="N4323" s="59">
        <f>IF(OR(tblMovement[[#This Row],[Tonnes_t]]="",tblMovement[[#This Row],[Grade_gpt]]=""),0,tblMovement[[#This Row],[Tonnes_t]]*tblMovement[[#This Row],[Grade_gpt]]/cfg_TroyOz)</f>
        <v/>
      </c>
      <c r="O4323" s="59">
        <f>IF(tblMovement[[#This Row],[Is_Ore]]=1,tblMovement[[#This Row],[Contained_oz]],0)</f>
        <v/>
      </c>
    </row>
    <row r="4324">
      <c r="A4324" s="54" t="n"/>
      <c r="B4324" s="61" t="n"/>
      <c r="C4324" s="61" t="n"/>
      <c r="D4324" s="61" t="n"/>
      <c r="E4324" s="61" t="n"/>
      <c r="F4324" s="55" t="n"/>
      <c r="G4324" s="56" t="n"/>
      <c r="H4324" s="55" t="n"/>
      <c r="I4324" s="62" t="n"/>
      <c r="J4324" s="58" t="n"/>
      <c r="K4324" s="63">
        <f>IF(tblMovement[[#This Row],[Source]]="","",IFERROR(INDEX(tblSources[Type],MATCH(tblMovement[[#This Row],[Source]],tblSources[Source],0)),"?"))</f>
        <v/>
      </c>
      <c r="L4324" s="63">
        <f>IF(tblMovement[[#This Row],[Destination]]="","",IFERROR(INDEX(tblDestinations[Type],MATCH(tblMovement[[#This Row],[Destination]],tblDestinations[Destination],0)),"?"))</f>
        <v/>
      </c>
      <c r="M4324" s="64">
        <f>IF(tblMovement[[#This Row],[Material]]="","",IF(LEFT(tblMovement[[#This Row],[Material]],3)="Ore",1,0))</f>
        <v/>
      </c>
      <c r="N4324" s="59">
        <f>IF(OR(tblMovement[[#This Row],[Tonnes_t]]="",tblMovement[[#This Row],[Grade_gpt]]=""),0,tblMovement[[#This Row],[Tonnes_t]]*tblMovement[[#This Row],[Grade_gpt]]/cfg_TroyOz)</f>
        <v/>
      </c>
      <c r="O4324" s="59">
        <f>IF(tblMovement[[#This Row],[Is_Ore]]=1,tblMovement[[#This Row],[Contained_oz]],0)</f>
        <v/>
      </c>
    </row>
    <row r="4325">
      <c r="A4325" s="54" t="n"/>
      <c r="B4325" s="61" t="n"/>
      <c r="C4325" s="61" t="n"/>
      <c r="D4325" s="61" t="n"/>
      <c r="E4325" s="61" t="n"/>
      <c r="F4325" s="55" t="n"/>
      <c r="G4325" s="56" t="n"/>
      <c r="H4325" s="55" t="n"/>
      <c r="I4325" s="62" t="n"/>
      <c r="J4325" s="58" t="n"/>
      <c r="K4325" s="63">
        <f>IF(tblMovement[[#This Row],[Source]]="","",IFERROR(INDEX(tblSources[Type],MATCH(tblMovement[[#This Row],[Source]],tblSources[Source],0)),"?"))</f>
        <v/>
      </c>
      <c r="L4325" s="63">
        <f>IF(tblMovement[[#This Row],[Destination]]="","",IFERROR(INDEX(tblDestinations[Type],MATCH(tblMovement[[#This Row],[Destination]],tblDestinations[Destination],0)),"?"))</f>
        <v/>
      </c>
      <c r="M4325" s="64">
        <f>IF(tblMovement[[#This Row],[Material]]="","",IF(LEFT(tblMovement[[#This Row],[Material]],3)="Ore",1,0))</f>
        <v/>
      </c>
      <c r="N4325" s="59">
        <f>IF(OR(tblMovement[[#This Row],[Tonnes_t]]="",tblMovement[[#This Row],[Grade_gpt]]=""),0,tblMovement[[#This Row],[Tonnes_t]]*tblMovement[[#This Row],[Grade_gpt]]/cfg_TroyOz)</f>
        <v/>
      </c>
      <c r="O4325" s="59">
        <f>IF(tblMovement[[#This Row],[Is_Ore]]=1,tblMovement[[#This Row],[Contained_oz]],0)</f>
        <v/>
      </c>
    </row>
    <row r="4326">
      <c r="A4326" s="54" t="n"/>
      <c r="B4326" s="61" t="n"/>
      <c r="C4326" s="61" t="n"/>
      <c r="D4326" s="61" t="n"/>
      <c r="E4326" s="61" t="n"/>
      <c r="F4326" s="55" t="n"/>
      <c r="G4326" s="56" t="n"/>
      <c r="H4326" s="55" t="n"/>
      <c r="I4326" s="62" t="n"/>
      <c r="J4326" s="58" t="n"/>
      <c r="K4326" s="63">
        <f>IF(tblMovement[[#This Row],[Source]]="","",IFERROR(INDEX(tblSources[Type],MATCH(tblMovement[[#This Row],[Source]],tblSources[Source],0)),"?"))</f>
        <v/>
      </c>
      <c r="L4326" s="63">
        <f>IF(tblMovement[[#This Row],[Destination]]="","",IFERROR(INDEX(tblDestinations[Type],MATCH(tblMovement[[#This Row],[Destination]],tblDestinations[Destination],0)),"?"))</f>
        <v/>
      </c>
      <c r="M4326" s="64">
        <f>IF(tblMovement[[#This Row],[Material]]="","",IF(LEFT(tblMovement[[#This Row],[Material]],3)="Ore",1,0))</f>
        <v/>
      </c>
      <c r="N4326" s="59">
        <f>IF(OR(tblMovement[[#This Row],[Tonnes_t]]="",tblMovement[[#This Row],[Grade_gpt]]=""),0,tblMovement[[#This Row],[Tonnes_t]]*tblMovement[[#This Row],[Grade_gpt]]/cfg_TroyOz)</f>
        <v/>
      </c>
      <c r="O4326" s="59">
        <f>IF(tblMovement[[#This Row],[Is_Ore]]=1,tblMovement[[#This Row],[Contained_oz]],0)</f>
        <v/>
      </c>
    </row>
    <row r="4327">
      <c r="A4327" s="54" t="n"/>
      <c r="B4327" s="61" t="n"/>
      <c r="C4327" s="61" t="n"/>
      <c r="D4327" s="61" t="n"/>
      <c r="E4327" s="61" t="n"/>
      <c r="F4327" s="55" t="n"/>
      <c r="G4327" s="56" t="n"/>
      <c r="H4327" s="55" t="n"/>
      <c r="I4327" s="62" t="n"/>
      <c r="J4327" s="58" t="n"/>
      <c r="K4327" s="63">
        <f>IF(tblMovement[[#This Row],[Source]]="","",IFERROR(INDEX(tblSources[Type],MATCH(tblMovement[[#This Row],[Source]],tblSources[Source],0)),"?"))</f>
        <v/>
      </c>
      <c r="L4327" s="63">
        <f>IF(tblMovement[[#This Row],[Destination]]="","",IFERROR(INDEX(tblDestinations[Type],MATCH(tblMovement[[#This Row],[Destination]],tblDestinations[Destination],0)),"?"))</f>
        <v/>
      </c>
      <c r="M4327" s="64">
        <f>IF(tblMovement[[#This Row],[Material]]="","",IF(LEFT(tblMovement[[#This Row],[Material]],3)="Ore",1,0))</f>
        <v/>
      </c>
      <c r="N4327" s="59">
        <f>IF(OR(tblMovement[[#This Row],[Tonnes_t]]="",tblMovement[[#This Row],[Grade_gpt]]=""),0,tblMovement[[#This Row],[Tonnes_t]]*tblMovement[[#This Row],[Grade_gpt]]/cfg_TroyOz)</f>
        <v/>
      </c>
      <c r="O4327" s="59">
        <f>IF(tblMovement[[#This Row],[Is_Ore]]=1,tblMovement[[#This Row],[Contained_oz]],0)</f>
        <v/>
      </c>
    </row>
    <row r="4328">
      <c r="A4328" s="54" t="n"/>
      <c r="B4328" s="61" t="n"/>
      <c r="C4328" s="61" t="n"/>
      <c r="D4328" s="61" t="n"/>
      <c r="E4328" s="61" t="n"/>
      <c r="F4328" s="55" t="n"/>
      <c r="G4328" s="56" t="n"/>
      <c r="H4328" s="55" t="n"/>
      <c r="I4328" s="62" t="n"/>
      <c r="J4328" s="58" t="n"/>
      <c r="K4328" s="63">
        <f>IF(tblMovement[[#This Row],[Source]]="","",IFERROR(INDEX(tblSources[Type],MATCH(tblMovement[[#This Row],[Source]],tblSources[Source],0)),"?"))</f>
        <v/>
      </c>
      <c r="L4328" s="63">
        <f>IF(tblMovement[[#This Row],[Destination]]="","",IFERROR(INDEX(tblDestinations[Type],MATCH(tblMovement[[#This Row],[Destination]],tblDestinations[Destination],0)),"?"))</f>
        <v/>
      </c>
      <c r="M4328" s="64">
        <f>IF(tblMovement[[#This Row],[Material]]="","",IF(LEFT(tblMovement[[#This Row],[Material]],3)="Ore",1,0))</f>
        <v/>
      </c>
      <c r="N4328" s="59">
        <f>IF(OR(tblMovement[[#This Row],[Tonnes_t]]="",tblMovement[[#This Row],[Grade_gpt]]=""),0,tblMovement[[#This Row],[Tonnes_t]]*tblMovement[[#This Row],[Grade_gpt]]/cfg_TroyOz)</f>
        <v/>
      </c>
      <c r="O4328" s="59">
        <f>IF(tblMovement[[#This Row],[Is_Ore]]=1,tblMovement[[#This Row],[Contained_oz]],0)</f>
        <v/>
      </c>
    </row>
    <row r="4329">
      <c r="A4329" s="54" t="n"/>
      <c r="B4329" s="61" t="n"/>
      <c r="C4329" s="61" t="n"/>
      <c r="D4329" s="61" t="n"/>
      <c r="E4329" s="61" t="n"/>
      <c r="F4329" s="55" t="n"/>
      <c r="G4329" s="56" t="n"/>
      <c r="H4329" s="55" t="n"/>
      <c r="I4329" s="62" t="n"/>
      <c r="J4329" s="58" t="n"/>
      <c r="K4329" s="63">
        <f>IF(tblMovement[[#This Row],[Source]]="","",IFERROR(INDEX(tblSources[Type],MATCH(tblMovement[[#This Row],[Source]],tblSources[Source],0)),"?"))</f>
        <v/>
      </c>
      <c r="L4329" s="63">
        <f>IF(tblMovement[[#This Row],[Destination]]="","",IFERROR(INDEX(tblDestinations[Type],MATCH(tblMovement[[#This Row],[Destination]],tblDestinations[Destination],0)),"?"))</f>
        <v/>
      </c>
      <c r="M4329" s="64">
        <f>IF(tblMovement[[#This Row],[Material]]="","",IF(LEFT(tblMovement[[#This Row],[Material]],3)="Ore",1,0))</f>
        <v/>
      </c>
      <c r="N4329" s="59">
        <f>IF(OR(tblMovement[[#This Row],[Tonnes_t]]="",tblMovement[[#This Row],[Grade_gpt]]=""),0,tblMovement[[#This Row],[Tonnes_t]]*tblMovement[[#This Row],[Grade_gpt]]/cfg_TroyOz)</f>
        <v/>
      </c>
      <c r="O4329" s="59">
        <f>IF(tblMovement[[#This Row],[Is_Ore]]=1,tblMovement[[#This Row],[Contained_oz]],0)</f>
        <v/>
      </c>
    </row>
    <row r="4330">
      <c r="A4330" s="54" t="n"/>
      <c r="B4330" s="61" t="n"/>
      <c r="C4330" s="61" t="n"/>
      <c r="D4330" s="61" t="n"/>
      <c r="E4330" s="61" t="n"/>
      <c r="F4330" s="55" t="n"/>
      <c r="G4330" s="56" t="n"/>
      <c r="H4330" s="55" t="n"/>
      <c r="I4330" s="62" t="n"/>
      <c r="J4330" s="58" t="n"/>
      <c r="K4330" s="63">
        <f>IF(tblMovement[[#This Row],[Source]]="","",IFERROR(INDEX(tblSources[Type],MATCH(tblMovement[[#This Row],[Source]],tblSources[Source],0)),"?"))</f>
        <v/>
      </c>
      <c r="L4330" s="63">
        <f>IF(tblMovement[[#This Row],[Destination]]="","",IFERROR(INDEX(tblDestinations[Type],MATCH(tblMovement[[#This Row],[Destination]],tblDestinations[Destination],0)),"?"))</f>
        <v/>
      </c>
      <c r="M4330" s="64">
        <f>IF(tblMovement[[#This Row],[Material]]="","",IF(LEFT(tblMovement[[#This Row],[Material]],3)="Ore",1,0))</f>
        <v/>
      </c>
      <c r="N4330" s="59">
        <f>IF(OR(tblMovement[[#This Row],[Tonnes_t]]="",tblMovement[[#This Row],[Grade_gpt]]=""),0,tblMovement[[#This Row],[Tonnes_t]]*tblMovement[[#This Row],[Grade_gpt]]/cfg_TroyOz)</f>
        <v/>
      </c>
      <c r="O4330" s="59">
        <f>IF(tblMovement[[#This Row],[Is_Ore]]=1,tblMovement[[#This Row],[Contained_oz]],0)</f>
        <v/>
      </c>
    </row>
    <row r="4331">
      <c r="A4331" s="54" t="n"/>
      <c r="B4331" s="61" t="n"/>
      <c r="C4331" s="61" t="n"/>
      <c r="D4331" s="61" t="n"/>
      <c r="E4331" s="61" t="n"/>
      <c r="F4331" s="55" t="n"/>
      <c r="G4331" s="56" t="n"/>
      <c r="H4331" s="55" t="n"/>
      <c r="I4331" s="62" t="n"/>
      <c r="J4331" s="58" t="n"/>
      <c r="K4331" s="63">
        <f>IF(tblMovement[[#This Row],[Source]]="","",IFERROR(INDEX(tblSources[Type],MATCH(tblMovement[[#This Row],[Source]],tblSources[Source],0)),"?"))</f>
        <v/>
      </c>
      <c r="L4331" s="63">
        <f>IF(tblMovement[[#This Row],[Destination]]="","",IFERROR(INDEX(tblDestinations[Type],MATCH(tblMovement[[#This Row],[Destination]],tblDestinations[Destination],0)),"?"))</f>
        <v/>
      </c>
      <c r="M4331" s="64">
        <f>IF(tblMovement[[#This Row],[Material]]="","",IF(LEFT(tblMovement[[#This Row],[Material]],3)="Ore",1,0))</f>
        <v/>
      </c>
      <c r="N4331" s="59">
        <f>IF(OR(tblMovement[[#This Row],[Tonnes_t]]="",tblMovement[[#This Row],[Grade_gpt]]=""),0,tblMovement[[#This Row],[Tonnes_t]]*tblMovement[[#This Row],[Grade_gpt]]/cfg_TroyOz)</f>
        <v/>
      </c>
      <c r="O4331" s="59">
        <f>IF(tblMovement[[#This Row],[Is_Ore]]=1,tblMovement[[#This Row],[Contained_oz]],0)</f>
        <v/>
      </c>
    </row>
    <row r="4332">
      <c r="A4332" s="54" t="n"/>
      <c r="B4332" s="61" t="n"/>
      <c r="C4332" s="61" t="n"/>
      <c r="D4332" s="61" t="n"/>
      <c r="E4332" s="61" t="n"/>
      <c r="F4332" s="55" t="n"/>
      <c r="G4332" s="56" t="n"/>
      <c r="H4332" s="55" t="n"/>
      <c r="I4332" s="62" t="n"/>
      <c r="J4332" s="58" t="n"/>
      <c r="K4332" s="63">
        <f>IF(tblMovement[[#This Row],[Source]]="","",IFERROR(INDEX(tblSources[Type],MATCH(tblMovement[[#This Row],[Source]],tblSources[Source],0)),"?"))</f>
        <v/>
      </c>
      <c r="L4332" s="63">
        <f>IF(tblMovement[[#This Row],[Destination]]="","",IFERROR(INDEX(tblDestinations[Type],MATCH(tblMovement[[#This Row],[Destination]],tblDestinations[Destination],0)),"?"))</f>
        <v/>
      </c>
      <c r="M4332" s="64">
        <f>IF(tblMovement[[#This Row],[Material]]="","",IF(LEFT(tblMovement[[#This Row],[Material]],3)="Ore",1,0))</f>
        <v/>
      </c>
      <c r="N4332" s="59">
        <f>IF(OR(tblMovement[[#This Row],[Tonnes_t]]="",tblMovement[[#This Row],[Grade_gpt]]=""),0,tblMovement[[#This Row],[Tonnes_t]]*tblMovement[[#This Row],[Grade_gpt]]/cfg_TroyOz)</f>
        <v/>
      </c>
      <c r="O4332" s="59">
        <f>IF(tblMovement[[#This Row],[Is_Ore]]=1,tblMovement[[#This Row],[Contained_oz]],0)</f>
        <v/>
      </c>
    </row>
    <row r="4333">
      <c r="A4333" s="54" t="n"/>
      <c r="B4333" s="61" t="n"/>
      <c r="C4333" s="61" t="n"/>
      <c r="D4333" s="61" t="n"/>
      <c r="E4333" s="61" t="n"/>
      <c r="F4333" s="55" t="n"/>
      <c r="G4333" s="56" t="n"/>
      <c r="H4333" s="55" t="n"/>
      <c r="I4333" s="62" t="n"/>
      <c r="J4333" s="58" t="n"/>
      <c r="K4333" s="63">
        <f>IF(tblMovement[[#This Row],[Source]]="","",IFERROR(INDEX(tblSources[Type],MATCH(tblMovement[[#This Row],[Source]],tblSources[Source],0)),"?"))</f>
        <v/>
      </c>
      <c r="L4333" s="63">
        <f>IF(tblMovement[[#This Row],[Destination]]="","",IFERROR(INDEX(tblDestinations[Type],MATCH(tblMovement[[#This Row],[Destination]],tblDestinations[Destination],0)),"?"))</f>
        <v/>
      </c>
      <c r="M4333" s="64">
        <f>IF(tblMovement[[#This Row],[Material]]="","",IF(LEFT(tblMovement[[#This Row],[Material]],3)="Ore",1,0))</f>
        <v/>
      </c>
      <c r="N4333" s="59">
        <f>IF(OR(tblMovement[[#This Row],[Tonnes_t]]="",tblMovement[[#This Row],[Grade_gpt]]=""),0,tblMovement[[#This Row],[Tonnes_t]]*tblMovement[[#This Row],[Grade_gpt]]/cfg_TroyOz)</f>
        <v/>
      </c>
      <c r="O4333" s="59">
        <f>IF(tblMovement[[#This Row],[Is_Ore]]=1,tblMovement[[#This Row],[Contained_oz]],0)</f>
        <v/>
      </c>
    </row>
    <row r="4334">
      <c r="A4334" s="54" t="n"/>
      <c r="B4334" s="61" t="n"/>
      <c r="C4334" s="61" t="n"/>
      <c r="D4334" s="61" t="n"/>
      <c r="E4334" s="61" t="n"/>
      <c r="F4334" s="55" t="n"/>
      <c r="G4334" s="56" t="n"/>
      <c r="H4334" s="55" t="n"/>
      <c r="I4334" s="62" t="n"/>
      <c r="J4334" s="58" t="n"/>
      <c r="K4334" s="63">
        <f>IF(tblMovement[[#This Row],[Source]]="","",IFERROR(INDEX(tblSources[Type],MATCH(tblMovement[[#This Row],[Source]],tblSources[Source],0)),"?"))</f>
        <v/>
      </c>
      <c r="L4334" s="63">
        <f>IF(tblMovement[[#This Row],[Destination]]="","",IFERROR(INDEX(tblDestinations[Type],MATCH(tblMovement[[#This Row],[Destination]],tblDestinations[Destination],0)),"?"))</f>
        <v/>
      </c>
      <c r="M4334" s="64">
        <f>IF(tblMovement[[#This Row],[Material]]="","",IF(LEFT(tblMovement[[#This Row],[Material]],3)="Ore",1,0))</f>
        <v/>
      </c>
      <c r="N4334" s="59">
        <f>IF(OR(tblMovement[[#This Row],[Tonnes_t]]="",tblMovement[[#This Row],[Grade_gpt]]=""),0,tblMovement[[#This Row],[Tonnes_t]]*tblMovement[[#This Row],[Grade_gpt]]/cfg_TroyOz)</f>
        <v/>
      </c>
      <c r="O4334" s="59">
        <f>IF(tblMovement[[#This Row],[Is_Ore]]=1,tblMovement[[#This Row],[Contained_oz]],0)</f>
        <v/>
      </c>
    </row>
    <row r="4335">
      <c r="A4335" s="54" t="n"/>
      <c r="B4335" s="61" t="n"/>
      <c r="C4335" s="61" t="n"/>
      <c r="D4335" s="61" t="n"/>
      <c r="E4335" s="61" t="n"/>
      <c r="F4335" s="55" t="n"/>
      <c r="G4335" s="56" t="n"/>
      <c r="H4335" s="55" t="n"/>
      <c r="I4335" s="62" t="n"/>
      <c r="J4335" s="58" t="n"/>
      <c r="K4335" s="63">
        <f>IF(tblMovement[[#This Row],[Source]]="","",IFERROR(INDEX(tblSources[Type],MATCH(tblMovement[[#This Row],[Source]],tblSources[Source],0)),"?"))</f>
        <v/>
      </c>
      <c r="L4335" s="63">
        <f>IF(tblMovement[[#This Row],[Destination]]="","",IFERROR(INDEX(tblDestinations[Type],MATCH(tblMovement[[#This Row],[Destination]],tblDestinations[Destination],0)),"?"))</f>
        <v/>
      </c>
      <c r="M4335" s="64">
        <f>IF(tblMovement[[#This Row],[Material]]="","",IF(LEFT(tblMovement[[#This Row],[Material]],3)="Ore",1,0))</f>
        <v/>
      </c>
      <c r="N4335" s="59">
        <f>IF(OR(tblMovement[[#This Row],[Tonnes_t]]="",tblMovement[[#This Row],[Grade_gpt]]=""),0,tblMovement[[#This Row],[Tonnes_t]]*tblMovement[[#This Row],[Grade_gpt]]/cfg_TroyOz)</f>
        <v/>
      </c>
      <c r="O4335" s="59">
        <f>IF(tblMovement[[#This Row],[Is_Ore]]=1,tblMovement[[#This Row],[Contained_oz]],0)</f>
        <v/>
      </c>
    </row>
    <row r="4336">
      <c r="A4336" s="54" t="n"/>
      <c r="B4336" s="61" t="n"/>
      <c r="C4336" s="61" t="n"/>
      <c r="D4336" s="61" t="n"/>
      <c r="E4336" s="61" t="n"/>
      <c r="F4336" s="55" t="n"/>
      <c r="G4336" s="56" t="n"/>
      <c r="H4336" s="55" t="n"/>
      <c r="I4336" s="62" t="n"/>
      <c r="J4336" s="58" t="n"/>
      <c r="K4336" s="63">
        <f>IF(tblMovement[[#This Row],[Source]]="","",IFERROR(INDEX(tblSources[Type],MATCH(tblMovement[[#This Row],[Source]],tblSources[Source],0)),"?"))</f>
        <v/>
      </c>
      <c r="L4336" s="63">
        <f>IF(tblMovement[[#This Row],[Destination]]="","",IFERROR(INDEX(tblDestinations[Type],MATCH(tblMovement[[#This Row],[Destination]],tblDestinations[Destination],0)),"?"))</f>
        <v/>
      </c>
      <c r="M4336" s="64">
        <f>IF(tblMovement[[#This Row],[Material]]="","",IF(LEFT(tblMovement[[#This Row],[Material]],3)="Ore",1,0))</f>
        <v/>
      </c>
      <c r="N4336" s="59">
        <f>IF(OR(tblMovement[[#This Row],[Tonnes_t]]="",tblMovement[[#This Row],[Grade_gpt]]=""),0,tblMovement[[#This Row],[Tonnes_t]]*tblMovement[[#This Row],[Grade_gpt]]/cfg_TroyOz)</f>
        <v/>
      </c>
      <c r="O4336" s="59">
        <f>IF(tblMovement[[#This Row],[Is_Ore]]=1,tblMovement[[#This Row],[Contained_oz]],0)</f>
        <v/>
      </c>
    </row>
    <row r="4337">
      <c r="A4337" s="54" t="n"/>
      <c r="B4337" s="61" t="n"/>
      <c r="C4337" s="61" t="n"/>
      <c r="D4337" s="61" t="n"/>
      <c r="E4337" s="61" t="n"/>
      <c r="F4337" s="55" t="n"/>
      <c r="G4337" s="56" t="n"/>
      <c r="H4337" s="55" t="n"/>
      <c r="I4337" s="62" t="n"/>
      <c r="J4337" s="58" t="n"/>
      <c r="K4337" s="63">
        <f>IF(tblMovement[[#This Row],[Source]]="","",IFERROR(INDEX(tblSources[Type],MATCH(tblMovement[[#This Row],[Source]],tblSources[Source],0)),"?"))</f>
        <v/>
      </c>
      <c r="L4337" s="63">
        <f>IF(tblMovement[[#This Row],[Destination]]="","",IFERROR(INDEX(tblDestinations[Type],MATCH(tblMovement[[#This Row],[Destination]],tblDestinations[Destination],0)),"?"))</f>
        <v/>
      </c>
      <c r="M4337" s="64">
        <f>IF(tblMovement[[#This Row],[Material]]="","",IF(LEFT(tblMovement[[#This Row],[Material]],3)="Ore",1,0))</f>
        <v/>
      </c>
      <c r="N4337" s="59">
        <f>IF(OR(tblMovement[[#This Row],[Tonnes_t]]="",tblMovement[[#This Row],[Grade_gpt]]=""),0,tblMovement[[#This Row],[Tonnes_t]]*tblMovement[[#This Row],[Grade_gpt]]/cfg_TroyOz)</f>
        <v/>
      </c>
      <c r="O4337" s="59">
        <f>IF(tblMovement[[#This Row],[Is_Ore]]=1,tblMovement[[#This Row],[Contained_oz]],0)</f>
        <v/>
      </c>
    </row>
    <row r="4338">
      <c r="A4338" s="54" t="n"/>
      <c r="B4338" s="61" t="n"/>
      <c r="C4338" s="61" t="n"/>
      <c r="D4338" s="61" t="n"/>
      <c r="E4338" s="61" t="n"/>
      <c r="F4338" s="55" t="n"/>
      <c r="G4338" s="56" t="n"/>
      <c r="H4338" s="55" t="n"/>
      <c r="I4338" s="62" t="n"/>
      <c r="J4338" s="58" t="n"/>
      <c r="K4338" s="63">
        <f>IF(tblMovement[[#This Row],[Source]]="","",IFERROR(INDEX(tblSources[Type],MATCH(tblMovement[[#This Row],[Source]],tblSources[Source],0)),"?"))</f>
        <v/>
      </c>
      <c r="L4338" s="63">
        <f>IF(tblMovement[[#This Row],[Destination]]="","",IFERROR(INDEX(tblDestinations[Type],MATCH(tblMovement[[#This Row],[Destination]],tblDestinations[Destination],0)),"?"))</f>
        <v/>
      </c>
      <c r="M4338" s="64">
        <f>IF(tblMovement[[#This Row],[Material]]="","",IF(LEFT(tblMovement[[#This Row],[Material]],3)="Ore",1,0))</f>
        <v/>
      </c>
      <c r="N4338" s="59">
        <f>IF(OR(tblMovement[[#This Row],[Tonnes_t]]="",tblMovement[[#This Row],[Grade_gpt]]=""),0,tblMovement[[#This Row],[Tonnes_t]]*tblMovement[[#This Row],[Grade_gpt]]/cfg_TroyOz)</f>
        <v/>
      </c>
      <c r="O4338" s="59">
        <f>IF(tblMovement[[#This Row],[Is_Ore]]=1,tblMovement[[#This Row],[Contained_oz]],0)</f>
        <v/>
      </c>
    </row>
    <row r="4339">
      <c r="A4339" s="54" t="n"/>
      <c r="B4339" s="61" t="n"/>
      <c r="C4339" s="61" t="n"/>
      <c r="D4339" s="61" t="n"/>
      <c r="E4339" s="61" t="n"/>
      <c r="F4339" s="55" t="n"/>
      <c r="G4339" s="56" t="n"/>
      <c r="H4339" s="55" t="n"/>
      <c r="I4339" s="62" t="n"/>
      <c r="J4339" s="58" t="n"/>
      <c r="K4339" s="63">
        <f>IF(tblMovement[[#This Row],[Source]]="","",IFERROR(INDEX(tblSources[Type],MATCH(tblMovement[[#This Row],[Source]],tblSources[Source],0)),"?"))</f>
        <v/>
      </c>
      <c r="L4339" s="63">
        <f>IF(tblMovement[[#This Row],[Destination]]="","",IFERROR(INDEX(tblDestinations[Type],MATCH(tblMovement[[#This Row],[Destination]],tblDestinations[Destination],0)),"?"))</f>
        <v/>
      </c>
      <c r="M4339" s="64">
        <f>IF(tblMovement[[#This Row],[Material]]="","",IF(LEFT(tblMovement[[#This Row],[Material]],3)="Ore",1,0))</f>
        <v/>
      </c>
      <c r="N4339" s="59">
        <f>IF(OR(tblMovement[[#This Row],[Tonnes_t]]="",tblMovement[[#This Row],[Grade_gpt]]=""),0,tblMovement[[#This Row],[Tonnes_t]]*tblMovement[[#This Row],[Grade_gpt]]/cfg_TroyOz)</f>
        <v/>
      </c>
      <c r="O4339" s="59">
        <f>IF(tblMovement[[#This Row],[Is_Ore]]=1,tblMovement[[#This Row],[Contained_oz]],0)</f>
        <v/>
      </c>
    </row>
    <row r="4340">
      <c r="A4340" s="54" t="n"/>
      <c r="B4340" s="61" t="n"/>
      <c r="C4340" s="61" t="n"/>
      <c r="D4340" s="61" t="n"/>
      <c r="E4340" s="61" t="n"/>
      <c r="F4340" s="55" t="n"/>
      <c r="G4340" s="56" t="n"/>
      <c r="H4340" s="55" t="n"/>
      <c r="I4340" s="62" t="n"/>
      <c r="J4340" s="58" t="n"/>
      <c r="K4340" s="63">
        <f>IF(tblMovement[[#This Row],[Source]]="","",IFERROR(INDEX(tblSources[Type],MATCH(tblMovement[[#This Row],[Source]],tblSources[Source],0)),"?"))</f>
        <v/>
      </c>
      <c r="L4340" s="63">
        <f>IF(tblMovement[[#This Row],[Destination]]="","",IFERROR(INDEX(tblDestinations[Type],MATCH(tblMovement[[#This Row],[Destination]],tblDestinations[Destination],0)),"?"))</f>
        <v/>
      </c>
      <c r="M4340" s="64">
        <f>IF(tblMovement[[#This Row],[Material]]="","",IF(LEFT(tblMovement[[#This Row],[Material]],3)="Ore",1,0))</f>
        <v/>
      </c>
      <c r="N4340" s="59">
        <f>IF(OR(tblMovement[[#This Row],[Tonnes_t]]="",tblMovement[[#This Row],[Grade_gpt]]=""),0,tblMovement[[#This Row],[Tonnes_t]]*tblMovement[[#This Row],[Grade_gpt]]/cfg_TroyOz)</f>
        <v/>
      </c>
      <c r="O4340" s="59">
        <f>IF(tblMovement[[#This Row],[Is_Ore]]=1,tblMovement[[#This Row],[Contained_oz]],0)</f>
        <v/>
      </c>
    </row>
    <row r="4341">
      <c r="A4341" s="54" t="n"/>
      <c r="B4341" s="61" t="n"/>
      <c r="C4341" s="61" t="n"/>
      <c r="D4341" s="61" t="n"/>
      <c r="E4341" s="61" t="n"/>
      <c r="F4341" s="55" t="n"/>
      <c r="G4341" s="56" t="n"/>
      <c r="H4341" s="55" t="n"/>
      <c r="I4341" s="62" t="n"/>
      <c r="J4341" s="58" t="n"/>
      <c r="K4341" s="63">
        <f>IF(tblMovement[[#This Row],[Source]]="","",IFERROR(INDEX(tblSources[Type],MATCH(tblMovement[[#This Row],[Source]],tblSources[Source],0)),"?"))</f>
        <v/>
      </c>
      <c r="L4341" s="63">
        <f>IF(tblMovement[[#This Row],[Destination]]="","",IFERROR(INDEX(tblDestinations[Type],MATCH(tblMovement[[#This Row],[Destination]],tblDestinations[Destination],0)),"?"))</f>
        <v/>
      </c>
      <c r="M4341" s="64">
        <f>IF(tblMovement[[#This Row],[Material]]="","",IF(LEFT(tblMovement[[#This Row],[Material]],3)="Ore",1,0))</f>
        <v/>
      </c>
      <c r="N4341" s="59">
        <f>IF(OR(tblMovement[[#This Row],[Tonnes_t]]="",tblMovement[[#This Row],[Grade_gpt]]=""),0,tblMovement[[#This Row],[Tonnes_t]]*tblMovement[[#This Row],[Grade_gpt]]/cfg_TroyOz)</f>
        <v/>
      </c>
      <c r="O4341" s="59">
        <f>IF(tblMovement[[#This Row],[Is_Ore]]=1,tblMovement[[#This Row],[Contained_oz]],0)</f>
        <v/>
      </c>
    </row>
    <row r="4342">
      <c r="A4342" s="54" t="n"/>
      <c r="B4342" s="61" t="n"/>
      <c r="C4342" s="61" t="n"/>
      <c r="D4342" s="61" t="n"/>
      <c r="E4342" s="61" t="n"/>
      <c r="F4342" s="55" t="n"/>
      <c r="G4342" s="56" t="n"/>
      <c r="H4342" s="55" t="n"/>
      <c r="I4342" s="62" t="n"/>
      <c r="J4342" s="58" t="n"/>
      <c r="K4342" s="63">
        <f>IF(tblMovement[[#This Row],[Source]]="","",IFERROR(INDEX(tblSources[Type],MATCH(tblMovement[[#This Row],[Source]],tblSources[Source],0)),"?"))</f>
        <v/>
      </c>
      <c r="L4342" s="63">
        <f>IF(tblMovement[[#This Row],[Destination]]="","",IFERROR(INDEX(tblDestinations[Type],MATCH(tblMovement[[#This Row],[Destination]],tblDestinations[Destination],0)),"?"))</f>
        <v/>
      </c>
      <c r="M4342" s="64">
        <f>IF(tblMovement[[#This Row],[Material]]="","",IF(LEFT(tblMovement[[#This Row],[Material]],3)="Ore",1,0))</f>
        <v/>
      </c>
      <c r="N4342" s="59">
        <f>IF(OR(tblMovement[[#This Row],[Tonnes_t]]="",tblMovement[[#This Row],[Grade_gpt]]=""),0,tblMovement[[#This Row],[Tonnes_t]]*tblMovement[[#This Row],[Grade_gpt]]/cfg_TroyOz)</f>
        <v/>
      </c>
      <c r="O4342" s="59">
        <f>IF(tblMovement[[#This Row],[Is_Ore]]=1,tblMovement[[#This Row],[Contained_oz]],0)</f>
        <v/>
      </c>
    </row>
    <row r="4343">
      <c r="A4343" s="54" t="n"/>
      <c r="B4343" s="61" t="n"/>
      <c r="C4343" s="61" t="n"/>
      <c r="D4343" s="61" t="n"/>
      <c r="E4343" s="61" t="n"/>
      <c r="F4343" s="55" t="n"/>
      <c r="G4343" s="56" t="n"/>
      <c r="H4343" s="55" t="n"/>
      <c r="I4343" s="62" t="n"/>
      <c r="J4343" s="58" t="n"/>
      <c r="K4343" s="63">
        <f>IF(tblMovement[[#This Row],[Source]]="","",IFERROR(INDEX(tblSources[Type],MATCH(tblMovement[[#This Row],[Source]],tblSources[Source],0)),"?"))</f>
        <v/>
      </c>
      <c r="L4343" s="63">
        <f>IF(tblMovement[[#This Row],[Destination]]="","",IFERROR(INDEX(tblDestinations[Type],MATCH(tblMovement[[#This Row],[Destination]],tblDestinations[Destination],0)),"?"))</f>
        <v/>
      </c>
      <c r="M4343" s="64">
        <f>IF(tblMovement[[#This Row],[Material]]="","",IF(LEFT(tblMovement[[#This Row],[Material]],3)="Ore",1,0))</f>
        <v/>
      </c>
      <c r="N4343" s="59">
        <f>IF(OR(tblMovement[[#This Row],[Tonnes_t]]="",tblMovement[[#This Row],[Grade_gpt]]=""),0,tblMovement[[#This Row],[Tonnes_t]]*tblMovement[[#This Row],[Grade_gpt]]/cfg_TroyOz)</f>
        <v/>
      </c>
      <c r="O4343" s="59">
        <f>IF(tblMovement[[#This Row],[Is_Ore]]=1,tblMovement[[#This Row],[Contained_oz]],0)</f>
        <v/>
      </c>
    </row>
    <row r="4344">
      <c r="A4344" s="54" t="n"/>
      <c r="B4344" s="61" t="n"/>
      <c r="C4344" s="61" t="n"/>
      <c r="D4344" s="61" t="n"/>
      <c r="E4344" s="61" t="n"/>
      <c r="F4344" s="55" t="n"/>
      <c r="G4344" s="56" t="n"/>
      <c r="H4344" s="55" t="n"/>
      <c r="I4344" s="62" t="n"/>
      <c r="J4344" s="58" t="n"/>
      <c r="K4344" s="63">
        <f>IF(tblMovement[[#This Row],[Source]]="","",IFERROR(INDEX(tblSources[Type],MATCH(tblMovement[[#This Row],[Source]],tblSources[Source],0)),"?"))</f>
        <v/>
      </c>
      <c r="L4344" s="63">
        <f>IF(tblMovement[[#This Row],[Destination]]="","",IFERROR(INDEX(tblDestinations[Type],MATCH(tblMovement[[#This Row],[Destination]],tblDestinations[Destination],0)),"?"))</f>
        <v/>
      </c>
      <c r="M4344" s="64">
        <f>IF(tblMovement[[#This Row],[Material]]="","",IF(LEFT(tblMovement[[#This Row],[Material]],3)="Ore",1,0))</f>
        <v/>
      </c>
      <c r="N4344" s="59">
        <f>IF(OR(tblMovement[[#This Row],[Tonnes_t]]="",tblMovement[[#This Row],[Grade_gpt]]=""),0,tblMovement[[#This Row],[Tonnes_t]]*tblMovement[[#This Row],[Grade_gpt]]/cfg_TroyOz)</f>
        <v/>
      </c>
      <c r="O4344" s="59">
        <f>IF(tblMovement[[#This Row],[Is_Ore]]=1,tblMovement[[#This Row],[Contained_oz]],0)</f>
        <v/>
      </c>
    </row>
    <row r="4345">
      <c r="A4345" s="54" t="n"/>
      <c r="B4345" s="61" t="n"/>
      <c r="C4345" s="61" t="n"/>
      <c r="D4345" s="61" t="n"/>
      <c r="E4345" s="61" t="n"/>
      <c r="F4345" s="55" t="n"/>
      <c r="G4345" s="56" t="n"/>
      <c r="H4345" s="55" t="n"/>
      <c r="I4345" s="62" t="n"/>
      <c r="J4345" s="58" t="n"/>
      <c r="K4345" s="63">
        <f>IF(tblMovement[[#This Row],[Source]]="","",IFERROR(INDEX(tblSources[Type],MATCH(tblMovement[[#This Row],[Source]],tblSources[Source],0)),"?"))</f>
        <v/>
      </c>
      <c r="L4345" s="63">
        <f>IF(tblMovement[[#This Row],[Destination]]="","",IFERROR(INDEX(tblDestinations[Type],MATCH(tblMovement[[#This Row],[Destination]],tblDestinations[Destination],0)),"?"))</f>
        <v/>
      </c>
      <c r="M4345" s="64">
        <f>IF(tblMovement[[#This Row],[Material]]="","",IF(LEFT(tblMovement[[#This Row],[Material]],3)="Ore",1,0))</f>
        <v/>
      </c>
      <c r="N4345" s="59">
        <f>IF(OR(tblMovement[[#This Row],[Tonnes_t]]="",tblMovement[[#This Row],[Grade_gpt]]=""),0,tblMovement[[#This Row],[Tonnes_t]]*tblMovement[[#This Row],[Grade_gpt]]/cfg_TroyOz)</f>
        <v/>
      </c>
      <c r="O4345" s="59">
        <f>IF(tblMovement[[#This Row],[Is_Ore]]=1,tblMovement[[#This Row],[Contained_oz]],0)</f>
        <v/>
      </c>
    </row>
    <row r="4346">
      <c r="A4346" s="54" t="n"/>
      <c r="B4346" s="61" t="n"/>
      <c r="C4346" s="61" t="n"/>
      <c r="D4346" s="61" t="n"/>
      <c r="E4346" s="61" t="n"/>
      <c r="F4346" s="55" t="n"/>
      <c r="G4346" s="56" t="n"/>
      <c r="H4346" s="55" t="n"/>
      <c r="I4346" s="62" t="n"/>
      <c r="J4346" s="58" t="n"/>
      <c r="K4346" s="63">
        <f>IF(tblMovement[[#This Row],[Source]]="","",IFERROR(INDEX(tblSources[Type],MATCH(tblMovement[[#This Row],[Source]],tblSources[Source],0)),"?"))</f>
        <v/>
      </c>
      <c r="L4346" s="63">
        <f>IF(tblMovement[[#This Row],[Destination]]="","",IFERROR(INDEX(tblDestinations[Type],MATCH(tblMovement[[#This Row],[Destination]],tblDestinations[Destination],0)),"?"))</f>
        <v/>
      </c>
      <c r="M4346" s="64">
        <f>IF(tblMovement[[#This Row],[Material]]="","",IF(LEFT(tblMovement[[#This Row],[Material]],3)="Ore",1,0))</f>
        <v/>
      </c>
      <c r="N4346" s="59">
        <f>IF(OR(tblMovement[[#This Row],[Tonnes_t]]="",tblMovement[[#This Row],[Grade_gpt]]=""),0,tblMovement[[#This Row],[Tonnes_t]]*tblMovement[[#This Row],[Grade_gpt]]/cfg_TroyOz)</f>
        <v/>
      </c>
      <c r="O4346" s="59">
        <f>IF(tblMovement[[#This Row],[Is_Ore]]=1,tblMovement[[#This Row],[Contained_oz]],0)</f>
        <v/>
      </c>
    </row>
    <row r="4347">
      <c r="A4347" s="54" t="n"/>
      <c r="B4347" s="61" t="n"/>
      <c r="C4347" s="61" t="n"/>
      <c r="D4347" s="61" t="n"/>
      <c r="E4347" s="61" t="n"/>
      <c r="F4347" s="55" t="n"/>
      <c r="G4347" s="56" t="n"/>
      <c r="H4347" s="55" t="n"/>
      <c r="I4347" s="62" t="n"/>
      <c r="J4347" s="58" t="n"/>
      <c r="K4347" s="63">
        <f>IF(tblMovement[[#This Row],[Source]]="","",IFERROR(INDEX(tblSources[Type],MATCH(tblMovement[[#This Row],[Source]],tblSources[Source],0)),"?"))</f>
        <v/>
      </c>
      <c r="L4347" s="63">
        <f>IF(tblMovement[[#This Row],[Destination]]="","",IFERROR(INDEX(tblDestinations[Type],MATCH(tblMovement[[#This Row],[Destination]],tblDestinations[Destination],0)),"?"))</f>
        <v/>
      </c>
      <c r="M4347" s="64">
        <f>IF(tblMovement[[#This Row],[Material]]="","",IF(LEFT(tblMovement[[#This Row],[Material]],3)="Ore",1,0))</f>
        <v/>
      </c>
      <c r="N4347" s="59">
        <f>IF(OR(tblMovement[[#This Row],[Tonnes_t]]="",tblMovement[[#This Row],[Grade_gpt]]=""),0,tblMovement[[#This Row],[Tonnes_t]]*tblMovement[[#This Row],[Grade_gpt]]/cfg_TroyOz)</f>
        <v/>
      </c>
      <c r="O4347" s="59">
        <f>IF(tblMovement[[#This Row],[Is_Ore]]=1,tblMovement[[#This Row],[Contained_oz]],0)</f>
        <v/>
      </c>
    </row>
    <row r="4348">
      <c r="A4348" s="54" t="n"/>
      <c r="B4348" s="61" t="n"/>
      <c r="C4348" s="61" t="n"/>
      <c r="D4348" s="61" t="n"/>
      <c r="E4348" s="61" t="n"/>
      <c r="F4348" s="55" t="n"/>
      <c r="G4348" s="56" t="n"/>
      <c r="H4348" s="55" t="n"/>
      <c r="I4348" s="62" t="n"/>
      <c r="J4348" s="58" t="n"/>
      <c r="K4348" s="63">
        <f>IF(tblMovement[[#This Row],[Source]]="","",IFERROR(INDEX(tblSources[Type],MATCH(tblMovement[[#This Row],[Source]],tblSources[Source],0)),"?"))</f>
        <v/>
      </c>
      <c r="L4348" s="63">
        <f>IF(tblMovement[[#This Row],[Destination]]="","",IFERROR(INDEX(tblDestinations[Type],MATCH(tblMovement[[#This Row],[Destination]],tblDestinations[Destination],0)),"?"))</f>
        <v/>
      </c>
      <c r="M4348" s="64">
        <f>IF(tblMovement[[#This Row],[Material]]="","",IF(LEFT(tblMovement[[#This Row],[Material]],3)="Ore",1,0))</f>
        <v/>
      </c>
      <c r="N4348" s="59">
        <f>IF(OR(tblMovement[[#This Row],[Tonnes_t]]="",tblMovement[[#This Row],[Grade_gpt]]=""),0,tblMovement[[#This Row],[Tonnes_t]]*tblMovement[[#This Row],[Grade_gpt]]/cfg_TroyOz)</f>
        <v/>
      </c>
      <c r="O4348" s="59">
        <f>IF(tblMovement[[#This Row],[Is_Ore]]=1,tblMovement[[#This Row],[Contained_oz]],0)</f>
        <v/>
      </c>
    </row>
    <row r="4349">
      <c r="A4349" s="54" t="n"/>
      <c r="B4349" s="61" t="n"/>
      <c r="C4349" s="61" t="n"/>
      <c r="D4349" s="61" t="n"/>
      <c r="E4349" s="61" t="n"/>
      <c r="F4349" s="55" t="n"/>
      <c r="G4349" s="56" t="n"/>
      <c r="H4349" s="55" t="n"/>
      <c r="I4349" s="62" t="n"/>
      <c r="J4349" s="58" t="n"/>
      <c r="K4349" s="63">
        <f>IF(tblMovement[[#This Row],[Source]]="","",IFERROR(INDEX(tblSources[Type],MATCH(tblMovement[[#This Row],[Source]],tblSources[Source],0)),"?"))</f>
        <v/>
      </c>
      <c r="L4349" s="63">
        <f>IF(tblMovement[[#This Row],[Destination]]="","",IFERROR(INDEX(tblDestinations[Type],MATCH(tblMovement[[#This Row],[Destination]],tblDestinations[Destination],0)),"?"))</f>
        <v/>
      </c>
      <c r="M4349" s="64">
        <f>IF(tblMovement[[#This Row],[Material]]="","",IF(LEFT(tblMovement[[#This Row],[Material]],3)="Ore",1,0))</f>
        <v/>
      </c>
      <c r="N4349" s="59">
        <f>IF(OR(tblMovement[[#This Row],[Tonnes_t]]="",tblMovement[[#This Row],[Grade_gpt]]=""),0,tblMovement[[#This Row],[Tonnes_t]]*tblMovement[[#This Row],[Grade_gpt]]/cfg_TroyOz)</f>
        <v/>
      </c>
      <c r="O4349" s="59">
        <f>IF(tblMovement[[#This Row],[Is_Ore]]=1,tblMovement[[#This Row],[Contained_oz]],0)</f>
        <v/>
      </c>
    </row>
    <row r="4350">
      <c r="A4350" s="54" t="n"/>
      <c r="B4350" s="61" t="n"/>
      <c r="C4350" s="61" t="n"/>
      <c r="D4350" s="61" t="n"/>
      <c r="E4350" s="61" t="n"/>
      <c r="F4350" s="55" t="n"/>
      <c r="G4350" s="56" t="n"/>
      <c r="H4350" s="55" t="n"/>
      <c r="I4350" s="62" t="n"/>
      <c r="J4350" s="58" t="n"/>
      <c r="K4350" s="63">
        <f>IF(tblMovement[[#This Row],[Source]]="","",IFERROR(INDEX(tblSources[Type],MATCH(tblMovement[[#This Row],[Source]],tblSources[Source],0)),"?"))</f>
        <v/>
      </c>
      <c r="L4350" s="63">
        <f>IF(tblMovement[[#This Row],[Destination]]="","",IFERROR(INDEX(tblDestinations[Type],MATCH(tblMovement[[#This Row],[Destination]],tblDestinations[Destination],0)),"?"))</f>
        <v/>
      </c>
      <c r="M4350" s="64">
        <f>IF(tblMovement[[#This Row],[Material]]="","",IF(LEFT(tblMovement[[#This Row],[Material]],3)="Ore",1,0))</f>
        <v/>
      </c>
      <c r="N4350" s="59">
        <f>IF(OR(tblMovement[[#This Row],[Tonnes_t]]="",tblMovement[[#This Row],[Grade_gpt]]=""),0,tblMovement[[#This Row],[Tonnes_t]]*tblMovement[[#This Row],[Grade_gpt]]/cfg_TroyOz)</f>
        <v/>
      </c>
      <c r="O4350" s="59">
        <f>IF(tblMovement[[#This Row],[Is_Ore]]=1,tblMovement[[#This Row],[Contained_oz]],0)</f>
        <v/>
      </c>
    </row>
    <row r="4351">
      <c r="A4351" s="54" t="n"/>
      <c r="B4351" s="61" t="n"/>
      <c r="C4351" s="61" t="n"/>
      <c r="D4351" s="61" t="n"/>
      <c r="E4351" s="61" t="n"/>
      <c r="F4351" s="55" t="n"/>
      <c r="G4351" s="56" t="n"/>
      <c r="H4351" s="55" t="n"/>
      <c r="I4351" s="62" t="n"/>
      <c r="J4351" s="58" t="n"/>
      <c r="K4351" s="63">
        <f>IF(tblMovement[[#This Row],[Source]]="","",IFERROR(INDEX(tblSources[Type],MATCH(tblMovement[[#This Row],[Source]],tblSources[Source],0)),"?"))</f>
        <v/>
      </c>
      <c r="L4351" s="63">
        <f>IF(tblMovement[[#This Row],[Destination]]="","",IFERROR(INDEX(tblDestinations[Type],MATCH(tblMovement[[#This Row],[Destination]],tblDestinations[Destination],0)),"?"))</f>
        <v/>
      </c>
      <c r="M4351" s="64">
        <f>IF(tblMovement[[#This Row],[Material]]="","",IF(LEFT(tblMovement[[#This Row],[Material]],3)="Ore",1,0))</f>
        <v/>
      </c>
      <c r="N4351" s="59">
        <f>IF(OR(tblMovement[[#This Row],[Tonnes_t]]="",tblMovement[[#This Row],[Grade_gpt]]=""),0,tblMovement[[#This Row],[Tonnes_t]]*tblMovement[[#This Row],[Grade_gpt]]/cfg_TroyOz)</f>
        <v/>
      </c>
      <c r="O4351" s="59">
        <f>IF(tblMovement[[#This Row],[Is_Ore]]=1,tblMovement[[#This Row],[Contained_oz]],0)</f>
        <v/>
      </c>
    </row>
    <row r="4352">
      <c r="A4352" s="54" t="n"/>
      <c r="B4352" s="61" t="n"/>
      <c r="C4352" s="61" t="n"/>
      <c r="D4352" s="61" t="n"/>
      <c r="E4352" s="61" t="n"/>
      <c r="F4352" s="55" t="n"/>
      <c r="G4352" s="56" t="n"/>
      <c r="H4352" s="55" t="n"/>
      <c r="I4352" s="62" t="n"/>
      <c r="J4352" s="58" t="n"/>
      <c r="K4352" s="63">
        <f>IF(tblMovement[[#This Row],[Source]]="","",IFERROR(INDEX(tblSources[Type],MATCH(tblMovement[[#This Row],[Source]],tblSources[Source],0)),"?"))</f>
        <v/>
      </c>
      <c r="L4352" s="63">
        <f>IF(tblMovement[[#This Row],[Destination]]="","",IFERROR(INDEX(tblDestinations[Type],MATCH(tblMovement[[#This Row],[Destination]],tblDestinations[Destination],0)),"?"))</f>
        <v/>
      </c>
      <c r="M4352" s="64">
        <f>IF(tblMovement[[#This Row],[Material]]="","",IF(LEFT(tblMovement[[#This Row],[Material]],3)="Ore",1,0))</f>
        <v/>
      </c>
      <c r="N4352" s="59">
        <f>IF(OR(tblMovement[[#This Row],[Tonnes_t]]="",tblMovement[[#This Row],[Grade_gpt]]=""),0,tblMovement[[#This Row],[Tonnes_t]]*tblMovement[[#This Row],[Grade_gpt]]/cfg_TroyOz)</f>
        <v/>
      </c>
      <c r="O4352" s="59">
        <f>IF(tblMovement[[#This Row],[Is_Ore]]=1,tblMovement[[#This Row],[Contained_oz]],0)</f>
        <v/>
      </c>
    </row>
    <row r="4353">
      <c r="A4353" s="54" t="n"/>
      <c r="B4353" s="61" t="n"/>
      <c r="C4353" s="61" t="n"/>
      <c r="D4353" s="61" t="n"/>
      <c r="E4353" s="61" t="n"/>
      <c r="F4353" s="55" t="n"/>
      <c r="G4353" s="56" t="n"/>
      <c r="H4353" s="55" t="n"/>
      <c r="I4353" s="62" t="n"/>
      <c r="J4353" s="58" t="n"/>
      <c r="K4353" s="63">
        <f>IF(tblMovement[[#This Row],[Source]]="","",IFERROR(INDEX(tblSources[Type],MATCH(tblMovement[[#This Row],[Source]],tblSources[Source],0)),"?"))</f>
        <v/>
      </c>
      <c r="L4353" s="63">
        <f>IF(tblMovement[[#This Row],[Destination]]="","",IFERROR(INDEX(tblDestinations[Type],MATCH(tblMovement[[#This Row],[Destination]],tblDestinations[Destination],0)),"?"))</f>
        <v/>
      </c>
      <c r="M4353" s="64">
        <f>IF(tblMovement[[#This Row],[Material]]="","",IF(LEFT(tblMovement[[#This Row],[Material]],3)="Ore",1,0))</f>
        <v/>
      </c>
      <c r="N4353" s="59">
        <f>IF(OR(tblMovement[[#This Row],[Tonnes_t]]="",tblMovement[[#This Row],[Grade_gpt]]=""),0,tblMovement[[#This Row],[Tonnes_t]]*tblMovement[[#This Row],[Grade_gpt]]/cfg_TroyOz)</f>
        <v/>
      </c>
      <c r="O4353" s="59">
        <f>IF(tblMovement[[#This Row],[Is_Ore]]=1,tblMovement[[#This Row],[Contained_oz]],0)</f>
        <v/>
      </c>
    </row>
    <row r="4354">
      <c r="A4354" s="54" t="n"/>
      <c r="B4354" s="61" t="n"/>
      <c r="C4354" s="61" t="n"/>
      <c r="D4354" s="61" t="n"/>
      <c r="E4354" s="61" t="n"/>
      <c r="F4354" s="55" t="n"/>
      <c r="G4354" s="56" t="n"/>
      <c r="H4354" s="55" t="n"/>
      <c r="I4354" s="62" t="n"/>
      <c r="J4354" s="58" t="n"/>
      <c r="K4354" s="63">
        <f>IF(tblMovement[[#This Row],[Source]]="","",IFERROR(INDEX(tblSources[Type],MATCH(tblMovement[[#This Row],[Source]],tblSources[Source],0)),"?"))</f>
        <v/>
      </c>
      <c r="L4354" s="63">
        <f>IF(tblMovement[[#This Row],[Destination]]="","",IFERROR(INDEX(tblDestinations[Type],MATCH(tblMovement[[#This Row],[Destination]],tblDestinations[Destination],0)),"?"))</f>
        <v/>
      </c>
      <c r="M4354" s="64">
        <f>IF(tblMovement[[#This Row],[Material]]="","",IF(LEFT(tblMovement[[#This Row],[Material]],3)="Ore",1,0))</f>
        <v/>
      </c>
      <c r="N4354" s="59">
        <f>IF(OR(tblMovement[[#This Row],[Tonnes_t]]="",tblMovement[[#This Row],[Grade_gpt]]=""),0,tblMovement[[#This Row],[Tonnes_t]]*tblMovement[[#This Row],[Grade_gpt]]/cfg_TroyOz)</f>
        <v/>
      </c>
      <c r="O4354" s="59">
        <f>IF(tblMovement[[#This Row],[Is_Ore]]=1,tblMovement[[#This Row],[Contained_oz]],0)</f>
        <v/>
      </c>
    </row>
    <row r="4355">
      <c r="A4355" s="54" t="n"/>
      <c r="B4355" s="61" t="n"/>
      <c r="C4355" s="61" t="n"/>
      <c r="D4355" s="61" t="n"/>
      <c r="E4355" s="61" t="n"/>
      <c r="F4355" s="55" t="n"/>
      <c r="G4355" s="56" t="n"/>
      <c r="H4355" s="55" t="n"/>
      <c r="I4355" s="62" t="n"/>
      <c r="J4355" s="58" t="n"/>
      <c r="K4355" s="63">
        <f>IF(tblMovement[[#This Row],[Source]]="","",IFERROR(INDEX(tblSources[Type],MATCH(tblMovement[[#This Row],[Source]],tblSources[Source],0)),"?"))</f>
        <v/>
      </c>
      <c r="L4355" s="63">
        <f>IF(tblMovement[[#This Row],[Destination]]="","",IFERROR(INDEX(tblDestinations[Type],MATCH(tblMovement[[#This Row],[Destination]],tblDestinations[Destination],0)),"?"))</f>
        <v/>
      </c>
      <c r="M4355" s="64">
        <f>IF(tblMovement[[#This Row],[Material]]="","",IF(LEFT(tblMovement[[#This Row],[Material]],3)="Ore",1,0))</f>
        <v/>
      </c>
      <c r="N4355" s="59">
        <f>IF(OR(tblMovement[[#This Row],[Tonnes_t]]="",tblMovement[[#This Row],[Grade_gpt]]=""),0,tblMovement[[#This Row],[Tonnes_t]]*tblMovement[[#This Row],[Grade_gpt]]/cfg_TroyOz)</f>
        <v/>
      </c>
      <c r="O4355" s="59">
        <f>IF(tblMovement[[#This Row],[Is_Ore]]=1,tblMovement[[#This Row],[Contained_oz]],0)</f>
        <v/>
      </c>
    </row>
    <row r="4356">
      <c r="A4356" s="54" t="n"/>
      <c r="B4356" s="61" t="n"/>
      <c r="C4356" s="61" t="n"/>
      <c r="D4356" s="61" t="n"/>
      <c r="E4356" s="61" t="n"/>
      <c r="F4356" s="55" t="n"/>
      <c r="G4356" s="56" t="n"/>
      <c r="H4356" s="55" t="n"/>
      <c r="I4356" s="62" t="n"/>
      <c r="J4356" s="58" t="n"/>
      <c r="K4356" s="63">
        <f>IF(tblMovement[[#This Row],[Source]]="","",IFERROR(INDEX(tblSources[Type],MATCH(tblMovement[[#This Row],[Source]],tblSources[Source],0)),"?"))</f>
        <v/>
      </c>
      <c r="L4356" s="63">
        <f>IF(tblMovement[[#This Row],[Destination]]="","",IFERROR(INDEX(tblDestinations[Type],MATCH(tblMovement[[#This Row],[Destination]],tblDestinations[Destination],0)),"?"))</f>
        <v/>
      </c>
      <c r="M4356" s="64">
        <f>IF(tblMovement[[#This Row],[Material]]="","",IF(LEFT(tblMovement[[#This Row],[Material]],3)="Ore",1,0))</f>
        <v/>
      </c>
      <c r="N4356" s="59">
        <f>IF(OR(tblMovement[[#This Row],[Tonnes_t]]="",tblMovement[[#This Row],[Grade_gpt]]=""),0,tblMovement[[#This Row],[Tonnes_t]]*tblMovement[[#This Row],[Grade_gpt]]/cfg_TroyOz)</f>
        <v/>
      </c>
      <c r="O4356" s="59">
        <f>IF(tblMovement[[#This Row],[Is_Ore]]=1,tblMovement[[#This Row],[Contained_oz]],0)</f>
        <v/>
      </c>
    </row>
    <row r="4357">
      <c r="A4357" s="54" t="n"/>
      <c r="B4357" s="61" t="n"/>
      <c r="C4357" s="61" t="n"/>
      <c r="D4357" s="61" t="n"/>
      <c r="E4357" s="61" t="n"/>
      <c r="F4357" s="55" t="n"/>
      <c r="G4357" s="56" t="n"/>
      <c r="H4357" s="55" t="n"/>
      <c r="I4357" s="62" t="n"/>
      <c r="J4357" s="58" t="n"/>
      <c r="K4357" s="63">
        <f>IF(tblMovement[[#This Row],[Source]]="","",IFERROR(INDEX(tblSources[Type],MATCH(tblMovement[[#This Row],[Source]],tblSources[Source],0)),"?"))</f>
        <v/>
      </c>
      <c r="L4357" s="63">
        <f>IF(tblMovement[[#This Row],[Destination]]="","",IFERROR(INDEX(tblDestinations[Type],MATCH(tblMovement[[#This Row],[Destination]],tblDestinations[Destination],0)),"?"))</f>
        <v/>
      </c>
      <c r="M4357" s="64">
        <f>IF(tblMovement[[#This Row],[Material]]="","",IF(LEFT(tblMovement[[#This Row],[Material]],3)="Ore",1,0))</f>
        <v/>
      </c>
      <c r="N4357" s="59">
        <f>IF(OR(tblMovement[[#This Row],[Tonnes_t]]="",tblMovement[[#This Row],[Grade_gpt]]=""),0,tblMovement[[#This Row],[Tonnes_t]]*tblMovement[[#This Row],[Grade_gpt]]/cfg_TroyOz)</f>
        <v/>
      </c>
      <c r="O4357" s="59">
        <f>IF(tblMovement[[#This Row],[Is_Ore]]=1,tblMovement[[#This Row],[Contained_oz]],0)</f>
        <v/>
      </c>
    </row>
    <row r="4358">
      <c r="A4358" s="54" t="n"/>
      <c r="B4358" s="61" t="n"/>
      <c r="C4358" s="61" t="n"/>
      <c r="D4358" s="61" t="n"/>
      <c r="E4358" s="61" t="n"/>
      <c r="F4358" s="55" t="n"/>
      <c r="G4358" s="56" t="n"/>
      <c r="H4358" s="55" t="n"/>
      <c r="I4358" s="62" t="n"/>
      <c r="J4358" s="58" t="n"/>
      <c r="K4358" s="63">
        <f>IF(tblMovement[[#This Row],[Source]]="","",IFERROR(INDEX(tblSources[Type],MATCH(tblMovement[[#This Row],[Source]],tblSources[Source],0)),"?"))</f>
        <v/>
      </c>
      <c r="L4358" s="63">
        <f>IF(tblMovement[[#This Row],[Destination]]="","",IFERROR(INDEX(tblDestinations[Type],MATCH(tblMovement[[#This Row],[Destination]],tblDestinations[Destination],0)),"?"))</f>
        <v/>
      </c>
      <c r="M4358" s="64">
        <f>IF(tblMovement[[#This Row],[Material]]="","",IF(LEFT(tblMovement[[#This Row],[Material]],3)="Ore",1,0))</f>
        <v/>
      </c>
      <c r="N4358" s="59">
        <f>IF(OR(tblMovement[[#This Row],[Tonnes_t]]="",tblMovement[[#This Row],[Grade_gpt]]=""),0,tblMovement[[#This Row],[Tonnes_t]]*tblMovement[[#This Row],[Grade_gpt]]/cfg_TroyOz)</f>
        <v/>
      </c>
      <c r="O4358" s="59">
        <f>IF(tblMovement[[#This Row],[Is_Ore]]=1,tblMovement[[#This Row],[Contained_oz]],0)</f>
        <v/>
      </c>
    </row>
    <row r="4359">
      <c r="A4359" s="54" t="n"/>
      <c r="B4359" s="61" t="n"/>
      <c r="C4359" s="61" t="n"/>
      <c r="D4359" s="61" t="n"/>
      <c r="E4359" s="61" t="n"/>
      <c r="F4359" s="55" t="n"/>
      <c r="G4359" s="56" t="n"/>
      <c r="H4359" s="55" t="n"/>
      <c r="I4359" s="62" t="n"/>
      <c r="J4359" s="58" t="n"/>
      <c r="K4359" s="63">
        <f>IF(tblMovement[[#This Row],[Source]]="","",IFERROR(INDEX(tblSources[Type],MATCH(tblMovement[[#This Row],[Source]],tblSources[Source],0)),"?"))</f>
        <v/>
      </c>
      <c r="L4359" s="63">
        <f>IF(tblMovement[[#This Row],[Destination]]="","",IFERROR(INDEX(tblDestinations[Type],MATCH(tblMovement[[#This Row],[Destination]],tblDestinations[Destination],0)),"?"))</f>
        <v/>
      </c>
      <c r="M4359" s="64">
        <f>IF(tblMovement[[#This Row],[Material]]="","",IF(LEFT(tblMovement[[#This Row],[Material]],3)="Ore",1,0))</f>
        <v/>
      </c>
      <c r="N4359" s="59">
        <f>IF(OR(tblMovement[[#This Row],[Tonnes_t]]="",tblMovement[[#This Row],[Grade_gpt]]=""),0,tblMovement[[#This Row],[Tonnes_t]]*tblMovement[[#This Row],[Grade_gpt]]/cfg_TroyOz)</f>
        <v/>
      </c>
      <c r="O4359" s="59">
        <f>IF(tblMovement[[#This Row],[Is_Ore]]=1,tblMovement[[#This Row],[Contained_oz]],0)</f>
        <v/>
      </c>
    </row>
    <row r="4360">
      <c r="A4360" s="54" t="n"/>
      <c r="B4360" s="61" t="n"/>
      <c r="C4360" s="61" t="n"/>
      <c r="D4360" s="61" t="n"/>
      <c r="E4360" s="61" t="n"/>
      <c r="F4360" s="55" t="n"/>
      <c r="G4360" s="56" t="n"/>
      <c r="H4360" s="55" t="n"/>
      <c r="I4360" s="62" t="n"/>
      <c r="J4360" s="58" t="n"/>
      <c r="K4360" s="63">
        <f>IF(tblMovement[[#This Row],[Source]]="","",IFERROR(INDEX(tblSources[Type],MATCH(tblMovement[[#This Row],[Source]],tblSources[Source],0)),"?"))</f>
        <v/>
      </c>
      <c r="L4360" s="63">
        <f>IF(tblMovement[[#This Row],[Destination]]="","",IFERROR(INDEX(tblDestinations[Type],MATCH(tblMovement[[#This Row],[Destination]],tblDestinations[Destination],0)),"?"))</f>
        <v/>
      </c>
      <c r="M4360" s="64">
        <f>IF(tblMovement[[#This Row],[Material]]="","",IF(LEFT(tblMovement[[#This Row],[Material]],3)="Ore",1,0))</f>
        <v/>
      </c>
      <c r="N4360" s="59">
        <f>IF(OR(tblMovement[[#This Row],[Tonnes_t]]="",tblMovement[[#This Row],[Grade_gpt]]=""),0,tblMovement[[#This Row],[Tonnes_t]]*tblMovement[[#This Row],[Grade_gpt]]/cfg_TroyOz)</f>
        <v/>
      </c>
      <c r="O4360" s="59">
        <f>IF(tblMovement[[#This Row],[Is_Ore]]=1,tblMovement[[#This Row],[Contained_oz]],0)</f>
        <v/>
      </c>
    </row>
    <row r="4361">
      <c r="A4361" s="54" t="n"/>
      <c r="B4361" s="61" t="n"/>
      <c r="C4361" s="61" t="n"/>
      <c r="D4361" s="61" t="n"/>
      <c r="E4361" s="61" t="n"/>
      <c r="F4361" s="55" t="n"/>
      <c r="G4361" s="56" t="n"/>
      <c r="H4361" s="55" t="n"/>
      <c r="I4361" s="62" t="n"/>
      <c r="J4361" s="58" t="n"/>
      <c r="K4361" s="63">
        <f>IF(tblMovement[[#This Row],[Source]]="","",IFERROR(INDEX(tblSources[Type],MATCH(tblMovement[[#This Row],[Source]],tblSources[Source],0)),"?"))</f>
        <v/>
      </c>
      <c r="L4361" s="63">
        <f>IF(tblMovement[[#This Row],[Destination]]="","",IFERROR(INDEX(tblDestinations[Type],MATCH(tblMovement[[#This Row],[Destination]],tblDestinations[Destination],0)),"?"))</f>
        <v/>
      </c>
      <c r="M4361" s="64">
        <f>IF(tblMovement[[#This Row],[Material]]="","",IF(LEFT(tblMovement[[#This Row],[Material]],3)="Ore",1,0))</f>
        <v/>
      </c>
      <c r="N4361" s="59">
        <f>IF(OR(tblMovement[[#This Row],[Tonnes_t]]="",tblMovement[[#This Row],[Grade_gpt]]=""),0,tblMovement[[#This Row],[Tonnes_t]]*tblMovement[[#This Row],[Grade_gpt]]/cfg_TroyOz)</f>
        <v/>
      </c>
      <c r="O4361" s="59">
        <f>IF(tblMovement[[#This Row],[Is_Ore]]=1,tblMovement[[#This Row],[Contained_oz]],0)</f>
        <v/>
      </c>
    </row>
    <row r="4362">
      <c r="A4362" s="54" t="n"/>
      <c r="B4362" s="61" t="n"/>
      <c r="C4362" s="61" t="n"/>
      <c r="D4362" s="61" t="n"/>
      <c r="E4362" s="61" t="n"/>
      <c r="F4362" s="55" t="n"/>
      <c r="G4362" s="56" t="n"/>
      <c r="H4362" s="55" t="n"/>
      <c r="I4362" s="62" t="n"/>
      <c r="J4362" s="58" t="n"/>
      <c r="K4362" s="63">
        <f>IF(tblMovement[[#This Row],[Source]]="","",IFERROR(INDEX(tblSources[Type],MATCH(tblMovement[[#This Row],[Source]],tblSources[Source],0)),"?"))</f>
        <v/>
      </c>
      <c r="L4362" s="63">
        <f>IF(tblMovement[[#This Row],[Destination]]="","",IFERROR(INDEX(tblDestinations[Type],MATCH(tblMovement[[#This Row],[Destination]],tblDestinations[Destination],0)),"?"))</f>
        <v/>
      </c>
      <c r="M4362" s="64">
        <f>IF(tblMovement[[#This Row],[Material]]="","",IF(LEFT(tblMovement[[#This Row],[Material]],3)="Ore",1,0))</f>
        <v/>
      </c>
      <c r="N4362" s="59">
        <f>IF(OR(tblMovement[[#This Row],[Tonnes_t]]="",tblMovement[[#This Row],[Grade_gpt]]=""),0,tblMovement[[#This Row],[Tonnes_t]]*tblMovement[[#This Row],[Grade_gpt]]/cfg_TroyOz)</f>
        <v/>
      </c>
      <c r="O4362" s="59">
        <f>IF(tblMovement[[#This Row],[Is_Ore]]=1,tblMovement[[#This Row],[Contained_oz]],0)</f>
        <v/>
      </c>
    </row>
    <row r="4363">
      <c r="A4363" s="54" t="n"/>
      <c r="B4363" s="61" t="n"/>
      <c r="C4363" s="61" t="n"/>
      <c r="D4363" s="61" t="n"/>
      <c r="E4363" s="61" t="n"/>
      <c r="F4363" s="55" t="n"/>
      <c r="G4363" s="56" t="n"/>
      <c r="H4363" s="55" t="n"/>
      <c r="I4363" s="62" t="n"/>
      <c r="J4363" s="58" t="n"/>
      <c r="K4363" s="63">
        <f>IF(tblMovement[[#This Row],[Source]]="","",IFERROR(INDEX(tblSources[Type],MATCH(tblMovement[[#This Row],[Source]],tblSources[Source],0)),"?"))</f>
        <v/>
      </c>
      <c r="L4363" s="63">
        <f>IF(tblMovement[[#This Row],[Destination]]="","",IFERROR(INDEX(tblDestinations[Type],MATCH(tblMovement[[#This Row],[Destination]],tblDestinations[Destination],0)),"?"))</f>
        <v/>
      </c>
      <c r="M4363" s="64">
        <f>IF(tblMovement[[#This Row],[Material]]="","",IF(LEFT(tblMovement[[#This Row],[Material]],3)="Ore",1,0))</f>
        <v/>
      </c>
      <c r="N4363" s="59">
        <f>IF(OR(tblMovement[[#This Row],[Tonnes_t]]="",tblMovement[[#This Row],[Grade_gpt]]=""),0,tblMovement[[#This Row],[Tonnes_t]]*tblMovement[[#This Row],[Grade_gpt]]/cfg_TroyOz)</f>
        <v/>
      </c>
      <c r="O4363" s="59">
        <f>IF(tblMovement[[#This Row],[Is_Ore]]=1,tblMovement[[#This Row],[Contained_oz]],0)</f>
        <v/>
      </c>
    </row>
    <row r="4364">
      <c r="A4364" s="54" t="n"/>
      <c r="B4364" s="61" t="n"/>
      <c r="C4364" s="61" t="n"/>
      <c r="D4364" s="61" t="n"/>
      <c r="E4364" s="61" t="n"/>
      <c r="F4364" s="55" t="n"/>
      <c r="G4364" s="56" t="n"/>
      <c r="H4364" s="55" t="n"/>
      <c r="I4364" s="62" t="n"/>
      <c r="J4364" s="58" t="n"/>
      <c r="K4364" s="63">
        <f>IF(tblMovement[[#This Row],[Source]]="","",IFERROR(INDEX(tblSources[Type],MATCH(tblMovement[[#This Row],[Source]],tblSources[Source],0)),"?"))</f>
        <v/>
      </c>
      <c r="L4364" s="63">
        <f>IF(tblMovement[[#This Row],[Destination]]="","",IFERROR(INDEX(tblDestinations[Type],MATCH(tblMovement[[#This Row],[Destination]],tblDestinations[Destination],0)),"?"))</f>
        <v/>
      </c>
      <c r="M4364" s="64">
        <f>IF(tblMovement[[#This Row],[Material]]="","",IF(LEFT(tblMovement[[#This Row],[Material]],3)="Ore",1,0))</f>
        <v/>
      </c>
      <c r="N4364" s="59">
        <f>IF(OR(tblMovement[[#This Row],[Tonnes_t]]="",tblMovement[[#This Row],[Grade_gpt]]=""),0,tblMovement[[#This Row],[Tonnes_t]]*tblMovement[[#This Row],[Grade_gpt]]/cfg_TroyOz)</f>
        <v/>
      </c>
      <c r="O4364" s="59">
        <f>IF(tblMovement[[#This Row],[Is_Ore]]=1,tblMovement[[#This Row],[Contained_oz]],0)</f>
        <v/>
      </c>
    </row>
    <row r="4365">
      <c r="A4365" s="54" t="n"/>
      <c r="B4365" s="61" t="n"/>
      <c r="C4365" s="61" t="n"/>
      <c r="D4365" s="61" t="n"/>
      <c r="E4365" s="61" t="n"/>
      <c r="F4365" s="55" t="n"/>
      <c r="G4365" s="56" t="n"/>
      <c r="H4365" s="55" t="n"/>
      <c r="I4365" s="62" t="n"/>
      <c r="J4365" s="58" t="n"/>
      <c r="K4365" s="63">
        <f>IF(tblMovement[[#This Row],[Source]]="","",IFERROR(INDEX(tblSources[Type],MATCH(tblMovement[[#This Row],[Source]],tblSources[Source],0)),"?"))</f>
        <v/>
      </c>
      <c r="L4365" s="63">
        <f>IF(tblMovement[[#This Row],[Destination]]="","",IFERROR(INDEX(tblDestinations[Type],MATCH(tblMovement[[#This Row],[Destination]],tblDestinations[Destination],0)),"?"))</f>
        <v/>
      </c>
      <c r="M4365" s="64">
        <f>IF(tblMovement[[#This Row],[Material]]="","",IF(LEFT(tblMovement[[#This Row],[Material]],3)="Ore",1,0))</f>
        <v/>
      </c>
      <c r="N4365" s="59">
        <f>IF(OR(tblMovement[[#This Row],[Tonnes_t]]="",tblMovement[[#This Row],[Grade_gpt]]=""),0,tblMovement[[#This Row],[Tonnes_t]]*tblMovement[[#This Row],[Grade_gpt]]/cfg_TroyOz)</f>
        <v/>
      </c>
      <c r="O4365" s="59">
        <f>IF(tblMovement[[#This Row],[Is_Ore]]=1,tblMovement[[#This Row],[Contained_oz]],0)</f>
        <v/>
      </c>
    </row>
    <row r="4366">
      <c r="A4366" s="54" t="n"/>
      <c r="B4366" s="61" t="n"/>
      <c r="C4366" s="61" t="n"/>
      <c r="D4366" s="61" t="n"/>
      <c r="E4366" s="61" t="n"/>
      <c r="F4366" s="55" t="n"/>
      <c r="G4366" s="56" t="n"/>
      <c r="H4366" s="55" t="n"/>
      <c r="I4366" s="62" t="n"/>
      <c r="J4366" s="58" t="n"/>
      <c r="K4366" s="63">
        <f>IF(tblMovement[[#This Row],[Source]]="","",IFERROR(INDEX(tblSources[Type],MATCH(tblMovement[[#This Row],[Source]],tblSources[Source],0)),"?"))</f>
        <v/>
      </c>
      <c r="L4366" s="63">
        <f>IF(tblMovement[[#This Row],[Destination]]="","",IFERROR(INDEX(tblDestinations[Type],MATCH(tblMovement[[#This Row],[Destination]],tblDestinations[Destination],0)),"?"))</f>
        <v/>
      </c>
      <c r="M4366" s="64">
        <f>IF(tblMovement[[#This Row],[Material]]="","",IF(LEFT(tblMovement[[#This Row],[Material]],3)="Ore",1,0))</f>
        <v/>
      </c>
      <c r="N4366" s="59">
        <f>IF(OR(tblMovement[[#This Row],[Tonnes_t]]="",tblMovement[[#This Row],[Grade_gpt]]=""),0,tblMovement[[#This Row],[Tonnes_t]]*tblMovement[[#This Row],[Grade_gpt]]/cfg_TroyOz)</f>
        <v/>
      </c>
      <c r="O4366" s="59">
        <f>IF(tblMovement[[#This Row],[Is_Ore]]=1,tblMovement[[#This Row],[Contained_oz]],0)</f>
        <v/>
      </c>
    </row>
    <row r="4367">
      <c r="A4367" s="54" t="n"/>
      <c r="B4367" s="61" t="n"/>
      <c r="C4367" s="61" t="n"/>
      <c r="D4367" s="61" t="n"/>
      <c r="E4367" s="61" t="n"/>
      <c r="F4367" s="55" t="n"/>
      <c r="G4367" s="56" t="n"/>
      <c r="H4367" s="55" t="n"/>
      <c r="I4367" s="62" t="n"/>
      <c r="J4367" s="58" t="n"/>
      <c r="K4367" s="63">
        <f>IF(tblMovement[[#This Row],[Source]]="","",IFERROR(INDEX(tblSources[Type],MATCH(tblMovement[[#This Row],[Source]],tblSources[Source],0)),"?"))</f>
        <v/>
      </c>
      <c r="L4367" s="63">
        <f>IF(tblMovement[[#This Row],[Destination]]="","",IFERROR(INDEX(tblDestinations[Type],MATCH(tblMovement[[#This Row],[Destination]],tblDestinations[Destination],0)),"?"))</f>
        <v/>
      </c>
      <c r="M4367" s="64">
        <f>IF(tblMovement[[#This Row],[Material]]="","",IF(LEFT(tblMovement[[#This Row],[Material]],3)="Ore",1,0))</f>
        <v/>
      </c>
      <c r="N4367" s="59">
        <f>IF(OR(tblMovement[[#This Row],[Tonnes_t]]="",tblMovement[[#This Row],[Grade_gpt]]=""),0,tblMovement[[#This Row],[Tonnes_t]]*tblMovement[[#This Row],[Grade_gpt]]/cfg_TroyOz)</f>
        <v/>
      </c>
      <c r="O4367" s="59">
        <f>IF(tblMovement[[#This Row],[Is_Ore]]=1,tblMovement[[#This Row],[Contained_oz]],0)</f>
        <v/>
      </c>
    </row>
    <row r="4368">
      <c r="A4368" s="54" t="n"/>
      <c r="B4368" s="61" t="n"/>
      <c r="C4368" s="61" t="n"/>
      <c r="D4368" s="61" t="n"/>
      <c r="E4368" s="61" t="n"/>
      <c r="F4368" s="55" t="n"/>
      <c r="G4368" s="56" t="n"/>
      <c r="H4368" s="55" t="n"/>
      <c r="I4368" s="62" t="n"/>
      <c r="J4368" s="58" t="n"/>
      <c r="K4368" s="63">
        <f>IF(tblMovement[[#This Row],[Source]]="","",IFERROR(INDEX(tblSources[Type],MATCH(tblMovement[[#This Row],[Source]],tblSources[Source],0)),"?"))</f>
        <v/>
      </c>
      <c r="L4368" s="63">
        <f>IF(tblMovement[[#This Row],[Destination]]="","",IFERROR(INDEX(tblDestinations[Type],MATCH(tblMovement[[#This Row],[Destination]],tblDestinations[Destination],0)),"?"))</f>
        <v/>
      </c>
      <c r="M4368" s="64">
        <f>IF(tblMovement[[#This Row],[Material]]="","",IF(LEFT(tblMovement[[#This Row],[Material]],3)="Ore",1,0))</f>
        <v/>
      </c>
      <c r="N4368" s="59">
        <f>IF(OR(tblMovement[[#This Row],[Tonnes_t]]="",tblMovement[[#This Row],[Grade_gpt]]=""),0,tblMovement[[#This Row],[Tonnes_t]]*tblMovement[[#This Row],[Grade_gpt]]/cfg_TroyOz)</f>
        <v/>
      </c>
      <c r="O4368" s="59">
        <f>IF(tblMovement[[#This Row],[Is_Ore]]=1,tblMovement[[#This Row],[Contained_oz]],0)</f>
        <v/>
      </c>
    </row>
    <row r="4369">
      <c r="A4369" s="54" t="n"/>
      <c r="B4369" s="61" t="n"/>
      <c r="C4369" s="61" t="n"/>
      <c r="D4369" s="61" t="n"/>
      <c r="E4369" s="61" t="n"/>
      <c r="F4369" s="55" t="n"/>
      <c r="G4369" s="56" t="n"/>
      <c r="H4369" s="55" t="n"/>
      <c r="I4369" s="62" t="n"/>
      <c r="J4369" s="58" t="n"/>
      <c r="K4369" s="63">
        <f>IF(tblMovement[[#This Row],[Source]]="","",IFERROR(INDEX(tblSources[Type],MATCH(tblMovement[[#This Row],[Source]],tblSources[Source],0)),"?"))</f>
        <v/>
      </c>
      <c r="L4369" s="63">
        <f>IF(tblMovement[[#This Row],[Destination]]="","",IFERROR(INDEX(tblDestinations[Type],MATCH(tblMovement[[#This Row],[Destination]],tblDestinations[Destination],0)),"?"))</f>
        <v/>
      </c>
      <c r="M4369" s="64">
        <f>IF(tblMovement[[#This Row],[Material]]="","",IF(LEFT(tblMovement[[#This Row],[Material]],3)="Ore",1,0))</f>
        <v/>
      </c>
      <c r="N4369" s="59">
        <f>IF(OR(tblMovement[[#This Row],[Tonnes_t]]="",tblMovement[[#This Row],[Grade_gpt]]=""),0,tblMovement[[#This Row],[Tonnes_t]]*tblMovement[[#This Row],[Grade_gpt]]/cfg_TroyOz)</f>
        <v/>
      </c>
      <c r="O4369" s="59">
        <f>IF(tblMovement[[#This Row],[Is_Ore]]=1,tblMovement[[#This Row],[Contained_oz]],0)</f>
        <v/>
      </c>
    </row>
    <row r="4370">
      <c r="A4370" s="54" t="n"/>
      <c r="B4370" s="61" t="n"/>
      <c r="C4370" s="61" t="n"/>
      <c r="D4370" s="61" t="n"/>
      <c r="E4370" s="61" t="n"/>
      <c r="F4370" s="55" t="n"/>
      <c r="G4370" s="56" t="n"/>
      <c r="H4370" s="55" t="n"/>
      <c r="I4370" s="62" t="n"/>
      <c r="J4370" s="58" t="n"/>
      <c r="K4370" s="63">
        <f>IF(tblMovement[[#This Row],[Source]]="","",IFERROR(INDEX(tblSources[Type],MATCH(tblMovement[[#This Row],[Source]],tblSources[Source],0)),"?"))</f>
        <v/>
      </c>
      <c r="L4370" s="63">
        <f>IF(tblMovement[[#This Row],[Destination]]="","",IFERROR(INDEX(tblDestinations[Type],MATCH(tblMovement[[#This Row],[Destination]],tblDestinations[Destination],0)),"?"))</f>
        <v/>
      </c>
      <c r="M4370" s="64">
        <f>IF(tblMovement[[#This Row],[Material]]="","",IF(LEFT(tblMovement[[#This Row],[Material]],3)="Ore",1,0))</f>
        <v/>
      </c>
      <c r="N4370" s="59">
        <f>IF(OR(tblMovement[[#This Row],[Tonnes_t]]="",tblMovement[[#This Row],[Grade_gpt]]=""),0,tblMovement[[#This Row],[Tonnes_t]]*tblMovement[[#This Row],[Grade_gpt]]/cfg_TroyOz)</f>
        <v/>
      </c>
      <c r="O4370" s="59">
        <f>IF(tblMovement[[#This Row],[Is_Ore]]=1,tblMovement[[#This Row],[Contained_oz]],0)</f>
        <v/>
      </c>
    </row>
    <row r="4371">
      <c r="A4371" s="54" t="n"/>
      <c r="B4371" s="61" t="n"/>
      <c r="C4371" s="61" t="n"/>
      <c r="D4371" s="61" t="n"/>
      <c r="E4371" s="61" t="n"/>
      <c r="F4371" s="55" t="n"/>
      <c r="G4371" s="56" t="n"/>
      <c r="H4371" s="55" t="n"/>
      <c r="I4371" s="62" t="n"/>
      <c r="J4371" s="58" t="n"/>
      <c r="K4371" s="63">
        <f>IF(tblMovement[[#This Row],[Source]]="","",IFERROR(INDEX(tblSources[Type],MATCH(tblMovement[[#This Row],[Source]],tblSources[Source],0)),"?"))</f>
        <v/>
      </c>
      <c r="L4371" s="63">
        <f>IF(tblMovement[[#This Row],[Destination]]="","",IFERROR(INDEX(tblDestinations[Type],MATCH(tblMovement[[#This Row],[Destination]],tblDestinations[Destination],0)),"?"))</f>
        <v/>
      </c>
      <c r="M4371" s="64">
        <f>IF(tblMovement[[#This Row],[Material]]="","",IF(LEFT(tblMovement[[#This Row],[Material]],3)="Ore",1,0))</f>
        <v/>
      </c>
      <c r="N4371" s="59">
        <f>IF(OR(tblMovement[[#This Row],[Tonnes_t]]="",tblMovement[[#This Row],[Grade_gpt]]=""),0,tblMovement[[#This Row],[Tonnes_t]]*tblMovement[[#This Row],[Grade_gpt]]/cfg_TroyOz)</f>
        <v/>
      </c>
      <c r="O4371" s="59">
        <f>IF(tblMovement[[#This Row],[Is_Ore]]=1,tblMovement[[#This Row],[Contained_oz]],0)</f>
        <v/>
      </c>
    </row>
    <row r="4372">
      <c r="A4372" s="54" t="n"/>
      <c r="B4372" s="61" t="n"/>
      <c r="C4372" s="61" t="n"/>
      <c r="D4372" s="61" t="n"/>
      <c r="E4372" s="61" t="n"/>
      <c r="F4372" s="55" t="n"/>
      <c r="G4372" s="56" t="n"/>
      <c r="H4372" s="55" t="n"/>
      <c r="I4372" s="62" t="n"/>
      <c r="J4372" s="58" t="n"/>
      <c r="K4372" s="63">
        <f>IF(tblMovement[[#This Row],[Source]]="","",IFERROR(INDEX(tblSources[Type],MATCH(tblMovement[[#This Row],[Source]],tblSources[Source],0)),"?"))</f>
        <v/>
      </c>
      <c r="L4372" s="63">
        <f>IF(tblMovement[[#This Row],[Destination]]="","",IFERROR(INDEX(tblDestinations[Type],MATCH(tblMovement[[#This Row],[Destination]],tblDestinations[Destination],0)),"?"))</f>
        <v/>
      </c>
      <c r="M4372" s="64">
        <f>IF(tblMovement[[#This Row],[Material]]="","",IF(LEFT(tblMovement[[#This Row],[Material]],3)="Ore",1,0))</f>
        <v/>
      </c>
      <c r="N4372" s="59">
        <f>IF(OR(tblMovement[[#This Row],[Tonnes_t]]="",tblMovement[[#This Row],[Grade_gpt]]=""),0,tblMovement[[#This Row],[Tonnes_t]]*tblMovement[[#This Row],[Grade_gpt]]/cfg_TroyOz)</f>
        <v/>
      </c>
      <c r="O4372" s="59">
        <f>IF(tblMovement[[#This Row],[Is_Ore]]=1,tblMovement[[#This Row],[Contained_oz]],0)</f>
        <v/>
      </c>
    </row>
    <row r="4373">
      <c r="A4373" s="54" t="n"/>
      <c r="B4373" s="61" t="n"/>
      <c r="C4373" s="61" t="n"/>
      <c r="D4373" s="61" t="n"/>
      <c r="E4373" s="61" t="n"/>
      <c r="F4373" s="55" t="n"/>
      <c r="G4373" s="56" t="n"/>
      <c r="H4373" s="55" t="n"/>
      <c r="I4373" s="62" t="n"/>
      <c r="J4373" s="58" t="n"/>
      <c r="K4373" s="63">
        <f>IF(tblMovement[[#This Row],[Source]]="","",IFERROR(INDEX(tblSources[Type],MATCH(tblMovement[[#This Row],[Source]],tblSources[Source],0)),"?"))</f>
        <v/>
      </c>
      <c r="L4373" s="63">
        <f>IF(tblMovement[[#This Row],[Destination]]="","",IFERROR(INDEX(tblDestinations[Type],MATCH(tblMovement[[#This Row],[Destination]],tblDestinations[Destination],0)),"?"))</f>
        <v/>
      </c>
      <c r="M4373" s="64">
        <f>IF(tblMovement[[#This Row],[Material]]="","",IF(LEFT(tblMovement[[#This Row],[Material]],3)="Ore",1,0))</f>
        <v/>
      </c>
      <c r="N4373" s="59">
        <f>IF(OR(tblMovement[[#This Row],[Tonnes_t]]="",tblMovement[[#This Row],[Grade_gpt]]=""),0,tblMovement[[#This Row],[Tonnes_t]]*tblMovement[[#This Row],[Grade_gpt]]/cfg_TroyOz)</f>
        <v/>
      </c>
      <c r="O4373" s="59">
        <f>IF(tblMovement[[#This Row],[Is_Ore]]=1,tblMovement[[#This Row],[Contained_oz]],0)</f>
        <v/>
      </c>
    </row>
    <row r="4374">
      <c r="A4374" s="54" t="n"/>
      <c r="B4374" s="61" t="n"/>
      <c r="C4374" s="61" t="n"/>
      <c r="D4374" s="61" t="n"/>
      <c r="E4374" s="61" t="n"/>
      <c r="F4374" s="55" t="n"/>
      <c r="G4374" s="56" t="n"/>
      <c r="H4374" s="55" t="n"/>
      <c r="I4374" s="62" t="n"/>
      <c r="J4374" s="58" t="n"/>
      <c r="K4374" s="63">
        <f>IF(tblMovement[[#This Row],[Source]]="","",IFERROR(INDEX(tblSources[Type],MATCH(tblMovement[[#This Row],[Source]],tblSources[Source],0)),"?"))</f>
        <v/>
      </c>
      <c r="L4374" s="63">
        <f>IF(tblMovement[[#This Row],[Destination]]="","",IFERROR(INDEX(tblDestinations[Type],MATCH(tblMovement[[#This Row],[Destination]],tblDestinations[Destination],0)),"?"))</f>
        <v/>
      </c>
      <c r="M4374" s="64">
        <f>IF(tblMovement[[#This Row],[Material]]="","",IF(LEFT(tblMovement[[#This Row],[Material]],3)="Ore",1,0))</f>
        <v/>
      </c>
      <c r="N4374" s="59">
        <f>IF(OR(tblMovement[[#This Row],[Tonnes_t]]="",tblMovement[[#This Row],[Grade_gpt]]=""),0,tblMovement[[#This Row],[Tonnes_t]]*tblMovement[[#This Row],[Grade_gpt]]/cfg_TroyOz)</f>
        <v/>
      </c>
      <c r="O4374" s="59">
        <f>IF(tblMovement[[#This Row],[Is_Ore]]=1,tblMovement[[#This Row],[Contained_oz]],0)</f>
        <v/>
      </c>
    </row>
    <row r="4375">
      <c r="A4375" s="54" t="n"/>
      <c r="B4375" s="61" t="n"/>
      <c r="C4375" s="61" t="n"/>
      <c r="D4375" s="61" t="n"/>
      <c r="E4375" s="61" t="n"/>
      <c r="F4375" s="55" t="n"/>
      <c r="G4375" s="56" t="n"/>
      <c r="H4375" s="55" t="n"/>
      <c r="I4375" s="62" t="n"/>
      <c r="J4375" s="58" t="n"/>
      <c r="K4375" s="63">
        <f>IF(tblMovement[[#This Row],[Source]]="","",IFERROR(INDEX(tblSources[Type],MATCH(tblMovement[[#This Row],[Source]],tblSources[Source],0)),"?"))</f>
        <v/>
      </c>
      <c r="L4375" s="63">
        <f>IF(tblMovement[[#This Row],[Destination]]="","",IFERROR(INDEX(tblDestinations[Type],MATCH(tblMovement[[#This Row],[Destination]],tblDestinations[Destination],0)),"?"))</f>
        <v/>
      </c>
      <c r="M4375" s="64">
        <f>IF(tblMovement[[#This Row],[Material]]="","",IF(LEFT(tblMovement[[#This Row],[Material]],3)="Ore",1,0))</f>
        <v/>
      </c>
      <c r="N4375" s="59">
        <f>IF(OR(tblMovement[[#This Row],[Tonnes_t]]="",tblMovement[[#This Row],[Grade_gpt]]=""),0,tblMovement[[#This Row],[Tonnes_t]]*tblMovement[[#This Row],[Grade_gpt]]/cfg_TroyOz)</f>
        <v/>
      </c>
      <c r="O4375" s="59">
        <f>IF(tblMovement[[#This Row],[Is_Ore]]=1,tblMovement[[#This Row],[Contained_oz]],0)</f>
        <v/>
      </c>
    </row>
    <row r="4376">
      <c r="A4376" s="54" t="n"/>
      <c r="B4376" s="61" t="n"/>
      <c r="C4376" s="61" t="n"/>
      <c r="D4376" s="61" t="n"/>
      <c r="E4376" s="61" t="n"/>
      <c r="F4376" s="55" t="n"/>
      <c r="G4376" s="56" t="n"/>
      <c r="H4376" s="55" t="n"/>
      <c r="I4376" s="62" t="n"/>
      <c r="J4376" s="58" t="n"/>
      <c r="K4376" s="63">
        <f>IF(tblMovement[[#This Row],[Source]]="","",IFERROR(INDEX(tblSources[Type],MATCH(tblMovement[[#This Row],[Source]],tblSources[Source],0)),"?"))</f>
        <v/>
      </c>
      <c r="L4376" s="63">
        <f>IF(tblMovement[[#This Row],[Destination]]="","",IFERROR(INDEX(tblDestinations[Type],MATCH(tblMovement[[#This Row],[Destination]],tblDestinations[Destination],0)),"?"))</f>
        <v/>
      </c>
      <c r="M4376" s="64">
        <f>IF(tblMovement[[#This Row],[Material]]="","",IF(LEFT(tblMovement[[#This Row],[Material]],3)="Ore",1,0))</f>
        <v/>
      </c>
      <c r="N4376" s="59">
        <f>IF(OR(tblMovement[[#This Row],[Tonnes_t]]="",tblMovement[[#This Row],[Grade_gpt]]=""),0,tblMovement[[#This Row],[Tonnes_t]]*tblMovement[[#This Row],[Grade_gpt]]/cfg_TroyOz)</f>
        <v/>
      </c>
      <c r="O4376" s="59">
        <f>IF(tblMovement[[#This Row],[Is_Ore]]=1,tblMovement[[#This Row],[Contained_oz]],0)</f>
        <v/>
      </c>
    </row>
    <row r="4377">
      <c r="A4377" s="54" t="n"/>
      <c r="B4377" s="61" t="n"/>
      <c r="C4377" s="61" t="n"/>
      <c r="D4377" s="61" t="n"/>
      <c r="E4377" s="61" t="n"/>
      <c r="F4377" s="55" t="n"/>
      <c r="G4377" s="56" t="n"/>
      <c r="H4377" s="55" t="n"/>
      <c r="I4377" s="62" t="n"/>
      <c r="J4377" s="58" t="n"/>
      <c r="K4377" s="63">
        <f>IF(tblMovement[[#This Row],[Source]]="","",IFERROR(INDEX(tblSources[Type],MATCH(tblMovement[[#This Row],[Source]],tblSources[Source],0)),"?"))</f>
        <v/>
      </c>
      <c r="L4377" s="63">
        <f>IF(tblMovement[[#This Row],[Destination]]="","",IFERROR(INDEX(tblDestinations[Type],MATCH(tblMovement[[#This Row],[Destination]],tblDestinations[Destination],0)),"?"))</f>
        <v/>
      </c>
      <c r="M4377" s="64">
        <f>IF(tblMovement[[#This Row],[Material]]="","",IF(LEFT(tblMovement[[#This Row],[Material]],3)="Ore",1,0))</f>
        <v/>
      </c>
      <c r="N4377" s="59">
        <f>IF(OR(tblMovement[[#This Row],[Tonnes_t]]="",tblMovement[[#This Row],[Grade_gpt]]=""),0,tblMovement[[#This Row],[Tonnes_t]]*tblMovement[[#This Row],[Grade_gpt]]/cfg_TroyOz)</f>
        <v/>
      </c>
      <c r="O4377" s="59">
        <f>IF(tblMovement[[#This Row],[Is_Ore]]=1,tblMovement[[#This Row],[Contained_oz]],0)</f>
        <v/>
      </c>
    </row>
    <row r="4378">
      <c r="A4378" s="54" t="n"/>
      <c r="B4378" s="61" t="n"/>
      <c r="C4378" s="61" t="n"/>
      <c r="D4378" s="61" t="n"/>
      <c r="E4378" s="61" t="n"/>
      <c r="F4378" s="55" t="n"/>
      <c r="G4378" s="56" t="n"/>
      <c r="H4378" s="55" t="n"/>
      <c r="I4378" s="62" t="n"/>
      <c r="J4378" s="58" t="n"/>
      <c r="K4378" s="63">
        <f>IF(tblMovement[[#This Row],[Source]]="","",IFERROR(INDEX(tblSources[Type],MATCH(tblMovement[[#This Row],[Source]],tblSources[Source],0)),"?"))</f>
        <v/>
      </c>
      <c r="L4378" s="63">
        <f>IF(tblMovement[[#This Row],[Destination]]="","",IFERROR(INDEX(tblDestinations[Type],MATCH(tblMovement[[#This Row],[Destination]],tblDestinations[Destination],0)),"?"))</f>
        <v/>
      </c>
      <c r="M4378" s="64">
        <f>IF(tblMovement[[#This Row],[Material]]="","",IF(LEFT(tblMovement[[#This Row],[Material]],3)="Ore",1,0))</f>
        <v/>
      </c>
      <c r="N4378" s="59">
        <f>IF(OR(tblMovement[[#This Row],[Tonnes_t]]="",tblMovement[[#This Row],[Grade_gpt]]=""),0,tblMovement[[#This Row],[Tonnes_t]]*tblMovement[[#This Row],[Grade_gpt]]/cfg_TroyOz)</f>
        <v/>
      </c>
      <c r="O4378" s="59">
        <f>IF(tblMovement[[#This Row],[Is_Ore]]=1,tblMovement[[#This Row],[Contained_oz]],0)</f>
        <v/>
      </c>
    </row>
    <row r="4379">
      <c r="A4379" s="54" t="n"/>
      <c r="B4379" s="61" t="n"/>
      <c r="C4379" s="61" t="n"/>
      <c r="D4379" s="61" t="n"/>
      <c r="E4379" s="61" t="n"/>
      <c r="F4379" s="55" t="n"/>
      <c r="G4379" s="56" t="n"/>
      <c r="H4379" s="55" t="n"/>
      <c r="I4379" s="62" t="n"/>
      <c r="J4379" s="58" t="n"/>
      <c r="K4379" s="63">
        <f>IF(tblMovement[[#This Row],[Source]]="","",IFERROR(INDEX(tblSources[Type],MATCH(tblMovement[[#This Row],[Source]],tblSources[Source],0)),"?"))</f>
        <v/>
      </c>
      <c r="L4379" s="63">
        <f>IF(tblMovement[[#This Row],[Destination]]="","",IFERROR(INDEX(tblDestinations[Type],MATCH(tblMovement[[#This Row],[Destination]],tblDestinations[Destination],0)),"?"))</f>
        <v/>
      </c>
      <c r="M4379" s="64">
        <f>IF(tblMovement[[#This Row],[Material]]="","",IF(LEFT(tblMovement[[#This Row],[Material]],3)="Ore",1,0))</f>
        <v/>
      </c>
      <c r="N4379" s="59">
        <f>IF(OR(tblMovement[[#This Row],[Tonnes_t]]="",tblMovement[[#This Row],[Grade_gpt]]=""),0,tblMovement[[#This Row],[Tonnes_t]]*tblMovement[[#This Row],[Grade_gpt]]/cfg_TroyOz)</f>
        <v/>
      </c>
      <c r="O4379" s="59">
        <f>IF(tblMovement[[#This Row],[Is_Ore]]=1,tblMovement[[#This Row],[Contained_oz]],0)</f>
        <v/>
      </c>
    </row>
    <row r="4380">
      <c r="A4380" s="54" t="n"/>
      <c r="B4380" s="61" t="n"/>
      <c r="C4380" s="61" t="n"/>
      <c r="D4380" s="61" t="n"/>
      <c r="E4380" s="61" t="n"/>
      <c r="F4380" s="55" t="n"/>
      <c r="G4380" s="56" t="n"/>
      <c r="H4380" s="55" t="n"/>
      <c r="I4380" s="62" t="n"/>
      <c r="J4380" s="58" t="n"/>
      <c r="K4380" s="63">
        <f>IF(tblMovement[[#This Row],[Source]]="","",IFERROR(INDEX(tblSources[Type],MATCH(tblMovement[[#This Row],[Source]],tblSources[Source],0)),"?"))</f>
        <v/>
      </c>
      <c r="L4380" s="63">
        <f>IF(tblMovement[[#This Row],[Destination]]="","",IFERROR(INDEX(tblDestinations[Type],MATCH(tblMovement[[#This Row],[Destination]],tblDestinations[Destination],0)),"?"))</f>
        <v/>
      </c>
      <c r="M4380" s="64">
        <f>IF(tblMovement[[#This Row],[Material]]="","",IF(LEFT(tblMovement[[#This Row],[Material]],3)="Ore",1,0))</f>
        <v/>
      </c>
      <c r="N4380" s="59">
        <f>IF(OR(tblMovement[[#This Row],[Tonnes_t]]="",tblMovement[[#This Row],[Grade_gpt]]=""),0,tblMovement[[#This Row],[Tonnes_t]]*tblMovement[[#This Row],[Grade_gpt]]/cfg_TroyOz)</f>
        <v/>
      </c>
      <c r="O4380" s="59">
        <f>IF(tblMovement[[#This Row],[Is_Ore]]=1,tblMovement[[#This Row],[Contained_oz]],0)</f>
        <v/>
      </c>
    </row>
    <row r="4381">
      <c r="A4381" s="54" t="n"/>
      <c r="B4381" s="61" t="n"/>
      <c r="C4381" s="61" t="n"/>
      <c r="D4381" s="61" t="n"/>
      <c r="E4381" s="61" t="n"/>
      <c r="F4381" s="55" t="n"/>
      <c r="G4381" s="56" t="n"/>
      <c r="H4381" s="55" t="n"/>
      <c r="I4381" s="62" t="n"/>
      <c r="J4381" s="58" t="n"/>
      <c r="K4381" s="63">
        <f>IF(tblMovement[[#This Row],[Source]]="","",IFERROR(INDEX(tblSources[Type],MATCH(tblMovement[[#This Row],[Source]],tblSources[Source],0)),"?"))</f>
        <v/>
      </c>
      <c r="L4381" s="63">
        <f>IF(tblMovement[[#This Row],[Destination]]="","",IFERROR(INDEX(tblDestinations[Type],MATCH(tblMovement[[#This Row],[Destination]],tblDestinations[Destination],0)),"?"))</f>
        <v/>
      </c>
      <c r="M4381" s="64">
        <f>IF(tblMovement[[#This Row],[Material]]="","",IF(LEFT(tblMovement[[#This Row],[Material]],3)="Ore",1,0))</f>
        <v/>
      </c>
      <c r="N4381" s="59">
        <f>IF(OR(tblMovement[[#This Row],[Tonnes_t]]="",tblMovement[[#This Row],[Grade_gpt]]=""),0,tblMovement[[#This Row],[Tonnes_t]]*tblMovement[[#This Row],[Grade_gpt]]/cfg_TroyOz)</f>
        <v/>
      </c>
      <c r="O4381" s="59">
        <f>IF(tblMovement[[#This Row],[Is_Ore]]=1,tblMovement[[#This Row],[Contained_oz]],0)</f>
        <v/>
      </c>
    </row>
    <row r="4382">
      <c r="A4382" s="54" t="n"/>
      <c r="B4382" s="61" t="n"/>
      <c r="C4382" s="61" t="n"/>
      <c r="D4382" s="61" t="n"/>
      <c r="E4382" s="61" t="n"/>
      <c r="F4382" s="55" t="n"/>
      <c r="G4382" s="56" t="n"/>
      <c r="H4382" s="55" t="n"/>
      <c r="I4382" s="62" t="n"/>
      <c r="J4382" s="58" t="n"/>
      <c r="K4382" s="63">
        <f>IF(tblMovement[[#This Row],[Source]]="","",IFERROR(INDEX(tblSources[Type],MATCH(tblMovement[[#This Row],[Source]],tblSources[Source],0)),"?"))</f>
        <v/>
      </c>
      <c r="L4382" s="63">
        <f>IF(tblMovement[[#This Row],[Destination]]="","",IFERROR(INDEX(tblDestinations[Type],MATCH(tblMovement[[#This Row],[Destination]],tblDestinations[Destination],0)),"?"))</f>
        <v/>
      </c>
      <c r="M4382" s="64">
        <f>IF(tblMovement[[#This Row],[Material]]="","",IF(LEFT(tblMovement[[#This Row],[Material]],3)="Ore",1,0))</f>
        <v/>
      </c>
      <c r="N4382" s="59">
        <f>IF(OR(tblMovement[[#This Row],[Tonnes_t]]="",tblMovement[[#This Row],[Grade_gpt]]=""),0,tblMovement[[#This Row],[Tonnes_t]]*tblMovement[[#This Row],[Grade_gpt]]/cfg_TroyOz)</f>
        <v/>
      </c>
      <c r="O4382" s="59">
        <f>IF(tblMovement[[#This Row],[Is_Ore]]=1,tblMovement[[#This Row],[Contained_oz]],0)</f>
        <v/>
      </c>
    </row>
    <row r="4383">
      <c r="A4383" s="54" t="n"/>
      <c r="B4383" s="61" t="n"/>
      <c r="C4383" s="61" t="n"/>
      <c r="D4383" s="61" t="n"/>
      <c r="E4383" s="61" t="n"/>
      <c r="F4383" s="55" t="n"/>
      <c r="G4383" s="56" t="n"/>
      <c r="H4383" s="55" t="n"/>
      <c r="I4383" s="62" t="n"/>
      <c r="J4383" s="58" t="n"/>
      <c r="K4383" s="63">
        <f>IF(tblMovement[[#This Row],[Source]]="","",IFERROR(INDEX(tblSources[Type],MATCH(tblMovement[[#This Row],[Source]],tblSources[Source],0)),"?"))</f>
        <v/>
      </c>
      <c r="L4383" s="63">
        <f>IF(tblMovement[[#This Row],[Destination]]="","",IFERROR(INDEX(tblDestinations[Type],MATCH(tblMovement[[#This Row],[Destination]],tblDestinations[Destination],0)),"?"))</f>
        <v/>
      </c>
      <c r="M4383" s="64">
        <f>IF(tblMovement[[#This Row],[Material]]="","",IF(LEFT(tblMovement[[#This Row],[Material]],3)="Ore",1,0))</f>
        <v/>
      </c>
      <c r="N4383" s="59">
        <f>IF(OR(tblMovement[[#This Row],[Tonnes_t]]="",tblMovement[[#This Row],[Grade_gpt]]=""),0,tblMovement[[#This Row],[Tonnes_t]]*tblMovement[[#This Row],[Grade_gpt]]/cfg_TroyOz)</f>
        <v/>
      </c>
      <c r="O4383" s="59">
        <f>IF(tblMovement[[#This Row],[Is_Ore]]=1,tblMovement[[#This Row],[Contained_oz]],0)</f>
        <v/>
      </c>
    </row>
    <row r="4384">
      <c r="A4384" s="54" t="n"/>
      <c r="B4384" s="61" t="n"/>
      <c r="C4384" s="61" t="n"/>
      <c r="D4384" s="61" t="n"/>
      <c r="E4384" s="61" t="n"/>
      <c r="F4384" s="55" t="n"/>
      <c r="G4384" s="56" t="n"/>
      <c r="H4384" s="55" t="n"/>
      <c r="I4384" s="62" t="n"/>
      <c r="J4384" s="58" t="n"/>
      <c r="K4384" s="63">
        <f>IF(tblMovement[[#This Row],[Source]]="","",IFERROR(INDEX(tblSources[Type],MATCH(tblMovement[[#This Row],[Source]],tblSources[Source],0)),"?"))</f>
        <v/>
      </c>
      <c r="L4384" s="63">
        <f>IF(tblMovement[[#This Row],[Destination]]="","",IFERROR(INDEX(tblDestinations[Type],MATCH(tblMovement[[#This Row],[Destination]],tblDestinations[Destination],0)),"?"))</f>
        <v/>
      </c>
      <c r="M4384" s="64">
        <f>IF(tblMovement[[#This Row],[Material]]="","",IF(LEFT(tblMovement[[#This Row],[Material]],3)="Ore",1,0))</f>
        <v/>
      </c>
      <c r="N4384" s="59">
        <f>IF(OR(tblMovement[[#This Row],[Tonnes_t]]="",tblMovement[[#This Row],[Grade_gpt]]=""),0,tblMovement[[#This Row],[Tonnes_t]]*tblMovement[[#This Row],[Grade_gpt]]/cfg_TroyOz)</f>
        <v/>
      </c>
      <c r="O4384" s="59">
        <f>IF(tblMovement[[#This Row],[Is_Ore]]=1,tblMovement[[#This Row],[Contained_oz]],0)</f>
        <v/>
      </c>
    </row>
    <row r="4385">
      <c r="A4385" s="54" t="n"/>
      <c r="B4385" s="61" t="n"/>
      <c r="C4385" s="61" t="n"/>
      <c r="D4385" s="61" t="n"/>
      <c r="E4385" s="61" t="n"/>
      <c r="F4385" s="55" t="n"/>
      <c r="G4385" s="56" t="n"/>
      <c r="H4385" s="55" t="n"/>
      <c r="I4385" s="62" t="n"/>
      <c r="J4385" s="58" t="n"/>
      <c r="K4385" s="63">
        <f>IF(tblMovement[[#This Row],[Source]]="","",IFERROR(INDEX(tblSources[Type],MATCH(tblMovement[[#This Row],[Source]],tblSources[Source],0)),"?"))</f>
        <v/>
      </c>
      <c r="L4385" s="63">
        <f>IF(tblMovement[[#This Row],[Destination]]="","",IFERROR(INDEX(tblDestinations[Type],MATCH(tblMovement[[#This Row],[Destination]],tblDestinations[Destination],0)),"?"))</f>
        <v/>
      </c>
      <c r="M4385" s="64">
        <f>IF(tblMovement[[#This Row],[Material]]="","",IF(LEFT(tblMovement[[#This Row],[Material]],3)="Ore",1,0))</f>
        <v/>
      </c>
      <c r="N4385" s="59">
        <f>IF(OR(tblMovement[[#This Row],[Tonnes_t]]="",tblMovement[[#This Row],[Grade_gpt]]=""),0,tblMovement[[#This Row],[Tonnes_t]]*tblMovement[[#This Row],[Grade_gpt]]/cfg_TroyOz)</f>
        <v/>
      </c>
      <c r="O4385" s="59">
        <f>IF(tblMovement[[#This Row],[Is_Ore]]=1,tblMovement[[#This Row],[Contained_oz]],0)</f>
        <v/>
      </c>
    </row>
    <row r="4386">
      <c r="A4386" s="54" t="n"/>
      <c r="B4386" s="61" t="n"/>
      <c r="C4386" s="61" t="n"/>
      <c r="D4386" s="61" t="n"/>
      <c r="E4386" s="61" t="n"/>
      <c r="F4386" s="55" t="n"/>
      <c r="G4386" s="56" t="n"/>
      <c r="H4386" s="55" t="n"/>
      <c r="I4386" s="62" t="n"/>
      <c r="J4386" s="58" t="n"/>
      <c r="K4386" s="63">
        <f>IF(tblMovement[[#This Row],[Source]]="","",IFERROR(INDEX(tblSources[Type],MATCH(tblMovement[[#This Row],[Source]],tblSources[Source],0)),"?"))</f>
        <v/>
      </c>
      <c r="L4386" s="63">
        <f>IF(tblMovement[[#This Row],[Destination]]="","",IFERROR(INDEX(tblDestinations[Type],MATCH(tblMovement[[#This Row],[Destination]],tblDestinations[Destination],0)),"?"))</f>
        <v/>
      </c>
      <c r="M4386" s="64">
        <f>IF(tblMovement[[#This Row],[Material]]="","",IF(LEFT(tblMovement[[#This Row],[Material]],3)="Ore",1,0))</f>
        <v/>
      </c>
      <c r="N4386" s="59">
        <f>IF(OR(tblMovement[[#This Row],[Tonnes_t]]="",tblMovement[[#This Row],[Grade_gpt]]=""),0,tblMovement[[#This Row],[Tonnes_t]]*tblMovement[[#This Row],[Grade_gpt]]/cfg_TroyOz)</f>
        <v/>
      </c>
      <c r="O4386" s="59">
        <f>IF(tblMovement[[#This Row],[Is_Ore]]=1,tblMovement[[#This Row],[Contained_oz]],0)</f>
        <v/>
      </c>
    </row>
    <row r="4387">
      <c r="A4387" s="54" t="n"/>
      <c r="B4387" s="61" t="n"/>
      <c r="C4387" s="61" t="n"/>
      <c r="D4387" s="61" t="n"/>
      <c r="E4387" s="61" t="n"/>
      <c r="F4387" s="55" t="n"/>
      <c r="G4387" s="56" t="n"/>
      <c r="H4387" s="55" t="n"/>
      <c r="I4387" s="62" t="n"/>
      <c r="J4387" s="58" t="n"/>
      <c r="K4387" s="63">
        <f>IF(tblMovement[[#This Row],[Source]]="","",IFERROR(INDEX(tblSources[Type],MATCH(tblMovement[[#This Row],[Source]],tblSources[Source],0)),"?"))</f>
        <v/>
      </c>
      <c r="L4387" s="63">
        <f>IF(tblMovement[[#This Row],[Destination]]="","",IFERROR(INDEX(tblDestinations[Type],MATCH(tblMovement[[#This Row],[Destination]],tblDestinations[Destination],0)),"?"))</f>
        <v/>
      </c>
      <c r="M4387" s="64">
        <f>IF(tblMovement[[#This Row],[Material]]="","",IF(LEFT(tblMovement[[#This Row],[Material]],3)="Ore",1,0))</f>
        <v/>
      </c>
      <c r="N4387" s="59">
        <f>IF(OR(tblMovement[[#This Row],[Tonnes_t]]="",tblMovement[[#This Row],[Grade_gpt]]=""),0,tblMovement[[#This Row],[Tonnes_t]]*tblMovement[[#This Row],[Grade_gpt]]/cfg_TroyOz)</f>
        <v/>
      </c>
      <c r="O4387" s="59">
        <f>IF(tblMovement[[#This Row],[Is_Ore]]=1,tblMovement[[#This Row],[Contained_oz]],0)</f>
        <v/>
      </c>
    </row>
    <row r="4388">
      <c r="A4388" s="54" t="n"/>
      <c r="B4388" s="61" t="n"/>
      <c r="C4388" s="61" t="n"/>
      <c r="D4388" s="61" t="n"/>
      <c r="E4388" s="61" t="n"/>
      <c r="F4388" s="55" t="n"/>
      <c r="G4388" s="56" t="n"/>
      <c r="H4388" s="55" t="n"/>
      <c r="I4388" s="62" t="n"/>
      <c r="J4388" s="58" t="n"/>
      <c r="K4388" s="63">
        <f>IF(tblMovement[[#This Row],[Source]]="","",IFERROR(INDEX(tblSources[Type],MATCH(tblMovement[[#This Row],[Source]],tblSources[Source],0)),"?"))</f>
        <v/>
      </c>
      <c r="L4388" s="63">
        <f>IF(tblMovement[[#This Row],[Destination]]="","",IFERROR(INDEX(tblDestinations[Type],MATCH(tblMovement[[#This Row],[Destination]],tblDestinations[Destination],0)),"?"))</f>
        <v/>
      </c>
      <c r="M4388" s="64">
        <f>IF(tblMovement[[#This Row],[Material]]="","",IF(LEFT(tblMovement[[#This Row],[Material]],3)="Ore",1,0))</f>
        <v/>
      </c>
      <c r="N4388" s="59">
        <f>IF(OR(tblMovement[[#This Row],[Tonnes_t]]="",tblMovement[[#This Row],[Grade_gpt]]=""),0,tblMovement[[#This Row],[Tonnes_t]]*tblMovement[[#This Row],[Grade_gpt]]/cfg_TroyOz)</f>
        <v/>
      </c>
      <c r="O4388" s="59">
        <f>IF(tblMovement[[#This Row],[Is_Ore]]=1,tblMovement[[#This Row],[Contained_oz]],0)</f>
        <v/>
      </c>
    </row>
    <row r="4389">
      <c r="A4389" s="54" t="n"/>
      <c r="B4389" s="61" t="n"/>
      <c r="C4389" s="61" t="n"/>
      <c r="D4389" s="61" t="n"/>
      <c r="E4389" s="61" t="n"/>
      <c r="F4389" s="55" t="n"/>
      <c r="G4389" s="56" t="n"/>
      <c r="H4389" s="55" t="n"/>
      <c r="I4389" s="62" t="n"/>
      <c r="J4389" s="58" t="n"/>
      <c r="K4389" s="63">
        <f>IF(tblMovement[[#This Row],[Source]]="","",IFERROR(INDEX(tblSources[Type],MATCH(tblMovement[[#This Row],[Source]],tblSources[Source],0)),"?"))</f>
        <v/>
      </c>
      <c r="L4389" s="63">
        <f>IF(tblMovement[[#This Row],[Destination]]="","",IFERROR(INDEX(tblDestinations[Type],MATCH(tblMovement[[#This Row],[Destination]],tblDestinations[Destination],0)),"?"))</f>
        <v/>
      </c>
      <c r="M4389" s="64">
        <f>IF(tblMovement[[#This Row],[Material]]="","",IF(LEFT(tblMovement[[#This Row],[Material]],3)="Ore",1,0))</f>
        <v/>
      </c>
      <c r="N4389" s="59">
        <f>IF(OR(tblMovement[[#This Row],[Tonnes_t]]="",tblMovement[[#This Row],[Grade_gpt]]=""),0,tblMovement[[#This Row],[Tonnes_t]]*tblMovement[[#This Row],[Grade_gpt]]/cfg_TroyOz)</f>
        <v/>
      </c>
      <c r="O4389" s="59">
        <f>IF(tblMovement[[#This Row],[Is_Ore]]=1,tblMovement[[#This Row],[Contained_oz]],0)</f>
        <v/>
      </c>
    </row>
    <row r="4390">
      <c r="A4390" s="54" t="n"/>
      <c r="B4390" s="61" t="n"/>
      <c r="C4390" s="61" t="n"/>
      <c r="D4390" s="61" t="n"/>
      <c r="E4390" s="61" t="n"/>
      <c r="F4390" s="55" t="n"/>
      <c r="G4390" s="56" t="n"/>
      <c r="H4390" s="55" t="n"/>
      <c r="I4390" s="62" t="n"/>
      <c r="J4390" s="58" t="n"/>
      <c r="K4390" s="63">
        <f>IF(tblMovement[[#This Row],[Source]]="","",IFERROR(INDEX(tblSources[Type],MATCH(tblMovement[[#This Row],[Source]],tblSources[Source],0)),"?"))</f>
        <v/>
      </c>
      <c r="L4390" s="63">
        <f>IF(tblMovement[[#This Row],[Destination]]="","",IFERROR(INDEX(tblDestinations[Type],MATCH(tblMovement[[#This Row],[Destination]],tblDestinations[Destination],0)),"?"))</f>
        <v/>
      </c>
      <c r="M4390" s="64">
        <f>IF(tblMovement[[#This Row],[Material]]="","",IF(LEFT(tblMovement[[#This Row],[Material]],3)="Ore",1,0))</f>
        <v/>
      </c>
      <c r="N4390" s="59">
        <f>IF(OR(tblMovement[[#This Row],[Tonnes_t]]="",tblMovement[[#This Row],[Grade_gpt]]=""),0,tblMovement[[#This Row],[Tonnes_t]]*tblMovement[[#This Row],[Grade_gpt]]/cfg_TroyOz)</f>
        <v/>
      </c>
      <c r="O4390" s="59">
        <f>IF(tblMovement[[#This Row],[Is_Ore]]=1,tblMovement[[#This Row],[Contained_oz]],0)</f>
        <v/>
      </c>
    </row>
    <row r="4391">
      <c r="A4391" s="54" t="n"/>
      <c r="B4391" s="61" t="n"/>
      <c r="C4391" s="61" t="n"/>
      <c r="D4391" s="61" t="n"/>
      <c r="E4391" s="61" t="n"/>
      <c r="F4391" s="55" t="n"/>
      <c r="G4391" s="56" t="n"/>
      <c r="H4391" s="55" t="n"/>
      <c r="I4391" s="62" t="n"/>
      <c r="J4391" s="58" t="n"/>
      <c r="K4391" s="63">
        <f>IF(tblMovement[[#This Row],[Source]]="","",IFERROR(INDEX(tblSources[Type],MATCH(tblMovement[[#This Row],[Source]],tblSources[Source],0)),"?"))</f>
        <v/>
      </c>
      <c r="L4391" s="63">
        <f>IF(tblMovement[[#This Row],[Destination]]="","",IFERROR(INDEX(tblDestinations[Type],MATCH(tblMovement[[#This Row],[Destination]],tblDestinations[Destination],0)),"?"))</f>
        <v/>
      </c>
      <c r="M4391" s="64">
        <f>IF(tblMovement[[#This Row],[Material]]="","",IF(LEFT(tblMovement[[#This Row],[Material]],3)="Ore",1,0))</f>
        <v/>
      </c>
      <c r="N4391" s="59">
        <f>IF(OR(tblMovement[[#This Row],[Tonnes_t]]="",tblMovement[[#This Row],[Grade_gpt]]=""),0,tblMovement[[#This Row],[Tonnes_t]]*tblMovement[[#This Row],[Grade_gpt]]/cfg_TroyOz)</f>
        <v/>
      </c>
      <c r="O4391" s="59">
        <f>IF(tblMovement[[#This Row],[Is_Ore]]=1,tblMovement[[#This Row],[Contained_oz]],0)</f>
        <v/>
      </c>
    </row>
    <row r="4392">
      <c r="A4392" s="54" t="n"/>
      <c r="B4392" s="61" t="n"/>
      <c r="C4392" s="61" t="n"/>
      <c r="D4392" s="61" t="n"/>
      <c r="E4392" s="61" t="n"/>
      <c r="F4392" s="55" t="n"/>
      <c r="G4392" s="56" t="n"/>
      <c r="H4392" s="55" t="n"/>
      <c r="I4392" s="62" t="n"/>
      <c r="J4392" s="58" t="n"/>
      <c r="K4392" s="63">
        <f>IF(tblMovement[[#This Row],[Source]]="","",IFERROR(INDEX(tblSources[Type],MATCH(tblMovement[[#This Row],[Source]],tblSources[Source],0)),"?"))</f>
        <v/>
      </c>
      <c r="L4392" s="63">
        <f>IF(tblMovement[[#This Row],[Destination]]="","",IFERROR(INDEX(tblDestinations[Type],MATCH(tblMovement[[#This Row],[Destination]],tblDestinations[Destination],0)),"?"))</f>
        <v/>
      </c>
      <c r="M4392" s="64">
        <f>IF(tblMovement[[#This Row],[Material]]="","",IF(LEFT(tblMovement[[#This Row],[Material]],3)="Ore",1,0))</f>
        <v/>
      </c>
      <c r="N4392" s="59">
        <f>IF(OR(tblMovement[[#This Row],[Tonnes_t]]="",tblMovement[[#This Row],[Grade_gpt]]=""),0,tblMovement[[#This Row],[Tonnes_t]]*tblMovement[[#This Row],[Grade_gpt]]/cfg_TroyOz)</f>
        <v/>
      </c>
      <c r="O4392" s="59">
        <f>IF(tblMovement[[#This Row],[Is_Ore]]=1,tblMovement[[#This Row],[Contained_oz]],0)</f>
        <v/>
      </c>
    </row>
    <row r="4393">
      <c r="A4393" s="54" t="n"/>
      <c r="B4393" s="61" t="n"/>
      <c r="C4393" s="61" t="n"/>
      <c r="D4393" s="61" t="n"/>
      <c r="E4393" s="61" t="n"/>
      <c r="F4393" s="55" t="n"/>
      <c r="G4393" s="56" t="n"/>
      <c r="H4393" s="55" t="n"/>
      <c r="I4393" s="62" t="n"/>
      <c r="J4393" s="58" t="n"/>
      <c r="K4393" s="63">
        <f>IF(tblMovement[[#This Row],[Source]]="","",IFERROR(INDEX(tblSources[Type],MATCH(tblMovement[[#This Row],[Source]],tblSources[Source],0)),"?"))</f>
        <v/>
      </c>
      <c r="L4393" s="63">
        <f>IF(tblMovement[[#This Row],[Destination]]="","",IFERROR(INDEX(tblDestinations[Type],MATCH(tblMovement[[#This Row],[Destination]],tblDestinations[Destination],0)),"?"))</f>
        <v/>
      </c>
      <c r="M4393" s="64">
        <f>IF(tblMovement[[#This Row],[Material]]="","",IF(LEFT(tblMovement[[#This Row],[Material]],3)="Ore",1,0))</f>
        <v/>
      </c>
      <c r="N4393" s="59">
        <f>IF(OR(tblMovement[[#This Row],[Tonnes_t]]="",tblMovement[[#This Row],[Grade_gpt]]=""),0,tblMovement[[#This Row],[Tonnes_t]]*tblMovement[[#This Row],[Grade_gpt]]/cfg_TroyOz)</f>
        <v/>
      </c>
      <c r="O4393" s="59">
        <f>IF(tblMovement[[#This Row],[Is_Ore]]=1,tblMovement[[#This Row],[Contained_oz]],0)</f>
        <v/>
      </c>
    </row>
    <row r="4394">
      <c r="A4394" s="54" t="n"/>
      <c r="B4394" s="61" t="n"/>
      <c r="C4394" s="61" t="n"/>
      <c r="D4394" s="61" t="n"/>
      <c r="E4394" s="61" t="n"/>
      <c r="F4394" s="55" t="n"/>
      <c r="G4394" s="56" t="n"/>
      <c r="H4394" s="55" t="n"/>
      <c r="I4394" s="62" t="n"/>
      <c r="J4394" s="58" t="n"/>
      <c r="K4394" s="63">
        <f>IF(tblMovement[[#This Row],[Source]]="","",IFERROR(INDEX(tblSources[Type],MATCH(tblMovement[[#This Row],[Source]],tblSources[Source],0)),"?"))</f>
        <v/>
      </c>
      <c r="L4394" s="63">
        <f>IF(tblMovement[[#This Row],[Destination]]="","",IFERROR(INDEX(tblDestinations[Type],MATCH(tblMovement[[#This Row],[Destination]],tblDestinations[Destination],0)),"?"))</f>
        <v/>
      </c>
      <c r="M4394" s="64">
        <f>IF(tblMovement[[#This Row],[Material]]="","",IF(LEFT(tblMovement[[#This Row],[Material]],3)="Ore",1,0))</f>
        <v/>
      </c>
      <c r="N4394" s="59">
        <f>IF(OR(tblMovement[[#This Row],[Tonnes_t]]="",tblMovement[[#This Row],[Grade_gpt]]=""),0,tblMovement[[#This Row],[Tonnes_t]]*tblMovement[[#This Row],[Grade_gpt]]/cfg_TroyOz)</f>
        <v/>
      </c>
      <c r="O4394" s="59">
        <f>IF(tblMovement[[#This Row],[Is_Ore]]=1,tblMovement[[#This Row],[Contained_oz]],0)</f>
        <v/>
      </c>
    </row>
    <row r="4395">
      <c r="A4395" s="54" t="n"/>
      <c r="B4395" s="61" t="n"/>
      <c r="C4395" s="61" t="n"/>
      <c r="D4395" s="61" t="n"/>
      <c r="E4395" s="61" t="n"/>
      <c r="F4395" s="55" t="n"/>
      <c r="G4395" s="56" t="n"/>
      <c r="H4395" s="55" t="n"/>
      <c r="I4395" s="62" t="n"/>
      <c r="J4395" s="58" t="n"/>
      <c r="K4395" s="63">
        <f>IF(tblMovement[[#This Row],[Source]]="","",IFERROR(INDEX(tblSources[Type],MATCH(tblMovement[[#This Row],[Source]],tblSources[Source],0)),"?"))</f>
        <v/>
      </c>
      <c r="L4395" s="63">
        <f>IF(tblMovement[[#This Row],[Destination]]="","",IFERROR(INDEX(tblDestinations[Type],MATCH(tblMovement[[#This Row],[Destination]],tblDestinations[Destination],0)),"?"))</f>
        <v/>
      </c>
      <c r="M4395" s="64">
        <f>IF(tblMovement[[#This Row],[Material]]="","",IF(LEFT(tblMovement[[#This Row],[Material]],3)="Ore",1,0))</f>
        <v/>
      </c>
      <c r="N4395" s="59">
        <f>IF(OR(tblMovement[[#This Row],[Tonnes_t]]="",tblMovement[[#This Row],[Grade_gpt]]=""),0,tblMovement[[#This Row],[Tonnes_t]]*tblMovement[[#This Row],[Grade_gpt]]/cfg_TroyOz)</f>
        <v/>
      </c>
      <c r="O4395" s="59">
        <f>IF(tblMovement[[#This Row],[Is_Ore]]=1,tblMovement[[#This Row],[Contained_oz]],0)</f>
        <v/>
      </c>
    </row>
    <row r="4396">
      <c r="A4396" s="54" t="n"/>
      <c r="B4396" s="61" t="n"/>
      <c r="C4396" s="61" t="n"/>
      <c r="D4396" s="61" t="n"/>
      <c r="E4396" s="61" t="n"/>
      <c r="F4396" s="55" t="n"/>
      <c r="G4396" s="56" t="n"/>
      <c r="H4396" s="55" t="n"/>
      <c r="I4396" s="62" t="n"/>
      <c r="J4396" s="58" t="n"/>
      <c r="K4396" s="63">
        <f>IF(tblMovement[[#This Row],[Source]]="","",IFERROR(INDEX(tblSources[Type],MATCH(tblMovement[[#This Row],[Source]],tblSources[Source],0)),"?"))</f>
        <v/>
      </c>
      <c r="L4396" s="63">
        <f>IF(tblMovement[[#This Row],[Destination]]="","",IFERROR(INDEX(tblDestinations[Type],MATCH(tblMovement[[#This Row],[Destination]],tblDestinations[Destination],0)),"?"))</f>
        <v/>
      </c>
      <c r="M4396" s="64">
        <f>IF(tblMovement[[#This Row],[Material]]="","",IF(LEFT(tblMovement[[#This Row],[Material]],3)="Ore",1,0))</f>
        <v/>
      </c>
      <c r="N4396" s="59">
        <f>IF(OR(tblMovement[[#This Row],[Tonnes_t]]="",tblMovement[[#This Row],[Grade_gpt]]=""),0,tblMovement[[#This Row],[Tonnes_t]]*tblMovement[[#This Row],[Grade_gpt]]/cfg_TroyOz)</f>
        <v/>
      </c>
      <c r="O4396" s="59">
        <f>IF(tblMovement[[#This Row],[Is_Ore]]=1,tblMovement[[#This Row],[Contained_oz]],0)</f>
        <v/>
      </c>
    </row>
    <row r="4397">
      <c r="A4397" s="54" t="n"/>
      <c r="B4397" s="61" t="n"/>
      <c r="C4397" s="61" t="n"/>
      <c r="D4397" s="61" t="n"/>
      <c r="E4397" s="61" t="n"/>
      <c r="F4397" s="55" t="n"/>
      <c r="G4397" s="56" t="n"/>
      <c r="H4397" s="55" t="n"/>
      <c r="I4397" s="62" t="n"/>
      <c r="J4397" s="58" t="n"/>
      <c r="K4397" s="63">
        <f>IF(tblMovement[[#This Row],[Source]]="","",IFERROR(INDEX(tblSources[Type],MATCH(tblMovement[[#This Row],[Source]],tblSources[Source],0)),"?"))</f>
        <v/>
      </c>
      <c r="L4397" s="63">
        <f>IF(tblMovement[[#This Row],[Destination]]="","",IFERROR(INDEX(tblDestinations[Type],MATCH(tblMovement[[#This Row],[Destination]],tblDestinations[Destination],0)),"?"))</f>
        <v/>
      </c>
      <c r="M4397" s="64">
        <f>IF(tblMovement[[#This Row],[Material]]="","",IF(LEFT(tblMovement[[#This Row],[Material]],3)="Ore",1,0))</f>
        <v/>
      </c>
      <c r="N4397" s="59">
        <f>IF(OR(tblMovement[[#This Row],[Tonnes_t]]="",tblMovement[[#This Row],[Grade_gpt]]=""),0,tblMovement[[#This Row],[Tonnes_t]]*tblMovement[[#This Row],[Grade_gpt]]/cfg_TroyOz)</f>
        <v/>
      </c>
      <c r="O4397" s="59">
        <f>IF(tblMovement[[#This Row],[Is_Ore]]=1,tblMovement[[#This Row],[Contained_oz]],0)</f>
        <v/>
      </c>
    </row>
    <row r="4398">
      <c r="A4398" s="54" t="n"/>
      <c r="B4398" s="61" t="n"/>
      <c r="C4398" s="61" t="n"/>
      <c r="D4398" s="61" t="n"/>
      <c r="E4398" s="61" t="n"/>
      <c r="F4398" s="55" t="n"/>
      <c r="G4398" s="56" t="n"/>
      <c r="H4398" s="55" t="n"/>
      <c r="I4398" s="62" t="n"/>
      <c r="J4398" s="58" t="n"/>
      <c r="K4398" s="63">
        <f>IF(tblMovement[[#This Row],[Source]]="","",IFERROR(INDEX(tblSources[Type],MATCH(tblMovement[[#This Row],[Source]],tblSources[Source],0)),"?"))</f>
        <v/>
      </c>
      <c r="L4398" s="63">
        <f>IF(tblMovement[[#This Row],[Destination]]="","",IFERROR(INDEX(tblDestinations[Type],MATCH(tblMovement[[#This Row],[Destination]],tblDestinations[Destination],0)),"?"))</f>
        <v/>
      </c>
      <c r="M4398" s="64">
        <f>IF(tblMovement[[#This Row],[Material]]="","",IF(LEFT(tblMovement[[#This Row],[Material]],3)="Ore",1,0))</f>
        <v/>
      </c>
      <c r="N4398" s="59">
        <f>IF(OR(tblMovement[[#This Row],[Tonnes_t]]="",tblMovement[[#This Row],[Grade_gpt]]=""),0,tblMovement[[#This Row],[Tonnes_t]]*tblMovement[[#This Row],[Grade_gpt]]/cfg_TroyOz)</f>
        <v/>
      </c>
      <c r="O4398" s="59">
        <f>IF(tblMovement[[#This Row],[Is_Ore]]=1,tblMovement[[#This Row],[Contained_oz]],0)</f>
        <v/>
      </c>
    </row>
    <row r="4399">
      <c r="A4399" s="54" t="n"/>
      <c r="B4399" s="61" t="n"/>
      <c r="C4399" s="61" t="n"/>
      <c r="D4399" s="61" t="n"/>
      <c r="E4399" s="61" t="n"/>
      <c r="F4399" s="55" t="n"/>
      <c r="G4399" s="56" t="n"/>
      <c r="H4399" s="55" t="n"/>
      <c r="I4399" s="62" t="n"/>
      <c r="J4399" s="58" t="n"/>
      <c r="K4399" s="63">
        <f>IF(tblMovement[[#This Row],[Source]]="","",IFERROR(INDEX(tblSources[Type],MATCH(tblMovement[[#This Row],[Source]],tblSources[Source],0)),"?"))</f>
        <v/>
      </c>
      <c r="L4399" s="63">
        <f>IF(tblMovement[[#This Row],[Destination]]="","",IFERROR(INDEX(tblDestinations[Type],MATCH(tblMovement[[#This Row],[Destination]],tblDestinations[Destination],0)),"?"))</f>
        <v/>
      </c>
      <c r="M4399" s="64">
        <f>IF(tblMovement[[#This Row],[Material]]="","",IF(LEFT(tblMovement[[#This Row],[Material]],3)="Ore",1,0))</f>
        <v/>
      </c>
      <c r="N4399" s="59">
        <f>IF(OR(tblMovement[[#This Row],[Tonnes_t]]="",tblMovement[[#This Row],[Grade_gpt]]=""),0,tblMovement[[#This Row],[Tonnes_t]]*tblMovement[[#This Row],[Grade_gpt]]/cfg_TroyOz)</f>
        <v/>
      </c>
      <c r="O4399" s="59">
        <f>IF(tblMovement[[#This Row],[Is_Ore]]=1,tblMovement[[#This Row],[Contained_oz]],0)</f>
        <v/>
      </c>
    </row>
    <row r="4400">
      <c r="A4400" s="54" t="n"/>
      <c r="B4400" s="61" t="n"/>
      <c r="C4400" s="61" t="n"/>
      <c r="D4400" s="61" t="n"/>
      <c r="E4400" s="61" t="n"/>
      <c r="F4400" s="55" t="n"/>
      <c r="G4400" s="56" t="n"/>
      <c r="H4400" s="55" t="n"/>
      <c r="I4400" s="62" t="n"/>
      <c r="J4400" s="58" t="n"/>
      <c r="K4400" s="63">
        <f>IF(tblMovement[[#This Row],[Source]]="","",IFERROR(INDEX(tblSources[Type],MATCH(tblMovement[[#This Row],[Source]],tblSources[Source],0)),"?"))</f>
        <v/>
      </c>
      <c r="L4400" s="63">
        <f>IF(tblMovement[[#This Row],[Destination]]="","",IFERROR(INDEX(tblDestinations[Type],MATCH(tblMovement[[#This Row],[Destination]],tblDestinations[Destination],0)),"?"))</f>
        <v/>
      </c>
      <c r="M4400" s="64">
        <f>IF(tblMovement[[#This Row],[Material]]="","",IF(LEFT(tblMovement[[#This Row],[Material]],3)="Ore",1,0))</f>
        <v/>
      </c>
      <c r="N4400" s="59">
        <f>IF(OR(tblMovement[[#This Row],[Tonnes_t]]="",tblMovement[[#This Row],[Grade_gpt]]=""),0,tblMovement[[#This Row],[Tonnes_t]]*tblMovement[[#This Row],[Grade_gpt]]/cfg_TroyOz)</f>
        <v/>
      </c>
      <c r="O4400" s="59">
        <f>IF(tblMovement[[#This Row],[Is_Ore]]=1,tblMovement[[#This Row],[Contained_oz]],0)</f>
        <v/>
      </c>
    </row>
    <row r="4401">
      <c r="A4401" s="54" t="n"/>
      <c r="B4401" s="61" t="n"/>
      <c r="C4401" s="61" t="n"/>
      <c r="D4401" s="61" t="n"/>
      <c r="E4401" s="61" t="n"/>
      <c r="F4401" s="55" t="n"/>
      <c r="G4401" s="56" t="n"/>
      <c r="H4401" s="55" t="n"/>
      <c r="I4401" s="62" t="n"/>
      <c r="J4401" s="58" t="n"/>
      <c r="K4401" s="63">
        <f>IF(tblMovement[[#This Row],[Source]]="","",IFERROR(INDEX(tblSources[Type],MATCH(tblMovement[[#This Row],[Source]],tblSources[Source],0)),"?"))</f>
        <v/>
      </c>
      <c r="L4401" s="63">
        <f>IF(tblMovement[[#This Row],[Destination]]="","",IFERROR(INDEX(tblDestinations[Type],MATCH(tblMovement[[#This Row],[Destination]],tblDestinations[Destination],0)),"?"))</f>
        <v/>
      </c>
      <c r="M4401" s="64">
        <f>IF(tblMovement[[#This Row],[Material]]="","",IF(LEFT(tblMovement[[#This Row],[Material]],3)="Ore",1,0))</f>
        <v/>
      </c>
      <c r="N4401" s="59">
        <f>IF(OR(tblMovement[[#This Row],[Tonnes_t]]="",tblMovement[[#This Row],[Grade_gpt]]=""),0,tblMovement[[#This Row],[Tonnes_t]]*tblMovement[[#This Row],[Grade_gpt]]/cfg_TroyOz)</f>
        <v/>
      </c>
      <c r="O4401" s="59">
        <f>IF(tblMovement[[#This Row],[Is_Ore]]=1,tblMovement[[#This Row],[Contained_oz]],0)</f>
        <v/>
      </c>
    </row>
    <row r="4402">
      <c r="A4402" s="54" t="n"/>
      <c r="B4402" s="61" t="n"/>
      <c r="C4402" s="61" t="n"/>
      <c r="D4402" s="61" t="n"/>
      <c r="E4402" s="61" t="n"/>
      <c r="F4402" s="55" t="n"/>
      <c r="G4402" s="56" t="n"/>
      <c r="H4402" s="55" t="n"/>
      <c r="I4402" s="62" t="n"/>
      <c r="J4402" s="58" t="n"/>
      <c r="K4402" s="63">
        <f>IF(tblMovement[[#This Row],[Source]]="","",IFERROR(INDEX(tblSources[Type],MATCH(tblMovement[[#This Row],[Source]],tblSources[Source],0)),"?"))</f>
        <v/>
      </c>
      <c r="L4402" s="63">
        <f>IF(tblMovement[[#This Row],[Destination]]="","",IFERROR(INDEX(tblDestinations[Type],MATCH(tblMovement[[#This Row],[Destination]],tblDestinations[Destination],0)),"?"))</f>
        <v/>
      </c>
      <c r="M4402" s="64">
        <f>IF(tblMovement[[#This Row],[Material]]="","",IF(LEFT(tblMovement[[#This Row],[Material]],3)="Ore",1,0))</f>
        <v/>
      </c>
      <c r="N4402" s="59">
        <f>IF(OR(tblMovement[[#This Row],[Tonnes_t]]="",tblMovement[[#This Row],[Grade_gpt]]=""),0,tblMovement[[#This Row],[Tonnes_t]]*tblMovement[[#This Row],[Grade_gpt]]/cfg_TroyOz)</f>
        <v/>
      </c>
      <c r="O4402" s="59">
        <f>IF(tblMovement[[#This Row],[Is_Ore]]=1,tblMovement[[#This Row],[Contained_oz]],0)</f>
        <v/>
      </c>
    </row>
    <row r="4403">
      <c r="A4403" s="54" t="n"/>
      <c r="B4403" s="61" t="n"/>
      <c r="C4403" s="61" t="n"/>
      <c r="D4403" s="61" t="n"/>
      <c r="E4403" s="61" t="n"/>
      <c r="F4403" s="55" t="n"/>
      <c r="G4403" s="56" t="n"/>
      <c r="H4403" s="55" t="n"/>
      <c r="I4403" s="62" t="n"/>
      <c r="J4403" s="58" t="n"/>
      <c r="K4403" s="63">
        <f>IF(tblMovement[[#This Row],[Source]]="","",IFERROR(INDEX(tblSources[Type],MATCH(tblMovement[[#This Row],[Source]],tblSources[Source],0)),"?"))</f>
        <v/>
      </c>
      <c r="L4403" s="63">
        <f>IF(tblMovement[[#This Row],[Destination]]="","",IFERROR(INDEX(tblDestinations[Type],MATCH(tblMovement[[#This Row],[Destination]],tblDestinations[Destination],0)),"?"))</f>
        <v/>
      </c>
      <c r="M4403" s="64">
        <f>IF(tblMovement[[#This Row],[Material]]="","",IF(LEFT(tblMovement[[#This Row],[Material]],3)="Ore",1,0))</f>
        <v/>
      </c>
      <c r="N4403" s="59">
        <f>IF(OR(tblMovement[[#This Row],[Tonnes_t]]="",tblMovement[[#This Row],[Grade_gpt]]=""),0,tblMovement[[#This Row],[Tonnes_t]]*tblMovement[[#This Row],[Grade_gpt]]/cfg_TroyOz)</f>
        <v/>
      </c>
      <c r="O4403" s="59">
        <f>IF(tblMovement[[#This Row],[Is_Ore]]=1,tblMovement[[#This Row],[Contained_oz]],0)</f>
        <v/>
      </c>
    </row>
    <row r="4404">
      <c r="A4404" s="54" t="n"/>
      <c r="B4404" s="61" t="n"/>
      <c r="C4404" s="61" t="n"/>
      <c r="D4404" s="61" t="n"/>
      <c r="E4404" s="61" t="n"/>
      <c r="F4404" s="55" t="n"/>
      <c r="G4404" s="56" t="n"/>
      <c r="H4404" s="55" t="n"/>
      <c r="I4404" s="62" t="n"/>
      <c r="J4404" s="58" t="n"/>
      <c r="K4404" s="63">
        <f>IF(tblMovement[[#This Row],[Source]]="","",IFERROR(INDEX(tblSources[Type],MATCH(tblMovement[[#This Row],[Source]],tblSources[Source],0)),"?"))</f>
        <v/>
      </c>
      <c r="L4404" s="63">
        <f>IF(tblMovement[[#This Row],[Destination]]="","",IFERROR(INDEX(tblDestinations[Type],MATCH(tblMovement[[#This Row],[Destination]],tblDestinations[Destination],0)),"?"))</f>
        <v/>
      </c>
      <c r="M4404" s="64">
        <f>IF(tblMovement[[#This Row],[Material]]="","",IF(LEFT(tblMovement[[#This Row],[Material]],3)="Ore",1,0))</f>
        <v/>
      </c>
      <c r="N4404" s="59">
        <f>IF(OR(tblMovement[[#This Row],[Tonnes_t]]="",tblMovement[[#This Row],[Grade_gpt]]=""),0,tblMovement[[#This Row],[Tonnes_t]]*tblMovement[[#This Row],[Grade_gpt]]/cfg_TroyOz)</f>
        <v/>
      </c>
      <c r="O4404" s="59">
        <f>IF(tblMovement[[#This Row],[Is_Ore]]=1,tblMovement[[#This Row],[Contained_oz]],0)</f>
        <v/>
      </c>
    </row>
    <row r="4405">
      <c r="A4405" s="54" t="n"/>
      <c r="B4405" s="61" t="n"/>
      <c r="C4405" s="61" t="n"/>
      <c r="D4405" s="61" t="n"/>
      <c r="E4405" s="61" t="n"/>
      <c r="F4405" s="55" t="n"/>
      <c r="G4405" s="56" t="n"/>
      <c r="H4405" s="55" t="n"/>
      <c r="I4405" s="62" t="n"/>
      <c r="J4405" s="58" t="n"/>
      <c r="K4405" s="63">
        <f>IF(tblMovement[[#This Row],[Source]]="","",IFERROR(INDEX(tblSources[Type],MATCH(tblMovement[[#This Row],[Source]],tblSources[Source],0)),"?"))</f>
        <v/>
      </c>
      <c r="L4405" s="63">
        <f>IF(tblMovement[[#This Row],[Destination]]="","",IFERROR(INDEX(tblDestinations[Type],MATCH(tblMovement[[#This Row],[Destination]],tblDestinations[Destination],0)),"?"))</f>
        <v/>
      </c>
      <c r="M4405" s="64">
        <f>IF(tblMovement[[#This Row],[Material]]="","",IF(LEFT(tblMovement[[#This Row],[Material]],3)="Ore",1,0))</f>
        <v/>
      </c>
      <c r="N4405" s="59">
        <f>IF(OR(tblMovement[[#This Row],[Tonnes_t]]="",tblMovement[[#This Row],[Grade_gpt]]=""),0,tblMovement[[#This Row],[Tonnes_t]]*tblMovement[[#This Row],[Grade_gpt]]/cfg_TroyOz)</f>
        <v/>
      </c>
      <c r="O4405" s="59">
        <f>IF(tblMovement[[#This Row],[Is_Ore]]=1,tblMovement[[#This Row],[Contained_oz]],0)</f>
        <v/>
      </c>
    </row>
    <row r="4406">
      <c r="A4406" s="54" t="n"/>
      <c r="B4406" s="61" t="n"/>
      <c r="C4406" s="61" t="n"/>
      <c r="D4406" s="61" t="n"/>
      <c r="E4406" s="61" t="n"/>
      <c r="F4406" s="55" t="n"/>
      <c r="G4406" s="56" t="n"/>
      <c r="H4406" s="55" t="n"/>
      <c r="I4406" s="62" t="n"/>
      <c r="J4406" s="58" t="n"/>
      <c r="K4406" s="63">
        <f>IF(tblMovement[[#This Row],[Source]]="","",IFERROR(INDEX(tblSources[Type],MATCH(tblMovement[[#This Row],[Source]],tblSources[Source],0)),"?"))</f>
        <v/>
      </c>
      <c r="L4406" s="63">
        <f>IF(tblMovement[[#This Row],[Destination]]="","",IFERROR(INDEX(tblDestinations[Type],MATCH(tblMovement[[#This Row],[Destination]],tblDestinations[Destination],0)),"?"))</f>
        <v/>
      </c>
      <c r="M4406" s="64">
        <f>IF(tblMovement[[#This Row],[Material]]="","",IF(LEFT(tblMovement[[#This Row],[Material]],3)="Ore",1,0))</f>
        <v/>
      </c>
      <c r="N4406" s="59">
        <f>IF(OR(tblMovement[[#This Row],[Tonnes_t]]="",tblMovement[[#This Row],[Grade_gpt]]=""),0,tblMovement[[#This Row],[Tonnes_t]]*tblMovement[[#This Row],[Grade_gpt]]/cfg_TroyOz)</f>
        <v/>
      </c>
      <c r="O4406" s="59">
        <f>IF(tblMovement[[#This Row],[Is_Ore]]=1,tblMovement[[#This Row],[Contained_oz]],0)</f>
        <v/>
      </c>
    </row>
    <row r="4407">
      <c r="A4407" s="54" t="n"/>
      <c r="B4407" s="61" t="n"/>
      <c r="C4407" s="61" t="n"/>
      <c r="D4407" s="61" t="n"/>
      <c r="E4407" s="61" t="n"/>
      <c r="F4407" s="55" t="n"/>
      <c r="G4407" s="56" t="n"/>
      <c r="H4407" s="55" t="n"/>
      <c r="I4407" s="62" t="n"/>
      <c r="J4407" s="58" t="n"/>
      <c r="K4407" s="63">
        <f>IF(tblMovement[[#This Row],[Source]]="","",IFERROR(INDEX(tblSources[Type],MATCH(tblMovement[[#This Row],[Source]],tblSources[Source],0)),"?"))</f>
        <v/>
      </c>
      <c r="L4407" s="63">
        <f>IF(tblMovement[[#This Row],[Destination]]="","",IFERROR(INDEX(tblDestinations[Type],MATCH(tblMovement[[#This Row],[Destination]],tblDestinations[Destination],0)),"?"))</f>
        <v/>
      </c>
      <c r="M4407" s="64">
        <f>IF(tblMovement[[#This Row],[Material]]="","",IF(LEFT(tblMovement[[#This Row],[Material]],3)="Ore",1,0))</f>
        <v/>
      </c>
      <c r="N4407" s="59">
        <f>IF(OR(tblMovement[[#This Row],[Tonnes_t]]="",tblMovement[[#This Row],[Grade_gpt]]=""),0,tblMovement[[#This Row],[Tonnes_t]]*tblMovement[[#This Row],[Grade_gpt]]/cfg_TroyOz)</f>
        <v/>
      </c>
      <c r="O4407" s="59">
        <f>IF(tblMovement[[#This Row],[Is_Ore]]=1,tblMovement[[#This Row],[Contained_oz]],0)</f>
        <v/>
      </c>
    </row>
    <row r="4408">
      <c r="A4408" s="54" t="n"/>
      <c r="B4408" s="61" t="n"/>
      <c r="C4408" s="61" t="n"/>
      <c r="D4408" s="61" t="n"/>
      <c r="E4408" s="61" t="n"/>
      <c r="F4408" s="55" t="n"/>
      <c r="G4408" s="56" t="n"/>
      <c r="H4408" s="55" t="n"/>
      <c r="I4408" s="62" t="n"/>
      <c r="J4408" s="58" t="n"/>
      <c r="K4408" s="63">
        <f>IF(tblMovement[[#This Row],[Source]]="","",IFERROR(INDEX(tblSources[Type],MATCH(tblMovement[[#This Row],[Source]],tblSources[Source],0)),"?"))</f>
        <v/>
      </c>
      <c r="L4408" s="63">
        <f>IF(tblMovement[[#This Row],[Destination]]="","",IFERROR(INDEX(tblDestinations[Type],MATCH(tblMovement[[#This Row],[Destination]],tblDestinations[Destination],0)),"?"))</f>
        <v/>
      </c>
      <c r="M4408" s="64">
        <f>IF(tblMovement[[#This Row],[Material]]="","",IF(LEFT(tblMovement[[#This Row],[Material]],3)="Ore",1,0))</f>
        <v/>
      </c>
      <c r="N4408" s="59">
        <f>IF(OR(tblMovement[[#This Row],[Tonnes_t]]="",tblMovement[[#This Row],[Grade_gpt]]=""),0,tblMovement[[#This Row],[Tonnes_t]]*tblMovement[[#This Row],[Grade_gpt]]/cfg_TroyOz)</f>
        <v/>
      </c>
      <c r="O4408" s="59">
        <f>IF(tblMovement[[#This Row],[Is_Ore]]=1,tblMovement[[#This Row],[Contained_oz]],0)</f>
        <v/>
      </c>
    </row>
    <row r="4409">
      <c r="A4409" s="54" t="n"/>
      <c r="B4409" s="61" t="n"/>
      <c r="C4409" s="61" t="n"/>
      <c r="D4409" s="61" t="n"/>
      <c r="E4409" s="61" t="n"/>
      <c r="F4409" s="55" t="n"/>
      <c r="G4409" s="56" t="n"/>
      <c r="H4409" s="55" t="n"/>
      <c r="I4409" s="62" t="n"/>
      <c r="J4409" s="58" t="n"/>
      <c r="K4409" s="63">
        <f>IF(tblMovement[[#This Row],[Source]]="","",IFERROR(INDEX(tblSources[Type],MATCH(tblMovement[[#This Row],[Source]],tblSources[Source],0)),"?"))</f>
        <v/>
      </c>
      <c r="L4409" s="63">
        <f>IF(tblMovement[[#This Row],[Destination]]="","",IFERROR(INDEX(tblDestinations[Type],MATCH(tblMovement[[#This Row],[Destination]],tblDestinations[Destination],0)),"?"))</f>
        <v/>
      </c>
      <c r="M4409" s="64">
        <f>IF(tblMovement[[#This Row],[Material]]="","",IF(LEFT(tblMovement[[#This Row],[Material]],3)="Ore",1,0))</f>
        <v/>
      </c>
      <c r="N4409" s="59">
        <f>IF(OR(tblMovement[[#This Row],[Tonnes_t]]="",tblMovement[[#This Row],[Grade_gpt]]=""),0,tblMovement[[#This Row],[Tonnes_t]]*tblMovement[[#This Row],[Grade_gpt]]/cfg_TroyOz)</f>
        <v/>
      </c>
      <c r="O4409" s="59">
        <f>IF(tblMovement[[#This Row],[Is_Ore]]=1,tblMovement[[#This Row],[Contained_oz]],0)</f>
        <v/>
      </c>
    </row>
    <row r="4410">
      <c r="A4410" s="54" t="n"/>
      <c r="B4410" s="61" t="n"/>
      <c r="C4410" s="61" t="n"/>
      <c r="D4410" s="61" t="n"/>
      <c r="E4410" s="61" t="n"/>
      <c r="F4410" s="55" t="n"/>
      <c r="G4410" s="56" t="n"/>
      <c r="H4410" s="55" t="n"/>
      <c r="I4410" s="62" t="n"/>
      <c r="J4410" s="58" t="n"/>
      <c r="K4410" s="63">
        <f>IF(tblMovement[[#This Row],[Source]]="","",IFERROR(INDEX(tblSources[Type],MATCH(tblMovement[[#This Row],[Source]],tblSources[Source],0)),"?"))</f>
        <v/>
      </c>
      <c r="L4410" s="63">
        <f>IF(tblMovement[[#This Row],[Destination]]="","",IFERROR(INDEX(tblDestinations[Type],MATCH(tblMovement[[#This Row],[Destination]],tblDestinations[Destination],0)),"?"))</f>
        <v/>
      </c>
      <c r="M4410" s="64">
        <f>IF(tblMovement[[#This Row],[Material]]="","",IF(LEFT(tblMovement[[#This Row],[Material]],3)="Ore",1,0))</f>
        <v/>
      </c>
      <c r="N4410" s="59">
        <f>IF(OR(tblMovement[[#This Row],[Tonnes_t]]="",tblMovement[[#This Row],[Grade_gpt]]=""),0,tblMovement[[#This Row],[Tonnes_t]]*tblMovement[[#This Row],[Grade_gpt]]/cfg_TroyOz)</f>
        <v/>
      </c>
      <c r="O4410" s="59">
        <f>IF(tblMovement[[#This Row],[Is_Ore]]=1,tblMovement[[#This Row],[Contained_oz]],0)</f>
        <v/>
      </c>
    </row>
    <row r="4411">
      <c r="A4411" s="54" t="n"/>
      <c r="B4411" s="61" t="n"/>
      <c r="C4411" s="61" t="n"/>
      <c r="D4411" s="61" t="n"/>
      <c r="E4411" s="61" t="n"/>
      <c r="F4411" s="55" t="n"/>
      <c r="G4411" s="56" t="n"/>
      <c r="H4411" s="55" t="n"/>
      <c r="I4411" s="62" t="n"/>
      <c r="J4411" s="58" t="n"/>
      <c r="K4411" s="63">
        <f>IF(tblMovement[[#This Row],[Source]]="","",IFERROR(INDEX(tblSources[Type],MATCH(tblMovement[[#This Row],[Source]],tblSources[Source],0)),"?"))</f>
        <v/>
      </c>
      <c r="L4411" s="63">
        <f>IF(tblMovement[[#This Row],[Destination]]="","",IFERROR(INDEX(tblDestinations[Type],MATCH(tblMovement[[#This Row],[Destination]],tblDestinations[Destination],0)),"?"))</f>
        <v/>
      </c>
      <c r="M4411" s="64">
        <f>IF(tblMovement[[#This Row],[Material]]="","",IF(LEFT(tblMovement[[#This Row],[Material]],3)="Ore",1,0))</f>
        <v/>
      </c>
      <c r="N4411" s="59">
        <f>IF(OR(tblMovement[[#This Row],[Tonnes_t]]="",tblMovement[[#This Row],[Grade_gpt]]=""),0,tblMovement[[#This Row],[Tonnes_t]]*tblMovement[[#This Row],[Grade_gpt]]/cfg_TroyOz)</f>
        <v/>
      </c>
      <c r="O4411" s="59">
        <f>IF(tblMovement[[#This Row],[Is_Ore]]=1,tblMovement[[#This Row],[Contained_oz]],0)</f>
        <v/>
      </c>
    </row>
    <row r="4412">
      <c r="A4412" s="54" t="n"/>
      <c r="B4412" s="61" t="n"/>
      <c r="C4412" s="61" t="n"/>
      <c r="D4412" s="61" t="n"/>
      <c r="E4412" s="61" t="n"/>
      <c r="F4412" s="55" t="n"/>
      <c r="G4412" s="56" t="n"/>
      <c r="H4412" s="55" t="n"/>
      <c r="I4412" s="62" t="n"/>
      <c r="J4412" s="58" t="n"/>
      <c r="K4412" s="63">
        <f>IF(tblMovement[[#This Row],[Source]]="","",IFERROR(INDEX(tblSources[Type],MATCH(tblMovement[[#This Row],[Source]],tblSources[Source],0)),"?"))</f>
        <v/>
      </c>
      <c r="L4412" s="63">
        <f>IF(tblMovement[[#This Row],[Destination]]="","",IFERROR(INDEX(tblDestinations[Type],MATCH(tblMovement[[#This Row],[Destination]],tblDestinations[Destination],0)),"?"))</f>
        <v/>
      </c>
      <c r="M4412" s="64">
        <f>IF(tblMovement[[#This Row],[Material]]="","",IF(LEFT(tblMovement[[#This Row],[Material]],3)="Ore",1,0))</f>
        <v/>
      </c>
      <c r="N4412" s="59">
        <f>IF(OR(tblMovement[[#This Row],[Tonnes_t]]="",tblMovement[[#This Row],[Grade_gpt]]=""),0,tblMovement[[#This Row],[Tonnes_t]]*tblMovement[[#This Row],[Grade_gpt]]/cfg_TroyOz)</f>
        <v/>
      </c>
      <c r="O4412" s="59">
        <f>IF(tblMovement[[#This Row],[Is_Ore]]=1,tblMovement[[#This Row],[Contained_oz]],0)</f>
        <v/>
      </c>
    </row>
    <row r="4413">
      <c r="A4413" s="54" t="n"/>
      <c r="B4413" s="61" t="n"/>
      <c r="C4413" s="61" t="n"/>
      <c r="D4413" s="61" t="n"/>
      <c r="E4413" s="61" t="n"/>
      <c r="F4413" s="55" t="n"/>
      <c r="G4413" s="56" t="n"/>
      <c r="H4413" s="55" t="n"/>
      <c r="I4413" s="62" t="n"/>
      <c r="J4413" s="58" t="n"/>
      <c r="K4413" s="63">
        <f>IF(tblMovement[[#This Row],[Source]]="","",IFERROR(INDEX(tblSources[Type],MATCH(tblMovement[[#This Row],[Source]],tblSources[Source],0)),"?"))</f>
        <v/>
      </c>
      <c r="L4413" s="63">
        <f>IF(tblMovement[[#This Row],[Destination]]="","",IFERROR(INDEX(tblDestinations[Type],MATCH(tblMovement[[#This Row],[Destination]],tblDestinations[Destination],0)),"?"))</f>
        <v/>
      </c>
      <c r="M4413" s="64">
        <f>IF(tblMovement[[#This Row],[Material]]="","",IF(LEFT(tblMovement[[#This Row],[Material]],3)="Ore",1,0))</f>
        <v/>
      </c>
      <c r="N4413" s="59">
        <f>IF(OR(tblMovement[[#This Row],[Tonnes_t]]="",tblMovement[[#This Row],[Grade_gpt]]=""),0,tblMovement[[#This Row],[Tonnes_t]]*tblMovement[[#This Row],[Grade_gpt]]/cfg_TroyOz)</f>
        <v/>
      </c>
      <c r="O4413" s="59">
        <f>IF(tblMovement[[#This Row],[Is_Ore]]=1,tblMovement[[#This Row],[Contained_oz]],0)</f>
        <v/>
      </c>
    </row>
    <row r="4414">
      <c r="A4414" s="54" t="n"/>
      <c r="B4414" s="61" t="n"/>
      <c r="C4414" s="61" t="n"/>
      <c r="D4414" s="61" t="n"/>
      <c r="E4414" s="61" t="n"/>
      <c r="F4414" s="55" t="n"/>
      <c r="G4414" s="56" t="n"/>
      <c r="H4414" s="55" t="n"/>
      <c r="I4414" s="62" t="n"/>
      <c r="J4414" s="58" t="n"/>
      <c r="K4414" s="63">
        <f>IF(tblMovement[[#This Row],[Source]]="","",IFERROR(INDEX(tblSources[Type],MATCH(tblMovement[[#This Row],[Source]],tblSources[Source],0)),"?"))</f>
        <v/>
      </c>
      <c r="L4414" s="63">
        <f>IF(tblMovement[[#This Row],[Destination]]="","",IFERROR(INDEX(tblDestinations[Type],MATCH(tblMovement[[#This Row],[Destination]],tblDestinations[Destination],0)),"?"))</f>
        <v/>
      </c>
      <c r="M4414" s="64">
        <f>IF(tblMovement[[#This Row],[Material]]="","",IF(LEFT(tblMovement[[#This Row],[Material]],3)="Ore",1,0))</f>
        <v/>
      </c>
      <c r="N4414" s="59">
        <f>IF(OR(tblMovement[[#This Row],[Tonnes_t]]="",tblMovement[[#This Row],[Grade_gpt]]=""),0,tblMovement[[#This Row],[Tonnes_t]]*tblMovement[[#This Row],[Grade_gpt]]/cfg_TroyOz)</f>
        <v/>
      </c>
      <c r="O4414" s="59">
        <f>IF(tblMovement[[#This Row],[Is_Ore]]=1,tblMovement[[#This Row],[Contained_oz]],0)</f>
        <v/>
      </c>
    </row>
    <row r="4415">
      <c r="A4415" s="54" t="n"/>
      <c r="B4415" s="61" t="n"/>
      <c r="C4415" s="61" t="n"/>
      <c r="D4415" s="61" t="n"/>
      <c r="E4415" s="61" t="n"/>
      <c r="F4415" s="55" t="n"/>
      <c r="G4415" s="56" t="n"/>
      <c r="H4415" s="55" t="n"/>
      <c r="I4415" s="62" t="n"/>
      <c r="J4415" s="58" t="n"/>
      <c r="K4415" s="63">
        <f>IF(tblMovement[[#This Row],[Source]]="","",IFERROR(INDEX(tblSources[Type],MATCH(tblMovement[[#This Row],[Source]],tblSources[Source],0)),"?"))</f>
        <v/>
      </c>
      <c r="L4415" s="63">
        <f>IF(tblMovement[[#This Row],[Destination]]="","",IFERROR(INDEX(tblDestinations[Type],MATCH(tblMovement[[#This Row],[Destination]],tblDestinations[Destination],0)),"?"))</f>
        <v/>
      </c>
      <c r="M4415" s="64">
        <f>IF(tblMovement[[#This Row],[Material]]="","",IF(LEFT(tblMovement[[#This Row],[Material]],3)="Ore",1,0))</f>
        <v/>
      </c>
      <c r="N4415" s="59">
        <f>IF(OR(tblMovement[[#This Row],[Tonnes_t]]="",tblMovement[[#This Row],[Grade_gpt]]=""),0,tblMovement[[#This Row],[Tonnes_t]]*tblMovement[[#This Row],[Grade_gpt]]/cfg_TroyOz)</f>
        <v/>
      </c>
      <c r="O4415" s="59">
        <f>IF(tblMovement[[#This Row],[Is_Ore]]=1,tblMovement[[#This Row],[Contained_oz]],0)</f>
        <v/>
      </c>
    </row>
    <row r="4416">
      <c r="A4416" s="54" t="n"/>
      <c r="B4416" s="61" t="n"/>
      <c r="C4416" s="61" t="n"/>
      <c r="D4416" s="61" t="n"/>
      <c r="E4416" s="61" t="n"/>
      <c r="F4416" s="55" t="n"/>
      <c r="G4416" s="56" t="n"/>
      <c r="H4416" s="55" t="n"/>
      <c r="I4416" s="62" t="n"/>
      <c r="J4416" s="58" t="n"/>
      <c r="K4416" s="63">
        <f>IF(tblMovement[[#This Row],[Source]]="","",IFERROR(INDEX(tblSources[Type],MATCH(tblMovement[[#This Row],[Source]],tblSources[Source],0)),"?"))</f>
        <v/>
      </c>
      <c r="L4416" s="63">
        <f>IF(tblMovement[[#This Row],[Destination]]="","",IFERROR(INDEX(tblDestinations[Type],MATCH(tblMovement[[#This Row],[Destination]],tblDestinations[Destination],0)),"?"))</f>
        <v/>
      </c>
      <c r="M4416" s="64">
        <f>IF(tblMovement[[#This Row],[Material]]="","",IF(LEFT(tblMovement[[#This Row],[Material]],3)="Ore",1,0))</f>
        <v/>
      </c>
      <c r="N4416" s="59">
        <f>IF(OR(tblMovement[[#This Row],[Tonnes_t]]="",tblMovement[[#This Row],[Grade_gpt]]=""),0,tblMovement[[#This Row],[Tonnes_t]]*tblMovement[[#This Row],[Grade_gpt]]/cfg_TroyOz)</f>
        <v/>
      </c>
      <c r="O4416" s="59">
        <f>IF(tblMovement[[#This Row],[Is_Ore]]=1,tblMovement[[#This Row],[Contained_oz]],0)</f>
        <v/>
      </c>
    </row>
    <row r="4417">
      <c r="A4417" s="54" t="n"/>
      <c r="B4417" s="61" t="n"/>
      <c r="C4417" s="61" t="n"/>
      <c r="D4417" s="61" t="n"/>
      <c r="E4417" s="61" t="n"/>
      <c r="F4417" s="55" t="n"/>
      <c r="G4417" s="56" t="n"/>
      <c r="H4417" s="55" t="n"/>
      <c r="I4417" s="62" t="n"/>
      <c r="J4417" s="58" t="n"/>
      <c r="K4417" s="63">
        <f>IF(tblMovement[[#This Row],[Source]]="","",IFERROR(INDEX(tblSources[Type],MATCH(tblMovement[[#This Row],[Source]],tblSources[Source],0)),"?"))</f>
        <v/>
      </c>
      <c r="L4417" s="63">
        <f>IF(tblMovement[[#This Row],[Destination]]="","",IFERROR(INDEX(tblDestinations[Type],MATCH(tblMovement[[#This Row],[Destination]],tblDestinations[Destination],0)),"?"))</f>
        <v/>
      </c>
      <c r="M4417" s="64">
        <f>IF(tblMovement[[#This Row],[Material]]="","",IF(LEFT(tblMovement[[#This Row],[Material]],3)="Ore",1,0))</f>
        <v/>
      </c>
      <c r="N4417" s="59">
        <f>IF(OR(tblMovement[[#This Row],[Tonnes_t]]="",tblMovement[[#This Row],[Grade_gpt]]=""),0,tblMovement[[#This Row],[Tonnes_t]]*tblMovement[[#This Row],[Grade_gpt]]/cfg_TroyOz)</f>
        <v/>
      </c>
      <c r="O4417" s="59">
        <f>IF(tblMovement[[#This Row],[Is_Ore]]=1,tblMovement[[#This Row],[Contained_oz]],0)</f>
        <v/>
      </c>
    </row>
    <row r="4418">
      <c r="A4418" s="54" t="n"/>
      <c r="B4418" s="61" t="n"/>
      <c r="C4418" s="61" t="n"/>
      <c r="D4418" s="61" t="n"/>
      <c r="E4418" s="61" t="n"/>
      <c r="F4418" s="55" t="n"/>
      <c r="G4418" s="56" t="n"/>
      <c r="H4418" s="55" t="n"/>
      <c r="I4418" s="62" t="n"/>
      <c r="J4418" s="58" t="n"/>
      <c r="K4418" s="63">
        <f>IF(tblMovement[[#This Row],[Source]]="","",IFERROR(INDEX(tblSources[Type],MATCH(tblMovement[[#This Row],[Source]],tblSources[Source],0)),"?"))</f>
        <v/>
      </c>
      <c r="L4418" s="63">
        <f>IF(tblMovement[[#This Row],[Destination]]="","",IFERROR(INDEX(tblDestinations[Type],MATCH(tblMovement[[#This Row],[Destination]],tblDestinations[Destination],0)),"?"))</f>
        <v/>
      </c>
      <c r="M4418" s="64">
        <f>IF(tblMovement[[#This Row],[Material]]="","",IF(LEFT(tblMovement[[#This Row],[Material]],3)="Ore",1,0))</f>
        <v/>
      </c>
      <c r="N4418" s="59">
        <f>IF(OR(tblMovement[[#This Row],[Tonnes_t]]="",tblMovement[[#This Row],[Grade_gpt]]=""),0,tblMovement[[#This Row],[Tonnes_t]]*tblMovement[[#This Row],[Grade_gpt]]/cfg_TroyOz)</f>
        <v/>
      </c>
      <c r="O4418" s="59">
        <f>IF(tblMovement[[#This Row],[Is_Ore]]=1,tblMovement[[#This Row],[Contained_oz]],0)</f>
        <v/>
      </c>
    </row>
    <row r="4419">
      <c r="A4419" s="54" t="n"/>
      <c r="B4419" s="61" t="n"/>
      <c r="C4419" s="61" t="n"/>
      <c r="D4419" s="61" t="n"/>
      <c r="E4419" s="61" t="n"/>
      <c r="F4419" s="55" t="n"/>
      <c r="G4419" s="56" t="n"/>
      <c r="H4419" s="55" t="n"/>
      <c r="I4419" s="62" t="n"/>
      <c r="J4419" s="58" t="n"/>
      <c r="K4419" s="63">
        <f>IF(tblMovement[[#This Row],[Source]]="","",IFERROR(INDEX(tblSources[Type],MATCH(tblMovement[[#This Row],[Source]],tblSources[Source],0)),"?"))</f>
        <v/>
      </c>
      <c r="L4419" s="63">
        <f>IF(tblMovement[[#This Row],[Destination]]="","",IFERROR(INDEX(tblDestinations[Type],MATCH(tblMovement[[#This Row],[Destination]],tblDestinations[Destination],0)),"?"))</f>
        <v/>
      </c>
      <c r="M4419" s="64">
        <f>IF(tblMovement[[#This Row],[Material]]="","",IF(LEFT(tblMovement[[#This Row],[Material]],3)="Ore",1,0))</f>
        <v/>
      </c>
      <c r="N4419" s="59">
        <f>IF(OR(tblMovement[[#This Row],[Tonnes_t]]="",tblMovement[[#This Row],[Grade_gpt]]=""),0,tblMovement[[#This Row],[Tonnes_t]]*tblMovement[[#This Row],[Grade_gpt]]/cfg_TroyOz)</f>
        <v/>
      </c>
      <c r="O4419" s="59">
        <f>IF(tblMovement[[#This Row],[Is_Ore]]=1,tblMovement[[#This Row],[Contained_oz]],0)</f>
        <v/>
      </c>
    </row>
    <row r="4420">
      <c r="A4420" s="54" t="n"/>
      <c r="B4420" s="61" t="n"/>
      <c r="C4420" s="61" t="n"/>
      <c r="D4420" s="61" t="n"/>
      <c r="E4420" s="61" t="n"/>
      <c r="F4420" s="55" t="n"/>
      <c r="G4420" s="56" t="n"/>
      <c r="H4420" s="55" t="n"/>
      <c r="I4420" s="62" t="n"/>
      <c r="J4420" s="58" t="n"/>
      <c r="K4420" s="63">
        <f>IF(tblMovement[[#This Row],[Source]]="","",IFERROR(INDEX(tblSources[Type],MATCH(tblMovement[[#This Row],[Source]],tblSources[Source],0)),"?"))</f>
        <v/>
      </c>
      <c r="L4420" s="63">
        <f>IF(tblMovement[[#This Row],[Destination]]="","",IFERROR(INDEX(tblDestinations[Type],MATCH(tblMovement[[#This Row],[Destination]],tblDestinations[Destination],0)),"?"))</f>
        <v/>
      </c>
      <c r="M4420" s="64">
        <f>IF(tblMovement[[#This Row],[Material]]="","",IF(LEFT(tblMovement[[#This Row],[Material]],3)="Ore",1,0))</f>
        <v/>
      </c>
      <c r="N4420" s="59">
        <f>IF(OR(tblMovement[[#This Row],[Tonnes_t]]="",tblMovement[[#This Row],[Grade_gpt]]=""),0,tblMovement[[#This Row],[Tonnes_t]]*tblMovement[[#This Row],[Grade_gpt]]/cfg_TroyOz)</f>
        <v/>
      </c>
      <c r="O4420" s="59">
        <f>IF(tblMovement[[#This Row],[Is_Ore]]=1,tblMovement[[#This Row],[Contained_oz]],0)</f>
        <v/>
      </c>
    </row>
    <row r="4421">
      <c r="A4421" s="54" t="n"/>
      <c r="B4421" s="61" t="n"/>
      <c r="C4421" s="61" t="n"/>
      <c r="D4421" s="61" t="n"/>
      <c r="E4421" s="61" t="n"/>
      <c r="F4421" s="55" t="n"/>
      <c r="G4421" s="56" t="n"/>
      <c r="H4421" s="55" t="n"/>
      <c r="I4421" s="62" t="n"/>
      <c r="J4421" s="58" t="n"/>
      <c r="K4421" s="63">
        <f>IF(tblMovement[[#This Row],[Source]]="","",IFERROR(INDEX(tblSources[Type],MATCH(tblMovement[[#This Row],[Source]],tblSources[Source],0)),"?"))</f>
        <v/>
      </c>
      <c r="L4421" s="63">
        <f>IF(tblMovement[[#This Row],[Destination]]="","",IFERROR(INDEX(tblDestinations[Type],MATCH(tblMovement[[#This Row],[Destination]],tblDestinations[Destination],0)),"?"))</f>
        <v/>
      </c>
      <c r="M4421" s="64">
        <f>IF(tblMovement[[#This Row],[Material]]="","",IF(LEFT(tblMovement[[#This Row],[Material]],3)="Ore",1,0))</f>
        <v/>
      </c>
      <c r="N4421" s="59">
        <f>IF(OR(tblMovement[[#This Row],[Tonnes_t]]="",tblMovement[[#This Row],[Grade_gpt]]=""),0,tblMovement[[#This Row],[Tonnes_t]]*tblMovement[[#This Row],[Grade_gpt]]/cfg_TroyOz)</f>
        <v/>
      </c>
      <c r="O4421" s="59">
        <f>IF(tblMovement[[#This Row],[Is_Ore]]=1,tblMovement[[#This Row],[Contained_oz]],0)</f>
        <v/>
      </c>
    </row>
    <row r="4422">
      <c r="A4422" s="54" t="n"/>
      <c r="B4422" s="61" t="n"/>
      <c r="C4422" s="61" t="n"/>
      <c r="D4422" s="61" t="n"/>
      <c r="E4422" s="61" t="n"/>
      <c r="F4422" s="55" t="n"/>
      <c r="G4422" s="56" t="n"/>
      <c r="H4422" s="55" t="n"/>
      <c r="I4422" s="62" t="n"/>
      <c r="J4422" s="58" t="n"/>
      <c r="K4422" s="63">
        <f>IF(tblMovement[[#This Row],[Source]]="","",IFERROR(INDEX(tblSources[Type],MATCH(tblMovement[[#This Row],[Source]],tblSources[Source],0)),"?"))</f>
        <v/>
      </c>
      <c r="L4422" s="63">
        <f>IF(tblMovement[[#This Row],[Destination]]="","",IFERROR(INDEX(tblDestinations[Type],MATCH(tblMovement[[#This Row],[Destination]],tblDestinations[Destination],0)),"?"))</f>
        <v/>
      </c>
      <c r="M4422" s="64">
        <f>IF(tblMovement[[#This Row],[Material]]="","",IF(LEFT(tblMovement[[#This Row],[Material]],3)="Ore",1,0))</f>
        <v/>
      </c>
      <c r="N4422" s="59">
        <f>IF(OR(tblMovement[[#This Row],[Tonnes_t]]="",tblMovement[[#This Row],[Grade_gpt]]=""),0,tblMovement[[#This Row],[Tonnes_t]]*tblMovement[[#This Row],[Grade_gpt]]/cfg_TroyOz)</f>
        <v/>
      </c>
      <c r="O4422" s="59">
        <f>IF(tblMovement[[#This Row],[Is_Ore]]=1,tblMovement[[#This Row],[Contained_oz]],0)</f>
        <v/>
      </c>
    </row>
    <row r="4423">
      <c r="A4423" s="54" t="n"/>
      <c r="B4423" s="61" t="n"/>
      <c r="C4423" s="61" t="n"/>
      <c r="D4423" s="61" t="n"/>
      <c r="E4423" s="61" t="n"/>
      <c r="F4423" s="55" t="n"/>
      <c r="G4423" s="56" t="n"/>
      <c r="H4423" s="55" t="n"/>
      <c r="I4423" s="62" t="n"/>
      <c r="J4423" s="58" t="n"/>
      <c r="K4423" s="63">
        <f>IF(tblMovement[[#This Row],[Source]]="","",IFERROR(INDEX(tblSources[Type],MATCH(tblMovement[[#This Row],[Source]],tblSources[Source],0)),"?"))</f>
        <v/>
      </c>
      <c r="L4423" s="63">
        <f>IF(tblMovement[[#This Row],[Destination]]="","",IFERROR(INDEX(tblDestinations[Type],MATCH(tblMovement[[#This Row],[Destination]],tblDestinations[Destination],0)),"?"))</f>
        <v/>
      </c>
      <c r="M4423" s="64">
        <f>IF(tblMovement[[#This Row],[Material]]="","",IF(LEFT(tblMovement[[#This Row],[Material]],3)="Ore",1,0))</f>
        <v/>
      </c>
      <c r="N4423" s="59">
        <f>IF(OR(tblMovement[[#This Row],[Tonnes_t]]="",tblMovement[[#This Row],[Grade_gpt]]=""),0,tblMovement[[#This Row],[Tonnes_t]]*tblMovement[[#This Row],[Grade_gpt]]/cfg_TroyOz)</f>
        <v/>
      </c>
      <c r="O4423" s="59">
        <f>IF(tblMovement[[#This Row],[Is_Ore]]=1,tblMovement[[#This Row],[Contained_oz]],0)</f>
        <v/>
      </c>
    </row>
    <row r="4424">
      <c r="A4424" s="54" t="n"/>
      <c r="B4424" s="61" t="n"/>
      <c r="C4424" s="61" t="n"/>
      <c r="D4424" s="61" t="n"/>
      <c r="E4424" s="61" t="n"/>
      <c r="F4424" s="55" t="n"/>
      <c r="G4424" s="56" t="n"/>
      <c r="H4424" s="55" t="n"/>
      <c r="I4424" s="62" t="n"/>
      <c r="J4424" s="58" t="n"/>
      <c r="K4424" s="63">
        <f>IF(tblMovement[[#This Row],[Source]]="","",IFERROR(INDEX(tblSources[Type],MATCH(tblMovement[[#This Row],[Source]],tblSources[Source],0)),"?"))</f>
        <v/>
      </c>
      <c r="L4424" s="63">
        <f>IF(tblMovement[[#This Row],[Destination]]="","",IFERROR(INDEX(tblDestinations[Type],MATCH(tblMovement[[#This Row],[Destination]],tblDestinations[Destination],0)),"?"))</f>
        <v/>
      </c>
      <c r="M4424" s="64">
        <f>IF(tblMovement[[#This Row],[Material]]="","",IF(LEFT(tblMovement[[#This Row],[Material]],3)="Ore",1,0))</f>
        <v/>
      </c>
      <c r="N4424" s="59">
        <f>IF(OR(tblMovement[[#This Row],[Tonnes_t]]="",tblMovement[[#This Row],[Grade_gpt]]=""),0,tblMovement[[#This Row],[Tonnes_t]]*tblMovement[[#This Row],[Grade_gpt]]/cfg_TroyOz)</f>
        <v/>
      </c>
      <c r="O4424" s="59">
        <f>IF(tblMovement[[#This Row],[Is_Ore]]=1,tblMovement[[#This Row],[Contained_oz]],0)</f>
        <v/>
      </c>
    </row>
    <row r="4425">
      <c r="A4425" s="54" t="n"/>
      <c r="B4425" s="61" t="n"/>
      <c r="C4425" s="61" t="n"/>
      <c r="D4425" s="61" t="n"/>
      <c r="E4425" s="61" t="n"/>
      <c r="F4425" s="55" t="n"/>
      <c r="G4425" s="56" t="n"/>
      <c r="H4425" s="55" t="n"/>
      <c r="I4425" s="62" t="n"/>
      <c r="J4425" s="58" t="n"/>
      <c r="K4425" s="63">
        <f>IF(tblMovement[[#This Row],[Source]]="","",IFERROR(INDEX(tblSources[Type],MATCH(tblMovement[[#This Row],[Source]],tblSources[Source],0)),"?"))</f>
        <v/>
      </c>
      <c r="L4425" s="63">
        <f>IF(tblMovement[[#This Row],[Destination]]="","",IFERROR(INDEX(tblDestinations[Type],MATCH(tblMovement[[#This Row],[Destination]],tblDestinations[Destination],0)),"?"))</f>
        <v/>
      </c>
      <c r="M4425" s="64">
        <f>IF(tblMovement[[#This Row],[Material]]="","",IF(LEFT(tblMovement[[#This Row],[Material]],3)="Ore",1,0))</f>
        <v/>
      </c>
      <c r="N4425" s="59">
        <f>IF(OR(tblMovement[[#This Row],[Tonnes_t]]="",tblMovement[[#This Row],[Grade_gpt]]=""),0,tblMovement[[#This Row],[Tonnes_t]]*tblMovement[[#This Row],[Grade_gpt]]/cfg_TroyOz)</f>
        <v/>
      </c>
      <c r="O4425" s="59">
        <f>IF(tblMovement[[#This Row],[Is_Ore]]=1,tblMovement[[#This Row],[Contained_oz]],0)</f>
        <v/>
      </c>
    </row>
    <row r="4426">
      <c r="A4426" s="54" t="n"/>
      <c r="B4426" s="61" t="n"/>
      <c r="C4426" s="61" t="n"/>
      <c r="D4426" s="61" t="n"/>
      <c r="E4426" s="61" t="n"/>
      <c r="F4426" s="55" t="n"/>
      <c r="G4426" s="56" t="n"/>
      <c r="H4426" s="55" t="n"/>
      <c r="I4426" s="62" t="n"/>
      <c r="J4426" s="58" t="n"/>
      <c r="K4426" s="63">
        <f>IF(tblMovement[[#This Row],[Source]]="","",IFERROR(INDEX(tblSources[Type],MATCH(tblMovement[[#This Row],[Source]],tblSources[Source],0)),"?"))</f>
        <v/>
      </c>
      <c r="L4426" s="63">
        <f>IF(tblMovement[[#This Row],[Destination]]="","",IFERROR(INDEX(tblDestinations[Type],MATCH(tblMovement[[#This Row],[Destination]],tblDestinations[Destination],0)),"?"))</f>
        <v/>
      </c>
      <c r="M4426" s="64">
        <f>IF(tblMovement[[#This Row],[Material]]="","",IF(LEFT(tblMovement[[#This Row],[Material]],3)="Ore",1,0))</f>
        <v/>
      </c>
      <c r="N4426" s="59">
        <f>IF(OR(tblMovement[[#This Row],[Tonnes_t]]="",tblMovement[[#This Row],[Grade_gpt]]=""),0,tblMovement[[#This Row],[Tonnes_t]]*tblMovement[[#This Row],[Grade_gpt]]/cfg_TroyOz)</f>
        <v/>
      </c>
      <c r="O4426" s="59">
        <f>IF(tblMovement[[#This Row],[Is_Ore]]=1,tblMovement[[#This Row],[Contained_oz]],0)</f>
        <v/>
      </c>
    </row>
    <row r="4427">
      <c r="A4427" s="54" t="n"/>
      <c r="B4427" s="61" t="n"/>
      <c r="C4427" s="61" t="n"/>
      <c r="D4427" s="61" t="n"/>
      <c r="E4427" s="61" t="n"/>
      <c r="F4427" s="55" t="n"/>
      <c r="G4427" s="56" t="n"/>
      <c r="H4427" s="55" t="n"/>
      <c r="I4427" s="62" t="n"/>
      <c r="J4427" s="58" t="n"/>
      <c r="K4427" s="63">
        <f>IF(tblMovement[[#This Row],[Source]]="","",IFERROR(INDEX(tblSources[Type],MATCH(tblMovement[[#This Row],[Source]],tblSources[Source],0)),"?"))</f>
        <v/>
      </c>
      <c r="L4427" s="63">
        <f>IF(tblMovement[[#This Row],[Destination]]="","",IFERROR(INDEX(tblDestinations[Type],MATCH(tblMovement[[#This Row],[Destination]],tblDestinations[Destination],0)),"?"))</f>
        <v/>
      </c>
      <c r="M4427" s="64">
        <f>IF(tblMovement[[#This Row],[Material]]="","",IF(LEFT(tblMovement[[#This Row],[Material]],3)="Ore",1,0))</f>
        <v/>
      </c>
      <c r="N4427" s="59">
        <f>IF(OR(tblMovement[[#This Row],[Tonnes_t]]="",tblMovement[[#This Row],[Grade_gpt]]=""),0,tblMovement[[#This Row],[Tonnes_t]]*tblMovement[[#This Row],[Grade_gpt]]/cfg_TroyOz)</f>
        <v/>
      </c>
      <c r="O4427" s="59">
        <f>IF(tblMovement[[#This Row],[Is_Ore]]=1,tblMovement[[#This Row],[Contained_oz]],0)</f>
        <v/>
      </c>
    </row>
    <row r="4428">
      <c r="A4428" s="54" t="n"/>
      <c r="B4428" s="61" t="n"/>
      <c r="C4428" s="61" t="n"/>
      <c r="D4428" s="61" t="n"/>
      <c r="E4428" s="61" t="n"/>
      <c r="F4428" s="55" t="n"/>
      <c r="G4428" s="56" t="n"/>
      <c r="H4428" s="55" t="n"/>
      <c r="I4428" s="62" t="n"/>
      <c r="J4428" s="58" t="n"/>
      <c r="K4428" s="63">
        <f>IF(tblMovement[[#This Row],[Source]]="","",IFERROR(INDEX(tblSources[Type],MATCH(tblMovement[[#This Row],[Source]],tblSources[Source],0)),"?"))</f>
        <v/>
      </c>
      <c r="L4428" s="63">
        <f>IF(tblMovement[[#This Row],[Destination]]="","",IFERROR(INDEX(tblDestinations[Type],MATCH(tblMovement[[#This Row],[Destination]],tblDestinations[Destination],0)),"?"))</f>
        <v/>
      </c>
      <c r="M4428" s="64">
        <f>IF(tblMovement[[#This Row],[Material]]="","",IF(LEFT(tblMovement[[#This Row],[Material]],3)="Ore",1,0))</f>
        <v/>
      </c>
      <c r="N4428" s="59">
        <f>IF(OR(tblMovement[[#This Row],[Tonnes_t]]="",tblMovement[[#This Row],[Grade_gpt]]=""),0,tblMovement[[#This Row],[Tonnes_t]]*tblMovement[[#This Row],[Grade_gpt]]/cfg_TroyOz)</f>
        <v/>
      </c>
      <c r="O4428" s="59">
        <f>IF(tblMovement[[#This Row],[Is_Ore]]=1,tblMovement[[#This Row],[Contained_oz]],0)</f>
        <v/>
      </c>
    </row>
    <row r="4429">
      <c r="A4429" s="54" t="n"/>
      <c r="B4429" s="61" t="n"/>
      <c r="C4429" s="61" t="n"/>
      <c r="D4429" s="61" t="n"/>
      <c r="E4429" s="61" t="n"/>
      <c r="F4429" s="55" t="n"/>
      <c r="G4429" s="56" t="n"/>
      <c r="H4429" s="55" t="n"/>
      <c r="I4429" s="62" t="n"/>
      <c r="J4429" s="58" t="n"/>
      <c r="K4429" s="63">
        <f>IF(tblMovement[[#This Row],[Source]]="","",IFERROR(INDEX(tblSources[Type],MATCH(tblMovement[[#This Row],[Source]],tblSources[Source],0)),"?"))</f>
        <v/>
      </c>
      <c r="L4429" s="63">
        <f>IF(tblMovement[[#This Row],[Destination]]="","",IFERROR(INDEX(tblDestinations[Type],MATCH(tblMovement[[#This Row],[Destination]],tblDestinations[Destination],0)),"?"))</f>
        <v/>
      </c>
      <c r="M4429" s="64">
        <f>IF(tblMovement[[#This Row],[Material]]="","",IF(LEFT(tblMovement[[#This Row],[Material]],3)="Ore",1,0))</f>
        <v/>
      </c>
      <c r="N4429" s="59">
        <f>IF(OR(tblMovement[[#This Row],[Tonnes_t]]="",tblMovement[[#This Row],[Grade_gpt]]=""),0,tblMovement[[#This Row],[Tonnes_t]]*tblMovement[[#This Row],[Grade_gpt]]/cfg_TroyOz)</f>
        <v/>
      </c>
      <c r="O4429" s="59">
        <f>IF(tblMovement[[#This Row],[Is_Ore]]=1,tblMovement[[#This Row],[Contained_oz]],0)</f>
        <v/>
      </c>
    </row>
    <row r="4430">
      <c r="A4430" s="54" t="n"/>
      <c r="B4430" s="61" t="n"/>
      <c r="C4430" s="61" t="n"/>
      <c r="D4430" s="61" t="n"/>
      <c r="E4430" s="61" t="n"/>
      <c r="F4430" s="55" t="n"/>
      <c r="G4430" s="56" t="n"/>
      <c r="H4430" s="55" t="n"/>
      <c r="I4430" s="62" t="n"/>
      <c r="J4430" s="58" t="n"/>
      <c r="K4430" s="63">
        <f>IF(tblMovement[[#This Row],[Source]]="","",IFERROR(INDEX(tblSources[Type],MATCH(tblMovement[[#This Row],[Source]],tblSources[Source],0)),"?"))</f>
        <v/>
      </c>
      <c r="L4430" s="63">
        <f>IF(tblMovement[[#This Row],[Destination]]="","",IFERROR(INDEX(tblDestinations[Type],MATCH(tblMovement[[#This Row],[Destination]],tblDestinations[Destination],0)),"?"))</f>
        <v/>
      </c>
      <c r="M4430" s="64">
        <f>IF(tblMovement[[#This Row],[Material]]="","",IF(LEFT(tblMovement[[#This Row],[Material]],3)="Ore",1,0))</f>
        <v/>
      </c>
      <c r="N4430" s="59">
        <f>IF(OR(tblMovement[[#This Row],[Tonnes_t]]="",tblMovement[[#This Row],[Grade_gpt]]=""),0,tblMovement[[#This Row],[Tonnes_t]]*tblMovement[[#This Row],[Grade_gpt]]/cfg_TroyOz)</f>
        <v/>
      </c>
      <c r="O4430" s="59">
        <f>IF(tblMovement[[#This Row],[Is_Ore]]=1,tblMovement[[#This Row],[Contained_oz]],0)</f>
        <v/>
      </c>
    </row>
    <row r="4431">
      <c r="A4431" s="54" t="n"/>
      <c r="B4431" s="61" t="n"/>
      <c r="C4431" s="61" t="n"/>
      <c r="D4431" s="61" t="n"/>
      <c r="E4431" s="61" t="n"/>
      <c r="F4431" s="55" t="n"/>
      <c r="G4431" s="56" t="n"/>
      <c r="H4431" s="55" t="n"/>
      <c r="I4431" s="62" t="n"/>
      <c r="J4431" s="58" t="n"/>
      <c r="K4431" s="63">
        <f>IF(tblMovement[[#This Row],[Source]]="","",IFERROR(INDEX(tblSources[Type],MATCH(tblMovement[[#This Row],[Source]],tblSources[Source],0)),"?"))</f>
        <v/>
      </c>
      <c r="L4431" s="63">
        <f>IF(tblMovement[[#This Row],[Destination]]="","",IFERROR(INDEX(tblDestinations[Type],MATCH(tblMovement[[#This Row],[Destination]],tblDestinations[Destination],0)),"?"))</f>
        <v/>
      </c>
      <c r="M4431" s="64">
        <f>IF(tblMovement[[#This Row],[Material]]="","",IF(LEFT(tblMovement[[#This Row],[Material]],3)="Ore",1,0))</f>
        <v/>
      </c>
      <c r="N4431" s="59">
        <f>IF(OR(tblMovement[[#This Row],[Tonnes_t]]="",tblMovement[[#This Row],[Grade_gpt]]=""),0,tblMovement[[#This Row],[Tonnes_t]]*tblMovement[[#This Row],[Grade_gpt]]/cfg_TroyOz)</f>
        <v/>
      </c>
      <c r="O4431" s="59">
        <f>IF(tblMovement[[#This Row],[Is_Ore]]=1,tblMovement[[#This Row],[Contained_oz]],0)</f>
        <v/>
      </c>
    </row>
    <row r="4432">
      <c r="A4432" s="54" t="n"/>
      <c r="B4432" s="61" t="n"/>
      <c r="C4432" s="61" t="n"/>
      <c r="D4432" s="61" t="n"/>
      <c r="E4432" s="61" t="n"/>
      <c r="F4432" s="55" t="n"/>
      <c r="G4432" s="56" t="n"/>
      <c r="H4432" s="55" t="n"/>
      <c r="I4432" s="62" t="n"/>
      <c r="J4432" s="58" t="n"/>
      <c r="K4432" s="63">
        <f>IF(tblMovement[[#This Row],[Source]]="","",IFERROR(INDEX(tblSources[Type],MATCH(tblMovement[[#This Row],[Source]],tblSources[Source],0)),"?"))</f>
        <v/>
      </c>
      <c r="L4432" s="63">
        <f>IF(tblMovement[[#This Row],[Destination]]="","",IFERROR(INDEX(tblDestinations[Type],MATCH(tblMovement[[#This Row],[Destination]],tblDestinations[Destination],0)),"?"))</f>
        <v/>
      </c>
      <c r="M4432" s="64">
        <f>IF(tblMovement[[#This Row],[Material]]="","",IF(LEFT(tblMovement[[#This Row],[Material]],3)="Ore",1,0))</f>
        <v/>
      </c>
      <c r="N4432" s="59">
        <f>IF(OR(tblMovement[[#This Row],[Tonnes_t]]="",tblMovement[[#This Row],[Grade_gpt]]=""),0,tblMovement[[#This Row],[Tonnes_t]]*tblMovement[[#This Row],[Grade_gpt]]/cfg_TroyOz)</f>
        <v/>
      </c>
      <c r="O4432" s="59">
        <f>IF(tblMovement[[#This Row],[Is_Ore]]=1,tblMovement[[#This Row],[Contained_oz]],0)</f>
        <v/>
      </c>
    </row>
    <row r="4433">
      <c r="A4433" s="54" t="n"/>
      <c r="B4433" s="61" t="n"/>
      <c r="C4433" s="61" t="n"/>
      <c r="D4433" s="61" t="n"/>
      <c r="E4433" s="61" t="n"/>
      <c r="F4433" s="55" t="n"/>
      <c r="G4433" s="56" t="n"/>
      <c r="H4433" s="55" t="n"/>
      <c r="I4433" s="62" t="n"/>
      <c r="J4433" s="58" t="n"/>
      <c r="K4433" s="63">
        <f>IF(tblMovement[[#This Row],[Source]]="","",IFERROR(INDEX(tblSources[Type],MATCH(tblMovement[[#This Row],[Source]],tblSources[Source],0)),"?"))</f>
        <v/>
      </c>
      <c r="L4433" s="63">
        <f>IF(tblMovement[[#This Row],[Destination]]="","",IFERROR(INDEX(tblDestinations[Type],MATCH(tblMovement[[#This Row],[Destination]],tblDestinations[Destination],0)),"?"))</f>
        <v/>
      </c>
      <c r="M4433" s="64">
        <f>IF(tblMovement[[#This Row],[Material]]="","",IF(LEFT(tblMovement[[#This Row],[Material]],3)="Ore",1,0))</f>
        <v/>
      </c>
      <c r="N4433" s="59">
        <f>IF(OR(tblMovement[[#This Row],[Tonnes_t]]="",tblMovement[[#This Row],[Grade_gpt]]=""),0,tblMovement[[#This Row],[Tonnes_t]]*tblMovement[[#This Row],[Grade_gpt]]/cfg_TroyOz)</f>
        <v/>
      </c>
      <c r="O4433" s="59">
        <f>IF(tblMovement[[#This Row],[Is_Ore]]=1,tblMovement[[#This Row],[Contained_oz]],0)</f>
        <v/>
      </c>
    </row>
    <row r="4434">
      <c r="A4434" s="54" t="n"/>
      <c r="B4434" s="61" t="n"/>
      <c r="C4434" s="61" t="n"/>
      <c r="D4434" s="61" t="n"/>
      <c r="E4434" s="61" t="n"/>
      <c r="F4434" s="55" t="n"/>
      <c r="G4434" s="56" t="n"/>
      <c r="H4434" s="55" t="n"/>
      <c r="I4434" s="62" t="n"/>
      <c r="J4434" s="58" t="n"/>
      <c r="K4434" s="63">
        <f>IF(tblMovement[[#This Row],[Source]]="","",IFERROR(INDEX(tblSources[Type],MATCH(tblMovement[[#This Row],[Source]],tblSources[Source],0)),"?"))</f>
        <v/>
      </c>
      <c r="L4434" s="63">
        <f>IF(tblMovement[[#This Row],[Destination]]="","",IFERROR(INDEX(tblDestinations[Type],MATCH(tblMovement[[#This Row],[Destination]],tblDestinations[Destination],0)),"?"))</f>
        <v/>
      </c>
      <c r="M4434" s="64">
        <f>IF(tblMovement[[#This Row],[Material]]="","",IF(LEFT(tblMovement[[#This Row],[Material]],3)="Ore",1,0))</f>
        <v/>
      </c>
      <c r="N4434" s="59">
        <f>IF(OR(tblMovement[[#This Row],[Tonnes_t]]="",tblMovement[[#This Row],[Grade_gpt]]=""),0,tblMovement[[#This Row],[Tonnes_t]]*tblMovement[[#This Row],[Grade_gpt]]/cfg_TroyOz)</f>
        <v/>
      </c>
      <c r="O4434" s="59">
        <f>IF(tblMovement[[#This Row],[Is_Ore]]=1,tblMovement[[#This Row],[Contained_oz]],0)</f>
        <v/>
      </c>
    </row>
    <row r="4435">
      <c r="A4435" s="54" t="n"/>
      <c r="B4435" s="61" t="n"/>
      <c r="C4435" s="61" t="n"/>
      <c r="D4435" s="61" t="n"/>
      <c r="E4435" s="61" t="n"/>
      <c r="F4435" s="55" t="n"/>
      <c r="G4435" s="56" t="n"/>
      <c r="H4435" s="55" t="n"/>
      <c r="I4435" s="62" t="n"/>
      <c r="J4435" s="58" t="n"/>
      <c r="K4435" s="63">
        <f>IF(tblMovement[[#This Row],[Source]]="","",IFERROR(INDEX(tblSources[Type],MATCH(tblMovement[[#This Row],[Source]],tblSources[Source],0)),"?"))</f>
        <v/>
      </c>
      <c r="L4435" s="63">
        <f>IF(tblMovement[[#This Row],[Destination]]="","",IFERROR(INDEX(tblDestinations[Type],MATCH(tblMovement[[#This Row],[Destination]],tblDestinations[Destination],0)),"?"))</f>
        <v/>
      </c>
      <c r="M4435" s="64">
        <f>IF(tblMovement[[#This Row],[Material]]="","",IF(LEFT(tblMovement[[#This Row],[Material]],3)="Ore",1,0))</f>
        <v/>
      </c>
      <c r="N4435" s="59">
        <f>IF(OR(tblMovement[[#This Row],[Tonnes_t]]="",tblMovement[[#This Row],[Grade_gpt]]=""),0,tblMovement[[#This Row],[Tonnes_t]]*tblMovement[[#This Row],[Grade_gpt]]/cfg_TroyOz)</f>
        <v/>
      </c>
      <c r="O4435" s="59">
        <f>IF(tblMovement[[#This Row],[Is_Ore]]=1,tblMovement[[#This Row],[Contained_oz]],0)</f>
        <v/>
      </c>
    </row>
    <row r="4436">
      <c r="A4436" s="54" t="n"/>
      <c r="B4436" s="61" t="n"/>
      <c r="C4436" s="61" t="n"/>
      <c r="D4436" s="61" t="n"/>
      <c r="E4436" s="61" t="n"/>
      <c r="F4436" s="55" t="n"/>
      <c r="G4436" s="56" t="n"/>
      <c r="H4436" s="55" t="n"/>
      <c r="I4436" s="62" t="n"/>
      <c r="J4436" s="58" t="n"/>
      <c r="K4436" s="63">
        <f>IF(tblMovement[[#This Row],[Source]]="","",IFERROR(INDEX(tblSources[Type],MATCH(tblMovement[[#This Row],[Source]],tblSources[Source],0)),"?"))</f>
        <v/>
      </c>
      <c r="L4436" s="63">
        <f>IF(tblMovement[[#This Row],[Destination]]="","",IFERROR(INDEX(tblDestinations[Type],MATCH(tblMovement[[#This Row],[Destination]],tblDestinations[Destination],0)),"?"))</f>
        <v/>
      </c>
      <c r="M4436" s="64">
        <f>IF(tblMovement[[#This Row],[Material]]="","",IF(LEFT(tblMovement[[#This Row],[Material]],3)="Ore",1,0))</f>
        <v/>
      </c>
      <c r="N4436" s="59">
        <f>IF(OR(tblMovement[[#This Row],[Tonnes_t]]="",tblMovement[[#This Row],[Grade_gpt]]=""),0,tblMovement[[#This Row],[Tonnes_t]]*tblMovement[[#This Row],[Grade_gpt]]/cfg_TroyOz)</f>
        <v/>
      </c>
      <c r="O4436" s="59">
        <f>IF(tblMovement[[#This Row],[Is_Ore]]=1,tblMovement[[#This Row],[Contained_oz]],0)</f>
        <v/>
      </c>
    </row>
    <row r="4437">
      <c r="A4437" s="54" t="n"/>
      <c r="B4437" s="61" t="n"/>
      <c r="C4437" s="61" t="n"/>
      <c r="D4437" s="61" t="n"/>
      <c r="E4437" s="61" t="n"/>
      <c r="F4437" s="55" t="n"/>
      <c r="G4437" s="56" t="n"/>
      <c r="H4437" s="55" t="n"/>
      <c r="I4437" s="62" t="n"/>
      <c r="J4437" s="58" t="n"/>
      <c r="K4437" s="63">
        <f>IF(tblMovement[[#This Row],[Source]]="","",IFERROR(INDEX(tblSources[Type],MATCH(tblMovement[[#This Row],[Source]],tblSources[Source],0)),"?"))</f>
        <v/>
      </c>
      <c r="L4437" s="63">
        <f>IF(tblMovement[[#This Row],[Destination]]="","",IFERROR(INDEX(tblDestinations[Type],MATCH(tblMovement[[#This Row],[Destination]],tblDestinations[Destination],0)),"?"))</f>
        <v/>
      </c>
      <c r="M4437" s="64">
        <f>IF(tblMovement[[#This Row],[Material]]="","",IF(LEFT(tblMovement[[#This Row],[Material]],3)="Ore",1,0))</f>
        <v/>
      </c>
      <c r="N4437" s="59">
        <f>IF(OR(tblMovement[[#This Row],[Tonnes_t]]="",tblMovement[[#This Row],[Grade_gpt]]=""),0,tblMovement[[#This Row],[Tonnes_t]]*tblMovement[[#This Row],[Grade_gpt]]/cfg_TroyOz)</f>
        <v/>
      </c>
      <c r="O4437" s="59">
        <f>IF(tblMovement[[#This Row],[Is_Ore]]=1,tblMovement[[#This Row],[Contained_oz]],0)</f>
        <v/>
      </c>
    </row>
    <row r="4438">
      <c r="A4438" s="54" t="n"/>
      <c r="B4438" s="61" t="n"/>
      <c r="C4438" s="61" t="n"/>
      <c r="D4438" s="61" t="n"/>
      <c r="E4438" s="61" t="n"/>
      <c r="F4438" s="55" t="n"/>
      <c r="G4438" s="56" t="n"/>
      <c r="H4438" s="55" t="n"/>
      <c r="I4438" s="62" t="n"/>
      <c r="J4438" s="58" t="n"/>
      <c r="K4438" s="63">
        <f>IF(tblMovement[[#This Row],[Source]]="","",IFERROR(INDEX(tblSources[Type],MATCH(tblMovement[[#This Row],[Source]],tblSources[Source],0)),"?"))</f>
        <v/>
      </c>
      <c r="L4438" s="63">
        <f>IF(tblMovement[[#This Row],[Destination]]="","",IFERROR(INDEX(tblDestinations[Type],MATCH(tblMovement[[#This Row],[Destination]],tblDestinations[Destination],0)),"?"))</f>
        <v/>
      </c>
      <c r="M4438" s="64">
        <f>IF(tblMovement[[#This Row],[Material]]="","",IF(LEFT(tblMovement[[#This Row],[Material]],3)="Ore",1,0))</f>
        <v/>
      </c>
      <c r="N4438" s="59">
        <f>IF(OR(tblMovement[[#This Row],[Tonnes_t]]="",tblMovement[[#This Row],[Grade_gpt]]=""),0,tblMovement[[#This Row],[Tonnes_t]]*tblMovement[[#This Row],[Grade_gpt]]/cfg_TroyOz)</f>
        <v/>
      </c>
      <c r="O4438" s="59">
        <f>IF(tblMovement[[#This Row],[Is_Ore]]=1,tblMovement[[#This Row],[Contained_oz]],0)</f>
        <v/>
      </c>
    </row>
    <row r="4439">
      <c r="A4439" s="54" t="n"/>
      <c r="B4439" s="61" t="n"/>
      <c r="C4439" s="61" t="n"/>
      <c r="D4439" s="61" t="n"/>
      <c r="E4439" s="61" t="n"/>
      <c r="F4439" s="55" t="n"/>
      <c r="G4439" s="56" t="n"/>
      <c r="H4439" s="55" t="n"/>
      <c r="I4439" s="62" t="n"/>
      <c r="J4439" s="58" t="n"/>
      <c r="K4439" s="63">
        <f>IF(tblMovement[[#This Row],[Source]]="","",IFERROR(INDEX(tblSources[Type],MATCH(tblMovement[[#This Row],[Source]],tblSources[Source],0)),"?"))</f>
        <v/>
      </c>
      <c r="L4439" s="63">
        <f>IF(tblMovement[[#This Row],[Destination]]="","",IFERROR(INDEX(tblDestinations[Type],MATCH(tblMovement[[#This Row],[Destination]],tblDestinations[Destination],0)),"?"))</f>
        <v/>
      </c>
      <c r="M4439" s="64">
        <f>IF(tblMovement[[#This Row],[Material]]="","",IF(LEFT(tblMovement[[#This Row],[Material]],3)="Ore",1,0))</f>
        <v/>
      </c>
      <c r="N4439" s="59">
        <f>IF(OR(tblMovement[[#This Row],[Tonnes_t]]="",tblMovement[[#This Row],[Grade_gpt]]=""),0,tblMovement[[#This Row],[Tonnes_t]]*tblMovement[[#This Row],[Grade_gpt]]/cfg_TroyOz)</f>
        <v/>
      </c>
      <c r="O4439" s="59">
        <f>IF(tblMovement[[#This Row],[Is_Ore]]=1,tblMovement[[#This Row],[Contained_oz]],0)</f>
        <v/>
      </c>
    </row>
    <row r="4440">
      <c r="A4440" s="54" t="n"/>
      <c r="B4440" s="61" t="n"/>
      <c r="C4440" s="61" t="n"/>
      <c r="D4440" s="61" t="n"/>
      <c r="E4440" s="61" t="n"/>
      <c r="F4440" s="55" t="n"/>
      <c r="G4440" s="56" t="n"/>
      <c r="H4440" s="55" t="n"/>
      <c r="I4440" s="62" t="n"/>
      <c r="J4440" s="58" t="n"/>
      <c r="K4440" s="63">
        <f>IF(tblMovement[[#This Row],[Source]]="","",IFERROR(INDEX(tblSources[Type],MATCH(tblMovement[[#This Row],[Source]],tblSources[Source],0)),"?"))</f>
        <v/>
      </c>
      <c r="L4440" s="63">
        <f>IF(tblMovement[[#This Row],[Destination]]="","",IFERROR(INDEX(tblDestinations[Type],MATCH(tblMovement[[#This Row],[Destination]],tblDestinations[Destination],0)),"?"))</f>
        <v/>
      </c>
      <c r="M4440" s="64">
        <f>IF(tblMovement[[#This Row],[Material]]="","",IF(LEFT(tblMovement[[#This Row],[Material]],3)="Ore",1,0))</f>
        <v/>
      </c>
      <c r="N4440" s="59">
        <f>IF(OR(tblMovement[[#This Row],[Tonnes_t]]="",tblMovement[[#This Row],[Grade_gpt]]=""),0,tblMovement[[#This Row],[Tonnes_t]]*tblMovement[[#This Row],[Grade_gpt]]/cfg_TroyOz)</f>
        <v/>
      </c>
      <c r="O4440" s="59">
        <f>IF(tblMovement[[#This Row],[Is_Ore]]=1,tblMovement[[#This Row],[Contained_oz]],0)</f>
        <v/>
      </c>
    </row>
    <row r="4441">
      <c r="A4441" s="54" t="n"/>
      <c r="B4441" s="61" t="n"/>
      <c r="C4441" s="61" t="n"/>
      <c r="D4441" s="61" t="n"/>
      <c r="E4441" s="61" t="n"/>
      <c r="F4441" s="55" t="n"/>
      <c r="G4441" s="56" t="n"/>
      <c r="H4441" s="55" t="n"/>
      <c r="I4441" s="62" t="n"/>
      <c r="J4441" s="58" t="n"/>
      <c r="K4441" s="63">
        <f>IF(tblMovement[[#This Row],[Source]]="","",IFERROR(INDEX(tblSources[Type],MATCH(tblMovement[[#This Row],[Source]],tblSources[Source],0)),"?"))</f>
        <v/>
      </c>
      <c r="L4441" s="63">
        <f>IF(tblMovement[[#This Row],[Destination]]="","",IFERROR(INDEX(tblDestinations[Type],MATCH(tblMovement[[#This Row],[Destination]],tblDestinations[Destination],0)),"?"))</f>
        <v/>
      </c>
      <c r="M4441" s="64">
        <f>IF(tblMovement[[#This Row],[Material]]="","",IF(LEFT(tblMovement[[#This Row],[Material]],3)="Ore",1,0))</f>
        <v/>
      </c>
      <c r="N4441" s="59">
        <f>IF(OR(tblMovement[[#This Row],[Tonnes_t]]="",tblMovement[[#This Row],[Grade_gpt]]=""),0,tblMovement[[#This Row],[Tonnes_t]]*tblMovement[[#This Row],[Grade_gpt]]/cfg_TroyOz)</f>
        <v/>
      </c>
      <c r="O4441" s="59">
        <f>IF(tblMovement[[#This Row],[Is_Ore]]=1,tblMovement[[#This Row],[Contained_oz]],0)</f>
        <v/>
      </c>
    </row>
    <row r="4442">
      <c r="A4442" s="54" t="n"/>
      <c r="B4442" s="61" t="n"/>
      <c r="C4442" s="61" t="n"/>
      <c r="D4442" s="61" t="n"/>
      <c r="E4442" s="61" t="n"/>
      <c r="F4442" s="55" t="n"/>
      <c r="G4442" s="56" t="n"/>
      <c r="H4442" s="55" t="n"/>
      <c r="I4442" s="62" t="n"/>
      <c r="J4442" s="58" t="n"/>
      <c r="K4442" s="63">
        <f>IF(tblMovement[[#This Row],[Source]]="","",IFERROR(INDEX(tblSources[Type],MATCH(tblMovement[[#This Row],[Source]],tblSources[Source],0)),"?"))</f>
        <v/>
      </c>
      <c r="L4442" s="63">
        <f>IF(tblMovement[[#This Row],[Destination]]="","",IFERROR(INDEX(tblDestinations[Type],MATCH(tblMovement[[#This Row],[Destination]],tblDestinations[Destination],0)),"?"))</f>
        <v/>
      </c>
      <c r="M4442" s="64">
        <f>IF(tblMovement[[#This Row],[Material]]="","",IF(LEFT(tblMovement[[#This Row],[Material]],3)="Ore",1,0))</f>
        <v/>
      </c>
      <c r="N4442" s="59">
        <f>IF(OR(tblMovement[[#This Row],[Tonnes_t]]="",tblMovement[[#This Row],[Grade_gpt]]=""),0,tblMovement[[#This Row],[Tonnes_t]]*tblMovement[[#This Row],[Grade_gpt]]/cfg_TroyOz)</f>
        <v/>
      </c>
      <c r="O4442" s="59">
        <f>IF(tblMovement[[#This Row],[Is_Ore]]=1,tblMovement[[#This Row],[Contained_oz]],0)</f>
        <v/>
      </c>
    </row>
    <row r="4443">
      <c r="A4443" s="54" t="n"/>
      <c r="B4443" s="61" t="n"/>
      <c r="C4443" s="61" t="n"/>
      <c r="D4443" s="61" t="n"/>
      <c r="E4443" s="61" t="n"/>
      <c r="F4443" s="55" t="n"/>
      <c r="G4443" s="56" t="n"/>
      <c r="H4443" s="55" t="n"/>
      <c r="I4443" s="62" t="n"/>
      <c r="J4443" s="58" t="n"/>
      <c r="K4443" s="63">
        <f>IF(tblMovement[[#This Row],[Source]]="","",IFERROR(INDEX(tblSources[Type],MATCH(tblMovement[[#This Row],[Source]],tblSources[Source],0)),"?"))</f>
        <v/>
      </c>
      <c r="L4443" s="63">
        <f>IF(tblMovement[[#This Row],[Destination]]="","",IFERROR(INDEX(tblDestinations[Type],MATCH(tblMovement[[#This Row],[Destination]],tblDestinations[Destination],0)),"?"))</f>
        <v/>
      </c>
      <c r="M4443" s="64">
        <f>IF(tblMovement[[#This Row],[Material]]="","",IF(LEFT(tblMovement[[#This Row],[Material]],3)="Ore",1,0))</f>
        <v/>
      </c>
      <c r="N4443" s="59">
        <f>IF(OR(tblMovement[[#This Row],[Tonnes_t]]="",tblMovement[[#This Row],[Grade_gpt]]=""),0,tblMovement[[#This Row],[Tonnes_t]]*tblMovement[[#This Row],[Grade_gpt]]/cfg_TroyOz)</f>
        <v/>
      </c>
      <c r="O4443" s="59">
        <f>IF(tblMovement[[#This Row],[Is_Ore]]=1,tblMovement[[#This Row],[Contained_oz]],0)</f>
        <v/>
      </c>
    </row>
    <row r="4444">
      <c r="A4444" s="54" t="n"/>
      <c r="B4444" s="61" t="n"/>
      <c r="C4444" s="61" t="n"/>
      <c r="D4444" s="61" t="n"/>
      <c r="E4444" s="61" t="n"/>
      <c r="F4444" s="55" t="n"/>
      <c r="G4444" s="56" t="n"/>
      <c r="H4444" s="55" t="n"/>
      <c r="I4444" s="62" t="n"/>
      <c r="J4444" s="58" t="n"/>
      <c r="K4444" s="63">
        <f>IF(tblMovement[[#This Row],[Source]]="","",IFERROR(INDEX(tblSources[Type],MATCH(tblMovement[[#This Row],[Source]],tblSources[Source],0)),"?"))</f>
        <v/>
      </c>
      <c r="L4444" s="63">
        <f>IF(tblMovement[[#This Row],[Destination]]="","",IFERROR(INDEX(tblDestinations[Type],MATCH(tblMovement[[#This Row],[Destination]],tblDestinations[Destination],0)),"?"))</f>
        <v/>
      </c>
      <c r="M4444" s="64">
        <f>IF(tblMovement[[#This Row],[Material]]="","",IF(LEFT(tblMovement[[#This Row],[Material]],3)="Ore",1,0))</f>
        <v/>
      </c>
      <c r="N4444" s="59">
        <f>IF(OR(tblMovement[[#This Row],[Tonnes_t]]="",tblMovement[[#This Row],[Grade_gpt]]=""),0,tblMovement[[#This Row],[Tonnes_t]]*tblMovement[[#This Row],[Grade_gpt]]/cfg_TroyOz)</f>
        <v/>
      </c>
      <c r="O4444" s="59">
        <f>IF(tblMovement[[#This Row],[Is_Ore]]=1,tblMovement[[#This Row],[Contained_oz]],0)</f>
        <v/>
      </c>
    </row>
    <row r="4445">
      <c r="A4445" s="54" t="n"/>
      <c r="B4445" s="61" t="n"/>
      <c r="C4445" s="61" t="n"/>
      <c r="D4445" s="61" t="n"/>
      <c r="E4445" s="61" t="n"/>
      <c r="F4445" s="55" t="n"/>
      <c r="G4445" s="56" t="n"/>
      <c r="H4445" s="55" t="n"/>
      <c r="I4445" s="62" t="n"/>
      <c r="J4445" s="58" t="n"/>
      <c r="K4445" s="63">
        <f>IF(tblMovement[[#This Row],[Source]]="","",IFERROR(INDEX(tblSources[Type],MATCH(tblMovement[[#This Row],[Source]],tblSources[Source],0)),"?"))</f>
        <v/>
      </c>
      <c r="L4445" s="63">
        <f>IF(tblMovement[[#This Row],[Destination]]="","",IFERROR(INDEX(tblDestinations[Type],MATCH(tblMovement[[#This Row],[Destination]],tblDestinations[Destination],0)),"?"))</f>
        <v/>
      </c>
      <c r="M4445" s="64">
        <f>IF(tblMovement[[#This Row],[Material]]="","",IF(LEFT(tblMovement[[#This Row],[Material]],3)="Ore",1,0))</f>
        <v/>
      </c>
      <c r="N4445" s="59">
        <f>IF(OR(tblMovement[[#This Row],[Tonnes_t]]="",tblMovement[[#This Row],[Grade_gpt]]=""),0,tblMovement[[#This Row],[Tonnes_t]]*tblMovement[[#This Row],[Grade_gpt]]/cfg_TroyOz)</f>
        <v/>
      </c>
      <c r="O4445" s="59">
        <f>IF(tblMovement[[#This Row],[Is_Ore]]=1,tblMovement[[#This Row],[Contained_oz]],0)</f>
        <v/>
      </c>
    </row>
    <row r="4446">
      <c r="A4446" s="54" t="n"/>
      <c r="B4446" s="61" t="n"/>
      <c r="C4446" s="61" t="n"/>
      <c r="D4446" s="61" t="n"/>
      <c r="E4446" s="61" t="n"/>
      <c r="F4446" s="55" t="n"/>
      <c r="G4446" s="56" t="n"/>
      <c r="H4446" s="55" t="n"/>
      <c r="I4446" s="62" t="n"/>
      <c r="J4446" s="58" t="n"/>
      <c r="K4446" s="63">
        <f>IF(tblMovement[[#This Row],[Source]]="","",IFERROR(INDEX(tblSources[Type],MATCH(tblMovement[[#This Row],[Source]],tblSources[Source],0)),"?"))</f>
        <v/>
      </c>
      <c r="L4446" s="63">
        <f>IF(tblMovement[[#This Row],[Destination]]="","",IFERROR(INDEX(tblDestinations[Type],MATCH(tblMovement[[#This Row],[Destination]],tblDestinations[Destination],0)),"?"))</f>
        <v/>
      </c>
      <c r="M4446" s="64">
        <f>IF(tblMovement[[#This Row],[Material]]="","",IF(LEFT(tblMovement[[#This Row],[Material]],3)="Ore",1,0))</f>
        <v/>
      </c>
      <c r="N4446" s="59">
        <f>IF(OR(tblMovement[[#This Row],[Tonnes_t]]="",tblMovement[[#This Row],[Grade_gpt]]=""),0,tblMovement[[#This Row],[Tonnes_t]]*tblMovement[[#This Row],[Grade_gpt]]/cfg_TroyOz)</f>
        <v/>
      </c>
      <c r="O4446" s="59">
        <f>IF(tblMovement[[#This Row],[Is_Ore]]=1,tblMovement[[#This Row],[Contained_oz]],0)</f>
        <v/>
      </c>
    </row>
    <row r="4447">
      <c r="A4447" s="54" t="n"/>
      <c r="B4447" s="61" t="n"/>
      <c r="C4447" s="61" t="n"/>
      <c r="D4447" s="61" t="n"/>
      <c r="E4447" s="61" t="n"/>
      <c r="F4447" s="55" t="n"/>
      <c r="G4447" s="56" t="n"/>
      <c r="H4447" s="55" t="n"/>
      <c r="I4447" s="62" t="n"/>
      <c r="J4447" s="58" t="n"/>
      <c r="K4447" s="63">
        <f>IF(tblMovement[[#This Row],[Source]]="","",IFERROR(INDEX(tblSources[Type],MATCH(tblMovement[[#This Row],[Source]],tblSources[Source],0)),"?"))</f>
        <v/>
      </c>
      <c r="L4447" s="63">
        <f>IF(tblMovement[[#This Row],[Destination]]="","",IFERROR(INDEX(tblDestinations[Type],MATCH(tblMovement[[#This Row],[Destination]],tblDestinations[Destination],0)),"?"))</f>
        <v/>
      </c>
      <c r="M4447" s="64">
        <f>IF(tblMovement[[#This Row],[Material]]="","",IF(LEFT(tblMovement[[#This Row],[Material]],3)="Ore",1,0))</f>
        <v/>
      </c>
      <c r="N4447" s="59">
        <f>IF(OR(tblMovement[[#This Row],[Tonnes_t]]="",tblMovement[[#This Row],[Grade_gpt]]=""),0,tblMovement[[#This Row],[Tonnes_t]]*tblMovement[[#This Row],[Grade_gpt]]/cfg_TroyOz)</f>
        <v/>
      </c>
      <c r="O4447" s="59">
        <f>IF(tblMovement[[#This Row],[Is_Ore]]=1,tblMovement[[#This Row],[Contained_oz]],0)</f>
        <v/>
      </c>
    </row>
    <row r="4448">
      <c r="A4448" s="54" t="n"/>
      <c r="B4448" s="61" t="n"/>
      <c r="C4448" s="61" t="n"/>
      <c r="D4448" s="61" t="n"/>
      <c r="E4448" s="61" t="n"/>
      <c r="F4448" s="55" t="n"/>
      <c r="G4448" s="56" t="n"/>
      <c r="H4448" s="55" t="n"/>
      <c r="I4448" s="62" t="n"/>
      <c r="J4448" s="58" t="n"/>
      <c r="K4448" s="63">
        <f>IF(tblMovement[[#This Row],[Source]]="","",IFERROR(INDEX(tblSources[Type],MATCH(tblMovement[[#This Row],[Source]],tblSources[Source],0)),"?"))</f>
        <v/>
      </c>
      <c r="L4448" s="63">
        <f>IF(tblMovement[[#This Row],[Destination]]="","",IFERROR(INDEX(tblDestinations[Type],MATCH(tblMovement[[#This Row],[Destination]],tblDestinations[Destination],0)),"?"))</f>
        <v/>
      </c>
      <c r="M4448" s="64">
        <f>IF(tblMovement[[#This Row],[Material]]="","",IF(LEFT(tblMovement[[#This Row],[Material]],3)="Ore",1,0))</f>
        <v/>
      </c>
      <c r="N4448" s="59">
        <f>IF(OR(tblMovement[[#This Row],[Tonnes_t]]="",tblMovement[[#This Row],[Grade_gpt]]=""),0,tblMovement[[#This Row],[Tonnes_t]]*tblMovement[[#This Row],[Grade_gpt]]/cfg_TroyOz)</f>
        <v/>
      </c>
      <c r="O4448" s="59">
        <f>IF(tblMovement[[#This Row],[Is_Ore]]=1,tblMovement[[#This Row],[Contained_oz]],0)</f>
        <v/>
      </c>
    </row>
    <row r="4449">
      <c r="A4449" s="54" t="n"/>
      <c r="B4449" s="61" t="n"/>
      <c r="C4449" s="61" t="n"/>
      <c r="D4449" s="61" t="n"/>
      <c r="E4449" s="61" t="n"/>
      <c r="F4449" s="55" t="n"/>
      <c r="G4449" s="56" t="n"/>
      <c r="H4449" s="55" t="n"/>
      <c r="I4449" s="62" t="n"/>
      <c r="J4449" s="58" t="n"/>
      <c r="K4449" s="63">
        <f>IF(tblMovement[[#This Row],[Source]]="","",IFERROR(INDEX(tblSources[Type],MATCH(tblMovement[[#This Row],[Source]],tblSources[Source],0)),"?"))</f>
        <v/>
      </c>
      <c r="L4449" s="63">
        <f>IF(tblMovement[[#This Row],[Destination]]="","",IFERROR(INDEX(tblDestinations[Type],MATCH(tblMovement[[#This Row],[Destination]],tblDestinations[Destination],0)),"?"))</f>
        <v/>
      </c>
      <c r="M4449" s="64">
        <f>IF(tblMovement[[#This Row],[Material]]="","",IF(LEFT(tblMovement[[#This Row],[Material]],3)="Ore",1,0))</f>
        <v/>
      </c>
      <c r="N4449" s="59">
        <f>IF(OR(tblMovement[[#This Row],[Tonnes_t]]="",tblMovement[[#This Row],[Grade_gpt]]=""),0,tblMovement[[#This Row],[Tonnes_t]]*tblMovement[[#This Row],[Grade_gpt]]/cfg_TroyOz)</f>
        <v/>
      </c>
      <c r="O4449" s="59">
        <f>IF(tblMovement[[#This Row],[Is_Ore]]=1,tblMovement[[#This Row],[Contained_oz]],0)</f>
        <v/>
      </c>
    </row>
    <row r="4450">
      <c r="A4450" s="54" t="n"/>
      <c r="B4450" s="61" t="n"/>
      <c r="C4450" s="61" t="n"/>
      <c r="D4450" s="61" t="n"/>
      <c r="E4450" s="61" t="n"/>
      <c r="F4450" s="55" t="n"/>
      <c r="G4450" s="56" t="n"/>
      <c r="H4450" s="55" t="n"/>
      <c r="I4450" s="62" t="n"/>
      <c r="J4450" s="58" t="n"/>
      <c r="K4450" s="63">
        <f>IF(tblMovement[[#This Row],[Source]]="","",IFERROR(INDEX(tblSources[Type],MATCH(tblMovement[[#This Row],[Source]],tblSources[Source],0)),"?"))</f>
        <v/>
      </c>
      <c r="L4450" s="63">
        <f>IF(tblMovement[[#This Row],[Destination]]="","",IFERROR(INDEX(tblDestinations[Type],MATCH(tblMovement[[#This Row],[Destination]],tblDestinations[Destination],0)),"?"))</f>
        <v/>
      </c>
      <c r="M4450" s="64">
        <f>IF(tblMovement[[#This Row],[Material]]="","",IF(LEFT(tblMovement[[#This Row],[Material]],3)="Ore",1,0))</f>
        <v/>
      </c>
      <c r="N4450" s="59">
        <f>IF(OR(tblMovement[[#This Row],[Tonnes_t]]="",tblMovement[[#This Row],[Grade_gpt]]=""),0,tblMovement[[#This Row],[Tonnes_t]]*tblMovement[[#This Row],[Grade_gpt]]/cfg_TroyOz)</f>
        <v/>
      </c>
      <c r="O4450" s="59">
        <f>IF(tblMovement[[#This Row],[Is_Ore]]=1,tblMovement[[#This Row],[Contained_oz]],0)</f>
        <v/>
      </c>
    </row>
    <row r="4451">
      <c r="A4451" s="54" t="n"/>
      <c r="B4451" s="61" t="n"/>
      <c r="C4451" s="61" t="n"/>
      <c r="D4451" s="61" t="n"/>
      <c r="E4451" s="61" t="n"/>
      <c r="F4451" s="55" t="n"/>
      <c r="G4451" s="56" t="n"/>
      <c r="H4451" s="55" t="n"/>
      <c r="I4451" s="62" t="n"/>
      <c r="J4451" s="58" t="n"/>
      <c r="K4451" s="63">
        <f>IF(tblMovement[[#This Row],[Source]]="","",IFERROR(INDEX(tblSources[Type],MATCH(tblMovement[[#This Row],[Source]],tblSources[Source],0)),"?"))</f>
        <v/>
      </c>
      <c r="L4451" s="63">
        <f>IF(tblMovement[[#This Row],[Destination]]="","",IFERROR(INDEX(tblDestinations[Type],MATCH(tblMovement[[#This Row],[Destination]],tblDestinations[Destination],0)),"?"))</f>
        <v/>
      </c>
      <c r="M4451" s="64">
        <f>IF(tblMovement[[#This Row],[Material]]="","",IF(LEFT(tblMovement[[#This Row],[Material]],3)="Ore",1,0))</f>
        <v/>
      </c>
      <c r="N4451" s="59">
        <f>IF(OR(tblMovement[[#This Row],[Tonnes_t]]="",tblMovement[[#This Row],[Grade_gpt]]=""),0,tblMovement[[#This Row],[Tonnes_t]]*tblMovement[[#This Row],[Grade_gpt]]/cfg_TroyOz)</f>
        <v/>
      </c>
      <c r="O4451" s="59">
        <f>IF(tblMovement[[#This Row],[Is_Ore]]=1,tblMovement[[#This Row],[Contained_oz]],0)</f>
        <v/>
      </c>
    </row>
    <row r="4452">
      <c r="A4452" s="54" t="n"/>
      <c r="B4452" s="61" t="n"/>
      <c r="C4452" s="61" t="n"/>
      <c r="D4452" s="61" t="n"/>
      <c r="E4452" s="61" t="n"/>
      <c r="F4452" s="55" t="n"/>
      <c r="G4452" s="56" t="n"/>
      <c r="H4452" s="55" t="n"/>
      <c r="I4452" s="62" t="n"/>
      <c r="J4452" s="58" t="n"/>
      <c r="K4452" s="63">
        <f>IF(tblMovement[[#This Row],[Source]]="","",IFERROR(INDEX(tblSources[Type],MATCH(tblMovement[[#This Row],[Source]],tblSources[Source],0)),"?"))</f>
        <v/>
      </c>
      <c r="L4452" s="63">
        <f>IF(tblMovement[[#This Row],[Destination]]="","",IFERROR(INDEX(tblDestinations[Type],MATCH(tblMovement[[#This Row],[Destination]],tblDestinations[Destination],0)),"?"))</f>
        <v/>
      </c>
      <c r="M4452" s="64">
        <f>IF(tblMovement[[#This Row],[Material]]="","",IF(LEFT(tblMovement[[#This Row],[Material]],3)="Ore",1,0))</f>
        <v/>
      </c>
      <c r="N4452" s="59">
        <f>IF(OR(tblMovement[[#This Row],[Tonnes_t]]="",tblMovement[[#This Row],[Grade_gpt]]=""),0,tblMovement[[#This Row],[Tonnes_t]]*tblMovement[[#This Row],[Grade_gpt]]/cfg_TroyOz)</f>
        <v/>
      </c>
      <c r="O4452" s="59">
        <f>IF(tblMovement[[#This Row],[Is_Ore]]=1,tblMovement[[#This Row],[Contained_oz]],0)</f>
        <v/>
      </c>
    </row>
    <row r="4453">
      <c r="A4453" s="54" t="n"/>
      <c r="B4453" s="61" t="n"/>
      <c r="C4453" s="61" t="n"/>
      <c r="D4453" s="61" t="n"/>
      <c r="E4453" s="61" t="n"/>
      <c r="F4453" s="55" t="n"/>
      <c r="G4453" s="56" t="n"/>
      <c r="H4453" s="55" t="n"/>
      <c r="I4453" s="62" t="n"/>
      <c r="J4453" s="58" t="n"/>
      <c r="K4453" s="63">
        <f>IF(tblMovement[[#This Row],[Source]]="","",IFERROR(INDEX(tblSources[Type],MATCH(tblMovement[[#This Row],[Source]],tblSources[Source],0)),"?"))</f>
        <v/>
      </c>
      <c r="L4453" s="63">
        <f>IF(tblMovement[[#This Row],[Destination]]="","",IFERROR(INDEX(tblDestinations[Type],MATCH(tblMovement[[#This Row],[Destination]],tblDestinations[Destination],0)),"?"))</f>
        <v/>
      </c>
      <c r="M4453" s="64">
        <f>IF(tblMovement[[#This Row],[Material]]="","",IF(LEFT(tblMovement[[#This Row],[Material]],3)="Ore",1,0))</f>
        <v/>
      </c>
      <c r="N4453" s="59">
        <f>IF(OR(tblMovement[[#This Row],[Tonnes_t]]="",tblMovement[[#This Row],[Grade_gpt]]=""),0,tblMovement[[#This Row],[Tonnes_t]]*tblMovement[[#This Row],[Grade_gpt]]/cfg_TroyOz)</f>
        <v/>
      </c>
      <c r="O4453" s="59">
        <f>IF(tblMovement[[#This Row],[Is_Ore]]=1,tblMovement[[#This Row],[Contained_oz]],0)</f>
        <v/>
      </c>
    </row>
    <row r="4454">
      <c r="A4454" s="54" t="n"/>
      <c r="B4454" s="61" t="n"/>
      <c r="C4454" s="61" t="n"/>
      <c r="D4454" s="61" t="n"/>
      <c r="E4454" s="61" t="n"/>
      <c r="F4454" s="55" t="n"/>
      <c r="G4454" s="56" t="n"/>
      <c r="H4454" s="55" t="n"/>
      <c r="I4454" s="62" t="n"/>
      <c r="J4454" s="58" t="n"/>
      <c r="K4454" s="63">
        <f>IF(tblMovement[[#This Row],[Source]]="","",IFERROR(INDEX(tblSources[Type],MATCH(tblMovement[[#This Row],[Source]],tblSources[Source],0)),"?"))</f>
        <v/>
      </c>
      <c r="L4454" s="63">
        <f>IF(tblMovement[[#This Row],[Destination]]="","",IFERROR(INDEX(tblDestinations[Type],MATCH(tblMovement[[#This Row],[Destination]],tblDestinations[Destination],0)),"?"))</f>
        <v/>
      </c>
      <c r="M4454" s="64">
        <f>IF(tblMovement[[#This Row],[Material]]="","",IF(LEFT(tblMovement[[#This Row],[Material]],3)="Ore",1,0))</f>
        <v/>
      </c>
      <c r="N4454" s="59">
        <f>IF(OR(tblMovement[[#This Row],[Tonnes_t]]="",tblMovement[[#This Row],[Grade_gpt]]=""),0,tblMovement[[#This Row],[Tonnes_t]]*tblMovement[[#This Row],[Grade_gpt]]/cfg_TroyOz)</f>
        <v/>
      </c>
      <c r="O4454" s="59">
        <f>IF(tblMovement[[#This Row],[Is_Ore]]=1,tblMovement[[#This Row],[Contained_oz]],0)</f>
        <v/>
      </c>
    </row>
    <row r="4455">
      <c r="A4455" s="54" t="n"/>
      <c r="B4455" s="61" t="n"/>
      <c r="C4455" s="61" t="n"/>
      <c r="D4455" s="61" t="n"/>
      <c r="E4455" s="61" t="n"/>
      <c r="F4455" s="55" t="n"/>
      <c r="G4455" s="56" t="n"/>
      <c r="H4455" s="55" t="n"/>
      <c r="I4455" s="62" t="n"/>
      <c r="J4455" s="58" t="n"/>
      <c r="K4455" s="63">
        <f>IF(tblMovement[[#This Row],[Source]]="","",IFERROR(INDEX(tblSources[Type],MATCH(tblMovement[[#This Row],[Source]],tblSources[Source],0)),"?"))</f>
        <v/>
      </c>
      <c r="L4455" s="63">
        <f>IF(tblMovement[[#This Row],[Destination]]="","",IFERROR(INDEX(tblDestinations[Type],MATCH(tblMovement[[#This Row],[Destination]],tblDestinations[Destination],0)),"?"))</f>
        <v/>
      </c>
      <c r="M4455" s="64">
        <f>IF(tblMovement[[#This Row],[Material]]="","",IF(LEFT(tblMovement[[#This Row],[Material]],3)="Ore",1,0))</f>
        <v/>
      </c>
      <c r="N4455" s="59">
        <f>IF(OR(tblMovement[[#This Row],[Tonnes_t]]="",tblMovement[[#This Row],[Grade_gpt]]=""),0,tblMovement[[#This Row],[Tonnes_t]]*tblMovement[[#This Row],[Grade_gpt]]/cfg_TroyOz)</f>
        <v/>
      </c>
      <c r="O4455" s="59">
        <f>IF(tblMovement[[#This Row],[Is_Ore]]=1,tblMovement[[#This Row],[Contained_oz]],0)</f>
        <v/>
      </c>
    </row>
    <row r="4456">
      <c r="A4456" s="54" t="n"/>
      <c r="B4456" s="61" t="n"/>
      <c r="C4456" s="61" t="n"/>
      <c r="D4456" s="61" t="n"/>
      <c r="E4456" s="61" t="n"/>
      <c r="F4456" s="55" t="n"/>
      <c r="G4456" s="56" t="n"/>
      <c r="H4456" s="55" t="n"/>
      <c r="I4456" s="62" t="n"/>
      <c r="J4456" s="58" t="n"/>
      <c r="K4456" s="63">
        <f>IF(tblMovement[[#This Row],[Source]]="","",IFERROR(INDEX(tblSources[Type],MATCH(tblMovement[[#This Row],[Source]],tblSources[Source],0)),"?"))</f>
        <v/>
      </c>
      <c r="L4456" s="63">
        <f>IF(tblMovement[[#This Row],[Destination]]="","",IFERROR(INDEX(tblDestinations[Type],MATCH(tblMovement[[#This Row],[Destination]],tblDestinations[Destination],0)),"?"))</f>
        <v/>
      </c>
      <c r="M4456" s="64">
        <f>IF(tblMovement[[#This Row],[Material]]="","",IF(LEFT(tblMovement[[#This Row],[Material]],3)="Ore",1,0))</f>
        <v/>
      </c>
      <c r="N4456" s="59">
        <f>IF(OR(tblMovement[[#This Row],[Tonnes_t]]="",tblMovement[[#This Row],[Grade_gpt]]=""),0,tblMovement[[#This Row],[Tonnes_t]]*tblMovement[[#This Row],[Grade_gpt]]/cfg_TroyOz)</f>
        <v/>
      </c>
      <c r="O4456" s="59">
        <f>IF(tblMovement[[#This Row],[Is_Ore]]=1,tblMovement[[#This Row],[Contained_oz]],0)</f>
        <v/>
      </c>
    </row>
    <row r="4457">
      <c r="A4457" s="54" t="n"/>
      <c r="B4457" s="61" t="n"/>
      <c r="C4457" s="61" t="n"/>
      <c r="D4457" s="61" t="n"/>
      <c r="E4457" s="61" t="n"/>
      <c r="F4457" s="55" t="n"/>
      <c r="G4457" s="56" t="n"/>
      <c r="H4457" s="55" t="n"/>
      <c r="I4457" s="62" t="n"/>
      <c r="J4457" s="58" t="n"/>
      <c r="K4457" s="63">
        <f>IF(tblMovement[[#This Row],[Source]]="","",IFERROR(INDEX(tblSources[Type],MATCH(tblMovement[[#This Row],[Source]],tblSources[Source],0)),"?"))</f>
        <v/>
      </c>
      <c r="L4457" s="63">
        <f>IF(tblMovement[[#This Row],[Destination]]="","",IFERROR(INDEX(tblDestinations[Type],MATCH(tblMovement[[#This Row],[Destination]],tblDestinations[Destination],0)),"?"))</f>
        <v/>
      </c>
      <c r="M4457" s="64">
        <f>IF(tblMovement[[#This Row],[Material]]="","",IF(LEFT(tblMovement[[#This Row],[Material]],3)="Ore",1,0))</f>
        <v/>
      </c>
      <c r="N4457" s="59">
        <f>IF(OR(tblMovement[[#This Row],[Tonnes_t]]="",tblMovement[[#This Row],[Grade_gpt]]=""),0,tblMovement[[#This Row],[Tonnes_t]]*tblMovement[[#This Row],[Grade_gpt]]/cfg_TroyOz)</f>
        <v/>
      </c>
      <c r="O4457" s="59">
        <f>IF(tblMovement[[#This Row],[Is_Ore]]=1,tblMovement[[#This Row],[Contained_oz]],0)</f>
        <v/>
      </c>
    </row>
    <row r="4458">
      <c r="A4458" s="54" t="n"/>
      <c r="B4458" s="61" t="n"/>
      <c r="C4458" s="61" t="n"/>
      <c r="D4458" s="61" t="n"/>
      <c r="E4458" s="61" t="n"/>
      <c r="F4458" s="55" t="n"/>
      <c r="G4458" s="56" t="n"/>
      <c r="H4458" s="55" t="n"/>
      <c r="I4458" s="62" t="n"/>
      <c r="J4458" s="58" t="n"/>
      <c r="K4458" s="63">
        <f>IF(tblMovement[[#This Row],[Source]]="","",IFERROR(INDEX(tblSources[Type],MATCH(tblMovement[[#This Row],[Source]],tblSources[Source],0)),"?"))</f>
        <v/>
      </c>
      <c r="L4458" s="63">
        <f>IF(tblMovement[[#This Row],[Destination]]="","",IFERROR(INDEX(tblDestinations[Type],MATCH(tblMovement[[#This Row],[Destination]],tblDestinations[Destination],0)),"?"))</f>
        <v/>
      </c>
      <c r="M4458" s="64">
        <f>IF(tblMovement[[#This Row],[Material]]="","",IF(LEFT(tblMovement[[#This Row],[Material]],3)="Ore",1,0))</f>
        <v/>
      </c>
      <c r="N4458" s="59">
        <f>IF(OR(tblMovement[[#This Row],[Tonnes_t]]="",tblMovement[[#This Row],[Grade_gpt]]=""),0,tblMovement[[#This Row],[Tonnes_t]]*tblMovement[[#This Row],[Grade_gpt]]/cfg_TroyOz)</f>
        <v/>
      </c>
      <c r="O4458" s="59">
        <f>IF(tblMovement[[#This Row],[Is_Ore]]=1,tblMovement[[#This Row],[Contained_oz]],0)</f>
        <v/>
      </c>
    </row>
    <row r="4459">
      <c r="A4459" s="54" t="n"/>
      <c r="B4459" s="61" t="n"/>
      <c r="C4459" s="61" t="n"/>
      <c r="D4459" s="61" t="n"/>
      <c r="E4459" s="61" t="n"/>
      <c r="F4459" s="55" t="n"/>
      <c r="G4459" s="56" t="n"/>
      <c r="H4459" s="55" t="n"/>
      <c r="I4459" s="62" t="n"/>
      <c r="J4459" s="58" t="n"/>
      <c r="K4459" s="63">
        <f>IF(tblMovement[[#This Row],[Source]]="","",IFERROR(INDEX(tblSources[Type],MATCH(tblMovement[[#This Row],[Source]],tblSources[Source],0)),"?"))</f>
        <v/>
      </c>
      <c r="L4459" s="63">
        <f>IF(tblMovement[[#This Row],[Destination]]="","",IFERROR(INDEX(tblDestinations[Type],MATCH(tblMovement[[#This Row],[Destination]],tblDestinations[Destination],0)),"?"))</f>
        <v/>
      </c>
      <c r="M4459" s="64">
        <f>IF(tblMovement[[#This Row],[Material]]="","",IF(LEFT(tblMovement[[#This Row],[Material]],3)="Ore",1,0))</f>
        <v/>
      </c>
      <c r="N4459" s="59">
        <f>IF(OR(tblMovement[[#This Row],[Tonnes_t]]="",tblMovement[[#This Row],[Grade_gpt]]=""),0,tblMovement[[#This Row],[Tonnes_t]]*tblMovement[[#This Row],[Grade_gpt]]/cfg_TroyOz)</f>
        <v/>
      </c>
      <c r="O4459" s="59">
        <f>IF(tblMovement[[#This Row],[Is_Ore]]=1,tblMovement[[#This Row],[Contained_oz]],0)</f>
        <v/>
      </c>
    </row>
    <row r="4460">
      <c r="A4460" s="54" t="n"/>
      <c r="B4460" s="61" t="n"/>
      <c r="C4460" s="61" t="n"/>
      <c r="D4460" s="61" t="n"/>
      <c r="E4460" s="61" t="n"/>
      <c r="F4460" s="55" t="n"/>
      <c r="G4460" s="56" t="n"/>
      <c r="H4460" s="55" t="n"/>
      <c r="I4460" s="62" t="n"/>
      <c r="J4460" s="58" t="n"/>
      <c r="K4460" s="63">
        <f>IF(tblMovement[[#This Row],[Source]]="","",IFERROR(INDEX(tblSources[Type],MATCH(tblMovement[[#This Row],[Source]],tblSources[Source],0)),"?"))</f>
        <v/>
      </c>
      <c r="L4460" s="63">
        <f>IF(tblMovement[[#This Row],[Destination]]="","",IFERROR(INDEX(tblDestinations[Type],MATCH(tblMovement[[#This Row],[Destination]],tblDestinations[Destination],0)),"?"))</f>
        <v/>
      </c>
      <c r="M4460" s="64">
        <f>IF(tblMovement[[#This Row],[Material]]="","",IF(LEFT(tblMovement[[#This Row],[Material]],3)="Ore",1,0))</f>
        <v/>
      </c>
      <c r="N4460" s="59">
        <f>IF(OR(tblMovement[[#This Row],[Tonnes_t]]="",tblMovement[[#This Row],[Grade_gpt]]=""),0,tblMovement[[#This Row],[Tonnes_t]]*tblMovement[[#This Row],[Grade_gpt]]/cfg_TroyOz)</f>
        <v/>
      </c>
      <c r="O4460" s="59">
        <f>IF(tblMovement[[#This Row],[Is_Ore]]=1,tblMovement[[#This Row],[Contained_oz]],0)</f>
        <v/>
      </c>
    </row>
    <row r="4461">
      <c r="A4461" s="54" t="n"/>
      <c r="B4461" s="61" t="n"/>
      <c r="C4461" s="61" t="n"/>
      <c r="D4461" s="61" t="n"/>
      <c r="E4461" s="61" t="n"/>
      <c r="F4461" s="55" t="n"/>
      <c r="G4461" s="56" t="n"/>
      <c r="H4461" s="55" t="n"/>
      <c r="I4461" s="62" t="n"/>
      <c r="J4461" s="58" t="n"/>
      <c r="K4461" s="63">
        <f>IF(tblMovement[[#This Row],[Source]]="","",IFERROR(INDEX(tblSources[Type],MATCH(tblMovement[[#This Row],[Source]],tblSources[Source],0)),"?"))</f>
        <v/>
      </c>
      <c r="L4461" s="63">
        <f>IF(tblMovement[[#This Row],[Destination]]="","",IFERROR(INDEX(tblDestinations[Type],MATCH(tblMovement[[#This Row],[Destination]],tblDestinations[Destination],0)),"?"))</f>
        <v/>
      </c>
      <c r="M4461" s="64">
        <f>IF(tblMovement[[#This Row],[Material]]="","",IF(LEFT(tblMovement[[#This Row],[Material]],3)="Ore",1,0))</f>
        <v/>
      </c>
      <c r="N4461" s="59">
        <f>IF(OR(tblMovement[[#This Row],[Tonnes_t]]="",tblMovement[[#This Row],[Grade_gpt]]=""),0,tblMovement[[#This Row],[Tonnes_t]]*tblMovement[[#This Row],[Grade_gpt]]/cfg_TroyOz)</f>
        <v/>
      </c>
      <c r="O4461" s="59">
        <f>IF(tblMovement[[#This Row],[Is_Ore]]=1,tblMovement[[#This Row],[Contained_oz]],0)</f>
        <v/>
      </c>
    </row>
    <row r="4462">
      <c r="A4462" s="54" t="n"/>
      <c r="B4462" s="61" t="n"/>
      <c r="C4462" s="61" t="n"/>
      <c r="D4462" s="61" t="n"/>
      <c r="E4462" s="61" t="n"/>
      <c r="F4462" s="55" t="n"/>
      <c r="G4462" s="56" t="n"/>
      <c r="H4462" s="55" t="n"/>
      <c r="I4462" s="62" t="n"/>
      <c r="J4462" s="58" t="n"/>
      <c r="K4462" s="63">
        <f>IF(tblMovement[[#This Row],[Source]]="","",IFERROR(INDEX(tblSources[Type],MATCH(tblMovement[[#This Row],[Source]],tblSources[Source],0)),"?"))</f>
        <v/>
      </c>
      <c r="L4462" s="63">
        <f>IF(tblMovement[[#This Row],[Destination]]="","",IFERROR(INDEX(tblDestinations[Type],MATCH(tblMovement[[#This Row],[Destination]],tblDestinations[Destination],0)),"?"))</f>
        <v/>
      </c>
      <c r="M4462" s="64">
        <f>IF(tblMovement[[#This Row],[Material]]="","",IF(LEFT(tblMovement[[#This Row],[Material]],3)="Ore",1,0))</f>
        <v/>
      </c>
      <c r="N4462" s="59">
        <f>IF(OR(tblMovement[[#This Row],[Tonnes_t]]="",tblMovement[[#This Row],[Grade_gpt]]=""),0,tblMovement[[#This Row],[Tonnes_t]]*tblMovement[[#This Row],[Grade_gpt]]/cfg_TroyOz)</f>
        <v/>
      </c>
      <c r="O4462" s="59">
        <f>IF(tblMovement[[#This Row],[Is_Ore]]=1,tblMovement[[#This Row],[Contained_oz]],0)</f>
        <v/>
      </c>
    </row>
    <row r="4463">
      <c r="A4463" s="54" t="n"/>
      <c r="B4463" s="61" t="n"/>
      <c r="C4463" s="61" t="n"/>
      <c r="D4463" s="61" t="n"/>
      <c r="E4463" s="61" t="n"/>
      <c r="F4463" s="55" t="n"/>
      <c r="G4463" s="56" t="n"/>
      <c r="H4463" s="55" t="n"/>
      <c r="I4463" s="62" t="n"/>
      <c r="J4463" s="58" t="n"/>
      <c r="K4463" s="63">
        <f>IF(tblMovement[[#This Row],[Source]]="","",IFERROR(INDEX(tblSources[Type],MATCH(tblMovement[[#This Row],[Source]],tblSources[Source],0)),"?"))</f>
        <v/>
      </c>
      <c r="L4463" s="63">
        <f>IF(tblMovement[[#This Row],[Destination]]="","",IFERROR(INDEX(tblDestinations[Type],MATCH(tblMovement[[#This Row],[Destination]],tblDestinations[Destination],0)),"?"))</f>
        <v/>
      </c>
      <c r="M4463" s="64">
        <f>IF(tblMovement[[#This Row],[Material]]="","",IF(LEFT(tblMovement[[#This Row],[Material]],3)="Ore",1,0))</f>
        <v/>
      </c>
      <c r="N4463" s="59">
        <f>IF(OR(tblMovement[[#This Row],[Tonnes_t]]="",tblMovement[[#This Row],[Grade_gpt]]=""),0,tblMovement[[#This Row],[Tonnes_t]]*tblMovement[[#This Row],[Grade_gpt]]/cfg_TroyOz)</f>
        <v/>
      </c>
      <c r="O4463" s="59">
        <f>IF(tblMovement[[#This Row],[Is_Ore]]=1,tblMovement[[#This Row],[Contained_oz]],0)</f>
        <v/>
      </c>
    </row>
    <row r="4464">
      <c r="A4464" s="54" t="n"/>
      <c r="B4464" s="61" t="n"/>
      <c r="C4464" s="61" t="n"/>
      <c r="D4464" s="61" t="n"/>
      <c r="E4464" s="61" t="n"/>
      <c r="F4464" s="55" t="n"/>
      <c r="G4464" s="56" t="n"/>
      <c r="H4464" s="55" t="n"/>
      <c r="I4464" s="62" t="n"/>
      <c r="J4464" s="58" t="n"/>
      <c r="K4464" s="63">
        <f>IF(tblMovement[[#This Row],[Source]]="","",IFERROR(INDEX(tblSources[Type],MATCH(tblMovement[[#This Row],[Source]],tblSources[Source],0)),"?"))</f>
        <v/>
      </c>
      <c r="L4464" s="63">
        <f>IF(tblMovement[[#This Row],[Destination]]="","",IFERROR(INDEX(tblDestinations[Type],MATCH(tblMovement[[#This Row],[Destination]],tblDestinations[Destination],0)),"?"))</f>
        <v/>
      </c>
      <c r="M4464" s="64">
        <f>IF(tblMovement[[#This Row],[Material]]="","",IF(LEFT(tblMovement[[#This Row],[Material]],3)="Ore",1,0))</f>
        <v/>
      </c>
      <c r="N4464" s="59">
        <f>IF(OR(tblMovement[[#This Row],[Tonnes_t]]="",tblMovement[[#This Row],[Grade_gpt]]=""),0,tblMovement[[#This Row],[Tonnes_t]]*tblMovement[[#This Row],[Grade_gpt]]/cfg_TroyOz)</f>
        <v/>
      </c>
      <c r="O4464" s="59">
        <f>IF(tblMovement[[#This Row],[Is_Ore]]=1,tblMovement[[#This Row],[Contained_oz]],0)</f>
        <v/>
      </c>
    </row>
    <row r="4465">
      <c r="A4465" s="54" t="n"/>
      <c r="B4465" s="61" t="n"/>
      <c r="C4465" s="61" t="n"/>
      <c r="D4465" s="61" t="n"/>
      <c r="E4465" s="61" t="n"/>
      <c r="F4465" s="55" t="n"/>
      <c r="G4465" s="56" t="n"/>
      <c r="H4465" s="55" t="n"/>
      <c r="I4465" s="62" t="n"/>
      <c r="J4465" s="58" t="n"/>
      <c r="K4465" s="63">
        <f>IF(tblMovement[[#This Row],[Source]]="","",IFERROR(INDEX(tblSources[Type],MATCH(tblMovement[[#This Row],[Source]],tblSources[Source],0)),"?"))</f>
        <v/>
      </c>
      <c r="L4465" s="63">
        <f>IF(tblMovement[[#This Row],[Destination]]="","",IFERROR(INDEX(tblDestinations[Type],MATCH(tblMovement[[#This Row],[Destination]],tblDestinations[Destination],0)),"?"))</f>
        <v/>
      </c>
      <c r="M4465" s="64">
        <f>IF(tblMovement[[#This Row],[Material]]="","",IF(LEFT(tblMovement[[#This Row],[Material]],3)="Ore",1,0))</f>
        <v/>
      </c>
      <c r="N4465" s="59">
        <f>IF(OR(tblMovement[[#This Row],[Tonnes_t]]="",tblMovement[[#This Row],[Grade_gpt]]=""),0,tblMovement[[#This Row],[Tonnes_t]]*tblMovement[[#This Row],[Grade_gpt]]/cfg_TroyOz)</f>
        <v/>
      </c>
      <c r="O4465" s="59">
        <f>IF(tblMovement[[#This Row],[Is_Ore]]=1,tblMovement[[#This Row],[Contained_oz]],0)</f>
        <v/>
      </c>
    </row>
    <row r="4466">
      <c r="A4466" s="54" t="n"/>
      <c r="B4466" s="61" t="n"/>
      <c r="C4466" s="61" t="n"/>
      <c r="D4466" s="61" t="n"/>
      <c r="E4466" s="61" t="n"/>
      <c r="F4466" s="55" t="n"/>
      <c r="G4466" s="56" t="n"/>
      <c r="H4466" s="55" t="n"/>
      <c r="I4466" s="62" t="n"/>
      <c r="J4466" s="58" t="n"/>
      <c r="K4466" s="63">
        <f>IF(tblMovement[[#This Row],[Source]]="","",IFERROR(INDEX(tblSources[Type],MATCH(tblMovement[[#This Row],[Source]],tblSources[Source],0)),"?"))</f>
        <v/>
      </c>
      <c r="L4466" s="63">
        <f>IF(tblMovement[[#This Row],[Destination]]="","",IFERROR(INDEX(tblDestinations[Type],MATCH(tblMovement[[#This Row],[Destination]],tblDestinations[Destination],0)),"?"))</f>
        <v/>
      </c>
      <c r="M4466" s="64">
        <f>IF(tblMovement[[#This Row],[Material]]="","",IF(LEFT(tblMovement[[#This Row],[Material]],3)="Ore",1,0))</f>
        <v/>
      </c>
      <c r="N4466" s="59">
        <f>IF(OR(tblMovement[[#This Row],[Tonnes_t]]="",tblMovement[[#This Row],[Grade_gpt]]=""),0,tblMovement[[#This Row],[Tonnes_t]]*tblMovement[[#This Row],[Grade_gpt]]/cfg_TroyOz)</f>
        <v/>
      </c>
      <c r="O4466" s="59">
        <f>IF(tblMovement[[#This Row],[Is_Ore]]=1,tblMovement[[#This Row],[Contained_oz]],0)</f>
        <v/>
      </c>
    </row>
    <row r="4467">
      <c r="A4467" s="54" t="n"/>
      <c r="B4467" s="61" t="n"/>
      <c r="C4467" s="61" t="n"/>
      <c r="D4467" s="61" t="n"/>
      <c r="E4467" s="61" t="n"/>
      <c r="F4467" s="55" t="n"/>
      <c r="G4467" s="56" t="n"/>
      <c r="H4467" s="55" t="n"/>
      <c r="I4467" s="62" t="n"/>
      <c r="J4467" s="58" t="n"/>
      <c r="K4467" s="63">
        <f>IF(tblMovement[[#This Row],[Source]]="","",IFERROR(INDEX(tblSources[Type],MATCH(tblMovement[[#This Row],[Source]],tblSources[Source],0)),"?"))</f>
        <v/>
      </c>
      <c r="L4467" s="63">
        <f>IF(tblMovement[[#This Row],[Destination]]="","",IFERROR(INDEX(tblDestinations[Type],MATCH(tblMovement[[#This Row],[Destination]],tblDestinations[Destination],0)),"?"))</f>
        <v/>
      </c>
      <c r="M4467" s="64">
        <f>IF(tblMovement[[#This Row],[Material]]="","",IF(LEFT(tblMovement[[#This Row],[Material]],3)="Ore",1,0))</f>
        <v/>
      </c>
      <c r="N4467" s="59">
        <f>IF(OR(tblMovement[[#This Row],[Tonnes_t]]="",tblMovement[[#This Row],[Grade_gpt]]=""),0,tblMovement[[#This Row],[Tonnes_t]]*tblMovement[[#This Row],[Grade_gpt]]/cfg_TroyOz)</f>
        <v/>
      </c>
      <c r="O4467" s="59">
        <f>IF(tblMovement[[#This Row],[Is_Ore]]=1,tblMovement[[#This Row],[Contained_oz]],0)</f>
        <v/>
      </c>
    </row>
    <row r="4468">
      <c r="A4468" s="54" t="n"/>
      <c r="B4468" s="61" t="n"/>
      <c r="C4468" s="61" t="n"/>
      <c r="D4468" s="61" t="n"/>
      <c r="E4468" s="61" t="n"/>
      <c r="F4468" s="55" t="n"/>
      <c r="G4468" s="56" t="n"/>
      <c r="H4468" s="55" t="n"/>
      <c r="I4468" s="62" t="n"/>
      <c r="J4468" s="58" t="n"/>
      <c r="K4468" s="63">
        <f>IF(tblMovement[[#This Row],[Source]]="","",IFERROR(INDEX(tblSources[Type],MATCH(tblMovement[[#This Row],[Source]],tblSources[Source],0)),"?"))</f>
        <v/>
      </c>
      <c r="L4468" s="63">
        <f>IF(tblMovement[[#This Row],[Destination]]="","",IFERROR(INDEX(tblDestinations[Type],MATCH(tblMovement[[#This Row],[Destination]],tblDestinations[Destination],0)),"?"))</f>
        <v/>
      </c>
      <c r="M4468" s="64">
        <f>IF(tblMovement[[#This Row],[Material]]="","",IF(LEFT(tblMovement[[#This Row],[Material]],3)="Ore",1,0))</f>
        <v/>
      </c>
      <c r="N4468" s="59">
        <f>IF(OR(tblMovement[[#This Row],[Tonnes_t]]="",tblMovement[[#This Row],[Grade_gpt]]=""),0,tblMovement[[#This Row],[Tonnes_t]]*tblMovement[[#This Row],[Grade_gpt]]/cfg_TroyOz)</f>
        <v/>
      </c>
      <c r="O4468" s="59">
        <f>IF(tblMovement[[#This Row],[Is_Ore]]=1,tblMovement[[#This Row],[Contained_oz]],0)</f>
        <v/>
      </c>
    </row>
    <row r="4469">
      <c r="A4469" s="54" t="n"/>
      <c r="B4469" s="61" t="n"/>
      <c r="C4469" s="61" t="n"/>
      <c r="D4469" s="61" t="n"/>
      <c r="E4469" s="61" t="n"/>
      <c r="F4469" s="55" t="n"/>
      <c r="G4469" s="56" t="n"/>
      <c r="H4469" s="55" t="n"/>
      <c r="I4469" s="62" t="n"/>
      <c r="J4469" s="58" t="n"/>
      <c r="K4469" s="63">
        <f>IF(tblMovement[[#This Row],[Source]]="","",IFERROR(INDEX(tblSources[Type],MATCH(tblMovement[[#This Row],[Source]],tblSources[Source],0)),"?"))</f>
        <v/>
      </c>
      <c r="L4469" s="63">
        <f>IF(tblMovement[[#This Row],[Destination]]="","",IFERROR(INDEX(tblDestinations[Type],MATCH(tblMovement[[#This Row],[Destination]],tblDestinations[Destination],0)),"?"))</f>
        <v/>
      </c>
      <c r="M4469" s="64">
        <f>IF(tblMovement[[#This Row],[Material]]="","",IF(LEFT(tblMovement[[#This Row],[Material]],3)="Ore",1,0))</f>
        <v/>
      </c>
      <c r="N4469" s="59">
        <f>IF(OR(tblMovement[[#This Row],[Tonnes_t]]="",tblMovement[[#This Row],[Grade_gpt]]=""),0,tblMovement[[#This Row],[Tonnes_t]]*tblMovement[[#This Row],[Grade_gpt]]/cfg_TroyOz)</f>
        <v/>
      </c>
      <c r="O4469" s="59">
        <f>IF(tblMovement[[#This Row],[Is_Ore]]=1,tblMovement[[#This Row],[Contained_oz]],0)</f>
        <v/>
      </c>
    </row>
    <row r="4470">
      <c r="A4470" s="54" t="n"/>
      <c r="B4470" s="61" t="n"/>
      <c r="C4470" s="61" t="n"/>
      <c r="D4470" s="61" t="n"/>
      <c r="E4470" s="61" t="n"/>
      <c r="F4470" s="55" t="n"/>
      <c r="G4470" s="56" t="n"/>
      <c r="H4470" s="55" t="n"/>
      <c r="I4470" s="62" t="n"/>
      <c r="J4470" s="58" t="n"/>
      <c r="K4470" s="63">
        <f>IF(tblMovement[[#This Row],[Source]]="","",IFERROR(INDEX(tblSources[Type],MATCH(tblMovement[[#This Row],[Source]],tblSources[Source],0)),"?"))</f>
        <v/>
      </c>
      <c r="L4470" s="63">
        <f>IF(tblMovement[[#This Row],[Destination]]="","",IFERROR(INDEX(tblDestinations[Type],MATCH(tblMovement[[#This Row],[Destination]],tblDestinations[Destination],0)),"?"))</f>
        <v/>
      </c>
      <c r="M4470" s="64">
        <f>IF(tblMovement[[#This Row],[Material]]="","",IF(LEFT(tblMovement[[#This Row],[Material]],3)="Ore",1,0))</f>
        <v/>
      </c>
      <c r="N4470" s="59">
        <f>IF(OR(tblMovement[[#This Row],[Tonnes_t]]="",tblMovement[[#This Row],[Grade_gpt]]=""),0,tblMovement[[#This Row],[Tonnes_t]]*tblMovement[[#This Row],[Grade_gpt]]/cfg_TroyOz)</f>
        <v/>
      </c>
      <c r="O4470" s="59">
        <f>IF(tblMovement[[#This Row],[Is_Ore]]=1,tblMovement[[#This Row],[Contained_oz]],0)</f>
        <v/>
      </c>
    </row>
    <row r="4471">
      <c r="A4471" s="54" t="n"/>
      <c r="B4471" s="61" t="n"/>
      <c r="C4471" s="61" t="n"/>
      <c r="D4471" s="61" t="n"/>
      <c r="E4471" s="61" t="n"/>
      <c r="F4471" s="55" t="n"/>
      <c r="G4471" s="56" t="n"/>
      <c r="H4471" s="55" t="n"/>
      <c r="I4471" s="62" t="n"/>
      <c r="J4471" s="58" t="n"/>
      <c r="K4471" s="63">
        <f>IF(tblMovement[[#This Row],[Source]]="","",IFERROR(INDEX(tblSources[Type],MATCH(tblMovement[[#This Row],[Source]],tblSources[Source],0)),"?"))</f>
        <v/>
      </c>
      <c r="L4471" s="63">
        <f>IF(tblMovement[[#This Row],[Destination]]="","",IFERROR(INDEX(tblDestinations[Type],MATCH(tblMovement[[#This Row],[Destination]],tblDestinations[Destination],0)),"?"))</f>
        <v/>
      </c>
      <c r="M4471" s="64">
        <f>IF(tblMovement[[#This Row],[Material]]="","",IF(LEFT(tblMovement[[#This Row],[Material]],3)="Ore",1,0))</f>
        <v/>
      </c>
      <c r="N4471" s="59">
        <f>IF(OR(tblMovement[[#This Row],[Tonnes_t]]="",tblMovement[[#This Row],[Grade_gpt]]=""),0,tblMovement[[#This Row],[Tonnes_t]]*tblMovement[[#This Row],[Grade_gpt]]/cfg_TroyOz)</f>
        <v/>
      </c>
      <c r="O4471" s="59">
        <f>IF(tblMovement[[#This Row],[Is_Ore]]=1,tblMovement[[#This Row],[Contained_oz]],0)</f>
        <v/>
      </c>
    </row>
    <row r="4472">
      <c r="A4472" s="54" t="n"/>
      <c r="B4472" s="61" t="n"/>
      <c r="C4472" s="61" t="n"/>
      <c r="D4472" s="61" t="n"/>
      <c r="E4472" s="61" t="n"/>
      <c r="F4472" s="55" t="n"/>
      <c r="G4472" s="56" t="n"/>
      <c r="H4472" s="55" t="n"/>
      <c r="I4472" s="62" t="n"/>
      <c r="J4472" s="58" t="n"/>
      <c r="K4472" s="63">
        <f>IF(tblMovement[[#This Row],[Source]]="","",IFERROR(INDEX(tblSources[Type],MATCH(tblMovement[[#This Row],[Source]],tblSources[Source],0)),"?"))</f>
        <v/>
      </c>
      <c r="L4472" s="63">
        <f>IF(tblMovement[[#This Row],[Destination]]="","",IFERROR(INDEX(tblDestinations[Type],MATCH(tblMovement[[#This Row],[Destination]],tblDestinations[Destination],0)),"?"))</f>
        <v/>
      </c>
      <c r="M4472" s="64">
        <f>IF(tblMovement[[#This Row],[Material]]="","",IF(LEFT(tblMovement[[#This Row],[Material]],3)="Ore",1,0))</f>
        <v/>
      </c>
      <c r="N4472" s="59">
        <f>IF(OR(tblMovement[[#This Row],[Tonnes_t]]="",tblMovement[[#This Row],[Grade_gpt]]=""),0,tblMovement[[#This Row],[Tonnes_t]]*tblMovement[[#This Row],[Grade_gpt]]/cfg_TroyOz)</f>
        <v/>
      </c>
      <c r="O4472" s="59">
        <f>IF(tblMovement[[#This Row],[Is_Ore]]=1,tblMovement[[#This Row],[Contained_oz]],0)</f>
        <v/>
      </c>
    </row>
    <row r="4473">
      <c r="A4473" s="54" t="n"/>
      <c r="B4473" s="61" t="n"/>
      <c r="C4473" s="61" t="n"/>
      <c r="D4473" s="61" t="n"/>
      <c r="E4473" s="61" t="n"/>
      <c r="F4473" s="55" t="n"/>
      <c r="G4473" s="56" t="n"/>
      <c r="H4473" s="55" t="n"/>
      <c r="I4473" s="62" t="n"/>
      <c r="J4473" s="58" t="n"/>
      <c r="K4473" s="63">
        <f>IF(tblMovement[[#This Row],[Source]]="","",IFERROR(INDEX(tblSources[Type],MATCH(tblMovement[[#This Row],[Source]],tblSources[Source],0)),"?"))</f>
        <v/>
      </c>
      <c r="L4473" s="63">
        <f>IF(tblMovement[[#This Row],[Destination]]="","",IFERROR(INDEX(tblDestinations[Type],MATCH(tblMovement[[#This Row],[Destination]],tblDestinations[Destination],0)),"?"))</f>
        <v/>
      </c>
      <c r="M4473" s="64">
        <f>IF(tblMovement[[#This Row],[Material]]="","",IF(LEFT(tblMovement[[#This Row],[Material]],3)="Ore",1,0))</f>
        <v/>
      </c>
      <c r="N4473" s="59">
        <f>IF(OR(tblMovement[[#This Row],[Tonnes_t]]="",tblMovement[[#This Row],[Grade_gpt]]=""),0,tblMovement[[#This Row],[Tonnes_t]]*tblMovement[[#This Row],[Grade_gpt]]/cfg_TroyOz)</f>
        <v/>
      </c>
      <c r="O4473" s="59">
        <f>IF(tblMovement[[#This Row],[Is_Ore]]=1,tblMovement[[#This Row],[Contained_oz]],0)</f>
        <v/>
      </c>
    </row>
    <row r="4474">
      <c r="A4474" s="54" t="n"/>
      <c r="B4474" s="61" t="n"/>
      <c r="C4474" s="61" t="n"/>
      <c r="D4474" s="61" t="n"/>
      <c r="E4474" s="61" t="n"/>
      <c r="F4474" s="55" t="n"/>
      <c r="G4474" s="56" t="n"/>
      <c r="H4474" s="55" t="n"/>
      <c r="I4474" s="62" t="n"/>
      <c r="J4474" s="58" t="n"/>
      <c r="K4474" s="63">
        <f>IF(tblMovement[[#This Row],[Source]]="","",IFERROR(INDEX(tblSources[Type],MATCH(tblMovement[[#This Row],[Source]],tblSources[Source],0)),"?"))</f>
        <v/>
      </c>
      <c r="L4474" s="63">
        <f>IF(tblMovement[[#This Row],[Destination]]="","",IFERROR(INDEX(tblDestinations[Type],MATCH(tblMovement[[#This Row],[Destination]],tblDestinations[Destination],0)),"?"))</f>
        <v/>
      </c>
      <c r="M4474" s="64">
        <f>IF(tblMovement[[#This Row],[Material]]="","",IF(LEFT(tblMovement[[#This Row],[Material]],3)="Ore",1,0))</f>
        <v/>
      </c>
      <c r="N4474" s="59">
        <f>IF(OR(tblMovement[[#This Row],[Tonnes_t]]="",tblMovement[[#This Row],[Grade_gpt]]=""),0,tblMovement[[#This Row],[Tonnes_t]]*tblMovement[[#This Row],[Grade_gpt]]/cfg_TroyOz)</f>
        <v/>
      </c>
      <c r="O4474" s="59">
        <f>IF(tblMovement[[#This Row],[Is_Ore]]=1,tblMovement[[#This Row],[Contained_oz]],0)</f>
        <v/>
      </c>
    </row>
    <row r="4475">
      <c r="A4475" s="54" t="n"/>
      <c r="B4475" s="61" t="n"/>
      <c r="C4475" s="61" t="n"/>
      <c r="D4475" s="61" t="n"/>
      <c r="E4475" s="61" t="n"/>
      <c r="F4475" s="55" t="n"/>
      <c r="G4475" s="56" t="n"/>
      <c r="H4475" s="55" t="n"/>
      <c r="I4475" s="62" t="n"/>
      <c r="J4475" s="58" t="n"/>
      <c r="K4475" s="63">
        <f>IF(tblMovement[[#This Row],[Source]]="","",IFERROR(INDEX(tblSources[Type],MATCH(tblMovement[[#This Row],[Source]],tblSources[Source],0)),"?"))</f>
        <v/>
      </c>
      <c r="L4475" s="63">
        <f>IF(tblMovement[[#This Row],[Destination]]="","",IFERROR(INDEX(tblDestinations[Type],MATCH(tblMovement[[#This Row],[Destination]],tblDestinations[Destination],0)),"?"))</f>
        <v/>
      </c>
      <c r="M4475" s="64">
        <f>IF(tblMovement[[#This Row],[Material]]="","",IF(LEFT(tblMovement[[#This Row],[Material]],3)="Ore",1,0))</f>
        <v/>
      </c>
      <c r="N4475" s="59">
        <f>IF(OR(tblMovement[[#This Row],[Tonnes_t]]="",tblMovement[[#This Row],[Grade_gpt]]=""),0,tblMovement[[#This Row],[Tonnes_t]]*tblMovement[[#This Row],[Grade_gpt]]/cfg_TroyOz)</f>
        <v/>
      </c>
      <c r="O4475" s="59">
        <f>IF(tblMovement[[#This Row],[Is_Ore]]=1,tblMovement[[#This Row],[Contained_oz]],0)</f>
        <v/>
      </c>
    </row>
    <row r="4476">
      <c r="A4476" s="54" t="n"/>
      <c r="B4476" s="61" t="n"/>
      <c r="C4476" s="61" t="n"/>
      <c r="D4476" s="61" t="n"/>
      <c r="E4476" s="61" t="n"/>
      <c r="F4476" s="55" t="n"/>
      <c r="G4476" s="56" t="n"/>
      <c r="H4476" s="55" t="n"/>
      <c r="I4476" s="62" t="n"/>
      <c r="J4476" s="58" t="n"/>
      <c r="K4476" s="63">
        <f>IF(tblMovement[[#This Row],[Source]]="","",IFERROR(INDEX(tblSources[Type],MATCH(tblMovement[[#This Row],[Source]],tblSources[Source],0)),"?"))</f>
        <v/>
      </c>
      <c r="L4476" s="63">
        <f>IF(tblMovement[[#This Row],[Destination]]="","",IFERROR(INDEX(tblDestinations[Type],MATCH(tblMovement[[#This Row],[Destination]],tblDestinations[Destination],0)),"?"))</f>
        <v/>
      </c>
      <c r="M4476" s="64">
        <f>IF(tblMovement[[#This Row],[Material]]="","",IF(LEFT(tblMovement[[#This Row],[Material]],3)="Ore",1,0))</f>
        <v/>
      </c>
      <c r="N4476" s="59">
        <f>IF(OR(tblMovement[[#This Row],[Tonnes_t]]="",tblMovement[[#This Row],[Grade_gpt]]=""),0,tblMovement[[#This Row],[Tonnes_t]]*tblMovement[[#This Row],[Grade_gpt]]/cfg_TroyOz)</f>
        <v/>
      </c>
      <c r="O4476" s="59">
        <f>IF(tblMovement[[#This Row],[Is_Ore]]=1,tblMovement[[#This Row],[Contained_oz]],0)</f>
        <v/>
      </c>
    </row>
    <row r="4477">
      <c r="A4477" s="54" t="n"/>
      <c r="B4477" s="61" t="n"/>
      <c r="C4477" s="61" t="n"/>
      <c r="D4477" s="61" t="n"/>
      <c r="E4477" s="61" t="n"/>
      <c r="F4477" s="55" t="n"/>
      <c r="G4477" s="56" t="n"/>
      <c r="H4477" s="55" t="n"/>
      <c r="I4477" s="62" t="n"/>
      <c r="J4477" s="58" t="n"/>
      <c r="K4477" s="63">
        <f>IF(tblMovement[[#This Row],[Source]]="","",IFERROR(INDEX(tblSources[Type],MATCH(tblMovement[[#This Row],[Source]],tblSources[Source],0)),"?"))</f>
        <v/>
      </c>
      <c r="L4477" s="63">
        <f>IF(tblMovement[[#This Row],[Destination]]="","",IFERROR(INDEX(tblDestinations[Type],MATCH(tblMovement[[#This Row],[Destination]],tblDestinations[Destination],0)),"?"))</f>
        <v/>
      </c>
      <c r="M4477" s="64">
        <f>IF(tblMovement[[#This Row],[Material]]="","",IF(LEFT(tblMovement[[#This Row],[Material]],3)="Ore",1,0))</f>
        <v/>
      </c>
      <c r="N4477" s="59">
        <f>IF(OR(tblMovement[[#This Row],[Tonnes_t]]="",tblMovement[[#This Row],[Grade_gpt]]=""),0,tblMovement[[#This Row],[Tonnes_t]]*tblMovement[[#This Row],[Grade_gpt]]/cfg_TroyOz)</f>
        <v/>
      </c>
      <c r="O4477" s="59">
        <f>IF(tblMovement[[#This Row],[Is_Ore]]=1,tblMovement[[#This Row],[Contained_oz]],0)</f>
        <v/>
      </c>
    </row>
    <row r="4478">
      <c r="A4478" s="54" t="n"/>
      <c r="B4478" s="61" t="n"/>
      <c r="C4478" s="61" t="n"/>
      <c r="D4478" s="61" t="n"/>
      <c r="E4478" s="61" t="n"/>
      <c r="F4478" s="55" t="n"/>
      <c r="G4478" s="56" t="n"/>
      <c r="H4478" s="55" t="n"/>
      <c r="I4478" s="62" t="n"/>
      <c r="J4478" s="58" t="n"/>
      <c r="K4478" s="63">
        <f>IF(tblMovement[[#This Row],[Source]]="","",IFERROR(INDEX(tblSources[Type],MATCH(tblMovement[[#This Row],[Source]],tblSources[Source],0)),"?"))</f>
        <v/>
      </c>
      <c r="L4478" s="63">
        <f>IF(tblMovement[[#This Row],[Destination]]="","",IFERROR(INDEX(tblDestinations[Type],MATCH(tblMovement[[#This Row],[Destination]],tblDestinations[Destination],0)),"?"))</f>
        <v/>
      </c>
      <c r="M4478" s="64">
        <f>IF(tblMovement[[#This Row],[Material]]="","",IF(LEFT(tblMovement[[#This Row],[Material]],3)="Ore",1,0))</f>
        <v/>
      </c>
      <c r="N4478" s="59">
        <f>IF(OR(tblMovement[[#This Row],[Tonnes_t]]="",tblMovement[[#This Row],[Grade_gpt]]=""),0,tblMovement[[#This Row],[Tonnes_t]]*tblMovement[[#This Row],[Grade_gpt]]/cfg_TroyOz)</f>
        <v/>
      </c>
      <c r="O4478" s="59">
        <f>IF(tblMovement[[#This Row],[Is_Ore]]=1,tblMovement[[#This Row],[Contained_oz]],0)</f>
        <v/>
      </c>
    </row>
    <row r="4479">
      <c r="A4479" s="54" t="n"/>
      <c r="B4479" s="61" t="n"/>
      <c r="C4479" s="61" t="n"/>
      <c r="D4479" s="61" t="n"/>
      <c r="E4479" s="61" t="n"/>
      <c r="F4479" s="55" t="n"/>
      <c r="G4479" s="56" t="n"/>
      <c r="H4479" s="55" t="n"/>
      <c r="I4479" s="62" t="n"/>
      <c r="J4479" s="58" t="n"/>
      <c r="K4479" s="63">
        <f>IF(tblMovement[[#This Row],[Source]]="","",IFERROR(INDEX(tblSources[Type],MATCH(tblMovement[[#This Row],[Source]],tblSources[Source],0)),"?"))</f>
        <v/>
      </c>
      <c r="L4479" s="63">
        <f>IF(tblMovement[[#This Row],[Destination]]="","",IFERROR(INDEX(tblDestinations[Type],MATCH(tblMovement[[#This Row],[Destination]],tblDestinations[Destination],0)),"?"))</f>
        <v/>
      </c>
      <c r="M4479" s="64">
        <f>IF(tblMovement[[#This Row],[Material]]="","",IF(LEFT(tblMovement[[#This Row],[Material]],3)="Ore",1,0))</f>
        <v/>
      </c>
      <c r="N4479" s="59">
        <f>IF(OR(tblMovement[[#This Row],[Tonnes_t]]="",tblMovement[[#This Row],[Grade_gpt]]=""),0,tblMovement[[#This Row],[Tonnes_t]]*tblMovement[[#This Row],[Grade_gpt]]/cfg_TroyOz)</f>
        <v/>
      </c>
      <c r="O4479" s="59">
        <f>IF(tblMovement[[#This Row],[Is_Ore]]=1,tblMovement[[#This Row],[Contained_oz]],0)</f>
        <v/>
      </c>
    </row>
    <row r="4480">
      <c r="A4480" s="54" t="n"/>
      <c r="B4480" s="61" t="n"/>
      <c r="C4480" s="61" t="n"/>
      <c r="D4480" s="61" t="n"/>
      <c r="E4480" s="61" t="n"/>
      <c r="F4480" s="55" t="n"/>
      <c r="G4480" s="56" t="n"/>
      <c r="H4480" s="55" t="n"/>
      <c r="I4480" s="62" t="n"/>
      <c r="J4480" s="58" t="n"/>
      <c r="K4480" s="63">
        <f>IF(tblMovement[[#This Row],[Source]]="","",IFERROR(INDEX(tblSources[Type],MATCH(tblMovement[[#This Row],[Source]],tblSources[Source],0)),"?"))</f>
        <v/>
      </c>
      <c r="L4480" s="63">
        <f>IF(tblMovement[[#This Row],[Destination]]="","",IFERROR(INDEX(tblDestinations[Type],MATCH(tblMovement[[#This Row],[Destination]],tblDestinations[Destination],0)),"?"))</f>
        <v/>
      </c>
      <c r="M4480" s="64">
        <f>IF(tblMovement[[#This Row],[Material]]="","",IF(LEFT(tblMovement[[#This Row],[Material]],3)="Ore",1,0))</f>
        <v/>
      </c>
      <c r="N4480" s="59">
        <f>IF(OR(tblMovement[[#This Row],[Tonnes_t]]="",tblMovement[[#This Row],[Grade_gpt]]=""),0,tblMovement[[#This Row],[Tonnes_t]]*tblMovement[[#This Row],[Grade_gpt]]/cfg_TroyOz)</f>
        <v/>
      </c>
      <c r="O4480" s="59">
        <f>IF(tblMovement[[#This Row],[Is_Ore]]=1,tblMovement[[#This Row],[Contained_oz]],0)</f>
        <v/>
      </c>
    </row>
    <row r="4481">
      <c r="A4481" s="54" t="n"/>
      <c r="B4481" s="61" t="n"/>
      <c r="C4481" s="61" t="n"/>
      <c r="D4481" s="61" t="n"/>
      <c r="E4481" s="61" t="n"/>
      <c r="F4481" s="55" t="n"/>
      <c r="G4481" s="56" t="n"/>
      <c r="H4481" s="55" t="n"/>
      <c r="I4481" s="62" t="n"/>
      <c r="J4481" s="58" t="n"/>
      <c r="K4481" s="63">
        <f>IF(tblMovement[[#This Row],[Source]]="","",IFERROR(INDEX(tblSources[Type],MATCH(tblMovement[[#This Row],[Source]],tblSources[Source],0)),"?"))</f>
        <v/>
      </c>
      <c r="L4481" s="63">
        <f>IF(tblMovement[[#This Row],[Destination]]="","",IFERROR(INDEX(tblDestinations[Type],MATCH(tblMovement[[#This Row],[Destination]],tblDestinations[Destination],0)),"?"))</f>
        <v/>
      </c>
      <c r="M4481" s="64">
        <f>IF(tblMovement[[#This Row],[Material]]="","",IF(LEFT(tblMovement[[#This Row],[Material]],3)="Ore",1,0))</f>
        <v/>
      </c>
      <c r="N4481" s="59">
        <f>IF(OR(tblMovement[[#This Row],[Tonnes_t]]="",tblMovement[[#This Row],[Grade_gpt]]=""),0,tblMovement[[#This Row],[Tonnes_t]]*tblMovement[[#This Row],[Grade_gpt]]/cfg_TroyOz)</f>
        <v/>
      </c>
      <c r="O4481" s="59">
        <f>IF(tblMovement[[#This Row],[Is_Ore]]=1,tblMovement[[#This Row],[Contained_oz]],0)</f>
        <v/>
      </c>
    </row>
    <row r="4482">
      <c r="A4482" s="54" t="n"/>
      <c r="B4482" s="61" t="n"/>
      <c r="C4482" s="61" t="n"/>
      <c r="D4482" s="61" t="n"/>
      <c r="E4482" s="61" t="n"/>
      <c r="F4482" s="55" t="n"/>
      <c r="G4482" s="56" t="n"/>
      <c r="H4482" s="55" t="n"/>
      <c r="I4482" s="62" t="n"/>
      <c r="J4482" s="58" t="n"/>
      <c r="K4482" s="63">
        <f>IF(tblMovement[[#This Row],[Source]]="","",IFERROR(INDEX(tblSources[Type],MATCH(tblMovement[[#This Row],[Source]],tblSources[Source],0)),"?"))</f>
        <v/>
      </c>
      <c r="L4482" s="63">
        <f>IF(tblMovement[[#This Row],[Destination]]="","",IFERROR(INDEX(tblDestinations[Type],MATCH(tblMovement[[#This Row],[Destination]],tblDestinations[Destination],0)),"?"))</f>
        <v/>
      </c>
      <c r="M4482" s="64">
        <f>IF(tblMovement[[#This Row],[Material]]="","",IF(LEFT(tblMovement[[#This Row],[Material]],3)="Ore",1,0))</f>
        <v/>
      </c>
      <c r="N4482" s="59">
        <f>IF(OR(tblMovement[[#This Row],[Tonnes_t]]="",tblMovement[[#This Row],[Grade_gpt]]=""),0,tblMovement[[#This Row],[Tonnes_t]]*tblMovement[[#This Row],[Grade_gpt]]/cfg_TroyOz)</f>
        <v/>
      </c>
      <c r="O4482" s="59">
        <f>IF(tblMovement[[#This Row],[Is_Ore]]=1,tblMovement[[#This Row],[Contained_oz]],0)</f>
        <v/>
      </c>
    </row>
    <row r="4483">
      <c r="A4483" s="54" t="n"/>
      <c r="B4483" s="61" t="n"/>
      <c r="C4483" s="61" t="n"/>
      <c r="D4483" s="61" t="n"/>
      <c r="E4483" s="61" t="n"/>
      <c r="F4483" s="55" t="n"/>
      <c r="G4483" s="56" t="n"/>
      <c r="H4483" s="55" t="n"/>
      <c r="I4483" s="62" t="n"/>
      <c r="J4483" s="58" t="n"/>
      <c r="K4483" s="63">
        <f>IF(tblMovement[[#This Row],[Source]]="","",IFERROR(INDEX(tblSources[Type],MATCH(tblMovement[[#This Row],[Source]],tblSources[Source],0)),"?"))</f>
        <v/>
      </c>
      <c r="L4483" s="63">
        <f>IF(tblMovement[[#This Row],[Destination]]="","",IFERROR(INDEX(tblDestinations[Type],MATCH(tblMovement[[#This Row],[Destination]],tblDestinations[Destination],0)),"?"))</f>
        <v/>
      </c>
      <c r="M4483" s="64">
        <f>IF(tblMovement[[#This Row],[Material]]="","",IF(LEFT(tblMovement[[#This Row],[Material]],3)="Ore",1,0))</f>
        <v/>
      </c>
      <c r="N4483" s="59">
        <f>IF(OR(tblMovement[[#This Row],[Tonnes_t]]="",tblMovement[[#This Row],[Grade_gpt]]=""),0,tblMovement[[#This Row],[Tonnes_t]]*tblMovement[[#This Row],[Grade_gpt]]/cfg_TroyOz)</f>
        <v/>
      </c>
      <c r="O4483" s="59">
        <f>IF(tblMovement[[#This Row],[Is_Ore]]=1,tblMovement[[#This Row],[Contained_oz]],0)</f>
        <v/>
      </c>
    </row>
    <row r="4484">
      <c r="A4484" s="54" t="n"/>
      <c r="B4484" s="61" t="n"/>
      <c r="C4484" s="61" t="n"/>
      <c r="D4484" s="61" t="n"/>
      <c r="E4484" s="61" t="n"/>
      <c r="F4484" s="55" t="n"/>
      <c r="G4484" s="56" t="n"/>
      <c r="H4484" s="55" t="n"/>
      <c r="I4484" s="62" t="n"/>
      <c r="J4484" s="58" t="n"/>
      <c r="K4484" s="63">
        <f>IF(tblMovement[[#This Row],[Source]]="","",IFERROR(INDEX(tblSources[Type],MATCH(tblMovement[[#This Row],[Source]],tblSources[Source],0)),"?"))</f>
        <v/>
      </c>
      <c r="L4484" s="63">
        <f>IF(tblMovement[[#This Row],[Destination]]="","",IFERROR(INDEX(tblDestinations[Type],MATCH(tblMovement[[#This Row],[Destination]],tblDestinations[Destination],0)),"?"))</f>
        <v/>
      </c>
      <c r="M4484" s="64">
        <f>IF(tblMovement[[#This Row],[Material]]="","",IF(LEFT(tblMovement[[#This Row],[Material]],3)="Ore",1,0))</f>
        <v/>
      </c>
      <c r="N4484" s="59">
        <f>IF(OR(tblMovement[[#This Row],[Tonnes_t]]="",tblMovement[[#This Row],[Grade_gpt]]=""),0,tblMovement[[#This Row],[Tonnes_t]]*tblMovement[[#This Row],[Grade_gpt]]/cfg_TroyOz)</f>
        <v/>
      </c>
      <c r="O4484" s="59">
        <f>IF(tblMovement[[#This Row],[Is_Ore]]=1,tblMovement[[#This Row],[Contained_oz]],0)</f>
        <v/>
      </c>
    </row>
    <row r="4485">
      <c r="A4485" s="54" t="n"/>
      <c r="B4485" s="61" t="n"/>
      <c r="C4485" s="61" t="n"/>
      <c r="D4485" s="61" t="n"/>
      <c r="E4485" s="61" t="n"/>
      <c r="F4485" s="55" t="n"/>
      <c r="G4485" s="56" t="n"/>
      <c r="H4485" s="55" t="n"/>
      <c r="I4485" s="62" t="n"/>
      <c r="J4485" s="58" t="n"/>
      <c r="K4485" s="63">
        <f>IF(tblMovement[[#This Row],[Source]]="","",IFERROR(INDEX(tblSources[Type],MATCH(tblMovement[[#This Row],[Source]],tblSources[Source],0)),"?"))</f>
        <v/>
      </c>
      <c r="L4485" s="63">
        <f>IF(tblMovement[[#This Row],[Destination]]="","",IFERROR(INDEX(tblDestinations[Type],MATCH(tblMovement[[#This Row],[Destination]],tblDestinations[Destination],0)),"?"))</f>
        <v/>
      </c>
      <c r="M4485" s="64">
        <f>IF(tblMovement[[#This Row],[Material]]="","",IF(LEFT(tblMovement[[#This Row],[Material]],3)="Ore",1,0))</f>
        <v/>
      </c>
      <c r="N4485" s="59">
        <f>IF(OR(tblMovement[[#This Row],[Tonnes_t]]="",tblMovement[[#This Row],[Grade_gpt]]=""),0,tblMovement[[#This Row],[Tonnes_t]]*tblMovement[[#This Row],[Grade_gpt]]/cfg_TroyOz)</f>
        <v/>
      </c>
      <c r="O4485" s="59">
        <f>IF(tblMovement[[#This Row],[Is_Ore]]=1,tblMovement[[#This Row],[Contained_oz]],0)</f>
        <v/>
      </c>
    </row>
    <row r="4486">
      <c r="A4486" s="54" t="n"/>
      <c r="B4486" s="61" t="n"/>
      <c r="C4486" s="61" t="n"/>
      <c r="D4486" s="61" t="n"/>
      <c r="E4486" s="61" t="n"/>
      <c r="F4486" s="55" t="n"/>
      <c r="G4486" s="56" t="n"/>
      <c r="H4486" s="55" t="n"/>
      <c r="I4486" s="62" t="n"/>
      <c r="J4486" s="58" t="n"/>
      <c r="K4486" s="63">
        <f>IF(tblMovement[[#This Row],[Source]]="","",IFERROR(INDEX(tblSources[Type],MATCH(tblMovement[[#This Row],[Source]],tblSources[Source],0)),"?"))</f>
        <v/>
      </c>
      <c r="L4486" s="63">
        <f>IF(tblMovement[[#This Row],[Destination]]="","",IFERROR(INDEX(tblDestinations[Type],MATCH(tblMovement[[#This Row],[Destination]],tblDestinations[Destination],0)),"?"))</f>
        <v/>
      </c>
      <c r="M4486" s="64">
        <f>IF(tblMovement[[#This Row],[Material]]="","",IF(LEFT(tblMovement[[#This Row],[Material]],3)="Ore",1,0))</f>
        <v/>
      </c>
      <c r="N4486" s="59">
        <f>IF(OR(tblMovement[[#This Row],[Tonnes_t]]="",tblMovement[[#This Row],[Grade_gpt]]=""),0,tblMovement[[#This Row],[Tonnes_t]]*tblMovement[[#This Row],[Grade_gpt]]/cfg_TroyOz)</f>
        <v/>
      </c>
      <c r="O4486" s="59">
        <f>IF(tblMovement[[#This Row],[Is_Ore]]=1,tblMovement[[#This Row],[Contained_oz]],0)</f>
        <v/>
      </c>
    </row>
    <row r="4487">
      <c r="A4487" s="54" t="n"/>
      <c r="B4487" s="61" t="n"/>
      <c r="C4487" s="61" t="n"/>
      <c r="D4487" s="61" t="n"/>
      <c r="E4487" s="61" t="n"/>
      <c r="F4487" s="55" t="n"/>
      <c r="G4487" s="56" t="n"/>
      <c r="H4487" s="55" t="n"/>
      <c r="I4487" s="62" t="n"/>
      <c r="J4487" s="58" t="n"/>
      <c r="K4487" s="63">
        <f>IF(tblMovement[[#This Row],[Source]]="","",IFERROR(INDEX(tblSources[Type],MATCH(tblMovement[[#This Row],[Source]],tblSources[Source],0)),"?"))</f>
        <v/>
      </c>
      <c r="L4487" s="63">
        <f>IF(tblMovement[[#This Row],[Destination]]="","",IFERROR(INDEX(tblDestinations[Type],MATCH(tblMovement[[#This Row],[Destination]],tblDestinations[Destination],0)),"?"))</f>
        <v/>
      </c>
      <c r="M4487" s="64">
        <f>IF(tblMovement[[#This Row],[Material]]="","",IF(LEFT(tblMovement[[#This Row],[Material]],3)="Ore",1,0))</f>
        <v/>
      </c>
      <c r="N4487" s="59">
        <f>IF(OR(tblMovement[[#This Row],[Tonnes_t]]="",tblMovement[[#This Row],[Grade_gpt]]=""),0,tblMovement[[#This Row],[Tonnes_t]]*tblMovement[[#This Row],[Grade_gpt]]/cfg_TroyOz)</f>
        <v/>
      </c>
      <c r="O4487" s="59">
        <f>IF(tblMovement[[#This Row],[Is_Ore]]=1,tblMovement[[#This Row],[Contained_oz]],0)</f>
        <v/>
      </c>
    </row>
    <row r="4488">
      <c r="A4488" s="54" t="n"/>
      <c r="B4488" s="61" t="n"/>
      <c r="C4488" s="61" t="n"/>
      <c r="D4488" s="61" t="n"/>
      <c r="E4488" s="61" t="n"/>
      <c r="F4488" s="55" t="n"/>
      <c r="G4488" s="56" t="n"/>
      <c r="H4488" s="55" t="n"/>
      <c r="I4488" s="62" t="n"/>
      <c r="J4488" s="58" t="n"/>
      <c r="K4488" s="63">
        <f>IF(tblMovement[[#This Row],[Source]]="","",IFERROR(INDEX(tblSources[Type],MATCH(tblMovement[[#This Row],[Source]],tblSources[Source],0)),"?"))</f>
        <v/>
      </c>
      <c r="L4488" s="63">
        <f>IF(tblMovement[[#This Row],[Destination]]="","",IFERROR(INDEX(tblDestinations[Type],MATCH(tblMovement[[#This Row],[Destination]],tblDestinations[Destination],0)),"?"))</f>
        <v/>
      </c>
      <c r="M4488" s="64">
        <f>IF(tblMovement[[#This Row],[Material]]="","",IF(LEFT(tblMovement[[#This Row],[Material]],3)="Ore",1,0))</f>
        <v/>
      </c>
      <c r="N4488" s="59">
        <f>IF(OR(tblMovement[[#This Row],[Tonnes_t]]="",tblMovement[[#This Row],[Grade_gpt]]=""),0,tblMovement[[#This Row],[Tonnes_t]]*tblMovement[[#This Row],[Grade_gpt]]/cfg_TroyOz)</f>
        <v/>
      </c>
      <c r="O4488" s="59">
        <f>IF(tblMovement[[#This Row],[Is_Ore]]=1,tblMovement[[#This Row],[Contained_oz]],0)</f>
        <v/>
      </c>
    </row>
    <row r="4489">
      <c r="A4489" s="54" t="n"/>
      <c r="B4489" s="61" t="n"/>
      <c r="C4489" s="61" t="n"/>
      <c r="D4489" s="61" t="n"/>
      <c r="E4489" s="61" t="n"/>
      <c r="F4489" s="55" t="n"/>
      <c r="G4489" s="56" t="n"/>
      <c r="H4489" s="55" t="n"/>
      <c r="I4489" s="62" t="n"/>
      <c r="J4489" s="58" t="n"/>
      <c r="K4489" s="63">
        <f>IF(tblMovement[[#This Row],[Source]]="","",IFERROR(INDEX(tblSources[Type],MATCH(tblMovement[[#This Row],[Source]],tblSources[Source],0)),"?"))</f>
        <v/>
      </c>
      <c r="L4489" s="63">
        <f>IF(tblMovement[[#This Row],[Destination]]="","",IFERROR(INDEX(tblDestinations[Type],MATCH(tblMovement[[#This Row],[Destination]],tblDestinations[Destination],0)),"?"))</f>
        <v/>
      </c>
      <c r="M4489" s="64">
        <f>IF(tblMovement[[#This Row],[Material]]="","",IF(LEFT(tblMovement[[#This Row],[Material]],3)="Ore",1,0))</f>
        <v/>
      </c>
      <c r="N4489" s="59">
        <f>IF(OR(tblMovement[[#This Row],[Tonnes_t]]="",tblMovement[[#This Row],[Grade_gpt]]=""),0,tblMovement[[#This Row],[Tonnes_t]]*tblMovement[[#This Row],[Grade_gpt]]/cfg_TroyOz)</f>
        <v/>
      </c>
      <c r="O4489" s="59">
        <f>IF(tblMovement[[#This Row],[Is_Ore]]=1,tblMovement[[#This Row],[Contained_oz]],0)</f>
        <v/>
      </c>
    </row>
    <row r="4490">
      <c r="A4490" s="54" t="n"/>
      <c r="B4490" s="61" t="n"/>
      <c r="C4490" s="61" t="n"/>
      <c r="D4490" s="61" t="n"/>
      <c r="E4490" s="61" t="n"/>
      <c r="F4490" s="55" t="n"/>
      <c r="G4490" s="56" t="n"/>
      <c r="H4490" s="55" t="n"/>
      <c r="I4490" s="62" t="n"/>
      <c r="J4490" s="58" t="n"/>
      <c r="K4490" s="63">
        <f>IF(tblMovement[[#This Row],[Source]]="","",IFERROR(INDEX(tblSources[Type],MATCH(tblMovement[[#This Row],[Source]],tblSources[Source],0)),"?"))</f>
        <v/>
      </c>
      <c r="L4490" s="63">
        <f>IF(tblMovement[[#This Row],[Destination]]="","",IFERROR(INDEX(tblDestinations[Type],MATCH(tblMovement[[#This Row],[Destination]],tblDestinations[Destination],0)),"?"))</f>
        <v/>
      </c>
      <c r="M4490" s="64">
        <f>IF(tblMovement[[#This Row],[Material]]="","",IF(LEFT(tblMovement[[#This Row],[Material]],3)="Ore",1,0))</f>
        <v/>
      </c>
      <c r="N4490" s="59">
        <f>IF(OR(tblMovement[[#This Row],[Tonnes_t]]="",tblMovement[[#This Row],[Grade_gpt]]=""),0,tblMovement[[#This Row],[Tonnes_t]]*tblMovement[[#This Row],[Grade_gpt]]/cfg_TroyOz)</f>
        <v/>
      </c>
      <c r="O4490" s="59">
        <f>IF(tblMovement[[#This Row],[Is_Ore]]=1,tblMovement[[#This Row],[Contained_oz]],0)</f>
        <v/>
      </c>
    </row>
    <row r="4491">
      <c r="A4491" s="54" t="n"/>
      <c r="B4491" s="61" t="n"/>
      <c r="C4491" s="61" t="n"/>
      <c r="D4491" s="61" t="n"/>
      <c r="E4491" s="61" t="n"/>
      <c r="F4491" s="55" t="n"/>
      <c r="G4491" s="56" t="n"/>
      <c r="H4491" s="55" t="n"/>
      <c r="I4491" s="62" t="n"/>
      <c r="J4491" s="58" t="n"/>
      <c r="K4491" s="63">
        <f>IF(tblMovement[[#This Row],[Source]]="","",IFERROR(INDEX(tblSources[Type],MATCH(tblMovement[[#This Row],[Source]],tblSources[Source],0)),"?"))</f>
        <v/>
      </c>
      <c r="L4491" s="63">
        <f>IF(tblMovement[[#This Row],[Destination]]="","",IFERROR(INDEX(tblDestinations[Type],MATCH(tblMovement[[#This Row],[Destination]],tblDestinations[Destination],0)),"?"))</f>
        <v/>
      </c>
      <c r="M4491" s="64">
        <f>IF(tblMovement[[#This Row],[Material]]="","",IF(LEFT(tblMovement[[#This Row],[Material]],3)="Ore",1,0))</f>
        <v/>
      </c>
      <c r="N4491" s="59">
        <f>IF(OR(tblMovement[[#This Row],[Tonnes_t]]="",tblMovement[[#This Row],[Grade_gpt]]=""),0,tblMovement[[#This Row],[Tonnes_t]]*tblMovement[[#This Row],[Grade_gpt]]/cfg_TroyOz)</f>
        <v/>
      </c>
      <c r="O4491" s="59">
        <f>IF(tblMovement[[#This Row],[Is_Ore]]=1,tblMovement[[#This Row],[Contained_oz]],0)</f>
        <v/>
      </c>
    </row>
    <row r="4492">
      <c r="A4492" s="54" t="n"/>
      <c r="B4492" s="61" t="n"/>
      <c r="C4492" s="61" t="n"/>
      <c r="D4492" s="61" t="n"/>
      <c r="E4492" s="61" t="n"/>
      <c r="F4492" s="55" t="n"/>
      <c r="G4492" s="56" t="n"/>
      <c r="H4492" s="55" t="n"/>
      <c r="I4492" s="62" t="n"/>
      <c r="J4492" s="58" t="n"/>
      <c r="K4492" s="63">
        <f>IF(tblMovement[[#This Row],[Source]]="","",IFERROR(INDEX(tblSources[Type],MATCH(tblMovement[[#This Row],[Source]],tblSources[Source],0)),"?"))</f>
        <v/>
      </c>
      <c r="L4492" s="63">
        <f>IF(tblMovement[[#This Row],[Destination]]="","",IFERROR(INDEX(tblDestinations[Type],MATCH(tblMovement[[#This Row],[Destination]],tblDestinations[Destination],0)),"?"))</f>
        <v/>
      </c>
      <c r="M4492" s="64">
        <f>IF(tblMovement[[#This Row],[Material]]="","",IF(LEFT(tblMovement[[#This Row],[Material]],3)="Ore",1,0))</f>
        <v/>
      </c>
      <c r="N4492" s="59">
        <f>IF(OR(tblMovement[[#This Row],[Tonnes_t]]="",tblMovement[[#This Row],[Grade_gpt]]=""),0,tblMovement[[#This Row],[Tonnes_t]]*tblMovement[[#This Row],[Grade_gpt]]/cfg_TroyOz)</f>
        <v/>
      </c>
      <c r="O4492" s="59">
        <f>IF(tblMovement[[#This Row],[Is_Ore]]=1,tblMovement[[#This Row],[Contained_oz]],0)</f>
        <v/>
      </c>
    </row>
    <row r="4493">
      <c r="A4493" s="54" t="n"/>
      <c r="B4493" s="61" t="n"/>
      <c r="C4493" s="61" t="n"/>
      <c r="D4493" s="61" t="n"/>
      <c r="E4493" s="61" t="n"/>
      <c r="F4493" s="55" t="n"/>
      <c r="G4493" s="56" t="n"/>
      <c r="H4493" s="55" t="n"/>
      <c r="I4493" s="62" t="n"/>
      <c r="J4493" s="58" t="n"/>
      <c r="K4493" s="63">
        <f>IF(tblMovement[[#This Row],[Source]]="","",IFERROR(INDEX(tblSources[Type],MATCH(tblMovement[[#This Row],[Source]],tblSources[Source],0)),"?"))</f>
        <v/>
      </c>
      <c r="L4493" s="63">
        <f>IF(tblMovement[[#This Row],[Destination]]="","",IFERROR(INDEX(tblDestinations[Type],MATCH(tblMovement[[#This Row],[Destination]],tblDestinations[Destination],0)),"?"))</f>
        <v/>
      </c>
      <c r="M4493" s="64">
        <f>IF(tblMovement[[#This Row],[Material]]="","",IF(LEFT(tblMovement[[#This Row],[Material]],3)="Ore",1,0))</f>
        <v/>
      </c>
      <c r="N4493" s="59">
        <f>IF(OR(tblMovement[[#This Row],[Tonnes_t]]="",tblMovement[[#This Row],[Grade_gpt]]=""),0,tblMovement[[#This Row],[Tonnes_t]]*tblMovement[[#This Row],[Grade_gpt]]/cfg_TroyOz)</f>
        <v/>
      </c>
      <c r="O4493" s="59">
        <f>IF(tblMovement[[#This Row],[Is_Ore]]=1,tblMovement[[#This Row],[Contained_oz]],0)</f>
        <v/>
      </c>
    </row>
    <row r="4494">
      <c r="A4494" s="54" t="n"/>
      <c r="B4494" s="61" t="n"/>
      <c r="C4494" s="61" t="n"/>
      <c r="D4494" s="61" t="n"/>
      <c r="E4494" s="61" t="n"/>
      <c r="F4494" s="55" t="n"/>
      <c r="G4494" s="56" t="n"/>
      <c r="H4494" s="55" t="n"/>
      <c r="I4494" s="62" t="n"/>
      <c r="J4494" s="58" t="n"/>
      <c r="K4494" s="63">
        <f>IF(tblMovement[[#This Row],[Source]]="","",IFERROR(INDEX(tblSources[Type],MATCH(tblMovement[[#This Row],[Source]],tblSources[Source],0)),"?"))</f>
        <v/>
      </c>
      <c r="L4494" s="63">
        <f>IF(tblMovement[[#This Row],[Destination]]="","",IFERROR(INDEX(tblDestinations[Type],MATCH(tblMovement[[#This Row],[Destination]],tblDestinations[Destination],0)),"?"))</f>
        <v/>
      </c>
      <c r="M4494" s="64">
        <f>IF(tblMovement[[#This Row],[Material]]="","",IF(LEFT(tblMovement[[#This Row],[Material]],3)="Ore",1,0))</f>
        <v/>
      </c>
      <c r="N4494" s="59">
        <f>IF(OR(tblMovement[[#This Row],[Tonnes_t]]="",tblMovement[[#This Row],[Grade_gpt]]=""),0,tblMovement[[#This Row],[Tonnes_t]]*tblMovement[[#This Row],[Grade_gpt]]/cfg_TroyOz)</f>
        <v/>
      </c>
      <c r="O4494" s="59">
        <f>IF(tblMovement[[#This Row],[Is_Ore]]=1,tblMovement[[#This Row],[Contained_oz]],0)</f>
        <v/>
      </c>
    </row>
    <row r="4495">
      <c r="A4495" s="54" t="n"/>
      <c r="B4495" s="61" t="n"/>
      <c r="C4495" s="61" t="n"/>
      <c r="D4495" s="61" t="n"/>
      <c r="E4495" s="61" t="n"/>
      <c r="F4495" s="55" t="n"/>
      <c r="G4495" s="56" t="n"/>
      <c r="H4495" s="55" t="n"/>
      <c r="I4495" s="62" t="n"/>
      <c r="J4495" s="58" t="n"/>
      <c r="K4495" s="63">
        <f>IF(tblMovement[[#This Row],[Source]]="","",IFERROR(INDEX(tblSources[Type],MATCH(tblMovement[[#This Row],[Source]],tblSources[Source],0)),"?"))</f>
        <v/>
      </c>
      <c r="L4495" s="63">
        <f>IF(tblMovement[[#This Row],[Destination]]="","",IFERROR(INDEX(tblDestinations[Type],MATCH(tblMovement[[#This Row],[Destination]],tblDestinations[Destination],0)),"?"))</f>
        <v/>
      </c>
      <c r="M4495" s="64">
        <f>IF(tblMovement[[#This Row],[Material]]="","",IF(LEFT(tblMovement[[#This Row],[Material]],3)="Ore",1,0))</f>
        <v/>
      </c>
      <c r="N4495" s="59">
        <f>IF(OR(tblMovement[[#This Row],[Tonnes_t]]="",tblMovement[[#This Row],[Grade_gpt]]=""),0,tblMovement[[#This Row],[Tonnes_t]]*tblMovement[[#This Row],[Grade_gpt]]/cfg_TroyOz)</f>
        <v/>
      </c>
      <c r="O4495" s="59">
        <f>IF(tblMovement[[#This Row],[Is_Ore]]=1,tblMovement[[#This Row],[Contained_oz]],0)</f>
        <v/>
      </c>
    </row>
    <row r="4496">
      <c r="A4496" s="54" t="n"/>
      <c r="B4496" s="61" t="n"/>
      <c r="C4496" s="61" t="n"/>
      <c r="D4496" s="61" t="n"/>
      <c r="E4496" s="61" t="n"/>
      <c r="F4496" s="55" t="n"/>
      <c r="G4496" s="56" t="n"/>
      <c r="H4496" s="55" t="n"/>
      <c r="I4496" s="62" t="n"/>
      <c r="J4496" s="58" t="n"/>
      <c r="K4496" s="63">
        <f>IF(tblMovement[[#This Row],[Source]]="","",IFERROR(INDEX(tblSources[Type],MATCH(tblMovement[[#This Row],[Source]],tblSources[Source],0)),"?"))</f>
        <v/>
      </c>
      <c r="L4496" s="63">
        <f>IF(tblMovement[[#This Row],[Destination]]="","",IFERROR(INDEX(tblDestinations[Type],MATCH(tblMovement[[#This Row],[Destination]],tblDestinations[Destination],0)),"?"))</f>
        <v/>
      </c>
      <c r="M4496" s="64">
        <f>IF(tblMovement[[#This Row],[Material]]="","",IF(LEFT(tblMovement[[#This Row],[Material]],3)="Ore",1,0))</f>
        <v/>
      </c>
      <c r="N4496" s="59">
        <f>IF(OR(tblMovement[[#This Row],[Tonnes_t]]="",tblMovement[[#This Row],[Grade_gpt]]=""),0,tblMovement[[#This Row],[Tonnes_t]]*tblMovement[[#This Row],[Grade_gpt]]/cfg_TroyOz)</f>
        <v/>
      </c>
      <c r="O4496" s="59">
        <f>IF(tblMovement[[#This Row],[Is_Ore]]=1,tblMovement[[#This Row],[Contained_oz]],0)</f>
        <v/>
      </c>
    </row>
    <row r="4497">
      <c r="A4497" s="54" t="n"/>
      <c r="B4497" s="61" t="n"/>
      <c r="C4497" s="61" t="n"/>
      <c r="D4497" s="61" t="n"/>
      <c r="E4497" s="61" t="n"/>
      <c r="F4497" s="55" t="n"/>
      <c r="G4497" s="56" t="n"/>
      <c r="H4497" s="55" t="n"/>
      <c r="I4497" s="62" t="n"/>
      <c r="J4497" s="58" t="n"/>
      <c r="K4497" s="63">
        <f>IF(tblMovement[[#This Row],[Source]]="","",IFERROR(INDEX(tblSources[Type],MATCH(tblMovement[[#This Row],[Source]],tblSources[Source],0)),"?"))</f>
        <v/>
      </c>
      <c r="L4497" s="63">
        <f>IF(tblMovement[[#This Row],[Destination]]="","",IFERROR(INDEX(tblDestinations[Type],MATCH(tblMovement[[#This Row],[Destination]],tblDestinations[Destination],0)),"?"))</f>
        <v/>
      </c>
      <c r="M4497" s="64">
        <f>IF(tblMovement[[#This Row],[Material]]="","",IF(LEFT(tblMovement[[#This Row],[Material]],3)="Ore",1,0))</f>
        <v/>
      </c>
      <c r="N4497" s="59">
        <f>IF(OR(tblMovement[[#This Row],[Tonnes_t]]="",tblMovement[[#This Row],[Grade_gpt]]=""),0,tblMovement[[#This Row],[Tonnes_t]]*tblMovement[[#This Row],[Grade_gpt]]/cfg_TroyOz)</f>
        <v/>
      </c>
      <c r="O4497" s="59">
        <f>IF(tblMovement[[#This Row],[Is_Ore]]=1,tblMovement[[#This Row],[Contained_oz]],0)</f>
        <v/>
      </c>
    </row>
    <row r="4498">
      <c r="A4498" s="54" t="n"/>
      <c r="B4498" s="61" t="n"/>
      <c r="C4498" s="61" t="n"/>
      <c r="D4498" s="61" t="n"/>
      <c r="E4498" s="61" t="n"/>
      <c r="F4498" s="55" t="n"/>
      <c r="G4498" s="56" t="n"/>
      <c r="H4498" s="55" t="n"/>
      <c r="I4498" s="62" t="n"/>
      <c r="J4498" s="58" t="n"/>
      <c r="K4498" s="63">
        <f>IF(tblMovement[[#This Row],[Source]]="","",IFERROR(INDEX(tblSources[Type],MATCH(tblMovement[[#This Row],[Source]],tblSources[Source],0)),"?"))</f>
        <v/>
      </c>
      <c r="L4498" s="63">
        <f>IF(tblMovement[[#This Row],[Destination]]="","",IFERROR(INDEX(tblDestinations[Type],MATCH(tblMovement[[#This Row],[Destination]],tblDestinations[Destination],0)),"?"))</f>
        <v/>
      </c>
      <c r="M4498" s="64">
        <f>IF(tblMovement[[#This Row],[Material]]="","",IF(LEFT(tblMovement[[#This Row],[Material]],3)="Ore",1,0))</f>
        <v/>
      </c>
      <c r="N4498" s="59">
        <f>IF(OR(tblMovement[[#This Row],[Tonnes_t]]="",tblMovement[[#This Row],[Grade_gpt]]=""),0,tblMovement[[#This Row],[Tonnes_t]]*tblMovement[[#This Row],[Grade_gpt]]/cfg_TroyOz)</f>
        <v/>
      </c>
      <c r="O4498" s="59">
        <f>IF(tblMovement[[#This Row],[Is_Ore]]=1,tblMovement[[#This Row],[Contained_oz]],0)</f>
        <v/>
      </c>
    </row>
    <row r="4499">
      <c r="A4499" s="54" t="n"/>
      <c r="B4499" s="61" t="n"/>
      <c r="C4499" s="61" t="n"/>
      <c r="D4499" s="61" t="n"/>
      <c r="E4499" s="61" t="n"/>
      <c r="F4499" s="55" t="n"/>
      <c r="G4499" s="56" t="n"/>
      <c r="H4499" s="55" t="n"/>
      <c r="I4499" s="62" t="n"/>
      <c r="J4499" s="58" t="n"/>
      <c r="K4499" s="63">
        <f>IF(tblMovement[[#This Row],[Source]]="","",IFERROR(INDEX(tblSources[Type],MATCH(tblMovement[[#This Row],[Source]],tblSources[Source],0)),"?"))</f>
        <v/>
      </c>
      <c r="L4499" s="63">
        <f>IF(tblMovement[[#This Row],[Destination]]="","",IFERROR(INDEX(tblDestinations[Type],MATCH(tblMovement[[#This Row],[Destination]],tblDestinations[Destination],0)),"?"))</f>
        <v/>
      </c>
      <c r="M4499" s="64">
        <f>IF(tblMovement[[#This Row],[Material]]="","",IF(LEFT(tblMovement[[#This Row],[Material]],3)="Ore",1,0))</f>
        <v/>
      </c>
      <c r="N4499" s="59">
        <f>IF(OR(tblMovement[[#This Row],[Tonnes_t]]="",tblMovement[[#This Row],[Grade_gpt]]=""),0,tblMovement[[#This Row],[Tonnes_t]]*tblMovement[[#This Row],[Grade_gpt]]/cfg_TroyOz)</f>
        <v/>
      </c>
      <c r="O4499" s="59">
        <f>IF(tblMovement[[#This Row],[Is_Ore]]=1,tblMovement[[#This Row],[Contained_oz]],0)</f>
        <v/>
      </c>
    </row>
    <row r="4500">
      <c r="A4500" s="54" t="n"/>
      <c r="B4500" s="61" t="n"/>
      <c r="C4500" s="61" t="n"/>
      <c r="D4500" s="61" t="n"/>
      <c r="E4500" s="61" t="n"/>
      <c r="F4500" s="55" t="n"/>
      <c r="G4500" s="56" t="n"/>
      <c r="H4500" s="55" t="n"/>
      <c r="I4500" s="62" t="n"/>
      <c r="J4500" s="58" t="n"/>
      <c r="K4500" s="63">
        <f>IF(tblMovement[[#This Row],[Source]]="","",IFERROR(INDEX(tblSources[Type],MATCH(tblMovement[[#This Row],[Source]],tblSources[Source],0)),"?"))</f>
        <v/>
      </c>
      <c r="L4500" s="63">
        <f>IF(tblMovement[[#This Row],[Destination]]="","",IFERROR(INDEX(tblDestinations[Type],MATCH(tblMovement[[#This Row],[Destination]],tblDestinations[Destination],0)),"?"))</f>
        <v/>
      </c>
      <c r="M4500" s="64">
        <f>IF(tblMovement[[#This Row],[Material]]="","",IF(LEFT(tblMovement[[#This Row],[Material]],3)="Ore",1,0))</f>
        <v/>
      </c>
      <c r="N4500" s="59">
        <f>IF(OR(tblMovement[[#This Row],[Tonnes_t]]="",tblMovement[[#This Row],[Grade_gpt]]=""),0,tblMovement[[#This Row],[Tonnes_t]]*tblMovement[[#This Row],[Grade_gpt]]/cfg_TroyOz)</f>
        <v/>
      </c>
      <c r="O4500" s="59">
        <f>IF(tblMovement[[#This Row],[Is_Ore]]=1,tblMovement[[#This Row],[Contained_oz]],0)</f>
        <v/>
      </c>
    </row>
    <row r="4501">
      <c r="A4501" s="54" t="n"/>
      <c r="B4501" s="61" t="n"/>
      <c r="C4501" s="61" t="n"/>
      <c r="D4501" s="61" t="n"/>
      <c r="E4501" s="61" t="n"/>
      <c r="F4501" s="55" t="n"/>
      <c r="G4501" s="56" t="n"/>
      <c r="H4501" s="55" t="n"/>
      <c r="I4501" s="62" t="n"/>
      <c r="J4501" s="58" t="n"/>
      <c r="K4501" s="63">
        <f>IF(tblMovement[[#This Row],[Source]]="","",IFERROR(INDEX(tblSources[Type],MATCH(tblMovement[[#This Row],[Source]],tblSources[Source],0)),"?"))</f>
        <v/>
      </c>
      <c r="L4501" s="63">
        <f>IF(tblMovement[[#This Row],[Destination]]="","",IFERROR(INDEX(tblDestinations[Type],MATCH(tblMovement[[#This Row],[Destination]],tblDestinations[Destination],0)),"?"))</f>
        <v/>
      </c>
      <c r="M4501" s="64">
        <f>IF(tblMovement[[#This Row],[Material]]="","",IF(LEFT(tblMovement[[#This Row],[Material]],3)="Ore",1,0))</f>
        <v/>
      </c>
      <c r="N4501" s="59">
        <f>IF(OR(tblMovement[[#This Row],[Tonnes_t]]="",tblMovement[[#This Row],[Grade_gpt]]=""),0,tblMovement[[#This Row],[Tonnes_t]]*tblMovement[[#This Row],[Grade_gpt]]/cfg_TroyOz)</f>
        <v/>
      </c>
      <c r="O4501" s="59">
        <f>IF(tblMovement[[#This Row],[Is_Ore]]=1,tblMovement[[#This Row],[Contained_oz]],0)</f>
        <v/>
      </c>
    </row>
    <row r="4502">
      <c r="A4502" s="54" t="n"/>
      <c r="B4502" s="61" t="n"/>
      <c r="C4502" s="61" t="n"/>
      <c r="D4502" s="61" t="n"/>
      <c r="E4502" s="61" t="n"/>
      <c r="F4502" s="55" t="n"/>
      <c r="G4502" s="56" t="n"/>
      <c r="H4502" s="55" t="n"/>
      <c r="I4502" s="62" t="n"/>
      <c r="J4502" s="58" t="n"/>
      <c r="K4502" s="63">
        <f>IF(tblMovement[[#This Row],[Source]]="","",IFERROR(INDEX(tblSources[Type],MATCH(tblMovement[[#This Row],[Source]],tblSources[Source],0)),"?"))</f>
        <v/>
      </c>
      <c r="L4502" s="63">
        <f>IF(tblMovement[[#This Row],[Destination]]="","",IFERROR(INDEX(tblDestinations[Type],MATCH(tblMovement[[#This Row],[Destination]],tblDestinations[Destination],0)),"?"))</f>
        <v/>
      </c>
      <c r="M4502" s="64">
        <f>IF(tblMovement[[#This Row],[Material]]="","",IF(LEFT(tblMovement[[#This Row],[Material]],3)="Ore",1,0))</f>
        <v/>
      </c>
      <c r="N4502" s="59">
        <f>IF(OR(tblMovement[[#This Row],[Tonnes_t]]="",tblMovement[[#This Row],[Grade_gpt]]=""),0,tblMovement[[#This Row],[Tonnes_t]]*tblMovement[[#This Row],[Grade_gpt]]/cfg_TroyOz)</f>
        <v/>
      </c>
      <c r="O4502" s="59">
        <f>IF(tblMovement[[#This Row],[Is_Ore]]=1,tblMovement[[#This Row],[Contained_oz]],0)</f>
        <v/>
      </c>
    </row>
    <row r="4503">
      <c r="A4503" s="54" t="n"/>
      <c r="B4503" s="61" t="n"/>
      <c r="C4503" s="61" t="n"/>
      <c r="D4503" s="61" t="n"/>
      <c r="E4503" s="61" t="n"/>
      <c r="F4503" s="55" t="n"/>
      <c r="G4503" s="56" t="n"/>
      <c r="H4503" s="55" t="n"/>
      <c r="I4503" s="62" t="n"/>
      <c r="J4503" s="58" t="n"/>
      <c r="K4503" s="63">
        <f>IF(tblMovement[[#This Row],[Source]]="","",IFERROR(INDEX(tblSources[Type],MATCH(tblMovement[[#This Row],[Source]],tblSources[Source],0)),"?"))</f>
        <v/>
      </c>
      <c r="L4503" s="63">
        <f>IF(tblMovement[[#This Row],[Destination]]="","",IFERROR(INDEX(tblDestinations[Type],MATCH(tblMovement[[#This Row],[Destination]],tblDestinations[Destination],0)),"?"))</f>
        <v/>
      </c>
      <c r="M4503" s="64">
        <f>IF(tblMovement[[#This Row],[Material]]="","",IF(LEFT(tblMovement[[#This Row],[Material]],3)="Ore",1,0))</f>
        <v/>
      </c>
      <c r="N4503" s="59">
        <f>IF(OR(tblMovement[[#This Row],[Tonnes_t]]="",tblMovement[[#This Row],[Grade_gpt]]=""),0,tblMovement[[#This Row],[Tonnes_t]]*tblMovement[[#This Row],[Grade_gpt]]/cfg_TroyOz)</f>
        <v/>
      </c>
      <c r="O4503" s="59">
        <f>IF(tblMovement[[#This Row],[Is_Ore]]=1,tblMovement[[#This Row],[Contained_oz]],0)</f>
        <v/>
      </c>
    </row>
    <row r="4504">
      <c r="A4504" s="54" t="n"/>
      <c r="B4504" s="61" t="n"/>
      <c r="C4504" s="61" t="n"/>
      <c r="D4504" s="61" t="n"/>
      <c r="E4504" s="61" t="n"/>
      <c r="F4504" s="55" t="n"/>
      <c r="G4504" s="56" t="n"/>
      <c r="H4504" s="55" t="n"/>
      <c r="I4504" s="62" t="n"/>
      <c r="J4504" s="58" t="n"/>
      <c r="K4504" s="63">
        <f>IF(tblMovement[[#This Row],[Source]]="","",IFERROR(INDEX(tblSources[Type],MATCH(tblMovement[[#This Row],[Source]],tblSources[Source],0)),"?"))</f>
        <v/>
      </c>
      <c r="L4504" s="63">
        <f>IF(tblMovement[[#This Row],[Destination]]="","",IFERROR(INDEX(tblDestinations[Type],MATCH(tblMovement[[#This Row],[Destination]],tblDestinations[Destination],0)),"?"))</f>
        <v/>
      </c>
      <c r="M4504" s="64">
        <f>IF(tblMovement[[#This Row],[Material]]="","",IF(LEFT(tblMovement[[#This Row],[Material]],3)="Ore",1,0))</f>
        <v/>
      </c>
      <c r="N4504" s="59">
        <f>IF(OR(tblMovement[[#This Row],[Tonnes_t]]="",tblMovement[[#This Row],[Grade_gpt]]=""),0,tblMovement[[#This Row],[Tonnes_t]]*tblMovement[[#This Row],[Grade_gpt]]/cfg_TroyOz)</f>
        <v/>
      </c>
      <c r="O4504" s="59">
        <f>IF(tblMovement[[#This Row],[Is_Ore]]=1,tblMovement[[#This Row],[Contained_oz]],0)</f>
        <v/>
      </c>
    </row>
    <row r="4505">
      <c r="A4505" s="54" t="n"/>
      <c r="B4505" s="61" t="n"/>
      <c r="C4505" s="61" t="n"/>
      <c r="D4505" s="61" t="n"/>
      <c r="E4505" s="61" t="n"/>
      <c r="F4505" s="55" t="n"/>
      <c r="G4505" s="56" t="n"/>
      <c r="H4505" s="55" t="n"/>
      <c r="I4505" s="62" t="n"/>
      <c r="J4505" s="58" t="n"/>
      <c r="K4505" s="63">
        <f>IF(tblMovement[[#This Row],[Source]]="","",IFERROR(INDEX(tblSources[Type],MATCH(tblMovement[[#This Row],[Source]],tblSources[Source],0)),"?"))</f>
        <v/>
      </c>
      <c r="L4505" s="63">
        <f>IF(tblMovement[[#This Row],[Destination]]="","",IFERROR(INDEX(tblDestinations[Type],MATCH(tblMovement[[#This Row],[Destination]],tblDestinations[Destination],0)),"?"))</f>
        <v/>
      </c>
      <c r="M4505" s="64">
        <f>IF(tblMovement[[#This Row],[Material]]="","",IF(LEFT(tblMovement[[#This Row],[Material]],3)="Ore",1,0))</f>
        <v/>
      </c>
      <c r="N4505" s="59">
        <f>IF(OR(tblMovement[[#This Row],[Tonnes_t]]="",tblMovement[[#This Row],[Grade_gpt]]=""),0,tblMovement[[#This Row],[Tonnes_t]]*tblMovement[[#This Row],[Grade_gpt]]/cfg_TroyOz)</f>
        <v/>
      </c>
      <c r="O4505" s="59">
        <f>IF(tblMovement[[#This Row],[Is_Ore]]=1,tblMovement[[#This Row],[Contained_oz]],0)</f>
        <v/>
      </c>
    </row>
    <row r="4506">
      <c r="A4506" s="54" t="n"/>
      <c r="B4506" s="61" t="n"/>
      <c r="C4506" s="61" t="n"/>
      <c r="D4506" s="61" t="n"/>
      <c r="E4506" s="61" t="n"/>
      <c r="F4506" s="55" t="n"/>
      <c r="G4506" s="56" t="n"/>
      <c r="H4506" s="55" t="n"/>
      <c r="I4506" s="62" t="n"/>
      <c r="J4506" s="58" t="n"/>
      <c r="K4506" s="63">
        <f>IF(tblMovement[[#This Row],[Source]]="","",IFERROR(INDEX(tblSources[Type],MATCH(tblMovement[[#This Row],[Source]],tblSources[Source],0)),"?"))</f>
        <v/>
      </c>
      <c r="L4506" s="63">
        <f>IF(tblMovement[[#This Row],[Destination]]="","",IFERROR(INDEX(tblDestinations[Type],MATCH(tblMovement[[#This Row],[Destination]],tblDestinations[Destination],0)),"?"))</f>
        <v/>
      </c>
      <c r="M4506" s="64">
        <f>IF(tblMovement[[#This Row],[Material]]="","",IF(LEFT(tblMovement[[#This Row],[Material]],3)="Ore",1,0))</f>
        <v/>
      </c>
      <c r="N4506" s="59">
        <f>IF(OR(tblMovement[[#This Row],[Tonnes_t]]="",tblMovement[[#This Row],[Grade_gpt]]=""),0,tblMovement[[#This Row],[Tonnes_t]]*tblMovement[[#This Row],[Grade_gpt]]/cfg_TroyOz)</f>
        <v/>
      </c>
      <c r="O4506" s="59">
        <f>IF(tblMovement[[#This Row],[Is_Ore]]=1,tblMovement[[#This Row],[Contained_oz]],0)</f>
        <v/>
      </c>
    </row>
    <row r="4507">
      <c r="A4507" s="54" t="n"/>
      <c r="B4507" s="61" t="n"/>
      <c r="C4507" s="61" t="n"/>
      <c r="D4507" s="61" t="n"/>
      <c r="E4507" s="61" t="n"/>
      <c r="F4507" s="55" t="n"/>
      <c r="G4507" s="56" t="n"/>
      <c r="H4507" s="55" t="n"/>
      <c r="I4507" s="62" t="n"/>
      <c r="J4507" s="58" t="n"/>
      <c r="K4507" s="63">
        <f>IF(tblMovement[[#This Row],[Source]]="","",IFERROR(INDEX(tblSources[Type],MATCH(tblMovement[[#This Row],[Source]],tblSources[Source],0)),"?"))</f>
        <v/>
      </c>
      <c r="L4507" s="63">
        <f>IF(tblMovement[[#This Row],[Destination]]="","",IFERROR(INDEX(tblDestinations[Type],MATCH(tblMovement[[#This Row],[Destination]],tblDestinations[Destination],0)),"?"))</f>
        <v/>
      </c>
      <c r="M4507" s="64">
        <f>IF(tblMovement[[#This Row],[Material]]="","",IF(LEFT(tblMovement[[#This Row],[Material]],3)="Ore",1,0))</f>
        <v/>
      </c>
      <c r="N4507" s="59">
        <f>IF(OR(tblMovement[[#This Row],[Tonnes_t]]="",tblMovement[[#This Row],[Grade_gpt]]=""),0,tblMovement[[#This Row],[Tonnes_t]]*tblMovement[[#This Row],[Grade_gpt]]/cfg_TroyOz)</f>
        <v/>
      </c>
      <c r="O4507" s="59">
        <f>IF(tblMovement[[#This Row],[Is_Ore]]=1,tblMovement[[#This Row],[Contained_oz]],0)</f>
        <v/>
      </c>
    </row>
    <row r="4508">
      <c r="A4508" s="54" t="n"/>
      <c r="B4508" s="61" t="n"/>
      <c r="C4508" s="61" t="n"/>
      <c r="D4508" s="61" t="n"/>
      <c r="E4508" s="61" t="n"/>
      <c r="F4508" s="55" t="n"/>
      <c r="G4508" s="56" t="n"/>
      <c r="H4508" s="55" t="n"/>
      <c r="I4508" s="62" t="n"/>
      <c r="J4508" s="58" t="n"/>
      <c r="K4508" s="63">
        <f>IF(tblMovement[[#This Row],[Source]]="","",IFERROR(INDEX(tblSources[Type],MATCH(tblMovement[[#This Row],[Source]],tblSources[Source],0)),"?"))</f>
        <v/>
      </c>
      <c r="L4508" s="63">
        <f>IF(tblMovement[[#This Row],[Destination]]="","",IFERROR(INDEX(tblDestinations[Type],MATCH(tblMovement[[#This Row],[Destination]],tblDestinations[Destination],0)),"?"))</f>
        <v/>
      </c>
      <c r="M4508" s="64">
        <f>IF(tblMovement[[#This Row],[Material]]="","",IF(LEFT(tblMovement[[#This Row],[Material]],3)="Ore",1,0))</f>
        <v/>
      </c>
      <c r="N4508" s="59">
        <f>IF(OR(tblMovement[[#This Row],[Tonnes_t]]="",tblMovement[[#This Row],[Grade_gpt]]=""),0,tblMovement[[#This Row],[Tonnes_t]]*tblMovement[[#This Row],[Grade_gpt]]/cfg_TroyOz)</f>
        <v/>
      </c>
      <c r="O4508" s="59">
        <f>IF(tblMovement[[#This Row],[Is_Ore]]=1,tblMovement[[#This Row],[Contained_oz]],0)</f>
        <v/>
      </c>
    </row>
    <row r="4509">
      <c r="A4509" s="54" t="n"/>
      <c r="B4509" s="61" t="n"/>
      <c r="C4509" s="61" t="n"/>
      <c r="D4509" s="61" t="n"/>
      <c r="E4509" s="61" t="n"/>
      <c r="F4509" s="55" t="n"/>
      <c r="G4509" s="56" t="n"/>
      <c r="H4509" s="55" t="n"/>
      <c r="I4509" s="62" t="n"/>
      <c r="J4509" s="58" t="n"/>
      <c r="K4509" s="63">
        <f>IF(tblMovement[[#This Row],[Source]]="","",IFERROR(INDEX(tblSources[Type],MATCH(tblMovement[[#This Row],[Source]],tblSources[Source],0)),"?"))</f>
        <v/>
      </c>
      <c r="L4509" s="63">
        <f>IF(tblMovement[[#This Row],[Destination]]="","",IFERROR(INDEX(tblDestinations[Type],MATCH(tblMovement[[#This Row],[Destination]],tblDestinations[Destination],0)),"?"))</f>
        <v/>
      </c>
      <c r="M4509" s="64">
        <f>IF(tblMovement[[#This Row],[Material]]="","",IF(LEFT(tblMovement[[#This Row],[Material]],3)="Ore",1,0))</f>
        <v/>
      </c>
      <c r="N4509" s="59">
        <f>IF(OR(tblMovement[[#This Row],[Tonnes_t]]="",tblMovement[[#This Row],[Grade_gpt]]=""),0,tblMovement[[#This Row],[Tonnes_t]]*tblMovement[[#This Row],[Grade_gpt]]/cfg_TroyOz)</f>
        <v/>
      </c>
      <c r="O4509" s="59">
        <f>IF(tblMovement[[#This Row],[Is_Ore]]=1,tblMovement[[#This Row],[Contained_oz]],0)</f>
        <v/>
      </c>
    </row>
    <row r="4510">
      <c r="A4510" s="54" t="n"/>
      <c r="B4510" s="61" t="n"/>
      <c r="C4510" s="61" t="n"/>
      <c r="D4510" s="61" t="n"/>
      <c r="E4510" s="61" t="n"/>
      <c r="F4510" s="55" t="n"/>
      <c r="G4510" s="56" t="n"/>
      <c r="H4510" s="55" t="n"/>
      <c r="I4510" s="62" t="n"/>
      <c r="J4510" s="58" t="n"/>
      <c r="K4510" s="63">
        <f>IF(tblMovement[[#This Row],[Source]]="","",IFERROR(INDEX(tblSources[Type],MATCH(tblMovement[[#This Row],[Source]],tblSources[Source],0)),"?"))</f>
        <v/>
      </c>
      <c r="L4510" s="63">
        <f>IF(tblMovement[[#This Row],[Destination]]="","",IFERROR(INDEX(tblDestinations[Type],MATCH(tblMovement[[#This Row],[Destination]],tblDestinations[Destination],0)),"?"))</f>
        <v/>
      </c>
      <c r="M4510" s="64">
        <f>IF(tblMovement[[#This Row],[Material]]="","",IF(LEFT(tblMovement[[#This Row],[Material]],3)="Ore",1,0))</f>
        <v/>
      </c>
      <c r="N4510" s="59">
        <f>IF(OR(tblMovement[[#This Row],[Tonnes_t]]="",tblMovement[[#This Row],[Grade_gpt]]=""),0,tblMovement[[#This Row],[Tonnes_t]]*tblMovement[[#This Row],[Grade_gpt]]/cfg_TroyOz)</f>
        <v/>
      </c>
      <c r="O4510" s="59">
        <f>IF(tblMovement[[#This Row],[Is_Ore]]=1,tblMovement[[#This Row],[Contained_oz]],0)</f>
        <v/>
      </c>
    </row>
    <row r="4511">
      <c r="A4511" s="54" t="n"/>
      <c r="B4511" s="61" t="n"/>
      <c r="C4511" s="61" t="n"/>
      <c r="D4511" s="61" t="n"/>
      <c r="E4511" s="61" t="n"/>
      <c r="F4511" s="55" t="n"/>
      <c r="G4511" s="56" t="n"/>
      <c r="H4511" s="55" t="n"/>
      <c r="I4511" s="62" t="n"/>
      <c r="J4511" s="58" t="n"/>
      <c r="K4511" s="63">
        <f>IF(tblMovement[[#This Row],[Source]]="","",IFERROR(INDEX(tblSources[Type],MATCH(tblMovement[[#This Row],[Source]],tblSources[Source],0)),"?"))</f>
        <v/>
      </c>
      <c r="L4511" s="63">
        <f>IF(tblMovement[[#This Row],[Destination]]="","",IFERROR(INDEX(tblDestinations[Type],MATCH(tblMovement[[#This Row],[Destination]],tblDestinations[Destination],0)),"?"))</f>
        <v/>
      </c>
      <c r="M4511" s="64">
        <f>IF(tblMovement[[#This Row],[Material]]="","",IF(LEFT(tblMovement[[#This Row],[Material]],3)="Ore",1,0))</f>
        <v/>
      </c>
      <c r="N4511" s="59">
        <f>IF(OR(tblMovement[[#This Row],[Tonnes_t]]="",tblMovement[[#This Row],[Grade_gpt]]=""),0,tblMovement[[#This Row],[Tonnes_t]]*tblMovement[[#This Row],[Grade_gpt]]/cfg_TroyOz)</f>
        <v/>
      </c>
      <c r="O4511" s="59">
        <f>IF(tblMovement[[#This Row],[Is_Ore]]=1,tblMovement[[#This Row],[Contained_oz]],0)</f>
        <v/>
      </c>
    </row>
    <row r="4512">
      <c r="A4512" s="54" t="n"/>
      <c r="B4512" s="61" t="n"/>
      <c r="C4512" s="61" t="n"/>
      <c r="D4512" s="61" t="n"/>
      <c r="E4512" s="61" t="n"/>
      <c r="F4512" s="55" t="n"/>
      <c r="G4512" s="56" t="n"/>
      <c r="H4512" s="55" t="n"/>
      <c r="I4512" s="62" t="n"/>
      <c r="J4512" s="58" t="n"/>
      <c r="K4512" s="63">
        <f>IF(tblMovement[[#This Row],[Source]]="","",IFERROR(INDEX(tblSources[Type],MATCH(tblMovement[[#This Row],[Source]],tblSources[Source],0)),"?"))</f>
        <v/>
      </c>
      <c r="L4512" s="63">
        <f>IF(tblMovement[[#This Row],[Destination]]="","",IFERROR(INDEX(tblDestinations[Type],MATCH(tblMovement[[#This Row],[Destination]],tblDestinations[Destination],0)),"?"))</f>
        <v/>
      </c>
      <c r="M4512" s="64">
        <f>IF(tblMovement[[#This Row],[Material]]="","",IF(LEFT(tblMovement[[#This Row],[Material]],3)="Ore",1,0))</f>
        <v/>
      </c>
      <c r="N4512" s="59">
        <f>IF(OR(tblMovement[[#This Row],[Tonnes_t]]="",tblMovement[[#This Row],[Grade_gpt]]=""),0,tblMovement[[#This Row],[Tonnes_t]]*tblMovement[[#This Row],[Grade_gpt]]/cfg_TroyOz)</f>
        <v/>
      </c>
      <c r="O4512" s="59">
        <f>IF(tblMovement[[#This Row],[Is_Ore]]=1,tblMovement[[#This Row],[Contained_oz]],0)</f>
        <v/>
      </c>
    </row>
    <row r="4513">
      <c r="A4513" s="54" t="n"/>
      <c r="B4513" s="61" t="n"/>
      <c r="C4513" s="61" t="n"/>
      <c r="D4513" s="61" t="n"/>
      <c r="E4513" s="61" t="n"/>
      <c r="F4513" s="55" t="n"/>
      <c r="G4513" s="56" t="n"/>
      <c r="H4513" s="55" t="n"/>
      <c r="I4513" s="62" t="n"/>
      <c r="J4513" s="58" t="n"/>
      <c r="K4513" s="63">
        <f>IF(tblMovement[[#This Row],[Source]]="","",IFERROR(INDEX(tblSources[Type],MATCH(tblMovement[[#This Row],[Source]],tblSources[Source],0)),"?"))</f>
        <v/>
      </c>
      <c r="L4513" s="63">
        <f>IF(tblMovement[[#This Row],[Destination]]="","",IFERROR(INDEX(tblDestinations[Type],MATCH(tblMovement[[#This Row],[Destination]],tblDestinations[Destination],0)),"?"))</f>
        <v/>
      </c>
      <c r="M4513" s="64">
        <f>IF(tblMovement[[#This Row],[Material]]="","",IF(LEFT(tblMovement[[#This Row],[Material]],3)="Ore",1,0))</f>
        <v/>
      </c>
      <c r="N4513" s="59">
        <f>IF(OR(tblMovement[[#This Row],[Tonnes_t]]="",tblMovement[[#This Row],[Grade_gpt]]=""),0,tblMovement[[#This Row],[Tonnes_t]]*tblMovement[[#This Row],[Grade_gpt]]/cfg_TroyOz)</f>
        <v/>
      </c>
      <c r="O4513" s="59">
        <f>IF(tblMovement[[#This Row],[Is_Ore]]=1,tblMovement[[#This Row],[Contained_oz]],0)</f>
        <v/>
      </c>
    </row>
    <row r="4514">
      <c r="A4514" s="54" t="n"/>
      <c r="B4514" s="61" t="n"/>
      <c r="C4514" s="61" t="n"/>
      <c r="D4514" s="61" t="n"/>
      <c r="E4514" s="61" t="n"/>
      <c r="F4514" s="55" t="n"/>
      <c r="G4514" s="56" t="n"/>
      <c r="H4514" s="55" t="n"/>
      <c r="I4514" s="62" t="n"/>
      <c r="J4514" s="58" t="n"/>
      <c r="K4514" s="63">
        <f>IF(tblMovement[[#This Row],[Source]]="","",IFERROR(INDEX(tblSources[Type],MATCH(tblMovement[[#This Row],[Source]],tblSources[Source],0)),"?"))</f>
        <v/>
      </c>
      <c r="L4514" s="63">
        <f>IF(tblMovement[[#This Row],[Destination]]="","",IFERROR(INDEX(tblDestinations[Type],MATCH(tblMovement[[#This Row],[Destination]],tblDestinations[Destination],0)),"?"))</f>
        <v/>
      </c>
      <c r="M4514" s="64">
        <f>IF(tblMovement[[#This Row],[Material]]="","",IF(LEFT(tblMovement[[#This Row],[Material]],3)="Ore",1,0))</f>
        <v/>
      </c>
      <c r="N4514" s="59">
        <f>IF(OR(tblMovement[[#This Row],[Tonnes_t]]="",tblMovement[[#This Row],[Grade_gpt]]=""),0,tblMovement[[#This Row],[Tonnes_t]]*tblMovement[[#This Row],[Grade_gpt]]/cfg_TroyOz)</f>
        <v/>
      </c>
      <c r="O4514" s="59">
        <f>IF(tblMovement[[#This Row],[Is_Ore]]=1,tblMovement[[#This Row],[Contained_oz]],0)</f>
        <v/>
      </c>
    </row>
    <row r="4515">
      <c r="A4515" s="54" t="n"/>
      <c r="B4515" s="61" t="n"/>
      <c r="C4515" s="61" t="n"/>
      <c r="D4515" s="61" t="n"/>
      <c r="E4515" s="61" t="n"/>
      <c r="F4515" s="55" t="n"/>
      <c r="G4515" s="56" t="n"/>
      <c r="H4515" s="55" t="n"/>
      <c r="I4515" s="62" t="n"/>
      <c r="J4515" s="58" t="n"/>
      <c r="K4515" s="63">
        <f>IF(tblMovement[[#This Row],[Source]]="","",IFERROR(INDEX(tblSources[Type],MATCH(tblMovement[[#This Row],[Source]],tblSources[Source],0)),"?"))</f>
        <v/>
      </c>
      <c r="L4515" s="63">
        <f>IF(tblMovement[[#This Row],[Destination]]="","",IFERROR(INDEX(tblDestinations[Type],MATCH(tblMovement[[#This Row],[Destination]],tblDestinations[Destination],0)),"?"))</f>
        <v/>
      </c>
      <c r="M4515" s="64">
        <f>IF(tblMovement[[#This Row],[Material]]="","",IF(LEFT(tblMovement[[#This Row],[Material]],3)="Ore",1,0))</f>
        <v/>
      </c>
      <c r="N4515" s="59">
        <f>IF(OR(tblMovement[[#This Row],[Tonnes_t]]="",tblMovement[[#This Row],[Grade_gpt]]=""),0,tblMovement[[#This Row],[Tonnes_t]]*tblMovement[[#This Row],[Grade_gpt]]/cfg_TroyOz)</f>
        <v/>
      </c>
      <c r="O4515" s="59">
        <f>IF(tblMovement[[#This Row],[Is_Ore]]=1,tblMovement[[#This Row],[Contained_oz]],0)</f>
        <v/>
      </c>
    </row>
    <row r="4516">
      <c r="A4516" s="54" t="n"/>
      <c r="B4516" s="61" t="n"/>
      <c r="C4516" s="61" t="n"/>
      <c r="D4516" s="61" t="n"/>
      <c r="E4516" s="61" t="n"/>
      <c r="F4516" s="55" t="n"/>
      <c r="G4516" s="56" t="n"/>
      <c r="H4516" s="55" t="n"/>
      <c r="I4516" s="62" t="n"/>
      <c r="J4516" s="58" t="n"/>
      <c r="K4516" s="63">
        <f>IF(tblMovement[[#This Row],[Source]]="","",IFERROR(INDEX(tblSources[Type],MATCH(tblMovement[[#This Row],[Source]],tblSources[Source],0)),"?"))</f>
        <v/>
      </c>
      <c r="L4516" s="63">
        <f>IF(tblMovement[[#This Row],[Destination]]="","",IFERROR(INDEX(tblDestinations[Type],MATCH(tblMovement[[#This Row],[Destination]],tblDestinations[Destination],0)),"?"))</f>
        <v/>
      </c>
      <c r="M4516" s="64">
        <f>IF(tblMovement[[#This Row],[Material]]="","",IF(LEFT(tblMovement[[#This Row],[Material]],3)="Ore",1,0))</f>
        <v/>
      </c>
      <c r="N4516" s="59">
        <f>IF(OR(tblMovement[[#This Row],[Tonnes_t]]="",tblMovement[[#This Row],[Grade_gpt]]=""),0,tblMovement[[#This Row],[Tonnes_t]]*tblMovement[[#This Row],[Grade_gpt]]/cfg_TroyOz)</f>
        <v/>
      </c>
      <c r="O4516" s="59">
        <f>IF(tblMovement[[#This Row],[Is_Ore]]=1,tblMovement[[#This Row],[Contained_oz]],0)</f>
        <v/>
      </c>
    </row>
    <row r="4517">
      <c r="A4517" s="54" t="n"/>
      <c r="B4517" s="61" t="n"/>
      <c r="C4517" s="61" t="n"/>
      <c r="D4517" s="61" t="n"/>
      <c r="E4517" s="61" t="n"/>
      <c r="F4517" s="55" t="n"/>
      <c r="G4517" s="56" t="n"/>
      <c r="H4517" s="55" t="n"/>
      <c r="I4517" s="62" t="n"/>
      <c r="J4517" s="58" t="n"/>
      <c r="K4517" s="63">
        <f>IF(tblMovement[[#This Row],[Source]]="","",IFERROR(INDEX(tblSources[Type],MATCH(tblMovement[[#This Row],[Source]],tblSources[Source],0)),"?"))</f>
        <v/>
      </c>
      <c r="L4517" s="63">
        <f>IF(tblMovement[[#This Row],[Destination]]="","",IFERROR(INDEX(tblDestinations[Type],MATCH(tblMovement[[#This Row],[Destination]],tblDestinations[Destination],0)),"?"))</f>
        <v/>
      </c>
      <c r="M4517" s="64">
        <f>IF(tblMovement[[#This Row],[Material]]="","",IF(LEFT(tblMovement[[#This Row],[Material]],3)="Ore",1,0))</f>
        <v/>
      </c>
      <c r="N4517" s="59">
        <f>IF(OR(tblMovement[[#This Row],[Tonnes_t]]="",tblMovement[[#This Row],[Grade_gpt]]=""),0,tblMovement[[#This Row],[Tonnes_t]]*tblMovement[[#This Row],[Grade_gpt]]/cfg_TroyOz)</f>
        <v/>
      </c>
      <c r="O4517" s="59">
        <f>IF(tblMovement[[#This Row],[Is_Ore]]=1,tblMovement[[#This Row],[Contained_oz]],0)</f>
        <v/>
      </c>
    </row>
    <row r="4518">
      <c r="A4518" s="54" t="n"/>
      <c r="B4518" s="61" t="n"/>
      <c r="C4518" s="61" t="n"/>
      <c r="D4518" s="61" t="n"/>
      <c r="E4518" s="61" t="n"/>
      <c r="F4518" s="55" t="n"/>
      <c r="G4518" s="56" t="n"/>
      <c r="H4518" s="55" t="n"/>
      <c r="I4518" s="62" t="n"/>
      <c r="J4518" s="58" t="n"/>
      <c r="K4518" s="63">
        <f>IF(tblMovement[[#This Row],[Source]]="","",IFERROR(INDEX(tblSources[Type],MATCH(tblMovement[[#This Row],[Source]],tblSources[Source],0)),"?"))</f>
        <v/>
      </c>
      <c r="L4518" s="63">
        <f>IF(tblMovement[[#This Row],[Destination]]="","",IFERROR(INDEX(tblDestinations[Type],MATCH(tblMovement[[#This Row],[Destination]],tblDestinations[Destination],0)),"?"))</f>
        <v/>
      </c>
      <c r="M4518" s="64">
        <f>IF(tblMovement[[#This Row],[Material]]="","",IF(LEFT(tblMovement[[#This Row],[Material]],3)="Ore",1,0))</f>
        <v/>
      </c>
      <c r="N4518" s="59">
        <f>IF(OR(tblMovement[[#This Row],[Tonnes_t]]="",tblMovement[[#This Row],[Grade_gpt]]=""),0,tblMovement[[#This Row],[Tonnes_t]]*tblMovement[[#This Row],[Grade_gpt]]/cfg_TroyOz)</f>
        <v/>
      </c>
      <c r="O4518" s="59">
        <f>IF(tblMovement[[#This Row],[Is_Ore]]=1,tblMovement[[#This Row],[Contained_oz]],0)</f>
        <v/>
      </c>
    </row>
    <row r="4519">
      <c r="A4519" s="54" t="n"/>
      <c r="B4519" s="61" t="n"/>
      <c r="C4519" s="61" t="n"/>
      <c r="D4519" s="61" t="n"/>
      <c r="E4519" s="61" t="n"/>
      <c r="F4519" s="55" t="n"/>
      <c r="G4519" s="56" t="n"/>
      <c r="H4519" s="55" t="n"/>
      <c r="I4519" s="62" t="n"/>
      <c r="J4519" s="58" t="n"/>
      <c r="K4519" s="63">
        <f>IF(tblMovement[[#This Row],[Source]]="","",IFERROR(INDEX(tblSources[Type],MATCH(tblMovement[[#This Row],[Source]],tblSources[Source],0)),"?"))</f>
        <v/>
      </c>
      <c r="L4519" s="63">
        <f>IF(tblMovement[[#This Row],[Destination]]="","",IFERROR(INDEX(tblDestinations[Type],MATCH(tblMovement[[#This Row],[Destination]],tblDestinations[Destination],0)),"?"))</f>
        <v/>
      </c>
      <c r="M4519" s="64">
        <f>IF(tblMovement[[#This Row],[Material]]="","",IF(LEFT(tblMovement[[#This Row],[Material]],3)="Ore",1,0))</f>
        <v/>
      </c>
      <c r="N4519" s="59">
        <f>IF(OR(tblMovement[[#This Row],[Tonnes_t]]="",tblMovement[[#This Row],[Grade_gpt]]=""),0,tblMovement[[#This Row],[Tonnes_t]]*tblMovement[[#This Row],[Grade_gpt]]/cfg_TroyOz)</f>
        <v/>
      </c>
      <c r="O4519" s="59">
        <f>IF(tblMovement[[#This Row],[Is_Ore]]=1,tblMovement[[#This Row],[Contained_oz]],0)</f>
        <v/>
      </c>
    </row>
    <row r="4520">
      <c r="A4520" s="54" t="n"/>
      <c r="B4520" s="61" t="n"/>
      <c r="C4520" s="61" t="n"/>
      <c r="D4520" s="61" t="n"/>
      <c r="E4520" s="61" t="n"/>
      <c r="F4520" s="55" t="n"/>
      <c r="G4520" s="56" t="n"/>
      <c r="H4520" s="55" t="n"/>
      <c r="I4520" s="62" t="n"/>
      <c r="J4520" s="58" t="n"/>
      <c r="K4520" s="63">
        <f>IF(tblMovement[[#This Row],[Source]]="","",IFERROR(INDEX(tblSources[Type],MATCH(tblMovement[[#This Row],[Source]],tblSources[Source],0)),"?"))</f>
        <v/>
      </c>
      <c r="L4520" s="63">
        <f>IF(tblMovement[[#This Row],[Destination]]="","",IFERROR(INDEX(tblDestinations[Type],MATCH(tblMovement[[#This Row],[Destination]],tblDestinations[Destination],0)),"?"))</f>
        <v/>
      </c>
      <c r="M4520" s="64">
        <f>IF(tblMovement[[#This Row],[Material]]="","",IF(LEFT(tblMovement[[#This Row],[Material]],3)="Ore",1,0))</f>
        <v/>
      </c>
      <c r="N4520" s="59">
        <f>IF(OR(tblMovement[[#This Row],[Tonnes_t]]="",tblMovement[[#This Row],[Grade_gpt]]=""),0,tblMovement[[#This Row],[Tonnes_t]]*tblMovement[[#This Row],[Grade_gpt]]/cfg_TroyOz)</f>
        <v/>
      </c>
      <c r="O4520" s="59">
        <f>IF(tblMovement[[#This Row],[Is_Ore]]=1,tblMovement[[#This Row],[Contained_oz]],0)</f>
        <v/>
      </c>
    </row>
    <row r="4521">
      <c r="A4521" s="54" t="n"/>
      <c r="B4521" s="61" t="n"/>
      <c r="C4521" s="61" t="n"/>
      <c r="D4521" s="61" t="n"/>
      <c r="E4521" s="61" t="n"/>
      <c r="F4521" s="55" t="n"/>
      <c r="G4521" s="56" t="n"/>
      <c r="H4521" s="55" t="n"/>
      <c r="I4521" s="62" t="n"/>
      <c r="J4521" s="58" t="n"/>
      <c r="K4521" s="63">
        <f>IF(tblMovement[[#This Row],[Source]]="","",IFERROR(INDEX(tblSources[Type],MATCH(tblMovement[[#This Row],[Source]],tblSources[Source],0)),"?"))</f>
        <v/>
      </c>
      <c r="L4521" s="63">
        <f>IF(tblMovement[[#This Row],[Destination]]="","",IFERROR(INDEX(tblDestinations[Type],MATCH(tblMovement[[#This Row],[Destination]],tblDestinations[Destination],0)),"?"))</f>
        <v/>
      </c>
      <c r="M4521" s="64">
        <f>IF(tblMovement[[#This Row],[Material]]="","",IF(LEFT(tblMovement[[#This Row],[Material]],3)="Ore",1,0))</f>
        <v/>
      </c>
      <c r="N4521" s="59">
        <f>IF(OR(tblMovement[[#This Row],[Tonnes_t]]="",tblMovement[[#This Row],[Grade_gpt]]=""),0,tblMovement[[#This Row],[Tonnes_t]]*tblMovement[[#This Row],[Grade_gpt]]/cfg_TroyOz)</f>
        <v/>
      </c>
      <c r="O4521" s="59">
        <f>IF(tblMovement[[#This Row],[Is_Ore]]=1,tblMovement[[#This Row],[Contained_oz]],0)</f>
        <v/>
      </c>
    </row>
    <row r="4522">
      <c r="A4522" s="54" t="n"/>
      <c r="B4522" s="61" t="n"/>
      <c r="C4522" s="61" t="n"/>
      <c r="D4522" s="61" t="n"/>
      <c r="E4522" s="61" t="n"/>
      <c r="F4522" s="55" t="n"/>
      <c r="G4522" s="56" t="n"/>
      <c r="H4522" s="55" t="n"/>
      <c r="I4522" s="62" t="n"/>
      <c r="J4522" s="58" t="n"/>
      <c r="K4522" s="63">
        <f>IF(tblMovement[[#This Row],[Source]]="","",IFERROR(INDEX(tblSources[Type],MATCH(tblMovement[[#This Row],[Source]],tblSources[Source],0)),"?"))</f>
        <v/>
      </c>
      <c r="L4522" s="63">
        <f>IF(tblMovement[[#This Row],[Destination]]="","",IFERROR(INDEX(tblDestinations[Type],MATCH(tblMovement[[#This Row],[Destination]],tblDestinations[Destination],0)),"?"))</f>
        <v/>
      </c>
      <c r="M4522" s="64">
        <f>IF(tblMovement[[#This Row],[Material]]="","",IF(LEFT(tblMovement[[#This Row],[Material]],3)="Ore",1,0))</f>
        <v/>
      </c>
      <c r="N4522" s="59">
        <f>IF(OR(tblMovement[[#This Row],[Tonnes_t]]="",tblMovement[[#This Row],[Grade_gpt]]=""),0,tblMovement[[#This Row],[Tonnes_t]]*tblMovement[[#This Row],[Grade_gpt]]/cfg_TroyOz)</f>
        <v/>
      </c>
      <c r="O4522" s="59">
        <f>IF(tblMovement[[#This Row],[Is_Ore]]=1,tblMovement[[#This Row],[Contained_oz]],0)</f>
        <v/>
      </c>
    </row>
    <row r="4523">
      <c r="A4523" s="54" t="n"/>
      <c r="B4523" s="61" t="n"/>
      <c r="C4523" s="61" t="n"/>
      <c r="D4523" s="61" t="n"/>
      <c r="E4523" s="61" t="n"/>
      <c r="F4523" s="55" t="n"/>
      <c r="G4523" s="56" t="n"/>
      <c r="H4523" s="55" t="n"/>
      <c r="I4523" s="62" t="n"/>
      <c r="J4523" s="58" t="n"/>
      <c r="K4523" s="63">
        <f>IF(tblMovement[[#This Row],[Source]]="","",IFERROR(INDEX(tblSources[Type],MATCH(tblMovement[[#This Row],[Source]],tblSources[Source],0)),"?"))</f>
        <v/>
      </c>
      <c r="L4523" s="63">
        <f>IF(tblMovement[[#This Row],[Destination]]="","",IFERROR(INDEX(tblDestinations[Type],MATCH(tblMovement[[#This Row],[Destination]],tblDestinations[Destination],0)),"?"))</f>
        <v/>
      </c>
      <c r="M4523" s="64">
        <f>IF(tblMovement[[#This Row],[Material]]="","",IF(LEFT(tblMovement[[#This Row],[Material]],3)="Ore",1,0))</f>
        <v/>
      </c>
      <c r="N4523" s="59">
        <f>IF(OR(tblMovement[[#This Row],[Tonnes_t]]="",tblMovement[[#This Row],[Grade_gpt]]=""),0,tblMovement[[#This Row],[Tonnes_t]]*tblMovement[[#This Row],[Grade_gpt]]/cfg_TroyOz)</f>
        <v/>
      </c>
      <c r="O4523" s="59">
        <f>IF(tblMovement[[#This Row],[Is_Ore]]=1,tblMovement[[#This Row],[Contained_oz]],0)</f>
        <v/>
      </c>
    </row>
    <row r="4524">
      <c r="A4524" s="54" t="n"/>
      <c r="B4524" s="61" t="n"/>
      <c r="C4524" s="61" t="n"/>
      <c r="D4524" s="61" t="n"/>
      <c r="E4524" s="61" t="n"/>
      <c r="F4524" s="55" t="n"/>
      <c r="G4524" s="56" t="n"/>
      <c r="H4524" s="55" t="n"/>
      <c r="I4524" s="62" t="n"/>
      <c r="J4524" s="58" t="n"/>
      <c r="K4524" s="63">
        <f>IF(tblMovement[[#This Row],[Source]]="","",IFERROR(INDEX(tblSources[Type],MATCH(tblMovement[[#This Row],[Source]],tblSources[Source],0)),"?"))</f>
        <v/>
      </c>
      <c r="L4524" s="63">
        <f>IF(tblMovement[[#This Row],[Destination]]="","",IFERROR(INDEX(tblDestinations[Type],MATCH(tblMovement[[#This Row],[Destination]],tblDestinations[Destination],0)),"?"))</f>
        <v/>
      </c>
      <c r="M4524" s="64">
        <f>IF(tblMovement[[#This Row],[Material]]="","",IF(LEFT(tblMovement[[#This Row],[Material]],3)="Ore",1,0))</f>
        <v/>
      </c>
      <c r="N4524" s="59">
        <f>IF(OR(tblMovement[[#This Row],[Tonnes_t]]="",tblMovement[[#This Row],[Grade_gpt]]=""),0,tblMovement[[#This Row],[Tonnes_t]]*tblMovement[[#This Row],[Grade_gpt]]/cfg_TroyOz)</f>
        <v/>
      </c>
      <c r="O4524" s="59">
        <f>IF(tblMovement[[#This Row],[Is_Ore]]=1,tblMovement[[#This Row],[Contained_oz]],0)</f>
        <v/>
      </c>
    </row>
    <row r="4525">
      <c r="A4525" s="54" t="n"/>
      <c r="B4525" s="61" t="n"/>
      <c r="C4525" s="61" t="n"/>
      <c r="D4525" s="61" t="n"/>
      <c r="E4525" s="61" t="n"/>
      <c r="F4525" s="55" t="n"/>
      <c r="G4525" s="56" t="n"/>
      <c r="H4525" s="55" t="n"/>
      <c r="I4525" s="62" t="n"/>
      <c r="J4525" s="58" t="n"/>
      <c r="K4525" s="63">
        <f>IF(tblMovement[[#This Row],[Source]]="","",IFERROR(INDEX(tblSources[Type],MATCH(tblMovement[[#This Row],[Source]],tblSources[Source],0)),"?"))</f>
        <v/>
      </c>
      <c r="L4525" s="63">
        <f>IF(tblMovement[[#This Row],[Destination]]="","",IFERROR(INDEX(tblDestinations[Type],MATCH(tblMovement[[#This Row],[Destination]],tblDestinations[Destination],0)),"?"))</f>
        <v/>
      </c>
      <c r="M4525" s="64">
        <f>IF(tblMovement[[#This Row],[Material]]="","",IF(LEFT(tblMovement[[#This Row],[Material]],3)="Ore",1,0))</f>
        <v/>
      </c>
      <c r="N4525" s="59">
        <f>IF(OR(tblMovement[[#This Row],[Tonnes_t]]="",tblMovement[[#This Row],[Grade_gpt]]=""),0,tblMovement[[#This Row],[Tonnes_t]]*tblMovement[[#This Row],[Grade_gpt]]/cfg_TroyOz)</f>
        <v/>
      </c>
      <c r="O4525" s="59">
        <f>IF(tblMovement[[#This Row],[Is_Ore]]=1,tblMovement[[#This Row],[Contained_oz]],0)</f>
        <v/>
      </c>
    </row>
    <row r="4526">
      <c r="A4526" s="54" t="n"/>
      <c r="B4526" s="61" t="n"/>
      <c r="C4526" s="61" t="n"/>
      <c r="D4526" s="61" t="n"/>
      <c r="E4526" s="61" t="n"/>
      <c r="F4526" s="55" t="n"/>
      <c r="G4526" s="56" t="n"/>
      <c r="H4526" s="55" t="n"/>
      <c r="I4526" s="62" t="n"/>
      <c r="J4526" s="58" t="n"/>
      <c r="K4526" s="63">
        <f>IF(tblMovement[[#This Row],[Source]]="","",IFERROR(INDEX(tblSources[Type],MATCH(tblMovement[[#This Row],[Source]],tblSources[Source],0)),"?"))</f>
        <v/>
      </c>
      <c r="L4526" s="63">
        <f>IF(tblMovement[[#This Row],[Destination]]="","",IFERROR(INDEX(tblDestinations[Type],MATCH(tblMovement[[#This Row],[Destination]],tblDestinations[Destination],0)),"?"))</f>
        <v/>
      </c>
      <c r="M4526" s="64">
        <f>IF(tblMovement[[#This Row],[Material]]="","",IF(LEFT(tblMovement[[#This Row],[Material]],3)="Ore",1,0))</f>
        <v/>
      </c>
      <c r="N4526" s="59">
        <f>IF(OR(tblMovement[[#This Row],[Tonnes_t]]="",tblMovement[[#This Row],[Grade_gpt]]=""),0,tblMovement[[#This Row],[Tonnes_t]]*tblMovement[[#This Row],[Grade_gpt]]/cfg_TroyOz)</f>
        <v/>
      </c>
      <c r="O4526" s="59">
        <f>IF(tblMovement[[#This Row],[Is_Ore]]=1,tblMovement[[#This Row],[Contained_oz]],0)</f>
        <v/>
      </c>
    </row>
    <row r="4527">
      <c r="A4527" s="54" t="n"/>
      <c r="B4527" s="61" t="n"/>
      <c r="C4527" s="61" t="n"/>
      <c r="D4527" s="61" t="n"/>
      <c r="E4527" s="61" t="n"/>
      <c r="F4527" s="55" t="n"/>
      <c r="G4527" s="56" t="n"/>
      <c r="H4527" s="55" t="n"/>
      <c r="I4527" s="62" t="n"/>
      <c r="J4527" s="58" t="n"/>
      <c r="K4527" s="63">
        <f>IF(tblMovement[[#This Row],[Source]]="","",IFERROR(INDEX(tblSources[Type],MATCH(tblMovement[[#This Row],[Source]],tblSources[Source],0)),"?"))</f>
        <v/>
      </c>
      <c r="L4527" s="63">
        <f>IF(tblMovement[[#This Row],[Destination]]="","",IFERROR(INDEX(tblDestinations[Type],MATCH(tblMovement[[#This Row],[Destination]],tblDestinations[Destination],0)),"?"))</f>
        <v/>
      </c>
      <c r="M4527" s="64">
        <f>IF(tblMovement[[#This Row],[Material]]="","",IF(LEFT(tblMovement[[#This Row],[Material]],3)="Ore",1,0))</f>
        <v/>
      </c>
      <c r="N4527" s="59">
        <f>IF(OR(tblMovement[[#This Row],[Tonnes_t]]="",tblMovement[[#This Row],[Grade_gpt]]=""),0,tblMovement[[#This Row],[Tonnes_t]]*tblMovement[[#This Row],[Grade_gpt]]/cfg_TroyOz)</f>
        <v/>
      </c>
      <c r="O4527" s="59">
        <f>IF(tblMovement[[#This Row],[Is_Ore]]=1,tblMovement[[#This Row],[Contained_oz]],0)</f>
        <v/>
      </c>
    </row>
    <row r="4528">
      <c r="A4528" s="54" t="n"/>
      <c r="B4528" s="61" t="n"/>
      <c r="C4528" s="61" t="n"/>
      <c r="D4528" s="61" t="n"/>
      <c r="E4528" s="61" t="n"/>
      <c r="F4528" s="55" t="n"/>
      <c r="G4528" s="56" t="n"/>
      <c r="H4528" s="55" t="n"/>
      <c r="I4528" s="62" t="n"/>
      <c r="J4528" s="58" t="n"/>
      <c r="K4528" s="63">
        <f>IF(tblMovement[[#This Row],[Source]]="","",IFERROR(INDEX(tblSources[Type],MATCH(tblMovement[[#This Row],[Source]],tblSources[Source],0)),"?"))</f>
        <v/>
      </c>
      <c r="L4528" s="63">
        <f>IF(tblMovement[[#This Row],[Destination]]="","",IFERROR(INDEX(tblDestinations[Type],MATCH(tblMovement[[#This Row],[Destination]],tblDestinations[Destination],0)),"?"))</f>
        <v/>
      </c>
      <c r="M4528" s="64">
        <f>IF(tblMovement[[#This Row],[Material]]="","",IF(LEFT(tblMovement[[#This Row],[Material]],3)="Ore",1,0))</f>
        <v/>
      </c>
      <c r="N4528" s="59">
        <f>IF(OR(tblMovement[[#This Row],[Tonnes_t]]="",tblMovement[[#This Row],[Grade_gpt]]=""),0,tblMovement[[#This Row],[Tonnes_t]]*tblMovement[[#This Row],[Grade_gpt]]/cfg_TroyOz)</f>
        <v/>
      </c>
      <c r="O4528" s="59">
        <f>IF(tblMovement[[#This Row],[Is_Ore]]=1,tblMovement[[#This Row],[Contained_oz]],0)</f>
        <v/>
      </c>
    </row>
    <row r="4529">
      <c r="A4529" s="54" t="n"/>
      <c r="B4529" s="61" t="n"/>
      <c r="C4529" s="61" t="n"/>
      <c r="D4529" s="61" t="n"/>
      <c r="E4529" s="61" t="n"/>
      <c r="F4529" s="55" t="n"/>
      <c r="G4529" s="56" t="n"/>
      <c r="H4529" s="55" t="n"/>
      <c r="I4529" s="62" t="n"/>
      <c r="J4529" s="58" t="n"/>
      <c r="K4529" s="63">
        <f>IF(tblMovement[[#This Row],[Source]]="","",IFERROR(INDEX(tblSources[Type],MATCH(tblMovement[[#This Row],[Source]],tblSources[Source],0)),"?"))</f>
        <v/>
      </c>
      <c r="L4529" s="63">
        <f>IF(tblMovement[[#This Row],[Destination]]="","",IFERROR(INDEX(tblDestinations[Type],MATCH(tblMovement[[#This Row],[Destination]],tblDestinations[Destination],0)),"?"))</f>
        <v/>
      </c>
      <c r="M4529" s="64">
        <f>IF(tblMovement[[#This Row],[Material]]="","",IF(LEFT(tblMovement[[#This Row],[Material]],3)="Ore",1,0))</f>
        <v/>
      </c>
      <c r="N4529" s="59">
        <f>IF(OR(tblMovement[[#This Row],[Tonnes_t]]="",tblMovement[[#This Row],[Grade_gpt]]=""),0,tblMovement[[#This Row],[Tonnes_t]]*tblMovement[[#This Row],[Grade_gpt]]/cfg_TroyOz)</f>
        <v/>
      </c>
      <c r="O4529" s="59">
        <f>IF(tblMovement[[#This Row],[Is_Ore]]=1,tblMovement[[#This Row],[Contained_oz]],0)</f>
        <v/>
      </c>
    </row>
    <row r="4530">
      <c r="A4530" s="54" t="n"/>
      <c r="B4530" s="61" t="n"/>
      <c r="C4530" s="61" t="n"/>
      <c r="D4530" s="61" t="n"/>
      <c r="E4530" s="61" t="n"/>
      <c r="F4530" s="55" t="n"/>
      <c r="G4530" s="56" t="n"/>
      <c r="H4530" s="55" t="n"/>
      <c r="I4530" s="62" t="n"/>
      <c r="J4530" s="58" t="n"/>
      <c r="K4530" s="63">
        <f>IF(tblMovement[[#This Row],[Source]]="","",IFERROR(INDEX(tblSources[Type],MATCH(tblMovement[[#This Row],[Source]],tblSources[Source],0)),"?"))</f>
        <v/>
      </c>
      <c r="L4530" s="63">
        <f>IF(tblMovement[[#This Row],[Destination]]="","",IFERROR(INDEX(tblDestinations[Type],MATCH(tblMovement[[#This Row],[Destination]],tblDestinations[Destination],0)),"?"))</f>
        <v/>
      </c>
      <c r="M4530" s="64">
        <f>IF(tblMovement[[#This Row],[Material]]="","",IF(LEFT(tblMovement[[#This Row],[Material]],3)="Ore",1,0))</f>
        <v/>
      </c>
      <c r="N4530" s="59">
        <f>IF(OR(tblMovement[[#This Row],[Tonnes_t]]="",tblMovement[[#This Row],[Grade_gpt]]=""),0,tblMovement[[#This Row],[Tonnes_t]]*tblMovement[[#This Row],[Grade_gpt]]/cfg_TroyOz)</f>
        <v/>
      </c>
      <c r="O4530" s="59">
        <f>IF(tblMovement[[#This Row],[Is_Ore]]=1,tblMovement[[#This Row],[Contained_oz]],0)</f>
        <v/>
      </c>
    </row>
    <row r="4531">
      <c r="A4531" s="54" t="n"/>
      <c r="B4531" s="61" t="n"/>
      <c r="C4531" s="61" t="n"/>
      <c r="D4531" s="61" t="n"/>
      <c r="E4531" s="61" t="n"/>
      <c r="F4531" s="55" t="n"/>
      <c r="G4531" s="56" t="n"/>
      <c r="H4531" s="55" t="n"/>
      <c r="I4531" s="62" t="n"/>
      <c r="J4531" s="58" t="n"/>
      <c r="K4531" s="63">
        <f>IF(tblMovement[[#This Row],[Source]]="","",IFERROR(INDEX(tblSources[Type],MATCH(tblMovement[[#This Row],[Source]],tblSources[Source],0)),"?"))</f>
        <v/>
      </c>
      <c r="L4531" s="63">
        <f>IF(tblMovement[[#This Row],[Destination]]="","",IFERROR(INDEX(tblDestinations[Type],MATCH(tblMovement[[#This Row],[Destination]],tblDestinations[Destination],0)),"?"))</f>
        <v/>
      </c>
      <c r="M4531" s="64">
        <f>IF(tblMovement[[#This Row],[Material]]="","",IF(LEFT(tblMovement[[#This Row],[Material]],3)="Ore",1,0))</f>
        <v/>
      </c>
      <c r="N4531" s="59">
        <f>IF(OR(tblMovement[[#This Row],[Tonnes_t]]="",tblMovement[[#This Row],[Grade_gpt]]=""),0,tblMovement[[#This Row],[Tonnes_t]]*tblMovement[[#This Row],[Grade_gpt]]/cfg_TroyOz)</f>
        <v/>
      </c>
      <c r="O4531" s="59">
        <f>IF(tblMovement[[#This Row],[Is_Ore]]=1,tblMovement[[#This Row],[Contained_oz]],0)</f>
        <v/>
      </c>
    </row>
    <row r="4532">
      <c r="A4532" s="54" t="n"/>
      <c r="B4532" s="61" t="n"/>
      <c r="C4532" s="61" t="n"/>
      <c r="D4532" s="61" t="n"/>
      <c r="E4532" s="61" t="n"/>
      <c r="F4532" s="55" t="n"/>
      <c r="G4532" s="56" t="n"/>
      <c r="H4532" s="55" t="n"/>
      <c r="I4532" s="62" t="n"/>
      <c r="J4532" s="58" t="n"/>
      <c r="K4532" s="63">
        <f>IF(tblMovement[[#This Row],[Source]]="","",IFERROR(INDEX(tblSources[Type],MATCH(tblMovement[[#This Row],[Source]],tblSources[Source],0)),"?"))</f>
        <v/>
      </c>
      <c r="L4532" s="63">
        <f>IF(tblMovement[[#This Row],[Destination]]="","",IFERROR(INDEX(tblDestinations[Type],MATCH(tblMovement[[#This Row],[Destination]],tblDestinations[Destination],0)),"?"))</f>
        <v/>
      </c>
      <c r="M4532" s="64">
        <f>IF(tblMovement[[#This Row],[Material]]="","",IF(LEFT(tblMovement[[#This Row],[Material]],3)="Ore",1,0))</f>
        <v/>
      </c>
      <c r="N4532" s="59">
        <f>IF(OR(tblMovement[[#This Row],[Tonnes_t]]="",tblMovement[[#This Row],[Grade_gpt]]=""),0,tblMovement[[#This Row],[Tonnes_t]]*tblMovement[[#This Row],[Grade_gpt]]/cfg_TroyOz)</f>
        <v/>
      </c>
      <c r="O4532" s="59">
        <f>IF(tblMovement[[#This Row],[Is_Ore]]=1,tblMovement[[#This Row],[Contained_oz]],0)</f>
        <v/>
      </c>
    </row>
    <row r="4533">
      <c r="A4533" s="54" t="n"/>
      <c r="B4533" s="61" t="n"/>
      <c r="C4533" s="61" t="n"/>
      <c r="D4533" s="61" t="n"/>
      <c r="E4533" s="61" t="n"/>
      <c r="F4533" s="55" t="n"/>
      <c r="G4533" s="56" t="n"/>
      <c r="H4533" s="55" t="n"/>
      <c r="I4533" s="62" t="n"/>
      <c r="J4533" s="58" t="n"/>
      <c r="K4533" s="63">
        <f>IF(tblMovement[[#This Row],[Source]]="","",IFERROR(INDEX(tblSources[Type],MATCH(tblMovement[[#This Row],[Source]],tblSources[Source],0)),"?"))</f>
        <v/>
      </c>
      <c r="L4533" s="63">
        <f>IF(tblMovement[[#This Row],[Destination]]="","",IFERROR(INDEX(tblDestinations[Type],MATCH(tblMovement[[#This Row],[Destination]],tblDestinations[Destination],0)),"?"))</f>
        <v/>
      </c>
      <c r="M4533" s="64">
        <f>IF(tblMovement[[#This Row],[Material]]="","",IF(LEFT(tblMovement[[#This Row],[Material]],3)="Ore",1,0))</f>
        <v/>
      </c>
      <c r="N4533" s="59">
        <f>IF(OR(tblMovement[[#This Row],[Tonnes_t]]="",tblMovement[[#This Row],[Grade_gpt]]=""),0,tblMovement[[#This Row],[Tonnes_t]]*tblMovement[[#This Row],[Grade_gpt]]/cfg_TroyOz)</f>
        <v/>
      </c>
      <c r="O4533" s="59">
        <f>IF(tblMovement[[#This Row],[Is_Ore]]=1,tblMovement[[#This Row],[Contained_oz]],0)</f>
        <v/>
      </c>
    </row>
    <row r="4534">
      <c r="A4534" s="54" t="n"/>
      <c r="B4534" s="61" t="n"/>
      <c r="C4534" s="61" t="n"/>
      <c r="D4534" s="61" t="n"/>
      <c r="E4534" s="61" t="n"/>
      <c r="F4534" s="55" t="n"/>
      <c r="G4534" s="56" t="n"/>
      <c r="H4534" s="55" t="n"/>
      <c r="I4534" s="62" t="n"/>
      <c r="J4534" s="58" t="n"/>
      <c r="K4534" s="63">
        <f>IF(tblMovement[[#This Row],[Source]]="","",IFERROR(INDEX(tblSources[Type],MATCH(tblMovement[[#This Row],[Source]],tblSources[Source],0)),"?"))</f>
        <v/>
      </c>
      <c r="L4534" s="63">
        <f>IF(tblMovement[[#This Row],[Destination]]="","",IFERROR(INDEX(tblDestinations[Type],MATCH(tblMovement[[#This Row],[Destination]],tblDestinations[Destination],0)),"?"))</f>
        <v/>
      </c>
      <c r="M4534" s="64">
        <f>IF(tblMovement[[#This Row],[Material]]="","",IF(LEFT(tblMovement[[#This Row],[Material]],3)="Ore",1,0))</f>
        <v/>
      </c>
      <c r="N4534" s="59">
        <f>IF(OR(tblMovement[[#This Row],[Tonnes_t]]="",tblMovement[[#This Row],[Grade_gpt]]=""),0,tblMovement[[#This Row],[Tonnes_t]]*tblMovement[[#This Row],[Grade_gpt]]/cfg_TroyOz)</f>
        <v/>
      </c>
      <c r="O4534" s="59">
        <f>IF(tblMovement[[#This Row],[Is_Ore]]=1,tblMovement[[#This Row],[Contained_oz]],0)</f>
        <v/>
      </c>
    </row>
    <row r="4535">
      <c r="A4535" s="54" t="n"/>
      <c r="B4535" s="61" t="n"/>
      <c r="C4535" s="61" t="n"/>
      <c r="D4535" s="61" t="n"/>
      <c r="E4535" s="61" t="n"/>
      <c r="F4535" s="55" t="n"/>
      <c r="G4535" s="56" t="n"/>
      <c r="H4535" s="55" t="n"/>
      <c r="I4535" s="62" t="n"/>
      <c r="J4535" s="58" t="n"/>
      <c r="K4535" s="63">
        <f>IF(tblMovement[[#This Row],[Source]]="","",IFERROR(INDEX(tblSources[Type],MATCH(tblMovement[[#This Row],[Source]],tblSources[Source],0)),"?"))</f>
        <v/>
      </c>
      <c r="L4535" s="63">
        <f>IF(tblMovement[[#This Row],[Destination]]="","",IFERROR(INDEX(tblDestinations[Type],MATCH(tblMovement[[#This Row],[Destination]],tblDestinations[Destination],0)),"?"))</f>
        <v/>
      </c>
      <c r="M4535" s="64">
        <f>IF(tblMovement[[#This Row],[Material]]="","",IF(LEFT(tblMovement[[#This Row],[Material]],3)="Ore",1,0))</f>
        <v/>
      </c>
      <c r="N4535" s="59">
        <f>IF(OR(tblMovement[[#This Row],[Tonnes_t]]="",tblMovement[[#This Row],[Grade_gpt]]=""),0,tblMovement[[#This Row],[Tonnes_t]]*tblMovement[[#This Row],[Grade_gpt]]/cfg_TroyOz)</f>
        <v/>
      </c>
      <c r="O4535" s="59">
        <f>IF(tblMovement[[#This Row],[Is_Ore]]=1,tblMovement[[#This Row],[Contained_oz]],0)</f>
        <v/>
      </c>
    </row>
    <row r="4536">
      <c r="A4536" s="54" t="n"/>
      <c r="B4536" s="61" t="n"/>
      <c r="C4536" s="61" t="n"/>
      <c r="D4536" s="61" t="n"/>
      <c r="E4536" s="61" t="n"/>
      <c r="F4536" s="55" t="n"/>
      <c r="G4536" s="56" t="n"/>
      <c r="H4536" s="55" t="n"/>
      <c r="I4536" s="62" t="n"/>
      <c r="J4536" s="58" t="n"/>
      <c r="K4536" s="63">
        <f>IF(tblMovement[[#This Row],[Source]]="","",IFERROR(INDEX(tblSources[Type],MATCH(tblMovement[[#This Row],[Source]],tblSources[Source],0)),"?"))</f>
        <v/>
      </c>
      <c r="L4536" s="63">
        <f>IF(tblMovement[[#This Row],[Destination]]="","",IFERROR(INDEX(tblDestinations[Type],MATCH(tblMovement[[#This Row],[Destination]],tblDestinations[Destination],0)),"?"))</f>
        <v/>
      </c>
      <c r="M4536" s="64">
        <f>IF(tblMovement[[#This Row],[Material]]="","",IF(LEFT(tblMovement[[#This Row],[Material]],3)="Ore",1,0))</f>
        <v/>
      </c>
      <c r="N4536" s="59">
        <f>IF(OR(tblMovement[[#This Row],[Tonnes_t]]="",tblMovement[[#This Row],[Grade_gpt]]=""),0,tblMovement[[#This Row],[Tonnes_t]]*tblMovement[[#This Row],[Grade_gpt]]/cfg_TroyOz)</f>
        <v/>
      </c>
      <c r="O4536" s="59">
        <f>IF(tblMovement[[#This Row],[Is_Ore]]=1,tblMovement[[#This Row],[Contained_oz]],0)</f>
        <v/>
      </c>
    </row>
    <row r="4537">
      <c r="A4537" s="54" t="n"/>
      <c r="B4537" s="61" t="n"/>
      <c r="C4537" s="61" t="n"/>
      <c r="D4537" s="61" t="n"/>
      <c r="E4537" s="61" t="n"/>
      <c r="F4537" s="55" t="n"/>
      <c r="G4537" s="56" t="n"/>
      <c r="H4537" s="55" t="n"/>
      <c r="I4537" s="62" t="n"/>
      <c r="J4537" s="58" t="n"/>
      <c r="K4537" s="63">
        <f>IF(tblMovement[[#This Row],[Source]]="","",IFERROR(INDEX(tblSources[Type],MATCH(tblMovement[[#This Row],[Source]],tblSources[Source],0)),"?"))</f>
        <v/>
      </c>
      <c r="L4537" s="63">
        <f>IF(tblMovement[[#This Row],[Destination]]="","",IFERROR(INDEX(tblDestinations[Type],MATCH(tblMovement[[#This Row],[Destination]],tblDestinations[Destination],0)),"?"))</f>
        <v/>
      </c>
      <c r="M4537" s="64">
        <f>IF(tblMovement[[#This Row],[Material]]="","",IF(LEFT(tblMovement[[#This Row],[Material]],3)="Ore",1,0))</f>
        <v/>
      </c>
      <c r="N4537" s="59">
        <f>IF(OR(tblMovement[[#This Row],[Tonnes_t]]="",tblMovement[[#This Row],[Grade_gpt]]=""),0,tblMovement[[#This Row],[Tonnes_t]]*tblMovement[[#This Row],[Grade_gpt]]/cfg_TroyOz)</f>
        <v/>
      </c>
      <c r="O4537" s="59">
        <f>IF(tblMovement[[#This Row],[Is_Ore]]=1,tblMovement[[#This Row],[Contained_oz]],0)</f>
        <v/>
      </c>
    </row>
    <row r="4538">
      <c r="A4538" s="54" t="n"/>
      <c r="B4538" s="61" t="n"/>
      <c r="C4538" s="61" t="n"/>
      <c r="D4538" s="61" t="n"/>
      <c r="E4538" s="61" t="n"/>
      <c r="F4538" s="55" t="n"/>
      <c r="G4538" s="56" t="n"/>
      <c r="H4538" s="55" t="n"/>
      <c r="I4538" s="62" t="n"/>
      <c r="J4538" s="58" t="n"/>
      <c r="K4538" s="63">
        <f>IF(tblMovement[[#This Row],[Source]]="","",IFERROR(INDEX(tblSources[Type],MATCH(tblMovement[[#This Row],[Source]],tblSources[Source],0)),"?"))</f>
        <v/>
      </c>
      <c r="L4538" s="63">
        <f>IF(tblMovement[[#This Row],[Destination]]="","",IFERROR(INDEX(tblDestinations[Type],MATCH(tblMovement[[#This Row],[Destination]],tblDestinations[Destination],0)),"?"))</f>
        <v/>
      </c>
      <c r="M4538" s="64">
        <f>IF(tblMovement[[#This Row],[Material]]="","",IF(LEFT(tblMovement[[#This Row],[Material]],3)="Ore",1,0))</f>
        <v/>
      </c>
      <c r="N4538" s="59">
        <f>IF(OR(tblMovement[[#This Row],[Tonnes_t]]="",tblMovement[[#This Row],[Grade_gpt]]=""),0,tblMovement[[#This Row],[Tonnes_t]]*tblMovement[[#This Row],[Grade_gpt]]/cfg_TroyOz)</f>
        <v/>
      </c>
      <c r="O4538" s="59">
        <f>IF(tblMovement[[#This Row],[Is_Ore]]=1,tblMovement[[#This Row],[Contained_oz]],0)</f>
        <v/>
      </c>
    </row>
    <row r="4539">
      <c r="A4539" s="54" t="n"/>
      <c r="B4539" s="61" t="n"/>
      <c r="C4539" s="61" t="n"/>
      <c r="D4539" s="61" t="n"/>
      <c r="E4539" s="61" t="n"/>
      <c r="F4539" s="55" t="n"/>
      <c r="G4539" s="56" t="n"/>
      <c r="H4539" s="55" t="n"/>
      <c r="I4539" s="62" t="n"/>
      <c r="J4539" s="58" t="n"/>
      <c r="K4539" s="63">
        <f>IF(tblMovement[[#This Row],[Source]]="","",IFERROR(INDEX(tblSources[Type],MATCH(tblMovement[[#This Row],[Source]],tblSources[Source],0)),"?"))</f>
        <v/>
      </c>
      <c r="L4539" s="63">
        <f>IF(tblMovement[[#This Row],[Destination]]="","",IFERROR(INDEX(tblDestinations[Type],MATCH(tblMovement[[#This Row],[Destination]],tblDestinations[Destination],0)),"?"))</f>
        <v/>
      </c>
      <c r="M4539" s="64">
        <f>IF(tblMovement[[#This Row],[Material]]="","",IF(LEFT(tblMovement[[#This Row],[Material]],3)="Ore",1,0))</f>
        <v/>
      </c>
      <c r="N4539" s="59">
        <f>IF(OR(tblMovement[[#This Row],[Tonnes_t]]="",tblMovement[[#This Row],[Grade_gpt]]=""),0,tblMovement[[#This Row],[Tonnes_t]]*tblMovement[[#This Row],[Grade_gpt]]/cfg_TroyOz)</f>
        <v/>
      </c>
      <c r="O4539" s="59">
        <f>IF(tblMovement[[#This Row],[Is_Ore]]=1,tblMovement[[#This Row],[Contained_oz]],0)</f>
        <v/>
      </c>
    </row>
    <row r="4540">
      <c r="A4540" s="54" t="n"/>
      <c r="B4540" s="61" t="n"/>
      <c r="C4540" s="61" t="n"/>
      <c r="D4540" s="61" t="n"/>
      <c r="E4540" s="61" t="n"/>
      <c r="F4540" s="55" t="n"/>
      <c r="G4540" s="56" t="n"/>
      <c r="H4540" s="55" t="n"/>
      <c r="I4540" s="62" t="n"/>
      <c r="J4540" s="58" t="n"/>
      <c r="K4540" s="63">
        <f>IF(tblMovement[[#This Row],[Source]]="","",IFERROR(INDEX(tblSources[Type],MATCH(tblMovement[[#This Row],[Source]],tblSources[Source],0)),"?"))</f>
        <v/>
      </c>
      <c r="L4540" s="63">
        <f>IF(tblMovement[[#This Row],[Destination]]="","",IFERROR(INDEX(tblDestinations[Type],MATCH(tblMovement[[#This Row],[Destination]],tblDestinations[Destination],0)),"?"))</f>
        <v/>
      </c>
      <c r="M4540" s="64">
        <f>IF(tblMovement[[#This Row],[Material]]="","",IF(LEFT(tblMovement[[#This Row],[Material]],3)="Ore",1,0))</f>
        <v/>
      </c>
      <c r="N4540" s="59">
        <f>IF(OR(tblMovement[[#This Row],[Tonnes_t]]="",tblMovement[[#This Row],[Grade_gpt]]=""),0,tblMovement[[#This Row],[Tonnes_t]]*tblMovement[[#This Row],[Grade_gpt]]/cfg_TroyOz)</f>
        <v/>
      </c>
      <c r="O4540" s="59">
        <f>IF(tblMovement[[#This Row],[Is_Ore]]=1,tblMovement[[#This Row],[Contained_oz]],0)</f>
        <v/>
      </c>
    </row>
    <row r="4541">
      <c r="A4541" s="54" t="n"/>
      <c r="B4541" s="61" t="n"/>
      <c r="C4541" s="61" t="n"/>
      <c r="D4541" s="61" t="n"/>
      <c r="E4541" s="61" t="n"/>
      <c r="F4541" s="55" t="n"/>
      <c r="G4541" s="56" t="n"/>
      <c r="H4541" s="55" t="n"/>
      <c r="I4541" s="62" t="n"/>
      <c r="J4541" s="58" t="n"/>
      <c r="K4541" s="63">
        <f>IF(tblMovement[[#This Row],[Source]]="","",IFERROR(INDEX(tblSources[Type],MATCH(tblMovement[[#This Row],[Source]],tblSources[Source],0)),"?"))</f>
        <v/>
      </c>
      <c r="L4541" s="63">
        <f>IF(tblMovement[[#This Row],[Destination]]="","",IFERROR(INDEX(tblDestinations[Type],MATCH(tblMovement[[#This Row],[Destination]],tblDestinations[Destination],0)),"?"))</f>
        <v/>
      </c>
      <c r="M4541" s="64">
        <f>IF(tblMovement[[#This Row],[Material]]="","",IF(LEFT(tblMovement[[#This Row],[Material]],3)="Ore",1,0))</f>
        <v/>
      </c>
      <c r="N4541" s="59">
        <f>IF(OR(tblMovement[[#This Row],[Tonnes_t]]="",tblMovement[[#This Row],[Grade_gpt]]=""),0,tblMovement[[#This Row],[Tonnes_t]]*tblMovement[[#This Row],[Grade_gpt]]/cfg_TroyOz)</f>
        <v/>
      </c>
      <c r="O4541" s="59">
        <f>IF(tblMovement[[#This Row],[Is_Ore]]=1,tblMovement[[#This Row],[Contained_oz]],0)</f>
        <v/>
      </c>
    </row>
    <row r="4542">
      <c r="A4542" s="54" t="n"/>
      <c r="B4542" s="61" t="n"/>
      <c r="C4542" s="61" t="n"/>
      <c r="D4542" s="61" t="n"/>
      <c r="E4542" s="61" t="n"/>
      <c r="F4542" s="55" t="n"/>
      <c r="G4542" s="56" t="n"/>
      <c r="H4542" s="55" t="n"/>
      <c r="I4542" s="62" t="n"/>
      <c r="J4542" s="58" t="n"/>
      <c r="K4542" s="63">
        <f>IF(tblMovement[[#This Row],[Source]]="","",IFERROR(INDEX(tblSources[Type],MATCH(tblMovement[[#This Row],[Source]],tblSources[Source],0)),"?"))</f>
        <v/>
      </c>
      <c r="L4542" s="63">
        <f>IF(tblMovement[[#This Row],[Destination]]="","",IFERROR(INDEX(tblDestinations[Type],MATCH(tblMovement[[#This Row],[Destination]],tblDestinations[Destination],0)),"?"))</f>
        <v/>
      </c>
      <c r="M4542" s="64">
        <f>IF(tblMovement[[#This Row],[Material]]="","",IF(LEFT(tblMovement[[#This Row],[Material]],3)="Ore",1,0))</f>
        <v/>
      </c>
      <c r="N4542" s="59">
        <f>IF(OR(tblMovement[[#This Row],[Tonnes_t]]="",tblMovement[[#This Row],[Grade_gpt]]=""),0,tblMovement[[#This Row],[Tonnes_t]]*tblMovement[[#This Row],[Grade_gpt]]/cfg_TroyOz)</f>
        <v/>
      </c>
      <c r="O4542" s="59">
        <f>IF(tblMovement[[#This Row],[Is_Ore]]=1,tblMovement[[#This Row],[Contained_oz]],0)</f>
        <v/>
      </c>
    </row>
    <row r="4543">
      <c r="A4543" s="54" t="n"/>
      <c r="B4543" s="61" t="n"/>
      <c r="C4543" s="61" t="n"/>
      <c r="D4543" s="61" t="n"/>
      <c r="E4543" s="61" t="n"/>
      <c r="F4543" s="55" t="n"/>
      <c r="G4543" s="56" t="n"/>
      <c r="H4543" s="55" t="n"/>
      <c r="I4543" s="62" t="n"/>
      <c r="J4543" s="58" t="n"/>
      <c r="K4543" s="63">
        <f>IF(tblMovement[[#This Row],[Source]]="","",IFERROR(INDEX(tblSources[Type],MATCH(tblMovement[[#This Row],[Source]],tblSources[Source],0)),"?"))</f>
        <v/>
      </c>
      <c r="L4543" s="63">
        <f>IF(tblMovement[[#This Row],[Destination]]="","",IFERROR(INDEX(tblDestinations[Type],MATCH(tblMovement[[#This Row],[Destination]],tblDestinations[Destination],0)),"?"))</f>
        <v/>
      </c>
      <c r="M4543" s="64">
        <f>IF(tblMovement[[#This Row],[Material]]="","",IF(LEFT(tblMovement[[#This Row],[Material]],3)="Ore",1,0))</f>
        <v/>
      </c>
      <c r="N4543" s="59">
        <f>IF(OR(tblMovement[[#This Row],[Tonnes_t]]="",tblMovement[[#This Row],[Grade_gpt]]=""),0,tblMovement[[#This Row],[Tonnes_t]]*tblMovement[[#This Row],[Grade_gpt]]/cfg_TroyOz)</f>
        <v/>
      </c>
      <c r="O4543" s="59">
        <f>IF(tblMovement[[#This Row],[Is_Ore]]=1,tblMovement[[#This Row],[Contained_oz]],0)</f>
        <v/>
      </c>
    </row>
    <row r="4544">
      <c r="A4544" s="54" t="n"/>
      <c r="B4544" s="61" t="n"/>
      <c r="C4544" s="61" t="n"/>
      <c r="D4544" s="61" t="n"/>
      <c r="E4544" s="61" t="n"/>
      <c r="F4544" s="55" t="n"/>
      <c r="G4544" s="56" t="n"/>
      <c r="H4544" s="55" t="n"/>
      <c r="I4544" s="62" t="n"/>
      <c r="J4544" s="58" t="n"/>
      <c r="K4544" s="63">
        <f>IF(tblMovement[[#This Row],[Source]]="","",IFERROR(INDEX(tblSources[Type],MATCH(tblMovement[[#This Row],[Source]],tblSources[Source],0)),"?"))</f>
        <v/>
      </c>
      <c r="L4544" s="63">
        <f>IF(tblMovement[[#This Row],[Destination]]="","",IFERROR(INDEX(tblDestinations[Type],MATCH(tblMovement[[#This Row],[Destination]],tblDestinations[Destination],0)),"?"))</f>
        <v/>
      </c>
      <c r="M4544" s="64">
        <f>IF(tblMovement[[#This Row],[Material]]="","",IF(LEFT(tblMovement[[#This Row],[Material]],3)="Ore",1,0))</f>
        <v/>
      </c>
      <c r="N4544" s="59">
        <f>IF(OR(tblMovement[[#This Row],[Tonnes_t]]="",tblMovement[[#This Row],[Grade_gpt]]=""),0,tblMovement[[#This Row],[Tonnes_t]]*tblMovement[[#This Row],[Grade_gpt]]/cfg_TroyOz)</f>
        <v/>
      </c>
      <c r="O4544" s="59">
        <f>IF(tblMovement[[#This Row],[Is_Ore]]=1,tblMovement[[#This Row],[Contained_oz]],0)</f>
        <v/>
      </c>
    </row>
    <row r="4545">
      <c r="A4545" s="54" t="n"/>
      <c r="B4545" s="61" t="n"/>
      <c r="C4545" s="61" t="n"/>
      <c r="D4545" s="61" t="n"/>
      <c r="E4545" s="61" t="n"/>
      <c r="F4545" s="55" t="n"/>
      <c r="G4545" s="56" t="n"/>
      <c r="H4545" s="55" t="n"/>
      <c r="I4545" s="62" t="n"/>
      <c r="J4545" s="58" t="n"/>
      <c r="K4545" s="63">
        <f>IF(tblMovement[[#This Row],[Source]]="","",IFERROR(INDEX(tblSources[Type],MATCH(tblMovement[[#This Row],[Source]],tblSources[Source],0)),"?"))</f>
        <v/>
      </c>
      <c r="L4545" s="63">
        <f>IF(tblMovement[[#This Row],[Destination]]="","",IFERROR(INDEX(tblDestinations[Type],MATCH(tblMovement[[#This Row],[Destination]],tblDestinations[Destination],0)),"?"))</f>
        <v/>
      </c>
      <c r="M4545" s="64">
        <f>IF(tblMovement[[#This Row],[Material]]="","",IF(LEFT(tblMovement[[#This Row],[Material]],3)="Ore",1,0))</f>
        <v/>
      </c>
      <c r="N4545" s="59">
        <f>IF(OR(tblMovement[[#This Row],[Tonnes_t]]="",tblMovement[[#This Row],[Grade_gpt]]=""),0,tblMovement[[#This Row],[Tonnes_t]]*tblMovement[[#This Row],[Grade_gpt]]/cfg_TroyOz)</f>
        <v/>
      </c>
      <c r="O4545" s="59">
        <f>IF(tblMovement[[#This Row],[Is_Ore]]=1,tblMovement[[#This Row],[Contained_oz]],0)</f>
        <v/>
      </c>
    </row>
    <row r="4546">
      <c r="A4546" s="54" t="n"/>
      <c r="B4546" s="61" t="n"/>
      <c r="C4546" s="61" t="n"/>
      <c r="D4546" s="61" t="n"/>
      <c r="E4546" s="61" t="n"/>
      <c r="F4546" s="55" t="n"/>
      <c r="G4546" s="56" t="n"/>
      <c r="H4546" s="55" t="n"/>
      <c r="I4546" s="62" t="n"/>
      <c r="J4546" s="58" t="n"/>
      <c r="K4546" s="63">
        <f>IF(tblMovement[[#This Row],[Source]]="","",IFERROR(INDEX(tblSources[Type],MATCH(tblMovement[[#This Row],[Source]],tblSources[Source],0)),"?"))</f>
        <v/>
      </c>
      <c r="L4546" s="63">
        <f>IF(tblMovement[[#This Row],[Destination]]="","",IFERROR(INDEX(tblDestinations[Type],MATCH(tblMovement[[#This Row],[Destination]],tblDestinations[Destination],0)),"?"))</f>
        <v/>
      </c>
      <c r="M4546" s="64">
        <f>IF(tblMovement[[#This Row],[Material]]="","",IF(LEFT(tblMovement[[#This Row],[Material]],3)="Ore",1,0))</f>
        <v/>
      </c>
      <c r="N4546" s="59">
        <f>IF(OR(tblMovement[[#This Row],[Tonnes_t]]="",tblMovement[[#This Row],[Grade_gpt]]=""),0,tblMovement[[#This Row],[Tonnes_t]]*tblMovement[[#This Row],[Grade_gpt]]/cfg_TroyOz)</f>
        <v/>
      </c>
      <c r="O4546" s="59">
        <f>IF(tblMovement[[#This Row],[Is_Ore]]=1,tblMovement[[#This Row],[Contained_oz]],0)</f>
        <v/>
      </c>
    </row>
    <row r="4547">
      <c r="A4547" s="54" t="n"/>
      <c r="B4547" s="61" t="n"/>
      <c r="C4547" s="61" t="n"/>
      <c r="D4547" s="61" t="n"/>
      <c r="E4547" s="61" t="n"/>
      <c r="F4547" s="55" t="n"/>
      <c r="G4547" s="56" t="n"/>
      <c r="H4547" s="55" t="n"/>
      <c r="I4547" s="62" t="n"/>
      <c r="J4547" s="58" t="n"/>
      <c r="K4547" s="63">
        <f>IF(tblMovement[[#This Row],[Source]]="","",IFERROR(INDEX(tblSources[Type],MATCH(tblMovement[[#This Row],[Source]],tblSources[Source],0)),"?"))</f>
        <v/>
      </c>
      <c r="L4547" s="63">
        <f>IF(tblMovement[[#This Row],[Destination]]="","",IFERROR(INDEX(tblDestinations[Type],MATCH(tblMovement[[#This Row],[Destination]],tblDestinations[Destination],0)),"?"))</f>
        <v/>
      </c>
      <c r="M4547" s="64">
        <f>IF(tblMovement[[#This Row],[Material]]="","",IF(LEFT(tblMovement[[#This Row],[Material]],3)="Ore",1,0))</f>
        <v/>
      </c>
      <c r="N4547" s="59">
        <f>IF(OR(tblMovement[[#This Row],[Tonnes_t]]="",tblMovement[[#This Row],[Grade_gpt]]=""),0,tblMovement[[#This Row],[Tonnes_t]]*tblMovement[[#This Row],[Grade_gpt]]/cfg_TroyOz)</f>
        <v/>
      </c>
      <c r="O4547" s="59">
        <f>IF(tblMovement[[#This Row],[Is_Ore]]=1,tblMovement[[#This Row],[Contained_oz]],0)</f>
        <v/>
      </c>
    </row>
    <row r="4548">
      <c r="A4548" s="54" t="n"/>
      <c r="B4548" s="61" t="n"/>
      <c r="C4548" s="61" t="n"/>
      <c r="D4548" s="61" t="n"/>
      <c r="E4548" s="61" t="n"/>
      <c r="F4548" s="55" t="n"/>
      <c r="G4548" s="56" t="n"/>
      <c r="H4548" s="55" t="n"/>
      <c r="I4548" s="62" t="n"/>
      <c r="J4548" s="58" t="n"/>
      <c r="K4548" s="63">
        <f>IF(tblMovement[[#This Row],[Source]]="","",IFERROR(INDEX(tblSources[Type],MATCH(tblMovement[[#This Row],[Source]],tblSources[Source],0)),"?"))</f>
        <v/>
      </c>
      <c r="L4548" s="63">
        <f>IF(tblMovement[[#This Row],[Destination]]="","",IFERROR(INDEX(tblDestinations[Type],MATCH(tblMovement[[#This Row],[Destination]],tblDestinations[Destination],0)),"?"))</f>
        <v/>
      </c>
      <c r="M4548" s="64">
        <f>IF(tblMovement[[#This Row],[Material]]="","",IF(LEFT(tblMovement[[#This Row],[Material]],3)="Ore",1,0))</f>
        <v/>
      </c>
      <c r="N4548" s="59">
        <f>IF(OR(tblMovement[[#This Row],[Tonnes_t]]="",tblMovement[[#This Row],[Grade_gpt]]=""),0,tblMovement[[#This Row],[Tonnes_t]]*tblMovement[[#This Row],[Grade_gpt]]/cfg_TroyOz)</f>
        <v/>
      </c>
      <c r="O4548" s="59">
        <f>IF(tblMovement[[#This Row],[Is_Ore]]=1,tblMovement[[#This Row],[Contained_oz]],0)</f>
        <v/>
      </c>
    </row>
    <row r="4549">
      <c r="A4549" s="54" t="n"/>
      <c r="B4549" s="61" t="n"/>
      <c r="C4549" s="61" t="n"/>
      <c r="D4549" s="61" t="n"/>
      <c r="E4549" s="61" t="n"/>
      <c r="F4549" s="55" t="n"/>
      <c r="G4549" s="56" t="n"/>
      <c r="H4549" s="55" t="n"/>
      <c r="I4549" s="62" t="n"/>
      <c r="J4549" s="58" t="n"/>
      <c r="K4549" s="63">
        <f>IF(tblMovement[[#This Row],[Source]]="","",IFERROR(INDEX(tblSources[Type],MATCH(tblMovement[[#This Row],[Source]],tblSources[Source],0)),"?"))</f>
        <v/>
      </c>
      <c r="L4549" s="63">
        <f>IF(tblMovement[[#This Row],[Destination]]="","",IFERROR(INDEX(tblDestinations[Type],MATCH(tblMovement[[#This Row],[Destination]],tblDestinations[Destination],0)),"?"))</f>
        <v/>
      </c>
      <c r="M4549" s="64">
        <f>IF(tblMovement[[#This Row],[Material]]="","",IF(LEFT(tblMovement[[#This Row],[Material]],3)="Ore",1,0))</f>
        <v/>
      </c>
      <c r="N4549" s="59">
        <f>IF(OR(tblMovement[[#This Row],[Tonnes_t]]="",tblMovement[[#This Row],[Grade_gpt]]=""),0,tblMovement[[#This Row],[Tonnes_t]]*tblMovement[[#This Row],[Grade_gpt]]/cfg_TroyOz)</f>
        <v/>
      </c>
      <c r="O4549" s="59">
        <f>IF(tblMovement[[#This Row],[Is_Ore]]=1,tblMovement[[#This Row],[Contained_oz]],0)</f>
        <v/>
      </c>
    </row>
    <row r="4550">
      <c r="A4550" s="54" t="n"/>
      <c r="B4550" s="61" t="n"/>
      <c r="C4550" s="61" t="n"/>
      <c r="D4550" s="61" t="n"/>
      <c r="E4550" s="61" t="n"/>
      <c r="F4550" s="55" t="n"/>
      <c r="G4550" s="56" t="n"/>
      <c r="H4550" s="55" t="n"/>
      <c r="I4550" s="62" t="n"/>
      <c r="J4550" s="58" t="n"/>
      <c r="K4550" s="63">
        <f>IF(tblMovement[[#This Row],[Source]]="","",IFERROR(INDEX(tblSources[Type],MATCH(tblMovement[[#This Row],[Source]],tblSources[Source],0)),"?"))</f>
        <v/>
      </c>
      <c r="L4550" s="63">
        <f>IF(tblMovement[[#This Row],[Destination]]="","",IFERROR(INDEX(tblDestinations[Type],MATCH(tblMovement[[#This Row],[Destination]],tblDestinations[Destination],0)),"?"))</f>
        <v/>
      </c>
      <c r="M4550" s="64">
        <f>IF(tblMovement[[#This Row],[Material]]="","",IF(LEFT(tblMovement[[#This Row],[Material]],3)="Ore",1,0))</f>
        <v/>
      </c>
      <c r="N4550" s="59">
        <f>IF(OR(tblMovement[[#This Row],[Tonnes_t]]="",tblMovement[[#This Row],[Grade_gpt]]=""),0,tblMovement[[#This Row],[Tonnes_t]]*tblMovement[[#This Row],[Grade_gpt]]/cfg_TroyOz)</f>
        <v/>
      </c>
      <c r="O4550" s="59">
        <f>IF(tblMovement[[#This Row],[Is_Ore]]=1,tblMovement[[#This Row],[Contained_oz]],0)</f>
        <v/>
      </c>
    </row>
    <row r="4551">
      <c r="A4551" s="54" t="n"/>
      <c r="B4551" s="61" t="n"/>
      <c r="C4551" s="61" t="n"/>
      <c r="D4551" s="61" t="n"/>
      <c r="E4551" s="61" t="n"/>
      <c r="F4551" s="55" t="n"/>
      <c r="G4551" s="56" t="n"/>
      <c r="H4551" s="55" t="n"/>
      <c r="I4551" s="62" t="n"/>
      <c r="J4551" s="58" t="n"/>
      <c r="K4551" s="63">
        <f>IF(tblMovement[[#This Row],[Source]]="","",IFERROR(INDEX(tblSources[Type],MATCH(tblMovement[[#This Row],[Source]],tblSources[Source],0)),"?"))</f>
        <v/>
      </c>
      <c r="L4551" s="63">
        <f>IF(tblMovement[[#This Row],[Destination]]="","",IFERROR(INDEX(tblDestinations[Type],MATCH(tblMovement[[#This Row],[Destination]],tblDestinations[Destination],0)),"?"))</f>
        <v/>
      </c>
      <c r="M4551" s="64">
        <f>IF(tblMovement[[#This Row],[Material]]="","",IF(LEFT(tblMovement[[#This Row],[Material]],3)="Ore",1,0))</f>
        <v/>
      </c>
      <c r="N4551" s="59">
        <f>IF(OR(tblMovement[[#This Row],[Tonnes_t]]="",tblMovement[[#This Row],[Grade_gpt]]=""),0,tblMovement[[#This Row],[Tonnes_t]]*tblMovement[[#This Row],[Grade_gpt]]/cfg_TroyOz)</f>
        <v/>
      </c>
      <c r="O4551" s="59">
        <f>IF(tblMovement[[#This Row],[Is_Ore]]=1,tblMovement[[#This Row],[Contained_oz]],0)</f>
        <v/>
      </c>
    </row>
    <row r="4552">
      <c r="A4552" s="54" t="n"/>
      <c r="B4552" s="61" t="n"/>
      <c r="C4552" s="61" t="n"/>
      <c r="D4552" s="61" t="n"/>
      <c r="E4552" s="61" t="n"/>
      <c r="F4552" s="55" t="n"/>
      <c r="G4552" s="56" t="n"/>
      <c r="H4552" s="55" t="n"/>
      <c r="I4552" s="62" t="n"/>
      <c r="J4552" s="58" t="n"/>
      <c r="K4552" s="63">
        <f>IF(tblMovement[[#This Row],[Source]]="","",IFERROR(INDEX(tblSources[Type],MATCH(tblMovement[[#This Row],[Source]],tblSources[Source],0)),"?"))</f>
        <v/>
      </c>
      <c r="L4552" s="63">
        <f>IF(tblMovement[[#This Row],[Destination]]="","",IFERROR(INDEX(tblDestinations[Type],MATCH(tblMovement[[#This Row],[Destination]],tblDestinations[Destination],0)),"?"))</f>
        <v/>
      </c>
      <c r="M4552" s="64">
        <f>IF(tblMovement[[#This Row],[Material]]="","",IF(LEFT(tblMovement[[#This Row],[Material]],3)="Ore",1,0))</f>
        <v/>
      </c>
      <c r="N4552" s="59">
        <f>IF(OR(tblMovement[[#This Row],[Tonnes_t]]="",tblMovement[[#This Row],[Grade_gpt]]=""),0,tblMovement[[#This Row],[Tonnes_t]]*tblMovement[[#This Row],[Grade_gpt]]/cfg_TroyOz)</f>
        <v/>
      </c>
      <c r="O4552" s="59">
        <f>IF(tblMovement[[#This Row],[Is_Ore]]=1,tblMovement[[#This Row],[Contained_oz]],0)</f>
        <v/>
      </c>
    </row>
    <row r="4553">
      <c r="A4553" s="54" t="n"/>
      <c r="B4553" s="61" t="n"/>
      <c r="C4553" s="61" t="n"/>
      <c r="D4553" s="61" t="n"/>
      <c r="E4553" s="61" t="n"/>
      <c r="F4553" s="55" t="n"/>
      <c r="G4553" s="56" t="n"/>
      <c r="H4553" s="55" t="n"/>
      <c r="I4553" s="62" t="n"/>
      <c r="J4553" s="58" t="n"/>
      <c r="K4553" s="63">
        <f>IF(tblMovement[[#This Row],[Source]]="","",IFERROR(INDEX(tblSources[Type],MATCH(tblMovement[[#This Row],[Source]],tblSources[Source],0)),"?"))</f>
        <v/>
      </c>
      <c r="L4553" s="63">
        <f>IF(tblMovement[[#This Row],[Destination]]="","",IFERROR(INDEX(tblDestinations[Type],MATCH(tblMovement[[#This Row],[Destination]],tblDestinations[Destination],0)),"?"))</f>
        <v/>
      </c>
      <c r="M4553" s="64">
        <f>IF(tblMovement[[#This Row],[Material]]="","",IF(LEFT(tblMovement[[#This Row],[Material]],3)="Ore",1,0))</f>
        <v/>
      </c>
      <c r="N4553" s="59">
        <f>IF(OR(tblMovement[[#This Row],[Tonnes_t]]="",tblMovement[[#This Row],[Grade_gpt]]=""),0,tblMovement[[#This Row],[Tonnes_t]]*tblMovement[[#This Row],[Grade_gpt]]/cfg_TroyOz)</f>
        <v/>
      </c>
      <c r="O4553" s="59">
        <f>IF(tblMovement[[#This Row],[Is_Ore]]=1,tblMovement[[#This Row],[Contained_oz]],0)</f>
        <v/>
      </c>
    </row>
    <row r="4554">
      <c r="A4554" s="54" t="n"/>
      <c r="B4554" s="61" t="n"/>
      <c r="C4554" s="61" t="n"/>
      <c r="D4554" s="61" t="n"/>
      <c r="E4554" s="61" t="n"/>
      <c r="F4554" s="55" t="n"/>
      <c r="G4554" s="56" t="n"/>
      <c r="H4554" s="55" t="n"/>
      <c r="I4554" s="62" t="n"/>
      <c r="J4554" s="58" t="n"/>
      <c r="K4554" s="63">
        <f>IF(tblMovement[[#This Row],[Source]]="","",IFERROR(INDEX(tblSources[Type],MATCH(tblMovement[[#This Row],[Source]],tblSources[Source],0)),"?"))</f>
        <v/>
      </c>
      <c r="L4554" s="63">
        <f>IF(tblMovement[[#This Row],[Destination]]="","",IFERROR(INDEX(tblDestinations[Type],MATCH(tblMovement[[#This Row],[Destination]],tblDestinations[Destination],0)),"?"))</f>
        <v/>
      </c>
      <c r="M4554" s="64">
        <f>IF(tblMovement[[#This Row],[Material]]="","",IF(LEFT(tblMovement[[#This Row],[Material]],3)="Ore",1,0))</f>
        <v/>
      </c>
      <c r="N4554" s="59">
        <f>IF(OR(tblMovement[[#This Row],[Tonnes_t]]="",tblMovement[[#This Row],[Grade_gpt]]=""),0,tblMovement[[#This Row],[Tonnes_t]]*tblMovement[[#This Row],[Grade_gpt]]/cfg_TroyOz)</f>
        <v/>
      </c>
      <c r="O4554" s="59">
        <f>IF(tblMovement[[#This Row],[Is_Ore]]=1,tblMovement[[#This Row],[Contained_oz]],0)</f>
        <v/>
      </c>
    </row>
    <row r="4555">
      <c r="A4555" s="54" t="n"/>
      <c r="B4555" s="61" t="n"/>
      <c r="C4555" s="61" t="n"/>
      <c r="D4555" s="61" t="n"/>
      <c r="E4555" s="61" t="n"/>
      <c r="F4555" s="55" t="n"/>
      <c r="G4555" s="56" t="n"/>
      <c r="H4555" s="55" t="n"/>
      <c r="I4555" s="62" t="n"/>
      <c r="J4555" s="58" t="n"/>
      <c r="K4555" s="63">
        <f>IF(tblMovement[[#This Row],[Source]]="","",IFERROR(INDEX(tblSources[Type],MATCH(tblMovement[[#This Row],[Source]],tblSources[Source],0)),"?"))</f>
        <v/>
      </c>
      <c r="L4555" s="63">
        <f>IF(tblMovement[[#This Row],[Destination]]="","",IFERROR(INDEX(tblDestinations[Type],MATCH(tblMovement[[#This Row],[Destination]],tblDestinations[Destination],0)),"?"))</f>
        <v/>
      </c>
      <c r="M4555" s="64">
        <f>IF(tblMovement[[#This Row],[Material]]="","",IF(LEFT(tblMovement[[#This Row],[Material]],3)="Ore",1,0))</f>
        <v/>
      </c>
      <c r="N4555" s="59">
        <f>IF(OR(tblMovement[[#This Row],[Tonnes_t]]="",tblMovement[[#This Row],[Grade_gpt]]=""),0,tblMovement[[#This Row],[Tonnes_t]]*tblMovement[[#This Row],[Grade_gpt]]/cfg_TroyOz)</f>
        <v/>
      </c>
      <c r="O4555" s="59">
        <f>IF(tblMovement[[#This Row],[Is_Ore]]=1,tblMovement[[#This Row],[Contained_oz]],0)</f>
        <v/>
      </c>
    </row>
    <row r="4556">
      <c r="A4556" s="54" t="n"/>
      <c r="B4556" s="61" t="n"/>
      <c r="C4556" s="61" t="n"/>
      <c r="D4556" s="61" t="n"/>
      <c r="E4556" s="61" t="n"/>
      <c r="F4556" s="55" t="n"/>
      <c r="G4556" s="56" t="n"/>
      <c r="H4556" s="55" t="n"/>
      <c r="I4556" s="62" t="n"/>
      <c r="J4556" s="58" t="n"/>
      <c r="K4556" s="63">
        <f>IF(tblMovement[[#This Row],[Source]]="","",IFERROR(INDEX(tblSources[Type],MATCH(tblMovement[[#This Row],[Source]],tblSources[Source],0)),"?"))</f>
        <v/>
      </c>
      <c r="L4556" s="63">
        <f>IF(tblMovement[[#This Row],[Destination]]="","",IFERROR(INDEX(tblDestinations[Type],MATCH(tblMovement[[#This Row],[Destination]],tblDestinations[Destination],0)),"?"))</f>
        <v/>
      </c>
      <c r="M4556" s="64">
        <f>IF(tblMovement[[#This Row],[Material]]="","",IF(LEFT(tblMovement[[#This Row],[Material]],3)="Ore",1,0))</f>
        <v/>
      </c>
      <c r="N4556" s="59">
        <f>IF(OR(tblMovement[[#This Row],[Tonnes_t]]="",tblMovement[[#This Row],[Grade_gpt]]=""),0,tblMovement[[#This Row],[Tonnes_t]]*tblMovement[[#This Row],[Grade_gpt]]/cfg_TroyOz)</f>
        <v/>
      </c>
      <c r="O4556" s="59">
        <f>IF(tblMovement[[#This Row],[Is_Ore]]=1,tblMovement[[#This Row],[Contained_oz]],0)</f>
        <v/>
      </c>
    </row>
    <row r="4557">
      <c r="A4557" s="54" t="n"/>
      <c r="B4557" s="61" t="n"/>
      <c r="C4557" s="61" t="n"/>
      <c r="D4557" s="61" t="n"/>
      <c r="E4557" s="61" t="n"/>
      <c r="F4557" s="55" t="n"/>
      <c r="G4557" s="56" t="n"/>
      <c r="H4557" s="55" t="n"/>
      <c r="I4557" s="62" t="n"/>
      <c r="J4557" s="58" t="n"/>
      <c r="K4557" s="63">
        <f>IF(tblMovement[[#This Row],[Source]]="","",IFERROR(INDEX(tblSources[Type],MATCH(tblMovement[[#This Row],[Source]],tblSources[Source],0)),"?"))</f>
        <v/>
      </c>
      <c r="L4557" s="63">
        <f>IF(tblMovement[[#This Row],[Destination]]="","",IFERROR(INDEX(tblDestinations[Type],MATCH(tblMovement[[#This Row],[Destination]],tblDestinations[Destination],0)),"?"))</f>
        <v/>
      </c>
      <c r="M4557" s="64">
        <f>IF(tblMovement[[#This Row],[Material]]="","",IF(LEFT(tblMovement[[#This Row],[Material]],3)="Ore",1,0))</f>
        <v/>
      </c>
      <c r="N4557" s="59">
        <f>IF(OR(tblMovement[[#This Row],[Tonnes_t]]="",tblMovement[[#This Row],[Grade_gpt]]=""),0,tblMovement[[#This Row],[Tonnes_t]]*tblMovement[[#This Row],[Grade_gpt]]/cfg_TroyOz)</f>
        <v/>
      </c>
      <c r="O4557" s="59">
        <f>IF(tblMovement[[#This Row],[Is_Ore]]=1,tblMovement[[#This Row],[Contained_oz]],0)</f>
        <v/>
      </c>
    </row>
    <row r="4558">
      <c r="A4558" s="54" t="n"/>
      <c r="B4558" s="61" t="n"/>
      <c r="C4558" s="61" t="n"/>
      <c r="D4558" s="61" t="n"/>
      <c r="E4558" s="61" t="n"/>
      <c r="F4558" s="55" t="n"/>
      <c r="G4558" s="56" t="n"/>
      <c r="H4558" s="55" t="n"/>
      <c r="I4558" s="62" t="n"/>
      <c r="J4558" s="58" t="n"/>
      <c r="K4558" s="63">
        <f>IF(tblMovement[[#This Row],[Source]]="","",IFERROR(INDEX(tblSources[Type],MATCH(tblMovement[[#This Row],[Source]],tblSources[Source],0)),"?"))</f>
        <v/>
      </c>
      <c r="L4558" s="63">
        <f>IF(tblMovement[[#This Row],[Destination]]="","",IFERROR(INDEX(tblDestinations[Type],MATCH(tblMovement[[#This Row],[Destination]],tblDestinations[Destination],0)),"?"))</f>
        <v/>
      </c>
      <c r="M4558" s="64">
        <f>IF(tblMovement[[#This Row],[Material]]="","",IF(LEFT(tblMovement[[#This Row],[Material]],3)="Ore",1,0))</f>
        <v/>
      </c>
      <c r="N4558" s="59">
        <f>IF(OR(tblMovement[[#This Row],[Tonnes_t]]="",tblMovement[[#This Row],[Grade_gpt]]=""),0,tblMovement[[#This Row],[Tonnes_t]]*tblMovement[[#This Row],[Grade_gpt]]/cfg_TroyOz)</f>
        <v/>
      </c>
      <c r="O4558" s="59">
        <f>IF(tblMovement[[#This Row],[Is_Ore]]=1,tblMovement[[#This Row],[Contained_oz]],0)</f>
        <v/>
      </c>
    </row>
    <row r="4559">
      <c r="A4559" s="54" t="n"/>
      <c r="B4559" s="61" t="n"/>
      <c r="C4559" s="61" t="n"/>
      <c r="D4559" s="61" t="n"/>
      <c r="E4559" s="61" t="n"/>
      <c r="F4559" s="55" t="n"/>
      <c r="G4559" s="56" t="n"/>
      <c r="H4559" s="55" t="n"/>
      <c r="I4559" s="62" t="n"/>
      <c r="J4559" s="58" t="n"/>
      <c r="K4559" s="63">
        <f>IF(tblMovement[[#This Row],[Source]]="","",IFERROR(INDEX(tblSources[Type],MATCH(tblMovement[[#This Row],[Source]],tblSources[Source],0)),"?"))</f>
        <v/>
      </c>
      <c r="L4559" s="63">
        <f>IF(tblMovement[[#This Row],[Destination]]="","",IFERROR(INDEX(tblDestinations[Type],MATCH(tblMovement[[#This Row],[Destination]],tblDestinations[Destination],0)),"?"))</f>
        <v/>
      </c>
      <c r="M4559" s="64">
        <f>IF(tblMovement[[#This Row],[Material]]="","",IF(LEFT(tblMovement[[#This Row],[Material]],3)="Ore",1,0))</f>
        <v/>
      </c>
      <c r="N4559" s="59">
        <f>IF(OR(tblMovement[[#This Row],[Tonnes_t]]="",tblMovement[[#This Row],[Grade_gpt]]=""),0,tblMovement[[#This Row],[Tonnes_t]]*tblMovement[[#This Row],[Grade_gpt]]/cfg_TroyOz)</f>
        <v/>
      </c>
      <c r="O4559" s="59">
        <f>IF(tblMovement[[#This Row],[Is_Ore]]=1,tblMovement[[#This Row],[Contained_oz]],0)</f>
        <v/>
      </c>
    </row>
    <row r="4560">
      <c r="A4560" s="54" t="n"/>
      <c r="B4560" s="61" t="n"/>
      <c r="C4560" s="61" t="n"/>
      <c r="D4560" s="61" t="n"/>
      <c r="E4560" s="61" t="n"/>
      <c r="F4560" s="55" t="n"/>
      <c r="G4560" s="56" t="n"/>
      <c r="H4560" s="55" t="n"/>
      <c r="I4560" s="62" t="n"/>
      <c r="J4560" s="58" t="n"/>
      <c r="K4560" s="63">
        <f>IF(tblMovement[[#This Row],[Source]]="","",IFERROR(INDEX(tblSources[Type],MATCH(tblMovement[[#This Row],[Source]],tblSources[Source],0)),"?"))</f>
        <v/>
      </c>
      <c r="L4560" s="63">
        <f>IF(tblMovement[[#This Row],[Destination]]="","",IFERROR(INDEX(tblDestinations[Type],MATCH(tblMovement[[#This Row],[Destination]],tblDestinations[Destination],0)),"?"))</f>
        <v/>
      </c>
      <c r="M4560" s="64">
        <f>IF(tblMovement[[#This Row],[Material]]="","",IF(LEFT(tblMovement[[#This Row],[Material]],3)="Ore",1,0))</f>
        <v/>
      </c>
      <c r="N4560" s="59">
        <f>IF(OR(tblMovement[[#This Row],[Tonnes_t]]="",tblMovement[[#This Row],[Grade_gpt]]=""),0,tblMovement[[#This Row],[Tonnes_t]]*tblMovement[[#This Row],[Grade_gpt]]/cfg_TroyOz)</f>
        <v/>
      </c>
      <c r="O4560" s="59">
        <f>IF(tblMovement[[#This Row],[Is_Ore]]=1,tblMovement[[#This Row],[Contained_oz]],0)</f>
        <v/>
      </c>
    </row>
    <row r="4561">
      <c r="A4561" s="54" t="n"/>
      <c r="B4561" s="61" t="n"/>
      <c r="C4561" s="61" t="n"/>
      <c r="D4561" s="61" t="n"/>
      <c r="E4561" s="61" t="n"/>
      <c r="F4561" s="55" t="n"/>
      <c r="G4561" s="56" t="n"/>
      <c r="H4561" s="55" t="n"/>
      <c r="I4561" s="62" t="n"/>
      <c r="J4561" s="58" t="n"/>
      <c r="K4561" s="63">
        <f>IF(tblMovement[[#This Row],[Source]]="","",IFERROR(INDEX(tblSources[Type],MATCH(tblMovement[[#This Row],[Source]],tblSources[Source],0)),"?"))</f>
        <v/>
      </c>
      <c r="L4561" s="63">
        <f>IF(tblMovement[[#This Row],[Destination]]="","",IFERROR(INDEX(tblDestinations[Type],MATCH(tblMovement[[#This Row],[Destination]],tblDestinations[Destination],0)),"?"))</f>
        <v/>
      </c>
      <c r="M4561" s="64">
        <f>IF(tblMovement[[#This Row],[Material]]="","",IF(LEFT(tblMovement[[#This Row],[Material]],3)="Ore",1,0))</f>
        <v/>
      </c>
      <c r="N4561" s="59">
        <f>IF(OR(tblMovement[[#This Row],[Tonnes_t]]="",tblMovement[[#This Row],[Grade_gpt]]=""),0,tblMovement[[#This Row],[Tonnes_t]]*tblMovement[[#This Row],[Grade_gpt]]/cfg_TroyOz)</f>
        <v/>
      </c>
      <c r="O4561" s="59">
        <f>IF(tblMovement[[#This Row],[Is_Ore]]=1,tblMovement[[#This Row],[Contained_oz]],0)</f>
        <v/>
      </c>
    </row>
    <row r="4562">
      <c r="A4562" s="54" t="n"/>
      <c r="B4562" s="61" t="n"/>
      <c r="C4562" s="61" t="n"/>
      <c r="D4562" s="61" t="n"/>
      <c r="E4562" s="61" t="n"/>
      <c r="F4562" s="55" t="n"/>
      <c r="G4562" s="56" t="n"/>
      <c r="H4562" s="55" t="n"/>
      <c r="I4562" s="62" t="n"/>
      <c r="J4562" s="58" t="n"/>
      <c r="K4562" s="63">
        <f>IF(tblMovement[[#This Row],[Source]]="","",IFERROR(INDEX(tblSources[Type],MATCH(tblMovement[[#This Row],[Source]],tblSources[Source],0)),"?"))</f>
        <v/>
      </c>
      <c r="L4562" s="63">
        <f>IF(tblMovement[[#This Row],[Destination]]="","",IFERROR(INDEX(tblDestinations[Type],MATCH(tblMovement[[#This Row],[Destination]],tblDestinations[Destination],0)),"?"))</f>
        <v/>
      </c>
      <c r="M4562" s="64">
        <f>IF(tblMovement[[#This Row],[Material]]="","",IF(LEFT(tblMovement[[#This Row],[Material]],3)="Ore",1,0))</f>
        <v/>
      </c>
      <c r="N4562" s="59">
        <f>IF(OR(tblMovement[[#This Row],[Tonnes_t]]="",tblMovement[[#This Row],[Grade_gpt]]=""),0,tblMovement[[#This Row],[Tonnes_t]]*tblMovement[[#This Row],[Grade_gpt]]/cfg_TroyOz)</f>
        <v/>
      </c>
      <c r="O4562" s="59">
        <f>IF(tblMovement[[#This Row],[Is_Ore]]=1,tblMovement[[#This Row],[Contained_oz]],0)</f>
        <v/>
      </c>
    </row>
    <row r="4563">
      <c r="A4563" s="54" t="n"/>
      <c r="B4563" s="61" t="n"/>
      <c r="C4563" s="61" t="n"/>
      <c r="D4563" s="61" t="n"/>
      <c r="E4563" s="61" t="n"/>
      <c r="F4563" s="55" t="n"/>
      <c r="G4563" s="56" t="n"/>
      <c r="H4563" s="55" t="n"/>
      <c r="I4563" s="62" t="n"/>
      <c r="J4563" s="58" t="n"/>
      <c r="K4563" s="63">
        <f>IF(tblMovement[[#This Row],[Source]]="","",IFERROR(INDEX(tblSources[Type],MATCH(tblMovement[[#This Row],[Source]],tblSources[Source],0)),"?"))</f>
        <v/>
      </c>
      <c r="L4563" s="63">
        <f>IF(tblMovement[[#This Row],[Destination]]="","",IFERROR(INDEX(tblDestinations[Type],MATCH(tblMovement[[#This Row],[Destination]],tblDestinations[Destination],0)),"?"))</f>
        <v/>
      </c>
      <c r="M4563" s="64">
        <f>IF(tblMovement[[#This Row],[Material]]="","",IF(LEFT(tblMovement[[#This Row],[Material]],3)="Ore",1,0))</f>
        <v/>
      </c>
      <c r="N4563" s="59">
        <f>IF(OR(tblMovement[[#This Row],[Tonnes_t]]="",tblMovement[[#This Row],[Grade_gpt]]=""),0,tblMovement[[#This Row],[Tonnes_t]]*tblMovement[[#This Row],[Grade_gpt]]/cfg_TroyOz)</f>
        <v/>
      </c>
      <c r="O4563" s="59">
        <f>IF(tblMovement[[#This Row],[Is_Ore]]=1,tblMovement[[#This Row],[Contained_oz]],0)</f>
        <v/>
      </c>
    </row>
    <row r="4564">
      <c r="A4564" s="54" t="n"/>
      <c r="B4564" s="61" t="n"/>
      <c r="C4564" s="61" t="n"/>
      <c r="D4564" s="61" t="n"/>
      <c r="E4564" s="61" t="n"/>
      <c r="F4564" s="55" t="n"/>
      <c r="G4564" s="56" t="n"/>
      <c r="H4564" s="55" t="n"/>
      <c r="I4564" s="62" t="n"/>
      <c r="J4564" s="58" t="n"/>
      <c r="K4564" s="63">
        <f>IF(tblMovement[[#This Row],[Source]]="","",IFERROR(INDEX(tblSources[Type],MATCH(tblMovement[[#This Row],[Source]],tblSources[Source],0)),"?"))</f>
        <v/>
      </c>
      <c r="L4564" s="63">
        <f>IF(tblMovement[[#This Row],[Destination]]="","",IFERROR(INDEX(tblDestinations[Type],MATCH(tblMovement[[#This Row],[Destination]],tblDestinations[Destination],0)),"?"))</f>
        <v/>
      </c>
      <c r="M4564" s="64">
        <f>IF(tblMovement[[#This Row],[Material]]="","",IF(LEFT(tblMovement[[#This Row],[Material]],3)="Ore",1,0))</f>
        <v/>
      </c>
      <c r="N4564" s="59">
        <f>IF(OR(tblMovement[[#This Row],[Tonnes_t]]="",tblMovement[[#This Row],[Grade_gpt]]=""),0,tblMovement[[#This Row],[Tonnes_t]]*tblMovement[[#This Row],[Grade_gpt]]/cfg_TroyOz)</f>
        <v/>
      </c>
      <c r="O4564" s="59">
        <f>IF(tblMovement[[#This Row],[Is_Ore]]=1,tblMovement[[#This Row],[Contained_oz]],0)</f>
        <v/>
      </c>
    </row>
    <row r="4565">
      <c r="A4565" s="54" t="n"/>
      <c r="B4565" s="61" t="n"/>
      <c r="C4565" s="61" t="n"/>
      <c r="D4565" s="61" t="n"/>
      <c r="E4565" s="61" t="n"/>
      <c r="F4565" s="55" t="n"/>
      <c r="G4565" s="56" t="n"/>
      <c r="H4565" s="55" t="n"/>
      <c r="I4565" s="62" t="n"/>
      <c r="J4565" s="58" t="n"/>
      <c r="K4565" s="63">
        <f>IF(tblMovement[[#This Row],[Source]]="","",IFERROR(INDEX(tblSources[Type],MATCH(tblMovement[[#This Row],[Source]],tblSources[Source],0)),"?"))</f>
        <v/>
      </c>
      <c r="L4565" s="63">
        <f>IF(tblMovement[[#This Row],[Destination]]="","",IFERROR(INDEX(tblDestinations[Type],MATCH(tblMovement[[#This Row],[Destination]],tblDestinations[Destination],0)),"?"))</f>
        <v/>
      </c>
      <c r="M4565" s="64">
        <f>IF(tblMovement[[#This Row],[Material]]="","",IF(LEFT(tblMovement[[#This Row],[Material]],3)="Ore",1,0))</f>
        <v/>
      </c>
      <c r="N4565" s="59">
        <f>IF(OR(tblMovement[[#This Row],[Tonnes_t]]="",tblMovement[[#This Row],[Grade_gpt]]=""),0,tblMovement[[#This Row],[Tonnes_t]]*tblMovement[[#This Row],[Grade_gpt]]/cfg_TroyOz)</f>
        <v/>
      </c>
      <c r="O4565" s="59">
        <f>IF(tblMovement[[#This Row],[Is_Ore]]=1,tblMovement[[#This Row],[Contained_oz]],0)</f>
        <v/>
      </c>
    </row>
    <row r="4566">
      <c r="A4566" s="54" t="n"/>
      <c r="B4566" s="61" t="n"/>
      <c r="C4566" s="61" t="n"/>
      <c r="D4566" s="61" t="n"/>
      <c r="E4566" s="61" t="n"/>
      <c r="F4566" s="55" t="n"/>
      <c r="G4566" s="56" t="n"/>
      <c r="H4566" s="55" t="n"/>
      <c r="I4566" s="62" t="n"/>
      <c r="J4566" s="58" t="n"/>
      <c r="K4566" s="63">
        <f>IF(tblMovement[[#This Row],[Source]]="","",IFERROR(INDEX(tblSources[Type],MATCH(tblMovement[[#This Row],[Source]],tblSources[Source],0)),"?"))</f>
        <v/>
      </c>
      <c r="L4566" s="63">
        <f>IF(tblMovement[[#This Row],[Destination]]="","",IFERROR(INDEX(tblDestinations[Type],MATCH(tblMovement[[#This Row],[Destination]],tblDestinations[Destination],0)),"?"))</f>
        <v/>
      </c>
      <c r="M4566" s="64">
        <f>IF(tblMovement[[#This Row],[Material]]="","",IF(LEFT(tblMovement[[#This Row],[Material]],3)="Ore",1,0))</f>
        <v/>
      </c>
      <c r="N4566" s="59">
        <f>IF(OR(tblMovement[[#This Row],[Tonnes_t]]="",tblMovement[[#This Row],[Grade_gpt]]=""),0,tblMovement[[#This Row],[Tonnes_t]]*tblMovement[[#This Row],[Grade_gpt]]/cfg_TroyOz)</f>
        <v/>
      </c>
      <c r="O4566" s="59">
        <f>IF(tblMovement[[#This Row],[Is_Ore]]=1,tblMovement[[#This Row],[Contained_oz]],0)</f>
        <v/>
      </c>
    </row>
    <row r="4567">
      <c r="A4567" s="54" t="n"/>
      <c r="B4567" s="61" t="n"/>
      <c r="C4567" s="61" t="n"/>
      <c r="D4567" s="61" t="n"/>
      <c r="E4567" s="61" t="n"/>
      <c r="F4567" s="55" t="n"/>
      <c r="G4567" s="56" t="n"/>
      <c r="H4567" s="55" t="n"/>
      <c r="I4567" s="62" t="n"/>
      <c r="J4567" s="58" t="n"/>
      <c r="K4567" s="63">
        <f>IF(tblMovement[[#This Row],[Source]]="","",IFERROR(INDEX(tblSources[Type],MATCH(tblMovement[[#This Row],[Source]],tblSources[Source],0)),"?"))</f>
        <v/>
      </c>
      <c r="L4567" s="63">
        <f>IF(tblMovement[[#This Row],[Destination]]="","",IFERROR(INDEX(tblDestinations[Type],MATCH(tblMovement[[#This Row],[Destination]],tblDestinations[Destination],0)),"?"))</f>
        <v/>
      </c>
      <c r="M4567" s="64">
        <f>IF(tblMovement[[#This Row],[Material]]="","",IF(LEFT(tblMovement[[#This Row],[Material]],3)="Ore",1,0))</f>
        <v/>
      </c>
      <c r="N4567" s="59">
        <f>IF(OR(tblMovement[[#This Row],[Tonnes_t]]="",tblMovement[[#This Row],[Grade_gpt]]=""),0,tblMovement[[#This Row],[Tonnes_t]]*tblMovement[[#This Row],[Grade_gpt]]/cfg_TroyOz)</f>
        <v/>
      </c>
      <c r="O4567" s="59">
        <f>IF(tblMovement[[#This Row],[Is_Ore]]=1,tblMovement[[#This Row],[Contained_oz]],0)</f>
        <v/>
      </c>
    </row>
    <row r="4568">
      <c r="A4568" s="54" t="n"/>
      <c r="B4568" s="61" t="n"/>
      <c r="C4568" s="61" t="n"/>
      <c r="D4568" s="61" t="n"/>
      <c r="E4568" s="61" t="n"/>
      <c r="F4568" s="55" t="n"/>
      <c r="G4568" s="56" t="n"/>
      <c r="H4568" s="55" t="n"/>
      <c r="I4568" s="62" t="n"/>
      <c r="J4568" s="58" t="n"/>
      <c r="K4568" s="63">
        <f>IF(tblMovement[[#This Row],[Source]]="","",IFERROR(INDEX(tblSources[Type],MATCH(tblMovement[[#This Row],[Source]],tblSources[Source],0)),"?"))</f>
        <v/>
      </c>
      <c r="L4568" s="63">
        <f>IF(tblMovement[[#This Row],[Destination]]="","",IFERROR(INDEX(tblDestinations[Type],MATCH(tblMovement[[#This Row],[Destination]],tblDestinations[Destination],0)),"?"))</f>
        <v/>
      </c>
      <c r="M4568" s="64">
        <f>IF(tblMovement[[#This Row],[Material]]="","",IF(LEFT(tblMovement[[#This Row],[Material]],3)="Ore",1,0))</f>
        <v/>
      </c>
      <c r="N4568" s="59">
        <f>IF(OR(tblMovement[[#This Row],[Tonnes_t]]="",tblMovement[[#This Row],[Grade_gpt]]=""),0,tblMovement[[#This Row],[Tonnes_t]]*tblMovement[[#This Row],[Grade_gpt]]/cfg_TroyOz)</f>
        <v/>
      </c>
      <c r="O4568" s="59">
        <f>IF(tblMovement[[#This Row],[Is_Ore]]=1,tblMovement[[#This Row],[Contained_oz]],0)</f>
        <v/>
      </c>
    </row>
    <row r="4569">
      <c r="A4569" s="54" t="n"/>
      <c r="B4569" s="61" t="n"/>
      <c r="C4569" s="61" t="n"/>
      <c r="D4569" s="61" t="n"/>
      <c r="E4569" s="61" t="n"/>
      <c r="F4569" s="55" t="n"/>
      <c r="G4569" s="56" t="n"/>
      <c r="H4569" s="55" t="n"/>
      <c r="I4569" s="62" t="n"/>
      <c r="J4569" s="58" t="n"/>
      <c r="K4569" s="63">
        <f>IF(tblMovement[[#This Row],[Source]]="","",IFERROR(INDEX(tblSources[Type],MATCH(tblMovement[[#This Row],[Source]],tblSources[Source],0)),"?"))</f>
        <v/>
      </c>
      <c r="L4569" s="63">
        <f>IF(tblMovement[[#This Row],[Destination]]="","",IFERROR(INDEX(tblDestinations[Type],MATCH(tblMovement[[#This Row],[Destination]],tblDestinations[Destination],0)),"?"))</f>
        <v/>
      </c>
      <c r="M4569" s="64">
        <f>IF(tblMovement[[#This Row],[Material]]="","",IF(LEFT(tblMovement[[#This Row],[Material]],3)="Ore",1,0))</f>
        <v/>
      </c>
      <c r="N4569" s="59">
        <f>IF(OR(tblMovement[[#This Row],[Tonnes_t]]="",tblMovement[[#This Row],[Grade_gpt]]=""),0,tblMovement[[#This Row],[Tonnes_t]]*tblMovement[[#This Row],[Grade_gpt]]/cfg_TroyOz)</f>
        <v/>
      </c>
      <c r="O4569" s="59">
        <f>IF(tblMovement[[#This Row],[Is_Ore]]=1,tblMovement[[#This Row],[Contained_oz]],0)</f>
        <v/>
      </c>
    </row>
    <row r="4570">
      <c r="A4570" s="54" t="n"/>
      <c r="B4570" s="61" t="n"/>
      <c r="C4570" s="61" t="n"/>
      <c r="D4570" s="61" t="n"/>
      <c r="E4570" s="61" t="n"/>
      <c r="F4570" s="55" t="n"/>
      <c r="G4570" s="56" t="n"/>
      <c r="H4570" s="55" t="n"/>
      <c r="I4570" s="62" t="n"/>
      <c r="J4570" s="58" t="n"/>
      <c r="K4570" s="63">
        <f>IF(tblMovement[[#This Row],[Source]]="","",IFERROR(INDEX(tblSources[Type],MATCH(tblMovement[[#This Row],[Source]],tblSources[Source],0)),"?"))</f>
        <v/>
      </c>
      <c r="L4570" s="63">
        <f>IF(tblMovement[[#This Row],[Destination]]="","",IFERROR(INDEX(tblDestinations[Type],MATCH(tblMovement[[#This Row],[Destination]],tblDestinations[Destination],0)),"?"))</f>
        <v/>
      </c>
      <c r="M4570" s="64">
        <f>IF(tblMovement[[#This Row],[Material]]="","",IF(LEFT(tblMovement[[#This Row],[Material]],3)="Ore",1,0))</f>
        <v/>
      </c>
      <c r="N4570" s="59">
        <f>IF(OR(tblMovement[[#This Row],[Tonnes_t]]="",tblMovement[[#This Row],[Grade_gpt]]=""),0,tblMovement[[#This Row],[Tonnes_t]]*tblMovement[[#This Row],[Grade_gpt]]/cfg_TroyOz)</f>
        <v/>
      </c>
      <c r="O4570" s="59">
        <f>IF(tblMovement[[#This Row],[Is_Ore]]=1,tblMovement[[#This Row],[Contained_oz]],0)</f>
        <v/>
      </c>
    </row>
    <row r="4571">
      <c r="A4571" s="54" t="n"/>
      <c r="B4571" s="61" t="n"/>
      <c r="C4571" s="61" t="n"/>
      <c r="D4571" s="61" t="n"/>
      <c r="E4571" s="61" t="n"/>
      <c r="F4571" s="55" t="n"/>
      <c r="G4571" s="56" t="n"/>
      <c r="H4571" s="55" t="n"/>
      <c r="I4571" s="62" t="n"/>
      <c r="J4571" s="58" t="n"/>
      <c r="K4571" s="63">
        <f>IF(tblMovement[[#This Row],[Source]]="","",IFERROR(INDEX(tblSources[Type],MATCH(tblMovement[[#This Row],[Source]],tblSources[Source],0)),"?"))</f>
        <v/>
      </c>
      <c r="L4571" s="63">
        <f>IF(tblMovement[[#This Row],[Destination]]="","",IFERROR(INDEX(tblDestinations[Type],MATCH(tblMovement[[#This Row],[Destination]],tblDestinations[Destination],0)),"?"))</f>
        <v/>
      </c>
      <c r="M4571" s="64">
        <f>IF(tblMovement[[#This Row],[Material]]="","",IF(LEFT(tblMovement[[#This Row],[Material]],3)="Ore",1,0))</f>
        <v/>
      </c>
      <c r="N4571" s="59">
        <f>IF(OR(tblMovement[[#This Row],[Tonnes_t]]="",tblMovement[[#This Row],[Grade_gpt]]=""),0,tblMovement[[#This Row],[Tonnes_t]]*tblMovement[[#This Row],[Grade_gpt]]/cfg_TroyOz)</f>
        <v/>
      </c>
      <c r="O4571" s="59">
        <f>IF(tblMovement[[#This Row],[Is_Ore]]=1,tblMovement[[#This Row],[Contained_oz]],0)</f>
        <v/>
      </c>
    </row>
    <row r="4572">
      <c r="A4572" s="54" t="n"/>
      <c r="B4572" s="61" t="n"/>
      <c r="C4572" s="61" t="n"/>
      <c r="D4572" s="61" t="n"/>
      <c r="E4572" s="61" t="n"/>
      <c r="F4572" s="55" t="n"/>
      <c r="G4572" s="56" t="n"/>
      <c r="H4572" s="55" t="n"/>
      <c r="I4572" s="62" t="n"/>
      <c r="J4572" s="58" t="n"/>
      <c r="K4572" s="63">
        <f>IF(tblMovement[[#This Row],[Source]]="","",IFERROR(INDEX(tblSources[Type],MATCH(tblMovement[[#This Row],[Source]],tblSources[Source],0)),"?"))</f>
        <v/>
      </c>
      <c r="L4572" s="63">
        <f>IF(tblMovement[[#This Row],[Destination]]="","",IFERROR(INDEX(tblDestinations[Type],MATCH(tblMovement[[#This Row],[Destination]],tblDestinations[Destination],0)),"?"))</f>
        <v/>
      </c>
      <c r="M4572" s="64">
        <f>IF(tblMovement[[#This Row],[Material]]="","",IF(LEFT(tblMovement[[#This Row],[Material]],3)="Ore",1,0))</f>
        <v/>
      </c>
      <c r="N4572" s="59">
        <f>IF(OR(tblMovement[[#This Row],[Tonnes_t]]="",tblMovement[[#This Row],[Grade_gpt]]=""),0,tblMovement[[#This Row],[Tonnes_t]]*tblMovement[[#This Row],[Grade_gpt]]/cfg_TroyOz)</f>
        <v/>
      </c>
      <c r="O4572" s="59">
        <f>IF(tblMovement[[#This Row],[Is_Ore]]=1,tblMovement[[#This Row],[Contained_oz]],0)</f>
        <v/>
      </c>
    </row>
    <row r="4573">
      <c r="A4573" s="54" t="n"/>
      <c r="B4573" s="61" t="n"/>
      <c r="C4573" s="61" t="n"/>
      <c r="D4573" s="61" t="n"/>
      <c r="E4573" s="61" t="n"/>
      <c r="F4573" s="55" t="n"/>
      <c r="G4573" s="56" t="n"/>
      <c r="H4573" s="55" t="n"/>
      <c r="I4573" s="62" t="n"/>
      <c r="J4573" s="58" t="n"/>
      <c r="K4573" s="63">
        <f>IF(tblMovement[[#This Row],[Source]]="","",IFERROR(INDEX(tblSources[Type],MATCH(tblMovement[[#This Row],[Source]],tblSources[Source],0)),"?"))</f>
        <v/>
      </c>
      <c r="L4573" s="63">
        <f>IF(tblMovement[[#This Row],[Destination]]="","",IFERROR(INDEX(tblDestinations[Type],MATCH(tblMovement[[#This Row],[Destination]],tblDestinations[Destination],0)),"?"))</f>
        <v/>
      </c>
      <c r="M4573" s="64">
        <f>IF(tblMovement[[#This Row],[Material]]="","",IF(LEFT(tblMovement[[#This Row],[Material]],3)="Ore",1,0))</f>
        <v/>
      </c>
      <c r="N4573" s="59">
        <f>IF(OR(tblMovement[[#This Row],[Tonnes_t]]="",tblMovement[[#This Row],[Grade_gpt]]=""),0,tblMovement[[#This Row],[Tonnes_t]]*tblMovement[[#This Row],[Grade_gpt]]/cfg_TroyOz)</f>
        <v/>
      </c>
      <c r="O4573" s="59">
        <f>IF(tblMovement[[#This Row],[Is_Ore]]=1,tblMovement[[#This Row],[Contained_oz]],0)</f>
        <v/>
      </c>
    </row>
    <row r="4574">
      <c r="A4574" s="54" t="n"/>
      <c r="B4574" s="61" t="n"/>
      <c r="C4574" s="61" t="n"/>
      <c r="D4574" s="61" t="n"/>
      <c r="E4574" s="61" t="n"/>
      <c r="F4574" s="55" t="n"/>
      <c r="G4574" s="56" t="n"/>
      <c r="H4574" s="55" t="n"/>
      <c r="I4574" s="62" t="n"/>
      <c r="J4574" s="58" t="n"/>
      <c r="K4574" s="63">
        <f>IF(tblMovement[[#This Row],[Source]]="","",IFERROR(INDEX(tblSources[Type],MATCH(tblMovement[[#This Row],[Source]],tblSources[Source],0)),"?"))</f>
        <v/>
      </c>
      <c r="L4574" s="63">
        <f>IF(tblMovement[[#This Row],[Destination]]="","",IFERROR(INDEX(tblDestinations[Type],MATCH(tblMovement[[#This Row],[Destination]],tblDestinations[Destination],0)),"?"))</f>
        <v/>
      </c>
      <c r="M4574" s="64">
        <f>IF(tblMovement[[#This Row],[Material]]="","",IF(LEFT(tblMovement[[#This Row],[Material]],3)="Ore",1,0))</f>
        <v/>
      </c>
      <c r="N4574" s="59">
        <f>IF(OR(tblMovement[[#This Row],[Tonnes_t]]="",tblMovement[[#This Row],[Grade_gpt]]=""),0,tblMovement[[#This Row],[Tonnes_t]]*tblMovement[[#This Row],[Grade_gpt]]/cfg_TroyOz)</f>
        <v/>
      </c>
      <c r="O4574" s="59">
        <f>IF(tblMovement[[#This Row],[Is_Ore]]=1,tblMovement[[#This Row],[Contained_oz]],0)</f>
        <v/>
      </c>
    </row>
    <row r="4575">
      <c r="A4575" s="54" t="n"/>
      <c r="B4575" s="61" t="n"/>
      <c r="C4575" s="61" t="n"/>
      <c r="D4575" s="61" t="n"/>
      <c r="E4575" s="61" t="n"/>
      <c r="F4575" s="55" t="n"/>
      <c r="G4575" s="56" t="n"/>
      <c r="H4575" s="55" t="n"/>
      <c r="I4575" s="62" t="n"/>
      <c r="J4575" s="58" t="n"/>
      <c r="K4575" s="63">
        <f>IF(tblMovement[[#This Row],[Source]]="","",IFERROR(INDEX(tblSources[Type],MATCH(tblMovement[[#This Row],[Source]],tblSources[Source],0)),"?"))</f>
        <v/>
      </c>
      <c r="L4575" s="63">
        <f>IF(tblMovement[[#This Row],[Destination]]="","",IFERROR(INDEX(tblDestinations[Type],MATCH(tblMovement[[#This Row],[Destination]],tblDestinations[Destination],0)),"?"))</f>
        <v/>
      </c>
      <c r="M4575" s="64">
        <f>IF(tblMovement[[#This Row],[Material]]="","",IF(LEFT(tblMovement[[#This Row],[Material]],3)="Ore",1,0))</f>
        <v/>
      </c>
      <c r="N4575" s="59">
        <f>IF(OR(tblMovement[[#This Row],[Tonnes_t]]="",tblMovement[[#This Row],[Grade_gpt]]=""),0,tblMovement[[#This Row],[Tonnes_t]]*tblMovement[[#This Row],[Grade_gpt]]/cfg_TroyOz)</f>
        <v/>
      </c>
      <c r="O4575" s="59">
        <f>IF(tblMovement[[#This Row],[Is_Ore]]=1,tblMovement[[#This Row],[Contained_oz]],0)</f>
        <v/>
      </c>
    </row>
    <row r="4576">
      <c r="A4576" s="54" t="n"/>
      <c r="B4576" s="61" t="n"/>
      <c r="C4576" s="61" t="n"/>
      <c r="D4576" s="61" t="n"/>
      <c r="E4576" s="61" t="n"/>
      <c r="F4576" s="55" t="n"/>
      <c r="G4576" s="56" t="n"/>
      <c r="H4576" s="55" t="n"/>
      <c r="I4576" s="62" t="n"/>
      <c r="J4576" s="58" t="n"/>
      <c r="K4576" s="63">
        <f>IF(tblMovement[[#This Row],[Source]]="","",IFERROR(INDEX(tblSources[Type],MATCH(tblMovement[[#This Row],[Source]],tblSources[Source],0)),"?"))</f>
        <v/>
      </c>
      <c r="L4576" s="63">
        <f>IF(tblMovement[[#This Row],[Destination]]="","",IFERROR(INDEX(tblDestinations[Type],MATCH(tblMovement[[#This Row],[Destination]],tblDestinations[Destination],0)),"?"))</f>
        <v/>
      </c>
      <c r="M4576" s="64">
        <f>IF(tblMovement[[#This Row],[Material]]="","",IF(LEFT(tblMovement[[#This Row],[Material]],3)="Ore",1,0))</f>
        <v/>
      </c>
      <c r="N4576" s="59">
        <f>IF(OR(tblMovement[[#This Row],[Tonnes_t]]="",tblMovement[[#This Row],[Grade_gpt]]=""),0,tblMovement[[#This Row],[Tonnes_t]]*tblMovement[[#This Row],[Grade_gpt]]/cfg_TroyOz)</f>
        <v/>
      </c>
      <c r="O4576" s="59">
        <f>IF(tblMovement[[#This Row],[Is_Ore]]=1,tblMovement[[#This Row],[Contained_oz]],0)</f>
        <v/>
      </c>
    </row>
    <row r="4577">
      <c r="A4577" s="54" t="n"/>
      <c r="B4577" s="61" t="n"/>
      <c r="C4577" s="61" t="n"/>
      <c r="D4577" s="61" t="n"/>
      <c r="E4577" s="61" t="n"/>
      <c r="F4577" s="55" t="n"/>
      <c r="G4577" s="56" t="n"/>
      <c r="H4577" s="55" t="n"/>
      <c r="I4577" s="62" t="n"/>
      <c r="J4577" s="58" t="n"/>
      <c r="K4577" s="63">
        <f>IF(tblMovement[[#This Row],[Source]]="","",IFERROR(INDEX(tblSources[Type],MATCH(tblMovement[[#This Row],[Source]],tblSources[Source],0)),"?"))</f>
        <v/>
      </c>
      <c r="L4577" s="63">
        <f>IF(tblMovement[[#This Row],[Destination]]="","",IFERROR(INDEX(tblDestinations[Type],MATCH(tblMovement[[#This Row],[Destination]],tblDestinations[Destination],0)),"?"))</f>
        <v/>
      </c>
      <c r="M4577" s="64">
        <f>IF(tblMovement[[#This Row],[Material]]="","",IF(LEFT(tblMovement[[#This Row],[Material]],3)="Ore",1,0))</f>
        <v/>
      </c>
      <c r="N4577" s="59">
        <f>IF(OR(tblMovement[[#This Row],[Tonnes_t]]="",tblMovement[[#This Row],[Grade_gpt]]=""),0,tblMovement[[#This Row],[Tonnes_t]]*tblMovement[[#This Row],[Grade_gpt]]/cfg_TroyOz)</f>
        <v/>
      </c>
      <c r="O4577" s="59">
        <f>IF(tblMovement[[#This Row],[Is_Ore]]=1,tblMovement[[#This Row],[Contained_oz]],0)</f>
        <v/>
      </c>
    </row>
    <row r="4578">
      <c r="A4578" s="54" t="n"/>
      <c r="B4578" s="61" t="n"/>
      <c r="C4578" s="61" t="n"/>
      <c r="D4578" s="61" t="n"/>
      <c r="E4578" s="61" t="n"/>
      <c r="F4578" s="55" t="n"/>
      <c r="G4578" s="56" t="n"/>
      <c r="H4578" s="55" t="n"/>
      <c r="I4578" s="62" t="n"/>
      <c r="J4578" s="58" t="n"/>
      <c r="K4578" s="63">
        <f>IF(tblMovement[[#This Row],[Source]]="","",IFERROR(INDEX(tblSources[Type],MATCH(tblMovement[[#This Row],[Source]],tblSources[Source],0)),"?"))</f>
        <v/>
      </c>
      <c r="L4578" s="63">
        <f>IF(tblMovement[[#This Row],[Destination]]="","",IFERROR(INDEX(tblDestinations[Type],MATCH(tblMovement[[#This Row],[Destination]],tblDestinations[Destination],0)),"?"))</f>
        <v/>
      </c>
      <c r="M4578" s="64">
        <f>IF(tblMovement[[#This Row],[Material]]="","",IF(LEFT(tblMovement[[#This Row],[Material]],3)="Ore",1,0))</f>
        <v/>
      </c>
      <c r="N4578" s="59">
        <f>IF(OR(tblMovement[[#This Row],[Tonnes_t]]="",tblMovement[[#This Row],[Grade_gpt]]=""),0,tblMovement[[#This Row],[Tonnes_t]]*tblMovement[[#This Row],[Grade_gpt]]/cfg_TroyOz)</f>
        <v/>
      </c>
      <c r="O4578" s="59">
        <f>IF(tblMovement[[#This Row],[Is_Ore]]=1,tblMovement[[#This Row],[Contained_oz]],0)</f>
        <v/>
      </c>
    </row>
    <row r="4579">
      <c r="A4579" s="54" t="n"/>
      <c r="B4579" s="61" t="n"/>
      <c r="C4579" s="61" t="n"/>
      <c r="D4579" s="61" t="n"/>
      <c r="E4579" s="61" t="n"/>
      <c r="F4579" s="55" t="n"/>
      <c r="G4579" s="56" t="n"/>
      <c r="H4579" s="55" t="n"/>
      <c r="I4579" s="62" t="n"/>
      <c r="J4579" s="58" t="n"/>
      <c r="K4579" s="63">
        <f>IF(tblMovement[[#This Row],[Source]]="","",IFERROR(INDEX(tblSources[Type],MATCH(tblMovement[[#This Row],[Source]],tblSources[Source],0)),"?"))</f>
        <v/>
      </c>
      <c r="L4579" s="63">
        <f>IF(tblMovement[[#This Row],[Destination]]="","",IFERROR(INDEX(tblDestinations[Type],MATCH(tblMovement[[#This Row],[Destination]],tblDestinations[Destination],0)),"?"))</f>
        <v/>
      </c>
      <c r="M4579" s="64">
        <f>IF(tblMovement[[#This Row],[Material]]="","",IF(LEFT(tblMovement[[#This Row],[Material]],3)="Ore",1,0))</f>
        <v/>
      </c>
      <c r="N4579" s="59">
        <f>IF(OR(tblMovement[[#This Row],[Tonnes_t]]="",tblMovement[[#This Row],[Grade_gpt]]=""),0,tblMovement[[#This Row],[Tonnes_t]]*tblMovement[[#This Row],[Grade_gpt]]/cfg_TroyOz)</f>
        <v/>
      </c>
      <c r="O4579" s="59">
        <f>IF(tblMovement[[#This Row],[Is_Ore]]=1,tblMovement[[#This Row],[Contained_oz]],0)</f>
        <v/>
      </c>
    </row>
    <row r="4580">
      <c r="A4580" s="54" t="n"/>
      <c r="B4580" s="61" t="n"/>
      <c r="C4580" s="61" t="n"/>
      <c r="D4580" s="61" t="n"/>
      <c r="E4580" s="61" t="n"/>
      <c r="F4580" s="55" t="n"/>
      <c r="G4580" s="56" t="n"/>
      <c r="H4580" s="55" t="n"/>
      <c r="I4580" s="62" t="n"/>
      <c r="J4580" s="58" t="n"/>
      <c r="K4580" s="63">
        <f>IF(tblMovement[[#This Row],[Source]]="","",IFERROR(INDEX(tblSources[Type],MATCH(tblMovement[[#This Row],[Source]],tblSources[Source],0)),"?"))</f>
        <v/>
      </c>
      <c r="L4580" s="63">
        <f>IF(tblMovement[[#This Row],[Destination]]="","",IFERROR(INDEX(tblDestinations[Type],MATCH(tblMovement[[#This Row],[Destination]],tblDestinations[Destination],0)),"?"))</f>
        <v/>
      </c>
      <c r="M4580" s="64">
        <f>IF(tblMovement[[#This Row],[Material]]="","",IF(LEFT(tblMovement[[#This Row],[Material]],3)="Ore",1,0))</f>
        <v/>
      </c>
      <c r="N4580" s="59">
        <f>IF(OR(tblMovement[[#This Row],[Tonnes_t]]="",tblMovement[[#This Row],[Grade_gpt]]=""),0,tblMovement[[#This Row],[Tonnes_t]]*tblMovement[[#This Row],[Grade_gpt]]/cfg_TroyOz)</f>
        <v/>
      </c>
      <c r="O4580" s="59">
        <f>IF(tblMovement[[#This Row],[Is_Ore]]=1,tblMovement[[#This Row],[Contained_oz]],0)</f>
        <v/>
      </c>
    </row>
    <row r="4581">
      <c r="A4581" s="54" t="n"/>
      <c r="B4581" s="61" t="n"/>
      <c r="C4581" s="61" t="n"/>
      <c r="D4581" s="61" t="n"/>
      <c r="E4581" s="61" t="n"/>
      <c r="F4581" s="55" t="n"/>
      <c r="G4581" s="56" t="n"/>
      <c r="H4581" s="55" t="n"/>
      <c r="I4581" s="62" t="n"/>
      <c r="J4581" s="58" t="n"/>
      <c r="K4581" s="63">
        <f>IF(tblMovement[[#This Row],[Source]]="","",IFERROR(INDEX(tblSources[Type],MATCH(tblMovement[[#This Row],[Source]],tblSources[Source],0)),"?"))</f>
        <v/>
      </c>
      <c r="L4581" s="63">
        <f>IF(tblMovement[[#This Row],[Destination]]="","",IFERROR(INDEX(tblDestinations[Type],MATCH(tblMovement[[#This Row],[Destination]],tblDestinations[Destination],0)),"?"))</f>
        <v/>
      </c>
      <c r="M4581" s="64">
        <f>IF(tblMovement[[#This Row],[Material]]="","",IF(LEFT(tblMovement[[#This Row],[Material]],3)="Ore",1,0))</f>
        <v/>
      </c>
      <c r="N4581" s="59">
        <f>IF(OR(tblMovement[[#This Row],[Tonnes_t]]="",tblMovement[[#This Row],[Grade_gpt]]=""),0,tblMovement[[#This Row],[Tonnes_t]]*tblMovement[[#This Row],[Grade_gpt]]/cfg_TroyOz)</f>
        <v/>
      </c>
      <c r="O4581" s="59">
        <f>IF(tblMovement[[#This Row],[Is_Ore]]=1,tblMovement[[#This Row],[Contained_oz]],0)</f>
        <v/>
      </c>
    </row>
    <row r="4582">
      <c r="A4582" s="54" t="n"/>
      <c r="B4582" s="61" t="n"/>
      <c r="C4582" s="61" t="n"/>
      <c r="D4582" s="61" t="n"/>
      <c r="E4582" s="61" t="n"/>
      <c r="F4582" s="55" t="n"/>
      <c r="G4582" s="56" t="n"/>
      <c r="H4582" s="55" t="n"/>
      <c r="I4582" s="62" t="n"/>
      <c r="J4582" s="58" t="n"/>
      <c r="K4582" s="63">
        <f>IF(tblMovement[[#This Row],[Source]]="","",IFERROR(INDEX(tblSources[Type],MATCH(tblMovement[[#This Row],[Source]],tblSources[Source],0)),"?"))</f>
        <v/>
      </c>
      <c r="L4582" s="63">
        <f>IF(tblMovement[[#This Row],[Destination]]="","",IFERROR(INDEX(tblDestinations[Type],MATCH(tblMovement[[#This Row],[Destination]],tblDestinations[Destination],0)),"?"))</f>
        <v/>
      </c>
      <c r="M4582" s="64">
        <f>IF(tblMovement[[#This Row],[Material]]="","",IF(LEFT(tblMovement[[#This Row],[Material]],3)="Ore",1,0))</f>
        <v/>
      </c>
      <c r="N4582" s="59">
        <f>IF(OR(tblMovement[[#This Row],[Tonnes_t]]="",tblMovement[[#This Row],[Grade_gpt]]=""),0,tblMovement[[#This Row],[Tonnes_t]]*tblMovement[[#This Row],[Grade_gpt]]/cfg_TroyOz)</f>
        <v/>
      </c>
      <c r="O4582" s="59">
        <f>IF(tblMovement[[#This Row],[Is_Ore]]=1,tblMovement[[#This Row],[Contained_oz]],0)</f>
        <v/>
      </c>
    </row>
    <row r="4583">
      <c r="A4583" s="54" t="n"/>
      <c r="B4583" s="61" t="n"/>
      <c r="C4583" s="61" t="n"/>
      <c r="D4583" s="61" t="n"/>
      <c r="E4583" s="61" t="n"/>
      <c r="F4583" s="55" t="n"/>
      <c r="G4583" s="56" t="n"/>
      <c r="H4583" s="55" t="n"/>
      <c r="I4583" s="62" t="n"/>
      <c r="J4583" s="58" t="n"/>
      <c r="K4583" s="63">
        <f>IF(tblMovement[[#This Row],[Source]]="","",IFERROR(INDEX(tblSources[Type],MATCH(tblMovement[[#This Row],[Source]],tblSources[Source],0)),"?"))</f>
        <v/>
      </c>
      <c r="L4583" s="63">
        <f>IF(tblMovement[[#This Row],[Destination]]="","",IFERROR(INDEX(tblDestinations[Type],MATCH(tblMovement[[#This Row],[Destination]],tblDestinations[Destination],0)),"?"))</f>
        <v/>
      </c>
      <c r="M4583" s="64">
        <f>IF(tblMovement[[#This Row],[Material]]="","",IF(LEFT(tblMovement[[#This Row],[Material]],3)="Ore",1,0))</f>
        <v/>
      </c>
      <c r="N4583" s="59">
        <f>IF(OR(tblMovement[[#This Row],[Tonnes_t]]="",tblMovement[[#This Row],[Grade_gpt]]=""),0,tblMovement[[#This Row],[Tonnes_t]]*tblMovement[[#This Row],[Grade_gpt]]/cfg_TroyOz)</f>
        <v/>
      </c>
      <c r="O4583" s="59">
        <f>IF(tblMovement[[#This Row],[Is_Ore]]=1,tblMovement[[#This Row],[Contained_oz]],0)</f>
        <v/>
      </c>
    </row>
    <row r="4584">
      <c r="A4584" s="54" t="n"/>
      <c r="B4584" s="61" t="n"/>
      <c r="C4584" s="61" t="n"/>
      <c r="D4584" s="61" t="n"/>
      <c r="E4584" s="61" t="n"/>
      <c r="F4584" s="55" t="n"/>
      <c r="G4584" s="56" t="n"/>
      <c r="H4584" s="55" t="n"/>
      <c r="I4584" s="62" t="n"/>
      <c r="J4584" s="58" t="n"/>
      <c r="K4584" s="63">
        <f>IF(tblMovement[[#This Row],[Source]]="","",IFERROR(INDEX(tblSources[Type],MATCH(tblMovement[[#This Row],[Source]],tblSources[Source],0)),"?"))</f>
        <v/>
      </c>
      <c r="L4584" s="63">
        <f>IF(tblMovement[[#This Row],[Destination]]="","",IFERROR(INDEX(tblDestinations[Type],MATCH(tblMovement[[#This Row],[Destination]],tblDestinations[Destination],0)),"?"))</f>
        <v/>
      </c>
      <c r="M4584" s="64">
        <f>IF(tblMovement[[#This Row],[Material]]="","",IF(LEFT(tblMovement[[#This Row],[Material]],3)="Ore",1,0))</f>
        <v/>
      </c>
      <c r="N4584" s="59">
        <f>IF(OR(tblMovement[[#This Row],[Tonnes_t]]="",tblMovement[[#This Row],[Grade_gpt]]=""),0,tblMovement[[#This Row],[Tonnes_t]]*tblMovement[[#This Row],[Grade_gpt]]/cfg_TroyOz)</f>
        <v/>
      </c>
      <c r="O4584" s="59">
        <f>IF(tblMovement[[#This Row],[Is_Ore]]=1,tblMovement[[#This Row],[Contained_oz]],0)</f>
        <v/>
      </c>
    </row>
    <row r="4585">
      <c r="A4585" s="54" t="n"/>
      <c r="B4585" s="61" t="n"/>
      <c r="C4585" s="61" t="n"/>
      <c r="D4585" s="61" t="n"/>
      <c r="E4585" s="61" t="n"/>
      <c r="F4585" s="55" t="n"/>
      <c r="G4585" s="56" t="n"/>
      <c r="H4585" s="55" t="n"/>
      <c r="I4585" s="62" t="n"/>
      <c r="J4585" s="58" t="n"/>
      <c r="K4585" s="63">
        <f>IF(tblMovement[[#This Row],[Source]]="","",IFERROR(INDEX(tblSources[Type],MATCH(tblMovement[[#This Row],[Source]],tblSources[Source],0)),"?"))</f>
        <v/>
      </c>
      <c r="L4585" s="63">
        <f>IF(tblMovement[[#This Row],[Destination]]="","",IFERROR(INDEX(tblDestinations[Type],MATCH(tblMovement[[#This Row],[Destination]],tblDestinations[Destination],0)),"?"))</f>
        <v/>
      </c>
      <c r="M4585" s="64">
        <f>IF(tblMovement[[#This Row],[Material]]="","",IF(LEFT(tblMovement[[#This Row],[Material]],3)="Ore",1,0))</f>
        <v/>
      </c>
      <c r="N4585" s="59">
        <f>IF(OR(tblMovement[[#This Row],[Tonnes_t]]="",tblMovement[[#This Row],[Grade_gpt]]=""),0,tblMovement[[#This Row],[Tonnes_t]]*tblMovement[[#This Row],[Grade_gpt]]/cfg_TroyOz)</f>
        <v/>
      </c>
      <c r="O4585" s="59">
        <f>IF(tblMovement[[#This Row],[Is_Ore]]=1,tblMovement[[#This Row],[Contained_oz]],0)</f>
        <v/>
      </c>
    </row>
    <row r="4586">
      <c r="A4586" s="54" t="n"/>
      <c r="B4586" s="61" t="n"/>
      <c r="C4586" s="61" t="n"/>
      <c r="D4586" s="61" t="n"/>
      <c r="E4586" s="61" t="n"/>
      <c r="F4586" s="55" t="n"/>
      <c r="G4586" s="56" t="n"/>
      <c r="H4586" s="55" t="n"/>
      <c r="I4586" s="62" t="n"/>
      <c r="J4586" s="58" t="n"/>
      <c r="K4586" s="63">
        <f>IF(tblMovement[[#This Row],[Source]]="","",IFERROR(INDEX(tblSources[Type],MATCH(tblMovement[[#This Row],[Source]],tblSources[Source],0)),"?"))</f>
        <v/>
      </c>
      <c r="L4586" s="63">
        <f>IF(tblMovement[[#This Row],[Destination]]="","",IFERROR(INDEX(tblDestinations[Type],MATCH(tblMovement[[#This Row],[Destination]],tblDestinations[Destination],0)),"?"))</f>
        <v/>
      </c>
      <c r="M4586" s="64">
        <f>IF(tblMovement[[#This Row],[Material]]="","",IF(LEFT(tblMovement[[#This Row],[Material]],3)="Ore",1,0))</f>
        <v/>
      </c>
      <c r="N4586" s="59">
        <f>IF(OR(tblMovement[[#This Row],[Tonnes_t]]="",tblMovement[[#This Row],[Grade_gpt]]=""),0,tblMovement[[#This Row],[Tonnes_t]]*tblMovement[[#This Row],[Grade_gpt]]/cfg_TroyOz)</f>
        <v/>
      </c>
      <c r="O4586" s="59">
        <f>IF(tblMovement[[#This Row],[Is_Ore]]=1,tblMovement[[#This Row],[Contained_oz]],0)</f>
        <v/>
      </c>
    </row>
    <row r="4587">
      <c r="A4587" s="54" t="n"/>
      <c r="B4587" s="61" t="n"/>
      <c r="C4587" s="61" t="n"/>
      <c r="D4587" s="61" t="n"/>
      <c r="E4587" s="61" t="n"/>
      <c r="F4587" s="55" t="n"/>
      <c r="G4587" s="56" t="n"/>
      <c r="H4587" s="55" t="n"/>
      <c r="I4587" s="62" t="n"/>
      <c r="J4587" s="58" t="n"/>
      <c r="K4587" s="63">
        <f>IF(tblMovement[[#This Row],[Source]]="","",IFERROR(INDEX(tblSources[Type],MATCH(tblMovement[[#This Row],[Source]],tblSources[Source],0)),"?"))</f>
        <v/>
      </c>
      <c r="L4587" s="63">
        <f>IF(tblMovement[[#This Row],[Destination]]="","",IFERROR(INDEX(tblDestinations[Type],MATCH(tblMovement[[#This Row],[Destination]],tblDestinations[Destination],0)),"?"))</f>
        <v/>
      </c>
      <c r="M4587" s="64">
        <f>IF(tblMovement[[#This Row],[Material]]="","",IF(LEFT(tblMovement[[#This Row],[Material]],3)="Ore",1,0))</f>
        <v/>
      </c>
      <c r="N4587" s="59">
        <f>IF(OR(tblMovement[[#This Row],[Tonnes_t]]="",tblMovement[[#This Row],[Grade_gpt]]=""),0,tblMovement[[#This Row],[Tonnes_t]]*tblMovement[[#This Row],[Grade_gpt]]/cfg_TroyOz)</f>
        <v/>
      </c>
      <c r="O4587" s="59">
        <f>IF(tblMovement[[#This Row],[Is_Ore]]=1,tblMovement[[#This Row],[Contained_oz]],0)</f>
        <v/>
      </c>
    </row>
    <row r="4588">
      <c r="A4588" s="54" t="n"/>
      <c r="B4588" s="61" t="n"/>
      <c r="C4588" s="61" t="n"/>
      <c r="D4588" s="61" t="n"/>
      <c r="E4588" s="61" t="n"/>
      <c r="F4588" s="55" t="n"/>
      <c r="G4588" s="56" t="n"/>
      <c r="H4588" s="55" t="n"/>
      <c r="I4588" s="62" t="n"/>
      <c r="J4588" s="58" t="n"/>
      <c r="K4588" s="63">
        <f>IF(tblMovement[[#This Row],[Source]]="","",IFERROR(INDEX(tblSources[Type],MATCH(tblMovement[[#This Row],[Source]],tblSources[Source],0)),"?"))</f>
        <v/>
      </c>
      <c r="L4588" s="63">
        <f>IF(tblMovement[[#This Row],[Destination]]="","",IFERROR(INDEX(tblDestinations[Type],MATCH(tblMovement[[#This Row],[Destination]],tblDestinations[Destination],0)),"?"))</f>
        <v/>
      </c>
      <c r="M4588" s="64">
        <f>IF(tblMovement[[#This Row],[Material]]="","",IF(LEFT(tblMovement[[#This Row],[Material]],3)="Ore",1,0))</f>
        <v/>
      </c>
      <c r="N4588" s="59">
        <f>IF(OR(tblMovement[[#This Row],[Tonnes_t]]="",tblMovement[[#This Row],[Grade_gpt]]=""),0,tblMovement[[#This Row],[Tonnes_t]]*tblMovement[[#This Row],[Grade_gpt]]/cfg_TroyOz)</f>
        <v/>
      </c>
      <c r="O4588" s="59">
        <f>IF(tblMovement[[#This Row],[Is_Ore]]=1,tblMovement[[#This Row],[Contained_oz]],0)</f>
        <v/>
      </c>
    </row>
    <row r="4589">
      <c r="A4589" s="54" t="n"/>
      <c r="B4589" s="61" t="n"/>
      <c r="C4589" s="61" t="n"/>
      <c r="D4589" s="61" t="n"/>
      <c r="E4589" s="61" t="n"/>
      <c r="F4589" s="55" t="n"/>
      <c r="G4589" s="56" t="n"/>
      <c r="H4589" s="55" t="n"/>
      <c r="I4589" s="62" t="n"/>
      <c r="J4589" s="58" t="n"/>
      <c r="K4589" s="63">
        <f>IF(tblMovement[[#This Row],[Source]]="","",IFERROR(INDEX(tblSources[Type],MATCH(tblMovement[[#This Row],[Source]],tblSources[Source],0)),"?"))</f>
        <v/>
      </c>
      <c r="L4589" s="63">
        <f>IF(tblMovement[[#This Row],[Destination]]="","",IFERROR(INDEX(tblDestinations[Type],MATCH(tblMovement[[#This Row],[Destination]],tblDestinations[Destination],0)),"?"))</f>
        <v/>
      </c>
      <c r="M4589" s="64">
        <f>IF(tblMovement[[#This Row],[Material]]="","",IF(LEFT(tblMovement[[#This Row],[Material]],3)="Ore",1,0))</f>
        <v/>
      </c>
      <c r="N4589" s="59">
        <f>IF(OR(tblMovement[[#This Row],[Tonnes_t]]="",tblMovement[[#This Row],[Grade_gpt]]=""),0,tblMovement[[#This Row],[Tonnes_t]]*tblMovement[[#This Row],[Grade_gpt]]/cfg_TroyOz)</f>
        <v/>
      </c>
      <c r="O4589" s="59">
        <f>IF(tblMovement[[#This Row],[Is_Ore]]=1,tblMovement[[#This Row],[Contained_oz]],0)</f>
        <v/>
      </c>
    </row>
    <row r="4590">
      <c r="A4590" s="54" t="n"/>
      <c r="B4590" s="61" t="n"/>
      <c r="C4590" s="61" t="n"/>
      <c r="D4590" s="61" t="n"/>
      <c r="E4590" s="61" t="n"/>
      <c r="F4590" s="55" t="n"/>
      <c r="G4590" s="56" t="n"/>
      <c r="H4590" s="55" t="n"/>
      <c r="I4590" s="62" t="n"/>
      <c r="J4590" s="58" t="n"/>
      <c r="K4590" s="63">
        <f>IF(tblMovement[[#This Row],[Source]]="","",IFERROR(INDEX(tblSources[Type],MATCH(tblMovement[[#This Row],[Source]],tblSources[Source],0)),"?"))</f>
        <v/>
      </c>
      <c r="L4590" s="63">
        <f>IF(tblMovement[[#This Row],[Destination]]="","",IFERROR(INDEX(tblDestinations[Type],MATCH(tblMovement[[#This Row],[Destination]],tblDestinations[Destination],0)),"?"))</f>
        <v/>
      </c>
      <c r="M4590" s="64">
        <f>IF(tblMovement[[#This Row],[Material]]="","",IF(LEFT(tblMovement[[#This Row],[Material]],3)="Ore",1,0))</f>
        <v/>
      </c>
      <c r="N4590" s="59">
        <f>IF(OR(tblMovement[[#This Row],[Tonnes_t]]="",tblMovement[[#This Row],[Grade_gpt]]=""),0,tblMovement[[#This Row],[Tonnes_t]]*tblMovement[[#This Row],[Grade_gpt]]/cfg_TroyOz)</f>
        <v/>
      </c>
      <c r="O4590" s="59">
        <f>IF(tblMovement[[#This Row],[Is_Ore]]=1,tblMovement[[#This Row],[Contained_oz]],0)</f>
        <v/>
      </c>
    </row>
    <row r="4591">
      <c r="A4591" s="54" t="n"/>
      <c r="B4591" s="61" t="n"/>
      <c r="C4591" s="61" t="n"/>
      <c r="D4591" s="61" t="n"/>
      <c r="E4591" s="61" t="n"/>
      <c r="F4591" s="55" t="n"/>
      <c r="G4591" s="56" t="n"/>
      <c r="H4591" s="55" t="n"/>
      <c r="I4591" s="62" t="n"/>
      <c r="J4591" s="58" t="n"/>
      <c r="K4591" s="63">
        <f>IF(tblMovement[[#This Row],[Source]]="","",IFERROR(INDEX(tblSources[Type],MATCH(tblMovement[[#This Row],[Source]],tblSources[Source],0)),"?"))</f>
        <v/>
      </c>
      <c r="L4591" s="63">
        <f>IF(tblMovement[[#This Row],[Destination]]="","",IFERROR(INDEX(tblDestinations[Type],MATCH(tblMovement[[#This Row],[Destination]],tblDestinations[Destination],0)),"?"))</f>
        <v/>
      </c>
      <c r="M4591" s="64">
        <f>IF(tblMovement[[#This Row],[Material]]="","",IF(LEFT(tblMovement[[#This Row],[Material]],3)="Ore",1,0))</f>
        <v/>
      </c>
      <c r="N4591" s="59">
        <f>IF(OR(tblMovement[[#This Row],[Tonnes_t]]="",tblMovement[[#This Row],[Grade_gpt]]=""),0,tblMovement[[#This Row],[Tonnes_t]]*tblMovement[[#This Row],[Grade_gpt]]/cfg_TroyOz)</f>
        <v/>
      </c>
      <c r="O4591" s="59">
        <f>IF(tblMovement[[#This Row],[Is_Ore]]=1,tblMovement[[#This Row],[Contained_oz]],0)</f>
        <v/>
      </c>
    </row>
    <row r="4592">
      <c r="A4592" s="54" t="n"/>
      <c r="B4592" s="61" t="n"/>
      <c r="C4592" s="61" t="n"/>
      <c r="D4592" s="61" t="n"/>
      <c r="E4592" s="61" t="n"/>
      <c r="F4592" s="55" t="n"/>
      <c r="G4592" s="56" t="n"/>
      <c r="H4592" s="55" t="n"/>
      <c r="I4592" s="62" t="n"/>
      <c r="J4592" s="58" t="n"/>
      <c r="K4592" s="63">
        <f>IF(tblMovement[[#This Row],[Source]]="","",IFERROR(INDEX(tblSources[Type],MATCH(tblMovement[[#This Row],[Source]],tblSources[Source],0)),"?"))</f>
        <v/>
      </c>
      <c r="L4592" s="63">
        <f>IF(tblMovement[[#This Row],[Destination]]="","",IFERROR(INDEX(tblDestinations[Type],MATCH(tblMovement[[#This Row],[Destination]],tblDestinations[Destination],0)),"?"))</f>
        <v/>
      </c>
      <c r="M4592" s="64">
        <f>IF(tblMovement[[#This Row],[Material]]="","",IF(LEFT(tblMovement[[#This Row],[Material]],3)="Ore",1,0))</f>
        <v/>
      </c>
      <c r="N4592" s="59">
        <f>IF(OR(tblMovement[[#This Row],[Tonnes_t]]="",tblMovement[[#This Row],[Grade_gpt]]=""),0,tblMovement[[#This Row],[Tonnes_t]]*tblMovement[[#This Row],[Grade_gpt]]/cfg_TroyOz)</f>
        <v/>
      </c>
      <c r="O4592" s="59">
        <f>IF(tblMovement[[#This Row],[Is_Ore]]=1,tblMovement[[#This Row],[Contained_oz]],0)</f>
        <v/>
      </c>
    </row>
    <row r="4593">
      <c r="A4593" s="54" t="n"/>
      <c r="B4593" s="61" t="n"/>
      <c r="C4593" s="61" t="n"/>
      <c r="D4593" s="61" t="n"/>
      <c r="E4593" s="61" t="n"/>
      <c r="F4593" s="55" t="n"/>
      <c r="G4593" s="56" t="n"/>
      <c r="H4593" s="55" t="n"/>
      <c r="I4593" s="62" t="n"/>
      <c r="J4593" s="58" t="n"/>
      <c r="K4593" s="63">
        <f>IF(tblMovement[[#This Row],[Source]]="","",IFERROR(INDEX(tblSources[Type],MATCH(tblMovement[[#This Row],[Source]],tblSources[Source],0)),"?"))</f>
        <v/>
      </c>
      <c r="L4593" s="63">
        <f>IF(tblMovement[[#This Row],[Destination]]="","",IFERROR(INDEX(tblDestinations[Type],MATCH(tblMovement[[#This Row],[Destination]],tblDestinations[Destination],0)),"?"))</f>
        <v/>
      </c>
      <c r="M4593" s="64">
        <f>IF(tblMovement[[#This Row],[Material]]="","",IF(LEFT(tblMovement[[#This Row],[Material]],3)="Ore",1,0))</f>
        <v/>
      </c>
      <c r="N4593" s="59">
        <f>IF(OR(tblMovement[[#This Row],[Tonnes_t]]="",tblMovement[[#This Row],[Grade_gpt]]=""),0,tblMovement[[#This Row],[Tonnes_t]]*tblMovement[[#This Row],[Grade_gpt]]/cfg_TroyOz)</f>
        <v/>
      </c>
      <c r="O4593" s="59">
        <f>IF(tblMovement[[#This Row],[Is_Ore]]=1,tblMovement[[#This Row],[Contained_oz]],0)</f>
        <v/>
      </c>
    </row>
    <row r="4594">
      <c r="A4594" s="54" t="n"/>
      <c r="B4594" s="61" t="n"/>
      <c r="C4594" s="61" t="n"/>
      <c r="D4594" s="61" t="n"/>
      <c r="E4594" s="61" t="n"/>
      <c r="F4594" s="55" t="n"/>
      <c r="G4594" s="56" t="n"/>
      <c r="H4594" s="55" t="n"/>
      <c r="I4594" s="62" t="n"/>
      <c r="J4594" s="58" t="n"/>
      <c r="K4594" s="63">
        <f>IF(tblMovement[[#This Row],[Source]]="","",IFERROR(INDEX(tblSources[Type],MATCH(tblMovement[[#This Row],[Source]],tblSources[Source],0)),"?"))</f>
        <v/>
      </c>
      <c r="L4594" s="63">
        <f>IF(tblMovement[[#This Row],[Destination]]="","",IFERROR(INDEX(tblDestinations[Type],MATCH(tblMovement[[#This Row],[Destination]],tblDestinations[Destination],0)),"?"))</f>
        <v/>
      </c>
      <c r="M4594" s="64">
        <f>IF(tblMovement[[#This Row],[Material]]="","",IF(LEFT(tblMovement[[#This Row],[Material]],3)="Ore",1,0))</f>
        <v/>
      </c>
      <c r="N4594" s="59">
        <f>IF(OR(tblMovement[[#This Row],[Tonnes_t]]="",tblMovement[[#This Row],[Grade_gpt]]=""),0,tblMovement[[#This Row],[Tonnes_t]]*tblMovement[[#This Row],[Grade_gpt]]/cfg_TroyOz)</f>
        <v/>
      </c>
      <c r="O4594" s="59">
        <f>IF(tblMovement[[#This Row],[Is_Ore]]=1,tblMovement[[#This Row],[Contained_oz]],0)</f>
        <v/>
      </c>
    </row>
    <row r="4595">
      <c r="A4595" s="54" t="n"/>
      <c r="B4595" s="61" t="n"/>
      <c r="C4595" s="61" t="n"/>
      <c r="D4595" s="61" t="n"/>
      <c r="E4595" s="61" t="n"/>
      <c r="F4595" s="55" t="n"/>
      <c r="G4595" s="56" t="n"/>
      <c r="H4595" s="55" t="n"/>
      <c r="I4595" s="62" t="n"/>
      <c r="J4595" s="58" t="n"/>
      <c r="K4595" s="63">
        <f>IF(tblMovement[[#This Row],[Source]]="","",IFERROR(INDEX(tblSources[Type],MATCH(tblMovement[[#This Row],[Source]],tblSources[Source],0)),"?"))</f>
        <v/>
      </c>
      <c r="L4595" s="63">
        <f>IF(tblMovement[[#This Row],[Destination]]="","",IFERROR(INDEX(tblDestinations[Type],MATCH(tblMovement[[#This Row],[Destination]],tblDestinations[Destination],0)),"?"))</f>
        <v/>
      </c>
      <c r="M4595" s="64">
        <f>IF(tblMovement[[#This Row],[Material]]="","",IF(LEFT(tblMovement[[#This Row],[Material]],3)="Ore",1,0))</f>
        <v/>
      </c>
      <c r="N4595" s="59">
        <f>IF(OR(tblMovement[[#This Row],[Tonnes_t]]="",tblMovement[[#This Row],[Grade_gpt]]=""),0,tblMovement[[#This Row],[Tonnes_t]]*tblMovement[[#This Row],[Grade_gpt]]/cfg_TroyOz)</f>
        <v/>
      </c>
      <c r="O4595" s="59">
        <f>IF(tblMovement[[#This Row],[Is_Ore]]=1,tblMovement[[#This Row],[Contained_oz]],0)</f>
        <v/>
      </c>
    </row>
    <row r="4596">
      <c r="A4596" s="54" t="n"/>
      <c r="B4596" s="61" t="n"/>
      <c r="C4596" s="61" t="n"/>
      <c r="D4596" s="61" t="n"/>
      <c r="E4596" s="61" t="n"/>
      <c r="F4596" s="55" t="n"/>
      <c r="G4596" s="56" t="n"/>
      <c r="H4596" s="55" t="n"/>
      <c r="I4596" s="62" t="n"/>
      <c r="J4596" s="58" t="n"/>
      <c r="K4596" s="63">
        <f>IF(tblMovement[[#This Row],[Source]]="","",IFERROR(INDEX(tblSources[Type],MATCH(tblMovement[[#This Row],[Source]],tblSources[Source],0)),"?"))</f>
        <v/>
      </c>
      <c r="L4596" s="63">
        <f>IF(tblMovement[[#This Row],[Destination]]="","",IFERROR(INDEX(tblDestinations[Type],MATCH(tblMovement[[#This Row],[Destination]],tblDestinations[Destination],0)),"?"))</f>
        <v/>
      </c>
      <c r="M4596" s="64">
        <f>IF(tblMovement[[#This Row],[Material]]="","",IF(LEFT(tblMovement[[#This Row],[Material]],3)="Ore",1,0))</f>
        <v/>
      </c>
      <c r="N4596" s="59">
        <f>IF(OR(tblMovement[[#This Row],[Tonnes_t]]="",tblMovement[[#This Row],[Grade_gpt]]=""),0,tblMovement[[#This Row],[Tonnes_t]]*tblMovement[[#This Row],[Grade_gpt]]/cfg_TroyOz)</f>
        <v/>
      </c>
      <c r="O4596" s="59">
        <f>IF(tblMovement[[#This Row],[Is_Ore]]=1,tblMovement[[#This Row],[Contained_oz]],0)</f>
        <v/>
      </c>
    </row>
    <row r="4597">
      <c r="A4597" s="54" t="n"/>
      <c r="B4597" s="61" t="n"/>
      <c r="C4597" s="61" t="n"/>
      <c r="D4597" s="61" t="n"/>
      <c r="E4597" s="61" t="n"/>
      <c r="F4597" s="55" t="n"/>
      <c r="G4597" s="56" t="n"/>
      <c r="H4597" s="55" t="n"/>
      <c r="I4597" s="62" t="n"/>
      <c r="J4597" s="58" t="n"/>
      <c r="K4597" s="63">
        <f>IF(tblMovement[[#This Row],[Source]]="","",IFERROR(INDEX(tblSources[Type],MATCH(tblMovement[[#This Row],[Source]],tblSources[Source],0)),"?"))</f>
        <v/>
      </c>
      <c r="L4597" s="63">
        <f>IF(tblMovement[[#This Row],[Destination]]="","",IFERROR(INDEX(tblDestinations[Type],MATCH(tblMovement[[#This Row],[Destination]],tblDestinations[Destination],0)),"?"))</f>
        <v/>
      </c>
      <c r="M4597" s="64">
        <f>IF(tblMovement[[#This Row],[Material]]="","",IF(LEFT(tblMovement[[#This Row],[Material]],3)="Ore",1,0))</f>
        <v/>
      </c>
      <c r="N4597" s="59">
        <f>IF(OR(tblMovement[[#This Row],[Tonnes_t]]="",tblMovement[[#This Row],[Grade_gpt]]=""),0,tblMovement[[#This Row],[Tonnes_t]]*tblMovement[[#This Row],[Grade_gpt]]/cfg_TroyOz)</f>
        <v/>
      </c>
      <c r="O4597" s="59">
        <f>IF(tblMovement[[#This Row],[Is_Ore]]=1,tblMovement[[#This Row],[Contained_oz]],0)</f>
        <v/>
      </c>
    </row>
    <row r="4598">
      <c r="A4598" s="54" t="n"/>
      <c r="B4598" s="61" t="n"/>
      <c r="C4598" s="61" t="n"/>
      <c r="D4598" s="61" t="n"/>
      <c r="E4598" s="61" t="n"/>
      <c r="F4598" s="55" t="n"/>
      <c r="G4598" s="56" t="n"/>
      <c r="H4598" s="55" t="n"/>
      <c r="I4598" s="62" t="n"/>
      <c r="J4598" s="58" t="n"/>
      <c r="K4598" s="63">
        <f>IF(tblMovement[[#This Row],[Source]]="","",IFERROR(INDEX(tblSources[Type],MATCH(tblMovement[[#This Row],[Source]],tblSources[Source],0)),"?"))</f>
        <v/>
      </c>
      <c r="L4598" s="63">
        <f>IF(tblMovement[[#This Row],[Destination]]="","",IFERROR(INDEX(tblDestinations[Type],MATCH(tblMovement[[#This Row],[Destination]],tblDestinations[Destination],0)),"?"))</f>
        <v/>
      </c>
      <c r="M4598" s="64">
        <f>IF(tblMovement[[#This Row],[Material]]="","",IF(LEFT(tblMovement[[#This Row],[Material]],3)="Ore",1,0))</f>
        <v/>
      </c>
      <c r="N4598" s="59">
        <f>IF(OR(tblMovement[[#This Row],[Tonnes_t]]="",tblMovement[[#This Row],[Grade_gpt]]=""),0,tblMovement[[#This Row],[Tonnes_t]]*tblMovement[[#This Row],[Grade_gpt]]/cfg_TroyOz)</f>
        <v/>
      </c>
      <c r="O4598" s="59">
        <f>IF(tblMovement[[#This Row],[Is_Ore]]=1,tblMovement[[#This Row],[Contained_oz]],0)</f>
        <v/>
      </c>
    </row>
    <row r="4599">
      <c r="A4599" s="54" t="n"/>
      <c r="B4599" s="61" t="n"/>
      <c r="C4599" s="61" t="n"/>
      <c r="D4599" s="61" t="n"/>
      <c r="E4599" s="61" t="n"/>
      <c r="F4599" s="55" t="n"/>
      <c r="G4599" s="56" t="n"/>
      <c r="H4599" s="55" t="n"/>
      <c r="I4599" s="62" t="n"/>
      <c r="J4599" s="58" t="n"/>
      <c r="K4599" s="63">
        <f>IF(tblMovement[[#This Row],[Source]]="","",IFERROR(INDEX(tblSources[Type],MATCH(tblMovement[[#This Row],[Source]],tblSources[Source],0)),"?"))</f>
        <v/>
      </c>
      <c r="L4599" s="63">
        <f>IF(tblMovement[[#This Row],[Destination]]="","",IFERROR(INDEX(tblDestinations[Type],MATCH(tblMovement[[#This Row],[Destination]],tblDestinations[Destination],0)),"?"))</f>
        <v/>
      </c>
      <c r="M4599" s="64">
        <f>IF(tblMovement[[#This Row],[Material]]="","",IF(LEFT(tblMovement[[#This Row],[Material]],3)="Ore",1,0))</f>
        <v/>
      </c>
      <c r="N4599" s="59">
        <f>IF(OR(tblMovement[[#This Row],[Tonnes_t]]="",tblMovement[[#This Row],[Grade_gpt]]=""),0,tblMovement[[#This Row],[Tonnes_t]]*tblMovement[[#This Row],[Grade_gpt]]/cfg_TroyOz)</f>
        <v/>
      </c>
      <c r="O4599" s="59">
        <f>IF(tblMovement[[#This Row],[Is_Ore]]=1,tblMovement[[#This Row],[Contained_oz]],0)</f>
        <v/>
      </c>
    </row>
    <row r="4600">
      <c r="A4600" s="54" t="n"/>
      <c r="B4600" s="61" t="n"/>
      <c r="C4600" s="61" t="n"/>
      <c r="D4600" s="61" t="n"/>
      <c r="E4600" s="61" t="n"/>
      <c r="F4600" s="55" t="n"/>
      <c r="G4600" s="56" t="n"/>
      <c r="H4600" s="55" t="n"/>
      <c r="I4600" s="62" t="n"/>
      <c r="J4600" s="58" t="n"/>
      <c r="K4600" s="63">
        <f>IF(tblMovement[[#This Row],[Source]]="","",IFERROR(INDEX(tblSources[Type],MATCH(tblMovement[[#This Row],[Source]],tblSources[Source],0)),"?"))</f>
        <v/>
      </c>
      <c r="L4600" s="63">
        <f>IF(tblMovement[[#This Row],[Destination]]="","",IFERROR(INDEX(tblDestinations[Type],MATCH(tblMovement[[#This Row],[Destination]],tblDestinations[Destination],0)),"?"))</f>
        <v/>
      </c>
      <c r="M4600" s="64">
        <f>IF(tblMovement[[#This Row],[Material]]="","",IF(LEFT(tblMovement[[#This Row],[Material]],3)="Ore",1,0))</f>
        <v/>
      </c>
      <c r="N4600" s="59">
        <f>IF(OR(tblMovement[[#This Row],[Tonnes_t]]="",tblMovement[[#This Row],[Grade_gpt]]=""),0,tblMovement[[#This Row],[Tonnes_t]]*tblMovement[[#This Row],[Grade_gpt]]/cfg_TroyOz)</f>
        <v/>
      </c>
      <c r="O4600" s="59">
        <f>IF(tblMovement[[#This Row],[Is_Ore]]=1,tblMovement[[#This Row],[Contained_oz]],0)</f>
        <v/>
      </c>
    </row>
    <row r="4601">
      <c r="A4601" s="54" t="n"/>
      <c r="B4601" s="61" t="n"/>
      <c r="C4601" s="61" t="n"/>
      <c r="D4601" s="61" t="n"/>
      <c r="E4601" s="61" t="n"/>
      <c r="F4601" s="55" t="n"/>
      <c r="G4601" s="56" t="n"/>
      <c r="H4601" s="55" t="n"/>
      <c r="I4601" s="62" t="n"/>
      <c r="J4601" s="58" t="n"/>
      <c r="K4601" s="63">
        <f>IF(tblMovement[[#This Row],[Source]]="","",IFERROR(INDEX(tblSources[Type],MATCH(tblMovement[[#This Row],[Source]],tblSources[Source],0)),"?"))</f>
        <v/>
      </c>
      <c r="L4601" s="63">
        <f>IF(tblMovement[[#This Row],[Destination]]="","",IFERROR(INDEX(tblDestinations[Type],MATCH(tblMovement[[#This Row],[Destination]],tblDestinations[Destination],0)),"?"))</f>
        <v/>
      </c>
      <c r="M4601" s="64">
        <f>IF(tblMovement[[#This Row],[Material]]="","",IF(LEFT(tblMovement[[#This Row],[Material]],3)="Ore",1,0))</f>
        <v/>
      </c>
      <c r="N4601" s="59">
        <f>IF(OR(tblMovement[[#This Row],[Tonnes_t]]="",tblMovement[[#This Row],[Grade_gpt]]=""),0,tblMovement[[#This Row],[Tonnes_t]]*tblMovement[[#This Row],[Grade_gpt]]/cfg_TroyOz)</f>
        <v/>
      </c>
      <c r="O4601" s="59">
        <f>IF(tblMovement[[#This Row],[Is_Ore]]=1,tblMovement[[#This Row],[Contained_oz]],0)</f>
        <v/>
      </c>
    </row>
    <row r="4602">
      <c r="A4602" s="54" t="n"/>
      <c r="B4602" s="61" t="n"/>
      <c r="C4602" s="61" t="n"/>
      <c r="D4602" s="61" t="n"/>
      <c r="E4602" s="61" t="n"/>
      <c r="F4602" s="55" t="n"/>
      <c r="G4602" s="56" t="n"/>
      <c r="H4602" s="55" t="n"/>
      <c r="I4602" s="62" t="n"/>
      <c r="J4602" s="58" t="n"/>
      <c r="K4602" s="63">
        <f>IF(tblMovement[[#This Row],[Source]]="","",IFERROR(INDEX(tblSources[Type],MATCH(tblMovement[[#This Row],[Source]],tblSources[Source],0)),"?"))</f>
        <v/>
      </c>
      <c r="L4602" s="63">
        <f>IF(tblMovement[[#This Row],[Destination]]="","",IFERROR(INDEX(tblDestinations[Type],MATCH(tblMovement[[#This Row],[Destination]],tblDestinations[Destination],0)),"?"))</f>
        <v/>
      </c>
      <c r="M4602" s="64">
        <f>IF(tblMovement[[#This Row],[Material]]="","",IF(LEFT(tblMovement[[#This Row],[Material]],3)="Ore",1,0))</f>
        <v/>
      </c>
      <c r="N4602" s="59">
        <f>IF(OR(tblMovement[[#This Row],[Tonnes_t]]="",tblMovement[[#This Row],[Grade_gpt]]=""),0,tblMovement[[#This Row],[Tonnes_t]]*tblMovement[[#This Row],[Grade_gpt]]/cfg_TroyOz)</f>
        <v/>
      </c>
      <c r="O4602" s="59">
        <f>IF(tblMovement[[#This Row],[Is_Ore]]=1,tblMovement[[#This Row],[Contained_oz]],0)</f>
        <v/>
      </c>
    </row>
    <row r="4603">
      <c r="A4603" s="54" t="n"/>
      <c r="B4603" s="61" t="n"/>
      <c r="C4603" s="61" t="n"/>
      <c r="D4603" s="61" t="n"/>
      <c r="E4603" s="61" t="n"/>
      <c r="F4603" s="55" t="n"/>
      <c r="G4603" s="56" t="n"/>
      <c r="H4603" s="55" t="n"/>
      <c r="I4603" s="62" t="n"/>
      <c r="J4603" s="58" t="n"/>
      <c r="K4603" s="63">
        <f>IF(tblMovement[[#This Row],[Source]]="","",IFERROR(INDEX(tblSources[Type],MATCH(tblMovement[[#This Row],[Source]],tblSources[Source],0)),"?"))</f>
        <v/>
      </c>
      <c r="L4603" s="63">
        <f>IF(tblMovement[[#This Row],[Destination]]="","",IFERROR(INDEX(tblDestinations[Type],MATCH(tblMovement[[#This Row],[Destination]],tblDestinations[Destination],0)),"?"))</f>
        <v/>
      </c>
      <c r="M4603" s="64">
        <f>IF(tblMovement[[#This Row],[Material]]="","",IF(LEFT(tblMovement[[#This Row],[Material]],3)="Ore",1,0))</f>
        <v/>
      </c>
      <c r="N4603" s="59">
        <f>IF(OR(tblMovement[[#This Row],[Tonnes_t]]="",tblMovement[[#This Row],[Grade_gpt]]=""),0,tblMovement[[#This Row],[Tonnes_t]]*tblMovement[[#This Row],[Grade_gpt]]/cfg_TroyOz)</f>
        <v/>
      </c>
      <c r="O4603" s="59">
        <f>IF(tblMovement[[#This Row],[Is_Ore]]=1,tblMovement[[#This Row],[Contained_oz]],0)</f>
        <v/>
      </c>
    </row>
    <row r="4604">
      <c r="A4604" s="54" t="n"/>
      <c r="B4604" s="61" t="n"/>
      <c r="C4604" s="61" t="n"/>
      <c r="D4604" s="61" t="n"/>
      <c r="E4604" s="61" t="n"/>
      <c r="F4604" s="55" t="n"/>
      <c r="G4604" s="56" t="n"/>
      <c r="H4604" s="55" t="n"/>
      <c r="I4604" s="62" t="n"/>
      <c r="J4604" s="58" t="n"/>
      <c r="K4604" s="63">
        <f>IF(tblMovement[[#This Row],[Source]]="","",IFERROR(INDEX(tblSources[Type],MATCH(tblMovement[[#This Row],[Source]],tblSources[Source],0)),"?"))</f>
        <v/>
      </c>
      <c r="L4604" s="63">
        <f>IF(tblMovement[[#This Row],[Destination]]="","",IFERROR(INDEX(tblDestinations[Type],MATCH(tblMovement[[#This Row],[Destination]],tblDestinations[Destination],0)),"?"))</f>
        <v/>
      </c>
      <c r="M4604" s="64">
        <f>IF(tblMovement[[#This Row],[Material]]="","",IF(LEFT(tblMovement[[#This Row],[Material]],3)="Ore",1,0))</f>
        <v/>
      </c>
      <c r="N4604" s="59">
        <f>IF(OR(tblMovement[[#This Row],[Tonnes_t]]="",tblMovement[[#This Row],[Grade_gpt]]=""),0,tblMovement[[#This Row],[Tonnes_t]]*tblMovement[[#This Row],[Grade_gpt]]/cfg_TroyOz)</f>
        <v/>
      </c>
      <c r="O4604" s="59">
        <f>IF(tblMovement[[#This Row],[Is_Ore]]=1,tblMovement[[#This Row],[Contained_oz]],0)</f>
        <v/>
      </c>
    </row>
    <row r="4605">
      <c r="A4605" s="54" t="n"/>
      <c r="B4605" s="61" t="n"/>
      <c r="C4605" s="61" t="n"/>
      <c r="D4605" s="61" t="n"/>
      <c r="E4605" s="61" t="n"/>
      <c r="F4605" s="55" t="n"/>
      <c r="G4605" s="56" t="n"/>
      <c r="H4605" s="55" t="n"/>
      <c r="I4605" s="62" t="n"/>
      <c r="J4605" s="58" t="n"/>
      <c r="K4605" s="63">
        <f>IF(tblMovement[[#This Row],[Source]]="","",IFERROR(INDEX(tblSources[Type],MATCH(tblMovement[[#This Row],[Source]],tblSources[Source],0)),"?"))</f>
        <v/>
      </c>
      <c r="L4605" s="63">
        <f>IF(tblMovement[[#This Row],[Destination]]="","",IFERROR(INDEX(tblDestinations[Type],MATCH(tblMovement[[#This Row],[Destination]],tblDestinations[Destination],0)),"?"))</f>
        <v/>
      </c>
      <c r="M4605" s="64">
        <f>IF(tblMovement[[#This Row],[Material]]="","",IF(LEFT(tblMovement[[#This Row],[Material]],3)="Ore",1,0))</f>
        <v/>
      </c>
      <c r="N4605" s="59">
        <f>IF(OR(tblMovement[[#This Row],[Tonnes_t]]="",tblMovement[[#This Row],[Grade_gpt]]=""),0,tblMovement[[#This Row],[Tonnes_t]]*tblMovement[[#This Row],[Grade_gpt]]/cfg_TroyOz)</f>
        <v/>
      </c>
      <c r="O4605" s="59">
        <f>IF(tblMovement[[#This Row],[Is_Ore]]=1,tblMovement[[#This Row],[Contained_oz]],0)</f>
        <v/>
      </c>
    </row>
    <row r="4606">
      <c r="A4606" s="54" t="n"/>
      <c r="B4606" s="61" t="n"/>
      <c r="C4606" s="61" t="n"/>
      <c r="D4606" s="61" t="n"/>
      <c r="E4606" s="61" t="n"/>
      <c r="F4606" s="55" t="n"/>
      <c r="G4606" s="56" t="n"/>
      <c r="H4606" s="55" t="n"/>
      <c r="I4606" s="62" t="n"/>
      <c r="J4606" s="58" t="n"/>
      <c r="K4606" s="63">
        <f>IF(tblMovement[[#This Row],[Source]]="","",IFERROR(INDEX(tblSources[Type],MATCH(tblMovement[[#This Row],[Source]],tblSources[Source],0)),"?"))</f>
        <v/>
      </c>
      <c r="L4606" s="63">
        <f>IF(tblMovement[[#This Row],[Destination]]="","",IFERROR(INDEX(tblDestinations[Type],MATCH(tblMovement[[#This Row],[Destination]],tblDestinations[Destination],0)),"?"))</f>
        <v/>
      </c>
      <c r="M4606" s="64">
        <f>IF(tblMovement[[#This Row],[Material]]="","",IF(LEFT(tblMovement[[#This Row],[Material]],3)="Ore",1,0))</f>
        <v/>
      </c>
      <c r="N4606" s="59">
        <f>IF(OR(tblMovement[[#This Row],[Tonnes_t]]="",tblMovement[[#This Row],[Grade_gpt]]=""),0,tblMovement[[#This Row],[Tonnes_t]]*tblMovement[[#This Row],[Grade_gpt]]/cfg_TroyOz)</f>
        <v/>
      </c>
      <c r="O4606" s="59">
        <f>IF(tblMovement[[#This Row],[Is_Ore]]=1,tblMovement[[#This Row],[Contained_oz]],0)</f>
        <v/>
      </c>
    </row>
    <row r="4607">
      <c r="A4607" s="54" t="n"/>
      <c r="B4607" s="61" t="n"/>
      <c r="C4607" s="61" t="n"/>
      <c r="D4607" s="61" t="n"/>
      <c r="E4607" s="61" t="n"/>
      <c r="F4607" s="55" t="n"/>
      <c r="G4607" s="56" t="n"/>
      <c r="H4607" s="55" t="n"/>
      <c r="I4607" s="62" t="n"/>
      <c r="J4607" s="58" t="n"/>
      <c r="K4607" s="63">
        <f>IF(tblMovement[[#This Row],[Source]]="","",IFERROR(INDEX(tblSources[Type],MATCH(tblMovement[[#This Row],[Source]],tblSources[Source],0)),"?"))</f>
        <v/>
      </c>
      <c r="L4607" s="63">
        <f>IF(tblMovement[[#This Row],[Destination]]="","",IFERROR(INDEX(tblDestinations[Type],MATCH(tblMovement[[#This Row],[Destination]],tblDestinations[Destination],0)),"?"))</f>
        <v/>
      </c>
      <c r="M4607" s="64">
        <f>IF(tblMovement[[#This Row],[Material]]="","",IF(LEFT(tblMovement[[#This Row],[Material]],3)="Ore",1,0))</f>
        <v/>
      </c>
      <c r="N4607" s="59">
        <f>IF(OR(tblMovement[[#This Row],[Tonnes_t]]="",tblMovement[[#This Row],[Grade_gpt]]=""),0,tblMovement[[#This Row],[Tonnes_t]]*tblMovement[[#This Row],[Grade_gpt]]/cfg_TroyOz)</f>
        <v/>
      </c>
      <c r="O4607" s="59">
        <f>IF(tblMovement[[#This Row],[Is_Ore]]=1,tblMovement[[#This Row],[Contained_oz]],0)</f>
        <v/>
      </c>
    </row>
    <row r="4608">
      <c r="A4608" s="54" t="n"/>
      <c r="B4608" s="61" t="n"/>
      <c r="C4608" s="61" t="n"/>
      <c r="D4608" s="61" t="n"/>
      <c r="E4608" s="61" t="n"/>
      <c r="F4608" s="55" t="n"/>
      <c r="G4608" s="56" t="n"/>
      <c r="H4608" s="55" t="n"/>
      <c r="I4608" s="62" t="n"/>
      <c r="J4608" s="58" t="n"/>
      <c r="K4608" s="63">
        <f>IF(tblMovement[[#This Row],[Source]]="","",IFERROR(INDEX(tblSources[Type],MATCH(tblMovement[[#This Row],[Source]],tblSources[Source],0)),"?"))</f>
        <v/>
      </c>
      <c r="L4608" s="63">
        <f>IF(tblMovement[[#This Row],[Destination]]="","",IFERROR(INDEX(tblDestinations[Type],MATCH(tblMovement[[#This Row],[Destination]],tblDestinations[Destination],0)),"?"))</f>
        <v/>
      </c>
      <c r="M4608" s="64">
        <f>IF(tblMovement[[#This Row],[Material]]="","",IF(LEFT(tblMovement[[#This Row],[Material]],3)="Ore",1,0))</f>
        <v/>
      </c>
      <c r="N4608" s="59">
        <f>IF(OR(tblMovement[[#This Row],[Tonnes_t]]="",tblMovement[[#This Row],[Grade_gpt]]=""),0,tblMovement[[#This Row],[Tonnes_t]]*tblMovement[[#This Row],[Grade_gpt]]/cfg_TroyOz)</f>
        <v/>
      </c>
      <c r="O4608" s="59">
        <f>IF(tblMovement[[#This Row],[Is_Ore]]=1,tblMovement[[#This Row],[Contained_oz]],0)</f>
        <v/>
      </c>
    </row>
    <row r="4609">
      <c r="A4609" s="54" t="n"/>
      <c r="B4609" s="61" t="n"/>
      <c r="C4609" s="61" t="n"/>
      <c r="D4609" s="61" t="n"/>
      <c r="E4609" s="61" t="n"/>
      <c r="F4609" s="55" t="n"/>
      <c r="G4609" s="56" t="n"/>
      <c r="H4609" s="55" t="n"/>
      <c r="I4609" s="62" t="n"/>
      <c r="J4609" s="58" t="n"/>
      <c r="K4609" s="63">
        <f>IF(tblMovement[[#This Row],[Source]]="","",IFERROR(INDEX(tblSources[Type],MATCH(tblMovement[[#This Row],[Source]],tblSources[Source],0)),"?"))</f>
        <v/>
      </c>
      <c r="L4609" s="63">
        <f>IF(tblMovement[[#This Row],[Destination]]="","",IFERROR(INDEX(tblDestinations[Type],MATCH(tblMovement[[#This Row],[Destination]],tblDestinations[Destination],0)),"?"))</f>
        <v/>
      </c>
      <c r="M4609" s="64">
        <f>IF(tblMovement[[#This Row],[Material]]="","",IF(LEFT(tblMovement[[#This Row],[Material]],3)="Ore",1,0))</f>
        <v/>
      </c>
      <c r="N4609" s="59">
        <f>IF(OR(tblMovement[[#This Row],[Tonnes_t]]="",tblMovement[[#This Row],[Grade_gpt]]=""),0,tblMovement[[#This Row],[Tonnes_t]]*tblMovement[[#This Row],[Grade_gpt]]/cfg_TroyOz)</f>
        <v/>
      </c>
      <c r="O4609" s="59">
        <f>IF(tblMovement[[#This Row],[Is_Ore]]=1,tblMovement[[#This Row],[Contained_oz]],0)</f>
        <v/>
      </c>
    </row>
    <row r="4610">
      <c r="A4610" s="54" t="n"/>
      <c r="B4610" s="61" t="n"/>
      <c r="C4610" s="61" t="n"/>
      <c r="D4610" s="61" t="n"/>
      <c r="E4610" s="61" t="n"/>
      <c r="F4610" s="55" t="n"/>
      <c r="G4610" s="56" t="n"/>
      <c r="H4610" s="55" t="n"/>
      <c r="I4610" s="62" t="n"/>
      <c r="J4610" s="58" t="n"/>
      <c r="K4610" s="63">
        <f>IF(tblMovement[[#This Row],[Source]]="","",IFERROR(INDEX(tblSources[Type],MATCH(tblMovement[[#This Row],[Source]],tblSources[Source],0)),"?"))</f>
        <v/>
      </c>
      <c r="L4610" s="63">
        <f>IF(tblMovement[[#This Row],[Destination]]="","",IFERROR(INDEX(tblDestinations[Type],MATCH(tblMovement[[#This Row],[Destination]],tblDestinations[Destination],0)),"?"))</f>
        <v/>
      </c>
      <c r="M4610" s="64">
        <f>IF(tblMovement[[#This Row],[Material]]="","",IF(LEFT(tblMovement[[#This Row],[Material]],3)="Ore",1,0))</f>
        <v/>
      </c>
      <c r="N4610" s="59">
        <f>IF(OR(tblMovement[[#This Row],[Tonnes_t]]="",tblMovement[[#This Row],[Grade_gpt]]=""),0,tblMovement[[#This Row],[Tonnes_t]]*tblMovement[[#This Row],[Grade_gpt]]/cfg_TroyOz)</f>
        <v/>
      </c>
      <c r="O4610" s="59">
        <f>IF(tblMovement[[#This Row],[Is_Ore]]=1,tblMovement[[#This Row],[Contained_oz]],0)</f>
        <v/>
      </c>
    </row>
    <row r="4611">
      <c r="A4611" s="54" t="n"/>
      <c r="B4611" s="61" t="n"/>
      <c r="C4611" s="61" t="n"/>
      <c r="D4611" s="61" t="n"/>
      <c r="E4611" s="61" t="n"/>
      <c r="F4611" s="55" t="n"/>
      <c r="G4611" s="56" t="n"/>
      <c r="H4611" s="55" t="n"/>
      <c r="I4611" s="62" t="n"/>
      <c r="J4611" s="58" t="n"/>
      <c r="K4611" s="63">
        <f>IF(tblMovement[[#This Row],[Source]]="","",IFERROR(INDEX(tblSources[Type],MATCH(tblMovement[[#This Row],[Source]],tblSources[Source],0)),"?"))</f>
        <v/>
      </c>
      <c r="L4611" s="63">
        <f>IF(tblMovement[[#This Row],[Destination]]="","",IFERROR(INDEX(tblDestinations[Type],MATCH(tblMovement[[#This Row],[Destination]],tblDestinations[Destination],0)),"?"))</f>
        <v/>
      </c>
      <c r="M4611" s="64">
        <f>IF(tblMovement[[#This Row],[Material]]="","",IF(LEFT(tblMovement[[#This Row],[Material]],3)="Ore",1,0))</f>
        <v/>
      </c>
      <c r="N4611" s="59">
        <f>IF(OR(tblMovement[[#This Row],[Tonnes_t]]="",tblMovement[[#This Row],[Grade_gpt]]=""),0,tblMovement[[#This Row],[Tonnes_t]]*tblMovement[[#This Row],[Grade_gpt]]/cfg_TroyOz)</f>
        <v/>
      </c>
      <c r="O4611" s="59">
        <f>IF(tblMovement[[#This Row],[Is_Ore]]=1,tblMovement[[#This Row],[Contained_oz]],0)</f>
        <v/>
      </c>
    </row>
    <row r="4612">
      <c r="A4612" s="54" t="n"/>
      <c r="B4612" s="61" t="n"/>
      <c r="C4612" s="61" t="n"/>
      <c r="D4612" s="61" t="n"/>
      <c r="E4612" s="61" t="n"/>
      <c r="F4612" s="55" t="n"/>
      <c r="G4612" s="56" t="n"/>
      <c r="H4612" s="55" t="n"/>
      <c r="I4612" s="62" t="n"/>
      <c r="J4612" s="58" t="n"/>
      <c r="K4612" s="63">
        <f>IF(tblMovement[[#This Row],[Source]]="","",IFERROR(INDEX(tblSources[Type],MATCH(tblMovement[[#This Row],[Source]],tblSources[Source],0)),"?"))</f>
        <v/>
      </c>
      <c r="L4612" s="63">
        <f>IF(tblMovement[[#This Row],[Destination]]="","",IFERROR(INDEX(tblDestinations[Type],MATCH(tblMovement[[#This Row],[Destination]],tblDestinations[Destination],0)),"?"))</f>
        <v/>
      </c>
      <c r="M4612" s="64">
        <f>IF(tblMovement[[#This Row],[Material]]="","",IF(LEFT(tblMovement[[#This Row],[Material]],3)="Ore",1,0))</f>
        <v/>
      </c>
      <c r="N4612" s="59">
        <f>IF(OR(tblMovement[[#This Row],[Tonnes_t]]="",tblMovement[[#This Row],[Grade_gpt]]=""),0,tblMovement[[#This Row],[Tonnes_t]]*tblMovement[[#This Row],[Grade_gpt]]/cfg_TroyOz)</f>
        <v/>
      </c>
      <c r="O4612" s="59">
        <f>IF(tblMovement[[#This Row],[Is_Ore]]=1,tblMovement[[#This Row],[Contained_oz]],0)</f>
        <v/>
      </c>
    </row>
    <row r="4613">
      <c r="A4613" s="54" t="n"/>
      <c r="B4613" s="61" t="n"/>
      <c r="C4613" s="61" t="n"/>
      <c r="D4613" s="61" t="n"/>
      <c r="E4613" s="61" t="n"/>
      <c r="F4613" s="55" t="n"/>
      <c r="G4613" s="56" t="n"/>
      <c r="H4613" s="55" t="n"/>
      <c r="I4613" s="62" t="n"/>
      <c r="J4613" s="58" t="n"/>
      <c r="K4613" s="63">
        <f>IF(tblMovement[[#This Row],[Source]]="","",IFERROR(INDEX(tblSources[Type],MATCH(tblMovement[[#This Row],[Source]],tblSources[Source],0)),"?"))</f>
        <v/>
      </c>
      <c r="L4613" s="63">
        <f>IF(tblMovement[[#This Row],[Destination]]="","",IFERROR(INDEX(tblDestinations[Type],MATCH(tblMovement[[#This Row],[Destination]],tblDestinations[Destination],0)),"?"))</f>
        <v/>
      </c>
      <c r="M4613" s="64">
        <f>IF(tblMovement[[#This Row],[Material]]="","",IF(LEFT(tblMovement[[#This Row],[Material]],3)="Ore",1,0))</f>
        <v/>
      </c>
      <c r="N4613" s="59">
        <f>IF(OR(tblMovement[[#This Row],[Tonnes_t]]="",tblMovement[[#This Row],[Grade_gpt]]=""),0,tblMovement[[#This Row],[Tonnes_t]]*tblMovement[[#This Row],[Grade_gpt]]/cfg_TroyOz)</f>
        <v/>
      </c>
      <c r="O4613" s="59">
        <f>IF(tblMovement[[#This Row],[Is_Ore]]=1,tblMovement[[#This Row],[Contained_oz]],0)</f>
        <v/>
      </c>
    </row>
    <row r="4614">
      <c r="A4614" s="54" t="n"/>
      <c r="B4614" s="61" t="n"/>
      <c r="C4614" s="61" t="n"/>
      <c r="D4614" s="61" t="n"/>
      <c r="E4614" s="61" t="n"/>
      <c r="F4614" s="55" t="n"/>
      <c r="G4614" s="56" t="n"/>
      <c r="H4614" s="55" t="n"/>
      <c r="I4614" s="62" t="n"/>
      <c r="J4614" s="58" t="n"/>
      <c r="K4614" s="63">
        <f>IF(tblMovement[[#This Row],[Source]]="","",IFERROR(INDEX(tblSources[Type],MATCH(tblMovement[[#This Row],[Source]],tblSources[Source],0)),"?"))</f>
        <v/>
      </c>
      <c r="L4614" s="63">
        <f>IF(tblMovement[[#This Row],[Destination]]="","",IFERROR(INDEX(tblDestinations[Type],MATCH(tblMovement[[#This Row],[Destination]],tblDestinations[Destination],0)),"?"))</f>
        <v/>
      </c>
      <c r="M4614" s="64">
        <f>IF(tblMovement[[#This Row],[Material]]="","",IF(LEFT(tblMovement[[#This Row],[Material]],3)="Ore",1,0))</f>
        <v/>
      </c>
      <c r="N4614" s="59">
        <f>IF(OR(tblMovement[[#This Row],[Tonnes_t]]="",tblMovement[[#This Row],[Grade_gpt]]=""),0,tblMovement[[#This Row],[Tonnes_t]]*tblMovement[[#This Row],[Grade_gpt]]/cfg_TroyOz)</f>
        <v/>
      </c>
      <c r="O4614" s="59">
        <f>IF(tblMovement[[#This Row],[Is_Ore]]=1,tblMovement[[#This Row],[Contained_oz]],0)</f>
        <v/>
      </c>
    </row>
    <row r="4615">
      <c r="A4615" s="54" t="n"/>
      <c r="B4615" s="61" t="n"/>
      <c r="C4615" s="61" t="n"/>
      <c r="D4615" s="61" t="n"/>
      <c r="E4615" s="61" t="n"/>
      <c r="F4615" s="55" t="n"/>
      <c r="G4615" s="56" t="n"/>
      <c r="H4615" s="55" t="n"/>
      <c r="I4615" s="62" t="n"/>
      <c r="J4615" s="58" t="n"/>
      <c r="K4615" s="63">
        <f>IF(tblMovement[[#This Row],[Source]]="","",IFERROR(INDEX(tblSources[Type],MATCH(tblMovement[[#This Row],[Source]],tblSources[Source],0)),"?"))</f>
        <v/>
      </c>
      <c r="L4615" s="63">
        <f>IF(tblMovement[[#This Row],[Destination]]="","",IFERROR(INDEX(tblDestinations[Type],MATCH(tblMovement[[#This Row],[Destination]],tblDestinations[Destination],0)),"?"))</f>
        <v/>
      </c>
      <c r="M4615" s="64">
        <f>IF(tblMovement[[#This Row],[Material]]="","",IF(LEFT(tblMovement[[#This Row],[Material]],3)="Ore",1,0))</f>
        <v/>
      </c>
      <c r="N4615" s="59">
        <f>IF(OR(tblMovement[[#This Row],[Tonnes_t]]="",tblMovement[[#This Row],[Grade_gpt]]=""),0,tblMovement[[#This Row],[Tonnes_t]]*tblMovement[[#This Row],[Grade_gpt]]/cfg_TroyOz)</f>
        <v/>
      </c>
      <c r="O4615" s="59">
        <f>IF(tblMovement[[#This Row],[Is_Ore]]=1,tblMovement[[#This Row],[Contained_oz]],0)</f>
        <v/>
      </c>
    </row>
    <row r="4616">
      <c r="A4616" s="54" t="n"/>
      <c r="B4616" s="61" t="n"/>
      <c r="C4616" s="61" t="n"/>
      <c r="D4616" s="61" t="n"/>
      <c r="E4616" s="61" t="n"/>
      <c r="F4616" s="55" t="n"/>
      <c r="G4616" s="56" t="n"/>
      <c r="H4616" s="55" t="n"/>
      <c r="I4616" s="62" t="n"/>
      <c r="J4616" s="58" t="n"/>
      <c r="K4616" s="63">
        <f>IF(tblMovement[[#This Row],[Source]]="","",IFERROR(INDEX(tblSources[Type],MATCH(tblMovement[[#This Row],[Source]],tblSources[Source],0)),"?"))</f>
        <v/>
      </c>
      <c r="L4616" s="63">
        <f>IF(tblMovement[[#This Row],[Destination]]="","",IFERROR(INDEX(tblDestinations[Type],MATCH(tblMovement[[#This Row],[Destination]],tblDestinations[Destination],0)),"?"))</f>
        <v/>
      </c>
      <c r="M4616" s="64">
        <f>IF(tblMovement[[#This Row],[Material]]="","",IF(LEFT(tblMovement[[#This Row],[Material]],3)="Ore",1,0))</f>
        <v/>
      </c>
      <c r="N4616" s="59">
        <f>IF(OR(tblMovement[[#This Row],[Tonnes_t]]="",tblMovement[[#This Row],[Grade_gpt]]=""),0,tblMovement[[#This Row],[Tonnes_t]]*tblMovement[[#This Row],[Grade_gpt]]/cfg_TroyOz)</f>
        <v/>
      </c>
      <c r="O4616" s="59">
        <f>IF(tblMovement[[#This Row],[Is_Ore]]=1,tblMovement[[#This Row],[Contained_oz]],0)</f>
        <v/>
      </c>
    </row>
    <row r="4617">
      <c r="A4617" s="54" t="n"/>
      <c r="B4617" s="61" t="n"/>
      <c r="C4617" s="61" t="n"/>
      <c r="D4617" s="61" t="n"/>
      <c r="E4617" s="61" t="n"/>
      <c r="F4617" s="55" t="n"/>
      <c r="G4617" s="56" t="n"/>
      <c r="H4617" s="55" t="n"/>
      <c r="I4617" s="62" t="n"/>
      <c r="J4617" s="58" t="n"/>
      <c r="K4617" s="63">
        <f>IF(tblMovement[[#This Row],[Source]]="","",IFERROR(INDEX(tblSources[Type],MATCH(tblMovement[[#This Row],[Source]],tblSources[Source],0)),"?"))</f>
        <v/>
      </c>
      <c r="L4617" s="63">
        <f>IF(tblMovement[[#This Row],[Destination]]="","",IFERROR(INDEX(tblDestinations[Type],MATCH(tblMovement[[#This Row],[Destination]],tblDestinations[Destination],0)),"?"))</f>
        <v/>
      </c>
      <c r="M4617" s="64">
        <f>IF(tblMovement[[#This Row],[Material]]="","",IF(LEFT(tblMovement[[#This Row],[Material]],3)="Ore",1,0))</f>
        <v/>
      </c>
      <c r="N4617" s="59">
        <f>IF(OR(tblMovement[[#This Row],[Tonnes_t]]="",tblMovement[[#This Row],[Grade_gpt]]=""),0,tblMovement[[#This Row],[Tonnes_t]]*tblMovement[[#This Row],[Grade_gpt]]/cfg_TroyOz)</f>
        <v/>
      </c>
      <c r="O4617" s="59">
        <f>IF(tblMovement[[#This Row],[Is_Ore]]=1,tblMovement[[#This Row],[Contained_oz]],0)</f>
        <v/>
      </c>
    </row>
    <row r="4618">
      <c r="A4618" s="54" t="n"/>
      <c r="B4618" s="61" t="n"/>
      <c r="C4618" s="61" t="n"/>
      <c r="D4618" s="61" t="n"/>
      <c r="E4618" s="61" t="n"/>
      <c r="F4618" s="55" t="n"/>
      <c r="G4618" s="56" t="n"/>
      <c r="H4618" s="55" t="n"/>
      <c r="I4618" s="62" t="n"/>
      <c r="J4618" s="58" t="n"/>
      <c r="K4618" s="63">
        <f>IF(tblMovement[[#This Row],[Source]]="","",IFERROR(INDEX(tblSources[Type],MATCH(tblMovement[[#This Row],[Source]],tblSources[Source],0)),"?"))</f>
        <v/>
      </c>
      <c r="L4618" s="63">
        <f>IF(tblMovement[[#This Row],[Destination]]="","",IFERROR(INDEX(tblDestinations[Type],MATCH(tblMovement[[#This Row],[Destination]],tblDestinations[Destination],0)),"?"))</f>
        <v/>
      </c>
      <c r="M4618" s="64">
        <f>IF(tblMovement[[#This Row],[Material]]="","",IF(LEFT(tblMovement[[#This Row],[Material]],3)="Ore",1,0))</f>
        <v/>
      </c>
      <c r="N4618" s="59">
        <f>IF(OR(tblMovement[[#This Row],[Tonnes_t]]="",tblMovement[[#This Row],[Grade_gpt]]=""),0,tblMovement[[#This Row],[Tonnes_t]]*tblMovement[[#This Row],[Grade_gpt]]/cfg_TroyOz)</f>
        <v/>
      </c>
      <c r="O4618" s="59">
        <f>IF(tblMovement[[#This Row],[Is_Ore]]=1,tblMovement[[#This Row],[Contained_oz]],0)</f>
        <v/>
      </c>
    </row>
    <row r="4619">
      <c r="A4619" s="54" t="n"/>
      <c r="B4619" s="61" t="n"/>
      <c r="C4619" s="61" t="n"/>
      <c r="D4619" s="61" t="n"/>
      <c r="E4619" s="61" t="n"/>
      <c r="F4619" s="55" t="n"/>
      <c r="G4619" s="56" t="n"/>
      <c r="H4619" s="55" t="n"/>
      <c r="I4619" s="62" t="n"/>
      <c r="J4619" s="58" t="n"/>
      <c r="K4619" s="63">
        <f>IF(tblMovement[[#This Row],[Source]]="","",IFERROR(INDEX(tblSources[Type],MATCH(tblMovement[[#This Row],[Source]],tblSources[Source],0)),"?"))</f>
        <v/>
      </c>
      <c r="L4619" s="63">
        <f>IF(tblMovement[[#This Row],[Destination]]="","",IFERROR(INDEX(tblDestinations[Type],MATCH(tblMovement[[#This Row],[Destination]],tblDestinations[Destination],0)),"?"))</f>
        <v/>
      </c>
      <c r="M4619" s="64">
        <f>IF(tblMovement[[#This Row],[Material]]="","",IF(LEFT(tblMovement[[#This Row],[Material]],3)="Ore",1,0))</f>
        <v/>
      </c>
      <c r="N4619" s="59">
        <f>IF(OR(tblMovement[[#This Row],[Tonnes_t]]="",tblMovement[[#This Row],[Grade_gpt]]=""),0,tblMovement[[#This Row],[Tonnes_t]]*tblMovement[[#This Row],[Grade_gpt]]/cfg_TroyOz)</f>
        <v/>
      </c>
      <c r="O4619" s="59">
        <f>IF(tblMovement[[#This Row],[Is_Ore]]=1,tblMovement[[#This Row],[Contained_oz]],0)</f>
        <v/>
      </c>
    </row>
    <row r="4620">
      <c r="A4620" s="54" t="n"/>
      <c r="B4620" s="61" t="n"/>
      <c r="C4620" s="61" t="n"/>
      <c r="D4620" s="61" t="n"/>
      <c r="E4620" s="61" t="n"/>
      <c r="F4620" s="55" t="n"/>
      <c r="G4620" s="56" t="n"/>
      <c r="H4620" s="55" t="n"/>
      <c r="I4620" s="62" t="n"/>
      <c r="J4620" s="58" t="n"/>
      <c r="K4620" s="63">
        <f>IF(tblMovement[[#This Row],[Source]]="","",IFERROR(INDEX(tblSources[Type],MATCH(tblMovement[[#This Row],[Source]],tblSources[Source],0)),"?"))</f>
        <v/>
      </c>
      <c r="L4620" s="63">
        <f>IF(tblMovement[[#This Row],[Destination]]="","",IFERROR(INDEX(tblDestinations[Type],MATCH(tblMovement[[#This Row],[Destination]],tblDestinations[Destination],0)),"?"))</f>
        <v/>
      </c>
      <c r="M4620" s="64">
        <f>IF(tblMovement[[#This Row],[Material]]="","",IF(LEFT(tblMovement[[#This Row],[Material]],3)="Ore",1,0))</f>
        <v/>
      </c>
      <c r="N4620" s="59">
        <f>IF(OR(tblMovement[[#This Row],[Tonnes_t]]="",tblMovement[[#This Row],[Grade_gpt]]=""),0,tblMovement[[#This Row],[Tonnes_t]]*tblMovement[[#This Row],[Grade_gpt]]/cfg_TroyOz)</f>
        <v/>
      </c>
      <c r="O4620" s="59">
        <f>IF(tblMovement[[#This Row],[Is_Ore]]=1,tblMovement[[#This Row],[Contained_oz]],0)</f>
        <v/>
      </c>
    </row>
    <row r="4621">
      <c r="A4621" s="54" t="n"/>
      <c r="B4621" s="61" t="n"/>
      <c r="C4621" s="61" t="n"/>
      <c r="D4621" s="61" t="n"/>
      <c r="E4621" s="61" t="n"/>
      <c r="F4621" s="55" t="n"/>
      <c r="G4621" s="56" t="n"/>
      <c r="H4621" s="55" t="n"/>
      <c r="I4621" s="62" t="n"/>
      <c r="J4621" s="58" t="n"/>
      <c r="K4621" s="63">
        <f>IF(tblMovement[[#This Row],[Source]]="","",IFERROR(INDEX(tblSources[Type],MATCH(tblMovement[[#This Row],[Source]],tblSources[Source],0)),"?"))</f>
        <v/>
      </c>
      <c r="L4621" s="63">
        <f>IF(tblMovement[[#This Row],[Destination]]="","",IFERROR(INDEX(tblDestinations[Type],MATCH(tblMovement[[#This Row],[Destination]],tblDestinations[Destination],0)),"?"))</f>
        <v/>
      </c>
      <c r="M4621" s="64">
        <f>IF(tblMovement[[#This Row],[Material]]="","",IF(LEFT(tblMovement[[#This Row],[Material]],3)="Ore",1,0))</f>
        <v/>
      </c>
      <c r="N4621" s="59">
        <f>IF(OR(tblMovement[[#This Row],[Tonnes_t]]="",tblMovement[[#This Row],[Grade_gpt]]=""),0,tblMovement[[#This Row],[Tonnes_t]]*tblMovement[[#This Row],[Grade_gpt]]/cfg_TroyOz)</f>
        <v/>
      </c>
      <c r="O4621" s="59">
        <f>IF(tblMovement[[#This Row],[Is_Ore]]=1,tblMovement[[#This Row],[Contained_oz]],0)</f>
        <v/>
      </c>
    </row>
    <row r="4622">
      <c r="A4622" s="54" t="n"/>
      <c r="B4622" s="61" t="n"/>
      <c r="C4622" s="61" t="n"/>
      <c r="D4622" s="61" t="n"/>
      <c r="E4622" s="61" t="n"/>
      <c r="F4622" s="55" t="n"/>
      <c r="G4622" s="56" t="n"/>
      <c r="H4622" s="55" t="n"/>
      <c r="I4622" s="62" t="n"/>
      <c r="J4622" s="58" t="n"/>
      <c r="K4622" s="63">
        <f>IF(tblMovement[[#This Row],[Source]]="","",IFERROR(INDEX(tblSources[Type],MATCH(tblMovement[[#This Row],[Source]],tblSources[Source],0)),"?"))</f>
        <v/>
      </c>
      <c r="L4622" s="63">
        <f>IF(tblMovement[[#This Row],[Destination]]="","",IFERROR(INDEX(tblDestinations[Type],MATCH(tblMovement[[#This Row],[Destination]],tblDestinations[Destination],0)),"?"))</f>
        <v/>
      </c>
      <c r="M4622" s="64">
        <f>IF(tblMovement[[#This Row],[Material]]="","",IF(LEFT(tblMovement[[#This Row],[Material]],3)="Ore",1,0))</f>
        <v/>
      </c>
      <c r="N4622" s="59">
        <f>IF(OR(tblMovement[[#This Row],[Tonnes_t]]="",tblMovement[[#This Row],[Grade_gpt]]=""),0,tblMovement[[#This Row],[Tonnes_t]]*tblMovement[[#This Row],[Grade_gpt]]/cfg_TroyOz)</f>
        <v/>
      </c>
      <c r="O4622" s="59">
        <f>IF(tblMovement[[#This Row],[Is_Ore]]=1,tblMovement[[#This Row],[Contained_oz]],0)</f>
        <v/>
      </c>
    </row>
    <row r="4623">
      <c r="A4623" s="54" t="n"/>
      <c r="B4623" s="61" t="n"/>
      <c r="C4623" s="61" t="n"/>
      <c r="D4623" s="61" t="n"/>
      <c r="E4623" s="61" t="n"/>
      <c r="F4623" s="55" t="n"/>
      <c r="G4623" s="56" t="n"/>
      <c r="H4623" s="55" t="n"/>
      <c r="I4623" s="62" t="n"/>
      <c r="J4623" s="58" t="n"/>
      <c r="K4623" s="63">
        <f>IF(tblMovement[[#This Row],[Source]]="","",IFERROR(INDEX(tblSources[Type],MATCH(tblMovement[[#This Row],[Source]],tblSources[Source],0)),"?"))</f>
        <v/>
      </c>
      <c r="L4623" s="63">
        <f>IF(tblMovement[[#This Row],[Destination]]="","",IFERROR(INDEX(tblDestinations[Type],MATCH(tblMovement[[#This Row],[Destination]],tblDestinations[Destination],0)),"?"))</f>
        <v/>
      </c>
      <c r="M4623" s="64">
        <f>IF(tblMovement[[#This Row],[Material]]="","",IF(LEFT(tblMovement[[#This Row],[Material]],3)="Ore",1,0))</f>
        <v/>
      </c>
      <c r="N4623" s="59">
        <f>IF(OR(tblMovement[[#This Row],[Tonnes_t]]="",tblMovement[[#This Row],[Grade_gpt]]=""),0,tblMovement[[#This Row],[Tonnes_t]]*tblMovement[[#This Row],[Grade_gpt]]/cfg_TroyOz)</f>
        <v/>
      </c>
      <c r="O4623" s="59">
        <f>IF(tblMovement[[#This Row],[Is_Ore]]=1,tblMovement[[#This Row],[Contained_oz]],0)</f>
        <v/>
      </c>
    </row>
    <row r="4624">
      <c r="A4624" s="54" t="n"/>
      <c r="B4624" s="61" t="n"/>
      <c r="C4624" s="61" t="n"/>
      <c r="D4624" s="61" t="n"/>
      <c r="E4624" s="61" t="n"/>
      <c r="F4624" s="55" t="n"/>
      <c r="G4624" s="56" t="n"/>
      <c r="H4624" s="55" t="n"/>
      <c r="I4624" s="62" t="n"/>
      <c r="J4624" s="58" t="n"/>
      <c r="K4624" s="63">
        <f>IF(tblMovement[[#This Row],[Source]]="","",IFERROR(INDEX(tblSources[Type],MATCH(tblMovement[[#This Row],[Source]],tblSources[Source],0)),"?"))</f>
        <v/>
      </c>
      <c r="L4624" s="63">
        <f>IF(tblMovement[[#This Row],[Destination]]="","",IFERROR(INDEX(tblDestinations[Type],MATCH(tblMovement[[#This Row],[Destination]],tblDestinations[Destination],0)),"?"))</f>
        <v/>
      </c>
      <c r="M4624" s="64">
        <f>IF(tblMovement[[#This Row],[Material]]="","",IF(LEFT(tblMovement[[#This Row],[Material]],3)="Ore",1,0))</f>
        <v/>
      </c>
      <c r="N4624" s="59">
        <f>IF(OR(tblMovement[[#This Row],[Tonnes_t]]="",tblMovement[[#This Row],[Grade_gpt]]=""),0,tblMovement[[#This Row],[Tonnes_t]]*tblMovement[[#This Row],[Grade_gpt]]/cfg_TroyOz)</f>
        <v/>
      </c>
      <c r="O4624" s="59">
        <f>IF(tblMovement[[#This Row],[Is_Ore]]=1,tblMovement[[#This Row],[Contained_oz]],0)</f>
        <v/>
      </c>
    </row>
    <row r="4625">
      <c r="A4625" s="54" t="n"/>
      <c r="B4625" s="61" t="n"/>
      <c r="C4625" s="61" t="n"/>
      <c r="D4625" s="61" t="n"/>
      <c r="E4625" s="61" t="n"/>
      <c r="F4625" s="55" t="n"/>
      <c r="G4625" s="56" t="n"/>
      <c r="H4625" s="55" t="n"/>
      <c r="I4625" s="62" t="n"/>
      <c r="J4625" s="58" t="n"/>
      <c r="K4625" s="63">
        <f>IF(tblMovement[[#This Row],[Source]]="","",IFERROR(INDEX(tblSources[Type],MATCH(tblMovement[[#This Row],[Source]],tblSources[Source],0)),"?"))</f>
        <v/>
      </c>
      <c r="L4625" s="63">
        <f>IF(tblMovement[[#This Row],[Destination]]="","",IFERROR(INDEX(tblDestinations[Type],MATCH(tblMovement[[#This Row],[Destination]],tblDestinations[Destination],0)),"?"))</f>
        <v/>
      </c>
      <c r="M4625" s="64">
        <f>IF(tblMovement[[#This Row],[Material]]="","",IF(LEFT(tblMovement[[#This Row],[Material]],3)="Ore",1,0))</f>
        <v/>
      </c>
      <c r="N4625" s="59">
        <f>IF(OR(tblMovement[[#This Row],[Tonnes_t]]="",tblMovement[[#This Row],[Grade_gpt]]=""),0,tblMovement[[#This Row],[Tonnes_t]]*tblMovement[[#This Row],[Grade_gpt]]/cfg_TroyOz)</f>
        <v/>
      </c>
      <c r="O4625" s="59">
        <f>IF(tblMovement[[#This Row],[Is_Ore]]=1,tblMovement[[#This Row],[Contained_oz]],0)</f>
        <v/>
      </c>
    </row>
    <row r="4626">
      <c r="A4626" s="54" t="n"/>
      <c r="B4626" s="61" t="n"/>
      <c r="C4626" s="61" t="n"/>
      <c r="D4626" s="61" t="n"/>
      <c r="E4626" s="61" t="n"/>
      <c r="F4626" s="55" t="n"/>
      <c r="G4626" s="56" t="n"/>
      <c r="H4626" s="55" t="n"/>
      <c r="I4626" s="62" t="n"/>
      <c r="J4626" s="58" t="n"/>
      <c r="K4626" s="63">
        <f>IF(tblMovement[[#This Row],[Source]]="","",IFERROR(INDEX(tblSources[Type],MATCH(tblMovement[[#This Row],[Source]],tblSources[Source],0)),"?"))</f>
        <v/>
      </c>
      <c r="L4626" s="63">
        <f>IF(tblMovement[[#This Row],[Destination]]="","",IFERROR(INDEX(tblDestinations[Type],MATCH(tblMovement[[#This Row],[Destination]],tblDestinations[Destination],0)),"?"))</f>
        <v/>
      </c>
      <c r="M4626" s="64">
        <f>IF(tblMovement[[#This Row],[Material]]="","",IF(LEFT(tblMovement[[#This Row],[Material]],3)="Ore",1,0))</f>
        <v/>
      </c>
      <c r="N4626" s="59">
        <f>IF(OR(tblMovement[[#This Row],[Tonnes_t]]="",tblMovement[[#This Row],[Grade_gpt]]=""),0,tblMovement[[#This Row],[Tonnes_t]]*tblMovement[[#This Row],[Grade_gpt]]/cfg_TroyOz)</f>
        <v/>
      </c>
      <c r="O4626" s="59">
        <f>IF(tblMovement[[#This Row],[Is_Ore]]=1,tblMovement[[#This Row],[Contained_oz]],0)</f>
        <v/>
      </c>
    </row>
    <row r="4627">
      <c r="A4627" s="54" t="n"/>
      <c r="B4627" s="61" t="n"/>
      <c r="C4627" s="61" t="n"/>
      <c r="D4627" s="61" t="n"/>
      <c r="E4627" s="61" t="n"/>
      <c r="F4627" s="55" t="n"/>
      <c r="G4627" s="56" t="n"/>
      <c r="H4627" s="55" t="n"/>
      <c r="I4627" s="62" t="n"/>
      <c r="J4627" s="58" t="n"/>
      <c r="K4627" s="63">
        <f>IF(tblMovement[[#This Row],[Source]]="","",IFERROR(INDEX(tblSources[Type],MATCH(tblMovement[[#This Row],[Source]],tblSources[Source],0)),"?"))</f>
        <v/>
      </c>
      <c r="L4627" s="63">
        <f>IF(tblMovement[[#This Row],[Destination]]="","",IFERROR(INDEX(tblDestinations[Type],MATCH(tblMovement[[#This Row],[Destination]],tblDestinations[Destination],0)),"?"))</f>
        <v/>
      </c>
      <c r="M4627" s="64">
        <f>IF(tblMovement[[#This Row],[Material]]="","",IF(LEFT(tblMovement[[#This Row],[Material]],3)="Ore",1,0))</f>
        <v/>
      </c>
      <c r="N4627" s="59">
        <f>IF(OR(tblMovement[[#This Row],[Tonnes_t]]="",tblMovement[[#This Row],[Grade_gpt]]=""),0,tblMovement[[#This Row],[Tonnes_t]]*tblMovement[[#This Row],[Grade_gpt]]/cfg_TroyOz)</f>
        <v/>
      </c>
      <c r="O4627" s="59">
        <f>IF(tblMovement[[#This Row],[Is_Ore]]=1,tblMovement[[#This Row],[Contained_oz]],0)</f>
        <v/>
      </c>
    </row>
    <row r="4628">
      <c r="A4628" s="54" t="n"/>
      <c r="B4628" s="61" t="n"/>
      <c r="C4628" s="61" t="n"/>
      <c r="D4628" s="61" t="n"/>
      <c r="E4628" s="61" t="n"/>
      <c r="F4628" s="55" t="n"/>
      <c r="G4628" s="56" t="n"/>
      <c r="H4628" s="55" t="n"/>
      <c r="I4628" s="62" t="n"/>
      <c r="J4628" s="58" t="n"/>
      <c r="K4628" s="63">
        <f>IF(tblMovement[[#This Row],[Source]]="","",IFERROR(INDEX(tblSources[Type],MATCH(tblMovement[[#This Row],[Source]],tblSources[Source],0)),"?"))</f>
        <v/>
      </c>
      <c r="L4628" s="63">
        <f>IF(tblMovement[[#This Row],[Destination]]="","",IFERROR(INDEX(tblDestinations[Type],MATCH(tblMovement[[#This Row],[Destination]],tblDestinations[Destination],0)),"?"))</f>
        <v/>
      </c>
      <c r="M4628" s="64">
        <f>IF(tblMovement[[#This Row],[Material]]="","",IF(LEFT(tblMovement[[#This Row],[Material]],3)="Ore",1,0))</f>
        <v/>
      </c>
      <c r="N4628" s="59">
        <f>IF(OR(tblMovement[[#This Row],[Tonnes_t]]="",tblMovement[[#This Row],[Grade_gpt]]=""),0,tblMovement[[#This Row],[Tonnes_t]]*tblMovement[[#This Row],[Grade_gpt]]/cfg_TroyOz)</f>
        <v/>
      </c>
      <c r="O4628" s="59">
        <f>IF(tblMovement[[#This Row],[Is_Ore]]=1,tblMovement[[#This Row],[Contained_oz]],0)</f>
        <v/>
      </c>
    </row>
    <row r="4629">
      <c r="A4629" s="54" t="n"/>
      <c r="B4629" s="61" t="n"/>
      <c r="C4629" s="61" t="n"/>
      <c r="D4629" s="61" t="n"/>
      <c r="E4629" s="61" t="n"/>
      <c r="F4629" s="55" t="n"/>
      <c r="G4629" s="56" t="n"/>
      <c r="H4629" s="55" t="n"/>
      <c r="I4629" s="62" t="n"/>
      <c r="J4629" s="58" t="n"/>
      <c r="K4629" s="63">
        <f>IF(tblMovement[[#This Row],[Source]]="","",IFERROR(INDEX(tblSources[Type],MATCH(tblMovement[[#This Row],[Source]],tblSources[Source],0)),"?"))</f>
        <v/>
      </c>
      <c r="L4629" s="63">
        <f>IF(tblMovement[[#This Row],[Destination]]="","",IFERROR(INDEX(tblDestinations[Type],MATCH(tblMovement[[#This Row],[Destination]],tblDestinations[Destination],0)),"?"))</f>
        <v/>
      </c>
      <c r="M4629" s="64">
        <f>IF(tblMovement[[#This Row],[Material]]="","",IF(LEFT(tblMovement[[#This Row],[Material]],3)="Ore",1,0))</f>
        <v/>
      </c>
      <c r="N4629" s="59">
        <f>IF(OR(tblMovement[[#This Row],[Tonnes_t]]="",tblMovement[[#This Row],[Grade_gpt]]=""),0,tblMovement[[#This Row],[Tonnes_t]]*tblMovement[[#This Row],[Grade_gpt]]/cfg_TroyOz)</f>
        <v/>
      </c>
      <c r="O4629" s="59">
        <f>IF(tblMovement[[#This Row],[Is_Ore]]=1,tblMovement[[#This Row],[Contained_oz]],0)</f>
        <v/>
      </c>
    </row>
    <row r="4630">
      <c r="A4630" s="54" t="n"/>
      <c r="B4630" s="61" t="n"/>
      <c r="C4630" s="61" t="n"/>
      <c r="D4630" s="61" t="n"/>
      <c r="E4630" s="61" t="n"/>
      <c r="F4630" s="55" t="n"/>
      <c r="G4630" s="56" t="n"/>
      <c r="H4630" s="55" t="n"/>
      <c r="I4630" s="62" t="n"/>
      <c r="J4630" s="58" t="n"/>
      <c r="K4630" s="63">
        <f>IF(tblMovement[[#This Row],[Source]]="","",IFERROR(INDEX(tblSources[Type],MATCH(tblMovement[[#This Row],[Source]],tblSources[Source],0)),"?"))</f>
        <v/>
      </c>
      <c r="L4630" s="63">
        <f>IF(tblMovement[[#This Row],[Destination]]="","",IFERROR(INDEX(tblDestinations[Type],MATCH(tblMovement[[#This Row],[Destination]],tblDestinations[Destination],0)),"?"))</f>
        <v/>
      </c>
      <c r="M4630" s="64">
        <f>IF(tblMovement[[#This Row],[Material]]="","",IF(LEFT(tblMovement[[#This Row],[Material]],3)="Ore",1,0))</f>
        <v/>
      </c>
      <c r="N4630" s="59">
        <f>IF(OR(tblMovement[[#This Row],[Tonnes_t]]="",tblMovement[[#This Row],[Grade_gpt]]=""),0,tblMovement[[#This Row],[Tonnes_t]]*tblMovement[[#This Row],[Grade_gpt]]/cfg_TroyOz)</f>
        <v/>
      </c>
      <c r="O4630" s="59">
        <f>IF(tblMovement[[#This Row],[Is_Ore]]=1,tblMovement[[#This Row],[Contained_oz]],0)</f>
        <v/>
      </c>
    </row>
    <row r="4631">
      <c r="A4631" s="54" t="n"/>
      <c r="B4631" s="61" t="n"/>
      <c r="C4631" s="61" t="n"/>
      <c r="D4631" s="61" t="n"/>
      <c r="E4631" s="61" t="n"/>
      <c r="F4631" s="55" t="n"/>
      <c r="G4631" s="56" t="n"/>
      <c r="H4631" s="55" t="n"/>
      <c r="I4631" s="62" t="n"/>
      <c r="J4631" s="58" t="n"/>
      <c r="K4631" s="63">
        <f>IF(tblMovement[[#This Row],[Source]]="","",IFERROR(INDEX(tblSources[Type],MATCH(tblMovement[[#This Row],[Source]],tblSources[Source],0)),"?"))</f>
        <v/>
      </c>
      <c r="L4631" s="63">
        <f>IF(tblMovement[[#This Row],[Destination]]="","",IFERROR(INDEX(tblDestinations[Type],MATCH(tblMovement[[#This Row],[Destination]],tblDestinations[Destination],0)),"?"))</f>
        <v/>
      </c>
      <c r="M4631" s="64">
        <f>IF(tblMovement[[#This Row],[Material]]="","",IF(LEFT(tblMovement[[#This Row],[Material]],3)="Ore",1,0))</f>
        <v/>
      </c>
      <c r="N4631" s="59">
        <f>IF(OR(tblMovement[[#This Row],[Tonnes_t]]="",tblMovement[[#This Row],[Grade_gpt]]=""),0,tblMovement[[#This Row],[Tonnes_t]]*tblMovement[[#This Row],[Grade_gpt]]/cfg_TroyOz)</f>
        <v/>
      </c>
      <c r="O4631" s="59">
        <f>IF(tblMovement[[#This Row],[Is_Ore]]=1,tblMovement[[#This Row],[Contained_oz]],0)</f>
        <v/>
      </c>
    </row>
    <row r="4632">
      <c r="A4632" s="54" t="n"/>
      <c r="B4632" s="61" t="n"/>
      <c r="C4632" s="61" t="n"/>
      <c r="D4632" s="61" t="n"/>
      <c r="E4632" s="61" t="n"/>
      <c r="F4632" s="55" t="n"/>
      <c r="G4632" s="56" t="n"/>
      <c r="H4632" s="55" t="n"/>
      <c r="I4632" s="62" t="n"/>
      <c r="J4632" s="58" t="n"/>
      <c r="K4632" s="63">
        <f>IF(tblMovement[[#This Row],[Source]]="","",IFERROR(INDEX(tblSources[Type],MATCH(tblMovement[[#This Row],[Source]],tblSources[Source],0)),"?"))</f>
        <v/>
      </c>
      <c r="L4632" s="63">
        <f>IF(tblMovement[[#This Row],[Destination]]="","",IFERROR(INDEX(tblDestinations[Type],MATCH(tblMovement[[#This Row],[Destination]],tblDestinations[Destination],0)),"?"))</f>
        <v/>
      </c>
      <c r="M4632" s="64">
        <f>IF(tblMovement[[#This Row],[Material]]="","",IF(LEFT(tblMovement[[#This Row],[Material]],3)="Ore",1,0))</f>
        <v/>
      </c>
      <c r="N4632" s="59">
        <f>IF(OR(tblMovement[[#This Row],[Tonnes_t]]="",tblMovement[[#This Row],[Grade_gpt]]=""),0,tblMovement[[#This Row],[Tonnes_t]]*tblMovement[[#This Row],[Grade_gpt]]/cfg_TroyOz)</f>
        <v/>
      </c>
      <c r="O4632" s="59">
        <f>IF(tblMovement[[#This Row],[Is_Ore]]=1,tblMovement[[#This Row],[Contained_oz]],0)</f>
        <v/>
      </c>
    </row>
    <row r="4633">
      <c r="A4633" s="54" t="n"/>
      <c r="B4633" s="61" t="n"/>
      <c r="C4633" s="61" t="n"/>
      <c r="D4633" s="61" t="n"/>
      <c r="E4633" s="61" t="n"/>
      <c r="F4633" s="55" t="n"/>
      <c r="G4633" s="56" t="n"/>
      <c r="H4633" s="55" t="n"/>
      <c r="I4633" s="62" t="n"/>
      <c r="J4633" s="58" t="n"/>
      <c r="K4633" s="63">
        <f>IF(tblMovement[[#This Row],[Source]]="","",IFERROR(INDEX(tblSources[Type],MATCH(tblMovement[[#This Row],[Source]],tblSources[Source],0)),"?"))</f>
        <v/>
      </c>
      <c r="L4633" s="63">
        <f>IF(tblMovement[[#This Row],[Destination]]="","",IFERROR(INDEX(tblDestinations[Type],MATCH(tblMovement[[#This Row],[Destination]],tblDestinations[Destination],0)),"?"))</f>
        <v/>
      </c>
      <c r="M4633" s="64">
        <f>IF(tblMovement[[#This Row],[Material]]="","",IF(LEFT(tblMovement[[#This Row],[Material]],3)="Ore",1,0))</f>
        <v/>
      </c>
      <c r="N4633" s="59">
        <f>IF(OR(tblMovement[[#This Row],[Tonnes_t]]="",tblMovement[[#This Row],[Grade_gpt]]=""),0,tblMovement[[#This Row],[Tonnes_t]]*tblMovement[[#This Row],[Grade_gpt]]/cfg_TroyOz)</f>
        <v/>
      </c>
      <c r="O4633" s="59">
        <f>IF(tblMovement[[#This Row],[Is_Ore]]=1,tblMovement[[#This Row],[Contained_oz]],0)</f>
        <v/>
      </c>
    </row>
    <row r="4634">
      <c r="A4634" s="54" t="n"/>
      <c r="B4634" s="61" t="n"/>
      <c r="C4634" s="61" t="n"/>
      <c r="D4634" s="61" t="n"/>
      <c r="E4634" s="61" t="n"/>
      <c r="F4634" s="55" t="n"/>
      <c r="G4634" s="56" t="n"/>
      <c r="H4634" s="55" t="n"/>
      <c r="I4634" s="62" t="n"/>
      <c r="J4634" s="58" t="n"/>
      <c r="K4634" s="63">
        <f>IF(tblMovement[[#This Row],[Source]]="","",IFERROR(INDEX(tblSources[Type],MATCH(tblMovement[[#This Row],[Source]],tblSources[Source],0)),"?"))</f>
        <v/>
      </c>
      <c r="L4634" s="63">
        <f>IF(tblMovement[[#This Row],[Destination]]="","",IFERROR(INDEX(tblDestinations[Type],MATCH(tblMovement[[#This Row],[Destination]],tblDestinations[Destination],0)),"?"))</f>
        <v/>
      </c>
      <c r="M4634" s="64">
        <f>IF(tblMovement[[#This Row],[Material]]="","",IF(LEFT(tblMovement[[#This Row],[Material]],3)="Ore",1,0))</f>
        <v/>
      </c>
      <c r="N4634" s="59">
        <f>IF(OR(tblMovement[[#This Row],[Tonnes_t]]="",tblMovement[[#This Row],[Grade_gpt]]=""),0,tblMovement[[#This Row],[Tonnes_t]]*tblMovement[[#This Row],[Grade_gpt]]/cfg_TroyOz)</f>
        <v/>
      </c>
      <c r="O4634" s="59">
        <f>IF(tblMovement[[#This Row],[Is_Ore]]=1,tblMovement[[#This Row],[Contained_oz]],0)</f>
        <v/>
      </c>
    </row>
    <row r="4635">
      <c r="A4635" s="54" t="n"/>
      <c r="B4635" s="61" t="n"/>
      <c r="C4635" s="61" t="n"/>
      <c r="D4635" s="61" t="n"/>
      <c r="E4635" s="61" t="n"/>
      <c r="F4635" s="55" t="n"/>
      <c r="G4635" s="56" t="n"/>
      <c r="H4635" s="55" t="n"/>
      <c r="I4635" s="62" t="n"/>
      <c r="J4635" s="58" t="n"/>
      <c r="K4635" s="63">
        <f>IF(tblMovement[[#This Row],[Source]]="","",IFERROR(INDEX(tblSources[Type],MATCH(tblMovement[[#This Row],[Source]],tblSources[Source],0)),"?"))</f>
        <v/>
      </c>
      <c r="L4635" s="63">
        <f>IF(tblMovement[[#This Row],[Destination]]="","",IFERROR(INDEX(tblDestinations[Type],MATCH(tblMovement[[#This Row],[Destination]],tblDestinations[Destination],0)),"?"))</f>
        <v/>
      </c>
      <c r="M4635" s="64">
        <f>IF(tblMovement[[#This Row],[Material]]="","",IF(LEFT(tblMovement[[#This Row],[Material]],3)="Ore",1,0))</f>
        <v/>
      </c>
      <c r="N4635" s="59">
        <f>IF(OR(tblMovement[[#This Row],[Tonnes_t]]="",tblMovement[[#This Row],[Grade_gpt]]=""),0,tblMovement[[#This Row],[Tonnes_t]]*tblMovement[[#This Row],[Grade_gpt]]/cfg_TroyOz)</f>
        <v/>
      </c>
      <c r="O4635" s="59">
        <f>IF(tblMovement[[#This Row],[Is_Ore]]=1,tblMovement[[#This Row],[Contained_oz]],0)</f>
        <v/>
      </c>
    </row>
    <row r="4636">
      <c r="A4636" s="54" t="n"/>
      <c r="B4636" s="61" t="n"/>
      <c r="C4636" s="61" t="n"/>
      <c r="D4636" s="61" t="n"/>
      <c r="E4636" s="61" t="n"/>
      <c r="F4636" s="55" t="n"/>
      <c r="G4636" s="56" t="n"/>
      <c r="H4636" s="55" t="n"/>
      <c r="I4636" s="62" t="n"/>
      <c r="J4636" s="58" t="n"/>
      <c r="K4636" s="63">
        <f>IF(tblMovement[[#This Row],[Source]]="","",IFERROR(INDEX(tblSources[Type],MATCH(tblMovement[[#This Row],[Source]],tblSources[Source],0)),"?"))</f>
        <v/>
      </c>
      <c r="L4636" s="63">
        <f>IF(tblMovement[[#This Row],[Destination]]="","",IFERROR(INDEX(tblDestinations[Type],MATCH(tblMovement[[#This Row],[Destination]],tblDestinations[Destination],0)),"?"))</f>
        <v/>
      </c>
      <c r="M4636" s="64">
        <f>IF(tblMovement[[#This Row],[Material]]="","",IF(LEFT(tblMovement[[#This Row],[Material]],3)="Ore",1,0))</f>
        <v/>
      </c>
      <c r="N4636" s="59">
        <f>IF(OR(tblMovement[[#This Row],[Tonnes_t]]="",tblMovement[[#This Row],[Grade_gpt]]=""),0,tblMovement[[#This Row],[Tonnes_t]]*tblMovement[[#This Row],[Grade_gpt]]/cfg_TroyOz)</f>
        <v/>
      </c>
      <c r="O4636" s="59">
        <f>IF(tblMovement[[#This Row],[Is_Ore]]=1,tblMovement[[#This Row],[Contained_oz]],0)</f>
        <v/>
      </c>
    </row>
    <row r="4637">
      <c r="A4637" s="54" t="n"/>
      <c r="B4637" s="61" t="n"/>
      <c r="C4637" s="61" t="n"/>
      <c r="D4637" s="61" t="n"/>
      <c r="E4637" s="61" t="n"/>
      <c r="F4637" s="55" t="n"/>
      <c r="G4637" s="56" t="n"/>
      <c r="H4637" s="55" t="n"/>
      <c r="I4637" s="62" t="n"/>
      <c r="J4637" s="58" t="n"/>
      <c r="K4637" s="63">
        <f>IF(tblMovement[[#This Row],[Source]]="","",IFERROR(INDEX(tblSources[Type],MATCH(tblMovement[[#This Row],[Source]],tblSources[Source],0)),"?"))</f>
        <v/>
      </c>
      <c r="L4637" s="63">
        <f>IF(tblMovement[[#This Row],[Destination]]="","",IFERROR(INDEX(tblDestinations[Type],MATCH(tblMovement[[#This Row],[Destination]],tblDestinations[Destination],0)),"?"))</f>
        <v/>
      </c>
      <c r="M4637" s="64">
        <f>IF(tblMovement[[#This Row],[Material]]="","",IF(LEFT(tblMovement[[#This Row],[Material]],3)="Ore",1,0))</f>
        <v/>
      </c>
      <c r="N4637" s="59">
        <f>IF(OR(tblMovement[[#This Row],[Tonnes_t]]="",tblMovement[[#This Row],[Grade_gpt]]=""),0,tblMovement[[#This Row],[Tonnes_t]]*tblMovement[[#This Row],[Grade_gpt]]/cfg_TroyOz)</f>
        <v/>
      </c>
      <c r="O4637" s="59">
        <f>IF(tblMovement[[#This Row],[Is_Ore]]=1,tblMovement[[#This Row],[Contained_oz]],0)</f>
        <v/>
      </c>
    </row>
    <row r="4638">
      <c r="A4638" s="54" t="n"/>
      <c r="B4638" s="61" t="n"/>
      <c r="C4638" s="61" t="n"/>
      <c r="D4638" s="61" t="n"/>
      <c r="E4638" s="61" t="n"/>
      <c r="F4638" s="55" t="n"/>
      <c r="G4638" s="56" t="n"/>
      <c r="H4638" s="55" t="n"/>
      <c r="I4638" s="62" t="n"/>
      <c r="J4638" s="58" t="n"/>
      <c r="K4638" s="63">
        <f>IF(tblMovement[[#This Row],[Source]]="","",IFERROR(INDEX(tblSources[Type],MATCH(tblMovement[[#This Row],[Source]],tblSources[Source],0)),"?"))</f>
        <v/>
      </c>
      <c r="L4638" s="63">
        <f>IF(tblMovement[[#This Row],[Destination]]="","",IFERROR(INDEX(tblDestinations[Type],MATCH(tblMovement[[#This Row],[Destination]],tblDestinations[Destination],0)),"?"))</f>
        <v/>
      </c>
      <c r="M4638" s="64">
        <f>IF(tblMovement[[#This Row],[Material]]="","",IF(LEFT(tblMovement[[#This Row],[Material]],3)="Ore",1,0))</f>
        <v/>
      </c>
      <c r="N4638" s="59">
        <f>IF(OR(tblMovement[[#This Row],[Tonnes_t]]="",tblMovement[[#This Row],[Grade_gpt]]=""),0,tblMovement[[#This Row],[Tonnes_t]]*tblMovement[[#This Row],[Grade_gpt]]/cfg_TroyOz)</f>
        <v/>
      </c>
      <c r="O4638" s="59">
        <f>IF(tblMovement[[#This Row],[Is_Ore]]=1,tblMovement[[#This Row],[Contained_oz]],0)</f>
        <v/>
      </c>
    </row>
    <row r="4639">
      <c r="A4639" s="54" t="n"/>
      <c r="B4639" s="61" t="n"/>
      <c r="C4639" s="61" t="n"/>
      <c r="D4639" s="61" t="n"/>
      <c r="E4639" s="61" t="n"/>
      <c r="F4639" s="55" t="n"/>
      <c r="G4639" s="56" t="n"/>
      <c r="H4639" s="55" t="n"/>
      <c r="I4639" s="62" t="n"/>
      <c r="J4639" s="58" t="n"/>
      <c r="K4639" s="63">
        <f>IF(tblMovement[[#This Row],[Source]]="","",IFERROR(INDEX(tblSources[Type],MATCH(tblMovement[[#This Row],[Source]],tblSources[Source],0)),"?"))</f>
        <v/>
      </c>
      <c r="L4639" s="63">
        <f>IF(tblMovement[[#This Row],[Destination]]="","",IFERROR(INDEX(tblDestinations[Type],MATCH(tblMovement[[#This Row],[Destination]],tblDestinations[Destination],0)),"?"))</f>
        <v/>
      </c>
      <c r="M4639" s="64">
        <f>IF(tblMovement[[#This Row],[Material]]="","",IF(LEFT(tblMovement[[#This Row],[Material]],3)="Ore",1,0))</f>
        <v/>
      </c>
      <c r="N4639" s="59">
        <f>IF(OR(tblMovement[[#This Row],[Tonnes_t]]="",tblMovement[[#This Row],[Grade_gpt]]=""),0,tblMovement[[#This Row],[Tonnes_t]]*tblMovement[[#This Row],[Grade_gpt]]/cfg_TroyOz)</f>
        <v/>
      </c>
      <c r="O4639" s="59">
        <f>IF(tblMovement[[#This Row],[Is_Ore]]=1,tblMovement[[#This Row],[Contained_oz]],0)</f>
        <v/>
      </c>
    </row>
    <row r="4640">
      <c r="A4640" s="54" t="n"/>
      <c r="B4640" s="61" t="n"/>
      <c r="C4640" s="61" t="n"/>
      <c r="D4640" s="61" t="n"/>
      <c r="E4640" s="61" t="n"/>
      <c r="F4640" s="55" t="n"/>
      <c r="G4640" s="56" t="n"/>
      <c r="H4640" s="55" t="n"/>
      <c r="I4640" s="62" t="n"/>
      <c r="J4640" s="58" t="n"/>
      <c r="K4640" s="63">
        <f>IF(tblMovement[[#This Row],[Source]]="","",IFERROR(INDEX(tblSources[Type],MATCH(tblMovement[[#This Row],[Source]],tblSources[Source],0)),"?"))</f>
        <v/>
      </c>
      <c r="L4640" s="63">
        <f>IF(tblMovement[[#This Row],[Destination]]="","",IFERROR(INDEX(tblDestinations[Type],MATCH(tblMovement[[#This Row],[Destination]],tblDestinations[Destination],0)),"?"))</f>
        <v/>
      </c>
      <c r="M4640" s="64">
        <f>IF(tblMovement[[#This Row],[Material]]="","",IF(LEFT(tblMovement[[#This Row],[Material]],3)="Ore",1,0))</f>
        <v/>
      </c>
      <c r="N4640" s="59">
        <f>IF(OR(tblMovement[[#This Row],[Tonnes_t]]="",tblMovement[[#This Row],[Grade_gpt]]=""),0,tblMovement[[#This Row],[Tonnes_t]]*tblMovement[[#This Row],[Grade_gpt]]/cfg_TroyOz)</f>
        <v/>
      </c>
      <c r="O4640" s="59">
        <f>IF(tblMovement[[#This Row],[Is_Ore]]=1,tblMovement[[#This Row],[Contained_oz]],0)</f>
        <v/>
      </c>
    </row>
    <row r="4641">
      <c r="A4641" s="54" t="n"/>
      <c r="B4641" s="61" t="n"/>
      <c r="C4641" s="61" t="n"/>
      <c r="D4641" s="61" t="n"/>
      <c r="E4641" s="61" t="n"/>
      <c r="F4641" s="55" t="n"/>
      <c r="G4641" s="56" t="n"/>
      <c r="H4641" s="55" t="n"/>
      <c r="I4641" s="62" t="n"/>
      <c r="J4641" s="58" t="n"/>
      <c r="K4641" s="63">
        <f>IF(tblMovement[[#This Row],[Source]]="","",IFERROR(INDEX(tblSources[Type],MATCH(tblMovement[[#This Row],[Source]],tblSources[Source],0)),"?"))</f>
        <v/>
      </c>
      <c r="L4641" s="63">
        <f>IF(tblMovement[[#This Row],[Destination]]="","",IFERROR(INDEX(tblDestinations[Type],MATCH(tblMovement[[#This Row],[Destination]],tblDestinations[Destination],0)),"?"))</f>
        <v/>
      </c>
      <c r="M4641" s="64">
        <f>IF(tblMovement[[#This Row],[Material]]="","",IF(LEFT(tblMovement[[#This Row],[Material]],3)="Ore",1,0))</f>
        <v/>
      </c>
      <c r="N4641" s="59">
        <f>IF(OR(tblMovement[[#This Row],[Tonnes_t]]="",tblMovement[[#This Row],[Grade_gpt]]=""),0,tblMovement[[#This Row],[Tonnes_t]]*tblMovement[[#This Row],[Grade_gpt]]/cfg_TroyOz)</f>
        <v/>
      </c>
      <c r="O4641" s="59">
        <f>IF(tblMovement[[#This Row],[Is_Ore]]=1,tblMovement[[#This Row],[Contained_oz]],0)</f>
        <v/>
      </c>
    </row>
    <row r="4642">
      <c r="A4642" s="54" t="n"/>
      <c r="B4642" s="61" t="n"/>
      <c r="C4642" s="61" t="n"/>
      <c r="D4642" s="61" t="n"/>
      <c r="E4642" s="61" t="n"/>
      <c r="F4642" s="55" t="n"/>
      <c r="G4642" s="56" t="n"/>
      <c r="H4642" s="55" t="n"/>
      <c r="I4642" s="62" t="n"/>
      <c r="J4642" s="58" t="n"/>
      <c r="K4642" s="63">
        <f>IF(tblMovement[[#This Row],[Source]]="","",IFERROR(INDEX(tblSources[Type],MATCH(tblMovement[[#This Row],[Source]],tblSources[Source],0)),"?"))</f>
        <v/>
      </c>
      <c r="L4642" s="63">
        <f>IF(tblMovement[[#This Row],[Destination]]="","",IFERROR(INDEX(tblDestinations[Type],MATCH(tblMovement[[#This Row],[Destination]],tblDestinations[Destination],0)),"?"))</f>
        <v/>
      </c>
      <c r="M4642" s="64">
        <f>IF(tblMovement[[#This Row],[Material]]="","",IF(LEFT(tblMovement[[#This Row],[Material]],3)="Ore",1,0))</f>
        <v/>
      </c>
      <c r="N4642" s="59">
        <f>IF(OR(tblMovement[[#This Row],[Tonnes_t]]="",tblMovement[[#This Row],[Grade_gpt]]=""),0,tblMovement[[#This Row],[Tonnes_t]]*tblMovement[[#This Row],[Grade_gpt]]/cfg_TroyOz)</f>
        <v/>
      </c>
      <c r="O4642" s="59">
        <f>IF(tblMovement[[#This Row],[Is_Ore]]=1,tblMovement[[#This Row],[Contained_oz]],0)</f>
        <v/>
      </c>
    </row>
    <row r="4643">
      <c r="A4643" s="54" t="n"/>
      <c r="B4643" s="61" t="n"/>
      <c r="C4643" s="61" t="n"/>
      <c r="D4643" s="61" t="n"/>
      <c r="E4643" s="61" t="n"/>
      <c r="F4643" s="55" t="n"/>
      <c r="G4643" s="56" t="n"/>
      <c r="H4643" s="55" t="n"/>
      <c r="I4643" s="62" t="n"/>
      <c r="J4643" s="58" t="n"/>
      <c r="K4643" s="63">
        <f>IF(tblMovement[[#This Row],[Source]]="","",IFERROR(INDEX(tblSources[Type],MATCH(tblMovement[[#This Row],[Source]],tblSources[Source],0)),"?"))</f>
        <v/>
      </c>
      <c r="L4643" s="63">
        <f>IF(tblMovement[[#This Row],[Destination]]="","",IFERROR(INDEX(tblDestinations[Type],MATCH(tblMovement[[#This Row],[Destination]],tblDestinations[Destination],0)),"?"))</f>
        <v/>
      </c>
      <c r="M4643" s="64">
        <f>IF(tblMovement[[#This Row],[Material]]="","",IF(LEFT(tblMovement[[#This Row],[Material]],3)="Ore",1,0))</f>
        <v/>
      </c>
      <c r="N4643" s="59">
        <f>IF(OR(tblMovement[[#This Row],[Tonnes_t]]="",tblMovement[[#This Row],[Grade_gpt]]=""),0,tblMovement[[#This Row],[Tonnes_t]]*tblMovement[[#This Row],[Grade_gpt]]/cfg_TroyOz)</f>
        <v/>
      </c>
      <c r="O4643" s="59">
        <f>IF(tblMovement[[#This Row],[Is_Ore]]=1,tblMovement[[#This Row],[Contained_oz]],0)</f>
        <v/>
      </c>
    </row>
    <row r="4644">
      <c r="A4644" s="54" t="n"/>
      <c r="B4644" s="61" t="n"/>
      <c r="C4644" s="61" t="n"/>
      <c r="D4644" s="61" t="n"/>
      <c r="E4644" s="61" t="n"/>
      <c r="F4644" s="55" t="n"/>
      <c r="G4644" s="56" t="n"/>
      <c r="H4644" s="55" t="n"/>
      <c r="I4644" s="62" t="n"/>
      <c r="J4644" s="58" t="n"/>
      <c r="K4644" s="63">
        <f>IF(tblMovement[[#This Row],[Source]]="","",IFERROR(INDEX(tblSources[Type],MATCH(tblMovement[[#This Row],[Source]],tblSources[Source],0)),"?"))</f>
        <v/>
      </c>
      <c r="L4644" s="63">
        <f>IF(tblMovement[[#This Row],[Destination]]="","",IFERROR(INDEX(tblDestinations[Type],MATCH(tblMovement[[#This Row],[Destination]],tblDestinations[Destination],0)),"?"))</f>
        <v/>
      </c>
      <c r="M4644" s="64">
        <f>IF(tblMovement[[#This Row],[Material]]="","",IF(LEFT(tblMovement[[#This Row],[Material]],3)="Ore",1,0))</f>
        <v/>
      </c>
      <c r="N4644" s="59">
        <f>IF(OR(tblMovement[[#This Row],[Tonnes_t]]="",tblMovement[[#This Row],[Grade_gpt]]=""),0,tblMovement[[#This Row],[Tonnes_t]]*tblMovement[[#This Row],[Grade_gpt]]/cfg_TroyOz)</f>
        <v/>
      </c>
      <c r="O4644" s="59">
        <f>IF(tblMovement[[#This Row],[Is_Ore]]=1,tblMovement[[#This Row],[Contained_oz]],0)</f>
        <v/>
      </c>
    </row>
    <row r="4645">
      <c r="A4645" s="54" t="n"/>
      <c r="B4645" s="61" t="n"/>
      <c r="C4645" s="61" t="n"/>
      <c r="D4645" s="61" t="n"/>
      <c r="E4645" s="61" t="n"/>
      <c r="F4645" s="55" t="n"/>
      <c r="G4645" s="56" t="n"/>
      <c r="H4645" s="55" t="n"/>
      <c r="I4645" s="62" t="n"/>
      <c r="J4645" s="58" t="n"/>
      <c r="K4645" s="63">
        <f>IF(tblMovement[[#This Row],[Source]]="","",IFERROR(INDEX(tblSources[Type],MATCH(tblMovement[[#This Row],[Source]],tblSources[Source],0)),"?"))</f>
        <v/>
      </c>
      <c r="L4645" s="63">
        <f>IF(tblMovement[[#This Row],[Destination]]="","",IFERROR(INDEX(tblDestinations[Type],MATCH(tblMovement[[#This Row],[Destination]],tblDestinations[Destination],0)),"?"))</f>
        <v/>
      </c>
      <c r="M4645" s="64">
        <f>IF(tblMovement[[#This Row],[Material]]="","",IF(LEFT(tblMovement[[#This Row],[Material]],3)="Ore",1,0))</f>
        <v/>
      </c>
      <c r="N4645" s="59">
        <f>IF(OR(tblMovement[[#This Row],[Tonnes_t]]="",tblMovement[[#This Row],[Grade_gpt]]=""),0,tblMovement[[#This Row],[Tonnes_t]]*tblMovement[[#This Row],[Grade_gpt]]/cfg_TroyOz)</f>
        <v/>
      </c>
      <c r="O4645" s="59">
        <f>IF(tblMovement[[#This Row],[Is_Ore]]=1,tblMovement[[#This Row],[Contained_oz]],0)</f>
        <v/>
      </c>
    </row>
    <row r="4646">
      <c r="A4646" s="54" t="n"/>
      <c r="B4646" s="61" t="n"/>
      <c r="C4646" s="61" t="n"/>
      <c r="D4646" s="61" t="n"/>
      <c r="E4646" s="61" t="n"/>
      <c r="F4646" s="55" t="n"/>
      <c r="G4646" s="56" t="n"/>
      <c r="H4646" s="55" t="n"/>
      <c r="I4646" s="62" t="n"/>
      <c r="J4646" s="58" t="n"/>
      <c r="K4646" s="63">
        <f>IF(tblMovement[[#This Row],[Source]]="","",IFERROR(INDEX(tblSources[Type],MATCH(tblMovement[[#This Row],[Source]],tblSources[Source],0)),"?"))</f>
        <v/>
      </c>
      <c r="L4646" s="63">
        <f>IF(tblMovement[[#This Row],[Destination]]="","",IFERROR(INDEX(tblDestinations[Type],MATCH(tblMovement[[#This Row],[Destination]],tblDestinations[Destination],0)),"?"))</f>
        <v/>
      </c>
      <c r="M4646" s="64">
        <f>IF(tblMovement[[#This Row],[Material]]="","",IF(LEFT(tblMovement[[#This Row],[Material]],3)="Ore",1,0))</f>
        <v/>
      </c>
      <c r="N4646" s="59">
        <f>IF(OR(tblMovement[[#This Row],[Tonnes_t]]="",tblMovement[[#This Row],[Grade_gpt]]=""),0,tblMovement[[#This Row],[Tonnes_t]]*tblMovement[[#This Row],[Grade_gpt]]/cfg_TroyOz)</f>
        <v/>
      </c>
      <c r="O4646" s="59">
        <f>IF(tblMovement[[#This Row],[Is_Ore]]=1,tblMovement[[#This Row],[Contained_oz]],0)</f>
        <v/>
      </c>
    </row>
    <row r="4647">
      <c r="A4647" s="54" t="n"/>
      <c r="B4647" s="61" t="n"/>
      <c r="C4647" s="61" t="n"/>
      <c r="D4647" s="61" t="n"/>
      <c r="E4647" s="61" t="n"/>
      <c r="F4647" s="55" t="n"/>
      <c r="G4647" s="56" t="n"/>
      <c r="H4647" s="55" t="n"/>
      <c r="I4647" s="62" t="n"/>
      <c r="J4647" s="58" t="n"/>
      <c r="K4647" s="63">
        <f>IF(tblMovement[[#This Row],[Source]]="","",IFERROR(INDEX(tblSources[Type],MATCH(tblMovement[[#This Row],[Source]],tblSources[Source],0)),"?"))</f>
        <v/>
      </c>
      <c r="L4647" s="63">
        <f>IF(tblMovement[[#This Row],[Destination]]="","",IFERROR(INDEX(tblDestinations[Type],MATCH(tblMovement[[#This Row],[Destination]],tblDestinations[Destination],0)),"?"))</f>
        <v/>
      </c>
      <c r="M4647" s="64">
        <f>IF(tblMovement[[#This Row],[Material]]="","",IF(LEFT(tblMovement[[#This Row],[Material]],3)="Ore",1,0))</f>
        <v/>
      </c>
      <c r="N4647" s="59">
        <f>IF(OR(tblMovement[[#This Row],[Tonnes_t]]="",tblMovement[[#This Row],[Grade_gpt]]=""),0,tblMovement[[#This Row],[Tonnes_t]]*tblMovement[[#This Row],[Grade_gpt]]/cfg_TroyOz)</f>
        <v/>
      </c>
      <c r="O4647" s="59">
        <f>IF(tblMovement[[#This Row],[Is_Ore]]=1,tblMovement[[#This Row],[Contained_oz]],0)</f>
        <v/>
      </c>
    </row>
    <row r="4648">
      <c r="A4648" s="54" t="n"/>
      <c r="B4648" s="61" t="n"/>
      <c r="C4648" s="61" t="n"/>
      <c r="D4648" s="61" t="n"/>
      <c r="E4648" s="61" t="n"/>
      <c r="F4648" s="55" t="n"/>
      <c r="G4648" s="56" t="n"/>
      <c r="H4648" s="55" t="n"/>
      <c r="I4648" s="62" t="n"/>
      <c r="J4648" s="58" t="n"/>
      <c r="K4648" s="63">
        <f>IF(tblMovement[[#This Row],[Source]]="","",IFERROR(INDEX(tblSources[Type],MATCH(tblMovement[[#This Row],[Source]],tblSources[Source],0)),"?"))</f>
        <v/>
      </c>
      <c r="L4648" s="63">
        <f>IF(tblMovement[[#This Row],[Destination]]="","",IFERROR(INDEX(tblDestinations[Type],MATCH(tblMovement[[#This Row],[Destination]],tblDestinations[Destination],0)),"?"))</f>
        <v/>
      </c>
      <c r="M4648" s="64">
        <f>IF(tblMovement[[#This Row],[Material]]="","",IF(LEFT(tblMovement[[#This Row],[Material]],3)="Ore",1,0))</f>
        <v/>
      </c>
      <c r="N4648" s="59">
        <f>IF(OR(tblMovement[[#This Row],[Tonnes_t]]="",tblMovement[[#This Row],[Grade_gpt]]=""),0,tblMovement[[#This Row],[Tonnes_t]]*tblMovement[[#This Row],[Grade_gpt]]/cfg_TroyOz)</f>
        <v/>
      </c>
      <c r="O4648" s="59">
        <f>IF(tblMovement[[#This Row],[Is_Ore]]=1,tblMovement[[#This Row],[Contained_oz]],0)</f>
        <v/>
      </c>
    </row>
    <row r="4649">
      <c r="A4649" s="54" t="n"/>
      <c r="B4649" s="61" t="n"/>
      <c r="C4649" s="61" t="n"/>
      <c r="D4649" s="61" t="n"/>
      <c r="E4649" s="61" t="n"/>
      <c r="F4649" s="55" t="n"/>
      <c r="G4649" s="56" t="n"/>
      <c r="H4649" s="55" t="n"/>
      <c r="I4649" s="62" t="n"/>
      <c r="J4649" s="58" t="n"/>
      <c r="K4649" s="63">
        <f>IF(tblMovement[[#This Row],[Source]]="","",IFERROR(INDEX(tblSources[Type],MATCH(tblMovement[[#This Row],[Source]],tblSources[Source],0)),"?"))</f>
        <v/>
      </c>
      <c r="L4649" s="63">
        <f>IF(tblMovement[[#This Row],[Destination]]="","",IFERROR(INDEX(tblDestinations[Type],MATCH(tblMovement[[#This Row],[Destination]],tblDestinations[Destination],0)),"?"))</f>
        <v/>
      </c>
      <c r="M4649" s="64">
        <f>IF(tblMovement[[#This Row],[Material]]="","",IF(LEFT(tblMovement[[#This Row],[Material]],3)="Ore",1,0))</f>
        <v/>
      </c>
      <c r="N4649" s="59">
        <f>IF(OR(tblMovement[[#This Row],[Tonnes_t]]="",tblMovement[[#This Row],[Grade_gpt]]=""),0,tblMovement[[#This Row],[Tonnes_t]]*tblMovement[[#This Row],[Grade_gpt]]/cfg_TroyOz)</f>
        <v/>
      </c>
      <c r="O4649" s="59">
        <f>IF(tblMovement[[#This Row],[Is_Ore]]=1,tblMovement[[#This Row],[Contained_oz]],0)</f>
        <v/>
      </c>
    </row>
    <row r="4650">
      <c r="A4650" s="54" t="n"/>
      <c r="B4650" s="61" t="n"/>
      <c r="C4650" s="61" t="n"/>
      <c r="D4650" s="61" t="n"/>
      <c r="E4650" s="61" t="n"/>
      <c r="F4650" s="55" t="n"/>
      <c r="G4650" s="56" t="n"/>
      <c r="H4650" s="55" t="n"/>
      <c r="I4650" s="62" t="n"/>
      <c r="J4650" s="58" t="n"/>
      <c r="K4650" s="63">
        <f>IF(tblMovement[[#This Row],[Source]]="","",IFERROR(INDEX(tblSources[Type],MATCH(tblMovement[[#This Row],[Source]],tblSources[Source],0)),"?"))</f>
        <v/>
      </c>
      <c r="L4650" s="63">
        <f>IF(tblMovement[[#This Row],[Destination]]="","",IFERROR(INDEX(tblDestinations[Type],MATCH(tblMovement[[#This Row],[Destination]],tblDestinations[Destination],0)),"?"))</f>
        <v/>
      </c>
      <c r="M4650" s="64">
        <f>IF(tblMovement[[#This Row],[Material]]="","",IF(LEFT(tblMovement[[#This Row],[Material]],3)="Ore",1,0))</f>
        <v/>
      </c>
      <c r="N4650" s="59">
        <f>IF(OR(tblMovement[[#This Row],[Tonnes_t]]="",tblMovement[[#This Row],[Grade_gpt]]=""),0,tblMovement[[#This Row],[Tonnes_t]]*tblMovement[[#This Row],[Grade_gpt]]/cfg_TroyOz)</f>
        <v/>
      </c>
      <c r="O4650" s="59">
        <f>IF(tblMovement[[#This Row],[Is_Ore]]=1,tblMovement[[#This Row],[Contained_oz]],0)</f>
        <v/>
      </c>
    </row>
    <row r="4651">
      <c r="A4651" s="54" t="n"/>
      <c r="B4651" s="61" t="n"/>
      <c r="C4651" s="61" t="n"/>
      <c r="D4651" s="61" t="n"/>
      <c r="E4651" s="61" t="n"/>
      <c r="F4651" s="55" t="n"/>
      <c r="G4651" s="56" t="n"/>
      <c r="H4651" s="55" t="n"/>
      <c r="I4651" s="62" t="n"/>
      <c r="J4651" s="58" t="n"/>
      <c r="K4651" s="63">
        <f>IF(tblMovement[[#This Row],[Source]]="","",IFERROR(INDEX(tblSources[Type],MATCH(tblMovement[[#This Row],[Source]],tblSources[Source],0)),"?"))</f>
        <v/>
      </c>
      <c r="L4651" s="63">
        <f>IF(tblMovement[[#This Row],[Destination]]="","",IFERROR(INDEX(tblDestinations[Type],MATCH(tblMovement[[#This Row],[Destination]],tblDestinations[Destination],0)),"?"))</f>
        <v/>
      </c>
      <c r="M4651" s="64">
        <f>IF(tblMovement[[#This Row],[Material]]="","",IF(LEFT(tblMovement[[#This Row],[Material]],3)="Ore",1,0))</f>
        <v/>
      </c>
      <c r="N4651" s="59">
        <f>IF(OR(tblMovement[[#This Row],[Tonnes_t]]="",tblMovement[[#This Row],[Grade_gpt]]=""),0,tblMovement[[#This Row],[Tonnes_t]]*tblMovement[[#This Row],[Grade_gpt]]/cfg_TroyOz)</f>
        <v/>
      </c>
      <c r="O4651" s="59">
        <f>IF(tblMovement[[#This Row],[Is_Ore]]=1,tblMovement[[#This Row],[Contained_oz]],0)</f>
        <v/>
      </c>
    </row>
    <row r="4652">
      <c r="A4652" s="54" t="n"/>
      <c r="B4652" s="61" t="n"/>
      <c r="C4652" s="61" t="n"/>
      <c r="D4652" s="61" t="n"/>
      <c r="E4652" s="61" t="n"/>
      <c r="F4652" s="55" t="n"/>
      <c r="G4652" s="56" t="n"/>
      <c r="H4652" s="55" t="n"/>
      <c r="I4652" s="62" t="n"/>
      <c r="J4652" s="58" t="n"/>
      <c r="K4652" s="63">
        <f>IF(tblMovement[[#This Row],[Source]]="","",IFERROR(INDEX(tblSources[Type],MATCH(tblMovement[[#This Row],[Source]],tblSources[Source],0)),"?"))</f>
        <v/>
      </c>
      <c r="L4652" s="63">
        <f>IF(tblMovement[[#This Row],[Destination]]="","",IFERROR(INDEX(tblDestinations[Type],MATCH(tblMovement[[#This Row],[Destination]],tblDestinations[Destination],0)),"?"))</f>
        <v/>
      </c>
      <c r="M4652" s="64">
        <f>IF(tblMovement[[#This Row],[Material]]="","",IF(LEFT(tblMovement[[#This Row],[Material]],3)="Ore",1,0))</f>
        <v/>
      </c>
      <c r="N4652" s="59">
        <f>IF(OR(tblMovement[[#This Row],[Tonnes_t]]="",tblMovement[[#This Row],[Grade_gpt]]=""),0,tblMovement[[#This Row],[Tonnes_t]]*tblMovement[[#This Row],[Grade_gpt]]/cfg_TroyOz)</f>
        <v/>
      </c>
      <c r="O4652" s="59">
        <f>IF(tblMovement[[#This Row],[Is_Ore]]=1,tblMovement[[#This Row],[Contained_oz]],0)</f>
        <v/>
      </c>
    </row>
    <row r="4653">
      <c r="A4653" s="54" t="n"/>
      <c r="B4653" s="61" t="n"/>
      <c r="C4653" s="61" t="n"/>
      <c r="D4653" s="61" t="n"/>
      <c r="E4653" s="61" t="n"/>
      <c r="F4653" s="55" t="n"/>
      <c r="G4653" s="56" t="n"/>
      <c r="H4653" s="55" t="n"/>
      <c r="I4653" s="62" t="n"/>
      <c r="J4653" s="58" t="n"/>
      <c r="K4653" s="63">
        <f>IF(tblMovement[[#This Row],[Source]]="","",IFERROR(INDEX(tblSources[Type],MATCH(tblMovement[[#This Row],[Source]],tblSources[Source],0)),"?"))</f>
        <v/>
      </c>
      <c r="L4653" s="63">
        <f>IF(tblMovement[[#This Row],[Destination]]="","",IFERROR(INDEX(tblDestinations[Type],MATCH(tblMovement[[#This Row],[Destination]],tblDestinations[Destination],0)),"?"))</f>
        <v/>
      </c>
      <c r="M4653" s="64">
        <f>IF(tblMovement[[#This Row],[Material]]="","",IF(LEFT(tblMovement[[#This Row],[Material]],3)="Ore",1,0))</f>
        <v/>
      </c>
      <c r="N4653" s="59">
        <f>IF(OR(tblMovement[[#This Row],[Tonnes_t]]="",tblMovement[[#This Row],[Grade_gpt]]=""),0,tblMovement[[#This Row],[Tonnes_t]]*tblMovement[[#This Row],[Grade_gpt]]/cfg_TroyOz)</f>
        <v/>
      </c>
      <c r="O4653" s="59">
        <f>IF(tblMovement[[#This Row],[Is_Ore]]=1,tblMovement[[#This Row],[Contained_oz]],0)</f>
        <v/>
      </c>
    </row>
    <row r="4654">
      <c r="A4654" s="54" t="n"/>
      <c r="B4654" s="61" t="n"/>
      <c r="C4654" s="61" t="n"/>
      <c r="D4654" s="61" t="n"/>
      <c r="E4654" s="61" t="n"/>
      <c r="F4654" s="55" t="n"/>
      <c r="G4654" s="56" t="n"/>
      <c r="H4654" s="55" t="n"/>
      <c r="I4654" s="62" t="n"/>
      <c r="J4654" s="58" t="n"/>
      <c r="K4654" s="63">
        <f>IF(tblMovement[[#This Row],[Source]]="","",IFERROR(INDEX(tblSources[Type],MATCH(tblMovement[[#This Row],[Source]],tblSources[Source],0)),"?"))</f>
        <v/>
      </c>
      <c r="L4654" s="63">
        <f>IF(tblMovement[[#This Row],[Destination]]="","",IFERROR(INDEX(tblDestinations[Type],MATCH(tblMovement[[#This Row],[Destination]],tblDestinations[Destination],0)),"?"))</f>
        <v/>
      </c>
      <c r="M4654" s="64">
        <f>IF(tblMovement[[#This Row],[Material]]="","",IF(LEFT(tblMovement[[#This Row],[Material]],3)="Ore",1,0))</f>
        <v/>
      </c>
      <c r="N4654" s="59">
        <f>IF(OR(tblMovement[[#This Row],[Tonnes_t]]="",tblMovement[[#This Row],[Grade_gpt]]=""),0,tblMovement[[#This Row],[Tonnes_t]]*tblMovement[[#This Row],[Grade_gpt]]/cfg_TroyOz)</f>
        <v/>
      </c>
      <c r="O4654" s="59">
        <f>IF(tblMovement[[#This Row],[Is_Ore]]=1,tblMovement[[#This Row],[Contained_oz]],0)</f>
        <v/>
      </c>
    </row>
    <row r="4655">
      <c r="A4655" s="54" t="n"/>
      <c r="B4655" s="61" t="n"/>
      <c r="C4655" s="61" t="n"/>
      <c r="D4655" s="61" t="n"/>
      <c r="E4655" s="61" t="n"/>
      <c r="F4655" s="55" t="n"/>
      <c r="G4655" s="56" t="n"/>
      <c r="H4655" s="55" t="n"/>
      <c r="I4655" s="62" t="n"/>
      <c r="J4655" s="58" t="n"/>
      <c r="K4655" s="63">
        <f>IF(tblMovement[[#This Row],[Source]]="","",IFERROR(INDEX(tblSources[Type],MATCH(tblMovement[[#This Row],[Source]],tblSources[Source],0)),"?"))</f>
        <v/>
      </c>
      <c r="L4655" s="63">
        <f>IF(tblMovement[[#This Row],[Destination]]="","",IFERROR(INDEX(tblDestinations[Type],MATCH(tblMovement[[#This Row],[Destination]],tblDestinations[Destination],0)),"?"))</f>
        <v/>
      </c>
      <c r="M4655" s="64">
        <f>IF(tblMovement[[#This Row],[Material]]="","",IF(LEFT(tblMovement[[#This Row],[Material]],3)="Ore",1,0))</f>
        <v/>
      </c>
      <c r="N4655" s="59">
        <f>IF(OR(tblMovement[[#This Row],[Tonnes_t]]="",tblMovement[[#This Row],[Grade_gpt]]=""),0,tblMovement[[#This Row],[Tonnes_t]]*tblMovement[[#This Row],[Grade_gpt]]/cfg_TroyOz)</f>
        <v/>
      </c>
      <c r="O4655" s="59">
        <f>IF(tblMovement[[#This Row],[Is_Ore]]=1,tblMovement[[#This Row],[Contained_oz]],0)</f>
        <v/>
      </c>
    </row>
    <row r="4656">
      <c r="A4656" s="54" t="n"/>
      <c r="B4656" s="61" t="n"/>
      <c r="C4656" s="61" t="n"/>
      <c r="D4656" s="61" t="n"/>
      <c r="E4656" s="61" t="n"/>
      <c r="F4656" s="55" t="n"/>
      <c r="G4656" s="56" t="n"/>
      <c r="H4656" s="55" t="n"/>
      <c r="I4656" s="62" t="n"/>
      <c r="J4656" s="58" t="n"/>
      <c r="K4656" s="63">
        <f>IF(tblMovement[[#This Row],[Source]]="","",IFERROR(INDEX(tblSources[Type],MATCH(tblMovement[[#This Row],[Source]],tblSources[Source],0)),"?"))</f>
        <v/>
      </c>
      <c r="L4656" s="63">
        <f>IF(tblMovement[[#This Row],[Destination]]="","",IFERROR(INDEX(tblDestinations[Type],MATCH(tblMovement[[#This Row],[Destination]],tblDestinations[Destination],0)),"?"))</f>
        <v/>
      </c>
      <c r="M4656" s="64">
        <f>IF(tblMovement[[#This Row],[Material]]="","",IF(LEFT(tblMovement[[#This Row],[Material]],3)="Ore",1,0))</f>
        <v/>
      </c>
      <c r="N4656" s="59">
        <f>IF(OR(tblMovement[[#This Row],[Tonnes_t]]="",tblMovement[[#This Row],[Grade_gpt]]=""),0,tblMovement[[#This Row],[Tonnes_t]]*tblMovement[[#This Row],[Grade_gpt]]/cfg_TroyOz)</f>
        <v/>
      </c>
      <c r="O4656" s="59">
        <f>IF(tblMovement[[#This Row],[Is_Ore]]=1,tblMovement[[#This Row],[Contained_oz]],0)</f>
        <v/>
      </c>
    </row>
    <row r="4657">
      <c r="A4657" s="54" t="n"/>
      <c r="B4657" s="61" t="n"/>
      <c r="C4657" s="61" t="n"/>
      <c r="D4657" s="61" t="n"/>
      <c r="E4657" s="61" t="n"/>
      <c r="F4657" s="55" t="n"/>
      <c r="G4657" s="56" t="n"/>
      <c r="H4657" s="55" t="n"/>
      <c r="I4657" s="62" t="n"/>
      <c r="J4657" s="58" t="n"/>
      <c r="K4657" s="63">
        <f>IF(tblMovement[[#This Row],[Source]]="","",IFERROR(INDEX(tblSources[Type],MATCH(tblMovement[[#This Row],[Source]],tblSources[Source],0)),"?"))</f>
        <v/>
      </c>
      <c r="L4657" s="63">
        <f>IF(tblMovement[[#This Row],[Destination]]="","",IFERROR(INDEX(tblDestinations[Type],MATCH(tblMovement[[#This Row],[Destination]],tblDestinations[Destination],0)),"?"))</f>
        <v/>
      </c>
      <c r="M4657" s="64">
        <f>IF(tblMovement[[#This Row],[Material]]="","",IF(LEFT(tblMovement[[#This Row],[Material]],3)="Ore",1,0))</f>
        <v/>
      </c>
      <c r="N4657" s="59">
        <f>IF(OR(tblMovement[[#This Row],[Tonnes_t]]="",tblMovement[[#This Row],[Grade_gpt]]=""),0,tblMovement[[#This Row],[Tonnes_t]]*tblMovement[[#This Row],[Grade_gpt]]/cfg_TroyOz)</f>
        <v/>
      </c>
      <c r="O4657" s="59">
        <f>IF(tblMovement[[#This Row],[Is_Ore]]=1,tblMovement[[#This Row],[Contained_oz]],0)</f>
        <v/>
      </c>
    </row>
    <row r="4658">
      <c r="A4658" s="54" t="n"/>
      <c r="B4658" s="61" t="n"/>
      <c r="C4658" s="61" t="n"/>
      <c r="D4658" s="61" t="n"/>
      <c r="E4658" s="61" t="n"/>
      <c r="F4658" s="55" t="n"/>
      <c r="G4658" s="56" t="n"/>
      <c r="H4658" s="55" t="n"/>
      <c r="I4658" s="62" t="n"/>
      <c r="J4658" s="58" t="n"/>
      <c r="K4658" s="63">
        <f>IF(tblMovement[[#This Row],[Source]]="","",IFERROR(INDEX(tblSources[Type],MATCH(tblMovement[[#This Row],[Source]],tblSources[Source],0)),"?"))</f>
        <v/>
      </c>
      <c r="L4658" s="63">
        <f>IF(tblMovement[[#This Row],[Destination]]="","",IFERROR(INDEX(tblDestinations[Type],MATCH(tblMovement[[#This Row],[Destination]],tblDestinations[Destination],0)),"?"))</f>
        <v/>
      </c>
      <c r="M4658" s="64">
        <f>IF(tblMovement[[#This Row],[Material]]="","",IF(LEFT(tblMovement[[#This Row],[Material]],3)="Ore",1,0))</f>
        <v/>
      </c>
      <c r="N4658" s="59">
        <f>IF(OR(tblMovement[[#This Row],[Tonnes_t]]="",tblMovement[[#This Row],[Grade_gpt]]=""),0,tblMovement[[#This Row],[Tonnes_t]]*tblMovement[[#This Row],[Grade_gpt]]/cfg_TroyOz)</f>
        <v/>
      </c>
      <c r="O4658" s="59">
        <f>IF(tblMovement[[#This Row],[Is_Ore]]=1,tblMovement[[#This Row],[Contained_oz]],0)</f>
        <v/>
      </c>
    </row>
    <row r="4659">
      <c r="A4659" s="54" t="n"/>
      <c r="B4659" s="61" t="n"/>
      <c r="C4659" s="61" t="n"/>
      <c r="D4659" s="61" t="n"/>
      <c r="E4659" s="61" t="n"/>
      <c r="F4659" s="55" t="n"/>
      <c r="G4659" s="56" t="n"/>
      <c r="H4659" s="55" t="n"/>
      <c r="I4659" s="62" t="n"/>
      <c r="J4659" s="58" t="n"/>
      <c r="K4659" s="63">
        <f>IF(tblMovement[[#This Row],[Source]]="","",IFERROR(INDEX(tblSources[Type],MATCH(tblMovement[[#This Row],[Source]],tblSources[Source],0)),"?"))</f>
        <v/>
      </c>
      <c r="L4659" s="63">
        <f>IF(tblMovement[[#This Row],[Destination]]="","",IFERROR(INDEX(tblDestinations[Type],MATCH(tblMovement[[#This Row],[Destination]],tblDestinations[Destination],0)),"?"))</f>
        <v/>
      </c>
      <c r="M4659" s="64">
        <f>IF(tblMovement[[#This Row],[Material]]="","",IF(LEFT(tblMovement[[#This Row],[Material]],3)="Ore",1,0))</f>
        <v/>
      </c>
      <c r="N4659" s="59">
        <f>IF(OR(tblMovement[[#This Row],[Tonnes_t]]="",tblMovement[[#This Row],[Grade_gpt]]=""),0,tblMovement[[#This Row],[Tonnes_t]]*tblMovement[[#This Row],[Grade_gpt]]/cfg_TroyOz)</f>
        <v/>
      </c>
      <c r="O4659" s="59">
        <f>IF(tblMovement[[#This Row],[Is_Ore]]=1,tblMovement[[#This Row],[Contained_oz]],0)</f>
        <v/>
      </c>
    </row>
    <row r="4660">
      <c r="A4660" s="54" t="n"/>
      <c r="B4660" s="61" t="n"/>
      <c r="C4660" s="61" t="n"/>
      <c r="D4660" s="61" t="n"/>
      <c r="E4660" s="61" t="n"/>
      <c r="F4660" s="55" t="n"/>
      <c r="G4660" s="56" t="n"/>
      <c r="H4660" s="55" t="n"/>
      <c r="I4660" s="62" t="n"/>
      <c r="J4660" s="58" t="n"/>
      <c r="K4660" s="63">
        <f>IF(tblMovement[[#This Row],[Source]]="","",IFERROR(INDEX(tblSources[Type],MATCH(tblMovement[[#This Row],[Source]],tblSources[Source],0)),"?"))</f>
        <v/>
      </c>
      <c r="L4660" s="63">
        <f>IF(tblMovement[[#This Row],[Destination]]="","",IFERROR(INDEX(tblDestinations[Type],MATCH(tblMovement[[#This Row],[Destination]],tblDestinations[Destination],0)),"?"))</f>
        <v/>
      </c>
      <c r="M4660" s="64">
        <f>IF(tblMovement[[#This Row],[Material]]="","",IF(LEFT(tblMovement[[#This Row],[Material]],3)="Ore",1,0))</f>
        <v/>
      </c>
      <c r="N4660" s="59">
        <f>IF(OR(tblMovement[[#This Row],[Tonnes_t]]="",tblMovement[[#This Row],[Grade_gpt]]=""),0,tblMovement[[#This Row],[Tonnes_t]]*tblMovement[[#This Row],[Grade_gpt]]/cfg_TroyOz)</f>
        <v/>
      </c>
      <c r="O4660" s="59">
        <f>IF(tblMovement[[#This Row],[Is_Ore]]=1,tblMovement[[#This Row],[Contained_oz]],0)</f>
        <v/>
      </c>
    </row>
    <row r="4661">
      <c r="A4661" s="54" t="n"/>
      <c r="B4661" s="61" t="n"/>
      <c r="C4661" s="61" t="n"/>
      <c r="D4661" s="61" t="n"/>
      <c r="E4661" s="61" t="n"/>
      <c r="F4661" s="55" t="n"/>
      <c r="G4661" s="56" t="n"/>
      <c r="H4661" s="55" t="n"/>
      <c r="I4661" s="62" t="n"/>
      <c r="J4661" s="58" t="n"/>
      <c r="K4661" s="63">
        <f>IF(tblMovement[[#This Row],[Source]]="","",IFERROR(INDEX(tblSources[Type],MATCH(tblMovement[[#This Row],[Source]],tblSources[Source],0)),"?"))</f>
        <v/>
      </c>
      <c r="L4661" s="63">
        <f>IF(tblMovement[[#This Row],[Destination]]="","",IFERROR(INDEX(tblDestinations[Type],MATCH(tblMovement[[#This Row],[Destination]],tblDestinations[Destination],0)),"?"))</f>
        <v/>
      </c>
      <c r="M4661" s="64">
        <f>IF(tblMovement[[#This Row],[Material]]="","",IF(LEFT(tblMovement[[#This Row],[Material]],3)="Ore",1,0))</f>
        <v/>
      </c>
      <c r="N4661" s="59">
        <f>IF(OR(tblMovement[[#This Row],[Tonnes_t]]="",tblMovement[[#This Row],[Grade_gpt]]=""),0,tblMovement[[#This Row],[Tonnes_t]]*tblMovement[[#This Row],[Grade_gpt]]/cfg_TroyOz)</f>
        <v/>
      </c>
      <c r="O4661" s="59">
        <f>IF(tblMovement[[#This Row],[Is_Ore]]=1,tblMovement[[#This Row],[Contained_oz]],0)</f>
        <v/>
      </c>
    </row>
    <row r="4662">
      <c r="A4662" s="54" t="n"/>
      <c r="B4662" s="61" t="n"/>
      <c r="C4662" s="61" t="n"/>
      <c r="D4662" s="61" t="n"/>
      <c r="E4662" s="61" t="n"/>
      <c r="F4662" s="55" t="n"/>
      <c r="G4662" s="56" t="n"/>
      <c r="H4662" s="55" t="n"/>
      <c r="I4662" s="62" t="n"/>
      <c r="J4662" s="58" t="n"/>
      <c r="K4662" s="63">
        <f>IF(tblMovement[[#This Row],[Source]]="","",IFERROR(INDEX(tblSources[Type],MATCH(tblMovement[[#This Row],[Source]],tblSources[Source],0)),"?"))</f>
        <v/>
      </c>
      <c r="L4662" s="63">
        <f>IF(tblMovement[[#This Row],[Destination]]="","",IFERROR(INDEX(tblDestinations[Type],MATCH(tblMovement[[#This Row],[Destination]],tblDestinations[Destination],0)),"?"))</f>
        <v/>
      </c>
      <c r="M4662" s="64">
        <f>IF(tblMovement[[#This Row],[Material]]="","",IF(LEFT(tblMovement[[#This Row],[Material]],3)="Ore",1,0))</f>
        <v/>
      </c>
      <c r="N4662" s="59">
        <f>IF(OR(tblMovement[[#This Row],[Tonnes_t]]="",tblMovement[[#This Row],[Grade_gpt]]=""),0,tblMovement[[#This Row],[Tonnes_t]]*tblMovement[[#This Row],[Grade_gpt]]/cfg_TroyOz)</f>
        <v/>
      </c>
      <c r="O4662" s="59">
        <f>IF(tblMovement[[#This Row],[Is_Ore]]=1,tblMovement[[#This Row],[Contained_oz]],0)</f>
        <v/>
      </c>
    </row>
    <row r="4663">
      <c r="A4663" s="54" t="n"/>
      <c r="B4663" s="61" t="n"/>
      <c r="C4663" s="61" t="n"/>
      <c r="D4663" s="61" t="n"/>
      <c r="E4663" s="61" t="n"/>
      <c r="F4663" s="55" t="n"/>
      <c r="G4663" s="56" t="n"/>
      <c r="H4663" s="55" t="n"/>
      <c r="I4663" s="62" t="n"/>
      <c r="J4663" s="58" t="n"/>
      <c r="K4663" s="63">
        <f>IF(tblMovement[[#This Row],[Source]]="","",IFERROR(INDEX(tblSources[Type],MATCH(tblMovement[[#This Row],[Source]],tblSources[Source],0)),"?"))</f>
        <v/>
      </c>
      <c r="L4663" s="63">
        <f>IF(tblMovement[[#This Row],[Destination]]="","",IFERROR(INDEX(tblDestinations[Type],MATCH(tblMovement[[#This Row],[Destination]],tblDestinations[Destination],0)),"?"))</f>
        <v/>
      </c>
      <c r="M4663" s="64">
        <f>IF(tblMovement[[#This Row],[Material]]="","",IF(LEFT(tblMovement[[#This Row],[Material]],3)="Ore",1,0))</f>
        <v/>
      </c>
      <c r="N4663" s="59">
        <f>IF(OR(tblMovement[[#This Row],[Tonnes_t]]="",tblMovement[[#This Row],[Grade_gpt]]=""),0,tblMovement[[#This Row],[Tonnes_t]]*tblMovement[[#This Row],[Grade_gpt]]/cfg_TroyOz)</f>
        <v/>
      </c>
      <c r="O4663" s="59">
        <f>IF(tblMovement[[#This Row],[Is_Ore]]=1,tblMovement[[#This Row],[Contained_oz]],0)</f>
        <v/>
      </c>
    </row>
    <row r="4664">
      <c r="A4664" s="54" t="n"/>
      <c r="B4664" s="61" t="n"/>
      <c r="C4664" s="61" t="n"/>
      <c r="D4664" s="61" t="n"/>
      <c r="E4664" s="61" t="n"/>
      <c r="F4664" s="55" t="n"/>
      <c r="G4664" s="56" t="n"/>
      <c r="H4664" s="55" t="n"/>
      <c r="I4664" s="62" t="n"/>
      <c r="J4664" s="58" t="n"/>
      <c r="K4664" s="63">
        <f>IF(tblMovement[[#This Row],[Source]]="","",IFERROR(INDEX(tblSources[Type],MATCH(tblMovement[[#This Row],[Source]],tblSources[Source],0)),"?"))</f>
        <v/>
      </c>
      <c r="L4664" s="63">
        <f>IF(tblMovement[[#This Row],[Destination]]="","",IFERROR(INDEX(tblDestinations[Type],MATCH(tblMovement[[#This Row],[Destination]],tblDestinations[Destination],0)),"?"))</f>
        <v/>
      </c>
      <c r="M4664" s="64">
        <f>IF(tblMovement[[#This Row],[Material]]="","",IF(LEFT(tblMovement[[#This Row],[Material]],3)="Ore",1,0))</f>
        <v/>
      </c>
      <c r="N4664" s="59">
        <f>IF(OR(tblMovement[[#This Row],[Tonnes_t]]="",tblMovement[[#This Row],[Grade_gpt]]=""),0,tblMovement[[#This Row],[Tonnes_t]]*tblMovement[[#This Row],[Grade_gpt]]/cfg_TroyOz)</f>
        <v/>
      </c>
      <c r="O4664" s="59">
        <f>IF(tblMovement[[#This Row],[Is_Ore]]=1,tblMovement[[#This Row],[Contained_oz]],0)</f>
        <v/>
      </c>
    </row>
    <row r="4665">
      <c r="A4665" s="54" t="n"/>
      <c r="B4665" s="61" t="n"/>
      <c r="C4665" s="61" t="n"/>
      <c r="D4665" s="61" t="n"/>
      <c r="E4665" s="61" t="n"/>
      <c r="F4665" s="55" t="n"/>
      <c r="G4665" s="56" t="n"/>
      <c r="H4665" s="55" t="n"/>
      <c r="I4665" s="62" t="n"/>
      <c r="J4665" s="58" t="n"/>
      <c r="K4665" s="63">
        <f>IF(tblMovement[[#This Row],[Source]]="","",IFERROR(INDEX(tblSources[Type],MATCH(tblMovement[[#This Row],[Source]],tblSources[Source],0)),"?"))</f>
        <v/>
      </c>
      <c r="L4665" s="63">
        <f>IF(tblMovement[[#This Row],[Destination]]="","",IFERROR(INDEX(tblDestinations[Type],MATCH(tblMovement[[#This Row],[Destination]],tblDestinations[Destination],0)),"?"))</f>
        <v/>
      </c>
      <c r="M4665" s="64">
        <f>IF(tblMovement[[#This Row],[Material]]="","",IF(LEFT(tblMovement[[#This Row],[Material]],3)="Ore",1,0))</f>
        <v/>
      </c>
      <c r="N4665" s="59">
        <f>IF(OR(tblMovement[[#This Row],[Tonnes_t]]="",tblMovement[[#This Row],[Grade_gpt]]=""),0,tblMovement[[#This Row],[Tonnes_t]]*tblMovement[[#This Row],[Grade_gpt]]/cfg_TroyOz)</f>
        <v/>
      </c>
      <c r="O4665" s="59">
        <f>IF(tblMovement[[#This Row],[Is_Ore]]=1,tblMovement[[#This Row],[Contained_oz]],0)</f>
        <v/>
      </c>
    </row>
    <row r="4666">
      <c r="A4666" s="54" t="n"/>
      <c r="B4666" s="61" t="n"/>
      <c r="C4666" s="61" t="n"/>
      <c r="D4666" s="61" t="n"/>
      <c r="E4666" s="61" t="n"/>
      <c r="F4666" s="55" t="n"/>
      <c r="G4666" s="56" t="n"/>
      <c r="H4666" s="55" t="n"/>
      <c r="I4666" s="62" t="n"/>
      <c r="J4666" s="58" t="n"/>
      <c r="K4666" s="63">
        <f>IF(tblMovement[[#This Row],[Source]]="","",IFERROR(INDEX(tblSources[Type],MATCH(tblMovement[[#This Row],[Source]],tblSources[Source],0)),"?"))</f>
        <v/>
      </c>
      <c r="L4666" s="63">
        <f>IF(tblMovement[[#This Row],[Destination]]="","",IFERROR(INDEX(tblDestinations[Type],MATCH(tblMovement[[#This Row],[Destination]],tblDestinations[Destination],0)),"?"))</f>
        <v/>
      </c>
      <c r="M4666" s="64">
        <f>IF(tblMovement[[#This Row],[Material]]="","",IF(LEFT(tblMovement[[#This Row],[Material]],3)="Ore",1,0))</f>
        <v/>
      </c>
      <c r="N4666" s="59">
        <f>IF(OR(tblMovement[[#This Row],[Tonnes_t]]="",tblMovement[[#This Row],[Grade_gpt]]=""),0,tblMovement[[#This Row],[Tonnes_t]]*tblMovement[[#This Row],[Grade_gpt]]/cfg_TroyOz)</f>
        <v/>
      </c>
      <c r="O4666" s="59">
        <f>IF(tblMovement[[#This Row],[Is_Ore]]=1,tblMovement[[#This Row],[Contained_oz]],0)</f>
        <v/>
      </c>
    </row>
    <row r="4667">
      <c r="A4667" s="54" t="n"/>
      <c r="B4667" s="61" t="n"/>
      <c r="C4667" s="61" t="n"/>
      <c r="D4667" s="61" t="n"/>
      <c r="E4667" s="61" t="n"/>
      <c r="F4667" s="55" t="n"/>
      <c r="G4667" s="56" t="n"/>
      <c r="H4667" s="55" t="n"/>
      <c r="I4667" s="62" t="n"/>
      <c r="J4667" s="58" t="n"/>
      <c r="K4667" s="63">
        <f>IF(tblMovement[[#This Row],[Source]]="","",IFERROR(INDEX(tblSources[Type],MATCH(tblMovement[[#This Row],[Source]],tblSources[Source],0)),"?"))</f>
        <v/>
      </c>
      <c r="L4667" s="63">
        <f>IF(tblMovement[[#This Row],[Destination]]="","",IFERROR(INDEX(tblDestinations[Type],MATCH(tblMovement[[#This Row],[Destination]],tblDestinations[Destination],0)),"?"))</f>
        <v/>
      </c>
      <c r="M4667" s="64">
        <f>IF(tblMovement[[#This Row],[Material]]="","",IF(LEFT(tblMovement[[#This Row],[Material]],3)="Ore",1,0))</f>
        <v/>
      </c>
      <c r="N4667" s="59">
        <f>IF(OR(tblMovement[[#This Row],[Tonnes_t]]="",tblMovement[[#This Row],[Grade_gpt]]=""),0,tblMovement[[#This Row],[Tonnes_t]]*tblMovement[[#This Row],[Grade_gpt]]/cfg_TroyOz)</f>
        <v/>
      </c>
      <c r="O4667" s="59">
        <f>IF(tblMovement[[#This Row],[Is_Ore]]=1,tblMovement[[#This Row],[Contained_oz]],0)</f>
        <v/>
      </c>
    </row>
    <row r="4668">
      <c r="A4668" s="54" t="n"/>
      <c r="B4668" s="61" t="n"/>
      <c r="C4668" s="61" t="n"/>
      <c r="D4668" s="61" t="n"/>
      <c r="E4668" s="61" t="n"/>
      <c r="F4668" s="55" t="n"/>
      <c r="G4668" s="56" t="n"/>
      <c r="H4668" s="55" t="n"/>
      <c r="I4668" s="62" t="n"/>
      <c r="J4668" s="58" t="n"/>
      <c r="K4668" s="63">
        <f>IF(tblMovement[[#This Row],[Source]]="","",IFERROR(INDEX(tblSources[Type],MATCH(tblMovement[[#This Row],[Source]],tblSources[Source],0)),"?"))</f>
        <v/>
      </c>
      <c r="L4668" s="63">
        <f>IF(tblMovement[[#This Row],[Destination]]="","",IFERROR(INDEX(tblDestinations[Type],MATCH(tblMovement[[#This Row],[Destination]],tblDestinations[Destination],0)),"?"))</f>
        <v/>
      </c>
      <c r="M4668" s="64">
        <f>IF(tblMovement[[#This Row],[Material]]="","",IF(LEFT(tblMovement[[#This Row],[Material]],3)="Ore",1,0))</f>
        <v/>
      </c>
      <c r="N4668" s="59">
        <f>IF(OR(tblMovement[[#This Row],[Tonnes_t]]="",tblMovement[[#This Row],[Grade_gpt]]=""),0,tblMovement[[#This Row],[Tonnes_t]]*tblMovement[[#This Row],[Grade_gpt]]/cfg_TroyOz)</f>
        <v/>
      </c>
      <c r="O4668" s="59">
        <f>IF(tblMovement[[#This Row],[Is_Ore]]=1,tblMovement[[#This Row],[Contained_oz]],0)</f>
        <v/>
      </c>
    </row>
    <row r="4669">
      <c r="A4669" s="54" t="n"/>
      <c r="B4669" s="61" t="n"/>
      <c r="C4669" s="61" t="n"/>
      <c r="D4669" s="61" t="n"/>
      <c r="E4669" s="61" t="n"/>
      <c r="F4669" s="55" t="n"/>
      <c r="G4669" s="56" t="n"/>
      <c r="H4669" s="55" t="n"/>
      <c r="I4669" s="62" t="n"/>
      <c r="J4669" s="58" t="n"/>
      <c r="K4669" s="63">
        <f>IF(tblMovement[[#This Row],[Source]]="","",IFERROR(INDEX(tblSources[Type],MATCH(tblMovement[[#This Row],[Source]],tblSources[Source],0)),"?"))</f>
        <v/>
      </c>
      <c r="L4669" s="63">
        <f>IF(tblMovement[[#This Row],[Destination]]="","",IFERROR(INDEX(tblDestinations[Type],MATCH(tblMovement[[#This Row],[Destination]],tblDestinations[Destination],0)),"?"))</f>
        <v/>
      </c>
      <c r="M4669" s="64">
        <f>IF(tblMovement[[#This Row],[Material]]="","",IF(LEFT(tblMovement[[#This Row],[Material]],3)="Ore",1,0))</f>
        <v/>
      </c>
      <c r="N4669" s="59">
        <f>IF(OR(tblMovement[[#This Row],[Tonnes_t]]="",tblMovement[[#This Row],[Grade_gpt]]=""),0,tblMovement[[#This Row],[Tonnes_t]]*tblMovement[[#This Row],[Grade_gpt]]/cfg_TroyOz)</f>
        <v/>
      </c>
      <c r="O4669" s="59">
        <f>IF(tblMovement[[#This Row],[Is_Ore]]=1,tblMovement[[#This Row],[Contained_oz]],0)</f>
        <v/>
      </c>
    </row>
    <row r="4670">
      <c r="A4670" s="54" t="n"/>
      <c r="B4670" s="61" t="n"/>
      <c r="C4670" s="61" t="n"/>
      <c r="D4670" s="61" t="n"/>
      <c r="E4670" s="61" t="n"/>
      <c r="F4670" s="55" t="n"/>
      <c r="G4670" s="56" t="n"/>
      <c r="H4670" s="55" t="n"/>
      <c r="I4670" s="62" t="n"/>
      <c r="J4670" s="58" t="n"/>
      <c r="K4670" s="63">
        <f>IF(tblMovement[[#This Row],[Source]]="","",IFERROR(INDEX(tblSources[Type],MATCH(tblMovement[[#This Row],[Source]],tblSources[Source],0)),"?"))</f>
        <v/>
      </c>
      <c r="L4670" s="63">
        <f>IF(tblMovement[[#This Row],[Destination]]="","",IFERROR(INDEX(tblDestinations[Type],MATCH(tblMovement[[#This Row],[Destination]],tblDestinations[Destination],0)),"?"))</f>
        <v/>
      </c>
      <c r="M4670" s="64">
        <f>IF(tblMovement[[#This Row],[Material]]="","",IF(LEFT(tblMovement[[#This Row],[Material]],3)="Ore",1,0))</f>
        <v/>
      </c>
      <c r="N4670" s="59">
        <f>IF(OR(tblMovement[[#This Row],[Tonnes_t]]="",tblMovement[[#This Row],[Grade_gpt]]=""),0,tblMovement[[#This Row],[Tonnes_t]]*tblMovement[[#This Row],[Grade_gpt]]/cfg_TroyOz)</f>
        <v/>
      </c>
      <c r="O4670" s="59">
        <f>IF(tblMovement[[#This Row],[Is_Ore]]=1,tblMovement[[#This Row],[Contained_oz]],0)</f>
        <v/>
      </c>
    </row>
    <row r="4671">
      <c r="A4671" s="54" t="n"/>
      <c r="B4671" s="61" t="n"/>
      <c r="C4671" s="61" t="n"/>
      <c r="D4671" s="61" t="n"/>
      <c r="E4671" s="61" t="n"/>
      <c r="F4671" s="55" t="n"/>
      <c r="G4671" s="56" t="n"/>
      <c r="H4671" s="55" t="n"/>
      <c r="I4671" s="62" t="n"/>
      <c r="J4671" s="58" t="n"/>
      <c r="K4671" s="63">
        <f>IF(tblMovement[[#This Row],[Source]]="","",IFERROR(INDEX(tblSources[Type],MATCH(tblMovement[[#This Row],[Source]],tblSources[Source],0)),"?"))</f>
        <v/>
      </c>
      <c r="L4671" s="63">
        <f>IF(tblMovement[[#This Row],[Destination]]="","",IFERROR(INDEX(tblDestinations[Type],MATCH(tblMovement[[#This Row],[Destination]],tblDestinations[Destination],0)),"?"))</f>
        <v/>
      </c>
      <c r="M4671" s="64">
        <f>IF(tblMovement[[#This Row],[Material]]="","",IF(LEFT(tblMovement[[#This Row],[Material]],3)="Ore",1,0))</f>
        <v/>
      </c>
      <c r="N4671" s="59">
        <f>IF(OR(tblMovement[[#This Row],[Tonnes_t]]="",tblMovement[[#This Row],[Grade_gpt]]=""),0,tblMovement[[#This Row],[Tonnes_t]]*tblMovement[[#This Row],[Grade_gpt]]/cfg_TroyOz)</f>
        <v/>
      </c>
      <c r="O4671" s="59">
        <f>IF(tblMovement[[#This Row],[Is_Ore]]=1,tblMovement[[#This Row],[Contained_oz]],0)</f>
        <v/>
      </c>
    </row>
    <row r="4672">
      <c r="A4672" s="54" t="n"/>
      <c r="B4672" s="61" t="n"/>
      <c r="C4672" s="61" t="n"/>
      <c r="D4672" s="61" t="n"/>
      <c r="E4672" s="61" t="n"/>
      <c r="F4672" s="55" t="n"/>
      <c r="G4672" s="56" t="n"/>
      <c r="H4672" s="55" t="n"/>
      <c r="I4672" s="62" t="n"/>
      <c r="J4672" s="58" t="n"/>
      <c r="K4672" s="63">
        <f>IF(tblMovement[[#This Row],[Source]]="","",IFERROR(INDEX(tblSources[Type],MATCH(tblMovement[[#This Row],[Source]],tblSources[Source],0)),"?"))</f>
        <v/>
      </c>
      <c r="L4672" s="63">
        <f>IF(tblMovement[[#This Row],[Destination]]="","",IFERROR(INDEX(tblDestinations[Type],MATCH(tblMovement[[#This Row],[Destination]],tblDestinations[Destination],0)),"?"))</f>
        <v/>
      </c>
      <c r="M4672" s="64">
        <f>IF(tblMovement[[#This Row],[Material]]="","",IF(LEFT(tblMovement[[#This Row],[Material]],3)="Ore",1,0))</f>
        <v/>
      </c>
      <c r="N4672" s="59">
        <f>IF(OR(tblMovement[[#This Row],[Tonnes_t]]="",tblMovement[[#This Row],[Grade_gpt]]=""),0,tblMovement[[#This Row],[Tonnes_t]]*tblMovement[[#This Row],[Grade_gpt]]/cfg_TroyOz)</f>
        <v/>
      </c>
      <c r="O4672" s="59">
        <f>IF(tblMovement[[#This Row],[Is_Ore]]=1,tblMovement[[#This Row],[Contained_oz]],0)</f>
        <v/>
      </c>
    </row>
    <row r="4673">
      <c r="A4673" s="54" t="n"/>
      <c r="B4673" s="61" t="n"/>
      <c r="C4673" s="61" t="n"/>
      <c r="D4673" s="61" t="n"/>
      <c r="E4673" s="61" t="n"/>
      <c r="F4673" s="55" t="n"/>
      <c r="G4673" s="56" t="n"/>
      <c r="H4673" s="55" t="n"/>
      <c r="I4673" s="62" t="n"/>
      <c r="J4673" s="58" t="n"/>
      <c r="K4673" s="63">
        <f>IF(tblMovement[[#This Row],[Source]]="","",IFERROR(INDEX(tblSources[Type],MATCH(tblMovement[[#This Row],[Source]],tblSources[Source],0)),"?"))</f>
        <v/>
      </c>
      <c r="L4673" s="63">
        <f>IF(tblMovement[[#This Row],[Destination]]="","",IFERROR(INDEX(tblDestinations[Type],MATCH(tblMovement[[#This Row],[Destination]],tblDestinations[Destination],0)),"?"))</f>
        <v/>
      </c>
      <c r="M4673" s="64">
        <f>IF(tblMovement[[#This Row],[Material]]="","",IF(LEFT(tblMovement[[#This Row],[Material]],3)="Ore",1,0))</f>
        <v/>
      </c>
      <c r="N4673" s="59">
        <f>IF(OR(tblMovement[[#This Row],[Tonnes_t]]="",tblMovement[[#This Row],[Grade_gpt]]=""),0,tblMovement[[#This Row],[Tonnes_t]]*tblMovement[[#This Row],[Grade_gpt]]/cfg_TroyOz)</f>
        <v/>
      </c>
      <c r="O4673" s="59">
        <f>IF(tblMovement[[#This Row],[Is_Ore]]=1,tblMovement[[#This Row],[Contained_oz]],0)</f>
        <v/>
      </c>
    </row>
    <row r="4674">
      <c r="A4674" s="54" t="n"/>
      <c r="B4674" s="61" t="n"/>
      <c r="C4674" s="61" t="n"/>
      <c r="D4674" s="61" t="n"/>
      <c r="E4674" s="61" t="n"/>
      <c r="F4674" s="55" t="n"/>
      <c r="G4674" s="56" t="n"/>
      <c r="H4674" s="55" t="n"/>
      <c r="I4674" s="62" t="n"/>
      <c r="J4674" s="58" t="n"/>
      <c r="K4674" s="63">
        <f>IF(tblMovement[[#This Row],[Source]]="","",IFERROR(INDEX(tblSources[Type],MATCH(tblMovement[[#This Row],[Source]],tblSources[Source],0)),"?"))</f>
        <v/>
      </c>
      <c r="L4674" s="63">
        <f>IF(tblMovement[[#This Row],[Destination]]="","",IFERROR(INDEX(tblDestinations[Type],MATCH(tblMovement[[#This Row],[Destination]],tblDestinations[Destination],0)),"?"))</f>
        <v/>
      </c>
      <c r="M4674" s="64">
        <f>IF(tblMovement[[#This Row],[Material]]="","",IF(LEFT(tblMovement[[#This Row],[Material]],3)="Ore",1,0))</f>
        <v/>
      </c>
      <c r="N4674" s="59">
        <f>IF(OR(tblMovement[[#This Row],[Tonnes_t]]="",tblMovement[[#This Row],[Grade_gpt]]=""),0,tblMovement[[#This Row],[Tonnes_t]]*tblMovement[[#This Row],[Grade_gpt]]/cfg_TroyOz)</f>
        <v/>
      </c>
      <c r="O4674" s="59">
        <f>IF(tblMovement[[#This Row],[Is_Ore]]=1,tblMovement[[#This Row],[Contained_oz]],0)</f>
        <v/>
      </c>
    </row>
    <row r="4675">
      <c r="A4675" s="54" t="n"/>
      <c r="B4675" s="61" t="n"/>
      <c r="C4675" s="61" t="n"/>
      <c r="D4675" s="61" t="n"/>
      <c r="E4675" s="61" t="n"/>
      <c r="F4675" s="55" t="n"/>
      <c r="G4675" s="56" t="n"/>
      <c r="H4675" s="55" t="n"/>
      <c r="I4675" s="62" t="n"/>
      <c r="J4675" s="58" t="n"/>
      <c r="K4675" s="63">
        <f>IF(tblMovement[[#This Row],[Source]]="","",IFERROR(INDEX(tblSources[Type],MATCH(tblMovement[[#This Row],[Source]],tblSources[Source],0)),"?"))</f>
        <v/>
      </c>
      <c r="L4675" s="63">
        <f>IF(tblMovement[[#This Row],[Destination]]="","",IFERROR(INDEX(tblDestinations[Type],MATCH(tblMovement[[#This Row],[Destination]],tblDestinations[Destination],0)),"?"))</f>
        <v/>
      </c>
      <c r="M4675" s="64">
        <f>IF(tblMovement[[#This Row],[Material]]="","",IF(LEFT(tblMovement[[#This Row],[Material]],3)="Ore",1,0))</f>
        <v/>
      </c>
      <c r="N4675" s="59">
        <f>IF(OR(tblMovement[[#This Row],[Tonnes_t]]="",tblMovement[[#This Row],[Grade_gpt]]=""),0,tblMovement[[#This Row],[Tonnes_t]]*tblMovement[[#This Row],[Grade_gpt]]/cfg_TroyOz)</f>
        <v/>
      </c>
      <c r="O4675" s="59">
        <f>IF(tblMovement[[#This Row],[Is_Ore]]=1,tblMovement[[#This Row],[Contained_oz]],0)</f>
        <v/>
      </c>
    </row>
    <row r="4676">
      <c r="A4676" s="54" t="n"/>
      <c r="B4676" s="61" t="n"/>
      <c r="C4676" s="61" t="n"/>
      <c r="D4676" s="61" t="n"/>
      <c r="E4676" s="61" t="n"/>
      <c r="F4676" s="55" t="n"/>
      <c r="G4676" s="56" t="n"/>
      <c r="H4676" s="55" t="n"/>
      <c r="I4676" s="62" t="n"/>
      <c r="J4676" s="58" t="n"/>
      <c r="K4676" s="63">
        <f>IF(tblMovement[[#This Row],[Source]]="","",IFERROR(INDEX(tblSources[Type],MATCH(tblMovement[[#This Row],[Source]],tblSources[Source],0)),"?"))</f>
        <v/>
      </c>
      <c r="L4676" s="63">
        <f>IF(tblMovement[[#This Row],[Destination]]="","",IFERROR(INDEX(tblDestinations[Type],MATCH(tblMovement[[#This Row],[Destination]],tblDestinations[Destination],0)),"?"))</f>
        <v/>
      </c>
      <c r="M4676" s="64">
        <f>IF(tblMovement[[#This Row],[Material]]="","",IF(LEFT(tblMovement[[#This Row],[Material]],3)="Ore",1,0))</f>
        <v/>
      </c>
      <c r="N4676" s="59">
        <f>IF(OR(tblMovement[[#This Row],[Tonnes_t]]="",tblMovement[[#This Row],[Grade_gpt]]=""),0,tblMovement[[#This Row],[Tonnes_t]]*tblMovement[[#This Row],[Grade_gpt]]/cfg_TroyOz)</f>
        <v/>
      </c>
      <c r="O4676" s="59">
        <f>IF(tblMovement[[#This Row],[Is_Ore]]=1,tblMovement[[#This Row],[Contained_oz]],0)</f>
        <v/>
      </c>
    </row>
    <row r="4677">
      <c r="A4677" s="54" t="n"/>
      <c r="B4677" s="61" t="n"/>
      <c r="C4677" s="61" t="n"/>
      <c r="D4677" s="61" t="n"/>
      <c r="E4677" s="61" t="n"/>
      <c r="F4677" s="55" t="n"/>
      <c r="G4677" s="56" t="n"/>
      <c r="H4677" s="55" t="n"/>
      <c r="I4677" s="62" t="n"/>
      <c r="J4677" s="58" t="n"/>
      <c r="K4677" s="63">
        <f>IF(tblMovement[[#This Row],[Source]]="","",IFERROR(INDEX(tblSources[Type],MATCH(tblMovement[[#This Row],[Source]],tblSources[Source],0)),"?"))</f>
        <v/>
      </c>
      <c r="L4677" s="63">
        <f>IF(tblMovement[[#This Row],[Destination]]="","",IFERROR(INDEX(tblDestinations[Type],MATCH(tblMovement[[#This Row],[Destination]],tblDestinations[Destination],0)),"?"))</f>
        <v/>
      </c>
      <c r="M4677" s="64">
        <f>IF(tblMovement[[#This Row],[Material]]="","",IF(LEFT(tblMovement[[#This Row],[Material]],3)="Ore",1,0))</f>
        <v/>
      </c>
      <c r="N4677" s="59">
        <f>IF(OR(tblMovement[[#This Row],[Tonnes_t]]="",tblMovement[[#This Row],[Grade_gpt]]=""),0,tblMovement[[#This Row],[Tonnes_t]]*tblMovement[[#This Row],[Grade_gpt]]/cfg_TroyOz)</f>
        <v/>
      </c>
      <c r="O4677" s="59">
        <f>IF(tblMovement[[#This Row],[Is_Ore]]=1,tblMovement[[#This Row],[Contained_oz]],0)</f>
        <v/>
      </c>
    </row>
    <row r="4678">
      <c r="A4678" s="54" t="n"/>
      <c r="B4678" s="61" t="n"/>
      <c r="C4678" s="61" t="n"/>
      <c r="D4678" s="61" t="n"/>
      <c r="E4678" s="61" t="n"/>
      <c r="F4678" s="55" t="n"/>
      <c r="G4678" s="56" t="n"/>
      <c r="H4678" s="55" t="n"/>
      <c r="I4678" s="62" t="n"/>
      <c r="J4678" s="58" t="n"/>
      <c r="K4678" s="63">
        <f>IF(tblMovement[[#This Row],[Source]]="","",IFERROR(INDEX(tblSources[Type],MATCH(tblMovement[[#This Row],[Source]],tblSources[Source],0)),"?"))</f>
        <v/>
      </c>
      <c r="L4678" s="63">
        <f>IF(tblMovement[[#This Row],[Destination]]="","",IFERROR(INDEX(tblDestinations[Type],MATCH(tblMovement[[#This Row],[Destination]],tblDestinations[Destination],0)),"?"))</f>
        <v/>
      </c>
      <c r="M4678" s="64">
        <f>IF(tblMovement[[#This Row],[Material]]="","",IF(LEFT(tblMovement[[#This Row],[Material]],3)="Ore",1,0))</f>
        <v/>
      </c>
      <c r="N4678" s="59">
        <f>IF(OR(tblMovement[[#This Row],[Tonnes_t]]="",tblMovement[[#This Row],[Grade_gpt]]=""),0,tblMovement[[#This Row],[Tonnes_t]]*tblMovement[[#This Row],[Grade_gpt]]/cfg_TroyOz)</f>
        <v/>
      </c>
      <c r="O4678" s="59">
        <f>IF(tblMovement[[#This Row],[Is_Ore]]=1,tblMovement[[#This Row],[Contained_oz]],0)</f>
        <v/>
      </c>
    </row>
    <row r="4679">
      <c r="A4679" s="54" t="n"/>
      <c r="B4679" s="61" t="n"/>
      <c r="C4679" s="61" t="n"/>
      <c r="D4679" s="61" t="n"/>
      <c r="E4679" s="61" t="n"/>
      <c r="F4679" s="55" t="n"/>
      <c r="G4679" s="56" t="n"/>
      <c r="H4679" s="55" t="n"/>
      <c r="I4679" s="62" t="n"/>
      <c r="J4679" s="58" t="n"/>
      <c r="K4679" s="63">
        <f>IF(tblMovement[[#This Row],[Source]]="","",IFERROR(INDEX(tblSources[Type],MATCH(tblMovement[[#This Row],[Source]],tblSources[Source],0)),"?"))</f>
        <v/>
      </c>
      <c r="L4679" s="63">
        <f>IF(tblMovement[[#This Row],[Destination]]="","",IFERROR(INDEX(tblDestinations[Type],MATCH(tblMovement[[#This Row],[Destination]],tblDestinations[Destination],0)),"?"))</f>
        <v/>
      </c>
      <c r="M4679" s="64">
        <f>IF(tblMovement[[#This Row],[Material]]="","",IF(LEFT(tblMovement[[#This Row],[Material]],3)="Ore",1,0))</f>
        <v/>
      </c>
      <c r="N4679" s="59">
        <f>IF(OR(tblMovement[[#This Row],[Tonnes_t]]="",tblMovement[[#This Row],[Grade_gpt]]=""),0,tblMovement[[#This Row],[Tonnes_t]]*tblMovement[[#This Row],[Grade_gpt]]/cfg_TroyOz)</f>
        <v/>
      </c>
      <c r="O4679" s="59">
        <f>IF(tblMovement[[#This Row],[Is_Ore]]=1,tblMovement[[#This Row],[Contained_oz]],0)</f>
        <v/>
      </c>
    </row>
    <row r="4680">
      <c r="A4680" s="54" t="n"/>
      <c r="B4680" s="61" t="n"/>
      <c r="C4680" s="61" t="n"/>
      <c r="D4680" s="61" t="n"/>
      <c r="E4680" s="61" t="n"/>
      <c r="F4680" s="55" t="n"/>
      <c r="G4680" s="56" t="n"/>
      <c r="H4680" s="55" t="n"/>
      <c r="I4680" s="62" t="n"/>
      <c r="J4680" s="58" t="n"/>
      <c r="K4680" s="63">
        <f>IF(tblMovement[[#This Row],[Source]]="","",IFERROR(INDEX(tblSources[Type],MATCH(tblMovement[[#This Row],[Source]],tblSources[Source],0)),"?"))</f>
        <v/>
      </c>
      <c r="L4680" s="63">
        <f>IF(tblMovement[[#This Row],[Destination]]="","",IFERROR(INDEX(tblDestinations[Type],MATCH(tblMovement[[#This Row],[Destination]],tblDestinations[Destination],0)),"?"))</f>
        <v/>
      </c>
      <c r="M4680" s="64">
        <f>IF(tblMovement[[#This Row],[Material]]="","",IF(LEFT(tblMovement[[#This Row],[Material]],3)="Ore",1,0))</f>
        <v/>
      </c>
      <c r="N4680" s="59">
        <f>IF(OR(tblMovement[[#This Row],[Tonnes_t]]="",tblMovement[[#This Row],[Grade_gpt]]=""),0,tblMovement[[#This Row],[Tonnes_t]]*tblMovement[[#This Row],[Grade_gpt]]/cfg_TroyOz)</f>
        <v/>
      </c>
      <c r="O4680" s="59">
        <f>IF(tblMovement[[#This Row],[Is_Ore]]=1,tblMovement[[#This Row],[Contained_oz]],0)</f>
        <v/>
      </c>
    </row>
    <row r="4681">
      <c r="A4681" s="54" t="n"/>
      <c r="B4681" s="61" t="n"/>
      <c r="C4681" s="61" t="n"/>
      <c r="D4681" s="61" t="n"/>
      <c r="E4681" s="61" t="n"/>
      <c r="F4681" s="55" t="n"/>
      <c r="G4681" s="56" t="n"/>
      <c r="H4681" s="55" t="n"/>
      <c r="I4681" s="62" t="n"/>
      <c r="J4681" s="58" t="n"/>
      <c r="K4681" s="63">
        <f>IF(tblMovement[[#This Row],[Source]]="","",IFERROR(INDEX(tblSources[Type],MATCH(tblMovement[[#This Row],[Source]],tblSources[Source],0)),"?"))</f>
        <v/>
      </c>
      <c r="L4681" s="63">
        <f>IF(tblMovement[[#This Row],[Destination]]="","",IFERROR(INDEX(tblDestinations[Type],MATCH(tblMovement[[#This Row],[Destination]],tblDestinations[Destination],0)),"?"))</f>
        <v/>
      </c>
      <c r="M4681" s="64">
        <f>IF(tblMovement[[#This Row],[Material]]="","",IF(LEFT(tblMovement[[#This Row],[Material]],3)="Ore",1,0))</f>
        <v/>
      </c>
      <c r="N4681" s="59">
        <f>IF(OR(tblMovement[[#This Row],[Tonnes_t]]="",tblMovement[[#This Row],[Grade_gpt]]=""),0,tblMovement[[#This Row],[Tonnes_t]]*tblMovement[[#This Row],[Grade_gpt]]/cfg_TroyOz)</f>
        <v/>
      </c>
      <c r="O4681" s="59">
        <f>IF(tblMovement[[#This Row],[Is_Ore]]=1,tblMovement[[#This Row],[Contained_oz]],0)</f>
        <v/>
      </c>
    </row>
    <row r="4682">
      <c r="A4682" s="54" t="n"/>
      <c r="B4682" s="61" t="n"/>
      <c r="C4682" s="61" t="n"/>
      <c r="D4682" s="61" t="n"/>
      <c r="E4682" s="61" t="n"/>
      <c r="F4682" s="55" t="n"/>
      <c r="G4682" s="56" t="n"/>
      <c r="H4682" s="55" t="n"/>
      <c r="I4682" s="62" t="n"/>
      <c r="J4682" s="58" t="n"/>
      <c r="K4682" s="63">
        <f>IF(tblMovement[[#This Row],[Source]]="","",IFERROR(INDEX(tblSources[Type],MATCH(tblMovement[[#This Row],[Source]],tblSources[Source],0)),"?"))</f>
        <v/>
      </c>
      <c r="L4682" s="63">
        <f>IF(tblMovement[[#This Row],[Destination]]="","",IFERROR(INDEX(tblDestinations[Type],MATCH(tblMovement[[#This Row],[Destination]],tblDestinations[Destination],0)),"?"))</f>
        <v/>
      </c>
      <c r="M4682" s="64">
        <f>IF(tblMovement[[#This Row],[Material]]="","",IF(LEFT(tblMovement[[#This Row],[Material]],3)="Ore",1,0))</f>
        <v/>
      </c>
      <c r="N4682" s="59">
        <f>IF(OR(tblMovement[[#This Row],[Tonnes_t]]="",tblMovement[[#This Row],[Grade_gpt]]=""),0,tblMovement[[#This Row],[Tonnes_t]]*tblMovement[[#This Row],[Grade_gpt]]/cfg_TroyOz)</f>
        <v/>
      </c>
      <c r="O4682" s="59">
        <f>IF(tblMovement[[#This Row],[Is_Ore]]=1,tblMovement[[#This Row],[Contained_oz]],0)</f>
        <v/>
      </c>
    </row>
    <row r="4683">
      <c r="A4683" s="54" t="n"/>
      <c r="B4683" s="61" t="n"/>
      <c r="C4683" s="61" t="n"/>
      <c r="D4683" s="61" t="n"/>
      <c r="E4683" s="61" t="n"/>
      <c r="F4683" s="55" t="n"/>
      <c r="G4683" s="56" t="n"/>
      <c r="H4683" s="55" t="n"/>
      <c r="I4683" s="62" t="n"/>
      <c r="J4683" s="58" t="n"/>
      <c r="K4683" s="63">
        <f>IF(tblMovement[[#This Row],[Source]]="","",IFERROR(INDEX(tblSources[Type],MATCH(tblMovement[[#This Row],[Source]],tblSources[Source],0)),"?"))</f>
        <v/>
      </c>
      <c r="L4683" s="63">
        <f>IF(tblMovement[[#This Row],[Destination]]="","",IFERROR(INDEX(tblDestinations[Type],MATCH(tblMovement[[#This Row],[Destination]],tblDestinations[Destination],0)),"?"))</f>
        <v/>
      </c>
      <c r="M4683" s="64">
        <f>IF(tblMovement[[#This Row],[Material]]="","",IF(LEFT(tblMovement[[#This Row],[Material]],3)="Ore",1,0))</f>
        <v/>
      </c>
      <c r="N4683" s="59">
        <f>IF(OR(tblMovement[[#This Row],[Tonnes_t]]="",tblMovement[[#This Row],[Grade_gpt]]=""),0,tblMovement[[#This Row],[Tonnes_t]]*tblMovement[[#This Row],[Grade_gpt]]/cfg_TroyOz)</f>
        <v/>
      </c>
      <c r="O4683" s="59">
        <f>IF(tblMovement[[#This Row],[Is_Ore]]=1,tblMovement[[#This Row],[Contained_oz]],0)</f>
        <v/>
      </c>
    </row>
    <row r="4684">
      <c r="A4684" s="54" t="n"/>
      <c r="B4684" s="61" t="n"/>
      <c r="C4684" s="61" t="n"/>
      <c r="D4684" s="61" t="n"/>
      <c r="E4684" s="61" t="n"/>
      <c r="F4684" s="55" t="n"/>
      <c r="G4684" s="56" t="n"/>
      <c r="H4684" s="55" t="n"/>
      <c r="I4684" s="62" t="n"/>
      <c r="J4684" s="58" t="n"/>
      <c r="K4684" s="63">
        <f>IF(tblMovement[[#This Row],[Source]]="","",IFERROR(INDEX(tblSources[Type],MATCH(tblMovement[[#This Row],[Source]],tblSources[Source],0)),"?"))</f>
        <v/>
      </c>
      <c r="L4684" s="63">
        <f>IF(tblMovement[[#This Row],[Destination]]="","",IFERROR(INDEX(tblDestinations[Type],MATCH(tblMovement[[#This Row],[Destination]],tblDestinations[Destination],0)),"?"))</f>
        <v/>
      </c>
      <c r="M4684" s="64">
        <f>IF(tblMovement[[#This Row],[Material]]="","",IF(LEFT(tblMovement[[#This Row],[Material]],3)="Ore",1,0))</f>
        <v/>
      </c>
      <c r="N4684" s="59">
        <f>IF(OR(tblMovement[[#This Row],[Tonnes_t]]="",tblMovement[[#This Row],[Grade_gpt]]=""),0,tblMovement[[#This Row],[Tonnes_t]]*tblMovement[[#This Row],[Grade_gpt]]/cfg_TroyOz)</f>
        <v/>
      </c>
      <c r="O4684" s="59">
        <f>IF(tblMovement[[#This Row],[Is_Ore]]=1,tblMovement[[#This Row],[Contained_oz]],0)</f>
        <v/>
      </c>
    </row>
    <row r="4685">
      <c r="A4685" s="54" t="n"/>
      <c r="B4685" s="61" t="n"/>
      <c r="C4685" s="61" t="n"/>
      <c r="D4685" s="61" t="n"/>
      <c r="E4685" s="61" t="n"/>
      <c r="F4685" s="55" t="n"/>
      <c r="G4685" s="56" t="n"/>
      <c r="H4685" s="55" t="n"/>
      <c r="I4685" s="62" t="n"/>
      <c r="J4685" s="58" t="n"/>
      <c r="K4685" s="63">
        <f>IF(tblMovement[[#This Row],[Source]]="","",IFERROR(INDEX(tblSources[Type],MATCH(tblMovement[[#This Row],[Source]],tblSources[Source],0)),"?"))</f>
        <v/>
      </c>
      <c r="L4685" s="63">
        <f>IF(tblMovement[[#This Row],[Destination]]="","",IFERROR(INDEX(tblDestinations[Type],MATCH(tblMovement[[#This Row],[Destination]],tblDestinations[Destination],0)),"?"))</f>
        <v/>
      </c>
      <c r="M4685" s="64">
        <f>IF(tblMovement[[#This Row],[Material]]="","",IF(LEFT(tblMovement[[#This Row],[Material]],3)="Ore",1,0))</f>
        <v/>
      </c>
      <c r="N4685" s="59">
        <f>IF(OR(tblMovement[[#This Row],[Tonnes_t]]="",tblMovement[[#This Row],[Grade_gpt]]=""),0,tblMovement[[#This Row],[Tonnes_t]]*tblMovement[[#This Row],[Grade_gpt]]/cfg_TroyOz)</f>
        <v/>
      </c>
      <c r="O4685" s="59">
        <f>IF(tblMovement[[#This Row],[Is_Ore]]=1,tblMovement[[#This Row],[Contained_oz]],0)</f>
        <v/>
      </c>
    </row>
    <row r="4686">
      <c r="A4686" s="54" t="n"/>
      <c r="B4686" s="61" t="n"/>
      <c r="C4686" s="61" t="n"/>
      <c r="D4686" s="61" t="n"/>
      <c r="E4686" s="61" t="n"/>
      <c r="F4686" s="55" t="n"/>
      <c r="G4686" s="56" t="n"/>
      <c r="H4686" s="55" t="n"/>
      <c r="I4686" s="62" t="n"/>
      <c r="J4686" s="58" t="n"/>
      <c r="K4686" s="63">
        <f>IF(tblMovement[[#This Row],[Source]]="","",IFERROR(INDEX(tblSources[Type],MATCH(tblMovement[[#This Row],[Source]],tblSources[Source],0)),"?"))</f>
        <v/>
      </c>
      <c r="L4686" s="63">
        <f>IF(tblMovement[[#This Row],[Destination]]="","",IFERROR(INDEX(tblDestinations[Type],MATCH(tblMovement[[#This Row],[Destination]],tblDestinations[Destination],0)),"?"))</f>
        <v/>
      </c>
      <c r="M4686" s="64">
        <f>IF(tblMovement[[#This Row],[Material]]="","",IF(LEFT(tblMovement[[#This Row],[Material]],3)="Ore",1,0))</f>
        <v/>
      </c>
      <c r="N4686" s="59">
        <f>IF(OR(tblMovement[[#This Row],[Tonnes_t]]="",tblMovement[[#This Row],[Grade_gpt]]=""),0,tblMovement[[#This Row],[Tonnes_t]]*tblMovement[[#This Row],[Grade_gpt]]/cfg_TroyOz)</f>
        <v/>
      </c>
      <c r="O4686" s="59">
        <f>IF(tblMovement[[#This Row],[Is_Ore]]=1,tblMovement[[#This Row],[Contained_oz]],0)</f>
        <v/>
      </c>
    </row>
    <row r="4687">
      <c r="A4687" s="54" t="n"/>
      <c r="B4687" s="61" t="n"/>
      <c r="C4687" s="61" t="n"/>
      <c r="D4687" s="61" t="n"/>
      <c r="E4687" s="61" t="n"/>
      <c r="F4687" s="55" t="n"/>
      <c r="G4687" s="56" t="n"/>
      <c r="H4687" s="55" t="n"/>
      <c r="I4687" s="62" t="n"/>
      <c r="J4687" s="58" t="n"/>
      <c r="K4687" s="63">
        <f>IF(tblMovement[[#This Row],[Source]]="","",IFERROR(INDEX(tblSources[Type],MATCH(tblMovement[[#This Row],[Source]],tblSources[Source],0)),"?"))</f>
        <v/>
      </c>
      <c r="L4687" s="63">
        <f>IF(tblMovement[[#This Row],[Destination]]="","",IFERROR(INDEX(tblDestinations[Type],MATCH(tblMovement[[#This Row],[Destination]],tblDestinations[Destination],0)),"?"))</f>
        <v/>
      </c>
      <c r="M4687" s="64">
        <f>IF(tblMovement[[#This Row],[Material]]="","",IF(LEFT(tblMovement[[#This Row],[Material]],3)="Ore",1,0))</f>
        <v/>
      </c>
      <c r="N4687" s="59">
        <f>IF(OR(tblMovement[[#This Row],[Tonnes_t]]="",tblMovement[[#This Row],[Grade_gpt]]=""),0,tblMovement[[#This Row],[Tonnes_t]]*tblMovement[[#This Row],[Grade_gpt]]/cfg_TroyOz)</f>
        <v/>
      </c>
      <c r="O4687" s="59">
        <f>IF(tblMovement[[#This Row],[Is_Ore]]=1,tblMovement[[#This Row],[Contained_oz]],0)</f>
        <v/>
      </c>
    </row>
    <row r="4688">
      <c r="A4688" s="54" t="n"/>
      <c r="B4688" s="61" t="n"/>
      <c r="C4688" s="61" t="n"/>
      <c r="D4688" s="61" t="n"/>
      <c r="E4688" s="61" t="n"/>
      <c r="F4688" s="55" t="n"/>
      <c r="G4688" s="56" t="n"/>
      <c r="H4688" s="55" t="n"/>
      <c r="I4688" s="62" t="n"/>
      <c r="J4688" s="58" t="n"/>
      <c r="K4688" s="63">
        <f>IF(tblMovement[[#This Row],[Source]]="","",IFERROR(INDEX(tblSources[Type],MATCH(tblMovement[[#This Row],[Source]],tblSources[Source],0)),"?"))</f>
        <v/>
      </c>
      <c r="L4688" s="63">
        <f>IF(tblMovement[[#This Row],[Destination]]="","",IFERROR(INDEX(tblDestinations[Type],MATCH(tblMovement[[#This Row],[Destination]],tblDestinations[Destination],0)),"?"))</f>
        <v/>
      </c>
      <c r="M4688" s="64">
        <f>IF(tblMovement[[#This Row],[Material]]="","",IF(LEFT(tblMovement[[#This Row],[Material]],3)="Ore",1,0))</f>
        <v/>
      </c>
      <c r="N4688" s="59">
        <f>IF(OR(tblMovement[[#This Row],[Tonnes_t]]="",tblMovement[[#This Row],[Grade_gpt]]=""),0,tblMovement[[#This Row],[Tonnes_t]]*tblMovement[[#This Row],[Grade_gpt]]/cfg_TroyOz)</f>
        <v/>
      </c>
      <c r="O4688" s="59">
        <f>IF(tblMovement[[#This Row],[Is_Ore]]=1,tblMovement[[#This Row],[Contained_oz]],0)</f>
        <v/>
      </c>
    </row>
    <row r="4689">
      <c r="A4689" s="54" t="n"/>
      <c r="B4689" s="61" t="n"/>
      <c r="C4689" s="61" t="n"/>
      <c r="D4689" s="61" t="n"/>
      <c r="E4689" s="61" t="n"/>
      <c r="F4689" s="55" t="n"/>
      <c r="G4689" s="56" t="n"/>
      <c r="H4689" s="55" t="n"/>
      <c r="I4689" s="62" t="n"/>
      <c r="J4689" s="58" t="n"/>
      <c r="K4689" s="63">
        <f>IF(tblMovement[[#This Row],[Source]]="","",IFERROR(INDEX(tblSources[Type],MATCH(tblMovement[[#This Row],[Source]],tblSources[Source],0)),"?"))</f>
        <v/>
      </c>
      <c r="L4689" s="63">
        <f>IF(tblMovement[[#This Row],[Destination]]="","",IFERROR(INDEX(tblDestinations[Type],MATCH(tblMovement[[#This Row],[Destination]],tblDestinations[Destination],0)),"?"))</f>
        <v/>
      </c>
      <c r="M4689" s="64">
        <f>IF(tblMovement[[#This Row],[Material]]="","",IF(LEFT(tblMovement[[#This Row],[Material]],3)="Ore",1,0))</f>
        <v/>
      </c>
      <c r="N4689" s="59">
        <f>IF(OR(tblMovement[[#This Row],[Tonnes_t]]="",tblMovement[[#This Row],[Grade_gpt]]=""),0,tblMovement[[#This Row],[Tonnes_t]]*tblMovement[[#This Row],[Grade_gpt]]/cfg_TroyOz)</f>
        <v/>
      </c>
      <c r="O4689" s="59">
        <f>IF(tblMovement[[#This Row],[Is_Ore]]=1,tblMovement[[#This Row],[Contained_oz]],0)</f>
        <v/>
      </c>
    </row>
    <row r="4690">
      <c r="A4690" s="54" t="n"/>
      <c r="B4690" s="61" t="n"/>
      <c r="C4690" s="61" t="n"/>
      <c r="D4690" s="61" t="n"/>
      <c r="E4690" s="61" t="n"/>
      <c r="F4690" s="55" t="n"/>
      <c r="G4690" s="56" t="n"/>
      <c r="H4690" s="55" t="n"/>
      <c r="I4690" s="62" t="n"/>
      <c r="J4690" s="58" t="n"/>
      <c r="K4690" s="63">
        <f>IF(tblMovement[[#This Row],[Source]]="","",IFERROR(INDEX(tblSources[Type],MATCH(tblMovement[[#This Row],[Source]],tblSources[Source],0)),"?"))</f>
        <v/>
      </c>
      <c r="L4690" s="63">
        <f>IF(tblMovement[[#This Row],[Destination]]="","",IFERROR(INDEX(tblDestinations[Type],MATCH(tblMovement[[#This Row],[Destination]],tblDestinations[Destination],0)),"?"))</f>
        <v/>
      </c>
      <c r="M4690" s="64">
        <f>IF(tblMovement[[#This Row],[Material]]="","",IF(LEFT(tblMovement[[#This Row],[Material]],3)="Ore",1,0))</f>
        <v/>
      </c>
      <c r="N4690" s="59">
        <f>IF(OR(tblMovement[[#This Row],[Tonnes_t]]="",tblMovement[[#This Row],[Grade_gpt]]=""),0,tblMovement[[#This Row],[Tonnes_t]]*tblMovement[[#This Row],[Grade_gpt]]/cfg_TroyOz)</f>
        <v/>
      </c>
      <c r="O4690" s="59">
        <f>IF(tblMovement[[#This Row],[Is_Ore]]=1,tblMovement[[#This Row],[Contained_oz]],0)</f>
        <v/>
      </c>
    </row>
    <row r="4691">
      <c r="A4691" s="54" t="n"/>
      <c r="B4691" s="61" t="n"/>
      <c r="C4691" s="61" t="n"/>
      <c r="D4691" s="61" t="n"/>
      <c r="E4691" s="61" t="n"/>
      <c r="F4691" s="55" t="n"/>
      <c r="G4691" s="56" t="n"/>
      <c r="H4691" s="55" t="n"/>
      <c r="I4691" s="62" t="n"/>
      <c r="J4691" s="58" t="n"/>
      <c r="K4691" s="63">
        <f>IF(tblMovement[[#This Row],[Source]]="","",IFERROR(INDEX(tblSources[Type],MATCH(tblMovement[[#This Row],[Source]],tblSources[Source],0)),"?"))</f>
        <v/>
      </c>
      <c r="L4691" s="63">
        <f>IF(tblMovement[[#This Row],[Destination]]="","",IFERROR(INDEX(tblDestinations[Type],MATCH(tblMovement[[#This Row],[Destination]],tblDestinations[Destination],0)),"?"))</f>
        <v/>
      </c>
      <c r="M4691" s="64">
        <f>IF(tblMovement[[#This Row],[Material]]="","",IF(LEFT(tblMovement[[#This Row],[Material]],3)="Ore",1,0))</f>
        <v/>
      </c>
      <c r="N4691" s="59">
        <f>IF(OR(tblMovement[[#This Row],[Tonnes_t]]="",tblMovement[[#This Row],[Grade_gpt]]=""),0,tblMovement[[#This Row],[Tonnes_t]]*tblMovement[[#This Row],[Grade_gpt]]/cfg_TroyOz)</f>
        <v/>
      </c>
      <c r="O4691" s="59">
        <f>IF(tblMovement[[#This Row],[Is_Ore]]=1,tblMovement[[#This Row],[Contained_oz]],0)</f>
        <v/>
      </c>
    </row>
    <row r="4692">
      <c r="A4692" s="54" t="n"/>
      <c r="B4692" s="61" t="n"/>
      <c r="C4692" s="61" t="n"/>
      <c r="D4692" s="61" t="n"/>
      <c r="E4692" s="61" t="n"/>
      <c r="F4692" s="55" t="n"/>
      <c r="G4692" s="56" t="n"/>
      <c r="H4692" s="55" t="n"/>
      <c r="I4692" s="62" t="n"/>
      <c r="J4692" s="58" t="n"/>
      <c r="K4692" s="63">
        <f>IF(tblMovement[[#This Row],[Source]]="","",IFERROR(INDEX(tblSources[Type],MATCH(tblMovement[[#This Row],[Source]],tblSources[Source],0)),"?"))</f>
        <v/>
      </c>
      <c r="L4692" s="63">
        <f>IF(tblMovement[[#This Row],[Destination]]="","",IFERROR(INDEX(tblDestinations[Type],MATCH(tblMovement[[#This Row],[Destination]],tblDestinations[Destination],0)),"?"))</f>
        <v/>
      </c>
      <c r="M4692" s="64">
        <f>IF(tblMovement[[#This Row],[Material]]="","",IF(LEFT(tblMovement[[#This Row],[Material]],3)="Ore",1,0))</f>
        <v/>
      </c>
      <c r="N4692" s="59">
        <f>IF(OR(tblMovement[[#This Row],[Tonnes_t]]="",tblMovement[[#This Row],[Grade_gpt]]=""),0,tblMovement[[#This Row],[Tonnes_t]]*tblMovement[[#This Row],[Grade_gpt]]/cfg_TroyOz)</f>
        <v/>
      </c>
      <c r="O4692" s="59">
        <f>IF(tblMovement[[#This Row],[Is_Ore]]=1,tblMovement[[#This Row],[Contained_oz]],0)</f>
        <v/>
      </c>
    </row>
    <row r="4693">
      <c r="A4693" s="54" t="n"/>
      <c r="B4693" s="61" t="n"/>
      <c r="C4693" s="61" t="n"/>
      <c r="D4693" s="61" t="n"/>
      <c r="E4693" s="61" t="n"/>
      <c r="F4693" s="55" t="n"/>
      <c r="G4693" s="56" t="n"/>
      <c r="H4693" s="55" t="n"/>
      <c r="I4693" s="62" t="n"/>
      <c r="J4693" s="58" t="n"/>
      <c r="K4693" s="63">
        <f>IF(tblMovement[[#This Row],[Source]]="","",IFERROR(INDEX(tblSources[Type],MATCH(tblMovement[[#This Row],[Source]],tblSources[Source],0)),"?"))</f>
        <v/>
      </c>
      <c r="L4693" s="63">
        <f>IF(tblMovement[[#This Row],[Destination]]="","",IFERROR(INDEX(tblDestinations[Type],MATCH(tblMovement[[#This Row],[Destination]],tblDestinations[Destination],0)),"?"))</f>
        <v/>
      </c>
      <c r="M4693" s="64">
        <f>IF(tblMovement[[#This Row],[Material]]="","",IF(LEFT(tblMovement[[#This Row],[Material]],3)="Ore",1,0))</f>
        <v/>
      </c>
      <c r="N4693" s="59">
        <f>IF(OR(tblMovement[[#This Row],[Tonnes_t]]="",tblMovement[[#This Row],[Grade_gpt]]=""),0,tblMovement[[#This Row],[Tonnes_t]]*tblMovement[[#This Row],[Grade_gpt]]/cfg_TroyOz)</f>
        <v/>
      </c>
      <c r="O4693" s="59">
        <f>IF(tblMovement[[#This Row],[Is_Ore]]=1,tblMovement[[#This Row],[Contained_oz]],0)</f>
        <v/>
      </c>
    </row>
    <row r="4694">
      <c r="A4694" s="54" t="n"/>
      <c r="B4694" s="61" t="n"/>
      <c r="C4694" s="61" t="n"/>
      <c r="D4694" s="61" t="n"/>
      <c r="E4694" s="61" t="n"/>
      <c r="F4694" s="55" t="n"/>
      <c r="G4694" s="56" t="n"/>
      <c r="H4694" s="55" t="n"/>
      <c r="I4694" s="62" t="n"/>
      <c r="J4694" s="58" t="n"/>
      <c r="K4694" s="63">
        <f>IF(tblMovement[[#This Row],[Source]]="","",IFERROR(INDEX(tblSources[Type],MATCH(tblMovement[[#This Row],[Source]],tblSources[Source],0)),"?"))</f>
        <v/>
      </c>
      <c r="L4694" s="63">
        <f>IF(tblMovement[[#This Row],[Destination]]="","",IFERROR(INDEX(tblDestinations[Type],MATCH(tblMovement[[#This Row],[Destination]],tblDestinations[Destination],0)),"?"))</f>
        <v/>
      </c>
      <c r="M4694" s="64">
        <f>IF(tblMovement[[#This Row],[Material]]="","",IF(LEFT(tblMovement[[#This Row],[Material]],3)="Ore",1,0))</f>
        <v/>
      </c>
      <c r="N4694" s="59">
        <f>IF(OR(tblMovement[[#This Row],[Tonnes_t]]="",tblMovement[[#This Row],[Grade_gpt]]=""),0,tblMovement[[#This Row],[Tonnes_t]]*tblMovement[[#This Row],[Grade_gpt]]/cfg_TroyOz)</f>
        <v/>
      </c>
      <c r="O4694" s="59">
        <f>IF(tblMovement[[#This Row],[Is_Ore]]=1,tblMovement[[#This Row],[Contained_oz]],0)</f>
        <v/>
      </c>
    </row>
    <row r="4695">
      <c r="A4695" s="54" t="n"/>
      <c r="B4695" s="61" t="n"/>
      <c r="C4695" s="61" t="n"/>
      <c r="D4695" s="61" t="n"/>
      <c r="E4695" s="61" t="n"/>
      <c r="F4695" s="55" t="n"/>
      <c r="G4695" s="56" t="n"/>
      <c r="H4695" s="55" t="n"/>
      <c r="I4695" s="62" t="n"/>
      <c r="J4695" s="58" t="n"/>
      <c r="K4695" s="63">
        <f>IF(tblMovement[[#This Row],[Source]]="","",IFERROR(INDEX(tblSources[Type],MATCH(tblMovement[[#This Row],[Source]],tblSources[Source],0)),"?"))</f>
        <v/>
      </c>
      <c r="L4695" s="63">
        <f>IF(tblMovement[[#This Row],[Destination]]="","",IFERROR(INDEX(tblDestinations[Type],MATCH(tblMovement[[#This Row],[Destination]],tblDestinations[Destination],0)),"?"))</f>
        <v/>
      </c>
      <c r="M4695" s="64">
        <f>IF(tblMovement[[#This Row],[Material]]="","",IF(LEFT(tblMovement[[#This Row],[Material]],3)="Ore",1,0))</f>
        <v/>
      </c>
      <c r="N4695" s="59">
        <f>IF(OR(tblMovement[[#This Row],[Tonnes_t]]="",tblMovement[[#This Row],[Grade_gpt]]=""),0,tblMovement[[#This Row],[Tonnes_t]]*tblMovement[[#This Row],[Grade_gpt]]/cfg_TroyOz)</f>
        <v/>
      </c>
      <c r="O4695" s="59">
        <f>IF(tblMovement[[#This Row],[Is_Ore]]=1,tblMovement[[#This Row],[Contained_oz]],0)</f>
        <v/>
      </c>
    </row>
    <row r="4696">
      <c r="A4696" s="54" t="n"/>
      <c r="B4696" s="61" t="n"/>
      <c r="C4696" s="61" t="n"/>
      <c r="D4696" s="61" t="n"/>
      <c r="E4696" s="61" t="n"/>
      <c r="F4696" s="55" t="n"/>
      <c r="G4696" s="56" t="n"/>
      <c r="H4696" s="55" t="n"/>
      <c r="I4696" s="62" t="n"/>
      <c r="J4696" s="58" t="n"/>
      <c r="K4696" s="63">
        <f>IF(tblMovement[[#This Row],[Source]]="","",IFERROR(INDEX(tblSources[Type],MATCH(tblMovement[[#This Row],[Source]],tblSources[Source],0)),"?"))</f>
        <v/>
      </c>
      <c r="L4696" s="63">
        <f>IF(tblMovement[[#This Row],[Destination]]="","",IFERROR(INDEX(tblDestinations[Type],MATCH(tblMovement[[#This Row],[Destination]],tblDestinations[Destination],0)),"?"))</f>
        <v/>
      </c>
      <c r="M4696" s="64">
        <f>IF(tblMovement[[#This Row],[Material]]="","",IF(LEFT(tblMovement[[#This Row],[Material]],3)="Ore",1,0))</f>
        <v/>
      </c>
      <c r="N4696" s="59">
        <f>IF(OR(tblMovement[[#This Row],[Tonnes_t]]="",tblMovement[[#This Row],[Grade_gpt]]=""),0,tblMovement[[#This Row],[Tonnes_t]]*tblMovement[[#This Row],[Grade_gpt]]/cfg_TroyOz)</f>
        <v/>
      </c>
      <c r="O4696" s="59">
        <f>IF(tblMovement[[#This Row],[Is_Ore]]=1,tblMovement[[#This Row],[Contained_oz]],0)</f>
        <v/>
      </c>
    </row>
    <row r="4697">
      <c r="A4697" s="54" t="n"/>
      <c r="B4697" s="61" t="n"/>
      <c r="C4697" s="61" t="n"/>
      <c r="D4697" s="61" t="n"/>
      <c r="E4697" s="61" t="n"/>
      <c r="F4697" s="55" t="n"/>
      <c r="G4697" s="56" t="n"/>
      <c r="H4697" s="55" t="n"/>
      <c r="I4697" s="62" t="n"/>
      <c r="J4697" s="58" t="n"/>
      <c r="K4697" s="63">
        <f>IF(tblMovement[[#This Row],[Source]]="","",IFERROR(INDEX(tblSources[Type],MATCH(tblMovement[[#This Row],[Source]],tblSources[Source],0)),"?"))</f>
        <v/>
      </c>
      <c r="L4697" s="63">
        <f>IF(tblMovement[[#This Row],[Destination]]="","",IFERROR(INDEX(tblDestinations[Type],MATCH(tblMovement[[#This Row],[Destination]],tblDestinations[Destination],0)),"?"))</f>
        <v/>
      </c>
      <c r="M4697" s="64">
        <f>IF(tblMovement[[#This Row],[Material]]="","",IF(LEFT(tblMovement[[#This Row],[Material]],3)="Ore",1,0))</f>
        <v/>
      </c>
      <c r="N4697" s="59">
        <f>IF(OR(tblMovement[[#This Row],[Tonnes_t]]="",tblMovement[[#This Row],[Grade_gpt]]=""),0,tblMovement[[#This Row],[Tonnes_t]]*tblMovement[[#This Row],[Grade_gpt]]/cfg_TroyOz)</f>
        <v/>
      </c>
      <c r="O4697" s="59">
        <f>IF(tblMovement[[#This Row],[Is_Ore]]=1,tblMovement[[#This Row],[Contained_oz]],0)</f>
        <v/>
      </c>
    </row>
    <row r="4698">
      <c r="A4698" s="54" t="n"/>
      <c r="B4698" s="61" t="n"/>
      <c r="C4698" s="61" t="n"/>
      <c r="D4698" s="61" t="n"/>
      <c r="E4698" s="61" t="n"/>
      <c r="F4698" s="55" t="n"/>
      <c r="G4698" s="56" t="n"/>
      <c r="H4698" s="55" t="n"/>
      <c r="I4698" s="62" t="n"/>
      <c r="J4698" s="58" t="n"/>
      <c r="K4698" s="63">
        <f>IF(tblMovement[[#This Row],[Source]]="","",IFERROR(INDEX(tblSources[Type],MATCH(tblMovement[[#This Row],[Source]],tblSources[Source],0)),"?"))</f>
        <v/>
      </c>
      <c r="L4698" s="63">
        <f>IF(tblMovement[[#This Row],[Destination]]="","",IFERROR(INDEX(tblDestinations[Type],MATCH(tblMovement[[#This Row],[Destination]],tblDestinations[Destination],0)),"?"))</f>
        <v/>
      </c>
      <c r="M4698" s="64">
        <f>IF(tblMovement[[#This Row],[Material]]="","",IF(LEFT(tblMovement[[#This Row],[Material]],3)="Ore",1,0))</f>
        <v/>
      </c>
      <c r="N4698" s="59">
        <f>IF(OR(tblMovement[[#This Row],[Tonnes_t]]="",tblMovement[[#This Row],[Grade_gpt]]=""),0,tblMovement[[#This Row],[Tonnes_t]]*tblMovement[[#This Row],[Grade_gpt]]/cfg_TroyOz)</f>
        <v/>
      </c>
      <c r="O4698" s="59">
        <f>IF(tblMovement[[#This Row],[Is_Ore]]=1,tblMovement[[#This Row],[Contained_oz]],0)</f>
        <v/>
      </c>
    </row>
    <row r="4699">
      <c r="A4699" s="54" t="n"/>
      <c r="B4699" s="61" t="n"/>
      <c r="C4699" s="61" t="n"/>
      <c r="D4699" s="61" t="n"/>
      <c r="E4699" s="61" t="n"/>
      <c r="F4699" s="55" t="n"/>
      <c r="G4699" s="56" t="n"/>
      <c r="H4699" s="55" t="n"/>
      <c r="I4699" s="62" t="n"/>
      <c r="J4699" s="58" t="n"/>
      <c r="K4699" s="63">
        <f>IF(tblMovement[[#This Row],[Source]]="","",IFERROR(INDEX(tblSources[Type],MATCH(tblMovement[[#This Row],[Source]],tblSources[Source],0)),"?"))</f>
        <v/>
      </c>
      <c r="L4699" s="63">
        <f>IF(tblMovement[[#This Row],[Destination]]="","",IFERROR(INDEX(tblDestinations[Type],MATCH(tblMovement[[#This Row],[Destination]],tblDestinations[Destination],0)),"?"))</f>
        <v/>
      </c>
      <c r="M4699" s="64">
        <f>IF(tblMovement[[#This Row],[Material]]="","",IF(LEFT(tblMovement[[#This Row],[Material]],3)="Ore",1,0))</f>
        <v/>
      </c>
      <c r="N4699" s="59">
        <f>IF(OR(tblMovement[[#This Row],[Tonnes_t]]="",tblMovement[[#This Row],[Grade_gpt]]=""),0,tblMovement[[#This Row],[Tonnes_t]]*tblMovement[[#This Row],[Grade_gpt]]/cfg_TroyOz)</f>
        <v/>
      </c>
      <c r="O4699" s="59">
        <f>IF(tblMovement[[#This Row],[Is_Ore]]=1,tblMovement[[#This Row],[Contained_oz]],0)</f>
        <v/>
      </c>
    </row>
    <row r="4700">
      <c r="A4700" s="54" t="n"/>
      <c r="B4700" s="61" t="n"/>
      <c r="C4700" s="61" t="n"/>
      <c r="D4700" s="61" t="n"/>
      <c r="E4700" s="61" t="n"/>
      <c r="F4700" s="55" t="n"/>
      <c r="G4700" s="56" t="n"/>
      <c r="H4700" s="55" t="n"/>
      <c r="I4700" s="62" t="n"/>
      <c r="J4700" s="58" t="n"/>
      <c r="K4700" s="63">
        <f>IF(tblMovement[[#This Row],[Source]]="","",IFERROR(INDEX(tblSources[Type],MATCH(tblMovement[[#This Row],[Source]],tblSources[Source],0)),"?"))</f>
        <v/>
      </c>
      <c r="L4700" s="63">
        <f>IF(tblMovement[[#This Row],[Destination]]="","",IFERROR(INDEX(tblDestinations[Type],MATCH(tblMovement[[#This Row],[Destination]],tblDestinations[Destination],0)),"?"))</f>
        <v/>
      </c>
      <c r="M4700" s="64">
        <f>IF(tblMovement[[#This Row],[Material]]="","",IF(LEFT(tblMovement[[#This Row],[Material]],3)="Ore",1,0))</f>
        <v/>
      </c>
      <c r="N4700" s="59">
        <f>IF(OR(tblMovement[[#This Row],[Tonnes_t]]="",tblMovement[[#This Row],[Grade_gpt]]=""),0,tblMovement[[#This Row],[Tonnes_t]]*tblMovement[[#This Row],[Grade_gpt]]/cfg_TroyOz)</f>
        <v/>
      </c>
      <c r="O4700" s="59">
        <f>IF(tblMovement[[#This Row],[Is_Ore]]=1,tblMovement[[#This Row],[Contained_oz]],0)</f>
        <v/>
      </c>
    </row>
    <row r="4701">
      <c r="A4701" s="54" t="n"/>
      <c r="B4701" s="61" t="n"/>
      <c r="C4701" s="61" t="n"/>
      <c r="D4701" s="61" t="n"/>
      <c r="E4701" s="61" t="n"/>
      <c r="F4701" s="55" t="n"/>
      <c r="G4701" s="56" t="n"/>
      <c r="H4701" s="55" t="n"/>
      <c r="I4701" s="62" t="n"/>
      <c r="J4701" s="58" t="n"/>
      <c r="K4701" s="63">
        <f>IF(tblMovement[[#This Row],[Source]]="","",IFERROR(INDEX(tblSources[Type],MATCH(tblMovement[[#This Row],[Source]],tblSources[Source],0)),"?"))</f>
        <v/>
      </c>
      <c r="L4701" s="63">
        <f>IF(tblMovement[[#This Row],[Destination]]="","",IFERROR(INDEX(tblDestinations[Type],MATCH(tblMovement[[#This Row],[Destination]],tblDestinations[Destination],0)),"?"))</f>
        <v/>
      </c>
      <c r="M4701" s="64">
        <f>IF(tblMovement[[#This Row],[Material]]="","",IF(LEFT(tblMovement[[#This Row],[Material]],3)="Ore",1,0))</f>
        <v/>
      </c>
      <c r="N4701" s="59">
        <f>IF(OR(tblMovement[[#This Row],[Tonnes_t]]="",tblMovement[[#This Row],[Grade_gpt]]=""),0,tblMovement[[#This Row],[Tonnes_t]]*tblMovement[[#This Row],[Grade_gpt]]/cfg_TroyOz)</f>
        <v/>
      </c>
      <c r="O4701" s="59">
        <f>IF(tblMovement[[#This Row],[Is_Ore]]=1,tblMovement[[#This Row],[Contained_oz]],0)</f>
        <v/>
      </c>
    </row>
    <row r="4702">
      <c r="A4702" s="54" t="n"/>
      <c r="B4702" s="61" t="n"/>
      <c r="C4702" s="61" t="n"/>
      <c r="D4702" s="61" t="n"/>
      <c r="E4702" s="61" t="n"/>
      <c r="F4702" s="55" t="n"/>
      <c r="G4702" s="56" t="n"/>
      <c r="H4702" s="55" t="n"/>
      <c r="I4702" s="62" t="n"/>
      <c r="J4702" s="58" t="n"/>
      <c r="K4702" s="63">
        <f>IF(tblMovement[[#This Row],[Source]]="","",IFERROR(INDEX(tblSources[Type],MATCH(tblMovement[[#This Row],[Source]],tblSources[Source],0)),"?"))</f>
        <v/>
      </c>
      <c r="L4702" s="63">
        <f>IF(tblMovement[[#This Row],[Destination]]="","",IFERROR(INDEX(tblDestinations[Type],MATCH(tblMovement[[#This Row],[Destination]],tblDestinations[Destination],0)),"?"))</f>
        <v/>
      </c>
      <c r="M4702" s="64">
        <f>IF(tblMovement[[#This Row],[Material]]="","",IF(LEFT(tblMovement[[#This Row],[Material]],3)="Ore",1,0))</f>
        <v/>
      </c>
      <c r="N4702" s="59">
        <f>IF(OR(tblMovement[[#This Row],[Tonnes_t]]="",tblMovement[[#This Row],[Grade_gpt]]=""),0,tblMovement[[#This Row],[Tonnes_t]]*tblMovement[[#This Row],[Grade_gpt]]/cfg_TroyOz)</f>
        <v/>
      </c>
      <c r="O4702" s="59">
        <f>IF(tblMovement[[#This Row],[Is_Ore]]=1,tblMovement[[#This Row],[Contained_oz]],0)</f>
        <v/>
      </c>
    </row>
    <row r="4703">
      <c r="A4703" s="54" t="n"/>
      <c r="B4703" s="61" t="n"/>
      <c r="C4703" s="61" t="n"/>
      <c r="D4703" s="61" t="n"/>
      <c r="E4703" s="61" t="n"/>
      <c r="F4703" s="55" t="n"/>
      <c r="G4703" s="56" t="n"/>
      <c r="H4703" s="55" t="n"/>
      <c r="I4703" s="62" t="n"/>
      <c r="J4703" s="58" t="n"/>
      <c r="K4703" s="63">
        <f>IF(tblMovement[[#This Row],[Source]]="","",IFERROR(INDEX(tblSources[Type],MATCH(tblMovement[[#This Row],[Source]],tblSources[Source],0)),"?"))</f>
        <v/>
      </c>
      <c r="L4703" s="63">
        <f>IF(tblMovement[[#This Row],[Destination]]="","",IFERROR(INDEX(tblDestinations[Type],MATCH(tblMovement[[#This Row],[Destination]],tblDestinations[Destination],0)),"?"))</f>
        <v/>
      </c>
      <c r="M4703" s="64">
        <f>IF(tblMovement[[#This Row],[Material]]="","",IF(LEFT(tblMovement[[#This Row],[Material]],3)="Ore",1,0))</f>
        <v/>
      </c>
      <c r="N4703" s="59">
        <f>IF(OR(tblMovement[[#This Row],[Tonnes_t]]="",tblMovement[[#This Row],[Grade_gpt]]=""),0,tblMovement[[#This Row],[Tonnes_t]]*tblMovement[[#This Row],[Grade_gpt]]/cfg_TroyOz)</f>
        <v/>
      </c>
      <c r="O4703" s="59">
        <f>IF(tblMovement[[#This Row],[Is_Ore]]=1,tblMovement[[#This Row],[Contained_oz]],0)</f>
        <v/>
      </c>
    </row>
    <row r="4704">
      <c r="A4704" s="54" t="n"/>
      <c r="B4704" s="61" t="n"/>
      <c r="C4704" s="61" t="n"/>
      <c r="D4704" s="61" t="n"/>
      <c r="E4704" s="61" t="n"/>
      <c r="F4704" s="55" t="n"/>
      <c r="G4704" s="56" t="n"/>
      <c r="H4704" s="55" t="n"/>
      <c r="I4704" s="62" t="n"/>
      <c r="J4704" s="58" t="n"/>
      <c r="K4704" s="63">
        <f>IF(tblMovement[[#This Row],[Source]]="","",IFERROR(INDEX(tblSources[Type],MATCH(tblMovement[[#This Row],[Source]],tblSources[Source],0)),"?"))</f>
        <v/>
      </c>
      <c r="L4704" s="63">
        <f>IF(tblMovement[[#This Row],[Destination]]="","",IFERROR(INDEX(tblDestinations[Type],MATCH(tblMovement[[#This Row],[Destination]],tblDestinations[Destination],0)),"?"))</f>
        <v/>
      </c>
      <c r="M4704" s="64">
        <f>IF(tblMovement[[#This Row],[Material]]="","",IF(LEFT(tblMovement[[#This Row],[Material]],3)="Ore",1,0))</f>
        <v/>
      </c>
      <c r="N4704" s="59">
        <f>IF(OR(tblMovement[[#This Row],[Tonnes_t]]="",tblMovement[[#This Row],[Grade_gpt]]=""),0,tblMovement[[#This Row],[Tonnes_t]]*tblMovement[[#This Row],[Grade_gpt]]/cfg_TroyOz)</f>
        <v/>
      </c>
      <c r="O4704" s="59">
        <f>IF(tblMovement[[#This Row],[Is_Ore]]=1,tblMovement[[#This Row],[Contained_oz]],0)</f>
        <v/>
      </c>
    </row>
    <row r="4705">
      <c r="A4705" s="54" t="n"/>
      <c r="B4705" s="61" t="n"/>
      <c r="C4705" s="61" t="n"/>
      <c r="D4705" s="61" t="n"/>
      <c r="E4705" s="61" t="n"/>
      <c r="F4705" s="55" t="n"/>
      <c r="G4705" s="56" t="n"/>
      <c r="H4705" s="55" t="n"/>
      <c r="I4705" s="62" t="n"/>
      <c r="J4705" s="58" t="n"/>
      <c r="K4705" s="63">
        <f>IF(tblMovement[[#This Row],[Source]]="","",IFERROR(INDEX(tblSources[Type],MATCH(tblMovement[[#This Row],[Source]],tblSources[Source],0)),"?"))</f>
        <v/>
      </c>
      <c r="L4705" s="63">
        <f>IF(tblMovement[[#This Row],[Destination]]="","",IFERROR(INDEX(tblDestinations[Type],MATCH(tblMovement[[#This Row],[Destination]],tblDestinations[Destination],0)),"?"))</f>
        <v/>
      </c>
      <c r="M4705" s="64">
        <f>IF(tblMovement[[#This Row],[Material]]="","",IF(LEFT(tblMovement[[#This Row],[Material]],3)="Ore",1,0))</f>
        <v/>
      </c>
      <c r="N4705" s="59">
        <f>IF(OR(tblMovement[[#This Row],[Tonnes_t]]="",tblMovement[[#This Row],[Grade_gpt]]=""),0,tblMovement[[#This Row],[Tonnes_t]]*tblMovement[[#This Row],[Grade_gpt]]/cfg_TroyOz)</f>
        <v/>
      </c>
      <c r="O4705" s="59">
        <f>IF(tblMovement[[#This Row],[Is_Ore]]=1,tblMovement[[#This Row],[Contained_oz]],0)</f>
        <v/>
      </c>
    </row>
    <row r="4706">
      <c r="A4706" s="54" t="n"/>
      <c r="B4706" s="61" t="n"/>
      <c r="C4706" s="61" t="n"/>
      <c r="D4706" s="61" t="n"/>
      <c r="E4706" s="61" t="n"/>
      <c r="F4706" s="55" t="n"/>
      <c r="G4706" s="56" t="n"/>
      <c r="H4706" s="55" t="n"/>
      <c r="I4706" s="62" t="n"/>
      <c r="J4706" s="58" t="n"/>
      <c r="K4706" s="63">
        <f>IF(tblMovement[[#This Row],[Source]]="","",IFERROR(INDEX(tblSources[Type],MATCH(tblMovement[[#This Row],[Source]],tblSources[Source],0)),"?"))</f>
        <v/>
      </c>
      <c r="L4706" s="63">
        <f>IF(tblMovement[[#This Row],[Destination]]="","",IFERROR(INDEX(tblDestinations[Type],MATCH(tblMovement[[#This Row],[Destination]],tblDestinations[Destination],0)),"?"))</f>
        <v/>
      </c>
      <c r="M4706" s="64">
        <f>IF(tblMovement[[#This Row],[Material]]="","",IF(LEFT(tblMovement[[#This Row],[Material]],3)="Ore",1,0))</f>
        <v/>
      </c>
      <c r="N4706" s="59">
        <f>IF(OR(tblMovement[[#This Row],[Tonnes_t]]="",tblMovement[[#This Row],[Grade_gpt]]=""),0,tblMovement[[#This Row],[Tonnes_t]]*tblMovement[[#This Row],[Grade_gpt]]/cfg_TroyOz)</f>
        <v/>
      </c>
      <c r="O4706" s="59">
        <f>IF(tblMovement[[#This Row],[Is_Ore]]=1,tblMovement[[#This Row],[Contained_oz]],0)</f>
        <v/>
      </c>
    </row>
    <row r="4707">
      <c r="A4707" s="54" t="n"/>
      <c r="B4707" s="61" t="n"/>
      <c r="C4707" s="61" t="n"/>
      <c r="D4707" s="61" t="n"/>
      <c r="E4707" s="61" t="n"/>
      <c r="F4707" s="55" t="n"/>
      <c r="G4707" s="56" t="n"/>
      <c r="H4707" s="55" t="n"/>
      <c r="I4707" s="62" t="n"/>
      <c r="J4707" s="58" t="n"/>
      <c r="K4707" s="63">
        <f>IF(tblMovement[[#This Row],[Source]]="","",IFERROR(INDEX(tblSources[Type],MATCH(tblMovement[[#This Row],[Source]],tblSources[Source],0)),"?"))</f>
        <v/>
      </c>
      <c r="L4707" s="63">
        <f>IF(tblMovement[[#This Row],[Destination]]="","",IFERROR(INDEX(tblDestinations[Type],MATCH(tblMovement[[#This Row],[Destination]],tblDestinations[Destination],0)),"?"))</f>
        <v/>
      </c>
      <c r="M4707" s="64">
        <f>IF(tblMovement[[#This Row],[Material]]="","",IF(LEFT(tblMovement[[#This Row],[Material]],3)="Ore",1,0))</f>
        <v/>
      </c>
      <c r="N4707" s="59">
        <f>IF(OR(tblMovement[[#This Row],[Tonnes_t]]="",tblMovement[[#This Row],[Grade_gpt]]=""),0,tblMovement[[#This Row],[Tonnes_t]]*tblMovement[[#This Row],[Grade_gpt]]/cfg_TroyOz)</f>
        <v/>
      </c>
      <c r="O4707" s="59">
        <f>IF(tblMovement[[#This Row],[Is_Ore]]=1,tblMovement[[#This Row],[Contained_oz]],0)</f>
        <v/>
      </c>
    </row>
    <row r="4708">
      <c r="A4708" s="54" t="n"/>
      <c r="B4708" s="61" t="n"/>
      <c r="C4708" s="61" t="n"/>
      <c r="D4708" s="61" t="n"/>
      <c r="E4708" s="61" t="n"/>
      <c r="F4708" s="55" t="n"/>
      <c r="G4708" s="56" t="n"/>
      <c r="H4708" s="55" t="n"/>
      <c r="I4708" s="62" t="n"/>
      <c r="J4708" s="58" t="n"/>
      <c r="K4708" s="63">
        <f>IF(tblMovement[[#This Row],[Source]]="","",IFERROR(INDEX(tblSources[Type],MATCH(tblMovement[[#This Row],[Source]],tblSources[Source],0)),"?"))</f>
        <v/>
      </c>
      <c r="L4708" s="63">
        <f>IF(tblMovement[[#This Row],[Destination]]="","",IFERROR(INDEX(tblDestinations[Type],MATCH(tblMovement[[#This Row],[Destination]],tblDestinations[Destination],0)),"?"))</f>
        <v/>
      </c>
      <c r="M4708" s="64">
        <f>IF(tblMovement[[#This Row],[Material]]="","",IF(LEFT(tblMovement[[#This Row],[Material]],3)="Ore",1,0))</f>
        <v/>
      </c>
      <c r="N4708" s="59">
        <f>IF(OR(tblMovement[[#This Row],[Tonnes_t]]="",tblMovement[[#This Row],[Grade_gpt]]=""),0,tblMovement[[#This Row],[Tonnes_t]]*tblMovement[[#This Row],[Grade_gpt]]/cfg_TroyOz)</f>
        <v/>
      </c>
      <c r="O4708" s="59">
        <f>IF(tblMovement[[#This Row],[Is_Ore]]=1,tblMovement[[#This Row],[Contained_oz]],0)</f>
        <v/>
      </c>
    </row>
    <row r="4709">
      <c r="A4709" s="54" t="n"/>
      <c r="B4709" s="61" t="n"/>
      <c r="C4709" s="61" t="n"/>
      <c r="D4709" s="61" t="n"/>
      <c r="E4709" s="61" t="n"/>
      <c r="F4709" s="55" t="n"/>
      <c r="G4709" s="56" t="n"/>
      <c r="H4709" s="55" t="n"/>
      <c r="I4709" s="62" t="n"/>
      <c r="J4709" s="58" t="n"/>
      <c r="K4709" s="63">
        <f>IF(tblMovement[[#This Row],[Source]]="","",IFERROR(INDEX(tblSources[Type],MATCH(tblMovement[[#This Row],[Source]],tblSources[Source],0)),"?"))</f>
        <v/>
      </c>
      <c r="L4709" s="63">
        <f>IF(tblMovement[[#This Row],[Destination]]="","",IFERROR(INDEX(tblDestinations[Type],MATCH(tblMovement[[#This Row],[Destination]],tblDestinations[Destination],0)),"?"))</f>
        <v/>
      </c>
      <c r="M4709" s="64">
        <f>IF(tblMovement[[#This Row],[Material]]="","",IF(LEFT(tblMovement[[#This Row],[Material]],3)="Ore",1,0))</f>
        <v/>
      </c>
      <c r="N4709" s="59">
        <f>IF(OR(tblMovement[[#This Row],[Tonnes_t]]="",tblMovement[[#This Row],[Grade_gpt]]=""),0,tblMovement[[#This Row],[Tonnes_t]]*tblMovement[[#This Row],[Grade_gpt]]/cfg_TroyOz)</f>
        <v/>
      </c>
      <c r="O4709" s="59">
        <f>IF(tblMovement[[#This Row],[Is_Ore]]=1,tblMovement[[#This Row],[Contained_oz]],0)</f>
        <v/>
      </c>
    </row>
    <row r="4710">
      <c r="A4710" s="54" t="n"/>
      <c r="B4710" s="61" t="n"/>
      <c r="C4710" s="61" t="n"/>
      <c r="D4710" s="61" t="n"/>
      <c r="E4710" s="61" t="n"/>
      <c r="F4710" s="55" t="n"/>
      <c r="G4710" s="56" t="n"/>
      <c r="H4710" s="55" t="n"/>
      <c r="I4710" s="62" t="n"/>
      <c r="J4710" s="58" t="n"/>
      <c r="K4710" s="63">
        <f>IF(tblMovement[[#This Row],[Source]]="","",IFERROR(INDEX(tblSources[Type],MATCH(tblMovement[[#This Row],[Source]],tblSources[Source],0)),"?"))</f>
        <v/>
      </c>
      <c r="L4710" s="63">
        <f>IF(tblMovement[[#This Row],[Destination]]="","",IFERROR(INDEX(tblDestinations[Type],MATCH(tblMovement[[#This Row],[Destination]],tblDestinations[Destination],0)),"?"))</f>
        <v/>
      </c>
      <c r="M4710" s="64">
        <f>IF(tblMovement[[#This Row],[Material]]="","",IF(LEFT(tblMovement[[#This Row],[Material]],3)="Ore",1,0))</f>
        <v/>
      </c>
      <c r="N4710" s="59">
        <f>IF(OR(tblMovement[[#This Row],[Tonnes_t]]="",tblMovement[[#This Row],[Grade_gpt]]=""),0,tblMovement[[#This Row],[Tonnes_t]]*tblMovement[[#This Row],[Grade_gpt]]/cfg_TroyOz)</f>
        <v/>
      </c>
      <c r="O4710" s="59">
        <f>IF(tblMovement[[#This Row],[Is_Ore]]=1,tblMovement[[#This Row],[Contained_oz]],0)</f>
        <v/>
      </c>
    </row>
    <row r="4711">
      <c r="A4711" s="54" t="n"/>
      <c r="B4711" s="61" t="n"/>
      <c r="C4711" s="61" t="n"/>
      <c r="D4711" s="61" t="n"/>
      <c r="E4711" s="61" t="n"/>
      <c r="F4711" s="55" t="n"/>
      <c r="G4711" s="56" t="n"/>
      <c r="H4711" s="55" t="n"/>
      <c r="I4711" s="62" t="n"/>
      <c r="J4711" s="58" t="n"/>
      <c r="K4711" s="63">
        <f>IF(tblMovement[[#This Row],[Source]]="","",IFERROR(INDEX(tblSources[Type],MATCH(tblMovement[[#This Row],[Source]],tblSources[Source],0)),"?"))</f>
        <v/>
      </c>
      <c r="L4711" s="63">
        <f>IF(tblMovement[[#This Row],[Destination]]="","",IFERROR(INDEX(tblDestinations[Type],MATCH(tblMovement[[#This Row],[Destination]],tblDestinations[Destination],0)),"?"))</f>
        <v/>
      </c>
      <c r="M4711" s="64">
        <f>IF(tblMovement[[#This Row],[Material]]="","",IF(LEFT(tblMovement[[#This Row],[Material]],3)="Ore",1,0))</f>
        <v/>
      </c>
      <c r="N4711" s="59">
        <f>IF(OR(tblMovement[[#This Row],[Tonnes_t]]="",tblMovement[[#This Row],[Grade_gpt]]=""),0,tblMovement[[#This Row],[Tonnes_t]]*tblMovement[[#This Row],[Grade_gpt]]/cfg_TroyOz)</f>
        <v/>
      </c>
      <c r="O4711" s="59">
        <f>IF(tblMovement[[#This Row],[Is_Ore]]=1,tblMovement[[#This Row],[Contained_oz]],0)</f>
        <v/>
      </c>
    </row>
    <row r="4712">
      <c r="A4712" s="54" t="n"/>
      <c r="B4712" s="61" t="n"/>
      <c r="C4712" s="61" t="n"/>
      <c r="D4712" s="61" t="n"/>
      <c r="E4712" s="61" t="n"/>
      <c r="F4712" s="55" t="n"/>
      <c r="G4712" s="56" t="n"/>
      <c r="H4712" s="55" t="n"/>
      <c r="I4712" s="62" t="n"/>
      <c r="J4712" s="58" t="n"/>
      <c r="K4712" s="63">
        <f>IF(tblMovement[[#This Row],[Source]]="","",IFERROR(INDEX(tblSources[Type],MATCH(tblMovement[[#This Row],[Source]],tblSources[Source],0)),"?"))</f>
        <v/>
      </c>
      <c r="L4712" s="63">
        <f>IF(tblMovement[[#This Row],[Destination]]="","",IFERROR(INDEX(tblDestinations[Type],MATCH(tblMovement[[#This Row],[Destination]],tblDestinations[Destination],0)),"?"))</f>
        <v/>
      </c>
      <c r="M4712" s="64">
        <f>IF(tblMovement[[#This Row],[Material]]="","",IF(LEFT(tblMovement[[#This Row],[Material]],3)="Ore",1,0))</f>
        <v/>
      </c>
      <c r="N4712" s="59">
        <f>IF(OR(tblMovement[[#This Row],[Tonnes_t]]="",tblMovement[[#This Row],[Grade_gpt]]=""),0,tblMovement[[#This Row],[Tonnes_t]]*tblMovement[[#This Row],[Grade_gpt]]/cfg_TroyOz)</f>
        <v/>
      </c>
      <c r="O4712" s="59">
        <f>IF(tblMovement[[#This Row],[Is_Ore]]=1,tblMovement[[#This Row],[Contained_oz]],0)</f>
        <v/>
      </c>
    </row>
    <row r="4713">
      <c r="A4713" s="54" t="n"/>
      <c r="B4713" s="61" t="n"/>
      <c r="C4713" s="61" t="n"/>
      <c r="D4713" s="61" t="n"/>
      <c r="E4713" s="61" t="n"/>
      <c r="F4713" s="55" t="n"/>
      <c r="G4713" s="56" t="n"/>
      <c r="H4713" s="55" t="n"/>
      <c r="I4713" s="62" t="n"/>
      <c r="J4713" s="58" t="n"/>
      <c r="K4713" s="63">
        <f>IF(tblMovement[[#This Row],[Source]]="","",IFERROR(INDEX(tblSources[Type],MATCH(tblMovement[[#This Row],[Source]],tblSources[Source],0)),"?"))</f>
        <v/>
      </c>
      <c r="L4713" s="63">
        <f>IF(tblMovement[[#This Row],[Destination]]="","",IFERROR(INDEX(tblDestinations[Type],MATCH(tblMovement[[#This Row],[Destination]],tblDestinations[Destination],0)),"?"))</f>
        <v/>
      </c>
      <c r="M4713" s="64">
        <f>IF(tblMovement[[#This Row],[Material]]="","",IF(LEFT(tblMovement[[#This Row],[Material]],3)="Ore",1,0))</f>
        <v/>
      </c>
      <c r="N4713" s="59">
        <f>IF(OR(tblMovement[[#This Row],[Tonnes_t]]="",tblMovement[[#This Row],[Grade_gpt]]=""),0,tblMovement[[#This Row],[Tonnes_t]]*tblMovement[[#This Row],[Grade_gpt]]/cfg_TroyOz)</f>
        <v/>
      </c>
      <c r="O4713" s="59">
        <f>IF(tblMovement[[#This Row],[Is_Ore]]=1,tblMovement[[#This Row],[Contained_oz]],0)</f>
        <v/>
      </c>
    </row>
    <row r="4714">
      <c r="A4714" s="54" t="n"/>
      <c r="B4714" s="61" t="n"/>
      <c r="C4714" s="61" t="n"/>
      <c r="D4714" s="61" t="n"/>
      <c r="E4714" s="61" t="n"/>
      <c r="F4714" s="55" t="n"/>
      <c r="G4714" s="56" t="n"/>
      <c r="H4714" s="55" t="n"/>
      <c r="I4714" s="62" t="n"/>
      <c r="J4714" s="58" t="n"/>
      <c r="K4714" s="63">
        <f>IF(tblMovement[[#This Row],[Source]]="","",IFERROR(INDEX(tblSources[Type],MATCH(tblMovement[[#This Row],[Source]],tblSources[Source],0)),"?"))</f>
        <v/>
      </c>
      <c r="L4714" s="63">
        <f>IF(tblMovement[[#This Row],[Destination]]="","",IFERROR(INDEX(tblDestinations[Type],MATCH(tblMovement[[#This Row],[Destination]],tblDestinations[Destination],0)),"?"))</f>
        <v/>
      </c>
      <c r="M4714" s="64">
        <f>IF(tblMovement[[#This Row],[Material]]="","",IF(LEFT(tblMovement[[#This Row],[Material]],3)="Ore",1,0))</f>
        <v/>
      </c>
      <c r="N4714" s="59">
        <f>IF(OR(tblMovement[[#This Row],[Tonnes_t]]="",tblMovement[[#This Row],[Grade_gpt]]=""),0,tblMovement[[#This Row],[Tonnes_t]]*tblMovement[[#This Row],[Grade_gpt]]/cfg_TroyOz)</f>
        <v/>
      </c>
      <c r="O4714" s="59">
        <f>IF(tblMovement[[#This Row],[Is_Ore]]=1,tblMovement[[#This Row],[Contained_oz]],0)</f>
        <v/>
      </c>
    </row>
    <row r="4715">
      <c r="A4715" s="54" t="n"/>
      <c r="B4715" s="61" t="n"/>
      <c r="C4715" s="61" t="n"/>
      <c r="D4715" s="61" t="n"/>
      <c r="E4715" s="61" t="n"/>
      <c r="F4715" s="55" t="n"/>
      <c r="G4715" s="56" t="n"/>
      <c r="H4715" s="55" t="n"/>
      <c r="I4715" s="62" t="n"/>
      <c r="J4715" s="58" t="n"/>
      <c r="K4715" s="63">
        <f>IF(tblMovement[[#This Row],[Source]]="","",IFERROR(INDEX(tblSources[Type],MATCH(tblMovement[[#This Row],[Source]],tblSources[Source],0)),"?"))</f>
        <v/>
      </c>
      <c r="L4715" s="63">
        <f>IF(tblMovement[[#This Row],[Destination]]="","",IFERROR(INDEX(tblDestinations[Type],MATCH(tblMovement[[#This Row],[Destination]],tblDestinations[Destination],0)),"?"))</f>
        <v/>
      </c>
      <c r="M4715" s="64">
        <f>IF(tblMovement[[#This Row],[Material]]="","",IF(LEFT(tblMovement[[#This Row],[Material]],3)="Ore",1,0))</f>
        <v/>
      </c>
      <c r="N4715" s="59">
        <f>IF(OR(tblMovement[[#This Row],[Tonnes_t]]="",tblMovement[[#This Row],[Grade_gpt]]=""),0,tblMovement[[#This Row],[Tonnes_t]]*tblMovement[[#This Row],[Grade_gpt]]/cfg_TroyOz)</f>
        <v/>
      </c>
      <c r="O4715" s="59">
        <f>IF(tblMovement[[#This Row],[Is_Ore]]=1,tblMovement[[#This Row],[Contained_oz]],0)</f>
        <v/>
      </c>
    </row>
    <row r="4716">
      <c r="A4716" s="54" t="n"/>
      <c r="B4716" s="61" t="n"/>
      <c r="C4716" s="61" t="n"/>
      <c r="D4716" s="61" t="n"/>
      <c r="E4716" s="61" t="n"/>
      <c r="F4716" s="55" t="n"/>
      <c r="G4716" s="56" t="n"/>
      <c r="H4716" s="55" t="n"/>
      <c r="I4716" s="62" t="n"/>
      <c r="J4716" s="58" t="n"/>
      <c r="K4716" s="63">
        <f>IF(tblMovement[[#This Row],[Source]]="","",IFERROR(INDEX(tblSources[Type],MATCH(tblMovement[[#This Row],[Source]],tblSources[Source],0)),"?"))</f>
        <v/>
      </c>
      <c r="L4716" s="63">
        <f>IF(tblMovement[[#This Row],[Destination]]="","",IFERROR(INDEX(tblDestinations[Type],MATCH(tblMovement[[#This Row],[Destination]],tblDestinations[Destination],0)),"?"))</f>
        <v/>
      </c>
      <c r="M4716" s="64">
        <f>IF(tblMovement[[#This Row],[Material]]="","",IF(LEFT(tblMovement[[#This Row],[Material]],3)="Ore",1,0))</f>
        <v/>
      </c>
      <c r="N4716" s="59">
        <f>IF(OR(tblMovement[[#This Row],[Tonnes_t]]="",tblMovement[[#This Row],[Grade_gpt]]=""),0,tblMovement[[#This Row],[Tonnes_t]]*tblMovement[[#This Row],[Grade_gpt]]/cfg_TroyOz)</f>
        <v/>
      </c>
      <c r="O4716" s="59">
        <f>IF(tblMovement[[#This Row],[Is_Ore]]=1,tblMovement[[#This Row],[Contained_oz]],0)</f>
        <v/>
      </c>
    </row>
    <row r="4717">
      <c r="A4717" s="54" t="n"/>
      <c r="B4717" s="61" t="n"/>
      <c r="C4717" s="61" t="n"/>
      <c r="D4717" s="61" t="n"/>
      <c r="E4717" s="61" t="n"/>
      <c r="F4717" s="55" t="n"/>
      <c r="G4717" s="56" t="n"/>
      <c r="H4717" s="55" t="n"/>
      <c r="I4717" s="62" t="n"/>
      <c r="J4717" s="58" t="n"/>
      <c r="K4717" s="63">
        <f>IF(tblMovement[[#This Row],[Source]]="","",IFERROR(INDEX(tblSources[Type],MATCH(tblMovement[[#This Row],[Source]],tblSources[Source],0)),"?"))</f>
        <v/>
      </c>
      <c r="L4717" s="63">
        <f>IF(tblMovement[[#This Row],[Destination]]="","",IFERROR(INDEX(tblDestinations[Type],MATCH(tblMovement[[#This Row],[Destination]],tblDestinations[Destination],0)),"?"))</f>
        <v/>
      </c>
      <c r="M4717" s="64">
        <f>IF(tblMovement[[#This Row],[Material]]="","",IF(LEFT(tblMovement[[#This Row],[Material]],3)="Ore",1,0))</f>
        <v/>
      </c>
      <c r="N4717" s="59">
        <f>IF(OR(tblMovement[[#This Row],[Tonnes_t]]="",tblMovement[[#This Row],[Grade_gpt]]=""),0,tblMovement[[#This Row],[Tonnes_t]]*tblMovement[[#This Row],[Grade_gpt]]/cfg_TroyOz)</f>
        <v/>
      </c>
      <c r="O4717" s="59">
        <f>IF(tblMovement[[#This Row],[Is_Ore]]=1,tblMovement[[#This Row],[Contained_oz]],0)</f>
        <v/>
      </c>
    </row>
    <row r="4718">
      <c r="A4718" s="54" t="n"/>
      <c r="B4718" s="61" t="n"/>
      <c r="C4718" s="61" t="n"/>
      <c r="D4718" s="61" t="n"/>
      <c r="E4718" s="61" t="n"/>
      <c r="F4718" s="55" t="n"/>
      <c r="G4718" s="56" t="n"/>
      <c r="H4718" s="55" t="n"/>
      <c r="I4718" s="62" t="n"/>
      <c r="J4718" s="58" t="n"/>
      <c r="K4718" s="63">
        <f>IF(tblMovement[[#This Row],[Source]]="","",IFERROR(INDEX(tblSources[Type],MATCH(tblMovement[[#This Row],[Source]],tblSources[Source],0)),"?"))</f>
        <v/>
      </c>
      <c r="L4718" s="63">
        <f>IF(tblMovement[[#This Row],[Destination]]="","",IFERROR(INDEX(tblDestinations[Type],MATCH(tblMovement[[#This Row],[Destination]],tblDestinations[Destination],0)),"?"))</f>
        <v/>
      </c>
      <c r="M4718" s="64">
        <f>IF(tblMovement[[#This Row],[Material]]="","",IF(LEFT(tblMovement[[#This Row],[Material]],3)="Ore",1,0))</f>
        <v/>
      </c>
      <c r="N4718" s="59">
        <f>IF(OR(tblMovement[[#This Row],[Tonnes_t]]="",tblMovement[[#This Row],[Grade_gpt]]=""),0,tblMovement[[#This Row],[Tonnes_t]]*tblMovement[[#This Row],[Grade_gpt]]/cfg_TroyOz)</f>
        <v/>
      </c>
      <c r="O4718" s="59">
        <f>IF(tblMovement[[#This Row],[Is_Ore]]=1,tblMovement[[#This Row],[Contained_oz]],0)</f>
        <v/>
      </c>
    </row>
    <row r="4719">
      <c r="A4719" s="54" t="n"/>
      <c r="B4719" s="61" t="n"/>
      <c r="C4719" s="61" t="n"/>
      <c r="D4719" s="61" t="n"/>
      <c r="E4719" s="61" t="n"/>
      <c r="F4719" s="55" t="n"/>
      <c r="G4719" s="56" t="n"/>
      <c r="H4719" s="55" t="n"/>
      <c r="I4719" s="62" t="n"/>
      <c r="J4719" s="58" t="n"/>
      <c r="K4719" s="63">
        <f>IF(tblMovement[[#This Row],[Source]]="","",IFERROR(INDEX(tblSources[Type],MATCH(tblMovement[[#This Row],[Source]],tblSources[Source],0)),"?"))</f>
        <v/>
      </c>
      <c r="L4719" s="63">
        <f>IF(tblMovement[[#This Row],[Destination]]="","",IFERROR(INDEX(tblDestinations[Type],MATCH(tblMovement[[#This Row],[Destination]],tblDestinations[Destination],0)),"?"))</f>
        <v/>
      </c>
      <c r="M4719" s="64">
        <f>IF(tblMovement[[#This Row],[Material]]="","",IF(LEFT(tblMovement[[#This Row],[Material]],3)="Ore",1,0))</f>
        <v/>
      </c>
      <c r="N4719" s="59">
        <f>IF(OR(tblMovement[[#This Row],[Tonnes_t]]="",tblMovement[[#This Row],[Grade_gpt]]=""),0,tblMovement[[#This Row],[Tonnes_t]]*tblMovement[[#This Row],[Grade_gpt]]/cfg_TroyOz)</f>
        <v/>
      </c>
      <c r="O4719" s="59">
        <f>IF(tblMovement[[#This Row],[Is_Ore]]=1,tblMovement[[#This Row],[Contained_oz]],0)</f>
        <v/>
      </c>
    </row>
    <row r="4720">
      <c r="A4720" s="54" t="n"/>
      <c r="B4720" s="61" t="n"/>
      <c r="C4720" s="61" t="n"/>
      <c r="D4720" s="61" t="n"/>
      <c r="E4720" s="61" t="n"/>
      <c r="F4720" s="55" t="n"/>
      <c r="G4720" s="56" t="n"/>
      <c r="H4720" s="55" t="n"/>
      <c r="I4720" s="62" t="n"/>
      <c r="J4720" s="58" t="n"/>
      <c r="K4720" s="63">
        <f>IF(tblMovement[[#This Row],[Source]]="","",IFERROR(INDEX(tblSources[Type],MATCH(tblMovement[[#This Row],[Source]],tblSources[Source],0)),"?"))</f>
        <v/>
      </c>
      <c r="L4720" s="63">
        <f>IF(tblMovement[[#This Row],[Destination]]="","",IFERROR(INDEX(tblDestinations[Type],MATCH(tblMovement[[#This Row],[Destination]],tblDestinations[Destination],0)),"?"))</f>
        <v/>
      </c>
      <c r="M4720" s="64">
        <f>IF(tblMovement[[#This Row],[Material]]="","",IF(LEFT(tblMovement[[#This Row],[Material]],3)="Ore",1,0))</f>
        <v/>
      </c>
      <c r="N4720" s="59">
        <f>IF(OR(tblMovement[[#This Row],[Tonnes_t]]="",tblMovement[[#This Row],[Grade_gpt]]=""),0,tblMovement[[#This Row],[Tonnes_t]]*tblMovement[[#This Row],[Grade_gpt]]/cfg_TroyOz)</f>
        <v/>
      </c>
      <c r="O4720" s="59">
        <f>IF(tblMovement[[#This Row],[Is_Ore]]=1,tblMovement[[#This Row],[Contained_oz]],0)</f>
        <v/>
      </c>
    </row>
    <row r="4721">
      <c r="A4721" s="54" t="n"/>
      <c r="B4721" s="61" t="n"/>
      <c r="C4721" s="61" t="n"/>
      <c r="D4721" s="61" t="n"/>
      <c r="E4721" s="61" t="n"/>
      <c r="F4721" s="55" t="n"/>
      <c r="G4721" s="56" t="n"/>
      <c r="H4721" s="55" t="n"/>
      <c r="I4721" s="62" t="n"/>
      <c r="J4721" s="58" t="n"/>
      <c r="K4721" s="63">
        <f>IF(tblMovement[[#This Row],[Source]]="","",IFERROR(INDEX(tblSources[Type],MATCH(tblMovement[[#This Row],[Source]],tblSources[Source],0)),"?"))</f>
        <v/>
      </c>
      <c r="L4721" s="63">
        <f>IF(tblMovement[[#This Row],[Destination]]="","",IFERROR(INDEX(tblDestinations[Type],MATCH(tblMovement[[#This Row],[Destination]],tblDestinations[Destination],0)),"?"))</f>
        <v/>
      </c>
      <c r="M4721" s="64">
        <f>IF(tblMovement[[#This Row],[Material]]="","",IF(LEFT(tblMovement[[#This Row],[Material]],3)="Ore",1,0))</f>
        <v/>
      </c>
      <c r="N4721" s="59">
        <f>IF(OR(tblMovement[[#This Row],[Tonnes_t]]="",tblMovement[[#This Row],[Grade_gpt]]=""),0,tblMovement[[#This Row],[Tonnes_t]]*tblMovement[[#This Row],[Grade_gpt]]/cfg_TroyOz)</f>
        <v/>
      </c>
      <c r="O4721" s="59">
        <f>IF(tblMovement[[#This Row],[Is_Ore]]=1,tblMovement[[#This Row],[Contained_oz]],0)</f>
        <v/>
      </c>
    </row>
    <row r="4722">
      <c r="A4722" s="54" t="n"/>
      <c r="B4722" s="61" t="n"/>
      <c r="C4722" s="61" t="n"/>
      <c r="D4722" s="61" t="n"/>
      <c r="E4722" s="61" t="n"/>
      <c r="F4722" s="55" t="n"/>
      <c r="G4722" s="56" t="n"/>
      <c r="H4722" s="55" t="n"/>
      <c r="I4722" s="62" t="n"/>
      <c r="J4722" s="58" t="n"/>
      <c r="K4722" s="63">
        <f>IF(tblMovement[[#This Row],[Source]]="","",IFERROR(INDEX(tblSources[Type],MATCH(tblMovement[[#This Row],[Source]],tblSources[Source],0)),"?"))</f>
        <v/>
      </c>
      <c r="L4722" s="63">
        <f>IF(tblMovement[[#This Row],[Destination]]="","",IFERROR(INDEX(tblDestinations[Type],MATCH(tblMovement[[#This Row],[Destination]],tblDestinations[Destination],0)),"?"))</f>
        <v/>
      </c>
      <c r="M4722" s="64">
        <f>IF(tblMovement[[#This Row],[Material]]="","",IF(LEFT(tblMovement[[#This Row],[Material]],3)="Ore",1,0))</f>
        <v/>
      </c>
      <c r="N4722" s="59">
        <f>IF(OR(tblMovement[[#This Row],[Tonnes_t]]="",tblMovement[[#This Row],[Grade_gpt]]=""),0,tblMovement[[#This Row],[Tonnes_t]]*tblMovement[[#This Row],[Grade_gpt]]/cfg_TroyOz)</f>
        <v/>
      </c>
      <c r="O4722" s="59">
        <f>IF(tblMovement[[#This Row],[Is_Ore]]=1,tblMovement[[#This Row],[Contained_oz]],0)</f>
        <v/>
      </c>
    </row>
    <row r="4723">
      <c r="A4723" s="54" t="n"/>
      <c r="B4723" s="61" t="n"/>
      <c r="C4723" s="61" t="n"/>
      <c r="D4723" s="61" t="n"/>
      <c r="E4723" s="61" t="n"/>
      <c r="F4723" s="55" t="n"/>
      <c r="G4723" s="56" t="n"/>
      <c r="H4723" s="55" t="n"/>
      <c r="I4723" s="62" t="n"/>
      <c r="J4723" s="58" t="n"/>
      <c r="K4723" s="63">
        <f>IF(tblMovement[[#This Row],[Source]]="","",IFERROR(INDEX(tblSources[Type],MATCH(tblMovement[[#This Row],[Source]],tblSources[Source],0)),"?"))</f>
        <v/>
      </c>
      <c r="L4723" s="63">
        <f>IF(tblMovement[[#This Row],[Destination]]="","",IFERROR(INDEX(tblDestinations[Type],MATCH(tblMovement[[#This Row],[Destination]],tblDestinations[Destination],0)),"?"))</f>
        <v/>
      </c>
      <c r="M4723" s="64">
        <f>IF(tblMovement[[#This Row],[Material]]="","",IF(LEFT(tblMovement[[#This Row],[Material]],3)="Ore",1,0))</f>
        <v/>
      </c>
      <c r="N4723" s="59">
        <f>IF(OR(tblMovement[[#This Row],[Tonnes_t]]="",tblMovement[[#This Row],[Grade_gpt]]=""),0,tblMovement[[#This Row],[Tonnes_t]]*tblMovement[[#This Row],[Grade_gpt]]/cfg_TroyOz)</f>
        <v/>
      </c>
      <c r="O4723" s="59">
        <f>IF(tblMovement[[#This Row],[Is_Ore]]=1,tblMovement[[#This Row],[Contained_oz]],0)</f>
        <v/>
      </c>
    </row>
    <row r="4724">
      <c r="A4724" s="54" t="n"/>
      <c r="B4724" s="61" t="n"/>
      <c r="C4724" s="61" t="n"/>
      <c r="D4724" s="61" t="n"/>
      <c r="E4724" s="61" t="n"/>
      <c r="F4724" s="55" t="n"/>
      <c r="G4724" s="56" t="n"/>
      <c r="H4724" s="55" t="n"/>
      <c r="I4724" s="62" t="n"/>
      <c r="J4724" s="58" t="n"/>
      <c r="K4724" s="63">
        <f>IF(tblMovement[[#This Row],[Source]]="","",IFERROR(INDEX(tblSources[Type],MATCH(tblMovement[[#This Row],[Source]],tblSources[Source],0)),"?"))</f>
        <v/>
      </c>
      <c r="L4724" s="63">
        <f>IF(tblMovement[[#This Row],[Destination]]="","",IFERROR(INDEX(tblDestinations[Type],MATCH(tblMovement[[#This Row],[Destination]],tblDestinations[Destination],0)),"?"))</f>
        <v/>
      </c>
      <c r="M4724" s="64">
        <f>IF(tblMovement[[#This Row],[Material]]="","",IF(LEFT(tblMovement[[#This Row],[Material]],3)="Ore",1,0))</f>
        <v/>
      </c>
      <c r="N4724" s="59">
        <f>IF(OR(tblMovement[[#This Row],[Tonnes_t]]="",tblMovement[[#This Row],[Grade_gpt]]=""),0,tblMovement[[#This Row],[Tonnes_t]]*tblMovement[[#This Row],[Grade_gpt]]/cfg_TroyOz)</f>
        <v/>
      </c>
      <c r="O4724" s="59">
        <f>IF(tblMovement[[#This Row],[Is_Ore]]=1,tblMovement[[#This Row],[Contained_oz]],0)</f>
        <v/>
      </c>
    </row>
    <row r="4725">
      <c r="A4725" s="54" t="n"/>
      <c r="B4725" s="61" t="n"/>
      <c r="C4725" s="61" t="n"/>
      <c r="D4725" s="61" t="n"/>
      <c r="E4725" s="61" t="n"/>
      <c r="F4725" s="55" t="n"/>
      <c r="G4725" s="56" t="n"/>
      <c r="H4725" s="55" t="n"/>
      <c r="I4725" s="62" t="n"/>
      <c r="J4725" s="58" t="n"/>
      <c r="K4725" s="63">
        <f>IF(tblMovement[[#This Row],[Source]]="","",IFERROR(INDEX(tblSources[Type],MATCH(tblMovement[[#This Row],[Source]],tblSources[Source],0)),"?"))</f>
        <v/>
      </c>
      <c r="L4725" s="63">
        <f>IF(tblMovement[[#This Row],[Destination]]="","",IFERROR(INDEX(tblDestinations[Type],MATCH(tblMovement[[#This Row],[Destination]],tblDestinations[Destination],0)),"?"))</f>
        <v/>
      </c>
      <c r="M4725" s="64">
        <f>IF(tblMovement[[#This Row],[Material]]="","",IF(LEFT(tblMovement[[#This Row],[Material]],3)="Ore",1,0))</f>
        <v/>
      </c>
      <c r="N4725" s="59">
        <f>IF(OR(tblMovement[[#This Row],[Tonnes_t]]="",tblMovement[[#This Row],[Grade_gpt]]=""),0,tblMovement[[#This Row],[Tonnes_t]]*tblMovement[[#This Row],[Grade_gpt]]/cfg_TroyOz)</f>
        <v/>
      </c>
      <c r="O4725" s="59">
        <f>IF(tblMovement[[#This Row],[Is_Ore]]=1,tblMovement[[#This Row],[Contained_oz]],0)</f>
        <v/>
      </c>
    </row>
    <row r="4726">
      <c r="A4726" s="54" t="n"/>
      <c r="B4726" s="61" t="n"/>
      <c r="C4726" s="61" t="n"/>
      <c r="D4726" s="61" t="n"/>
      <c r="E4726" s="61" t="n"/>
      <c r="F4726" s="55" t="n"/>
      <c r="G4726" s="56" t="n"/>
      <c r="H4726" s="55" t="n"/>
      <c r="I4726" s="62" t="n"/>
      <c r="J4726" s="58" t="n"/>
      <c r="K4726" s="63">
        <f>IF(tblMovement[[#This Row],[Source]]="","",IFERROR(INDEX(tblSources[Type],MATCH(tblMovement[[#This Row],[Source]],tblSources[Source],0)),"?"))</f>
        <v/>
      </c>
      <c r="L4726" s="63">
        <f>IF(tblMovement[[#This Row],[Destination]]="","",IFERROR(INDEX(tblDestinations[Type],MATCH(tblMovement[[#This Row],[Destination]],tblDestinations[Destination],0)),"?"))</f>
        <v/>
      </c>
      <c r="M4726" s="64">
        <f>IF(tblMovement[[#This Row],[Material]]="","",IF(LEFT(tblMovement[[#This Row],[Material]],3)="Ore",1,0))</f>
        <v/>
      </c>
      <c r="N4726" s="59">
        <f>IF(OR(tblMovement[[#This Row],[Tonnes_t]]="",tblMovement[[#This Row],[Grade_gpt]]=""),0,tblMovement[[#This Row],[Tonnes_t]]*tblMovement[[#This Row],[Grade_gpt]]/cfg_TroyOz)</f>
        <v/>
      </c>
      <c r="O4726" s="59">
        <f>IF(tblMovement[[#This Row],[Is_Ore]]=1,tblMovement[[#This Row],[Contained_oz]],0)</f>
        <v/>
      </c>
    </row>
    <row r="4727">
      <c r="A4727" s="54" t="n"/>
      <c r="B4727" s="61" t="n"/>
      <c r="C4727" s="61" t="n"/>
      <c r="D4727" s="61" t="n"/>
      <c r="E4727" s="61" t="n"/>
      <c r="F4727" s="55" t="n"/>
      <c r="G4727" s="56" t="n"/>
      <c r="H4727" s="55" t="n"/>
      <c r="I4727" s="62" t="n"/>
      <c r="J4727" s="58" t="n"/>
      <c r="K4727" s="63">
        <f>IF(tblMovement[[#This Row],[Source]]="","",IFERROR(INDEX(tblSources[Type],MATCH(tblMovement[[#This Row],[Source]],tblSources[Source],0)),"?"))</f>
        <v/>
      </c>
      <c r="L4727" s="63">
        <f>IF(tblMovement[[#This Row],[Destination]]="","",IFERROR(INDEX(tblDestinations[Type],MATCH(tblMovement[[#This Row],[Destination]],tblDestinations[Destination],0)),"?"))</f>
        <v/>
      </c>
      <c r="M4727" s="64">
        <f>IF(tblMovement[[#This Row],[Material]]="","",IF(LEFT(tblMovement[[#This Row],[Material]],3)="Ore",1,0))</f>
        <v/>
      </c>
      <c r="N4727" s="59">
        <f>IF(OR(tblMovement[[#This Row],[Tonnes_t]]="",tblMovement[[#This Row],[Grade_gpt]]=""),0,tblMovement[[#This Row],[Tonnes_t]]*tblMovement[[#This Row],[Grade_gpt]]/cfg_TroyOz)</f>
        <v/>
      </c>
      <c r="O4727" s="59">
        <f>IF(tblMovement[[#This Row],[Is_Ore]]=1,tblMovement[[#This Row],[Contained_oz]],0)</f>
        <v/>
      </c>
    </row>
    <row r="4728">
      <c r="A4728" s="54" t="n"/>
      <c r="B4728" s="61" t="n"/>
      <c r="C4728" s="61" t="n"/>
      <c r="D4728" s="61" t="n"/>
      <c r="E4728" s="61" t="n"/>
      <c r="F4728" s="55" t="n"/>
      <c r="G4728" s="56" t="n"/>
      <c r="H4728" s="55" t="n"/>
      <c r="I4728" s="62" t="n"/>
      <c r="J4728" s="58" t="n"/>
      <c r="K4728" s="63">
        <f>IF(tblMovement[[#This Row],[Source]]="","",IFERROR(INDEX(tblSources[Type],MATCH(tblMovement[[#This Row],[Source]],tblSources[Source],0)),"?"))</f>
        <v/>
      </c>
      <c r="L4728" s="63">
        <f>IF(tblMovement[[#This Row],[Destination]]="","",IFERROR(INDEX(tblDestinations[Type],MATCH(tblMovement[[#This Row],[Destination]],tblDestinations[Destination],0)),"?"))</f>
        <v/>
      </c>
      <c r="M4728" s="64">
        <f>IF(tblMovement[[#This Row],[Material]]="","",IF(LEFT(tblMovement[[#This Row],[Material]],3)="Ore",1,0))</f>
        <v/>
      </c>
      <c r="N4728" s="59">
        <f>IF(OR(tblMovement[[#This Row],[Tonnes_t]]="",tblMovement[[#This Row],[Grade_gpt]]=""),0,tblMovement[[#This Row],[Tonnes_t]]*tblMovement[[#This Row],[Grade_gpt]]/cfg_TroyOz)</f>
        <v/>
      </c>
      <c r="O4728" s="59">
        <f>IF(tblMovement[[#This Row],[Is_Ore]]=1,tblMovement[[#This Row],[Contained_oz]],0)</f>
        <v/>
      </c>
    </row>
    <row r="4729">
      <c r="A4729" s="54" t="n"/>
      <c r="B4729" s="61" t="n"/>
      <c r="C4729" s="61" t="n"/>
      <c r="D4729" s="61" t="n"/>
      <c r="E4729" s="61" t="n"/>
      <c r="F4729" s="55" t="n"/>
      <c r="G4729" s="56" t="n"/>
      <c r="H4729" s="55" t="n"/>
      <c r="I4729" s="62" t="n"/>
      <c r="J4729" s="58" t="n"/>
      <c r="K4729" s="63">
        <f>IF(tblMovement[[#This Row],[Source]]="","",IFERROR(INDEX(tblSources[Type],MATCH(tblMovement[[#This Row],[Source]],tblSources[Source],0)),"?"))</f>
        <v/>
      </c>
      <c r="L4729" s="63">
        <f>IF(tblMovement[[#This Row],[Destination]]="","",IFERROR(INDEX(tblDestinations[Type],MATCH(tblMovement[[#This Row],[Destination]],tblDestinations[Destination],0)),"?"))</f>
        <v/>
      </c>
      <c r="M4729" s="64">
        <f>IF(tblMovement[[#This Row],[Material]]="","",IF(LEFT(tblMovement[[#This Row],[Material]],3)="Ore",1,0))</f>
        <v/>
      </c>
      <c r="N4729" s="59">
        <f>IF(OR(tblMovement[[#This Row],[Tonnes_t]]="",tblMovement[[#This Row],[Grade_gpt]]=""),0,tblMovement[[#This Row],[Tonnes_t]]*tblMovement[[#This Row],[Grade_gpt]]/cfg_TroyOz)</f>
        <v/>
      </c>
      <c r="O4729" s="59">
        <f>IF(tblMovement[[#This Row],[Is_Ore]]=1,tblMovement[[#This Row],[Contained_oz]],0)</f>
        <v/>
      </c>
    </row>
    <row r="4730">
      <c r="A4730" s="54" t="n"/>
      <c r="B4730" s="61" t="n"/>
      <c r="C4730" s="61" t="n"/>
      <c r="D4730" s="61" t="n"/>
      <c r="E4730" s="61" t="n"/>
      <c r="F4730" s="55" t="n"/>
      <c r="G4730" s="56" t="n"/>
      <c r="H4730" s="55" t="n"/>
      <c r="I4730" s="62" t="n"/>
      <c r="J4730" s="58" t="n"/>
      <c r="K4730" s="63">
        <f>IF(tblMovement[[#This Row],[Source]]="","",IFERROR(INDEX(tblSources[Type],MATCH(tblMovement[[#This Row],[Source]],tblSources[Source],0)),"?"))</f>
        <v/>
      </c>
      <c r="L4730" s="63">
        <f>IF(tblMovement[[#This Row],[Destination]]="","",IFERROR(INDEX(tblDestinations[Type],MATCH(tblMovement[[#This Row],[Destination]],tblDestinations[Destination],0)),"?"))</f>
        <v/>
      </c>
      <c r="M4730" s="64">
        <f>IF(tblMovement[[#This Row],[Material]]="","",IF(LEFT(tblMovement[[#This Row],[Material]],3)="Ore",1,0))</f>
        <v/>
      </c>
      <c r="N4730" s="59">
        <f>IF(OR(tblMovement[[#This Row],[Tonnes_t]]="",tblMovement[[#This Row],[Grade_gpt]]=""),0,tblMovement[[#This Row],[Tonnes_t]]*tblMovement[[#This Row],[Grade_gpt]]/cfg_TroyOz)</f>
        <v/>
      </c>
      <c r="O4730" s="59">
        <f>IF(tblMovement[[#This Row],[Is_Ore]]=1,tblMovement[[#This Row],[Contained_oz]],0)</f>
        <v/>
      </c>
    </row>
    <row r="4731">
      <c r="A4731" s="54" t="n"/>
      <c r="B4731" s="61" t="n"/>
      <c r="C4731" s="61" t="n"/>
      <c r="D4731" s="61" t="n"/>
      <c r="E4731" s="61" t="n"/>
      <c r="F4731" s="55" t="n"/>
      <c r="G4731" s="56" t="n"/>
      <c r="H4731" s="55" t="n"/>
      <c r="I4731" s="62" t="n"/>
      <c r="J4731" s="58" t="n"/>
      <c r="K4731" s="63">
        <f>IF(tblMovement[[#This Row],[Source]]="","",IFERROR(INDEX(tblSources[Type],MATCH(tblMovement[[#This Row],[Source]],tblSources[Source],0)),"?"))</f>
        <v/>
      </c>
      <c r="L4731" s="63">
        <f>IF(tblMovement[[#This Row],[Destination]]="","",IFERROR(INDEX(tblDestinations[Type],MATCH(tblMovement[[#This Row],[Destination]],tblDestinations[Destination],0)),"?"))</f>
        <v/>
      </c>
      <c r="M4731" s="64">
        <f>IF(tblMovement[[#This Row],[Material]]="","",IF(LEFT(tblMovement[[#This Row],[Material]],3)="Ore",1,0))</f>
        <v/>
      </c>
      <c r="N4731" s="59">
        <f>IF(OR(tblMovement[[#This Row],[Tonnes_t]]="",tblMovement[[#This Row],[Grade_gpt]]=""),0,tblMovement[[#This Row],[Tonnes_t]]*tblMovement[[#This Row],[Grade_gpt]]/cfg_TroyOz)</f>
        <v/>
      </c>
      <c r="O4731" s="59">
        <f>IF(tblMovement[[#This Row],[Is_Ore]]=1,tblMovement[[#This Row],[Contained_oz]],0)</f>
        <v/>
      </c>
    </row>
    <row r="4732">
      <c r="A4732" s="54" t="n"/>
      <c r="B4732" s="61" t="n"/>
      <c r="C4732" s="61" t="n"/>
      <c r="D4732" s="61" t="n"/>
      <c r="E4732" s="61" t="n"/>
      <c r="F4732" s="55" t="n"/>
      <c r="G4732" s="56" t="n"/>
      <c r="H4732" s="55" t="n"/>
      <c r="I4732" s="62" t="n"/>
      <c r="J4732" s="58" t="n"/>
      <c r="K4732" s="63">
        <f>IF(tblMovement[[#This Row],[Source]]="","",IFERROR(INDEX(tblSources[Type],MATCH(tblMovement[[#This Row],[Source]],tblSources[Source],0)),"?"))</f>
        <v/>
      </c>
      <c r="L4732" s="63">
        <f>IF(tblMovement[[#This Row],[Destination]]="","",IFERROR(INDEX(tblDestinations[Type],MATCH(tblMovement[[#This Row],[Destination]],tblDestinations[Destination],0)),"?"))</f>
        <v/>
      </c>
      <c r="M4732" s="64">
        <f>IF(tblMovement[[#This Row],[Material]]="","",IF(LEFT(tblMovement[[#This Row],[Material]],3)="Ore",1,0))</f>
        <v/>
      </c>
      <c r="N4732" s="59">
        <f>IF(OR(tblMovement[[#This Row],[Tonnes_t]]="",tblMovement[[#This Row],[Grade_gpt]]=""),0,tblMovement[[#This Row],[Tonnes_t]]*tblMovement[[#This Row],[Grade_gpt]]/cfg_TroyOz)</f>
        <v/>
      </c>
      <c r="O4732" s="59">
        <f>IF(tblMovement[[#This Row],[Is_Ore]]=1,tblMovement[[#This Row],[Contained_oz]],0)</f>
        <v/>
      </c>
    </row>
    <row r="4733">
      <c r="A4733" s="54" t="n"/>
      <c r="B4733" s="61" t="n"/>
      <c r="C4733" s="61" t="n"/>
      <c r="D4733" s="61" t="n"/>
      <c r="E4733" s="61" t="n"/>
      <c r="F4733" s="55" t="n"/>
      <c r="G4733" s="56" t="n"/>
      <c r="H4733" s="55" t="n"/>
      <c r="I4733" s="62" t="n"/>
      <c r="J4733" s="58" t="n"/>
      <c r="K4733" s="63">
        <f>IF(tblMovement[[#This Row],[Source]]="","",IFERROR(INDEX(tblSources[Type],MATCH(tblMovement[[#This Row],[Source]],tblSources[Source],0)),"?"))</f>
        <v/>
      </c>
      <c r="L4733" s="63">
        <f>IF(tblMovement[[#This Row],[Destination]]="","",IFERROR(INDEX(tblDestinations[Type],MATCH(tblMovement[[#This Row],[Destination]],tblDestinations[Destination],0)),"?"))</f>
        <v/>
      </c>
      <c r="M4733" s="64">
        <f>IF(tblMovement[[#This Row],[Material]]="","",IF(LEFT(tblMovement[[#This Row],[Material]],3)="Ore",1,0))</f>
        <v/>
      </c>
      <c r="N4733" s="59">
        <f>IF(OR(tblMovement[[#This Row],[Tonnes_t]]="",tblMovement[[#This Row],[Grade_gpt]]=""),0,tblMovement[[#This Row],[Tonnes_t]]*tblMovement[[#This Row],[Grade_gpt]]/cfg_TroyOz)</f>
        <v/>
      </c>
      <c r="O4733" s="59">
        <f>IF(tblMovement[[#This Row],[Is_Ore]]=1,tblMovement[[#This Row],[Contained_oz]],0)</f>
        <v/>
      </c>
    </row>
    <row r="4734">
      <c r="A4734" s="54" t="n"/>
      <c r="B4734" s="61" t="n"/>
      <c r="C4734" s="61" t="n"/>
      <c r="D4734" s="61" t="n"/>
      <c r="E4734" s="61" t="n"/>
      <c r="F4734" s="55" t="n"/>
      <c r="G4734" s="56" t="n"/>
      <c r="H4734" s="55" t="n"/>
      <c r="I4734" s="62" t="n"/>
      <c r="J4734" s="58" t="n"/>
      <c r="K4734" s="63">
        <f>IF(tblMovement[[#This Row],[Source]]="","",IFERROR(INDEX(tblSources[Type],MATCH(tblMovement[[#This Row],[Source]],tblSources[Source],0)),"?"))</f>
        <v/>
      </c>
      <c r="L4734" s="63">
        <f>IF(tblMovement[[#This Row],[Destination]]="","",IFERROR(INDEX(tblDestinations[Type],MATCH(tblMovement[[#This Row],[Destination]],tblDestinations[Destination],0)),"?"))</f>
        <v/>
      </c>
      <c r="M4734" s="64">
        <f>IF(tblMovement[[#This Row],[Material]]="","",IF(LEFT(tblMovement[[#This Row],[Material]],3)="Ore",1,0))</f>
        <v/>
      </c>
      <c r="N4734" s="59">
        <f>IF(OR(tblMovement[[#This Row],[Tonnes_t]]="",tblMovement[[#This Row],[Grade_gpt]]=""),0,tblMovement[[#This Row],[Tonnes_t]]*tblMovement[[#This Row],[Grade_gpt]]/cfg_TroyOz)</f>
        <v/>
      </c>
      <c r="O4734" s="59">
        <f>IF(tblMovement[[#This Row],[Is_Ore]]=1,tblMovement[[#This Row],[Contained_oz]],0)</f>
        <v/>
      </c>
    </row>
    <row r="4735">
      <c r="A4735" s="54" t="n"/>
      <c r="B4735" s="61" t="n"/>
      <c r="C4735" s="61" t="n"/>
      <c r="D4735" s="61" t="n"/>
      <c r="E4735" s="61" t="n"/>
      <c r="F4735" s="55" t="n"/>
      <c r="G4735" s="56" t="n"/>
      <c r="H4735" s="55" t="n"/>
      <c r="I4735" s="62" t="n"/>
      <c r="J4735" s="58" t="n"/>
      <c r="K4735" s="63">
        <f>IF(tblMovement[[#This Row],[Source]]="","",IFERROR(INDEX(tblSources[Type],MATCH(tblMovement[[#This Row],[Source]],tblSources[Source],0)),"?"))</f>
        <v/>
      </c>
      <c r="L4735" s="63">
        <f>IF(tblMovement[[#This Row],[Destination]]="","",IFERROR(INDEX(tblDestinations[Type],MATCH(tblMovement[[#This Row],[Destination]],tblDestinations[Destination],0)),"?"))</f>
        <v/>
      </c>
      <c r="M4735" s="64">
        <f>IF(tblMovement[[#This Row],[Material]]="","",IF(LEFT(tblMovement[[#This Row],[Material]],3)="Ore",1,0))</f>
        <v/>
      </c>
      <c r="N4735" s="59">
        <f>IF(OR(tblMovement[[#This Row],[Tonnes_t]]="",tblMovement[[#This Row],[Grade_gpt]]=""),0,tblMovement[[#This Row],[Tonnes_t]]*tblMovement[[#This Row],[Grade_gpt]]/cfg_TroyOz)</f>
        <v/>
      </c>
      <c r="O4735" s="59">
        <f>IF(tblMovement[[#This Row],[Is_Ore]]=1,tblMovement[[#This Row],[Contained_oz]],0)</f>
        <v/>
      </c>
    </row>
    <row r="4736">
      <c r="A4736" s="54" t="n"/>
      <c r="B4736" s="61" t="n"/>
      <c r="C4736" s="61" t="n"/>
      <c r="D4736" s="61" t="n"/>
      <c r="E4736" s="61" t="n"/>
      <c r="F4736" s="55" t="n"/>
      <c r="G4736" s="56" t="n"/>
      <c r="H4736" s="55" t="n"/>
      <c r="I4736" s="62" t="n"/>
      <c r="J4736" s="58" t="n"/>
      <c r="K4736" s="63">
        <f>IF(tblMovement[[#This Row],[Source]]="","",IFERROR(INDEX(tblSources[Type],MATCH(tblMovement[[#This Row],[Source]],tblSources[Source],0)),"?"))</f>
        <v/>
      </c>
      <c r="L4736" s="63">
        <f>IF(tblMovement[[#This Row],[Destination]]="","",IFERROR(INDEX(tblDestinations[Type],MATCH(tblMovement[[#This Row],[Destination]],tblDestinations[Destination],0)),"?"))</f>
        <v/>
      </c>
      <c r="M4736" s="64">
        <f>IF(tblMovement[[#This Row],[Material]]="","",IF(LEFT(tblMovement[[#This Row],[Material]],3)="Ore",1,0))</f>
        <v/>
      </c>
      <c r="N4736" s="59">
        <f>IF(OR(tblMovement[[#This Row],[Tonnes_t]]="",tblMovement[[#This Row],[Grade_gpt]]=""),0,tblMovement[[#This Row],[Tonnes_t]]*tblMovement[[#This Row],[Grade_gpt]]/cfg_TroyOz)</f>
        <v/>
      </c>
      <c r="O4736" s="59">
        <f>IF(tblMovement[[#This Row],[Is_Ore]]=1,tblMovement[[#This Row],[Contained_oz]],0)</f>
        <v/>
      </c>
    </row>
    <row r="4737">
      <c r="A4737" s="54" t="n"/>
      <c r="B4737" s="61" t="n"/>
      <c r="C4737" s="61" t="n"/>
      <c r="D4737" s="61" t="n"/>
      <c r="E4737" s="61" t="n"/>
      <c r="F4737" s="55" t="n"/>
      <c r="G4737" s="56" t="n"/>
      <c r="H4737" s="55" t="n"/>
      <c r="I4737" s="62" t="n"/>
      <c r="J4737" s="58" t="n"/>
      <c r="K4737" s="63">
        <f>IF(tblMovement[[#This Row],[Source]]="","",IFERROR(INDEX(tblSources[Type],MATCH(tblMovement[[#This Row],[Source]],tblSources[Source],0)),"?"))</f>
        <v/>
      </c>
      <c r="L4737" s="63">
        <f>IF(tblMovement[[#This Row],[Destination]]="","",IFERROR(INDEX(tblDestinations[Type],MATCH(tblMovement[[#This Row],[Destination]],tblDestinations[Destination],0)),"?"))</f>
        <v/>
      </c>
      <c r="M4737" s="64">
        <f>IF(tblMovement[[#This Row],[Material]]="","",IF(LEFT(tblMovement[[#This Row],[Material]],3)="Ore",1,0))</f>
        <v/>
      </c>
      <c r="N4737" s="59">
        <f>IF(OR(tblMovement[[#This Row],[Tonnes_t]]="",tblMovement[[#This Row],[Grade_gpt]]=""),0,tblMovement[[#This Row],[Tonnes_t]]*tblMovement[[#This Row],[Grade_gpt]]/cfg_TroyOz)</f>
        <v/>
      </c>
      <c r="O4737" s="59">
        <f>IF(tblMovement[[#This Row],[Is_Ore]]=1,tblMovement[[#This Row],[Contained_oz]],0)</f>
        <v/>
      </c>
    </row>
    <row r="4738">
      <c r="A4738" s="54" t="n"/>
      <c r="B4738" s="61" t="n"/>
      <c r="C4738" s="61" t="n"/>
      <c r="D4738" s="61" t="n"/>
      <c r="E4738" s="61" t="n"/>
      <c r="F4738" s="55" t="n"/>
      <c r="G4738" s="56" t="n"/>
      <c r="H4738" s="55" t="n"/>
      <c r="I4738" s="62" t="n"/>
      <c r="J4738" s="58" t="n"/>
      <c r="K4738" s="63">
        <f>IF(tblMovement[[#This Row],[Source]]="","",IFERROR(INDEX(tblSources[Type],MATCH(tblMovement[[#This Row],[Source]],tblSources[Source],0)),"?"))</f>
        <v/>
      </c>
      <c r="L4738" s="63">
        <f>IF(tblMovement[[#This Row],[Destination]]="","",IFERROR(INDEX(tblDestinations[Type],MATCH(tblMovement[[#This Row],[Destination]],tblDestinations[Destination],0)),"?"))</f>
        <v/>
      </c>
      <c r="M4738" s="64">
        <f>IF(tblMovement[[#This Row],[Material]]="","",IF(LEFT(tblMovement[[#This Row],[Material]],3)="Ore",1,0))</f>
        <v/>
      </c>
      <c r="N4738" s="59">
        <f>IF(OR(tblMovement[[#This Row],[Tonnes_t]]="",tblMovement[[#This Row],[Grade_gpt]]=""),0,tblMovement[[#This Row],[Tonnes_t]]*tblMovement[[#This Row],[Grade_gpt]]/cfg_TroyOz)</f>
        <v/>
      </c>
      <c r="O4738" s="59">
        <f>IF(tblMovement[[#This Row],[Is_Ore]]=1,tblMovement[[#This Row],[Contained_oz]],0)</f>
        <v/>
      </c>
    </row>
    <row r="4739">
      <c r="A4739" s="54" t="n"/>
      <c r="B4739" s="61" t="n"/>
      <c r="C4739" s="61" t="n"/>
      <c r="D4739" s="61" t="n"/>
      <c r="E4739" s="61" t="n"/>
      <c r="F4739" s="55" t="n"/>
      <c r="G4739" s="56" t="n"/>
      <c r="H4739" s="55" t="n"/>
      <c r="I4739" s="62" t="n"/>
      <c r="J4739" s="58" t="n"/>
      <c r="K4739" s="63">
        <f>IF(tblMovement[[#This Row],[Source]]="","",IFERROR(INDEX(tblSources[Type],MATCH(tblMovement[[#This Row],[Source]],tblSources[Source],0)),"?"))</f>
        <v/>
      </c>
      <c r="L4739" s="63">
        <f>IF(tblMovement[[#This Row],[Destination]]="","",IFERROR(INDEX(tblDestinations[Type],MATCH(tblMovement[[#This Row],[Destination]],tblDestinations[Destination],0)),"?"))</f>
        <v/>
      </c>
      <c r="M4739" s="64">
        <f>IF(tblMovement[[#This Row],[Material]]="","",IF(LEFT(tblMovement[[#This Row],[Material]],3)="Ore",1,0))</f>
        <v/>
      </c>
      <c r="N4739" s="59">
        <f>IF(OR(tblMovement[[#This Row],[Tonnes_t]]="",tblMovement[[#This Row],[Grade_gpt]]=""),0,tblMovement[[#This Row],[Tonnes_t]]*tblMovement[[#This Row],[Grade_gpt]]/cfg_TroyOz)</f>
        <v/>
      </c>
      <c r="O4739" s="59">
        <f>IF(tblMovement[[#This Row],[Is_Ore]]=1,tblMovement[[#This Row],[Contained_oz]],0)</f>
        <v/>
      </c>
    </row>
    <row r="4740">
      <c r="A4740" s="54" t="n"/>
      <c r="B4740" s="61" t="n"/>
      <c r="C4740" s="61" t="n"/>
      <c r="D4740" s="61" t="n"/>
      <c r="E4740" s="61" t="n"/>
      <c r="F4740" s="55" t="n"/>
      <c r="G4740" s="56" t="n"/>
      <c r="H4740" s="55" t="n"/>
      <c r="I4740" s="62" t="n"/>
      <c r="J4740" s="58" t="n"/>
      <c r="K4740" s="63">
        <f>IF(tblMovement[[#This Row],[Source]]="","",IFERROR(INDEX(tblSources[Type],MATCH(tblMovement[[#This Row],[Source]],tblSources[Source],0)),"?"))</f>
        <v/>
      </c>
      <c r="L4740" s="63">
        <f>IF(tblMovement[[#This Row],[Destination]]="","",IFERROR(INDEX(tblDestinations[Type],MATCH(tblMovement[[#This Row],[Destination]],tblDestinations[Destination],0)),"?"))</f>
        <v/>
      </c>
      <c r="M4740" s="64">
        <f>IF(tblMovement[[#This Row],[Material]]="","",IF(LEFT(tblMovement[[#This Row],[Material]],3)="Ore",1,0))</f>
        <v/>
      </c>
      <c r="N4740" s="59">
        <f>IF(OR(tblMovement[[#This Row],[Tonnes_t]]="",tblMovement[[#This Row],[Grade_gpt]]=""),0,tblMovement[[#This Row],[Tonnes_t]]*tblMovement[[#This Row],[Grade_gpt]]/cfg_TroyOz)</f>
        <v/>
      </c>
      <c r="O4740" s="59">
        <f>IF(tblMovement[[#This Row],[Is_Ore]]=1,tblMovement[[#This Row],[Contained_oz]],0)</f>
        <v/>
      </c>
    </row>
    <row r="4741">
      <c r="A4741" s="54" t="n"/>
      <c r="B4741" s="61" t="n"/>
      <c r="C4741" s="61" t="n"/>
      <c r="D4741" s="61" t="n"/>
      <c r="E4741" s="61" t="n"/>
      <c r="F4741" s="55" t="n"/>
      <c r="G4741" s="56" t="n"/>
      <c r="H4741" s="55" t="n"/>
      <c r="I4741" s="62" t="n"/>
      <c r="J4741" s="58" t="n"/>
      <c r="K4741" s="63">
        <f>IF(tblMovement[[#This Row],[Source]]="","",IFERROR(INDEX(tblSources[Type],MATCH(tblMovement[[#This Row],[Source]],tblSources[Source],0)),"?"))</f>
        <v/>
      </c>
      <c r="L4741" s="63">
        <f>IF(tblMovement[[#This Row],[Destination]]="","",IFERROR(INDEX(tblDestinations[Type],MATCH(tblMovement[[#This Row],[Destination]],tblDestinations[Destination],0)),"?"))</f>
        <v/>
      </c>
      <c r="M4741" s="64">
        <f>IF(tblMovement[[#This Row],[Material]]="","",IF(LEFT(tblMovement[[#This Row],[Material]],3)="Ore",1,0))</f>
        <v/>
      </c>
      <c r="N4741" s="59">
        <f>IF(OR(tblMovement[[#This Row],[Tonnes_t]]="",tblMovement[[#This Row],[Grade_gpt]]=""),0,tblMovement[[#This Row],[Tonnes_t]]*tblMovement[[#This Row],[Grade_gpt]]/cfg_TroyOz)</f>
        <v/>
      </c>
      <c r="O4741" s="59">
        <f>IF(tblMovement[[#This Row],[Is_Ore]]=1,tblMovement[[#This Row],[Contained_oz]],0)</f>
        <v/>
      </c>
    </row>
    <row r="4742">
      <c r="A4742" s="54" t="n"/>
      <c r="B4742" s="61" t="n"/>
      <c r="C4742" s="61" t="n"/>
      <c r="D4742" s="61" t="n"/>
      <c r="E4742" s="61" t="n"/>
      <c r="F4742" s="55" t="n"/>
      <c r="G4742" s="56" t="n"/>
      <c r="H4742" s="55" t="n"/>
      <c r="I4742" s="62" t="n"/>
      <c r="J4742" s="58" t="n"/>
      <c r="K4742" s="63">
        <f>IF(tblMovement[[#This Row],[Source]]="","",IFERROR(INDEX(tblSources[Type],MATCH(tblMovement[[#This Row],[Source]],tblSources[Source],0)),"?"))</f>
        <v/>
      </c>
      <c r="L4742" s="63">
        <f>IF(tblMovement[[#This Row],[Destination]]="","",IFERROR(INDEX(tblDestinations[Type],MATCH(tblMovement[[#This Row],[Destination]],tblDestinations[Destination],0)),"?"))</f>
        <v/>
      </c>
      <c r="M4742" s="64">
        <f>IF(tblMovement[[#This Row],[Material]]="","",IF(LEFT(tblMovement[[#This Row],[Material]],3)="Ore",1,0))</f>
        <v/>
      </c>
      <c r="N4742" s="59">
        <f>IF(OR(tblMovement[[#This Row],[Tonnes_t]]="",tblMovement[[#This Row],[Grade_gpt]]=""),0,tblMovement[[#This Row],[Tonnes_t]]*tblMovement[[#This Row],[Grade_gpt]]/cfg_TroyOz)</f>
        <v/>
      </c>
      <c r="O4742" s="59">
        <f>IF(tblMovement[[#This Row],[Is_Ore]]=1,tblMovement[[#This Row],[Contained_oz]],0)</f>
        <v/>
      </c>
    </row>
    <row r="4743">
      <c r="A4743" s="54" t="n"/>
      <c r="B4743" s="61" t="n"/>
      <c r="C4743" s="61" t="n"/>
      <c r="D4743" s="61" t="n"/>
      <c r="E4743" s="61" t="n"/>
      <c r="F4743" s="55" t="n"/>
      <c r="G4743" s="56" t="n"/>
      <c r="H4743" s="55" t="n"/>
      <c r="I4743" s="62" t="n"/>
      <c r="J4743" s="58" t="n"/>
      <c r="K4743" s="63">
        <f>IF(tblMovement[[#This Row],[Source]]="","",IFERROR(INDEX(tblSources[Type],MATCH(tblMovement[[#This Row],[Source]],tblSources[Source],0)),"?"))</f>
        <v/>
      </c>
      <c r="L4743" s="63">
        <f>IF(tblMovement[[#This Row],[Destination]]="","",IFERROR(INDEX(tblDestinations[Type],MATCH(tblMovement[[#This Row],[Destination]],tblDestinations[Destination],0)),"?"))</f>
        <v/>
      </c>
      <c r="M4743" s="64">
        <f>IF(tblMovement[[#This Row],[Material]]="","",IF(LEFT(tblMovement[[#This Row],[Material]],3)="Ore",1,0))</f>
        <v/>
      </c>
      <c r="N4743" s="59">
        <f>IF(OR(tblMovement[[#This Row],[Tonnes_t]]="",tblMovement[[#This Row],[Grade_gpt]]=""),0,tblMovement[[#This Row],[Tonnes_t]]*tblMovement[[#This Row],[Grade_gpt]]/cfg_TroyOz)</f>
        <v/>
      </c>
      <c r="O4743" s="59">
        <f>IF(tblMovement[[#This Row],[Is_Ore]]=1,tblMovement[[#This Row],[Contained_oz]],0)</f>
        <v/>
      </c>
    </row>
    <row r="4744">
      <c r="A4744" s="54" t="n"/>
      <c r="B4744" s="61" t="n"/>
      <c r="C4744" s="61" t="n"/>
      <c r="D4744" s="61" t="n"/>
      <c r="E4744" s="61" t="n"/>
      <c r="F4744" s="55" t="n"/>
      <c r="G4744" s="56" t="n"/>
      <c r="H4744" s="55" t="n"/>
      <c r="I4744" s="62" t="n"/>
      <c r="J4744" s="58" t="n"/>
      <c r="K4744" s="63">
        <f>IF(tblMovement[[#This Row],[Source]]="","",IFERROR(INDEX(tblSources[Type],MATCH(tblMovement[[#This Row],[Source]],tblSources[Source],0)),"?"))</f>
        <v/>
      </c>
      <c r="L4744" s="63">
        <f>IF(tblMovement[[#This Row],[Destination]]="","",IFERROR(INDEX(tblDestinations[Type],MATCH(tblMovement[[#This Row],[Destination]],tblDestinations[Destination],0)),"?"))</f>
        <v/>
      </c>
      <c r="M4744" s="64">
        <f>IF(tblMovement[[#This Row],[Material]]="","",IF(LEFT(tblMovement[[#This Row],[Material]],3)="Ore",1,0))</f>
        <v/>
      </c>
      <c r="N4744" s="59">
        <f>IF(OR(tblMovement[[#This Row],[Tonnes_t]]="",tblMovement[[#This Row],[Grade_gpt]]=""),0,tblMovement[[#This Row],[Tonnes_t]]*tblMovement[[#This Row],[Grade_gpt]]/cfg_TroyOz)</f>
        <v/>
      </c>
      <c r="O4744" s="59">
        <f>IF(tblMovement[[#This Row],[Is_Ore]]=1,tblMovement[[#This Row],[Contained_oz]],0)</f>
        <v/>
      </c>
    </row>
    <row r="4745">
      <c r="A4745" s="54" t="n"/>
      <c r="B4745" s="61" t="n"/>
      <c r="C4745" s="61" t="n"/>
      <c r="D4745" s="61" t="n"/>
      <c r="E4745" s="61" t="n"/>
      <c r="F4745" s="55" t="n"/>
      <c r="G4745" s="56" t="n"/>
      <c r="H4745" s="55" t="n"/>
      <c r="I4745" s="62" t="n"/>
      <c r="J4745" s="58" t="n"/>
      <c r="K4745" s="63">
        <f>IF(tblMovement[[#This Row],[Source]]="","",IFERROR(INDEX(tblSources[Type],MATCH(tblMovement[[#This Row],[Source]],tblSources[Source],0)),"?"))</f>
        <v/>
      </c>
      <c r="L4745" s="63">
        <f>IF(tblMovement[[#This Row],[Destination]]="","",IFERROR(INDEX(tblDestinations[Type],MATCH(tblMovement[[#This Row],[Destination]],tblDestinations[Destination],0)),"?"))</f>
        <v/>
      </c>
      <c r="M4745" s="64">
        <f>IF(tblMovement[[#This Row],[Material]]="","",IF(LEFT(tblMovement[[#This Row],[Material]],3)="Ore",1,0))</f>
        <v/>
      </c>
      <c r="N4745" s="59">
        <f>IF(OR(tblMovement[[#This Row],[Tonnes_t]]="",tblMovement[[#This Row],[Grade_gpt]]=""),0,tblMovement[[#This Row],[Tonnes_t]]*tblMovement[[#This Row],[Grade_gpt]]/cfg_TroyOz)</f>
        <v/>
      </c>
      <c r="O4745" s="59">
        <f>IF(tblMovement[[#This Row],[Is_Ore]]=1,tblMovement[[#This Row],[Contained_oz]],0)</f>
        <v/>
      </c>
    </row>
    <row r="4746">
      <c r="A4746" s="54" t="n"/>
      <c r="B4746" s="61" t="n"/>
      <c r="C4746" s="61" t="n"/>
      <c r="D4746" s="61" t="n"/>
      <c r="E4746" s="61" t="n"/>
      <c r="F4746" s="55" t="n"/>
      <c r="G4746" s="56" t="n"/>
      <c r="H4746" s="55" t="n"/>
      <c r="I4746" s="62" t="n"/>
      <c r="J4746" s="58" t="n"/>
      <c r="K4746" s="63">
        <f>IF(tblMovement[[#This Row],[Source]]="","",IFERROR(INDEX(tblSources[Type],MATCH(tblMovement[[#This Row],[Source]],tblSources[Source],0)),"?"))</f>
        <v/>
      </c>
      <c r="L4746" s="63">
        <f>IF(tblMovement[[#This Row],[Destination]]="","",IFERROR(INDEX(tblDestinations[Type],MATCH(tblMovement[[#This Row],[Destination]],tblDestinations[Destination],0)),"?"))</f>
        <v/>
      </c>
      <c r="M4746" s="64">
        <f>IF(tblMovement[[#This Row],[Material]]="","",IF(LEFT(tblMovement[[#This Row],[Material]],3)="Ore",1,0))</f>
        <v/>
      </c>
      <c r="N4746" s="59">
        <f>IF(OR(tblMovement[[#This Row],[Tonnes_t]]="",tblMovement[[#This Row],[Grade_gpt]]=""),0,tblMovement[[#This Row],[Tonnes_t]]*tblMovement[[#This Row],[Grade_gpt]]/cfg_TroyOz)</f>
        <v/>
      </c>
      <c r="O4746" s="59">
        <f>IF(tblMovement[[#This Row],[Is_Ore]]=1,tblMovement[[#This Row],[Contained_oz]],0)</f>
        <v/>
      </c>
    </row>
    <row r="4747">
      <c r="A4747" s="54" t="n"/>
      <c r="B4747" s="61" t="n"/>
      <c r="C4747" s="61" t="n"/>
      <c r="D4747" s="61" t="n"/>
      <c r="E4747" s="61" t="n"/>
      <c r="F4747" s="55" t="n"/>
      <c r="G4747" s="56" t="n"/>
      <c r="H4747" s="55" t="n"/>
      <c r="I4747" s="62" t="n"/>
      <c r="J4747" s="58" t="n"/>
      <c r="K4747" s="63">
        <f>IF(tblMovement[[#This Row],[Source]]="","",IFERROR(INDEX(tblSources[Type],MATCH(tblMovement[[#This Row],[Source]],tblSources[Source],0)),"?"))</f>
        <v/>
      </c>
      <c r="L4747" s="63">
        <f>IF(tblMovement[[#This Row],[Destination]]="","",IFERROR(INDEX(tblDestinations[Type],MATCH(tblMovement[[#This Row],[Destination]],tblDestinations[Destination],0)),"?"))</f>
        <v/>
      </c>
      <c r="M4747" s="64">
        <f>IF(tblMovement[[#This Row],[Material]]="","",IF(LEFT(tblMovement[[#This Row],[Material]],3)="Ore",1,0))</f>
        <v/>
      </c>
      <c r="N4747" s="59">
        <f>IF(OR(tblMovement[[#This Row],[Tonnes_t]]="",tblMovement[[#This Row],[Grade_gpt]]=""),0,tblMovement[[#This Row],[Tonnes_t]]*tblMovement[[#This Row],[Grade_gpt]]/cfg_TroyOz)</f>
        <v/>
      </c>
      <c r="O4747" s="59">
        <f>IF(tblMovement[[#This Row],[Is_Ore]]=1,tblMovement[[#This Row],[Contained_oz]],0)</f>
        <v/>
      </c>
    </row>
    <row r="4748">
      <c r="A4748" s="54" t="n"/>
      <c r="B4748" s="61" t="n"/>
      <c r="C4748" s="61" t="n"/>
      <c r="D4748" s="61" t="n"/>
      <c r="E4748" s="61" t="n"/>
      <c r="F4748" s="55" t="n"/>
      <c r="G4748" s="56" t="n"/>
      <c r="H4748" s="55" t="n"/>
      <c r="I4748" s="62" t="n"/>
      <c r="J4748" s="58" t="n"/>
      <c r="K4748" s="63">
        <f>IF(tblMovement[[#This Row],[Source]]="","",IFERROR(INDEX(tblSources[Type],MATCH(tblMovement[[#This Row],[Source]],tblSources[Source],0)),"?"))</f>
        <v/>
      </c>
      <c r="L4748" s="63">
        <f>IF(tblMovement[[#This Row],[Destination]]="","",IFERROR(INDEX(tblDestinations[Type],MATCH(tblMovement[[#This Row],[Destination]],tblDestinations[Destination],0)),"?"))</f>
        <v/>
      </c>
      <c r="M4748" s="64">
        <f>IF(tblMovement[[#This Row],[Material]]="","",IF(LEFT(tblMovement[[#This Row],[Material]],3)="Ore",1,0))</f>
        <v/>
      </c>
      <c r="N4748" s="59">
        <f>IF(OR(tblMovement[[#This Row],[Tonnes_t]]="",tblMovement[[#This Row],[Grade_gpt]]=""),0,tblMovement[[#This Row],[Tonnes_t]]*tblMovement[[#This Row],[Grade_gpt]]/cfg_TroyOz)</f>
        <v/>
      </c>
      <c r="O4748" s="59">
        <f>IF(tblMovement[[#This Row],[Is_Ore]]=1,tblMovement[[#This Row],[Contained_oz]],0)</f>
        <v/>
      </c>
    </row>
    <row r="4749">
      <c r="A4749" s="54" t="n"/>
      <c r="B4749" s="61" t="n"/>
      <c r="C4749" s="61" t="n"/>
      <c r="D4749" s="61" t="n"/>
      <c r="E4749" s="61" t="n"/>
      <c r="F4749" s="55" t="n"/>
      <c r="G4749" s="56" t="n"/>
      <c r="H4749" s="55" t="n"/>
      <c r="I4749" s="62" t="n"/>
      <c r="J4749" s="58" t="n"/>
      <c r="K4749" s="63">
        <f>IF(tblMovement[[#This Row],[Source]]="","",IFERROR(INDEX(tblSources[Type],MATCH(tblMovement[[#This Row],[Source]],tblSources[Source],0)),"?"))</f>
        <v/>
      </c>
      <c r="L4749" s="63">
        <f>IF(tblMovement[[#This Row],[Destination]]="","",IFERROR(INDEX(tblDestinations[Type],MATCH(tblMovement[[#This Row],[Destination]],tblDestinations[Destination],0)),"?"))</f>
        <v/>
      </c>
      <c r="M4749" s="64">
        <f>IF(tblMovement[[#This Row],[Material]]="","",IF(LEFT(tblMovement[[#This Row],[Material]],3)="Ore",1,0))</f>
        <v/>
      </c>
      <c r="N4749" s="59">
        <f>IF(OR(tblMovement[[#This Row],[Tonnes_t]]="",tblMovement[[#This Row],[Grade_gpt]]=""),0,tblMovement[[#This Row],[Tonnes_t]]*tblMovement[[#This Row],[Grade_gpt]]/cfg_TroyOz)</f>
        <v/>
      </c>
      <c r="O4749" s="59">
        <f>IF(tblMovement[[#This Row],[Is_Ore]]=1,tblMovement[[#This Row],[Contained_oz]],0)</f>
        <v/>
      </c>
    </row>
    <row r="4750">
      <c r="A4750" s="54" t="n"/>
      <c r="B4750" s="61" t="n"/>
      <c r="C4750" s="61" t="n"/>
      <c r="D4750" s="61" t="n"/>
      <c r="E4750" s="61" t="n"/>
      <c r="F4750" s="55" t="n"/>
      <c r="G4750" s="56" t="n"/>
      <c r="H4750" s="55" t="n"/>
      <c r="I4750" s="62" t="n"/>
      <c r="J4750" s="58" t="n"/>
      <c r="K4750" s="63">
        <f>IF(tblMovement[[#This Row],[Source]]="","",IFERROR(INDEX(tblSources[Type],MATCH(tblMovement[[#This Row],[Source]],tblSources[Source],0)),"?"))</f>
        <v/>
      </c>
      <c r="L4750" s="63">
        <f>IF(tblMovement[[#This Row],[Destination]]="","",IFERROR(INDEX(tblDestinations[Type],MATCH(tblMovement[[#This Row],[Destination]],tblDestinations[Destination],0)),"?"))</f>
        <v/>
      </c>
      <c r="M4750" s="64">
        <f>IF(tblMovement[[#This Row],[Material]]="","",IF(LEFT(tblMovement[[#This Row],[Material]],3)="Ore",1,0))</f>
        <v/>
      </c>
      <c r="N4750" s="59">
        <f>IF(OR(tblMovement[[#This Row],[Tonnes_t]]="",tblMovement[[#This Row],[Grade_gpt]]=""),0,tblMovement[[#This Row],[Tonnes_t]]*tblMovement[[#This Row],[Grade_gpt]]/cfg_TroyOz)</f>
        <v/>
      </c>
      <c r="O4750" s="59">
        <f>IF(tblMovement[[#This Row],[Is_Ore]]=1,tblMovement[[#This Row],[Contained_oz]],0)</f>
        <v/>
      </c>
    </row>
    <row r="4751">
      <c r="A4751" s="54" t="n"/>
      <c r="B4751" s="61" t="n"/>
      <c r="C4751" s="61" t="n"/>
      <c r="D4751" s="61" t="n"/>
      <c r="E4751" s="61" t="n"/>
      <c r="F4751" s="55" t="n"/>
      <c r="G4751" s="56" t="n"/>
      <c r="H4751" s="55" t="n"/>
      <c r="I4751" s="62" t="n"/>
      <c r="J4751" s="58" t="n"/>
      <c r="K4751" s="63">
        <f>IF(tblMovement[[#This Row],[Source]]="","",IFERROR(INDEX(tblSources[Type],MATCH(tblMovement[[#This Row],[Source]],tblSources[Source],0)),"?"))</f>
        <v/>
      </c>
      <c r="L4751" s="63">
        <f>IF(tblMovement[[#This Row],[Destination]]="","",IFERROR(INDEX(tblDestinations[Type],MATCH(tblMovement[[#This Row],[Destination]],tblDestinations[Destination],0)),"?"))</f>
        <v/>
      </c>
      <c r="M4751" s="64">
        <f>IF(tblMovement[[#This Row],[Material]]="","",IF(LEFT(tblMovement[[#This Row],[Material]],3)="Ore",1,0))</f>
        <v/>
      </c>
      <c r="N4751" s="59">
        <f>IF(OR(tblMovement[[#This Row],[Tonnes_t]]="",tblMovement[[#This Row],[Grade_gpt]]=""),0,tblMovement[[#This Row],[Tonnes_t]]*tblMovement[[#This Row],[Grade_gpt]]/cfg_TroyOz)</f>
        <v/>
      </c>
      <c r="O4751" s="59">
        <f>IF(tblMovement[[#This Row],[Is_Ore]]=1,tblMovement[[#This Row],[Contained_oz]],0)</f>
        <v/>
      </c>
    </row>
    <row r="4752">
      <c r="A4752" s="54" t="n"/>
      <c r="B4752" s="61" t="n"/>
      <c r="C4752" s="61" t="n"/>
      <c r="D4752" s="61" t="n"/>
      <c r="E4752" s="61" t="n"/>
      <c r="F4752" s="55" t="n"/>
      <c r="G4752" s="56" t="n"/>
      <c r="H4752" s="55" t="n"/>
      <c r="I4752" s="62" t="n"/>
      <c r="J4752" s="58" t="n"/>
      <c r="K4752" s="63">
        <f>IF(tblMovement[[#This Row],[Source]]="","",IFERROR(INDEX(tblSources[Type],MATCH(tblMovement[[#This Row],[Source]],tblSources[Source],0)),"?"))</f>
        <v/>
      </c>
      <c r="L4752" s="63">
        <f>IF(tblMovement[[#This Row],[Destination]]="","",IFERROR(INDEX(tblDestinations[Type],MATCH(tblMovement[[#This Row],[Destination]],tblDestinations[Destination],0)),"?"))</f>
        <v/>
      </c>
      <c r="M4752" s="64">
        <f>IF(tblMovement[[#This Row],[Material]]="","",IF(LEFT(tblMovement[[#This Row],[Material]],3)="Ore",1,0))</f>
        <v/>
      </c>
      <c r="N4752" s="59">
        <f>IF(OR(tblMovement[[#This Row],[Tonnes_t]]="",tblMovement[[#This Row],[Grade_gpt]]=""),0,tblMovement[[#This Row],[Tonnes_t]]*tblMovement[[#This Row],[Grade_gpt]]/cfg_TroyOz)</f>
        <v/>
      </c>
      <c r="O4752" s="59">
        <f>IF(tblMovement[[#This Row],[Is_Ore]]=1,tblMovement[[#This Row],[Contained_oz]],0)</f>
        <v/>
      </c>
    </row>
    <row r="4753">
      <c r="A4753" s="54" t="n"/>
      <c r="B4753" s="61" t="n"/>
      <c r="C4753" s="61" t="n"/>
      <c r="D4753" s="61" t="n"/>
      <c r="E4753" s="61" t="n"/>
      <c r="F4753" s="55" t="n"/>
      <c r="G4753" s="56" t="n"/>
      <c r="H4753" s="55" t="n"/>
      <c r="I4753" s="62" t="n"/>
      <c r="J4753" s="58" t="n"/>
      <c r="K4753" s="63">
        <f>IF(tblMovement[[#This Row],[Source]]="","",IFERROR(INDEX(tblSources[Type],MATCH(tblMovement[[#This Row],[Source]],tblSources[Source],0)),"?"))</f>
        <v/>
      </c>
      <c r="L4753" s="63">
        <f>IF(tblMovement[[#This Row],[Destination]]="","",IFERROR(INDEX(tblDestinations[Type],MATCH(tblMovement[[#This Row],[Destination]],tblDestinations[Destination],0)),"?"))</f>
        <v/>
      </c>
      <c r="M4753" s="64">
        <f>IF(tblMovement[[#This Row],[Material]]="","",IF(LEFT(tblMovement[[#This Row],[Material]],3)="Ore",1,0))</f>
        <v/>
      </c>
      <c r="N4753" s="59">
        <f>IF(OR(tblMovement[[#This Row],[Tonnes_t]]="",tblMovement[[#This Row],[Grade_gpt]]=""),0,tblMovement[[#This Row],[Tonnes_t]]*tblMovement[[#This Row],[Grade_gpt]]/cfg_TroyOz)</f>
        <v/>
      </c>
      <c r="O4753" s="59">
        <f>IF(tblMovement[[#This Row],[Is_Ore]]=1,tblMovement[[#This Row],[Contained_oz]],0)</f>
        <v/>
      </c>
    </row>
    <row r="4754">
      <c r="A4754" s="54" t="n"/>
      <c r="B4754" s="61" t="n"/>
      <c r="C4754" s="61" t="n"/>
      <c r="D4754" s="61" t="n"/>
      <c r="E4754" s="61" t="n"/>
      <c r="F4754" s="55" t="n"/>
      <c r="G4754" s="56" t="n"/>
      <c r="H4754" s="55" t="n"/>
      <c r="I4754" s="62" t="n"/>
      <c r="J4754" s="58" t="n"/>
      <c r="K4754" s="63">
        <f>IF(tblMovement[[#This Row],[Source]]="","",IFERROR(INDEX(tblSources[Type],MATCH(tblMovement[[#This Row],[Source]],tblSources[Source],0)),"?"))</f>
        <v/>
      </c>
      <c r="L4754" s="63">
        <f>IF(tblMovement[[#This Row],[Destination]]="","",IFERROR(INDEX(tblDestinations[Type],MATCH(tblMovement[[#This Row],[Destination]],tblDestinations[Destination],0)),"?"))</f>
        <v/>
      </c>
      <c r="M4754" s="64">
        <f>IF(tblMovement[[#This Row],[Material]]="","",IF(LEFT(tblMovement[[#This Row],[Material]],3)="Ore",1,0))</f>
        <v/>
      </c>
      <c r="N4754" s="59">
        <f>IF(OR(tblMovement[[#This Row],[Tonnes_t]]="",tblMovement[[#This Row],[Grade_gpt]]=""),0,tblMovement[[#This Row],[Tonnes_t]]*tblMovement[[#This Row],[Grade_gpt]]/cfg_TroyOz)</f>
        <v/>
      </c>
      <c r="O4754" s="59">
        <f>IF(tblMovement[[#This Row],[Is_Ore]]=1,tblMovement[[#This Row],[Contained_oz]],0)</f>
        <v/>
      </c>
    </row>
    <row r="4755">
      <c r="A4755" s="54" t="n"/>
      <c r="B4755" s="61" t="n"/>
      <c r="C4755" s="61" t="n"/>
      <c r="D4755" s="61" t="n"/>
      <c r="E4755" s="61" t="n"/>
      <c r="F4755" s="55" t="n"/>
      <c r="G4755" s="56" t="n"/>
      <c r="H4755" s="55" t="n"/>
      <c r="I4755" s="62" t="n"/>
      <c r="J4755" s="58" t="n"/>
      <c r="K4755" s="63">
        <f>IF(tblMovement[[#This Row],[Source]]="","",IFERROR(INDEX(tblSources[Type],MATCH(tblMovement[[#This Row],[Source]],tblSources[Source],0)),"?"))</f>
        <v/>
      </c>
      <c r="L4755" s="63">
        <f>IF(tblMovement[[#This Row],[Destination]]="","",IFERROR(INDEX(tblDestinations[Type],MATCH(tblMovement[[#This Row],[Destination]],tblDestinations[Destination],0)),"?"))</f>
        <v/>
      </c>
      <c r="M4755" s="64">
        <f>IF(tblMovement[[#This Row],[Material]]="","",IF(LEFT(tblMovement[[#This Row],[Material]],3)="Ore",1,0))</f>
        <v/>
      </c>
      <c r="N4755" s="59">
        <f>IF(OR(tblMovement[[#This Row],[Tonnes_t]]="",tblMovement[[#This Row],[Grade_gpt]]=""),0,tblMovement[[#This Row],[Tonnes_t]]*tblMovement[[#This Row],[Grade_gpt]]/cfg_TroyOz)</f>
        <v/>
      </c>
      <c r="O4755" s="59">
        <f>IF(tblMovement[[#This Row],[Is_Ore]]=1,tblMovement[[#This Row],[Contained_oz]],0)</f>
        <v/>
      </c>
    </row>
    <row r="4756">
      <c r="A4756" s="54" t="n"/>
      <c r="B4756" s="61" t="n"/>
      <c r="C4756" s="61" t="n"/>
      <c r="D4756" s="61" t="n"/>
      <c r="E4756" s="61" t="n"/>
      <c r="F4756" s="55" t="n"/>
      <c r="G4756" s="56" t="n"/>
      <c r="H4756" s="55" t="n"/>
      <c r="I4756" s="62" t="n"/>
      <c r="J4756" s="58" t="n"/>
      <c r="K4756" s="63">
        <f>IF(tblMovement[[#This Row],[Source]]="","",IFERROR(INDEX(tblSources[Type],MATCH(tblMovement[[#This Row],[Source]],tblSources[Source],0)),"?"))</f>
        <v/>
      </c>
      <c r="L4756" s="63">
        <f>IF(tblMovement[[#This Row],[Destination]]="","",IFERROR(INDEX(tblDestinations[Type],MATCH(tblMovement[[#This Row],[Destination]],tblDestinations[Destination],0)),"?"))</f>
        <v/>
      </c>
      <c r="M4756" s="64">
        <f>IF(tblMovement[[#This Row],[Material]]="","",IF(LEFT(tblMovement[[#This Row],[Material]],3)="Ore",1,0))</f>
        <v/>
      </c>
      <c r="N4756" s="59">
        <f>IF(OR(tblMovement[[#This Row],[Tonnes_t]]="",tblMovement[[#This Row],[Grade_gpt]]=""),0,tblMovement[[#This Row],[Tonnes_t]]*tblMovement[[#This Row],[Grade_gpt]]/cfg_TroyOz)</f>
        <v/>
      </c>
      <c r="O4756" s="59">
        <f>IF(tblMovement[[#This Row],[Is_Ore]]=1,tblMovement[[#This Row],[Contained_oz]],0)</f>
        <v/>
      </c>
    </row>
    <row r="4757">
      <c r="A4757" s="54" t="n"/>
      <c r="B4757" s="61" t="n"/>
      <c r="C4757" s="61" t="n"/>
      <c r="D4757" s="61" t="n"/>
      <c r="E4757" s="61" t="n"/>
      <c r="F4757" s="55" t="n"/>
      <c r="G4757" s="56" t="n"/>
      <c r="H4757" s="55" t="n"/>
      <c r="I4757" s="62" t="n"/>
      <c r="J4757" s="58" t="n"/>
      <c r="K4757" s="63">
        <f>IF(tblMovement[[#This Row],[Source]]="","",IFERROR(INDEX(tblSources[Type],MATCH(tblMovement[[#This Row],[Source]],tblSources[Source],0)),"?"))</f>
        <v/>
      </c>
      <c r="L4757" s="63">
        <f>IF(tblMovement[[#This Row],[Destination]]="","",IFERROR(INDEX(tblDestinations[Type],MATCH(tblMovement[[#This Row],[Destination]],tblDestinations[Destination],0)),"?"))</f>
        <v/>
      </c>
      <c r="M4757" s="64">
        <f>IF(tblMovement[[#This Row],[Material]]="","",IF(LEFT(tblMovement[[#This Row],[Material]],3)="Ore",1,0))</f>
        <v/>
      </c>
      <c r="N4757" s="59">
        <f>IF(OR(tblMovement[[#This Row],[Tonnes_t]]="",tblMovement[[#This Row],[Grade_gpt]]=""),0,tblMovement[[#This Row],[Tonnes_t]]*tblMovement[[#This Row],[Grade_gpt]]/cfg_TroyOz)</f>
        <v/>
      </c>
      <c r="O4757" s="59">
        <f>IF(tblMovement[[#This Row],[Is_Ore]]=1,tblMovement[[#This Row],[Contained_oz]],0)</f>
        <v/>
      </c>
    </row>
    <row r="4758">
      <c r="A4758" s="54" t="n"/>
      <c r="B4758" s="61" t="n"/>
      <c r="C4758" s="61" t="n"/>
      <c r="D4758" s="61" t="n"/>
      <c r="E4758" s="61" t="n"/>
      <c r="F4758" s="55" t="n"/>
      <c r="G4758" s="56" t="n"/>
      <c r="H4758" s="55" t="n"/>
      <c r="I4758" s="62" t="n"/>
      <c r="J4758" s="58" t="n"/>
      <c r="K4758" s="63">
        <f>IF(tblMovement[[#This Row],[Source]]="","",IFERROR(INDEX(tblSources[Type],MATCH(tblMovement[[#This Row],[Source]],tblSources[Source],0)),"?"))</f>
        <v/>
      </c>
      <c r="L4758" s="63">
        <f>IF(tblMovement[[#This Row],[Destination]]="","",IFERROR(INDEX(tblDestinations[Type],MATCH(tblMovement[[#This Row],[Destination]],tblDestinations[Destination],0)),"?"))</f>
        <v/>
      </c>
      <c r="M4758" s="64">
        <f>IF(tblMovement[[#This Row],[Material]]="","",IF(LEFT(tblMovement[[#This Row],[Material]],3)="Ore",1,0))</f>
        <v/>
      </c>
      <c r="N4758" s="59">
        <f>IF(OR(tblMovement[[#This Row],[Tonnes_t]]="",tblMovement[[#This Row],[Grade_gpt]]=""),0,tblMovement[[#This Row],[Tonnes_t]]*tblMovement[[#This Row],[Grade_gpt]]/cfg_TroyOz)</f>
        <v/>
      </c>
      <c r="O4758" s="59">
        <f>IF(tblMovement[[#This Row],[Is_Ore]]=1,tblMovement[[#This Row],[Contained_oz]],0)</f>
        <v/>
      </c>
    </row>
    <row r="4759">
      <c r="A4759" s="54" t="n"/>
      <c r="B4759" s="61" t="n"/>
      <c r="C4759" s="61" t="n"/>
      <c r="D4759" s="61" t="n"/>
      <c r="E4759" s="61" t="n"/>
      <c r="F4759" s="55" t="n"/>
      <c r="G4759" s="56" t="n"/>
      <c r="H4759" s="55" t="n"/>
      <c r="I4759" s="62" t="n"/>
      <c r="J4759" s="58" t="n"/>
      <c r="K4759" s="63">
        <f>IF(tblMovement[[#This Row],[Source]]="","",IFERROR(INDEX(tblSources[Type],MATCH(tblMovement[[#This Row],[Source]],tblSources[Source],0)),"?"))</f>
        <v/>
      </c>
      <c r="L4759" s="63">
        <f>IF(tblMovement[[#This Row],[Destination]]="","",IFERROR(INDEX(tblDestinations[Type],MATCH(tblMovement[[#This Row],[Destination]],tblDestinations[Destination],0)),"?"))</f>
        <v/>
      </c>
      <c r="M4759" s="64">
        <f>IF(tblMovement[[#This Row],[Material]]="","",IF(LEFT(tblMovement[[#This Row],[Material]],3)="Ore",1,0))</f>
        <v/>
      </c>
      <c r="N4759" s="59">
        <f>IF(OR(tblMovement[[#This Row],[Tonnes_t]]="",tblMovement[[#This Row],[Grade_gpt]]=""),0,tblMovement[[#This Row],[Tonnes_t]]*tblMovement[[#This Row],[Grade_gpt]]/cfg_TroyOz)</f>
        <v/>
      </c>
      <c r="O4759" s="59">
        <f>IF(tblMovement[[#This Row],[Is_Ore]]=1,tblMovement[[#This Row],[Contained_oz]],0)</f>
        <v/>
      </c>
    </row>
    <row r="4760">
      <c r="A4760" s="54" t="n"/>
      <c r="B4760" s="61" t="n"/>
      <c r="C4760" s="61" t="n"/>
      <c r="D4760" s="61" t="n"/>
      <c r="E4760" s="61" t="n"/>
      <c r="F4760" s="55" t="n"/>
      <c r="G4760" s="56" t="n"/>
      <c r="H4760" s="55" t="n"/>
      <c r="I4760" s="62" t="n"/>
      <c r="J4760" s="58" t="n"/>
      <c r="K4760" s="63">
        <f>IF(tblMovement[[#This Row],[Source]]="","",IFERROR(INDEX(tblSources[Type],MATCH(tblMovement[[#This Row],[Source]],tblSources[Source],0)),"?"))</f>
        <v/>
      </c>
      <c r="L4760" s="63">
        <f>IF(tblMovement[[#This Row],[Destination]]="","",IFERROR(INDEX(tblDestinations[Type],MATCH(tblMovement[[#This Row],[Destination]],tblDestinations[Destination],0)),"?"))</f>
        <v/>
      </c>
      <c r="M4760" s="64">
        <f>IF(tblMovement[[#This Row],[Material]]="","",IF(LEFT(tblMovement[[#This Row],[Material]],3)="Ore",1,0))</f>
        <v/>
      </c>
      <c r="N4760" s="59">
        <f>IF(OR(tblMovement[[#This Row],[Tonnes_t]]="",tblMovement[[#This Row],[Grade_gpt]]=""),0,tblMovement[[#This Row],[Tonnes_t]]*tblMovement[[#This Row],[Grade_gpt]]/cfg_TroyOz)</f>
        <v/>
      </c>
      <c r="O4760" s="59">
        <f>IF(tblMovement[[#This Row],[Is_Ore]]=1,tblMovement[[#This Row],[Contained_oz]],0)</f>
        <v/>
      </c>
    </row>
    <row r="4761">
      <c r="A4761" s="54" t="n"/>
      <c r="B4761" s="61" t="n"/>
      <c r="C4761" s="61" t="n"/>
      <c r="D4761" s="61" t="n"/>
      <c r="E4761" s="61" t="n"/>
      <c r="F4761" s="55" t="n"/>
      <c r="G4761" s="56" t="n"/>
      <c r="H4761" s="55" t="n"/>
      <c r="I4761" s="62" t="n"/>
      <c r="J4761" s="58" t="n"/>
      <c r="K4761" s="63">
        <f>IF(tblMovement[[#This Row],[Source]]="","",IFERROR(INDEX(tblSources[Type],MATCH(tblMovement[[#This Row],[Source]],tblSources[Source],0)),"?"))</f>
        <v/>
      </c>
      <c r="L4761" s="63">
        <f>IF(tblMovement[[#This Row],[Destination]]="","",IFERROR(INDEX(tblDestinations[Type],MATCH(tblMovement[[#This Row],[Destination]],tblDestinations[Destination],0)),"?"))</f>
        <v/>
      </c>
      <c r="M4761" s="64">
        <f>IF(tblMovement[[#This Row],[Material]]="","",IF(LEFT(tblMovement[[#This Row],[Material]],3)="Ore",1,0))</f>
        <v/>
      </c>
      <c r="N4761" s="59">
        <f>IF(OR(tblMovement[[#This Row],[Tonnes_t]]="",tblMovement[[#This Row],[Grade_gpt]]=""),0,tblMovement[[#This Row],[Tonnes_t]]*tblMovement[[#This Row],[Grade_gpt]]/cfg_TroyOz)</f>
        <v/>
      </c>
      <c r="O4761" s="59">
        <f>IF(tblMovement[[#This Row],[Is_Ore]]=1,tblMovement[[#This Row],[Contained_oz]],0)</f>
        <v/>
      </c>
    </row>
    <row r="4762">
      <c r="A4762" s="54" t="n"/>
      <c r="B4762" s="61" t="n"/>
      <c r="C4762" s="61" t="n"/>
      <c r="D4762" s="61" t="n"/>
      <c r="E4762" s="61" t="n"/>
      <c r="F4762" s="55" t="n"/>
      <c r="G4762" s="56" t="n"/>
      <c r="H4762" s="55" t="n"/>
      <c r="I4762" s="62" t="n"/>
      <c r="J4762" s="58" t="n"/>
      <c r="K4762" s="63">
        <f>IF(tblMovement[[#This Row],[Source]]="","",IFERROR(INDEX(tblSources[Type],MATCH(tblMovement[[#This Row],[Source]],tblSources[Source],0)),"?"))</f>
        <v/>
      </c>
      <c r="L4762" s="63">
        <f>IF(tblMovement[[#This Row],[Destination]]="","",IFERROR(INDEX(tblDestinations[Type],MATCH(tblMovement[[#This Row],[Destination]],tblDestinations[Destination],0)),"?"))</f>
        <v/>
      </c>
      <c r="M4762" s="64">
        <f>IF(tblMovement[[#This Row],[Material]]="","",IF(LEFT(tblMovement[[#This Row],[Material]],3)="Ore",1,0))</f>
        <v/>
      </c>
      <c r="N4762" s="59">
        <f>IF(OR(tblMovement[[#This Row],[Tonnes_t]]="",tblMovement[[#This Row],[Grade_gpt]]=""),0,tblMovement[[#This Row],[Tonnes_t]]*tblMovement[[#This Row],[Grade_gpt]]/cfg_TroyOz)</f>
        <v/>
      </c>
      <c r="O4762" s="59">
        <f>IF(tblMovement[[#This Row],[Is_Ore]]=1,tblMovement[[#This Row],[Contained_oz]],0)</f>
        <v/>
      </c>
    </row>
    <row r="4763">
      <c r="A4763" s="54" t="n"/>
      <c r="B4763" s="61" t="n"/>
      <c r="C4763" s="61" t="n"/>
      <c r="D4763" s="61" t="n"/>
      <c r="E4763" s="61" t="n"/>
      <c r="F4763" s="55" t="n"/>
      <c r="G4763" s="56" t="n"/>
      <c r="H4763" s="55" t="n"/>
      <c r="I4763" s="62" t="n"/>
      <c r="J4763" s="58" t="n"/>
      <c r="K4763" s="63">
        <f>IF(tblMovement[[#This Row],[Source]]="","",IFERROR(INDEX(tblSources[Type],MATCH(tblMovement[[#This Row],[Source]],tblSources[Source],0)),"?"))</f>
        <v/>
      </c>
      <c r="L4763" s="63">
        <f>IF(tblMovement[[#This Row],[Destination]]="","",IFERROR(INDEX(tblDestinations[Type],MATCH(tblMovement[[#This Row],[Destination]],tblDestinations[Destination],0)),"?"))</f>
        <v/>
      </c>
      <c r="M4763" s="64">
        <f>IF(tblMovement[[#This Row],[Material]]="","",IF(LEFT(tblMovement[[#This Row],[Material]],3)="Ore",1,0))</f>
        <v/>
      </c>
      <c r="N4763" s="59">
        <f>IF(OR(tblMovement[[#This Row],[Tonnes_t]]="",tblMovement[[#This Row],[Grade_gpt]]=""),0,tblMovement[[#This Row],[Tonnes_t]]*tblMovement[[#This Row],[Grade_gpt]]/cfg_TroyOz)</f>
        <v/>
      </c>
      <c r="O4763" s="59">
        <f>IF(tblMovement[[#This Row],[Is_Ore]]=1,tblMovement[[#This Row],[Contained_oz]],0)</f>
        <v/>
      </c>
    </row>
    <row r="4764">
      <c r="A4764" s="54" t="n"/>
      <c r="B4764" s="61" t="n"/>
      <c r="C4764" s="61" t="n"/>
      <c r="D4764" s="61" t="n"/>
      <c r="E4764" s="61" t="n"/>
      <c r="F4764" s="55" t="n"/>
      <c r="G4764" s="56" t="n"/>
      <c r="H4764" s="55" t="n"/>
      <c r="I4764" s="62" t="n"/>
      <c r="J4764" s="58" t="n"/>
      <c r="K4764" s="63">
        <f>IF(tblMovement[[#This Row],[Source]]="","",IFERROR(INDEX(tblSources[Type],MATCH(tblMovement[[#This Row],[Source]],tblSources[Source],0)),"?"))</f>
        <v/>
      </c>
      <c r="L4764" s="63">
        <f>IF(tblMovement[[#This Row],[Destination]]="","",IFERROR(INDEX(tblDestinations[Type],MATCH(tblMovement[[#This Row],[Destination]],tblDestinations[Destination],0)),"?"))</f>
        <v/>
      </c>
      <c r="M4764" s="64">
        <f>IF(tblMovement[[#This Row],[Material]]="","",IF(LEFT(tblMovement[[#This Row],[Material]],3)="Ore",1,0))</f>
        <v/>
      </c>
      <c r="N4764" s="59">
        <f>IF(OR(tblMovement[[#This Row],[Tonnes_t]]="",tblMovement[[#This Row],[Grade_gpt]]=""),0,tblMovement[[#This Row],[Tonnes_t]]*tblMovement[[#This Row],[Grade_gpt]]/cfg_TroyOz)</f>
        <v/>
      </c>
      <c r="O4764" s="59">
        <f>IF(tblMovement[[#This Row],[Is_Ore]]=1,tblMovement[[#This Row],[Contained_oz]],0)</f>
        <v/>
      </c>
    </row>
    <row r="4765">
      <c r="A4765" s="54" t="n"/>
      <c r="B4765" s="61" t="n"/>
      <c r="C4765" s="61" t="n"/>
      <c r="D4765" s="61" t="n"/>
      <c r="E4765" s="61" t="n"/>
      <c r="F4765" s="55" t="n"/>
      <c r="G4765" s="56" t="n"/>
      <c r="H4765" s="55" t="n"/>
      <c r="I4765" s="62" t="n"/>
      <c r="J4765" s="58" t="n"/>
      <c r="K4765" s="63">
        <f>IF(tblMovement[[#This Row],[Source]]="","",IFERROR(INDEX(tblSources[Type],MATCH(tblMovement[[#This Row],[Source]],tblSources[Source],0)),"?"))</f>
        <v/>
      </c>
      <c r="L4765" s="63">
        <f>IF(tblMovement[[#This Row],[Destination]]="","",IFERROR(INDEX(tblDestinations[Type],MATCH(tblMovement[[#This Row],[Destination]],tblDestinations[Destination],0)),"?"))</f>
        <v/>
      </c>
      <c r="M4765" s="64">
        <f>IF(tblMovement[[#This Row],[Material]]="","",IF(LEFT(tblMovement[[#This Row],[Material]],3)="Ore",1,0))</f>
        <v/>
      </c>
      <c r="N4765" s="59">
        <f>IF(OR(tblMovement[[#This Row],[Tonnes_t]]="",tblMovement[[#This Row],[Grade_gpt]]=""),0,tblMovement[[#This Row],[Tonnes_t]]*tblMovement[[#This Row],[Grade_gpt]]/cfg_TroyOz)</f>
        <v/>
      </c>
      <c r="O4765" s="59">
        <f>IF(tblMovement[[#This Row],[Is_Ore]]=1,tblMovement[[#This Row],[Contained_oz]],0)</f>
        <v/>
      </c>
    </row>
    <row r="4766">
      <c r="A4766" s="54" t="n"/>
      <c r="B4766" s="61" t="n"/>
      <c r="C4766" s="61" t="n"/>
      <c r="D4766" s="61" t="n"/>
      <c r="E4766" s="61" t="n"/>
      <c r="F4766" s="55" t="n"/>
      <c r="G4766" s="56" t="n"/>
      <c r="H4766" s="55" t="n"/>
      <c r="I4766" s="62" t="n"/>
      <c r="J4766" s="58" t="n"/>
      <c r="K4766" s="63">
        <f>IF(tblMovement[[#This Row],[Source]]="","",IFERROR(INDEX(tblSources[Type],MATCH(tblMovement[[#This Row],[Source]],tblSources[Source],0)),"?"))</f>
        <v/>
      </c>
      <c r="L4766" s="63">
        <f>IF(tblMovement[[#This Row],[Destination]]="","",IFERROR(INDEX(tblDestinations[Type],MATCH(tblMovement[[#This Row],[Destination]],tblDestinations[Destination],0)),"?"))</f>
        <v/>
      </c>
      <c r="M4766" s="64">
        <f>IF(tblMovement[[#This Row],[Material]]="","",IF(LEFT(tblMovement[[#This Row],[Material]],3)="Ore",1,0))</f>
        <v/>
      </c>
      <c r="N4766" s="59">
        <f>IF(OR(tblMovement[[#This Row],[Tonnes_t]]="",tblMovement[[#This Row],[Grade_gpt]]=""),0,tblMovement[[#This Row],[Tonnes_t]]*tblMovement[[#This Row],[Grade_gpt]]/cfg_TroyOz)</f>
        <v/>
      </c>
      <c r="O4766" s="59">
        <f>IF(tblMovement[[#This Row],[Is_Ore]]=1,tblMovement[[#This Row],[Contained_oz]],0)</f>
        <v/>
      </c>
    </row>
    <row r="4767">
      <c r="A4767" s="54" t="n"/>
      <c r="B4767" s="61" t="n"/>
      <c r="C4767" s="61" t="n"/>
      <c r="D4767" s="61" t="n"/>
      <c r="E4767" s="61" t="n"/>
      <c r="F4767" s="55" t="n"/>
      <c r="G4767" s="56" t="n"/>
      <c r="H4767" s="55" t="n"/>
      <c r="I4767" s="62" t="n"/>
      <c r="J4767" s="58" t="n"/>
      <c r="K4767" s="63">
        <f>IF(tblMovement[[#This Row],[Source]]="","",IFERROR(INDEX(tblSources[Type],MATCH(tblMovement[[#This Row],[Source]],tblSources[Source],0)),"?"))</f>
        <v/>
      </c>
      <c r="L4767" s="63">
        <f>IF(tblMovement[[#This Row],[Destination]]="","",IFERROR(INDEX(tblDestinations[Type],MATCH(tblMovement[[#This Row],[Destination]],tblDestinations[Destination],0)),"?"))</f>
        <v/>
      </c>
      <c r="M4767" s="64">
        <f>IF(tblMovement[[#This Row],[Material]]="","",IF(LEFT(tblMovement[[#This Row],[Material]],3)="Ore",1,0))</f>
        <v/>
      </c>
      <c r="N4767" s="59">
        <f>IF(OR(tblMovement[[#This Row],[Tonnes_t]]="",tblMovement[[#This Row],[Grade_gpt]]=""),0,tblMovement[[#This Row],[Tonnes_t]]*tblMovement[[#This Row],[Grade_gpt]]/cfg_TroyOz)</f>
        <v/>
      </c>
      <c r="O4767" s="59">
        <f>IF(tblMovement[[#This Row],[Is_Ore]]=1,tblMovement[[#This Row],[Contained_oz]],0)</f>
        <v/>
      </c>
    </row>
    <row r="4768">
      <c r="A4768" s="54" t="n"/>
      <c r="B4768" s="61" t="n"/>
      <c r="C4768" s="61" t="n"/>
      <c r="D4768" s="61" t="n"/>
      <c r="E4768" s="61" t="n"/>
      <c r="F4768" s="55" t="n"/>
      <c r="G4768" s="56" t="n"/>
      <c r="H4768" s="55" t="n"/>
      <c r="I4768" s="62" t="n"/>
      <c r="J4768" s="58" t="n"/>
      <c r="K4768" s="63">
        <f>IF(tblMovement[[#This Row],[Source]]="","",IFERROR(INDEX(tblSources[Type],MATCH(tblMovement[[#This Row],[Source]],tblSources[Source],0)),"?"))</f>
        <v/>
      </c>
      <c r="L4768" s="63">
        <f>IF(tblMovement[[#This Row],[Destination]]="","",IFERROR(INDEX(tblDestinations[Type],MATCH(tblMovement[[#This Row],[Destination]],tblDestinations[Destination],0)),"?"))</f>
        <v/>
      </c>
      <c r="M4768" s="64">
        <f>IF(tblMovement[[#This Row],[Material]]="","",IF(LEFT(tblMovement[[#This Row],[Material]],3)="Ore",1,0))</f>
        <v/>
      </c>
      <c r="N4768" s="59">
        <f>IF(OR(tblMovement[[#This Row],[Tonnes_t]]="",tblMovement[[#This Row],[Grade_gpt]]=""),0,tblMovement[[#This Row],[Tonnes_t]]*tblMovement[[#This Row],[Grade_gpt]]/cfg_TroyOz)</f>
        <v/>
      </c>
      <c r="O4768" s="59">
        <f>IF(tblMovement[[#This Row],[Is_Ore]]=1,tblMovement[[#This Row],[Contained_oz]],0)</f>
        <v/>
      </c>
    </row>
    <row r="4769">
      <c r="A4769" s="54" t="n"/>
      <c r="B4769" s="61" t="n"/>
      <c r="C4769" s="61" t="n"/>
      <c r="D4769" s="61" t="n"/>
      <c r="E4769" s="61" t="n"/>
      <c r="F4769" s="55" t="n"/>
      <c r="G4769" s="56" t="n"/>
      <c r="H4769" s="55" t="n"/>
      <c r="I4769" s="62" t="n"/>
      <c r="J4769" s="58" t="n"/>
      <c r="K4769" s="63">
        <f>IF(tblMovement[[#This Row],[Source]]="","",IFERROR(INDEX(tblSources[Type],MATCH(tblMovement[[#This Row],[Source]],tblSources[Source],0)),"?"))</f>
        <v/>
      </c>
      <c r="L4769" s="63">
        <f>IF(tblMovement[[#This Row],[Destination]]="","",IFERROR(INDEX(tblDestinations[Type],MATCH(tblMovement[[#This Row],[Destination]],tblDestinations[Destination],0)),"?"))</f>
        <v/>
      </c>
      <c r="M4769" s="64">
        <f>IF(tblMovement[[#This Row],[Material]]="","",IF(LEFT(tblMovement[[#This Row],[Material]],3)="Ore",1,0))</f>
        <v/>
      </c>
      <c r="N4769" s="59">
        <f>IF(OR(tblMovement[[#This Row],[Tonnes_t]]="",tblMovement[[#This Row],[Grade_gpt]]=""),0,tblMovement[[#This Row],[Tonnes_t]]*tblMovement[[#This Row],[Grade_gpt]]/cfg_TroyOz)</f>
        <v/>
      </c>
      <c r="O4769" s="59">
        <f>IF(tblMovement[[#This Row],[Is_Ore]]=1,tblMovement[[#This Row],[Contained_oz]],0)</f>
        <v/>
      </c>
    </row>
    <row r="4770">
      <c r="A4770" s="54" t="n"/>
      <c r="B4770" s="61" t="n"/>
      <c r="C4770" s="61" t="n"/>
      <c r="D4770" s="61" t="n"/>
      <c r="E4770" s="61" t="n"/>
      <c r="F4770" s="55" t="n"/>
      <c r="G4770" s="56" t="n"/>
      <c r="H4770" s="55" t="n"/>
      <c r="I4770" s="62" t="n"/>
      <c r="J4770" s="58" t="n"/>
      <c r="K4770" s="63">
        <f>IF(tblMovement[[#This Row],[Source]]="","",IFERROR(INDEX(tblSources[Type],MATCH(tblMovement[[#This Row],[Source]],tblSources[Source],0)),"?"))</f>
        <v/>
      </c>
      <c r="L4770" s="63">
        <f>IF(tblMovement[[#This Row],[Destination]]="","",IFERROR(INDEX(tblDestinations[Type],MATCH(tblMovement[[#This Row],[Destination]],tblDestinations[Destination],0)),"?"))</f>
        <v/>
      </c>
      <c r="M4770" s="64">
        <f>IF(tblMovement[[#This Row],[Material]]="","",IF(LEFT(tblMovement[[#This Row],[Material]],3)="Ore",1,0))</f>
        <v/>
      </c>
      <c r="N4770" s="59">
        <f>IF(OR(tblMovement[[#This Row],[Tonnes_t]]="",tblMovement[[#This Row],[Grade_gpt]]=""),0,tblMovement[[#This Row],[Tonnes_t]]*tblMovement[[#This Row],[Grade_gpt]]/cfg_TroyOz)</f>
        <v/>
      </c>
      <c r="O4770" s="59">
        <f>IF(tblMovement[[#This Row],[Is_Ore]]=1,tblMovement[[#This Row],[Contained_oz]],0)</f>
        <v/>
      </c>
    </row>
    <row r="4771">
      <c r="A4771" s="54" t="n"/>
      <c r="B4771" s="61" t="n"/>
      <c r="C4771" s="61" t="n"/>
      <c r="D4771" s="61" t="n"/>
      <c r="E4771" s="61" t="n"/>
      <c r="F4771" s="55" t="n"/>
      <c r="G4771" s="56" t="n"/>
      <c r="H4771" s="55" t="n"/>
      <c r="I4771" s="62" t="n"/>
      <c r="J4771" s="58" t="n"/>
      <c r="K4771" s="63">
        <f>IF(tblMovement[[#This Row],[Source]]="","",IFERROR(INDEX(tblSources[Type],MATCH(tblMovement[[#This Row],[Source]],tblSources[Source],0)),"?"))</f>
        <v/>
      </c>
      <c r="L4771" s="63">
        <f>IF(tblMovement[[#This Row],[Destination]]="","",IFERROR(INDEX(tblDestinations[Type],MATCH(tblMovement[[#This Row],[Destination]],tblDestinations[Destination],0)),"?"))</f>
        <v/>
      </c>
      <c r="M4771" s="64">
        <f>IF(tblMovement[[#This Row],[Material]]="","",IF(LEFT(tblMovement[[#This Row],[Material]],3)="Ore",1,0))</f>
        <v/>
      </c>
      <c r="N4771" s="59">
        <f>IF(OR(tblMovement[[#This Row],[Tonnes_t]]="",tblMovement[[#This Row],[Grade_gpt]]=""),0,tblMovement[[#This Row],[Tonnes_t]]*tblMovement[[#This Row],[Grade_gpt]]/cfg_TroyOz)</f>
        <v/>
      </c>
      <c r="O4771" s="59">
        <f>IF(tblMovement[[#This Row],[Is_Ore]]=1,tblMovement[[#This Row],[Contained_oz]],0)</f>
        <v/>
      </c>
    </row>
    <row r="4772">
      <c r="A4772" s="54" t="n"/>
      <c r="B4772" s="61" t="n"/>
      <c r="C4772" s="61" t="n"/>
      <c r="D4772" s="61" t="n"/>
      <c r="E4772" s="61" t="n"/>
      <c r="F4772" s="55" t="n"/>
      <c r="G4772" s="56" t="n"/>
      <c r="H4772" s="55" t="n"/>
      <c r="I4772" s="62" t="n"/>
      <c r="J4772" s="58" t="n"/>
      <c r="K4772" s="63">
        <f>IF(tblMovement[[#This Row],[Source]]="","",IFERROR(INDEX(tblSources[Type],MATCH(tblMovement[[#This Row],[Source]],tblSources[Source],0)),"?"))</f>
        <v/>
      </c>
      <c r="L4772" s="63">
        <f>IF(tblMovement[[#This Row],[Destination]]="","",IFERROR(INDEX(tblDestinations[Type],MATCH(tblMovement[[#This Row],[Destination]],tblDestinations[Destination],0)),"?"))</f>
        <v/>
      </c>
      <c r="M4772" s="64">
        <f>IF(tblMovement[[#This Row],[Material]]="","",IF(LEFT(tblMovement[[#This Row],[Material]],3)="Ore",1,0))</f>
        <v/>
      </c>
      <c r="N4772" s="59">
        <f>IF(OR(tblMovement[[#This Row],[Tonnes_t]]="",tblMovement[[#This Row],[Grade_gpt]]=""),0,tblMovement[[#This Row],[Tonnes_t]]*tblMovement[[#This Row],[Grade_gpt]]/cfg_TroyOz)</f>
        <v/>
      </c>
      <c r="O4772" s="59">
        <f>IF(tblMovement[[#This Row],[Is_Ore]]=1,tblMovement[[#This Row],[Contained_oz]],0)</f>
        <v/>
      </c>
    </row>
    <row r="4773">
      <c r="A4773" s="54" t="n"/>
      <c r="B4773" s="61" t="n"/>
      <c r="C4773" s="61" t="n"/>
      <c r="D4773" s="61" t="n"/>
      <c r="E4773" s="61" t="n"/>
      <c r="F4773" s="55" t="n"/>
      <c r="G4773" s="56" t="n"/>
      <c r="H4773" s="55" t="n"/>
      <c r="I4773" s="62" t="n"/>
      <c r="J4773" s="58" t="n"/>
      <c r="K4773" s="63">
        <f>IF(tblMovement[[#This Row],[Source]]="","",IFERROR(INDEX(tblSources[Type],MATCH(tblMovement[[#This Row],[Source]],tblSources[Source],0)),"?"))</f>
        <v/>
      </c>
      <c r="L4773" s="63">
        <f>IF(tblMovement[[#This Row],[Destination]]="","",IFERROR(INDEX(tblDestinations[Type],MATCH(tblMovement[[#This Row],[Destination]],tblDestinations[Destination],0)),"?"))</f>
        <v/>
      </c>
      <c r="M4773" s="64">
        <f>IF(tblMovement[[#This Row],[Material]]="","",IF(LEFT(tblMovement[[#This Row],[Material]],3)="Ore",1,0))</f>
        <v/>
      </c>
      <c r="N4773" s="59">
        <f>IF(OR(tblMovement[[#This Row],[Tonnes_t]]="",tblMovement[[#This Row],[Grade_gpt]]=""),0,tblMovement[[#This Row],[Tonnes_t]]*tblMovement[[#This Row],[Grade_gpt]]/cfg_TroyOz)</f>
        <v/>
      </c>
      <c r="O4773" s="59">
        <f>IF(tblMovement[[#This Row],[Is_Ore]]=1,tblMovement[[#This Row],[Contained_oz]],0)</f>
        <v/>
      </c>
    </row>
    <row r="4774">
      <c r="A4774" s="54" t="n"/>
      <c r="B4774" s="61" t="n"/>
      <c r="C4774" s="61" t="n"/>
      <c r="D4774" s="61" t="n"/>
      <c r="E4774" s="61" t="n"/>
      <c r="F4774" s="55" t="n"/>
      <c r="G4774" s="56" t="n"/>
      <c r="H4774" s="55" t="n"/>
      <c r="I4774" s="62" t="n"/>
      <c r="J4774" s="58" t="n"/>
      <c r="K4774" s="63">
        <f>IF(tblMovement[[#This Row],[Source]]="","",IFERROR(INDEX(tblSources[Type],MATCH(tblMovement[[#This Row],[Source]],tblSources[Source],0)),"?"))</f>
        <v/>
      </c>
      <c r="L4774" s="63">
        <f>IF(tblMovement[[#This Row],[Destination]]="","",IFERROR(INDEX(tblDestinations[Type],MATCH(tblMovement[[#This Row],[Destination]],tblDestinations[Destination],0)),"?"))</f>
        <v/>
      </c>
      <c r="M4774" s="64">
        <f>IF(tblMovement[[#This Row],[Material]]="","",IF(LEFT(tblMovement[[#This Row],[Material]],3)="Ore",1,0))</f>
        <v/>
      </c>
      <c r="N4774" s="59">
        <f>IF(OR(tblMovement[[#This Row],[Tonnes_t]]="",tblMovement[[#This Row],[Grade_gpt]]=""),0,tblMovement[[#This Row],[Tonnes_t]]*tblMovement[[#This Row],[Grade_gpt]]/cfg_TroyOz)</f>
        <v/>
      </c>
      <c r="O4774" s="59">
        <f>IF(tblMovement[[#This Row],[Is_Ore]]=1,tblMovement[[#This Row],[Contained_oz]],0)</f>
        <v/>
      </c>
    </row>
    <row r="4775">
      <c r="A4775" s="54" t="n"/>
      <c r="B4775" s="61" t="n"/>
      <c r="C4775" s="61" t="n"/>
      <c r="D4775" s="61" t="n"/>
      <c r="E4775" s="61" t="n"/>
      <c r="F4775" s="55" t="n"/>
      <c r="G4775" s="56" t="n"/>
      <c r="H4775" s="55" t="n"/>
      <c r="I4775" s="62" t="n"/>
      <c r="J4775" s="58" t="n"/>
      <c r="K4775" s="63">
        <f>IF(tblMovement[[#This Row],[Source]]="","",IFERROR(INDEX(tblSources[Type],MATCH(tblMovement[[#This Row],[Source]],tblSources[Source],0)),"?"))</f>
        <v/>
      </c>
      <c r="L4775" s="63">
        <f>IF(tblMovement[[#This Row],[Destination]]="","",IFERROR(INDEX(tblDestinations[Type],MATCH(tblMovement[[#This Row],[Destination]],tblDestinations[Destination],0)),"?"))</f>
        <v/>
      </c>
      <c r="M4775" s="64">
        <f>IF(tblMovement[[#This Row],[Material]]="","",IF(LEFT(tblMovement[[#This Row],[Material]],3)="Ore",1,0))</f>
        <v/>
      </c>
      <c r="N4775" s="59">
        <f>IF(OR(tblMovement[[#This Row],[Tonnes_t]]="",tblMovement[[#This Row],[Grade_gpt]]=""),0,tblMovement[[#This Row],[Tonnes_t]]*tblMovement[[#This Row],[Grade_gpt]]/cfg_TroyOz)</f>
        <v/>
      </c>
      <c r="O4775" s="59">
        <f>IF(tblMovement[[#This Row],[Is_Ore]]=1,tblMovement[[#This Row],[Contained_oz]],0)</f>
        <v/>
      </c>
    </row>
    <row r="4776">
      <c r="A4776" s="54" t="n"/>
      <c r="B4776" s="61" t="n"/>
      <c r="C4776" s="61" t="n"/>
      <c r="D4776" s="61" t="n"/>
      <c r="E4776" s="61" t="n"/>
      <c r="F4776" s="55" t="n"/>
      <c r="G4776" s="56" t="n"/>
      <c r="H4776" s="55" t="n"/>
      <c r="I4776" s="62" t="n"/>
      <c r="J4776" s="58" t="n"/>
      <c r="K4776" s="63">
        <f>IF(tblMovement[[#This Row],[Source]]="","",IFERROR(INDEX(tblSources[Type],MATCH(tblMovement[[#This Row],[Source]],tblSources[Source],0)),"?"))</f>
        <v/>
      </c>
      <c r="L4776" s="63">
        <f>IF(tblMovement[[#This Row],[Destination]]="","",IFERROR(INDEX(tblDestinations[Type],MATCH(tblMovement[[#This Row],[Destination]],tblDestinations[Destination],0)),"?"))</f>
        <v/>
      </c>
      <c r="M4776" s="64">
        <f>IF(tblMovement[[#This Row],[Material]]="","",IF(LEFT(tblMovement[[#This Row],[Material]],3)="Ore",1,0))</f>
        <v/>
      </c>
      <c r="N4776" s="59">
        <f>IF(OR(tblMovement[[#This Row],[Tonnes_t]]="",tblMovement[[#This Row],[Grade_gpt]]=""),0,tblMovement[[#This Row],[Tonnes_t]]*tblMovement[[#This Row],[Grade_gpt]]/cfg_TroyOz)</f>
        <v/>
      </c>
      <c r="O4776" s="59">
        <f>IF(tblMovement[[#This Row],[Is_Ore]]=1,tblMovement[[#This Row],[Contained_oz]],0)</f>
        <v/>
      </c>
    </row>
    <row r="4777">
      <c r="A4777" s="54" t="n"/>
      <c r="B4777" s="61" t="n"/>
      <c r="C4777" s="61" t="n"/>
      <c r="D4777" s="61" t="n"/>
      <c r="E4777" s="61" t="n"/>
      <c r="F4777" s="55" t="n"/>
      <c r="G4777" s="56" t="n"/>
      <c r="H4777" s="55" t="n"/>
      <c r="I4777" s="62" t="n"/>
      <c r="J4777" s="58" t="n"/>
      <c r="K4777" s="63">
        <f>IF(tblMovement[[#This Row],[Source]]="","",IFERROR(INDEX(tblSources[Type],MATCH(tblMovement[[#This Row],[Source]],tblSources[Source],0)),"?"))</f>
        <v/>
      </c>
      <c r="L4777" s="63">
        <f>IF(tblMovement[[#This Row],[Destination]]="","",IFERROR(INDEX(tblDestinations[Type],MATCH(tblMovement[[#This Row],[Destination]],tblDestinations[Destination],0)),"?"))</f>
        <v/>
      </c>
      <c r="M4777" s="64">
        <f>IF(tblMovement[[#This Row],[Material]]="","",IF(LEFT(tblMovement[[#This Row],[Material]],3)="Ore",1,0))</f>
        <v/>
      </c>
      <c r="N4777" s="59">
        <f>IF(OR(tblMovement[[#This Row],[Tonnes_t]]="",tblMovement[[#This Row],[Grade_gpt]]=""),0,tblMovement[[#This Row],[Tonnes_t]]*tblMovement[[#This Row],[Grade_gpt]]/cfg_TroyOz)</f>
        <v/>
      </c>
      <c r="O4777" s="59">
        <f>IF(tblMovement[[#This Row],[Is_Ore]]=1,tblMovement[[#This Row],[Contained_oz]],0)</f>
        <v/>
      </c>
    </row>
    <row r="4778">
      <c r="A4778" s="54" t="n"/>
      <c r="B4778" s="61" t="n"/>
      <c r="C4778" s="61" t="n"/>
      <c r="D4778" s="61" t="n"/>
      <c r="E4778" s="61" t="n"/>
      <c r="F4778" s="55" t="n"/>
      <c r="G4778" s="56" t="n"/>
      <c r="H4778" s="55" t="n"/>
      <c r="I4778" s="62" t="n"/>
      <c r="J4778" s="58" t="n"/>
      <c r="K4778" s="63">
        <f>IF(tblMovement[[#This Row],[Source]]="","",IFERROR(INDEX(tblSources[Type],MATCH(tblMovement[[#This Row],[Source]],tblSources[Source],0)),"?"))</f>
        <v/>
      </c>
      <c r="L4778" s="63">
        <f>IF(tblMovement[[#This Row],[Destination]]="","",IFERROR(INDEX(tblDestinations[Type],MATCH(tblMovement[[#This Row],[Destination]],tblDestinations[Destination],0)),"?"))</f>
        <v/>
      </c>
      <c r="M4778" s="64">
        <f>IF(tblMovement[[#This Row],[Material]]="","",IF(LEFT(tblMovement[[#This Row],[Material]],3)="Ore",1,0))</f>
        <v/>
      </c>
      <c r="N4778" s="59">
        <f>IF(OR(tblMovement[[#This Row],[Tonnes_t]]="",tblMovement[[#This Row],[Grade_gpt]]=""),0,tblMovement[[#This Row],[Tonnes_t]]*tblMovement[[#This Row],[Grade_gpt]]/cfg_TroyOz)</f>
        <v/>
      </c>
      <c r="O4778" s="59">
        <f>IF(tblMovement[[#This Row],[Is_Ore]]=1,tblMovement[[#This Row],[Contained_oz]],0)</f>
        <v/>
      </c>
    </row>
    <row r="4779">
      <c r="A4779" s="54" t="n"/>
      <c r="B4779" s="61" t="n"/>
      <c r="C4779" s="61" t="n"/>
      <c r="D4779" s="61" t="n"/>
      <c r="E4779" s="61" t="n"/>
      <c r="F4779" s="55" t="n"/>
      <c r="G4779" s="56" t="n"/>
      <c r="H4779" s="55" t="n"/>
      <c r="I4779" s="62" t="n"/>
      <c r="J4779" s="58" t="n"/>
      <c r="K4779" s="63">
        <f>IF(tblMovement[[#This Row],[Source]]="","",IFERROR(INDEX(tblSources[Type],MATCH(tblMovement[[#This Row],[Source]],tblSources[Source],0)),"?"))</f>
        <v/>
      </c>
      <c r="L4779" s="63">
        <f>IF(tblMovement[[#This Row],[Destination]]="","",IFERROR(INDEX(tblDestinations[Type],MATCH(tblMovement[[#This Row],[Destination]],tblDestinations[Destination],0)),"?"))</f>
        <v/>
      </c>
      <c r="M4779" s="64">
        <f>IF(tblMovement[[#This Row],[Material]]="","",IF(LEFT(tblMovement[[#This Row],[Material]],3)="Ore",1,0))</f>
        <v/>
      </c>
      <c r="N4779" s="59">
        <f>IF(OR(tblMovement[[#This Row],[Tonnes_t]]="",tblMovement[[#This Row],[Grade_gpt]]=""),0,tblMovement[[#This Row],[Tonnes_t]]*tblMovement[[#This Row],[Grade_gpt]]/cfg_TroyOz)</f>
        <v/>
      </c>
      <c r="O4779" s="59">
        <f>IF(tblMovement[[#This Row],[Is_Ore]]=1,tblMovement[[#This Row],[Contained_oz]],0)</f>
        <v/>
      </c>
    </row>
    <row r="4780">
      <c r="A4780" s="54" t="n"/>
      <c r="B4780" s="61" t="n"/>
      <c r="C4780" s="61" t="n"/>
      <c r="D4780" s="61" t="n"/>
      <c r="E4780" s="61" t="n"/>
      <c r="F4780" s="55" t="n"/>
      <c r="G4780" s="56" t="n"/>
      <c r="H4780" s="55" t="n"/>
      <c r="I4780" s="62" t="n"/>
      <c r="J4780" s="58" t="n"/>
      <c r="K4780" s="63">
        <f>IF(tblMovement[[#This Row],[Source]]="","",IFERROR(INDEX(tblSources[Type],MATCH(tblMovement[[#This Row],[Source]],tblSources[Source],0)),"?"))</f>
        <v/>
      </c>
      <c r="L4780" s="63">
        <f>IF(tblMovement[[#This Row],[Destination]]="","",IFERROR(INDEX(tblDestinations[Type],MATCH(tblMovement[[#This Row],[Destination]],tblDestinations[Destination],0)),"?"))</f>
        <v/>
      </c>
      <c r="M4780" s="64">
        <f>IF(tblMovement[[#This Row],[Material]]="","",IF(LEFT(tblMovement[[#This Row],[Material]],3)="Ore",1,0))</f>
        <v/>
      </c>
      <c r="N4780" s="59">
        <f>IF(OR(tblMovement[[#This Row],[Tonnes_t]]="",tblMovement[[#This Row],[Grade_gpt]]=""),0,tblMovement[[#This Row],[Tonnes_t]]*tblMovement[[#This Row],[Grade_gpt]]/cfg_TroyOz)</f>
        <v/>
      </c>
      <c r="O4780" s="59">
        <f>IF(tblMovement[[#This Row],[Is_Ore]]=1,tblMovement[[#This Row],[Contained_oz]],0)</f>
        <v/>
      </c>
    </row>
    <row r="4781">
      <c r="A4781" s="54" t="n"/>
      <c r="B4781" s="61" t="n"/>
      <c r="C4781" s="61" t="n"/>
      <c r="D4781" s="61" t="n"/>
      <c r="E4781" s="61" t="n"/>
      <c r="F4781" s="55" t="n"/>
      <c r="G4781" s="56" t="n"/>
      <c r="H4781" s="55" t="n"/>
      <c r="I4781" s="62" t="n"/>
      <c r="J4781" s="58" t="n"/>
      <c r="K4781" s="63">
        <f>IF(tblMovement[[#This Row],[Source]]="","",IFERROR(INDEX(tblSources[Type],MATCH(tblMovement[[#This Row],[Source]],tblSources[Source],0)),"?"))</f>
        <v/>
      </c>
      <c r="L4781" s="63">
        <f>IF(tblMovement[[#This Row],[Destination]]="","",IFERROR(INDEX(tblDestinations[Type],MATCH(tblMovement[[#This Row],[Destination]],tblDestinations[Destination],0)),"?"))</f>
        <v/>
      </c>
      <c r="M4781" s="64">
        <f>IF(tblMovement[[#This Row],[Material]]="","",IF(LEFT(tblMovement[[#This Row],[Material]],3)="Ore",1,0))</f>
        <v/>
      </c>
      <c r="N4781" s="59">
        <f>IF(OR(tblMovement[[#This Row],[Tonnes_t]]="",tblMovement[[#This Row],[Grade_gpt]]=""),0,tblMovement[[#This Row],[Tonnes_t]]*tblMovement[[#This Row],[Grade_gpt]]/cfg_TroyOz)</f>
        <v/>
      </c>
      <c r="O4781" s="59">
        <f>IF(tblMovement[[#This Row],[Is_Ore]]=1,tblMovement[[#This Row],[Contained_oz]],0)</f>
        <v/>
      </c>
    </row>
    <row r="4782">
      <c r="A4782" s="54" t="n"/>
      <c r="B4782" s="61" t="n"/>
      <c r="C4782" s="61" t="n"/>
      <c r="D4782" s="61" t="n"/>
      <c r="E4782" s="61" t="n"/>
      <c r="F4782" s="55" t="n"/>
      <c r="G4782" s="56" t="n"/>
      <c r="H4782" s="55" t="n"/>
      <c r="I4782" s="62" t="n"/>
      <c r="J4782" s="58" t="n"/>
      <c r="K4782" s="63">
        <f>IF(tblMovement[[#This Row],[Source]]="","",IFERROR(INDEX(tblSources[Type],MATCH(tblMovement[[#This Row],[Source]],tblSources[Source],0)),"?"))</f>
        <v/>
      </c>
      <c r="L4782" s="63">
        <f>IF(tblMovement[[#This Row],[Destination]]="","",IFERROR(INDEX(tblDestinations[Type],MATCH(tblMovement[[#This Row],[Destination]],tblDestinations[Destination],0)),"?"))</f>
        <v/>
      </c>
      <c r="M4782" s="64">
        <f>IF(tblMovement[[#This Row],[Material]]="","",IF(LEFT(tblMovement[[#This Row],[Material]],3)="Ore",1,0))</f>
        <v/>
      </c>
      <c r="N4782" s="59">
        <f>IF(OR(tblMovement[[#This Row],[Tonnes_t]]="",tblMovement[[#This Row],[Grade_gpt]]=""),0,tblMovement[[#This Row],[Tonnes_t]]*tblMovement[[#This Row],[Grade_gpt]]/cfg_TroyOz)</f>
        <v/>
      </c>
      <c r="O4782" s="59">
        <f>IF(tblMovement[[#This Row],[Is_Ore]]=1,tblMovement[[#This Row],[Contained_oz]],0)</f>
        <v/>
      </c>
    </row>
    <row r="4783">
      <c r="A4783" s="54" t="n"/>
      <c r="B4783" s="61" t="n"/>
      <c r="C4783" s="61" t="n"/>
      <c r="D4783" s="61" t="n"/>
      <c r="E4783" s="61" t="n"/>
      <c r="F4783" s="55" t="n"/>
      <c r="G4783" s="56" t="n"/>
      <c r="H4783" s="55" t="n"/>
      <c r="I4783" s="62" t="n"/>
      <c r="J4783" s="58" t="n"/>
      <c r="K4783" s="63">
        <f>IF(tblMovement[[#This Row],[Source]]="","",IFERROR(INDEX(tblSources[Type],MATCH(tblMovement[[#This Row],[Source]],tblSources[Source],0)),"?"))</f>
        <v/>
      </c>
      <c r="L4783" s="63">
        <f>IF(tblMovement[[#This Row],[Destination]]="","",IFERROR(INDEX(tblDestinations[Type],MATCH(tblMovement[[#This Row],[Destination]],tblDestinations[Destination],0)),"?"))</f>
        <v/>
      </c>
      <c r="M4783" s="64">
        <f>IF(tblMovement[[#This Row],[Material]]="","",IF(LEFT(tblMovement[[#This Row],[Material]],3)="Ore",1,0))</f>
        <v/>
      </c>
      <c r="N4783" s="59">
        <f>IF(OR(tblMovement[[#This Row],[Tonnes_t]]="",tblMovement[[#This Row],[Grade_gpt]]=""),0,tblMovement[[#This Row],[Tonnes_t]]*tblMovement[[#This Row],[Grade_gpt]]/cfg_TroyOz)</f>
        <v/>
      </c>
      <c r="O4783" s="59">
        <f>IF(tblMovement[[#This Row],[Is_Ore]]=1,tblMovement[[#This Row],[Contained_oz]],0)</f>
        <v/>
      </c>
    </row>
    <row r="4784">
      <c r="A4784" s="54" t="n"/>
      <c r="B4784" s="61" t="n"/>
      <c r="C4784" s="61" t="n"/>
      <c r="D4784" s="61" t="n"/>
      <c r="E4784" s="61" t="n"/>
      <c r="F4784" s="55" t="n"/>
      <c r="G4784" s="56" t="n"/>
      <c r="H4784" s="55" t="n"/>
      <c r="I4784" s="62" t="n"/>
      <c r="J4784" s="58" t="n"/>
      <c r="K4784" s="63">
        <f>IF(tblMovement[[#This Row],[Source]]="","",IFERROR(INDEX(tblSources[Type],MATCH(tblMovement[[#This Row],[Source]],tblSources[Source],0)),"?"))</f>
        <v/>
      </c>
      <c r="L4784" s="63">
        <f>IF(tblMovement[[#This Row],[Destination]]="","",IFERROR(INDEX(tblDestinations[Type],MATCH(tblMovement[[#This Row],[Destination]],tblDestinations[Destination],0)),"?"))</f>
        <v/>
      </c>
      <c r="M4784" s="64">
        <f>IF(tblMovement[[#This Row],[Material]]="","",IF(LEFT(tblMovement[[#This Row],[Material]],3)="Ore",1,0))</f>
        <v/>
      </c>
      <c r="N4784" s="59">
        <f>IF(OR(tblMovement[[#This Row],[Tonnes_t]]="",tblMovement[[#This Row],[Grade_gpt]]=""),0,tblMovement[[#This Row],[Tonnes_t]]*tblMovement[[#This Row],[Grade_gpt]]/cfg_TroyOz)</f>
        <v/>
      </c>
      <c r="O4784" s="59">
        <f>IF(tblMovement[[#This Row],[Is_Ore]]=1,tblMovement[[#This Row],[Contained_oz]],0)</f>
        <v/>
      </c>
    </row>
    <row r="4785">
      <c r="A4785" s="54" t="n"/>
      <c r="B4785" s="61" t="n"/>
      <c r="C4785" s="61" t="n"/>
      <c r="D4785" s="61" t="n"/>
      <c r="E4785" s="61" t="n"/>
      <c r="F4785" s="55" t="n"/>
      <c r="G4785" s="56" t="n"/>
      <c r="H4785" s="55" t="n"/>
      <c r="I4785" s="62" t="n"/>
      <c r="J4785" s="58" t="n"/>
      <c r="K4785" s="63">
        <f>IF(tblMovement[[#This Row],[Source]]="","",IFERROR(INDEX(tblSources[Type],MATCH(tblMovement[[#This Row],[Source]],tblSources[Source],0)),"?"))</f>
        <v/>
      </c>
      <c r="L4785" s="63">
        <f>IF(tblMovement[[#This Row],[Destination]]="","",IFERROR(INDEX(tblDestinations[Type],MATCH(tblMovement[[#This Row],[Destination]],tblDestinations[Destination],0)),"?"))</f>
        <v/>
      </c>
      <c r="M4785" s="64">
        <f>IF(tblMovement[[#This Row],[Material]]="","",IF(LEFT(tblMovement[[#This Row],[Material]],3)="Ore",1,0))</f>
        <v/>
      </c>
      <c r="N4785" s="59">
        <f>IF(OR(tblMovement[[#This Row],[Tonnes_t]]="",tblMovement[[#This Row],[Grade_gpt]]=""),0,tblMovement[[#This Row],[Tonnes_t]]*tblMovement[[#This Row],[Grade_gpt]]/cfg_TroyOz)</f>
        <v/>
      </c>
      <c r="O4785" s="59">
        <f>IF(tblMovement[[#This Row],[Is_Ore]]=1,tblMovement[[#This Row],[Contained_oz]],0)</f>
        <v/>
      </c>
    </row>
    <row r="4786">
      <c r="A4786" s="54" t="n"/>
      <c r="B4786" s="61" t="n"/>
      <c r="C4786" s="61" t="n"/>
      <c r="D4786" s="61" t="n"/>
      <c r="E4786" s="61" t="n"/>
      <c r="F4786" s="55" t="n"/>
      <c r="G4786" s="56" t="n"/>
      <c r="H4786" s="55" t="n"/>
      <c r="I4786" s="62" t="n"/>
      <c r="J4786" s="58" t="n"/>
      <c r="K4786" s="63">
        <f>IF(tblMovement[[#This Row],[Source]]="","",IFERROR(INDEX(tblSources[Type],MATCH(tblMovement[[#This Row],[Source]],tblSources[Source],0)),"?"))</f>
        <v/>
      </c>
      <c r="L4786" s="63">
        <f>IF(tblMovement[[#This Row],[Destination]]="","",IFERROR(INDEX(tblDestinations[Type],MATCH(tblMovement[[#This Row],[Destination]],tblDestinations[Destination],0)),"?"))</f>
        <v/>
      </c>
      <c r="M4786" s="64">
        <f>IF(tblMovement[[#This Row],[Material]]="","",IF(LEFT(tblMovement[[#This Row],[Material]],3)="Ore",1,0))</f>
        <v/>
      </c>
      <c r="N4786" s="59">
        <f>IF(OR(tblMovement[[#This Row],[Tonnes_t]]="",tblMovement[[#This Row],[Grade_gpt]]=""),0,tblMovement[[#This Row],[Tonnes_t]]*tblMovement[[#This Row],[Grade_gpt]]/cfg_TroyOz)</f>
        <v/>
      </c>
      <c r="O4786" s="59">
        <f>IF(tblMovement[[#This Row],[Is_Ore]]=1,tblMovement[[#This Row],[Contained_oz]],0)</f>
        <v/>
      </c>
    </row>
    <row r="4787">
      <c r="A4787" s="54" t="n"/>
      <c r="B4787" s="61" t="n"/>
      <c r="C4787" s="61" t="n"/>
      <c r="D4787" s="61" t="n"/>
      <c r="E4787" s="61" t="n"/>
      <c r="F4787" s="55" t="n"/>
      <c r="G4787" s="56" t="n"/>
      <c r="H4787" s="55" t="n"/>
      <c r="I4787" s="62" t="n"/>
      <c r="J4787" s="58" t="n"/>
      <c r="K4787" s="63">
        <f>IF(tblMovement[[#This Row],[Source]]="","",IFERROR(INDEX(tblSources[Type],MATCH(tblMovement[[#This Row],[Source]],tblSources[Source],0)),"?"))</f>
        <v/>
      </c>
      <c r="L4787" s="63">
        <f>IF(tblMovement[[#This Row],[Destination]]="","",IFERROR(INDEX(tblDestinations[Type],MATCH(tblMovement[[#This Row],[Destination]],tblDestinations[Destination],0)),"?"))</f>
        <v/>
      </c>
      <c r="M4787" s="64">
        <f>IF(tblMovement[[#This Row],[Material]]="","",IF(LEFT(tblMovement[[#This Row],[Material]],3)="Ore",1,0))</f>
        <v/>
      </c>
      <c r="N4787" s="59">
        <f>IF(OR(tblMovement[[#This Row],[Tonnes_t]]="",tblMovement[[#This Row],[Grade_gpt]]=""),0,tblMovement[[#This Row],[Tonnes_t]]*tblMovement[[#This Row],[Grade_gpt]]/cfg_TroyOz)</f>
        <v/>
      </c>
      <c r="O4787" s="59">
        <f>IF(tblMovement[[#This Row],[Is_Ore]]=1,tblMovement[[#This Row],[Contained_oz]],0)</f>
        <v/>
      </c>
    </row>
    <row r="4788">
      <c r="A4788" s="54" t="n"/>
      <c r="B4788" s="61" t="n"/>
      <c r="C4788" s="61" t="n"/>
      <c r="D4788" s="61" t="n"/>
      <c r="E4788" s="61" t="n"/>
      <c r="F4788" s="55" t="n"/>
      <c r="G4788" s="56" t="n"/>
      <c r="H4788" s="55" t="n"/>
      <c r="I4788" s="62" t="n"/>
      <c r="J4788" s="58" t="n"/>
      <c r="K4788" s="63">
        <f>IF(tblMovement[[#This Row],[Source]]="","",IFERROR(INDEX(tblSources[Type],MATCH(tblMovement[[#This Row],[Source]],tblSources[Source],0)),"?"))</f>
        <v/>
      </c>
      <c r="L4788" s="63">
        <f>IF(tblMovement[[#This Row],[Destination]]="","",IFERROR(INDEX(tblDestinations[Type],MATCH(tblMovement[[#This Row],[Destination]],tblDestinations[Destination],0)),"?"))</f>
        <v/>
      </c>
      <c r="M4788" s="64">
        <f>IF(tblMovement[[#This Row],[Material]]="","",IF(LEFT(tblMovement[[#This Row],[Material]],3)="Ore",1,0))</f>
        <v/>
      </c>
      <c r="N4788" s="59">
        <f>IF(OR(tblMovement[[#This Row],[Tonnes_t]]="",tblMovement[[#This Row],[Grade_gpt]]=""),0,tblMovement[[#This Row],[Tonnes_t]]*tblMovement[[#This Row],[Grade_gpt]]/cfg_TroyOz)</f>
        <v/>
      </c>
      <c r="O4788" s="59">
        <f>IF(tblMovement[[#This Row],[Is_Ore]]=1,tblMovement[[#This Row],[Contained_oz]],0)</f>
        <v/>
      </c>
    </row>
    <row r="4789">
      <c r="A4789" s="54" t="n"/>
      <c r="B4789" s="61" t="n"/>
      <c r="C4789" s="61" t="n"/>
      <c r="D4789" s="61" t="n"/>
      <c r="E4789" s="61" t="n"/>
      <c r="F4789" s="55" t="n"/>
      <c r="G4789" s="56" t="n"/>
      <c r="H4789" s="55" t="n"/>
      <c r="I4789" s="62" t="n"/>
      <c r="J4789" s="58" t="n"/>
      <c r="K4789" s="63">
        <f>IF(tblMovement[[#This Row],[Source]]="","",IFERROR(INDEX(tblSources[Type],MATCH(tblMovement[[#This Row],[Source]],tblSources[Source],0)),"?"))</f>
        <v/>
      </c>
      <c r="L4789" s="63">
        <f>IF(tblMovement[[#This Row],[Destination]]="","",IFERROR(INDEX(tblDestinations[Type],MATCH(tblMovement[[#This Row],[Destination]],tblDestinations[Destination],0)),"?"))</f>
        <v/>
      </c>
      <c r="M4789" s="64">
        <f>IF(tblMovement[[#This Row],[Material]]="","",IF(LEFT(tblMovement[[#This Row],[Material]],3)="Ore",1,0))</f>
        <v/>
      </c>
      <c r="N4789" s="59">
        <f>IF(OR(tblMovement[[#This Row],[Tonnes_t]]="",tblMovement[[#This Row],[Grade_gpt]]=""),0,tblMovement[[#This Row],[Tonnes_t]]*tblMovement[[#This Row],[Grade_gpt]]/cfg_TroyOz)</f>
        <v/>
      </c>
      <c r="O4789" s="59">
        <f>IF(tblMovement[[#This Row],[Is_Ore]]=1,tblMovement[[#This Row],[Contained_oz]],0)</f>
        <v/>
      </c>
    </row>
    <row r="4790">
      <c r="A4790" s="54" t="n"/>
      <c r="B4790" s="61" t="n"/>
      <c r="C4790" s="61" t="n"/>
      <c r="D4790" s="61" t="n"/>
      <c r="E4790" s="61" t="n"/>
      <c r="F4790" s="55" t="n"/>
      <c r="G4790" s="56" t="n"/>
      <c r="H4790" s="55" t="n"/>
      <c r="I4790" s="62" t="n"/>
      <c r="J4790" s="58" t="n"/>
      <c r="K4790" s="63">
        <f>IF(tblMovement[[#This Row],[Source]]="","",IFERROR(INDEX(tblSources[Type],MATCH(tblMovement[[#This Row],[Source]],tblSources[Source],0)),"?"))</f>
        <v/>
      </c>
      <c r="L4790" s="63">
        <f>IF(tblMovement[[#This Row],[Destination]]="","",IFERROR(INDEX(tblDestinations[Type],MATCH(tblMovement[[#This Row],[Destination]],tblDestinations[Destination],0)),"?"))</f>
        <v/>
      </c>
      <c r="M4790" s="64">
        <f>IF(tblMovement[[#This Row],[Material]]="","",IF(LEFT(tblMovement[[#This Row],[Material]],3)="Ore",1,0))</f>
        <v/>
      </c>
      <c r="N4790" s="59">
        <f>IF(OR(tblMovement[[#This Row],[Tonnes_t]]="",tblMovement[[#This Row],[Grade_gpt]]=""),0,tblMovement[[#This Row],[Tonnes_t]]*tblMovement[[#This Row],[Grade_gpt]]/cfg_TroyOz)</f>
        <v/>
      </c>
      <c r="O4790" s="59">
        <f>IF(tblMovement[[#This Row],[Is_Ore]]=1,tblMovement[[#This Row],[Contained_oz]],0)</f>
        <v/>
      </c>
    </row>
    <row r="4791">
      <c r="A4791" s="54" t="n"/>
      <c r="B4791" s="61" t="n"/>
      <c r="C4791" s="61" t="n"/>
      <c r="D4791" s="61" t="n"/>
      <c r="E4791" s="61" t="n"/>
      <c r="F4791" s="55" t="n"/>
      <c r="G4791" s="56" t="n"/>
      <c r="H4791" s="55" t="n"/>
      <c r="I4791" s="62" t="n"/>
      <c r="J4791" s="58" t="n"/>
      <c r="K4791" s="63">
        <f>IF(tblMovement[[#This Row],[Source]]="","",IFERROR(INDEX(tblSources[Type],MATCH(tblMovement[[#This Row],[Source]],tblSources[Source],0)),"?"))</f>
        <v/>
      </c>
      <c r="L4791" s="63">
        <f>IF(tblMovement[[#This Row],[Destination]]="","",IFERROR(INDEX(tblDestinations[Type],MATCH(tblMovement[[#This Row],[Destination]],tblDestinations[Destination],0)),"?"))</f>
        <v/>
      </c>
      <c r="M4791" s="64">
        <f>IF(tblMovement[[#This Row],[Material]]="","",IF(LEFT(tblMovement[[#This Row],[Material]],3)="Ore",1,0))</f>
        <v/>
      </c>
      <c r="N4791" s="59">
        <f>IF(OR(tblMovement[[#This Row],[Tonnes_t]]="",tblMovement[[#This Row],[Grade_gpt]]=""),0,tblMovement[[#This Row],[Tonnes_t]]*tblMovement[[#This Row],[Grade_gpt]]/cfg_TroyOz)</f>
        <v/>
      </c>
      <c r="O4791" s="59">
        <f>IF(tblMovement[[#This Row],[Is_Ore]]=1,tblMovement[[#This Row],[Contained_oz]],0)</f>
        <v/>
      </c>
    </row>
    <row r="4792">
      <c r="A4792" s="54" t="n"/>
      <c r="B4792" s="61" t="n"/>
      <c r="C4792" s="61" t="n"/>
      <c r="D4792" s="61" t="n"/>
      <c r="E4792" s="61" t="n"/>
      <c r="F4792" s="55" t="n"/>
      <c r="G4792" s="56" t="n"/>
      <c r="H4792" s="55" t="n"/>
      <c r="I4792" s="62" t="n"/>
      <c r="J4792" s="58" t="n"/>
      <c r="K4792" s="63">
        <f>IF(tblMovement[[#This Row],[Source]]="","",IFERROR(INDEX(tblSources[Type],MATCH(tblMovement[[#This Row],[Source]],tblSources[Source],0)),"?"))</f>
        <v/>
      </c>
      <c r="L4792" s="63">
        <f>IF(tblMovement[[#This Row],[Destination]]="","",IFERROR(INDEX(tblDestinations[Type],MATCH(tblMovement[[#This Row],[Destination]],tblDestinations[Destination],0)),"?"))</f>
        <v/>
      </c>
      <c r="M4792" s="64">
        <f>IF(tblMovement[[#This Row],[Material]]="","",IF(LEFT(tblMovement[[#This Row],[Material]],3)="Ore",1,0))</f>
        <v/>
      </c>
      <c r="N4792" s="59">
        <f>IF(OR(tblMovement[[#This Row],[Tonnes_t]]="",tblMovement[[#This Row],[Grade_gpt]]=""),0,tblMovement[[#This Row],[Tonnes_t]]*tblMovement[[#This Row],[Grade_gpt]]/cfg_TroyOz)</f>
        <v/>
      </c>
      <c r="O4792" s="59">
        <f>IF(tblMovement[[#This Row],[Is_Ore]]=1,tblMovement[[#This Row],[Contained_oz]],0)</f>
        <v/>
      </c>
    </row>
    <row r="4793">
      <c r="A4793" s="54" t="n"/>
      <c r="B4793" s="61" t="n"/>
      <c r="C4793" s="61" t="n"/>
      <c r="D4793" s="61" t="n"/>
      <c r="E4793" s="61" t="n"/>
      <c r="F4793" s="55" t="n"/>
      <c r="G4793" s="56" t="n"/>
      <c r="H4793" s="55" t="n"/>
      <c r="I4793" s="62" t="n"/>
      <c r="J4793" s="58" t="n"/>
      <c r="K4793" s="63">
        <f>IF(tblMovement[[#This Row],[Source]]="","",IFERROR(INDEX(tblSources[Type],MATCH(tblMovement[[#This Row],[Source]],tblSources[Source],0)),"?"))</f>
        <v/>
      </c>
      <c r="L4793" s="63">
        <f>IF(tblMovement[[#This Row],[Destination]]="","",IFERROR(INDEX(tblDestinations[Type],MATCH(tblMovement[[#This Row],[Destination]],tblDestinations[Destination],0)),"?"))</f>
        <v/>
      </c>
      <c r="M4793" s="64">
        <f>IF(tblMovement[[#This Row],[Material]]="","",IF(LEFT(tblMovement[[#This Row],[Material]],3)="Ore",1,0))</f>
        <v/>
      </c>
      <c r="N4793" s="59">
        <f>IF(OR(tblMovement[[#This Row],[Tonnes_t]]="",tblMovement[[#This Row],[Grade_gpt]]=""),0,tblMovement[[#This Row],[Tonnes_t]]*tblMovement[[#This Row],[Grade_gpt]]/cfg_TroyOz)</f>
        <v/>
      </c>
      <c r="O4793" s="59">
        <f>IF(tblMovement[[#This Row],[Is_Ore]]=1,tblMovement[[#This Row],[Contained_oz]],0)</f>
        <v/>
      </c>
    </row>
    <row r="4794">
      <c r="A4794" s="54" t="n"/>
      <c r="B4794" s="61" t="n"/>
      <c r="C4794" s="61" t="n"/>
      <c r="D4794" s="61" t="n"/>
      <c r="E4794" s="61" t="n"/>
      <c r="F4794" s="55" t="n"/>
      <c r="G4794" s="56" t="n"/>
      <c r="H4794" s="55" t="n"/>
      <c r="I4794" s="62" t="n"/>
      <c r="J4794" s="58" t="n"/>
      <c r="K4794" s="63">
        <f>IF(tblMovement[[#This Row],[Source]]="","",IFERROR(INDEX(tblSources[Type],MATCH(tblMovement[[#This Row],[Source]],tblSources[Source],0)),"?"))</f>
        <v/>
      </c>
      <c r="L4794" s="63">
        <f>IF(tblMovement[[#This Row],[Destination]]="","",IFERROR(INDEX(tblDestinations[Type],MATCH(tblMovement[[#This Row],[Destination]],tblDestinations[Destination],0)),"?"))</f>
        <v/>
      </c>
      <c r="M4794" s="64">
        <f>IF(tblMovement[[#This Row],[Material]]="","",IF(LEFT(tblMovement[[#This Row],[Material]],3)="Ore",1,0))</f>
        <v/>
      </c>
      <c r="N4794" s="59">
        <f>IF(OR(tblMovement[[#This Row],[Tonnes_t]]="",tblMovement[[#This Row],[Grade_gpt]]=""),0,tblMovement[[#This Row],[Tonnes_t]]*tblMovement[[#This Row],[Grade_gpt]]/cfg_TroyOz)</f>
        <v/>
      </c>
      <c r="O4794" s="59">
        <f>IF(tblMovement[[#This Row],[Is_Ore]]=1,tblMovement[[#This Row],[Contained_oz]],0)</f>
        <v/>
      </c>
    </row>
    <row r="4795">
      <c r="A4795" s="54" t="n"/>
      <c r="B4795" s="61" t="n"/>
      <c r="C4795" s="61" t="n"/>
      <c r="D4795" s="61" t="n"/>
      <c r="E4795" s="61" t="n"/>
      <c r="F4795" s="55" t="n"/>
      <c r="G4795" s="56" t="n"/>
      <c r="H4795" s="55" t="n"/>
      <c r="I4795" s="62" t="n"/>
      <c r="J4795" s="58" t="n"/>
      <c r="K4795" s="63">
        <f>IF(tblMovement[[#This Row],[Source]]="","",IFERROR(INDEX(tblSources[Type],MATCH(tblMovement[[#This Row],[Source]],tblSources[Source],0)),"?"))</f>
        <v/>
      </c>
      <c r="L4795" s="63">
        <f>IF(tblMovement[[#This Row],[Destination]]="","",IFERROR(INDEX(tblDestinations[Type],MATCH(tblMovement[[#This Row],[Destination]],tblDestinations[Destination],0)),"?"))</f>
        <v/>
      </c>
      <c r="M4795" s="64">
        <f>IF(tblMovement[[#This Row],[Material]]="","",IF(LEFT(tblMovement[[#This Row],[Material]],3)="Ore",1,0))</f>
        <v/>
      </c>
      <c r="N4795" s="59">
        <f>IF(OR(tblMovement[[#This Row],[Tonnes_t]]="",tblMovement[[#This Row],[Grade_gpt]]=""),0,tblMovement[[#This Row],[Tonnes_t]]*tblMovement[[#This Row],[Grade_gpt]]/cfg_TroyOz)</f>
        <v/>
      </c>
      <c r="O4795" s="59">
        <f>IF(tblMovement[[#This Row],[Is_Ore]]=1,tblMovement[[#This Row],[Contained_oz]],0)</f>
        <v/>
      </c>
    </row>
    <row r="4796">
      <c r="A4796" s="54" t="n"/>
      <c r="B4796" s="61" t="n"/>
      <c r="C4796" s="61" t="n"/>
      <c r="D4796" s="61" t="n"/>
      <c r="E4796" s="61" t="n"/>
      <c r="F4796" s="55" t="n"/>
      <c r="G4796" s="56" t="n"/>
      <c r="H4796" s="55" t="n"/>
      <c r="I4796" s="62" t="n"/>
      <c r="J4796" s="58" t="n"/>
      <c r="K4796" s="63">
        <f>IF(tblMovement[[#This Row],[Source]]="","",IFERROR(INDEX(tblSources[Type],MATCH(tblMovement[[#This Row],[Source]],tblSources[Source],0)),"?"))</f>
        <v/>
      </c>
      <c r="L4796" s="63">
        <f>IF(tblMovement[[#This Row],[Destination]]="","",IFERROR(INDEX(tblDestinations[Type],MATCH(tblMovement[[#This Row],[Destination]],tblDestinations[Destination],0)),"?"))</f>
        <v/>
      </c>
      <c r="M4796" s="64">
        <f>IF(tblMovement[[#This Row],[Material]]="","",IF(LEFT(tblMovement[[#This Row],[Material]],3)="Ore",1,0))</f>
        <v/>
      </c>
      <c r="N4796" s="59">
        <f>IF(OR(tblMovement[[#This Row],[Tonnes_t]]="",tblMovement[[#This Row],[Grade_gpt]]=""),0,tblMovement[[#This Row],[Tonnes_t]]*tblMovement[[#This Row],[Grade_gpt]]/cfg_TroyOz)</f>
        <v/>
      </c>
      <c r="O4796" s="59">
        <f>IF(tblMovement[[#This Row],[Is_Ore]]=1,tblMovement[[#This Row],[Contained_oz]],0)</f>
        <v/>
      </c>
    </row>
    <row r="4797">
      <c r="A4797" s="54" t="n"/>
      <c r="B4797" s="61" t="n"/>
      <c r="C4797" s="61" t="n"/>
      <c r="D4797" s="61" t="n"/>
      <c r="E4797" s="61" t="n"/>
      <c r="F4797" s="55" t="n"/>
      <c r="G4797" s="56" t="n"/>
      <c r="H4797" s="55" t="n"/>
      <c r="I4797" s="62" t="n"/>
      <c r="J4797" s="58" t="n"/>
      <c r="K4797" s="63">
        <f>IF(tblMovement[[#This Row],[Source]]="","",IFERROR(INDEX(tblSources[Type],MATCH(tblMovement[[#This Row],[Source]],tblSources[Source],0)),"?"))</f>
        <v/>
      </c>
      <c r="L4797" s="63">
        <f>IF(tblMovement[[#This Row],[Destination]]="","",IFERROR(INDEX(tblDestinations[Type],MATCH(tblMovement[[#This Row],[Destination]],tblDestinations[Destination],0)),"?"))</f>
        <v/>
      </c>
      <c r="M4797" s="64">
        <f>IF(tblMovement[[#This Row],[Material]]="","",IF(LEFT(tblMovement[[#This Row],[Material]],3)="Ore",1,0))</f>
        <v/>
      </c>
      <c r="N4797" s="59">
        <f>IF(OR(tblMovement[[#This Row],[Tonnes_t]]="",tblMovement[[#This Row],[Grade_gpt]]=""),0,tblMovement[[#This Row],[Tonnes_t]]*tblMovement[[#This Row],[Grade_gpt]]/cfg_TroyOz)</f>
        <v/>
      </c>
      <c r="O4797" s="59">
        <f>IF(tblMovement[[#This Row],[Is_Ore]]=1,tblMovement[[#This Row],[Contained_oz]],0)</f>
        <v/>
      </c>
    </row>
    <row r="4798">
      <c r="A4798" s="54" t="n"/>
      <c r="B4798" s="61" t="n"/>
      <c r="C4798" s="61" t="n"/>
      <c r="D4798" s="61" t="n"/>
      <c r="E4798" s="61" t="n"/>
      <c r="F4798" s="55" t="n"/>
      <c r="G4798" s="56" t="n"/>
      <c r="H4798" s="55" t="n"/>
      <c r="I4798" s="62" t="n"/>
      <c r="J4798" s="58" t="n"/>
      <c r="K4798" s="63">
        <f>IF(tblMovement[[#This Row],[Source]]="","",IFERROR(INDEX(tblSources[Type],MATCH(tblMovement[[#This Row],[Source]],tblSources[Source],0)),"?"))</f>
        <v/>
      </c>
      <c r="L4798" s="63">
        <f>IF(tblMovement[[#This Row],[Destination]]="","",IFERROR(INDEX(tblDestinations[Type],MATCH(tblMovement[[#This Row],[Destination]],tblDestinations[Destination],0)),"?"))</f>
        <v/>
      </c>
      <c r="M4798" s="64">
        <f>IF(tblMovement[[#This Row],[Material]]="","",IF(LEFT(tblMovement[[#This Row],[Material]],3)="Ore",1,0))</f>
        <v/>
      </c>
      <c r="N4798" s="59">
        <f>IF(OR(tblMovement[[#This Row],[Tonnes_t]]="",tblMovement[[#This Row],[Grade_gpt]]=""),0,tblMovement[[#This Row],[Tonnes_t]]*tblMovement[[#This Row],[Grade_gpt]]/cfg_TroyOz)</f>
        <v/>
      </c>
      <c r="O4798" s="59">
        <f>IF(tblMovement[[#This Row],[Is_Ore]]=1,tblMovement[[#This Row],[Contained_oz]],0)</f>
        <v/>
      </c>
    </row>
    <row r="4799">
      <c r="A4799" s="54" t="n"/>
      <c r="B4799" s="61" t="n"/>
      <c r="C4799" s="61" t="n"/>
      <c r="D4799" s="61" t="n"/>
      <c r="E4799" s="61" t="n"/>
      <c r="F4799" s="55" t="n"/>
      <c r="G4799" s="56" t="n"/>
      <c r="H4799" s="55" t="n"/>
      <c r="I4799" s="62" t="n"/>
      <c r="J4799" s="58" t="n"/>
      <c r="K4799" s="63">
        <f>IF(tblMovement[[#This Row],[Source]]="","",IFERROR(INDEX(tblSources[Type],MATCH(tblMovement[[#This Row],[Source]],tblSources[Source],0)),"?"))</f>
        <v/>
      </c>
      <c r="L4799" s="63">
        <f>IF(tblMovement[[#This Row],[Destination]]="","",IFERROR(INDEX(tblDestinations[Type],MATCH(tblMovement[[#This Row],[Destination]],tblDestinations[Destination],0)),"?"))</f>
        <v/>
      </c>
      <c r="M4799" s="64">
        <f>IF(tblMovement[[#This Row],[Material]]="","",IF(LEFT(tblMovement[[#This Row],[Material]],3)="Ore",1,0))</f>
        <v/>
      </c>
      <c r="N4799" s="59">
        <f>IF(OR(tblMovement[[#This Row],[Tonnes_t]]="",tblMovement[[#This Row],[Grade_gpt]]=""),0,tblMovement[[#This Row],[Tonnes_t]]*tblMovement[[#This Row],[Grade_gpt]]/cfg_TroyOz)</f>
        <v/>
      </c>
      <c r="O4799" s="59">
        <f>IF(tblMovement[[#This Row],[Is_Ore]]=1,tblMovement[[#This Row],[Contained_oz]],0)</f>
        <v/>
      </c>
    </row>
    <row r="4800">
      <c r="A4800" s="54" t="n"/>
      <c r="B4800" s="61" t="n"/>
      <c r="C4800" s="61" t="n"/>
      <c r="D4800" s="61" t="n"/>
      <c r="E4800" s="61" t="n"/>
      <c r="F4800" s="55" t="n"/>
      <c r="G4800" s="56" t="n"/>
      <c r="H4800" s="55" t="n"/>
      <c r="I4800" s="62" t="n"/>
      <c r="J4800" s="58" t="n"/>
      <c r="K4800" s="63">
        <f>IF(tblMovement[[#This Row],[Source]]="","",IFERROR(INDEX(tblSources[Type],MATCH(tblMovement[[#This Row],[Source]],tblSources[Source],0)),"?"))</f>
        <v/>
      </c>
      <c r="L4800" s="63">
        <f>IF(tblMovement[[#This Row],[Destination]]="","",IFERROR(INDEX(tblDestinations[Type],MATCH(tblMovement[[#This Row],[Destination]],tblDestinations[Destination],0)),"?"))</f>
        <v/>
      </c>
      <c r="M4800" s="64">
        <f>IF(tblMovement[[#This Row],[Material]]="","",IF(LEFT(tblMovement[[#This Row],[Material]],3)="Ore",1,0))</f>
        <v/>
      </c>
      <c r="N4800" s="59">
        <f>IF(OR(tblMovement[[#This Row],[Tonnes_t]]="",tblMovement[[#This Row],[Grade_gpt]]=""),0,tblMovement[[#This Row],[Tonnes_t]]*tblMovement[[#This Row],[Grade_gpt]]/cfg_TroyOz)</f>
        <v/>
      </c>
      <c r="O4800" s="59">
        <f>IF(tblMovement[[#This Row],[Is_Ore]]=1,tblMovement[[#This Row],[Contained_oz]],0)</f>
        <v/>
      </c>
    </row>
    <row r="4801">
      <c r="A4801" s="54" t="n"/>
      <c r="B4801" s="61" t="n"/>
      <c r="C4801" s="61" t="n"/>
      <c r="D4801" s="61" t="n"/>
      <c r="E4801" s="61" t="n"/>
      <c r="F4801" s="55" t="n"/>
      <c r="G4801" s="56" t="n"/>
      <c r="H4801" s="55" t="n"/>
      <c r="I4801" s="62" t="n"/>
      <c r="J4801" s="58" t="n"/>
      <c r="K4801" s="63">
        <f>IF(tblMovement[[#This Row],[Source]]="","",IFERROR(INDEX(tblSources[Type],MATCH(tblMovement[[#This Row],[Source]],tblSources[Source],0)),"?"))</f>
        <v/>
      </c>
      <c r="L4801" s="63">
        <f>IF(tblMovement[[#This Row],[Destination]]="","",IFERROR(INDEX(tblDestinations[Type],MATCH(tblMovement[[#This Row],[Destination]],tblDestinations[Destination],0)),"?"))</f>
        <v/>
      </c>
      <c r="M4801" s="64">
        <f>IF(tblMovement[[#This Row],[Material]]="","",IF(LEFT(tblMovement[[#This Row],[Material]],3)="Ore",1,0))</f>
        <v/>
      </c>
      <c r="N4801" s="59">
        <f>IF(OR(tblMovement[[#This Row],[Tonnes_t]]="",tblMovement[[#This Row],[Grade_gpt]]=""),0,tblMovement[[#This Row],[Tonnes_t]]*tblMovement[[#This Row],[Grade_gpt]]/cfg_TroyOz)</f>
        <v/>
      </c>
      <c r="O4801" s="59">
        <f>IF(tblMovement[[#This Row],[Is_Ore]]=1,tblMovement[[#This Row],[Contained_oz]],0)</f>
        <v/>
      </c>
    </row>
    <row r="4802">
      <c r="A4802" s="54" t="n"/>
      <c r="B4802" s="61" t="n"/>
      <c r="C4802" s="61" t="n"/>
      <c r="D4802" s="61" t="n"/>
      <c r="E4802" s="61" t="n"/>
      <c r="F4802" s="55" t="n"/>
      <c r="G4802" s="56" t="n"/>
      <c r="H4802" s="55" t="n"/>
      <c r="I4802" s="62" t="n"/>
      <c r="J4802" s="58" t="n"/>
      <c r="K4802" s="63">
        <f>IF(tblMovement[[#This Row],[Source]]="","",IFERROR(INDEX(tblSources[Type],MATCH(tblMovement[[#This Row],[Source]],tblSources[Source],0)),"?"))</f>
        <v/>
      </c>
      <c r="L4802" s="63">
        <f>IF(tblMovement[[#This Row],[Destination]]="","",IFERROR(INDEX(tblDestinations[Type],MATCH(tblMovement[[#This Row],[Destination]],tblDestinations[Destination],0)),"?"))</f>
        <v/>
      </c>
      <c r="M4802" s="64">
        <f>IF(tblMovement[[#This Row],[Material]]="","",IF(LEFT(tblMovement[[#This Row],[Material]],3)="Ore",1,0))</f>
        <v/>
      </c>
      <c r="N4802" s="59">
        <f>IF(OR(tblMovement[[#This Row],[Tonnes_t]]="",tblMovement[[#This Row],[Grade_gpt]]=""),0,tblMovement[[#This Row],[Tonnes_t]]*tblMovement[[#This Row],[Grade_gpt]]/cfg_TroyOz)</f>
        <v/>
      </c>
      <c r="O4802" s="59">
        <f>IF(tblMovement[[#This Row],[Is_Ore]]=1,tblMovement[[#This Row],[Contained_oz]],0)</f>
        <v/>
      </c>
    </row>
    <row r="4803">
      <c r="A4803" s="54" t="n"/>
      <c r="B4803" s="61" t="n"/>
      <c r="C4803" s="61" t="n"/>
      <c r="D4803" s="61" t="n"/>
      <c r="E4803" s="61" t="n"/>
      <c r="F4803" s="55" t="n"/>
      <c r="G4803" s="56" t="n"/>
      <c r="H4803" s="55" t="n"/>
      <c r="I4803" s="62" t="n"/>
      <c r="J4803" s="58" t="n"/>
      <c r="K4803" s="63">
        <f>IF(tblMovement[[#This Row],[Source]]="","",IFERROR(INDEX(tblSources[Type],MATCH(tblMovement[[#This Row],[Source]],tblSources[Source],0)),"?"))</f>
        <v/>
      </c>
      <c r="L4803" s="63">
        <f>IF(tblMovement[[#This Row],[Destination]]="","",IFERROR(INDEX(tblDestinations[Type],MATCH(tblMovement[[#This Row],[Destination]],tblDestinations[Destination],0)),"?"))</f>
        <v/>
      </c>
      <c r="M4803" s="64">
        <f>IF(tblMovement[[#This Row],[Material]]="","",IF(LEFT(tblMovement[[#This Row],[Material]],3)="Ore",1,0))</f>
        <v/>
      </c>
      <c r="N4803" s="59">
        <f>IF(OR(tblMovement[[#This Row],[Tonnes_t]]="",tblMovement[[#This Row],[Grade_gpt]]=""),0,tblMovement[[#This Row],[Tonnes_t]]*tblMovement[[#This Row],[Grade_gpt]]/cfg_TroyOz)</f>
        <v/>
      </c>
      <c r="O4803" s="59">
        <f>IF(tblMovement[[#This Row],[Is_Ore]]=1,tblMovement[[#This Row],[Contained_oz]],0)</f>
        <v/>
      </c>
    </row>
    <row r="4804">
      <c r="A4804" s="54" t="n"/>
      <c r="B4804" s="61" t="n"/>
      <c r="C4804" s="61" t="n"/>
      <c r="D4804" s="61" t="n"/>
      <c r="E4804" s="61" t="n"/>
      <c r="F4804" s="55" t="n"/>
      <c r="G4804" s="56" t="n"/>
      <c r="H4804" s="55" t="n"/>
      <c r="I4804" s="62" t="n"/>
      <c r="J4804" s="58" t="n"/>
      <c r="K4804" s="63">
        <f>IF(tblMovement[[#This Row],[Source]]="","",IFERROR(INDEX(tblSources[Type],MATCH(tblMovement[[#This Row],[Source]],tblSources[Source],0)),"?"))</f>
        <v/>
      </c>
      <c r="L4804" s="63">
        <f>IF(tblMovement[[#This Row],[Destination]]="","",IFERROR(INDEX(tblDestinations[Type],MATCH(tblMovement[[#This Row],[Destination]],tblDestinations[Destination],0)),"?"))</f>
        <v/>
      </c>
      <c r="M4804" s="64">
        <f>IF(tblMovement[[#This Row],[Material]]="","",IF(LEFT(tblMovement[[#This Row],[Material]],3)="Ore",1,0))</f>
        <v/>
      </c>
      <c r="N4804" s="59">
        <f>IF(OR(tblMovement[[#This Row],[Tonnes_t]]="",tblMovement[[#This Row],[Grade_gpt]]=""),0,tblMovement[[#This Row],[Tonnes_t]]*tblMovement[[#This Row],[Grade_gpt]]/cfg_TroyOz)</f>
        <v/>
      </c>
      <c r="O4804" s="59">
        <f>IF(tblMovement[[#This Row],[Is_Ore]]=1,tblMovement[[#This Row],[Contained_oz]],0)</f>
        <v/>
      </c>
    </row>
    <row r="4805">
      <c r="A4805" s="54" t="n"/>
      <c r="B4805" s="61" t="n"/>
      <c r="C4805" s="61" t="n"/>
      <c r="D4805" s="61" t="n"/>
      <c r="E4805" s="61" t="n"/>
      <c r="F4805" s="55" t="n"/>
      <c r="G4805" s="56" t="n"/>
      <c r="H4805" s="55" t="n"/>
      <c r="I4805" s="62" t="n"/>
      <c r="J4805" s="58" t="n"/>
      <c r="K4805" s="63">
        <f>IF(tblMovement[[#This Row],[Source]]="","",IFERROR(INDEX(tblSources[Type],MATCH(tblMovement[[#This Row],[Source]],tblSources[Source],0)),"?"))</f>
        <v/>
      </c>
      <c r="L4805" s="63">
        <f>IF(tblMovement[[#This Row],[Destination]]="","",IFERROR(INDEX(tblDestinations[Type],MATCH(tblMovement[[#This Row],[Destination]],tblDestinations[Destination],0)),"?"))</f>
        <v/>
      </c>
      <c r="M4805" s="64">
        <f>IF(tblMovement[[#This Row],[Material]]="","",IF(LEFT(tblMovement[[#This Row],[Material]],3)="Ore",1,0))</f>
        <v/>
      </c>
      <c r="N4805" s="59">
        <f>IF(OR(tblMovement[[#This Row],[Tonnes_t]]="",tblMovement[[#This Row],[Grade_gpt]]=""),0,tblMovement[[#This Row],[Tonnes_t]]*tblMovement[[#This Row],[Grade_gpt]]/cfg_TroyOz)</f>
        <v/>
      </c>
      <c r="O4805" s="59">
        <f>IF(tblMovement[[#This Row],[Is_Ore]]=1,tblMovement[[#This Row],[Contained_oz]],0)</f>
        <v/>
      </c>
    </row>
    <row r="4806">
      <c r="A4806" s="54" t="n"/>
      <c r="B4806" s="61" t="n"/>
      <c r="C4806" s="61" t="n"/>
      <c r="D4806" s="61" t="n"/>
      <c r="E4806" s="61" t="n"/>
      <c r="F4806" s="55" t="n"/>
      <c r="G4806" s="56" t="n"/>
      <c r="H4806" s="55" t="n"/>
      <c r="I4806" s="62" t="n"/>
      <c r="J4806" s="58" t="n"/>
      <c r="K4806" s="63">
        <f>IF(tblMovement[[#This Row],[Source]]="","",IFERROR(INDEX(tblSources[Type],MATCH(tblMovement[[#This Row],[Source]],tblSources[Source],0)),"?"))</f>
        <v/>
      </c>
      <c r="L4806" s="63">
        <f>IF(tblMovement[[#This Row],[Destination]]="","",IFERROR(INDEX(tblDestinations[Type],MATCH(tblMovement[[#This Row],[Destination]],tblDestinations[Destination],0)),"?"))</f>
        <v/>
      </c>
      <c r="M4806" s="64">
        <f>IF(tblMovement[[#This Row],[Material]]="","",IF(LEFT(tblMovement[[#This Row],[Material]],3)="Ore",1,0))</f>
        <v/>
      </c>
      <c r="N4806" s="59">
        <f>IF(OR(tblMovement[[#This Row],[Tonnes_t]]="",tblMovement[[#This Row],[Grade_gpt]]=""),0,tblMovement[[#This Row],[Tonnes_t]]*tblMovement[[#This Row],[Grade_gpt]]/cfg_TroyOz)</f>
        <v/>
      </c>
      <c r="O4806" s="59">
        <f>IF(tblMovement[[#This Row],[Is_Ore]]=1,tblMovement[[#This Row],[Contained_oz]],0)</f>
        <v/>
      </c>
    </row>
    <row r="4807">
      <c r="A4807" s="54" t="n"/>
      <c r="B4807" s="61" t="n"/>
      <c r="C4807" s="61" t="n"/>
      <c r="D4807" s="61" t="n"/>
      <c r="E4807" s="61" t="n"/>
      <c r="F4807" s="55" t="n"/>
      <c r="G4807" s="56" t="n"/>
      <c r="H4807" s="55" t="n"/>
      <c r="I4807" s="62" t="n"/>
      <c r="J4807" s="58" t="n"/>
      <c r="K4807" s="63">
        <f>IF(tblMovement[[#This Row],[Source]]="","",IFERROR(INDEX(tblSources[Type],MATCH(tblMovement[[#This Row],[Source]],tblSources[Source],0)),"?"))</f>
        <v/>
      </c>
      <c r="L4807" s="63">
        <f>IF(tblMovement[[#This Row],[Destination]]="","",IFERROR(INDEX(tblDestinations[Type],MATCH(tblMovement[[#This Row],[Destination]],tblDestinations[Destination],0)),"?"))</f>
        <v/>
      </c>
      <c r="M4807" s="64">
        <f>IF(tblMovement[[#This Row],[Material]]="","",IF(LEFT(tblMovement[[#This Row],[Material]],3)="Ore",1,0))</f>
        <v/>
      </c>
      <c r="N4807" s="59">
        <f>IF(OR(tblMovement[[#This Row],[Tonnes_t]]="",tblMovement[[#This Row],[Grade_gpt]]=""),0,tblMovement[[#This Row],[Tonnes_t]]*tblMovement[[#This Row],[Grade_gpt]]/cfg_TroyOz)</f>
        <v/>
      </c>
      <c r="O4807" s="59">
        <f>IF(tblMovement[[#This Row],[Is_Ore]]=1,tblMovement[[#This Row],[Contained_oz]],0)</f>
        <v/>
      </c>
    </row>
    <row r="4808">
      <c r="A4808" s="54" t="n"/>
      <c r="B4808" s="61" t="n"/>
      <c r="C4808" s="61" t="n"/>
      <c r="D4808" s="61" t="n"/>
      <c r="E4808" s="61" t="n"/>
      <c r="F4808" s="55" t="n"/>
      <c r="G4808" s="56" t="n"/>
      <c r="H4808" s="55" t="n"/>
      <c r="I4808" s="62" t="n"/>
      <c r="J4808" s="58" t="n"/>
      <c r="K4808" s="63">
        <f>IF(tblMovement[[#This Row],[Source]]="","",IFERROR(INDEX(tblSources[Type],MATCH(tblMovement[[#This Row],[Source]],tblSources[Source],0)),"?"))</f>
        <v/>
      </c>
      <c r="L4808" s="63">
        <f>IF(tblMovement[[#This Row],[Destination]]="","",IFERROR(INDEX(tblDestinations[Type],MATCH(tblMovement[[#This Row],[Destination]],tblDestinations[Destination],0)),"?"))</f>
        <v/>
      </c>
      <c r="M4808" s="64">
        <f>IF(tblMovement[[#This Row],[Material]]="","",IF(LEFT(tblMovement[[#This Row],[Material]],3)="Ore",1,0))</f>
        <v/>
      </c>
      <c r="N4808" s="59">
        <f>IF(OR(tblMovement[[#This Row],[Tonnes_t]]="",tblMovement[[#This Row],[Grade_gpt]]=""),0,tblMovement[[#This Row],[Tonnes_t]]*tblMovement[[#This Row],[Grade_gpt]]/cfg_TroyOz)</f>
        <v/>
      </c>
      <c r="O4808" s="59">
        <f>IF(tblMovement[[#This Row],[Is_Ore]]=1,tblMovement[[#This Row],[Contained_oz]],0)</f>
        <v/>
      </c>
    </row>
    <row r="4809">
      <c r="A4809" s="54" t="n"/>
      <c r="B4809" s="61" t="n"/>
      <c r="C4809" s="61" t="n"/>
      <c r="D4809" s="61" t="n"/>
      <c r="E4809" s="61" t="n"/>
      <c r="F4809" s="55" t="n"/>
      <c r="G4809" s="56" t="n"/>
      <c r="H4809" s="55" t="n"/>
      <c r="I4809" s="62" t="n"/>
      <c r="J4809" s="58" t="n"/>
      <c r="K4809" s="63">
        <f>IF(tblMovement[[#This Row],[Source]]="","",IFERROR(INDEX(tblSources[Type],MATCH(tblMovement[[#This Row],[Source]],tblSources[Source],0)),"?"))</f>
        <v/>
      </c>
      <c r="L4809" s="63">
        <f>IF(tblMovement[[#This Row],[Destination]]="","",IFERROR(INDEX(tblDestinations[Type],MATCH(tblMovement[[#This Row],[Destination]],tblDestinations[Destination],0)),"?"))</f>
        <v/>
      </c>
      <c r="M4809" s="64">
        <f>IF(tblMovement[[#This Row],[Material]]="","",IF(LEFT(tblMovement[[#This Row],[Material]],3)="Ore",1,0))</f>
        <v/>
      </c>
      <c r="N4809" s="59">
        <f>IF(OR(tblMovement[[#This Row],[Tonnes_t]]="",tblMovement[[#This Row],[Grade_gpt]]=""),0,tblMovement[[#This Row],[Tonnes_t]]*tblMovement[[#This Row],[Grade_gpt]]/cfg_TroyOz)</f>
        <v/>
      </c>
      <c r="O4809" s="59">
        <f>IF(tblMovement[[#This Row],[Is_Ore]]=1,tblMovement[[#This Row],[Contained_oz]],0)</f>
        <v/>
      </c>
    </row>
    <row r="4810">
      <c r="A4810" s="54" t="n"/>
      <c r="B4810" s="61" t="n"/>
      <c r="C4810" s="61" t="n"/>
      <c r="D4810" s="61" t="n"/>
      <c r="E4810" s="61" t="n"/>
      <c r="F4810" s="55" t="n"/>
      <c r="G4810" s="56" t="n"/>
      <c r="H4810" s="55" t="n"/>
      <c r="I4810" s="62" t="n"/>
      <c r="J4810" s="58" t="n"/>
      <c r="K4810" s="63">
        <f>IF(tblMovement[[#This Row],[Source]]="","",IFERROR(INDEX(tblSources[Type],MATCH(tblMovement[[#This Row],[Source]],tblSources[Source],0)),"?"))</f>
        <v/>
      </c>
      <c r="L4810" s="63">
        <f>IF(tblMovement[[#This Row],[Destination]]="","",IFERROR(INDEX(tblDestinations[Type],MATCH(tblMovement[[#This Row],[Destination]],tblDestinations[Destination],0)),"?"))</f>
        <v/>
      </c>
      <c r="M4810" s="64">
        <f>IF(tblMovement[[#This Row],[Material]]="","",IF(LEFT(tblMovement[[#This Row],[Material]],3)="Ore",1,0))</f>
        <v/>
      </c>
      <c r="N4810" s="59">
        <f>IF(OR(tblMovement[[#This Row],[Tonnes_t]]="",tblMovement[[#This Row],[Grade_gpt]]=""),0,tblMovement[[#This Row],[Tonnes_t]]*tblMovement[[#This Row],[Grade_gpt]]/cfg_TroyOz)</f>
        <v/>
      </c>
      <c r="O4810" s="59">
        <f>IF(tblMovement[[#This Row],[Is_Ore]]=1,tblMovement[[#This Row],[Contained_oz]],0)</f>
        <v/>
      </c>
    </row>
    <row r="4811">
      <c r="A4811" s="54" t="n"/>
      <c r="B4811" s="61" t="n"/>
      <c r="C4811" s="61" t="n"/>
      <c r="D4811" s="61" t="n"/>
      <c r="E4811" s="61" t="n"/>
      <c r="F4811" s="55" t="n"/>
      <c r="G4811" s="56" t="n"/>
      <c r="H4811" s="55" t="n"/>
      <c r="I4811" s="62" t="n"/>
      <c r="J4811" s="58" t="n"/>
      <c r="K4811" s="63">
        <f>IF(tblMovement[[#This Row],[Source]]="","",IFERROR(INDEX(tblSources[Type],MATCH(tblMovement[[#This Row],[Source]],tblSources[Source],0)),"?"))</f>
        <v/>
      </c>
      <c r="L4811" s="63">
        <f>IF(tblMovement[[#This Row],[Destination]]="","",IFERROR(INDEX(tblDestinations[Type],MATCH(tblMovement[[#This Row],[Destination]],tblDestinations[Destination],0)),"?"))</f>
        <v/>
      </c>
      <c r="M4811" s="64">
        <f>IF(tblMovement[[#This Row],[Material]]="","",IF(LEFT(tblMovement[[#This Row],[Material]],3)="Ore",1,0))</f>
        <v/>
      </c>
      <c r="N4811" s="59">
        <f>IF(OR(tblMovement[[#This Row],[Tonnes_t]]="",tblMovement[[#This Row],[Grade_gpt]]=""),0,tblMovement[[#This Row],[Tonnes_t]]*tblMovement[[#This Row],[Grade_gpt]]/cfg_TroyOz)</f>
        <v/>
      </c>
      <c r="O4811" s="59">
        <f>IF(tblMovement[[#This Row],[Is_Ore]]=1,tblMovement[[#This Row],[Contained_oz]],0)</f>
        <v/>
      </c>
    </row>
    <row r="4812">
      <c r="A4812" s="54" t="n"/>
      <c r="B4812" s="61" t="n"/>
      <c r="C4812" s="61" t="n"/>
      <c r="D4812" s="61" t="n"/>
      <c r="E4812" s="61" t="n"/>
      <c r="F4812" s="55" t="n"/>
      <c r="G4812" s="56" t="n"/>
      <c r="H4812" s="55" t="n"/>
      <c r="I4812" s="62" t="n"/>
      <c r="J4812" s="58" t="n"/>
      <c r="K4812" s="63">
        <f>IF(tblMovement[[#This Row],[Source]]="","",IFERROR(INDEX(tblSources[Type],MATCH(tblMovement[[#This Row],[Source]],tblSources[Source],0)),"?"))</f>
        <v/>
      </c>
      <c r="L4812" s="63">
        <f>IF(tblMovement[[#This Row],[Destination]]="","",IFERROR(INDEX(tblDestinations[Type],MATCH(tblMovement[[#This Row],[Destination]],tblDestinations[Destination],0)),"?"))</f>
        <v/>
      </c>
      <c r="M4812" s="64">
        <f>IF(tblMovement[[#This Row],[Material]]="","",IF(LEFT(tblMovement[[#This Row],[Material]],3)="Ore",1,0))</f>
        <v/>
      </c>
      <c r="N4812" s="59">
        <f>IF(OR(tblMovement[[#This Row],[Tonnes_t]]="",tblMovement[[#This Row],[Grade_gpt]]=""),0,tblMovement[[#This Row],[Tonnes_t]]*tblMovement[[#This Row],[Grade_gpt]]/cfg_TroyOz)</f>
        <v/>
      </c>
      <c r="O4812" s="59">
        <f>IF(tblMovement[[#This Row],[Is_Ore]]=1,tblMovement[[#This Row],[Contained_oz]],0)</f>
        <v/>
      </c>
    </row>
    <row r="4813">
      <c r="A4813" s="54" t="n"/>
      <c r="B4813" s="61" t="n"/>
      <c r="C4813" s="61" t="n"/>
      <c r="D4813" s="61" t="n"/>
      <c r="E4813" s="61" t="n"/>
      <c r="F4813" s="55" t="n"/>
      <c r="G4813" s="56" t="n"/>
      <c r="H4813" s="55" t="n"/>
      <c r="I4813" s="62" t="n"/>
      <c r="J4813" s="58" t="n"/>
      <c r="K4813" s="63">
        <f>IF(tblMovement[[#This Row],[Source]]="","",IFERROR(INDEX(tblSources[Type],MATCH(tblMovement[[#This Row],[Source]],tblSources[Source],0)),"?"))</f>
        <v/>
      </c>
      <c r="L4813" s="63">
        <f>IF(tblMovement[[#This Row],[Destination]]="","",IFERROR(INDEX(tblDestinations[Type],MATCH(tblMovement[[#This Row],[Destination]],tblDestinations[Destination],0)),"?"))</f>
        <v/>
      </c>
      <c r="M4813" s="64">
        <f>IF(tblMovement[[#This Row],[Material]]="","",IF(LEFT(tblMovement[[#This Row],[Material]],3)="Ore",1,0))</f>
        <v/>
      </c>
      <c r="N4813" s="59">
        <f>IF(OR(tblMovement[[#This Row],[Tonnes_t]]="",tblMovement[[#This Row],[Grade_gpt]]=""),0,tblMovement[[#This Row],[Tonnes_t]]*tblMovement[[#This Row],[Grade_gpt]]/cfg_TroyOz)</f>
        <v/>
      </c>
      <c r="O4813" s="59">
        <f>IF(tblMovement[[#This Row],[Is_Ore]]=1,tblMovement[[#This Row],[Contained_oz]],0)</f>
        <v/>
      </c>
    </row>
    <row r="4814">
      <c r="A4814" s="54" t="n"/>
      <c r="B4814" s="61" t="n"/>
      <c r="C4814" s="61" t="n"/>
      <c r="D4814" s="61" t="n"/>
      <c r="E4814" s="61" t="n"/>
      <c r="F4814" s="55" t="n"/>
      <c r="G4814" s="56" t="n"/>
      <c r="H4814" s="55" t="n"/>
      <c r="I4814" s="62" t="n"/>
      <c r="J4814" s="58" t="n"/>
      <c r="K4814" s="63">
        <f>IF(tblMovement[[#This Row],[Source]]="","",IFERROR(INDEX(tblSources[Type],MATCH(tblMovement[[#This Row],[Source]],tblSources[Source],0)),"?"))</f>
        <v/>
      </c>
      <c r="L4814" s="63">
        <f>IF(tblMovement[[#This Row],[Destination]]="","",IFERROR(INDEX(tblDestinations[Type],MATCH(tblMovement[[#This Row],[Destination]],tblDestinations[Destination],0)),"?"))</f>
        <v/>
      </c>
      <c r="M4814" s="64">
        <f>IF(tblMovement[[#This Row],[Material]]="","",IF(LEFT(tblMovement[[#This Row],[Material]],3)="Ore",1,0))</f>
        <v/>
      </c>
      <c r="N4814" s="59">
        <f>IF(OR(tblMovement[[#This Row],[Tonnes_t]]="",tblMovement[[#This Row],[Grade_gpt]]=""),0,tblMovement[[#This Row],[Tonnes_t]]*tblMovement[[#This Row],[Grade_gpt]]/cfg_TroyOz)</f>
        <v/>
      </c>
      <c r="O4814" s="59">
        <f>IF(tblMovement[[#This Row],[Is_Ore]]=1,tblMovement[[#This Row],[Contained_oz]],0)</f>
        <v/>
      </c>
    </row>
    <row r="4815">
      <c r="A4815" s="54" t="n"/>
      <c r="B4815" s="61" t="n"/>
      <c r="C4815" s="61" t="n"/>
      <c r="D4815" s="61" t="n"/>
      <c r="E4815" s="61" t="n"/>
      <c r="F4815" s="55" t="n"/>
      <c r="G4815" s="56" t="n"/>
      <c r="H4815" s="55" t="n"/>
      <c r="I4815" s="62" t="n"/>
      <c r="J4815" s="58" t="n"/>
      <c r="K4815" s="63">
        <f>IF(tblMovement[[#This Row],[Source]]="","",IFERROR(INDEX(tblSources[Type],MATCH(tblMovement[[#This Row],[Source]],tblSources[Source],0)),"?"))</f>
        <v/>
      </c>
      <c r="L4815" s="63">
        <f>IF(tblMovement[[#This Row],[Destination]]="","",IFERROR(INDEX(tblDestinations[Type],MATCH(tblMovement[[#This Row],[Destination]],tblDestinations[Destination],0)),"?"))</f>
        <v/>
      </c>
      <c r="M4815" s="64">
        <f>IF(tblMovement[[#This Row],[Material]]="","",IF(LEFT(tblMovement[[#This Row],[Material]],3)="Ore",1,0))</f>
        <v/>
      </c>
      <c r="N4815" s="59">
        <f>IF(OR(tblMovement[[#This Row],[Tonnes_t]]="",tblMovement[[#This Row],[Grade_gpt]]=""),0,tblMovement[[#This Row],[Tonnes_t]]*tblMovement[[#This Row],[Grade_gpt]]/cfg_TroyOz)</f>
        <v/>
      </c>
      <c r="O4815" s="59">
        <f>IF(tblMovement[[#This Row],[Is_Ore]]=1,tblMovement[[#This Row],[Contained_oz]],0)</f>
        <v/>
      </c>
    </row>
    <row r="4816">
      <c r="A4816" s="54" t="n"/>
      <c r="B4816" s="61" t="n"/>
      <c r="C4816" s="61" t="n"/>
      <c r="D4816" s="61" t="n"/>
      <c r="E4816" s="61" t="n"/>
      <c r="F4816" s="55" t="n"/>
      <c r="G4816" s="56" t="n"/>
      <c r="H4816" s="55" t="n"/>
      <c r="I4816" s="62" t="n"/>
      <c r="J4816" s="58" t="n"/>
      <c r="K4816" s="63">
        <f>IF(tblMovement[[#This Row],[Source]]="","",IFERROR(INDEX(tblSources[Type],MATCH(tblMovement[[#This Row],[Source]],tblSources[Source],0)),"?"))</f>
        <v/>
      </c>
      <c r="L4816" s="63">
        <f>IF(tblMovement[[#This Row],[Destination]]="","",IFERROR(INDEX(tblDestinations[Type],MATCH(tblMovement[[#This Row],[Destination]],tblDestinations[Destination],0)),"?"))</f>
        <v/>
      </c>
      <c r="M4816" s="64">
        <f>IF(tblMovement[[#This Row],[Material]]="","",IF(LEFT(tblMovement[[#This Row],[Material]],3)="Ore",1,0))</f>
        <v/>
      </c>
      <c r="N4816" s="59">
        <f>IF(OR(tblMovement[[#This Row],[Tonnes_t]]="",tblMovement[[#This Row],[Grade_gpt]]=""),0,tblMovement[[#This Row],[Tonnes_t]]*tblMovement[[#This Row],[Grade_gpt]]/cfg_TroyOz)</f>
        <v/>
      </c>
      <c r="O4816" s="59">
        <f>IF(tblMovement[[#This Row],[Is_Ore]]=1,tblMovement[[#This Row],[Contained_oz]],0)</f>
        <v/>
      </c>
    </row>
    <row r="4817">
      <c r="A4817" s="54" t="n"/>
      <c r="B4817" s="61" t="n"/>
      <c r="C4817" s="61" t="n"/>
      <c r="D4817" s="61" t="n"/>
      <c r="E4817" s="61" t="n"/>
      <c r="F4817" s="55" t="n"/>
      <c r="G4817" s="56" t="n"/>
      <c r="H4817" s="55" t="n"/>
      <c r="I4817" s="62" t="n"/>
      <c r="J4817" s="58" t="n"/>
      <c r="K4817" s="63">
        <f>IF(tblMovement[[#This Row],[Source]]="","",IFERROR(INDEX(tblSources[Type],MATCH(tblMovement[[#This Row],[Source]],tblSources[Source],0)),"?"))</f>
        <v/>
      </c>
      <c r="L4817" s="63">
        <f>IF(tblMovement[[#This Row],[Destination]]="","",IFERROR(INDEX(tblDestinations[Type],MATCH(tblMovement[[#This Row],[Destination]],tblDestinations[Destination],0)),"?"))</f>
        <v/>
      </c>
      <c r="M4817" s="64">
        <f>IF(tblMovement[[#This Row],[Material]]="","",IF(LEFT(tblMovement[[#This Row],[Material]],3)="Ore",1,0))</f>
        <v/>
      </c>
      <c r="N4817" s="59">
        <f>IF(OR(tblMovement[[#This Row],[Tonnes_t]]="",tblMovement[[#This Row],[Grade_gpt]]=""),0,tblMovement[[#This Row],[Tonnes_t]]*tblMovement[[#This Row],[Grade_gpt]]/cfg_TroyOz)</f>
        <v/>
      </c>
      <c r="O4817" s="59">
        <f>IF(tblMovement[[#This Row],[Is_Ore]]=1,tblMovement[[#This Row],[Contained_oz]],0)</f>
        <v/>
      </c>
    </row>
    <row r="4818">
      <c r="A4818" s="54" t="n"/>
      <c r="B4818" s="61" t="n"/>
      <c r="C4818" s="61" t="n"/>
      <c r="D4818" s="61" t="n"/>
      <c r="E4818" s="61" t="n"/>
      <c r="F4818" s="55" t="n"/>
      <c r="G4818" s="56" t="n"/>
      <c r="H4818" s="55" t="n"/>
      <c r="I4818" s="62" t="n"/>
      <c r="J4818" s="58" t="n"/>
      <c r="K4818" s="63">
        <f>IF(tblMovement[[#This Row],[Source]]="","",IFERROR(INDEX(tblSources[Type],MATCH(tblMovement[[#This Row],[Source]],tblSources[Source],0)),"?"))</f>
        <v/>
      </c>
      <c r="L4818" s="63">
        <f>IF(tblMovement[[#This Row],[Destination]]="","",IFERROR(INDEX(tblDestinations[Type],MATCH(tblMovement[[#This Row],[Destination]],tblDestinations[Destination],0)),"?"))</f>
        <v/>
      </c>
      <c r="M4818" s="64">
        <f>IF(tblMovement[[#This Row],[Material]]="","",IF(LEFT(tblMovement[[#This Row],[Material]],3)="Ore",1,0))</f>
        <v/>
      </c>
      <c r="N4818" s="59">
        <f>IF(OR(tblMovement[[#This Row],[Tonnes_t]]="",tblMovement[[#This Row],[Grade_gpt]]=""),0,tblMovement[[#This Row],[Tonnes_t]]*tblMovement[[#This Row],[Grade_gpt]]/cfg_TroyOz)</f>
        <v/>
      </c>
      <c r="O4818" s="59">
        <f>IF(tblMovement[[#This Row],[Is_Ore]]=1,tblMovement[[#This Row],[Contained_oz]],0)</f>
        <v/>
      </c>
    </row>
    <row r="4819">
      <c r="A4819" s="54" t="n"/>
      <c r="B4819" s="61" t="n"/>
      <c r="C4819" s="61" t="n"/>
      <c r="D4819" s="61" t="n"/>
      <c r="E4819" s="61" t="n"/>
      <c r="F4819" s="55" t="n"/>
      <c r="G4819" s="56" t="n"/>
      <c r="H4819" s="55" t="n"/>
      <c r="I4819" s="62" t="n"/>
      <c r="J4819" s="58" t="n"/>
      <c r="K4819" s="63">
        <f>IF(tblMovement[[#This Row],[Source]]="","",IFERROR(INDEX(tblSources[Type],MATCH(tblMovement[[#This Row],[Source]],tblSources[Source],0)),"?"))</f>
        <v/>
      </c>
      <c r="L4819" s="63">
        <f>IF(tblMovement[[#This Row],[Destination]]="","",IFERROR(INDEX(tblDestinations[Type],MATCH(tblMovement[[#This Row],[Destination]],tblDestinations[Destination],0)),"?"))</f>
        <v/>
      </c>
      <c r="M4819" s="64">
        <f>IF(tblMovement[[#This Row],[Material]]="","",IF(LEFT(tblMovement[[#This Row],[Material]],3)="Ore",1,0))</f>
        <v/>
      </c>
      <c r="N4819" s="59">
        <f>IF(OR(tblMovement[[#This Row],[Tonnes_t]]="",tblMovement[[#This Row],[Grade_gpt]]=""),0,tblMovement[[#This Row],[Tonnes_t]]*tblMovement[[#This Row],[Grade_gpt]]/cfg_TroyOz)</f>
        <v/>
      </c>
      <c r="O4819" s="59">
        <f>IF(tblMovement[[#This Row],[Is_Ore]]=1,tblMovement[[#This Row],[Contained_oz]],0)</f>
        <v/>
      </c>
    </row>
    <row r="4820">
      <c r="A4820" s="54" t="n"/>
      <c r="B4820" s="61" t="n"/>
      <c r="C4820" s="61" t="n"/>
      <c r="D4820" s="61" t="n"/>
      <c r="E4820" s="61" t="n"/>
      <c r="F4820" s="55" t="n"/>
      <c r="G4820" s="56" t="n"/>
      <c r="H4820" s="55" t="n"/>
      <c r="I4820" s="62" t="n"/>
      <c r="J4820" s="58" t="n"/>
      <c r="K4820" s="63">
        <f>IF(tblMovement[[#This Row],[Source]]="","",IFERROR(INDEX(tblSources[Type],MATCH(tblMovement[[#This Row],[Source]],tblSources[Source],0)),"?"))</f>
        <v/>
      </c>
      <c r="L4820" s="63">
        <f>IF(tblMovement[[#This Row],[Destination]]="","",IFERROR(INDEX(tblDestinations[Type],MATCH(tblMovement[[#This Row],[Destination]],tblDestinations[Destination],0)),"?"))</f>
        <v/>
      </c>
      <c r="M4820" s="64">
        <f>IF(tblMovement[[#This Row],[Material]]="","",IF(LEFT(tblMovement[[#This Row],[Material]],3)="Ore",1,0))</f>
        <v/>
      </c>
      <c r="N4820" s="59">
        <f>IF(OR(tblMovement[[#This Row],[Tonnes_t]]="",tblMovement[[#This Row],[Grade_gpt]]=""),0,tblMovement[[#This Row],[Tonnes_t]]*tblMovement[[#This Row],[Grade_gpt]]/cfg_TroyOz)</f>
        <v/>
      </c>
      <c r="O4820" s="59">
        <f>IF(tblMovement[[#This Row],[Is_Ore]]=1,tblMovement[[#This Row],[Contained_oz]],0)</f>
        <v/>
      </c>
    </row>
    <row r="4821">
      <c r="A4821" s="54" t="n"/>
      <c r="B4821" s="61" t="n"/>
      <c r="C4821" s="61" t="n"/>
      <c r="D4821" s="61" t="n"/>
      <c r="E4821" s="61" t="n"/>
      <c r="F4821" s="55" t="n"/>
      <c r="G4821" s="56" t="n"/>
      <c r="H4821" s="55" t="n"/>
      <c r="I4821" s="62" t="n"/>
      <c r="J4821" s="58" t="n"/>
      <c r="K4821" s="63">
        <f>IF(tblMovement[[#This Row],[Source]]="","",IFERROR(INDEX(tblSources[Type],MATCH(tblMovement[[#This Row],[Source]],tblSources[Source],0)),"?"))</f>
        <v/>
      </c>
      <c r="L4821" s="63">
        <f>IF(tblMovement[[#This Row],[Destination]]="","",IFERROR(INDEX(tblDestinations[Type],MATCH(tblMovement[[#This Row],[Destination]],tblDestinations[Destination],0)),"?"))</f>
        <v/>
      </c>
      <c r="M4821" s="64">
        <f>IF(tblMovement[[#This Row],[Material]]="","",IF(LEFT(tblMovement[[#This Row],[Material]],3)="Ore",1,0))</f>
        <v/>
      </c>
      <c r="N4821" s="59">
        <f>IF(OR(tblMovement[[#This Row],[Tonnes_t]]="",tblMovement[[#This Row],[Grade_gpt]]=""),0,tblMovement[[#This Row],[Tonnes_t]]*tblMovement[[#This Row],[Grade_gpt]]/cfg_TroyOz)</f>
        <v/>
      </c>
      <c r="O4821" s="59">
        <f>IF(tblMovement[[#This Row],[Is_Ore]]=1,tblMovement[[#This Row],[Contained_oz]],0)</f>
        <v/>
      </c>
    </row>
    <row r="4822">
      <c r="A4822" s="54" t="n"/>
      <c r="B4822" s="61" t="n"/>
      <c r="C4822" s="61" t="n"/>
      <c r="D4822" s="61" t="n"/>
      <c r="E4822" s="61" t="n"/>
      <c r="F4822" s="55" t="n"/>
      <c r="G4822" s="56" t="n"/>
      <c r="H4822" s="55" t="n"/>
      <c r="I4822" s="62" t="n"/>
      <c r="J4822" s="58" t="n"/>
      <c r="K4822" s="63">
        <f>IF(tblMovement[[#This Row],[Source]]="","",IFERROR(INDEX(tblSources[Type],MATCH(tblMovement[[#This Row],[Source]],tblSources[Source],0)),"?"))</f>
        <v/>
      </c>
      <c r="L4822" s="63">
        <f>IF(tblMovement[[#This Row],[Destination]]="","",IFERROR(INDEX(tblDestinations[Type],MATCH(tblMovement[[#This Row],[Destination]],tblDestinations[Destination],0)),"?"))</f>
        <v/>
      </c>
      <c r="M4822" s="64">
        <f>IF(tblMovement[[#This Row],[Material]]="","",IF(LEFT(tblMovement[[#This Row],[Material]],3)="Ore",1,0))</f>
        <v/>
      </c>
      <c r="N4822" s="59">
        <f>IF(OR(tblMovement[[#This Row],[Tonnes_t]]="",tblMovement[[#This Row],[Grade_gpt]]=""),0,tblMovement[[#This Row],[Tonnes_t]]*tblMovement[[#This Row],[Grade_gpt]]/cfg_TroyOz)</f>
        <v/>
      </c>
      <c r="O4822" s="59">
        <f>IF(tblMovement[[#This Row],[Is_Ore]]=1,tblMovement[[#This Row],[Contained_oz]],0)</f>
        <v/>
      </c>
    </row>
    <row r="4823">
      <c r="A4823" s="54" t="n"/>
      <c r="B4823" s="61" t="n"/>
      <c r="C4823" s="61" t="n"/>
      <c r="D4823" s="61" t="n"/>
      <c r="E4823" s="61" t="n"/>
      <c r="F4823" s="55" t="n"/>
      <c r="G4823" s="56" t="n"/>
      <c r="H4823" s="55" t="n"/>
      <c r="I4823" s="62" t="n"/>
      <c r="J4823" s="58" t="n"/>
      <c r="K4823" s="63">
        <f>IF(tblMovement[[#This Row],[Source]]="","",IFERROR(INDEX(tblSources[Type],MATCH(tblMovement[[#This Row],[Source]],tblSources[Source],0)),"?"))</f>
        <v/>
      </c>
      <c r="L4823" s="63">
        <f>IF(tblMovement[[#This Row],[Destination]]="","",IFERROR(INDEX(tblDestinations[Type],MATCH(tblMovement[[#This Row],[Destination]],tblDestinations[Destination],0)),"?"))</f>
        <v/>
      </c>
      <c r="M4823" s="64">
        <f>IF(tblMovement[[#This Row],[Material]]="","",IF(LEFT(tblMovement[[#This Row],[Material]],3)="Ore",1,0))</f>
        <v/>
      </c>
      <c r="N4823" s="59">
        <f>IF(OR(tblMovement[[#This Row],[Tonnes_t]]="",tblMovement[[#This Row],[Grade_gpt]]=""),0,tblMovement[[#This Row],[Tonnes_t]]*tblMovement[[#This Row],[Grade_gpt]]/cfg_TroyOz)</f>
        <v/>
      </c>
      <c r="O4823" s="59">
        <f>IF(tblMovement[[#This Row],[Is_Ore]]=1,tblMovement[[#This Row],[Contained_oz]],0)</f>
        <v/>
      </c>
    </row>
    <row r="4824">
      <c r="A4824" s="54" t="n"/>
      <c r="B4824" s="61" t="n"/>
      <c r="C4824" s="61" t="n"/>
      <c r="D4824" s="61" t="n"/>
      <c r="E4824" s="61" t="n"/>
      <c r="F4824" s="55" t="n"/>
      <c r="G4824" s="56" t="n"/>
      <c r="H4824" s="55" t="n"/>
      <c r="I4824" s="62" t="n"/>
      <c r="J4824" s="58" t="n"/>
      <c r="K4824" s="63">
        <f>IF(tblMovement[[#This Row],[Source]]="","",IFERROR(INDEX(tblSources[Type],MATCH(tblMovement[[#This Row],[Source]],tblSources[Source],0)),"?"))</f>
        <v/>
      </c>
      <c r="L4824" s="63">
        <f>IF(tblMovement[[#This Row],[Destination]]="","",IFERROR(INDEX(tblDestinations[Type],MATCH(tblMovement[[#This Row],[Destination]],tblDestinations[Destination],0)),"?"))</f>
        <v/>
      </c>
      <c r="M4824" s="64">
        <f>IF(tblMovement[[#This Row],[Material]]="","",IF(LEFT(tblMovement[[#This Row],[Material]],3)="Ore",1,0))</f>
        <v/>
      </c>
      <c r="N4824" s="59">
        <f>IF(OR(tblMovement[[#This Row],[Tonnes_t]]="",tblMovement[[#This Row],[Grade_gpt]]=""),0,tblMovement[[#This Row],[Tonnes_t]]*tblMovement[[#This Row],[Grade_gpt]]/cfg_TroyOz)</f>
        <v/>
      </c>
      <c r="O4824" s="59">
        <f>IF(tblMovement[[#This Row],[Is_Ore]]=1,tblMovement[[#This Row],[Contained_oz]],0)</f>
        <v/>
      </c>
    </row>
    <row r="4825">
      <c r="A4825" s="54" t="n"/>
      <c r="B4825" s="61" t="n"/>
      <c r="C4825" s="61" t="n"/>
      <c r="D4825" s="61" t="n"/>
      <c r="E4825" s="61" t="n"/>
      <c r="F4825" s="55" t="n"/>
      <c r="G4825" s="56" t="n"/>
      <c r="H4825" s="55" t="n"/>
      <c r="I4825" s="62" t="n"/>
      <c r="J4825" s="58" t="n"/>
      <c r="K4825" s="63">
        <f>IF(tblMovement[[#This Row],[Source]]="","",IFERROR(INDEX(tblSources[Type],MATCH(tblMovement[[#This Row],[Source]],tblSources[Source],0)),"?"))</f>
        <v/>
      </c>
      <c r="L4825" s="63">
        <f>IF(tblMovement[[#This Row],[Destination]]="","",IFERROR(INDEX(tblDestinations[Type],MATCH(tblMovement[[#This Row],[Destination]],tblDestinations[Destination],0)),"?"))</f>
        <v/>
      </c>
      <c r="M4825" s="64">
        <f>IF(tblMovement[[#This Row],[Material]]="","",IF(LEFT(tblMovement[[#This Row],[Material]],3)="Ore",1,0))</f>
        <v/>
      </c>
      <c r="N4825" s="59">
        <f>IF(OR(tblMovement[[#This Row],[Tonnes_t]]="",tblMovement[[#This Row],[Grade_gpt]]=""),0,tblMovement[[#This Row],[Tonnes_t]]*tblMovement[[#This Row],[Grade_gpt]]/cfg_TroyOz)</f>
        <v/>
      </c>
      <c r="O4825" s="59">
        <f>IF(tblMovement[[#This Row],[Is_Ore]]=1,tblMovement[[#This Row],[Contained_oz]],0)</f>
        <v/>
      </c>
    </row>
    <row r="4826">
      <c r="A4826" s="54" t="n"/>
      <c r="B4826" s="61" t="n"/>
      <c r="C4826" s="61" t="n"/>
      <c r="D4826" s="61" t="n"/>
      <c r="E4826" s="61" t="n"/>
      <c r="F4826" s="55" t="n"/>
      <c r="G4826" s="56" t="n"/>
      <c r="H4826" s="55" t="n"/>
      <c r="I4826" s="62" t="n"/>
      <c r="J4826" s="58" t="n"/>
      <c r="K4826" s="63">
        <f>IF(tblMovement[[#This Row],[Source]]="","",IFERROR(INDEX(tblSources[Type],MATCH(tblMovement[[#This Row],[Source]],tblSources[Source],0)),"?"))</f>
        <v/>
      </c>
      <c r="L4826" s="63">
        <f>IF(tblMovement[[#This Row],[Destination]]="","",IFERROR(INDEX(tblDestinations[Type],MATCH(tblMovement[[#This Row],[Destination]],tblDestinations[Destination],0)),"?"))</f>
        <v/>
      </c>
      <c r="M4826" s="64">
        <f>IF(tblMovement[[#This Row],[Material]]="","",IF(LEFT(tblMovement[[#This Row],[Material]],3)="Ore",1,0))</f>
        <v/>
      </c>
      <c r="N4826" s="59">
        <f>IF(OR(tblMovement[[#This Row],[Tonnes_t]]="",tblMovement[[#This Row],[Grade_gpt]]=""),0,tblMovement[[#This Row],[Tonnes_t]]*tblMovement[[#This Row],[Grade_gpt]]/cfg_TroyOz)</f>
        <v/>
      </c>
      <c r="O4826" s="59">
        <f>IF(tblMovement[[#This Row],[Is_Ore]]=1,tblMovement[[#This Row],[Contained_oz]],0)</f>
        <v/>
      </c>
    </row>
    <row r="4827">
      <c r="A4827" s="54" t="n"/>
      <c r="B4827" s="61" t="n"/>
      <c r="C4827" s="61" t="n"/>
      <c r="D4827" s="61" t="n"/>
      <c r="E4827" s="61" t="n"/>
      <c r="F4827" s="55" t="n"/>
      <c r="G4827" s="56" t="n"/>
      <c r="H4827" s="55" t="n"/>
      <c r="I4827" s="62" t="n"/>
      <c r="J4827" s="58" t="n"/>
      <c r="K4827" s="63">
        <f>IF(tblMovement[[#This Row],[Source]]="","",IFERROR(INDEX(tblSources[Type],MATCH(tblMovement[[#This Row],[Source]],tblSources[Source],0)),"?"))</f>
        <v/>
      </c>
      <c r="L4827" s="63">
        <f>IF(tblMovement[[#This Row],[Destination]]="","",IFERROR(INDEX(tblDestinations[Type],MATCH(tblMovement[[#This Row],[Destination]],tblDestinations[Destination],0)),"?"))</f>
        <v/>
      </c>
      <c r="M4827" s="64">
        <f>IF(tblMovement[[#This Row],[Material]]="","",IF(LEFT(tblMovement[[#This Row],[Material]],3)="Ore",1,0))</f>
        <v/>
      </c>
      <c r="N4827" s="59">
        <f>IF(OR(tblMovement[[#This Row],[Tonnes_t]]="",tblMovement[[#This Row],[Grade_gpt]]=""),0,tblMovement[[#This Row],[Tonnes_t]]*tblMovement[[#This Row],[Grade_gpt]]/cfg_TroyOz)</f>
        <v/>
      </c>
      <c r="O4827" s="59">
        <f>IF(tblMovement[[#This Row],[Is_Ore]]=1,tblMovement[[#This Row],[Contained_oz]],0)</f>
        <v/>
      </c>
    </row>
    <row r="4828">
      <c r="A4828" s="54" t="n"/>
      <c r="B4828" s="61" t="n"/>
      <c r="C4828" s="61" t="n"/>
      <c r="D4828" s="61" t="n"/>
      <c r="E4828" s="61" t="n"/>
      <c r="F4828" s="55" t="n"/>
      <c r="G4828" s="56" t="n"/>
      <c r="H4828" s="55" t="n"/>
      <c r="I4828" s="62" t="n"/>
      <c r="J4828" s="58" t="n"/>
      <c r="K4828" s="63">
        <f>IF(tblMovement[[#This Row],[Source]]="","",IFERROR(INDEX(tblSources[Type],MATCH(tblMovement[[#This Row],[Source]],tblSources[Source],0)),"?"))</f>
        <v/>
      </c>
      <c r="L4828" s="63">
        <f>IF(tblMovement[[#This Row],[Destination]]="","",IFERROR(INDEX(tblDestinations[Type],MATCH(tblMovement[[#This Row],[Destination]],tblDestinations[Destination],0)),"?"))</f>
        <v/>
      </c>
      <c r="M4828" s="64">
        <f>IF(tblMovement[[#This Row],[Material]]="","",IF(LEFT(tblMovement[[#This Row],[Material]],3)="Ore",1,0))</f>
        <v/>
      </c>
      <c r="N4828" s="59">
        <f>IF(OR(tblMovement[[#This Row],[Tonnes_t]]="",tblMovement[[#This Row],[Grade_gpt]]=""),0,tblMovement[[#This Row],[Tonnes_t]]*tblMovement[[#This Row],[Grade_gpt]]/cfg_TroyOz)</f>
        <v/>
      </c>
      <c r="O4828" s="59">
        <f>IF(tblMovement[[#This Row],[Is_Ore]]=1,tblMovement[[#This Row],[Contained_oz]],0)</f>
        <v/>
      </c>
    </row>
    <row r="4829">
      <c r="A4829" s="54" t="n"/>
      <c r="B4829" s="61" t="n"/>
      <c r="C4829" s="61" t="n"/>
      <c r="D4829" s="61" t="n"/>
      <c r="E4829" s="61" t="n"/>
      <c r="F4829" s="55" t="n"/>
      <c r="G4829" s="56" t="n"/>
      <c r="H4829" s="55" t="n"/>
      <c r="I4829" s="62" t="n"/>
      <c r="J4829" s="58" t="n"/>
      <c r="K4829" s="63">
        <f>IF(tblMovement[[#This Row],[Source]]="","",IFERROR(INDEX(tblSources[Type],MATCH(tblMovement[[#This Row],[Source]],tblSources[Source],0)),"?"))</f>
        <v/>
      </c>
      <c r="L4829" s="63">
        <f>IF(tblMovement[[#This Row],[Destination]]="","",IFERROR(INDEX(tblDestinations[Type],MATCH(tblMovement[[#This Row],[Destination]],tblDestinations[Destination],0)),"?"))</f>
        <v/>
      </c>
      <c r="M4829" s="64">
        <f>IF(tblMovement[[#This Row],[Material]]="","",IF(LEFT(tblMovement[[#This Row],[Material]],3)="Ore",1,0))</f>
        <v/>
      </c>
      <c r="N4829" s="59">
        <f>IF(OR(tblMovement[[#This Row],[Tonnes_t]]="",tblMovement[[#This Row],[Grade_gpt]]=""),0,tblMovement[[#This Row],[Tonnes_t]]*tblMovement[[#This Row],[Grade_gpt]]/cfg_TroyOz)</f>
        <v/>
      </c>
      <c r="O4829" s="59">
        <f>IF(tblMovement[[#This Row],[Is_Ore]]=1,tblMovement[[#This Row],[Contained_oz]],0)</f>
        <v/>
      </c>
    </row>
    <row r="4830">
      <c r="A4830" s="54" t="n"/>
      <c r="B4830" s="61" t="n"/>
      <c r="C4830" s="61" t="n"/>
      <c r="D4830" s="61" t="n"/>
      <c r="E4830" s="61" t="n"/>
      <c r="F4830" s="55" t="n"/>
      <c r="G4830" s="56" t="n"/>
      <c r="H4830" s="55" t="n"/>
      <c r="I4830" s="62" t="n"/>
      <c r="J4830" s="58" t="n"/>
      <c r="K4830" s="63">
        <f>IF(tblMovement[[#This Row],[Source]]="","",IFERROR(INDEX(tblSources[Type],MATCH(tblMovement[[#This Row],[Source]],tblSources[Source],0)),"?"))</f>
        <v/>
      </c>
      <c r="L4830" s="63">
        <f>IF(tblMovement[[#This Row],[Destination]]="","",IFERROR(INDEX(tblDestinations[Type],MATCH(tblMovement[[#This Row],[Destination]],tblDestinations[Destination],0)),"?"))</f>
        <v/>
      </c>
      <c r="M4830" s="64">
        <f>IF(tblMovement[[#This Row],[Material]]="","",IF(LEFT(tblMovement[[#This Row],[Material]],3)="Ore",1,0))</f>
        <v/>
      </c>
      <c r="N4830" s="59">
        <f>IF(OR(tblMovement[[#This Row],[Tonnes_t]]="",tblMovement[[#This Row],[Grade_gpt]]=""),0,tblMovement[[#This Row],[Tonnes_t]]*tblMovement[[#This Row],[Grade_gpt]]/cfg_TroyOz)</f>
        <v/>
      </c>
      <c r="O4830" s="59">
        <f>IF(tblMovement[[#This Row],[Is_Ore]]=1,tblMovement[[#This Row],[Contained_oz]],0)</f>
        <v/>
      </c>
    </row>
    <row r="4831">
      <c r="A4831" s="54" t="n"/>
      <c r="B4831" s="61" t="n"/>
      <c r="C4831" s="61" t="n"/>
      <c r="D4831" s="61" t="n"/>
      <c r="E4831" s="61" t="n"/>
      <c r="F4831" s="55" t="n"/>
      <c r="G4831" s="56" t="n"/>
      <c r="H4831" s="55" t="n"/>
      <c r="I4831" s="62" t="n"/>
      <c r="J4831" s="58" t="n"/>
      <c r="K4831" s="63">
        <f>IF(tblMovement[[#This Row],[Source]]="","",IFERROR(INDEX(tblSources[Type],MATCH(tblMovement[[#This Row],[Source]],tblSources[Source],0)),"?"))</f>
        <v/>
      </c>
      <c r="L4831" s="63">
        <f>IF(tblMovement[[#This Row],[Destination]]="","",IFERROR(INDEX(tblDestinations[Type],MATCH(tblMovement[[#This Row],[Destination]],tblDestinations[Destination],0)),"?"))</f>
        <v/>
      </c>
      <c r="M4831" s="64">
        <f>IF(tblMovement[[#This Row],[Material]]="","",IF(LEFT(tblMovement[[#This Row],[Material]],3)="Ore",1,0))</f>
        <v/>
      </c>
      <c r="N4831" s="59">
        <f>IF(OR(tblMovement[[#This Row],[Tonnes_t]]="",tblMovement[[#This Row],[Grade_gpt]]=""),0,tblMovement[[#This Row],[Tonnes_t]]*tblMovement[[#This Row],[Grade_gpt]]/cfg_TroyOz)</f>
        <v/>
      </c>
      <c r="O4831" s="59">
        <f>IF(tblMovement[[#This Row],[Is_Ore]]=1,tblMovement[[#This Row],[Contained_oz]],0)</f>
        <v/>
      </c>
    </row>
    <row r="4832">
      <c r="A4832" s="54" t="n"/>
      <c r="B4832" s="61" t="n"/>
      <c r="C4832" s="61" t="n"/>
      <c r="D4832" s="61" t="n"/>
      <c r="E4832" s="61" t="n"/>
      <c r="F4832" s="55" t="n"/>
      <c r="G4832" s="56" t="n"/>
      <c r="H4832" s="55" t="n"/>
      <c r="I4832" s="62" t="n"/>
      <c r="J4832" s="58" t="n"/>
      <c r="K4832" s="63">
        <f>IF(tblMovement[[#This Row],[Source]]="","",IFERROR(INDEX(tblSources[Type],MATCH(tblMovement[[#This Row],[Source]],tblSources[Source],0)),"?"))</f>
        <v/>
      </c>
      <c r="L4832" s="63">
        <f>IF(tblMovement[[#This Row],[Destination]]="","",IFERROR(INDEX(tblDestinations[Type],MATCH(tblMovement[[#This Row],[Destination]],tblDestinations[Destination],0)),"?"))</f>
        <v/>
      </c>
      <c r="M4832" s="64">
        <f>IF(tblMovement[[#This Row],[Material]]="","",IF(LEFT(tblMovement[[#This Row],[Material]],3)="Ore",1,0))</f>
        <v/>
      </c>
      <c r="N4832" s="59">
        <f>IF(OR(tblMovement[[#This Row],[Tonnes_t]]="",tblMovement[[#This Row],[Grade_gpt]]=""),0,tblMovement[[#This Row],[Tonnes_t]]*tblMovement[[#This Row],[Grade_gpt]]/cfg_TroyOz)</f>
        <v/>
      </c>
      <c r="O4832" s="59">
        <f>IF(tblMovement[[#This Row],[Is_Ore]]=1,tblMovement[[#This Row],[Contained_oz]],0)</f>
        <v/>
      </c>
    </row>
    <row r="4833">
      <c r="A4833" s="54" t="n"/>
      <c r="B4833" s="61" t="n"/>
      <c r="C4833" s="61" t="n"/>
      <c r="D4833" s="61" t="n"/>
      <c r="E4833" s="61" t="n"/>
      <c r="F4833" s="55" t="n"/>
      <c r="G4833" s="56" t="n"/>
      <c r="H4833" s="55" t="n"/>
      <c r="I4833" s="62" t="n"/>
      <c r="J4833" s="58" t="n"/>
      <c r="K4833" s="63">
        <f>IF(tblMovement[[#This Row],[Source]]="","",IFERROR(INDEX(tblSources[Type],MATCH(tblMovement[[#This Row],[Source]],tblSources[Source],0)),"?"))</f>
        <v/>
      </c>
      <c r="L4833" s="63">
        <f>IF(tblMovement[[#This Row],[Destination]]="","",IFERROR(INDEX(tblDestinations[Type],MATCH(tblMovement[[#This Row],[Destination]],tblDestinations[Destination],0)),"?"))</f>
        <v/>
      </c>
      <c r="M4833" s="64">
        <f>IF(tblMovement[[#This Row],[Material]]="","",IF(LEFT(tblMovement[[#This Row],[Material]],3)="Ore",1,0))</f>
        <v/>
      </c>
      <c r="N4833" s="59">
        <f>IF(OR(tblMovement[[#This Row],[Tonnes_t]]="",tblMovement[[#This Row],[Grade_gpt]]=""),0,tblMovement[[#This Row],[Tonnes_t]]*tblMovement[[#This Row],[Grade_gpt]]/cfg_TroyOz)</f>
        <v/>
      </c>
      <c r="O4833" s="59">
        <f>IF(tblMovement[[#This Row],[Is_Ore]]=1,tblMovement[[#This Row],[Contained_oz]],0)</f>
        <v/>
      </c>
    </row>
    <row r="4834">
      <c r="A4834" s="54" t="n"/>
      <c r="B4834" s="61" t="n"/>
      <c r="C4834" s="61" t="n"/>
      <c r="D4834" s="61" t="n"/>
      <c r="E4834" s="61" t="n"/>
      <c r="F4834" s="55" t="n"/>
      <c r="G4834" s="56" t="n"/>
      <c r="H4834" s="55" t="n"/>
      <c r="I4834" s="62" t="n"/>
      <c r="J4834" s="58" t="n"/>
      <c r="K4834" s="63">
        <f>IF(tblMovement[[#This Row],[Source]]="","",IFERROR(INDEX(tblSources[Type],MATCH(tblMovement[[#This Row],[Source]],tblSources[Source],0)),"?"))</f>
        <v/>
      </c>
      <c r="L4834" s="63">
        <f>IF(tblMovement[[#This Row],[Destination]]="","",IFERROR(INDEX(tblDestinations[Type],MATCH(tblMovement[[#This Row],[Destination]],tblDestinations[Destination],0)),"?"))</f>
        <v/>
      </c>
      <c r="M4834" s="64">
        <f>IF(tblMovement[[#This Row],[Material]]="","",IF(LEFT(tblMovement[[#This Row],[Material]],3)="Ore",1,0))</f>
        <v/>
      </c>
      <c r="N4834" s="59">
        <f>IF(OR(tblMovement[[#This Row],[Tonnes_t]]="",tblMovement[[#This Row],[Grade_gpt]]=""),0,tblMovement[[#This Row],[Tonnes_t]]*tblMovement[[#This Row],[Grade_gpt]]/cfg_TroyOz)</f>
        <v/>
      </c>
      <c r="O4834" s="59">
        <f>IF(tblMovement[[#This Row],[Is_Ore]]=1,tblMovement[[#This Row],[Contained_oz]],0)</f>
        <v/>
      </c>
    </row>
    <row r="4835">
      <c r="A4835" s="54" t="n"/>
      <c r="B4835" s="61" t="n"/>
      <c r="C4835" s="61" t="n"/>
      <c r="D4835" s="61" t="n"/>
      <c r="E4835" s="61" t="n"/>
      <c r="F4835" s="55" t="n"/>
      <c r="G4835" s="56" t="n"/>
      <c r="H4835" s="55" t="n"/>
      <c r="I4835" s="62" t="n"/>
      <c r="J4835" s="58" t="n"/>
      <c r="K4835" s="63">
        <f>IF(tblMovement[[#This Row],[Source]]="","",IFERROR(INDEX(tblSources[Type],MATCH(tblMovement[[#This Row],[Source]],tblSources[Source],0)),"?"))</f>
        <v/>
      </c>
      <c r="L4835" s="63">
        <f>IF(tblMovement[[#This Row],[Destination]]="","",IFERROR(INDEX(tblDestinations[Type],MATCH(tblMovement[[#This Row],[Destination]],tblDestinations[Destination],0)),"?"))</f>
        <v/>
      </c>
      <c r="M4835" s="64">
        <f>IF(tblMovement[[#This Row],[Material]]="","",IF(LEFT(tblMovement[[#This Row],[Material]],3)="Ore",1,0))</f>
        <v/>
      </c>
      <c r="N4835" s="59">
        <f>IF(OR(tblMovement[[#This Row],[Tonnes_t]]="",tblMovement[[#This Row],[Grade_gpt]]=""),0,tblMovement[[#This Row],[Tonnes_t]]*tblMovement[[#This Row],[Grade_gpt]]/cfg_TroyOz)</f>
        <v/>
      </c>
      <c r="O4835" s="59">
        <f>IF(tblMovement[[#This Row],[Is_Ore]]=1,tblMovement[[#This Row],[Contained_oz]],0)</f>
        <v/>
      </c>
    </row>
    <row r="4836">
      <c r="A4836" s="54" t="n"/>
      <c r="B4836" s="61" t="n"/>
      <c r="C4836" s="61" t="n"/>
      <c r="D4836" s="61" t="n"/>
      <c r="E4836" s="61" t="n"/>
      <c r="F4836" s="55" t="n"/>
      <c r="G4836" s="56" t="n"/>
      <c r="H4836" s="55" t="n"/>
      <c r="I4836" s="62" t="n"/>
      <c r="J4836" s="58" t="n"/>
      <c r="K4836" s="63">
        <f>IF(tblMovement[[#This Row],[Source]]="","",IFERROR(INDEX(tblSources[Type],MATCH(tblMovement[[#This Row],[Source]],tblSources[Source],0)),"?"))</f>
        <v/>
      </c>
      <c r="L4836" s="63">
        <f>IF(tblMovement[[#This Row],[Destination]]="","",IFERROR(INDEX(tblDestinations[Type],MATCH(tblMovement[[#This Row],[Destination]],tblDestinations[Destination],0)),"?"))</f>
        <v/>
      </c>
      <c r="M4836" s="64">
        <f>IF(tblMovement[[#This Row],[Material]]="","",IF(LEFT(tblMovement[[#This Row],[Material]],3)="Ore",1,0))</f>
        <v/>
      </c>
      <c r="N4836" s="59">
        <f>IF(OR(tblMovement[[#This Row],[Tonnes_t]]="",tblMovement[[#This Row],[Grade_gpt]]=""),0,tblMovement[[#This Row],[Tonnes_t]]*tblMovement[[#This Row],[Grade_gpt]]/cfg_TroyOz)</f>
        <v/>
      </c>
      <c r="O4836" s="59">
        <f>IF(tblMovement[[#This Row],[Is_Ore]]=1,tblMovement[[#This Row],[Contained_oz]],0)</f>
        <v/>
      </c>
    </row>
    <row r="4837">
      <c r="A4837" s="54" t="n"/>
      <c r="B4837" s="61" t="n"/>
      <c r="C4837" s="61" t="n"/>
      <c r="D4837" s="61" t="n"/>
      <c r="E4837" s="61" t="n"/>
      <c r="F4837" s="55" t="n"/>
      <c r="G4837" s="56" t="n"/>
      <c r="H4837" s="55" t="n"/>
      <c r="I4837" s="62" t="n"/>
      <c r="J4837" s="58" t="n"/>
      <c r="K4837" s="63">
        <f>IF(tblMovement[[#This Row],[Source]]="","",IFERROR(INDEX(tblSources[Type],MATCH(tblMovement[[#This Row],[Source]],tblSources[Source],0)),"?"))</f>
        <v/>
      </c>
      <c r="L4837" s="63">
        <f>IF(tblMovement[[#This Row],[Destination]]="","",IFERROR(INDEX(tblDestinations[Type],MATCH(tblMovement[[#This Row],[Destination]],tblDestinations[Destination],0)),"?"))</f>
        <v/>
      </c>
      <c r="M4837" s="64">
        <f>IF(tblMovement[[#This Row],[Material]]="","",IF(LEFT(tblMovement[[#This Row],[Material]],3)="Ore",1,0))</f>
        <v/>
      </c>
      <c r="N4837" s="59">
        <f>IF(OR(tblMovement[[#This Row],[Tonnes_t]]="",tblMovement[[#This Row],[Grade_gpt]]=""),0,tblMovement[[#This Row],[Tonnes_t]]*tblMovement[[#This Row],[Grade_gpt]]/cfg_TroyOz)</f>
        <v/>
      </c>
      <c r="O4837" s="59">
        <f>IF(tblMovement[[#This Row],[Is_Ore]]=1,tblMovement[[#This Row],[Contained_oz]],0)</f>
        <v/>
      </c>
    </row>
    <row r="4838">
      <c r="A4838" s="54" t="n"/>
      <c r="B4838" s="61" t="n"/>
      <c r="C4838" s="61" t="n"/>
      <c r="D4838" s="61" t="n"/>
      <c r="E4838" s="61" t="n"/>
      <c r="F4838" s="55" t="n"/>
      <c r="G4838" s="56" t="n"/>
      <c r="H4838" s="55" t="n"/>
      <c r="I4838" s="62" t="n"/>
      <c r="J4838" s="58" t="n"/>
      <c r="K4838" s="63">
        <f>IF(tblMovement[[#This Row],[Source]]="","",IFERROR(INDEX(tblSources[Type],MATCH(tblMovement[[#This Row],[Source]],tblSources[Source],0)),"?"))</f>
        <v/>
      </c>
      <c r="L4838" s="63">
        <f>IF(tblMovement[[#This Row],[Destination]]="","",IFERROR(INDEX(tblDestinations[Type],MATCH(tblMovement[[#This Row],[Destination]],tblDestinations[Destination],0)),"?"))</f>
        <v/>
      </c>
      <c r="M4838" s="64">
        <f>IF(tblMovement[[#This Row],[Material]]="","",IF(LEFT(tblMovement[[#This Row],[Material]],3)="Ore",1,0))</f>
        <v/>
      </c>
      <c r="N4838" s="59">
        <f>IF(OR(tblMovement[[#This Row],[Tonnes_t]]="",tblMovement[[#This Row],[Grade_gpt]]=""),0,tblMovement[[#This Row],[Tonnes_t]]*tblMovement[[#This Row],[Grade_gpt]]/cfg_TroyOz)</f>
        <v/>
      </c>
      <c r="O4838" s="59">
        <f>IF(tblMovement[[#This Row],[Is_Ore]]=1,tblMovement[[#This Row],[Contained_oz]],0)</f>
        <v/>
      </c>
    </row>
    <row r="4839">
      <c r="A4839" s="54" t="n"/>
      <c r="B4839" s="61" t="n"/>
      <c r="C4839" s="61" t="n"/>
      <c r="D4839" s="61" t="n"/>
      <c r="E4839" s="61" t="n"/>
      <c r="F4839" s="55" t="n"/>
      <c r="G4839" s="56" t="n"/>
      <c r="H4839" s="55" t="n"/>
      <c r="I4839" s="62" t="n"/>
      <c r="J4839" s="58" t="n"/>
      <c r="K4839" s="63">
        <f>IF(tblMovement[[#This Row],[Source]]="","",IFERROR(INDEX(tblSources[Type],MATCH(tblMovement[[#This Row],[Source]],tblSources[Source],0)),"?"))</f>
        <v/>
      </c>
      <c r="L4839" s="63">
        <f>IF(tblMovement[[#This Row],[Destination]]="","",IFERROR(INDEX(tblDestinations[Type],MATCH(tblMovement[[#This Row],[Destination]],tblDestinations[Destination],0)),"?"))</f>
        <v/>
      </c>
      <c r="M4839" s="64">
        <f>IF(tblMovement[[#This Row],[Material]]="","",IF(LEFT(tblMovement[[#This Row],[Material]],3)="Ore",1,0))</f>
        <v/>
      </c>
      <c r="N4839" s="59">
        <f>IF(OR(tblMovement[[#This Row],[Tonnes_t]]="",tblMovement[[#This Row],[Grade_gpt]]=""),0,tblMovement[[#This Row],[Tonnes_t]]*tblMovement[[#This Row],[Grade_gpt]]/cfg_TroyOz)</f>
        <v/>
      </c>
      <c r="O4839" s="59">
        <f>IF(tblMovement[[#This Row],[Is_Ore]]=1,tblMovement[[#This Row],[Contained_oz]],0)</f>
        <v/>
      </c>
    </row>
    <row r="4840">
      <c r="A4840" s="54" t="n"/>
      <c r="B4840" s="61" t="n"/>
      <c r="C4840" s="61" t="n"/>
      <c r="D4840" s="61" t="n"/>
      <c r="E4840" s="61" t="n"/>
      <c r="F4840" s="55" t="n"/>
      <c r="G4840" s="56" t="n"/>
      <c r="H4840" s="55" t="n"/>
      <c r="I4840" s="62" t="n"/>
      <c r="J4840" s="58" t="n"/>
      <c r="K4840" s="63">
        <f>IF(tblMovement[[#This Row],[Source]]="","",IFERROR(INDEX(tblSources[Type],MATCH(tblMovement[[#This Row],[Source]],tblSources[Source],0)),"?"))</f>
        <v/>
      </c>
      <c r="L4840" s="63">
        <f>IF(tblMovement[[#This Row],[Destination]]="","",IFERROR(INDEX(tblDestinations[Type],MATCH(tblMovement[[#This Row],[Destination]],tblDestinations[Destination],0)),"?"))</f>
        <v/>
      </c>
      <c r="M4840" s="64">
        <f>IF(tblMovement[[#This Row],[Material]]="","",IF(LEFT(tblMovement[[#This Row],[Material]],3)="Ore",1,0))</f>
        <v/>
      </c>
      <c r="N4840" s="59">
        <f>IF(OR(tblMovement[[#This Row],[Tonnes_t]]="",tblMovement[[#This Row],[Grade_gpt]]=""),0,tblMovement[[#This Row],[Tonnes_t]]*tblMovement[[#This Row],[Grade_gpt]]/cfg_TroyOz)</f>
        <v/>
      </c>
      <c r="O4840" s="59">
        <f>IF(tblMovement[[#This Row],[Is_Ore]]=1,tblMovement[[#This Row],[Contained_oz]],0)</f>
        <v/>
      </c>
    </row>
    <row r="4841">
      <c r="A4841" s="54" t="n"/>
      <c r="B4841" s="61" t="n"/>
      <c r="C4841" s="61" t="n"/>
      <c r="D4841" s="61" t="n"/>
      <c r="E4841" s="61" t="n"/>
      <c r="F4841" s="55" t="n"/>
      <c r="G4841" s="56" t="n"/>
      <c r="H4841" s="55" t="n"/>
      <c r="I4841" s="62" t="n"/>
      <c r="J4841" s="58" t="n"/>
      <c r="K4841" s="63">
        <f>IF(tblMovement[[#This Row],[Source]]="","",IFERROR(INDEX(tblSources[Type],MATCH(tblMovement[[#This Row],[Source]],tblSources[Source],0)),"?"))</f>
        <v/>
      </c>
      <c r="L4841" s="63">
        <f>IF(tblMovement[[#This Row],[Destination]]="","",IFERROR(INDEX(tblDestinations[Type],MATCH(tblMovement[[#This Row],[Destination]],tblDestinations[Destination],0)),"?"))</f>
        <v/>
      </c>
      <c r="M4841" s="64">
        <f>IF(tblMovement[[#This Row],[Material]]="","",IF(LEFT(tblMovement[[#This Row],[Material]],3)="Ore",1,0))</f>
        <v/>
      </c>
      <c r="N4841" s="59">
        <f>IF(OR(tblMovement[[#This Row],[Tonnes_t]]="",tblMovement[[#This Row],[Grade_gpt]]=""),0,tblMovement[[#This Row],[Tonnes_t]]*tblMovement[[#This Row],[Grade_gpt]]/cfg_TroyOz)</f>
        <v/>
      </c>
      <c r="O4841" s="59">
        <f>IF(tblMovement[[#This Row],[Is_Ore]]=1,tblMovement[[#This Row],[Contained_oz]],0)</f>
        <v/>
      </c>
    </row>
    <row r="4842">
      <c r="A4842" s="54" t="n"/>
      <c r="B4842" s="61" t="n"/>
      <c r="C4842" s="61" t="n"/>
      <c r="D4842" s="61" t="n"/>
      <c r="E4842" s="61" t="n"/>
      <c r="F4842" s="55" t="n"/>
      <c r="G4842" s="56" t="n"/>
      <c r="H4842" s="55" t="n"/>
      <c r="I4842" s="62" t="n"/>
      <c r="J4842" s="58" t="n"/>
      <c r="K4842" s="63">
        <f>IF(tblMovement[[#This Row],[Source]]="","",IFERROR(INDEX(tblSources[Type],MATCH(tblMovement[[#This Row],[Source]],tblSources[Source],0)),"?"))</f>
        <v/>
      </c>
      <c r="L4842" s="63">
        <f>IF(tblMovement[[#This Row],[Destination]]="","",IFERROR(INDEX(tblDestinations[Type],MATCH(tblMovement[[#This Row],[Destination]],tblDestinations[Destination],0)),"?"))</f>
        <v/>
      </c>
      <c r="M4842" s="64">
        <f>IF(tblMovement[[#This Row],[Material]]="","",IF(LEFT(tblMovement[[#This Row],[Material]],3)="Ore",1,0))</f>
        <v/>
      </c>
      <c r="N4842" s="59">
        <f>IF(OR(tblMovement[[#This Row],[Tonnes_t]]="",tblMovement[[#This Row],[Grade_gpt]]=""),0,tblMovement[[#This Row],[Tonnes_t]]*tblMovement[[#This Row],[Grade_gpt]]/cfg_TroyOz)</f>
        <v/>
      </c>
      <c r="O4842" s="59">
        <f>IF(tblMovement[[#This Row],[Is_Ore]]=1,tblMovement[[#This Row],[Contained_oz]],0)</f>
        <v/>
      </c>
    </row>
    <row r="4843">
      <c r="A4843" s="54" t="n"/>
      <c r="B4843" s="61" t="n"/>
      <c r="C4843" s="61" t="n"/>
      <c r="D4843" s="61" t="n"/>
      <c r="E4843" s="61" t="n"/>
      <c r="F4843" s="55" t="n"/>
      <c r="G4843" s="56" t="n"/>
      <c r="H4843" s="55" t="n"/>
      <c r="I4843" s="62" t="n"/>
      <c r="J4843" s="58" t="n"/>
      <c r="K4843" s="63">
        <f>IF(tblMovement[[#This Row],[Source]]="","",IFERROR(INDEX(tblSources[Type],MATCH(tblMovement[[#This Row],[Source]],tblSources[Source],0)),"?"))</f>
        <v/>
      </c>
      <c r="L4843" s="63">
        <f>IF(tblMovement[[#This Row],[Destination]]="","",IFERROR(INDEX(tblDestinations[Type],MATCH(tblMovement[[#This Row],[Destination]],tblDestinations[Destination],0)),"?"))</f>
        <v/>
      </c>
      <c r="M4843" s="64">
        <f>IF(tblMovement[[#This Row],[Material]]="","",IF(LEFT(tblMovement[[#This Row],[Material]],3)="Ore",1,0))</f>
        <v/>
      </c>
      <c r="N4843" s="59">
        <f>IF(OR(tblMovement[[#This Row],[Tonnes_t]]="",tblMovement[[#This Row],[Grade_gpt]]=""),0,tblMovement[[#This Row],[Tonnes_t]]*tblMovement[[#This Row],[Grade_gpt]]/cfg_TroyOz)</f>
        <v/>
      </c>
      <c r="O4843" s="59">
        <f>IF(tblMovement[[#This Row],[Is_Ore]]=1,tblMovement[[#This Row],[Contained_oz]],0)</f>
        <v/>
      </c>
    </row>
    <row r="4844">
      <c r="A4844" s="54" t="n"/>
      <c r="B4844" s="61" t="n"/>
      <c r="C4844" s="61" t="n"/>
      <c r="D4844" s="61" t="n"/>
      <c r="E4844" s="61" t="n"/>
      <c r="F4844" s="55" t="n"/>
      <c r="G4844" s="56" t="n"/>
      <c r="H4844" s="55" t="n"/>
      <c r="I4844" s="62" t="n"/>
      <c r="J4844" s="58" t="n"/>
      <c r="K4844" s="63">
        <f>IF(tblMovement[[#This Row],[Source]]="","",IFERROR(INDEX(tblSources[Type],MATCH(tblMovement[[#This Row],[Source]],tblSources[Source],0)),"?"))</f>
        <v/>
      </c>
      <c r="L4844" s="63">
        <f>IF(tblMovement[[#This Row],[Destination]]="","",IFERROR(INDEX(tblDestinations[Type],MATCH(tblMovement[[#This Row],[Destination]],tblDestinations[Destination],0)),"?"))</f>
        <v/>
      </c>
      <c r="M4844" s="64">
        <f>IF(tblMovement[[#This Row],[Material]]="","",IF(LEFT(tblMovement[[#This Row],[Material]],3)="Ore",1,0))</f>
        <v/>
      </c>
      <c r="N4844" s="59">
        <f>IF(OR(tblMovement[[#This Row],[Tonnes_t]]="",tblMovement[[#This Row],[Grade_gpt]]=""),0,tblMovement[[#This Row],[Tonnes_t]]*tblMovement[[#This Row],[Grade_gpt]]/cfg_TroyOz)</f>
        <v/>
      </c>
      <c r="O4844" s="59">
        <f>IF(tblMovement[[#This Row],[Is_Ore]]=1,tblMovement[[#This Row],[Contained_oz]],0)</f>
        <v/>
      </c>
    </row>
    <row r="4845">
      <c r="A4845" s="54" t="n"/>
      <c r="B4845" s="61" t="n"/>
      <c r="C4845" s="61" t="n"/>
      <c r="D4845" s="61" t="n"/>
      <c r="E4845" s="61" t="n"/>
      <c r="F4845" s="55" t="n"/>
      <c r="G4845" s="56" t="n"/>
      <c r="H4845" s="55" t="n"/>
      <c r="I4845" s="62" t="n"/>
      <c r="J4845" s="58" t="n"/>
      <c r="K4845" s="63">
        <f>IF(tblMovement[[#This Row],[Source]]="","",IFERROR(INDEX(tblSources[Type],MATCH(tblMovement[[#This Row],[Source]],tblSources[Source],0)),"?"))</f>
        <v/>
      </c>
      <c r="L4845" s="63">
        <f>IF(tblMovement[[#This Row],[Destination]]="","",IFERROR(INDEX(tblDestinations[Type],MATCH(tblMovement[[#This Row],[Destination]],tblDestinations[Destination],0)),"?"))</f>
        <v/>
      </c>
      <c r="M4845" s="64">
        <f>IF(tblMovement[[#This Row],[Material]]="","",IF(LEFT(tblMovement[[#This Row],[Material]],3)="Ore",1,0))</f>
        <v/>
      </c>
      <c r="N4845" s="59">
        <f>IF(OR(tblMovement[[#This Row],[Tonnes_t]]="",tblMovement[[#This Row],[Grade_gpt]]=""),0,tblMovement[[#This Row],[Tonnes_t]]*tblMovement[[#This Row],[Grade_gpt]]/cfg_TroyOz)</f>
        <v/>
      </c>
      <c r="O4845" s="59">
        <f>IF(tblMovement[[#This Row],[Is_Ore]]=1,tblMovement[[#This Row],[Contained_oz]],0)</f>
        <v/>
      </c>
    </row>
    <row r="4846">
      <c r="A4846" s="54" t="n"/>
      <c r="B4846" s="61" t="n"/>
      <c r="C4846" s="61" t="n"/>
      <c r="D4846" s="61" t="n"/>
      <c r="E4846" s="61" t="n"/>
      <c r="F4846" s="55" t="n"/>
      <c r="G4846" s="56" t="n"/>
      <c r="H4846" s="55" t="n"/>
      <c r="I4846" s="62" t="n"/>
      <c r="J4846" s="58" t="n"/>
      <c r="K4846" s="63">
        <f>IF(tblMovement[[#This Row],[Source]]="","",IFERROR(INDEX(tblSources[Type],MATCH(tblMovement[[#This Row],[Source]],tblSources[Source],0)),"?"))</f>
        <v/>
      </c>
      <c r="L4846" s="63">
        <f>IF(tblMovement[[#This Row],[Destination]]="","",IFERROR(INDEX(tblDestinations[Type],MATCH(tblMovement[[#This Row],[Destination]],tblDestinations[Destination],0)),"?"))</f>
        <v/>
      </c>
      <c r="M4846" s="64">
        <f>IF(tblMovement[[#This Row],[Material]]="","",IF(LEFT(tblMovement[[#This Row],[Material]],3)="Ore",1,0))</f>
        <v/>
      </c>
      <c r="N4846" s="59">
        <f>IF(OR(tblMovement[[#This Row],[Tonnes_t]]="",tblMovement[[#This Row],[Grade_gpt]]=""),0,tblMovement[[#This Row],[Tonnes_t]]*tblMovement[[#This Row],[Grade_gpt]]/cfg_TroyOz)</f>
        <v/>
      </c>
      <c r="O4846" s="59">
        <f>IF(tblMovement[[#This Row],[Is_Ore]]=1,tblMovement[[#This Row],[Contained_oz]],0)</f>
        <v/>
      </c>
    </row>
    <row r="4847">
      <c r="A4847" s="54" t="n"/>
      <c r="B4847" s="61" t="n"/>
      <c r="C4847" s="61" t="n"/>
      <c r="D4847" s="61" t="n"/>
      <c r="E4847" s="61" t="n"/>
      <c r="F4847" s="55" t="n"/>
      <c r="G4847" s="56" t="n"/>
      <c r="H4847" s="55" t="n"/>
      <c r="I4847" s="62" t="n"/>
      <c r="J4847" s="58" t="n"/>
      <c r="K4847" s="63">
        <f>IF(tblMovement[[#This Row],[Source]]="","",IFERROR(INDEX(tblSources[Type],MATCH(tblMovement[[#This Row],[Source]],tblSources[Source],0)),"?"))</f>
        <v/>
      </c>
      <c r="L4847" s="63">
        <f>IF(tblMovement[[#This Row],[Destination]]="","",IFERROR(INDEX(tblDestinations[Type],MATCH(tblMovement[[#This Row],[Destination]],tblDestinations[Destination],0)),"?"))</f>
        <v/>
      </c>
      <c r="M4847" s="64">
        <f>IF(tblMovement[[#This Row],[Material]]="","",IF(LEFT(tblMovement[[#This Row],[Material]],3)="Ore",1,0))</f>
        <v/>
      </c>
      <c r="N4847" s="59">
        <f>IF(OR(tblMovement[[#This Row],[Tonnes_t]]="",tblMovement[[#This Row],[Grade_gpt]]=""),0,tblMovement[[#This Row],[Tonnes_t]]*tblMovement[[#This Row],[Grade_gpt]]/cfg_TroyOz)</f>
        <v/>
      </c>
      <c r="O4847" s="59">
        <f>IF(tblMovement[[#This Row],[Is_Ore]]=1,tblMovement[[#This Row],[Contained_oz]],0)</f>
        <v/>
      </c>
    </row>
    <row r="4848">
      <c r="A4848" s="54" t="n"/>
      <c r="B4848" s="61" t="n"/>
      <c r="C4848" s="61" t="n"/>
      <c r="D4848" s="61" t="n"/>
      <c r="E4848" s="61" t="n"/>
      <c r="F4848" s="55" t="n"/>
      <c r="G4848" s="56" t="n"/>
      <c r="H4848" s="55" t="n"/>
      <c r="I4848" s="62" t="n"/>
      <c r="J4848" s="58" t="n"/>
      <c r="K4848" s="63">
        <f>IF(tblMovement[[#This Row],[Source]]="","",IFERROR(INDEX(tblSources[Type],MATCH(tblMovement[[#This Row],[Source]],tblSources[Source],0)),"?"))</f>
        <v/>
      </c>
      <c r="L4848" s="63">
        <f>IF(tblMovement[[#This Row],[Destination]]="","",IFERROR(INDEX(tblDestinations[Type],MATCH(tblMovement[[#This Row],[Destination]],tblDestinations[Destination],0)),"?"))</f>
        <v/>
      </c>
      <c r="M4848" s="64">
        <f>IF(tblMovement[[#This Row],[Material]]="","",IF(LEFT(tblMovement[[#This Row],[Material]],3)="Ore",1,0))</f>
        <v/>
      </c>
      <c r="N4848" s="59">
        <f>IF(OR(tblMovement[[#This Row],[Tonnes_t]]="",tblMovement[[#This Row],[Grade_gpt]]=""),0,tblMovement[[#This Row],[Tonnes_t]]*tblMovement[[#This Row],[Grade_gpt]]/cfg_TroyOz)</f>
        <v/>
      </c>
      <c r="O4848" s="59">
        <f>IF(tblMovement[[#This Row],[Is_Ore]]=1,tblMovement[[#This Row],[Contained_oz]],0)</f>
        <v/>
      </c>
    </row>
    <row r="4849">
      <c r="A4849" s="54" t="n"/>
      <c r="B4849" s="61" t="n"/>
      <c r="C4849" s="61" t="n"/>
      <c r="D4849" s="61" t="n"/>
      <c r="E4849" s="61" t="n"/>
      <c r="F4849" s="55" t="n"/>
      <c r="G4849" s="56" t="n"/>
      <c r="H4849" s="55" t="n"/>
      <c r="I4849" s="62" t="n"/>
      <c r="J4849" s="58" t="n"/>
      <c r="K4849" s="63">
        <f>IF(tblMovement[[#This Row],[Source]]="","",IFERROR(INDEX(tblSources[Type],MATCH(tblMovement[[#This Row],[Source]],tblSources[Source],0)),"?"))</f>
        <v/>
      </c>
      <c r="L4849" s="63">
        <f>IF(tblMovement[[#This Row],[Destination]]="","",IFERROR(INDEX(tblDestinations[Type],MATCH(tblMovement[[#This Row],[Destination]],tblDestinations[Destination],0)),"?"))</f>
        <v/>
      </c>
      <c r="M4849" s="64">
        <f>IF(tblMovement[[#This Row],[Material]]="","",IF(LEFT(tblMovement[[#This Row],[Material]],3)="Ore",1,0))</f>
        <v/>
      </c>
      <c r="N4849" s="59">
        <f>IF(OR(tblMovement[[#This Row],[Tonnes_t]]="",tblMovement[[#This Row],[Grade_gpt]]=""),0,tblMovement[[#This Row],[Tonnes_t]]*tblMovement[[#This Row],[Grade_gpt]]/cfg_TroyOz)</f>
        <v/>
      </c>
      <c r="O4849" s="59">
        <f>IF(tblMovement[[#This Row],[Is_Ore]]=1,tblMovement[[#This Row],[Contained_oz]],0)</f>
        <v/>
      </c>
    </row>
    <row r="4850">
      <c r="A4850" s="54" t="n"/>
      <c r="B4850" s="61" t="n"/>
      <c r="C4850" s="61" t="n"/>
      <c r="D4850" s="61" t="n"/>
      <c r="E4850" s="61" t="n"/>
      <c r="F4850" s="55" t="n"/>
      <c r="G4850" s="56" t="n"/>
      <c r="H4850" s="55" t="n"/>
      <c r="I4850" s="62" t="n"/>
      <c r="J4850" s="58" t="n"/>
      <c r="K4850" s="63">
        <f>IF(tblMovement[[#This Row],[Source]]="","",IFERROR(INDEX(tblSources[Type],MATCH(tblMovement[[#This Row],[Source]],tblSources[Source],0)),"?"))</f>
        <v/>
      </c>
      <c r="L4850" s="63">
        <f>IF(tblMovement[[#This Row],[Destination]]="","",IFERROR(INDEX(tblDestinations[Type],MATCH(tblMovement[[#This Row],[Destination]],tblDestinations[Destination],0)),"?"))</f>
        <v/>
      </c>
      <c r="M4850" s="64">
        <f>IF(tblMovement[[#This Row],[Material]]="","",IF(LEFT(tblMovement[[#This Row],[Material]],3)="Ore",1,0))</f>
        <v/>
      </c>
      <c r="N4850" s="59">
        <f>IF(OR(tblMovement[[#This Row],[Tonnes_t]]="",tblMovement[[#This Row],[Grade_gpt]]=""),0,tblMovement[[#This Row],[Tonnes_t]]*tblMovement[[#This Row],[Grade_gpt]]/cfg_TroyOz)</f>
        <v/>
      </c>
      <c r="O4850" s="59">
        <f>IF(tblMovement[[#This Row],[Is_Ore]]=1,tblMovement[[#This Row],[Contained_oz]],0)</f>
        <v/>
      </c>
    </row>
    <row r="4851">
      <c r="A4851" s="54" t="n"/>
      <c r="B4851" s="61" t="n"/>
      <c r="C4851" s="61" t="n"/>
      <c r="D4851" s="61" t="n"/>
      <c r="E4851" s="61" t="n"/>
      <c r="F4851" s="55" t="n"/>
      <c r="G4851" s="56" t="n"/>
      <c r="H4851" s="55" t="n"/>
      <c r="I4851" s="62" t="n"/>
      <c r="J4851" s="58" t="n"/>
      <c r="K4851" s="63">
        <f>IF(tblMovement[[#This Row],[Source]]="","",IFERROR(INDEX(tblSources[Type],MATCH(tblMovement[[#This Row],[Source]],tblSources[Source],0)),"?"))</f>
        <v/>
      </c>
      <c r="L4851" s="63">
        <f>IF(tblMovement[[#This Row],[Destination]]="","",IFERROR(INDEX(tblDestinations[Type],MATCH(tblMovement[[#This Row],[Destination]],tblDestinations[Destination],0)),"?"))</f>
        <v/>
      </c>
      <c r="M4851" s="64">
        <f>IF(tblMovement[[#This Row],[Material]]="","",IF(LEFT(tblMovement[[#This Row],[Material]],3)="Ore",1,0))</f>
        <v/>
      </c>
      <c r="N4851" s="59">
        <f>IF(OR(tblMovement[[#This Row],[Tonnes_t]]="",tblMovement[[#This Row],[Grade_gpt]]=""),0,tblMovement[[#This Row],[Tonnes_t]]*tblMovement[[#This Row],[Grade_gpt]]/cfg_TroyOz)</f>
        <v/>
      </c>
      <c r="O4851" s="59">
        <f>IF(tblMovement[[#This Row],[Is_Ore]]=1,tblMovement[[#This Row],[Contained_oz]],0)</f>
        <v/>
      </c>
    </row>
    <row r="4852">
      <c r="A4852" s="54" t="n"/>
      <c r="B4852" s="61" t="n"/>
      <c r="C4852" s="61" t="n"/>
      <c r="D4852" s="61" t="n"/>
      <c r="E4852" s="61" t="n"/>
      <c r="F4852" s="55" t="n"/>
      <c r="G4852" s="56" t="n"/>
      <c r="H4852" s="55" t="n"/>
      <c r="I4852" s="62" t="n"/>
      <c r="J4852" s="58" t="n"/>
      <c r="K4852" s="63">
        <f>IF(tblMovement[[#This Row],[Source]]="","",IFERROR(INDEX(tblSources[Type],MATCH(tblMovement[[#This Row],[Source]],tblSources[Source],0)),"?"))</f>
        <v/>
      </c>
      <c r="L4852" s="63">
        <f>IF(tblMovement[[#This Row],[Destination]]="","",IFERROR(INDEX(tblDestinations[Type],MATCH(tblMovement[[#This Row],[Destination]],tblDestinations[Destination],0)),"?"))</f>
        <v/>
      </c>
      <c r="M4852" s="64">
        <f>IF(tblMovement[[#This Row],[Material]]="","",IF(LEFT(tblMovement[[#This Row],[Material]],3)="Ore",1,0))</f>
        <v/>
      </c>
      <c r="N4852" s="59">
        <f>IF(OR(tblMovement[[#This Row],[Tonnes_t]]="",tblMovement[[#This Row],[Grade_gpt]]=""),0,tblMovement[[#This Row],[Tonnes_t]]*tblMovement[[#This Row],[Grade_gpt]]/cfg_TroyOz)</f>
        <v/>
      </c>
      <c r="O4852" s="59">
        <f>IF(tblMovement[[#This Row],[Is_Ore]]=1,tblMovement[[#This Row],[Contained_oz]],0)</f>
        <v/>
      </c>
    </row>
    <row r="4853">
      <c r="A4853" s="54" t="n"/>
      <c r="B4853" s="61" t="n"/>
      <c r="C4853" s="61" t="n"/>
      <c r="D4853" s="61" t="n"/>
      <c r="E4853" s="61" t="n"/>
      <c r="F4853" s="55" t="n"/>
      <c r="G4853" s="56" t="n"/>
      <c r="H4853" s="55" t="n"/>
      <c r="I4853" s="62" t="n"/>
      <c r="J4853" s="58" t="n"/>
      <c r="K4853" s="63">
        <f>IF(tblMovement[[#This Row],[Source]]="","",IFERROR(INDEX(tblSources[Type],MATCH(tblMovement[[#This Row],[Source]],tblSources[Source],0)),"?"))</f>
        <v/>
      </c>
      <c r="L4853" s="63">
        <f>IF(tblMovement[[#This Row],[Destination]]="","",IFERROR(INDEX(tblDestinations[Type],MATCH(tblMovement[[#This Row],[Destination]],tblDestinations[Destination],0)),"?"))</f>
        <v/>
      </c>
      <c r="M4853" s="64">
        <f>IF(tblMovement[[#This Row],[Material]]="","",IF(LEFT(tblMovement[[#This Row],[Material]],3)="Ore",1,0))</f>
        <v/>
      </c>
      <c r="N4853" s="59">
        <f>IF(OR(tblMovement[[#This Row],[Tonnes_t]]="",tblMovement[[#This Row],[Grade_gpt]]=""),0,tblMovement[[#This Row],[Tonnes_t]]*tblMovement[[#This Row],[Grade_gpt]]/cfg_TroyOz)</f>
        <v/>
      </c>
      <c r="O4853" s="59">
        <f>IF(tblMovement[[#This Row],[Is_Ore]]=1,tblMovement[[#This Row],[Contained_oz]],0)</f>
        <v/>
      </c>
    </row>
    <row r="4854">
      <c r="A4854" s="54" t="n"/>
      <c r="B4854" s="61" t="n"/>
      <c r="C4854" s="61" t="n"/>
      <c r="D4854" s="61" t="n"/>
      <c r="E4854" s="61" t="n"/>
      <c r="F4854" s="55" t="n"/>
      <c r="G4854" s="56" t="n"/>
      <c r="H4854" s="55" t="n"/>
      <c r="I4854" s="62" t="n"/>
      <c r="J4854" s="58" t="n"/>
      <c r="K4854" s="63">
        <f>IF(tblMovement[[#This Row],[Source]]="","",IFERROR(INDEX(tblSources[Type],MATCH(tblMovement[[#This Row],[Source]],tblSources[Source],0)),"?"))</f>
        <v/>
      </c>
      <c r="L4854" s="63">
        <f>IF(tblMovement[[#This Row],[Destination]]="","",IFERROR(INDEX(tblDestinations[Type],MATCH(tblMovement[[#This Row],[Destination]],tblDestinations[Destination],0)),"?"))</f>
        <v/>
      </c>
      <c r="M4854" s="64">
        <f>IF(tblMovement[[#This Row],[Material]]="","",IF(LEFT(tblMovement[[#This Row],[Material]],3)="Ore",1,0))</f>
        <v/>
      </c>
      <c r="N4854" s="59">
        <f>IF(OR(tblMovement[[#This Row],[Tonnes_t]]="",tblMovement[[#This Row],[Grade_gpt]]=""),0,tblMovement[[#This Row],[Tonnes_t]]*tblMovement[[#This Row],[Grade_gpt]]/cfg_TroyOz)</f>
        <v/>
      </c>
      <c r="O4854" s="59">
        <f>IF(tblMovement[[#This Row],[Is_Ore]]=1,tblMovement[[#This Row],[Contained_oz]],0)</f>
        <v/>
      </c>
    </row>
    <row r="4855">
      <c r="A4855" s="54" t="n"/>
      <c r="B4855" s="61" t="n"/>
      <c r="C4855" s="61" t="n"/>
      <c r="D4855" s="61" t="n"/>
      <c r="E4855" s="61" t="n"/>
      <c r="F4855" s="55" t="n"/>
      <c r="G4855" s="56" t="n"/>
      <c r="H4855" s="55" t="n"/>
      <c r="I4855" s="62" t="n"/>
      <c r="J4855" s="58" t="n"/>
      <c r="K4855" s="63">
        <f>IF(tblMovement[[#This Row],[Source]]="","",IFERROR(INDEX(tblSources[Type],MATCH(tblMovement[[#This Row],[Source]],tblSources[Source],0)),"?"))</f>
        <v/>
      </c>
      <c r="L4855" s="63">
        <f>IF(tblMovement[[#This Row],[Destination]]="","",IFERROR(INDEX(tblDestinations[Type],MATCH(tblMovement[[#This Row],[Destination]],tblDestinations[Destination],0)),"?"))</f>
        <v/>
      </c>
      <c r="M4855" s="64">
        <f>IF(tblMovement[[#This Row],[Material]]="","",IF(LEFT(tblMovement[[#This Row],[Material]],3)="Ore",1,0))</f>
        <v/>
      </c>
      <c r="N4855" s="59">
        <f>IF(OR(tblMovement[[#This Row],[Tonnes_t]]="",tblMovement[[#This Row],[Grade_gpt]]=""),0,tblMovement[[#This Row],[Tonnes_t]]*tblMovement[[#This Row],[Grade_gpt]]/cfg_TroyOz)</f>
        <v/>
      </c>
      <c r="O4855" s="59">
        <f>IF(tblMovement[[#This Row],[Is_Ore]]=1,tblMovement[[#This Row],[Contained_oz]],0)</f>
        <v/>
      </c>
    </row>
    <row r="4856">
      <c r="A4856" s="54" t="n"/>
      <c r="B4856" s="61" t="n"/>
      <c r="C4856" s="61" t="n"/>
      <c r="D4856" s="61" t="n"/>
      <c r="E4856" s="61" t="n"/>
      <c r="F4856" s="55" t="n"/>
      <c r="G4856" s="56" t="n"/>
      <c r="H4856" s="55" t="n"/>
      <c r="I4856" s="62" t="n"/>
      <c r="J4856" s="58" t="n"/>
      <c r="K4856" s="63">
        <f>IF(tblMovement[[#This Row],[Source]]="","",IFERROR(INDEX(tblSources[Type],MATCH(tblMovement[[#This Row],[Source]],tblSources[Source],0)),"?"))</f>
        <v/>
      </c>
      <c r="L4856" s="63">
        <f>IF(tblMovement[[#This Row],[Destination]]="","",IFERROR(INDEX(tblDestinations[Type],MATCH(tblMovement[[#This Row],[Destination]],tblDestinations[Destination],0)),"?"))</f>
        <v/>
      </c>
      <c r="M4856" s="64">
        <f>IF(tblMovement[[#This Row],[Material]]="","",IF(LEFT(tblMovement[[#This Row],[Material]],3)="Ore",1,0))</f>
        <v/>
      </c>
      <c r="N4856" s="59">
        <f>IF(OR(tblMovement[[#This Row],[Tonnes_t]]="",tblMovement[[#This Row],[Grade_gpt]]=""),0,tblMovement[[#This Row],[Tonnes_t]]*tblMovement[[#This Row],[Grade_gpt]]/cfg_TroyOz)</f>
        <v/>
      </c>
      <c r="O4856" s="59">
        <f>IF(tblMovement[[#This Row],[Is_Ore]]=1,tblMovement[[#This Row],[Contained_oz]],0)</f>
        <v/>
      </c>
    </row>
    <row r="4857">
      <c r="A4857" s="54" t="n"/>
      <c r="B4857" s="61" t="n"/>
      <c r="C4857" s="61" t="n"/>
      <c r="D4857" s="61" t="n"/>
      <c r="E4857" s="61" t="n"/>
      <c r="F4857" s="55" t="n"/>
      <c r="G4857" s="56" t="n"/>
      <c r="H4857" s="55" t="n"/>
      <c r="I4857" s="62" t="n"/>
      <c r="J4857" s="58" t="n"/>
      <c r="K4857" s="63">
        <f>IF(tblMovement[[#This Row],[Source]]="","",IFERROR(INDEX(tblSources[Type],MATCH(tblMovement[[#This Row],[Source]],tblSources[Source],0)),"?"))</f>
        <v/>
      </c>
      <c r="L4857" s="63">
        <f>IF(tblMovement[[#This Row],[Destination]]="","",IFERROR(INDEX(tblDestinations[Type],MATCH(tblMovement[[#This Row],[Destination]],tblDestinations[Destination],0)),"?"))</f>
        <v/>
      </c>
      <c r="M4857" s="64">
        <f>IF(tblMovement[[#This Row],[Material]]="","",IF(LEFT(tblMovement[[#This Row],[Material]],3)="Ore",1,0))</f>
        <v/>
      </c>
      <c r="N4857" s="59">
        <f>IF(OR(tblMovement[[#This Row],[Tonnes_t]]="",tblMovement[[#This Row],[Grade_gpt]]=""),0,tblMovement[[#This Row],[Tonnes_t]]*tblMovement[[#This Row],[Grade_gpt]]/cfg_TroyOz)</f>
        <v/>
      </c>
      <c r="O4857" s="59">
        <f>IF(tblMovement[[#This Row],[Is_Ore]]=1,tblMovement[[#This Row],[Contained_oz]],0)</f>
        <v/>
      </c>
    </row>
    <row r="4858">
      <c r="A4858" s="54" t="n"/>
      <c r="B4858" s="61" t="n"/>
      <c r="C4858" s="61" t="n"/>
      <c r="D4858" s="61" t="n"/>
      <c r="E4858" s="61" t="n"/>
      <c r="F4858" s="55" t="n"/>
      <c r="G4858" s="56" t="n"/>
      <c r="H4858" s="55" t="n"/>
      <c r="I4858" s="62" t="n"/>
      <c r="J4858" s="58" t="n"/>
      <c r="K4858" s="63">
        <f>IF(tblMovement[[#This Row],[Source]]="","",IFERROR(INDEX(tblSources[Type],MATCH(tblMovement[[#This Row],[Source]],tblSources[Source],0)),"?"))</f>
        <v/>
      </c>
      <c r="L4858" s="63">
        <f>IF(tblMovement[[#This Row],[Destination]]="","",IFERROR(INDEX(tblDestinations[Type],MATCH(tblMovement[[#This Row],[Destination]],tblDestinations[Destination],0)),"?"))</f>
        <v/>
      </c>
      <c r="M4858" s="64">
        <f>IF(tblMovement[[#This Row],[Material]]="","",IF(LEFT(tblMovement[[#This Row],[Material]],3)="Ore",1,0))</f>
        <v/>
      </c>
      <c r="N4858" s="59">
        <f>IF(OR(tblMovement[[#This Row],[Tonnes_t]]="",tblMovement[[#This Row],[Grade_gpt]]=""),0,tblMovement[[#This Row],[Tonnes_t]]*tblMovement[[#This Row],[Grade_gpt]]/cfg_TroyOz)</f>
        <v/>
      </c>
      <c r="O4858" s="59">
        <f>IF(tblMovement[[#This Row],[Is_Ore]]=1,tblMovement[[#This Row],[Contained_oz]],0)</f>
        <v/>
      </c>
    </row>
    <row r="4859">
      <c r="A4859" s="54" t="n"/>
      <c r="B4859" s="61" t="n"/>
      <c r="C4859" s="61" t="n"/>
      <c r="D4859" s="61" t="n"/>
      <c r="E4859" s="61" t="n"/>
      <c r="F4859" s="55" t="n"/>
      <c r="G4859" s="56" t="n"/>
      <c r="H4859" s="55" t="n"/>
      <c r="I4859" s="62" t="n"/>
      <c r="J4859" s="58" t="n"/>
      <c r="K4859" s="63">
        <f>IF(tblMovement[[#This Row],[Source]]="","",IFERROR(INDEX(tblSources[Type],MATCH(tblMovement[[#This Row],[Source]],tblSources[Source],0)),"?"))</f>
        <v/>
      </c>
      <c r="L4859" s="63">
        <f>IF(tblMovement[[#This Row],[Destination]]="","",IFERROR(INDEX(tblDestinations[Type],MATCH(tblMovement[[#This Row],[Destination]],tblDestinations[Destination],0)),"?"))</f>
        <v/>
      </c>
      <c r="M4859" s="64">
        <f>IF(tblMovement[[#This Row],[Material]]="","",IF(LEFT(tblMovement[[#This Row],[Material]],3)="Ore",1,0))</f>
        <v/>
      </c>
      <c r="N4859" s="59">
        <f>IF(OR(tblMovement[[#This Row],[Tonnes_t]]="",tblMovement[[#This Row],[Grade_gpt]]=""),0,tblMovement[[#This Row],[Tonnes_t]]*tblMovement[[#This Row],[Grade_gpt]]/cfg_TroyOz)</f>
        <v/>
      </c>
      <c r="O4859" s="59">
        <f>IF(tblMovement[[#This Row],[Is_Ore]]=1,tblMovement[[#This Row],[Contained_oz]],0)</f>
        <v/>
      </c>
    </row>
    <row r="4860">
      <c r="A4860" s="54" t="n"/>
      <c r="B4860" s="61" t="n"/>
      <c r="C4860" s="61" t="n"/>
      <c r="D4860" s="61" t="n"/>
      <c r="E4860" s="61" t="n"/>
      <c r="F4860" s="55" t="n"/>
      <c r="G4860" s="56" t="n"/>
      <c r="H4860" s="55" t="n"/>
      <c r="I4860" s="62" t="n"/>
      <c r="J4860" s="58" t="n"/>
      <c r="K4860" s="63">
        <f>IF(tblMovement[[#This Row],[Source]]="","",IFERROR(INDEX(tblSources[Type],MATCH(tblMovement[[#This Row],[Source]],tblSources[Source],0)),"?"))</f>
        <v/>
      </c>
      <c r="L4860" s="63">
        <f>IF(tblMovement[[#This Row],[Destination]]="","",IFERROR(INDEX(tblDestinations[Type],MATCH(tblMovement[[#This Row],[Destination]],tblDestinations[Destination],0)),"?"))</f>
        <v/>
      </c>
      <c r="M4860" s="64">
        <f>IF(tblMovement[[#This Row],[Material]]="","",IF(LEFT(tblMovement[[#This Row],[Material]],3)="Ore",1,0))</f>
        <v/>
      </c>
      <c r="N4860" s="59">
        <f>IF(OR(tblMovement[[#This Row],[Tonnes_t]]="",tblMovement[[#This Row],[Grade_gpt]]=""),0,tblMovement[[#This Row],[Tonnes_t]]*tblMovement[[#This Row],[Grade_gpt]]/cfg_TroyOz)</f>
        <v/>
      </c>
      <c r="O4860" s="59">
        <f>IF(tblMovement[[#This Row],[Is_Ore]]=1,tblMovement[[#This Row],[Contained_oz]],0)</f>
        <v/>
      </c>
    </row>
    <row r="4861">
      <c r="A4861" s="54" t="n"/>
      <c r="B4861" s="61" t="n"/>
      <c r="C4861" s="61" t="n"/>
      <c r="D4861" s="61" t="n"/>
      <c r="E4861" s="61" t="n"/>
      <c r="F4861" s="55" t="n"/>
      <c r="G4861" s="56" t="n"/>
      <c r="H4861" s="55" t="n"/>
      <c r="I4861" s="62" t="n"/>
      <c r="J4861" s="58" t="n"/>
      <c r="K4861" s="63">
        <f>IF(tblMovement[[#This Row],[Source]]="","",IFERROR(INDEX(tblSources[Type],MATCH(tblMovement[[#This Row],[Source]],tblSources[Source],0)),"?"))</f>
        <v/>
      </c>
      <c r="L4861" s="63">
        <f>IF(tblMovement[[#This Row],[Destination]]="","",IFERROR(INDEX(tblDestinations[Type],MATCH(tblMovement[[#This Row],[Destination]],tblDestinations[Destination],0)),"?"))</f>
        <v/>
      </c>
      <c r="M4861" s="64">
        <f>IF(tblMovement[[#This Row],[Material]]="","",IF(LEFT(tblMovement[[#This Row],[Material]],3)="Ore",1,0))</f>
        <v/>
      </c>
      <c r="N4861" s="59">
        <f>IF(OR(tblMovement[[#This Row],[Tonnes_t]]="",tblMovement[[#This Row],[Grade_gpt]]=""),0,tblMovement[[#This Row],[Tonnes_t]]*tblMovement[[#This Row],[Grade_gpt]]/cfg_TroyOz)</f>
        <v/>
      </c>
      <c r="O4861" s="59">
        <f>IF(tblMovement[[#This Row],[Is_Ore]]=1,tblMovement[[#This Row],[Contained_oz]],0)</f>
        <v/>
      </c>
    </row>
    <row r="4862">
      <c r="A4862" s="54" t="n"/>
      <c r="B4862" s="61" t="n"/>
      <c r="C4862" s="61" t="n"/>
      <c r="D4862" s="61" t="n"/>
      <c r="E4862" s="61" t="n"/>
      <c r="F4862" s="55" t="n"/>
      <c r="G4862" s="56" t="n"/>
      <c r="H4862" s="55" t="n"/>
      <c r="I4862" s="62" t="n"/>
      <c r="J4862" s="58" t="n"/>
      <c r="K4862" s="63">
        <f>IF(tblMovement[[#This Row],[Source]]="","",IFERROR(INDEX(tblSources[Type],MATCH(tblMovement[[#This Row],[Source]],tblSources[Source],0)),"?"))</f>
        <v/>
      </c>
      <c r="L4862" s="63">
        <f>IF(tblMovement[[#This Row],[Destination]]="","",IFERROR(INDEX(tblDestinations[Type],MATCH(tblMovement[[#This Row],[Destination]],tblDestinations[Destination],0)),"?"))</f>
        <v/>
      </c>
      <c r="M4862" s="64">
        <f>IF(tblMovement[[#This Row],[Material]]="","",IF(LEFT(tblMovement[[#This Row],[Material]],3)="Ore",1,0))</f>
        <v/>
      </c>
      <c r="N4862" s="59">
        <f>IF(OR(tblMovement[[#This Row],[Tonnes_t]]="",tblMovement[[#This Row],[Grade_gpt]]=""),0,tblMovement[[#This Row],[Tonnes_t]]*tblMovement[[#This Row],[Grade_gpt]]/cfg_TroyOz)</f>
        <v/>
      </c>
      <c r="O4862" s="59">
        <f>IF(tblMovement[[#This Row],[Is_Ore]]=1,tblMovement[[#This Row],[Contained_oz]],0)</f>
        <v/>
      </c>
    </row>
    <row r="4863">
      <c r="A4863" s="54" t="n"/>
      <c r="B4863" s="61" t="n"/>
      <c r="C4863" s="61" t="n"/>
      <c r="D4863" s="61" t="n"/>
      <c r="E4863" s="61" t="n"/>
      <c r="F4863" s="55" t="n"/>
      <c r="G4863" s="56" t="n"/>
      <c r="H4863" s="55" t="n"/>
      <c r="I4863" s="62" t="n"/>
      <c r="J4863" s="58" t="n"/>
      <c r="K4863" s="63">
        <f>IF(tblMovement[[#This Row],[Source]]="","",IFERROR(INDEX(tblSources[Type],MATCH(tblMovement[[#This Row],[Source]],tblSources[Source],0)),"?"))</f>
        <v/>
      </c>
      <c r="L4863" s="63">
        <f>IF(tblMovement[[#This Row],[Destination]]="","",IFERROR(INDEX(tblDestinations[Type],MATCH(tblMovement[[#This Row],[Destination]],tblDestinations[Destination],0)),"?"))</f>
        <v/>
      </c>
      <c r="M4863" s="64">
        <f>IF(tblMovement[[#This Row],[Material]]="","",IF(LEFT(tblMovement[[#This Row],[Material]],3)="Ore",1,0))</f>
        <v/>
      </c>
      <c r="N4863" s="59">
        <f>IF(OR(tblMovement[[#This Row],[Tonnes_t]]="",tblMovement[[#This Row],[Grade_gpt]]=""),0,tblMovement[[#This Row],[Tonnes_t]]*tblMovement[[#This Row],[Grade_gpt]]/cfg_TroyOz)</f>
        <v/>
      </c>
      <c r="O4863" s="59">
        <f>IF(tblMovement[[#This Row],[Is_Ore]]=1,tblMovement[[#This Row],[Contained_oz]],0)</f>
        <v/>
      </c>
    </row>
    <row r="4864">
      <c r="A4864" s="54" t="n"/>
      <c r="B4864" s="61" t="n"/>
      <c r="C4864" s="61" t="n"/>
      <c r="D4864" s="61" t="n"/>
      <c r="E4864" s="61" t="n"/>
      <c r="F4864" s="55" t="n"/>
      <c r="G4864" s="56" t="n"/>
      <c r="H4864" s="55" t="n"/>
      <c r="I4864" s="62" t="n"/>
      <c r="J4864" s="58" t="n"/>
      <c r="K4864" s="63">
        <f>IF(tblMovement[[#This Row],[Source]]="","",IFERROR(INDEX(tblSources[Type],MATCH(tblMovement[[#This Row],[Source]],tblSources[Source],0)),"?"))</f>
        <v/>
      </c>
      <c r="L4864" s="63">
        <f>IF(tblMovement[[#This Row],[Destination]]="","",IFERROR(INDEX(tblDestinations[Type],MATCH(tblMovement[[#This Row],[Destination]],tblDestinations[Destination],0)),"?"))</f>
        <v/>
      </c>
      <c r="M4864" s="64">
        <f>IF(tblMovement[[#This Row],[Material]]="","",IF(LEFT(tblMovement[[#This Row],[Material]],3)="Ore",1,0))</f>
        <v/>
      </c>
      <c r="N4864" s="59">
        <f>IF(OR(tblMovement[[#This Row],[Tonnes_t]]="",tblMovement[[#This Row],[Grade_gpt]]=""),0,tblMovement[[#This Row],[Tonnes_t]]*tblMovement[[#This Row],[Grade_gpt]]/cfg_TroyOz)</f>
        <v/>
      </c>
      <c r="O4864" s="59">
        <f>IF(tblMovement[[#This Row],[Is_Ore]]=1,tblMovement[[#This Row],[Contained_oz]],0)</f>
        <v/>
      </c>
    </row>
    <row r="4865">
      <c r="A4865" s="54" t="n"/>
      <c r="B4865" s="61" t="n"/>
      <c r="C4865" s="61" t="n"/>
      <c r="D4865" s="61" t="n"/>
      <c r="E4865" s="61" t="n"/>
      <c r="F4865" s="55" t="n"/>
      <c r="G4865" s="56" t="n"/>
      <c r="H4865" s="55" t="n"/>
      <c r="I4865" s="62" t="n"/>
      <c r="J4865" s="58" t="n"/>
      <c r="K4865" s="63">
        <f>IF(tblMovement[[#This Row],[Source]]="","",IFERROR(INDEX(tblSources[Type],MATCH(tblMovement[[#This Row],[Source]],tblSources[Source],0)),"?"))</f>
        <v/>
      </c>
      <c r="L4865" s="63">
        <f>IF(tblMovement[[#This Row],[Destination]]="","",IFERROR(INDEX(tblDestinations[Type],MATCH(tblMovement[[#This Row],[Destination]],tblDestinations[Destination],0)),"?"))</f>
        <v/>
      </c>
      <c r="M4865" s="64">
        <f>IF(tblMovement[[#This Row],[Material]]="","",IF(LEFT(tblMovement[[#This Row],[Material]],3)="Ore",1,0))</f>
        <v/>
      </c>
      <c r="N4865" s="59">
        <f>IF(OR(tblMovement[[#This Row],[Tonnes_t]]="",tblMovement[[#This Row],[Grade_gpt]]=""),0,tblMovement[[#This Row],[Tonnes_t]]*tblMovement[[#This Row],[Grade_gpt]]/cfg_TroyOz)</f>
        <v/>
      </c>
      <c r="O4865" s="59">
        <f>IF(tblMovement[[#This Row],[Is_Ore]]=1,tblMovement[[#This Row],[Contained_oz]],0)</f>
        <v/>
      </c>
    </row>
    <row r="4866">
      <c r="A4866" s="54" t="n"/>
      <c r="B4866" s="61" t="n"/>
      <c r="C4866" s="61" t="n"/>
      <c r="D4866" s="61" t="n"/>
      <c r="E4866" s="61" t="n"/>
      <c r="F4866" s="55" t="n"/>
      <c r="G4866" s="56" t="n"/>
      <c r="H4866" s="55" t="n"/>
      <c r="I4866" s="62" t="n"/>
      <c r="J4866" s="58" t="n"/>
      <c r="K4866" s="63">
        <f>IF(tblMovement[[#This Row],[Source]]="","",IFERROR(INDEX(tblSources[Type],MATCH(tblMovement[[#This Row],[Source]],tblSources[Source],0)),"?"))</f>
        <v/>
      </c>
      <c r="L4866" s="63">
        <f>IF(tblMovement[[#This Row],[Destination]]="","",IFERROR(INDEX(tblDestinations[Type],MATCH(tblMovement[[#This Row],[Destination]],tblDestinations[Destination],0)),"?"))</f>
        <v/>
      </c>
      <c r="M4866" s="64">
        <f>IF(tblMovement[[#This Row],[Material]]="","",IF(LEFT(tblMovement[[#This Row],[Material]],3)="Ore",1,0))</f>
        <v/>
      </c>
      <c r="N4866" s="59">
        <f>IF(OR(tblMovement[[#This Row],[Tonnes_t]]="",tblMovement[[#This Row],[Grade_gpt]]=""),0,tblMovement[[#This Row],[Tonnes_t]]*tblMovement[[#This Row],[Grade_gpt]]/cfg_TroyOz)</f>
        <v/>
      </c>
      <c r="O4866" s="59">
        <f>IF(tblMovement[[#This Row],[Is_Ore]]=1,tblMovement[[#This Row],[Contained_oz]],0)</f>
        <v/>
      </c>
    </row>
    <row r="4867">
      <c r="A4867" s="54" t="n"/>
      <c r="B4867" s="61" t="n"/>
      <c r="C4867" s="61" t="n"/>
      <c r="D4867" s="61" t="n"/>
      <c r="E4867" s="61" t="n"/>
      <c r="F4867" s="55" t="n"/>
      <c r="G4867" s="56" t="n"/>
      <c r="H4867" s="55" t="n"/>
      <c r="I4867" s="62" t="n"/>
      <c r="J4867" s="58" t="n"/>
      <c r="K4867" s="63">
        <f>IF(tblMovement[[#This Row],[Source]]="","",IFERROR(INDEX(tblSources[Type],MATCH(tblMovement[[#This Row],[Source]],tblSources[Source],0)),"?"))</f>
        <v/>
      </c>
      <c r="L4867" s="63">
        <f>IF(tblMovement[[#This Row],[Destination]]="","",IFERROR(INDEX(tblDestinations[Type],MATCH(tblMovement[[#This Row],[Destination]],tblDestinations[Destination],0)),"?"))</f>
        <v/>
      </c>
      <c r="M4867" s="64">
        <f>IF(tblMovement[[#This Row],[Material]]="","",IF(LEFT(tblMovement[[#This Row],[Material]],3)="Ore",1,0))</f>
        <v/>
      </c>
      <c r="N4867" s="59">
        <f>IF(OR(tblMovement[[#This Row],[Tonnes_t]]="",tblMovement[[#This Row],[Grade_gpt]]=""),0,tblMovement[[#This Row],[Tonnes_t]]*tblMovement[[#This Row],[Grade_gpt]]/cfg_TroyOz)</f>
        <v/>
      </c>
      <c r="O4867" s="59">
        <f>IF(tblMovement[[#This Row],[Is_Ore]]=1,tblMovement[[#This Row],[Contained_oz]],0)</f>
        <v/>
      </c>
    </row>
    <row r="4868">
      <c r="A4868" s="54" t="n"/>
      <c r="B4868" s="61" t="n"/>
      <c r="C4868" s="61" t="n"/>
      <c r="D4868" s="61" t="n"/>
      <c r="E4868" s="61" t="n"/>
      <c r="F4868" s="55" t="n"/>
      <c r="G4868" s="56" t="n"/>
      <c r="H4868" s="55" t="n"/>
      <c r="I4868" s="62" t="n"/>
      <c r="J4868" s="58" t="n"/>
      <c r="K4868" s="63">
        <f>IF(tblMovement[[#This Row],[Source]]="","",IFERROR(INDEX(tblSources[Type],MATCH(tblMovement[[#This Row],[Source]],tblSources[Source],0)),"?"))</f>
        <v/>
      </c>
      <c r="L4868" s="63">
        <f>IF(tblMovement[[#This Row],[Destination]]="","",IFERROR(INDEX(tblDestinations[Type],MATCH(tblMovement[[#This Row],[Destination]],tblDestinations[Destination],0)),"?"))</f>
        <v/>
      </c>
      <c r="M4868" s="64">
        <f>IF(tblMovement[[#This Row],[Material]]="","",IF(LEFT(tblMovement[[#This Row],[Material]],3)="Ore",1,0))</f>
        <v/>
      </c>
      <c r="N4868" s="59">
        <f>IF(OR(tblMovement[[#This Row],[Tonnes_t]]="",tblMovement[[#This Row],[Grade_gpt]]=""),0,tblMovement[[#This Row],[Tonnes_t]]*tblMovement[[#This Row],[Grade_gpt]]/cfg_TroyOz)</f>
        <v/>
      </c>
      <c r="O4868" s="59">
        <f>IF(tblMovement[[#This Row],[Is_Ore]]=1,tblMovement[[#This Row],[Contained_oz]],0)</f>
        <v/>
      </c>
    </row>
    <row r="4869">
      <c r="A4869" s="54" t="n"/>
      <c r="B4869" s="61" t="n"/>
      <c r="C4869" s="61" t="n"/>
      <c r="D4869" s="61" t="n"/>
      <c r="E4869" s="61" t="n"/>
      <c r="F4869" s="55" t="n"/>
      <c r="G4869" s="56" t="n"/>
      <c r="H4869" s="55" t="n"/>
      <c r="I4869" s="62" t="n"/>
      <c r="J4869" s="58" t="n"/>
      <c r="K4869" s="63">
        <f>IF(tblMovement[[#This Row],[Source]]="","",IFERROR(INDEX(tblSources[Type],MATCH(tblMovement[[#This Row],[Source]],tblSources[Source],0)),"?"))</f>
        <v/>
      </c>
      <c r="L4869" s="63">
        <f>IF(tblMovement[[#This Row],[Destination]]="","",IFERROR(INDEX(tblDestinations[Type],MATCH(tblMovement[[#This Row],[Destination]],tblDestinations[Destination],0)),"?"))</f>
        <v/>
      </c>
      <c r="M4869" s="64">
        <f>IF(tblMovement[[#This Row],[Material]]="","",IF(LEFT(tblMovement[[#This Row],[Material]],3)="Ore",1,0))</f>
        <v/>
      </c>
      <c r="N4869" s="59">
        <f>IF(OR(tblMovement[[#This Row],[Tonnes_t]]="",tblMovement[[#This Row],[Grade_gpt]]=""),0,tblMovement[[#This Row],[Tonnes_t]]*tblMovement[[#This Row],[Grade_gpt]]/cfg_TroyOz)</f>
        <v/>
      </c>
      <c r="O4869" s="59">
        <f>IF(tblMovement[[#This Row],[Is_Ore]]=1,tblMovement[[#This Row],[Contained_oz]],0)</f>
        <v/>
      </c>
    </row>
    <row r="4870">
      <c r="A4870" s="54" t="n"/>
      <c r="B4870" s="61" t="n"/>
      <c r="C4870" s="61" t="n"/>
      <c r="D4870" s="61" t="n"/>
      <c r="E4870" s="61" t="n"/>
      <c r="F4870" s="55" t="n"/>
      <c r="G4870" s="56" t="n"/>
      <c r="H4870" s="55" t="n"/>
      <c r="I4870" s="62" t="n"/>
      <c r="J4870" s="58" t="n"/>
      <c r="K4870" s="63">
        <f>IF(tblMovement[[#This Row],[Source]]="","",IFERROR(INDEX(tblSources[Type],MATCH(tblMovement[[#This Row],[Source]],tblSources[Source],0)),"?"))</f>
        <v/>
      </c>
      <c r="L4870" s="63">
        <f>IF(tblMovement[[#This Row],[Destination]]="","",IFERROR(INDEX(tblDestinations[Type],MATCH(tblMovement[[#This Row],[Destination]],tblDestinations[Destination],0)),"?"))</f>
        <v/>
      </c>
      <c r="M4870" s="64">
        <f>IF(tblMovement[[#This Row],[Material]]="","",IF(LEFT(tblMovement[[#This Row],[Material]],3)="Ore",1,0))</f>
        <v/>
      </c>
      <c r="N4870" s="59">
        <f>IF(OR(tblMovement[[#This Row],[Tonnes_t]]="",tblMovement[[#This Row],[Grade_gpt]]=""),0,tblMovement[[#This Row],[Tonnes_t]]*tblMovement[[#This Row],[Grade_gpt]]/cfg_TroyOz)</f>
        <v/>
      </c>
      <c r="O4870" s="59">
        <f>IF(tblMovement[[#This Row],[Is_Ore]]=1,tblMovement[[#This Row],[Contained_oz]],0)</f>
        <v/>
      </c>
    </row>
    <row r="4871">
      <c r="A4871" s="54" t="n"/>
      <c r="B4871" s="61" t="n"/>
      <c r="C4871" s="61" t="n"/>
      <c r="D4871" s="61" t="n"/>
      <c r="E4871" s="61" t="n"/>
      <c r="F4871" s="55" t="n"/>
      <c r="G4871" s="56" t="n"/>
      <c r="H4871" s="55" t="n"/>
      <c r="I4871" s="62" t="n"/>
      <c r="J4871" s="58" t="n"/>
      <c r="K4871" s="63">
        <f>IF(tblMovement[[#This Row],[Source]]="","",IFERROR(INDEX(tblSources[Type],MATCH(tblMovement[[#This Row],[Source]],tblSources[Source],0)),"?"))</f>
        <v/>
      </c>
      <c r="L4871" s="63">
        <f>IF(tblMovement[[#This Row],[Destination]]="","",IFERROR(INDEX(tblDestinations[Type],MATCH(tblMovement[[#This Row],[Destination]],tblDestinations[Destination],0)),"?"))</f>
        <v/>
      </c>
      <c r="M4871" s="64">
        <f>IF(tblMovement[[#This Row],[Material]]="","",IF(LEFT(tblMovement[[#This Row],[Material]],3)="Ore",1,0))</f>
        <v/>
      </c>
      <c r="N4871" s="59">
        <f>IF(OR(tblMovement[[#This Row],[Tonnes_t]]="",tblMovement[[#This Row],[Grade_gpt]]=""),0,tblMovement[[#This Row],[Tonnes_t]]*tblMovement[[#This Row],[Grade_gpt]]/cfg_TroyOz)</f>
        <v/>
      </c>
      <c r="O4871" s="59">
        <f>IF(tblMovement[[#This Row],[Is_Ore]]=1,tblMovement[[#This Row],[Contained_oz]],0)</f>
        <v/>
      </c>
    </row>
    <row r="4872">
      <c r="A4872" s="54" t="n"/>
      <c r="B4872" s="61" t="n"/>
      <c r="C4872" s="61" t="n"/>
      <c r="D4872" s="61" t="n"/>
      <c r="E4872" s="61" t="n"/>
      <c r="F4872" s="55" t="n"/>
      <c r="G4872" s="56" t="n"/>
      <c r="H4872" s="55" t="n"/>
      <c r="I4872" s="62" t="n"/>
      <c r="J4872" s="58" t="n"/>
      <c r="K4872" s="63">
        <f>IF(tblMovement[[#This Row],[Source]]="","",IFERROR(INDEX(tblSources[Type],MATCH(tblMovement[[#This Row],[Source]],tblSources[Source],0)),"?"))</f>
        <v/>
      </c>
      <c r="L4872" s="63">
        <f>IF(tblMovement[[#This Row],[Destination]]="","",IFERROR(INDEX(tblDestinations[Type],MATCH(tblMovement[[#This Row],[Destination]],tblDestinations[Destination],0)),"?"))</f>
        <v/>
      </c>
      <c r="M4872" s="64">
        <f>IF(tblMovement[[#This Row],[Material]]="","",IF(LEFT(tblMovement[[#This Row],[Material]],3)="Ore",1,0))</f>
        <v/>
      </c>
      <c r="N4872" s="59">
        <f>IF(OR(tblMovement[[#This Row],[Tonnes_t]]="",tblMovement[[#This Row],[Grade_gpt]]=""),0,tblMovement[[#This Row],[Tonnes_t]]*tblMovement[[#This Row],[Grade_gpt]]/cfg_TroyOz)</f>
        <v/>
      </c>
      <c r="O4872" s="59">
        <f>IF(tblMovement[[#This Row],[Is_Ore]]=1,tblMovement[[#This Row],[Contained_oz]],0)</f>
        <v/>
      </c>
    </row>
    <row r="4873">
      <c r="A4873" s="54" t="n"/>
      <c r="B4873" s="61" t="n"/>
      <c r="C4873" s="61" t="n"/>
      <c r="D4873" s="61" t="n"/>
      <c r="E4873" s="61" t="n"/>
      <c r="F4873" s="55" t="n"/>
      <c r="G4873" s="56" t="n"/>
      <c r="H4873" s="55" t="n"/>
      <c r="I4873" s="62" t="n"/>
      <c r="J4873" s="58" t="n"/>
      <c r="K4873" s="63">
        <f>IF(tblMovement[[#This Row],[Source]]="","",IFERROR(INDEX(tblSources[Type],MATCH(tblMovement[[#This Row],[Source]],tblSources[Source],0)),"?"))</f>
        <v/>
      </c>
      <c r="L4873" s="63">
        <f>IF(tblMovement[[#This Row],[Destination]]="","",IFERROR(INDEX(tblDestinations[Type],MATCH(tblMovement[[#This Row],[Destination]],tblDestinations[Destination],0)),"?"))</f>
        <v/>
      </c>
      <c r="M4873" s="64">
        <f>IF(tblMovement[[#This Row],[Material]]="","",IF(LEFT(tblMovement[[#This Row],[Material]],3)="Ore",1,0))</f>
        <v/>
      </c>
      <c r="N4873" s="59">
        <f>IF(OR(tblMovement[[#This Row],[Tonnes_t]]="",tblMovement[[#This Row],[Grade_gpt]]=""),0,tblMovement[[#This Row],[Tonnes_t]]*tblMovement[[#This Row],[Grade_gpt]]/cfg_TroyOz)</f>
        <v/>
      </c>
      <c r="O4873" s="59">
        <f>IF(tblMovement[[#This Row],[Is_Ore]]=1,tblMovement[[#This Row],[Contained_oz]],0)</f>
        <v/>
      </c>
    </row>
    <row r="4874">
      <c r="A4874" s="54" t="n"/>
      <c r="B4874" s="61" t="n"/>
      <c r="C4874" s="61" t="n"/>
      <c r="D4874" s="61" t="n"/>
      <c r="E4874" s="61" t="n"/>
      <c r="F4874" s="55" t="n"/>
      <c r="G4874" s="56" t="n"/>
      <c r="H4874" s="55" t="n"/>
      <c r="I4874" s="62" t="n"/>
      <c r="J4874" s="58" t="n"/>
      <c r="K4874" s="63">
        <f>IF(tblMovement[[#This Row],[Source]]="","",IFERROR(INDEX(tblSources[Type],MATCH(tblMovement[[#This Row],[Source]],tblSources[Source],0)),"?"))</f>
        <v/>
      </c>
      <c r="L4874" s="63">
        <f>IF(tblMovement[[#This Row],[Destination]]="","",IFERROR(INDEX(tblDestinations[Type],MATCH(tblMovement[[#This Row],[Destination]],tblDestinations[Destination],0)),"?"))</f>
        <v/>
      </c>
      <c r="M4874" s="64">
        <f>IF(tblMovement[[#This Row],[Material]]="","",IF(LEFT(tblMovement[[#This Row],[Material]],3)="Ore",1,0))</f>
        <v/>
      </c>
      <c r="N4874" s="59">
        <f>IF(OR(tblMovement[[#This Row],[Tonnes_t]]="",tblMovement[[#This Row],[Grade_gpt]]=""),0,tblMovement[[#This Row],[Tonnes_t]]*tblMovement[[#This Row],[Grade_gpt]]/cfg_TroyOz)</f>
        <v/>
      </c>
      <c r="O4874" s="59">
        <f>IF(tblMovement[[#This Row],[Is_Ore]]=1,tblMovement[[#This Row],[Contained_oz]],0)</f>
        <v/>
      </c>
    </row>
    <row r="4875">
      <c r="A4875" s="54" t="n"/>
      <c r="B4875" s="61" t="n"/>
      <c r="C4875" s="61" t="n"/>
      <c r="D4875" s="61" t="n"/>
      <c r="E4875" s="61" t="n"/>
      <c r="F4875" s="55" t="n"/>
      <c r="G4875" s="56" t="n"/>
      <c r="H4875" s="55" t="n"/>
      <c r="I4875" s="62" t="n"/>
      <c r="J4875" s="58" t="n"/>
      <c r="K4875" s="63">
        <f>IF(tblMovement[[#This Row],[Source]]="","",IFERROR(INDEX(tblSources[Type],MATCH(tblMovement[[#This Row],[Source]],tblSources[Source],0)),"?"))</f>
        <v/>
      </c>
      <c r="L4875" s="63">
        <f>IF(tblMovement[[#This Row],[Destination]]="","",IFERROR(INDEX(tblDestinations[Type],MATCH(tblMovement[[#This Row],[Destination]],tblDestinations[Destination],0)),"?"))</f>
        <v/>
      </c>
      <c r="M4875" s="64">
        <f>IF(tblMovement[[#This Row],[Material]]="","",IF(LEFT(tblMovement[[#This Row],[Material]],3)="Ore",1,0))</f>
        <v/>
      </c>
      <c r="N4875" s="59">
        <f>IF(OR(tblMovement[[#This Row],[Tonnes_t]]="",tblMovement[[#This Row],[Grade_gpt]]=""),0,tblMovement[[#This Row],[Tonnes_t]]*tblMovement[[#This Row],[Grade_gpt]]/cfg_TroyOz)</f>
        <v/>
      </c>
      <c r="O4875" s="59">
        <f>IF(tblMovement[[#This Row],[Is_Ore]]=1,tblMovement[[#This Row],[Contained_oz]],0)</f>
        <v/>
      </c>
    </row>
    <row r="4876">
      <c r="A4876" s="54" t="n"/>
      <c r="B4876" s="61" t="n"/>
      <c r="C4876" s="61" t="n"/>
      <c r="D4876" s="61" t="n"/>
      <c r="E4876" s="61" t="n"/>
      <c r="F4876" s="55" t="n"/>
      <c r="G4876" s="56" t="n"/>
      <c r="H4876" s="55" t="n"/>
      <c r="I4876" s="62" t="n"/>
      <c r="J4876" s="58" t="n"/>
      <c r="K4876" s="63">
        <f>IF(tblMovement[[#This Row],[Source]]="","",IFERROR(INDEX(tblSources[Type],MATCH(tblMovement[[#This Row],[Source]],tblSources[Source],0)),"?"))</f>
        <v/>
      </c>
      <c r="L4876" s="63">
        <f>IF(tblMovement[[#This Row],[Destination]]="","",IFERROR(INDEX(tblDestinations[Type],MATCH(tblMovement[[#This Row],[Destination]],tblDestinations[Destination],0)),"?"))</f>
        <v/>
      </c>
      <c r="M4876" s="64">
        <f>IF(tblMovement[[#This Row],[Material]]="","",IF(LEFT(tblMovement[[#This Row],[Material]],3)="Ore",1,0))</f>
        <v/>
      </c>
      <c r="N4876" s="59">
        <f>IF(OR(tblMovement[[#This Row],[Tonnes_t]]="",tblMovement[[#This Row],[Grade_gpt]]=""),0,tblMovement[[#This Row],[Tonnes_t]]*tblMovement[[#This Row],[Grade_gpt]]/cfg_TroyOz)</f>
        <v/>
      </c>
      <c r="O4876" s="59">
        <f>IF(tblMovement[[#This Row],[Is_Ore]]=1,tblMovement[[#This Row],[Contained_oz]],0)</f>
        <v/>
      </c>
    </row>
    <row r="4877">
      <c r="A4877" s="54" t="n"/>
      <c r="B4877" s="61" t="n"/>
      <c r="C4877" s="61" t="n"/>
      <c r="D4877" s="61" t="n"/>
      <c r="E4877" s="61" t="n"/>
      <c r="F4877" s="55" t="n"/>
      <c r="G4877" s="56" t="n"/>
      <c r="H4877" s="55" t="n"/>
      <c r="I4877" s="62" t="n"/>
      <c r="J4877" s="58" t="n"/>
      <c r="K4877" s="63">
        <f>IF(tblMovement[[#This Row],[Source]]="","",IFERROR(INDEX(tblSources[Type],MATCH(tblMovement[[#This Row],[Source]],tblSources[Source],0)),"?"))</f>
        <v/>
      </c>
      <c r="L4877" s="63">
        <f>IF(tblMovement[[#This Row],[Destination]]="","",IFERROR(INDEX(tblDestinations[Type],MATCH(tblMovement[[#This Row],[Destination]],tblDestinations[Destination],0)),"?"))</f>
        <v/>
      </c>
      <c r="M4877" s="64">
        <f>IF(tblMovement[[#This Row],[Material]]="","",IF(LEFT(tblMovement[[#This Row],[Material]],3)="Ore",1,0))</f>
        <v/>
      </c>
      <c r="N4877" s="59">
        <f>IF(OR(tblMovement[[#This Row],[Tonnes_t]]="",tblMovement[[#This Row],[Grade_gpt]]=""),0,tblMovement[[#This Row],[Tonnes_t]]*tblMovement[[#This Row],[Grade_gpt]]/cfg_TroyOz)</f>
        <v/>
      </c>
      <c r="O4877" s="59">
        <f>IF(tblMovement[[#This Row],[Is_Ore]]=1,tblMovement[[#This Row],[Contained_oz]],0)</f>
        <v/>
      </c>
    </row>
    <row r="4878">
      <c r="A4878" s="54" t="n"/>
      <c r="B4878" s="61" t="n"/>
      <c r="C4878" s="61" t="n"/>
      <c r="D4878" s="61" t="n"/>
      <c r="E4878" s="61" t="n"/>
      <c r="F4878" s="55" t="n"/>
      <c r="G4878" s="56" t="n"/>
      <c r="H4878" s="55" t="n"/>
      <c r="I4878" s="62" t="n"/>
      <c r="J4878" s="58" t="n"/>
      <c r="K4878" s="63">
        <f>IF(tblMovement[[#This Row],[Source]]="","",IFERROR(INDEX(tblSources[Type],MATCH(tblMovement[[#This Row],[Source]],tblSources[Source],0)),"?"))</f>
        <v/>
      </c>
      <c r="L4878" s="63">
        <f>IF(tblMovement[[#This Row],[Destination]]="","",IFERROR(INDEX(tblDestinations[Type],MATCH(tblMovement[[#This Row],[Destination]],tblDestinations[Destination],0)),"?"))</f>
        <v/>
      </c>
      <c r="M4878" s="64">
        <f>IF(tblMovement[[#This Row],[Material]]="","",IF(LEFT(tblMovement[[#This Row],[Material]],3)="Ore",1,0))</f>
        <v/>
      </c>
      <c r="N4878" s="59">
        <f>IF(OR(tblMovement[[#This Row],[Tonnes_t]]="",tblMovement[[#This Row],[Grade_gpt]]=""),0,tblMovement[[#This Row],[Tonnes_t]]*tblMovement[[#This Row],[Grade_gpt]]/cfg_TroyOz)</f>
        <v/>
      </c>
      <c r="O4878" s="59">
        <f>IF(tblMovement[[#This Row],[Is_Ore]]=1,tblMovement[[#This Row],[Contained_oz]],0)</f>
        <v/>
      </c>
    </row>
    <row r="4879">
      <c r="A4879" s="54" t="n"/>
      <c r="B4879" s="61" t="n"/>
      <c r="C4879" s="61" t="n"/>
      <c r="D4879" s="61" t="n"/>
      <c r="E4879" s="61" t="n"/>
      <c r="F4879" s="55" t="n"/>
      <c r="G4879" s="56" t="n"/>
      <c r="H4879" s="55" t="n"/>
      <c r="I4879" s="62" t="n"/>
      <c r="J4879" s="58" t="n"/>
      <c r="K4879" s="63">
        <f>IF(tblMovement[[#This Row],[Source]]="","",IFERROR(INDEX(tblSources[Type],MATCH(tblMovement[[#This Row],[Source]],tblSources[Source],0)),"?"))</f>
        <v/>
      </c>
      <c r="L4879" s="63">
        <f>IF(tblMovement[[#This Row],[Destination]]="","",IFERROR(INDEX(tblDestinations[Type],MATCH(tblMovement[[#This Row],[Destination]],tblDestinations[Destination],0)),"?"))</f>
        <v/>
      </c>
      <c r="M4879" s="64">
        <f>IF(tblMovement[[#This Row],[Material]]="","",IF(LEFT(tblMovement[[#This Row],[Material]],3)="Ore",1,0))</f>
        <v/>
      </c>
      <c r="N4879" s="59">
        <f>IF(OR(tblMovement[[#This Row],[Tonnes_t]]="",tblMovement[[#This Row],[Grade_gpt]]=""),0,tblMovement[[#This Row],[Tonnes_t]]*tblMovement[[#This Row],[Grade_gpt]]/cfg_TroyOz)</f>
        <v/>
      </c>
      <c r="O4879" s="59">
        <f>IF(tblMovement[[#This Row],[Is_Ore]]=1,tblMovement[[#This Row],[Contained_oz]],0)</f>
        <v/>
      </c>
    </row>
    <row r="4880">
      <c r="A4880" s="54" t="n"/>
      <c r="B4880" s="61" t="n"/>
      <c r="C4880" s="61" t="n"/>
      <c r="D4880" s="61" t="n"/>
      <c r="E4880" s="61" t="n"/>
      <c r="F4880" s="55" t="n"/>
      <c r="G4880" s="56" t="n"/>
      <c r="H4880" s="55" t="n"/>
      <c r="I4880" s="62" t="n"/>
      <c r="J4880" s="58" t="n"/>
      <c r="K4880" s="63">
        <f>IF(tblMovement[[#This Row],[Source]]="","",IFERROR(INDEX(tblSources[Type],MATCH(tblMovement[[#This Row],[Source]],tblSources[Source],0)),"?"))</f>
        <v/>
      </c>
      <c r="L4880" s="63">
        <f>IF(tblMovement[[#This Row],[Destination]]="","",IFERROR(INDEX(tblDestinations[Type],MATCH(tblMovement[[#This Row],[Destination]],tblDestinations[Destination],0)),"?"))</f>
        <v/>
      </c>
      <c r="M4880" s="64">
        <f>IF(tblMovement[[#This Row],[Material]]="","",IF(LEFT(tblMovement[[#This Row],[Material]],3)="Ore",1,0))</f>
        <v/>
      </c>
      <c r="N4880" s="59">
        <f>IF(OR(tblMovement[[#This Row],[Tonnes_t]]="",tblMovement[[#This Row],[Grade_gpt]]=""),0,tblMovement[[#This Row],[Tonnes_t]]*tblMovement[[#This Row],[Grade_gpt]]/cfg_TroyOz)</f>
        <v/>
      </c>
      <c r="O4880" s="59">
        <f>IF(tblMovement[[#This Row],[Is_Ore]]=1,tblMovement[[#This Row],[Contained_oz]],0)</f>
        <v/>
      </c>
    </row>
    <row r="4881">
      <c r="A4881" s="54" t="n"/>
      <c r="B4881" s="61" t="n"/>
      <c r="C4881" s="61" t="n"/>
      <c r="D4881" s="61" t="n"/>
      <c r="E4881" s="61" t="n"/>
      <c r="F4881" s="55" t="n"/>
      <c r="G4881" s="56" t="n"/>
      <c r="H4881" s="55" t="n"/>
      <c r="I4881" s="62" t="n"/>
      <c r="J4881" s="58" t="n"/>
      <c r="K4881" s="63">
        <f>IF(tblMovement[[#This Row],[Source]]="","",IFERROR(INDEX(tblSources[Type],MATCH(tblMovement[[#This Row],[Source]],tblSources[Source],0)),"?"))</f>
        <v/>
      </c>
      <c r="L4881" s="63">
        <f>IF(tblMovement[[#This Row],[Destination]]="","",IFERROR(INDEX(tblDestinations[Type],MATCH(tblMovement[[#This Row],[Destination]],tblDestinations[Destination],0)),"?"))</f>
        <v/>
      </c>
      <c r="M4881" s="64">
        <f>IF(tblMovement[[#This Row],[Material]]="","",IF(LEFT(tblMovement[[#This Row],[Material]],3)="Ore",1,0))</f>
        <v/>
      </c>
      <c r="N4881" s="59">
        <f>IF(OR(tblMovement[[#This Row],[Tonnes_t]]="",tblMovement[[#This Row],[Grade_gpt]]=""),0,tblMovement[[#This Row],[Tonnes_t]]*tblMovement[[#This Row],[Grade_gpt]]/cfg_TroyOz)</f>
        <v/>
      </c>
      <c r="O4881" s="59">
        <f>IF(tblMovement[[#This Row],[Is_Ore]]=1,tblMovement[[#This Row],[Contained_oz]],0)</f>
        <v/>
      </c>
    </row>
    <row r="4882">
      <c r="A4882" s="54" t="n"/>
      <c r="B4882" s="61" t="n"/>
      <c r="C4882" s="61" t="n"/>
      <c r="D4882" s="61" t="n"/>
      <c r="E4882" s="61" t="n"/>
      <c r="F4882" s="55" t="n"/>
      <c r="G4882" s="56" t="n"/>
      <c r="H4882" s="55" t="n"/>
      <c r="I4882" s="62" t="n"/>
      <c r="J4882" s="58" t="n"/>
      <c r="K4882" s="63">
        <f>IF(tblMovement[[#This Row],[Source]]="","",IFERROR(INDEX(tblSources[Type],MATCH(tblMovement[[#This Row],[Source]],tblSources[Source],0)),"?"))</f>
        <v/>
      </c>
      <c r="L4882" s="63">
        <f>IF(tblMovement[[#This Row],[Destination]]="","",IFERROR(INDEX(tblDestinations[Type],MATCH(tblMovement[[#This Row],[Destination]],tblDestinations[Destination],0)),"?"))</f>
        <v/>
      </c>
      <c r="M4882" s="64">
        <f>IF(tblMovement[[#This Row],[Material]]="","",IF(LEFT(tblMovement[[#This Row],[Material]],3)="Ore",1,0))</f>
        <v/>
      </c>
      <c r="N4882" s="59">
        <f>IF(OR(tblMovement[[#This Row],[Tonnes_t]]="",tblMovement[[#This Row],[Grade_gpt]]=""),0,tblMovement[[#This Row],[Tonnes_t]]*tblMovement[[#This Row],[Grade_gpt]]/cfg_TroyOz)</f>
        <v/>
      </c>
      <c r="O4882" s="59">
        <f>IF(tblMovement[[#This Row],[Is_Ore]]=1,tblMovement[[#This Row],[Contained_oz]],0)</f>
        <v/>
      </c>
    </row>
    <row r="4883">
      <c r="A4883" s="54" t="n"/>
      <c r="B4883" s="61" t="n"/>
      <c r="C4883" s="61" t="n"/>
      <c r="D4883" s="61" t="n"/>
      <c r="E4883" s="61" t="n"/>
      <c r="F4883" s="55" t="n"/>
      <c r="G4883" s="56" t="n"/>
      <c r="H4883" s="55" t="n"/>
      <c r="I4883" s="62" t="n"/>
      <c r="J4883" s="58" t="n"/>
      <c r="K4883" s="63">
        <f>IF(tblMovement[[#This Row],[Source]]="","",IFERROR(INDEX(tblSources[Type],MATCH(tblMovement[[#This Row],[Source]],tblSources[Source],0)),"?"))</f>
        <v/>
      </c>
      <c r="L4883" s="63">
        <f>IF(tblMovement[[#This Row],[Destination]]="","",IFERROR(INDEX(tblDestinations[Type],MATCH(tblMovement[[#This Row],[Destination]],tblDestinations[Destination],0)),"?"))</f>
        <v/>
      </c>
      <c r="M4883" s="64">
        <f>IF(tblMovement[[#This Row],[Material]]="","",IF(LEFT(tblMovement[[#This Row],[Material]],3)="Ore",1,0))</f>
        <v/>
      </c>
      <c r="N4883" s="59">
        <f>IF(OR(tblMovement[[#This Row],[Tonnes_t]]="",tblMovement[[#This Row],[Grade_gpt]]=""),0,tblMovement[[#This Row],[Tonnes_t]]*tblMovement[[#This Row],[Grade_gpt]]/cfg_TroyOz)</f>
        <v/>
      </c>
      <c r="O4883" s="59">
        <f>IF(tblMovement[[#This Row],[Is_Ore]]=1,tblMovement[[#This Row],[Contained_oz]],0)</f>
        <v/>
      </c>
    </row>
    <row r="4884">
      <c r="A4884" s="54" t="n"/>
      <c r="B4884" s="61" t="n"/>
      <c r="C4884" s="61" t="n"/>
      <c r="D4884" s="61" t="n"/>
      <c r="E4884" s="61" t="n"/>
      <c r="F4884" s="55" t="n"/>
      <c r="G4884" s="56" t="n"/>
      <c r="H4884" s="55" t="n"/>
      <c r="I4884" s="62" t="n"/>
      <c r="J4884" s="58" t="n"/>
      <c r="K4884" s="63">
        <f>IF(tblMovement[[#This Row],[Source]]="","",IFERROR(INDEX(tblSources[Type],MATCH(tblMovement[[#This Row],[Source]],tblSources[Source],0)),"?"))</f>
        <v/>
      </c>
      <c r="L4884" s="63">
        <f>IF(tblMovement[[#This Row],[Destination]]="","",IFERROR(INDEX(tblDestinations[Type],MATCH(tblMovement[[#This Row],[Destination]],tblDestinations[Destination],0)),"?"))</f>
        <v/>
      </c>
      <c r="M4884" s="64">
        <f>IF(tblMovement[[#This Row],[Material]]="","",IF(LEFT(tblMovement[[#This Row],[Material]],3)="Ore",1,0))</f>
        <v/>
      </c>
      <c r="N4884" s="59">
        <f>IF(OR(tblMovement[[#This Row],[Tonnes_t]]="",tblMovement[[#This Row],[Grade_gpt]]=""),0,tblMovement[[#This Row],[Tonnes_t]]*tblMovement[[#This Row],[Grade_gpt]]/cfg_TroyOz)</f>
        <v/>
      </c>
      <c r="O4884" s="59">
        <f>IF(tblMovement[[#This Row],[Is_Ore]]=1,tblMovement[[#This Row],[Contained_oz]],0)</f>
        <v/>
      </c>
    </row>
    <row r="4885">
      <c r="A4885" s="54" t="n"/>
      <c r="B4885" s="61" t="n"/>
      <c r="C4885" s="61" t="n"/>
      <c r="D4885" s="61" t="n"/>
      <c r="E4885" s="61" t="n"/>
      <c r="F4885" s="55" t="n"/>
      <c r="G4885" s="56" t="n"/>
      <c r="H4885" s="55" t="n"/>
      <c r="I4885" s="62" t="n"/>
      <c r="J4885" s="58" t="n"/>
      <c r="K4885" s="63">
        <f>IF(tblMovement[[#This Row],[Source]]="","",IFERROR(INDEX(tblSources[Type],MATCH(tblMovement[[#This Row],[Source]],tblSources[Source],0)),"?"))</f>
        <v/>
      </c>
      <c r="L4885" s="63">
        <f>IF(tblMovement[[#This Row],[Destination]]="","",IFERROR(INDEX(tblDestinations[Type],MATCH(tblMovement[[#This Row],[Destination]],tblDestinations[Destination],0)),"?"))</f>
        <v/>
      </c>
      <c r="M4885" s="64">
        <f>IF(tblMovement[[#This Row],[Material]]="","",IF(LEFT(tblMovement[[#This Row],[Material]],3)="Ore",1,0))</f>
        <v/>
      </c>
      <c r="N4885" s="59">
        <f>IF(OR(tblMovement[[#This Row],[Tonnes_t]]="",tblMovement[[#This Row],[Grade_gpt]]=""),0,tblMovement[[#This Row],[Tonnes_t]]*tblMovement[[#This Row],[Grade_gpt]]/cfg_TroyOz)</f>
        <v/>
      </c>
      <c r="O4885" s="59">
        <f>IF(tblMovement[[#This Row],[Is_Ore]]=1,tblMovement[[#This Row],[Contained_oz]],0)</f>
        <v/>
      </c>
    </row>
    <row r="4886">
      <c r="A4886" s="54" t="n"/>
      <c r="B4886" s="61" t="n"/>
      <c r="C4886" s="61" t="n"/>
      <c r="D4886" s="61" t="n"/>
      <c r="E4886" s="61" t="n"/>
      <c r="F4886" s="55" t="n"/>
      <c r="G4886" s="56" t="n"/>
      <c r="H4886" s="55" t="n"/>
      <c r="I4886" s="62" t="n"/>
      <c r="J4886" s="58" t="n"/>
      <c r="K4886" s="63">
        <f>IF(tblMovement[[#This Row],[Source]]="","",IFERROR(INDEX(tblSources[Type],MATCH(tblMovement[[#This Row],[Source]],tblSources[Source],0)),"?"))</f>
        <v/>
      </c>
      <c r="L4886" s="63">
        <f>IF(tblMovement[[#This Row],[Destination]]="","",IFERROR(INDEX(tblDestinations[Type],MATCH(tblMovement[[#This Row],[Destination]],tblDestinations[Destination],0)),"?"))</f>
        <v/>
      </c>
      <c r="M4886" s="64">
        <f>IF(tblMovement[[#This Row],[Material]]="","",IF(LEFT(tblMovement[[#This Row],[Material]],3)="Ore",1,0))</f>
        <v/>
      </c>
      <c r="N4886" s="59">
        <f>IF(OR(tblMovement[[#This Row],[Tonnes_t]]="",tblMovement[[#This Row],[Grade_gpt]]=""),0,tblMovement[[#This Row],[Tonnes_t]]*tblMovement[[#This Row],[Grade_gpt]]/cfg_TroyOz)</f>
        <v/>
      </c>
      <c r="O4886" s="59">
        <f>IF(tblMovement[[#This Row],[Is_Ore]]=1,tblMovement[[#This Row],[Contained_oz]],0)</f>
        <v/>
      </c>
    </row>
    <row r="4887">
      <c r="A4887" s="54" t="n"/>
      <c r="B4887" s="61" t="n"/>
      <c r="C4887" s="61" t="n"/>
      <c r="D4887" s="61" t="n"/>
      <c r="E4887" s="61" t="n"/>
      <c r="F4887" s="55" t="n"/>
      <c r="G4887" s="56" t="n"/>
      <c r="H4887" s="55" t="n"/>
      <c r="I4887" s="62" t="n"/>
      <c r="J4887" s="58" t="n"/>
      <c r="K4887" s="63">
        <f>IF(tblMovement[[#This Row],[Source]]="","",IFERROR(INDEX(tblSources[Type],MATCH(tblMovement[[#This Row],[Source]],tblSources[Source],0)),"?"))</f>
        <v/>
      </c>
      <c r="L4887" s="63">
        <f>IF(tblMovement[[#This Row],[Destination]]="","",IFERROR(INDEX(tblDestinations[Type],MATCH(tblMovement[[#This Row],[Destination]],tblDestinations[Destination],0)),"?"))</f>
        <v/>
      </c>
      <c r="M4887" s="64">
        <f>IF(tblMovement[[#This Row],[Material]]="","",IF(LEFT(tblMovement[[#This Row],[Material]],3)="Ore",1,0))</f>
        <v/>
      </c>
      <c r="N4887" s="59">
        <f>IF(OR(tblMovement[[#This Row],[Tonnes_t]]="",tblMovement[[#This Row],[Grade_gpt]]=""),0,tblMovement[[#This Row],[Tonnes_t]]*tblMovement[[#This Row],[Grade_gpt]]/cfg_TroyOz)</f>
        <v/>
      </c>
      <c r="O4887" s="59">
        <f>IF(tblMovement[[#This Row],[Is_Ore]]=1,tblMovement[[#This Row],[Contained_oz]],0)</f>
        <v/>
      </c>
    </row>
    <row r="4888">
      <c r="A4888" s="54" t="n"/>
      <c r="B4888" s="61" t="n"/>
      <c r="C4888" s="61" t="n"/>
      <c r="D4888" s="61" t="n"/>
      <c r="E4888" s="61" t="n"/>
      <c r="F4888" s="55" t="n"/>
      <c r="G4888" s="56" t="n"/>
      <c r="H4888" s="55" t="n"/>
      <c r="I4888" s="62" t="n"/>
      <c r="J4888" s="58" t="n"/>
      <c r="K4888" s="63">
        <f>IF(tblMovement[[#This Row],[Source]]="","",IFERROR(INDEX(tblSources[Type],MATCH(tblMovement[[#This Row],[Source]],tblSources[Source],0)),"?"))</f>
        <v/>
      </c>
      <c r="L4888" s="63">
        <f>IF(tblMovement[[#This Row],[Destination]]="","",IFERROR(INDEX(tblDestinations[Type],MATCH(tblMovement[[#This Row],[Destination]],tblDestinations[Destination],0)),"?"))</f>
        <v/>
      </c>
      <c r="M4888" s="64">
        <f>IF(tblMovement[[#This Row],[Material]]="","",IF(LEFT(tblMovement[[#This Row],[Material]],3)="Ore",1,0))</f>
        <v/>
      </c>
      <c r="N4888" s="59">
        <f>IF(OR(tblMovement[[#This Row],[Tonnes_t]]="",tblMovement[[#This Row],[Grade_gpt]]=""),0,tblMovement[[#This Row],[Tonnes_t]]*tblMovement[[#This Row],[Grade_gpt]]/cfg_TroyOz)</f>
        <v/>
      </c>
      <c r="O4888" s="59">
        <f>IF(tblMovement[[#This Row],[Is_Ore]]=1,tblMovement[[#This Row],[Contained_oz]],0)</f>
        <v/>
      </c>
    </row>
    <row r="4889">
      <c r="A4889" s="54" t="n"/>
      <c r="B4889" s="61" t="n"/>
      <c r="C4889" s="61" t="n"/>
      <c r="D4889" s="61" t="n"/>
      <c r="E4889" s="61" t="n"/>
      <c r="F4889" s="55" t="n"/>
      <c r="G4889" s="56" t="n"/>
      <c r="H4889" s="55" t="n"/>
      <c r="I4889" s="62" t="n"/>
      <c r="J4889" s="58" t="n"/>
      <c r="K4889" s="63">
        <f>IF(tblMovement[[#This Row],[Source]]="","",IFERROR(INDEX(tblSources[Type],MATCH(tblMovement[[#This Row],[Source]],tblSources[Source],0)),"?"))</f>
        <v/>
      </c>
      <c r="L4889" s="63">
        <f>IF(tblMovement[[#This Row],[Destination]]="","",IFERROR(INDEX(tblDestinations[Type],MATCH(tblMovement[[#This Row],[Destination]],tblDestinations[Destination],0)),"?"))</f>
        <v/>
      </c>
      <c r="M4889" s="64">
        <f>IF(tblMovement[[#This Row],[Material]]="","",IF(LEFT(tblMovement[[#This Row],[Material]],3)="Ore",1,0))</f>
        <v/>
      </c>
      <c r="N4889" s="59">
        <f>IF(OR(tblMovement[[#This Row],[Tonnes_t]]="",tblMovement[[#This Row],[Grade_gpt]]=""),0,tblMovement[[#This Row],[Tonnes_t]]*tblMovement[[#This Row],[Grade_gpt]]/cfg_TroyOz)</f>
        <v/>
      </c>
      <c r="O4889" s="59">
        <f>IF(tblMovement[[#This Row],[Is_Ore]]=1,tblMovement[[#This Row],[Contained_oz]],0)</f>
        <v/>
      </c>
    </row>
    <row r="4890">
      <c r="A4890" s="54" t="n"/>
      <c r="B4890" s="61" t="n"/>
      <c r="C4890" s="61" t="n"/>
      <c r="D4890" s="61" t="n"/>
      <c r="E4890" s="61" t="n"/>
      <c r="F4890" s="55" t="n"/>
      <c r="G4890" s="56" t="n"/>
      <c r="H4890" s="55" t="n"/>
      <c r="I4890" s="62" t="n"/>
      <c r="J4890" s="58" t="n"/>
      <c r="K4890" s="63">
        <f>IF(tblMovement[[#This Row],[Source]]="","",IFERROR(INDEX(tblSources[Type],MATCH(tblMovement[[#This Row],[Source]],tblSources[Source],0)),"?"))</f>
        <v/>
      </c>
      <c r="L4890" s="63">
        <f>IF(tblMovement[[#This Row],[Destination]]="","",IFERROR(INDEX(tblDestinations[Type],MATCH(tblMovement[[#This Row],[Destination]],tblDestinations[Destination],0)),"?"))</f>
        <v/>
      </c>
      <c r="M4890" s="64">
        <f>IF(tblMovement[[#This Row],[Material]]="","",IF(LEFT(tblMovement[[#This Row],[Material]],3)="Ore",1,0))</f>
        <v/>
      </c>
      <c r="N4890" s="59">
        <f>IF(OR(tblMovement[[#This Row],[Tonnes_t]]="",tblMovement[[#This Row],[Grade_gpt]]=""),0,tblMovement[[#This Row],[Tonnes_t]]*tblMovement[[#This Row],[Grade_gpt]]/cfg_TroyOz)</f>
        <v/>
      </c>
      <c r="O4890" s="59">
        <f>IF(tblMovement[[#This Row],[Is_Ore]]=1,tblMovement[[#This Row],[Contained_oz]],0)</f>
        <v/>
      </c>
    </row>
    <row r="4891">
      <c r="A4891" s="54" t="n"/>
      <c r="B4891" s="61" t="n"/>
      <c r="C4891" s="61" t="n"/>
      <c r="D4891" s="61" t="n"/>
      <c r="E4891" s="61" t="n"/>
      <c r="F4891" s="55" t="n"/>
      <c r="G4891" s="56" t="n"/>
      <c r="H4891" s="55" t="n"/>
      <c r="I4891" s="62" t="n"/>
      <c r="J4891" s="58" t="n"/>
      <c r="K4891" s="63">
        <f>IF(tblMovement[[#This Row],[Source]]="","",IFERROR(INDEX(tblSources[Type],MATCH(tblMovement[[#This Row],[Source]],tblSources[Source],0)),"?"))</f>
        <v/>
      </c>
      <c r="L4891" s="63">
        <f>IF(tblMovement[[#This Row],[Destination]]="","",IFERROR(INDEX(tblDestinations[Type],MATCH(tblMovement[[#This Row],[Destination]],tblDestinations[Destination],0)),"?"))</f>
        <v/>
      </c>
      <c r="M4891" s="64">
        <f>IF(tblMovement[[#This Row],[Material]]="","",IF(LEFT(tblMovement[[#This Row],[Material]],3)="Ore",1,0))</f>
        <v/>
      </c>
      <c r="N4891" s="59">
        <f>IF(OR(tblMovement[[#This Row],[Tonnes_t]]="",tblMovement[[#This Row],[Grade_gpt]]=""),0,tblMovement[[#This Row],[Tonnes_t]]*tblMovement[[#This Row],[Grade_gpt]]/cfg_TroyOz)</f>
        <v/>
      </c>
      <c r="O4891" s="59">
        <f>IF(tblMovement[[#This Row],[Is_Ore]]=1,tblMovement[[#This Row],[Contained_oz]],0)</f>
        <v/>
      </c>
    </row>
    <row r="4892">
      <c r="A4892" s="54" t="n"/>
      <c r="B4892" s="61" t="n"/>
      <c r="C4892" s="61" t="n"/>
      <c r="D4892" s="61" t="n"/>
      <c r="E4892" s="61" t="n"/>
      <c r="F4892" s="55" t="n"/>
      <c r="G4892" s="56" t="n"/>
      <c r="H4892" s="55" t="n"/>
      <c r="I4892" s="62" t="n"/>
      <c r="J4892" s="58" t="n"/>
      <c r="K4892" s="63">
        <f>IF(tblMovement[[#This Row],[Source]]="","",IFERROR(INDEX(tblSources[Type],MATCH(tblMovement[[#This Row],[Source]],tblSources[Source],0)),"?"))</f>
        <v/>
      </c>
      <c r="L4892" s="63">
        <f>IF(tblMovement[[#This Row],[Destination]]="","",IFERROR(INDEX(tblDestinations[Type],MATCH(tblMovement[[#This Row],[Destination]],tblDestinations[Destination],0)),"?"))</f>
        <v/>
      </c>
      <c r="M4892" s="64">
        <f>IF(tblMovement[[#This Row],[Material]]="","",IF(LEFT(tblMovement[[#This Row],[Material]],3)="Ore",1,0))</f>
        <v/>
      </c>
      <c r="N4892" s="59">
        <f>IF(OR(tblMovement[[#This Row],[Tonnes_t]]="",tblMovement[[#This Row],[Grade_gpt]]=""),0,tblMovement[[#This Row],[Tonnes_t]]*tblMovement[[#This Row],[Grade_gpt]]/cfg_TroyOz)</f>
        <v/>
      </c>
      <c r="O4892" s="59">
        <f>IF(tblMovement[[#This Row],[Is_Ore]]=1,tblMovement[[#This Row],[Contained_oz]],0)</f>
        <v/>
      </c>
    </row>
    <row r="4893">
      <c r="A4893" s="54" t="n"/>
      <c r="B4893" s="61" t="n"/>
      <c r="C4893" s="61" t="n"/>
      <c r="D4893" s="61" t="n"/>
      <c r="E4893" s="61" t="n"/>
      <c r="F4893" s="55" t="n"/>
      <c r="G4893" s="56" t="n"/>
      <c r="H4893" s="55" t="n"/>
      <c r="I4893" s="62" t="n"/>
      <c r="J4893" s="58" t="n"/>
      <c r="K4893" s="63">
        <f>IF(tblMovement[[#This Row],[Source]]="","",IFERROR(INDEX(tblSources[Type],MATCH(tblMovement[[#This Row],[Source]],tblSources[Source],0)),"?"))</f>
        <v/>
      </c>
      <c r="L4893" s="63">
        <f>IF(tblMovement[[#This Row],[Destination]]="","",IFERROR(INDEX(tblDestinations[Type],MATCH(tblMovement[[#This Row],[Destination]],tblDestinations[Destination],0)),"?"))</f>
        <v/>
      </c>
      <c r="M4893" s="64">
        <f>IF(tblMovement[[#This Row],[Material]]="","",IF(LEFT(tblMovement[[#This Row],[Material]],3)="Ore",1,0))</f>
        <v/>
      </c>
      <c r="N4893" s="59">
        <f>IF(OR(tblMovement[[#This Row],[Tonnes_t]]="",tblMovement[[#This Row],[Grade_gpt]]=""),0,tblMovement[[#This Row],[Tonnes_t]]*tblMovement[[#This Row],[Grade_gpt]]/cfg_TroyOz)</f>
        <v/>
      </c>
      <c r="O4893" s="59">
        <f>IF(tblMovement[[#This Row],[Is_Ore]]=1,tblMovement[[#This Row],[Contained_oz]],0)</f>
        <v/>
      </c>
    </row>
    <row r="4894">
      <c r="A4894" s="54" t="n"/>
      <c r="B4894" s="61" t="n"/>
      <c r="C4894" s="61" t="n"/>
      <c r="D4894" s="61" t="n"/>
      <c r="E4894" s="61" t="n"/>
      <c r="F4894" s="55" t="n"/>
      <c r="G4894" s="56" t="n"/>
      <c r="H4894" s="55" t="n"/>
      <c r="I4894" s="62" t="n"/>
      <c r="J4894" s="58" t="n"/>
      <c r="K4894" s="63">
        <f>IF(tblMovement[[#This Row],[Source]]="","",IFERROR(INDEX(tblSources[Type],MATCH(tblMovement[[#This Row],[Source]],tblSources[Source],0)),"?"))</f>
        <v/>
      </c>
      <c r="L4894" s="63">
        <f>IF(tblMovement[[#This Row],[Destination]]="","",IFERROR(INDEX(tblDestinations[Type],MATCH(tblMovement[[#This Row],[Destination]],tblDestinations[Destination],0)),"?"))</f>
        <v/>
      </c>
      <c r="M4894" s="64">
        <f>IF(tblMovement[[#This Row],[Material]]="","",IF(LEFT(tblMovement[[#This Row],[Material]],3)="Ore",1,0))</f>
        <v/>
      </c>
      <c r="N4894" s="59">
        <f>IF(OR(tblMovement[[#This Row],[Tonnes_t]]="",tblMovement[[#This Row],[Grade_gpt]]=""),0,tblMovement[[#This Row],[Tonnes_t]]*tblMovement[[#This Row],[Grade_gpt]]/cfg_TroyOz)</f>
        <v/>
      </c>
      <c r="O4894" s="59">
        <f>IF(tblMovement[[#This Row],[Is_Ore]]=1,tblMovement[[#This Row],[Contained_oz]],0)</f>
        <v/>
      </c>
    </row>
    <row r="4895">
      <c r="A4895" s="54" t="n"/>
      <c r="B4895" s="61" t="n"/>
      <c r="C4895" s="61" t="n"/>
      <c r="D4895" s="61" t="n"/>
      <c r="E4895" s="61" t="n"/>
      <c r="F4895" s="55" t="n"/>
      <c r="G4895" s="56" t="n"/>
      <c r="H4895" s="55" t="n"/>
      <c r="I4895" s="62" t="n"/>
      <c r="J4895" s="58" t="n"/>
      <c r="K4895" s="63">
        <f>IF(tblMovement[[#This Row],[Source]]="","",IFERROR(INDEX(tblSources[Type],MATCH(tblMovement[[#This Row],[Source]],tblSources[Source],0)),"?"))</f>
        <v/>
      </c>
      <c r="L4895" s="63">
        <f>IF(tblMovement[[#This Row],[Destination]]="","",IFERROR(INDEX(tblDestinations[Type],MATCH(tblMovement[[#This Row],[Destination]],tblDestinations[Destination],0)),"?"))</f>
        <v/>
      </c>
      <c r="M4895" s="64">
        <f>IF(tblMovement[[#This Row],[Material]]="","",IF(LEFT(tblMovement[[#This Row],[Material]],3)="Ore",1,0))</f>
        <v/>
      </c>
      <c r="N4895" s="59">
        <f>IF(OR(tblMovement[[#This Row],[Tonnes_t]]="",tblMovement[[#This Row],[Grade_gpt]]=""),0,tblMovement[[#This Row],[Tonnes_t]]*tblMovement[[#This Row],[Grade_gpt]]/cfg_TroyOz)</f>
        <v/>
      </c>
      <c r="O4895" s="59">
        <f>IF(tblMovement[[#This Row],[Is_Ore]]=1,tblMovement[[#This Row],[Contained_oz]],0)</f>
        <v/>
      </c>
    </row>
    <row r="4896">
      <c r="A4896" s="54" t="n"/>
      <c r="B4896" s="61" t="n"/>
      <c r="C4896" s="61" t="n"/>
      <c r="D4896" s="61" t="n"/>
      <c r="E4896" s="61" t="n"/>
      <c r="F4896" s="55" t="n"/>
      <c r="G4896" s="56" t="n"/>
      <c r="H4896" s="55" t="n"/>
      <c r="I4896" s="62" t="n"/>
      <c r="J4896" s="58" t="n"/>
      <c r="K4896" s="63">
        <f>IF(tblMovement[[#This Row],[Source]]="","",IFERROR(INDEX(tblSources[Type],MATCH(tblMovement[[#This Row],[Source]],tblSources[Source],0)),"?"))</f>
        <v/>
      </c>
      <c r="L4896" s="63">
        <f>IF(tblMovement[[#This Row],[Destination]]="","",IFERROR(INDEX(tblDestinations[Type],MATCH(tblMovement[[#This Row],[Destination]],tblDestinations[Destination],0)),"?"))</f>
        <v/>
      </c>
      <c r="M4896" s="64">
        <f>IF(tblMovement[[#This Row],[Material]]="","",IF(LEFT(tblMovement[[#This Row],[Material]],3)="Ore",1,0))</f>
        <v/>
      </c>
      <c r="N4896" s="59">
        <f>IF(OR(tblMovement[[#This Row],[Tonnes_t]]="",tblMovement[[#This Row],[Grade_gpt]]=""),0,tblMovement[[#This Row],[Tonnes_t]]*tblMovement[[#This Row],[Grade_gpt]]/cfg_TroyOz)</f>
        <v/>
      </c>
      <c r="O4896" s="59">
        <f>IF(tblMovement[[#This Row],[Is_Ore]]=1,tblMovement[[#This Row],[Contained_oz]],0)</f>
        <v/>
      </c>
    </row>
    <row r="4897">
      <c r="A4897" s="54" t="n"/>
      <c r="B4897" s="61" t="n"/>
      <c r="C4897" s="61" t="n"/>
      <c r="D4897" s="61" t="n"/>
      <c r="E4897" s="61" t="n"/>
      <c r="F4897" s="55" t="n"/>
      <c r="G4897" s="56" t="n"/>
      <c r="H4897" s="55" t="n"/>
      <c r="I4897" s="62" t="n"/>
      <c r="J4897" s="58" t="n"/>
      <c r="K4897" s="63">
        <f>IF(tblMovement[[#This Row],[Source]]="","",IFERROR(INDEX(tblSources[Type],MATCH(tblMovement[[#This Row],[Source]],tblSources[Source],0)),"?"))</f>
        <v/>
      </c>
      <c r="L4897" s="63">
        <f>IF(tblMovement[[#This Row],[Destination]]="","",IFERROR(INDEX(tblDestinations[Type],MATCH(tblMovement[[#This Row],[Destination]],tblDestinations[Destination],0)),"?"))</f>
        <v/>
      </c>
      <c r="M4897" s="64">
        <f>IF(tblMovement[[#This Row],[Material]]="","",IF(LEFT(tblMovement[[#This Row],[Material]],3)="Ore",1,0))</f>
        <v/>
      </c>
      <c r="N4897" s="59">
        <f>IF(OR(tblMovement[[#This Row],[Tonnes_t]]="",tblMovement[[#This Row],[Grade_gpt]]=""),0,tblMovement[[#This Row],[Tonnes_t]]*tblMovement[[#This Row],[Grade_gpt]]/cfg_TroyOz)</f>
        <v/>
      </c>
      <c r="O4897" s="59">
        <f>IF(tblMovement[[#This Row],[Is_Ore]]=1,tblMovement[[#This Row],[Contained_oz]],0)</f>
        <v/>
      </c>
    </row>
    <row r="4898">
      <c r="A4898" s="54" t="n"/>
      <c r="B4898" s="61" t="n"/>
      <c r="C4898" s="61" t="n"/>
      <c r="D4898" s="61" t="n"/>
      <c r="E4898" s="61" t="n"/>
      <c r="F4898" s="55" t="n"/>
      <c r="G4898" s="56" t="n"/>
      <c r="H4898" s="55" t="n"/>
      <c r="I4898" s="62" t="n"/>
      <c r="J4898" s="58" t="n"/>
      <c r="K4898" s="63">
        <f>IF(tblMovement[[#This Row],[Source]]="","",IFERROR(INDEX(tblSources[Type],MATCH(tblMovement[[#This Row],[Source]],tblSources[Source],0)),"?"))</f>
        <v/>
      </c>
      <c r="L4898" s="63">
        <f>IF(tblMovement[[#This Row],[Destination]]="","",IFERROR(INDEX(tblDestinations[Type],MATCH(tblMovement[[#This Row],[Destination]],tblDestinations[Destination],0)),"?"))</f>
        <v/>
      </c>
      <c r="M4898" s="64">
        <f>IF(tblMovement[[#This Row],[Material]]="","",IF(LEFT(tblMovement[[#This Row],[Material]],3)="Ore",1,0))</f>
        <v/>
      </c>
      <c r="N4898" s="59">
        <f>IF(OR(tblMovement[[#This Row],[Tonnes_t]]="",tblMovement[[#This Row],[Grade_gpt]]=""),0,tblMovement[[#This Row],[Tonnes_t]]*tblMovement[[#This Row],[Grade_gpt]]/cfg_TroyOz)</f>
        <v/>
      </c>
      <c r="O4898" s="59">
        <f>IF(tblMovement[[#This Row],[Is_Ore]]=1,tblMovement[[#This Row],[Contained_oz]],0)</f>
        <v/>
      </c>
    </row>
    <row r="4899">
      <c r="A4899" s="54" t="n"/>
      <c r="B4899" s="61" t="n"/>
      <c r="C4899" s="61" t="n"/>
      <c r="D4899" s="61" t="n"/>
      <c r="E4899" s="61" t="n"/>
      <c r="F4899" s="55" t="n"/>
      <c r="G4899" s="56" t="n"/>
      <c r="H4899" s="55" t="n"/>
      <c r="I4899" s="62" t="n"/>
      <c r="J4899" s="58" t="n"/>
      <c r="K4899" s="63">
        <f>IF(tblMovement[[#This Row],[Source]]="","",IFERROR(INDEX(tblSources[Type],MATCH(tblMovement[[#This Row],[Source]],tblSources[Source],0)),"?"))</f>
        <v/>
      </c>
      <c r="L4899" s="63">
        <f>IF(tblMovement[[#This Row],[Destination]]="","",IFERROR(INDEX(tblDestinations[Type],MATCH(tblMovement[[#This Row],[Destination]],tblDestinations[Destination],0)),"?"))</f>
        <v/>
      </c>
      <c r="M4899" s="64">
        <f>IF(tblMovement[[#This Row],[Material]]="","",IF(LEFT(tblMovement[[#This Row],[Material]],3)="Ore",1,0))</f>
        <v/>
      </c>
      <c r="N4899" s="59">
        <f>IF(OR(tblMovement[[#This Row],[Tonnes_t]]="",tblMovement[[#This Row],[Grade_gpt]]=""),0,tblMovement[[#This Row],[Tonnes_t]]*tblMovement[[#This Row],[Grade_gpt]]/cfg_TroyOz)</f>
        <v/>
      </c>
      <c r="O4899" s="59">
        <f>IF(tblMovement[[#This Row],[Is_Ore]]=1,tblMovement[[#This Row],[Contained_oz]],0)</f>
        <v/>
      </c>
    </row>
    <row r="4900">
      <c r="A4900" s="54" t="n"/>
      <c r="B4900" s="61" t="n"/>
      <c r="C4900" s="61" t="n"/>
      <c r="D4900" s="61" t="n"/>
      <c r="E4900" s="61" t="n"/>
      <c r="F4900" s="55" t="n"/>
      <c r="G4900" s="56" t="n"/>
      <c r="H4900" s="55" t="n"/>
      <c r="I4900" s="62" t="n"/>
      <c r="J4900" s="58" t="n"/>
      <c r="K4900" s="63">
        <f>IF(tblMovement[[#This Row],[Source]]="","",IFERROR(INDEX(tblSources[Type],MATCH(tblMovement[[#This Row],[Source]],tblSources[Source],0)),"?"))</f>
        <v/>
      </c>
      <c r="L4900" s="63">
        <f>IF(tblMovement[[#This Row],[Destination]]="","",IFERROR(INDEX(tblDestinations[Type],MATCH(tblMovement[[#This Row],[Destination]],tblDestinations[Destination],0)),"?"))</f>
        <v/>
      </c>
      <c r="M4900" s="64">
        <f>IF(tblMovement[[#This Row],[Material]]="","",IF(LEFT(tblMovement[[#This Row],[Material]],3)="Ore",1,0))</f>
        <v/>
      </c>
      <c r="N4900" s="59">
        <f>IF(OR(tblMovement[[#This Row],[Tonnes_t]]="",tblMovement[[#This Row],[Grade_gpt]]=""),0,tblMovement[[#This Row],[Tonnes_t]]*tblMovement[[#This Row],[Grade_gpt]]/cfg_TroyOz)</f>
        <v/>
      </c>
      <c r="O4900" s="59">
        <f>IF(tblMovement[[#This Row],[Is_Ore]]=1,tblMovement[[#This Row],[Contained_oz]],0)</f>
        <v/>
      </c>
    </row>
    <row r="4901">
      <c r="A4901" s="54" t="n"/>
      <c r="B4901" s="61" t="n"/>
      <c r="C4901" s="61" t="n"/>
      <c r="D4901" s="61" t="n"/>
      <c r="E4901" s="61" t="n"/>
      <c r="F4901" s="55" t="n"/>
      <c r="G4901" s="56" t="n"/>
      <c r="H4901" s="55" t="n"/>
      <c r="I4901" s="62" t="n"/>
      <c r="J4901" s="58" t="n"/>
      <c r="K4901" s="63">
        <f>IF(tblMovement[[#This Row],[Source]]="","",IFERROR(INDEX(tblSources[Type],MATCH(tblMovement[[#This Row],[Source]],tblSources[Source],0)),"?"))</f>
        <v/>
      </c>
      <c r="L4901" s="63">
        <f>IF(tblMovement[[#This Row],[Destination]]="","",IFERROR(INDEX(tblDestinations[Type],MATCH(tblMovement[[#This Row],[Destination]],tblDestinations[Destination],0)),"?"))</f>
        <v/>
      </c>
      <c r="M4901" s="64">
        <f>IF(tblMovement[[#This Row],[Material]]="","",IF(LEFT(tblMovement[[#This Row],[Material]],3)="Ore",1,0))</f>
        <v/>
      </c>
      <c r="N4901" s="59">
        <f>IF(OR(tblMovement[[#This Row],[Tonnes_t]]="",tblMovement[[#This Row],[Grade_gpt]]=""),0,tblMovement[[#This Row],[Tonnes_t]]*tblMovement[[#This Row],[Grade_gpt]]/cfg_TroyOz)</f>
        <v/>
      </c>
      <c r="O4901" s="59">
        <f>IF(tblMovement[[#This Row],[Is_Ore]]=1,tblMovement[[#This Row],[Contained_oz]],0)</f>
        <v/>
      </c>
    </row>
    <row r="4902">
      <c r="A4902" s="54" t="n"/>
      <c r="B4902" s="61" t="n"/>
      <c r="C4902" s="61" t="n"/>
      <c r="D4902" s="61" t="n"/>
      <c r="E4902" s="61" t="n"/>
      <c r="F4902" s="55" t="n"/>
      <c r="G4902" s="56" t="n"/>
      <c r="H4902" s="55" t="n"/>
      <c r="I4902" s="62" t="n"/>
      <c r="J4902" s="58" t="n"/>
      <c r="K4902" s="63">
        <f>IF(tblMovement[[#This Row],[Source]]="","",IFERROR(INDEX(tblSources[Type],MATCH(tblMovement[[#This Row],[Source]],tblSources[Source],0)),"?"))</f>
        <v/>
      </c>
      <c r="L4902" s="63">
        <f>IF(tblMovement[[#This Row],[Destination]]="","",IFERROR(INDEX(tblDestinations[Type],MATCH(tblMovement[[#This Row],[Destination]],tblDestinations[Destination],0)),"?"))</f>
        <v/>
      </c>
      <c r="M4902" s="64">
        <f>IF(tblMovement[[#This Row],[Material]]="","",IF(LEFT(tblMovement[[#This Row],[Material]],3)="Ore",1,0))</f>
        <v/>
      </c>
      <c r="N4902" s="59">
        <f>IF(OR(tblMovement[[#This Row],[Tonnes_t]]="",tblMovement[[#This Row],[Grade_gpt]]=""),0,tblMovement[[#This Row],[Tonnes_t]]*tblMovement[[#This Row],[Grade_gpt]]/cfg_TroyOz)</f>
        <v/>
      </c>
      <c r="O4902" s="59">
        <f>IF(tblMovement[[#This Row],[Is_Ore]]=1,tblMovement[[#This Row],[Contained_oz]],0)</f>
        <v/>
      </c>
    </row>
    <row r="4903">
      <c r="A4903" s="54" t="n"/>
      <c r="B4903" s="61" t="n"/>
      <c r="C4903" s="61" t="n"/>
      <c r="D4903" s="61" t="n"/>
      <c r="E4903" s="61" t="n"/>
      <c r="F4903" s="55" t="n"/>
      <c r="G4903" s="56" t="n"/>
      <c r="H4903" s="55" t="n"/>
      <c r="I4903" s="62" t="n"/>
      <c r="J4903" s="58" t="n"/>
      <c r="K4903" s="63">
        <f>IF(tblMovement[[#This Row],[Source]]="","",IFERROR(INDEX(tblSources[Type],MATCH(tblMovement[[#This Row],[Source]],tblSources[Source],0)),"?"))</f>
        <v/>
      </c>
      <c r="L4903" s="63">
        <f>IF(tblMovement[[#This Row],[Destination]]="","",IFERROR(INDEX(tblDestinations[Type],MATCH(tblMovement[[#This Row],[Destination]],tblDestinations[Destination],0)),"?"))</f>
        <v/>
      </c>
      <c r="M4903" s="64">
        <f>IF(tblMovement[[#This Row],[Material]]="","",IF(LEFT(tblMovement[[#This Row],[Material]],3)="Ore",1,0))</f>
        <v/>
      </c>
      <c r="N4903" s="59">
        <f>IF(OR(tblMovement[[#This Row],[Tonnes_t]]="",tblMovement[[#This Row],[Grade_gpt]]=""),0,tblMovement[[#This Row],[Tonnes_t]]*tblMovement[[#This Row],[Grade_gpt]]/cfg_TroyOz)</f>
        <v/>
      </c>
      <c r="O4903" s="59">
        <f>IF(tblMovement[[#This Row],[Is_Ore]]=1,tblMovement[[#This Row],[Contained_oz]],0)</f>
        <v/>
      </c>
    </row>
    <row r="4904">
      <c r="A4904" s="54" t="n"/>
      <c r="B4904" s="61" t="n"/>
      <c r="C4904" s="61" t="n"/>
      <c r="D4904" s="61" t="n"/>
      <c r="E4904" s="61" t="n"/>
      <c r="F4904" s="55" t="n"/>
      <c r="G4904" s="56" t="n"/>
      <c r="H4904" s="55" t="n"/>
      <c r="I4904" s="62" t="n"/>
      <c r="J4904" s="58" t="n"/>
      <c r="K4904" s="63">
        <f>IF(tblMovement[[#This Row],[Source]]="","",IFERROR(INDEX(tblSources[Type],MATCH(tblMovement[[#This Row],[Source]],tblSources[Source],0)),"?"))</f>
        <v/>
      </c>
      <c r="L4904" s="63">
        <f>IF(tblMovement[[#This Row],[Destination]]="","",IFERROR(INDEX(tblDestinations[Type],MATCH(tblMovement[[#This Row],[Destination]],tblDestinations[Destination],0)),"?"))</f>
        <v/>
      </c>
      <c r="M4904" s="64">
        <f>IF(tblMovement[[#This Row],[Material]]="","",IF(LEFT(tblMovement[[#This Row],[Material]],3)="Ore",1,0))</f>
        <v/>
      </c>
      <c r="N4904" s="59">
        <f>IF(OR(tblMovement[[#This Row],[Tonnes_t]]="",tblMovement[[#This Row],[Grade_gpt]]=""),0,tblMovement[[#This Row],[Tonnes_t]]*tblMovement[[#This Row],[Grade_gpt]]/cfg_TroyOz)</f>
        <v/>
      </c>
      <c r="O4904" s="59">
        <f>IF(tblMovement[[#This Row],[Is_Ore]]=1,tblMovement[[#This Row],[Contained_oz]],0)</f>
        <v/>
      </c>
    </row>
    <row r="4905">
      <c r="A4905" s="54" t="n"/>
      <c r="B4905" s="61" t="n"/>
      <c r="C4905" s="61" t="n"/>
      <c r="D4905" s="61" t="n"/>
      <c r="E4905" s="61" t="n"/>
      <c r="F4905" s="55" t="n"/>
      <c r="G4905" s="56" t="n"/>
      <c r="H4905" s="55" t="n"/>
      <c r="I4905" s="62" t="n"/>
      <c r="J4905" s="58" t="n"/>
      <c r="K4905" s="63">
        <f>IF(tblMovement[[#This Row],[Source]]="","",IFERROR(INDEX(tblSources[Type],MATCH(tblMovement[[#This Row],[Source]],tblSources[Source],0)),"?"))</f>
        <v/>
      </c>
      <c r="L4905" s="63">
        <f>IF(tblMovement[[#This Row],[Destination]]="","",IFERROR(INDEX(tblDestinations[Type],MATCH(tblMovement[[#This Row],[Destination]],tblDestinations[Destination],0)),"?"))</f>
        <v/>
      </c>
      <c r="M4905" s="64">
        <f>IF(tblMovement[[#This Row],[Material]]="","",IF(LEFT(tblMovement[[#This Row],[Material]],3)="Ore",1,0))</f>
        <v/>
      </c>
      <c r="N4905" s="59">
        <f>IF(OR(tblMovement[[#This Row],[Tonnes_t]]="",tblMovement[[#This Row],[Grade_gpt]]=""),0,tblMovement[[#This Row],[Tonnes_t]]*tblMovement[[#This Row],[Grade_gpt]]/cfg_TroyOz)</f>
        <v/>
      </c>
      <c r="O4905" s="59">
        <f>IF(tblMovement[[#This Row],[Is_Ore]]=1,tblMovement[[#This Row],[Contained_oz]],0)</f>
        <v/>
      </c>
    </row>
    <row r="4906">
      <c r="A4906" s="54" t="n"/>
      <c r="B4906" s="61" t="n"/>
      <c r="C4906" s="61" t="n"/>
      <c r="D4906" s="61" t="n"/>
      <c r="E4906" s="61" t="n"/>
      <c r="F4906" s="55" t="n"/>
      <c r="G4906" s="56" t="n"/>
      <c r="H4906" s="55" t="n"/>
      <c r="I4906" s="62" t="n"/>
      <c r="J4906" s="58" t="n"/>
      <c r="K4906" s="63">
        <f>IF(tblMovement[[#This Row],[Source]]="","",IFERROR(INDEX(tblSources[Type],MATCH(tblMovement[[#This Row],[Source]],tblSources[Source],0)),"?"))</f>
        <v/>
      </c>
      <c r="L4906" s="63">
        <f>IF(tblMovement[[#This Row],[Destination]]="","",IFERROR(INDEX(tblDestinations[Type],MATCH(tblMovement[[#This Row],[Destination]],tblDestinations[Destination],0)),"?"))</f>
        <v/>
      </c>
      <c r="M4906" s="64">
        <f>IF(tblMovement[[#This Row],[Material]]="","",IF(LEFT(tblMovement[[#This Row],[Material]],3)="Ore",1,0))</f>
        <v/>
      </c>
      <c r="N4906" s="59">
        <f>IF(OR(tblMovement[[#This Row],[Tonnes_t]]="",tblMovement[[#This Row],[Grade_gpt]]=""),0,tblMovement[[#This Row],[Tonnes_t]]*tblMovement[[#This Row],[Grade_gpt]]/cfg_TroyOz)</f>
        <v/>
      </c>
      <c r="O4906" s="59">
        <f>IF(tblMovement[[#This Row],[Is_Ore]]=1,tblMovement[[#This Row],[Contained_oz]],0)</f>
        <v/>
      </c>
    </row>
    <row r="4907">
      <c r="A4907" s="54" t="n"/>
      <c r="B4907" s="61" t="n"/>
      <c r="C4907" s="61" t="n"/>
      <c r="D4907" s="61" t="n"/>
      <c r="E4907" s="61" t="n"/>
      <c r="F4907" s="55" t="n"/>
      <c r="G4907" s="56" t="n"/>
      <c r="H4907" s="55" t="n"/>
      <c r="I4907" s="62" t="n"/>
      <c r="J4907" s="58" t="n"/>
      <c r="K4907" s="63">
        <f>IF(tblMovement[[#This Row],[Source]]="","",IFERROR(INDEX(tblSources[Type],MATCH(tblMovement[[#This Row],[Source]],tblSources[Source],0)),"?"))</f>
        <v/>
      </c>
      <c r="L4907" s="63">
        <f>IF(tblMovement[[#This Row],[Destination]]="","",IFERROR(INDEX(tblDestinations[Type],MATCH(tblMovement[[#This Row],[Destination]],tblDestinations[Destination],0)),"?"))</f>
        <v/>
      </c>
      <c r="M4907" s="64">
        <f>IF(tblMovement[[#This Row],[Material]]="","",IF(LEFT(tblMovement[[#This Row],[Material]],3)="Ore",1,0))</f>
        <v/>
      </c>
      <c r="N4907" s="59">
        <f>IF(OR(tblMovement[[#This Row],[Tonnes_t]]="",tblMovement[[#This Row],[Grade_gpt]]=""),0,tblMovement[[#This Row],[Tonnes_t]]*tblMovement[[#This Row],[Grade_gpt]]/cfg_TroyOz)</f>
        <v/>
      </c>
      <c r="O4907" s="59">
        <f>IF(tblMovement[[#This Row],[Is_Ore]]=1,tblMovement[[#This Row],[Contained_oz]],0)</f>
        <v/>
      </c>
    </row>
    <row r="4908">
      <c r="A4908" s="54" t="n"/>
      <c r="B4908" s="61" t="n"/>
      <c r="C4908" s="61" t="n"/>
      <c r="D4908" s="61" t="n"/>
      <c r="E4908" s="61" t="n"/>
      <c r="F4908" s="55" t="n"/>
      <c r="G4908" s="56" t="n"/>
      <c r="H4908" s="55" t="n"/>
      <c r="I4908" s="62" t="n"/>
      <c r="J4908" s="58" t="n"/>
      <c r="K4908" s="63">
        <f>IF(tblMovement[[#This Row],[Source]]="","",IFERROR(INDEX(tblSources[Type],MATCH(tblMovement[[#This Row],[Source]],tblSources[Source],0)),"?"))</f>
        <v/>
      </c>
      <c r="L4908" s="63">
        <f>IF(tblMovement[[#This Row],[Destination]]="","",IFERROR(INDEX(tblDestinations[Type],MATCH(tblMovement[[#This Row],[Destination]],tblDestinations[Destination],0)),"?"))</f>
        <v/>
      </c>
      <c r="M4908" s="64">
        <f>IF(tblMovement[[#This Row],[Material]]="","",IF(LEFT(tblMovement[[#This Row],[Material]],3)="Ore",1,0))</f>
        <v/>
      </c>
      <c r="N4908" s="59">
        <f>IF(OR(tblMovement[[#This Row],[Tonnes_t]]="",tblMovement[[#This Row],[Grade_gpt]]=""),0,tblMovement[[#This Row],[Tonnes_t]]*tblMovement[[#This Row],[Grade_gpt]]/cfg_TroyOz)</f>
        <v/>
      </c>
      <c r="O4908" s="59">
        <f>IF(tblMovement[[#This Row],[Is_Ore]]=1,tblMovement[[#This Row],[Contained_oz]],0)</f>
        <v/>
      </c>
    </row>
    <row r="4909">
      <c r="A4909" s="54" t="n"/>
      <c r="B4909" s="61" t="n"/>
      <c r="C4909" s="61" t="n"/>
      <c r="D4909" s="61" t="n"/>
      <c r="E4909" s="61" t="n"/>
      <c r="F4909" s="55" t="n"/>
      <c r="G4909" s="56" t="n"/>
      <c r="H4909" s="55" t="n"/>
      <c r="I4909" s="62" t="n"/>
      <c r="J4909" s="58" t="n"/>
      <c r="K4909" s="63">
        <f>IF(tblMovement[[#This Row],[Source]]="","",IFERROR(INDEX(tblSources[Type],MATCH(tblMovement[[#This Row],[Source]],tblSources[Source],0)),"?"))</f>
        <v/>
      </c>
      <c r="L4909" s="63">
        <f>IF(tblMovement[[#This Row],[Destination]]="","",IFERROR(INDEX(tblDestinations[Type],MATCH(tblMovement[[#This Row],[Destination]],tblDestinations[Destination],0)),"?"))</f>
        <v/>
      </c>
      <c r="M4909" s="64">
        <f>IF(tblMovement[[#This Row],[Material]]="","",IF(LEFT(tblMovement[[#This Row],[Material]],3)="Ore",1,0))</f>
        <v/>
      </c>
      <c r="N4909" s="59">
        <f>IF(OR(tblMovement[[#This Row],[Tonnes_t]]="",tblMovement[[#This Row],[Grade_gpt]]=""),0,tblMovement[[#This Row],[Tonnes_t]]*tblMovement[[#This Row],[Grade_gpt]]/cfg_TroyOz)</f>
        <v/>
      </c>
      <c r="O4909" s="59">
        <f>IF(tblMovement[[#This Row],[Is_Ore]]=1,tblMovement[[#This Row],[Contained_oz]],0)</f>
        <v/>
      </c>
    </row>
    <row r="4910">
      <c r="A4910" s="54" t="n"/>
      <c r="B4910" s="61" t="n"/>
      <c r="C4910" s="61" t="n"/>
      <c r="D4910" s="61" t="n"/>
      <c r="E4910" s="61" t="n"/>
      <c r="F4910" s="55" t="n"/>
      <c r="G4910" s="56" t="n"/>
      <c r="H4910" s="55" t="n"/>
      <c r="I4910" s="62" t="n"/>
      <c r="J4910" s="58" t="n"/>
      <c r="K4910" s="63">
        <f>IF(tblMovement[[#This Row],[Source]]="","",IFERROR(INDEX(tblSources[Type],MATCH(tblMovement[[#This Row],[Source]],tblSources[Source],0)),"?"))</f>
        <v/>
      </c>
      <c r="L4910" s="63">
        <f>IF(tblMovement[[#This Row],[Destination]]="","",IFERROR(INDEX(tblDestinations[Type],MATCH(tblMovement[[#This Row],[Destination]],tblDestinations[Destination],0)),"?"))</f>
        <v/>
      </c>
      <c r="M4910" s="64">
        <f>IF(tblMovement[[#This Row],[Material]]="","",IF(LEFT(tblMovement[[#This Row],[Material]],3)="Ore",1,0))</f>
        <v/>
      </c>
      <c r="N4910" s="59">
        <f>IF(OR(tblMovement[[#This Row],[Tonnes_t]]="",tblMovement[[#This Row],[Grade_gpt]]=""),0,tblMovement[[#This Row],[Tonnes_t]]*tblMovement[[#This Row],[Grade_gpt]]/cfg_TroyOz)</f>
        <v/>
      </c>
      <c r="O4910" s="59">
        <f>IF(tblMovement[[#This Row],[Is_Ore]]=1,tblMovement[[#This Row],[Contained_oz]],0)</f>
        <v/>
      </c>
    </row>
    <row r="4911">
      <c r="A4911" s="54" t="n"/>
      <c r="B4911" s="61" t="n"/>
      <c r="C4911" s="61" t="n"/>
      <c r="D4911" s="61" t="n"/>
      <c r="E4911" s="61" t="n"/>
      <c r="F4911" s="55" t="n"/>
      <c r="G4911" s="56" t="n"/>
      <c r="H4911" s="55" t="n"/>
      <c r="I4911" s="62" t="n"/>
      <c r="J4911" s="58" t="n"/>
      <c r="K4911" s="63">
        <f>IF(tblMovement[[#This Row],[Source]]="","",IFERROR(INDEX(tblSources[Type],MATCH(tblMovement[[#This Row],[Source]],tblSources[Source],0)),"?"))</f>
        <v/>
      </c>
      <c r="L4911" s="63">
        <f>IF(tblMovement[[#This Row],[Destination]]="","",IFERROR(INDEX(tblDestinations[Type],MATCH(tblMovement[[#This Row],[Destination]],tblDestinations[Destination],0)),"?"))</f>
        <v/>
      </c>
      <c r="M4911" s="64">
        <f>IF(tblMovement[[#This Row],[Material]]="","",IF(LEFT(tblMovement[[#This Row],[Material]],3)="Ore",1,0))</f>
        <v/>
      </c>
      <c r="N4911" s="59">
        <f>IF(OR(tblMovement[[#This Row],[Tonnes_t]]="",tblMovement[[#This Row],[Grade_gpt]]=""),0,tblMovement[[#This Row],[Tonnes_t]]*tblMovement[[#This Row],[Grade_gpt]]/cfg_TroyOz)</f>
        <v/>
      </c>
      <c r="O4911" s="59">
        <f>IF(tblMovement[[#This Row],[Is_Ore]]=1,tblMovement[[#This Row],[Contained_oz]],0)</f>
        <v/>
      </c>
    </row>
    <row r="4912">
      <c r="A4912" s="54" t="n"/>
      <c r="B4912" s="61" t="n"/>
      <c r="C4912" s="61" t="n"/>
      <c r="D4912" s="61" t="n"/>
      <c r="E4912" s="61" t="n"/>
      <c r="F4912" s="55" t="n"/>
      <c r="G4912" s="56" t="n"/>
      <c r="H4912" s="55" t="n"/>
      <c r="I4912" s="62" t="n"/>
      <c r="J4912" s="58" t="n"/>
      <c r="K4912" s="63">
        <f>IF(tblMovement[[#This Row],[Source]]="","",IFERROR(INDEX(tblSources[Type],MATCH(tblMovement[[#This Row],[Source]],tblSources[Source],0)),"?"))</f>
        <v/>
      </c>
      <c r="L4912" s="63">
        <f>IF(tblMovement[[#This Row],[Destination]]="","",IFERROR(INDEX(tblDestinations[Type],MATCH(tblMovement[[#This Row],[Destination]],tblDestinations[Destination],0)),"?"))</f>
        <v/>
      </c>
      <c r="M4912" s="64">
        <f>IF(tblMovement[[#This Row],[Material]]="","",IF(LEFT(tblMovement[[#This Row],[Material]],3)="Ore",1,0))</f>
        <v/>
      </c>
      <c r="N4912" s="59">
        <f>IF(OR(tblMovement[[#This Row],[Tonnes_t]]="",tblMovement[[#This Row],[Grade_gpt]]=""),0,tblMovement[[#This Row],[Tonnes_t]]*tblMovement[[#This Row],[Grade_gpt]]/cfg_TroyOz)</f>
        <v/>
      </c>
      <c r="O4912" s="59">
        <f>IF(tblMovement[[#This Row],[Is_Ore]]=1,tblMovement[[#This Row],[Contained_oz]],0)</f>
        <v/>
      </c>
    </row>
    <row r="4913">
      <c r="A4913" s="54" t="n"/>
      <c r="B4913" s="61" t="n"/>
      <c r="C4913" s="61" t="n"/>
      <c r="D4913" s="61" t="n"/>
      <c r="E4913" s="61" t="n"/>
      <c r="F4913" s="55" t="n"/>
      <c r="G4913" s="56" t="n"/>
      <c r="H4913" s="55" t="n"/>
      <c r="I4913" s="62" t="n"/>
      <c r="J4913" s="58" t="n"/>
      <c r="K4913" s="63">
        <f>IF(tblMovement[[#This Row],[Source]]="","",IFERROR(INDEX(tblSources[Type],MATCH(tblMovement[[#This Row],[Source]],tblSources[Source],0)),"?"))</f>
        <v/>
      </c>
      <c r="L4913" s="63">
        <f>IF(tblMovement[[#This Row],[Destination]]="","",IFERROR(INDEX(tblDestinations[Type],MATCH(tblMovement[[#This Row],[Destination]],tblDestinations[Destination],0)),"?"))</f>
        <v/>
      </c>
      <c r="M4913" s="64">
        <f>IF(tblMovement[[#This Row],[Material]]="","",IF(LEFT(tblMovement[[#This Row],[Material]],3)="Ore",1,0))</f>
        <v/>
      </c>
      <c r="N4913" s="59">
        <f>IF(OR(tblMovement[[#This Row],[Tonnes_t]]="",tblMovement[[#This Row],[Grade_gpt]]=""),0,tblMovement[[#This Row],[Tonnes_t]]*tblMovement[[#This Row],[Grade_gpt]]/cfg_TroyOz)</f>
        <v/>
      </c>
      <c r="O4913" s="59">
        <f>IF(tblMovement[[#This Row],[Is_Ore]]=1,tblMovement[[#This Row],[Contained_oz]],0)</f>
        <v/>
      </c>
    </row>
    <row r="4914">
      <c r="A4914" s="54" t="n"/>
      <c r="B4914" s="61" t="n"/>
      <c r="C4914" s="61" t="n"/>
      <c r="D4914" s="61" t="n"/>
      <c r="E4914" s="61" t="n"/>
      <c r="F4914" s="55" t="n"/>
      <c r="G4914" s="56" t="n"/>
      <c r="H4914" s="55" t="n"/>
      <c r="I4914" s="62" t="n"/>
      <c r="J4914" s="58" t="n"/>
      <c r="K4914" s="63">
        <f>IF(tblMovement[[#This Row],[Source]]="","",IFERROR(INDEX(tblSources[Type],MATCH(tblMovement[[#This Row],[Source]],tblSources[Source],0)),"?"))</f>
        <v/>
      </c>
      <c r="L4914" s="63">
        <f>IF(tblMovement[[#This Row],[Destination]]="","",IFERROR(INDEX(tblDestinations[Type],MATCH(tblMovement[[#This Row],[Destination]],tblDestinations[Destination],0)),"?"))</f>
        <v/>
      </c>
      <c r="M4914" s="64">
        <f>IF(tblMovement[[#This Row],[Material]]="","",IF(LEFT(tblMovement[[#This Row],[Material]],3)="Ore",1,0))</f>
        <v/>
      </c>
      <c r="N4914" s="59">
        <f>IF(OR(tblMovement[[#This Row],[Tonnes_t]]="",tblMovement[[#This Row],[Grade_gpt]]=""),0,tblMovement[[#This Row],[Tonnes_t]]*tblMovement[[#This Row],[Grade_gpt]]/cfg_TroyOz)</f>
        <v/>
      </c>
      <c r="O4914" s="59">
        <f>IF(tblMovement[[#This Row],[Is_Ore]]=1,tblMovement[[#This Row],[Contained_oz]],0)</f>
        <v/>
      </c>
    </row>
    <row r="4915">
      <c r="A4915" s="54" t="n"/>
      <c r="B4915" s="61" t="n"/>
      <c r="C4915" s="61" t="n"/>
      <c r="D4915" s="61" t="n"/>
      <c r="E4915" s="61" t="n"/>
      <c r="F4915" s="55" t="n"/>
      <c r="G4915" s="56" t="n"/>
      <c r="H4915" s="55" t="n"/>
      <c r="I4915" s="62" t="n"/>
      <c r="J4915" s="58" t="n"/>
      <c r="K4915" s="63">
        <f>IF(tblMovement[[#This Row],[Source]]="","",IFERROR(INDEX(tblSources[Type],MATCH(tblMovement[[#This Row],[Source]],tblSources[Source],0)),"?"))</f>
        <v/>
      </c>
      <c r="L4915" s="63">
        <f>IF(tblMovement[[#This Row],[Destination]]="","",IFERROR(INDEX(tblDestinations[Type],MATCH(tblMovement[[#This Row],[Destination]],tblDestinations[Destination],0)),"?"))</f>
        <v/>
      </c>
      <c r="M4915" s="64">
        <f>IF(tblMovement[[#This Row],[Material]]="","",IF(LEFT(tblMovement[[#This Row],[Material]],3)="Ore",1,0))</f>
        <v/>
      </c>
      <c r="N4915" s="59">
        <f>IF(OR(tblMovement[[#This Row],[Tonnes_t]]="",tblMovement[[#This Row],[Grade_gpt]]=""),0,tblMovement[[#This Row],[Tonnes_t]]*tblMovement[[#This Row],[Grade_gpt]]/cfg_TroyOz)</f>
        <v/>
      </c>
      <c r="O4915" s="59">
        <f>IF(tblMovement[[#This Row],[Is_Ore]]=1,tblMovement[[#This Row],[Contained_oz]],0)</f>
        <v/>
      </c>
    </row>
    <row r="4916">
      <c r="A4916" s="54" t="n"/>
      <c r="B4916" s="61" t="n"/>
      <c r="C4916" s="61" t="n"/>
      <c r="D4916" s="61" t="n"/>
      <c r="E4916" s="61" t="n"/>
      <c r="F4916" s="55" t="n"/>
      <c r="G4916" s="56" t="n"/>
      <c r="H4916" s="55" t="n"/>
      <c r="I4916" s="62" t="n"/>
      <c r="J4916" s="58" t="n"/>
      <c r="K4916" s="63">
        <f>IF(tblMovement[[#This Row],[Source]]="","",IFERROR(INDEX(tblSources[Type],MATCH(tblMovement[[#This Row],[Source]],tblSources[Source],0)),"?"))</f>
        <v/>
      </c>
      <c r="L4916" s="63">
        <f>IF(tblMovement[[#This Row],[Destination]]="","",IFERROR(INDEX(tblDestinations[Type],MATCH(tblMovement[[#This Row],[Destination]],tblDestinations[Destination],0)),"?"))</f>
        <v/>
      </c>
      <c r="M4916" s="64">
        <f>IF(tblMovement[[#This Row],[Material]]="","",IF(LEFT(tblMovement[[#This Row],[Material]],3)="Ore",1,0))</f>
        <v/>
      </c>
      <c r="N4916" s="59">
        <f>IF(OR(tblMovement[[#This Row],[Tonnes_t]]="",tblMovement[[#This Row],[Grade_gpt]]=""),0,tblMovement[[#This Row],[Tonnes_t]]*tblMovement[[#This Row],[Grade_gpt]]/cfg_TroyOz)</f>
        <v/>
      </c>
      <c r="O4916" s="59">
        <f>IF(tblMovement[[#This Row],[Is_Ore]]=1,tblMovement[[#This Row],[Contained_oz]],0)</f>
        <v/>
      </c>
    </row>
    <row r="4917">
      <c r="A4917" s="54" t="n"/>
      <c r="B4917" s="61" t="n"/>
      <c r="C4917" s="61" t="n"/>
      <c r="D4917" s="61" t="n"/>
      <c r="E4917" s="61" t="n"/>
      <c r="F4917" s="55" t="n"/>
      <c r="G4917" s="56" t="n"/>
      <c r="H4917" s="55" t="n"/>
      <c r="I4917" s="62" t="n"/>
      <c r="J4917" s="58" t="n"/>
      <c r="K4917" s="63">
        <f>IF(tblMovement[[#This Row],[Source]]="","",IFERROR(INDEX(tblSources[Type],MATCH(tblMovement[[#This Row],[Source]],tblSources[Source],0)),"?"))</f>
        <v/>
      </c>
      <c r="L4917" s="63">
        <f>IF(tblMovement[[#This Row],[Destination]]="","",IFERROR(INDEX(tblDestinations[Type],MATCH(tblMovement[[#This Row],[Destination]],tblDestinations[Destination],0)),"?"))</f>
        <v/>
      </c>
      <c r="M4917" s="64">
        <f>IF(tblMovement[[#This Row],[Material]]="","",IF(LEFT(tblMovement[[#This Row],[Material]],3)="Ore",1,0))</f>
        <v/>
      </c>
      <c r="N4917" s="59">
        <f>IF(OR(tblMovement[[#This Row],[Tonnes_t]]="",tblMovement[[#This Row],[Grade_gpt]]=""),0,tblMovement[[#This Row],[Tonnes_t]]*tblMovement[[#This Row],[Grade_gpt]]/cfg_TroyOz)</f>
        <v/>
      </c>
      <c r="O4917" s="59">
        <f>IF(tblMovement[[#This Row],[Is_Ore]]=1,tblMovement[[#This Row],[Contained_oz]],0)</f>
        <v/>
      </c>
    </row>
    <row r="4918">
      <c r="A4918" s="54" t="n"/>
      <c r="B4918" s="61" t="n"/>
      <c r="C4918" s="61" t="n"/>
      <c r="D4918" s="61" t="n"/>
      <c r="E4918" s="61" t="n"/>
      <c r="F4918" s="55" t="n"/>
      <c r="G4918" s="56" t="n"/>
      <c r="H4918" s="55" t="n"/>
      <c r="I4918" s="62" t="n"/>
      <c r="J4918" s="58" t="n"/>
      <c r="K4918" s="63">
        <f>IF(tblMovement[[#This Row],[Source]]="","",IFERROR(INDEX(tblSources[Type],MATCH(tblMovement[[#This Row],[Source]],tblSources[Source],0)),"?"))</f>
        <v/>
      </c>
      <c r="L4918" s="63">
        <f>IF(tblMovement[[#This Row],[Destination]]="","",IFERROR(INDEX(tblDestinations[Type],MATCH(tblMovement[[#This Row],[Destination]],tblDestinations[Destination],0)),"?"))</f>
        <v/>
      </c>
      <c r="M4918" s="64">
        <f>IF(tblMovement[[#This Row],[Material]]="","",IF(LEFT(tblMovement[[#This Row],[Material]],3)="Ore",1,0))</f>
        <v/>
      </c>
      <c r="N4918" s="59">
        <f>IF(OR(tblMovement[[#This Row],[Tonnes_t]]="",tblMovement[[#This Row],[Grade_gpt]]=""),0,tblMovement[[#This Row],[Tonnes_t]]*tblMovement[[#This Row],[Grade_gpt]]/cfg_TroyOz)</f>
        <v/>
      </c>
      <c r="O4918" s="59">
        <f>IF(tblMovement[[#This Row],[Is_Ore]]=1,tblMovement[[#This Row],[Contained_oz]],0)</f>
        <v/>
      </c>
    </row>
    <row r="4919">
      <c r="A4919" s="54" t="n"/>
      <c r="B4919" s="61" t="n"/>
      <c r="C4919" s="61" t="n"/>
      <c r="D4919" s="61" t="n"/>
      <c r="E4919" s="61" t="n"/>
      <c r="F4919" s="55" t="n"/>
      <c r="G4919" s="56" t="n"/>
      <c r="H4919" s="55" t="n"/>
      <c r="I4919" s="62" t="n"/>
      <c r="J4919" s="58" t="n"/>
      <c r="K4919" s="63">
        <f>IF(tblMovement[[#This Row],[Source]]="","",IFERROR(INDEX(tblSources[Type],MATCH(tblMovement[[#This Row],[Source]],tblSources[Source],0)),"?"))</f>
        <v/>
      </c>
      <c r="L4919" s="63">
        <f>IF(tblMovement[[#This Row],[Destination]]="","",IFERROR(INDEX(tblDestinations[Type],MATCH(tblMovement[[#This Row],[Destination]],tblDestinations[Destination],0)),"?"))</f>
        <v/>
      </c>
      <c r="M4919" s="64">
        <f>IF(tblMovement[[#This Row],[Material]]="","",IF(LEFT(tblMovement[[#This Row],[Material]],3)="Ore",1,0))</f>
        <v/>
      </c>
      <c r="N4919" s="59">
        <f>IF(OR(tblMovement[[#This Row],[Tonnes_t]]="",tblMovement[[#This Row],[Grade_gpt]]=""),0,tblMovement[[#This Row],[Tonnes_t]]*tblMovement[[#This Row],[Grade_gpt]]/cfg_TroyOz)</f>
        <v/>
      </c>
      <c r="O4919" s="59">
        <f>IF(tblMovement[[#This Row],[Is_Ore]]=1,tblMovement[[#This Row],[Contained_oz]],0)</f>
        <v/>
      </c>
    </row>
    <row r="4920">
      <c r="A4920" s="54" t="n"/>
      <c r="B4920" s="61" t="n"/>
      <c r="C4920" s="61" t="n"/>
      <c r="D4920" s="61" t="n"/>
      <c r="E4920" s="61" t="n"/>
      <c r="F4920" s="55" t="n"/>
      <c r="G4920" s="56" t="n"/>
      <c r="H4920" s="55" t="n"/>
      <c r="I4920" s="62" t="n"/>
      <c r="J4920" s="58" t="n"/>
      <c r="K4920" s="63">
        <f>IF(tblMovement[[#This Row],[Source]]="","",IFERROR(INDEX(tblSources[Type],MATCH(tblMovement[[#This Row],[Source]],tblSources[Source],0)),"?"))</f>
        <v/>
      </c>
      <c r="L4920" s="63">
        <f>IF(tblMovement[[#This Row],[Destination]]="","",IFERROR(INDEX(tblDestinations[Type],MATCH(tblMovement[[#This Row],[Destination]],tblDestinations[Destination],0)),"?"))</f>
        <v/>
      </c>
      <c r="M4920" s="64">
        <f>IF(tblMovement[[#This Row],[Material]]="","",IF(LEFT(tblMovement[[#This Row],[Material]],3)="Ore",1,0))</f>
        <v/>
      </c>
      <c r="N4920" s="59">
        <f>IF(OR(tblMovement[[#This Row],[Tonnes_t]]="",tblMovement[[#This Row],[Grade_gpt]]=""),0,tblMovement[[#This Row],[Tonnes_t]]*tblMovement[[#This Row],[Grade_gpt]]/cfg_TroyOz)</f>
        <v/>
      </c>
      <c r="O4920" s="59">
        <f>IF(tblMovement[[#This Row],[Is_Ore]]=1,tblMovement[[#This Row],[Contained_oz]],0)</f>
        <v/>
      </c>
    </row>
    <row r="4921">
      <c r="A4921" s="54" t="n"/>
      <c r="B4921" s="61" t="n"/>
      <c r="C4921" s="61" t="n"/>
      <c r="D4921" s="61" t="n"/>
      <c r="E4921" s="61" t="n"/>
      <c r="F4921" s="55" t="n"/>
      <c r="G4921" s="56" t="n"/>
      <c r="H4921" s="55" t="n"/>
      <c r="I4921" s="62" t="n"/>
      <c r="J4921" s="58" t="n"/>
      <c r="K4921" s="63">
        <f>IF(tblMovement[[#This Row],[Source]]="","",IFERROR(INDEX(tblSources[Type],MATCH(tblMovement[[#This Row],[Source]],tblSources[Source],0)),"?"))</f>
        <v/>
      </c>
      <c r="L4921" s="63">
        <f>IF(tblMovement[[#This Row],[Destination]]="","",IFERROR(INDEX(tblDestinations[Type],MATCH(tblMovement[[#This Row],[Destination]],tblDestinations[Destination],0)),"?"))</f>
        <v/>
      </c>
      <c r="M4921" s="64">
        <f>IF(tblMovement[[#This Row],[Material]]="","",IF(LEFT(tblMovement[[#This Row],[Material]],3)="Ore",1,0))</f>
        <v/>
      </c>
      <c r="N4921" s="59">
        <f>IF(OR(tblMovement[[#This Row],[Tonnes_t]]="",tblMovement[[#This Row],[Grade_gpt]]=""),0,tblMovement[[#This Row],[Tonnes_t]]*tblMovement[[#This Row],[Grade_gpt]]/cfg_TroyOz)</f>
        <v/>
      </c>
      <c r="O4921" s="59">
        <f>IF(tblMovement[[#This Row],[Is_Ore]]=1,tblMovement[[#This Row],[Contained_oz]],0)</f>
        <v/>
      </c>
    </row>
    <row r="4922">
      <c r="A4922" s="54" t="n"/>
      <c r="B4922" s="61" t="n"/>
      <c r="C4922" s="61" t="n"/>
      <c r="D4922" s="61" t="n"/>
      <c r="E4922" s="61" t="n"/>
      <c r="F4922" s="55" t="n"/>
      <c r="G4922" s="56" t="n"/>
      <c r="H4922" s="55" t="n"/>
      <c r="I4922" s="62" t="n"/>
      <c r="J4922" s="58" t="n"/>
      <c r="K4922" s="63">
        <f>IF(tblMovement[[#This Row],[Source]]="","",IFERROR(INDEX(tblSources[Type],MATCH(tblMovement[[#This Row],[Source]],tblSources[Source],0)),"?"))</f>
        <v/>
      </c>
      <c r="L4922" s="63">
        <f>IF(tblMovement[[#This Row],[Destination]]="","",IFERROR(INDEX(tblDestinations[Type],MATCH(tblMovement[[#This Row],[Destination]],tblDestinations[Destination],0)),"?"))</f>
        <v/>
      </c>
      <c r="M4922" s="64">
        <f>IF(tblMovement[[#This Row],[Material]]="","",IF(LEFT(tblMovement[[#This Row],[Material]],3)="Ore",1,0))</f>
        <v/>
      </c>
      <c r="N4922" s="59">
        <f>IF(OR(tblMovement[[#This Row],[Tonnes_t]]="",tblMovement[[#This Row],[Grade_gpt]]=""),0,tblMovement[[#This Row],[Tonnes_t]]*tblMovement[[#This Row],[Grade_gpt]]/cfg_TroyOz)</f>
        <v/>
      </c>
      <c r="O4922" s="59">
        <f>IF(tblMovement[[#This Row],[Is_Ore]]=1,tblMovement[[#This Row],[Contained_oz]],0)</f>
        <v/>
      </c>
    </row>
    <row r="4923">
      <c r="A4923" s="54" t="n"/>
      <c r="B4923" s="61" t="n"/>
      <c r="C4923" s="61" t="n"/>
      <c r="D4923" s="61" t="n"/>
      <c r="E4923" s="61" t="n"/>
      <c r="F4923" s="55" t="n"/>
      <c r="G4923" s="56" t="n"/>
      <c r="H4923" s="55" t="n"/>
      <c r="I4923" s="62" t="n"/>
      <c r="J4923" s="58" t="n"/>
      <c r="K4923" s="63">
        <f>IF(tblMovement[[#This Row],[Source]]="","",IFERROR(INDEX(tblSources[Type],MATCH(tblMovement[[#This Row],[Source]],tblSources[Source],0)),"?"))</f>
        <v/>
      </c>
      <c r="L4923" s="63">
        <f>IF(tblMovement[[#This Row],[Destination]]="","",IFERROR(INDEX(tblDestinations[Type],MATCH(tblMovement[[#This Row],[Destination]],tblDestinations[Destination],0)),"?"))</f>
        <v/>
      </c>
      <c r="M4923" s="64">
        <f>IF(tblMovement[[#This Row],[Material]]="","",IF(LEFT(tblMovement[[#This Row],[Material]],3)="Ore",1,0))</f>
        <v/>
      </c>
      <c r="N4923" s="59">
        <f>IF(OR(tblMovement[[#This Row],[Tonnes_t]]="",tblMovement[[#This Row],[Grade_gpt]]=""),0,tblMovement[[#This Row],[Tonnes_t]]*tblMovement[[#This Row],[Grade_gpt]]/cfg_TroyOz)</f>
        <v/>
      </c>
      <c r="O4923" s="59">
        <f>IF(tblMovement[[#This Row],[Is_Ore]]=1,tblMovement[[#This Row],[Contained_oz]],0)</f>
        <v/>
      </c>
    </row>
    <row r="4924">
      <c r="A4924" s="54" t="n"/>
      <c r="B4924" s="61" t="n"/>
      <c r="C4924" s="61" t="n"/>
      <c r="D4924" s="61" t="n"/>
      <c r="E4924" s="61" t="n"/>
      <c r="F4924" s="55" t="n"/>
      <c r="G4924" s="56" t="n"/>
      <c r="H4924" s="55" t="n"/>
      <c r="I4924" s="62" t="n"/>
      <c r="J4924" s="58" t="n"/>
      <c r="K4924" s="63">
        <f>IF(tblMovement[[#This Row],[Source]]="","",IFERROR(INDEX(tblSources[Type],MATCH(tblMovement[[#This Row],[Source]],tblSources[Source],0)),"?"))</f>
        <v/>
      </c>
      <c r="L4924" s="63">
        <f>IF(tblMovement[[#This Row],[Destination]]="","",IFERROR(INDEX(tblDestinations[Type],MATCH(tblMovement[[#This Row],[Destination]],tblDestinations[Destination],0)),"?"))</f>
        <v/>
      </c>
      <c r="M4924" s="64">
        <f>IF(tblMovement[[#This Row],[Material]]="","",IF(LEFT(tblMovement[[#This Row],[Material]],3)="Ore",1,0))</f>
        <v/>
      </c>
      <c r="N4924" s="59">
        <f>IF(OR(tblMovement[[#This Row],[Tonnes_t]]="",tblMovement[[#This Row],[Grade_gpt]]=""),0,tblMovement[[#This Row],[Tonnes_t]]*tblMovement[[#This Row],[Grade_gpt]]/cfg_TroyOz)</f>
        <v/>
      </c>
      <c r="O4924" s="59">
        <f>IF(tblMovement[[#This Row],[Is_Ore]]=1,tblMovement[[#This Row],[Contained_oz]],0)</f>
        <v/>
      </c>
    </row>
    <row r="4925">
      <c r="A4925" s="54" t="n"/>
      <c r="B4925" s="61" t="n"/>
      <c r="C4925" s="61" t="n"/>
      <c r="D4925" s="61" t="n"/>
      <c r="E4925" s="61" t="n"/>
      <c r="F4925" s="55" t="n"/>
      <c r="G4925" s="56" t="n"/>
      <c r="H4925" s="55" t="n"/>
      <c r="I4925" s="62" t="n"/>
      <c r="J4925" s="58" t="n"/>
      <c r="K4925" s="63">
        <f>IF(tblMovement[[#This Row],[Source]]="","",IFERROR(INDEX(tblSources[Type],MATCH(tblMovement[[#This Row],[Source]],tblSources[Source],0)),"?"))</f>
        <v/>
      </c>
      <c r="L4925" s="63">
        <f>IF(tblMovement[[#This Row],[Destination]]="","",IFERROR(INDEX(tblDestinations[Type],MATCH(tblMovement[[#This Row],[Destination]],tblDestinations[Destination],0)),"?"))</f>
        <v/>
      </c>
      <c r="M4925" s="64">
        <f>IF(tblMovement[[#This Row],[Material]]="","",IF(LEFT(tblMovement[[#This Row],[Material]],3)="Ore",1,0))</f>
        <v/>
      </c>
      <c r="N4925" s="59">
        <f>IF(OR(tblMovement[[#This Row],[Tonnes_t]]="",tblMovement[[#This Row],[Grade_gpt]]=""),0,tblMovement[[#This Row],[Tonnes_t]]*tblMovement[[#This Row],[Grade_gpt]]/cfg_TroyOz)</f>
        <v/>
      </c>
      <c r="O4925" s="59">
        <f>IF(tblMovement[[#This Row],[Is_Ore]]=1,tblMovement[[#This Row],[Contained_oz]],0)</f>
        <v/>
      </c>
    </row>
    <row r="4926">
      <c r="A4926" s="54" t="n"/>
      <c r="B4926" s="61" t="n"/>
      <c r="C4926" s="61" t="n"/>
      <c r="D4926" s="61" t="n"/>
      <c r="E4926" s="61" t="n"/>
      <c r="F4926" s="55" t="n"/>
      <c r="G4926" s="56" t="n"/>
      <c r="H4926" s="55" t="n"/>
      <c r="I4926" s="62" t="n"/>
      <c r="J4926" s="58" t="n"/>
      <c r="K4926" s="63">
        <f>IF(tblMovement[[#This Row],[Source]]="","",IFERROR(INDEX(tblSources[Type],MATCH(tblMovement[[#This Row],[Source]],tblSources[Source],0)),"?"))</f>
        <v/>
      </c>
      <c r="L4926" s="63">
        <f>IF(tblMovement[[#This Row],[Destination]]="","",IFERROR(INDEX(tblDestinations[Type],MATCH(tblMovement[[#This Row],[Destination]],tblDestinations[Destination],0)),"?"))</f>
        <v/>
      </c>
      <c r="M4926" s="64">
        <f>IF(tblMovement[[#This Row],[Material]]="","",IF(LEFT(tblMovement[[#This Row],[Material]],3)="Ore",1,0))</f>
        <v/>
      </c>
      <c r="N4926" s="59">
        <f>IF(OR(tblMovement[[#This Row],[Tonnes_t]]="",tblMovement[[#This Row],[Grade_gpt]]=""),0,tblMovement[[#This Row],[Tonnes_t]]*tblMovement[[#This Row],[Grade_gpt]]/cfg_TroyOz)</f>
        <v/>
      </c>
      <c r="O4926" s="59">
        <f>IF(tblMovement[[#This Row],[Is_Ore]]=1,tblMovement[[#This Row],[Contained_oz]],0)</f>
        <v/>
      </c>
    </row>
    <row r="4927">
      <c r="A4927" s="54" t="n"/>
      <c r="B4927" s="61" t="n"/>
      <c r="C4927" s="61" t="n"/>
      <c r="D4927" s="61" t="n"/>
      <c r="E4927" s="61" t="n"/>
      <c r="F4927" s="55" t="n"/>
      <c r="G4927" s="56" t="n"/>
      <c r="H4927" s="55" t="n"/>
      <c r="I4927" s="62" t="n"/>
      <c r="J4927" s="58" t="n"/>
      <c r="K4927" s="63">
        <f>IF(tblMovement[[#This Row],[Source]]="","",IFERROR(INDEX(tblSources[Type],MATCH(tblMovement[[#This Row],[Source]],tblSources[Source],0)),"?"))</f>
        <v/>
      </c>
      <c r="L4927" s="63">
        <f>IF(tblMovement[[#This Row],[Destination]]="","",IFERROR(INDEX(tblDestinations[Type],MATCH(tblMovement[[#This Row],[Destination]],tblDestinations[Destination],0)),"?"))</f>
        <v/>
      </c>
      <c r="M4927" s="64">
        <f>IF(tblMovement[[#This Row],[Material]]="","",IF(LEFT(tblMovement[[#This Row],[Material]],3)="Ore",1,0))</f>
        <v/>
      </c>
      <c r="N4927" s="59">
        <f>IF(OR(tblMovement[[#This Row],[Tonnes_t]]="",tblMovement[[#This Row],[Grade_gpt]]=""),0,tblMovement[[#This Row],[Tonnes_t]]*tblMovement[[#This Row],[Grade_gpt]]/cfg_TroyOz)</f>
        <v/>
      </c>
      <c r="O4927" s="59">
        <f>IF(tblMovement[[#This Row],[Is_Ore]]=1,tblMovement[[#This Row],[Contained_oz]],0)</f>
        <v/>
      </c>
    </row>
    <row r="4928">
      <c r="A4928" s="54" t="n"/>
      <c r="B4928" s="61" t="n"/>
      <c r="C4928" s="61" t="n"/>
      <c r="D4928" s="61" t="n"/>
      <c r="E4928" s="61" t="n"/>
      <c r="F4928" s="55" t="n"/>
      <c r="G4928" s="56" t="n"/>
      <c r="H4928" s="55" t="n"/>
      <c r="I4928" s="62" t="n"/>
      <c r="J4928" s="58" t="n"/>
      <c r="K4928" s="63">
        <f>IF(tblMovement[[#This Row],[Source]]="","",IFERROR(INDEX(tblSources[Type],MATCH(tblMovement[[#This Row],[Source]],tblSources[Source],0)),"?"))</f>
        <v/>
      </c>
      <c r="L4928" s="63">
        <f>IF(tblMovement[[#This Row],[Destination]]="","",IFERROR(INDEX(tblDestinations[Type],MATCH(tblMovement[[#This Row],[Destination]],tblDestinations[Destination],0)),"?"))</f>
        <v/>
      </c>
      <c r="M4928" s="64">
        <f>IF(tblMovement[[#This Row],[Material]]="","",IF(LEFT(tblMovement[[#This Row],[Material]],3)="Ore",1,0))</f>
        <v/>
      </c>
      <c r="N4928" s="59">
        <f>IF(OR(tblMovement[[#This Row],[Tonnes_t]]="",tblMovement[[#This Row],[Grade_gpt]]=""),0,tblMovement[[#This Row],[Tonnes_t]]*tblMovement[[#This Row],[Grade_gpt]]/cfg_TroyOz)</f>
        <v/>
      </c>
      <c r="O4928" s="59">
        <f>IF(tblMovement[[#This Row],[Is_Ore]]=1,tblMovement[[#This Row],[Contained_oz]],0)</f>
        <v/>
      </c>
    </row>
    <row r="4929">
      <c r="A4929" s="54" t="n"/>
      <c r="B4929" s="61" t="n"/>
      <c r="C4929" s="61" t="n"/>
      <c r="D4929" s="61" t="n"/>
      <c r="E4929" s="61" t="n"/>
      <c r="F4929" s="55" t="n"/>
      <c r="G4929" s="56" t="n"/>
      <c r="H4929" s="55" t="n"/>
      <c r="I4929" s="62" t="n"/>
      <c r="J4929" s="58" t="n"/>
      <c r="K4929" s="63">
        <f>IF(tblMovement[[#This Row],[Source]]="","",IFERROR(INDEX(tblSources[Type],MATCH(tblMovement[[#This Row],[Source]],tblSources[Source],0)),"?"))</f>
        <v/>
      </c>
      <c r="L4929" s="63">
        <f>IF(tblMovement[[#This Row],[Destination]]="","",IFERROR(INDEX(tblDestinations[Type],MATCH(tblMovement[[#This Row],[Destination]],tblDestinations[Destination],0)),"?"))</f>
        <v/>
      </c>
      <c r="M4929" s="64">
        <f>IF(tblMovement[[#This Row],[Material]]="","",IF(LEFT(tblMovement[[#This Row],[Material]],3)="Ore",1,0))</f>
        <v/>
      </c>
      <c r="N4929" s="59">
        <f>IF(OR(tblMovement[[#This Row],[Tonnes_t]]="",tblMovement[[#This Row],[Grade_gpt]]=""),0,tblMovement[[#This Row],[Tonnes_t]]*tblMovement[[#This Row],[Grade_gpt]]/cfg_TroyOz)</f>
        <v/>
      </c>
      <c r="O4929" s="59">
        <f>IF(tblMovement[[#This Row],[Is_Ore]]=1,tblMovement[[#This Row],[Contained_oz]],0)</f>
        <v/>
      </c>
    </row>
    <row r="4930">
      <c r="A4930" s="54" t="n"/>
      <c r="B4930" s="61" t="n"/>
      <c r="C4930" s="61" t="n"/>
      <c r="D4930" s="61" t="n"/>
      <c r="E4930" s="61" t="n"/>
      <c r="F4930" s="55" t="n"/>
      <c r="G4930" s="56" t="n"/>
      <c r="H4930" s="55" t="n"/>
      <c r="I4930" s="62" t="n"/>
      <c r="J4930" s="58" t="n"/>
      <c r="K4930" s="63">
        <f>IF(tblMovement[[#This Row],[Source]]="","",IFERROR(INDEX(tblSources[Type],MATCH(tblMovement[[#This Row],[Source]],tblSources[Source],0)),"?"))</f>
        <v/>
      </c>
      <c r="L4930" s="63">
        <f>IF(tblMovement[[#This Row],[Destination]]="","",IFERROR(INDEX(tblDestinations[Type],MATCH(tblMovement[[#This Row],[Destination]],tblDestinations[Destination],0)),"?"))</f>
        <v/>
      </c>
      <c r="M4930" s="64">
        <f>IF(tblMovement[[#This Row],[Material]]="","",IF(LEFT(tblMovement[[#This Row],[Material]],3)="Ore",1,0))</f>
        <v/>
      </c>
      <c r="N4930" s="59">
        <f>IF(OR(tblMovement[[#This Row],[Tonnes_t]]="",tblMovement[[#This Row],[Grade_gpt]]=""),0,tblMovement[[#This Row],[Tonnes_t]]*tblMovement[[#This Row],[Grade_gpt]]/cfg_TroyOz)</f>
        <v/>
      </c>
      <c r="O4930" s="59">
        <f>IF(tblMovement[[#This Row],[Is_Ore]]=1,tblMovement[[#This Row],[Contained_oz]],0)</f>
        <v/>
      </c>
    </row>
    <row r="4931">
      <c r="A4931" s="54" t="n"/>
      <c r="B4931" s="61" t="n"/>
      <c r="C4931" s="61" t="n"/>
      <c r="D4931" s="61" t="n"/>
      <c r="E4931" s="61" t="n"/>
      <c r="F4931" s="55" t="n"/>
      <c r="G4931" s="56" t="n"/>
      <c r="H4931" s="55" t="n"/>
      <c r="I4931" s="62" t="n"/>
      <c r="J4931" s="58" t="n"/>
      <c r="K4931" s="63">
        <f>IF(tblMovement[[#This Row],[Source]]="","",IFERROR(INDEX(tblSources[Type],MATCH(tblMovement[[#This Row],[Source]],tblSources[Source],0)),"?"))</f>
        <v/>
      </c>
      <c r="L4931" s="63">
        <f>IF(tblMovement[[#This Row],[Destination]]="","",IFERROR(INDEX(tblDestinations[Type],MATCH(tblMovement[[#This Row],[Destination]],tblDestinations[Destination],0)),"?"))</f>
        <v/>
      </c>
      <c r="M4931" s="64">
        <f>IF(tblMovement[[#This Row],[Material]]="","",IF(LEFT(tblMovement[[#This Row],[Material]],3)="Ore",1,0))</f>
        <v/>
      </c>
      <c r="N4931" s="59">
        <f>IF(OR(tblMovement[[#This Row],[Tonnes_t]]="",tblMovement[[#This Row],[Grade_gpt]]=""),0,tblMovement[[#This Row],[Tonnes_t]]*tblMovement[[#This Row],[Grade_gpt]]/cfg_TroyOz)</f>
        <v/>
      </c>
      <c r="O4931" s="59">
        <f>IF(tblMovement[[#This Row],[Is_Ore]]=1,tblMovement[[#This Row],[Contained_oz]],0)</f>
        <v/>
      </c>
    </row>
    <row r="4932">
      <c r="A4932" s="54" t="n"/>
      <c r="B4932" s="61" t="n"/>
      <c r="C4932" s="61" t="n"/>
      <c r="D4932" s="61" t="n"/>
      <c r="E4932" s="61" t="n"/>
      <c r="F4932" s="55" t="n"/>
      <c r="G4932" s="56" t="n"/>
      <c r="H4932" s="55" t="n"/>
      <c r="I4932" s="62" t="n"/>
      <c r="J4932" s="58" t="n"/>
      <c r="K4932" s="63">
        <f>IF(tblMovement[[#This Row],[Source]]="","",IFERROR(INDEX(tblSources[Type],MATCH(tblMovement[[#This Row],[Source]],tblSources[Source],0)),"?"))</f>
        <v/>
      </c>
      <c r="L4932" s="63">
        <f>IF(tblMovement[[#This Row],[Destination]]="","",IFERROR(INDEX(tblDestinations[Type],MATCH(tblMovement[[#This Row],[Destination]],tblDestinations[Destination],0)),"?"))</f>
        <v/>
      </c>
      <c r="M4932" s="64">
        <f>IF(tblMovement[[#This Row],[Material]]="","",IF(LEFT(tblMovement[[#This Row],[Material]],3)="Ore",1,0))</f>
        <v/>
      </c>
      <c r="N4932" s="59">
        <f>IF(OR(tblMovement[[#This Row],[Tonnes_t]]="",tblMovement[[#This Row],[Grade_gpt]]=""),0,tblMovement[[#This Row],[Tonnes_t]]*tblMovement[[#This Row],[Grade_gpt]]/cfg_TroyOz)</f>
        <v/>
      </c>
      <c r="O4932" s="59">
        <f>IF(tblMovement[[#This Row],[Is_Ore]]=1,tblMovement[[#This Row],[Contained_oz]],0)</f>
        <v/>
      </c>
    </row>
    <row r="4933">
      <c r="A4933" s="54" t="n"/>
      <c r="B4933" s="61" t="n"/>
      <c r="C4933" s="61" t="n"/>
      <c r="D4933" s="61" t="n"/>
      <c r="E4933" s="61" t="n"/>
      <c r="F4933" s="55" t="n"/>
      <c r="G4933" s="56" t="n"/>
      <c r="H4933" s="55" t="n"/>
      <c r="I4933" s="62" t="n"/>
      <c r="J4933" s="58" t="n"/>
      <c r="K4933" s="63">
        <f>IF(tblMovement[[#This Row],[Source]]="","",IFERROR(INDEX(tblSources[Type],MATCH(tblMovement[[#This Row],[Source]],tblSources[Source],0)),"?"))</f>
        <v/>
      </c>
      <c r="L4933" s="63">
        <f>IF(tblMovement[[#This Row],[Destination]]="","",IFERROR(INDEX(tblDestinations[Type],MATCH(tblMovement[[#This Row],[Destination]],tblDestinations[Destination],0)),"?"))</f>
        <v/>
      </c>
      <c r="M4933" s="64">
        <f>IF(tblMovement[[#This Row],[Material]]="","",IF(LEFT(tblMovement[[#This Row],[Material]],3)="Ore",1,0))</f>
        <v/>
      </c>
      <c r="N4933" s="59">
        <f>IF(OR(tblMovement[[#This Row],[Tonnes_t]]="",tblMovement[[#This Row],[Grade_gpt]]=""),0,tblMovement[[#This Row],[Tonnes_t]]*tblMovement[[#This Row],[Grade_gpt]]/cfg_TroyOz)</f>
        <v/>
      </c>
      <c r="O4933" s="59">
        <f>IF(tblMovement[[#This Row],[Is_Ore]]=1,tblMovement[[#This Row],[Contained_oz]],0)</f>
        <v/>
      </c>
    </row>
    <row r="4934">
      <c r="A4934" s="54" t="n"/>
      <c r="B4934" s="61" t="n"/>
      <c r="C4934" s="61" t="n"/>
      <c r="D4934" s="61" t="n"/>
      <c r="E4934" s="61" t="n"/>
      <c r="F4934" s="55" t="n"/>
      <c r="G4934" s="56" t="n"/>
      <c r="H4934" s="55" t="n"/>
      <c r="I4934" s="62" t="n"/>
      <c r="J4934" s="58" t="n"/>
      <c r="K4934" s="63">
        <f>IF(tblMovement[[#This Row],[Source]]="","",IFERROR(INDEX(tblSources[Type],MATCH(tblMovement[[#This Row],[Source]],tblSources[Source],0)),"?"))</f>
        <v/>
      </c>
      <c r="L4934" s="63">
        <f>IF(tblMovement[[#This Row],[Destination]]="","",IFERROR(INDEX(tblDestinations[Type],MATCH(tblMovement[[#This Row],[Destination]],tblDestinations[Destination],0)),"?"))</f>
        <v/>
      </c>
      <c r="M4934" s="64">
        <f>IF(tblMovement[[#This Row],[Material]]="","",IF(LEFT(tblMovement[[#This Row],[Material]],3)="Ore",1,0))</f>
        <v/>
      </c>
      <c r="N4934" s="59">
        <f>IF(OR(tblMovement[[#This Row],[Tonnes_t]]="",tblMovement[[#This Row],[Grade_gpt]]=""),0,tblMovement[[#This Row],[Tonnes_t]]*tblMovement[[#This Row],[Grade_gpt]]/cfg_TroyOz)</f>
        <v/>
      </c>
      <c r="O4934" s="59">
        <f>IF(tblMovement[[#This Row],[Is_Ore]]=1,tblMovement[[#This Row],[Contained_oz]],0)</f>
        <v/>
      </c>
    </row>
    <row r="4935">
      <c r="A4935" s="54" t="n"/>
      <c r="B4935" s="61" t="n"/>
      <c r="C4935" s="61" t="n"/>
      <c r="D4935" s="61" t="n"/>
      <c r="E4935" s="61" t="n"/>
      <c r="F4935" s="55" t="n"/>
      <c r="G4935" s="56" t="n"/>
      <c r="H4935" s="55" t="n"/>
      <c r="I4935" s="62" t="n"/>
      <c r="J4935" s="58" t="n"/>
      <c r="K4935" s="63">
        <f>IF(tblMovement[[#This Row],[Source]]="","",IFERROR(INDEX(tblSources[Type],MATCH(tblMovement[[#This Row],[Source]],tblSources[Source],0)),"?"))</f>
        <v/>
      </c>
      <c r="L4935" s="63">
        <f>IF(tblMovement[[#This Row],[Destination]]="","",IFERROR(INDEX(tblDestinations[Type],MATCH(tblMovement[[#This Row],[Destination]],tblDestinations[Destination],0)),"?"))</f>
        <v/>
      </c>
      <c r="M4935" s="64">
        <f>IF(tblMovement[[#This Row],[Material]]="","",IF(LEFT(tblMovement[[#This Row],[Material]],3)="Ore",1,0))</f>
        <v/>
      </c>
      <c r="N4935" s="59">
        <f>IF(OR(tblMovement[[#This Row],[Tonnes_t]]="",tblMovement[[#This Row],[Grade_gpt]]=""),0,tblMovement[[#This Row],[Tonnes_t]]*tblMovement[[#This Row],[Grade_gpt]]/cfg_TroyOz)</f>
        <v/>
      </c>
      <c r="O4935" s="59">
        <f>IF(tblMovement[[#This Row],[Is_Ore]]=1,tblMovement[[#This Row],[Contained_oz]],0)</f>
        <v/>
      </c>
    </row>
    <row r="4936">
      <c r="A4936" s="54" t="n"/>
      <c r="B4936" s="61" t="n"/>
      <c r="C4936" s="61" t="n"/>
      <c r="D4936" s="61" t="n"/>
      <c r="E4936" s="61" t="n"/>
      <c r="F4936" s="55" t="n"/>
      <c r="G4936" s="56" t="n"/>
      <c r="H4936" s="55" t="n"/>
      <c r="I4936" s="62" t="n"/>
      <c r="J4936" s="58" t="n"/>
      <c r="K4936" s="63">
        <f>IF(tblMovement[[#This Row],[Source]]="","",IFERROR(INDEX(tblSources[Type],MATCH(tblMovement[[#This Row],[Source]],tblSources[Source],0)),"?"))</f>
        <v/>
      </c>
      <c r="L4936" s="63">
        <f>IF(tblMovement[[#This Row],[Destination]]="","",IFERROR(INDEX(tblDestinations[Type],MATCH(tblMovement[[#This Row],[Destination]],tblDestinations[Destination],0)),"?"))</f>
        <v/>
      </c>
      <c r="M4936" s="64">
        <f>IF(tblMovement[[#This Row],[Material]]="","",IF(LEFT(tblMovement[[#This Row],[Material]],3)="Ore",1,0))</f>
        <v/>
      </c>
      <c r="N4936" s="59">
        <f>IF(OR(tblMovement[[#This Row],[Tonnes_t]]="",tblMovement[[#This Row],[Grade_gpt]]=""),0,tblMovement[[#This Row],[Tonnes_t]]*tblMovement[[#This Row],[Grade_gpt]]/cfg_TroyOz)</f>
        <v/>
      </c>
      <c r="O4936" s="59">
        <f>IF(tblMovement[[#This Row],[Is_Ore]]=1,tblMovement[[#This Row],[Contained_oz]],0)</f>
        <v/>
      </c>
    </row>
    <row r="4937">
      <c r="A4937" s="54" t="n"/>
      <c r="B4937" s="61" t="n"/>
      <c r="C4937" s="61" t="n"/>
      <c r="D4937" s="61" t="n"/>
      <c r="E4937" s="61" t="n"/>
      <c r="F4937" s="55" t="n"/>
      <c r="G4937" s="56" t="n"/>
      <c r="H4937" s="55" t="n"/>
      <c r="I4937" s="62" t="n"/>
      <c r="J4937" s="58" t="n"/>
      <c r="K4937" s="63">
        <f>IF(tblMovement[[#This Row],[Source]]="","",IFERROR(INDEX(tblSources[Type],MATCH(tblMovement[[#This Row],[Source]],tblSources[Source],0)),"?"))</f>
        <v/>
      </c>
      <c r="L4937" s="63">
        <f>IF(tblMovement[[#This Row],[Destination]]="","",IFERROR(INDEX(tblDestinations[Type],MATCH(tblMovement[[#This Row],[Destination]],tblDestinations[Destination],0)),"?"))</f>
        <v/>
      </c>
      <c r="M4937" s="64">
        <f>IF(tblMovement[[#This Row],[Material]]="","",IF(LEFT(tblMovement[[#This Row],[Material]],3)="Ore",1,0))</f>
        <v/>
      </c>
      <c r="N4937" s="59">
        <f>IF(OR(tblMovement[[#This Row],[Tonnes_t]]="",tblMovement[[#This Row],[Grade_gpt]]=""),0,tblMovement[[#This Row],[Tonnes_t]]*tblMovement[[#This Row],[Grade_gpt]]/cfg_TroyOz)</f>
        <v/>
      </c>
      <c r="O4937" s="59">
        <f>IF(tblMovement[[#This Row],[Is_Ore]]=1,tblMovement[[#This Row],[Contained_oz]],0)</f>
        <v/>
      </c>
    </row>
    <row r="4938">
      <c r="A4938" s="54" t="n"/>
      <c r="B4938" s="61" t="n"/>
      <c r="C4938" s="61" t="n"/>
      <c r="D4938" s="61" t="n"/>
      <c r="E4938" s="61" t="n"/>
      <c r="F4938" s="55" t="n"/>
      <c r="G4938" s="56" t="n"/>
      <c r="H4938" s="55" t="n"/>
      <c r="I4938" s="62" t="n"/>
      <c r="J4938" s="58" t="n"/>
      <c r="K4938" s="63">
        <f>IF(tblMovement[[#This Row],[Source]]="","",IFERROR(INDEX(tblSources[Type],MATCH(tblMovement[[#This Row],[Source]],tblSources[Source],0)),"?"))</f>
        <v/>
      </c>
      <c r="L4938" s="63">
        <f>IF(tblMovement[[#This Row],[Destination]]="","",IFERROR(INDEX(tblDestinations[Type],MATCH(tblMovement[[#This Row],[Destination]],tblDestinations[Destination],0)),"?"))</f>
        <v/>
      </c>
      <c r="M4938" s="64">
        <f>IF(tblMovement[[#This Row],[Material]]="","",IF(LEFT(tblMovement[[#This Row],[Material]],3)="Ore",1,0))</f>
        <v/>
      </c>
      <c r="N4938" s="59">
        <f>IF(OR(tblMovement[[#This Row],[Tonnes_t]]="",tblMovement[[#This Row],[Grade_gpt]]=""),0,tblMovement[[#This Row],[Tonnes_t]]*tblMovement[[#This Row],[Grade_gpt]]/cfg_TroyOz)</f>
        <v/>
      </c>
      <c r="O4938" s="59">
        <f>IF(tblMovement[[#This Row],[Is_Ore]]=1,tblMovement[[#This Row],[Contained_oz]],0)</f>
        <v/>
      </c>
    </row>
    <row r="4939">
      <c r="A4939" s="54" t="n"/>
      <c r="B4939" s="61" t="n"/>
      <c r="C4939" s="61" t="n"/>
      <c r="D4939" s="61" t="n"/>
      <c r="E4939" s="61" t="n"/>
      <c r="F4939" s="55" t="n"/>
      <c r="G4939" s="56" t="n"/>
      <c r="H4939" s="55" t="n"/>
      <c r="I4939" s="62" t="n"/>
      <c r="J4939" s="58" t="n"/>
      <c r="K4939" s="63">
        <f>IF(tblMovement[[#This Row],[Source]]="","",IFERROR(INDEX(tblSources[Type],MATCH(tblMovement[[#This Row],[Source]],tblSources[Source],0)),"?"))</f>
        <v/>
      </c>
      <c r="L4939" s="63">
        <f>IF(tblMovement[[#This Row],[Destination]]="","",IFERROR(INDEX(tblDestinations[Type],MATCH(tblMovement[[#This Row],[Destination]],tblDestinations[Destination],0)),"?"))</f>
        <v/>
      </c>
      <c r="M4939" s="64">
        <f>IF(tblMovement[[#This Row],[Material]]="","",IF(LEFT(tblMovement[[#This Row],[Material]],3)="Ore",1,0))</f>
        <v/>
      </c>
      <c r="N4939" s="59">
        <f>IF(OR(tblMovement[[#This Row],[Tonnes_t]]="",tblMovement[[#This Row],[Grade_gpt]]=""),0,tblMovement[[#This Row],[Tonnes_t]]*tblMovement[[#This Row],[Grade_gpt]]/cfg_TroyOz)</f>
        <v/>
      </c>
      <c r="O4939" s="59">
        <f>IF(tblMovement[[#This Row],[Is_Ore]]=1,tblMovement[[#This Row],[Contained_oz]],0)</f>
        <v/>
      </c>
    </row>
    <row r="4940">
      <c r="A4940" s="54" t="n"/>
      <c r="B4940" s="61" t="n"/>
      <c r="C4940" s="61" t="n"/>
      <c r="D4940" s="61" t="n"/>
      <c r="E4940" s="61" t="n"/>
      <c r="F4940" s="55" t="n"/>
      <c r="G4940" s="56" t="n"/>
      <c r="H4940" s="55" t="n"/>
      <c r="I4940" s="62" t="n"/>
      <c r="J4940" s="58" t="n"/>
      <c r="K4940" s="63">
        <f>IF(tblMovement[[#This Row],[Source]]="","",IFERROR(INDEX(tblSources[Type],MATCH(tblMovement[[#This Row],[Source]],tblSources[Source],0)),"?"))</f>
        <v/>
      </c>
      <c r="L4940" s="63">
        <f>IF(tblMovement[[#This Row],[Destination]]="","",IFERROR(INDEX(tblDestinations[Type],MATCH(tblMovement[[#This Row],[Destination]],tblDestinations[Destination],0)),"?"))</f>
        <v/>
      </c>
      <c r="M4940" s="64">
        <f>IF(tblMovement[[#This Row],[Material]]="","",IF(LEFT(tblMovement[[#This Row],[Material]],3)="Ore",1,0))</f>
        <v/>
      </c>
      <c r="N4940" s="59">
        <f>IF(OR(tblMovement[[#This Row],[Tonnes_t]]="",tblMovement[[#This Row],[Grade_gpt]]=""),0,tblMovement[[#This Row],[Tonnes_t]]*tblMovement[[#This Row],[Grade_gpt]]/cfg_TroyOz)</f>
        <v/>
      </c>
      <c r="O4940" s="59">
        <f>IF(tblMovement[[#This Row],[Is_Ore]]=1,tblMovement[[#This Row],[Contained_oz]],0)</f>
        <v/>
      </c>
    </row>
    <row r="4941">
      <c r="A4941" s="54" t="n"/>
      <c r="B4941" s="61" t="n"/>
      <c r="C4941" s="61" t="n"/>
      <c r="D4941" s="61" t="n"/>
      <c r="E4941" s="61" t="n"/>
      <c r="F4941" s="55" t="n"/>
      <c r="G4941" s="56" t="n"/>
      <c r="H4941" s="55" t="n"/>
      <c r="I4941" s="62" t="n"/>
      <c r="J4941" s="58" t="n"/>
      <c r="K4941" s="63">
        <f>IF(tblMovement[[#This Row],[Source]]="","",IFERROR(INDEX(tblSources[Type],MATCH(tblMovement[[#This Row],[Source]],tblSources[Source],0)),"?"))</f>
        <v/>
      </c>
      <c r="L4941" s="63">
        <f>IF(tblMovement[[#This Row],[Destination]]="","",IFERROR(INDEX(tblDestinations[Type],MATCH(tblMovement[[#This Row],[Destination]],tblDestinations[Destination],0)),"?"))</f>
        <v/>
      </c>
      <c r="M4941" s="64">
        <f>IF(tblMovement[[#This Row],[Material]]="","",IF(LEFT(tblMovement[[#This Row],[Material]],3)="Ore",1,0))</f>
        <v/>
      </c>
      <c r="N4941" s="59">
        <f>IF(OR(tblMovement[[#This Row],[Tonnes_t]]="",tblMovement[[#This Row],[Grade_gpt]]=""),0,tblMovement[[#This Row],[Tonnes_t]]*tblMovement[[#This Row],[Grade_gpt]]/cfg_TroyOz)</f>
        <v/>
      </c>
      <c r="O4941" s="59">
        <f>IF(tblMovement[[#This Row],[Is_Ore]]=1,tblMovement[[#This Row],[Contained_oz]],0)</f>
        <v/>
      </c>
    </row>
    <row r="4942">
      <c r="A4942" s="54" t="n"/>
      <c r="B4942" s="61" t="n"/>
      <c r="C4942" s="61" t="n"/>
      <c r="D4942" s="61" t="n"/>
      <c r="E4942" s="61" t="n"/>
      <c r="F4942" s="55" t="n"/>
      <c r="G4942" s="56" t="n"/>
      <c r="H4942" s="55" t="n"/>
      <c r="I4942" s="62" t="n"/>
      <c r="J4942" s="58" t="n"/>
      <c r="K4942" s="63">
        <f>IF(tblMovement[[#This Row],[Source]]="","",IFERROR(INDEX(tblSources[Type],MATCH(tblMovement[[#This Row],[Source]],tblSources[Source],0)),"?"))</f>
        <v/>
      </c>
      <c r="L4942" s="63">
        <f>IF(tblMovement[[#This Row],[Destination]]="","",IFERROR(INDEX(tblDestinations[Type],MATCH(tblMovement[[#This Row],[Destination]],tblDestinations[Destination],0)),"?"))</f>
        <v/>
      </c>
      <c r="M4942" s="64">
        <f>IF(tblMovement[[#This Row],[Material]]="","",IF(LEFT(tblMovement[[#This Row],[Material]],3)="Ore",1,0))</f>
        <v/>
      </c>
      <c r="N4942" s="59">
        <f>IF(OR(tblMovement[[#This Row],[Tonnes_t]]="",tblMovement[[#This Row],[Grade_gpt]]=""),0,tblMovement[[#This Row],[Tonnes_t]]*tblMovement[[#This Row],[Grade_gpt]]/cfg_TroyOz)</f>
        <v/>
      </c>
      <c r="O4942" s="59">
        <f>IF(tblMovement[[#This Row],[Is_Ore]]=1,tblMovement[[#This Row],[Contained_oz]],0)</f>
        <v/>
      </c>
    </row>
    <row r="4943">
      <c r="A4943" s="54" t="n"/>
      <c r="B4943" s="61" t="n"/>
      <c r="C4943" s="61" t="n"/>
      <c r="D4943" s="61" t="n"/>
      <c r="E4943" s="61" t="n"/>
      <c r="F4943" s="55" t="n"/>
      <c r="G4943" s="56" t="n"/>
      <c r="H4943" s="55" t="n"/>
      <c r="I4943" s="62" t="n"/>
      <c r="J4943" s="58" t="n"/>
      <c r="K4943" s="63">
        <f>IF(tblMovement[[#This Row],[Source]]="","",IFERROR(INDEX(tblSources[Type],MATCH(tblMovement[[#This Row],[Source]],tblSources[Source],0)),"?"))</f>
        <v/>
      </c>
      <c r="L4943" s="63">
        <f>IF(tblMovement[[#This Row],[Destination]]="","",IFERROR(INDEX(tblDestinations[Type],MATCH(tblMovement[[#This Row],[Destination]],tblDestinations[Destination],0)),"?"))</f>
        <v/>
      </c>
      <c r="M4943" s="64">
        <f>IF(tblMovement[[#This Row],[Material]]="","",IF(LEFT(tblMovement[[#This Row],[Material]],3)="Ore",1,0))</f>
        <v/>
      </c>
      <c r="N4943" s="59">
        <f>IF(OR(tblMovement[[#This Row],[Tonnes_t]]="",tblMovement[[#This Row],[Grade_gpt]]=""),0,tblMovement[[#This Row],[Tonnes_t]]*tblMovement[[#This Row],[Grade_gpt]]/cfg_TroyOz)</f>
        <v/>
      </c>
      <c r="O4943" s="59">
        <f>IF(tblMovement[[#This Row],[Is_Ore]]=1,tblMovement[[#This Row],[Contained_oz]],0)</f>
        <v/>
      </c>
    </row>
    <row r="4944">
      <c r="A4944" s="54" t="n"/>
      <c r="B4944" s="61" t="n"/>
      <c r="C4944" s="61" t="n"/>
      <c r="D4944" s="61" t="n"/>
      <c r="E4944" s="61" t="n"/>
      <c r="F4944" s="55" t="n"/>
      <c r="G4944" s="56" t="n"/>
      <c r="H4944" s="55" t="n"/>
      <c r="I4944" s="62" t="n"/>
      <c r="J4944" s="58" t="n"/>
      <c r="K4944" s="63">
        <f>IF(tblMovement[[#This Row],[Source]]="","",IFERROR(INDEX(tblSources[Type],MATCH(tblMovement[[#This Row],[Source]],tblSources[Source],0)),"?"))</f>
        <v/>
      </c>
      <c r="L4944" s="63">
        <f>IF(tblMovement[[#This Row],[Destination]]="","",IFERROR(INDEX(tblDestinations[Type],MATCH(tblMovement[[#This Row],[Destination]],tblDestinations[Destination],0)),"?"))</f>
        <v/>
      </c>
      <c r="M4944" s="64">
        <f>IF(tblMovement[[#This Row],[Material]]="","",IF(LEFT(tblMovement[[#This Row],[Material]],3)="Ore",1,0))</f>
        <v/>
      </c>
      <c r="N4944" s="59">
        <f>IF(OR(tblMovement[[#This Row],[Tonnes_t]]="",tblMovement[[#This Row],[Grade_gpt]]=""),0,tblMovement[[#This Row],[Tonnes_t]]*tblMovement[[#This Row],[Grade_gpt]]/cfg_TroyOz)</f>
        <v/>
      </c>
      <c r="O4944" s="59">
        <f>IF(tblMovement[[#This Row],[Is_Ore]]=1,tblMovement[[#This Row],[Contained_oz]],0)</f>
        <v/>
      </c>
    </row>
    <row r="4945">
      <c r="A4945" s="54" t="n"/>
      <c r="B4945" s="61" t="n"/>
      <c r="C4945" s="61" t="n"/>
      <c r="D4945" s="61" t="n"/>
      <c r="E4945" s="61" t="n"/>
      <c r="F4945" s="55" t="n"/>
      <c r="G4945" s="56" t="n"/>
      <c r="H4945" s="55" t="n"/>
      <c r="I4945" s="62" t="n"/>
      <c r="J4945" s="58" t="n"/>
      <c r="K4945" s="63">
        <f>IF(tblMovement[[#This Row],[Source]]="","",IFERROR(INDEX(tblSources[Type],MATCH(tblMovement[[#This Row],[Source]],tblSources[Source],0)),"?"))</f>
        <v/>
      </c>
      <c r="L4945" s="63">
        <f>IF(tblMovement[[#This Row],[Destination]]="","",IFERROR(INDEX(tblDestinations[Type],MATCH(tblMovement[[#This Row],[Destination]],tblDestinations[Destination],0)),"?"))</f>
        <v/>
      </c>
      <c r="M4945" s="64">
        <f>IF(tblMovement[[#This Row],[Material]]="","",IF(LEFT(tblMovement[[#This Row],[Material]],3)="Ore",1,0))</f>
        <v/>
      </c>
      <c r="N4945" s="59">
        <f>IF(OR(tblMovement[[#This Row],[Tonnes_t]]="",tblMovement[[#This Row],[Grade_gpt]]=""),0,tblMovement[[#This Row],[Tonnes_t]]*tblMovement[[#This Row],[Grade_gpt]]/cfg_TroyOz)</f>
        <v/>
      </c>
      <c r="O4945" s="59">
        <f>IF(tblMovement[[#This Row],[Is_Ore]]=1,tblMovement[[#This Row],[Contained_oz]],0)</f>
        <v/>
      </c>
    </row>
    <row r="4946">
      <c r="A4946" s="54" t="n"/>
      <c r="B4946" s="61" t="n"/>
      <c r="C4946" s="61" t="n"/>
      <c r="D4946" s="61" t="n"/>
      <c r="E4946" s="61" t="n"/>
      <c r="F4946" s="55" t="n"/>
      <c r="G4946" s="56" t="n"/>
      <c r="H4946" s="55" t="n"/>
      <c r="I4946" s="62" t="n"/>
      <c r="J4946" s="58" t="n"/>
      <c r="K4946" s="63">
        <f>IF(tblMovement[[#This Row],[Source]]="","",IFERROR(INDEX(tblSources[Type],MATCH(tblMovement[[#This Row],[Source]],tblSources[Source],0)),"?"))</f>
        <v/>
      </c>
      <c r="L4946" s="63">
        <f>IF(tblMovement[[#This Row],[Destination]]="","",IFERROR(INDEX(tblDestinations[Type],MATCH(tblMovement[[#This Row],[Destination]],tblDestinations[Destination],0)),"?"))</f>
        <v/>
      </c>
      <c r="M4946" s="64">
        <f>IF(tblMovement[[#This Row],[Material]]="","",IF(LEFT(tblMovement[[#This Row],[Material]],3)="Ore",1,0))</f>
        <v/>
      </c>
      <c r="N4946" s="59">
        <f>IF(OR(tblMovement[[#This Row],[Tonnes_t]]="",tblMovement[[#This Row],[Grade_gpt]]=""),0,tblMovement[[#This Row],[Tonnes_t]]*tblMovement[[#This Row],[Grade_gpt]]/cfg_TroyOz)</f>
        <v/>
      </c>
      <c r="O4946" s="59">
        <f>IF(tblMovement[[#This Row],[Is_Ore]]=1,tblMovement[[#This Row],[Contained_oz]],0)</f>
        <v/>
      </c>
    </row>
    <row r="4947">
      <c r="A4947" s="54" t="n"/>
      <c r="B4947" s="61" t="n"/>
      <c r="C4947" s="61" t="n"/>
      <c r="D4947" s="61" t="n"/>
      <c r="E4947" s="61" t="n"/>
      <c r="F4947" s="55" t="n"/>
      <c r="G4947" s="56" t="n"/>
      <c r="H4947" s="55" t="n"/>
      <c r="I4947" s="62" t="n"/>
      <c r="J4947" s="58" t="n"/>
      <c r="K4947" s="63">
        <f>IF(tblMovement[[#This Row],[Source]]="","",IFERROR(INDEX(tblSources[Type],MATCH(tblMovement[[#This Row],[Source]],tblSources[Source],0)),"?"))</f>
        <v/>
      </c>
      <c r="L4947" s="63">
        <f>IF(tblMovement[[#This Row],[Destination]]="","",IFERROR(INDEX(tblDestinations[Type],MATCH(tblMovement[[#This Row],[Destination]],tblDestinations[Destination],0)),"?"))</f>
        <v/>
      </c>
      <c r="M4947" s="64">
        <f>IF(tblMovement[[#This Row],[Material]]="","",IF(LEFT(tblMovement[[#This Row],[Material]],3)="Ore",1,0))</f>
        <v/>
      </c>
      <c r="N4947" s="59">
        <f>IF(OR(tblMovement[[#This Row],[Tonnes_t]]="",tblMovement[[#This Row],[Grade_gpt]]=""),0,tblMovement[[#This Row],[Tonnes_t]]*tblMovement[[#This Row],[Grade_gpt]]/cfg_TroyOz)</f>
        <v/>
      </c>
      <c r="O4947" s="59">
        <f>IF(tblMovement[[#This Row],[Is_Ore]]=1,tblMovement[[#This Row],[Contained_oz]],0)</f>
        <v/>
      </c>
    </row>
    <row r="4948">
      <c r="A4948" s="54" t="n"/>
      <c r="B4948" s="61" t="n"/>
      <c r="C4948" s="61" t="n"/>
      <c r="D4948" s="61" t="n"/>
      <c r="E4948" s="61" t="n"/>
      <c r="F4948" s="55" t="n"/>
      <c r="G4948" s="56" t="n"/>
      <c r="H4948" s="55" t="n"/>
      <c r="I4948" s="62" t="n"/>
      <c r="J4948" s="58" t="n"/>
      <c r="K4948" s="63">
        <f>IF(tblMovement[[#This Row],[Source]]="","",IFERROR(INDEX(tblSources[Type],MATCH(tblMovement[[#This Row],[Source]],tblSources[Source],0)),"?"))</f>
        <v/>
      </c>
      <c r="L4948" s="63">
        <f>IF(tblMovement[[#This Row],[Destination]]="","",IFERROR(INDEX(tblDestinations[Type],MATCH(tblMovement[[#This Row],[Destination]],tblDestinations[Destination],0)),"?"))</f>
        <v/>
      </c>
      <c r="M4948" s="64">
        <f>IF(tblMovement[[#This Row],[Material]]="","",IF(LEFT(tblMovement[[#This Row],[Material]],3)="Ore",1,0))</f>
        <v/>
      </c>
      <c r="N4948" s="59">
        <f>IF(OR(tblMovement[[#This Row],[Tonnes_t]]="",tblMovement[[#This Row],[Grade_gpt]]=""),0,tblMovement[[#This Row],[Tonnes_t]]*tblMovement[[#This Row],[Grade_gpt]]/cfg_TroyOz)</f>
        <v/>
      </c>
      <c r="O4948" s="59">
        <f>IF(tblMovement[[#This Row],[Is_Ore]]=1,tblMovement[[#This Row],[Contained_oz]],0)</f>
        <v/>
      </c>
    </row>
    <row r="4949">
      <c r="A4949" s="54" t="n"/>
      <c r="B4949" s="61" t="n"/>
      <c r="C4949" s="61" t="n"/>
      <c r="D4949" s="61" t="n"/>
      <c r="E4949" s="61" t="n"/>
      <c r="F4949" s="55" t="n"/>
      <c r="G4949" s="56" t="n"/>
      <c r="H4949" s="55" t="n"/>
      <c r="I4949" s="62" t="n"/>
      <c r="J4949" s="58" t="n"/>
      <c r="K4949" s="63">
        <f>IF(tblMovement[[#This Row],[Source]]="","",IFERROR(INDEX(tblSources[Type],MATCH(tblMovement[[#This Row],[Source]],tblSources[Source],0)),"?"))</f>
        <v/>
      </c>
      <c r="L4949" s="63">
        <f>IF(tblMovement[[#This Row],[Destination]]="","",IFERROR(INDEX(tblDestinations[Type],MATCH(tblMovement[[#This Row],[Destination]],tblDestinations[Destination],0)),"?"))</f>
        <v/>
      </c>
      <c r="M4949" s="64">
        <f>IF(tblMovement[[#This Row],[Material]]="","",IF(LEFT(tblMovement[[#This Row],[Material]],3)="Ore",1,0))</f>
        <v/>
      </c>
      <c r="N4949" s="59">
        <f>IF(OR(tblMovement[[#This Row],[Tonnes_t]]="",tblMovement[[#This Row],[Grade_gpt]]=""),0,tblMovement[[#This Row],[Tonnes_t]]*tblMovement[[#This Row],[Grade_gpt]]/cfg_TroyOz)</f>
        <v/>
      </c>
      <c r="O4949" s="59">
        <f>IF(tblMovement[[#This Row],[Is_Ore]]=1,tblMovement[[#This Row],[Contained_oz]],0)</f>
        <v/>
      </c>
    </row>
    <row r="4950">
      <c r="A4950" s="54" t="n"/>
      <c r="B4950" s="61" t="n"/>
      <c r="C4950" s="61" t="n"/>
      <c r="D4950" s="61" t="n"/>
      <c r="E4950" s="61" t="n"/>
      <c r="F4950" s="55" t="n"/>
      <c r="G4950" s="56" t="n"/>
      <c r="H4950" s="55" t="n"/>
      <c r="I4950" s="62" t="n"/>
      <c r="J4950" s="58" t="n"/>
      <c r="K4950" s="63">
        <f>IF(tblMovement[[#This Row],[Source]]="","",IFERROR(INDEX(tblSources[Type],MATCH(tblMovement[[#This Row],[Source]],tblSources[Source],0)),"?"))</f>
        <v/>
      </c>
      <c r="L4950" s="63">
        <f>IF(tblMovement[[#This Row],[Destination]]="","",IFERROR(INDEX(tblDestinations[Type],MATCH(tblMovement[[#This Row],[Destination]],tblDestinations[Destination],0)),"?"))</f>
        <v/>
      </c>
      <c r="M4950" s="64">
        <f>IF(tblMovement[[#This Row],[Material]]="","",IF(LEFT(tblMovement[[#This Row],[Material]],3)="Ore",1,0))</f>
        <v/>
      </c>
      <c r="N4950" s="59">
        <f>IF(OR(tblMovement[[#This Row],[Tonnes_t]]="",tblMovement[[#This Row],[Grade_gpt]]=""),0,tblMovement[[#This Row],[Tonnes_t]]*tblMovement[[#This Row],[Grade_gpt]]/cfg_TroyOz)</f>
        <v/>
      </c>
      <c r="O4950" s="59">
        <f>IF(tblMovement[[#This Row],[Is_Ore]]=1,tblMovement[[#This Row],[Contained_oz]],0)</f>
        <v/>
      </c>
    </row>
    <row r="4951">
      <c r="A4951" s="54" t="n"/>
      <c r="B4951" s="61" t="n"/>
      <c r="C4951" s="61" t="n"/>
      <c r="D4951" s="61" t="n"/>
      <c r="E4951" s="61" t="n"/>
      <c r="F4951" s="55" t="n"/>
      <c r="G4951" s="56" t="n"/>
      <c r="H4951" s="55" t="n"/>
      <c r="I4951" s="62" t="n"/>
      <c r="J4951" s="58" t="n"/>
      <c r="K4951" s="63">
        <f>IF(tblMovement[[#This Row],[Source]]="","",IFERROR(INDEX(tblSources[Type],MATCH(tblMovement[[#This Row],[Source]],tblSources[Source],0)),"?"))</f>
        <v/>
      </c>
      <c r="L4951" s="63">
        <f>IF(tblMovement[[#This Row],[Destination]]="","",IFERROR(INDEX(tblDestinations[Type],MATCH(tblMovement[[#This Row],[Destination]],tblDestinations[Destination],0)),"?"))</f>
        <v/>
      </c>
      <c r="M4951" s="64">
        <f>IF(tblMovement[[#This Row],[Material]]="","",IF(LEFT(tblMovement[[#This Row],[Material]],3)="Ore",1,0))</f>
        <v/>
      </c>
      <c r="N4951" s="59">
        <f>IF(OR(tblMovement[[#This Row],[Tonnes_t]]="",tblMovement[[#This Row],[Grade_gpt]]=""),0,tblMovement[[#This Row],[Tonnes_t]]*tblMovement[[#This Row],[Grade_gpt]]/cfg_TroyOz)</f>
        <v/>
      </c>
      <c r="O4951" s="59">
        <f>IF(tblMovement[[#This Row],[Is_Ore]]=1,tblMovement[[#This Row],[Contained_oz]],0)</f>
        <v/>
      </c>
    </row>
    <row r="4952">
      <c r="A4952" s="54" t="n"/>
      <c r="B4952" s="61" t="n"/>
      <c r="C4952" s="61" t="n"/>
      <c r="D4952" s="61" t="n"/>
      <c r="E4952" s="61" t="n"/>
      <c r="F4952" s="55" t="n"/>
      <c r="G4952" s="56" t="n"/>
      <c r="H4952" s="55" t="n"/>
      <c r="I4952" s="62" t="n"/>
      <c r="J4952" s="58" t="n"/>
      <c r="K4952" s="63">
        <f>IF(tblMovement[[#This Row],[Source]]="","",IFERROR(INDEX(tblSources[Type],MATCH(tblMovement[[#This Row],[Source]],tblSources[Source],0)),"?"))</f>
        <v/>
      </c>
      <c r="L4952" s="63">
        <f>IF(tblMovement[[#This Row],[Destination]]="","",IFERROR(INDEX(tblDestinations[Type],MATCH(tblMovement[[#This Row],[Destination]],tblDestinations[Destination],0)),"?"))</f>
        <v/>
      </c>
      <c r="M4952" s="64">
        <f>IF(tblMovement[[#This Row],[Material]]="","",IF(LEFT(tblMovement[[#This Row],[Material]],3)="Ore",1,0))</f>
        <v/>
      </c>
      <c r="N4952" s="59">
        <f>IF(OR(tblMovement[[#This Row],[Tonnes_t]]="",tblMovement[[#This Row],[Grade_gpt]]=""),0,tblMovement[[#This Row],[Tonnes_t]]*tblMovement[[#This Row],[Grade_gpt]]/cfg_TroyOz)</f>
        <v/>
      </c>
      <c r="O4952" s="59">
        <f>IF(tblMovement[[#This Row],[Is_Ore]]=1,tblMovement[[#This Row],[Contained_oz]],0)</f>
        <v/>
      </c>
    </row>
    <row r="4953">
      <c r="A4953" s="54" t="n"/>
      <c r="B4953" s="61" t="n"/>
      <c r="C4953" s="61" t="n"/>
      <c r="D4953" s="61" t="n"/>
      <c r="E4953" s="61" t="n"/>
      <c r="F4953" s="55" t="n"/>
      <c r="G4953" s="56" t="n"/>
      <c r="H4953" s="55" t="n"/>
      <c r="I4953" s="62" t="n"/>
      <c r="J4953" s="58" t="n"/>
      <c r="K4953" s="63">
        <f>IF(tblMovement[[#This Row],[Source]]="","",IFERROR(INDEX(tblSources[Type],MATCH(tblMovement[[#This Row],[Source]],tblSources[Source],0)),"?"))</f>
        <v/>
      </c>
      <c r="L4953" s="63">
        <f>IF(tblMovement[[#This Row],[Destination]]="","",IFERROR(INDEX(tblDestinations[Type],MATCH(tblMovement[[#This Row],[Destination]],tblDestinations[Destination],0)),"?"))</f>
        <v/>
      </c>
      <c r="M4953" s="64">
        <f>IF(tblMovement[[#This Row],[Material]]="","",IF(LEFT(tblMovement[[#This Row],[Material]],3)="Ore",1,0))</f>
        <v/>
      </c>
      <c r="N4953" s="59">
        <f>IF(OR(tblMovement[[#This Row],[Tonnes_t]]="",tblMovement[[#This Row],[Grade_gpt]]=""),0,tblMovement[[#This Row],[Tonnes_t]]*tblMovement[[#This Row],[Grade_gpt]]/cfg_TroyOz)</f>
        <v/>
      </c>
      <c r="O4953" s="59">
        <f>IF(tblMovement[[#This Row],[Is_Ore]]=1,tblMovement[[#This Row],[Contained_oz]],0)</f>
        <v/>
      </c>
    </row>
    <row r="4954">
      <c r="A4954" s="54" t="n"/>
      <c r="B4954" s="61" t="n"/>
      <c r="C4954" s="61" t="n"/>
      <c r="D4954" s="61" t="n"/>
      <c r="E4954" s="61" t="n"/>
      <c r="F4954" s="55" t="n"/>
      <c r="G4954" s="56" t="n"/>
      <c r="H4954" s="55" t="n"/>
      <c r="I4954" s="62" t="n"/>
      <c r="J4954" s="58" t="n"/>
      <c r="K4954" s="63">
        <f>IF(tblMovement[[#This Row],[Source]]="","",IFERROR(INDEX(tblSources[Type],MATCH(tblMovement[[#This Row],[Source]],tblSources[Source],0)),"?"))</f>
        <v/>
      </c>
      <c r="L4954" s="63">
        <f>IF(tblMovement[[#This Row],[Destination]]="","",IFERROR(INDEX(tblDestinations[Type],MATCH(tblMovement[[#This Row],[Destination]],tblDestinations[Destination],0)),"?"))</f>
        <v/>
      </c>
      <c r="M4954" s="64">
        <f>IF(tblMovement[[#This Row],[Material]]="","",IF(LEFT(tblMovement[[#This Row],[Material]],3)="Ore",1,0))</f>
        <v/>
      </c>
      <c r="N4954" s="59">
        <f>IF(OR(tblMovement[[#This Row],[Tonnes_t]]="",tblMovement[[#This Row],[Grade_gpt]]=""),0,tblMovement[[#This Row],[Tonnes_t]]*tblMovement[[#This Row],[Grade_gpt]]/cfg_TroyOz)</f>
        <v/>
      </c>
      <c r="O4954" s="59">
        <f>IF(tblMovement[[#This Row],[Is_Ore]]=1,tblMovement[[#This Row],[Contained_oz]],0)</f>
        <v/>
      </c>
    </row>
    <row r="4955">
      <c r="A4955" s="54" t="n"/>
      <c r="B4955" s="61" t="n"/>
      <c r="C4955" s="61" t="n"/>
      <c r="D4955" s="61" t="n"/>
      <c r="E4955" s="61" t="n"/>
      <c r="F4955" s="55" t="n"/>
      <c r="G4955" s="56" t="n"/>
      <c r="H4955" s="55" t="n"/>
      <c r="I4955" s="62" t="n"/>
      <c r="J4955" s="58" t="n"/>
      <c r="K4955" s="63">
        <f>IF(tblMovement[[#This Row],[Source]]="","",IFERROR(INDEX(tblSources[Type],MATCH(tblMovement[[#This Row],[Source]],tblSources[Source],0)),"?"))</f>
        <v/>
      </c>
      <c r="L4955" s="63">
        <f>IF(tblMovement[[#This Row],[Destination]]="","",IFERROR(INDEX(tblDestinations[Type],MATCH(tblMovement[[#This Row],[Destination]],tblDestinations[Destination],0)),"?"))</f>
        <v/>
      </c>
      <c r="M4955" s="64">
        <f>IF(tblMovement[[#This Row],[Material]]="","",IF(LEFT(tblMovement[[#This Row],[Material]],3)="Ore",1,0))</f>
        <v/>
      </c>
      <c r="N4955" s="59">
        <f>IF(OR(tblMovement[[#This Row],[Tonnes_t]]="",tblMovement[[#This Row],[Grade_gpt]]=""),0,tblMovement[[#This Row],[Tonnes_t]]*tblMovement[[#This Row],[Grade_gpt]]/cfg_TroyOz)</f>
        <v/>
      </c>
      <c r="O4955" s="59">
        <f>IF(tblMovement[[#This Row],[Is_Ore]]=1,tblMovement[[#This Row],[Contained_oz]],0)</f>
        <v/>
      </c>
    </row>
    <row r="4956">
      <c r="A4956" s="54" t="n"/>
      <c r="B4956" s="61" t="n"/>
      <c r="C4956" s="61" t="n"/>
      <c r="D4956" s="61" t="n"/>
      <c r="E4956" s="61" t="n"/>
      <c r="F4956" s="55" t="n"/>
      <c r="G4956" s="56" t="n"/>
      <c r="H4956" s="55" t="n"/>
      <c r="I4956" s="62" t="n"/>
      <c r="J4956" s="58" t="n"/>
      <c r="K4956" s="63">
        <f>IF(tblMovement[[#This Row],[Source]]="","",IFERROR(INDEX(tblSources[Type],MATCH(tblMovement[[#This Row],[Source]],tblSources[Source],0)),"?"))</f>
        <v/>
      </c>
      <c r="L4956" s="63">
        <f>IF(tblMovement[[#This Row],[Destination]]="","",IFERROR(INDEX(tblDestinations[Type],MATCH(tblMovement[[#This Row],[Destination]],tblDestinations[Destination],0)),"?"))</f>
        <v/>
      </c>
      <c r="M4956" s="64">
        <f>IF(tblMovement[[#This Row],[Material]]="","",IF(LEFT(tblMovement[[#This Row],[Material]],3)="Ore",1,0))</f>
        <v/>
      </c>
      <c r="N4956" s="59">
        <f>IF(OR(tblMovement[[#This Row],[Tonnes_t]]="",tblMovement[[#This Row],[Grade_gpt]]=""),0,tblMovement[[#This Row],[Tonnes_t]]*tblMovement[[#This Row],[Grade_gpt]]/cfg_TroyOz)</f>
        <v/>
      </c>
      <c r="O4956" s="59">
        <f>IF(tblMovement[[#This Row],[Is_Ore]]=1,tblMovement[[#This Row],[Contained_oz]],0)</f>
        <v/>
      </c>
    </row>
    <row r="4957">
      <c r="A4957" s="54" t="n"/>
      <c r="B4957" s="61" t="n"/>
      <c r="C4957" s="61" t="n"/>
      <c r="D4957" s="61" t="n"/>
      <c r="E4957" s="61" t="n"/>
      <c r="F4957" s="55" t="n"/>
      <c r="G4957" s="56" t="n"/>
      <c r="H4957" s="55" t="n"/>
      <c r="I4957" s="62" t="n"/>
      <c r="J4957" s="58" t="n"/>
      <c r="K4957" s="63">
        <f>IF(tblMovement[[#This Row],[Source]]="","",IFERROR(INDEX(tblSources[Type],MATCH(tblMovement[[#This Row],[Source]],tblSources[Source],0)),"?"))</f>
        <v/>
      </c>
      <c r="L4957" s="63">
        <f>IF(tblMovement[[#This Row],[Destination]]="","",IFERROR(INDEX(tblDestinations[Type],MATCH(tblMovement[[#This Row],[Destination]],tblDestinations[Destination],0)),"?"))</f>
        <v/>
      </c>
      <c r="M4957" s="64">
        <f>IF(tblMovement[[#This Row],[Material]]="","",IF(LEFT(tblMovement[[#This Row],[Material]],3)="Ore",1,0))</f>
        <v/>
      </c>
      <c r="N4957" s="59">
        <f>IF(OR(tblMovement[[#This Row],[Tonnes_t]]="",tblMovement[[#This Row],[Grade_gpt]]=""),0,tblMovement[[#This Row],[Tonnes_t]]*tblMovement[[#This Row],[Grade_gpt]]/cfg_TroyOz)</f>
        <v/>
      </c>
      <c r="O4957" s="59">
        <f>IF(tblMovement[[#This Row],[Is_Ore]]=1,tblMovement[[#This Row],[Contained_oz]],0)</f>
        <v/>
      </c>
    </row>
    <row r="4958">
      <c r="A4958" s="54" t="n"/>
      <c r="B4958" s="61" t="n"/>
      <c r="C4958" s="61" t="n"/>
      <c r="D4958" s="61" t="n"/>
      <c r="E4958" s="61" t="n"/>
      <c r="F4958" s="55" t="n"/>
      <c r="G4958" s="56" t="n"/>
      <c r="H4958" s="55" t="n"/>
      <c r="I4958" s="62" t="n"/>
      <c r="J4958" s="58" t="n"/>
      <c r="K4958" s="63">
        <f>IF(tblMovement[[#This Row],[Source]]="","",IFERROR(INDEX(tblSources[Type],MATCH(tblMovement[[#This Row],[Source]],tblSources[Source],0)),"?"))</f>
        <v/>
      </c>
      <c r="L4958" s="63">
        <f>IF(tblMovement[[#This Row],[Destination]]="","",IFERROR(INDEX(tblDestinations[Type],MATCH(tblMovement[[#This Row],[Destination]],tblDestinations[Destination],0)),"?"))</f>
        <v/>
      </c>
      <c r="M4958" s="64">
        <f>IF(tblMovement[[#This Row],[Material]]="","",IF(LEFT(tblMovement[[#This Row],[Material]],3)="Ore",1,0))</f>
        <v/>
      </c>
      <c r="N4958" s="59">
        <f>IF(OR(tblMovement[[#This Row],[Tonnes_t]]="",tblMovement[[#This Row],[Grade_gpt]]=""),0,tblMovement[[#This Row],[Tonnes_t]]*tblMovement[[#This Row],[Grade_gpt]]/cfg_TroyOz)</f>
        <v/>
      </c>
      <c r="O4958" s="59">
        <f>IF(tblMovement[[#This Row],[Is_Ore]]=1,tblMovement[[#This Row],[Contained_oz]],0)</f>
        <v/>
      </c>
    </row>
    <row r="4959">
      <c r="A4959" s="54" t="n"/>
      <c r="B4959" s="61" t="n"/>
      <c r="C4959" s="61" t="n"/>
      <c r="D4959" s="61" t="n"/>
      <c r="E4959" s="61" t="n"/>
      <c r="F4959" s="55" t="n"/>
      <c r="G4959" s="56" t="n"/>
      <c r="H4959" s="55" t="n"/>
      <c r="I4959" s="62" t="n"/>
      <c r="J4959" s="58" t="n"/>
      <c r="K4959" s="63">
        <f>IF(tblMovement[[#This Row],[Source]]="","",IFERROR(INDEX(tblSources[Type],MATCH(tblMovement[[#This Row],[Source]],tblSources[Source],0)),"?"))</f>
        <v/>
      </c>
      <c r="L4959" s="63">
        <f>IF(tblMovement[[#This Row],[Destination]]="","",IFERROR(INDEX(tblDestinations[Type],MATCH(tblMovement[[#This Row],[Destination]],tblDestinations[Destination],0)),"?"))</f>
        <v/>
      </c>
      <c r="M4959" s="64">
        <f>IF(tblMovement[[#This Row],[Material]]="","",IF(LEFT(tblMovement[[#This Row],[Material]],3)="Ore",1,0))</f>
        <v/>
      </c>
      <c r="N4959" s="59">
        <f>IF(OR(tblMovement[[#This Row],[Tonnes_t]]="",tblMovement[[#This Row],[Grade_gpt]]=""),0,tblMovement[[#This Row],[Tonnes_t]]*tblMovement[[#This Row],[Grade_gpt]]/cfg_TroyOz)</f>
        <v/>
      </c>
      <c r="O4959" s="59">
        <f>IF(tblMovement[[#This Row],[Is_Ore]]=1,tblMovement[[#This Row],[Contained_oz]],0)</f>
        <v/>
      </c>
    </row>
    <row r="4960">
      <c r="A4960" s="54" t="n"/>
      <c r="B4960" s="61" t="n"/>
      <c r="C4960" s="61" t="n"/>
      <c r="D4960" s="61" t="n"/>
      <c r="E4960" s="61" t="n"/>
      <c r="F4960" s="55" t="n"/>
      <c r="G4960" s="56" t="n"/>
      <c r="H4960" s="55" t="n"/>
      <c r="I4960" s="62" t="n"/>
      <c r="J4960" s="58" t="n"/>
      <c r="K4960" s="63">
        <f>IF(tblMovement[[#This Row],[Source]]="","",IFERROR(INDEX(tblSources[Type],MATCH(tblMovement[[#This Row],[Source]],tblSources[Source],0)),"?"))</f>
        <v/>
      </c>
      <c r="L4960" s="63">
        <f>IF(tblMovement[[#This Row],[Destination]]="","",IFERROR(INDEX(tblDestinations[Type],MATCH(tblMovement[[#This Row],[Destination]],tblDestinations[Destination],0)),"?"))</f>
        <v/>
      </c>
      <c r="M4960" s="64">
        <f>IF(tblMovement[[#This Row],[Material]]="","",IF(LEFT(tblMovement[[#This Row],[Material]],3)="Ore",1,0))</f>
        <v/>
      </c>
      <c r="N4960" s="59">
        <f>IF(OR(tblMovement[[#This Row],[Tonnes_t]]="",tblMovement[[#This Row],[Grade_gpt]]=""),0,tblMovement[[#This Row],[Tonnes_t]]*tblMovement[[#This Row],[Grade_gpt]]/cfg_TroyOz)</f>
        <v/>
      </c>
      <c r="O4960" s="59">
        <f>IF(tblMovement[[#This Row],[Is_Ore]]=1,tblMovement[[#This Row],[Contained_oz]],0)</f>
        <v/>
      </c>
    </row>
    <row r="4961">
      <c r="A4961" s="54" t="n"/>
      <c r="B4961" s="61" t="n"/>
      <c r="C4961" s="61" t="n"/>
      <c r="D4961" s="61" t="n"/>
      <c r="E4961" s="61" t="n"/>
      <c r="F4961" s="55" t="n"/>
      <c r="G4961" s="56" t="n"/>
      <c r="H4961" s="55" t="n"/>
      <c r="I4961" s="62" t="n"/>
      <c r="J4961" s="58" t="n"/>
      <c r="K4961" s="63">
        <f>IF(tblMovement[[#This Row],[Source]]="","",IFERROR(INDEX(tblSources[Type],MATCH(tblMovement[[#This Row],[Source]],tblSources[Source],0)),"?"))</f>
        <v/>
      </c>
      <c r="L4961" s="63">
        <f>IF(tblMovement[[#This Row],[Destination]]="","",IFERROR(INDEX(tblDestinations[Type],MATCH(tblMovement[[#This Row],[Destination]],tblDestinations[Destination],0)),"?"))</f>
        <v/>
      </c>
      <c r="M4961" s="64">
        <f>IF(tblMovement[[#This Row],[Material]]="","",IF(LEFT(tblMovement[[#This Row],[Material]],3)="Ore",1,0))</f>
        <v/>
      </c>
      <c r="N4961" s="59">
        <f>IF(OR(tblMovement[[#This Row],[Tonnes_t]]="",tblMovement[[#This Row],[Grade_gpt]]=""),0,tblMovement[[#This Row],[Tonnes_t]]*tblMovement[[#This Row],[Grade_gpt]]/cfg_TroyOz)</f>
        <v/>
      </c>
      <c r="O4961" s="59">
        <f>IF(tblMovement[[#This Row],[Is_Ore]]=1,tblMovement[[#This Row],[Contained_oz]],0)</f>
        <v/>
      </c>
    </row>
    <row r="4962">
      <c r="A4962" s="54" t="n"/>
      <c r="B4962" s="61" t="n"/>
      <c r="C4962" s="61" t="n"/>
      <c r="D4962" s="61" t="n"/>
      <c r="E4962" s="61" t="n"/>
      <c r="F4962" s="55" t="n"/>
      <c r="G4962" s="56" t="n"/>
      <c r="H4962" s="55" t="n"/>
      <c r="I4962" s="62" t="n"/>
      <c r="J4962" s="58" t="n"/>
      <c r="K4962" s="63">
        <f>IF(tblMovement[[#This Row],[Source]]="","",IFERROR(INDEX(tblSources[Type],MATCH(tblMovement[[#This Row],[Source]],tblSources[Source],0)),"?"))</f>
        <v/>
      </c>
      <c r="L4962" s="63">
        <f>IF(tblMovement[[#This Row],[Destination]]="","",IFERROR(INDEX(tblDestinations[Type],MATCH(tblMovement[[#This Row],[Destination]],tblDestinations[Destination],0)),"?"))</f>
        <v/>
      </c>
      <c r="M4962" s="64">
        <f>IF(tblMovement[[#This Row],[Material]]="","",IF(LEFT(tblMovement[[#This Row],[Material]],3)="Ore",1,0))</f>
        <v/>
      </c>
      <c r="N4962" s="59">
        <f>IF(OR(tblMovement[[#This Row],[Tonnes_t]]="",tblMovement[[#This Row],[Grade_gpt]]=""),0,tblMovement[[#This Row],[Tonnes_t]]*tblMovement[[#This Row],[Grade_gpt]]/cfg_TroyOz)</f>
        <v/>
      </c>
      <c r="O4962" s="59">
        <f>IF(tblMovement[[#This Row],[Is_Ore]]=1,tblMovement[[#This Row],[Contained_oz]],0)</f>
        <v/>
      </c>
    </row>
    <row r="4963">
      <c r="A4963" s="54" t="n"/>
      <c r="B4963" s="61" t="n"/>
      <c r="C4963" s="61" t="n"/>
      <c r="D4963" s="61" t="n"/>
      <c r="E4963" s="61" t="n"/>
      <c r="F4963" s="55" t="n"/>
      <c r="G4963" s="56" t="n"/>
      <c r="H4963" s="55" t="n"/>
      <c r="I4963" s="62" t="n"/>
      <c r="J4963" s="58" t="n"/>
      <c r="K4963" s="63">
        <f>IF(tblMovement[[#This Row],[Source]]="","",IFERROR(INDEX(tblSources[Type],MATCH(tblMovement[[#This Row],[Source]],tblSources[Source],0)),"?"))</f>
        <v/>
      </c>
      <c r="L4963" s="63">
        <f>IF(tblMovement[[#This Row],[Destination]]="","",IFERROR(INDEX(tblDestinations[Type],MATCH(tblMovement[[#This Row],[Destination]],tblDestinations[Destination],0)),"?"))</f>
        <v/>
      </c>
      <c r="M4963" s="64">
        <f>IF(tblMovement[[#This Row],[Material]]="","",IF(LEFT(tblMovement[[#This Row],[Material]],3)="Ore",1,0))</f>
        <v/>
      </c>
      <c r="N4963" s="59">
        <f>IF(OR(tblMovement[[#This Row],[Tonnes_t]]="",tblMovement[[#This Row],[Grade_gpt]]=""),0,tblMovement[[#This Row],[Tonnes_t]]*tblMovement[[#This Row],[Grade_gpt]]/cfg_TroyOz)</f>
        <v/>
      </c>
      <c r="O4963" s="59">
        <f>IF(tblMovement[[#This Row],[Is_Ore]]=1,tblMovement[[#This Row],[Contained_oz]],0)</f>
        <v/>
      </c>
    </row>
    <row r="4964">
      <c r="A4964" s="54" t="n"/>
      <c r="B4964" s="61" t="n"/>
      <c r="C4964" s="61" t="n"/>
      <c r="D4964" s="61" t="n"/>
      <c r="E4964" s="61" t="n"/>
      <c r="F4964" s="55" t="n"/>
      <c r="G4964" s="56" t="n"/>
      <c r="H4964" s="55" t="n"/>
      <c r="I4964" s="62" t="n"/>
      <c r="J4964" s="58" t="n"/>
      <c r="K4964" s="63">
        <f>IF(tblMovement[[#This Row],[Source]]="","",IFERROR(INDEX(tblSources[Type],MATCH(tblMovement[[#This Row],[Source]],tblSources[Source],0)),"?"))</f>
        <v/>
      </c>
      <c r="L4964" s="63">
        <f>IF(tblMovement[[#This Row],[Destination]]="","",IFERROR(INDEX(tblDestinations[Type],MATCH(tblMovement[[#This Row],[Destination]],tblDestinations[Destination],0)),"?"))</f>
        <v/>
      </c>
      <c r="M4964" s="64">
        <f>IF(tblMovement[[#This Row],[Material]]="","",IF(LEFT(tblMovement[[#This Row],[Material]],3)="Ore",1,0))</f>
        <v/>
      </c>
      <c r="N4964" s="59">
        <f>IF(OR(tblMovement[[#This Row],[Tonnes_t]]="",tblMovement[[#This Row],[Grade_gpt]]=""),0,tblMovement[[#This Row],[Tonnes_t]]*tblMovement[[#This Row],[Grade_gpt]]/cfg_TroyOz)</f>
        <v/>
      </c>
      <c r="O4964" s="59">
        <f>IF(tblMovement[[#This Row],[Is_Ore]]=1,tblMovement[[#This Row],[Contained_oz]],0)</f>
        <v/>
      </c>
    </row>
    <row r="4965">
      <c r="A4965" s="54" t="n"/>
      <c r="B4965" s="61" t="n"/>
      <c r="C4965" s="61" t="n"/>
      <c r="D4965" s="61" t="n"/>
      <c r="E4965" s="61" t="n"/>
      <c r="F4965" s="55" t="n"/>
      <c r="G4965" s="56" t="n"/>
      <c r="H4965" s="55" t="n"/>
      <c r="I4965" s="62" t="n"/>
      <c r="J4965" s="58" t="n"/>
      <c r="K4965" s="63">
        <f>IF(tblMovement[[#This Row],[Source]]="","",IFERROR(INDEX(tblSources[Type],MATCH(tblMovement[[#This Row],[Source]],tblSources[Source],0)),"?"))</f>
        <v/>
      </c>
      <c r="L4965" s="63">
        <f>IF(tblMovement[[#This Row],[Destination]]="","",IFERROR(INDEX(tblDestinations[Type],MATCH(tblMovement[[#This Row],[Destination]],tblDestinations[Destination],0)),"?"))</f>
        <v/>
      </c>
      <c r="M4965" s="64">
        <f>IF(tblMovement[[#This Row],[Material]]="","",IF(LEFT(tblMovement[[#This Row],[Material]],3)="Ore",1,0))</f>
        <v/>
      </c>
      <c r="N4965" s="59">
        <f>IF(OR(tblMovement[[#This Row],[Tonnes_t]]="",tblMovement[[#This Row],[Grade_gpt]]=""),0,tblMovement[[#This Row],[Tonnes_t]]*tblMovement[[#This Row],[Grade_gpt]]/cfg_TroyOz)</f>
        <v/>
      </c>
      <c r="O4965" s="59">
        <f>IF(tblMovement[[#This Row],[Is_Ore]]=1,tblMovement[[#This Row],[Contained_oz]],0)</f>
        <v/>
      </c>
    </row>
    <row r="4966">
      <c r="A4966" s="54" t="n"/>
      <c r="B4966" s="61" t="n"/>
      <c r="C4966" s="61" t="n"/>
      <c r="D4966" s="61" t="n"/>
      <c r="E4966" s="61" t="n"/>
      <c r="F4966" s="55" t="n"/>
      <c r="G4966" s="56" t="n"/>
      <c r="H4966" s="55" t="n"/>
      <c r="I4966" s="62" t="n"/>
      <c r="J4966" s="58" t="n"/>
      <c r="K4966" s="63">
        <f>IF(tblMovement[[#This Row],[Source]]="","",IFERROR(INDEX(tblSources[Type],MATCH(tblMovement[[#This Row],[Source]],tblSources[Source],0)),"?"))</f>
        <v/>
      </c>
      <c r="L4966" s="63">
        <f>IF(tblMovement[[#This Row],[Destination]]="","",IFERROR(INDEX(tblDestinations[Type],MATCH(tblMovement[[#This Row],[Destination]],tblDestinations[Destination],0)),"?"))</f>
        <v/>
      </c>
      <c r="M4966" s="64">
        <f>IF(tblMovement[[#This Row],[Material]]="","",IF(LEFT(tblMovement[[#This Row],[Material]],3)="Ore",1,0))</f>
        <v/>
      </c>
      <c r="N4966" s="59">
        <f>IF(OR(tblMovement[[#This Row],[Tonnes_t]]="",tblMovement[[#This Row],[Grade_gpt]]=""),0,tblMovement[[#This Row],[Tonnes_t]]*tblMovement[[#This Row],[Grade_gpt]]/cfg_TroyOz)</f>
        <v/>
      </c>
      <c r="O4966" s="59">
        <f>IF(tblMovement[[#This Row],[Is_Ore]]=1,tblMovement[[#This Row],[Contained_oz]],0)</f>
        <v/>
      </c>
    </row>
    <row r="4967">
      <c r="A4967" s="54" t="n"/>
      <c r="B4967" s="61" t="n"/>
      <c r="C4967" s="61" t="n"/>
      <c r="D4967" s="61" t="n"/>
      <c r="E4967" s="61" t="n"/>
      <c r="F4967" s="55" t="n"/>
      <c r="G4967" s="56" t="n"/>
      <c r="H4967" s="55" t="n"/>
      <c r="I4967" s="62" t="n"/>
      <c r="J4967" s="58" t="n"/>
      <c r="K4967" s="63">
        <f>IF(tblMovement[[#This Row],[Source]]="","",IFERROR(INDEX(tblSources[Type],MATCH(tblMovement[[#This Row],[Source]],tblSources[Source],0)),"?"))</f>
        <v/>
      </c>
      <c r="L4967" s="63">
        <f>IF(tblMovement[[#This Row],[Destination]]="","",IFERROR(INDEX(tblDestinations[Type],MATCH(tblMovement[[#This Row],[Destination]],tblDestinations[Destination],0)),"?"))</f>
        <v/>
      </c>
      <c r="M4967" s="64">
        <f>IF(tblMovement[[#This Row],[Material]]="","",IF(LEFT(tblMovement[[#This Row],[Material]],3)="Ore",1,0))</f>
        <v/>
      </c>
      <c r="N4967" s="59">
        <f>IF(OR(tblMovement[[#This Row],[Tonnes_t]]="",tblMovement[[#This Row],[Grade_gpt]]=""),0,tblMovement[[#This Row],[Tonnes_t]]*tblMovement[[#This Row],[Grade_gpt]]/cfg_TroyOz)</f>
        <v/>
      </c>
      <c r="O4967" s="59">
        <f>IF(tblMovement[[#This Row],[Is_Ore]]=1,tblMovement[[#This Row],[Contained_oz]],0)</f>
        <v/>
      </c>
    </row>
    <row r="4968">
      <c r="A4968" s="54" t="n"/>
      <c r="B4968" s="61" t="n"/>
      <c r="C4968" s="61" t="n"/>
      <c r="D4968" s="61" t="n"/>
      <c r="E4968" s="61" t="n"/>
      <c r="F4968" s="55" t="n"/>
      <c r="G4968" s="56" t="n"/>
      <c r="H4968" s="55" t="n"/>
      <c r="I4968" s="62" t="n"/>
      <c r="J4968" s="58" t="n"/>
      <c r="K4968" s="63">
        <f>IF(tblMovement[[#This Row],[Source]]="","",IFERROR(INDEX(tblSources[Type],MATCH(tblMovement[[#This Row],[Source]],tblSources[Source],0)),"?"))</f>
        <v/>
      </c>
      <c r="L4968" s="63">
        <f>IF(tblMovement[[#This Row],[Destination]]="","",IFERROR(INDEX(tblDestinations[Type],MATCH(tblMovement[[#This Row],[Destination]],tblDestinations[Destination],0)),"?"))</f>
        <v/>
      </c>
      <c r="M4968" s="64">
        <f>IF(tblMovement[[#This Row],[Material]]="","",IF(LEFT(tblMovement[[#This Row],[Material]],3)="Ore",1,0))</f>
        <v/>
      </c>
      <c r="N4968" s="59">
        <f>IF(OR(tblMovement[[#This Row],[Tonnes_t]]="",tblMovement[[#This Row],[Grade_gpt]]=""),0,tblMovement[[#This Row],[Tonnes_t]]*tblMovement[[#This Row],[Grade_gpt]]/cfg_TroyOz)</f>
        <v/>
      </c>
      <c r="O4968" s="59">
        <f>IF(tblMovement[[#This Row],[Is_Ore]]=1,tblMovement[[#This Row],[Contained_oz]],0)</f>
        <v/>
      </c>
    </row>
    <row r="4969">
      <c r="A4969" s="54" t="n"/>
      <c r="B4969" s="61" t="n"/>
      <c r="C4969" s="61" t="n"/>
      <c r="D4969" s="61" t="n"/>
      <c r="E4969" s="61" t="n"/>
      <c r="F4969" s="55" t="n"/>
      <c r="G4969" s="56" t="n"/>
      <c r="H4969" s="55" t="n"/>
      <c r="I4969" s="62" t="n"/>
      <c r="J4969" s="58" t="n"/>
      <c r="K4969" s="63">
        <f>IF(tblMovement[[#This Row],[Source]]="","",IFERROR(INDEX(tblSources[Type],MATCH(tblMovement[[#This Row],[Source]],tblSources[Source],0)),"?"))</f>
        <v/>
      </c>
      <c r="L4969" s="63">
        <f>IF(tblMovement[[#This Row],[Destination]]="","",IFERROR(INDEX(tblDestinations[Type],MATCH(tblMovement[[#This Row],[Destination]],tblDestinations[Destination],0)),"?"))</f>
        <v/>
      </c>
      <c r="M4969" s="64">
        <f>IF(tblMovement[[#This Row],[Material]]="","",IF(LEFT(tblMovement[[#This Row],[Material]],3)="Ore",1,0))</f>
        <v/>
      </c>
      <c r="N4969" s="59">
        <f>IF(OR(tblMovement[[#This Row],[Tonnes_t]]="",tblMovement[[#This Row],[Grade_gpt]]=""),0,tblMovement[[#This Row],[Tonnes_t]]*tblMovement[[#This Row],[Grade_gpt]]/cfg_TroyOz)</f>
        <v/>
      </c>
      <c r="O4969" s="59">
        <f>IF(tblMovement[[#This Row],[Is_Ore]]=1,tblMovement[[#This Row],[Contained_oz]],0)</f>
        <v/>
      </c>
    </row>
    <row r="4970">
      <c r="A4970" s="54" t="n"/>
      <c r="B4970" s="61" t="n"/>
      <c r="C4970" s="61" t="n"/>
      <c r="D4970" s="61" t="n"/>
      <c r="E4970" s="61" t="n"/>
      <c r="F4970" s="55" t="n"/>
      <c r="G4970" s="56" t="n"/>
      <c r="H4970" s="55" t="n"/>
      <c r="I4970" s="62" t="n"/>
      <c r="J4970" s="58" t="n"/>
      <c r="K4970" s="63">
        <f>IF(tblMovement[[#This Row],[Source]]="","",IFERROR(INDEX(tblSources[Type],MATCH(tblMovement[[#This Row],[Source]],tblSources[Source],0)),"?"))</f>
        <v/>
      </c>
      <c r="L4970" s="63">
        <f>IF(tblMovement[[#This Row],[Destination]]="","",IFERROR(INDEX(tblDestinations[Type],MATCH(tblMovement[[#This Row],[Destination]],tblDestinations[Destination],0)),"?"))</f>
        <v/>
      </c>
      <c r="M4970" s="64">
        <f>IF(tblMovement[[#This Row],[Material]]="","",IF(LEFT(tblMovement[[#This Row],[Material]],3)="Ore",1,0))</f>
        <v/>
      </c>
      <c r="N4970" s="59">
        <f>IF(OR(tblMovement[[#This Row],[Tonnes_t]]="",tblMovement[[#This Row],[Grade_gpt]]=""),0,tblMovement[[#This Row],[Tonnes_t]]*tblMovement[[#This Row],[Grade_gpt]]/cfg_TroyOz)</f>
        <v/>
      </c>
      <c r="O4970" s="59">
        <f>IF(tblMovement[[#This Row],[Is_Ore]]=1,tblMovement[[#This Row],[Contained_oz]],0)</f>
        <v/>
      </c>
    </row>
    <row r="4971">
      <c r="A4971" s="54" t="n"/>
      <c r="B4971" s="61" t="n"/>
      <c r="C4971" s="61" t="n"/>
      <c r="D4971" s="61" t="n"/>
      <c r="E4971" s="61" t="n"/>
      <c r="F4971" s="55" t="n"/>
      <c r="G4971" s="56" t="n"/>
      <c r="H4971" s="55" t="n"/>
      <c r="I4971" s="62" t="n"/>
      <c r="J4971" s="58" t="n"/>
      <c r="K4971" s="63">
        <f>IF(tblMovement[[#This Row],[Source]]="","",IFERROR(INDEX(tblSources[Type],MATCH(tblMovement[[#This Row],[Source]],tblSources[Source],0)),"?"))</f>
        <v/>
      </c>
      <c r="L4971" s="63">
        <f>IF(tblMovement[[#This Row],[Destination]]="","",IFERROR(INDEX(tblDestinations[Type],MATCH(tblMovement[[#This Row],[Destination]],tblDestinations[Destination],0)),"?"))</f>
        <v/>
      </c>
      <c r="M4971" s="64">
        <f>IF(tblMovement[[#This Row],[Material]]="","",IF(LEFT(tblMovement[[#This Row],[Material]],3)="Ore",1,0))</f>
        <v/>
      </c>
      <c r="N4971" s="59">
        <f>IF(OR(tblMovement[[#This Row],[Tonnes_t]]="",tblMovement[[#This Row],[Grade_gpt]]=""),0,tblMovement[[#This Row],[Tonnes_t]]*tblMovement[[#This Row],[Grade_gpt]]/cfg_TroyOz)</f>
        <v/>
      </c>
      <c r="O4971" s="59">
        <f>IF(tblMovement[[#This Row],[Is_Ore]]=1,tblMovement[[#This Row],[Contained_oz]],0)</f>
        <v/>
      </c>
    </row>
    <row r="4972">
      <c r="A4972" s="54" t="n"/>
      <c r="B4972" s="61" t="n"/>
      <c r="C4972" s="61" t="n"/>
      <c r="D4972" s="61" t="n"/>
      <c r="E4972" s="61" t="n"/>
      <c r="F4972" s="55" t="n"/>
      <c r="G4972" s="56" t="n"/>
      <c r="H4972" s="55" t="n"/>
      <c r="I4972" s="62" t="n"/>
      <c r="J4972" s="58" t="n"/>
      <c r="K4972" s="63">
        <f>IF(tblMovement[[#This Row],[Source]]="","",IFERROR(INDEX(tblSources[Type],MATCH(tblMovement[[#This Row],[Source]],tblSources[Source],0)),"?"))</f>
        <v/>
      </c>
      <c r="L4972" s="63">
        <f>IF(tblMovement[[#This Row],[Destination]]="","",IFERROR(INDEX(tblDestinations[Type],MATCH(tblMovement[[#This Row],[Destination]],tblDestinations[Destination],0)),"?"))</f>
        <v/>
      </c>
      <c r="M4972" s="64">
        <f>IF(tblMovement[[#This Row],[Material]]="","",IF(LEFT(tblMovement[[#This Row],[Material]],3)="Ore",1,0))</f>
        <v/>
      </c>
      <c r="N4972" s="59">
        <f>IF(OR(tblMovement[[#This Row],[Tonnes_t]]="",tblMovement[[#This Row],[Grade_gpt]]=""),0,tblMovement[[#This Row],[Tonnes_t]]*tblMovement[[#This Row],[Grade_gpt]]/cfg_TroyOz)</f>
        <v/>
      </c>
      <c r="O4972" s="59">
        <f>IF(tblMovement[[#This Row],[Is_Ore]]=1,tblMovement[[#This Row],[Contained_oz]],0)</f>
        <v/>
      </c>
    </row>
    <row r="4973">
      <c r="A4973" s="54" t="n"/>
      <c r="B4973" s="61" t="n"/>
      <c r="C4973" s="61" t="n"/>
      <c r="D4973" s="61" t="n"/>
      <c r="E4973" s="61" t="n"/>
      <c r="F4973" s="55" t="n"/>
      <c r="G4973" s="56" t="n"/>
      <c r="H4973" s="55" t="n"/>
      <c r="I4973" s="62" t="n"/>
      <c r="J4973" s="58" t="n"/>
      <c r="K4973" s="63">
        <f>IF(tblMovement[[#This Row],[Source]]="","",IFERROR(INDEX(tblSources[Type],MATCH(tblMovement[[#This Row],[Source]],tblSources[Source],0)),"?"))</f>
        <v/>
      </c>
      <c r="L4973" s="63">
        <f>IF(tblMovement[[#This Row],[Destination]]="","",IFERROR(INDEX(tblDestinations[Type],MATCH(tblMovement[[#This Row],[Destination]],tblDestinations[Destination],0)),"?"))</f>
        <v/>
      </c>
      <c r="M4973" s="64">
        <f>IF(tblMovement[[#This Row],[Material]]="","",IF(LEFT(tblMovement[[#This Row],[Material]],3)="Ore",1,0))</f>
        <v/>
      </c>
      <c r="N4973" s="59">
        <f>IF(OR(tblMovement[[#This Row],[Tonnes_t]]="",tblMovement[[#This Row],[Grade_gpt]]=""),0,tblMovement[[#This Row],[Tonnes_t]]*tblMovement[[#This Row],[Grade_gpt]]/cfg_TroyOz)</f>
        <v/>
      </c>
      <c r="O4973" s="59">
        <f>IF(tblMovement[[#This Row],[Is_Ore]]=1,tblMovement[[#This Row],[Contained_oz]],0)</f>
        <v/>
      </c>
    </row>
    <row r="4974">
      <c r="A4974" s="54" t="n"/>
      <c r="B4974" s="61" t="n"/>
      <c r="C4974" s="61" t="n"/>
      <c r="D4974" s="61" t="n"/>
      <c r="E4974" s="61" t="n"/>
      <c r="F4974" s="55" t="n"/>
      <c r="G4974" s="56" t="n"/>
      <c r="H4974" s="55" t="n"/>
      <c r="I4974" s="62" t="n"/>
      <c r="J4974" s="58" t="n"/>
      <c r="K4974" s="63">
        <f>IF(tblMovement[[#This Row],[Source]]="","",IFERROR(INDEX(tblSources[Type],MATCH(tblMovement[[#This Row],[Source]],tblSources[Source],0)),"?"))</f>
        <v/>
      </c>
      <c r="L4974" s="63">
        <f>IF(tblMovement[[#This Row],[Destination]]="","",IFERROR(INDEX(tblDestinations[Type],MATCH(tblMovement[[#This Row],[Destination]],tblDestinations[Destination],0)),"?"))</f>
        <v/>
      </c>
      <c r="M4974" s="64">
        <f>IF(tblMovement[[#This Row],[Material]]="","",IF(LEFT(tblMovement[[#This Row],[Material]],3)="Ore",1,0))</f>
        <v/>
      </c>
      <c r="N4974" s="59">
        <f>IF(OR(tblMovement[[#This Row],[Tonnes_t]]="",tblMovement[[#This Row],[Grade_gpt]]=""),0,tblMovement[[#This Row],[Tonnes_t]]*tblMovement[[#This Row],[Grade_gpt]]/cfg_TroyOz)</f>
        <v/>
      </c>
      <c r="O4974" s="59">
        <f>IF(tblMovement[[#This Row],[Is_Ore]]=1,tblMovement[[#This Row],[Contained_oz]],0)</f>
        <v/>
      </c>
    </row>
    <row r="4975">
      <c r="A4975" s="54" t="n"/>
      <c r="B4975" s="61" t="n"/>
      <c r="C4975" s="61" t="n"/>
      <c r="D4975" s="61" t="n"/>
      <c r="E4975" s="61" t="n"/>
      <c r="F4975" s="55" t="n"/>
      <c r="G4975" s="56" t="n"/>
      <c r="H4975" s="55" t="n"/>
      <c r="I4975" s="62" t="n"/>
      <c r="J4975" s="58" t="n"/>
      <c r="K4975" s="63">
        <f>IF(tblMovement[[#This Row],[Source]]="","",IFERROR(INDEX(tblSources[Type],MATCH(tblMovement[[#This Row],[Source]],tblSources[Source],0)),"?"))</f>
        <v/>
      </c>
      <c r="L4975" s="63">
        <f>IF(tblMovement[[#This Row],[Destination]]="","",IFERROR(INDEX(tblDestinations[Type],MATCH(tblMovement[[#This Row],[Destination]],tblDestinations[Destination],0)),"?"))</f>
        <v/>
      </c>
      <c r="M4975" s="64">
        <f>IF(tblMovement[[#This Row],[Material]]="","",IF(LEFT(tblMovement[[#This Row],[Material]],3)="Ore",1,0))</f>
        <v/>
      </c>
      <c r="N4975" s="59">
        <f>IF(OR(tblMovement[[#This Row],[Tonnes_t]]="",tblMovement[[#This Row],[Grade_gpt]]=""),0,tblMovement[[#This Row],[Tonnes_t]]*tblMovement[[#This Row],[Grade_gpt]]/cfg_TroyOz)</f>
        <v/>
      </c>
      <c r="O4975" s="59">
        <f>IF(tblMovement[[#This Row],[Is_Ore]]=1,tblMovement[[#This Row],[Contained_oz]],0)</f>
        <v/>
      </c>
    </row>
    <row r="4976">
      <c r="A4976" s="54" t="n"/>
      <c r="B4976" s="61" t="n"/>
      <c r="C4976" s="61" t="n"/>
      <c r="D4976" s="61" t="n"/>
      <c r="E4976" s="61" t="n"/>
      <c r="F4976" s="55" t="n"/>
      <c r="G4976" s="56" t="n"/>
      <c r="H4976" s="55" t="n"/>
      <c r="I4976" s="62" t="n"/>
      <c r="J4976" s="58" t="n"/>
      <c r="K4976" s="63">
        <f>IF(tblMovement[[#This Row],[Source]]="","",IFERROR(INDEX(tblSources[Type],MATCH(tblMovement[[#This Row],[Source]],tblSources[Source],0)),"?"))</f>
        <v/>
      </c>
      <c r="L4976" s="63">
        <f>IF(tblMovement[[#This Row],[Destination]]="","",IFERROR(INDEX(tblDestinations[Type],MATCH(tblMovement[[#This Row],[Destination]],tblDestinations[Destination],0)),"?"))</f>
        <v/>
      </c>
      <c r="M4976" s="64">
        <f>IF(tblMovement[[#This Row],[Material]]="","",IF(LEFT(tblMovement[[#This Row],[Material]],3)="Ore",1,0))</f>
        <v/>
      </c>
      <c r="N4976" s="59">
        <f>IF(OR(tblMovement[[#This Row],[Tonnes_t]]="",tblMovement[[#This Row],[Grade_gpt]]=""),0,tblMovement[[#This Row],[Tonnes_t]]*tblMovement[[#This Row],[Grade_gpt]]/cfg_TroyOz)</f>
        <v/>
      </c>
      <c r="O4976" s="59">
        <f>IF(tblMovement[[#This Row],[Is_Ore]]=1,tblMovement[[#This Row],[Contained_oz]],0)</f>
        <v/>
      </c>
    </row>
    <row r="4977">
      <c r="A4977" s="54" t="n"/>
      <c r="B4977" s="61" t="n"/>
      <c r="C4977" s="61" t="n"/>
      <c r="D4977" s="61" t="n"/>
      <c r="E4977" s="61" t="n"/>
      <c r="F4977" s="55" t="n"/>
      <c r="G4977" s="56" t="n"/>
      <c r="H4977" s="55" t="n"/>
      <c r="I4977" s="62" t="n"/>
      <c r="J4977" s="58" t="n"/>
      <c r="K4977" s="63">
        <f>IF(tblMovement[[#This Row],[Source]]="","",IFERROR(INDEX(tblSources[Type],MATCH(tblMovement[[#This Row],[Source]],tblSources[Source],0)),"?"))</f>
        <v/>
      </c>
      <c r="L4977" s="63">
        <f>IF(tblMovement[[#This Row],[Destination]]="","",IFERROR(INDEX(tblDestinations[Type],MATCH(tblMovement[[#This Row],[Destination]],tblDestinations[Destination],0)),"?"))</f>
        <v/>
      </c>
      <c r="M4977" s="64">
        <f>IF(tblMovement[[#This Row],[Material]]="","",IF(LEFT(tblMovement[[#This Row],[Material]],3)="Ore",1,0))</f>
        <v/>
      </c>
      <c r="N4977" s="59">
        <f>IF(OR(tblMovement[[#This Row],[Tonnes_t]]="",tblMovement[[#This Row],[Grade_gpt]]=""),0,tblMovement[[#This Row],[Tonnes_t]]*tblMovement[[#This Row],[Grade_gpt]]/cfg_TroyOz)</f>
        <v/>
      </c>
      <c r="O4977" s="59">
        <f>IF(tblMovement[[#This Row],[Is_Ore]]=1,tblMovement[[#This Row],[Contained_oz]],0)</f>
        <v/>
      </c>
    </row>
    <row r="4978">
      <c r="A4978" s="54" t="n"/>
      <c r="B4978" s="61" t="n"/>
      <c r="C4978" s="61" t="n"/>
      <c r="D4978" s="61" t="n"/>
      <c r="E4978" s="61" t="n"/>
      <c r="F4978" s="55" t="n"/>
      <c r="G4978" s="56" t="n"/>
      <c r="H4978" s="55" t="n"/>
      <c r="I4978" s="62" t="n"/>
      <c r="J4978" s="58" t="n"/>
      <c r="K4978" s="63">
        <f>IF(tblMovement[[#This Row],[Source]]="","",IFERROR(INDEX(tblSources[Type],MATCH(tblMovement[[#This Row],[Source]],tblSources[Source],0)),"?"))</f>
        <v/>
      </c>
      <c r="L4978" s="63">
        <f>IF(tblMovement[[#This Row],[Destination]]="","",IFERROR(INDEX(tblDestinations[Type],MATCH(tblMovement[[#This Row],[Destination]],tblDestinations[Destination],0)),"?"))</f>
        <v/>
      </c>
      <c r="M4978" s="64">
        <f>IF(tblMovement[[#This Row],[Material]]="","",IF(LEFT(tblMovement[[#This Row],[Material]],3)="Ore",1,0))</f>
        <v/>
      </c>
      <c r="N4978" s="59">
        <f>IF(OR(tblMovement[[#This Row],[Tonnes_t]]="",tblMovement[[#This Row],[Grade_gpt]]=""),0,tblMovement[[#This Row],[Tonnes_t]]*tblMovement[[#This Row],[Grade_gpt]]/cfg_TroyOz)</f>
        <v/>
      </c>
      <c r="O4978" s="59">
        <f>IF(tblMovement[[#This Row],[Is_Ore]]=1,tblMovement[[#This Row],[Contained_oz]],0)</f>
        <v/>
      </c>
    </row>
    <row r="4979">
      <c r="A4979" s="54" t="n"/>
      <c r="B4979" s="61" t="n"/>
      <c r="C4979" s="61" t="n"/>
      <c r="D4979" s="61" t="n"/>
      <c r="E4979" s="61" t="n"/>
      <c r="F4979" s="55" t="n"/>
      <c r="G4979" s="56" t="n"/>
      <c r="H4979" s="55" t="n"/>
      <c r="I4979" s="62" t="n"/>
      <c r="J4979" s="58" t="n"/>
      <c r="K4979" s="63">
        <f>IF(tblMovement[[#This Row],[Source]]="","",IFERROR(INDEX(tblSources[Type],MATCH(tblMovement[[#This Row],[Source]],tblSources[Source],0)),"?"))</f>
        <v/>
      </c>
      <c r="L4979" s="63">
        <f>IF(tblMovement[[#This Row],[Destination]]="","",IFERROR(INDEX(tblDestinations[Type],MATCH(tblMovement[[#This Row],[Destination]],tblDestinations[Destination],0)),"?"))</f>
        <v/>
      </c>
      <c r="M4979" s="64">
        <f>IF(tblMovement[[#This Row],[Material]]="","",IF(LEFT(tblMovement[[#This Row],[Material]],3)="Ore",1,0))</f>
        <v/>
      </c>
      <c r="N4979" s="59">
        <f>IF(OR(tblMovement[[#This Row],[Tonnes_t]]="",tblMovement[[#This Row],[Grade_gpt]]=""),0,tblMovement[[#This Row],[Tonnes_t]]*tblMovement[[#This Row],[Grade_gpt]]/cfg_TroyOz)</f>
        <v/>
      </c>
      <c r="O4979" s="59">
        <f>IF(tblMovement[[#This Row],[Is_Ore]]=1,tblMovement[[#This Row],[Contained_oz]],0)</f>
        <v/>
      </c>
    </row>
    <row r="4980">
      <c r="A4980" s="54" t="n"/>
      <c r="B4980" s="61" t="n"/>
      <c r="C4980" s="61" t="n"/>
      <c r="D4980" s="61" t="n"/>
      <c r="E4980" s="61" t="n"/>
      <c r="F4980" s="55" t="n"/>
      <c r="G4980" s="56" t="n"/>
      <c r="H4980" s="55" t="n"/>
      <c r="I4980" s="62" t="n"/>
      <c r="J4980" s="58" t="n"/>
      <c r="K4980" s="63">
        <f>IF(tblMovement[[#This Row],[Source]]="","",IFERROR(INDEX(tblSources[Type],MATCH(tblMovement[[#This Row],[Source]],tblSources[Source],0)),"?"))</f>
        <v/>
      </c>
      <c r="L4980" s="63">
        <f>IF(tblMovement[[#This Row],[Destination]]="","",IFERROR(INDEX(tblDestinations[Type],MATCH(tblMovement[[#This Row],[Destination]],tblDestinations[Destination],0)),"?"))</f>
        <v/>
      </c>
      <c r="M4980" s="64">
        <f>IF(tblMovement[[#This Row],[Material]]="","",IF(LEFT(tblMovement[[#This Row],[Material]],3)="Ore",1,0))</f>
        <v/>
      </c>
      <c r="N4980" s="59">
        <f>IF(OR(tblMovement[[#This Row],[Tonnes_t]]="",tblMovement[[#This Row],[Grade_gpt]]=""),0,tblMovement[[#This Row],[Tonnes_t]]*tblMovement[[#This Row],[Grade_gpt]]/cfg_TroyOz)</f>
        <v/>
      </c>
      <c r="O4980" s="59">
        <f>IF(tblMovement[[#This Row],[Is_Ore]]=1,tblMovement[[#This Row],[Contained_oz]],0)</f>
        <v/>
      </c>
    </row>
    <row r="4981">
      <c r="A4981" s="54" t="n"/>
      <c r="B4981" s="61" t="n"/>
      <c r="C4981" s="61" t="n"/>
      <c r="D4981" s="61" t="n"/>
      <c r="E4981" s="61" t="n"/>
      <c r="F4981" s="55" t="n"/>
      <c r="G4981" s="56" t="n"/>
      <c r="H4981" s="55" t="n"/>
      <c r="I4981" s="62" t="n"/>
      <c r="J4981" s="58" t="n"/>
      <c r="K4981" s="63">
        <f>IF(tblMovement[[#This Row],[Source]]="","",IFERROR(INDEX(tblSources[Type],MATCH(tblMovement[[#This Row],[Source]],tblSources[Source],0)),"?"))</f>
        <v/>
      </c>
      <c r="L4981" s="63">
        <f>IF(tblMovement[[#This Row],[Destination]]="","",IFERROR(INDEX(tblDestinations[Type],MATCH(tblMovement[[#This Row],[Destination]],tblDestinations[Destination],0)),"?"))</f>
        <v/>
      </c>
      <c r="M4981" s="64">
        <f>IF(tblMovement[[#This Row],[Material]]="","",IF(LEFT(tblMovement[[#This Row],[Material]],3)="Ore",1,0))</f>
        <v/>
      </c>
      <c r="N4981" s="59">
        <f>IF(OR(tblMovement[[#This Row],[Tonnes_t]]="",tblMovement[[#This Row],[Grade_gpt]]=""),0,tblMovement[[#This Row],[Tonnes_t]]*tblMovement[[#This Row],[Grade_gpt]]/cfg_TroyOz)</f>
        <v/>
      </c>
      <c r="O4981" s="59">
        <f>IF(tblMovement[[#This Row],[Is_Ore]]=1,tblMovement[[#This Row],[Contained_oz]],0)</f>
        <v/>
      </c>
    </row>
    <row r="4982">
      <c r="A4982" s="54" t="n"/>
      <c r="B4982" s="61" t="n"/>
      <c r="C4982" s="61" t="n"/>
      <c r="D4982" s="61" t="n"/>
      <c r="E4982" s="61" t="n"/>
      <c r="F4982" s="55" t="n"/>
      <c r="G4982" s="56" t="n"/>
      <c r="H4982" s="55" t="n"/>
      <c r="I4982" s="62" t="n"/>
      <c r="J4982" s="58" t="n"/>
      <c r="K4982" s="63">
        <f>IF(tblMovement[[#This Row],[Source]]="","",IFERROR(INDEX(tblSources[Type],MATCH(tblMovement[[#This Row],[Source]],tblSources[Source],0)),"?"))</f>
        <v/>
      </c>
      <c r="L4982" s="63">
        <f>IF(tblMovement[[#This Row],[Destination]]="","",IFERROR(INDEX(tblDestinations[Type],MATCH(tblMovement[[#This Row],[Destination]],tblDestinations[Destination],0)),"?"))</f>
        <v/>
      </c>
      <c r="M4982" s="64">
        <f>IF(tblMovement[[#This Row],[Material]]="","",IF(LEFT(tblMovement[[#This Row],[Material]],3)="Ore",1,0))</f>
        <v/>
      </c>
      <c r="N4982" s="59">
        <f>IF(OR(tblMovement[[#This Row],[Tonnes_t]]="",tblMovement[[#This Row],[Grade_gpt]]=""),0,tblMovement[[#This Row],[Tonnes_t]]*tblMovement[[#This Row],[Grade_gpt]]/cfg_TroyOz)</f>
        <v/>
      </c>
      <c r="O4982" s="59">
        <f>IF(tblMovement[[#This Row],[Is_Ore]]=1,tblMovement[[#This Row],[Contained_oz]],0)</f>
        <v/>
      </c>
    </row>
    <row r="4983">
      <c r="A4983" s="54" t="n"/>
      <c r="B4983" s="61" t="n"/>
      <c r="C4983" s="61" t="n"/>
      <c r="D4983" s="61" t="n"/>
      <c r="E4983" s="61" t="n"/>
      <c r="F4983" s="55" t="n"/>
      <c r="G4983" s="56" t="n"/>
      <c r="H4983" s="55" t="n"/>
      <c r="I4983" s="62" t="n"/>
      <c r="J4983" s="58" t="n"/>
      <c r="K4983" s="63">
        <f>IF(tblMovement[[#This Row],[Source]]="","",IFERROR(INDEX(tblSources[Type],MATCH(tblMovement[[#This Row],[Source]],tblSources[Source],0)),"?"))</f>
        <v/>
      </c>
      <c r="L4983" s="63">
        <f>IF(tblMovement[[#This Row],[Destination]]="","",IFERROR(INDEX(tblDestinations[Type],MATCH(tblMovement[[#This Row],[Destination]],tblDestinations[Destination],0)),"?"))</f>
        <v/>
      </c>
      <c r="M4983" s="64">
        <f>IF(tblMovement[[#This Row],[Material]]="","",IF(LEFT(tblMovement[[#This Row],[Material]],3)="Ore",1,0))</f>
        <v/>
      </c>
      <c r="N4983" s="59">
        <f>IF(OR(tblMovement[[#This Row],[Tonnes_t]]="",tblMovement[[#This Row],[Grade_gpt]]=""),0,tblMovement[[#This Row],[Tonnes_t]]*tblMovement[[#This Row],[Grade_gpt]]/cfg_TroyOz)</f>
        <v/>
      </c>
      <c r="O4983" s="59">
        <f>IF(tblMovement[[#This Row],[Is_Ore]]=1,tblMovement[[#This Row],[Contained_oz]],0)</f>
        <v/>
      </c>
    </row>
    <row r="4984">
      <c r="A4984" s="54" t="n"/>
      <c r="B4984" s="61" t="n"/>
      <c r="C4984" s="61" t="n"/>
      <c r="D4984" s="61" t="n"/>
      <c r="E4984" s="61" t="n"/>
      <c r="F4984" s="55" t="n"/>
      <c r="G4984" s="56" t="n"/>
      <c r="H4984" s="55" t="n"/>
      <c r="I4984" s="62" t="n"/>
      <c r="J4984" s="58" t="n"/>
      <c r="K4984" s="63">
        <f>IF(tblMovement[[#This Row],[Source]]="","",IFERROR(INDEX(tblSources[Type],MATCH(tblMovement[[#This Row],[Source]],tblSources[Source],0)),"?"))</f>
        <v/>
      </c>
      <c r="L4984" s="63">
        <f>IF(tblMovement[[#This Row],[Destination]]="","",IFERROR(INDEX(tblDestinations[Type],MATCH(tblMovement[[#This Row],[Destination]],tblDestinations[Destination],0)),"?"))</f>
        <v/>
      </c>
      <c r="M4984" s="64">
        <f>IF(tblMovement[[#This Row],[Material]]="","",IF(LEFT(tblMovement[[#This Row],[Material]],3)="Ore",1,0))</f>
        <v/>
      </c>
      <c r="N4984" s="59">
        <f>IF(OR(tblMovement[[#This Row],[Tonnes_t]]="",tblMovement[[#This Row],[Grade_gpt]]=""),0,tblMovement[[#This Row],[Tonnes_t]]*tblMovement[[#This Row],[Grade_gpt]]/cfg_TroyOz)</f>
        <v/>
      </c>
      <c r="O4984" s="59">
        <f>IF(tblMovement[[#This Row],[Is_Ore]]=1,tblMovement[[#This Row],[Contained_oz]],0)</f>
        <v/>
      </c>
    </row>
    <row r="4985">
      <c r="A4985" s="54" t="n"/>
      <c r="B4985" s="61" t="n"/>
      <c r="C4985" s="61" t="n"/>
      <c r="D4985" s="61" t="n"/>
      <c r="E4985" s="61" t="n"/>
      <c r="F4985" s="55" t="n"/>
      <c r="G4985" s="56" t="n"/>
      <c r="H4985" s="55" t="n"/>
      <c r="I4985" s="62" t="n"/>
      <c r="J4985" s="58" t="n"/>
      <c r="K4985" s="63">
        <f>IF(tblMovement[[#This Row],[Source]]="","",IFERROR(INDEX(tblSources[Type],MATCH(tblMovement[[#This Row],[Source]],tblSources[Source],0)),"?"))</f>
        <v/>
      </c>
      <c r="L4985" s="63">
        <f>IF(tblMovement[[#This Row],[Destination]]="","",IFERROR(INDEX(tblDestinations[Type],MATCH(tblMovement[[#This Row],[Destination]],tblDestinations[Destination],0)),"?"))</f>
        <v/>
      </c>
      <c r="M4985" s="64">
        <f>IF(tblMovement[[#This Row],[Material]]="","",IF(LEFT(tblMovement[[#This Row],[Material]],3)="Ore",1,0))</f>
        <v/>
      </c>
      <c r="N4985" s="59">
        <f>IF(OR(tblMovement[[#This Row],[Tonnes_t]]="",tblMovement[[#This Row],[Grade_gpt]]=""),0,tblMovement[[#This Row],[Tonnes_t]]*tblMovement[[#This Row],[Grade_gpt]]/cfg_TroyOz)</f>
        <v/>
      </c>
      <c r="O4985" s="59">
        <f>IF(tblMovement[[#This Row],[Is_Ore]]=1,tblMovement[[#This Row],[Contained_oz]],0)</f>
        <v/>
      </c>
    </row>
    <row r="4986">
      <c r="A4986" s="54" t="n"/>
      <c r="B4986" s="61" t="n"/>
      <c r="C4986" s="61" t="n"/>
      <c r="D4986" s="61" t="n"/>
      <c r="E4986" s="61" t="n"/>
      <c r="F4986" s="55" t="n"/>
      <c r="G4986" s="56" t="n"/>
      <c r="H4986" s="55" t="n"/>
      <c r="I4986" s="62" t="n"/>
      <c r="J4986" s="58" t="n"/>
      <c r="K4986" s="63">
        <f>IF(tblMovement[[#This Row],[Source]]="","",IFERROR(INDEX(tblSources[Type],MATCH(tblMovement[[#This Row],[Source]],tblSources[Source],0)),"?"))</f>
        <v/>
      </c>
      <c r="L4986" s="63">
        <f>IF(tblMovement[[#This Row],[Destination]]="","",IFERROR(INDEX(tblDestinations[Type],MATCH(tblMovement[[#This Row],[Destination]],tblDestinations[Destination],0)),"?"))</f>
        <v/>
      </c>
      <c r="M4986" s="64">
        <f>IF(tblMovement[[#This Row],[Material]]="","",IF(LEFT(tblMovement[[#This Row],[Material]],3)="Ore",1,0))</f>
        <v/>
      </c>
      <c r="N4986" s="59">
        <f>IF(OR(tblMovement[[#This Row],[Tonnes_t]]="",tblMovement[[#This Row],[Grade_gpt]]=""),0,tblMovement[[#This Row],[Tonnes_t]]*tblMovement[[#This Row],[Grade_gpt]]/cfg_TroyOz)</f>
        <v/>
      </c>
      <c r="O4986" s="59">
        <f>IF(tblMovement[[#This Row],[Is_Ore]]=1,tblMovement[[#This Row],[Contained_oz]],0)</f>
        <v/>
      </c>
    </row>
    <row r="4987">
      <c r="A4987" s="54" t="n"/>
      <c r="B4987" s="61" t="n"/>
      <c r="C4987" s="61" t="n"/>
      <c r="D4987" s="61" t="n"/>
      <c r="E4987" s="61" t="n"/>
      <c r="F4987" s="55" t="n"/>
      <c r="G4987" s="56" t="n"/>
      <c r="H4987" s="55" t="n"/>
      <c r="I4987" s="62" t="n"/>
      <c r="J4987" s="58" t="n"/>
      <c r="K4987" s="63">
        <f>IF(tblMovement[[#This Row],[Source]]="","",IFERROR(INDEX(tblSources[Type],MATCH(tblMovement[[#This Row],[Source]],tblSources[Source],0)),"?"))</f>
        <v/>
      </c>
      <c r="L4987" s="63">
        <f>IF(tblMovement[[#This Row],[Destination]]="","",IFERROR(INDEX(tblDestinations[Type],MATCH(tblMovement[[#This Row],[Destination]],tblDestinations[Destination],0)),"?"))</f>
        <v/>
      </c>
      <c r="M4987" s="64">
        <f>IF(tblMovement[[#This Row],[Material]]="","",IF(LEFT(tblMovement[[#This Row],[Material]],3)="Ore",1,0))</f>
        <v/>
      </c>
      <c r="N4987" s="59">
        <f>IF(OR(tblMovement[[#This Row],[Tonnes_t]]="",tblMovement[[#This Row],[Grade_gpt]]=""),0,tblMovement[[#This Row],[Tonnes_t]]*tblMovement[[#This Row],[Grade_gpt]]/cfg_TroyOz)</f>
        <v/>
      </c>
      <c r="O4987" s="59">
        <f>IF(tblMovement[[#This Row],[Is_Ore]]=1,tblMovement[[#This Row],[Contained_oz]],0)</f>
        <v/>
      </c>
    </row>
    <row r="4988">
      <c r="A4988" s="54" t="n"/>
      <c r="B4988" s="61" t="n"/>
      <c r="C4988" s="61" t="n"/>
      <c r="D4988" s="61" t="n"/>
      <c r="E4988" s="61" t="n"/>
      <c r="F4988" s="55" t="n"/>
      <c r="G4988" s="56" t="n"/>
      <c r="H4988" s="55" t="n"/>
      <c r="I4988" s="62" t="n"/>
      <c r="J4988" s="58" t="n"/>
      <c r="K4988" s="63">
        <f>IF(tblMovement[[#This Row],[Source]]="","",IFERROR(INDEX(tblSources[Type],MATCH(tblMovement[[#This Row],[Source]],tblSources[Source],0)),"?"))</f>
        <v/>
      </c>
      <c r="L4988" s="63">
        <f>IF(tblMovement[[#This Row],[Destination]]="","",IFERROR(INDEX(tblDestinations[Type],MATCH(tblMovement[[#This Row],[Destination]],tblDestinations[Destination],0)),"?"))</f>
        <v/>
      </c>
      <c r="M4988" s="64">
        <f>IF(tblMovement[[#This Row],[Material]]="","",IF(LEFT(tblMovement[[#This Row],[Material]],3)="Ore",1,0))</f>
        <v/>
      </c>
      <c r="N4988" s="59">
        <f>IF(OR(tblMovement[[#This Row],[Tonnes_t]]="",tblMovement[[#This Row],[Grade_gpt]]=""),0,tblMovement[[#This Row],[Tonnes_t]]*tblMovement[[#This Row],[Grade_gpt]]/cfg_TroyOz)</f>
        <v/>
      </c>
      <c r="O4988" s="59">
        <f>IF(tblMovement[[#This Row],[Is_Ore]]=1,tblMovement[[#This Row],[Contained_oz]],0)</f>
        <v/>
      </c>
    </row>
    <row r="4989">
      <c r="A4989" s="54" t="n"/>
      <c r="B4989" s="61" t="n"/>
      <c r="C4989" s="61" t="n"/>
      <c r="D4989" s="61" t="n"/>
      <c r="E4989" s="61" t="n"/>
      <c r="F4989" s="55" t="n"/>
      <c r="G4989" s="56" t="n"/>
      <c r="H4989" s="55" t="n"/>
      <c r="I4989" s="62" t="n"/>
      <c r="J4989" s="58" t="n"/>
      <c r="K4989" s="63">
        <f>IF(tblMovement[[#This Row],[Source]]="","",IFERROR(INDEX(tblSources[Type],MATCH(tblMovement[[#This Row],[Source]],tblSources[Source],0)),"?"))</f>
        <v/>
      </c>
      <c r="L4989" s="63">
        <f>IF(tblMovement[[#This Row],[Destination]]="","",IFERROR(INDEX(tblDestinations[Type],MATCH(tblMovement[[#This Row],[Destination]],tblDestinations[Destination],0)),"?"))</f>
        <v/>
      </c>
      <c r="M4989" s="64">
        <f>IF(tblMovement[[#This Row],[Material]]="","",IF(LEFT(tblMovement[[#This Row],[Material]],3)="Ore",1,0))</f>
        <v/>
      </c>
      <c r="N4989" s="59">
        <f>IF(OR(tblMovement[[#This Row],[Tonnes_t]]="",tblMovement[[#This Row],[Grade_gpt]]=""),0,tblMovement[[#This Row],[Tonnes_t]]*tblMovement[[#This Row],[Grade_gpt]]/cfg_TroyOz)</f>
        <v/>
      </c>
      <c r="O4989" s="59">
        <f>IF(tblMovement[[#This Row],[Is_Ore]]=1,tblMovement[[#This Row],[Contained_oz]],0)</f>
        <v/>
      </c>
    </row>
    <row r="4990">
      <c r="A4990" s="54" t="n"/>
      <c r="B4990" s="61" t="n"/>
      <c r="C4990" s="61" t="n"/>
      <c r="D4990" s="61" t="n"/>
      <c r="E4990" s="61" t="n"/>
      <c r="F4990" s="55" t="n"/>
      <c r="G4990" s="56" t="n"/>
      <c r="H4990" s="55" t="n"/>
      <c r="I4990" s="62" t="n"/>
      <c r="J4990" s="58" t="n"/>
      <c r="K4990" s="63">
        <f>IF(tblMovement[[#This Row],[Source]]="","",IFERROR(INDEX(tblSources[Type],MATCH(tblMovement[[#This Row],[Source]],tblSources[Source],0)),"?"))</f>
        <v/>
      </c>
      <c r="L4990" s="63">
        <f>IF(tblMovement[[#This Row],[Destination]]="","",IFERROR(INDEX(tblDestinations[Type],MATCH(tblMovement[[#This Row],[Destination]],tblDestinations[Destination],0)),"?"))</f>
        <v/>
      </c>
      <c r="M4990" s="64">
        <f>IF(tblMovement[[#This Row],[Material]]="","",IF(LEFT(tblMovement[[#This Row],[Material]],3)="Ore",1,0))</f>
        <v/>
      </c>
      <c r="N4990" s="59">
        <f>IF(OR(tblMovement[[#This Row],[Tonnes_t]]="",tblMovement[[#This Row],[Grade_gpt]]=""),0,tblMovement[[#This Row],[Tonnes_t]]*tblMovement[[#This Row],[Grade_gpt]]/cfg_TroyOz)</f>
        <v/>
      </c>
      <c r="O4990" s="59">
        <f>IF(tblMovement[[#This Row],[Is_Ore]]=1,tblMovement[[#This Row],[Contained_oz]],0)</f>
        <v/>
      </c>
    </row>
    <row r="4991">
      <c r="A4991" s="54" t="n"/>
      <c r="B4991" s="61" t="n"/>
      <c r="C4991" s="61" t="n"/>
      <c r="D4991" s="61" t="n"/>
      <c r="E4991" s="61" t="n"/>
      <c r="F4991" s="55" t="n"/>
      <c r="G4991" s="56" t="n"/>
      <c r="H4991" s="55" t="n"/>
      <c r="I4991" s="62" t="n"/>
      <c r="J4991" s="58" t="n"/>
      <c r="K4991" s="63">
        <f>IF(tblMovement[[#This Row],[Source]]="","",IFERROR(INDEX(tblSources[Type],MATCH(tblMovement[[#This Row],[Source]],tblSources[Source],0)),"?"))</f>
        <v/>
      </c>
      <c r="L4991" s="63">
        <f>IF(tblMovement[[#This Row],[Destination]]="","",IFERROR(INDEX(tblDestinations[Type],MATCH(tblMovement[[#This Row],[Destination]],tblDestinations[Destination],0)),"?"))</f>
        <v/>
      </c>
      <c r="M4991" s="64">
        <f>IF(tblMovement[[#This Row],[Material]]="","",IF(LEFT(tblMovement[[#This Row],[Material]],3)="Ore",1,0))</f>
        <v/>
      </c>
      <c r="N4991" s="59">
        <f>IF(OR(tblMovement[[#This Row],[Tonnes_t]]="",tblMovement[[#This Row],[Grade_gpt]]=""),0,tblMovement[[#This Row],[Tonnes_t]]*tblMovement[[#This Row],[Grade_gpt]]/cfg_TroyOz)</f>
        <v/>
      </c>
      <c r="O4991" s="59">
        <f>IF(tblMovement[[#This Row],[Is_Ore]]=1,tblMovement[[#This Row],[Contained_oz]],0)</f>
        <v/>
      </c>
    </row>
    <row r="4992">
      <c r="A4992" s="54" t="n"/>
      <c r="B4992" s="61" t="n"/>
      <c r="C4992" s="61" t="n"/>
      <c r="D4992" s="61" t="n"/>
      <c r="E4992" s="61" t="n"/>
      <c r="F4992" s="55" t="n"/>
      <c r="G4992" s="56" t="n"/>
      <c r="H4992" s="55" t="n"/>
      <c r="I4992" s="62" t="n"/>
      <c r="J4992" s="58" t="n"/>
      <c r="K4992" s="63">
        <f>IF(tblMovement[[#This Row],[Source]]="","",IFERROR(INDEX(tblSources[Type],MATCH(tblMovement[[#This Row],[Source]],tblSources[Source],0)),"?"))</f>
        <v/>
      </c>
      <c r="L4992" s="63">
        <f>IF(tblMovement[[#This Row],[Destination]]="","",IFERROR(INDEX(tblDestinations[Type],MATCH(tblMovement[[#This Row],[Destination]],tblDestinations[Destination],0)),"?"))</f>
        <v/>
      </c>
      <c r="M4992" s="64">
        <f>IF(tblMovement[[#This Row],[Material]]="","",IF(LEFT(tblMovement[[#This Row],[Material]],3)="Ore",1,0))</f>
        <v/>
      </c>
      <c r="N4992" s="59">
        <f>IF(OR(tblMovement[[#This Row],[Tonnes_t]]="",tblMovement[[#This Row],[Grade_gpt]]=""),0,tblMovement[[#This Row],[Tonnes_t]]*tblMovement[[#This Row],[Grade_gpt]]/cfg_TroyOz)</f>
        <v/>
      </c>
      <c r="O4992" s="59">
        <f>IF(tblMovement[[#This Row],[Is_Ore]]=1,tblMovement[[#This Row],[Contained_oz]],0)</f>
        <v/>
      </c>
    </row>
    <row r="4993">
      <c r="A4993" s="54" t="n"/>
      <c r="B4993" s="61" t="n"/>
      <c r="C4993" s="61" t="n"/>
      <c r="D4993" s="61" t="n"/>
      <c r="E4993" s="61" t="n"/>
      <c r="F4993" s="55" t="n"/>
      <c r="G4993" s="56" t="n"/>
      <c r="H4993" s="55" t="n"/>
      <c r="I4993" s="62" t="n"/>
      <c r="J4993" s="58" t="n"/>
      <c r="K4993" s="63">
        <f>IF(tblMovement[[#This Row],[Source]]="","",IFERROR(INDEX(tblSources[Type],MATCH(tblMovement[[#This Row],[Source]],tblSources[Source],0)),"?"))</f>
        <v/>
      </c>
      <c r="L4993" s="63">
        <f>IF(tblMovement[[#This Row],[Destination]]="","",IFERROR(INDEX(tblDestinations[Type],MATCH(tblMovement[[#This Row],[Destination]],tblDestinations[Destination],0)),"?"))</f>
        <v/>
      </c>
      <c r="M4993" s="64">
        <f>IF(tblMovement[[#This Row],[Material]]="","",IF(LEFT(tblMovement[[#This Row],[Material]],3)="Ore",1,0))</f>
        <v/>
      </c>
      <c r="N4993" s="59">
        <f>IF(OR(tblMovement[[#This Row],[Tonnes_t]]="",tblMovement[[#This Row],[Grade_gpt]]=""),0,tblMovement[[#This Row],[Tonnes_t]]*tblMovement[[#This Row],[Grade_gpt]]/cfg_TroyOz)</f>
        <v/>
      </c>
      <c r="O4993" s="59">
        <f>IF(tblMovement[[#This Row],[Is_Ore]]=1,tblMovement[[#This Row],[Contained_oz]],0)</f>
        <v/>
      </c>
    </row>
    <row r="4994">
      <c r="A4994" s="54" t="n"/>
      <c r="B4994" s="61" t="n"/>
      <c r="C4994" s="61" t="n"/>
      <c r="D4994" s="61" t="n"/>
      <c r="E4994" s="61" t="n"/>
      <c r="F4994" s="55" t="n"/>
      <c r="G4994" s="56" t="n"/>
      <c r="H4994" s="55" t="n"/>
      <c r="I4994" s="62" t="n"/>
      <c r="J4994" s="58" t="n"/>
      <c r="K4994" s="63">
        <f>IF(tblMovement[[#This Row],[Source]]="","",IFERROR(INDEX(tblSources[Type],MATCH(tblMovement[[#This Row],[Source]],tblSources[Source],0)),"?"))</f>
        <v/>
      </c>
      <c r="L4994" s="63">
        <f>IF(tblMovement[[#This Row],[Destination]]="","",IFERROR(INDEX(tblDestinations[Type],MATCH(tblMovement[[#This Row],[Destination]],tblDestinations[Destination],0)),"?"))</f>
        <v/>
      </c>
      <c r="M4994" s="64">
        <f>IF(tblMovement[[#This Row],[Material]]="","",IF(LEFT(tblMovement[[#This Row],[Material]],3)="Ore",1,0))</f>
        <v/>
      </c>
      <c r="N4994" s="59">
        <f>IF(OR(tblMovement[[#This Row],[Tonnes_t]]="",tblMovement[[#This Row],[Grade_gpt]]=""),0,tblMovement[[#This Row],[Tonnes_t]]*tblMovement[[#This Row],[Grade_gpt]]/cfg_TroyOz)</f>
        <v/>
      </c>
      <c r="O4994" s="59">
        <f>IF(tblMovement[[#This Row],[Is_Ore]]=1,tblMovement[[#This Row],[Contained_oz]],0)</f>
        <v/>
      </c>
    </row>
    <row r="4995">
      <c r="A4995" s="54" t="n"/>
      <c r="B4995" s="61" t="n"/>
      <c r="C4995" s="61" t="n"/>
      <c r="D4995" s="61" t="n"/>
      <c r="E4995" s="61" t="n"/>
      <c r="F4995" s="55" t="n"/>
      <c r="G4995" s="56" t="n"/>
      <c r="H4995" s="55" t="n"/>
      <c r="I4995" s="62" t="n"/>
      <c r="J4995" s="58" t="n"/>
      <c r="K4995" s="63">
        <f>IF(tblMovement[[#This Row],[Source]]="","",IFERROR(INDEX(tblSources[Type],MATCH(tblMovement[[#This Row],[Source]],tblSources[Source],0)),"?"))</f>
        <v/>
      </c>
      <c r="L4995" s="63">
        <f>IF(tblMovement[[#This Row],[Destination]]="","",IFERROR(INDEX(tblDestinations[Type],MATCH(tblMovement[[#This Row],[Destination]],tblDestinations[Destination],0)),"?"))</f>
        <v/>
      </c>
      <c r="M4995" s="64">
        <f>IF(tblMovement[[#This Row],[Material]]="","",IF(LEFT(tblMovement[[#This Row],[Material]],3)="Ore",1,0))</f>
        <v/>
      </c>
      <c r="N4995" s="59">
        <f>IF(OR(tblMovement[[#This Row],[Tonnes_t]]="",tblMovement[[#This Row],[Grade_gpt]]=""),0,tblMovement[[#This Row],[Tonnes_t]]*tblMovement[[#This Row],[Grade_gpt]]/cfg_TroyOz)</f>
        <v/>
      </c>
      <c r="O4995" s="59">
        <f>IF(tblMovement[[#This Row],[Is_Ore]]=1,tblMovement[[#This Row],[Contained_oz]],0)</f>
        <v/>
      </c>
    </row>
    <row r="4996">
      <c r="A4996" s="54" t="n"/>
      <c r="B4996" s="61" t="n"/>
      <c r="C4996" s="61" t="n"/>
      <c r="D4996" s="61" t="n"/>
      <c r="E4996" s="61" t="n"/>
      <c r="F4996" s="55" t="n"/>
      <c r="G4996" s="56" t="n"/>
      <c r="H4996" s="55" t="n"/>
      <c r="I4996" s="62" t="n"/>
      <c r="J4996" s="58" t="n"/>
      <c r="K4996" s="63">
        <f>IF(tblMovement[[#This Row],[Source]]="","",IFERROR(INDEX(tblSources[Type],MATCH(tblMovement[[#This Row],[Source]],tblSources[Source],0)),"?"))</f>
        <v/>
      </c>
      <c r="L4996" s="63">
        <f>IF(tblMovement[[#This Row],[Destination]]="","",IFERROR(INDEX(tblDestinations[Type],MATCH(tblMovement[[#This Row],[Destination]],tblDestinations[Destination],0)),"?"))</f>
        <v/>
      </c>
      <c r="M4996" s="64">
        <f>IF(tblMovement[[#This Row],[Material]]="","",IF(LEFT(tblMovement[[#This Row],[Material]],3)="Ore",1,0))</f>
        <v/>
      </c>
      <c r="N4996" s="59">
        <f>IF(OR(tblMovement[[#This Row],[Tonnes_t]]="",tblMovement[[#This Row],[Grade_gpt]]=""),0,tblMovement[[#This Row],[Tonnes_t]]*tblMovement[[#This Row],[Grade_gpt]]/cfg_TroyOz)</f>
        <v/>
      </c>
      <c r="O4996" s="59">
        <f>IF(tblMovement[[#This Row],[Is_Ore]]=1,tblMovement[[#This Row],[Contained_oz]],0)</f>
        <v/>
      </c>
    </row>
    <row r="4997">
      <c r="A4997" s="54" t="n"/>
      <c r="B4997" s="61" t="n"/>
      <c r="C4997" s="61" t="n"/>
      <c r="D4997" s="61" t="n"/>
      <c r="E4997" s="61" t="n"/>
      <c r="F4997" s="55" t="n"/>
      <c r="G4997" s="56" t="n"/>
      <c r="H4997" s="55" t="n"/>
      <c r="I4997" s="62" t="n"/>
      <c r="J4997" s="58" t="n"/>
      <c r="K4997" s="63">
        <f>IF(tblMovement[[#This Row],[Source]]="","",IFERROR(INDEX(tblSources[Type],MATCH(tblMovement[[#This Row],[Source]],tblSources[Source],0)),"?"))</f>
        <v/>
      </c>
      <c r="L4997" s="63">
        <f>IF(tblMovement[[#This Row],[Destination]]="","",IFERROR(INDEX(tblDestinations[Type],MATCH(tblMovement[[#This Row],[Destination]],tblDestinations[Destination],0)),"?"))</f>
        <v/>
      </c>
      <c r="M4997" s="64">
        <f>IF(tblMovement[[#This Row],[Material]]="","",IF(LEFT(tblMovement[[#This Row],[Material]],3)="Ore",1,0))</f>
        <v/>
      </c>
      <c r="N4997" s="59">
        <f>IF(OR(tblMovement[[#This Row],[Tonnes_t]]="",tblMovement[[#This Row],[Grade_gpt]]=""),0,tblMovement[[#This Row],[Tonnes_t]]*tblMovement[[#This Row],[Grade_gpt]]/cfg_TroyOz)</f>
        <v/>
      </c>
      <c r="O4997" s="59">
        <f>IF(tblMovement[[#This Row],[Is_Ore]]=1,tblMovement[[#This Row],[Contained_oz]],0)</f>
        <v/>
      </c>
    </row>
    <row r="4998">
      <c r="A4998" s="54" t="n"/>
      <c r="B4998" s="61" t="n"/>
      <c r="C4998" s="61" t="n"/>
      <c r="D4998" s="61" t="n"/>
      <c r="E4998" s="61" t="n"/>
      <c r="F4998" s="55" t="n"/>
      <c r="G4998" s="56" t="n"/>
      <c r="H4998" s="55" t="n"/>
      <c r="I4998" s="62" t="n"/>
      <c r="J4998" s="58" t="n"/>
      <c r="K4998" s="63">
        <f>IF(tblMovement[[#This Row],[Source]]="","",IFERROR(INDEX(tblSources[Type],MATCH(tblMovement[[#This Row],[Source]],tblSources[Source],0)),"?"))</f>
        <v/>
      </c>
      <c r="L4998" s="63">
        <f>IF(tblMovement[[#This Row],[Destination]]="","",IFERROR(INDEX(tblDestinations[Type],MATCH(tblMovement[[#This Row],[Destination]],tblDestinations[Destination],0)),"?"))</f>
        <v/>
      </c>
      <c r="M4998" s="64">
        <f>IF(tblMovement[[#This Row],[Material]]="","",IF(LEFT(tblMovement[[#This Row],[Material]],3)="Ore",1,0))</f>
        <v/>
      </c>
      <c r="N4998" s="59">
        <f>IF(OR(tblMovement[[#This Row],[Tonnes_t]]="",tblMovement[[#This Row],[Grade_gpt]]=""),0,tblMovement[[#This Row],[Tonnes_t]]*tblMovement[[#This Row],[Grade_gpt]]/cfg_TroyOz)</f>
        <v/>
      </c>
      <c r="O4998" s="59">
        <f>IF(tblMovement[[#This Row],[Is_Ore]]=1,tblMovement[[#This Row],[Contained_oz]],0)</f>
        <v/>
      </c>
    </row>
    <row r="4999">
      <c r="A4999" s="54" t="n"/>
      <c r="B4999" s="61" t="n"/>
      <c r="C4999" s="61" t="n"/>
      <c r="D4999" s="61" t="n"/>
      <c r="E4999" s="61" t="n"/>
      <c r="F4999" s="55" t="n"/>
      <c r="G4999" s="56" t="n"/>
      <c r="H4999" s="55" t="n"/>
      <c r="I4999" s="62" t="n"/>
      <c r="J4999" s="58" t="n"/>
      <c r="K4999" s="63">
        <f>IF(tblMovement[[#This Row],[Source]]="","",IFERROR(INDEX(tblSources[Type],MATCH(tblMovement[[#This Row],[Source]],tblSources[Source],0)),"?"))</f>
        <v/>
      </c>
      <c r="L4999" s="63">
        <f>IF(tblMovement[[#This Row],[Destination]]="","",IFERROR(INDEX(tblDestinations[Type],MATCH(tblMovement[[#This Row],[Destination]],tblDestinations[Destination],0)),"?"))</f>
        <v/>
      </c>
      <c r="M4999" s="64">
        <f>IF(tblMovement[[#This Row],[Material]]="","",IF(LEFT(tblMovement[[#This Row],[Material]],3)="Ore",1,0))</f>
        <v/>
      </c>
      <c r="N4999" s="59">
        <f>IF(OR(tblMovement[[#This Row],[Tonnes_t]]="",tblMovement[[#This Row],[Grade_gpt]]=""),0,tblMovement[[#This Row],[Tonnes_t]]*tblMovement[[#This Row],[Grade_gpt]]/cfg_TroyOz)</f>
        <v/>
      </c>
      <c r="O4999" s="59">
        <f>IF(tblMovement[[#This Row],[Is_Ore]]=1,tblMovement[[#This Row],[Contained_oz]],0)</f>
        <v/>
      </c>
    </row>
    <row r="5000">
      <c r="A5000" s="54" t="n"/>
      <c r="B5000" s="61" t="n"/>
      <c r="C5000" s="61" t="n"/>
      <c r="D5000" s="61" t="n"/>
      <c r="E5000" s="61" t="n"/>
      <c r="F5000" s="55" t="n"/>
      <c r="G5000" s="56" t="n"/>
      <c r="H5000" s="55" t="n"/>
      <c r="I5000" s="62" t="n"/>
      <c r="J5000" s="58" t="n"/>
      <c r="K5000" s="63">
        <f>IF(tblMovement[[#This Row],[Source]]="","",IFERROR(INDEX(tblSources[Type],MATCH(tblMovement[[#This Row],[Source]],tblSources[Source],0)),"?"))</f>
        <v/>
      </c>
      <c r="L5000" s="63">
        <f>IF(tblMovement[[#This Row],[Destination]]="","",IFERROR(INDEX(tblDestinations[Type],MATCH(tblMovement[[#This Row],[Destination]],tblDestinations[Destination],0)),"?"))</f>
        <v/>
      </c>
      <c r="M5000" s="64">
        <f>IF(tblMovement[[#This Row],[Material]]="","",IF(LEFT(tblMovement[[#This Row],[Material]],3)="Ore",1,0))</f>
        <v/>
      </c>
      <c r="N5000" s="59">
        <f>IF(OR(tblMovement[[#This Row],[Tonnes_t]]="",tblMovement[[#This Row],[Grade_gpt]]=""),0,tblMovement[[#This Row],[Tonnes_t]]*tblMovement[[#This Row],[Grade_gpt]]/cfg_TroyOz)</f>
        <v/>
      </c>
      <c r="O5000" s="59">
        <f>IF(tblMovement[[#This Row],[Is_Ore]]=1,tblMovement[[#This Row],[Contained_oz]],0)</f>
        <v/>
      </c>
    </row>
    <row r="5001">
      <c r="A5001" s="54" t="n"/>
      <c r="B5001" s="61" t="n"/>
      <c r="C5001" s="61" t="n"/>
      <c r="D5001" s="61" t="n"/>
      <c r="E5001" s="61" t="n"/>
      <c r="F5001" s="55" t="n"/>
      <c r="G5001" s="56" t="n"/>
      <c r="H5001" s="55" t="n"/>
      <c r="I5001" s="62" t="n"/>
      <c r="J5001" s="58" t="n"/>
      <c r="K5001" s="63">
        <f>IF(tblMovement[[#This Row],[Source]]="","",IFERROR(INDEX(tblSources[Type],MATCH(tblMovement[[#This Row],[Source]],tblSources[Source],0)),"?"))</f>
        <v/>
      </c>
      <c r="L5001" s="63">
        <f>IF(tblMovement[[#This Row],[Destination]]="","",IFERROR(INDEX(tblDestinations[Type],MATCH(tblMovement[[#This Row],[Destination]],tblDestinations[Destination],0)),"?"))</f>
        <v/>
      </c>
      <c r="M5001" s="64">
        <f>IF(tblMovement[[#This Row],[Material]]="","",IF(LEFT(tblMovement[[#This Row],[Material]],3)="Ore",1,0))</f>
        <v/>
      </c>
      <c r="N5001" s="59">
        <f>IF(OR(tblMovement[[#This Row],[Tonnes_t]]="",tblMovement[[#This Row],[Grade_gpt]]=""),0,tblMovement[[#This Row],[Tonnes_t]]*tblMovement[[#This Row],[Grade_gpt]]/cfg_TroyOz)</f>
        <v/>
      </c>
      <c r="O5001" s="59">
        <f>IF(tblMovement[[#This Row],[Is_Ore]]=1,tblMovement[[#This Row],[Contained_oz]],0)</f>
        <v/>
      </c>
    </row>
    <row r="5002">
      <c r="A5002" s="54" t="n"/>
      <c r="B5002" s="61" t="n"/>
      <c r="C5002" s="61" t="n"/>
      <c r="D5002" s="61" t="n"/>
      <c r="E5002" s="61" t="n"/>
      <c r="F5002" s="55" t="n"/>
      <c r="G5002" s="56" t="n"/>
      <c r="H5002" s="55" t="n"/>
      <c r="I5002" s="62" t="n"/>
      <c r="J5002" s="58" t="n"/>
      <c r="K5002" s="63">
        <f>IF(tblMovement[[#This Row],[Source]]="","",IFERROR(INDEX(tblSources[Type],MATCH(tblMovement[[#This Row],[Source]],tblSources[Source],0)),"?"))</f>
        <v/>
      </c>
      <c r="L5002" s="63">
        <f>IF(tblMovement[[#This Row],[Destination]]="","",IFERROR(INDEX(tblDestinations[Type],MATCH(tblMovement[[#This Row],[Destination]],tblDestinations[Destination],0)),"?"))</f>
        <v/>
      </c>
      <c r="M5002" s="64">
        <f>IF(tblMovement[[#This Row],[Material]]="","",IF(LEFT(tblMovement[[#This Row],[Material]],3)="Ore",1,0))</f>
        <v/>
      </c>
      <c r="N5002" s="59">
        <f>IF(OR(tblMovement[[#This Row],[Tonnes_t]]="",tblMovement[[#This Row],[Grade_gpt]]=""),0,tblMovement[[#This Row],[Tonnes_t]]*tblMovement[[#This Row],[Grade_gpt]]/cfg_TroyOz)</f>
        <v/>
      </c>
      <c r="O5002" s="59">
        <f>IF(tblMovement[[#This Row],[Is_Ore]]=1,tblMovement[[#This Row],[Contained_oz]],0)</f>
        <v/>
      </c>
    </row>
    <row r="5003">
      <c r="A5003" s="54" t="n"/>
      <c r="B5003" s="61" t="n"/>
      <c r="C5003" s="61" t="n"/>
      <c r="D5003" s="61" t="n"/>
      <c r="E5003" s="61" t="n"/>
      <c r="F5003" s="55" t="n"/>
      <c r="G5003" s="56" t="n"/>
      <c r="H5003" s="55" t="n"/>
      <c r="I5003" s="62" t="n"/>
      <c r="J5003" s="58" t="n"/>
      <c r="K5003" s="63">
        <f>IF(tblMovement[[#This Row],[Source]]="","",IFERROR(INDEX(tblSources[Type],MATCH(tblMovement[[#This Row],[Source]],tblSources[Source],0)),"?"))</f>
        <v/>
      </c>
      <c r="L5003" s="63">
        <f>IF(tblMovement[[#This Row],[Destination]]="","",IFERROR(INDEX(tblDestinations[Type],MATCH(tblMovement[[#This Row],[Destination]],tblDestinations[Destination],0)),"?"))</f>
        <v/>
      </c>
      <c r="M5003" s="64">
        <f>IF(tblMovement[[#This Row],[Material]]="","",IF(LEFT(tblMovement[[#This Row],[Material]],3)="Ore",1,0))</f>
        <v/>
      </c>
      <c r="N5003" s="59">
        <f>IF(OR(tblMovement[[#This Row],[Tonnes_t]]="",tblMovement[[#This Row],[Grade_gpt]]=""),0,tblMovement[[#This Row],[Tonnes_t]]*tblMovement[[#This Row],[Grade_gpt]]/cfg_TroyOz)</f>
        <v/>
      </c>
      <c r="O5003" s="59">
        <f>IF(tblMovement[[#This Row],[Is_Ore]]=1,tblMovement[[#This Row],[Contained_oz]],0)</f>
        <v/>
      </c>
    </row>
    <row r="5004">
      <c r="A5004" s="54" t="n"/>
      <c r="B5004" s="61" t="n"/>
      <c r="C5004" s="61" t="n"/>
      <c r="D5004" s="61" t="n"/>
      <c r="E5004" s="61" t="n"/>
      <c r="F5004" s="55" t="n"/>
      <c r="G5004" s="56" t="n"/>
      <c r="H5004" s="55" t="n"/>
      <c r="I5004" s="62" t="n"/>
      <c r="J5004" s="58" t="n"/>
      <c r="K5004" s="63">
        <f>IF(tblMovement[[#This Row],[Source]]="","",IFERROR(INDEX(tblSources[Type],MATCH(tblMovement[[#This Row],[Source]],tblSources[Source],0)),"?"))</f>
        <v/>
      </c>
      <c r="L5004" s="63">
        <f>IF(tblMovement[[#This Row],[Destination]]="","",IFERROR(INDEX(tblDestinations[Type],MATCH(tblMovement[[#This Row],[Destination]],tblDestinations[Destination],0)),"?"))</f>
        <v/>
      </c>
      <c r="M5004" s="64">
        <f>IF(tblMovement[[#This Row],[Material]]="","",IF(LEFT(tblMovement[[#This Row],[Material]],3)="Ore",1,0))</f>
        <v/>
      </c>
      <c r="N5004" s="59">
        <f>IF(OR(tblMovement[[#This Row],[Tonnes_t]]="",tblMovement[[#This Row],[Grade_gpt]]=""),0,tblMovement[[#This Row],[Tonnes_t]]*tblMovement[[#This Row],[Grade_gpt]]/cfg_TroyOz)</f>
        <v/>
      </c>
      <c r="O5004" s="59">
        <f>IF(tblMovement[[#This Row],[Is_Ore]]=1,tblMovement[[#This Row],[Contained_oz]],0)</f>
        <v/>
      </c>
    </row>
    <row r="5005">
      <c r="A5005" s="54" t="n"/>
      <c r="B5005" s="61" t="n"/>
      <c r="C5005" s="61" t="n"/>
      <c r="D5005" s="61" t="n"/>
      <c r="E5005" s="61" t="n"/>
      <c r="F5005" s="55" t="n"/>
      <c r="G5005" s="56" t="n"/>
      <c r="H5005" s="55" t="n"/>
      <c r="I5005" s="62" t="n"/>
      <c r="J5005" s="58" t="n"/>
      <c r="K5005" s="63">
        <f>IF(tblMovement[[#This Row],[Source]]="","",IFERROR(INDEX(tblSources[Type],MATCH(tblMovement[[#This Row],[Source]],tblSources[Source],0)),"?"))</f>
        <v/>
      </c>
      <c r="L5005" s="63">
        <f>IF(tblMovement[[#This Row],[Destination]]="","",IFERROR(INDEX(tblDestinations[Type],MATCH(tblMovement[[#This Row],[Destination]],tblDestinations[Destination],0)),"?"))</f>
        <v/>
      </c>
      <c r="M5005" s="64">
        <f>IF(tblMovement[[#This Row],[Material]]="","",IF(LEFT(tblMovement[[#This Row],[Material]],3)="Ore",1,0))</f>
        <v/>
      </c>
      <c r="N5005" s="59">
        <f>IF(OR(tblMovement[[#This Row],[Tonnes_t]]="",tblMovement[[#This Row],[Grade_gpt]]=""),0,tblMovement[[#This Row],[Tonnes_t]]*tblMovement[[#This Row],[Grade_gpt]]/cfg_TroyOz)</f>
        <v/>
      </c>
      <c r="O5005" s="59">
        <f>IF(tblMovement[[#This Row],[Is_Ore]]=1,tblMovement[[#This Row],[Contained_oz]],0)</f>
        <v/>
      </c>
    </row>
  </sheetData>
  <dataValidations count="9">
    <dataValidation sqref="A6:A5005" showDropDown="0" showInputMessage="1" showErrorMessage="1" allowBlank="1" errorTitle="Date outside the reporting year" error="Dates should fall in the reporting year (December of the prior year is tolerated)." promptTitle="Date" prompt="Production day" type="date" errorStyle="warning" operator="between">
      <formula1>=cfg_YearStart-31</formula1>
      <formula2>=cfg_YearEnd</formula2>
    </dataValidation>
    <dataValidation sqref="B6:B5005" showDropDown="0" showInputMessage="1" showErrorMessage="1" allowBlank="1" errorTitle="Not in list" error="Choose a value from the list (edit the Lists sheet to add one)." promptTitle="Shift" prompt="Optional; leave blank for a daily total" type="list">
      <formula1>=lst_Shift</formula1>
    </dataValidation>
    <dataValidation sqref="C6:C5005" showDropDown="0" showInputMessage="1" showErrorMessage="1" allowBlank="1" errorTitle="Not in list" error="Choose a value from the list (edit the Lists sheet to add one)." promptTitle="Source" prompt="Pit or stockpile the material came from (Lists sheet)" type="list">
      <formula1>=lst_Source</formula1>
    </dataValidation>
    <dataValidation sqref="D6:D5005" showDropDown="0" showInputMessage="1" showErrorMessage="1" allowBlank="1" errorTitle="Not in list" error="Choose a value from the list (edit the Lists sheet to add one)." promptTitle="Material" prompt="Ore grade class or waste type" type="list">
      <formula1>=lst_Material</formula1>
    </dataValidation>
    <dataValidation sqref="E6:E5005" showDropDown="0" showInputMessage="1" showErrorMessage="1" allowBlank="1" errorTitle="Not in list" error="Choose a value from the list (edit the Lists sheet to add one)." promptTitle="Destination" prompt="Where the material went (Lists sheet)" type="list">
      <formula1>=lst_Destination</formula1>
    </dataValidation>
    <dataValidation sqref="F6:F5005" showDropDown="0" showInputMessage="1" showErrorMessage="1" allowBlank="1" errorTitle="Outside expected range" error="Expected between 0 and 200000. Click Yes to keep the value if it is correct." promptTitle="Tonnes" prompt="Dry tonnes moved (truck factor or weightometer)" type="decimal" errorStyle="warning" operator="between">
      <formula1>0</formula1>
      <formula2>200000</formula2>
    </dataValidation>
    <dataValidation sqref="G6:G5005" showDropDown="0" showInputMessage="1" showErrorMessage="1" allowBlank="1" errorTitle="Outside expected range" error="Expected between 0 and 100. Click Yes to keep the value if it is correct." promptTitle="Grade" prompt="Grade control grade; required for ore and mineralised waste" type="decimal" errorStyle="warning" operator="between">
      <formula1>0</formula1>
      <formula2>100</formula2>
    </dataValidation>
    <dataValidation sqref="H6:H5005" showDropDown="0" showInputMessage="1" showErrorMessage="1" allowBlank="1" errorTitle="Outside expected range" error="Expected between 0 and 100000. Click Yes to keep the value if it is correct." promptTitle="Volume" prompt="Optional bank cubic metres" type="decimal" errorStyle="warning" operator="between">
      <formula1>0</formula1>
      <formula2>100000</formula2>
    </dataValidation>
    <dataValidation sqref="I6:I5005" showDropDown="0" showInputMessage="1" showErrorMessage="1" allowBlank="1" errorTitle="Outside expected range" error="Expected between 0 and 5000. Click Yes to keep the value if it is correct." promptTitle="Truck loads" prompt="Optional truck count" type="whole" errorStyle="warning" operator="between">
      <formula1>0</formula1>
      <formula2>5000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H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.9" customWidth="1" min="2" max="2"/>
    <col width="11.9" customWidth="1" min="3" max="3"/>
    <col width="15.5" customWidth="1" min="4" max="4"/>
    <col width="11" customWidth="1" min="5" max="5"/>
    <col width="15.5" customWidth="1" min="6" max="6"/>
    <col width="32" customWidth="1" min="7" max="7"/>
    <col width="20" customWidth="1" min="8" max="8"/>
  </cols>
  <sheetData>
    <row r="1">
      <c r="A1" s="50" t="inlineStr">
        <is>
          <t>Mining daily totals, one row per day</t>
        </is>
      </c>
    </row>
    <row r="2">
      <c r="A2" s="6" t="inlineStr">
        <is>
          <t>Owner: Mining (production engineer).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Drilled (m)</t>
        </is>
      </c>
      <c r="C4" s="51" t="inlineStr">
        <is>
          <t>Blasted (t)</t>
        </is>
      </c>
      <c r="D4" s="51" t="inlineStr">
        <is>
          <t>Explosives (kg)</t>
        </is>
      </c>
      <c r="E4" s="51" t="inlineStr">
        <is>
          <t>Diesel (L)</t>
        </is>
      </c>
      <c r="F4" s="51" t="inlineStr">
        <is>
          <t>Dewatering (m3)</t>
        </is>
      </c>
      <c r="G4" s="51" t="inlineStr">
        <is>
          <t>Comments</t>
        </is>
      </c>
      <c r="H4" s="51" t="inlineStr">
        <is>
          <t>Powder factor (kg/t)</t>
        </is>
      </c>
    </row>
    <row r="5">
      <c r="A5" s="52" t="inlineStr">
        <is>
          <t>Date</t>
        </is>
      </c>
      <c r="B5" s="52" t="inlineStr">
        <is>
          <t>Drill_m</t>
        </is>
      </c>
      <c r="C5" s="52" t="inlineStr">
        <is>
          <t>Blast_t</t>
        </is>
      </c>
      <c r="D5" s="52" t="inlineStr">
        <is>
          <t>Explosives_kg</t>
        </is>
      </c>
      <c r="E5" s="52" t="inlineStr">
        <is>
          <t>Diesel_L</t>
        </is>
      </c>
      <c r="F5" s="52" t="inlineStr">
        <is>
          <t>Dewatering_m3</t>
        </is>
      </c>
      <c r="G5" s="52" t="inlineStr">
        <is>
          <t>Comments</t>
        </is>
      </c>
      <c r="H5" s="53" t="inlineStr">
        <is>
          <t>Powder_Factor_kgpt</t>
        </is>
      </c>
    </row>
    <row r="6">
      <c r="A6" s="54" t="n">
        <v>46023</v>
      </c>
      <c r="B6" s="55" t="n"/>
      <c r="C6" s="55" t="n"/>
      <c r="D6" s="55" t="n"/>
      <c r="E6" s="55" t="n"/>
      <c r="F6" s="55" t="n"/>
      <c r="G6" s="58" t="n"/>
      <c r="H6" s="65">
        <f>IF(AND(tblMiningDaily[[#This Row],[Blast_t]]&lt;&gt;"",tblMiningDaily[[#This Row],[Blast_t]]&gt;0),tblMiningDaily[[#This Row],[Explosives_kg]]/tblMiningDaily[[#This Row],[Blast_t]],"")</f>
        <v/>
      </c>
    </row>
    <row r="7">
      <c r="A7" s="54" t="n">
        <v>46024</v>
      </c>
      <c r="B7" s="55" t="n"/>
      <c r="C7" s="55" t="n"/>
      <c r="D7" s="55" t="n"/>
      <c r="E7" s="55" t="n"/>
      <c r="F7" s="55" t="n"/>
      <c r="G7" s="58" t="n"/>
      <c r="H7" s="65">
        <f>IF(AND(tblMiningDaily[[#This Row],[Blast_t]]&lt;&gt;"",tblMiningDaily[[#This Row],[Blast_t]]&gt;0),tblMiningDaily[[#This Row],[Explosives_kg]]/tblMiningDaily[[#This Row],[Blast_t]],"")</f>
        <v/>
      </c>
    </row>
    <row r="8">
      <c r="A8" s="54" t="n">
        <v>46025</v>
      </c>
      <c r="B8" s="55" t="n"/>
      <c r="C8" s="55" t="n"/>
      <c r="D8" s="55" t="n"/>
      <c r="E8" s="55" t="n"/>
      <c r="F8" s="55" t="n"/>
      <c r="G8" s="58" t="n"/>
      <c r="H8" s="65">
        <f>IF(AND(tblMiningDaily[[#This Row],[Blast_t]]&lt;&gt;"",tblMiningDaily[[#This Row],[Blast_t]]&gt;0),tblMiningDaily[[#This Row],[Explosives_kg]]/tblMiningDaily[[#This Row],[Blast_t]],"")</f>
        <v/>
      </c>
    </row>
    <row r="9">
      <c r="A9" s="54" t="n">
        <v>46026</v>
      </c>
      <c r="B9" s="55" t="n"/>
      <c r="C9" s="55" t="n"/>
      <c r="D9" s="55" t="n"/>
      <c r="E9" s="55" t="n"/>
      <c r="F9" s="55" t="n"/>
      <c r="G9" s="58" t="n"/>
      <c r="H9" s="65">
        <f>IF(AND(tblMiningDaily[[#This Row],[Blast_t]]&lt;&gt;"",tblMiningDaily[[#This Row],[Blast_t]]&gt;0),tblMiningDaily[[#This Row],[Explosives_kg]]/tblMiningDaily[[#This Row],[Blast_t]],"")</f>
        <v/>
      </c>
    </row>
    <row r="10">
      <c r="A10" s="54" t="n">
        <v>46027</v>
      </c>
      <c r="B10" s="55" t="n"/>
      <c r="C10" s="55" t="n"/>
      <c r="D10" s="55" t="n"/>
      <c r="E10" s="55" t="n"/>
      <c r="F10" s="55" t="n"/>
      <c r="G10" s="58" t="n"/>
      <c r="H10" s="65">
        <f>IF(AND(tblMiningDaily[[#This Row],[Blast_t]]&lt;&gt;"",tblMiningDaily[[#This Row],[Blast_t]]&gt;0),tblMiningDaily[[#This Row],[Explosives_kg]]/tblMiningDaily[[#This Row],[Blast_t]],"")</f>
        <v/>
      </c>
    </row>
    <row r="11">
      <c r="A11" s="54" t="n">
        <v>46028</v>
      </c>
      <c r="B11" s="55" t="n"/>
      <c r="C11" s="55" t="n"/>
      <c r="D11" s="55" t="n"/>
      <c r="E11" s="55" t="n"/>
      <c r="F11" s="55" t="n"/>
      <c r="G11" s="58" t="n"/>
      <c r="H11" s="65">
        <f>IF(AND(tblMiningDaily[[#This Row],[Blast_t]]&lt;&gt;"",tblMiningDaily[[#This Row],[Blast_t]]&gt;0),tblMiningDaily[[#This Row],[Explosives_kg]]/tblMiningDaily[[#This Row],[Blast_t]],"")</f>
        <v/>
      </c>
    </row>
    <row r="12">
      <c r="A12" s="54" t="n">
        <v>46029</v>
      </c>
      <c r="B12" s="55" t="n"/>
      <c r="C12" s="55" t="n"/>
      <c r="D12" s="55" t="n"/>
      <c r="E12" s="55" t="n"/>
      <c r="F12" s="55" t="n"/>
      <c r="G12" s="58" t="n"/>
      <c r="H12" s="65">
        <f>IF(AND(tblMiningDaily[[#This Row],[Blast_t]]&lt;&gt;"",tblMiningDaily[[#This Row],[Blast_t]]&gt;0),tblMiningDaily[[#This Row],[Explosives_kg]]/tblMiningDaily[[#This Row],[Blast_t]],"")</f>
        <v/>
      </c>
    </row>
    <row r="13">
      <c r="A13" s="54" t="n">
        <v>46030</v>
      </c>
      <c r="B13" s="55" t="n"/>
      <c r="C13" s="55" t="n"/>
      <c r="D13" s="55" t="n"/>
      <c r="E13" s="55" t="n"/>
      <c r="F13" s="55" t="n"/>
      <c r="G13" s="58" t="n"/>
      <c r="H13" s="65">
        <f>IF(AND(tblMiningDaily[[#This Row],[Blast_t]]&lt;&gt;"",tblMiningDaily[[#This Row],[Blast_t]]&gt;0),tblMiningDaily[[#This Row],[Explosives_kg]]/tblMiningDaily[[#This Row],[Blast_t]],"")</f>
        <v/>
      </c>
    </row>
    <row r="14">
      <c r="A14" s="54" t="n">
        <v>46031</v>
      </c>
      <c r="B14" s="55" t="n"/>
      <c r="C14" s="55" t="n"/>
      <c r="D14" s="55" t="n"/>
      <c r="E14" s="55" t="n"/>
      <c r="F14" s="55" t="n"/>
      <c r="G14" s="58" t="n"/>
      <c r="H14" s="65">
        <f>IF(AND(tblMiningDaily[[#This Row],[Blast_t]]&lt;&gt;"",tblMiningDaily[[#This Row],[Blast_t]]&gt;0),tblMiningDaily[[#This Row],[Explosives_kg]]/tblMiningDaily[[#This Row],[Blast_t]],"")</f>
        <v/>
      </c>
    </row>
    <row r="15">
      <c r="A15" s="54" t="n">
        <v>46032</v>
      </c>
      <c r="B15" s="55" t="n"/>
      <c r="C15" s="55" t="n"/>
      <c r="D15" s="55" t="n"/>
      <c r="E15" s="55" t="n"/>
      <c r="F15" s="55" t="n"/>
      <c r="G15" s="58" t="n"/>
      <c r="H15" s="65">
        <f>IF(AND(tblMiningDaily[[#This Row],[Blast_t]]&lt;&gt;"",tblMiningDaily[[#This Row],[Blast_t]]&gt;0),tblMiningDaily[[#This Row],[Explosives_kg]]/tblMiningDaily[[#This Row],[Blast_t]],"")</f>
        <v/>
      </c>
    </row>
    <row r="16">
      <c r="A16" s="54" t="n">
        <v>46033</v>
      </c>
      <c r="B16" s="55" t="n"/>
      <c r="C16" s="55" t="n"/>
      <c r="D16" s="55" t="n"/>
      <c r="E16" s="55" t="n"/>
      <c r="F16" s="55" t="n"/>
      <c r="G16" s="58" t="n"/>
      <c r="H16" s="65">
        <f>IF(AND(tblMiningDaily[[#This Row],[Blast_t]]&lt;&gt;"",tblMiningDaily[[#This Row],[Blast_t]]&gt;0),tblMiningDaily[[#This Row],[Explosives_kg]]/tblMiningDaily[[#This Row],[Blast_t]],"")</f>
        <v/>
      </c>
    </row>
    <row r="17">
      <c r="A17" s="54" t="n">
        <v>46034</v>
      </c>
      <c r="B17" s="55" t="n"/>
      <c r="C17" s="55" t="n"/>
      <c r="D17" s="55" t="n"/>
      <c r="E17" s="55" t="n"/>
      <c r="F17" s="55" t="n"/>
      <c r="G17" s="58" t="n"/>
      <c r="H17" s="65">
        <f>IF(AND(tblMiningDaily[[#This Row],[Blast_t]]&lt;&gt;"",tblMiningDaily[[#This Row],[Blast_t]]&gt;0),tblMiningDaily[[#This Row],[Explosives_kg]]/tblMiningDaily[[#This Row],[Blast_t]],"")</f>
        <v/>
      </c>
    </row>
    <row r="18">
      <c r="A18" s="54" t="n">
        <v>46035</v>
      </c>
      <c r="B18" s="55" t="n"/>
      <c r="C18" s="55" t="n"/>
      <c r="D18" s="55" t="n"/>
      <c r="E18" s="55" t="n"/>
      <c r="F18" s="55" t="n"/>
      <c r="G18" s="58" t="n"/>
      <c r="H18" s="65">
        <f>IF(AND(tblMiningDaily[[#This Row],[Blast_t]]&lt;&gt;"",tblMiningDaily[[#This Row],[Blast_t]]&gt;0),tblMiningDaily[[#This Row],[Explosives_kg]]/tblMiningDaily[[#This Row],[Blast_t]],"")</f>
        <v/>
      </c>
    </row>
    <row r="19">
      <c r="A19" s="54" t="n">
        <v>46036</v>
      </c>
      <c r="B19" s="55" t="n"/>
      <c r="C19" s="55" t="n"/>
      <c r="D19" s="55" t="n"/>
      <c r="E19" s="55" t="n"/>
      <c r="F19" s="55" t="n"/>
      <c r="G19" s="58" t="n"/>
      <c r="H19" s="65">
        <f>IF(AND(tblMiningDaily[[#This Row],[Blast_t]]&lt;&gt;"",tblMiningDaily[[#This Row],[Blast_t]]&gt;0),tblMiningDaily[[#This Row],[Explosives_kg]]/tblMiningDaily[[#This Row],[Blast_t]],"")</f>
        <v/>
      </c>
    </row>
    <row r="20">
      <c r="A20" s="54" t="n">
        <v>46037</v>
      </c>
      <c r="B20" s="55" t="n"/>
      <c r="C20" s="55" t="n"/>
      <c r="D20" s="55" t="n"/>
      <c r="E20" s="55" t="n"/>
      <c r="F20" s="55" t="n"/>
      <c r="G20" s="58" t="n"/>
      <c r="H20" s="65">
        <f>IF(AND(tblMiningDaily[[#This Row],[Blast_t]]&lt;&gt;"",tblMiningDaily[[#This Row],[Blast_t]]&gt;0),tblMiningDaily[[#This Row],[Explosives_kg]]/tblMiningDaily[[#This Row],[Blast_t]],"")</f>
        <v/>
      </c>
    </row>
    <row r="21">
      <c r="A21" s="54" t="n">
        <v>46038</v>
      </c>
      <c r="B21" s="55" t="n"/>
      <c r="C21" s="55" t="n"/>
      <c r="D21" s="55" t="n"/>
      <c r="E21" s="55" t="n"/>
      <c r="F21" s="55" t="n"/>
      <c r="G21" s="58" t="n"/>
      <c r="H21" s="65">
        <f>IF(AND(tblMiningDaily[[#This Row],[Blast_t]]&lt;&gt;"",tblMiningDaily[[#This Row],[Blast_t]]&gt;0),tblMiningDaily[[#This Row],[Explosives_kg]]/tblMiningDaily[[#This Row],[Blast_t]],"")</f>
        <v/>
      </c>
    </row>
    <row r="22">
      <c r="A22" s="54" t="n">
        <v>46039</v>
      </c>
      <c r="B22" s="55" t="n"/>
      <c r="C22" s="55" t="n"/>
      <c r="D22" s="55" t="n"/>
      <c r="E22" s="55" t="n"/>
      <c r="F22" s="55" t="n"/>
      <c r="G22" s="58" t="n"/>
      <c r="H22" s="65">
        <f>IF(AND(tblMiningDaily[[#This Row],[Blast_t]]&lt;&gt;"",tblMiningDaily[[#This Row],[Blast_t]]&gt;0),tblMiningDaily[[#This Row],[Explosives_kg]]/tblMiningDaily[[#This Row],[Blast_t]],"")</f>
        <v/>
      </c>
    </row>
    <row r="23">
      <c r="A23" s="54" t="n">
        <v>46040</v>
      </c>
      <c r="B23" s="55" t="n"/>
      <c r="C23" s="55" t="n"/>
      <c r="D23" s="55" t="n"/>
      <c r="E23" s="55" t="n"/>
      <c r="F23" s="55" t="n"/>
      <c r="G23" s="58" t="n"/>
      <c r="H23" s="65">
        <f>IF(AND(tblMiningDaily[[#This Row],[Blast_t]]&lt;&gt;"",tblMiningDaily[[#This Row],[Blast_t]]&gt;0),tblMiningDaily[[#This Row],[Explosives_kg]]/tblMiningDaily[[#This Row],[Blast_t]],"")</f>
        <v/>
      </c>
    </row>
    <row r="24">
      <c r="A24" s="54" t="n">
        <v>46041</v>
      </c>
      <c r="B24" s="55" t="n"/>
      <c r="C24" s="55" t="n"/>
      <c r="D24" s="55" t="n"/>
      <c r="E24" s="55" t="n"/>
      <c r="F24" s="55" t="n"/>
      <c r="G24" s="58" t="n"/>
      <c r="H24" s="65">
        <f>IF(AND(tblMiningDaily[[#This Row],[Blast_t]]&lt;&gt;"",tblMiningDaily[[#This Row],[Blast_t]]&gt;0),tblMiningDaily[[#This Row],[Explosives_kg]]/tblMiningDaily[[#This Row],[Blast_t]],"")</f>
        <v/>
      </c>
    </row>
    <row r="25">
      <c r="A25" s="54" t="n">
        <v>46042</v>
      </c>
      <c r="B25" s="55" t="n"/>
      <c r="C25" s="55" t="n"/>
      <c r="D25" s="55" t="n"/>
      <c r="E25" s="55" t="n"/>
      <c r="F25" s="55" t="n"/>
      <c r="G25" s="58" t="n"/>
      <c r="H25" s="65">
        <f>IF(AND(tblMiningDaily[[#This Row],[Blast_t]]&lt;&gt;"",tblMiningDaily[[#This Row],[Blast_t]]&gt;0),tblMiningDaily[[#This Row],[Explosives_kg]]/tblMiningDaily[[#This Row],[Blast_t]],"")</f>
        <v/>
      </c>
    </row>
    <row r="26">
      <c r="A26" s="54" t="n">
        <v>46043</v>
      </c>
      <c r="B26" s="55" t="n"/>
      <c r="C26" s="55" t="n"/>
      <c r="D26" s="55" t="n"/>
      <c r="E26" s="55" t="n"/>
      <c r="F26" s="55" t="n"/>
      <c r="G26" s="58" t="n"/>
      <c r="H26" s="65">
        <f>IF(AND(tblMiningDaily[[#This Row],[Blast_t]]&lt;&gt;"",tblMiningDaily[[#This Row],[Blast_t]]&gt;0),tblMiningDaily[[#This Row],[Explosives_kg]]/tblMiningDaily[[#This Row],[Blast_t]],"")</f>
        <v/>
      </c>
    </row>
    <row r="27">
      <c r="A27" s="54" t="n">
        <v>46044</v>
      </c>
      <c r="B27" s="55" t="n"/>
      <c r="C27" s="55" t="n"/>
      <c r="D27" s="55" t="n"/>
      <c r="E27" s="55" t="n"/>
      <c r="F27" s="55" t="n"/>
      <c r="G27" s="58" t="n"/>
      <c r="H27" s="65">
        <f>IF(AND(tblMiningDaily[[#This Row],[Blast_t]]&lt;&gt;"",tblMiningDaily[[#This Row],[Blast_t]]&gt;0),tblMiningDaily[[#This Row],[Explosives_kg]]/tblMiningDaily[[#This Row],[Blast_t]],"")</f>
        <v/>
      </c>
    </row>
    <row r="28">
      <c r="A28" s="54" t="n">
        <v>46045</v>
      </c>
      <c r="B28" s="55" t="n"/>
      <c r="C28" s="55" t="n"/>
      <c r="D28" s="55" t="n"/>
      <c r="E28" s="55" t="n"/>
      <c r="F28" s="55" t="n"/>
      <c r="G28" s="58" t="n"/>
      <c r="H28" s="65">
        <f>IF(AND(tblMiningDaily[[#This Row],[Blast_t]]&lt;&gt;"",tblMiningDaily[[#This Row],[Blast_t]]&gt;0),tblMiningDaily[[#This Row],[Explosives_kg]]/tblMiningDaily[[#This Row],[Blast_t]],"")</f>
        <v/>
      </c>
    </row>
    <row r="29">
      <c r="A29" s="54" t="n">
        <v>46046</v>
      </c>
      <c r="B29" s="55" t="n"/>
      <c r="C29" s="55" t="n"/>
      <c r="D29" s="55" t="n"/>
      <c r="E29" s="55" t="n"/>
      <c r="F29" s="55" t="n"/>
      <c r="G29" s="58" t="n"/>
      <c r="H29" s="65">
        <f>IF(AND(tblMiningDaily[[#This Row],[Blast_t]]&lt;&gt;"",tblMiningDaily[[#This Row],[Blast_t]]&gt;0),tblMiningDaily[[#This Row],[Explosives_kg]]/tblMiningDaily[[#This Row],[Blast_t]],"")</f>
        <v/>
      </c>
    </row>
    <row r="30">
      <c r="A30" s="54" t="n">
        <v>46047</v>
      </c>
      <c r="B30" s="55" t="n"/>
      <c r="C30" s="55" t="n"/>
      <c r="D30" s="55" t="n"/>
      <c r="E30" s="55" t="n"/>
      <c r="F30" s="55" t="n"/>
      <c r="G30" s="58" t="n"/>
      <c r="H30" s="65">
        <f>IF(AND(tblMiningDaily[[#This Row],[Blast_t]]&lt;&gt;"",tblMiningDaily[[#This Row],[Blast_t]]&gt;0),tblMiningDaily[[#This Row],[Explosives_kg]]/tblMiningDaily[[#This Row],[Blast_t]],"")</f>
        <v/>
      </c>
    </row>
    <row r="31">
      <c r="A31" s="54" t="n">
        <v>46048</v>
      </c>
      <c r="B31" s="55" t="n"/>
      <c r="C31" s="55" t="n"/>
      <c r="D31" s="55" t="n"/>
      <c r="E31" s="55" t="n"/>
      <c r="F31" s="55" t="n"/>
      <c r="G31" s="58" t="n"/>
      <c r="H31" s="65">
        <f>IF(AND(tblMiningDaily[[#This Row],[Blast_t]]&lt;&gt;"",tblMiningDaily[[#This Row],[Blast_t]]&gt;0),tblMiningDaily[[#This Row],[Explosives_kg]]/tblMiningDaily[[#This Row],[Blast_t]],"")</f>
        <v/>
      </c>
    </row>
    <row r="32">
      <c r="A32" s="54" t="n">
        <v>46049</v>
      </c>
      <c r="B32" s="55" t="n"/>
      <c r="C32" s="55" t="n"/>
      <c r="D32" s="55" t="n"/>
      <c r="E32" s="55" t="n"/>
      <c r="F32" s="55" t="n"/>
      <c r="G32" s="58" t="n"/>
      <c r="H32" s="65">
        <f>IF(AND(tblMiningDaily[[#This Row],[Blast_t]]&lt;&gt;"",tblMiningDaily[[#This Row],[Blast_t]]&gt;0),tblMiningDaily[[#This Row],[Explosives_kg]]/tblMiningDaily[[#This Row],[Blast_t]],"")</f>
        <v/>
      </c>
    </row>
    <row r="33">
      <c r="A33" s="54" t="n">
        <v>46050</v>
      </c>
      <c r="B33" s="55" t="n"/>
      <c r="C33" s="55" t="n"/>
      <c r="D33" s="55" t="n"/>
      <c r="E33" s="55" t="n"/>
      <c r="F33" s="55" t="n"/>
      <c r="G33" s="58" t="n"/>
      <c r="H33" s="65">
        <f>IF(AND(tblMiningDaily[[#This Row],[Blast_t]]&lt;&gt;"",tblMiningDaily[[#This Row],[Blast_t]]&gt;0),tblMiningDaily[[#This Row],[Explosives_kg]]/tblMiningDaily[[#This Row],[Blast_t]],"")</f>
        <v/>
      </c>
    </row>
    <row r="34">
      <c r="A34" s="54" t="n">
        <v>46051</v>
      </c>
      <c r="B34" s="55" t="n"/>
      <c r="C34" s="55" t="n"/>
      <c r="D34" s="55" t="n"/>
      <c r="E34" s="55" t="n"/>
      <c r="F34" s="55" t="n"/>
      <c r="G34" s="58" t="n"/>
      <c r="H34" s="65">
        <f>IF(AND(tblMiningDaily[[#This Row],[Blast_t]]&lt;&gt;"",tblMiningDaily[[#This Row],[Blast_t]]&gt;0),tblMiningDaily[[#This Row],[Explosives_kg]]/tblMiningDaily[[#This Row],[Blast_t]],"")</f>
        <v/>
      </c>
    </row>
    <row r="35">
      <c r="A35" s="54" t="n">
        <v>46052</v>
      </c>
      <c r="B35" s="55" t="n"/>
      <c r="C35" s="55" t="n"/>
      <c r="D35" s="55" t="n"/>
      <c r="E35" s="55" t="n"/>
      <c r="F35" s="55" t="n"/>
      <c r="G35" s="58" t="n"/>
      <c r="H35" s="65">
        <f>IF(AND(tblMiningDaily[[#This Row],[Blast_t]]&lt;&gt;"",tblMiningDaily[[#This Row],[Blast_t]]&gt;0),tblMiningDaily[[#This Row],[Explosives_kg]]/tblMiningDaily[[#This Row],[Blast_t]],"")</f>
        <v/>
      </c>
    </row>
    <row r="36">
      <c r="A36" s="54" t="n">
        <v>46053</v>
      </c>
      <c r="B36" s="55" t="n"/>
      <c r="C36" s="55" t="n"/>
      <c r="D36" s="55" t="n"/>
      <c r="E36" s="55" t="n"/>
      <c r="F36" s="55" t="n"/>
      <c r="G36" s="58" t="n"/>
      <c r="H36" s="65">
        <f>IF(AND(tblMiningDaily[[#This Row],[Blast_t]]&lt;&gt;"",tblMiningDaily[[#This Row],[Blast_t]]&gt;0),tblMiningDaily[[#This Row],[Explosives_kg]]/tblMiningDaily[[#This Row],[Blast_t]],"")</f>
        <v/>
      </c>
    </row>
    <row r="37">
      <c r="A37" s="54" t="n">
        <v>46054</v>
      </c>
      <c r="B37" s="55" t="n"/>
      <c r="C37" s="55" t="n"/>
      <c r="D37" s="55" t="n"/>
      <c r="E37" s="55" t="n"/>
      <c r="F37" s="55" t="n"/>
      <c r="G37" s="58" t="n"/>
      <c r="H37" s="65">
        <f>IF(AND(tblMiningDaily[[#This Row],[Blast_t]]&lt;&gt;"",tblMiningDaily[[#This Row],[Blast_t]]&gt;0),tblMiningDaily[[#This Row],[Explosives_kg]]/tblMiningDaily[[#This Row],[Blast_t]],"")</f>
        <v/>
      </c>
    </row>
    <row r="38">
      <c r="A38" s="54" t="n">
        <v>46055</v>
      </c>
      <c r="B38" s="55" t="n"/>
      <c r="C38" s="55" t="n"/>
      <c r="D38" s="55" t="n"/>
      <c r="E38" s="55" t="n"/>
      <c r="F38" s="55" t="n"/>
      <c r="G38" s="58" t="n"/>
      <c r="H38" s="65">
        <f>IF(AND(tblMiningDaily[[#This Row],[Blast_t]]&lt;&gt;"",tblMiningDaily[[#This Row],[Blast_t]]&gt;0),tblMiningDaily[[#This Row],[Explosives_kg]]/tblMiningDaily[[#This Row],[Blast_t]],"")</f>
        <v/>
      </c>
    </row>
    <row r="39">
      <c r="A39" s="54" t="n">
        <v>46056</v>
      </c>
      <c r="B39" s="55" t="n"/>
      <c r="C39" s="55" t="n"/>
      <c r="D39" s="55" t="n"/>
      <c r="E39" s="55" t="n"/>
      <c r="F39" s="55" t="n"/>
      <c r="G39" s="58" t="n"/>
      <c r="H39" s="65">
        <f>IF(AND(tblMiningDaily[[#This Row],[Blast_t]]&lt;&gt;"",tblMiningDaily[[#This Row],[Blast_t]]&gt;0),tblMiningDaily[[#This Row],[Explosives_kg]]/tblMiningDaily[[#This Row],[Blast_t]],"")</f>
        <v/>
      </c>
    </row>
    <row r="40">
      <c r="A40" s="54" t="n">
        <v>46057</v>
      </c>
      <c r="B40" s="55" t="n"/>
      <c r="C40" s="55" t="n"/>
      <c r="D40" s="55" t="n"/>
      <c r="E40" s="55" t="n"/>
      <c r="F40" s="55" t="n"/>
      <c r="G40" s="58" t="n"/>
      <c r="H40" s="65">
        <f>IF(AND(tblMiningDaily[[#This Row],[Blast_t]]&lt;&gt;"",tblMiningDaily[[#This Row],[Blast_t]]&gt;0),tblMiningDaily[[#This Row],[Explosives_kg]]/tblMiningDaily[[#This Row],[Blast_t]],"")</f>
        <v/>
      </c>
    </row>
    <row r="41">
      <c r="A41" s="54" t="n">
        <v>46058</v>
      </c>
      <c r="B41" s="55" t="n"/>
      <c r="C41" s="55" t="n"/>
      <c r="D41" s="55" t="n"/>
      <c r="E41" s="55" t="n"/>
      <c r="F41" s="55" t="n"/>
      <c r="G41" s="58" t="n"/>
      <c r="H41" s="65">
        <f>IF(AND(tblMiningDaily[[#This Row],[Blast_t]]&lt;&gt;"",tblMiningDaily[[#This Row],[Blast_t]]&gt;0),tblMiningDaily[[#This Row],[Explosives_kg]]/tblMiningDaily[[#This Row],[Blast_t]],"")</f>
        <v/>
      </c>
    </row>
    <row r="42">
      <c r="A42" s="54" t="n">
        <v>46059</v>
      </c>
      <c r="B42" s="55" t="n"/>
      <c r="C42" s="55" t="n"/>
      <c r="D42" s="55" t="n"/>
      <c r="E42" s="55" t="n"/>
      <c r="F42" s="55" t="n"/>
      <c r="G42" s="58" t="n"/>
      <c r="H42" s="65">
        <f>IF(AND(tblMiningDaily[[#This Row],[Blast_t]]&lt;&gt;"",tblMiningDaily[[#This Row],[Blast_t]]&gt;0),tblMiningDaily[[#This Row],[Explosives_kg]]/tblMiningDaily[[#This Row],[Blast_t]],"")</f>
        <v/>
      </c>
    </row>
    <row r="43">
      <c r="A43" s="54" t="n">
        <v>46060</v>
      </c>
      <c r="B43" s="55" t="n"/>
      <c r="C43" s="55" t="n"/>
      <c r="D43" s="55" t="n"/>
      <c r="E43" s="55" t="n"/>
      <c r="F43" s="55" t="n"/>
      <c r="G43" s="58" t="n"/>
      <c r="H43" s="65">
        <f>IF(AND(tblMiningDaily[[#This Row],[Blast_t]]&lt;&gt;"",tblMiningDaily[[#This Row],[Blast_t]]&gt;0),tblMiningDaily[[#This Row],[Explosives_kg]]/tblMiningDaily[[#This Row],[Blast_t]],"")</f>
        <v/>
      </c>
    </row>
    <row r="44">
      <c r="A44" s="54" t="n">
        <v>46061</v>
      </c>
      <c r="B44" s="55" t="n"/>
      <c r="C44" s="55" t="n"/>
      <c r="D44" s="55" t="n"/>
      <c r="E44" s="55" t="n"/>
      <c r="F44" s="55" t="n"/>
      <c r="G44" s="58" t="n"/>
      <c r="H44" s="65">
        <f>IF(AND(tblMiningDaily[[#This Row],[Blast_t]]&lt;&gt;"",tblMiningDaily[[#This Row],[Blast_t]]&gt;0),tblMiningDaily[[#This Row],[Explosives_kg]]/tblMiningDaily[[#This Row],[Blast_t]],"")</f>
        <v/>
      </c>
    </row>
    <row r="45">
      <c r="A45" s="54" t="n">
        <v>46062</v>
      </c>
      <c r="B45" s="55" t="n"/>
      <c r="C45" s="55" t="n"/>
      <c r="D45" s="55" t="n"/>
      <c r="E45" s="55" t="n"/>
      <c r="F45" s="55" t="n"/>
      <c r="G45" s="58" t="n"/>
      <c r="H45" s="65">
        <f>IF(AND(tblMiningDaily[[#This Row],[Blast_t]]&lt;&gt;"",tblMiningDaily[[#This Row],[Blast_t]]&gt;0),tblMiningDaily[[#This Row],[Explosives_kg]]/tblMiningDaily[[#This Row],[Blast_t]],"")</f>
        <v/>
      </c>
    </row>
    <row r="46">
      <c r="A46" s="54" t="n">
        <v>46063</v>
      </c>
      <c r="B46" s="55" t="n"/>
      <c r="C46" s="55" t="n"/>
      <c r="D46" s="55" t="n"/>
      <c r="E46" s="55" t="n"/>
      <c r="F46" s="55" t="n"/>
      <c r="G46" s="58" t="n"/>
      <c r="H46" s="65">
        <f>IF(AND(tblMiningDaily[[#This Row],[Blast_t]]&lt;&gt;"",tblMiningDaily[[#This Row],[Blast_t]]&gt;0),tblMiningDaily[[#This Row],[Explosives_kg]]/tblMiningDaily[[#This Row],[Blast_t]],"")</f>
        <v/>
      </c>
    </row>
    <row r="47">
      <c r="A47" s="54" t="n">
        <v>46064</v>
      </c>
      <c r="B47" s="55" t="n"/>
      <c r="C47" s="55" t="n"/>
      <c r="D47" s="55" t="n"/>
      <c r="E47" s="55" t="n"/>
      <c r="F47" s="55" t="n"/>
      <c r="G47" s="58" t="n"/>
      <c r="H47" s="65">
        <f>IF(AND(tblMiningDaily[[#This Row],[Blast_t]]&lt;&gt;"",tblMiningDaily[[#This Row],[Blast_t]]&gt;0),tblMiningDaily[[#This Row],[Explosives_kg]]/tblMiningDaily[[#This Row],[Blast_t]],"")</f>
        <v/>
      </c>
    </row>
    <row r="48">
      <c r="A48" s="54" t="n">
        <v>46065</v>
      </c>
      <c r="B48" s="55" t="n"/>
      <c r="C48" s="55" t="n"/>
      <c r="D48" s="55" t="n"/>
      <c r="E48" s="55" t="n"/>
      <c r="F48" s="55" t="n"/>
      <c r="G48" s="58" t="n"/>
      <c r="H48" s="65">
        <f>IF(AND(tblMiningDaily[[#This Row],[Blast_t]]&lt;&gt;"",tblMiningDaily[[#This Row],[Blast_t]]&gt;0),tblMiningDaily[[#This Row],[Explosives_kg]]/tblMiningDaily[[#This Row],[Blast_t]],"")</f>
        <v/>
      </c>
    </row>
    <row r="49">
      <c r="A49" s="54" t="n">
        <v>46066</v>
      </c>
      <c r="B49" s="55" t="n"/>
      <c r="C49" s="55" t="n"/>
      <c r="D49" s="55" t="n"/>
      <c r="E49" s="55" t="n"/>
      <c r="F49" s="55" t="n"/>
      <c r="G49" s="58" t="n"/>
      <c r="H49" s="65">
        <f>IF(AND(tblMiningDaily[[#This Row],[Blast_t]]&lt;&gt;"",tblMiningDaily[[#This Row],[Blast_t]]&gt;0),tblMiningDaily[[#This Row],[Explosives_kg]]/tblMiningDaily[[#This Row],[Blast_t]],"")</f>
        <v/>
      </c>
    </row>
    <row r="50">
      <c r="A50" s="54" t="n">
        <v>46067</v>
      </c>
      <c r="B50" s="55" t="n"/>
      <c r="C50" s="55" t="n"/>
      <c r="D50" s="55" t="n"/>
      <c r="E50" s="55" t="n"/>
      <c r="F50" s="55" t="n"/>
      <c r="G50" s="58" t="n"/>
      <c r="H50" s="65">
        <f>IF(AND(tblMiningDaily[[#This Row],[Blast_t]]&lt;&gt;"",tblMiningDaily[[#This Row],[Blast_t]]&gt;0),tblMiningDaily[[#This Row],[Explosives_kg]]/tblMiningDaily[[#This Row],[Blast_t]],"")</f>
        <v/>
      </c>
    </row>
    <row r="51">
      <c r="A51" s="54" t="n">
        <v>46068</v>
      </c>
      <c r="B51" s="55" t="n"/>
      <c r="C51" s="55" t="n"/>
      <c r="D51" s="55" t="n"/>
      <c r="E51" s="55" t="n"/>
      <c r="F51" s="55" t="n"/>
      <c r="G51" s="58" t="n"/>
      <c r="H51" s="65">
        <f>IF(AND(tblMiningDaily[[#This Row],[Blast_t]]&lt;&gt;"",tblMiningDaily[[#This Row],[Blast_t]]&gt;0),tblMiningDaily[[#This Row],[Explosives_kg]]/tblMiningDaily[[#This Row],[Blast_t]],"")</f>
        <v/>
      </c>
    </row>
    <row r="52">
      <c r="A52" s="54" t="n">
        <v>46069</v>
      </c>
      <c r="B52" s="55" t="n"/>
      <c r="C52" s="55" t="n"/>
      <c r="D52" s="55" t="n"/>
      <c r="E52" s="55" t="n"/>
      <c r="F52" s="55" t="n"/>
      <c r="G52" s="58" t="n"/>
      <c r="H52" s="65">
        <f>IF(AND(tblMiningDaily[[#This Row],[Blast_t]]&lt;&gt;"",tblMiningDaily[[#This Row],[Blast_t]]&gt;0),tblMiningDaily[[#This Row],[Explosives_kg]]/tblMiningDaily[[#This Row],[Blast_t]],"")</f>
        <v/>
      </c>
    </row>
    <row r="53">
      <c r="A53" s="54" t="n">
        <v>46070</v>
      </c>
      <c r="B53" s="55" t="n"/>
      <c r="C53" s="55" t="n"/>
      <c r="D53" s="55" t="n"/>
      <c r="E53" s="55" t="n"/>
      <c r="F53" s="55" t="n"/>
      <c r="G53" s="58" t="n"/>
      <c r="H53" s="65">
        <f>IF(AND(tblMiningDaily[[#This Row],[Blast_t]]&lt;&gt;"",tblMiningDaily[[#This Row],[Blast_t]]&gt;0),tblMiningDaily[[#This Row],[Explosives_kg]]/tblMiningDaily[[#This Row],[Blast_t]],"")</f>
        <v/>
      </c>
    </row>
    <row r="54">
      <c r="A54" s="54" t="n">
        <v>46071</v>
      </c>
      <c r="B54" s="55" t="n"/>
      <c r="C54" s="55" t="n"/>
      <c r="D54" s="55" t="n"/>
      <c r="E54" s="55" t="n"/>
      <c r="F54" s="55" t="n"/>
      <c r="G54" s="58" t="n"/>
      <c r="H54" s="65">
        <f>IF(AND(tblMiningDaily[[#This Row],[Blast_t]]&lt;&gt;"",tblMiningDaily[[#This Row],[Blast_t]]&gt;0),tblMiningDaily[[#This Row],[Explosives_kg]]/tblMiningDaily[[#This Row],[Blast_t]],"")</f>
        <v/>
      </c>
    </row>
    <row r="55">
      <c r="A55" s="54" t="n">
        <v>46072</v>
      </c>
      <c r="B55" s="55" t="n"/>
      <c r="C55" s="55" t="n"/>
      <c r="D55" s="55" t="n"/>
      <c r="E55" s="55" t="n"/>
      <c r="F55" s="55" t="n"/>
      <c r="G55" s="58" t="n"/>
      <c r="H55" s="65">
        <f>IF(AND(tblMiningDaily[[#This Row],[Blast_t]]&lt;&gt;"",tblMiningDaily[[#This Row],[Blast_t]]&gt;0),tblMiningDaily[[#This Row],[Explosives_kg]]/tblMiningDaily[[#This Row],[Blast_t]],"")</f>
        <v/>
      </c>
    </row>
    <row r="56">
      <c r="A56" s="54" t="n">
        <v>46073</v>
      </c>
      <c r="B56" s="55" t="n"/>
      <c r="C56" s="55" t="n"/>
      <c r="D56" s="55" t="n"/>
      <c r="E56" s="55" t="n"/>
      <c r="F56" s="55" t="n"/>
      <c r="G56" s="58" t="n"/>
      <c r="H56" s="65">
        <f>IF(AND(tblMiningDaily[[#This Row],[Blast_t]]&lt;&gt;"",tblMiningDaily[[#This Row],[Blast_t]]&gt;0),tblMiningDaily[[#This Row],[Explosives_kg]]/tblMiningDaily[[#This Row],[Blast_t]],"")</f>
        <v/>
      </c>
    </row>
    <row r="57">
      <c r="A57" s="54" t="n">
        <v>46074</v>
      </c>
      <c r="B57" s="55" t="n"/>
      <c r="C57" s="55" t="n"/>
      <c r="D57" s="55" t="n"/>
      <c r="E57" s="55" t="n"/>
      <c r="F57" s="55" t="n"/>
      <c r="G57" s="58" t="n"/>
      <c r="H57" s="65">
        <f>IF(AND(tblMiningDaily[[#This Row],[Blast_t]]&lt;&gt;"",tblMiningDaily[[#This Row],[Blast_t]]&gt;0),tblMiningDaily[[#This Row],[Explosives_kg]]/tblMiningDaily[[#This Row],[Blast_t]],"")</f>
        <v/>
      </c>
    </row>
    <row r="58">
      <c r="A58" s="54" t="n">
        <v>46075</v>
      </c>
      <c r="B58" s="55" t="n"/>
      <c r="C58" s="55" t="n"/>
      <c r="D58" s="55" t="n"/>
      <c r="E58" s="55" t="n"/>
      <c r="F58" s="55" t="n"/>
      <c r="G58" s="58" t="n"/>
      <c r="H58" s="65">
        <f>IF(AND(tblMiningDaily[[#This Row],[Blast_t]]&lt;&gt;"",tblMiningDaily[[#This Row],[Blast_t]]&gt;0),tblMiningDaily[[#This Row],[Explosives_kg]]/tblMiningDaily[[#This Row],[Blast_t]],"")</f>
        <v/>
      </c>
    </row>
    <row r="59">
      <c r="A59" s="54" t="n">
        <v>46076</v>
      </c>
      <c r="B59" s="55" t="n"/>
      <c r="C59" s="55" t="n"/>
      <c r="D59" s="55" t="n"/>
      <c r="E59" s="55" t="n"/>
      <c r="F59" s="55" t="n"/>
      <c r="G59" s="58" t="n"/>
      <c r="H59" s="65">
        <f>IF(AND(tblMiningDaily[[#This Row],[Blast_t]]&lt;&gt;"",tblMiningDaily[[#This Row],[Blast_t]]&gt;0),tblMiningDaily[[#This Row],[Explosives_kg]]/tblMiningDaily[[#This Row],[Blast_t]],"")</f>
        <v/>
      </c>
    </row>
    <row r="60">
      <c r="A60" s="54" t="n">
        <v>46077</v>
      </c>
      <c r="B60" s="55" t="n"/>
      <c r="C60" s="55" t="n"/>
      <c r="D60" s="55" t="n"/>
      <c r="E60" s="55" t="n"/>
      <c r="F60" s="55" t="n"/>
      <c r="G60" s="58" t="n"/>
      <c r="H60" s="65">
        <f>IF(AND(tblMiningDaily[[#This Row],[Blast_t]]&lt;&gt;"",tblMiningDaily[[#This Row],[Blast_t]]&gt;0),tblMiningDaily[[#This Row],[Explosives_kg]]/tblMiningDaily[[#This Row],[Blast_t]],"")</f>
        <v/>
      </c>
    </row>
    <row r="61">
      <c r="A61" s="54" t="n">
        <v>46078</v>
      </c>
      <c r="B61" s="55" t="n"/>
      <c r="C61" s="55" t="n"/>
      <c r="D61" s="55" t="n"/>
      <c r="E61" s="55" t="n"/>
      <c r="F61" s="55" t="n"/>
      <c r="G61" s="58" t="n"/>
      <c r="H61" s="65">
        <f>IF(AND(tblMiningDaily[[#This Row],[Blast_t]]&lt;&gt;"",tblMiningDaily[[#This Row],[Blast_t]]&gt;0),tblMiningDaily[[#This Row],[Explosives_kg]]/tblMiningDaily[[#This Row],[Blast_t]],"")</f>
        <v/>
      </c>
    </row>
    <row r="62">
      <c r="A62" s="54" t="n">
        <v>46079</v>
      </c>
      <c r="B62" s="55" t="n"/>
      <c r="C62" s="55" t="n"/>
      <c r="D62" s="55" t="n"/>
      <c r="E62" s="55" t="n"/>
      <c r="F62" s="55" t="n"/>
      <c r="G62" s="58" t="n"/>
      <c r="H62" s="65">
        <f>IF(AND(tblMiningDaily[[#This Row],[Blast_t]]&lt;&gt;"",tblMiningDaily[[#This Row],[Blast_t]]&gt;0),tblMiningDaily[[#This Row],[Explosives_kg]]/tblMiningDaily[[#This Row],[Blast_t]],"")</f>
        <v/>
      </c>
    </row>
    <row r="63">
      <c r="A63" s="54" t="n">
        <v>46080</v>
      </c>
      <c r="B63" s="55" t="n"/>
      <c r="C63" s="55" t="n"/>
      <c r="D63" s="55" t="n"/>
      <c r="E63" s="55" t="n"/>
      <c r="F63" s="55" t="n"/>
      <c r="G63" s="58" t="n"/>
      <c r="H63" s="65">
        <f>IF(AND(tblMiningDaily[[#This Row],[Blast_t]]&lt;&gt;"",tblMiningDaily[[#This Row],[Blast_t]]&gt;0),tblMiningDaily[[#This Row],[Explosives_kg]]/tblMiningDaily[[#This Row],[Blast_t]],"")</f>
        <v/>
      </c>
    </row>
    <row r="64">
      <c r="A64" s="54" t="n">
        <v>46081</v>
      </c>
      <c r="B64" s="55" t="n"/>
      <c r="C64" s="55" t="n"/>
      <c r="D64" s="55" t="n"/>
      <c r="E64" s="55" t="n"/>
      <c r="F64" s="55" t="n"/>
      <c r="G64" s="58" t="n"/>
      <c r="H64" s="65">
        <f>IF(AND(tblMiningDaily[[#This Row],[Blast_t]]&lt;&gt;"",tblMiningDaily[[#This Row],[Blast_t]]&gt;0),tblMiningDaily[[#This Row],[Explosives_kg]]/tblMiningDaily[[#This Row],[Blast_t]],"")</f>
        <v/>
      </c>
    </row>
    <row r="65">
      <c r="A65" s="54" t="n">
        <v>46082</v>
      </c>
      <c r="B65" s="55" t="n"/>
      <c r="C65" s="55" t="n"/>
      <c r="D65" s="55" t="n"/>
      <c r="E65" s="55" t="n"/>
      <c r="F65" s="55" t="n"/>
      <c r="G65" s="58" t="n"/>
      <c r="H65" s="65">
        <f>IF(AND(tblMiningDaily[[#This Row],[Blast_t]]&lt;&gt;"",tblMiningDaily[[#This Row],[Blast_t]]&gt;0),tblMiningDaily[[#This Row],[Explosives_kg]]/tblMiningDaily[[#This Row],[Blast_t]],"")</f>
        <v/>
      </c>
    </row>
    <row r="66">
      <c r="A66" s="54" t="n">
        <v>46083</v>
      </c>
      <c r="B66" s="55" t="n"/>
      <c r="C66" s="55" t="n"/>
      <c r="D66" s="55" t="n"/>
      <c r="E66" s="55" t="n"/>
      <c r="F66" s="55" t="n"/>
      <c r="G66" s="58" t="n"/>
      <c r="H66" s="65">
        <f>IF(AND(tblMiningDaily[[#This Row],[Blast_t]]&lt;&gt;"",tblMiningDaily[[#This Row],[Blast_t]]&gt;0),tblMiningDaily[[#This Row],[Explosives_kg]]/tblMiningDaily[[#This Row],[Blast_t]],"")</f>
        <v/>
      </c>
    </row>
    <row r="67">
      <c r="A67" s="54" t="n">
        <v>46084</v>
      </c>
      <c r="B67" s="55" t="n"/>
      <c r="C67" s="55" t="n"/>
      <c r="D67" s="55" t="n"/>
      <c r="E67" s="55" t="n"/>
      <c r="F67" s="55" t="n"/>
      <c r="G67" s="58" t="n"/>
      <c r="H67" s="65">
        <f>IF(AND(tblMiningDaily[[#This Row],[Blast_t]]&lt;&gt;"",tblMiningDaily[[#This Row],[Blast_t]]&gt;0),tblMiningDaily[[#This Row],[Explosives_kg]]/tblMiningDaily[[#This Row],[Blast_t]],"")</f>
        <v/>
      </c>
    </row>
    <row r="68">
      <c r="A68" s="54" t="n">
        <v>46085</v>
      </c>
      <c r="B68" s="55" t="n"/>
      <c r="C68" s="55" t="n"/>
      <c r="D68" s="55" t="n"/>
      <c r="E68" s="55" t="n"/>
      <c r="F68" s="55" t="n"/>
      <c r="G68" s="58" t="n"/>
      <c r="H68" s="65">
        <f>IF(AND(tblMiningDaily[[#This Row],[Blast_t]]&lt;&gt;"",tblMiningDaily[[#This Row],[Blast_t]]&gt;0),tblMiningDaily[[#This Row],[Explosives_kg]]/tblMiningDaily[[#This Row],[Blast_t]],"")</f>
        <v/>
      </c>
    </row>
    <row r="69">
      <c r="A69" s="54" t="n">
        <v>46086</v>
      </c>
      <c r="B69" s="55" t="n"/>
      <c r="C69" s="55" t="n"/>
      <c r="D69" s="55" t="n"/>
      <c r="E69" s="55" t="n"/>
      <c r="F69" s="55" t="n"/>
      <c r="G69" s="58" t="n"/>
      <c r="H69" s="65">
        <f>IF(AND(tblMiningDaily[[#This Row],[Blast_t]]&lt;&gt;"",tblMiningDaily[[#This Row],[Blast_t]]&gt;0),tblMiningDaily[[#This Row],[Explosives_kg]]/tblMiningDaily[[#This Row],[Blast_t]],"")</f>
        <v/>
      </c>
    </row>
    <row r="70">
      <c r="A70" s="54" t="n">
        <v>46087</v>
      </c>
      <c r="B70" s="55" t="n"/>
      <c r="C70" s="55" t="n"/>
      <c r="D70" s="55" t="n"/>
      <c r="E70" s="55" t="n"/>
      <c r="F70" s="55" t="n"/>
      <c r="G70" s="58" t="n"/>
      <c r="H70" s="65">
        <f>IF(AND(tblMiningDaily[[#This Row],[Blast_t]]&lt;&gt;"",tblMiningDaily[[#This Row],[Blast_t]]&gt;0),tblMiningDaily[[#This Row],[Explosives_kg]]/tblMiningDaily[[#This Row],[Blast_t]],"")</f>
        <v/>
      </c>
    </row>
    <row r="71">
      <c r="A71" s="54" t="n">
        <v>46088</v>
      </c>
      <c r="B71" s="55" t="n"/>
      <c r="C71" s="55" t="n"/>
      <c r="D71" s="55" t="n"/>
      <c r="E71" s="55" t="n"/>
      <c r="F71" s="55" t="n"/>
      <c r="G71" s="58" t="n"/>
      <c r="H71" s="65">
        <f>IF(AND(tblMiningDaily[[#This Row],[Blast_t]]&lt;&gt;"",tblMiningDaily[[#This Row],[Blast_t]]&gt;0),tblMiningDaily[[#This Row],[Explosives_kg]]/tblMiningDaily[[#This Row],[Blast_t]],"")</f>
        <v/>
      </c>
    </row>
    <row r="72">
      <c r="A72" s="54" t="n">
        <v>46089</v>
      </c>
      <c r="B72" s="55" t="n"/>
      <c r="C72" s="55" t="n"/>
      <c r="D72" s="55" t="n"/>
      <c r="E72" s="55" t="n"/>
      <c r="F72" s="55" t="n"/>
      <c r="G72" s="58" t="n"/>
      <c r="H72" s="65">
        <f>IF(AND(tblMiningDaily[[#This Row],[Blast_t]]&lt;&gt;"",tblMiningDaily[[#This Row],[Blast_t]]&gt;0),tblMiningDaily[[#This Row],[Explosives_kg]]/tblMiningDaily[[#This Row],[Blast_t]],"")</f>
        <v/>
      </c>
    </row>
    <row r="73">
      <c r="A73" s="54" t="n">
        <v>46090</v>
      </c>
      <c r="B73" s="55" t="n"/>
      <c r="C73" s="55" t="n"/>
      <c r="D73" s="55" t="n"/>
      <c r="E73" s="55" t="n"/>
      <c r="F73" s="55" t="n"/>
      <c r="G73" s="58" t="n"/>
      <c r="H73" s="65">
        <f>IF(AND(tblMiningDaily[[#This Row],[Blast_t]]&lt;&gt;"",tblMiningDaily[[#This Row],[Blast_t]]&gt;0),tblMiningDaily[[#This Row],[Explosives_kg]]/tblMiningDaily[[#This Row],[Blast_t]],"")</f>
        <v/>
      </c>
    </row>
    <row r="74">
      <c r="A74" s="54" t="n">
        <v>46091</v>
      </c>
      <c r="B74" s="55" t="n"/>
      <c r="C74" s="55" t="n"/>
      <c r="D74" s="55" t="n"/>
      <c r="E74" s="55" t="n"/>
      <c r="F74" s="55" t="n"/>
      <c r="G74" s="58" t="n"/>
      <c r="H74" s="65">
        <f>IF(AND(tblMiningDaily[[#This Row],[Blast_t]]&lt;&gt;"",tblMiningDaily[[#This Row],[Blast_t]]&gt;0),tblMiningDaily[[#This Row],[Explosives_kg]]/tblMiningDaily[[#This Row],[Blast_t]],"")</f>
        <v/>
      </c>
    </row>
    <row r="75">
      <c r="A75" s="54" t="n">
        <v>46092</v>
      </c>
      <c r="B75" s="55" t="n"/>
      <c r="C75" s="55" t="n"/>
      <c r="D75" s="55" t="n"/>
      <c r="E75" s="55" t="n"/>
      <c r="F75" s="55" t="n"/>
      <c r="G75" s="58" t="n"/>
      <c r="H75" s="65">
        <f>IF(AND(tblMiningDaily[[#This Row],[Blast_t]]&lt;&gt;"",tblMiningDaily[[#This Row],[Blast_t]]&gt;0),tblMiningDaily[[#This Row],[Explosives_kg]]/tblMiningDaily[[#This Row],[Blast_t]],"")</f>
        <v/>
      </c>
    </row>
    <row r="76">
      <c r="A76" s="54" t="n">
        <v>46093</v>
      </c>
      <c r="B76" s="55" t="n"/>
      <c r="C76" s="55" t="n"/>
      <c r="D76" s="55" t="n"/>
      <c r="E76" s="55" t="n"/>
      <c r="F76" s="55" t="n"/>
      <c r="G76" s="58" t="n"/>
      <c r="H76" s="65">
        <f>IF(AND(tblMiningDaily[[#This Row],[Blast_t]]&lt;&gt;"",tblMiningDaily[[#This Row],[Blast_t]]&gt;0),tblMiningDaily[[#This Row],[Explosives_kg]]/tblMiningDaily[[#This Row],[Blast_t]],"")</f>
        <v/>
      </c>
    </row>
    <row r="77">
      <c r="A77" s="54" t="n">
        <v>46094</v>
      </c>
      <c r="B77" s="55" t="n"/>
      <c r="C77" s="55" t="n"/>
      <c r="D77" s="55" t="n"/>
      <c r="E77" s="55" t="n"/>
      <c r="F77" s="55" t="n"/>
      <c r="G77" s="58" t="n"/>
      <c r="H77" s="65">
        <f>IF(AND(tblMiningDaily[[#This Row],[Blast_t]]&lt;&gt;"",tblMiningDaily[[#This Row],[Blast_t]]&gt;0),tblMiningDaily[[#This Row],[Explosives_kg]]/tblMiningDaily[[#This Row],[Blast_t]],"")</f>
        <v/>
      </c>
    </row>
    <row r="78">
      <c r="A78" s="54" t="n">
        <v>46095</v>
      </c>
      <c r="B78" s="55" t="n"/>
      <c r="C78" s="55" t="n"/>
      <c r="D78" s="55" t="n"/>
      <c r="E78" s="55" t="n"/>
      <c r="F78" s="55" t="n"/>
      <c r="G78" s="58" t="n"/>
      <c r="H78" s="65">
        <f>IF(AND(tblMiningDaily[[#This Row],[Blast_t]]&lt;&gt;"",tblMiningDaily[[#This Row],[Blast_t]]&gt;0),tblMiningDaily[[#This Row],[Explosives_kg]]/tblMiningDaily[[#This Row],[Blast_t]],"")</f>
        <v/>
      </c>
    </row>
    <row r="79">
      <c r="A79" s="54" t="n">
        <v>46096</v>
      </c>
      <c r="B79" s="55" t="n"/>
      <c r="C79" s="55" t="n"/>
      <c r="D79" s="55" t="n"/>
      <c r="E79" s="55" t="n"/>
      <c r="F79" s="55" t="n"/>
      <c r="G79" s="58" t="n"/>
      <c r="H79" s="65">
        <f>IF(AND(tblMiningDaily[[#This Row],[Blast_t]]&lt;&gt;"",tblMiningDaily[[#This Row],[Blast_t]]&gt;0),tblMiningDaily[[#This Row],[Explosives_kg]]/tblMiningDaily[[#This Row],[Blast_t]],"")</f>
        <v/>
      </c>
    </row>
    <row r="80">
      <c r="A80" s="54" t="n">
        <v>46097</v>
      </c>
      <c r="B80" s="55" t="n"/>
      <c r="C80" s="55" t="n"/>
      <c r="D80" s="55" t="n"/>
      <c r="E80" s="55" t="n"/>
      <c r="F80" s="55" t="n"/>
      <c r="G80" s="58" t="n"/>
      <c r="H80" s="65">
        <f>IF(AND(tblMiningDaily[[#This Row],[Blast_t]]&lt;&gt;"",tblMiningDaily[[#This Row],[Blast_t]]&gt;0),tblMiningDaily[[#This Row],[Explosives_kg]]/tblMiningDaily[[#This Row],[Blast_t]],"")</f>
        <v/>
      </c>
    </row>
    <row r="81">
      <c r="A81" s="54" t="n">
        <v>46098</v>
      </c>
      <c r="B81" s="55" t="n"/>
      <c r="C81" s="55" t="n"/>
      <c r="D81" s="55" t="n"/>
      <c r="E81" s="55" t="n"/>
      <c r="F81" s="55" t="n"/>
      <c r="G81" s="58" t="n"/>
      <c r="H81" s="65">
        <f>IF(AND(tblMiningDaily[[#This Row],[Blast_t]]&lt;&gt;"",tblMiningDaily[[#This Row],[Blast_t]]&gt;0),tblMiningDaily[[#This Row],[Explosives_kg]]/tblMiningDaily[[#This Row],[Blast_t]],"")</f>
        <v/>
      </c>
    </row>
    <row r="82">
      <c r="A82" s="54" t="n">
        <v>46099</v>
      </c>
      <c r="B82" s="55" t="n"/>
      <c r="C82" s="55" t="n"/>
      <c r="D82" s="55" t="n"/>
      <c r="E82" s="55" t="n"/>
      <c r="F82" s="55" t="n"/>
      <c r="G82" s="58" t="n"/>
      <c r="H82" s="65">
        <f>IF(AND(tblMiningDaily[[#This Row],[Blast_t]]&lt;&gt;"",tblMiningDaily[[#This Row],[Blast_t]]&gt;0),tblMiningDaily[[#This Row],[Explosives_kg]]/tblMiningDaily[[#This Row],[Blast_t]],"")</f>
        <v/>
      </c>
    </row>
    <row r="83">
      <c r="A83" s="54" t="n">
        <v>46100</v>
      </c>
      <c r="B83" s="55" t="n"/>
      <c r="C83" s="55" t="n"/>
      <c r="D83" s="55" t="n"/>
      <c r="E83" s="55" t="n"/>
      <c r="F83" s="55" t="n"/>
      <c r="G83" s="58" t="n"/>
      <c r="H83" s="65">
        <f>IF(AND(tblMiningDaily[[#This Row],[Blast_t]]&lt;&gt;"",tblMiningDaily[[#This Row],[Blast_t]]&gt;0),tblMiningDaily[[#This Row],[Explosives_kg]]/tblMiningDaily[[#This Row],[Blast_t]],"")</f>
        <v/>
      </c>
    </row>
    <row r="84">
      <c r="A84" s="54" t="n">
        <v>46101</v>
      </c>
      <c r="B84" s="55" t="n"/>
      <c r="C84" s="55" t="n"/>
      <c r="D84" s="55" t="n"/>
      <c r="E84" s="55" t="n"/>
      <c r="F84" s="55" t="n"/>
      <c r="G84" s="58" t="n"/>
      <c r="H84" s="65">
        <f>IF(AND(tblMiningDaily[[#This Row],[Blast_t]]&lt;&gt;"",tblMiningDaily[[#This Row],[Blast_t]]&gt;0),tblMiningDaily[[#This Row],[Explosives_kg]]/tblMiningDaily[[#This Row],[Blast_t]],"")</f>
        <v/>
      </c>
    </row>
    <row r="85">
      <c r="A85" s="54" t="n">
        <v>46102</v>
      </c>
      <c r="B85" s="55" t="n"/>
      <c r="C85" s="55" t="n"/>
      <c r="D85" s="55" t="n"/>
      <c r="E85" s="55" t="n"/>
      <c r="F85" s="55" t="n"/>
      <c r="G85" s="58" t="n"/>
      <c r="H85" s="65">
        <f>IF(AND(tblMiningDaily[[#This Row],[Blast_t]]&lt;&gt;"",tblMiningDaily[[#This Row],[Blast_t]]&gt;0),tblMiningDaily[[#This Row],[Explosives_kg]]/tblMiningDaily[[#This Row],[Blast_t]],"")</f>
        <v/>
      </c>
    </row>
    <row r="86">
      <c r="A86" s="54" t="n">
        <v>46103</v>
      </c>
      <c r="B86" s="55" t="n"/>
      <c r="C86" s="55" t="n"/>
      <c r="D86" s="55" t="n"/>
      <c r="E86" s="55" t="n"/>
      <c r="F86" s="55" t="n"/>
      <c r="G86" s="58" t="n"/>
      <c r="H86" s="65">
        <f>IF(AND(tblMiningDaily[[#This Row],[Blast_t]]&lt;&gt;"",tblMiningDaily[[#This Row],[Blast_t]]&gt;0),tblMiningDaily[[#This Row],[Explosives_kg]]/tblMiningDaily[[#This Row],[Blast_t]],"")</f>
        <v/>
      </c>
    </row>
    <row r="87">
      <c r="A87" s="54" t="n">
        <v>46104</v>
      </c>
      <c r="B87" s="55" t="n"/>
      <c r="C87" s="55" t="n"/>
      <c r="D87" s="55" t="n"/>
      <c r="E87" s="55" t="n"/>
      <c r="F87" s="55" t="n"/>
      <c r="G87" s="58" t="n"/>
      <c r="H87" s="65">
        <f>IF(AND(tblMiningDaily[[#This Row],[Blast_t]]&lt;&gt;"",tblMiningDaily[[#This Row],[Blast_t]]&gt;0),tblMiningDaily[[#This Row],[Explosives_kg]]/tblMiningDaily[[#This Row],[Blast_t]],"")</f>
        <v/>
      </c>
    </row>
    <row r="88">
      <c r="A88" s="54" t="n">
        <v>46105</v>
      </c>
      <c r="B88" s="55" t="n"/>
      <c r="C88" s="55" t="n"/>
      <c r="D88" s="55" t="n"/>
      <c r="E88" s="55" t="n"/>
      <c r="F88" s="55" t="n"/>
      <c r="G88" s="58" t="n"/>
      <c r="H88" s="65">
        <f>IF(AND(tblMiningDaily[[#This Row],[Blast_t]]&lt;&gt;"",tblMiningDaily[[#This Row],[Blast_t]]&gt;0),tblMiningDaily[[#This Row],[Explosives_kg]]/tblMiningDaily[[#This Row],[Blast_t]],"")</f>
        <v/>
      </c>
    </row>
    <row r="89">
      <c r="A89" s="54" t="n">
        <v>46106</v>
      </c>
      <c r="B89" s="55" t="n"/>
      <c r="C89" s="55" t="n"/>
      <c r="D89" s="55" t="n"/>
      <c r="E89" s="55" t="n"/>
      <c r="F89" s="55" t="n"/>
      <c r="G89" s="58" t="n"/>
      <c r="H89" s="65">
        <f>IF(AND(tblMiningDaily[[#This Row],[Blast_t]]&lt;&gt;"",tblMiningDaily[[#This Row],[Blast_t]]&gt;0),tblMiningDaily[[#This Row],[Explosives_kg]]/tblMiningDaily[[#This Row],[Blast_t]],"")</f>
        <v/>
      </c>
    </row>
    <row r="90">
      <c r="A90" s="54" t="n">
        <v>46107</v>
      </c>
      <c r="B90" s="55" t="n"/>
      <c r="C90" s="55" t="n"/>
      <c r="D90" s="55" t="n"/>
      <c r="E90" s="55" t="n"/>
      <c r="F90" s="55" t="n"/>
      <c r="G90" s="58" t="n"/>
      <c r="H90" s="65">
        <f>IF(AND(tblMiningDaily[[#This Row],[Blast_t]]&lt;&gt;"",tblMiningDaily[[#This Row],[Blast_t]]&gt;0),tblMiningDaily[[#This Row],[Explosives_kg]]/tblMiningDaily[[#This Row],[Blast_t]],"")</f>
        <v/>
      </c>
    </row>
    <row r="91">
      <c r="A91" s="54" t="n">
        <v>46108</v>
      </c>
      <c r="B91" s="55" t="n"/>
      <c r="C91" s="55" t="n"/>
      <c r="D91" s="55" t="n"/>
      <c r="E91" s="55" t="n"/>
      <c r="F91" s="55" t="n"/>
      <c r="G91" s="58" t="n"/>
      <c r="H91" s="65">
        <f>IF(AND(tblMiningDaily[[#This Row],[Blast_t]]&lt;&gt;"",tblMiningDaily[[#This Row],[Blast_t]]&gt;0),tblMiningDaily[[#This Row],[Explosives_kg]]/tblMiningDaily[[#This Row],[Blast_t]],"")</f>
        <v/>
      </c>
    </row>
    <row r="92">
      <c r="A92" s="54" t="n">
        <v>46109</v>
      </c>
      <c r="B92" s="55" t="n"/>
      <c r="C92" s="55" t="n"/>
      <c r="D92" s="55" t="n"/>
      <c r="E92" s="55" t="n"/>
      <c r="F92" s="55" t="n"/>
      <c r="G92" s="58" t="n"/>
      <c r="H92" s="65">
        <f>IF(AND(tblMiningDaily[[#This Row],[Blast_t]]&lt;&gt;"",tblMiningDaily[[#This Row],[Blast_t]]&gt;0),tblMiningDaily[[#This Row],[Explosives_kg]]/tblMiningDaily[[#This Row],[Blast_t]],"")</f>
        <v/>
      </c>
    </row>
    <row r="93">
      <c r="A93" s="54" t="n">
        <v>46110</v>
      </c>
      <c r="B93" s="55" t="n"/>
      <c r="C93" s="55" t="n"/>
      <c r="D93" s="55" t="n"/>
      <c r="E93" s="55" t="n"/>
      <c r="F93" s="55" t="n"/>
      <c r="G93" s="58" t="n"/>
      <c r="H93" s="65">
        <f>IF(AND(tblMiningDaily[[#This Row],[Blast_t]]&lt;&gt;"",tblMiningDaily[[#This Row],[Blast_t]]&gt;0),tblMiningDaily[[#This Row],[Explosives_kg]]/tblMiningDaily[[#This Row],[Blast_t]],"")</f>
        <v/>
      </c>
    </row>
    <row r="94">
      <c r="A94" s="54" t="n">
        <v>46111</v>
      </c>
      <c r="B94" s="55" t="n"/>
      <c r="C94" s="55" t="n"/>
      <c r="D94" s="55" t="n"/>
      <c r="E94" s="55" t="n"/>
      <c r="F94" s="55" t="n"/>
      <c r="G94" s="58" t="n"/>
      <c r="H94" s="65">
        <f>IF(AND(tblMiningDaily[[#This Row],[Blast_t]]&lt;&gt;"",tblMiningDaily[[#This Row],[Blast_t]]&gt;0),tblMiningDaily[[#This Row],[Explosives_kg]]/tblMiningDaily[[#This Row],[Blast_t]],"")</f>
        <v/>
      </c>
    </row>
    <row r="95">
      <c r="A95" s="54" t="n">
        <v>46112</v>
      </c>
      <c r="B95" s="55" t="n"/>
      <c r="C95" s="55" t="n"/>
      <c r="D95" s="55" t="n"/>
      <c r="E95" s="55" t="n"/>
      <c r="F95" s="55" t="n"/>
      <c r="G95" s="58" t="n"/>
      <c r="H95" s="65">
        <f>IF(AND(tblMiningDaily[[#This Row],[Blast_t]]&lt;&gt;"",tblMiningDaily[[#This Row],[Blast_t]]&gt;0),tblMiningDaily[[#This Row],[Explosives_kg]]/tblMiningDaily[[#This Row],[Blast_t]],"")</f>
        <v/>
      </c>
    </row>
    <row r="96">
      <c r="A96" s="54" t="n">
        <v>46113</v>
      </c>
      <c r="B96" s="55" t="n"/>
      <c r="C96" s="55" t="n"/>
      <c r="D96" s="55" t="n"/>
      <c r="E96" s="55" t="n"/>
      <c r="F96" s="55" t="n"/>
      <c r="G96" s="58" t="n"/>
      <c r="H96" s="65">
        <f>IF(AND(tblMiningDaily[[#This Row],[Blast_t]]&lt;&gt;"",tblMiningDaily[[#This Row],[Blast_t]]&gt;0),tblMiningDaily[[#This Row],[Explosives_kg]]/tblMiningDaily[[#This Row],[Blast_t]],"")</f>
        <v/>
      </c>
    </row>
    <row r="97">
      <c r="A97" s="54" t="n">
        <v>46114</v>
      </c>
      <c r="B97" s="55" t="n"/>
      <c r="C97" s="55" t="n"/>
      <c r="D97" s="55" t="n"/>
      <c r="E97" s="55" t="n"/>
      <c r="F97" s="55" t="n"/>
      <c r="G97" s="58" t="n"/>
      <c r="H97" s="65">
        <f>IF(AND(tblMiningDaily[[#This Row],[Blast_t]]&lt;&gt;"",tblMiningDaily[[#This Row],[Blast_t]]&gt;0),tblMiningDaily[[#This Row],[Explosives_kg]]/tblMiningDaily[[#This Row],[Blast_t]],"")</f>
        <v/>
      </c>
    </row>
    <row r="98">
      <c r="A98" s="54" t="n">
        <v>46115</v>
      </c>
      <c r="B98" s="55" t="n"/>
      <c r="C98" s="55" t="n"/>
      <c r="D98" s="55" t="n"/>
      <c r="E98" s="55" t="n"/>
      <c r="F98" s="55" t="n"/>
      <c r="G98" s="58" t="n"/>
      <c r="H98" s="65">
        <f>IF(AND(tblMiningDaily[[#This Row],[Blast_t]]&lt;&gt;"",tblMiningDaily[[#This Row],[Blast_t]]&gt;0),tblMiningDaily[[#This Row],[Explosives_kg]]/tblMiningDaily[[#This Row],[Blast_t]],"")</f>
        <v/>
      </c>
    </row>
    <row r="99">
      <c r="A99" s="54" t="n">
        <v>46116</v>
      </c>
      <c r="B99" s="55" t="n"/>
      <c r="C99" s="55" t="n"/>
      <c r="D99" s="55" t="n"/>
      <c r="E99" s="55" t="n"/>
      <c r="F99" s="55" t="n"/>
      <c r="G99" s="58" t="n"/>
      <c r="H99" s="65">
        <f>IF(AND(tblMiningDaily[[#This Row],[Blast_t]]&lt;&gt;"",tblMiningDaily[[#This Row],[Blast_t]]&gt;0),tblMiningDaily[[#This Row],[Explosives_kg]]/tblMiningDaily[[#This Row],[Blast_t]],"")</f>
        <v/>
      </c>
    </row>
    <row r="100">
      <c r="A100" s="54" t="n">
        <v>46117</v>
      </c>
      <c r="B100" s="55" t="n"/>
      <c r="C100" s="55" t="n"/>
      <c r="D100" s="55" t="n"/>
      <c r="E100" s="55" t="n"/>
      <c r="F100" s="55" t="n"/>
      <c r="G100" s="58" t="n"/>
      <c r="H100" s="65">
        <f>IF(AND(tblMiningDaily[[#This Row],[Blast_t]]&lt;&gt;"",tblMiningDaily[[#This Row],[Blast_t]]&gt;0),tblMiningDaily[[#This Row],[Explosives_kg]]/tblMiningDaily[[#This Row],[Blast_t]],"")</f>
        <v/>
      </c>
    </row>
    <row r="101">
      <c r="A101" s="54" t="n">
        <v>46118</v>
      </c>
      <c r="B101" s="55" t="n"/>
      <c r="C101" s="55" t="n"/>
      <c r="D101" s="55" t="n"/>
      <c r="E101" s="55" t="n"/>
      <c r="F101" s="55" t="n"/>
      <c r="G101" s="58" t="n"/>
      <c r="H101" s="65">
        <f>IF(AND(tblMiningDaily[[#This Row],[Blast_t]]&lt;&gt;"",tblMiningDaily[[#This Row],[Blast_t]]&gt;0),tblMiningDaily[[#This Row],[Explosives_kg]]/tblMiningDaily[[#This Row],[Blast_t]],"")</f>
        <v/>
      </c>
    </row>
    <row r="102">
      <c r="A102" s="54" t="n">
        <v>46119</v>
      </c>
      <c r="B102" s="55" t="n"/>
      <c r="C102" s="55" t="n"/>
      <c r="D102" s="55" t="n"/>
      <c r="E102" s="55" t="n"/>
      <c r="F102" s="55" t="n"/>
      <c r="G102" s="58" t="n"/>
      <c r="H102" s="65">
        <f>IF(AND(tblMiningDaily[[#This Row],[Blast_t]]&lt;&gt;"",tblMiningDaily[[#This Row],[Blast_t]]&gt;0),tblMiningDaily[[#This Row],[Explosives_kg]]/tblMiningDaily[[#This Row],[Blast_t]],"")</f>
        <v/>
      </c>
    </row>
    <row r="103">
      <c r="A103" s="54" t="n">
        <v>46120</v>
      </c>
      <c r="B103" s="55" t="n"/>
      <c r="C103" s="55" t="n"/>
      <c r="D103" s="55" t="n"/>
      <c r="E103" s="55" t="n"/>
      <c r="F103" s="55" t="n"/>
      <c r="G103" s="58" t="n"/>
      <c r="H103" s="65">
        <f>IF(AND(tblMiningDaily[[#This Row],[Blast_t]]&lt;&gt;"",tblMiningDaily[[#This Row],[Blast_t]]&gt;0),tblMiningDaily[[#This Row],[Explosives_kg]]/tblMiningDaily[[#This Row],[Blast_t]],"")</f>
        <v/>
      </c>
    </row>
    <row r="104">
      <c r="A104" s="54" t="n">
        <v>46121</v>
      </c>
      <c r="B104" s="55" t="n"/>
      <c r="C104" s="55" t="n"/>
      <c r="D104" s="55" t="n"/>
      <c r="E104" s="55" t="n"/>
      <c r="F104" s="55" t="n"/>
      <c r="G104" s="58" t="n"/>
      <c r="H104" s="65">
        <f>IF(AND(tblMiningDaily[[#This Row],[Blast_t]]&lt;&gt;"",tblMiningDaily[[#This Row],[Blast_t]]&gt;0),tblMiningDaily[[#This Row],[Explosives_kg]]/tblMiningDaily[[#This Row],[Blast_t]],"")</f>
        <v/>
      </c>
    </row>
    <row r="105">
      <c r="A105" s="54" t="n">
        <v>46122</v>
      </c>
      <c r="B105" s="55" t="n"/>
      <c r="C105" s="55" t="n"/>
      <c r="D105" s="55" t="n"/>
      <c r="E105" s="55" t="n"/>
      <c r="F105" s="55" t="n"/>
      <c r="G105" s="58" t="n"/>
      <c r="H105" s="65">
        <f>IF(AND(tblMiningDaily[[#This Row],[Blast_t]]&lt;&gt;"",tblMiningDaily[[#This Row],[Blast_t]]&gt;0),tblMiningDaily[[#This Row],[Explosives_kg]]/tblMiningDaily[[#This Row],[Blast_t]],"")</f>
        <v/>
      </c>
    </row>
    <row r="106">
      <c r="A106" s="54" t="n">
        <v>46123</v>
      </c>
      <c r="B106" s="55" t="n"/>
      <c r="C106" s="55" t="n"/>
      <c r="D106" s="55" t="n"/>
      <c r="E106" s="55" t="n"/>
      <c r="F106" s="55" t="n"/>
      <c r="G106" s="58" t="n"/>
      <c r="H106" s="65">
        <f>IF(AND(tblMiningDaily[[#This Row],[Blast_t]]&lt;&gt;"",tblMiningDaily[[#This Row],[Blast_t]]&gt;0),tblMiningDaily[[#This Row],[Explosives_kg]]/tblMiningDaily[[#This Row],[Blast_t]],"")</f>
        <v/>
      </c>
    </row>
    <row r="107">
      <c r="A107" s="54" t="n">
        <v>46124</v>
      </c>
      <c r="B107" s="55" t="n"/>
      <c r="C107" s="55" t="n"/>
      <c r="D107" s="55" t="n"/>
      <c r="E107" s="55" t="n"/>
      <c r="F107" s="55" t="n"/>
      <c r="G107" s="58" t="n"/>
      <c r="H107" s="65">
        <f>IF(AND(tblMiningDaily[[#This Row],[Blast_t]]&lt;&gt;"",tblMiningDaily[[#This Row],[Blast_t]]&gt;0),tblMiningDaily[[#This Row],[Explosives_kg]]/tblMiningDaily[[#This Row],[Blast_t]],"")</f>
        <v/>
      </c>
    </row>
    <row r="108">
      <c r="A108" s="54" t="n">
        <v>46125</v>
      </c>
      <c r="B108" s="55" t="n"/>
      <c r="C108" s="55" t="n"/>
      <c r="D108" s="55" t="n"/>
      <c r="E108" s="55" t="n"/>
      <c r="F108" s="55" t="n"/>
      <c r="G108" s="58" t="n"/>
      <c r="H108" s="65">
        <f>IF(AND(tblMiningDaily[[#This Row],[Blast_t]]&lt;&gt;"",tblMiningDaily[[#This Row],[Blast_t]]&gt;0),tblMiningDaily[[#This Row],[Explosives_kg]]/tblMiningDaily[[#This Row],[Blast_t]],"")</f>
        <v/>
      </c>
    </row>
    <row r="109">
      <c r="A109" s="54" t="n">
        <v>46126</v>
      </c>
      <c r="B109" s="55" t="n"/>
      <c r="C109" s="55" t="n"/>
      <c r="D109" s="55" t="n"/>
      <c r="E109" s="55" t="n"/>
      <c r="F109" s="55" t="n"/>
      <c r="G109" s="58" t="n"/>
      <c r="H109" s="65">
        <f>IF(AND(tblMiningDaily[[#This Row],[Blast_t]]&lt;&gt;"",tblMiningDaily[[#This Row],[Blast_t]]&gt;0),tblMiningDaily[[#This Row],[Explosives_kg]]/tblMiningDaily[[#This Row],[Blast_t]],"")</f>
        <v/>
      </c>
    </row>
    <row r="110">
      <c r="A110" s="54" t="n">
        <v>46127</v>
      </c>
      <c r="B110" s="55" t="n"/>
      <c r="C110" s="55" t="n"/>
      <c r="D110" s="55" t="n"/>
      <c r="E110" s="55" t="n"/>
      <c r="F110" s="55" t="n"/>
      <c r="G110" s="58" t="n"/>
      <c r="H110" s="65">
        <f>IF(AND(tblMiningDaily[[#This Row],[Blast_t]]&lt;&gt;"",tblMiningDaily[[#This Row],[Blast_t]]&gt;0),tblMiningDaily[[#This Row],[Explosives_kg]]/tblMiningDaily[[#This Row],[Blast_t]],"")</f>
        <v/>
      </c>
    </row>
    <row r="111">
      <c r="A111" s="54" t="n">
        <v>46128</v>
      </c>
      <c r="B111" s="55" t="n"/>
      <c r="C111" s="55" t="n"/>
      <c r="D111" s="55" t="n"/>
      <c r="E111" s="55" t="n"/>
      <c r="F111" s="55" t="n"/>
      <c r="G111" s="58" t="n"/>
      <c r="H111" s="65">
        <f>IF(AND(tblMiningDaily[[#This Row],[Blast_t]]&lt;&gt;"",tblMiningDaily[[#This Row],[Blast_t]]&gt;0),tblMiningDaily[[#This Row],[Explosives_kg]]/tblMiningDaily[[#This Row],[Blast_t]],"")</f>
        <v/>
      </c>
    </row>
    <row r="112">
      <c r="A112" s="54" t="n">
        <v>46129</v>
      </c>
      <c r="B112" s="55" t="n"/>
      <c r="C112" s="55" t="n"/>
      <c r="D112" s="55" t="n"/>
      <c r="E112" s="55" t="n"/>
      <c r="F112" s="55" t="n"/>
      <c r="G112" s="58" t="n"/>
      <c r="H112" s="65">
        <f>IF(AND(tblMiningDaily[[#This Row],[Blast_t]]&lt;&gt;"",tblMiningDaily[[#This Row],[Blast_t]]&gt;0),tblMiningDaily[[#This Row],[Explosives_kg]]/tblMiningDaily[[#This Row],[Blast_t]],"")</f>
        <v/>
      </c>
    </row>
    <row r="113">
      <c r="A113" s="54" t="n">
        <v>46130</v>
      </c>
      <c r="B113" s="55" t="n"/>
      <c r="C113" s="55" t="n"/>
      <c r="D113" s="55" t="n"/>
      <c r="E113" s="55" t="n"/>
      <c r="F113" s="55" t="n"/>
      <c r="G113" s="58" t="n"/>
      <c r="H113" s="65">
        <f>IF(AND(tblMiningDaily[[#This Row],[Blast_t]]&lt;&gt;"",tblMiningDaily[[#This Row],[Blast_t]]&gt;0),tblMiningDaily[[#This Row],[Explosives_kg]]/tblMiningDaily[[#This Row],[Blast_t]],"")</f>
        <v/>
      </c>
    </row>
    <row r="114">
      <c r="A114" s="54" t="n">
        <v>46131</v>
      </c>
      <c r="B114" s="55" t="n"/>
      <c r="C114" s="55" t="n"/>
      <c r="D114" s="55" t="n"/>
      <c r="E114" s="55" t="n"/>
      <c r="F114" s="55" t="n"/>
      <c r="G114" s="58" t="n"/>
      <c r="H114" s="65">
        <f>IF(AND(tblMiningDaily[[#This Row],[Blast_t]]&lt;&gt;"",tblMiningDaily[[#This Row],[Blast_t]]&gt;0),tblMiningDaily[[#This Row],[Explosives_kg]]/tblMiningDaily[[#This Row],[Blast_t]],"")</f>
        <v/>
      </c>
    </row>
    <row r="115">
      <c r="A115" s="54" t="n">
        <v>46132</v>
      </c>
      <c r="B115" s="55" t="n"/>
      <c r="C115" s="55" t="n"/>
      <c r="D115" s="55" t="n"/>
      <c r="E115" s="55" t="n"/>
      <c r="F115" s="55" t="n"/>
      <c r="G115" s="58" t="n"/>
      <c r="H115" s="65">
        <f>IF(AND(tblMiningDaily[[#This Row],[Blast_t]]&lt;&gt;"",tblMiningDaily[[#This Row],[Blast_t]]&gt;0),tblMiningDaily[[#This Row],[Explosives_kg]]/tblMiningDaily[[#This Row],[Blast_t]],"")</f>
        <v/>
      </c>
    </row>
    <row r="116">
      <c r="A116" s="54" t="n">
        <v>46133</v>
      </c>
      <c r="B116" s="55" t="n"/>
      <c r="C116" s="55" t="n"/>
      <c r="D116" s="55" t="n"/>
      <c r="E116" s="55" t="n"/>
      <c r="F116" s="55" t="n"/>
      <c r="G116" s="58" t="n"/>
      <c r="H116" s="65">
        <f>IF(AND(tblMiningDaily[[#This Row],[Blast_t]]&lt;&gt;"",tblMiningDaily[[#This Row],[Blast_t]]&gt;0),tblMiningDaily[[#This Row],[Explosives_kg]]/tblMiningDaily[[#This Row],[Blast_t]],"")</f>
        <v/>
      </c>
    </row>
    <row r="117">
      <c r="A117" s="54" t="n">
        <v>46134</v>
      </c>
      <c r="B117" s="55" t="n"/>
      <c r="C117" s="55" t="n"/>
      <c r="D117" s="55" t="n"/>
      <c r="E117" s="55" t="n"/>
      <c r="F117" s="55" t="n"/>
      <c r="G117" s="58" t="n"/>
      <c r="H117" s="65">
        <f>IF(AND(tblMiningDaily[[#This Row],[Blast_t]]&lt;&gt;"",tblMiningDaily[[#This Row],[Blast_t]]&gt;0),tblMiningDaily[[#This Row],[Explosives_kg]]/tblMiningDaily[[#This Row],[Blast_t]],"")</f>
        <v/>
      </c>
    </row>
    <row r="118">
      <c r="A118" s="54" t="n">
        <v>46135</v>
      </c>
      <c r="B118" s="55" t="n"/>
      <c r="C118" s="55" t="n"/>
      <c r="D118" s="55" t="n"/>
      <c r="E118" s="55" t="n"/>
      <c r="F118" s="55" t="n"/>
      <c r="G118" s="58" t="n"/>
      <c r="H118" s="65">
        <f>IF(AND(tblMiningDaily[[#This Row],[Blast_t]]&lt;&gt;"",tblMiningDaily[[#This Row],[Blast_t]]&gt;0),tblMiningDaily[[#This Row],[Explosives_kg]]/tblMiningDaily[[#This Row],[Blast_t]],"")</f>
        <v/>
      </c>
    </row>
    <row r="119">
      <c r="A119" s="54" t="n">
        <v>46136</v>
      </c>
      <c r="B119" s="55" t="n"/>
      <c r="C119" s="55" t="n"/>
      <c r="D119" s="55" t="n"/>
      <c r="E119" s="55" t="n"/>
      <c r="F119" s="55" t="n"/>
      <c r="G119" s="58" t="n"/>
      <c r="H119" s="65">
        <f>IF(AND(tblMiningDaily[[#This Row],[Blast_t]]&lt;&gt;"",tblMiningDaily[[#This Row],[Blast_t]]&gt;0),tblMiningDaily[[#This Row],[Explosives_kg]]/tblMiningDaily[[#This Row],[Blast_t]],"")</f>
        <v/>
      </c>
    </row>
    <row r="120">
      <c r="A120" s="54" t="n">
        <v>46137</v>
      </c>
      <c r="B120" s="55" t="n"/>
      <c r="C120" s="55" t="n"/>
      <c r="D120" s="55" t="n"/>
      <c r="E120" s="55" t="n"/>
      <c r="F120" s="55" t="n"/>
      <c r="G120" s="58" t="n"/>
      <c r="H120" s="65">
        <f>IF(AND(tblMiningDaily[[#This Row],[Blast_t]]&lt;&gt;"",tblMiningDaily[[#This Row],[Blast_t]]&gt;0),tblMiningDaily[[#This Row],[Explosives_kg]]/tblMiningDaily[[#This Row],[Blast_t]],"")</f>
        <v/>
      </c>
    </row>
    <row r="121">
      <c r="A121" s="54" t="n">
        <v>46138</v>
      </c>
      <c r="B121" s="55" t="n"/>
      <c r="C121" s="55" t="n"/>
      <c r="D121" s="55" t="n"/>
      <c r="E121" s="55" t="n"/>
      <c r="F121" s="55" t="n"/>
      <c r="G121" s="58" t="n"/>
      <c r="H121" s="65">
        <f>IF(AND(tblMiningDaily[[#This Row],[Blast_t]]&lt;&gt;"",tblMiningDaily[[#This Row],[Blast_t]]&gt;0),tblMiningDaily[[#This Row],[Explosives_kg]]/tblMiningDaily[[#This Row],[Blast_t]],"")</f>
        <v/>
      </c>
    </row>
    <row r="122">
      <c r="A122" s="54" t="n">
        <v>46139</v>
      </c>
      <c r="B122" s="55" t="n"/>
      <c r="C122" s="55" t="n"/>
      <c r="D122" s="55" t="n"/>
      <c r="E122" s="55" t="n"/>
      <c r="F122" s="55" t="n"/>
      <c r="G122" s="58" t="n"/>
      <c r="H122" s="65">
        <f>IF(AND(tblMiningDaily[[#This Row],[Blast_t]]&lt;&gt;"",tblMiningDaily[[#This Row],[Blast_t]]&gt;0),tblMiningDaily[[#This Row],[Explosives_kg]]/tblMiningDaily[[#This Row],[Blast_t]],"")</f>
        <v/>
      </c>
    </row>
    <row r="123">
      <c r="A123" s="54" t="n">
        <v>46140</v>
      </c>
      <c r="B123" s="55" t="n"/>
      <c r="C123" s="55" t="n"/>
      <c r="D123" s="55" t="n"/>
      <c r="E123" s="55" t="n"/>
      <c r="F123" s="55" t="n"/>
      <c r="G123" s="58" t="n"/>
      <c r="H123" s="65">
        <f>IF(AND(tblMiningDaily[[#This Row],[Blast_t]]&lt;&gt;"",tblMiningDaily[[#This Row],[Blast_t]]&gt;0),tblMiningDaily[[#This Row],[Explosives_kg]]/tblMiningDaily[[#This Row],[Blast_t]],"")</f>
        <v/>
      </c>
    </row>
    <row r="124">
      <c r="A124" s="54" t="n">
        <v>46141</v>
      </c>
      <c r="B124" s="55" t="n"/>
      <c r="C124" s="55" t="n"/>
      <c r="D124" s="55" t="n"/>
      <c r="E124" s="55" t="n"/>
      <c r="F124" s="55" t="n"/>
      <c r="G124" s="58" t="n"/>
      <c r="H124" s="65">
        <f>IF(AND(tblMiningDaily[[#This Row],[Blast_t]]&lt;&gt;"",tblMiningDaily[[#This Row],[Blast_t]]&gt;0),tblMiningDaily[[#This Row],[Explosives_kg]]/tblMiningDaily[[#This Row],[Blast_t]],"")</f>
        <v/>
      </c>
    </row>
    <row r="125">
      <c r="A125" s="54" t="n">
        <v>46142</v>
      </c>
      <c r="B125" s="55" t="n"/>
      <c r="C125" s="55" t="n"/>
      <c r="D125" s="55" t="n"/>
      <c r="E125" s="55" t="n"/>
      <c r="F125" s="55" t="n"/>
      <c r="G125" s="58" t="n"/>
      <c r="H125" s="65">
        <f>IF(AND(tblMiningDaily[[#This Row],[Blast_t]]&lt;&gt;"",tblMiningDaily[[#This Row],[Blast_t]]&gt;0),tblMiningDaily[[#This Row],[Explosives_kg]]/tblMiningDaily[[#This Row],[Blast_t]],"")</f>
        <v/>
      </c>
    </row>
    <row r="126">
      <c r="A126" s="54" t="n">
        <v>46143</v>
      </c>
      <c r="B126" s="55" t="n"/>
      <c r="C126" s="55" t="n"/>
      <c r="D126" s="55" t="n"/>
      <c r="E126" s="55" t="n"/>
      <c r="F126" s="55" t="n"/>
      <c r="G126" s="58" t="n"/>
      <c r="H126" s="65">
        <f>IF(AND(tblMiningDaily[[#This Row],[Blast_t]]&lt;&gt;"",tblMiningDaily[[#This Row],[Blast_t]]&gt;0),tblMiningDaily[[#This Row],[Explosives_kg]]/tblMiningDaily[[#This Row],[Blast_t]],"")</f>
        <v/>
      </c>
    </row>
    <row r="127">
      <c r="A127" s="54" t="n">
        <v>46144</v>
      </c>
      <c r="B127" s="55" t="n"/>
      <c r="C127" s="55" t="n"/>
      <c r="D127" s="55" t="n"/>
      <c r="E127" s="55" t="n"/>
      <c r="F127" s="55" t="n"/>
      <c r="G127" s="58" t="n"/>
      <c r="H127" s="65">
        <f>IF(AND(tblMiningDaily[[#This Row],[Blast_t]]&lt;&gt;"",tblMiningDaily[[#This Row],[Blast_t]]&gt;0),tblMiningDaily[[#This Row],[Explosives_kg]]/tblMiningDaily[[#This Row],[Blast_t]],"")</f>
        <v/>
      </c>
    </row>
    <row r="128">
      <c r="A128" s="54" t="n">
        <v>46145</v>
      </c>
      <c r="B128" s="55" t="n"/>
      <c r="C128" s="55" t="n"/>
      <c r="D128" s="55" t="n"/>
      <c r="E128" s="55" t="n"/>
      <c r="F128" s="55" t="n"/>
      <c r="G128" s="58" t="n"/>
      <c r="H128" s="65">
        <f>IF(AND(tblMiningDaily[[#This Row],[Blast_t]]&lt;&gt;"",tblMiningDaily[[#This Row],[Blast_t]]&gt;0),tblMiningDaily[[#This Row],[Explosives_kg]]/tblMiningDaily[[#This Row],[Blast_t]],"")</f>
        <v/>
      </c>
    </row>
    <row r="129">
      <c r="A129" s="54" t="n">
        <v>46146</v>
      </c>
      <c r="B129" s="55" t="n"/>
      <c r="C129" s="55" t="n"/>
      <c r="D129" s="55" t="n"/>
      <c r="E129" s="55" t="n"/>
      <c r="F129" s="55" t="n"/>
      <c r="G129" s="58" t="n"/>
      <c r="H129" s="65">
        <f>IF(AND(tblMiningDaily[[#This Row],[Blast_t]]&lt;&gt;"",tblMiningDaily[[#This Row],[Blast_t]]&gt;0),tblMiningDaily[[#This Row],[Explosives_kg]]/tblMiningDaily[[#This Row],[Blast_t]],"")</f>
        <v/>
      </c>
    </row>
    <row r="130">
      <c r="A130" s="54" t="n">
        <v>46147</v>
      </c>
      <c r="B130" s="55" t="n"/>
      <c r="C130" s="55" t="n"/>
      <c r="D130" s="55" t="n"/>
      <c r="E130" s="55" t="n"/>
      <c r="F130" s="55" t="n"/>
      <c r="G130" s="58" t="n"/>
      <c r="H130" s="65">
        <f>IF(AND(tblMiningDaily[[#This Row],[Blast_t]]&lt;&gt;"",tblMiningDaily[[#This Row],[Blast_t]]&gt;0),tblMiningDaily[[#This Row],[Explosives_kg]]/tblMiningDaily[[#This Row],[Blast_t]],"")</f>
        <v/>
      </c>
    </row>
    <row r="131">
      <c r="A131" s="54" t="n">
        <v>46148</v>
      </c>
      <c r="B131" s="55" t="n"/>
      <c r="C131" s="55" t="n"/>
      <c r="D131" s="55" t="n"/>
      <c r="E131" s="55" t="n"/>
      <c r="F131" s="55" t="n"/>
      <c r="G131" s="58" t="n"/>
      <c r="H131" s="65">
        <f>IF(AND(tblMiningDaily[[#This Row],[Blast_t]]&lt;&gt;"",tblMiningDaily[[#This Row],[Blast_t]]&gt;0),tblMiningDaily[[#This Row],[Explosives_kg]]/tblMiningDaily[[#This Row],[Blast_t]],"")</f>
        <v/>
      </c>
    </row>
    <row r="132">
      <c r="A132" s="54" t="n">
        <v>46149</v>
      </c>
      <c r="B132" s="55" t="n"/>
      <c r="C132" s="55" t="n"/>
      <c r="D132" s="55" t="n"/>
      <c r="E132" s="55" t="n"/>
      <c r="F132" s="55" t="n"/>
      <c r="G132" s="58" t="n"/>
      <c r="H132" s="65">
        <f>IF(AND(tblMiningDaily[[#This Row],[Blast_t]]&lt;&gt;"",tblMiningDaily[[#This Row],[Blast_t]]&gt;0),tblMiningDaily[[#This Row],[Explosives_kg]]/tblMiningDaily[[#This Row],[Blast_t]],"")</f>
        <v/>
      </c>
    </row>
    <row r="133">
      <c r="A133" s="54" t="n">
        <v>46150</v>
      </c>
      <c r="B133" s="55" t="n"/>
      <c r="C133" s="55" t="n"/>
      <c r="D133" s="55" t="n"/>
      <c r="E133" s="55" t="n"/>
      <c r="F133" s="55" t="n"/>
      <c r="G133" s="58" t="n"/>
      <c r="H133" s="65">
        <f>IF(AND(tblMiningDaily[[#This Row],[Blast_t]]&lt;&gt;"",tblMiningDaily[[#This Row],[Blast_t]]&gt;0),tblMiningDaily[[#This Row],[Explosives_kg]]/tblMiningDaily[[#This Row],[Blast_t]],"")</f>
        <v/>
      </c>
    </row>
    <row r="134">
      <c r="A134" s="54" t="n">
        <v>46151</v>
      </c>
      <c r="B134" s="55" t="n"/>
      <c r="C134" s="55" t="n"/>
      <c r="D134" s="55" t="n"/>
      <c r="E134" s="55" t="n"/>
      <c r="F134" s="55" t="n"/>
      <c r="G134" s="58" t="n"/>
      <c r="H134" s="65">
        <f>IF(AND(tblMiningDaily[[#This Row],[Blast_t]]&lt;&gt;"",tblMiningDaily[[#This Row],[Blast_t]]&gt;0),tblMiningDaily[[#This Row],[Explosives_kg]]/tblMiningDaily[[#This Row],[Blast_t]],"")</f>
        <v/>
      </c>
    </row>
    <row r="135">
      <c r="A135" s="54" t="n">
        <v>46152</v>
      </c>
      <c r="B135" s="55" t="n"/>
      <c r="C135" s="55" t="n"/>
      <c r="D135" s="55" t="n"/>
      <c r="E135" s="55" t="n"/>
      <c r="F135" s="55" t="n"/>
      <c r="G135" s="58" t="n"/>
      <c r="H135" s="65">
        <f>IF(AND(tblMiningDaily[[#This Row],[Blast_t]]&lt;&gt;"",tblMiningDaily[[#This Row],[Blast_t]]&gt;0),tblMiningDaily[[#This Row],[Explosives_kg]]/tblMiningDaily[[#This Row],[Blast_t]],"")</f>
        <v/>
      </c>
    </row>
    <row r="136">
      <c r="A136" s="54" t="n">
        <v>46153</v>
      </c>
      <c r="B136" s="55" t="n"/>
      <c r="C136" s="55" t="n"/>
      <c r="D136" s="55" t="n"/>
      <c r="E136" s="55" t="n"/>
      <c r="F136" s="55" t="n"/>
      <c r="G136" s="58" t="n"/>
      <c r="H136" s="65">
        <f>IF(AND(tblMiningDaily[[#This Row],[Blast_t]]&lt;&gt;"",tblMiningDaily[[#This Row],[Blast_t]]&gt;0),tblMiningDaily[[#This Row],[Explosives_kg]]/tblMiningDaily[[#This Row],[Blast_t]],"")</f>
        <v/>
      </c>
    </row>
    <row r="137">
      <c r="A137" s="54" t="n">
        <v>46154</v>
      </c>
      <c r="B137" s="55" t="n"/>
      <c r="C137" s="55" t="n"/>
      <c r="D137" s="55" t="n"/>
      <c r="E137" s="55" t="n"/>
      <c r="F137" s="55" t="n"/>
      <c r="G137" s="58" t="n"/>
      <c r="H137" s="65">
        <f>IF(AND(tblMiningDaily[[#This Row],[Blast_t]]&lt;&gt;"",tblMiningDaily[[#This Row],[Blast_t]]&gt;0),tblMiningDaily[[#This Row],[Explosives_kg]]/tblMiningDaily[[#This Row],[Blast_t]],"")</f>
        <v/>
      </c>
    </row>
    <row r="138">
      <c r="A138" s="54" t="n">
        <v>46155</v>
      </c>
      <c r="B138" s="55" t="n"/>
      <c r="C138" s="55" t="n"/>
      <c r="D138" s="55" t="n"/>
      <c r="E138" s="55" t="n"/>
      <c r="F138" s="55" t="n"/>
      <c r="G138" s="58" t="n"/>
      <c r="H138" s="65">
        <f>IF(AND(tblMiningDaily[[#This Row],[Blast_t]]&lt;&gt;"",tblMiningDaily[[#This Row],[Blast_t]]&gt;0),tblMiningDaily[[#This Row],[Explosives_kg]]/tblMiningDaily[[#This Row],[Blast_t]],"")</f>
        <v/>
      </c>
    </row>
    <row r="139">
      <c r="A139" s="54" t="n">
        <v>46156</v>
      </c>
      <c r="B139" s="55" t="n"/>
      <c r="C139" s="55" t="n"/>
      <c r="D139" s="55" t="n"/>
      <c r="E139" s="55" t="n"/>
      <c r="F139" s="55" t="n"/>
      <c r="G139" s="58" t="n"/>
      <c r="H139" s="65">
        <f>IF(AND(tblMiningDaily[[#This Row],[Blast_t]]&lt;&gt;"",tblMiningDaily[[#This Row],[Blast_t]]&gt;0),tblMiningDaily[[#This Row],[Explosives_kg]]/tblMiningDaily[[#This Row],[Blast_t]],"")</f>
        <v/>
      </c>
    </row>
    <row r="140">
      <c r="A140" s="54" t="n">
        <v>46157</v>
      </c>
      <c r="B140" s="55" t="n"/>
      <c r="C140" s="55" t="n"/>
      <c r="D140" s="55" t="n"/>
      <c r="E140" s="55" t="n"/>
      <c r="F140" s="55" t="n"/>
      <c r="G140" s="58" t="n"/>
      <c r="H140" s="65">
        <f>IF(AND(tblMiningDaily[[#This Row],[Blast_t]]&lt;&gt;"",tblMiningDaily[[#This Row],[Blast_t]]&gt;0),tblMiningDaily[[#This Row],[Explosives_kg]]/tblMiningDaily[[#This Row],[Blast_t]],"")</f>
        <v/>
      </c>
    </row>
    <row r="141">
      <c r="A141" s="54" t="n">
        <v>46158</v>
      </c>
      <c r="B141" s="55" t="n"/>
      <c r="C141" s="55" t="n"/>
      <c r="D141" s="55" t="n"/>
      <c r="E141" s="55" t="n"/>
      <c r="F141" s="55" t="n"/>
      <c r="G141" s="58" t="n"/>
      <c r="H141" s="65">
        <f>IF(AND(tblMiningDaily[[#This Row],[Blast_t]]&lt;&gt;"",tblMiningDaily[[#This Row],[Blast_t]]&gt;0),tblMiningDaily[[#This Row],[Explosives_kg]]/tblMiningDaily[[#This Row],[Blast_t]],"")</f>
        <v/>
      </c>
    </row>
    <row r="142">
      <c r="A142" s="54" t="n">
        <v>46159</v>
      </c>
      <c r="B142" s="55" t="n"/>
      <c r="C142" s="55" t="n"/>
      <c r="D142" s="55" t="n"/>
      <c r="E142" s="55" t="n"/>
      <c r="F142" s="55" t="n"/>
      <c r="G142" s="58" t="n"/>
      <c r="H142" s="65">
        <f>IF(AND(tblMiningDaily[[#This Row],[Blast_t]]&lt;&gt;"",tblMiningDaily[[#This Row],[Blast_t]]&gt;0),tblMiningDaily[[#This Row],[Explosives_kg]]/tblMiningDaily[[#This Row],[Blast_t]],"")</f>
        <v/>
      </c>
    </row>
    <row r="143">
      <c r="A143" s="54" t="n">
        <v>46160</v>
      </c>
      <c r="B143" s="55" t="n"/>
      <c r="C143" s="55" t="n"/>
      <c r="D143" s="55" t="n"/>
      <c r="E143" s="55" t="n"/>
      <c r="F143" s="55" t="n"/>
      <c r="G143" s="58" t="n"/>
      <c r="H143" s="65">
        <f>IF(AND(tblMiningDaily[[#This Row],[Blast_t]]&lt;&gt;"",tblMiningDaily[[#This Row],[Blast_t]]&gt;0),tblMiningDaily[[#This Row],[Explosives_kg]]/tblMiningDaily[[#This Row],[Blast_t]],"")</f>
        <v/>
      </c>
    </row>
    <row r="144">
      <c r="A144" s="54" t="n">
        <v>46161</v>
      </c>
      <c r="B144" s="55" t="n"/>
      <c r="C144" s="55" t="n"/>
      <c r="D144" s="55" t="n"/>
      <c r="E144" s="55" t="n"/>
      <c r="F144" s="55" t="n"/>
      <c r="G144" s="58" t="n"/>
      <c r="H144" s="65">
        <f>IF(AND(tblMiningDaily[[#This Row],[Blast_t]]&lt;&gt;"",tblMiningDaily[[#This Row],[Blast_t]]&gt;0),tblMiningDaily[[#This Row],[Explosives_kg]]/tblMiningDaily[[#This Row],[Blast_t]],"")</f>
        <v/>
      </c>
    </row>
    <row r="145">
      <c r="A145" s="54" t="n">
        <v>46162</v>
      </c>
      <c r="B145" s="55" t="n"/>
      <c r="C145" s="55" t="n"/>
      <c r="D145" s="55" t="n"/>
      <c r="E145" s="55" t="n"/>
      <c r="F145" s="55" t="n"/>
      <c r="G145" s="58" t="n"/>
      <c r="H145" s="65">
        <f>IF(AND(tblMiningDaily[[#This Row],[Blast_t]]&lt;&gt;"",tblMiningDaily[[#This Row],[Blast_t]]&gt;0),tblMiningDaily[[#This Row],[Explosives_kg]]/tblMiningDaily[[#This Row],[Blast_t]],"")</f>
        <v/>
      </c>
    </row>
    <row r="146">
      <c r="A146" s="54" t="n">
        <v>46163</v>
      </c>
      <c r="B146" s="55" t="n"/>
      <c r="C146" s="55" t="n"/>
      <c r="D146" s="55" t="n"/>
      <c r="E146" s="55" t="n"/>
      <c r="F146" s="55" t="n"/>
      <c r="G146" s="58" t="n"/>
      <c r="H146" s="65">
        <f>IF(AND(tblMiningDaily[[#This Row],[Blast_t]]&lt;&gt;"",tblMiningDaily[[#This Row],[Blast_t]]&gt;0),tblMiningDaily[[#This Row],[Explosives_kg]]/tblMiningDaily[[#This Row],[Blast_t]],"")</f>
        <v/>
      </c>
    </row>
    <row r="147">
      <c r="A147" s="54" t="n">
        <v>46164</v>
      </c>
      <c r="B147" s="55" t="n"/>
      <c r="C147" s="55" t="n"/>
      <c r="D147" s="55" t="n"/>
      <c r="E147" s="55" t="n"/>
      <c r="F147" s="55" t="n"/>
      <c r="G147" s="58" t="n"/>
      <c r="H147" s="65">
        <f>IF(AND(tblMiningDaily[[#This Row],[Blast_t]]&lt;&gt;"",tblMiningDaily[[#This Row],[Blast_t]]&gt;0),tblMiningDaily[[#This Row],[Explosives_kg]]/tblMiningDaily[[#This Row],[Blast_t]],"")</f>
        <v/>
      </c>
    </row>
    <row r="148">
      <c r="A148" s="54" t="n">
        <v>46165</v>
      </c>
      <c r="B148" s="55" t="n"/>
      <c r="C148" s="55" t="n"/>
      <c r="D148" s="55" t="n"/>
      <c r="E148" s="55" t="n"/>
      <c r="F148" s="55" t="n"/>
      <c r="G148" s="58" t="n"/>
      <c r="H148" s="65">
        <f>IF(AND(tblMiningDaily[[#This Row],[Blast_t]]&lt;&gt;"",tblMiningDaily[[#This Row],[Blast_t]]&gt;0),tblMiningDaily[[#This Row],[Explosives_kg]]/tblMiningDaily[[#This Row],[Blast_t]],"")</f>
        <v/>
      </c>
    </row>
    <row r="149">
      <c r="A149" s="54" t="n">
        <v>46166</v>
      </c>
      <c r="B149" s="55" t="n"/>
      <c r="C149" s="55" t="n"/>
      <c r="D149" s="55" t="n"/>
      <c r="E149" s="55" t="n"/>
      <c r="F149" s="55" t="n"/>
      <c r="G149" s="58" t="n"/>
      <c r="H149" s="65">
        <f>IF(AND(tblMiningDaily[[#This Row],[Blast_t]]&lt;&gt;"",tblMiningDaily[[#This Row],[Blast_t]]&gt;0),tblMiningDaily[[#This Row],[Explosives_kg]]/tblMiningDaily[[#This Row],[Blast_t]],"")</f>
        <v/>
      </c>
    </row>
    <row r="150">
      <c r="A150" s="54" t="n">
        <v>46167</v>
      </c>
      <c r="B150" s="55" t="n"/>
      <c r="C150" s="55" t="n"/>
      <c r="D150" s="55" t="n"/>
      <c r="E150" s="55" t="n"/>
      <c r="F150" s="55" t="n"/>
      <c r="G150" s="58" t="n"/>
      <c r="H150" s="65">
        <f>IF(AND(tblMiningDaily[[#This Row],[Blast_t]]&lt;&gt;"",tblMiningDaily[[#This Row],[Blast_t]]&gt;0),tblMiningDaily[[#This Row],[Explosives_kg]]/tblMiningDaily[[#This Row],[Blast_t]],"")</f>
        <v/>
      </c>
    </row>
    <row r="151">
      <c r="A151" s="54" t="n">
        <v>46168</v>
      </c>
      <c r="B151" s="55" t="n"/>
      <c r="C151" s="55" t="n"/>
      <c r="D151" s="55" t="n"/>
      <c r="E151" s="55" t="n"/>
      <c r="F151" s="55" t="n"/>
      <c r="G151" s="58" t="n"/>
      <c r="H151" s="65">
        <f>IF(AND(tblMiningDaily[[#This Row],[Blast_t]]&lt;&gt;"",tblMiningDaily[[#This Row],[Blast_t]]&gt;0),tblMiningDaily[[#This Row],[Explosives_kg]]/tblMiningDaily[[#This Row],[Blast_t]],"")</f>
        <v/>
      </c>
    </row>
    <row r="152">
      <c r="A152" s="54" t="n">
        <v>46169</v>
      </c>
      <c r="B152" s="55" t="n"/>
      <c r="C152" s="55" t="n"/>
      <c r="D152" s="55" t="n"/>
      <c r="E152" s="55" t="n"/>
      <c r="F152" s="55" t="n"/>
      <c r="G152" s="58" t="n"/>
      <c r="H152" s="65">
        <f>IF(AND(tblMiningDaily[[#This Row],[Blast_t]]&lt;&gt;"",tblMiningDaily[[#This Row],[Blast_t]]&gt;0),tblMiningDaily[[#This Row],[Explosives_kg]]/tblMiningDaily[[#This Row],[Blast_t]],"")</f>
        <v/>
      </c>
    </row>
    <row r="153">
      <c r="A153" s="54" t="n">
        <v>46170</v>
      </c>
      <c r="B153" s="55" t="n"/>
      <c r="C153" s="55" t="n"/>
      <c r="D153" s="55" t="n"/>
      <c r="E153" s="55" t="n"/>
      <c r="F153" s="55" t="n"/>
      <c r="G153" s="58" t="n"/>
      <c r="H153" s="65">
        <f>IF(AND(tblMiningDaily[[#This Row],[Blast_t]]&lt;&gt;"",tblMiningDaily[[#This Row],[Blast_t]]&gt;0),tblMiningDaily[[#This Row],[Explosives_kg]]/tblMiningDaily[[#This Row],[Blast_t]],"")</f>
        <v/>
      </c>
    </row>
    <row r="154">
      <c r="A154" s="54" t="n">
        <v>46171</v>
      </c>
      <c r="B154" s="55" t="n"/>
      <c r="C154" s="55" t="n"/>
      <c r="D154" s="55" t="n"/>
      <c r="E154" s="55" t="n"/>
      <c r="F154" s="55" t="n"/>
      <c r="G154" s="58" t="n"/>
      <c r="H154" s="65">
        <f>IF(AND(tblMiningDaily[[#This Row],[Blast_t]]&lt;&gt;"",tblMiningDaily[[#This Row],[Blast_t]]&gt;0),tblMiningDaily[[#This Row],[Explosives_kg]]/tblMiningDaily[[#This Row],[Blast_t]],"")</f>
        <v/>
      </c>
    </row>
    <row r="155">
      <c r="A155" s="54" t="n">
        <v>46172</v>
      </c>
      <c r="B155" s="55" t="n"/>
      <c r="C155" s="55" t="n"/>
      <c r="D155" s="55" t="n"/>
      <c r="E155" s="55" t="n"/>
      <c r="F155" s="55" t="n"/>
      <c r="G155" s="58" t="n"/>
      <c r="H155" s="65">
        <f>IF(AND(tblMiningDaily[[#This Row],[Blast_t]]&lt;&gt;"",tblMiningDaily[[#This Row],[Blast_t]]&gt;0),tblMiningDaily[[#This Row],[Explosives_kg]]/tblMiningDaily[[#This Row],[Blast_t]],"")</f>
        <v/>
      </c>
    </row>
    <row r="156">
      <c r="A156" s="54" t="n">
        <v>46173</v>
      </c>
      <c r="B156" s="55" t="n"/>
      <c r="C156" s="55" t="n"/>
      <c r="D156" s="55" t="n"/>
      <c r="E156" s="55" t="n"/>
      <c r="F156" s="55" t="n"/>
      <c r="G156" s="58" t="n"/>
      <c r="H156" s="65">
        <f>IF(AND(tblMiningDaily[[#This Row],[Blast_t]]&lt;&gt;"",tblMiningDaily[[#This Row],[Blast_t]]&gt;0),tblMiningDaily[[#This Row],[Explosives_kg]]/tblMiningDaily[[#This Row],[Blast_t]],"")</f>
        <v/>
      </c>
    </row>
    <row r="157">
      <c r="A157" s="54" t="n">
        <v>46174</v>
      </c>
      <c r="B157" s="55" t="n"/>
      <c r="C157" s="55" t="n"/>
      <c r="D157" s="55" t="n"/>
      <c r="E157" s="55" t="n"/>
      <c r="F157" s="55" t="n"/>
      <c r="G157" s="58" t="n"/>
      <c r="H157" s="65">
        <f>IF(AND(tblMiningDaily[[#This Row],[Blast_t]]&lt;&gt;"",tblMiningDaily[[#This Row],[Blast_t]]&gt;0),tblMiningDaily[[#This Row],[Explosives_kg]]/tblMiningDaily[[#This Row],[Blast_t]],"")</f>
        <v/>
      </c>
    </row>
    <row r="158">
      <c r="A158" s="54" t="n">
        <v>46175</v>
      </c>
      <c r="B158" s="55" t="n"/>
      <c r="C158" s="55" t="n"/>
      <c r="D158" s="55" t="n"/>
      <c r="E158" s="55" t="n"/>
      <c r="F158" s="55" t="n"/>
      <c r="G158" s="58" t="n"/>
      <c r="H158" s="65">
        <f>IF(AND(tblMiningDaily[[#This Row],[Blast_t]]&lt;&gt;"",tblMiningDaily[[#This Row],[Blast_t]]&gt;0),tblMiningDaily[[#This Row],[Explosives_kg]]/tblMiningDaily[[#This Row],[Blast_t]],"")</f>
        <v/>
      </c>
    </row>
    <row r="159">
      <c r="A159" s="54" t="n">
        <v>46176</v>
      </c>
      <c r="B159" s="55" t="n"/>
      <c r="C159" s="55" t="n"/>
      <c r="D159" s="55" t="n"/>
      <c r="E159" s="55" t="n"/>
      <c r="F159" s="55" t="n"/>
      <c r="G159" s="58" t="n"/>
      <c r="H159" s="65">
        <f>IF(AND(tblMiningDaily[[#This Row],[Blast_t]]&lt;&gt;"",tblMiningDaily[[#This Row],[Blast_t]]&gt;0),tblMiningDaily[[#This Row],[Explosives_kg]]/tblMiningDaily[[#This Row],[Blast_t]],"")</f>
        <v/>
      </c>
    </row>
    <row r="160">
      <c r="A160" s="54" t="n">
        <v>46177</v>
      </c>
      <c r="B160" s="55" t="n"/>
      <c r="C160" s="55" t="n"/>
      <c r="D160" s="55" t="n"/>
      <c r="E160" s="55" t="n"/>
      <c r="F160" s="55" t="n"/>
      <c r="G160" s="58" t="n"/>
      <c r="H160" s="65">
        <f>IF(AND(tblMiningDaily[[#This Row],[Blast_t]]&lt;&gt;"",tblMiningDaily[[#This Row],[Blast_t]]&gt;0),tblMiningDaily[[#This Row],[Explosives_kg]]/tblMiningDaily[[#This Row],[Blast_t]],"")</f>
        <v/>
      </c>
    </row>
    <row r="161">
      <c r="A161" s="54" t="n">
        <v>46178</v>
      </c>
      <c r="B161" s="55" t="n"/>
      <c r="C161" s="55" t="n"/>
      <c r="D161" s="55" t="n"/>
      <c r="E161" s="55" t="n"/>
      <c r="F161" s="55" t="n"/>
      <c r="G161" s="58" t="n"/>
      <c r="H161" s="65">
        <f>IF(AND(tblMiningDaily[[#This Row],[Blast_t]]&lt;&gt;"",tblMiningDaily[[#This Row],[Blast_t]]&gt;0),tblMiningDaily[[#This Row],[Explosives_kg]]/tblMiningDaily[[#This Row],[Blast_t]],"")</f>
        <v/>
      </c>
    </row>
    <row r="162">
      <c r="A162" s="54" t="n">
        <v>46179</v>
      </c>
      <c r="B162" s="55" t="n"/>
      <c r="C162" s="55" t="n"/>
      <c r="D162" s="55" t="n"/>
      <c r="E162" s="55" t="n"/>
      <c r="F162" s="55" t="n"/>
      <c r="G162" s="58" t="n"/>
      <c r="H162" s="65">
        <f>IF(AND(tblMiningDaily[[#This Row],[Blast_t]]&lt;&gt;"",tblMiningDaily[[#This Row],[Blast_t]]&gt;0),tblMiningDaily[[#This Row],[Explosives_kg]]/tblMiningDaily[[#This Row],[Blast_t]],"")</f>
        <v/>
      </c>
    </row>
    <row r="163">
      <c r="A163" s="54" t="n">
        <v>46180</v>
      </c>
      <c r="B163" s="55" t="n"/>
      <c r="C163" s="55" t="n"/>
      <c r="D163" s="55" t="n"/>
      <c r="E163" s="55" t="n"/>
      <c r="F163" s="55" t="n"/>
      <c r="G163" s="58" t="n"/>
      <c r="H163" s="65">
        <f>IF(AND(tblMiningDaily[[#This Row],[Blast_t]]&lt;&gt;"",tblMiningDaily[[#This Row],[Blast_t]]&gt;0),tblMiningDaily[[#This Row],[Explosives_kg]]/tblMiningDaily[[#This Row],[Blast_t]],"")</f>
        <v/>
      </c>
    </row>
    <row r="164">
      <c r="A164" s="54" t="n">
        <v>46181</v>
      </c>
      <c r="B164" s="55" t="n"/>
      <c r="C164" s="55" t="n"/>
      <c r="D164" s="55" t="n"/>
      <c r="E164" s="55" t="n"/>
      <c r="F164" s="55" t="n"/>
      <c r="G164" s="58" t="n"/>
      <c r="H164" s="65">
        <f>IF(AND(tblMiningDaily[[#This Row],[Blast_t]]&lt;&gt;"",tblMiningDaily[[#This Row],[Blast_t]]&gt;0),tblMiningDaily[[#This Row],[Explosives_kg]]/tblMiningDaily[[#This Row],[Blast_t]],"")</f>
        <v/>
      </c>
    </row>
    <row r="165">
      <c r="A165" s="54" t="n">
        <v>46182</v>
      </c>
      <c r="B165" s="55" t="n"/>
      <c r="C165" s="55" t="n"/>
      <c r="D165" s="55" t="n"/>
      <c r="E165" s="55" t="n"/>
      <c r="F165" s="55" t="n"/>
      <c r="G165" s="58" t="n"/>
      <c r="H165" s="65">
        <f>IF(AND(tblMiningDaily[[#This Row],[Blast_t]]&lt;&gt;"",tblMiningDaily[[#This Row],[Blast_t]]&gt;0),tblMiningDaily[[#This Row],[Explosives_kg]]/tblMiningDaily[[#This Row],[Blast_t]],"")</f>
        <v/>
      </c>
    </row>
    <row r="166">
      <c r="A166" s="54" t="n">
        <v>46183</v>
      </c>
      <c r="B166" s="55" t="n"/>
      <c r="C166" s="55" t="n"/>
      <c r="D166" s="55" t="n"/>
      <c r="E166" s="55" t="n"/>
      <c r="F166" s="55" t="n"/>
      <c r="G166" s="58" t="n"/>
      <c r="H166" s="65">
        <f>IF(AND(tblMiningDaily[[#This Row],[Blast_t]]&lt;&gt;"",tblMiningDaily[[#This Row],[Blast_t]]&gt;0),tblMiningDaily[[#This Row],[Explosives_kg]]/tblMiningDaily[[#This Row],[Blast_t]],"")</f>
        <v/>
      </c>
    </row>
    <row r="167">
      <c r="A167" s="54" t="n">
        <v>46184</v>
      </c>
      <c r="B167" s="55" t="n"/>
      <c r="C167" s="55" t="n"/>
      <c r="D167" s="55" t="n"/>
      <c r="E167" s="55" t="n"/>
      <c r="F167" s="55" t="n"/>
      <c r="G167" s="58" t="n"/>
      <c r="H167" s="65">
        <f>IF(AND(tblMiningDaily[[#This Row],[Blast_t]]&lt;&gt;"",tblMiningDaily[[#This Row],[Blast_t]]&gt;0),tblMiningDaily[[#This Row],[Explosives_kg]]/tblMiningDaily[[#This Row],[Blast_t]],"")</f>
        <v/>
      </c>
    </row>
    <row r="168">
      <c r="A168" s="54" t="n">
        <v>46185</v>
      </c>
      <c r="B168" s="55" t="n"/>
      <c r="C168" s="55" t="n"/>
      <c r="D168" s="55" t="n"/>
      <c r="E168" s="55" t="n"/>
      <c r="F168" s="55" t="n"/>
      <c r="G168" s="58" t="n"/>
      <c r="H168" s="65">
        <f>IF(AND(tblMiningDaily[[#This Row],[Blast_t]]&lt;&gt;"",tblMiningDaily[[#This Row],[Blast_t]]&gt;0),tblMiningDaily[[#This Row],[Explosives_kg]]/tblMiningDaily[[#This Row],[Blast_t]],"")</f>
        <v/>
      </c>
    </row>
    <row r="169">
      <c r="A169" s="54" t="n">
        <v>46186</v>
      </c>
      <c r="B169" s="55" t="n"/>
      <c r="C169" s="55" t="n"/>
      <c r="D169" s="55" t="n"/>
      <c r="E169" s="55" t="n"/>
      <c r="F169" s="55" t="n"/>
      <c r="G169" s="58" t="n"/>
      <c r="H169" s="65">
        <f>IF(AND(tblMiningDaily[[#This Row],[Blast_t]]&lt;&gt;"",tblMiningDaily[[#This Row],[Blast_t]]&gt;0),tblMiningDaily[[#This Row],[Explosives_kg]]/tblMiningDaily[[#This Row],[Blast_t]],"")</f>
        <v/>
      </c>
    </row>
    <row r="170">
      <c r="A170" s="54" t="n">
        <v>46187</v>
      </c>
      <c r="B170" s="55" t="n"/>
      <c r="C170" s="55" t="n"/>
      <c r="D170" s="55" t="n"/>
      <c r="E170" s="55" t="n"/>
      <c r="F170" s="55" t="n"/>
      <c r="G170" s="58" t="n"/>
      <c r="H170" s="65">
        <f>IF(AND(tblMiningDaily[[#This Row],[Blast_t]]&lt;&gt;"",tblMiningDaily[[#This Row],[Blast_t]]&gt;0),tblMiningDaily[[#This Row],[Explosives_kg]]/tblMiningDaily[[#This Row],[Blast_t]],"")</f>
        <v/>
      </c>
    </row>
    <row r="171">
      <c r="A171" s="54" t="n">
        <v>46188</v>
      </c>
      <c r="B171" s="55" t="n"/>
      <c r="C171" s="55" t="n"/>
      <c r="D171" s="55" t="n"/>
      <c r="E171" s="55" t="n"/>
      <c r="F171" s="55" t="n"/>
      <c r="G171" s="58" t="n"/>
      <c r="H171" s="65">
        <f>IF(AND(tblMiningDaily[[#This Row],[Blast_t]]&lt;&gt;"",tblMiningDaily[[#This Row],[Blast_t]]&gt;0),tblMiningDaily[[#This Row],[Explosives_kg]]/tblMiningDaily[[#This Row],[Blast_t]],"")</f>
        <v/>
      </c>
    </row>
    <row r="172">
      <c r="A172" s="54" t="n">
        <v>46189</v>
      </c>
      <c r="B172" s="55" t="n"/>
      <c r="C172" s="55" t="n"/>
      <c r="D172" s="55" t="n"/>
      <c r="E172" s="55" t="n"/>
      <c r="F172" s="55" t="n"/>
      <c r="G172" s="58" t="n"/>
      <c r="H172" s="65">
        <f>IF(AND(tblMiningDaily[[#This Row],[Blast_t]]&lt;&gt;"",tblMiningDaily[[#This Row],[Blast_t]]&gt;0),tblMiningDaily[[#This Row],[Explosives_kg]]/tblMiningDaily[[#This Row],[Blast_t]],"")</f>
        <v/>
      </c>
    </row>
    <row r="173">
      <c r="A173" s="54" t="n">
        <v>46190</v>
      </c>
      <c r="B173" s="55" t="n"/>
      <c r="C173" s="55" t="n"/>
      <c r="D173" s="55" t="n"/>
      <c r="E173" s="55" t="n"/>
      <c r="F173" s="55" t="n"/>
      <c r="G173" s="58" t="n"/>
      <c r="H173" s="65">
        <f>IF(AND(tblMiningDaily[[#This Row],[Blast_t]]&lt;&gt;"",tblMiningDaily[[#This Row],[Blast_t]]&gt;0),tblMiningDaily[[#This Row],[Explosives_kg]]/tblMiningDaily[[#This Row],[Blast_t]],"")</f>
        <v/>
      </c>
    </row>
    <row r="174">
      <c r="A174" s="54" t="n">
        <v>46191</v>
      </c>
      <c r="B174" s="55" t="n"/>
      <c r="C174" s="55" t="n"/>
      <c r="D174" s="55" t="n"/>
      <c r="E174" s="55" t="n"/>
      <c r="F174" s="55" t="n"/>
      <c r="G174" s="58" t="n"/>
      <c r="H174" s="65">
        <f>IF(AND(tblMiningDaily[[#This Row],[Blast_t]]&lt;&gt;"",tblMiningDaily[[#This Row],[Blast_t]]&gt;0),tblMiningDaily[[#This Row],[Explosives_kg]]/tblMiningDaily[[#This Row],[Blast_t]],"")</f>
        <v/>
      </c>
    </row>
    <row r="175">
      <c r="A175" s="54" t="n">
        <v>46192</v>
      </c>
      <c r="B175" s="55" t="n"/>
      <c r="C175" s="55" t="n"/>
      <c r="D175" s="55" t="n"/>
      <c r="E175" s="55" t="n"/>
      <c r="F175" s="55" t="n"/>
      <c r="G175" s="58" t="n"/>
      <c r="H175" s="65">
        <f>IF(AND(tblMiningDaily[[#This Row],[Blast_t]]&lt;&gt;"",tblMiningDaily[[#This Row],[Blast_t]]&gt;0),tblMiningDaily[[#This Row],[Explosives_kg]]/tblMiningDaily[[#This Row],[Blast_t]],"")</f>
        <v/>
      </c>
    </row>
    <row r="176">
      <c r="A176" s="54" t="n">
        <v>46193</v>
      </c>
      <c r="B176" s="55" t="n"/>
      <c r="C176" s="55" t="n"/>
      <c r="D176" s="55" t="n"/>
      <c r="E176" s="55" t="n"/>
      <c r="F176" s="55" t="n"/>
      <c r="G176" s="58" t="n"/>
      <c r="H176" s="65">
        <f>IF(AND(tblMiningDaily[[#This Row],[Blast_t]]&lt;&gt;"",tblMiningDaily[[#This Row],[Blast_t]]&gt;0),tblMiningDaily[[#This Row],[Explosives_kg]]/tblMiningDaily[[#This Row],[Blast_t]],"")</f>
        <v/>
      </c>
    </row>
    <row r="177">
      <c r="A177" s="54" t="n">
        <v>46194</v>
      </c>
      <c r="B177" s="55" t="n"/>
      <c r="C177" s="55" t="n"/>
      <c r="D177" s="55" t="n"/>
      <c r="E177" s="55" t="n"/>
      <c r="F177" s="55" t="n"/>
      <c r="G177" s="58" t="n"/>
      <c r="H177" s="65">
        <f>IF(AND(tblMiningDaily[[#This Row],[Blast_t]]&lt;&gt;"",tblMiningDaily[[#This Row],[Blast_t]]&gt;0),tblMiningDaily[[#This Row],[Explosives_kg]]/tblMiningDaily[[#This Row],[Blast_t]],"")</f>
        <v/>
      </c>
    </row>
    <row r="178">
      <c r="A178" s="54" t="n">
        <v>46195</v>
      </c>
      <c r="B178" s="55" t="n"/>
      <c r="C178" s="55" t="n"/>
      <c r="D178" s="55" t="n"/>
      <c r="E178" s="55" t="n"/>
      <c r="F178" s="55" t="n"/>
      <c r="G178" s="58" t="n"/>
      <c r="H178" s="65">
        <f>IF(AND(tblMiningDaily[[#This Row],[Blast_t]]&lt;&gt;"",tblMiningDaily[[#This Row],[Blast_t]]&gt;0),tblMiningDaily[[#This Row],[Explosives_kg]]/tblMiningDaily[[#This Row],[Blast_t]],"")</f>
        <v/>
      </c>
    </row>
    <row r="179">
      <c r="A179" s="54" t="n">
        <v>46196</v>
      </c>
      <c r="B179" s="55" t="n"/>
      <c r="C179" s="55" t="n"/>
      <c r="D179" s="55" t="n"/>
      <c r="E179" s="55" t="n"/>
      <c r="F179" s="55" t="n"/>
      <c r="G179" s="58" t="n"/>
      <c r="H179" s="65">
        <f>IF(AND(tblMiningDaily[[#This Row],[Blast_t]]&lt;&gt;"",tblMiningDaily[[#This Row],[Blast_t]]&gt;0),tblMiningDaily[[#This Row],[Explosives_kg]]/tblMiningDaily[[#This Row],[Blast_t]],"")</f>
        <v/>
      </c>
    </row>
    <row r="180">
      <c r="A180" s="54" t="n">
        <v>46197</v>
      </c>
      <c r="B180" s="55" t="n"/>
      <c r="C180" s="55" t="n"/>
      <c r="D180" s="55" t="n"/>
      <c r="E180" s="55" t="n"/>
      <c r="F180" s="55" t="n"/>
      <c r="G180" s="58" t="n"/>
      <c r="H180" s="65">
        <f>IF(AND(tblMiningDaily[[#This Row],[Blast_t]]&lt;&gt;"",tblMiningDaily[[#This Row],[Blast_t]]&gt;0),tblMiningDaily[[#This Row],[Explosives_kg]]/tblMiningDaily[[#This Row],[Blast_t]],"")</f>
        <v/>
      </c>
    </row>
    <row r="181">
      <c r="A181" s="54" t="n">
        <v>46198</v>
      </c>
      <c r="B181" s="55" t="n"/>
      <c r="C181" s="55" t="n"/>
      <c r="D181" s="55" t="n"/>
      <c r="E181" s="55" t="n"/>
      <c r="F181" s="55" t="n"/>
      <c r="G181" s="58" t="n"/>
      <c r="H181" s="65">
        <f>IF(AND(tblMiningDaily[[#This Row],[Blast_t]]&lt;&gt;"",tblMiningDaily[[#This Row],[Blast_t]]&gt;0),tblMiningDaily[[#This Row],[Explosives_kg]]/tblMiningDaily[[#This Row],[Blast_t]],"")</f>
        <v/>
      </c>
    </row>
    <row r="182">
      <c r="A182" s="54" t="n">
        <v>46199</v>
      </c>
      <c r="B182" s="55" t="n"/>
      <c r="C182" s="55" t="n"/>
      <c r="D182" s="55" t="n"/>
      <c r="E182" s="55" t="n"/>
      <c r="F182" s="55" t="n"/>
      <c r="G182" s="58" t="n"/>
      <c r="H182" s="65">
        <f>IF(AND(tblMiningDaily[[#This Row],[Blast_t]]&lt;&gt;"",tblMiningDaily[[#This Row],[Blast_t]]&gt;0),tblMiningDaily[[#This Row],[Explosives_kg]]/tblMiningDaily[[#This Row],[Blast_t]],"")</f>
        <v/>
      </c>
    </row>
    <row r="183">
      <c r="A183" s="54" t="n">
        <v>46200</v>
      </c>
      <c r="B183" s="55" t="n"/>
      <c r="C183" s="55" t="n"/>
      <c r="D183" s="55" t="n"/>
      <c r="E183" s="55" t="n"/>
      <c r="F183" s="55" t="n"/>
      <c r="G183" s="58" t="n"/>
      <c r="H183" s="65">
        <f>IF(AND(tblMiningDaily[[#This Row],[Blast_t]]&lt;&gt;"",tblMiningDaily[[#This Row],[Blast_t]]&gt;0),tblMiningDaily[[#This Row],[Explosives_kg]]/tblMiningDaily[[#This Row],[Blast_t]],"")</f>
        <v/>
      </c>
    </row>
    <row r="184">
      <c r="A184" s="54" t="n">
        <v>46201</v>
      </c>
      <c r="B184" s="55" t="n"/>
      <c r="C184" s="55" t="n"/>
      <c r="D184" s="55" t="n"/>
      <c r="E184" s="55" t="n"/>
      <c r="F184" s="55" t="n"/>
      <c r="G184" s="58" t="n"/>
      <c r="H184" s="65">
        <f>IF(AND(tblMiningDaily[[#This Row],[Blast_t]]&lt;&gt;"",tblMiningDaily[[#This Row],[Blast_t]]&gt;0),tblMiningDaily[[#This Row],[Explosives_kg]]/tblMiningDaily[[#This Row],[Blast_t]],"")</f>
        <v/>
      </c>
    </row>
    <row r="185">
      <c r="A185" s="54" t="n">
        <v>46202</v>
      </c>
      <c r="B185" s="55" t="n"/>
      <c r="C185" s="55" t="n"/>
      <c r="D185" s="55" t="n"/>
      <c r="E185" s="55" t="n"/>
      <c r="F185" s="55" t="n"/>
      <c r="G185" s="58" t="n"/>
      <c r="H185" s="65">
        <f>IF(AND(tblMiningDaily[[#This Row],[Blast_t]]&lt;&gt;"",tblMiningDaily[[#This Row],[Blast_t]]&gt;0),tblMiningDaily[[#This Row],[Explosives_kg]]/tblMiningDaily[[#This Row],[Blast_t]],"")</f>
        <v/>
      </c>
    </row>
    <row r="186">
      <c r="A186" s="54" t="n">
        <v>46203</v>
      </c>
      <c r="B186" s="55" t="n"/>
      <c r="C186" s="55" t="n"/>
      <c r="D186" s="55" t="n"/>
      <c r="E186" s="55" t="n"/>
      <c r="F186" s="55" t="n"/>
      <c r="G186" s="58" t="n"/>
      <c r="H186" s="65">
        <f>IF(AND(tblMiningDaily[[#This Row],[Blast_t]]&lt;&gt;"",tblMiningDaily[[#This Row],[Blast_t]]&gt;0),tblMiningDaily[[#This Row],[Explosives_kg]]/tblMiningDaily[[#This Row],[Blast_t]],"")</f>
        <v/>
      </c>
    </row>
    <row r="187">
      <c r="A187" s="54" t="n">
        <v>46204</v>
      </c>
      <c r="B187" s="55" t="n"/>
      <c r="C187" s="55" t="n"/>
      <c r="D187" s="55" t="n"/>
      <c r="E187" s="55" t="n"/>
      <c r="F187" s="55" t="n"/>
      <c r="G187" s="58" t="n"/>
      <c r="H187" s="65">
        <f>IF(AND(tblMiningDaily[[#This Row],[Blast_t]]&lt;&gt;"",tblMiningDaily[[#This Row],[Blast_t]]&gt;0),tblMiningDaily[[#This Row],[Explosives_kg]]/tblMiningDaily[[#This Row],[Blast_t]],"")</f>
        <v/>
      </c>
    </row>
    <row r="188">
      <c r="A188" s="54" t="n">
        <v>46205</v>
      </c>
      <c r="B188" s="55" t="n"/>
      <c r="C188" s="55" t="n"/>
      <c r="D188" s="55" t="n"/>
      <c r="E188" s="55" t="n"/>
      <c r="F188" s="55" t="n"/>
      <c r="G188" s="58" t="n"/>
      <c r="H188" s="65">
        <f>IF(AND(tblMiningDaily[[#This Row],[Blast_t]]&lt;&gt;"",tblMiningDaily[[#This Row],[Blast_t]]&gt;0),tblMiningDaily[[#This Row],[Explosives_kg]]/tblMiningDaily[[#This Row],[Blast_t]],"")</f>
        <v/>
      </c>
    </row>
    <row r="189">
      <c r="A189" s="54" t="n">
        <v>46206</v>
      </c>
      <c r="B189" s="55" t="n"/>
      <c r="C189" s="55" t="n"/>
      <c r="D189" s="55" t="n"/>
      <c r="E189" s="55" t="n"/>
      <c r="F189" s="55" t="n"/>
      <c r="G189" s="58" t="n"/>
      <c r="H189" s="65">
        <f>IF(AND(tblMiningDaily[[#This Row],[Blast_t]]&lt;&gt;"",tblMiningDaily[[#This Row],[Blast_t]]&gt;0),tblMiningDaily[[#This Row],[Explosives_kg]]/tblMiningDaily[[#This Row],[Blast_t]],"")</f>
        <v/>
      </c>
    </row>
    <row r="190">
      <c r="A190" s="54" t="n">
        <v>46207</v>
      </c>
      <c r="B190" s="55" t="n"/>
      <c r="C190" s="55" t="n"/>
      <c r="D190" s="55" t="n"/>
      <c r="E190" s="55" t="n"/>
      <c r="F190" s="55" t="n"/>
      <c r="G190" s="58" t="n"/>
      <c r="H190" s="65">
        <f>IF(AND(tblMiningDaily[[#This Row],[Blast_t]]&lt;&gt;"",tblMiningDaily[[#This Row],[Blast_t]]&gt;0),tblMiningDaily[[#This Row],[Explosives_kg]]/tblMiningDaily[[#This Row],[Blast_t]],"")</f>
        <v/>
      </c>
    </row>
    <row r="191">
      <c r="A191" s="54" t="n">
        <v>46208</v>
      </c>
      <c r="B191" s="55" t="n"/>
      <c r="C191" s="55" t="n"/>
      <c r="D191" s="55" t="n"/>
      <c r="E191" s="55" t="n"/>
      <c r="F191" s="55" t="n"/>
      <c r="G191" s="58" t="n"/>
      <c r="H191" s="65">
        <f>IF(AND(tblMiningDaily[[#This Row],[Blast_t]]&lt;&gt;"",tblMiningDaily[[#This Row],[Blast_t]]&gt;0),tblMiningDaily[[#This Row],[Explosives_kg]]/tblMiningDaily[[#This Row],[Blast_t]],"")</f>
        <v/>
      </c>
    </row>
    <row r="192">
      <c r="A192" s="54" t="n">
        <v>46209</v>
      </c>
      <c r="B192" s="55" t="n"/>
      <c r="C192" s="55" t="n"/>
      <c r="D192" s="55" t="n"/>
      <c r="E192" s="55" t="n"/>
      <c r="F192" s="55" t="n"/>
      <c r="G192" s="58" t="n"/>
      <c r="H192" s="65">
        <f>IF(AND(tblMiningDaily[[#This Row],[Blast_t]]&lt;&gt;"",tblMiningDaily[[#This Row],[Blast_t]]&gt;0),tblMiningDaily[[#This Row],[Explosives_kg]]/tblMiningDaily[[#This Row],[Blast_t]],"")</f>
        <v/>
      </c>
    </row>
    <row r="193">
      <c r="A193" s="54" t="n">
        <v>46210</v>
      </c>
      <c r="B193" s="55" t="n"/>
      <c r="C193" s="55" t="n"/>
      <c r="D193" s="55" t="n"/>
      <c r="E193" s="55" t="n"/>
      <c r="F193" s="55" t="n"/>
      <c r="G193" s="58" t="n"/>
      <c r="H193" s="65">
        <f>IF(AND(tblMiningDaily[[#This Row],[Blast_t]]&lt;&gt;"",tblMiningDaily[[#This Row],[Blast_t]]&gt;0),tblMiningDaily[[#This Row],[Explosives_kg]]/tblMiningDaily[[#This Row],[Blast_t]],"")</f>
        <v/>
      </c>
    </row>
    <row r="194">
      <c r="A194" s="54" t="n">
        <v>46211</v>
      </c>
      <c r="B194" s="55" t="n"/>
      <c r="C194" s="55" t="n"/>
      <c r="D194" s="55" t="n"/>
      <c r="E194" s="55" t="n"/>
      <c r="F194" s="55" t="n"/>
      <c r="G194" s="58" t="n"/>
      <c r="H194" s="65">
        <f>IF(AND(tblMiningDaily[[#This Row],[Blast_t]]&lt;&gt;"",tblMiningDaily[[#This Row],[Blast_t]]&gt;0),tblMiningDaily[[#This Row],[Explosives_kg]]/tblMiningDaily[[#This Row],[Blast_t]],"")</f>
        <v/>
      </c>
    </row>
    <row r="195">
      <c r="A195" s="54" t="n">
        <v>46212</v>
      </c>
      <c r="B195" s="55" t="n"/>
      <c r="C195" s="55" t="n"/>
      <c r="D195" s="55" t="n"/>
      <c r="E195" s="55" t="n"/>
      <c r="F195" s="55" t="n"/>
      <c r="G195" s="58" t="n"/>
      <c r="H195" s="65">
        <f>IF(AND(tblMiningDaily[[#This Row],[Blast_t]]&lt;&gt;"",tblMiningDaily[[#This Row],[Blast_t]]&gt;0),tblMiningDaily[[#This Row],[Explosives_kg]]/tblMiningDaily[[#This Row],[Blast_t]],"")</f>
        <v/>
      </c>
    </row>
    <row r="196">
      <c r="A196" s="54" t="n">
        <v>46213</v>
      </c>
      <c r="B196" s="55" t="n"/>
      <c r="C196" s="55" t="n"/>
      <c r="D196" s="55" t="n"/>
      <c r="E196" s="55" t="n"/>
      <c r="F196" s="55" t="n"/>
      <c r="G196" s="58" t="n"/>
      <c r="H196" s="65">
        <f>IF(AND(tblMiningDaily[[#This Row],[Blast_t]]&lt;&gt;"",tblMiningDaily[[#This Row],[Blast_t]]&gt;0),tblMiningDaily[[#This Row],[Explosives_kg]]/tblMiningDaily[[#This Row],[Blast_t]],"")</f>
        <v/>
      </c>
    </row>
    <row r="197">
      <c r="A197" s="54" t="n">
        <v>46214</v>
      </c>
      <c r="B197" s="55" t="n"/>
      <c r="C197" s="55" t="n"/>
      <c r="D197" s="55" t="n"/>
      <c r="E197" s="55" t="n"/>
      <c r="F197" s="55" t="n"/>
      <c r="G197" s="58" t="n"/>
      <c r="H197" s="65">
        <f>IF(AND(tblMiningDaily[[#This Row],[Blast_t]]&lt;&gt;"",tblMiningDaily[[#This Row],[Blast_t]]&gt;0),tblMiningDaily[[#This Row],[Explosives_kg]]/tblMiningDaily[[#This Row],[Blast_t]],"")</f>
        <v/>
      </c>
    </row>
    <row r="198">
      <c r="A198" s="54" t="n">
        <v>46215</v>
      </c>
      <c r="B198" s="55" t="n"/>
      <c r="C198" s="55" t="n"/>
      <c r="D198" s="55" t="n"/>
      <c r="E198" s="55" t="n"/>
      <c r="F198" s="55" t="n"/>
      <c r="G198" s="58" t="n"/>
      <c r="H198" s="65">
        <f>IF(AND(tblMiningDaily[[#This Row],[Blast_t]]&lt;&gt;"",tblMiningDaily[[#This Row],[Blast_t]]&gt;0),tblMiningDaily[[#This Row],[Explosives_kg]]/tblMiningDaily[[#This Row],[Blast_t]],"")</f>
        <v/>
      </c>
    </row>
    <row r="199">
      <c r="A199" s="54" t="n">
        <v>46216</v>
      </c>
      <c r="B199" s="55" t="n"/>
      <c r="C199" s="55" t="n"/>
      <c r="D199" s="55" t="n"/>
      <c r="E199" s="55" t="n"/>
      <c r="F199" s="55" t="n"/>
      <c r="G199" s="58" t="n"/>
      <c r="H199" s="65">
        <f>IF(AND(tblMiningDaily[[#This Row],[Blast_t]]&lt;&gt;"",tblMiningDaily[[#This Row],[Blast_t]]&gt;0),tblMiningDaily[[#This Row],[Explosives_kg]]/tblMiningDaily[[#This Row],[Blast_t]],"")</f>
        <v/>
      </c>
    </row>
    <row r="200">
      <c r="A200" s="54" t="n">
        <v>46217</v>
      </c>
      <c r="B200" s="55" t="n"/>
      <c r="C200" s="55" t="n"/>
      <c r="D200" s="55" t="n"/>
      <c r="E200" s="55" t="n"/>
      <c r="F200" s="55" t="n"/>
      <c r="G200" s="58" t="n"/>
      <c r="H200" s="65">
        <f>IF(AND(tblMiningDaily[[#This Row],[Blast_t]]&lt;&gt;"",tblMiningDaily[[#This Row],[Blast_t]]&gt;0),tblMiningDaily[[#This Row],[Explosives_kg]]/tblMiningDaily[[#This Row],[Blast_t]],"")</f>
        <v/>
      </c>
    </row>
    <row r="201">
      <c r="A201" s="54" t="n">
        <v>46218</v>
      </c>
      <c r="B201" s="55" t="n"/>
      <c r="C201" s="55" t="n"/>
      <c r="D201" s="55" t="n"/>
      <c r="E201" s="55" t="n"/>
      <c r="F201" s="55" t="n"/>
      <c r="G201" s="58" t="n"/>
      <c r="H201" s="65">
        <f>IF(AND(tblMiningDaily[[#This Row],[Blast_t]]&lt;&gt;"",tblMiningDaily[[#This Row],[Blast_t]]&gt;0),tblMiningDaily[[#This Row],[Explosives_kg]]/tblMiningDaily[[#This Row],[Blast_t]],"")</f>
        <v/>
      </c>
    </row>
    <row r="202">
      <c r="A202" s="54" t="n">
        <v>46219</v>
      </c>
      <c r="B202" s="55" t="n"/>
      <c r="C202" s="55" t="n"/>
      <c r="D202" s="55" t="n"/>
      <c r="E202" s="55" t="n"/>
      <c r="F202" s="55" t="n"/>
      <c r="G202" s="58" t="n"/>
      <c r="H202" s="65">
        <f>IF(AND(tblMiningDaily[[#This Row],[Blast_t]]&lt;&gt;"",tblMiningDaily[[#This Row],[Blast_t]]&gt;0),tblMiningDaily[[#This Row],[Explosives_kg]]/tblMiningDaily[[#This Row],[Blast_t]],"")</f>
        <v/>
      </c>
    </row>
    <row r="203">
      <c r="A203" s="54" t="n">
        <v>46220</v>
      </c>
      <c r="B203" s="55" t="n"/>
      <c r="C203" s="55" t="n"/>
      <c r="D203" s="55" t="n"/>
      <c r="E203" s="55" t="n"/>
      <c r="F203" s="55" t="n"/>
      <c r="G203" s="58" t="n"/>
      <c r="H203" s="65">
        <f>IF(AND(tblMiningDaily[[#This Row],[Blast_t]]&lt;&gt;"",tblMiningDaily[[#This Row],[Blast_t]]&gt;0),tblMiningDaily[[#This Row],[Explosives_kg]]/tblMiningDaily[[#This Row],[Blast_t]],"")</f>
        <v/>
      </c>
    </row>
    <row r="204">
      <c r="A204" s="54" t="n">
        <v>46221</v>
      </c>
      <c r="B204" s="55" t="n"/>
      <c r="C204" s="55" t="n"/>
      <c r="D204" s="55" t="n"/>
      <c r="E204" s="55" t="n"/>
      <c r="F204" s="55" t="n"/>
      <c r="G204" s="58" t="n"/>
      <c r="H204" s="65">
        <f>IF(AND(tblMiningDaily[[#This Row],[Blast_t]]&lt;&gt;"",tblMiningDaily[[#This Row],[Blast_t]]&gt;0),tblMiningDaily[[#This Row],[Explosives_kg]]/tblMiningDaily[[#This Row],[Blast_t]],"")</f>
        <v/>
      </c>
    </row>
    <row r="205">
      <c r="A205" s="54" t="n">
        <v>46222</v>
      </c>
      <c r="B205" s="55" t="n"/>
      <c r="C205" s="55" t="n"/>
      <c r="D205" s="55" t="n"/>
      <c r="E205" s="55" t="n"/>
      <c r="F205" s="55" t="n"/>
      <c r="G205" s="58" t="n"/>
      <c r="H205" s="65">
        <f>IF(AND(tblMiningDaily[[#This Row],[Blast_t]]&lt;&gt;"",tblMiningDaily[[#This Row],[Blast_t]]&gt;0),tblMiningDaily[[#This Row],[Explosives_kg]]/tblMiningDaily[[#This Row],[Blast_t]],"")</f>
        <v/>
      </c>
    </row>
    <row r="206">
      <c r="A206" s="54" t="n">
        <v>46223</v>
      </c>
      <c r="B206" s="55" t="n"/>
      <c r="C206" s="55" t="n"/>
      <c r="D206" s="55" t="n"/>
      <c r="E206" s="55" t="n"/>
      <c r="F206" s="55" t="n"/>
      <c r="G206" s="58" t="n"/>
      <c r="H206" s="65">
        <f>IF(AND(tblMiningDaily[[#This Row],[Blast_t]]&lt;&gt;"",tblMiningDaily[[#This Row],[Blast_t]]&gt;0),tblMiningDaily[[#This Row],[Explosives_kg]]/tblMiningDaily[[#This Row],[Blast_t]],"")</f>
        <v/>
      </c>
    </row>
    <row r="207">
      <c r="A207" s="54" t="n">
        <v>46224</v>
      </c>
      <c r="B207" s="55" t="n"/>
      <c r="C207" s="55" t="n"/>
      <c r="D207" s="55" t="n"/>
      <c r="E207" s="55" t="n"/>
      <c r="F207" s="55" t="n"/>
      <c r="G207" s="58" t="n"/>
      <c r="H207" s="65">
        <f>IF(AND(tblMiningDaily[[#This Row],[Blast_t]]&lt;&gt;"",tblMiningDaily[[#This Row],[Blast_t]]&gt;0),tblMiningDaily[[#This Row],[Explosives_kg]]/tblMiningDaily[[#This Row],[Blast_t]],"")</f>
        <v/>
      </c>
    </row>
    <row r="208">
      <c r="A208" s="54" t="n">
        <v>46225</v>
      </c>
      <c r="B208" s="55" t="n"/>
      <c r="C208" s="55" t="n"/>
      <c r="D208" s="55" t="n"/>
      <c r="E208" s="55" t="n"/>
      <c r="F208" s="55" t="n"/>
      <c r="G208" s="58" t="n"/>
      <c r="H208" s="65">
        <f>IF(AND(tblMiningDaily[[#This Row],[Blast_t]]&lt;&gt;"",tblMiningDaily[[#This Row],[Blast_t]]&gt;0),tblMiningDaily[[#This Row],[Explosives_kg]]/tblMiningDaily[[#This Row],[Blast_t]],"")</f>
        <v/>
      </c>
    </row>
    <row r="209">
      <c r="A209" s="54" t="n">
        <v>46226</v>
      </c>
      <c r="B209" s="55" t="n"/>
      <c r="C209" s="55" t="n"/>
      <c r="D209" s="55" t="n"/>
      <c r="E209" s="55" t="n"/>
      <c r="F209" s="55" t="n"/>
      <c r="G209" s="58" t="n"/>
      <c r="H209" s="65">
        <f>IF(AND(tblMiningDaily[[#This Row],[Blast_t]]&lt;&gt;"",tblMiningDaily[[#This Row],[Blast_t]]&gt;0),tblMiningDaily[[#This Row],[Explosives_kg]]/tblMiningDaily[[#This Row],[Blast_t]],"")</f>
        <v/>
      </c>
    </row>
    <row r="210">
      <c r="A210" s="54" t="n">
        <v>46227</v>
      </c>
      <c r="B210" s="55" t="n"/>
      <c r="C210" s="55" t="n"/>
      <c r="D210" s="55" t="n"/>
      <c r="E210" s="55" t="n"/>
      <c r="F210" s="55" t="n"/>
      <c r="G210" s="58" t="n"/>
      <c r="H210" s="65">
        <f>IF(AND(tblMiningDaily[[#This Row],[Blast_t]]&lt;&gt;"",tblMiningDaily[[#This Row],[Blast_t]]&gt;0),tblMiningDaily[[#This Row],[Explosives_kg]]/tblMiningDaily[[#This Row],[Blast_t]],"")</f>
        <v/>
      </c>
    </row>
    <row r="211">
      <c r="A211" s="54" t="n">
        <v>46228</v>
      </c>
      <c r="B211" s="55" t="n"/>
      <c r="C211" s="55" t="n"/>
      <c r="D211" s="55" t="n"/>
      <c r="E211" s="55" t="n"/>
      <c r="F211" s="55" t="n"/>
      <c r="G211" s="58" t="n"/>
      <c r="H211" s="65">
        <f>IF(AND(tblMiningDaily[[#This Row],[Blast_t]]&lt;&gt;"",tblMiningDaily[[#This Row],[Blast_t]]&gt;0),tblMiningDaily[[#This Row],[Explosives_kg]]/tblMiningDaily[[#This Row],[Blast_t]],"")</f>
        <v/>
      </c>
    </row>
    <row r="212">
      <c r="A212" s="54" t="n">
        <v>46229</v>
      </c>
      <c r="B212" s="55" t="n"/>
      <c r="C212" s="55" t="n"/>
      <c r="D212" s="55" t="n"/>
      <c r="E212" s="55" t="n"/>
      <c r="F212" s="55" t="n"/>
      <c r="G212" s="58" t="n"/>
      <c r="H212" s="65">
        <f>IF(AND(tblMiningDaily[[#This Row],[Blast_t]]&lt;&gt;"",tblMiningDaily[[#This Row],[Blast_t]]&gt;0),tblMiningDaily[[#This Row],[Explosives_kg]]/tblMiningDaily[[#This Row],[Blast_t]],"")</f>
        <v/>
      </c>
    </row>
    <row r="213">
      <c r="A213" s="54" t="n">
        <v>46230</v>
      </c>
      <c r="B213" s="55" t="n"/>
      <c r="C213" s="55" t="n"/>
      <c r="D213" s="55" t="n"/>
      <c r="E213" s="55" t="n"/>
      <c r="F213" s="55" t="n"/>
      <c r="G213" s="58" t="n"/>
      <c r="H213" s="65">
        <f>IF(AND(tblMiningDaily[[#This Row],[Blast_t]]&lt;&gt;"",tblMiningDaily[[#This Row],[Blast_t]]&gt;0),tblMiningDaily[[#This Row],[Explosives_kg]]/tblMiningDaily[[#This Row],[Blast_t]],"")</f>
        <v/>
      </c>
    </row>
    <row r="214">
      <c r="A214" s="54" t="n">
        <v>46231</v>
      </c>
      <c r="B214" s="55" t="n"/>
      <c r="C214" s="55" t="n"/>
      <c r="D214" s="55" t="n"/>
      <c r="E214" s="55" t="n"/>
      <c r="F214" s="55" t="n"/>
      <c r="G214" s="58" t="n"/>
      <c r="H214" s="65">
        <f>IF(AND(tblMiningDaily[[#This Row],[Blast_t]]&lt;&gt;"",tblMiningDaily[[#This Row],[Blast_t]]&gt;0),tblMiningDaily[[#This Row],[Explosives_kg]]/tblMiningDaily[[#This Row],[Blast_t]],"")</f>
        <v/>
      </c>
    </row>
    <row r="215">
      <c r="A215" s="54" t="n">
        <v>46232</v>
      </c>
      <c r="B215" s="55" t="n"/>
      <c r="C215" s="55" t="n"/>
      <c r="D215" s="55" t="n"/>
      <c r="E215" s="55" t="n"/>
      <c r="F215" s="55" t="n"/>
      <c r="G215" s="58" t="n"/>
      <c r="H215" s="65">
        <f>IF(AND(tblMiningDaily[[#This Row],[Blast_t]]&lt;&gt;"",tblMiningDaily[[#This Row],[Blast_t]]&gt;0),tblMiningDaily[[#This Row],[Explosives_kg]]/tblMiningDaily[[#This Row],[Blast_t]],"")</f>
        <v/>
      </c>
    </row>
    <row r="216">
      <c r="A216" s="54" t="n">
        <v>46233</v>
      </c>
      <c r="B216" s="55" t="n"/>
      <c r="C216" s="55" t="n"/>
      <c r="D216" s="55" t="n"/>
      <c r="E216" s="55" t="n"/>
      <c r="F216" s="55" t="n"/>
      <c r="G216" s="58" t="n"/>
      <c r="H216" s="65">
        <f>IF(AND(tblMiningDaily[[#This Row],[Blast_t]]&lt;&gt;"",tblMiningDaily[[#This Row],[Blast_t]]&gt;0),tblMiningDaily[[#This Row],[Explosives_kg]]/tblMiningDaily[[#This Row],[Blast_t]],"")</f>
        <v/>
      </c>
    </row>
    <row r="217">
      <c r="A217" s="54" t="n">
        <v>46234</v>
      </c>
      <c r="B217" s="55" t="n"/>
      <c r="C217" s="55" t="n"/>
      <c r="D217" s="55" t="n"/>
      <c r="E217" s="55" t="n"/>
      <c r="F217" s="55" t="n"/>
      <c r="G217" s="58" t="n"/>
      <c r="H217" s="65">
        <f>IF(AND(tblMiningDaily[[#This Row],[Blast_t]]&lt;&gt;"",tblMiningDaily[[#This Row],[Blast_t]]&gt;0),tblMiningDaily[[#This Row],[Explosives_kg]]/tblMiningDaily[[#This Row],[Blast_t]],"")</f>
        <v/>
      </c>
    </row>
    <row r="218">
      <c r="A218" s="54" t="n">
        <v>46235</v>
      </c>
      <c r="B218" s="55" t="n"/>
      <c r="C218" s="55" t="n"/>
      <c r="D218" s="55" t="n"/>
      <c r="E218" s="55" t="n"/>
      <c r="F218" s="55" t="n"/>
      <c r="G218" s="58" t="n"/>
      <c r="H218" s="65">
        <f>IF(AND(tblMiningDaily[[#This Row],[Blast_t]]&lt;&gt;"",tblMiningDaily[[#This Row],[Blast_t]]&gt;0),tblMiningDaily[[#This Row],[Explosives_kg]]/tblMiningDaily[[#This Row],[Blast_t]],"")</f>
        <v/>
      </c>
    </row>
    <row r="219">
      <c r="A219" s="54" t="n">
        <v>46236</v>
      </c>
      <c r="B219" s="55" t="n"/>
      <c r="C219" s="55" t="n"/>
      <c r="D219" s="55" t="n"/>
      <c r="E219" s="55" t="n"/>
      <c r="F219" s="55" t="n"/>
      <c r="G219" s="58" t="n"/>
      <c r="H219" s="65">
        <f>IF(AND(tblMiningDaily[[#This Row],[Blast_t]]&lt;&gt;"",tblMiningDaily[[#This Row],[Blast_t]]&gt;0),tblMiningDaily[[#This Row],[Explosives_kg]]/tblMiningDaily[[#This Row],[Blast_t]],"")</f>
        <v/>
      </c>
    </row>
    <row r="220">
      <c r="A220" s="54" t="n">
        <v>46237</v>
      </c>
      <c r="B220" s="55" t="n"/>
      <c r="C220" s="55" t="n"/>
      <c r="D220" s="55" t="n"/>
      <c r="E220" s="55" t="n"/>
      <c r="F220" s="55" t="n"/>
      <c r="G220" s="58" t="n"/>
      <c r="H220" s="65">
        <f>IF(AND(tblMiningDaily[[#This Row],[Blast_t]]&lt;&gt;"",tblMiningDaily[[#This Row],[Blast_t]]&gt;0),tblMiningDaily[[#This Row],[Explosives_kg]]/tblMiningDaily[[#This Row],[Blast_t]],"")</f>
        <v/>
      </c>
    </row>
    <row r="221">
      <c r="A221" s="54" t="n">
        <v>46238</v>
      </c>
      <c r="B221" s="55" t="n"/>
      <c r="C221" s="55" t="n"/>
      <c r="D221" s="55" t="n"/>
      <c r="E221" s="55" t="n"/>
      <c r="F221" s="55" t="n"/>
      <c r="G221" s="58" t="n"/>
      <c r="H221" s="65">
        <f>IF(AND(tblMiningDaily[[#This Row],[Blast_t]]&lt;&gt;"",tblMiningDaily[[#This Row],[Blast_t]]&gt;0),tblMiningDaily[[#This Row],[Explosives_kg]]/tblMiningDaily[[#This Row],[Blast_t]],"")</f>
        <v/>
      </c>
    </row>
    <row r="222">
      <c r="A222" s="54" t="n">
        <v>46239</v>
      </c>
      <c r="B222" s="55" t="n"/>
      <c r="C222" s="55" t="n"/>
      <c r="D222" s="55" t="n"/>
      <c r="E222" s="55" t="n"/>
      <c r="F222" s="55" t="n"/>
      <c r="G222" s="58" t="n"/>
      <c r="H222" s="65">
        <f>IF(AND(tblMiningDaily[[#This Row],[Blast_t]]&lt;&gt;"",tblMiningDaily[[#This Row],[Blast_t]]&gt;0),tblMiningDaily[[#This Row],[Explosives_kg]]/tblMiningDaily[[#This Row],[Blast_t]],"")</f>
        <v/>
      </c>
    </row>
    <row r="223">
      <c r="A223" s="54" t="n">
        <v>46240</v>
      </c>
      <c r="B223" s="55" t="n"/>
      <c r="C223" s="55" t="n"/>
      <c r="D223" s="55" t="n"/>
      <c r="E223" s="55" t="n"/>
      <c r="F223" s="55" t="n"/>
      <c r="G223" s="58" t="n"/>
      <c r="H223" s="65">
        <f>IF(AND(tblMiningDaily[[#This Row],[Blast_t]]&lt;&gt;"",tblMiningDaily[[#This Row],[Blast_t]]&gt;0),tblMiningDaily[[#This Row],[Explosives_kg]]/tblMiningDaily[[#This Row],[Blast_t]],"")</f>
        <v/>
      </c>
    </row>
    <row r="224">
      <c r="A224" s="54" t="n">
        <v>46241</v>
      </c>
      <c r="B224" s="55" t="n"/>
      <c r="C224" s="55" t="n"/>
      <c r="D224" s="55" t="n"/>
      <c r="E224" s="55" t="n"/>
      <c r="F224" s="55" t="n"/>
      <c r="G224" s="58" t="n"/>
      <c r="H224" s="65">
        <f>IF(AND(tblMiningDaily[[#This Row],[Blast_t]]&lt;&gt;"",tblMiningDaily[[#This Row],[Blast_t]]&gt;0),tblMiningDaily[[#This Row],[Explosives_kg]]/tblMiningDaily[[#This Row],[Blast_t]],"")</f>
        <v/>
      </c>
    </row>
    <row r="225">
      <c r="A225" s="54" t="n">
        <v>46242</v>
      </c>
      <c r="B225" s="55" t="n"/>
      <c r="C225" s="55" t="n"/>
      <c r="D225" s="55" t="n"/>
      <c r="E225" s="55" t="n"/>
      <c r="F225" s="55" t="n"/>
      <c r="G225" s="58" t="n"/>
      <c r="H225" s="65">
        <f>IF(AND(tblMiningDaily[[#This Row],[Blast_t]]&lt;&gt;"",tblMiningDaily[[#This Row],[Blast_t]]&gt;0),tblMiningDaily[[#This Row],[Explosives_kg]]/tblMiningDaily[[#This Row],[Blast_t]],"")</f>
        <v/>
      </c>
    </row>
    <row r="226">
      <c r="A226" s="54" t="n">
        <v>46243</v>
      </c>
      <c r="B226" s="55" t="n"/>
      <c r="C226" s="55" t="n"/>
      <c r="D226" s="55" t="n"/>
      <c r="E226" s="55" t="n"/>
      <c r="F226" s="55" t="n"/>
      <c r="G226" s="58" t="n"/>
      <c r="H226" s="65">
        <f>IF(AND(tblMiningDaily[[#This Row],[Blast_t]]&lt;&gt;"",tblMiningDaily[[#This Row],[Blast_t]]&gt;0),tblMiningDaily[[#This Row],[Explosives_kg]]/tblMiningDaily[[#This Row],[Blast_t]],"")</f>
        <v/>
      </c>
    </row>
    <row r="227">
      <c r="A227" s="54" t="n">
        <v>46244</v>
      </c>
      <c r="B227" s="55" t="n"/>
      <c r="C227" s="55" t="n"/>
      <c r="D227" s="55" t="n"/>
      <c r="E227" s="55" t="n"/>
      <c r="F227" s="55" t="n"/>
      <c r="G227" s="58" t="n"/>
      <c r="H227" s="65">
        <f>IF(AND(tblMiningDaily[[#This Row],[Blast_t]]&lt;&gt;"",tblMiningDaily[[#This Row],[Blast_t]]&gt;0),tblMiningDaily[[#This Row],[Explosives_kg]]/tblMiningDaily[[#This Row],[Blast_t]],"")</f>
        <v/>
      </c>
    </row>
    <row r="228">
      <c r="A228" s="54" t="n">
        <v>46245</v>
      </c>
      <c r="B228" s="55" t="n"/>
      <c r="C228" s="55" t="n"/>
      <c r="D228" s="55" t="n"/>
      <c r="E228" s="55" t="n"/>
      <c r="F228" s="55" t="n"/>
      <c r="G228" s="58" t="n"/>
      <c r="H228" s="65">
        <f>IF(AND(tblMiningDaily[[#This Row],[Blast_t]]&lt;&gt;"",tblMiningDaily[[#This Row],[Blast_t]]&gt;0),tblMiningDaily[[#This Row],[Explosives_kg]]/tblMiningDaily[[#This Row],[Blast_t]],"")</f>
        <v/>
      </c>
    </row>
    <row r="229">
      <c r="A229" s="54" t="n">
        <v>46246</v>
      </c>
      <c r="B229" s="55" t="n"/>
      <c r="C229" s="55" t="n"/>
      <c r="D229" s="55" t="n"/>
      <c r="E229" s="55" t="n"/>
      <c r="F229" s="55" t="n"/>
      <c r="G229" s="58" t="n"/>
      <c r="H229" s="65">
        <f>IF(AND(tblMiningDaily[[#This Row],[Blast_t]]&lt;&gt;"",tblMiningDaily[[#This Row],[Blast_t]]&gt;0),tblMiningDaily[[#This Row],[Explosives_kg]]/tblMiningDaily[[#This Row],[Blast_t]],"")</f>
        <v/>
      </c>
    </row>
    <row r="230">
      <c r="A230" s="54" t="n">
        <v>46247</v>
      </c>
      <c r="B230" s="55" t="n"/>
      <c r="C230" s="55" t="n"/>
      <c r="D230" s="55" t="n"/>
      <c r="E230" s="55" t="n"/>
      <c r="F230" s="55" t="n"/>
      <c r="G230" s="58" t="n"/>
      <c r="H230" s="65">
        <f>IF(AND(tblMiningDaily[[#This Row],[Blast_t]]&lt;&gt;"",tblMiningDaily[[#This Row],[Blast_t]]&gt;0),tblMiningDaily[[#This Row],[Explosives_kg]]/tblMiningDaily[[#This Row],[Blast_t]],"")</f>
        <v/>
      </c>
    </row>
    <row r="231">
      <c r="A231" s="54" t="n">
        <v>46248</v>
      </c>
      <c r="B231" s="55" t="n"/>
      <c r="C231" s="55" t="n"/>
      <c r="D231" s="55" t="n"/>
      <c r="E231" s="55" t="n"/>
      <c r="F231" s="55" t="n"/>
      <c r="G231" s="58" t="n"/>
      <c r="H231" s="65">
        <f>IF(AND(tblMiningDaily[[#This Row],[Blast_t]]&lt;&gt;"",tblMiningDaily[[#This Row],[Blast_t]]&gt;0),tblMiningDaily[[#This Row],[Explosives_kg]]/tblMiningDaily[[#This Row],[Blast_t]],"")</f>
        <v/>
      </c>
    </row>
    <row r="232">
      <c r="A232" s="54" t="n">
        <v>46249</v>
      </c>
      <c r="B232" s="55" t="n"/>
      <c r="C232" s="55" t="n"/>
      <c r="D232" s="55" t="n"/>
      <c r="E232" s="55" t="n"/>
      <c r="F232" s="55" t="n"/>
      <c r="G232" s="58" t="n"/>
      <c r="H232" s="65">
        <f>IF(AND(tblMiningDaily[[#This Row],[Blast_t]]&lt;&gt;"",tblMiningDaily[[#This Row],[Blast_t]]&gt;0),tblMiningDaily[[#This Row],[Explosives_kg]]/tblMiningDaily[[#This Row],[Blast_t]],"")</f>
        <v/>
      </c>
    </row>
    <row r="233">
      <c r="A233" s="54" t="n">
        <v>46250</v>
      </c>
      <c r="B233" s="55" t="n"/>
      <c r="C233" s="55" t="n"/>
      <c r="D233" s="55" t="n"/>
      <c r="E233" s="55" t="n"/>
      <c r="F233" s="55" t="n"/>
      <c r="G233" s="58" t="n"/>
      <c r="H233" s="65">
        <f>IF(AND(tblMiningDaily[[#This Row],[Blast_t]]&lt;&gt;"",tblMiningDaily[[#This Row],[Blast_t]]&gt;0),tblMiningDaily[[#This Row],[Explosives_kg]]/tblMiningDaily[[#This Row],[Blast_t]],"")</f>
        <v/>
      </c>
    </row>
    <row r="234">
      <c r="A234" s="54" t="n">
        <v>46251</v>
      </c>
      <c r="B234" s="55" t="n"/>
      <c r="C234" s="55" t="n"/>
      <c r="D234" s="55" t="n"/>
      <c r="E234" s="55" t="n"/>
      <c r="F234" s="55" t="n"/>
      <c r="G234" s="58" t="n"/>
      <c r="H234" s="65">
        <f>IF(AND(tblMiningDaily[[#This Row],[Blast_t]]&lt;&gt;"",tblMiningDaily[[#This Row],[Blast_t]]&gt;0),tblMiningDaily[[#This Row],[Explosives_kg]]/tblMiningDaily[[#This Row],[Blast_t]],"")</f>
        <v/>
      </c>
    </row>
    <row r="235">
      <c r="A235" s="54" t="n">
        <v>46252</v>
      </c>
      <c r="B235" s="55" t="n"/>
      <c r="C235" s="55" t="n"/>
      <c r="D235" s="55" t="n"/>
      <c r="E235" s="55" t="n"/>
      <c r="F235" s="55" t="n"/>
      <c r="G235" s="58" t="n"/>
      <c r="H235" s="65">
        <f>IF(AND(tblMiningDaily[[#This Row],[Blast_t]]&lt;&gt;"",tblMiningDaily[[#This Row],[Blast_t]]&gt;0),tblMiningDaily[[#This Row],[Explosives_kg]]/tblMiningDaily[[#This Row],[Blast_t]],"")</f>
        <v/>
      </c>
    </row>
    <row r="236">
      <c r="A236" s="54" t="n">
        <v>46253</v>
      </c>
      <c r="B236" s="55" t="n"/>
      <c r="C236" s="55" t="n"/>
      <c r="D236" s="55" t="n"/>
      <c r="E236" s="55" t="n"/>
      <c r="F236" s="55" t="n"/>
      <c r="G236" s="58" t="n"/>
      <c r="H236" s="65">
        <f>IF(AND(tblMiningDaily[[#This Row],[Blast_t]]&lt;&gt;"",tblMiningDaily[[#This Row],[Blast_t]]&gt;0),tblMiningDaily[[#This Row],[Explosives_kg]]/tblMiningDaily[[#This Row],[Blast_t]],"")</f>
        <v/>
      </c>
    </row>
    <row r="237">
      <c r="A237" s="54" t="n">
        <v>46254</v>
      </c>
      <c r="B237" s="55" t="n"/>
      <c r="C237" s="55" t="n"/>
      <c r="D237" s="55" t="n"/>
      <c r="E237" s="55" t="n"/>
      <c r="F237" s="55" t="n"/>
      <c r="G237" s="58" t="n"/>
      <c r="H237" s="65">
        <f>IF(AND(tblMiningDaily[[#This Row],[Blast_t]]&lt;&gt;"",tblMiningDaily[[#This Row],[Blast_t]]&gt;0),tblMiningDaily[[#This Row],[Explosives_kg]]/tblMiningDaily[[#This Row],[Blast_t]],"")</f>
        <v/>
      </c>
    </row>
    <row r="238">
      <c r="A238" s="54" t="n">
        <v>46255</v>
      </c>
      <c r="B238" s="55" t="n"/>
      <c r="C238" s="55" t="n"/>
      <c r="D238" s="55" t="n"/>
      <c r="E238" s="55" t="n"/>
      <c r="F238" s="55" t="n"/>
      <c r="G238" s="58" t="n"/>
      <c r="H238" s="65">
        <f>IF(AND(tblMiningDaily[[#This Row],[Blast_t]]&lt;&gt;"",tblMiningDaily[[#This Row],[Blast_t]]&gt;0),tblMiningDaily[[#This Row],[Explosives_kg]]/tblMiningDaily[[#This Row],[Blast_t]],"")</f>
        <v/>
      </c>
    </row>
    <row r="239">
      <c r="A239" s="54" t="n">
        <v>46256</v>
      </c>
      <c r="B239" s="55" t="n"/>
      <c r="C239" s="55" t="n"/>
      <c r="D239" s="55" t="n"/>
      <c r="E239" s="55" t="n"/>
      <c r="F239" s="55" t="n"/>
      <c r="G239" s="58" t="n"/>
      <c r="H239" s="65">
        <f>IF(AND(tblMiningDaily[[#This Row],[Blast_t]]&lt;&gt;"",tblMiningDaily[[#This Row],[Blast_t]]&gt;0),tblMiningDaily[[#This Row],[Explosives_kg]]/tblMiningDaily[[#This Row],[Blast_t]],"")</f>
        <v/>
      </c>
    </row>
    <row r="240">
      <c r="A240" s="54" t="n">
        <v>46257</v>
      </c>
      <c r="B240" s="55" t="n"/>
      <c r="C240" s="55" t="n"/>
      <c r="D240" s="55" t="n"/>
      <c r="E240" s="55" t="n"/>
      <c r="F240" s="55" t="n"/>
      <c r="G240" s="58" t="n"/>
      <c r="H240" s="65">
        <f>IF(AND(tblMiningDaily[[#This Row],[Blast_t]]&lt;&gt;"",tblMiningDaily[[#This Row],[Blast_t]]&gt;0),tblMiningDaily[[#This Row],[Explosives_kg]]/tblMiningDaily[[#This Row],[Blast_t]],"")</f>
        <v/>
      </c>
    </row>
    <row r="241">
      <c r="A241" s="54" t="n">
        <v>46258</v>
      </c>
      <c r="B241" s="55" t="n"/>
      <c r="C241" s="55" t="n"/>
      <c r="D241" s="55" t="n"/>
      <c r="E241" s="55" t="n"/>
      <c r="F241" s="55" t="n"/>
      <c r="G241" s="58" t="n"/>
      <c r="H241" s="65">
        <f>IF(AND(tblMiningDaily[[#This Row],[Blast_t]]&lt;&gt;"",tblMiningDaily[[#This Row],[Blast_t]]&gt;0),tblMiningDaily[[#This Row],[Explosives_kg]]/tblMiningDaily[[#This Row],[Blast_t]],"")</f>
        <v/>
      </c>
    </row>
    <row r="242">
      <c r="A242" s="54" t="n">
        <v>46259</v>
      </c>
      <c r="B242" s="55" t="n"/>
      <c r="C242" s="55" t="n"/>
      <c r="D242" s="55" t="n"/>
      <c r="E242" s="55" t="n"/>
      <c r="F242" s="55" t="n"/>
      <c r="G242" s="58" t="n"/>
      <c r="H242" s="65">
        <f>IF(AND(tblMiningDaily[[#This Row],[Blast_t]]&lt;&gt;"",tblMiningDaily[[#This Row],[Blast_t]]&gt;0),tblMiningDaily[[#This Row],[Explosives_kg]]/tblMiningDaily[[#This Row],[Blast_t]],"")</f>
        <v/>
      </c>
    </row>
    <row r="243">
      <c r="A243" s="54" t="n">
        <v>46260</v>
      </c>
      <c r="B243" s="55" t="n"/>
      <c r="C243" s="55" t="n"/>
      <c r="D243" s="55" t="n"/>
      <c r="E243" s="55" t="n"/>
      <c r="F243" s="55" t="n"/>
      <c r="G243" s="58" t="n"/>
      <c r="H243" s="65">
        <f>IF(AND(tblMiningDaily[[#This Row],[Blast_t]]&lt;&gt;"",tblMiningDaily[[#This Row],[Blast_t]]&gt;0),tblMiningDaily[[#This Row],[Explosives_kg]]/tblMiningDaily[[#This Row],[Blast_t]],"")</f>
        <v/>
      </c>
    </row>
    <row r="244">
      <c r="A244" s="54" t="n">
        <v>46261</v>
      </c>
      <c r="B244" s="55" t="n"/>
      <c r="C244" s="55" t="n"/>
      <c r="D244" s="55" t="n"/>
      <c r="E244" s="55" t="n"/>
      <c r="F244" s="55" t="n"/>
      <c r="G244" s="58" t="n"/>
      <c r="H244" s="65">
        <f>IF(AND(tblMiningDaily[[#This Row],[Blast_t]]&lt;&gt;"",tblMiningDaily[[#This Row],[Blast_t]]&gt;0),tblMiningDaily[[#This Row],[Explosives_kg]]/tblMiningDaily[[#This Row],[Blast_t]],"")</f>
        <v/>
      </c>
    </row>
    <row r="245">
      <c r="A245" s="54" t="n">
        <v>46262</v>
      </c>
      <c r="B245" s="55" t="n"/>
      <c r="C245" s="55" t="n"/>
      <c r="D245" s="55" t="n"/>
      <c r="E245" s="55" t="n"/>
      <c r="F245" s="55" t="n"/>
      <c r="G245" s="58" t="n"/>
      <c r="H245" s="65">
        <f>IF(AND(tblMiningDaily[[#This Row],[Blast_t]]&lt;&gt;"",tblMiningDaily[[#This Row],[Blast_t]]&gt;0),tblMiningDaily[[#This Row],[Explosives_kg]]/tblMiningDaily[[#This Row],[Blast_t]],"")</f>
        <v/>
      </c>
    </row>
    <row r="246">
      <c r="A246" s="54" t="n">
        <v>46263</v>
      </c>
      <c r="B246" s="55" t="n"/>
      <c r="C246" s="55" t="n"/>
      <c r="D246" s="55" t="n"/>
      <c r="E246" s="55" t="n"/>
      <c r="F246" s="55" t="n"/>
      <c r="G246" s="58" t="n"/>
      <c r="H246" s="65">
        <f>IF(AND(tblMiningDaily[[#This Row],[Blast_t]]&lt;&gt;"",tblMiningDaily[[#This Row],[Blast_t]]&gt;0),tblMiningDaily[[#This Row],[Explosives_kg]]/tblMiningDaily[[#This Row],[Blast_t]],"")</f>
        <v/>
      </c>
    </row>
    <row r="247">
      <c r="A247" s="54" t="n">
        <v>46264</v>
      </c>
      <c r="B247" s="55" t="n"/>
      <c r="C247" s="55" t="n"/>
      <c r="D247" s="55" t="n"/>
      <c r="E247" s="55" t="n"/>
      <c r="F247" s="55" t="n"/>
      <c r="G247" s="58" t="n"/>
      <c r="H247" s="65">
        <f>IF(AND(tblMiningDaily[[#This Row],[Blast_t]]&lt;&gt;"",tblMiningDaily[[#This Row],[Blast_t]]&gt;0),tblMiningDaily[[#This Row],[Explosives_kg]]/tblMiningDaily[[#This Row],[Blast_t]],"")</f>
        <v/>
      </c>
    </row>
    <row r="248">
      <c r="A248" s="54" t="n">
        <v>46265</v>
      </c>
      <c r="B248" s="55" t="n"/>
      <c r="C248" s="55" t="n"/>
      <c r="D248" s="55" t="n"/>
      <c r="E248" s="55" t="n"/>
      <c r="F248" s="55" t="n"/>
      <c r="G248" s="58" t="n"/>
      <c r="H248" s="65">
        <f>IF(AND(tblMiningDaily[[#This Row],[Blast_t]]&lt;&gt;"",tblMiningDaily[[#This Row],[Blast_t]]&gt;0),tblMiningDaily[[#This Row],[Explosives_kg]]/tblMiningDaily[[#This Row],[Blast_t]],"")</f>
        <v/>
      </c>
    </row>
    <row r="249">
      <c r="A249" s="54" t="n">
        <v>46266</v>
      </c>
      <c r="B249" s="55" t="n"/>
      <c r="C249" s="55" t="n"/>
      <c r="D249" s="55" t="n"/>
      <c r="E249" s="55" t="n"/>
      <c r="F249" s="55" t="n"/>
      <c r="G249" s="58" t="n"/>
      <c r="H249" s="65">
        <f>IF(AND(tblMiningDaily[[#This Row],[Blast_t]]&lt;&gt;"",tblMiningDaily[[#This Row],[Blast_t]]&gt;0),tblMiningDaily[[#This Row],[Explosives_kg]]/tblMiningDaily[[#This Row],[Blast_t]],"")</f>
        <v/>
      </c>
    </row>
    <row r="250">
      <c r="A250" s="54" t="n">
        <v>46267</v>
      </c>
      <c r="B250" s="55" t="n"/>
      <c r="C250" s="55" t="n"/>
      <c r="D250" s="55" t="n"/>
      <c r="E250" s="55" t="n"/>
      <c r="F250" s="55" t="n"/>
      <c r="G250" s="58" t="n"/>
      <c r="H250" s="65">
        <f>IF(AND(tblMiningDaily[[#This Row],[Blast_t]]&lt;&gt;"",tblMiningDaily[[#This Row],[Blast_t]]&gt;0),tblMiningDaily[[#This Row],[Explosives_kg]]/tblMiningDaily[[#This Row],[Blast_t]],"")</f>
        <v/>
      </c>
    </row>
    <row r="251">
      <c r="A251" s="54" t="n">
        <v>46268</v>
      </c>
      <c r="B251" s="55" t="n"/>
      <c r="C251" s="55" t="n"/>
      <c r="D251" s="55" t="n"/>
      <c r="E251" s="55" t="n"/>
      <c r="F251" s="55" t="n"/>
      <c r="G251" s="58" t="n"/>
      <c r="H251" s="65">
        <f>IF(AND(tblMiningDaily[[#This Row],[Blast_t]]&lt;&gt;"",tblMiningDaily[[#This Row],[Blast_t]]&gt;0),tblMiningDaily[[#This Row],[Explosives_kg]]/tblMiningDaily[[#This Row],[Blast_t]],"")</f>
        <v/>
      </c>
    </row>
    <row r="252">
      <c r="A252" s="54" t="n">
        <v>46269</v>
      </c>
      <c r="B252" s="55" t="n"/>
      <c r="C252" s="55" t="n"/>
      <c r="D252" s="55" t="n"/>
      <c r="E252" s="55" t="n"/>
      <c r="F252" s="55" t="n"/>
      <c r="G252" s="58" t="n"/>
      <c r="H252" s="65">
        <f>IF(AND(tblMiningDaily[[#This Row],[Blast_t]]&lt;&gt;"",tblMiningDaily[[#This Row],[Blast_t]]&gt;0),tblMiningDaily[[#This Row],[Explosives_kg]]/tblMiningDaily[[#This Row],[Blast_t]],"")</f>
        <v/>
      </c>
    </row>
    <row r="253">
      <c r="A253" s="54" t="n">
        <v>46270</v>
      </c>
      <c r="B253" s="55" t="n"/>
      <c r="C253" s="55" t="n"/>
      <c r="D253" s="55" t="n"/>
      <c r="E253" s="55" t="n"/>
      <c r="F253" s="55" t="n"/>
      <c r="G253" s="58" t="n"/>
      <c r="H253" s="65">
        <f>IF(AND(tblMiningDaily[[#This Row],[Blast_t]]&lt;&gt;"",tblMiningDaily[[#This Row],[Blast_t]]&gt;0),tblMiningDaily[[#This Row],[Explosives_kg]]/tblMiningDaily[[#This Row],[Blast_t]],"")</f>
        <v/>
      </c>
    </row>
    <row r="254">
      <c r="A254" s="54" t="n">
        <v>46271</v>
      </c>
      <c r="B254" s="55" t="n"/>
      <c r="C254" s="55" t="n"/>
      <c r="D254" s="55" t="n"/>
      <c r="E254" s="55" t="n"/>
      <c r="F254" s="55" t="n"/>
      <c r="G254" s="58" t="n"/>
      <c r="H254" s="65">
        <f>IF(AND(tblMiningDaily[[#This Row],[Blast_t]]&lt;&gt;"",tblMiningDaily[[#This Row],[Blast_t]]&gt;0),tblMiningDaily[[#This Row],[Explosives_kg]]/tblMiningDaily[[#This Row],[Blast_t]],"")</f>
        <v/>
      </c>
    </row>
    <row r="255">
      <c r="A255" s="54" t="n">
        <v>46272</v>
      </c>
      <c r="B255" s="55" t="n"/>
      <c r="C255" s="55" t="n"/>
      <c r="D255" s="55" t="n"/>
      <c r="E255" s="55" t="n"/>
      <c r="F255" s="55" t="n"/>
      <c r="G255" s="58" t="n"/>
      <c r="H255" s="65">
        <f>IF(AND(tblMiningDaily[[#This Row],[Blast_t]]&lt;&gt;"",tblMiningDaily[[#This Row],[Blast_t]]&gt;0),tblMiningDaily[[#This Row],[Explosives_kg]]/tblMiningDaily[[#This Row],[Blast_t]],"")</f>
        <v/>
      </c>
    </row>
    <row r="256">
      <c r="A256" s="54" t="n">
        <v>46273</v>
      </c>
      <c r="B256" s="55" t="n"/>
      <c r="C256" s="55" t="n"/>
      <c r="D256" s="55" t="n"/>
      <c r="E256" s="55" t="n"/>
      <c r="F256" s="55" t="n"/>
      <c r="G256" s="58" t="n"/>
      <c r="H256" s="65">
        <f>IF(AND(tblMiningDaily[[#This Row],[Blast_t]]&lt;&gt;"",tblMiningDaily[[#This Row],[Blast_t]]&gt;0),tblMiningDaily[[#This Row],[Explosives_kg]]/tblMiningDaily[[#This Row],[Blast_t]],"")</f>
        <v/>
      </c>
    </row>
    <row r="257">
      <c r="A257" s="54" t="n">
        <v>46274</v>
      </c>
      <c r="B257" s="55" t="n"/>
      <c r="C257" s="55" t="n"/>
      <c r="D257" s="55" t="n"/>
      <c r="E257" s="55" t="n"/>
      <c r="F257" s="55" t="n"/>
      <c r="G257" s="58" t="n"/>
      <c r="H257" s="65">
        <f>IF(AND(tblMiningDaily[[#This Row],[Blast_t]]&lt;&gt;"",tblMiningDaily[[#This Row],[Blast_t]]&gt;0),tblMiningDaily[[#This Row],[Explosives_kg]]/tblMiningDaily[[#This Row],[Blast_t]],"")</f>
        <v/>
      </c>
    </row>
    <row r="258">
      <c r="A258" s="54" t="n">
        <v>46275</v>
      </c>
      <c r="B258" s="55" t="n"/>
      <c r="C258" s="55" t="n"/>
      <c r="D258" s="55" t="n"/>
      <c r="E258" s="55" t="n"/>
      <c r="F258" s="55" t="n"/>
      <c r="G258" s="58" t="n"/>
      <c r="H258" s="65">
        <f>IF(AND(tblMiningDaily[[#This Row],[Blast_t]]&lt;&gt;"",tblMiningDaily[[#This Row],[Blast_t]]&gt;0),tblMiningDaily[[#This Row],[Explosives_kg]]/tblMiningDaily[[#This Row],[Blast_t]],"")</f>
        <v/>
      </c>
    </row>
    <row r="259">
      <c r="A259" s="54" t="n">
        <v>46276</v>
      </c>
      <c r="B259" s="55" t="n"/>
      <c r="C259" s="55" t="n"/>
      <c r="D259" s="55" t="n"/>
      <c r="E259" s="55" t="n"/>
      <c r="F259" s="55" t="n"/>
      <c r="G259" s="58" t="n"/>
      <c r="H259" s="65">
        <f>IF(AND(tblMiningDaily[[#This Row],[Blast_t]]&lt;&gt;"",tblMiningDaily[[#This Row],[Blast_t]]&gt;0),tblMiningDaily[[#This Row],[Explosives_kg]]/tblMiningDaily[[#This Row],[Blast_t]],"")</f>
        <v/>
      </c>
    </row>
    <row r="260">
      <c r="A260" s="54" t="n">
        <v>46277</v>
      </c>
      <c r="B260" s="55" t="n"/>
      <c r="C260" s="55" t="n"/>
      <c r="D260" s="55" t="n"/>
      <c r="E260" s="55" t="n"/>
      <c r="F260" s="55" t="n"/>
      <c r="G260" s="58" t="n"/>
      <c r="H260" s="65">
        <f>IF(AND(tblMiningDaily[[#This Row],[Blast_t]]&lt;&gt;"",tblMiningDaily[[#This Row],[Blast_t]]&gt;0),tblMiningDaily[[#This Row],[Explosives_kg]]/tblMiningDaily[[#This Row],[Blast_t]],"")</f>
        <v/>
      </c>
    </row>
    <row r="261">
      <c r="A261" s="54" t="n">
        <v>46278</v>
      </c>
      <c r="B261" s="55" t="n"/>
      <c r="C261" s="55" t="n"/>
      <c r="D261" s="55" t="n"/>
      <c r="E261" s="55" t="n"/>
      <c r="F261" s="55" t="n"/>
      <c r="G261" s="58" t="n"/>
      <c r="H261" s="65">
        <f>IF(AND(tblMiningDaily[[#This Row],[Blast_t]]&lt;&gt;"",tblMiningDaily[[#This Row],[Blast_t]]&gt;0),tblMiningDaily[[#This Row],[Explosives_kg]]/tblMiningDaily[[#This Row],[Blast_t]],"")</f>
        <v/>
      </c>
    </row>
    <row r="262">
      <c r="A262" s="54" t="n">
        <v>46279</v>
      </c>
      <c r="B262" s="55" t="n"/>
      <c r="C262" s="55" t="n"/>
      <c r="D262" s="55" t="n"/>
      <c r="E262" s="55" t="n"/>
      <c r="F262" s="55" t="n"/>
      <c r="G262" s="58" t="n"/>
      <c r="H262" s="65">
        <f>IF(AND(tblMiningDaily[[#This Row],[Blast_t]]&lt;&gt;"",tblMiningDaily[[#This Row],[Blast_t]]&gt;0),tblMiningDaily[[#This Row],[Explosives_kg]]/tblMiningDaily[[#This Row],[Blast_t]],"")</f>
        <v/>
      </c>
    </row>
    <row r="263">
      <c r="A263" s="54" t="n">
        <v>46280</v>
      </c>
      <c r="B263" s="55" t="n"/>
      <c r="C263" s="55" t="n"/>
      <c r="D263" s="55" t="n"/>
      <c r="E263" s="55" t="n"/>
      <c r="F263" s="55" t="n"/>
      <c r="G263" s="58" t="n"/>
      <c r="H263" s="65">
        <f>IF(AND(tblMiningDaily[[#This Row],[Blast_t]]&lt;&gt;"",tblMiningDaily[[#This Row],[Blast_t]]&gt;0),tblMiningDaily[[#This Row],[Explosives_kg]]/tblMiningDaily[[#This Row],[Blast_t]],"")</f>
        <v/>
      </c>
    </row>
    <row r="264">
      <c r="A264" s="54" t="n">
        <v>46281</v>
      </c>
      <c r="B264" s="55" t="n"/>
      <c r="C264" s="55" t="n"/>
      <c r="D264" s="55" t="n"/>
      <c r="E264" s="55" t="n"/>
      <c r="F264" s="55" t="n"/>
      <c r="G264" s="58" t="n"/>
      <c r="H264" s="65">
        <f>IF(AND(tblMiningDaily[[#This Row],[Blast_t]]&lt;&gt;"",tblMiningDaily[[#This Row],[Blast_t]]&gt;0),tblMiningDaily[[#This Row],[Explosives_kg]]/tblMiningDaily[[#This Row],[Blast_t]],"")</f>
        <v/>
      </c>
    </row>
    <row r="265">
      <c r="A265" s="54" t="n">
        <v>46282</v>
      </c>
      <c r="B265" s="55" t="n"/>
      <c r="C265" s="55" t="n"/>
      <c r="D265" s="55" t="n"/>
      <c r="E265" s="55" t="n"/>
      <c r="F265" s="55" t="n"/>
      <c r="G265" s="58" t="n"/>
      <c r="H265" s="65">
        <f>IF(AND(tblMiningDaily[[#This Row],[Blast_t]]&lt;&gt;"",tblMiningDaily[[#This Row],[Blast_t]]&gt;0),tblMiningDaily[[#This Row],[Explosives_kg]]/tblMiningDaily[[#This Row],[Blast_t]],"")</f>
        <v/>
      </c>
    </row>
    <row r="266">
      <c r="A266" s="54" t="n">
        <v>46283</v>
      </c>
      <c r="B266" s="55" t="n"/>
      <c r="C266" s="55" t="n"/>
      <c r="D266" s="55" t="n"/>
      <c r="E266" s="55" t="n"/>
      <c r="F266" s="55" t="n"/>
      <c r="G266" s="58" t="n"/>
      <c r="H266" s="65">
        <f>IF(AND(tblMiningDaily[[#This Row],[Blast_t]]&lt;&gt;"",tblMiningDaily[[#This Row],[Blast_t]]&gt;0),tblMiningDaily[[#This Row],[Explosives_kg]]/tblMiningDaily[[#This Row],[Blast_t]],"")</f>
        <v/>
      </c>
    </row>
    <row r="267">
      <c r="A267" s="54" t="n">
        <v>46284</v>
      </c>
      <c r="B267" s="55" t="n"/>
      <c r="C267" s="55" t="n"/>
      <c r="D267" s="55" t="n"/>
      <c r="E267" s="55" t="n"/>
      <c r="F267" s="55" t="n"/>
      <c r="G267" s="58" t="n"/>
      <c r="H267" s="65">
        <f>IF(AND(tblMiningDaily[[#This Row],[Blast_t]]&lt;&gt;"",tblMiningDaily[[#This Row],[Blast_t]]&gt;0),tblMiningDaily[[#This Row],[Explosives_kg]]/tblMiningDaily[[#This Row],[Blast_t]],"")</f>
        <v/>
      </c>
    </row>
    <row r="268">
      <c r="A268" s="54" t="n">
        <v>46285</v>
      </c>
      <c r="B268" s="55" t="n"/>
      <c r="C268" s="55" t="n"/>
      <c r="D268" s="55" t="n"/>
      <c r="E268" s="55" t="n"/>
      <c r="F268" s="55" t="n"/>
      <c r="G268" s="58" t="n"/>
      <c r="H268" s="65">
        <f>IF(AND(tblMiningDaily[[#This Row],[Blast_t]]&lt;&gt;"",tblMiningDaily[[#This Row],[Blast_t]]&gt;0),tblMiningDaily[[#This Row],[Explosives_kg]]/tblMiningDaily[[#This Row],[Blast_t]],"")</f>
        <v/>
      </c>
    </row>
    <row r="269">
      <c r="A269" s="54" t="n">
        <v>46286</v>
      </c>
      <c r="B269" s="55" t="n"/>
      <c r="C269" s="55" t="n"/>
      <c r="D269" s="55" t="n"/>
      <c r="E269" s="55" t="n"/>
      <c r="F269" s="55" t="n"/>
      <c r="G269" s="58" t="n"/>
      <c r="H269" s="65">
        <f>IF(AND(tblMiningDaily[[#This Row],[Blast_t]]&lt;&gt;"",tblMiningDaily[[#This Row],[Blast_t]]&gt;0),tblMiningDaily[[#This Row],[Explosives_kg]]/tblMiningDaily[[#This Row],[Blast_t]],"")</f>
        <v/>
      </c>
    </row>
    <row r="270">
      <c r="A270" s="54" t="n">
        <v>46287</v>
      </c>
      <c r="B270" s="55" t="n"/>
      <c r="C270" s="55" t="n"/>
      <c r="D270" s="55" t="n"/>
      <c r="E270" s="55" t="n"/>
      <c r="F270" s="55" t="n"/>
      <c r="G270" s="58" t="n"/>
      <c r="H270" s="65">
        <f>IF(AND(tblMiningDaily[[#This Row],[Blast_t]]&lt;&gt;"",tblMiningDaily[[#This Row],[Blast_t]]&gt;0),tblMiningDaily[[#This Row],[Explosives_kg]]/tblMiningDaily[[#This Row],[Blast_t]],"")</f>
        <v/>
      </c>
    </row>
    <row r="271">
      <c r="A271" s="54" t="n">
        <v>46288</v>
      </c>
      <c r="B271" s="55" t="n"/>
      <c r="C271" s="55" t="n"/>
      <c r="D271" s="55" t="n"/>
      <c r="E271" s="55" t="n"/>
      <c r="F271" s="55" t="n"/>
      <c r="G271" s="58" t="n"/>
      <c r="H271" s="65">
        <f>IF(AND(tblMiningDaily[[#This Row],[Blast_t]]&lt;&gt;"",tblMiningDaily[[#This Row],[Blast_t]]&gt;0),tblMiningDaily[[#This Row],[Explosives_kg]]/tblMiningDaily[[#This Row],[Blast_t]],"")</f>
        <v/>
      </c>
    </row>
    <row r="272">
      <c r="A272" s="54" t="n">
        <v>46289</v>
      </c>
      <c r="B272" s="55" t="n"/>
      <c r="C272" s="55" t="n"/>
      <c r="D272" s="55" t="n"/>
      <c r="E272" s="55" t="n"/>
      <c r="F272" s="55" t="n"/>
      <c r="G272" s="58" t="n"/>
      <c r="H272" s="65">
        <f>IF(AND(tblMiningDaily[[#This Row],[Blast_t]]&lt;&gt;"",tblMiningDaily[[#This Row],[Blast_t]]&gt;0),tblMiningDaily[[#This Row],[Explosives_kg]]/tblMiningDaily[[#This Row],[Blast_t]],"")</f>
        <v/>
      </c>
    </row>
    <row r="273">
      <c r="A273" s="54" t="n">
        <v>46290</v>
      </c>
      <c r="B273" s="55" t="n"/>
      <c r="C273" s="55" t="n"/>
      <c r="D273" s="55" t="n"/>
      <c r="E273" s="55" t="n"/>
      <c r="F273" s="55" t="n"/>
      <c r="G273" s="58" t="n"/>
      <c r="H273" s="65">
        <f>IF(AND(tblMiningDaily[[#This Row],[Blast_t]]&lt;&gt;"",tblMiningDaily[[#This Row],[Blast_t]]&gt;0),tblMiningDaily[[#This Row],[Explosives_kg]]/tblMiningDaily[[#This Row],[Blast_t]],"")</f>
        <v/>
      </c>
    </row>
    <row r="274">
      <c r="A274" s="54" t="n">
        <v>46291</v>
      </c>
      <c r="B274" s="55" t="n"/>
      <c r="C274" s="55" t="n"/>
      <c r="D274" s="55" t="n"/>
      <c r="E274" s="55" t="n"/>
      <c r="F274" s="55" t="n"/>
      <c r="G274" s="58" t="n"/>
      <c r="H274" s="65">
        <f>IF(AND(tblMiningDaily[[#This Row],[Blast_t]]&lt;&gt;"",tblMiningDaily[[#This Row],[Blast_t]]&gt;0),tblMiningDaily[[#This Row],[Explosives_kg]]/tblMiningDaily[[#This Row],[Blast_t]],"")</f>
        <v/>
      </c>
    </row>
    <row r="275">
      <c r="A275" s="54" t="n">
        <v>46292</v>
      </c>
      <c r="B275" s="55" t="n"/>
      <c r="C275" s="55" t="n"/>
      <c r="D275" s="55" t="n"/>
      <c r="E275" s="55" t="n"/>
      <c r="F275" s="55" t="n"/>
      <c r="G275" s="58" t="n"/>
      <c r="H275" s="65">
        <f>IF(AND(tblMiningDaily[[#This Row],[Blast_t]]&lt;&gt;"",tblMiningDaily[[#This Row],[Blast_t]]&gt;0),tblMiningDaily[[#This Row],[Explosives_kg]]/tblMiningDaily[[#This Row],[Blast_t]],"")</f>
        <v/>
      </c>
    </row>
    <row r="276">
      <c r="A276" s="54" t="n">
        <v>46293</v>
      </c>
      <c r="B276" s="55" t="n"/>
      <c r="C276" s="55" t="n"/>
      <c r="D276" s="55" t="n"/>
      <c r="E276" s="55" t="n"/>
      <c r="F276" s="55" t="n"/>
      <c r="G276" s="58" t="n"/>
      <c r="H276" s="65">
        <f>IF(AND(tblMiningDaily[[#This Row],[Blast_t]]&lt;&gt;"",tblMiningDaily[[#This Row],[Blast_t]]&gt;0),tblMiningDaily[[#This Row],[Explosives_kg]]/tblMiningDaily[[#This Row],[Blast_t]],"")</f>
        <v/>
      </c>
    </row>
    <row r="277">
      <c r="A277" s="54" t="n">
        <v>46294</v>
      </c>
      <c r="B277" s="55" t="n"/>
      <c r="C277" s="55" t="n"/>
      <c r="D277" s="55" t="n"/>
      <c r="E277" s="55" t="n"/>
      <c r="F277" s="55" t="n"/>
      <c r="G277" s="58" t="n"/>
      <c r="H277" s="65">
        <f>IF(AND(tblMiningDaily[[#This Row],[Blast_t]]&lt;&gt;"",tblMiningDaily[[#This Row],[Blast_t]]&gt;0),tblMiningDaily[[#This Row],[Explosives_kg]]/tblMiningDaily[[#This Row],[Blast_t]],"")</f>
        <v/>
      </c>
    </row>
    <row r="278">
      <c r="A278" s="54" t="n">
        <v>46295</v>
      </c>
      <c r="B278" s="55" t="n"/>
      <c r="C278" s="55" t="n"/>
      <c r="D278" s="55" t="n"/>
      <c r="E278" s="55" t="n"/>
      <c r="F278" s="55" t="n"/>
      <c r="G278" s="58" t="n"/>
      <c r="H278" s="65">
        <f>IF(AND(tblMiningDaily[[#This Row],[Blast_t]]&lt;&gt;"",tblMiningDaily[[#This Row],[Blast_t]]&gt;0),tblMiningDaily[[#This Row],[Explosives_kg]]/tblMiningDaily[[#This Row],[Blast_t]],"")</f>
        <v/>
      </c>
    </row>
    <row r="279">
      <c r="A279" s="54" t="n">
        <v>46296</v>
      </c>
      <c r="B279" s="55" t="n"/>
      <c r="C279" s="55" t="n"/>
      <c r="D279" s="55" t="n"/>
      <c r="E279" s="55" t="n"/>
      <c r="F279" s="55" t="n"/>
      <c r="G279" s="58" t="n"/>
      <c r="H279" s="65">
        <f>IF(AND(tblMiningDaily[[#This Row],[Blast_t]]&lt;&gt;"",tblMiningDaily[[#This Row],[Blast_t]]&gt;0),tblMiningDaily[[#This Row],[Explosives_kg]]/tblMiningDaily[[#This Row],[Blast_t]],"")</f>
        <v/>
      </c>
    </row>
    <row r="280">
      <c r="A280" s="54" t="n">
        <v>46297</v>
      </c>
      <c r="B280" s="55" t="n"/>
      <c r="C280" s="55" t="n"/>
      <c r="D280" s="55" t="n"/>
      <c r="E280" s="55" t="n"/>
      <c r="F280" s="55" t="n"/>
      <c r="G280" s="58" t="n"/>
      <c r="H280" s="65">
        <f>IF(AND(tblMiningDaily[[#This Row],[Blast_t]]&lt;&gt;"",tblMiningDaily[[#This Row],[Blast_t]]&gt;0),tblMiningDaily[[#This Row],[Explosives_kg]]/tblMiningDaily[[#This Row],[Blast_t]],"")</f>
        <v/>
      </c>
    </row>
    <row r="281">
      <c r="A281" s="54" t="n">
        <v>46298</v>
      </c>
      <c r="B281" s="55" t="n"/>
      <c r="C281" s="55" t="n"/>
      <c r="D281" s="55" t="n"/>
      <c r="E281" s="55" t="n"/>
      <c r="F281" s="55" t="n"/>
      <c r="G281" s="58" t="n"/>
      <c r="H281" s="65">
        <f>IF(AND(tblMiningDaily[[#This Row],[Blast_t]]&lt;&gt;"",tblMiningDaily[[#This Row],[Blast_t]]&gt;0),tblMiningDaily[[#This Row],[Explosives_kg]]/tblMiningDaily[[#This Row],[Blast_t]],"")</f>
        <v/>
      </c>
    </row>
    <row r="282">
      <c r="A282" s="54" t="n">
        <v>46299</v>
      </c>
      <c r="B282" s="55" t="n"/>
      <c r="C282" s="55" t="n"/>
      <c r="D282" s="55" t="n"/>
      <c r="E282" s="55" t="n"/>
      <c r="F282" s="55" t="n"/>
      <c r="G282" s="58" t="n"/>
      <c r="H282" s="65">
        <f>IF(AND(tblMiningDaily[[#This Row],[Blast_t]]&lt;&gt;"",tblMiningDaily[[#This Row],[Blast_t]]&gt;0),tblMiningDaily[[#This Row],[Explosives_kg]]/tblMiningDaily[[#This Row],[Blast_t]],"")</f>
        <v/>
      </c>
    </row>
    <row r="283">
      <c r="A283" s="54" t="n">
        <v>46300</v>
      </c>
      <c r="B283" s="55" t="n"/>
      <c r="C283" s="55" t="n"/>
      <c r="D283" s="55" t="n"/>
      <c r="E283" s="55" t="n"/>
      <c r="F283" s="55" t="n"/>
      <c r="G283" s="58" t="n"/>
      <c r="H283" s="65">
        <f>IF(AND(tblMiningDaily[[#This Row],[Blast_t]]&lt;&gt;"",tblMiningDaily[[#This Row],[Blast_t]]&gt;0),tblMiningDaily[[#This Row],[Explosives_kg]]/tblMiningDaily[[#This Row],[Blast_t]],"")</f>
        <v/>
      </c>
    </row>
    <row r="284">
      <c r="A284" s="54" t="n">
        <v>46301</v>
      </c>
      <c r="B284" s="55" t="n"/>
      <c r="C284" s="55" t="n"/>
      <c r="D284" s="55" t="n"/>
      <c r="E284" s="55" t="n"/>
      <c r="F284" s="55" t="n"/>
      <c r="G284" s="58" t="n"/>
      <c r="H284" s="65">
        <f>IF(AND(tblMiningDaily[[#This Row],[Blast_t]]&lt;&gt;"",tblMiningDaily[[#This Row],[Blast_t]]&gt;0),tblMiningDaily[[#This Row],[Explosives_kg]]/tblMiningDaily[[#This Row],[Blast_t]],"")</f>
        <v/>
      </c>
    </row>
    <row r="285">
      <c r="A285" s="54" t="n">
        <v>46302</v>
      </c>
      <c r="B285" s="55" t="n"/>
      <c r="C285" s="55" t="n"/>
      <c r="D285" s="55" t="n"/>
      <c r="E285" s="55" t="n"/>
      <c r="F285" s="55" t="n"/>
      <c r="G285" s="58" t="n"/>
      <c r="H285" s="65">
        <f>IF(AND(tblMiningDaily[[#This Row],[Blast_t]]&lt;&gt;"",tblMiningDaily[[#This Row],[Blast_t]]&gt;0),tblMiningDaily[[#This Row],[Explosives_kg]]/tblMiningDaily[[#This Row],[Blast_t]],"")</f>
        <v/>
      </c>
    </row>
    <row r="286">
      <c r="A286" s="54" t="n">
        <v>46303</v>
      </c>
      <c r="B286" s="55" t="n"/>
      <c r="C286" s="55" t="n"/>
      <c r="D286" s="55" t="n"/>
      <c r="E286" s="55" t="n"/>
      <c r="F286" s="55" t="n"/>
      <c r="G286" s="58" t="n"/>
      <c r="H286" s="65">
        <f>IF(AND(tblMiningDaily[[#This Row],[Blast_t]]&lt;&gt;"",tblMiningDaily[[#This Row],[Blast_t]]&gt;0),tblMiningDaily[[#This Row],[Explosives_kg]]/tblMiningDaily[[#This Row],[Blast_t]],"")</f>
        <v/>
      </c>
    </row>
    <row r="287">
      <c r="A287" s="54" t="n">
        <v>46304</v>
      </c>
      <c r="B287" s="55" t="n"/>
      <c r="C287" s="55" t="n"/>
      <c r="D287" s="55" t="n"/>
      <c r="E287" s="55" t="n"/>
      <c r="F287" s="55" t="n"/>
      <c r="G287" s="58" t="n"/>
      <c r="H287" s="65">
        <f>IF(AND(tblMiningDaily[[#This Row],[Blast_t]]&lt;&gt;"",tblMiningDaily[[#This Row],[Blast_t]]&gt;0),tblMiningDaily[[#This Row],[Explosives_kg]]/tblMiningDaily[[#This Row],[Blast_t]],"")</f>
        <v/>
      </c>
    </row>
    <row r="288">
      <c r="A288" s="54" t="n">
        <v>46305</v>
      </c>
      <c r="B288" s="55" t="n"/>
      <c r="C288" s="55" t="n"/>
      <c r="D288" s="55" t="n"/>
      <c r="E288" s="55" t="n"/>
      <c r="F288" s="55" t="n"/>
      <c r="G288" s="58" t="n"/>
      <c r="H288" s="65">
        <f>IF(AND(tblMiningDaily[[#This Row],[Blast_t]]&lt;&gt;"",tblMiningDaily[[#This Row],[Blast_t]]&gt;0),tblMiningDaily[[#This Row],[Explosives_kg]]/tblMiningDaily[[#This Row],[Blast_t]],"")</f>
        <v/>
      </c>
    </row>
    <row r="289">
      <c r="A289" s="54" t="n">
        <v>46306</v>
      </c>
      <c r="B289" s="55" t="n"/>
      <c r="C289" s="55" t="n"/>
      <c r="D289" s="55" t="n"/>
      <c r="E289" s="55" t="n"/>
      <c r="F289" s="55" t="n"/>
      <c r="G289" s="58" t="n"/>
      <c r="H289" s="65">
        <f>IF(AND(tblMiningDaily[[#This Row],[Blast_t]]&lt;&gt;"",tblMiningDaily[[#This Row],[Blast_t]]&gt;0),tblMiningDaily[[#This Row],[Explosives_kg]]/tblMiningDaily[[#This Row],[Blast_t]],"")</f>
        <v/>
      </c>
    </row>
    <row r="290">
      <c r="A290" s="54" t="n">
        <v>46307</v>
      </c>
      <c r="B290" s="55" t="n"/>
      <c r="C290" s="55" t="n"/>
      <c r="D290" s="55" t="n"/>
      <c r="E290" s="55" t="n"/>
      <c r="F290" s="55" t="n"/>
      <c r="G290" s="58" t="n"/>
      <c r="H290" s="65">
        <f>IF(AND(tblMiningDaily[[#This Row],[Blast_t]]&lt;&gt;"",tblMiningDaily[[#This Row],[Blast_t]]&gt;0),tblMiningDaily[[#This Row],[Explosives_kg]]/tblMiningDaily[[#This Row],[Blast_t]],"")</f>
        <v/>
      </c>
    </row>
    <row r="291">
      <c r="A291" s="54" t="n">
        <v>46308</v>
      </c>
      <c r="B291" s="55" t="n"/>
      <c r="C291" s="55" t="n"/>
      <c r="D291" s="55" t="n"/>
      <c r="E291" s="55" t="n"/>
      <c r="F291" s="55" t="n"/>
      <c r="G291" s="58" t="n"/>
      <c r="H291" s="65">
        <f>IF(AND(tblMiningDaily[[#This Row],[Blast_t]]&lt;&gt;"",tblMiningDaily[[#This Row],[Blast_t]]&gt;0),tblMiningDaily[[#This Row],[Explosives_kg]]/tblMiningDaily[[#This Row],[Blast_t]],"")</f>
        <v/>
      </c>
    </row>
    <row r="292">
      <c r="A292" s="54" t="n">
        <v>46309</v>
      </c>
      <c r="B292" s="55" t="n"/>
      <c r="C292" s="55" t="n"/>
      <c r="D292" s="55" t="n"/>
      <c r="E292" s="55" t="n"/>
      <c r="F292" s="55" t="n"/>
      <c r="G292" s="58" t="n"/>
      <c r="H292" s="65">
        <f>IF(AND(tblMiningDaily[[#This Row],[Blast_t]]&lt;&gt;"",tblMiningDaily[[#This Row],[Blast_t]]&gt;0),tblMiningDaily[[#This Row],[Explosives_kg]]/tblMiningDaily[[#This Row],[Blast_t]],"")</f>
        <v/>
      </c>
    </row>
    <row r="293">
      <c r="A293" s="54" t="n">
        <v>46310</v>
      </c>
      <c r="B293" s="55" t="n"/>
      <c r="C293" s="55" t="n"/>
      <c r="D293" s="55" t="n"/>
      <c r="E293" s="55" t="n"/>
      <c r="F293" s="55" t="n"/>
      <c r="G293" s="58" t="n"/>
      <c r="H293" s="65">
        <f>IF(AND(tblMiningDaily[[#This Row],[Blast_t]]&lt;&gt;"",tblMiningDaily[[#This Row],[Blast_t]]&gt;0),tblMiningDaily[[#This Row],[Explosives_kg]]/tblMiningDaily[[#This Row],[Blast_t]],"")</f>
        <v/>
      </c>
    </row>
    <row r="294">
      <c r="A294" s="54" t="n">
        <v>46311</v>
      </c>
      <c r="B294" s="55" t="n"/>
      <c r="C294" s="55" t="n"/>
      <c r="D294" s="55" t="n"/>
      <c r="E294" s="55" t="n"/>
      <c r="F294" s="55" t="n"/>
      <c r="G294" s="58" t="n"/>
      <c r="H294" s="65">
        <f>IF(AND(tblMiningDaily[[#This Row],[Blast_t]]&lt;&gt;"",tblMiningDaily[[#This Row],[Blast_t]]&gt;0),tblMiningDaily[[#This Row],[Explosives_kg]]/tblMiningDaily[[#This Row],[Blast_t]],"")</f>
        <v/>
      </c>
    </row>
    <row r="295">
      <c r="A295" s="54" t="n">
        <v>46312</v>
      </c>
      <c r="B295" s="55" t="n"/>
      <c r="C295" s="55" t="n"/>
      <c r="D295" s="55" t="n"/>
      <c r="E295" s="55" t="n"/>
      <c r="F295" s="55" t="n"/>
      <c r="G295" s="58" t="n"/>
      <c r="H295" s="65">
        <f>IF(AND(tblMiningDaily[[#This Row],[Blast_t]]&lt;&gt;"",tblMiningDaily[[#This Row],[Blast_t]]&gt;0),tblMiningDaily[[#This Row],[Explosives_kg]]/tblMiningDaily[[#This Row],[Blast_t]],"")</f>
        <v/>
      </c>
    </row>
    <row r="296">
      <c r="A296" s="54" t="n">
        <v>46313</v>
      </c>
      <c r="B296" s="55" t="n"/>
      <c r="C296" s="55" t="n"/>
      <c r="D296" s="55" t="n"/>
      <c r="E296" s="55" t="n"/>
      <c r="F296" s="55" t="n"/>
      <c r="G296" s="58" t="n"/>
      <c r="H296" s="65">
        <f>IF(AND(tblMiningDaily[[#This Row],[Blast_t]]&lt;&gt;"",tblMiningDaily[[#This Row],[Blast_t]]&gt;0),tblMiningDaily[[#This Row],[Explosives_kg]]/tblMiningDaily[[#This Row],[Blast_t]],"")</f>
        <v/>
      </c>
    </row>
    <row r="297">
      <c r="A297" s="54" t="n">
        <v>46314</v>
      </c>
      <c r="B297" s="55" t="n"/>
      <c r="C297" s="55" t="n"/>
      <c r="D297" s="55" t="n"/>
      <c r="E297" s="55" t="n"/>
      <c r="F297" s="55" t="n"/>
      <c r="G297" s="58" t="n"/>
      <c r="H297" s="65">
        <f>IF(AND(tblMiningDaily[[#This Row],[Blast_t]]&lt;&gt;"",tblMiningDaily[[#This Row],[Blast_t]]&gt;0),tblMiningDaily[[#This Row],[Explosives_kg]]/tblMiningDaily[[#This Row],[Blast_t]],"")</f>
        <v/>
      </c>
    </row>
    <row r="298">
      <c r="A298" s="54" t="n">
        <v>46315</v>
      </c>
      <c r="B298" s="55" t="n"/>
      <c r="C298" s="55" t="n"/>
      <c r="D298" s="55" t="n"/>
      <c r="E298" s="55" t="n"/>
      <c r="F298" s="55" t="n"/>
      <c r="G298" s="58" t="n"/>
      <c r="H298" s="65">
        <f>IF(AND(tblMiningDaily[[#This Row],[Blast_t]]&lt;&gt;"",tblMiningDaily[[#This Row],[Blast_t]]&gt;0),tblMiningDaily[[#This Row],[Explosives_kg]]/tblMiningDaily[[#This Row],[Blast_t]],"")</f>
        <v/>
      </c>
    </row>
    <row r="299">
      <c r="A299" s="54" t="n">
        <v>46316</v>
      </c>
      <c r="B299" s="55" t="n"/>
      <c r="C299" s="55" t="n"/>
      <c r="D299" s="55" t="n"/>
      <c r="E299" s="55" t="n"/>
      <c r="F299" s="55" t="n"/>
      <c r="G299" s="58" t="n"/>
      <c r="H299" s="65">
        <f>IF(AND(tblMiningDaily[[#This Row],[Blast_t]]&lt;&gt;"",tblMiningDaily[[#This Row],[Blast_t]]&gt;0),tblMiningDaily[[#This Row],[Explosives_kg]]/tblMiningDaily[[#This Row],[Blast_t]],"")</f>
        <v/>
      </c>
    </row>
    <row r="300">
      <c r="A300" s="54" t="n">
        <v>46317</v>
      </c>
      <c r="B300" s="55" t="n"/>
      <c r="C300" s="55" t="n"/>
      <c r="D300" s="55" t="n"/>
      <c r="E300" s="55" t="n"/>
      <c r="F300" s="55" t="n"/>
      <c r="G300" s="58" t="n"/>
      <c r="H300" s="65">
        <f>IF(AND(tblMiningDaily[[#This Row],[Blast_t]]&lt;&gt;"",tblMiningDaily[[#This Row],[Blast_t]]&gt;0),tblMiningDaily[[#This Row],[Explosives_kg]]/tblMiningDaily[[#This Row],[Blast_t]],"")</f>
        <v/>
      </c>
    </row>
    <row r="301">
      <c r="A301" s="54" t="n">
        <v>46318</v>
      </c>
      <c r="B301" s="55" t="n"/>
      <c r="C301" s="55" t="n"/>
      <c r="D301" s="55" t="n"/>
      <c r="E301" s="55" t="n"/>
      <c r="F301" s="55" t="n"/>
      <c r="G301" s="58" t="n"/>
      <c r="H301" s="65">
        <f>IF(AND(tblMiningDaily[[#This Row],[Blast_t]]&lt;&gt;"",tblMiningDaily[[#This Row],[Blast_t]]&gt;0),tblMiningDaily[[#This Row],[Explosives_kg]]/tblMiningDaily[[#This Row],[Blast_t]],"")</f>
        <v/>
      </c>
    </row>
    <row r="302">
      <c r="A302" s="54" t="n">
        <v>46319</v>
      </c>
      <c r="B302" s="55" t="n"/>
      <c r="C302" s="55" t="n"/>
      <c r="D302" s="55" t="n"/>
      <c r="E302" s="55" t="n"/>
      <c r="F302" s="55" t="n"/>
      <c r="G302" s="58" t="n"/>
      <c r="H302" s="65">
        <f>IF(AND(tblMiningDaily[[#This Row],[Blast_t]]&lt;&gt;"",tblMiningDaily[[#This Row],[Blast_t]]&gt;0),tblMiningDaily[[#This Row],[Explosives_kg]]/tblMiningDaily[[#This Row],[Blast_t]],"")</f>
        <v/>
      </c>
    </row>
    <row r="303">
      <c r="A303" s="54" t="n">
        <v>46320</v>
      </c>
      <c r="B303" s="55" t="n"/>
      <c r="C303" s="55" t="n"/>
      <c r="D303" s="55" t="n"/>
      <c r="E303" s="55" t="n"/>
      <c r="F303" s="55" t="n"/>
      <c r="G303" s="58" t="n"/>
      <c r="H303" s="65">
        <f>IF(AND(tblMiningDaily[[#This Row],[Blast_t]]&lt;&gt;"",tblMiningDaily[[#This Row],[Blast_t]]&gt;0),tblMiningDaily[[#This Row],[Explosives_kg]]/tblMiningDaily[[#This Row],[Blast_t]],"")</f>
        <v/>
      </c>
    </row>
    <row r="304">
      <c r="A304" s="54" t="n">
        <v>46321</v>
      </c>
      <c r="B304" s="55" t="n"/>
      <c r="C304" s="55" t="n"/>
      <c r="D304" s="55" t="n"/>
      <c r="E304" s="55" t="n"/>
      <c r="F304" s="55" t="n"/>
      <c r="G304" s="58" t="n"/>
      <c r="H304" s="65">
        <f>IF(AND(tblMiningDaily[[#This Row],[Blast_t]]&lt;&gt;"",tblMiningDaily[[#This Row],[Blast_t]]&gt;0),tblMiningDaily[[#This Row],[Explosives_kg]]/tblMiningDaily[[#This Row],[Blast_t]],"")</f>
        <v/>
      </c>
    </row>
    <row r="305">
      <c r="A305" s="54" t="n">
        <v>46322</v>
      </c>
      <c r="B305" s="55" t="n"/>
      <c r="C305" s="55" t="n"/>
      <c r="D305" s="55" t="n"/>
      <c r="E305" s="55" t="n"/>
      <c r="F305" s="55" t="n"/>
      <c r="G305" s="58" t="n"/>
      <c r="H305" s="65">
        <f>IF(AND(tblMiningDaily[[#This Row],[Blast_t]]&lt;&gt;"",tblMiningDaily[[#This Row],[Blast_t]]&gt;0),tblMiningDaily[[#This Row],[Explosives_kg]]/tblMiningDaily[[#This Row],[Blast_t]],"")</f>
        <v/>
      </c>
    </row>
    <row r="306">
      <c r="A306" s="54" t="n">
        <v>46323</v>
      </c>
      <c r="B306" s="55" t="n"/>
      <c r="C306" s="55" t="n"/>
      <c r="D306" s="55" t="n"/>
      <c r="E306" s="55" t="n"/>
      <c r="F306" s="55" t="n"/>
      <c r="G306" s="58" t="n"/>
      <c r="H306" s="65">
        <f>IF(AND(tblMiningDaily[[#This Row],[Blast_t]]&lt;&gt;"",tblMiningDaily[[#This Row],[Blast_t]]&gt;0),tblMiningDaily[[#This Row],[Explosives_kg]]/tblMiningDaily[[#This Row],[Blast_t]],"")</f>
        <v/>
      </c>
    </row>
    <row r="307">
      <c r="A307" s="54" t="n">
        <v>46324</v>
      </c>
      <c r="B307" s="55" t="n"/>
      <c r="C307" s="55" t="n"/>
      <c r="D307" s="55" t="n"/>
      <c r="E307" s="55" t="n"/>
      <c r="F307" s="55" t="n"/>
      <c r="G307" s="58" t="n"/>
      <c r="H307" s="65">
        <f>IF(AND(tblMiningDaily[[#This Row],[Blast_t]]&lt;&gt;"",tblMiningDaily[[#This Row],[Blast_t]]&gt;0),tblMiningDaily[[#This Row],[Explosives_kg]]/tblMiningDaily[[#This Row],[Blast_t]],"")</f>
        <v/>
      </c>
    </row>
    <row r="308">
      <c r="A308" s="54" t="n">
        <v>46325</v>
      </c>
      <c r="B308" s="55" t="n"/>
      <c r="C308" s="55" t="n"/>
      <c r="D308" s="55" t="n"/>
      <c r="E308" s="55" t="n"/>
      <c r="F308" s="55" t="n"/>
      <c r="G308" s="58" t="n"/>
      <c r="H308" s="65">
        <f>IF(AND(tblMiningDaily[[#This Row],[Blast_t]]&lt;&gt;"",tblMiningDaily[[#This Row],[Blast_t]]&gt;0),tblMiningDaily[[#This Row],[Explosives_kg]]/tblMiningDaily[[#This Row],[Blast_t]],"")</f>
        <v/>
      </c>
    </row>
    <row r="309">
      <c r="A309" s="54" t="n">
        <v>46326</v>
      </c>
      <c r="B309" s="55" t="n"/>
      <c r="C309" s="55" t="n"/>
      <c r="D309" s="55" t="n"/>
      <c r="E309" s="55" t="n"/>
      <c r="F309" s="55" t="n"/>
      <c r="G309" s="58" t="n"/>
      <c r="H309" s="65">
        <f>IF(AND(tblMiningDaily[[#This Row],[Blast_t]]&lt;&gt;"",tblMiningDaily[[#This Row],[Blast_t]]&gt;0),tblMiningDaily[[#This Row],[Explosives_kg]]/tblMiningDaily[[#This Row],[Blast_t]],"")</f>
        <v/>
      </c>
    </row>
    <row r="310">
      <c r="A310" s="54" t="n">
        <v>46327</v>
      </c>
      <c r="B310" s="55" t="n"/>
      <c r="C310" s="55" t="n"/>
      <c r="D310" s="55" t="n"/>
      <c r="E310" s="55" t="n"/>
      <c r="F310" s="55" t="n"/>
      <c r="G310" s="58" t="n"/>
      <c r="H310" s="65">
        <f>IF(AND(tblMiningDaily[[#This Row],[Blast_t]]&lt;&gt;"",tblMiningDaily[[#This Row],[Blast_t]]&gt;0),tblMiningDaily[[#This Row],[Explosives_kg]]/tblMiningDaily[[#This Row],[Blast_t]],"")</f>
        <v/>
      </c>
    </row>
    <row r="311">
      <c r="A311" s="54" t="n">
        <v>46328</v>
      </c>
      <c r="B311" s="55" t="n"/>
      <c r="C311" s="55" t="n"/>
      <c r="D311" s="55" t="n"/>
      <c r="E311" s="55" t="n"/>
      <c r="F311" s="55" t="n"/>
      <c r="G311" s="58" t="n"/>
      <c r="H311" s="65">
        <f>IF(AND(tblMiningDaily[[#This Row],[Blast_t]]&lt;&gt;"",tblMiningDaily[[#This Row],[Blast_t]]&gt;0),tblMiningDaily[[#This Row],[Explosives_kg]]/tblMiningDaily[[#This Row],[Blast_t]],"")</f>
        <v/>
      </c>
    </row>
    <row r="312">
      <c r="A312" s="54" t="n">
        <v>46329</v>
      </c>
      <c r="B312" s="55" t="n"/>
      <c r="C312" s="55" t="n"/>
      <c r="D312" s="55" t="n"/>
      <c r="E312" s="55" t="n"/>
      <c r="F312" s="55" t="n"/>
      <c r="G312" s="58" t="n"/>
      <c r="H312" s="65">
        <f>IF(AND(tblMiningDaily[[#This Row],[Blast_t]]&lt;&gt;"",tblMiningDaily[[#This Row],[Blast_t]]&gt;0),tblMiningDaily[[#This Row],[Explosives_kg]]/tblMiningDaily[[#This Row],[Blast_t]],"")</f>
        <v/>
      </c>
    </row>
    <row r="313">
      <c r="A313" s="54" t="n">
        <v>46330</v>
      </c>
      <c r="B313" s="55" t="n"/>
      <c r="C313" s="55" t="n"/>
      <c r="D313" s="55" t="n"/>
      <c r="E313" s="55" t="n"/>
      <c r="F313" s="55" t="n"/>
      <c r="G313" s="58" t="n"/>
      <c r="H313" s="65">
        <f>IF(AND(tblMiningDaily[[#This Row],[Blast_t]]&lt;&gt;"",tblMiningDaily[[#This Row],[Blast_t]]&gt;0),tblMiningDaily[[#This Row],[Explosives_kg]]/tblMiningDaily[[#This Row],[Blast_t]],"")</f>
        <v/>
      </c>
    </row>
    <row r="314">
      <c r="A314" s="54" t="n">
        <v>46331</v>
      </c>
      <c r="B314" s="55" t="n"/>
      <c r="C314" s="55" t="n"/>
      <c r="D314" s="55" t="n"/>
      <c r="E314" s="55" t="n"/>
      <c r="F314" s="55" t="n"/>
      <c r="G314" s="58" t="n"/>
      <c r="H314" s="65">
        <f>IF(AND(tblMiningDaily[[#This Row],[Blast_t]]&lt;&gt;"",tblMiningDaily[[#This Row],[Blast_t]]&gt;0),tblMiningDaily[[#This Row],[Explosives_kg]]/tblMiningDaily[[#This Row],[Blast_t]],"")</f>
        <v/>
      </c>
    </row>
    <row r="315">
      <c r="A315" s="54" t="n">
        <v>46332</v>
      </c>
      <c r="B315" s="55" t="n"/>
      <c r="C315" s="55" t="n"/>
      <c r="D315" s="55" t="n"/>
      <c r="E315" s="55" t="n"/>
      <c r="F315" s="55" t="n"/>
      <c r="G315" s="58" t="n"/>
      <c r="H315" s="65">
        <f>IF(AND(tblMiningDaily[[#This Row],[Blast_t]]&lt;&gt;"",tblMiningDaily[[#This Row],[Blast_t]]&gt;0),tblMiningDaily[[#This Row],[Explosives_kg]]/tblMiningDaily[[#This Row],[Blast_t]],"")</f>
        <v/>
      </c>
    </row>
    <row r="316">
      <c r="A316" s="54" t="n">
        <v>46333</v>
      </c>
      <c r="B316" s="55" t="n"/>
      <c r="C316" s="55" t="n"/>
      <c r="D316" s="55" t="n"/>
      <c r="E316" s="55" t="n"/>
      <c r="F316" s="55" t="n"/>
      <c r="G316" s="58" t="n"/>
      <c r="H316" s="65">
        <f>IF(AND(tblMiningDaily[[#This Row],[Blast_t]]&lt;&gt;"",tblMiningDaily[[#This Row],[Blast_t]]&gt;0),tblMiningDaily[[#This Row],[Explosives_kg]]/tblMiningDaily[[#This Row],[Blast_t]],"")</f>
        <v/>
      </c>
    </row>
    <row r="317">
      <c r="A317" s="54" t="n">
        <v>46334</v>
      </c>
      <c r="B317" s="55" t="n"/>
      <c r="C317" s="55" t="n"/>
      <c r="D317" s="55" t="n"/>
      <c r="E317" s="55" t="n"/>
      <c r="F317" s="55" t="n"/>
      <c r="G317" s="58" t="n"/>
      <c r="H317" s="65">
        <f>IF(AND(tblMiningDaily[[#This Row],[Blast_t]]&lt;&gt;"",tblMiningDaily[[#This Row],[Blast_t]]&gt;0),tblMiningDaily[[#This Row],[Explosives_kg]]/tblMiningDaily[[#This Row],[Blast_t]],"")</f>
        <v/>
      </c>
    </row>
    <row r="318">
      <c r="A318" s="54" t="n">
        <v>46335</v>
      </c>
      <c r="B318" s="55" t="n"/>
      <c r="C318" s="55" t="n"/>
      <c r="D318" s="55" t="n"/>
      <c r="E318" s="55" t="n"/>
      <c r="F318" s="55" t="n"/>
      <c r="G318" s="58" t="n"/>
      <c r="H318" s="65">
        <f>IF(AND(tblMiningDaily[[#This Row],[Blast_t]]&lt;&gt;"",tblMiningDaily[[#This Row],[Blast_t]]&gt;0),tblMiningDaily[[#This Row],[Explosives_kg]]/tblMiningDaily[[#This Row],[Blast_t]],"")</f>
        <v/>
      </c>
    </row>
    <row r="319">
      <c r="A319" s="54" t="n">
        <v>46336</v>
      </c>
      <c r="B319" s="55" t="n"/>
      <c r="C319" s="55" t="n"/>
      <c r="D319" s="55" t="n"/>
      <c r="E319" s="55" t="n"/>
      <c r="F319" s="55" t="n"/>
      <c r="G319" s="58" t="n"/>
      <c r="H319" s="65">
        <f>IF(AND(tblMiningDaily[[#This Row],[Blast_t]]&lt;&gt;"",tblMiningDaily[[#This Row],[Blast_t]]&gt;0),tblMiningDaily[[#This Row],[Explosives_kg]]/tblMiningDaily[[#This Row],[Blast_t]],"")</f>
        <v/>
      </c>
    </row>
    <row r="320">
      <c r="A320" s="54" t="n">
        <v>46337</v>
      </c>
      <c r="B320" s="55" t="n"/>
      <c r="C320" s="55" t="n"/>
      <c r="D320" s="55" t="n"/>
      <c r="E320" s="55" t="n"/>
      <c r="F320" s="55" t="n"/>
      <c r="G320" s="58" t="n"/>
      <c r="H320" s="65">
        <f>IF(AND(tblMiningDaily[[#This Row],[Blast_t]]&lt;&gt;"",tblMiningDaily[[#This Row],[Blast_t]]&gt;0),tblMiningDaily[[#This Row],[Explosives_kg]]/tblMiningDaily[[#This Row],[Blast_t]],"")</f>
        <v/>
      </c>
    </row>
    <row r="321">
      <c r="A321" s="54" t="n">
        <v>46338</v>
      </c>
      <c r="B321" s="55" t="n"/>
      <c r="C321" s="55" t="n"/>
      <c r="D321" s="55" t="n"/>
      <c r="E321" s="55" t="n"/>
      <c r="F321" s="55" t="n"/>
      <c r="G321" s="58" t="n"/>
      <c r="H321" s="65">
        <f>IF(AND(tblMiningDaily[[#This Row],[Blast_t]]&lt;&gt;"",tblMiningDaily[[#This Row],[Blast_t]]&gt;0),tblMiningDaily[[#This Row],[Explosives_kg]]/tblMiningDaily[[#This Row],[Blast_t]],"")</f>
        <v/>
      </c>
    </row>
    <row r="322">
      <c r="A322" s="54" t="n">
        <v>46339</v>
      </c>
      <c r="B322" s="55" t="n"/>
      <c r="C322" s="55" t="n"/>
      <c r="D322" s="55" t="n"/>
      <c r="E322" s="55" t="n"/>
      <c r="F322" s="55" t="n"/>
      <c r="G322" s="58" t="n"/>
      <c r="H322" s="65">
        <f>IF(AND(tblMiningDaily[[#This Row],[Blast_t]]&lt;&gt;"",tblMiningDaily[[#This Row],[Blast_t]]&gt;0),tblMiningDaily[[#This Row],[Explosives_kg]]/tblMiningDaily[[#This Row],[Blast_t]],"")</f>
        <v/>
      </c>
    </row>
    <row r="323">
      <c r="A323" s="54" t="n">
        <v>46340</v>
      </c>
      <c r="B323" s="55" t="n"/>
      <c r="C323" s="55" t="n"/>
      <c r="D323" s="55" t="n"/>
      <c r="E323" s="55" t="n"/>
      <c r="F323" s="55" t="n"/>
      <c r="G323" s="58" t="n"/>
      <c r="H323" s="65">
        <f>IF(AND(tblMiningDaily[[#This Row],[Blast_t]]&lt;&gt;"",tblMiningDaily[[#This Row],[Blast_t]]&gt;0),tblMiningDaily[[#This Row],[Explosives_kg]]/tblMiningDaily[[#This Row],[Blast_t]],"")</f>
        <v/>
      </c>
    </row>
    <row r="324">
      <c r="A324" s="54" t="n">
        <v>46341</v>
      </c>
      <c r="B324" s="55" t="n"/>
      <c r="C324" s="55" t="n"/>
      <c r="D324" s="55" t="n"/>
      <c r="E324" s="55" t="n"/>
      <c r="F324" s="55" t="n"/>
      <c r="G324" s="58" t="n"/>
      <c r="H324" s="65">
        <f>IF(AND(tblMiningDaily[[#This Row],[Blast_t]]&lt;&gt;"",tblMiningDaily[[#This Row],[Blast_t]]&gt;0),tblMiningDaily[[#This Row],[Explosives_kg]]/tblMiningDaily[[#This Row],[Blast_t]],"")</f>
        <v/>
      </c>
    </row>
    <row r="325">
      <c r="A325" s="54" t="n">
        <v>46342</v>
      </c>
      <c r="B325" s="55" t="n"/>
      <c r="C325" s="55" t="n"/>
      <c r="D325" s="55" t="n"/>
      <c r="E325" s="55" t="n"/>
      <c r="F325" s="55" t="n"/>
      <c r="G325" s="58" t="n"/>
      <c r="H325" s="65">
        <f>IF(AND(tblMiningDaily[[#This Row],[Blast_t]]&lt;&gt;"",tblMiningDaily[[#This Row],[Blast_t]]&gt;0),tblMiningDaily[[#This Row],[Explosives_kg]]/tblMiningDaily[[#This Row],[Blast_t]],"")</f>
        <v/>
      </c>
    </row>
    <row r="326">
      <c r="A326" s="54" t="n">
        <v>46343</v>
      </c>
      <c r="B326" s="55" t="n"/>
      <c r="C326" s="55" t="n"/>
      <c r="D326" s="55" t="n"/>
      <c r="E326" s="55" t="n"/>
      <c r="F326" s="55" t="n"/>
      <c r="G326" s="58" t="n"/>
      <c r="H326" s="65">
        <f>IF(AND(tblMiningDaily[[#This Row],[Blast_t]]&lt;&gt;"",tblMiningDaily[[#This Row],[Blast_t]]&gt;0),tblMiningDaily[[#This Row],[Explosives_kg]]/tblMiningDaily[[#This Row],[Blast_t]],"")</f>
        <v/>
      </c>
    </row>
    <row r="327">
      <c r="A327" s="54" t="n">
        <v>46344</v>
      </c>
      <c r="B327" s="55" t="n"/>
      <c r="C327" s="55" t="n"/>
      <c r="D327" s="55" t="n"/>
      <c r="E327" s="55" t="n"/>
      <c r="F327" s="55" t="n"/>
      <c r="G327" s="58" t="n"/>
      <c r="H327" s="65">
        <f>IF(AND(tblMiningDaily[[#This Row],[Blast_t]]&lt;&gt;"",tblMiningDaily[[#This Row],[Blast_t]]&gt;0),tblMiningDaily[[#This Row],[Explosives_kg]]/tblMiningDaily[[#This Row],[Blast_t]],"")</f>
        <v/>
      </c>
    </row>
    <row r="328">
      <c r="A328" s="54" t="n">
        <v>46345</v>
      </c>
      <c r="B328" s="55" t="n"/>
      <c r="C328" s="55" t="n"/>
      <c r="D328" s="55" t="n"/>
      <c r="E328" s="55" t="n"/>
      <c r="F328" s="55" t="n"/>
      <c r="G328" s="58" t="n"/>
      <c r="H328" s="65">
        <f>IF(AND(tblMiningDaily[[#This Row],[Blast_t]]&lt;&gt;"",tblMiningDaily[[#This Row],[Blast_t]]&gt;0),tblMiningDaily[[#This Row],[Explosives_kg]]/tblMiningDaily[[#This Row],[Blast_t]],"")</f>
        <v/>
      </c>
    </row>
    <row r="329">
      <c r="A329" s="54" t="n">
        <v>46346</v>
      </c>
      <c r="B329" s="55" t="n"/>
      <c r="C329" s="55" t="n"/>
      <c r="D329" s="55" t="n"/>
      <c r="E329" s="55" t="n"/>
      <c r="F329" s="55" t="n"/>
      <c r="G329" s="58" t="n"/>
      <c r="H329" s="65">
        <f>IF(AND(tblMiningDaily[[#This Row],[Blast_t]]&lt;&gt;"",tblMiningDaily[[#This Row],[Blast_t]]&gt;0),tblMiningDaily[[#This Row],[Explosives_kg]]/tblMiningDaily[[#This Row],[Blast_t]],"")</f>
        <v/>
      </c>
    </row>
    <row r="330">
      <c r="A330" s="54" t="n">
        <v>46347</v>
      </c>
      <c r="B330" s="55" t="n"/>
      <c r="C330" s="55" t="n"/>
      <c r="D330" s="55" t="n"/>
      <c r="E330" s="55" t="n"/>
      <c r="F330" s="55" t="n"/>
      <c r="G330" s="58" t="n"/>
      <c r="H330" s="65">
        <f>IF(AND(tblMiningDaily[[#This Row],[Blast_t]]&lt;&gt;"",tblMiningDaily[[#This Row],[Blast_t]]&gt;0),tblMiningDaily[[#This Row],[Explosives_kg]]/tblMiningDaily[[#This Row],[Blast_t]],"")</f>
        <v/>
      </c>
    </row>
    <row r="331">
      <c r="A331" s="54" t="n">
        <v>46348</v>
      </c>
      <c r="B331" s="55" t="n"/>
      <c r="C331" s="55" t="n"/>
      <c r="D331" s="55" t="n"/>
      <c r="E331" s="55" t="n"/>
      <c r="F331" s="55" t="n"/>
      <c r="G331" s="58" t="n"/>
      <c r="H331" s="65">
        <f>IF(AND(tblMiningDaily[[#This Row],[Blast_t]]&lt;&gt;"",tblMiningDaily[[#This Row],[Blast_t]]&gt;0),tblMiningDaily[[#This Row],[Explosives_kg]]/tblMiningDaily[[#This Row],[Blast_t]],"")</f>
        <v/>
      </c>
    </row>
    <row r="332">
      <c r="A332" s="54" t="n">
        <v>46349</v>
      </c>
      <c r="B332" s="55" t="n"/>
      <c r="C332" s="55" t="n"/>
      <c r="D332" s="55" t="n"/>
      <c r="E332" s="55" t="n"/>
      <c r="F332" s="55" t="n"/>
      <c r="G332" s="58" t="n"/>
      <c r="H332" s="65">
        <f>IF(AND(tblMiningDaily[[#This Row],[Blast_t]]&lt;&gt;"",tblMiningDaily[[#This Row],[Blast_t]]&gt;0),tblMiningDaily[[#This Row],[Explosives_kg]]/tblMiningDaily[[#This Row],[Blast_t]],"")</f>
        <v/>
      </c>
    </row>
    <row r="333">
      <c r="A333" s="54" t="n">
        <v>46350</v>
      </c>
      <c r="B333" s="55" t="n"/>
      <c r="C333" s="55" t="n"/>
      <c r="D333" s="55" t="n"/>
      <c r="E333" s="55" t="n"/>
      <c r="F333" s="55" t="n"/>
      <c r="G333" s="58" t="n"/>
      <c r="H333" s="65">
        <f>IF(AND(tblMiningDaily[[#This Row],[Blast_t]]&lt;&gt;"",tblMiningDaily[[#This Row],[Blast_t]]&gt;0),tblMiningDaily[[#This Row],[Explosives_kg]]/tblMiningDaily[[#This Row],[Blast_t]],"")</f>
        <v/>
      </c>
    </row>
    <row r="334">
      <c r="A334" s="54" t="n">
        <v>46351</v>
      </c>
      <c r="B334" s="55" t="n"/>
      <c r="C334" s="55" t="n"/>
      <c r="D334" s="55" t="n"/>
      <c r="E334" s="55" t="n"/>
      <c r="F334" s="55" t="n"/>
      <c r="G334" s="58" t="n"/>
      <c r="H334" s="65">
        <f>IF(AND(tblMiningDaily[[#This Row],[Blast_t]]&lt;&gt;"",tblMiningDaily[[#This Row],[Blast_t]]&gt;0),tblMiningDaily[[#This Row],[Explosives_kg]]/tblMiningDaily[[#This Row],[Blast_t]],"")</f>
        <v/>
      </c>
    </row>
    <row r="335">
      <c r="A335" s="54" t="n">
        <v>46352</v>
      </c>
      <c r="B335" s="55" t="n"/>
      <c r="C335" s="55" t="n"/>
      <c r="D335" s="55" t="n"/>
      <c r="E335" s="55" t="n"/>
      <c r="F335" s="55" t="n"/>
      <c r="G335" s="58" t="n"/>
      <c r="H335" s="65">
        <f>IF(AND(tblMiningDaily[[#This Row],[Blast_t]]&lt;&gt;"",tblMiningDaily[[#This Row],[Blast_t]]&gt;0),tblMiningDaily[[#This Row],[Explosives_kg]]/tblMiningDaily[[#This Row],[Blast_t]],"")</f>
        <v/>
      </c>
    </row>
    <row r="336">
      <c r="A336" s="54" t="n">
        <v>46353</v>
      </c>
      <c r="B336" s="55" t="n"/>
      <c r="C336" s="55" t="n"/>
      <c r="D336" s="55" t="n"/>
      <c r="E336" s="55" t="n"/>
      <c r="F336" s="55" t="n"/>
      <c r="G336" s="58" t="n"/>
      <c r="H336" s="65">
        <f>IF(AND(tblMiningDaily[[#This Row],[Blast_t]]&lt;&gt;"",tblMiningDaily[[#This Row],[Blast_t]]&gt;0),tblMiningDaily[[#This Row],[Explosives_kg]]/tblMiningDaily[[#This Row],[Blast_t]],"")</f>
        <v/>
      </c>
    </row>
    <row r="337">
      <c r="A337" s="54" t="n">
        <v>46354</v>
      </c>
      <c r="B337" s="55" t="n"/>
      <c r="C337" s="55" t="n"/>
      <c r="D337" s="55" t="n"/>
      <c r="E337" s="55" t="n"/>
      <c r="F337" s="55" t="n"/>
      <c r="G337" s="58" t="n"/>
      <c r="H337" s="65">
        <f>IF(AND(tblMiningDaily[[#This Row],[Blast_t]]&lt;&gt;"",tblMiningDaily[[#This Row],[Blast_t]]&gt;0),tblMiningDaily[[#This Row],[Explosives_kg]]/tblMiningDaily[[#This Row],[Blast_t]],"")</f>
        <v/>
      </c>
    </row>
    <row r="338">
      <c r="A338" s="54" t="n">
        <v>46355</v>
      </c>
      <c r="B338" s="55" t="n"/>
      <c r="C338" s="55" t="n"/>
      <c r="D338" s="55" t="n"/>
      <c r="E338" s="55" t="n"/>
      <c r="F338" s="55" t="n"/>
      <c r="G338" s="58" t="n"/>
      <c r="H338" s="65">
        <f>IF(AND(tblMiningDaily[[#This Row],[Blast_t]]&lt;&gt;"",tblMiningDaily[[#This Row],[Blast_t]]&gt;0),tblMiningDaily[[#This Row],[Explosives_kg]]/tblMiningDaily[[#This Row],[Blast_t]],"")</f>
        <v/>
      </c>
    </row>
    <row r="339">
      <c r="A339" s="54" t="n">
        <v>46356</v>
      </c>
      <c r="B339" s="55" t="n"/>
      <c r="C339" s="55" t="n"/>
      <c r="D339" s="55" t="n"/>
      <c r="E339" s="55" t="n"/>
      <c r="F339" s="55" t="n"/>
      <c r="G339" s="58" t="n"/>
      <c r="H339" s="65">
        <f>IF(AND(tblMiningDaily[[#This Row],[Blast_t]]&lt;&gt;"",tblMiningDaily[[#This Row],[Blast_t]]&gt;0),tblMiningDaily[[#This Row],[Explosives_kg]]/tblMiningDaily[[#This Row],[Blast_t]],"")</f>
        <v/>
      </c>
    </row>
    <row r="340">
      <c r="A340" s="54" t="n">
        <v>46357</v>
      </c>
      <c r="B340" s="55" t="n"/>
      <c r="C340" s="55" t="n"/>
      <c r="D340" s="55" t="n"/>
      <c r="E340" s="55" t="n"/>
      <c r="F340" s="55" t="n"/>
      <c r="G340" s="58" t="n"/>
      <c r="H340" s="65">
        <f>IF(AND(tblMiningDaily[[#This Row],[Blast_t]]&lt;&gt;"",tblMiningDaily[[#This Row],[Blast_t]]&gt;0),tblMiningDaily[[#This Row],[Explosives_kg]]/tblMiningDaily[[#This Row],[Blast_t]],"")</f>
        <v/>
      </c>
    </row>
    <row r="341">
      <c r="A341" s="54" t="n">
        <v>46358</v>
      </c>
      <c r="B341" s="55" t="n"/>
      <c r="C341" s="55" t="n"/>
      <c r="D341" s="55" t="n"/>
      <c r="E341" s="55" t="n"/>
      <c r="F341" s="55" t="n"/>
      <c r="G341" s="58" t="n"/>
      <c r="H341" s="65">
        <f>IF(AND(tblMiningDaily[[#This Row],[Blast_t]]&lt;&gt;"",tblMiningDaily[[#This Row],[Blast_t]]&gt;0),tblMiningDaily[[#This Row],[Explosives_kg]]/tblMiningDaily[[#This Row],[Blast_t]],"")</f>
        <v/>
      </c>
    </row>
    <row r="342">
      <c r="A342" s="54" t="n">
        <v>46359</v>
      </c>
      <c r="B342" s="55" t="n"/>
      <c r="C342" s="55" t="n"/>
      <c r="D342" s="55" t="n"/>
      <c r="E342" s="55" t="n"/>
      <c r="F342" s="55" t="n"/>
      <c r="G342" s="58" t="n"/>
      <c r="H342" s="65">
        <f>IF(AND(tblMiningDaily[[#This Row],[Blast_t]]&lt;&gt;"",tblMiningDaily[[#This Row],[Blast_t]]&gt;0),tblMiningDaily[[#This Row],[Explosives_kg]]/tblMiningDaily[[#This Row],[Blast_t]],"")</f>
        <v/>
      </c>
    </row>
    <row r="343">
      <c r="A343" s="54" t="n">
        <v>46360</v>
      </c>
      <c r="B343" s="55" t="n"/>
      <c r="C343" s="55" t="n"/>
      <c r="D343" s="55" t="n"/>
      <c r="E343" s="55" t="n"/>
      <c r="F343" s="55" t="n"/>
      <c r="G343" s="58" t="n"/>
      <c r="H343" s="65">
        <f>IF(AND(tblMiningDaily[[#This Row],[Blast_t]]&lt;&gt;"",tblMiningDaily[[#This Row],[Blast_t]]&gt;0),tblMiningDaily[[#This Row],[Explosives_kg]]/tblMiningDaily[[#This Row],[Blast_t]],"")</f>
        <v/>
      </c>
    </row>
    <row r="344">
      <c r="A344" s="54" t="n">
        <v>46361</v>
      </c>
      <c r="B344" s="55" t="n"/>
      <c r="C344" s="55" t="n"/>
      <c r="D344" s="55" t="n"/>
      <c r="E344" s="55" t="n"/>
      <c r="F344" s="55" t="n"/>
      <c r="G344" s="58" t="n"/>
      <c r="H344" s="65">
        <f>IF(AND(tblMiningDaily[[#This Row],[Blast_t]]&lt;&gt;"",tblMiningDaily[[#This Row],[Blast_t]]&gt;0),tblMiningDaily[[#This Row],[Explosives_kg]]/tblMiningDaily[[#This Row],[Blast_t]],"")</f>
        <v/>
      </c>
    </row>
    <row r="345">
      <c r="A345" s="54" t="n">
        <v>46362</v>
      </c>
      <c r="B345" s="55" t="n"/>
      <c r="C345" s="55" t="n"/>
      <c r="D345" s="55" t="n"/>
      <c r="E345" s="55" t="n"/>
      <c r="F345" s="55" t="n"/>
      <c r="G345" s="58" t="n"/>
      <c r="H345" s="65">
        <f>IF(AND(tblMiningDaily[[#This Row],[Blast_t]]&lt;&gt;"",tblMiningDaily[[#This Row],[Blast_t]]&gt;0),tblMiningDaily[[#This Row],[Explosives_kg]]/tblMiningDaily[[#This Row],[Blast_t]],"")</f>
        <v/>
      </c>
    </row>
    <row r="346">
      <c r="A346" s="54" t="n">
        <v>46363</v>
      </c>
      <c r="B346" s="55" t="n"/>
      <c r="C346" s="55" t="n"/>
      <c r="D346" s="55" t="n"/>
      <c r="E346" s="55" t="n"/>
      <c r="F346" s="55" t="n"/>
      <c r="G346" s="58" t="n"/>
      <c r="H346" s="65">
        <f>IF(AND(tblMiningDaily[[#This Row],[Blast_t]]&lt;&gt;"",tblMiningDaily[[#This Row],[Blast_t]]&gt;0),tblMiningDaily[[#This Row],[Explosives_kg]]/tblMiningDaily[[#This Row],[Blast_t]],"")</f>
        <v/>
      </c>
    </row>
    <row r="347">
      <c r="A347" s="54" t="n">
        <v>46364</v>
      </c>
      <c r="B347" s="55" t="n"/>
      <c r="C347" s="55" t="n"/>
      <c r="D347" s="55" t="n"/>
      <c r="E347" s="55" t="n"/>
      <c r="F347" s="55" t="n"/>
      <c r="G347" s="58" t="n"/>
      <c r="H347" s="65">
        <f>IF(AND(tblMiningDaily[[#This Row],[Blast_t]]&lt;&gt;"",tblMiningDaily[[#This Row],[Blast_t]]&gt;0),tblMiningDaily[[#This Row],[Explosives_kg]]/tblMiningDaily[[#This Row],[Blast_t]],"")</f>
        <v/>
      </c>
    </row>
    <row r="348">
      <c r="A348" s="54" t="n">
        <v>46365</v>
      </c>
      <c r="B348" s="55" t="n"/>
      <c r="C348" s="55" t="n"/>
      <c r="D348" s="55" t="n"/>
      <c r="E348" s="55" t="n"/>
      <c r="F348" s="55" t="n"/>
      <c r="G348" s="58" t="n"/>
      <c r="H348" s="65">
        <f>IF(AND(tblMiningDaily[[#This Row],[Blast_t]]&lt;&gt;"",tblMiningDaily[[#This Row],[Blast_t]]&gt;0),tblMiningDaily[[#This Row],[Explosives_kg]]/tblMiningDaily[[#This Row],[Blast_t]],"")</f>
        <v/>
      </c>
    </row>
    <row r="349">
      <c r="A349" s="54" t="n">
        <v>46366</v>
      </c>
      <c r="B349" s="55" t="n"/>
      <c r="C349" s="55" t="n"/>
      <c r="D349" s="55" t="n"/>
      <c r="E349" s="55" t="n"/>
      <c r="F349" s="55" t="n"/>
      <c r="G349" s="58" t="n"/>
      <c r="H349" s="65">
        <f>IF(AND(tblMiningDaily[[#This Row],[Blast_t]]&lt;&gt;"",tblMiningDaily[[#This Row],[Blast_t]]&gt;0),tblMiningDaily[[#This Row],[Explosives_kg]]/tblMiningDaily[[#This Row],[Blast_t]],"")</f>
        <v/>
      </c>
    </row>
    <row r="350">
      <c r="A350" s="54" t="n">
        <v>46367</v>
      </c>
      <c r="B350" s="55" t="n"/>
      <c r="C350" s="55" t="n"/>
      <c r="D350" s="55" t="n"/>
      <c r="E350" s="55" t="n"/>
      <c r="F350" s="55" t="n"/>
      <c r="G350" s="58" t="n"/>
      <c r="H350" s="65">
        <f>IF(AND(tblMiningDaily[[#This Row],[Blast_t]]&lt;&gt;"",tblMiningDaily[[#This Row],[Blast_t]]&gt;0),tblMiningDaily[[#This Row],[Explosives_kg]]/tblMiningDaily[[#This Row],[Blast_t]],"")</f>
        <v/>
      </c>
    </row>
    <row r="351">
      <c r="A351" s="54" t="n">
        <v>46368</v>
      </c>
      <c r="B351" s="55" t="n"/>
      <c r="C351" s="55" t="n"/>
      <c r="D351" s="55" t="n"/>
      <c r="E351" s="55" t="n"/>
      <c r="F351" s="55" t="n"/>
      <c r="G351" s="58" t="n"/>
      <c r="H351" s="65">
        <f>IF(AND(tblMiningDaily[[#This Row],[Blast_t]]&lt;&gt;"",tblMiningDaily[[#This Row],[Blast_t]]&gt;0),tblMiningDaily[[#This Row],[Explosives_kg]]/tblMiningDaily[[#This Row],[Blast_t]],"")</f>
        <v/>
      </c>
    </row>
    <row r="352">
      <c r="A352" s="54" t="n">
        <v>46369</v>
      </c>
      <c r="B352" s="55" t="n"/>
      <c r="C352" s="55" t="n"/>
      <c r="D352" s="55" t="n"/>
      <c r="E352" s="55" t="n"/>
      <c r="F352" s="55" t="n"/>
      <c r="G352" s="58" t="n"/>
      <c r="H352" s="65">
        <f>IF(AND(tblMiningDaily[[#This Row],[Blast_t]]&lt;&gt;"",tblMiningDaily[[#This Row],[Blast_t]]&gt;0),tblMiningDaily[[#This Row],[Explosives_kg]]/tblMiningDaily[[#This Row],[Blast_t]],"")</f>
        <v/>
      </c>
    </row>
    <row r="353">
      <c r="A353" s="54" t="n">
        <v>46370</v>
      </c>
      <c r="B353" s="55" t="n"/>
      <c r="C353" s="55" t="n"/>
      <c r="D353" s="55" t="n"/>
      <c r="E353" s="55" t="n"/>
      <c r="F353" s="55" t="n"/>
      <c r="G353" s="58" t="n"/>
      <c r="H353" s="65">
        <f>IF(AND(tblMiningDaily[[#This Row],[Blast_t]]&lt;&gt;"",tblMiningDaily[[#This Row],[Blast_t]]&gt;0),tblMiningDaily[[#This Row],[Explosives_kg]]/tblMiningDaily[[#This Row],[Blast_t]],"")</f>
        <v/>
      </c>
    </row>
    <row r="354">
      <c r="A354" s="54" t="n">
        <v>46371</v>
      </c>
      <c r="B354" s="55" t="n"/>
      <c r="C354" s="55" t="n"/>
      <c r="D354" s="55" t="n"/>
      <c r="E354" s="55" t="n"/>
      <c r="F354" s="55" t="n"/>
      <c r="G354" s="58" t="n"/>
      <c r="H354" s="65">
        <f>IF(AND(tblMiningDaily[[#This Row],[Blast_t]]&lt;&gt;"",tblMiningDaily[[#This Row],[Blast_t]]&gt;0),tblMiningDaily[[#This Row],[Explosives_kg]]/tblMiningDaily[[#This Row],[Blast_t]],"")</f>
        <v/>
      </c>
    </row>
    <row r="355">
      <c r="A355" s="54" t="n">
        <v>46372</v>
      </c>
      <c r="B355" s="55" t="n"/>
      <c r="C355" s="55" t="n"/>
      <c r="D355" s="55" t="n"/>
      <c r="E355" s="55" t="n"/>
      <c r="F355" s="55" t="n"/>
      <c r="G355" s="58" t="n"/>
      <c r="H355" s="65">
        <f>IF(AND(tblMiningDaily[[#This Row],[Blast_t]]&lt;&gt;"",tblMiningDaily[[#This Row],[Blast_t]]&gt;0),tblMiningDaily[[#This Row],[Explosives_kg]]/tblMiningDaily[[#This Row],[Blast_t]],"")</f>
        <v/>
      </c>
    </row>
    <row r="356">
      <c r="A356" s="54" t="n">
        <v>46373</v>
      </c>
      <c r="B356" s="55" t="n"/>
      <c r="C356" s="55" t="n"/>
      <c r="D356" s="55" t="n"/>
      <c r="E356" s="55" t="n"/>
      <c r="F356" s="55" t="n"/>
      <c r="G356" s="58" t="n"/>
      <c r="H356" s="65">
        <f>IF(AND(tblMiningDaily[[#This Row],[Blast_t]]&lt;&gt;"",tblMiningDaily[[#This Row],[Blast_t]]&gt;0),tblMiningDaily[[#This Row],[Explosives_kg]]/tblMiningDaily[[#This Row],[Blast_t]],"")</f>
        <v/>
      </c>
    </row>
    <row r="357">
      <c r="A357" s="54" t="n">
        <v>46374</v>
      </c>
      <c r="B357" s="55" t="n"/>
      <c r="C357" s="55" t="n"/>
      <c r="D357" s="55" t="n"/>
      <c r="E357" s="55" t="n"/>
      <c r="F357" s="55" t="n"/>
      <c r="G357" s="58" t="n"/>
      <c r="H357" s="65">
        <f>IF(AND(tblMiningDaily[[#This Row],[Blast_t]]&lt;&gt;"",tblMiningDaily[[#This Row],[Blast_t]]&gt;0),tblMiningDaily[[#This Row],[Explosives_kg]]/tblMiningDaily[[#This Row],[Blast_t]],"")</f>
        <v/>
      </c>
    </row>
    <row r="358">
      <c r="A358" s="54" t="n">
        <v>46375</v>
      </c>
      <c r="B358" s="55" t="n"/>
      <c r="C358" s="55" t="n"/>
      <c r="D358" s="55" t="n"/>
      <c r="E358" s="55" t="n"/>
      <c r="F358" s="55" t="n"/>
      <c r="G358" s="58" t="n"/>
      <c r="H358" s="65">
        <f>IF(AND(tblMiningDaily[[#This Row],[Blast_t]]&lt;&gt;"",tblMiningDaily[[#This Row],[Blast_t]]&gt;0),tblMiningDaily[[#This Row],[Explosives_kg]]/tblMiningDaily[[#This Row],[Blast_t]],"")</f>
        <v/>
      </c>
    </row>
    <row r="359">
      <c r="A359" s="54" t="n">
        <v>46376</v>
      </c>
      <c r="B359" s="55" t="n"/>
      <c r="C359" s="55" t="n"/>
      <c r="D359" s="55" t="n"/>
      <c r="E359" s="55" t="n"/>
      <c r="F359" s="55" t="n"/>
      <c r="G359" s="58" t="n"/>
      <c r="H359" s="65">
        <f>IF(AND(tblMiningDaily[[#This Row],[Blast_t]]&lt;&gt;"",tblMiningDaily[[#This Row],[Blast_t]]&gt;0),tblMiningDaily[[#This Row],[Explosives_kg]]/tblMiningDaily[[#This Row],[Blast_t]],"")</f>
        <v/>
      </c>
    </row>
    <row r="360">
      <c r="A360" s="54" t="n">
        <v>46377</v>
      </c>
      <c r="B360" s="55" t="n"/>
      <c r="C360" s="55" t="n"/>
      <c r="D360" s="55" t="n"/>
      <c r="E360" s="55" t="n"/>
      <c r="F360" s="55" t="n"/>
      <c r="G360" s="58" t="n"/>
      <c r="H360" s="65">
        <f>IF(AND(tblMiningDaily[[#This Row],[Blast_t]]&lt;&gt;"",tblMiningDaily[[#This Row],[Blast_t]]&gt;0),tblMiningDaily[[#This Row],[Explosives_kg]]/tblMiningDaily[[#This Row],[Blast_t]],"")</f>
        <v/>
      </c>
    </row>
    <row r="361">
      <c r="A361" s="54" t="n">
        <v>46378</v>
      </c>
      <c r="B361" s="55" t="n"/>
      <c r="C361" s="55" t="n"/>
      <c r="D361" s="55" t="n"/>
      <c r="E361" s="55" t="n"/>
      <c r="F361" s="55" t="n"/>
      <c r="G361" s="58" t="n"/>
      <c r="H361" s="65">
        <f>IF(AND(tblMiningDaily[[#This Row],[Blast_t]]&lt;&gt;"",tblMiningDaily[[#This Row],[Blast_t]]&gt;0),tblMiningDaily[[#This Row],[Explosives_kg]]/tblMiningDaily[[#This Row],[Blast_t]],"")</f>
        <v/>
      </c>
    </row>
    <row r="362">
      <c r="A362" s="54" t="n">
        <v>46379</v>
      </c>
      <c r="B362" s="55" t="n"/>
      <c r="C362" s="55" t="n"/>
      <c r="D362" s="55" t="n"/>
      <c r="E362" s="55" t="n"/>
      <c r="F362" s="55" t="n"/>
      <c r="G362" s="58" t="n"/>
      <c r="H362" s="65">
        <f>IF(AND(tblMiningDaily[[#This Row],[Blast_t]]&lt;&gt;"",tblMiningDaily[[#This Row],[Blast_t]]&gt;0),tblMiningDaily[[#This Row],[Explosives_kg]]/tblMiningDaily[[#This Row],[Blast_t]],"")</f>
        <v/>
      </c>
    </row>
    <row r="363">
      <c r="A363" s="54" t="n">
        <v>46380</v>
      </c>
      <c r="B363" s="55" t="n"/>
      <c r="C363" s="55" t="n"/>
      <c r="D363" s="55" t="n"/>
      <c r="E363" s="55" t="n"/>
      <c r="F363" s="55" t="n"/>
      <c r="G363" s="58" t="n"/>
      <c r="H363" s="65">
        <f>IF(AND(tblMiningDaily[[#This Row],[Blast_t]]&lt;&gt;"",tblMiningDaily[[#This Row],[Blast_t]]&gt;0),tblMiningDaily[[#This Row],[Explosives_kg]]/tblMiningDaily[[#This Row],[Blast_t]],"")</f>
        <v/>
      </c>
    </row>
    <row r="364">
      <c r="A364" s="54" t="n">
        <v>46381</v>
      </c>
      <c r="B364" s="55" t="n"/>
      <c r="C364" s="55" t="n"/>
      <c r="D364" s="55" t="n"/>
      <c r="E364" s="55" t="n"/>
      <c r="F364" s="55" t="n"/>
      <c r="G364" s="58" t="n"/>
      <c r="H364" s="65">
        <f>IF(AND(tblMiningDaily[[#This Row],[Blast_t]]&lt;&gt;"",tblMiningDaily[[#This Row],[Blast_t]]&gt;0),tblMiningDaily[[#This Row],[Explosives_kg]]/tblMiningDaily[[#This Row],[Blast_t]],"")</f>
        <v/>
      </c>
    </row>
    <row r="365">
      <c r="A365" s="54" t="n">
        <v>46382</v>
      </c>
      <c r="B365" s="55" t="n"/>
      <c r="C365" s="55" t="n"/>
      <c r="D365" s="55" t="n"/>
      <c r="E365" s="55" t="n"/>
      <c r="F365" s="55" t="n"/>
      <c r="G365" s="58" t="n"/>
      <c r="H365" s="65">
        <f>IF(AND(tblMiningDaily[[#This Row],[Blast_t]]&lt;&gt;"",tblMiningDaily[[#This Row],[Blast_t]]&gt;0),tblMiningDaily[[#This Row],[Explosives_kg]]/tblMiningDaily[[#This Row],[Blast_t]],"")</f>
        <v/>
      </c>
    </row>
    <row r="366">
      <c r="A366" s="54" t="n">
        <v>46383</v>
      </c>
      <c r="B366" s="55" t="n"/>
      <c r="C366" s="55" t="n"/>
      <c r="D366" s="55" t="n"/>
      <c r="E366" s="55" t="n"/>
      <c r="F366" s="55" t="n"/>
      <c r="G366" s="58" t="n"/>
      <c r="H366" s="65">
        <f>IF(AND(tblMiningDaily[[#This Row],[Blast_t]]&lt;&gt;"",tblMiningDaily[[#This Row],[Blast_t]]&gt;0),tblMiningDaily[[#This Row],[Explosives_kg]]/tblMiningDaily[[#This Row],[Blast_t]],"")</f>
        <v/>
      </c>
    </row>
    <row r="367">
      <c r="A367" s="54" t="n">
        <v>46384</v>
      </c>
      <c r="B367" s="55" t="n"/>
      <c r="C367" s="55" t="n"/>
      <c r="D367" s="55" t="n"/>
      <c r="E367" s="55" t="n"/>
      <c r="F367" s="55" t="n"/>
      <c r="G367" s="58" t="n"/>
      <c r="H367" s="65">
        <f>IF(AND(tblMiningDaily[[#This Row],[Blast_t]]&lt;&gt;"",tblMiningDaily[[#This Row],[Blast_t]]&gt;0),tblMiningDaily[[#This Row],[Explosives_kg]]/tblMiningDaily[[#This Row],[Blast_t]],"")</f>
        <v/>
      </c>
    </row>
    <row r="368">
      <c r="A368" s="54" t="n">
        <v>46385</v>
      </c>
      <c r="B368" s="55" t="n"/>
      <c r="C368" s="55" t="n"/>
      <c r="D368" s="55" t="n"/>
      <c r="E368" s="55" t="n"/>
      <c r="F368" s="55" t="n"/>
      <c r="G368" s="58" t="n"/>
      <c r="H368" s="65">
        <f>IF(AND(tblMiningDaily[[#This Row],[Blast_t]]&lt;&gt;"",tblMiningDaily[[#This Row],[Blast_t]]&gt;0),tblMiningDaily[[#This Row],[Explosives_kg]]/tblMiningDaily[[#This Row],[Blast_t]],"")</f>
        <v/>
      </c>
    </row>
    <row r="369">
      <c r="A369" s="54" t="n">
        <v>46386</v>
      </c>
      <c r="B369" s="55" t="n"/>
      <c r="C369" s="55" t="n"/>
      <c r="D369" s="55" t="n"/>
      <c r="E369" s="55" t="n"/>
      <c r="F369" s="55" t="n"/>
      <c r="G369" s="58" t="n"/>
      <c r="H369" s="65">
        <f>IF(AND(tblMiningDaily[[#This Row],[Blast_t]]&lt;&gt;"",tblMiningDaily[[#This Row],[Blast_t]]&gt;0),tblMiningDaily[[#This Row],[Explosives_kg]]/tblMiningDaily[[#This Row],[Blast_t]],"")</f>
        <v/>
      </c>
    </row>
    <row r="370">
      <c r="A370" s="54" t="n">
        <v>46387</v>
      </c>
      <c r="B370" s="55" t="n"/>
      <c r="C370" s="55" t="n"/>
      <c r="D370" s="55" t="n"/>
      <c r="E370" s="55" t="n"/>
      <c r="F370" s="55" t="n"/>
      <c r="G370" s="58" t="n"/>
      <c r="H370" s="65">
        <f>IF(AND(tblMiningDaily[[#This Row],[Blast_t]]&lt;&gt;"",tblMiningDaily[[#This Row],[Blast_t]]&gt;0),tblMiningDaily[[#This Row],[Explosives_kg]]/tblMiningDaily[[#This Row],[Blast_t]],"")</f>
        <v/>
      </c>
    </row>
  </sheetData>
  <dataValidations count="6">
    <dataValidation sqref="A6:A370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70" showDropDown="0" showInputMessage="1" showErrorMessage="1" allowBlank="1" errorTitle="Outside expected range" error="Expected between 0 and 20000. Click Yes to keep the value if it is correct." promptTitle="Drilled" prompt="Production drill metres" type="decimal" errorStyle="warning" operator="between">
      <formula1>0</formula1>
      <formula2>20000</formula2>
    </dataValidation>
    <dataValidation sqref="C6:C370" showDropDown="0" showInputMessage="1" showErrorMessage="1" allowBlank="1" errorTitle="Outside expected range" error="Expected between 0 and 500000. Click Yes to keep the value if it is correct." promptTitle="Blasted" prompt="Tonnes blasted" type="decimal" errorStyle="warning" operator="between">
      <formula1>0</formula1>
      <formula2>500000</formula2>
    </dataValidation>
    <dataValidation sqref="D6:D370" showDropDown="0" showInputMessage="1" showErrorMessage="1" allowBlank="1" errorTitle="Outside expected range" error="Expected between 0 and 200000. Click Yes to keep the value if it is correct." promptTitle="Explosives" prompt="Explosives consumed" type="decimal" errorStyle="warning" operator="between">
      <formula1>0</formula1>
      <formula2>200000</formula2>
    </dataValidation>
    <dataValidation sqref="E6:E370" showDropDown="0" showInputMessage="1" showErrorMessage="1" allowBlank="1" errorTitle="Outside expected range" error="Expected between 0 and 200000. Click Yes to keep the value if it is correct." promptTitle="Diesel" prompt="Mining fleet diesel" type="decimal" errorStyle="warning" operator="between">
      <formula1>0</formula1>
      <formula2>200000</formula2>
    </dataValidation>
    <dataValidation sqref="F6:F370" showDropDown="0" showInputMessage="1" showErrorMessage="1" allowBlank="1" errorTitle="Outside expected range" error="Expected between 0 and 500000. Click Yes to keep the value if it is correct." promptTitle="Dewatering" prompt="Pit water pumped" type="decimal" errorStyle="warning" operator="between">
      <formula1>0</formula1>
      <formula2>500000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J3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.5" customWidth="1" min="2" max="2"/>
    <col width="14.6" customWidth="1" min="3" max="3"/>
    <col width="14.6" customWidth="1" min="4" max="4"/>
    <col width="19.1" customWidth="1" min="5" max="5"/>
    <col width="32" customWidth="1" min="6" max="6"/>
    <col width="18.2" customWidth="1" min="7" max="7"/>
    <col width="19.1" customWidth="1" min="8" max="8"/>
    <col width="16.4" customWidth="1" min="9" max="9"/>
    <col width="15.5" customWidth="1" min="10" max="10"/>
  </cols>
  <sheetData>
    <row r="1">
      <c r="A1" s="50" t="inlineStr">
        <is>
          <t>Mining fleet time model, one row per equipment class per day</t>
        </is>
      </c>
    </row>
    <row r="2">
      <c r="A2" s="6" t="inlineStr">
        <is>
          <t>Owner: Mining (dispatch / maintenance planner).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Equipment class</t>
        </is>
      </c>
      <c r="C4" s="51" t="inlineStr">
        <is>
          <t>Units in fleet</t>
        </is>
      </c>
      <c r="D4" s="51" t="inlineStr">
        <is>
          <t>Down hours (h)</t>
        </is>
      </c>
      <c r="E4" s="51" t="inlineStr">
        <is>
          <t>Operating hours (h)</t>
        </is>
      </c>
      <c r="F4" s="51" t="inlineStr">
        <is>
          <t>Comments</t>
        </is>
      </c>
      <c r="G4" s="51" t="inlineStr">
        <is>
          <t>Calendar hours (h)</t>
        </is>
      </c>
      <c r="H4" s="51" t="inlineStr">
        <is>
          <t>Available hours (h)</t>
        </is>
      </c>
      <c r="I4" s="51" t="inlineStr">
        <is>
          <t>Availability (%)</t>
        </is>
      </c>
      <c r="J4" s="51" t="inlineStr">
        <is>
          <t>Utilisation (%)</t>
        </is>
      </c>
    </row>
    <row r="5">
      <c r="A5" s="52" t="inlineStr">
        <is>
          <t>Date</t>
        </is>
      </c>
      <c r="B5" s="52" t="inlineStr">
        <is>
          <t>Equipment_Class</t>
        </is>
      </c>
      <c r="C5" s="52" t="inlineStr">
        <is>
          <t>Units</t>
        </is>
      </c>
      <c r="D5" s="52" t="inlineStr">
        <is>
          <t>Down_h</t>
        </is>
      </c>
      <c r="E5" s="52" t="inlineStr">
        <is>
          <t>Operating_h</t>
        </is>
      </c>
      <c r="F5" s="52" t="inlineStr">
        <is>
          <t>Comments</t>
        </is>
      </c>
      <c r="G5" s="53" t="inlineStr">
        <is>
          <t>Calendar_h</t>
        </is>
      </c>
      <c r="H5" s="53" t="inlineStr">
        <is>
          <t>Available_h</t>
        </is>
      </c>
      <c r="I5" s="53" t="inlineStr">
        <is>
          <t>Availability_pct</t>
        </is>
      </c>
      <c r="J5" s="53" t="inlineStr">
        <is>
          <t>Utilisation_pct</t>
        </is>
      </c>
    </row>
    <row r="6">
      <c r="A6" s="54" t="n"/>
      <c r="B6" s="61" t="n"/>
      <c r="C6" s="62" t="n"/>
      <c r="D6" s="57" t="n"/>
      <c r="E6" s="57" t="n"/>
      <c r="F6" s="58" t="n"/>
      <c r="G6" s="66">
        <f>IF(tblFleet[[#This Row],[Units]]="","",tblFleet[[#This Row],[Units]]*24)</f>
        <v/>
      </c>
      <c r="H6" s="66">
        <f>IF(tblFleet[[#This Row],[Units]]="","",tblFleet[[#This Row],[Calendar_h]]-tblFleet[[#This Row],[Down_h]])</f>
        <v/>
      </c>
      <c r="I6" s="60">
        <f>IF(AND(tblFleet[[#This Row],[Units]]&lt;&gt;"",tblFleet[[#This Row],[Calendar_h]]&gt;0),tblFleet[[#This Row],[Available_h]]/tblFleet[[#This Row],[Calendar_h]],"")</f>
        <v/>
      </c>
      <c r="J6" s="60">
        <f>IF(AND(tblFleet[[#This Row],[Units]]&lt;&gt;"",tblFleet[[#This Row],[Available_h]]&gt;0),tblFleet[[#This Row],[Operating_h]]/tblFleet[[#This Row],[Available_h]],"")</f>
        <v/>
      </c>
    </row>
    <row r="7">
      <c r="A7" s="54" t="n"/>
      <c r="B7" s="61" t="n"/>
      <c r="C7" s="62" t="n"/>
      <c r="D7" s="57" t="n"/>
      <c r="E7" s="57" t="n"/>
      <c r="F7" s="58" t="n"/>
      <c r="G7" s="66">
        <f>IF(tblFleet[[#This Row],[Units]]="","",tblFleet[[#This Row],[Units]]*24)</f>
        <v/>
      </c>
      <c r="H7" s="66">
        <f>IF(tblFleet[[#This Row],[Units]]="","",tblFleet[[#This Row],[Calendar_h]]-tblFleet[[#This Row],[Down_h]])</f>
        <v/>
      </c>
      <c r="I7" s="60">
        <f>IF(AND(tblFleet[[#This Row],[Units]]&lt;&gt;"",tblFleet[[#This Row],[Calendar_h]]&gt;0),tblFleet[[#This Row],[Available_h]]/tblFleet[[#This Row],[Calendar_h]],"")</f>
        <v/>
      </c>
      <c r="J7" s="60">
        <f>IF(AND(tblFleet[[#This Row],[Units]]&lt;&gt;"",tblFleet[[#This Row],[Available_h]]&gt;0),tblFleet[[#This Row],[Operating_h]]/tblFleet[[#This Row],[Available_h]],"")</f>
        <v/>
      </c>
    </row>
    <row r="8">
      <c r="A8" s="54" t="n"/>
      <c r="B8" s="61" t="n"/>
      <c r="C8" s="62" t="n"/>
      <c r="D8" s="57" t="n"/>
      <c r="E8" s="57" t="n"/>
      <c r="F8" s="58" t="n"/>
      <c r="G8" s="66">
        <f>IF(tblFleet[[#This Row],[Units]]="","",tblFleet[[#This Row],[Units]]*24)</f>
        <v/>
      </c>
      <c r="H8" s="66">
        <f>IF(tblFleet[[#This Row],[Units]]="","",tblFleet[[#This Row],[Calendar_h]]-tblFleet[[#This Row],[Down_h]])</f>
        <v/>
      </c>
      <c r="I8" s="60">
        <f>IF(AND(tblFleet[[#This Row],[Units]]&lt;&gt;"",tblFleet[[#This Row],[Calendar_h]]&gt;0),tblFleet[[#This Row],[Available_h]]/tblFleet[[#This Row],[Calendar_h]],"")</f>
        <v/>
      </c>
      <c r="J8" s="60">
        <f>IF(AND(tblFleet[[#This Row],[Units]]&lt;&gt;"",tblFleet[[#This Row],[Available_h]]&gt;0),tblFleet[[#This Row],[Operating_h]]/tblFleet[[#This Row],[Available_h]],"")</f>
        <v/>
      </c>
    </row>
    <row r="9">
      <c r="A9" s="54" t="n"/>
      <c r="B9" s="61" t="n"/>
      <c r="C9" s="62" t="n"/>
      <c r="D9" s="57" t="n"/>
      <c r="E9" s="57" t="n"/>
      <c r="F9" s="58" t="n"/>
      <c r="G9" s="66">
        <f>IF(tblFleet[[#This Row],[Units]]="","",tblFleet[[#This Row],[Units]]*24)</f>
        <v/>
      </c>
      <c r="H9" s="66">
        <f>IF(tblFleet[[#This Row],[Units]]="","",tblFleet[[#This Row],[Calendar_h]]-tblFleet[[#This Row],[Down_h]])</f>
        <v/>
      </c>
      <c r="I9" s="60">
        <f>IF(AND(tblFleet[[#This Row],[Units]]&lt;&gt;"",tblFleet[[#This Row],[Calendar_h]]&gt;0),tblFleet[[#This Row],[Available_h]]/tblFleet[[#This Row],[Calendar_h]],"")</f>
        <v/>
      </c>
      <c r="J9" s="60">
        <f>IF(AND(tblFleet[[#This Row],[Units]]&lt;&gt;"",tblFleet[[#This Row],[Available_h]]&gt;0),tblFleet[[#This Row],[Operating_h]]/tblFleet[[#This Row],[Available_h]],"")</f>
        <v/>
      </c>
    </row>
    <row r="10">
      <c r="A10" s="54" t="n"/>
      <c r="B10" s="61" t="n"/>
      <c r="C10" s="62" t="n"/>
      <c r="D10" s="57" t="n"/>
      <c r="E10" s="57" t="n"/>
      <c r="F10" s="58" t="n"/>
      <c r="G10" s="66">
        <f>IF(tblFleet[[#This Row],[Units]]="","",tblFleet[[#This Row],[Units]]*24)</f>
        <v/>
      </c>
      <c r="H10" s="66">
        <f>IF(tblFleet[[#This Row],[Units]]="","",tblFleet[[#This Row],[Calendar_h]]-tblFleet[[#This Row],[Down_h]])</f>
        <v/>
      </c>
      <c r="I10" s="60">
        <f>IF(AND(tblFleet[[#This Row],[Units]]&lt;&gt;"",tblFleet[[#This Row],[Calendar_h]]&gt;0),tblFleet[[#This Row],[Available_h]]/tblFleet[[#This Row],[Calendar_h]],"")</f>
        <v/>
      </c>
      <c r="J10" s="60">
        <f>IF(AND(tblFleet[[#This Row],[Units]]&lt;&gt;"",tblFleet[[#This Row],[Available_h]]&gt;0),tblFleet[[#This Row],[Operating_h]]/tblFleet[[#This Row],[Available_h]],"")</f>
        <v/>
      </c>
    </row>
    <row r="11">
      <c r="A11" s="54" t="n"/>
      <c r="B11" s="61" t="n"/>
      <c r="C11" s="62" t="n"/>
      <c r="D11" s="57" t="n"/>
      <c r="E11" s="57" t="n"/>
      <c r="F11" s="58" t="n"/>
      <c r="G11" s="66">
        <f>IF(tblFleet[[#This Row],[Units]]="","",tblFleet[[#This Row],[Units]]*24)</f>
        <v/>
      </c>
      <c r="H11" s="66">
        <f>IF(tblFleet[[#This Row],[Units]]="","",tblFleet[[#This Row],[Calendar_h]]-tblFleet[[#This Row],[Down_h]])</f>
        <v/>
      </c>
      <c r="I11" s="60">
        <f>IF(AND(tblFleet[[#This Row],[Units]]&lt;&gt;"",tblFleet[[#This Row],[Calendar_h]]&gt;0),tblFleet[[#This Row],[Available_h]]/tblFleet[[#This Row],[Calendar_h]],"")</f>
        <v/>
      </c>
      <c r="J11" s="60">
        <f>IF(AND(tblFleet[[#This Row],[Units]]&lt;&gt;"",tblFleet[[#This Row],[Available_h]]&gt;0),tblFleet[[#This Row],[Operating_h]]/tblFleet[[#This Row],[Available_h]],"")</f>
        <v/>
      </c>
    </row>
    <row r="12">
      <c r="A12" s="54" t="n"/>
      <c r="B12" s="61" t="n"/>
      <c r="C12" s="62" t="n"/>
      <c r="D12" s="57" t="n"/>
      <c r="E12" s="57" t="n"/>
      <c r="F12" s="58" t="n"/>
      <c r="G12" s="66">
        <f>IF(tblFleet[[#This Row],[Units]]="","",tblFleet[[#This Row],[Units]]*24)</f>
        <v/>
      </c>
      <c r="H12" s="66">
        <f>IF(tblFleet[[#This Row],[Units]]="","",tblFleet[[#This Row],[Calendar_h]]-tblFleet[[#This Row],[Down_h]])</f>
        <v/>
      </c>
      <c r="I12" s="60">
        <f>IF(AND(tblFleet[[#This Row],[Units]]&lt;&gt;"",tblFleet[[#This Row],[Calendar_h]]&gt;0),tblFleet[[#This Row],[Available_h]]/tblFleet[[#This Row],[Calendar_h]],"")</f>
        <v/>
      </c>
      <c r="J12" s="60">
        <f>IF(AND(tblFleet[[#This Row],[Units]]&lt;&gt;"",tblFleet[[#This Row],[Available_h]]&gt;0),tblFleet[[#This Row],[Operating_h]]/tblFleet[[#This Row],[Available_h]],"")</f>
        <v/>
      </c>
    </row>
    <row r="13">
      <c r="A13" s="54" t="n"/>
      <c r="B13" s="61" t="n"/>
      <c r="C13" s="62" t="n"/>
      <c r="D13" s="57" t="n"/>
      <c r="E13" s="57" t="n"/>
      <c r="F13" s="58" t="n"/>
      <c r="G13" s="66">
        <f>IF(tblFleet[[#This Row],[Units]]="","",tblFleet[[#This Row],[Units]]*24)</f>
        <v/>
      </c>
      <c r="H13" s="66">
        <f>IF(tblFleet[[#This Row],[Units]]="","",tblFleet[[#This Row],[Calendar_h]]-tblFleet[[#This Row],[Down_h]])</f>
        <v/>
      </c>
      <c r="I13" s="60">
        <f>IF(AND(tblFleet[[#This Row],[Units]]&lt;&gt;"",tblFleet[[#This Row],[Calendar_h]]&gt;0),tblFleet[[#This Row],[Available_h]]/tblFleet[[#This Row],[Calendar_h]],"")</f>
        <v/>
      </c>
      <c r="J13" s="60">
        <f>IF(AND(tblFleet[[#This Row],[Units]]&lt;&gt;"",tblFleet[[#This Row],[Available_h]]&gt;0),tblFleet[[#This Row],[Operating_h]]/tblFleet[[#This Row],[Available_h]],"")</f>
        <v/>
      </c>
    </row>
    <row r="14">
      <c r="A14" s="54" t="n"/>
      <c r="B14" s="61" t="n"/>
      <c r="C14" s="62" t="n"/>
      <c r="D14" s="57" t="n"/>
      <c r="E14" s="57" t="n"/>
      <c r="F14" s="58" t="n"/>
      <c r="G14" s="66">
        <f>IF(tblFleet[[#This Row],[Units]]="","",tblFleet[[#This Row],[Units]]*24)</f>
        <v/>
      </c>
      <c r="H14" s="66">
        <f>IF(tblFleet[[#This Row],[Units]]="","",tblFleet[[#This Row],[Calendar_h]]-tblFleet[[#This Row],[Down_h]])</f>
        <v/>
      </c>
      <c r="I14" s="60">
        <f>IF(AND(tblFleet[[#This Row],[Units]]&lt;&gt;"",tblFleet[[#This Row],[Calendar_h]]&gt;0),tblFleet[[#This Row],[Available_h]]/tblFleet[[#This Row],[Calendar_h]],"")</f>
        <v/>
      </c>
      <c r="J14" s="60">
        <f>IF(AND(tblFleet[[#This Row],[Units]]&lt;&gt;"",tblFleet[[#This Row],[Available_h]]&gt;0),tblFleet[[#This Row],[Operating_h]]/tblFleet[[#This Row],[Available_h]],"")</f>
        <v/>
      </c>
    </row>
    <row r="15">
      <c r="A15" s="54" t="n"/>
      <c r="B15" s="61" t="n"/>
      <c r="C15" s="62" t="n"/>
      <c r="D15" s="57" t="n"/>
      <c r="E15" s="57" t="n"/>
      <c r="F15" s="58" t="n"/>
      <c r="G15" s="66">
        <f>IF(tblFleet[[#This Row],[Units]]="","",tblFleet[[#This Row],[Units]]*24)</f>
        <v/>
      </c>
      <c r="H15" s="66">
        <f>IF(tblFleet[[#This Row],[Units]]="","",tblFleet[[#This Row],[Calendar_h]]-tblFleet[[#This Row],[Down_h]])</f>
        <v/>
      </c>
      <c r="I15" s="60">
        <f>IF(AND(tblFleet[[#This Row],[Units]]&lt;&gt;"",tblFleet[[#This Row],[Calendar_h]]&gt;0),tblFleet[[#This Row],[Available_h]]/tblFleet[[#This Row],[Calendar_h]],"")</f>
        <v/>
      </c>
      <c r="J15" s="60">
        <f>IF(AND(tblFleet[[#This Row],[Units]]&lt;&gt;"",tblFleet[[#This Row],[Available_h]]&gt;0),tblFleet[[#This Row],[Operating_h]]/tblFleet[[#This Row],[Available_h]],"")</f>
        <v/>
      </c>
    </row>
    <row r="16">
      <c r="A16" s="54" t="n"/>
      <c r="B16" s="61" t="n"/>
      <c r="C16" s="62" t="n"/>
      <c r="D16" s="57" t="n"/>
      <c r="E16" s="57" t="n"/>
      <c r="F16" s="58" t="n"/>
      <c r="G16" s="66">
        <f>IF(tblFleet[[#This Row],[Units]]="","",tblFleet[[#This Row],[Units]]*24)</f>
        <v/>
      </c>
      <c r="H16" s="66">
        <f>IF(tblFleet[[#This Row],[Units]]="","",tblFleet[[#This Row],[Calendar_h]]-tblFleet[[#This Row],[Down_h]])</f>
        <v/>
      </c>
      <c r="I16" s="60">
        <f>IF(AND(tblFleet[[#This Row],[Units]]&lt;&gt;"",tblFleet[[#This Row],[Calendar_h]]&gt;0),tblFleet[[#This Row],[Available_h]]/tblFleet[[#This Row],[Calendar_h]],"")</f>
        <v/>
      </c>
      <c r="J16" s="60">
        <f>IF(AND(tblFleet[[#This Row],[Units]]&lt;&gt;"",tblFleet[[#This Row],[Available_h]]&gt;0),tblFleet[[#This Row],[Operating_h]]/tblFleet[[#This Row],[Available_h]],"")</f>
        <v/>
      </c>
    </row>
    <row r="17">
      <c r="A17" s="54" t="n"/>
      <c r="B17" s="61" t="n"/>
      <c r="C17" s="62" t="n"/>
      <c r="D17" s="57" t="n"/>
      <c r="E17" s="57" t="n"/>
      <c r="F17" s="58" t="n"/>
      <c r="G17" s="66">
        <f>IF(tblFleet[[#This Row],[Units]]="","",tblFleet[[#This Row],[Units]]*24)</f>
        <v/>
      </c>
      <c r="H17" s="66">
        <f>IF(tblFleet[[#This Row],[Units]]="","",tblFleet[[#This Row],[Calendar_h]]-tblFleet[[#This Row],[Down_h]])</f>
        <v/>
      </c>
      <c r="I17" s="60">
        <f>IF(AND(tblFleet[[#This Row],[Units]]&lt;&gt;"",tblFleet[[#This Row],[Calendar_h]]&gt;0),tblFleet[[#This Row],[Available_h]]/tblFleet[[#This Row],[Calendar_h]],"")</f>
        <v/>
      </c>
      <c r="J17" s="60">
        <f>IF(AND(tblFleet[[#This Row],[Units]]&lt;&gt;"",tblFleet[[#This Row],[Available_h]]&gt;0),tblFleet[[#This Row],[Operating_h]]/tblFleet[[#This Row],[Available_h]],"")</f>
        <v/>
      </c>
    </row>
    <row r="18">
      <c r="A18" s="54" t="n"/>
      <c r="B18" s="61" t="n"/>
      <c r="C18" s="62" t="n"/>
      <c r="D18" s="57" t="n"/>
      <c r="E18" s="57" t="n"/>
      <c r="F18" s="58" t="n"/>
      <c r="G18" s="66">
        <f>IF(tblFleet[[#This Row],[Units]]="","",tblFleet[[#This Row],[Units]]*24)</f>
        <v/>
      </c>
      <c r="H18" s="66">
        <f>IF(tblFleet[[#This Row],[Units]]="","",tblFleet[[#This Row],[Calendar_h]]-tblFleet[[#This Row],[Down_h]])</f>
        <v/>
      </c>
      <c r="I18" s="60">
        <f>IF(AND(tblFleet[[#This Row],[Units]]&lt;&gt;"",tblFleet[[#This Row],[Calendar_h]]&gt;0),tblFleet[[#This Row],[Available_h]]/tblFleet[[#This Row],[Calendar_h]],"")</f>
        <v/>
      </c>
      <c r="J18" s="60">
        <f>IF(AND(tblFleet[[#This Row],[Units]]&lt;&gt;"",tblFleet[[#This Row],[Available_h]]&gt;0),tblFleet[[#This Row],[Operating_h]]/tblFleet[[#This Row],[Available_h]],"")</f>
        <v/>
      </c>
    </row>
    <row r="19">
      <c r="A19" s="54" t="n"/>
      <c r="B19" s="61" t="n"/>
      <c r="C19" s="62" t="n"/>
      <c r="D19" s="57" t="n"/>
      <c r="E19" s="57" t="n"/>
      <c r="F19" s="58" t="n"/>
      <c r="G19" s="66">
        <f>IF(tblFleet[[#This Row],[Units]]="","",tblFleet[[#This Row],[Units]]*24)</f>
        <v/>
      </c>
      <c r="H19" s="66">
        <f>IF(tblFleet[[#This Row],[Units]]="","",tblFleet[[#This Row],[Calendar_h]]-tblFleet[[#This Row],[Down_h]])</f>
        <v/>
      </c>
      <c r="I19" s="60">
        <f>IF(AND(tblFleet[[#This Row],[Units]]&lt;&gt;"",tblFleet[[#This Row],[Calendar_h]]&gt;0),tblFleet[[#This Row],[Available_h]]/tblFleet[[#This Row],[Calendar_h]],"")</f>
        <v/>
      </c>
      <c r="J19" s="60">
        <f>IF(AND(tblFleet[[#This Row],[Units]]&lt;&gt;"",tblFleet[[#This Row],[Available_h]]&gt;0),tblFleet[[#This Row],[Operating_h]]/tblFleet[[#This Row],[Available_h]],"")</f>
        <v/>
      </c>
    </row>
    <row r="20">
      <c r="A20" s="54" t="n"/>
      <c r="B20" s="61" t="n"/>
      <c r="C20" s="62" t="n"/>
      <c r="D20" s="57" t="n"/>
      <c r="E20" s="57" t="n"/>
      <c r="F20" s="58" t="n"/>
      <c r="G20" s="66">
        <f>IF(tblFleet[[#This Row],[Units]]="","",tblFleet[[#This Row],[Units]]*24)</f>
        <v/>
      </c>
      <c r="H20" s="66">
        <f>IF(tblFleet[[#This Row],[Units]]="","",tblFleet[[#This Row],[Calendar_h]]-tblFleet[[#This Row],[Down_h]])</f>
        <v/>
      </c>
      <c r="I20" s="60">
        <f>IF(AND(tblFleet[[#This Row],[Units]]&lt;&gt;"",tblFleet[[#This Row],[Calendar_h]]&gt;0),tblFleet[[#This Row],[Available_h]]/tblFleet[[#This Row],[Calendar_h]],"")</f>
        <v/>
      </c>
      <c r="J20" s="60">
        <f>IF(AND(tblFleet[[#This Row],[Units]]&lt;&gt;"",tblFleet[[#This Row],[Available_h]]&gt;0),tblFleet[[#This Row],[Operating_h]]/tblFleet[[#This Row],[Available_h]],"")</f>
        <v/>
      </c>
    </row>
    <row r="21">
      <c r="A21" s="54" t="n"/>
      <c r="B21" s="61" t="n"/>
      <c r="C21" s="62" t="n"/>
      <c r="D21" s="57" t="n"/>
      <c r="E21" s="57" t="n"/>
      <c r="F21" s="58" t="n"/>
      <c r="G21" s="66">
        <f>IF(tblFleet[[#This Row],[Units]]="","",tblFleet[[#This Row],[Units]]*24)</f>
        <v/>
      </c>
      <c r="H21" s="66">
        <f>IF(tblFleet[[#This Row],[Units]]="","",tblFleet[[#This Row],[Calendar_h]]-tblFleet[[#This Row],[Down_h]])</f>
        <v/>
      </c>
      <c r="I21" s="60">
        <f>IF(AND(tblFleet[[#This Row],[Units]]&lt;&gt;"",tblFleet[[#This Row],[Calendar_h]]&gt;0),tblFleet[[#This Row],[Available_h]]/tblFleet[[#This Row],[Calendar_h]],"")</f>
        <v/>
      </c>
      <c r="J21" s="60">
        <f>IF(AND(tblFleet[[#This Row],[Units]]&lt;&gt;"",tblFleet[[#This Row],[Available_h]]&gt;0),tblFleet[[#This Row],[Operating_h]]/tblFleet[[#This Row],[Available_h]],"")</f>
        <v/>
      </c>
    </row>
    <row r="22">
      <c r="A22" s="54" t="n"/>
      <c r="B22" s="61" t="n"/>
      <c r="C22" s="62" t="n"/>
      <c r="D22" s="57" t="n"/>
      <c r="E22" s="57" t="n"/>
      <c r="F22" s="58" t="n"/>
      <c r="G22" s="66">
        <f>IF(tblFleet[[#This Row],[Units]]="","",tblFleet[[#This Row],[Units]]*24)</f>
        <v/>
      </c>
      <c r="H22" s="66">
        <f>IF(tblFleet[[#This Row],[Units]]="","",tblFleet[[#This Row],[Calendar_h]]-tblFleet[[#This Row],[Down_h]])</f>
        <v/>
      </c>
      <c r="I22" s="60">
        <f>IF(AND(tblFleet[[#This Row],[Units]]&lt;&gt;"",tblFleet[[#This Row],[Calendar_h]]&gt;0),tblFleet[[#This Row],[Available_h]]/tblFleet[[#This Row],[Calendar_h]],"")</f>
        <v/>
      </c>
      <c r="J22" s="60">
        <f>IF(AND(tblFleet[[#This Row],[Units]]&lt;&gt;"",tblFleet[[#This Row],[Available_h]]&gt;0),tblFleet[[#This Row],[Operating_h]]/tblFleet[[#This Row],[Available_h]],"")</f>
        <v/>
      </c>
    </row>
    <row r="23">
      <c r="A23" s="54" t="n"/>
      <c r="B23" s="61" t="n"/>
      <c r="C23" s="62" t="n"/>
      <c r="D23" s="57" t="n"/>
      <c r="E23" s="57" t="n"/>
      <c r="F23" s="58" t="n"/>
      <c r="G23" s="66">
        <f>IF(tblFleet[[#This Row],[Units]]="","",tblFleet[[#This Row],[Units]]*24)</f>
        <v/>
      </c>
      <c r="H23" s="66">
        <f>IF(tblFleet[[#This Row],[Units]]="","",tblFleet[[#This Row],[Calendar_h]]-tblFleet[[#This Row],[Down_h]])</f>
        <v/>
      </c>
      <c r="I23" s="60">
        <f>IF(AND(tblFleet[[#This Row],[Units]]&lt;&gt;"",tblFleet[[#This Row],[Calendar_h]]&gt;0),tblFleet[[#This Row],[Available_h]]/tblFleet[[#This Row],[Calendar_h]],"")</f>
        <v/>
      </c>
      <c r="J23" s="60">
        <f>IF(AND(tblFleet[[#This Row],[Units]]&lt;&gt;"",tblFleet[[#This Row],[Available_h]]&gt;0),tblFleet[[#This Row],[Operating_h]]/tblFleet[[#This Row],[Available_h]],"")</f>
        <v/>
      </c>
    </row>
    <row r="24">
      <c r="A24" s="54" t="n"/>
      <c r="B24" s="61" t="n"/>
      <c r="C24" s="62" t="n"/>
      <c r="D24" s="57" t="n"/>
      <c r="E24" s="57" t="n"/>
      <c r="F24" s="58" t="n"/>
      <c r="G24" s="66">
        <f>IF(tblFleet[[#This Row],[Units]]="","",tblFleet[[#This Row],[Units]]*24)</f>
        <v/>
      </c>
      <c r="H24" s="66">
        <f>IF(tblFleet[[#This Row],[Units]]="","",tblFleet[[#This Row],[Calendar_h]]-tblFleet[[#This Row],[Down_h]])</f>
        <v/>
      </c>
      <c r="I24" s="60">
        <f>IF(AND(tblFleet[[#This Row],[Units]]&lt;&gt;"",tblFleet[[#This Row],[Calendar_h]]&gt;0),tblFleet[[#This Row],[Available_h]]/tblFleet[[#This Row],[Calendar_h]],"")</f>
        <v/>
      </c>
      <c r="J24" s="60">
        <f>IF(AND(tblFleet[[#This Row],[Units]]&lt;&gt;"",tblFleet[[#This Row],[Available_h]]&gt;0),tblFleet[[#This Row],[Operating_h]]/tblFleet[[#This Row],[Available_h]],"")</f>
        <v/>
      </c>
    </row>
    <row r="25">
      <c r="A25" s="54" t="n"/>
      <c r="B25" s="61" t="n"/>
      <c r="C25" s="62" t="n"/>
      <c r="D25" s="57" t="n"/>
      <c r="E25" s="57" t="n"/>
      <c r="F25" s="58" t="n"/>
      <c r="G25" s="66">
        <f>IF(tblFleet[[#This Row],[Units]]="","",tblFleet[[#This Row],[Units]]*24)</f>
        <v/>
      </c>
      <c r="H25" s="66">
        <f>IF(tblFleet[[#This Row],[Units]]="","",tblFleet[[#This Row],[Calendar_h]]-tblFleet[[#This Row],[Down_h]])</f>
        <v/>
      </c>
      <c r="I25" s="60">
        <f>IF(AND(tblFleet[[#This Row],[Units]]&lt;&gt;"",tblFleet[[#This Row],[Calendar_h]]&gt;0),tblFleet[[#This Row],[Available_h]]/tblFleet[[#This Row],[Calendar_h]],"")</f>
        <v/>
      </c>
      <c r="J25" s="60">
        <f>IF(AND(tblFleet[[#This Row],[Units]]&lt;&gt;"",tblFleet[[#This Row],[Available_h]]&gt;0),tblFleet[[#This Row],[Operating_h]]/tblFleet[[#This Row],[Available_h]],"")</f>
        <v/>
      </c>
    </row>
    <row r="26">
      <c r="A26" s="54" t="n"/>
      <c r="B26" s="61" t="n"/>
      <c r="C26" s="62" t="n"/>
      <c r="D26" s="57" t="n"/>
      <c r="E26" s="57" t="n"/>
      <c r="F26" s="58" t="n"/>
      <c r="G26" s="66">
        <f>IF(tblFleet[[#This Row],[Units]]="","",tblFleet[[#This Row],[Units]]*24)</f>
        <v/>
      </c>
      <c r="H26" s="66">
        <f>IF(tblFleet[[#This Row],[Units]]="","",tblFleet[[#This Row],[Calendar_h]]-tblFleet[[#This Row],[Down_h]])</f>
        <v/>
      </c>
      <c r="I26" s="60">
        <f>IF(AND(tblFleet[[#This Row],[Units]]&lt;&gt;"",tblFleet[[#This Row],[Calendar_h]]&gt;0),tblFleet[[#This Row],[Available_h]]/tblFleet[[#This Row],[Calendar_h]],"")</f>
        <v/>
      </c>
      <c r="J26" s="60">
        <f>IF(AND(tblFleet[[#This Row],[Units]]&lt;&gt;"",tblFleet[[#This Row],[Available_h]]&gt;0),tblFleet[[#This Row],[Operating_h]]/tblFleet[[#This Row],[Available_h]],"")</f>
        <v/>
      </c>
    </row>
    <row r="27">
      <c r="A27" s="54" t="n"/>
      <c r="B27" s="61" t="n"/>
      <c r="C27" s="62" t="n"/>
      <c r="D27" s="57" t="n"/>
      <c r="E27" s="57" t="n"/>
      <c r="F27" s="58" t="n"/>
      <c r="G27" s="66">
        <f>IF(tblFleet[[#This Row],[Units]]="","",tblFleet[[#This Row],[Units]]*24)</f>
        <v/>
      </c>
      <c r="H27" s="66">
        <f>IF(tblFleet[[#This Row],[Units]]="","",tblFleet[[#This Row],[Calendar_h]]-tblFleet[[#This Row],[Down_h]])</f>
        <v/>
      </c>
      <c r="I27" s="60">
        <f>IF(AND(tblFleet[[#This Row],[Units]]&lt;&gt;"",tblFleet[[#This Row],[Calendar_h]]&gt;0),tblFleet[[#This Row],[Available_h]]/tblFleet[[#This Row],[Calendar_h]],"")</f>
        <v/>
      </c>
      <c r="J27" s="60">
        <f>IF(AND(tblFleet[[#This Row],[Units]]&lt;&gt;"",tblFleet[[#This Row],[Available_h]]&gt;0),tblFleet[[#This Row],[Operating_h]]/tblFleet[[#This Row],[Available_h]],"")</f>
        <v/>
      </c>
    </row>
    <row r="28">
      <c r="A28" s="54" t="n"/>
      <c r="B28" s="61" t="n"/>
      <c r="C28" s="62" t="n"/>
      <c r="D28" s="57" t="n"/>
      <c r="E28" s="57" t="n"/>
      <c r="F28" s="58" t="n"/>
      <c r="G28" s="66">
        <f>IF(tblFleet[[#This Row],[Units]]="","",tblFleet[[#This Row],[Units]]*24)</f>
        <v/>
      </c>
      <c r="H28" s="66">
        <f>IF(tblFleet[[#This Row],[Units]]="","",tblFleet[[#This Row],[Calendar_h]]-tblFleet[[#This Row],[Down_h]])</f>
        <v/>
      </c>
      <c r="I28" s="60">
        <f>IF(AND(tblFleet[[#This Row],[Units]]&lt;&gt;"",tblFleet[[#This Row],[Calendar_h]]&gt;0),tblFleet[[#This Row],[Available_h]]/tblFleet[[#This Row],[Calendar_h]],"")</f>
        <v/>
      </c>
      <c r="J28" s="60">
        <f>IF(AND(tblFleet[[#This Row],[Units]]&lt;&gt;"",tblFleet[[#This Row],[Available_h]]&gt;0),tblFleet[[#This Row],[Operating_h]]/tblFleet[[#This Row],[Available_h]],"")</f>
        <v/>
      </c>
    </row>
    <row r="29">
      <c r="A29" s="54" t="n"/>
      <c r="B29" s="61" t="n"/>
      <c r="C29" s="62" t="n"/>
      <c r="D29" s="57" t="n"/>
      <c r="E29" s="57" t="n"/>
      <c r="F29" s="58" t="n"/>
      <c r="G29" s="66">
        <f>IF(tblFleet[[#This Row],[Units]]="","",tblFleet[[#This Row],[Units]]*24)</f>
        <v/>
      </c>
      <c r="H29" s="66">
        <f>IF(tblFleet[[#This Row],[Units]]="","",tblFleet[[#This Row],[Calendar_h]]-tblFleet[[#This Row],[Down_h]])</f>
        <v/>
      </c>
      <c r="I29" s="60">
        <f>IF(AND(tblFleet[[#This Row],[Units]]&lt;&gt;"",tblFleet[[#This Row],[Calendar_h]]&gt;0),tblFleet[[#This Row],[Available_h]]/tblFleet[[#This Row],[Calendar_h]],"")</f>
        <v/>
      </c>
      <c r="J29" s="60">
        <f>IF(AND(tblFleet[[#This Row],[Units]]&lt;&gt;"",tblFleet[[#This Row],[Available_h]]&gt;0),tblFleet[[#This Row],[Operating_h]]/tblFleet[[#This Row],[Available_h]],"")</f>
        <v/>
      </c>
    </row>
    <row r="30">
      <c r="A30" s="54" t="n"/>
      <c r="B30" s="61" t="n"/>
      <c r="C30" s="62" t="n"/>
      <c r="D30" s="57" t="n"/>
      <c r="E30" s="57" t="n"/>
      <c r="F30" s="58" t="n"/>
      <c r="G30" s="66">
        <f>IF(tblFleet[[#This Row],[Units]]="","",tblFleet[[#This Row],[Units]]*24)</f>
        <v/>
      </c>
      <c r="H30" s="66">
        <f>IF(tblFleet[[#This Row],[Units]]="","",tblFleet[[#This Row],[Calendar_h]]-tblFleet[[#This Row],[Down_h]])</f>
        <v/>
      </c>
      <c r="I30" s="60">
        <f>IF(AND(tblFleet[[#This Row],[Units]]&lt;&gt;"",tblFleet[[#This Row],[Calendar_h]]&gt;0),tblFleet[[#This Row],[Available_h]]/tblFleet[[#This Row],[Calendar_h]],"")</f>
        <v/>
      </c>
      <c r="J30" s="60">
        <f>IF(AND(tblFleet[[#This Row],[Units]]&lt;&gt;"",tblFleet[[#This Row],[Available_h]]&gt;0),tblFleet[[#This Row],[Operating_h]]/tblFleet[[#This Row],[Available_h]],"")</f>
        <v/>
      </c>
    </row>
    <row r="31">
      <c r="A31" s="54" t="n"/>
      <c r="B31" s="61" t="n"/>
      <c r="C31" s="62" t="n"/>
      <c r="D31" s="57" t="n"/>
      <c r="E31" s="57" t="n"/>
      <c r="F31" s="58" t="n"/>
      <c r="G31" s="66">
        <f>IF(tblFleet[[#This Row],[Units]]="","",tblFleet[[#This Row],[Units]]*24)</f>
        <v/>
      </c>
      <c r="H31" s="66">
        <f>IF(tblFleet[[#This Row],[Units]]="","",tblFleet[[#This Row],[Calendar_h]]-tblFleet[[#This Row],[Down_h]])</f>
        <v/>
      </c>
      <c r="I31" s="60">
        <f>IF(AND(tblFleet[[#This Row],[Units]]&lt;&gt;"",tblFleet[[#This Row],[Calendar_h]]&gt;0),tblFleet[[#This Row],[Available_h]]/tblFleet[[#This Row],[Calendar_h]],"")</f>
        <v/>
      </c>
      <c r="J31" s="60">
        <f>IF(AND(tblFleet[[#This Row],[Units]]&lt;&gt;"",tblFleet[[#This Row],[Available_h]]&gt;0),tblFleet[[#This Row],[Operating_h]]/tblFleet[[#This Row],[Available_h]],"")</f>
        <v/>
      </c>
    </row>
    <row r="32">
      <c r="A32" s="54" t="n"/>
      <c r="B32" s="61" t="n"/>
      <c r="C32" s="62" t="n"/>
      <c r="D32" s="57" t="n"/>
      <c r="E32" s="57" t="n"/>
      <c r="F32" s="58" t="n"/>
      <c r="G32" s="66">
        <f>IF(tblFleet[[#This Row],[Units]]="","",tblFleet[[#This Row],[Units]]*24)</f>
        <v/>
      </c>
      <c r="H32" s="66">
        <f>IF(tblFleet[[#This Row],[Units]]="","",tblFleet[[#This Row],[Calendar_h]]-tblFleet[[#This Row],[Down_h]])</f>
        <v/>
      </c>
      <c r="I32" s="60">
        <f>IF(AND(tblFleet[[#This Row],[Units]]&lt;&gt;"",tblFleet[[#This Row],[Calendar_h]]&gt;0),tblFleet[[#This Row],[Available_h]]/tblFleet[[#This Row],[Calendar_h]],"")</f>
        <v/>
      </c>
      <c r="J32" s="60">
        <f>IF(AND(tblFleet[[#This Row],[Units]]&lt;&gt;"",tblFleet[[#This Row],[Available_h]]&gt;0),tblFleet[[#This Row],[Operating_h]]/tblFleet[[#This Row],[Available_h]],"")</f>
        <v/>
      </c>
    </row>
    <row r="33">
      <c r="A33" s="54" t="n"/>
      <c r="B33" s="61" t="n"/>
      <c r="C33" s="62" t="n"/>
      <c r="D33" s="57" t="n"/>
      <c r="E33" s="57" t="n"/>
      <c r="F33" s="58" t="n"/>
      <c r="G33" s="66">
        <f>IF(tblFleet[[#This Row],[Units]]="","",tblFleet[[#This Row],[Units]]*24)</f>
        <v/>
      </c>
      <c r="H33" s="66">
        <f>IF(tblFleet[[#This Row],[Units]]="","",tblFleet[[#This Row],[Calendar_h]]-tblFleet[[#This Row],[Down_h]])</f>
        <v/>
      </c>
      <c r="I33" s="60">
        <f>IF(AND(tblFleet[[#This Row],[Units]]&lt;&gt;"",tblFleet[[#This Row],[Calendar_h]]&gt;0),tblFleet[[#This Row],[Available_h]]/tblFleet[[#This Row],[Calendar_h]],"")</f>
        <v/>
      </c>
      <c r="J33" s="60">
        <f>IF(AND(tblFleet[[#This Row],[Units]]&lt;&gt;"",tblFleet[[#This Row],[Available_h]]&gt;0),tblFleet[[#This Row],[Operating_h]]/tblFleet[[#This Row],[Available_h]],"")</f>
        <v/>
      </c>
    </row>
    <row r="34">
      <c r="A34" s="54" t="n"/>
      <c r="B34" s="61" t="n"/>
      <c r="C34" s="62" t="n"/>
      <c r="D34" s="57" t="n"/>
      <c r="E34" s="57" t="n"/>
      <c r="F34" s="58" t="n"/>
      <c r="G34" s="66">
        <f>IF(tblFleet[[#This Row],[Units]]="","",tblFleet[[#This Row],[Units]]*24)</f>
        <v/>
      </c>
      <c r="H34" s="66">
        <f>IF(tblFleet[[#This Row],[Units]]="","",tblFleet[[#This Row],[Calendar_h]]-tblFleet[[#This Row],[Down_h]])</f>
        <v/>
      </c>
      <c r="I34" s="60">
        <f>IF(AND(tblFleet[[#This Row],[Units]]&lt;&gt;"",tblFleet[[#This Row],[Calendar_h]]&gt;0),tblFleet[[#This Row],[Available_h]]/tblFleet[[#This Row],[Calendar_h]],"")</f>
        <v/>
      </c>
      <c r="J34" s="60">
        <f>IF(AND(tblFleet[[#This Row],[Units]]&lt;&gt;"",tblFleet[[#This Row],[Available_h]]&gt;0),tblFleet[[#This Row],[Operating_h]]/tblFleet[[#This Row],[Available_h]],"")</f>
        <v/>
      </c>
    </row>
    <row r="35">
      <c r="A35" s="54" t="n"/>
      <c r="B35" s="61" t="n"/>
      <c r="C35" s="62" t="n"/>
      <c r="D35" s="57" t="n"/>
      <c r="E35" s="57" t="n"/>
      <c r="F35" s="58" t="n"/>
      <c r="G35" s="66">
        <f>IF(tblFleet[[#This Row],[Units]]="","",tblFleet[[#This Row],[Units]]*24)</f>
        <v/>
      </c>
      <c r="H35" s="66">
        <f>IF(tblFleet[[#This Row],[Units]]="","",tblFleet[[#This Row],[Calendar_h]]-tblFleet[[#This Row],[Down_h]])</f>
        <v/>
      </c>
      <c r="I35" s="60">
        <f>IF(AND(tblFleet[[#This Row],[Units]]&lt;&gt;"",tblFleet[[#This Row],[Calendar_h]]&gt;0),tblFleet[[#This Row],[Available_h]]/tblFleet[[#This Row],[Calendar_h]],"")</f>
        <v/>
      </c>
      <c r="J35" s="60">
        <f>IF(AND(tblFleet[[#This Row],[Units]]&lt;&gt;"",tblFleet[[#This Row],[Available_h]]&gt;0),tblFleet[[#This Row],[Operating_h]]/tblFleet[[#This Row],[Available_h]],"")</f>
        <v/>
      </c>
    </row>
    <row r="36">
      <c r="A36" s="54" t="n"/>
      <c r="B36" s="61" t="n"/>
      <c r="C36" s="62" t="n"/>
      <c r="D36" s="57" t="n"/>
      <c r="E36" s="57" t="n"/>
      <c r="F36" s="58" t="n"/>
      <c r="G36" s="66">
        <f>IF(tblFleet[[#This Row],[Units]]="","",tblFleet[[#This Row],[Units]]*24)</f>
        <v/>
      </c>
      <c r="H36" s="66">
        <f>IF(tblFleet[[#This Row],[Units]]="","",tblFleet[[#This Row],[Calendar_h]]-tblFleet[[#This Row],[Down_h]])</f>
        <v/>
      </c>
      <c r="I36" s="60">
        <f>IF(AND(tblFleet[[#This Row],[Units]]&lt;&gt;"",tblFleet[[#This Row],[Calendar_h]]&gt;0),tblFleet[[#This Row],[Available_h]]/tblFleet[[#This Row],[Calendar_h]],"")</f>
        <v/>
      </c>
      <c r="J36" s="60">
        <f>IF(AND(tblFleet[[#This Row],[Units]]&lt;&gt;"",tblFleet[[#This Row],[Available_h]]&gt;0),tblFleet[[#This Row],[Operating_h]]/tblFleet[[#This Row],[Available_h]],"")</f>
        <v/>
      </c>
    </row>
    <row r="37">
      <c r="A37" s="54" t="n"/>
      <c r="B37" s="61" t="n"/>
      <c r="C37" s="62" t="n"/>
      <c r="D37" s="57" t="n"/>
      <c r="E37" s="57" t="n"/>
      <c r="F37" s="58" t="n"/>
      <c r="G37" s="66">
        <f>IF(tblFleet[[#This Row],[Units]]="","",tblFleet[[#This Row],[Units]]*24)</f>
        <v/>
      </c>
      <c r="H37" s="66">
        <f>IF(tblFleet[[#This Row],[Units]]="","",tblFleet[[#This Row],[Calendar_h]]-tblFleet[[#This Row],[Down_h]])</f>
        <v/>
      </c>
      <c r="I37" s="60">
        <f>IF(AND(tblFleet[[#This Row],[Units]]&lt;&gt;"",tblFleet[[#This Row],[Calendar_h]]&gt;0),tblFleet[[#This Row],[Available_h]]/tblFleet[[#This Row],[Calendar_h]],"")</f>
        <v/>
      </c>
      <c r="J37" s="60">
        <f>IF(AND(tblFleet[[#This Row],[Units]]&lt;&gt;"",tblFleet[[#This Row],[Available_h]]&gt;0),tblFleet[[#This Row],[Operating_h]]/tblFleet[[#This Row],[Available_h]],"")</f>
        <v/>
      </c>
    </row>
    <row r="38">
      <c r="A38" s="54" t="n"/>
      <c r="B38" s="61" t="n"/>
      <c r="C38" s="62" t="n"/>
      <c r="D38" s="57" t="n"/>
      <c r="E38" s="57" t="n"/>
      <c r="F38" s="58" t="n"/>
      <c r="G38" s="66">
        <f>IF(tblFleet[[#This Row],[Units]]="","",tblFleet[[#This Row],[Units]]*24)</f>
        <v/>
      </c>
      <c r="H38" s="66">
        <f>IF(tblFleet[[#This Row],[Units]]="","",tblFleet[[#This Row],[Calendar_h]]-tblFleet[[#This Row],[Down_h]])</f>
        <v/>
      </c>
      <c r="I38" s="60">
        <f>IF(AND(tblFleet[[#This Row],[Units]]&lt;&gt;"",tblFleet[[#This Row],[Calendar_h]]&gt;0),tblFleet[[#This Row],[Available_h]]/tblFleet[[#This Row],[Calendar_h]],"")</f>
        <v/>
      </c>
      <c r="J38" s="60">
        <f>IF(AND(tblFleet[[#This Row],[Units]]&lt;&gt;"",tblFleet[[#This Row],[Available_h]]&gt;0),tblFleet[[#This Row],[Operating_h]]/tblFleet[[#This Row],[Available_h]],"")</f>
        <v/>
      </c>
    </row>
    <row r="39">
      <c r="A39" s="54" t="n"/>
      <c r="B39" s="61" t="n"/>
      <c r="C39" s="62" t="n"/>
      <c r="D39" s="57" t="n"/>
      <c r="E39" s="57" t="n"/>
      <c r="F39" s="58" t="n"/>
      <c r="G39" s="66">
        <f>IF(tblFleet[[#This Row],[Units]]="","",tblFleet[[#This Row],[Units]]*24)</f>
        <v/>
      </c>
      <c r="H39" s="66">
        <f>IF(tblFleet[[#This Row],[Units]]="","",tblFleet[[#This Row],[Calendar_h]]-tblFleet[[#This Row],[Down_h]])</f>
        <v/>
      </c>
      <c r="I39" s="60">
        <f>IF(AND(tblFleet[[#This Row],[Units]]&lt;&gt;"",tblFleet[[#This Row],[Calendar_h]]&gt;0),tblFleet[[#This Row],[Available_h]]/tblFleet[[#This Row],[Calendar_h]],"")</f>
        <v/>
      </c>
      <c r="J39" s="60">
        <f>IF(AND(tblFleet[[#This Row],[Units]]&lt;&gt;"",tblFleet[[#This Row],[Available_h]]&gt;0),tblFleet[[#This Row],[Operating_h]]/tblFleet[[#This Row],[Available_h]],"")</f>
        <v/>
      </c>
    </row>
    <row r="40">
      <c r="A40" s="54" t="n"/>
      <c r="B40" s="61" t="n"/>
      <c r="C40" s="62" t="n"/>
      <c r="D40" s="57" t="n"/>
      <c r="E40" s="57" t="n"/>
      <c r="F40" s="58" t="n"/>
      <c r="G40" s="66">
        <f>IF(tblFleet[[#This Row],[Units]]="","",tblFleet[[#This Row],[Units]]*24)</f>
        <v/>
      </c>
      <c r="H40" s="66">
        <f>IF(tblFleet[[#This Row],[Units]]="","",tblFleet[[#This Row],[Calendar_h]]-tblFleet[[#This Row],[Down_h]])</f>
        <v/>
      </c>
      <c r="I40" s="60">
        <f>IF(AND(tblFleet[[#This Row],[Units]]&lt;&gt;"",tblFleet[[#This Row],[Calendar_h]]&gt;0),tblFleet[[#This Row],[Available_h]]/tblFleet[[#This Row],[Calendar_h]],"")</f>
        <v/>
      </c>
      <c r="J40" s="60">
        <f>IF(AND(tblFleet[[#This Row],[Units]]&lt;&gt;"",tblFleet[[#This Row],[Available_h]]&gt;0),tblFleet[[#This Row],[Operating_h]]/tblFleet[[#This Row],[Available_h]],"")</f>
        <v/>
      </c>
    </row>
    <row r="41">
      <c r="A41" s="54" t="n"/>
      <c r="B41" s="61" t="n"/>
      <c r="C41" s="62" t="n"/>
      <c r="D41" s="57" t="n"/>
      <c r="E41" s="57" t="n"/>
      <c r="F41" s="58" t="n"/>
      <c r="G41" s="66">
        <f>IF(tblFleet[[#This Row],[Units]]="","",tblFleet[[#This Row],[Units]]*24)</f>
        <v/>
      </c>
      <c r="H41" s="66">
        <f>IF(tblFleet[[#This Row],[Units]]="","",tblFleet[[#This Row],[Calendar_h]]-tblFleet[[#This Row],[Down_h]])</f>
        <v/>
      </c>
      <c r="I41" s="60">
        <f>IF(AND(tblFleet[[#This Row],[Units]]&lt;&gt;"",tblFleet[[#This Row],[Calendar_h]]&gt;0),tblFleet[[#This Row],[Available_h]]/tblFleet[[#This Row],[Calendar_h]],"")</f>
        <v/>
      </c>
      <c r="J41" s="60">
        <f>IF(AND(tblFleet[[#This Row],[Units]]&lt;&gt;"",tblFleet[[#This Row],[Available_h]]&gt;0),tblFleet[[#This Row],[Operating_h]]/tblFleet[[#This Row],[Available_h]],"")</f>
        <v/>
      </c>
    </row>
    <row r="42">
      <c r="A42" s="54" t="n"/>
      <c r="B42" s="61" t="n"/>
      <c r="C42" s="62" t="n"/>
      <c r="D42" s="57" t="n"/>
      <c r="E42" s="57" t="n"/>
      <c r="F42" s="58" t="n"/>
      <c r="G42" s="66">
        <f>IF(tblFleet[[#This Row],[Units]]="","",tblFleet[[#This Row],[Units]]*24)</f>
        <v/>
      </c>
      <c r="H42" s="66">
        <f>IF(tblFleet[[#This Row],[Units]]="","",tblFleet[[#This Row],[Calendar_h]]-tblFleet[[#This Row],[Down_h]])</f>
        <v/>
      </c>
      <c r="I42" s="60">
        <f>IF(AND(tblFleet[[#This Row],[Units]]&lt;&gt;"",tblFleet[[#This Row],[Calendar_h]]&gt;0),tblFleet[[#This Row],[Available_h]]/tblFleet[[#This Row],[Calendar_h]],"")</f>
        <v/>
      </c>
      <c r="J42" s="60">
        <f>IF(AND(tblFleet[[#This Row],[Units]]&lt;&gt;"",tblFleet[[#This Row],[Available_h]]&gt;0),tblFleet[[#This Row],[Operating_h]]/tblFleet[[#This Row],[Available_h]],"")</f>
        <v/>
      </c>
    </row>
    <row r="43">
      <c r="A43" s="54" t="n"/>
      <c r="B43" s="61" t="n"/>
      <c r="C43" s="62" t="n"/>
      <c r="D43" s="57" t="n"/>
      <c r="E43" s="57" t="n"/>
      <c r="F43" s="58" t="n"/>
      <c r="G43" s="66">
        <f>IF(tblFleet[[#This Row],[Units]]="","",tblFleet[[#This Row],[Units]]*24)</f>
        <v/>
      </c>
      <c r="H43" s="66">
        <f>IF(tblFleet[[#This Row],[Units]]="","",tblFleet[[#This Row],[Calendar_h]]-tblFleet[[#This Row],[Down_h]])</f>
        <v/>
      </c>
      <c r="I43" s="60">
        <f>IF(AND(tblFleet[[#This Row],[Units]]&lt;&gt;"",tblFleet[[#This Row],[Calendar_h]]&gt;0),tblFleet[[#This Row],[Available_h]]/tblFleet[[#This Row],[Calendar_h]],"")</f>
        <v/>
      </c>
      <c r="J43" s="60">
        <f>IF(AND(tblFleet[[#This Row],[Units]]&lt;&gt;"",tblFleet[[#This Row],[Available_h]]&gt;0),tblFleet[[#This Row],[Operating_h]]/tblFleet[[#This Row],[Available_h]],"")</f>
        <v/>
      </c>
    </row>
    <row r="44">
      <c r="A44" s="54" t="n"/>
      <c r="B44" s="61" t="n"/>
      <c r="C44" s="62" t="n"/>
      <c r="D44" s="57" t="n"/>
      <c r="E44" s="57" t="n"/>
      <c r="F44" s="58" t="n"/>
      <c r="G44" s="66">
        <f>IF(tblFleet[[#This Row],[Units]]="","",tblFleet[[#This Row],[Units]]*24)</f>
        <v/>
      </c>
      <c r="H44" s="66">
        <f>IF(tblFleet[[#This Row],[Units]]="","",tblFleet[[#This Row],[Calendar_h]]-tblFleet[[#This Row],[Down_h]])</f>
        <v/>
      </c>
      <c r="I44" s="60">
        <f>IF(AND(tblFleet[[#This Row],[Units]]&lt;&gt;"",tblFleet[[#This Row],[Calendar_h]]&gt;0),tblFleet[[#This Row],[Available_h]]/tblFleet[[#This Row],[Calendar_h]],"")</f>
        <v/>
      </c>
      <c r="J44" s="60">
        <f>IF(AND(tblFleet[[#This Row],[Units]]&lt;&gt;"",tblFleet[[#This Row],[Available_h]]&gt;0),tblFleet[[#This Row],[Operating_h]]/tblFleet[[#This Row],[Available_h]],"")</f>
        <v/>
      </c>
    </row>
    <row r="45">
      <c r="A45" s="54" t="n"/>
      <c r="B45" s="61" t="n"/>
      <c r="C45" s="62" t="n"/>
      <c r="D45" s="57" t="n"/>
      <c r="E45" s="57" t="n"/>
      <c r="F45" s="58" t="n"/>
      <c r="G45" s="66">
        <f>IF(tblFleet[[#This Row],[Units]]="","",tblFleet[[#This Row],[Units]]*24)</f>
        <v/>
      </c>
      <c r="H45" s="66">
        <f>IF(tblFleet[[#This Row],[Units]]="","",tblFleet[[#This Row],[Calendar_h]]-tblFleet[[#This Row],[Down_h]])</f>
        <v/>
      </c>
      <c r="I45" s="60">
        <f>IF(AND(tblFleet[[#This Row],[Units]]&lt;&gt;"",tblFleet[[#This Row],[Calendar_h]]&gt;0),tblFleet[[#This Row],[Available_h]]/tblFleet[[#This Row],[Calendar_h]],"")</f>
        <v/>
      </c>
      <c r="J45" s="60">
        <f>IF(AND(tblFleet[[#This Row],[Units]]&lt;&gt;"",tblFleet[[#This Row],[Available_h]]&gt;0),tblFleet[[#This Row],[Operating_h]]/tblFleet[[#This Row],[Available_h]],"")</f>
        <v/>
      </c>
    </row>
    <row r="46">
      <c r="A46" s="54" t="n"/>
      <c r="B46" s="61" t="n"/>
      <c r="C46" s="62" t="n"/>
      <c r="D46" s="57" t="n"/>
      <c r="E46" s="57" t="n"/>
      <c r="F46" s="58" t="n"/>
      <c r="G46" s="66">
        <f>IF(tblFleet[[#This Row],[Units]]="","",tblFleet[[#This Row],[Units]]*24)</f>
        <v/>
      </c>
      <c r="H46" s="66">
        <f>IF(tblFleet[[#This Row],[Units]]="","",tblFleet[[#This Row],[Calendar_h]]-tblFleet[[#This Row],[Down_h]])</f>
        <v/>
      </c>
      <c r="I46" s="60">
        <f>IF(AND(tblFleet[[#This Row],[Units]]&lt;&gt;"",tblFleet[[#This Row],[Calendar_h]]&gt;0),tblFleet[[#This Row],[Available_h]]/tblFleet[[#This Row],[Calendar_h]],"")</f>
        <v/>
      </c>
      <c r="J46" s="60">
        <f>IF(AND(tblFleet[[#This Row],[Units]]&lt;&gt;"",tblFleet[[#This Row],[Available_h]]&gt;0),tblFleet[[#This Row],[Operating_h]]/tblFleet[[#This Row],[Available_h]],"")</f>
        <v/>
      </c>
    </row>
    <row r="47">
      <c r="A47" s="54" t="n"/>
      <c r="B47" s="61" t="n"/>
      <c r="C47" s="62" t="n"/>
      <c r="D47" s="57" t="n"/>
      <c r="E47" s="57" t="n"/>
      <c r="F47" s="58" t="n"/>
      <c r="G47" s="66">
        <f>IF(tblFleet[[#This Row],[Units]]="","",tblFleet[[#This Row],[Units]]*24)</f>
        <v/>
      </c>
      <c r="H47" s="66">
        <f>IF(tblFleet[[#This Row],[Units]]="","",tblFleet[[#This Row],[Calendar_h]]-tblFleet[[#This Row],[Down_h]])</f>
        <v/>
      </c>
      <c r="I47" s="60">
        <f>IF(AND(tblFleet[[#This Row],[Units]]&lt;&gt;"",tblFleet[[#This Row],[Calendar_h]]&gt;0),tblFleet[[#This Row],[Available_h]]/tblFleet[[#This Row],[Calendar_h]],"")</f>
        <v/>
      </c>
      <c r="J47" s="60">
        <f>IF(AND(tblFleet[[#This Row],[Units]]&lt;&gt;"",tblFleet[[#This Row],[Available_h]]&gt;0),tblFleet[[#This Row],[Operating_h]]/tblFleet[[#This Row],[Available_h]],"")</f>
        <v/>
      </c>
    </row>
    <row r="48">
      <c r="A48" s="54" t="n"/>
      <c r="B48" s="61" t="n"/>
      <c r="C48" s="62" t="n"/>
      <c r="D48" s="57" t="n"/>
      <c r="E48" s="57" t="n"/>
      <c r="F48" s="58" t="n"/>
      <c r="G48" s="66">
        <f>IF(tblFleet[[#This Row],[Units]]="","",tblFleet[[#This Row],[Units]]*24)</f>
        <v/>
      </c>
      <c r="H48" s="66">
        <f>IF(tblFleet[[#This Row],[Units]]="","",tblFleet[[#This Row],[Calendar_h]]-tblFleet[[#This Row],[Down_h]])</f>
        <v/>
      </c>
      <c r="I48" s="60">
        <f>IF(AND(tblFleet[[#This Row],[Units]]&lt;&gt;"",tblFleet[[#This Row],[Calendar_h]]&gt;0),tblFleet[[#This Row],[Available_h]]/tblFleet[[#This Row],[Calendar_h]],"")</f>
        <v/>
      </c>
      <c r="J48" s="60">
        <f>IF(AND(tblFleet[[#This Row],[Units]]&lt;&gt;"",tblFleet[[#This Row],[Available_h]]&gt;0),tblFleet[[#This Row],[Operating_h]]/tblFleet[[#This Row],[Available_h]],"")</f>
        <v/>
      </c>
    </row>
    <row r="49">
      <c r="A49" s="54" t="n"/>
      <c r="B49" s="61" t="n"/>
      <c r="C49" s="62" t="n"/>
      <c r="D49" s="57" t="n"/>
      <c r="E49" s="57" t="n"/>
      <c r="F49" s="58" t="n"/>
      <c r="G49" s="66">
        <f>IF(tblFleet[[#This Row],[Units]]="","",tblFleet[[#This Row],[Units]]*24)</f>
        <v/>
      </c>
      <c r="H49" s="66">
        <f>IF(tblFleet[[#This Row],[Units]]="","",tblFleet[[#This Row],[Calendar_h]]-tblFleet[[#This Row],[Down_h]])</f>
        <v/>
      </c>
      <c r="I49" s="60">
        <f>IF(AND(tblFleet[[#This Row],[Units]]&lt;&gt;"",tblFleet[[#This Row],[Calendar_h]]&gt;0),tblFleet[[#This Row],[Available_h]]/tblFleet[[#This Row],[Calendar_h]],"")</f>
        <v/>
      </c>
      <c r="J49" s="60">
        <f>IF(AND(tblFleet[[#This Row],[Units]]&lt;&gt;"",tblFleet[[#This Row],[Available_h]]&gt;0),tblFleet[[#This Row],[Operating_h]]/tblFleet[[#This Row],[Available_h]],"")</f>
        <v/>
      </c>
    </row>
    <row r="50">
      <c r="A50" s="54" t="n"/>
      <c r="B50" s="61" t="n"/>
      <c r="C50" s="62" t="n"/>
      <c r="D50" s="57" t="n"/>
      <c r="E50" s="57" t="n"/>
      <c r="F50" s="58" t="n"/>
      <c r="G50" s="66">
        <f>IF(tblFleet[[#This Row],[Units]]="","",tblFleet[[#This Row],[Units]]*24)</f>
        <v/>
      </c>
      <c r="H50" s="66">
        <f>IF(tblFleet[[#This Row],[Units]]="","",tblFleet[[#This Row],[Calendar_h]]-tblFleet[[#This Row],[Down_h]])</f>
        <v/>
      </c>
      <c r="I50" s="60">
        <f>IF(AND(tblFleet[[#This Row],[Units]]&lt;&gt;"",tblFleet[[#This Row],[Calendar_h]]&gt;0),tblFleet[[#This Row],[Available_h]]/tblFleet[[#This Row],[Calendar_h]],"")</f>
        <v/>
      </c>
      <c r="J50" s="60">
        <f>IF(AND(tblFleet[[#This Row],[Units]]&lt;&gt;"",tblFleet[[#This Row],[Available_h]]&gt;0),tblFleet[[#This Row],[Operating_h]]/tblFleet[[#This Row],[Available_h]],"")</f>
        <v/>
      </c>
    </row>
    <row r="51">
      <c r="A51" s="54" t="n"/>
      <c r="B51" s="61" t="n"/>
      <c r="C51" s="62" t="n"/>
      <c r="D51" s="57" t="n"/>
      <c r="E51" s="57" t="n"/>
      <c r="F51" s="58" t="n"/>
      <c r="G51" s="66">
        <f>IF(tblFleet[[#This Row],[Units]]="","",tblFleet[[#This Row],[Units]]*24)</f>
        <v/>
      </c>
      <c r="H51" s="66">
        <f>IF(tblFleet[[#This Row],[Units]]="","",tblFleet[[#This Row],[Calendar_h]]-tblFleet[[#This Row],[Down_h]])</f>
        <v/>
      </c>
      <c r="I51" s="60">
        <f>IF(AND(tblFleet[[#This Row],[Units]]&lt;&gt;"",tblFleet[[#This Row],[Calendar_h]]&gt;0),tblFleet[[#This Row],[Available_h]]/tblFleet[[#This Row],[Calendar_h]],"")</f>
        <v/>
      </c>
      <c r="J51" s="60">
        <f>IF(AND(tblFleet[[#This Row],[Units]]&lt;&gt;"",tblFleet[[#This Row],[Available_h]]&gt;0),tblFleet[[#This Row],[Operating_h]]/tblFleet[[#This Row],[Available_h]],"")</f>
        <v/>
      </c>
    </row>
    <row r="52">
      <c r="A52" s="54" t="n"/>
      <c r="B52" s="61" t="n"/>
      <c r="C52" s="62" t="n"/>
      <c r="D52" s="57" t="n"/>
      <c r="E52" s="57" t="n"/>
      <c r="F52" s="58" t="n"/>
      <c r="G52" s="66">
        <f>IF(tblFleet[[#This Row],[Units]]="","",tblFleet[[#This Row],[Units]]*24)</f>
        <v/>
      </c>
      <c r="H52" s="66">
        <f>IF(tblFleet[[#This Row],[Units]]="","",tblFleet[[#This Row],[Calendar_h]]-tblFleet[[#This Row],[Down_h]])</f>
        <v/>
      </c>
      <c r="I52" s="60">
        <f>IF(AND(tblFleet[[#This Row],[Units]]&lt;&gt;"",tblFleet[[#This Row],[Calendar_h]]&gt;0),tblFleet[[#This Row],[Available_h]]/tblFleet[[#This Row],[Calendar_h]],"")</f>
        <v/>
      </c>
      <c r="J52" s="60">
        <f>IF(AND(tblFleet[[#This Row],[Units]]&lt;&gt;"",tblFleet[[#This Row],[Available_h]]&gt;0),tblFleet[[#This Row],[Operating_h]]/tblFleet[[#This Row],[Available_h]],"")</f>
        <v/>
      </c>
    </row>
    <row r="53">
      <c r="A53" s="54" t="n"/>
      <c r="B53" s="61" t="n"/>
      <c r="C53" s="62" t="n"/>
      <c r="D53" s="57" t="n"/>
      <c r="E53" s="57" t="n"/>
      <c r="F53" s="58" t="n"/>
      <c r="G53" s="66">
        <f>IF(tblFleet[[#This Row],[Units]]="","",tblFleet[[#This Row],[Units]]*24)</f>
        <v/>
      </c>
      <c r="H53" s="66">
        <f>IF(tblFleet[[#This Row],[Units]]="","",tblFleet[[#This Row],[Calendar_h]]-tblFleet[[#This Row],[Down_h]])</f>
        <v/>
      </c>
      <c r="I53" s="60">
        <f>IF(AND(tblFleet[[#This Row],[Units]]&lt;&gt;"",tblFleet[[#This Row],[Calendar_h]]&gt;0),tblFleet[[#This Row],[Available_h]]/tblFleet[[#This Row],[Calendar_h]],"")</f>
        <v/>
      </c>
      <c r="J53" s="60">
        <f>IF(AND(tblFleet[[#This Row],[Units]]&lt;&gt;"",tblFleet[[#This Row],[Available_h]]&gt;0),tblFleet[[#This Row],[Operating_h]]/tblFleet[[#This Row],[Available_h]],"")</f>
        <v/>
      </c>
    </row>
    <row r="54">
      <c r="A54" s="54" t="n"/>
      <c r="B54" s="61" t="n"/>
      <c r="C54" s="62" t="n"/>
      <c r="D54" s="57" t="n"/>
      <c r="E54" s="57" t="n"/>
      <c r="F54" s="58" t="n"/>
      <c r="G54" s="66">
        <f>IF(tblFleet[[#This Row],[Units]]="","",tblFleet[[#This Row],[Units]]*24)</f>
        <v/>
      </c>
      <c r="H54" s="66">
        <f>IF(tblFleet[[#This Row],[Units]]="","",tblFleet[[#This Row],[Calendar_h]]-tblFleet[[#This Row],[Down_h]])</f>
        <v/>
      </c>
      <c r="I54" s="60">
        <f>IF(AND(tblFleet[[#This Row],[Units]]&lt;&gt;"",tblFleet[[#This Row],[Calendar_h]]&gt;0),tblFleet[[#This Row],[Available_h]]/tblFleet[[#This Row],[Calendar_h]],"")</f>
        <v/>
      </c>
      <c r="J54" s="60">
        <f>IF(AND(tblFleet[[#This Row],[Units]]&lt;&gt;"",tblFleet[[#This Row],[Available_h]]&gt;0),tblFleet[[#This Row],[Operating_h]]/tblFleet[[#This Row],[Available_h]],"")</f>
        <v/>
      </c>
    </row>
    <row r="55">
      <c r="A55" s="54" t="n"/>
      <c r="B55" s="61" t="n"/>
      <c r="C55" s="62" t="n"/>
      <c r="D55" s="57" t="n"/>
      <c r="E55" s="57" t="n"/>
      <c r="F55" s="58" t="n"/>
      <c r="G55" s="66">
        <f>IF(tblFleet[[#This Row],[Units]]="","",tblFleet[[#This Row],[Units]]*24)</f>
        <v/>
      </c>
      <c r="H55" s="66">
        <f>IF(tblFleet[[#This Row],[Units]]="","",tblFleet[[#This Row],[Calendar_h]]-tblFleet[[#This Row],[Down_h]])</f>
        <v/>
      </c>
      <c r="I55" s="60">
        <f>IF(AND(tblFleet[[#This Row],[Units]]&lt;&gt;"",tblFleet[[#This Row],[Calendar_h]]&gt;0),tblFleet[[#This Row],[Available_h]]/tblFleet[[#This Row],[Calendar_h]],"")</f>
        <v/>
      </c>
      <c r="J55" s="60">
        <f>IF(AND(tblFleet[[#This Row],[Units]]&lt;&gt;"",tblFleet[[#This Row],[Available_h]]&gt;0),tblFleet[[#This Row],[Operating_h]]/tblFleet[[#This Row],[Available_h]],"")</f>
        <v/>
      </c>
    </row>
    <row r="56">
      <c r="A56" s="54" t="n"/>
      <c r="B56" s="61" t="n"/>
      <c r="C56" s="62" t="n"/>
      <c r="D56" s="57" t="n"/>
      <c r="E56" s="57" t="n"/>
      <c r="F56" s="58" t="n"/>
      <c r="G56" s="66">
        <f>IF(tblFleet[[#This Row],[Units]]="","",tblFleet[[#This Row],[Units]]*24)</f>
        <v/>
      </c>
      <c r="H56" s="66">
        <f>IF(tblFleet[[#This Row],[Units]]="","",tblFleet[[#This Row],[Calendar_h]]-tblFleet[[#This Row],[Down_h]])</f>
        <v/>
      </c>
      <c r="I56" s="60">
        <f>IF(AND(tblFleet[[#This Row],[Units]]&lt;&gt;"",tblFleet[[#This Row],[Calendar_h]]&gt;0),tblFleet[[#This Row],[Available_h]]/tblFleet[[#This Row],[Calendar_h]],"")</f>
        <v/>
      </c>
      <c r="J56" s="60">
        <f>IF(AND(tblFleet[[#This Row],[Units]]&lt;&gt;"",tblFleet[[#This Row],[Available_h]]&gt;0),tblFleet[[#This Row],[Operating_h]]/tblFleet[[#This Row],[Available_h]],"")</f>
        <v/>
      </c>
    </row>
    <row r="57">
      <c r="A57" s="54" t="n"/>
      <c r="B57" s="61" t="n"/>
      <c r="C57" s="62" t="n"/>
      <c r="D57" s="57" t="n"/>
      <c r="E57" s="57" t="n"/>
      <c r="F57" s="58" t="n"/>
      <c r="G57" s="66">
        <f>IF(tblFleet[[#This Row],[Units]]="","",tblFleet[[#This Row],[Units]]*24)</f>
        <v/>
      </c>
      <c r="H57" s="66">
        <f>IF(tblFleet[[#This Row],[Units]]="","",tblFleet[[#This Row],[Calendar_h]]-tblFleet[[#This Row],[Down_h]])</f>
        <v/>
      </c>
      <c r="I57" s="60">
        <f>IF(AND(tblFleet[[#This Row],[Units]]&lt;&gt;"",tblFleet[[#This Row],[Calendar_h]]&gt;0),tblFleet[[#This Row],[Available_h]]/tblFleet[[#This Row],[Calendar_h]],"")</f>
        <v/>
      </c>
      <c r="J57" s="60">
        <f>IF(AND(tblFleet[[#This Row],[Units]]&lt;&gt;"",tblFleet[[#This Row],[Available_h]]&gt;0),tblFleet[[#This Row],[Operating_h]]/tblFleet[[#This Row],[Available_h]],"")</f>
        <v/>
      </c>
    </row>
    <row r="58">
      <c r="A58" s="54" t="n"/>
      <c r="B58" s="61" t="n"/>
      <c r="C58" s="62" t="n"/>
      <c r="D58" s="57" t="n"/>
      <c r="E58" s="57" t="n"/>
      <c r="F58" s="58" t="n"/>
      <c r="G58" s="66">
        <f>IF(tblFleet[[#This Row],[Units]]="","",tblFleet[[#This Row],[Units]]*24)</f>
        <v/>
      </c>
      <c r="H58" s="66">
        <f>IF(tblFleet[[#This Row],[Units]]="","",tblFleet[[#This Row],[Calendar_h]]-tblFleet[[#This Row],[Down_h]])</f>
        <v/>
      </c>
      <c r="I58" s="60">
        <f>IF(AND(tblFleet[[#This Row],[Units]]&lt;&gt;"",tblFleet[[#This Row],[Calendar_h]]&gt;0),tblFleet[[#This Row],[Available_h]]/tblFleet[[#This Row],[Calendar_h]],"")</f>
        <v/>
      </c>
      <c r="J58" s="60">
        <f>IF(AND(tblFleet[[#This Row],[Units]]&lt;&gt;"",tblFleet[[#This Row],[Available_h]]&gt;0),tblFleet[[#This Row],[Operating_h]]/tblFleet[[#This Row],[Available_h]],"")</f>
        <v/>
      </c>
    </row>
    <row r="59">
      <c r="A59" s="54" t="n"/>
      <c r="B59" s="61" t="n"/>
      <c r="C59" s="62" t="n"/>
      <c r="D59" s="57" t="n"/>
      <c r="E59" s="57" t="n"/>
      <c r="F59" s="58" t="n"/>
      <c r="G59" s="66">
        <f>IF(tblFleet[[#This Row],[Units]]="","",tblFleet[[#This Row],[Units]]*24)</f>
        <v/>
      </c>
      <c r="H59" s="66">
        <f>IF(tblFleet[[#This Row],[Units]]="","",tblFleet[[#This Row],[Calendar_h]]-tblFleet[[#This Row],[Down_h]])</f>
        <v/>
      </c>
      <c r="I59" s="60">
        <f>IF(AND(tblFleet[[#This Row],[Units]]&lt;&gt;"",tblFleet[[#This Row],[Calendar_h]]&gt;0),tblFleet[[#This Row],[Available_h]]/tblFleet[[#This Row],[Calendar_h]],"")</f>
        <v/>
      </c>
      <c r="J59" s="60">
        <f>IF(AND(tblFleet[[#This Row],[Units]]&lt;&gt;"",tblFleet[[#This Row],[Available_h]]&gt;0),tblFleet[[#This Row],[Operating_h]]/tblFleet[[#This Row],[Available_h]],"")</f>
        <v/>
      </c>
    </row>
    <row r="60">
      <c r="A60" s="54" t="n"/>
      <c r="B60" s="61" t="n"/>
      <c r="C60" s="62" t="n"/>
      <c r="D60" s="57" t="n"/>
      <c r="E60" s="57" t="n"/>
      <c r="F60" s="58" t="n"/>
      <c r="G60" s="66">
        <f>IF(tblFleet[[#This Row],[Units]]="","",tblFleet[[#This Row],[Units]]*24)</f>
        <v/>
      </c>
      <c r="H60" s="66">
        <f>IF(tblFleet[[#This Row],[Units]]="","",tblFleet[[#This Row],[Calendar_h]]-tblFleet[[#This Row],[Down_h]])</f>
        <v/>
      </c>
      <c r="I60" s="60">
        <f>IF(AND(tblFleet[[#This Row],[Units]]&lt;&gt;"",tblFleet[[#This Row],[Calendar_h]]&gt;0),tblFleet[[#This Row],[Available_h]]/tblFleet[[#This Row],[Calendar_h]],"")</f>
        <v/>
      </c>
      <c r="J60" s="60">
        <f>IF(AND(tblFleet[[#This Row],[Units]]&lt;&gt;"",tblFleet[[#This Row],[Available_h]]&gt;0),tblFleet[[#This Row],[Operating_h]]/tblFleet[[#This Row],[Available_h]],"")</f>
        <v/>
      </c>
    </row>
    <row r="61">
      <c r="A61" s="54" t="n"/>
      <c r="B61" s="61" t="n"/>
      <c r="C61" s="62" t="n"/>
      <c r="D61" s="57" t="n"/>
      <c r="E61" s="57" t="n"/>
      <c r="F61" s="58" t="n"/>
      <c r="G61" s="66">
        <f>IF(tblFleet[[#This Row],[Units]]="","",tblFleet[[#This Row],[Units]]*24)</f>
        <v/>
      </c>
      <c r="H61" s="66">
        <f>IF(tblFleet[[#This Row],[Units]]="","",tblFleet[[#This Row],[Calendar_h]]-tblFleet[[#This Row],[Down_h]])</f>
        <v/>
      </c>
      <c r="I61" s="60">
        <f>IF(AND(tblFleet[[#This Row],[Units]]&lt;&gt;"",tblFleet[[#This Row],[Calendar_h]]&gt;0),tblFleet[[#This Row],[Available_h]]/tblFleet[[#This Row],[Calendar_h]],"")</f>
        <v/>
      </c>
      <c r="J61" s="60">
        <f>IF(AND(tblFleet[[#This Row],[Units]]&lt;&gt;"",tblFleet[[#This Row],[Available_h]]&gt;0),tblFleet[[#This Row],[Operating_h]]/tblFleet[[#This Row],[Available_h]],"")</f>
        <v/>
      </c>
    </row>
    <row r="62">
      <c r="A62" s="54" t="n"/>
      <c r="B62" s="61" t="n"/>
      <c r="C62" s="62" t="n"/>
      <c r="D62" s="57" t="n"/>
      <c r="E62" s="57" t="n"/>
      <c r="F62" s="58" t="n"/>
      <c r="G62" s="66">
        <f>IF(tblFleet[[#This Row],[Units]]="","",tblFleet[[#This Row],[Units]]*24)</f>
        <v/>
      </c>
      <c r="H62" s="66">
        <f>IF(tblFleet[[#This Row],[Units]]="","",tblFleet[[#This Row],[Calendar_h]]-tblFleet[[#This Row],[Down_h]])</f>
        <v/>
      </c>
      <c r="I62" s="60">
        <f>IF(AND(tblFleet[[#This Row],[Units]]&lt;&gt;"",tblFleet[[#This Row],[Calendar_h]]&gt;0),tblFleet[[#This Row],[Available_h]]/tblFleet[[#This Row],[Calendar_h]],"")</f>
        <v/>
      </c>
      <c r="J62" s="60">
        <f>IF(AND(tblFleet[[#This Row],[Units]]&lt;&gt;"",tblFleet[[#This Row],[Available_h]]&gt;0),tblFleet[[#This Row],[Operating_h]]/tblFleet[[#This Row],[Available_h]],"")</f>
        <v/>
      </c>
    </row>
    <row r="63">
      <c r="A63" s="54" t="n"/>
      <c r="B63" s="61" t="n"/>
      <c r="C63" s="62" t="n"/>
      <c r="D63" s="57" t="n"/>
      <c r="E63" s="57" t="n"/>
      <c r="F63" s="58" t="n"/>
      <c r="G63" s="66">
        <f>IF(tblFleet[[#This Row],[Units]]="","",tblFleet[[#This Row],[Units]]*24)</f>
        <v/>
      </c>
      <c r="H63" s="66">
        <f>IF(tblFleet[[#This Row],[Units]]="","",tblFleet[[#This Row],[Calendar_h]]-tblFleet[[#This Row],[Down_h]])</f>
        <v/>
      </c>
      <c r="I63" s="60">
        <f>IF(AND(tblFleet[[#This Row],[Units]]&lt;&gt;"",tblFleet[[#This Row],[Calendar_h]]&gt;0),tblFleet[[#This Row],[Available_h]]/tblFleet[[#This Row],[Calendar_h]],"")</f>
        <v/>
      </c>
      <c r="J63" s="60">
        <f>IF(AND(tblFleet[[#This Row],[Units]]&lt;&gt;"",tblFleet[[#This Row],[Available_h]]&gt;0),tblFleet[[#This Row],[Operating_h]]/tblFleet[[#This Row],[Available_h]],"")</f>
        <v/>
      </c>
    </row>
    <row r="64">
      <c r="A64" s="54" t="n"/>
      <c r="B64" s="61" t="n"/>
      <c r="C64" s="62" t="n"/>
      <c r="D64" s="57" t="n"/>
      <c r="E64" s="57" t="n"/>
      <c r="F64" s="58" t="n"/>
      <c r="G64" s="66">
        <f>IF(tblFleet[[#This Row],[Units]]="","",tblFleet[[#This Row],[Units]]*24)</f>
        <v/>
      </c>
      <c r="H64" s="66">
        <f>IF(tblFleet[[#This Row],[Units]]="","",tblFleet[[#This Row],[Calendar_h]]-tblFleet[[#This Row],[Down_h]])</f>
        <v/>
      </c>
      <c r="I64" s="60">
        <f>IF(AND(tblFleet[[#This Row],[Units]]&lt;&gt;"",tblFleet[[#This Row],[Calendar_h]]&gt;0),tblFleet[[#This Row],[Available_h]]/tblFleet[[#This Row],[Calendar_h]],"")</f>
        <v/>
      </c>
      <c r="J64" s="60">
        <f>IF(AND(tblFleet[[#This Row],[Units]]&lt;&gt;"",tblFleet[[#This Row],[Available_h]]&gt;0),tblFleet[[#This Row],[Operating_h]]/tblFleet[[#This Row],[Available_h]],"")</f>
        <v/>
      </c>
    </row>
    <row r="65">
      <c r="A65" s="54" t="n"/>
      <c r="B65" s="61" t="n"/>
      <c r="C65" s="62" t="n"/>
      <c r="D65" s="57" t="n"/>
      <c r="E65" s="57" t="n"/>
      <c r="F65" s="58" t="n"/>
      <c r="G65" s="66">
        <f>IF(tblFleet[[#This Row],[Units]]="","",tblFleet[[#This Row],[Units]]*24)</f>
        <v/>
      </c>
      <c r="H65" s="66">
        <f>IF(tblFleet[[#This Row],[Units]]="","",tblFleet[[#This Row],[Calendar_h]]-tblFleet[[#This Row],[Down_h]])</f>
        <v/>
      </c>
      <c r="I65" s="60">
        <f>IF(AND(tblFleet[[#This Row],[Units]]&lt;&gt;"",tblFleet[[#This Row],[Calendar_h]]&gt;0),tblFleet[[#This Row],[Available_h]]/tblFleet[[#This Row],[Calendar_h]],"")</f>
        <v/>
      </c>
      <c r="J65" s="60">
        <f>IF(AND(tblFleet[[#This Row],[Units]]&lt;&gt;"",tblFleet[[#This Row],[Available_h]]&gt;0),tblFleet[[#This Row],[Operating_h]]/tblFleet[[#This Row],[Available_h]],"")</f>
        <v/>
      </c>
    </row>
    <row r="66">
      <c r="A66" s="54" t="n"/>
      <c r="B66" s="61" t="n"/>
      <c r="C66" s="62" t="n"/>
      <c r="D66" s="57" t="n"/>
      <c r="E66" s="57" t="n"/>
      <c r="F66" s="58" t="n"/>
      <c r="G66" s="66">
        <f>IF(tblFleet[[#This Row],[Units]]="","",tblFleet[[#This Row],[Units]]*24)</f>
        <v/>
      </c>
      <c r="H66" s="66">
        <f>IF(tblFleet[[#This Row],[Units]]="","",tblFleet[[#This Row],[Calendar_h]]-tblFleet[[#This Row],[Down_h]])</f>
        <v/>
      </c>
      <c r="I66" s="60">
        <f>IF(AND(tblFleet[[#This Row],[Units]]&lt;&gt;"",tblFleet[[#This Row],[Calendar_h]]&gt;0),tblFleet[[#This Row],[Available_h]]/tblFleet[[#This Row],[Calendar_h]],"")</f>
        <v/>
      </c>
      <c r="J66" s="60">
        <f>IF(AND(tblFleet[[#This Row],[Units]]&lt;&gt;"",tblFleet[[#This Row],[Available_h]]&gt;0),tblFleet[[#This Row],[Operating_h]]/tblFleet[[#This Row],[Available_h]],"")</f>
        <v/>
      </c>
    </row>
    <row r="67">
      <c r="A67" s="54" t="n"/>
      <c r="B67" s="61" t="n"/>
      <c r="C67" s="62" t="n"/>
      <c r="D67" s="57" t="n"/>
      <c r="E67" s="57" t="n"/>
      <c r="F67" s="58" t="n"/>
      <c r="G67" s="66">
        <f>IF(tblFleet[[#This Row],[Units]]="","",tblFleet[[#This Row],[Units]]*24)</f>
        <v/>
      </c>
      <c r="H67" s="66">
        <f>IF(tblFleet[[#This Row],[Units]]="","",tblFleet[[#This Row],[Calendar_h]]-tblFleet[[#This Row],[Down_h]])</f>
        <v/>
      </c>
      <c r="I67" s="60">
        <f>IF(AND(tblFleet[[#This Row],[Units]]&lt;&gt;"",tblFleet[[#This Row],[Calendar_h]]&gt;0),tblFleet[[#This Row],[Available_h]]/tblFleet[[#This Row],[Calendar_h]],"")</f>
        <v/>
      </c>
      <c r="J67" s="60">
        <f>IF(AND(tblFleet[[#This Row],[Units]]&lt;&gt;"",tblFleet[[#This Row],[Available_h]]&gt;0),tblFleet[[#This Row],[Operating_h]]/tblFleet[[#This Row],[Available_h]],"")</f>
        <v/>
      </c>
    </row>
    <row r="68">
      <c r="A68" s="54" t="n"/>
      <c r="B68" s="61" t="n"/>
      <c r="C68" s="62" t="n"/>
      <c r="D68" s="57" t="n"/>
      <c r="E68" s="57" t="n"/>
      <c r="F68" s="58" t="n"/>
      <c r="G68" s="66">
        <f>IF(tblFleet[[#This Row],[Units]]="","",tblFleet[[#This Row],[Units]]*24)</f>
        <v/>
      </c>
      <c r="H68" s="66">
        <f>IF(tblFleet[[#This Row],[Units]]="","",tblFleet[[#This Row],[Calendar_h]]-tblFleet[[#This Row],[Down_h]])</f>
        <v/>
      </c>
      <c r="I68" s="60">
        <f>IF(AND(tblFleet[[#This Row],[Units]]&lt;&gt;"",tblFleet[[#This Row],[Calendar_h]]&gt;0),tblFleet[[#This Row],[Available_h]]/tblFleet[[#This Row],[Calendar_h]],"")</f>
        <v/>
      </c>
      <c r="J68" s="60">
        <f>IF(AND(tblFleet[[#This Row],[Units]]&lt;&gt;"",tblFleet[[#This Row],[Available_h]]&gt;0),tblFleet[[#This Row],[Operating_h]]/tblFleet[[#This Row],[Available_h]],"")</f>
        <v/>
      </c>
    </row>
    <row r="69">
      <c r="A69" s="54" t="n"/>
      <c r="B69" s="61" t="n"/>
      <c r="C69" s="62" t="n"/>
      <c r="D69" s="57" t="n"/>
      <c r="E69" s="57" t="n"/>
      <c r="F69" s="58" t="n"/>
      <c r="G69" s="66">
        <f>IF(tblFleet[[#This Row],[Units]]="","",tblFleet[[#This Row],[Units]]*24)</f>
        <v/>
      </c>
      <c r="H69" s="66">
        <f>IF(tblFleet[[#This Row],[Units]]="","",tblFleet[[#This Row],[Calendar_h]]-tblFleet[[#This Row],[Down_h]])</f>
        <v/>
      </c>
      <c r="I69" s="60">
        <f>IF(AND(tblFleet[[#This Row],[Units]]&lt;&gt;"",tblFleet[[#This Row],[Calendar_h]]&gt;0),tblFleet[[#This Row],[Available_h]]/tblFleet[[#This Row],[Calendar_h]],"")</f>
        <v/>
      </c>
      <c r="J69" s="60">
        <f>IF(AND(tblFleet[[#This Row],[Units]]&lt;&gt;"",tblFleet[[#This Row],[Available_h]]&gt;0),tblFleet[[#This Row],[Operating_h]]/tblFleet[[#This Row],[Available_h]],"")</f>
        <v/>
      </c>
    </row>
    <row r="70">
      <c r="A70" s="54" t="n"/>
      <c r="B70" s="61" t="n"/>
      <c r="C70" s="62" t="n"/>
      <c r="D70" s="57" t="n"/>
      <c r="E70" s="57" t="n"/>
      <c r="F70" s="58" t="n"/>
      <c r="G70" s="66">
        <f>IF(tblFleet[[#This Row],[Units]]="","",tblFleet[[#This Row],[Units]]*24)</f>
        <v/>
      </c>
      <c r="H70" s="66">
        <f>IF(tblFleet[[#This Row],[Units]]="","",tblFleet[[#This Row],[Calendar_h]]-tblFleet[[#This Row],[Down_h]])</f>
        <v/>
      </c>
      <c r="I70" s="60">
        <f>IF(AND(tblFleet[[#This Row],[Units]]&lt;&gt;"",tblFleet[[#This Row],[Calendar_h]]&gt;0),tblFleet[[#This Row],[Available_h]]/tblFleet[[#This Row],[Calendar_h]],"")</f>
        <v/>
      </c>
      <c r="J70" s="60">
        <f>IF(AND(tblFleet[[#This Row],[Units]]&lt;&gt;"",tblFleet[[#This Row],[Available_h]]&gt;0),tblFleet[[#This Row],[Operating_h]]/tblFleet[[#This Row],[Available_h]],"")</f>
        <v/>
      </c>
    </row>
    <row r="71">
      <c r="A71" s="54" t="n"/>
      <c r="B71" s="61" t="n"/>
      <c r="C71" s="62" t="n"/>
      <c r="D71" s="57" t="n"/>
      <c r="E71" s="57" t="n"/>
      <c r="F71" s="58" t="n"/>
      <c r="G71" s="66">
        <f>IF(tblFleet[[#This Row],[Units]]="","",tblFleet[[#This Row],[Units]]*24)</f>
        <v/>
      </c>
      <c r="H71" s="66">
        <f>IF(tblFleet[[#This Row],[Units]]="","",tblFleet[[#This Row],[Calendar_h]]-tblFleet[[#This Row],[Down_h]])</f>
        <v/>
      </c>
      <c r="I71" s="60">
        <f>IF(AND(tblFleet[[#This Row],[Units]]&lt;&gt;"",tblFleet[[#This Row],[Calendar_h]]&gt;0),tblFleet[[#This Row],[Available_h]]/tblFleet[[#This Row],[Calendar_h]],"")</f>
        <v/>
      </c>
      <c r="J71" s="60">
        <f>IF(AND(tblFleet[[#This Row],[Units]]&lt;&gt;"",tblFleet[[#This Row],[Available_h]]&gt;0),tblFleet[[#This Row],[Operating_h]]/tblFleet[[#This Row],[Available_h]],"")</f>
        <v/>
      </c>
    </row>
    <row r="72">
      <c r="A72" s="54" t="n"/>
      <c r="B72" s="61" t="n"/>
      <c r="C72" s="62" t="n"/>
      <c r="D72" s="57" t="n"/>
      <c r="E72" s="57" t="n"/>
      <c r="F72" s="58" t="n"/>
      <c r="G72" s="66">
        <f>IF(tblFleet[[#This Row],[Units]]="","",tblFleet[[#This Row],[Units]]*24)</f>
        <v/>
      </c>
      <c r="H72" s="66">
        <f>IF(tblFleet[[#This Row],[Units]]="","",tblFleet[[#This Row],[Calendar_h]]-tblFleet[[#This Row],[Down_h]])</f>
        <v/>
      </c>
      <c r="I72" s="60">
        <f>IF(AND(tblFleet[[#This Row],[Units]]&lt;&gt;"",tblFleet[[#This Row],[Calendar_h]]&gt;0),tblFleet[[#This Row],[Available_h]]/tblFleet[[#This Row],[Calendar_h]],"")</f>
        <v/>
      </c>
      <c r="J72" s="60">
        <f>IF(AND(tblFleet[[#This Row],[Units]]&lt;&gt;"",tblFleet[[#This Row],[Available_h]]&gt;0),tblFleet[[#This Row],[Operating_h]]/tblFleet[[#This Row],[Available_h]],"")</f>
        <v/>
      </c>
    </row>
    <row r="73">
      <c r="A73" s="54" t="n"/>
      <c r="B73" s="61" t="n"/>
      <c r="C73" s="62" t="n"/>
      <c r="D73" s="57" t="n"/>
      <c r="E73" s="57" t="n"/>
      <c r="F73" s="58" t="n"/>
      <c r="G73" s="66">
        <f>IF(tblFleet[[#This Row],[Units]]="","",tblFleet[[#This Row],[Units]]*24)</f>
        <v/>
      </c>
      <c r="H73" s="66">
        <f>IF(tblFleet[[#This Row],[Units]]="","",tblFleet[[#This Row],[Calendar_h]]-tblFleet[[#This Row],[Down_h]])</f>
        <v/>
      </c>
      <c r="I73" s="60">
        <f>IF(AND(tblFleet[[#This Row],[Units]]&lt;&gt;"",tblFleet[[#This Row],[Calendar_h]]&gt;0),tblFleet[[#This Row],[Available_h]]/tblFleet[[#This Row],[Calendar_h]],"")</f>
        <v/>
      </c>
      <c r="J73" s="60">
        <f>IF(AND(tblFleet[[#This Row],[Units]]&lt;&gt;"",tblFleet[[#This Row],[Available_h]]&gt;0),tblFleet[[#This Row],[Operating_h]]/tblFleet[[#This Row],[Available_h]],"")</f>
        <v/>
      </c>
    </row>
    <row r="74">
      <c r="A74" s="54" t="n"/>
      <c r="B74" s="61" t="n"/>
      <c r="C74" s="62" t="n"/>
      <c r="D74" s="57" t="n"/>
      <c r="E74" s="57" t="n"/>
      <c r="F74" s="58" t="n"/>
      <c r="G74" s="66">
        <f>IF(tblFleet[[#This Row],[Units]]="","",tblFleet[[#This Row],[Units]]*24)</f>
        <v/>
      </c>
      <c r="H74" s="66">
        <f>IF(tblFleet[[#This Row],[Units]]="","",tblFleet[[#This Row],[Calendar_h]]-tblFleet[[#This Row],[Down_h]])</f>
        <v/>
      </c>
      <c r="I74" s="60">
        <f>IF(AND(tblFleet[[#This Row],[Units]]&lt;&gt;"",tblFleet[[#This Row],[Calendar_h]]&gt;0),tblFleet[[#This Row],[Available_h]]/tblFleet[[#This Row],[Calendar_h]],"")</f>
        <v/>
      </c>
      <c r="J74" s="60">
        <f>IF(AND(tblFleet[[#This Row],[Units]]&lt;&gt;"",tblFleet[[#This Row],[Available_h]]&gt;0),tblFleet[[#This Row],[Operating_h]]/tblFleet[[#This Row],[Available_h]],"")</f>
        <v/>
      </c>
    </row>
    <row r="75">
      <c r="A75" s="54" t="n"/>
      <c r="B75" s="61" t="n"/>
      <c r="C75" s="62" t="n"/>
      <c r="D75" s="57" t="n"/>
      <c r="E75" s="57" t="n"/>
      <c r="F75" s="58" t="n"/>
      <c r="G75" s="66">
        <f>IF(tblFleet[[#This Row],[Units]]="","",tblFleet[[#This Row],[Units]]*24)</f>
        <v/>
      </c>
      <c r="H75" s="66">
        <f>IF(tblFleet[[#This Row],[Units]]="","",tblFleet[[#This Row],[Calendar_h]]-tblFleet[[#This Row],[Down_h]])</f>
        <v/>
      </c>
      <c r="I75" s="60">
        <f>IF(AND(tblFleet[[#This Row],[Units]]&lt;&gt;"",tblFleet[[#This Row],[Calendar_h]]&gt;0),tblFleet[[#This Row],[Available_h]]/tblFleet[[#This Row],[Calendar_h]],"")</f>
        <v/>
      </c>
      <c r="J75" s="60">
        <f>IF(AND(tblFleet[[#This Row],[Units]]&lt;&gt;"",tblFleet[[#This Row],[Available_h]]&gt;0),tblFleet[[#This Row],[Operating_h]]/tblFleet[[#This Row],[Available_h]],"")</f>
        <v/>
      </c>
    </row>
    <row r="76">
      <c r="A76" s="54" t="n"/>
      <c r="B76" s="61" t="n"/>
      <c r="C76" s="62" t="n"/>
      <c r="D76" s="57" t="n"/>
      <c r="E76" s="57" t="n"/>
      <c r="F76" s="58" t="n"/>
      <c r="G76" s="66">
        <f>IF(tblFleet[[#This Row],[Units]]="","",tblFleet[[#This Row],[Units]]*24)</f>
        <v/>
      </c>
      <c r="H76" s="66">
        <f>IF(tblFleet[[#This Row],[Units]]="","",tblFleet[[#This Row],[Calendar_h]]-tblFleet[[#This Row],[Down_h]])</f>
        <v/>
      </c>
      <c r="I76" s="60">
        <f>IF(AND(tblFleet[[#This Row],[Units]]&lt;&gt;"",tblFleet[[#This Row],[Calendar_h]]&gt;0),tblFleet[[#This Row],[Available_h]]/tblFleet[[#This Row],[Calendar_h]],"")</f>
        <v/>
      </c>
      <c r="J76" s="60">
        <f>IF(AND(tblFleet[[#This Row],[Units]]&lt;&gt;"",tblFleet[[#This Row],[Available_h]]&gt;0),tblFleet[[#This Row],[Operating_h]]/tblFleet[[#This Row],[Available_h]],"")</f>
        <v/>
      </c>
    </row>
    <row r="77">
      <c r="A77" s="54" t="n"/>
      <c r="B77" s="61" t="n"/>
      <c r="C77" s="62" t="n"/>
      <c r="D77" s="57" t="n"/>
      <c r="E77" s="57" t="n"/>
      <c r="F77" s="58" t="n"/>
      <c r="G77" s="66">
        <f>IF(tblFleet[[#This Row],[Units]]="","",tblFleet[[#This Row],[Units]]*24)</f>
        <v/>
      </c>
      <c r="H77" s="66">
        <f>IF(tblFleet[[#This Row],[Units]]="","",tblFleet[[#This Row],[Calendar_h]]-tblFleet[[#This Row],[Down_h]])</f>
        <v/>
      </c>
      <c r="I77" s="60">
        <f>IF(AND(tblFleet[[#This Row],[Units]]&lt;&gt;"",tblFleet[[#This Row],[Calendar_h]]&gt;0),tblFleet[[#This Row],[Available_h]]/tblFleet[[#This Row],[Calendar_h]],"")</f>
        <v/>
      </c>
      <c r="J77" s="60">
        <f>IF(AND(tblFleet[[#This Row],[Units]]&lt;&gt;"",tblFleet[[#This Row],[Available_h]]&gt;0),tblFleet[[#This Row],[Operating_h]]/tblFleet[[#This Row],[Available_h]],"")</f>
        <v/>
      </c>
    </row>
    <row r="78">
      <c r="A78" s="54" t="n"/>
      <c r="B78" s="61" t="n"/>
      <c r="C78" s="62" t="n"/>
      <c r="D78" s="57" t="n"/>
      <c r="E78" s="57" t="n"/>
      <c r="F78" s="58" t="n"/>
      <c r="G78" s="66">
        <f>IF(tblFleet[[#This Row],[Units]]="","",tblFleet[[#This Row],[Units]]*24)</f>
        <v/>
      </c>
      <c r="H78" s="66">
        <f>IF(tblFleet[[#This Row],[Units]]="","",tblFleet[[#This Row],[Calendar_h]]-tblFleet[[#This Row],[Down_h]])</f>
        <v/>
      </c>
      <c r="I78" s="60">
        <f>IF(AND(tblFleet[[#This Row],[Units]]&lt;&gt;"",tblFleet[[#This Row],[Calendar_h]]&gt;0),tblFleet[[#This Row],[Available_h]]/tblFleet[[#This Row],[Calendar_h]],"")</f>
        <v/>
      </c>
      <c r="J78" s="60">
        <f>IF(AND(tblFleet[[#This Row],[Units]]&lt;&gt;"",tblFleet[[#This Row],[Available_h]]&gt;0),tblFleet[[#This Row],[Operating_h]]/tblFleet[[#This Row],[Available_h]],"")</f>
        <v/>
      </c>
    </row>
    <row r="79">
      <c r="A79" s="54" t="n"/>
      <c r="B79" s="61" t="n"/>
      <c r="C79" s="62" t="n"/>
      <c r="D79" s="57" t="n"/>
      <c r="E79" s="57" t="n"/>
      <c r="F79" s="58" t="n"/>
      <c r="G79" s="66">
        <f>IF(tblFleet[[#This Row],[Units]]="","",tblFleet[[#This Row],[Units]]*24)</f>
        <v/>
      </c>
      <c r="H79" s="66">
        <f>IF(tblFleet[[#This Row],[Units]]="","",tblFleet[[#This Row],[Calendar_h]]-tblFleet[[#This Row],[Down_h]])</f>
        <v/>
      </c>
      <c r="I79" s="60">
        <f>IF(AND(tblFleet[[#This Row],[Units]]&lt;&gt;"",tblFleet[[#This Row],[Calendar_h]]&gt;0),tblFleet[[#This Row],[Available_h]]/tblFleet[[#This Row],[Calendar_h]],"")</f>
        <v/>
      </c>
      <c r="J79" s="60">
        <f>IF(AND(tblFleet[[#This Row],[Units]]&lt;&gt;"",tblFleet[[#This Row],[Available_h]]&gt;0),tblFleet[[#This Row],[Operating_h]]/tblFleet[[#This Row],[Available_h]],"")</f>
        <v/>
      </c>
    </row>
    <row r="80">
      <c r="A80" s="54" t="n"/>
      <c r="B80" s="61" t="n"/>
      <c r="C80" s="62" t="n"/>
      <c r="D80" s="57" t="n"/>
      <c r="E80" s="57" t="n"/>
      <c r="F80" s="58" t="n"/>
      <c r="G80" s="66">
        <f>IF(tblFleet[[#This Row],[Units]]="","",tblFleet[[#This Row],[Units]]*24)</f>
        <v/>
      </c>
      <c r="H80" s="66">
        <f>IF(tblFleet[[#This Row],[Units]]="","",tblFleet[[#This Row],[Calendar_h]]-tblFleet[[#This Row],[Down_h]])</f>
        <v/>
      </c>
      <c r="I80" s="60">
        <f>IF(AND(tblFleet[[#This Row],[Units]]&lt;&gt;"",tblFleet[[#This Row],[Calendar_h]]&gt;0),tblFleet[[#This Row],[Available_h]]/tblFleet[[#This Row],[Calendar_h]],"")</f>
        <v/>
      </c>
      <c r="J80" s="60">
        <f>IF(AND(tblFleet[[#This Row],[Units]]&lt;&gt;"",tblFleet[[#This Row],[Available_h]]&gt;0),tblFleet[[#This Row],[Operating_h]]/tblFleet[[#This Row],[Available_h]],"")</f>
        <v/>
      </c>
    </row>
    <row r="81">
      <c r="A81" s="54" t="n"/>
      <c r="B81" s="61" t="n"/>
      <c r="C81" s="62" t="n"/>
      <c r="D81" s="57" t="n"/>
      <c r="E81" s="57" t="n"/>
      <c r="F81" s="58" t="n"/>
      <c r="G81" s="66">
        <f>IF(tblFleet[[#This Row],[Units]]="","",tblFleet[[#This Row],[Units]]*24)</f>
        <v/>
      </c>
      <c r="H81" s="66">
        <f>IF(tblFleet[[#This Row],[Units]]="","",tblFleet[[#This Row],[Calendar_h]]-tblFleet[[#This Row],[Down_h]])</f>
        <v/>
      </c>
      <c r="I81" s="60">
        <f>IF(AND(tblFleet[[#This Row],[Units]]&lt;&gt;"",tblFleet[[#This Row],[Calendar_h]]&gt;0),tblFleet[[#This Row],[Available_h]]/tblFleet[[#This Row],[Calendar_h]],"")</f>
        <v/>
      </c>
      <c r="J81" s="60">
        <f>IF(AND(tblFleet[[#This Row],[Units]]&lt;&gt;"",tblFleet[[#This Row],[Available_h]]&gt;0),tblFleet[[#This Row],[Operating_h]]/tblFleet[[#This Row],[Available_h]],"")</f>
        <v/>
      </c>
    </row>
    <row r="82">
      <c r="A82" s="54" t="n"/>
      <c r="B82" s="61" t="n"/>
      <c r="C82" s="62" t="n"/>
      <c r="D82" s="57" t="n"/>
      <c r="E82" s="57" t="n"/>
      <c r="F82" s="58" t="n"/>
      <c r="G82" s="66">
        <f>IF(tblFleet[[#This Row],[Units]]="","",tblFleet[[#This Row],[Units]]*24)</f>
        <v/>
      </c>
      <c r="H82" s="66">
        <f>IF(tblFleet[[#This Row],[Units]]="","",tblFleet[[#This Row],[Calendar_h]]-tblFleet[[#This Row],[Down_h]])</f>
        <v/>
      </c>
      <c r="I82" s="60">
        <f>IF(AND(tblFleet[[#This Row],[Units]]&lt;&gt;"",tblFleet[[#This Row],[Calendar_h]]&gt;0),tblFleet[[#This Row],[Available_h]]/tblFleet[[#This Row],[Calendar_h]],"")</f>
        <v/>
      </c>
      <c r="J82" s="60">
        <f>IF(AND(tblFleet[[#This Row],[Units]]&lt;&gt;"",tblFleet[[#This Row],[Available_h]]&gt;0),tblFleet[[#This Row],[Operating_h]]/tblFleet[[#This Row],[Available_h]],"")</f>
        <v/>
      </c>
    </row>
    <row r="83">
      <c r="A83" s="54" t="n"/>
      <c r="B83" s="61" t="n"/>
      <c r="C83" s="62" t="n"/>
      <c r="D83" s="57" t="n"/>
      <c r="E83" s="57" t="n"/>
      <c r="F83" s="58" t="n"/>
      <c r="G83" s="66">
        <f>IF(tblFleet[[#This Row],[Units]]="","",tblFleet[[#This Row],[Units]]*24)</f>
        <v/>
      </c>
      <c r="H83" s="66">
        <f>IF(tblFleet[[#This Row],[Units]]="","",tblFleet[[#This Row],[Calendar_h]]-tblFleet[[#This Row],[Down_h]])</f>
        <v/>
      </c>
      <c r="I83" s="60">
        <f>IF(AND(tblFleet[[#This Row],[Units]]&lt;&gt;"",tblFleet[[#This Row],[Calendar_h]]&gt;0),tblFleet[[#This Row],[Available_h]]/tblFleet[[#This Row],[Calendar_h]],"")</f>
        <v/>
      </c>
      <c r="J83" s="60">
        <f>IF(AND(tblFleet[[#This Row],[Units]]&lt;&gt;"",tblFleet[[#This Row],[Available_h]]&gt;0),tblFleet[[#This Row],[Operating_h]]/tblFleet[[#This Row],[Available_h]],"")</f>
        <v/>
      </c>
    </row>
    <row r="84">
      <c r="A84" s="54" t="n"/>
      <c r="B84" s="61" t="n"/>
      <c r="C84" s="62" t="n"/>
      <c r="D84" s="57" t="n"/>
      <c r="E84" s="57" t="n"/>
      <c r="F84" s="58" t="n"/>
      <c r="G84" s="66">
        <f>IF(tblFleet[[#This Row],[Units]]="","",tblFleet[[#This Row],[Units]]*24)</f>
        <v/>
      </c>
      <c r="H84" s="66">
        <f>IF(tblFleet[[#This Row],[Units]]="","",tblFleet[[#This Row],[Calendar_h]]-tblFleet[[#This Row],[Down_h]])</f>
        <v/>
      </c>
      <c r="I84" s="60">
        <f>IF(AND(tblFleet[[#This Row],[Units]]&lt;&gt;"",tblFleet[[#This Row],[Calendar_h]]&gt;0),tblFleet[[#This Row],[Available_h]]/tblFleet[[#This Row],[Calendar_h]],"")</f>
        <v/>
      </c>
      <c r="J84" s="60">
        <f>IF(AND(tblFleet[[#This Row],[Units]]&lt;&gt;"",tblFleet[[#This Row],[Available_h]]&gt;0),tblFleet[[#This Row],[Operating_h]]/tblFleet[[#This Row],[Available_h]],"")</f>
        <v/>
      </c>
    </row>
    <row r="85">
      <c r="A85" s="54" t="n"/>
      <c r="B85" s="61" t="n"/>
      <c r="C85" s="62" t="n"/>
      <c r="D85" s="57" t="n"/>
      <c r="E85" s="57" t="n"/>
      <c r="F85" s="58" t="n"/>
      <c r="G85" s="66">
        <f>IF(tblFleet[[#This Row],[Units]]="","",tblFleet[[#This Row],[Units]]*24)</f>
        <v/>
      </c>
      <c r="H85" s="66">
        <f>IF(tblFleet[[#This Row],[Units]]="","",tblFleet[[#This Row],[Calendar_h]]-tblFleet[[#This Row],[Down_h]])</f>
        <v/>
      </c>
      <c r="I85" s="60">
        <f>IF(AND(tblFleet[[#This Row],[Units]]&lt;&gt;"",tblFleet[[#This Row],[Calendar_h]]&gt;0),tblFleet[[#This Row],[Available_h]]/tblFleet[[#This Row],[Calendar_h]],"")</f>
        <v/>
      </c>
      <c r="J85" s="60">
        <f>IF(AND(tblFleet[[#This Row],[Units]]&lt;&gt;"",tblFleet[[#This Row],[Available_h]]&gt;0),tblFleet[[#This Row],[Operating_h]]/tblFleet[[#This Row],[Available_h]],"")</f>
        <v/>
      </c>
    </row>
    <row r="86">
      <c r="A86" s="54" t="n"/>
      <c r="B86" s="61" t="n"/>
      <c r="C86" s="62" t="n"/>
      <c r="D86" s="57" t="n"/>
      <c r="E86" s="57" t="n"/>
      <c r="F86" s="58" t="n"/>
      <c r="G86" s="66">
        <f>IF(tblFleet[[#This Row],[Units]]="","",tblFleet[[#This Row],[Units]]*24)</f>
        <v/>
      </c>
      <c r="H86" s="66">
        <f>IF(tblFleet[[#This Row],[Units]]="","",tblFleet[[#This Row],[Calendar_h]]-tblFleet[[#This Row],[Down_h]])</f>
        <v/>
      </c>
      <c r="I86" s="60">
        <f>IF(AND(tblFleet[[#This Row],[Units]]&lt;&gt;"",tblFleet[[#This Row],[Calendar_h]]&gt;0),tblFleet[[#This Row],[Available_h]]/tblFleet[[#This Row],[Calendar_h]],"")</f>
        <v/>
      </c>
      <c r="J86" s="60">
        <f>IF(AND(tblFleet[[#This Row],[Units]]&lt;&gt;"",tblFleet[[#This Row],[Available_h]]&gt;0),tblFleet[[#This Row],[Operating_h]]/tblFleet[[#This Row],[Available_h]],"")</f>
        <v/>
      </c>
    </row>
    <row r="87">
      <c r="A87" s="54" t="n"/>
      <c r="B87" s="61" t="n"/>
      <c r="C87" s="62" t="n"/>
      <c r="D87" s="57" t="n"/>
      <c r="E87" s="57" t="n"/>
      <c r="F87" s="58" t="n"/>
      <c r="G87" s="66">
        <f>IF(tblFleet[[#This Row],[Units]]="","",tblFleet[[#This Row],[Units]]*24)</f>
        <v/>
      </c>
      <c r="H87" s="66">
        <f>IF(tblFleet[[#This Row],[Units]]="","",tblFleet[[#This Row],[Calendar_h]]-tblFleet[[#This Row],[Down_h]])</f>
        <v/>
      </c>
      <c r="I87" s="60">
        <f>IF(AND(tblFleet[[#This Row],[Units]]&lt;&gt;"",tblFleet[[#This Row],[Calendar_h]]&gt;0),tblFleet[[#This Row],[Available_h]]/tblFleet[[#This Row],[Calendar_h]],"")</f>
        <v/>
      </c>
      <c r="J87" s="60">
        <f>IF(AND(tblFleet[[#This Row],[Units]]&lt;&gt;"",tblFleet[[#This Row],[Available_h]]&gt;0),tblFleet[[#This Row],[Operating_h]]/tblFleet[[#This Row],[Available_h]],"")</f>
        <v/>
      </c>
    </row>
    <row r="88">
      <c r="A88" s="54" t="n"/>
      <c r="B88" s="61" t="n"/>
      <c r="C88" s="62" t="n"/>
      <c r="D88" s="57" t="n"/>
      <c r="E88" s="57" t="n"/>
      <c r="F88" s="58" t="n"/>
      <c r="G88" s="66">
        <f>IF(tblFleet[[#This Row],[Units]]="","",tblFleet[[#This Row],[Units]]*24)</f>
        <v/>
      </c>
      <c r="H88" s="66">
        <f>IF(tblFleet[[#This Row],[Units]]="","",tblFleet[[#This Row],[Calendar_h]]-tblFleet[[#This Row],[Down_h]])</f>
        <v/>
      </c>
      <c r="I88" s="60">
        <f>IF(AND(tblFleet[[#This Row],[Units]]&lt;&gt;"",tblFleet[[#This Row],[Calendar_h]]&gt;0),tblFleet[[#This Row],[Available_h]]/tblFleet[[#This Row],[Calendar_h]],"")</f>
        <v/>
      </c>
      <c r="J88" s="60">
        <f>IF(AND(tblFleet[[#This Row],[Units]]&lt;&gt;"",tblFleet[[#This Row],[Available_h]]&gt;0),tblFleet[[#This Row],[Operating_h]]/tblFleet[[#This Row],[Available_h]],"")</f>
        <v/>
      </c>
    </row>
    <row r="89">
      <c r="A89" s="54" t="n"/>
      <c r="B89" s="61" t="n"/>
      <c r="C89" s="62" t="n"/>
      <c r="D89" s="57" t="n"/>
      <c r="E89" s="57" t="n"/>
      <c r="F89" s="58" t="n"/>
      <c r="G89" s="66">
        <f>IF(tblFleet[[#This Row],[Units]]="","",tblFleet[[#This Row],[Units]]*24)</f>
        <v/>
      </c>
      <c r="H89" s="66">
        <f>IF(tblFleet[[#This Row],[Units]]="","",tblFleet[[#This Row],[Calendar_h]]-tblFleet[[#This Row],[Down_h]])</f>
        <v/>
      </c>
      <c r="I89" s="60">
        <f>IF(AND(tblFleet[[#This Row],[Units]]&lt;&gt;"",tblFleet[[#This Row],[Calendar_h]]&gt;0),tblFleet[[#This Row],[Available_h]]/tblFleet[[#This Row],[Calendar_h]],"")</f>
        <v/>
      </c>
      <c r="J89" s="60">
        <f>IF(AND(tblFleet[[#This Row],[Units]]&lt;&gt;"",tblFleet[[#This Row],[Available_h]]&gt;0),tblFleet[[#This Row],[Operating_h]]/tblFleet[[#This Row],[Available_h]],"")</f>
        <v/>
      </c>
    </row>
    <row r="90">
      <c r="A90" s="54" t="n"/>
      <c r="B90" s="61" t="n"/>
      <c r="C90" s="62" t="n"/>
      <c r="D90" s="57" t="n"/>
      <c r="E90" s="57" t="n"/>
      <c r="F90" s="58" t="n"/>
      <c r="G90" s="66">
        <f>IF(tblFleet[[#This Row],[Units]]="","",tblFleet[[#This Row],[Units]]*24)</f>
        <v/>
      </c>
      <c r="H90" s="66">
        <f>IF(tblFleet[[#This Row],[Units]]="","",tblFleet[[#This Row],[Calendar_h]]-tblFleet[[#This Row],[Down_h]])</f>
        <v/>
      </c>
      <c r="I90" s="60">
        <f>IF(AND(tblFleet[[#This Row],[Units]]&lt;&gt;"",tblFleet[[#This Row],[Calendar_h]]&gt;0),tblFleet[[#This Row],[Available_h]]/tblFleet[[#This Row],[Calendar_h]],"")</f>
        <v/>
      </c>
      <c r="J90" s="60">
        <f>IF(AND(tblFleet[[#This Row],[Units]]&lt;&gt;"",tblFleet[[#This Row],[Available_h]]&gt;0),tblFleet[[#This Row],[Operating_h]]/tblFleet[[#This Row],[Available_h]],"")</f>
        <v/>
      </c>
    </row>
    <row r="91">
      <c r="A91" s="54" t="n"/>
      <c r="B91" s="61" t="n"/>
      <c r="C91" s="62" t="n"/>
      <c r="D91" s="57" t="n"/>
      <c r="E91" s="57" t="n"/>
      <c r="F91" s="58" t="n"/>
      <c r="G91" s="66">
        <f>IF(tblFleet[[#This Row],[Units]]="","",tblFleet[[#This Row],[Units]]*24)</f>
        <v/>
      </c>
      <c r="H91" s="66">
        <f>IF(tblFleet[[#This Row],[Units]]="","",tblFleet[[#This Row],[Calendar_h]]-tblFleet[[#This Row],[Down_h]])</f>
        <v/>
      </c>
      <c r="I91" s="60">
        <f>IF(AND(tblFleet[[#This Row],[Units]]&lt;&gt;"",tblFleet[[#This Row],[Calendar_h]]&gt;0),tblFleet[[#This Row],[Available_h]]/tblFleet[[#This Row],[Calendar_h]],"")</f>
        <v/>
      </c>
      <c r="J91" s="60">
        <f>IF(AND(tblFleet[[#This Row],[Units]]&lt;&gt;"",tblFleet[[#This Row],[Available_h]]&gt;0),tblFleet[[#This Row],[Operating_h]]/tblFleet[[#This Row],[Available_h]],"")</f>
        <v/>
      </c>
    </row>
    <row r="92">
      <c r="A92" s="54" t="n"/>
      <c r="B92" s="61" t="n"/>
      <c r="C92" s="62" t="n"/>
      <c r="D92" s="57" t="n"/>
      <c r="E92" s="57" t="n"/>
      <c r="F92" s="58" t="n"/>
      <c r="G92" s="66">
        <f>IF(tblFleet[[#This Row],[Units]]="","",tblFleet[[#This Row],[Units]]*24)</f>
        <v/>
      </c>
      <c r="H92" s="66">
        <f>IF(tblFleet[[#This Row],[Units]]="","",tblFleet[[#This Row],[Calendar_h]]-tblFleet[[#This Row],[Down_h]])</f>
        <v/>
      </c>
      <c r="I92" s="60">
        <f>IF(AND(tblFleet[[#This Row],[Units]]&lt;&gt;"",tblFleet[[#This Row],[Calendar_h]]&gt;0),tblFleet[[#This Row],[Available_h]]/tblFleet[[#This Row],[Calendar_h]],"")</f>
        <v/>
      </c>
      <c r="J92" s="60">
        <f>IF(AND(tblFleet[[#This Row],[Units]]&lt;&gt;"",tblFleet[[#This Row],[Available_h]]&gt;0),tblFleet[[#This Row],[Operating_h]]/tblFleet[[#This Row],[Available_h]],"")</f>
        <v/>
      </c>
    </row>
    <row r="93">
      <c r="A93" s="54" t="n"/>
      <c r="B93" s="61" t="n"/>
      <c r="C93" s="62" t="n"/>
      <c r="D93" s="57" t="n"/>
      <c r="E93" s="57" t="n"/>
      <c r="F93" s="58" t="n"/>
      <c r="G93" s="66">
        <f>IF(tblFleet[[#This Row],[Units]]="","",tblFleet[[#This Row],[Units]]*24)</f>
        <v/>
      </c>
      <c r="H93" s="66">
        <f>IF(tblFleet[[#This Row],[Units]]="","",tblFleet[[#This Row],[Calendar_h]]-tblFleet[[#This Row],[Down_h]])</f>
        <v/>
      </c>
      <c r="I93" s="60">
        <f>IF(AND(tblFleet[[#This Row],[Units]]&lt;&gt;"",tblFleet[[#This Row],[Calendar_h]]&gt;0),tblFleet[[#This Row],[Available_h]]/tblFleet[[#This Row],[Calendar_h]],"")</f>
        <v/>
      </c>
      <c r="J93" s="60">
        <f>IF(AND(tblFleet[[#This Row],[Units]]&lt;&gt;"",tblFleet[[#This Row],[Available_h]]&gt;0),tblFleet[[#This Row],[Operating_h]]/tblFleet[[#This Row],[Available_h]],"")</f>
        <v/>
      </c>
    </row>
    <row r="94">
      <c r="A94" s="54" t="n"/>
      <c r="B94" s="61" t="n"/>
      <c r="C94" s="62" t="n"/>
      <c r="D94" s="57" t="n"/>
      <c r="E94" s="57" t="n"/>
      <c r="F94" s="58" t="n"/>
      <c r="G94" s="66">
        <f>IF(tblFleet[[#This Row],[Units]]="","",tblFleet[[#This Row],[Units]]*24)</f>
        <v/>
      </c>
      <c r="H94" s="66">
        <f>IF(tblFleet[[#This Row],[Units]]="","",tblFleet[[#This Row],[Calendar_h]]-tblFleet[[#This Row],[Down_h]])</f>
        <v/>
      </c>
      <c r="I94" s="60">
        <f>IF(AND(tblFleet[[#This Row],[Units]]&lt;&gt;"",tblFleet[[#This Row],[Calendar_h]]&gt;0),tblFleet[[#This Row],[Available_h]]/tblFleet[[#This Row],[Calendar_h]],"")</f>
        <v/>
      </c>
      <c r="J94" s="60">
        <f>IF(AND(tblFleet[[#This Row],[Units]]&lt;&gt;"",tblFleet[[#This Row],[Available_h]]&gt;0),tblFleet[[#This Row],[Operating_h]]/tblFleet[[#This Row],[Available_h]],"")</f>
        <v/>
      </c>
    </row>
    <row r="95">
      <c r="A95" s="54" t="n"/>
      <c r="B95" s="61" t="n"/>
      <c r="C95" s="62" t="n"/>
      <c r="D95" s="57" t="n"/>
      <c r="E95" s="57" t="n"/>
      <c r="F95" s="58" t="n"/>
      <c r="G95" s="66">
        <f>IF(tblFleet[[#This Row],[Units]]="","",tblFleet[[#This Row],[Units]]*24)</f>
        <v/>
      </c>
      <c r="H95" s="66">
        <f>IF(tblFleet[[#This Row],[Units]]="","",tblFleet[[#This Row],[Calendar_h]]-tblFleet[[#This Row],[Down_h]])</f>
        <v/>
      </c>
      <c r="I95" s="60">
        <f>IF(AND(tblFleet[[#This Row],[Units]]&lt;&gt;"",tblFleet[[#This Row],[Calendar_h]]&gt;0),tblFleet[[#This Row],[Available_h]]/tblFleet[[#This Row],[Calendar_h]],"")</f>
        <v/>
      </c>
      <c r="J95" s="60">
        <f>IF(AND(tblFleet[[#This Row],[Units]]&lt;&gt;"",tblFleet[[#This Row],[Available_h]]&gt;0),tblFleet[[#This Row],[Operating_h]]/tblFleet[[#This Row],[Available_h]],"")</f>
        <v/>
      </c>
    </row>
    <row r="96">
      <c r="A96" s="54" t="n"/>
      <c r="B96" s="61" t="n"/>
      <c r="C96" s="62" t="n"/>
      <c r="D96" s="57" t="n"/>
      <c r="E96" s="57" t="n"/>
      <c r="F96" s="58" t="n"/>
      <c r="G96" s="66">
        <f>IF(tblFleet[[#This Row],[Units]]="","",tblFleet[[#This Row],[Units]]*24)</f>
        <v/>
      </c>
      <c r="H96" s="66">
        <f>IF(tblFleet[[#This Row],[Units]]="","",tblFleet[[#This Row],[Calendar_h]]-tblFleet[[#This Row],[Down_h]])</f>
        <v/>
      </c>
      <c r="I96" s="60">
        <f>IF(AND(tblFleet[[#This Row],[Units]]&lt;&gt;"",tblFleet[[#This Row],[Calendar_h]]&gt;0),tblFleet[[#This Row],[Available_h]]/tblFleet[[#This Row],[Calendar_h]],"")</f>
        <v/>
      </c>
      <c r="J96" s="60">
        <f>IF(AND(tblFleet[[#This Row],[Units]]&lt;&gt;"",tblFleet[[#This Row],[Available_h]]&gt;0),tblFleet[[#This Row],[Operating_h]]/tblFleet[[#This Row],[Available_h]],"")</f>
        <v/>
      </c>
    </row>
    <row r="97">
      <c r="A97" s="54" t="n"/>
      <c r="B97" s="61" t="n"/>
      <c r="C97" s="62" t="n"/>
      <c r="D97" s="57" t="n"/>
      <c r="E97" s="57" t="n"/>
      <c r="F97" s="58" t="n"/>
      <c r="G97" s="66">
        <f>IF(tblFleet[[#This Row],[Units]]="","",tblFleet[[#This Row],[Units]]*24)</f>
        <v/>
      </c>
      <c r="H97" s="66">
        <f>IF(tblFleet[[#This Row],[Units]]="","",tblFleet[[#This Row],[Calendar_h]]-tblFleet[[#This Row],[Down_h]])</f>
        <v/>
      </c>
      <c r="I97" s="60">
        <f>IF(AND(tblFleet[[#This Row],[Units]]&lt;&gt;"",tblFleet[[#This Row],[Calendar_h]]&gt;0),tblFleet[[#This Row],[Available_h]]/tblFleet[[#This Row],[Calendar_h]],"")</f>
        <v/>
      </c>
      <c r="J97" s="60">
        <f>IF(AND(tblFleet[[#This Row],[Units]]&lt;&gt;"",tblFleet[[#This Row],[Available_h]]&gt;0),tblFleet[[#This Row],[Operating_h]]/tblFleet[[#This Row],[Available_h]],"")</f>
        <v/>
      </c>
    </row>
    <row r="98">
      <c r="A98" s="54" t="n"/>
      <c r="B98" s="61" t="n"/>
      <c r="C98" s="62" t="n"/>
      <c r="D98" s="57" t="n"/>
      <c r="E98" s="57" t="n"/>
      <c r="F98" s="58" t="n"/>
      <c r="G98" s="66">
        <f>IF(tblFleet[[#This Row],[Units]]="","",tblFleet[[#This Row],[Units]]*24)</f>
        <v/>
      </c>
      <c r="H98" s="66">
        <f>IF(tblFleet[[#This Row],[Units]]="","",tblFleet[[#This Row],[Calendar_h]]-tblFleet[[#This Row],[Down_h]])</f>
        <v/>
      </c>
      <c r="I98" s="60">
        <f>IF(AND(tblFleet[[#This Row],[Units]]&lt;&gt;"",tblFleet[[#This Row],[Calendar_h]]&gt;0),tblFleet[[#This Row],[Available_h]]/tblFleet[[#This Row],[Calendar_h]],"")</f>
        <v/>
      </c>
      <c r="J98" s="60">
        <f>IF(AND(tblFleet[[#This Row],[Units]]&lt;&gt;"",tblFleet[[#This Row],[Available_h]]&gt;0),tblFleet[[#This Row],[Operating_h]]/tblFleet[[#This Row],[Available_h]],"")</f>
        <v/>
      </c>
    </row>
    <row r="99">
      <c r="A99" s="54" t="n"/>
      <c r="B99" s="61" t="n"/>
      <c r="C99" s="62" t="n"/>
      <c r="D99" s="57" t="n"/>
      <c r="E99" s="57" t="n"/>
      <c r="F99" s="58" t="n"/>
      <c r="G99" s="66">
        <f>IF(tblFleet[[#This Row],[Units]]="","",tblFleet[[#This Row],[Units]]*24)</f>
        <v/>
      </c>
      <c r="H99" s="66">
        <f>IF(tblFleet[[#This Row],[Units]]="","",tblFleet[[#This Row],[Calendar_h]]-tblFleet[[#This Row],[Down_h]])</f>
        <v/>
      </c>
      <c r="I99" s="60">
        <f>IF(AND(tblFleet[[#This Row],[Units]]&lt;&gt;"",tblFleet[[#This Row],[Calendar_h]]&gt;0),tblFleet[[#This Row],[Available_h]]/tblFleet[[#This Row],[Calendar_h]],"")</f>
        <v/>
      </c>
      <c r="J99" s="60">
        <f>IF(AND(tblFleet[[#This Row],[Units]]&lt;&gt;"",tblFleet[[#This Row],[Available_h]]&gt;0),tblFleet[[#This Row],[Operating_h]]/tblFleet[[#This Row],[Available_h]],"")</f>
        <v/>
      </c>
    </row>
    <row r="100">
      <c r="A100" s="54" t="n"/>
      <c r="B100" s="61" t="n"/>
      <c r="C100" s="62" t="n"/>
      <c r="D100" s="57" t="n"/>
      <c r="E100" s="57" t="n"/>
      <c r="F100" s="58" t="n"/>
      <c r="G100" s="66">
        <f>IF(tblFleet[[#This Row],[Units]]="","",tblFleet[[#This Row],[Units]]*24)</f>
        <v/>
      </c>
      <c r="H100" s="66">
        <f>IF(tblFleet[[#This Row],[Units]]="","",tblFleet[[#This Row],[Calendar_h]]-tblFleet[[#This Row],[Down_h]])</f>
        <v/>
      </c>
      <c r="I100" s="60">
        <f>IF(AND(tblFleet[[#This Row],[Units]]&lt;&gt;"",tblFleet[[#This Row],[Calendar_h]]&gt;0),tblFleet[[#This Row],[Available_h]]/tblFleet[[#This Row],[Calendar_h]],"")</f>
        <v/>
      </c>
      <c r="J100" s="60">
        <f>IF(AND(tblFleet[[#This Row],[Units]]&lt;&gt;"",tblFleet[[#This Row],[Available_h]]&gt;0),tblFleet[[#This Row],[Operating_h]]/tblFleet[[#This Row],[Available_h]],"")</f>
        <v/>
      </c>
    </row>
    <row r="101">
      <c r="A101" s="54" t="n"/>
      <c r="B101" s="61" t="n"/>
      <c r="C101" s="62" t="n"/>
      <c r="D101" s="57" t="n"/>
      <c r="E101" s="57" t="n"/>
      <c r="F101" s="58" t="n"/>
      <c r="G101" s="66">
        <f>IF(tblFleet[[#This Row],[Units]]="","",tblFleet[[#This Row],[Units]]*24)</f>
        <v/>
      </c>
      <c r="H101" s="66">
        <f>IF(tblFleet[[#This Row],[Units]]="","",tblFleet[[#This Row],[Calendar_h]]-tblFleet[[#This Row],[Down_h]])</f>
        <v/>
      </c>
      <c r="I101" s="60">
        <f>IF(AND(tblFleet[[#This Row],[Units]]&lt;&gt;"",tblFleet[[#This Row],[Calendar_h]]&gt;0),tblFleet[[#This Row],[Available_h]]/tblFleet[[#This Row],[Calendar_h]],"")</f>
        <v/>
      </c>
      <c r="J101" s="60">
        <f>IF(AND(tblFleet[[#This Row],[Units]]&lt;&gt;"",tblFleet[[#This Row],[Available_h]]&gt;0),tblFleet[[#This Row],[Operating_h]]/tblFleet[[#This Row],[Available_h]],"")</f>
        <v/>
      </c>
    </row>
    <row r="102">
      <c r="A102" s="54" t="n"/>
      <c r="B102" s="61" t="n"/>
      <c r="C102" s="62" t="n"/>
      <c r="D102" s="57" t="n"/>
      <c r="E102" s="57" t="n"/>
      <c r="F102" s="58" t="n"/>
      <c r="G102" s="66">
        <f>IF(tblFleet[[#This Row],[Units]]="","",tblFleet[[#This Row],[Units]]*24)</f>
        <v/>
      </c>
      <c r="H102" s="66">
        <f>IF(tblFleet[[#This Row],[Units]]="","",tblFleet[[#This Row],[Calendar_h]]-tblFleet[[#This Row],[Down_h]])</f>
        <v/>
      </c>
      <c r="I102" s="60">
        <f>IF(AND(tblFleet[[#This Row],[Units]]&lt;&gt;"",tblFleet[[#This Row],[Calendar_h]]&gt;0),tblFleet[[#This Row],[Available_h]]/tblFleet[[#This Row],[Calendar_h]],"")</f>
        <v/>
      </c>
      <c r="J102" s="60">
        <f>IF(AND(tblFleet[[#This Row],[Units]]&lt;&gt;"",tblFleet[[#This Row],[Available_h]]&gt;0),tblFleet[[#This Row],[Operating_h]]/tblFleet[[#This Row],[Available_h]],"")</f>
        <v/>
      </c>
    </row>
    <row r="103">
      <c r="A103" s="54" t="n"/>
      <c r="B103" s="61" t="n"/>
      <c r="C103" s="62" t="n"/>
      <c r="D103" s="57" t="n"/>
      <c r="E103" s="57" t="n"/>
      <c r="F103" s="58" t="n"/>
      <c r="G103" s="66">
        <f>IF(tblFleet[[#This Row],[Units]]="","",tblFleet[[#This Row],[Units]]*24)</f>
        <v/>
      </c>
      <c r="H103" s="66">
        <f>IF(tblFleet[[#This Row],[Units]]="","",tblFleet[[#This Row],[Calendar_h]]-tblFleet[[#This Row],[Down_h]])</f>
        <v/>
      </c>
      <c r="I103" s="60">
        <f>IF(AND(tblFleet[[#This Row],[Units]]&lt;&gt;"",tblFleet[[#This Row],[Calendar_h]]&gt;0),tblFleet[[#This Row],[Available_h]]/tblFleet[[#This Row],[Calendar_h]],"")</f>
        <v/>
      </c>
      <c r="J103" s="60">
        <f>IF(AND(tblFleet[[#This Row],[Units]]&lt;&gt;"",tblFleet[[#This Row],[Available_h]]&gt;0),tblFleet[[#This Row],[Operating_h]]/tblFleet[[#This Row],[Available_h]],"")</f>
        <v/>
      </c>
    </row>
    <row r="104">
      <c r="A104" s="54" t="n"/>
      <c r="B104" s="61" t="n"/>
      <c r="C104" s="62" t="n"/>
      <c r="D104" s="57" t="n"/>
      <c r="E104" s="57" t="n"/>
      <c r="F104" s="58" t="n"/>
      <c r="G104" s="66">
        <f>IF(tblFleet[[#This Row],[Units]]="","",tblFleet[[#This Row],[Units]]*24)</f>
        <v/>
      </c>
      <c r="H104" s="66">
        <f>IF(tblFleet[[#This Row],[Units]]="","",tblFleet[[#This Row],[Calendar_h]]-tblFleet[[#This Row],[Down_h]])</f>
        <v/>
      </c>
      <c r="I104" s="60">
        <f>IF(AND(tblFleet[[#This Row],[Units]]&lt;&gt;"",tblFleet[[#This Row],[Calendar_h]]&gt;0),tblFleet[[#This Row],[Available_h]]/tblFleet[[#This Row],[Calendar_h]],"")</f>
        <v/>
      </c>
      <c r="J104" s="60">
        <f>IF(AND(tblFleet[[#This Row],[Units]]&lt;&gt;"",tblFleet[[#This Row],[Available_h]]&gt;0),tblFleet[[#This Row],[Operating_h]]/tblFleet[[#This Row],[Available_h]],"")</f>
        <v/>
      </c>
    </row>
    <row r="105">
      <c r="A105" s="54" t="n"/>
      <c r="B105" s="61" t="n"/>
      <c r="C105" s="62" t="n"/>
      <c r="D105" s="57" t="n"/>
      <c r="E105" s="57" t="n"/>
      <c r="F105" s="58" t="n"/>
      <c r="G105" s="66">
        <f>IF(tblFleet[[#This Row],[Units]]="","",tblFleet[[#This Row],[Units]]*24)</f>
        <v/>
      </c>
      <c r="H105" s="66">
        <f>IF(tblFleet[[#This Row],[Units]]="","",tblFleet[[#This Row],[Calendar_h]]-tblFleet[[#This Row],[Down_h]])</f>
        <v/>
      </c>
      <c r="I105" s="60">
        <f>IF(AND(tblFleet[[#This Row],[Units]]&lt;&gt;"",tblFleet[[#This Row],[Calendar_h]]&gt;0),tblFleet[[#This Row],[Available_h]]/tblFleet[[#This Row],[Calendar_h]],"")</f>
        <v/>
      </c>
      <c r="J105" s="60">
        <f>IF(AND(tblFleet[[#This Row],[Units]]&lt;&gt;"",tblFleet[[#This Row],[Available_h]]&gt;0),tblFleet[[#This Row],[Operating_h]]/tblFleet[[#This Row],[Available_h]],"")</f>
        <v/>
      </c>
    </row>
    <row r="106">
      <c r="A106" s="54" t="n"/>
      <c r="B106" s="61" t="n"/>
      <c r="C106" s="62" t="n"/>
      <c r="D106" s="57" t="n"/>
      <c r="E106" s="57" t="n"/>
      <c r="F106" s="58" t="n"/>
      <c r="G106" s="66">
        <f>IF(tblFleet[[#This Row],[Units]]="","",tblFleet[[#This Row],[Units]]*24)</f>
        <v/>
      </c>
      <c r="H106" s="66">
        <f>IF(tblFleet[[#This Row],[Units]]="","",tblFleet[[#This Row],[Calendar_h]]-tblFleet[[#This Row],[Down_h]])</f>
        <v/>
      </c>
      <c r="I106" s="60">
        <f>IF(AND(tblFleet[[#This Row],[Units]]&lt;&gt;"",tblFleet[[#This Row],[Calendar_h]]&gt;0),tblFleet[[#This Row],[Available_h]]/tblFleet[[#This Row],[Calendar_h]],"")</f>
        <v/>
      </c>
      <c r="J106" s="60">
        <f>IF(AND(tblFleet[[#This Row],[Units]]&lt;&gt;"",tblFleet[[#This Row],[Available_h]]&gt;0),tblFleet[[#This Row],[Operating_h]]/tblFleet[[#This Row],[Available_h]],"")</f>
        <v/>
      </c>
    </row>
    <row r="107">
      <c r="A107" s="54" t="n"/>
      <c r="B107" s="61" t="n"/>
      <c r="C107" s="62" t="n"/>
      <c r="D107" s="57" t="n"/>
      <c r="E107" s="57" t="n"/>
      <c r="F107" s="58" t="n"/>
      <c r="G107" s="66">
        <f>IF(tblFleet[[#This Row],[Units]]="","",tblFleet[[#This Row],[Units]]*24)</f>
        <v/>
      </c>
      <c r="H107" s="66">
        <f>IF(tblFleet[[#This Row],[Units]]="","",tblFleet[[#This Row],[Calendar_h]]-tblFleet[[#This Row],[Down_h]])</f>
        <v/>
      </c>
      <c r="I107" s="60">
        <f>IF(AND(tblFleet[[#This Row],[Units]]&lt;&gt;"",tblFleet[[#This Row],[Calendar_h]]&gt;0),tblFleet[[#This Row],[Available_h]]/tblFleet[[#This Row],[Calendar_h]],"")</f>
        <v/>
      </c>
      <c r="J107" s="60">
        <f>IF(AND(tblFleet[[#This Row],[Units]]&lt;&gt;"",tblFleet[[#This Row],[Available_h]]&gt;0),tblFleet[[#This Row],[Operating_h]]/tblFleet[[#This Row],[Available_h]],"")</f>
        <v/>
      </c>
    </row>
    <row r="108">
      <c r="A108" s="54" t="n"/>
      <c r="B108" s="61" t="n"/>
      <c r="C108" s="62" t="n"/>
      <c r="D108" s="57" t="n"/>
      <c r="E108" s="57" t="n"/>
      <c r="F108" s="58" t="n"/>
      <c r="G108" s="66">
        <f>IF(tblFleet[[#This Row],[Units]]="","",tblFleet[[#This Row],[Units]]*24)</f>
        <v/>
      </c>
      <c r="H108" s="66">
        <f>IF(tblFleet[[#This Row],[Units]]="","",tblFleet[[#This Row],[Calendar_h]]-tblFleet[[#This Row],[Down_h]])</f>
        <v/>
      </c>
      <c r="I108" s="60">
        <f>IF(AND(tblFleet[[#This Row],[Units]]&lt;&gt;"",tblFleet[[#This Row],[Calendar_h]]&gt;0),tblFleet[[#This Row],[Available_h]]/tblFleet[[#This Row],[Calendar_h]],"")</f>
        <v/>
      </c>
      <c r="J108" s="60">
        <f>IF(AND(tblFleet[[#This Row],[Units]]&lt;&gt;"",tblFleet[[#This Row],[Available_h]]&gt;0),tblFleet[[#This Row],[Operating_h]]/tblFleet[[#This Row],[Available_h]],"")</f>
        <v/>
      </c>
    </row>
    <row r="109">
      <c r="A109" s="54" t="n"/>
      <c r="B109" s="61" t="n"/>
      <c r="C109" s="62" t="n"/>
      <c r="D109" s="57" t="n"/>
      <c r="E109" s="57" t="n"/>
      <c r="F109" s="58" t="n"/>
      <c r="G109" s="66">
        <f>IF(tblFleet[[#This Row],[Units]]="","",tblFleet[[#This Row],[Units]]*24)</f>
        <v/>
      </c>
      <c r="H109" s="66">
        <f>IF(tblFleet[[#This Row],[Units]]="","",tblFleet[[#This Row],[Calendar_h]]-tblFleet[[#This Row],[Down_h]])</f>
        <v/>
      </c>
      <c r="I109" s="60">
        <f>IF(AND(tblFleet[[#This Row],[Units]]&lt;&gt;"",tblFleet[[#This Row],[Calendar_h]]&gt;0),tblFleet[[#This Row],[Available_h]]/tblFleet[[#This Row],[Calendar_h]],"")</f>
        <v/>
      </c>
      <c r="J109" s="60">
        <f>IF(AND(tblFleet[[#This Row],[Units]]&lt;&gt;"",tblFleet[[#This Row],[Available_h]]&gt;0),tblFleet[[#This Row],[Operating_h]]/tblFleet[[#This Row],[Available_h]],"")</f>
        <v/>
      </c>
    </row>
    <row r="110">
      <c r="A110" s="54" t="n"/>
      <c r="B110" s="61" t="n"/>
      <c r="C110" s="62" t="n"/>
      <c r="D110" s="57" t="n"/>
      <c r="E110" s="57" t="n"/>
      <c r="F110" s="58" t="n"/>
      <c r="G110" s="66">
        <f>IF(tblFleet[[#This Row],[Units]]="","",tblFleet[[#This Row],[Units]]*24)</f>
        <v/>
      </c>
      <c r="H110" s="66">
        <f>IF(tblFleet[[#This Row],[Units]]="","",tblFleet[[#This Row],[Calendar_h]]-tblFleet[[#This Row],[Down_h]])</f>
        <v/>
      </c>
      <c r="I110" s="60">
        <f>IF(AND(tblFleet[[#This Row],[Units]]&lt;&gt;"",tblFleet[[#This Row],[Calendar_h]]&gt;0),tblFleet[[#This Row],[Available_h]]/tblFleet[[#This Row],[Calendar_h]],"")</f>
        <v/>
      </c>
      <c r="J110" s="60">
        <f>IF(AND(tblFleet[[#This Row],[Units]]&lt;&gt;"",tblFleet[[#This Row],[Available_h]]&gt;0),tblFleet[[#This Row],[Operating_h]]/tblFleet[[#This Row],[Available_h]],"")</f>
        <v/>
      </c>
    </row>
    <row r="111">
      <c r="A111" s="54" t="n"/>
      <c r="B111" s="61" t="n"/>
      <c r="C111" s="62" t="n"/>
      <c r="D111" s="57" t="n"/>
      <c r="E111" s="57" t="n"/>
      <c r="F111" s="58" t="n"/>
      <c r="G111" s="66">
        <f>IF(tblFleet[[#This Row],[Units]]="","",tblFleet[[#This Row],[Units]]*24)</f>
        <v/>
      </c>
      <c r="H111" s="66">
        <f>IF(tblFleet[[#This Row],[Units]]="","",tblFleet[[#This Row],[Calendar_h]]-tblFleet[[#This Row],[Down_h]])</f>
        <v/>
      </c>
      <c r="I111" s="60">
        <f>IF(AND(tblFleet[[#This Row],[Units]]&lt;&gt;"",tblFleet[[#This Row],[Calendar_h]]&gt;0),tblFleet[[#This Row],[Available_h]]/tblFleet[[#This Row],[Calendar_h]],"")</f>
        <v/>
      </c>
      <c r="J111" s="60">
        <f>IF(AND(tblFleet[[#This Row],[Units]]&lt;&gt;"",tblFleet[[#This Row],[Available_h]]&gt;0),tblFleet[[#This Row],[Operating_h]]/tblFleet[[#This Row],[Available_h]],"")</f>
        <v/>
      </c>
    </row>
    <row r="112">
      <c r="A112" s="54" t="n"/>
      <c r="B112" s="61" t="n"/>
      <c r="C112" s="62" t="n"/>
      <c r="D112" s="57" t="n"/>
      <c r="E112" s="57" t="n"/>
      <c r="F112" s="58" t="n"/>
      <c r="G112" s="66">
        <f>IF(tblFleet[[#This Row],[Units]]="","",tblFleet[[#This Row],[Units]]*24)</f>
        <v/>
      </c>
      <c r="H112" s="66">
        <f>IF(tblFleet[[#This Row],[Units]]="","",tblFleet[[#This Row],[Calendar_h]]-tblFleet[[#This Row],[Down_h]])</f>
        <v/>
      </c>
      <c r="I112" s="60">
        <f>IF(AND(tblFleet[[#This Row],[Units]]&lt;&gt;"",tblFleet[[#This Row],[Calendar_h]]&gt;0),tblFleet[[#This Row],[Available_h]]/tblFleet[[#This Row],[Calendar_h]],"")</f>
        <v/>
      </c>
      <c r="J112" s="60">
        <f>IF(AND(tblFleet[[#This Row],[Units]]&lt;&gt;"",tblFleet[[#This Row],[Available_h]]&gt;0),tblFleet[[#This Row],[Operating_h]]/tblFleet[[#This Row],[Available_h]],"")</f>
        <v/>
      </c>
    </row>
    <row r="113">
      <c r="A113" s="54" t="n"/>
      <c r="B113" s="61" t="n"/>
      <c r="C113" s="62" t="n"/>
      <c r="D113" s="57" t="n"/>
      <c r="E113" s="57" t="n"/>
      <c r="F113" s="58" t="n"/>
      <c r="G113" s="66">
        <f>IF(tblFleet[[#This Row],[Units]]="","",tblFleet[[#This Row],[Units]]*24)</f>
        <v/>
      </c>
      <c r="H113" s="66">
        <f>IF(tblFleet[[#This Row],[Units]]="","",tblFleet[[#This Row],[Calendar_h]]-tblFleet[[#This Row],[Down_h]])</f>
        <v/>
      </c>
      <c r="I113" s="60">
        <f>IF(AND(tblFleet[[#This Row],[Units]]&lt;&gt;"",tblFleet[[#This Row],[Calendar_h]]&gt;0),tblFleet[[#This Row],[Available_h]]/tblFleet[[#This Row],[Calendar_h]],"")</f>
        <v/>
      </c>
      <c r="J113" s="60">
        <f>IF(AND(tblFleet[[#This Row],[Units]]&lt;&gt;"",tblFleet[[#This Row],[Available_h]]&gt;0),tblFleet[[#This Row],[Operating_h]]/tblFleet[[#This Row],[Available_h]],"")</f>
        <v/>
      </c>
    </row>
    <row r="114">
      <c r="A114" s="54" t="n"/>
      <c r="B114" s="61" t="n"/>
      <c r="C114" s="62" t="n"/>
      <c r="D114" s="57" t="n"/>
      <c r="E114" s="57" t="n"/>
      <c r="F114" s="58" t="n"/>
      <c r="G114" s="66">
        <f>IF(tblFleet[[#This Row],[Units]]="","",tblFleet[[#This Row],[Units]]*24)</f>
        <v/>
      </c>
      <c r="H114" s="66">
        <f>IF(tblFleet[[#This Row],[Units]]="","",tblFleet[[#This Row],[Calendar_h]]-tblFleet[[#This Row],[Down_h]])</f>
        <v/>
      </c>
      <c r="I114" s="60">
        <f>IF(AND(tblFleet[[#This Row],[Units]]&lt;&gt;"",tblFleet[[#This Row],[Calendar_h]]&gt;0),tblFleet[[#This Row],[Available_h]]/tblFleet[[#This Row],[Calendar_h]],"")</f>
        <v/>
      </c>
      <c r="J114" s="60">
        <f>IF(AND(tblFleet[[#This Row],[Units]]&lt;&gt;"",tblFleet[[#This Row],[Available_h]]&gt;0),tblFleet[[#This Row],[Operating_h]]/tblFleet[[#This Row],[Available_h]],"")</f>
        <v/>
      </c>
    </row>
    <row r="115">
      <c r="A115" s="54" t="n"/>
      <c r="B115" s="61" t="n"/>
      <c r="C115" s="62" t="n"/>
      <c r="D115" s="57" t="n"/>
      <c r="E115" s="57" t="n"/>
      <c r="F115" s="58" t="n"/>
      <c r="G115" s="66">
        <f>IF(tblFleet[[#This Row],[Units]]="","",tblFleet[[#This Row],[Units]]*24)</f>
        <v/>
      </c>
      <c r="H115" s="66">
        <f>IF(tblFleet[[#This Row],[Units]]="","",tblFleet[[#This Row],[Calendar_h]]-tblFleet[[#This Row],[Down_h]])</f>
        <v/>
      </c>
      <c r="I115" s="60">
        <f>IF(AND(tblFleet[[#This Row],[Units]]&lt;&gt;"",tblFleet[[#This Row],[Calendar_h]]&gt;0),tblFleet[[#This Row],[Available_h]]/tblFleet[[#This Row],[Calendar_h]],"")</f>
        <v/>
      </c>
      <c r="J115" s="60">
        <f>IF(AND(tblFleet[[#This Row],[Units]]&lt;&gt;"",tblFleet[[#This Row],[Available_h]]&gt;0),tblFleet[[#This Row],[Operating_h]]/tblFleet[[#This Row],[Available_h]],"")</f>
        <v/>
      </c>
    </row>
    <row r="116">
      <c r="A116" s="54" t="n"/>
      <c r="B116" s="61" t="n"/>
      <c r="C116" s="62" t="n"/>
      <c r="D116" s="57" t="n"/>
      <c r="E116" s="57" t="n"/>
      <c r="F116" s="58" t="n"/>
      <c r="G116" s="66">
        <f>IF(tblFleet[[#This Row],[Units]]="","",tblFleet[[#This Row],[Units]]*24)</f>
        <v/>
      </c>
      <c r="H116" s="66">
        <f>IF(tblFleet[[#This Row],[Units]]="","",tblFleet[[#This Row],[Calendar_h]]-tblFleet[[#This Row],[Down_h]])</f>
        <v/>
      </c>
      <c r="I116" s="60">
        <f>IF(AND(tblFleet[[#This Row],[Units]]&lt;&gt;"",tblFleet[[#This Row],[Calendar_h]]&gt;0),tblFleet[[#This Row],[Available_h]]/tblFleet[[#This Row],[Calendar_h]],"")</f>
        <v/>
      </c>
      <c r="J116" s="60">
        <f>IF(AND(tblFleet[[#This Row],[Units]]&lt;&gt;"",tblFleet[[#This Row],[Available_h]]&gt;0),tblFleet[[#This Row],[Operating_h]]/tblFleet[[#This Row],[Available_h]],"")</f>
        <v/>
      </c>
    </row>
    <row r="117">
      <c r="A117" s="54" t="n"/>
      <c r="B117" s="61" t="n"/>
      <c r="C117" s="62" t="n"/>
      <c r="D117" s="57" t="n"/>
      <c r="E117" s="57" t="n"/>
      <c r="F117" s="58" t="n"/>
      <c r="G117" s="66">
        <f>IF(tblFleet[[#This Row],[Units]]="","",tblFleet[[#This Row],[Units]]*24)</f>
        <v/>
      </c>
      <c r="H117" s="66">
        <f>IF(tblFleet[[#This Row],[Units]]="","",tblFleet[[#This Row],[Calendar_h]]-tblFleet[[#This Row],[Down_h]])</f>
        <v/>
      </c>
      <c r="I117" s="60">
        <f>IF(AND(tblFleet[[#This Row],[Units]]&lt;&gt;"",tblFleet[[#This Row],[Calendar_h]]&gt;0),tblFleet[[#This Row],[Available_h]]/tblFleet[[#This Row],[Calendar_h]],"")</f>
        <v/>
      </c>
      <c r="J117" s="60">
        <f>IF(AND(tblFleet[[#This Row],[Units]]&lt;&gt;"",tblFleet[[#This Row],[Available_h]]&gt;0),tblFleet[[#This Row],[Operating_h]]/tblFleet[[#This Row],[Available_h]],"")</f>
        <v/>
      </c>
    </row>
    <row r="118">
      <c r="A118" s="54" t="n"/>
      <c r="B118" s="61" t="n"/>
      <c r="C118" s="62" t="n"/>
      <c r="D118" s="57" t="n"/>
      <c r="E118" s="57" t="n"/>
      <c r="F118" s="58" t="n"/>
      <c r="G118" s="66">
        <f>IF(tblFleet[[#This Row],[Units]]="","",tblFleet[[#This Row],[Units]]*24)</f>
        <v/>
      </c>
      <c r="H118" s="66">
        <f>IF(tblFleet[[#This Row],[Units]]="","",tblFleet[[#This Row],[Calendar_h]]-tblFleet[[#This Row],[Down_h]])</f>
        <v/>
      </c>
      <c r="I118" s="60">
        <f>IF(AND(tblFleet[[#This Row],[Units]]&lt;&gt;"",tblFleet[[#This Row],[Calendar_h]]&gt;0),tblFleet[[#This Row],[Available_h]]/tblFleet[[#This Row],[Calendar_h]],"")</f>
        <v/>
      </c>
      <c r="J118" s="60">
        <f>IF(AND(tblFleet[[#This Row],[Units]]&lt;&gt;"",tblFleet[[#This Row],[Available_h]]&gt;0),tblFleet[[#This Row],[Operating_h]]/tblFleet[[#This Row],[Available_h]],"")</f>
        <v/>
      </c>
    </row>
    <row r="119">
      <c r="A119" s="54" t="n"/>
      <c r="B119" s="61" t="n"/>
      <c r="C119" s="62" t="n"/>
      <c r="D119" s="57" t="n"/>
      <c r="E119" s="57" t="n"/>
      <c r="F119" s="58" t="n"/>
      <c r="G119" s="66">
        <f>IF(tblFleet[[#This Row],[Units]]="","",tblFleet[[#This Row],[Units]]*24)</f>
        <v/>
      </c>
      <c r="H119" s="66">
        <f>IF(tblFleet[[#This Row],[Units]]="","",tblFleet[[#This Row],[Calendar_h]]-tblFleet[[#This Row],[Down_h]])</f>
        <v/>
      </c>
      <c r="I119" s="60">
        <f>IF(AND(tblFleet[[#This Row],[Units]]&lt;&gt;"",tblFleet[[#This Row],[Calendar_h]]&gt;0),tblFleet[[#This Row],[Available_h]]/tblFleet[[#This Row],[Calendar_h]],"")</f>
        <v/>
      </c>
      <c r="J119" s="60">
        <f>IF(AND(tblFleet[[#This Row],[Units]]&lt;&gt;"",tblFleet[[#This Row],[Available_h]]&gt;0),tblFleet[[#This Row],[Operating_h]]/tblFleet[[#This Row],[Available_h]],"")</f>
        <v/>
      </c>
    </row>
    <row r="120">
      <c r="A120" s="54" t="n"/>
      <c r="B120" s="61" t="n"/>
      <c r="C120" s="62" t="n"/>
      <c r="D120" s="57" t="n"/>
      <c r="E120" s="57" t="n"/>
      <c r="F120" s="58" t="n"/>
      <c r="G120" s="66">
        <f>IF(tblFleet[[#This Row],[Units]]="","",tblFleet[[#This Row],[Units]]*24)</f>
        <v/>
      </c>
      <c r="H120" s="66">
        <f>IF(tblFleet[[#This Row],[Units]]="","",tblFleet[[#This Row],[Calendar_h]]-tblFleet[[#This Row],[Down_h]])</f>
        <v/>
      </c>
      <c r="I120" s="60">
        <f>IF(AND(tblFleet[[#This Row],[Units]]&lt;&gt;"",tblFleet[[#This Row],[Calendar_h]]&gt;0),tblFleet[[#This Row],[Available_h]]/tblFleet[[#This Row],[Calendar_h]],"")</f>
        <v/>
      </c>
      <c r="J120" s="60">
        <f>IF(AND(tblFleet[[#This Row],[Units]]&lt;&gt;"",tblFleet[[#This Row],[Available_h]]&gt;0),tblFleet[[#This Row],[Operating_h]]/tblFleet[[#This Row],[Available_h]],"")</f>
        <v/>
      </c>
    </row>
    <row r="121">
      <c r="A121" s="54" t="n"/>
      <c r="B121" s="61" t="n"/>
      <c r="C121" s="62" t="n"/>
      <c r="D121" s="57" t="n"/>
      <c r="E121" s="57" t="n"/>
      <c r="F121" s="58" t="n"/>
      <c r="G121" s="66">
        <f>IF(tblFleet[[#This Row],[Units]]="","",tblFleet[[#This Row],[Units]]*24)</f>
        <v/>
      </c>
      <c r="H121" s="66">
        <f>IF(tblFleet[[#This Row],[Units]]="","",tblFleet[[#This Row],[Calendar_h]]-tblFleet[[#This Row],[Down_h]])</f>
        <v/>
      </c>
      <c r="I121" s="60">
        <f>IF(AND(tblFleet[[#This Row],[Units]]&lt;&gt;"",tblFleet[[#This Row],[Calendar_h]]&gt;0),tblFleet[[#This Row],[Available_h]]/tblFleet[[#This Row],[Calendar_h]],"")</f>
        <v/>
      </c>
      <c r="J121" s="60">
        <f>IF(AND(tblFleet[[#This Row],[Units]]&lt;&gt;"",tblFleet[[#This Row],[Available_h]]&gt;0),tblFleet[[#This Row],[Operating_h]]/tblFleet[[#This Row],[Available_h]],"")</f>
        <v/>
      </c>
    </row>
    <row r="122">
      <c r="A122" s="54" t="n"/>
      <c r="B122" s="61" t="n"/>
      <c r="C122" s="62" t="n"/>
      <c r="D122" s="57" t="n"/>
      <c r="E122" s="57" t="n"/>
      <c r="F122" s="58" t="n"/>
      <c r="G122" s="66">
        <f>IF(tblFleet[[#This Row],[Units]]="","",tblFleet[[#This Row],[Units]]*24)</f>
        <v/>
      </c>
      <c r="H122" s="66">
        <f>IF(tblFleet[[#This Row],[Units]]="","",tblFleet[[#This Row],[Calendar_h]]-tblFleet[[#This Row],[Down_h]])</f>
        <v/>
      </c>
      <c r="I122" s="60">
        <f>IF(AND(tblFleet[[#This Row],[Units]]&lt;&gt;"",tblFleet[[#This Row],[Calendar_h]]&gt;0),tblFleet[[#This Row],[Available_h]]/tblFleet[[#This Row],[Calendar_h]],"")</f>
        <v/>
      </c>
      <c r="J122" s="60">
        <f>IF(AND(tblFleet[[#This Row],[Units]]&lt;&gt;"",tblFleet[[#This Row],[Available_h]]&gt;0),tblFleet[[#This Row],[Operating_h]]/tblFleet[[#This Row],[Available_h]],"")</f>
        <v/>
      </c>
    </row>
    <row r="123">
      <c r="A123" s="54" t="n"/>
      <c r="B123" s="61" t="n"/>
      <c r="C123" s="62" t="n"/>
      <c r="D123" s="57" t="n"/>
      <c r="E123" s="57" t="n"/>
      <c r="F123" s="58" t="n"/>
      <c r="G123" s="66">
        <f>IF(tblFleet[[#This Row],[Units]]="","",tblFleet[[#This Row],[Units]]*24)</f>
        <v/>
      </c>
      <c r="H123" s="66">
        <f>IF(tblFleet[[#This Row],[Units]]="","",tblFleet[[#This Row],[Calendar_h]]-tblFleet[[#This Row],[Down_h]])</f>
        <v/>
      </c>
      <c r="I123" s="60">
        <f>IF(AND(tblFleet[[#This Row],[Units]]&lt;&gt;"",tblFleet[[#This Row],[Calendar_h]]&gt;0),tblFleet[[#This Row],[Available_h]]/tblFleet[[#This Row],[Calendar_h]],"")</f>
        <v/>
      </c>
      <c r="J123" s="60">
        <f>IF(AND(tblFleet[[#This Row],[Units]]&lt;&gt;"",tblFleet[[#This Row],[Available_h]]&gt;0),tblFleet[[#This Row],[Operating_h]]/tblFleet[[#This Row],[Available_h]],"")</f>
        <v/>
      </c>
    </row>
    <row r="124">
      <c r="A124" s="54" t="n"/>
      <c r="B124" s="61" t="n"/>
      <c r="C124" s="62" t="n"/>
      <c r="D124" s="57" t="n"/>
      <c r="E124" s="57" t="n"/>
      <c r="F124" s="58" t="n"/>
      <c r="G124" s="66">
        <f>IF(tblFleet[[#This Row],[Units]]="","",tblFleet[[#This Row],[Units]]*24)</f>
        <v/>
      </c>
      <c r="H124" s="66">
        <f>IF(tblFleet[[#This Row],[Units]]="","",tblFleet[[#This Row],[Calendar_h]]-tblFleet[[#This Row],[Down_h]])</f>
        <v/>
      </c>
      <c r="I124" s="60">
        <f>IF(AND(tblFleet[[#This Row],[Units]]&lt;&gt;"",tblFleet[[#This Row],[Calendar_h]]&gt;0),tblFleet[[#This Row],[Available_h]]/tblFleet[[#This Row],[Calendar_h]],"")</f>
        <v/>
      </c>
      <c r="J124" s="60">
        <f>IF(AND(tblFleet[[#This Row],[Units]]&lt;&gt;"",tblFleet[[#This Row],[Available_h]]&gt;0),tblFleet[[#This Row],[Operating_h]]/tblFleet[[#This Row],[Available_h]],"")</f>
        <v/>
      </c>
    </row>
    <row r="125">
      <c r="A125" s="54" t="n"/>
      <c r="B125" s="61" t="n"/>
      <c r="C125" s="62" t="n"/>
      <c r="D125" s="57" t="n"/>
      <c r="E125" s="57" t="n"/>
      <c r="F125" s="58" t="n"/>
      <c r="G125" s="66">
        <f>IF(tblFleet[[#This Row],[Units]]="","",tblFleet[[#This Row],[Units]]*24)</f>
        <v/>
      </c>
      <c r="H125" s="66">
        <f>IF(tblFleet[[#This Row],[Units]]="","",tblFleet[[#This Row],[Calendar_h]]-tblFleet[[#This Row],[Down_h]])</f>
        <v/>
      </c>
      <c r="I125" s="60">
        <f>IF(AND(tblFleet[[#This Row],[Units]]&lt;&gt;"",tblFleet[[#This Row],[Calendar_h]]&gt;0),tblFleet[[#This Row],[Available_h]]/tblFleet[[#This Row],[Calendar_h]],"")</f>
        <v/>
      </c>
      <c r="J125" s="60">
        <f>IF(AND(tblFleet[[#This Row],[Units]]&lt;&gt;"",tblFleet[[#This Row],[Available_h]]&gt;0),tblFleet[[#This Row],[Operating_h]]/tblFleet[[#This Row],[Available_h]],"")</f>
        <v/>
      </c>
    </row>
    <row r="126">
      <c r="A126" s="54" t="n"/>
      <c r="B126" s="61" t="n"/>
      <c r="C126" s="62" t="n"/>
      <c r="D126" s="57" t="n"/>
      <c r="E126" s="57" t="n"/>
      <c r="F126" s="58" t="n"/>
      <c r="G126" s="66">
        <f>IF(tblFleet[[#This Row],[Units]]="","",tblFleet[[#This Row],[Units]]*24)</f>
        <v/>
      </c>
      <c r="H126" s="66">
        <f>IF(tblFleet[[#This Row],[Units]]="","",tblFleet[[#This Row],[Calendar_h]]-tblFleet[[#This Row],[Down_h]])</f>
        <v/>
      </c>
      <c r="I126" s="60">
        <f>IF(AND(tblFleet[[#This Row],[Units]]&lt;&gt;"",tblFleet[[#This Row],[Calendar_h]]&gt;0),tblFleet[[#This Row],[Available_h]]/tblFleet[[#This Row],[Calendar_h]],"")</f>
        <v/>
      </c>
      <c r="J126" s="60">
        <f>IF(AND(tblFleet[[#This Row],[Units]]&lt;&gt;"",tblFleet[[#This Row],[Available_h]]&gt;0),tblFleet[[#This Row],[Operating_h]]/tblFleet[[#This Row],[Available_h]],"")</f>
        <v/>
      </c>
    </row>
    <row r="127">
      <c r="A127" s="54" t="n"/>
      <c r="B127" s="61" t="n"/>
      <c r="C127" s="62" t="n"/>
      <c r="D127" s="57" t="n"/>
      <c r="E127" s="57" t="n"/>
      <c r="F127" s="58" t="n"/>
      <c r="G127" s="66">
        <f>IF(tblFleet[[#This Row],[Units]]="","",tblFleet[[#This Row],[Units]]*24)</f>
        <v/>
      </c>
      <c r="H127" s="66">
        <f>IF(tblFleet[[#This Row],[Units]]="","",tblFleet[[#This Row],[Calendar_h]]-tblFleet[[#This Row],[Down_h]])</f>
        <v/>
      </c>
      <c r="I127" s="60">
        <f>IF(AND(tblFleet[[#This Row],[Units]]&lt;&gt;"",tblFleet[[#This Row],[Calendar_h]]&gt;0),tblFleet[[#This Row],[Available_h]]/tblFleet[[#This Row],[Calendar_h]],"")</f>
        <v/>
      </c>
      <c r="J127" s="60">
        <f>IF(AND(tblFleet[[#This Row],[Units]]&lt;&gt;"",tblFleet[[#This Row],[Available_h]]&gt;0),tblFleet[[#This Row],[Operating_h]]/tblFleet[[#This Row],[Available_h]],"")</f>
        <v/>
      </c>
    </row>
    <row r="128">
      <c r="A128" s="54" t="n"/>
      <c r="B128" s="61" t="n"/>
      <c r="C128" s="62" t="n"/>
      <c r="D128" s="57" t="n"/>
      <c r="E128" s="57" t="n"/>
      <c r="F128" s="58" t="n"/>
      <c r="G128" s="66">
        <f>IF(tblFleet[[#This Row],[Units]]="","",tblFleet[[#This Row],[Units]]*24)</f>
        <v/>
      </c>
      <c r="H128" s="66">
        <f>IF(tblFleet[[#This Row],[Units]]="","",tblFleet[[#This Row],[Calendar_h]]-tblFleet[[#This Row],[Down_h]])</f>
        <v/>
      </c>
      <c r="I128" s="60">
        <f>IF(AND(tblFleet[[#This Row],[Units]]&lt;&gt;"",tblFleet[[#This Row],[Calendar_h]]&gt;0),tblFleet[[#This Row],[Available_h]]/tblFleet[[#This Row],[Calendar_h]],"")</f>
        <v/>
      </c>
      <c r="J128" s="60">
        <f>IF(AND(tblFleet[[#This Row],[Units]]&lt;&gt;"",tblFleet[[#This Row],[Available_h]]&gt;0),tblFleet[[#This Row],[Operating_h]]/tblFleet[[#This Row],[Available_h]],"")</f>
        <v/>
      </c>
    </row>
    <row r="129">
      <c r="A129" s="54" t="n"/>
      <c r="B129" s="61" t="n"/>
      <c r="C129" s="62" t="n"/>
      <c r="D129" s="57" t="n"/>
      <c r="E129" s="57" t="n"/>
      <c r="F129" s="58" t="n"/>
      <c r="G129" s="66">
        <f>IF(tblFleet[[#This Row],[Units]]="","",tblFleet[[#This Row],[Units]]*24)</f>
        <v/>
      </c>
      <c r="H129" s="66">
        <f>IF(tblFleet[[#This Row],[Units]]="","",tblFleet[[#This Row],[Calendar_h]]-tblFleet[[#This Row],[Down_h]])</f>
        <v/>
      </c>
      <c r="I129" s="60">
        <f>IF(AND(tblFleet[[#This Row],[Units]]&lt;&gt;"",tblFleet[[#This Row],[Calendar_h]]&gt;0),tblFleet[[#This Row],[Available_h]]/tblFleet[[#This Row],[Calendar_h]],"")</f>
        <v/>
      </c>
      <c r="J129" s="60">
        <f>IF(AND(tblFleet[[#This Row],[Units]]&lt;&gt;"",tblFleet[[#This Row],[Available_h]]&gt;0),tblFleet[[#This Row],[Operating_h]]/tblFleet[[#This Row],[Available_h]],"")</f>
        <v/>
      </c>
    </row>
    <row r="130">
      <c r="A130" s="54" t="n"/>
      <c r="B130" s="61" t="n"/>
      <c r="C130" s="62" t="n"/>
      <c r="D130" s="57" t="n"/>
      <c r="E130" s="57" t="n"/>
      <c r="F130" s="58" t="n"/>
      <c r="G130" s="66">
        <f>IF(tblFleet[[#This Row],[Units]]="","",tblFleet[[#This Row],[Units]]*24)</f>
        <v/>
      </c>
      <c r="H130" s="66">
        <f>IF(tblFleet[[#This Row],[Units]]="","",tblFleet[[#This Row],[Calendar_h]]-tblFleet[[#This Row],[Down_h]])</f>
        <v/>
      </c>
      <c r="I130" s="60">
        <f>IF(AND(tblFleet[[#This Row],[Units]]&lt;&gt;"",tblFleet[[#This Row],[Calendar_h]]&gt;0),tblFleet[[#This Row],[Available_h]]/tblFleet[[#This Row],[Calendar_h]],"")</f>
        <v/>
      </c>
      <c r="J130" s="60">
        <f>IF(AND(tblFleet[[#This Row],[Units]]&lt;&gt;"",tblFleet[[#This Row],[Available_h]]&gt;0),tblFleet[[#This Row],[Operating_h]]/tblFleet[[#This Row],[Available_h]],"")</f>
        <v/>
      </c>
    </row>
    <row r="131">
      <c r="A131" s="54" t="n"/>
      <c r="B131" s="61" t="n"/>
      <c r="C131" s="62" t="n"/>
      <c r="D131" s="57" t="n"/>
      <c r="E131" s="57" t="n"/>
      <c r="F131" s="58" t="n"/>
      <c r="G131" s="66">
        <f>IF(tblFleet[[#This Row],[Units]]="","",tblFleet[[#This Row],[Units]]*24)</f>
        <v/>
      </c>
      <c r="H131" s="66">
        <f>IF(tblFleet[[#This Row],[Units]]="","",tblFleet[[#This Row],[Calendar_h]]-tblFleet[[#This Row],[Down_h]])</f>
        <v/>
      </c>
      <c r="I131" s="60">
        <f>IF(AND(tblFleet[[#This Row],[Units]]&lt;&gt;"",tblFleet[[#This Row],[Calendar_h]]&gt;0),tblFleet[[#This Row],[Available_h]]/tblFleet[[#This Row],[Calendar_h]],"")</f>
        <v/>
      </c>
      <c r="J131" s="60">
        <f>IF(AND(tblFleet[[#This Row],[Units]]&lt;&gt;"",tblFleet[[#This Row],[Available_h]]&gt;0),tblFleet[[#This Row],[Operating_h]]/tblFleet[[#This Row],[Available_h]],"")</f>
        <v/>
      </c>
    </row>
    <row r="132">
      <c r="A132" s="54" t="n"/>
      <c r="B132" s="61" t="n"/>
      <c r="C132" s="62" t="n"/>
      <c r="D132" s="57" t="n"/>
      <c r="E132" s="57" t="n"/>
      <c r="F132" s="58" t="n"/>
      <c r="G132" s="66">
        <f>IF(tblFleet[[#This Row],[Units]]="","",tblFleet[[#This Row],[Units]]*24)</f>
        <v/>
      </c>
      <c r="H132" s="66">
        <f>IF(tblFleet[[#This Row],[Units]]="","",tblFleet[[#This Row],[Calendar_h]]-tblFleet[[#This Row],[Down_h]])</f>
        <v/>
      </c>
      <c r="I132" s="60">
        <f>IF(AND(tblFleet[[#This Row],[Units]]&lt;&gt;"",tblFleet[[#This Row],[Calendar_h]]&gt;0),tblFleet[[#This Row],[Available_h]]/tblFleet[[#This Row],[Calendar_h]],"")</f>
        <v/>
      </c>
      <c r="J132" s="60">
        <f>IF(AND(tblFleet[[#This Row],[Units]]&lt;&gt;"",tblFleet[[#This Row],[Available_h]]&gt;0),tblFleet[[#This Row],[Operating_h]]/tblFleet[[#This Row],[Available_h]],"")</f>
        <v/>
      </c>
    </row>
    <row r="133">
      <c r="A133" s="54" t="n"/>
      <c r="B133" s="61" t="n"/>
      <c r="C133" s="62" t="n"/>
      <c r="D133" s="57" t="n"/>
      <c r="E133" s="57" t="n"/>
      <c r="F133" s="58" t="n"/>
      <c r="G133" s="66">
        <f>IF(tblFleet[[#This Row],[Units]]="","",tblFleet[[#This Row],[Units]]*24)</f>
        <v/>
      </c>
      <c r="H133" s="66">
        <f>IF(tblFleet[[#This Row],[Units]]="","",tblFleet[[#This Row],[Calendar_h]]-tblFleet[[#This Row],[Down_h]])</f>
        <v/>
      </c>
      <c r="I133" s="60">
        <f>IF(AND(tblFleet[[#This Row],[Units]]&lt;&gt;"",tblFleet[[#This Row],[Calendar_h]]&gt;0),tblFleet[[#This Row],[Available_h]]/tblFleet[[#This Row],[Calendar_h]],"")</f>
        <v/>
      </c>
      <c r="J133" s="60">
        <f>IF(AND(tblFleet[[#This Row],[Units]]&lt;&gt;"",tblFleet[[#This Row],[Available_h]]&gt;0),tblFleet[[#This Row],[Operating_h]]/tblFleet[[#This Row],[Available_h]],"")</f>
        <v/>
      </c>
    </row>
    <row r="134">
      <c r="A134" s="54" t="n"/>
      <c r="B134" s="61" t="n"/>
      <c r="C134" s="62" t="n"/>
      <c r="D134" s="57" t="n"/>
      <c r="E134" s="57" t="n"/>
      <c r="F134" s="58" t="n"/>
      <c r="G134" s="66">
        <f>IF(tblFleet[[#This Row],[Units]]="","",tblFleet[[#This Row],[Units]]*24)</f>
        <v/>
      </c>
      <c r="H134" s="66">
        <f>IF(tblFleet[[#This Row],[Units]]="","",tblFleet[[#This Row],[Calendar_h]]-tblFleet[[#This Row],[Down_h]])</f>
        <v/>
      </c>
      <c r="I134" s="60">
        <f>IF(AND(tblFleet[[#This Row],[Units]]&lt;&gt;"",tblFleet[[#This Row],[Calendar_h]]&gt;0),tblFleet[[#This Row],[Available_h]]/tblFleet[[#This Row],[Calendar_h]],"")</f>
        <v/>
      </c>
      <c r="J134" s="60">
        <f>IF(AND(tblFleet[[#This Row],[Units]]&lt;&gt;"",tblFleet[[#This Row],[Available_h]]&gt;0),tblFleet[[#This Row],[Operating_h]]/tblFleet[[#This Row],[Available_h]],"")</f>
        <v/>
      </c>
    </row>
    <row r="135">
      <c r="A135" s="54" t="n"/>
      <c r="B135" s="61" t="n"/>
      <c r="C135" s="62" t="n"/>
      <c r="D135" s="57" t="n"/>
      <c r="E135" s="57" t="n"/>
      <c r="F135" s="58" t="n"/>
      <c r="G135" s="66">
        <f>IF(tblFleet[[#This Row],[Units]]="","",tblFleet[[#This Row],[Units]]*24)</f>
        <v/>
      </c>
      <c r="H135" s="66">
        <f>IF(tblFleet[[#This Row],[Units]]="","",tblFleet[[#This Row],[Calendar_h]]-tblFleet[[#This Row],[Down_h]])</f>
        <v/>
      </c>
      <c r="I135" s="60">
        <f>IF(AND(tblFleet[[#This Row],[Units]]&lt;&gt;"",tblFleet[[#This Row],[Calendar_h]]&gt;0),tblFleet[[#This Row],[Available_h]]/tblFleet[[#This Row],[Calendar_h]],"")</f>
        <v/>
      </c>
      <c r="J135" s="60">
        <f>IF(AND(tblFleet[[#This Row],[Units]]&lt;&gt;"",tblFleet[[#This Row],[Available_h]]&gt;0),tblFleet[[#This Row],[Operating_h]]/tblFleet[[#This Row],[Available_h]],"")</f>
        <v/>
      </c>
    </row>
    <row r="136">
      <c r="A136" s="54" t="n"/>
      <c r="B136" s="61" t="n"/>
      <c r="C136" s="62" t="n"/>
      <c r="D136" s="57" t="n"/>
      <c r="E136" s="57" t="n"/>
      <c r="F136" s="58" t="n"/>
      <c r="G136" s="66">
        <f>IF(tblFleet[[#This Row],[Units]]="","",tblFleet[[#This Row],[Units]]*24)</f>
        <v/>
      </c>
      <c r="H136" s="66">
        <f>IF(tblFleet[[#This Row],[Units]]="","",tblFleet[[#This Row],[Calendar_h]]-tblFleet[[#This Row],[Down_h]])</f>
        <v/>
      </c>
      <c r="I136" s="60">
        <f>IF(AND(tblFleet[[#This Row],[Units]]&lt;&gt;"",tblFleet[[#This Row],[Calendar_h]]&gt;0),tblFleet[[#This Row],[Available_h]]/tblFleet[[#This Row],[Calendar_h]],"")</f>
        <v/>
      </c>
      <c r="J136" s="60">
        <f>IF(AND(tblFleet[[#This Row],[Units]]&lt;&gt;"",tblFleet[[#This Row],[Available_h]]&gt;0),tblFleet[[#This Row],[Operating_h]]/tblFleet[[#This Row],[Available_h]],"")</f>
        <v/>
      </c>
    </row>
    <row r="137">
      <c r="A137" s="54" t="n"/>
      <c r="B137" s="61" t="n"/>
      <c r="C137" s="62" t="n"/>
      <c r="D137" s="57" t="n"/>
      <c r="E137" s="57" t="n"/>
      <c r="F137" s="58" t="n"/>
      <c r="G137" s="66">
        <f>IF(tblFleet[[#This Row],[Units]]="","",tblFleet[[#This Row],[Units]]*24)</f>
        <v/>
      </c>
      <c r="H137" s="66">
        <f>IF(tblFleet[[#This Row],[Units]]="","",tblFleet[[#This Row],[Calendar_h]]-tblFleet[[#This Row],[Down_h]])</f>
        <v/>
      </c>
      <c r="I137" s="60">
        <f>IF(AND(tblFleet[[#This Row],[Units]]&lt;&gt;"",tblFleet[[#This Row],[Calendar_h]]&gt;0),tblFleet[[#This Row],[Available_h]]/tblFleet[[#This Row],[Calendar_h]],"")</f>
        <v/>
      </c>
      <c r="J137" s="60">
        <f>IF(AND(tblFleet[[#This Row],[Units]]&lt;&gt;"",tblFleet[[#This Row],[Available_h]]&gt;0),tblFleet[[#This Row],[Operating_h]]/tblFleet[[#This Row],[Available_h]],"")</f>
        <v/>
      </c>
    </row>
    <row r="138">
      <c r="A138" s="54" t="n"/>
      <c r="B138" s="61" t="n"/>
      <c r="C138" s="62" t="n"/>
      <c r="D138" s="57" t="n"/>
      <c r="E138" s="57" t="n"/>
      <c r="F138" s="58" t="n"/>
      <c r="G138" s="66">
        <f>IF(tblFleet[[#This Row],[Units]]="","",tblFleet[[#This Row],[Units]]*24)</f>
        <v/>
      </c>
      <c r="H138" s="66">
        <f>IF(tblFleet[[#This Row],[Units]]="","",tblFleet[[#This Row],[Calendar_h]]-tblFleet[[#This Row],[Down_h]])</f>
        <v/>
      </c>
      <c r="I138" s="60">
        <f>IF(AND(tblFleet[[#This Row],[Units]]&lt;&gt;"",tblFleet[[#This Row],[Calendar_h]]&gt;0),tblFleet[[#This Row],[Available_h]]/tblFleet[[#This Row],[Calendar_h]],"")</f>
        <v/>
      </c>
      <c r="J138" s="60">
        <f>IF(AND(tblFleet[[#This Row],[Units]]&lt;&gt;"",tblFleet[[#This Row],[Available_h]]&gt;0),tblFleet[[#This Row],[Operating_h]]/tblFleet[[#This Row],[Available_h]],"")</f>
        <v/>
      </c>
    </row>
    <row r="139">
      <c r="A139" s="54" t="n"/>
      <c r="B139" s="61" t="n"/>
      <c r="C139" s="62" t="n"/>
      <c r="D139" s="57" t="n"/>
      <c r="E139" s="57" t="n"/>
      <c r="F139" s="58" t="n"/>
      <c r="G139" s="66">
        <f>IF(tblFleet[[#This Row],[Units]]="","",tblFleet[[#This Row],[Units]]*24)</f>
        <v/>
      </c>
      <c r="H139" s="66">
        <f>IF(tblFleet[[#This Row],[Units]]="","",tblFleet[[#This Row],[Calendar_h]]-tblFleet[[#This Row],[Down_h]])</f>
        <v/>
      </c>
      <c r="I139" s="60">
        <f>IF(AND(tblFleet[[#This Row],[Units]]&lt;&gt;"",tblFleet[[#This Row],[Calendar_h]]&gt;0),tblFleet[[#This Row],[Available_h]]/tblFleet[[#This Row],[Calendar_h]],"")</f>
        <v/>
      </c>
      <c r="J139" s="60">
        <f>IF(AND(tblFleet[[#This Row],[Units]]&lt;&gt;"",tblFleet[[#This Row],[Available_h]]&gt;0),tblFleet[[#This Row],[Operating_h]]/tblFleet[[#This Row],[Available_h]],"")</f>
        <v/>
      </c>
    </row>
    <row r="140">
      <c r="A140" s="54" t="n"/>
      <c r="B140" s="61" t="n"/>
      <c r="C140" s="62" t="n"/>
      <c r="D140" s="57" t="n"/>
      <c r="E140" s="57" t="n"/>
      <c r="F140" s="58" t="n"/>
      <c r="G140" s="66">
        <f>IF(tblFleet[[#This Row],[Units]]="","",tblFleet[[#This Row],[Units]]*24)</f>
        <v/>
      </c>
      <c r="H140" s="66">
        <f>IF(tblFleet[[#This Row],[Units]]="","",tblFleet[[#This Row],[Calendar_h]]-tblFleet[[#This Row],[Down_h]])</f>
        <v/>
      </c>
      <c r="I140" s="60">
        <f>IF(AND(tblFleet[[#This Row],[Units]]&lt;&gt;"",tblFleet[[#This Row],[Calendar_h]]&gt;0),tblFleet[[#This Row],[Available_h]]/tblFleet[[#This Row],[Calendar_h]],"")</f>
        <v/>
      </c>
      <c r="J140" s="60">
        <f>IF(AND(tblFleet[[#This Row],[Units]]&lt;&gt;"",tblFleet[[#This Row],[Available_h]]&gt;0),tblFleet[[#This Row],[Operating_h]]/tblFleet[[#This Row],[Available_h]],"")</f>
        <v/>
      </c>
    </row>
    <row r="141">
      <c r="A141" s="54" t="n"/>
      <c r="B141" s="61" t="n"/>
      <c r="C141" s="62" t="n"/>
      <c r="D141" s="57" t="n"/>
      <c r="E141" s="57" t="n"/>
      <c r="F141" s="58" t="n"/>
      <c r="G141" s="66">
        <f>IF(tblFleet[[#This Row],[Units]]="","",tblFleet[[#This Row],[Units]]*24)</f>
        <v/>
      </c>
      <c r="H141" s="66">
        <f>IF(tblFleet[[#This Row],[Units]]="","",tblFleet[[#This Row],[Calendar_h]]-tblFleet[[#This Row],[Down_h]])</f>
        <v/>
      </c>
      <c r="I141" s="60">
        <f>IF(AND(tblFleet[[#This Row],[Units]]&lt;&gt;"",tblFleet[[#This Row],[Calendar_h]]&gt;0),tblFleet[[#This Row],[Available_h]]/tblFleet[[#This Row],[Calendar_h]],"")</f>
        <v/>
      </c>
      <c r="J141" s="60">
        <f>IF(AND(tblFleet[[#This Row],[Units]]&lt;&gt;"",tblFleet[[#This Row],[Available_h]]&gt;0),tblFleet[[#This Row],[Operating_h]]/tblFleet[[#This Row],[Available_h]],"")</f>
        <v/>
      </c>
    </row>
    <row r="142">
      <c r="A142" s="54" t="n"/>
      <c r="B142" s="61" t="n"/>
      <c r="C142" s="62" t="n"/>
      <c r="D142" s="57" t="n"/>
      <c r="E142" s="57" t="n"/>
      <c r="F142" s="58" t="n"/>
      <c r="G142" s="66">
        <f>IF(tblFleet[[#This Row],[Units]]="","",tblFleet[[#This Row],[Units]]*24)</f>
        <v/>
      </c>
      <c r="H142" s="66">
        <f>IF(tblFleet[[#This Row],[Units]]="","",tblFleet[[#This Row],[Calendar_h]]-tblFleet[[#This Row],[Down_h]])</f>
        <v/>
      </c>
      <c r="I142" s="60">
        <f>IF(AND(tblFleet[[#This Row],[Units]]&lt;&gt;"",tblFleet[[#This Row],[Calendar_h]]&gt;0),tblFleet[[#This Row],[Available_h]]/tblFleet[[#This Row],[Calendar_h]],"")</f>
        <v/>
      </c>
      <c r="J142" s="60">
        <f>IF(AND(tblFleet[[#This Row],[Units]]&lt;&gt;"",tblFleet[[#This Row],[Available_h]]&gt;0),tblFleet[[#This Row],[Operating_h]]/tblFleet[[#This Row],[Available_h]],"")</f>
        <v/>
      </c>
    </row>
    <row r="143">
      <c r="A143" s="54" t="n"/>
      <c r="B143" s="61" t="n"/>
      <c r="C143" s="62" t="n"/>
      <c r="D143" s="57" t="n"/>
      <c r="E143" s="57" t="n"/>
      <c r="F143" s="58" t="n"/>
      <c r="G143" s="66">
        <f>IF(tblFleet[[#This Row],[Units]]="","",tblFleet[[#This Row],[Units]]*24)</f>
        <v/>
      </c>
      <c r="H143" s="66">
        <f>IF(tblFleet[[#This Row],[Units]]="","",tblFleet[[#This Row],[Calendar_h]]-tblFleet[[#This Row],[Down_h]])</f>
        <v/>
      </c>
      <c r="I143" s="60">
        <f>IF(AND(tblFleet[[#This Row],[Units]]&lt;&gt;"",tblFleet[[#This Row],[Calendar_h]]&gt;0),tblFleet[[#This Row],[Available_h]]/tblFleet[[#This Row],[Calendar_h]],"")</f>
        <v/>
      </c>
      <c r="J143" s="60">
        <f>IF(AND(tblFleet[[#This Row],[Units]]&lt;&gt;"",tblFleet[[#This Row],[Available_h]]&gt;0),tblFleet[[#This Row],[Operating_h]]/tblFleet[[#This Row],[Available_h]],"")</f>
        <v/>
      </c>
    </row>
    <row r="144">
      <c r="A144" s="54" t="n"/>
      <c r="B144" s="61" t="n"/>
      <c r="C144" s="62" t="n"/>
      <c r="D144" s="57" t="n"/>
      <c r="E144" s="57" t="n"/>
      <c r="F144" s="58" t="n"/>
      <c r="G144" s="66">
        <f>IF(tblFleet[[#This Row],[Units]]="","",tblFleet[[#This Row],[Units]]*24)</f>
        <v/>
      </c>
      <c r="H144" s="66">
        <f>IF(tblFleet[[#This Row],[Units]]="","",tblFleet[[#This Row],[Calendar_h]]-tblFleet[[#This Row],[Down_h]])</f>
        <v/>
      </c>
      <c r="I144" s="60">
        <f>IF(AND(tblFleet[[#This Row],[Units]]&lt;&gt;"",tblFleet[[#This Row],[Calendar_h]]&gt;0),tblFleet[[#This Row],[Available_h]]/tblFleet[[#This Row],[Calendar_h]],"")</f>
        <v/>
      </c>
      <c r="J144" s="60">
        <f>IF(AND(tblFleet[[#This Row],[Units]]&lt;&gt;"",tblFleet[[#This Row],[Available_h]]&gt;0),tblFleet[[#This Row],[Operating_h]]/tblFleet[[#This Row],[Available_h]],"")</f>
        <v/>
      </c>
    </row>
    <row r="145">
      <c r="A145" s="54" t="n"/>
      <c r="B145" s="61" t="n"/>
      <c r="C145" s="62" t="n"/>
      <c r="D145" s="57" t="n"/>
      <c r="E145" s="57" t="n"/>
      <c r="F145" s="58" t="n"/>
      <c r="G145" s="66">
        <f>IF(tblFleet[[#This Row],[Units]]="","",tblFleet[[#This Row],[Units]]*24)</f>
        <v/>
      </c>
      <c r="H145" s="66">
        <f>IF(tblFleet[[#This Row],[Units]]="","",tblFleet[[#This Row],[Calendar_h]]-tblFleet[[#This Row],[Down_h]])</f>
        <v/>
      </c>
      <c r="I145" s="60">
        <f>IF(AND(tblFleet[[#This Row],[Units]]&lt;&gt;"",tblFleet[[#This Row],[Calendar_h]]&gt;0),tblFleet[[#This Row],[Available_h]]/tblFleet[[#This Row],[Calendar_h]],"")</f>
        <v/>
      </c>
      <c r="J145" s="60">
        <f>IF(AND(tblFleet[[#This Row],[Units]]&lt;&gt;"",tblFleet[[#This Row],[Available_h]]&gt;0),tblFleet[[#This Row],[Operating_h]]/tblFleet[[#This Row],[Available_h]],"")</f>
        <v/>
      </c>
    </row>
    <row r="146">
      <c r="A146" s="54" t="n"/>
      <c r="B146" s="61" t="n"/>
      <c r="C146" s="62" t="n"/>
      <c r="D146" s="57" t="n"/>
      <c r="E146" s="57" t="n"/>
      <c r="F146" s="58" t="n"/>
      <c r="G146" s="66">
        <f>IF(tblFleet[[#This Row],[Units]]="","",tblFleet[[#This Row],[Units]]*24)</f>
        <v/>
      </c>
      <c r="H146" s="66">
        <f>IF(tblFleet[[#This Row],[Units]]="","",tblFleet[[#This Row],[Calendar_h]]-tblFleet[[#This Row],[Down_h]])</f>
        <v/>
      </c>
      <c r="I146" s="60">
        <f>IF(AND(tblFleet[[#This Row],[Units]]&lt;&gt;"",tblFleet[[#This Row],[Calendar_h]]&gt;0),tblFleet[[#This Row],[Available_h]]/tblFleet[[#This Row],[Calendar_h]],"")</f>
        <v/>
      </c>
      <c r="J146" s="60">
        <f>IF(AND(tblFleet[[#This Row],[Units]]&lt;&gt;"",tblFleet[[#This Row],[Available_h]]&gt;0),tblFleet[[#This Row],[Operating_h]]/tblFleet[[#This Row],[Available_h]],"")</f>
        <v/>
      </c>
    </row>
    <row r="147">
      <c r="A147" s="54" t="n"/>
      <c r="B147" s="61" t="n"/>
      <c r="C147" s="62" t="n"/>
      <c r="D147" s="57" t="n"/>
      <c r="E147" s="57" t="n"/>
      <c r="F147" s="58" t="n"/>
      <c r="G147" s="66">
        <f>IF(tblFleet[[#This Row],[Units]]="","",tblFleet[[#This Row],[Units]]*24)</f>
        <v/>
      </c>
      <c r="H147" s="66">
        <f>IF(tblFleet[[#This Row],[Units]]="","",tblFleet[[#This Row],[Calendar_h]]-tblFleet[[#This Row],[Down_h]])</f>
        <v/>
      </c>
      <c r="I147" s="60">
        <f>IF(AND(tblFleet[[#This Row],[Units]]&lt;&gt;"",tblFleet[[#This Row],[Calendar_h]]&gt;0),tblFleet[[#This Row],[Available_h]]/tblFleet[[#This Row],[Calendar_h]],"")</f>
        <v/>
      </c>
      <c r="J147" s="60">
        <f>IF(AND(tblFleet[[#This Row],[Units]]&lt;&gt;"",tblFleet[[#This Row],[Available_h]]&gt;0),tblFleet[[#This Row],[Operating_h]]/tblFleet[[#This Row],[Available_h]],"")</f>
        <v/>
      </c>
    </row>
    <row r="148">
      <c r="A148" s="54" t="n"/>
      <c r="B148" s="61" t="n"/>
      <c r="C148" s="62" t="n"/>
      <c r="D148" s="57" t="n"/>
      <c r="E148" s="57" t="n"/>
      <c r="F148" s="58" t="n"/>
      <c r="G148" s="66">
        <f>IF(tblFleet[[#This Row],[Units]]="","",tblFleet[[#This Row],[Units]]*24)</f>
        <v/>
      </c>
      <c r="H148" s="66">
        <f>IF(tblFleet[[#This Row],[Units]]="","",tblFleet[[#This Row],[Calendar_h]]-tblFleet[[#This Row],[Down_h]])</f>
        <v/>
      </c>
      <c r="I148" s="60">
        <f>IF(AND(tblFleet[[#This Row],[Units]]&lt;&gt;"",tblFleet[[#This Row],[Calendar_h]]&gt;0),tblFleet[[#This Row],[Available_h]]/tblFleet[[#This Row],[Calendar_h]],"")</f>
        <v/>
      </c>
      <c r="J148" s="60">
        <f>IF(AND(tblFleet[[#This Row],[Units]]&lt;&gt;"",tblFleet[[#This Row],[Available_h]]&gt;0),tblFleet[[#This Row],[Operating_h]]/tblFleet[[#This Row],[Available_h]],"")</f>
        <v/>
      </c>
    </row>
    <row r="149">
      <c r="A149" s="54" t="n"/>
      <c r="B149" s="61" t="n"/>
      <c r="C149" s="62" t="n"/>
      <c r="D149" s="57" t="n"/>
      <c r="E149" s="57" t="n"/>
      <c r="F149" s="58" t="n"/>
      <c r="G149" s="66">
        <f>IF(tblFleet[[#This Row],[Units]]="","",tblFleet[[#This Row],[Units]]*24)</f>
        <v/>
      </c>
      <c r="H149" s="66">
        <f>IF(tblFleet[[#This Row],[Units]]="","",tblFleet[[#This Row],[Calendar_h]]-tblFleet[[#This Row],[Down_h]])</f>
        <v/>
      </c>
      <c r="I149" s="60">
        <f>IF(AND(tblFleet[[#This Row],[Units]]&lt;&gt;"",tblFleet[[#This Row],[Calendar_h]]&gt;0),tblFleet[[#This Row],[Available_h]]/tblFleet[[#This Row],[Calendar_h]],"")</f>
        <v/>
      </c>
      <c r="J149" s="60">
        <f>IF(AND(tblFleet[[#This Row],[Units]]&lt;&gt;"",tblFleet[[#This Row],[Available_h]]&gt;0),tblFleet[[#This Row],[Operating_h]]/tblFleet[[#This Row],[Available_h]],"")</f>
        <v/>
      </c>
    </row>
    <row r="150">
      <c r="A150" s="54" t="n"/>
      <c r="B150" s="61" t="n"/>
      <c r="C150" s="62" t="n"/>
      <c r="D150" s="57" t="n"/>
      <c r="E150" s="57" t="n"/>
      <c r="F150" s="58" t="n"/>
      <c r="G150" s="66">
        <f>IF(tblFleet[[#This Row],[Units]]="","",tblFleet[[#This Row],[Units]]*24)</f>
        <v/>
      </c>
      <c r="H150" s="66">
        <f>IF(tblFleet[[#This Row],[Units]]="","",tblFleet[[#This Row],[Calendar_h]]-tblFleet[[#This Row],[Down_h]])</f>
        <v/>
      </c>
      <c r="I150" s="60">
        <f>IF(AND(tblFleet[[#This Row],[Units]]&lt;&gt;"",tblFleet[[#This Row],[Calendar_h]]&gt;0),tblFleet[[#This Row],[Available_h]]/tblFleet[[#This Row],[Calendar_h]],"")</f>
        <v/>
      </c>
      <c r="J150" s="60">
        <f>IF(AND(tblFleet[[#This Row],[Units]]&lt;&gt;"",tblFleet[[#This Row],[Available_h]]&gt;0),tblFleet[[#This Row],[Operating_h]]/tblFleet[[#This Row],[Available_h]],"")</f>
        <v/>
      </c>
    </row>
    <row r="151">
      <c r="A151" s="54" t="n"/>
      <c r="B151" s="61" t="n"/>
      <c r="C151" s="62" t="n"/>
      <c r="D151" s="57" t="n"/>
      <c r="E151" s="57" t="n"/>
      <c r="F151" s="58" t="n"/>
      <c r="G151" s="66">
        <f>IF(tblFleet[[#This Row],[Units]]="","",tblFleet[[#This Row],[Units]]*24)</f>
        <v/>
      </c>
      <c r="H151" s="66">
        <f>IF(tblFleet[[#This Row],[Units]]="","",tblFleet[[#This Row],[Calendar_h]]-tblFleet[[#This Row],[Down_h]])</f>
        <v/>
      </c>
      <c r="I151" s="60">
        <f>IF(AND(tblFleet[[#This Row],[Units]]&lt;&gt;"",tblFleet[[#This Row],[Calendar_h]]&gt;0),tblFleet[[#This Row],[Available_h]]/tblFleet[[#This Row],[Calendar_h]],"")</f>
        <v/>
      </c>
      <c r="J151" s="60">
        <f>IF(AND(tblFleet[[#This Row],[Units]]&lt;&gt;"",tblFleet[[#This Row],[Available_h]]&gt;0),tblFleet[[#This Row],[Operating_h]]/tblFleet[[#This Row],[Available_h]],"")</f>
        <v/>
      </c>
    </row>
    <row r="152">
      <c r="A152" s="54" t="n"/>
      <c r="B152" s="61" t="n"/>
      <c r="C152" s="62" t="n"/>
      <c r="D152" s="57" t="n"/>
      <c r="E152" s="57" t="n"/>
      <c r="F152" s="58" t="n"/>
      <c r="G152" s="66">
        <f>IF(tblFleet[[#This Row],[Units]]="","",tblFleet[[#This Row],[Units]]*24)</f>
        <v/>
      </c>
      <c r="H152" s="66">
        <f>IF(tblFleet[[#This Row],[Units]]="","",tblFleet[[#This Row],[Calendar_h]]-tblFleet[[#This Row],[Down_h]])</f>
        <v/>
      </c>
      <c r="I152" s="60">
        <f>IF(AND(tblFleet[[#This Row],[Units]]&lt;&gt;"",tblFleet[[#This Row],[Calendar_h]]&gt;0),tblFleet[[#This Row],[Available_h]]/tblFleet[[#This Row],[Calendar_h]],"")</f>
        <v/>
      </c>
      <c r="J152" s="60">
        <f>IF(AND(tblFleet[[#This Row],[Units]]&lt;&gt;"",tblFleet[[#This Row],[Available_h]]&gt;0),tblFleet[[#This Row],[Operating_h]]/tblFleet[[#This Row],[Available_h]],"")</f>
        <v/>
      </c>
    </row>
    <row r="153">
      <c r="A153" s="54" t="n"/>
      <c r="B153" s="61" t="n"/>
      <c r="C153" s="62" t="n"/>
      <c r="D153" s="57" t="n"/>
      <c r="E153" s="57" t="n"/>
      <c r="F153" s="58" t="n"/>
      <c r="G153" s="66">
        <f>IF(tblFleet[[#This Row],[Units]]="","",tblFleet[[#This Row],[Units]]*24)</f>
        <v/>
      </c>
      <c r="H153" s="66">
        <f>IF(tblFleet[[#This Row],[Units]]="","",tblFleet[[#This Row],[Calendar_h]]-tblFleet[[#This Row],[Down_h]])</f>
        <v/>
      </c>
      <c r="I153" s="60">
        <f>IF(AND(tblFleet[[#This Row],[Units]]&lt;&gt;"",tblFleet[[#This Row],[Calendar_h]]&gt;0),tblFleet[[#This Row],[Available_h]]/tblFleet[[#This Row],[Calendar_h]],"")</f>
        <v/>
      </c>
      <c r="J153" s="60">
        <f>IF(AND(tblFleet[[#This Row],[Units]]&lt;&gt;"",tblFleet[[#This Row],[Available_h]]&gt;0),tblFleet[[#This Row],[Operating_h]]/tblFleet[[#This Row],[Available_h]],"")</f>
        <v/>
      </c>
    </row>
    <row r="154">
      <c r="A154" s="54" t="n"/>
      <c r="B154" s="61" t="n"/>
      <c r="C154" s="62" t="n"/>
      <c r="D154" s="57" t="n"/>
      <c r="E154" s="57" t="n"/>
      <c r="F154" s="58" t="n"/>
      <c r="G154" s="66">
        <f>IF(tblFleet[[#This Row],[Units]]="","",tblFleet[[#This Row],[Units]]*24)</f>
        <v/>
      </c>
      <c r="H154" s="66">
        <f>IF(tblFleet[[#This Row],[Units]]="","",tblFleet[[#This Row],[Calendar_h]]-tblFleet[[#This Row],[Down_h]])</f>
        <v/>
      </c>
      <c r="I154" s="60">
        <f>IF(AND(tblFleet[[#This Row],[Units]]&lt;&gt;"",tblFleet[[#This Row],[Calendar_h]]&gt;0),tblFleet[[#This Row],[Available_h]]/tblFleet[[#This Row],[Calendar_h]],"")</f>
        <v/>
      </c>
      <c r="J154" s="60">
        <f>IF(AND(tblFleet[[#This Row],[Units]]&lt;&gt;"",tblFleet[[#This Row],[Available_h]]&gt;0),tblFleet[[#This Row],[Operating_h]]/tblFleet[[#This Row],[Available_h]],"")</f>
        <v/>
      </c>
    </row>
    <row r="155">
      <c r="A155" s="54" t="n"/>
      <c r="B155" s="61" t="n"/>
      <c r="C155" s="62" t="n"/>
      <c r="D155" s="57" t="n"/>
      <c r="E155" s="57" t="n"/>
      <c r="F155" s="58" t="n"/>
      <c r="G155" s="66">
        <f>IF(tblFleet[[#This Row],[Units]]="","",tblFleet[[#This Row],[Units]]*24)</f>
        <v/>
      </c>
      <c r="H155" s="66">
        <f>IF(tblFleet[[#This Row],[Units]]="","",tblFleet[[#This Row],[Calendar_h]]-tblFleet[[#This Row],[Down_h]])</f>
        <v/>
      </c>
      <c r="I155" s="60">
        <f>IF(AND(tblFleet[[#This Row],[Units]]&lt;&gt;"",tblFleet[[#This Row],[Calendar_h]]&gt;0),tblFleet[[#This Row],[Available_h]]/tblFleet[[#This Row],[Calendar_h]],"")</f>
        <v/>
      </c>
      <c r="J155" s="60">
        <f>IF(AND(tblFleet[[#This Row],[Units]]&lt;&gt;"",tblFleet[[#This Row],[Available_h]]&gt;0),tblFleet[[#This Row],[Operating_h]]/tblFleet[[#This Row],[Available_h]],"")</f>
        <v/>
      </c>
    </row>
    <row r="156">
      <c r="A156" s="54" t="n"/>
      <c r="B156" s="61" t="n"/>
      <c r="C156" s="62" t="n"/>
      <c r="D156" s="57" t="n"/>
      <c r="E156" s="57" t="n"/>
      <c r="F156" s="58" t="n"/>
      <c r="G156" s="66">
        <f>IF(tblFleet[[#This Row],[Units]]="","",tblFleet[[#This Row],[Units]]*24)</f>
        <v/>
      </c>
      <c r="H156" s="66">
        <f>IF(tblFleet[[#This Row],[Units]]="","",tblFleet[[#This Row],[Calendar_h]]-tblFleet[[#This Row],[Down_h]])</f>
        <v/>
      </c>
      <c r="I156" s="60">
        <f>IF(AND(tblFleet[[#This Row],[Units]]&lt;&gt;"",tblFleet[[#This Row],[Calendar_h]]&gt;0),tblFleet[[#This Row],[Available_h]]/tblFleet[[#This Row],[Calendar_h]],"")</f>
        <v/>
      </c>
      <c r="J156" s="60">
        <f>IF(AND(tblFleet[[#This Row],[Units]]&lt;&gt;"",tblFleet[[#This Row],[Available_h]]&gt;0),tblFleet[[#This Row],[Operating_h]]/tblFleet[[#This Row],[Available_h]],"")</f>
        <v/>
      </c>
    </row>
    <row r="157">
      <c r="A157" s="54" t="n"/>
      <c r="B157" s="61" t="n"/>
      <c r="C157" s="62" t="n"/>
      <c r="D157" s="57" t="n"/>
      <c r="E157" s="57" t="n"/>
      <c r="F157" s="58" t="n"/>
      <c r="G157" s="66">
        <f>IF(tblFleet[[#This Row],[Units]]="","",tblFleet[[#This Row],[Units]]*24)</f>
        <v/>
      </c>
      <c r="H157" s="66">
        <f>IF(tblFleet[[#This Row],[Units]]="","",tblFleet[[#This Row],[Calendar_h]]-tblFleet[[#This Row],[Down_h]])</f>
        <v/>
      </c>
      <c r="I157" s="60">
        <f>IF(AND(tblFleet[[#This Row],[Units]]&lt;&gt;"",tblFleet[[#This Row],[Calendar_h]]&gt;0),tblFleet[[#This Row],[Available_h]]/tblFleet[[#This Row],[Calendar_h]],"")</f>
        <v/>
      </c>
      <c r="J157" s="60">
        <f>IF(AND(tblFleet[[#This Row],[Units]]&lt;&gt;"",tblFleet[[#This Row],[Available_h]]&gt;0),tblFleet[[#This Row],[Operating_h]]/tblFleet[[#This Row],[Available_h]],"")</f>
        <v/>
      </c>
    </row>
    <row r="158">
      <c r="A158" s="54" t="n"/>
      <c r="B158" s="61" t="n"/>
      <c r="C158" s="62" t="n"/>
      <c r="D158" s="57" t="n"/>
      <c r="E158" s="57" t="n"/>
      <c r="F158" s="58" t="n"/>
      <c r="G158" s="66">
        <f>IF(tblFleet[[#This Row],[Units]]="","",tblFleet[[#This Row],[Units]]*24)</f>
        <v/>
      </c>
      <c r="H158" s="66">
        <f>IF(tblFleet[[#This Row],[Units]]="","",tblFleet[[#This Row],[Calendar_h]]-tblFleet[[#This Row],[Down_h]])</f>
        <v/>
      </c>
      <c r="I158" s="60">
        <f>IF(AND(tblFleet[[#This Row],[Units]]&lt;&gt;"",tblFleet[[#This Row],[Calendar_h]]&gt;0),tblFleet[[#This Row],[Available_h]]/tblFleet[[#This Row],[Calendar_h]],"")</f>
        <v/>
      </c>
      <c r="J158" s="60">
        <f>IF(AND(tblFleet[[#This Row],[Units]]&lt;&gt;"",tblFleet[[#This Row],[Available_h]]&gt;0),tblFleet[[#This Row],[Operating_h]]/tblFleet[[#This Row],[Available_h]],"")</f>
        <v/>
      </c>
    </row>
    <row r="159">
      <c r="A159" s="54" t="n"/>
      <c r="B159" s="61" t="n"/>
      <c r="C159" s="62" t="n"/>
      <c r="D159" s="57" t="n"/>
      <c r="E159" s="57" t="n"/>
      <c r="F159" s="58" t="n"/>
      <c r="G159" s="66">
        <f>IF(tblFleet[[#This Row],[Units]]="","",tblFleet[[#This Row],[Units]]*24)</f>
        <v/>
      </c>
      <c r="H159" s="66">
        <f>IF(tblFleet[[#This Row],[Units]]="","",tblFleet[[#This Row],[Calendar_h]]-tblFleet[[#This Row],[Down_h]])</f>
        <v/>
      </c>
      <c r="I159" s="60">
        <f>IF(AND(tblFleet[[#This Row],[Units]]&lt;&gt;"",tblFleet[[#This Row],[Calendar_h]]&gt;0),tblFleet[[#This Row],[Available_h]]/tblFleet[[#This Row],[Calendar_h]],"")</f>
        <v/>
      </c>
      <c r="J159" s="60">
        <f>IF(AND(tblFleet[[#This Row],[Units]]&lt;&gt;"",tblFleet[[#This Row],[Available_h]]&gt;0),tblFleet[[#This Row],[Operating_h]]/tblFleet[[#This Row],[Available_h]],"")</f>
        <v/>
      </c>
    </row>
    <row r="160">
      <c r="A160" s="54" t="n"/>
      <c r="B160" s="61" t="n"/>
      <c r="C160" s="62" t="n"/>
      <c r="D160" s="57" t="n"/>
      <c r="E160" s="57" t="n"/>
      <c r="F160" s="58" t="n"/>
      <c r="G160" s="66">
        <f>IF(tblFleet[[#This Row],[Units]]="","",tblFleet[[#This Row],[Units]]*24)</f>
        <v/>
      </c>
      <c r="H160" s="66">
        <f>IF(tblFleet[[#This Row],[Units]]="","",tblFleet[[#This Row],[Calendar_h]]-tblFleet[[#This Row],[Down_h]])</f>
        <v/>
      </c>
      <c r="I160" s="60">
        <f>IF(AND(tblFleet[[#This Row],[Units]]&lt;&gt;"",tblFleet[[#This Row],[Calendar_h]]&gt;0),tblFleet[[#This Row],[Available_h]]/tblFleet[[#This Row],[Calendar_h]],"")</f>
        <v/>
      </c>
      <c r="J160" s="60">
        <f>IF(AND(tblFleet[[#This Row],[Units]]&lt;&gt;"",tblFleet[[#This Row],[Available_h]]&gt;0),tblFleet[[#This Row],[Operating_h]]/tblFleet[[#This Row],[Available_h]],"")</f>
        <v/>
      </c>
    </row>
    <row r="161">
      <c r="A161" s="54" t="n"/>
      <c r="B161" s="61" t="n"/>
      <c r="C161" s="62" t="n"/>
      <c r="D161" s="57" t="n"/>
      <c r="E161" s="57" t="n"/>
      <c r="F161" s="58" t="n"/>
      <c r="G161" s="66">
        <f>IF(tblFleet[[#This Row],[Units]]="","",tblFleet[[#This Row],[Units]]*24)</f>
        <v/>
      </c>
      <c r="H161" s="66">
        <f>IF(tblFleet[[#This Row],[Units]]="","",tblFleet[[#This Row],[Calendar_h]]-tblFleet[[#This Row],[Down_h]])</f>
        <v/>
      </c>
      <c r="I161" s="60">
        <f>IF(AND(tblFleet[[#This Row],[Units]]&lt;&gt;"",tblFleet[[#This Row],[Calendar_h]]&gt;0),tblFleet[[#This Row],[Available_h]]/tblFleet[[#This Row],[Calendar_h]],"")</f>
        <v/>
      </c>
      <c r="J161" s="60">
        <f>IF(AND(tblFleet[[#This Row],[Units]]&lt;&gt;"",tblFleet[[#This Row],[Available_h]]&gt;0),tblFleet[[#This Row],[Operating_h]]/tblFleet[[#This Row],[Available_h]],"")</f>
        <v/>
      </c>
    </row>
    <row r="162">
      <c r="A162" s="54" t="n"/>
      <c r="B162" s="61" t="n"/>
      <c r="C162" s="62" t="n"/>
      <c r="D162" s="57" t="n"/>
      <c r="E162" s="57" t="n"/>
      <c r="F162" s="58" t="n"/>
      <c r="G162" s="66">
        <f>IF(tblFleet[[#This Row],[Units]]="","",tblFleet[[#This Row],[Units]]*24)</f>
        <v/>
      </c>
      <c r="H162" s="66">
        <f>IF(tblFleet[[#This Row],[Units]]="","",tblFleet[[#This Row],[Calendar_h]]-tblFleet[[#This Row],[Down_h]])</f>
        <v/>
      </c>
      <c r="I162" s="60">
        <f>IF(AND(tblFleet[[#This Row],[Units]]&lt;&gt;"",tblFleet[[#This Row],[Calendar_h]]&gt;0),tblFleet[[#This Row],[Available_h]]/tblFleet[[#This Row],[Calendar_h]],"")</f>
        <v/>
      </c>
      <c r="J162" s="60">
        <f>IF(AND(tblFleet[[#This Row],[Units]]&lt;&gt;"",tblFleet[[#This Row],[Available_h]]&gt;0),tblFleet[[#This Row],[Operating_h]]/tblFleet[[#This Row],[Available_h]],"")</f>
        <v/>
      </c>
    </row>
    <row r="163">
      <c r="A163" s="54" t="n"/>
      <c r="B163" s="61" t="n"/>
      <c r="C163" s="62" t="n"/>
      <c r="D163" s="57" t="n"/>
      <c r="E163" s="57" t="n"/>
      <c r="F163" s="58" t="n"/>
      <c r="G163" s="66">
        <f>IF(tblFleet[[#This Row],[Units]]="","",tblFleet[[#This Row],[Units]]*24)</f>
        <v/>
      </c>
      <c r="H163" s="66">
        <f>IF(tblFleet[[#This Row],[Units]]="","",tblFleet[[#This Row],[Calendar_h]]-tblFleet[[#This Row],[Down_h]])</f>
        <v/>
      </c>
      <c r="I163" s="60">
        <f>IF(AND(tblFleet[[#This Row],[Units]]&lt;&gt;"",tblFleet[[#This Row],[Calendar_h]]&gt;0),tblFleet[[#This Row],[Available_h]]/tblFleet[[#This Row],[Calendar_h]],"")</f>
        <v/>
      </c>
      <c r="J163" s="60">
        <f>IF(AND(tblFleet[[#This Row],[Units]]&lt;&gt;"",tblFleet[[#This Row],[Available_h]]&gt;0),tblFleet[[#This Row],[Operating_h]]/tblFleet[[#This Row],[Available_h]],"")</f>
        <v/>
      </c>
    </row>
    <row r="164">
      <c r="A164" s="54" t="n"/>
      <c r="B164" s="61" t="n"/>
      <c r="C164" s="62" t="n"/>
      <c r="D164" s="57" t="n"/>
      <c r="E164" s="57" t="n"/>
      <c r="F164" s="58" t="n"/>
      <c r="G164" s="66">
        <f>IF(tblFleet[[#This Row],[Units]]="","",tblFleet[[#This Row],[Units]]*24)</f>
        <v/>
      </c>
      <c r="H164" s="66">
        <f>IF(tblFleet[[#This Row],[Units]]="","",tblFleet[[#This Row],[Calendar_h]]-tblFleet[[#This Row],[Down_h]])</f>
        <v/>
      </c>
      <c r="I164" s="60">
        <f>IF(AND(tblFleet[[#This Row],[Units]]&lt;&gt;"",tblFleet[[#This Row],[Calendar_h]]&gt;0),tblFleet[[#This Row],[Available_h]]/tblFleet[[#This Row],[Calendar_h]],"")</f>
        <v/>
      </c>
      <c r="J164" s="60">
        <f>IF(AND(tblFleet[[#This Row],[Units]]&lt;&gt;"",tblFleet[[#This Row],[Available_h]]&gt;0),tblFleet[[#This Row],[Operating_h]]/tblFleet[[#This Row],[Available_h]],"")</f>
        <v/>
      </c>
    </row>
    <row r="165">
      <c r="A165" s="54" t="n"/>
      <c r="B165" s="61" t="n"/>
      <c r="C165" s="62" t="n"/>
      <c r="D165" s="57" t="n"/>
      <c r="E165" s="57" t="n"/>
      <c r="F165" s="58" t="n"/>
      <c r="G165" s="66">
        <f>IF(tblFleet[[#This Row],[Units]]="","",tblFleet[[#This Row],[Units]]*24)</f>
        <v/>
      </c>
      <c r="H165" s="66">
        <f>IF(tblFleet[[#This Row],[Units]]="","",tblFleet[[#This Row],[Calendar_h]]-tblFleet[[#This Row],[Down_h]])</f>
        <v/>
      </c>
      <c r="I165" s="60">
        <f>IF(AND(tblFleet[[#This Row],[Units]]&lt;&gt;"",tblFleet[[#This Row],[Calendar_h]]&gt;0),tblFleet[[#This Row],[Available_h]]/tblFleet[[#This Row],[Calendar_h]],"")</f>
        <v/>
      </c>
      <c r="J165" s="60">
        <f>IF(AND(tblFleet[[#This Row],[Units]]&lt;&gt;"",tblFleet[[#This Row],[Available_h]]&gt;0),tblFleet[[#This Row],[Operating_h]]/tblFleet[[#This Row],[Available_h]],"")</f>
        <v/>
      </c>
    </row>
    <row r="166">
      <c r="A166" s="54" t="n"/>
      <c r="B166" s="61" t="n"/>
      <c r="C166" s="62" t="n"/>
      <c r="D166" s="57" t="n"/>
      <c r="E166" s="57" t="n"/>
      <c r="F166" s="58" t="n"/>
      <c r="G166" s="66">
        <f>IF(tblFleet[[#This Row],[Units]]="","",tblFleet[[#This Row],[Units]]*24)</f>
        <v/>
      </c>
      <c r="H166" s="66">
        <f>IF(tblFleet[[#This Row],[Units]]="","",tblFleet[[#This Row],[Calendar_h]]-tblFleet[[#This Row],[Down_h]])</f>
        <v/>
      </c>
      <c r="I166" s="60">
        <f>IF(AND(tblFleet[[#This Row],[Units]]&lt;&gt;"",tblFleet[[#This Row],[Calendar_h]]&gt;0),tblFleet[[#This Row],[Available_h]]/tblFleet[[#This Row],[Calendar_h]],"")</f>
        <v/>
      </c>
      <c r="J166" s="60">
        <f>IF(AND(tblFleet[[#This Row],[Units]]&lt;&gt;"",tblFleet[[#This Row],[Available_h]]&gt;0),tblFleet[[#This Row],[Operating_h]]/tblFleet[[#This Row],[Available_h]],"")</f>
        <v/>
      </c>
    </row>
    <row r="167">
      <c r="A167" s="54" t="n"/>
      <c r="B167" s="61" t="n"/>
      <c r="C167" s="62" t="n"/>
      <c r="D167" s="57" t="n"/>
      <c r="E167" s="57" t="n"/>
      <c r="F167" s="58" t="n"/>
      <c r="G167" s="66">
        <f>IF(tblFleet[[#This Row],[Units]]="","",tblFleet[[#This Row],[Units]]*24)</f>
        <v/>
      </c>
      <c r="H167" s="66">
        <f>IF(tblFleet[[#This Row],[Units]]="","",tblFleet[[#This Row],[Calendar_h]]-tblFleet[[#This Row],[Down_h]])</f>
        <v/>
      </c>
      <c r="I167" s="60">
        <f>IF(AND(tblFleet[[#This Row],[Units]]&lt;&gt;"",tblFleet[[#This Row],[Calendar_h]]&gt;0),tblFleet[[#This Row],[Available_h]]/tblFleet[[#This Row],[Calendar_h]],"")</f>
        <v/>
      </c>
      <c r="J167" s="60">
        <f>IF(AND(tblFleet[[#This Row],[Units]]&lt;&gt;"",tblFleet[[#This Row],[Available_h]]&gt;0),tblFleet[[#This Row],[Operating_h]]/tblFleet[[#This Row],[Available_h]],"")</f>
        <v/>
      </c>
    </row>
    <row r="168">
      <c r="A168" s="54" t="n"/>
      <c r="B168" s="61" t="n"/>
      <c r="C168" s="62" t="n"/>
      <c r="D168" s="57" t="n"/>
      <c r="E168" s="57" t="n"/>
      <c r="F168" s="58" t="n"/>
      <c r="G168" s="66">
        <f>IF(tblFleet[[#This Row],[Units]]="","",tblFleet[[#This Row],[Units]]*24)</f>
        <v/>
      </c>
      <c r="H168" s="66">
        <f>IF(tblFleet[[#This Row],[Units]]="","",tblFleet[[#This Row],[Calendar_h]]-tblFleet[[#This Row],[Down_h]])</f>
        <v/>
      </c>
      <c r="I168" s="60">
        <f>IF(AND(tblFleet[[#This Row],[Units]]&lt;&gt;"",tblFleet[[#This Row],[Calendar_h]]&gt;0),tblFleet[[#This Row],[Available_h]]/tblFleet[[#This Row],[Calendar_h]],"")</f>
        <v/>
      </c>
      <c r="J168" s="60">
        <f>IF(AND(tblFleet[[#This Row],[Units]]&lt;&gt;"",tblFleet[[#This Row],[Available_h]]&gt;0),tblFleet[[#This Row],[Operating_h]]/tblFleet[[#This Row],[Available_h]],"")</f>
        <v/>
      </c>
    </row>
    <row r="169">
      <c r="A169" s="54" t="n"/>
      <c r="B169" s="61" t="n"/>
      <c r="C169" s="62" t="n"/>
      <c r="D169" s="57" t="n"/>
      <c r="E169" s="57" t="n"/>
      <c r="F169" s="58" t="n"/>
      <c r="G169" s="66">
        <f>IF(tblFleet[[#This Row],[Units]]="","",tblFleet[[#This Row],[Units]]*24)</f>
        <v/>
      </c>
      <c r="H169" s="66">
        <f>IF(tblFleet[[#This Row],[Units]]="","",tblFleet[[#This Row],[Calendar_h]]-tblFleet[[#This Row],[Down_h]])</f>
        <v/>
      </c>
      <c r="I169" s="60">
        <f>IF(AND(tblFleet[[#This Row],[Units]]&lt;&gt;"",tblFleet[[#This Row],[Calendar_h]]&gt;0),tblFleet[[#This Row],[Available_h]]/tblFleet[[#This Row],[Calendar_h]],"")</f>
        <v/>
      </c>
      <c r="J169" s="60">
        <f>IF(AND(tblFleet[[#This Row],[Units]]&lt;&gt;"",tblFleet[[#This Row],[Available_h]]&gt;0),tblFleet[[#This Row],[Operating_h]]/tblFleet[[#This Row],[Available_h]],"")</f>
        <v/>
      </c>
    </row>
    <row r="170">
      <c r="A170" s="54" t="n"/>
      <c r="B170" s="61" t="n"/>
      <c r="C170" s="62" t="n"/>
      <c r="D170" s="57" t="n"/>
      <c r="E170" s="57" t="n"/>
      <c r="F170" s="58" t="n"/>
      <c r="G170" s="66">
        <f>IF(tblFleet[[#This Row],[Units]]="","",tblFleet[[#This Row],[Units]]*24)</f>
        <v/>
      </c>
      <c r="H170" s="66">
        <f>IF(tblFleet[[#This Row],[Units]]="","",tblFleet[[#This Row],[Calendar_h]]-tblFleet[[#This Row],[Down_h]])</f>
        <v/>
      </c>
      <c r="I170" s="60">
        <f>IF(AND(tblFleet[[#This Row],[Units]]&lt;&gt;"",tblFleet[[#This Row],[Calendar_h]]&gt;0),tblFleet[[#This Row],[Available_h]]/tblFleet[[#This Row],[Calendar_h]],"")</f>
        <v/>
      </c>
      <c r="J170" s="60">
        <f>IF(AND(tblFleet[[#This Row],[Units]]&lt;&gt;"",tblFleet[[#This Row],[Available_h]]&gt;0),tblFleet[[#This Row],[Operating_h]]/tblFleet[[#This Row],[Available_h]],"")</f>
        <v/>
      </c>
    </row>
    <row r="171">
      <c r="A171" s="54" t="n"/>
      <c r="B171" s="61" t="n"/>
      <c r="C171" s="62" t="n"/>
      <c r="D171" s="57" t="n"/>
      <c r="E171" s="57" t="n"/>
      <c r="F171" s="58" t="n"/>
      <c r="G171" s="66">
        <f>IF(tblFleet[[#This Row],[Units]]="","",tblFleet[[#This Row],[Units]]*24)</f>
        <v/>
      </c>
      <c r="H171" s="66">
        <f>IF(tblFleet[[#This Row],[Units]]="","",tblFleet[[#This Row],[Calendar_h]]-tblFleet[[#This Row],[Down_h]])</f>
        <v/>
      </c>
      <c r="I171" s="60">
        <f>IF(AND(tblFleet[[#This Row],[Units]]&lt;&gt;"",tblFleet[[#This Row],[Calendar_h]]&gt;0),tblFleet[[#This Row],[Available_h]]/tblFleet[[#This Row],[Calendar_h]],"")</f>
        <v/>
      </c>
      <c r="J171" s="60">
        <f>IF(AND(tblFleet[[#This Row],[Units]]&lt;&gt;"",tblFleet[[#This Row],[Available_h]]&gt;0),tblFleet[[#This Row],[Operating_h]]/tblFleet[[#This Row],[Available_h]],"")</f>
        <v/>
      </c>
    </row>
    <row r="172">
      <c r="A172" s="54" t="n"/>
      <c r="B172" s="61" t="n"/>
      <c r="C172" s="62" t="n"/>
      <c r="D172" s="57" t="n"/>
      <c r="E172" s="57" t="n"/>
      <c r="F172" s="58" t="n"/>
      <c r="G172" s="66">
        <f>IF(tblFleet[[#This Row],[Units]]="","",tblFleet[[#This Row],[Units]]*24)</f>
        <v/>
      </c>
      <c r="H172" s="66">
        <f>IF(tblFleet[[#This Row],[Units]]="","",tblFleet[[#This Row],[Calendar_h]]-tblFleet[[#This Row],[Down_h]])</f>
        <v/>
      </c>
      <c r="I172" s="60">
        <f>IF(AND(tblFleet[[#This Row],[Units]]&lt;&gt;"",tblFleet[[#This Row],[Calendar_h]]&gt;0),tblFleet[[#This Row],[Available_h]]/tblFleet[[#This Row],[Calendar_h]],"")</f>
        <v/>
      </c>
      <c r="J172" s="60">
        <f>IF(AND(tblFleet[[#This Row],[Units]]&lt;&gt;"",tblFleet[[#This Row],[Available_h]]&gt;0),tblFleet[[#This Row],[Operating_h]]/tblFleet[[#This Row],[Available_h]],"")</f>
        <v/>
      </c>
    </row>
    <row r="173">
      <c r="A173" s="54" t="n"/>
      <c r="B173" s="61" t="n"/>
      <c r="C173" s="62" t="n"/>
      <c r="D173" s="57" t="n"/>
      <c r="E173" s="57" t="n"/>
      <c r="F173" s="58" t="n"/>
      <c r="G173" s="66">
        <f>IF(tblFleet[[#This Row],[Units]]="","",tblFleet[[#This Row],[Units]]*24)</f>
        <v/>
      </c>
      <c r="H173" s="66">
        <f>IF(tblFleet[[#This Row],[Units]]="","",tblFleet[[#This Row],[Calendar_h]]-tblFleet[[#This Row],[Down_h]])</f>
        <v/>
      </c>
      <c r="I173" s="60">
        <f>IF(AND(tblFleet[[#This Row],[Units]]&lt;&gt;"",tblFleet[[#This Row],[Calendar_h]]&gt;0),tblFleet[[#This Row],[Available_h]]/tblFleet[[#This Row],[Calendar_h]],"")</f>
        <v/>
      </c>
      <c r="J173" s="60">
        <f>IF(AND(tblFleet[[#This Row],[Units]]&lt;&gt;"",tblFleet[[#This Row],[Available_h]]&gt;0),tblFleet[[#This Row],[Operating_h]]/tblFleet[[#This Row],[Available_h]],"")</f>
        <v/>
      </c>
    </row>
    <row r="174">
      <c r="A174" s="54" t="n"/>
      <c r="B174" s="61" t="n"/>
      <c r="C174" s="62" t="n"/>
      <c r="D174" s="57" t="n"/>
      <c r="E174" s="57" t="n"/>
      <c r="F174" s="58" t="n"/>
      <c r="G174" s="66">
        <f>IF(tblFleet[[#This Row],[Units]]="","",tblFleet[[#This Row],[Units]]*24)</f>
        <v/>
      </c>
      <c r="H174" s="66">
        <f>IF(tblFleet[[#This Row],[Units]]="","",tblFleet[[#This Row],[Calendar_h]]-tblFleet[[#This Row],[Down_h]])</f>
        <v/>
      </c>
      <c r="I174" s="60">
        <f>IF(AND(tblFleet[[#This Row],[Units]]&lt;&gt;"",tblFleet[[#This Row],[Calendar_h]]&gt;0),tblFleet[[#This Row],[Available_h]]/tblFleet[[#This Row],[Calendar_h]],"")</f>
        <v/>
      </c>
      <c r="J174" s="60">
        <f>IF(AND(tblFleet[[#This Row],[Units]]&lt;&gt;"",tblFleet[[#This Row],[Available_h]]&gt;0),tblFleet[[#This Row],[Operating_h]]/tblFleet[[#This Row],[Available_h]],"")</f>
        <v/>
      </c>
    </row>
    <row r="175">
      <c r="A175" s="54" t="n"/>
      <c r="B175" s="61" t="n"/>
      <c r="C175" s="62" t="n"/>
      <c r="D175" s="57" t="n"/>
      <c r="E175" s="57" t="n"/>
      <c r="F175" s="58" t="n"/>
      <c r="G175" s="66">
        <f>IF(tblFleet[[#This Row],[Units]]="","",tblFleet[[#This Row],[Units]]*24)</f>
        <v/>
      </c>
      <c r="H175" s="66">
        <f>IF(tblFleet[[#This Row],[Units]]="","",tblFleet[[#This Row],[Calendar_h]]-tblFleet[[#This Row],[Down_h]])</f>
        <v/>
      </c>
      <c r="I175" s="60">
        <f>IF(AND(tblFleet[[#This Row],[Units]]&lt;&gt;"",tblFleet[[#This Row],[Calendar_h]]&gt;0),tblFleet[[#This Row],[Available_h]]/tblFleet[[#This Row],[Calendar_h]],"")</f>
        <v/>
      </c>
      <c r="J175" s="60">
        <f>IF(AND(tblFleet[[#This Row],[Units]]&lt;&gt;"",tblFleet[[#This Row],[Available_h]]&gt;0),tblFleet[[#This Row],[Operating_h]]/tblFleet[[#This Row],[Available_h]],"")</f>
        <v/>
      </c>
    </row>
    <row r="176">
      <c r="A176" s="54" t="n"/>
      <c r="B176" s="61" t="n"/>
      <c r="C176" s="62" t="n"/>
      <c r="D176" s="57" t="n"/>
      <c r="E176" s="57" t="n"/>
      <c r="F176" s="58" t="n"/>
      <c r="G176" s="66">
        <f>IF(tblFleet[[#This Row],[Units]]="","",tblFleet[[#This Row],[Units]]*24)</f>
        <v/>
      </c>
      <c r="H176" s="66">
        <f>IF(tblFleet[[#This Row],[Units]]="","",tblFleet[[#This Row],[Calendar_h]]-tblFleet[[#This Row],[Down_h]])</f>
        <v/>
      </c>
      <c r="I176" s="60">
        <f>IF(AND(tblFleet[[#This Row],[Units]]&lt;&gt;"",tblFleet[[#This Row],[Calendar_h]]&gt;0),tblFleet[[#This Row],[Available_h]]/tblFleet[[#This Row],[Calendar_h]],"")</f>
        <v/>
      </c>
      <c r="J176" s="60">
        <f>IF(AND(tblFleet[[#This Row],[Units]]&lt;&gt;"",tblFleet[[#This Row],[Available_h]]&gt;0),tblFleet[[#This Row],[Operating_h]]/tblFleet[[#This Row],[Available_h]],"")</f>
        <v/>
      </c>
    </row>
    <row r="177">
      <c r="A177" s="54" t="n"/>
      <c r="B177" s="61" t="n"/>
      <c r="C177" s="62" t="n"/>
      <c r="D177" s="57" t="n"/>
      <c r="E177" s="57" t="n"/>
      <c r="F177" s="58" t="n"/>
      <c r="G177" s="66">
        <f>IF(tblFleet[[#This Row],[Units]]="","",tblFleet[[#This Row],[Units]]*24)</f>
        <v/>
      </c>
      <c r="H177" s="66">
        <f>IF(tblFleet[[#This Row],[Units]]="","",tblFleet[[#This Row],[Calendar_h]]-tblFleet[[#This Row],[Down_h]])</f>
        <v/>
      </c>
      <c r="I177" s="60">
        <f>IF(AND(tblFleet[[#This Row],[Units]]&lt;&gt;"",tblFleet[[#This Row],[Calendar_h]]&gt;0),tblFleet[[#This Row],[Available_h]]/tblFleet[[#This Row],[Calendar_h]],"")</f>
        <v/>
      </c>
      <c r="J177" s="60">
        <f>IF(AND(tblFleet[[#This Row],[Units]]&lt;&gt;"",tblFleet[[#This Row],[Available_h]]&gt;0),tblFleet[[#This Row],[Operating_h]]/tblFleet[[#This Row],[Available_h]],"")</f>
        <v/>
      </c>
    </row>
    <row r="178">
      <c r="A178" s="54" t="n"/>
      <c r="B178" s="61" t="n"/>
      <c r="C178" s="62" t="n"/>
      <c r="D178" s="57" t="n"/>
      <c r="E178" s="57" t="n"/>
      <c r="F178" s="58" t="n"/>
      <c r="G178" s="66">
        <f>IF(tblFleet[[#This Row],[Units]]="","",tblFleet[[#This Row],[Units]]*24)</f>
        <v/>
      </c>
      <c r="H178" s="66">
        <f>IF(tblFleet[[#This Row],[Units]]="","",tblFleet[[#This Row],[Calendar_h]]-tblFleet[[#This Row],[Down_h]])</f>
        <v/>
      </c>
      <c r="I178" s="60">
        <f>IF(AND(tblFleet[[#This Row],[Units]]&lt;&gt;"",tblFleet[[#This Row],[Calendar_h]]&gt;0),tblFleet[[#This Row],[Available_h]]/tblFleet[[#This Row],[Calendar_h]],"")</f>
        <v/>
      </c>
      <c r="J178" s="60">
        <f>IF(AND(tblFleet[[#This Row],[Units]]&lt;&gt;"",tblFleet[[#This Row],[Available_h]]&gt;0),tblFleet[[#This Row],[Operating_h]]/tblFleet[[#This Row],[Available_h]],"")</f>
        <v/>
      </c>
    </row>
    <row r="179">
      <c r="A179" s="54" t="n"/>
      <c r="B179" s="61" t="n"/>
      <c r="C179" s="62" t="n"/>
      <c r="D179" s="57" t="n"/>
      <c r="E179" s="57" t="n"/>
      <c r="F179" s="58" t="n"/>
      <c r="G179" s="66">
        <f>IF(tblFleet[[#This Row],[Units]]="","",tblFleet[[#This Row],[Units]]*24)</f>
        <v/>
      </c>
      <c r="H179" s="66">
        <f>IF(tblFleet[[#This Row],[Units]]="","",tblFleet[[#This Row],[Calendar_h]]-tblFleet[[#This Row],[Down_h]])</f>
        <v/>
      </c>
      <c r="I179" s="60">
        <f>IF(AND(tblFleet[[#This Row],[Units]]&lt;&gt;"",tblFleet[[#This Row],[Calendar_h]]&gt;0),tblFleet[[#This Row],[Available_h]]/tblFleet[[#This Row],[Calendar_h]],"")</f>
        <v/>
      </c>
      <c r="J179" s="60">
        <f>IF(AND(tblFleet[[#This Row],[Units]]&lt;&gt;"",tblFleet[[#This Row],[Available_h]]&gt;0),tblFleet[[#This Row],[Operating_h]]/tblFleet[[#This Row],[Available_h]],"")</f>
        <v/>
      </c>
    </row>
    <row r="180">
      <c r="A180" s="54" t="n"/>
      <c r="B180" s="61" t="n"/>
      <c r="C180" s="62" t="n"/>
      <c r="D180" s="57" t="n"/>
      <c r="E180" s="57" t="n"/>
      <c r="F180" s="58" t="n"/>
      <c r="G180" s="66">
        <f>IF(tblFleet[[#This Row],[Units]]="","",tblFleet[[#This Row],[Units]]*24)</f>
        <v/>
      </c>
      <c r="H180" s="66">
        <f>IF(tblFleet[[#This Row],[Units]]="","",tblFleet[[#This Row],[Calendar_h]]-tblFleet[[#This Row],[Down_h]])</f>
        <v/>
      </c>
      <c r="I180" s="60">
        <f>IF(AND(tblFleet[[#This Row],[Units]]&lt;&gt;"",tblFleet[[#This Row],[Calendar_h]]&gt;0),tblFleet[[#This Row],[Available_h]]/tblFleet[[#This Row],[Calendar_h]],"")</f>
        <v/>
      </c>
      <c r="J180" s="60">
        <f>IF(AND(tblFleet[[#This Row],[Units]]&lt;&gt;"",tblFleet[[#This Row],[Available_h]]&gt;0),tblFleet[[#This Row],[Operating_h]]/tblFleet[[#This Row],[Available_h]],"")</f>
        <v/>
      </c>
    </row>
    <row r="181">
      <c r="A181" s="54" t="n"/>
      <c r="B181" s="61" t="n"/>
      <c r="C181" s="62" t="n"/>
      <c r="D181" s="57" t="n"/>
      <c r="E181" s="57" t="n"/>
      <c r="F181" s="58" t="n"/>
      <c r="G181" s="66">
        <f>IF(tblFleet[[#This Row],[Units]]="","",tblFleet[[#This Row],[Units]]*24)</f>
        <v/>
      </c>
      <c r="H181" s="66">
        <f>IF(tblFleet[[#This Row],[Units]]="","",tblFleet[[#This Row],[Calendar_h]]-tblFleet[[#This Row],[Down_h]])</f>
        <v/>
      </c>
      <c r="I181" s="60">
        <f>IF(AND(tblFleet[[#This Row],[Units]]&lt;&gt;"",tblFleet[[#This Row],[Calendar_h]]&gt;0),tblFleet[[#This Row],[Available_h]]/tblFleet[[#This Row],[Calendar_h]],"")</f>
        <v/>
      </c>
      <c r="J181" s="60">
        <f>IF(AND(tblFleet[[#This Row],[Units]]&lt;&gt;"",tblFleet[[#This Row],[Available_h]]&gt;0),tblFleet[[#This Row],[Operating_h]]/tblFleet[[#This Row],[Available_h]],"")</f>
        <v/>
      </c>
    </row>
    <row r="182">
      <c r="A182" s="54" t="n"/>
      <c r="B182" s="61" t="n"/>
      <c r="C182" s="62" t="n"/>
      <c r="D182" s="57" t="n"/>
      <c r="E182" s="57" t="n"/>
      <c r="F182" s="58" t="n"/>
      <c r="G182" s="66">
        <f>IF(tblFleet[[#This Row],[Units]]="","",tblFleet[[#This Row],[Units]]*24)</f>
        <v/>
      </c>
      <c r="H182" s="66">
        <f>IF(tblFleet[[#This Row],[Units]]="","",tblFleet[[#This Row],[Calendar_h]]-tblFleet[[#This Row],[Down_h]])</f>
        <v/>
      </c>
      <c r="I182" s="60">
        <f>IF(AND(tblFleet[[#This Row],[Units]]&lt;&gt;"",tblFleet[[#This Row],[Calendar_h]]&gt;0),tblFleet[[#This Row],[Available_h]]/tblFleet[[#This Row],[Calendar_h]],"")</f>
        <v/>
      </c>
      <c r="J182" s="60">
        <f>IF(AND(tblFleet[[#This Row],[Units]]&lt;&gt;"",tblFleet[[#This Row],[Available_h]]&gt;0),tblFleet[[#This Row],[Operating_h]]/tblFleet[[#This Row],[Available_h]],"")</f>
        <v/>
      </c>
    </row>
    <row r="183">
      <c r="A183" s="54" t="n"/>
      <c r="B183" s="61" t="n"/>
      <c r="C183" s="62" t="n"/>
      <c r="D183" s="57" t="n"/>
      <c r="E183" s="57" t="n"/>
      <c r="F183" s="58" t="n"/>
      <c r="G183" s="66">
        <f>IF(tblFleet[[#This Row],[Units]]="","",tblFleet[[#This Row],[Units]]*24)</f>
        <v/>
      </c>
      <c r="H183" s="66">
        <f>IF(tblFleet[[#This Row],[Units]]="","",tblFleet[[#This Row],[Calendar_h]]-tblFleet[[#This Row],[Down_h]])</f>
        <v/>
      </c>
      <c r="I183" s="60">
        <f>IF(AND(tblFleet[[#This Row],[Units]]&lt;&gt;"",tblFleet[[#This Row],[Calendar_h]]&gt;0),tblFleet[[#This Row],[Available_h]]/tblFleet[[#This Row],[Calendar_h]],"")</f>
        <v/>
      </c>
      <c r="J183" s="60">
        <f>IF(AND(tblFleet[[#This Row],[Units]]&lt;&gt;"",tblFleet[[#This Row],[Available_h]]&gt;0),tblFleet[[#This Row],[Operating_h]]/tblFleet[[#This Row],[Available_h]],"")</f>
        <v/>
      </c>
    </row>
    <row r="184">
      <c r="A184" s="54" t="n"/>
      <c r="B184" s="61" t="n"/>
      <c r="C184" s="62" t="n"/>
      <c r="D184" s="57" t="n"/>
      <c r="E184" s="57" t="n"/>
      <c r="F184" s="58" t="n"/>
      <c r="G184" s="66">
        <f>IF(tblFleet[[#This Row],[Units]]="","",tblFleet[[#This Row],[Units]]*24)</f>
        <v/>
      </c>
      <c r="H184" s="66">
        <f>IF(tblFleet[[#This Row],[Units]]="","",tblFleet[[#This Row],[Calendar_h]]-tblFleet[[#This Row],[Down_h]])</f>
        <v/>
      </c>
      <c r="I184" s="60">
        <f>IF(AND(tblFleet[[#This Row],[Units]]&lt;&gt;"",tblFleet[[#This Row],[Calendar_h]]&gt;0),tblFleet[[#This Row],[Available_h]]/tblFleet[[#This Row],[Calendar_h]],"")</f>
        <v/>
      </c>
      <c r="J184" s="60">
        <f>IF(AND(tblFleet[[#This Row],[Units]]&lt;&gt;"",tblFleet[[#This Row],[Available_h]]&gt;0),tblFleet[[#This Row],[Operating_h]]/tblFleet[[#This Row],[Available_h]],"")</f>
        <v/>
      </c>
    </row>
    <row r="185">
      <c r="A185" s="54" t="n"/>
      <c r="B185" s="61" t="n"/>
      <c r="C185" s="62" t="n"/>
      <c r="D185" s="57" t="n"/>
      <c r="E185" s="57" t="n"/>
      <c r="F185" s="58" t="n"/>
      <c r="G185" s="66">
        <f>IF(tblFleet[[#This Row],[Units]]="","",tblFleet[[#This Row],[Units]]*24)</f>
        <v/>
      </c>
      <c r="H185" s="66">
        <f>IF(tblFleet[[#This Row],[Units]]="","",tblFleet[[#This Row],[Calendar_h]]-tblFleet[[#This Row],[Down_h]])</f>
        <v/>
      </c>
      <c r="I185" s="60">
        <f>IF(AND(tblFleet[[#This Row],[Units]]&lt;&gt;"",tblFleet[[#This Row],[Calendar_h]]&gt;0),tblFleet[[#This Row],[Available_h]]/tblFleet[[#This Row],[Calendar_h]],"")</f>
        <v/>
      </c>
      <c r="J185" s="60">
        <f>IF(AND(tblFleet[[#This Row],[Units]]&lt;&gt;"",tblFleet[[#This Row],[Available_h]]&gt;0),tblFleet[[#This Row],[Operating_h]]/tblFleet[[#This Row],[Available_h]],"")</f>
        <v/>
      </c>
    </row>
    <row r="186">
      <c r="A186" s="54" t="n"/>
      <c r="B186" s="61" t="n"/>
      <c r="C186" s="62" t="n"/>
      <c r="D186" s="57" t="n"/>
      <c r="E186" s="57" t="n"/>
      <c r="F186" s="58" t="n"/>
      <c r="G186" s="66">
        <f>IF(tblFleet[[#This Row],[Units]]="","",tblFleet[[#This Row],[Units]]*24)</f>
        <v/>
      </c>
      <c r="H186" s="66">
        <f>IF(tblFleet[[#This Row],[Units]]="","",tblFleet[[#This Row],[Calendar_h]]-tblFleet[[#This Row],[Down_h]])</f>
        <v/>
      </c>
      <c r="I186" s="60">
        <f>IF(AND(tblFleet[[#This Row],[Units]]&lt;&gt;"",tblFleet[[#This Row],[Calendar_h]]&gt;0),tblFleet[[#This Row],[Available_h]]/tblFleet[[#This Row],[Calendar_h]],"")</f>
        <v/>
      </c>
      <c r="J186" s="60">
        <f>IF(AND(tblFleet[[#This Row],[Units]]&lt;&gt;"",tblFleet[[#This Row],[Available_h]]&gt;0),tblFleet[[#This Row],[Operating_h]]/tblFleet[[#This Row],[Available_h]],"")</f>
        <v/>
      </c>
    </row>
    <row r="187">
      <c r="A187" s="54" t="n"/>
      <c r="B187" s="61" t="n"/>
      <c r="C187" s="62" t="n"/>
      <c r="D187" s="57" t="n"/>
      <c r="E187" s="57" t="n"/>
      <c r="F187" s="58" t="n"/>
      <c r="G187" s="66">
        <f>IF(tblFleet[[#This Row],[Units]]="","",tblFleet[[#This Row],[Units]]*24)</f>
        <v/>
      </c>
      <c r="H187" s="66">
        <f>IF(tblFleet[[#This Row],[Units]]="","",tblFleet[[#This Row],[Calendar_h]]-tblFleet[[#This Row],[Down_h]])</f>
        <v/>
      </c>
      <c r="I187" s="60">
        <f>IF(AND(tblFleet[[#This Row],[Units]]&lt;&gt;"",tblFleet[[#This Row],[Calendar_h]]&gt;0),tblFleet[[#This Row],[Available_h]]/tblFleet[[#This Row],[Calendar_h]],"")</f>
        <v/>
      </c>
      <c r="J187" s="60">
        <f>IF(AND(tblFleet[[#This Row],[Units]]&lt;&gt;"",tblFleet[[#This Row],[Available_h]]&gt;0),tblFleet[[#This Row],[Operating_h]]/tblFleet[[#This Row],[Available_h]],"")</f>
        <v/>
      </c>
    </row>
    <row r="188">
      <c r="A188" s="54" t="n"/>
      <c r="B188" s="61" t="n"/>
      <c r="C188" s="62" t="n"/>
      <c r="D188" s="57" t="n"/>
      <c r="E188" s="57" t="n"/>
      <c r="F188" s="58" t="n"/>
      <c r="G188" s="66">
        <f>IF(tblFleet[[#This Row],[Units]]="","",tblFleet[[#This Row],[Units]]*24)</f>
        <v/>
      </c>
      <c r="H188" s="66">
        <f>IF(tblFleet[[#This Row],[Units]]="","",tblFleet[[#This Row],[Calendar_h]]-tblFleet[[#This Row],[Down_h]])</f>
        <v/>
      </c>
      <c r="I188" s="60">
        <f>IF(AND(tblFleet[[#This Row],[Units]]&lt;&gt;"",tblFleet[[#This Row],[Calendar_h]]&gt;0),tblFleet[[#This Row],[Available_h]]/tblFleet[[#This Row],[Calendar_h]],"")</f>
        <v/>
      </c>
      <c r="J188" s="60">
        <f>IF(AND(tblFleet[[#This Row],[Units]]&lt;&gt;"",tblFleet[[#This Row],[Available_h]]&gt;0),tblFleet[[#This Row],[Operating_h]]/tblFleet[[#This Row],[Available_h]],"")</f>
        <v/>
      </c>
    </row>
    <row r="189">
      <c r="A189" s="54" t="n"/>
      <c r="B189" s="61" t="n"/>
      <c r="C189" s="62" t="n"/>
      <c r="D189" s="57" t="n"/>
      <c r="E189" s="57" t="n"/>
      <c r="F189" s="58" t="n"/>
      <c r="G189" s="66">
        <f>IF(tblFleet[[#This Row],[Units]]="","",tblFleet[[#This Row],[Units]]*24)</f>
        <v/>
      </c>
      <c r="H189" s="66">
        <f>IF(tblFleet[[#This Row],[Units]]="","",tblFleet[[#This Row],[Calendar_h]]-tblFleet[[#This Row],[Down_h]])</f>
        <v/>
      </c>
      <c r="I189" s="60">
        <f>IF(AND(tblFleet[[#This Row],[Units]]&lt;&gt;"",tblFleet[[#This Row],[Calendar_h]]&gt;0),tblFleet[[#This Row],[Available_h]]/tblFleet[[#This Row],[Calendar_h]],"")</f>
        <v/>
      </c>
      <c r="J189" s="60">
        <f>IF(AND(tblFleet[[#This Row],[Units]]&lt;&gt;"",tblFleet[[#This Row],[Available_h]]&gt;0),tblFleet[[#This Row],[Operating_h]]/tblFleet[[#This Row],[Available_h]],"")</f>
        <v/>
      </c>
    </row>
    <row r="190">
      <c r="A190" s="54" t="n"/>
      <c r="B190" s="61" t="n"/>
      <c r="C190" s="62" t="n"/>
      <c r="D190" s="57" t="n"/>
      <c r="E190" s="57" t="n"/>
      <c r="F190" s="58" t="n"/>
      <c r="G190" s="66">
        <f>IF(tblFleet[[#This Row],[Units]]="","",tblFleet[[#This Row],[Units]]*24)</f>
        <v/>
      </c>
      <c r="H190" s="66">
        <f>IF(tblFleet[[#This Row],[Units]]="","",tblFleet[[#This Row],[Calendar_h]]-tblFleet[[#This Row],[Down_h]])</f>
        <v/>
      </c>
      <c r="I190" s="60">
        <f>IF(AND(tblFleet[[#This Row],[Units]]&lt;&gt;"",tblFleet[[#This Row],[Calendar_h]]&gt;0),tblFleet[[#This Row],[Available_h]]/tblFleet[[#This Row],[Calendar_h]],"")</f>
        <v/>
      </c>
      <c r="J190" s="60">
        <f>IF(AND(tblFleet[[#This Row],[Units]]&lt;&gt;"",tblFleet[[#This Row],[Available_h]]&gt;0),tblFleet[[#This Row],[Operating_h]]/tblFleet[[#This Row],[Available_h]],"")</f>
        <v/>
      </c>
    </row>
    <row r="191">
      <c r="A191" s="54" t="n"/>
      <c r="B191" s="61" t="n"/>
      <c r="C191" s="62" t="n"/>
      <c r="D191" s="57" t="n"/>
      <c r="E191" s="57" t="n"/>
      <c r="F191" s="58" t="n"/>
      <c r="G191" s="66">
        <f>IF(tblFleet[[#This Row],[Units]]="","",tblFleet[[#This Row],[Units]]*24)</f>
        <v/>
      </c>
      <c r="H191" s="66">
        <f>IF(tblFleet[[#This Row],[Units]]="","",tblFleet[[#This Row],[Calendar_h]]-tblFleet[[#This Row],[Down_h]])</f>
        <v/>
      </c>
      <c r="I191" s="60">
        <f>IF(AND(tblFleet[[#This Row],[Units]]&lt;&gt;"",tblFleet[[#This Row],[Calendar_h]]&gt;0),tblFleet[[#This Row],[Available_h]]/tblFleet[[#This Row],[Calendar_h]],"")</f>
        <v/>
      </c>
      <c r="J191" s="60">
        <f>IF(AND(tblFleet[[#This Row],[Units]]&lt;&gt;"",tblFleet[[#This Row],[Available_h]]&gt;0),tblFleet[[#This Row],[Operating_h]]/tblFleet[[#This Row],[Available_h]],"")</f>
        <v/>
      </c>
    </row>
    <row r="192">
      <c r="A192" s="54" t="n"/>
      <c r="B192" s="61" t="n"/>
      <c r="C192" s="62" t="n"/>
      <c r="D192" s="57" t="n"/>
      <c r="E192" s="57" t="n"/>
      <c r="F192" s="58" t="n"/>
      <c r="G192" s="66">
        <f>IF(tblFleet[[#This Row],[Units]]="","",tblFleet[[#This Row],[Units]]*24)</f>
        <v/>
      </c>
      <c r="H192" s="66">
        <f>IF(tblFleet[[#This Row],[Units]]="","",tblFleet[[#This Row],[Calendar_h]]-tblFleet[[#This Row],[Down_h]])</f>
        <v/>
      </c>
      <c r="I192" s="60">
        <f>IF(AND(tblFleet[[#This Row],[Units]]&lt;&gt;"",tblFleet[[#This Row],[Calendar_h]]&gt;0),tblFleet[[#This Row],[Available_h]]/tblFleet[[#This Row],[Calendar_h]],"")</f>
        <v/>
      </c>
      <c r="J192" s="60">
        <f>IF(AND(tblFleet[[#This Row],[Units]]&lt;&gt;"",tblFleet[[#This Row],[Available_h]]&gt;0),tblFleet[[#This Row],[Operating_h]]/tblFleet[[#This Row],[Available_h]],"")</f>
        <v/>
      </c>
    </row>
    <row r="193">
      <c r="A193" s="54" t="n"/>
      <c r="B193" s="61" t="n"/>
      <c r="C193" s="62" t="n"/>
      <c r="D193" s="57" t="n"/>
      <c r="E193" s="57" t="n"/>
      <c r="F193" s="58" t="n"/>
      <c r="G193" s="66">
        <f>IF(tblFleet[[#This Row],[Units]]="","",tblFleet[[#This Row],[Units]]*24)</f>
        <v/>
      </c>
      <c r="H193" s="66">
        <f>IF(tblFleet[[#This Row],[Units]]="","",tblFleet[[#This Row],[Calendar_h]]-tblFleet[[#This Row],[Down_h]])</f>
        <v/>
      </c>
      <c r="I193" s="60">
        <f>IF(AND(tblFleet[[#This Row],[Units]]&lt;&gt;"",tblFleet[[#This Row],[Calendar_h]]&gt;0),tblFleet[[#This Row],[Available_h]]/tblFleet[[#This Row],[Calendar_h]],"")</f>
        <v/>
      </c>
      <c r="J193" s="60">
        <f>IF(AND(tblFleet[[#This Row],[Units]]&lt;&gt;"",tblFleet[[#This Row],[Available_h]]&gt;0),tblFleet[[#This Row],[Operating_h]]/tblFleet[[#This Row],[Available_h]],"")</f>
        <v/>
      </c>
    </row>
    <row r="194">
      <c r="A194" s="54" t="n"/>
      <c r="B194" s="61" t="n"/>
      <c r="C194" s="62" t="n"/>
      <c r="D194" s="57" t="n"/>
      <c r="E194" s="57" t="n"/>
      <c r="F194" s="58" t="n"/>
      <c r="G194" s="66">
        <f>IF(tblFleet[[#This Row],[Units]]="","",tblFleet[[#This Row],[Units]]*24)</f>
        <v/>
      </c>
      <c r="H194" s="66">
        <f>IF(tblFleet[[#This Row],[Units]]="","",tblFleet[[#This Row],[Calendar_h]]-tblFleet[[#This Row],[Down_h]])</f>
        <v/>
      </c>
      <c r="I194" s="60">
        <f>IF(AND(tblFleet[[#This Row],[Units]]&lt;&gt;"",tblFleet[[#This Row],[Calendar_h]]&gt;0),tblFleet[[#This Row],[Available_h]]/tblFleet[[#This Row],[Calendar_h]],"")</f>
        <v/>
      </c>
      <c r="J194" s="60">
        <f>IF(AND(tblFleet[[#This Row],[Units]]&lt;&gt;"",tblFleet[[#This Row],[Available_h]]&gt;0),tblFleet[[#This Row],[Operating_h]]/tblFleet[[#This Row],[Available_h]],"")</f>
        <v/>
      </c>
    </row>
    <row r="195">
      <c r="A195" s="54" t="n"/>
      <c r="B195" s="61" t="n"/>
      <c r="C195" s="62" t="n"/>
      <c r="D195" s="57" t="n"/>
      <c r="E195" s="57" t="n"/>
      <c r="F195" s="58" t="n"/>
      <c r="G195" s="66">
        <f>IF(tblFleet[[#This Row],[Units]]="","",tblFleet[[#This Row],[Units]]*24)</f>
        <v/>
      </c>
      <c r="H195" s="66">
        <f>IF(tblFleet[[#This Row],[Units]]="","",tblFleet[[#This Row],[Calendar_h]]-tblFleet[[#This Row],[Down_h]])</f>
        <v/>
      </c>
      <c r="I195" s="60">
        <f>IF(AND(tblFleet[[#This Row],[Units]]&lt;&gt;"",tblFleet[[#This Row],[Calendar_h]]&gt;0),tblFleet[[#This Row],[Available_h]]/tblFleet[[#This Row],[Calendar_h]],"")</f>
        <v/>
      </c>
      <c r="J195" s="60">
        <f>IF(AND(tblFleet[[#This Row],[Units]]&lt;&gt;"",tblFleet[[#This Row],[Available_h]]&gt;0),tblFleet[[#This Row],[Operating_h]]/tblFleet[[#This Row],[Available_h]],"")</f>
        <v/>
      </c>
    </row>
    <row r="196">
      <c r="A196" s="54" t="n"/>
      <c r="B196" s="61" t="n"/>
      <c r="C196" s="62" t="n"/>
      <c r="D196" s="57" t="n"/>
      <c r="E196" s="57" t="n"/>
      <c r="F196" s="58" t="n"/>
      <c r="G196" s="66">
        <f>IF(tblFleet[[#This Row],[Units]]="","",tblFleet[[#This Row],[Units]]*24)</f>
        <v/>
      </c>
      <c r="H196" s="66">
        <f>IF(tblFleet[[#This Row],[Units]]="","",tblFleet[[#This Row],[Calendar_h]]-tblFleet[[#This Row],[Down_h]])</f>
        <v/>
      </c>
      <c r="I196" s="60">
        <f>IF(AND(tblFleet[[#This Row],[Units]]&lt;&gt;"",tblFleet[[#This Row],[Calendar_h]]&gt;0),tblFleet[[#This Row],[Available_h]]/tblFleet[[#This Row],[Calendar_h]],"")</f>
        <v/>
      </c>
      <c r="J196" s="60">
        <f>IF(AND(tblFleet[[#This Row],[Units]]&lt;&gt;"",tblFleet[[#This Row],[Available_h]]&gt;0),tblFleet[[#This Row],[Operating_h]]/tblFleet[[#This Row],[Available_h]],"")</f>
        <v/>
      </c>
    </row>
    <row r="197">
      <c r="A197" s="54" t="n"/>
      <c r="B197" s="61" t="n"/>
      <c r="C197" s="62" t="n"/>
      <c r="D197" s="57" t="n"/>
      <c r="E197" s="57" t="n"/>
      <c r="F197" s="58" t="n"/>
      <c r="G197" s="66">
        <f>IF(tblFleet[[#This Row],[Units]]="","",tblFleet[[#This Row],[Units]]*24)</f>
        <v/>
      </c>
      <c r="H197" s="66">
        <f>IF(tblFleet[[#This Row],[Units]]="","",tblFleet[[#This Row],[Calendar_h]]-tblFleet[[#This Row],[Down_h]])</f>
        <v/>
      </c>
      <c r="I197" s="60">
        <f>IF(AND(tblFleet[[#This Row],[Units]]&lt;&gt;"",tblFleet[[#This Row],[Calendar_h]]&gt;0),tblFleet[[#This Row],[Available_h]]/tblFleet[[#This Row],[Calendar_h]],"")</f>
        <v/>
      </c>
      <c r="J197" s="60">
        <f>IF(AND(tblFleet[[#This Row],[Units]]&lt;&gt;"",tblFleet[[#This Row],[Available_h]]&gt;0),tblFleet[[#This Row],[Operating_h]]/tblFleet[[#This Row],[Available_h]],"")</f>
        <v/>
      </c>
    </row>
    <row r="198">
      <c r="A198" s="54" t="n"/>
      <c r="B198" s="61" t="n"/>
      <c r="C198" s="62" t="n"/>
      <c r="D198" s="57" t="n"/>
      <c r="E198" s="57" t="n"/>
      <c r="F198" s="58" t="n"/>
      <c r="G198" s="66">
        <f>IF(tblFleet[[#This Row],[Units]]="","",tblFleet[[#This Row],[Units]]*24)</f>
        <v/>
      </c>
      <c r="H198" s="66">
        <f>IF(tblFleet[[#This Row],[Units]]="","",tblFleet[[#This Row],[Calendar_h]]-tblFleet[[#This Row],[Down_h]])</f>
        <v/>
      </c>
      <c r="I198" s="60">
        <f>IF(AND(tblFleet[[#This Row],[Units]]&lt;&gt;"",tblFleet[[#This Row],[Calendar_h]]&gt;0),tblFleet[[#This Row],[Available_h]]/tblFleet[[#This Row],[Calendar_h]],"")</f>
        <v/>
      </c>
      <c r="J198" s="60">
        <f>IF(AND(tblFleet[[#This Row],[Units]]&lt;&gt;"",tblFleet[[#This Row],[Available_h]]&gt;0),tblFleet[[#This Row],[Operating_h]]/tblFleet[[#This Row],[Available_h]],"")</f>
        <v/>
      </c>
    </row>
    <row r="199">
      <c r="A199" s="54" t="n"/>
      <c r="B199" s="61" t="n"/>
      <c r="C199" s="62" t="n"/>
      <c r="D199" s="57" t="n"/>
      <c r="E199" s="57" t="n"/>
      <c r="F199" s="58" t="n"/>
      <c r="G199" s="66">
        <f>IF(tblFleet[[#This Row],[Units]]="","",tblFleet[[#This Row],[Units]]*24)</f>
        <v/>
      </c>
      <c r="H199" s="66">
        <f>IF(tblFleet[[#This Row],[Units]]="","",tblFleet[[#This Row],[Calendar_h]]-tblFleet[[#This Row],[Down_h]])</f>
        <v/>
      </c>
      <c r="I199" s="60">
        <f>IF(AND(tblFleet[[#This Row],[Units]]&lt;&gt;"",tblFleet[[#This Row],[Calendar_h]]&gt;0),tblFleet[[#This Row],[Available_h]]/tblFleet[[#This Row],[Calendar_h]],"")</f>
        <v/>
      </c>
      <c r="J199" s="60">
        <f>IF(AND(tblFleet[[#This Row],[Units]]&lt;&gt;"",tblFleet[[#This Row],[Available_h]]&gt;0),tblFleet[[#This Row],[Operating_h]]/tblFleet[[#This Row],[Available_h]],"")</f>
        <v/>
      </c>
    </row>
    <row r="200">
      <c r="A200" s="54" t="n"/>
      <c r="B200" s="61" t="n"/>
      <c r="C200" s="62" t="n"/>
      <c r="D200" s="57" t="n"/>
      <c r="E200" s="57" t="n"/>
      <c r="F200" s="58" t="n"/>
      <c r="G200" s="66">
        <f>IF(tblFleet[[#This Row],[Units]]="","",tblFleet[[#This Row],[Units]]*24)</f>
        <v/>
      </c>
      <c r="H200" s="66">
        <f>IF(tblFleet[[#This Row],[Units]]="","",tblFleet[[#This Row],[Calendar_h]]-tblFleet[[#This Row],[Down_h]])</f>
        <v/>
      </c>
      <c r="I200" s="60">
        <f>IF(AND(tblFleet[[#This Row],[Units]]&lt;&gt;"",tblFleet[[#This Row],[Calendar_h]]&gt;0),tblFleet[[#This Row],[Available_h]]/tblFleet[[#This Row],[Calendar_h]],"")</f>
        <v/>
      </c>
      <c r="J200" s="60">
        <f>IF(AND(tblFleet[[#This Row],[Units]]&lt;&gt;"",tblFleet[[#This Row],[Available_h]]&gt;0),tblFleet[[#This Row],[Operating_h]]/tblFleet[[#This Row],[Available_h]],"")</f>
        <v/>
      </c>
    </row>
    <row r="201">
      <c r="A201" s="54" t="n"/>
      <c r="B201" s="61" t="n"/>
      <c r="C201" s="62" t="n"/>
      <c r="D201" s="57" t="n"/>
      <c r="E201" s="57" t="n"/>
      <c r="F201" s="58" t="n"/>
      <c r="G201" s="66">
        <f>IF(tblFleet[[#This Row],[Units]]="","",tblFleet[[#This Row],[Units]]*24)</f>
        <v/>
      </c>
      <c r="H201" s="66">
        <f>IF(tblFleet[[#This Row],[Units]]="","",tblFleet[[#This Row],[Calendar_h]]-tblFleet[[#This Row],[Down_h]])</f>
        <v/>
      </c>
      <c r="I201" s="60">
        <f>IF(AND(tblFleet[[#This Row],[Units]]&lt;&gt;"",tblFleet[[#This Row],[Calendar_h]]&gt;0),tblFleet[[#This Row],[Available_h]]/tblFleet[[#This Row],[Calendar_h]],"")</f>
        <v/>
      </c>
      <c r="J201" s="60">
        <f>IF(AND(tblFleet[[#This Row],[Units]]&lt;&gt;"",tblFleet[[#This Row],[Available_h]]&gt;0),tblFleet[[#This Row],[Operating_h]]/tblFleet[[#This Row],[Available_h]],"")</f>
        <v/>
      </c>
    </row>
    <row r="202">
      <c r="A202" s="54" t="n"/>
      <c r="B202" s="61" t="n"/>
      <c r="C202" s="62" t="n"/>
      <c r="D202" s="57" t="n"/>
      <c r="E202" s="57" t="n"/>
      <c r="F202" s="58" t="n"/>
      <c r="G202" s="66">
        <f>IF(tblFleet[[#This Row],[Units]]="","",tblFleet[[#This Row],[Units]]*24)</f>
        <v/>
      </c>
      <c r="H202" s="66">
        <f>IF(tblFleet[[#This Row],[Units]]="","",tblFleet[[#This Row],[Calendar_h]]-tblFleet[[#This Row],[Down_h]])</f>
        <v/>
      </c>
      <c r="I202" s="60">
        <f>IF(AND(tblFleet[[#This Row],[Units]]&lt;&gt;"",tblFleet[[#This Row],[Calendar_h]]&gt;0),tblFleet[[#This Row],[Available_h]]/tblFleet[[#This Row],[Calendar_h]],"")</f>
        <v/>
      </c>
      <c r="J202" s="60">
        <f>IF(AND(tblFleet[[#This Row],[Units]]&lt;&gt;"",tblFleet[[#This Row],[Available_h]]&gt;0),tblFleet[[#This Row],[Operating_h]]/tblFleet[[#This Row],[Available_h]],"")</f>
        <v/>
      </c>
    </row>
    <row r="203">
      <c r="A203" s="54" t="n"/>
      <c r="B203" s="61" t="n"/>
      <c r="C203" s="62" t="n"/>
      <c r="D203" s="57" t="n"/>
      <c r="E203" s="57" t="n"/>
      <c r="F203" s="58" t="n"/>
      <c r="G203" s="66">
        <f>IF(tblFleet[[#This Row],[Units]]="","",tblFleet[[#This Row],[Units]]*24)</f>
        <v/>
      </c>
      <c r="H203" s="66">
        <f>IF(tblFleet[[#This Row],[Units]]="","",tblFleet[[#This Row],[Calendar_h]]-tblFleet[[#This Row],[Down_h]])</f>
        <v/>
      </c>
      <c r="I203" s="60">
        <f>IF(AND(tblFleet[[#This Row],[Units]]&lt;&gt;"",tblFleet[[#This Row],[Calendar_h]]&gt;0),tblFleet[[#This Row],[Available_h]]/tblFleet[[#This Row],[Calendar_h]],"")</f>
        <v/>
      </c>
      <c r="J203" s="60">
        <f>IF(AND(tblFleet[[#This Row],[Units]]&lt;&gt;"",tblFleet[[#This Row],[Available_h]]&gt;0),tblFleet[[#This Row],[Operating_h]]/tblFleet[[#This Row],[Available_h]],"")</f>
        <v/>
      </c>
    </row>
    <row r="204">
      <c r="A204" s="54" t="n"/>
      <c r="B204" s="61" t="n"/>
      <c r="C204" s="62" t="n"/>
      <c r="D204" s="57" t="n"/>
      <c r="E204" s="57" t="n"/>
      <c r="F204" s="58" t="n"/>
      <c r="G204" s="66">
        <f>IF(tblFleet[[#This Row],[Units]]="","",tblFleet[[#This Row],[Units]]*24)</f>
        <v/>
      </c>
      <c r="H204" s="66">
        <f>IF(tblFleet[[#This Row],[Units]]="","",tblFleet[[#This Row],[Calendar_h]]-tblFleet[[#This Row],[Down_h]])</f>
        <v/>
      </c>
      <c r="I204" s="60">
        <f>IF(AND(tblFleet[[#This Row],[Units]]&lt;&gt;"",tblFleet[[#This Row],[Calendar_h]]&gt;0),tblFleet[[#This Row],[Available_h]]/tblFleet[[#This Row],[Calendar_h]],"")</f>
        <v/>
      </c>
      <c r="J204" s="60">
        <f>IF(AND(tblFleet[[#This Row],[Units]]&lt;&gt;"",tblFleet[[#This Row],[Available_h]]&gt;0),tblFleet[[#This Row],[Operating_h]]/tblFleet[[#This Row],[Available_h]],"")</f>
        <v/>
      </c>
    </row>
    <row r="205">
      <c r="A205" s="54" t="n"/>
      <c r="B205" s="61" t="n"/>
      <c r="C205" s="62" t="n"/>
      <c r="D205" s="57" t="n"/>
      <c r="E205" s="57" t="n"/>
      <c r="F205" s="58" t="n"/>
      <c r="G205" s="66">
        <f>IF(tblFleet[[#This Row],[Units]]="","",tblFleet[[#This Row],[Units]]*24)</f>
        <v/>
      </c>
      <c r="H205" s="66">
        <f>IF(tblFleet[[#This Row],[Units]]="","",tblFleet[[#This Row],[Calendar_h]]-tblFleet[[#This Row],[Down_h]])</f>
        <v/>
      </c>
      <c r="I205" s="60">
        <f>IF(AND(tblFleet[[#This Row],[Units]]&lt;&gt;"",tblFleet[[#This Row],[Calendar_h]]&gt;0),tblFleet[[#This Row],[Available_h]]/tblFleet[[#This Row],[Calendar_h]],"")</f>
        <v/>
      </c>
      <c r="J205" s="60">
        <f>IF(AND(tblFleet[[#This Row],[Units]]&lt;&gt;"",tblFleet[[#This Row],[Available_h]]&gt;0),tblFleet[[#This Row],[Operating_h]]/tblFleet[[#This Row],[Available_h]],"")</f>
        <v/>
      </c>
    </row>
    <row r="206">
      <c r="A206" s="54" t="n"/>
      <c r="B206" s="61" t="n"/>
      <c r="C206" s="62" t="n"/>
      <c r="D206" s="57" t="n"/>
      <c r="E206" s="57" t="n"/>
      <c r="F206" s="58" t="n"/>
      <c r="G206" s="66">
        <f>IF(tblFleet[[#This Row],[Units]]="","",tblFleet[[#This Row],[Units]]*24)</f>
        <v/>
      </c>
      <c r="H206" s="66">
        <f>IF(tblFleet[[#This Row],[Units]]="","",tblFleet[[#This Row],[Calendar_h]]-tblFleet[[#This Row],[Down_h]])</f>
        <v/>
      </c>
      <c r="I206" s="60">
        <f>IF(AND(tblFleet[[#This Row],[Units]]&lt;&gt;"",tblFleet[[#This Row],[Calendar_h]]&gt;0),tblFleet[[#This Row],[Available_h]]/tblFleet[[#This Row],[Calendar_h]],"")</f>
        <v/>
      </c>
      <c r="J206" s="60">
        <f>IF(AND(tblFleet[[#This Row],[Units]]&lt;&gt;"",tblFleet[[#This Row],[Available_h]]&gt;0),tblFleet[[#This Row],[Operating_h]]/tblFleet[[#This Row],[Available_h]],"")</f>
        <v/>
      </c>
    </row>
    <row r="207">
      <c r="A207" s="54" t="n"/>
      <c r="B207" s="61" t="n"/>
      <c r="C207" s="62" t="n"/>
      <c r="D207" s="57" t="n"/>
      <c r="E207" s="57" t="n"/>
      <c r="F207" s="58" t="n"/>
      <c r="G207" s="66">
        <f>IF(tblFleet[[#This Row],[Units]]="","",tblFleet[[#This Row],[Units]]*24)</f>
        <v/>
      </c>
      <c r="H207" s="66">
        <f>IF(tblFleet[[#This Row],[Units]]="","",tblFleet[[#This Row],[Calendar_h]]-tblFleet[[#This Row],[Down_h]])</f>
        <v/>
      </c>
      <c r="I207" s="60">
        <f>IF(AND(tblFleet[[#This Row],[Units]]&lt;&gt;"",tblFleet[[#This Row],[Calendar_h]]&gt;0),tblFleet[[#This Row],[Available_h]]/tblFleet[[#This Row],[Calendar_h]],"")</f>
        <v/>
      </c>
      <c r="J207" s="60">
        <f>IF(AND(tblFleet[[#This Row],[Units]]&lt;&gt;"",tblFleet[[#This Row],[Available_h]]&gt;0),tblFleet[[#This Row],[Operating_h]]/tblFleet[[#This Row],[Available_h]],"")</f>
        <v/>
      </c>
    </row>
    <row r="208">
      <c r="A208" s="54" t="n"/>
      <c r="B208" s="61" t="n"/>
      <c r="C208" s="62" t="n"/>
      <c r="D208" s="57" t="n"/>
      <c r="E208" s="57" t="n"/>
      <c r="F208" s="58" t="n"/>
      <c r="G208" s="66">
        <f>IF(tblFleet[[#This Row],[Units]]="","",tblFleet[[#This Row],[Units]]*24)</f>
        <v/>
      </c>
      <c r="H208" s="66">
        <f>IF(tblFleet[[#This Row],[Units]]="","",tblFleet[[#This Row],[Calendar_h]]-tblFleet[[#This Row],[Down_h]])</f>
        <v/>
      </c>
      <c r="I208" s="60">
        <f>IF(AND(tblFleet[[#This Row],[Units]]&lt;&gt;"",tblFleet[[#This Row],[Calendar_h]]&gt;0),tblFleet[[#This Row],[Available_h]]/tblFleet[[#This Row],[Calendar_h]],"")</f>
        <v/>
      </c>
      <c r="J208" s="60">
        <f>IF(AND(tblFleet[[#This Row],[Units]]&lt;&gt;"",tblFleet[[#This Row],[Available_h]]&gt;0),tblFleet[[#This Row],[Operating_h]]/tblFleet[[#This Row],[Available_h]],"")</f>
        <v/>
      </c>
    </row>
    <row r="209">
      <c r="A209" s="54" t="n"/>
      <c r="B209" s="61" t="n"/>
      <c r="C209" s="62" t="n"/>
      <c r="D209" s="57" t="n"/>
      <c r="E209" s="57" t="n"/>
      <c r="F209" s="58" t="n"/>
      <c r="G209" s="66">
        <f>IF(tblFleet[[#This Row],[Units]]="","",tblFleet[[#This Row],[Units]]*24)</f>
        <v/>
      </c>
      <c r="H209" s="66">
        <f>IF(tblFleet[[#This Row],[Units]]="","",tblFleet[[#This Row],[Calendar_h]]-tblFleet[[#This Row],[Down_h]])</f>
        <v/>
      </c>
      <c r="I209" s="60">
        <f>IF(AND(tblFleet[[#This Row],[Units]]&lt;&gt;"",tblFleet[[#This Row],[Calendar_h]]&gt;0),tblFleet[[#This Row],[Available_h]]/tblFleet[[#This Row],[Calendar_h]],"")</f>
        <v/>
      </c>
      <c r="J209" s="60">
        <f>IF(AND(tblFleet[[#This Row],[Units]]&lt;&gt;"",tblFleet[[#This Row],[Available_h]]&gt;0),tblFleet[[#This Row],[Operating_h]]/tblFleet[[#This Row],[Available_h]],"")</f>
        <v/>
      </c>
    </row>
    <row r="210">
      <c r="A210" s="54" t="n"/>
      <c r="B210" s="61" t="n"/>
      <c r="C210" s="62" t="n"/>
      <c r="D210" s="57" t="n"/>
      <c r="E210" s="57" t="n"/>
      <c r="F210" s="58" t="n"/>
      <c r="G210" s="66">
        <f>IF(tblFleet[[#This Row],[Units]]="","",tblFleet[[#This Row],[Units]]*24)</f>
        <v/>
      </c>
      <c r="H210" s="66">
        <f>IF(tblFleet[[#This Row],[Units]]="","",tblFleet[[#This Row],[Calendar_h]]-tblFleet[[#This Row],[Down_h]])</f>
        <v/>
      </c>
      <c r="I210" s="60">
        <f>IF(AND(tblFleet[[#This Row],[Units]]&lt;&gt;"",tblFleet[[#This Row],[Calendar_h]]&gt;0),tblFleet[[#This Row],[Available_h]]/tblFleet[[#This Row],[Calendar_h]],"")</f>
        <v/>
      </c>
      <c r="J210" s="60">
        <f>IF(AND(tblFleet[[#This Row],[Units]]&lt;&gt;"",tblFleet[[#This Row],[Available_h]]&gt;0),tblFleet[[#This Row],[Operating_h]]/tblFleet[[#This Row],[Available_h]],"")</f>
        <v/>
      </c>
    </row>
    <row r="211">
      <c r="A211" s="54" t="n"/>
      <c r="B211" s="61" t="n"/>
      <c r="C211" s="62" t="n"/>
      <c r="D211" s="57" t="n"/>
      <c r="E211" s="57" t="n"/>
      <c r="F211" s="58" t="n"/>
      <c r="G211" s="66">
        <f>IF(tblFleet[[#This Row],[Units]]="","",tblFleet[[#This Row],[Units]]*24)</f>
        <v/>
      </c>
      <c r="H211" s="66">
        <f>IF(tblFleet[[#This Row],[Units]]="","",tblFleet[[#This Row],[Calendar_h]]-tblFleet[[#This Row],[Down_h]])</f>
        <v/>
      </c>
      <c r="I211" s="60">
        <f>IF(AND(tblFleet[[#This Row],[Units]]&lt;&gt;"",tblFleet[[#This Row],[Calendar_h]]&gt;0),tblFleet[[#This Row],[Available_h]]/tblFleet[[#This Row],[Calendar_h]],"")</f>
        <v/>
      </c>
      <c r="J211" s="60">
        <f>IF(AND(tblFleet[[#This Row],[Units]]&lt;&gt;"",tblFleet[[#This Row],[Available_h]]&gt;0),tblFleet[[#This Row],[Operating_h]]/tblFleet[[#This Row],[Available_h]],"")</f>
        <v/>
      </c>
    </row>
    <row r="212">
      <c r="A212" s="54" t="n"/>
      <c r="B212" s="61" t="n"/>
      <c r="C212" s="62" t="n"/>
      <c r="D212" s="57" t="n"/>
      <c r="E212" s="57" t="n"/>
      <c r="F212" s="58" t="n"/>
      <c r="G212" s="66">
        <f>IF(tblFleet[[#This Row],[Units]]="","",tblFleet[[#This Row],[Units]]*24)</f>
        <v/>
      </c>
      <c r="H212" s="66">
        <f>IF(tblFleet[[#This Row],[Units]]="","",tblFleet[[#This Row],[Calendar_h]]-tblFleet[[#This Row],[Down_h]])</f>
        <v/>
      </c>
      <c r="I212" s="60">
        <f>IF(AND(tblFleet[[#This Row],[Units]]&lt;&gt;"",tblFleet[[#This Row],[Calendar_h]]&gt;0),tblFleet[[#This Row],[Available_h]]/tblFleet[[#This Row],[Calendar_h]],"")</f>
        <v/>
      </c>
      <c r="J212" s="60">
        <f>IF(AND(tblFleet[[#This Row],[Units]]&lt;&gt;"",tblFleet[[#This Row],[Available_h]]&gt;0),tblFleet[[#This Row],[Operating_h]]/tblFleet[[#This Row],[Available_h]],"")</f>
        <v/>
      </c>
    </row>
    <row r="213">
      <c r="A213" s="54" t="n"/>
      <c r="B213" s="61" t="n"/>
      <c r="C213" s="62" t="n"/>
      <c r="D213" s="57" t="n"/>
      <c r="E213" s="57" t="n"/>
      <c r="F213" s="58" t="n"/>
      <c r="G213" s="66">
        <f>IF(tblFleet[[#This Row],[Units]]="","",tblFleet[[#This Row],[Units]]*24)</f>
        <v/>
      </c>
      <c r="H213" s="66">
        <f>IF(tblFleet[[#This Row],[Units]]="","",tblFleet[[#This Row],[Calendar_h]]-tblFleet[[#This Row],[Down_h]])</f>
        <v/>
      </c>
      <c r="I213" s="60">
        <f>IF(AND(tblFleet[[#This Row],[Units]]&lt;&gt;"",tblFleet[[#This Row],[Calendar_h]]&gt;0),tblFleet[[#This Row],[Available_h]]/tblFleet[[#This Row],[Calendar_h]],"")</f>
        <v/>
      </c>
      <c r="J213" s="60">
        <f>IF(AND(tblFleet[[#This Row],[Units]]&lt;&gt;"",tblFleet[[#This Row],[Available_h]]&gt;0),tblFleet[[#This Row],[Operating_h]]/tblFleet[[#This Row],[Available_h]],"")</f>
        <v/>
      </c>
    </row>
    <row r="214">
      <c r="A214" s="54" t="n"/>
      <c r="B214" s="61" t="n"/>
      <c r="C214" s="62" t="n"/>
      <c r="D214" s="57" t="n"/>
      <c r="E214" s="57" t="n"/>
      <c r="F214" s="58" t="n"/>
      <c r="G214" s="66">
        <f>IF(tblFleet[[#This Row],[Units]]="","",tblFleet[[#This Row],[Units]]*24)</f>
        <v/>
      </c>
      <c r="H214" s="66">
        <f>IF(tblFleet[[#This Row],[Units]]="","",tblFleet[[#This Row],[Calendar_h]]-tblFleet[[#This Row],[Down_h]])</f>
        <v/>
      </c>
      <c r="I214" s="60">
        <f>IF(AND(tblFleet[[#This Row],[Units]]&lt;&gt;"",tblFleet[[#This Row],[Calendar_h]]&gt;0),tblFleet[[#This Row],[Available_h]]/tblFleet[[#This Row],[Calendar_h]],"")</f>
        <v/>
      </c>
      <c r="J214" s="60">
        <f>IF(AND(tblFleet[[#This Row],[Units]]&lt;&gt;"",tblFleet[[#This Row],[Available_h]]&gt;0),tblFleet[[#This Row],[Operating_h]]/tblFleet[[#This Row],[Available_h]],"")</f>
        <v/>
      </c>
    </row>
    <row r="215">
      <c r="A215" s="54" t="n"/>
      <c r="B215" s="61" t="n"/>
      <c r="C215" s="62" t="n"/>
      <c r="D215" s="57" t="n"/>
      <c r="E215" s="57" t="n"/>
      <c r="F215" s="58" t="n"/>
      <c r="G215" s="66">
        <f>IF(tblFleet[[#This Row],[Units]]="","",tblFleet[[#This Row],[Units]]*24)</f>
        <v/>
      </c>
      <c r="H215" s="66">
        <f>IF(tblFleet[[#This Row],[Units]]="","",tblFleet[[#This Row],[Calendar_h]]-tblFleet[[#This Row],[Down_h]])</f>
        <v/>
      </c>
      <c r="I215" s="60">
        <f>IF(AND(tblFleet[[#This Row],[Units]]&lt;&gt;"",tblFleet[[#This Row],[Calendar_h]]&gt;0),tblFleet[[#This Row],[Available_h]]/tblFleet[[#This Row],[Calendar_h]],"")</f>
        <v/>
      </c>
      <c r="J215" s="60">
        <f>IF(AND(tblFleet[[#This Row],[Units]]&lt;&gt;"",tblFleet[[#This Row],[Available_h]]&gt;0),tblFleet[[#This Row],[Operating_h]]/tblFleet[[#This Row],[Available_h]],"")</f>
        <v/>
      </c>
    </row>
    <row r="216">
      <c r="A216" s="54" t="n"/>
      <c r="B216" s="61" t="n"/>
      <c r="C216" s="62" t="n"/>
      <c r="D216" s="57" t="n"/>
      <c r="E216" s="57" t="n"/>
      <c r="F216" s="58" t="n"/>
      <c r="G216" s="66">
        <f>IF(tblFleet[[#This Row],[Units]]="","",tblFleet[[#This Row],[Units]]*24)</f>
        <v/>
      </c>
      <c r="H216" s="66">
        <f>IF(tblFleet[[#This Row],[Units]]="","",tblFleet[[#This Row],[Calendar_h]]-tblFleet[[#This Row],[Down_h]])</f>
        <v/>
      </c>
      <c r="I216" s="60">
        <f>IF(AND(tblFleet[[#This Row],[Units]]&lt;&gt;"",tblFleet[[#This Row],[Calendar_h]]&gt;0),tblFleet[[#This Row],[Available_h]]/tblFleet[[#This Row],[Calendar_h]],"")</f>
        <v/>
      </c>
      <c r="J216" s="60">
        <f>IF(AND(tblFleet[[#This Row],[Units]]&lt;&gt;"",tblFleet[[#This Row],[Available_h]]&gt;0),tblFleet[[#This Row],[Operating_h]]/tblFleet[[#This Row],[Available_h]],"")</f>
        <v/>
      </c>
    </row>
    <row r="217">
      <c r="A217" s="54" t="n"/>
      <c r="B217" s="61" t="n"/>
      <c r="C217" s="62" t="n"/>
      <c r="D217" s="57" t="n"/>
      <c r="E217" s="57" t="n"/>
      <c r="F217" s="58" t="n"/>
      <c r="G217" s="66">
        <f>IF(tblFleet[[#This Row],[Units]]="","",tblFleet[[#This Row],[Units]]*24)</f>
        <v/>
      </c>
      <c r="H217" s="66">
        <f>IF(tblFleet[[#This Row],[Units]]="","",tblFleet[[#This Row],[Calendar_h]]-tblFleet[[#This Row],[Down_h]])</f>
        <v/>
      </c>
      <c r="I217" s="60">
        <f>IF(AND(tblFleet[[#This Row],[Units]]&lt;&gt;"",tblFleet[[#This Row],[Calendar_h]]&gt;0),tblFleet[[#This Row],[Available_h]]/tblFleet[[#This Row],[Calendar_h]],"")</f>
        <v/>
      </c>
      <c r="J217" s="60">
        <f>IF(AND(tblFleet[[#This Row],[Units]]&lt;&gt;"",tblFleet[[#This Row],[Available_h]]&gt;0),tblFleet[[#This Row],[Operating_h]]/tblFleet[[#This Row],[Available_h]],"")</f>
        <v/>
      </c>
    </row>
    <row r="218">
      <c r="A218" s="54" t="n"/>
      <c r="B218" s="61" t="n"/>
      <c r="C218" s="62" t="n"/>
      <c r="D218" s="57" t="n"/>
      <c r="E218" s="57" t="n"/>
      <c r="F218" s="58" t="n"/>
      <c r="G218" s="66">
        <f>IF(tblFleet[[#This Row],[Units]]="","",tblFleet[[#This Row],[Units]]*24)</f>
        <v/>
      </c>
      <c r="H218" s="66">
        <f>IF(tblFleet[[#This Row],[Units]]="","",tblFleet[[#This Row],[Calendar_h]]-tblFleet[[#This Row],[Down_h]])</f>
        <v/>
      </c>
      <c r="I218" s="60">
        <f>IF(AND(tblFleet[[#This Row],[Units]]&lt;&gt;"",tblFleet[[#This Row],[Calendar_h]]&gt;0),tblFleet[[#This Row],[Available_h]]/tblFleet[[#This Row],[Calendar_h]],"")</f>
        <v/>
      </c>
      <c r="J218" s="60">
        <f>IF(AND(tblFleet[[#This Row],[Units]]&lt;&gt;"",tblFleet[[#This Row],[Available_h]]&gt;0),tblFleet[[#This Row],[Operating_h]]/tblFleet[[#This Row],[Available_h]],"")</f>
        <v/>
      </c>
    </row>
    <row r="219">
      <c r="A219" s="54" t="n"/>
      <c r="B219" s="61" t="n"/>
      <c r="C219" s="62" t="n"/>
      <c r="D219" s="57" t="n"/>
      <c r="E219" s="57" t="n"/>
      <c r="F219" s="58" t="n"/>
      <c r="G219" s="66">
        <f>IF(tblFleet[[#This Row],[Units]]="","",tblFleet[[#This Row],[Units]]*24)</f>
        <v/>
      </c>
      <c r="H219" s="66">
        <f>IF(tblFleet[[#This Row],[Units]]="","",tblFleet[[#This Row],[Calendar_h]]-tblFleet[[#This Row],[Down_h]])</f>
        <v/>
      </c>
      <c r="I219" s="60">
        <f>IF(AND(tblFleet[[#This Row],[Units]]&lt;&gt;"",tblFleet[[#This Row],[Calendar_h]]&gt;0),tblFleet[[#This Row],[Available_h]]/tblFleet[[#This Row],[Calendar_h]],"")</f>
        <v/>
      </c>
      <c r="J219" s="60">
        <f>IF(AND(tblFleet[[#This Row],[Units]]&lt;&gt;"",tblFleet[[#This Row],[Available_h]]&gt;0),tblFleet[[#This Row],[Operating_h]]/tblFleet[[#This Row],[Available_h]],"")</f>
        <v/>
      </c>
    </row>
    <row r="220">
      <c r="A220" s="54" t="n"/>
      <c r="B220" s="61" t="n"/>
      <c r="C220" s="62" t="n"/>
      <c r="D220" s="57" t="n"/>
      <c r="E220" s="57" t="n"/>
      <c r="F220" s="58" t="n"/>
      <c r="G220" s="66">
        <f>IF(tblFleet[[#This Row],[Units]]="","",tblFleet[[#This Row],[Units]]*24)</f>
        <v/>
      </c>
      <c r="H220" s="66">
        <f>IF(tblFleet[[#This Row],[Units]]="","",tblFleet[[#This Row],[Calendar_h]]-tblFleet[[#This Row],[Down_h]])</f>
        <v/>
      </c>
      <c r="I220" s="60">
        <f>IF(AND(tblFleet[[#This Row],[Units]]&lt;&gt;"",tblFleet[[#This Row],[Calendar_h]]&gt;0),tblFleet[[#This Row],[Available_h]]/tblFleet[[#This Row],[Calendar_h]],"")</f>
        <v/>
      </c>
      <c r="J220" s="60">
        <f>IF(AND(tblFleet[[#This Row],[Units]]&lt;&gt;"",tblFleet[[#This Row],[Available_h]]&gt;0),tblFleet[[#This Row],[Operating_h]]/tblFleet[[#This Row],[Available_h]],"")</f>
        <v/>
      </c>
    </row>
    <row r="221">
      <c r="A221" s="54" t="n"/>
      <c r="B221" s="61" t="n"/>
      <c r="C221" s="62" t="n"/>
      <c r="D221" s="57" t="n"/>
      <c r="E221" s="57" t="n"/>
      <c r="F221" s="58" t="n"/>
      <c r="G221" s="66">
        <f>IF(tblFleet[[#This Row],[Units]]="","",tblFleet[[#This Row],[Units]]*24)</f>
        <v/>
      </c>
      <c r="H221" s="66">
        <f>IF(tblFleet[[#This Row],[Units]]="","",tblFleet[[#This Row],[Calendar_h]]-tblFleet[[#This Row],[Down_h]])</f>
        <v/>
      </c>
      <c r="I221" s="60">
        <f>IF(AND(tblFleet[[#This Row],[Units]]&lt;&gt;"",tblFleet[[#This Row],[Calendar_h]]&gt;0),tblFleet[[#This Row],[Available_h]]/tblFleet[[#This Row],[Calendar_h]],"")</f>
        <v/>
      </c>
      <c r="J221" s="60">
        <f>IF(AND(tblFleet[[#This Row],[Units]]&lt;&gt;"",tblFleet[[#This Row],[Available_h]]&gt;0),tblFleet[[#This Row],[Operating_h]]/tblFleet[[#This Row],[Available_h]],"")</f>
        <v/>
      </c>
    </row>
    <row r="222">
      <c r="A222" s="54" t="n"/>
      <c r="B222" s="61" t="n"/>
      <c r="C222" s="62" t="n"/>
      <c r="D222" s="57" t="n"/>
      <c r="E222" s="57" t="n"/>
      <c r="F222" s="58" t="n"/>
      <c r="G222" s="66">
        <f>IF(tblFleet[[#This Row],[Units]]="","",tblFleet[[#This Row],[Units]]*24)</f>
        <v/>
      </c>
      <c r="H222" s="66">
        <f>IF(tblFleet[[#This Row],[Units]]="","",tblFleet[[#This Row],[Calendar_h]]-tblFleet[[#This Row],[Down_h]])</f>
        <v/>
      </c>
      <c r="I222" s="60">
        <f>IF(AND(tblFleet[[#This Row],[Units]]&lt;&gt;"",tblFleet[[#This Row],[Calendar_h]]&gt;0),tblFleet[[#This Row],[Available_h]]/tblFleet[[#This Row],[Calendar_h]],"")</f>
        <v/>
      </c>
      <c r="J222" s="60">
        <f>IF(AND(tblFleet[[#This Row],[Units]]&lt;&gt;"",tblFleet[[#This Row],[Available_h]]&gt;0),tblFleet[[#This Row],[Operating_h]]/tblFleet[[#This Row],[Available_h]],"")</f>
        <v/>
      </c>
    </row>
    <row r="223">
      <c r="A223" s="54" t="n"/>
      <c r="B223" s="61" t="n"/>
      <c r="C223" s="62" t="n"/>
      <c r="D223" s="57" t="n"/>
      <c r="E223" s="57" t="n"/>
      <c r="F223" s="58" t="n"/>
      <c r="G223" s="66">
        <f>IF(tblFleet[[#This Row],[Units]]="","",tblFleet[[#This Row],[Units]]*24)</f>
        <v/>
      </c>
      <c r="H223" s="66">
        <f>IF(tblFleet[[#This Row],[Units]]="","",tblFleet[[#This Row],[Calendar_h]]-tblFleet[[#This Row],[Down_h]])</f>
        <v/>
      </c>
      <c r="I223" s="60">
        <f>IF(AND(tblFleet[[#This Row],[Units]]&lt;&gt;"",tblFleet[[#This Row],[Calendar_h]]&gt;0),tblFleet[[#This Row],[Available_h]]/tblFleet[[#This Row],[Calendar_h]],"")</f>
        <v/>
      </c>
      <c r="J223" s="60">
        <f>IF(AND(tblFleet[[#This Row],[Units]]&lt;&gt;"",tblFleet[[#This Row],[Available_h]]&gt;0),tblFleet[[#This Row],[Operating_h]]/tblFleet[[#This Row],[Available_h]],"")</f>
        <v/>
      </c>
    </row>
    <row r="224">
      <c r="A224" s="54" t="n"/>
      <c r="B224" s="61" t="n"/>
      <c r="C224" s="62" t="n"/>
      <c r="D224" s="57" t="n"/>
      <c r="E224" s="57" t="n"/>
      <c r="F224" s="58" t="n"/>
      <c r="G224" s="66">
        <f>IF(tblFleet[[#This Row],[Units]]="","",tblFleet[[#This Row],[Units]]*24)</f>
        <v/>
      </c>
      <c r="H224" s="66">
        <f>IF(tblFleet[[#This Row],[Units]]="","",tblFleet[[#This Row],[Calendar_h]]-tblFleet[[#This Row],[Down_h]])</f>
        <v/>
      </c>
      <c r="I224" s="60">
        <f>IF(AND(tblFleet[[#This Row],[Units]]&lt;&gt;"",tblFleet[[#This Row],[Calendar_h]]&gt;0),tblFleet[[#This Row],[Available_h]]/tblFleet[[#This Row],[Calendar_h]],"")</f>
        <v/>
      </c>
      <c r="J224" s="60">
        <f>IF(AND(tblFleet[[#This Row],[Units]]&lt;&gt;"",tblFleet[[#This Row],[Available_h]]&gt;0),tblFleet[[#This Row],[Operating_h]]/tblFleet[[#This Row],[Available_h]],"")</f>
        <v/>
      </c>
    </row>
    <row r="225">
      <c r="A225" s="54" t="n"/>
      <c r="B225" s="61" t="n"/>
      <c r="C225" s="62" t="n"/>
      <c r="D225" s="57" t="n"/>
      <c r="E225" s="57" t="n"/>
      <c r="F225" s="58" t="n"/>
      <c r="G225" s="66">
        <f>IF(tblFleet[[#This Row],[Units]]="","",tblFleet[[#This Row],[Units]]*24)</f>
        <v/>
      </c>
      <c r="H225" s="66">
        <f>IF(tblFleet[[#This Row],[Units]]="","",tblFleet[[#This Row],[Calendar_h]]-tblFleet[[#This Row],[Down_h]])</f>
        <v/>
      </c>
      <c r="I225" s="60">
        <f>IF(AND(tblFleet[[#This Row],[Units]]&lt;&gt;"",tblFleet[[#This Row],[Calendar_h]]&gt;0),tblFleet[[#This Row],[Available_h]]/tblFleet[[#This Row],[Calendar_h]],"")</f>
        <v/>
      </c>
      <c r="J225" s="60">
        <f>IF(AND(tblFleet[[#This Row],[Units]]&lt;&gt;"",tblFleet[[#This Row],[Available_h]]&gt;0),tblFleet[[#This Row],[Operating_h]]/tblFleet[[#This Row],[Available_h]],"")</f>
        <v/>
      </c>
    </row>
    <row r="226">
      <c r="A226" s="54" t="n"/>
      <c r="B226" s="61" t="n"/>
      <c r="C226" s="62" t="n"/>
      <c r="D226" s="57" t="n"/>
      <c r="E226" s="57" t="n"/>
      <c r="F226" s="58" t="n"/>
      <c r="G226" s="66">
        <f>IF(tblFleet[[#This Row],[Units]]="","",tblFleet[[#This Row],[Units]]*24)</f>
        <v/>
      </c>
      <c r="H226" s="66">
        <f>IF(tblFleet[[#This Row],[Units]]="","",tblFleet[[#This Row],[Calendar_h]]-tblFleet[[#This Row],[Down_h]])</f>
        <v/>
      </c>
      <c r="I226" s="60">
        <f>IF(AND(tblFleet[[#This Row],[Units]]&lt;&gt;"",tblFleet[[#This Row],[Calendar_h]]&gt;0),tblFleet[[#This Row],[Available_h]]/tblFleet[[#This Row],[Calendar_h]],"")</f>
        <v/>
      </c>
      <c r="J226" s="60">
        <f>IF(AND(tblFleet[[#This Row],[Units]]&lt;&gt;"",tblFleet[[#This Row],[Available_h]]&gt;0),tblFleet[[#This Row],[Operating_h]]/tblFleet[[#This Row],[Available_h]],"")</f>
        <v/>
      </c>
    </row>
    <row r="227">
      <c r="A227" s="54" t="n"/>
      <c r="B227" s="61" t="n"/>
      <c r="C227" s="62" t="n"/>
      <c r="D227" s="57" t="n"/>
      <c r="E227" s="57" t="n"/>
      <c r="F227" s="58" t="n"/>
      <c r="G227" s="66">
        <f>IF(tblFleet[[#This Row],[Units]]="","",tblFleet[[#This Row],[Units]]*24)</f>
        <v/>
      </c>
      <c r="H227" s="66">
        <f>IF(tblFleet[[#This Row],[Units]]="","",tblFleet[[#This Row],[Calendar_h]]-tblFleet[[#This Row],[Down_h]])</f>
        <v/>
      </c>
      <c r="I227" s="60">
        <f>IF(AND(tblFleet[[#This Row],[Units]]&lt;&gt;"",tblFleet[[#This Row],[Calendar_h]]&gt;0),tblFleet[[#This Row],[Available_h]]/tblFleet[[#This Row],[Calendar_h]],"")</f>
        <v/>
      </c>
      <c r="J227" s="60">
        <f>IF(AND(tblFleet[[#This Row],[Units]]&lt;&gt;"",tblFleet[[#This Row],[Available_h]]&gt;0),tblFleet[[#This Row],[Operating_h]]/tblFleet[[#This Row],[Available_h]],"")</f>
        <v/>
      </c>
    </row>
    <row r="228">
      <c r="A228" s="54" t="n"/>
      <c r="B228" s="61" t="n"/>
      <c r="C228" s="62" t="n"/>
      <c r="D228" s="57" t="n"/>
      <c r="E228" s="57" t="n"/>
      <c r="F228" s="58" t="n"/>
      <c r="G228" s="66">
        <f>IF(tblFleet[[#This Row],[Units]]="","",tblFleet[[#This Row],[Units]]*24)</f>
        <v/>
      </c>
      <c r="H228" s="66">
        <f>IF(tblFleet[[#This Row],[Units]]="","",tblFleet[[#This Row],[Calendar_h]]-tblFleet[[#This Row],[Down_h]])</f>
        <v/>
      </c>
      <c r="I228" s="60">
        <f>IF(AND(tblFleet[[#This Row],[Units]]&lt;&gt;"",tblFleet[[#This Row],[Calendar_h]]&gt;0),tblFleet[[#This Row],[Available_h]]/tblFleet[[#This Row],[Calendar_h]],"")</f>
        <v/>
      </c>
      <c r="J228" s="60">
        <f>IF(AND(tblFleet[[#This Row],[Units]]&lt;&gt;"",tblFleet[[#This Row],[Available_h]]&gt;0),tblFleet[[#This Row],[Operating_h]]/tblFleet[[#This Row],[Available_h]],"")</f>
        <v/>
      </c>
    </row>
    <row r="229">
      <c r="A229" s="54" t="n"/>
      <c r="B229" s="61" t="n"/>
      <c r="C229" s="62" t="n"/>
      <c r="D229" s="57" t="n"/>
      <c r="E229" s="57" t="n"/>
      <c r="F229" s="58" t="n"/>
      <c r="G229" s="66">
        <f>IF(tblFleet[[#This Row],[Units]]="","",tblFleet[[#This Row],[Units]]*24)</f>
        <v/>
      </c>
      <c r="H229" s="66">
        <f>IF(tblFleet[[#This Row],[Units]]="","",tblFleet[[#This Row],[Calendar_h]]-tblFleet[[#This Row],[Down_h]])</f>
        <v/>
      </c>
      <c r="I229" s="60">
        <f>IF(AND(tblFleet[[#This Row],[Units]]&lt;&gt;"",tblFleet[[#This Row],[Calendar_h]]&gt;0),tblFleet[[#This Row],[Available_h]]/tblFleet[[#This Row],[Calendar_h]],"")</f>
        <v/>
      </c>
      <c r="J229" s="60">
        <f>IF(AND(tblFleet[[#This Row],[Units]]&lt;&gt;"",tblFleet[[#This Row],[Available_h]]&gt;0),tblFleet[[#This Row],[Operating_h]]/tblFleet[[#This Row],[Available_h]],"")</f>
        <v/>
      </c>
    </row>
    <row r="230">
      <c r="A230" s="54" t="n"/>
      <c r="B230" s="61" t="n"/>
      <c r="C230" s="62" t="n"/>
      <c r="D230" s="57" t="n"/>
      <c r="E230" s="57" t="n"/>
      <c r="F230" s="58" t="n"/>
      <c r="G230" s="66">
        <f>IF(tblFleet[[#This Row],[Units]]="","",tblFleet[[#This Row],[Units]]*24)</f>
        <v/>
      </c>
      <c r="H230" s="66">
        <f>IF(tblFleet[[#This Row],[Units]]="","",tblFleet[[#This Row],[Calendar_h]]-tblFleet[[#This Row],[Down_h]])</f>
        <v/>
      </c>
      <c r="I230" s="60">
        <f>IF(AND(tblFleet[[#This Row],[Units]]&lt;&gt;"",tblFleet[[#This Row],[Calendar_h]]&gt;0),tblFleet[[#This Row],[Available_h]]/tblFleet[[#This Row],[Calendar_h]],"")</f>
        <v/>
      </c>
      <c r="J230" s="60">
        <f>IF(AND(tblFleet[[#This Row],[Units]]&lt;&gt;"",tblFleet[[#This Row],[Available_h]]&gt;0),tblFleet[[#This Row],[Operating_h]]/tblFleet[[#This Row],[Available_h]],"")</f>
        <v/>
      </c>
    </row>
    <row r="231">
      <c r="A231" s="54" t="n"/>
      <c r="B231" s="61" t="n"/>
      <c r="C231" s="62" t="n"/>
      <c r="D231" s="57" t="n"/>
      <c r="E231" s="57" t="n"/>
      <c r="F231" s="58" t="n"/>
      <c r="G231" s="66">
        <f>IF(tblFleet[[#This Row],[Units]]="","",tblFleet[[#This Row],[Units]]*24)</f>
        <v/>
      </c>
      <c r="H231" s="66">
        <f>IF(tblFleet[[#This Row],[Units]]="","",tblFleet[[#This Row],[Calendar_h]]-tblFleet[[#This Row],[Down_h]])</f>
        <v/>
      </c>
      <c r="I231" s="60">
        <f>IF(AND(tblFleet[[#This Row],[Units]]&lt;&gt;"",tblFleet[[#This Row],[Calendar_h]]&gt;0),tblFleet[[#This Row],[Available_h]]/tblFleet[[#This Row],[Calendar_h]],"")</f>
        <v/>
      </c>
      <c r="J231" s="60">
        <f>IF(AND(tblFleet[[#This Row],[Units]]&lt;&gt;"",tblFleet[[#This Row],[Available_h]]&gt;0),tblFleet[[#This Row],[Operating_h]]/tblFleet[[#This Row],[Available_h]],"")</f>
        <v/>
      </c>
    </row>
    <row r="232">
      <c r="A232" s="54" t="n"/>
      <c r="B232" s="61" t="n"/>
      <c r="C232" s="62" t="n"/>
      <c r="D232" s="57" t="n"/>
      <c r="E232" s="57" t="n"/>
      <c r="F232" s="58" t="n"/>
      <c r="G232" s="66">
        <f>IF(tblFleet[[#This Row],[Units]]="","",tblFleet[[#This Row],[Units]]*24)</f>
        <v/>
      </c>
      <c r="H232" s="66">
        <f>IF(tblFleet[[#This Row],[Units]]="","",tblFleet[[#This Row],[Calendar_h]]-tblFleet[[#This Row],[Down_h]])</f>
        <v/>
      </c>
      <c r="I232" s="60">
        <f>IF(AND(tblFleet[[#This Row],[Units]]&lt;&gt;"",tblFleet[[#This Row],[Calendar_h]]&gt;0),tblFleet[[#This Row],[Available_h]]/tblFleet[[#This Row],[Calendar_h]],"")</f>
        <v/>
      </c>
      <c r="J232" s="60">
        <f>IF(AND(tblFleet[[#This Row],[Units]]&lt;&gt;"",tblFleet[[#This Row],[Available_h]]&gt;0),tblFleet[[#This Row],[Operating_h]]/tblFleet[[#This Row],[Available_h]],"")</f>
        <v/>
      </c>
    </row>
    <row r="233">
      <c r="A233" s="54" t="n"/>
      <c r="B233" s="61" t="n"/>
      <c r="C233" s="62" t="n"/>
      <c r="D233" s="57" t="n"/>
      <c r="E233" s="57" t="n"/>
      <c r="F233" s="58" t="n"/>
      <c r="G233" s="66">
        <f>IF(tblFleet[[#This Row],[Units]]="","",tblFleet[[#This Row],[Units]]*24)</f>
        <v/>
      </c>
      <c r="H233" s="66">
        <f>IF(tblFleet[[#This Row],[Units]]="","",tblFleet[[#This Row],[Calendar_h]]-tblFleet[[#This Row],[Down_h]])</f>
        <v/>
      </c>
      <c r="I233" s="60">
        <f>IF(AND(tblFleet[[#This Row],[Units]]&lt;&gt;"",tblFleet[[#This Row],[Calendar_h]]&gt;0),tblFleet[[#This Row],[Available_h]]/tblFleet[[#This Row],[Calendar_h]],"")</f>
        <v/>
      </c>
      <c r="J233" s="60">
        <f>IF(AND(tblFleet[[#This Row],[Units]]&lt;&gt;"",tblFleet[[#This Row],[Available_h]]&gt;0),tblFleet[[#This Row],[Operating_h]]/tblFleet[[#This Row],[Available_h]],"")</f>
        <v/>
      </c>
    </row>
    <row r="234">
      <c r="A234" s="54" t="n"/>
      <c r="B234" s="61" t="n"/>
      <c r="C234" s="62" t="n"/>
      <c r="D234" s="57" t="n"/>
      <c r="E234" s="57" t="n"/>
      <c r="F234" s="58" t="n"/>
      <c r="G234" s="66">
        <f>IF(tblFleet[[#This Row],[Units]]="","",tblFleet[[#This Row],[Units]]*24)</f>
        <v/>
      </c>
      <c r="H234" s="66">
        <f>IF(tblFleet[[#This Row],[Units]]="","",tblFleet[[#This Row],[Calendar_h]]-tblFleet[[#This Row],[Down_h]])</f>
        <v/>
      </c>
      <c r="I234" s="60">
        <f>IF(AND(tblFleet[[#This Row],[Units]]&lt;&gt;"",tblFleet[[#This Row],[Calendar_h]]&gt;0),tblFleet[[#This Row],[Available_h]]/tblFleet[[#This Row],[Calendar_h]],"")</f>
        <v/>
      </c>
      <c r="J234" s="60">
        <f>IF(AND(tblFleet[[#This Row],[Units]]&lt;&gt;"",tblFleet[[#This Row],[Available_h]]&gt;0),tblFleet[[#This Row],[Operating_h]]/tblFleet[[#This Row],[Available_h]],"")</f>
        <v/>
      </c>
    </row>
    <row r="235">
      <c r="A235" s="54" t="n"/>
      <c r="B235" s="61" t="n"/>
      <c r="C235" s="62" t="n"/>
      <c r="D235" s="57" t="n"/>
      <c r="E235" s="57" t="n"/>
      <c r="F235" s="58" t="n"/>
      <c r="G235" s="66">
        <f>IF(tblFleet[[#This Row],[Units]]="","",tblFleet[[#This Row],[Units]]*24)</f>
        <v/>
      </c>
      <c r="H235" s="66">
        <f>IF(tblFleet[[#This Row],[Units]]="","",tblFleet[[#This Row],[Calendar_h]]-tblFleet[[#This Row],[Down_h]])</f>
        <v/>
      </c>
      <c r="I235" s="60">
        <f>IF(AND(tblFleet[[#This Row],[Units]]&lt;&gt;"",tblFleet[[#This Row],[Calendar_h]]&gt;0),tblFleet[[#This Row],[Available_h]]/tblFleet[[#This Row],[Calendar_h]],"")</f>
        <v/>
      </c>
      <c r="J235" s="60">
        <f>IF(AND(tblFleet[[#This Row],[Units]]&lt;&gt;"",tblFleet[[#This Row],[Available_h]]&gt;0),tblFleet[[#This Row],[Operating_h]]/tblFleet[[#This Row],[Available_h]],"")</f>
        <v/>
      </c>
    </row>
    <row r="236">
      <c r="A236" s="54" t="n"/>
      <c r="B236" s="61" t="n"/>
      <c r="C236" s="62" t="n"/>
      <c r="D236" s="57" t="n"/>
      <c r="E236" s="57" t="n"/>
      <c r="F236" s="58" t="n"/>
      <c r="G236" s="66">
        <f>IF(tblFleet[[#This Row],[Units]]="","",tblFleet[[#This Row],[Units]]*24)</f>
        <v/>
      </c>
      <c r="H236" s="66">
        <f>IF(tblFleet[[#This Row],[Units]]="","",tblFleet[[#This Row],[Calendar_h]]-tblFleet[[#This Row],[Down_h]])</f>
        <v/>
      </c>
      <c r="I236" s="60">
        <f>IF(AND(tblFleet[[#This Row],[Units]]&lt;&gt;"",tblFleet[[#This Row],[Calendar_h]]&gt;0),tblFleet[[#This Row],[Available_h]]/tblFleet[[#This Row],[Calendar_h]],"")</f>
        <v/>
      </c>
      <c r="J236" s="60">
        <f>IF(AND(tblFleet[[#This Row],[Units]]&lt;&gt;"",tblFleet[[#This Row],[Available_h]]&gt;0),tblFleet[[#This Row],[Operating_h]]/tblFleet[[#This Row],[Available_h]],"")</f>
        <v/>
      </c>
    </row>
    <row r="237">
      <c r="A237" s="54" t="n"/>
      <c r="B237" s="61" t="n"/>
      <c r="C237" s="62" t="n"/>
      <c r="D237" s="57" t="n"/>
      <c r="E237" s="57" t="n"/>
      <c r="F237" s="58" t="n"/>
      <c r="G237" s="66">
        <f>IF(tblFleet[[#This Row],[Units]]="","",tblFleet[[#This Row],[Units]]*24)</f>
        <v/>
      </c>
      <c r="H237" s="66">
        <f>IF(tblFleet[[#This Row],[Units]]="","",tblFleet[[#This Row],[Calendar_h]]-tblFleet[[#This Row],[Down_h]])</f>
        <v/>
      </c>
      <c r="I237" s="60">
        <f>IF(AND(tblFleet[[#This Row],[Units]]&lt;&gt;"",tblFleet[[#This Row],[Calendar_h]]&gt;0),tblFleet[[#This Row],[Available_h]]/tblFleet[[#This Row],[Calendar_h]],"")</f>
        <v/>
      </c>
      <c r="J237" s="60">
        <f>IF(AND(tblFleet[[#This Row],[Units]]&lt;&gt;"",tblFleet[[#This Row],[Available_h]]&gt;0),tblFleet[[#This Row],[Operating_h]]/tblFleet[[#This Row],[Available_h]],"")</f>
        <v/>
      </c>
    </row>
    <row r="238">
      <c r="A238" s="54" t="n"/>
      <c r="B238" s="61" t="n"/>
      <c r="C238" s="62" t="n"/>
      <c r="D238" s="57" t="n"/>
      <c r="E238" s="57" t="n"/>
      <c r="F238" s="58" t="n"/>
      <c r="G238" s="66">
        <f>IF(tblFleet[[#This Row],[Units]]="","",tblFleet[[#This Row],[Units]]*24)</f>
        <v/>
      </c>
      <c r="H238" s="66">
        <f>IF(tblFleet[[#This Row],[Units]]="","",tblFleet[[#This Row],[Calendar_h]]-tblFleet[[#This Row],[Down_h]])</f>
        <v/>
      </c>
      <c r="I238" s="60">
        <f>IF(AND(tblFleet[[#This Row],[Units]]&lt;&gt;"",tblFleet[[#This Row],[Calendar_h]]&gt;0),tblFleet[[#This Row],[Available_h]]/tblFleet[[#This Row],[Calendar_h]],"")</f>
        <v/>
      </c>
      <c r="J238" s="60">
        <f>IF(AND(tblFleet[[#This Row],[Units]]&lt;&gt;"",tblFleet[[#This Row],[Available_h]]&gt;0),tblFleet[[#This Row],[Operating_h]]/tblFleet[[#This Row],[Available_h]],"")</f>
        <v/>
      </c>
    </row>
    <row r="239">
      <c r="A239" s="54" t="n"/>
      <c r="B239" s="61" t="n"/>
      <c r="C239" s="62" t="n"/>
      <c r="D239" s="57" t="n"/>
      <c r="E239" s="57" t="n"/>
      <c r="F239" s="58" t="n"/>
      <c r="G239" s="66">
        <f>IF(tblFleet[[#This Row],[Units]]="","",tblFleet[[#This Row],[Units]]*24)</f>
        <v/>
      </c>
      <c r="H239" s="66">
        <f>IF(tblFleet[[#This Row],[Units]]="","",tblFleet[[#This Row],[Calendar_h]]-tblFleet[[#This Row],[Down_h]])</f>
        <v/>
      </c>
      <c r="I239" s="60">
        <f>IF(AND(tblFleet[[#This Row],[Units]]&lt;&gt;"",tblFleet[[#This Row],[Calendar_h]]&gt;0),tblFleet[[#This Row],[Available_h]]/tblFleet[[#This Row],[Calendar_h]],"")</f>
        <v/>
      </c>
      <c r="J239" s="60">
        <f>IF(AND(tblFleet[[#This Row],[Units]]&lt;&gt;"",tblFleet[[#This Row],[Available_h]]&gt;0),tblFleet[[#This Row],[Operating_h]]/tblFleet[[#This Row],[Available_h]],"")</f>
        <v/>
      </c>
    </row>
    <row r="240">
      <c r="A240" s="54" t="n"/>
      <c r="B240" s="61" t="n"/>
      <c r="C240" s="62" t="n"/>
      <c r="D240" s="57" t="n"/>
      <c r="E240" s="57" t="n"/>
      <c r="F240" s="58" t="n"/>
      <c r="G240" s="66">
        <f>IF(tblFleet[[#This Row],[Units]]="","",tblFleet[[#This Row],[Units]]*24)</f>
        <v/>
      </c>
      <c r="H240" s="66">
        <f>IF(tblFleet[[#This Row],[Units]]="","",tblFleet[[#This Row],[Calendar_h]]-tblFleet[[#This Row],[Down_h]])</f>
        <v/>
      </c>
      <c r="I240" s="60">
        <f>IF(AND(tblFleet[[#This Row],[Units]]&lt;&gt;"",tblFleet[[#This Row],[Calendar_h]]&gt;0),tblFleet[[#This Row],[Available_h]]/tblFleet[[#This Row],[Calendar_h]],"")</f>
        <v/>
      </c>
      <c r="J240" s="60">
        <f>IF(AND(tblFleet[[#This Row],[Units]]&lt;&gt;"",tblFleet[[#This Row],[Available_h]]&gt;0),tblFleet[[#This Row],[Operating_h]]/tblFleet[[#This Row],[Available_h]],"")</f>
        <v/>
      </c>
    </row>
    <row r="241">
      <c r="A241" s="54" t="n"/>
      <c r="B241" s="61" t="n"/>
      <c r="C241" s="62" t="n"/>
      <c r="D241" s="57" t="n"/>
      <c r="E241" s="57" t="n"/>
      <c r="F241" s="58" t="n"/>
      <c r="G241" s="66">
        <f>IF(tblFleet[[#This Row],[Units]]="","",tblFleet[[#This Row],[Units]]*24)</f>
        <v/>
      </c>
      <c r="H241" s="66">
        <f>IF(tblFleet[[#This Row],[Units]]="","",tblFleet[[#This Row],[Calendar_h]]-tblFleet[[#This Row],[Down_h]])</f>
        <v/>
      </c>
      <c r="I241" s="60">
        <f>IF(AND(tblFleet[[#This Row],[Units]]&lt;&gt;"",tblFleet[[#This Row],[Calendar_h]]&gt;0),tblFleet[[#This Row],[Available_h]]/tblFleet[[#This Row],[Calendar_h]],"")</f>
        <v/>
      </c>
      <c r="J241" s="60">
        <f>IF(AND(tblFleet[[#This Row],[Units]]&lt;&gt;"",tblFleet[[#This Row],[Available_h]]&gt;0),tblFleet[[#This Row],[Operating_h]]/tblFleet[[#This Row],[Available_h]],"")</f>
        <v/>
      </c>
    </row>
    <row r="242">
      <c r="A242" s="54" t="n"/>
      <c r="B242" s="61" t="n"/>
      <c r="C242" s="62" t="n"/>
      <c r="D242" s="57" t="n"/>
      <c r="E242" s="57" t="n"/>
      <c r="F242" s="58" t="n"/>
      <c r="G242" s="66">
        <f>IF(tblFleet[[#This Row],[Units]]="","",tblFleet[[#This Row],[Units]]*24)</f>
        <v/>
      </c>
      <c r="H242" s="66">
        <f>IF(tblFleet[[#This Row],[Units]]="","",tblFleet[[#This Row],[Calendar_h]]-tblFleet[[#This Row],[Down_h]])</f>
        <v/>
      </c>
      <c r="I242" s="60">
        <f>IF(AND(tblFleet[[#This Row],[Units]]&lt;&gt;"",tblFleet[[#This Row],[Calendar_h]]&gt;0),tblFleet[[#This Row],[Available_h]]/tblFleet[[#This Row],[Calendar_h]],"")</f>
        <v/>
      </c>
      <c r="J242" s="60">
        <f>IF(AND(tblFleet[[#This Row],[Units]]&lt;&gt;"",tblFleet[[#This Row],[Available_h]]&gt;0),tblFleet[[#This Row],[Operating_h]]/tblFleet[[#This Row],[Available_h]],"")</f>
        <v/>
      </c>
    </row>
    <row r="243">
      <c r="A243" s="54" t="n"/>
      <c r="B243" s="61" t="n"/>
      <c r="C243" s="62" t="n"/>
      <c r="D243" s="57" t="n"/>
      <c r="E243" s="57" t="n"/>
      <c r="F243" s="58" t="n"/>
      <c r="G243" s="66">
        <f>IF(tblFleet[[#This Row],[Units]]="","",tblFleet[[#This Row],[Units]]*24)</f>
        <v/>
      </c>
      <c r="H243" s="66">
        <f>IF(tblFleet[[#This Row],[Units]]="","",tblFleet[[#This Row],[Calendar_h]]-tblFleet[[#This Row],[Down_h]])</f>
        <v/>
      </c>
      <c r="I243" s="60">
        <f>IF(AND(tblFleet[[#This Row],[Units]]&lt;&gt;"",tblFleet[[#This Row],[Calendar_h]]&gt;0),tblFleet[[#This Row],[Available_h]]/tblFleet[[#This Row],[Calendar_h]],"")</f>
        <v/>
      </c>
      <c r="J243" s="60">
        <f>IF(AND(tblFleet[[#This Row],[Units]]&lt;&gt;"",tblFleet[[#This Row],[Available_h]]&gt;0),tblFleet[[#This Row],[Operating_h]]/tblFleet[[#This Row],[Available_h]],"")</f>
        <v/>
      </c>
    </row>
    <row r="244">
      <c r="A244" s="54" t="n"/>
      <c r="B244" s="61" t="n"/>
      <c r="C244" s="62" t="n"/>
      <c r="D244" s="57" t="n"/>
      <c r="E244" s="57" t="n"/>
      <c r="F244" s="58" t="n"/>
      <c r="G244" s="66">
        <f>IF(tblFleet[[#This Row],[Units]]="","",tblFleet[[#This Row],[Units]]*24)</f>
        <v/>
      </c>
      <c r="H244" s="66">
        <f>IF(tblFleet[[#This Row],[Units]]="","",tblFleet[[#This Row],[Calendar_h]]-tblFleet[[#This Row],[Down_h]])</f>
        <v/>
      </c>
      <c r="I244" s="60">
        <f>IF(AND(tblFleet[[#This Row],[Units]]&lt;&gt;"",tblFleet[[#This Row],[Calendar_h]]&gt;0),tblFleet[[#This Row],[Available_h]]/tblFleet[[#This Row],[Calendar_h]],"")</f>
        <v/>
      </c>
      <c r="J244" s="60">
        <f>IF(AND(tblFleet[[#This Row],[Units]]&lt;&gt;"",tblFleet[[#This Row],[Available_h]]&gt;0),tblFleet[[#This Row],[Operating_h]]/tblFleet[[#This Row],[Available_h]],"")</f>
        <v/>
      </c>
    </row>
    <row r="245">
      <c r="A245" s="54" t="n"/>
      <c r="B245" s="61" t="n"/>
      <c r="C245" s="62" t="n"/>
      <c r="D245" s="57" t="n"/>
      <c r="E245" s="57" t="n"/>
      <c r="F245" s="58" t="n"/>
      <c r="G245" s="66">
        <f>IF(tblFleet[[#This Row],[Units]]="","",tblFleet[[#This Row],[Units]]*24)</f>
        <v/>
      </c>
      <c r="H245" s="66">
        <f>IF(tblFleet[[#This Row],[Units]]="","",tblFleet[[#This Row],[Calendar_h]]-tblFleet[[#This Row],[Down_h]])</f>
        <v/>
      </c>
      <c r="I245" s="60">
        <f>IF(AND(tblFleet[[#This Row],[Units]]&lt;&gt;"",tblFleet[[#This Row],[Calendar_h]]&gt;0),tblFleet[[#This Row],[Available_h]]/tblFleet[[#This Row],[Calendar_h]],"")</f>
        <v/>
      </c>
      <c r="J245" s="60">
        <f>IF(AND(tblFleet[[#This Row],[Units]]&lt;&gt;"",tblFleet[[#This Row],[Available_h]]&gt;0),tblFleet[[#This Row],[Operating_h]]/tblFleet[[#This Row],[Available_h]],"")</f>
        <v/>
      </c>
    </row>
    <row r="246">
      <c r="A246" s="54" t="n"/>
      <c r="B246" s="61" t="n"/>
      <c r="C246" s="62" t="n"/>
      <c r="D246" s="57" t="n"/>
      <c r="E246" s="57" t="n"/>
      <c r="F246" s="58" t="n"/>
      <c r="G246" s="66">
        <f>IF(tblFleet[[#This Row],[Units]]="","",tblFleet[[#This Row],[Units]]*24)</f>
        <v/>
      </c>
      <c r="H246" s="66">
        <f>IF(tblFleet[[#This Row],[Units]]="","",tblFleet[[#This Row],[Calendar_h]]-tblFleet[[#This Row],[Down_h]])</f>
        <v/>
      </c>
      <c r="I246" s="60">
        <f>IF(AND(tblFleet[[#This Row],[Units]]&lt;&gt;"",tblFleet[[#This Row],[Calendar_h]]&gt;0),tblFleet[[#This Row],[Available_h]]/tblFleet[[#This Row],[Calendar_h]],"")</f>
        <v/>
      </c>
      <c r="J246" s="60">
        <f>IF(AND(tblFleet[[#This Row],[Units]]&lt;&gt;"",tblFleet[[#This Row],[Available_h]]&gt;0),tblFleet[[#This Row],[Operating_h]]/tblFleet[[#This Row],[Available_h]],"")</f>
        <v/>
      </c>
    </row>
    <row r="247">
      <c r="A247" s="54" t="n"/>
      <c r="B247" s="61" t="n"/>
      <c r="C247" s="62" t="n"/>
      <c r="D247" s="57" t="n"/>
      <c r="E247" s="57" t="n"/>
      <c r="F247" s="58" t="n"/>
      <c r="G247" s="66">
        <f>IF(tblFleet[[#This Row],[Units]]="","",tblFleet[[#This Row],[Units]]*24)</f>
        <v/>
      </c>
      <c r="H247" s="66">
        <f>IF(tblFleet[[#This Row],[Units]]="","",tblFleet[[#This Row],[Calendar_h]]-tblFleet[[#This Row],[Down_h]])</f>
        <v/>
      </c>
      <c r="I247" s="60">
        <f>IF(AND(tblFleet[[#This Row],[Units]]&lt;&gt;"",tblFleet[[#This Row],[Calendar_h]]&gt;0),tblFleet[[#This Row],[Available_h]]/tblFleet[[#This Row],[Calendar_h]],"")</f>
        <v/>
      </c>
      <c r="J247" s="60">
        <f>IF(AND(tblFleet[[#This Row],[Units]]&lt;&gt;"",tblFleet[[#This Row],[Available_h]]&gt;0),tblFleet[[#This Row],[Operating_h]]/tblFleet[[#This Row],[Available_h]],"")</f>
        <v/>
      </c>
    </row>
    <row r="248">
      <c r="A248" s="54" t="n"/>
      <c r="B248" s="61" t="n"/>
      <c r="C248" s="62" t="n"/>
      <c r="D248" s="57" t="n"/>
      <c r="E248" s="57" t="n"/>
      <c r="F248" s="58" t="n"/>
      <c r="G248" s="66">
        <f>IF(tblFleet[[#This Row],[Units]]="","",tblFleet[[#This Row],[Units]]*24)</f>
        <v/>
      </c>
      <c r="H248" s="66">
        <f>IF(tblFleet[[#This Row],[Units]]="","",tblFleet[[#This Row],[Calendar_h]]-tblFleet[[#This Row],[Down_h]])</f>
        <v/>
      </c>
      <c r="I248" s="60">
        <f>IF(AND(tblFleet[[#This Row],[Units]]&lt;&gt;"",tblFleet[[#This Row],[Calendar_h]]&gt;0),tblFleet[[#This Row],[Available_h]]/tblFleet[[#This Row],[Calendar_h]],"")</f>
        <v/>
      </c>
      <c r="J248" s="60">
        <f>IF(AND(tblFleet[[#This Row],[Units]]&lt;&gt;"",tblFleet[[#This Row],[Available_h]]&gt;0),tblFleet[[#This Row],[Operating_h]]/tblFleet[[#This Row],[Available_h]],"")</f>
        <v/>
      </c>
    </row>
    <row r="249">
      <c r="A249" s="54" t="n"/>
      <c r="B249" s="61" t="n"/>
      <c r="C249" s="62" t="n"/>
      <c r="D249" s="57" t="n"/>
      <c r="E249" s="57" t="n"/>
      <c r="F249" s="58" t="n"/>
      <c r="G249" s="66">
        <f>IF(tblFleet[[#This Row],[Units]]="","",tblFleet[[#This Row],[Units]]*24)</f>
        <v/>
      </c>
      <c r="H249" s="66">
        <f>IF(tblFleet[[#This Row],[Units]]="","",tblFleet[[#This Row],[Calendar_h]]-tblFleet[[#This Row],[Down_h]])</f>
        <v/>
      </c>
      <c r="I249" s="60">
        <f>IF(AND(tblFleet[[#This Row],[Units]]&lt;&gt;"",tblFleet[[#This Row],[Calendar_h]]&gt;0),tblFleet[[#This Row],[Available_h]]/tblFleet[[#This Row],[Calendar_h]],"")</f>
        <v/>
      </c>
      <c r="J249" s="60">
        <f>IF(AND(tblFleet[[#This Row],[Units]]&lt;&gt;"",tblFleet[[#This Row],[Available_h]]&gt;0),tblFleet[[#This Row],[Operating_h]]/tblFleet[[#This Row],[Available_h]],"")</f>
        <v/>
      </c>
    </row>
    <row r="250">
      <c r="A250" s="54" t="n"/>
      <c r="B250" s="61" t="n"/>
      <c r="C250" s="62" t="n"/>
      <c r="D250" s="57" t="n"/>
      <c r="E250" s="57" t="n"/>
      <c r="F250" s="58" t="n"/>
      <c r="G250" s="66">
        <f>IF(tblFleet[[#This Row],[Units]]="","",tblFleet[[#This Row],[Units]]*24)</f>
        <v/>
      </c>
      <c r="H250" s="66">
        <f>IF(tblFleet[[#This Row],[Units]]="","",tblFleet[[#This Row],[Calendar_h]]-tblFleet[[#This Row],[Down_h]])</f>
        <v/>
      </c>
      <c r="I250" s="60">
        <f>IF(AND(tblFleet[[#This Row],[Units]]&lt;&gt;"",tblFleet[[#This Row],[Calendar_h]]&gt;0),tblFleet[[#This Row],[Available_h]]/tblFleet[[#This Row],[Calendar_h]],"")</f>
        <v/>
      </c>
      <c r="J250" s="60">
        <f>IF(AND(tblFleet[[#This Row],[Units]]&lt;&gt;"",tblFleet[[#This Row],[Available_h]]&gt;0),tblFleet[[#This Row],[Operating_h]]/tblFleet[[#This Row],[Available_h]],"")</f>
        <v/>
      </c>
    </row>
    <row r="251">
      <c r="A251" s="54" t="n"/>
      <c r="B251" s="61" t="n"/>
      <c r="C251" s="62" t="n"/>
      <c r="D251" s="57" t="n"/>
      <c r="E251" s="57" t="n"/>
      <c r="F251" s="58" t="n"/>
      <c r="G251" s="66">
        <f>IF(tblFleet[[#This Row],[Units]]="","",tblFleet[[#This Row],[Units]]*24)</f>
        <v/>
      </c>
      <c r="H251" s="66">
        <f>IF(tblFleet[[#This Row],[Units]]="","",tblFleet[[#This Row],[Calendar_h]]-tblFleet[[#This Row],[Down_h]])</f>
        <v/>
      </c>
      <c r="I251" s="60">
        <f>IF(AND(tblFleet[[#This Row],[Units]]&lt;&gt;"",tblFleet[[#This Row],[Calendar_h]]&gt;0),tblFleet[[#This Row],[Available_h]]/tblFleet[[#This Row],[Calendar_h]],"")</f>
        <v/>
      </c>
      <c r="J251" s="60">
        <f>IF(AND(tblFleet[[#This Row],[Units]]&lt;&gt;"",tblFleet[[#This Row],[Available_h]]&gt;0),tblFleet[[#This Row],[Operating_h]]/tblFleet[[#This Row],[Available_h]],"")</f>
        <v/>
      </c>
    </row>
    <row r="252">
      <c r="A252" s="54" t="n"/>
      <c r="B252" s="61" t="n"/>
      <c r="C252" s="62" t="n"/>
      <c r="D252" s="57" t="n"/>
      <c r="E252" s="57" t="n"/>
      <c r="F252" s="58" t="n"/>
      <c r="G252" s="66">
        <f>IF(tblFleet[[#This Row],[Units]]="","",tblFleet[[#This Row],[Units]]*24)</f>
        <v/>
      </c>
      <c r="H252" s="66">
        <f>IF(tblFleet[[#This Row],[Units]]="","",tblFleet[[#This Row],[Calendar_h]]-tblFleet[[#This Row],[Down_h]])</f>
        <v/>
      </c>
      <c r="I252" s="60">
        <f>IF(AND(tblFleet[[#This Row],[Units]]&lt;&gt;"",tblFleet[[#This Row],[Calendar_h]]&gt;0),tblFleet[[#This Row],[Available_h]]/tblFleet[[#This Row],[Calendar_h]],"")</f>
        <v/>
      </c>
      <c r="J252" s="60">
        <f>IF(AND(tblFleet[[#This Row],[Units]]&lt;&gt;"",tblFleet[[#This Row],[Available_h]]&gt;0),tblFleet[[#This Row],[Operating_h]]/tblFleet[[#This Row],[Available_h]],"")</f>
        <v/>
      </c>
    </row>
    <row r="253">
      <c r="A253" s="54" t="n"/>
      <c r="B253" s="61" t="n"/>
      <c r="C253" s="62" t="n"/>
      <c r="D253" s="57" t="n"/>
      <c r="E253" s="57" t="n"/>
      <c r="F253" s="58" t="n"/>
      <c r="G253" s="66">
        <f>IF(tblFleet[[#This Row],[Units]]="","",tblFleet[[#This Row],[Units]]*24)</f>
        <v/>
      </c>
      <c r="H253" s="66">
        <f>IF(tblFleet[[#This Row],[Units]]="","",tblFleet[[#This Row],[Calendar_h]]-tblFleet[[#This Row],[Down_h]])</f>
        <v/>
      </c>
      <c r="I253" s="60">
        <f>IF(AND(tblFleet[[#This Row],[Units]]&lt;&gt;"",tblFleet[[#This Row],[Calendar_h]]&gt;0),tblFleet[[#This Row],[Available_h]]/tblFleet[[#This Row],[Calendar_h]],"")</f>
        <v/>
      </c>
      <c r="J253" s="60">
        <f>IF(AND(tblFleet[[#This Row],[Units]]&lt;&gt;"",tblFleet[[#This Row],[Available_h]]&gt;0),tblFleet[[#This Row],[Operating_h]]/tblFleet[[#This Row],[Available_h]],"")</f>
        <v/>
      </c>
    </row>
    <row r="254">
      <c r="A254" s="54" t="n"/>
      <c r="B254" s="61" t="n"/>
      <c r="C254" s="62" t="n"/>
      <c r="D254" s="57" t="n"/>
      <c r="E254" s="57" t="n"/>
      <c r="F254" s="58" t="n"/>
      <c r="G254" s="66">
        <f>IF(tblFleet[[#This Row],[Units]]="","",tblFleet[[#This Row],[Units]]*24)</f>
        <v/>
      </c>
      <c r="H254" s="66">
        <f>IF(tblFleet[[#This Row],[Units]]="","",tblFleet[[#This Row],[Calendar_h]]-tblFleet[[#This Row],[Down_h]])</f>
        <v/>
      </c>
      <c r="I254" s="60">
        <f>IF(AND(tblFleet[[#This Row],[Units]]&lt;&gt;"",tblFleet[[#This Row],[Calendar_h]]&gt;0),tblFleet[[#This Row],[Available_h]]/tblFleet[[#This Row],[Calendar_h]],"")</f>
        <v/>
      </c>
      <c r="J254" s="60">
        <f>IF(AND(tblFleet[[#This Row],[Units]]&lt;&gt;"",tblFleet[[#This Row],[Available_h]]&gt;0),tblFleet[[#This Row],[Operating_h]]/tblFleet[[#This Row],[Available_h]],"")</f>
        <v/>
      </c>
    </row>
    <row r="255">
      <c r="A255" s="54" t="n"/>
      <c r="B255" s="61" t="n"/>
      <c r="C255" s="62" t="n"/>
      <c r="D255" s="57" t="n"/>
      <c r="E255" s="57" t="n"/>
      <c r="F255" s="58" t="n"/>
      <c r="G255" s="66">
        <f>IF(tblFleet[[#This Row],[Units]]="","",tblFleet[[#This Row],[Units]]*24)</f>
        <v/>
      </c>
      <c r="H255" s="66">
        <f>IF(tblFleet[[#This Row],[Units]]="","",tblFleet[[#This Row],[Calendar_h]]-tblFleet[[#This Row],[Down_h]])</f>
        <v/>
      </c>
      <c r="I255" s="60">
        <f>IF(AND(tblFleet[[#This Row],[Units]]&lt;&gt;"",tblFleet[[#This Row],[Calendar_h]]&gt;0),tblFleet[[#This Row],[Available_h]]/tblFleet[[#This Row],[Calendar_h]],"")</f>
        <v/>
      </c>
      <c r="J255" s="60">
        <f>IF(AND(tblFleet[[#This Row],[Units]]&lt;&gt;"",tblFleet[[#This Row],[Available_h]]&gt;0),tblFleet[[#This Row],[Operating_h]]/tblFleet[[#This Row],[Available_h]],"")</f>
        <v/>
      </c>
    </row>
    <row r="256">
      <c r="A256" s="54" t="n"/>
      <c r="B256" s="61" t="n"/>
      <c r="C256" s="62" t="n"/>
      <c r="D256" s="57" t="n"/>
      <c r="E256" s="57" t="n"/>
      <c r="F256" s="58" t="n"/>
      <c r="G256" s="66">
        <f>IF(tblFleet[[#This Row],[Units]]="","",tblFleet[[#This Row],[Units]]*24)</f>
        <v/>
      </c>
      <c r="H256" s="66">
        <f>IF(tblFleet[[#This Row],[Units]]="","",tblFleet[[#This Row],[Calendar_h]]-tblFleet[[#This Row],[Down_h]])</f>
        <v/>
      </c>
      <c r="I256" s="60">
        <f>IF(AND(tblFleet[[#This Row],[Units]]&lt;&gt;"",tblFleet[[#This Row],[Calendar_h]]&gt;0),tblFleet[[#This Row],[Available_h]]/tblFleet[[#This Row],[Calendar_h]],"")</f>
        <v/>
      </c>
      <c r="J256" s="60">
        <f>IF(AND(tblFleet[[#This Row],[Units]]&lt;&gt;"",tblFleet[[#This Row],[Available_h]]&gt;0),tblFleet[[#This Row],[Operating_h]]/tblFleet[[#This Row],[Available_h]],"")</f>
        <v/>
      </c>
    </row>
    <row r="257">
      <c r="A257" s="54" t="n"/>
      <c r="B257" s="61" t="n"/>
      <c r="C257" s="62" t="n"/>
      <c r="D257" s="57" t="n"/>
      <c r="E257" s="57" t="n"/>
      <c r="F257" s="58" t="n"/>
      <c r="G257" s="66">
        <f>IF(tblFleet[[#This Row],[Units]]="","",tblFleet[[#This Row],[Units]]*24)</f>
        <v/>
      </c>
      <c r="H257" s="66">
        <f>IF(tblFleet[[#This Row],[Units]]="","",tblFleet[[#This Row],[Calendar_h]]-tblFleet[[#This Row],[Down_h]])</f>
        <v/>
      </c>
      <c r="I257" s="60">
        <f>IF(AND(tblFleet[[#This Row],[Units]]&lt;&gt;"",tblFleet[[#This Row],[Calendar_h]]&gt;0),tblFleet[[#This Row],[Available_h]]/tblFleet[[#This Row],[Calendar_h]],"")</f>
        <v/>
      </c>
      <c r="J257" s="60">
        <f>IF(AND(tblFleet[[#This Row],[Units]]&lt;&gt;"",tblFleet[[#This Row],[Available_h]]&gt;0),tblFleet[[#This Row],[Operating_h]]/tblFleet[[#This Row],[Available_h]],"")</f>
        <v/>
      </c>
    </row>
    <row r="258">
      <c r="A258" s="54" t="n"/>
      <c r="B258" s="61" t="n"/>
      <c r="C258" s="62" t="n"/>
      <c r="D258" s="57" t="n"/>
      <c r="E258" s="57" t="n"/>
      <c r="F258" s="58" t="n"/>
      <c r="G258" s="66">
        <f>IF(tblFleet[[#This Row],[Units]]="","",tblFleet[[#This Row],[Units]]*24)</f>
        <v/>
      </c>
      <c r="H258" s="66">
        <f>IF(tblFleet[[#This Row],[Units]]="","",tblFleet[[#This Row],[Calendar_h]]-tblFleet[[#This Row],[Down_h]])</f>
        <v/>
      </c>
      <c r="I258" s="60">
        <f>IF(AND(tblFleet[[#This Row],[Units]]&lt;&gt;"",tblFleet[[#This Row],[Calendar_h]]&gt;0),tblFleet[[#This Row],[Available_h]]/tblFleet[[#This Row],[Calendar_h]],"")</f>
        <v/>
      </c>
      <c r="J258" s="60">
        <f>IF(AND(tblFleet[[#This Row],[Units]]&lt;&gt;"",tblFleet[[#This Row],[Available_h]]&gt;0),tblFleet[[#This Row],[Operating_h]]/tblFleet[[#This Row],[Available_h]],"")</f>
        <v/>
      </c>
    </row>
    <row r="259">
      <c r="A259" s="54" t="n"/>
      <c r="B259" s="61" t="n"/>
      <c r="C259" s="62" t="n"/>
      <c r="D259" s="57" t="n"/>
      <c r="E259" s="57" t="n"/>
      <c r="F259" s="58" t="n"/>
      <c r="G259" s="66">
        <f>IF(tblFleet[[#This Row],[Units]]="","",tblFleet[[#This Row],[Units]]*24)</f>
        <v/>
      </c>
      <c r="H259" s="66">
        <f>IF(tblFleet[[#This Row],[Units]]="","",tblFleet[[#This Row],[Calendar_h]]-tblFleet[[#This Row],[Down_h]])</f>
        <v/>
      </c>
      <c r="I259" s="60">
        <f>IF(AND(tblFleet[[#This Row],[Units]]&lt;&gt;"",tblFleet[[#This Row],[Calendar_h]]&gt;0),tblFleet[[#This Row],[Available_h]]/tblFleet[[#This Row],[Calendar_h]],"")</f>
        <v/>
      </c>
      <c r="J259" s="60">
        <f>IF(AND(tblFleet[[#This Row],[Units]]&lt;&gt;"",tblFleet[[#This Row],[Available_h]]&gt;0),tblFleet[[#This Row],[Operating_h]]/tblFleet[[#This Row],[Available_h]],"")</f>
        <v/>
      </c>
    </row>
    <row r="260">
      <c r="A260" s="54" t="n"/>
      <c r="B260" s="61" t="n"/>
      <c r="C260" s="62" t="n"/>
      <c r="D260" s="57" t="n"/>
      <c r="E260" s="57" t="n"/>
      <c r="F260" s="58" t="n"/>
      <c r="G260" s="66">
        <f>IF(tblFleet[[#This Row],[Units]]="","",tblFleet[[#This Row],[Units]]*24)</f>
        <v/>
      </c>
      <c r="H260" s="66">
        <f>IF(tblFleet[[#This Row],[Units]]="","",tblFleet[[#This Row],[Calendar_h]]-tblFleet[[#This Row],[Down_h]])</f>
        <v/>
      </c>
      <c r="I260" s="60">
        <f>IF(AND(tblFleet[[#This Row],[Units]]&lt;&gt;"",tblFleet[[#This Row],[Calendar_h]]&gt;0),tblFleet[[#This Row],[Available_h]]/tblFleet[[#This Row],[Calendar_h]],"")</f>
        <v/>
      </c>
      <c r="J260" s="60">
        <f>IF(AND(tblFleet[[#This Row],[Units]]&lt;&gt;"",tblFleet[[#This Row],[Available_h]]&gt;0),tblFleet[[#This Row],[Operating_h]]/tblFleet[[#This Row],[Available_h]],"")</f>
        <v/>
      </c>
    </row>
    <row r="261">
      <c r="A261" s="54" t="n"/>
      <c r="B261" s="61" t="n"/>
      <c r="C261" s="62" t="n"/>
      <c r="D261" s="57" t="n"/>
      <c r="E261" s="57" t="n"/>
      <c r="F261" s="58" t="n"/>
      <c r="G261" s="66">
        <f>IF(tblFleet[[#This Row],[Units]]="","",tblFleet[[#This Row],[Units]]*24)</f>
        <v/>
      </c>
      <c r="H261" s="66">
        <f>IF(tblFleet[[#This Row],[Units]]="","",tblFleet[[#This Row],[Calendar_h]]-tblFleet[[#This Row],[Down_h]])</f>
        <v/>
      </c>
      <c r="I261" s="60">
        <f>IF(AND(tblFleet[[#This Row],[Units]]&lt;&gt;"",tblFleet[[#This Row],[Calendar_h]]&gt;0),tblFleet[[#This Row],[Available_h]]/tblFleet[[#This Row],[Calendar_h]],"")</f>
        <v/>
      </c>
      <c r="J261" s="60">
        <f>IF(AND(tblFleet[[#This Row],[Units]]&lt;&gt;"",tblFleet[[#This Row],[Available_h]]&gt;0),tblFleet[[#This Row],[Operating_h]]/tblFleet[[#This Row],[Available_h]],"")</f>
        <v/>
      </c>
    </row>
    <row r="262">
      <c r="A262" s="54" t="n"/>
      <c r="B262" s="61" t="n"/>
      <c r="C262" s="62" t="n"/>
      <c r="D262" s="57" t="n"/>
      <c r="E262" s="57" t="n"/>
      <c r="F262" s="58" t="n"/>
      <c r="G262" s="66">
        <f>IF(tblFleet[[#This Row],[Units]]="","",tblFleet[[#This Row],[Units]]*24)</f>
        <v/>
      </c>
      <c r="H262" s="66">
        <f>IF(tblFleet[[#This Row],[Units]]="","",tblFleet[[#This Row],[Calendar_h]]-tblFleet[[#This Row],[Down_h]])</f>
        <v/>
      </c>
      <c r="I262" s="60">
        <f>IF(AND(tblFleet[[#This Row],[Units]]&lt;&gt;"",tblFleet[[#This Row],[Calendar_h]]&gt;0),tblFleet[[#This Row],[Available_h]]/tblFleet[[#This Row],[Calendar_h]],"")</f>
        <v/>
      </c>
      <c r="J262" s="60">
        <f>IF(AND(tblFleet[[#This Row],[Units]]&lt;&gt;"",tblFleet[[#This Row],[Available_h]]&gt;0),tblFleet[[#This Row],[Operating_h]]/tblFleet[[#This Row],[Available_h]],"")</f>
        <v/>
      </c>
    </row>
    <row r="263">
      <c r="A263" s="54" t="n"/>
      <c r="B263" s="61" t="n"/>
      <c r="C263" s="62" t="n"/>
      <c r="D263" s="57" t="n"/>
      <c r="E263" s="57" t="n"/>
      <c r="F263" s="58" t="n"/>
      <c r="G263" s="66">
        <f>IF(tblFleet[[#This Row],[Units]]="","",tblFleet[[#This Row],[Units]]*24)</f>
        <v/>
      </c>
      <c r="H263" s="66">
        <f>IF(tblFleet[[#This Row],[Units]]="","",tblFleet[[#This Row],[Calendar_h]]-tblFleet[[#This Row],[Down_h]])</f>
        <v/>
      </c>
      <c r="I263" s="60">
        <f>IF(AND(tblFleet[[#This Row],[Units]]&lt;&gt;"",tblFleet[[#This Row],[Calendar_h]]&gt;0),tblFleet[[#This Row],[Available_h]]/tblFleet[[#This Row],[Calendar_h]],"")</f>
        <v/>
      </c>
      <c r="J263" s="60">
        <f>IF(AND(tblFleet[[#This Row],[Units]]&lt;&gt;"",tblFleet[[#This Row],[Available_h]]&gt;0),tblFleet[[#This Row],[Operating_h]]/tblFleet[[#This Row],[Available_h]],"")</f>
        <v/>
      </c>
    </row>
    <row r="264">
      <c r="A264" s="54" t="n"/>
      <c r="B264" s="61" t="n"/>
      <c r="C264" s="62" t="n"/>
      <c r="D264" s="57" t="n"/>
      <c r="E264" s="57" t="n"/>
      <c r="F264" s="58" t="n"/>
      <c r="G264" s="66">
        <f>IF(tblFleet[[#This Row],[Units]]="","",tblFleet[[#This Row],[Units]]*24)</f>
        <v/>
      </c>
      <c r="H264" s="66">
        <f>IF(tblFleet[[#This Row],[Units]]="","",tblFleet[[#This Row],[Calendar_h]]-tblFleet[[#This Row],[Down_h]])</f>
        <v/>
      </c>
      <c r="I264" s="60">
        <f>IF(AND(tblFleet[[#This Row],[Units]]&lt;&gt;"",tblFleet[[#This Row],[Calendar_h]]&gt;0),tblFleet[[#This Row],[Available_h]]/tblFleet[[#This Row],[Calendar_h]],"")</f>
        <v/>
      </c>
      <c r="J264" s="60">
        <f>IF(AND(tblFleet[[#This Row],[Units]]&lt;&gt;"",tblFleet[[#This Row],[Available_h]]&gt;0),tblFleet[[#This Row],[Operating_h]]/tblFleet[[#This Row],[Available_h]],"")</f>
        <v/>
      </c>
    </row>
    <row r="265">
      <c r="A265" s="54" t="n"/>
      <c r="B265" s="61" t="n"/>
      <c r="C265" s="62" t="n"/>
      <c r="D265" s="57" t="n"/>
      <c r="E265" s="57" t="n"/>
      <c r="F265" s="58" t="n"/>
      <c r="G265" s="66">
        <f>IF(tblFleet[[#This Row],[Units]]="","",tblFleet[[#This Row],[Units]]*24)</f>
        <v/>
      </c>
      <c r="H265" s="66">
        <f>IF(tblFleet[[#This Row],[Units]]="","",tblFleet[[#This Row],[Calendar_h]]-tblFleet[[#This Row],[Down_h]])</f>
        <v/>
      </c>
      <c r="I265" s="60">
        <f>IF(AND(tblFleet[[#This Row],[Units]]&lt;&gt;"",tblFleet[[#This Row],[Calendar_h]]&gt;0),tblFleet[[#This Row],[Available_h]]/tblFleet[[#This Row],[Calendar_h]],"")</f>
        <v/>
      </c>
      <c r="J265" s="60">
        <f>IF(AND(tblFleet[[#This Row],[Units]]&lt;&gt;"",tblFleet[[#This Row],[Available_h]]&gt;0),tblFleet[[#This Row],[Operating_h]]/tblFleet[[#This Row],[Available_h]],"")</f>
        <v/>
      </c>
    </row>
    <row r="266">
      <c r="A266" s="54" t="n"/>
      <c r="B266" s="61" t="n"/>
      <c r="C266" s="62" t="n"/>
      <c r="D266" s="57" t="n"/>
      <c r="E266" s="57" t="n"/>
      <c r="F266" s="58" t="n"/>
      <c r="G266" s="66">
        <f>IF(tblFleet[[#This Row],[Units]]="","",tblFleet[[#This Row],[Units]]*24)</f>
        <v/>
      </c>
      <c r="H266" s="66">
        <f>IF(tblFleet[[#This Row],[Units]]="","",tblFleet[[#This Row],[Calendar_h]]-tblFleet[[#This Row],[Down_h]])</f>
        <v/>
      </c>
      <c r="I266" s="60">
        <f>IF(AND(tblFleet[[#This Row],[Units]]&lt;&gt;"",tblFleet[[#This Row],[Calendar_h]]&gt;0),tblFleet[[#This Row],[Available_h]]/tblFleet[[#This Row],[Calendar_h]],"")</f>
        <v/>
      </c>
      <c r="J266" s="60">
        <f>IF(AND(tblFleet[[#This Row],[Units]]&lt;&gt;"",tblFleet[[#This Row],[Available_h]]&gt;0),tblFleet[[#This Row],[Operating_h]]/tblFleet[[#This Row],[Available_h]],"")</f>
        <v/>
      </c>
    </row>
    <row r="267">
      <c r="A267" s="54" t="n"/>
      <c r="B267" s="61" t="n"/>
      <c r="C267" s="62" t="n"/>
      <c r="D267" s="57" t="n"/>
      <c r="E267" s="57" t="n"/>
      <c r="F267" s="58" t="n"/>
      <c r="G267" s="66">
        <f>IF(tblFleet[[#This Row],[Units]]="","",tblFleet[[#This Row],[Units]]*24)</f>
        <v/>
      </c>
      <c r="H267" s="66">
        <f>IF(tblFleet[[#This Row],[Units]]="","",tblFleet[[#This Row],[Calendar_h]]-tblFleet[[#This Row],[Down_h]])</f>
        <v/>
      </c>
      <c r="I267" s="60">
        <f>IF(AND(tblFleet[[#This Row],[Units]]&lt;&gt;"",tblFleet[[#This Row],[Calendar_h]]&gt;0),tblFleet[[#This Row],[Available_h]]/tblFleet[[#This Row],[Calendar_h]],"")</f>
        <v/>
      </c>
      <c r="J267" s="60">
        <f>IF(AND(tblFleet[[#This Row],[Units]]&lt;&gt;"",tblFleet[[#This Row],[Available_h]]&gt;0),tblFleet[[#This Row],[Operating_h]]/tblFleet[[#This Row],[Available_h]],"")</f>
        <v/>
      </c>
    </row>
    <row r="268">
      <c r="A268" s="54" t="n"/>
      <c r="B268" s="61" t="n"/>
      <c r="C268" s="62" t="n"/>
      <c r="D268" s="57" t="n"/>
      <c r="E268" s="57" t="n"/>
      <c r="F268" s="58" t="n"/>
      <c r="G268" s="66">
        <f>IF(tblFleet[[#This Row],[Units]]="","",tblFleet[[#This Row],[Units]]*24)</f>
        <v/>
      </c>
      <c r="H268" s="66">
        <f>IF(tblFleet[[#This Row],[Units]]="","",tblFleet[[#This Row],[Calendar_h]]-tblFleet[[#This Row],[Down_h]])</f>
        <v/>
      </c>
      <c r="I268" s="60">
        <f>IF(AND(tblFleet[[#This Row],[Units]]&lt;&gt;"",tblFleet[[#This Row],[Calendar_h]]&gt;0),tblFleet[[#This Row],[Available_h]]/tblFleet[[#This Row],[Calendar_h]],"")</f>
        <v/>
      </c>
      <c r="J268" s="60">
        <f>IF(AND(tblFleet[[#This Row],[Units]]&lt;&gt;"",tblFleet[[#This Row],[Available_h]]&gt;0),tblFleet[[#This Row],[Operating_h]]/tblFleet[[#This Row],[Available_h]],"")</f>
        <v/>
      </c>
    </row>
    <row r="269">
      <c r="A269" s="54" t="n"/>
      <c r="B269" s="61" t="n"/>
      <c r="C269" s="62" t="n"/>
      <c r="D269" s="57" t="n"/>
      <c r="E269" s="57" t="n"/>
      <c r="F269" s="58" t="n"/>
      <c r="G269" s="66">
        <f>IF(tblFleet[[#This Row],[Units]]="","",tblFleet[[#This Row],[Units]]*24)</f>
        <v/>
      </c>
      <c r="H269" s="66">
        <f>IF(tblFleet[[#This Row],[Units]]="","",tblFleet[[#This Row],[Calendar_h]]-tblFleet[[#This Row],[Down_h]])</f>
        <v/>
      </c>
      <c r="I269" s="60">
        <f>IF(AND(tblFleet[[#This Row],[Units]]&lt;&gt;"",tblFleet[[#This Row],[Calendar_h]]&gt;0),tblFleet[[#This Row],[Available_h]]/tblFleet[[#This Row],[Calendar_h]],"")</f>
        <v/>
      </c>
      <c r="J269" s="60">
        <f>IF(AND(tblFleet[[#This Row],[Units]]&lt;&gt;"",tblFleet[[#This Row],[Available_h]]&gt;0),tblFleet[[#This Row],[Operating_h]]/tblFleet[[#This Row],[Available_h]],"")</f>
        <v/>
      </c>
    </row>
    <row r="270">
      <c r="A270" s="54" t="n"/>
      <c r="B270" s="61" t="n"/>
      <c r="C270" s="62" t="n"/>
      <c r="D270" s="57" t="n"/>
      <c r="E270" s="57" t="n"/>
      <c r="F270" s="58" t="n"/>
      <c r="G270" s="66">
        <f>IF(tblFleet[[#This Row],[Units]]="","",tblFleet[[#This Row],[Units]]*24)</f>
        <v/>
      </c>
      <c r="H270" s="66">
        <f>IF(tblFleet[[#This Row],[Units]]="","",tblFleet[[#This Row],[Calendar_h]]-tblFleet[[#This Row],[Down_h]])</f>
        <v/>
      </c>
      <c r="I270" s="60">
        <f>IF(AND(tblFleet[[#This Row],[Units]]&lt;&gt;"",tblFleet[[#This Row],[Calendar_h]]&gt;0),tblFleet[[#This Row],[Available_h]]/tblFleet[[#This Row],[Calendar_h]],"")</f>
        <v/>
      </c>
      <c r="J270" s="60">
        <f>IF(AND(tblFleet[[#This Row],[Units]]&lt;&gt;"",tblFleet[[#This Row],[Available_h]]&gt;0),tblFleet[[#This Row],[Operating_h]]/tblFleet[[#This Row],[Available_h]],"")</f>
        <v/>
      </c>
    </row>
    <row r="271">
      <c r="A271" s="54" t="n"/>
      <c r="B271" s="61" t="n"/>
      <c r="C271" s="62" t="n"/>
      <c r="D271" s="57" t="n"/>
      <c r="E271" s="57" t="n"/>
      <c r="F271" s="58" t="n"/>
      <c r="G271" s="66">
        <f>IF(tblFleet[[#This Row],[Units]]="","",tblFleet[[#This Row],[Units]]*24)</f>
        <v/>
      </c>
      <c r="H271" s="66">
        <f>IF(tblFleet[[#This Row],[Units]]="","",tblFleet[[#This Row],[Calendar_h]]-tblFleet[[#This Row],[Down_h]])</f>
        <v/>
      </c>
      <c r="I271" s="60">
        <f>IF(AND(tblFleet[[#This Row],[Units]]&lt;&gt;"",tblFleet[[#This Row],[Calendar_h]]&gt;0),tblFleet[[#This Row],[Available_h]]/tblFleet[[#This Row],[Calendar_h]],"")</f>
        <v/>
      </c>
      <c r="J271" s="60">
        <f>IF(AND(tblFleet[[#This Row],[Units]]&lt;&gt;"",tblFleet[[#This Row],[Available_h]]&gt;0),tblFleet[[#This Row],[Operating_h]]/tblFleet[[#This Row],[Available_h]],"")</f>
        <v/>
      </c>
    </row>
    <row r="272">
      <c r="A272" s="54" t="n"/>
      <c r="B272" s="61" t="n"/>
      <c r="C272" s="62" t="n"/>
      <c r="D272" s="57" t="n"/>
      <c r="E272" s="57" t="n"/>
      <c r="F272" s="58" t="n"/>
      <c r="G272" s="66">
        <f>IF(tblFleet[[#This Row],[Units]]="","",tblFleet[[#This Row],[Units]]*24)</f>
        <v/>
      </c>
      <c r="H272" s="66">
        <f>IF(tblFleet[[#This Row],[Units]]="","",tblFleet[[#This Row],[Calendar_h]]-tblFleet[[#This Row],[Down_h]])</f>
        <v/>
      </c>
      <c r="I272" s="60">
        <f>IF(AND(tblFleet[[#This Row],[Units]]&lt;&gt;"",tblFleet[[#This Row],[Calendar_h]]&gt;0),tblFleet[[#This Row],[Available_h]]/tblFleet[[#This Row],[Calendar_h]],"")</f>
        <v/>
      </c>
      <c r="J272" s="60">
        <f>IF(AND(tblFleet[[#This Row],[Units]]&lt;&gt;"",tblFleet[[#This Row],[Available_h]]&gt;0),tblFleet[[#This Row],[Operating_h]]/tblFleet[[#This Row],[Available_h]],"")</f>
        <v/>
      </c>
    </row>
    <row r="273">
      <c r="A273" s="54" t="n"/>
      <c r="B273" s="61" t="n"/>
      <c r="C273" s="62" t="n"/>
      <c r="D273" s="57" t="n"/>
      <c r="E273" s="57" t="n"/>
      <c r="F273" s="58" t="n"/>
      <c r="G273" s="66">
        <f>IF(tblFleet[[#This Row],[Units]]="","",tblFleet[[#This Row],[Units]]*24)</f>
        <v/>
      </c>
      <c r="H273" s="66">
        <f>IF(tblFleet[[#This Row],[Units]]="","",tblFleet[[#This Row],[Calendar_h]]-tblFleet[[#This Row],[Down_h]])</f>
        <v/>
      </c>
      <c r="I273" s="60">
        <f>IF(AND(tblFleet[[#This Row],[Units]]&lt;&gt;"",tblFleet[[#This Row],[Calendar_h]]&gt;0),tblFleet[[#This Row],[Available_h]]/tblFleet[[#This Row],[Calendar_h]],"")</f>
        <v/>
      </c>
      <c r="J273" s="60">
        <f>IF(AND(tblFleet[[#This Row],[Units]]&lt;&gt;"",tblFleet[[#This Row],[Available_h]]&gt;0),tblFleet[[#This Row],[Operating_h]]/tblFleet[[#This Row],[Available_h]],"")</f>
        <v/>
      </c>
    </row>
    <row r="274">
      <c r="A274" s="54" t="n"/>
      <c r="B274" s="61" t="n"/>
      <c r="C274" s="62" t="n"/>
      <c r="D274" s="57" t="n"/>
      <c r="E274" s="57" t="n"/>
      <c r="F274" s="58" t="n"/>
      <c r="G274" s="66">
        <f>IF(tblFleet[[#This Row],[Units]]="","",tblFleet[[#This Row],[Units]]*24)</f>
        <v/>
      </c>
      <c r="H274" s="66">
        <f>IF(tblFleet[[#This Row],[Units]]="","",tblFleet[[#This Row],[Calendar_h]]-tblFleet[[#This Row],[Down_h]])</f>
        <v/>
      </c>
      <c r="I274" s="60">
        <f>IF(AND(tblFleet[[#This Row],[Units]]&lt;&gt;"",tblFleet[[#This Row],[Calendar_h]]&gt;0),tblFleet[[#This Row],[Available_h]]/tblFleet[[#This Row],[Calendar_h]],"")</f>
        <v/>
      </c>
      <c r="J274" s="60">
        <f>IF(AND(tblFleet[[#This Row],[Units]]&lt;&gt;"",tblFleet[[#This Row],[Available_h]]&gt;0),tblFleet[[#This Row],[Operating_h]]/tblFleet[[#This Row],[Available_h]],"")</f>
        <v/>
      </c>
    </row>
    <row r="275">
      <c r="A275" s="54" t="n"/>
      <c r="B275" s="61" t="n"/>
      <c r="C275" s="62" t="n"/>
      <c r="D275" s="57" t="n"/>
      <c r="E275" s="57" t="n"/>
      <c r="F275" s="58" t="n"/>
      <c r="G275" s="66">
        <f>IF(tblFleet[[#This Row],[Units]]="","",tblFleet[[#This Row],[Units]]*24)</f>
        <v/>
      </c>
      <c r="H275" s="66">
        <f>IF(tblFleet[[#This Row],[Units]]="","",tblFleet[[#This Row],[Calendar_h]]-tblFleet[[#This Row],[Down_h]])</f>
        <v/>
      </c>
      <c r="I275" s="60">
        <f>IF(AND(tblFleet[[#This Row],[Units]]&lt;&gt;"",tblFleet[[#This Row],[Calendar_h]]&gt;0),tblFleet[[#This Row],[Available_h]]/tblFleet[[#This Row],[Calendar_h]],"")</f>
        <v/>
      </c>
      <c r="J275" s="60">
        <f>IF(AND(tblFleet[[#This Row],[Units]]&lt;&gt;"",tblFleet[[#This Row],[Available_h]]&gt;0),tblFleet[[#This Row],[Operating_h]]/tblFleet[[#This Row],[Available_h]],"")</f>
        <v/>
      </c>
    </row>
    <row r="276">
      <c r="A276" s="54" t="n"/>
      <c r="B276" s="61" t="n"/>
      <c r="C276" s="62" t="n"/>
      <c r="D276" s="57" t="n"/>
      <c r="E276" s="57" t="n"/>
      <c r="F276" s="58" t="n"/>
      <c r="G276" s="66">
        <f>IF(tblFleet[[#This Row],[Units]]="","",tblFleet[[#This Row],[Units]]*24)</f>
        <v/>
      </c>
      <c r="H276" s="66">
        <f>IF(tblFleet[[#This Row],[Units]]="","",tblFleet[[#This Row],[Calendar_h]]-tblFleet[[#This Row],[Down_h]])</f>
        <v/>
      </c>
      <c r="I276" s="60">
        <f>IF(AND(tblFleet[[#This Row],[Units]]&lt;&gt;"",tblFleet[[#This Row],[Calendar_h]]&gt;0),tblFleet[[#This Row],[Available_h]]/tblFleet[[#This Row],[Calendar_h]],"")</f>
        <v/>
      </c>
      <c r="J276" s="60">
        <f>IF(AND(tblFleet[[#This Row],[Units]]&lt;&gt;"",tblFleet[[#This Row],[Available_h]]&gt;0),tblFleet[[#This Row],[Operating_h]]/tblFleet[[#This Row],[Available_h]],"")</f>
        <v/>
      </c>
    </row>
    <row r="277">
      <c r="A277" s="54" t="n"/>
      <c r="B277" s="61" t="n"/>
      <c r="C277" s="62" t="n"/>
      <c r="D277" s="57" t="n"/>
      <c r="E277" s="57" t="n"/>
      <c r="F277" s="58" t="n"/>
      <c r="G277" s="66">
        <f>IF(tblFleet[[#This Row],[Units]]="","",tblFleet[[#This Row],[Units]]*24)</f>
        <v/>
      </c>
      <c r="H277" s="66">
        <f>IF(tblFleet[[#This Row],[Units]]="","",tblFleet[[#This Row],[Calendar_h]]-tblFleet[[#This Row],[Down_h]])</f>
        <v/>
      </c>
      <c r="I277" s="60">
        <f>IF(AND(tblFleet[[#This Row],[Units]]&lt;&gt;"",tblFleet[[#This Row],[Calendar_h]]&gt;0),tblFleet[[#This Row],[Available_h]]/tblFleet[[#This Row],[Calendar_h]],"")</f>
        <v/>
      </c>
      <c r="J277" s="60">
        <f>IF(AND(tblFleet[[#This Row],[Units]]&lt;&gt;"",tblFleet[[#This Row],[Available_h]]&gt;0),tblFleet[[#This Row],[Operating_h]]/tblFleet[[#This Row],[Available_h]],"")</f>
        <v/>
      </c>
    </row>
    <row r="278">
      <c r="A278" s="54" t="n"/>
      <c r="B278" s="61" t="n"/>
      <c r="C278" s="62" t="n"/>
      <c r="D278" s="57" t="n"/>
      <c r="E278" s="57" t="n"/>
      <c r="F278" s="58" t="n"/>
      <c r="G278" s="66">
        <f>IF(tblFleet[[#This Row],[Units]]="","",tblFleet[[#This Row],[Units]]*24)</f>
        <v/>
      </c>
      <c r="H278" s="66">
        <f>IF(tblFleet[[#This Row],[Units]]="","",tblFleet[[#This Row],[Calendar_h]]-tblFleet[[#This Row],[Down_h]])</f>
        <v/>
      </c>
      <c r="I278" s="60">
        <f>IF(AND(tblFleet[[#This Row],[Units]]&lt;&gt;"",tblFleet[[#This Row],[Calendar_h]]&gt;0),tblFleet[[#This Row],[Available_h]]/tblFleet[[#This Row],[Calendar_h]],"")</f>
        <v/>
      </c>
      <c r="J278" s="60">
        <f>IF(AND(tblFleet[[#This Row],[Units]]&lt;&gt;"",tblFleet[[#This Row],[Available_h]]&gt;0),tblFleet[[#This Row],[Operating_h]]/tblFleet[[#This Row],[Available_h]],"")</f>
        <v/>
      </c>
    </row>
    <row r="279">
      <c r="A279" s="54" t="n"/>
      <c r="B279" s="61" t="n"/>
      <c r="C279" s="62" t="n"/>
      <c r="D279" s="57" t="n"/>
      <c r="E279" s="57" t="n"/>
      <c r="F279" s="58" t="n"/>
      <c r="G279" s="66">
        <f>IF(tblFleet[[#This Row],[Units]]="","",tblFleet[[#This Row],[Units]]*24)</f>
        <v/>
      </c>
      <c r="H279" s="66">
        <f>IF(tblFleet[[#This Row],[Units]]="","",tblFleet[[#This Row],[Calendar_h]]-tblFleet[[#This Row],[Down_h]])</f>
        <v/>
      </c>
      <c r="I279" s="60">
        <f>IF(AND(tblFleet[[#This Row],[Units]]&lt;&gt;"",tblFleet[[#This Row],[Calendar_h]]&gt;0),tblFleet[[#This Row],[Available_h]]/tblFleet[[#This Row],[Calendar_h]],"")</f>
        <v/>
      </c>
      <c r="J279" s="60">
        <f>IF(AND(tblFleet[[#This Row],[Units]]&lt;&gt;"",tblFleet[[#This Row],[Available_h]]&gt;0),tblFleet[[#This Row],[Operating_h]]/tblFleet[[#This Row],[Available_h]],"")</f>
        <v/>
      </c>
    </row>
    <row r="280">
      <c r="A280" s="54" t="n"/>
      <c r="B280" s="61" t="n"/>
      <c r="C280" s="62" t="n"/>
      <c r="D280" s="57" t="n"/>
      <c r="E280" s="57" t="n"/>
      <c r="F280" s="58" t="n"/>
      <c r="G280" s="66">
        <f>IF(tblFleet[[#This Row],[Units]]="","",tblFleet[[#This Row],[Units]]*24)</f>
        <v/>
      </c>
      <c r="H280" s="66">
        <f>IF(tblFleet[[#This Row],[Units]]="","",tblFleet[[#This Row],[Calendar_h]]-tblFleet[[#This Row],[Down_h]])</f>
        <v/>
      </c>
      <c r="I280" s="60">
        <f>IF(AND(tblFleet[[#This Row],[Units]]&lt;&gt;"",tblFleet[[#This Row],[Calendar_h]]&gt;0),tblFleet[[#This Row],[Available_h]]/tblFleet[[#This Row],[Calendar_h]],"")</f>
        <v/>
      </c>
      <c r="J280" s="60">
        <f>IF(AND(tblFleet[[#This Row],[Units]]&lt;&gt;"",tblFleet[[#This Row],[Available_h]]&gt;0),tblFleet[[#This Row],[Operating_h]]/tblFleet[[#This Row],[Available_h]],"")</f>
        <v/>
      </c>
    </row>
    <row r="281">
      <c r="A281" s="54" t="n"/>
      <c r="B281" s="61" t="n"/>
      <c r="C281" s="62" t="n"/>
      <c r="D281" s="57" t="n"/>
      <c r="E281" s="57" t="n"/>
      <c r="F281" s="58" t="n"/>
      <c r="G281" s="66">
        <f>IF(tblFleet[[#This Row],[Units]]="","",tblFleet[[#This Row],[Units]]*24)</f>
        <v/>
      </c>
      <c r="H281" s="66">
        <f>IF(tblFleet[[#This Row],[Units]]="","",tblFleet[[#This Row],[Calendar_h]]-tblFleet[[#This Row],[Down_h]])</f>
        <v/>
      </c>
      <c r="I281" s="60">
        <f>IF(AND(tblFleet[[#This Row],[Units]]&lt;&gt;"",tblFleet[[#This Row],[Calendar_h]]&gt;0),tblFleet[[#This Row],[Available_h]]/tblFleet[[#This Row],[Calendar_h]],"")</f>
        <v/>
      </c>
      <c r="J281" s="60">
        <f>IF(AND(tblFleet[[#This Row],[Units]]&lt;&gt;"",tblFleet[[#This Row],[Available_h]]&gt;0),tblFleet[[#This Row],[Operating_h]]/tblFleet[[#This Row],[Available_h]],"")</f>
        <v/>
      </c>
    </row>
    <row r="282">
      <c r="A282" s="54" t="n"/>
      <c r="B282" s="61" t="n"/>
      <c r="C282" s="62" t="n"/>
      <c r="D282" s="57" t="n"/>
      <c r="E282" s="57" t="n"/>
      <c r="F282" s="58" t="n"/>
      <c r="G282" s="66">
        <f>IF(tblFleet[[#This Row],[Units]]="","",tblFleet[[#This Row],[Units]]*24)</f>
        <v/>
      </c>
      <c r="H282" s="66">
        <f>IF(tblFleet[[#This Row],[Units]]="","",tblFleet[[#This Row],[Calendar_h]]-tblFleet[[#This Row],[Down_h]])</f>
        <v/>
      </c>
      <c r="I282" s="60">
        <f>IF(AND(tblFleet[[#This Row],[Units]]&lt;&gt;"",tblFleet[[#This Row],[Calendar_h]]&gt;0),tblFleet[[#This Row],[Available_h]]/tblFleet[[#This Row],[Calendar_h]],"")</f>
        <v/>
      </c>
      <c r="J282" s="60">
        <f>IF(AND(tblFleet[[#This Row],[Units]]&lt;&gt;"",tblFleet[[#This Row],[Available_h]]&gt;0),tblFleet[[#This Row],[Operating_h]]/tblFleet[[#This Row],[Available_h]],"")</f>
        <v/>
      </c>
    </row>
    <row r="283">
      <c r="A283" s="54" t="n"/>
      <c r="B283" s="61" t="n"/>
      <c r="C283" s="62" t="n"/>
      <c r="D283" s="57" t="n"/>
      <c r="E283" s="57" t="n"/>
      <c r="F283" s="58" t="n"/>
      <c r="G283" s="66">
        <f>IF(tblFleet[[#This Row],[Units]]="","",tblFleet[[#This Row],[Units]]*24)</f>
        <v/>
      </c>
      <c r="H283" s="66">
        <f>IF(tblFleet[[#This Row],[Units]]="","",tblFleet[[#This Row],[Calendar_h]]-tblFleet[[#This Row],[Down_h]])</f>
        <v/>
      </c>
      <c r="I283" s="60">
        <f>IF(AND(tblFleet[[#This Row],[Units]]&lt;&gt;"",tblFleet[[#This Row],[Calendar_h]]&gt;0),tblFleet[[#This Row],[Available_h]]/tblFleet[[#This Row],[Calendar_h]],"")</f>
        <v/>
      </c>
      <c r="J283" s="60">
        <f>IF(AND(tblFleet[[#This Row],[Units]]&lt;&gt;"",tblFleet[[#This Row],[Available_h]]&gt;0),tblFleet[[#This Row],[Operating_h]]/tblFleet[[#This Row],[Available_h]],"")</f>
        <v/>
      </c>
    </row>
    <row r="284">
      <c r="A284" s="54" t="n"/>
      <c r="B284" s="61" t="n"/>
      <c r="C284" s="62" t="n"/>
      <c r="D284" s="57" t="n"/>
      <c r="E284" s="57" t="n"/>
      <c r="F284" s="58" t="n"/>
      <c r="G284" s="66">
        <f>IF(tblFleet[[#This Row],[Units]]="","",tblFleet[[#This Row],[Units]]*24)</f>
        <v/>
      </c>
      <c r="H284" s="66">
        <f>IF(tblFleet[[#This Row],[Units]]="","",tblFleet[[#This Row],[Calendar_h]]-tblFleet[[#This Row],[Down_h]])</f>
        <v/>
      </c>
      <c r="I284" s="60">
        <f>IF(AND(tblFleet[[#This Row],[Units]]&lt;&gt;"",tblFleet[[#This Row],[Calendar_h]]&gt;0),tblFleet[[#This Row],[Available_h]]/tblFleet[[#This Row],[Calendar_h]],"")</f>
        <v/>
      </c>
      <c r="J284" s="60">
        <f>IF(AND(tblFleet[[#This Row],[Units]]&lt;&gt;"",tblFleet[[#This Row],[Available_h]]&gt;0),tblFleet[[#This Row],[Operating_h]]/tblFleet[[#This Row],[Available_h]],"")</f>
        <v/>
      </c>
    </row>
    <row r="285">
      <c r="A285" s="54" t="n"/>
      <c r="B285" s="61" t="n"/>
      <c r="C285" s="62" t="n"/>
      <c r="D285" s="57" t="n"/>
      <c r="E285" s="57" t="n"/>
      <c r="F285" s="58" t="n"/>
      <c r="G285" s="66">
        <f>IF(tblFleet[[#This Row],[Units]]="","",tblFleet[[#This Row],[Units]]*24)</f>
        <v/>
      </c>
      <c r="H285" s="66">
        <f>IF(tblFleet[[#This Row],[Units]]="","",tblFleet[[#This Row],[Calendar_h]]-tblFleet[[#This Row],[Down_h]])</f>
        <v/>
      </c>
      <c r="I285" s="60">
        <f>IF(AND(tblFleet[[#This Row],[Units]]&lt;&gt;"",tblFleet[[#This Row],[Calendar_h]]&gt;0),tblFleet[[#This Row],[Available_h]]/tblFleet[[#This Row],[Calendar_h]],"")</f>
        <v/>
      </c>
      <c r="J285" s="60">
        <f>IF(AND(tblFleet[[#This Row],[Units]]&lt;&gt;"",tblFleet[[#This Row],[Available_h]]&gt;0),tblFleet[[#This Row],[Operating_h]]/tblFleet[[#This Row],[Available_h]],"")</f>
        <v/>
      </c>
    </row>
    <row r="286">
      <c r="A286" s="54" t="n"/>
      <c r="B286" s="61" t="n"/>
      <c r="C286" s="62" t="n"/>
      <c r="D286" s="57" t="n"/>
      <c r="E286" s="57" t="n"/>
      <c r="F286" s="58" t="n"/>
      <c r="G286" s="66">
        <f>IF(tblFleet[[#This Row],[Units]]="","",tblFleet[[#This Row],[Units]]*24)</f>
        <v/>
      </c>
      <c r="H286" s="66">
        <f>IF(tblFleet[[#This Row],[Units]]="","",tblFleet[[#This Row],[Calendar_h]]-tblFleet[[#This Row],[Down_h]])</f>
        <v/>
      </c>
      <c r="I286" s="60">
        <f>IF(AND(tblFleet[[#This Row],[Units]]&lt;&gt;"",tblFleet[[#This Row],[Calendar_h]]&gt;0),tblFleet[[#This Row],[Available_h]]/tblFleet[[#This Row],[Calendar_h]],"")</f>
        <v/>
      </c>
      <c r="J286" s="60">
        <f>IF(AND(tblFleet[[#This Row],[Units]]&lt;&gt;"",tblFleet[[#This Row],[Available_h]]&gt;0),tblFleet[[#This Row],[Operating_h]]/tblFleet[[#This Row],[Available_h]],"")</f>
        <v/>
      </c>
    </row>
    <row r="287">
      <c r="A287" s="54" t="n"/>
      <c r="B287" s="61" t="n"/>
      <c r="C287" s="62" t="n"/>
      <c r="D287" s="57" t="n"/>
      <c r="E287" s="57" t="n"/>
      <c r="F287" s="58" t="n"/>
      <c r="G287" s="66">
        <f>IF(tblFleet[[#This Row],[Units]]="","",tblFleet[[#This Row],[Units]]*24)</f>
        <v/>
      </c>
      <c r="H287" s="66">
        <f>IF(tblFleet[[#This Row],[Units]]="","",tblFleet[[#This Row],[Calendar_h]]-tblFleet[[#This Row],[Down_h]])</f>
        <v/>
      </c>
      <c r="I287" s="60">
        <f>IF(AND(tblFleet[[#This Row],[Units]]&lt;&gt;"",tblFleet[[#This Row],[Calendar_h]]&gt;0),tblFleet[[#This Row],[Available_h]]/tblFleet[[#This Row],[Calendar_h]],"")</f>
        <v/>
      </c>
      <c r="J287" s="60">
        <f>IF(AND(tblFleet[[#This Row],[Units]]&lt;&gt;"",tblFleet[[#This Row],[Available_h]]&gt;0),tblFleet[[#This Row],[Operating_h]]/tblFleet[[#This Row],[Available_h]],"")</f>
        <v/>
      </c>
    </row>
    <row r="288">
      <c r="A288" s="54" t="n"/>
      <c r="B288" s="61" t="n"/>
      <c r="C288" s="62" t="n"/>
      <c r="D288" s="57" t="n"/>
      <c r="E288" s="57" t="n"/>
      <c r="F288" s="58" t="n"/>
      <c r="G288" s="66">
        <f>IF(tblFleet[[#This Row],[Units]]="","",tblFleet[[#This Row],[Units]]*24)</f>
        <v/>
      </c>
      <c r="H288" s="66">
        <f>IF(tblFleet[[#This Row],[Units]]="","",tblFleet[[#This Row],[Calendar_h]]-tblFleet[[#This Row],[Down_h]])</f>
        <v/>
      </c>
      <c r="I288" s="60">
        <f>IF(AND(tblFleet[[#This Row],[Units]]&lt;&gt;"",tblFleet[[#This Row],[Calendar_h]]&gt;0),tblFleet[[#This Row],[Available_h]]/tblFleet[[#This Row],[Calendar_h]],"")</f>
        <v/>
      </c>
      <c r="J288" s="60">
        <f>IF(AND(tblFleet[[#This Row],[Units]]&lt;&gt;"",tblFleet[[#This Row],[Available_h]]&gt;0),tblFleet[[#This Row],[Operating_h]]/tblFleet[[#This Row],[Available_h]],"")</f>
        <v/>
      </c>
    </row>
    <row r="289">
      <c r="A289" s="54" t="n"/>
      <c r="B289" s="61" t="n"/>
      <c r="C289" s="62" t="n"/>
      <c r="D289" s="57" t="n"/>
      <c r="E289" s="57" t="n"/>
      <c r="F289" s="58" t="n"/>
      <c r="G289" s="66">
        <f>IF(tblFleet[[#This Row],[Units]]="","",tblFleet[[#This Row],[Units]]*24)</f>
        <v/>
      </c>
      <c r="H289" s="66">
        <f>IF(tblFleet[[#This Row],[Units]]="","",tblFleet[[#This Row],[Calendar_h]]-tblFleet[[#This Row],[Down_h]])</f>
        <v/>
      </c>
      <c r="I289" s="60">
        <f>IF(AND(tblFleet[[#This Row],[Units]]&lt;&gt;"",tblFleet[[#This Row],[Calendar_h]]&gt;0),tblFleet[[#This Row],[Available_h]]/tblFleet[[#This Row],[Calendar_h]],"")</f>
        <v/>
      </c>
      <c r="J289" s="60">
        <f>IF(AND(tblFleet[[#This Row],[Units]]&lt;&gt;"",tblFleet[[#This Row],[Available_h]]&gt;0),tblFleet[[#This Row],[Operating_h]]/tblFleet[[#This Row],[Available_h]],"")</f>
        <v/>
      </c>
    </row>
    <row r="290">
      <c r="A290" s="54" t="n"/>
      <c r="B290" s="61" t="n"/>
      <c r="C290" s="62" t="n"/>
      <c r="D290" s="57" t="n"/>
      <c r="E290" s="57" t="n"/>
      <c r="F290" s="58" t="n"/>
      <c r="G290" s="66">
        <f>IF(tblFleet[[#This Row],[Units]]="","",tblFleet[[#This Row],[Units]]*24)</f>
        <v/>
      </c>
      <c r="H290" s="66">
        <f>IF(tblFleet[[#This Row],[Units]]="","",tblFleet[[#This Row],[Calendar_h]]-tblFleet[[#This Row],[Down_h]])</f>
        <v/>
      </c>
      <c r="I290" s="60">
        <f>IF(AND(tblFleet[[#This Row],[Units]]&lt;&gt;"",tblFleet[[#This Row],[Calendar_h]]&gt;0),tblFleet[[#This Row],[Available_h]]/tblFleet[[#This Row],[Calendar_h]],"")</f>
        <v/>
      </c>
      <c r="J290" s="60">
        <f>IF(AND(tblFleet[[#This Row],[Units]]&lt;&gt;"",tblFleet[[#This Row],[Available_h]]&gt;0),tblFleet[[#This Row],[Operating_h]]/tblFleet[[#This Row],[Available_h]],"")</f>
        <v/>
      </c>
    </row>
    <row r="291">
      <c r="A291" s="54" t="n"/>
      <c r="B291" s="61" t="n"/>
      <c r="C291" s="62" t="n"/>
      <c r="D291" s="57" t="n"/>
      <c r="E291" s="57" t="n"/>
      <c r="F291" s="58" t="n"/>
      <c r="G291" s="66">
        <f>IF(tblFleet[[#This Row],[Units]]="","",tblFleet[[#This Row],[Units]]*24)</f>
        <v/>
      </c>
      <c r="H291" s="66">
        <f>IF(tblFleet[[#This Row],[Units]]="","",tblFleet[[#This Row],[Calendar_h]]-tblFleet[[#This Row],[Down_h]])</f>
        <v/>
      </c>
      <c r="I291" s="60">
        <f>IF(AND(tblFleet[[#This Row],[Units]]&lt;&gt;"",tblFleet[[#This Row],[Calendar_h]]&gt;0),tblFleet[[#This Row],[Available_h]]/tblFleet[[#This Row],[Calendar_h]],"")</f>
        <v/>
      </c>
      <c r="J291" s="60">
        <f>IF(AND(tblFleet[[#This Row],[Units]]&lt;&gt;"",tblFleet[[#This Row],[Available_h]]&gt;0),tblFleet[[#This Row],[Operating_h]]/tblFleet[[#This Row],[Available_h]],"")</f>
        <v/>
      </c>
    </row>
    <row r="292">
      <c r="A292" s="54" t="n"/>
      <c r="B292" s="61" t="n"/>
      <c r="C292" s="62" t="n"/>
      <c r="D292" s="57" t="n"/>
      <c r="E292" s="57" t="n"/>
      <c r="F292" s="58" t="n"/>
      <c r="G292" s="66">
        <f>IF(tblFleet[[#This Row],[Units]]="","",tblFleet[[#This Row],[Units]]*24)</f>
        <v/>
      </c>
      <c r="H292" s="66">
        <f>IF(tblFleet[[#This Row],[Units]]="","",tblFleet[[#This Row],[Calendar_h]]-tblFleet[[#This Row],[Down_h]])</f>
        <v/>
      </c>
      <c r="I292" s="60">
        <f>IF(AND(tblFleet[[#This Row],[Units]]&lt;&gt;"",tblFleet[[#This Row],[Calendar_h]]&gt;0),tblFleet[[#This Row],[Available_h]]/tblFleet[[#This Row],[Calendar_h]],"")</f>
        <v/>
      </c>
      <c r="J292" s="60">
        <f>IF(AND(tblFleet[[#This Row],[Units]]&lt;&gt;"",tblFleet[[#This Row],[Available_h]]&gt;0),tblFleet[[#This Row],[Operating_h]]/tblFleet[[#This Row],[Available_h]],"")</f>
        <v/>
      </c>
    </row>
    <row r="293">
      <c r="A293" s="54" t="n"/>
      <c r="B293" s="61" t="n"/>
      <c r="C293" s="62" t="n"/>
      <c r="D293" s="57" t="n"/>
      <c r="E293" s="57" t="n"/>
      <c r="F293" s="58" t="n"/>
      <c r="G293" s="66">
        <f>IF(tblFleet[[#This Row],[Units]]="","",tblFleet[[#This Row],[Units]]*24)</f>
        <v/>
      </c>
      <c r="H293" s="66">
        <f>IF(tblFleet[[#This Row],[Units]]="","",tblFleet[[#This Row],[Calendar_h]]-tblFleet[[#This Row],[Down_h]])</f>
        <v/>
      </c>
      <c r="I293" s="60">
        <f>IF(AND(tblFleet[[#This Row],[Units]]&lt;&gt;"",tblFleet[[#This Row],[Calendar_h]]&gt;0),tblFleet[[#This Row],[Available_h]]/tblFleet[[#This Row],[Calendar_h]],"")</f>
        <v/>
      </c>
      <c r="J293" s="60">
        <f>IF(AND(tblFleet[[#This Row],[Units]]&lt;&gt;"",tblFleet[[#This Row],[Available_h]]&gt;0),tblFleet[[#This Row],[Operating_h]]/tblFleet[[#This Row],[Available_h]],"")</f>
        <v/>
      </c>
    </row>
    <row r="294">
      <c r="A294" s="54" t="n"/>
      <c r="B294" s="61" t="n"/>
      <c r="C294" s="62" t="n"/>
      <c r="D294" s="57" t="n"/>
      <c r="E294" s="57" t="n"/>
      <c r="F294" s="58" t="n"/>
      <c r="G294" s="66">
        <f>IF(tblFleet[[#This Row],[Units]]="","",tblFleet[[#This Row],[Units]]*24)</f>
        <v/>
      </c>
      <c r="H294" s="66">
        <f>IF(tblFleet[[#This Row],[Units]]="","",tblFleet[[#This Row],[Calendar_h]]-tblFleet[[#This Row],[Down_h]])</f>
        <v/>
      </c>
      <c r="I294" s="60">
        <f>IF(AND(tblFleet[[#This Row],[Units]]&lt;&gt;"",tblFleet[[#This Row],[Calendar_h]]&gt;0),tblFleet[[#This Row],[Available_h]]/tblFleet[[#This Row],[Calendar_h]],"")</f>
        <v/>
      </c>
      <c r="J294" s="60">
        <f>IF(AND(tblFleet[[#This Row],[Units]]&lt;&gt;"",tblFleet[[#This Row],[Available_h]]&gt;0),tblFleet[[#This Row],[Operating_h]]/tblFleet[[#This Row],[Available_h]],"")</f>
        <v/>
      </c>
    </row>
    <row r="295">
      <c r="A295" s="54" t="n"/>
      <c r="B295" s="61" t="n"/>
      <c r="C295" s="62" t="n"/>
      <c r="D295" s="57" t="n"/>
      <c r="E295" s="57" t="n"/>
      <c r="F295" s="58" t="n"/>
      <c r="G295" s="66">
        <f>IF(tblFleet[[#This Row],[Units]]="","",tblFleet[[#This Row],[Units]]*24)</f>
        <v/>
      </c>
      <c r="H295" s="66">
        <f>IF(tblFleet[[#This Row],[Units]]="","",tblFleet[[#This Row],[Calendar_h]]-tblFleet[[#This Row],[Down_h]])</f>
        <v/>
      </c>
      <c r="I295" s="60">
        <f>IF(AND(tblFleet[[#This Row],[Units]]&lt;&gt;"",tblFleet[[#This Row],[Calendar_h]]&gt;0),tblFleet[[#This Row],[Available_h]]/tblFleet[[#This Row],[Calendar_h]],"")</f>
        <v/>
      </c>
      <c r="J295" s="60">
        <f>IF(AND(tblFleet[[#This Row],[Units]]&lt;&gt;"",tblFleet[[#This Row],[Available_h]]&gt;0),tblFleet[[#This Row],[Operating_h]]/tblFleet[[#This Row],[Available_h]],"")</f>
        <v/>
      </c>
    </row>
    <row r="296">
      <c r="A296" s="54" t="n"/>
      <c r="B296" s="61" t="n"/>
      <c r="C296" s="62" t="n"/>
      <c r="D296" s="57" t="n"/>
      <c r="E296" s="57" t="n"/>
      <c r="F296" s="58" t="n"/>
      <c r="G296" s="66">
        <f>IF(tblFleet[[#This Row],[Units]]="","",tblFleet[[#This Row],[Units]]*24)</f>
        <v/>
      </c>
      <c r="H296" s="66">
        <f>IF(tblFleet[[#This Row],[Units]]="","",tblFleet[[#This Row],[Calendar_h]]-tblFleet[[#This Row],[Down_h]])</f>
        <v/>
      </c>
      <c r="I296" s="60">
        <f>IF(AND(tblFleet[[#This Row],[Units]]&lt;&gt;"",tblFleet[[#This Row],[Calendar_h]]&gt;0),tblFleet[[#This Row],[Available_h]]/tblFleet[[#This Row],[Calendar_h]],"")</f>
        <v/>
      </c>
      <c r="J296" s="60">
        <f>IF(AND(tblFleet[[#This Row],[Units]]&lt;&gt;"",tblFleet[[#This Row],[Available_h]]&gt;0),tblFleet[[#This Row],[Operating_h]]/tblFleet[[#This Row],[Available_h]],"")</f>
        <v/>
      </c>
    </row>
    <row r="297">
      <c r="A297" s="54" t="n"/>
      <c r="B297" s="61" t="n"/>
      <c r="C297" s="62" t="n"/>
      <c r="D297" s="57" t="n"/>
      <c r="E297" s="57" t="n"/>
      <c r="F297" s="58" t="n"/>
      <c r="G297" s="66">
        <f>IF(tblFleet[[#This Row],[Units]]="","",tblFleet[[#This Row],[Units]]*24)</f>
        <v/>
      </c>
      <c r="H297" s="66">
        <f>IF(tblFleet[[#This Row],[Units]]="","",tblFleet[[#This Row],[Calendar_h]]-tblFleet[[#This Row],[Down_h]])</f>
        <v/>
      </c>
      <c r="I297" s="60">
        <f>IF(AND(tblFleet[[#This Row],[Units]]&lt;&gt;"",tblFleet[[#This Row],[Calendar_h]]&gt;0),tblFleet[[#This Row],[Available_h]]/tblFleet[[#This Row],[Calendar_h]],"")</f>
        <v/>
      </c>
      <c r="J297" s="60">
        <f>IF(AND(tblFleet[[#This Row],[Units]]&lt;&gt;"",tblFleet[[#This Row],[Available_h]]&gt;0),tblFleet[[#This Row],[Operating_h]]/tblFleet[[#This Row],[Available_h]],"")</f>
        <v/>
      </c>
    </row>
    <row r="298">
      <c r="A298" s="54" t="n"/>
      <c r="B298" s="61" t="n"/>
      <c r="C298" s="62" t="n"/>
      <c r="D298" s="57" t="n"/>
      <c r="E298" s="57" t="n"/>
      <c r="F298" s="58" t="n"/>
      <c r="G298" s="66">
        <f>IF(tblFleet[[#This Row],[Units]]="","",tblFleet[[#This Row],[Units]]*24)</f>
        <v/>
      </c>
      <c r="H298" s="66">
        <f>IF(tblFleet[[#This Row],[Units]]="","",tblFleet[[#This Row],[Calendar_h]]-tblFleet[[#This Row],[Down_h]])</f>
        <v/>
      </c>
      <c r="I298" s="60">
        <f>IF(AND(tblFleet[[#This Row],[Units]]&lt;&gt;"",tblFleet[[#This Row],[Calendar_h]]&gt;0),tblFleet[[#This Row],[Available_h]]/tblFleet[[#This Row],[Calendar_h]],"")</f>
        <v/>
      </c>
      <c r="J298" s="60">
        <f>IF(AND(tblFleet[[#This Row],[Units]]&lt;&gt;"",tblFleet[[#This Row],[Available_h]]&gt;0),tblFleet[[#This Row],[Operating_h]]/tblFleet[[#This Row],[Available_h]],"")</f>
        <v/>
      </c>
    </row>
    <row r="299">
      <c r="A299" s="54" t="n"/>
      <c r="B299" s="61" t="n"/>
      <c r="C299" s="62" t="n"/>
      <c r="D299" s="57" t="n"/>
      <c r="E299" s="57" t="n"/>
      <c r="F299" s="58" t="n"/>
      <c r="G299" s="66">
        <f>IF(tblFleet[[#This Row],[Units]]="","",tblFleet[[#This Row],[Units]]*24)</f>
        <v/>
      </c>
      <c r="H299" s="66">
        <f>IF(tblFleet[[#This Row],[Units]]="","",tblFleet[[#This Row],[Calendar_h]]-tblFleet[[#This Row],[Down_h]])</f>
        <v/>
      </c>
      <c r="I299" s="60">
        <f>IF(AND(tblFleet[[#This Row],[Units]]&lt;&gt;"",tblFleet[[#This Row],[Calendar_h]]&gt;0),tblFleet[[#This Row],[Available_h]]/tblFleet[[#This Row],[Calendar_h]],"")</f>
        <v/>
      </c>
      <c r="J299" s="60">
        <f>IF(AND(tblFleet[[#This Row],[Units]]&lt;&gt;"",tblFleet[[#This Row],[Available_h]]&gt;0),tblFleet[[#This Row],[Operating_h]]/tblFleet[[#This Row],[Available_h]],"")</f>
        <v/>
      </c>
    </row>
    <row r="300">
      <c r="A300" s="54" t="n"/>
      <c r="B300" s="61" t="n"/>
      <c r="C300" s="62" t="n"/>
      <c r="D300" s="57" t="n"/>
      <c r="E300" s="57" t="n"/>
      <c r="F300" s="58" t="n"/>
      <c r="G300" s="66">
        <f>IF(tblFleet[[#This Row],[Units]]="","",tblFleet[[#This Row],[Units]]*24)</f>
        <v/>
      </c>
      <c r="H300" s="66">
        <f>IF(tblFleet[[#This Row],[Units]]="","",tblFleet[[#This Row],[Calendar_h]]-tblFleet[[#This Row],[Down_h]])</f>
        <v/>
      </c>
      <c r="I300" s="60">
        <f>IF(AND(tblFleet[[#This Row],[Units]]&lt;&gt;"",tblFleet[[#This Row],[Calendar_h]]&gt;0),tblFleet[[#This Row],[Available_h]]/tblFleet[[#This Row],[Calendar_h]],"")</f>
        <v/>
      </c>
      <c r="J300" s="60">
        <f>IF(AND(tblFleet[[#This Row],[Units]]&lt;&gt;"",tblFleet[[#This Row],[Available_h]]&gt;0),tblFleet[[#This Row],[Operating_h]]/tblFleet[[#This Row],[Available_h]],"")</f>
        <v/>
      </c>
    </row>
    <row r="301">
      <c r="A301" s="54" t="n"/>
      <c r="B301" s="61" t="n"/>
      <c r="C301" s="62" t="n"/>
      <c r="D301" s="57" t="n"/>
      <c r="E301" s="57" t="n"/>
      <c r="F301" s="58" t="n"/>
      <c r="G301" s="66">
        <f>IF(tblFleet[[#This Row],[Units]]="","",tblFleet[[#This Row],[Units]]*24)</f>
        <v/>
      </c>
      <c r="H301" s="66">
        <f>IF(tblFleet[[#This Row],[Units]]="","",tblFleet[[#This Row],[Calendar_h]]-tblFleet[[#This Row],[Down_h]])</f>
        <v/>
      </c>
      <c r="I301" s="60">
        <f>IF(AND(tblFleet[[#This Row],[Units]]&lt;&gt;"",tblFleet[[#This Row],[Calendar_h]]&gt;0),tblFleet[[#This Row],[Available_h]]/tblFleet[[#This Row],[Calendar_h]],"")</f>
        <v/>
      </c>
      <c r="J301" s="60">
        <f>IF(AND(tblFleet[[#This Row],[Units]]&lt;&gt;"",tblFleet[[#This Row],[Available_h]]&gt;0),tblFleet[[#This Row],[Operating_h]]/tblFleet[[#This Row],[Available_h]],"")</f>
        <v/>
      </c>
    </row>
    <row r="302">
      <c r="A302" s="54" t="n"/>
      <c r="B302" s="61" t="n"/>
      <c r="C302" s="62" t="n"/>
      <c r="D302" s="57" t="n"/>
      <c r="E302" s="57" t="n"/>
      <c r="F302" s="58" t="n"/>
      <c r="G302" s="66">
        <f>IF(tblFleet[[#This Row],[Units]]="","",tblFleet[[#This Row],[Units]]*24)</f>
        <v/>
      </c>
      <c r="H302" s="66">
        <f>IF(tblFleet[[#This Row],[Units]]="","",tblFleet[[#This Row],[Calendar_h]]-tblFleet[[#This Row],[Down_h]])</f>
        <v/>
      </c>
      <c r="I302" s="60">
        <f>IF(AND(tblFleet[[#This Row],[Units]]&lt;&gt;"",tblFleet[[#This Row],[Calendar_h]]&gt;0),tblFleet[[#This Row],[Available_h]]/tblFleet[[#This Row],[Calendar_h]],"")</f>
        <v/>
      </c>
      <c r="J302" s="60">
        <f>IF(AND(tblFleet[[#This Row],[Units]]&lt;&gt;"",tblFleet[[#This Row],[Available_h]]&gt;0),tblFleet[[#This Row],[Operating_h]]/tblFleet[[#This Row],[Available_h]],"")</f>
        <v/>
      </c>
    </row>
    <row r="303">
      <c r="A303" s="54" t="n"/>
      <c r="B303" s="61" t="n"/>
      <c r="C303" s="62" t="n"/>
      <c r="D303" s="57" t="n"/>
      <c r="E303" s="57" t="n"/>
      <c r="F303" s="58" t="n"/>
      <c r="G303" s="66">
        <f>IF(tblFleet[[#This Row],[Units]]="","",tblFleet[[#This Row],[Units]]*24)</f>
        <v/>
      </c>
      <c r="H303" s="66">
        <f>IF(tblFleet[[#This Row],[Units]]="","",tblFleet[[#This Row],[Calendar_h]]-tblFleet[[#This Row],[Down_h]])</f>
        <v/>
      </c>
      <c r="I303" s="60">
        <f>IF(AND(tblFleet[[#This Row],[Units]]&lt;&gt;"",tblFleet[[#This Row],[Calendar_h]]&gt;0),tblFleet[[#This Row],[Available_h]]/tblFleet[[#This Row],[Calendar_h]],"")</f>
        <v/>
      </c>
      <c r="J303" s="60">
        <f>IF(AND(tblFleet[[#This Row],[Units]]&lt;&gt;"",tblFleet[[#This Row],[Available_h]]&gt;0),tblFleet[[#This Row],[Operating_h]]/tblFleet[[#This Row],[Available_h]],"")</f>
        <v/>
      </c>
    </row>
    <row r="304">
      <c r="A304" s="54" t="n"/>
      <c r="B304" s="61" t="n"/>
      <c r="C304" s="62" t="n"/>
      <c r="D304" s="57" t="n"/>
      <c r="E304" s="57" t="n"/>
      <c r="F304" s="58" t="n"/>
      <c r="G304" s="66">
        <f>IF(tblFleet[[#This Row],[Units]]="","",tblFleet[[#This Row],[Units]]*24)</f>
        <v/>
      </c>
      <c r="H304" s="66">
        <f>IF(tblFleet[[#This Row],[Units]]="","",tblFleet[[#This Row],[Calendar_h]]-tblFleet[[#This Row],[Down_h]])</f>
        <v/>
      </c>
      <c r="I304" s="60">
        <f>IF(AND(tblFleet[[#This Row],[Units]]&lt;&gt;"",tblFleet[[#This Row],[Calendar_h]]&gt;0),tblFleet[[#This Row],[Available_h]]/tblFleet[[#This Row],[Calendar_h]],"")</f>
        <v/>
      </c>
      <c r="J304" s="60">
        <f>IF(AND(tblFleet[[#This Row],[Units]]&lt;&gt;"",tblFleet[[#This Row],[Available_h]]&gt;0),tblFleet[[#This Row],[Operating_h]]/tblFleet[[#This Row],[Available_h]],"")</f>
        <v/>
      </c>
    </row>
    <row r="305">
      <c r="A305" s="54" t="n"/>
      <c r="B305" s="61" t="n"/>
      <c r="C305" s="62" t="n"/>
      <c r="D305" s="57" t="n"/>
      <c r="E305" s="57" t="n"/>
      <c r="F305" s="58" t="n"/>
      <c r="G305" s="66">
        <f>IF(tblFleet[[#This Row],[Units]]="","",tblFleet[[#This Row],[Units]]*24)</f>
        <v/>
      </c>
      <c r="H305" s="66">
        <f>IF(tblFleet[[#This Row],[Units]]="","",tblFleet[[#This Row],[Calendar_h]]-tblFleet[[#This Row],[Down_h]])</f>
        <v/>
      </c>
      <c r="I305" s="60">
        <f>IF(AND(tblFleet[[#This Row],[Units]]&lt;&gt;"",tblFleet[[#This Row],[Calendar_h]]&gt;0),tblFleet[[#This Row],[Available_h]]/tblFleet[[#This Row],[Calendar_h]],"")</f>
        <v/>
      </c>
      <c r="J305" s="60">
        <f>IF(AND(tblFleet[[#This Row],[Units]]&lt;&gt;"",tblFleet[[#This Row],[Available_h]]&gt;0),tblFleet[[#This Row],[Operating_h]]/tblFleet[[#This Row],[Available_h]],"")</f>
        <v/>
      </c>
    </row>
    <row r="306">
      <c r="A306" s="54" t="n"/>
      <c r="B306" s="61" t="n"/>
      <c r="C306" s="62" t="n"/>
      <c r="D306" s="57" t="n"/>
      <c r="E306" s="57" t="n"/>
      <c r="F306" s="58" t="n"/>
      <c r="G306" s="66">
        <f>IF(tblFleet[[#This Row],[Units]]="","",tblFleet[[#This Row],[Units]]*24)</f>
        <v/>
      </c>
      <c r="H306" s="66">
        <f>IF(tblFleet[[#This Row],[Units]]="","",tblFleet[[#This Row],[Calendar_h]]-tblFleet[[#This Row],[Down_h]])</f>
        <v/>
      </c>
      <c r="I306" s="60">
        <f>IF(AND(tblFleet[[#This Row],[Units]]&lt;&gt;"",tblFleet[[#This Row],[Calendar_h]]&gt;0),tblFleet[[#This Row],[Available_h]]/tblFleet[[#This Row],[Calendar_h]],"")</f>
        <v/>
      </c>
      <c r="J306" s="60">
        <f>IF(AND(tblFleet[[#This Row],[Units]]&lt;&gt;"",tblFleet[[#This Row],[Available_h]]&gt;0),tblFleet[[#This Row],[Operating_h]]/tblFleet[[#This Row],[Available_h]],"")</f>
        <v/>
      </c>
    </row>
    <row r="307">
      <c r="A307" s="54" t="n"/>
      <c r="B307" s="61" t="n"/>
      <c r="C307" s="62" t="n"/>
      <c r="D307" s="57" t="n"/>
      <c r="E307" s="57" t="n"/>
      <c r="F307" s="58" t="n"/>
      <c r="G307" s="66">
        <f>IF(tblFleet[[#This Row],[Units]]="","",tblFleet[[#This Row],[Units]]*24)</f>
        <v/>
      </c>
      <c r="H307" s="66">
        <f>IF(tblFleet[[#This Row],[Units]]="","",tblFleet[[#This Row],[Calendar_h]]-tblFleet[[#This Row],[Down_h]])</f>
        <v/>
      </c>
      <c r="I307" s="60">
        <f>IF(AND(tblFleet[[#This Row],[Units]]&lt;&gt;"",tblFleet[[#This Row],[Calendar_h]]&gt;0),tblFleet[[#This Row],[Available_h]]/tblFleet[[#This Row],[Calendar_h]],"")</f>
        <v/>
      </c>
      <c r="J307" s="60">
        <f>IF(AND(tblFleet[[#This Row],[Units]]&lt;&gt;"",tblFleet[[#This Row],[Available_h]]&gt;0),tblFleet[[#This Row],[Operating_h]]/tblFleet[[#This Row],[Available_h]],"")</f>
        <v/>
      </c>
    </row>
    <row r="308">
      <c r="A308" s="54" t="n"/>
      <c r="B308" s="61" t="n"/>
      <c r="C308" s="62" t="n"/>
      <c r="D308" s="57" t="n"/>
      <c r="E308" s="57" t="n"/>
      <c r="F308" s="58" t="n"/>
      <c r="G308" s="66">
        <f>IF(tblFleet[[#This Row],[Units]]="","",tblFleet[[#This Row],[Units]]*24)</f>
        <v/>
      </c>
      <c r="H308" s="66">
        <f>IF(tblFleet[[#This Row],[Units]]="","",tblFleet[[#This Row],[Calendar_h]]-tblFleet[[#This Row],[Down_h]])</f>
        <v/>
      </c>
      <c r="I308" s="60">
        <f>IF(AND(tblFleet[[#This Row],[Units]]&lt;&gt;"",tblFleet[[#This Row],[Calendar_h]]&gt;0),tblFleet[[#This Row],[Available_h]]/tblFleet[[#This Row],[Calendar_h]],"")</f>
        <v/>
      </c>
      <c r="J308" s="60">
        <f>IF(AND(tblFleet[[#This Row],[Units]]&lt;&gt;"",tblFleet[[#This Row],[Available_h]]&gt;0),tblFleet[[#This Row],[Operating_h]]/tblFleet[[#This Row],[Available_h]],"")</f>
        <v/>
      </c>
    </row>
    <row r="309">
      <c r="A309" s="54" t="n"/>
      <c r="B309" s="61" t="n"/>
      <c r="C309" s="62" t="n"/>
      <c r="D309" s="57" t="n"/>
      <c r="E309" s="57" t="n"/>
      <c r="F309" s="58" t="n"/>
      <c r="G309" s="66">
        <f>IF(tblFleet[[#This Row],[Units]]="","",tblFleet[[#This Row],[Units]]*24)</f>
        <v/>
      </c>
      <c r="H309" s="66">
        <f>IF(tblFleet[[#This Row],[Units]]="","",tblFleet[[#This Row],[Calendar_h]]-tblFleet[[#This Row],[Down_h]])</f>
        <v/>
      </c>
      <c r="I309" s="60">
        <f>IF(AND(tblFleet[[#This Row],[Units]]&lt;&gt;"",tblFleet[[#This Row],[Calendar_h]]&gt;0),tblFleet[[#This Row],[Available_h]]/tblFleet[[#This Row],[Calendar_h]],"")</f>
        <v/>
      </c>
      <c r="J309" s="60">
        <f>IF(AND(tblFleet[[#This Row],[Units]]&lt;&gt;"",tblFleet[[#This Row],[Available_h]]&gt;0),tblFleet[[#This Row],[Operating_h]]/tblFleet[[#This Row],[Available_h]],"")</f>
        <v/>
      </c>
    </row>
    <row r="310">
      <c r="A310" s="54" t="n"/>
      <c r="B310" s="61" t="n"/>
      <c r="C310" s="62" t="n"/>
      <c r="D310" s="57" t="n"/>
      <c r="E310" s="57" t="n"/>
      <c r="F310" s="58" t="n"/>
      <c r="G310" s="66">
        <f>IF(tblFleet[[#This Row],[Units]]="","",tblFleet[[#This Row],[Units]]*24)</f>
        <v/>
      </c>
      <c r="H310" s="66">
        <f>IF(tblFleet[[#This Row],[Units]]="","",tblFleet[[#This Row],[Calendar_h]]-tblFleet[[#This Row],[Down_h]])</f>
        <v/>
      </c>
      <c r="I310" s="60">
        <f>IF(AND(tblFleet[[#This Row],[Units]]&lt;&gt;"",tblFleet[[#This Row],[Calendar_h]]&gt;0),tblFleet[[#This Row],[Available_h]]/tblFleet[[#This Row],[Calendar_h]],"")</f>
        <v/>
      </c>
      <c r="J310" s="60">
        <f>IF(AND(tblFleet[[#This Row],[Units]]&lt;&gt;"",tblFleet[[#This Row],[Available_h]]&gt;0),tblFleet[[#This Row],[Operating_h]]/tblFleet[[#This Row],[Available_h]],"")</f>
        <v/>
      </c>
    </row>
    <row r="311">
      <c r="A311" s="54" t="n"/>
      <c r="B311" s="61" t="n"/>
      <c r="C311" s="62" t="n"/>
      <c r="D311" s="57" t="n"/>
      <c r="E311" s="57" t="n"/>
      <c r="F311" s="58" t="n"/>
      <c r="G311" s="66">
        <f>IF(tblFleet[[#This Row],[Units]]="","",tblFleet[[#This Row],[Units]]*24)</f>
        <v/>
      </c>
      <c r="H311" s="66">
        <f>IF(tblFleet[[#This Row],[Units]]="","",tblFleet[[#This Row],[Calendar_h]]-tblFleet[[#This Row],[Down_h]])</f>
        <v/>
      </c>
      <c r="I311" s="60">
        <f>IF(AND(tblFleet[[#This Row],[Units]]&lt;&gt;"",tblFleet[[#This Row],[Calendar_h]]&gt;0),tblFleet[[#This Row],[Available_h]]/tblFleet[[#This Row],[Calendar_h]],"")</f>
        <v/>
      </c>
      <c r="J311" s="60">
        <f>IF(AND(tblFleet[[#This Row],[Units]]&lt;&gt;"",tblFleet[[#This Row],[Available_h]]&gt;0),tblFleet[[#This Row],[Operating_h]]/tblFleet[[#This Row],[Available_h]],"")</f>
        <v/>
      </c>
    </row>
    <row r="312">
      <c r="A312" s="54" t="n"/>
      <c r="B312" s="61" t="n"/>
      <c r="C312" s="62" t="n"/>
      <c r="D312" s="57" t="n"/>
      <c r="E312" s="57" t="n"/>
      <c r="F312" s="58" t="n"/>
      <c r="G312" s="66">
        <f>IF(tblFleet[[#This Row],[Units]]="","",tblFleet[[#This Row],[Units]]*24)</f>
        <v/>
      </c>
      <c r="H312" s="66">
        <f>IF(tblFleet[[#This Row],[Units]]="","",tblFleet[[#This Row],[Calendar_h]]-tblFleet[[#This Row],[Down_h]])</f>
        <v/>
      </c>
      <c r="I312" s="60">
        <f>IF(AND(tblFleet[[#This Row],[Units]]&lt;&gt;"",tblFleet[[#This Row],[Calendar_h]]&gt;0),tblFleet[[#This Row],[Available_h]]/tblFleet[[#This Row],[Calendar_h]],"")</f>
        <v/>
      </c>
      <c r="J312" s="60">
        <f>IF(AND(tblFleet[[#This Row],[Units]]&lt;&gt;"",tblFleet[[#This Row],[Available_h]]&gt;0),tblFleet[[#This Row],[Operating_h]]/tblFleet[[#This Row],[Available_h]],"")</f>
        <v/>
      </c>
    </row>
    <row r="313">
      <c r="A313" s="54" t="n"/>
      <c r="B313" s="61" t="n"/>
      <c r="C313" s="62" t="n"/>
      <c r="D313" s="57" t="n"/>
      <c r="E313" s="57" t="n"/>
      <c r="F313" s="58" t="n"/>
      <c r="G313" s="66">
        <f>IF(tblFleet[[#This Row],[Units]]="","",tblFleet[[#This Row],[Units]]*24)</f>
        <v/>
      </c>
      <c r="H313" s="66">
        <f>IF(tblFleet[[#This Row],[Units]]="","",tblFleet[[#This Row],[Calendar_h]]-tblFleet[[#This Row],[Down_h]])</f>
        <v/>
      </c>
      <c r="I313" s="60">
        <f>IF(AND(tblFleet[[#This Row],[Units]]&lt;&gt;"",tblFleet[[#This Row],[Calendar_h]]&gt;0),tblFleet[[#This Row],[Available_h]]/tblFleet[[#This Row],[Calendar_h]],"")</f>
        <v/>
      </c>
      <c r="J313" s="60">
        <f>IF(AND(tblFleet[[#This Row],[Units]]&lt;&gt;"",tblFleet[[#This Row],[Available_h]]&gt;0),tblFleet[[#This Row],[Operating_h]]/tblFleet[[#This Row],[Available_h]],"")</f>
        <v/>
      </c>
    </row>
    <row r="314">
      <c r="A314" s="54" t="n"/>
      <c r="B314" s="61" t="n"/>
      <c r="C314" s="62" t="n"/>
      <c r="D314" s="57" t="n"/>
      <c r="E314" s="57" t="n"/>
      <c r="F314" s="58" t="n"/>
      <c r="G314" s="66">
        <f>IF(tblFleet[[#This Row],[Units]]="","",tblFleet[[#This Row],[Units]]*24)</f>
        <v/>
      </c>
      <c r="H314" s="66">
        <f>IF(tblFleet[[#This Row],[Units]]="","",tblFleet[[#This Row],[Calendar_h]]-tblFleet[[#This Row],[Down_h]])</f>
        <v/>
      </c>
      <c r="I314" s="60">
        <f>IF(AND(tblFleet[[#This Row],[Units]]&lt;&gt;"",tblFleet[[#This Row],[Calendar_h]]&gt;0),tblFleet[[#This Row],[Available_h]]/tblFleet[[#This Row],[Calendar_h]],"")</f>
        <v/>
      </c>
      <c r="J314" s="60">
        <f>IF(AND(tblFleet[[#This Row],[Units]]&lt;&gt;"",tblFleet[[#This Row],[Available_h]]&gt;0),tblFleet[[#This Row],[Operating_h]]/tblFleet[[#This Row],[Available_h]],"")</f>
        <v/>
      </c>
    </row>
    <row r="315">
      <c r="A315" s="54" t="n"/>
      <c r="B315" s="61" t="n"/>
      <c r="C315" s="62" t="n"/>
      <c r="D315" s="57" t="n"/>
      <c r="E315" s="57" t="n"/>
      <c r="F315" s="58" t="n"/>
      <c r="G315" s="66">
        <f>IF(tblFleet[[#This Row],[Units]]="","",tblFleet[[#This Row],[Units]]*24)</f>
        <v/>
      </c>
      <c r="H315" s="66">
        <f>IF(tblFleet[[#This Row],[Units]]="","",tblFleet[[#This Row],[Calendar_h]]-tblFleet[[#This Row],[Down_h]])</f>
        <v/>
      </c>
      <c r="I315" s="60">
        <f>IF(AND(tblFleet[[#This Row],[Units]]&lt;&gt;"",tblFleet[[#This Row],[Calendar_h]]&gt;0),tblFleet[[#This Row],[Available_h]]/tblFleet[[#This Row],[Calendar_h]],"")</f>
        <v/>
      </c>
      <c r="J315" s="60">
        <f>IF(AND(tblFleet[[#This Row],[Units]]&lt;&gt;"",tblFleet[[#This Row],[Available_h]]&gt;0),tblFleet[[#This Row],[Operating_h]]/tblFleet[[#This Row],[Available_h]],"")</f>
        <v/>
      </c>
    </row>
    <row r="316">
      <c r="A316" s="54" t="n"/>
      <c r="B316" s="61" t="n"/>
      <c r="C316" s="62" t="n"/>
      <c r="D316" s="57" t="n"/>
      <c r="E316" s="57" t="n"/>
      <c r="F316" s="58" t="n"/>
      <c r="G316" s="66">
        <f>IF(tblFleet[[#This Row],[Units]]="","",tblFleet[[#This Row],[Units]]*24)</f>
        <v/>
      </c>
      <c r="H316" s="66">
        <f>IF(tblFleet[[#This Row],[Units]]="","",tblFleet[[#This Row],[Calendar_h]]-tblFleet[[#This Row],[Down_h]])</f>
        <v/>
      </c>
      <c r="I316" s="60">
        <f>IF(AND(tblFleet[[#This Row],[Units]]&lt;&gt;"",tblFleet[[#This Row],[Calendar_h]]&gt;0),tblFleet[[#This Row],[Available_h]]/tblFleet[[#This Row],[Calendar_h]],"")</f>
        <v/>
      </c>
      <c r="J316" s="60">
        <f>IF(AND(tblFleet[[#This Row],[Units]]&lt;&gt;"",tblFleet[[#This Row],[Available_h]]&gt;0),tblFleet[[#This Row],[Operating_h]]/tblFleet[[#This Row],[Available_h]],"")</f>
        <v/>
      </c>
    </row>
    <row r="317">
      <c r="A317" s="54" t="n"/>
      <c r="B317" s="61" t="n"/>
      <c r="C317" s="62" t="n"/>
      <c r="D317" s="57" t="n"/>
      <c r="E317" s="57" t="n"/>
      <c r="F317" s="58" t="n"/>
      <c r="G317" s="66">
        <f>IF(tblFleet[[#This Row],[Units]]="","",tblFleet[[#This Row],[Units]]*24)</f>
        <v/>
      </c>
      <c r="H317" s="66">
        <f>IF(tblFleet[[#This Row],[Units]]="","",tblFleet[[#This Row],[Calendar_h]]-tblFleet[[#This Row],[Down_h]])</f>
        <v/>
      </c>
      <c r="I317" s="60">
        <f>IF(AND(tblFleet[[#This Row],[Units]]&lt;&gt;"",tblFleet[[#This Row],[Calendar_h]]&gt;0),tblFleet[[#This Row],[Available_h]]/tblFleet[[#This Row],[Calendar_h]],"")</f>
        <v/>
      </c>
      <c r="J317" s="60">
        <f>IF(AND(tblFleet[[#This Row],[Units]]&lt;&gt;"",tblFleet[[#This Row],[Available_h]]&gt;0),tblFleet[[#This Row],[Operating_h]]/tblFleet[[#This Row],[Available_h]],"")</f>
        <v/>
      </c>
    </row>
    <row r="318">
      <c r="A318" s="54" t="n"/>
      <c r="B318" s="61" t="n"/>
      <c r="C318" s="62" t="n"/>
      <c r="D318" s="57" t="n"/>
      <c r="E318" s="57" t="n"/>
      <c r="F318" s="58" t="n"/>
      <c r="G318" s="66">
        <f>IF(tblFleet[[#This Row],[Units]]="","",tblFleet[[#This Row],[Units]]*24)</f>
        <v/>
      </c>
      <c r="H318" s="66">
        <f>IF(tblFleet[[#This Row],[Units]]="","",tblFleet[[#This Row],[Calendar_h]]-tblFleet[[#This Row],[Down_h]])</f>
        <v/>
      </c>
      <c r="I318" s="60">
        <f>IF(AND(tblFleet[[#This Row],[Units]]&lt;&gt;"",tblFleet[[#This Row],[Calendar_h]]&gt;0),tblFleet[[#This Row],[Available_h]]/tblFleet[[#This Row],[Calendar_h]],"")</f>
        <v/>
      </c>
      <c r="J318" s="60">
        <f>IF(AND(tblFleet[[#This Row],[Units]]&lt;&gt;"",tblFleet[[#This Row],[Available_h]]&gt;0),tblFleet[[#This Row],[Operating_h]]/tblFleet[[#This Row],[Available_h]],"")</f>
        <v/>
      </c>
    </row>
    <row r="319">
      <c r="A319" s="54" t="n"/>
      <c r="B319" s="61" t="n"/>
      <c r="C319" s="62" t="n"/>
      <c r="D319" s="57" t="n"/>
      <c r="E319" s="57" t="n"/>
      <c r="F319" s="58" t="n"/>
      <c r="G319" s="66">
        <f>IF(tblFleet[[#This Row],[Units]]="","",tblFleet[[#This Row],[Units]]*24)</f>
        <v/>
      </c>
      <c r="H319" s="66">
        <f>IF(tblFleet[[#This Row],[Units]]="","",tblFleet[[#This Row],[Calendar_h]]-tblFleet[[#This Row],[Down_h]])</f>
        <v/>
      </c>
      <c r="I319" s="60">
        <f>IF(AND(tblFleet[[#This Row],[Units]]&lt;&gt;"",tblFleet[[#This Row],[Calendar_h]]&gt;0),tblFleet[[#This Row],[Available_h]]/tblFleet[[#This Row],[Calendar_h]],"")</f>
        <v/>
      </c>
      <c r="J319" s="60">
        <f>IF(AND(tblFleet[[#This Row],[Units]]&lt;&gt;"",tblFleet[[#This Row],[Available_h]]&gt;0),tblFleet[[#This Row],[Operating_h]]/tblFleet[[#This Row],[Available_h]],"")</f>
        <v/>
      </c>
    </row>
    <row r="320">
      <c r="A320" s="54" t="n"/>
      <c r="B320" s="61" t="n"/>
      <c r="C320" s="62" t="n"/>
      <c r="D320" s="57" t="n"/>
      <c r="E320" s="57" t="n"/>
      <c r="F320" s="58" t="n"/>
      <c r="G320" s="66">
        <f>IF(tblFleet[[#This Row],[Units]]="","",tblFleet[[#This Row],[Units]]*24)</f>
        <v/>
      </c>
      <c r="H320" s="66">
        <f>IF(tblFleet[[#This Row],[Units]]="","",tblFleet[[#This Row],[Calendar_h]]-tblFleet[[#This Row],[Down_h]])</f>
        <v/>
      </c>
      <c r="I320" s="60">
        <f>IF(AND(tblFleet[[#This Row],[Units]]&lt;&gt;"",tblFleet[[#This Row],[Calendar_h]]&gt;0),tblFleet[[#This Row],[Available_h]]/tblFleet[[#This Row],[Calendar_h]],"")</f>
        <v/>
      </c>
      <c r="J320" s="60">
        <f>IF(AND(tblFleet[[#This Row],[Units]]&lt;&gt;"",tblFleet[[#This Row],[Available_h]]&gt;0),tblFleet[[#This Row],[Operating_h]]/tblFleet[[#This Row],[Available_h]],"")</f>
        <v/>
      </c>
    </row>
    <row r="321">
      <c r="A321" s="54" t="n"/>
      <c r="B321" s="61" t="n"/>
      <c r="C321" s="62" t="n"/>
      <c r="D321" s="57" t="n"/>
      <c r="E321" s="57" t="n"/>
      <c r="F321" s="58" t="n"/>
      <c r="G321" s="66">
        <f>IF(tblFleet[[#This Row],[Units]]="","",tblFleet[[#This Row],[Units]]*24)</f>
        <v/>
      </c>
      <c r="H321" s="66">
        <f>IF(tblFleet[[#This Row],[Units]]="","",tblFleet[[#This Row],[Calendar_h]]-tblFleet[[#This Row],[Down_h]])</f>
        <v/>
      </c>
      <c r="I321" s="60">
        <f>IF(AND(tblFleet[[#This Row],[Units]]&lt;&gt;"",tblFleet[[#This Row],[Calendar_h]]&gt;0),tblFleet[[#This Row],[Available_h]]/tblFleet[[#This Row],[Calendar_h]],"")</f>
        <v/>
      </c>
      <c r="J321" s="60">
        <f>IF(AND(tblFleet[[#This Row],[Units]]&lt;&gt;"",tblFleet[[#This Row],[Available_h]]&gt;0),tblFleet[[#This Row],[Operating_h]]/tblFleet[[#This Row],[Available_h]],"")</f>
        <v/>
      </c>
    </row>
    <row r="322">
      <c r="A322" s="54" t="n"/>
      <c r="B322" s="61" t="n"/>
      <c r="C322" s="62" t="n"/>
      <c r="D322" s="57" t="n"/>
      <c r="E322" s="57" t="n"/>
      <c r="F322" s="58" t="n"/>
      <c r="G322" s="66">
        <f>IF(tblFleet[[#This Row],[Units]]="","",tblFleet[[#This Row],[Units]]*24)</f>
        <v/>
      </c>
      <c r="H322" s="66">
        <f>IF(tblFleet[[#This Row],[Units]]="","",tblFleet[[#This Row],[Calendar_h]]-tblFleet[[#This Row],[Down_h]])</f>
        <v/>
      </c>
      <c r="I322" s="60">
        <f>IF(AND(tblFleet[[#This Row],[Units]]&lt;&gt;"",tblFleet[[#This Row],[Calendar_h]]&gt;0),tblFleet[[#This Row],[Available_h]]/tblFleet[[#This Row],[Calendar_h]],"")</f>
        <v/>
      </c>
      <c r="J322" s="60">
        <f>IF(AND(tblFleet[[#This Row],[Units]]&lt;&gt;"",tblFleet[[#This Row],[Available_h]]&gt;0),tblFleet[[#This Row],[Operating_h]]/tblFleet[[#This Row],[Available_h]],"")</f>
        <v/>
      </c>
    </row>
    <row r="323">
      <c r="A323" s="54" t="n"/>
      <c r="B323" s="61" t="n"/>
      <c r="C323" s="62" t="n"/>
      <c r="D323" s="57" t="n"/>
      <c r="E323" s="57" t="n"/>
      <c r="F323" s="58" t="n"/>
      <c r="G323" s="66">
        <f>IF(tblFleet[[#This Row],[Units]]="","",tblFleet[[#This Row],[Units]]*24)</f>
        <v/>
      </c>
      <c r="H323" s="66">
        <f>IF(tblFleet[[#This Row],[Units]]="","",tblFleet[[#This Row],[Calendar_h]]-tblFleet[[#This Row],[Down_h]])</f>
        <v/>
      </c>
      <c r="I323" s="60">
        <f>IF(AND(tblFleet[[#This Row],[Units]]&lt;&gt;"",tblFleet[[#This Row],[Calendar_h]]&gt;0),tblFleet[[#This Row],[Available_h]]/tblFleet[[#This Row],[Calendar_h]],"")</f>
        <v/>
      </c>
      <c r="J323" s="60">
        <f>IF(AND(tblFleet[[#This Row],[Units]]&lt;&gt;"",tblFleet[[#This Row],[Available_h]]&gt;0),tblFleet[[#This Row],[Operating_h]]/tblFleet[[#This Row],[Available_h]],"")</f>
        <v/>
      </c>
    </row>
    <row r="324">
      <c r="A324" s="54" t="n"/>
      <c r="B324" s="61" t="n"/>
      <c r="C324" s="62" t="n"/>
      <c r="D324" s="57" t="n"/>
      <c r="E324" s="57" t="n"/>
      <c r="F324" s="58" t="n"/>
      <c r="G324" s="66">
        <f>IF(tblFleet[[#This Row],[Units]]="","",tblFleet[[#This Row],[Units]]*24)</f>
        <v/>
      </c>
      <c r="H324" s="66">
        <f>IF(tblFleet[[#This Row],[Units]]="","",tblFleet[[#This Row],[Calendar_h]]-tblFleet[[#This Row],[Down_h]])</f>
        <v/>
      </c>
      <c r="I324" s="60">
        <f>IF(AND(tblFleet[[#This Row],[Units]]&lt;&gt;"",tblFleet[[#This Row],[Calendar_h]]&gt;0),tblFleet[[#This Row],[Available_h]]/tblFleet[[#This Row],[Calendar_h]],"")</f>
        <v/>
      </c>
      <c r="J324" s="60">
        <f>IF(AND(tblFleet[[#This Row],[Units]]&lt;&gt;"",tblFleet[[#This Row],[Available_h]]&gt;0),tblFleet[[#This Row],[Operating_h]]/tblFleet[[#This Row],[Available_h]],"")</f>
        <v/>
      </c>
    </row>
    <row r="325">
      <c r="A325" s="54" t="n"/>
      <c r="B325" s="61" t="n"/>
      <c r="C325" s="62" t="n"/>
      <c r="D325" s="57" t="n"/>
      <c r="E325" s="57" t="n"/>
      <c r="F325" s="58" t="n"/>
      <c r="G325" s="66">
        <f>IF(tblFleet[[#This Row],[Units]]="","",tblFleet[[#This Row],[Units]]*24)</f>
        <v/>
      </c>
      <c r="H325" s="66">
        <f>IF(tblFleet[[#This Row],[Units]]="","",tblFleet[[#This Row],[Calendar_h]]-tblFleet[[#This Row],[Down_h]])</f>
        <v/>
      </c>
      <c r="I325" s="60">
        <f>IF(AND(tblFleet[[#This Row],[Units]]&lt;&gt;"",tblFleet[[#This Row],[Calendar_h]]&gt;0),tblFleet[[#This Row],[Available_h]]/tblFleet[[#This Row],[Calendar_h]],"")</f>
        <v/>
      </c>
      <c r="J325" s="60">
        <f>IF(AND(tblFleet[[#This Row],[Units]]&lt;&gt;"",tblFleet[[#This Row],[Available_h]]&gt;0),tblFleet[[#This Row],[Operating_h]]/tblFleet[[#This Row],[Available_h]],"")</f>
        <v/>
      </c>
    </row>
    <row r="326">
      <c r="A326" s="54" t="n"/>
      <c r="B326" s="61" t="n"/>
      <c r="C326" s="62" t="n"/>
      <c r="D326" s="57" t="n"/>
      <c r="E326" s="57" t="n"/>
      <c r="F326" s="58" t="n"/>
      <c r="G326" s="66">
        <f>IF(tblFleet[[#This Row],[Units]]="","",tblFleet[[#This Row],[Units]]*24)</f>
        <v/>
      </c>
      <c r="H326" s="66">
        <f>IF(tblFleet[[#This Row],[Units]]="","",tblFleet[[#This Row],[Calendar_h]]-tblFleet[[#This Row],[Down_h]])</f>
        <v/>
      </c>
      <c r="I326" s="60">
        <f>IF(AND(tblFleet[[#This Row],[Units]]&lt;&gt;"",tblFleet[[#This Row],[Calendar_h]]&gt;0),tblFleet[[#This Row],[Available_h]]/tblFleet[[#This Row],[Calendar_h]],"")</f>
        <v/>
      </c>
      <c r="J326" s="60">
        <f>IF(AND(tblFleet[[#This Row],[Units]]&lt;&gt;"",tblFleet[[#This Row],[Available_h]]&gt;0),tblFleet[[#This Row],[Operating_h]]/tblFleet[[#This Row],[Available_h]],"")</f>
        <v/>
      </c>
    </row>
    <row r="327">
      <c r="A327" s="54" t="n"/>
      <c r="B327" s="61" t="n"/>
      <c r="C327" s="62" t="n"/>
      <c r="D327" s="57" t="n"/>
      <c r="E327" s="57" t="n"/>
      <c r="F327" s="58" t="n"/>
      <c r="G327" s="66">
        <f>IF(tblFleet[[#This Row],[Units]]="","",tblFleet[[#This Row],[Units]]*24)</f>
        <v/>
      </c>
      <c r="H327" s="66">
        <f>IF(tblFleet[[#This Row],[Units]]="","",tblFleet[[#This Row],[Calendar_h]]-tblFleet[[#This Row],[Down_h]])</f>
        <v/>
      </c>
      <c r="I327" s="60">
        <f>IF(AND(tblFleet[[#This Row],[Units]]&lt;&gt;"",tblFleet[[#This Row],[Calendar_h]]&gt;0),tblFleet[[#This Row],[Available_h]]/tblFleet[[#This Row],[Calendar_h]],"")</f>
        <v/>
      </c>
      <c r="J327" s="60">
        <f>IF(AND(tblFleet[[#This Row],[Units]]&lt;&gt;"",tblFleet[[#This Row],[Available_h]]&gt;0),tblFleet[[#This Row],[Operating_h]]/tblFleet[[#This Row],[Available_h]],"")</f>
        <v/>
      </c>
    </row>
    <row r="328">
      <c r="A328" s="54" t="n"/>
      <c r="B328" s="61" t="n"/>
      <c r="C328" s="62" t="n"/>
      <c r="D328" s="57" t="n"/>
      <c r="E328" s="57" t="n"/>
      <c r="F328" s="58" t="n"/>
      <c r="G328" s="66">
        <f>IF(tblFleet[[#This Row],[Units]]="","",tblFleet[[#This Row],[Units]]*24)</f>
        <v/>
      </c>
      <c r="H328" s="66">
        <f>IF(tblFleet[[#This Row],[Units]]="","",tblFleet[[#This Row],[Calendar_h]]-tblFleet[[#This Row],[Down_h]])</f>
        <v/>
      </c>
      <c r="I328" s="60">
        <f>IF(AND(tblFleet[[#This Row],[Units]]&lt;&gt;"",tblFleet[[#This Row],[Calendar_h]]&gt;0),tblFleet[[#This Row],[Available_h]]/tblFleet[[#This Row],[Calendar_h]],"")</f>
        <v/>
      </c>
      <c r="J328" s="60">
        <f>IF(AND(tblFleet[[#This Row],[Units]]&lt;&gt;"",tblFleet[[#This Row],[Available_h]]&gt;0),tblFleet[[#This Row],[Operating_h]]/tblFleet[[#This Row],[Available_h]],"")</f>
        <v/>
      </c>
    </row>
    <row r="329">
      <c r="A329" s="54" t="n"/>
      <c r="B329" s="61" t="n"/>
      <c r="C329" s="62" t="n"/>
      <c r="D329" s="57" t="n"/>
      <c r="E329" s="57" t="n"/>
      <c r="F329" s="58" t="n"/>
      <c r="G329" s="66">
        <f>IF(tblFleet[[#This Row],[Units]]="","",tblFleet[[#This Row],[Units]]*24)</f>
        <v/>
      </c>
      <c r="H329" s="66">
        <f>IF(tblFleet[[#This Row],[Units]]="","",tblFleet[[#This Row],[Calendar_h]]-tblFleet[[#This Row],[Down_h]])</f>
        <v/>
      </c>
      <c r="I329" s="60">
        <f>IF(AND(tblFleet[[#This Row],[Units]]&lt;&gt;"",tblFleet[[#This Row],[Calendar_h]]&gt;0),tblFleet[[#This Row],[Available_h]]/tblFleet[[#This Row],[Calendar_h]],"")</f>
        <v/>
      </c>
      <c r="J329" s="60">
        <f>IF(AND(tblFleet[[#This Row],[Units]]&lt;&gt;"",tblFleet[[#This Row],[Available_h]]&gt;0),tblFleet[[#This Row],[Operating_h]]/tblFleet[[#This Row],[Available_h]],"")</f>
        <v/>
      </c>
    </row>
    <row r="330">
      <c r="A330" s="54" t="n"/>
      <c r="B330" s="61" t="n"/>
      <c r="C330" s="62" t="n"/>
      <c r="D330" s="57" t="n"/>
      <c r="E330" s="57" t="n"/>
      <c r="F330" s="58" t="n"/>
      <c r="G330" s="66">
        <f>IF(tblFleet[[#This Row],[Units]]="","",tblFleet[[#This Row],[Units]]*24)</f>
        <v/>
      </c>
      <c r="H330" s="66">
        <f>IF(tblFleet[[#This Row],[Units]]="","",tblFleet[[#This Row],[Calendar_h]]-tblFleet[[#This Row],[Down_h]])</f>
        <v/>
      </c>
      <c r="I330" s="60">
        <f>IF(AND(tblFleet[[#This Row],[Units]]&lt;&gt;"",tblFleet[[#This Row],[Calendar_h]]&gt;0),tblFleet[[#This Row],[Available_h]]/tblFleet[[#This Row],[Calendar_h]],"")</f>
        <v/>
      </c>
      <c r="J330" s="60">
        <f>IF(AND(tblFleet[[#This Row],[Units]]&lt;&gt;"",tblFleet[[#This Row],[Available_h]]&gt;0),tblFleet[[#This Row],[Operating_h]]/tblFleet[[#This Row],[Available_h]],"")</f>
        <v/>
      </c>
    </row>
    <row r="331">
      <c r="A331" s="54" t="n"/>
      <c r="B331" s="61" t="n"/>
      <c r="C331" s="62" t="n"/>
      <c r="D331" s="57" t="n"/>
      <c r="E331" s="57" t="n"/>
      <c r="F331" s="58" t="n"/>
      <c r="G331" s="66">
        <f>IF(tblFleet[[#This Row],[Units]]="","",tblFleet[[#This Row],[Units]]*24)</f>
        <v/>
      </c>
      <c r="H331" s="66">
        <f>IF(tblFleet[[#This Row],[Units]]="","",tblFleet[[#This Row],[Calendar_h]]-tblFleet[[#This Row],[Down_h]])</f>
        <v/>
      </c>
      <c r="I331" s="60">
        <f>IF(AND(tblFleet[[#This Row],[Units]]&lt;&gt;"",tblFleet[[#This Row],[Calendar_h]]&gt;0),tblFleet[[#This Row],[Available_h]]/tblFleet[[#This Row],[Calendar_h]],"")</f>
        <v/>
      </c>
      <c r="J331" s="60">
        <f>IF(AND(tblFleet[[#This Row],[Units]]&lt;&gt;"",tblFleet[[#This Row],[Available_h]]&gt;0),tblFleet[[#This Row],[Operating_h]]/tblFleet[[#This Row],[Available_h]],"")</f>
        <v/>
      </c>
    </row>
    <row r="332">
      <c r="A332" s="54" t="n"/>
      <c r="B332" s="61" t="n"/>
      <c r="C332" s="62" t="n"/>
      <c r="D332" s="57" t="n"/>
      <c r="E332" s="57" t="n"/>
      <c r="F332" s="58" t="n"/>
      <c r="G332" s="66">
        <f>IF(tblFleet[[#This Row],[Units]]="","",tblFleet[[#This Row],[Units]]*24)</f>
        <v/>
      </c>
      <c r="H332" s="66">
        <f>IF(tblFleet[[#This Row],[Units]]="","",tblFleet[[#This Row],[Calendar_h]]-tblFleet[[#This Row],[Down_h]])</f>
        <v/>
      </c>
      <c r="I332" s="60">
        <f>IF(AND(tblFleet[[#This Row],[Units]]&lt;&gt;"",tblFleet[[#This Row],[Calendar_h]]&gt;0),tblFleet[[#This Row],[Available_h]]/tblFleet[[#This Row],[Calendar_h]],"")</f>
        <v/>
      </c>
      <c r="J332" s="60">
        <f>IF(AND(tblFleet[[#This Row],[Units]]&lt;&gt;"",tblFleet[[#This Row],[Available_h]]&gt;0),tblFleet[[#This Row],[Operating_h]]/tblFleet[[#This Row],[Available_h]],"")</f>
        <v/>
      </c>
    </row>
    <row r="333">
      <c r="A333" s="54" t="n"/>
      <c r="B333" s="61" t="n"/>
      <c r="C333" s="62" t="n"/>
      <c r="D333" s="57" t="n"/>
      <c r="E333" s="57" t="n"/>
      <c r="F333" s="58" t="n"/>
      <c r="G333" s="66">
        <f>IF(tblFleet[[#This Row],[Units]]="","",tblFleet[[#This Row],[Units]]*24)</f>
        <v/>
      </c>
      <c r="H333" s="66">
        <f>IF(tblFleet[[#This Row],[Units]]="","",tblFleet[[#This Row],[Calendar_h]]-tblFleet[[#This Row],[Down_h]])</f>
        <v/>
      </c>
      <c r="I333" s="60">
        <f>IF(AND(tblFleet[[#This Row],[Units]]&lt;&gt;"",tblFleet[[#This Row],[Calendar_h]]&gt;0),tblFleet[[#This Row],[Available_h]]/tblFleet[[#This Row],[Calendar_h]],"")</f>
        <v/>
      </c>
      <c r="J333" s="60">
        <f>IF(AND(tblFleet[[#This Row],[Units]]&lt;&gt;"",tblFleet[[#This Row],[Available_h]]&gt;0),tblFleet[[#This Row],[Operating_h]]/tblFleet[[#This Row],[Available_h]],"")</f>
        <v/>
      </c>
    </row>
    <row r="334">
      <c r="A334" s="54" t="n"/>
      <c r="B334" s="61" t="n"/>
      <c r="C334" s="62" t="n"/>
      <c r="D334" s="57" t="n"/>
      <c r="E334" s="57" t="n"/>
      <c r="F334" s="58" t="n"/>
      <c r="G334" s="66">
        <f>IF(tblFleet[[#This Row],[Units]]="","",tblFleet[[#This Row],[Units]]*24)</f>
        <v/>
      </c>
      <c r="H334" s="66">
        <f>IF(tblFleet[[#This Row],[Units]]="","",tblFleet[[#This Row],[Calendar_h]]-tblFleet[[#This Row],[Down_h]])</f>
        <v/>
      </c>
      <c r="I334" s="60">
        <f>IF(AND(tblFleet[[#This Row],[Units]]&lt;&gt;"",tblFleet[[#This Row],[Calendar_h]]&gt;0),tblFleet[[#This Row],[Available_h]]/tblFleet[[#This Row],[Calendar_h]],"")</f>
        <v/>
      </c>
      <c r="J334" s="60">
        <f>IF(AND(tblFleet[[#This Row],[Units]]&lt;&gt;"",tblFleet[[#This Row],[Available_h]]&gt;0),tblFleet[[#This Row],[Operating_h]]/tblFleet[[#This Row],[Available_h]],"")</f>
        <v/>
      </c>
    </row>
    <row r="335">
      <c r="A335" s="54" t="n"/>
      <c r="B335" s="61" t="n"/>
      <c r="C335" s="62" t="n"/>
      <c r="D335" s="57" t="n"/>
      <c r="E335" s="57" t="n"/>
      <c r="F335" s="58" t="n"/>
      <c r="G335" s="66">
        <f>IF(tblFleet[[#This Row],[Units]]="","",tblFleet[[#This Row],[Units]]*24)</f>
        <v/>
      </c>
      <c r="H335" s="66">
        <f>IF(tblFleet[[#This Row],[Units]]="","",tblFleet[[#This Row],[Calendar_h]]-tblFleet[[#This Row],[Down_h]])</f>
        <v/>
      </c>
      <c r="I335" s="60">
        <f>IF(AND(tblFleet[[#This Row],[Units]]&lt;&gt;"",tblFleet[[#This Row],[Calendar_h]]&gt;0),tblFleet[[#This Row],[Available_h]]/tblFleet[[#This Row],[Calendar_h]],"")</f>
        <v/>
      </c>
      <c r="J335" s="60">
        <f>IF(AND(tblFleet[[#This Row],[Units]]&lt;&gt;"",tblFleet[[#This Row],[Available_h]]&gt;0),tblFleet[[#This Row],[Operating_h]]/tblFleet[[#This Row],[Available_h]],"")</f>
        <v/>
      </c>
    </row>
    <row r="336">
      <c r="A336" s="54" t="n"/>
      <c r="B336" s="61" t="n"/>
      <c r="C336" s="62" t="n"/>
      <c r="D336" s="57" t="n"/>
      <c r="E336" s="57" t="n"/>
      <c r="F336" s="58" t="n"/>
      <c r="G336" s="66">
        <f>IF(tblFleet[[#This Row],[Units]]="","",tblFleet[[#This Row],[Units]]*24)</f>
        <v/>
      </c>
      <c r="H336" s="66">
        <f>IF(tblFleet[[#This Row],[Units]]="","",tblFleet[[#This Row],[Calendar_h]]-tblFleet[[#This Row],[Down_h]])</f>
        <v/>
      </c>
      <c r="I336" s="60">
        <f>IF(AND(tblFleet[[#This Row],[Units]]&lt;&gt;"",tblFleet[[#This Row],[Calendar_h]]&gt;0),tblFleet[[#This Row],[Available_h]]/tblFleet[[#This Row],[Calendar_h]],"")</f>
        <v/>
      </c>
      <c r="J336" s="60">
        <f>IF(AND(tblFleet[[#This Row],[Units]]&lt;&gt;"",tblFleet[[#This Row],[Available_h]]&gt;0),tblFleet[[#This Row],[Operating_h]]/tblFleet[[#This Row],[Available_h]],"")</f>
        <v/>
      </c>
    </row>
    <row r="337">
      <c r="A337" s="54" t="n"/>
      <c r="B337" s="61" t="n"/>
      <c r="C337" s="62" t="n"/>
      <c r="D337" s="57" t="n"/>
      <c r="E337" s="57" t="n"/>
      <c r="F337" s="58" t="n"/>
      <c r="G337" s="66">
        <f>IF(tblFleet[[#This Row],[Units]]="","",tblFleet[[#This Row],[Units]]*24)</f>
        <v/>
      </c>
      <c r="H337" s="66">
        <f>IF(tblFleet[[#This Row],[Units]]="","",tblFleet[[#This Row],[Calendar_h]]-tblFleet[[#This Row],[Down_h]])</f>
        <v/>
      </c>
      <c r="I337" s="60">
        <f>IF(AND(tblFleet[[#This Row],[Units]]&lt;&gt;"",tblFleet[[#This Row],[Calendar_h]]&gt;0),tblFleet[[#This Row],[Available_h]]/tblFleet[[#This Row],[Calendar_h]],"")</f>
        <v/>
      </c>
      <c r="J337" s="60">
        <f>IF(AND(tblFleet[[#This Row],[Units]]&lt;&gt;"",tblFleet[[#This Row],[Available_h]]&gt;0),tblFleet[[#This Row],[Operating_h]]/tblFleet[[#This Row],[Available_h]],"")</f>
        <v/>
      </c>
    </row>
    <row r="338">
      <c r="A338" s="54" t="n"/>
      <c r="B338" s="61" t="n"/>
      <c r="C338" s="62" t="n"/>
      <c r="D338" s="57" t="n"/>
      <c r="E338" s="57" t="n"/>
      <c r="F338" s="58" t="n"/>
      <c r="G338" s="66">
        <f>IF(tblFleet[[#This Row],[Units]]="","",tblFleet[[#This Row],[Units]]*24)</f>
        <v/>
      </c>
      <c r="H338" s="66">
        <f>IF(tblFleet[[#This Row],[Units]]="","",tblFleet[[#This Row],[Calendar_h]]-tblFleet[[#This Row],[Down_h]])</f>
        <v/>
      </c>
      <c r="I338" s="60">
        <f>IF(AND(tblFleet[[#This Row],[Units]]&lt;&gt;"",tblFleet[[#This Row],[Calendar_h]]&gt;0),tblFleet[[#This Row],[Available_h]]/tblFleet[[#This Row],[Calendar_h]],"")</f>
        <v/>
      </c>
      <c r="J338" s="60">
        <f>IF(AND(tblFleet[[#This Row],[Units]]&lt;&gt;"",tblFleet[[#This Row],[Available_h]]&gt;0),tblFleet[[#This Row],[Operating_h]]/tblFleet[[#This Row],[Available_h]],"")</f>
        <v/>
      </c>
    </row>
    <row r="339">
      <c r="A339" s="54" t="n"/>
      <c r="B339" s="61" t="n"/>
      <c r="C339" s="62" t="n"/>
      <c r="D339" s="57" t="n"/>
      <c r="E339" s="57" t="n"/>
      <c r="F339" s="58" t="n"/>
      <c r="G339" s="66">
        <f>IF(tblFleet[[#This Row],[Units]]="","",tblFleet[[#This Row],[Units]]*24)</f>
        <v/>
      </c>
      <c r="H339" s="66">
        <f>IF(tblFleet[[#This Row],[Units]]="","",tblFleet[[#This Row],[Calendar_h]]-tblFleet[[#This Row],[Down_h]])</f>
        <v/>
      </c>
      <c r="I339" s="60">
        <f>IF(AND(tblFleet[[#This Row],[Units]]&lt;&gt;"",tblFleet[[#This Row],[Calendar_h]]&gt;0),tblFleet[[#This Row],[Available_h]]/tblFleet[[#This Row],[Calendar_h]],"")</f>
        <v/>
      </c>
      <c r="J339" s="60">
        <f>IF(AND(tblFleet[[#This Row],[Units]]&lt;&gt;"",tblFleet[[#This Row],[Available_h]]&gt;0),tblFleet[[#This Row],[Operating_h]]/tblFleet[[#This Row],[Available_h]],"")</f>
        <v/>
      </c>
    </row>
    <row r="340">
      <c r="A340" s="54" t="n"/>
      <c r="B340" s="61" t="n"/>
      <c r="C340" s="62" t="n"/>
      <c r="D340" s="57" t="n"/>
      <c r="E340" s="57" t="n"/>
      <c r="F340" s="58" t="n"/>
      <c r="G340" s="66">
        <f>IF(tblFleet[[#This Row],[Units]]="","",tblFleet[[#This Row],[Units]]*24)</f>
        <v/>
      </c>
      <c r="H340" s="66">
        <f>IF(tblFleet[[#This Row],[Units]]="","",tblFleet[[#This Row],[Calendar_h]]-tblFleet[[#This Row],[Down_h]])</f>
        <v/>
      </c>
      <c r="I340" s="60">
        <f>IF(AND(tblFleet[[#This Row],[Units]]&lt;&gt;"",tblFleet[[#This Row],[Calendar_h]]&gt;0),tblFleet[[#This Row],[Available_h]]/tblFleet[[#This Row],[Calendar_h]],"")</f>
        <v/>
      </c>
      <c r="J340" s="60">
        <f>IF(AND(tblFleet[[#This Row],[Units]]&lt;&gt;"",tblFleet[[#This Row],[Available_h]]&gt;0),tblFleet[[#This Row],[Operating_h]]/tblFleet[[#This Row],[Available_h]],"")</f>
        <v/>
      </c>
    </row>
    <row r="341">
      <c r="A341" s="54" t="n"/>
      <c r="B341" s="61" t="n"/>
      <c r="C341" s="62" t="n"/>
      <c r="D341" s="57" t="n"/>
      <c r="E341" s="57" t="n"/>
      <c r="F341" s="58" t="n"/>
      <c r="G341" s="66">
        <f>IF(tblFleet[[#This Row],[Units]]="","",tblFleet[[#This Row],[Units]]*24)</f>
        <v/>
      </c>
      <c r="H341" s="66">
        <f>IF(tblFleet[[#This Row],[Units]]="","",tblFleet[[#This Row],[Calendar_h]]-tblFleet[[#This Row],[Down_h]])</f>
        <v/>
      </c>
      <c r="I341" s="60">
        <f>IF(AND(tblFleet[[#This Row],[Units]]&lt;&gt;"",tblFleet[[#This Row],[Calendar_h]]&gt;0),tblFleet[[#This Row],[Available_h]]/tblFleet[[#This Row],[Calendar_h]],"")</f>
        <v/>
      </c>
      <c r="J341" s="60">
        <f>IF(AND(tblFleet[[#This Row],[Units]]&lt;&gt;"",tblFleet[[#This Row],[Available_h]]&gt;0),tblFleet[[#This Row],[Operating_h]]/tblFleet[[#This Row],[Available_h]],"")</f>
        <v/>
      </c>
    </row>
    <row r="342">
      <c r="A342" s="54" t="n"/>
      <c r="B342" s="61" t="n"/>
      <c r="C342" s="62" t="n"/>
      <c r="D342" s="57" t="n"/>
      <c r="E342" s="57" t="n"/>
      <c r="F342" s="58" t="n"/>
      <c r="G342" s="66">
        <f>IF(tblFleet[[#This Row],[Units]]="","",tblFleet[[#This Row],[Units]]*24)</f>
        <v/>
      </c>
      <c r="H342" s="66">
        <f>IF(tblFleet[[#This Row],[Units]]="","",tblFleet[[#This Row],[Calendar_h]]-tblFleet[[#This Row],[Down_h]])</f>
        <v/>
      </c>
      <c r="I342" s="60">
        <f>IF(AND(tblFleet[[#This Row],[Units]]&lt;&gt;"",tblFleet[[#This Row],[Calendar_h]]&gt;0),tblFleet[[#This Row],[Available_h]]/tblFleet[[#This Row],[Calendar_h]],"")</f>
        <v/>
      </c>
      <c r="J342" s="60">
        <f>IF(AND(tblFleet[[#This Row],[Units]]&lt;&gt;"",tblFleet[[#This Row],[Available_h]]&gt;0),tblFleet[[#This Row],[Operating_h]]/tblFleet[[#This Row],[Available_h]],"")</f>
        <v/>
      </c>
    </row>
    <row r="343">
      <c r="A343" s="54" t="n"/>
      <c r="B343" s="61" t="n"/>
      <c r="C343" s="62" t="n"/>
      <c r="D343" s="57" t="n"/>
      <c r="E343" s="57" t="n"/>
      <c r="F343" s="58" t="n"/>
      <c r="G343" s="66">
        <f>IF(tblFleet[[#This Row],[Units]]="","",tblFleet[[#This Row],[Units]]*24)</f>
        <v/>
      </c>
      <c r="H343" s="66">
        <f>IF(tblFleet[[#This Row],[Units]]="","",tblFleet[[#This Row],[Calendar_h]]-tblFleet[[#This Row],[Down_h]])</f>
        <v/>
      </c>
      <c r="I343" s="60">
        <f>IF(AND(tblFleet[[#This Row],[Units]]&lt;&gt;"",tblFleet[[#This Row],[Calendar_h]]&gt;0),tblFleet[[#This Row],[Available_h]]/tblFleet[[#This Row],[Calendar_h]],"")</f>
        <v/>
      </c>
      <c r="J343" s="60">
        <f>IF(AND(tblFleet[[#This Row],[Units]]&lt;&gt;"",tblFleet[[#This Row],[Available_h]]&gt;0),tblFleet[[#This Row],[Operating_h]]/tblFleet[[#This Row],[Available_h]],"")</f>
        <v/>
      </c>
    </row>
    <row r="344">
      <c r="A344" s="54" t="n"/>
      <c r="B344" s="61" t="n"/>
      <c r="C344" s="62" t="n"/>
      <c r="D344" s="57" t="n"/>
      <c r="E344" s="57" t="n"/>
      <c r="F344" s="58" t="n"/>
      <c r="G344" s="66">
        <f>IF(tblFleet[[#This Row],[Units]]="","",tblFleet[[#This Row],[Units]]*24)</f>
        <v/>
      </c>
      <c r="H344" s="66">
        <f>IF(tblFleet[[#This Row],[Units]]="","",tblFleet[[#This Row],[Calendar_h]]-tblFleet[[#This Row],[Down_h]])</f>
        <v/>
      </c>
      <c r="I344" s="60">
        <f>IF(AND(tblFleet[[#This Row],[Units]]&lt;&gt;"",tblFleet[[#This Row],[Calendar_h]]&gt;0),tblFleet[[#This Row],[Available_h]]/tblFleet[[#This Row],[Calendar_h]],"")</f>
        <v/>
      </c>
      <c r="J344" s="60">
        <f>IF(AND(tblFleet[[#This Row],[Units]]&lt;&gt;"",tblFleet[[#This Row],[Available_h]]&gt;0),tblFleet[[#This Row],[Operating_h]]/tblFleet[[#This Row],[Available_h]],"")</f>
        <v/>
      </c>
    </row>
    <row r="345">
      <c r="A345" s="54" t="n"/>
      <c r="B345" s="61" t="n"/>
      <c r="C345" s="62" t="n"/>
      <c r="D345" s="57" t="n"/>
      <c r="E345" s="57" t="n"/>
      <c r="F345" s="58" t="n"/>
      <c r="G345" s="66">
        <f>IF(tblFleet[[#This Row],[Units]]="","",tblFleet[[#This Row],[Units]]*24)</f>
        <v/>
      </c>
      <c r="H345" s="66">
        <f>IF(tblFleet[[#This Row],[Units]]="","",tblFleet[[#This Row],[Calendar_h]]-tblFleet[[#This Row],[Down_h]])</f>
        <v/>
      </c>
      <c r="I345" s="60">
        <f>IF(AND(tblFleet[[#This Row],[Units]]&lt;&gt;"",tblFleet[[#This Row],[Calendar_h]]&gt;0),tblFleet[[#This Row],[Available_h]]/tblFleet[[#This Row],[Calendar_h]],"")</f>
        <v/>
      </c>
      <c r="J345" s="60">
        <f>IF(AND(tblFleet[[#This Row],[Units]]&lt;&gt;"",tblFleet[[#This Row],[Available_h]]&gt;0),tblFleet[[#This Row],[Operating_h]]/tblFleet[[#This Row],[Available_h]],"")</f>
        <v/>
      </c>
    </row>
    <row r="346">
      <c r="A346" s="54" t="n"/>
      <c r="B346" s="61" t="n"/>
      <c r="C346" s="62" t="n"/>
      <c r="D346" s="57" t="n"/>
      <c r="E346" s="57" t="n"/>
      <c r="F346" s="58" t="n"/>
      <c r="G346" s="66">
        <f>IF(tblFleet[[#This Row],[Units]]="","",tblFleet[[#This Row],[Units]]*24)</f>
        <v/>
      </c>
      <c r="H346" s="66">
        <f>IF(tblFleet[[#This Row],[Units]]="","",tblFleet[[#This Row],[Calendar_h]]-tblFleet[[#This Row],[Down_h]])</f>
        <v/>
      </c>
      <c r="I346" s="60">
        <f>IF(AND(tblFleet[[#This Row],[Units]]&lt;&gt;"",tblFleet[[#This Row],[Calendar_h]]&gt;0),tblFleet[[#This Row],[Available_h]]/tblFleet[[#This Row],[Calendar_h]],"")</f>
        <v/>
      </c>
      <c r="J346" s="60">
        <f>IF(AND(tblFleet[[#This Row],[Units]]&lt;&gt;"",tblFleet[[#This Row],[Available_h]]&gt;0),tblFleet[[#This Row],[Operating_h]]/tblFleet[[#This Row],[Available_h]],"")</f>
        <v/>
      </c>
    </row>
    <row r="347">
      <c r="A347" s="54" t="n"/>
      <c r="B347" s="61" t="n"/>
      <c r="C347" s="62" t="n"/>
      <c r="D347" s="57" t="n"/>
      <c r="E347" s="57" t="n"/>
      <c r="F347" s="58" t="n"/>
      <c r="G347" s="66">
        <f>IF(tblFleet[[#This Row],[Units]]="","",tblFleet[[#This Row],[Units]]*24)</f>
        <v/>
      </c>
      <c r="H347" s="66">
        <f>IF(tblFleet[[#This Row],[Units]]="","",tblFleet[[#This Row],[Calendar_h]]-tblFleet[[#This Row],[Down_h]])</f>
        <v/>
      </c>
      <c r="I347" s="60">
        <f>IF(AND(tblFleet[[#This Row],[Units]]&lt;&gt;"",tblFleet[[#This Row],[Calendar_h]]&gt;0),tblFleet[[#This Row],[Available_h]]/tblFleet[[#This Row],[Calendar_h]],"")</f>
        <v/>
      </c>
      <c r="J347" s="60">
        <f>IF(AND(tblFleet[[#This Row],[Units]]&lt;&gt;"",tblFleet[[#This Row],[Available_h]]&gt;0),tblFleet[[#This Row],[Operating_h]]/tblFleet[[#This Row],[Available_h]],"")</f>
        <v/>
      </c>
    </row>
    <row r="348">
      <c r="A348" s="54" t="n"/>
      <c r="B348" s="61" t="n"/>
      <c r="C348" s="62" t="n"/>
      <c r="D348" s="57" t="n"/>
      <c r="E348" s="57" t="n"/>
      <c r="F348" s="58" t="n"/>
      <c r="G348" s="66">
        <f>IF(tblFleet[[#This Row],[Units]]="","",tblFleet[[#This Row],[Units]]*24)</f>
        <v/>
      </c>
      <c r="H348" s="66">
        <f>IF(tblFleet[[#This Row],[Units]]="","",tblFleet[[#This Row],[Calendar_h]]-tblFleet[[#This Row],[Down_h]])</f>
        <v/>
      </c>
      <c r="I348" s="60">
        <f>IF(AND(tblFleet[[#This Row],[Units]]&lt;&gt;"",tblFleet[[#This Row],[Calendar_h]]&gt;0),tblFleet[[#This Row],[Available_h]]/tblFleet[[#This Row],[Calendar_h]],"")</f>
        <v/>
      </c>
      <c r="J348" s="60">
        <f>IF(AND(tblFleet[[#This Row],[Units]]&lt;&gt;"",tblFleet[[#This Row],[Available_h]]&gt;0),tblFleet[[#This Row],[Operating_h]]/tblFleet[[#This Row],[Available_h]],"")</f>
        <v/>
      </c>
    </row>
    <row r="349">
      <c r="A349" s="54" t="n"/>
      <c r="B349" s="61" t="n"/>
      <c r="C349" s="62" t="n"/>
      <c r="D349" s="57" t="n"/>
      <c r="E349" s="57" t="n"/>
      <c r="F349" s="58" t="n"/>
      <c r="G349" s="66">
        <f>IF(tblFleet[[#This Row],[Units]]="","",tblFleet[[#This Row],[Units]]*24)</f>
        <v/>
      </c>
      <c r="H349" s="66">
        <f>IF(tblFleet[[#This Row],[Units]]="","",tblFleet[[#This Row],[Calendar_h]]-tblFleet[[#This Row],[Down_h]])</f>
        <v/>
      </c>
      <c r="I349" s="60">
        <f>IF(AND(tblFleet[[#This Row],[Units]]&lt;&gt;"",tblFleet[[#This Row],[Calendar_h]]&gt;0),tblFleet[[#This Row],[Available_h]]/tblFleet[[#This Row],[Calendar_h]],"")</f>
        <v/>
      </c>
      <c r="J349" s="60">
        <f>IF(AND(tblFleet[[#This Row],[Units]]&lt;&gt;"",tblFleet[[#This Row],[Available_h]]&gt;0),tblFleet[[#This Row],[Operating_h]]/tblFleet[[#This Row],[Available_h]],"")</f>
        <v/>
      </c>
    </row>
    <row r="350">
      <c r="A350" s="54" t="n"/>
      <c r="B350" s="61" t="n"/>
      <c r="C350" s="62" t="n"/>
      <c r="D350" s="57" t="n"/>
      <c r="E350" s="57" t="n"/>
      <c r="F350" s="58" t="n"/>
      <c r="G350" s="66">
        <f>IF(tblFleet[[#This Row],[Units]]="","",tblFleet[[#This Row],[Units]]*24)</f>
        <v/>
      </c>
      <c r="H350" s="66">
        <f>IF(tblFleet[[#This Row],[Units]]="","",tblFleet[[#This Row],[Calendar_h]]-tblFleet[[#This Row],[Down_h]])</f>
        <v/>
      </c>
      <c r="I350" s="60">
        <f>IF(AND(tblFleet[[#This Row],[Units]]&lt;&gt;"",tblFleet[[#This Row],[Calendar_h]]&gt;0),tblFleet[[#This Row],[Available_h]]/tblFleet[[#This Row],[Calendar_h]],"")</f>
        <v/>
      </c>
      <c r="J350" s="60">
        <f>IF(AND(tblFleet[[#This Row],[Units]]&lt;&gt;"",tblFleet[[#This Row],[Available_h]]&gt;0),tblFleet[[#This Row],[Operating_h]]/tblFleet[[#This Row],[Available_h]],"")</f>
        <v/>
      </c>
    </row>
    <row r="351">
      <c r="A351" s="54" t="n"/>
      <c r="B351" s="61" t="n"/>
      <c r="C351" s="62" t="n"/>
      <c r="D351" s="57" t="n"/>
      <c r="E351" s="57" t="n"/>
      <c r="F351" s="58" t="n"/>
      <c r="G351" s="66">
        <f>IF(tblFleet[[#This Row],[Units]]="","",tblFleet[[#This Row],[Units]]*24)</f>
        <v/>
      </c>
      <c r="H351" s="66">
        <f>IF(tblFleet[[#This Row],[Units]]="","",tblFleet[[#This Row],[Calendar_h]]-tblFleet[[#This Row],[Down_h]])</f>
        <v/>
      </c>
      <c r="I351" s="60">
        <f>IF(AND(tblFleet[[#This Row],[Units]]&lt;&gt;"",tblFleet[[#This Row],[Calendar_h]]&gt;0),tblFleet[[#This Row],[Available_h]]/tblFleet[[#This Row],[Calendar_h]],"")</f>
        <v/>
      </c>
      <c r="J351" s="60">
        <f>IF(AND(tblFleet[[#This Row],[Units]]&lt;&gt;"",tblFleet[[#This Row],[Available_h]]&gt;0),tblFleet[[#This Row],[Operating_h]]/tblFleet[[#This Row],[Available_h]],"")</f>
        <v/>
      </c>
    </row>
    <row r="352">
      <c r="A352" s="54" t="n"/>
      <c r="B352" s="61" t="n"/>
      <c r="C352" s="62" t="n"/>
      <c r="D352" s="57" t="n"/>
      <c r="E352" s="57" t="n"/>
      <c r="F352" s="58" t="n"/>
      <c r="G352" s="66">
        <f>IF(tblFleet[[#This Row],[Units]]="","",tblFleet[[#This Row],[Units]]*24)</f>
        <v/>
      </c>
      <c r="H352" s="66">
        <f>IF(tblFleet[[#This Row],[Units]]="","",tblFleet[[#This Row],[Calendar_h]]-tblFleet[[#This Row],[Down_h]])</f>
        <v/>
      </c>
      <c r="I352" s="60">
        <f>IF(AND(tblFleet[[#This Row],[Units]]&lt;&gt;"",tblFleet[[#This Row],[Calendar_h]]&gt;0),tblFleet[[#This Row],[Available_h]]/tblFleet[[#This Row],[Calendar_h]],"")</f>
        <v/>
      </c>
      <c r="J352" s="60">
        <f>IF(AND(tblFleet[[#This Row],[Units]]&lt;&gt;"",tblFleet[[#This Row],[Available_h]]&gt;0),tblFleet[[#This Row],[Operating_h]]/tblFleet[[#This Row],[Available_h]],"")</f>
        <v/>
      </c>
    </row>
    <row r="353">
      <c r="A353" s="54" t="n"/>
      <c r="B353" s="61" t="n"/>
      <c r="C353" s="62" t="n"/>
      <c r="D353" s="57" t="n"/>
      <c r="E353" s="57" t="n"/>
      <c r="F353" s="58" t="n"/>
      <c r="G353" s="66">
        <f>IF(tblFleet[[#This Row],[Units]]="","",tblFleet[[#This Row],[Units]]*24)</f>
        <v/>
      </c>
      <c r="H353" s="66">
        <f>IF(tblFleet[[#This Row],[Units]]="","",tblFleet[[#This Row],[Calendar_h]]-tblFleet[[#This Row],[Down_h]])</f>
        <v/>
      </c>
      <c r="I353" s="60">
        <f>IF(AND(tblFleet[[#This Row],[Units]]&lt;&gt;"",tblFleet[[#This Row],[Calendar_h]]&gt;0),tblFleet[[#This Row],[Available_h]]/tblFleet[[#This Row],[Calendar_h]],"")</f>
        <v/>
      </c>
      <c r="J353" s="60">
        <f>IF(AND(tblFleet[[#This Row],[Units]]&lt;&gt;"",tblFleet[[#This Row],[Available_h]]&gt;0),tblFleet[[#This Row],[Operating_h]]/tblFleet[[#This Row],[Available_h]],"")</f>
        <v/>
      </c>
    </row>
    <row r="354">
      <c r="A354" s="54" t="n"/>
      <c r="B354" s="61" t="n"/>
      <c r="C354" s="62" t="n"/>
      <c r="D354" s="57" t="n"/>
      <c r="E354" s="57" t="n"/>
      <c r="F354" s="58" t="n"/>
      <c r="G354" s="66">
        <f>IF(tblFleet[[#This Row],[Units]]="","",tblFleet[[#This Row],[Units]]*24)</f>
        <v/>
      </c>
      <c r="H354" s="66">
        <f>IF(tblFleet[[#This Row],[Units]]="","",tblFleet[[#This Row],[Calendar_h]]-tblFleet[[#This Row],[Down_h]])</f>
        <v/>
      </c>
      <c r="I354" s="60">
        <f>IF(AND(tblFleet[[#This Row],[Units]]&lt;&gt;"",tblFleet[[#This Row],[Calendar_h]]&gt;0),tblFleet[[#This Row],[Available_h]]/tblFleet[[#This Row],[Calendar_h]],"")</f>
        <v/>
      </c>
      <c r="J354" s="60">
        <f>IF(AND(tblFleet[[#This Row],[Units]]&lt;&gt;"",tblFleet[[#This Row],[Available_h]]&gt;0),tblFleet[[#This Row],[Operating_h]]/tblFleet[[#This Row],[Available_h]],"")</f>
        <v/>
      </c>
    </row>
    <row r="355">
      <c r="A355" s="54" t="n"/>
      <c r="B355" s="61" t="n"/>
      <c r="C355" s="62" t="n"/>
      <c r="D355" s="57" t="n"/>
      <c r="E355" s="57" t="n"/>
      <c r="F355" s="58" t="n"/>
      <c r="G355" s="66">
        <f>IF(tblFleet[[#This Row],[Units]]="","",tblFleet[[#This Row],[Units]]*24)</f>
        <v/>
      </c>
      <c r="H355" s="66">
        <f>IF(tblFleet[[#This Row],[Units]]="","",tblFleet[[#This Row],[Calendar_h]]-tblFleet[[#This Row],[Down_h]])</f>
        <v/>
      </c>
      <c r="I355" s="60">
        <f>IF(AND(tblFleet[[#This Row],[Units]]&lt;&gt;"",tblFleet[[#This Row],[Calendar_h]]&gt;0),tblFleet[[#This Row],[Available_h]]/tblFleet[[#This Row],[Calendar_h]],"")</f>
        <v/>
      </c>
      <c r="J355" s="60">
        <f>IF(AND(tblFleet[[#This Row],[Units]]&lt;&gt;"",tblFleet[[#This Row],[Available_h]]&gt;0),tblFleet[[#This Row],[Operating_h]]/tblFleet[[#This Row],[Available_h]],"")</f>
        <v/>
      </c>
    </row>
    <row r="356">
      <c r="A356" s="54" t="n"/>
      <c r="B356" s="61" t="n"/>
      <c r="C356" s="62" t="n"/>
      <c r="D356" s="57" t="n"/>
      <c r="E356" s="57" t="n"/>
      <c r="F356" s="58" t="n"/>
      <c r="G356" s="66">
        <f>IF(tblFleet[[#This Row],[Units]]="","",tblFleet[[#This Row],[Units]]*24)</f>
        <v/>
      </c>
      <c r="H356" s="66">
        <f>IF(tblFleet[[#This Row],[Units]]="","",tblFleet[[#This Row],[Calendar_h]]-tblFleet[[#This Row],[Down_h]])</f>
        <v/>
      </c>
      <c r="I356" s="60">
        <f>IF(AND(tblFleet[[#This Row],[Units]]&lt;&gt;"",tblFleet[[#This Row],[Calendar_h]]&gt;0),tblFleet[[#This Row],[Available_h]]/tblFleet[[#This Row],[Calendar_h]],"")</f>
        <v/>
      </c>
      <c r="J356" s="60">
        <f>IF(AND(tblFleet[[#This Row],[Units]]&lt;&gt;"",tblFleet[[#This Row],[Available_h]]&gt;0),tblFleet[[#This Row],[Operating_h]]/tblFleet[[#This Row],[Available_h]],"")</f>
        <v/>
      </c>
    </row>
    <row r="357">
      <c r="A357" s="54" t="n"/>
      <c r="B357" s="61" t="n"/>
      <c r="C357" s="62" t="n"/>
      <c r="D357" s="57" t="n"/>
      <c r="E357" s="57" t="n"/>
      <c r="F357" s="58" t="n"/>
      <c r="G357" s="66">
        <f>IF(tblFleet[[#This Row],[Units]]="","",tblFleet[[#This Row],[Units]]*24)</f>
        <v/>
      </c>
      <c r="H357" s="66">
        <f>IF(tblFleet[[#This Row],[Units]]="","",tblFleet[[#This Row],[Calendar_h]]-tblFleet[[#This Row],[Down_h]])</f>
        <v/>
      </c>
      <c r="I357" s="60">
        <f>IF(AND(tblFleet[[#This Row],[Units]]&lt;&gt;"",tblFleet[[#This Row],[Calendar_h]]&gt;0),tblFleet[[#This Row],[Available_h]]/tblFleet[[#This Row],[Calendar_h]],"")</f>
        <v/>
      </c>
      <c r="J357" s="60">
        <f>IF(AND(tblFleet[[#This Row],[Units]]&lt;&gt;"",tblFleet[[#This Row],[Available_h]]&gt;0),tblFleet[[#This Row],[Operating_h]]/tblFleet[[#This Row],[Available_h]],"")</f>
        <v/>
      </c>
    </row>
    <row r="358">
      <c r="A358" s="54" t="n"/>
      <c r="B358" s="61" t="n"/>
      <c r="C358" s="62" t="n"/>
      <c r="D358" s="57" t="n"/>
      <c r="E358" s="57" t="n"/>
      <c r="F358" s="58" t="n"/>
      <c r="G358" s="66">
        <f>IF(tblFleet[[#This Row],[Units]]="","",tblFleet[[#This Row],[Units]]*24)</f>
        <v/>
      </c>
      <c r="H358" s="66">
        <f>IF(tblFleet[[#This Row],[Units]]="","",tblFleet[[#This Row],[Calendar_h]]-tblFleet[[#This Row],[Down_h]])</f>
        <v/>
      </c>
      <c r="I358" s="60">
        <f>IF(AND(tblFleet[[#This Row],[Units]]&lt;&gt;"",tblFleet[[#This Row],[Calendar_h]]&gt;0),tblFleet[[#This Row],[Available_h]]/tblFleet[[#This Row],[Calendar_h]],"")</f>
        <v/>
      </c>
      <c r="J358" s="60">
        <f>IF(AND(tblFleet[[#This Row],[Units]]&lt;&gt;"",tblFleet[[#This Row],[Available_h]]&gt;0),tblFleet[[#This Row],[Operating_h]]/tblFleet[[#This Row],[Available_h]],"")</f>
        <v/>
      </c>
    </row>
    <row r="359">
      <c r="A359" s="54" t="n"/>
      <c r="B359" s="61" t="n"/>
      <c r="C359" s="62" t="n"/>
      <c r="D359" s="57" t="n"/>
      <c r="E359" s="57" t="n"/>
      <c r="F359" s="58" t="n"/>
      <c r="G359" s="66">
        <f>IF(tblFleet[[#This Row],[Units]]="","",tblFleet[[#This Row],[Units]]*24)</f>
        <v/>
      </c>
      <c r="H359" s="66">
        <f>IF(tblFleet[[#This Row],[Units]]="","",tblFleet[[#This Row],[Calendar_h]]-tblFleet[[#This Row],[Down_h]])</f>
        <v/>
      </c>
      <c r="I359" s="60">
        <f>IF(AND(tblFleet[[#This Row],[Units]]&lt;&gt;"",tblFleet[[#This Row],[Calendar_h]]&gt;0),tblFleet[[#This Row],[Available_h]]/tblFleet[[#This Row],[Calendar_h]],"")</f>
        <v/>
      </c>
      <c r="J359" s="60">
        <f>IF(AND(tblFleet[[#This Row],[Units]]&lt;&gt;"",tblFleet[[#This Row],[Available_h]]&gt;0),tblFleet[[#This Row],[Operating_h]]/tblFleet[[#This Row],[Available_h]],"")</f>
        <v/>
      </c>
    </row>
    <row r="360">
      <c r="A360" s="54" t="n"/>
      <c r="B360" s="61" t="n"/>
      <c r="C360" s="62" t="n"/>
      <c r="D360" s="57" t="n"/>
      <c r="E360" s="57" t="n"/>
      <c r="F360" s="58" t="n"/>
      <c r="G360" s="66">
        <f>IF(tblFleet[[#This Row],[Units]]="","",tblFleet[[#This Row],[Units]]*24)</f>
        <v/>
      </c>
      <c r="H360" s="66">
        <f>IF(tblFleet[[#This Row],[Units]]="","",tblFleet[[#This Row],[Calendar_h]]-tblFleet[[#This Row],[Down_h]])</f>
        <v/>
      </c>
      <c r="I360" s="60">
        <f>IF(AND(tblFleet[[#This Row],[Units]]&lt;&gt;"",tblFleet[[#This Row],[Calendar_h]]&gt;0),tblFleet[[#This Row],[Available_h]]/tblFleet[[#This Row],[Calendar_h]],"")</f>
        <v/>
      </c>
      <c r="J360" s="60">
        <f>IF(AND(tblFleet[[#This Row],[Units]]&lt;&gt;"",tblFleet[[#This Row],[Available_h]]&gt;0),tblFleet[[#This Row],[Operating_h]]/tblFleet[[#This Row],[Available_h]],"")</f>
        <v/>
      </c>
    </row>
    <row r="361">
      <c r="A361" s="54" t="n"/>
      <c r="B361" s="61" t="n"/>
      <c r="C361" s="62" t="n"/>
      <c r="D361" s="57" t="n"/>
      <c r="E361" s="57" t="n"/>
      <c r="F361" s="58" t="n"/>
      <c r="G361" s="66">
        <f>IF(tblFleet[[#This Row],[Units]]="","",tblFleet[[#This Row],[Units]]*24)</f>
        <v/>
      </c>
      <c r="H361" s="66">
        <f>IF(tblFleet[[#This Row],[Units]]="","",tblFleet[[#This Row],[Calendar_h]]-tblFleet[[#This Row],[Down_h]])</f>
        <v/>
      </c>
      <c r="I361" s="60">
        <f>IF(AND(tblFleet[[#This Row],[Units]]&lt;&gt;"",tblFleet[[#This Row],[Calendar_h]]&gt;0),tblFleet[[#This Row],[Available_h]]/tblFleet[[#This Row],[Calendar_h]],"")</f>
        <v/>
      </c>
      <c r="J361" s="60">
        <f>IF(AND(tblFleet[[#This Row],[Units]]&lt;&gt;"",tblFleet[[#This Row],[Available_h]]&gt;0),tblFleet[[#This Row],[Operating_h]]/tblFleet[[#This Row],[Available_h]],"")</f>
        <v/>
      </c>
    </row>
    <row r="362">
      <c r="A362" s="54" t="n"/>
      <c r="B362" s="61" t="n"/>
      <c r="C362" s="62" t="n"/>
      <c r="D362" s="57" t="n"/>
      <c r="E362" s="57" t="n"/>
      <c r="F362" s="58" t="n"/>
      <c r="G362" s="66">
        <f>IF(tblFleet[[#This Row],[Units]]="","",tblFleet[[#This Row],[Units]]*24)</f>
        <v/>
      </c>
      <c r="H362" s="66">
        <f>IF(tblFleet[[#This Row],[Units]]="","",tblFleet[[#This Row],[Calendar_h]]-tblFleet[[#This Row],[Down_h]])</f>
        <v/>
      </c>
      <c r="I362" s="60">
        <f>IF(AND(tblFleet[[#This Row],[Units]]&lt;&gt;"",tblFleet[[#This Row],[Calendar_h]]&gt;0),tblFleet[[#This Row],[Available_h]]/tblFleet[[#This Row],[Calendar_h]],"")</f>
        <v/>
      </c>
      <c r="J362" s="60">
        <f>IF(AND(tblFleet[[#This Row],[Units]]&lt;&gt;"",tblFleet[[#This Row],[Available_h]]&gt;0),tblFleet[[#This Row],[Operating_h]]/tblFleet[[#This Row],[Available_h]],"")</f>
        <v/>
      </c>
    </row>
    <row r="363">
      <c r="A363" s="54" t="n"/>
      <c r="B363" s="61" t="n"/>
      <c r="C363" s="62" t="n"/>
      <c r="D363" s="57" t="n"/>
      <c r="E363" s="57" t="n"/>
      <c r="F363" s="58" t="n"/>
      <c r="G363" s="66">
        <f>IF(tblFleet[[#This Row],[Units]]="","",tblFleet[[#This Row],[Units]]*24)</f>
        <v/>
      </c>
      <c r="H363" s="66">
        <f>IF(tblFleet[[#This Row],[Units]]="","",tblFleet[[#This Row],[Calendar_h]]-tblFleet[[#This Row],[Down_h]])</f>
        <v/>
      </c>
      <c r="I363" s="60">
        <f>IF(AND(tblFleet[[#This Row],[Units]]&lt;&gt;"",tblFleet[[#This Row],[Calendar_h]]&gt;0),tblFleet[[#This Row],[Available_h]]/tblFleet[[#This Row],[Calendar_h]],"")</f>
        <v/>
      </c>
      <c r="J363" s="60">
        <f>IF(AND(tblFleet[[#This Row],[Units]]&lt;&gt;"",tblFleet[[#This Row],[Available_h]]&gt;0),tblFleet[[#This Row],[Operating_h]]/tblFleet[[#This Row],[Available_h]],"")</f>
        <v/>
      </c>
    </row>
    <row r="364">
      <c r="A364" s="54" t="n"/>
      <c r="B364" s="61" t="n"/>
      <c r="C364" s="62" t="n"/>
      <c r="D364" s="57" t="n"/>
      <c r="E364" s="57" t="n"/>
      <c r="F364" s="58" t="n"/>
      <c r="G364" s="66">
        <f>IF(tblFleet[[#This Row],[Units]]="","",tblFleet[[#This Row],[Units]]*24)</f>
        <v/>
      </c>
      <c r="H364" s="66">
        <f>IF(tblFleet[[#This Row],[Units]]="","",tblFleet[[#This Row],[Calendar_h]]-tblFleet[[#This Row],[Down_h]])</f>
        <v/>
      </c>
      <c r="I364" s="60">
        <f>IF(AND(tblFleet[[#This Row],[Units]]&lt;&gt;"",tblFleet[[#This Row],[Calendar_h]]&gt;0),tblFleet[[#This Row],[Available_h]]/tblFleet[[#This Row],[Calendar_h]],"")</f>
        <v/>
      </c>
      <c r="J364" s="60">
        <f>IF(AND(tblFleet[[#This Row],[Units]]&lt;&gt;"",tblFleet[[#This Row],[Available_h]]&gt;0),tblFleet[[#This Row],[Operating_h]]/tblFleet[[#This Row],[Available_h]],"")</f>
        <v/>
      </c>
    </row>
    <row r="365">
      <c r="A365" s="54" t="n"/>
      <c r="B365" s="61" t="n"/>
      <c r="C365" s="62" t="n"/>
      <c r="D365" s="57" t="n"/>
      <c r="E365" s="57" t="n"/>
      <c r="F365" s="58" t="n"/>
      <c r="G365" s="66">
        <f>IF(tblFleet[[#This Row],[Units]]="","",tblFleet[[#This Row],[Units]]*24)</f>
        <v/>
      </c>
      <c r="H365" s="66">
        <f>IF(tblFleet[[#This Row],[Units]]="","",tblFleet[[#This Row],[Calendar_h]]-tblFleet[[#This Row],[Down_h]])</f>
        <v/>
      </c>
      <c r="I365" s="60">
        <f>IF(AND(tblFleet[[#This Row],[Units]]&lt;&gt;"",tblFleet[[#This Row],[Calendar_h]]&gt;0),tblFleet[[#This Row],[Available_h]]/tblFleet[[#This Row],[Calendar_h]],"")</f>
        <v/>
      </c>
      <c r="J365" s="60">
        <f>IF(AND(tblFleet[[#This Row],[Units]]&lt;&gt;"",tblFleet[[#This Row],[Available_h]]&gt;0),tblFleet[[#This Row],[Operating_h]]/tblFleet[[#This Row],[Available_h]],"")</f>
        <v/>
      </c>
    </row>
    <row r="366">
      <c r="A366" s="54" t="n"/>
      <c r="B366" s="61" t="n"/>
      <c r="C366" s="62" t="n"/>
      <c r="D366" s="57" t="n"/>
      <c r="E366" s="57" t="n"/>
      <c r="F366" s="58" t="n"/>
      <c r="G366" s="66">
        <f>IF(tblFleet[[#This Row],[Units]]="","",tblFleet[[#This Row],[Units]]*24)</f>
        <v/>
      </c>
      <c r="H366" s="66">
        <f>IF(tblFleet[[#This Row],[Units]]="","",tblFleet[[#This Row],[Calendar_h]]-tblFleet[[#This Row],[Down_h]])</f>
        <v/>
      </c>
      <c r="I366" s="60">
        <f>IF(AND(tblFleet[[#This Row],[Units]]&lt;&gt;"",tblFleet[[#This Row],[Calendar_h]]&gt;0),tblFleet[[#This Row],[Available_h]]/tblFleet[[#This Row],[Calendar_h]],"")</f>
        <v/>
      </c>
      <c r="J366" s="60">
        <f>IF(AND(tblFleet[[#This Row],[Units]]&lt;&gt;"",tblFleet[[#This Row],[Available_h]]&gt;0),tblFleet[[#This Row],[Operating_h]]/tblFleet[[#This Row],[Available_h]],"")</f>
        <v/>
      </c>
    </row>
    <row r="367">
      <c r="A367" s="54" t="n"/>
      <c r="B367" s="61" t="n"/>
      <c r="C367" s="62" t="n"/>
      <c r="D367" s="57" t="n"/>
      <c r="E367" s="57" t="n"/>
      <c r="F367" s="58" t="n"/>
      <c r="G367" s="66">
        <f>IF(tblFleet[[#This Row],[Units]]="","",tblFleet[[#This Row],[Units]]*24)</f>
        <v/>
      </c>
      <c r="H367" s="66">
        <f>IF(tblFleet[[#This Row],[Units]]="","",tblFleet[[#This Row],[Calendar_h]]-tblFleet[[#This Row],[Down_h]])</f>
        <v/>
      </c>
      <c r="I367" s="60">
        <f>IF(AND(tblFleet[[#This Row],[Units]]&lt;&gt;"",tblFleet[[#This Row],[Calendar_h]]&gt;0),tblFleet[[#This Row],[Available_h]]/tblFleet[[#This Row],[Calendar_h]],"")</f>
        <v/>
      </c>
      <c r="J367" s="60">
        <f>IF(AND(tblFleet[[#This Row],[Units]]&lt;&gt;"",tblFleet[[#This Row],[Available_h]]&gt;0),tblFleet[[#This Row],[Operating_h]]/tblFleet[[#This Row],[Available_h]],"")</f>
        <v/>
      </c>
    </row>
    <row r="368">
      <c r="A368" s="54" t="n"/>
      <c r="B368" s="61" t="n"/>
      <c r="C368" s="62" t="n"/>
      <c r="D368" s="57" t="n"/>
      <c r="E368" s="57" t="n"/>
      <c r="F368" s="58" t="n"/>
      <c r="G368" s="66">
        <f>IF(tblFleet[[#This Row],[Units]]="","",tblFleet[[#This Row],[Units]]*24)</f>
        <v/>
      </c>
      <c r="H368" s="66">
        <f>IF(tblFleet[[#This Row],[Units]]="","",tblFleet[[#This Row],[Calendar_h]]-tblFleet[[#This Row],[Down_h]])</f>
        <v/>
      </c>
      <c r="I368" s="60">
        <f>IF(AND(tblFleet[[#This Row],[Units]]&lt;&gt;"",tblFleet[[#This Row],[Calendar_h]]&gt;0),tblFleet[[#This Row],[Available_h]]/tblFleet[[#This Row],[Calendar_h]],"")</f>
        <v/>
      </c>
      <c r="J368" s="60">
        <f>IF(AND(tblFleet[[#This Row],[Units]]&lt;&gt;"",tblFleet[[#This Row],[Available_h]]&gt;0),tblFleet[[#This Row],[Operating_h]]/tblFleet[[#This Row],[Available_h]],"")</f>
        <v/>
      </c>
    </row>
    <row r="369">
      <c r="A369" s="54" t="n"/>
      <c r="B369" s="61" t="n"/>
      <c r="C369" s="62" t="n"/>
      <c r="D369" s="57" t="n"/>
      <c r="E369" s="57" t="n"/>
      <c r="F369" s="58" t="n"/>
      <c r="G369" s="66">
        <f>IF(tblFleet[[#This Row],[Units]]="","",tblFleet[[#This Row],[Units]]*24)</f>
        <v/>
      </c>
      <c r="H369" s="66">
        <f>IF(tblFleet[[#This Row],[Units]]="","",tblFleet[[#This Row],[Calendar_h]]-tblFleet[[#This Row],[Down_h]])</f>
        <v/>
      </c>
      <c r="I369" s="60">
        <f>IF(AND(tblFleet[[#This Row],[Units]]&lt;&gt;"",tblFleet[[#This Row],[Calendar_h]]&gt;0),tblFleet[[#This Row],[Available_h]]/tblFleet[[#This Row],[Calendar_h]],"")</f>
        <v/>
      </c>
      <c r="J369" s="60">
        <f>IF(AND(tblFleet[[#This Row],[Units]]&lt;&gt;"",tblFleet[[#This Row],[Available_h]]&gt;0),tblFleet[[#This Row],[Operating_h]]/tblFleet[[#This Row],[Available_h]],"")</f>
        <v/>
      </c>
    </row>
    <row r="370">
      <c r="A370" s="54" t="n"/>
      <c r="B370" s="61" t="n"/>
      <c r="C370" s="62" t="n"/>
      <c r="D370" s="57" t="n"/>
      <c r="E370" s="57" t="n"/>
      <c r="F370" s="58" t="n"/>
      <c r="G370" s="66">
        <f>IF(tblFleet[[#This Row],[Units]]="","",tblFleet[[#This Row],[Units]]*24)</f>
        <v/>
      </c>
      <c r="H370" s="66">
        <f>IF(tblFleet[[#This Row],[Units]]="","",tblFleet[[#This Row],[Calendar_h]]-tblFleet[[#This Row],[Down_h]])</f>
        <v/>
      </c>
      <c r="I370" s="60">
        <f>IF(AND(tblFleet[[#This Row],[Units]]&lt;&gt;"",tblFleet[[#This Row],[Calendar_h]]&gt;0),tblFleet[[#This Row],[Available_h]]/tblFleet[[#This Row],[Calendar_h]],"")</f>
        <v/>
      </c>
      <c r="J370" s="60">
        <f>IF(AND(tblFleet[[#This Row],[Units]]&lt;&gt;"",tblFleet[[#This Row],[Available_h]]&gt;0),tblFleet[[#This Row],[Operating_h]]/tblFleet[[#This Row],[Available_h]],"")</f>
        <v/>
      </c>
    </row>
    <row r="371">
      <c r="A371" s="54" t="n"/>
      <c r="B371" s="61" t="n"/>
      <c r="C371" s="62" t="n"/>
      <c r="D371" s="57" t="n"/>
      <c r="E371" s="57" t="n"/>
      <c r="F371" s="58" t="n"/>
      <c r="G371" s="66">
        <f>IF(tblFleet[[#This Row],[Units]]="","",tblFleet[[#This Row],[Units]]*24)</f>
        <v/>
      </c>
      <c r="H371" s="66">
        <f>IF(tblFleet[[#This Row],[Units]]="","",tblFleet[[#This Row],[Calendar_h]]-tblFleet[[#This Row],[Down_h]])</f>
        <v/>
      </c>
      <c r="I371" s="60">
        <f>IF(AND(tblFleet[[#This Row],[Units]]&lt;&gt;"",tblFleet[[#This Row],[Calendar_h]]&gt;0),tblFleet[[#This Row],[Available_h]]/tblFleet[[#This Row],[Calendar_h]],"")</f>
        <v/>
      </c>
      <c r="J371" s="60">
        <f>IF(AND(tblFleet[[#This Row],[Units]]&lt;&gt;"",tblFleet[[#This Row],[Available_h]]&gt;0),tblFleet[[#This Row],[Operating_h]]/tblFleet[[#This Row],[Available_h]],"")</f>
        <v/>
      </c>
    </row>
    <row r="372">
      <c r="A372" s="54" t="n"/>
      <c r="B372" s="61" t="n"/>
      <c r="C372" s="62" t="n"/>
      <c r="D372" s="57" t="n"/>
      <c r="E372" s="57" t="n"/>
      <c r="F372" s="58" t="n"/>
      <c r="G372" s="66">
        <f>IF(tblFleet[[#This Row],[Units]]="","",tblFleet[[#This Row],[Units]]*24)</f>
        <v/>
      </c>
      <c r="H372" s="66">
        <f>IF(tblFleet[[#This Row],[Units]]="","",tblFleet[[#This Row],[Calendar_h]]-tblFleet[[#This Row],[Down_h]])</f>
        <v/>
      </c>
      <c r="I372" s="60">
        <f>IF(AND(tblFleet[[#This Row],[Units]]&lt;&gt;"",tblFleet[[#This Row],[Calendar_h]]&gt;0),tblFleet[[#This Row],[Available_h]]/tblFleet[[#This Row],[Calendar_h]],"")</f>
        <v/>
      </c>
      <c r="J372" s="60">
        <f>IF(AND(tblFleet[[#This Row],[Units]]&lt;&gt;"",tblFleet[[#This Row],[Available_h]]&gt;0),tblFleet[[#This Row],[Operating_h]]/tblFleet[[#This Row],[Available_h]],"")</f>
        <v/>
      </c>
    </row>
    <row r="373">
      <c r="A373" s="54" t="n"/>
      <c r="B373" s="61" t="n"/>
      <c r="C373" s="62" t="n"/>
      <c r="D373" s="57" t="n"/>
      <c r="E373" s="57" t="n"/>
      <c r="F373" s="58" t="n"/>
      <c r="G373" s="66">
        <f>IF(tblFleet[[#This Row],[Units]]="","",tblFleet[[#This Row],[Units]]*24)</f>
        <v/>
      </c>
      <c r="H373" s="66">
        <f>IF(tblFleet[[#This Row],[Units]]="","",tblFleet[[#This Row],[Calendar_h]]-tblFleet[[#This Row],[Down_h]])</f>
        <v/>
      </c>
      <c r="I373" s="60">
        <f>IF(AND(tblFleet[[#This Row],[Units]]&lt;&gt;"",tblFleet[[#This Row],[Calendar_h]]&gt;0),tblFleet[[#This Row],[Available_h]]/tblFleet[[#This Row],[Calendar_h]],"")</f>
        <v/>
      </c>
      <c r="J373" s="60">
        <f>IF(AND(tblFleet[[#This Row],[Units]]&lt;&gt;"",tblFleet[[#This Row],[Available_h]]&gt;0),tblFleet[[#This Row],[Operating_h]]/tblFleet[[#This Row],[Available_h]],"")</f>
        <v/>
      </c>
    </row>
    <row r="374">
      <c r="A374" s="54" t="n"/>
      <c r="B374" s="61" t="n"/>
      <c r="C374" s="62" t="n"/>
      <c r="D374" s="57" t="n"/>
      <c r="E374" s="57" t="n"/>
      <c r="F374" s="58" t="n"/>
      <c r="G374" s="66">
        <f>IF(tblFleet[[#This Row],[Units]]="","",tblFleet[[#This Row],[Units]]*24)</f>
        <v/>
      </c>
      <c r="H374" s="66">
        <f>IF(tblFleet[[#This Row],[Units]]="","",tblFleet[[#This Row],[Calendar_h]]-tblFleet[[#This Row],[Down_h]])</f>
        <v/>
      </c>
      <c r="I374" s="60">
        <f>IF(AND(tblFleet[[#This Row],[Units]]&lt;&gt;"",tblFleet[[#This Row],[Calendar_h]]&gt;0),tblFleet[[#This Row],[Available_h]]/tblFleet[[#This Row],[Calendar_h]],"")</f>
        <v/>
      </c>
      <c r="J374" s="60">
        <f>IF(AND(tblFleet[[#This Row],[Units]]&lt;&gt;"",tblFleet[[#This Row],[Available_h]]&gt;0),tblFleet[[#This Row],[Operating_h]]/tblFleet[[#This Row],[Available_h]],"")</f>
        <v/>
      </c>
    </row>
    <row r="375">
      <c r="A375" s="54" t="n"/>
      <c r="B375" s="61" t="n"/>
      <c r="C375" s="62" t="n"/>
      <c r="D375" s="57" t="n"/>
      <c r="E375" s="57" t="n"/>
      <c r="F375" s="58" t="n"/>
      <c r="G375" s="66">
        <f>IF(tblFleet[[#This Row],[Units]]="","",tblFleet[[#This Row],[Units]]*24)</f>
        <v/>
      </c>
      <c r="H375" s="66">
        <f>IF(tblFleet[[#This Row],[Units]]="","",tblFleet[[#This Row],[Calendar_h]]-tblFleet[[#This Row],[Down_h]])</f>
        <v/>
      </c>
      <c r="I375" s="60">
        <f>IF(AND(tblFleet[[#This Row],[Units]]&lt;&gt;"",tblFleet[[#This Row],[Calendar_h]]&gt;0),tblFleet[[#This Row],[Available_h]]/tblFleet[[#This Row],[Calendar_h]],"")</f>
        <v/>
      </c>
      <c r="J375" s="60">
        <f>IF(AND(tblFleet[[#This Row],[Units]]&lt;&gt;"",tblFleet[[#This Row],[Available_h]]&gt;0),tblFleet[[#This Row],[Operating_h]]/tblFleet[[#This Row],[Available_h]],"")</f>
        <v/>
      </c>
    </row>
    <row r="376">
      <c r="A376" s="54" t="n"/>
      <c r="B376" s="61" t="n"/>
      <c r="C376" s="62" t="n"/>
      <c r="D376" s="57" t="n"/>
      <c r="E376" s="57" t="n"/>
      <c r="F376" s="58" t="n"/>
      <c r="G376" s="66">
        <f>IF(tblFleet[[#This Row],[Units]]="","",tblFleet[[#This Row],[Units]]*24)</f>
        <v/>
      </c>
      <c r="H376" s="66">
        <f>IF(tblFleet[[#This Row],[Units]]="","",tblFleet[[#This Row],[Calendar_h]]-tblFleet[[#This Row],[Down_h]])</f>
        <v/>
      </c>
      <c r="I376" s="60">
        <f>IF(AND(tblFleet[[#This Row],[Units]]&lt;&gt;"",tblFleet[[#This Row],[Calendar_h]]&gt;0),tblFleet[[#This Row],[Available_h]]/tblFleet[[#This Row],[Calendar_h]],"")</f>
        <v/>
      </c>
      <c r="J376" s="60">
        <f>IF(AND(tblFleet[[#This Row],[Units]]&lt;&gt;"",tblFleet[[#This Row],[Available_h]]&gt;0),tblFleet[[#This Row],[Operating_h]]/tblFleet[[#This Row],[Available_h]],"")</f>
        <v/>
      </c>
    </row>
    <row r="377">
      <c r="A377" s="54" t="n"/>
      <c r="B377" s="61" t="n"/>
      <c r="C377" s="62" t="n"/>
      <c r="D377" s="57" t="n"/>
      <c r="E377" s="57" t="n"/>
      <c r="F377" s="58" t="n"/>
      <c r="G377" s="66">
        <f>IF(tblFleet[[#This Row],[Units]]="","",tblFleet[[#This Row],[Units]]*24)</f>
        <v/>
      </c>
      <c r="H377" s="66">
        <f>IF(tblFleet[[#This Row],[Units]]="","",tblFleet[[#This Row],[Calendar_h]]-tblFleet[[#This Row],[Down_h]])</f>
        <v/>
      </c>
      <c r="I377" s="60">
        <f>IF(AND(tblFleet[[#This Row],[Units]]&lt;&gt;"",tblFleet[[#This Row],[Calendar_h]]&gt;0),tblFleet[[#This Row],[Available_h]]/tblFleet[[#This Row],[Calendar_h]],"")</f>
        <v/>
      </c>
      <c r="J377" s="60">
        <f>IF(AND(tblFleet[[#This Row],[Units]]&lt;&gt;"",tblFleet[[#This Row],[Available_h]]&gt;0),tblFleet[[#This Row],[Operating_h]]/tblFleet[[#This Row],[Available_h]],"")</f>
        <v/>
      </c>
    </row>
    <row r="378">
      <c r="A378" s="54" t="n"/>
      <c r="B378" s="61" t="n"/>
      <c r="C378" s="62" t="n"/>
      <c r="D378" s="57" t="n"/>
      <c r="E378" s="57" t="n"/>
      <c r="F378" s="58" t="n"/>
      <c r="G378" s="66">
        <f>IF(tblFleet[[#This Row],[Units]]="","",tblFleet[[#This Row],[Units]]*24)</f>
        <v/>
      </c>
      <c r="H378" s="66">
        <f>IF(tblFleet[[#This Row],[Units]]="","",tblFleet[[#This Row],[Calendar_h]]-tblFleet[[#This Row],[Down_h]])</f>
        <v/>
      </c>
      <c r="I378" s="60">
        <f>IF(AND(tblFleet[[#This Row],[Units]]&lt;&gt;"",tblFleet[[#This Row],[Calendar_h]]&gt;0),tblFleet[[#This Row],[Available_h]]/tblFleet[[#This Row],[Calendar_h]],"")</f>
        <v/>
      </c>
      <c r="J378" s="60">
        <f>IF(AND(tblFleet[[#This Row],[Units]]&lt;&gt;"",tblFleet[[#This Row],[Available_h]]&gt;0),tblFleet[[#This Row],[Operating_h]]/tblFleet[[#This Row],[Available_h]],"")</f>
        <v/>
      </c>
    </row>
    <row r="379">
      <c r="A379" s="54" t="n"/>
      <c r="B379" s="61" t="n"/>
      <c r="C379" s="62" t="n"/>
      <c r="D379" s="57" t="n"/>
      <c r="E379" s="57" t="n"/>
      <c r="F379" s="58" t="n"/>
      <c r="G379" s="66">
        <f>IF(tblFleet[[#This Row],[Units]]="","",tblFleet[[#This Row],[Units]]*24)</f>
        <v/>
      </c>
      <c r="H379" s="66">
        <f>IF(tblFleet[[#This Row],[Units]]="","",tblFleet[[#This Row],[Calendar_h]]-tblFleet[[#This Row],[Down_h]])</f>
        <v/>
      </c>
      <c r="I379" s="60">
        <f>IF(AND(tblFleet[[#This Row],[Units]]&lt;&gt;"",tblFleet[[#This Row],[Calendar_h]]&gt;0),tblFleet[[#This Row],[Available_h]]/tblFleet[[#This Row],[Calendar_h]],"")</f>
        <v/>
      </c>
      <c r="J379" s="60">
        <f>IF(AND(tblFleet[[#This Row],[Units]]&lt;&gt;"",tblFleet[[#This Row],[Available_h]]&gt;0),tblFleet[[#This Row],[Operating_h]]/tblFleet[[#This Row],[Available_h]],"")</f>
        <v/>
      </c>
    </row>
    <row r="380">
      <c r="A380" s="54" t="n"/>
      <c r="B380" s="61" t="n"/>
      <c r="C380" s="62" t="n"/>
      <c r="D380" s="57" t="n"/>
      <c r="E380" s="57" t="n"/>
      <c r="F380" s="58" t="n"/>
      <c r="G380" s="66">
        <f>IF(tblFleet[[#This Row],[Units]]="","",tblFleet[[#This Row],[Units]]*24)</f>
        <v/>
      </c>
      <c r="H380" s="66">
        <f>IF(tblFleet[[#This Row],[Units]]="","",tblFleet[[#This Row],[Calendar_h]]-tblFleet[[#This Row],[Down_h]])</f>
        <v/>
      </c>
      <c r="I380" s="60">
        <f>IF(AND(tblFleet[[#This Row],[Units]]&lt;&gt;"",tblFleet[[#This Row],[Calendar_h]]&gt;0),tblFleet[[#This Row],[Available_h]]/tblFleet[[#This Row],[Calendar_h]],"")</f>
        <v/>
      </c>
      <c r="J380" s="60">
        <f>IF(AND(tblFleet[[#This Row],[Units]]&lt;&gt;"",tblFleet[[#This Row],[Available_h]]&gt;0),tblFleet[[#This Row],[Operating_h]]/tblFleet[[#This Row],[Available_h]],"")</f>
        <v/>
      </c>
    </row>
    <row r="381">
      <c r="A381" s="54" t="n"/>
      <c r="B381" s="61" t="n"/>
      <c r="C381" s="62" t="n"/>
      <c r="D381" s="57" t="n"/>
      <c r="E381" s="57" t="n"/>
      <c r="F381" s="58" t="n"/>
      <c r="G381" s="66">
        <f>IF(tblFleet[[#This Row],[Units]]="","",tblFleet[[#This Row],[Units]]*24)</f>
        <v/>
      </c>
      <c r="H381" s="66">
        <f>IF(tblFleet[[#This Row],[Units]]="","",tblFleet[[#This Row],[Calendar_h]]-tblFleet[[#This Row],[Down_h]])</f>
        <v/>
      </c>
      <c r="I381" s="60">
        <f>IF(AND(tblFleet[[#This Row],[Units]]&lt;&gt;"",tblFleet[[#This Row],[Calendar_h]]&gt;0),tblFleet[[#This Row],[Available_h]]/tblFleet[[#This Row],[Calendar_h]],"")</f>
        <v/>
      </c>
      <c r="J381" s="60">
        <f>IF(AND(tblFleet[[#This Row],[Units]]&lt;&gt;"",tblFleet[[#This Row],[Available_h]]&gt;0),tblFleet[[#This Row],[Operating_h]]/tblFleet[[#This Row],[Available_h]],"")</f>
        <v/>
      </c>
    </row>
    <row r="382">
      <c r="A382" s="54" t="n"/>
      <c r="B382" s="61" t="n"/>
      <c r="C382" s="62" t="n"/>
      <c r="D382" s="57" t="n"/>
      <c r="E382" s="57" t="n"/>
      <c r="F382" s="58" t="n"/>
      <c r="G382" s="66">
        <f>IF(tblFleet[[#This Row],[Units]]="","",tblFleet[[#This Row],[Units]]*24)</f>
        <v/>
      </c>
      <c r="H382" s="66">
        <f>IF(tblFleet[[#This Row],[Units]]="","",tblFleet[[#This Row],[Calendar_h]]-tblFleet[[#This Row],[Down_h]])</f>
        <v/>
      </c>
      <c r="I382" s="60">
        <f>IF(AND(tblFleet[[#This Row],[Units]]&lt;&gt;"",tblFleet[[#This Row],[Calendar_h]]&gt;0),tblFleet[[#This Row],[Available_h]]/tblFleet[[#This Row],[Calendar_h]],"")</f>
        <v/>
      </c>
      <c r="J382" s="60">
        <f>IF(AND(tblFleet[[#This Row],[Units]]&lt;&gt;"",tblFleet[[#This Row],[Available_h]]&gt;0),tblFleet[[#This Row],[Operating_h]]/tblFleet[[#This Row],[Available_h]],"")</f>
        <v/>
      </c>
    </row>
    <row r="383">
      <c r="A383" s="54" t="n"/>
      <c r="B383" s="61" t="n"/>
      <c r="C383" s="62" t="n"/>
      <c r="D383" s="57" t="n"/>
      <c r="E383" s="57" t="n"/>
      <c r="F383" s="58" t="n"/>
      <c r="G383" s="66">
        <f>IF(tblFleet[[#This Row],[Units]]="","",tblFleet[[#This Row],[Units]]*24)</f>
        <v/>
      </c>
      <c r="H383" s="66">
        <f>IF(tblFleet[[#This Row],[Units]]="","",tblFleet[[#This Row],[Calendar_h]]-tblFleet[[#This Row],[Down_h]])</f>
        <v/>
      </c>
      <c r="I383" s="60">
        <f>IF(AND(tblFleet[[#This Row],[Units]]&lt;&gt;"",tblFleet[[#This Row],[Calendar_h]]&gt;0),tblFleet[[#This Row],[Available_h]]/tblFleet[[#This Row],[Calendar_h]],"")</f>
        <v/>
      </c>
      <c r="J383" s="60">
        <f>IF(AND(tblFleet[[#This Row],[Units]]&lt;&gt;"",tblFleet[[#This Row],[Available_h]]&gt;0),tblFleet[[#This Row],[Operating_h]]/tblFleet[[#This Row],[Available_h]],"")</f>
        <v/>
      </c>
    </row>
    <row r="384">
      <c r="A384" s="54" t="n"/>
      <c r="B384" s="61" t="n"/>
      <c r="C384" s="62" t="n"/>
      <c r="D384" s="57" t="n"/>
      <c r="E384" s="57" t="n"/>
      <c r="F384" s="58" t="n"/>
      <c r="G384" s="66">
        <f>IF(tblFleet[[#This Row],[Units]]="","",tblFleet[[#This Row],[Units]]*24)</f>
        <v/>
      </c>
      <c r="H384" s="66">
        <f>IF(tblFleet[[#This Row],[Units]]="","",tblFleet[[#This Row],[Calendar_h]]-tblFleet[[#This Row],[Down_h]])</f>
        <v/>
      </c>
      <c r="I384" s="60">
        <f>IF(AND(tblFleet[[#This Row],[Units]]&lt;&gt;"",tblFleet[[#This Row],[Calendar_h]]&gt;0),tblFleet[[#This Row],[Available_h]]/tblFleet[[#This Row],[Calendar_h]],"")</f>
        <v/>
      </c>
      <c r="J384" s="60">
        <f>IF(AND(tblFleet[[#This Row],[Units]]&lt;&gt;"",tblFleet[[#This Row],[Available_h]]&gt;0),tblFleet[[#This Row],[Operating_h]]/tblFleet[[#This Row],[Available_h]],"")</f>
        <v/>
      </c>
    </row>
    <row r="385">
      <c r="A385" s="54" t="n"/>
      <c r="B385" s="61" t="n"/>
      <c r="C385" s="62" t="n"/>
      <c r="D385" s="57" t="n"/>
      <c r="E385" s="57" t="n"/>
      <c r="F385" s="58" t="n"/>
      <c r="G385" s="66">
        <f>IF(tblFleet[[#This Row],[Units]]="","",tblFleet[[#This Row],[Units]]*24)</f>
        <v/>
      </c>
      <c r="H385" s="66">
        <f>IF(tblFleet[[#This Row],[Units]]="","",tblFleet[[#This Row],[Calendar_h]]-tblFleet[[#This Row],[Down_h]])</f>
        <v/>
      </c>
      <c r="I385" s="60">
        <f>IF(AND(tblFleet[[#This Row],[Units]]&lt;&gt;"",tblFleet[[#This Row],[Calendar_h]]&gt;0),tblFleet[[#This Row],[Available_h]]/tblFleet[[#This Row],[Calendar_h]],"")</f>
        <v/>
      </c>
      <c r="J385" s="60">
        <f>IF(AND(tblFleet[[#This Row],[Units]]&lt;&gt;"",tblFleet[[#This Row],[Available_h]]&gt;0),tblFleet[[#This Row],[Operating_h]]/tblFleet[[#This Row],[Available_h]],"")</f>
        <v/>
      </c>
    </row>
    <row r="386">
      <c r="A386" s="54" t="n"/>
      <c r="B386" s="61" t="n"/>
      <c r="C386" s="62" t="n"/>
      <c r="D386" s="57" t="n"/>
      <c r="E386" s="57" t="n"/>
      <c r="F386" s="58" t="n"/>
      <c r="G386" s="66">
        <f>IF(tblFleet[[#This Row],[Units]]="","",tblFleet[[#This Row],[Units]]*24)</f>
        <v/>
      </c>
      <c r="H386" s="66">
        <f>IF(tblFleet[[#This Row],[Units]]="","",tblFleet[[#This Row],[Calendar_h]]-tblFleet[[#This Row],[Down_h]])</f>
        <v/>
      </c>
      <c r="I386" s="60">
        <f>IF(AND(tblFleet[[#This Row],[Units]]&lt;&gt;"",tblFleet[[#This Row],[Calendar_h]]&gt;0),tblFleet[[#This Row],[Available_h]]/tblFleet[[#This Row],[Calendar_h]],"")</f>
        <v/>
      </c>
      <c r="J386" s="60">
        <f>IF(AND(tblFleet[[#This Row],[Units]]&lt;&gt;"",tblFleet[[#This Row],[Available_h]]&gt;0),tblFleet[[#This Row],[Operating_h]]/tblFleet[[#This Row],[Available_h]],"")</f>
        <v/>
      </c>
    </row>
    <row r="387">
      <c r="A387" s="54" t="n"/>
      <c r="B387" s="61" t="n"/>
      <c r="C387" s="62" t="n"/>
      <c r="D387" s="57" t="n"/>
      <c r="E387" s="57" t="n"/>
      <c r="F387" s="58" t="n"/>
      <c r="G387" s="66">
        <f>IF(tblFleet[[#This Row],[Units]]="","",tblFleet[[#This Row],[Units]]*24)</f>
        <v/>
      </c>
      <c r="H387" s="66">
        <f>IF(tblFleet[[#This Row],[Units]]="","",tblFleet[[#This Row],[Calendar_h]]-tblFleet[[#This Row],[Down_h]])</f>
        <v/>
      </c>
      <c r="I387" s="60">
        <f>IF(AND(tblFleet[[#This Row],[Units]]&lt;&gt;"",tblFleet[[#This Row],[Calendar_h]]&gt;0),tblFleet[[#This Row],[Available_h]]/tblFleet[[#This Row],[Calendar_h]],"")</f>
        <v/>
      </c>
      <c r="J387" s="60">
        <f>IF(AND(tblFleet[[#This Row],[Units]]&lt;&gt;"",tblFleet[[#This Row],[Available_h]]&gt;0),tblFleet[[#This Row],[Operating_h]]/tblFleet[[#This Row],[Available_h]],"")</f>
        <v/>
      </c>
    </row>
    <row r="388">
      <c r="A388" s="54" t="n"/>
      <c r="B388" s="61" t="n"/>
      <c r="C388" s="62" t="n"/>
      <c r="D388" s="57" t="n"/>
      <c r="E388" s="57" t="n"/>
      <c r="F388" s="58" t="n"/>
      <c r="G388" s="66">
        <f>IF(tblFleet[[#This Row],[Units]]="","",tblFleet[[#This Row],[Units]]*24)</f>
        <v/>
      </c>
      <c r="H388" s="66">
        <f>IF(tblFleet[[#This Row],[Units]]="","",tblFleet[[#This Row],[Calendar_h]]-tblFleet[[#This Row],[Down_h]])</f>
        <v/>
      </c>
      <c r="I388" s="60">
        <f>IF(AND(tblFleet[[#This Row],[Units]]&lt;&gt;"",tblFleet[[#This Row],[Calendar_h]]&gt;0),tblFleet[[#This Row],[Available_h]]/tblFleet[[#This Row],[Calendar_h]],"")</f>
        <v/>
      </c>
      <c r="J388" s="60">
        <f>IF(AND(tblFleet[[#This Row],[Units]]&lt;&gt;"",tblFleet[[#This Row],[Available_h]]&gt;0),tblFleet[[#This Row],[Operating_h]]/tblFleet[[#This Row],[Available_h]],"")</f>
        <v/>
      </c>
    </row>
    <row r="389">
      <c r="A389" s="54" t="n"/>
      <c r="B389" s="61" t="n"/>
      <c r="C389" s="62" t="n"/>
      <c r="D389" s="57" t="n"/>
      <c r="E389" s="57" t="n"/>
      <c r="F389" s="58" t="n"/>
      <c r="G389" s="66">
        <f>IF(tblFleet[[#This Row],[Units]]="","",tblFleet[[#This Row],[Units]]*24)</f>
        <v/>
      </c>
      <c r="H389" s="66">
        <f>IF(tblFleet[[#This Row],[Units]]="","",tblFleet[[#This Row],[Calendar_h]]-tblFleet[[#This Row],[Down_h]])</f>
        <v/>
      </c>
      <c r="I389" s="60">
        <f>IF(AND(tblFleet[[#This Row],[Units]]&lt;&gt;"",tblFleet[[#This Row],[Calendar_h]]&gt;0),tblFleet[[#This Row],[Available_h]]/tblFleet[[#This Row],[Calendar_h]],"")</f>
        <v/>
      </c>
      <c r="J389" s="60">
        <f>IF(AND(tblFleet[[#This Row],[Units]]&lt;&gt;"",tblFleet[[#This Row],[Available_h]]&gt;0),tblFleet[[#This Row],[Operating_h]]/tblFleet[[#This Row],[Available_h]],"")</f>
        <v/>
      </c>
    </row>
    <row r="390">
      <c r="A390" s="54" t="n"/>
      <c r="B390" s="61" t="n"/>
      <c r="C390" s="62" t="n"/>
      <c r="D390" s="57" t="n"/>
      <c r="E390" s="57" t="n"/>
      <c r="F390" s="58" t="n"/>
      <c r="G390" s="66">
        <f>IF(tblFleet[[#This Row],[Units]]="","",tblFleet[[#This Row],[Units]]*24)</f>
        <v/>
      </c>
      <c r="H390" s="66">
        <f>IF(tblFleet[[#This Row],[Units]]="","",tblFleet[[#This Row],[Calendar_h]]-tblFleet[[#This Row],[Down_h]])</f>
        <v/>
      </c>
      <c r="I390" s="60">
        <f>IF(AND(tblFleet[[#This Row],[Units]]&lt;&gt;"",tblFleet[[#This Row],[Calendar_h]]&gt;0),tblFleet[[#This Row],[Available_h]]/tblFleet[[#This Row],[Calendar_h]],"")</f>
        <v/>
      </c>
      <c r="J390" s="60">
        <f>IF(AND(tblFleet[[#This Row],[Units]]&lt;&gt;"",tblFleet[[#This Row],[Available_h]]&gt;0),tblFleet[[#This Row],[Operating_h]]/tblFleet[[#This Row],[Available_h]],"")</f>
        <v/>
      </c>
    </row>
    <row r="391">
      <c r="A391" s="54" t="n"/>
      <c r="B391" s="61" t="n"/>
      <c r="C391" s="62" t="n"/>
      <c r="D391" s="57" t="n"/>
      <c r="E391" s="57" t="n"/>
      <c r="F391" s="58" t="n"/>
      <c r="G391" s="66">
        <f>IF(tblFleet[[#This Row],[Units]]="","",tblFleet[[#This Row],[Units]]*24)</f>
        <v/>
      </c>
      <c r="H391" s="66">
        <f>IF(tblFleet[[#This Row],[Units]]="","",tblFleet[[#This Row],[Calendar_h]]-tblFleet[[#This Row],[Down_h]])</f>
        <v/>
      </c>
      <c r="I391" s="60">
        <f>IF(AND(tblFleet[[#This Row],[Units]]&lt;&gt;"",tblFleet[[#This Row],[Calendar_h]]&gt;0),tblFleet[[#This Row],[Available_h]]/tblFleet[[#This Row],[Calendar_h]],"")</f>
        <v/>
      </c>
      <c r="J391" s="60">
        <f>IF(AND(tblFleet[[#This Row],[Units]]&lt;&gt;"",tblFleet[[#This Row],[Available_h]]&gt;0),tblFleet[[#This Row],[Operating_h]]/tblFleet[[#This Row],[Available_h]],"")</f>
        <v/>
      </c>
    </row>
    <row r="392">
      <c r="A392" s="54" t="n"/>
      <c r="B392" s="61" t="n"/>
      <c r="C392" s="62" t="n"/>
      <c r="D392" s="57" t="n"/>
      <c r="E392" s="57" t="n"/>
      <c r="F392" s="58" t="n"/>
      <c r="G392" s="66">
        <f>IF(tblFleet[[#This Row],[Units]]="","",tblFleet[[#This Row],[Units]]*24)</f>
        <v/>
      </c>
      <c r="H392" s="66">
        <f>IF(tblFleet[[#This Row],[Units]]="","",tblFleet[[#This Row],[Calendar_h]]-tblFleet[[#This Row],[Down_h]])</f>
        <v/>
      </c>
      <c r="I392" s="60">
        <f>IF(AND(tblFleet[[#This Row],[Units]]&lt;&gt;"",tblFleet[[#This Row],[Calendar_h]]&gt;0),tblFleet[[#This Row],[Available_h]]/tblFleet[[#This Row],[Calendar_h]],"")</f>
        <v/>
      </c>
      <c r="J392" s="60">
        <f>IF(AND(tblFleet[[#This Row],[Units]]&lt;&gt;"",tblFleet[[#This Row],[Available_h]]&gt;0),tblFleet[[#This Row],[Operating_h]]/tblFleet[[#This Row],[Available_h]],"")</f>
        <v/>
      </c>
    </row>
    <row r="393">
      <c r="A393" s="54" t="n"/>
      <c r="B393" s="61" t="n"/>
      <c r="C393" s="62" t="n"/>
      <c r="D393" s="57" t="n"/>
      <c r="E393" s="57" t="n"/>
      <c r="F393" s="58" t="n"/>
      <c r="G393" s="66">
        <f>IF(tblFleet[[#This Row],[Units]]="","",tblFleet[[#This Row],[Units]]*24)</f>
        <v/>
      </c>
      <c r="H393" s="66">
        <f>IF(tblFleet[[#This Row],[Units]]="","",tblFleet[[#This Row],[Calendar_h]]-tblFleet[[#This Row],[Down_h]])</f>
        <v/>
      </c>
      <c r="I393" s="60">
        <f>IF(AND(tblFleet[[#This Row],[Units]]&lt;&gt;"",tblFleet[[#This Row],[Calendar_h]]&gt;0),tblFleet[[#This Row],[Available_h]]/tblFleet[[#This Row],[Calendar_h]],"")</f>
        <v/>
      </c>
      <c r="J393" s="60">
        <f>IF(AND(tblFleet[[#This Row],[Units]]&lt;&gt;"",tblFleet[[#This Row],[Available_h]]&gt;0),tblFleet[[#This Row],[Operating_h]]/tblFleet[[#This Row],[Available_h]],"")</f>
        <v/>
      </c>
    </row>
    <row r="394">
      <c r="A394" s="54" t="n"/>
      <c r="B394" s="61" t="n"/>
      <c r="C394" s="62" t="n"/>
      <c r="D394" s="57" t="n"/>
      <c r="E394" s="57" t="n"/>
      <c r="F394" s="58" t="n"/>
      <c r="G394" s="66">
        <f>IF(tblFleet[[#This Row],[Units]]="","",tblFleet[[#This Row],[Units]]*24)</f>
        <v/>
      </c>
      <c r="H394" s="66">
        <f>IF(tblFleet[[#This Row],[Units]]="","",tblFleet[[#This Row],[Calendar_h]]-tblFleet[[#This Row],[Down_h]])</f>
        <v/>
      </c>
      <c r="I394" s="60">
        <f>IF(AND(tblFleet[[#This Row],[Units]]&lt;&gt;"",tblFleet[[#This Row],[Calendar_h]]&gt;0),tblFleet[[#This Row],[Available_h]]/tblFleet[[#This Row],[Calendar_h]],"")</f>
        <v/>
      </c>
      <c r="J394" s="60">
        <f>IF(AND(tblFleet[[#This Row],[Units]]&lt;&gt;"",tblFleet[[#This Row],[Available_h]]&gt;0),tblFleet[[#This Row],[Operating_h]]/tblFleet[[#This Row],[Available_h]],"")</f>
        <v/>
      </c>
    </row>
    <row r="395">
      <c r="A395" s="54" t="n"/>
      <c r="B395" s="61" t="n"/>
      <c r="C395" s="62" t="n"/>
      <c r="D395" s="57" t="n"/>
      <c r="E395" s="57" t="n"/>
      <c r="F395" s="58" t="n"/>
      <c r="G395" s="66">
        <f>IF(tblFleet[[#This Row],[Units]]="","",tblFleet[[#This Row],[Units]]*24)</f>
        <v/>
      </c>
      <c r="H395" s="66">
        <f>IF(tblFleet[[#This Row],[Units]]="","",tblFleet[[#This Row],[Calendar_h]]-tblFleet[[#This Row],[Down_h]])</f>
        <v/>
      </c>
      <c r="I395" s="60">
        <f>IF(AND(tblFleet[[#This Row],[Units]]&lt;&gt;"",tblFleet[[#This Row],[Calendar_h]]&gt;0),tblFleet[[#This Row],[Available_h]]/tblFleet[[#This Row],[Calendar_h]],"")</f>
        <v/>
      </c>
      <c r="J395" s="60">
        <f>IF(AND(tblFleet[[#This Row],[Units]]&lt;&gt;"",tblFleet[[#This Row],[Available_h]]&gt;0),tblFleet[[#This Row],[Operating_h]]/tblFleet[[#This Row],[Available_h]],"")</f>
        <v/>
      </c>
    </row>
    <row r="396">
      <c r="A396" s="54" t="n"/>
      <c r="B396" s="61" t="n"/>
      <c r="C396" s="62" t="n"/>
      <c r="D396" s="57" t="n"/>
      <c r="E396" s="57" t="n"/>
      <c r="F396" s="58" t="n"/>
      <c r="G396" s="66">
        <f>IF(tblFleet[[#This Row],[Units]]="","",tblFleet[[#This Row],[Units]]*24)</f>
        <v/>
      </c>
      <c r="H396" s="66">
        <f>IF(tblFleet[[#This Row],[Units]]="","",tblFleet[[#This Row],[Calendar_h]]-tblFleet[[#This Row],[Down_h]])</f>
        <v/>
      </c>
      <c r="I396" s="60">
        <f>IF(AND(tblFleet[[#This Row],[Units]]&lt;&gt;"",tblFleet[[#This Row],[Calendar_h]]&gt;0),tblFleet[[#This Row],[Available_h]]/tblFleet[[#This Row],[Calendar_h]],"")</f>
        <v/>
      </c>
      <c r="J396" s="60">
        <f>IF(AND(tblFleet[[#This Row],[Units]]&lt;&gt;"",tblFleet[[#This Row],[Available_h]]&gt;0),tblFleet[[#This Row],[Operating_h]]/tblFleet[[#This Row],[Available_h]],"")</f>
        <v/>
      </c>
    </row>
    <row r="397">
      <c r="A397" s="54" t="n"/>
      <c r="B397" s="61" t="n"/>
      <c r="C397" s="62" t="n"/>
      <c r="D397" s="57" t="n"/>
      <c r="E397" s="57" t="n"/>
      <c r="F397" s="58" t="n"/>
      <c r="G397" s="66">
        <f>IF(tblFleet[[#This Row],[Units]]="","",tblFleet[[#This Row],[Units]]*24)</f>
        <v/>
      </c>
      <c r="H397" s="66">
        <f>IF(tblFleet[[#This Row],[Units]]="","",tblFleet[[#This Row],[Calendar_h]]-tblFleet[[#This Row],[Down_h]])</f>
        <v/>
      </c>
      <c r="I397" s="60">
        <f>IF(AND(tblFleet[[#This Row],[Units]]&lt;&gt;"",tblFleet[[#This Row],[Calendar_h]]&gt;0),tblFleet[[#This Row],[Available_h]]/tblFleet[[#This Row],[Calendar_h]],"")</f>
        <v/>
      </c>
      <c r="J397" s="60">
        <f>IF(AND(tblFleet[[#This Row],[Units]]&lt;&gt;"",tblFleet[[#This Row],[Available_h]]&gt;0),tblFleet[[#This Row],[Operating_h]]/tblFleet[[#This Row],[Available_h]],"")</f>
        <v/>
      </c>
    </row>
    <row r="398">
      <c r="A398" s="54" t="n"/>
      <c r="B398" s="61" t="n"/>
      <c r="C398" s="62" t="n"/>
      <c r="D398" s="57" t="n"/>
      <c r="E398" s="57" t="n"/>
      <c r="F398" s="58" t="n"/>
      <c r="G398" s="66">
        <f>IF(tblFleet[[#This Row],[Units]]="","",tblFleet[[#This Row],[Units]]*24)</f>
        <v/>
      </c>
      <c r="H398" s="66">
        <f>IF(tblFleet[[#This Row],[Units]]="","",tblFleet[[#This Row],[Calendar_h]]-tblFleet[[#This Row],[Down_h]])</f>
        <v/>
      </c>
      <c r="I398" s="60">
        <f>IF(AND(tblFleet[[#This Row],[Units]]&lt;&gt;"",tblFleet[[#This Row],[Calendar_h]]&gt;0),tblFleet[[#This Row],[Available_h]]/tblFleet[[#This Row],[Calendar_h]],"")</f>
        <v/>
      </c>
      <c r="J398" s="60">
        <f>IF(AND(tblFleet[[#This Row],[Units]]&lt;&gt;"",tblFleet[[#This Row],[Available_h]]&gt;0),tblFleet[[#This Row],[Operating_h]]/tblFleet[[#This Row],[Available_h]],"")</f>
        <v/>
      </c>
    </row>
    <row r="399">
      <c r="A399" s="54" t="n"/>
      <c r="B399" s="61" t="n"/>
      <c r="C399" s="62" t="n"/>
      <c r="D399" s="57" t="n"/>
      <c r="E399" s="57" t="n"/>
      <c r="F399" s="58" t="n"/>
      <c r="G399" s="66">
        <f>IF(tblFleet[[#This Row],[Units]]="","",tblFleet[[#This Row],[Units]]*24)</f>
        <v/>
      </c>
      <c r="H399" s="66">
        <f>IF(tblFleet[[#This Row],[Units]]="","",tblFleet[[#This Row],[Calendar_h]]-tblFleet[[#This Row],[Down_h]])</f>
        <v/>
      </c>
      <c r="I399" s="60">
        <f>IF(AND(tblFleet[[#This Row],[Units]]&lt;&gt;"",tblFleet[[#This Row],[Calendar_h]]&gt;0),tblFleet[[#This Row],[Available_h]]/tblFleet[[#This Row],[Calendar_h]],"")</f>
        <v/>
      </c>
      <c r="J399" s="60">
        <f>IF(AND(tblFleet[[#This Row],[Units]]&lt;&gt;"",tblFleet[[#This Row],[Available_h]]&gt;0),tblFleet[[#This Row],[Operating_h]]/tblFleet[[#This Row],[Available_h]],"")</f>
        <v/>
      </c>
    </row>
    <row r="400">
      <c r="A400" s="54" t="n"/>
      <c r="B400" s="61" t="n"/>
      <c r="C400" s="62" t="n"/>
      <c r="D400" s="57" t="n"/>
      <c r="E400" s="57" t="n"/>
      <c r="F400" s="58" t="n"/>
      <c r="G400" s="66">
        <f>IF(tblFleet[[#This Row],[Units]]="","",tblFleet[[#This Row],[Units]]*24)</f>
        <v/>
      </c>
      <c r="H400" s="66">
        <f>IF(tblFleet[[#This Row],[Units]]="","",tblFleet[[#This Row],[Calendar_h]]-tblFleet[[#This Row],[Down_h]])</f>
        <v/>
      </c>
      <c r="I400" s="60">
        <f>IF(AND(tblFleet[[#This Row],[Units]]&lt;&gt;"",tblFleet[[#This Row],[Calendar_h]]&gt;0),tblFleet[[#This Row],[Available_h]]/tblFleet[[#This Row],[Calendar_h]],"")</f>
        <v/>
      </c>
      <c r="J400" s="60">
        <f>IF(AND(tblFleet[[#This Row],[Units]]&lt;&gt;"",tblFleet[[#This Row],[Available_h]]&gt;0),tblFleet[[#This Row],[Operating_h]]/tblFleet[[#This Row],[Available_h]],"")</f>
        <v/>
      </c>
    </row>
    <row r="401">
      <c r="A401" s="54" t="n"/>
      <c r="B401" s="61" t="n"/>
      <c r="C401" s="62" t="n"/>
      <c r="D401" s="57" t="n"/>
      <c r="E401" s="57" t="n"/>
      <c r="F401" s="58" t="n"/>
      <c r="G401" s="66">
        <f>IF(tblFleet[[#This Row],[Units]]="","",tblFleet[[#This Row],[Units]]*24)</f>
        <v/>
      </c>
      <c r="H401" s="66">
        <f>IF(tblFleet[[#This Row],[Units]]="","",tblFleet[[#This Row],[Calendar_h]]-tblFleet[[#This Row],[Down_h]])</f>
        <v/>
      </c>
      <c r="I401" s="60">
        <f>IF(AND(tblFleet[[#This Row],[Units]]&lt;&gt;"",tblFleet[[#This Row],[Calendar_h]]&gt;0),tblFleet[[#This Row],[Available_h]]/tblFleet[[#This Row],[Calendar_h]],"")</f>
        <v/>
      </c>
      <c r="J401" s="60">
        <f>IF(AND(tblFleet[[#This Row],[Units]]&lt;&gt;"",tblFleet[[#This Row],[Available_h]]&gt;0),tblFleet[[#This Row],[Operating_h]]/tblFleet[[#This Row],[Available_h]],"")</f>
        <v/>
      </c>
    </row>
    <row r="402">
      <c r="A402" s="54" t="n"/>
      <c r="B402" s="61" t="n"/>
      <c r="C402" s="62" t="n"/>
      <c r="D402" s="57" t="n"/>
      <c r="E402" s="57" t="n"/>
      <c r="F402" s="58" t="n"/>
      <c r="G402" s="66">
        <f>IF(tblFleet[[#This Row],[Units]]="","",tblFleet[[#This Row],[Units]]*24)</f>
        <v/>
      </c>
      <c r="H402" s="66">
        <f>IF(tblFleet[[#This Row],[Units]]="","",tblFleet[[#This Row],[Calendar_h]]-tblFleet[[#This Row],[Down_h]])</f>
        <v/>
      </c>
      <c r="I402" s="60">
        <f>IF(AND(tblFleet[[#This Row],[Units]]&lt;&gt;"",tblFleet[[#This Row],[Calendar_h]]&gt;0),tblFleet[[#This Row],[Available_h]]/tblFleet[[#This Row],[Calendar_h]],"")</f>
        <v/>
      </c>
      <c r="J402" s="60">
        <f>IF(AND(tblFleet[[#This Row],[Units]]&lt;&gt;"",tblFleet[[#This Row],[Available_h]]&gt;0),tblFleet[[#This Row],[Operating_h]]/tblFleet[[#This Row],[Available_h]],"")</f>
        <v/>
      </c>
    </row>
    <row r="403">
      <c r="A403" s="54" t="n"/>
      <c r="B403" s="61" t="n"/>
      <c r="C403" s="62" t="n"/>
      <c r="D403" s="57" t="n"/>
      <c r="E403" s="57" t="n"/>
      <c r="F403" s="58" t="n"/>
      <c r="G403" s="66">
        <f>IF(tblFleet[[#This Row],[Units]]="","",tblFleet[[#This Row],[Units]]*24)</f>
        <v/>
      </c>
      <c r="H403" s="66">
        <f>IF(tblFleet[[#This Row],[Units]]="","",tblFleet[[#This Row],[Calendar_h]]-tblFleet[[#This Row],[Down_h]])</f>
        <v/>
      </c>
      <c r="I403" s="60">
        <f>IF(AND(tblFleet[[#This Row],[Units]]&lt;&gt;"",tblFleet[[#This Row],[Calendar_h]]&gt;0),tblFleet[[#This Row],[Available_h]]/tblFleet[[#This Row],[Calendar_h]],"")</f>
        <v/>
      </c>
      <c r="J403" s="60">
        <f>IF(AND(tblFleet[[#This Row],[Units]]&lt;&gt;"",tblFleet[[#This Row],[Available_h]]&gt;0),tblFleet[[#This Row],[Operating_h]]/tblFleet[[#This Row],[Available_h]],"")</f>
        <v/>
      </c>
    </row>
    <row r="404">
      <c r="A404" s="54" t="n"/>
      <c r="B404" s="61" t="n"/>
      <c r="C404" s="62" t="n"/>
      <c r="D404" s="57" t="n"/>
      <c r="E404" s="57" t="n"/>
      <c r="F404" s="58" t="n"/>
      <c r="G404" s="66">
        <f>IF(tblFleet[[#This Row],[Units]]="","",tblFleet[[#This Row],[Units]]*24)</f>
        <v/>
      </c>
      <c r="H404" s="66">
        <f>IF(tblFleet[[#This Row],[Units]]="","",tblFleet[[#This Row],[Calendar_h]]-tblFleet[[#This Row],[Down_h]])</f>
        <v/>
      </c>
      <c r="I404" s="60">
        <f>IF(AND(tblFleet[[#This Row],[Units]]&lt;&gt;"",tblFleet[[#This Row],[Calendar_h]]&gt;0),tblFleet[[#This Row],[Available_h]]/tblFleet[[#This Row],[Calendar_h]],"")</f>
        <v/>
      </c>
      <c r="J404" s="60">
        <f>IF(AND(tblFleet[[#This Row],[Units]]&lt;&gt;"",tblFleet[[#This Row],[Available_h]]&gt;0),tblFleet[[#This Row],[Operating_h]]/tblFleet[[#This Row],[Available_h]],"")</f>
        <v/>
      </c>
    </row>
    <row r="405">
      <c r="A405" s="54" t="n"/>
      <c r="B405" s="61" t="n"/>
      <c r="C405" s="62" t="n"/>
      <c r="D405" s="57" t="n"/>
      <c r="E405" s="57" t="n"/>
      <c r="F405" s="58" t="n"/>
      <c r="G405" s="66">
        <f>IF(tblFleet[[#This Row],[Units]]="","",tblFleet[[#This Row],[Units]]*24)</f>
        <v/>
      </c>
      <c r="H405" s="66">
        <f>IF(tblFleet[[#This Row],[Units]]="","",tblFleet[[#This Row],[Calendar_h]]-tblFleet[[#This Row],[Down_h]])</f>
        <v/>
      </c>
      <c r="I405" s="60">
        <f>IF(AND(tblFleet[[#This Row],[Units]]&lt;&gt;"",tblFleet[[#This Row],[Calendar_h]]&gt;0),tblFleet[[#This Row],[Available_h]]/tblFleet[[#This Row],[Calendar_h]],"")</f>
        <v/>
      </c>
      <c r="J405" s="60">
        <f>IF(AND(tblFleet[[#This Row],[Units]]&lt;&gt;"",tblFleet[[#This Row],[Available_h]]&gt;0),tblFleet[[#This Row],[Operating_h]]/tblFleet[[#This Row],[Available_h]],"")</f>
        <v/>
      </c>
    </row>
    <row r="406">
      <c r="A406" s="54" t="n"/>
      <c r="B406" s="61" t="n"/>
      <c r="C406" s="62" t="n"/>
      <c r="D406" s="57" t="n"/>
      <c r="E406" s="57" t="n"/>
      <c r="F406" s="58" t="n"/>
      <c r="G406" s="66">
        <f>IF(tblFleet[[#This Row],[Units]]="","",tblFleet[[#This Row],[Units]]*24)</f>
        <v/>
      </c>
      <c r="H406" s="66">
        <f>IF(tblFleet[[#This Row],[Units]]="","",tblFleet[[#This Row],[Calendar_h]]-tblFleet[[#This Row],[Down_h]])</f>
        <v/>
      </c>
      <c r="I406" s="60">
        <f>IF(AND(tblFleet[[#This Row],[Units]]&lt;&gt;"",tblFleet[[#This Row],[Calendar_h]]&gt;0),tblFleet[[#This Row],[Available_h]]/tblFleet[[#This Row],[Calendar_h]],"")</f>
        <v/>
      </c>
      <c r="J406" s="60">
        <f>IF(AND(tblFleet[[#This Row],[Units]]&lt;&gt;"",tblFleet[[#This Row],[Available_h]]&gt;0),tblFleet[[#This Row],[Operating_h]]/tblFleet[[#This Row],[Available_h]],"")</f>
        <v/>
      </c>
    </row>
    <row r="407">
      <c r="A407" s="54" t="n"/>
      <c r="B407" s="61" t="n"/>
      <c r="C407" s="62" t="n"/>
      <c r="D407" s="57" t="n"/>
      <c r="E407" s="57" t="n"/>
      <c r="F407" s="58" t="n"/>
      <c r="G407" s="66">
        <f>IF(tblFleet[[#This Row],[Units]]="","",tblFleet[[#This Row],[Units]]*24)</f>
        <v/>
      </c>
      <c r="H407" s="66">
        <f>IF(tblFleet[[#This Row],[Units]]="","",tblFleet[[#This Row],[Calendar_h]]-tblFleet[[#This Row],[Down_h]])</f>
        <v/>
      </c>
      <c r="I407" s="60">
        <f>IF(AND(tblFleet[[#This Row],[Units]]&lt;&gt;"",tblFleet[[#This Row],[Calendar_h]]&gt;0),tblFleet[[#This Row],[Available_h]]/tblFleet[[#This Row],[Calendar_h]],"")</f>
        <v/>
      </c>
      <c r="J407" s="60">
        <f>IF(AND(tblFleet[[#This Row],[Units]]&lt;&gt;"",tblFleet[[#This Row],[Available_h]]&gt;0),tblFleet[[#This Row],[Operating_h]]/tblFleet[[#This Row],[Available_h]],"")</f>
        <v/>
      </c>
    </row>
    <row r="408">
      <c r="A408" s="54" t="n"/>
      <c r="B408" s="61" t="n"/>
      <c r="C408" s="62" t="n"/>
      <c r="D408" s="57" t="n"/>
      <c r="E408" s="57" t="n"/>
      <c r="F408" s="58" t="n"/>
      <c r="G408" s="66">
        <f>IF(tblFleet[[#This Row],[Units]]="","",tblFleet[[#This Row],[Units]]*24)</f>
        <v/>
      </c>
      <c r="H408" s="66">
        <f>IF(tblFleet[[#This Row],[Units]]="","",tblFleet[[#This Row],[Calendar_h]]-tblFleet[[#This Row],[Down_h]])</f>
        <v/>
      </c>
      <c r="I408" s="60">
        <f>IF(AND(tblFleet[[#This Row],[Units]]&lt;&gt;"",tblFleet[[#This Row],[Calendar_h]]&gt;0),tblFleet[[#This Row],[Available_h]]/tblFleet[[#This Row],[Calendar_h]],"")</f>
        <v/>
      </c>
      <c r="J408" s="60">
        <f>IF(AND(tblFleet[[#This Row],[Units]]&lt;&gt;"",tblFleet[[#This Row],[Available_h]]&gt;0),tblFleet[[#This Row],[Operating_h]]/tblFleet[[#This Row],[Available_h]],"")</f>
        <v/>
      </c>
    </row>
    <row r="409">
      <c r="A409" s="54" t="n"/>
      <c r="B409" s="61" t="n"/>
      <c r="C409" s="62" t="n"/>
      <c r="D409" s="57" t="n"/>
      <c r="E409" s="57" t="n"/>
      <c r="F409" s="58" t="n"/>
      <c r="G409" s="66">
        <f>IF(tblFleet[[#This Row],[Units]]="","",tblFleet[[#This Row],[Units]]*24)</f>
        <v/>
      </c>
      <c r="H409" s="66">
        <f>IF(tblFleet[[#This Row],[Units]]="","",tblFleet[[#This Row],[Calendar_h]]-tblFleet[[#This Row],[Down_h]])</f>
        <v/>
      </c>
      <c r="I409" s="60">
        <f>IF(AND(tblFleet[[#This Row],[Units]]&lt;&gt;"",tblFleet[[#This Row],[Calendar_h]]&gt;0),tblFleet[[#This Row],[Available_h]]/tblFleet[[#This Row],[Calendar_h]],"")</f>
        <v/>
      </c>
      <c r="J409" s="60">
        <f>IF(AND(tblFleet[[#This Row],[Units]]&lt;&gt;"",tblFleet[[#This Row],[Available_h]]&gt;0),tblFleet[[#This Row],[Operating_h]]/tblFleet[[#This Row],[Available_h]],"")</f>
        <v/>
      </c>
    </row>
    <row r="410">
      <c r="A410" s="54" t="n"/>
      <c r="B410" s="61" t="n"/>
      <c r="C410" s="62" t="n"/>
      <c r="D410" s="57" t="n"/>
      <c r="E410" s="57" t="n"/>
      <c r="F410" s="58" t="n"/>
      <c r="G410" s="66">
        <f>IF(tblFleet[[#This Row],[Units]]="","",tblFleet[[#This Row],[Units]]*24)</f>
        <v/>
      </c>
      <c r="H410" s="66">
        <f>IF(tblFleet[[#This Row],[Units]]="","",tblFleet[[#This Row],[Calendar_h]]-tblFleet[[#This Row],[Down_h]])</f>
        <v/>
      </c>
      <c r="I410" s="60">
        <f>IF(AND(tblFleet[[#This Row],[Units]]&lt;&gt;"",tblFleet[[#This Row],[Calendar_h]]&gt;0),tblFleet[[#This Row],[Available_h]]/tblFleet[[#This Row],[Calendar_h]],"")</f>
        <v/>
      </c>
      <c r="J410" s="60">
        <f>IF(AND(tblFleet[[#This Row],[Units]]&lt;&gt;"",tblFleet[[#This Row],[Available_h]]&gt;0),tblFleet[[#This Row],[Operating_h]]/tblFleet[[#This Row],[Available_h]],"")</f>
        <v/>
      </c>
    </row>
    <row r="411">
      <c r="A411" s="54" t="n"/>
      <c r="B411" s="61" t="n"/>
      <c r="C411" s="62" t="n"/>
      <c r="D411" s="57" t="n"/>
      <c r="E411" s="57" t="n"/>
      <c r="F411" s="58" t="n"/>
      <c r="G411" s="66">
        <f>IF(tblFleet[[#This Row],[Units]]="","",tblFleet[[#This Row],[Units]]*24)</f>
        <v/>
      </c>
      <c r="H411" s="66">
        <f>IF(tblFleet[[#This Row],[Units]]="","",tblFleet[[#This Row],[Calendar_h]]-tblFleet[[#This Row],[Down_h]])</f>
        <v/>
      </c>
      <c r="I411" s="60">
        <f>IF(AND(tblFleet[[#This Row],[Units]]&lt;&gt;"",tblFleet[[#This Row],[Calendar_h]]&gt;0),tblFleet[[#This Row],[Available_h]]/tblFleet[[#This Row],[Calendar_h]],"")</f>
        <v/>
      </c>
      <c r="J411" s="60">
        <f>IF(AND(tblFleet[[#This Row],[Units]]&lt;&gt;"",tblFleet[[#This Row],[Available_h]]&gt;0),tblFleet[[#This Row],[Operating_h]]/tblFleet[[#This Row],[Available_h]],"")</f>
        <v/>
      </c>
    </row>
    <row r="412">
      <c r="A412" s="54" t="n"/>
      <c r="B412" s="61" t="n"/>
      <c r="C412" s="62" t="n"/>
      <c r="D412" s="57" t="n"/>
      <c r="E412" s="57" t="n"/>
      <c r="F412" s="58" t="n"/>
      <c r="G412" s="66">
        <f>IF(tblFleet[[#This Row],[Units]]="","",tblFleet[[#This Row],[Units]]*24)</f>
        <v/>
      </c>
      <c r="H412" s="66">
        <f>IF(tblFleet[[#This Row],[Units]]="","",tblFleet[[#This Row],[Calendar_h]]-tblFleet[[#This Row],[Down_h]])</f>
        <v/>
      </c>
      <c r="I412" s="60">
        <f>IF(AND(tblFleet[[#This Row],[Units]]&lt;&gt;"",tblFleet[[#This Row],[Calendar_h]]&gt;0),tblFleet[[#This Row],[Available_h]]/tblFleet[[#This Row],[Calendar_h]],"")</f>
        <v/>
      </c>
      <c r="J412" s="60">
        <f>IF(AND(tblFleet[[#This Row],[Units]]&lt;&gt;"",tblFleet[[#This Row],[Available_h]]&gt;0),tblFleet[[#This Row],[Operating_h]]/tblFleet[[#This Row],[Available_h]],"")</f>
        <v/>
      </c>
    </row>
    <row r="413">
      <c r="A413" s="54" t="n"/>
      <c r="B413" s="61" t="n"/>
      <c r="C413" s="62" t="n"/>
      <c r="D413" s="57" t="n"/>
      <c r="E413" s="57" t="n"/>
      <c r="F413" s="58" t="n"/>
      <c r="G413" s="66">
        <f>IF(tblFleet[[#This Row],[Units]]="","",tblFleet[[#This Row],[Units]]*24)</f>
        <v/>
      </c>
      <c r="H413" s="66">
        <f>IF(tblFleet[[#This Row],[Units]]="","",tblFleet[[#This Row],[Calendar_h]]-tblFleet[[#This Row],[Down_h]])</f>
        <v/>
      </c>
      <c r="I413" s="60">
        <f>IF(AND(tblFleet[[#This Row],[Units]]&lt;&gt;"",tblFleet[[#This Row],[Calendar_h]]&gt;0),tblFleet[[#This Row],[Available_h]]/tblFleet[[#This Row],[Calendar_h]],"")</f>
        <v/>
      </c>
      <c r="J413" s="60">
        <f>IF(AND(tblFleet[[#This Row],[Units]]&lt;&gt;"",tblFleet[[#This Row],[Available_h]]&gt;0),tblFleet[[#This Row],[Operating_h]]/tblFleet[[#This Row],[Available_h]],"")</f>
        <v/>
      </c>
    </row>
    <row r="414">
      <c r="A414" s="54" t="n"/>
      <c r="B414" s="61" t="n"/>
      <c r="C414" s="62" t="n"/>
      <c r="D414" s="57" t="n"/>
      <c r="E414" s="57" t="n"/>
      <c r="F414" s="58" t="n"/>
      <c r="G414" s="66">
        <f>IF(tblFleet[[#This Row],[Units]]="","",tblFleet[[#This Row],[Units]]*24)</f>
        <v/>
      </c>
      <c r="H414" s="66">
        <f>IF(tblFleet[[#This Row],[Units]]="","",tblFleet[[#This Row],[Calendar_h]]-tblFleet[[#This Row],[Down_h]])</f>
        <v/>
      </c>
      <c r="I414" s="60">
        <f>IF(AND(tblFleet[[#This Row],[Units]]&lt;&gt;"",tblFleet[[#This Row],[Calendar_h]]&gt;0),tblFleet[[#This Row],[Available_h]]/tblFleet[[#This Row],[Calendar_h]],"")</f>
        <v/>
      </c>
      <c r="J414" s="60">
        <f>IF(AND(tblFleet[[#This Row],[Units]]&lt;&gt;"",tblFleet[[#This Row],[Available_h]]&gt;0),tblFleet[[#This Row],[Operating_h]]/tblFleet[[#This Row],[Available_h]],"")</f>
        <v/>
      </c>
    </row>
    <row r="415">
      <c r="A415" s="54" t="n"/>
      <c r="B415" s="61" t="n"/>
      <c r="C415" s="62" t="n"/>
      <c r="D415" s="57" t="n"/>
      <c r="E415" s="57" t="n"/>
      <c r="F415" s="58" t="n"/>
      <c r="G415" s="66">
        <f>IF(tblFleet[[#This Row],[Units]]="","",tblFleet[[#This Row],[Units]]*24)</f>
        <v/>
      </c>
      <c r="H415" s="66">
        <f>IF(tblFleet[[#This Row],[Units]]="","",tblFleet[[#This Row],[Calendar_h]]-tblFleet[[#This Row],[Down_h]])</f>
        <v/>
      </c>
      <c r="I415" s="60">
        <f>IF(AND(tblFleet[[#This Row],[Units]]&lt;&gt;"",tblFleet[[#This Row],[Calendar_h]]&gt;0),tblFleet[[#This Row],[Available_h]]/tblFleet[[#This Row],[Calendar_h]],"")</f>
        <v/>
      </c>
      <c r="J415" s="60">
        <f>IF(AND(tblFleet[[#This Row],[Units]]&lt;&gt;"",tblFleet[[#This Row],[Available_h]]&gt;0),tblFleet[[#This Row],[Operating_h]]/tblFleet[[#This Row],[Available_h]],"")</f>
        <v/>
      </c>
    </row>
    <row r="416">
      <c r="A416" s="54" t="n"/>
      <c r="B416" s="61" t="n"/>
      <c r="C416" s="62" t="n"/>
      <c r="D416" s="57" t="n"/>
      <c r="E416" s="57" t="n"/>
      <c r="F416" s="58" t="n"/>
      <c r="G416" s="66">
        <f>IF(tblFleet[[#This Row],[Units]]="","",tblFleet[[#This Row],[Units]]*24)</f>
        <v/>
      </c>
      <c r="H416" s="66">
        <f>IF(tblFleet[[#This Row],[Units]]="","",tblFleet[[#This Row],[Calendar_h]]-tblFleet[[#This Row],[Down_h]])</f>
        <v/>
      </c>
      <c r="I416" s="60">
        <f>IF(AND(tblFleet[[#This Row],[Units]]&lt;&gt;"",tblFleet[[#This Row],[Calendar_h]]&gt;0),tblFleet[[#This Row],[Available_h]]/tblFleet[[#This Row],[Calendar_h]],"")</f>
        <v/>
      </c>
      <c r="J416" s="60">
        <f>IF(AND(tblFleet[[#This Row],[Units]]&lt;&gt;"",tblFleet[[#This Row],[Available_h]]&gt;0),tblFleet[[#This Row],[Operating_h]]/tblFleet[[#This Row],[Available_h]],"")</f>
        <v/>
      </c>
    </row>
    <row r="417">
      <c r="A417" s="54" t="n"/>
      <c r="B417" s="61" t="n"/>
      <c r="C417" s="62" t="n"/>
      <c r="D417" s="57" t="n"/>
      <c r="E417" s="57" t="n"/>
      <c r="F417" s="58" t="n"/>
      <c r="G417" s="66">
        <f>IF(tblFleet[[#This Row],[Units]]="","",tblFleet[[#This Row],[Units]]*24)</f>
        <v/>
      </c>
      <c r="H417" s="66">
        <f>IF(tblFleet[[#This Row],[Units]]="","",tblFleet[[#This Row],[Calendar_h]]-tblFleet[[#This Row],[Down_h]])</f>
        <v/>
      </c>
      <c r="I417" s="60">
        <f>IF(AND(tblFleet[[#This Row],[Units]]&lt;&gt;"",tblFleet[[#This Row],[Calendar_h]]&gt;0),tblFleet[[#This Row],[Available_h]]/tblFleet[[#This Row],[Calendar_h]],"")</f>
        <v/>
      </c>
      <c r="J417" s="60">
        <f>IF(AND(tblFleet[[#This Row],[Units]]&lt;&gt;"",tblFleet[[#This Row],[Available_h]]&gt;0),tblFleet[[#This Row],[Operating_h]]/tblFleet[[#This Row],[Available_h]],"")</f>
        <v/>
      </c>
    </row>
    <row r="418">
      <c r="A418" s="54" t="n"/>
      <c r="B418" s="61" t="n"/>
      <c r="C418" s="62" t="n"/>
      <c r="D418" s="57" t="n"/>
      <c r="E418" s="57" t="n"/>
      <c r="F418" s="58" t="n"/>
      <c r="G418" s="66">
        <f>IF(tblFleet[[#This Row],[Units]]="","",tblFleet[[#This Row],[Units]]*24)</f>
        <v/>
      </c>
      <c r="H418" s="66">
        <f>IF(tblFleet[[#This Row],[Units]]="","",tblFleet[[#This Row],[Calendar_h]]-tblFleet[[#This Row],[Down_h]])</f>
        <v/>
      </c>
      <c r="I418" s="60">
        <f>IF(AND(tblFleet[[#This Row],[Units]]&lt;&gt;"",tblFleet[[#This Row],[Calendar_h]]&gt;0),tblFleet[[#This Row],[Available_h]]/tblFleet[[#This Row],[Calendar_h]],"")</f>
        <v/>
      </c>
      <c r="J418" s="60">
        <f>IF(AND(tblFleet[[#This Row],[Units]]&lt;&gt;"",tblFleet[[#This Row],[Available_h]]&gt;0),tblFleet[[#This Row],[Operating_h]]/tblFleet[[#This Row],[Available_h]],"")</f>
        <v/>
      </c>
    </row>
    <row r="419">
      <c r="A419" s="54" t="n"/>
      <c r="B419" s="61" t="n"/>
      <c r="C419" s="62" t="n"/>
      <c r="D419" s="57" t="n"/>
      <c r="E419" s="57" t="n"/>
      <c r="F419" s="58" t="n"/>
      <c r="G419" s="66">
        <f>IF(tblFleet[[#This Row],[Units]]="","",tblFleet[[#This Row],[Units]]*24)</f>
        <v/>
      </c>
      <c r="H419" s="66">
        <f>IF(tblFleet[[#This Row],[Units]]="","",tblFleet[[#This Row],[Calendar_h]]-tblFleet[[#This Row],[Down_h]])</f>
        <v/>
      </c>
      <c r="I419" s="60">
        <f>IF(AND(tblFleet[[#This Row],[Units]]&lt;&gt;"",tblFleet[[#This Row],[Calendar_h]]&gt;0),tblFleet[[#This Row],[Available_h]]/tblFleet[[#This Row],[Calendar_h]],"")</f>
        <v/>
      </c>
      <c r="J419" s="60">
        <f>IF(AND(tblFleet[[#This Row],[Units]]&lt;&gt;"",tblFleet[[#This Row],[Available_h]]&gt;0),tblFleet[[#This Row],[Operating_h]]/tblFleet[[#This Row],[Available_h]],"")</f>
        <v/>
      </c>
    </row>
    <row r="420">
      <c r="A420" s="54" t="n"/>
      <c r="B420" s="61" t="n"/>
      <c r="C420" s="62" t="n"/>
      <c r="D420" s="57" t="n"/>
      <c r="E420" s="57" t="n"/>
      <c r="F420" s="58" t="n"/>
      <c r="G420" s="66">
        <f>IF(tblFleet[[#This Row],[Units]]="","",tblFleet[[#This Row],[Units]]*24)</f>
        <v/>
      </c>
      <c r="H420" s="66">
        <f>IF(tblFleet[[#This Row],[Units]]="","",tblFleet[[#This Row],[Calendar_h]]-tblFleet[[#This Row],[Down_h]])</f>
        <v/>
      </c>
      <c r="I420" s="60">
        <f>IF(AND(tblFleet[[#This Row],[Units]]&lt;&gt;"",tblFleet[[#This Row],[Calendar_h]]&gt;0),tblFleet[[#This Row],[Available_h]]/tblFleet[[#This Row],[Calendar_h]],"")</f>
        <v/>
      </c>
      <c r="J420" s="60">
        <f>IF(AND(tblFleet[[#This Row],[Units]]&lt;&gt;"",tblFleet[[#This Row],[Available_h]]&gt;0),tblFleet[[#This Row],[Operating_h]]/tblFleet[[#This Row],[Available_h]],"")</f>
        <v/>
      </c>
    </row>
    <row r="421">
      <c r="A421" s="54" t="n"/>
      <c r="B421" s="61" t="n"/>
      <c r="C421" s="62" t="n"/>
      <c r="D421" s="57" t="n"/>
      <c r="E421" s="57" t="n"/>
      <c r="F421" s="58" t="n"/>
      <c r="G421" s="66">
        <f>IF(tblFleet[[#This Row],[Units]]="","",tblFleet[[#This Row],[Units]]*24)</f>
        <v/>
      </c>
      <c r="H421" s="66">
        <f>IF(tblFleet[[#This Row],[Units]]="","",tblFleet[[#This Row],[Calendar_h]]-tblFleet[[#This Row],[Down_h]])</f>
        <v/>
      </c>
      <c r="I421" s="60">
        <f>IF(AND(tblFleet[[#This Row],[Units]]&lt;&gt;"",tblFleet[[#This Row],[Calendar_h]]&gt;0),tblFleet[[#This Row],[Available_h]]/tblFleet[[#This Row],[Calendar_h]],"")</f>
        <v/>
      </c>
      <c r="J421" s="60">
        <f>IF(AND(tblFleet[[#This Row],[Units]]&lt;&gt;"",tblFleet[[#This Row],[Available_h]]&gt;0),tblFleet[[#This Row],[Operating_h]]/tblFleet[[#This Row],[Available_h]],"")</f>
        <v/>
      </c>
    </row>
    <row r="422">
      <c r="A422" s="54" t="n"/>
      <c r="B422" s="61" t="n"/>
      <c r="C422" s="62" t="n"/>
      <c r="D422" s="57" t="n"/>
      <c r="E422" s="57" t="n"/>
      <c r="F422" s="58" t="n"/>
      <c r="G422" s="66">
        <f>IF(tblFleet[[#This Row],[Units]]="","",tblFleet[[#This Row],[Units]]*24)</f>
        <v/>
      </c>
      <c r="H422" s="66">
        <f>IF(tblFleet[[#This Row],[Units]]="","",tblFleet[[#This Row],[Calendar_h]]-tblFleet[[#This Row],[Down_h]])</f>
        <v/>
      </c>
      <c r="I422" s="60">
        <f>IF(AND(tblFleet[[#This Row],[Units]]&lt;&gt;"",tblFleet[[#This Row],[Calendar_h]]&gt;0),tblFleet[[#This Row],[Available_h]]/tblFleet[[#This Row],[Calendar_h]],"")</f>
        <v/>
      </c>
      <c r="J422" s="60">
        <f>IF(AND(tblFleet[[#This Row],[Units]]&lt;&gt;"",tblFleet[[#This Row],[Available_h]]&gt;0),tblFleet[[#This Row],[Operating_h]]/tblFleet[[#This Row],[Available_h]],"")</f>
        <v/>
      </c>
    </row>
    <row r="423">
      <c r="A423" s="54" t="n"/>
      <c r="B423" s="61" t="n"/>
      <c r="C423" s="62" t="n"/>
      <c r="D423" s="57" t="n"/>
      <c r="E423" s="57" t="n"/>
      <c r="F423" s="58" t="n"/>
      <c r="G423" s="66">
        <f>IF(tblFleet[[#This Row],[Units]]="","",tblFleet[[#This Row],[Units]]*24)</f>
        <v/>
      </c>
      <c r="H423" s="66">
        <f>IF(tblFleet[[#This Row],[Units]]="","",tblFleet[[#This Row],[Calendar_h]]-tblFleet[[#This Row],[Down_h]])</f>
        <v/>
      </c>
      <c r="I423" s="60">
        <f>IF(AND(tblFleet[[#This Row],[Units]]&lt;&gt;"",tblFleet[[#This Row],[Calendar_h]]&gt;0),tblFleet[[#This Row],[Available_h]]/tblFleet[[#This Row],[Calendar_h]],"")</f>
        <v/>
      </c>
      <c r="J423" s="60">
        <f>IF(AND(tblFleet[[#This Row],[Units]]&lt;&gt;"",tblFleet[[#This Row],[Available_h]]&gt;0),tblFleet[[#This Row],[Operating_h]]/tblFleet[[#This Row],[Available_h]],"")</f>
        <v/>
      </c>
    </row>
    <row r="424">
      <c r="A424" s="54" t="n"/>
      <c r="B424" s="61" t="n"/>
      <c r="C424" s="62" t="n"/>
      <c r="D424" s="57" t="n"/>
      <c r="E424" s="57" t="n"/>
      <c r="F424" s="58" t="n"/>
      <c r="G424" s="66">
        <f>IF(tblFleet[[#This Row],[Units]]="","",tblFleet[[#This Row],[Units]]*24)</f>
        <v/>
      </c>
      <c r="H424" s="66">
        <f>IF(tblFleet[[#This Row],[Units]]="","",tblFleet[[#This Row],[Calendar_h]]-tblFleet[[#This Row],[Down_h]])</f>
        <v/>
      </c>
      <c r="I424" s="60">
        <f>IF(AND(tblFleet[[#This Row],[Units]]&lt;&gt;"",tblFleet[[#This Row],[Calendar_h]]&gt;0),tblFleet[[#This Row],[Available_h]]/tblFleet[[#This Row],[Calendar_h]],"")</f>
        <v/>
      </c>
      <c r="J424" s="60">
        <f>IF(AND(tblFleet[[#This Row],[Units]]&lt;&gt;"",tblFleet[[#This Row],[Available_h]]&gt;0),tblFleet[[#This Row],[Operating_h]]/tblFleet[[#This Row],[Available_h]],"")</f>
        <v/>
      </c>
    </row>
    <row r="425">
      <c r="A425" s="54" t="n"/>
      <c r="B425" s="61" t="n"/>
      <c r="C425" s="62" t="n"/>
      <c r="D425" s="57" t="n"/>
      <c r="E425" s="57" t="n"/>
      <c r="F425" s="58" t="n"/>
      <c r="G425" s="66">
        <f>IF(tblFleet[[#This Row],[Units]]="","",tblFleet[[#This Row],[Units]]*24)</f>
        <v/>
      </c>
      <c r="H425" s="66">
        <f>IF(tblFleet[[#This Row],[Units]]="","",tblFleet[[#This Row],[Calendar_h]]-tblFleet[[#This Row],[Down_h]])</f>
        <v/>
      </c>
      <c r="I425" s="60">
        <f>IF(AND(tblFleet[[#This Row],[Units]]&lt;&gt;"",tblFleet[[#This Row],[Calendar_h]]&gt;0),tblFleet[[#This Row],[Available_h]]/tblFleet[[#This Row],[Calendar_h]],"")</f>
        <v/>
      </c>
      <c r="J425" s="60">
        <f>IF(AND(tblFleet[[#This Row],[Units]]&lt;&gt;"",tblFleet[[#This Row],[Available_h]]&gt;0),tblFleet[[#This Row],[Operating_h]]/tblFleet[[#This Row],[Available_h]],"")</f>
        <v/>
      </c>
    </row>
    <row r="426">
      <c r="A426" s="54" t="n"/>
      <c r="B426" s="61" t="n"/>
      <c r="C426" s="62" t="n"/>
      <c r="D426" s="57" t="n"/>
      <c r="E426" s="57" t="n"/>
      <c r="F426" s="58" t="n"/>
      <c r="G426" s="66">
        <f>IF(tblFleet[[#This Row],[Units]]="","",tblFleet[[#This Row],[Units]]*24)</f>
        <v/>
      </c>
      <c r="H426" s="66">
        <f>IF(tblFleet[[#This Row],[Units]]="","",tblFleet[[#This Row],[Calendar_h]]-tblFleet[[#This Row],[Down_h]])</f>
        <v/>
      </c>
      <c r="I426" s="60">
        <f>IF(AND(tblFleet[[#This Row],[Units]]&lt;&gt;"",tblFleet[[#This Row],[Calendar_h]]&gt;0),tblFleet[[#This Row],[Available_h]]/tblFleet[[#This Row],[Calendar_h]],"")</f>
        <v/>
      </c>
      <c r="J426" s="60">
        <f>IF(AND(tblFleet[[#This Row],[Units]]&lt;&gt;"",tblFleet[[#This Row],[Available_h]]&gt;0),tblFleet[[#This Row],[Operating_h]]/tblFleet[[#This Row],[Available_h]],"")</f>
        <v/>
      </c>
    </row>
    <row r="427">
      <c r="A427" s="54" t="n"/>
      <c r="B427" s="61" t="n"/>
      <c r="C427" s="62" t="n"/>
      <c r="D427" s="57" t="n"/>
      <c r="E427" s="57" t="n"/>
      <c r="F427" s="58" t="n"/>
      <c r="G427" s="66">
        <f>IF(tblFleet[[#This Row],[Units]]="","",tblFleet[[#This Row],[Units]]*24)</f>
        <v/>
      </c>
      <c r="H427" s="66">
        <f>IF(tblFleet[[#This Row],[Units]]="","",tblFleet[[#This Row],[Calendar_h]]-tblFleet[[#This Row],[Down_h]])</f>
        <v/>
      </c>
      <c r="I427" s="60">
        <f>IF(AND(tblFleet[[#This Row],[Units]]&lt;&gt;"",tblFleet[[#This Row],[Calendar_h]]&gt;0),tblFleet[[#This Row],[Available_h]]/tblFleet[[#This Row],[Calendar_h]],"")</f>
        <v/>
      </c>
      <c r="J427" s="60">
        <f>IF(AND(tblFleet[[#This Row],[Units]]&lt;&gt;"",tblFleet[[#This Row],[Available_h]]&gt;0),tblFleet[[#This Row],[Operating_h]]/tblFleet[[#This Row],[Available_h]],"")</f>
        <v/>
      </c>
    </row>
    <row r="428">
      <c r="A428" s="54" t="n"/>
      <c r="B428" s="61" t="n"/>
      <c r="C428" s="62" t="n"/>
      <c r="D428" s="57" t="n"/>
      <c r="E428" s="57" t="n"/>
      <c r="F428" s="58" t="n"/>
      <c r="G428" s="66">
        <f>IF(tblFleet[[#This Row],[Units]]="","",tblFleet[[#This Row],[Units]]*24)</f>
        <v/>
      </c>
      <c r="H428" s="66">
        <f>IF(tblFleet[[#This Row],[Units]]="","",tblFleet[[#This Row],[Calendar_h]]-tblFleet[[#This Row],[Down_h]])</f>
        <v/>
      </c>
      <c r="I428" s="60">
        <f>IF(AND(tblFleet[[#This Row],[Units]]&lt;&gt;"",tblFleet[[#This Row],[Calendar_h]]&gt;0),tblFleet[[#This Row],[Available_h]]/tblFleet[[#This Row],[Calendar_h]],"")</f>
        <v/>
      </c>
      <c r="J428" s="60">
        <f>IF(AND(tblFleet[[#This Row],[Units]]&lt;&gt;"",tblFleet[[#This Row],[Available_h]]&gt;0),tblFleet[[#This Row],[Operating_h]]/tblFleet[[#This Row],[Available_h]],"")</f>
        <v/>
      </c>
    </row>
    <row r="429">
      <c r="A429" s="54" t="n"/>
      <c r="B429" s="61" t="n"/>
      <c r="C429" s="62" t="n"/>
      <c r="D429" s="57" t="n"/>
      <c r="E429" s="57" t="n"/>
      <c r="F429" s="58" t="n"/>
      <c r="G429" s="66">
        <f>IF(tblFleet[[#This Row],[Units]]="","",tblFleet[[#This Row],[Units]]*24)</f>
        <v/>
      </c>
      <c r="H429" s="66">
        <f>IF(tblFleet[[#This Row],[Units]]="","",tblFleet[[#This Row],[Calendar_h]]-tblFleet[[#This Row],[Down_h]])</f>
        <v/>
      </c>
      <c r="I429" s="60">
        <f>IF(AND(tblFleet[[#This Row],[Units]]&lt;&gt;"",tblFleet[[#This Row],[Calendar_h]]&gt;0),tblFleet[[#This Row],[Available_h]]/tblFleet[[#This Row],[Calendar_h]],"")</f>
        <v/>
      </c>
      <c r="J429" s="60">
        <f>IF(AND(tblFleet[[#This Row],[Units]]&lt;&gt;"",tblFleet[[#This Row],[Available_h]]&gt;0),tblFleet[[#This Row],[Operating_h]]/tblFleet[[#This Row],[Available_h]],"")</f>
        <v/>
      </c>
    </row>
    <row r="430">
      <c r="A430" s="54" t="n"/>
      <c r="B430" s="61" t="n"/>
      <c r="C430" s="62" t="n"/>
      <c r="D430" s="57" t="n"/>
      <c r="E430" s="57" t="n"/>
      <c r="F430" s="58" t="n"/>
      <c r="G430" s="66">
        <f>IF(tblFleet[[#This Row],[Units]]="","",tblFleet[[#This Row],[Units]]*24)</f>
        <v/>
      </c>
      <c r="H430" s="66">
        <f>IF(tblFleet[[#This Row],[Units]]="","",tblFleet[[#This Row],[Calendar_h]]-tblFleet[[#This Row],[Down_h]])</f>
        <v/>
      </c>
      <c r="I430" s="60">
        <f>IF(AND(tblFleet[[#This Row],[Units]]&lt;&gt;"",tblFleet[[#This Row],[Calendar_h]]&gt;0),tblFleet[[#This Row],[Available_h]]/tblFleet[[#This Row],[Calendar_h]],"")</f>
        <v/>
      </c>
      <c r="J430" s="60">
        <f>IF(AND(tblFleet[[#This Row],[Units]]&lt;&gt;"",tblFleet[[#This Row],[Available_h]]&gt;0),tblFleet[[#This Row],[Operating_h]]/tblFleet[[#This Row],[Available_h]],"")</f>
        <v/>
      </c>
    </row>
    <row r="431">
      <c r="A431" s="54" t="n"/>
      <c r="B431" s="61" t="n"/>
      <c r="C431" s="62" t="n"/>
      <c r="D431" s="57" t="n"/>
      <c r="E431" s="57" t="n"/>
      <c r="F431" s="58" t="n"/>
      <c r="G431" s="66">
        <f>IF(tblFleet[[#This Row],[Units]]="","",tblFleet[[#This Row],[Units]]*24)</f>
        <v/>
      </c>
      <c r="H431" s="66">
        <f>IF(tblFleet[[#This Row],[Units]]="","",tblFleet[[#This Row],[Calendar_h]]-tblFleet[[#This Row],[Down_h]])</f>
        <v/>
      </c>
      <c r="I431" s="60">
        <f>IF(AND(tblFleet[[#This Row],[Units]]&lt;&gt;"",tblFleet[[#This Row],[Calendar_h]]&gt;0),tblFleet[[#This Row],[Available_h]]/tblFleet[[#This Row],[Calendar_h]],"")</f>
        <v/>
      </c>
      <c r="J431" s="60">
        <f>IF(AND(tblFleet[[#This Row],[Units]]&lt;&gt;"",tblFleet[[#This Row],[Available_h]]&gt;0),tblFleet[[#This Row],[Operating_h]]/tblFleet[[#This Row],[Available_h]],"")</f>
        <v/>
      </c>
    </row>
    <row r="432">
      <c r="A432" s="54" t="n"/>
      <c r="B432" s="61" t="n"/>
      <c r="C432" s="62" t="n"/>
      <c r="D432" s="57" t="n"/>
      <c r="E432" s="57" t="n"/>
      <c r="F432" s="58" t="n"/>
      <c r="G432" s="66">
        <f>IF(tblFleet[[#This Row],[Units]]="","",tblFleet[[#This Row],[Units]]*24)</f>
        <v/>
      </c>
      <c r="H432" s="66">
        <f>IF(tblFleet[[#This Row],[Units]]="","",tblFleet[[#This Row],[Calendar_h]]-tblFleet[[#This Row],[Down_h]])</f>
        <v/>
      </c>
      <c r="I432" s="60">
        <f>IF(AND(tblFleet[[#This Row],[Units]]&lt;&gt;"",tblFleet[[#This Row],[Calendar_h]]&gt;0),tblFleet[[#This Row],[Available_h]]/tblFleet[[#This Row],[Calendar_h]],"")</f>
        <v/>
      </c>
      <c r="J432" s="60">
        <f>IF(AND(tblFleet[[#This Row],[Units]]&lt;&gt;"",tblFleet[[#This Row],[Available_h]]&gt;0),tblFleet[[#This Row],[Operating_h]]/tblFleet[[#This Row],[Available_h]],"")</f>
        <v/>
      </c>
    </row>
    <row r="433">
      <c r="A433" s="54" t="n"/>
      <c r="B433" s="61" t="n"/>
      <c r="C433" s="62" t="n"/>
      <c r="D433" s="57" t="n"/>
      <c r="E433" s="57" t="n"/>
      <c r="F433" s="58" t="n"/>
      <c r="G433" s="66">
        <f>IF(tblFleet[[#This Row],[Units]]="","",tblFleet[[#This Row],[Units]]*24)</f>
        <v/>
      </c>
      <c r="H433" s="66">
        <f>IF(tblFleet[[#This Row],[Units]]="","",tblFleet[[#This Row],[Calendar_h]]-tblFleet[[#This Row],[Down_h]])</f>
        <v/>
      </c>
      <c r="I433" s="60">
        <f>IF(AND(tblFleet[[#This Row],[Units]]&lt;&gt;"",tblFleet[[#This Row],[Calendar_h]]&gt;0),tblFleet[[#This Row],[Available_h]]/tblFleet[[#This Row],[Calendar_h]],"")</f>
        <v/>
      </c>
      <c r="J433" s="60">
        <f>IF(AND(tblFleet[[#This Row],[Units]]&lt;&gt;"",tblFleet[[#This Row],[Available_h]]&gt;0),tblFleet[[#This Row],[Operating_h]]/tblFleet[[#This Row],[Available_h]],"")</f>
        <v/>
      </c>
    </row>
    <row r="434">
      <c r="A434" s="54" t="n"/>
      <c r="B434" s="61" t="n"/>
      <c r="C434" s="62" t="n"/>
      <c r="D434" s="57" t="n"/>
      <c r="E434" s="57" t="n"/>
      <c r="F434" s="58" t="n"/>
      <c r="G434" s="66">
        <f>IF(tblFleet[[#This Row],[Units]]="","",tblFleet[[#This Row],[Units]]*24)</f>
        <v/>
      </c>
      <c r="H434" s="66">
        <f>IF(tblFleet[[#This Row],[Units]]="","",tblFleet[[#This Row],[Calendar_h]]-tblFleet[[#This Row],[Down_h]])</f>
        <v/>
      </c>
      <c r="I434" s="60">
        <f>IF(AND(tblFleet[[#This Row],[Units]]&lt;&gt;"",tblFleet[[#This Row],[Calendar_h]]&gt;0),tblFleet[[#This Row],[Available_h]]/tblFleet[[#This Row],[Calendar_h]],"")</f>
        <v/>
      </c>
      <c r="J434" s="60">
        <f>IF(AND(tblFleet[[#This Row],[Units]]&lt;&gt;"",tblFleet[[#This Row],[Available_h]]&gt;0),tblFleet[[#This Row],[Operating_h]]/tblFleet[[#This Row],[Available_h]],"")</f>
        <v/>
      </c>
    </row>
    <row r="435">
      <c r="A435" s="54" t="n"/>
      <c r="B435" s="61" t="n"/>
      <c r="C435" s="62" t="n"/>
      <c r="D435" s="57" t="n"/>
      <c r="E435" s="57" t="n"/>
      <c r="F435" s="58" t="n"/>
      <c r="G435" s="66">
        <f>IF(tblFleet[[#This Row],[Units]]="","",tblFleet[[#This Row],[Units]]*24)</f>
        <v/>
      </c>
      <c r="H435" s="66">
        <f>IF(tblFleet[[#This Row],[Units]]="","",tblFleet[[#This Row],[Calendar_h]]-tblFleet[[#This Row],[Down_h]])</f>
        <v/>
      </c>
      <c r="I435" s="60">
        <f>IF(AND(tblFleet[[#This Row],[Units]]&lt;&gt;"",tblFleet[[#This Row],[Calendar_h]]&gt;0),tblFleet[[#This Row],[Available_h]]/tblFleet[[#This Row],[Calendar_h]],"")</f>
        <v/>
      </c>
      <c r="J435" s="60">
        <f>IF(AND(tblFleet[[#This Row],[Units]]&lt;&gt;"",tblFleet[[#This Row],[Available_h]]&gt;0),tblFleet[[#This Row],[Operating_h]]/tblFleet[[#This Row],[Available_h]],"")</f>
        <v/>
      </c>
    </row>
    <row r="436">
      <c r="A436" s="54" t="n"/>
      <c r="B436" s="61" t="n"/>
      <c r="C436" s="62" t="n"/>
      <c r="D436" s="57" t="n"/>
      <c r="E436" s="57" t="n"/>
      <c r="F436" s="58" t="n"/>
      <c r="G436" s="66">
        <f>IF(tblFleet[[#This Row],[Units]]="","",tblFleet[[#This Row],[Units]]*24)</f>
        <v/>
      </c>
      <c r="H436" s="66">
        <f>IF(tblFleet[[#This Row],[Units]]="","",tblFleet[[#This Row],[Calendar_h]]-tblFleet[[#This Row],[Down_h]])</f>
        <v/>
      </c>
      <c r="I436" s="60">
        <f>IF(AND(tblFleet[[#This Row],[Units]]&lt;&gt;"",tblFleet[[#This Row],[Calendar_h]]&gt;0),tblFleet[[#This Row],[Available_h]]/tblFleet[[#This Row],[Calendar_h]],"")</f>
        <v/>
      </c>
      <c r="J436" s="60">
        <f>IF(AND(tblFleet[[#This Row],[Units]]&lt;&gt;"",tblFleet[[#This Row],[Available_h]]&gt;0),tblFleet[[#This Row],[Operating_h]]/tblFleet[[#This Row],[Available_h]],"")</f>
        <v/>
      </c>
    </row>
    <row r="437">
      <c r="A437" s="54" t="n"/>
      <c r="B437" s="61" t="n"/>
      <c r="C437" s="62" t="n"/>
      <c r="D437" s="57" t="n"/>
      <c r="E437" s="57" t="n"/>
      <c r="F437" s="58" t="n"/>
      <c r="G437" s="66">
        <f>IF(tblFleet[[#This Row],[Units]]="","",tblFleet[[#This Row],[Units]]*24)</f>
        <v/>
      </c>
      <c r="H437" s="66">
        <f>IF(tblFleet[[#This Row],[Units]]="","",tblFleet[[#This Row],[Calendar_h]]-tblFleet[[#This Row],[Down_h]])</f>
        <v/>
      </c>
      <c r="I437" s="60">
        <f>IF(AND(tblFleet[[#This Row],[Units]]&lt;&gt;"",tblFleet[[#This Row],[Calendar_h]]&gt;0),tblFleet[[#This Row],[Available_h]]/tblFleet[[#This Row],[Calendar_h]],"")</f>
        <v/>
      </c>
      <c r="J437" s="60">
        <f>IF(AND(tblFleet[[#This Row],[Units]]&lt;&gt;"",tblFleet[[#This Row],[Available_h]]&gt;0),tblFleet[[#This Row],[Operating_h]]/tblFleet[[#This Row],[Available_h]],"")</f>
        <v/>
      </c>
    </row>
    <row r="438">
      <c r="A438" s="54" t="n"/>
      <c r="B438" s="61" t="n"/>
      <c r="C438" s="62" t="n"/>
      <c r="D438" s="57" t="n"/>
      <c r="E438" s="57" t="n"/>
      <c r="F438" s="58" t="n"/>
      <c r="G438" s="66">
        <f>IF(tblFleet[[#This Row],[Units]]="","",tblFleet[[#This Row],[Units]]*24)</f>
        <v/>
      </c>
      <c r="H438" s="66">
        <f>IF(tblFleet[[#This Row],[Units]]="","",tblFleet[[#This Row],[Calendar_h]]-tblFleet[[#This Row],[Down_h]])</f>
        <v/>
      </c>
      <c r="I438" s="60">
        <f>IF(AND(tblFleet[[#This Row],[Units]]&lt;&gt;"",tblFleet[[#This Row],[Calendar_h]]&gt;0),tblFleet[[#This Row],[Available_h]]/tblFleet[[#This Row],[Calendar_h]],"")</f>
        <v/>
      </c>
      <c r="J438" s="60">
        <f>IF(AND(tblFleet[[#This Row],[Units]]&lt;&gt;"",tblFleet[[#This Row],[Available_h]]&gt;0),tblFleet[[#This Row],[Operating_h]]/tblFleet[[#This Row],[Available_h]],"")</f>
        <v/>
      </c>
    </row>
    <row r="439">
      <c r="A439" s="54" t="n"/>
      <c r="B439" s="61" t="n"/>
      <c r="C439" s="62" t="n"/>
      <c r="D439" s="57" t="n"/>
      <c r="E439" s="57" t="n"/>
      <c r="F439" s="58" t="n"/>
      <c r="G439" s="66">
        <f>IF(tblFleet[[#This Row],[Units]]="","",tblFleet[[#This Row],[Units]]*24)</f>
        <v/>
      </c>
      <c r="H439" s="66">
        <f>IF(tblFleet[[#This Row],[Units]]="","",tblFleet[[#This Row],[Calendar_h]]-tblFleet[[#This Row],[Down_h]])</f>
        <v/>
      </c>
      <c r="I439" s="60">
        <f>IF(AND(tblFleet[[#This Row],[Units]]&lt;&gt;"",tblFleet[[#This Row],[Calendar_h]]&gt;0),tblFleet[[#This Row],[Available_h]]/tblFleet[[#This Row],[Calendar_h]],"")</f>
        <v/>
      </c>
      <c r="J439" s="60">
        <f>IF(AND(tblFleet[[#This Row],[Units]]&lt;&gt;"",tblFleet[[#This Row],[Available_h]]&gt;0),tblFleet[[#This Row],[Operating_h]]/tblFleet[[#This Row],[Available_h]],"")</f>
        <v/>
      </c>
    </row>
    <row r="440">
      <c r="A440" s="54" t="n"/>
      <c r="B440" s="61" t="n"/>
      <c r="C440" s="62" t="n"/>
      <c r="D440" s="57" t="n"/>
      <c r="E440" s="57" t="n"/>
      <c r="F440" s="58" t="n"/>
      <c r="G440" s="66">
        <f>IF(tblFleet[[#This Row],[Units]]="","",tblFleet[[#This Row],[Units]]*24)</f>
        <v/>
      </c>
      <c r="H440" s="66">
        <f>IF(tblFleet[[#This Row],[Units]]="","",tblFleet[[#This Row],[Calendar_h]]-tblFleet[[#This Row],[Down_h]])</f>
        <v/>
      </c>
      <c r="I440" s="60">
        <f>IF(AND(tblFleet[[#This Row],[Units]]&lt;&gt;"",tblFleet[[#This Row],[Calendar_h]]&gt;0),tblFleet[[#This Row],[Available_h]]/tblFleet[[#This Row],[Calendar_h]],"")</f>
        <v/>
      </c>
      <c r="J440" s="60">
        <f>IF(AND(tblFleet[[#This Row],[Units]]&lt;&gt;"",tblFleet[[#This Row],[Available_h]]&gt;0),tblFleet[[#This Row],[Operating_h]]/tblFleet[[#This Row],[Available_h]],"")</f>
        <v/>
      </c>
    </row>
    <row r="441">
      <c r="A441" s="54" t="n"/>
      <c r="B441" s="61" t="n"/>
      <c r="C441" s="62" t="n"/>
      <c r="D441" s="57" t="n"/>
      <c r="E441" s="57" t="n"/>
      <c r="F441" s="58" t="n"/>
      <c r="G441" s="66">
        <f>IF(tblFleet[[#This Row],[Units]]="","",tblFleet[[#This Row],[Units]]*24)</f>
        <v/>
      </c>
      <c r="H441" s="66">
        <f>IF(tblFleet[[#This Row],[Units]]="","",tblFleet[[#This Row],[Calendar_h]]-tblFleet[[#This Row],[Down_h]])</f>
        <v/>
      </c>
      <c r="I441" s="60">
        <f>IF(AND(tblFleet[[#This Row],[Units]]&lt;&gt;"",tblFleet[[#This Row],[Calendar_h]]&gt;0),tblFleet[[#This Row],[Available_h]]/tblFleet[[#This Row],[Calendar_h]],"")</f>
        <v/>
      </c>
      <c r="J441" s="60">
        <f>IF(AND(tblFleet[[#This Row],[Units]]&lt;&gt;"",tblFleet[[#This Row],[Available_h]]&gt;0),tblFleet[[#This Row],[Operating_h]]/tblFleet[[#This Row],[Available_h]],"")</f>
        <v/>
      </c>
    </row>
    <row r="442">
      <c r="A442" s="54" t="n"/>
      <c r="B442" s="61" t="n"/>
      <c r="C442" s="62" t="n"/>
      <c r="D442" s="57" t="n"/>
      <c r="E442" s="57" t="n"/>
      <c r="F442" s="58" t="n"/>
      <c r="G442" s="66">
        <f>IF(tblFleet[[#This Row],[Units]]="","",tblFleet[[#This Row],[Units]]*24)</f>
        <v/>
      </c>
      <c r="H442" s="66">
        <f>IF(tblFleet[[#This Row],[Units]]="","",tblFleet[[#This Row],[Calendar_h]]-tblFleet[[#This Row],[Down_h]])</f>
        <v/>
      </c>
      <c r="I442" s="60">
        <f>IF(AND(tblFleet[[#This Row],[Units]]&lt;&gt;"",tblFleet[[#This Row],[Calendar_h]]&gt;0),tblFleet[[#This Row],[Available_h]]/tblFleet[[#This Row],[Calendar_h]],"")</f>
        <v/>
      </c>
      <c r="J442" s="60">
        <f>IF(AND(tblFleet[[#This Row],[Units]]&lt;&gt;"",tblFleet[[#This Row],[Available_h]]&gt;0),tblFleet[[#This Row],[Operating_h]]/tblFleet[[#This Row],[Available_h]],"")</f>
        <v/>
      </c>
    </row>
    <row r="443">
      <c r="A443" s="54" t="n"/>
      <c r="B443" s="61" t="n"/>
      <c r="C443" s="62" t="n"/>
      <c r="D443" s="57" t="n"/>
      <c r="E443" s="57" t="n"/>
      <c r="F443" s="58" t="n"/>
      <c r="G443" s="66">
        <f>IF(tblFleet[[#This Row],[Units]]="","",tblFleet[[#This Row],[Units]]*24)</f>
        <v/>
      </c>
      <c r="H443" s="66">
        <f>IF(tblFleet[[#This Row],[Units]]="","",tblFleet[[#This Row],[Calendar_h]]-tblFleet[[#This Row],[Down_h]])</f>
        <v/>
      </c>
      <c r="I443" s="60">
        <f>IF(AND(tblFleet[[#This Row],[Units]]&lt;&gt;"",tblFleet[[#This Row],[Calendar_h]]&gt;0),tblFleet[[#This Row],[Available_h]]/tblFleet[[#This Row],[Calendar_h]],"")</f>
        <v/>
      </c>
      <c r="J443" s="60">
        <f>IF(AND(tblFleet[[#This Row],[Units]]&lt;&gt;"",tblFleet[[#This Row],[Available_h]]&gt;0),tblFleet[[#This Row],[Operating_h]]/tblFleet[[#This Row],[Available_h]],"")</f>
        <v/>
      </c>
    </row>
    <row r="444">
      <c r="A444" s="54" t="n"/>
      <c r="B444" s="61" t="n"/>
      <c r="C444" s="62" t="n"/>
      <c r="D444" s="57" t="n"/>
      <c r="E444" s="57" t="n"/>
      <c r="F444" s="58" t="n"/>
      <c r="G444" s="66">
        <f>IF(tblFleet[[#This Row],[Units]]="","",tblFleet[[#This Row],[Units]]*24)</f>
        <v/>
      </c>
      <c r="H444" s="66">
        <f>IF(tblFleet[[#This Row],[Units]]="","",tblFleet[[#This Row],[Calendar_h]]-tblFleet[[#This Row],[Down_h]])</f>
        <v/>
      </c>
      <c r="I444" s="60">
        <f>IF(AND(tblFleet[[#This Row],[Units]]&lt;&gt;"",tblFleet[[#This Row],[Calendar_h]]&gt;0),tblFleet[[#This Row],[Available_h]]/tblFleet[[#This Row],[Calendar_h]],"")</f>
        <v/>
      </c>
      <c r="J444" s="60">
        <f>IF(AND(tblFleet[[#This Row],[Units]]&lt;&gt;"",tblFleet[[#This Row],[Available_h]]&gt;0),tblFleet[[#This Row],[Operating_h]]/tblFleet[[#This Row],[Available_h]],"")</f>
        <v/>
      </c>
    </row>
    <row r="445">
      <c r="A445" s="54" t="n"/>
      <c r="B445" s="61" t="n"/>
      <c r="C445" s="62" t="n"/>
      <c r="D445" s="57" t="n"/>
      <c r="E445" s="57" t="n"/>
      <c r="F445" s="58" t="n"/>
      <c r="G445" s="66">
        <f>IF(tblFleet[[#This Row],[Units]]="","",tblFleet[[#This Row],[Units]]*24)</f>
        <v/>
      </c>
      <c r="H445" s="66">
        <f>IF(tblFleet[[#This Row],[Units]]="","",tblFleet[[#This Row],[Calendar_h]]-tblFleet[[#This Row],[Down_h]])</f>
        <v/>
      </c>
      <c r="I445" s="60">
        <f>IF(AND(tblFleet[[#This Row],[Units]]&lt;&gt;"",tblFleet[[#This Row],[Calendar_h]]&gt;0),tblFleet[[#This Row],[Available_h]]/tblFleet[[#This Row],[Calendar_h]],"")</f>
        <v/>
      </c>
      <c r="J445" s="60">
        <f>IF(AND(tblFleet[[#This Row],[Units]]&lt;&gt;"",tblFleet[[#This Row],[Available_h]]&gt;0),tblFleet[[#This Row],[Operating_h]]/tblFleet[[#This Row],[Available_h]],"")</f>
        <v/>
      </c>
    </row>
    <row r="446">
      <c r="A446" s="54" t="n"/>
      <c r="B446" s="61" t="n"/>
      <c r="C446" s="62" t="n"/>
      <c r="D446" s="57" t="n"/>
      <c r="E446" s="57" t="n"/>
      <c r="F446" s="58" t="n"/>
      <c r="G446" s="66">
        <f>IF(tblFleet[[#This Row],[Units]]="","",tblFleet[[#This Row],[Units]]*24)</f>
        <v/>
      </c>
      <c r="H446" s="66">
        <f>IF(tblFleet[[#This Row],[Units]]="","",tblFleet[[#This Row],[Calendar_h]]-tblFleet[[#This Row],[Down_h]])</f>
        <v/>
      </c>
      <c r="I446" s="60">
        <f>IF(AND(tblFleet[[#This Row],[Units]]&lt;&gt;"",tblFleet[[#This Row],[Calendar_h]]&gt;0),tblFleet[[#This Row],[Available_h]]/tblFleet[[#This Row],[Calendar_h]],"")</f>
        <v/>
      </c>
      <c r="J446" s="60">
        <f>IF(AND(tblFleet[[#This Row],[Units]]&lt;&gt;"",tblFleet[[#This Row],[Available_h]]&gt;0),tblFleet[[#This Row],[Operating_h]]/tblFleet[[#This Row],[Available_h]],"")</f>
        <v/>
      </c>
    </row>
    <row r="447">
      <c r="A447" s="54" t="n"/>
      <c r="B447" s="61" t="n"/>
      <c r="C447" s="62" t="n"/>
      <c r="D447" s="57" t="n"/>
      <c r="E447" s="57" t="n"/>
      <c r="F447" s="58" t="n"/>
      <c r="G447" s="66">
        <f>IF(tblFleet[[#This Row],[Units]]="","",tblFleet[[#This Row],[Units]]*24)</f>
        <v/>
      </c>
      <c r="H447" s="66">
        <f>IF(tblFleet[[#This Row],[Units]]="","",tblFleet[[#This Row],[Calendar_h]]-tblFleet[[#This Row],[Down_h]])</f>
        <v/>
      </c>
      <c r="I447" s="60">
        <f>IF(AND(tblFleet[[#This Row],[Units]]&lt;&gt;"",tblFleet[[#This Row],[Calendar_h]]&gt;0),tblFleet[[#This Row],[Available_h]]/tblFleet[[#This Row],[Calendar_h]],"")</f>
        <v/>
      </c>
      <c r="J447" s="60">
        <f>IF(AND(tblFleet[[#This Row],[Units]]&lt;&gt;"",tblFleet[[#This Row],[Available_h]]&gt;0),tblFleet[[#This Row],[Operating_h]]/tblFleet[[#This Row],[Available_h]],"")</f>
        <v/>
      </c>
    </row>
    <row r="448">
      <c r="A448" s="54" t="n"/>
      <c r="B448" s="61" t="n"/>
      <c r="C448" s="62" t="n"/>
      <c r="D448" s="57" t="n"/>
      <c r="E448" s="57" t="n"/>
      <c r="F448" s="58" t="n"/>
      <c r="G448" s="66">
        <f>IF(tblFleet[[#This Row],[Units]]="","",tblFleet[[#This Row],[Units]]*24)</f>
        <v/>
      </c>
      <c r="H448" s="66">
        <f>IF(tblFleet[[#This Row],[Units]]="","",tblFleet[[#This Row],[Calendar_h]]-tblFleet[[#This Row],[Down_h]])</f>
        <v/>
      </c>
      <c r="I448" s="60">
        <f>IF(AND(tblFleet[[#This Row],[Units]]&lt;&gt;"",tblFleet[[#This Row],[Calendar_h]]&gt;0),tblFleet[[#This Row],[Available_h]]/tblFleet[[#This Row],[Calendar_h]],"")</f>
        <v/>
      </c>
      <c r="J448" s="60">
        <f>IF(AND(tblFleet[[#This Row],[Units]]&lt;&gt;"",tblFleet[[#This Row],[Available_h]]&gt;0),tblFleet[[#This Row],[Operating_h]]/tblFleet[[#This Row],[Available_h]],"")</f>
        <v/>
      </c>
    </row>
    <row r="449">
      <c r="A449" s="54" t="n"/>
      <c r="B449" s="61" t="n"/>
      <c r="C449" s="62" t="n"/>
      <c r="D449" s="57" t="n"/>
      <c r="E449" s="57" t="n"/>
      <c r="F449" s="58" t="n"/>
      <c r="G449" s="66">
        <f>IF(tblFleet[[#This Row],[Units]]="","",tblFleet[[#This Row],[Units]]*24)</f>
        <v/>
      </c>
      <c r="H449" s="66">
        <f>IF(tblFleet[[#This Row],[Units]]="","",tblFleet[[#This Row],[Calendar_h]]-tblFleet[[#This Row],[Down_h]])</f>
        <v/>
      </c>
      <c r="I449" s="60">
        <f>IF(AND(tblFleet[[#This Row],[Units]]&lt;&gt;"",tblFleet[[#This Row],[Calendar_h]]&gt;0),tblFleet[[#This Row],[Available_h]]/tblFleet[[#This Row],[Calendar_h]],"")</f>
        <v/>
      </c>
      <c r="J449" s="60">
        <f>IF(AND(tblFleet[[#This Row],[Units]]&lt;&gt;"",tblFleet[[#This Row],[Available_h]]&gt;0),tblFleet[[#This Row],[Operating_h]]/tblFleet[[#This Row],[Available_h]],"")</f>
        <v/>
      </c>
    </row>
    <row r="450">
      <c r="A450" s="54" t="n"/>
      <c r="B450" s="61" t="n"/>
      <c r="C450" s="62" t="n"/>
      <c r="D450" s="57" t="n"/>
      <c r="E450" s="57" t="n"/>
      <c r="F450" s="58" t="n"/>
      <c r="G450" s="66">
        <f>IF(tblFleet[[#This Row],[Units]]="","",tblFleet[[#This Row],[Units]]*24)</f>
        <v/>
      </c>
      <c r="H450" s="66">
        <f>IF(tblFleet[[#This Row],[Units]]="","",tblFleet[[#This Row],[Calendar_h]]-tblFleet[[#This Row],[Down_h]])</f>
        <v/>
      </c>
      <c r="I450" s="60">
        <f>IF(AND(tblFleet[[#This Row],[Units]]&lt;&gt;"",tblFleet[[#This Row],[Calendar_h]]&gt;0),tblFleet[[#This Row],[Available_h]]/tblFleet[[#This Row],[Calendar_h]],"")</f>
        <v/>
      </c>
      <c r="J450" s="60">
        <f>IF(AND(tblFleet[[#This Row],[Units]]&lt;&gt;"",tblFleet[[#This Row],[Available_h]]&gt;0),tblFleet[[#This Row],[Operating_h]]/tblFleet[[#This Row],[Available_h]],"")</f>
        <v/>
      </c>
    </row>
    <row r="451">
      <c r="A451" s="54" t="n"/>
      <c r="B451" s="61" t="n"/>
      <c r="C451" s="62" t="n"/>
      <c r="D451" s="57" t="n"/>
      <c r="E451" s="57" t="n"/>
      <c r="F451" s="58" t="n"/>
      <c r="G451" s="66">
        <f>IF(tblFleet[[#This Row],[Units]]="","",tblFleet[[#This Row],[Units]]*24)</f>
        <v/>
      </c>
      <c r="H451" s="66">
        <f>IF(tblFleet[[#This Row],[Units]]="","",tblFleet[[#This Row],[Calendar_h]]-tblFleet[[#This Row],[Down_h]])</f>
        <v/>
      </c>
      <c r="I451" s="60">
        <f>IF(AND(tblFleet[[#This Row],[Units]]&lt;&gt;"",tblFleet[[#This Row],[Calendar_h]]&gt;0),tblFleet[[#This Row],[Available_h]]/tblFleet[[#This Row],[Calendar_h]],"")</f>
        <v/>
      </c>
      <c r="J451" s="60">
        <f>IF(AND(tblFleet[[#This Row],[Units]]&lt;&gt;"",tblFleet[[#This Row],[Available_h]]&gt;0),tblFleet[[#This Row],[Operating_h]]/tblFleet[[#This Row],[Available_h]],"")</f>
        <v/>
      </c>
    </row>
    <row r="452">
      <c r="A452" s="54" t="n"/>
      <c r="B452" s="61" t="n"/>
      <c r="C452" s="62" t="n"/>
      <c r="D452" s="57" t="n"/>
      <c r="E452" s="57" t="n"/>
      <c r="F452" s="58" t="n"/>
      <c r="G452" s="66">
        <f>IF(tblFleet[[#This Row],[Units]]="","",tblFleet[[#This Row],[Units]]*24)</f>
        <v/>
      </c>
      <c r="H452" s="66">
        <f>IF(tblFleet[[#This Row],[Units]]="","",tblFleet[[#This Row],[Calendar_h]]-tblFleet[[#This Row],[Down_h]])</f>
        <v/>
      </c>
      <c r="I452" s="60">
        <f>IF(AND(tblFleet[[#This Row],[Units]]&lt;&gt;"",tblFleet[[#This Row],[Calendar_h]]&gt;0),tblFleet[[#This Row],[Available_h]]/tblFleet[[#This Row],[Calendar_h]],"")</f>
        <v/>
      </c>
      <c r="J452" s="60">
        <f>IF(AND(tblFleet[[#This Row],[Units]]&lt;&gt;"",tblFleet[[#This Row],[Available_h]]&gt;0),tblFleet[[#This Row],[Operating_h]]/tblFleet[[#This Row],[Available_h]],"")</f>
        <v/>
      </c>
    </row>
    <row r="453">
      <c r="A453" s="54" t="n"/>
      <c r="B453" s="61" t="n"/>
      <c r="C453" s="62" t="n"/>
      <c r="D453" s="57" t="n"/>
      <c r="E453" s="57" t="n"/>
      <c r="F453" s="58" t="n"/>
      <c r="G453" s="66">
        <f>IF(tblFleet[[#This Row],[Units]]="","",tblFleet[[#This Row],[Units]]*24)</f>
        <v/>
      </c>
      <c r="H453" s="66">
        <f>IF(tblFleet[[#This Row],[Units]]="","",tblFleet[[#This Row],[Calendar_h]]-tblFleet[[#This Row],[Down_h]])</f>
        <v/>
      </c>
      <c r="I453" s="60">
        <f>IF(AND(tblFleet[[#This Row],[Units]]&lt;&gt;"",tblFleet[[#This Row],[Calendar_h]]&gt;0),tblFleet[[#This Row],[Available_h]]/tblFleet[[#This Row],[Calendar_h]],"")</f>
        <v/>
      </c>
      <c r="J453" s="60">
        <f>IF(AND(tblFleet[[#This Row],[Units]]&lt;&gt;"",tblFleet[[#This Row],[Available_h]]&gt;0),tblFleet[[#This Row],[Operating_h]]/tblFleet[[#This Row],[Available_h]],"")</f>
        <v/>
      </c>
    </row>
    <row r="454">
      <c r="A454" s="54" t="n"/>
      <c r="B454" s="61" t="n"/>
      <c r="C454" s="62" t="n"/>
      <c r="D454" s="57" t="n"/>
      <c r="E454" s="57" t="n"/>
      <c r="F454" s="58" t="n"/>
      <c r="G454" s="66">
        <f>IF(tblFleet[[#This Row],[Units]]="","",tblFleet[[#This Row],[Units]]*24)</f>
        <v/>
      </c>
      <c r="H454" s="66">
        <f>IF(tblFleet[[#This Row],[Units]]="","",tblFleet[[#This Row],[Calendar_h]]-tblFleet[[#This Row],[Down_h]])</f>
        <v/>
      </c>
      <c r="I454" s="60">
        <f>IF(AND(tblFleet[[#This Row],[Units]]&lt;&gt;"",tblFleet[[#This Row],[Calendar_h]]&gt;0),tblFleet[[#This Row],[Available_h]]/tblFleet[[#This Row],[Calendar_h]],"")</f>
        <v/>
      </c>
      <c r="J454" s="60">
        <f>IF(AND(tblFleet[[#This Row],[Units]]&lt;&gt;"",tblFleet[[#This Row],[Available_h]]&gt;0),tblFleet[[#This Row],[Operating_h]]/tblFleet[[#This Row],[Available_h]],"")</f>
        <v/>
      </c>
    </row>
    <row r="455">
      <c r="A455" s="54" t="n"/>
      <c r="B455" s="61" t="n"/>
      <c r="C455" s="62" t="n"/>
      <c r="D455" s="57" t="n"/>
      <c r="E455" s="57" t="n"/>
      <c r="F455" s="58" t="n"/>
      <c r="G455" s="66">
        <f>IF(tblFleet[[#This Row],[Units]]="","",tblFleet[[#This Row],[Units]]*24)</f>
        <v/>
      </c>
      <c r="H455" s="66">
        <f>IF(tblFleet[[#This Row],[Units]]="","",tblFleet[[#This Row],[Calendar_h]]-tblFleet[[#This Row],[Down_h]])</f>
        <v/>
      </c>
      <c r="I455" s="60">
        <f>IF(AND(tblFleet[[#This Row],[Units]]&lt;&gt;"",tblFleet[[#This Row],[Calendar_h]]&gt;0),tblFleet[[#This Row],[Available_h]]/tblFleet[[#This Row],[Calendar_h]],"")</f>
        <v/>
      </c>
      <c r="J455" s="60">
        <f>IF(AND(tblFleet[[#This Row],[Units]]&lt;&gt;"",tblFleet[[#This Row],[Available_h]]&gt;0),tblFleet[[#This Row],[Operating_h]]/tblFleet[[#This Row],[Available_h]],"")</f>
        <v/>
      </c>
    </row>
    <row r="456">
      <c r="A456" s="54" t="n"/>
      <c r="B456" s="61" t="n"/>
      <c r="C456" s="62" t="n"/>
      <c r="D456" s="57" t="n"/>
      <c r="E456" s="57" t="n"/>
      <c r="F456" s="58" t="n"/>
      <c r="G456" s="66">
        <f>IF(tblFleet[[#This Row],[Units]]="","",tblFleet[[#This Row],[Units]]*24)</f>
        <v/>
      </c>
      <c r="H456" s="66">
        <f>IF(tblFleet[[#This Row],[Units]]="","",tblFleet[[#This Row],[Calendar_h]]-tblFleet[[#This Row],[Down_h]])</f>
        <v/>
      </c>
      <c r="I456" s="60">
        <f>IF(AND(tblFleet[[#This Row],[Units]]&lt;&gt;"",tblFleet[[#This Row],[Calendar_h]]&gt;0),tblFleet[[#This Row],[Available_h]]/tblFleet[[#This Row],[Calendar_h]],"")</f>
        <v/>
      </c>
      <c r="J456" s="60">
        <f>IF(AND(tblFleet[[#This Row],[Units]]&lt;&gt;"",tblFleet[[#This Row],[Available_h]]&gt;0),tblFleet[[#This Row],[Operating_h]]/tblFleet[[#This Row],[Available_h]],"")</f>
        <v/>
      </c>
    </row>
    <row r="457">
      <c r="A457" s="54" t="n"/>
      <c r="B457" s="61" t="n"/>
      <c r="C457" s="62" t="n"/>
      <c r="D457" s="57" t="n"/>
      <c r="E457" s="57" t="n"/>
      <c r="F457" s="58" t="n"/>
      <c r="G457" s="66">
        <f>IF(tblFleet[[#This Row],[Units]]="","",tblFleet[[#This Row],[Units]]*24)</f>
        <v/>
      </c>
      <c r="H457" s="66">
        <f>IF(tblFleet[[#This Row],[Units]]="","",tblFleet[[#This Row],[Calendar_h]]-tblFleet[[#This Row],[Down_h]])</f>
        <v/>
      </c>
      <c r="I457" s="60">
        <f>IF(AND(tblFleet[[#This Row],[Units]]&lt;&gt;"",tblFleet[[#This Row],[Calendar_h]]&gt;0),tblFleet[[#This Row],[Available_h]]/tblFleet[[#This Row],[Calendar_h]],"")</f>
        <v/>
      </c>
      <c r="J457" s="60">
        <f>IF(AND(tblFleet[[#This Row],[Units]]&lt;&gt;"",tblFleet[[#This Row],[Available_h]]&gt;0),tblFleet[[#This Row],[Operating_h]]/tblFleet[[#This Row],[Available_h]],"")</f>
        <v/>
      </c>
    </row>
    <row r="458">
      <c r="A458" s="54" t="n"/>
      <c r="B458" s="61" t="n"/>
      <c r="C458" s="62" t="n"/>
      <c r="D458" s="57" t="n"/>
      <c r="E458" s="57" t="n"/>
      <c r="F458" s="58" t="n"/>
      <c r="G458" s="66">
        <f>IF(tblFleet[[#This Row],[Units]]="","",tblFleet[[#This Row],[Units]]*24)</f>
        <v/>
      </c>
      <c r="H458" s="66">
        <f>IF(tblFleet[[#This Row],[Units]]="","",tblFleet[[#This Row],[Calendar_h]]-tblFleet[[#This Row],[Down_h]])</f>
        <v/>
      </c>
      <c r="I458" s="60">
        <f>IF(AND(tblFleet[[#This Row],[Units]]&lt;&gt;"",tblFleet[[#This Row],[Calendar_h]]&gt;0),tblFleet[[#This Row],[Available_h]]/tblFleet[[#This Row],[Calendar_h]],"")</f>
        <v/>
      </c>
      <c r="J458" s="60">
        <f>IF(AND(tblFleet[[#This Row],[Units]]&lt;&gt;"",tblFleet[[#This Row],[Available_h]]&gt;0),tblFleet[[#This Row],[Operating_h]]/tblFleet[[#This Row],[Available_h]],"")</f>
        <v/>
      </c>
    </row>
    <row r="459">
      <c r="A459" s="54" t="n"/>
      <c r="B459" s="61" t="n"/>
      <c r="C459" s="62" t="n"/>
      <c r="D459" s="57" t="n"/>
      <c r="E459" s="57" t="n"/>
      <c r="F459" s="58" t="n"/>
      <c r="G459" s="66">
        <f>IF(tblFleet[[#This Row],[Units]]="","",tblFleet[[#This Row],[Units]]*24)</f>
        <v/>
      </c>
      <c r="H459" s="66">
        <f>IF(tblFleet[[#This Row],[Units]]="","",tblFleet[[#This Row],[Calendar_h]]-tblFleet[[#This Row],[Down_h]])</f>
        <v/>
      </c>
      <c r="I459" s="60">
        <f>IF(AND(tblFleet[[#This Row],[Units]]&lt;&gt;"",tblFleet[[#This Row],[Calendar_h]]&gt;0),tblFleet[[#This Row],[Available_h]]/tblFleet[[#This Row],[Calendar_h]],"")</f>
        <v/>
      </c>
      <c r="J459" s="60">
        <f>IF(AND(tblFleet[[#This Row],[Units]]&lt;&gt;"",tblFleet[[#This Row],[Available_h]]&gt;0),tblFleet[[#This Row],[Operating_h]]/tblFleet[[#This Row],[Available_h]],"")</f>
        <v/>
      </c>
    </row>
    <row r="460">
      <c r="A460" s="54" t="n"/>
      <c r="B460" s="61" t="n"/>
      <c r="C460" s="62" t="n"/>
      <c r="D460" s="57" t="n"/>
      <c r="E460" s="57" t="n"/>
      <c r="F460" s="58" t="n"/>
      <c r="G460" s="66">
        <f>IF(tblFleet[[#This Row],[Units]]="","",tblFleet[[#This Row],[Units]]*24)</f>
        <v/>
      </c>
      <c r="H460" s="66">
        <f>IF(tblFleet[[#This Row],[Units]]="","",tblFleet[[#This Row],[Calendar_h]]-tblFleet[[#This Row],[Down_h]])</f>
        <v/>
      </c>
      <c r="I460" s="60">
        <f>IF(AND(tblFleet[[#This Row],[Units]]&lt;&gt;"",tblFleet[[#This Row],[Calendar_h]]&gt;0),tblFleet[[#This Row],[Available_h]]/tblFleet[[#This Row],[Calendar_h]],"")</f>
        <v/>
      </c>
      <c r="J460" s="60">
        <f>IF(AND(tblFleet[[#This Row],[Units]]&lt;&gt;"",tblFleet[[#This Row],[Available_h]]&gt;0),tblFleet[[#This Row],[Operating_h]]/tblFleet[[#This Row],[Available_h]],"")</f>
        <v/>
      </c>
    </row>
    <row r="461">
      <c r="A461" s="54" t="n"/>
      <c r="B461" s="61" t="n"/>
      <c r="C461" s="62" t="n"/>
      <c r="D461" s="57" t="n"/>
      <c r="E461" s="57" t="n"/>
      <c r="F461" s="58" t="n"/>
      <c r="G461" s="66">
        <f>IF(tblFleet[[#This Row],[Units]]="","",tblFleet[[#This Row],[Units]]*24)</f>
        <v/>
      </c>
      <c r="H461" s="66">
        <f>IF(tblFleet[[#This Row],[Units]]="","",tblFleet[[#This Row],[Calendar_h]]-tblFleet[[#This Row],[Down_h]])</f>
        <v/>
      </c>
      <c r="I461" s="60">
        <f>IF(AND(tblFleet[[#This Row],[Units]]&lt;&gt;"",tblFleet[[#This Row],[Calendar_h]]&gt;0),tblFleet[[#This Row],[Available_h]]/tblFleet[[#This Row],[Calendar_h]],"")</f>
        <v/>
      </c>
      <c r="J461" s="60">
        <f>IF(AND(tblFleet[[#This Row],[Units]]&lt;&gt;"",tblFleet[[#This Row],[Available_h]]&gt;0),tblFleet[[#This Row],[Operating_h]]/tblFleet[[#This Row],[Available_h]],"")</f>
        <v/>
      </c>
    </row>
    <row r="462">
      <c r="A462" s="54" t="n"/>
      <c r="B462" s="61" t="n"/>
      <c r="C462" s="62" t="n"/>
      <c r="D462" s="57" t="n"/>
      <c r="E462" s="57" t="n"/>
      <c r="F462" s="58" t="n"/>
      <c r="G462" s="66">
        <f>IF(tblFleet[[#This Row],[Units]]="","",tblFleet[[#This Row],[Units]]*24)</f>
        <v/>
      </c>
      <c r="H462" s="66">
        <f>IF(tblFleet[[#This Row],[Units]]="","",tblFleet[[#This Row],[Calendar_h]]-tblFleet[[#This Row],[Down_h]])</f>
        <v/>
      </c>
      <c r="I462" s="60">
        <f>IF(AND(tblFleet[[#This Row],[Units]]&lt;&gt;"",tblFleet[[#This Row],[Calendar_h]]&gt;0),tblFleet[[#This Row],[Available_h]]/tblFleet[[#This Row],[Calendar_h]],"")</f>
        <v/>
      </c>
      <c r="J462" s="60">
        <f>IF(AND(tblFleet[[#This Row],[Units]]&lt;&gt;"",tblFleet[[#This Row],[Available_h]]&gt;0),tblFleet[[#This Row],[Operating_h]]/tblFleet[[#This Row],[Available_h]],"")</f>
        <v/>
      </c>
    </row>
    <row r="463">
      <c r="A463" s="54" t="n"/>
      <c r="B463" s="61" t="n"/>
      <c r="C463" s="62" t="n"/>
      <c r="D463" s="57" t="n"/>
      <c r="E463" s="57" t="n"/>
      <c r="F463" s="58" t="n"/>
      <c r="G463" s="66">
        <f>IF(tblFleet[[#This Row],[Units]]="","",tblFleet[[#This Row],[Units]]*24)</f>
        <v/>
      </c>
      <c r="H463" s="66">
        <f>IF(tblFleet[[#This Row],[Units]]="","",tblFleet[[#This Row],[Calendar_h]]-tblFleet[[#This Row],[Down_h]])</f>
        <v/>
      </c>
      <c r="I463" s="60">
        <f>IF(AND(tblFleet[[#This Row],[Units]]&lt;&gt;"",tblFleet[[#This Row],[Calendar_h]]&gt;0),tblFleet[[#This Row],[Available_h]]/tblFleet[[#This Row],[Calendar_h]],"")</f>
        <v/>
      </c>
      <c r="J463" s="60">
        <f>IF(AND(tblFleet[[#This Row],[Units]]&lt;&gt;"",tblFleet[[#This Row],[Available_h]]&gt;0),tblFleet[[#This Row],[Operating_h]]/tblFleet[[#This Row],[Available_h]],"")</f>
        <v/>
      </c>
    </row>
    <row r="464">
      <c r="A464" s="54" t="n"/>
      <c r="B464" s="61" t="n"/>
      <c r="C464" s="62" t="n"/>
      <c r="D464" s="57" t="n"/>
      <c r="E464" s="57" t="n"/>
      <c r="F464" s="58" t="n"/>
      <c r="G464" s="66">
        <f>IF(tblFleet[[#This Row],[Units]]="","",tblFleet[[#This Row],[Units]]*24)</f>
        <v/>
      </c>
      <c r="H464" s="66">
        <f>IF(tblFleet[[#This Row],[Units]]="","",tblFleet[[#This Row],[Calendar_h]]-tblFleet[[#This Row],[Down_h]])</f>
        <v/>
      </c>
      <c r="I464" s="60">
        <f>IF(AND(tblFleet[[#This Row],[Units]]&lt;&gt;"",tblFleet[[#This Row],[Calendar_h]]&gt;0),tblFleet[[#This Row],[Available_h]]/tblFleet[[#This Row],[Calendar_h]],"")</f>
        <v/>
      </c>
      <c r="J464" s="60">
        <f>IF(AND(tblFleet[[#This Row],[Units]]&lt;&gt;"",tblFleet[[#This Row],[Available_h]]&gt;0),tblFleet[[#This Row],[Operating_h]]/tblFleet[[#This Row],[Available_h]],"")</f>
        <v/>
      </c>
    </row>
    <row r="465">
      <c r="A465" s="54" t="n"/>
      <c r="B465" s="61" t="n"/>
      <c r="C465" s="62" t="n"/>
      <c r="D465" s="57" t="n"/>
      <c r="E465" s="57" t="n"/>
      <c r="F465" s="58" t="n"/>
      <c r="G465" s="66">
        <f>IF(tblFleet[[#This Row],[Units]]="","",tblFleet[[#This Row],[Units]]*24)</f>
        <v/>
      </c>
      <c r="H465" s="66">
        <f>IF(tblFleet[[#This Row],[Units]]="","",tblFleet[[#This Row],[Calendar_h]]-tblFleet[[#This Row],[Down_h]])</f>
        <v/>
      </c>
      <c r="I465" s="60">
        <f>IF(AND(tblFleet[[#This Row],[Units]]&lt;&gt;"",tblFleet[[#This Row],[Calendar_h]]&gt;0),tblFleet[[#This Row],[Available_h]]/tblFleet[[#This Row],[Calendar_h]],"")</f>
        <v/>
      </c>
      <c r="J465" s="60">
        <f>IF(AND(tblFleet[[#This Row],[Units]]&lt;&gt;"",tblFleet[[#This Row],[Available_h]]&gt;0),tblFleet[[#This Row],[Operating_h]]/tblFleet[[#This Row],[Available_h]],"")</f>
        <v/>
      </c>
    </row>
    <row r="466">
      <c r="A466" s="54" t="n"/>
      <c r="B466" s="61" t="n"/>
      <c r="C466" s="62" t="n"/>
      <c r="D466" s="57" t="n"/>
      <c r="E466" s="57" t="n"/>
      <c r="F466" s="58" t="n"/>
      <c r="G466" s="66">
        <f>IF(tblFleet[[#This Row],[Units]]="","",tblFleet[[#This Row],[Units]]*24)</f>
        <v/>
      </c>
      <c r="H466" s="66">
        <f>IF(tblFleet[[#This Row],[Units]]="","",tblFleet[[#This Row],[Calendar_h]]-tblFleet[[#This Row],[Down_h]])</f>
        <v/>
      </c>
      <c r="I466" s="60">
        <f>IF(AND(tblFleet[[#This Row],[Units]]&lt;&gt;"",tblFleet[[#This Row],[Calendar_h]]&gt;0),tblFleet[[#This Row],[Available_h]]/tblFleet[[#This Row],[Calendar_h]],"")</f>
        <v/>
      </c>
      <c r="J466" s="60">
        <f>IF(AND(tblFleet[[#This Row],[Units]]&lt;&gt;"",tblFleet[[#This Row],[Available_h]]&gt;0),tblFleet[[#This Row],[Operating_h]]/tblFleet[[#This Row],[Available_h]],"")</f>
        <v/>
      </c>
    </row>
    <row r="467">
      <c r="A467" s="54" t="n"/>
      <c r="B467" s="61" t="n"/>
      <c r="C467" s="62" t="n"/>
      <c r="D467" s="57" t="n"/>
      <c r="E467" s="57" t="n"/>
      <c r="F467" s="58" t="n"/>
      <c r="G467" s="66">
        <f>IF(tblFleet[[#This Row],[Units]]="","",tblFleet[[#This Row],[Units]]*24)</f>
        <v/>
      </c>
      <c r="H467" s="66">
        <f>IF(tblFleet[[#This Row],[Units]]="","",tblFleet[[#This Row],[Calendar_h]]-tblFleet[[#This Row],[Down_h]])</f>
        <v/>
      </c>
      <c r="I467" s="60">
        <f>IF(AND(tblFleet[[#This Row],[Units]]&lt;&gt;"",tblFleet[[#This Row],[Calendar_h]]&gt;0),tblFleet[[#This Row],[Available_h]]/tblFleet[[#This Row],[Calendar_h]],"")</f>
        <v/>
      </c>
      <c r="J467" s="60">
        <f>IF(AND(tblFleet[[#This Row],[Units]]&lt;&gt;"",tblFleet[[#This Row],[Available_h]]&gt;0),tblFleet[[#This Row],[Operating_h]]/tblFleet[[#This Row],[Available_h]],"")</f>
        <v/>
      </c>
    </row>
    <row r="468">
      <c r="A468" s="54" t="n"/>
      <c r="B468" s="61" t="n"/>
      <c r="C468" s="62" t="n"/>
      <c r="D468" s="57" t="n"/>
      <c r="E468" s="57" t="n"/>
      <c r="F468" s="58" t="n"/>
      <c r="G468" s="66">
        <f>IF(tblFleet[[#This Row],[Units]]="","",tblFleet[[#This Row],[Units]]*24)</f>
        <v/>
      </c>
      <c r="H468" s="66">
        <f>IF(tblFleet[[#This Row],[Units]]="","",tblFleet[[#This Row],[Calendar_h]]-tblFleet[[#This Row],[Down_h]])</f>
        <v/>
      </c>
      <c r="I468" s="60">
        <f>IF(AND(tblFleet[[#This Row],[Units]]&lt;&gt;"",tblFleet[[#This Row],[Calendar_h]]&gt;0),tblFleet[[#This Row],[Available_h]]/tblFleet[[#This Row],[Calendar_h]],"")</f>
        <v/>
      </c>
      <c r="J468" s="60">
        <f>IF(AND(tblFleet[[#This Row],[Units]]&lt;&gt;"",tblFleet[[#This Row],[Available_h]]&gt;0),tblFleet[[#This Row],[Operating_h]]/tblFleet[[#This Row],[Available_h]],"")</f>
        <v/>
      </c>
    </row>
    <row r="469">
      <c r="A469" s="54" t="n"/>
      <c r="B469" s="61" t="n"/>
      <c r="C469" s="62" t="n"/>
      <c r="D469" s="57" t="n"/>
      <c r="E469" s="57" t="n"/>
      <c r="F469" s="58" t="n"/>
      <c r="G469" s="66">
        <f>IF(tblFleet[[#This Row],[Units]]="","",tblFleet[[#This Row],[Units]]*24)</f>
        <v/>
      </c>
      <c r="H469" s="66">
        <f>IF(tblFleet[[#This Row],[Units]]="","",tblFleet[[#This Row],[Calendar_h]]-tblFleet[[#This Row],[Down_h]])</f>
        <v/>
      </c>
      <c r="I469" s="60">
        <f>IF(AND(tblFleet[[#This Row],[Units]]&lt;&gt;"",tblFleet[[#This Row],[Calendar_h]]&gt;0),tblFleet[[#This Row],[Available_h]]/tblFleet[[#This Row],[Calendar_h]],"")</f>
        <v/>
      </c>
      <c r="J469" s="60">
        <f>IF(AND(tblFleet[[#This Row],[Units]]&lt;&gt;"",tblFleet[[#This Row],[Available_h]]&gt;0),tblFleet[[#This Row],[Operating_h]]/tblFleet[[#This Row],[Available_h]],"")</f>
        <v/>
      </c>
    </row>
    <row r="470">
      <c r="A470" s="54" t="n"/>
      <c r="B470" s="61" t="n"/>
      <c r="C470" s="62" t="n"/>
      <c r="D470" s="57" t="n"/>
      <c r="E470" s="57" t="n"/>
      <c r="F470" s="58" t="n"/>
      <c r="G470" s="66">
        <f>IF(tblFleet[[#This Row],[Units]]="","",tblFleet[[#This Row],[Units]]*24)</f>
        <v/>
      </c>
      <c r="H470" s="66">
        <f>IF(tblFleet[[#This Row],[Units]]="","",tblFleet[[#This Row],[Calendar_h]]-tblFleet[[#This Row],[Down_h]])</f>
        <v/>
      </c>
      <c r="I470" s="60">
        <f>IF(AND(tblFleet[[#This Row],[Units]]&lt;&gt;"",tblFleet[[#This Row],[Calendar_h]]&gt;0),tblFleet[[#This Row],[Available_h]]/tblFleet[[#This Row],[Calendar_h]],"")</f>
        <v/>
      </c>
      <c r="J470" s="60">
        <f>IF(AND(tblFleet[[#This Row],[Units]]&lt;&gt;"",tblFleet[[#This Row],[Available_h]]&gt;0),tblFleet[[#This Row],[Operating_h]]/tblFleet[[#This Row],[Available_h]],"")</f>
        <v/>
      </c>
    </row>
    <row r="471">
      <c r="A471" s="54" t="n"/>
      <c r="B471" s="61" t="n"/>
      <c r="C471" s="62" t="n"/>
      <c r="D471" s="57" t="n"/>
      <c r="E471" s="57" t="n"/>
      <c r="F471" s="58" t="n"/>
      <c r="G471" s="66">
        <f>IF(tblFleet[[#This Row],[Units]]="","",tblFleet[[#This Row],[Units]]*24)</f>
        <v/>
      </c>
      <c r="H471" s="66">
        <f>IF(tblFleet[[#This Row],[Units]]="","",tblFleet[[#This Row],[Calendar_h]]-tblFleet[[#This Row],[Down_h]])</f>
        <v/>
      </c>
      <c r="I471" s="60">
        <f>IF(AND(tblFleet[[#This Row],[Units]]&lt;&gt;"",tblFleet[[#This Row],[Calendar_h]]&gt;0),tblFleet[[#This Row],[Available_h]]/tblFleet[[#This Row],[Calendar_h]],"")</f>
        <v/>
      </c>
      <c r="J471" s="60">
        <f>IF(AND(tblFleet[[#This Row],[Units]]&lt;&gt;"",tblFleet[[#This Row],[Available_h]]&gt;0),tblFleet[[#This Row],[Operating_h]]/tblFleet[[#This Row],[Available_h]],"")</f>
        <v/>
      </c>
    </row>
    <row r="472">
      <c r="A472" s="54" t="n"/>
      <c r="B472" s="61" t="n"/>
      <c r="C472" s="62" t="n"/>
      <c r="D472" s="57" t="n"/>
      <c r="E472" s="57" t="n"/>
      <c r="F472" s="58" t="n"/>
      <c r="G472" s="66">
        <f>IF(tblFleet[[#This Row],[Units]]="","",tblFleet[[#This Row],[Units]]*24)</f>
        <v/>
      </c>
      <c r="H472" s="66">
        <f>IF(tblFleet[[#This Row],[Units]]="","",tblFleet[[#This Row],[Calendar_h]]-tblFleet[[#This Row],[Down_h]])</f>
        <v/>
      </c>
      <c r="I472" s="60">
        <f>IF(AND(tblFleet[[#This Row],[Units]]&lt;&gt;"",tblFleet[[#This Row],[Calendar_h]]&gt;0),tblFleet[[#This Row],[Available_h]]/tblFleet[[#This Row],[Calendar_h]],"")</f>
        <v/>
      </c>
      <c r="J472" s="60">
        <f>IF(AND(tblFleet[[#This Row],[Units]]&lt;&gt;"",tblFleet[[#This Row],[Available_h]]&gt;0),tblFleet[[#This Row],[Operating_h]]/tblFleet[[#This Row],[Available_h]],"")</f>
        <v/>
      </c>
    </row>
    <row r="473">
      <c r="A473" s="54" t="n"/>
      <c r="B473" s="61" t="n"/>
      <c r="C473" s="62" t="n"/>
      <c r="D473" s="57" t="n"/>
      <c r="E473" s="57" t="n"/>
      <c r="F473" s="58" t="n"/>
      <c r="G473" s="66">
        <f>IF(tblFleet[[#This Row],[Units]]="","",tblFleet[[#This Row],[Units]]*24)</f>
        <v/>
      </c>
      <c r="H473" s="66">
        <f>IF(tblFleet[[#This Row],[Units]]="","",tblFleet[[#This Row],[Calendar_h]]-tblFleet[[#This Row],[Down_h]])</f>
        <v/>
      </c>
      <c r="I473" s="60">
        <f>IF(AND(tblFleet[[#This Row],[Units]]&lt;&gt;"",tblFleet[[#This Row],[Calendar_h]]&gt;0),tblFleet[[#This Row],[Available_h]]/tblFleet[[#This Row],[Calendar_h]],"")</f>
        <v/>
      </c>
      <c r="J473" s="60">
        <f>IF(AND(tblFleet[[#This Row],[Units]]&lt;&gt;"",tblFleet[[#This Row],[Available_h]]&gt;0),tblFleet[[#This Row],[Operating_h]]/tblFleet[[#This Row],[Available_h]],"")</f>
        <v/>
      </c>
    </row>
    <row r="474">
      <c r="A474" s="54" t="n"/>
      <c r="B474" s="61" t="n"/>
      <c r="C474" s="62" t="n"/>
      <c r="D474" s="57" t="n"/>
      <c r="E474" s="57" t="n"/>
      <c r="F474" s="58" t="n"/>
      <c r="G474" s="66">
        <f>IF(tblFleet[[#This Row],[Units]]="","",tblFleet[[#This Row],[Units]]*24)</f>
        <v/>
      </c>
      <c r="H474" s="66">
        <f>IF(tblFleet[[#This Row],[Units]]="","",tblFleet[[#This Row],[Calendar_h]]-tblFleet[[#This Row],[Down_h]])</f>
        <v/>
      </c>
      <c r="I474" s="60">
        <f>IF(AND(tblFleet[[#This Row],[Units]]&lt;&gt;"",tblFleet[[#This Row],[Calendar_h]]&gt;0),tblFleet[[#This Row],[Available_h]]/tblFleet[[#This Row],[Calendar_h]],"")</f>
        <v/>
      </c>
      <c r="J474" s="60">
        <f>IF(AND(tblFleet[[#This Row],[Units]]&lt;&gt;"",tblFleet[[#This Row],[Available_h]]&gt;0),tblFleet[[#This Row],[Operating_h]]/tblFleet[[#This Row],[Available_h]],"")</f>
        <v/>
      </c>
    </row>
    <row r="475">
      <c r="A475" s="54" t="n"/>
      <c r="B475" s="61" t="n"/>
      <c r="C475" s="62" t="n"/>
      <c r="D475" s="57" t="n"/>
      <c r="E475" s="57" t="n"/>
      <c r="F475" s="58" t="n"/>
      <c r="G475" s="66">
        <f>IF(tblFleet[[#This Row],[Units]]="","",tblFleet[[#This Row],[Units]]*24)</f>
        <v/>
      </c>
      <c r="H475" s="66">
        <f>IF(tblFleet[[#This Row],[Units]]="","",tblFleet[[#This Row],[Calendar_h]]-tblFleet[[#This Row],[Down_h]])</f>
        <v/>
      </c>
      <c r="I475" s="60">
        <f>IF(AND(tblFleet[[#This Row],[Units]]&lt;&gt;"",tblFleet[[#This Row],[Calendar_h]]&gt;0),tblFleet[[#This Row],[Available_h]]/tblFleet[[#This Row],[Calendar_h]],"")</f>
        <v/>
      </c>
      <c r="J475" s="60">
        <f>IF(AND(tblFleet[[#This Row],[Units]]&lt;&gt;"",tblFleet[[#This Row],[Available_h]]&gt;0),tblFleet[[#This Row],[Operating_h]]/tblFleet[[#This Row],[Available_h]],"")</f>
        <v/>
      </c>
    </row>
    <row r="476">
      <c r="A476" s="54" t="n"/>
      <c r="B476" s="61" t="n"/>
      <c r="C476" s="62" t="n"/>
      <c r="D476" s="57" t="n"/>
      <c r="E476" s="57" t="n"/>
      <c r="F476" s="58" t="n"/>
      <c r="G476" s="66">
        <f>IF(tblFleet[[#This Row],[Units]]="","",tblFleet[[#This Row],[Units]]*24)</f>
        <v/>
      </c>
      <c r="H476" s="66">
        <f>IF(tblFleet[[#This Row],[Units]]="","",tblFleet[[#This Row],[Calendar_h]]-tblFleet[[#This Row],[Down_h]])</f>
        <v/>
      </c>
      <c r="I476" s="60">
        <f>IF(AND(tblFleet[[#This Row],[Units]]&lt;&gt;"",tblFleet[[#This Row],[Calendar_h]]&gt;0),tblFleet[[#This Row],[Available_h]]/tblFleet[[#This Row],[Calendar_h]],"")</f>
        <v/>
      </c>
      <c r="J476" s="60">
        <f>IF(AND(tblFleet[[#This Row],[Units]]&lt;&gt;"",tblFleet[[#This Row],[Available_h]]&gt;0),tblFleet[[#This Row],[Operating_h]]/tblFleet[[#This Row],[Available_h]],"")</f>
        <v/>
      </c>
    </row>
    <row r="477">
      <c r="A477" s="54" t="n"/>
      <c r="B477" s="61" t="n"/>
      <c r="C477" s="62" t="n"/>
      <c r="D477" s="57" t="n"/>
      <c r="E477" s="57" t="n"/>
      <c r="F477" s="58" t="n"/>
      <c r="G477" s="66">
        <f>IF(tblFleet[[#This Row],[Units]]="","",tblFleet[[#This Row],[Units]]*24)</f>
        <v/>
      </c>
      <c r="H477" s="66">
        <f>IF(tblFleet[[#This Row],[Units]]="","",tblFleet[[#This Row],[Calendar_h]]-tblFleet[[#This Row],[Down_h]])</f>
        <v/>
      </c>
      <c r="I477" s="60">
        <f>IF(AND(tblFleet[[#This Row],[Units]]&lt;&gt;"",tblFleet[[#This Row],[Calendar_h]]&gt;0),tblFleet[[#This Row],[Available_h]]/tblFleet[[#This Row],[Calendar_h]],"")</f>
        <v/>
      </c>
      <c r="J477" s="60">
        <f>IF(AND(tblFleet[[#This Row],[Units]]&lt;&gt;"",tblFleet[[#This Row],[Available_h]]&gt;0),tblFleet[[#This Row],[Operating_h]]/tblFleet[[#This Row],[Available_h]],"")</f>
        <v/>
      </c>
    </row>
    <row r="478">
      <c r="A478" s="54" t="n"/>
      <c r="B478" s="61" t="n"/>
      <c r="C478" s="62" t="n"/>
      <c r="D478" s="57" t="n"/>
      <c r="E478" s="57" t="n"/>
      <c r="F478" s="58" t="n"/>
      <c r="G478" s="66">
        <f>IF(tblFleet[[#This Row],[Units]]="","",tblFleet[[#This Row],[Units]]*24)</f>
        <v/>
      </c>
      <c r="H478" s="66">
        <f>IF(tblFleet[[#This Row],[Units]]="","",tblFleet[[#This Row],[Calendar_h]]-tblFleet[[#This Row],[Down_h]])</f>
        <v/>
      </c>
      <c r="I478" s="60">
        <f>IF(AND(tblFleet[[#This Row],[Units]]&lt;&gt;"",tblFleet[[#This Row],[Calendar_h]]&gt;0),tblFleet[[#This Row],[Available_h]]/tblFleet[[#This Row],[Calendar_h]],"")</f>
        <v/>
      </c>
      <c r="J478" s="60">
        <f>IF(AND(tblFleet[[#This Row],[Units]]&lt;&gt;"",tblFleet[[#This Row],[Available_h]]&gt;0),tblFleet[[#This Row],[Operating_h]]/tblFleet[[#This Row],[Available_h]],"")</f>
        <v/>
      </c>
    </row>
    <row r="479">
      <c r="A479" s="54" t="n"/>
      <c r="B479" s="61" t="n"/>
      <c r="C479" s="62" t="n"/>
      <c r="D479" s="57" t="n"/>
      <c r="E479" s="57" t="n"/>
      <c r="F479" s="58" t="n"/>
      <c r="G479" s="66">
        <f>IF(tblFleet[[#This Row],[Units]]="","",tblFleet[[#This Row],[Units]]*24)</f>
        <v/>
      </c>
      <c r="H479" s="66">
        <f>IF(tblFleet[[#This Row],[Units]]="","",tblFleet[[#This Row],[Calendar_h]]-tblFleet[[#This Row],[Down_h]])</f>
        <v/>
      </c>
      <c r="I479" s="60">
        <f>IF(AND(tblFleet[[#This Row],[Units]]&lt;&gt;"",tblFleet[[#This Row],[Calendar_h]]&gt;0),tblFleet[[#This Row],[Available_h]]/tblFleet[[#This Row],[Calendar_h]],"")</f>
        <v/>
      </c>
      <c r="J479" s="60">
        <f>IF(AND(tblFleet[[#This Row],[Units]]&lt;&gt;"",tblFleet[[#This Row],[Available_h]]&gt;0),tblFleet[[#This Row],[Operating_h]]/tblFleet[[#This Row],[Available_h]],"")</f>
        <v/>
      </c>
    </row>
    <row r="480">
      <c r="A480" s="54" t="n"/>
      <c r="B480" s="61" t="n"/>
      <c r="C480" s="62" t="n"/>
      <c r="D480" s="57" t="n"/>
      <c r="E480" s="57" t="n"/>
      <c r="F480" s="58" t="n"/>
      <c r="G480" s="66">
        <f>IF(tblFleet[[#This Row],[Units]]="","",tblFleet[[#This Row],[Units]]*24)</f>
        <v/>
      </c>
      <c r="H480" s="66">
        <f>IF(tblFleet[[#This Row],[Units]]="","",tblFleet[[#This Row],[Calendar_h]]-tblFleet[[#This Row],[Down_h]])</f>
        <v/>
      </c>
      <c r="I480" s="60">
        <f>IF(AND(tblFleet[[#This Row],[Units]]&lt;&gt;"",tblFleet[[#This Row],[Calendar_h]]&gt;0),tblFleet[[#This Row],[Available_h]]/tblFleet[[#This Row],[Calendar_h]],"")</f>
        <v/>
      </c>
      <c r="J480" s="60">
        <f>IF(AND(tblFleet[[#This Row],[Units]]&lt;&gt;"",tblFleet[[#This Row],[Available_h]]&gt;0),tblFleet[[#This Row],[Operating_h]]/tblFleet[[#This Row],[Available_h]],"")</f>
        <v/>
      </c>
    </row>
    <row r="481">
      <c r="A481" s="54" t="n"/>
      <c r="B481" s="61" t="n"/>
      <c r="C481" s="62" t="n"/>
      <c r="D481" s="57" t="n"/>
      <c r="E481" s="57" t="n"/>
      <c r="F481" s="58" t="n"/>
      <c r="G481" s="66">
        <f>IF(tblFleet[[#This Row],[Units]]="","",tblFleet[[#This Row],[Units]]*24)</f>
        <v/>
      </c>
      <c r="H481" s="66">
        <f>IF(tblFleet[[#This Row],[Units]]="","",tblFleet[[#This Row],[Calendar_h]]-tblFleet[[#This Row],[Down_h]])</f>
        <v/>
      </c>
      <c r="I481" s="60">
        <f>IF(AND(tblFleet[[#This Row],[Units]]&lt;&gt;"",tblFleet[[#This Row],[Calendar_h]]&gt;0),tblFleet[[#This Row],[Available_h]]/tblFleet[[#This Row],[Calendar_h]],"")</f>
        <v/>
      </c>
      <c r="J481" s="60">
        <f>IF(AND(tblFleet[[#This Row],[Units]]&lt;&gt;"",tblFleet[[#This Row],[Available_h]]&gt;0),tblFleet[[#This Row],[Operating_h]]/tblFleet[[#This Row],[Available_h]],"")</f>
        <v/>
      </c>
    </row>
    <row r="482">
      <c r="A482" s="54" t="n"/>
      <c r="B482" s="61" t="n"/>
      <c r="C482" s="62" t="n"/>
      <c r="D482" s="57" t="n"/>
      <c r="E482" s="57" t="n"/>
      <c r="F482" s="58" t="n"/>
      <c r="G482" s="66">
        <f>IF(tblFleet[[#This Row],[Units]]="","",tblFleet[[#This Row],[Units]]*24)</f>
        <v/>
      </c>
      <c r="H482" s="66">
        <f>IF(tblFleet[[#This Row],[Units]]="","",tblFleet[[#This Row],[Calendar_h]]-tblFleet[[#This Row],[Down_h]])</f>
        <v/>
      </c>
      <c r="I482" s="60">
        <f>IF(AND(tblFleet[[#This Row],[Units]]&lt;&gt;"",tblFleet[[#This Row],[Calendar_h]]&gt;0),tblFleet[[#This Row],[Available_h]]/tblFleet[[#This Row],[Calendar_h]],"")</f>
        <v/>
      </c>
      <c r="J482" s="60">
        <f>IF(AND(tblFleet[[#This Row],[Units]]&lt;&gt;"",tblFleet[[#This Row],[Available_h]]&gt;0),tblFleet[[#This Row],[Operating_h]]/tblFleet[[#This Row],[Available_h]],"")</f>
        <v/>
      </c>
    </row>
    <row r="483">
      <c r="A483" s="54" t="n"/>
      <c r="B483" s="61" t="n"/>
      <c r="C483" s="62" t="n"/>
      <c r="D483" s="57" t="n"/>
      <c r="E483" s="57" t="n"/>
      <c r="F483" s="58" t="n"/>
      <c r="G483" s="66">
        <f>IF(tblFleet[[#This Row],[Units]]="","",tblFleet[[#This Row],[Units]]*24)</f>
        <v/>
      </c>
      <c r="H483" s="66">
        <f>IF(tblFleet[[#This Row],[Units]]="","",tblFleet[[#This Row],[Calendar_h]]-tblFleet[[#This Row],[Down_h]])</f>
        <v/>
      </c>
      <c r="I483" s="60">
        <f>IF(AND(tblFleet[[#This Row],[Units]]&lt;&gt;"",tblFleet[[#This Row],[Calendar_h]]&gt;0),tblFleet[[#This Row],[Available_h]]/tblFleet[[#This Row],[Calendar_h]],"")</f>
        <v/>
      </c>
      <c r="J483" s="60">
        <f>IF(AND(tblFleet[[#This Row],[Units]]&lt;&gt;"",tblFleet[[#This Row],[Available_h]]&gt;0),tblFleet[[#This Row],[Operating_h]]/tblFleet[[#This Row],[Available_h]],"")</f>
        <v/>
      </c>
    </row>
    <row r="484">
      <c r="A484" s="54" t="n"/>
      <c r="B484" s="61" t="n"/>
      <c r="C484" s="62" t="n"/>
      <c r="D484" s="57" t="n"/>
      <c r="E484" s="57" t="n"/>
      <c r="F484" s="58" t="n"/>
      <c r="G484" s="66">
        <f>IF(tblFleet[[#This Row],[Units]]="","",tblFleet[[#This Row],[Units]]*24)</f>
        <v/>
      </c>
      <c r="H484" s="66">
        <f>IF(tblFleet[[#This Row],[Units]]="","",tblFleet[[#This Row],[Calendar_h]]-tblFleet[[#This Row],[Down_h]])</f>
        <v/>
      </c>
      <c r="I484" s="60">
        <f>IF(AND(tblFleet[[#This Row],[Units]]&lt;&gt;"",tblFleet[[#This Row],[Calendar_h]]&gt;0),tblFleet[[#This Row],[Available_h]]/tblFleet[[#This Row],[Calendar_h]],"")</f>
        <v/>
      </c>
      <c r="J484" s="60">
        <f>IF(AND(tblFleet[[#This Row],[Units]]&lt;&gt;"",tblFleet[[#This Row],[Available_h]]&gt;0),tblFleet[[#This Row],[Operating_h]]/tblFleet[[#This Row],[Available_h]],"")</f>
        <v/>
      </c>
    </row>
    <row r="485">
      <c r="A485" s="54" t="n"/>
      <c r="B485" s="61" t="n"/>
      <c r="C485" s="62" t="n"/>
      <c r="D485" s="57" t="n"/>
      <c r="E485" s="57" t="n"/>
      <c r="F485" s="58" t="n"/>
      <c r="G485" s="66">
        <f>IF(tblFleet[[#This Row],[Units]]="","",tblFleet[[#This Row],[Units]]*24)</f>
        <v/>
      </c>
      <c r="H485" s="66">
        <f>IF(tblFleet[[#This Row],[Units]]="","",tblFleet[[#This Row],[Calendar_h]]-tblFleet[[#This Row],[Down_h]])</f>
        <v/>
      </c>
      <c r="I485" s="60">
        <f>IF(AND(tblFleet[[#This Row],[Units]]&lt;&gt;"",tblFleet[[#This Row],[Calendar_h]]&gt;0),tblFleet[[#This Row],[Available_h]]/tblFleet[[#This Row],[Calendar_h]],"")</f>
        <v/>
      </c>
      <c r="J485" s="60">
        <f>IF(AND(tblFleet[[#This Row],[Units]]&lt;&gt;"",tblFleet[[#This Row],[Available_h]]&gt;0),tblFleet[[#This Row],[Operating_h]]/tblFleet[[#This Row],[Available_h]],"")</f>
        <v/>
      </c>
    </row>
    <row r="486">
      <c r="A486" s="54" t="n"/>
      <c r="B486" s="61" t="n"/>
      <c r="C486" s="62" t="n"/>
      <c r="D486" s="57" t="n"/>
      <c r="E486" s="57" t="n"/>
      <c r="F486" s="58" t="n"/>
      <c r="G486" s="66">
        <f>IF(tblFleet[[#This Row],[Units]]="","",tblFleet[[#This Row],[Units]]*24)</f>
        <v/>
      </c>
      <c r="H486" s="66">
        <f>IF(tblFleet[[#This Row],[Units]]="","",tblFleet[[#This Row],[Calendar_h]]-tblFleet[[#This Row],[Down_h]])</f>
        <v/>
      </c>
      <c r="I486" s="60">
        <f>IF(AND(tblFleet[[#This Row],[Units]]&lt;&gt;"",tblFleet[[#This Row],[Calendar_h]]&gt;0),tblFleet[[#This Row],[Available_h]]/tblFleet[[#This Row],[Calendar_h]],"")</f>
        <v/>
      </c>
      <c r="J486" s="60">
        <f>IF(AND(tblFleet[[#This Row],[Units]]&lt;&gt;"",tblFleet[[#This Row],[Available_h]]&gt;0),tblFleet[[#This Row],[Operating_h]]/tblFleet[[#This Row],[Available_h]],"")</f>
        <v/>
      </c>
    </row>
    <row r="487">
      <c r="A487" s="54" t="n"/>
      <c r="B487" s="61" t="n"/>
      <c r="C487" s="62" t="n"/>
      <c r="D487" s="57" t="n"/>
      <c r="E487" s="57" t="n"/>
      <c r="F487" s="58" t="n"/>
      <c r="G487" s="66">
        <f>IF(tblFleet[[#This Row],[Units]]="","",tblFleet[[#This Row],[Units]]*24)</f>
        <v/>
      </c>
      <c r="H487" s="66">
        <f>IF(tblFleet[[#This Row],[Units]]="","",tblFleet[[#This Row],[Calendar_h]]-tblFleet[[#This Row],[Down_h]])</f>
        <v/>
      </c>
      <c r="I487" s="60">
        <f>IF(AND(tblFleet[[#This Row],[Units]]&lt;&gt;"",tblFleet[[#This Row],[Calendar_h]]&gt;0),tblFleet[[#This Row],[Available_h]]/tblFleet[[#This Row],[Calendar_h]],"")</f>
        <v/>
      </c>
      <c r="J487" s="60">
        <f>IF(AND(tblFleet[[#This Row],[Units]]&lt;&gt;"",tblFleet[[#This Row],[Available_h]]&gt;0),tblFleet[[#This Row],[Operating_h]]/tblFleet[[#This Row],[Available_h]],"")</f>
        <v/>
      </c>
    </row>
    <row r="488">
      <c r="A488" s="54" t="n"/>
      <c r="B488" s="61" t="n"/>
      <c r="C488" s="62" t="n"/>
      <c r="D488" s="57" t="n"/>
      <c r="E488" s="57" t="n"/>
      <c r="F488" s="58" t="n"/>
      <c r="G488" s="66">
        <f>IF(tblFleet[[#This Row],[Units]]="","",tblFleet[[#This Row],[Units]]*24)</f>
        <v/>
      </c>
      <c r="H488" s="66">
        <f>IF(tblFleet[[#This Row],[Units]]="","",tblFleet[[#This Row],[Calendar_h]]-tblFleet[[#This Row],[Down_h]])</f>
        <v/>
      </c>
      <c r="I488" s="60">
        <f>IF(AND(tblFleet[[#This Row],[Units]]&lt;&gt;"",tblFleet[[#This Row],[Calendar_h]]&gt;0),tblFleet[[#This Row],[Available_h]]/tblFleet[[#This Row],[Calendar_h]],"")</f>
        <v/>
      </c>
      <c r="J488" s="60">
        <f>IF(AND(tblFleet[[#This Row],[Units]]&lt;&gt;"",tblFleet[[#This Row],[Available_h]]&gt;0),tblFleet[[#This Row],[Operating_h]]/tblFleet[[#This Row],[Available_h]],"")</f>
        <v/>
      </c>
    </row>
    <row r="489">
      <c r="A489" s="54" t="n"/>
      <c r="B489" s="61" t="n"/>
      <c r="C489" s="62" t="n"/>
      <c r="D489" s="57" t="n"/>
      <c r="E489" s="57" t="n"/>
      <c r="F489" s="58" t="n"/>
      <c r="G489" s="66">
        <f>IF(tblFleet[[#This Row],[Units]]="","",tblFleet[[#This Row],[Units]]*24)</f>
        <v/>
      </c>
      <c r="H489" s="66">
        <f>IF(tblFleet[[#This Row],[Units]]="","",tblFleet[[#This Row],[Calendar_h]]-tblFleet[[#This Row],[Down_h]])</f>
        <v/>
      </c>
      <c r="I489" s="60">
        <f>IF(AND(tblFleet[[#This Row],[Units]]&lt;&gt;"",tblFleet[[#This Row],[Calendar_h]]&gt;0),tblFleet[[#This Row],[Available_h]]/tblFleet[[#This Row],[Calendar_h]],"")</f>
        <v/>
      </c>
      <c r="J489" s="60">
        <f>IF(AND(tblFleet[[#This Row],[Units]]&lt;&gt;"",tblFleet[[#This Row],[Available_h]]&gt;0),tblFleet[[#This Row],[Operating_h]]/tblFleet[[#This Row],[Available_h]],"")</f>
        <v/>
      </c>
    </row>
    <row r="490">
      <c r="A490" s="54" t="n"/>
      <c r="B490" s="61" t="n"/>
      <c r="C490" s="62" t="n"/>
      <c r="D490" s="57" t="n"/>
      <c r="E490" s="57" t="n"/>
      <c r="F490" s="58" t="n"/>
      <c r="G490" s="66">
        <f>IF(tblFleet[[#This Row],[Units]]="","",tblFleet[[#This Row],[Units]]*24)</f>
        <v/>
      </c>
      <c r="H490" s="66">
        <f>IF(tblFleet[[#This Row],[Units]]="","",tblFleet[[#This Row],[Calendar_h]]-tblFleet[[#This Row],[Down_h]])</f>
        <v/>
      </c>
      <c r="I490" s="60">
        <f>IF(AND(tblFleet[[#This Row],[Units]]&lt;&gt;"",tblFleet[[#This Row],[Calendar_h]]&gt;0),tblFleet[[#This Row],[Available_h]]/tblFleet[[#This Row],[Calendar_h]],"")</f>
        <v/>
      </c>
      <c r="J490" s="60">
        <f>IF(AND(tblFleet[[#This Row],[Units]]&lt;&gt;"",tblFleet[[#This Row],[Available_h]]&gt;0),tblFleet[[#This Row],[Operating_h]]/tblFleet[[#This Row],[Available_h]],"")</f>
        <v/>
      </c>
    </row>
    <row r="491">
      <c r="A491" s="54" t="n"/>
      <c r="B491" s="61" t="n"/>
      <c r="C491" s="62" t="n"/>
      <c r="D491" s="57" t="n"/>
      <c r="E491" s="57" t="n"/>
      <c r="F491" s="58" t="n"/>
      <c r="G491" s="66">
        <f>IF(tblFleet[[#This Row],[Units]]="","",tblFleet[[#This Row],[Units]]*24)</f>
        <v/>
      </c>
      <c r="H491" s="66">
        <f>IF(tblFleet[[#This Row],[Units]]="","",tblFleet[[#This Row],[Calendar_h]]-tblFleet[[#This Row],[Down_h]])</f>
        <v/>
      </c>
      <c r="I491" s="60">
        <f>IF(AND(tblFleet[[#This Row],[Units]]&lt;&gt;"",tblFleet[[#This Row],[Calendar_h]]&gt;0),tblFleet[[#This Row],[Available_h]]/tblFleet[[#This Row],[Calendar_h]],"")</f>
        <v/>
      </c>
      <c r="J491" s="60">
        <f>IF(AND(tblFleet[[#This Row],[Units]]&lt;&gt;"",tblFleet[[#This Row],[Available_h]]&gt;0),tblFleet[[#This Row],[Operating_h]]/tblFleet[[#This Row],[Available_h]],"")</f>
        <v/>
      </c>
    </row>
    <row r="492">
      <c r="A492" s="54" t="n"/>
      <c r="B492" s="61" t="n"/>
      <c r="C492" s="62" t="n"/>
      <c r="D492" s="57" t="n"/>
      <c r="E492" s="57" t="n"/>
      <c r="F492" s="58" t="n"/>
      <c r="G492" s="66">
        <f>IF(tblFleet[[#This Row],[Units]]="","",tblFleet[[#This Row],[Units]]*24)</f>
        <v/>
      </c>
      <c r="H492" s="66">
        <f>IF(tblFleet[[#This Row],[Units]]="","",tblFleet[[#This Row],[Calendar_h]]-tblFleet[[#This Row],[Down_h]])</f>
        <v/>
      </c>
      <c r="I492" s="60">
        <f>IF(AND(tblFleet[[#This Row],[Units]]&lt;&gt;"",tblFleet[[#This Row],[Calendar_h]]&gt;0),tblFleet[[#This Row],[Available_h]]/tblFleet[[#This Row],[Calendar_h]],"")</f>
        <v/>
      </c>
      <c r="J492" s="60">
        <f>IF(AND(tblFleet[[#This Row],[Units]]&lt;&gt;"",tblFleet[[#This Row],[Available_h]]&gt;0),tblFleet[[#This Row],[Operating_h]]/tblFleet[[#This Row],[Available_h]],"")</f>
        <v/>
      </c>
    </row>
    <row r="493">
      <c r="A493" s="54" t="n"/>
      <c r="B493" s="61" t="n"/>
      <c r="C493" s="62" t="n"/>
      <c r="D493" s="57" t="n"/>
      <c r="E493" s="57" t="n"/>
      <c r="F493" s="58" t="n"/>
      <c r="G493" s="66">
        <f>IF(tblFleet[[#This Row],[Units]]="","",tblFleet[[#This Row],[Units]]*24)</f>
        <v/>
      </c>
      <c r="H493" s="66">
        <f>IF(tblFleet[[#This Row],[Units]]="","",tblFleet[[#This Row],[Calendar_h]]-tblFleet[[#This Row],[Down_h]])</f>
        <v/>
      </c>
      <c r="I493" s="60">
        <f>IF(AND(tblFleet[[#This Row],[Units]]&lt;&gt;"",tblFleet[[#This Row],[Calendar_h]]&gt;0),tblFleet[[#This Row],[Available_h]]/tblFleet[[#This Row],[Calendar_h]],"")</f>
        <v/>
      </c>
      <c r="J493" s="60">
        <f>IF(AND(tblFleet[[#This Row],[Units]]&lt;&gt;"",tblFleet[[#This Row],[Available_h]]&gt;0),tblFleet[[#This Row],[Operating_h]]/tblFleet[[#This Row],[Available_h]],"")</f>
        <v/>
      </c>
    </row>
    <row r="494">
      <c r="A494" s="54" t="n"/>
      <c r="B494" s="61" t="n"/>
      <c r="C494" s="62" t="n"/>
      <c r="D494" s="57" t="n"/>
      <c r="E494" s="57" t="n"/>
      <c r="F494" s="58" t="n"/>
      <c r="G494" s="66">
        <f>IF(tblFleet[[#This Row],[Units]]="","",tblFleet[[#This Row],[Units]]*24)</f>
        <v/>
      </c>
      <c r="H494" s="66">
        <f>IF(tblFleet[[#This Row],[Units]]="","",tblFleet[[#This Row],[Calendar_h]]-tblFleet[[#This Row],[Down_h]])</f>
        <v/>
      </c>
      <c r="I494" s="60">
        <f>IF(AND(tblFleet[[#This Row],[Units]]&lt;&gt;"",tblFleet[[#This Row],[Calendar_h]]&gt;0),tblFleet[[#This Row],[Available_h]]/tblFleet[[#This Row],[Calendar_h]],"")</f>
        <v/>
      </c>
      <c r="J494" s="60">
        <f>IF(AND(tblFleet[[#This Row],[Units]]&lt;&gt;"",tblFleet[[#This Row],[Available_h]]&gt;0),tblFleet[[#This Row],[Operating_h]]/tblFleet[[#This Row],[Available_h]],"")</f>
        <v/>
      </c>
    </row>
    <row r="495">
      <c r="A495" s="54" t="n"/>
      <c r="B495" s="61" t="n"/>
      <c r="C495" s="62" t="n"/>
      <c r="D495" s="57" t="n"/>
      <c r="E495" s="57" t="n"/>
      <c r="F495" s="58" t="n"/>
      <c r="G495" s="66">
        <f>IF(tblFleet[[#This Row],[Units]]="","",tblFleet[[#This Row],[Units]]*24)</f>
        <v/>
      </c>
      <c r="H495" s="66">
        <f>IF(tblFleet[[#This Row],[Units]]="","",tblFleet[[#This Row],[Calendar_h]]-tblFleet[[#This Row],[Down_h]])</f>
        <v/>
      </c>
      <c r="I495" s="60">
        <f>IF(AND(tblFleet[[#This Row],[Units]]&lt;&gt;"",tblFleet[[#This Row],[Calendar_h]]&gt;0),tblFleet[[#This Row],[Available_h]]/tblFleet[[#This Row],[Calendar_h]],"")</f>
        <v/>
      </c>
      <c r="J495" s="60">
        <f>IF(AND(tblFleet[[#This Row],[Units]]&lt;&gt;"",tblFleet[[#This Row],[Available_h]]&gt;0),tblFleet[[#This Row],[Operating_h]]/tblFleet[[#This Row],[Available_h]],"")</f>
        <v/>
      </c>
    </row>
    <row r="496">
      <c r="A496" s="54" t="n"/>
      <c r="B496" s="61" t="n"/>
      <c r="C496" s="62" t="n"/>
      <c r="D496" s="57" t="n"/>
      <c r="E496" s="57" t="n"/>
      <c r="F496" s="58" t="n"/>
      <c r="G496" s="66">
        <f>IF(tblFleet[[#This Row],[Units]]="","",tblFleet[[#This Row],[Units]]*24)</f>
        <v/>
      </c>
      <c r="H496" s="66">
        <f>IF(tblFleet[[#This Row],[Units]]="","",tblFleet[[#This Row],[Calendar_h]]-tblFleet[[#This Row],[Down_h]])</f>
        <v/>
      </c>
      <c r="I496" s="60">
        <f>IF(AND(tblFleet[[#This Row],[Units]]&lt;&gt;"",tblFleet[[#This Row],[Calendar_h]]&gt;0),tblFleet[[#This Row],[Available_h]]/tblFleet[[#This Row],[Calendar_h]],"")</f>
        <v/>
      </c>
      <c r="J496" s="60">
        <f>IF(AND(tblFleet[[#This Row],[Units]]&lt;&gt;"",tblFleet[[#This Row],[Available_h]]&gt;0),tblFleet[[#This Row],[Operating_h]]/tblFleet[[#This Row],[Available_h]],"")</f>
        <v/>
      </c>
    </row>
    <row r="497">
      <c r="A497" s="54" t="n"/>
      <c r="B497" s="61" t="n"/>
      <c r="C497" s="62" t="n"/>
      <c r="D497" s="57" t="n"/>
      <c r="E497" s="57" t="n"/>
      <c r="F497" s="58" t="n"/>
      <c r="G497" s="66">
        <f>IF(tblFleet[[#This Row],[Units]]="","",tblFleet[[#This Row],[Units]]*24)</f>
        <v/>
      </c>
      <c r="H497" s="66">
        <f>IF(tblFleet[[#This Row],[Units]]="","",tblFleet[[#This Row],[Calendar_h]]-tblFleet[[#This Row],[Down_h]])</f>
        <v/>
      </c>
      <c r="I497" s="60">
        <f>IF(AND(tblFleet[[#This Row],[Units]]&lt;&gt;"",tblFleet[[#This Row],[Calendar_h]]&gt;0),tblFleet[[#This Row],[Available_h]]/tblFleet[[#This Row],[Calendar_h]],"")</f>
        <v/>
      </c>
      <c r="J497" s="60">
        <f>IF(AND(tblFleet[[#This Row],[Units]]&lt;&gt;"",tblFleet[[#This Row],[Available_h]]&gt;0),tblFleet[[#This Row],[Operating_h]]/tblFleet[[#This Row],[Available_h]],"")</f>
        <v/>
      </c>
    </row>
    <row r="498">
      <c r="A498" s="54" t="n"/>
      <c r="B498" s="61" t="n"/>
      <c r="C498" s="62" t="n"/>
      <c r="D498" s="57" t="n"/>
      <c r="E498" s="57" t="n"/>
      <c r="F498" s="58" t="n"/>
      <c r="G498" s="66">
        <f>IF(tblFleet[[#This Row],[Units]]="","",tblFleet[[#This Row],[Units]]*24)</f>
        <v/>
      </c>
      <c r="H498" s="66">
        <f>IF(tblFleet[[#This Row],[Units]]="","",tblFleet[[#This Row],[Calendar_h]]-tblFleet[[#This Row],[Down_h]])</f>
        <v/>
      </c>
      <c r="I498" s="60">
        <f>IF(AND(tblFleet[[#This Row],[Units]]&lt;&gt;"",tblFleet[[#This Row],[Calendar_h]]&gt;0),tblFleet[[#This Row],[Available_h]]/tblFleet[[#This Row],[Calendar_h]],"")</f>
        <v/>
      </c>
      <c r="J498" s="60">
        <f>IF(AND(tblFleet[[#This Row],[Units]]&lt;&gt;"",tblFleet[[#This Row],[Available_h]]&gt;0),tblFleet[[#This Row],[Operating_h]]/tblFleet[[#This Row],[Available_h]],"")</f>
        <v/>
      </c>
    </row>
    <row r="499">
      <c r="A499" s="54" t="n"/>
      <c r="B499" s="61" t="n"/>
      <c r="C499" s="62" t="n"/>
      <c r="D499" s="57" t="n"/>
      <c r="E499" s="57" t="n"/>
      <c r="F499" s="58" t="n"/>
      <c r="G499" s="66">
        <f>IF(tblFleet[[#This Row],[Units]]="","",tblFleet[[#This Row],[Units]]*24)</f>
        <v/>
      </c>
      <c r="H499" s="66">
        <f>IF(tblFleet[[#This Row],[Units]]="","",tblFleet[[#This Row],[Calendar_h]]-tblFleet[[#This Row],[Down_h]])</f>
        <v/>
      </c>
      <c r="I499" s="60">
        <f>IF(AND(tblFleet[[#This Row],[Units]]&lt;&gt;"",tblFleet[[#This Row],[Calendar_h]]&gt;0),tblFleet[[#This Row],[Available_h]]/tblFleet[[#This Row],[Calendar_h]],"")</f>
        <v/>
      </c>
      <c r="J499" s="60">
        <f>IF(AND(tblFleet[[#This Row],[Units]]&lt;&gt;"",tblFleet[[#This Row],[Available_h]]&gt;0),tblFleet[[#This Row],[Operating_h]]/tblFleet[[#This Row],[Available_h]],"")</f>
        <v/>
      </c>
    </row>
    <row r="500">
      <c r="A500" s="54" t="n"/>
      <c r="B500" s="61" t="n"/>
      <c r="C500" s="62" t="n"/>
      <c r="D500" s="57" t="n"/>
      <c r="E500" s="57" t="n"/>
      <c r="F500" s="58" t="n"/>
      <c r="G500" s="66">
        <f>IF(tblFleet[[#This Row],[Units]]="","",tblFleet[[#This Row],[Units]]*24)</f>
        <v/>
      </c>
      <c r="H500" s="66">
        <f>IF(tblFleet[[#This Row],[Units]]="","",tblFleet[[#This Row],[Calendar_h]]-tblFleet[[#This Row],[Down_h]])</f>
        <v/>
      </c>
      <c r="I500" s="60">
        <f>IF(AND(tblFleet[[#This Row],[Units]]&lt;&gt;"",tblFleet[[#This Row],[Calendar_h]]&gt;0),tblFleet[[#This Row],[Available_h]]/tblFleet[[#This Row],[Calendar_h]],"")</f>
        <v/>
      </c>
      <c r="J500" s="60">
        <f>IF(AND(tblFleet[[#This Row],[Units]]&lt;&gt;"",tblFleet[[#This Row],[Available_h]]&gt;0),tblFleet[[#This Row],[Operating_h]]/tblFleet[[#This Row],[Available_h]],"")</f>
        <v/>
      </c>
    </row>
    <row r="501">
      <c r="A501" s="54" t="n"/>
      <c r="B501" s="61" t="n"/>
      <c r="C501" s="62" t="n"/>
      <c r="D501" s="57" t="n"/>
      <c r="E501" s="57" t="n"/>
      <c r="F501" s="58" t="n"/>
      <c r="G501" s="66">
        <f>IF(tblFleet[[#This Row],[Units]]="","",tblFleet[[#This Row],[Units]]*24)</f>
        <v/>
      </c>
      <c r="H501" s="66">
        <f>IF(tblFleet[[#This Row],[Units]]="","",tblFleet[[#This Row],[Calendar_h]]-tblFleet[[#This Row],[Down_h]])</f>
        <v/>
      </c>
      <c r="I501" s="60">
        <f>IF(AND(tblFleet[[#This Row],[Units]]&lt;&gt;"",tblFleet[[#This Row],[Calendar_h]]&gt;0),tblFleet[[#This Row],[Available_h]]/tblFleet[[#This Row],[Calendar_h]],"")</f>
        <v/>
      </c>
      <c r="J501" s="60">
        <f>IF(AND(tblFleet[[#This Row],[Units]]&lt;&gt;"",tblFleet[[#This Row],[Available_h]]&gt;0),tblFleet[[#This Row],[Operating_h]]/tblFleet[[#This Row],[Available_h]],"")</f>
        <v/>
      </c>
    </row>
    <row r="502">
      <c r="A502" s="54" t="n"/>
      <c r="B502" s="61" t="n"/>
      <c r="C502" s="62" t="n"/>
      <c r="D502" s="57" t="n"/>
      <c r="E502" s="57" t="n"/>
      <c r="F502" s="58" t="n"/>
      <c r="G502" s="66">
        <f>IF(tblFleet[[#This Row],[Units]]="","",tblFleet[[#This Row],[Units]]*24)</f>
        <v/>
      </c>
      <c r="H502" s="66">
        <f>IF(tblFleet[[#This Row],[Units]]="","",tblFleet[[#This Row],[Calendar_h]]-tblFleet[[#This Row],[Down_h]])</f>
        <v/>
      </c>
      <c r="I502" s="60">
        <f>IF(AND(tblFleet[[#This Row],[Units]]&lt;&gt;"",tblFleet[[#This Row],[Calendar_h]]&gt;0),tblFleet[[#This Row],[Available_h]]/tblFleet[[#This Row],[Calendar_h]],"")</f>
        <v/>
      </c>
      <c r="J502" s="60">
        <f>IF(AND(tblFleet[[#This Row],[Units]]&lt;&gt;"",tblFleet[[#This Row],[Available_h]]&gt;0),tblFleet[[#This Row],[Operating_h]]/tblFleet[[#This Row],[Available_h]],"")</f>
        <v/>
      </c>
    </row>
    <row r="503">
      <c r="A503" s="54" t="n"/>
      <c r="B503" s="61" t="n"/>
      <c r="C503" s="62" t="n"/>
      <c r="D503" s="57" t="n"/>
      <c r="E503" s="57" t="n"/>
      <c r="F503" s="58" t="n"/>
      <c r="G503" s="66">
        <f>IF(tblFleet[[#This Row],[Units]]="","",tblFleet[[#This Row],[Units]]*24)</f>
        <v/>
      </c>
      <c r="H503" s="66">
        <f>IF(tblFleet[[#This Row],[Units]]="","",tblFleet[[#This Row],[Calendar_h]]-tblFleet[[#This Row],[Down_h]])</f>
        <v/>
      </c>
      <c r="I503" s="60">
        <f>IF(AND(tblFleet[[#This Row],[Units]]&lt;&gt;"",tblFleet[[#This Row],[Calendar_h]]&gt;0),tblFleet[[#This Row],[Available_h]]/tblFleet[[#This Row],[Calendar_h]],"")</f>
        <v/>
      </c>
      <c r="J503" s="60">
        <f>IF(AND(tblFleet[[#This Row],[Units]]&lt;&gt;"",tblFleet[[#This Row],[Available_h]]&gt;0),tblFleet[[#This Row],[Operating_h]]/tblFleet[[#This Row],[Available_h]],"")</f>
        <v/>
      </c>
    </row>
    <row r="504">
      <c r="A504" s="54" t="n"/>
      <c r="B504" s="61" t="n"/>
      <c r="C504" s="62" t="n"/>
      <c r="D504" s="57" t="n"/>
      <c r="E504" s="57" t="n"/>
      <c r="F504" s="58" t="n"/>
      <c r="G504" s="66">
        <f>IF(tblFleet[[#This Row],[Units]]="","",tblFleet[[#This Row],[Units]]*24)</f>
        <v/>
      </c>
      <c r="H504" s="66">
        <f>IF(tblFleet[[#This Row],[Units]]="","",tblFleet[[#This Row],[Calendar_h]]-tblFleet[[#This Row],[Down_h]])</f>
        <v/>
      </c>
      <c r="I504" s="60">
        <f>IF(AND(tblFleet[[#This Row],[Units]]&lt;&gt;"",tblFleet[[#This Row],[Calendar_h]]&gt;0),tblFleet[[#This Row],[Available_h]]/tblFleet[[#This Row],[Calendar_h]],"")</f>
        <v/>
      </c>
      <c r="J504" s="60">
        <f>IF(AND(tblFleet[[#This Row],[Units]]&lt;&gt;"",tblFleet[[#This Row],[Available_h]]&gt;0),tblFleet[[#This Row],[Operating_h]]/tblFleet[[#This Row],[Available_h]],"")</f>
        <v/>
      </c>
    </row>
    <row r="505">
      <c r="A505" s="54" t="n"/>
      <c r="B505" s="61" t="n"/>
      <c r="C505" s="62" t="n"/>
      <c r="D505" s="57" t="n"/>
      <c r="E505" s="57" t="n"/>
      <c r="F505" s="58" t="n"/>
      <c r="G505" s="66">
        <f>IF(tblFleet[[#This Row],[Units]]="","",tblFleet[[#This Row],[Units]]*24)</f>
        <v/>
      </c>
      <c r="H505" s="66">
        <f>IF(tblFleet[[#This Row],[Units]]="","",tblFleet[[#This Row],[Calendar_h]]-tblFleet[[#This Row],[Down_h]])</f>
        <v/>
      </c>
      <c r="I505" s="60">
        <f>IF(AND(tblFleet[[#This Row],[Units]]&lt;&gt;"",tblFleet[[#This Row],[Calendar_h]]&gt;0),tblFleet[[#This Row],[Available_h]]/tblFleet[[#This Row],[Calendar_h]],"")</f>
        <v/>
      </c>
      <c r="J505" s="60">
        <f>IF(AND(tblFleet[[#This Row],[Units]]&lt;&gt;"",tblFleet[[#This Row],[Available_h]]&gt;0),tblFleet[[#This Row],[Operating_h]]/tblFleet[[#This Row],[Available_h]],"")</f>
        <v/>
      </c>
    </row>
    <row r="506">
      <c r="A506" s="54" t="n"/>
      <c r="B506" s="61" t="n"/>
      <c r="C506" s="62" t="n"/>
      <c r="D506" s="57" t="n"/>
      <c r="E506" s="57" t="n"/>
      <c r="F506" s="58" t="n"/>
      <c r="G506" s="66">
        <f>IF(tblFleet[[#This Row],[Units]]="","",tblFleet[[#This Row],[Units]]*24)</f>
        <v/>
      </c>
      <c r="H506" s="66">
        <f>IF(tblFleet[[#This Row],[Units]]="","",tblFleet[[#This Row],[Calendar_h]]-tblFleet[[#This Row],[Down_h]])</f>
        <v/>
      </c>
      <c r="I506" s="60">
        <f>IF(AND(tblFleet[[#This Row],[Units]]&lt;&gt;"",tblFleet[[#This Row],[Calendar_h]]&gt;0),tblFleet[[#This Row],[Available_h]]/tblFleet[[#This Row],[Calendar_h]],"")</f>
        <v/>
      </c>
      <c r="J506" s="60">
        <f>IF(AND(tblFleet[[#This Row],[Units]]&lt;&gt;"",tblFleet[[#This Row],[Available_h]]&gt;0),tblFleet[[#This Row],[Operating_h]]/tblFleet[[#This Row],[Available_h]],"")</f>
        <v/>
      </c>
    </row>
    <row r="507">
      <c r="A507" s="54" t="n"/>
      <c r="B507" s="61" t="n"/>
      <c r="C507" s="62" t="n"/>
      <c r="D507" s="57" t="n"/>
      <c r="E507" s="57" t="n"/>
      <c r="F507" s="58" t="n"/>
      <c r="G507" s="66">
        <f>IF(tblFleet[[#This Row],[Units]]="","",tblFleet[[#This Row],[Units]]*24)</f>
        <v/>
      </c>
      <c r="H507" s="66">
        <f>IF(tblFleet[[#This Row],[Units]]="","",tblFleet[[#This Row],[Calendar_h]]-tblFleet[[#This Row],[Down_h]])</f>
        <v/>
      </c>
      <c r="I507" s="60">
        <f>IF(AND(tblFleet[[#This Row],[Units]]&lt;&gt;"",tblFleet[[#This Row],[Calendar_h]]&gt;0),tblFleet[[#This Row],[Available_h]]/tblFleet[[#This Row],[Calendar_h]],"")</f>
        <v/>
      </c>
      <c r="J507" s="60">
        <f>IF(AND(tblFleet[[#This Row],[Units]]&lt;&gt;"",tblFleet[[#This Row],[Available_h]]&gt;0),tblFleet[[#This Row],[Operating_h]]/tblFleet[[#This Row],[Available_h]],"")</f>
        <v/>
      </c>
    </row>
    <row r="508">
      <c r="A508" s="54" t="n"/>
      <c r="B508" s="61" t="n"/>
      <c r="C508" s="62" t="n"/>
      <c r="D508" s="57" t="n"/>
      <c r="E508" s="57" t="n"/>
      <c r="F508" s="58" t="n"/>
      <c r="G508" s="66">
        <f>IF(tblFleet[[#This Row],[Units]]="","",tblFleet[[#This Row],[Units]]*24)</f>
        <v/>
      </c>
      <c r="H508" s="66">
        <f>IF(tblFleet[[#This Row],[Units]]="","",tblFleet[[#This Row],[Calendar_h]]-tblFleet[[#This Row],[Down_h]])</f>
        <v/>
      </c>
      <c r="I508" s="60">
        <f>IF(AND(tblFleet[[#This Row],[Units]]&lt;&gt;"",tblFleet[[#This Row],[Calendar_h]]&gt;0),tblFleet[[#This Row],[Available_h]]/tblFleet[[#This Row],[Calendar_h]],"")</f>
        <v/>
      </c>
      <c r="J508" s="60">
        <f>IF(AND(tblFleet[[#This Row],[Units]]&lt;&gt;"",tblFleet[[#This Row],[Available_h]]&gt;0),tblFleet[[#This Row],[Operating_h]]/tblFleet[[#This Row],[Available_h]],"")</f>
        <v/>
      </c>
    </row>
    <row r="509">
      <c r="A509" s="54" t="n"/>
      <c r="B509" s="61" t="n"/>
      <c r="C509" s="62" t="n"/>
      <c r="D509" s="57" t="n"/>
      <c r="E509" s="57" t="n"/>
      <c r="F509" s="58" t="n"/>
      <c r="G509" s="66">
        <f>IF(tblFleet[[#This Row],[Units]]="","",tblFleet[[#This Row],[Units]]*24)</f>
        <v/>
      </c>
      <c r="H509" s="66">
        <f>IF(tblFleet[[#This Row],[Units]]="","",tblFleet[[#This Row],[Calendar_h]]-tblFleet[[#This Row],[Down_h]])</f>
        <v/>
      </c>
      <c r="I509" s="60">
        <f>IF(AND(tblFleet[[#This Row],[Units]]&lt;&gt;"",tblFleet[[#This Row],[Calendar_h]]&gt;0),tblFleet[[#This Row],[Available_h]]/tblFleet[[#This Row],[Calendar_h]],"")</f>
        <v/>
      </c>
      <c r="J509" s="60">
        <f>IF(AND(tblFleet[[#This Row],[Units]]&lt;&gt;"",tblFleet[[#This Row],[Available_h]]&gt;0),tblFleet[[#This Row],[Operating_h]]/tblFleet[[#This Row],[Available_h]],"")</f>
        <v/>
      </c>
    </row>
    <row r="510">
      <c r="A510" s="54" t="n"/>
      <c r="B510" s="61" t="n"/>
      <c r="C510" s="62" t="n"/>
      <c r="D510" s="57" t="n"/>
      <c r="E510" s="57" t="n"/>
      <c r="F510" s="58" t="n"/>
      <c r="G510" s="66">
        <f>IF(tblFleet[[#This Row],[Units]]="","",tblFleet[[#This Row],[Units]]*24)</f>
        <v/>
      </c>
      <c r="H510" s="66">
        <f>IF(tblFleet[[#This Row],[Units]]="","",tblFleet[[#This Row],[Calendar_h]]-tblFleet[[#This Row],[Down_h]])</f>
        <v/>
      </c>
      <c r="I510" s="60">
        <f>IF(AND(tblFleet[[#This Row],[Units]]&lt;&gt;"",tblFleet[[#This Row],[Calendar_h]]&gt;0),tblFleet[[#This Row],[Available_h]]/tblFleet[[#This Row],[Calendar_h]],"")</f>
        <v/>
      </c>
      <c r="J510" s="60">
        <f>IF(AND(tblFleet[[#This Row],[Units]]&lt;&gt;"",tblFleet[[#This Row],[Available_h]]&gt;0),tblFleet[[#This Row],[Operating_h]]/tblFleet[[#This Row],[Available_h]],"")</f>
        <v/>
      </c>
    </row>
    <row r="511">
      <c r="A511" s="54" t="n"/>
      <c r="B511" s="61" t="n"/>
      <c r="C511" s="62" t="n"/>
      <c r="D511" s="57" t="n"/>
      <c r="E511" s="57" t="n"/>
      <c r="F511" s="58" t="n"/>
      <c r="G511" s="66">
        <f>IF(tblFleet[[#This Row],[Units]]="","",tblFleet[[#This Row],[Units]]*24)</f>
        <v/>
      </c>
      <c r="H511" s="66">
        <f>IF(tblFleet[[#This Row],[Units]]="","",tblFleet[[#This Row],[Calendar_h]]-tblFleet[[#This Row],[Down_h]])</f>
        <v/>
      </c>
      <c r="I511" s="60">
        <f>IF(AND(tblFleet[[#This Row],[Units]]&lt;&gt;"",tblFleet[[#This Row],[Calendar_h]]&gt;0),tblFleet[[#This Row],[Available_h]]/tblFleet[[#This Row],[Calendar_h]],"")</f>
        <v/>
      </c>
      <c r="J511" s="60">
        <f>IF(AND(tblFleet[[#This Row],[Units]]&lt;&gt;"",tblFleet[[#This Row],[Available_h]]&gt;0),tblFleet[[#This Row],[Operating_h]]/tblFleet[[#This Row],[Available_h]],"")</f>
        <v/>
      </c>
    </row>
    <row r="512">
      <c r="A512" s="54" t="n"/>
      <c r="B512" s="61" t="n"/>
      <c r="C512" s="62" t="n"/>
      <c r="D512" s="57" t="n"/>
      <c r="E512" s="57" t="n"/>
      <c r="F512" s="58" t="n"/>
      <c r="G512" s="66">
        <f>IF(tblFleet[[#This Row],[Units]]="","",tblFleet[[#This Row],[Units]]*24)</f>
        <v/>
      </c>
      <c r="H512" s="66">
        <f>IF(tblFleet[[#This Row],[Units]]="","",tblFleet[[#This Row],[Calendar_h]]-tblFleet[[#This Row],[Down_h]])</f>
        <v/>
      </c>
      <c r="I512" s="60">
        <f>IF(AND(tblFleet[[#This Row],[Units]]&lt;&gt;"",tblFleet[[#This Row],[Calendar_h]]&gt;0),tblFleet[[#This Row],[Available_h]]/tblFleet[[#This Row],[Calendar_h]],"")</f>
        <v/>
      </c>
      <c r="J512" s="60">
        <f>IF(AND(tblFleet[[#This Row],[Units]]&lt;&gt;"",tblFleet[[#This Row],[Available_h]]&gt;0),tblFleet[[#This Row],[Operating_h]]/tblFleet[[#This Row],[Available_h]],"")</f>
        <v/>
      </c>
    </row>
    <row r="513">
      <c r="A513" s="54" t="n"/>
      <c r="B513" s="61" t="n"/>
      <c r="C513" s="62" t="n"/>
      <c r="D513" s="57" t="n"/>
      <c r="E513" s="57" t="n"/>
      <c r="F513" s="58" t="n"/>
      <c r="G513" s="66">
        <f>IF(tblFleet[[#This Row],[Units]]="","",tblFleet[[#This Row],[Units]]*24)</f>
        <v/>
      </c>
      <c r="H513" s="66">
        <f>IF(tblFleet[[#This Row],[Units]]="","",tblFleet[[#This Row],[Calendar_h]]-tblFleet[[#This Row],[Down_h]])</f>
        <v/>
      </c>
      <c r="I513" s="60">
        <f>IF(AND(tblFleet[[#This Row],[Units]]&lt;&gt;"",tblFleet[[#This Row],[Calendar_h]]&gt;0),tblFleet[[#This Row],[Available_h]]/tblFleet[[#This Row],[Calendar_h]],"")</f>
        <v/>
      </c>
      <c r="J513" s="60">
        <f>IF(AND(tblFleet[[#This Row],[Units]]&lt;&gt;"",tblFleet[[#This Row],[Available_h]]&gt;0),tblFleet[[#This Row],[Operating_h]]/tblFleet[[#This Row],[Available_h]],"")</f>
        <v/>
      </c>
    </row>
    <row r="514">
      <c r="A514" s="54" t="n"/>
      <c r="B514" s="61" t="n"/>
      <c r="C514" s="62" t="n"/>
      <c r="D514" s="57" t="n"/>
      <c r="E514" s="57" t="n"/>
      <c r="F514" s="58" t="n"/>
      <c r="G514" s="66">
        <f>IF(tblFleet[[#This Row],[Units]]="","",tblFleet[[#This Row],[Units]]*24)</f>
        <v/>
      </c>
      <c r="H514" s="66">
        <f>IF(tblFleet[[#This Row],[Units]]="","",tblFleet[[#This Row],[Calendar_h]]-tblFleet[[#This Row],[Down_h]])</f>
        <v/>
      </c>
      <c r="I514" s="60">
        <f>IF(AND(tblFleet[[#This Row],[Units]]&lt;&gt;"",tblFleet[[#This Row],[Calendar_h]]&gt;0),tblFleet[[#This Row],[Available_h]]/tblFleet[[#This Row],[Calendar_h]],"")</f>
        <v/>
      </c>
      <c r="J514" s="60">
        <f>IF(AND(tblFleet[[#This Row],[Units]]&lt;&gt;"",tblFleet[[#This Row],[Available_h]]&gt;0),tblFleet[[#This Row],[Operating_h]]/tblFleet[[#This Row],[Available_h]],"")</f>
        <v/>
      </c>
    </row>
    <row r="515">
      <c r="A515" s="54" t="n"/>
      <c r="B515" s="61" t="n"/>
      <c r="C515" s="62" t="n"/>
      <c r="D515" s="57" t="n"/>
      <c r="E515" s="57" t="n"/>
      <c r="F515" s="58" t="n"/>
      <c r="G515" s="66">
        <f>IF(tblFleet[[#This Row],[Units]]="","",tblFleet[[#This Row],[Units]]*24)</f>
        <v/>
      </c>
      <c r="H515" s="66">
        <f>IF(tblFleet[[#This Row],[Units]]="","",tblFleet[[#This Row],[Calendar_h]]-tblFleet[[#This Row],[Down_h]])</f>
        <v/>
      </c>
      <c r="I515" s="60">
        <f>IF(AND(tblFleet[[#This Row],[Units]]&lt;&gt;"",tblFleet[[#This Row],[Calendar_h]]&gt;0),tblFleet[[#This Row],[Available_h]]/tblFleet[[#This Row],[Calendar_h]],"")</f>
        <v/>
      </c>
      <c r="J515" s="60">
        <f>IF(AND(tblFleet[[#This Row],[Units]]&lt;&gt;"",tblFleet[[#This Row],[Available_h]]&gt;0),tblFleet[[#This Row],[Operating_h]]/tblFleet[[#This Row],[Available_h]],"")</f>
        <v/>
      </c>
    </row>
    <row r="516">
      <c r="A516" s="54" t="n"/>
      <c r="B516" s="61" t="n"/>
      <c r="C516" s="62" t="n"/>
      <c r="D516" s="57" t="n"/>
      <c r="E516" s="57" t="n"/>
      <c r="F516" s="58" t="n"/>
      <c r="G516" s="66">
        <f>IF(tblFleet[[#This Row],[Units]]="","",tblFleet[[#This Row],[Units]]*24)</f>
        <v/>
      </c>
      <c r="H516" s="66">
        <f>IF(tblFleet[[#This Row],[Units]]="","",tblFleet[[#This Row],[Calendar_h]]-tblFleet[[#This Row],[Down_h]])</f>
        <v/>
      </c>
      <c r="I516" s="60">
        <f>IF(AND(tblFleet[[#This Row],[Units]]&lt;&gt;"",tblFleet[[#This Row],[Calendar_h]]&gt;0),tblFleet[[#This Row],[Available_h]]/tblFleet[[#This Row],[Calendar_h]],"")</f>
        <v/>
      </c>
      <c r="J516" s="60">
        <f>IF(AND(tblFleet[[#This Row],[Units]]&lt;&gt;"",tblFleet[[#This Row],[Available_h]]&gt;0),tblFleet[[#This Row],[Operating_h]]/tblFleet[[#This Row],[Available_h]],"")</f>
        <v/>
      </c>
    </row>
    <row r="517">
      <c r="A517" s="54" t="n"/>
      <c r="B517" s="61" t="n"/>
      <c r="C517" s="62" t="n"/>
      <c r="D517" s="57" t="n"/>
      <c r="E517" s="57" t="n"/>
      <c r="F517" s="58" t="n"/>
      <c r="G517" s="66">
        <f>IF(tblFleet[[#This Row],[Units]]="","",tblFleet[[#This Row],[Units]]*24)</f>
        <v/>
      </c>
      <c r="H517" s="66">
        <f>IF(tblFleet[[#This Row],[Units]]="","",tblFleet[[#This Row],[Calendar_h]]-tblFleet[[#This Row],[Down_h]])</f>
        <v/>
      </c>
      <c r="I517" s="60">
        <f>IF(AND(tblFleet[[#This Row],[Units]]&lt;&gt;"",tblFleet[[#This Row],[Calendar_h]]&gt;0),tblFleet[[#This Row],[Available_h]]/tblFleet[[#This Row],[Calendar_h]],"")</f>
        <v/>
      </c>
      <c r="J517" s="60">
        <f>IF(AND(tblFleet[[#This Row],[Units]]&lt;&gt;"",tblFleet[[#This Row],[Available_h]]&gt;0),tblFleet[[#This Row],[Operating_h]]/tblFleet[[#This Row],[Available_h]],"")</f>
        <v/>
      </c>
    </row>
    <row r="518">
      <c r="A518" s="54" t="n"/>
      <c r="B518" s="61" t="n"/>
      <c r="C518" s="62" t="n"/>
      <c r="D518" s="57" t="n"/>
      <c r="E518" s="57" t="n"/>
      <c r="F518" s="58" t="n"/>
      <c r="G518" s="66">
        <f>IF(tblFleet[[#This Row],[Units]]="","",tblFleet[[#This Row],[Units]]*24)</f>
        <v/>
      </c>
      <c r="H518" s="66">
        <f>IF(tblFleet[[#This Row],[Units]]="","",tblFleet[[#This Row],[Calendar_h]]-tblFleet[[#This Row],[Down_h]])</f>
        <v/>
      </c>
      <c r="I518" s="60">
        <f>IF(AND(tblFleet[[#This Row],[Units]]&lt;&gt;"",tblFleet[[#This Row],[Calendar_h]]&gt;0),tblFleet[[#This Row],[Available_h]]/tblFleet[[#This Row],[Calendar_h]],"")</f>
        <v/>
      </c>
      <c r="J518" s="60">
        <f>IF(AND(tblFleet[[#This Row],[Units]]&lt;&gt;"",tblFleet[[#This Row],[Available_h]]&gt;0),tblFleet[[#This Row],[Operating_h]]/tblFleet[[#This Row],[Available_h]],"")</f>
        <v/>
      </c>
    </row>
    <row r="519">
      <c r="A519" s="54" t="n"/>
      <c r="B519" s="61" t="n"/>
      <c r="C519" s="62" t="n"/>
      <c r="D519" s="57" t="n"/>
      <c r="E519" s="57" t="n"/>
      <c r="F519" s="58" t="n"/>
      <c r="G519" s="66">
        <f>IF(tblFleet[[#This Row],[Units]]="","",tblFleet[[#This Row],[Units]]*24)</f>
        <v/>
      </c>
      <c r="H519" s="66">
        <f>IF(tblFleet[[#This Row],[Units]]="","",tblFleet[[#This Row],[Calendar_h]]-tblFleet[[#This Row],[Down_h]])</f>
        <v/>
      </c>
      <c r="I519" s="60">
        <f>IF(AND(tblFleet[[#This Row],[Units]]&lt;&gt;"",tblFleet[[#This Row],[Calendar_h]]&gt;0),tblFleet[[#This Row],[Available_h]]/tblFleet[[#This Row],[Calendar_h]],"")</f>
        <v/>
      </c>
      <c r="J519" s="60">
        <f>IF(AND(tblFleet[[#This Row],[Units]]&lt;&gt;"",tblFleet[[#This Row],[Available_h]]&gt;0),tblFleet[[#This Row],[Operating_h]]/tblFleet[[#This Row],[Available_h]],"")</f>
        <v/>
      </c>
    </row>
    <row r="520">
      <c r="A520" s="54" t="n"/>
      <c r="B520" s="61" t="n"/>
      <c r="C520" s="62" t="n"/>
      <c r="D520" s="57" t="n"/>
      <c r="E520" s="57" t="n"/>
      <c r="F520" s="58" t="n"/>
      <c r="G520" s="66">
        <f>IF(tblFleet[[#This Row],[Units]]="","",tblFleet[[#This Row],[Units]]*24)</f>
        <v/>
      </c>
      <c r="H520" s="66">
        <f>IF(tblFleet[[#This Row],[Units]]="","",tblFleet[[#This Row],[Calendar_h]]-tblFleet[[#This Row],[Down_h]])</f>
        <v/>
      </c>
      <c r="I520" s="60">
        <f>IF(AND(tblFleet[[#This Row],[Units]]&lt;&gt;"",tblFleet[[#This Row],[Calendar_h]]&gt;0),tblFleet[[#This Row],[Available_h]]/tblFleet[[#This Row],[Calendar_h]],"")</f>
        <v/>
      </c>
      <c r="J520" s="60">
        <f>IF(AND(tblFleet[[#This Row],[Units]]&lt;&gt;"",tblFleet[[#This Row],[Available_h]]&gt;0),tblFleet[[#This Row],[Operating_h]]/tblFleet[[#This Row],[Available_h]],"")</f>
        <v/>
      </c>
    </row>
    <row r="521">
      <c r="A521" s="54" t="n"/>
      <c r="B521" s="61" t="n"/>
      <c r="C521" s="62" t="n"/>
      <c r="D521" s="57" t="n"/>
      <c r="E521" s="57" t="n"/>
      <c r="F521" s="58" t="n"/>
      <c r="G521" s="66">
        <f>IF(tblFleet[[#This Row],[Units]]="","",tblFleet[[#This Row],[Units]]*24)</f>
        <v/>
      </c>
      <c r="H521" s="66">
        <f>IF(tblFleet[[#This Row],[Units]]="","",tblFleet[[#This Row],[Calendar_h]]-tblFleet[[#This Row],[Down_h]])</f>
        <v/>
      </c>
      <c r="I521" s="60">
        <f>IF(AND(tblFleet[[#This Row],[Units]]&lt;&gt;"",tblFleet[[#This Row],[Calendar_h]]&gt;0),tblFleet[[#This Row],[Available_h]]/tblFleet[[#This Row],[Calendar_h]],"")</f>
        <v/>
      </c>
      <c r="J521" s="60">
        <f>IF(AND(tblFleet[[#This Row],[Units]]&lt;&gt;"",tblFleet[[#This Row],[Available_h]]&gt;0),tblFleet[[#This Row],[Operating_h]]/tblFleet[[#This Row],[Available_h]],"")</f>
        <v/>
      </c>
    </row>
    <row r="522">
      <c r="A522" s="54" t="n"/>
      <c r="B522" s="61" t="n"/>
      <c r="C522" s="62" t="n"/>
      <c r="D522" s="57" t="n"/>
      <c r="E522" s="57" t="n"/>
      <c r="F522" s="58" t="n"/>
      <c r="G522" s="66">
        <f>IF(tblFleet[[#This Row],[Units]]="","",tblFleet[[#This Row],[Units]]*24)</f>
        <v/>
      </c>
      <c r="H522" s="66">
        <f>IF(tblFleet[[#This Row],[Units]]="","",tblFleet[[#This Row],[Calendar_h]]-tblFleet[[#This Row],[Down_h]])</f>
        <v/>
      </c>
      <c r="I522" s="60">
        <f>IF(AND(tblFleet[[#This Row],[Units]]&lt;&gt;"",tblFleet[[#This Row],[Calendar_h]]&gt;0),tblFleet[[#This Row],[Available_h]]/tblFleet[[#This Row],[Calendar_h]],"")</f>
        <v/>
      </c>
      <c r="J522" s="60">
        <f>IF(AND(tblFleet[[#This Row],[Units]]&lt;&gt;"",tblFleet[[#This Row],[Available_h]]&gt;0),tblFleet[[#This Row],[Operating_h]]/tblFleet[[#This Row],[Available_h]],"")</f>
        <v/>
      </c>
    </row>
    <row r="523">
      <c r="A523" s="54" t="n"/>
      <c r="B523" s="61" t="n"/>
      <c r="C523" s="62" t="n"/>
      <c r="D523" s="57" t="n"/>
      <c r="E523" s="57" t="n"/>
      <c r="F523" s="58" t="n"/>
      <c r="G523" s="66">
        <f>IF(tblFleet[[#This Row],[Units]]="","",tblFleet[[#This Row],[Units]]*24)</f>
        <v/>
      </c>
      <c r="H523" s="66">
        <f>IF(tblFleet[[#This Row],[Units]]="","",tblFleet[[#This Row],[Calendar_h]]-tblFleet[[#This Row],[Down_h]])</f>
        <v/>
      </c>
      <c r="I523" s="60">
        <f>IF(AND(tblFleet[[#This Row],[Units]]&lt;&gt;"",tblFleet[[#This Row],[Calendar_h]]&gt;0),tblFleet[[#This Row],[Available_h]]/tblFleet[[#This Row],[Calendar_h]],"")</f>
        <v/>
      </c>
      <c r="J523" s="60">
        <f>IF(AND(tblFleet[[#This Row],[Units]]&lt;&gt;"",tblFleet[[#This Row],[Available_h]]&gt;0),tblFleet[[#This Row],[Operating_h]]/tblFleet[[#This Row],[Available_h]],"")</f>
        <v/>
      </c>
    </row>
    <row r="524">
      <c r="A524" s="54" t="n"/>
      <c r="B524" s="61" t="n"/>
      <c r="C524" s="62" t="n"/>
      <c r="D524" s="57" t="n"/>
      <c r="E524" s="57" t="n"/>
      <c r="F524" s="58" t="n"/>
      <c r="G524" s="66">
        <f>IF(tblFleet[[#This Row],[Units]]="","",tblFleet[[#This Row],[Units]]*24)</f>
        <v/>
      </c>
      <c r="H524" s="66">
        <f>IF(tblFleet[[#This Row],[Units]]="","",tblFleet[[#This Row],[Calendar_h]]-tblFleet[[#This Row],[Down_h]])</f>
        <v/>
      </c>
      <c r="I524" s="60">
        <f>IF(AND(tblFleet[[#This Row],[Units]]&lt;&gt;"",tblFleet[[#This Row],[Calendar_h]]&gt;0),tblFleet[[#This Row],[Available_h]]/tblFleet[[#This Row],[Calendar_h]],"")</f>
        <v/>
      </c>
      <c r="J524" s="60">
        <f>IF(AND(tblFleet[[#This Row],[Units]]&lt;&gt;"",tblFleet[[#This Row],[Available_h]]&gt;0),tblFleet[[#This Row],[Operating_h]]/tblFleet[[#This Row],[Available_h]],"")</f>
        <v/>
      </c>
    </row>
    <row r="525">
      <c r="A525" s="54" t="n"/>
      <c r="B525" s="61" t="n"/>
      <c r="C525" s="62" t="n"/>
      <c r="D525" s="57" t="n"/>
      <c r="E525" s="57" t="n"/>
      <c r="F525" s="58" t="n"/>
      <c r="G525" s="66">
        <f>IF(tblFleet[[#This Row],[Units]]="","",tblFleet[[#This Row],[Units]]*24)</f>
        <v/>
      </c>
      <c r="H525" s="66">
        <f>IF(tblFleet[[#This Row],[Units]]="","",tblFleet[[#This Row],[Calendar_h]]-tblFleet[[#This Row],[Down_h]])</f>
        <v/>
      </c>
      <c r="I525" s="60">
        <f>IF(AND(tblFleet[[#This Row],[Units]]&lt;&gt;"",tblFleet[[#This Row],[Calendar_h]]&gt;0),tblFleet[[#This Row],[Available_h]]/tblFleet[[#This Row],[Calendar_h]],"")</f>
        <v/>
      </c>
      <c r="J525" s="60">
        <f>IF(AND(tblFleet[[#This Row],[Units]]&lt;&gt;"",tblFleet[[#This Row],[Available_h]]&gt;0),tblFleet[[#This Row],[Operating_h]]/tblFleet[[#This Row],[Available_h]],"")</f>
        <v/>
      </c>
    </row>
    <row r="526">
      <c r="A526" s="54" t="n"/>
      <c r="B526" s="61" t="n"/>
      <c r="C526" s="62" t="n"/>
      <c r="D526" s="57" t="n"/>
      <c r="E526" s="57" t="n"/>
      <c r="F526" s="58" t="n"/>
      <c r="G526" s="66">
        <f>IF(tblFleet[[#This Row],[Units]]="","",tblFleet[[#This Row],[Units]]*24)</f>
        <v/>
      </c>
      <c r="H526" s="66">
        <f>IF(tblFleet[[#This Row],[Units]]="","",tblFleet[[#This Row],[Calendar_h]]-tblFleet[[#This Row],[Down_h]])</f>
        <v/>
      </c>
      <c r="I526" s="60">
        <f>IF(AND(tblFleet[[#This Row],[Units]]&lt;&gt;"",tblFleet[[#This Row],[Calendar_h]]&gt;0),tblFleet[[#This Row],[Available_h]]/tblFleet[[#This Row],[Calendar_h]],"")</f>
        <v/>
      </c>
      <c r="J526" s="60">
        <f>IF(AND(tblFleet[[#This Row],[Units]]&lt;&gt;"",tblFleet[[#This Row],[Available_h]]&gt;0),tblFleet[[#This Row],[Operating_h]]/tblFleet[[#This Row],[Available_h]],"")</f>
        <v/>
      </c>
    </row>
    <row r="527">
      <c r="A527" s="54" t="n"/>
      <c r="B527" s="61" t="n"/>
      <c r="C527" s="62" t="n"/>
      <c r="D527" s="57" t="n"/>
      <c r="E527" s="57" t="n"/>
      <c r="F527" s="58" t="n"/>
      <c r="G527" s="66">
        <f>IF(tblFleet[[#This Row],[Units]]="","",tblFleet[[#This Row],[Units]]*24)</f>
        <v/>
      </c>
      <c r="H527" s="66">
        <f>IF(tblFleet[[#This Row],[Units]]="","",tblFleet[[#This Row],[Calendar_h]]-tblFleet[[#This Row],[Down_h]])</f>
        <v/>
      </c>
      <c r="I527" s="60">
        <f>IF(AND(tblFleet[[#This Row],[Units]]&lt;&gt;"",tblFleet[[#This Row],[Calendar_h]]&gt;0),tblFleet[[#This Row],[Available_h]]/tblFleet[[#This Row],[Calendar_h]],"")</f>
        <v/>
      </c>
      <c r="J527" s="60">
        <f>IF(AND(tblFleet[[#This Row],[Units]]&lt;&gt;"",tblFleet[[#This Row],[Available_h]]&gt;0),tblFleet[[#This Row],[Operating_h]]/tblFleet[[#This Row],[Available_h]],"")</f>
        <v/>
      </c>
    </row>
    <row r="528">
      <c r="A528" s="54" t="n"/>
      <c r="B528" s="61" t="n"/>
      <c r="C528" s="62" t="n"/>
      <c r="D528" s="57" t="n"/>
      <c r="E528" s="57" t="n"/>
      <c r="F528" s="58" t="n"/>
      <c r="G528" s="66">
        <f>IF(tblFleet[[#This Row],[Units]]="","",tblFleet[[#This Row],[Units]]*24)</f>
        <v/>
      </c>
      <c r="H528" s="66">
        <f>IF(tblFleet[[#This Row],[Units]]="","",tblFleet[[#This Row],[Calendar_h]]-tblFleet[[#This Row],[Down_h]])</f>
        <v/>
      </c>
      <c r="I528" s="60">
        <f>IF(AND(tblFleet[[#This Row],[Units]]&lt;&gt;"",tblFleet[[#This Row],[Calendar_h]]&gt;0),tblFleet[[#This Row],[Available_h]]/tblFleet[[#This Row],[Calendar_h]],"")</f>
        <v/>
      </c>
      <c r="J528" s="60">
        <f>IF(AND(tblFleet[[#This Row],[Units]]&lt;&gt;"",tblFleet[[#This Row],[Available_h]]&gt;0),tblFleet[[#This Row],[Operating_h]]/tblFleet[[#This Row],[Available_h]],"")</f>
        <v/>
      </c>
    </row>
    <row r="529">
      <c r="A529" s="54" t="n"/>
      <c r="B529" s="61" t="n"/>
      <c r="C529" s="62" t="n"/>
      <c r="D529" s="57" t="n"/>
      <c r="E529" s="57" t="n"/>
      <c r="F529" s="58" t="n"/>
      <c r="G529" s="66">
        <f>IF(tblFleet[[#This Row],[Units]]="","",tblFleet[[#This Row],[Units]]*24)</f>
        <v/>
      </c>
      <c r="H529" s="66">
        <f>IF(tblFleet[[#This Row],[Units]]="","",tblFleet[[#This Row],[Calendar_h]]-tblFleet[[#This Row],[Down_h]])</f>
        <v/>
      </c>
      <c r="I529" s="60">
        <f>IF(AND(tblFleet[[#This Row],[Units]]&lt;&gt;"",tblFleet[[#This Row],[Calendar_h]]&gt;0),tblFleet[[#This Row],[Available_h]]/tblFleet[[#This Row],[Calendar_h]],"")</f>
        <v/>
      </c>
      <c r="J529" s="60">
        <f>IF(AND(tblFleet[[#This Row],[Units]]&lt;&gt;"",tblFleet[[#This Row],[Available_h]]&gt;0),tblFleet[[#This Row],[Operating_h]]/tblFleet[[#This Row],[Available_h]],"")</f>
        <v/>
      </c>
    </row>
    <row r="530">
      <c r="A530" s="54" t="n"/>
      <c r="B530" s="61" t="n"/>
      <c r="C530" s="62" t="n"/>
      <c r="D530" s="57" t="n"/>
      <c r="E530" s="57" t="n"/>
      <c r="F530" s="58" t="n"/>
      <c r="G530" s="66">
        <f>IF(tblFleet[[#This Row],[Units]]="","",tblFleet[[#This Row],[Units]]*24)</f>
        <v/>
      </c>
      <c r="H530" s="66">
        <f>IF(tblFleet[[#This Row],[Units]]="","",tblFleet[[#This Row],[Calendar_h]]-tblFleet[[#This Row],[Down_h]])</f>
        <v/>
      </c>
      <c r="I530" s="60">
        <f>IF(AND(tblFleet[[#This Row],[Units]]&lt;&gt;"",tblFleet[[#This Row],[Calendar_h]]&gt;0),tblFleet[[#This Row],[Available_h]]/tblFleet[[#This Row],[Calendar_h]],"")</f>
        <v/>
      </c>
      <c r="J530" s="60">
        <f>IF(AND(tblFleet[[#This Row],[Units]]&lt;&gt;"",tblFleet[[#This Row],[Available_h]]&gt;0),tblFleet[[#This Row],[Operating_h]]/tblFleet[[#This Row],[Available_h]],"")</f>
        <v/>
      </c>
    </row>
    <row r="531">
      <c r="A531" s="54" t="n"/>
      <c r="B531" s="61" t="n"/>
      <c r="C531" s="62" t="n"/>
      <c r="D531" s="57" t="n"/>
      <c r="E531" s="57" t="n"/>
      <c r="F531" s="58" t="n"/>
      <c r="G531" s="66">
        <f>IF(tblFleet[[#This Row],[Units]]="","",tblFleet[[#This Row],[Units]]*24)</f>
        <v/>
      </c>
      <c r="H531" s="66">
        <f>IF(tblFleet[[#This Row],[Units]]="","",tblFleet[[#This Row],[Calendar_h]]-tblFleet[[#This Row],[Down_h]])</f>
        <v/>
      </c>
      <c r="I531" s="60">
        <f>IF(AND(tblFleet[[#This Row],[Units]]&lt;&gt;"",tblFleet[[#This Row],[Calendar_h]]&gt;0),tblFleet[[#This Row],[Available_h]]/tblFleet[[#This Row],[Calendar_h]],"")</f>
        <v/>
      </c>
      <c r="J531" s="60">
        <f>IF(AND(tblFleet[[#This Row],[Units]]&lt;&gt;"",tblFleet[[#This Row],[Available_h]]&gt;0),tblFleet[[#This Row],[Operating_h]]/tblFleet[[#This Row],[Available_h]],"")</f>
        <v/>
      </c>
    </row>
    <row r="532">
      <c r="A532" s="54" t="n"/>
      <c r="B532" s="61" t="n"/>
      <c r="C532" s="62" t="n"/>
      <c r="D532" s="57" t="n"/>
      <c r="E532" s="57" t="n"/>
      <c r="F532" s="58" t="n"/>
      <c r="G532" s="66">
        <f>IF(tblFleet[[#This Row],[Units]]="","",tblFleet[[#This Row],[Units]]*24)</f>
        <v/>
      </c>
      <c r="H532" s="66">
        <f>IF(tblFleet[[#This Row],[Units]]="","",tblFleet[[#This Row],[Calendar_h]]-tblFleet[[#This Row],[Down_h]])</f>
        <v/>
      </c>
      <c r="I532" s="60">
        <f>IF(AND(tblFleet[[#This Row],[Units]]&lt;&gt;"",tblFleet[[#This Row],[Calendar_h]]&gt;0),tblFleet[[#This Row],[Available_h]]/tblFleet[[#This Row],[Calendar_h]],"")</f>
        <v/>
      </c>
      <c r="J532" s="60">
        <f>IF(AND(tblFleet[[#This Row],[Units]]&lt;&gt;"",tblFleet[[#This Row],[Available_h]]&gt;0),tblFleet[[#This Row],[Operating_h]]/tblFleet[[#This Row],[Available_h]],"")</f>
        <v/>
      </c>
    </row>
    <row r="533">
      <c r="A533" s="54" t="n"/>
      <c r="B533" s="61" t="n"/>
      <c r="C533" s="62" t="n"/>
      <c r="D533" s="57" t="n"/>
      <c r="E533" s="57" t="n"/>
      <c r="F533" s="58" t="n"/>
      <c r="G533" s="66">
        <f>IF(tblFleet[[#This Row],[Units]]="","",tblFleet[[#This Row],[Units]]*24)</f>
        <v/>
      </c>
      <c r="H533" s="66">
        <f>IF(tblFleet[[#This Row],[Units]]="","",tblFleet[[#This Row],[Calendar_h]]-tblFleet[[#This Row],[Down_h]])</f>
        <v/>
      </c>
      <c r="I533" s="60">
        <f>IF(AND(tblFleet[[#This Row],[Units]]&lt;&gt;"",tblFleet[[#This Row],[Calendar_h]]&gt;0),tblFleet[[#This Row],[Available_h]]/tblFleet[[#This Row],[Calendar_h]],"")</f>
        <v/>
      </c>
      <c r="J533" s="60">
        <f>IF(AND(tblFleet[[#This Row],[Units]]&lt;&gt;"",tblFleet[[#This Row],[Available_h]]&gt;0),tblFleet[[#This Row],[Operating_h]]/tblFleet[[#This Row],[Available_h]],"")</f>
        <v/>
      </c>
    </row>
    <row r="534">
      <c r="A534" s="54" t="n"/>
      <c r="B534" s="61" t="n"/>
      <c r="C534" s="62" t="n"/>
      <c r="D534" s="57" t="n"/>
      <c r="E534" s="57" t="n"/>
      <c r="F534" s="58" t="n"/>
      <c r="G534" s="66">
        <f>IF(tblFleet[[#This Row],[Units]]="","",tblFleet[[#This Row],[Units]]*24)</f>
        <v/>
      </c>
      <c r="H534" s="66">
        <f>IF(tblFleet[[#This Row],[Units]]="","",tblFleet[[#This Row],[Calendar_h]]-tblFleet[[#This Row],[Down_h]])</f>
        <v/>
      </c>
      <c r="I534" s="60">
        <f>IF(AND(tblFleet[[#This Row],[Units]]&lt;&gt;"",tblFleet[[#This Row],[Calendar_h]]&gt;0),tblFleet[[#This Row],[Available_h]]/tblFleet[[#This Row],[Calendar_h]],"")</f>
        <v/>
      </c>
      <c r="J534" s="60">
        <f>IF(AND(tblFleet[[#This Row],[Units]]&lt;&gt;"",tblFleet[[#This Row],[Available_h]]&gt;0),tblFleet[[#This Row],[Operating_h]]/tblFleet[[#This Row],[Available_h]],"")</f>
        <v/>
      </c>
    </row>
    <row r="535">
      <c r="A535" s="54" t="n"/>
      <c r="B535" s="61" t="n"/>
      <c r="C535" s="62" t="n"/>
      <c r="D535" s="57" t="n"/>
      <c r="E535" s="57" t="n"/>
      <c r="F535" s="58" t="n"/>
      <c r="G535" s="66">
        <f>IF(tblFleet[[#This Row],[Units]]="","",tblFleet[[#This Row],[Units]]*24)</f>
        <v/>
      </c>
      <c r="H535" s="66">
        <f>IF(tblFleet[[#This Row],[Units]]="","",tblFleet[[#This Row],[Calendar_h]]-tblFleet[[#This Row],[Down_h]])</f>
        <v/>
      </c>
      <c r="I535" s="60">
        <f>IF(AND(tblFleet[[#This Row],[Units]]&lt;&gt;"",tblFleet[[#This Row],[Calendar_h]]&gt;0),tblFleet[[#This Row],[Available_h]]/tblFleet[[#This Row],[Calendar_h]],"")</f>
        <v/>
      </c>
      <c r="J535" s="60">
        <f>IF(AND(tblFleet[[#This Row],[Units]]&lt;&gt;"",tblFleet[[#This Row],[Available_h]]&gt;0),tblFleet[[#This Row],[Operating_h]]/tblFleet[[#This Row],[Available_h]],"")</f>
        <v/>
      </c>
    </row>
    <row r="536">
      <c r="A536" s="54" t="n"/>
      <c r="B536" s="61" t="n"/>
      <c r="C536" s="62" t="n"/>
      <c r="D536" s="57" t="n"/>
      <c r="E536" s="57" t="n"/>
      <c r="F536" s="58" t="n"/>
      <c r="G536" s="66">
        <f>IF(tblFleet[[#This Row],[Units]]="","",tblFleet[[#This Row],[Units]]*24)</f>
        <v/>
      </c>
      <c r="H536" s="66">
        <f>IF(tblFleet[[#This Row],[Units]]="","",tblFleet[[#This Row],[Calendar_h]]-tblFleet[[#This Row],[Down_h]])</f>
        <v/>
      </c>
      <c r="I536" s="60">
        <f>IF(AND(tblFleet[[#This Row],[Units]]&lt;&gt;"",tblFleet[[#This Row],[Calendar_h]]&gt;0),tblFleet[[#This Row],[Available_h]]/tblFleet[[#This Row],[Calendar_h]],"")</f>
        <v/>
      </c>
      <c r="J536" s="60">
        <f>IF(AND(tblFleet[[#This Row],[Units]]&lt;&gt;"",tblFleet[[#This Row],[Available_h]]&gt;0),tblFleet[[#This Row],[Operating_h]]/tblFleet[[#This Row],[Available_h]],"")</f>
        <v/>
      </c>
    </row>
    <row r="537">
      <c r="A537" s="54" t="n"/>
      <c r="B537" s="61" t="n"/>
      <c r="C537" s="62" t="n"/>
      <c r="D537" s="57" t="n"/>
      <c r="E537" s="57" t="n"/>
      <c r="F537" s="58" t="n"/>
      <c r="G537" s="66">
        <f>IF(tblFleet[[#This Row],[Units]]="","",tblFleet[[#This Row],[Units]]*24)</f>
        <v/>
      </c>
      <c r="H537" s="66">
        <f>IF(tblFleet[[#This Row],[Units]]="","",tblFleet[[#This Row],[Calendar_h]]-tblFleet[[#This Row],[Down_h]])</f>
        <v/>
      </c>
      <c r="I537" s="60">
        <f>IF(AND(tblFleet[[#This Row],[Units]]&lt;&gt;"",tblFleet[[#This Row],[Calendar_h]]&gt;0),tblFleet[[#This Row],[Available_h]]/tblFleet[[#This Row],[Calendar_h]],"")</f>
        <v/>
      </c>
      <c r="J537" s="60">
        <f>IF(AND(tblFleet[[#This Row],[Units]]&lt;&gt;"",tblFleet[[#This Row],[Available_h]]&gt;0),tblFleet[[#This Row],[Operating_h]]/tblFleet[[#This Row],[Available_h]],"")</f>
        <v/>
      </c>
    </row>
    <row r="538">
      <c r="A538" s="54" t="n"/>
      <c r="B538" s="61" t="n"/>
      <c r="C538" s="62" t="n"/>
      <c r="D538" s="57" t="n"/>
      <c r="E538" s="57" t="n"/>
      <c r="F538" s="58" t="n"/>
      <c r="G538" s="66">
        <f>IF(tblFleet[[#This Row],[Units]]="","",tblFleet[[#This Row],[Units]]*24)</f>
        <v/>
      </c>
      <c r="H538" s="66">
        <f>IF(tblFleet[[#This Row],[Units]]="","",tblFleet[[#This Row],[Calendar_h]]-tblFleet[[#This Row],[Down_h]])</f>
        <v/>
      </c>
      <c r="I538" s="60">
        <f>IF(AND(tblFleet[[#This Row],[Units]]&lt;&gt;"",tblFleet[[#This Row],[Calendar_h]]&gt;0),tblFleet[[#This Row],[Available_h]]/tblFleet[[#This Row],[Calendar_h]],"")</f>
        <v/>
      </c>
      <c r="J538" s="60">
        <f>IF(AND(tblFleet[[#This Row],[Units]]&lt;&gt;"",tblFleet[[#This Row],[Available_h]]&gt;0),tblFleet[[#This Row],[Operating_h]]/tblFleet[[#This Row],[Available_h]],"")</f>
        <v/>
      </c>
    </row>
    <row r="539">
      <c r="A539" s="54" t="n"/>
      <c r="B539" s="61" t="n"/>
      <c r="C539" s="62" t="n"/>
      <c r="D539" s="57" t="n"/>
      <c r="E539" s="57" t="n"/>
      <c r="F539" s="58" t="n"/>
      <c r="G539" s="66">
        <f>IF(tblFleet[[#This Row],[Units]]="","",tblFleet[[#This Row],[Units]]*24)</f>
        <v/>
      </c>
      <c r="H539" s="66">
        <f>IF(tblFleet[[#This Row],[Units]]="","",tblFleet[[#This Row],[Calendar_h]]-tblFleet[[#This Row],[Down_h]])</f>
        <v/>
      </c>
      <c r="I539" s="60">
        <f>IF(AND(tblFleet[[#This Row],[Units]]&lt;&gt;"",tblFleet[[#This Row],[Calendar_h]]&gt;0),tblFleet[[#This Row],[Available_h]]/tblFleet[[#This Row],[Calendar_h]],"")</f>
        <v/>
      </c>
      <c r="J539" s="60">
        <f>IF(AND(tblFleet[[#This Row],[Units]]&lt;&gt;"",tblFleet[[#This Row],[Available_h]]&gt;0),tblFleet[[#This Row],[Operating_h]]/tblFleet[[#This Row],[Available_h]],"")</f>
        <v/>
      </c>
    </row>
    <row r="540">
      <c r="A540" s="54" t="n"/>
      <c r="B540" s="61" t="n"/>
      <c r="C540" s="62" t="n"/>
      <c r="D540" s="57" t="n"/>
      <c r="E540" s="57" t="n"/>
      <c r="F540" s="58" t="n"/>
      <c r="G540" s="66">
        <f>IF(tblFleet[[#This Row],[Units]]="","",tblFleet[[#This Row],[Units]]*24)</f>
        <v/>
      </c>
      <c r="H540" s="66">
        <f>IF(tblFleet[[#This Row],[Units]]="","",tblFleet[[#This Row],[Calendar_h]]-tblFleet[[#This Row],[Down_h]])</f>
        <v/>
      </c>
      <c r="I540" s="60">
        <f>IF(AND(tblFleet[[#This Row],[Units]]&lt;&gt;"",tblFleet[[#This Row],[Calendar_h]]&gt;0),tblFleet[[#This Row],[Available_h]]/tblFleet[[#This Row],[Calendar_h]],"")</f>
        <v/>
      </c>
      <c r="J540" s="60">
        <f>IF(AND(tblFleet[[#This Row],[Units]]&lt;&gt;"",tblFleet[[#This Row],[Available_h]]&gt;0),tblFleet[[#This Row],[Operating_h]]/tblFleet[[#This Row],[Available_h]],"")</f>
        <v/>
      </c>
    </row>
    <row r="541">
      <c r="A541" s="54" t="n"/>
      <c r="B541" s="61" t="n"/>
      <c r="C541" s="62" t="n"/>
      <c r="D541" s="57" t="n"/>
      <c r="E541" s="57" t="n"/>
      <c r="F541" s="58" t="n"/>
      <c r="G541" s="66">
        <f>IF(tblFleet[[#This Row],[Units]]="","",tblFleet[[#This Row],[Units]]*24)</f>
        <v/>
      </c>
      <c r="H541" s="66">
        <f>IF(tblFleet[[#This Row],[Units]]="","",tblFleet[[#This Row],[Calendar_h]]-tblFleet[[#This Row],[Down_h]])</f>
        <v/>
      </c>
      <c r="I541" s="60">
        <f>IF(AND(tblFleet[[#This Row],[Units]]&lt;&gt;"",tblFleet[[#This Row],[Calendar_h]]&gt;0),tblFleet[[#This Row],[Available_h]]/tblFleet[[#This Row],[Calendar_h]],"")</f>
        <v/>
      </c>
      <c r="J541" s="60">
        <f>IF(AND(tblFleet[[#This Row],[Units]]&lt;&gt;"",tblFleet[[#This Row],[Available_h]]&gt;0),tblFleet[[#This Row],[Operating_h]]/tblFleet[[#This Row],[Available_h]],"")</f>
        <v/>
      </c>
    </row>
    <row r="542">
      <c r="A542" s="54" t="n"/>
      <c r="B542" s="61" t="n"/>
      <c r="C542" s="62" t="n"/>
      <c r="D542" s="57" t="n"/>
      <c r="E542" s="57" t="n"/>
      <c r="F542" s="58" t="n"/>
      <c r="G542" s="66">
        <f>IF(tblFleet[[#This Row],[Units]]="","",tblFleet[[#This Row],[Units]]*24)</f>
        <v/>
      </c>
      <c r="H542" s="66">
        <f>IF(tblFleet[[#This Row],[Units]]="","",tblFleet[[#This Row],[Calendar_h]]-tblFleet[[#This Row],[Down_h]])</f>
        <v/>
      </c>
      <c r="I542" s="60">
        <f>IF(AND(tblFleet[[#This Row],[Units]]&lt;&gt;"",tblFleet[[#This Row],[Calendar_h]]&gt;0),tblFleet[[#This Row],[Available_h]]/tblFleet[[#This Row],[Calendar_h]],"")</f>
        <v/>
      </c>
      <c r="J542" s="60">
        <f>IF(AND(tblFleet[[#This Row],[Units]]&lt;&gt;"",tblFleet[[#This Row],[Available_h]]&gt;0),tblFleet[[#This Row],[Operating_h]]/tblFleet[[#This Row],[Available_h]],"")</f>
        <v/>
      </c>
    </row>
    <row r="543">
      <c r="A543" s="54" t="n"/>
      <c r="B543" s="61" t="n"/>
      <c r="C543" s="62" t="n"/>
      <c r="D543" s="57" t="n"/>
      <c r="E543" s="57" t="n"/>
      <c r="F543" s="58" t="n"/>
      <c r="G543" s="66">
        <f>IF(tblFleet[[#This Row],[Units]]="","",tblFleet[[#This Row],[Units]]*24)</f>
        <v/>
      </c>
      <c r="H543" s="66">
        <f>IF(tblFleet[[#This Row],[Units]]="","",tblFleet[[#This Row],[Calendar_h]]-tblFleet[[#This Row],[Down_h]])</f>
        <v/>
      </c>
      <c r="I543" s="60">
        <f>IF(AND(tblFleet[[#This Row],[Units]]&lt;&gt;"",tblFleet[[#This Row],[Calendar_h]]&gt;0),tblFleet[[#This Row],[Available_h]]/tblFleet[[#This Row],[Calendar_h]],"")</f>
        <v/>
      </c>
      <c r="J543" s="60">
        <f>IF(AND(tblFleet[[#This Row],[Units]]&lt;&gt;"",tblFleet[[#This Row],[Available_h]]&gt;0),tblFleet[[#This Row],[Operating_h]]/tblFleet[[#This Row],[Available_h]],"")</f>
        <v/>
      </c>
    </row>
    <row r="544">
      <c r="A544" s="54" t="n"/>
      <c r="B544" s="61" t="n"/>
      <c r="C544" s="62" t="n"/>
      <c r="D544" s="57" t="n"/>
      <c r="E544" s="57" t="n"/>
      <c r="F544" s="58" t="n"/>
      <c r="G544" s="66">
        <f>IF(tblFleet[[#This Row],[Units]]="","",tblFleet[[#This Row],[Units]]*24)</f>
        <v/>
      </c>
      <c r="H544" s="66">
        <f>IF(tblFleet[[#This Row],[Units]]="","",tblFleet[[#This Row],[Calendar_h]]-tblFleet[[#This Row],[Down_h]])</f>
        <v/>
      </c>
      <c r="I544" s="60">
        <f>IF(AND(tblFleet[[#This Row],[Units]]&lt;&gt;"",tblFleet[[#This Row],[Calendar_h]]&gt;0),tblFleet[[#This Row],[Available_h]]/tblFleet[[#This Row],[Calendar_h]],"")</f>
        <v/>
      </c>
      <c r="J544" s="60">
        <f>IF(AND(tblFleet[[#This Row],[Units]]&lt;&gt;"",tblFleet[[#This Row],[Available_h]]&gt;0),tblFleet[[#This Row],[Operating_h]]/tblFleet[[#This Row],[Available_h]],"")</f>
        <v/>
      </c>
    </row>
    <row r="545">
      <c r="A545" s="54" t="n"/>
      <c r="B545" s="61" t="n"/>
      <c r="C545" s="62" t="n"/>
      <c r="D545" s="57" t="n"/>
      <c r="E545" s="57" t="n"/>
      <c r="F545" s="58" t="n"/>
      <c r="G545" s="66">
        <f>IF(tblFleet[[#This Row],[Units]]="","",tblFleet[[#This Row],[Units]]*24)</f>
        <v/>
      </c>
      <c r="H545" s="66">
        <f>IF(tblFleet[[#This Row],[Units]]="","",tblFleet[[#This Row],[Calendar_h]]-tblFleet[[#This Row],[Down_h]])</f>
        <v/>
      </c>
      <c r="I545" s="60">
        <f>IF(AND(tblFleet[[#This Row],[Units]]&lt;&gt;"",tblFleet[[#This Row],[Calendar_h]]&gt;0),tblFleet[[#This Row],[Available_h]]/tblFleet[[#This Row],[Calendar_h]],"")</f>
        <v/>
      </c>
      <c r="J545" s="60">
        <f>IF(AND(tblFleet[[#This Row],[Units]]&lt;&gt;"",tblFleet[[#This Row],[Available_h]]&gt;0),tblFleet[[#This Row],[Operating_h]]/tblFleet[[#This Row],[Available_h]],"")</f>
        <v/>
      </c>
    </row>
    <row r="546">
      <c r="A546" s="54" t="n"/>
      <c r="B546" s="61" t="n"/>
      <c r="C546" s="62" t="n"/>
      <c r="D546" s="57" t="n"/>
      <c r="E546" s="57" t="n"/>
      <c r="F546" s="58" t="n"/>
      <c r="G546" s="66">
        <f>IF(tblFleet[[#This Row],[Units]]="","",tblFleet[[#This Row],[Units]]*24)</f>
        <v/>
      </c>
      <c r="H546" s="66">
        <f>IF(tblFleet[[#This Row],[Units]]="","",tblFleet[[#This Row],[Calendar_h]]-tblFleet[[#This Row],[Down_h]])</f>
        <v/>
      </c>
      <c r="I546" s="60">
        <f>IF(AND(tblFleet[[#This Row],[Units]]&lt;&gt;"",tblFleet[[#This Row],[Calendar_h]]&gt;0),tblFleet[[#This Row],[Available_h]]/tblFleet[[#This Row],[Calendar_h]],"")</f>
        <v/>
      </c>
      <c r="J546" s="60">
        <f>IF(AND(tblFleet[[#This Row],[Units]]&lt;&gt;"",tblFleet[[#This Row],[Available_h]]&gt;0),tblFleet[[#This Row],[Operating_h]]/tblFleet[[#This Row],[Available_h]],"")</f>
        <v/>
      </c>
    </row>
    <row r="547">
      <c r="A547" s="54" t="n"/>
      <c r="B547" s="61" t="n"/>
      <c r="C547" s="62" t="n"/>
      <c r="D547" s="57" t="n"/>
      <c r="E547" s="57" t="n"/>
      <c r="F547" s="58" t="n"/>
      <c r="G547" s="66">
        <f>IF(tblFleet[[#This Row],[Units]]="","",tblFleet[[#This Row],[Units]]*24)</f>
        <v/>
      </c>
      <c r="H547" s="66">
        <f>IF(tblFleet[[#This Row],[Units]]="","",tblFleet[[#This Row],[Calendar_h]]-tblFleet[[#This Row],[Down_h]])</f>
        <v/>
      </c>
      <c r="I547" s="60">
        <f>IF(AND(tblFleet[[#This Row],[Units]]&lt;&gt;"",tblFleet[[#This Row],[Calendar_h]]&gt;0),tblFleet[[#This Row],[Available_h]]/tblFleet[[#This Row],[Calendar_h]],"")</f>
        <v/>
      </c>
      <c r="J547" s="60">
        <f>IF(AND(tblFleet[[#This Row],[Units]]&lt;&gt;"",tblFleet[[#This Row],[Available_h]]&gt;0),tblFleet[[#This Row],[Operating_h]]/tblFleet[[#This Row],[Available_h]],"")</f>
        <v/>
      </c>
    </row>
    <row r="548">
      <c r="A548" s="54" t="n"/>
      <c r="B548" s="61" t="n"/>
      <c r="C548" s="62" t="n"/>
      <c r="D548" s="57" t="n"/>
      <c r="E548" s="57" t="n"/>
      <c r="F548" s="58" t="n"/>
      <c r="G548" s="66">
        <f>IF(tblFleet[[#This Row],[Units]]="","",tblFleet[[#This Row],[Units]]*24)</f>
        <v/>
      </c>
      <c r="H548" s="66">
        <f>IF(tblFleet[[#This Row],[Units]]="","",tblFleet[[#This Row],[Calendar_h]]-tblFleet[[#This Row],[Down_h]])</f>
        <v/>
      </c>
      <c r="I548" s="60">
        <f>IF(AND(tblFleet[[#This Row],[Units]]&lt;&gt;"",tblFleet[[#This Row],[Calendar_h]]&gt;0),tblFleet[[#This Row],[Available_h]]/tblFleet[[#This Row],[Calendar_h]],"")</f>
        <v/>
      </c>
      <c r="J548" s="60">
        <f>IF(AND(tblFleet[[#This Row],[Units]]&lt;&gt;"",tblFleet[[#This Row],[Available_h]]&gt;0),tblFleet[[#This Row],[Operating_h]]/tblFleet[[#This Row],[Available_h]],"")</f>
        <v/>
      </c>
    </row>
    <row r="549">
      <c r="A549" s="54" t="n"/>
      <c r="B549" s="61" t="n"/>
      <c r="C549" s="62" t="n"/>
      <c r="D549" s="57" t="n"/>
      <c r="E549" s="57" t="n"/>
      <c r="F549" s="58" t="n"/>
      <c r="G549" s="66">
        <f>IF(tblFleet[[#This Row],[Units]]="","",tblFleet[[#This Row],[Units]]*24)</f>
        <v/>
      </c>
      <c r="H549" s="66">
        <f>IF(tblFleet[[#This Row],[Units]]="","",tblFleet[[#This Row],[Calendar_h]]-tblFleet[[#This Row],[Down_h]])</f>
        <v/>
      </c>
      <c r="I549" s="60">
        <f>IF(AND(tblFleet[[#This Row],[Units]]&lt;&gt;"",tblFleet[[#This Row],[Calendar_h]]&gt;0),tblFleet[[#This Row],[Available_h]]/tblFleet[[#This Row],[Calendar_h]],"")</f>
        <v/>
      </c>
      <c r="J549" s="60">
        <f>IF(AND(tblFleet[[#This Row],[Units]]&lt;&gt;"",tblFleet[[#This Row],[Available_h]]&gt;0),tblFleet[[#This Row],[Operating_h]]/tblFleet[[#This Row],[Available_h]],"")</f>
        <v/>
      </c>
    </row>
    <row r="550">
      <c r="A550" s="54" t="n"/>
      <c r="B550" s="61" t="n"/>
      <c r="C550" s="62" t="n"/>
      <c r="D550" s="57" t="n"/>
      <c r="E550" s="57" t="n"/>
      <c r="F550" s="58" t="n"/>
      <c r="G550" s="66">
        <f>IF(tblFleet[[#This Row],[Units]]="","",tblFleet[[#This Row],[Units]]*24)</f>
        <v/>
      </c>
      <c r="H550" s="66">
        <f>IF(tblFleet[[#This Row],[Units]]="","",tblFleet[[#This Row],[Calendar_h]]-tblFleet[[#This Row],[Down_h]])</f>
        <v/>
      </c>
      <c r="I550" s="60">
        <f>IF(AND(tblFleet[[#This Row],[Units]]&lt;&gt;"",tblFleet[[#This Row],[Calendar_h]]&gt;0),tblFleet[[#This Row],[Available_h]]/tblFleet[[#This Row],[Calendar_h]],"")</f>
        <v/>
      </c>
      <c r="J550" s="60">
        <f>IF(AND(tblFleet[[#This Row],[Units]]&lt;&gt;"",tblFleet[[#This Row],[Available_h]]&gt;0),tblFleet[[#This Row],[Operating_h]]/tblFleet[[#This Row],[Available_h]],"")</f>
        <v/>
      </c>
    </row>
    <row r="551">
      <c r="A551" s="54" t="n"/>
      <c r="B551" s="61" t="n"/>
      <c r="C551" s="62" t="n"/>
      <c r="D551" s="57" t="n"/>
      <c r="E551" s="57" t="n"/>
      <c r="F551" s="58" t="n"/>
      <c r="G551" s="66">
        <f>IF(tblFleet[[#This Row],[Units]]="","",tblFleet[[#This Row],[Units]]*24)</f>
        <v/>
      </c>
      <c r="H551" s="66">
        <f>IF(tblFleet[[#This Row],[Units]]="","",tblFleet[[#This Row],[Calendar_h]]-tblFleet[[#This Row],[Down_h]])</f>
        <v/>
      </c>
      <c r="I551" s="60">
        <f>IF(AND(tblFleet[[#This Row],[Units]]&lt;&gt;"",tblFleet[[#This Row],[Calendar_h]]&gt;0),tblFleet[[#This Row],[Available_h]]/tblFleet[[#This Row],[Calendar_h]],"")</f>
        <v/>
      </c>
      <c r="J551" s="60">
        <f>IF(AND(tblFleet[[#This Row],[Units]]&lt;&gt;"",tblFleet[[#This Row],[Available_h]]&gt;0),tblFleet[[#This Row],[Operating_h]]/tblFleet[[#This Row],[Available_h]],"")</f>
        <v/>
      </c>
    </row>
    <row r="552">
      <c r="A552" s="54" t="n"/>
      <c r="B552" s="61" t="n"/>
      <c r="C552" s="62" t="n"/>
      <c r="D552" s="57" t="n"/>
      <c r="E552" s="57" t="n"/>
      <c r="F552" s="58" t="n"/>
      <c r="G552" s="66">
        <f>IF(tblFleet[[#This Row],[Units]]="","",tblFleet[[#This Row],[Units]]*24)</f>
        <v/>
      </c>
      <c r="H552" s="66">
        <f>IF(tblFleet[[#This Row],[Units]]="","",tblFleet[[#This Row],[Calendar_h]]-tblFleet[[#This Row],[Down_h]])</f>
        <v/>
      </c>
      <c r="I552" s="60">
        <f>IF(AND(tblFleet[[#This Row],[Units]]&lt;&gt;"",tblFleet[[#This Row],[Calendar_h]]&gt;0),tblFleet[[#This Row],[Available_h]]/tblFleet[[#This Row],[Calendar_h]],"")</f>
        <v/>
      </c>
      <c r="J552" s="60">
        <f>IF(AND(tblFleet[[#This Row],[Units]]&lt;&gt;"",tblFleet[[#This Row],[Available_h]]&gt;0),tblFleet[[#This Row],[Operating_h]]/tblFleet[[#This Row],[Available_h]],"")</f>
        <v/>
      </c>
    </row>
    <row r="553">
      <c r="A553" s="54" t="n"/>
      <c r="B553" s="61" t="n"/>
      <c r="C553" s="62" t="n"/>
      <c r="D553" s="57" t="n"/>
      <c r="E553" s="57" t="n"/>
      <c r="F553" s="58" t="n"/>
      <c r="G553" s="66">
        <f>IF(tblFleet[[#This Row],[Units]]="","",tblFleet[[#This Row],[Units]]*24)</f>
        <v/>
      </c>
      <c r="H553" s="66">
        <f>IF(tblFleet[[#This Row],[Units]]="","",tblFleet[[#This Row],[Calendar_h]]-tblFleet[[#This Row],[Down_h]])</f>
        <v/>
      </c>
      <c r="I553" s="60">
        <f>IF(AND(tblFleet[[#This Row],[Units]]&lt;&gt;"",tblFleet[[#This Row],[Calendar_h]]&gt;0),tblFleet[[#This Row],[Available_h]]/tblFleet[[#This Row],[Calendar_h]],"")</f>
        <v/>
      </c>
      <c r="J553" s="60">
        <f>IF(AND(tblFleet[[#This Row],[Units]]&lt;&gt;"",tblFleet[[#This Row],[Available_h]]&gt;0),tblFleet[[#This Row],[Operating_h]]/tblFleet[[#This Row],[Available_h]],"")</f>
        <v/>
      </c>
    </row>
    <row r="554">
      <c r="A554" s="54" t="n"/>
      <c r="B554" s="61" t="n"/>
      <c r="C554" s="62" t="n"/>
      <c r="D554" s="57" t="n"/>
      <c r="E554" s="57" t="n"/>
      <c r="F554" s="58" t="n"/>
      <c r="G554" s="66">
        <f>IF(tblFleet[[#This Row],[Units]]="","",tblFleet[[#This Row],[Units]]*24)</f>
        <v/>
      </c>
      <c r="H554" s="66">
        <f>IF(tblFleet[[#This Row],[Units]]="","",tblFleet[[#This Row],[Calendar_h]]-tblFleet[[#This Row],[Down_h]])</f>
        <v/>
      </c>
      <c r="I554" s="60">
        <f>IF(AND(tblFleet[[#This Row],[Units]]&lt;&gt;"",tblFleet[[#This Row],[Calendar_h]]&gt;0),tblFleet[[#This Row],[Available_h]]/tblFleet[[#This Row],[Calendar_h]],"")</f>
        <v/>
      </c>
      <c r="J554" s="60">
        <f>IF(AND(tblFleet[[#This Row],[Units]]&lt;&gt;"",tblFleet[[#This Row],[Available_h]]&gt;0),tblFleet[[#This Row],[Operating_h]]/tblFleet[[#This Row],[Available_h]],"")</f>
        <v/>
      </c>
    </row>
    <row r="555">
      <c r="A555" s="54" t="n"/>
      <c r="B555" s="61" t="n"/>
      <c r="C555" s="62" t="n"/>
      <c r="D555" s="57" t="n"/>
      <c r="E555" s="57" t="n"/>
      <c r="F555" s="58" t="n"/>
      <c r="G555" s="66">
        <f>IF(tblFleet[[#This Row],[Units]]="","",tblFleet[[#This Row],[Units]]*24)</f>
        <v/>
      </c>
      <c r="H555" s="66">
        <f>IF(tblFleet[[#This Row],[Units]]="","",tblFleet[[#This Row],[Calendar_h]]-tblFleet[[#This Row],[Down_h]])</f>
        <v/>
      </c>
      <c r="I555" s="60">
        <f>IF(AND(tblFleet[[#This Row],[Units]]&lt;&gt;"",tblFleet[[#This Row],[Calendar_h]]&gt;0),tblFleet[[#This Row],[Available_h]]/tblFleet[[#This Row],[Calendar_h]],"")</f>
        <v/>
      </c>
      <c r="J555" s="60">
        <f>IF(AND(tblFleet[[#This Row],[Units]]&lt;&gt;"",tblFleet[[#This Row],[Available_h]]&gt;0),tblFleet[[#This Row],[Operating_h]]/tblFleet[[#This Row],[Available_h]],"")</f>
        <v/>
      </c>
    </row>
    <row r="556">
      <c r="A556" s="54" t="n"/>
      <c r="B556" s="61" t="n"/>
      <c r="C556" s="62" t="n"/>
      <c r="D556" s="57" t="n"/>
      <c r="E556" s="57" t="n"/>
      <c r="F556" s="58" t="n"/>
      <c r="G556" s="66">
        <f>IF(tblFleet[[#This Row],[Units]]="","",tblFleet[[#This Row],[Units]]*24)</f>
        <v/>
      </c>
      <c r="H556" s="66">
        <f>IF(tblFleet[[#This Row],[Units]]="","",tblFleet[[#This Row],[Calendar_h]]-tblFleet[[#This Row],[Down_h]])</f>
        <v/>
      </c>
      <c r="I556" s="60">
        <f>IF(AND(tblFleet[[#This Row],[Units]]&lt;&gt;"",tblFleet[[#This Row],[Calendar_h]]&gt;0),tblFleet[[#This Row],[Available_h]]/tblFleet[[#This Row],[Calendar_h]],"")</f>
        <v/>
      </c>
      <c r="J556" s="60">
        <f>IF(AND(tblFleet[[#This Row],[Units]]&lt;&gt;"",tblFleet[[#This Row],[Available_h]]&gt;0),tblFleet[[#This Row],[Operating_h]]/tblFleet[[#This Row],[Available_h]],"")</f>
        <v/>
      </c>
    </row>
    <row r="557">
      <c r="A557" s="54" t="n"/>
      <c r="B557" s="61" t="n"/>
      <c r="C557" s="62" t="n"/>
      <c r="D557" s="57" t="n"/>
      <c r="E557" s="57" t="n"/>
      <c r="F557" s="58" t="n"/>
      <c r="G557" s="66">
        <f>IF(tblFleet[[#This Row],[Units]]="","",tblFleet[[#This Row],[Units]]*24)</f>
        <v/>
      </c>
      <c r="H557" s="66">
        <f>IF(tblFleet[[#This Row],[Units]]="","",tblFleet[[#This Row],[Calendar_h]]-tblFleet[[#This Row],[Down_h]])</f>
        <v/>
      </c>
      <c r="I557" s="60">
        <f>IF(AND(tblFleet[[#This Row],[Units]]&lt;&gt;"",tblFleet[[#This Row],[Calendar_h]]&gt;0),tblFleet[[#This Row],[Available_h]]/tblFleet[[#This Row],[Calendar_h]],"")</f>
        <v/>
      </c>
      <c r="J557" s="60">
        <f>IF(AND(tblFleet[[#This Row],[Units]]&lt;&gt;"",tblFleet[[#This Row],[Available_h]]&gt;0),tblFleet[[#This Row],[Operating_h]]/tblFleet[[#This Row],[Available_h]],"")</f>
        <v/>
      </c>
    </row>
    <row r="558">
      <c r="A558" s="54" t="n"/>
      <c r="B558" s="61" t="n"/>
      <c r="C558" s="62" t="n"/>
      <c r="D558" s="57" t="n"/>
      <c r="E558" s="57" t="n"/>
      <c r="F558" s="58" t="n"/>
      <c r="G558" s="66">
        <f>IF(tblFleet[[#This Row],[Units]]="","",tblFleet[[#This Row],[Units]]*24)</f>
        <v/>
      </c>
      <c r="H558" s="66">
        <f>IF(tblFleet[[#This Row],[Units]]="","",tblFleet[[#This Row],[Calendar_h]]-tblFleet[[#This Row],[Down_h]])</f>
        <v/>
      </c>
      <c r="I558" s="60">
        <f>IF(AND(tblFleet[[#This Row],[Units]]&lt;&gt;"",tblFleet[[#This Row],[Calendar_h]]&gt;0),tblFleet[[#This Row],[Available_h]]/tblFleet[[#This Row],[Calendar_h]],"")</f>
        <v/>
      </c>
      <c r="J558" s="60">
        <f>IF(AND(tblFleet[[#This Row],[Units]]&lt;&gt;"",tblFleet[[#This Row],[Available_h]]&gt;0),tblFleet[[#This Row],[Operating_h]]/tblFleet[[#This Row],[Available_h]],"")</f>
        <v/>
      </c>
    </row>
    <row r="559">
      <c r="A559" s="54" t="n"/>
      <c r="B559" s="61" t="n"/>
      <c r="C559" s="62" t="n"/>
      <c r="D559" s="57" t="n"/>
      <c r="E559" s="57" t="n"/>
      <c r="F559" s="58" t="n"/>
      <c r="G559" s="66">
        <f>IF(tblFleet[[#This Row],[Units]]="","",tblFleet[[#This Row],[Units]]*24)</f>
        <v/>
      </c>
      <c r="H559" s="66">
        <f>IF(tblFleet[[#This Row],[Units]]="","",tblFleet[[#This Row],[Calendar_h]]-tblFleet[[#This Row],[Down_h]])</f>
        <v/>
      </c>
      <c r="I559" s="60">
        <f>IF(AND(tblFleet[[#This Row],[Units]]&lt;&gt;"",tblFleet[[#This Row],[Calendar_h]]&gt;0),tblFleet[[#This Row],[Available_h]]/tblFleet[[#This Row],[Calendar_h]],"")</f>
        <v/>
      </c>
      <c r="J559" s="60">
        <f>IF(AND(tblFleet[[#This Row],[Units]]&lt;&gt;"",tblFleet[[#This Row],[Available_h]]&gt;0),tblFleet[[#This Row],[Operating_h]]/tblFleet[[#This Row],[Available_h]],"")</f>
        <v/>
      </c>
    </row>
    <row r="560">
      <c r="A560" s="54" t="n"/>
      <c r="B560" s="61" t="n"/>
      <c r="C560" s="62" t="n"/>
      <c r="D560" s="57" t="n"/>
      <c r="E560" s="57" t="n"/>
      <c r="F560" s="58" t="n"/>
      <c r="G560" s="66">
        <f>IF(tblFleet[[#This Row],[Units]]="","",tblFleet[[#This Row],[Units]]*24)</f>
        <v/>
      </c>
      <c r="H560" s="66">
        <f>IF(tblFleet[[#This Row],[Units]]="","",tblFleet[[#This Row],[Calendar_h]]-tblFleet[[#This Row],[Down_h]])</f>
        <v/>
      </c>
      <c r="I560" s="60">
        <f>IF(AND(tblFleet[[#This Row],[Units]]&lt;&gt;"",tblFleet[[#This Row],[Calendar_h]]&gt;0),tblFleet[[#This Row],[Available_h]]/tblFleet[[#This Row],[Calendar_h]],"")</f>
        <v/>
      </c>
      <c r="J560" s="60">
        <f>IF(AND(tblFleet[[#This Row],[Units]]&lt;&gt;"",tblFleet[[#This Row],[Available_h]]&gt;0),tblFleet[[#This Row],[Operating_h]]/tblFleet[[#This Row],[Available_h]],"")</f>
        <v/>
      </c>
    </row>
    <row r="561">
      <c r="A561" s="54" t="n"/>
      <c r="B561" s="61" t="n"/>
      <c r="C561" s="62" t="n"/>
      <c r="D561" s="57" t="n"/>
      <c r="E561" s="57" t="n"/>
      <c r="F561" s="58" t="n"/>
      <c r="G561" s="66">
        <f>IF(tblFleet[[#This Row],[Units]]="","",tblFleet[[#This Row],[Units]]*24)</f>
        <v/>
      </c>
      <c r="H561" s="66">
        <f>IF(tblFleet[[#This Row],[Units]]="","",tblFleet[[#This Row],[Calendar_h]]-tblFleet[[#This Row],[Down_h]])</f>
        <v/>
      </c>
      <c r="I561" s="60">
        <f>IF(AND(tblFleet[[#This Row],[Units]]&lt;&gt;"",tblFleet[[#This Row],[Calendar_h]]&gt;0),tblFleet[[#This Row],[Available_h]]/tblFleet[[#This Row],[Calendar_h]],"")</f>
        <v/>
      </c>
      <c r="J561" s="60">
        <f>IF(AND(tblFleet[[#This Row],[Units]]&lt;&gt;"",tblFleet[[#This Row],[Available_h]]&gt;0),tblFleet[[#This Row],[Operating_h]]/tblFleet[[#This Row],[Available_h]],"")</f>
        <v/>
      </c>
    </row>
    <row r="562">
      <c r="A562" s="54" t="n"/>
      <c r="B562" s="61" t="n"/>
      <c r="C562" s="62" t="n"/>
      <c r="D562" s="57" t="n"/>
      <c r="E562" s="57" t="n"/>
      <c r="F562" s="58" t="n"/>
      <c r="G562" s="66">
        <f>IF(tblFleet[[#This Row],[Units]]="","",tblFleet[[#This Row],[Units]]*24)</f>
        <v/>
      </c>
      <c r="H562" s="66">
        <f>IF(tblFleet[[#This Row],[Units]]="","",tblFleet[[#This Row],[Calendar_h]]-tblFleet[[#This Row],[Down_h]])</f>
        <v/>
      </c>
      <c r="I562" s="60">
        <f>IF(AND(tblFleet[[#This Row],[Units]]&lt;&gt;"",tblFleet[[#This Row],[Calendar_h]]&gt;0),tblFleet[[#This Row],[Available_h]]/tblFleet[[#This Row],[Calendar_h]],"")</f>
        <v/>
      </c>
      <c r="J562" s="60">
        <f>IF(AND(tblFleet[[#This Row],[Units]]&lt;&gt;"",tblFleet[[#This Row],[Available_h]]&gt;0),tblFleet[[#This Row],[Operating_h]]/tblFleet[[#This Row],[Available_h]],"")</f>
        <v/>
      </c>
    </row>
    <row r="563">
      <c r="A563" s="54" t="n"/>
      <c r="B563" s="61" t="n"/>
      <c r="C563" s="62" t="n"/>
      <c r="D563" s="57" t="n"/>
      <c r="E563" s="57" t="n"/>
      <c r="F563" s="58" t="n"/>
      <c r="G563" s="66">
        <f>IF(tblFleet[[#This Row],[Units]]="","",tblFleet[[#This Row],[Units]]*24)</f>
        <v/>
      </c>
      <c r="H563" s="66">
        <f>IF(tblFleet[[#This Row],[Units]]="","",tblFleet[[#This Row],[Calendar_h]]-tblFleet[[#This Row],[Down_h]])</f>
        <v/>
      </c>
      <c r="I563" s="60">
        <f>IF(AND(tblFleet[[#This Row],[Units]]&lt;&gt;"",tblFleet[[#This Row],[Calendar_h]]&gt;0),tblFleet[[#This Row],[Available_h]]/tblFleet[[#This Row],[Calendar_h]],"")</f>
        <v/>
      </c>
      <c r="J563" s="60">
        <f>IF(AND(tblFleet[[#This Row],[Units]]&lt;&gt;"",tblFleet[[#This Row],[Available_h]]&gt;0),tblFleet[[#This Row],[Operating_h]]/tblFleet[[#This Row],[Available_h]],"")</f>
        <v/>
      </c>
    </row>
    <row r="564">
      <c r="A564" s="54" t="n"/>
      <c r="B564" s="61" t="n"/>
      <c r="C564" s="62" t="n"/>
      <c r="D564" s="57" t="n"/>
      <c r="E564" s="57" t="n"/>
      <c r="F564" s="58" t="n"/>
      <c r="G564" s="66">
        <f>IF(tblFleet[[#This Row],[Units]]="","",tblFleet[[#This Row],[Units]]*24)</f>
        <v/>
      </c>
      <c r="H564" s="66">
        <f>IF(tblFleet[[#This Row],[Units]]="","",tblFleet[[#This Row],[Calendar_h]]-tblFleet[[#This Row],[Down_h]])</f>
        <v/>
      </c>
      <c r="I564" s="60">
        <f>IF(AND(tblFleet[[#This Row],[Units]]&lt;&gt;"",tblFleet[[#This Row],[Calendar_h]]&gt;0),tblFleet[[#This Row],[Available_h]]/tblFleet[[#This Row],[Calendar_h]],"")</f>
        <v/>
      </c>
      <c r="J564" s="60">
        <f>IF(AND(tblFleet[[#This Row],[Units]]&lt;&gt;"",tblFleet[[#This Row],[Available_h]]&gt;0),tblFleet[[#This Row],[Operating_h]]/tblFleet[[#This Row],[Available_h]],"")</f>
        <v/>
      </c>
    </row>
    <row r="565">
      <c r="A565" s="54" t="n"/>
      <c r="B565" s="61" t="n"/>
      <c r="C565" s="62" t="n"/>
      <c r="D565" s="57" t="n"/>
      <c r="E565" s="57" t="n"/>
      <c r="F565" s="58" t="n"/>
      <c r="G565" s="66">
        <f>IF(tblFleet[[#This Row],[Units]]="","",tblFleet[[#This Row],[Units]]*24)</f>
        <v/>
      </c>
      <c r="H565" s="66">
        <f>IF(tblFleet[[#This Row],[Units]]="","",tblFleet[[#This Row],[Calendar_h]]-tblFleet[[#This Row],[Down_h]])</f>
        <v/>
      </c>
      <c r="I565" s="60">
        <f>IF(AND(tblFleet[[#This Row],[Units]]&lt;&gt;"",tblFleet[[#This Row],[Calendar_h]]&gt;0),tblFleet[[#This Row],[Available_h]]/tblFleet[[#This Row],[Calendar_h]],"")</f>
        <v/>
      </c>
      <c r="J565" s="60">
        <f>IF(AND(tblFleet[[#This Row],[Units]]&lt;&gt;"",tblFleet[[#This Row],[Available_h]]&gt;0),tblFleet[[#This Row],[Operating_h]]/tblFleet[[#This Row],[Available_h]],"")</f>
        <v/>
      </c>
    </row>
    <row r="566">
      <c r="A566" s="54" t="n"/>
      <c r="B566" s="61" t="n"/>
      <c r="C566" s="62" t="n"/>
      <c r="D566" s="57" t="n"/>
      <c r="E566" s="57" t="n"/>
      <c r="F566" s="58" t="n"/>
      <c r="G566" s="66">
        <f>IF(tblFleet[[#This Row],[Units]]="","",tblFleet[[#This Row],[Units]]*24)</f>
        <v/>
      </c>
      <c r="H566" s="66">
        <f>IF(tblFleet[[#This Row],[Units]]="","",tblFleet[[#This Row],[Calendar_h]]-tblFleet[[#This Row],[Down_h]])</f>
        <v/>
      </c>
      <c r="I566" s="60">
        <f>IF(AND(tblFleet[[#This Row],[Units]]&lt;&gt;"",tblFleet[[#This Row],[Calendar_h]]&gt;0),tblFleet[[#This Row],[Available_h]]/tblFleet[[#This Row],[Calendar_h]],"")</f>
        <v/>
      </c>
      <c r="J566" s="60">
        <f>IF(AND(tblFleet[[#This Row],[Units]]&lt;&gt;"",tblFleet[[#This Row],[Available_h]]&gt;0),tblFleet[[#This Row],[Operating_h]]/tblFleet[[#This Row],[Available_h]],"")</f>
        <v/>
      </c>
    </row>
    <row r="567">
      <c r="A567" s="54" t="n"/>
      <c r="B567" s="61" t="n"/>
      <c r="C567" s="62" t="n"/>
      <c r="D567" s="57" t="n"/>
      <c r="E567" s="57" t="n"/>
      <c r="F567" s="58" t="n"/>
      <c r="G567" s="66">
        <f>IF(tblFleet[[#This Row],[Units]]="","",tblFleet[[#This Row],[Units]]*24)</f>
        <v/>
      </c>
      <c r="H567" s="66">
        <f>IF(tblFleet[[#This Row],[Units]]="","",tblFleet[[#This Row],[Calendar_h]]-tblFleet[[#This Row],[Down_h]])</f>
        <v/>
      </c>
      <c r="I567" s="60">
        <f>IF(AND(tblFleet[[#This Row],[Units]]&lt;&gt;"",tblFleet[[#This Row],[Calendar_h]]&gt;0),tblFleet[[#This Row],[Available_h]]/tblFleet[[#This Row],[Calendar_h]],"")</f>
        <v/>
      </c>
      <c r="J567" s="60">
        <f>IF(AND(tblFleet[[#This Row],[Units]]&lt;&gt;"",tblFleet[[#This Row],[Available_h]]&gt;0),tblFleet[[#This Row],[Operating_h]]/tblFleet[[#This Row],[Available_h]],"")</f>
        <v/>
      </c>
    </row>
    <row r="568">
      <c r="A568" s="54" t="n"/>
      <c r="B568" s="61" t="n"/>
      <c r="C568" s="62" t="n"/>
      <c r="D568" s="57" t="n"/>
      <c r="E568" s="57" t="n"/>
      <c r="F568" s="58" t="n"/>
      <c r="G568" s="66">
        <f>IF(tblFleet[[#This Row],[Units]]="","",tblFleet[[#This Row],[Units]]*24)</f>
        <v/>
      </c>
      <c r="H568" s="66">
        <f>IF(tblFleet[[#This Row],[Units]]="","",tblFleet[[#This Row],[Calendar_h]]-tblFleet[[#This Row],[Down_h]])</f>
        <v/>
      </c>
      <c r="I568" s="60">
        <f>IF(AND(tblFleet[[#This Row],[Units]]&lt;&gt;"",tblFleet[[#This Row],[Calendar_h]]&gt;0),tblFleet[[#This Row],[Available_h]]/tblFleet[[#This Row],[Calendar_h]],"")</f>
        <v/>
      </c>
      <c r="J568" s="60">
        <f>IF(AND(tblFleet[[#This Row],[Units]]&lt;&gt;"",tblFleet[[#This Row],[Available_h]]&gt;0),tblFleet[[#This Row],[Operating_h]]/tblFleet[[#This Row],[Available_h]],"")</f>
        <v/>
      </c>
    </row>
    <row r="569">
      <c r="A569" s="54" t="n"/>
      <c r="B569" s="61" t="n"/>
      <c r="C569" s="62" t="n"/>
      <c r="D569" s="57" t="n"/>
      <c r="E569" s="57" t="n"/>
      <c r="F569" s="58" t="n"/>
      <c r="G569" s="66">
        <f>IF(tblFleet[[#This Row],[Units]]="","",tblFleet[[#This Row],[Units]]*24)</f>
        <v/>
      </c>
      <c r="H569" s="66">
        <f>IF(tblFleet[[#This Row],[Units]]="","",tblFleet[[#This Row],[Calendar_h]]-tblFleet[[#This Row],[Down_h]])</f>
        <v/>
      </c>
      <c r="I569" s="60">
        <f>IF(AND(tblFleet[[#This Row],[Units]]&lt;&gt;"",tblFleet[[#This Row],[Calendar_h]]&gt;0),tblFleet[[#This Row],[Available_h]]/tblFleet[[#This Row],[Calendar_h]],"")</f>
        <v/>
      </c>
      <c r="J569" s="60">
        <f>IF(AND(tblFleet[[#This Row],[Units]]&lt;&gt;"",tblFleet[[#This Row],[Available_h]]&gt;0),tblFleet[[#This Row],[Operating_h]]/tblFleet[[#This Row],[Available_h]],"")</f>
        <v/>
      </c>
    </row>
    <row r="570">
      <c r="A570" s="54" t="n"/>
      <c r="B570" s="61" t="n"/>
      <c r="C570" s="62" t="n"/>
      <c r="D570" s="57" t="n"/>
      <c r="E570" s="57" t="n"/>
      <c r="F570" s="58" t="n"/>
      <c r="G570" s="66">
        <f>IF(tblFleet[[#This Row],[Units]]="","",tblFleet[[#This Row],[Units]]*24)</f>
        <v/>
      </c>
      <c r="H570" s="66">
        <f>IF(tblFleet[[#This Row],[Units]]="","",tblFleet[[#This Row],[Calendar_h]]-tblFleet[[#This Row],[Down_h]])</f>
        <v/>
      </c>
      <c r="I570" s="60">
        <f>IF(AND(tblFleet[[#This Row],[Units]]&lt;&gt;"",tblFleet[[#This Row],[Calendar_h]]&gt;0),tblFleet[[#This Row],[Available_h]]/tblFleet[[#This Row],[Calendar_h]],"")</f>
        <v/>
      </c>
      <c r="J570" s="60">
        <f>IF(AND(tblFleet[[#This Row],[Units]]&lt;&gt;"",tblFleet[[#This Row],[Available_h]]&gt;0),tblFleet[[#This Row],[Operating_h]]/tblFleet[[#This Row],[Available_h]],"")</f>
        <v/>
      </c>
    </row>
    <row r="571">
      <c r="A571" s="54" t="n"/>
      <c r="B571" s="61" t="n"/>
      <c r="C571" s="62" t="n"/>
      <c r="D571" s="57" t="n"/>
      <c r="E571" s="57" t="n"/>
      <c r="F571" s="58" t="n"/>
      <c r="G571" s="66">
        <f>IF(tblFleet[[#This Row],[Units]]="","",tblFleet[[#This Row],[Units]]*24)</f>
        <v/>
      </c>
      <c r="H571" s="66">
        <f>IF(tblFleet[[#This Row],[Units]]="","",tblFleet[[#This Row],[Calendar_h]]-tblFleet[[#This Row],[Down_h]])</f>
        <v/>
      </c>
      <c r="I571" s="60">
        <f>IF(AND(tblFleet[[#This Row],[Units]]&lt;&gt;"",tblFleet[[#This Row],[Calendar_h]]&gt;0),tblFleet[[#This Row],[Available_h]]/tblFleet[[#This Row],[Calendar_h]],"")</f>
        <v/>
      </c>
      <c r="J571" s="60">
        <f>IF(AND(tblFleet[[#This Row],[Units]]&lt;&gt;"",tblFleet[[#This Row],[Available_h]]&gt;0),tblFleet[[#This Row],[Operating_h]]/tblFleet[[#This Row],[Available_h]],"")</f>
        <v/>
      </c>
    </row>
    <row r="572">
      <c r="A572" s="54" t="n"/>
      <c r="B572" s="61" t="n"/>
      <c r="C572" s="62" t="n"/>
      <c r="D572" s="57" t="n"/>
      <c r="E572" s="57" t="n"/>
      <c r="F572" s="58" t="n"/>
      <c r="G572" s="66">
        <f>IF(tblFleet[[#This Row],[Units]]="","",tblFleet[[#This Row],[Units]]*24)</f>
        <v/>
      </c>
      <c r="H572" s="66">
        <f>IF(tblFleet[[#This Row],[Units]]="","",tblFleet[[#This Row],[Calendar_h]]-tblFleet[[#This Row],[Down_h]])</f>
        <v/>
      </c>
      <c r="I572" s="60">
        <f>IF(AND(tblFleet[[#This Row],[Units]]&lt;&gt;"",tblFleet[[#This Row],[Calendar_h]]&gt;0),tblFleet[[#This Row],[Available_h]]/tblFleet[[#This Row],[Calendar_h]],"")</f>
        <v/>
      </c>
      <c r="J572" s="60">
        <f>IF(AND(tblFleet[[#This Row],[Units]]&lt;&gt;"",tblFleet[[#This Row],[Available_h]]&gt;0),tblFleet[[#This Row],[Operating_h]]/tblFleet[[#This Row],[Available_h]],"")</f>
        <v/>
      </c>
    </row>
    <row r="573">
      <c r="A573" s="54" t="n"/>
      <c r="B573" s="61" t="n"/>
      <c r="C573" s="62" t="n"/>
      <c r="D573" s="57" t="n"/>
      <c r="E573" s="57" t="n"/>
      <c r="F573" s="58" t="n"/>
      <c r="G573" s="66">
        <f>IF(tblFleet[[#This Row],[Units]]="","",tblFleet[[#This Row],[Units]]*24)</f>
        <v/>
      </c>
      <c r="H573" s="66">
        <f>IF(tblFleet[[#This Row],[Units]]="","",tblFleet[[#This Row],[Calendar_h]]-tblFleet[[#This Row],[Down_h]])</f>
        <v/>
      </c>
      <c r="I573" s="60">
        <f>IF(AND(tblFleet[[#This Row],[Units]]&lt;&gt;"",tblFleet[[#This Row],[Calendar_h]]&gt;0),tblFleet[[#This Row],[Available_h]]/tblFleet[[#This Row],[Calendar_h]],"")</f>
        <v/>
      </c>
      <c r="J573" s="60">
        <f>IF(AND(tblFleet[[#This Row],[Units]]&lt;&gt;"",tblFleet[[#This Row],[Available_h]]&gt;0),tblFleet[[#This Row],[Operating_h]]/tblFleet[[#This Row],[Available_h]],"")</f>
        <v/>
      </c>
    </row>
    <row r="574">
      <c r="A574" s="54" t="n"/>
      <c r="B574" s="61" t="n"/>
      <c r="C574" s="62" t="n"/>
      <c r="D574" s="57" t="n"/>
      <c r="E574" s="57" t="n"/>
      <c r="F574" s="58" t="n"/>
      <c r="G574" s="66">
        <f>IF(tblFleet[[#This Row],[Units]]="","",tblFleet[[#This Row],[Units]]*24)</f>
        <v/>
      </c>
      <c r="H574" s="66">
        <f>IF(tblFleet[[#This Row],[Units]]="","",tblFleet[[#This Row],[Calendar_h]]-tblFleet[[#This Row],[Down_h]])</f>
        <v/>
      </c>
      <c r="I574" s="60">
        <f>IF(AND(tblFleet[[#This Row],[Units]]&lt;&gt;"",tblFleet[[#This Row],[Calendar_h]]&gt;0),tblFleet[[#This Row],[Available_h]]/tblFleet[[#This Row],[Calendar_h]],"")</f>
        <v/>
      </c>
      <c r="J574" s="60">
        <f>IF(AND(tblFleet[[#This Row],[Units]]&lt;&gt;"",tblFleet[[#This Row],[Available_h]]&gt;0),tblFleet[[#This Row],[Operating_h]]/tblFleet[[#This Row],[Available_h]],"")</f>
        <v/>
      </c>
    </row>
    <row r="575">
      <c r="A575" s="54" t="n"/>
      <c r="B575" s="61" t="n"/>
      <c r="C575" s="62" t="n"/>
      <c r="D575" s="57" t="n"/>
      <c r="E575" s="57" t="n"/>
      <c r="F575" s="58" t="n"/>
      <c r="G575" s="66">
        <f>IF(tblFleet[[#This Row],[Units]]="","",tblFleet[[#This Row],[Units]]*24)</f>
        <v/>
      </c>
      <c r="H575" s="66">
        <f>IF(tblFleet[[#This Row],[Units]]="","",tblFleet[[#This Row],[Calendar_h]]-tblFleet[[#This Row],[Down_h]])</f>
        <v/>
      </c>
      <c r="I575" s="60">
        <f>IF(AND(tblFleet[[#This Row],[Units]]&lt;&gt;"",tblFleet[[#This Row],[Calendar_h]]&gt;0),tblFleet[[#This Row],[Available_h]]/tblFleet[[#This Row],[Calendar_h]],"")</f>
        <v/>
      </c>
      <c r="J575" s="60">
        <f>IF(AND(tblFleet[[#This Row],[Units]]&lt;&gt;"",tblFleet[[#This Row],[Available_h]]&gt;0),tblFleet[[#This Row],[Operating_h]]/tblFleet[[#This Row],[Available_h]],"")</f>
        <v/>
      </c>
    </row>
    <row r="576">
      <c r="A576" s="54" t="n"/>
      <c r="B576" s="61" t="n"/>
      <c r="C576" s="62" t="n"/>
      <c r="D576" s="57" t="n"/>
      <c r="E576" s="57" t="n"/>
      <c r="F576" s="58" t="n"/>
      <c r="G576" s="66">
        <f>IF(tblFleet[[#This Row],[Units]]="","",tblFleet[[#This Row],[Units]]*24)</f>
        <v/>
      </c>
      <c r="H576" s="66">
        <f>IF(tblFleet[[#This Row],[Units]]="","",tblFleet[[#This Row],[Calendar_h]]-tblFleet[[#This Row],[Down_h]])</f>
        <v/>
      </c>
      <c r="I576" s="60">
        <f>IF(AND(tblFleet[[#This Row],[Units]]&lt;&gt;"",tblFleet[[#This Row],[Calendar_h]]&gt;0),tblFleet[[#This Row],[Available_h]]/tblFleet[[#This Row],[Calendar_h]],"")</f>
        <v/>
      </c>
      <c r="J576" s="60">
        <f>IF(AND(tblFleet[[#This Row],[Units]]&lt;&gt;"",tblFleet[[#This Row],[Available_h]]&gt;0),tblFleet[[#This Row],[Operating_h]]/tblFleet[[#This Row],[Available_h]],"")</f>
        <v/>
      </c>
    </row>
    <row r="577">
      <c r="A577" s="54" t="n"/>
      <c r="B577" s="61" t="n"/>
      <c r="C577" s="62" t="n"/>
      <c r="D577" s="57" t="n"/>
      <c r="E577" s="57" t="n"/>
      <c r="F577" s="58" t="n"/>
      <c r="G577" s="66">
        <f>IF(tblFleet[[#This Row],[Units]]="","",tblFleet[[#This Row],[Units]]*24)</f>
        <v/>
      </c>
      <c r="H577" s="66">
        <f>IF(tblFleet[[#This Row],[Units]]="","",tblFleet[[#This Row],[Calendar_h]]-tblFleet[[#This Row],[Down_h]])</f>
        <v/>
      </c>
      <c r="I577" s="60">
        <f>IF(AND(tblFleet[[#This Row],[Units]]&lt;&gt;"",tblFleet[[#This Row],[Calendar_h]]&gt;0),tblFleet[[#This Row],[Available_h]]/tblFleet[[#This Row],[Calendar_h]],"")</f>
        <v/>
      </c>
      <c r="J577" s="60">
        <f>IF(AND(tblFleet[[#This Row],[Units]]&lt;&gt;"",tblFleet[[#This Row],[Available_h]]&gt;0),tblFleet[[#This Row],[Operating_h]]/tblFleet[[#This Row],[Available_h]],"")</f>
        <v/>
      </c>
    </row>
    <row r="578">
      <c r="A578" s="54" t="n"/>
      <c r="B578" s="61" t="n"/>
      <c r="C578" s="62" t="n"/>
      <c r="D578" s="57" t="n"/>
      <c r="E578" s="57" t="n"/>
      <c r="F578" s="58" t="n"/>
      <c r="G578" s="66">
        <f>IF(tblFleet[[#This Row],[Units]]="","",tblFleet[[#This Row],[Units]]*24)</f>
        <v/>
      </c>
      <c r="H578" s="66">
        <f>IF(tblFleet[[#This Row],[Units]]="","",tblFleet[[#This Row],[Calendar_h]]-tblFleet[[#This Row],[Down_h]])</f>
        <v/>
      </c>
      <c r="I578" s="60">
        <f>IF(AND(tblFleet[[#This Row],[Units]]&lt;&gt;"",tblFleet[[#This Row],[Calendar_h]]&gt;0),tblFleet[[#This Row],[Available_h]]/tblFleet[[#This Row],[Calendar_h]],"")</f>
        <v/>
      </c>
      <c r="J578" s="60">
        <f>IF(AND(tblFleet[[#This Row],[Units]]&lt;&gt;"",tblFleet[[#This Row],[Available_h]]&gt;0),tblFleet[[#This Row],[Operating_h]]/tblFleet[[#This Row],[Available_h]],"")</f>
        <v/>
      </c>
    </row>
    <row r="579">
      <c r="A579" s="54" t="n"/>
      <c r="B579" s="61" t="n"/>
      <c r="C579" s="62" t="n"/>
      <c r="D579" s="57" t="n"/>
      <c r="E579" s="57" t="n"/>
      <c r="F579" s="58" t="n"/>
      <c r="G579" s="66">
        <f>IF(tblFleet[[#This Row],[Units]]="","",tblFleet[[#This Row],[Units]]*24)</f>
        <v/>
      </c>
      <c r="H579" s="66">
        <f>IF(tblFleet[[#This Row],[Units]]="","",tblFleet[[#This Row],[Calendar_h]]-tblFleet[[#This Row],[Down_h]])</f>
        <v/>
      </c>
      <c r="I579" s="60">
        <f>IF(AND(tblFleet[[#This Row],[Units]]&lt;&gt;"",tblFleet[[#This Row],[Calendar_h]]&gt;0),tblFleet[[#This Row],[Available_h]]/tblFleet[[#This Row],[Calendar_h]],"")</f>
        <v/>
      </c>
      <c r="J579" s="60">
        <f>IF(AND(tblFleet[[#This Row],[Units]]&lt;&gt;"",tblFleet[[#This Row],[Available_h]]&gt;0),tblFleet[[#This Row],[Operating_h]]/tblFleet[[#This Row],[Available_h]],"")</f>
        <v/>
      </c>
    </row>
    <row r="580">
      <c r="A580" s="54" t="n"/>
      <c r="B580" s="61" t="n"/>
      <c r="C580" s="62" t="n"/>
      <c r="D580" s="57" t="n"/>
      <c r="E580" s="57" t="n"/>
      <c r="F580" s="58" t="n"/>
      <c r="G580" s="66">
        <f>IF(tblFleet[[#This Row],[Units]]="","",tblFleet[[#This Row],[Units]]*24)</f>
        <v/>
      </c>
      <c r="H580" s="66">
        <f>IF(tblFleet[[#This Row],[Units]]="","",tblFleet[[#This Row],[Calendar_h]]-tblFleet[[#This Row],[Down_h]])</f>
        <v/>
      </c>
      <c r="I580" s="60">
        <f>IF(AND(tblFleet[[#This Row],[Units]]&lt;&gt;"",tblFleet[[#This Row],[Calendar_h]]&gt;0),tblFleet[[#This Row],[Available_h]]/tblFleet[[#This Row],[Calendar_h]],"")</f>
        <v/>
      </c>
      <c r="J580" s="60">
        <f>IF(AND(tblFleet[[#This Row],[Units]]&lt;&gt;"",tblFleet[[#This Row],[Available_h]]&gt;0),tblFleet[[#This Row],[Operating_h]]/tblFleet[[#This Row],[Available_h]],"")</f>
        <v/>
      </c>
    </row>
    <row r="581">
      <c r="A581" s="54" t="n"/>
      <c r="B581" s="61" t="n"/>
      <c r="C581" s="62" t="n"/>
      <c r="D581" s="57" t="n"/>
      <c r="E581" s="57" t="n"/>
      <c r="F581" s="58" t="n"/>
      <c r="G581" s="66">
        <f>IF(tblFleet[[#This Row],[Units]]="","",tblFleet[[#This Row],[Units]]*24)</f>
        <v/>
      </c>
      <c r="H581" s="66">
        <f>IF(tblFleet[[#This Row],[Units]]="","",tblFleet[[#This Row],[Calendar_h]]-tblFleet[[#This Row],[Down_h]])</f>
        <v/>
      </c>
      <c r="I581" s="60">
        <f>IF(AND(tblFleet[[#This Row],[Units]]&lt;&gt;"",tblFleet[[#This Row],[Calendar_h]]&gt;0),tblFleet[[#This Row],[Available_h]]/tblFleet[[#This Row],[Calendar_h]],"")</f>
        <v/>
      </c>
      <c r="J581" s="60">
        <f>IF(AND(tblFleet[[#This Row],[Units]]&lt;&gt;"",tblFleet[[#This Row],[Available_h]]&gt;0),tblFleet[[#This Row],[Operating_h]]/tblFleet[[#This Row],[Available_h]],"")</f>
        <v/>
      </c>
    </row>
    <row r="582">
      <c r="A582" s="54" t="n"/>
      <c r="B582" s="61" t="n"/>
      <c r="C582" s="62" t="n"/>
      <c r="D582" s="57" t="n"/>
      <c r="E582" s="57" t="n"/>
      <c r="F582" s="58" t="n"/>
      <c r="G582" s="66">
        <f>IF(tblFleet[[#This Row],[Units]]="","",tblFleet[[#This Row],[Units]]*24)</f>
        <v/>
      </c>
      <c r="H582" s="66">
        <f>IF(tblFleet[[#This Row],[Units]]="","",tblFleet[[#This Row],[Calendar_h]]-tblFleet[[#This Row],[Down_h]])</f>
        <v/>
      </c>
      <c r="I582" s="60">
        <f>IF(AND(tblFleet[[#This Row],[Units]]&lt;&gt;"",tblFleet[[#This Row],[Calendar_h]]&gt;0),tblFleet[[#This Row],[Available_h]]/tblFleet[[#This Row],[Calendar_h]],"")</f>
        <v/>
      </c>
      <c r="J582" s="60">
        <f>IF(AND(tblFleet[[#This Row],[Units]]&lt;&gt;"",tblFleet[[#This Row],[Available_h]]&gt;0),tblFleet[[#This Row],[Operating_h]]/tblFleet[[#This Row],[Available_h]],"")</f>
        <v/>
      </c>
    </row>
    <row r="583">
      <c r="A583" s="54" t="n"/>
      <c r="B583" s="61" t="n"/>
      <c r="C583" s="62" t="n"/>
      <c r="D583" s="57" t="n"/>
      <c r="E583" s="57" t="n"/>
      <c r="F583" s="58" t="n"/>
      <c r="G583" s="66">
        <f>IF(tblFleet[[#This Row],[Units]]="","",tblFleet[[#This Row],[Units]]*24)</f>
        <v/>
      </c>
      <c r="H583" s="66">
        <f>IF(tblFleet[[#This Row],[Units]]="","",tblFleet[[#This Row],[Calendar_h]]-tblFleet[[#This Row],[Down_h]])</f>
        <v/>
      </c>
      <c r="I583" s="60">
        <f>IF(AND(tblFleet[[#This Row],[Units]]&lt;&gt;"",tblFleet[[#This Row],[Calendar_h]]&gt;0),tblFleet[[#This Row],[Available_h]]/tblFleet[[#This Row],[Calendar_h]],"")</f>
        <v/>
      </c>
      <c r="J583" s="60">
        <f>IF(AND(tblFleet[[#This Row],[Units]]&lt;&gt;"",tblFleet[[#This Row],[Available_h]]&gt;0),tblFleet[[#This Row],[Operating_h]]/tblFleet[[#This Row],[Available_h]],"")</f>
        <v/>
      </c>
    </row>
    <row r="584">
      <c r="A584" s="54" t="n"/>
      <c r="B584" s="61" t="n"/>
      <c r="C584" s="62" t="n"/>
      <c r="D584" s="57" t="n"/>
      <c r="E584" s="57" t="n"/>
      <c r="F584" s="58" t="n"/>
      <c r="G584" s="66">
        <f>IF(tblFleet[[#This Row],[Units]]="","",tblFleet[[#This Row],[Units]]*24)</f>
        <v/>
      </c>
      <c r="H584" s="66">
        <f>IF(tblFleet[[#This Row],[Units]]="","",tblFleet[[#This Row],[Calendar_h]]-tblFleet[[#This Row],[Down_h]])</f>
        <v/>
      </c>
      <c r="I584" s="60">
        <f>IF(AND(tblFleet[[#This Row],[Units]]&lt;&gt;"",tblFleet[[#This Row],[Calendar_h]]&gt;0),tblFleet[[#This Row],[Available_h]]/tblFleet[[#This Row],[Calendar_h]],"")</f>
        <v/>
      </c>
      <c r="J584" s="60">
        <f>IF(AND(tblFleet[[#This Row],[Units]]&lt;&gt;"",tblFleet[[#This Row],[Available_h]]&gt;0),tblFleet[[#This Row],[Operating_h]]/tblFleet[[#This Row],[Available_h]],"")</f>
        <v/>
      </c>
    </row>
    <row r="585">
      <c r="A585" s="54" t="n"/>
      <c r="B585" s="61" t="n"/>
      <c r="C585" s="62" t="n"/>
      <c r="D585" s="57" t="n"/>
      <c r="E585" s="57" t="n"/>
      <c r="F585" s="58" t="n"/>
      <c r="G585" s="66">
        <f>IF(tblFleet[[#This Row],[Units]]="","",tblFleet[[#This Row],[Units]]*24)</f>
        <v/>
      </c>
      <c r="H585" s="66">
        <f>IF(tblFleet[[#This Row],[Units]]="","",tblFleet[[#This Row],[Calendar_h]]-tblFleet[[#This Row],[Down_h]])</f>
        <v/>
      </c>
      <c r="I585" s="60">
        <f>IF(AND(tblFleet[[#This Row],[Units]]&lt;&gt;"",tblFleet[[#This Row],[Calendar_h]]&gt;0),tblFleet[[#This Row],[Available_h]]/tblFleet[[#This Row],[Calendar_h]],"")</f>
        <v/>
      </c>
      <c r="J585" s="60">
        <f>IF(AND(tblFleet[[#This Row],[Units]]&lt;&gt;"",tblFleet[[#This Row],[Available_h]]&gt;0),tblFleet[[#This Row],[Operating_h]]/tblFleet[[#This Row],[Available_h]],"")</f>
        <v/>
      </c>
    </row>
    <row r="586">
      <c r="A586" s="54" t="n"/>
      <c r="B586" s="61" t="n"/>
      <c r="C586" s="62" t="n"/>
      <c r="D586" s="57" t="n"/>
      <c r="E586" s="57" t="n"/>
      <c r="F586" s="58" t="n"/>
      <c r="G586" s="66">
        <f>IF(tblFleet[[#This Row],[Units]]="","",tblFleet[[#This Row],[Units]]*24)</f>
        <v/>
      </c>
      <c r="H586" s="66">
        <f>IF(tblFleet[[#This Row],[Units]]="","",tblFleet[[#This Row],[Calendar_h]]-tblFleet[[#This Row],[Down_h]])</f>
        <v/>
      </c>
      <c r="I586" s="60">
        <f>IF(AND(tblFleet[[#This Row],[Units]]&lt;&gt;"",tblFleet[[#This Row],[Calendar_h]]&gt;0),tblFleet[[#This Row],[Available_h]]/tblFleet[[#This Row],[Calendar_h]],"")</f>
        <v/>
      </c>
      <c r="J586" s="60">
        <f>IF(AND(tblFleet[[#This Row],[Units]]&lt;&gt;"",tblFleet[[#This Row],[Available_h]]&gt;0),tblFleet[[#This Row],[Operating_h]]/tblFleet[[#This Row],[Available_h]],"")</f>
        <v/>
      </c>
    </row>
    <row r="587">
      <c r="A587" s="54" t="n"/>
      <c r="B587" s="61" t="n"/>
      <c r="C587" s="62" t="n"/>
      <c r="D587" s="57" t="n"/>
      <c r="E587" s="57" t="n"/>
      <c r="F587" s="58" t="n"/>
      <c r="G587" s="66">
        <f>IF(tblFleet[[#This Row],[Units]]="","",tblFleet[[#This Row],[Units]]*24)</f>
        <v/>
      </c>
      <c r="H587" s="66">
        <f>IF(tblFleet[[#This Row],[Units]]="","",tblFleet[[#This Row],[Calendar_h]]-tblFleet[[#This Row],[Down_h]])</f>
        <v/>
      </c>
      <c r="I587" s="60">
        <f>IF(AND(tblFleet[[#This Row],[Units]]&lt;&gt;"",tblFleet[[#This Row],[Calendar_h]]&gt;0),tblFleet[[#This Row],[Available_h]]/tblFleet[[#This Row],[Calendar_h]],"")</f>
        <v/>
      </c>
      <c r="J587" s="60">
        <f>IF(AND(tblFleet[[#This Row],[Units]]&lt;&gt;"",tblFleet[[#This Row],[Available_h]]&gt;0),tblFleet[[#This Row],[Operating_h]]/tblFleet[[#This Row],[Available_h]],"")</f>
        <v/>
      </c>
    </row>
    <row r="588">
      <c r="A588" s="54" t="n"/>
      <c r="B588" s="61" t="n"/>
      <c r="C588" s="62" t="n"/>
      <c r="D588" s="57" t="n"/>
      <c r="E588" s="57" t="n"/>
      <c r="F588" s="58" t="n"/>
      <c r="G588" s="66">
        <f>IF(tblFleet[[#This Row],[Units]]="","",tblFleet[[#This Row],[Units]]*24)</f>
        <v/>
      </c>
      <c r="H588" s="66">
        <f>IF(tblFleet[[#This Row],[Units]]="","",tblFleet[[#This Row],[Calendar_h]]-tblFleet[[#This Row],[Down_h]])</f>
        <v/>
      </c>
      <c r="I588" s="60">
        <f>IF(AND(tblFleet[[#This Row],[Units]]&lt;&gt;"",tblFleet[[#This Row],[Calendar_h]]&gt;0),tblFleet[[#This Row],[Available_h]]/tblFleet[[#This Row],[Calendar_h]],"")</f>
        <v/>
      </c>
      <c r="J588" s="60">
        <f>IF(AND(tblFleet[[#This Row],[Units]]&lt;&gt;"",tblFleet[[#This Row],[Available_h]]&gt;0),tblFleet[[#This Row],[Operating_h]]/tblFleet[[#This Row],[Available_h]],"")</f>
        <v/>
      </c>
    </row>
    <row r="589">
      <c r="A589" s="54" t="n"/>
      <c r="B589" s="61" t="n"/>
      <c r="C589" s="62" t="n"/>
      <c r="D589" s="57" t="n"/>
      <c r="E589" s="57" t="n"/>
      <c r="F589" s="58" t="n"/>
      <c r="G589" s="66">
        <f>IF(tblFleet[[#This Row],[Units]]="","",tblFleet[[#This Row],[Units]]*24)</f>
        <v/>
      </c>
      <c r="H589" s="66">
        <f>IF(tblFleet[[#This Row],[Units]]="","",tblFleet[[#This Row],[Calendar_h]]-tblFleet[[#This Row],[Down_h]])</f>
        <v/>
      </c>
      <c r="I589" s="60">
        <f>IF(AND(tblFleet[[#This Row],[Units]]&lt;&gt;"",tblFleet[[#This Row],[Calendar_h]]&gt;0),tblFleet[[#This Row],[Available_h]]/tblFleet[[#This Row],[Calendar_h]],"")</f>
        <v/>
      </c>
      <c r="J589" s="60">
        <f>IF(AND(tblFleet[[#This Row],[Units]]&lt;&gt;"",tblFleet[[#This Row],[Available_h]]&gt;0),tblFleet[[#This Row],[Operating_h]]/tblFleet[[#This Row],[Available_h]],"")</f>
        <v/>
      </c>
    </row>
    <row r="590">
      <c r="A590" s="54" t="n"/>
      <c r="B590" s="61" t="n"/>
      <c r="C590" s="62" t="n"/>
      <c r="D590" s="57" t="n"/>
      <c r="E590" s="57" t="n"/>
      <c r="F590" s="58" t="n"/>
      <c r="G590" s="66">
        <f>IF(tblFleet[[#This Row],[Units]]="","",tblFleet[[#This Row],[Units]]*24)</f>
        <v/>
      </c>
      <c r="H590" s="66">
        <f>IF(tblFleet[[#This Row],[Units]]="","",tblFleet[[#This Row],[Calendar_h]]-tblFleet[[#This Row],[Down_h]])</f>
        <v/>
      </c>
      <c r="I590" s="60">
        <f>IF(AND(tblFleet[[#This Row],[Units]]&lt;&gt;"",tblFleet[[#This Row],[Calendar_h]]&gt;0),tblFleet[[#This Row],[Available_h]]/tblFleet[[#This Row],[Calendar_h]],"")</f>
        <v/>
      </c>
      <c r="J590" s="60">
        <f>IF(AND(tblFleet[[#This Row],[Units]]&lt;&gt;"",tblFleet[[#This Row],[Available_h]]&gt;0),tblFleet[[#This Row],[Operating_h]]/tblFleet[[#This Row],[Available_h]],"")</f>
        <v/>
      </c>
    </row>
    <row r="591">
      <c r="A591" s="54" t="n"/>
      <c r="B591" s="61" t="n"/>
      <c r="C591" s="62" t="n"/>
      <c r="D591" s="57" t="n"/>
      <c r="E591" s="57" t="n"/>
      <c r="F591" s="58" t="n"/>
      <c r="G591" s="66">
        <f>IF(tblFleet[[#This Row],[Units]]="","",tblFleet[[#This Row],[Units]]*24)</f>
        <v/>
      </c>
      <c r="H591" s="66">
        <f>IF(tblFleet[[#This Row],[Units]]="","",tblFleet[[#This Row],[Calendar_h]]-tblFleet[[#This Row],[Down_h]])</f>
        <v/>
      </c>
      <c r="I591" s="60">
        <f>IF(AND(tblFleet[[#This Row],[Units]]&lt;&gt;"",tblFleet[[#This Row],[Calendar_h]]&gt;0),tblFleet[[#This Row],[Available_h]]/tblFleet[[#This Row],[Calendar_h]],"")</f>
        <v/>
      </c>
      <c r="J591" s="60">
        <f>IF(AND(tblFleet[[#This Row],[Units]]&lt;&gt;"",tblFleet[[#This Row],[Available_h]]&gt;0),tblFleet[[#This Row],[Operating_h]]/tblFleet[[#This Row],[Available_h]],"")</f>
        <v/>
      </c>
    </row>
    <row r="592">
      <c r="A592" s="54" t="n"/>
      <c r="B592" s="61" t="n"/>
      <c r="C592" s="62" t="n"/>
      <c r="D592" s="57" t="n"/>
      <c r="E592" s="57" t="n"/>
      <c r="F592" s="58" t="n"/>
      <c r="G592" s="66">
        <f>IF(tblFleet[[#This Row],[Units]]="","",tblFleet[[#This Row],[Units]]*24)</f>
        <v/>
      </c>
      <c r="H592" s="66">
        <f>IF(tblFleet[[#This Row],[Units]]="","",tblFleet[[#This Row],[Calendar_h]]-tblFleet[[#This Row],[Down_h]])</f>
        <v/>
      </c>
      <c r="I592" s="60">
        <f>IF(AND(tblFleet[[#This Row],[Units]]&lt;&gt;"",tblFleet[[#This Row],[Calendar_h]]&gt;0),tblFleet[[#This Row],[Available_h]]/tblFleet[[#This Row],[Calendar_h]],"")</f>
        <v/>
      </c>
      <c r="J592" s="60">
        <f>IF(AND(tblFleet[[#This Row],[Units]]&lt;&gt;"",tblFleet[[#This Row],[Available_h]]&gt;0),tblFleet[[#This Row],[Operating_h]]/tblFleet[[#This Row],[Available_h]],"")</f>
        <v/>
      </c>
    </row>
    <row r="593">
      <c r="A593" s="54" t="n"/>
      <c r="B593" s="61" t="n"/>
      <c r="C593" s="62" t="n"/>
      <c r="D593" s="57" t="n"/>
      <c r="E593" s="57" t="n"/>
      <c r="F593" s="58" t="n"/>
      <c r="G593" s="66">
        <f>IF(tblFleet[[#This Row],[Units]]="","",tblFleet[[#This Row],[Units]]*24)</f>
        <v/>
      </c>
      <c r="H593" s="66">
        <f>IF(tblFleet[[#This Row],[Units]]="","",tblFleet[[#This Row],[Calendar_h]]-tblFleet[[#This Row],[Down_h]])</f>
        <v/>
      </c>
      <c r="I593" s="60">
        <f>IF(AND(tblFleet[[#This Row],[Units]]&lt;&gt;"",tblFleet[[#This Row],[Calendar_h]]&gt;0),tblFleet[[#This Row],[Available_h]]/tblFleet[[#This Row],[Calendar_h]],"")</f>
        <v/>
      </c>
      <c r="J593" s="60">
        <f>IF(AND(tblFleet[[#This Row],[Units]]&lt;&gt;"",tblFleet[[#This Row],[Available_h]]&gt;0),tblFleet[[#This Row],[Operating_h]]/tblFleet[[#This Row],[Available_h]],"")</f>
        <v/>
      </c>
    </row>
    <row r="594">
      <c r="A594" s="54" t="n"/>
      <c r="B594" s="61" t="n"/>
      <c r="C594" s="62" t="n"/>
      <c r="D594" s="57" t="n"/>
      <c r="E594" s="57" t="n"/>
      <c r="F594" s="58" t="n"/>
      <c r="G594" s="66">
        <f>IF(tblFleet[[#This Row],[Units]]="","",tblFleet[[#This Row],[Units]]*24)</f>
        <v/>
      </c>
      <c r="H594" s="66">
        <f>IF(tblFleet[[#This Row],[Units]]="","",tblFleet[[#This Row],[Calendar_h]]-tblFleet[[#This Row],[Down_h]])</f>
        <v/>
      </c>
      <c r="I594" s="60">
        <f>IF(AND(tblFleet[[#This Row],[Units]]&lt;&gt;"",tblFleet[[#This Row],[Calendar_h]]&gt;0),tblFleet[[#This Row],[Available_h]]/tblFleet[[#This Row],[Calendar_h]],"")</f>
        <v/>
      </c>
      <c r="J594" s="60">
        <f>IF(AND(tblFleet[[#This Row],[Units]]&lt;&gt;"",tblFleet[[#This Row],[Available_h]]&gt;0),tblFleet[[#This Row],[Operating_h]]/tblFleet[[#This Row],[Available_h]],"")</f>
        <v/>
      </c>
    </row>
    <row r="595">
      <c r="A595" s="54" t="n"/>
      <c r="B595" s="61" t="n"/>
      <c r="C595" s="62" t="n"/>
      <c r="D595" s="57" t="n"/>
      <c r="E595" s="57" t="n"/>
      <c r="F595" s="58" t="n"/>
      <c r="G595" s="66">
        <f>IF(tblFleet[[#This Row],[Units]]="","",tblFleet[[#This Row],[Units]]*24)</f>
        <v/>
      </c>
      <c r="H595" s="66">
        <f>IF(tblFleet[[#This Row],[Units]]="","",tblFleet[[#This Row],[Calendar_h]]-tblFleet[[#This Row],[Down_h]])</f>
        <v/>
      </c>
      <c r="I595" s="60">
        <f>IF(AND(tblFleet[[#This Row],[Units]]&lt;&gt;"",tblFleet[[#This Row],[Calendar_h]]&gt;0),tblFleet[[#This Row],[Available_h]]/tblFleet[[#This Row],[Calendar_h]],"")</f>
        <v/>
      </c>
      <c r="J595" s="60">
        <f>IF(AND(tblFleet[[#This Row],[Units]]&lt;&gt;"",tblFleet[[#This Row],[Available_h]]&gt;0),tblFleet[[#This Row],[Operating_h]]/tblFleet[[#This Row],[Available_h]],"")</f>
        <v/>
      </c>
    </row>
    <row r="596">
      <c r="A596" s="54" t="n"/>
      <c r="B596" s="61" t="n"/>
      <c r="C596" s="62" t="n"/>
      <c r="D596" s="57" t="n"/>
      <c r="E596" s="57" t="n"/>
      <c r="F596" s="58" t="n"/>
      <c r="G596" s="66">
        <f>IF(tblFleet[[#This Row],[Units]]="","",tblFleet[[#This Row],[Units]]*24)</f>
        <v/>
      </c>
      <c r="H596" s="66">
        <f>IF(tblFleet[[#This Row],[Units]]="","",tblFleet[[#This Row],[Calendar_h]]-tblFleet[[#This Row],[Down_h]])</f>
        <v/>
      </c>
      <c r="I596" s="60">
        <f>IF(AND(tblFleet[[#This Row],[Units]]&lt;&gt;"",tblFleet[[#This Row],[Calendar_h]]&gt;0),tblFleet[[#This Row],[Available_h]]/tblFleet[[#This Row],[Calendar_h]],"")</f>
        <v/>
      </c>
      <c r="J596" s="60">
        <f>IF(AND(tblFleet[[#This Row],[Units]]&lt;&gt;"",tblFleet[[#This Row],[Available_h]]&gt;0),tblFleet[[#This Row],[Operating_h]]/tblFleet[[#This Row],[Available_h]],"")</f>
        <v/>
      </c>
    </row>
    <row r="597">
      <c r="A597" s="54" t="n"/>
      <c r="B597" s="61" t="n"/>
      <c r="C597" s="62" t="n"/>
      <c r="D597" s="57" t="n"/>
      <c r="E597" s="57" t="n"/>
      <c r="F597" s="58" t="n"/>
      <c r="G597" s="66">
        <f>IF(tblFleet[[#This Row],[Units]]="","",tblFleet[[#This Row],[Units]]*24)</f>
        <v/>
      </c>
      <c r="H597" s="66">
        <f>IF(tblFleet[[#This Row],[Units]]="","",tblFleet[[#This Row],[Calendar_h]]-tblFleet[[#This Row],[Down_h]])</f>
        <v/>
      </c>
      <c r="I597" s="60">
        <f>IF(AND(tblFleet[[#This Row],[Units]]&lt;&gt;"",tblFleet[[#This Row],[Calendar_h]]&gt;0),tblFleet[[#This Row],[Available_h]]/tblFleet[[#This Row],[Calendar_h]],"")</f>
        <v/>
      </c>
      <c r="J597" s="60">
        <f>IF(AND(tblFleet[[#This Row],[Units]]&lt;&gt;"",tblFleet[[#This Row],[Available_h]]&gt;0),tblFleet[[#This Row],[Operating_h]]/tblFleet[[#This Row],[Available_h]],"")</f>
        <v/>
      </c>
    </row>
    <row r="598">
      <c r="A598" s="54" t="n"/>
      <c r="B598" s="61" t="n"/>
      <c r="C598" s="62" t="n"/>
      <c r="D598" s="57" t="n"/>
      <c r="E598" s="57" t="n"/>
      <c r="F598" s="58" t="n"/>
      <c r="G598" s="66">
        <f>IF(tblFleet[[#This Row],[Units]]="","",tblFleet[[#This Row],[Units]]*24)</f>
        <v/>
      </c>
      <c r="H598" s="66">
        <f>IF(tblFleet[[#This Row],[Units]]="","",tblFleet[[#This Row],[Calendar_h]]-tblFleet[[#This Row],[Down_h]])</f>
        <v/>
      </c>
      <c r="I598" s="60">
        <f>IF(AND(tblFleet[[#This Row],[Units]]&lt;&gt;"",tblFleet[[#This Row],[Calendar_h]]&gt;0),tblFleet[[#This Row],[Available_h]]/tblFleet[[#This Row],[Calendar_h]],"")</f>
        <v/>
      </c>
      <c r="J598" s="60">
        <f>IF(AND(tblFleet[[#This Row],[Units]]&lt;&gt;"",tblFleet[[#This Row],[Available_h]]&gt;0),tblFleet[[#This Row],[Operating_h]]/tblFleet[[#This Row],[Available_h]],"")</f>
        <v/>
      </c>
    </row>
    <row r="599">
      <c r="A599" s="54" t="n"/>
      <c r="B599" s="61" t="n"/>
      <c r="C599" s="62" t="n"/>
      <c r="D599" s="57" t="n"/>
      <c r="E599" s="57" t="n"/>
      <c r="F599" s="58" t="n"/>
      <c r="G599" s="66">
        <f>IF(tblFleet[[#This Row],[Units]]="","",tblFleet[[#This Row],[Units]]*24)</f>
        <v/>
      </c>
      <c r="H599" s="66">
        <f>IF(tblFleet[[#This Row],[Units]]="","",tblFleet[[#This Row],[Calendar_h]]-tblFleet[[#This Row],[Down_h]])</f>
        <v/>
      </c>
      <c r="I599" s="60">
        <f>IF(AND(tblFleet[[#This Row],[Units]]&lt;&gt;"",tblFleet[[#This Row],[Calendar_h]]&gt;0),tblFleet[[#This Row],[Available_h]]/tblFleet[[#This Row],[Calendar_h]],"")</f>
        <v/>
      </c>
      <c r="J599" s="60">
        <f>IF(AND(tblFleet[[#This Row],[Units]]&lt;&gt;"",tblFleet[[#This Row],[Available_h]]&gt;0),tblFleet[[#This Row],[Operating_h]]/tblFleet[[#This Row],[Available_h]],"")</f>
        <v/>
      </c>
    </row>
    <row r="600">
      <c r="A600" s="54" t="n"/>
      <c r="B600" s="61" t="n"/>
      <c r="C600" s="62" t="n"/>
      <c r="D600" s="57" t="n"/>
      <c r="E600" s="57" t="n"/>
      <c r="F600" s="58" t="n"/>
      <c r="G600" s="66">
        <f>IF(tblFleet[[#This Row],[Units]]="","",tblFleet[[#This Row],[Units]]*24)</f>
        <v/>
      </c>
      <c r="H600" s="66">
        <f>IF(tblFleet[[#This Row],[Units]]="","",tblFleet[[#This Row],[Calendar_h]]-tblFleet[[#This Row],[Down_h]])</f>
        <v/>
      </c>
      <c r="I600" s="60">
        <f>IF(AND(tblFleet[[#This Row],[Units]]&lt;&gt;"",tblFleet[[#This Row],[Calendar_h]]&gt;0),tblFleet[[#This Row],[Available_h]]/tblFleet[[#This Row],[Calendar_h]],"")</f>
        <v/>
      </c>
      <c r="J600" s="60">
        <f>IF(AND(tblFleet[[#This Row],[Units]]&lt;&gt;"",tblFleet[[#This Row],[Available_h]]&gt;0),tblFleet[[#This Row],[Operating_h]]/tblFleet[[#This Row],[Available_h]],"")</f>
        <v/>
      </c>
    </row>
    <row r="601">
      <c r="A601" s="54" t="n"/>
      <c r="B601" s="61" t="n"/>
      <c r="C601" s="62" t="n"/>
      <c r="D601" s="57" t="n"/>
      <c r="E601" s="57" t="n"/>
      <c r="F601" s="58" t="n"/>
      <c r="G601" s="66">
        <f>IF(tblFleet[[#This Row],[Units]]="","",tblFleet[[#This Row],[Units]]*24)</f>
        <v/>
      </c>
      <c r="H601" s="66">
        <f>IF(tblFleet[[#This Row],[Units]]="","",tblFleet[[#This Row],[Calendar_h]]-tblFleet[[#This Row],[Down_h]])</f>
        <v/>
      </c>
      <c r="I601" s="60">
        <f>IF(AND(tblFleet[[#This Row],[Units]]&lt;&gt;"",tblFleet[[#This Row],[Calendar_h]]&gt;0),tblFleet[[#This Row],[Available_h]]/tblFleet[[#This Row],[Calendar_h]],"")</f>
        <v/>
      </c>
      <c r="J601" s="60">
        <f>IF(AND(tblFleet[[#This Row],[Units]]&lt;&gt;"",tblFleet[[#This Row],[Available_h]]&gt;0),tblFleet[[#This Row],[Operating_h]]/tblFleet[[#This Row],[Available_h]],"")</f>
        <v/>
      </c>
    </row>
    <row r="602">
      <c r="A602" s="54" t="n"/>
      <c r="B602" s="61" t="n"/>
      <c r="C602" s="62" t="n"/>
      <c r="D602" s="57" t="n"/>
      <c r="E602" s="57" t="n"/>
      <c r="F602" s="58" t="n"/>
      <c r="G602" s="66">
        <f>IF(tblFleet[[#This Row],[Units]]="","",tblFleet[[#This Row],[Units]]*24)</f>
        <v/>
      </c>
      <c r="H602" s="66">
        <f>IF(tblFleet[[#This Row],[Units]]="","",tblFleet[[#This Row],[Calendar_h]]-tblFleet[[#This Row],[Down_h]])</f>
        <v/>
      </c>
      <c r="I602" s="60">
        <f>IF(AND(tblFleet[[#This Row],[Units]]&lt;&gt;"",tblFleet[[#This Row],[Calendar_h]]&gt;0),tblFleet[[#This Row],[Available_h]]/tblFleet[[#This Row],[Calendar_h]],"")</f>
        <v/>
      </c>
      <c r="J602" s="60">
        <f>IF(AND(tblFleet[[#This Row],[Units]]&lt;&gt;"",tblFleet[[#This Row],[Available_h]]&gt;0),tblFleet[[#This Row],[Operating_h]]/tblFleet[[#This Row],[Available_h]],"")</f>
        <v/>
      </c>
    </row>
    <row r="603">
      <c r="A603" s="54" t="n"/>
      <c r="B603" s="61" t="n"/>
      <c r="C603" s="62" t="n"/>
      <c r="D603" s="57" t="n"/>
      <c r="E603" s="57" t="n"/>
      <c r="F603" s="58" t="n"/>
      <c r="G603" s="66">
        <f>IF(tblFleet[[#This Row],[Units]]="","",tblFleet[[#This Row],[Units]]*24)</f>
        <v/>
      </c>
      <c r="H603" s="66">
        <f>IF(tblFleet[[#This Row],[Units]]="","",tblFleet[[#This Row],[Calendar_h]]-tblFleet[[#This Row],[Down_h]])</f>
        <v/>
      </c>
      <c r="I603" s="60">
        <f>IF(AND(tblFleet[[#This Row],[Units]]&lt;&gt;"",tblFleet[[#This Row],[Calendar_h]]&gt;0),tblFleet[[#This Row],[Available_h]]/tblFleet[[#This Row],[Calendar_h]],"")</f>
        <v/>
      </c>
      <c r="J603" s="60">
        <f>IF(AND(tblFleet[[#This Row],[Units]]&lt;&gt;"",tblFleet[[#This Row],[Available_h]]&gt;0),tblFleet[[#This Row],[Operating_h]]/tblFleet[[#This Row],[Available_h]],"")</f>
        <v/>
      </c>
    </row>
    <row r="604">
      <c r="A604" s="54" t="n"/>
      <c r="B604" s="61" t="n"/>
      <c r="C604" s="62" t="n"/>
      <c r="D604" s="57" t="n"/>
      <c r="E604" s="57" t="n"/>
      <c r="F604" s="58" t="n"/>
      <c r="G604" s="66">
        <f>IF(tblFleet[[#This Row],[Units]]="","",tblFleet[[#This Row],[Units]]*24)</f>
        <v/>
      </c>
      <c r="H604" s="66">
        <f>IF(tblFleet[[#This Row],[Units]]="","",tblFleet[[#This Row],[Calendar_h]]-tblFleet[[#This Row],[Down_h]])</f>
        <v/>
      </c>
      <c r="I604" s="60">
        <f>IF(AND(tblFleet[[#This Row],[Units]]&lt;&gt;"",tblFleet[[#This Row],[Calendar_h]]&gt;0),tblFleet[[#This Row],[Available_h]]/tblFleet[[#This Row],[Calendar_h]],"")</f>
        <v/>
      </c>
      <c r="J604" s="60">
        <f>IF(AND(tblFleet[[#This Row],[Units]]&lt;&gt;"",tblFleet[[#This Row],[Available_h]]&gt;0),tblFleet[[#This Row],[Operating_h]]/tblFleet[[#This Row],[Available_h]],"")</f>
        <v/>
      </c>
    </row>
    <row r="605">
      <c r="A605" s="54" t="n"/>
      <c r="B605" s="61" t="n"/>
      <c r="C605" s="62" t="n"/>
      <c r="D605" s="57" t="n"/>
      <c r="E605" s="57" t="n"/>
      <c r="F605" s="58" t="n"/>
      <c r="G605" s="66">
        <f>IF(tblFleet[[#This Row],[Units]]="","",tblFleet[[#This Row],[Units]]*24)</f>
        <v/>
      </c>
      <c r="H605" s="66">
        <f>IF(tblFleet[[#This Row],[Units]]="","",tblFleet[[#This Row],[Calendar_h]]-tblFleet[[#This Row],[Down_h]])</f>
        <v/>
      </c>
      <c r="I605" s="60">
        <f>IF(AND(tblFleet[[#This Row],[Units]]&lt;&gt;"",tblFleet[[#This Row],[Calendar_h]]&gt;0),tblFleet[[#This Row],[Available_h]]/tblFleet[[#This Row],[Calendar_h]],"")</f>
        <v/>
      </c>
      <c r="J605" s="60">
        <f>IF(AND(tblFleet[[#This Row],[Units]]&lt;&gt;"",tblFleet[[#This Row],[Available_h]]&gt;0),tblFleet[[#This Row],[Operating_h]]/tblFleet[[#This Row],[Available_h]],"")</f>
        <v/>
      </c>
    </row>
    <row r="606">
      <c r="A606" s="54" t="n"/>
      <c r="B606" s="61" t="n"/>
      <c r="C606" s="62" t="n"/>
      <c r="D606" s="57" t="n"/>
      <c r="E606" s="57" t="n"/>
      <c r="F606" s="58" t="n"/>
      <c r="G606" s="66">
        <f>IF(tblFleet[[#This Row],[Units]]="","",tblFleet[[#This Row],[Units]]*24)</f>
        <v/>
      </c>
      <c r="H606" s="66">
        <f>IF(tblFleet[[#This Row],[Units]]="","",tblFleet[[#This Row],[Calendar_h]]-tblFleet[[#This Row],[Down_h]])</f>
        <v/>
      </c>
      <c r="I606" s="60">
        <f>IF(AND(tblFleet[[#This Row],[Units]]&lt;&gt;"",tblFleet[[#This Row],[Calendar_h]]&gt;0),tblFleet[[#This Row],[Available_h]]/tblFleet[[#This Row],[Calendar_h]],"")</f>
        <v/>
      </c>
      <c r="J606" s="60">
        <f>IF(AND(tblFleet[[#This Row],[Units]]&lt;&gt;"",tblFleet[[#This Row],[Available_h]]&gt;0),tblFleet[[#This Row],[Operating_h]]/tblFleet[[#This Row],[Available_h]],"")</f>
        <v/>
      </c>
    </row>
    <row r="607">
      <c r="A607" s="54" t="n"/>
      <c r="B607" s="61" t="n"/>
      <c r="C607" s="62" t="n"/>
      <c r="D607" s="57" t="n"/>
      <c r="E607" s="57" t="n"/>
      <c r="F607" s="58" t="n"/>
      <c r="G607" s="66">
        <f>IF(tblFleet[[#This Row],[Units]]="","",tblFleet[[#This Row],[Units]]*24)</f>
        <v/>
      </c>
      <c r="H607" s="66">
        <f>IF(tblFleet[[#This Row],[Units]]="","",tblFleet[[#This Row],[Calendar_h]]-tblFleet[[#This Row],[Down_h]])</f>
        <v/>
      </c>
      <c r="I607" s="60">
        <f>IF(AND(tblFleet[[#This Row],[Units]]&lt;&gt;"",tblFleet[[#This Row],[Calendar_h]]&gt;0),tblFleet[[#This Row],[Available_h]]/tblFleet[[#This Row],[Calendar_h]],"")</f>
        <v/>
      </c>
      <c r="J607" s="60">
        <f>IF(AND(tblFleet[[#This Row],[Units]]&lt;&gt;"",tblFleet[[#This Row],[Available_h]]&gt;0),tblFleet[[#This Row],[Operating_h]]/tblFleet[[#This Row],[Available_h]],"")</f>
        <v/>
      </c>
    </row>
    <row r="608">
      <c r="A608" s="54" t="n"/>
      <c r="B608" s="61" t="n"/>
      <c r="C608" s="62" t="n"/>
      <c r="D608" s="57" t="n"/>
      <c r="E608" s="57" t="n"/>
      <c r="F608" s="58" t="n"/>
      <c r="G608" s="66">
        <f>IF(tblFleet[[#This Row],[Units]]="","",tblFleet[[#This Row],[Units]]*24)</f>
        <v/>
      </c>
      <c r="H608" s="66">
        <f>IF(tblFleet[[#This Row],[Units]]="","",tblFleet[[#This Row],[Calendar_h]]-tblFleet[[#This Row],[Down_h]])</f>
        <v/>
      </c>
      <c r="I608" s="60">
        <f>IF(AND(tblFleet[[#This Row],[Units]]&lt;&gt;"",tblFleet[[#This Row],[Calendar_h]]&gt;0),tblFleet[[#This Row],[Available_h]]/tblFleet[[#This Row],[Calendar_h]],"")</f>
        <v/>
      </c>
      <c r="J608" s="60">
        <f>IF(AND(tblFleet[[#This Row],[Units]]&lt;&gt;"",tblFleet[[#This Row],[Available_h]]&gt;0),tblFleet[[#This Row],[Operating_h]]/tblFleet[[#This Row],[Available_h]],"")</f>
        <v/>
      </c>
    </row>
    <row r="609">
      <c r="A609" s="54" t="n"/>
      <c r="B609" s="61" t="n"/>
      <c r="C609" s="62" t="n"/>
      <c r="D609" s="57" t="n"/>
      <c r="E609" s="57" t="n"/>
      <c r="F609" s="58" t="n"/>
      <c r="G609" s="66">
        <f>IF(tblFleet[[#This Row],[Units]]="","",tblFleet[[#This Row],[Units]]*24)</f>
        <v/>
      </c>
      <c r="H609" s="66">
        <f>IF(tblFleet[[#This Row],[Units]]="","",tblFleet[[#This Row],[Calendar_h]]-tblFleet[[#This Row],[Down_h]])</f>
        <v/>
      </c>
      <c r="I609" s="60">
        <f>IF(AND(tblFleet[[#This Row],[Units]]&lt;&gt;"",tblFleet[[#This Row],[Calendar_h]]&gt;0),tblFleet[[#This Row],[Available_h]]/tblFleet[[#This Row],[Calendar_h]],"")</f>
        <v/>
      </c>
      <c r="J609" s="60">
        <f>IF(AND(tblFleet[[#This Row],[Units]]&lt;&gt;"",tblFleet[[#This Row],[Available_h]]&gt;0),tblFleet[[#This Row],[Operating_h]]/tblFleet[[#This Row],[Available_h]],"")</f>
        <v/>
      </c>
    </row>
    <row r="610">
      <c r="A610" s="54" t="n"/>
      <c r="B610" s="61" t="n"/>
      <c r="C610" s="62" t="n"/>
      <c r="D610" s="57" t="n"/>
      <c r="E610" s="57" t="n"/>
      <c r="F610" s="58" t="n"/>
      <c r="G610" s="66">
        <f>IF(tblFleet[[#This Row],[Units]]="","",tblFleet[[#This Row],[Units]]*24)</f>
        <v/>
      </c>
      <c r="H610" s="66">
        <f>IF(tblFleet[[#This Row],[Units]]="","",tblFleet[[#This Row],[Calendar_h]]-tblFleet[[#This Row],[Down_h]])</f>
        <v/>
      </c>
      <c r="I610" s="60">
        <f>IF(AND(tblFleet[[#This Row],[Units]]&lt;&gt;"",tblFleet[[#This Row],[Calendar_h]]&gt;0),tblFleet[[#This Row],[Available_h]]/tblFleet[[#This Row],[Calendar_h]],"")</f>
        <v/>
      </c>
      <c r="J610" s="60">
        <f>IF(AND(tblFleet[[#This Row],[Units]]&lt;&gt;"",tblFleet[[#This Row],[Available_h]]&gt;0),tblFleet[[#This Row],[Operating_h]]/tblFleet[[#This Row],[Available_h]],"")</f>
        <v/>
      </c>
    </row>
    <row r="611">
      <c r="A611" s="54" t="n"/>
      <c r="B611" s="61" t="n"/>
      <c r="C611" s="62" t="n"/>
      <c r="D611" s="57" t="n"/>
      <c r="E611" s="57" t="n"/>
      <c r="F611" s="58" t="n"/>
      <c r="G611" s="66">
        <f>IF(tblFleet[[#This Row],[Units]]="","",tblFleet[[#This Row],[Units]]*24)</f>
        <v/>
      </c>
      <c r="H611" s="66">
        <f>IF(tblFleet[[#This Row],[Units]]="","",tblFleet[[#This Row],[Calendar_h]]-tblFleet[[#This Row],[Down_h]])</f>
        <v/>
      </c>
      <c r="I611" s="60">
        <f>IF(AND(tblFleet[[#This Row],[Units]]&lt;&gt;"",tblFleet[[#This Row],[Calendar_h]]&gt;0),tblFleet[[#This Row],[Available_h]]/tblFleet[[#This Row],[Calendar_h]],"")</f>
        <v/>
      </c>
      <c r="J611" s="60">
        <f>IF(AND(tblFleet[[#This Row],[Units]]&lt;&gt;"",tblFleet[[#This Row],[Available_h]]&gt;0),tblFleet[[#This Row],[Operating_h]]/tblFleet[[#This Row],[Available_h]],"")</f>
        <v/>
      </c>
    </row>
    <row r="612">
      <c r="A612" s="54" t="n"/>
      <c r="B612" s="61" t="n"/>
      <c r="C612" s="62" t="n"/>
      <c r="D612" s="57" t="n"/>
      <c r="E612" s="57" t="n"/>
      <c r="F612" s="58" t="n"/>
      <c r="G612" s="66">
        <f>IF(tblFleet[[#This Row],[Units]]="","",tblFleet[[#This Row],[Units]]*24)</f>
        <v/>
      </c>
      <c r="H612" s="66">
        <f>IF(tblFleet[[#This Row],[Units]]="","",tblFleet[[#This Row],[Calendar_h]]-tblFleet[[#This Row],[Down_h]])</f>
        <v/>
      </c>
      <c r="I612" s="60">
        <f>IF(AND(tblFleet[[#This Row],[Units]]&lt;&gt;"",tblFleet[[#This Row],[Calendar_h]]&gt;0),tblFleet[[#This Row],[Available_h]]/tblFleet[[#This Row],[Calendar_h]],"")</f>
        <v/>
      </c>
      <c r="J612" s="60">
        <f>IF(AND(tblFleet[[#This Row],[Units]]&lt;&gt;"",tblFleet[[#This Row],[Available_h]]&gt;0),tblFleet[[#This Row],[Operating_h]]/tblFleet[[#This Row],[Available_h]],"")</f>
        <v/>
      </c>
    </row>
    <row r="613">
      <c r="A613" s="54" t="n"/>
      <c r="B613" s="61" t="n"/>
      <c r="C613" s="62" t="n"/>
      <c r="D613" s="57" t="n"/>
      <c r="E613" s="57" t="n"/>
      <c r="F613" s="58" t="n"/>
      <c r="G613" s="66">
        <f>IF(tblFleet[[#This Row],[Units]]="","",tblFleet[[#This Row],[Units]]*24)</f>
        <v/>
      </c>
      <c r="H613" s="66">
        <f>IF(tblFleet[[#This Row],[Units]]="","",tblFleet[[#This Row],[Calendar_h]]-tblFleet[[#This Row],[Down_h]])</f>
        <v/>
      </c>
      <c r="I613" s="60">
        <f>IF(AND(tblFleet[[#This Row],[Units]]&lt;&gt;"",tblFleet[[#This Row],[Calendar_h]]&gt;0),tblFleet[[#This Row],[Available_h]]/tblFleet[[#This Row],[Calendar_h]],"")</f>
        <v/>
      </c>
      <c r="J613" s="60">
        <f>IF(AND(tblFleet[[#This Row],[Units]]&lt;&gt;"",tblFleet[[#This Row],[Available_h]]&gt;0),tblFleet[[#This Row],[Operating_h]]/tblFleet[[#This Row],[Available_h]],"")</f>
        <v/>
      </c>
    </row>
    <row r="614">
      <c r="A614" s="54" t="n"/>
      <c r="B614" s="61" t="n"/>
      <c r="C614" s="62" t="n"/>
      <c r="D614" s="57" t="n"/>
      <c r="E614" s="57" t="n"/>
      <c r="F614" s="58" t="n"/>
      <c r="G614" s="66">
        <f>IF(tblFleet[[#This Row],[Units]]="","",tblFleet[[#This Row],[Units]]*24)</f>
        <v/>
      </c>
      <c r="H614" s="66">
        <f>IF(tblFleet[[#This Row],[Units]]="","",tblFleet[[#This Row],[Calendar_h]]-tblFleet[[#This Row],[Down_h]])</f>
        <v/>
      </c>
      <c r="I614" s="60">
        <f>IF(AND(tblFleet[[#This Row],[Units]]&lt;&gt;"",tblFleet[[#This Row],[Calendar_h]]&gt;0),tblFleet[[#This Row],[Available_h]]/tblFleet[[#This Row],[Calendar_h]],"")</f>
        <v/>
      </c>
      <c r="J614" s="60">
        <f>IF(AND(tblFleet[[#This Row],[Units]]&lt;&gt;"",tblFleet[[#This Row],[Available_h]]&gt;0),tblFleet[[#This Row],[Operating_h]]/tblFleet[[#This Row],[Available_h]],"")</f>
        <v/>
      </c>
    </row>
    <row r="615">
      <c r="A615" s="54" t="n"/>
      <c r="B615" s="61" t="n"/>
      <c r="C615" s="62" t="n"/>
      <c r="D615" s="57" t="n"/>
      <c r="E615" s="57" t="n"/>
      <c r="F615" s="58" t="n"/>
      <c r="G615" s="66">
        <f>IF(tblFleet[[#This Row],[Units]]="","",tblFleet[[#This Row],[Units]]*24)</f>
        <v/>
      </c>
      <c r="H615" s="66">
        <f>IF(tblFleet[[#This Row],[Units]]="","",tblFleet[[#This Row],[Calendar_h]]-tblFleet[[#This Row],[Down_h]])</f>
        <v/>
      </c>
      <c r="I615" s="60">
        <f>IF(AND(tblFleet[[#This Row],[Units]]&lt;&gt;"",tblFleet[[#This Row],[Calendar_h]]&gt;0),tblFleet[[#This Row],[Available_h]]/tblFleet[[#This Row],[Calendar_h]],"")</f>
        <v/>
      </c>
      <c r="J615" s="60">
        <f>IF(AND(tblFleet[[#This Row],[Units]]&lt;&gt;"",tblFleet[[#This Row],[Available_h]]&gt;0),tblFleet[[#This Row],[Operating_h]]/tblFleet[[#This Row],[Available_h]],"")</f>
        <v/>
      </c>
    </row>
    <row r="616">
      <c r="A616" s="54" t="n"/>
      <c r="B616" s="61" t="n"/>
      <c r="C616" s="62" t="n"/>
      <c r="D616" s="57" t="n"/>
      <c r="E616" s="57" t="n"/>
      <c r="F616" s="58" t="n"/>
      <c r="G616" s="66">
        <f>IF(tblFleet[[#This Row],[Units]]="","",tblFleet[[#This Row],[Units]]*24)</f>
        <v/>
      </c>
      <c r="H616" s="66">
        <f>IF(tblFleet[[#This Row],[Units]]="","",tblFleet[[#This Row],[Calendar_h]]-tblFleet[[#This Row],[Down_h]])</f>
        <v/>
      </c>
      <c r="I616" s="60">
        <f>IF(AND(tblFleet[[#This Row],[Units]]&lt;&gt;"",tblFleet[[#This Row],[Calendar_h]]&gt;0),tblFleet[[#This Row],[Available_h]]/tblFleet[[#This Row],[Calendar_h]],"")</f>
        <v/>
      </c>
      <c r="J616" s="60">
        <f>IF(AND(tblFleet[[#This Row],[Units]]&lt;&gt;"",tblFleet[[#This Row],[Available_h]]&gt;0),tblFleet[[#This Row],[Operating_h]]/tblFleet[[#This Row],[Available_h]],"")</f>
        <v/>
      </c>
    </row>
    <row r="617">
      <c r="A617" s="54" t="n"/>
      <c r="B617" s="61" t="n"/>
      <c r="C617" s="62" t="n"/>
      <c r="D617" s="57" t="n"/>
      <c r="E617" s="57" t="n"/>
      <c r="F617" s="58" t="n"/>
      <c r="G617" s="66">
        <f>IF(tblFleet[[#This Row],[Units]]="","",tblFleet[[#This Row],[Units]]*24)</f>
        <v/>
      </c>
      <c r="H617" s="66">
        <f>IF(tblFleet[[#This Row],[Units]]="","",tblFleet[[#This Row],[Calendar_h]]-tblFleet[[#This Row],[Down_h]])</f>
        <v/>
      </c>
      <c r="I617" s="60">
        <f>IF(AND(tblFleet[[#This Row],[Units]]&lt;&gt;"",tblFleet[[#This Row],[Calendar_h]]&gt;0),tblFleet[[#This Row],[Available_h]]/tblFleet[[#This Row],[Calendar_h]],"")</f>
        <v/>
      </c>
      <c r="J617" s="60">
        <f>IF(AND(tblFleet[[#This Row],[Units]]&lt;&gt;"",tblFleet[[#This Row],[Available_h]]&gt;0),tblFleet[[#This Row],[Operating_h]]/tblFleet[[#This Row],[Available_h]],"")</f>
        <v/>
      </c>
    </row>
    <row r="618">
      <c r="A618" s="54" t="n"/>
      <c r="B618" s="61" t="n"/>
      <c r="C618" s="62" t="n"/>
      <c r="D618" s="57" t="n"/>
      <c r="E618" s="57" t="n"/>
      <c r="F618" s="58" t="n"/>
      <c r="G618" s="66">
        <f>IF(tblFleet[[#This Row],[Units]]="","",tblFleet[[#This Row],[Units]]*24)</f>
        <v/>
      </c>
      <c r="H618" s="66">
        <f>IF(tblFleet[[#This Row],[Units]]="","",tblFleet[[#This Row],[Calendar_h]]-tblFleet[[#This Row],[Down_h]])</f>
        <v/>
      </c>
      <c r="I618" s="60">
        <f>IF(AND(tblFleet[[#This Row],[Units]]&lt;&gt;"",tblFleet[[#This Row],[Calendar_h]]&gt;0),tblFleet[[#This Row],[Available_h]]/tblFleet[[#This Row],[Calendar_h]],"")</f>
        <v/>
      </c>
      <c r="J618" s="60">
        <f>IF(AND(tblFleet[[#This Row],[Units]]&lt;&gt;"",tblFleet[[#This Row],[Available_h]]&gt;0),tblFleet[[#This Row],[Operating_h]]/tblFleet[[#This Row],[Available_h]],"")</f>
        <v/>
      </c>
    </row>
    <row r="619">
      <c r="A619" s="54" t="n"/>
      <c r="B619" s="61" t="n"/>
      <c r="C619" s="62" t="n"/>
      <c r="D619" s="57" t="n"/>
      <c r="E619" s="57" t="n"/>
      <c r="F619" s="58" t="n"/>
      <c r="G619" s="66">
        <f>IF(tblFleet[[#This Row],[Units]]="","",tblFleet[[#This Row],[Units]]*24)</f>
        <v/>
      </c>
      <c r="H619" s="66">
        <f>IF(tblFleet[[#This Row],[Units]]="","",tblFleet[[#This Row],[Calendar_h]]-tblFleet[[#This Row],[Down_h]])</f>
        <v/>
      </c>
      <c r="I619" s="60">
        <f>IF(AND(tblFleet[[#This Row],[Units]]&lt;&gt;"",tblFleet[[#This Row],[Calendar_h]]&gt;0),tblFleet[[#This Row],[Available_h]]/tblFleet[[#This Row],[Calendar_h]],"")</f>
        <v/>
      </c>
      <c r="J619" s="60">
        <f>IF(AND(tblFleet[[#This Row],[Units]]&lt;&gt;"",tblFleet[[#This Row],[Available_h]]&gt;0),tblFleet[[#This Row],[Operating_h]]/tblFleet[[#This Row],[Available_h]],"")</f>
        <v/>
      </c>
    </row>
    <row r="620">
      <c r="A620" s="54" t="n"/>
      <c r="B620" s="61" t="n"/>
      <c r="C620" s="62" t="n"/>
      <c r="D620" s="57" t="n"/>
      <c r="E620" s="57" t="n"/>
      <c r="F620" s="58" t="n"/>
      <c r="G620" s="66">
        <f>IF(tblFleet[[#This Row],[Units]]="","",tblFleet[[#This Row],[Units]]*24)</f>
        <v/>
      </c>
      <c r="H620" s="66">
        <f>IF(tblFleet[[#This Row],[Units]]="","",tblFleet[[#This Row],[Calendar_h]]-tblFleet[[#This Row],[Down_h]])</f>
        <v/>
      </c>
      <c r="I620" s="60">
        <f>IF(AND(tblFleet[[#This Row],[Units]]&lt;&gt;"",tblFleet[[#This Row],[Calendar_h]]&gt;0),tblFleet[[#This Row],[Available_h]]/tblFleet[[#This Row],[Calendar_h]],"")</f>
        <v/>
      </c>
      <c r="J620" s="60">
        <f>IF(AND(tblFleet[[#This Row],[Units]]&lt;&gt;"",tblFleet[[#This Row],[Available_h]]&gt;0),tblFleet[[#This Row],[Operating_h]]/tblFleet[[#This Row],[Available_h]],"")</f>
        <v/>
      </c>
    </row>
    <row r="621">
      <c r="A621" s="54" t="n"/>
      <c r="B621" s="61" t="n"/>
      <c r="C621" s="62" t="n"/>
      <c r="D621" s="57" t="n"/>
      <c r="E621" s="57" t="n"/>
      <c r="F621" s="58" t="n"/>
      <c r="G621" s="66">
        <f>IF(tblFleet[[#This Row],[Units]]="","",tblFleet[[#This Row],[Units]]*24)</f>
        <v/>
      </c>
      <c r="H621" s="66">
        <f>IF(tblFleet[[#This Row],[Units]]="","",tblFleet[[#This Row],[Calendar_h]]-tblFleet[[#This Row],[Down_h]])</f>
        <v/>
      </c>
      <c r="I621" s="60">
        <f>IF(AND(tblFleet[[#This Row],[Units]]&lt;&gt;"",tblFleet[[#This Row],[Calendar_h]]&gt;0),tblFleet[[#This Row],[Available_h]]/tblFleet[[#This Row],[Calendar_h]],"")</f>
        <v/>
      </c>
      <c r="J621" s="60">
        <f>IF(AND(tblFleet[[#This Row],[Units]]&lt;&gt;"",tblFleet[[#This Row],[Available_h]]&gt;0),tblFleet[[#This Row],[Operating_h]]/tblFleet[[#This Row],[Available_h]],"")</f>
        <v/>
      </c>
    </row>
    <row r="622">
      <c r="A622" s="54" t="n"/>
      <c r="B622" s="61" t="n"/>
      <c r="C622" s="62" t="n"/>
      <c r="D622" s="57" t="n"/>
      <c r="E622" s="57" t="n"/>
      <c r="F622" s="58" t="n"/>
      <c r="G622" s="66">
        <f>IF(tblFleet[[#This Row],[Units]]="","",tblFleet[[#This Row],[Units]]*24)</f>
        <v/>
      </c>
      <c r="H622" s="66">
        <f>IF(tblFleet[[#This Row],[Units]]="","",tblFleet[[#This Row],[Calendar_h]]-tblFleet[[#This Row],[Down_h]])</f>
        <v/>
      </c>
      <c r="I622" s="60">
        <f>IF(AND(tblFleet[[#This Row],[Units]]&lt;&gt;"",tblFleet[[#This Row],[Calendar_h]]&gt;0),tblFleet[[#This Row],[Available_h]]/tblFleet[[#This Row],[Calendar_h]],"")</f>
        <v/>
      </c>
      <c r="J622" s="60">
        <f>IF(AND(tblFleet[[#This Row],[Units]]&lt;&gt;"",tblFleet[[#This Row],[Available_h]]&gt;0),tblFleet[[#This Row],[Operating_h]]/tblFleet[[#This Row],[Available_h]],"")</f>
        <v/>
      </c>
    </row>
    <row r="623">
      <c r="A623" s="54" t="n"/>
      <c r="B623" s="61" t="n"/>
      <c r="C623" s="62" t="n"/>
      <c r="D623" s="57" t="n"/>
      <c r="E623" s="57" t="n"/>
      <c r="F623" s="58" t="n"/>
      <c r="G623" s="66">
        <f>IF(tblFleet[[#This Row],[Units]]="","",tblFleet[[#This Row],[Units]]*24)</f>
        <v/>
      </c>
      <c r="H623" s="66">
        <f>IF(tblFleet[[#This Row],[Units]]="","",tblFleet[[#This Row],[Calendar_h]]-tblFleet[[#This Row],[Down_h]])</f>
        <v/>
      </c>
      <c r="I623" s="60">
        <f>IF(AND(tblFleet[[#This Row],[Units]]&lt;&gt;"",tblFleet[[#This Row],[Calendar_h]]&gt;0),tblFleet[[#This Row],[Available_h]]/tblFleet[[#This Row],[Calendar_h]],"")</f>
        <v/>
      </c>
      <c r="J623" s="60">
        <f>IF(AND(tblFleet[[#This Row],[Units]]&lt;&gt;"",tblFleet[[#This Row],[Available_h]]&gt;0),tblFleet[[#This Row],[Operating_h]]/tblFleet[[#This Row],[Available_h]],"")</f>
        <v/>
      </c>
    </row>
    <row r="624">
      <c r="A624" s="54" t="n"/>
      <c r="B624" s="61" t="n"/>
      <c r="C624" s="62" t="n"/>
      <c r="D624" s="57" t="n"/>
      <c r="E624" s="57" t="n"/>
      <c r="F624" s="58" t="n"/>
      <c r="G624" s="66">
        <f>IF(tblFleet[[#This Row],[Units]]="","",tblFleet[[#This Row],[Units]]*24)</f>
        <v/>
      </c>
      <c r="H624" s="66">
        <f>IF(tblFleet[[#This Row],[Units]]="","",tblFleet[[#This Row],[Calendar_h]]-tblFleet[[#This Row],[Down_h]])</f>
        <v/>
      </c>
      <c r="I624" s="60">
        <f>IF(AND(tblFleet[[#This Row],[Units]]&lt;&gt;"",tblFleet[[#This Row],[Calendar_h]]&gt;0),tblFleet[[#This Row],[Available_h]]/tblFleet[[#This Row],[Calendar_h]],"")</f>
        <v/>
      </c>
      <c r="J624" s="60">
        <f>IF(AND(tblFleet[[#This Row],[Units]]&lt;&gt;"",tblFleet[[#This Row],[Available_h]]&gt;0),tblFleet[[#This Row],[Operating_h]]/tblFleet[[#This Row],[Available_h]],"")</f>
        <v/>
      </c>
    </row>
    <row r="625">
      <c r="A625" s="54" t="n"/>
      <c r="B625" s="61" t="n"/>
      <c r="C625" s="62" t="n"/>
      <c r="D625" s="57" t="n"/>
      <c r="E625" s="57" t="n"/>
      <c r="F625" s="58" t="n"/>
      <c r="G625" s="66">
        <f>IF(tblFleet[[#This Row],[Units]]="","",tblFleet[[#This Row],[Units]]*24)</f>
        <v/>
      </c>
      <c r="H625" s="66">
        <f>IF(tblFleet[[#This Row],[Units]]="","",tblFleet[[#This Row],[Calendar_h]]-tblFleet[[#This Row],[Down_h]])</f>
        <v/>
      </c>
      <c r="I625" s="60">
        <f>IF(AND(tblFleet[[#This Row],[Units]]&lt;&gt;"",tblFleet[[#This Row],[Calendar_h]]&gt;0),tblFleet[[#This Row],[Available_h]]/tblFleet[[#This Row],[Calendar_h]],"")</f>
        <v/>
      </c>
      <c r="J625" s="60">
        <f>IF(AND(tblFleet[[#This Row],[Units]]&lt;&gt;"",tblFleet[[#This Row],[Available_h]]&gt;0),tblFleet[[#This Row],[Operating_h]]/tblFleet[[#This Row],[Available_h]],"")</f>
        <v/>
      </c>
    </row>
    <row r="626">
      <c r="A626" s="54" t="n"/>
      <c r="B626" s="61" t="n"/>
      <c r="C626" s="62" t="n"/>
      <c r="D626" s="57" t="n"/>
      <c r="E626" s="57" t="n"/>
      <c r="F626" s="58" t="n"/>
      <c r="G626" s="66">
        <f>IF(tblFleet[[#This Row],[Units]]="","",tblFleet[[#This Row],[Units]]*24)</f>
        <v/>
      </c>
      <c r="H626" s="66">
        <f>IF(tblFleet[[#This Row],[Units]]="","",tblFleet[[#This Row],[Calendar_h]]-tblFleet[[#This Row],[Down_h]])</f>
        <v/>
      </c>
      <c r="I626" s="60">
        <f>IF(AND(tblFleet[[#This Row],[Units]]&lt;&gt;"",tblFleet[[#This Row],[Calendar_h]]&gt;0),tblFleet[[#This Row],[Available_h]]/tblFleet[[#This Row],[Calendar_h]],"")</f>
        <v/>
      </c>
      <c r="J626" s="60">
        <f>IF(AND(tblFleet[[#This Row],[Units]]&lt;&gt;"",tblFleet[[#This Row],[Available_h]]&gt;0),tblFleet[[#This Row],[Operating_h]]/tblFleet[[#This Row],[Available_h]],"")</f>
        <v/>
      </c>
    </row>
    <row r="627">
      <c r="A627" s="54" t="n"/>
      <c r="B627" s="61" t="n"/>
      <c r="C627" s="62" t="n"/>
      <c r="D627" s="57" t="n"/>
      <c r="E627" s="57" t="n"/>
      <c r="F627" s="58" t="n"/>
      <c r="G627" s="66">
        <f>IF(tblFleet[[#This Row],[Units]]="","",tblFleet[[#This Row],[Units]]*24)</f>
        <v/>
      </c>
      <c r="H627" s="66">
        <f>IF(tblFleet[[#This Row],[Units]]="","",tblFleet[[#This Row],[Calendar_h]]-tblFleet[[#This Row],[Down_h]])</f>
        <v/>
      </c>
      <c r="I627" s="60">
        <f>IF(AND(tblFleet[[#This Row],[Units]]&lt;&gt;"",tblFleet[[#This Row],[Calendar_h]]&gt;0),tblFleet[[#This Row],[Available_h]]/tblFleet[[#This Row],[Calendar_h]],"")</f>
        <v/>
      </c>
      <c r="J627" s="60">
        <f>IF(AND(tblFleet[[#This Row],[Units]]&lt;&gt;"",tblFleet[[#This Row],[Available_h]]&gt;0),tblFleet[[#This Row],[Operating_h]]/tblFleet[[#This Row],[Available_h]],"")</f>
        <v/>
      </c>
    </row>
    <row r="628">
      <c r="A628" s="54" t="n"/>
      <c r="B628" s="61" t="n"/>
      <c r="C628" s="62" t="n"/>
      <c r="D628" s="57" t="n"/>
      <c r="E628" s="57" t="n"/>
      <c r="F628" s="58" t="n"/>
      <c r="G628" s="66">
        <f>IF(tblFleet[[#This Row],[Units]]="","",tblFleet[[#This Row],[Units]]*24)</f>
        <v/>
      </c>
      <c r="H628" s="66">
        <f>IF(tblFleet[[#This Row],[Units]]="","",tblFleet[[#This Row],[Calendar_h]]-tblFleet[[#This Row],[Down_h]])</f>
        <v/>
      </c>
      <c r="I628" s="60">
        <f>IF(AND(tblFleet[[#This Row],[Units]]&lt;&gt;"",tblFleet[[#This Row],[Calendar_h]]&gt;0),tblFleet[[#This Row],[Available_h]]/tblFleet[[#This Row],[Calendar_h]],"")</f>
        <v/>
      </c>
      <c r="J628" s="60">
        <f>IF(AND(tblFleet[[#This Row],[Units]]&lt;&gt;"",tblFleet[[#This Row],[Available_h]]&gt;0),tblFleet[[#This Row],[Operating_h]]/tblFleet[[#This Row],[Available_h]],"")</f>
        <v/>
      </c>
    </row>
    <row r="629">
      <c r="A629" s="54" t="n"/>
      <c r="B629" s="61" t="n"/>
      <c r="C629" s="62" t="n"/>
      <c r="D629" s="57" t="n"/>
      <c r="E629" s="57" t="n"/>
      <c r="F629" s="58" t="n"/>
      <c r="G629" s="66">
        <f>IF(tblFleet[[#This Row],[Units]]="","",tblFleet[[#This Row],[Units]]*24)</f>
        <v/>
      </c>
      <c r="H629" s="66">
        <f>IF(tblFleet[[#This Row],[Units]]="","",tblFleet[[#This Row],[Calendar_h]]-tblFleet[[#This Row],[Down_h]])</f>
        <v/>
      </c>
      <c r="I629" s="60">
        <f>IF(AND(tblFleet[[#This Row],[Units]]&lt;&gt;"",tblFleet[[#This Row],[Calendar_h]]&gt;0),tblFleet[[#This Row],[Available_h]]/tblFleet[[#This Row],[Calendar_h]],"")</f>
        <v/>
      </c>
      <c r="J629" s="60">
        <f>IF(AND(tblFleet[[#This Row],[Units]]&lt;&gt;"",tblFleet[[#This Row],[Available_h]]&gt;0),tblFleet[[#This Row],[Operating_h]]/tblFleet[[#This Row],[Available_h]],"")</f>
        <v/>
      </c>
    </row>
    <row r="630">
      <c r="A630" s="54" t="n"/>
      <c r="B630" s="61" t="n"/>
      <c r="C630" s="62" t="n"/>
      <c r="D630" s="57" t="n"/>
      <c r="E630" s="57" t="n"/>
      <c r="F630" s="58" t="n"/>
      <c r="G630" s="66">
        <f>IF(tblFleet[[#This Row],[Units]]="","",tblFleet[[#This Row],[Units]]*24)</f>
        <v/>
      </c>
      <c r="H630" s="66">
        <f>IF(tblFleet[[#This Row],[Units]]="","",tblFleet[[#This Row],[Calendar_h]]-tblFleet[[#This Row],[Down_h]])</f>
        <v/>
      </c>
      <c r="I630" s="60">
        <f>IF(AND(tblFleet[[#This Row],[Units]]&lt;&gt;"",tblFleet[[#This Row],[Calendar_h]]&gt;0),tblFleet[[#This Row],[Available_h]]/tblFleet[[#This Row],[Calendar_h]],"")</f>
        <v/>
      </c>
      <c r="J630" s="60">
        <f>IF(AND(tblFleet[[#This Row],[Units]]&lt;&gt;"",tblFleet[[#This Row],[Available_h]]&gt;0),tblFleet[[#This Row],[Operating_h]]/tblFleet[[#This Row],[Available_h]],"")</f>
        <v/>
      </c>
    </row>
    <row r="631">
      <c r="A631" s="54" t="n"/>
      <c r="B631" s="61" t="n"/>
      <c r="C631" s="62" t="n"/>
      <c r="D631" s="57" t="n"/>
      <c r="E631" s="57" t="n"/>
      <c r="F631" s="58" t="n"/>
      <c r="G631" s="66">
        <f>IF(tblFleet[[#This Row],[Units]]="","",tblFleet[[#This Row],[Units]]*24)</f>
        <v/>
      </c>
      <c r="H631" s="66">
        <f>IF(tblFleet[[#This Row],[Units]]="","",tblFleet[[#This Row],[Calendar_h]]-tblFleet[[#This Row],[Down_h]])</f>
        <v/>
      </c>
      <c r="I631" s="60">
        <f>IF(AND(tblFleet[[#This Row],[Units]]&lt;&gt;"",tblFleet[[#This Row],[Calendar_h]]&gt;0),tblFleet[[#This Row],[Available_h]]/tblFleet[[#This Row],[Calendar_h]],"")</f>
        <v/>
      </c>
      <c r="J631" s="60">
        <f>IF(AND(tblFleet[[#This Row],[Units]]&lt;&gt;"",tblFleet[[#This Row],[Available_h]]&gt;0),tblFleet[[#This Row],[Operating_h]]/tblFleet[[#This Row],[Available_h]],"")</f>
        <v/>
      </c>
    </row>
    <row r="632">
      <c r="A632" s="54" t="n"/>
      <c r="B632" s="61" t="n"/>
      <c r="C632" s="62" t="n"/>
      <c r="D632" s="57" t="n"/>
      <c r="E632" s="57" t="n"/>
      <c r="F632" s="58" t="n"/>
      <c r="G632" s="66">
        <f>IF(tblFleet[[#This Row],[Units]]="","",tblFleet[[#This Row],[Units]]*24)</f>
        <v/>
      </c>
      <c r="H632" s="66">
        <f>IF(tblFleet[[#This Row],[Units]]="","",tblFleet[[#This Row],[Calendar_h]]-tblFleet[[#This Row],[Down_h]])</f>
        <v/>
      </c>
      <c r="I632" s="60">
        <f>IF(AND(tblFleet[[#This Row],[Units]]&lt;&gt;"",tblFleet[[#This Row],[Calendar_h]]&gt;0),tblFleet[[#This Row],[Available_h]]/tblFleet[[#This Row],[Calendar_h]],"")</f>
        <v/>
      </c>
      <c r="J632" s="60">
        <f>IF(AND(tblFleet[[#This Row],[Units]]&lt;&gt;"",tblFleet[[#This Row],[Available_h]]&gt;0),tblFleet[[#This Row],[Operating_h]]/tblFleet[[#This Row],[Available_h]],"")</f>
        <v/>
      </c>
    </row>
    <row r="633">
      <c r="A633" s="54" t="n"/>
      <c r="B633" s="61" t="n"/>
      <c r="C633" s="62" t="n"/>
      <c r="D633" s="57" t="n"/>
      <c r="E633" s="57" t="n"/>
      <c r="F633" s="58" t="n"/>
      <c r="G633" s="66">
        <f>IF(tblFleet[[#This Row],[Units]]="","",tblFleet[[#This Row],[Units]]*24)</f>
        <v/>
      </c>
      <c r="H633" s="66">
        <f>IF(tblFleet[[#This Row],[Units]]="","",tblFleet[[#This Row],[Calendar_h]]-tblFleet[[#This Row],[Down_h]])</f>
        <v/>
      </c>
      <c r="I633" s="60">
        <f>IF(AND(tblFleet[[#This Row],[Units]]&lt;&gt;"",tblFleet[[#This Row],[Calendar_h]]&gt;0),tblFleet[[#This Row],[Available_h]]/tblFleet[[#This Row],[Calendar_h]],"")</f>
        <v/>
      </c>
      <c r="J633" s="60">
        <f>IF(AND(tblFleet[[#This Row],[Units]]&lt;&gt;"",tblFleet[[#This Row],[Available_h]]&gt;0),tblFleet[[#This Row],[Operating_h]]/tblFleet[[#This Row],[Available_h]],"")</f>
        <v/>
      </c>
    </row>
    <row r="634">
      <c r="A634" s="54" t="n"/>
      <c r="B634" s="61" t="n"/>
      <c r="C634" s="62" t="n"/>
      <c r="D634" s="57" t="n"/>
      <c r="E634" s="57" t="n"/>
      <c r="F634" s="58" t="n"/>
      <c r="G634" s="66">
        <f>IF(tblFleet[[#This Row],[Units]]="","",tblFleet[[#This Row],[Units]]*24)</f>
        <v/>
      </c>
      <c r="H634" s="66">
        <f>IF(tblFleet[[#This Row],[Units]]="","",tblFleet[[#This Row],[Calendar_h]]-tblFleet[[#This Row],[Down_h]])</f>
        <v/>
      </c>
      <c r="I634" s="60">
        <f>IF(AND(tblFleet[[#This Row],[Units]]&lt;&gt;"",tblFleet[[#This Row],[Calendar_h]]&gt;0),tblFleet[[#This Row],[Available_h]]/tblFleet[[#This Row],[Calendar_h]],"")</f>
        <v/>
      </c>
      <c r="J634" s="60">
        <f>IF(AND(tblFleet[[#This Row],[Units]]&lt;&gt;"",tblFleet[[#This Row],[Available_h]]&gt;0),tblFleet[[#This Row],[Operating_h]]/tblFleet[[#This Row],[Available_h]],"")</f>
        <v/>
      </c>
    </row>
    <row r="635">
      <c r="A635" s="54" t="n"/>
      <c r="B635" s="61" t="n"/>
      <c r="C635" s="62" t="n"/>
      <c r="D635" s="57" t="n"/>
      <c r="E635" s="57" t="n"/>
      <c r="F635" s="58" t="n"/>
      <c r="G635" s="66">
        <f>IF(tblFleet[[#This Row],[Units]]="","",tblFleet[[#This Row],[Units]]*24)</f>
        <v/>
      </c>
      <c r="H635" s="66">
        <f>IF(tblFleet[[#This Row],[Units]]="","",tblFleet[[#This Row],[Calendar_h]]-tblFleet[[#This Row],[Down_h]])</f>
        <v/>
      </c>
      <c r="I635" s="60">
        <f>IF(AND(tblFleet[[#This Row],[Units]]&lt;&gt;"",tblFleet[[#This Row],[Calendar_h]]&gt;0),tblFleet[[#This Row],[Available_h]]/tblFleet[[#This Row],[Calendar_h]],"")</f>
        <v/>
      </c>
      <c r="J635" s="60">
        <f>IF(AND(tblFleet[[#This Row],[Units]]&lt;&gt;"",tblFleet[[#This Row],[Available_h]]&gt;0),tblFleet[[#This Row],[Operating_h]]/tblFleet[[#This Row],[Available_h]],"")</f>
        <v/>
      </c>
    </row>
    <row r="636">
      <c r="A636" s="54" t="n"/>
      <c r="B636" s="61" t="n"/>
      <c r="C636" s="62" t="n"/>
      <c r="D636" s="57" t="n"/>
      <c r="E636" s="57" t="n"/>
      <c r="F636" s="58" t="n"/>
      <c r="G636" s="66">
        <f>IF(tblFleet[[#This Row],[Units]]="","",tblFleet[[#This Row],[Units]]*24)</f>
        <v/>
      </c>
      <c r="H636" s="66">
        <f>IF(tblFleet[[#This Row],[Units]]="","",tblFleet[[#This Row],[Calendar_h]]-tblFleet[[#This Row],[Down_h]])</f>
        <v/>
      </c>
      <c r="I636" s="60">
        <f>IF(AND(tblFleet[[#This Row],[Units]]&lt;&gt;"",tblFleet[[#This Row],[Calendar_h]]&gt;0),tblFleet[[#This Row],[Available_h]]/tblFleet[[#This Row],[Calendar_h]],"")</f>
        <v/>
      </c>
      <c r="J636" s="60">
        <f>IF(AND(tblFleet[[#This Row],[Units]]&lt;&gt;"",tblFleet[[#This Row],[Available_h]]&gt;0),tblFleet[[#This Row],[Operating_h]]/tblFleet[[#This Row],[Available_h]],"")</f>
        <v/>
      </c>
    </row>
    <row r="637">
      <c r="A637" s="54" t="n"/>
      <c r="B637" s="61" t="n"/>
      <c r="C637" s="62" t="n"/>
      <c r="D637" s="57" t="n"/>
      <c r="E637" s="57" t="n"/>
      <c r="F637" s="58" t="n"/>
      <c r="G637" s="66">
        <f>IF(tblFleet[[#This Row],[Units]]="","",tblFleet[[#This Row],[Units]]*24)</f>
        <v/>
      </c>
      <c r="H637" s="66">
        <f>IF(tblFleet[[#This Row],[Units]]="","",tblFleet[[#This Row],[Calendar_h]]-tblFleet[[#This Row],[Down_h]])</f>
        <v/>
      </c>
      <c r="I637" s="60">
        <f>IF(AND(tblFleet[[#This Row],[Units]]&lt;&gt;"",tblFleet[[#This Row],[Calendar_h]]&gt;0),tblFleet[[#This Row],[Available_h]]/tblFleet[[#This Row],[Calendar_h]],"")</f>
        <v/>
      </c>
      <c r="J637" s="60">
        <f>IF(AND(tblFleet[[#This Row],[Units]]&lt;&gt;"",tblFleet[[#This Row],[Available_h]]&gt;0),tblFleet[[#This Row],[Operating_h]]/tblFleet[[#This Row],[Available_h]],"")</f>
        <v/>
      </c>
    </row>
    <row r="638">
      <c r="A638" s="54" t="n"/>
      <c r="B638" s="61" t="n"/>
      <c r="C638" s="62" t="n"/>
      <c r="D638" s="57" t="n"/>
      <c r="E638" s="57" t="n"/>
      <c r="F638" s="58" t="n"/>
      <c r="G638" s="66">
        <f>IF(tblFleet[[#This Row],[Units]]="","",tblFleet[[#This Row],[Units]]*24)</f>
        <v/>
      </c>
      <c r="H638" s="66">
        <f>IF(tblFleet[[#This Row],[Units]]="","",tblFleet[[#This Row],[Calendar_h]]-tblFleet[[#This Row],[Down_h]])</f>
        <v/>
      </c>
      <c r="I638" s="60">
        <f>IF(AND(tblFleet[[#This Row],[Units]]&lt;&gt;"",tblFleet[[#This Row],[Calendar_h]]&gt;0),tblFleet[[#This Row],[Available_h]]/tblFleet[[#This Row],[Calendar_h]],"")</f>
        <v/>
      </c>
      <c r="J638" s="60">
        <f>IF(AND(tblFleet[[#This Row],[Units]]&lt;&gt;"",tblFleet[[#This Row],[Available_h]]&gt;0),tblFleet[[#This Row],[Operating_h]]/tblFleet[[#This Row],[Available_h]],"")</f>
        <v/>
      </c>
    </row>
    <row r="639">
      <c r="A639" s="54" t="n"/>
      <c r="B639" s="61" t="n"/>
      <c r="C639" s="62" t="n"/>
      <c r="D639" s="57" t="n"/>
      <c r="E639" s="57" t="n"/>
      <c r="F639" s="58" t="n"/>
      <c r="G639" s="66">
        <f>IF(tblFleet[[#This Row],[Units]]="","",tblFleet[[#This Row],[Units]]*24)</f>
        <v/>
      </c>
      <c r="H639" s="66">
        <f>IF(tblFleet[[#This Row],[Units]]="","",tblFleet[[#This Row],[Calendar_h]]-tblFleet[[#This Row],[Down_h]])</f>
        <v/>
      </c>
      <c r="I639" s="60">
        <f>IF(AND(tblFleet[[#This Row],[Units]]&lt;&gt;"",tblFleet[[#This Row],[Calendar_h]]&gt;0),tblFleet[[#This Row],[Available_h]]/tblFleet[[#This Row],[Calendar_h]],"")</f>
        <v/>
      </c>
      <c r="J639" s="60">
        <f>IF(AND(tblFleet[[#This Row],[Units]]&lt;&gt;"",tblFleet[[#This Row],[Available_h]]&gt;0),tblFleet[[#This Row],[Operating_h]]/tblFleet[[#This Row],[Available_h]],"")</f>
        <v/>
      </c>
    </row>
    <row r="640">
      <c r="A640" s="54" t="n"/>
      <c r="B640" s="61" t="n"/>
      <c r="C640" s="62" t="n"/>
      <c r="D640" s="57" t="n"/>
      <c r="E640" s="57" t="n"/>
      <c r="F640" s="58" t="n"/>
      <c r="G640" s="66">
        <f>IF(tblFleet[[#This Row],[Units]]="","",tblFleet[[#This Row],[Units]]*24)</f>
        <v/>
      </c>
      <c r="H640" s="66">
        <f>IF(tblFleet[[#This Row],[Units]]="","",tblFleet[[#This Row],[Calendar_h]]-tblFleet[[#This Row],[Down_h]])</f>
        <v/>
      </c>
      <c r="I640" s="60">
        <f>IF(AND(tblFleet[[#This Row],[Units]]&lt;&gt;"",tblFleet[[#This Row],[Calendar_h]]&gt;0),tblFleet[[#This Row],[Available_h]]/tblFleet[[#This Row],[Calendar_h]],"")</f>
        <v/>
      </c>
      <c r="J640" s="60">
        <f>IF(AND(tblFleet[[#This Row],[Units]]&lt;&gt;"",tblFleet[[#This Row],[Available_h]]&gt;0),tblFleet[[#This Row],[Operating_h]]/tblFleet[[#This Row],[Available_h]],"")</f>
        <v/>
      </c>
    </row>
    <row r="641">
      <c r="A641" s="54" t="n"/>
      <c r="B641" s="61" t="n"/>
      <c r="C641" s="62" t="n"/>
      <c r="D641" s="57" t="n"/>
      <c r="E641" s="57" t="n"/>
      <c r="F641" s="58" t="n"/>
      <c r="G641" s="66">
        <f>IF(tblFleet[[#This Row],[Units]]="","",tblFleet[[#This Row],[Units]]*24)</f>
        <v/>
      </c>
      <c r="H641" s="66">
        <f>IF(tblFleet[[#This Row],[Units]]="","",tblFleet[[#This Row],[Calendar_h]]-tblFleet[[#This Row],[Down_h]])</f>
        <v/>
      </c>
      <c r="I641" s="60">
        <f>IF(AND(tblFleet[[#This Row],[Units]]&lt;&gt;"",tblFleet[[#This Row],[Calendar_h]]&gt;0),tblFleet[[#This Row],[Available_h]]/tblFleet[[#This Row],[Calendar_h]],"")</f>
        <v/>
      </c>
      <c r="J641" s="60">
        <f>IF(AND(tblFleet[[#This Row],[Units]]&lt;&gt;"",tblFleet[[#This Row],[Available_h]]&gt;0),tblFleet[[#This Row],[Operating_h]]/tblFleet[[#This Row],[Available_h]],"")</f>
        <v/>
      </c>
    </row>
    <row r="642">
      <c r="A642" s="54" t="n"/>
      <c r="B642" s="61" t="n"/>
      <c r="C642" s="62" t="n"/>
      <c r="D642" s="57" t="n"/>
      <c r="E642" s="57" t="n"/>
      <c r="F642" s="58" t="n"/>
      <c r="G642" s="66">
        <f>IF(tblFleet[[#This Row],[Units]]="","",tblFleet[[#This Row],[Units]]*24)</f>
        <v/>
      </c>
      <c r="H642" s="66">
        <f>IF(tblFleet[[#This Row],[Units]]="","",tblFleet[[#This Row],[Calendar_h]]-tblFleet[[#This Row],[Down_h]])</f>
        <v/>
      </c>
      <c r="I642" s="60">
        <f>IF(AND(tblFleet[[#This Row],[Units]]&lt;&gt;"",tblFleet[[#This Row],[Calendar_h]]&gt;0),tblFleet[[#This Row],[Available_h]]/tblFleet[[#This Row],[Calendar_h]],"")</f>
        <v/>
      </c>
      <c r="J642" s="60">
        <f>IF(AND(tblFleet[[#This Row],[Units]]&lt;&gt;"",tblFleet[[#This Row],[Available_h]]&gt;0),tblFleet[[#This Row],[Operating_h]]/tblFleet[[#This Row],[Available_h]],"")</f>
        <v/>
      </c>
    </row>
    <row r="643">
      <c r="A643" s="54" t="n"/>
      <c r="B643" s="61" t="n"/>
      <c r="C643" s="62" t="n"/>
      <c r="D643" s="57" t="n"/>
      <c r="E643" s="57" t="n"/>
      <c r="F643" s="58" t="n"/>
      <c r="G643" s="66">
        <f>IF(tblFleet[[#This Row],[Units]]="","",tblFleet[[#This Row],[Units]]*24)</f>
        <v/>
      </c>
      <c r="H643" s="66">
        <f>IF(tblFleet[[#This Row],[Units]]="","",tblFleet[[#This Row],[Calendar_h]]-tblFleet[[#This Row],[Down_h]])</f>
        <v/>
      </c>
      <c r="I643" s="60">
        <f>IF(AND(tblFleet[[#This Row],[Units]]&lt;&gt;"",tblFleet[[#This Row],[Calendar_h]]&gt;0),tblFleet[[#This Row],[Available_h]]/tblFleet[[#This Row],[Calendar_h]],"")</f>
        <v/>
      </c>
      <c r="J643" s="60">
        <f>IF(AND(tblFleet[[#This Row],[Units]]&lt;&gt;"",tblFleet[[#This Row],[Available_h]]&gt;0),tblFleet[[#This Row],[Operating_h]]/tblFleet[[#This Row],[Available_h]],"")</f>
        <v/>
      </c>
    </row>
    <row r="644">
      <c r="A644" s="54" t="n"/>
      <c r="B644" s="61" t="n"/>
      <c r="C644" s="62" t="n"/>
      <c r="D644" s="57" t="n"/>
      <c r="E644" s="57" t="n"/>
      <c r="F644" s="58" t="n"/>
      <c r="G644" s="66">
        <f>IF(tblFleet[[#This Row],[Units]]="","",tblFleet[[#This Row],[Units]]*24)</f>
        <v/>
      </c>
      <c r="H644" s="66">
        <f>IF(tblFleet[[#This Row],[Units]]="","",tblFleet[[#This Row],[Calendar_h]]-tblFleet[[#This Row],[Down_h]])</f>
        <v/>
      </c>
      <c r="I644" s="60">
        <f>IF(AND(tblFleet[[#This Row],[Units]]&lt;&gt;"",tblFleet[[#This Row],[Calendar_h]]&gt;0),tblFleet[[#This Row],[Available_h]]/tblFleet[[#This Row],[Calendar_h]],"")</f>
        <v/>
      </c>
      <c r="J644" s="60">
        <f>IF(AND(tblFleet[[#This Row],[Units]]&lt;&gt;"",tblFleet[[#This Row],[Available_h]]&gt;0),tblFleet[[#This Row],[Operating_h]]/tblFleet[[#This Row],[Available_h]],"")</f>
        <v/>
      </c>
    </row>
    <row r="645">
      <c r="A645" s="54" t="n"/>
      <c r="B645" s="61" t="n"/>
      <c r="C645" s="62" t="n"/>
      <c r="D645" s="57" t="n"/>
      <c r="E645" s="57" t="n"/>
      <c r="F645" s="58" t="n"/>
      <c r="G645" s="66">
        <f>IF(tblFleet[[#This Row],[Units]]="","",tblFleet[[#This Row],[Units]]*24)</f>
        <v/>
      </c>
      <c r="H645" s="66">
        <f>IF(tblFleet[[#This Row],[Units]]="","",tblFleet[[#This Row],[Calendar_h]]-tblFleet[[#This Row],[Down_h]])</f>
        <v/>
      </c>
      <c r="I645" s="60">
        <f>IF(AND(tblFleet[[#This Row],[Units]]&lt;&gt;"",tblFleet[[#This Row],[Calendar_h]]&gt;0),tblFleet[[#This Row],[Available_h]]/tblFleet[[#This Row],[Calendar_h]],"")</f>
        <v/>
      </c>
      <c r="J645" s="60">
        <f>IF(AND(tblFleet[[#This Row],[Units]]&lt;&gt;"",tblFleet[[#This Row],[Available_h]]&gt;0),tblFleet[[#This Row],[Operating_h]]/tblFleet[[#This Row],[Available_h]],"")</f>
        <v/>
      </c>
    </row>
    <row r="646">
      <c r="A646" s="54" t="n"/>
      <c r="B646" s="61" t="n"/>
      <c r="C646" s="62" t="n"/>
      <c r="D646" s="57" t="n"/>
      <c r="E646" s="57" t="n"/>
      <c r="F646" s="58" t="n"/>
      <c r="G646" s="66">
        <f>IF(tblFleet[[#This Row],[Units]]="","",tblFleet[[#This Row],[Units]]*24)</f>
        <v/>
      </c>
      <c r="H646" s="66">
        <f>IF(tblFleet[[#This Row],[Units]]="","",tblFleet[[#This Row],[Calendar_h]]-tblFleet[[#This Row],[Down_h]])</f>
        <v/>
      </c>
      <c r="I646" s="60">
        <f>IF(AND(tblFleet[[#This Row],[Units]]&lt;&gt;"",tblFleet[[#This Row],[Calendar_h]]&gt;0),tblFleet[[#This Row],[Available_h]]/tblFleet[[#This Row],[Calendar_h]],"")</f>
        <v/>
      </c>
      <c r="J646" s="60">
        <f>IF(AND(tblFleet[[#This Row],[Units]]&lt;&gt;"",tblFleet[[#This Row],[Available_h]]&gt;0),tblFleet[[#This Row],[Operating_h]]/tblFleet[[#This Row],[Available_h]],"")</f>
        <v/>
      </c>
    </row>
    <row r="647">
      <c r="A647" s="54" t="n"/>
      <c r="B647" s="61" t="n"/>
      <c r="C647" s="62" t="n"/>
      <c r="D647" s="57" t="n"/>
      <c r="E647" s="57" t="n"/>
      <c r="F647" s="58" t="n"/>
      <c r="G647" s="66">
        <f>IF(tblFleet[[#This Row],[Units]]="","",tblFleet[[#This Row],[Units]]*24)</f>
        <v/>
      </c>
      <c r="H647" s="66">
        <f>IF(tblFleet[[#This Row],[Units]]="","",tblFleet[[#This Row],[Calendar_h]]-tblFleet[[#This Row],[Down_h]])</f>
        <v/>
      </c>
      <c r="I647" s="60">
        <f>IF(AND(tblFleet[[#This Row],[Units]]&lt;&gt;"",tblFleet[[#This Row],[Calendar_h]]&gt;0),tblFleet[[#This Row],[Available_h]]/tblFleet[[#This Row],[Calendar_h]],"")</f>
        <v/>
      </c>
      <c r="J647" s="60">
        <f>IF(AND(tblFleet[[#This Row],[Units]]&lt;&gt;"",tblFleet[[#This Row],[Available_h]]&gt;0),tblFleet[[#This Row],[Operating_h]]/tblFleet[[#This Row],[Available_h]],"")</f>
        <v/>
      </c>
    </row>
    <row r="648">
      <c r="A648" s="54" t="n"/>
      <c r="B648" s="61" t="n"/>
      <c r="C648" s="62" t="n"/>
      <c r="D648" s="57" t="n"/>
      <c r="E648" s="57" t="n"/>
      <c r="F648" s="58" t="n"/>
      <c r="G648" s="66">
        <f>IF(tblFleet[[#This Row],[Units]]="","",tblFleet[[#This Row],[Units]]*24)</f>
        <v/>
      </c>
      <c r="H648" s="66">
        <f>IF(tblFleet[[#This Row],[Units]]="","",tblFleet[[#This Row],[Calendar_h]]-tblFleet[[#This Row],[Down_h]])</f>
        <v/>
      </c>
      <c r="I648" s="60">
        <f>IF(AND(tblFleet[[#This Row],[Units]]&lt;&gt;"",tblFleet[[#This Row],[Calendar_h]]&gt;0),tblFleet[[#This Row],[Available_h]]/tblFleet[[#This Row],[Calendar_h]],"")</f>
        <v/>
      </c>
      <c r="J648" s="60">
        <f>IF(AND(tblFleet[[#This Row],[Units]]&lt;&gt;"",tblFleet[[#This Row],[Available_h]]&gt;0),tblFleet[[#This Row],[Operating_h]]/tblFleet[[#This Row],[Available_h]],"")</f>
        <v/>
      </c>
    </row>
    <row r="649">
      <c r="A649" s="54" t="n"/>
      <c r="B649" s="61" t="n"/>
      <c r="C649" s="62" t="n"/>
      <c r="D649" s="57" t="n"/>
      <c r="E649" s="57" t="n"/>
      <c r="F649" s="58" t="n"/>
      <c r="G649" s="66">
        <f>IF(tblFleet[[#This Row],[Units]]="","",tblFleet[[#This Row],[Units]]*24)</f>
        <v/>
      </c>
      <c r="H649" s="66">
        <f>IF(tblFleet[[#This Row],[Units]]="","",tblFleet[[#This Row],[Calendar_h]]-tblFleet[[#This Row],[Down_h]])</f>
        <v/>
      </c>
      <c r="I649" s="60">
        <f>IF(AND(tblFleet[[#This Row],[Units]]&lt;&gt;"",tblFleet[[#This Row],[Calendar_h]]&gt;0),tblFleet[[#This Row],[Available_h]]/tblFleet[[#This Row],[Calendar_h]],"")</f>
        <v/>
      </c>
      <c r="J649" s="60">
        <f>IF(AND(tblFleet[[#This Row],[Units]]&lt;&gt;"",tblFleet[[#This Row],[Available_h]]&gt;0),tblFleet[[#This Row],[Operating_h]]/tblFleet[[#This Row],[Available_h]],"")</f>
        <v/>
      </c>
    </row>
    <row r="650">
      <c r="A650" s="54" t="n"/>
      <c r="B650" s="61" t="n"/>
      <c r="C650" s="62" t="n"/>
      <c r="D650" s="57" t="n"/>
      <c r="E650" s="57" t="n"/>
      <c r="F650" s="58" t="n"/>
      <c r="G650" s="66">
        <f>IF(tblFleet[[#This Row],[Units]]="","",tblFleet[[#This Row],[Units]]*24)</f>
        <v/>
      </c>
      <c r="H650" s="66">
        <f>IF(tblFleet[[#This Row],[Units]]="","",tblFleet[[#This Row],[Calendar_h]]-tblFleet[[#This Row],[Down_h]])</f>
        <v/>
      </c>
      <c r="I650" s="60">
        <f>IF(AND(tblFleet[[#This Row],[Units]]&lt;&gt;"",tblFleet[[#This Row],[Calendar_h]]&gt;0),tblFleet[[#This Row],[Available_h]]/tblFleet[[#This Row],[Calendar_h]],"")</f>
        <v/>
      </c>
      <c r="J650" s="60">
        <f>IF(AND(tblFleet[[#This Row],[Units]]&lt;&gt;"",tblFleet[[#This Row],[Available_h]]&gt;0),tblFleet[[#This Row],[Operating_h]]/tblFleet[[#This Row],[Available_h]],"")</f>
        <v/>
      </c>
    </row>
    <row r="651">
      <c r="A651" s="54" t="n"/>
      <c r="B651" s="61" t="n"/>
      <c r="C651" s="62" t="n"/>
      <c r="D651" s="57" t="n"/>
      <c r="E651" s="57" t="n"/>
      <c r="F651" s="58" t="n"/>
      <c r="G651" s="66">
        <f>IF(tblFleet[[#This Row],[Units]]="","",tblFleet[[#This Row],[Units]]*24)</f>
        <v/>
      </c>
      <c r="H651" s="66">
        <f>IF(tblFleet[[#This Row],[Units]]="","",tblFleet[[#This Row],[Calendar_h]]-tblFleet[[#This Row],[Down_h]])</f>
        <v/>
      </c>
      <c r="I651" s="60">
        <f>IF(AND(tblFleet[[#This Row],[Units]]&lt;&gt;"",tblFleet[[#This Row],[Calendar_h]]&gt;0),tblFleet[[#This Row],[Available_h]]/tblFleet[[#This Row],[Calendar_h]],"")</f>
        <v/>
      </c>
      <c r="J651" s="60">
        <f>IF(AND(tblFleet[[#This Row],[Units]]&lt;&gt;"",tblFleet[[#This Row],[Available_h]]&gt;0),tblFleet[[#This Row],[Operating_h]]/tblFleet[[#This Row],[Available_h]],"")</f>
        <v/>
      </c>
    </row>
    <row r="652">
      <c r="A652" s="54" t="n"/>
      <c r="B652" s="61" t="n"/>
      <c r="C652" s="62" t="n"/>
      <c r="D652" s="57" t="n"/>
      <c r="E652" s="57" t="n"/>
      <c r="F652" s="58" t="n"/>
      <c r="G652" s="66">
        <f>IF(tblFleet[[#This Row],[Units]]="","",tblFleet[[#This Row],[Units]]*24)</f>
        <v/>
      </c>
      <c r="H652" s="66">
        <f>IF(tblFleet[[#This Row],[Units]]="","",tblFleet[[#This Row],[Calendar_h]]-tblFleet[[#This Row],[Down_h]])</f>
        <v/>
      </c>
      <c r="I652" s="60">
        <f>IF(AND(tblFleet[[#This Row],[Units]]&lt;&gt;"",tblFleet[[#This Row],[Calendar_h]]&gt;0),tblFleet[[#This Row],[Available_h]]/tblFleet[[#This Row],[Calendar_h]],"")</f>
        <v/>
      </c>
      <c r="J652" s="60">
        <f>IF(AND(tblFleet[[#This Row],[Units]]&lt;&gt;"",tblFleet[[#This Row],[Available_h]]&gt;0),tblFleet[[#This Row],[Operating_h]]/tblFleet[[#This Row],[Available_h]],"")</f>
        <v/>
      </c>
    </row>
    <row r="653">
      <c r="A653" s="54" t="n"/>
      <c r="B653" s="61" t="n"/>
      <c r="C653" s="62" t="n"/>
      <c r="D653" s="57" t="n"/>
      <c r="E653" s="57" t="n"/>
      <c r="F653" s="58" t="n"/>
      <c r="G653" s="66">
        <f>IF(tblFleet[[#This Row],[Units]]="","",tblFleet[[#This Row],[Units]]*24)</f>
        <v/>
      </c>
      <c r="H653" s="66">
        <f>IF(tblFleet[[#This Row],[Units]]="","",tblFleet[[#This Row],[Calendar_h]]-tblFleet[[#This Row],[Down_h]])</f>
        <v/>
      </c>
      <c r="I653" s="60">
        <f>IF(AND(tblFleet[[#This Row],[Units]]&lt;&gt;"",tblFleet[[#This Row],[Calendar_h]]&gt;0),tblFleet[[#This Row],[Available_h]]/tblFleet[[#This Row],[Calendar_h]],"")</f>
        <v/>
      </c>
      <c r="J653" s="60">
        <f>IF(AND(tblFleet[[#This Row],[Units]]&lt;&gt;"",tblFleet[[#This Row],[Available_h]]&gt;0),tblFleet[[#This Row],[Operating_h]]/tblFleet[[#This Row],[Available_h]],"")</f>
        <v/>
      </c>
    </row>
    <row r="654">
      <c r="A654" s="54" t="n"/>
      <c r="B654" s="61" t="n"/>
      <c r="C654" s="62" t="n"/>
      <c r="D654" s="57" t="n"/>
      <c r="E654" s="57" t="n"/>
      <c r="F654" s="58" t="n"/>
      <c r="G654" s="66">
        <f>IF(tblFleet[[#This Row],[Units]]="","",tblFleet[[#This Row],[Units]]*24)</f>
        <v/>
      </c>
      <c r="H654" s="66">
        <f>IF(tblFleet[[#This Row],[Units]]="","",tblFleet[[#This Row],[Calendar_h]]-tblFleet[[#This Row],[Down_h]])</f>
        <v/>
      </c>
      <c r="I654" s="60">
        <f>IF(AND(tblFleet[[#This Row],[Units]]&lt;&gt;"",tblFleet[[#This Row],[Calendar_h]]&gt;0),tblFleet[[#This Row],[Available_h]]/tblFleet[[#This Row],[Calendar_h]],"")</f>
        <v/>
      </c>
      <c r="J654" s="60">
        <f>IF(AND(tblFleet[[#This Row],[Units]]&lt;&gt;"",tblFleet[[#This Row],[Available_h]]&gt;0),tblFleet[[#This Row],[Operating_h]]/tblFleet[[#This Row],[Available_h]],"")</f>
        <v/>
      </c>
    </row>
    <row r="655">
      <c r="A655" s="54" t="n"/>
      <c r="B655" s="61" t="n"/>
      <c r="C655" s="62" t="n"/>
      <c r="D655" s="57" t="n"/>
      <c r="E655" s="57" t="n"/>
      <c r="F655" s="58" t="n"/>
      <c r="G655" s="66">
        <f>IF(tblFleet[[#This Row],[Units]]="","",tblFleet[[#This Row],[Units]]*24)</f>
        <v/>
      </c>
      <c r="H655" s="66">
        <f>IF(tblFleet[[#This Row],[Units]]="","",tblFleet[[#This Row],[Calendar_h]]-tblFleet[[#This Row],[Down_h]])</f>
        <v/>
      </c>
      <c r="I655" s="60">
        <f>IF(AND(tblFleet[[#This Row],[Units]]&lt;&gt;"",tblFleet[[#This Row],[Calendar_h]]&gt;0),tblFleet[[#This Row],[Available_h]]/tblFleet[[#This Row],[Calendar_h]],"")</f>
        <v/>
      </c>
      <c r="J655" s="60">
        <f>IF(AND(tblFleet[[#This Row],[Units]]&lt;&gt;"",tblFleet[[#This Row],[Available_h]]&gt;0),tblFleet[[#This Row],[Operating_h]]/tblFleet[[#This Row],[Available_h]],"")</f>
        <v/>
      </c>
    </row>
    <row r="656">
      <c r="A656" s="54" t="n"/>
      <c r="B656" s="61" t="n"/>
      <c r="C656" s="62" t="n"/>
      <c r="D656" s="57" t="n"/>
      <c r="E656" s="57" t="n"/>
      <c r="F656" s="58" t="n"/>
      <c r="G656" s="66">
        <f>IF(tblFleet[[#This Row],[Units]]="","",tblFleet[[#This Row],[Units]]*24)</f>
        <v/>
      </c>
      <c r="H656" s="66">
        <f>IF(tblFleet[[#This Row],[Units]]="","",tblFleet[[#This Row],[Calendar_h]]-tblFleet[[#This Row],[Down_h]])</f>
        <v/>
      </c>
      <c r="I656" s="60">
        <f>IF(AND(tblFleet[[#This Row],[Units]]&lt;&gt;"",tblFleet[[#This Row],[Calendar_h]]&gt;0),tblFleet[[#This Row],[Available_h]]/tblFleet[[#This Row],[Calendar_h]],"")</f>
        <v/>
      </c>
      <c r="J656" s="60">
        <f>IF(AND(tblFleet[[#This Row],[Units]]&lt;&gt;"",tblFleet[[#This Row],[Available_h]]&gt;0),tblFleet[[#This Row],[Operating_h]]/tblFleet[[#This Row],[Available_h]],"")</f>
        <v/>
      </c>
    </row>
    <row r="657">
      <c r="A657" s="54" t="n"/>
      <c r="B657" s="61" t="n"/>
      <c r="C657" s="62" t="n"/>
      <c r="D657" s="57" t="n"/>
      <c r="E657" s="57" t="n"/>
      <c r="F657" s="58" t="n"/>
      <c r="G657" s="66">
        <f>IF(tblFleet[[#This Row],[Units]]="","",tblFleet[[#This Row],[Units]]*24)</f>
        <v/>
      </c>
      <c r="H657" s="66">
        <f>IF(tblFleet[[#This Row],[Units]]="","",tblFleet[[#This Row],[Calendar_h]]-tblFleet[[#This Row],[Down_h]])</f>
        <v/>
      </c>
      <c r="I657" s="60">
        <f>IF(AND(tblFleet[[#This Row],[Units]]&lt;&gt;"",tblFleet[[#This Row],[Calendar_h]]&gt;0),tblFleet[[#This Row],[Available_h]]/tblFleet[[#This Row],[Calendar_h]],"")</f>
        <v/>
      </c>
      <c r="J657" s="60">
        <f>IF(AND(tblFleet[[#This Row],[Units]]&lt;&gt;"",tblFleet[[#This Row],[Available_h]]&gt;0),tblFleet[[#This Row],[Operating_h]]/tblFleet[[#This Row],[Available_h]],"")</f>
        <v/>
      </c>
    </row>
    <row r="658">
      <c r="A658" s="54" t="n"/>
      <c r="B658" s="61" t="n"/>
      <c r="C658" s="62" t="n"/>
      <c r="D658" s="57" t="n"/>
      <c r="E658" s="57" t="n"/>
      <c r="F658" s="58" t="n"/>
      <c r="G658" s="66">
        <f>IF(tblFleet[[#This Row],[Units]]="","",tblFleet[[#This Row],[Units]]*24)</f>
        <v/>
      </c>
      <c r="H658" s="66">
        <f>IF(tblFleet[[#This Row],[Units]]="","",tblFleet[[#This Row],[Calendar_h]]-tblFleet[[#This Row],[Down_h]])</f>
        <v/>
      </c>
      <c r="I658" s="60">
        <f>IF(AND(tblFleet[[#This Row],[Units]]&lt;&gt;"",tblFleet[[#This Row],[Calendar_h]]&gt;0),tblFleet[[#This Row],[Available_h]]/tblFleet[[#This Row],[Calendar_h]],"")</f>
        <v/>
      </c>
      <c r="J658" s="60">
        <f>IF(AND(tblFleet[[#This Row],[Units]]&lt;&gt;"",tblFleet[[#This Row],[Available_h]]&gt;0),tblFleet[[#This Row],[Operating_h]]/tblFleet[[#This Row],[Available_h]],"")</f>
        <v/>
      </c>
    </row>
    <row r="659">
      <c r="A659" s="54" t="n"/>
      <c r="B659" s="61" t="n"/>
      <c r="C659" s="62" t="n"/>
      <c r="D659" s="57" t="n"/>
      <c r="E659" s="57" t="n"/>
      <c r="F659" s="58" t="n"/>
      <c r="G659" s="66">
        <f>IF(tblFleet[[#This Row],[Units]]="","",tblFleet[[#This Row],[Units]]*24)</f>
        <v/>
      </c>
      <c r="H659" s="66">
        <f>IF(tblFleet[[#This Row],[Units]]="","",tblFleet[[#This Row],[Calendar_h]]-tblFleet[[#This Row],[Down_h]])</f>
        <v/>
      </c>
      <c r="I659" s="60">
        <f>IF(AND(tblFleet[[#This Row],[Units]]&lt;&gt;"",tblFleet[[#This Row],[Calendar_h]]&gt;0),tblFleet[[#This Row],[Available_h]]/tblFleet[[#This Row],[Calendar_h]],"")</f>
        <v/>
      </c>
      <c r="J659" s="60">
        <f>IF(AND(tblFleet[[#This Row],[Units]]&lt;&gt;"",tblFleet[[#This Row],[Available_h]]&gt;0),tblFleet[[#This Row],[Operating_h]]/tblFleet[[#This Row],[Available_h]],"")</f>
        <v/>
      </c>
    </row>
    <row r="660">
      <c r="A660" s="54" t="n"/>
      <c r="B660" s="61" t="n"/>
      <c r="C660" s="62" t="n"/>
      <c r="D660" s="57" t="n"/>
      <c r="E660" s="57" t="n"/>
      <c r="F660" s="58" t="n"/>
      <c r="G660" s="66">
        <f>IF(tblFleet[[#This Row],[Units]]="","",tblFleet[[#This Row],[Units]]*24)</f>
        <v/>
      </c>
      <c r="H660" s="66">
        <f>IF(tblFleet[[#This Row],[Units]]="","",tblFleet[[#This Row],[Calendar_h]]-tblFleet[[#This Row],[Down_h]])</f>
        <v/>
      </c>
      <c r="I660" s="60">
        <f>IF(AND(tblFleet[[#This Row],[Units]]&lt;&gt;"",tblFleet[[#This Row],[Calendar_h]]&gt;0),tblFleet[[#This Row],[Available_h]]/tblFleet[[#This Row],[Calendar_h]],"")</f>
        <v/>
      </c>
      <c r="J660" s="60">
        <f>IF(AND(tblFleet[[#This Row],[Units]]&lt;&gt;"",tblFleet[[#This Row],[Available_h]]&gt;0),tblFleet[[#This Row],[Operating_h]]/tblFleet[[#This Row],[Available_h]],"")</f>
        <v/>
      </c>
    </row>
    <row r="661">
      <c r="A661" s="54" t="n"/>
      <c r="B661" s="61" t="n"/>
      <c r="C661" s="62" t="n"/>
      <c r="D661" s="57" t="n"/>
      <c r="E661" s="57" t="n"/>
      <c r="F661" s="58" t="n"/>
      <c r="G661" s="66">
        <f>IF(tblFleet[[#This Row],[Units]]="","",tblFleet[[#This Row],[Units]]*24)</f>
        <v/>
      </c>
      <c r="H661" s="66">
        <f>IF(tblFleet[[#This Row],[Units]]="","",tblFleet[[#This Row],[Calendar_h]]-tblFleet[[#This Row],[Down_h]])</f>
        <v/>
      </c>
      <c r="I661" s="60">
        <f>IF(AND(tblFleet[[#This Row],[Units]]&lt;&gt;"",tblFleet[[#This Row],[Calendar_h]]&gt;0),tblFleet[[#This Row],[Available_h]]/tblFleet[[#This Row],[Calendar_h]],"")</f>
        <v/>
      </c>
      <c r="J661" s="60">
        <f>IF(AND(tblFleet[[#This Row],[Units]]&lt;&gt;"",tblFleet[[#This Row],[Available_h]]&gt;0),tblFleet[[#This Row],[Operating_h]]/tblFleet[[#This Row],[Available_h]],"")</f>
        <v/>
      </c>
    </row>
    <row r="662">
      <c r="A662" s="54" t="n"/>
      <c r="B662" s="61" t="n"/>
      <c r="C662" s="62" t="n"/>
      <c r="D662" s="57" t="n"/>
      <c r="E662" s="57" t="n"/>
      <c r="F662" s="58" t="n"/>
      <c r="G662" s="66">
        <f>IF(tblFleet[[#This Row],[Units]]="","",tblFleet[[#This Row],[Units]]*24)</f>
        <v/>
      </c>
      <c r="H662" s="66">
        <f>IF(tblFleet[[#This Row],[Units]]="","",tblFleet[[#This Row],[Calendar_h]]-tblFleet[[#This Row],[Down_h]])</f>
        <v/>
      </c>
      <c r="I662" s="60">
        <f>IF(AND(tblFleet[[#This Row],[Units]]&lt;&gt;"",tblFleet[[#This Row],[Calendar_h]]&gt;0),tblFleet[[#This Row],[Available_h]]/tblFleet[[#This Row],[Calendar_h]],"")</f>
        <v/>
      </c>
      <c r="J662" s="60">
        <f>IF(AND(tblFleet[[#This Row],[Units]]&lt;&gt;"",tblFleet[[#This Row],[Available_h]]&gt;0),tblFleet[[#This Row],[Operating_h]]/tblFleet[[#This Row],[Available_h]],"")</f>
        <v/>
      </c>
    </row>
    <row r="663">
      <c r="A663" s="54" t="n"/>
      <c r="B663" s="61" t="n"/>
      <c r="C663" s="62" t="n"/>
      <c r="D663" s="57" t="n"/>
      <c r="E663" s="57" t="n"/>
      <c r="F663" s="58" t="n"/>
      <c r="G663" s="66">
        <f>IF(tblFleet[[#This Row],[Units]]="","",tblFleet[[#This Row],[Units]]*24)</f>
        <v/>
      </c>
      <c r="H663" s="66">
        <f>IF(tblFleet[[#This Row],[Units]]="","",tblFleet[[#This Row],[Calendar_h]]-tblFleet[[#This Row],[Down_h]])</f>
        <v/>
      </c>
      <c r="I663" s="60">
        <f>IF(AND(tblFleet[[#This Row],[Units]]&lt;&gt;"",tblFleet[[#This Row],[Calendar_h]]&gt;0),tblFleet[[#This Row],[Available_h]]/tblFleet[[#This Row],[Calendar_h]],"")</f>
        <v/>
      </c>
      <c r="J663" s="60">
        <f>IF(AND(tblFleet[[#This Row],[Units]]&lt;&gt;"",tblFleet[[#This Row],[Available_h]]&gt;0),tblFleet[[#This Row],[Operating_h]]/tblFleet[[#This Row],[Available_h]],"")</f>
        <v/>
      </c>
    </row>
    <row r="664">
      <c r="A664" s="54" t="n"/>
      <c r="B664" s="61" t="n"/>
      <c r="C664" s="62" t="n"/>
      <c r="D664" s="57" t="n"/>
      <c r="E664" s="57" t="n"/>
      <c r="F664" s="58" t="n"/>
      <c r="G664" s="66">
        <f>IF(tblFleet[[#This Row],[Units]]="","",tblFleet[[#This Row],[Units]]*24)</f>
        <v/>
      </c>
      <c r="H664" s="66">
        <f>IF(tblFleet[[#This Row],[Units]]="","",tblFleet[[#This Row],[Calendar_h]]-tblFleet[[#This Row],[Down_h]])</f>
        <v/>
      </c>
      <c r="I664" s="60">
        <f>IF(AND(tblFleet[[#This Row],[Units]]&lt;&gt;"",tblFleet[[#This Row],[Calendar_h]]&gt;0),tblFleet[[#This Row],[Available_h]]/tblFleet[[#This Row],[Calendar_h]],"")</f>
        <v/>
      </c>
      <c r="J664" s="60">
        <f>IF(AND(tblFleet[[#This Row],[Units]]&lt;&gt;"",tblFleet[[#This Row],[Available_h]]&gt;0),tblFleet[[#This Row],[Operating_h]]/tblFleet[[#This Row],[Available_h]],"")</f>
        <v/>
      </c>
    </row>
    <row r="665">
      <c r="A665" s="54" t="n"/>
      <c r="B665" s="61" t="n"/>
      <c r="C665" s="62" t="n"/>
      <c r="D665" s="57" t="n"/>
      <c r="E665" s="57" t="n"/>
      <c r="F665" s="58" t="n"/>
      <c r="G665" s="66">
        <f>IF(tblFleet[[#This Row],[Units]]="","",tblFleet[[#This Row],[Units]]*24)</f>
        <v/>
      </c>
      <c r="H665" s="66">
        <f>IF(tblFleet[[#This Row],[Units]]="","",tblFleet[[#This Row],[Calendar_h]]-tblFleet[[#This Row],[Down_h]])</f>
        <v/>
      </c>
      <c r="I665" s="60">
        <f>IF(AND(tblFleet[[#This Row],[Units]]&lt;&gt;"",tblFleet[[#This Row],[Calendar_h]]&gt;0),tblFleet[[#This Row],[Available_h]]/tblFleet[[#This Row],[Calendar_h]],"")</f>
        <v/>
      </c>
      <c r="J665" s="60">
        <f>IF(AND(tblFleet[[#This Row],[Units]]&lt;&gt;"",tblFleet[[#This Row],[Available_h]]&gt;0),tblFleet[[#This Row],[Operating_h]]/tblFleet[[#This Row],[Available_h]],"")</f>
        <v/>
      </c>
    </row>
    <row r="666">
      <c r="A666" s="54" t="n"/>
      <c r="B666" s="61" t="n"/>
      <c r="C666" s="62" t="n"/>
      <c r="D666" s="57" t="n"/>
      <c r="E666" s="57" t="n"/>
      <c r="F666" s="58" t="n"/>
      <c r="G666" s="66">
        <f>IF(tblFleet[[#This Row],[Units]]="","",tblFleet[[#This Row],[Units]]*24)</f>
        <v/>
      </c>
      <c r="H666" s="66">
        <f>IF(tblFleet[[#This Row],[Units]]="","",tblFleet[[#This Row],[Calendar_h]]-tblFleet[[#This Row],[Down_h]])</f>
        <v/>
      </c>
      <c r="I666" s="60">
        <f>IF(AND(tblFleet[[#This Row],[Units]]&lt;&gt;"",tblFleet[[#This Row],[Calendar_h]]&gt;0),tblFleet[[#This Row],[Available_h]]/tblFleet[[#This Row],[Calendar_h]],"")</f>
        <v/>
      </c>
      <c r="J666" s="60">
        <f>IF(AND(tblFleet[[#This Row],[Units]]&lt;&gt;"",tblFleet[[#This Row],[Available_h]]&gt;0),tblFleet[[#This Row],[Operating_h]]/tblFleet[[#This Row],[Available_h]],"")</f>
        <v/>
      </c>
    </row>
    <row r="667">
      <c r="A667" s="54" t="n"/>
      <c r="B667" s="61" t="n"/>
      <c r="C667" s="62" t="n"/>
      <c r="D667" s="57" t="n"/>
      <c r="E667" s="57" t="n"/>
      <c r="F667" s="58" t="n"/>
      <c r="G667" s="66">
        <f>IF(tblFleet[[#This Row],[Units]]="","",tblFleet[[#This Row],[Units]]*24)</f>
        <v/>
      </c>
      <c r="H667" s="66">
        <f>IF(tblFleet[[#This Row],[Units]]="","",tblFleet[[#This Row],[Calendar_h]]-tblFleet[[#This Row],[Down_h]])</f>
        <v/>
      </c>
      <c r="I667" s="60">
        <f>IF(AND(tblFleet[[#This Row],[Units]]&lt;&gt;"",tblFleet[[#This Row],[Calendar_h]]&gt;0),tblFleet[[#This Row],[Available_h]]/tblFleet[[#This Row],[Calendar_h]],"")</f>
        <v/>
      </c>
      <c r="J667" s="60">
        <f>IF(AND(tblFleet[[#This Row],[Units]]&lt;&gt;"",tblFleet[[#This Row],[Available_h]]&gt;0),tblFleet[[#This Row],[Operating_h]]/tblFleet[[#This Row],[Available_h]],"")</f>
        <v/>
      </c>
    </row>
    <row r="668">
      <c r="A668" s="54" t="n"/>
      <c r="B668" s="61" t="n"/>
      <c r="C668" s="62" t="n"/>
      <c r="D668" s="57" t="n"/>
      <c r="E668" s="57" t="n"/>
      <c r="F668" s="58" t="n"/>
      <c r="G668" s="66">
        <f>IF(tblFleet[[#This Row],[Units]]="","",tblFleet[[#This Row],[Units]]*24)</f>
        <v/>
      </c>
      <c r="H668" s="66">
        <f>IF(tblFleet[[#This Row],[Units]]="","",tblFleet[[#This Row],[Calendar_h]]-tblFleet[[#This Row],[Down_h]])</f>
        <v/>
      </c>
      <c r="I668" s="60">
        <f>IF(AND(tblFleet[[#This Row],[Units]]&lt;&gt;"",tblFleet[[#This Row],[Calendar_h]]&gt;0),tblFleet[[#This Row],[Available_h]]/tblFleet[[#This Row],[Calendar_h]],"")</f>
        <v/>
      </c>
      <c r="J668" s="60">
        <f>IF(AND(tblFleet[[#This Row],[Units]]&lt;&gt;"",tblFleet[[#This Row],[Available_h]]&gt;0),tblFleet[[#This Row],[Operating_h]]/tblFleet[[#This Row],[Available_h]],"")</f>
        <v/>
      </c>
    </row>
    <row r="669">
      <c r="A669" s="54" t="n"/>
      <c r="B669" s="61" t="n"/>
      <c r="C669" s="62" t="n"/>
      <c r="D669" s="57" t="n"/>
      <c r="E669" s="57" t="n"/>
      <c r="F669" s="58" t="n"/>
      <c r="G669" s="66">
        <f>IF(tblFleet[[#This Row],[Units]]="","",tblFleet[[#This Row],[Units]]*24)</f>
        <v/>
      </c>
      <c r="H669" s="66">
        <f>IF(tblFleet[[#This Row],[Units]]="","",tblFleet[[#This Row],[Calendar_h]]-tblFleet[[#This Row],[Down_h]])</f>
        <v/>
      </c>
      <c r="I669" s="60">
        <f>IF(AND(tblFleet[[#This Row],[Units]]&lt;&gt;"",tblFleet[[#This Row],[Calendar_h]]&gt;0),tblFleet[[#This Row],[Available_h]]/tblFleet[[#This Row],[Calendar_h]],"")</f>
        <v/>
      </c>
      <c r="J669" s="60">
        <f>IF(AND(tblFleet[[#This Row],[Units]]&lt;&gt;"",tblFleet[[#This Row],[Available_h]]&gt;0),tblFleet[[#This Row],[Operating_h]]/tblFleet[[#This Row],[Available_h]],"")</f>
        <v/>
      </c>
    </row>
    <row r="670">
      <c r="A670" s="54" t="n"/>
      <c r="B670" s="61" t="n"/>
      <c r="C670" s="62" t="n"/>
      <c r="D670" s="57" t="n"/>
      <c r="E670" s="57" t="n"/>
      <c r="F670" s="58" t="n"/>
      <c r="G670" s="66">
        <f>IF(tblFleet[[#This Row],[Units]]="","",tblFleet[[#This Row],[Units]]*24)</f>
        <v/>
      </c>
      <c r="H670" s="66">
        <f>IF(tblFleet[[#This Row],[Units]]="","",tblFleet[[#This Row],[Calendar_h]]-tblFleet[[#This Row],[Down_h]])</f>
        <v/>
      </c>
      <c r="I670" s="60">
        <f>IF(AND(tblFleet[[#This Row],[Units]]&lt;&gt;"",tblFleet[[#This Row],[Calendar_h]]&gt;0),tblFleet[[#This Row],[Available_h]]/tblFleet[[#This Row],[Calendar_h]],"")</f>
        <v/>
      </c>
      <c r="J670" s="60">
        <f>IF(AND(tblFleet[[#This Row],[Units]]&lt;&gt;"",tblFleet[[#This Row],[Available_h]]&gt;0),tblFleet[[#This Row],[Operating_h]]/tblFleet[[#This Row],[Available_h]],"")</f>
        <v/>
      </c>
    </row>
    <row r="671">
      <c r="A671" s="54" t="n"/>
      <c r="B671" s="61" t="n"/>
      <c r="C671" s="62" t="n"/>
      <c r="D671" s="57" t="n"/>
      <c r="E671" s="57" t="n"/>
      <c r="F671" s="58" t="n"/>
      <c r="G671" s="66">
        <f>IF(tblFleet[[#This Row],[Units]]="","",tblFleet[[#This Row],[Units]]*24)</f>
        <v/>
      </c>
      <c r="H671" s="66">
        <f>IF(tblFleet[[#This Row],[Units]]="","",tblFleet[[#This Row],[Calendar_h]]-tblFleet[[#This Row],[Down_h]])</f>
        <v/>
      </c>
      <c r="I671" s="60">
        <f>IF(AND(tblFleet[[#This Row],[Units]]&lt;&gt;"",tblFleet[[#This Row],[Calendar_h]]&gt;0),tblFleet[[#This Row],[Available_h]]/tblFleet[[#This Row],[Calendar_h]],"")</f>
        <v/>
      </c>
      <c r="J671" s="60">
        <f>IF(AND(tblFleet[[#This Row],[Units]]&lt;&gt;"",tblFleet[[#This Row],[Available_h]]&gt;0),tblFleet[[#This Row],[Operating_h]]/tblFleet[[#This Row],[Available_h]],"")</f>
        <v/>
      </c>
    </row>
    <row r="672">
      <c r="A672" s="54" t="n"/>
      <c r="B672" s="61" t="n"/>
      <c r="C672" s="62" t="n"/>
      <c r="D672" s="57" t="n"/>
      <c r="E672" s="57" t="n"/>
      <c r="F672" s="58" t="n"/>
      <c r="G672" s="66">
        <f>IF(tblFleet[[#This Row],[Units]]="","",tblFleet[[#This Row],[Units]]*24)</f>
        <v/>
      </c>
      <c r="H672" s="66">
        <f>IF(tblFleet[[#This Row],[Units]]="","",tblFleet[[#This Row],[Calendar_h]]-tblFleet[[#This Row],[Down_h]])</f>
        <v/>
      </c>
      <c r="I672" s="60">
        <f>IF(AND(tblFleet[[#This Row],[Units]]&lt;&gt;"",tblFleet[[#This Row],[Calendar_h]]&gt;0),tblFleet[[#This Row],[Available_h]]/tblFleet[[#This Row],[Calendar_h]],"")</f>
        <v/>
      </c>
      <c r="J672" s="60">
        <f>IF(AND(tblFleet[[#This Row],[Units]]&lt;&gt;"",tblFleet[[#This Row],[Available_h]]&gt;0),tblFleet[[#This Row],[Operating_h]]/tblFleet[[#This Row],[Available_h]],"")</f>
        <v/>
      </c>
    </row>
    <row r="673">
      <c r="A673" s="54" t="n"/>
      <c r="B673" s="61" t="n"/>
      <c r="C673" s="62" t="n"/>
      <c r="D673" s="57" t="n"/>
      <c r="E673" s="57" t="n"/>
      <c r="F673" s="58" t="n"/>
      <c r="G673" s="66">
        <f>IF(tblFleet[[#This Row],[Units]]="","",tblFleet[[#This Row],[Units]]*24)</f>
        <v/>
      </c>
      <c r="H673" s="66">
        <f>IF(tblFleet[[#This Row],[Units]]="","",tblFleet[[#This Row],[Calendar_h]]-tblFleet[[#This Row],[Down_h]])</f>
        <v/>
      </c>
      <c r="I673" s="60">
        <f>IF(AND(tblFleet[[#This Row],[Units]]&lt;&gt;"",tblFleet[[#This Row],[Calendar_h]]&gt;0),tblFleet[[#This Row],[Available_h]]/tblFleet[[#This Row],[Calendar_h]],"")</f>
        <v/>
      </c>
      <c r="J673" s="60">
        <f>IF(AND(tblFleet[[#This Row],[Units]]&lt;&gt;"",tblFleet[[#This Row],[Available_h]]&gt;0),tblFleet[[#This Row],[Operating_h]]/tblFleet[[#This Row],[Available_h]],"")</f>
        <v/>
      </c>
    </row>
    <row r="674">
      <c r="A674" s="54" t="n"/>
      <c r="B674" s="61" t="n"/>
      <c r="C674" s="62" t="n"/>
      <c r="D674" s="57" t="n"/>
      <c r="E674" s="57" t="n"/>
      <c r="F674" s="58" t="n"/>
      <c r="G674" s="66">
        <f>IF(tblFleet[[#This Row],[Units]]="","",tblFleet[[#This Row],[Units]]*24)</f>
        <v/>
      </c>
      <c r="H674" s="66">
        <f>IF(tblFleet[[#This Row],[Units]]="","",tblFleet[[#This Row],[Calendar_h]]-tblFleet[[#This Row],[Down_h]])</f>
        <v/>
      </c>
      <c r="I674" s="60">
        <f>IF(AND(tblFleet[[#This Row],[Units]]&lt;&gt;"",tblFleet[[#This Row],[Calendar_h]]&gt;0),tblFleet[[#This Row],[Available_h]]/tblFleet[[#This Row],[Calendar_h]],"")</f>
        <v/>
      </c>
      <c r="J674" s="60">
        <f>IF(AND(tblFleet[[#This Row],[Units]]&lt;&gt;"",tblFleet[[#This Row],[Available_h]]&gt;0),tblFleet[[#This Row],[Operating_h]]/tblFleet[[#This Row],[Available_h]],"")</f>
        <v/>
      </c>
    </row>
    <row r="675">
      <c r="A675" s="54" t="n"/>
      <c r="B675" s="61" t="n"/>
      <c r="C675" s="62" t="n"/>
      <c r="D675" s="57" t="n"/>
      <c r="E675" s="57" t="n"/>
      <c r="F675" s="58" t="n"/>
      <c r="G675" s="66">
        <f>IF(tblFleet[[#This Row],[Units]]="","",tblFleet[[#This Row],[Units]]*24)</f>
        <v/>
      </c>
      <c r="H675" s="66">
        <f>IF(tblFleet[[#This Row],[Units]]="","",tblFleet[[#This Row],[Calendar_h]]-tblFleet[[#This Row],[Down_h]])</f>
        <v/>
      </c>
      <c r="I675" s="60">
        <f>IF(AND(tblFleet[[#This Row],[Units]]&lt;&gt;"",tblFleet[[#This Row],[Calendar_h]]&gt;0),tblFleet[[#This Row],[Available_h]]/tblFleet[[#This Row],[Calendar_h]],"")</f>
        <v/>
      </c>
      <c r="J675" s="60">
        <f>IF(AND(tblFleet[[#This Row],[Units]]&lt;&gt;"",tblFleet[[#This Row],[Available_h]]&gt;0),tblFleet[[#This Row],[Operating_h]]/tblFleet[[#This Row],[Available_h]],"")</f>
        <v/>
      </c>
    </row>
    <row r="676">
      <c r="A676" s="54" t="n"/>
      <c r="B676" s="61" t="n"/>
      <c r="C676" s="62" t="n"/>
      <c r="D676" s="57" t="n"/>
      <c r="E676" s="57" t="n"/>
      <c r="F676" s="58" t="n"/>
      <c r="G676" s="66">
        <f>IF(tblFleet[[#This Row],[Units]]="","",tblFleet[[#This Row],[Units]]*24)</f>
        <v/>
      </c>
      <c r="H676" s="66">
        <f>IF(tblFleet[[#This Row],[Units]]="","",tblFleet[[#This Row],[Calendar_h]]-tblFleet[[#This Row],[Down_h]])</f>
        <v/>
      </c>
      <c r="I676" s="60">
        <f>IF(AND(tblFleet[[#This Row],[Units]]&lt;&gt;"",tblFleet[[#This Row],[Calendar_h]]&gt;0),tblFleet[[#This Row],[Available_h]]/tblFleet[[#This Row],[Calendar_h]],"")</f>
        <v/>
      </c>
      <c r="J676" s="60">
        <f>IF(AND(tblFleet[[#This Row],[Units]]&lt;&gt;"",tblFleet[[#This Row],[Available_h]]&gt;0),tblFleet[[#This Row],[Operating_h]]/tblFleet[[#This Row],[Available_h]],"")</f>
        <v/>
      </c>
    </row>
    <row r="677">
      <c r="A677" s="54" t="n"/>
      <c r="B677" s="61" t="n"/>
      <c r="C677" s="62" t="n"/>
      <c r="D677" s="57" t="n"/>
      <c r="E677" s="57" t="n"/>
      <c r="F677" s="58" t="n"/>
      <c r="G677" s="66">
        <f>IF(tblFleet[[#This Row],[Units]]="","",tblFleet[[#This Row],[Units]]*24)</f>
        <v/>
      </c>
      <c r="H677" s="66">
        <f>IF(tblFleet[[#This Row],[Units]]="","",tblFleet[[#This Row],[Calendar_h]]-tblFleet[[#This Row],[Down_h]])</f>
        <v/>
      </c>
      <c r="I677" s="60">
        <f>IF(AND(tblFleet[[#This Row],[Units]]&lt;&gt;"",tblFleet[[#This Row],[Calendar_h]]&gt;0),tblFleet[[#This Row],[Available_h]]/tblFleet[[#This Row],[Calendar_h]],"")</f>
        <v/>
      </c>
      <c r="J677" s="60">
        <f>IF(AND(tblFleet[[#This Row],[Units]]&lt;&gt;"",tblFleet[[#This Row],[Available_h]]&gt;0),tblFleet[[#This Row],[Operating_h]]/tblFleet[[#This Row],[Available_h]],"")</f>
        <v/>
      </c>
    </row>
    <row r="678">
      <c r="A678" s="54" t="n"/>
      <c r="B678" s="61" t="n"/>
      <c r="C678" s="62" t="n"/>
      <c r="D678" s="57" t="n"/>
      <c r="E678" s="57" t="n"/>
      <c r="F678" s="58" t="n"/>
      <c r="G678" s="66">
        <f>IF(tblFleet[[#This Row],[Units]]="","",tblFleet[[#This Row],[Units]]*24)</f>
        <v/>
      </c>
      <c r="H678" s="66">
        <f>IF(tblFleet[[#This Row],[Units]]="","",tblFleet[[#This Row],[Calendar_h]]-tblFleet[[#This Row],[Down_h]])</f>
        <v/>
      </c>
      <c r="I678" s="60">
        <f>IF(AND(tblFleet[[#This Row],[Units]]&lt;&gt;"",tblFleet[[#This Row],[Calendar_h]]&gt;0),tblFleet[[#This Row],[Available_h]]/tblFleet[[#This Row],[Calendar_h]],"")</f>
        <v/>
      </c>
      <c r="J678" s="60">
        <f>IF(AND(tblFleet[[#This Row],[Units]]&lt;&gt;"",tblFleet[[#This Row],[Available_h]]&gt;0),tblFleet[[#This Row],[Operating_h]]/tblFleet[[#This Row],[Available_h]],"")</f>
        <v/>
      </c>
    </row>
    <row r="679">
      <c r="A679" s="54" t="n"/>
      <c r="B679" s="61" t="n"/>
      <c r="C679" s="62" t="n"/>
      <c r="D679" s="57" t="n"/>
      <c r="E679" s="57" t="n"/>
      <c r="F679" s="58" t="n"/>
      <c r="G679" s="66">
        <f>IF(tblFleet[[#This Row],[Units]]="","",tblFleet[[#This Row],[Units]]*24)</f>
        <v/>
      </c>
      <c r="H679" s="66">
        <f>IF(tblFleet[[#This Row],[Units]]="","",tblFleet[[#This Row],[Calendar_h]]-tblFleet[[#This Row],[Down_h]])</f>
        <v/>
      </c>
      <c r="I679" s="60">
        <f>IF(AND(tblFleet[[#This Row],[Units]]&lt;&gt;"",tblFleet[[#This Row],[Calendar_h]]&gt;0),tblFleet[[#This Row],[Available_h]]/tblFleet[[#This Row],[Calendar_h]],"")</f>
        <v/>
      </c>
      <c r="J679" s="60">
        <f>IF(AND(tblFleet[[#This Row],[Units]]&lt;&gt;"",tblFleet[[#This Row],[Available_h]]&gt;0),tblFleet[[#This Row],[Operating_h]]/tblFleet[[#This Row],[Available_h]],"")</f>
        <v/>
      </c>
    </row>
    <row r="680">
      <c r="A680" s="54" t="n"/>
      <c r="B680" s="61" t="n"/>
      <c r="C680" s="62" t="n"/>
      <c r="D680" s="57" t="n"/>
      <c r="E680" s="57" t="n"/>
      <c r="F680" s="58" t="n"/>
      <c r="G680" s="66">
        <f>IF(tblFleet[[#This Row],[Units]]="","",tblFleet[[#This Row],[Units]]*24)</f>
        <v/>
      </c>
      <c r="H680" s="66">
        <f>IF(tblFleet[[#This Row],[Units]]="","",tblFleet[[#This Row],[Calendar_h]]-tblFleet[[#This Row],[Down_h]])</f>
        <v/>
      </c>
      <c r="I680" s="60">
        <f>IF(AND(tblFleet[[#This Row],[Units]]&lt;&gt;"",tblFleet[[#This Row],[Calendar_h]]&gt;0),tblFleet[[#This Row],[Available_h]]/tblFleet[[#This Row],[Calendar_h]],"")</f>
        <v/>
      </c>
      <c r="J680" s="60">
        <f>IF(AND(tblFleet[[#This Row],[Units]]&lt;&gt;"",tblFleet[[#This Row],[Available_h]]&gt;0),tblFleet[[#This Row],[Operating_h]]/tblFleet[[#This Row],[Available_h]],"")</f>
        <v/>
      </c>
    </row>
    <row r="681">
      <c r="A681" s="54" t="n"/>
      <c r="B681" s="61" t="n"/>
      <c r="C681" s="62" t="n"/>
      <c r="D681" s="57" t="n"/>
      <c r="E681" s="57" t="n"/>
      <c r="F681" s="58" t="n"/>
      <c r="G681" s="66">
        <f>IF(tblFleet[[#This Row],[Units]]="","",tblFleet[[#This Row],[Units]]*24)</f>
        <v/>
      </c>
      <c r="H681" s="66">
        <f>IF(tblFleet[[#This Row],[Units]]="","",tblFleet[[#This Row],[Calendar_h]]-tblFleet[[#This Row],[Down_h]])</f>
        <v/>
      </c>
      <c r="I681" s="60">
        <f>IF(AND(tblFleet[[#This Row],[Units]]&lt;&gt;"",tblFleet[[#This Row],[Calendar_h]]&gt;0),tblFleet[[#This Row],[Available_h]]/tblFleet[[#This Row],[Calendar_h]],"")</f>
        <v/>
      </c>
      <c r="J681" s="60">
        <f>IF(AND(tblFleet[[#This Row],[Units]]&lt;&gt;"",tblFleet[[#This Row],[Available_h]]&gt;0),tblFleet[[#This Row],[Operating_h]]/tblFleet[[#This Row],[Available_h]],"")</f>
        <v/>
      </c>
    </row>
    <row r="682">
      <c r="A682" s="54" t="n"/>
      <c r="B682" s="61" t="n"/>
      <c r="C682" s="62" t="n"/>
      <c r="D682" s="57" t="n"/>
      <c r="E682" s="57" t="n"/>
      <c r="F682" s="58" t="n"/>
      <c r="G682" s="66">
        <f>IF(tblFleet[[#This Row],[Units]]="","",tblFleet[[#This Row],[Units]]*24)</f>
        <v/>
      </c>
      <c r="H682" s="66">
        <f>IF(tblFleet[[#This Row],[Units]]="","",tblFleet[[#This Row],[Calendar_h]]-tblFleet[[#This Row],[Down_h]])</f>
        <v/>
      </c>
      <c r="I682" s="60">
        <f>IF(AND(tblFleet[[#This Row],[Units]]&lt;&gt;"",tblFleet[[#This Row],[Calendar_h]]&gt;0),tblFleet[[#This Row],[Available_h]]/tblFleet[[#This Row],[Calendar_h]],"")</f>
        <v/>
      </c>
      <c r="J682" s="60">
        <f>IF(AND(tblFleet[[#This Row],[Units]]&lt;&gt;"",tblFleet[[#This Row],[Available_h]]&gt;0),tblFleet[[#This Row],[Operating_h]]/tblFleet[[#This Row],[Available_h]],"")</f>
        <v/>
      </c>
    </row>
    <row r="683">
      <c r="A683" s="54" t="n"/>
      <c r="B683" s="61" t="n"/>
      <c r="C683" s="62" t="n"/>
      <c r="D683" s="57" t="n"/>
      <c r="E683" s="57" t="n"/>
      <c r="F683" s="58" t="n"/>
      <c r="G683" s="66">
        <f>IF(tblFleet[[#This Row],[Units]]="","",tblFleet[[#This Row],[Units]]*24)</f>
        <v/>
      </c>
      <c r="H683" s="66">
        <f>IF(tblFleet[[#This Row],[Units]]="","",tblFleet[[#This Row],[Calendar_h]]-tblFleet[[#This Row],[Down_h]])</f>
        <v/>
      </c>
      <c r="I683" s="60">
        <f>IF(AND(tblFleet[[#This Row],[Units]]&lt;&gt;"",tblFleet[[#This Row],[Calendar_h]]&gt;0),tblFleet[[#This Row],[Available_h]]/tblFleet[[#This Row],[Calendar_h]],"")</f>
        <v/>
      </c>
      <c r="J683" s="60">
        <f>IF(AND(tblFleet[[#This Row],[Units]]&lt;&gt;"",tblFleet[[#This Row],[Available_h]]&gt;0),tblFleet[[#This Row],[Operating_h]]/tblFleet[[#This Row],[Available_h]],"")</f>
        <v/>
      </c>
    </row>
    <row r="684">
      <c r="A684" s="54" t="n"/>
      <c r="B684" s="61" t="n"/>
      <c r="C684" s="62" t="n"/>
      <c r="D684" s="57" t="n"/>
      <c r="E684" s="57" t="n"/>
      <c r="F684" s="58" t="n"/>
      <c r="G684" s="66">
        <f>IF(tblFleet[[#This Row],[Units]]="","",tblFleet[[#This Row],[Units]]*24)</f>
        <v/>
      </c>
      <c r="H684" s="66">
        <f>IF(tblFleet[[#This Row],[Units]]="","",tblFleet[[#This Row],[Calendar_h]]-tblFleet[[#This Row],[Down_h]])</f>
        <v/>
      </c>
      <c r="I684" s="60">
        <f>IF(AND(tblFleet[[#This Row],[Units]]&lt;&gt;"",tblFleet[[#This Row],[Calendar_h]]&gt;0),tblFleet[[#This Row],[Available_h]]/tblFleet[[#This Row],[Calendar_h]],"")</f>
        <v/>
      </c>
      <c r="J684" s="60">
        <f>IF(AND(tblFleet[[#This Row],[Units]]&lt;&gt;"",tblFleet[[#This Row],[Available_h]]&gt;0),tblFleet[[#This Row],[Operating_h]]/tblFleet[[#This Row],[Available_h]],"")</f>
        <v/>
      </c>
    </row>
    <row r="685">
      <c r="A685" s="54" t="n"/>
      <c r="B685" s="61" t="n"/>
      <c r="C685" s="62" t="n"/>
      <c r="D685" s="57" t="n"/>
      <c r="E685" s="57" t="n"/>
      <c r="F685" s="58" t="n"/>
      <c r="G685" s="66">
        <f>IF(tblFleet[[#This Row],[Units]]="","",tblFleet[[#This Row],[Units]]*24)</f>
        <v/>
      </c>
      <c r="H685" s="66">
        <f>IF(tblFleet[[#This Row],[Units]]="","",tblFleet[[#This Row],[Calendar_h]]-tblFleet[[#This Row],[Down_h]])</f>
        <v/>
      </c>
      <c r="I685" s="60">
        <f>IF(AND(tblFleet[[#This Row],[Units]]&lt;&gt;"",tblFleet[[#This Row],[Calendar_h]]&gt;0),tblFleet[[#This Row],[Available_h]]/tblFleet[[#This Row],[Calendar_h]],"")</f>
        <v/>
      </c>
      <c r="J685" s="60">
        <f>IF(AND(tblFleet[[#This Row],[Units]]&lt;&gt;"",tblFleet[[#This Row],[Available_h]]&gt;0),tblFleet[[#This Row],[Operating_h]]/tblFleet[[#This Row],[Available_h]],"")</f>
        <v/>
      </c>
    </row>
    <row r="686">
      <c r="A686" s="54" t="n"/>
      <c r="B686" s="61" t="n"/>
      <c r="C686" s="62" t="n"/>
      <c r="D686" s="57" t="n"/>
      <c r="E686" s="57" t="n"/>
      <c r="F686" s="58" t="n"/>
      <c r="G686" s="66">
        <f>IF(tblFleet[[#This Row],[Units]]="","",tblFleet[[#This Row],[Units]]*24)</f>
        <v/>
      </c>
      <c r="H686" s="66">
        <f>IF(tblFleet[[#This Row],[Units]]="","",tblFleet[[#This Row],[Calendar_h]]-tblFleet[[#This Row],[Down_h]])</f>
        <v/>
      </c>
      <c r="I686" s="60">
        <f>IF(AND(tblFleet[[#This Row],[Units]]&lt;&gt;"",tblFleet[[#This Row],[Calendar_h]]&gt;0),tblFleet[[#This Row],[Available_h]]/tblFleet[[#This Row],[Calendar_h]],"")</f>
        <v/>
      </c>
      <c r="J686" s="60">
        <f>IF(AND(tblFleet[[#This Row],[Units]]&lt;&gt;"",tblFleet[[#This Row],[Available_h]]&gt;0),tblFleet[[#This Row],[Operating_h]]/tblFleet[[#This Row],[Available_h]],"")</f>
        <v/>
      </c>
    </row>
    <row r="687">
      <c r="A687" s="54" t="n"/>
      <c r="B687" s="61" t="n"/>
      <c r="C687" s="62" t="n"/>
      <c r="D687" s="57" t="n"/>
      <c r="E687" s="57" t="n"/>
      <c r="F687" s="58" t="n"/>
      <c r="G687" s="66">
        <f>IF(tblFleet[[#This Row],[Units]]="","",tblFleet[[#This Row],[Units]]*24)</f>
        <v/>
      </c>
      <c r="H687" s="66">
        <f>IF(tblFleet[[#This Row],[Units]]="","",tblFleet[[#This Row],[Calendar_h]]-tblFleet[[#This Row],[Down_h]])</f>
        <v/>
      </c>
      <c r="I687" s="60">
        <f>IF(AND(tblFleet[[#This Row],[Units]]&lt;&gt;"",tblFleet[[#This Row],[Calendar_h]]&gt;0),tblFleet[[#This Row],[Available_h]]/tblFleet[[#This Row],[Calendar_h]],"")</f>
        <v/>
      </c>
      <c r="J687" s="60">
        <f>IF(AND(tblFleet[[#This Row],[Units]]&lt;&gt;"",tblFleet[[#This Row],[Available_h]]&gt;0),tblFleet[[#This Row],[Operating_h]]/tblFleet[[#This Row],[Available_h]],"")</f>
        <v/>
      </c>
    </row>
    <row r="688">
      <c r="A688" s="54" t="n"/>
      <c r="B688" s="61" t="n"/>
      <c r="C688" s="62" t="n"/>
      <c r="D688" s="57" t="n"/>
      <c r="E688" s="57" t="n"/>
      <c r="F688" s="58" t="n"/>
      <c r="G688" s="66">
        <f>IF(tblFleet[[#This Row],[Units]]="","",tblFleet[[#This Row],[Units]]*24)</f>
        <v/>
      </c>
      <c r="H688" s="66">
        <f>IF(tblFleet[[#This Row],[Units]]="","",tblFleet[[#This Row],[Calendar_h]]-tblFleet[[#This Row],[Down_h]])</f>
        <v/>
      </c>
      <c r="I688" s="60">
        <f>IF(AND(tblFleet[[#This Row],[Units]]&lt;&gt;"",tblFleet[[#This Row],[Calendar_h]]&gt;0),tblFleet[[#This Row],[Available_h]]/tblFleet[[#This Row],[Calendar_h]],"")</f>
        <v/>
      </c>
      <c r="J688" s="60">
        <f>IF(AND(tblFleet[[#This Row],[Units]]&lt;&gt;"",tblFleet[[#This Row],[Available_h]]&gt;0),tblFleet[[#This Row],[Operating_h]]/tblFleet[[#This Row],[Available_h]],"")</f>
        <v/>
      </c>
    </row>
    <row r="689">
      <c r="A689" s="54" t="n"/>
      <c r="B689" s="61" t="n"/>
      <c r="C689" s="62" t="n"/>
      <c r="D689" s="57" t="n"/>
      <c r="E689" s="57" t="n"/>
      <c r="F689" s="58" t="n"/>
      <c r="G689" s="66">
        <f>IF(tblFleet[[#This Row],[Units]]="","",tblFleet[[#This Row],[Units]]*24)</f>
        <v/>
      </c>
      <c r="H689" s="66">
        <f>IF(tblFleet[[#This Row],[Units]]="","",tblFleet[[#This Row],[Calendar_h]]-tblFleet[[#This Row],[Down_h]])</f>
        <v/>
      </c>
      <c r="I689" s="60">
        <f>IF(AND(tblFleet[[#This Row],[Units]]&lt;&gt;"",tblFleet[[#This Row],[Calendar_h]]&gt;0),tblFleet[[#This Row],[Available_h]]/tblFleet[[#This Row],[Calendar_h]],"")</f>
        <v/>
      </c>
      <c r="J689" s="60">
        <f>IF(AND(tblFleet[[#This Row],[Units]]&lt;&gt;"",tblFleet[[#This Row],[Available_h]]&gt;0),tblFleet[[#This Row],[Operating_h]]/tblFleet[[#This Row],[Available_h]],"")</f>
        <v/>
      </c>
    </row>
    <row r="690">
      <c r="A690" s="54" t="n"/>
      <c r="B690" s="61" t="n"/>
      <c r="C690" s="62" t="n"/>
      <c r="D690" s="57" t="n"/>
      <c r="E690" s="57" t="n"/>
      <c r="F690" s="58" t="n"/>
      <c r="G690" s="66">
        <f>IF(tblFleet[[#This Row],[Units]]="","",tblFleet[[#This Row],[Units]]*24)</f>
        <v/>
      </c>
      <c r="H690" s="66">
        <f>IF(tblFleet[[#This Row],[Units]]="","",tblFleet[[#This Row],[Calendar_h]]-tblFleet[[#This Row],[Down_h]])</f>
        <v/>
      </c>
      <c r="I690" s="60">
        <f>IF(AND(tblFleet[[#This Row],[Units]]&lt;&gt;"",tblFleet[[#This Row],[Calendar_h]]&gt;0),tblFleet[[#This Row],[Available_h]]/tblFleet[[#This Row],[Calendar_h]],"")</f>
        <v/>
      </c>
      <c r="J690" s="60">
        <f>IF(AND(tblFleet[[#This Row],[Units]]&lt;&gt;"",tblFleet[[#This Row],[Available_h]]&gt;0),tblFleet[[#This Row],[Operating_h]]/tblFleet[[#This Row],[Available_h]],"")</f>
        <v/>
      </c>
    </row>
    <row r="691">
      <c r="A691" s="54" t="n"/>
      <c r="B691" s="61" t="n"/>
      <c r="C691" s="62" t="n"/>
      <c r="D691" s="57" t="n"/>
      <c r="E691" s="57" t="n"/>
      <c r="F691" s="58" t="n"/>
      <c r="G691" s="66">
        <f>IF(tblFleet[[#This Row],[Units]]="","",tblFleet[[#This Row],[Units]]*24)</f>
        <v/>
      </c>
      <c r="H691" s="66">
        <f>IF(tblFleet[[#This Row],[Units]]="","",tblFleet[[#This Row],[Calendar_h]]-tblFleet[[#This Row],[Down_h]])</f>
        <v/>
      </c>
      <c r="I691" s="60">
        <f>IF(AND(tblFleet[[#This Row],[Units]]&lt;&gt;"",tblFleet[[#This Row],[Calendar_h]]&gt;0),tblFleet[[#This Row],[Available_h]]/tblFleet[[#This Row],[Calendar_h]],"")</f>
        <v/>
      </c>
      <c r="J691" s="60">
        <f>IF(AND(tblFleet[[#This Row],[Units]]&lt;&gt;"",tblFleet[[#This Row],[Available_h]]&gt;0),tblFleet[[#This Row],[Operating_h]]/tblFleet[[#This Row],[Available_h]],"")</f>
        <v/>
      </c>
    </row>
    <row r="692">
      <c r="A692" s="54" t="n"/>
      <c r="B692" s="61" t="n"/>
      <c r="C692" s="62" t="n"/>
      <c r="D692" s="57" t="n"/>
      <c r="E692" s="57" t="n"/>
      <c r="F692" s="58" t="n"/>
      <c r="G692" s="66">
        <f>IF(tblFleet[[#This Row],[Units]]="","",tblFleet[[#This Row],[Units]]*24)</f>
        <v/>
      </c>
      <c r="H692" s="66">
        <f>IF(tblFleet[[#This Row],[Units]]="","",tblFleet[[#This Row],[Calendar_h]]-tblFleet[[#This Row],[Down_h]])</f>
        <v/>
      </c>
      <c r="I692" s="60">
        <f>IF(AND(tblFleet[[#This Row],[Units]]&lt;&gt;"",tblFleet[[#This Row],[Calendar_h]]&gt;0),tblFleet[[#This Row],[Available_h]]/tblFleet[[#This Row],[Calendar_h]],"")</f>
        <v/>
      </c>
      <c r="J692" s="60">
        <f>IF(AND(tblFleet[[#This Row],[Units]]&lt;&gt;"",tblFleet[[#This Row],[Available_h]]&gt;0),tblFleet[[#This Row],[Operating_h]]/tblFleet[[#This Row],[Available_h]],"")</f>
        <v/>
      </c>
    </row>
    <row r="693">
      <c r="A693" s="54" t="n"/>
      <c r="B693" s="61" t="n"/>
      <c r="C693" s="62" t="n"/>
      <c r="D693" s="57" t="n"/>
      <c r="E693" s="57" t="n"/>
      <c r="F693" s="58" t="n"/>
      <c r="G693" s="66">
        <f>IF(tblFleet[[#This Row],[Units]]="","",tblFleet[[#This Row],[Units]]*24)</f>
        <v/>
      </c>
      <c r="H693" s="66">
        <f>IF(tblFleet[[#This Row],[Units]]="","",tblFleet[[#This Row],[Calendar_h]]-tblFleet[[#This Row],[Down_h]])</f>
        <v/>
      </c>
      <c r="I693" s="60">
        <f>IF(AND(tblFleet[[#This Row],[Units]]&lt;&gt;"",tblFleet[[#This Row],[Calendar_h]]&gt;0),tblFleet[[#This Row],[Available_h]]/tblFleet[[#This Row],[Calendar_h]],"")</f>
        <v/>
      </c>
      <c r="J693" s="60">
        <f>IF(AND(tblFleet[[#This Row],[Units]]&lt;&gt;"",tblFleet[[#This Row],[Available_h]]&gt;0),tblFleet[[#This Row],[Operating_h]]/tblFleet[[#This Row],[Available_h]],"")</f>
        <v/>
      </c>
    </row>
    <row r="694">
      <c r="A694" s="54" t="n"/>
      <c r="B694" s="61" t="n"/>
      <c r="C694" s="62" t="n"/>
      <c r="D694" s="57" t="n"/>
      <c r="E694" s="57" t="n"/>
      <c r="F694" s="58" t="n"/>
      <c r="G694" s="66">
        <f>IF(tblFleet[[#This Row],[Units]]="","",tblFleet[[#This Row],[Units]]*24)</f>
        <v/>
      </c>
      <c r="H694" s="66">
        <f>IF(tblFleet[[#This Row],[Units]]="","",tblFleet[[#This Row],[Calendar_h]]-tblFleet[[#This Row],[Down_h]])</f>
        <v/>
      </c>
      <c r="I694" s="60">
        <f>IF(AND(tblFleet[[#This Row],[Units]]&lt;&gt;"",tblFleet[[#This Row],[Calendar_h]]&gt;0),tblFleet[[#This Row],[Available_h]]/tblFleet[[#This Row],[Calendar_h]],"")</f>
        <v/>
      </c>
      <c r="J694" s="60">
        <f>IF(AND(tblFleet[[#This Row],[Units]]&lt;&gt;"",tblFleet[[#This Row],[Available_h]]&gt;0),tblFleet[[#This Row],[Operating_h]]/tblFleet[[#This Row],[Available_h]],"")</f>
        <v/>
      </c>
    </row>
    <row r="695">
      <c r="A695" s="54" t="n"/>
      <c r="B695" s="61" t="n"/>
      <c r="C695" s="62" t="n"/>
      <c r="D695" s="57" t="n"/>
      <c r="E695" s="57" t="n"/>
      <c r="F695" s="58" t="n"/>
      <c r="G695" s="66">
        <f>IF(tblFleet[[#This Row],[Units]]="","",tblFleet[[#This Row],[Units]]*24)</f>
        <v/>
      </c>
      <c r="H695" s="66">
        <f>IF(tblFleet[[#This Row],[Units]]="","",tblFleet[[#This Row],[Calendar_h]]-tblFleet[[#This Row],[Down_h]])</f>
        <v/>
      </c>
      <c r="I695" s="60">
        <f>IF(AND(tblFleet[[#This Row],[Units]]&lt;&gt;"",tblFleet[[#This Row],[Calendar_h]]&gt;0),tblFleet[[#This Row],[Available_h]]/tblFleet[[#This Row],[Calendar_h]],"")</f>
        <v/>
      </c>
      <c r="J695" s="60">
        <f>IF(AND(tblFleet[[#This Row],[Units]]&lt;&gt;"",tblFleet[[#This Row],[Available_h]]&gt;0),tblFleet[[#This Row],[Operating_h]]/tblFleet[[#This Row],[Available_h]],"")</f>
        <v/>
      </c>
    </row>
    <row r="696">
      <c r="A696" s="54" t="n"/>
      <c r="B696" s="61" t="n"/>
      <c r="C696" s="62" t="n"/>
      <c r="D696" s="57" t="n"/>
      <c r="E696" s="57" t="n"/>
      <c r="F696" s="58" t="n"/>
      <c r="G696" s="66">
        <f>IF(tblFleet[[#This Row],[Units]]="","",tblFleet[[#This Row],[Units]]*24)</f>
        <v/>
      </c>
      <c r="H696" s="66">
        <f>IF(tblFleet[[#This Row],[Units]]="","",tblFleet[[#This Row],[Calendar_h]]-tblFleet[[#This Row],[Down_h]])</f>
        <v/>
      </c>
      <c r="I696" s="60">
        <f>IF(AND(tblFleet[[#This Row],[Units]]&lt;&gt;"",tblFleet[[#This Row],[Calendar_h]]&gt;0),tblFleet[[#This Row],[Available_h]]/tblFleet[[#This Row],[Calendar_h]],"")</f>
        <v/>
      </c>
      <c r="J696" s="60">
        <f>IF(AND(tblFleet[[#This Row],[Units]]&lt;&gt;"",tblFleet[[#This Row],[Available_h]]&gt;0),tblFleet[[#This Row],[Operating_h]]/tblFleet[[#This Row],[Available_h]],"")</f>
        <v/>
      </c>
    </row>
    <row r="697">
      <c r="A697" s="54" t="n"/>
      <c r="B697" s="61" t="n"/>
      <c r="C697" s="62" t="n"/>
      <c r="D697" s="57" t="n"/>
      <c r="E697" s="57" t="n"/>
      <c r="F697" s="58" t="n"/>
      <c r="G697" s="66">
        <f>IF(tblFleet[[#This Row],[Units]]="","",tblFleet[[#This Row],[Units]]*24)</f>
        <v/>
      </c>
      <c r="H697" s="66">
        <f>IF(tblFleet[[#This Row],[Units]]="","",tblFleet[[#This Row],[Calendar_h]]-tblFleet[[#This Row],[Down_h]])</f>
        <v/>
      </c>
      <c r="I697" s="60">
        <f>IF(AND(tblFleet[[#This Row],[Units]]&lt;&gt;"",tblFleet[[#This Row],[Calendar_h]]&gt;0),tblFleet[[#This Row],[Available_h]]/tblFleet[[#This Row],[Calendar_h]],"")</f>
        <v/>
      </c>
      <c r="J697" s="60">
        <f>IF(AND(tblFleet[[#This Row],[Units]]&lt;&gt;"",tblFleet[[#This Row],[Available_h]]&gt;0),tblFleet[[#This Row],[Operating_h]]/tblFleet[[#This Row],[Available_h]],"")</f>
        <v/>
      </c>
    </row>
    <row r="698">
      <c r="A698" s="54" t="n"/>
      <c r="B698" s="61" t="n"/>
      <c r="C698" s="62" t="n"/>
      <c r="D698" s="57" t="n"/>
      <c r="E698" s="57" t="n"/>
      <c r="F698" s="58" t="n"/>
      <c r="G698" s="66">
        <f>IF(tblFleet[[#This Row],[Units]]="","",tblFleet[[#This Row],[Units]]*24)</f>
        <v/>
      </c>
      <c r="H698" s="66">
        <f>IF(tblFleet[[#This Row],[Units]]="","",tblFleet[[#This Row],[Calendar_h]]-tblFleet[[#This Row],[Down_h]])</f>
        <v/>
      </c>
      <c r="I698" s="60">
        <f>IF(AND(tblFleet[[#This Row],[Units]]&lt;&gt;"",tblFleet[[#This Row],[Calendar_h]]&gt;0),tblFleet[[#This Row],[Available_h]]/tblFleet[[#This Row],[Calendar_h]],"")</f>
        <v/>
      </c>
      <c r="J698" s="60">
        <f>IF(AND(tblFleet[[#This Row],[Units]]&lt;&gt;"",tblFleet[[#This Row],[Available_h]]&gt;0),tblFleet[[#This Row],[Operating_h]]/tblFleet[[#This Row],[Available_h]],"")</f>
        <v/>
      </c>
    </row>
    <row r="699">
      <c r="A699" s="54" t="n"/>
      <c r="B699" s="61" t="n"/>
      <c r="C699" s="62" t="n"/>
      <c r="D699" s="57" t="n"/>
      <c r="E699" s="57" t="n"/>
      <c r="F699" s="58" t="n"/>
      <c r="G699" s="66">
        <f>IF(tblFleet[[#This Row],[Units]]="","",tblFleet[[#This Row],[Units]]*24)</f>
        <v/>
      </c>
      <c r="H699" s="66">
        <f>IF(tblFleet[[#This Row],[Units]]="","",tblFleet[[#This Row],[Calendar_h]]-tblFleet[[#This Row],[Down_h]])</f>
        <v/>
      </c>
      <c r="I699" s="60">
        <f>IF(AND(tblFleet[[#This Row],[Units]]&lt;&gt;"",tblFleet[[#This Row],[Calendar_h]]&gt;0),tblFleet[[#This Row],[Available_h]]/tblFleet[[#This Row],[Calendar_h]],"")</f>
        <v/>
      </c>
      <c r="J699" s="60">
        <f>IF(AND(tblFleet[[#This Row],[Units]]&lt;&gt;"",tblFleet[[#This Row],[Available_h]]&gt;0),tblFleet[[#This Row],[Operating_h]]/tblFleet[[#This Row],[Available_h]],"")</f>
        <v/>
      </c>
    </row>
    <row r="700">
      <c r="A700" s="54" t="n"/>
      <c r="B700" s="61" t="n"/>
      <c r="C700" s="62" t="n"/>
      <c r="D700" s="57" t="n"/>
      <c r="E700" s="57" t="n"/>
      <c r="F700" s="58" t="n"/>
      <c r="G700" s="66">
        <f>IF(tblFleet[[#This Row],[Units]]="","",tblFleet[[#This Row],[Units]]*24)</f>
        <v/>
      </c>
      <c r="H700" s="66">
        <f>IF(tblFleet[[#This Row],[Units]]="","",tblFleet[[#This Row],[Calendar_h]]-tblFleet[[#This Row],[Down_h]])</f>
        <v/>
      </c>
      <c r="I700" s="60">
        <f>IF(AND(tblFleet[[#This Row],[Units]]&lt;&gt;"",tblFleet[[#This Row],[Calendar_h]]&gt;0),tblFleet[[#This Row],[Available_h]]/tblFleet[[#This Row],[Calendar_h]],"")</f>
        <v/>
      </c>
      <c r="J700" s="60">
        <f>IF(AND(tblFleet[[#This Row],[Units]]&lt;&gt;"",tblFleet[[#This Row],[Available_h]]&gt;0),tblFleet[[#This Row],[Operating_h]]/tblFleet[[#This Row],[Available_h]],"")</f>
        <v/>
      </c>
    </row>
    <row r="701">
      <c r="A701" s="54" t="n"/>
      <c r="B701" s="61" t="n"/>
      <c r="C701" s="62" t="n"/>
      <c r="D701" s="57" t="n"/>
      <c r="E701" s="57" t="n"/>
      <c r="F701" s="58" t="n"/>
      <c r="G701" s="66">
        <f>IF(tblFleet[[#This Row],[Units]]="","",tblFleet[[#This Row],[Units]]*24)</f>
        <v/>
      </c>
      <c r="H701" s="66">
        <f>IF(tblFleet[[#This Row],[Units]]="","",tblFleet[[#This Row],[Calendar_h]]-tblFleet[[#This Row],[Down_h]])</f>
        <v/>
      </c>
      <c r="I701" s="60">
        <f>IF(AND(tblFleet[[#This Row],[Units]]&lt;&gt;"",tblFleet[[#This Row],[Calendar_h]]&gt;0),tblFleet[[#This Row],[Available_h]]/tblFleet[[#This Row],[Calendar_h]],"")</f>
        <v/>
      </c>
      <c r="J701" s="60">
        <f>IF(AND(tblFleet[[#This Row],[Units]]&lt;&gt;"",tblFleet[[#This Row],[Available_h]]&gt;0),tblFleet[[#This Row],[Operating_h]]/tblFleet[[#This Row],[Available_h]],"")</f>
        <v/>
      </c>
    </row>
    <row r="702">
      <c r="A702" s="54" t="n"/>
      <c r="B702" s="61" t="n"/>
      <c r="C702" s="62" t="n"/>
      <c r="D702" s="57" t="n"/>
      <c r="E702" s="57" t="n"/>
      <c r="F702" s="58" t="n"/>
      <c r="G702" s="66">
        <f>IF(tblFleet[[#This Row],[Units]]="","",tblFleet[[#This Row],[Units]]*24)</f>
        <v/>
      </c>
      <c r="H702" s="66">
        <f>IF(tblFleet[[#This Row],[Units]]="","",tblFleet[[#This Row],[Calendar_h]]-tblFleet[[#This Row],[Down_h]])</f>
        <v/>
      </c>
      <c r="I702" s="60">
        <f>IF(AND(tblFleet[[#This Row],[Units]]&lt;&gt;"",tblFleet[[#This Row],[Calendar_h]]&gt;0),tblFleet[[#This Row],[Available_h]]/tblFleet[[#This Row],[Calendar_h]],"")</f>
        <v/>
      </c>
      <c r="J702" s="60">
        <f>IF(AND(tblFleet[[#This Row],[Units]]&lt;&gt;"",tblFleet[[#This Row],[Available_h]]&gt;0),tblFleet[[#This Row],[Operating_h]]/tblFleet[[#This Row],[Available_h]],"")</f>
        <v/>
      </c>
    </row>
    <row r="703">
      <c r="A703" s="54" t="n"/>
      <c r="B703" s="61" t="n"/>
      <c r="C703" s="62" t="n"/>
      <c r="D703" s="57" t="n"/>
      <c r="E703" s="57" t="n"/>
      <c r="F703" s="58" t="n"/>
      <c r="G703" s="66">
        <f>IF(tblFleet[[#This Row],[Units]]="","",tblFleet[[#This Row],[Units]]*24)</f>
        <v/>
      </c>
      <c r="H703" s="66">
        <f>IF(tblFleet[[#This Row],[Units]]="","",tblFleet[[#This Row],[Calendar_h]]-tblFleet[[#This Row],[Down_h]])</f>
        <v/>
      </c>
      <c r="I703" s="60">
        <f>IF(AND(tblFleet[[#This Row],[Units]]&lt;&gt;"",tblFleet[[#This Row],[Calendar_h]]&gt;0),tblFleet[[#This Row],[Available_h]]/tblFleet[[#This Row],[Calendar_h]],"")</f>
        <v/>
      </c>
      <c r="J703" s="60">
        <f>IF(AND(tblFleet[[#This Row],[Units]]&lt;&gt;"",tblFleet[[#This Row],[Available_h]]&gt;0),tblFleet[[#This Row],[Operating_h]]/tblFleet[[#This Row],[Available_h]],"")</f>
        <v/>
      </c>
    </row>
    <row r="704">
      <c r="A704" s="54" t="n"/>
      <c r="B704" s="61" t="n"/>
      <c r="C704" s="62" t="n"/>
      <c r="D704" s="57" t="n"/>
      <c r="E704" s="57" t="n"/>
      <c r="F704" s="58" t="n"/>
      <c r="G704" s="66">
        <f>IF(tblFleet[[#This Row],[Units]]="","",tblFleet[[#This Row],[Units]]*24)</f>
        <v/>
      </c>
      <c r="H704" s="66">
        <f>IF(tblFleet[[#This Row],[Units]]="","",tblFleet[[#This Row],[Calendar_h]]-tblFleet[[#This Row],[Down_h]])</f>
        <v/>
      </c>
      <c r="I704" s="60">
        <f>IF(AND(tblFleet[[#This Row],[Units]]&lt;&gt;"",tblFleet[[#This Row],[Calendar_h]]&gt;0),tblFleet[[#This Row],[Available_h]]/tblFleet[[#This Row],[Calendar_h]],"")</f>
        <v/>
      </c>
      <c r="J704" s="60">
        <f>IF(AND(tblFleet[[#This Row],[Units]]&lt;&gt;"",tblFleet[[#This Row],[Available_h]]&gt;0),tblFleet[[#This Row],[Operating_h]]/tblFleet[[#This Row],[Available_h]],"")</f>
        <v/>
      </c>
    </row>
    <row r="705">
      <c r="A705" s="54" t="n"/>
      <c r="B705" s="61" t="n"/>
      <c r="C705" s="62" t="n"/>
      <c r="D705" s="57" t="n"/>
      <c r="E705" s="57" t="n"/>
      <c r="F705" s="58" t="n"/>
      <c r="G705" s="66">
        <f>IF(tblFleet[[#This Row],[Units]]="","",tblFleet[[#This Row],[Units]]*24)</f>
        <v/>
      </c>
      <c r="H705" s="66">
        <f>IF(tblFleet[[#This Row],[Units]]="","",tblFleet[[#This Row],[Calendar_h]]-tblFleet[[#This Row],[Down_h]])</f>
        <v/>
      </c>
      <c r="I705" s="60">
        <f>IF(AND(tblFleet[[#This Row],[Units]]&lt;&gt;"",tblFleet[[#This Row],[Calendar_h]]&gt;0),tblFleet[[#This Row],[Available_h]]/tblFleet[[#This Row],[Calendar_h]],"")</f>
        <v/>
      </c>
      <c r="J705" s="60">
        <f>IF(AND(tblFleet[[#This Row],[Units]]&lt;&gt;"",tblFleet[[#This Row],[Available_h]]&gt;0),tblFleet[[#This Row],[Operating_h]]/tblFleet[[#This Row],[Available_h]],"")</f>
        <v/>
      </c>
    </row>
    <row r="706">
      <c r="A706" s="54" t="n"/>
      <c r="B706" s="61" t="n"/>
      <c r="C706" s="62" t="n"/>
      <c r="D706" s="57" t="n"/>
      <c r="E706" s="57" t="n"/>
      <c r="F706" s="58" t="n"/>
      <c r="G706" s="66">
        <f>IF(tblFleet[[#This Row],[Units]]="","",tblFleet[[#This Row],[Units]]*24)</f>
        <v/>
      </c>
      <c r="H706" s="66">
        <f>IF(tblFleet[[#This Row],[Units]]="","",tblFleet[[#This Row],[Calendar_h]]-tblFleet[[#This Row],[Down_h]])</f>
        <v/>
      </c>
      <c r="I706" s="60">
        <f>IF(AND(tblFleet[[#This Row],[Units]]&lt;&gt;"",tblFleet[[#This Row],[Calendar_h]]&gt;0),tblFleet[[#This Row],[Available_h]]/tblFleet[[#This Row],[Calendar_h]],"")</f>
        <v/>
      </c>
      <c r="J706" s="60">
        <f>IF(AND(tblFleet[[#This Row],[Units]]&lt;&gt;"",tblFleet[[#This Row],[Available_h]]&gt;0),tblFleet[[#This Row],[Operating_h]]/tblFleet[[#This Row],[Available_h]],"")</f>
        <v/>
      </c>
    </row>
    <row r="707">
      <c r="A707" s="54" t="n"/>
      <c r="B707" s="61" t="n"/>
      <c r="C707" s="62" t="n"/>
      <c r="D707" s="57" t="n"/>
      <c r="E707" s="57" t="n"/>
      <c r="F707" s="58" t="n"/>
      <c r="G707" s="66">
        <f>IF(tblFleet[[#This Row],[Units]]="","",tblFleet[[#This Row],[Units]]*24)</f>
        <v/>
      </c>
      <c r="H707" s="66">
        <f>IF(tblFleet[[#This Row],[Units]]="","",tblFleet[[#This Row],[Calendar_h]]-tblFleet[[#This Row],[Down_h]])</f>
        <v/>
      </c>
      <c r="I707" s="60">
        <f>IF(AND(tblFleet[[#This Row],[Units]]&lt;&gt;"",tblFleet[[#This Row],[Calendar_h]]&gt;0),tblFleet[[#This Row],[Available_h]]/tblFleet[[#This Row],[Calendar_h]],"")</f>
        <v/>
      </c>
      <c r="J707" s="60">
        <f>IF(AND(tblFleet[[#This Row],[Units]]&lt;&gt;"",tblFleet[[#This Row],[Available_h]]&gt;0),tblFleet[[#This Row],[Operating_h]]/tblFleet[[#This Row],[Available_h]],"")</f>
        <v/>
      </c>
    </row>
    <row r="708">
      <c r="A708" s="54" t="n"/>
      <c r="B708" s="61" t="n"/>
      <c r="C708" s="62" t="n"/>
      <c r="D708" s="57" t="n"/>
      <c r="E708" s="57" t="n"/>
      <c r="F708" s="58" t="n"/>
      <c r="G708" s="66">
        <f>IF(tblFleet[[#This Row],[Units]]="","",tblFleet[[#This Row],[Units]]*24)</f>
        <v/>
      </c>
      <c r="H708" s="66">
        <f>IF(tblFleet[[#This Row],[Units]]="","",tblFleet[[#This Row],[Calendar_h]]-tblFleet[[#This Row],[Down_h]])</f>
        <v/>
      </c>
      <c r="I708" s="60">
        <f>IF(AND(tblFleet[[#This Row],[Units]]&lt;&gt;"",tblFleet[[#This Row],[Calendar_h]]&gt;0),tblFleet[[#This Row],[Available_h]]/tblFleet[[#This Row],[Calendar_h]],"")</f>
        <v/>
      </c>
      <c r="J708" s="60">
        <f>IF(AND(tblFleet[[#This Row],[Units]]&lt;&gt;"",tblFleet[[#This Row],[Available_h]]&gt;0),tblFleet[[#This Row],[Operating_h]]/tblFleet[[#This Row],[Available_h]],"")</f>
        <v/>
      </c>
    </row>
    <row r="709">
      <c r="A709" s="54" t="n"/>
      <c r="B709" s="61" t="n"/>
      <c r="C709" s="62" t="n"/>
      <c r="D709" s="57" t="n"/>
      <c r="E709" s="57" t="n"/>
      <c r="F709" s="58" t="n"/>
      <c r="G709" s="66">
        <f>IF(tblFleet[[#This Row],[Units]]="","",tblFleet[[#This Row],[Units]]*24)</f>
        <v/>
      </c>
      <c r="H709" s="66">
        <f>IF(tblFleet[[#This Row],[Units]]="","",tblFleet[[#This Row],[Calendar_h]]-tblFleet[[#This Row],[Down_h]])</f>
        <v/>
      </c>
      <c r="I709" s="60">
        <f>IF(AND(tblFleet[[#This Row],[Units]]&lt;&gt;"",tblFleet[[#This Row],[Calendar_h]]&gt;0),tblFleet[[#This Row],[Available_h]]/tblFleet[[#This Row],[Calendar_h]],"")</f>
        <v/>
      </c>
      <c r="J709" s="60">
        <f>IF(AND(tblFleet[[#This Row],[Units]]&lt;&gt;"",tblFleet[[#This Row],[Available_h]]&gt;0),tblFleet[[#This Row],[Operating_h]]/tblFleet[[#This Row],[Available_h]],"")</f>
        <v/>
      </c>
    </row>
    <row r="710">
      <c r="A710" s="54" t="n"/>
      <c r="B710" s="61" t="n"/>
      <c r="C710" s="62" t="n"/>
      <c r="D710" s="57" t="n"/>
      <c r="E710" s="57" t="n"/>
      <c r="F710" s="58" t="n"/>
      <c r="G710" s="66">
        <f>IF(tblFleet[[#This Row],[Units]]="","",tblFleet[[#This Row],[Units]]*24)</f>
        <v/>
      </c>
      <c r="H710" s="66">
        <f>IF(tblFleet[[#This Row],[Units]]="","",tblFleet[[#This Row],[Calendar_h]]-tblFleet[[#This Row],[Down_h]])</f>
        <v/>
      </c>
      <c r="I710" s="60">
        <f>IF(AND(tblFleet[[#This Row],[Units]]&lt;&gt;"",tblFleet[[#This Row],[Calendar_h]]&gt;0),tblFleet[[#This Row],[Available_h]]/tblFleet[[#This Row],[Calendar_h]],"")</f>
        <v/>
      </c>
      <c r="J710" s="60">
        <f>IF(AND(tblFleet[[#This Row],[Units]]&lt;&gt;"",tblFleet[[#This Row],[Available_h]]&gt;0),tblFleet[[#This Row],[Operating_h]]/tblFleet[[#This Row],[Available_h]],"")</f>
        <v/>
      </c>
    </row>
    <row r="711">
      <c r="A711" s="54" t="n"/>
      <c r="B711" s="61" t="n"/>
      <c r="C711" s="62" t="n"/>
      <c r="D711" s="57" t="n"/>
      <c r="E711" s="57" t="n"/>
      <c r="F711" s="58" t="n"/>
      <c r="G711" s="66">
        <f>IF(tblFleet[[#This Row],[Units]]="","",tblFleet[[#This Row],[Units]]*24)</f>
        <v/>
      </c>
      <c r="H711" s="66">
        <f>IF(tblFleet[[#This Row],[Units]]="","",tblFleet[[#This Row],[Calendar_h]]-tblFleet[[#This Row],[Down_h]])</f>
        <v/>
      </c>
      <c r="I711" s="60">
        <f>IF(AND(tblFleet[[#This Row],[Units]]&lt;&gt;"",tblFleet[[#This Row],[Calendar_h]]&gt;0),tblFleet[[#This Row],[Available_h]]/tblFleet[[#This Row],[Calendar_h]],"")</f>
        <v/>
      </c>
      <c r="J711" s="60">
        <f>IF(AND(tblFleet[[#This Row],[Units]]&lt;&gt;"",tblFleet[[#This Row],[Available_h]]&gt;0),tblFleet[[#This Row],[Operating_h]]/tblFleet[[#This Row],[Available_h]],"")</f>
        <v/>
      </c>
    </row>
    <row r="712">
      <c r="A712" s="54" t="n"/>
      <c r="B712" s="61" t="n"/>
      <c r="C712" s="62" t="n"/>
      <c r="D712" s="57" t="n"/>
      <c r="E712" s="57" t="n"/>
      <c r="F712" s="58" t="n"/>
      <c r="G712" s="66">
        <f>IF(tblFleet[[#This Row],[Units]]="","",tblFleet[[#This Row],[Units]]*24)</f>
        <v/>
      </c>
      <c r="H712" s="66">
        <f>IF(tblFleet[[#This Row],[Units]]="","",tblFleet[[#This Row],[Calendar_h]]-tblFleet[[#This Row],[Down_h]])</f>
        <v/>
      </c>
      <c r="I712" s="60">
        <f>IF(AND(tblFleet[[#This Row],[Units]]&lt;&gt;"",tblFleet[[#This Row],[Calendar_h]]&gt;0),tblFleet[[#This Row],[Available_h]]/tblFleet[[#This Row],[Calendar_h]],"")</f>
        <v/>
      </c>
      <c r="J712" s="60">
        <f>IF(AND(tblFleet[[#This Row],[Units]]&lt;&gt;"",tblFleet[[#This Row],[Available_h]]&gt;0),tblFleet[[#This Row],[Operating_h]]/tblFleet[[#This Row],[Available_h]],"")</f>
        <v/>
      </c>
    </row>
    <row r="713">
      <c r="A713" s="54" t="n"/>
      <c r="B713" s="61" t="n"/>
      <c r="C713" s="62" t="n"/>
      <c r="D713" s="57" t="n"/>
      <c r="E713" s="57" t="n"/>
      <c r="F713" s="58" t="n"/>
      <c r="G713" s="66">
        <f>IF(tblFleet[[#This Row],[Units]]="","",tblFleet[[#This Row],[Units]]*24)</f>
        <v/>
      </c>
      <c r="H713" s="66">
        <f>IF(tblFleet[[#This Row],[Units]]="","",tblFleet[[#This Row],[Calendar_h]]-tblFleet[[#This Row],[Down_h]])</f>
        <v/>
      </c>
      <c r="I713" s="60">
        <f>IF(AND(tblFleet[[#This Row],[Units]]&lt;&gt;"",tblFleet[[#This Row],[Calendar_h]]&gt;0),tblFleet[[#This Row],[Available_h]]/tblFleet[[#This Row],[Calendar_h]],"")</f>
        <v/>
      </c>
      <c r="J713" s="60">
        <f>IF(AND(tblFleet[[#This Row],[Units]]&lt;&gt;"",tblFleet[[#This Row],[Available_h]]&gt;0),tblFleet[[#This Row],[Operating_h]]/tblFleet[[#This Row],[Available_h]],"")</f>
        <v/>
      </c>
    </row>
    <row r="714">
      <c r="A714" s="54" t="n"/>
      <c r="B714" s="61" t="n"/>
      <c r="C714" s="62" t="n"/>
      <c r="D714" s="57" t="n"/>
      <c r="E714" s="57" t="n"/>
      <c r="F714" s="58" t="n"/>
      <c r="G714" s="66">
        <f>IF(tblFleet[[#This Row],[Units]]="","",tblFleet[[#This Row],[Units]]*24)</f>
        <v/>
      </c>
      <c r="H714" s="66">
        <f>IF(tblFleet[[#This Row],[Units]]="","",tblFleet[[#This Row],[Calendar_h]]-tblFleet[[#This Row],[Down_h]])</f>
        <v/>
      </c>
      <c r="I714" s="60">
        <f>IF(AND(tblFleet[[#This Row],[Units]]&lt;&gt;"",tblFleet[[#This Row],[Calendar_h]]&gt;0),tblFleet[[#This Row],[Available_h]]/tblFleet[[#This Row],[Calendar_h]],"")</f>
        <v/>
      </c>
      <c r="J714" s="60">
        <f>IF(AND(tblFleet[[#This Row],[Units]]&lt;&gt;"",tblFleet[[#This Row],[Available_h]]&gt;0),tblFleet[[#This Row],[Operating_h]]/tblFleet[[#This Row],[Available_h]],"")</f>
        <v/>
      </c>
    </row>
    <row r="715">
      <c r="A715" s="54" t="n"/>
      <c r="B715" s="61" t="n"/>
      <c r="C715" s="62" t="n"/>
      <c r="D715" s="57" t="n"/>
      <c r="E715" s="57" t="n"/>
      <c r="F715" s="58" t="n"/>
      <c r="G715" s="66">
        <f>IF(tblFleet[[#This Row],[Units]]="","",tblFleet[[#This Row],[Units]]*24)</f>
        <v/>
      </c>
      <c r="H715" s="66">
        <f>IF(tblFleet[[#This Row],[Units]]="","",tblFleet[[#This Row],[Calendar_h]]-tblFleet[[#This Row],[Down_h]])</f>
        <v/>
      </c>
      <c r="I715" s="60">
        <f>IF(AND(tblFleet[[#This Row],[Units]]&lt;&gt;"",tblFleet[[#This Row],[Calendar_h]]&gt;0),tblFleet[[#This Row],[Available_h]]/tblFleet[[#This Row],[Calendar_h]],"")</f>
        <v/>
      </c>
      <c r="J715" s="60">
        <f>IF(AND(tblFleet[[#This Row],[Units]]&lt;&gt;"",tblFleet[[#This Row],[Available_h]]&gt;0),tblFleet[[#This Row],[Operating_h]]/tblFleet[[#This Row],[Available_h]],"")</f>
        <v/>
      </c>
    </row>
    <row r="716">
      <c r="A716" s="54" t="n"/>
      <c r="B716" s="61" t="n"/>
      <c r="C716" s="62" t="n"/>
      <c r="D716" s="57" t="n"/>
      <c r="E716" s="57" t="n"/>
      <c r="F716" s="58" t="n"/>
      <c r="G716" s="66">
        <f>IF(tblFleet[[#This Row],[Units]]="","",tblFleet[[#This Row],[Units]]*24)</f>
        <v/>
      </c>
      <c r="H716" s="66">
        <f>IF(tblFleet[[#This Row],[Units]]="","",tblFleet[[#This Row],[Calendar_h]]-tblFleet[[#This Row],[Down_h]])</f>
        <v/>
      </c>
      <c r="I716" s="60">
        <f>IF(AND(tblFleet[[#This Row],[Units]]&lt;&gt;"",tblFleet[[#This Row],[Calendar_h]]&gt;0),tblFleet[[#This Row],[Available_h]]/tblFleet[[#This Row],[Calendar_h]],"")</f>
        <v/>
      </c>
      <c r="J716" s="60">
        <f>IF(AND(tblFleet[[#This Row],[Units]]&lt;&gt;"",tblFleet[[#This Row],[Available_h]]&gt;0),tblFleet[[#This Row],[Operating_h]]/tblFleet[[#This Row],[Available_h]],"")</f>
        <v/>
      </c>
    </row>
    <row r="717">
      <c r="A717" s="54" t="n"/>
      <c r="B717" s="61" t="n"/>
      <c r="C717" s="62" t="n"/>
      <c r="D717" s="57" t="n"/>
      <c r="E717" s="57" t="n"/>
      <c r="F717" s="58" t="n"/>
      <c r="G717" s="66">
        <f>IF(tblFleet[[#This Row],[Units]]="","",tblFleet[[#This Row],[Units]]*24)</f>
        <v/>
      </c>
      <c r="H717" s="66">
        <f>IF(tblFleet[[#This Row],[Units]]="","",tblFleet[[#This Row],[Calendar_h]]-tblFleet[[#This Row],[Down_h]])</f>
        <v/>
      </c>
      <c r="I717" s="60">
        <f>IF(AND(tblFleet[[#This Row],[Units]]&lt;&gt;"",tblFleet[[#This Row],[Calendar_h]]&gt;0),tblFleet[[#This Row],[Available_h]]/tblFleet[[#This Row],[Calendar_h]],"")</f>
        <v/>
      </c>
      <c r="J717" s="60">
        <f>IF(AND(tblFleet[[#This Row],[Units]]&lt;&gt;"",tblFleet[[#This Row],[Available_h]]&gt;0),tblFleet[[#This Row],[Operating_h]]/tblFleet[[#This Row],[Available_h]],"")</f>
        <v/>
      </c>
    </row>
    <row r="718">
      <c r="A718" s="54" t="n"/>
      <c r="B718" s="61" t="n"/>
      <c r="C718" s="62" t="n"/>
      <c r="D718" s="57" t="n"/>
      <c r="E718" s="57" t="n"/>
      <c r="F718" s="58" t="n"/>
      <c r="G718" s="66">
        <f>IF(tblFleet[[#This Row],[Units]]="","",tblFleet[[#This Row],[Units]]*24)</f>
        <v/>
      </c>
      <c r="H718" s="66">
        <f>IF(tblFleet[[#This Row],[Units]]="","",tblFleet[[#This Row],[Calendar_h]]-tblFleet[[#This Row],[Down_h]])</f>
        <v/>
      </c>
      <c r="I718" s="60">
        <f>IF(AND(tblFleet[[#This Row],[Units]]&lt;&gt;"",tblFleet[[#This Row],[Calendar_h]]&gt;0),tblFleet[[#This Row],[Available_h]]/tblFleet[[#This Row],[Calendar_h]],"")</f>
        <v/>
      </c>
      <c r="J718" s="60">
        <f>IF(AND(tblFleet[[#This Row],[Units]]&lt;&gt;"",tblFleet[[#This Row],[Available_h]]&gt;0),tblFleet[[#This Row],[Operating_h]]/tblFleet[[#This Row],[Available_h]],"")</f>
        <v/>
      </c>
    </row>
    <row r="719">
      <c r="A719" s="54" t="n"/>
      <c r="B719" s="61" t="n"/>
      <c r="C719" s="62" t="n"/>
      <c r="D719" s="57" t="n"/>
      <c r="E719" s="57" t="n"/>
      <c r="F719" s="58" t="n"/>
      <c r="G719" s="66">
        <f>IF(tblFleet[[#This Row],[Units]]="","",tblFleet[[#This Row],[Units]]*24)</f>
        <v/>
      </c>
      <c r="H719" s="66">
        <f>IF(tblFleet[[#This Row],[Units]]="","",tblFleet[[#This Row],[Calendar_h]]-tblFleet[[#This Row],[Down_h]])</f>
        <v/>
      </c>
      <c r="I719" s="60">
        <f>IF(AND(tblFleet[[#This Row],[Units]]&lt;&gt;"",tblFleet[[#This Row],[Calendar_h]]&gt;0),tblFleet[[#This Row],[Available_h]]/tblFleet[[#This Row],[Calendar_h]],"")</f>
        <v/>
      </c>
      <c r="J719" s="60">
        <f>IF(AND(tblFleet[[#This Row],[Units]]&lt;&gt;"",tblFleet[[#This Row],[Available_h]]&gt;0),tblFleet[[#This Row],[Operating_h]]/tblFleet[[#This Row],[Available_h]],"")</f>
        <v/>
      </c>
    </row>
    <row r="720">
      <c r="A720" s="54" t="n"/>
      <c r="B720" s="61" t="n"/>
      <c r="C720" s="62" t="n"/>
      <c r="D720" s="57" t="n"/>
      <c r="E720" s="57" t="n"/>
      <c r="F720" s="58" t="n"/>
      <c r="G720" s="66">
        <f>IF(tblFleet[[#This Row],[Units]]="","",tblFleet[[#This Row],[Units]]*24)</f>
        <v/>
      </c>
      <c r="H720" s="66">
        <f>IF(tblFleet[[#This Row],[Units]]="","",tblFleet[[#This Row],[Calendar_h]]-tblFleet[[#This Row],[Down_h]])</f>
        <v/>
      </c>
      <c r="I720" s="60">
        <f>IF(AND(tblFleet[[#This Row],[Units]]&lt;&gt;"",tblFleet[[#This Row],[Calendar_h]]&gt;0),tblFleet[[#This Row],[Available_h]]/tblFleet[[#This Row],[Calendar_h]],"")</f>
        <v/>
      </c>
      <c r="J720" s="60">
        <f>IF(AND(tblFleet[[#This Row],[Units]]&lt;&gt;"",tblFleet[[#This Row],[Available_h]]&gt;0),tblFleet[[#This Row],[Operating_h]]/tblFleet[[#This Row],[Available_h]],"")</f>
        <v/>
      </c>
    </row>
    <row r="721">
      <c r="A721" s="54" t="n"/>
      <c r="B721" s="61" t="n"/>
      <c r="C721" s="62" t="n"/>
      <c r="D721" s="57" t="n"/>
      <c r="E721" s="57" t="n"/>
      <c r="F721" s="58" t="n"/>
      <c r="G721" s="66">
        <f>IF(tblFleet[[#This Row],[Units]]="","",tblFleet[[#This Row],[Units]]*24)</f>
        <v/>
      </c>
      <c r="H721" s="66">
        <f>IF(tblFleet[[#This Row],[Units]]="","",tblFleet[[#This Row],[Calendar_h]]-tblFleet[[#This Row],[Down_h]])</f>
        <v/>
      </c>
      <c r="I721" s="60">
        <f>IF(AND(tblFleet[[#This Row],[Units]]&lt;&gt;"",tblFleet[[#This Row],[Calendar_h]]&gt;0),tblFleet[[#This Row],[Available_h]]/tblFleet[[#This Row],[Calendar_h]],"")</f>
        <v/>
      </c>
      <c r="J721" s="60">
        <f>IF(AND(tblFleet[[#This Row],[Units]]&lt;&gt;"",tblFleet[[#This Row],[Available_h]]&gt;0),tblFleet[[#This Row],[Operating_h]]/tblFleet[[#This Row],[Available_h]],"")</f>
        <v/>
      </c>
    </row>
    <row r="722">
      <c r="A722" s="54" t="n"/>
      <c r="B722" s="61" t="n"/>
      <c r="C722" s="62" t="n"/>
      <c r="D722" s="57" t="n"/>
      <c r="E722" s="57" t="n"/>
      <c r="F722" s="58" t="n"/>
      <c r="G722" s="66">
        <f>IF(tblFleet[[#This Row],[Units]]="","",tblFleet[[#This Row],[Units]]*24)</f>
        <v/>
      </c>
      <c r="H722" s="66">
        <f>IF(tblFleet[[#This Row],[Units]]="","",tblFleet[[#This Row],[Calendar_h]]-tblFleet[[#This Row],[Down_h]])</f>
        <v/>
      </c>
      <c r="I722" s="60">
        <f>IF(AND(tblFleet[[#This Row],[Units]]&lt;&gt;"",tblFleet[[#This Row],[Calendar_h]]&gt;0),tblFleet[[#This Row],[Available_h]]/tblFleet[[#This Row],[Calendar_h]],"")</f>
        <v/>
      </c>
      <c r="J722" s="60">
        <f>IF(AND(tblFleet[[#This Row],[Units]]&lt;&gt;"",tblFleet[[#This Row],[Available_h]]&gt;0),tblFleet[[#This Row],[Operating_h]]/tblFleet[[#This Row],[Available_h]],"")</f>
        <v/>
      </c>
    </row>
    <row r="723">
      <c r="A723" s="54" t="n"/>
      <c r="B723" s="61" t="n"/>
      <c r="C723" s="62" t="n"/>
      <c r="D723" s="57" t="n"/>
      <c r="E723" s="57" t="n"/>
      <c r="F723" s="58" t="n"/>
      <c r="G723" s="66">
        <f>IF(tblFleet[[#This Row],[Units]]="","",tblFleet[[#This Row],[Units]]*24)</f>
        <v/>
      </c>
      <c r="H723" s="66">
        <f>IF(tblFleet[[#This Row],[Units]]="","",tblFleet[[#This Row],[Calendar_h]]-tblFleet[[#This Row],[Down_h]])</f>
        <v/>
      </c>
      <c r="I723" s="60">
        <f>IF(AND(tblFleet[[#This Row],[Units]]&lt;&gt;"",tblFleet[[#This Row],[Calendar_h]]&gt;0),tblFleet[[#This Row],[Available_h]]/tblFleet[[#This Row],[Calendar_h]],"")</f>
        <v/>
      </c>
      <c r="J723" s="60">
        <f>IF(AND(tblFleet[[#This Row],[Units]]&lt;&gt;"",tblFleet[[#This Row],[Available_h]]&gt;0),tblFleet[[#This Row],[Operating_h]]/tblFleet[[#This Row],[Available_h]],"")</f>
        <v/>
      </c>
    </row>
    <row r="724">
      <c r="A724" s="54" t="n"/>
      <c r="B724" s="61" t="n"/>
      <c r="C724" s="62" t="n"/>
      <c r="D724" s="57" t="n"/>
      <c r="E724" s="57" t="n"/>
      <c r="F724" s="58" t="n"/>
      <c r="G724" s="66">
        <f>IF(tblFleet[[#This Row],[Units]]="","",tblFleet[[#This Row],[Units]]*24)</f>
        <v/>
      </c>
      <c r="H724" s="66">
        <f>IF(tblFleet[[#This Row],[Units]]="","",tblFleet[[#This Row],[Calendar_h]]-tblFleet[[#This Row],[Down_h]])</f>
        <v/>
      </c>
      <c r="I724" s="60">
        <f>IF(AND(tblFleet[[#This Row],[Units]]&lt;&gt;"",tblFleet[[#This Row],[Calendar_h]]&gt;0),tblFleet[[#This Row],[Available_h]]/tblFleet[[#This Row],[Calendar_h]],"")</f>
        <v/>
      </c>
      <c r="J724" s="60">
        <f>IF(AND(tblFleet[[#This Row],[Units]]&lt;&gt;"",tblFleet[[#This Row],[Available_h]]&gt;0),tblFleet[[#This Row],[Operating_h]]/tblFleet[[#This Row],[Available_h]],"")</f>
        <v/>
      </c>
    </row>
    <row r="725">
      <c r="A725" s="54" t="n"/>
      <c r="B725" s="61" t="n"/>
      <c r="C725" s="62" t="n"/>
      <c r="D725" s="57" t="n"/>
      <c r="E725" s="57" t="n"/>
      <c r="F725" s="58" t="n"/>
      <c r="G725" s="66">
        <f>IF(tblFleet[[#This Row],[Units]]="","",tblFleet[[#This Row],[Units]]*24)</f>
        <v/>
      </c>
      <c r="H725" s="66">
        <f>IF(tblFleet[[#This Row],[Units]]="","",tblFleet[[#This Row],[Calendar_h]]-tblFleet[[#This Row],[Down_h]])</f>
        <v/>
      </c>
      <c r="I725" s="60">
        <f>IF(AND(tblFleet[[#This Row],[Units]]&lt;&gt;"",tblFleet[[#This Row],[Calendar_h]]&gt;0),tblFleet[[#This Row],[Available_h]]/tblFleet[[#This Row],[Calendar_h]],"")</f>
        <v/>
      </c>
      <c r="J725" s="60">
        <f>IF(AND(tblFleet[[#This Row],[Units]]&lt;&gt;"",tblFleet[[#This Row],[Available_h]]&gt;0),tblFleet[[#This Row],[Operating_h]]/tblFleet[[#This Row],[Available_h]],"")</f>
        <v/>
      </c>
    </row>
    <row r="726">
      <c r="A726" s="54" t="n"/>
      <c r="B726" s="61" t="n"/>
      <c r="C726" s="62" t="n"/>
      <c r="D726" s="57" t="n"/>
      <c r="E726" s="57" t="n"/>
      <c r="F726" s="58" t="n"/>
      <c r="G726" s="66">
        <f>IF(tblFleet[[#This Row],[Units]]="","",tblFleet[[#This Row],[Units]]*24)</f>
        <v/>
      </c>
      <c r="H726" s="66">
        <f>IF(tblFleet[[#This Row],[Units]]="","",tblFleet[[#This Row],[Calendar_h]]-tblFleet[[#This Row],[Down_h]])</f>
        <v/>
      </c>
      <c r="I726" s="60">
        <f>IF(AND(tblFleet[[#This Row],[Units]]&lt;&gt;"",tblFleet[[#This Row],[Calendar_h]]&gt;0),tblFleet[[#This Row],[Available_h]]/tblFleet[[#This Row],[Calendar_h]],"")</f>
        <v/>
      </c>
      <c r="J726" s="60">
        <f>IF(AND(tblFleet[[#This Row],[Units]]&lt;&gt;"",tblFleet[[#This Row],[Available_h]]&gt;0),tblFleet[[#This Row],[Operating_h]]/tblFleet[[#This Row],[Available_h]],"")</f>
        <v/>
      </c>
    </row>
    <row r="727">
      <c r="A727" s="54" t="n"/>
      <c r="B727" s="61" t="n"/>
      <c r="C727" s="62" t="n"/>
      <c r="D727" s="57" t="n"/>
      <c r="E727" s="57" t="n"/>
      <c r="F727" s="58" t="n"/>
      <c r="G727" s="66">
        <f>IF(tblFleet[[#This Row],[Units]]="","",tblFleet[[#This Row],[Units]]*24)</f>
        <v/>
      </c>
      <c r="H727" s="66">
        <f>IF(tblFleet[[#This Row],[Units]]="","",tblFleet[[#This Row],[Calendar_h]]-tblFleet[[#This Row],[Down_h]])</f>
        <v/>
      </c>
      <c r="I727" s="60">
        <f>IF(AND(tblFleet[[#This Row],[Units]]&lt;&gt;"",tblFleet[[#This Row],[Calendar_h]]&gt;0),tblFleet[[#This Row],[Available_h]]/tblFleet[[#This Row],[Calendar_h]],"")</f>
        <v/>
      </c>
      <c r="J727" s="60">
        <f>IF(AND(tblFleet[[#This Row],[Units]]&lt;&gt;"",tblFleet[[#This Row],[Available_h]]&gt;0),tblFleet[[#This Row],[Operating_h]]/tblFleet[[#This Row],[Available_h]],"")</f>
        <v/>
      </c>
    </row>
    <row r="728">
      <c r="A728" s="54" t="n"/>
      <c r="B728" s="61" t="n"/>
      <c r="C728" s="62" t="n"/>
      <c r="D728" s="57" t="n"/>
      <c r="E728" s="57" t="n"/>
      <c r="F728" s="58" t="n"/>
      <c r="G728" s="66">
        <f>IF(tblFleet[[#This Row],[Units]]="","",tblFleet[[#This Row],[Units]]*24)</f>
        <v/>
      </c>
      <c r="H728" s="66">
        <f>IF(tblFleet[[#This Row],[Units]]="","",tblFleet[[#This Row],[Calendar_h]]-tblFleet[[#This Row],[Down_h]])</f>
        <v/>
      </c>
      <c r="I728" s="60">
        <f>IF(AND(tblFleet[[#This Row],[Units]]&lt;&gt;"",tblFleet[[#This Row],[Calendar_h]]&gt;0),tblFleet[[#This Row],[Available_h]]/tblFleet[[#This Row],[Calendar_h]],"")</f>
        <v/>
      </c>
      <c r="J728" s="60">
        <f>IF(AND(tblFleet[[#This Row],[Units]]&lt;&gt;"",tblFleet[[#This Row],[Available_h]]&gt;0),tblFleet[[#This Row],[Operating_h]]/tblFleet[[#This Row],[Available_h]],"")</f>
        <v/>
      </c>
    </row>
    <row r="729">
      <c r="A729" s="54" t="n"/>
      <c r="B729" s="61" t="n"/>
      <c r="C729" s="62" t="n"/>
      <c r="D729" s="57" t="n"/>
      <c r="E729" s="57" t="n"/>
      <c r="F729" s="58" t="n"/>
      <c r="G729" s="66">
        <f>IF(tblFleet[[#This Row],[Units]]="","",tblFleet[[#This Row],[Units]]*24)</f>
        <v/>
      </c>
      <c r="H729" s="66">
        <f>IF(tblFleet[[#This Row],[Units]]="","",tblFleet[[#This Row],[Calendar_h]]-tblFleet[[#This Row],[Down_h]])</f>
        <v/>
      </c>
      <c r="I729" s="60">
        <f>IF(AND(tblFleet[[#This Row],[Units]]&lt;&gt;"",tblFleet[[#This Row],[Calendar_h]]&gt;0),tblFleet[[#This Row],[Available_h]]/tblFleet[[#This Row],[Calendar_h]],"")</f>
        <v/>
      </c>
      <c r="J729" s="60">
        <f>IF(AND(tblFleet[[#This Row],[Units]]&lt;&gt;"",tblFleet[[#This Row],[Available_h]]&gt;0),tblFleet[[#This Row],[Operating_h]]/tblFleet[[#This Row],[Available_h]],"")</f>
        <v/>
      </c>
    </row>
    <row r="730">
      <c r="A730" s="54" t="n"/>
      <c r="B730" s="61" t="n"/>
      <c r="C730" s="62" t="n"/>
      <c r="D730" s="57" t="n"/>
      <c r="E730" s="57" t="n"/>
      <c r="F730" s="58" t="n"/>
      <c r="G730" s="66">
        <f>IF(tblFleet[[#This Row],[Units]]="","",tblFleet[[#This Row],[Units]]*24)</f>
        <v/>
      </c>
      <c r="H730" s="66">
        <f>IF(tblFleet[[#This Row],[Units]]="","",tblFleet[[#This Row],[Calendar_h]]-tblFleet[[#This Row],[Down_h]])</f>
        <v/>
      </c>
      <c r="I730" s="60">
        <f>IF(AND(tblFleet[[#This Row],[Units]]&lt;&gt;"",tblFleet[[#This Row],[Calendar_h]]&gt;0),tblFleet[[#This Row],[Available_h]]/tblFleet[[#This Row],[Calendar_h]],"")</f>
        <v/>
      </c>
      <c r="J730" s="60">
        <f>IF(AND(tblFleet[[#This Row],[Units]]&lt;&gt;"",tblFleet[[#This Row],[Available_h]]&gt;0),tblFleet[[#This Row],[Operating_h]]/tblFleet[[#This Row],[Available_h]],"")</f>
        <v/>
      </c>
    </row>
    <row r="731">
      <c r="A731" s="54" t="n"/>
      <c r="B731" s="61" t="n"/>
      <c r="C731" s="62" t="n"/>
      <c r="D731" s="57" t="n"/>
      <c r="E731" s="57" t="n"/>
      <c r="F731" s="58" t="n"/>
      <c r="G731" s="66">
        <f>IF(tblFleet[[#This Row],[Units]]="","",tblFleet[[#This Row],[Units]]*24)</f>
        <v/>
      </c>
      <c r="H731" s="66">
        <f>IF(tblFleet[[#This Row],[Units]]="","",tblFleet[[#This Row],[Calendar_h]]-tblFleet[[#This Row],[Down_h]])</f>
        <v/>
      </c>
      <c r="I731" s="60">
        <f>IF(AND(tblFleet[[#This Row],[Units]]&lt;&gt;"",tblFleet[[#This Row],[Calendar_h]]&gt;0),tblFleet[[#This Row],[Available_h]]/tblFleet[[#This Row],[Calendar_h]],"")</f>
        <v/>
      </c>
      <c r="J731" s="60">
        <f>IF(AND(tblFleet[[#This Row],[Units]]&lt;&gt;"",tblFleet[[#This Row],[Available_h]]&gt;0),tblFleet[[#This Row],[Operating_h]]/tblFleet[[#This Row],[Available_h]],"")</f>
        <v/>
      </c>
    </row>
    <row r="732">
      <c r="A732" s="54" t="n"/>
      <c r="B732" s="61" t="n"/>
      <c r="C732" s="62" t="n"/>
      <c r="D732" s="57" t="n"/>
      <c r="E732" s="57" t="n"/>
      <c r="F732" s="58" t="n"/>
      <c r="G732" s="66">
        <f>IF(tblFleet[[#This Row],[Units]]="","",tblFleet[[#This Row],[Units]]*24)</f>
        <v/>
      </c>
      <c r="H732" s="66">
        <f>IF(tblFleet[[#This Row],[Units]]="","",tblFleet[[#This Row],[Calendar_h]]-tblFleet[[#This Row],[Down_h]])</f>
        <v/>
      </c>
      <c r="I732" s="60">
        <f>IF(AND(tblFleet[[#This Row],[Units]]&lt;&gt;"",tblFleet[[#This Row],[Calendar_h]]&gt;0),tblFleet[[#This Row],[Available_h]]/tblFleet[[#This Row],[Calendar_h]],"")</f>
        <v/>
      </c>
      <c r="J732" s="60">
        <f>IF(AND(tblFleet[[#This Row],[Units]]&lt;&gt;"",tblFleet[[#This Row],[Available_h]]&gt;0),tblFleet[[#This Row],[Operating_h]]/tblFleet[[#This Row],[Available_h]],"")</f>
        <v/>
      </c>
    </row>
    <row r="733">
      <c r="A733" s="54" t="n"/>
      <c r="B733" s="61" t="n"/>
      <c r="C733" s="62" t="n"/>
      <c r="D733" s="57" t="n"/>
      <c r="E733" s="57" t="n"/>
      <c r="F733" s="58" t="n"/>
      <c r="G733" s="66">
        <f>IF(tblFleet[[#This Row],[Units]]="","",tblFleet[[#This Row],[Units]]*24)</f>
        <v/>
      </c>
      <c r="H733" s="66">
        <f>IF(tblFleet[[#This Row],[Units]]="","",tblFleet[[#This Row],[Calendar_h]]-tblFleet[[#This Row],[Down_h]])</f>
        <v/>
      </c>
      <c r="I733" s="60">
        <f>IF(AND(tblFleet[[#This Row],[Units]]&lt;&gt;"",tblFleet[[#This Row],[Calendar_h]]&gt;0),tblFleet[[#This Row],[Available_h]]/tblFleet[[#This Row],[Calendar_h]],"")</f>
        <v/>
      </c>
      <c r="J733" s="60">
        <f>IF(AND(tblFleet[[#This Row],[Units]]&lt;&gt;"",tblFleet[[#This Row],[Available_h]]&gt;0),tblFleet[[#This Row],[Operating_h]]/tblFleet[[#This Row],[Available_h]],"")</f>
        <v/>
      </c>
    </row>
    <row r="734">
      <c r="A734" s="54" t="n"/>
      <c r="B734" s="61" t="n"/>
      <c r="C734" s="62" t="n"/>
      <c r="D734" s="57" t="n"/>
      <c r="E734" s="57" t="n"/>
      <c r="F734" s="58" t="n"/>
      <c r="G734" s="66">
        <f>IF(tblFleet[[#This Row],[Units]]="","",tblFleet[[#This Row],[Units]]*24)</f>
        <v/>
      </c>
      <c r="H734" s="66">
        <f>IF(tblFleet[[#This Row],[Units]]="","",tblFleet[[#This Row],[Calendar_h]]-tblFleet[[#This Row],[Down_h]])</f>
        <v/>
      </c>
      <c r="I734" s="60">
        <f>IF(AND(tblFleet[[#This Row],[Units]]&lt;&gt;"",tblFleet[[#This Row],[Calendar_h]]&gt;0),tblFleet[[#This Row],[Available_h]]/tblFleet[[#This Row],[Calendar_h]],"")</f>
        <v/>
      </c>
      <c r="J734" s="60">
        <f>IF(AND(tblFleet[[#This Row],[Units]]&lt;&gt;"",tblFleet[[#This Row],[Available_h]]&gt;0),tblFleet[[#This Row],[Operating_h]]/tblFleet[[#This Row],[Available_h]],"")</f>
        <v/>
      </c>
    </row>
    <row r="735">
      <c r="A735" s="54" t="n"/>
      <c r="B735" s="61" t="n"/>
      <c r="C735" s="62" t="n"/>
      <c r="D735" s="57" t="n"/>
      <c r="E735" s="57" t="n"/>
      <c r="F735" s="58" t="n"/>
      <c r="G735" s="66">
        <f>IF(tblFleet[[#This Row],[Units]]="","",tblFleet[[#This Row],[Units]]*24)</f>
        <v/>
      </c>
      <c r="H735" s="66">
        <f>IF(tblFleet[[#This Row],[Units]]="","",tblFleet[[#This Row],[Calendar_h]]-tblFleet[[#This Row],[Down_h]])</f>
        <v/>
      </c>
      <c r="I735" s="60">
        <f>IF(AND(tblFleet[[#This Row],[Units]]&lt;&gt;"",tblFleet[[#This Row],[Calendar_h]]&gt;0),tblFleet[[#This Row],[Available_h]]/tblFleet[[#This Row],[Calendar_h]],"")</f>
        <v/>
      </c>
      <c r="J735" s="60">
        <f>IF(AND(tblFleet[[#This Row],[Units]]&lt;&gt;"",tblFleet[[#This Row],[Available_h]]&gt;0),tblFleet[[#This Row],[Operating_h]]/tblFleet[[#This Row],[Available_h]],"")</f>
        <v/>
      </c>
    </row>
    <row r="736">
      <c r="A736" s="54" t="n"/>
      <c r="B736" s="61" t="n"/>
      <c r="C736" s="62" t="n"/>
      <c r="D736" s="57" t="n"/>
      <c r="E736" s="57" t="n"/>
      <c r="F736" s="58" t="n"/>
      <c r="G736" s="66">
        <f>IF(tblFleet[[#This Row],[Units]]="","",tblFleet[[#This Row],[Units]]*24)</f>
        <v/>
      </c>
      <c r="H736" s="66">
        <f>IF(tblFleet[[#This Row],[Units]]="","",tblFleet[[#This Row],[Calendar_h]]-tblFleet[[#This Row],[Down_h]])</f>
        <v/>
      </c>
      <c r="I736" s="60">
        <f>IF(AND(tblFleet[[#This Row],[Units]]&lt;&gt;"",tblFleet[[#This Row],[Calendar_h]]&gt;0),tblFleet[[#This Row],[Available_h]]/tblFleet[[#This Row],[Calendar_h]],"")</f>
        <v/>
      </c>
      <c r="J736" s="60">
        <f>IF(AND(tblFleet[[#This Row],[Units]]&lt;&gt;"",tblFleet[[#This Row],[Available_h]]&gt;0),tblFleet[[#This Row],[Operating_h]]/tblFleet[[#This Row],[Available_h]],"")</f>
        <v/>
      </c>
    </row>
    <row r="737">
      <c r="A737" s="54" t="n"/>
      <c r="B737" s="61" t="n"/>
      <c r="C737" s="62" t="n"/>
      <c r="D737" s="57" t="n"/>
      <c r="E737" s="57" t="n"/>
      <c r="F737" s="58" t="n"/>
      <c r="G737" s="66">
        <f>IF(tblFleet[[#This Row],[Units]]="","",tblFleet[[#This Row],[Units]]*24)</f>
        <v/>
      </c>
      <c r="H737" s="66">
        <f>IF(tblFleet[[#This Row],[Units]]="","",tblFleet[[#This Row],[Calendar_h]]-tblFleet[[#This Row],[Down_h]])</f>
        <v/>
      </c>
      <c r="I737" s="60">
        <f>IF(AND(tblFleet[[#This Row],[Units]]&lt;&gt;"",tblFleet[[#This Row],[Calendar_h]]&gt;0),tblFleet[[#This Row],[Available_h]]/tblFleet[[#This Row],[Calendar_h]],"")</f>
        <v/>
      </c>
      <c r="J737" s="60">
        <f>IF(AND(tblFleet[[#This Row],[Units]]&lt;&gt;"",tblFleet[[#This Row],[Available_h]]&gt;0),tblFleet[[#This Row],[Operating_h]]/tblFleet[[#This Row],[Available_h]],"")</f>
        <v/>
      </c>
    </row>
    <row r="738">
      <c r="A738" s="54" t="n"/>
      <c r="B738" s="61" t="n"/>
      <c r="C738" s="62" t="n"/>
      <c r="D738" s="57" t="n"/>
      <c r="E738" s="57" t="n"/>
      <c r="F738" s="58" t="n"/>
      <c r="G738" s="66">
        <f>IF(tblFleet[[#This Row],[Units]]="","",tblFleet[[#This Row],[Units]]*24)</f>
        <v/>
      </c>
      <c r="H738" s="66">
        <f>IF(tblFleet[[#This Row],[Units]]="","",tblFleet[[#This Row],[Calendar_h]]-tblFleet[[#This Row],[Down_h]])</f>
        <v/>
      </c>
      <c r="I738" s="60">
        <f>IF(AND(tblFleet[[#This Row],[Units]]&lt;&gt;"",tblFleet[[#This Row],[Calendar_h]]&gt;0),tblFleet[[#This Row],[Available_h]]/tblFleet[[#This Row],[Calendar_h]],"")</f>
        <v/>
      </c>
      <c r="J738" s="60">
        <f>IF(AND(tblFleet[[#This Row],[Units]]&lt;&gt;"",tblFleet[[#This Row],[Available_h]]&gt;0),tblFleet[[#This Row],[Operating_h]]/tblFleet[[#This Row],[Available_h]],"")</f>
        <v/>
      </c>
    </row>
    <row r="739">
      <c r="A739" s="54" t="n"/>
      <c r="B739" s="61" t="n"/>
      <c r="C739" s="62" t="n"/>
      <c r="D739" s="57" t="n"/>
      <c r="E739" s="57" t="n"/>
      <c r="F739" s="58" t="n"/>
      <c r="G739" s="66">
        <f>IF(tblFleet[[#This Row],[Units]]="","",tblFleet[[#This Row],[Units]]*24)</f>
        <v/>
      </c>
      <c r="H739" s="66">
        <f>IF(tblFleet[[#This Row],[Units]]="","",tblFleet[[#This Row],[Calendar_h]]-tblFleet[[#This Row],[Down_h]])</f>
        <v/>
      </c>
      <c r="I739" s="60">
        <f>IF(AND(tblFleet[[#This Row],[Units]]&lt;&gt;"",tblFleet[[#This Row],[Calendar_h]]&gt;0),tblFleet[[#This Row],[Available_h]]/tblFleet[[#This Row],[Calendar_h]],"")</f>
        <v/>
      </c>
      <c r="J739" s="60">
        <f>IF(AND(tblFleet[[#This Row],[Units]]&lt;&gt;"",tblFleet[[#This Row],[Available_h]]&gt;0),tblFleet[[#This Row],[Operating_h]]/tblFleet[[#This Row],[Available_h]],"")</f>
        <v/>
      </c>
    </row>
    <row r="740">
      <c r="A740" s="54" t="n"/>
      <c r="B740" s="61" t="n"/>
      <c r="C740" s="62" t="n"/>
      <c r="D740" s="57" t="n"/>
      <c r="E740" s="57" t="n"/>
      <c r="F740" s="58" t="n"/>
      <c r="G740" s="66">
        <f>IF(tblFleet[[#This Row],[Units]]="","",tblFleet[[#This Row],[Units]]*24)</f>
        <v/>
      </c>
      <c r="H740" s="66">
        <f>IF(tblFleet[[#This Row],[Units]]="","",tblFleet[[#This Row],[Calendar_h]]-tblFleet[[#This Row],[Down_h]])</f>
        <v/>
      </c>
      <c r="I740" s="60">
        <f>IF(AND(tblFleet[[#This Row],[Units]]&lt;&gt;"",tblFleet[[#This Row],[Calendar_h]]&gt;0),tblFleet[[#This Row],[Available_h]]/tblFleet[[#This Row],[Calendar_h]],"")</f>
        <v/>
      </c>
      <c r="J740" s="60">
        <f>IF(AND(tblFleet[[#This Row],[Units]]&lt;&gt;"",tblFleet[[#This Row],[Available_h]]&gt;0),tblFleet[[#This Row],[Operating_h]]/tblFleet[[#This Row],[Available_h]],"")</f>
        <v/>
      </c>
    </row>
    <row r="741">
      <c r="A741" s="54" t="n"/>
      <c r="B741" s="61" t="n"/>
      <c r="C741" s="62" t="n"/>
      <c r="D741" s="57" t="n"/>
      <c r="E741" s="57" t="n"/>
      <c r="F741" s="58" t="n"/>
      <c r="G741" s="66">
        <f>IF(tblFleet[[#This Row],[Units]]="","",tblFleet[[#This Row],[Units]]*24)</f>
        <v/>
      </c>
      <c r="H741" s="66">
        <f>IF(tblFleet[[#This Row],[Units]]="","",tblFleet[[#This Row],[Calendar_h]]-tblFleet[[#This Row],[Down_h]])</f>
        <v/>
      </c>
      <c r="I741" s="60">
        <f>IF(AND(tblFleet[[#This Row],[Units]]&lt;&gt;"",tblFleet[[#This Row],[Calendar_h]]&gt;0),tblFleet[[#This Row],[Available_h]]/tblFleet[[#This Row],[Calendar_h]],"")</f>
        <v/>
      </c>
      <c r="J741" s="60">
        <f>IF(AND(tblFleet[[#This Row],[Units]]&lt;&gt;"",tblFleet[[#This Row],[Available_h]]&gt;0),tblFleet[[#This Row],[Operating_h]]/tblFleet[[#This Row],[Available_h]],"")</f>
        <v/>
      </c>
    </row>
    <row r="742">
      <c r="A742" s="54" t="n"/>
      <c r="B742" s="61" t="n"/>
      <c r="C742" s="62" t="n"/>
      <c r="D742" s="57" t="n"/>
      <c r="E742" s="57" t="n"/>
      <c r="F742" s="58" t="n"/>
      <c r="G742" s="66">
        <f>IF(tblFleet[[#This Row],[Units]]="","",tblFleet[[#This Row],[Units]]*24)</f>
        <v/>
      </c>
      <c r="H742" s="66">
        <f>IF(tblFleet[[#This Row],[Units]]="","",tblFleet[[#This Row],[Calendar_h]]-tblFleet[[#This Row],[Down_h]])</f>
        <v/>
      </c>
      <c r="I742" s="60">
        <f>IF(AND(tblFleet[[#This Row],[Units]]&lt;&gt;"",tblFleet[[#This Row],[Calendar_h]]&gt;0),tblFleet[[#This Row],[Available_h]]/tblFleet[[#This Row],[Calendar_h]],"")</f>
        <v/>
      </c>
      <c r="J742" s="60">
        <f>IF(AND(tblFleet[[#This Row],[Units]]&lt;&gt;"",tblFleet[[#This Row],[Available_h]]&gt;0),tblFleet[[#This Row],[Operating_h]]/tblFleet[[#This Row],[Available_h]],"")</f>
        <v/>
      </c>
    </row>
    <row r="743">
      <c r="A743" s="54" t="n"/>
      <c r="B743" s="61" t="n"/>
      <c r="C743" s="62" t="n"/>
      <c r="D743" s="57" t="n"/>
      <c r="E743" s="57" t="n"/>
      <c r="F743" s="58" t="n"/>
      <c r="G743" s="66">
        <f>IF(tblFleet[[#This Row],[Units]]="","",tblFleet[[#This Row],[Units]]*24)</f>
        <v/>
      </c>
      <c r="H743" s="66">
        <f>IF(tblFleet[[#This Row],[Units]]="","",tblFleet[[#This Row],[Calendar_h]]-tblFleet[[#This Row],[Down_h]])</f>
        <v/>
      </c>
      <c r="I743" s="60">
        <f>IF(AND(tblFleet[[#This Row],[Units]]&lt;&gt;"",tblFleet[[#This Row],[Calendar_h]]&gt;0),tblFleet[[#This Row],[Available_h]]/tblFleet[[#This Row],[Calendar_h]],"")</f>
        <v/>
      </c>
      <c r="J743" s="60">
        <f>IF(AND(tblFleet[[#This Row],[Units]]&lt;&gt;"",tblFleet[[#This Row],[Available_h]]&gt;0),tblFleet[[#This Row],[Operating_h]]/tblFleet[[#This Row],[Available_h]],"")</f>
        <v/>
      </c>
    </row>
    <row r="744">
      <c r="A744" s="54" t="n"/>
      <c r="B744" s="61" t="n"/>
      <c r="C744" s="62" t="n"/>
      <c r="D744" s="57" t="n"/>
      <c r="E744" s="57" t="n"/>
      <c r="F744" s="58" t="n"/>
      <c r="G744" s="66">
        <f>IF(tblFleet[[#This Row],[Units]]="","",tblFleet[[#This Row],[Units]]*24)</f>
        <v/>
      </c>
      <c r="H744" s="66">
        <f>IF(tblFleet[[#This Row],[Units]]="","",tblFleet[[#This Row],[Calendar_h]]-tblFleet[[#This Row],[Down_h]])</f>
        <v/>
      </c>
      <c r="I744" s="60">
        <f>IF(AND(tblFleet[[#This Row],[Units]]&lt;&gt;"",tblFleet[[#This Row],[Calendar_h]]&gt;0),tblFleet[[#This Row],[Available_h]]/tblFleet[[#This Row],[Calendar_h]],"")</f>
        <v/>
      </c>
      <c r="J744" s="60">
        <f>IF(AND(tblFleet[[#This Row],[Units]]&lt;&gt;"",tblFleet[[#This Row],[Available_h]]&gt;0),tblFleet[[#This Row],[Operating_h]]/tblFleet[[#This Row],[Available_h]],"")</f>
        <v/>
      </c>
    </row>
    <row r="745">
      <c r="A745" s="54" t="n"/>
      <c r="B745" s="61" t="n"/>
      <c r="C745" s="62" t="n"/>
      <c r="D745" s="57" t="n"/>
      <c r="E745" s="57" t="n"/>
      <c r="F745" s="58" t="n"/>
      <c r="G745" s="66">
        <f>IF(tblFleet[[#This Row],[Units]]="","",tblFleet[[#This Row],[Units]]*24)</f>
        <v/>
      </c>
      <c r="H745" s="66">
        <f>IF(tblFleet[[#This Row],[Units]]="","",tblFleet[[#This Row],[Calendar_h]]-tblFleet[[#This Row],[Down_h]])</f>
        <v/>
      </c>
      <c r="I745" s="60">
        <f>IF(AND(tblFleet[[#This Row],[Units]]&lt;&gt;"",tblFleet[[#This Row],[Calendar_h]]&gt;0),tblFleet[[#This Row],[Available_h]]/tblFleet[[#This Row],[Calendar_h]],"")</f>
        <v/>
      </c>
      <c r="J745" s="60">
        <f>IF(AND(tblFleet[[#This Row],[Units]]&lt;&gt;"",tblFleet[[#This Row],[Available_h]]&gt;0),tblFleet[[#This Row],[Operating_h]]/tblFleet[[#This Row],[Available_h]],"")</f>
        <v/>
      </c>
    </row>
    <row r="746">
      <c r="A746" s="54" t="n"/>
      <c r="B746" s="61" t="n"/>
      <c r="C746" s="62" t="n"/>
      <c r="D746" s="57" t="n"/>
      <c r="E746" s="57" t="n"/>
      <c r="F746" s="58" t="n"/>
      <c r="G746" s="66">
        <f>IF(tblFleet[[#This Row],[Units]]="","",tblFleet[[#This Row],[Units]]*24)</f>
        <v/>
      </c>
      <c r="H746" s="66">
        <f>IF(tblFleet[[#This Row],[Units]]="","",tblFleet[[#This Row],[Calendar_h]]-tblFleet[[#This Row],[Down_h]])</f>
        <v/>
      </c>
      <c r="I746" s="60">
        <f>IF(AND(tblFleet[[#This Row],[Units]]&lt;&gt;"",tblFleet[[#This Row],[Calendar_h]]&gt;0),tblFleet[[#This Row],[Available_h]]/tblFleet[[#This Row],[Calendar_h]],"")</f>
        <v/>
      </c>
      <c r="J746" s="60">
        <f>IF(AND(tblFleet[[#This Row],[Units]]&lt;&gt;"",tblFleet[[#This Row],[Available_h]]&gt;0),tblFleet[[#This Row],[Operating_h]]/tblFleet[[#This Row],[Available_h]],"")</f>
        <v/>
      </c>
    </row>
    <row r="747">
      <c r="A747" s="54" t="n"/>
      <c r="B747" s="61" t="n"/>
      <c r="C747" s="62" t="n"/>
      <c r="D747" s="57" t="n"/>
      <c r="E747" s="57" t="n"/>
      <c r="F747" s="58" t="n"/>
      <c r="G747" s="66">
        <f>IF(tblFleet[[#This Row],[Units]]="","",tblFleet[[#This Row],[Units]]*24)</f>
        <v/>
      </c>
      <c r="H747" s="66">
        <f>IF(tblFleet[[#This Row],[Units]]="","",tblFleet[[#This Row],[Calendar_h]]-tblFleet[[#This Row],[Down_h]])</f>
        <v/>
      </c>
      <c r="I747" s="60">
        <f>IF(AND(tblFleet[[#This Row],[Units]]&lt;&gt;"",tblFleet[[#This Row],[Calendar_h]]&gt;0),tblFleet[[#This Row],[Available_h]]/tblFleet[[#This Row],[Calendar_h]],"")</f>
        <v/>
      </c>
      <c r="J747" s="60">
        <f>IF(AND(tblFleet[[#This Row],[Units]]&lt;&gt;"",tblFleet[[#This Row],[Available_h]]&gt;0),tblFleet[[#This Row],[Operating_h]]/tblFleet[[#This Row],[Available_h]],"")</f>
        <v/>
      </c>
    </row>
    <row r="748">
      <c r="A748" s="54" t="n"/>
      <c r="B748" s="61" t="n"/>
      <c r="C748" s="62" t="n"/>
      <c r="D748" s="57" t="n"/>
      <c r="E748" s="57" t="n"/>
      <c r="F748" s="58" t="n"/>
      <c r="G748" s="66">
        <f>IF(tblFleet[[#This Row],[Units]]="","",tblFleet[[#This Row],[Units]]*24)</f>
        <v/>
      </c>
      <c r="H748" s="66">
        <f>IF(tblFleet[[#This Row],[Units]]="","",tblFleet[[#This Row],[Calendar_h]]-tblFleet[[#This Row],[Down_h]])</f>
        <v/>
      </c>
      <c r="I748" s="60">
        <f>IF(AND(tblFleet[[#This Row],[Units]]&lt;&gt;"",tblFleet[[#This Row],[Calendar_h]]&gt;0),tblFleet[[#This Row],[Available_h]]/tblFleet[[#This Row],[Calendar_h]],"")</f>
        <v/>
      </c>
      <c r="J748" s="60">
        <f>IF(AND(tblFleet[[#This Row],[Units]]&lt;&gt;"",tblFleet[[#This Row],[Available_h]]&gt;0),tblFleet[[#This Row],[Operating_h]]/tblFleet[[#This Row],[Available_h]],"")</f>
        <v/>
      </c>
    </row>
    <row r="749">
      <c r="A749" s="54" t="n"/>
      <c r="B749" s="61" t="n"/>
      <c r="C749" s="62" t="n"/>
      <c r="D749" s="57" t="n"/>
      <c r="E749" s="57" t="n"/>
      <c r="F749" s="58" t="n"/>
      <c r="G749" s="66">
        <f>IF(tblFleet[[#This Row],[Units]]="","",tblFleet[[#This Row],[Units]]*24)</f>
        <v/>
      </c>
      <c r="H749" s="66">
        <f>IF(tblFleet[[#This Row],[Units]]="","",tblFleet[[#This Row],[Calendar_h]]-tblFleet[[#This Row],[Down_h]])</f>
        <v/>
      </c>
      <c r="I749" s="60">
        <f>IF(AND(tblFleet[[#This Row],[Units]]&lt;&gt;"",tblFleet[[#This Row],[Calendar_h]]&gt;0),tblFleet[[#This Row],[Available_h]]/tblFleet[[#This Row],[Calendar_h]],"")</f>
        <v/>
      </c>
      <c r="J749" s="60">
        <f>IF(AND(tblFleet[[#This Row],[Units]]&lt;&gt;"",tblFleet[[#This Row],[Available_h]]&gt;0),tblFleet[[#This Row],[Operating_h]]/tblFleet[[#This Row],[Available_h]],"")</f>
        <v/>
      </c>
    </row>
    <row r="750">
      <c r="A750" s="54" t="n"/>
      <c r="B750" s="61" t="n"/>
      <c r="C750" s="62" t="n"/>
      <c r="D750" s="57" t="n"/>
      <c r="E750" s="57" t="n"/>
      <c r="F750" s="58" t="n"/>
      <c r="G750" s="66">
        <f>IF(tblFleet[[#This Row],[Units]]="","",tblFleet[[#This Row],[Units]]*24)</f>
        <v/>
      </c>
      <c r="H750" s="66">
        <f>IF(tblFleet[[#This Row],[Units]]="","",tblFleet[[#This Row],[Calendar_h]]-tblFleet[[#This Row],[Down_h]])</f>
        <v/>
      </c>
      <c r="I750" s="60">
        <f>IF(AND(tblFleet[[#This Row],[Units]]&lt;&gt;"",tblFleet[[#This Row],[Calendar_h]]&gt;0),tblFleet[[#This Row],[Available_h]]/tblFleet[[#This Row],[Calendar_h]],"")</f>
        <v/>
      </c>
      <c r="J750" s="60">
        <f>IF(AND(tblFleet[[#This Row],[Units]]&lt;&gt;"",tblFleet[[#This Row],[Available_h]]&gt;0),tblFleet[[#This Row],[Operating_h]]/tblFleet[[#This Row],[Available_h]],"")</f>
        <v/>
      </c>
    </row>
    <row r="751">
      <c r="A751" s="54" t="n"/>
      <c r="B751" s="61" t="n"/>
      <c r="C751" s="62" t="n"/>
      <c r="D751" s="57" t="n"/>
      <c r="E751" s="57" t="n"/>
      <c r="F751" s="58" t="n"/>
      <c r="G751" s="66">
        <f>IF(tblFleet[[#This Row],[Units]]="","",tblFleet[[#This Row],[Units]]*24)</f>
        <v/>
      </c>
      <c r="H751" s="66">
        <f>IF(tblFleet[[#This Row],[Units]]="","",tblFleet[[#This Row],[Calendar_h]]-tblFleet[[#This Row],[Down_h]])</f>
        <v/>
      </c>
      <c r="I751" s="60">
        <f>IF(AND(tblFleet[[#This Row],[Units]]&lt;&gt;"",tblFleet[[#This Row],[Calendar_h]]&gt;0),tblFleet[[#This Row],[Available_h]]/tblFleet[[#This Row],[Calendar_h]],"")</f>
        <v/>
      </c>
      <c r="J751" s="60">
        <f>IF(AND(tblFleet[[#This Row],[Units]]&lt;&gt;"",tblFleet[[#This Row],[Available_h]]&gt;0),tblFleet[[#This Row],[Operating_h]]/tblFleet[[#This Row],[Available_h]],"")</f>
        <v/>
      </c>
    </row>
    <row r="752">
      <c r="A752" s="54" t="n"/>
      <c r="B752" s="61" t="n"/>
      <c r="C752" s="62" t="n"/>
      <c r="D752" s="57" t="n"/>
      <c r="E752" s="57" t="n"/>
      <c r="F752" s="58" t="n"/>
      <c r="G752" s="66">
        <f>IF(tblFleet[[#This Row],[Units]]="","",tblFleet[[#This Row],[Units]]*24)</f>
        <v/>
      </c>
      <c r="H752" s="66">
        <f>IF(tblFleet[[#This Row],[Units]]="","",tblFleet[[#This Row],[Calendar_h]]-tblFleet[[#This Row],[Down_h]])</f>
        <v/>
      </c>
      <c r="I752" s="60">
        <f>IF(AND(tblFleet[[#This Row],[Units]]&lt;&gt;"",tblFleet[[#This Row],[Calendar_h]]&gt;0),tblFleet[[#This Row],[Available_h]]/tblFleet[[#This Row],[Calendar_h]],"")</f>
        <v/>
      </c>
      <c r="J752" s="60">
        <f>IF(AND(tblFleet[[#This Row],[Units]]&lt;&gt;"",tblFleet[[#This Row],[Available_h]]&gt;0),tblFleet[[#This Row],[Operating_h]]/tblFleet[[#This Row],[Available_h]],"")</f>
        <v/>
      </c>
    </row>
    <row r="753">
      <c r="A753" s="54" t="n"/>
      <c r="B753" s="61" t="n"/>
      <c r="C753" s="62" t="n"/>
      <c r="D753" s="57" t="n"/>
      <c r="E753" s="57" t="n"/>
      <c r="F753" s="58" t="n"/>
      <c r="G753" s="66">
        <f>IF(tblFleet[[#This Row],[Units]]="","",tblFleet[[#This Row],[Units]]*24)</f>
        <v/>
      </c>
      <c r="H753" s="66">
        <f>IF(tblFleet[[#This Row],[Units]]="","",tblFleet[[#This Row],[Calendar_h]]-tblFleet[[#This Row],[Down_h]])</f>
        <v/>
      </c>
      <c r="I753" s="60">
        <f>IF(AND(tblFleet[[#This Row],[Units]]&lt;&gt;"",tblFleet[[#This Row],[Calendar_h]]&gt;0),tblFleet[[#This Row],[Available_h]]/tblFleet[[#This Row],[Calendar_h]],"")</f>
        <v/>
      </c>
      <c r="J753" s="60">
        <f>IF(AND(tblFleet[[#This Row],[Units]]&lt;&gt;"",tblFleet[[#This Row],[Available_h]]&gt;0),tblFleet[[#This Row],[Operating_h]]/tblFleet[[#This Row],[Available_h]],"")</f>
        <v/>
      </c>
    </row>
    <row r="754">
      <c r="A754" s="54" t="n"/>
      <c r="B754" s="61" t="n"/>
      <c r="C754" s="62" t="n"/>
      <c r="D754" s="57" t="n"/>
      <c r="E754" s="57" t="n"/>
      <c r="F754" s="58" t="n"/>
      <c r="G754" s="66">
        <f>IF(tblFleet[[#This Row],[Units]]="","",tblFleet[[#This Row],[Units]]*24)</f>
        <v/>
      </c>
      <c r="H754" s="66">
        <f>IF(tblFleet[[#This Row],[Units]]="","",tblFleet[[#This Row],[Calendar_h]]-tblFleet[[#This Row],[Down_h]])</f>
        <v/>
      </c>
      <c r="I754" s="60">
        <f>IF(AND(tblFleet[[#This Row],[Units]]&lt;&gt;"",tblFleet[[#This Row],[Calendar_h]]&gt;0),tblFleet[[#This Row],[Available_h]]/tblFleet[[#This Row],[Calendar_h]],"")</f>
        <v/>
      </c>
      <c r="J754" s="60">
        <f>IF(AND(tblFleet[[#This Row],[Units]]&lt;&gt;"",tblFleet[[#This Row],[Available_h]]&gt;0),tblFleet[[#This Row],[Operating_h]]/tblFleet[[#This Row],[Available_h]],"")</f>
        <v/>
      </c>
    </row>
    <row r="755">
      <c r="A755" s="54" t="n"/>
      <c r="B755" s="61" t="n"/>
      <c r="C755" s="62" t="n"/>
      <c r="D755" s="57" t="n"/>
      <c r="E755" s="57" t="n"/>
      <c r="F755" s="58" t="n"/>
      <c r="G755" s="66">
        <f>IF(tblFleet[[#This Row],[Units]]="","",tblFleet[[#This Row],[Units]]*24)</f>
        <v/>
      </c>
      <c r="H755" s="66">
        <f>IF(tblFleet[[#This Row],[Units]]="","",tblFleet[[#This Row],[Calendar_h]]-tblFleet[[#This Row],[Down_h]])</f>
        <v/>
      </c>
      <c r="I755" s="60">
        <f>IF(AND(tblFleet[[#This Row],[Units]]&lt;&gt;"",tblFleet[[#This Row],[Calendar_h]]&gt;0),tblFleet[[#This Row],[Available_h]]/tblFleet[[#This Row],[Calendar_h]],"")</f>
        <v/>
      </c>
      <c r="J755" s="60">
        <f>IF(AND(tblFleet[[#This Row],[Units]]&lt;&gt;"",tblFleet[[#This Row],[Available_h]]&gt;0),tblFleet[[#This Row],[Operating_h]]/tblFleet[[#This Row],[Available_h]],"")</f>
        <v/>
      </c>
    </row>
    <row r="756">
      <c r="A756" s="54" t="n"/>
      <c r="B756" s="61" t="n"/>
      <c r="C756" s="62" t="n"/>
      <c r="D756" s="57" t="n"/>
      <c r="E756" s="57" t="n"/>
      <c r="F756" s="58" t="n"/>
      <c r="G756" s="66">
        <f>IF(tblFleet[[#This Row],[Units]]="","",tblFleet[[#This Row],[Units]]*24)</f>
        <v/>
      </c>
      <c r="H756" s="66">
        <f>IF(tblFleet[[#This Row],[Units]]="","",tblFleet[[#This Row],[Calendar_h]]-tblFleet[[#This Row],[Down_h]])</f>
        <v/>
      </c>
      <c r="I756" s="60">
        <f>IF(AND(tblFleet[[#This Row],[Units]]&lt;&gt;"",tblFleet[[#This Row],[Calendar_h]]&gt;0),tblFleet[[#This Row],[Available_h]]/tblFleet[[#This Row],[Calendar_h]],"")</f>
        <v/>
      </c>
      <c r="J756" s="60">
        <f>IF(AND(tblFleet[[#This Row],[Units]]&lt;&gt;"",tblFleet[[#This Row],[Available_h]]&gt;0),tblFleet[[#This Row],[Operating_h]]/tblFleet[[#This Row],[Available_h]],"")</f>
        <v/>
      </c>
    </row>
    <row r="757">
      <c r="A757" s="54" t="n"/>
      <c r="B757" s="61" t="n"/>
      <c r="C757" s="62" t="n"/>
      <c r="D757" s="57" t="n"/>
      <c r="E757" s="57" t="n"/>
      <c r="F757" s="58" t="n"/>
      <c r="G757" s="66">
        <f>IF(tblFleet[[#This Row],[Units]]="","",tblFleet[[#This Row],[Units]]*24)</f>
        <v/>
      </c>
      <c r="H757" s="66">
        <f>IF(tblFleet[[#This Row],[Units]]="","",tblFleet[[#This Row],[Calendar_h]]-tblFleet[[#This Row],[Down_h]])</f>
        <v/>
      </c>
      <c r="I757" s="60">
        <f>IF(AND(tblFleet[[#This Row],[Units]]&lt;&gt;"",tblFleet[[#This Row],[Calendar_h]]&gt;0),tblFleet[[#This Row],[Available_h]]/tblFleet[[#This Row],[Calendar_h]],"")</f>
        <v/>
      </c>
      <c r="J757" s="60">
        <f>IF(AND(tblFleet[[#This Row],[Units]]&lt;&gt;"",tblFleet[[#This Row],[Available_h]]&gt;0),tblFleet[[#This Row],[Operating_h]]/tblFleet[[#This Row],[Available_h]],"")</f>
        <v/>
      </c>
    </row>
    <row r="758">
      <c r="A758" s="54" t="n"/>
      <c r="B758" s="61" t="n"/>
      <c r="C758" s="62" t="n"/>
      <c r="D758" s="57" t="n"/>
      <c r="E758" s="57" t="n"/>
      <c r="F758" s="58" t="n"/>
      <c r="G758" s="66">
        <f>IF(tblFleet[[#This Row],[Units]]="","",tblFleet[[#This Row],[Units]]*24)</f>
        <v/>
      </c>
      <c r="H758" s="66">
        <f>IF(tblFleet[[#This Row],[Units]]="","",tblFleet[[#This Row],[Calendar_h]]-tblFleet[[#This Row],[Down_h]])</f>
        <v/>
      </c>
      <c r="I758" s="60">
        <f>IF(AND(tblFleet[[#This Row],[Units]]&lt;&gt;"",tblFleet[[#This Row],[Calendar_h]]&gt;0),tblFleet[[#This Row],[Available_h]]/tblFleet[[#This Row],[Calendar_h]],"")</f>
        <v/>
      </c>
      <c r="J758" s="60">
        <f>IF(AND(tblFleet[[#This Row],[Units]]&lt;&gt;"",tblFleet[[#This Row],[Available_h]]&gt;0),tblFleet[[#This Row],[Operating_h]]/tblFleet[[#This Row],[Available_h]],"")</f>
        <v/>
      </c>
    </row>
    <row r="759">
      <c r="A759" s="54" t="n"/>
      <c r="B759" s="61" t="n"/>
      <c r="C759" s="62" t="n"/>
      <c r="D759" s="57" t="n"/>
      <c r="E759" s="57" t="n"/>
      <c r="F759" s="58" t="n"/>
      <c r="G759" s="66">
        <f>IF(tblFleet[[#This Row],[Units]]="","",tblFleet[[#This Row],[Units]]*24)</f>
        <v/>
      </c>
      <c r="H759" s="66">
        <f>IF(tblFleet[[#This Row],[Units]]="","",tblFleet[[#This Row],[Calendar_h]]-tblFleet[[#This Row],[Down_h]])</f>
        <v/>
      </c>
      <c r="I759" s="60">
        <f>IF(AND(tblFleet[[#This Row],[Units]]&lt;&gt;"",tblFleet[[#This Row],[Calendar_h]]&gt;0),tblFleet[[#This Row],[Available_h]]/tblFleet[[#This Row],[Calendar_h]],"")</f>
        <v/>
      </c>
      <c r="J759" s="60">
        <f>IF(AND(tblFleet[[#This Row],[Units]]&lt;&gt;"",tblFleet[[#This Row],[Available_h]]&gt;0),tblFleet[[#This Row],[Operating_h]]/tblFleet[[#This Row],[Available_h]],"")</f>
        <v/>
      </c>
    </row>
    <row r="760">
      <c r="A760" s="54" t="n"/>
      <c r="B760" s="61" t="n"/>
      <c r="C760" s="62" t="n"/>
      <c r="D760" s="57" t="n"/>
      <c r="E760" s="57" t="n"/>
      <c r="F760" s="58" t="n"/>
      <c r="G760" s="66">
        <f>IF(tblFleet[[#This Row],[Units]]="","",tblFleet[[#This Row],[Units]]*24)</f>
        <v/>
      </c>
      <c r="H760" s="66">
        <f>IF(tblFleet[[#This Row],[Units]]="","",tblFleet[[#This Row],[Calendar_h]]-tblFleet[[#This Row],[Down_h]])</f>
        <v/>
      </c>
      <c r="I760" s="60">
        <f>IF(AND(tblFleet[[#This Row],[Units]]&lt;&gt;"",tblFleet[[#This Row],[Calendar_h]]&gt;0),tblFleet[[#This Row],[Available_h]]/tblFleet[[#This Row],[Calendar_h]],"")</f>
        <v/>
      </c>
      <c r="J760" s="60">
        <f>IF(AND(tblFleet[[#This Row],[Units]]&lt;&gt;"",tblFleet[[#This Row],[Available_h]]&gt;0),tblFleet[[#This Row],[Operating_h]]/tblFleet[[#This Row],[Available_h]],"")</f>
        <v/>
      </c>
    </row>
    <row r="761">
      <c r="A761" s="54" t="n"/>
      <c r="B761" s="61" t="n"/>
      <c r="C761" s="62" t="n"/>
      <c r="D761" s="57" t="n"/>
      <c r="E761" s="57" t="n"/>
      <c r="F761" s="58" t="n"/>
      <c r="G761" s="66">
        <f>IF(tblFleet[[#This Row],[Units]]="","",tblFleet[[#This Row],[Units]]*24)</f>
        <v/>
      </c>
      <c r="H761" s="66">
        <f>IF(tblFleet[[#This Row],[Units]]="","",tblFleet[[#This Row],[Calendar_h]]-tblFleet[[#This Row],[Down_h]])</f>
        <v/>
      </c>
      <c r="I761" s="60">
        <f>IF(AND(tblFleet[[#This Row],[Units]]&lt;&gt;"",tblFleet[[#This Row],[Calendar_h]]&gt;0),tblFleet[[#This Row],[Available_h]]/tblFleet[[#This Row],[Calendar_h]],"")</f>
        <v/>
      </c>
      <c r="J761" s="60">
        <f>IF(AND(tblFleet[[#This Row],[Units]]&lt;&gt;"",tblFleet[[#This Row],[Available_h]]&gt;0),tblFleet[[#This Row],[Operating_h]]/tblFleet[[#This Row],[Available_h]],"")</f>
        <v/>
      </c>
    </row>
    <row r="762">
      <c r="A762" s="54" t="n"/>
      <c r="B762" s="61" t="n"/>
      <c r="C762" s="62" t="n"/>
      <c r="D762" s="57" t="n"/>
      <c r="E762" s="57" t="n"/>
      <c r="F762" s="58" t="n"/>
      <c r="G762" s="66">
        <f>IF(tblFleet[[#This Row],[Units]]="","",tblFleet[[#This Row],[Units]]*24)</f>
        <v/>
      </c>
      <c r="H762" s="66">
        <f>IF(tblFleet[[#This Row],[Units]]="","",tblFleet[[#This Row],[Calendar_h]]-tblFleet[[#This Row],[Down_h]])</f>
        <v/>
      </c>
      <c r="I762" s="60">
        <f>IF(AND(tblFleet[[#This Row],[Units]]&lt;&gt;"",tblFleet[[#This Row],[Calendar_h]]&gt;0),tblFleet[[#This Row],[Available_h]]/tblFleet[[#This Row],[Calendar_h]],"")</f>
        <v/>
      </c>
      <c r="J762" s="60">
        <f>IF(AND(tblFleet[[#This Row],[Units]]&lt;&gt;"",tblFleet[[#This Row],[Available_h]]&gt;0),tblFleet[[#This Row],[Operating_h]]/tblFleet[[#This Row],[Available_h]],"")</f>
        <v/>
      </c>
    </row>
    <row r="763">
      <c r="A763" s="54" t="n"/>
      <c r="B763" s="61" t="n"/>
      <c r="C763" s="62" t="n"/>
      <c r="D763" s="57" t="n"/>
      <c r="E763" s="57" t="n"/>
      <c r="F763" s="58" t="n"/>
      <c r="G763" s="66">
        <f>IF(tblFleet[[#This Row],[Units]]="","",tblFleet[[#This Row],[Units]]*24)</f>
        <v/>
      </c>
      <c r="H763" s="66">
        <f>IF(tblFleet[[#This Row],[Units]]="","",tblFleet[[#This Row],[Calendar_h]]-tblFleet[[#This Row],[Down_h]])</f>
        <v/>
      </c>
      <c r="I763" s="60">
        <f>IF(AND(tblFleet[[#This Row],[Units]]&lt;&gt;"",tblFleet[[#This Row],[Calendar_h]]&gt;0),tblFleet[[#This Row],[Available_h]]/tblFleet[[#This Row],[Calendar_h]],"")</f>
        <v/>
      </c>
      <c r="J763" s="60">
        <f>IF(AND(tblFleet[[#This Row],[Units]]&lt;&gt;"",tblFleet[[#This Row],[Available_h]]&gt;0),tblFleet[[#This Row],[Operating_h]]/tblFleet[[#This Row],[Available_h]],"")</f>
        <v/>
      </c>
    </row>
    <row r="764">
      <c r="A764" s="54" t="n"/>
      <c r="B764" s="61" t="n"/>
      <c r="C764" s="62" t="n"/>
      <c r="D764" s="57" t="n"/>
      <c r="E764" s="57" t="n"/>
      <c r="F764" s="58" t="n"/>
      <c r="G764" s="66">
        <f>IF(tblFleet[[#This Row],[Units]]="","",tblFleet[[#This Row],[Units]]*24)</f>
        <v/>
      </c>
      <c r="H764" s="66">
        <f>IF(tblFleet[[#This Row],[Units]]="","",tblFleet[[#This Row],[Calendar_h]]-tblFleet[[#This Row],[Down_h]])</f>
        <v/>
      </c>
      <c r="I764" s="60">
        <f>IF(AND(tblFleet[[#This Row],[Units]]&lt;&gt;"",tblFleet[[#This Row],[Calendar_h]]&gt;0),tblFleet[[#This Row],[Available_h]]/tblFleet[[#This Row],[Calendar_h]],"")</f>
        <v/>
      </c>
      <c r="J764" s="60">
        <f>IF(AND(tblFleet[[#This Row],[Units]]&lt;&gt;"",tblFleet[[#This Row],[Available_h]]&gt;0),tblFleet[[#This Row],[Operating_h]]/tblFleet[[#This Row],[Available_h]],"")</f>
        <v/>
      </c>
    </row>
    <row r="765">
      <c r="A765" s="54" t="n"/>
      <c r="B765" s="61" t="n"/>
      <c r="C765" s="62" t="n"/>
      <c r="D765" s="57" t="n"/>
      <c r="E765" s="57" t="n"/>
      <c r="F765" s="58" t="n"/>
      <c r="G765" s="66">
        <f>IF(tblFleet[[#This Row],[Units]]="","",tblFleet[[#This Row],[Units]]*24)</f>
        <v/>
      </c>
      <c r="H765" s="66">
        <f>IF(tblFleet[[#This Row],[Units]]="","",tblFleet[[#This Row],[Calendar_h]]-tblFleet[[#This Row],[Down_h]])</f>
        <v/>
      </c>
      <c r="I765" s="60">
        <f>IF(AND(tblFleet[[#This Row],[Units]]&lt;&gt;"",tblFleet[[#This Row],[Calendar_h]]&gt;0),tblFleet[[#This Row],[Available_h]]/tblFleet[[#This Row],[Calendar_h]],"")</f>
        <v/>
      </c>
      <c r="J765" s="60">
        <f>IF(AND(tblFleet[[#This Row],[Units]]&lt;&gt;"",tblFleet[[#This Row],[Available_h]]&gt;0),tblFleet[[#This Row],[Operating_h]]/tblFleet[[#This Row],[Available_h]],"")</f>
        <v/>
      </c>
    </row>
    <row r="766">
      <c r="A766" s="54" t="n"/>
      <c r="B766" s="61" t="n"/>
      <c r="C766" s="62" t="n"/>
      <c r="D766" s="57" t="n"/>
      <c r="E766" s="57" t="n"/>
      <c r="F766" s="58" t="n"/>
      <c r="G766" s="66">
        <f>IF(tblFleet[[#This Row],[Units]]="","",tblFleet[[#This Row],[Units]]*24)</f>
        <v/>
      </c>
      <c r="H766" s="66">
        <f>IF(tblFleet[[#This Row],[Units]]="","",tblFleet[[#This Row],[Calendar_h]]-tblFleet[[#This Row],[Down_h]])</f>
        <v/>
      </c>
      <c r="I766" s="60">
        <f>IF(AND(tblFleet[[#This Row],[Units]]&lt;&gt;"",tblFleet[[#This Row],[Calendar_h]]&gt;0),tblFleet[[#This Row],[Available_h]]/tblFleet[[#This Row],[Calendar_h]],"")</f>
        <v/>
      </c>
      <c r="J766" s="60">
        <f>IF(AND(tblFleet[[#This Row],[Units]]&lt;&gt;"",tblFleet[[#This Row],[Available_h]]&gt;0),tblFleet[[#This Row],[Operating_h]]/tblFleet[[#This Row],[Available_h]],"")</f>
        <v/>
      </c>
    </row>
    <row r="767">
      <c r="A767" s="54" t="n"/>
      <c r="B767" s="61" t="n"/>
      <c r="C767" s="62" t="n"/>
      <c r="D767" s="57" t="n"/>
      <c r="E767" s="57" t="n"/>
      <c r="F767" s="58" t="n"/>
      <c r="G767" s="66">
        <f>IF(tblFleet[[#This Row],[Units]]="","",tblFleet[[#This Row],[Units]]*24)</f>
        <v/>
      </c>
      <c r="H767" s="66">
        <f>IF(tblFleet[[#This Row],[Units]]="","",tblFleet[[#This Row],[Calendar_h]]-tblFleet[[#This Row],[Down_h]])</f>
        <v/>
      </c>
      <c r="I767" s="60">
        <f>IF(AND(tblFleet[[#This Row],[Units]]&lt;&gt;"",tblFleet[[#This Row],[Calendar_h]]&gt;0),tblFleet[[#This Row],[Available_h]]/tblFleet[[#This Row],[Calendar_h]],"")</f>
        <v/>
      </c>
      <c r="J767" s="60">
        <f>IF(AND(tblFleet[[#This Row],[Units]]&lt;&gt;"",tblFleet[[#This Row],[Available_h]]&gt;0),tblFleet[[#This Row],[Operating_h]]/tblFleet[[#This Row],[Available_h]],"")</f>
        <v/>
      </c>
    </row>
    <row r="768">
      <c r="A768" s="54" t="n"/>
      <c r="B768" s="61" t="n"/>
      <c r="C768" s="62" t="n"/>
      <c r="D768" s="57" t="n"/>
      <c r="E768" s="57" t="n"/>
      <c r="F768" s="58" t="n"/>
      <c r="G768" s="66">
        <f>IF(tblFleet[[#This Row],[Units]]="","",tblFleet[[#This Row],[Units]]*24)</f>
        <v/>
      </c>
      <c r="H768" s="66">
        <f>IF(tblFleet[[#This Row],[Units]]="","",tblFleet[[#This Row],[Calendar_h]]-tblFleet[[#This Row],[Down_h]])</f>
        <v/>
      </c>
      <c r="I768" s="60">
        <f>IF(AND(tblFleet[[#This Row],[Units]]&lt;&gt;"",tblFleet[[#This Row],[Calendar_h]]&gt;0),tblFleet[[#This Row],[Available_h]]/tblFleet[[#This Row],[Calendar_h]],"")</f>
        <v/>
      </c>
      <c r="J768" s="60">
        <f>IF(AND(tblFleet[[#This Row],[Units]]&lt;&gt;"",tblFleet[[#This Row],[Available_h]]&gt;0),tblFleet[[#This Row],[Operating_h]]/tblFleet[[#This Row],[Available_h]],"")</f>
        <v/>
      </c>
    </row>
    <row r="769">
      <c r="A769" s="54" t="n"/>
      <c r="B769" s="61" t="n"/>
      <c r="C769" s="62" t="n"/>
      <c r="D769" s="57" t="n"/>
      <c r="E769" s="57" t="n"/>
      <c r="F769" s="58" t="n"/>
      <c r="G769" s="66">
        <f>IF(tblFleet[[#This Row],[Units]]="","",tblFleet[[#This Row],[Units]]*24)</f>
        <v/>
      </c>
      <c r="H769" s="66">
        <f>IF(tblFleet[[#This Row],[Units]]="","",tblFleet[[#This Row],[Calendar_h]]-tblFleet[[#This Row],[Down_h]])</f>
        <v/>
      </c>
      <c r="I769" s="60">
        <f>IF(AND(tblFleet[[#This Row],[Units]]&lt;&gt;"",tblFleet[[#This Row],[Calendar_h]]&gt;0),tblFleet[[#This Row],[Available_h]]/tblFleet[[#This Row],[Calendar_h]],"")</f>
        <v/>
      </c>
      <c r="J769" s="60">
        <f>IF(AND(tblFleet[[#This Row],[Units]]&lt;&gt;"",tblFleet[[#This Row],[Available_h]]&gt;0),tblFleet[[#This Row],[Operating_h]]/tblFleet[[#This Row],[Available_h]],"")</f>
        <v/>
      </c>
    </row>
    <row r="770">
      <c r="A770" s="54" t="n"/>
      <c r="B770" s="61" t="n"/>
      <c r="C770" s="62" t="n"/>
      <c r="D770" s="57" t="n"/>
      <c r="E770" s="57" t="n"/>
      <c r="F770" s="58" t="n"/>
      <c r="G770" s="66">
        <f>IF(tblFleet[[#This Row],[Units]]="","",tblFleet[[#This Row],[Units]]*24)</f>
        <v/>
      </c>
      <c r="H770" s="66">
        <f>IF(tblFleet[[#This Row],[Units]]="","",tblFleet[[#This Row],[Calendar_h]]-tblFleet[[#This Row],[Down_h]])</f>
        <v/>
      </c>
      <c r="I770" s="60">
        <f>IF(AND(tblFleet[[#This Row],[Units]]&lt;&gt;"",tblFleet[[#This Row],[Calendar_h]]&gt;0),tblFleet[[#This Row],[Available_h]]/tblFleet[[#This Row],[Calendar_h]],"")</f>
        <v/>
      </c>
      <c r="J770" s="60">
        <f>IF(AND(tblFleet[[#This Row],[Units]]&lt;&gt;"",tblFleet[[#This Row],[Available_h]]&gt;0),tblFleet[[#This Row],[Operating_h]]/tblFleet[[#This Row],[Available_h]],"")</f>
        <v/>
      </c>
    </row>
    <row r="771">
      <c r="A771" s="54" t="n"/>
      <c r="B771" s="61" t="n"/>
      <c r="C771" s="62" t="n"/>
      <c r="D771" s="57" t="n"/>
      <c r="E771" s="57" t="n"/>
      <c r="F771" s="58" t="n"/>
      <c r="G771" s="66">
        <f>IF(tblFleet[[#This Row],[Units]]="","",tblFleet[[#This Row],[Units]]*24)</f>
        <v/>
      </c>
      <c r="H771" s="66">
        <f>IF(tblFleet[[#This Row],[Units]]="","",tblFleet[[#This Row],[Calendar_h]]-tblFleet[[#This Row],[Down_h]])</f>
        <v/>
      </c>
      <c r="I771" s="60">
        <f>IF(AND(tblFleet[[#This Row],[Units]]&lt;&gt;"",tblFleet[[#This Row],[Calendar_h]]&gt;0),tblFleet[[#This Row],[Available_h]]/tblFleet[[#This Row],[Calendar_h]],"")</f>
        <v/>
      </c>
      <c r="J771" s="60">
        <f>IF(AND(tblFleet[[#This Row],[Units]]&lt;&gt;"",tblFleet[[#This Row],[Available_h]]&gt;0),tblFleet[[#This Row],[Operating_h]]/tblFleet[[#This Row],[Available_h]],"")</f>
        <v/>
      </c>
    </row>
    <row r="772">
      <c r="A772" s="54" t="n"/>
      <c r="B772" s="61" t="n"/>
      <c r="C772" s="62" t="n"/>
      <c r="D772" s="57" t="n"/>
      <c r="E772" s="57" t="n"/>
      <c r="F772" s="58" t="n"/>
      <c r="G772" s="66">
        <f>IF(tblFleet[[#This Row],[Units]]="","",tblFleet[[#This Row],[Units]]*24)</f>
        <v/>
      </c>
      <c r="H772" s="66">
        <f>IF(tblFleet[[#This Row],[Units]]="","",tblFleet[[#This Row],[Calendar_h]]-tblFleet[[#This Row],[Down_h]])</f>
        <v/>
      </c>
      <c r="I772" s="60">
        <f>IF(AND(tblFleet[[#This Row],[Units]]&lt;&gt;"",tblFleet[[#This Row],[Calendar_h]]&gt;0),tblFleet[[#This Row],[Available_h]]/tblFleet[[#This Row],[Calendar_h]],"")</f>
        <v/>
      </c>
      <c r="J772" s="60">
        <f>IF(AND(tblFleet[[#This Row],[Units]]&lt;&gt;"",tblFleet[[#This Row],[Available_h]]&gt;0),tblFleet[[#This Row],[Operating_h]]/tblFleet[[#This Row],[Available_h]],"")</f>
        <v/>
      </c>
    </row>
    <row r="773">
      <c r="A773" s="54" t="n"/>
      <c r="B773" s="61" t="n"/>
      <c r="C773" s="62" t="n"/>
      <c r="D773" s="57" t="n"/>
      <c r="E773" s="57" t="n"/>
      <c r="F773" s="58" t="n"/>
      <c r="G773" s="66">
        <f>IF(tblFleet[[#This Row],[Units]]="","",tblFleet[[#This Row],[Units]]*24)</f>
        <v/>
      </c>
      <c r="H773" s="66">
        <f>IF(tblFleet[[#This Row],[Units]]="","",tblFleet[[#This Row],[Calendar_h]]-tblFleet[[#This Row],[Down_h]])</f>
        <v/>
      </c>
      <c r="I773" s="60">
        <f>IF(AND(tblFleet[[#This Row],[Units]]&lt;&gt;"",tblFleet[[#This Row],[Calendar_h]]&gt;0),tblFleet[[#This Row],[Available_h]]/tblFleet[[#This Row],[Calendar_h]],"")</f>
        <v/>
      </c>
      <c r="J773" s="60">
        <f>IF(AND(tblFleet[[#This Row],[Units]]&lt;&gt;"",tblFleet[[#This Row],[Available_h]]&gt;0),tblFleet[[#This Row],[Operating_h]]/tblFleet[[#This Row],[Available_h]],"")</f>
        <v/>
      </c>
    </row>
    <row r="774">
      <c r="A774" s="54" t="n"/>
      <c r="B774" s="61" t="n"/>
      <c r="C774" s="62" t="n"/>
      <c r="D774" s="57" t="n"/>
      <c r="E774" s="57" t="n"/>
      <c r="F774" s="58" t="n"/>
      <c r="G774" s="66">
        <f>IF(tblFleet[[#This Row],[Units]]="","",tblFleet[[#This Row],[Units]]*24)</f>
        <v/>
      </c>
      <c r="H774" s="66">
        <f>IF(tblFleet[[#This Row],[Units]]="","",tblFleet[[#This Row],[Calendar_h]]-tblFleet[[#This Row],[Down_h]])</f>
        <v/>
      </c>
      <c r="I774" s="60">
        <f>IF(AND(tblFleet[[#This Row],[Units]]&lt;&gt;"",tblFleet[[#This Row],[Calendar_h]]&gt;0),tblFleet[[#This Row],[Available_h]]/tblFleet[[#This Row],[Calendar_h]],"")</f>
        <v/>
      </c>
      <c r="J774" s="60">
        <f>IF(AND(tblFleet[[#This Row],[Units]]&lt;&gt;"",tblFleet[[#This Row],[Available_h]]&gt;0),tblFleet[[#This Row],[Operating_h]]/tblFleet[[#This Row],[Available_h]],"")</f>
        <v/>
      </c>
    </row>
    <row r="775">
      <c r="A775" s="54" t="n"/>
      <c r="B775" s="61" t="n"/>
      <c r="C775" s="62" t="n"/>
      <c r="D775" s="57" t="n"/>
      <c r="E775" s="57" t="n"/>
      <c r="F775" s="58" t="n"/>
      <c r="G775" s="66">
        <f>IF(tblFleet[[#This Row],[Units]]="","",tblFleet[[#This Row],[Units]]*24)</f>
        <v/>
      </c>
      <c r="H775" s="66">
        <f>IF(tblFleet[[#This Row],[Units]]="","",tblFleet[[#This Row],[Calendar_h]]-tblFleet[[#This Row],[Down_h]])</f>
        <v/>
      </c>
      <c r="I775" s="60">
        <f>IF(AND(tblFleet[[#This Row],[Units]]&lt;&gt;"",tblFleet[[#This Row],[Calendar_h]]&gt;0),tblFleet[[#This Row],[Available_h]]/tblFleet[[#This Row],[Calendar_h]],"")</f>
        <v/>
      </c>
      <c r="J775" s="60">
        <f>IF(AND(tblFleet[[#This Row],[Units]]&lt;&gt;"",tblFleet[[#This Row],[Available_h]]&gt;0),tblFleet[[#This Row],[Operating_h]]/tblFleet[[#This Row],[Available_h]],"")</f>
        <v/>
      </c>
    </row>
    <row r="776">
      <c r="A776" s="54" t="n"/>
      <c r="B776" s="61" t="n"/>
      <c r="C776" s="62" t="n"/>
      <c r="D776" s="57" t="n"/>
      <c r="E776" s="57" t="n"/>
      <c r="F776" s="58" t="n"/>
      <c r="G776" s="66">
        <f>IF(tblFleet[[#This Row],[Units]]="","",tblFleet[[#This Row],[Units]]*24)</f>
        <v/>
      </c>
      <c r="H776" s="66">
        <f>IF(tblFleet[[#This Row],[Units]]="","",tblFleet[[#This Row],[Calendar_h]]-tblFleet[[#This Row],[Down_h]])</f>
        <v/>
      </c>
      <c r="I776" s="60">
        <f>IF(AND(tblFleet[[#This Row],[Units]]&lt;&gt;"",tblFleet[[#This Row],[Calendar_h]]&gt;0),tblFleet[[#This Row],[Available_h]]/tblFleet[[#This Row],[Calendar_h]],"")</f>
        <v/>
      </c>
      <c r="J776" s="60">
        <f>IF(AND(tblFleet[[#This Row],[Units]]&lt;&gt;"",tblFleet[[#This Row],[Available_h]]&gt;0),tblFleet[[#This Row],[Operating_h]]/tblFleet[[#This Row],[Available_h]],"")</f>
        <v/>
      </c>
    </row>
    <row r="777">
      <c r="A777" s="54" t="n"/>
      <c r="B777" s="61" t="n"/>
      <c r="C777" s="62" t="n"/>
      <c r="D777" s="57" t="n"/>
      <c r="E777" s="57" t="n"/>
      <c r="F777" s="58" t="n"/>
      <c r="G777" s="66">
        <f>IF(tblFleet[[#This Row],[Units]]="","",tblFleet[[#This Row],[Units]]*24)</f>
        <v/>
      </c>
      <c r="H777" s="66">
        <f>IF(tblFleet[[#This Row],[Units]]="","",tblFleet[[#This Row],[Calendar_h]]-tblFleet[[#This Row],[Down_h]])</f>
        <v/>
      </c>
      <c r="I777" s="60">
        <f>IF(AND(tblFleet[[#This Row],[Units]]&lt;&gt;"",tblFleet[[#This Row],[Calendar_h]]&gt;0),tblFleet[[#This Row],[Available_h]]/tblFleet[[#This Row],[Calendar_h]],"")</f>
        <v/>
      </c>
      <c r="J777" s="60">
        <f>IF(AND(tblFleet[[#This Row],[Units]]&lt;&gt;"",tblFleet[[#This Row],[Available_h]]&gt;0),tblFleet[[#This Row],[Operating_h]]/tblFleet[[#This Row],[Available_h]],"")</f>
        <v/>
      </c>
    </row>
    <row r="778">
      <c r="A778" s="54" t="n"/>
      <c r="B778" s="61" t="n"/>
      <c r="C778" s="62" t="n"/>
      <c r="D778" s="57" t="n"/>
      <c r="E778" s="57" t="n"/>
      <c r="F778" s="58" t="n"/>
      <c r="G778" s="66">
        <f>IF(tblFleet[[#This Row],[Units]]="","",tblFleet[[#This Row],[Units]]*24)</f>
        <v/>
      </c>
      <c r="H778" s="66">
        <f>IF(tblFleet[[#This Row],[Units]]="","",tblFleet[[#This Row],[Calendar_h]]-tblFleet[[#This Row],[Down_h]])</f>
        <v/>
      </c>
      <c r="I778" s="60">
        <f>IF(AND(tblFleet[[#This Row],[Units]]&lt;&gt;"",tblFleet[[#This Row],[Calendar_h]]&gt;0),tblFleet[[#This Row],[Available_h]]/tblFleet[[#This Row],[Calendar_h]],"")</f>
        <v/>
      </c>
      <c r="J778" s="60">
        <f>IF(AND(tblFleet[[#This Row],[Units]]&lt;&gt;"",tblFleet[[#This Row],[Available_h]]&gt;0),tblFleet[[#This Row],[Operating_h]]/tblFleet[[#This Row],[Available_h]],"")</f>
        <v/>
      </c>
    </row>
    <row r="779">
      <c r="A779" s="54" t="n"/>
      <c r="B779" s="61" t="n"/>
      <c r="C779" s="62" t="n"/>
      <c r="D779" s="57" t="n"/>
      <c r="E779" s="57" t="n"/>
      <c r="F779" s="58" t="n"/>
      <c r="G779" s="66">
        <f>IF(tblFleet[[#This Row],[Units]]="","",tblFleet[[#This Row],[Units]]*24)</f>
        <v/>
      </c>
      <c r="H779" s="66">
        <f>IF(tblFleet[[#This Row],[Units]]="","",tblFleet[[#This Row],[Calendar_h]]-tblFleet[[#This Row],[Down_h]])</f>
        <v/>
      </c>
      <c r="I779" s="60">
        <f>IF(AND(tblFleet[[#This Row],[Units]]&lt;&gt;"",tblFleet[[#This Row],[Calendar_h]]&gt;0),tblFleet[[#This Row],[Available_h]]/tblFleet[[#This Row],[Calendar_h]],"")</f>
        <v/>
      </c>
      <c r="J779" s="60">
        <f>IF(AND(tblFleet[[#This Row],[Units]]&lt;&gt;"",tblFleet[[#This Row],[Available_h]]&gt;0),tblFleet[[#This Row],[Operating_h]]/tblFleet[[#This Row],[Available_h]],"")</f>
        <v/>
      </c>
    </row>
    <row r="780">
      <c r="A780" s="54" t="n"/>
      <c r="B780" s="61" t="n"/>
      <c r="C780" s="62" t="n"/>
      <c r="D780" s="57" t="n"/>
      <c r="E780" s="57" t="n"/>
      <c r="F780" s="58" t="n"/>
      <c r="G780" s="66">
        <f>IF(tblFleet[[#This Row],[Units]]="","",tblFleet[[#This Row],[Units]]*24)</f>
        <v/>
      </c>
      <c r="H780" s="66">
        <f>IF(tblFleet[[#This Row],[Units]]="","",tblFleet[[#This Row],[Calendar_h]]-tblFleet[[#This Row],[Down_h]])</f>
        <v/>
      </c>
      <c r="I780" s="60">
        <f>IF(AND(tblFleet[[#This Row],[Units]]&lt;&gt;"",tblFleet[[#This Row],[Calendar_h]]&gt;0),tblFleet[[#This Row],[Available_h]]/tblFleet[[#This Row],[Calendar_h]],"")</f>
        <v/>
      </c>
      <c r="J780" s="60">
        <f>IF(AND(tblFleet[[#This Row],[Units]]&lt;&gt;"",tblFleet[[#This Row],[Available_h]]&gt;0),tblFleet[[#This Row],[Operating_h]]/tblFleet[[#This Row],[Available_h]],"")</f>
        <v/>
      </c>
    </row>
    <row r="781">
      <c r="A781" s="54" t="n"/>
      <c r="B781" s="61" t="n"/>
      <c r="C781" s="62" t="n"/>
      <c r="D781" s="57" t="n"/>
      <c r="E781" s="57" t="n"/>
      <c r="F781" s="58" t="n"/>
      <c r="G781" s="66">
        <f>IF(tblFleet[[#This Row],[Units]]="","",tblFleet[[#This Row],[Units]]*24)</f>
        <v/>
      </c>
      <c r="H781" s="66">
        <f>IF(tblFleet[[#This Row],[Units]]="","",tblFleet[[#This Row],[Calendar_h]]-tblFleet[[#This Row],[Down_h]])</f>
        <v/>
      </c>
      <c r="I781" s="60">
        <f>IF(AND(tblFleet[[#This Row],[Units]]&lt;&gt;"",tblFleet[[#This Row],[Calendar_h]]&gt;0),tblFleet[[#This Row],[Available_h]]/tblFleet[[#This Row],[Calendar_h]],"")</f>
        <v/>
      </c>
      <c r="J781" s="60">
        <f>IF(AND(tblFleet[[#This Row],[Units]]&lt;&gt;"",tblFleet[[#This Row],[Available_h]]&gt;0),tblFleet[[#This Row],[Operating_h]]/tblFleet[[#This Row],[Available_h]],"")</f>
        <v/>
      </c>
    </row>
    <row r="782">
      <c r="A782" s="54" t="n"/>
      <c r="B782" s="61" t="n"/>
      <c r="C782" s="62" t="n"/>
      <c r="D782" s="57" t="n"/>
      <c r="E782" s="57" t="n"/>
      <c r="F782" s="58" t="n"/>
      <c r="G782" s="66">
        <f>IF(tblFleet[[#This Row],[Units]]="","",tblFleet[[#This Row],[Units]]*24)</f>
        <v/>
      </c>
      <c r="H782" s="66">
        <f>IF(tblFleet[[#This Row],[Units]]="","",tblFleet[[#This Row],[Calendar_h]]-tblFleet[[#This Row],[Down_h]])</f>
        <v/>
      </c>
      <c r="I782" s="60">
        <f>IF(AND(tblFleet[[#This Row],[Units]]&lt;&gt;"",tblFleet[[#This Row],[Calendar_h]]&gt;0),tblFleet[[#This Row],[Available_h]]/tblFleet[[#This Row],[Calendar_h]],"")</f>
        <v/>
      </c>
      <c r="J782" s="60">
        <f>IF(AND(tblFleet[[#This Row],[Units]]&lt;&gt;"",tblFleet[[#This Row],[Available_h]]&gt;0),tblFleet[[#This Row],[Operating_h]]/tblFleet[[#This Row],[Available_h]],"")</f>
        <v/>
      </c>
    </row>
    <row r="783">
      <c r="A783" s="54" t="n"/>
      <c r="B783" s="61" t="n"/>
      <c r="C783" s="62" t="n"/>
      <c r="D783" s="57" t="n"/>
      <c r="E783" s="57" t="n"/>
      <c r="F783" s="58" t="n"/>
      <c r="G783" s="66">
        <f>IF(tblFleet[[#This Row],[Units]]="","",tblFleet[[#This Row],[Units]]*24)</f>
        <v/>
      </c>
      <c r="H783" s="66">
        <f>IF(tblFleet[[#This Row],[Units]]="","",tblFleet[[#This Row],[Calendar_h]]-tblFleet[[#This Row],[Down_h]])</f>
        <v/>
      </c>
      <c r="I783" s="60">
        <f>IF(AND(tblFleet[[#This Row],[Units]]&lt;&gt;"",tblFleet[[#This Row],[Calendar_h]]&gt;0),tblFleet[[#This Row],[Available_h]]/tblFleet[[#This Row],[Calendar_h]],"")</f>
        <v/>
      </c>
      <c r="J783" s="60">
        <f>IF(AND(tblFleet[[#This Row],[Units]]&lt;&gt;"",tblFleet[[#This Row],[Available_h]]&gt;0),tblFleet[[#This Row],[Operating_h]]/tblFleet[[#This Row],[Available_h]],"")</f>
        <v/>
      </c>
    </row>
    <row r="784">
      <c r="A784" s="54" t="n"/>
      <c r="B784" s="61" t="n"/>
      <c r="C784" s="62" t="n"/>
      <c r="D784" s="57" t="n"/>
      <c r="E784" s="57" t="n"/>
      <c r="F784" s="58" t="n"/>
      <c r="G784" s="66">
        <f>IF(tblFleet[[#This Row],[Units]]="","",tblFleet[[#This Row],[Units]]*24)</f>
        <v/>
      </c>
      <c r="H784" s="66">
        <f>IF(tblFleet[[#This Row],[Units]]="","",tblFleet[[#This Row],[Calendar_h]]-tblFleet[[#This Row],[Down_h]])</f>
        <v/>
      </c>
      <c r="I784" s="60">
        <f>IF(AND(tblFleet[[#This Row],[Units]]&lt;&gt;"",tblFleet[[#This Row],[Calendar_h]]&gt;0),tblFleet[[#This Row],[Available_h]]/tblFleet[[#This Row],[Calendar_h]],"")</f>
        <v/>
      </c>
      <c r="J784" s="60">
        <f>IF(AND(tblFleet[[#This Row],[Units]]&lt;&gt;"",tblFleet[[#This Row],[Available_h]]&gt;0),tblFleet[[#This Row],[Operating_h]]/tblFleet[[#This Row],[Available_h]],"")</f>
        <v/>
      </c>
    </row>
    <row r="785">
      <c r="A785" s="54" t="n"/>
      <c r="B785" s="61" t="n"/>
      <c r="C785" s="62" t="n"/>
      <c r="D785" s="57" t="n"/>
      <c r="E785" s="57" t="n"/>
      <c r="F785" s="58" t="n"/>
      <c r="G785" s="66">
        <f>IF(tblFleet[[#This Row],[Units]]="","",tblFleet[[#This Row],[Units]]*24)</f>
        <v/>
      </c>
      <c r="H785" s="66">
        <f>IF(tblFleet[[#This Row],[Units]]="","",tblFleet[[#This Row],[Calendar_h]]-tblFleet[[#This Row],[Down_h]])</f>
        <v/>
      </c>
      <c r="I785" s="60">
        <f>IF(AND(tblFleet[[#This Row],[Units]]&lt;&gt;"",tblFleet[[#This Row],[Calendar_h]]&gt;0),tblFleet[[#This Row],[Available_h]]/tblFleet[[#This Row],[Calendar_h]],"")</f>
        <v/>
      </c>
      <c r="J785" s="60">
        <f>IF(AND(tblFleet[[#This Row],[Units]]&lt;&gt;"",tblFleet[[#This Row],[Available_h]]&gt;0),tblFleet[[#This Row],[Operating_h]]/tblFleet[[#This Row],[Available_h]],"")</f>
        <v/>
      </c>
    </row>
    <row r="786">
      <c r="A786" s="54" t="n"/>
      <c r="B786" s="61" t="n"/>
      <c r="C786" s="62" t="n"/>
      <c r="D786" s="57" t="n"/>
      <c r="E786" s="57" t="n"/>
      <c r="F786" s="58" t="n"/>
      <c r="G786" s="66">
        <f>IF(tblFleet[[#This Row],[Units]]="","",tblFleet[[#This Row],[Units]]*24)</f>
        <v/>
      </c>
      <c r="H786" s="66">
        <f>IF(tblFleet[[#This Row],[Units]]="","",tblFleet[[#This Row],[Calendar_h]]-tblFleet[[#This Row],[Down_h]])</f>
        <v/>
      </c>
      <c r="I786" s="60">
        <f>IF(AND(tblFleet[[#This Row],[Units]]&lt;&gt;"",tblFleet[[#This Row],[Calendar_h]]&gt;0),tblFleet[[#This Row],[Available_h]]/tblFleet[[#This Row],[Calendar_h]],"")</f>
        <v/>
      </c>
      <c r="J786" s="60">
        <f>IF(AND(tblFleet[[#This Row],[Units]]&lt;&gt;"",tblFleet[[#This Row],[Available_h]]&gt;0),tblFleet[[#This Row],[Operating_h]]/tblFleet[[#This Row],[Available_h]],"")</f>
        <v/>
      </c>
    </row>
    <row r="787">
      <c r="A787" s="54" t="n"/>
      <c r="B787" s="61" t="n"/>
      <c r="C787" s="62" t="n"/>
      <c r="D787" s="57" t="n"/>
      <c r="E787" s="57" t="n"/>
      <c r="F787" s="58" t="n"/>
      <c r="G787" s="66">
        <f>IF(tblFleet[[#This Row],[Units]]="","",tblFleet[[#This Row],[Units]]*24)</f>
        <v/>
      </c>
      <c r="H787" s="66">
        <f>IF(tblFleet[[#This Row],[Units]]="","",tblFleet[[#This Row],[Calendar_h]]-tblFleet[[#This Row],[Down_h]])</f>
        <v/>
      </c>
      <c r="I787" s="60">
        <f>IF(AND(tblFleet[[#This Row],[Units]]&lt;&gt;"",tblFleet[[#This Row],[Calendar_h]]&gt;0),tblFleet[[#This Row],[Available_h]]/tblFleet[[#This Row],[Calendar_h]],"")</f>
        <v/>
      </c>
      <c r="J787" s="60">
        <f>IF(AND(tblFleet[[#This Row],[Units]]&lt;&gt;"",tblFleet[[#This Row],[Available_h]]&gt;0),tblFleet[[#This Row],[Operating_h]]/tblFleet[[#This Row],[Available_h]],"")</f>
        <v/>
      </c>
    </row>
    <row r="788">
      <c r="A788" s="54" t="n"/>
      <c r="B788" s="61" t="n"/>
      <c r="C788" s="62" t="n"/>
      <c r="D788" s="57" t="n"/>
      <c r="E788" s="57" t="n"/>
      <c r="F788" s="58" t="n"/>
      <c r="G788" s="66">
        <f>IF(tblFleet[[#This Row],[Units]]="","",tblFleet[[#This Row],[Units]]*24)</f>
        <v/>
      </c>
      <c r="H788" s="66">
        <f>IF(tblFleet[[#This Row],[Units]]="","",tblFleet[[#This Row],[Calendar_h]]-tblFleet[[#This Row],[Down_h]])</f>
        <v/>
      </c>
      <c r="I788" s="60">
        <f>IF(AND(tblFleet[[#This Row],[Units]]&lt;&gt;"",tblFleet[[#This Row],[Calendar_h]]&gt;0),tblFleet[[#This Row],[Available_h]]/tblFleet[[#This Row],[Calendar_h]],"")</f>
        <v/>
      </c>
      <c r="J788" s="60">
        <f>IF(AND(tblFleet[[#This Row],[Units]]&lt;&gt;"",tblFleet[[#This Row],[Available_h]]&gt;0),tblFleet[[#This Row],[Operating_h]]/tblFleet[[#This Row],[Available_h]],"")</f>
        <v/>
      </c>
    </row>
    <row r="789">
      <c r="A789" s="54" t="n"/>
      <c r="B789" s="61" t="n"/>
      <c r="C789" s="62" t="n"/>
      <c r="D789" s="57" t="n"/>
      <c r="E789" s="57" t="n"/>
      <c r="F789" s="58" t="n"/>
      <c r="G789" s="66">
        <f>IF(tblFleet[[#This Row],[Units]]="","",tblFleet[[#This Row],[Units]]*24)</f>
        <v/>
      </c>
      <c r="H789" s="66">
        <f>IF(tblFleet[[#This Row],[Units]]="","",tblFleet[[#This Row],[Calendar_h]]-tblFleet[[#This Row],[Down_h]])</f>
        <v/>
      </c>
      <c r="I789" s="60">
        <f>IF(AND(tblFleet[[#This Row],[Units]]&lt;&gt;"",tblFleet[[#This Row],[Calendar_h]]&gt;0),tblFleet[[#This Row],[Available_h]]/tblFleet[[#This Row],[Calendar_h]],"")</f>
        <v/>
      </c>
      <c r="J789" s="60">
        <f>IF(AND(tblFleet[[#This Row],[Units]]&lt;&gt;"",tblFleet[[#This Row],[Available_h]]&gt;0),tblFleet[[#This Row],[Operating_h]]/tblFleet[[#This Row],[Available_h]],"")</f>
        <v/>
      </c>
    </row>
    <row r="790">
      <c r="A790" s="54" t="n"/>
      <c r="B790" s="61" t="n"/>
      <c r="C790" s="62" t="n"/>
      <c r="D790" s="57" t="n"/>
      <c r="E790" s="57" t="n"/>
      <c r="F790" s="58" t="n"/>
      <c r="G790" s="66">
        <f>IF(tblFleet[[#This Row],[Units]]="","",tblFleet[[#This Row],[Units]]*24)</f>
        <v/>
      </c>
      <c r="H790" s="66">
        <f>IF(tblFleet[[#This Row],[Units]]="","",tblFleet[[#This Row],[Calendar_h]]-tblFleet[[#This Row],[Down_h]])</f>
        <v/>
      </c>
      <c r="I790" s="60">
        <f>IF(AND(tblFleet[[#This Row],[Units]]&lt;&gt;"",tblFleet[[#This Row],[Calendar_h]]&gt;0),tblFleet[[#This Row],[Available_h]]/tblFleet[[#This Row],[Calendar_h]],"")</f>
        <v/>
      </c>
      <c r="J790" s="60">
        <f>IF(AND(tblFleet[[#This Row],[Units]]&lt;&gt;"",tblFleet[[#This Row],[Available_h]]&gt;0),tblFleet[[#This Row],[Operating_h]]/tblFleet[[#This Row],[Available_h]],"")</f>
        <v/>
      </c>
    </row>
    <row r="791">
      <c r="A791" s="54" t="n"/>
      <c r="B791" s="61" t="n"/>
      <c r="C791" s="62" t="n"/>
      <c r="D791" s="57" t="n"/>
      <c r="E791" s="57" t="n"/>
      <c r="F791" s="58" t="n"/>
      <c r="G791" s="66">
        <f>IF(tblFleet[[#This Row],[Units]]="","",tblFleet[[#This Row],[Units]]*24)</f>
        <v/>
      </c>
      <c r="H791" s="66">
        <f>IF(tblFleet[[#This Row],[Units]]="","",tblFleet[[#This Row],[Calendar_h]]-tblFleet[[#This Row],[Down_h]])</f>
        <v/>
      </c>
      <c r="I791" s="60">
        <f>IF(AND(tblFleet[[#This Row],[Units]]&lt;&gt;"",tblFleet[[#This Row],[Calendar_h]]&gt;0),tblFleet[[#This Row],[Available_h]]/tblFleet[[#This Row],[Calendar_h]],"")</f>
        <v/>
      </c>
      <c r="J791" s="60">
        <f>IF(AND(tblFleet[[#This Row],[Units]]&lt;&gt;"",tblFleet[[#This Row],[Available_h]]&gt;0),tblFleet[[#This Row],[Operating_h]]/tblFleet[[#This Row],[Available_h]],"")</f>
        <v/>
      </c>
    </row>
    <row r="792">
      <c r="A792" s="54" t="n"/>
      <c r="B792" s="61" t="n"/>
      <c r="C792" s="62" t="n"/>
      <c r="D792" s="57" t="n"/>
      <c r="E792" s="57" t="n"/>
      <c r="F792" s="58" t="n"/>
      <c r="G792" s="66">
        <f>IF(tblFleet[[#This Row],[Units]]="","",tblFleet[[#This Row],[Units]]*24)</f>
        <v/>
      </c>
      <c r="H792" s="66">
        <f>IF(tblFleet[[#This Row],[Units]]="","",tblFleet[[#This Row],[Calendar_h]]-tblFleet[[#This Row],[Down_h]])</f>
        <v/>
      </c>
      <c r="I792" s="60">
        <f>IF(AND(tblFleet[[#This Row],[Units]]&lt;&gt;"",tblFleet[[#This Row],[Calendar_h]]&gt;0),tblFleet[[#This Row],[Available_h]]/tblFleet[[#This Row],[Calendar_h]],"")</f>
        <v/>
      </c>
      <c r="J792" s="60">
        <f>IF(AND(tblFleet[[#This Row],[Units]]&lt;&gt;"",tblFleet[[#This Row],[Available_h]]&gt;0),tblFleet[[#This Row],[Operating_h]]/tblFleet[[#This Row],[Available_h]],"")</f>
        <v/>
      </c>
    </row>
    <row r="793">
      <c r="A793" s="54" t="n"/>
      <c r="B793" s="61" t="n"/>
      <c r="C793" s="62" t="n"/>
      <c r="D793" s="57" t="n"/>
      <c r="E793" s="57" t="n"/>
      <c r="F793" s="58" t="n"/>
      <c r="G793" s="66">
        <f>IF(tblFleet[[#This Row],[Units]]="","",tblFleet[[#This Row],[Units]]*24)</f>
        <v/>
      </c>
      <c r="H793" s="66">
        <f>IF(tblFleet[[#This Row],[Units]]="","",tblFleet[[#This Row],[Calendar_h]]-tblFleet[[#This Row],[Down_h]])</f>
        <v/>
      </c>
      <c r="I793" s="60">
        <f>IF(AND(tblFleet[[#This Row],[Units]]&lt;&gt;"",tblFleet[[#This Row],[Calendar_h]]&gt;0),tblFleet[[#This Row],[Available_h]]/tblFleet[[#This Row],[Calendar_h]],"")</f>
        <v/>
      </c>
      <c r="J793" s="60">
        <f>IF(AND(tblFleet[[#This Row],[Units]]&lt;&gt;"",tblFleet[[#This Row],[Available_h]]&gt;0),tblFleet[[#This Row],[Operating_h]]/tblFleet[[#This Row],[Available_h]],"")</f>
        <v/>
      </c>
    </row>
    <row r="794">
      <c r="A794" s="54" t="n"/>
      <c r="B794" s="61" t="n"/>
      <c r="C794" s="62" t="n"/>
      <c r="D794" s="57" t="n"/>
      <c r="E794" s="57" t="n"/>
      <c r="F794" s="58" t="n"/>
      <c r="G794" s="66">
        <f>IF(tblFleet[[#This Row],[Units]]="","",tblFleet[[#This Row],[Units]]*24)</f>
        <v/>
      </c>
      <c r="H794" s="66">
        <f>IF(tblFleet[[#This Row],[Units]]="","",tblFleet[[#This Row],[Calendar_h]]-tblFleet[[#This Row],[Down_h]])</f>
        <v/>
      </c>
      <c r="I794" s="60">
        <f>IF(AND(tblFleet[[#This Row],[Units]]&lt;&gt;"",tblFleet[[#This Row],[Calendar_h]]&gt;0),tblFleet[[#This Row],[Available_h]]/tblFleet[[#This Row],[Calendar_h]],"")</f>
        <v/>
      </c>
      <c r="J794" s="60">
        <f>IF(AND(tblFleet[[#This Row],[Units]]&lt;&gt;"",tblFleet[[#This Row],[Available_h]]&gt;0),tblFleet[[#This Row],[Operating_h]]/tblFleet[[#This Row],[Available_h]],"")</f>
        <v/>
      </c>
    </row>
    <row r="795">
      <c r="A795" s="54" t="n"/>
      <c r="B795" s="61" t="n"/>
      <c r="C795" s="62" t="n"/>
      <c r="D795" s="57" t="n"/>
      <c r="E795" s="57" t="n"/>
      <c r="F795" s="58" t="n"/>
      <c r="G795" s="66">
        <f>IF(tblFleet[[#This Row],[Units]]="","",tblFleet[[#This Row],[Units]]*24)</f>
        <v/>
      </c>
      <c r="H795" s="66">
        <f>IF(tblFleet[[#This Row],[Units]]="","",tblFleet[[#This Row],[Calendar_h]]-tblFleet[[#This Row],[Down_h]])</f>
        <v/>
      </c>
      <c r="I795" s="60">
        <f>IF(AND(tblFleet[[#This Row],[Units]]&lt;&gt;"",tblFleet[[#This Row],[Calendar_h]]&gt;0),tblFleet[[#This Row],[Available_h]]/tblFleet[[#This Row],[Calendar_h]],"")</f>
        <v/>
      </c>
      <c r="J795" s="60">
        <f>IF(AND(tblFleet[[#This Row],[Units]]&lt;&gt;"",tblFleet[[#This Row],[Available_h]]&gt;0),tblFleet[[#This Row],[Operating_h]]/tblFleet[[#This Row],[Available_h]],"")</f>
        <v/>
      </c>
    </row>
    <row r="796">
      <c r="A796" s="54" t="n"/>
      <c r="B796" s="61" t="n"/>
      <c r="C796" s="62" t="n"/>
      <c r="D796" s="57" t="n"/>
      <c r="E796" s="57" t="n"/>
      <c r="F796" s="58" t="n"/>
      <c r="G796" s="66">
        <f>IF(tblFleet[[#This Row],[Units]]="","",tblFleet[[#This Row],[Units]]*24)</f>
        <v/>
      </c>
      <c r="H796" s="66">
        <f>IF(tblFleet[[#This Row],[Units]]="","",tblFleet[[#This Row],[Calendar_h]]-tblFleet[[#This Row],[Down_h]])</f>
        <v/>
      </c>
      <c r="I796" s="60">
        <f>IF(AND(tblFleet[[#This Row],[Units]]&lt;&gt;"",tblFleet[[#This Row],[Calendar_h]]&gt;0),tblFleet[[#This Row],[Available_h]]/tblFleet[[#This Row],[Calendar_h]],"")</f>
        <v/>
      </c>
      <c r="J796" s="60">
        <f>IF(AND(tblFleet[[#This Row],[Units]]&lt;&gt;"",tblFleet[[#This Row],[Available_h]]&gt;0),tblFleet[[#This Row],[Operating_h]]/tblFleet[[#This Row],[Available_h]],"")</f>
        <v/>
      </c>
    </row>
    <row r="797">
      <c r="A797" s="54" t="n"/>
      <c r="B797" s="61" t="n"/>
      <c r="C797" s="62" t="n"/>
      <c r="D797" s="57" t="n"/>
      <c r="E797" s="57" t="n"/>
      <c r="F797" s="58" t="n"/>
      <c r="G797" s="66">
        <f>IF(tblFleet[[#This Row],[Units]]="","",tblFleet[[#This Row],[Units]]*24)</f>
        <v/>
      </c>
      <c r="H797" s="66">
        <f>IF(tblFleet[[#This Row],[Units]]="","",tblFleet[[#This Row],[Calendar_h]]-tblFleet[[#This Row],[Down_h]])</f>
        <v/>
      </c>
      <c r="I797" s="60">
        <f>IF(AND(tblFleet[[#This Row],[Units]]&lt;&gt;"",tblFleet[[#This Row],[Calendar_h]]&gt;0),tblFleet[[#This Row],[Available_h]]/tblFleet[[#This Row],[Calendar_h]],"")</f>
        <v/>
      </c>
      <c r="J797" s="60">
        <f>IF(AND(tblFleet[[#This Row],[Units]]&lt;&gt;"",tblFleet[[#This Row],[Available_h]]&gt;0),tblFleet[[#This Row],[Operating_h]]/tblFleet[[#This Row],[Available_h]],"")</f>
        <v/>
      </c>
    </row>
    <row r="798">
      <c r="A798" s="54" t="n"/>
      <c r="B798" s="61" t="n"/>
      <c r="C798" s="62" t="n"/>
      <c r="D798" s="57" t="n"/>
      <c r="E798" s="57" t="n"/>
      <c r="F798" s="58" t="n"/>
      <c r="G798" s="66">
        <f>IF(tblFleet[[#This Row],[Units]]="","",tblFleet[[#This Row],[Units]]*24)</f>
        <v/>
      </c>
      <c r="H798" s="66">
        <f>IF(tblFleet[[#This Row],[Units]]="","",tblFleet[[#This Row],[Calendar_h]]-tblFleet[[#This Row],[Down_h]])</f>
        <v/>
      </c>
      <c r="I798" s="60">
        <f>IF(AND(tblFleet[[#This Row],[Units]]&lt;&gt;"",tblFleet[[#This Row],[Calendar_h]]&gt;0),tblFleet[[#This Row],[Available_h]]/tblFleet[[#This Row],[Calendar_h]],"")</f>
        <v/>
      </c>
      <c r="J798" s="60">
        <f>IF(AND(tblFleet[[#This Row],[Units]]&lt;&gt;"",tblFleet[[#This Row],[Available_h]]&gt;0),tblFleet[[#This Row],[Operating_h]]/tblFleet[[#This Row],[Available_h]],"")</f>
        <v/>
      </c>
    </row>
    <row r="799">
      <c r="A799" s="54" t="n"/>
      <c r="B799" s="61" t="n"/>
      <c r="C799" s="62" t="n"/>
      <c r="D799" s="57" t="n"/>
      <c r="E799" s="57" t="n"/>
      <c r="F799" s="58" t="n"/>
      <c r="G799" s="66">
        <f>IF(tblFleet[[#This Row],[Units]]="","",tblFleet[[#This Row],[Units]]*24)</f>
        <v/>
      </c>
      <c r="H799" s="66">
        <f>IF(tblFleet[[#This Row],[Units]]="","",tblFleet[[#This Row],[Calendar_h]]-tblFleet[[#This Row],[Down_h]])</f>
        <v/>
      </c>
      <c r="I799" s="60">
        <f>IF(AND(tblFleet[[#This Row],[Units]]&lt;&gt;"",tblFleet[[#This Row],[Calendar_h]]&gt;0),tblFleet[[#This Row],[Available_h]]/tblFleet[[#This Row],[Calendar_h]],"")</f>
        <v/>
      </c>
      <c r="J799" s="60">
        <f>IF(AND(tblFleet[[#This Row],[Units]]&lt;&gt;"",tblFleet[[#This Row],[Available_h]]&gt;0),tblFleet[[#This Row],[Operating_h]]/tblFleet[[#This Row],[Available_h]],"")</f>
        <v/>
      </c>
    </row>
    <row r="800">
      <c r="A800" s="54" t="n"/>
      <c r="B800" s="61" t="n"/>
      <c r="C800" s="62" t="n"/>
      <c r="D800" s="57" t="n"/>
      <c r="E800" s="57" t="n"/>
      <c r="F800" s="58" t="n"/>
      <c r="G800" s="66">
        <f>IF(tblFleet[[#This Row],[Units]]="","",tblFleet[[#This Row],[Units]]*24)</f>
        <v/>
      </c>
      <c r="H800" s="66">
        <f>IF(tblFleet[[#This Row],[Units]]="","",tblFleet[[#This Row],[Calendar_h]]-tblFleet[[#This Row],[Down_h]])</f>
        <v/>
      </c>
      <c r="I800" s="60">
        <f>IF(AND(tblFleet[[#This Row],[Units]]&lt;&gt;"",tblFleet[[#This Row],[Calendar_h]]&gt;0),tblFleet[[#This Row],[Available_h]]/tblFleet[[#This Row],[Calendar_h]],"")</f>
        <v/>
      </c>
      <c r="J800" s="60">
        <f>IF(AND(tblFleet[[#This Row],[Units]]&lt;&gt;"",tblFleet[[#This Row],[Available_h]]&gt;0),tblFleet[[#This Row],[Operating_h]]/tblFleet[[#This Row],[Available_h]],"")</f>
        <v/>
      </c>
    </row>
    <row r="801">
      <c r="A801" s="54" t="n"/>
      <c r="B801" s="61" t="n"/>
      <c r="C801" s="62" t="n"/>
      <c r="D801" s="57" t="n"/>
      <c r="E801" s="57" t="n"/>
      <c r="F801" s="58" t="n"/>
      <c r="G801" s="66">
        <f>IF(tblFleet[[#This Row],[Units]]="","",tblFleet[[#This Row],[Units]]*24)</f>
        <v/>
      </c>
      <c r="H801" s="66">
        <f>IF(tblFleet[[#This Row],[Units]]="","",tblFleet[[#This Row],[Calendar_h]]-tblFleet[[#This Row],[Down_h]])</f>
        <v/>
      </c>
      <c r="I801" s="60">
        <f>IF(AND(tblFleet[[#This Row],[Units]]&lt;&gt;"",tblFleet[[#This Row],[Calendar_h]]&gt;0),tblFleet[[#This Row],[Available_h]]/tblFleet[[#This Row],[Calendar_h]],"")</f>
        <v/>
      </c>
      <c r="J801" s="60">
        <f>IF(AND(tblFleet[[#This Row],[Units]]&lt;&gt;"",tblFleet[[#This Row],[Available_h]]&gt;0),tblFleet[[#This Row],[Operating_h]]/tblFleet[[#This Row],[Available_h]],"")</f>
        <v/>
      </c>
    </row>
    <row r="802">
      <c r="A802" s="54" t="n"/>
      <c r="B802" s="61" t="n"/>
      <c r="C802" s="62" t="n"/>
      <c r="D802" s="57" t="n"/>
      <c r="E802" s="57" t="n"/>
      <c r="F802" s="58" t="n"/>
      <c r="G802" s="66">
        <f>IF(tblFleet[[#This Row],[Units]]="","",tblFleet[[#This Row],[Units]]*24)</f>
        <v/>
      </c>
      <c r="H802" s="66">
        <f>IF(tblFleet[[#This Row],[Units]]="","",tblFleet[[#This Row],[Calendar_h]]-tblFleet[[#This Row],[Down_h]])</f>
        <v/>
      </c>
      <c r="I802" s="60">
        <f>IF(AND(tblFleet[[#This Row],[Units]]&lt;&gt;"",tblFleet[[#This Row],[Calendar_h]]&gt;0),tblFleet[[#This Row],[Available_h]]/tblFleet[[#This Row],[Calendar_h]],"")</f>
        <v/>
      </c>
      <c r="J802" s="60">
        <f>IF(AND(tblFleet[[#This Row],[Units]]&lt;&gt;"",tblFleet[[#This Row],[Available_h]]&gt;0),tblFleet[[#This Row],[Operating_h]]/tblFleet[[#This Row],[Available_h]],"")</f>
        <v/>
      </c>
    </row>
    <row r="803">
      <c r="A803" s="54" t="n"/>
      <c r="B803" s="61" t="n"/>
      <c r="C803" s="62" t="n"/>
      <c r="D803" s="57" t="n"/>
      <c r="E803" s="57" t="n"/>
      <c r="F803" s="58" t="n"/>
      <c r="G803" s="66">
        <f>IF(tblFleet[[#This Row],[Units]]="","",tblFleet[[#This Row],[Units]]*24)</f>
        <v/>
      </c>
      <c r="H803" s="66">
        <f>IF(tblFleet[[#This Row],[Units]]="","",tblFleet[[#This Row],[Calendar_h]]-tblFleet[[#This Row],[Down_h]])</f>
        <v/>
      </c>
      <c r="I803" s="60">
        <f>IF(AND(tblFleet[[#This Row],[Units]]&lt;&gt;"",tblFleet[[#This Row],[Calendar_h]]&gt;0),tblFleet[[#This Row],[Available_h]]/tblFleet[[#This Row],[Calendar_h]],"")</f>
        <v/>
      </c>
      <c r="J803" s="60">
        <f>IF(AND(tblFleet[[#This Row],[Units]]&lt;&gt;"",tblFleet[[#This Row],[Available_h]]&gt;0),tblFleet[[#This Row],[Operating_h]]/tblFleet[[#This Row],[Available_h]],"")</f>
        <v/>
      </c>
    </row>
    <row r="804">
      <c r="A804" s="54" t="n"/>
      <c r="B804" s="61" t="n"/>
      <c r="C804" s="62" t="n"/>
      <c r="D804" s="57" t="n"/>
      <c r="E804" s="57" t="n"/>
      <c r="F804" s="58" t="n"/>
      <c r="G804" s="66">
        <f>IF(tblFleet[[#This Row],[Units]]="","",tblFleet[[#This Row],[Units]]*24)</f>
        <v/>
      </c>
      <c r="H804" s="66">
        <f>IF(tblFleet[[#This Row],[Units]]="","",tblFleet[[#This Row],[Calendar_h]]-tblFleet[[#This Row],[Down_h]])</f>
        <v/>
      </c>
      <c r="I804" s="60">
        <f>IF(AND(tblFleet[[#This Row],[Units]]&lt;&gt;"",tblFleet[[#This Row],[Calendar_h]]&gt;0),tblFleet[[#This Row],[Available_h]]/tblFleet[[#This Row],[Calendar_h]],"")</f>
        <v/>
      </c>
      <c r="J804" s="60">
        <f>IF(AND(tblFleet[[#This Row],[Units]]&lt;&gt;"",tblFleet[[#This Row],[Available_h]]&gt;0),tblFleet[[#This Row],[Operating_h]]/tblFleet[[#This Row],[Available_h]],"")</f>
        <v/>
      </c>
    </row>
    <row r="805">
      <c r="A805" s="54" t="n"/>
      <c r="B805" s="61" t="n"/>
      <c r="C805" s="62" t="n"/>
      <c r="D805" s="57" t="n"/>
      <c r="E805" s="57" t="n"/>
      <c r="F805" s="58" t="n"/>
      <c r="G805" s="66">
        <f>IF(tblFleet[[#This Row],[Units]]="","",tblFleet[[#This Row],[Units]]*24)</f>
        <v/>
      </c>
      <c r="H805" s="66">
        <f>IF(tblFleet[[#This Row],[Units]]="","",tblFleet[[#This Row],[Calendar_h]]-tblFleet[[#This Row],[Down_h]])</f>
        <v/>
      </c>
      <c r="I805" s="60">
        <f>IF(AND(tblFleet[[#This Row],[Units]]&lt;&gt;"",tblFleet[[#This Row],[Calendar_h]]&gt;0),tblFleet[[#This Row],[Available_h]]/tblFleet[[#This Row],[Calendar_h]],"")</f>
        <v/>
      </c>
      <c r="J805" s="60">
        <f>IF(AND(tblFleet[[#This Row],[Units]]&lt;&gt;"",tblFleet[[#This Row],[Available_h]]&gt;0),tblFleet[[#This Row],[Operating_h]]/tblFleet[[#This Row],[Available_h]],"")</f>
        <v/>
      </c>
    </row>
    <row r="806">
      <c r="A806" s="54" t="n"/>
      <c r="B806" s="61" t="n"/>
      <c r="C806" s="62" t="n"/>
      <c r="D806" s="57" t="n"/>
      <c r="E806" s="57" t="n"/>
      <c r="F806" s="58" t="n"/>
      <c r="G806" s="66">
        <f>IF(tblFleet[[#This Row],[Units]]="","",tblFleet[[#This Row],[Units]]*24)</f>
        <v/>
      </c>
      <c r="H806" s="66">
        <f>IF(tblFleet[[#This Row],[Units]]="","",tblFleet[[#This Row],[Calendar_h]]-tblFleet[[#This Row],[Down_h]])</f>
        <v/>
      </c>
      <c r="I806" s="60">
        <f>IF(AND(tblFleet[[#This Row],[Units]]&lt;&gt;"",tblFleet[[#This Row],[Calendar_h]]&gt;0),tblFleet[[#This Row],[Available_h]]/tblFleet[[#This Row],[Calendar_h]],"")</f>
        <v/>
      </c>
      <c r="J806" s="60">
        <f>IF(AND(tblFleet[[#This Row],[Units]]&lt;&gt;"",tblFleet[[#This Row],[Available_h]]&gt;0),tblFleet[[#This Row],[Operating_h]]/tblFleet[[#This Row],[Available_h]],"")</f>
        <v/>
      </c>
    </row>
    <row r="807">
      <c r="A807" s="54" t="n"/>
      <c r="B807" s="61" t="n"/>
      <c r="C807" s="62" t="n"/>
      <c r="D807" s="57" t="n"/>
      <c r="E807" s="57" t="n"/>
      <c r="F807" s="58" t="n"/>
      <c r="G807" s="66">
        <f>IF(tblFleet[[#This Row],[Units]]="","",tblFleet[[#This Row],[Units]]*24)</f>
        <v/>
      </c>
      <c r="H807" s="66">
        <f>IF(tblFleet[[#This Row],[Units]]="","",tblFleet[[#This Row],[Calendar_h]]-tblFleet[[#This Row],[Down_h]])</f>
        <v/>
      </c>
      <c r="I807" s="60">
        <f>IF(AND(tblFleet[[#This Row],[Units]]&lt;&gt;"",tblFleet[[#This Row],[Calendar_h]]&gt;0),tblFleet[[#This Row],[Available_h]]/tblFleet[[#This Row],[Calendar_h]],"")</f>
        <v/>
      </c>
      <c r="J807" s="60">
        <f>IF(AND(tblFleet[[#This Row],[Units]]&lt;&gt;"",tblFleet[[#This Row],[Available_h]]&gt;0),tblFleet[[#This Row],[Operating_h]]/tblFleet[[#This Row],[Available_h]],"")</f>
        <v/>
      </c>
    </row>
    <row r="808">
      <c r="A808" s="54" t="n"/>
      <c r="B808" s="61" t="n"/>
      <c r="C808" s="62" t="n"/>
      <c r="D808" s="57" t="n"/>
      <c r="E808" s="57" t="n"/>
      <c r="F808" s="58" t="n"/>
      <c r="G808" s="66">
        <f>IF(tblFleet[[#This Row],[Units]]="","",tblFleet[[#This Row],[Units]]*24)</f>
        <v/>
      </c>
      <c r="H808" s="66">
        <f>IF(tblFleet[[#This Row],[Units]]="","",tblFleet[[#This Row],[Calendar_h]]-tblFleet[[#This Row],[Down_h]])</f>
        <v/>
      </c>
      <c r="I808" s="60">
        <f>IF(AND(tblFleet[[#This Row],[Units]]&lt;&gt;"",tblFleet[[#This Row],[Calendar_h]]&gt;0),tblFleet[[#This Row],[Available_h]]/tblFleet[[#This Row],[Calendar_h]],"")</f>
        <v/>
      </c>
      <c r="J808" s="60">
        <f>IF(AND(tblFleet[[#This Row],[Units]]&lt;&gt;"",tblFleet[[#This Row],[Available_h]]&gt;0),tblFleet[[#This Row],[Operating_h]]/tblFleet[[#This Row],[Available_h]],"")</f>
        <v/>
      </c>
    </row>
    <row r="809">
      <c r="A809" s="54" t="n"/>
      <c r="B809" s="61" t="n"/>
      <c r="C809" s="62" t="n"/>
      <c r="D809" s="57" t="n"/>
      <c r="E809" s="57" t="n"/>
      <c r="F809" s="58" t="n"/>
      <c r="G809" s="66">
        <f>IF(tblFleet[[#This Row],[Units]]="","",tblFleet[[#This Row],[Units]]*24)</f>
        <v/>
      </c>
      <c r="H809" s="66">
        <f>IF(tblFleet[[#This Row],[Units]]="","",tblFleet[[#This Row],[Calendar_h]]-tblFleet[[#This Row],[Down_h]])</f>
        <v/>
      </c>
      <c r="I809" s="60">
        <f>IF(AND(tblFleet[[#This Row],[Units]]&lt;&gt;"",tblFleet[[#This Row],[Calendar_h]]&gt;0),tblFleet[[#This Row],[Available_h]]/tblFleet[[#This Row],[Calendar_h]],"")</f>
        <v/>
      </c>
      <c r="J809" s="60">
        <f>IF(AND(tblFleet[[#This Row],[Units]]&lt;&gt;"",tblFleet[[#This Row],[Available_h]]&gt;0),tblFleet[[#This Row],[Operating_h]]/tblFleet[[#This Row],[Available_h]],"")</f>
        <v/>
      </c>
    </row>
    <row r="810">
      <c r="A810" s="54" t="n"/>
      <c r="B810" s="61" t="n"/>
      <c r="C810" s="62" t="n"/>
      <c r="D810" s="57" t="n"/>
      <c r="E810" s="57" t="n"/>
      <c r="F810" s="58" t="n"/>
      <c r="G810" s="66">
        <f>IF(tblFleet[[#This Row],[Units]]="","",tblFleet[[#This Row],[Units]]*24)</f>
        <v/>
      </c>
      <c r="H810" s="66">
        <f>IF(tblFleet[[#This Row],[Units]]="","",tblFleet[[#This Row],[Calendar_h]]-tblFleet[[#This Row],[Down_h]])</f>
        <v/>
      </c>
      <c r="I810" s="60">
        <f>IF(AND(tblFleet[[#This Row],[Units]]&lt;&gt;"",tblFleet[[#This Row],[Calendar_h]]&gt;0),tblFleet[[#This Row],[Available_h]]/tblFleet[[#This Row],[Calendar_h]],"")</f>
        <v/>
      </c>
      <c r="J810" s="60">
        <f>IF(AND(tblFleet[[#This Row],[Units]]&lt;&gt;"",tblFleet[[#This Row],[Available_h]]&gt;0),tblFleet[[#This Row],[Operating_h]]/tblFleet[[#This Row],[Available_h]],"")</f>
        <v/>
      </c>
    </row>
    <row r="811">
      <c r="A811" s="54" t="n"/>
      <c r="B811" s="61" t="n"/>
      <c r="C811" s="62" t="n"/>
      <c r="D811" s="57" t="n"/>
      <c r="E811" s="57" t="n"/>
      <c r="F811" s="58" t="n"/>
      <c r="G811" s="66">
        <f>IF(tblFleet[[#This Row],[Units]]="","",tblFleet[[#This Row],[Units]]*24)</f>
        <v/>
      </c>
      <c r="H811" s="66">
        <f>IF(tblFleet[[#This Row],[Units]]="","",tblFleet[[#This Row],[Calendar_h]]-tblFleet[[#This Row],[Down_h]])</f>
        <v/>
      </c>
      <c r="I811" s="60">
        <f>IF(AND(tblFleet[[#This Row],[Units]]&lt;&gt;"",tblFleet[[#This Row],[Calendar_h]]&gt;0),tblFleet[[#This Row],[Available_h]]/tblFleet[[#This Row],[Calendar_h]],"")</f>
        <v/>
      </c>
      <c r="J811" s="60">
        <f>IF(AND(tblFleet[[#This Row],[Units]]&lt;&gt;"",tblFleet[[#This Row],[Available_h]]&gt;0),tblFleet[[#This Row],[Operating_h]]/tblFleet[[#This Row],[Available_h]],"")</f>
        <v/>
      </c>
    </row>
    <row r="812">
      <c r="A812" s="54" t="n"/>
      <c r="B812" s="61" t="n"/>
      <c r="C812" s="62" t="n"/>
      <c r="D812" s="57" t="n"/>
      <c r="E812" s="57" t="n"/>
      <c r="F812" s="58" t="n"/>
      <c r="G812" s="66">
        <f>IF(tblFleet[[#This Row],[Units]]="","",tblFleet[[#This Row],[Units]]*24)</f>
        <v/>
      </c>
      <c r="H812" s="66">
        <f>IF(tblFleet[[#This Row],[Units]]="","",tblFleet[[#This Row],[Calendar_h]]-tblFleet[[#This Row],[Down_h]])</f>
        <v/>
      </c>
      <c r="I812" s="60">
        <f>IF(AND(tblFleet[[#This Row],[Units]]&lt;&gt;"",tblFleet[[#This Row],[Calendar_h]]&gt;0),tblFleet[[#This Row],[Available_h]]/tblFleet[[#This Row],[Calendar_h]],"")</f>
        <v/>
      </c>
      <c r="J812" s="60">
        <f>IF(AND(tblFleet[[#This Row],[Units]]&lt;&gt;"",tblFleet[[#This Row],[Available_h]]&gt;0),tblFleet[[#This Row],[Operating_h]]/tblFleet[[#This Row],[Available_h]],"")</f>
        <v/>
      </c>
    </row>
    <row r="813">
      <c r="A813" s="54" t="n"/>
      <c r="B813" s="61" t="n"/>
      <c r="C813" s="62" t="n"/>
      <c r="D813" s="57" t="n"/>
      <c r="E813" s="57" t="n"/>
      <c r="F813" s="58" t="n"/>
      <c r="G813" s="66">
        <f>IF(tblFleet[[#This Row],[Units]]="","",tblFleet[[#This Row],[Units]]*24)</f>
        <v/>
      </c>
      <c r="H813" s="66">
        <f>IF(tblFleet[[#This Row],[Units]]="","",tblFleet[[#This Row],[Calendar_h]]-tblFleet[[#This Row],[Down_h]])</f>
        <v/>
      </c>
      <c r="I813" s="60">
        <f>IF(AND(tblFleet[[#This Row],[Units]]&lt;&gt;"",tblFleet[[#This Row],[Calendar_h]]&gt;0),tblFleet[[#This Row],[Available_h]]/tblFleet[[#This Row],[Calendar_h]],"")</f>
        <v/>
      </c>
      <c r="J813" s="60">
        <f>IF(AND(tblFleet[[#This Row],[Units]]&lt;&gt;"",tblFleet[[#This Row],[Available_h]]&gt;0),tblFleet[[#This Row],[Operating_h]]/tblFleet[[#This Row],[Available_h]],"")</f>
        <v/>
      </c>
    </row>
    <row r="814">
      <c r="A814" s="54" t="n"/>
      <c r="B814" s="61" t="n"/>
      <c r="C814" s="62" t="n"/>
      <c r="D814" s="57" t="n"/>
      <c r="E814" s="57" t="n"/>
      <c r="F814" s="58" t="n"/>
      <c r="G814" s="66">
        <f>IF(tblFleet[[#This Row],[Units]]="","",tblFleet[[#This Row],[Units]]*24)</f>
        <v/>
      </c>
      <c r="H814" s="66">
        <f>IF(tblFleet[[#This Row],[Units]]="","",tblFleet[[#This Row],[Calendar_h]]-tblFleet[[#This Row],[Down_h]])</f>
        <v/>
      </c>
      <c r="I814" s="60">
        <f>IF(AND(tblFleet[[#This Row],[Units]]&lt;&gt;"",tblFleet[[#This Row],[Calendar_h]]&gt;0),tblFleet[[#This Row],[Available_h]]/tblFleet[[#This Row],[Calendar_h]],"")</f>
        <v/>
      </c>
      <c r="J814" s="60">
        <f>IF(AND(tblFleet[[#This Row],[Units]]&lt;&gt;"",tblFleet[[#This Row],[Available_h]]&gt;0),tblFleet[[#This Row],[Operating_h]]/tblFleet[[#This Row],[Available_h]],"")</f>
        <v/>
      </c>
    </row>
    <row r="815">
      <c r="A815" s="54" t="n"/>
      <c r="B815" s="61" t="n"/>
      <c r="C815" s="62" t="n"/>
      <c r="D815" s="57" t="n"/>
      <c r="E815" s="57" t="n"/>
      <c r="F815" s="58" t="n"/>
      <c r="G815" s="66">
        <f>IF(tblFleet[[#This Row],[Units]]="","",tblFleet[[#This Row],[Units]]*24)</f>
        <v/>
      </c>
      <c r="H815" s="66">
        <f>IF(tblFleet[[#This Row],[Units]]="","",tblFleet[[#This Row],[Calendar_h]]-tblFleet[[#This Row],[Down_h]])</f>
        <v/>
      </c>
      <c r="I815" s="60">
        <f>IF(AND(tblFleet[[#This Row],[Units]]&lt;&gt;"",tblFleet[[#This Row],[Calendar_h]]&gt;0),tblFleet[[#This Row],[Available_h]]/tblFleet[[#This Row],[Calendar_h]],"")</f>
        <v/>
      </c>
      <c r="J815" s="60">
        <f>IF(AND(tblFleet[[#This Row],[Units]]&lt;&gt;"",tblFleet[[#This Row],[Available_h]]&gt;0),tblFleet[[#This Row],[Operating_h]]/tblFleet[[#This Row],[Available_h]],"")</f>
        <v/>
      </c>
    </row>
    <row r="816">
      <c r="A816" s="54" t="n"/>
      <c r="B816" s="61" t="n"/>
      <c r="C816" s="62" t="n"/>
      <c r="D816" s="57" t="n"/>
      <c r="E816" s="57" t="n"/>
      <c r="F816" s="58" t="n"/>
      <c r="G816" s="66">
        <f>IF(tblFleet[[#This Row],[Units]]="","",tblFleet[[#This Row],[Units]]*24)</f>
        <v/>
      </c>
      <c r="H816" s="66">
        <f>IF(tblFleet[[#This Row],[Units]]="","",tblFleet[[#This Row],[Calendar_h]]-tblFleet[[#This Row],[Down_h]])</f>
        <v/>
      </c>
      <c r="I816" s="60">
        <f>IF(AND(tblFleet[[#This Row],[Units]]&lt;&gt;"",tblFleet[[#This Row],[Calendar_h]]&gt;0),tblFleet[[#This Row],[Available_h]]/tblFleet[[#This Row],[Calendar_h]],"")</f>
        <v/>
      </c>
      <c r="J816" s="60">
        <f>IF(AND(tblFleet[[#This Row],[Units]]&lt;&gt;"",tblFleet[[#This Row],[Available_h]]&gt;0),tblFleet[[#This Row],[Operating_h]]/tblFleet[[#This Row],[Available_h]],"")</f>
        <v/>
      </c>
    </row>
    <row r="817">
      <c r="A817" s="54" t="n"/>
      <c r="B817" s="61" t="n"/>
      <c r="C817" s="62" t="n"/>
      <c r="D817" s="57" t="n"/>
      <c r="E817" s="57" t="n"/>
      <c r="F817" s="58" t="n"/>
      <c r="G817" s="66">
        <f>IF(tblFleet[[#This Row],[Units]]="","",tblFleet[[#This Row],[Units]]*24)</f>
        <v/>
      </c>
      <c r="H817" s="66">
        <f>IF(tblFleet[[#This Row],[Units]]="","",tblFleet[[#This Row],[Calendar_h]]-tblFleet[[#This Row],[Down_h]])</f>
        <v/>
      </c>
      <c r="I817" s="60">
        <f>IF(AND(tblFleet[[#This Row],[Units]]&lt;&gt;"",tblFleet[[#This Row],[Calendar_h]]&gt;0),tblFleet[[#This Row],[Available_h]]/tblFleet[[#This Row],[Calendar_h]],"")</f>
        <v/>
      </c>
      <c r="J817" s="60">
        <f>IF(AND(tblFleet[[#This Row],[Units]]&lt;&gt;"",tblFleet[[#This Row],[Available_h]]&gt;0),tblFleet[[#This Row],[Operating_h]]/tblFleet[[#This Row],[Available_h]],"")</f>
        <v/>
      </c>
    </row>
    <row r="818">
      <c r="A818" s="54" t="n"/>
      <c r="B818" s="61" t="n"/>
      <c r="C818" s="62" t="n"/>
      <c r="D818" s="57" t="n"/>
      <c r="E818" s="57" t="n"/>
      <c r="F818" s="58" t="n"/>
      <c r="G818" s="66">
        <f>IF(tblFleet[[#This Row],[Units]]="","",tblFleet[[#This Row],[Units]]*24)</f>
        <v/>
      </c>
      <c r="H818" s="66">
        <f>IF(tblFleet[[#This Row],[Units]]="","",tblFleet[[#This Row],[Calendar_h]]-tblFleet[[#This Row],[Down_h]])</f>
        <v/>
      </c>
      <c r="I818" s="60">
        <f>IF(AND(tblFleet[[#This Row],[Units]]&lt;&gt;"",tblFleet[[#This Row],[Calendar_h]]&gt;0),tblFleet[[#This Row],[Available_h]]/tblFleet[[#This Row],[Calendar_h]],"")</f>
        <v/>
      </c>
      <c r="J818" s="60">
        <f>IF(AND(tblFleet[[#This Row],[Units]]&lt;&gt;"",tblFleet[[#This Row],[Available_h]]&gt;0),tblFleet[[#This Row],[Operating_h]]/tblFleet[[#This Row],[Available_h]],"")</f>
        <v/>
      </c>
    </row>
    <row r="819">
      <c r="A819" s="54" t="n"/>
      <c r="B819" s="61" t="n"/>
      <c r="C819" s="62" t="n"/>
      <c r="D819" s="57" t="n"/>
      <c r="E819" s="57" t="n"/>
      <c r="F819" s="58" t="n"/>
      <c r="G819" s="66">
        <f>IF(tblFleet[[#This Row],[Units]]="","",tblFleet[[#This Row],[Units]]*24)</f>
        <v/>
      </c>
      <c r="H819" s="66">
        <f>IF(tblFleet[[#This Row],[Units]]="","",tblFleet[[#This Row],[Calendar_h]]-tblFleet[[#This Row],[Down_h]])</f>
        <v/>
      </c>
      <c r="I819" s="60">
        <f>IF(AND(tblFleet[[#This Row],[Units]]&lt;&gt;"",tblFleet[[#This Row],[Calendar_h]]&gt;0),tblFleet[[#This Row],[Available_h]]/tblFleet[[#This Row],[Calendar_h]],"")</f>
        <v/>
      </c>
      <c r="J819" s="60">
        <f>IF(AND(tblFleet[[#This Row],[Units]]&lt;&gt;"",tblFleet[[#This Row],[Available_h]]&gt;0),tblFleet[[#This Row],[Operating_h]]/tblFleet[[#This Row],[Available_h]],"")</f>
        <v/>
      </c>
    </row>
    <row r="820">
      <c r="A820" s="54" t="n"/>
      <c r="B820" s="61" t="n"/>
      <c r="C820" s="62" t="n"/>
      <c r="D820" s="57" t="n"/>
      <c r="E820" s="57" t="n"/>
      <c r="F820" s="58" t="n"/>
      <c r="G820" s="66">
        <f>IF(tblFleet[[#This Row],[Units]]="","",tblFleet[[#This Row],[Units]]*24)</f>
        <v/>
      </c>
      <c r="H820" s="66">
        <f>IF(tblFleet[[#This Row],[Units]]="","",tblFleet[[#This Row],[Calendar_h]]-tblFleet[[#This Row],[Down_h]])</f>
        <v/>
      </c>
      <c r="I820" s="60">
        <f>IF(AND(tblFleet[[#This Row],[Units]]&lt;&gt;"",tblFleet[[#This Row],[Calendar_h]]&gt;0),tblFleet[[#This Row],[Available_h]]/tblFleet[[#This Row],[Calendar_h]],"")</f>
        <v/>
      </c>
      <c r="J820" s="60">
        <f>IF(AND(tblFleet[[#This Row],[Units]]&lt;&gt;"",tblFleet[[#This Row],[Available_h]]&gt;0),tblFleet[[#This Row],[Operating_h]]/tblFleet[[#This Row],[Available_h]],"")</f>
        <v/>
      </c>
    </row>
    <row r="821">
      <c r="A821" s="54" t="n"/>
      <c r="B821" s="61" t="n"/>
      <c r="C821" s="62" t="n"/>
      <c r="D821" s="57" t="n"/>
      <c r="E821" s="57" t="n"/>
      <c r="F821" s="58" t="n"/>
      <c r="G821" s="66">
        <f>IF(tblFleet[[#This Row],[Units]]="","",tblFleet[[#This Row],[Units]]*24)</f>
        <v/>
      </c>
      <c r="H821" s="66">
        <f>IF(tblFleet[[#This Row],[Units]]="","",tblFleet[[#This Row],[Calendar_h]]-tblFleet[[#This Row],[Down_h]])</f>
        <v/>
      </c>
      <c r="I821" s="60">
        <f>IF(AND(tblFleet[[#This Row],[Units]]&lt;&gt;"",tblFleet[[#This Row],[Calendar_h]]&gt;0),tblFleet[[#This Row],[Available_h]]/tblFleet[[#This Row],[Calendar_h]],"")</f>
        <v/>
      </c>
      <c r="J821" s="60">
        <f>IF(AND(tblFleet[[#This Row],[Units]]&lt;&gt;"",tblFleet[[#This Row],[Available_h]]&gt;0),tblFleet[[#This Row],[Operating_h]]/tblFleet[[#This Row],[Available_h]],"")</f>
        <v/>
      </c>
    </row>
    <row r="822">
      <c r="A822" s="54" t="n"/>
      <c r="B822" s="61" t="n"/>
      <c r="C822" s="62" t="n"/>
      <c r="D822" s="57" t="n"/>
      <c r="E822" s="57" t="n"/>
      <c r="F822" s="58" t="n"/>
      <c r="G822" s="66">
        <f>IF(tblFleet[[#This Row],[Units]]="","",tblFleet[[#This Row],[Units]]*24)</f>
        <v/>
      </c>
      <c r="H822" s="66">
        <f>IF(tblFleet[[#This Row],[Units]]="","",tblFleet[[#This Row],[Calendar_h]]-tblFleet[[#This Row],[Down_h]])</f>
        <v/>
      </c>
      <c r="I822" s="60">
        <f>IF(AND(tblFleet[[#This Row],[Units]]&lt;&gt;"",tblFleet[[#This Row],[Calendar_h]]&gt;0),tblFleet[[#This Row],[Available_h]]/tblFleet[[#This Row],[Calendar_h]],"")</f>
        <v/>
      </c>
      <c r="J822" s="60">
        <f>IF(AND(tblFleet[[#This Row],[Units]]&lt;&gt;"",tblFleet[[#This Row],[Available_h]]&gt;0),tblFleet[[#This Row],[Operating_h]]/tblFleet[[#This Row],[Available_h]],"")</f>
        <v/>
      </c>
    </row>
    <row r="823">
      <c r="A823" s="54" t="n"/>
      <c r="B823" s="61" t="n"/>
      <c r="C823" s="62" t="n"/>
      <c r="D823" s="57" t="n"/>
      <c r="E823" s="57" t="n"/>
      <c r="F823" s="58" t="n"/>
      <c r="G823" s="66">
        <f>IF(tblFleet[[#This Row],[Units]]="","",tblFleet[[#This Row],[Units]]*24)</f>
        <v/>
      </c>
      <c r="H823" s="66">
        <f>IF(tblFleet[[#This Row],[Units]]="","",tblFleet[[#This Row],[Calendar_h]]-tblFleet[[#This Row],[Down_h]])</f>
        <v/>
      </c>
      <c r="I823" s="60">
        <f>IF(AND(tblFleet[[#This Row],[Units]]&lt;&gt;"",tblFleet[[#This Row],[Calendar_h]]&gt;0),tblFleet[[#This Row],[Available_h]]/tblFleet[[#This Row],[Calendar_h]],"")</f>
        <v/>
      </c>
      <c r="J823" s="60">
        <f>IF(AND(tblFleet[[#This Row],[Units]]&lt;&gt;"",tblFleet[[#This Row],[Available_h]]&gt;0),tblFleet[[#This Row],[Operating_h]]/tblFleet[[#This Row],[Available_h]],"")</f>
        <v/>
      </c>
    </row>
    <row r="824">
      <c r="A824" s="54" t="n"/>
      <c r="B824" s="61" t="n"/>
      <c r="C824" s="62" t="n"/>
      <c r="D824" s="57" t="n"/>
      <c r="E824" s="57" t="n"/>
      <c r="F824" s="58" t="n"/>
      <c r="G824" s="66">
        <f>IF(tblFleet[[#This Row],[Units]]="","",tblFleet[[#This Row],[Units]]*24)</f>
        <v/>
      </c>
      <c r="H824" s="66">
        <f>IF(tblFleet[[#This Row],[Units]]="","",tblFleet[[#This Row],[Calendar_h]]-tblFleet[[#This Row],[Down_h]])</f>
        <v/>
      </c>
      <c r="I824" s="60">
        <f>IF(AND(tblFleet[[#This Row],[Units]]&lt;&gt;"",tblFleet[[#This Row],[Calendar_h]]&gt;0),tblFleet[[#This Row],[Available_h]]/tblFleet[[#This Row],[Calendar_h]],"")</f>
        <v/>
      </c>
      <c r="J824" s="60">
        <f>IF(AND(tblFleet[[#This Row],[Units]]&lt;&gt;"",tblFleet[[#This Row],[Available_h]]&gt;0),tblFleet[[#This Row],[Operating_h]]/tblFleet[[#This Row],[Available_h]],"")</f>
        <v/>
      </c>
    </row>
    <row r="825">
      <c r="A825" s="54" t="n"/>
      <c r="B825" s="61" t="n"/>
      <c r="C825" s="62" t="n"/>
      <c r="D825" s="57" t="n"/>
      <c r="E825" s="57" t="n"/>
      <c r="F825" s="58" t="n"/>
      <c r="G825" s="66">
        <f>IF(tblFleet[[#This Row],[Units]]="","",tblFleet[[#This Row],[Units]]*24)</f>
        <v/>
      </c>
      <c r="H825" s="66">
        <f>IF(tblFleet[[#This Row],[Units]]="","",tblFleet[[#This Row],[Calendar_h]]-tblFleet[[#This Row],[Down_h]])</f>
        <v/>
      </c>
      <c r="I825" s="60">
        <f>IF(AND(tblFleet[[#This Row],[Units]]&lt;&gt;"",tblFleet[[#This Row],[Calendar_h]]&gt;0),tblFleet[[#This Row],[Available_h]]/tblFleet[[#This Row],[Calendar_h]],"")</f>
        <v/>
      </c>
      <c r="J825" s="60">
        <f>IF(AND(tblFleet[[#This Row],[Units]]&lt;&gt;"",tblFleet[[#This Row],[Available_h]]&gt;0),tblFleet[[#This Row],[Operating_h]]/tblFleet[[#This Row],[Available_h]],"")</f>
        <v/>
      </c>
    </row>
    <row r="826">
      <c r="A826" s="54" t="n"/>
      <c r="B826" s="61" t="n"/>
      <c r="C826" s="62" t="n"/>
      <c r="D826" s="57" t="n"/>
      <c r="E826" s="57" t="n"/>
      <c r="F826" s="58" t="n"/>
      <c r="G826" s="66">
        <f>IF(tblFleet[[#This Row],[Units]]="","",tblFleet[[#This Row],[Units]]*24)</f>
        <v/>
      </c>
      <c r="H826" s="66">
        <f>IF(tblFleet[[#This Row],[Units]]="","",tblFleet[[#This Row],[Calendar_h]]-tblFleet[[#This Row],[Down_h]])</f>
        <v/>
      </c>
      <c r="I826" s="60">
        <f>IF(AND(tblFleet[[#This Row],[Units]]&lt;&gt;"",tblFleet[[#This Row],[Calendar_h]]&gt;0),tblFleet[[#This Row],[Available_h]]/tblFleet[[#This Row],[Calendar_h]],"")</f>
        <v/>
      </c>
      <c r="J826" s="60">
        <f>IF(AND(tblFleet[[#This Row],[Units]]&lt;&gt;"",tblFleet[[#This Row],[Available_h]]&gt;0),tblFleet[[#This Row],[Operating_h]]/tblFleet[[#This Row],[Available_h]],"")</f>
        <v/>
      </c>
    </row>
    <row r="827">
      <c r="A827" s="54" t="n"/>
      <c r="B827" s="61" t="n"/>
      <c r="C827" s="62" t="n"/>
      <c r="D827" s="57" t="n"/>
      <c r="E827" s="57" t="n"/>
      <c r="F827" s="58" t="n"/>
      <c r="G827" s="66">
        <f>IF(tblFleet[[#This Row],[Units]]="","",tblFleet[[#This Row],[Units]]*24)</f>
        <v/>
      </c>
      <c r="H827" s="66">
        <f>IF(tblFleet[[#This Row],[Units]]="","",tblFleet[[#This Row],[Calendar_h]]-tblFleet[[#This Row],[Down_h]])</f>
        <v/>
      </c>
      <c r="I827" s="60">
        <f>IF(AND(tblFleet[[#This Row],[Units]]&lt;&gt;"",tblFleet[[#This Row],[Calendar_h]]&gt;0),tblFleet[[#This Row],[Available_h]]/tblFleet[[#This Row],[Calendar_h]],"")</f>
        <v/>
      </c>
      <c r="J827" s="60">
        <f>IF(AND(tblFleet[[#This Row],[Units]]&lt;&gt;"",tblFleet[[#This Row],[Available_h]]&gt;0),tblFleet[[#This Row],[Operating_h]]/tblFleet[[#This Row],[Available_h]],"")</f>
        <v/>
      </c>
    </row>
    <row r="828">
      <c r="A828" s="54" t="n"/>
      <c r="B828" s="61" t="n"/>
      <c r="C828" s="62" t="n"/>
      <c r="D828" s="57" t="n"/>
      <c r="E828" s="57" t="n"/>
      <c r="F828" s="58" t="n"/>
      <c r="G828" s="66">
        <f>IF(tblFleet[[#This Row],[Units]]="","",tblFleet[[#This Row],[Units]]*24)</f>
        <v/>
      </c>
      <c r="H828" s="66">
        <f>IF(tblFleet[[#This Row],[Units]]="","",tblFleet[[#This Row],[Calendar_h]]-tblFleet[[#This Row],[Down_h]])</f>
        <v/>
      </c>
      <c r="I828" s="60">
        <f>IF(AND(tblFleet[[#This Row],[Units]]&lt;&gt;"",tblFleet[[#This Row],[Calendar_h]]&gt;0),tblFleet[[#This Row],[Available_h]]/tblFleet[[#This Row],[Calendar_h]],"")</f>
        <v/>
      </c>
      <c r="J828" s="60">
        <f>IF(AND(tblFleet[[#This Row],[Units]]&lt;&gt;"",tblFleet[[#This Row],[Available_h]]&gt;0),tblFleet[[#This Row],[Operating_h]]/tblFleet[[#This Row],[Available_h]],"")</f>
        <v/>
      </c>
    </row>
    <row r="829">
      <c r="A829" s="54" t="n"/>
      <c r="B829" s="61" t="n"/>
      <c r="C829" s="62" t="n"/>
      <c r="D829" s="57" t="n"/>
      <c r="E829" s="57" t="n"/>
      <c r="F829" s="58" t="n"/>
      <c r="G829" s="66">
        <f>IF(tblFleet[[#This Row],[Units]]="","",tblFleet[[#This Row],[Units]]*24)</f>
        <v/>
      </c>
      <c r="H829" s="66">
        <f>IF(tblFleet[[#This Row],[Units]]="","",tblFleet[[#This Row],[Calendar_h]]-tblFleet[[#This Row],[Down_h]])</f>
        <v/>
      </c>
      <c r="I829" s="60">
        <f>IF(AND(tblFleet[[#This Row],[Units]]&lt;&gt;"",tblFleet[[#This Row],[Calendar_h]]&gt;0),tblFleet[[#This Row],[Available_h]]/tblFleet[[#This Row],[Calendar_h]],"")</f>
        <v/>
      </c>
      <c r="J829" s="60">
        <f>IF(AND(tblFleet[[#This Row],[Units]]&lt;&gt;"",tblFleet[[#This Row],[Available_h]]&gt;0),tblFleet[[#This Row],[Operating_h]]/tblFleet[[#This Row],[Available_h]],"")</f>
        <v/>
      </c>
    </row>
    <row r="830">
      <c r="A830" s="54" t="n"/>
      <c r="B830" s="61" t="n"/>
      <c r="C830" s="62" t="n"/>
      <c r="D830" s="57" t="n"/>
      <c r="E830" s="57" t="n"/>
      <c r="F830" s="58" t="n"/>
      <c r="G830" s="66">
        <f>IF(tblFleet[[#This Row],[Units]]="","",tblFleet[[#This Row],[Units]]*24)</f>
        <v/>
      </c>
      <c r="H830" s="66">
        <f>IF(tblFleet[[#This Row],[Units]]="","",tblFleet[[#This Row],[Calendar_h]]-tblFleet[[#This Row],[Down_h]])</f>
        <v/>
      </c>
      <c r="I830" s="60">
        <f>IF(AND(tblFleet[[#This Row],[Units]]&lt;&gt;"",tblFleet[[#This Row],[Calendar_h]]&gt;0),tblFleet[[#This Row],[Available_h]]/tblFleet[[#This Row],[Calendar_h]],"")</f>
        <v/>
      </c>
      <c r="J830" s="60">
        <f>IF(AND(tblFleet[[#This Row],[Units]]&lt;&gt;"",tblFleet[[#This Row],[Available_h]]&gt;0),tblFleet[[#This Row],[Operating_h]]/tblFleet[[#This Row],[Available_h]],"")</f>
        <v/>
      </c>
    </row>
    <row r="831">
      <c r="A831" s="54" t="n"/>
      <c r="B831" s="61" t="n"/>
      <c r="C831" s="62" t="n"/>
      <c r="D831" s="57" t="n"/>
      <c r="E831" s="57" t="n"/>
      <c r="F831" s="58" t="n"/>
      <c r="G831" s="66">
        <f>IF(tblFleet[[#This Row],[Units]]="","",tblFleet[[#This Row],[Units]]*24)</f>
        <v/>
      </c>
      <c r="H831" s="66">
        <f>IF(tblFleet[[#This Row],[Units]]="","",tblFleet[[#This Row],[Calendar_h]]-tblFleet[[#This Row],[Down_h]])</f>
        <v/>
      </c>
      <c r="I831" s="60">
        <f>IF(AND(tblFleet[[#This Row],[Units]]&lt;&gt;"",tblFleet[[#This Row],[Calendar_h]]&gt;0),tblFleet[[#This Row],[Available_h]]/tblFleet[[#This Row],[Calendar_h]],"")</f>
        <v/>
      </c>
      <c r="J831" s="60">
        <f>IF(AND(tblFleet[[#This Row],[Units]]&lt;&gt;"",tblFleet[[#This Row],[Available_h]]&gt;0),tblFleet[[#This Row],[Operating_h]]/tblFleet[[#This Row],[Available_h]],"")</f>
        <v/>
      </c>
    </row>
    <row r="832">
      <c r="A832" s="54" t="n"/>
      <c r="B832" s="61" t="n"/>
      <c r="C832" s="62" t="n"/>
      <c r="D832" s="57" t="n"/>
      <c r="E832" s="57" t="n"/>
      <c r="F832" s="58" t="n"/>
      <c r="G832" s="66">
        <f>IF(tblFleet[[#This Row],[Units]]="","",tblFleet[[#This Row],[Units]]*24)</f>
        <v/>
      </c>
      <c r="H832" s="66">
        <f>IF(tblFleet[[#This Row],[Units]]="","",tblFleet[[#This Row],[Calendar_h]]-tblFleet[[#This Row],[Down_h]])</f>
        <v/>
      </c>
      <c r="I832" s="60">
        <f>IF(AND(tblFleet[[#This Row],[Units]]&lt;&gt;"",tblFleet[[#This Row],[Calendar_h]]&gt;0),tblFleet[[#This Row],[Available_h]]/tblFleet[[#This Row],[Calendar_h]],"")</f>
        <v/>
      </c>
      <c r="J832" s="60">
        <f>IF(AND(tblFleet[[#This Row],[Units]]&lt;&gt;"",tblFleet[[#This Row],[Available_h]]&gt;0),tblFleet[[#This Row],[Operating_h]]/tblFleet[[#This Row],[Available_h]],"")</f>
        <v/>
      </c>
    </row>
    <row r="833">
      <c r="A833" s="54" t="n"/>
      <c r="B833" s="61" t="n"/>
      <c r="C833" s="62" t="n"/>
      <c r="D833" s="57" t="n"/>
      <c r="E833" s="57" t="n"/>
      <c r="F833" s="58" t="n"/>
      <c r="G833" s="66">
        <f>IF(tblFleet[[#This Row],[Units]]="","",tblFleet[[#This Row],[Units]]*24)</f>
        <v/>
      </c>
      <c r="H833" s="66">
        <f>IF(tblFleet[[#This Row],[Units]]="","",tblFleet[[#This Row],[Calendar_h]]-tblFleet[[#This Row],[Down_h]])</f>
        <v/>
      </c>
      <c r="I833" s="60">
        <f>IF(AND(tblFleet[[#This Row],[Units]]&lt;&gt;"",tblFleet[[#This Row],[Calendar_h]]&gt;0),tblFleet[[#This Row],[Available_h]]/tblFleet[[#This Row],[Calendar_h]],"")</f>
        <v/>
      </c>
      <c r="J833" s="60">
        <f>IF(AND(tblFleet[[#This Row],[Units]]&lt;&gt;"",tblFleet[[#This Row],[Available_h]]&gt;0),tblFleet[[#This Row],[Operating_h]]/tblFleet[[#This Row],[Available_h]],"")</f>
        <v/>
      </c>
    </row>
    <row r="834">
      <c r="A834" s="54" t="n"/>
      <c r="B834" s="61" t="n"/>
      <c r="C834" s="62" t="n"/>
      <c r="D834" s="57" t="n"/>
      <c r="E834" s="57" t="n"/>
      <c r="F834" s="58" t="n"/>
      <c r="G834" s="66">
        <f>IF(tblFleet[[#This Row],[Units]]="","",tblFleet[[#This Row],[Units]]*24)</f>
        <v/>
      </c>
      <c r="H834" s="66">
        <f>IF(tblFleet[[#This Row],[Units]]="","",tblFleet[[#This Row],[Calendar_h]]-tblFleet[[#This Row],[Down_h]])</f>
        <v/>
      </c>
      <c r="I834" s="60">
        <f>IF(AND(tblFleet[[#This Row],[Units]]&lt;&gt;"",tblFleet[[#This Row],[Calendar_h]]&gt;0),tblFleet[[#This Row],[Available_h]]/tblFleet[[#This Row],[Calendar_h]],"")</f>
        <v/>
      </c>
      <c r="J834" s="60">
        <f>IF(AND(tblFleet[[#This Row],[Units]]&lt;&gt;"",tblFleet[[#This Row],[Available_h]]&gt;0),tblFleet[[#This Row],[Operating_h]]/tblFleet[[#This Row],[Available_h]],"")</f>
        <v/>
      </c>
    </row>
    <row r="835">
      <c r="A835" s="54" t="n"/>
      <c r="B835" s="61" t="n"/>
      <c r="C835" s="62" t="n"/>
      <c r="D835" s="57" t="n"/>
      <c r="E835" s="57" t="n"/>
      <c r="F835" s="58" t="n"/>
      <c r="G835" s="66">
        <f>IF(tblFleet[[#This Row],[Units]]="","",tblFleet[[#This Row],[Units]]*24)</f>
        <v/>
      </c>
      <c r="H835" s="66">
        <f>IF(tblFleet[[#This Row],[Units]]="","",tblFleet[[#This Row],[Calendar_h]]-tblFleet[[#This Row],[Down_h]])</f>
        <v/>
      </c>
      <c r="I835" s="60">
        <f>IF(AND(tblFleet[[#This Row],[Units]]&lt;&gt;"",tblFleet[[#This Row],[Calendar_h]]&gt;0),tblFleet[[#This Row],[Available_h]]/tblFleet[[#This Row],[Calendar_h]],"")</f>
        <v/>
      </c>
      <c r="J835" s="60">
        <f>IF(AND(tblFleet[[#This Row],[Units]]&lt;&gt;"",tblFleet[[#This Row],[Available_h]]&gt;0),tblFleet[[#This Row],[Operating_h]]/tblFleet[[#This Row],[Available_h]],"")</f>
        <v/>
      </c>
    </row>
    <row r="836">
      <c r="A836" s="54" t="n"/>
      <c r="B836" s="61" t="n"/>
      <c r="C836" s="62" t="n"/>
      <c r="D836" s="57" t="n"/>
      <c r="E836" s="57" t="n"/>
      <c r="F836" s="58" t="n"/>
      <c r="G836" s="66">
        <f>IF(tblFleet[[#This Row],[Units]]="","",tblFleet[[#This Row],[Units]]*24)</f>
        <v/>
      </c>
      <c r="H836" s="66">
        <f>IF(tblFleet[[#This Row],[Units]]="","",tblFleet[[#This Row],[Calendar_h]]-tblFleet[[#This Row],[Down_h]])</f>
        <v/>
      </c>
      <c r="I836" s="60">
        <f>IF(AND(tblFleet[[#This Row],[Units]]&lt;&gt;"",tblFleet[[#This Row],[Calendar_h]]&gt;0),tblFleet[[#This Row],[Available_h]]/tblFleet[[#This Row],[Calendar_h]],"")</f>
        <v/>
      </c>
      <c r="J836" s="60">
        <f>IF(AND(tblFleet[[#This Row],[Units]]&lt;&gt;"",tblFleet[[#This Row],[Available_h]]&gt;0),tblFleet[[#This Row],[Operating_h]]/tblFleet[[#This Row],[Available_h]],"")</f>
        <v/>
      </c>
    </row>
    <row r="837">
      <c r="A837" s="54" t="n"/>
      <c r="B837" s="61" t="n"/>
      <c r="C837" s="62" t="n"/>
      <c r="D837" s="57" t="n"/>
      <c r="E837" s="57" t="n"/>
      <c r="F837" s="58" t="n"/>
      <c r="G837" s="66">
        <f>IF(tblFleet[[#This Row],[Units]]="","",tblFleet[[#This Row],[Units]]*24)</f>
        <v/>
      </c>
      <c r="H837" s="66">
        <f>IF(tblFleet[[#This Row],[Units]]="","",tblFleet[[#This Row],[Calendar_h]]-tblFleet[[#This Row],[Down_h]])</f>
        <v/>
      </c>
      <c r="I837" s="60">
        <f>IF(AND(tblFleet[[#This Row],[Units]]&lt;&gt;"",tblFleet[[#This Row],[Calendar_h]]&gt;0),tblFleet[[#This Row],[Available_h]]/tblFleet[[#This Row],[Calendar_h]],"")</f>
        <v/>
      </c>
      <c r="J837" s="60">
        <f>IF(AND(tblFleet[[#This Row],[Units]]&lt;&gt;"",tblFleet[[#This Row],[Available_h]]&gt;0),tblFleet[[#This Row],[Operating_h]]/tblFleet[[#This Row],[Available_h]],"")</f>
        <v/>
      </c>
    </row>
    <row r="838">
      <c r="A838" s="54" t="n"/>
      <c r="B838" s="61" t="n"/>
      <c r="C838" s="62" t="n"/>
      <c r="D838" s="57" t="n"/>
      <c r="E838" s="57" t="n"/>
      <c r="F838" s="58" t="n"/>
      <c r="G838" s="66">
        <f>IF(tblFleet[[#This Row],[Units]]="","",tblFleet[[#This Row],[Units]]*24)</f>
        <v/>
      </c>
      <c r="H838" s="66">
        <f>IF(tblFleet[[#This Row],[Units]]="","",tblFleet[[#This Row],[Calendar_h]]-tblFleet[[#This Row],[Down_h]])</f>
        <v/>
      </c>
      <c r="I838" s="60">
        <f>IF(AND(tblFleet[[#This Row],[Units]]&lt;&gt;"",tblFleet[[#This Row],[Calendar_h]]&gt;0),tblFleet[[#This Row],[Available_h]]/tblFleet[[#This Row],[Calendar_h]],"")</f>
        <v/>
      </c>
      <c r="J838" s="60">
        <f>IF(AND(tblFleet[[#This Row],[Units]]&lt;&gt;"",tblFleet[[#This Row],[Available_h]]&gt;0),tblFleet[[#This Row],[Operating_h]]/tblFleet[[#This Row],[Available_h]],"")</f>
        <v/>
      </c>
    </row>
    <row r="839">
      <c r="A839" s="54" t="n"/>
      <c r="B839" s="61" t="n"/>
      <c r="C839" s="62" t="n"/>
      <c r="D839" s="57" t="n"/>
      <c r="E839" s="57" t="n"/>
      <c r="F839" s="58" t="n"/>
      <c r="G839" s="66">
        <f>IF(tblFleet[[#This Row],[Units]]="","",tblFleet[[#This Row],[Units]]*24)</f>
        <v/>
      </c>
      <c r="H839" s="66">
        <f>IF(tblFleet[[#This Row],[Units]]="","",tblFleet[[#This Row],[Calendar_h]]-tblFleet[[#This Row],[Down_h]])</f>
        <v/>
      </c>
      <c r="I839" s="60">
        <f>IF(AND(tblFleet[[#This Row],[Units]]&lt;&gt;"",tblFleet[[#This Row],[Calendar_h]]&gt;0),tblFleet[[#This Row],[Available_h]]/tblFleet[[#This Row],[Calendar_h]],"")</f>
        <v/>
      </c>
      <c r="J839" s="60">
        <f>IF(AND(tblFleet[[#This Row],[Units]]&lt;&gt;"",tblFleet[[#This Row],[Available_h]]&gt;0),tblFleet[[#This Row],[Operating_h]]/tblFleet[[#This Row],[Available_h]],"")</f>
        <v/>
      </c>
    </row>
    <row r="840">
      <c r="A840" s="54" t="n"/>
      <c r="B840" s="61" t="n"/>
      <c r="C840" s="62" t="n"/>
      <c r="D840" s="57" t="n"/>
      <c r="E840" s="57" t="n"/>
      <c r="F840" s="58" t="n"/>
      <c r="G840" s="66">
        <f>IF(tblFleet[[#This Row],[Units]]="","",tblFleet[[#This Row],[Units]]*24)</f>
        <v/>
      </c>
      <c r="H840" s="66">
        <f>IF(tblFleet[[#This Row],[Units]]="","",tblFleet[[#This Row],[Calendar_h]]-tblFleet[[#This Row],[Down_h]])</f>
        <v/>
      </c>
      <c r="I840" s="60">
        <f>IF(AND(tblFleet[[#This Row],[Units]]&lt;&gt;"",tblFleet[[#This Row],[Calendar_h]]&gt;0),tblFleet[[#This Row],[Available_h]]/tblFleet[[#This Row],[Calendar_h]],"")</f>
        <v/>
      </c>
      <c r="J840" s="60">
        <f>IF(AND(tblFleet[[#This Row],[Units]]&lt;&gt;"",tblFleet[[#This Row],[Available_h]]&gt;0),tblFleet[[#This Row],[Operating_h]]/tblFleet[[#This Row],[Available_h]],"")</f>
        <v/>
      </c>
    </row>
    <row r="841">
      <c r="A841" s="54" t="n"/>
      <c r="B841" s="61" t="n"/>
      <c r="C841" s="62" t="n"/>
      <c r="D841" s="57" t="n"/>
      <c r="E841" s="57" t="n"/>
      <c r="F841" s="58" t="n"/>
      <c r="G841" s="66">
        <f>IF(tblFleet[[#This Row],[Units]]="","",tblFleet[[#This Row],[Units]]*24)</f>
        <v/>
      </c>
      <c r="H841" s="66">
        <f>IF(tblFleet[[#This Row],[Units]]="","",tblFleet[[#This Row],[Calendar_h]]-tblFleet[[#This Row],[Down_h]])</f>
        <v/>
      </c>
      <c r="I841" s="60">
        <f>IF(AND(tblFleet[[#This Row],[Units]]&lt;&gt;"",tblFleet[[#This Row],[Calendar_h]]&gt;0),tblFleet[[#This Row],[Available_h]]/tblFleet[[#This Row],[Calendar_h]],"")</f>
        <v/>
      </c>
      <c r="J841" s="60">
        <f>IF(AND(tblFleet[[#This Row],[Units]]&lt;&gt;"",tblFleet[[#This Row],[Available_h]]&gt;0),tblFleet[[#This Row],[Operating_h]]/tblFleet[[#This Row],[Available_h]],"")</f>
        <v/>
      </c>
    </row>
    <row r="842">
      <c r="A842" s="54" t="n"/>
      <c r="B842" s="61" t="n"/>
      <c r="C842" s="62" t="n"/>
      <c r="D842" s="57" t="n"/>
      <c r="E842" s="57" t="n"/>
      <c r="F842" s="58" t="n"/>
      <c r="G842" s="66">
        <f>IF(tblFleet[[#This Row],[Units]]="","",tblFleet[[#This Row],[Units]]*24)</f>
        <v/>
      </c>
      <c r="H842" s="66">
        <f>IF(tblFleet[[#This Row],[Units]]="","",tblFleet[[#This Row],[Calendar_h]]-tblFleet[[#This Row],[Down_h]])</f>
        <v/>
      </c>
      <c r="I842" s="60">
        <f>IF(AND(tblFleet[[#This Row],[Units]]&lt;&gt;"",tblFleet[[#This Row],[Calendar_h]]&gt;0),tblFleet[[#This Row],[Available_h]]/tblFleet[[#This Row],[Calendar_h]],"")</f>
        <v/>
      </c>
      <c r="J842" s="60">
        <f>IF(AND(tblFleet[[#This Row],[Units]]&lt;&gt;"",tblFleet[[#This Row],[Available_h]]&gt;0),tblFleet[[#This Row],[Operating_h]]/tblFleet[[#This Row],[Available_h]],"")</f>
        <v/>
      </c>
    </row>
    <row r="843">
      <c r="A843" s="54" t="n"/>
      <c r="B843" s="61" t="n"/>
      <c r="C843" s="62" t="n"/>
      <c r="D843" s="57" t="n"/>
      <c r="E843" s="57" t="n"/>
      <c r="F843" s="58" t="n"/>
      <c r="G843" s="66">
        <f>IF(tblFleet[[#This Row],[Units]]="","",tblFleet[[#This Row],[Units]]*24)</f>
        <v/>
      </c>
      <c r="H843" s="66">
        <f>IF(tblFleet[[#This Row],[Units]]="","",tblFleet[[#This Row],[Calendar_h]]-tblFleet[[#This Row],[Down_h]])</f>
        <v/>
      </c>
      <c r="I843" s="60">
        <f>IF(AND(tblFleet[[#This Row],[Units]]&lt;&gt;"",tblFleet[[#This Row],[Calendar_h]]&gt;0),tblFleet[[#This Row],[Available_h]]/tblFleet[[#This Row],[Calendar_h]],"")</f>
        <v/>
      </c>
      <c r="J843" s="60">
        <f>IF(AND(tblFleet[[#This Row],[Units]]&lt;&gt;"",tblFleet[[#This Row],[Available_h]]&gt;0),tblFleet[[#This Row],[Operating_h]]/tblFleet[[#This Row],[Available_h]],"")</f>
        <v/>
      </c>
    </row>
    <row r="844">
      <c r="A844" s="54" t="n"/>
      <c r="B844" s="61" t="n"/>
      <c r="C844" s="62" t="n"/>
      <c r="D844" s="57" t="n"/>
      <c r="E844" s="57" t="n"/>
      <c r="F844" s="58" t="n"/>
      <c r="G844" s="66">
        <f>IF(tblFleet[[#This Row],[Units]]="","",tblFleet[[#This Row],[Units]]*24)</f>
        <v/>
      </c>
      <c r="H844" s="66">
        <f>IF(tblFleet[[#This Row],[Units]]="","",tblFleet[[#This Row],[Calendar_h]]-tblFleet[[#This Row],[Down_h]])</f>
        <v/>
      </c>
      <c r="I844" s="60">
        <f>IF(AND(tblFleet[[#This Row],[Units]]&lt;&gt;"",tblFleet[[#This Row],[Calendar_h]]&gt;0),tblFleet[[#This Row],[Available_h]]/tblFleet[[#This Row],[Calendar_h]],"")</f>
        <v/>
      </c>
      <c r="J844" s="60">
        <f>IF(AND(tblFleet[[#This Row],[Units]]&lt;&gt;"",tblFleet[[#This Row],[Available_h]]&gt;0),tblFleet[[#This Row],[Operating_h]]/tblFleet[[#This Row],[Available_h]],"")</f>
        <v/>
      </c>
    </row>
    <row r="845">
      <c r="A845" s="54" t="n"/>
      <c r="B845" s="61" t="n"/>
      <c r="C845" s="62" t="n"/>
      <c r="D845" s="57" t="n"/>
      <c r="E845" s="57" t="n"/>
      <c r="F845" s="58" t="n"/>
      <c r="G845" s="66">
        <f>IF(tblFleet[[#This Row],[Units]]="","",tblFleet[[#This Row],[Units]]*24)</f>
        <v/>
      </c>
      <c r="H845" s="66">
        <f>IF(tblFleet[[#This Row],[Units]]="","",tblFleet[[#This Row],[Calendar_h]]-tblFleet[[#This Row],[Down_h]])</f>
        <v/>
      </c>
      <c r="I845" s="60">
        <f>IF(AND(tblFleet[[#This Row],[Units]]&lt;&gt;"",tblFleet[[#This Row],[Calendar_h]]&gt;0),tblFleet[[#This Row],[Available_h]]/tblFleet[[#This Row],[Calendar_h]],"")</f>
        <v/>
      </c>
      <c r="J845" s="60">
        <f>IF(AND(tblFleet[[#This Row],[Units]]&lt;&gt;"",tblFleet[[#This Row],[Available_h]]&gt;0),tblFleet[[#This Row],[Operating_h]]/tblFleet[[#This Row],[Available_h]],"")</f>
        <v/>
      </c>
    </row>
    <row r="846">
      <c r="A846" s="54" t="n"/>
      <c r="B846" s="61" t="n"/>
      <c r="C846" s="62" t="n"/>
      <c r="D846" s="57" t="n"/>
      <c r="E846" s="57" t="n"/>
      <c r="F846" s="58" t="n"/>
      <c r="G846" s="66">
        <f>IF(tblFleet[[#This Row],[Units]]="","",tblFleet[[#This Row],[Units]]*24)</f>
        <v/>
      </c>
      <c r="H846" s="66">
        <f>IF(tblFleet[[#This Row],[Units]]="","",tblFleet[[#This Row],[Calendar_h]]-tblFleet[[#This Row],[Down_h]])</f>
        <v/>
      </c>
      <c r="I846" s="60">
        <f>IF(AND(tblFleet[[#This Row],[Units]]&lt;&gt;"",tblFleet[[#This Row],[Calendar_h]]&gt;0),tblFleet[[#This Row],[Available_h]]/tblFleet[[#This Row],[Calendar_h]],"")</f>
        <v/>
      </c>
      <c r="J846" s="60">
        <f>IF(AND(tblFleet[[#This Row],[Units]]&lt;&gt;"",tblFleet[[#This Row],[Available_h]]&gt;0),tblFleet[[#This Row],[Operating_h]]/tblFleet[[#This Row],[Available_h]],"")</f>
        <v/>
      </c>
    </row>
    <row r="847">
      <c r="A847" s="54" t="n"/>
      <c r="B847" s="61" t="n"/>
      <c r="C847" s="62" t="n"/>
      <c r="D847" s="57" t="n"/>
      <c r="E847" s="57" t="n"/>
      <c r="F847" s="58" t="n"/>
      <c r="G847" s="66">
        <f>IF(tblFleet[[#This Row],[Units]]="","",tblFleet[[#This Row],[Units]]*24)</f>
        <v/>
      </c>
      <c r="H847" s="66">
        <f>IF(tblFleet[[#This Row],[Units]]="","",tblFleet[[#This Row],[Calendar_h]]-tblFleet[[#This Row],[Down_h]])</f>
        <v/>
      </c>
      <c r="I847" s="60">
        <f>IF(AND(tblFleet[[#This Row],[Units]]&lt;&gt;"",tblFleet[[#This Row],[Calendar_h]]&gt;0),tblFleet[[#This Row],[Available_h]]/tblFleet[[#This Row],[Calendar_h]],"")</f>
        <v/>
      </c>
      <c r="J847" s="60">
        <f>IF(AND(tblFleet[[#This Row],[Units]]&lt;&gt;"",tblFleet[[#This Row],[Available_h]]&gt;0),tblFleet[[#This Row],[Operating_h]]/tblFleet[[#This Row],[Available_h]],"")</f>
        <v/>
      </c>
    </row>
    <row r="848">
      <c r="A848" s="54" t="n"/>
      <c r="B848" s="61" t="n"/>
      <c r="C848" s="62" t="n"/>
      <c r="D848" s="57" t="n"/>
      <c r="E848" s="57" t="n"/>
      <c r="F848" s="58" t="n"/>
      <c r="G848" s="66">
        <f>IF(tblFleet[[#This Row],[Units]]="","",tblFleet[[#This Row],[Units]]*24)</f>
        <v/>
      </c>
      <c r="H848" s="66">
        <f>IF(tblFleet[[#This Row],[Units]]="","",tblFleet[[#This Row],[Calendar_h]]-tblFleet[[#This Row],[Down_h]])</f>
        <v/>
      </c>
      <c r="I848" s="60">
        <f>IF(AND(tblFleet[[#This Row],[Units]]&lt;&gt;"",tblFleet[[#This Row],[Calendar_h]]&gt;0),tblFleet[[#This Row],[Available_h]]/tblFleet[[#This Row],[Calendar_h]],"")</f>
        <v/>
      </c>
      <c r="J848" s="60">
        <f>IF(AND(tblFleet[[#This Row],[Units]]&lt;&gt;"",tblFleet[[#This Row],[Available_h]]&gt;0),tblFleet[[#This Row],[Operating_h]]/tblFleet[[#This Row],[Available_h]],"")</f>
        <v/>
      </c>
    </row>
    <row r="849">
      <c r="A849" s="54" t="n"/>
      <c r="B849" s="61" t="n"/>
      <c r="C849" s="62" t="n"/>
      <c r="D849" s="57" t="n"/>
      <c r="E849" s="57" t="n"/>
      <c r="F849" s="58" t="n"/>
      <c r="G849" s="66">
        <f>IF(tblFleet[[#This Row],[Units]]="","",tblFleet[[#This Row],[Units]]*24)</f>
        <v/>
      </c>
      <c r="H849" s="66">
        <f>IF(tblFleet[[#This Row],[Units]]="","",tblFleet[[#This Row],[Calendar_h]]-tblFleet[[#This Row],[Down_h]])</f>
        <v/>
      </c>
      <c r="I849" s="60">
        <f>IF(AND(tblFleet[[#This Row],[Units]]&lt;&gt;"",tblFleet[[#This Row],[Calendar_h]]&gt;0),tblFleet[[#This Row],[Available_h]]/tblFleet[[#This Row],[Calendar_h]],"")</f>
        <v/>
      </c>
      <c r="J849" s="60">
        <f>IF(AND(tblFleet[[#This Row],[Units]]&lt;&gt;"",tblFleet[[#This Row],[Available_h]]&gt;0),tblFleet[[#This Row],[Operating_h]]/tblFleet[[#This Row],[Available_h]],"")</f>
        <v/>
      </c>
    </row>
    <row r="850">
      <c r="A850" s="54" t="n"/>
      <c r="B850" s="61" t="n"/>
      <c r="C850" s="62" t="n"/>
      <c r="D850" s="57" t="n"/>
      <c r="E850" s="57" t="n"/>
      <c r="F850" s="58" t="n"/>
      <c r="G850" s="66">
        <f>IF(tblFleet[[#This Row],[Units]]="","",tblFleet[[#This Row],[Units]]*24)</f>
        <v/>
      </c>
      <c r="H850" s="66">
        <f>IF(tblFleet[[#This Row],[Units]]="","",tblFleet[[#This Row],[Calendar_h]]-tblFleet[[#This Row],[Down_h]])</f>
        <v/>
      </c>
      <c r="I850" s="60">
        <f>IF(AND(tblFleet[[#This Row],[Units]]&lt;&gt;"",tblFleet[[#This Row],[Calendar_h]]&gt;0),tblFleet[[#This Row],[Available_h]]/tblFleet[[#This Row],[Calendar_h]],"")</f>
        <v/>
      </c>
      <c r="J850" s="60">
        <f>IF(AND(tblFleet[[#This Row],[Units]]&lt;&gt;"",tblFleet[[#This Row],[Available_h]]&gt;0),tblFleet[[#This Row],[Operating_h]]/tblFleet[[#This Row],[Available_h]],"")</f>
        <v/>
      </c>
    </row>
    <row r="851">
      <c r="A851" s="54" t="n"/>
      <c r="B851" s="61" t="n"/>
      <c r="C851" s="62" t="n"/>
      <c r="D851" s="57" t="n"/>
      <c r="E851" s="57" t="n"/>
      <c r="F851" s="58" t="n"/>
      <c r="G851" s="66">
        <f>IF(tblFleet[[#This Row],[Units]]="","",tblFleet[[#This Row],[Units]]*24)</f>
        <v/>
      </c>
      <c r="H851" s="66">
        <f>IF(tblFleet[[#This Row],[Units]]="","",tblFleet[[#This Row],[Calendar_h]]-tblFleet[[#This Row],[Down_h]])</f>
        <v/>
      </c>
      <c r="I851" s="60">
        <f>IF(AND(tblFleet[[#This Row],[Units]]&lt;&gt;"",tblFleet[[#This Row],[Calendar_h]]&gt;0),tblFleet[[#This Row],[Available_h]]/tblFleet[[#This Row],[Calendar_h]],"")</f>
        <v/>
      </c>
      <c r="J851" s="60">
        <f>IF(AND(tblFleet[[#This Row],[Units]]&lt;&gt;"",tblFleet[[#This Row],[Available_h]]&gt;0),tblFleet[[#This Row],[Operating_h]]/tblFleet[[#This Row],[Available_h]],"")</f>
        <v/>
      </c>
    </row>
    <row r="852">
      <c r="A852" s="54" t="n"/>
      <c r="B852" s="61" t="n"/>
      <c r="C852" s="62" t="n"/>
      <c r="D852" s="57" t="n"/>
      <c r="E852" s="57" t="n"/>
      <c r="F852" s="58" t="n"/>
      <c r="G852" s="66">
        <f>IF(tblFleet[[#This Row],[Units]]="","",tblFleet[[#This Row],[Units]]*24)</f>
        <v/>
      </c>
      <c r="H852" s="66">
        <f>IF(tblFleet[[#This Row],[Units]]="","",tblFleet[[#This Row],[Calendar_h]]-tblFleet[[#This Row],[Down_h]])</f>
        <v/>
      </c>
      <c r="I852" s="60">
        <f>IF(AND(tblFleet[[#This Row],[Units]]&lt;&gt;"",tblFleet[[#This Row],[Calendar_h]]&gt;0),tblFleet[[#This Row],[Available_h]]/tblFleet[[#This Row],[Calendar_h]],"")</f>
        <v/>
      </c>
      <c r="J852" s="60">
        <f>IF(AND(tblFleet[[#This Row],[Units]]&lt;&gt;"",tblFleet[[#This Row],[Available_h]]&gt;0),tblFleet[[#This Row],[Operating_h]]/tblFleet[[#This Row],[Available_h]],"")</f>
        <v/>
      </c>
    </row>
    <row r="853">
      <c r="A853" s="54" t="n"/>
      <c r="B853" s="61" t="n"/>
      <c r="C853" s="62" t="n"/>
      <c r="D853" s="57" t="n"/>
      <c r="E853" s="57" t="n"/>
      <c r="F853" s="58" t="n"/>
      <c r="G853" s="66">
        <f>IF(tblFleet[[#This Row],[Units]]="","",tblFleet[[#This Row],[Units]]*24)</f>
        <v/>
      </c>
      <c r="H853" s="66">
        <f>IF(tblFleet[[#This Row],[Units]]="","",tblFleet[[#This Row],[Calendar_h]]-tblFleet[[#This Row],[Down_h]])</f>
        <v/>
      </c>
      <c r="I853" s="60">
        <f>IF(AND(tblFleet[[#This Row],[Units]]&lt;&gt;"",tblFleet[[#This Row],[Calendar_h]]&gt;0),tblFleet[[#This Row],[Available_h]]/tblFleet[[#This Row],[Calendar_h]],"")</f>
        <v/>
      </c>
      <c r="J853" s="60">
        <f>IF(AND(tblFleet[[#This Row],[Units]]&lt;&gt;"",tblFleet[[#This Row],[Available_h]]&gt;0),tblFleet[[#This Row],[Operating_h]]/tblFleet[[#This Row],[Available_h]],"")</f>
        <v/>
      </c>
    </row>
    <row r="854">
      <c r="A854" s="54" t="n"/>
      <c r="B854" s="61" t="n"/>
      <c r="C854" s="62" t="n"/>
      <c r="D854" s="57" t="n"/>
      <c r="E854" s="57" t="n"/>
      <c r="F854" s="58" t="n"/>
      <c r="G854" s="66">
        <f>IF(tblFleet[[#This Row],[Units]]="","",tblFleet[[#This Row],[Units]]*24)</f>
        <v/>
      </c>
      <c r="H854" s="66">
        <f>IF(tblFleet[[#This Row],[Units]]="","",tblFleet[[#This Row],[Calendar_h]]-tblFleet[[#This Row],[Down_h]])</f>
        <v/>
      </c>
      <c r="I854" s="60">
        <f>IF(AND(tblFleet[[#This Row],[Units]]&lt;&gt;"",tblFleet[[#This Row],[Calendar_h]]&gt;0),tblFleet[[#This Row],[Available_h]]/tblFleet[[#This Row],[Calendar_h]],"")</f>
        <v/>
      </c>
      <c r="J854" s="60">
        <f>IF(AND(tblFleet[[#This Row],[Units]]&lt;&gt;"",tblFleet[[#This Row],[Available_h]]&gt;0),tblFleet[[#This Row],[Operating_h]]/tblFleet[[#This Row],[Available_h]],"")</f>
        <v/>
      </c>
    </row>
    <row r="855">
      <c r="A855" s="54" t="n"/>
      <c r="B855" s="61" t="n"/>
      <c r="C855" s="62" t="n"/>
      <c r="D855" s="57" t="n"/>
      <c r="E855" s="57" t="n"/>
      <c r="F855" s="58" t="n"/>
      <c r="G855" s="66">
        <f>IF(tblFleet[[#This Row],[Units]]="","",tblFleet[[#This Row],[Units]]*24)</f>
        <v/>
      </c>
      <c r="H855" s="66">
        <f>IF(tblFleet[[#This Row],[Units]]="","",tblFleet[[#This Row],[Calendar_h]]-tblFleet[[#This Row],[Down_h]])</f>
        <v/>
      </c>
      <c r="I855" s="60">
        <f>IF(AND(tblFleet[[#This Row],[Units]]&lt;&gt;"",tblFleet[[#This Row],[Calendar_h]]&gt;0),tblFleet[[#This Row],[Available_h]]/tblFleet[[#This Row],[Calendar_h]],"")</f>
        <v/>
      </c>
      <c r="J855" s="60">
        <f>IF(AND(tblFleet[[#This Row],[Units]]&lt;&gt;"",tblFleet[[#This Row],[Available_h]]&gt;0),tblFleet[[#This Row],[Operating_h]]/tblFleet[[#This Row],[Available_h]],"")</f>
        <v/>
      </c>
    </row>
    <row r="856">
      <c r="A856" s="54" t="n"/>
      <c r="B856" s="61" t="n"/>
      <c r="C856" s="62" t="n"/>
      <c r="D856" s="57" t="n"/>
      <c r="E856" s="57" t="n"/>
      <c r="F856" s="58" t="n"/>
      <c r="G856" s="66">
        <f>IF(tblFleet[[#This Row],[Units]]="","",tblFleet[[#This Row],[Units]]*24)</f>
        <v/>
      </c>
      <c r="H856" s="66">
        <f>IF(tblFleet[[#This Row],[Units]]="","",tblFleet[[#This Row],[Calendar_h]]-tblFleet[[#This Row],[Down_h]])</f>
        <v/>
      </c>
      <c r="I856" s="60">
        <f>IF(AND(tblFleet[[#This Row],[Units]]&lt;&gt;"",tblFleet[[#This Row],[Calendar_h]]&gt;0),tblFleet[[#This Row],[Available_h]]/tblFleet[[#This Row],[Calendar_h]],"")</f>
        <v/>
      </c>
      <c r="J856" s="60">
        <f>IF(AND(tblFleet[[#This Row],[Units]]&lt;&gt;"",tblFleet[[#This Row],[Available_h]]&gt;0),tblFleet[[#This Row],[Operating_h]]/tblFleet[[#This Row],[Available_h]],"")</f>
        <v/>
      </c>
    </row>
    <row r="857">
      <c r="A857" s="54" t="n"/>
      <c r="B857" s="61" t="n"/>
      <c r="C857" s="62" t="n"/>
      <c r="D857" s="57" t="n"/>
      <c r="E857" s="57" t="n"/>
      <c r="F857" s="58" t="n"/>
      <c r="G857" s="66">
        <f>IF(tblFleet[[#This Row],[Units]]="","",tblFleet[[#This Row],[Units]]*24)</f>
        <v/>
      </c>
      <c r="H857" s="66">
        <f>IF(tblFleet[[#This Row],[Units]]="","",tblFleet[[#This Row],[Calendar_h]]-tblFleet[[#This Row],[Down_h]])</f>
        <v/>
      </c>
      <c r="I857" s="60">
        <f>IF(AND(tblFleet[[#This Row],[Units]]&lt;&gt;"",tblFleet[[#This Row],[Calendar_h]]&gt;0),tblFleet[[#This Row],[Available_h]]/tblFleet[[#This Row],[Calendar_h]],"")</f>
        <v/>
      </c>
      <c r="J857" s="60">
        <f>IF(AND(tblFleet[[#This Row],[Units]]&lt;&gt;"",tblFleet[[#This Row],[Available_h]]&gt;0),tblFleet[[#This Row],[Operating_h]]/tblFleet[[#This Row],[Available_h]],"")</f>
        <v/>
      </c>
    </row>
    <row r="858">
      <c r="A858" s="54" t="n"/>
      <c r="B858" s="61" t="n"/>
      <c r="C858" s="62" t="n"/>
      <c r="D858" s="57" t="n"/>
      <c r="E858" s="57" t="n"/>
      <c r="F858" s="58" t="n"/>
      <c r="G858" s="66">
        <f>IF(tblFleet[[#This Row],[Units]]="","",tblFleet[[#This Row],[Units]]*24)</f>
        <v/>
      </c>
      <c r="H858" s="66">
        <f>IF(tblFleet[[#This Row],[Units]]="","",tblFleet[[#This Row],[Calendar_h]]-tblFleet[[#This Row],[Down_h]])</f>
        <v/>
      </c>
      <c r="I858" s="60">
        <f>IF(AND(tblFleet[[#This Row],[Units]]&lt;&gt;"",tblFleet[[#This Row],[Calendar_h]]&gt;0),tblFleet[[#This Row],[Available_h]]/tblFleet[[#This Row],[Calendar_h]],"")</f>
        <v/>
      </c>
      <c r="J858" s="60">
        <f>IF(AND(tblFleet[[#This Row],[Units]]&lt;&gt;"",tblFleet[[#This Row],[Available_h]]&gt;0),tblFleet[[#This Row],[Operating_h]]/tblFleet[[#This Row],[Available_h]],"")</f>
        <v/>
      </c>
    </row>
    <row r="859">
      <c r="A859" s="54" t="n"/>
      <c r="B859" s="61" t="n"/>
      <c r="C859" s="62" t="n"/>
      <c r="D859" s="57" t="n"/>
      <c r="E859" s="57" t="n"/>
      <c r="F859" s="58" t="n"/>
      <c r="G859" s="66">
        <f>IF(tblFleet[[#This Row],[Units]]="","",tblFleet[[#This Row],[Units]]*24)</f>
        <v/>
      </c>
      <c r="H859" s="66">
        <f>IF(tblFleet[[#This Row],[Units]]="","",tblFleet[[#This Row],[Calendar_h]]-tblFleet[[#This Row],[Down_h]])</f>
        <v/>
      </c>
      <c r="I859" s="60">
        <f>IF(AND(tblFleet[[#This Row],[Units]]&lt;&gt;"",tblFleet[[#This Row],[Calendar_h]]&gt;0),tblFleet[[#This Row],[Available_h]]/tblFleet[[#This Row],[Calendar_h]],"")</f>
        <v/>
      </c>
      <c r="J859" s="60">
        <f>IF(AND(tblFleet[[#This Row],[Units]]&lt;&gt;"",tblFleet[[#This Row],[Available_h]]&gt;0),tblFleet[[#This Row],[Operating_h]]/tblFleet[[#This Row],[Available_h]],"")</f>
        <v/>
      </c>
    </row>
    <row r="860">
      <c r="A860" s="54" t="n"/>
      <c r="B860" s="61" t="n"/>
      <c r="C860" s="62" t="n"/>
      <c r="D860" s="57" t="n"/>
      <c r="E860" s="57" t="n"/>
      <c r="F860" s="58" t="n"/>
      <c r="G860" s="66">
        <f>IF(tblFleet[[#This Row],[Units]]="","",tblFleet[[#This Row],[Units]]*24)</f>
        <v/>
      </c>
      <c r="H860" s="66">
        <f>IF(tblFleet[[#This Row],[Units]]="","",tblFleet[[#This Row],[Calendar_h]]-tblFleet[[#This Row],[Down_h]])</f>
        <v/>
      </c>
      <c r="I860" s="60">
        <f>IF(AND(tblFleet[[#This Row],[Units]]&lt;&gt;"",tblFleet[[#This Row],[Calendar_h]]&gt;0),tblFleet[[#This Row],[Available_h]]/tblFleet[[#This Row],[Calendar_h]],"")</f>
        <v/>
      </c>
      <c r="J860" s="60">
        <f>IF(AND(tblFleet[[#This Row],[Units]]&lt;&gt;"",tblFleet[[#This Row],[Available_h]]&gt;0),tblFleet[[#This Row],[Operating_h]]/tblFleet[[#This Row],[Available_h]],"")</f>
        <v/>
      </c>
    </row>
    <row r="861">
      <c r="A861" s="54" t="n"/>
      <c r="B861" s="61" t="n"/>
      <c r="C861" s="62" t="n"/>
      <c r="D861" s="57" t="n"/>
      <c r="E861" s="57" t="n"/>
      <c r="F861" s="58" t="n"/>
      <c r="G861" s="66">
        <f>IF(tblFleet[[#This Row],[Units]]="","",tblFleet[[#This Row],[Units]]*24)</f>
        <v/>
      </c>
      <c r="H861" s="66">
        <f>IF(tblFleet[[#This Row],[Units]]="","",tblFleet[[#This Row],[Calendar_h]]-tblFleet[[#This Row],[Down_h]])</f>
        <v/>
      </c>
      <c r="I861" s="60">
        <f>IF(AND(tblFleet[[#This Row],[Units]]&lt;&gt;"",tblFleet[[#This Row],[Calendar_h]]&gt;0),tblFleet[[#This Row],[Available_h]]/tblFleet[[#This Row],[Calendar_h]],"")</f>
        <v/>
      </c>
      <c r="J861" s="60">
        <f>IF(AND(tblFleet[[#This Row],[Units]]&lt;&gt;"",tblFleet[[#This Row],[Available_h]]&gt;0),tblFleet[[#This Row],[Operating_h]]/tblFleet[[#This Row],[Available_h]],"")</f>
        <v/>
      </c>
    </row>
    <row r="862">
      <c r="A862" s="54" t="n"/>
      <c r="B862" s="61" t="n"/>
      <c r="C862" s="62" t="n"/>
      <c r="D862" s="57" t="n"/>
      <c r="E862" s="57" t="n"/>
      <c r="F862" s="58" t="n"/>
      <c r="G862" s="66">
        <f>IF(tblFleet[[#This Row],[Units]]="","",tblFleet[[#This Row],[Units]]*24)</f>
        <v/>
      </c>
      <c r="H862" s="66">
        <f>IF(tblFleet[[#This Row],[Units]]="","",tblFleet[[#This Row],[Calendar_h]]-tblFleet[[#This Row],[Down_h]])</f>
        <v/>
      </c>
      <c r="I862" s="60">
        <f>IF(AND(tblFleet[[#This Row],[Units]]&lt;&gt;"",tblFleet[[#This Row],[Calendar_h]]&gt;0),tblFleet[[#This Row],[Available_h]]/tblFleet[[#This Row],[Calendar_h]],"")</f>
        <v/>
      </c>
      <c r="J862" s="60">
        <f>IF(AND(tblFleet[[#This Row],[Units]]&lt;&gt;"",tblFleet[[#This Row],[Available_h]]&gt;0),tblFleet[[#This Row],[Operating_h]]/tblFleet[[#This Row],[Available_h]],"")</f>
        <v/>
      </c>
    </row>
    <row r="863">
      <c r="A863" s="54" t="n"/>
      <c r="B863" s="61" t="n"/>
      <c r="C863" s="62" t="n"/>
      <c r="D863" s="57" t="n"/>
      <c r="E863" s="57" t="n"/>
      <c r="F863" s="58" t="n"/>
      <c r="G863" s="66">
        <f>IF(tblFleet[[#This Row],[Units]]="","",tblFleet[[#This Row],[Units]]*24)</f>
        <v/>
      </c>
      <c r="H863" s="66">
        <f>IF(tblFleet[[#This Row],[Units]]="","",tblFleet[[#This Row],[Calendar_h]]-tblFleet[[#This Row],[Down_h]])</f>
        <v/>
      </c>
      <c r="I863" s="60">
        <f>IF(AND(tblFleet[[#This Row],[Units]]&lt;&gt;"",tblFleet[[#This Row],[Calendar_h]]&gt;0),tblFleet[[#This Row],[Available_h]]/tblFleet[[#This Row],[Calendar_h]],"")</f>
        <v/>
      </c>
      <c r="J863" s="60">
        <f>IF(AND(tblFleet[[#This Row],[Units]]&lt;&gt;"",tblFleet[[#This Row],[Available_h]]&gt;0),tblFleet[[#This Row],[Operating_h]]/tblFleet[[#This Row],[Available_h]],"")</f>
        <v/>
      </c>
    </row>
    <row r="864">
      <c r="A864" s="54" t="n"/>
      <c r="B864" s="61" t="n"/>
      <c r="C864" s="62" t="n"/>
      <c r="D864" s="57" t="n"/>
      <c r="E864" s="57" t="n"/>
      <c r="F864" s="58" t="n"/>
      <c r="G864" s="66">
        <f>IF(tblFleet[[#This Row],[Units]]="","",tblFleet[[#This Row],[Units]]*24)</f>
        <v/>
      </c>
      <c r="H864" s="66">
        <f>IF(tblFleet[[#This Row],[Units]]="","",tblFleet[[#This Row],[Calendar_h]]-tblFleet[[#This Row],[Down_h]])</f>
        <v/>
      </c>
      <c r="I864" s="60">
        <f>IF(AND(tblFleet[[#This Row],[Units]]&lt;&gt;"",tblFleet[[#This Row],[Calendar_h]]&gt;0),tblFleet[[#This Row],[Available_h]]/tblFleet[[#This Row],[Calendar_h]],"")</f>
        <v/>
      </c>
      <c r="J864" s="60">
        <f>IF(AND(tblFleet[[#This Row],[Units]]&lt;&gt;"",tblFleet[[#This Row],[Available_h]]&gt;0),tblFleet[[#This Row],[Operating_h]]/tblFleet[[#This Row],[Available_h]],"")</f>
        <v/>
      </c>
    </row>
    <row r="865">
      <c r="A865" s="54" t="n"/>
      <c r="B865" s="61" t="n"/>
      <c r="C865" s="62" t="n"/>
      <c r="D865" s="57" t="n"/>
      <c r="E865" s="57" t="n"/>
      <c r="F865" s="58" t="n"/>
      <c r="G865" s="66">
        <f>IF(tblFleet[[#This Row],[Units]]="","",tblFleet[[#This Row],[Units]]*24)</f>
        <v/>
      </c>
      <c r="H865" s="66">
        <f>IF(tblFleet[[#This Row],[Units]]="","",tblFleet[[#This Row],[Calendar_h]]-tblFleet[[#This Row],[Down_h]])</f>
        <v/>
      </c>
      <c r="I865" s="60">
        <f>IF(AND(tblFleet[[#This Row],[Units]]&lt;&gt;"",tblFleet[[#This Row],[Calendar_h]]&gt;0),tblFleet[[#This Row],[Available_h]]/tblFleet[[#This Row],[Calendar_h]],"")</f>
        <v/>
      </c>
      <c r="J865" s="60">
        <f>IF(AND(tblFleet[[#This Row],[Units]]&lt;&gt;"",tblFleet[[#This Row],[Available_h]]&gt;0),tblFleet[[#This Row],[Operating_h]]/tblFleet[[#This Row],[Available_h]],"")</f>
        <v/>
      </c>
    </row>
    <row r="866">
      <c r="A866" s="54" t="n"/>
      <c r="B866" s="61" t="n"/>
      <c r="C866" s="62" t="n"/>
      <c r="D866" s="57" t="n"/>
      <c r="E866" s="57" t="n"/>
      <c r="F866" s="58" t="n"/>
      <c r="G866" s="66">
        <f>IF(tblFleet[[#This Row],[Units]]="","",tblFleet[[#This Row],[Units]]*24)</f>
        <v/>
      </c>
      <c r="H866" s="66">
        <f>IF(tblFleet[[#This Row],[Units]]="","",tblFleet[[#This Row],[Calendar_h]]-tblFleet[[#This Row],[Down_h]])</f>
        <v/>
      </c>
      <c r="I866" s="60">
        <f>IF(AND(tblFleet[[#This Row],[Units]]&lt;&gt;"",tblFleet[[#This Row],[Calendar_h]]&gt;0),tblFleet[[#This Row],[Available_h]]/tblFleet[[#This Row],[Calendar_h]],"")</f>
        <v/>
      </c>
      <c r="J866" s="60">
        <f>IF(AND(tblFleet[[#This Row],[Units]]&lt;&gt;"",tblFleet[[#This Row],[Available_h]]&gt;0),tblFleet[[#This Row],[Operating_h]]/tblFleet[[#This Row],[Available_h]],"")</f>
        <v/>
      </c>
    </row>
    <row r="867">
      <c r="A867" s="54" t="n"/>
      <c r="B867" s="61" t="n"/>
      <c r="C867" s="62" t="n"/>
      <c r="D867" s="57" t="n"/>
      <c r="E867" s="57" t="n"/>
      <c r="F867" s="58" t="n"/>
      <c r="G867" s="66">
        <f>IF(tblFleet[[#This Row],[Units]]="","",tblFleet[[#This Row],[Units]]*24)</f>
        <v/>
      </c>
      <c r="H867" s="66">
        <f>IF(tblFleet[[#This Row],[Units]]="","",tblFleet[[#This Row],[Calendar_h]]-tblFleet[[#This Row],[Down_h]])</f>
        <v/>
      </c>
      <c r="I867" s="60">
        <f>IF(AND(tblFleet[[#This Row],[Units]]&lt;&gt;"",tblFleet[[#This Row],[Calendar_h]]&gt;0),tblFleet[[#This Row],[Available_h]]/tblFleet[[#This Row],[Calendar_h]],"")</f>
        <v/>
      </c>
      <c r="J867" s="60">
        <f>IF(AND(tblFleet[[#This Row],[Units]]&lt;&gt;"",tblFleet[[#This Row],[Available_h]]&gt;0),tblFleet[[#This Row],[Operating_h]]/tblFleet[[#This Row],[Available_h]],"")</f>
        <v/>
      </c>
    </row>
    <row r="868">
      <c r="A868" s="54" t="n"/>
      <c r="B868" s="61" t="n"/>
      <c r="C868" s="62" t="n"/>
      <c r="D868" s="57" t="n"/>
      <c r="E868" s="57" t="n"/>
      <c r="F868" s="58" t="n"/>
      <c r="G868" s="66">
        <f>IF(tblFleet[[#This Row],[Units]]="","",tblFleet[[#This Row],[Units]]*24)</f>
        <v/>
      </c>
      <c r="H868" s="66">
        <f>IF(tblFleet[[#This Row],[Units]]="","",tblFleet[[#This Row],[Calendar_h]]-tblFleet[[#This Row],[Down_h]])</f>
        <v/>
      </c>
      <c r="I868" s="60">
        <f>IF(AND(tblFleet[[#This Row],[Units]]&lt;&gt;"",tblFleet[[#This Row],[Calendar_h]]&gt;0),tblFleet[[#This Row],[Available_h]]/tblFleet[[#This Row],[Calendar_h]],"")</f>
        <v/>
      </c>
      <c r="J868" s="60">
        <f>IF(AND(tblFleet[[#This Row],[Units]]&lt;&gt;"",tblFleet[[#This Row],[Available_h]]&gt;0),tblFleet[[#This Row],[Operating_h]]/tblFleet[[#This Row],[Available_h]],"")</f>
        <v/>
      </c>
    </row>
    <row r="869">
      <c r="A869" s="54" t="n"/>
      <c r="B869" s="61" t="n"/>
      <c r="C869" s="62" t="n"/>
      <c r="D869" s="57" t="n"/>
      <c r="E869" s="57" t="n"/>
      <c r="F869" s="58" t="n"/>
      <c r="G869" s="66">
        <f>IF(tblFleet[[#This Row],[Units]]="","",tblFleet[[#This Row],[Units]]*24)</f>
        <v/>
      </c>
      <c r="H869" s="66">
        <f>IF(tblFleet[[#This Row],[Units]]="","",tblFleet[[#This Row],[Calendar_h]]-tblFleet[[#This Row],[Down_h]])</f>
        <v/>
      </c>
      <c r="I869" s="60">
        <f>IF(AND(tblFleet[[#This Row],[Units]]&lt;&gt;"",tblFleet[[#This Row],[Calendar_h]]&gt;0),tblFleet[[#This Row],[Available_h]]/tblFleet[[#This Row],[Calendar_h]],"")</f>
        <v/>
      </c>
      <c r="J869" s="60">
        <f>IF(AND(tblFleet[[#This Row],[Units]]&lt;&gt;"",tblFleet[[#This Row],[Available_h]]&gt;0),tblFleet[[#This Row],[Operating_h]]/tblFleet[[#This Row],[Available_h]],"")</f>
        <v/>
      </c>
    </row>
    <row r="870">
      <c r="A870" s="54" t="n"/>
      <c r="B870" s="61" t="n"/>
      <c r="C870" s="62" t="n"/>
      <c r="D870" s="57" t="n"/>
      <c r="E870" s="57" t="n"/>
      <c r="F870" s="58" t="n"/>
      <c r="G870" s="66">
        <f>IF(tblFleet[[#This Row],[Units]]="","",tblFleet[[#This Row],[Units]]*24)</f>
        <v/>
      </c>
      <c r="H870" s="66">
        <f>IF(tblFleet[[#This Row],[Units]]="","",tblFleet[[#This Row],[Calendar_h]]-tblFleet[[#This Row],[Down_h]])</f>
        <v/>
      </c>
      <c r="I870" s="60">
        <f>IF(AND(tblFleet[[#This Row],[Units]]&lt;&gt;"",tblFleet[[#This Row],[Calendar_h]]&gt;0),tblFleet[[#This Row],[Available_h]]/tblFleet[[#This Row],[Calendar_h]],"")</f>
        <v/>
      </c>
      <c r="J870" s="60">
        <f>IF(AND(tblFleet[[#This Row],[Units]]&lt;&gt;"",tblFleet[[#This Row],[Available_h]]&gt;0),tblFleet[[#This Row],[Operating_h]]/tblFleet[[#This Row],[Available_h]],"")</f>
        <v/>
      </c>
    </row>
    <row r="871">
      <c r="A871" s="54" t="n"/>
      <c r="B871" s="61" t="n"/>
      <c r="C871" s="62" t="n"/>
      <c r="D871" s="57" t="n"/>
      <c r="E871" s="57" t="n"/>
      <c r="F871" s="58" t="n"/>
      <c r="G871" s="66">
        <f>IF(tblFleet[[#This Row],[Units]]="","",tblFleet[[#This Row],[Units]]*24)</f>
        <v/>
      </c>
      <c r="H871" s="66">
        <f>IF(tblFleet[[#This Row],[Units]]="","",tblFleet[[#This Row],[Calendar_h]]-tblFleet[[#This Row],[Down_h]])</f>
        <v/>
      </c>
      <c r="I871" s="60">
        <f>IF(AND(tblFleet[[#This Row],[Units]]&lt;&gt;"",tblFleet[[#This Row],[Calendar_h]]&gt;0),tblFleet[[#This Row],[Available_h]]/tblFleet[[#This Row],[Calendar_h]],"")</f>
        <v/>
      </c>
      <c r="J871" s="60">
        <f>IF(AND(tblFleet[[#This Row],[Units]]&lt;&gt;"",tblFleet[[#This Row],[Available_h]]&gt;0),tblFleet[[#This Row],[Operating_h]]/tblFleet[[#This Row],[Available_h]],"")</f>
        <v/>
      </c>
    </row>
    <row r="872">
      <c r="A872" s="54" t="n"/>
      <c r="B872" s="61" t="n"/>
      <c r="C872" s="62" t="n"/>
      <c r="D872" s="57" t="n"/>
      <c r="E872" s="57" t="n"/>
      <c r="F872" s="58" t="n"/>
      <c r="G872" s="66">
        <f>IF(tblFleet[[#This Row],[Units]]="","",tblFleet[[#This Row],[Units]]*24)</f>
        <v/>
      </c>
      <c r="H872" s="66">
        <f>IF(tblFleet[[#This Row],[Units]]="","",tblFleet[[#This Row],[Calendar_h]]-tblFleet[[#This Row],[Down_h]])</f>
        <v/>
      </c>
      <c r="I872" s="60">
        <f>IF(AND(tblFleet[[#This Row],[Units]]&lt;&gt;"",tblFleet[[#This Row],[Calendar_h]]&gt;0),tblFleet[[#This Row],[Available_h]]/tblFleet[[#This Row],[Calendar_h]],"")</f>
        <v/>
      </c>
      <c r="J872" s="60">
        <f>IF(AND(tblFleet[[#This Row],[Units]]&lt;&gt;"",tblFleet[[#This Row],[Available_h]]&gt;0),tblFleet[[#This Row],[Operating_h]]/tblFleet[[#This Row],[Available_h]],"")</f>
        <v/>
      </c>
    </row>
    <row r="873">
      <c r="A873" s="54" t="n"/>
      <c r="B873" s="61" t="n"/>
      <c r="C873" s="62" t="n"/>
      <c r="D873" s="57" t="n"/>
      <c r="E873" s="57" t="n"/>
      <c r="F873" s="58" t="n"/>
      <c r="G873" s="66">
        <f>IF(tblFleet[[#This Row],[Units]]="","",tblFleet[[#This Row],[Units]]*24)</f>
        <v/>
      </c>
      <c r="H873" s="66">
        <f>IF(tblFleet[[#This Row],[Units]]="","",tblFleet[[#This Row],[Calendar_h]]-tblFleet[[#This Row],[Down_h]])</f>
        <v/>
      </c>
      <c r="I873" s="60">
        <f>IF(AND(tblFleet[[#This Row],[Units]]&lt;&gt;"",tblFleet[[#This Row],[Calendar_h]]&gt;0),tblFleet[[#This Row],[Available_h]]/tblFleet[[#This Row],[Calendar_h]],"")</f>
        <v/>
      </c>
      <c r="J873" s="60">
        <f>IF(AND(tblFleet[[#This Row],[Units]]&lt;&gt;"",tblFleet[[#This Row],[Available_h]]&gt;0),tblFleet[[#This Row],[Operating_h]]/tblFleet[[#This Row],[Available_h]],"")</f>
        <v/>
      </c>
    </row>
    <row r="874">
      <c r="A874" s="54" t="n"/>
      <c r="B874" s="61" t="n"/>
      <c r="C874" s="62" t="n"/>
      <c r="D874" s="57" t="n"/>
      <c r="E874" s="57" t="n"/>
      <c r="F874" s="58" t="n"/>
      <c r="G874" s="66">
        <f>IF(tblFleet[[#This Row],[Units]]="","",tblFleet[[#This Row],[Units]]*24)</f>
        <v/>
      </c>
      <c r="H874" s="66">
        <f>IF(tblFleet[[#This Row],[Units]]="","",tblFleet[[#This Row],[Calendar_h]]-tblFleet[[#This Row],[Down_h]])</f>
        <v/>
      </c>
      <c r="I874" s="60">
        <f>IF(AND(tblFleet[[#This Row],[Units]]&lt;&gt;"",tblFleet[[#This Row],[Calendar_h]]&gt;0),tblFleet[[#This Row],[Available_h]]/tblFleet[[#This Row],[Calendar_h]],"")</f>
        <v/>
      </c>
      <c r="J874" s="60">
        <f>IF(AND(tblFleet[[#This Row],[Units]]&lt;&gt;"",tblFleet[[#This Row],[Available_h]]&gt;0),tblFleet[[#This Row],[Operating_h]]/tblFleet[[#This Row],[Available_h]],"")</f>
        <v/>
      </c>
    </row>
    <row r="875">
      <c r="A875" s="54" t="n"/>
      <c r="B875" s="61" t="n"/>
      <c r="C875" s="62" t="n"/>
      <c r="D875" s="57" t="n"/>
      <c r="E875" s="57" t="n"/>
      <c r="F875" s="58" t="n"/>
      <c r="G875" s="66">
        <f>IF(tblFleet[[#This Row],[Units]]="","",tblFleet[[#This Row],[Units]]*24)</f>
        <v/>
      </c>
      <c r="H875" s="66">
        <f>IF(tblFleet[[#This Row],[Units]]="","",tblFleet[[#This Row],[Calendar_h]]-tblFleet[[#This Row],[Down_h]])</f>
        <v/>
      </c>
      <c r="I875" s="60">
        <f>IF(AND(tblFleet[[#This Row],[Units]]&lt;&gt;"",tblFleet[[#This Row],[Calendar_h]]&gt;0),tblFleet[[#This Row],[Available_h]]/tblFleet[[#This Row],[Calendar_h]],"")</f>
        <v/>
      </c>
      <c r="J875" s="60">
        <f>IF(AND(tblFleet[[#This Row],[Units]]&lt;&gt;"",tblFleet[[#This Row],[Available_h]]&gt;0),tblFleet[[#This Row],[Operating_h]]/tblFleet[[#This Row],[Available_h]],"")</f>
        <v/>
      </c>
    </row>
    <row r="876">
      <c r="A876" s="54" t="n"/>
      <c r="B876" s="61" t="n"/>
      <c r="C876" s="62" t="n"/>
      <c r="D876" s="57" t="n"/>
      <c r="E876" s="57" t="n"/>
      <c r="F876" s="58" t="n"/>
      <c r="G876" s="66">
        <f>IF(tblFleet[[#This Row],[Units]]="","",tblFleet[[#This Row],[Units]]*24)</f>
        <v/>
      </c>
      <c r="H876" s="66">
        <f>IF(tblFleet[[#This Row],[Units]]="","",tblFleet[[#This Row],[Calendar_h]]-tblFleet[[#This Row],[Down_h]])</f>
        <v/>
      </c>
      <c r="I876" s="60">
        <f>IF(AND(tblFleet[[#This Row],[Units]]&lt;&gt;"",tblFleet[[#This Row],[Calendar_h]]&gt;0),tblFleet[[#This Row],[Available_h]]/tblFleet[[#This Row],[Calendar_h]],"")</f>
        <v/>
      </c>
      <c r="J876" s="60">
        <f>IF(AND(tblFleet[[#This Row],[Units]]&lt;&gt;"",tblFleet[[#This Row],[Available_h]]&gt;0),tblFleet[[#This Row],[Operating_h]]/tblFleet[[#This Row],[Available_h]],"")</f>
        <v/>
      </c>
    </row>
    <row r="877">
      <c r="A877" s="54" t="n"/>
      <c r="B877" s="61" t="n"/>
      <c r="C877" s="62" t="n"/>
      <c r="D877" s="57" t="n"/>
      <c r="E877" s="57" t="n"/>
      <c r="F877" s="58" t="n"/>
      <c r="G877" s="66">
        <f>IF(tblFleet[[#This Row],[Units]]="","",tblFleet[[#This Row],[Units]]*24)</f>
        <v/>
      </c>
      <c r="H877" s="66">
        <f>IF(tblFleet[[#This Row],[Units]]="","",tblFleet[[#This Row],[Calendar_h]]-tblFleet[[#This Row],[Down_h]])</f>
        <v/>
      </c>
      <c r="I877" s="60">
        <f>IF(AND(tblFleet[[#This Row],[Units]]&lt;&gt;"",tblFleet[[#This Row],[Calendar_h]]&gt;0),tblFleet[[#This Row],[Available_h]]/tblFleet[[#This Row],[Calendar_h]],"")</f>
        <v/>
      </c>
      <c r="J877" s="60">
        <f>IF(AND(tblFleet[[#This Row],[Units]]&lt;&gt;"",tblFleet[[#This Row],[Available_h]]&gt;0),tblFleet[[#This Row],[Operating_h]]/tblFleet[[#This Row],[Available_h]],"")</f>
        <v/>
      </c>
    </row>
    <row r="878">
      <c r="A878" s="54" t="n"/>
      <c r="B878" s="61" t="n"/>
      <c r="C878" s="62" t="n"/>
      <c r="D878" s="57" t="n"/>
      <c r="E878" s="57" t="n"/>
      <c r="F878" s="58" t="n"/>
      <c r="G878" s="66">
        <f>IF(tblFleet[[#This Row],[Units]]="","",tblFleet[[#This Row],[Units]]*24)</f>
        <v/>
      </c>
      <c r="H878" s="66">
        <f>IF(tblFleet[[#This Row],[Units]]="","",tblFleet[[#This Row],[Calendar_h]]-tblFleet[[#This Row],[Down_h]])</f>
        <v/>
      </c>
      <c r="I878" s="60">
        <f>IF(AND(tblFleet[[#This Row],[Units]]&lt;&gt;"",tblFleet[[#This Row],[Calendar_h]]&gt;0),tblFleet[[#This Row],[Available_h]]/tblFleet[[#This Row],[Calendar_h]],"")</f>
        <v/>
      </c>
      <c r="J878" s="60">
        <f>IF(AND(tblFleet[[#This Row],[Units]]&lt;&gt;"",tblFleet[[#This Row],[Available_h]]&gt;0),tblFleet[[#This Row],[Operating_h]]/tblFleet[[#This Row],[Available_h]],"")</f>
        <v/>
      </c>
    </row>
    <row r="879">
      <c r="A879" s="54" t="n"/>
      <c r="B879" s="61" t="n"/>
      <c r="C879" s="62" t="n"/>
      <c r="D879" s="57" t="n"/>
      <c r="E879" s="57" t="n"/>
      <c r="F879" s="58" t="n"/>
      <c r="G879" s="66">
        <f>IF(tblFleet[[#This Row],[Units]]="","",tblFleet[[#This Row],[Units]]*24)</f>
        <v/>
      </c>
      <c r="H879" s="66">
        <f>IF(tblFleet[[#This Row],[Units]]="","",tblFleet[[#This Row],[Calendar_h]]-tblFleet[[#This Row],[Down_h]])</f>
        <v/>
      </c>
      <c r="I879" s="60">
        <f>IF(AND(tblFleet[[#This Row],[Units]]&lt;&gt;"",tblFleet[[#This Row],[Calendar_h]]&gt;0),tblFleet[[#This Row],[Available_h]]/tblFleet[[#This Row],[Calendar_h]],"")</f>
        <v/>
      </c>
      <c r="J879" s="60">
        <f>IF(AND(tblFleet[[#This Row],[Units]]&lt;&gt;"",tblFleet[[#This Row],[Available_h]]&gt;0),tblFleet[[#This Row],[Operating_h]]/tblFleet[[#This Row],[Available_h]],"")</f>
        <v/>
      </c>
    </row>
    <row r="880">
      <c r="A880" s="54" t="n"/>
      <c r="B880" s="61" t="n"/>
      <c r="C880" s="62" t="n"/>
      <c r="D880" s="57" t="n"/>
      <c r="E880" s="57" t="n"/>
      <c r="F880" s="58" t="n"/>
      <c r="G880" s="66">
        <f>IF(tblFleet[[#This Row],[Units]]="","",tblFleet[[#This Row],[Units]]*24)</f>
        <v/>
      </c>
      <c r="H880" s="66">
        <f>IF(tblFleet[[#This Row],[Units]]="","",tblFleet[[#This Row],[Calendar_h]]-tblFleet[[#This Row],[Down_h]])</f>
        <v/>
      </c>
      <c r="I880" s="60">
        <f>IF(AND(tblFleet[[#This Row],[Units]]&lt;&gt;"",tblFleet[[#This Row],[Calendar_h]]&gt;0),tblFleet[[#This Row],[Available_h]]/tblFleet[[#This Row],[Calendar_h]],"")</f>
        <v/>
      </c>
      <c r="J880" s="60">
        <f>IF(AND(tblFleet[[#This Row],[Units]]&lt;&gt;"",tblFleet[[#This Row],[Available_h]]&gt;0),tblFleet[[#This Row],[Operating_h]]/tblFleet[[#This Row],[Available_h]],"")</f>
        <v/>
      </c>
    </row>
    <row r="881">
      <c r="A881" s="54" t="n"/>
      <c r="B881" s="61" t="n"/>
      <c r="C881" s="62" t="n"/>
      <c r="D881" s="57" t="n"/>
      <c r="E881" s="57" t="n"/>
      <c r="F881" s="58" t="n"/>
      <c r="G881" s="66">
        <f>IF(tblFleet[[#This Row],[Units]]="","",tblFleet[[#This Row],[Units]]*24)</f>
        <v/>
      </c>
      <c r="H881" s="66">
        <f>IF(tblFleet[[#This Row],[Units]]="","",tblFleet[[#This Row],[Calendar_h]]-tblFleet[[#This Row],[Down_h]])</f>
        <v/>
      </c>
      <c r="I881" s="60">
        <f>IF(AND(tblFleet[[#This Row],[Units]]&lt;&gt;"",tblFleet[[#This Row],[Calendar_h]]&gt;0),tblFleet[[#This Row],[Available_h]]/tblFleet[[#This Row],[Calendar_h]],"")</f>
        <v/>
      </c>
      <c r="J881" s="60">
        <f>IF(AND(tblFleet[[#This Row],[Units]]&lt;&gt;"",tblFleet[[#This Row],[Available_h]]&gt;0),tblFleet[[#This Row],[Operating_h]]/tblFleet[[#This Row],[Available_h]],"")</f>
        <v/>
      </c>
    </row>
    <row r="882">
      <c r="A882" s="54" t="n"/>
      <c r="B882" s="61" t="n"/>
      <c r="C882" s="62" t="n"/>
      <c r="D882" s="57" t="n"/>
      <c r="E882" s="57" t="n"/>
      <c r="F882" s="58" t="n"/>
      <c r="G882" s="66">
        <f>IF(tblFleet[[#This Row],[Units]]="","",tblFleet[[#This Row],[Units]]*24)</f>
        <v/>
      </c>
      <c r="H882" s="66">
        <f>IF(tblFleet[[#This Row],[Units]]="","",tblFleet[[#This Row],[Calendar_h]]-tblFleet[[#This Row],[Down_h]])</f>
        <v/>
      </c>
      <c r="I882" s="60">
        <f>IF(AND(tblFleet[[#This Row],[Units]]&lt;&gt;"",tblFleet[[#This Row],[Calendar_h]]&gt;0),tblFleet[[#This Row],[Available_h]]/tblFleet[[#This Row],[Calendar_h]],"")</f>
        <v/>
      </c>
      <c r="J882" s="60">
        <f>IF(AND(tblFleet[[#This Row],[Units]]&lt;&gt;"",tblFleet[[#This Row],[Available_h]]&gt;0),tblFleet[[#This Row],[Operating_h]]/tblFleet[[#This Row],[Available_h]],"")</f>
        <v/>
      </c>
    </row>
    <row r="883">
      <c r="A883" s="54" t="n"/>
      <c r="B883" s="61" t="n"/>
      <c r="C883" s="62" t="n"/>
      <c r="D883" s="57" t="n"/>
      <c r="E883" s="57" t="n"/>
      <c r="F883" s="58" t="n"/>
      <c r="G883" s="66">
        <f>IF(tblFleet[[#This Row],[Units]]="","",tblFleet[[#This Row],[Units]]*24)</f>
        <v/>
      </c>
      <c r="H883" s="66">
        <f>IF(tblFleet[[#This Row],[Units]]="","",tblFleet[[#This Row],[Calendar_h]]-tblFleet[[#This Row],[Down_h]])</f>
        <v/>
      </c>
      <c r="I883" s="60">
        <f>IF(AND(tblFleet[[#This Row],[Units]]&lt;&gt;"",tblFleet[[#This Row],[Calendar_h]]&gt;0),tblFleet[[#This Row],[Available_h]]/tblFleet[[#This Row],[Calendar_h]],"")</f>
        <v/>
      </c>
      <c r="J883" s="60">
        <f>IF(AND(tblFleet[[#This Row],[Units]]&lt;&gt;"",tblFleet[[#This Row],[Available_h]]&gt;0),tblFleet[[#This Row],[Operating_h]]/tblFleet[[#This Row],[Available_h]],"")</f>
        <v/>
      </c>
    </row>
    <row r="884">
      <c r="A884" s="54" t="n"/>
      <c r="B884" s="61" t="n"/>
      <c r="C884" s="62" t="n"/>
      <c r="D884" s="57" t="n"/>
      <c r="E884" s="57" t="n"/>
      <c r="F884" s="58" t="n"/>
      <c r="G884" s="66">
        <f>IF(tblFleet[[#This Row],[Units]]="","",tblFleet[[#This Row],[Units]]*24)</f>
        <v/>
      </c>
      <c r="H884" s="66">
        <f>IF(tblFleet[[#This Row],[Units]]="","",tblFleet[[#This Row],[Calendar_h]]-tblFleet[[#This Row],[Down_h]])</f>
        <v/>
      </c>
      <c r="I884" s="60">
        <f>IF(AND(tblFleet[[#This Row],[Units]]&lt;&gt;"",tblFleet[[#This Row],[Calendar_h]]&gt;0),tblFleet[[#This Row],[Available_h]]/tblFleet[[#This Row],[Calendar_h]],"")</f>
        <v/>
      </c>
      <c r="J884" s="60">
        <f>IF(AND(tblFleet[[#This Row],[Units]]&lt;&gt;"",tblFleet[[#This Row],[Available_h]]&gt;0),tblFleet[[#This Row],[Operating_h]]/tblFleet[[#This Row],[Available_h]],"")</f>
        <v/>
      </c>
    </row>
    <row r="885">
      <c r="A885" s="54" t="n"/>
      <c r="B885" s="61" t="n"/>
      <c r="C885" s="62" t="n"/>
      <c r="D885" s="57" t="n"/>
      <c r="E885" s="57" t="n"/>
      <c r="F885" s="58" t="n"/>
      <c r="G885" s="66">
        <f>IF(tblFleet[[#This Row],[Units]]="","",tblFleet[[#This Row],[Units]]*24)</f>
        <v/>
      </c>
      <c r="H885" s="66">
        <f>IF(tblFleet[[#This Row],[Units]]="","",tblFleet[[#This Row],[Calendar_h]]-tblFleet[[#This Row],[Down_h]])</f>
        <v/>
      </c>
      <c r="I885" s="60">
        <f>IF(AND(tblFleet[[#This Row],[Units]]&lt;&gt;"",tblFleet[[#This Row],[Calendar_h]]&gt;0),tblFleet[[#This Row],[Available_h]]/tblFleet[[#This Row],[Calendar_h]],"")</f>
        <v/>
      </c>
      <c r="J885" s="60">
        <f>IF(AND(tblFleet[[#This Row],[Units]]&lt;&gt;"",tblFleet[[#This Row],[Available_h]]&gt;0),tblFleet[[#This Row],[Operating_h]]/tblFleet[[#This Row],[Available_h]],"")</f>
        <v/>
      </c>
    </row>
    <row r="886">
      <c r="A886" s="54" t="n"/>
      <c r="B886" s="61" t="n"/>
      <c r="C886" s="62" t="n"/>
      <c r="D886" s="57" t="n"/>
      <c r="E886" s="57" t="n"/>
      <c r="F886" s="58" t="n"/>
      <c r="G886" s="66">
        <f>IF(tblFleet[[#This Row],[Units]]="","",tblFleet[[#This Row],[Units]]*24)</f>
        <v/>
      </c>
      <c r="H886" s="66">
        <f>IF(tblFleet[[#This Row],[Units]]="","",tblFleet[[#This Row],[Calendar_h]]-tblFleet[[#This Row],[Down_h]])</f>
        <v/>
      </c>
      <c r="I886" s="60">
        <f>IF(AND(tblFleet[[#This Row],[Units]]&lt;&gt;"",tblFleet[[#This Row],[Calendar_h]]&gt;0),tblFleet[[#This Row],[Available_h]]/tblFleet[[#This Row],[Calendar_h]],"")</f>
        <v/>
      </c>
      <c r="J886" s="60">
        <f>IF(AND(tblFleet[[#This Row],[Units]]&lt;&gt;"",tblFleet[[#This Row],[Available_h]]&gt;0),tblFleet[[#This Row],[Operating_h]]/tblFleet[[#This Row],[Available_h]],"")</f>
        <v/>
      </c>
    </row>
    <row r="887">
      <c r="A887" s="54" t="n"/>
      <c r="B887" s="61" t="n"/>
      <c r="C887" s="62" t="n"/>
      <c r="D887" s="57" t="n"/>
      <c r="E887" s="57" t="n"/>
      <c r="F887" s="58" t="n"/>
      <c r="G887" s="66">
        <f>IF(tblFleet[[#This Row],[Units]]="","",tblFleet[[#This Row],[Units]]*24)</f>
        <v/>
      </c>
      <c r="H887" s="66">
        <f>IF(tblFleet[[#This Row],[Units]]="","",tblFleet[[#This Row],[Calendar_h]]-tblFleet[[#This Row],[Down_h]])</f>
        <v/>
      </c>
      <c r="I887" s="60">
        <f>IF(AND(tblFleet[[#This Row],[Units]]&lt;&gt;"",tblFleet[[#This Row],[Calendar_h]]&gt;0),tblFleet[[#This Row],[Available_h]]/tblFleet[[#This Row],[Calendar_h]],"")</f>
        <v/>
      </c>
      <c r="J887" s="60">
        <f>IF(AND(tblFleet[[#This Row],[Units]]&lt;&gt;"",tblFleet[[#This Row],[Available_h]]&gt;0),tblFleet[[#This Row],[Operating_h]]/tblFleet[[#This Row],[Available_h]],"")</f>
        <v/>
      </c>
    </row>
    <row r="888">
      <c r="A888" s="54" t="n"/>
      <c r="B888" s="61" t="n"/>
      <c r="C888" s="62" t="n"/>
      <c r="D888" s="57" t="n"/>
      <c r="E888" s="57" t="n"/>
      <c r="F888" s="58" t="n"/>
      <c r="G888" s="66">
        <f>IF(tblFleet[[#This Row],[Units]]="","",tblFleet[[#This Row],[Units]]*24)</f>
        <v/>
      </c>
      <c r="H888" s="66">
        <f>IF(tblFleet[[#This Row],[Units]]="","",tblFleet[[#This Row],[Calendar_h]]-tblFleet[[#This Row],[Down_h]])</f>
        <v/>
      </c>
      <c r="I888" s="60">
        <f>IF(AND(tblFleet[[#This Row],[Units]]&lt;&gt;"",tblFleet[[#This Row],[Calendar_h]]&gt;0),tblFleet[[#This Row],[Available_h]]/tblFleet[[#This Row],[Calendar_h]],"")</f>
        <v/>
      </c>
      <c r="J888" s="60">
        <f>IF(AND(tblFleet[[#This Row],[Units]]&lt;&gt;"",tblFleet[[#This Row],[Available_h]]&gt;0),tblFleet[[#This Row],[Operating_h]]/tblFleet[[#This Row],[Available_h]],"")</f>
        <v/>
      </c>
    </row>
    <row r="889">
      <c r="A889" s="54" t="n"/>
      <c r="B889" s="61" t="n"/>
      <c r="C889" s="62" t="n"/>
      <c r="D889" s="57" t="n"/>
      <c r="E889" s="57" t="n"/>
      <c r="F889" s="58" t="n"/>
      <c r="G889" s="66">
        <f>IF(tblFleet[[#This Row],[Units]]="","",tblFleet[[#This Row],[Units]]*24)</f>
        <v/>
      </c>
      <c r="H889" s="66">
        <f>IF(tblFleet[[#This Row],[Units]]="","",tblFleet[[#This Row],[Calendar_h]]-tblFleet[[#This Row],[Down_h]])</f>
        <v/>
      </c>
      <c r="I889" s="60">
        <f>IF(AND(tblFleet[[#This Row],[Units]]&lt;&gt;"",tblFleet[[#This Row],[Calendar_h]]&gt;0),tblFleet[[#This Row],[Available_h]]/tblFleet[[#This Row],[Calendar_h]],"")</f>
        <v/>
      </c>
      <c r="J889" s="60">
        <f>IF(AND(tblFleet[[#This Row],[Units]]&lt;&gt;"",tblFleet[[#This Row],[Available_h]]&gt;0),tblFleet[[#This Row],[Operating_h]]/tblFleet[[#This Row],[Available_h]],"")</f>
        <v/>
      </c>
    </row>
    <row r="890">
      <c r="A890" s="54" t="n"/>
      <c r="B890" s="61" t="n"/>
      <c r="C890" s="62" t="n"/>
      <c r="D890" s="57" t="n"/>
      <c r="E890" s="57" t="n"/>
      <c r="F890" s="58" t="n"/>
      <c r="G890" s="66">
        <f>IF(tblFleet[[#This Row],[Units]]="","",tblFleet[[#This Row],[Units]]*24)</f>
        <v/>
      </c>
      <c r="H890" s="66">
        <f>IF(tblFleet[[#This Row],[Units]]="","",tblFleet[[#This Row],[Calendar_h]]-tblFleet[[#This Row],[Down_h]])</f>
        <v/>
      </c>
      <c r="I890" s="60">
        <f>IF(AND(tblFleet[[#This Row],[Units]]&lt;&gt;"",tblFleet[[#This Row],[Calendar_h]]&gt;0),tblFleet[[#This Row],[Available_h]]/tblFleet[[#This Row],[Calendar_h]],"")</f>
        <v/>
      </c>
      <c r="J890" s="60">
        <f>IF(AND(tblFleet[[#This Row],[Units]]&lt;&gt;"",tblFleet[[#This Row],[Available_h]]&gt;0),tblFleet[[#This Row],[Operating_h]]/tblFleet[[#This Row],[Available_h]],"")</f>
        <v/>
      </c>
    </row>
    <row r="891">
      <c r="A891" s="54" t="n"/>
      <c r="B891" s="61" t="n"/>
      <c r="C891" s="62" t="n"/>
      <c r="D891" s="57" t="n"/>
      <c r="E891" s="57" t="n"/>
      <c r="F891" s="58" t="n"/>
      <c r="G891" s="66">
        <f>IF(tblFleet[[#This Row],[Units]]="","",tblFleet[[#This Row],[Units]]*24)</f>
        <v/>
      </c>
      <c r="H891" s="66">
        <f>IF(tblFleet[[#This Row],[Units]]="","",tblFleet[[#This Row],[Calendar_h]]-tblFleet[[#This Row],[Down_h]])</f>
        <v/>
      </c>
      <c r="I891" s="60">
        <f>IF(AND(tblFleet[[#This Row],[Units]]&lt;&gt;"",tblFleet[[#This Row],[Calendar_h]]&gt;0),tblFleet[[#This Row],[Available_h]]/tblFleet[[#This Row],[Calendar_h]],"")</f>
        <v/>
      </c>
      <c r="J891" s="60">
        <f>IF(AND(tblFleet[[#This Row],[Units]]&lt;&gt;"",tblFleet[[#This Row],[Available_h]]&gt;0),tblFleet[[#This Row],[Operating_h]]/tblFleet[[#This Row],[Available_h]],"")</f>
        <v/>
      </c>
    </row>
    <row r="892">
      <c r="A892" s="54" t="n"/>
      <c r="B892" s="61" t="n"/>
      <c r="C892" s="62" t="n"/>
      <c r="D892" s="57" t="n"/>
      <c r="E892" s="57" t="n"/>
      <c r="F892" s="58" t="n"/>
      <c r="G892" s="66">
        <f>IF(tblFleet[[#This Row],[Units]]="","",tblFleet[[#This Row],[Units]]*24)</f>
        <v/>
      </c>
      <c r="H892" s="66">
        <f>IF(tblFleet[[#This Row],[Units]]="","",tblFleet[[#This Row],[Calendar_h]]-tblFleet[[#This Row],[Down_h]])</f>
        <v/>
      </c>
      <c r="I892" s="60">
        <f>IF(AND(tblFleet[[#This Row],[Units]]&lt;&gt;"",tblFleet[[#This Row],[Calendar_h]]&gt;0),tblFleet[[#This Row],[Available_h]]/tblFleet[[#This Row],[Calendar_h]],"")</f>
        <v/>
      </c>
      <c r="J892" s="60">
        <f>IF(AND(tblFleet[[#This Row],[Units]]&lt;&gt;"",tblFleet[[#This Row],[Available_h]]&gt;0),tblFleet[[#This Row],[Operating_h]]/tblFleet[[#This Row],[Available_h]],"")</f>
        <v/>
      </c>
    </row>
    <row r="893">
      <c r="A893" s="54" t="n"/>
      <c r="B893" s="61" t="n"/>
      <c r="C893" s="62" t="n"/>
      <c r="D893" s="57" t="n"/>
      <c r="E893" s="57" t="n"/>
      <c r="F893" s="58" t="n"/>
      <c r="G893" s="66">
        <f>IF(tblFleet[[#This Row],[Units]]="","",tblFleet[[#This Row],[Units]]*24)</f>
        <v/>
      </c>
      <c r="H893" s="66">
        <f>IF(tblFleet[[#This Row],[Units]]="","",tblFleet[[#This Row],[Calendar_h]]-tblFleet[[#This Row],[Down_h]])</f>
        <v/>
      </c>
      <c r="I893" s="60">
        <f>IF(AND(tblFleet[[#This Row],[Units]]&lt;&gt;"",tblFleet[[#This Row],[Calendar_h]]&gt;0),tblFleet[[#This Row],[Available_h]]/tblFleet[[#This Row],[Calendar_h]],"")</f>
        <v/>
      </c>
      <c r="J893" s="60">
        <f>IF(AND(tblFleet[[#This Row],[Units]]&lt;&gt;"",tblFleet[[#This Row],[Available_h]]&gt;0),tblFleet[[#This Row],[Operating_h]]/tblFleet[[#This Row],[Available_h]],"")</f>
        <v/>
      </c>
    </row>
    <row r="894">
      <c r="A894" s="54" t="n"/>
      <c r="B894" s="61" t="n"/>
      <c r="C894" s="62" t="n"/>
      <c r="D894" s="57" t="n"/>
      <c r="E894" s="57" t="n"/>
      <c r="F894" s="58" t="n"/>
      <c r="G894" s="66">
        <f>IF(tblFleet[[#This Row],[Units]]="","",tblFleet[[#This Row],[Units]]*24)</f>
        <v/>
      </c>
      <c r="H894" s="66">
        <f>IF(tblFleet[[#This Row],[Units]]="","",tblFleet[[#This Row],[Calendar_h]]-tblFleet[[#This Row],[Down_h]])</f>
        <v/>
      </c>
      <c r="I894" s="60">
        <f>IF(AND(tblFleet[[#This Row],[Units]]&lt;&gt;"",tblFleet[[#This Row],[Calendar_h]]&gt;0),tblFleet[[#This Row],[Available_h]]/tblFleet[[#This Row],[Calendar_h]],"")</f>
        <v/>
      </c>
      <c r="J894" s="60">
        <f>IF(AND(tblFleet[[#This Row],[Units]]&lt;&gt;"",tblFleet[[#This Row],[Available_h]]&gt;0),tblFleet[[#This Row],[Operating_h]]/tblFleet[[#This Row],[Available_h]],"")</f>
        <v/>
      </c>
    </row>
    <row r="895">
      <c r="A895" s="54" t="n"/>
      <c r="B895" s="61" t="n"/>
      <c r="C895" s="62" t="n"/>
      <c r="D895" s="57" t="n"/>
      <c r="E895" s="57" t="n"/>
      <c r="F895" s="58" t="n"/>
      <c r="G895" s="66">
        <f>IF(tblFleet[[#This Row],[Units]]="","",tblFleet[[#This Row],[Units]]*24)</f>
        <v/>
      </c>
      <c r="H895" s="66">
        <f>IF(tblFleet[[#This Row],[Units]]="","",tblFleet[[#This Row],[Calendar_h]]-tblFleet[[#This Row],[Down_h]])</f>
        <v/>
      </c>
      <c r="I895" s="60">
        <f>IF(AND(tblFleet[[#This Row],[Units]]&lt;&gt;"",tblFleet[[#This Row],[Calendar_h]]&gt;0),tblFleet[[#This Row],[Available_h]]/tblFleet[[#This Row],[Calendar_h]],"")</f>
        <v/>
      </c>
      <c r="J895" s="60">
        <f>IF(AND(tblFleet[[#This Row],[Units]]&lt;&gt;"",tblFleet[[#This Row],[Available_h]]&gt;0),tblFleet[[#This Row],[Operating_h]]/tblFleet[[#This Row],[Available_h]],"")</f>
        <v/>
      </c>
    </row>
    <row r="896">
      <c r="A896" s="54" t="n"/>
      <c r="B896" s="61" t="n"/>
      <c r="C896" s="62" t="n"/>
      <c r="D896" s="57" t="n"/>
      <c r="E896" s="57" t="n"/>
      <c r="F896" s="58" t="n"/>
      <c r="G896" s="66">
        <f>IF(tblFleet[[#This Row],[Units]]="","",tblFleet[[#This Row],[Units]]*24)</f>
        <v/>
      </c>
      <c r="H896" s="66">
        <f>IF(tblFleet[[#This Row],[Units]]="","",tblFleet[[#This Row],[Calendar_h]]-tblFleet[[#This Row],[Down_h]])</f>
        <v/>
      </c>
      <c r="I896" s="60">
        <f>IF(AND(tblFleet[[#This Row],[Units]]&lt;&gt;"",tblFleet[[#This Row],[Calendar_h]]&gt;0),tblFleet[[#This Row],[Available_h]]/tblFleet[[#This Row],[Calendar_h]],"")</f>
        <v/>
      </c>
      <c r="J896" s="60">
        <f>IF(AND(tblFleet[[#This Row],[Units]]&lt;&gt;"",tblFleet[[#This Row],[Available_h]]&gt;0),tblFleet[[#This Row],[Operating_h]]/tblFleet[[#This Row],[Available_h]],"")</f>
        <v/>
      </c>
    </row>
    <row r="897">
      <c r="A897" s="54" t="n"/>
      <c r="B897" s="61" t="n"/>
      <c r="C897" s="62" t="n"/>
      <c r="D897" s="57" t="n"/>
      <c r="E897" s="57" t="n"/>
      <c r="F897" s="58" t="n"/>
      <c r="G897" s="66">
        <f>IF(tblFleet[[#This Row],[Units]]="","",tblFleet[[#This Row],[Units]]*24)</f>
        <v/>
      </c>
      <c r="H897" s="66">
        <f>IF(tblFleet[[#This Row],[Units]]="","",tblFleet[[#This Row],[Calendar_h]]-tblFleet[[#This Row],[Down_h]])</f>
        <v/>
      </c>
      <c r="I897" s="60">
        <f>IF(AND(tblFleet[[#This Row],[Units]]&lt;&gt;"",tblFleet[[#This Row],[Calendar_h]]&gt;0),tblFleet[[#This Row],[Available_h]]/tblFleet[[#This Row],[Calendar_h]],"")</f>
        <v/>
      </c>
      <c r="J897" s="60">
        <f>IF(AND(tblFleet[[#This Row],[Units]]&lt;&gt;"",tblFleet[[#This Row],[Available_h]]&gt;0),tblFleet[[#This Row],[Operating_h]]/tblFleet[[#This Row],[Available_h]],"")</f>
        <v/>
      </c>
    </row>
    <row r="898">
      <c r="A898" s="54" t="n"/>
      <c r="B898" s="61" t="n"/>
      <c r="C898" s="62" t="n"/>
      <c r="D898" s="57" t="n"/>
      <c r="E898" s="57" t="n"/>
      <c r="F898" s="58" t="n"/>
      <c r="G898" s="66">
        <f>IF(tblFleet[[#This Row],[Units]]="","",tblFleet[[#This Row],[Units]]*24)</f>
        <v/>
      </c>
      <c r="H898" s="66">
        <f>IF(tblFleet[[#This Row],[Units]]="","",tblFleet[[#This Row],[Calendar_h]]-tblFleet[[#This Row],[Down_h]])</f>
        <v/>
      </c>
      <c r="I898" s="60">
        <f>IF(AND(tblFleet[[#This Row],[Units]]&lt;&gt;"",tblFleet[[#This Row],[Calendar_h]]&gt;0),tblFleet[[#This Row],[Available_h]]/tblFleet[[#This Row],[Calendar_h]],"")</f>
        <v/>
      </c>
      <c r="J898" s="60">
        <f>IF(AND(tblFleet[[#This Row],[Units]]&lt;&gt;"",tblFleet[[#This Row],[Available_h]]&gt;0),tblFleet[[#This Row],[Operating_h]]/tblFleet[[#This Row],[Available_h]],"")</f>
        <v/>
      </c>
    </row>
    <row r="899">
      <c r="A899" s="54" t="n"/>
      <c r="B899" s="61" t="n"/>
      <c r="C899" s="62" t="n"/>
      <c r="D899" s="57" t="n"/>
      <c r="E899" s="57" t="n"/>
      <c r="F899" s="58" t="n"/>
      <c r="G899" s="66">
        <f>IF(tblFleet[[#This Row],[Units]]="","",tblFleet[[#This Row],[Units]]*24)</f>
        <v/>
      </c>
      <c r="H899" s="66">
        <f>IF(tblFleet[[#This Row],[Units]]="","",tblFleet[[#This Row],[Calendar_h]]-tblFleet[[#This Row],[Down_h]])</f>
        <v/>
      </c>
      <c r="I899" s="60">
        <f>IF(AND(tblFleet[[#This Row],[Units]]&lt;&gt;"",tblFleet[[#This Row],[Calendar_h]]&gt;0),tblFleet[[#This Row],[Available_h]]/tblFleet[[#This Row],[Calendar_h]],"")</f>
        <v/>
      </c>
      <c r="J899" s="60">
        <f>IF(AND(tblFleet[[#This Row],[Units]]&lt;&gt;"",tblFleet[[#This Row],[Available_h]]&gt;0),tblFleet[[#This Row],[Operating_h]]/tblFleet[[#This Row],[Available_h]],"")</f>
        <v/>
      </c>
    </row>
    <row r="900">
      <c r="A900" s="54" t="n"/>
      <c r="B900" s="61" t="n"/>
      <c r="C900" s="62" t="n"/>
      <c r="D900" s="57" t="n"/>
      <c r="E900" s="57" t="n"/>
      <c r="F900" s="58" t="n"/>
      <c r="G900" s="66">
        <f>IF(tblFleet[[#This Row],[Units]]="","",tblFleet[[#This Row],[Units]]*24)</f>
        <v/>
      </c>
      <c r="H900" s="66">
        <f>IF(tblFleet[[#This Row],[Units]]="","",tblFleet[[#This Row],[Calendar_h]]-tblFleet[[#This Row],[Down_h]])</f>
        <v/>
      </c>
      <c r="I900" s="60">
        <f>IF(AND(tblFleet[[#This Row],[Units]]&lt;&gt;"",tblFleet[[#This Row],[Calendar_h]]&gt;0),tblFleet[[#This Row],[Available_h]]/tblFleet[[#This Row],[Calendar_h]],"")</f>
        <v/>
      </c>
      <c r="J900" s="60">
        <f>IF(AND(tblFleet[[#This Row],[Units]]&lt;&gt;"",tblFleet[[#This Row],[Available_h]]&gt;0),tblFleet[[#This Row],[Operating_h]]/tblFleet[[#This Row],[Available_h]],"")</f>
        <v/>
      </c>
    </row>
    <row r="901">
      <c r="A901" s="54" t="n"/>
      <c r="B901" s="61" t="n"/>
      <c r="C901" s="62" t="n"/>
      <c r="D901" s="57" t="n"/>
      <c r="E901" s="57" t="n"/>
      <c r="F901" s="58" t="n"/>
      <c r="G901" s="66">
        <f>IF(tblFleet[[#This Row],[Units]]="","",tblFleet[[#This Row],[Units]]*24)</f>
        <v/>
      </c>
      <c r="H901" s="66">
        <f>IF(tblFleet[[#This Row],[Units]]="","",tblFleet[[#This Row],[Calendar_h]]-tblFleet[[#This Row],[Down_h]])</f>
        <v/>
      </c>
      <c r="I901" s="60">
        <f>IF(AND(tblFleet[[#This Row],[Units]]&lt;&gt;"",tblFleet[[#This Row],[Calendar_h]]&gt;0),tblFleet[[#This Row],[Available_h]]/tblFleet[[#This Row],[Calendar_h]],"")</f>
        <v/>
      </c>
      <c r="J901" s="60">
        <f>IF(AND(tblFleet[[#This Row],[Units]]&lt;&gt;"",tblFleet[[#This Row],[Available_h]]&gt;0),tblFleet[[#This Row],[Operating_h]]/tblFleet[[#This Row],[Available_h]],"")</f>
        <v/>
      </c>
    </row>
    <row r="902">
      <c r="A902" s="54" t="n"/>
      <c r="B902" s="61" t="n"/>
      <c r="C902" s="62" t="n"/>
      <c r="D902" s="57" t="n"/>
      <c r="E902" s="57" t="n"/>
      <c r="F902" s="58" t="n"/>
      <c r="G902" s="66">
        <f>IF(tblFleet[[#This Row],[Units]]="","",tblFleet[[#This Row],[Units]]*24)</f>
        <v/>
      </c>
      <c r="H902" s="66">
        <f>IF(tblFleet[[#This Row],[Units]]="","",tblFleet[[#This Row],[Calendar_h]]-tblFleet[[#This Row],[Down_h]])</f>
        <v/>
      </c>
      <c r="I902" s="60">
        <f>IF(AND(tblFleet[[#This Row],[Units]]&lt;&gt;"",tblFleet[[#This Row],[Calendar_h]]&gt;0),tblFleet[[#This Row],[Available_h]]/tblFleet[[#This Row],[Calendar_h]],"")</f>
        <v/>
      </c>
      <c r="J902" s="60">
        <f>IF(AND(tblFleet[[#This Row],[Units]]&lt;&gt;"",tblFleet[[#This Row],[Available_h]]&gt;0),tblFleet[[#This Row],[Operating_h]]/tblFleet[[#This Row],[Available_h]],"")</f>
        <v/>
      </c>
    </row>
    <row r="903">
      <c r="A903" s="54" t="n"/>
      <c r="B903" s="61" t="n"/>
      <c r="C903" s="62" t="n"/>
      <c r="D903" s="57" t="n"/>
      <c r="E903" s="57" t="n"/>
      <c r="F903" s="58" t="n"/>
      <c r="G903" s="66">
        <f>IF(tblFleet[[#This Row],[Units]]="","",tblFleet[[#This Row],[Units]]*24)</f>
        <v/>
      </c>
      <c r="H903" s="66">
        <f>IF(tblFleet[[#This Row],[Units]]="","",tblFleet[[#This Row],[Calendar_h]]-tblFleet[[#This Row],[Down_h]])</f>
        <v/>
      </c>
      <c r="I903" s="60">
        <f>IF(AND(tblFleet[[#This Row],[Units]]&lt;&gt;"",tblFleet[[#This Row],[Calendar_h]]&gt;0),tblFleet[[#This Row],[Available_h]]/tblFleet[[#This Row],[Calendar_h]],"")</f>
        <v/>
      </c>
      <c r="J903" s="60">
        <f>IF(AND(tblFleet[[#This Row],[Units]]&lt;&gt;"",tblFleet[[#This Row],[Available_h]]&gt;0),tblFleet[[#This Row],[Operating_h]]/tblFleet[[#This Row],[Available_h]],"")</f>
        <v/>
      </c>
    </row>
    <row r="904">
      <c r="A904" s="54" t="n"/>
      <c r="B904" s="61" t="n"/>
      <c r="C904" s="62" t="n"/>
      <c r="D904" s="57" t="n"/>
      <c r="E904" s="57" t="n"/>
      <c r="F904" s="58" t="n"/>
      <c r="G904" s="66">
        <f>IF(tblFleet[[#This Row],[Units]]="","",tblFleet[[#This Row],[Units]]*24)</f>
        <v/>
      </c>
      <c r="H904" s="66">
        <f>IF(tblFleet[[#This Row],[Units]]="","",tblFleet[[#This Row],[Calendar_h]]-tblFleet[[#This Row],[Down_h]])</f>
        <v/>
      </c>
      <c r="I904" s="60">
        <f>IF(AND(tblFleet[[#This Row],[Units]]&lt;&gt;"",tblFleet[[#This Row],[Calendar_h]]&gt;0),tblFleet[[#This Row],[Available_h]]/tblFleet[[#This Row],[Calendar_h]],"")</f>
        <v/>
      </c>
      <c r="J904" s="60">
        <f>IF(AND(tblFleet[[#This Row],[Units]]&lt;&gt;"",tblFleet[[#This Row],[Available_h]]&gt;0),tblFleet[[#This Row],[Operating_h]]/tblFleet[[#This Row],[Available_h]],"")</f>
        <v/>
      </c>
    </row>
    <row r="905">
      <c r="A905" s="54" t="n"/>
      <c r="B905" s="61" t="n"/>
      <c r="C905" s="62" t="n"/>
      <c r="D905" s="57" t="n"/>
      <c r="E905" s="57" t="n"/>
      <c r="F905" s="58" t="n"/>
      <c r="G905" s="66">
        <f>IF(tblFleet[[#This Row],[Units]]="","",tblFleet[[#This Row],[Units]]*24)</f>
        <v/>
      </c>
      <c r="H905" s="66">
        <f>IF(tblFleet[[#This Row],[Units]]="","",tblFleet[[#This Row],[Calendar_h]]-tblFleet[[#This Row],[Down_h]])</f>
        <v/>
      </c>
      <c r="I905" s="60">
        <f>IF(AND(tblFleet[[#This Row],[Units]]&lt;&gt;"",tblFleet[[#This Row],[Calendar_h]]&gt;0),tblFleet[[#This Row],[Available_h]]/tblFleet[[#This Row],[Calendar_h]],"")</f>
        <v/>
      </c>
      <c r="J905" s="60">
        <f>IF(AND(tblFleet[[#This Row],[Units]]&lt;&gt;"",tblFleet[[#This Row],[Available_h]]&gt;0),tblFleet[[#This Row],[Operating_h]]/tblFleet[[#This Row],[Available_h]],"")</f>
        <v/>
      </c>
    </row>
    <row r="906">
      <c r="A906" s="54" t="n"/>
      <c r="B906" s="61" t="n"/>
      <c r="C906" s="62" t="n"/>
      <c r="D906" s="57" t="n"/>
      <c r="E906" s="57" t="n"/>
      <c r="F906" s="58" t="n"/>
      <c r="G906" s="66">
        <f>IF(tblFleet[[#This Row],[Units]]="","",tblFleet[[#This Row],[Units]]*24)</f>
        <v/>
      </c>
      <c r="H906" s="66">
        <f>IF(tblFleet[[#This Row],[Units]]="","",tblFleet[[#This Row],[Calendar_h]]-tblFleet[[#This Row],[Down_h]])</f>
        <v/>
      </c>
      <c r="I906" s="60">
        <f>IF(AND(tblFleet[[#This Row],[Units]]&lt;&gt;"",tblFleet[[#This Row],[Calendar_h]]&gt;0),tblFleet[[#This Row],[Available_h]]/tblFleet[[#This Row],[Calendar_h]],"")</f>
        <v/>
      </c>
      <c r="J906" s="60">
        <f>IF(AND(tblFleet[[#This Row],[Units]]&lt;&gt;"",tblFleet[[#This Row],[Available_h]]&gt;0),tblFleet[[#This Row],[Operating_h]]/tblFleet[[#This Row],[Available_h]],"")</f>
        <v/>
      </c>
    </row>
    <row r="907">
      <c r="A907" s="54" t="n"/>
      <c r="B907" s="61" t="n"/>
      <c r="C907" s="62" t="n"/>
      <c r="D907" s="57" t="n"/>
      <c r="E907" s="57" t="n"/>
      <c r="F907" s="58" t="n"/>
      <c r="G907" s="66">
        <f>IF(tblFleet[[#This Row],[Units]]="","",tblFleet[[#This Row],[Units]]*24)</f>
        <v/>
      </c>
      <c r="H907" s="66">
        <f>IF(tblFleet[[#This Row],[Units]]="","",tblFleet[[#This Row],[Calendar_h]]-tblFleet[[#This Row],[Down_h]])</f>
        <v/>
      </c>
      <c r="I907" s="60">
        <f>IF(AND(tblFleet[[#This Row],[Units]]&lt;&gt;"",tblFleet[[#This Row],[Calendar_h]]&gt;0),tblFleet[[#This Row],[Available_h]]/tblFleet[[#This Row],[Calendar_h]],"")</f>
        <v/>
      </c>
      <c r="J907" s="60">
        <f>IF(AND(tblFleet[[#This Row],[Units]]&lt;&gt;"",tblFleet[[#This Row],[Available_h]]&gt;0),tblFleet[[#This Row],[Operating_h]]/tblFleet[[#This Row],[Available_h]],"")</f>
        <v/>
      </c>
    </row>
    <row r="908">
      <c r="A908" s="54" t="n"/>
      <c r="B908" s="61" t="n"/>
      <c r="C908" s="62" t="n"/>
      <c r="D908" s="57" t="n"/>
      <c r="E908" s="57" t="n"/>
      <c r="F908" s="58" t="n"/>
      <c r="G908" s="66">
        <f>IF(tblFleet[[#This Row],[Units]]="","",tblFleet[[#This Row],[Units]]*24)</f>
        <v/>
      </c>
      <c r="H908" s="66">
        <f>IF(tblFleet[[#This Row],[Units]]="","",tblFleet[[#This Row],[Calendar_h]]-tblFleet[[#This Row],[Down_h]])</f>
        <v/>
      </c>
      <c r="I908" s="60">
        <f>IF(AND(tblFleet[[#This Row],[Units]]&lt;&gt;"",tblFleet[[#This Row],[Calendar_h]]&gt;0),tblFleet[[#This Row],[Available_h]]/tblFleet[[#This Row],[Calendar_h]],"")</f>
        <v/>
      </c>
      <c r="J908" s="60">
        <f>IF(AND(tblFleet[[#This Row],[Units]]&lt;&gt;"",tblFleet[[#This Row],[Available_h]]&gt;0),tblFleet[[#This Row],[Operating_h]]/tblFleet[[#This Row],[Available_h]],"")</f>
        <v/>
      </c>
    </row>
    <row r="909">
      <c r="A909" s="54" t="n"/>
      <c r="B909" s="61" t="n"/>
      <c r="C909" s="62" t="n"/>
      <c r="D909" s="57" t="n"/>
      <c r="E909" s="57" t="n"/>
      <c r="F909" s="58" t="n"/>
      <c r="G909" s="66">
        <f>IF(tblFleet[[#This Row],[Units]]="","",tblFleet[[#This Row],[Units]]*24)</f>
        <v/>
      </c>
      <c r="H909" s="66">
        <f>IF(tblFleet[[#This Row],[Units]]="","",tblFleet[[#This Row],[Calendar_h]]-tblFleet[[#This Row],[Down_h]])</f>
        <v/>
      </c>
      <c r="I909" s="60">
        <f>IF(AND(tblFleet[[#This Row],[Units]]&lt;&gt;"",tblFleet[[#This Row],[Calendar_h]]&gt;0),tblFleet[[#This Row],[Available_h]]/tblFleet[[#This Row],[Calendar_h]],"")</f>
        <v/>
      </c>
      <c r="J909" s="60">
        <f>IF(AND(tblFleet[[#This Row],[Units]]&lt;&gt;"",tblFleet[[#This Row],[Available_h]]&gt;0),tblFleet[[#This Row],[Operating_h]]/tblFleet[[#This Row],[Available_h]],"")</f>
        <v/>
      </c>
    </row>
    <row r="910">
      <c r="A910" s="54" t="n"/>
      <c r="B910" s="61" t="n"/>
      <c r="C910" s="62" t="n"/>
      <c r="D910" s="57" t="n"/>
      <c r="E910" s="57" t="n"/>
      <c r="F910" s="58" t="n"/>
      <c r="G910" s="66">
        <f>IF(tblFleet[[#This Row],[Units]]="","",tblFleet[[#This Row],[Units]]*24)</f>
        <v/>
      </c>
      <c r="H910" s="66">
        <f>IF(tblFleet[[#This Row],[Units]]="","",tblFleet[[#This Row],[Calendar_h]]-tblFleet[[#This Row],[Down_h]])</f>
        <v/>
      </c>
      <c r="I910" s="60">
        <f>IF(AND(tblFleet[[#This Row],[Units]]&lt;&gt;"",tblFleet[[#This Row],[Calendar_h]]&gt;0),tblFleet[[#This Row],[Available_h]]/tblFleet[[#This Row],[Calendar_h]],"")</f>
        <v/>
      </c>
      <c r="J910" s="60">
        <f>IF(AND(tblFleet[[#This Row],[Units]]&lt;&gt;"",tblFleet[[#This Row],[Available_h]]&gt;0),tblFleet[[#This Row],[Operating_h]]/tblFleet[[#This Row],[Available_h]],"")</f>
        <v/>
      </c>
    </row>
    <row r="911">
      <c r="A911" s="54" t="n"/>
      <c r="B911" s="61" t="n"/>
      <c r="C911" s="62" t="n"/>
      <c r="D911" s="57" t="n"/>
      <c r="E911" s="57" t="n"/>
      <c r="F911" s="58" t="n"/>
      <c r="G911" s="66">
        <f>IF(tblFleet[[#This Row],[Units]]="","",tblFleet[[#This Row],[Units]]*24)</f>
        <v/>
      </c>
      <c r="H911" s="66">
        <f>IF(tblFleet[[#This Row],[Units]]="","",tblFleet[[#This Row],[Calendar_h]]-tblFleet[[#This Row],[Down_h]])</f>
        <v/>
      </c>
      <c r="I911" s="60">
        <f>IF(AND(tblFleet[[#This Row],[Units]]&lt;&gt;"",tblFleet[[#This Row],[Calendar_h]]&gt;0),tblFleet[[#This Row],[Available_h]]/tblFleet[[#This Row],[Calendar_h]],"")</f>
        <v/>
      </c>
      <c r="J911" s="60">
        <f>IF(AND(tblFleet[[#This Row],[Units]]&lt;&gt;"",tblFleet[[#This Row],[Available_h]]&gt;0),tblFleet[[#This Row],[Operating_h]]/tblFleet[[#This Row],[Available_h]],"")</f>
        <v/>
      </c>
    </row>
    <row r="912">
      <c r="A912" s="54" t="n"/>
      <c r="B912" s="61" t="n"/>
      <c r="C912" s="62" t="n"/>
      <c r="D912" s="57" t="n"/>
      <c r="E912" s="57" t="n"/>
      <c r="F912" s="58" t="n"/>
      <c r="G912" s="66">
        <f>IF(tblFleet[[#This Row],[Units]]="","",tblFleet[[#This Row],[Units]]*24)</f>
        <v/>
      </c>
      <c r="H912" s="66">
        <f>IF(tblFleet[[#This Row],[Units]]="","",tblFleet[[#This Row],[Calendar_h]]-tblFleet[[#This Row],[Down_h]])</f>
        <v/>
      </c>
      <c r="I912" s="60">
        <f>IF(AND(tblFleet[[#This Row],[Units]]&lt;&gt;"",tblFleet[[#This Row],[Calendar_h]]&gt;0),tblFleet[[#This Row],[Available_h]]/tblFleet[[#This Row],[Calendar_h]],"")</f>
        <v/>
      </c>
      <c r="J912" s="60">
        <f>IF(AND(tblFleet[[#This Row],[Units]]&lt;&gt;"",tblFleet[[#This Row],[Available_h]]&gt;0),tblFleet[[#This Row],[Operating_h]]/tblFleet[[#This Row],[Available_h]],"")</f>
        <v/>
      </c>
    </row>
    <row r="913">
      <c r="A913" s="54" t="n"/>
      <c r="B913" s="61" t="n"/>
      <c r="C913" s="62" t="n"/>
      <c r="D913" s="57" t="n"/>
      <c r="E913" s="57" t="n"/>
      <c r="F913" s="58" t="n"/>
      <c r="G913" s="66">
        <f>IF(tblFleet[[#This Row],[Units]]="","",tblFleet[[#This Row],[Units]]*24)</f>
        <v/>
      </c>
      <c r="H913" s="66">
        <f>IF(tblFleet[[#This Row],[Units]]="","",tblFleet[[#This Row],[Calendar_h]]-tblFleet[[#This Row],[Down_h]])</f>
        <v/>
      </c>
      <c r="I913" s="60">
        <f>IF(AND(tblFleet[[#This Row],[Units]]&lt;&gt;"",tblFleet[[#This Row],[Calendar_h]]&gt;0),tblFleet[[#This Row],[Available_h]]/tblFleet[[#This Row],[Calendar_h]],"")</f>
        <v/>
      </c>
      <c r="J913" s="60">
        <f>IF(AND(tblFleet[[#This Row],[Units]]&lt;&gt;"",tblFleet[[#This Row],[Available_h]]&gt;0),tblFleet[[#This Row],[Operating_h]]/tblFleet[[#This Row],[Available_h]],"")</f>
        <v/>
      </c>
    </row>
    <row r="914">
      <c r="A914" s="54" t="n"/>
      <c r="B914" s="61" t="n"/>
      <c r="C914" s="62" t="n"/>
      <c r="D914" s="57" t="n"/>
      <c r="E914" s="57" t="n"/>
      <c r="F914" s="58" t="n"/>
      <c r="G914" s="66">
        <f>IF(tblFleet[[#This Row],[Units]]="","",tblFleet[[#This Row],[Units]]*24)</f>
        <v/>
      </c>
      <c r="H914" s="66">
        <f>IF(tblFleet[[#This Row],[Units]]="","",tblFleet[[#This Row],[Calendar_h]]-tblFleet[[#This Row],[Down_h]])</f>
        <v/>
      </c>
      <c r="I914" s="60">
        <f>IF(AND(tblFleet[[#This Row],[Units]]&lt;&gt;"",tblFleet[[#This Row],[Calendar_h]]&gt;0),tblFleet[[#This Row],[Available_h]]/tblFleet[[#This Row],[Calendar_h]],"")</f>
        <v/>
      </c>
      <c r="J914" s="60">
        <f>IF(AND(tblFleet[[#This Row],[Units]]&lt;&gt;"",tblFleet[[#This Row],[Available_h]]&gt;0),tblFleet[[#This Row],[Operating_h]]/tblFleet[[#This Row],[Available_h]],"")</f>
        <v/>
      </c>
    </row>
    <row r="915">
      <c r="A915" s="54" t="n"/>
      <c r="B915" s="61" t="n"/>
      <c r="C915" s="62" t="n"/>
      <c r="D915" s="57" t="n"/>
      <c r="E915" s="57" t="n"/>
      <c r="F915" s="58" t="n"/>
      <c r="G915" s="66">
        <f>IF(tblFleet[[#This Row],[Units]]="","",tblFleet[[#This Row],[Units]]*24)</f>
        <v/>
      </c>
      <c r="H915" s="66">
        <f>IF(tblFleet[[#This Row],[Units]]="","",tblFleet[[#This Row],[Calendar_h]]-tblFleet[[#This Row],[Down_h]])</f>
        <v/>
      </c>
      <c r="I915" s="60">
        <f>IF(AND(tblFleet[[#This Row],[Units]]&lt;&gt;"",tblFleet[[#This Row],[Calendar_h]]&gt;0),tblFleet[[#This Row],[Available_h]]/tblFleet[[#This Row],[Calendar_h]],"")</f>
        <v/>
      </c>
      <c r="J915" s="60">
        <f>IF(AND(tblFleet[[#This Row],[Units]]&lt;&gt;"",tblFleet[[#This Row],[Available_h]]&gt;0),tblFleet[[#This Row],[Operating_h]]/tblFleet[[#This Row],[Available_h]],"")</f>
        <v/>
      </c>
    </row>
    <row r="916">
      <c r="A916" s="54" t="n"/>
      <c r="B916" s="61" t="n"/>
      <c r="C916" s="62" t="n"/>
      <c r="D916" s="57" t="n"/>
      <c r="E916" s="57" t="n"/>
      <c r="F916" s="58" t="n"/>
      <c r="G916" s="66">
        <f>IF(tblFleet[[#This Row],[Units]]="","",tblFleet[[#This Row],[Units]]*24)</f>
        <v/>
      </c>
      <c r="H916" s="66">
        <f>IF(tblFleet[[#This Row],[Units]]="","",tblFleet[[#This Row],[Calendar_h]]-tblFleet[[#This Row],[Down_h]])</f>
        <v/>
      </c>
      <c r="I916" s="60">
        <f>IF(AND(tblFleet[[#This Row],[Units]]&lt;&gt;"",tblFleet[[#This Row],[Calendar_h]]&gt;0),tblFleet[[#This Row],[Available_h]]/tblFleet[[#This Row],[Calendar_h]],"")</f>
        <v/>
      </c>
      <c r="J916" s="60">
        <f>IF(AND(tblFleet[[#This Row],[Units]]&lt;&gt;"",tblFleet[[#This Row],[Available_h]]&gt;0),tblFleet[[#This Row],[Operating_h]]/tblFleet[[#This Row],[Available_h]],"")</f>
        <v/>
      </c>
    </row>
    <row r="917">
      <c r="A917" s="54" t="n"/>
      <c r="B917" s="61" t="n"/>
      <c r="C917" s="62" t="n"/>
      <c r="D917" s="57" t="n"/>
      <c r="E917" s="57" t="n"/>
      <c r="F917" s="58" t="n"/>
      <c r="G917" s="66">
        <f>IF(tblFleet[[#This Row],[Units]]="","",tblFleet[[#This Row],[Units]]*24)</f>
        <v/>
      </c>
      <c r="H917" s="66">
        <f>IF(tblFleet[[#This Row],[Units]]="","",tblFleet[[#This Row],[Calendar_h]]-tblFleet[[#This Row],[Down_h]])</f>
        <v/>
      </c>
      <c r="I917" s="60">
        <f>IF(AND(tblFleet[[#This Row],[Units]]&lt;&gt;"",tblFleet[[#This Row],[Calendar_h]]&gt;0),tblFleet[[#This Row],[Available_h]]/tblFleet[[#This Row],[Calendar_h]],"")</f>
        <v/>
      </c>
      <c r="J917" s="60">
        <f>IF(AND(tblFleet[[#This Row],[Units]]&lt;&gt;"",tblFleet[[#This Row],[Available_h]]&gt;0),tblFleet[[#This Row],[Operating_h]]/tblFleet[[#This Row],[Available_h]],"")</f>
        <v/>
      </c>
    </row>
    <row r="918">
      <c r="A918" s="54" t="n"/>
      <c r="B918" s="61" t="n"/>
      <c r="C918" s="62" t="n"/>
      <c r="D918" s="57" t="n"/>
      <c r="E918" s="57" t="n"/>
      <c r="F918" s="58" t="n"/>
      <c r="G918" s="66">
        <f>IF(tblFleet[[#This Row],[Units]]="","",tblFleet[[#This Row],[Units]]*24)</f>
        <v/>
      </c>
      <c r="H918" s="66">
        <f>IF(tblFleet[[#This Row],[Units]]="","",tblFleet[[#This Row],[Calendar_h]]-tblFleet[[#This Row],[Down_h]])</f>
        <v/>
      </c>
      <c r="I918" s="60">
        <f>IF(AND(tblFleet[[#This Row],[Units]]&lt;&gt;"",tblFleet[[#This Row],[Calendar_h]]&gt;0),tblFleet[[#This Row],[Available_h]]/tblFleet[[#This Row],[Calendar_h]],"")</f>
        <v/>
      </c>
      <c r="J918" s="60">
        <f>IF(AND(tblFleet[[#This Row],[Units]]&lt;&gt;"",tblFleet[[#This Row],[Available_h]]&gt;0),tblFleet[[#This Row],[Operating_h]]/tblFleet[[#This Row],[Available_h]],"")</f>
        <v/>
      </c>
    </row>
    <row r="919">
      <c r="A919" s="54" t="n"/>
      <c r="B919" s="61" t="n"/>
      <c r="C919" s="62" t="n"/>
      <c r="D919" s="57" t="n"/>
      <c r="E919" s="57" t="n"/>
      <c r="F919" s="58" t="n"/>
      <c r="G919" s="66">
        <f>IF(tblFleet[[#This Row],[Units]]="","",tblFleet[[#This Row],[Units]]*24)</f>
        <v/>
      </c>
      <c r="H919" s="66">
        <f>IF(tblFleet[[#This Row],[Units]]="","",tblFleet[[#This Row],[Calendar_h]]-tblFleet[[#This Row],[Down_h]])</f>
        <v/>
      </c>
      <c r="I919" s="60">
        <f>IF(AND(tblFleet[[#This Row],[Units]]&lt;&gt;"",tblFleet[[#This Row],[Calendar_h]]&gt;0),tblFleet[[#This Row],[Available_h]]/tblFleet[[#This Row],[Calendar_h]],"")</f>
        <v/>
      </c>
      <c r="J919" s="60">
        <f>IF(AND(tblFleet[[#This Row],[Units]]&lt;&gt;"",tblFleet[[#This Row],[Available_h]]&gt;0),tblFleet[[#This Row],[Operating_h]]/tblFleet[[#This Row],[Available_h]],"")</f>
        <v/>
      </c>
    </row>
    <row r="920">
      <c r="A920" s="54" t="n"/>
      <c r="B920" s="61" t="n"/>
      <c r="C920" s="62" t="n"/>
      <c r="D920" s="57" t="n"/>
      <c r="E920" s="57" t="n"/>
      <c r="F920" s="58" t="n"/>
      <c r="G920" s="66">
        <f>IF(tblFleet[[#This Row],[Units]]="","",tblFleet[[#This Row],[Units]]*24)</f>
        <v/>
      </c>
      <c r="H920" s="66">
        <f>IF(tblFleet[[#This Row],[Units]]="","",tblFleet[[#This Row],[Calendar_h]]-tblFleet[[#This Row],[Down_h]])</f>
        <v/>
      </c>
      <c r="I920" s="60">
        <f>IF(AND(tblFleet[[#This Row],[Units]]&lt;&gt;"",tblFleet[[#This Row],[Calendar_h]]&gt;0),tblFleet[[#This Row],[Available_h]]/tblFleet[[#This Row],[Calendar_h]],"")</f>
        <v/>
      </c>
      <c r="J920" s="60">
        <f>IF(AND(tblFleet[[#This Row],[Units]]&lt;&gt;"",tblFleet[[#This Row],[Available_h]]&gt;0),tblFleet[[#This Row],[Operating_h]]/tblFleet[[#This Row],[Available_h]],"")</f>
        <v/>
      </c>
    </row>
    <row r="921">
      <c r="A921" s="54" t="n"/>
      <c r="B921" s="61" t="n"/>
      <c r="C921" s="62" t="n"/>
      <c r="D921" s="57" t="n"/>
      <c r="E921" s="57" t="n"/>
      <c r="F921" s="58" t="n"/>
      <c r="G921" s="66">
        <f>IF(tblFleet[[#This Row],[Units]]="","",tblFleet[[#This Row],[Units]]*24)</f>
        <v/>
      </c>
      <c r="H921" s="66">
        <f>IF(tblFleet[[#This Row],[Units]]="","",tblFleet[[#This Row],[Calendar_h]]-tblFleet[[#This Row],[Down_h]])</f>
        <v/>
      </c>
      <c r="I921" s="60">
        <f>IF(AND(tblFleet[[#This Row],[Units]]&lt;&gt;"",tblFleet[[#This Row],[Calendar_h]]&gt;0),tblFleet[[#This Row],[Available_h]]/tblFleet[[#This Row],[Calendar_h]],"")</f>
        <v/>
      </c>
      <c r="J921" s="60">
        <f>IF(AND(tblFleet[[#This Row],[Units]]&lt;&gt;"",tblFleet[[#This Row],[Available_h]]&gt;0),tblFleet[[#This Row],[Operating_h]]/tblFleet[[#This Row],[Available_h]],"")</f>
        <v/>
      </c>
    </row>
    <row r="922">
      <c r="A922" s="54" t="n"/>
      <c r="B922" s="61" t="n"/>
      <c r="C922" s="62" t="n"/>
      <c r="D922" s="57" t="n"/>
      <c r="E922" s="57" t="n"/>
      <c r="F922" s="58" t="n"/>
      <c r="G922" s="66">
        <f>IF(tblFleet[[#This Row],[Units]]="","",tblFleet[[#This Row],[Units]]*24)</f>
        <v/>
      </c>
      <c r="H922" s="66">
        <f>IF(tblFleet[[#This Row],[Units]]="","",tblFleet[[#This Row],[Calendar_h]]-tblFleet[[#This Row],[Down_h]])</f>
        <v/>
      </c>
      <c r="I922" s="60">
        <f>IF(AND(tblFleet[[#This Row],[Units]]&lt;&gt;"",tblFleet[[#This Row],[Calendar_h]]&gt;0),tblFleet[[#This Row],[Available_h]]/tblFleet[[#This Row],[Calendar_h]],"")</f>
        <v/>
      </c>
      <c r="J922" s="60">
        <f>IF(AND(tblFleet[[#This Row],[Units]]&lt;&gt;"",tblFleet[[#This Row],[Available_h]]&gt;0),tblFleet[[#This Row],[Operating_h]]/tblFleet[[#This Row],[Available_h]],"")</f>
        <v/>
      </c>
    </row>
    <row r="923">
      <c r="A923" s="54" t="n"/>
      <c r="B923" s="61" t="n"/>
      <c r="C923" s="62" t="n"/>
      <c r="D923" s="57" t="n"/>
      <c r="E923" s="57" t="n"/>
      <c r="F923" s="58" t="n"/>
      <c r="G923" s="66">
        <f>IF(tblFleet[[#This Row],[Units]]="","",tblFleet[[#This Row],[Units]]*24)</f>
        <v/>
      </c>
      <c r="H923" s="66">
        <f>IF(tblFleet[[#This Row],[Units]]="","",tblFleet[[#This Row],[Calendar_h]]-tblFleet[[#This Row],[Down_h]])</f>
        <v/>
      </c>
      <c r="I923" s="60">
        <f>IF(AND(tblFleet[[#This Row],[Units]]&lt;&gt;"",tblFleet[[#This Row],[Calendar_h]]&gt;0),tblFleet[[#This Row],[Available_h]]/tblFleet[[#This Row],[Calendar_h]],"")</f>
        <v/>
      </c>
      <c r="J923" s="60">
        <f>IF(AND(tblFleet[[#This Row],[Units]]&lt;&gt;"",tblFleet[[#This Row],[Available_h]]&gt;0),tblFleet[[#This Row],[Operating_h]]/tblFleet[[#This Row],[Available_h]],"")</f>
        <v/>
      </c>
    </row>
    <row r="924">
      <c r="A924" s="54" t="n"/>
      <c r="B924" s="61" t="n"/>
      <c r="C924" s="62" t="n"/>
      <c r="D924" s="57" t="n"/>
      <c r="E924" s="57" t="n"/>
      <c r="F924" s="58" t="n"/>
      <c r="G924" s="66">
        <f>IF(tblFleet[[#This Row],[Units]]="","",tblFleet[[#This Row],[Units]]*24)</f>
        <v/>
      </c>
      <c r="H924" s="66">
        <f>IF(tblFleet[[#This Row],[Units]]="","",tblFleet[[#This Row],[Calendar_h]]-tblFleet[[#This Row],[Down_h]])</f>
        <v/>
      </c>
      <c r="I924" s="60">
        <f>IF(AND(tblFleet[[#This Row],[Units]]&lt;&gt;"",tblFleet[[#This Row],[Calendar_h]]&gt;0),tblFleet[[#This Row],[Available_h]]/tblFleet[[#This Row],[Calendar_h]],"")</f>
        <v/>
      </c>
      <c r="J924" s="60">
        <f>IF(AND(tblFleet[[#This Row],[Units]]&lt;&gt;"",tblFleet[[#This Row],[Available_h]]&gt;0),tblFleet[[#This Row],[Operating_h]]/tblFleet[[#This Row],[Available_h]],"")</f>
        <v/>
      </c>
    </row>
    <row r="925">
      <c r="A925" s="54" t="n"/>
      <c r="B925" s="61" t="n"/>
      <c r="C925" s="62" t="n"/>
      <c r="D925" s="57" t="n"/>
      <c r="E925" s="57" t="n"/>
      <c r="F925" s="58" t="n"/>
      <c r="G925" s="66">
        <f>IF(tblFleet[[#This Row],[Units]]="","",tblFleet[[#This Row],[Units]]*24)</f>
        <v/>
      </c>
      <c r="H925" s="66">
        <f>IF(tblFleet[[#This Row],[Units]]="","",tblFleet[[#This Row],[Calendar_h]]-tblFleet[[#This Row],[Down_h]])</f>
        <v/>
      </c>
      <c r="I925" s="60">
        <f>IF(AND(tblFleet[[#This Row],[Units]]&lt;&gt;"",tblFleet[[#This Row],[Calendar_h]]&gt;0),tblFleet[[#This Row],[Available_h]]/tblFleet[[#This Row],[Calendar_h]],"")</f>
        <v/>
      </c>
      <c r="J925" s="60">
        <f>IF(AND(tblFleet[[#This Row],[Units]]&lt;&gt;"",tblFleet[[#This Row],[Available_h]]&gt;0),tblFleet[[#This Row],[Operating_h]]/tblFleet[[#This Row],[Available_h]],"")</f>
        <v/>
      </c>
    </row>
    <row r="926">
      <c r="A926" s="54" t="n"/>
      <c r="B926" s="61" t="n"/>
      <c r="C926" s="62" t="n"/>
      <c r="D926" s="57" t="n"/>
      <c r="E926" s="57" t="n"/>
      <c r="F926" s="58" t="n"/>
      <c r="G926" s="66">
        <f>IF(tblFleet[[#This Row],[Units]]="","",tblFleet[[#This Row],[Units]]*24)</f>
        <v/>
      </c>
      <c r="H926" s="66">
        <f>IF(tblFleet[[#This Row],[Units]]="","",tblFleet[[#This Row],[Calendar_h]]-tblFleet[[#This Row],[Down_h]])</f>
        <v/>
      </c>
      <c r="I926" s="60">
        <f>IF(AND(tblFleet[[#This Row],[Units]]&lt;&gt;"",tblFleet[[#This Row],[Calendar_h]]&gt;0),tblFleet[[#This Row],[Available_h]]/tblFleet[[#This Row],[Calendar_h]],"")</f>
        <v/>
      </c>
      <c r="J926" s="60">
        <f>IF(AND(tblFleet[[#This Row],[Units]]&lt;&gt;"",tblFleet[[#This Row],[Available_h]]&gt;0),tblFleet[[#This Row],[Operating_h]]/tblFleet[[#This Row],[Available_h]],"")</f>
        <v/>
      </c>
    </row>
    <row r="927">
      <c r="A927" s="54" t="n"/>
      <c r="B927" s="61" t="n"/>
      <c r="C927" s="62" t="n"/>
      <c r="D927" s="57" t="n"/>
      <c r="E927" s="57" t="n"/>
      <c r="F927" s="58" t="n"/>
      <c r="G927" s="66">
        <f>IF(tblFleet[[#This Row],[Units]]="","",tblFleet[[#This Row],[Units]]*24)</f>
        <v/>
      </c>
      <c r="H927" s="66">
        <f>IF(tblFleet[[#This Row],[Units]]="","",tblFleet[[#This Row],[Calendar_h]]-tblFleet[[#This Row],[Down_h]])</f>
        <v/>
      </c>
      <c r="I927" s="60">
        <f>IF(AND(tblFleet[[#This Row],[Units]]&lt;&gt;"",tblFleet[[#This Row],[Calendar_h]]&gt;0),tblFleet[[#This Row],[Available_h]]/tblFleet[[#This Row],[Calendar_h]],"")</f>
        <v/>
      </c>
      <c r="J927" s="60">
        <f>IF(AND(tblFleet[[#This Row],[Units]]&lt;&gt;"",tblFleet[[#This Row],[Available_h]]&gt;0),tblFleet[[#This Row],[Operating_h]]/tblFleet[[#This Row],[Available_h]],"")</f>
        <v/>
      </c>
    </row>
    <row r="928">
      <c r="A928" s="54" t="n"/>
      <c r="B928" s="61" t="n"/>
      <c r="C928" s="62" t="n"/>
      <c r="D928" s="57" t="n"/>
      <c r="E928" s="57" t="n"/>
      <c r="F928" s="58" t="n"/>
      <c r="G928" s="66">
        <f>IF(tblFleet[[#This Row],[Units]]="","",tblFleet[[#This Row],[Units]]*24)</f>
        <v/>
      </c>
      <c r="H928" s="66">
        <f>IF(tblFleet[[#This Row],[Units]]="","",tblFleet[[#This Row],[Calendar_h]]-tblFleet[[#This Row],[Down_h]])</f>
        <v/>
      </c>
      <c r="I928" s="60">
        <f>IF(AND(tblFleet[[#This Row],[Units]]&lt;&gt;"",tblFleet[[#This Row],[Calendar_h]]&gt;0),tblFleet[[#This Row],[Available_h]]/tblFleet[[#This Row],[Calendar_h]],"")</f>
        <v/>
      </c>
      <c r="J928" s="60">
        <f>IF(AND(tblFleet[[#This Row],[Units]]&lt;&gt;"",tblFleet[[#This Row],[Available_h]]&gt;0),tblFleet[[#This Row],[Operating_h]]/tblFleet[[#This Row],[Available_h]],"")</f>
        <v/>
      </c>
    </row>
    <row r="929">
      <c r="A929" s="54" t="n"/>
      <c r="B929" s="61" t="n"/>
      <c r="C929" s="62" t="n"/>
      <c r="D929" s="57" t="n"/>
      <c r="E929" s="57" t="n"/>
      <c r="F929" s="58" t="n"/>
      <c r="G929" s="66">
        <f>IF(tblFleet[[#This Row],[Units]]="","",tblFleet[[#This Row],[Units]]*24)</f>
        <v/>
      </c>
      <c r="H929" s="66">
        <f>IF(tblFleet[[#This Row],[Units]]="","",tblFleet[[#This Row],[Calendar_h]]-tblFleet[[#This Row],[Down_h]])</f>
        <v/>
      </c>
      <c r="I929" s="60">
        <f>IF(AND(tblFleet[[#This Row],[Units]]&lt;&gt;"",tblFleet[[#This Row],[Calendar_h]]&gt;0),tblFleet[[#This Row],[Available_h]]/tblFleet[[#This Row],[Calendar_h]],"")</f>
        <v/>
      </c>
      <c r="J929" s="60">
        <f>IF(AND(tblFleet[[#This Row],[Units]]&lt;&gt;"",tblFleet[[#This Row],[Available_h]]&gt;0),tblFleet[[#This Row],[Operating_h]]/tblFleet[[#This Row],[Available_h]],"")</f>
        <v/>
      </c>
    </row>
    <row r="930">
      <c r="A930" s="54" t="n"/>
      <c r="B930" s="61" t="n"/>
      <c r="C930" s="62" t="n"/>
      <c r="D930" s="57" t="n"/>
      <c r="E930" s="57" t="n"/>
      <c r="F930" s="58" t="n"/>
      <c r="G930" s="66">
        <f>IF(tblFleet[[#This Row],[Units]]="","",tblFleet[[#This Row],[Units]]*24)</f>
        <v/>
      </c>
      <c r="H930" s="66">
        <f>IF(tblFleet[[#This Row],[Units]]="","",tblFleet[[#This Row],[Calendar_h]]-tblFleet[[#This Row],[Down_h]])</f>
        <v/>
      </c>
      <c r="I930" s="60">
        <f>IF(AND(tblFleet[[#This Row],[Units]]&lt;&gt;"",tblFleet[[#This Row],[Calendar_h]]&gt;0),tblFleet[[#This Row],[Available_h]]/tblFleet[[#This Row],[Calendar_h]],"")</f>
        <v/>
      </c>
      <c r="J930" s="60">
        <f>IF(AND(tblFleet[[#This Row],[Units]]&lt;&gt;"",tblFleet[[#This Row],[Available_h]]&gt;0),tblFleet[[#This Row],[Operating_h]]/tblFleet[[#This Row],[Available_h]],"")</f>
        <v/>
      </c>
    </row>
    <row r="931">
      <c r="A931" s="54" t="n"/>
      <c r="B931" s="61" t="n"/>
      <c r="C931" s="62" t="n"/>
      <c r="D931" s="57" t="n"/>
      <c r="E931" s="57" t="n"/>
      <c r="F931" s="58" t="n"/>
      <c r="G931" s="66">
        <f>IF(tblFleet[[#This Row],[Units]]="","",tblFleet[[#This Row],[Units]]*24)</f>
        <v/>
      </c>
      <c r="H931" s="66">
        <f>IF(tblFleet[[#This Row],[Units]]="","",tblFleet[[#This Row],[Calendar_h]]-tblFleet[[#This Row],[Down_h]])</f>
        <v/>
      </c>
      <c r="I931" s="60">
        <f>IF(AND(tblFleet[[#This Row],[Units]]&lt;&gt;"",tblFleet[[#This Row],[Calendar_h]]&gt;0),tblFleet[[#This Row],[Available_h]]/tblFleet[[#This Row],[Calendar_h]],"")</f>
        <v/>
      </c>
      <c r="J931" s="60">
        <f>IF(AND(tblFleet[[#This Row],[Units]]&lt;&gt;"",tblFleet[[#This Row],[Available_h]]&gt;0),tblFleet[[#This Row],[Operating_h]]/tblFleet[[#This Row],[Available_h]],"")</f>
        <v/>
      </c>
    </row>
    <row r="932">
      <c r="A932" s="54" t="n"/>
      <c r="B932" s="61" t="n"/>
      <c r="C932" s="62" t="n"/>
      <c r="D932" s="57" t="n"/>
      <c r="E932" s="57" t="n"/>
      <c r="F932" s="58" t="n"/>
      <c r="G932" s="66">
        <f>IF(tblFleet[[#This Row],[Units]]="","",tblFleet[[#This Row],[Units]]*24)</f>
        <v/>
      </c>
      <c r="H932" s="66">
        <f>IF(tblFleet[[#This Row],[Units]]="","",tblFleet[[#This Row],[Calendar_h]]-tblFleet[[#This Row],[Down_h]])</f>
        <v/>
      </c>
      <c r="I932" s="60">
        <f>IF(AND(tblFleet[[#This Row],[Units]]&lt;&gt;"",tblFleet[[#This Row],[Calendar_h]]&gt;0),tblFleet[[#This Row],[Available_h]]/tblFleet[[#This Row],[Calendar_h]],"")</f>
        <v/>
      </c>
      <c r="J932" s="60">
        <f>IF(AND(tblFleet[[#This Row],[Units]]&lt;&gt;"",tblFleet[[#This Row],[Available_h]]&gt;0),tblFleet[[#This Row],[Operating_h]]/tblFleet[[#This Row],[Available_h]],"")</f>
        <v/>
      </c>
    </row>
    <row r="933">
      <c r="A933" s="54" t="n"/>
      <c r="B933" s="61" t="n"/>
      <c r="C933" s="62" t="n"/>
      <c r="D933" s="57" t="n"/>
      <c r="E933" s="57" t="n"/>
      <c r="F933" s="58" t="n"/>
      <c r="G933" s="66">
        <f>IF(tblFleet[[#This Row],[Units]]="","",tblFleet[[#This Row],[Units]]*24)</f>
        <v/>
      </c>
      <c r="H933" s="66">
        <f>IF(tblFleet[[#This Row],[Units]]="","",tblFleet[[#This Row],[Calendar_h]]-tblFleet[[#This Row],[Down_h]])</f>
        <v/>
      </c>
      <c r="I933" s="60">
        <f>IF(AND(tblFleet[[#This Row],[Units]]&lt;&gt;"",tblFleet[[#This Row],[Calendar_h]]&gt;0),tblFleet[[#This Row],[Available_h]]/tblFleet[[#This Row],[Calendar_h]],"")</f>
        <v/>
      </c>
      <c r="J933" s="60">
        <f>IF(AND(tblFleet[[#This Row],[Units]]&lt;&gt;"",tblFleet[[#This Row],[Available_h]]&gt;0),tblFleet[[#This Row],[Operating_h]]/tblFleet[[#This Row],[Available_h]],"")</f>
        <v/>
      </c>
    </row>
    <row r="934">
      <c r="A934" s="54" t="n"/>
      <c r="B934" s="61" t="n"/>
      <c r="C934" s="62" t="n"/>
      <c r="D934" s="57" t="n"/>
      <c r="E934" s="57" t="n"/>
      <c r="F934" s="58" t="n"/>
      <c r="G934" s="66">
        <f>IF(tblFleet[[#This Row],[Units]]="","",tblFleet[[#This Row],[Units]]*24)</f>
        <v/>
      </c>
      <c r="H934" s="66">
        <f>IF(tblFleet[[#This Row],[Units]]="","",tblFleet[[#This Row],[Calendar_h]]-tblFleet[[#This Row],[Down_h]])</f>
        <v/>
      </c>
      <c r="I934" s="60">
        <f>IF(AND(tblFleet[[#This Row],[Units]]&lt;&gt;"",tblFleet[[#This Row],[Calendar_h]]&gt;0),tblFleet[[#This Row],[Available_h]]/tblFleet[[#This Row],[Calendar_h]],"")</f>
        <v/>
      </c>
      <c r="J934" s="60">
        <f>IF(AND(tblFleet[[#This Row],[Units]]&lt;&gt;"",tblFleet[[#This Row],[Available_h]]&gt;0),tblFleet[[#This Row],[Operating_h]]/tblFleet[[#This Row],[Available_h]],"")</f>
        <v/>
      </c>
    </row>
    <row r="935">
      <c r="A935" s="54" t="n"/>
      <c r="B935" s="61" t="n"/>
      <c r="C935" s="62" t="n"/>
      <c r="D935" s="57" t="n"/>
      <c r="E935" s="57" t="n"/>
      <c r="F935" s="58" t="n"/>
      <c r="G935" s="66">
        <f>IF(tblFleet[[#This Row],[Units]]="","",tblFleet[[#This Row],[Units]]*24)</f>
        <v/>
      </c>
      <c r="H935" s="66">
        <f>IF(tblFleet[[#This Row],[Units]]="","",tblFleet[[#This Row],[Calendar_h]]-tblFleet[[#This Row],[Down_h]])</f>
        <v/>
      </c>
      <c r="I935" s="60">
        <f>IF(AND(tblFleet[[#This Row],[Units]]&lt;&gt;"",tblFleet[[#This Row],[Calendar_h]]&gt;0),tblFleet[[#This Row],[Available_h]]/tblFleet[[#This Row],[Calendar_h]],"")</f>
        <v/>
      </c>
      <c r="J935" s="60">
        <f>IF(AND(tblFleet[[#This Row],[Units]]&lt;&gt;"",tblFleet[[#This Row],[Available_h]]&gt;0),tblFleet[[#This Row],[Operating_h]]/tblFleet[[#This Row],[Available_h]],"")</f>
        <v/>
      </c>
    </row>
    <row r="936">
      <c r="A936" s="54" t="n"/>
      <c r="B936" s="61" t="n"/>
      <c r="C936" s="62" t="n"/>
      <c r="D936" s="57" t="n"/>
      <c r="E936" s="57" t="n"/>
      <c r="F936" s="58" t="n"/>
      <c r="G936" s="66">
        <f>IF(tblFleet[[#This Row],[Units]]="","",tblFleet[[#This Row],[Units]]*24)</f>
        <v/>
      </c>
      <c r="H936" s="66">
        <f>IF(tblFleet[[#This Row],[Units]]="","",tblFleet[[#This Row],[Calendar_h]]-tblFleet[[#This Row],[Down_h]])</f>
        <v/>
      </c>
      <c r="I936" s="60">
        <f>IF(AND(tblFleet[[#This Row],[Units]]&lt;&gt;"",tblFleet[[#This Row],[Calendar_h]]&gt;0),tblFleet[[#This Row],[Available_h]]/tblFleet[[#This Row],[Calendar_h]],"")</f>
        <v/>
      </c>
      <c r="J936" s="60">
        <f>IF(AND(tblFleet[[#This Row],[Units]]&lt;&gt;"",tblFleet[[#This Row],[Available_h]]&gt;0),tblFleet[[#This Row],[Operating_h]]/tblFleet[[#This Row],[Available_h]],"")</f>
        <v/>
      </c>
    </row>
    <row r="937">
      <c r="A937" s="54" t="n"/>
      <c r="B937" s="61" t="n"/>
      <c r="C937" s="62" t="n"/>
      <c r="D937" s="57" t="n"/>
      <c r="E937" s="57" t="n"/>
      <c r="F937" s="58" t="n"/>
      <c r="G937" s="66">
        <f>IF(tblFleet[[#This Row],[Units]]="","",tblFleet[[#This Row],[Units]]*24)</f>
        <v/>
      </c>
      <c r="H937" s="66">
        <f>IF(tblFleet[[#This Row],[Units]]="","",tblFleet[[#This Row],[Calendar_h]]-tblFleet[[#This Row],[Down_h]])</f>
        <v/>
      </c>
      <c r="I937" s="60">
        <f>IF(AND(tblFleet[[#This Row],[Units]]&lt;&gt;"",tblFleet[[#This Row],[Calendar_h]]&gt;0),tblFleet[[#This Row],[Available_h]]/tblFleet[[#This Row],[Calendar_h]],"")</f>
        <v/>
      </c>
      <c r="J937" s="60">
        <f>IF(AND(tblFleet[[#This Row],[Units]]&lt;&gt;"",tblFleet[[#This Row],[Available_h]]&gt;0),tblFleet[[#This Row],[Operating_h]]/tblFleet[[#This Row],[Available_h]],"")</f>
        <v/>
      </c>
    </row>
    <row r="938">
      <c r="A938" s="54" t="n"/>
      <c r="B938" s="61" t="n"/>
      <c r="C938" s="62" t="n"/>
      <c r="D938" s="57" t="n"/>
      <c r="E938" s="57" t="n"/>
      <c r="F938" s="58" t="n"/>
      <c r="G938" s="66">
        <f>IF(tblFleet[[#This Row],[Units]]="","",tblFleet[[#This Row],[Units]]*24)</f>
        <v/>
      </c>
      <c r="H938" s="66">
        <f>IF(tblFleet[[#This Row],[Units]]="","",tblFleet[[#This Row],[Calendar_h]]-tblFleet[[#This Row],[Down_h]])</f>
        <v/>
      </c>
      <c r="I938" s="60">
        <f>IF(AND(tblFleet[[#This Row],[Units]]&lt;&gt;"",tblFleet[[#This Row],[Calendar_h]]&gt;0),tblFleet[[#This Row],[Available_h]]/tblFleet[[#This Row],[Calendar_h]],"")</f>
        <v/>
      </c>
      <c r="J938" s="60">
        <f>IF(AND(tblFleet[[#This Row],[Units]]&lt;&gt;"",tblFleet[[#This Row],[Available_h]]&gt;0),tblFleet[[#This Row],[Operating_h]]/tblFleet[[#This Row],[Available_h]],"")</f>
        <v/>
      </c>
    </row>
    <row r="939">
      <c r="A939" s="54" t="n"/>
      <c r="B939" s="61" t="n"/>
      <c r="C939" s="62" t="n"/>
      <c r="D939" s="57" t="n"/>
      <c r="E939" s="57" t="n"/>
      <c r="F939" s="58" t="n"/>
      <c r="G939" s="66">
        <f>IF(tblFleet[[#This Row],[Units]]="","",tblFleet[[#This Row],[Units]]*24)</f>
        <v/>
      </c>
      <c r="H939" s="66">
        <f>IF(tblFleet[[#This Row],[Units]]="","",tblFleet[[#This Row],[Calendar_h]]-tblFleet[[#This Row],[Down_h]])</f>
        <v/>
      </c>
      <c r="I939" s="60">
        <f>IF(AND(tblFleet[[#This Row],[Units]]&lt;&gt;"",tblFleet[[#This Row],[Calendar_h]]&gt;0),tblFleet[[#This Row],[Available_h]]/tblFleet[[#This Row],[Calendar_h]],"")</f>
        <v/>
      </c>
      <c r="J939" s="60">
        <f>IF(AND(tblFleet[[#This Row],[Units]]&lt;&gt;"",tblFleet[[#This Row],[Available_h]]&gt;0),tblFleet[[#This Row],[Operating_h]]/tblFleet[[#This Row],[Available_h]],"")</f>
        <v/>
      </c>
    </row>
    <row r="940">
      <c r="A940" s="54" t="n"/>
      <c r="B940" s="61" t="n"/>
      <c r="C940" s="62" t="n"/>
      <c r="D940" s="57" t="n"/>
      <c r="E940" s="57" t="n"/>
      <c r="F940" s="58" t="n"/>
      <c r="G940" s="66">
        <f>IF(tblFleet[[#This Row],[Units]]="","",tblFleet[[#This Row],[Units]]*24)</f>
        <v/>
      </c>
      <c r="H940" s="66">
        <f>IF(tblFleet[[#This Row],[Units]]="","",tblFleet[[#This Row],[Calendar_h]]-tblFleet[[#This Row],[Down_h]])</f>
        <v/>
      </c>
      <c r="I940" s="60">
        <f>IF(AND(tblFleet[[#This Row],[Units]]&lt;&gt;"",tblFleet[[#This Row],[Calendar_h]]&gt;0),tblFleet[[#This Row],[Available_h]]/tblFleet[[#This Row],[Calendar_h]],"")</f>
        <v/>
      </c>
      <c r="J940" s="60">
        <f>IF(AND(tblFleet[[#This Row],[Units]]&lt;&gt;"",tblFleet[[#This Row],[Available_h]]&gt;0),tblFleet[[#This Row],[Operating_h]]/tblFleet[[#This Row],[Available_h]],"")</f>
        <v/>
      </c>
    </row>
    <row r="941">
      <c r="A941" s="54" t="n"/>
      <c r="B941" s="61" t="n"/>
      <c r="C941" s="62" t="n"/>
      <c r="D941" s="57" t="n"/>
      <c r="E941" s="57" t="n"/>
      <c r="F941" s="58" t="n"/>
      <c r="G941" s="66">
        <f>IF(tblFleet[[#This Row],[Units]]="","",tblFleet[[#This Row],[Units]]*24)</f>
        <v/>
      </c>
      <c r="H941" s="66">
        <f>IF(tblFleet[[#This Row],[Units]]="","",tblFleet[[#This Row],[Calendar_h]]-tblFleet[[#This Row],[Down_h]])</f>
        <v/>
      </c>
      <c r="I941" s="60">
        <f>IF(AND(tblFleet[[#This Row],[Units]]&lt;&gt;"",tblFleet[[#This Row],[Calendar_h]]&gt;0),tblFleet[[#This Row],[Available_h]]/tblFleet[[#This Row],[Calendar_h]],"")</f>
        <v/>
      </c>
      <c r="J941" s="60">
        <f>IF(AND(tblFleet[[#This Row],[Units]]&lt;&gt;"",tblFleet[[#This Row],[Available_h]]&gt;0),tblFleet[[#This Row],[Operating_h]]/tblFleet[[#This Row],[Available_h]],"")</f>
        <v/>
      </c>
    </row>
    <row r="942">
      <c r="A942" s="54" t="n"/>
      <c r="B942" s="61" t="n"/>
      <c r="C942" s="62" t="n"/>
      <c r="D942" s="57" t="n"/>
      <c r="E942" s="57" t="n"/>
      <c r="F942" s="58" t="n"/>
      <c r="G942" s="66">
        <f>IF(tblFleet[[#This Row],[Units]]="","",tblFleet[[#This Row],[Units]]*24)</f>
        <v/>
      </c>
      <c r="H942" s="66">
        <f>IF(tblFleet[[#This Row],[Units]]="","",tblFleet[[#This Row],[Calendar_h]]-tblFleet[[#This Row],[Down_h]])</f>
        <v/>
      </c>
      <c r="I942" s="60">
        <f>IF(AND(tblFleet[[#This Row],[Units]]&lt;&gt;"",tblFleet[[#This Row],[Calendar_h]]&gt;0),tblFleet[[#This Row],[Available_h]]/tblFleet[[#This Row],[Calendar_h]],"")</f>
        <v/>
      </c>
      <c r="J942" s="60">
        <f>IF(AND(tblFleet[[#This Row],[Units]]&lt;&gt;"",tblFleet[[#This Row],[Available_h]]&gt;0),tblFleet[[#This Row],[Operating_h]]/tblFleet[[#This Row],[Available_h]],"")</f>
        <v/>
      </c>
    </row>
    <row r="943">
      <c r="A943" s="54" t="n"/>
      <c r="B943" s="61" t="n"/>
      <c r="C943" s="62" t="n"/>
      <c r="D943" s="57" t="n"/>
      <c r="E943" s="57" t="n"/>
      <c r="F943" s="58" t="n"/>
      <c r="G943" s="66">
        <f>IF(tblFleet[[#This Row],[Units]]="","",tblFleet[[#This Row],[Units]]*24)</f>
        <v/>
      </c>
      <c r="H943" s="66">
        <f>IF(tblFleet[[#This Row],[Units]]="","",tblFleet[[#This Row],[Calendar_h]]-tblFleet[[#This Row],[Down_h]])</f>
        <v/>
      </c>
      <c r="I943" s="60">
        <f>IF(AND(tblFleet[[#This Row],[Units]]&lt;&gt;"",tblFleet[[#This Row],[Calendar_h]]&gt;0),tblFleet[[#This Row],[Available_h]]/tblFleet[[#This Row],[Calendar_h]],"")</f>
        <v/>
      </c>
      <c r="J943" s="60">
        <f>IF(AND(tblFleet[[#This Row],[Units]]&lt;&gt;"",tblFleet[[#This Row],[Available_h]]&gt;0),tblFleet[[#This Row],[Operating_h]]/tblFleet[[#This Row],[Available_h]],"")</f>
        <v/>
      </c>
    </row>
    <row r="944">
      <c r="A944" s="54" t="n"/>
      <c r="B944" s="61" t="n"/>
      <c r="C944" s="62" t="n"/>
      <c r="D944" s="57" t="n"/>
      <c r="E944" s="57" t="n"/>
      <c r="F944" s="58" t="n"/>
      <c r="G944" s="66">
        <f>IF(tblFleet[[#This Row],[Units]]="","",tblFleet[[#This Row],[Units]]*24)</f>
        <v/>
      </c>
      <c r="H944" s="66">
        <f>IF(tblFleet[[#This Row],[Units]]="","",tblFleet[[#This Row],[Calendar_h]]-tblFleet[[#This Row],[Down_h]])</f>
        <v/>
      </c>
      <c r="I944" s="60">
        <f>IF(AND(tblFleet[[#This Row],[Units]]&lt;&gt;"",tblFleet[[#This Row],[Calendar_h]]&gt;0),tblFleet[[#This Row],[Available_h]]/tblFleet[[#This Row],[Calendar_h]],"")</f>
        <v/>
      </c>
      <c r="J944" s="60">
        <f>IF(AND(tblFleet[[#This Row],[Units]]&lt;&gt;"",tblFleet[[#This Row],[Available_h]]&gt;0),tblFleet[[#This Row],[Operating_h]]/tblFleet[[#This Row],[Available_h]],"")</f>
        <v/>
      </c>
    </row>
    <row r="945">
      <c r="A945" s="54" t="n"/>
      <c r="B945" s="61" t="n"/>
      <c r="C945" s="62" t="n"/>
      <c r="D945" s="57" t="n"/>
      <c r="E945" s="57" t="n"/>
      <c r="F945" s="58" t="n"/>
      <c r="G945" s="66">
        <f>IF(tblFleet[[#This Row],[Units]]="","",tblFleet[[#This Row],[Units]]*24)</f>
        <v/>
      </c>
      <c r="H945" s="66">
        <f>IF(tblFleet[[#This Row],[Units]]="","",tblFleet[[#This Row],[Calendar_h]]-tblFleet[[#This Row],[Down_h]])</f>
        <v/>
      </c>
      <c r="I945" s="60">
        <f>IF(AND(tblFleet[[#This Row],[Units]]&lt;&gt;"",tblFleet[[#This Row],[Calendar_h]]&gt;0),tblFleet[[#This Row],[Available_h]]/tblFleet[[#This Row],[Calendar_h]],"")</f>
        <v/>
      </c>
      <c r="J945" s="60">
        <f>IF(AND(tblFleet[[#This Row],[Units]]&lt;&gt;"",tblFleet[[#This Row],[Available_h]]&gt;0),tblFleet[[#This Row],[Operating_h]]/tblFleet[[#This Row],[Available_h]],"")</f>
        <v/>
      </c>
    </row>
    <row r="946">
      <c r="A946" s="54" t="n"/>
      <c r="B946" s="61" t="n"/>
      <c r="C946" s="62" t="n"/>
      <c r="D946" s="57" t="n"/>
      <c r="E946" s="57" t="n"/>
      <c r="F946" s="58" t="n"/>
      <c r="G946" s="66">
        <f>IF(tblFleet[[#This Row],[Units]]="","",tblFleet[[#This Row],[Units]]*24)</f>
        <v/>
      </c>
      <c r="H946" s="66">
        <f>IF(tblFleet[[#This Row],[Units]]="","",tblFleet[[#This Row],[Calendar_h]]-tblFleet[[#This Row],[Down_h]])</f>
        <v/>
      </c>
      <c r="I946" s="60">
        <f>IF(AND(tblFleet[[#This Row],[Units]]&lt;&gt;"",tblFleet[[#This Row],[Calendar_h]]&gt;0),tblFleet[[#This Row],[Available_h]]/tblFleet[[#This Row],[Calendar_h]],"")</f>
        <v/>
      </c>
      <c r="J946" s="60">
        <f>IF(AND(tblFleet[[#This Row],[Units]]&lt;&gt;"",tblFleet[[#This Row],[Available_h]]&gt;0),tblFleet[[#This Row],[Operating_h]]/tblFleet[[#This Row],[Available_h]],"")</f>
        <v/>
      </c>
    </row>
    <row r="947">
      <c r="A947" s="54" t="n"/>
      <c r="B947" s="61" t="n"/>
      <c r="C947" s="62" t="n"/>
      <c r="D947" s="57" t="n"/>
      <c r="E947" s="57" t="n"/>
      <c r="F947" s="58" t="n"/>
      <c r="G947" s="66">
        <f>IF(tblFleet[[#This Row],[Units]]="","",tblFleet[[#This Row],[Units]]*24)</f>
        <v/>
      </c>
      <c r="H947" s="66">
        <f>IF(tblFleet[[#This Row],[Units]]="","",tblFleet[[#This Row],[Calendar_h]]-tblFleet[[#This Row],[Down_h]])</f>
        <v/>
      </c>
      <c r="I947" s="60">
        <f>IF(AND(tblFleet[[#This Row],[Units]]&lt;&gt;"",tblFleet[[#This Row],[Calendar_h]]&gt;0),tblFleet[[#This Row],[Available_h]]/tblFleet[[#This Row],[Calendar_h]],"")</f>
        <v/>
      </c>
      <c r="J947" s="60">
        <f>IF(AND(tblFleet[[#This Row],[Units]]&lt;&gt;"",tblFleet[[#This Row],[Available_h]]&gt;0),tblFleet[[#This Row],[Operating_h]]/tblFleet[[#This Row],[Available_h]],"")</f>
        <v/>
      </c>
    </row>
    <row r="948">
      <c r="A948" s="54" t="n"/>
      <c r="B948" s="61" t="n"/>
      <c r="C948" s="62" t="n"/>
      <c r="D948" s="57" t="n"/>
      <c r="E948" s="57" t="n"/>
      <c r="F948" s="58" t="n"/>
      <c r="G948" s="66">
        <f>IF(tblFleet[[#This Row],[Units]]="","",tblFleet[[#This Row],[Units]]*24)</f>
        <v/>
      </c>
      <c r="H948" s="66">
        <f>IF(tblFleet[[#This Row],[Units]]="","",tblFleet[[#This Row],[Calendar_h]]-tblFleet[[#This Row],[Down_h]])</f>
        <v/>
      </c>
      <c r="I948" s="60">
        <f>IF(AND(tblFleet[[#This Row],[Units]]&lt;&gt;"",tblFleet[[#This Row],[Calendar_h]]&gt;0),tblFleet[[#This Row],[Available_h]]/tblFleet[[#This Row],[Calendar_h]],"")</f>
        <v/>
      </c>
      <c r="J948" s="60">
        <f>IF(AND(tblFleet[[#This Row],[Units]]&lt;&gt;"",tblFleet[[#This Row],[Available_h]]&gt;0),tblFleet[[#This Row],[Operating_h]]/tblFleet[[#This Row],[Available_h]],"")</f>
        <v/>
      </c>
    </row>
    <row r="949">
      <c r="A949" s="54" t="n"/>
      <c r="B949" s="61" t="n"/>
      <c r="C949" s="62" t="n"/>
      <c r="D949" s="57" t="n"/>
      <c r="E949" s="57" t="n"/>
      <c r="F949" s="58" t="n"/>
      <c r="G949" s="66">
        <f>IF(tblFleet[[#This Row],[Units]]="","",tblFleet[[#This Row],[Units]]*24)</f>
        <v/>
      </c>
      <c r="H949" s="66">
        <f>IF(tblFleet[[#This Row],[Units]]="","",tblFleet[[#This Row],[Calendar_h]]-tblFleet[[#This Row],[Down_h]])</f>
        <v/>
      </c>
      <c r="I949" s="60">
        <f>IF(AND(tblFleet[[#This Row],[Units]]&lt;&gt;"",tblFleet[[#This Row],[Calendar_h]]&gt;0),tblFleet[[#This Row],[Available_h]]/tblFleet[[#This Row],[Calendar_h]],"")</f>
        <v/>
      </c>
      <c r="J949" s="60">
        <f>IF(AND(tblFleet[[#This Row],[Units]]&lt;&gt;"",tblFleet[[#This Row],[Available_h]]&gt;0),tblFleet[[#This Row],[Operating_h]]/tblFleet[[#This Row],[Available_h]],"")</f>
        <v/>
      </c>
    </row>
    <row r="950">
      <c r="A950" s="54" t="n"/>
      <c r="B950" s="61" t="n"/>
      <c r="C950" s="62" t="n"/>
      <c r="D950" s="57" t="n"/>
      <c r="E950" s="57" t="n"/>
      <c r="F950" s="58" t="n"/>
      <c r="G950" s="66">
        <f>IF(tblFleet[[#This Row],[Units]]="","",tblFleet[[#This Row],[Units]]*24)</f>
        <v/>
      </c>
      <c r="H950" s="66">
        <f>IF(tblFleet[[#This Row],[Units]]="","",tblFleet[[#This Row],[Calendar_h]]-tblFleet[[#This Row],[Down_h]])</f>
        <v/>
      </c>
      <c r="I950" s="60">
        <f>IF(AND(tblFleet[[#This Row],[Units]]&lt;&gt;"",tblFleet[[#This Row],[Calendar_h]]&gt;0),tblFleet[[#This Row],[Available_h]]/tblFleet[[#This Row],[Calendar_h]],"")</f>
        <v/>
      </c>
      <c r="J950" s="60">
        <f>IF(AND(tblFleet[[#This Row],[Units]]&lt;&gt;"",tblFleet[[#This Row],[Available_h]]&gt;0),tblFleet[[#This Row],[Operating_h]]/tblFleet[[#This Row],[Available_h]],"")</f>
        <v/>
      </c>
    </row>
    <row r="951">
      <c r="A951" s="54" t="n"/>
      <c r="B951" s="61" t="n"/>
      <c r="C951" s="62" t="n"/>
      <c r="D951" s="57" t="n"/>
      <c r="E951" s="57" t="n"/>
      <c r="F951" s="58" t="n"/>
      <c r="G951" s="66">
        <f>IF(tblFleet[[#This Row],[Units]]="","",tblFleet[[#This Row],[Units]]*24)</f>
        <v/>
      </c>
      <c r="H951" s="66">
        <f>IF(tblFleet[[#This Row],[Units]]="","",tblFleet[[#This Row],[Calendar_h]]-tblFleet[[#This Row],[Down_h]])</f>
        <v/>
      </c>
      <c r="I951" s="60">
        <f>IF(AND(tblFleet[[#This Row],[Units]]&lt;&gt;"",tblFleet[[#This Row],[Calendar_h]]&gt;0),tblFleet[[#This Row],[Available_h]]/tblFleet[[#This Row],[Calendar_h]],"")</f>
        <v/>
      </c>
      <c r="J951" s="60">
        <f>IF(AND(tblFleet[[#This Row],[Units]]&lt;&gt;"",tblFleet[[#This Row],[Available_h]]&gt;0),tblFleet[[#This Row],[Operating_h]]/tblFleet[[#This Row],[Available_h]],"")</f>
        <v/>
      </c>
    </row>
    <row r="952">
      <c r="A952" s="54" t="n"/>
      <c r="B952" s="61" t="n"/>
      <c r="C952" s="62" t="n"/>
      <c r="D952" s="57" t="n"/>
      <c r="E952" s="57" t="n"/>
      <c r="F952" s="58" t="n"/>
      <c r="G952" s="66">
        <f>IF(tblFleet[[#This Row],[Units]]="","",tblFleet[[#This Row],[Units]]*24)</f>
        <v/>
      </c>
      <c r="H952" s="66">
        <f>IF(tblFleet[[#This Row],[Units]]="","",tblFleet[[#This Row],[Calendar_h]]-tblFleet[[#This Row],[Down_h]])</f>
        <v/>
      </c>
      <c r="I952" s="60">
        <f>IF(AND(tblFleet[[#This Row],[Units]]&lt;&gt;"",tblFleet[[#This Row],[Calendar_h]]&gt;0),tblFleet[[#This Row],[Available_h]]/tblFleet[[#This Row],[Calendar_h]],"")</f>
        <v/>
      </c>
      <c r="J952" s="60">
        <f>IF(AND(tblFleet[[#This Row],[Units]]&lt;&gt;"",tblFleet[[#This Row],[Available_h]]&gt;0),tblFleet[[#This Row],[Operating_h]]/tblFleet[[#This Row],[Available_h]],"")</f>
        <v/>
      </c>
    </row>
    <row r="953">
      <c r="A953" s="54" t="n"/>
      <c r="B953" s="61" t="n"/>
      <c r="C953" s="62" t="n"/>
      <c r="D953" s="57" t="n"/>
      <c r="E953" s="57" t="n"/>
      <c r="F953" s="58" t="n"/>
      <c r="G953" s="66">
        <f>IF(tblFleet[[#This Row],[Units]]="","",tblFleet[[#This Row],[Units]]*24)</f>
        <v/>
      </c>
      <c r="H953" s="66">
        <f>IF(tblFleet[[#This Row],[Units]]="","",tblFleet[[#This Row],[Calendar_h]]-tblFleet[[#This Row],[Down_h]])</f>
        <v/>
      </c>
      <c r="I953" s="60">
        <f>IF(AND(tblFleet[[#This Row],[Units]]&lt;&gt;"",tblFleet[[#This Row],[Calendar_h]]&gt;0),tblFleet[[#This Row],[Available_h]]/tblFleet[[#This Row],[Calendar_h]],"")</f>
        <v/>
      </c>
      <c r="J953" s="60">
        <f>IF(AND(tblFleet[[#This Row],[Units]]&lt;&gt;"",tblFleet[[#This Row],[Available_h]]&gt;0),tblFleet[[#This Row],[Operating_h]]/tblFleet[[#This Row],[Available_h]],"")</f>
        <v/>
      </c>
    </row>
    <row r="954">
      <c r="A954" s="54" t="n"/>
      <c r="B954" s="61" t="n"/>
      <c r="C954" s="62" t="n"/>
      <c r="D954" s="57" t="n"/>
      <c r="E954" s="57" t="n"/>
      <c r="F954" s="58" t="n"/>
      <c r="G954" s="66">
        <f>IF(tblFleet[[#This Row],[Units]]="","",tblFleet[[#This Row],[Units]]*24)</f>
        <v/>
      </c>
      <c r="H954" s="66">
        <f>IF(tblFleet[[#This Row],[Units]]="","",tblFleet[[#This Row],[Calendar_h]]-tblFleet[[#This Row],[Down_h]])</f>
        <v/>
      </c>
      <c r="I954" s="60">
        <f>IF(AND(tblFleet[[#This Row],[Units]]&lt;&gt;"",tblFleet[[#This Row],[Calendar_h]]&gt;0),tblFleet[[#This Row],[Available_h]]/tblFleet[[#This Row],[Calendar_h]],"")</f>
        <v/>
      </c>
      <c r="J954" s="60">
        <f>IF(AND(tblFleet[[#This Row],[Units]]&lt;&gt;"",tblFleet[[#This Row],[Available_h]]&gt;0),tblFleet[[#This Row],[Operating_h]]/tblFleet[[#This Row],[Available_h]],"")</f>
        <v/>
      </c>
    </row>
    <row r="955">
      <c r="A955" s="54" t="n"/>
      <c r="B955" s="61" t="n"/>
      <c r="C955" s="62" t="n"/>
      <c r="D955" s="57" t="n"/>
      <c r="E955" s="57" t="n"/>
      <c r="F955" s="58" t="n"/>
      <c r="G955" s="66">
        <f>IF(tblFleet[[#This Row],[Units]]="","",tblFleet[[#This Row],[Units]]*24)</f>
        <v/>
      </c>
      <c r="H955" s="66">
        <f>IF(tblFleet[[#This Row],[Units]]="","",tblFleet[[#This Row],[Calendar_h]]-tblFleet[[#This Row],[Down_h]])</f>
        <v/>
      </c>
      <c r="I955" s="60">
        <f>IF(AND(tblFleet[[#This Row],[Units]]&lt;&gt;"",tblFleet[[#This Row],[Calendar_h]]&gt;0),tblFleet[[#This Row],[Available_h]]/tblFleet[[#This Row],[Calendar_h]],"")</f>
        <v/>
      </c>
      <c r="J955" s="60">
        <f>IF(AND(tblFleet[[#This Row],[Units]]&lt;&gt;"",tblFleet[[#This Row],[Available_h]]&gt;0),tblFleet[[#This Row],[Operating_h]]/tblFleet[[#This Row],[Available_h]],"")</f>
        <v/>
      </c>
    </row>
    <row r="956">
      <c r="A956" s="54" t="n"/>
      <c r="B956" s="61" t="n"/>
      <c r="C956" s="62" t="n"/>
      <c r="D956" s="57" t="n"/>
      <c r="E956" s="57" t="n"/>
      <c r="F956" s="58" t="n"/>
      <c r="G956" s="66">
        <f>IF(tblFleet[[#This Row],[Units]]="","",tblFleet[[#This Row],[Units]]*24)</f>
        <v/>
      </c>
      <c r="H956" s="66">
        <f>IF(tblFleet[[#This Row],[Units]]="","",tblFleet[[#This Row],[Calendar_h]]-tblFleet[[#This Row],[Down_h]])</f>
        <v/>
      </c>
      <c r="I956" s="60">
        <f>IF(AND(tblFleet[[#This Row],[Units]]&lt;&gt;"",tblFleet[[#This Row],[Calendar_h]]&gt;0),tblFleet[[#This Row],[Available_h]]/tblFleet[[#This Row],[Calendar_h]],"")</f>
        <v/>
      </c>
      <c r="J956" s="60">
        <f>IF(AND(tblFleet[[#This Row],[Units]]&lt;&gt;"",tblFleet[[#This Row],[Available_h]]&gt;0),tblFleet[[#This Row],[Operating_h]]/tblFleet[[#This Row],[Available_h]],"")</f>
        <v/>
      </c>
    </row>
    <row r="957">
      <c r="A957" s="54" t="n"/>
      <c r="B957" s="61" t="n"/>
      <c r="C957" s="62" t="n"/>
      <c r="D957" s="57" t="n"/>
      <c r="E957" s="57" t="n"/>
      <c r="F957" s="58" t="n"/>
      <c r="G957" s="66">
        <f>IF(tblFleet[[#This Row],[Units]]="","",tblFleet[[#This Row],[Units]]*24)</f>
        <v/>
      </c>
      <c r="H957" s="66">
        <f>IF(tblFleet[[#This Row],[Units]]="","",tblFleet[[#This Row],[Calendar_h]]-tblFleet[[#This Row],[Down_h]])</f>
        <v/>
      </c>
      <c r="I957" s="60">
        <f>IF(AND(tblFleet[[#This Row],[Units]]&lt;&gt;"",tblFleet[[#This Row],[Calendar_h]]&gt;0),tblFleet[[#This Row],[Available_h]]/tblFleet[[#This Row],[Calendar_h]],"")</f>
        <v/>
      </c>
      <c r="J957" s="60">
        <f>IF(AND(tblFleet[[#This Row],[Units]]&lt;&gt;"",tblFleet[[#This Row],[Available_h]]&gt;0),tblFleet[[#This Row],[Operating_h]]/tblFleet[[#This Row],[Available_h]],"")</f>
        <v/>
      </c>
    </row>
    <row r="958">
      <c r="A958" s="54" t="n"/>
      <c r="B958" s="61" t="n"/>
      <c r="C958" s="62" t="n"/>
      <c r="D958" s="57" t="n"/>
      <c r="E958" s="57" t="n"/>
      <c r="F958" s="58" t="n"/>
      <c r="G958" s="66">
        <f>IF(tblFleet[[#This Row],[Units]]="","",tblFleet[[#This Row],[Units]]*24)</f>
        <v/>
      </c>
      <c r="H958" s="66">
        <f>IF(tblFleet[[#This Row],[Units]]="","",tblFleet[[#This Row],[Calendar_h]]-tblFleet[[#This Row],[Down_h]])</f>
        <v/>
      </c>
      <c r="I958" s="60">
        <f>IF(AND(tblFleet[[#This Row],[Units]]&lt;&gt;"",tblFleet[[#This Row],[Calendar_h]]&gt;0),tblFleet[[#This Row],[Available_h]]/tblFleet[[#This Row],[Calendar_h]],"")</f>
        <v/>
      </c>
      <c r="J958" s="60">
        <f>IF(AND(tblFleet[[#This Row],[Units]]&lt;&gt;"",tblFleet[[#This Row],[Available_h]]&gt;0),tblFleet[[#This Row],[Operating_h]]/tblFleet[[#This Row],[Available_h]],"")</f>
        <v/>
      </c>
    </row>
    <row r="959">
      <c r="A959" s="54" t="n"/>
      <c r="B959" s="61" t="n"/>
      <c r="C959" s="62" t="n"/>
      <c r="D959" s="57" t="n"/>
      <c r="E959" s="57" t="n"/>
      <c r="F959" s="58" t="n"/>
      <c r="G959" s="66">
        <f>IF(tblFleet[[#This Row],[Units]]="","",tblFleet[[#This Row],[Units]]*24)</f>
        <v/>
      </c>
      <c r="H959" s="66">
        <f>IF(tblFleet[[#This Row],[Units]]="","",tblFleet[[#This Row],[Calendar_h]]-tblFleet[[#This Row],[Down_h]])</f>
        <v/>
      </c>
      <c r="I959" s="60">
        <f>IF(AND(tblFleet[[#This Row],[Units]]&lt;&gt;"",tblFleet[[#This Row],[Calendar_h]]&gt;0),tblFleet[[#This Row],[Available_h]]/tblFleet[[#This Row],[Calendar_h]],"")</f>
        <v/>
      </c>
      <c r="J959" s="60">
        <f>IF(AND(tblFleet[[#This Row],[Units]]&lt;&gt;"",tblFleet[[#This Row],[Available_h]]&gt;0),tblFleet[[#This Row],[Operating_h]]/tblFleet[[#This Row],[Available_h]],"")</f>
        <v/>
      </c>
    </row>
    <row r="960">
      <c r="A960" s="54" t="n"/>
      <c r="B960" s="61" t="n"/>
      <c r="C960" s="62" t="n"/>
      <c r="D960" s="57" t="n"/>
      <c r="E960" s="57" t="n"/>
      <c r="F960" s="58" t="n"/>
      <c r="G960" s="66">
        <f>IF(tblFleet[[#This Row],[Units]]="","",tblFleet[[#This Row],[Units]]*24)</f>
        <v/>
      </c>
      <c r="H960" s="66">
        <f>IF(tblFleet[[#This Row],[Units]]="","",tblFleet[[#This Row],[Calendar_h]]-tblFleet[[#This Row],[Down_h]])</f>
        <v/>
      </c>
      <c r="I960" s="60">
        <f>IF(AND(tblFleet[[#This Row],[Units]]&lt;&gt;"",tblFleet[[#This Row],[Calendar_h]]&gt;0),tblFleet[[#This Row],[Available_h]]/tblFleet[[#This Row],[Calendar_h]],"")</f>
        <v/>
      </c>
      <c r="J960" s="60">
        <f>IF(AND(tblFleet[[#This Row],[Units]]&lt;&gt;"",tblFleet[[#This Row],[Available_h]]&gt;0),tblFleet[[#This Row],[Operating_h]]/tblFleet[[#This Row],[Available_h]],"")</f>
        <v/>
      </c>
    </row>
    <row r="961">
      <c r="A961" s="54" t="n"/>
      <c r="B961" s="61" t="n"/>
      <c r="C961" s="62" t="n"/>
      <c r="D961" s="57" t="n"/>
      <c r="E961" s="57" t="n"/>
      <c r="F961" s="58" t="n"/>
      <c r="G961" s="66">
        <f>IF(tblFleet[[#This Row],[Units]]="","",tblFleet[[#This Row],[Units]]*24)</f>
        <v/>
      </c>
      <c r="H961" s="66">
        <f>IF(tblFleet[[#This Row],[Units]]="","",tblFleet[[#This Row],[Calendar_h]]-tblFleet[[#This Row],[Down_h]])</f>
        <v/>
      </c>
      <c r="I961" s="60">
        <f>IF(AND(tblFleet[[#This Row],[Units]]&lt;&gt;"",tblFleet[[#This Row],[Calendar_h]]&gt;0),tblFleet[[#This Row],[Available_h]]/tblFleet[[#This Row],[Calendar_h]],"")</f>
        <v/>
      </c>
      <c r="J961" s="60">
        <f>IF(AND(tblFleet[[#This Row],[Units]]&lt;&gt;"",tblFleet[[#This Row],[Available_h]]&gt;0),tblFleet[[#This Row],[Operating_h]]/tblFleet[[#This Row],[Available_h]],"")</f>
        <v/>
      </c>
    </row>
    <row r="962">
      <c r="A962" s="54" t="n"/>
      <c r="B962" s="61" t="n"/>
      <c r="C962" s="62" t="n"/>
      <c r="D962" s="57" t="n"/>
      <c r="E962" s="57" t="n"/>
      <c r="F962" s="58" t="n"/>
      <c r="G962" s="66">
        <f>IF(tblFleet[[#This Row],[Units]]="","",tblFleet[[#This Row],[Units]]*24)</f>
        <v/>
      </c>
      <c r="H962" s="66">
        <f>IF(tblFleet[[#This Row],[Units]]="","",tblFleet[[#This Row],[Calendar_h]]-tblFleet[[#This Row],[Down_h]])</f>
        <v/>
      </c>
      <c r="I962" s="60">
        <f>IF(AND(tblFleet[[#This Row],[Units]]&lt;&gt;"",tblFleet[[#This Row],[Calendar_h]]&gt;0),tblFleet[[#This Row],[Available_h]]/tblFleet[[#This Row],[Calendar_h]],"")</f>
        <v/>
      </c>
      <c r="J962" s="60">
        <f>IF(AND(tblFleet[[#This Row],[Units]]&lt;&gt;"",tblFleet[[#This Row],[Available_h]]&gt;0),tblFleet[[#This Row],[Operating_h]]/tblFleet[[#This Row],[Available_h]],"")</f>
        <v/>
      </c>
    </row>
    <row r="963">
      <c r="A963" s="54" t="n"/>
      <c r="B963" s="61" t="n"/>
      <c r="C963" s="62" t="n"/>
      <c r="D963" s="57" t="n"/>
      <c r="E963" s="57" t="n"/>
      <c r="F963" s="58" t="n"/>
      <c r="G963" s="66">
        <f>IF(tblFleet[[#This Row],[Units]]="","",tblFleet[[#This Row],[Units]]*24)</f>
        <v/>
      </c>
      <c r="H963" s="66">
        <f>IF(tblFleet[[#This Row],[Units]]="","",tblFleet[[#This Row],[Calendar_h]]-tblFleet[[#This Row],[Down_h]])</f>
        <v/>
      </c>
      <c r="I963" s="60">
        <f>IF(AND(tblFleet[[#This Row],[Units]]&lt;&gt;"",tblFleet[[#This Row],[Calendar_h]]&gt;0),tblFleet[[#This Row],[Available_h]]/tblFleet[[#This Row],[Calendar_h]],"")</f>
        <v/>
      </c>
      <c r="J963" s="60">
        <f>IF(AND(tblFleet[[#This Row],[Units]]&lt;&gt;"",tblFleet[[#This Row],[Available_h]]&gt;0),tblFleet[[#This Row],[Operating_h]]/tblFleet[[#This Row],[Available_h]],"")</f>
        <v/>
      </c>
    </row>
    <row r="964">
      <c r="A964" s="54" t="n"/>
      <c r="B964" s="61" t="n"/>
      <c r="C964" s="62" t="n"/>
      <c r="D964" s="57" t="n"/>
      <c r="E964" s="57" t="n"/>
      <c r="F964" s="58" t="n"/>
      <c r="G964" s="66">
        <f>IF(tblFleet[[#This Row],[Units]]="","",tblFleet[[#This Row],[Units]]*24)</f>
        <v/>
      </c>
      <c r="H964" s="66">
        <f>IF(tblFleet[[#This Row],[Units]]="","",tblFleet[[#This Row],[Calendar_h]]-tblFleet[[#This Row],[Down_h]])</f>
        <v/>
      </c>
      <c r="I964" s="60">
        <f>IF(AND(tblFleet[[#This Row],[Units]]&lt;&gt;"",tblFleet[[#This Row],[Calendar_h]]&gt;0),tblFleet[[#This Row],[Available_h]]/tblFleet[[#This Row],[Calendar_h]],"")</f>
        <v/>
      </c>
      <c r="J964" s="60">
        <f>IF(AND(tblFleet[[#This Row],[Units]]&lt;&gt;"",tblFleet[[#This Row],[Available_h]]&gt;0),tblFleet[[#This Row],[Operating_h]]/tblFleet[[#This Row],[Available_h]],"")</f>
        <v/>
      </c>
    </row>
    <row r="965">
      <c r="A965" s="54" t="n"/>
      <c r="B965" s="61" t="n"/>
      <c r="C965" s="62" t="n"/>
      <c r="D965" s="57" t="n"/>
      <c r="E965" s="57" t="n"/>
      <c r="F965" s="58" t="n"/>
      <c r="G965" s="66">
        <f>IF(tblFleet[[#This Row],[Units]]="","",tblFleet[[#This Row],[Units]]*24)</f>
        <v/>
      </c>
      <c r="H965" s="66">
        <f>IF(tblFleet[[#This Row],[Units]]="","",tblFleet[[#This Row],[Calendar_h]]-tblFleet[[#This Row],[Down_h]])</f>
        <v/>
      </c>
      <c r="I965" s="60">
        <f>IF(AND(tblFleet[[#This Row],[Units]]&lt;&gt;"",tblFleet[[#This Row],[Calendar_h]]&gt;0),tblFleet[[#This Row],[Available_h]]/tblFleet[[#This Row],[Calendar_h]],"")</f>
        <v/>
      </c>
      <c r="J965" s="60">
        <f>IF(AND(tblFleet[[#This Row],[Units]]&lt;&gt;"",tblFleet[[#This Row],[Available_h]]&gt;0),tblFleet[[#This Row],[Operating_h]]/tblFleet[[#This Row],[Available_h]],"")</f>
        <v/>
      </c>
    </row>
    <row r="966">
      <c r="A966" s="54" t="n"/>
      <c r="B966" s="61" t="n"/>
      <c r="C966" s="62" t="n"/>
      <c r="D966" s="57" t="n"/>
      <c r="E966" s="57" t="n"/>
      <c r="F966" s="58" t="n"/>
      <c r="G966" s="66">
        <f>IF(tblFleet[[#This Row],[Units]]="","",tblFleet[[#This Row],[Units]]*24)</f>
        <v/>
      </c>
      <c r="H966" s="66">
        <f>IF(tblFleet[[#This Row],[Units]]="","",tblFleet[[#This Row],[Calendar_h]]-tblFleet[[#This Row],[Down_h]])</f>
        <v/>
      </c>
      <c r="I966" s="60">
        <f>IF(AND(tblFleet[[#This Row],[Units]]&lt;&gt;"",tblFleet[[#This Row],[Calendar_h]]&gt;0),tblFleet[[#This Row],[Available_h]]/tblFleet[[#This Row],[Calendar_h]],"")</f>
        <v/>
      </c>
      <c r="J966" s="60">
        <f>IF(AND(tblFleet[[#This Row],[Units]]&lt;&gt;"",tblFleet[[#This Row],[Available_h]]&gt;0),tblFleet[[#This Row],[Operating_h]]/tblFleet[[#This Row],[Available_h]],"")</f>
        <v/>
      </c>
    </row>
    <row r="967">
      <c r="A967" s="54" t="n"/>
      <c r="B967" s="61" t="n"/>
      <c r="C967" s="62" t="n"/>
      <c r="D967" s="57" t="n"/>
      <c r="E967" s="57" t="n"/>
      <c r="F967" s="58" t="n"/>
      <c r="G967" s="66">
        <f>IF(tblFleet[[#This Row],[Units]]="","",tblFleet[[#This Row],[Units]]*24)</f>
        <v/>
      </c>
      <c r="H967" s="66">
        <f>IF(tblFleet[[#This Row],[Units]]="","",tblFleet[[#This Row],[Calendar_h]]-tblFleet[[#This Row],[Down_h]])</f>
        <v/>
      </c>
      <c r="I967" s="60">
        <f>IF(AND(tblFleet[[#This Row],[Units]]&lt;&gt;"",tblFleet[[#This Row],[Calendar_h]]&gt;0),tblFleet[[#This Row],[Available_h]]/tblFleet[[#This Row],[Calendar_h]],"")</f>
        <v/>
      </c>
      <c r="J967" s="60">
        <f>IF(AND(tblFleet[[#This Row],[Units]]&lt;&gt;"",tblFleet[[#This Row],[Available_h]]&gt;0),tblFleet[[#This Row],[Operating_h]]/tblFleet[[#This Row],[Available_h]],"")</f>
        <v/>
      </c>
    </row>
    <row r="968">
      <c r="A968" s="54" t="n"/>
      <c r="B968" s="61" t="n"/>
      <c r="C968" s="62" t="n"/>
      <c r="D968" s="57" t="n"/>
      <c r="E968" s="57" t="n"/>
      <c r="F968" s="58" t="n"/>
      <c r="G968" s="66">
        <f>IF(tblFleet[[#This Row],[Units]]="","",tblFleet[[#This Row],[Units]]*24)</f>
        <v/>
      </c>
      <c r="H968" s="66">
        <f>IF(tblFleet[[#This Row],[Units]]="","",tblFleet[[#This Row],[Calendar_h]]-tblFleet[[#This Row],[Down_h]])</f>
        <v/>
      </c>
      <c r="I968" s="60">
        <f>IF(AND(tblFleet[[#This Row],[Units]]&lt;&gt;"",tblFleet[[#This Row],[Calendar_h]]&gt;0),tblFleet[[#This Row],[Available_h]]/tblFleet[[#This Row],[Calendar_h]],"")</f>
        <v/>
      </c>
      <c r="J968" s="60">
        <f>IF(AND(tblFleet[[#This Row],[Units]]&lt;&gt;"",tblFleet[[#This Row],[Available_h]]&gt;0),tblFleet[[#This Row],[Operating_h]]/tblFleet[[#This Row],[Available_h]],"")</f>
        <v/>
      </c>
    </row>
    <row r="969">
      <c r="A969" s="54" t="n"/>
      <c r="B969" s="61" t="n"/>
      <c r="C969" s="62" t="n"/>
      <c r="D969" s="57" t="n"/>
      <c r="E969" s="57" t="n"/>
      <c r="F969" s="58" t="n"/>
      <c r="G969" s="66">
        <f>IF(tblFleet[[#This Row],[Units]]="","",tblFleet[[#This Row],[Units]]*24)</f>
        <v/>
      </c>
      <c r="H969" s="66">
        <f>IF(tblFleet[[#This Row],[Units]]="","",tblFleet[[#This Row],[Calendar_h]]-tblFleet[[#This Row],[Down_h]])</f>
        <v/>
      </c>
      <c r="I969" s="60">
        <f>IF(AND(tblFleet[[#This Row],[Units]]&lt;&gt;"",tblFleet[[#This Row],[Calendar_h]]&gt;0),tblFleet[[#This Row],[Available_h]]/tblFleet[[#This Row],[Calendar_h]],"")</f>
        <v/>
      </c>
      <c r="J969" s="60">
        <f>IF(AND(tblFleet[[#This Row],[Units]]&lt;&gt;"",tblFleet[[#This Row],[Available_h]]&gt;0),tblFleet[[#This Row],[Operating_h]]/tblFleet[[#This Row],[Available_h]],"")</f>
        <v/>
      </c>
    </row>
    <row r="970">
      <c r="A970" s="54" t="n"/>
      <c r="B970" s="61" t="n"/>
      <c r="C970" s="62" t="n"/>
      <c r="D970" s="57" t="n"/>
      <c r="E970" s="57" t="n"/>
      <c r="F970" s="58" t="n"/>
      <c r="G970" s="66">
        <f>IF(tblFleet[[#This Row],[Units]]="","",tblFleet[[#This Row],[Units]]*24)</f>
        <v/>
      </c>
      <c r="H970" s="66">
        <f>IF(tblFleet[[#This Row],[Units]]="","",tblFleet[[#This Row],[Calendar_h]]-tblFleet[[#This Row],[Down_h]])</f>
        <v/>
      </c>
      <c r="I970" s="60">
        <f>IF(AND(tblFleet[[#This Row],[Units]]&lt;&gt;"",tblFleet[[#This Row],[Calendar_h]]&gt;0),tblFleet[[#This Row],[Available_h]]/tblFleet[[#This Row],[Calendar_h]],"")</f>
        <v/>
      </c>
      <c r="J970" s="60">
        <f>IF(AND(tblFleet[[#This Row],[Units]]&lt;&gt;"",tblFleet[[#This Row],[Available_h]]&gt;0),tblFleet[[#This Row],[Operating_h]]/tblFleet[[#This Row],[Available_h]],"")</f>
        <v/>
      </c>
    </row>
    <row r="971">
      <c r="A971" s="54" t="n"/>
      <c r="B971" s="61" t="n"/>
      <c r="C971" s="62" t="n"/>
      <c r="D971" s="57" t="n"/>
      <c r="E971" s="57" t="n"/>
      <c r="F971" s="58" t="n"/>
      <c r="G971" s="66">
        <f>IF(tblFleet[[#This Row],[Units]]="","",tblFleet[[#This Row],[Units]]*24)</f>
        <v/>
      </c>
      <c r="H971" s="66">
        <f>IF(tblFleet[[#This Row],[Units]]="","",tblFleet[[#This Row],[Calendar_h]]-tblFleet[[#This Row],[Down_h]])</f>
        <v/>
      </c>
      <c r="I971" s="60">
        <f>IF(AND(tblFleet[[#This Row],[Units]]&lt;&gt;"",tblFleet[[#This Row],[Calendar_h]]&gt;0),tblFleet[[#This Row],[Available_h]]/tblFleet[[#This Row],[Calendar_h]],"")</f>
        <v/>
      </c>
      <c r="J971" s="60">
        <f>IF(AND(tblFleet[[#This Row],[Units]]&lt;&gt;"",tblFleet[[#This Row],[Available_h]]&gt;0),tblFleet[[#This Row],[Operating_h]]/tblFleet[[#This Row],[Available_h]],"")</f>
        <v/>
      </c>
    </row>
    <row r="972">
      <c r="A972" s="54" t="n"/>
      <c r="B972" s="61" t="n"/>
      <c r="C972" s="62" t="n"/>
      <c r="D972" s="57" t="n"/>
      <c r="E972" s="57" t="n"/>
      <c r="F972" s="58" t="n"/>
      <c r="G972" s="66">
        <f>IF(tblFleet[[#This Row],[Units]]="","",tblFleet[[#This Row],[Units]]*24)</f>
        <v/>
      </c>
      <c r="H972" s="66">
        <f>IF(tblFleet[[#This Row],[Units]]="","",tblFleet[[#This Row],[Calendar_h]]-tblFleet[[#This Row],[Down_h]])</f>
        <v/>
      </c>
      <c r="I972" s="60">
        <f>IF(AND(tblFleet[[#This Row],[Units]]&lt;&gt;"",tblFleet[[#This Row],[Calendar_h]]&gt;0),tblFleet[[#This Row],[Available_h]]/tblFleet[[#This Row],[Calendar_h]],"")</f>
        <v/>
      </c>
      <c r="J972" s="60">
        <f>IF(AND(tblFleet[[#This Row],[Units]]&lt;&gt;"",tblFleet[[#This Row],[Available_h]]&gt;0),tblFleet[[#This Row],[Operating_h]]/tblFleet[[#This Row],[Available_h]],"")</f>
        <v/>
      </c>
    </row>
    <row r="973">
      <c r="A973" s="54" t="n"/>
      <c r="B973" s="61" t="n"/>
      <c r="C973" s="62" t="n"/>
      <c r="D973" s="57" t="n"/>
      <c r="E973" s="57" t="n"/>
      <c r="F973" s="58" t="n"/>
      <c r="G973" s="66">
        <f>IF(tblFleet[[#This Row],[Units]]="","",tblFleet[[#This Row],[Units]]*24)</f>
        <v/>
      </c>
      <c r="H973" s="66">
        <f>IF(tblFleet[[#This Row],[Units]]="","",tblFleet[[#This Row],[Calendar_h]]-tblFleet[[#This Row],[Down_h]])</f>
        <v/>
      </c>
      <c r="I973" s="60">
        <f>IF(AND(tblFleet[[#This Row],[Units]]&lt;&gt;"",tblFleet[[#This Row],[Calendar_h]]&gt;0),tblFleet[[#This Row],[Available_h]]/tblFleet[[#This Row],[Calendar_h]],"")</f>
        <v/>
      </c>
      <c r="J973" s="60">
        <f>IF(AND(tblFleet[[#This Row],[Units]]&lt;&gt;"",tblFleet[[#This Row],[Available_h]]&gt;0),tblFleet[[#This Row],[Operating_h]]/tblFleet[[#This Row],[Available_h]],"")</f>
        <v/>
      </c>
    </row>
    <row r="974">
      <c r="A974" s="54" t="n"/>
      <c r="B974" s="61" t="n"/>
      <c r="C974" s="62" t="n"/>
      <c r="D974" s="57" t="n"/>
      <c r="E974" s="57" t="n"/>
      <c r="F974" s="58" t="n"/>
      <c r="G974" s="66">
        <f>IF(tblFleet[[#This Row],[Units]]="","",tblFleet[[#This Row],[Units]]*24)</f>
        <v/>
      </c>
      <c r="H974" s="66">
        <f>IF(tblFleet[[#This Row],[Units]]="","",tblFleet[[#This Row],[Calendar_h]]-tblFleet[[#This Row],[Down_h]])</f>
        <v/>
      </c>
      <c r="I974" s="60">
        <f>IF(AND(tblFleet[[#This Row],[Units]]&lt;&gt;"",tblFleet[[#This Row],[Calendar_h]]&gt;0),tblFleet[[#This Row],[Available_h]]/tblFleet[[#This Row],[Calendar_h]],"")</f>
        <v/>
      </c>
      <c r="J974" s="60">
        <f>IF(AND(tblFleet[[#This Row],[Units]]&lt;&gt;"",tblFleet[[#This Row],[Available_h]]&gt;0),tblFleet[[#This Row],[Operating_h]]/tblFleet[[#This Row],[Available_h]],"")</f>
        <v/>
      </c>
    </row>
    <row r="975">
      <c r="A975" s="54" t="n"/>
      <c r="B975" s="61" t="n"/>
      <c r="C975" s="62" t="n"/>
      <c r="D975" s="57" t="n"/>
      <c r="E975" s="57" t="n"/>
      <c r="F975" s="58" t="n"/>
      <c r="G975" s="66">
        <f>IF(tblFleet[[#This Row],[Units]]="","",tblFleet[[#This Row],[Units]]*24)</f>
        <v/>
      </c>
      <c r="H975" s="66">
        <f>IF(tblFleet[[#This Row],[Units]]="","",tblFleet[[#This Row],[Calendar_h]]-tblFleet[[#This Row],[Down_h]])</f>
        <v/>
      </c>
      <c r="I975" s="60">
        <f>IF(AND(tblFleet[[#This Row],[Units]]&lt;&gt;"",tblFleet[[#This Row],[Calendar_h]]&gt;0),tblFleet[[#This Row],[Available_h]]/tblFleet[[#This Row],[Calendar_h]],"")</f>
        <v/>
      </c>
      <c r="J975" s="60">
        <f>IF(AND(tblFleet[[#This Row],[Units]]&lt;&gt;"",tblFleet[[#This Row],[Available_h]]&gt;0),tblFleet[[#This Row],[Operating_h]]/tblFleet[[#This Row],[Available_h]],"")</f>
        <v/>
      </c>
    </row>
    <row r="976">
      <c r="A976" s="54" t="n"/>
      <c r="B976" s="61" t="n"/>
      <c r="C976" s="62" t="n"/>
      <c r="D976" s="57" t="n"/>
      <c r="E976" s="57" t="n"/>
      <c r="F976" s="58" t="n"/>
      <c r="G976" s="66">
        <f>IF(tblFleet[[#This Row],[Units]]="","",tblFleet[[#This Row],[Units]]*24)</f>
        <v/>
      </c>
      <c r="H976" s="66">
        <f>IF(tblFleet[[#This Row],[Units]]="","",tblFleet[[#This Row],[Calendar_h]]-tblFleet[[#This Row],[Down_h]])</f>
        <v/>
      </c>
      <c r="I976" s="60">
        <f>IF(AND(tblFleet[[#This Row],[Units]]&lt;&gt;"",tblFleet[[#This Row],[Calendar_h]]&gt;0),tblFleet[[#This Row],[Available_h]]/tblFleet[[#This Row],[Calendar_h]],"")</f>
        <v/>
      </c>
      <c r="J976" s="60">
        <f>IF(AND(tblFleet[[#This Row],[Units]]&lt;&gt;"",tblFleet[[#This Row],[Available_h]]&gt;0),tblFleet[[#This Row],[Operating_h]]/tblFleet[[#This Row],[Available_h]],"")</f>
        <v/>
      </c>
    </row>
    <row r="977">
      <c r="A977" s="54" t="n"/>
      <c r="B977" s="61" t="n"/>
      <c r="C977" s="62" t="n"/>
      <c r="D977" s="57" t="n"/>
      <c r="E977" s="57" t="n"/>
      <c r="F977" s="58" t="n"/>
      <c r="G977" s="66">
        <f>IF(tblFleet[[#This Row],[Units]]="","",tblFleet[[#This Row],[Units]]*24)</f>
        <v/>
      </c>
      <c r="H977" s="66">
        <f>IF(tblFleet[[#This Row],[Units]]="","",tblFleet[[#This Row],[Calendar_h]]-tblFleet[[#This Row],[Down_h]])</f>
        <v/>
      </c>
      <c r="I977" s="60">
        <f>IF(AND(tblFleet[[#This Row],[Units]]&lt;&gt;"",tblFleet[[#This Row],[Calendar_h]]&gt;0),tblFleet[[#This Row],[Available_h]]/tblFleet[[#This Row],[Calendar_h]],"")</f>
        <v/>
      </c>
      <c r="J977" s="60">
        <f>IF(AND(tblFleet[[#This Row],[Units]]&lt;&gt;"",tblFleet[[#This Row],[Available_h]]&gt;0),tblFleet[[#This Row],[Operating_h]]/tblFleet[[#This Row],[Available_h]],"")</f>
        <v/>
      </c>
    </row>
    <row r="978">
      <c r="A978" s="54" t="n"/>
      <c r="B978" s="61" t="n"/>
      <c r="C978" s="62" t="n"/>
      <c r="D978" s="57" t="n"/>
      <c r="E978" s="57" t="n"/>
      <c r="F978" s="58" t="n"/>
      <c r="G978" s="66">
        <f>IF(tblFleet[[#This Row],[Units]]="","",tblFleet[[#This Row],[Units]]*24)</f>
        <v/>
      </c>
      <c r="H978" s="66">
        <f>IF(tblFleet[[#This Row],[Units]]="","",tblFleet[[#This Row],[Calendar_h]]-tblFleet[[#This Row],[Down_h]])</f>
        <v/>
      </c>
      <c r="I978" s="60">
        <f>IF(AND(tblFleet[[#This Row],[Units]]&lt;&gt;"",tblFleet[[#This Row],[Calendar_h]]&gt;0),tblFleet[[#This Row],[Available_h]]/tblFleet[[#This Row],[Calendar_h]],"")</f>
        <v/>
      </c>
      <c r="J978" s="60">
        <f>IF(AND(tblFleet[[#This Row],[Units]]&lt;&gt;"",tblFleet[[#This Row],[Available_h]]&gt;0),tblFleet[[#This Row],[Operating_h]]/tblFleet[[#This Row],[Available_h]],"")</f>
        <v/>
      </c>
    </row>
    <row r="979">
      <c r="A979" s="54" t="n"/>
      <c r="B979" s="61" t="n"/>
      <c r="C979" s="62" t="n"/>
      <c r="D979" s="57" t="n"/>
      <c r="E979" s="57" t="n"/>
      <c r="F979" s="58" t="n"/>
      <c r="G979" s="66">
        <f>IF(tblFleet[[#This Row],[Units]]="","",tblFleet[[#This Row],[Units]]*24)</f>
        <v/>
      </c>
      <c r="H979" s="66">
        <f>IF(tblFleet[[#This Row],[Units]]="","",tblFleet[[#This Row],[Calendar_h]]-tblFleet[[#This Row],[Down_h]])</f>
        <v/>
      </c>
      <c r="I979" s="60">
        <f>IF(AND(tblFleet[[#This Row],[Units]]&lt;&gt;"",tblFleet[[#This Row],[Calendar_h]]&gt;0),tblFleet[[#This Row],[Available_h]]/tblFleet[[#This Row],[Calendar_h]],"")</f>
        <v/>
      </c>
      <c r="J979" s="60">
        <f>IF(AND(tblFleet[[#This Row],[Units]]&lt;&gt;"",tblFleet[[#This Row],[Available_h]]&gt;0),tblFleet[[#This Row],[Operating_h]]/tblFleet[[#This Row],[Available_h]],"")</f>
        <v/>
      </c>
    </row>
    <row r="980">
      <c r="A980" s="54" t="n"/>
      <c r="B980" s="61" t="n"/>
      <c r="C980" s="62" t="n"/>
      <c r="D980" s="57" t="n"/>
      <c r="E980" s="57" t="n"/>
      <c r="F980" s="58" t="n"/>
      <c r="G980" s="66">
        <f>IF(tblFleet[[#This Row],[Units]]="","",tblFleet[[#This Row],[Units]]*24)</f>
        <v/>
      </c>
      <c r="H980" s="66">
        <f>IF(tblFleet[[#This Row],[Units]]="","",tblFleet[[#This Row],[Calendar_h]]-tblFleet[[#This Row],[Down_h]])</f>
        <v/>
      </c>
      <c r="I980" s="60">
        <f>IF(AND(tblFleet[[#This Row],[Units]]&lt;&gt;"",tblFleet[[#This Row],[Calendar_h]]&gt;0),tblFleet[[#This Row],[Available_h]]/tblFleet[[#This Row],[Calendar_h]],"")</f>
        <v/>
      </c>
      <c r="J980" s="60">
        <f>IF(AND(tblFleet[[#This Row],[Units]]&lt;&gt;"",tblFleet[[#This Row],[Available_h]]&gt;0),tblFleet[[#This Row],[Operating_h]]/tblFleet[[#This Row],[Available_h]],"")</f>
        <v/>
      </c>
    </row>
    <row r="981">
      <c r="A981" s="54" t="n"/>
      <c r="B981" s="61" t="n"/>
      <c r="C981" s="62" t="n"/>
      <c r="D981" s="57" t="n"/>
      <c r="E981" s="57" t="n"/>
      <c r="F981" s="58" t="n"/>
      <c r="G981" s="66">
        <f>IF(tblFleet[[#This Row],[Units]]="","",tblFleet[[#This Row],[Units]]*24)</f>
        <v/>
      </c>
      <c r="H981" s="66">
        <f>IF(tblFleet[[#This Row],[Units]]="","",tblFleet[[#This Row],[Calendar_h]]-tblFleet[[#This Row],[Down_h]])</f>
        <v/>
      </c>
      <c r="I981" s="60">
        <f>IF(AND(tblFleet[[#This Row],[Units]]&lt;&gt;"",tblFleet[[#This Row],[Calendar_h]]&gt;0),tblFleet[[#This Row],[Available_h]]/tblFleet[[#This Row],[Calendar_h]],"")</f>
        <v/>
      </c>
      <c r="J981" s="60">
        <f>IF(AND(tblFleet[[#This Row],[Units]]&lt;&gt;"",tblFleet[[#This Row],[Available_h]]&gt;0),tblFleet[[#This Row],[Operating_h]]/tblFleet[[#This Row],[Available_h]],"")</f>
        <v/>
      </c>
    </row>
    <row r="982">
      <c r="A982" s="54" t="n"/>
      <c r="B982" s="61" t="n"/>
      <c r="C982" s="62" t="n"/>
      <c r="D982" s="57" t="n"/>
      <c r="E982" s="57" t="n"/>
      <c r="F982" s="58" t="n"/>
      <c r="G982" s="66">
        <f>IF(tblFleet[[#This Row],[Units]]="","",tblFleet[[#This Row],[Units]]*24)</f>
        <v/>
      </c>
      <c r="H982" s="66">
        <f>IF(tblFleet[[#This Row],[Units]]="","",tblFleet[[#This Row],[Calendar_h]]-tblFleet[[#This Row],[Down_h]])</f>
        <v/>
      </c>
      <c r="I982" s="60">
        <f>IF(AND(tblFleet[[#This Row],[Units]]&lt;&gt;"",tblFleet[[#This Row],[Calendar_h]]&gt;0),tblFleet[[#This Row],[Available_h]]/tblFleet[[#This Row],[Calendar_h]],"")</f>
        <v/>
      </c>
      <c r="J982" s="60">
        <f>IF(AND(tblFleet[[#This Row],[Units]]&lt;&gt;"",tblFleet[[#This Row],[Available_h]]&gt;0),tblFleet[[#This Row],[Operating_h]]/tblFleet[[#This Row],[Available_h]],"")</f>
        <v/>
      </c>
    </row>
    <row r="983">
      <c r="A983" s="54" t="n"/>
      <c r="B983" s="61" t="n"/>
      <c r="C983" s="62" t="n"/>
      <c r="D983" s="57" t="n"/>
      <c r="E983" s="57" t="n"/>
      <c r="F983" s="58" t="n"/>
      <c r="G983" s="66">
        <f>IF(tblFleet[[#This Row],[Units]]="","",tblFleet[[#This Row],[Units]]*24)</f>
        <v/>
      </c>
      <c r="H983" s="66">
        <f>IF(tblFleet[[#This Row],[Units]]="","",tblFleet[[#This Row],[Calendar_h]]-tblFleet[[#This Row],[Down_h]])</f>
        <v/>
      </c>
      <c r="I983" s="60">
        <f>IF(AND(tblFleet[[#This Row],[Units]]&lt;&gt;"",tblFleet[[#This Row],[Calendar_h]]&gt;0),tblFleet[[#This Row],[Available_h]]/tblFleet[[#This Row],[Calendar_h]],"")</f>
        <v/>
      </c>
      <c r="J983" s="60">
        <f>IF(AND(tblFleet[[#This Row],[Units]]&lt;&gt;"",tblFleet[[#This Row],[Available_h]]&gt;0),tblFleet[[#This Row],[Operating_h]]/tblFleet[[#This Row],[Available_h]],"")</f>
        <v/>
      </c>
    </row>
    <row r="984">
      <c r="A984" s="54" t="n"/>
      <c r="B984" s="61" t="n"/>
      <c r="C984" s="62" t="n"/>
      <c r="D984" s="57" t="n"/>
      <c r="E984" s="57" t="n"/>
      <c r="F984" s="58" t="n"/>
      <c r="G984" s="66">
        <f>IF(tblFleet[[#This Row],[Units]]="","",tblFleet[[#This Row],[Units]]*24)</f>
        <v/>
      </c>
      <c r="H984" s="66">
        <f>IF(tblFleet[[#This Row],[Units]]="","",tblFleet[[#This Row],[Calendar_h]]-tblFleet[[#This Row],[Down_h]])</f>
        <v/>
      </c>
      <c r="I984" s="60">
        <f>IF(AND(tblFleet[[#This Row],[Units]]&lt;&gt;"",tblFleet[[#This Row],[Calendar_h]]&gt;0),tblFleet[[#This Row],[Available_h]]/tblFleet[[#This Row],[Calendar_h]],"")</f>
        <v/>
      </c>
      <c r="J984" s="60">
        <f>IF(AND(tblFleet[[#This Row],[Units]]&lt;&gt;"",tblFleet[[#This Row],[Available_h]]&gt;0),tblFleet[[#This Row],[Operating_h]]/tblFleet[[#This Row],[Available_h]],"")</f>
        <v/>
      </c>
    </row>
    <row r="985">
      <c r="A985" s="54" t="n"/>
      <c r="B985" s="61" t="n"/>
      <c r="C985" s="62" t="n"/>
      <c r="D985" s="57" t="n"/>
      <c r="E985" s="57" t="n"/>
      <c r="F985" s="58" t="n"/>
      <c r="G985" s="66">
        <f>IF(tblFleet[[#This Row],[Units]]="","",tblFleet[[#This Row],[Units]]*24)</f>
        <v/>
      </c>
      <c r="H985" s="66">
        <f>IF(tblFleet[[#This Row],[Units]]="","",tblFleet[[#This Row],[Calendar_h]]-tblFleet[[#This Row],[Down_h]])</f>
        <v/>
      </c>
      <c r="I985" s="60">
        <f>IF(AND(tblFleet[[#This Row],[Units]]&lt;&gt;"",tblFleet[[#This Row],[Calendar_h]]&gt;0),tblFleet[[#This Row],[Available_h]]/tblFleet[[#This Row],[Calendar_h]],"")</f>
        <v/>
      </c>
      <c r="J985" s="60">
        <f>IF(AND(tblFleet[[#This Row],[Units]]&lt;&gt;"",tblFleet[[#This Row],[Available_h]]&gt;0),tblFleet[[#This Row],[Operating_h]]/tblFleet[[#This Row],[Available_h]],"")</f>
        <v/>
      </c>
    </row>
    <row r="986">
      <c r="A986" s="54" t="n"/>
      <c r="B986" s="61" t="n"/>
      <c r="C986" s="62" t="n"/>
      <c r="D986" s="57" t="n"/>
      <c r="E986" s="57" t="n"/>
      <c r="F986" s="58" t="n"/>
      <c r="G986" s="66">
        <f>IF(tblFleet[[#This Row],[Units]]="","",tblFleet[[#This Row],[Units]]*24)</f>
        <v/>
      </c>
      <c r="H986" s="66">
        <f>IF(tblFleet[[#This Row],[Units]]="","",tblFleet[[#This Row],[Calendar_h]]-tblFleet[[#This Row],[Down_h]])</f>
        <v/>
      </c>
      <c r="I986" s="60">
        <f>IF(AND(tblFleet[[#This Row],[Units]]&lt;&gt;"",tblFleet[[#This Row],[Calendar_h]]&gt;0),tblFleet[[#This Row],[Available_h]]/tblFleet[[#This Row],[Calendar_h]],"")</f>
        <v/>
      </c>
      <c r="J986" s="60">
        <f>IF(AND(tblFleet[[#This Row],[Units]]&lt;&gt;"",tblFleet[[#This Row],[Available_h]]&gt;0),tblFleet[[#This Row],[Operating_h]]/tblFleet[[#This Row],[Available_h]],"")</f>
        <v/>
      </c>
    </row>
    <row r="987">
      <c r="A987" s="54" t="n"/>
      <c r="B987" s="61" t="n"/>
      <c r="C987" s="62" t="n"/>
      <c r="D987" s="57" t="n"/>
      <c r="E987" s="57" t="n"/>
      <c r="F987" s="58" t="n"/>
      <c r="G987" s="66">
        <f>IF(tblFleet[[#This Row],[Units]]="","",tblFleet[[#This Row],[Units]]*24)</f>
        <v/>
      </c>
      <c r="H987" s="66">
        <f>IF(tblFleet[[#This Row],[Units]]="","",tblFleet[[#This Row],[Calendar_h]]-tblFleet[[#This Row],[Down_h]])</f>
        <v/>
      </c>
      <c r="I987" s="60">
        <f>IF(AND(tblFleet[[#This Row],[Units]]&lt;&gt;"",tblFleet[[#This Row],[Calendar_h]]&gt;0),tblFleet[[#This Row],[Available_h]]/tblFleet[[#This Row],[Calendar_h]],"")</f>
        <v/>
      </c>
      <c r="J987" s="60">
        <f>IF(AND(tblFleet[[#This Row],[Units]]&lt;&gt;"",tblFleet[[#This Row],[Available_h]]&gt;0),tblFleet[[#This Row],[Operating_h]]/tblFleet[[#This Row],[Available_h]],"")</f>
        <v/>
      </c>
    </row>
    <row r="988">
      <c r="A988" s="54" t="n"/>
      <c r="B988" s="61" t="n"/>
      <c r="C988" s="62" t="n"/>
      <c r="D988" s="57" t="n"/>
      <c r="E988" s="57" t="n"/>
      <c r="F988" s="58" t="n"/>
      <c r="G988" s="66">
        <f>IF(tblFleet[[#This Row],[Units]]="","",tblFleet[[#This Row],[Units]]*24)</f>
        <v/>
      </c>
      <c r="H988" s="66">
        <f>IF(tblFleet[[#This Row],[Units]]="","",tblFleet[[#This Row],[Calendar_h]]-tblFleet[[#This Row],[Down_h]])</f>
        <v/>
      </c>
      <c r="I988" s="60">
        <f>IF(AND(tblFleet[[#This Row],[Units]]&lt;&gt;"",tblFleet[[#This Row],[Calendar_h]]&gt;0),tblFleet[[#This Row],[Available_h]]/tblFleet[[#This Row],[Calendar_h]],"")</f>
        <v/>
      </c>
      <c r="J988" s="60">
        <f>IF(AND(tblFleet[[#This Row],[Units]]&lt;&gt;"",tblFleet[[#This Row],[Available_h]]&gt;0),tblFleet[[#This Row],[Operating_h]]/tblFleet[[#This Row],[Available_h]],"")</f>
        <v/>
      </c>
    </row>
    <row r="989">
      <c r="A989" s="54" t="n"/>
      <c r="B989" s="61" t="n"/>
      <c r="C989" s="62" t="n"/>
      <c r="D989" s="57" t="n"/>
      <c r="E989" s="57" t="n"/>
      <c r="F989" s="58" t="n"/>
      <c r="G989" s="66">
        <f>IF(tblFleet[[#This Row],[Units]]="","",tblFleet[[#This Row],[Units]]*24)</f>
        <v/>
      </c>
      <c r="H989" s="66">
        <f>IF(tblFleet[[#This Row],[Units]]="","",tblFleet[[#This Row],[Calendar_h]]-tblFleet[[#This Row],[Down_h]])</f>
        <v/>
      </c>
      <c r="I989" s="60">
        <f>IF(AND(tblFleet[[#This Row],[Units]]&lt;&gt;"",tblFleet[[#This Row],[Calendar_h]]&gt;0),tblFleet[[#This Row],[Available_h]]/tblFleet[[#This Row],[Calendar_h]],"")</f>
        <v/>
      </c>
      <c r="J989" s="60">
        <f>IF(AND(tblFleet[[#This Row],[Units]]&lt;&gt;"",tblFleet[[#This Row],[Available_h]]&gt;0),tblFleet[[#This Row],[Operating_h]]/tblFleet[[#This Row],[Available_h]],"")</f>
        <v/>
      </c>
    </row>
    <row r="990">
      <c r="A990" s="54" t="n"/>
      <c r="B990" s="61" t="n"/>
      <c r="C990" s="62" t="n"/>
      <c r="D990" s="57" t="n"/>
      <c r="E990" s="57" t="n"/>
      <c r="F990" s="58" t="n"/>
      <c r="G990" s="66">
        <f>IF(tblFleet[[#This Row],[Units]]="","",tblFleet[[#This Row],[Units]]*24)</f>
        <v/>
      </c>
      <c r="H990" s="66">
        <f>IF(tblFleet[[#This Row],[Units]]="","",tblFleet[[#This Row],[Calendar_h]]-tblFleet[[#This Row],[Down_h]])</f>
        <v/>
      </c>
      <c r="I990" s="60">
        <f>IF(AND(tblFleet[[#This Row],[Units]]&lt;&gt;"",tblFleet[[#This Row],[Calendar_h]]&gt;0),tblFleet[[#This Row],[Available_h]]/tblFleet[[#This Row],[Calendar_h]],"")</f>
        <v/>
      </c>
      <c r="J990" s="60">
        <f>IF(AND(tblFleet[[#This Row],[Units]]&lt;&gt;"",tblFleet[[#This Row],[Available_h]]&gt;0),tblFleet[[#This Row],[Operating_h]]/tblFleet[[#This Row],[Available_h]],"")</f>
        <v/>
      </c>
    </row>
    <row r="991">
      <c r="A991" s="54" t="n"/>
      <c r="B991" s="61" t="n"/>
      <c r="C991" s="62" t="n"/>
      <c r="D991" s="57" t="n"/>
      <c r="E991" s="57" t="n"/>
      <c r="F991" s="58" t="n"/>
      <c r="G991" s="66">
        <f>IF(tblFleet[[#This Row],[Units]]="","",tblFleet[[#This Row],[Units]]*24)</f>
        <v/>
      </c>
      <c r="H991" s="66">
        <f>IF(tblFleet[[#This Row],[Units]]="","",tblFleet[[#This Row],[Calendar_h]]-tblFleet[[#This Row],[Down_h]])</f>
        <v/>
      </c>
      <c r="I991" s="60">
        <f>IF(AND(tblFleet[[#This Row],[Units]]&lt;&gt;"",tblFleet[[#This Row],[Calendar_h]]&gt;0),tblFleet[[#This Row],[Available_h]]/tblFleet[[#This Row],[Calendar_h]],"")</f>
        <v/>
      </c>
      <c r="J991" s="60">
        <f>IF(AND(tblFleet[[#This Row],[Units]]&lt;&gt;"",tblFleet[[#This Row],[Available_h]]&gt;0),tblFleet[[#This Row],[Operating_h]]/tblFleet[[#This Row],[Available_h]],"")</f>
        <v/>
      </c>
    </row>
    <row r="992">
      <c r="A992" s="54" t="n"/>
      <c r="B992" s="61" t="n"/>
      <c r="C992" s="62" t="n"/>
      <c r="D992" s="57" t="n"/>
      <c r="E992" s="57" t="n"/>
      <c r="F992" s="58" t="n"/>
      <c r="G992" s="66">
        <f>IF(tblFleet[[#This Row],[Units]]="","",tblFleet[[#This Row],[Units]]*24)</f>
        <v/>
      </c>
      <c r="H992" s="66">
        <f>IF(tblFleet[[#This Row],[Units]]="","",tblFleet[[#This Row],[Calendar_h]]-tblFleet[[#This Row],[Down_h]])</f>
        <v/>
      </c>
      <c r="I992" s="60">
        <f>IF(AND(tblFleet[[#This Row],[Units]]&lt;&gt;"",tblFleet[[#This Row],[Calendar_h]]&gt;0),tblFleet[[#This Row],[Available_h]]/tblFleet[[#This Row],[Calendar_h]],"")</f>
        <v/>
      </c>
      <c r="J992" s="60">
        <f>IF(AND(tblFleet[[#This Row],[Units]]&lt;&gt;"",tblFleet[[#This Row],[Available_h]]&gt;0),tblFleet[[#This Row],[Operating_h]]/tblFleet[[#This Row],[Available_h]],"")</f>
        <v/>
      </c>
    </row>
    <row r="993">
      <c r="A993" s="54" t="n"/>
      <c r="B993" s="61" t="n"/>
      <c r="C993" s="62" t="n"/>
      <c r="D993" s="57" t="n"/>
      <c r="E993" s="57" t="n"/>
      <c r="F993" s="58" t="n"/>
      <c r="G993" s="66">
        <f>IF(tblFleet[[#This Row],[Units]]="","",tblFleet[[#This Row],[Units]]*24)</f>
        <v/>
      </c>
      <c r="H993" s="66">
        <f>IF(tblFleet[[#This Row],[Units]]="","",tblFleet[[#This Row],[Calendar_h]]-tblFleet[[#This Row],[Down_h]])</f>
        <v/>
      </c>
      <c r="I993" s="60">
        <f>IF(AND(tblFleet[[#This Row],[Units]]&lt;&gt;"",tblFleet[[#This Row],[Calendar_h]]&gt;0),tblFleet[[#This Row],[Available_h]]/tblFleet[[#This Row],[Calendar_h]],"")</f>
        <v/>
      </c>
      <c r="J993" s="60">
        <f>IF(AND(tblFleet[[#This Row],[Units]]&lt;&gt;"",tblFleet[[#This Row],[Available_h]]&gt;0),tblFleet[[#This Row],[Operating_h]]/tblFleet[[#This Row],[Available_h]],"")</f>
        <v/>
      </c>
    </row>
    <row r="994">
      <c r="A994" s="54" t="n"/>
      <c r="B994" s="61" t="n"/>
      <c r="C994" s="62" t="n"/>
      <c r="D994" s="57" t="n"/>
      <c r="E994" s="57" t="n"/>
      <c r="F994" s="58" t="n"/>
      <c r="G994" s="66">
        <f>IF(tblFleet[[#This Row],[Units]]="","",tblFleet[[#This Row],[Units]]*24)</f>
        <v/>
      </c>
      <c r="H994" s="66">
        <f>IF(tblFleet[[#This Row],[Units]]="","",tblFleet[[#This Row],[Calendar_h]]-tblFleet[[#This Row],[Down_h]])</f>
        <v/>
      </c>
      <c r="I994" s="60">
        <f>IF(AND(tblFleet[[#This Row],[Units]]&lt;&gt;"",tblFleet[[#This Row],[Calendar_h]]&gt;0),tblFleet[[#This Row],[Available_h]]/tblFleet[[#This Row],[Calendar_h]],"")</f>
        <v/>
      </c>
      <c r="J994" s="60">
        <f>IF(AND(tblFleet[[#This Row],[Units]]&lt;&gt;"",tblFleet[[#This Row],[Available_h]]&gt;0),tblFleet[[#This Row],[Operating_h]]/tblFleet[[#This Row],[Available_h]],"")</f>
        <v/>
      </c>
    </row>
    <row r="995">
      <c r="A995" s="54" t="n"/>
      <c r="B995" s="61" t="n"/>
      <c r="C995" s="62" t="n"/>
      <c r="D995" s="57" t="n"/>
      <c r="E995" s="57" t="n"/>
      <c r="F995" s="58" t="n"/>
      <c r="G995" s="66">
        <f>IF(tblFleet[[#This Row],[Units]]="","",tblFleet[[#This Row],[Units]]*24)</f>
        <v/>
      </c>
      <c r="H995" s="66">
        <f>IF(tblFleet[[#This Row],[Units]]="","",tblFleet[[#This Row],[Calendar_h]]-tblFleet[[#This Row],[Down_h]])</f>
        <v/>
      </c>
      <c r="I995" s="60">
        <f>IF(AND(tblFleet[[#This Row],[Units]]&lt;&gt;"",tblFleet[[#This Row],[Calendar_h]]&gt;0),tblFleet[[#This Row],[Available_h]]/tblFleet[[#This Row],[Calendar_h]],"")</f>
        <v/>
      </c>
      <c r="J995" s="60">
        <f>IF(AND(tblFleet[[#This Row],[Units]]&lt;&gt;"",tblFleet[[#This Row],[Available_h]]&gt;0),tblFleet[[#This Row],[Operating_h]]/tblFleet[[#This Row],[Available_h]],"")</f>
        <v/>
      </c>
    </row>
    <row r="996">
      <c r="A996" s="54" t="n"/>
      <c r="B996" s="61" t="n"/>
      <c r="C996" s="62" t="n"/>
      <c r="D996" s="57" t="n"/>
      <c r="E996" s="57" t="n"/>
      <c r="F996" s="58" t="n"/>
      <c r="G996" s="66">
        <f>IF(tblFleet[[#This Row],[Units]]="","",tblFleet[[#This Row],[Units]]*24)</f>
        <v/>
      </c>
      <c r="H996" s="66">
        <f>IF(tblFleet[[#This Row],[Units]]="","",tblFleet[[#This Row],[Calendar_h]]-tblFleet[[#This Row],[Down_h]])</f>
        <v/>
      </c>
      <c r="I996" s="60">
        <f>IF(AND(tblFleet[[#This Row],[Units]]&lt;&gt;"",tblFleet[[#This Row],[Calendar_h]]&gt;0),tblFleet[[#This Row],[Available_h]]/tblFleet[[#This Row],[Calendar_h]],"")</f>
        <v/>
      </c>
      <c r="J996" s="60">
        <f>IF(AND(tblFleet[[#This Row],[Units]]&lt;&gt;"",tblFleet[[#This Row],[Available_h]]&gt;0),tblFleet[[#This Row],[Operating_h]]/tblFleet[[#This Row],[Available_h]],"")</f>
        <v/>
      </c>
    </row>
    <row r="997">
      <c r="A997" s="54" t="n"/>
      <c r="B997" s="61" t="n"/>
      <c r="C997" s="62" t="n"/>
      <c r="D997" s="57" t="n"/>
      <c r="E997" s="57" t="n"/>
      <c r="F997" s="58" t="n"/>
      <c r="G997" s="66">
        <f>IF(tblFleet[[#This Row],[Units]]="","",tblFleet[[#This Row],[Units]]*24)</f>
        <v/>
      </c>
      <c r="H997" s="66">
        <f>IF(tblFleet[[#This Row],[Units]]="","",tblFleet[[#This Row],[Calendar_h]]-tblFleet[[#This Row],[Down_h]])</f>
        <v/>
      </c>
      <c r="I997" s="60">
        <f>IF(AND(tblFleet[[#This Row],[Units]]&lt;&gt;"",tblFleet[[#This Row],[Calendar_h]]&gt;0),tblFleet[[#This Row],[Available_h]]/tblFleet[[#This Row],[Calendar_h]],"")</f>
        <v/>
      </c>
      <c r="J997" s="60">
        <f>IF(AND(tblFleet[[#This Row],[Units]]&lt;&gt;"",tblFleet[[#This Row],[Available_h]]&gt;0),tblFleet[[#This Row],[Operating_h]]/tblFleet[[#This Row],[Available_h]],"")</f>
        <v/>
      </c>
    </row>
    <row r="998">
      <c r="A998" s="54" t="n"/>
      <c r="B998" s="61" t="n"/>
      <c r="C998" s="62" t="n"/>
      <c r="D998" s="57" t="n"/>
      <c r="E998" s="57" t="n"/>
      <c r="F998" s="58" t="n"/>
      <c r="G998" s="66">
        <f>IF(tblFleet[[#This Row],[Units]]="","",tblFleet[[#This Row],[Units]]*24)</f>
        <v/>
      </c>
      <c r="H998" s="66">
        <f>IF(tblFleet[[#This Row],[Units]]="","",tblFleet[[#This Row],[Calendar_h]]-tblFleet[[#This Row],[Down_h]])</f>
        <v/>
      </c>
      <c r="I998" s="60">
        <f>IF(AND(tblFleet[[#This Row],[Units]]&lt;&gt;"",tblFleet[[#This Row],[Calendar_h]]&gt;0),tblFleet[[#This Row],[Available_h]]/tblFleet[[#This Row],[Calendar_h]],"")</f>
        <v/>
      </c>
      <c r="J998" s="60">
        <f>IF(AND(tblFleet[[#This Row],[Units]]&lt;&gt;"",tblFleet[[#This Row],[Available_h]]&gt;0),tblFleet[[#This Row],[Operating_h]]/tblFleet[[#This Row],[Available_h]],"")</f>
        <v/>
      </c>
    </row>
    <row r="999">
      <c r="A999" s="54" t="n"/>
      <c r="B999" s="61" t="n"/>
      <c r="C999" s="62" t="n"/>
      <c r="D999" s="57" t="n"/>
      <c r="E999" s="57" t="n"/>
      <c r="F999" s="58" t="n"/>
      <c r="G999" s="66">
        <f>IF(tblFleet[[#This Row],[Units]]="","",tblFleet[[#This Row],[Units]]*24)</f>
        <v/>
      </c>
      <c r="H999" s="66">
        <f>IF(tblFleet[[#This Row],[Units]]="","",tblFleet[[#This Row],[Calendar_h]]-tblFleet[[#This Row],[Down_h]])</f>
        <v/>
      </c>
      <c r="I999" s="60">
        <f>IF(AND(tblFleet[[#This Row],[Units]]&lt;&gt;"",tblFleet[[#This Row],[Calendar_h]]&gt;0),tblFleet[[#This Row],[Available_h]]/tblFleet[[#This Row],[Calendar_h]],"")</f>
        <v/>
      </c>
      <c r="J999" s="60">
        <f>IF(AND(tblFleet[[#This Row],[Units]]&lt;&gt;"",tblFleet[[#This Row],[Available_h]]&gt;0),tblFleet[[#This Row],[Operating_h]]/tblFleet[[#This Row],[Available_h]],"")</f>
        <v/>
      </c>
    </row>
    <row r="1000">
      <c r="A1000" s="54" t="n"/>
      <c r="B1000" s="61" t="n"/>
      <c r="C1000" s="62" t="n"/>
      <c r="D1000" s="57" t="n"/>
      <c r="E1000" s="57" t="n"/>
      <c r="F1000" s="58" t="n"/>
      <c r="G1000" s="66">
        <f>IF(tblFleet[[#This Row],[Units]]="","",tblFleet[[#This Row],[Units]]*24)</f>
        <v/>
      </c>
      <c r="H1000" s="66">
        <f>IF(tblFleet[[#This Row],[Units]]="","",tblFleet[[#This Row],[Calendar_h]]-tblFleet[[#This Row],[Down_h]])</f>
        <v/>
      </c>
      <c r="I1000" s="60">
        <f>IF(AND(tblFleet[[#This Row],[Units]]&lt;&gt;"",tblFleet[[#This Row],[Calendar_h]]&gt;0),tblFleet[[#This Row],[Available_h]]/tblFleet[[#This Row],[Calendar_h]],"")</f>
        <v/>
      </c>
      <c r="J1000" s="60">
        <f>IF(AND(tblFleet[[#This Row],[Units]]&lt;&gt;"",tblFleet[[#This Row],[Available_h]]&gt;0),tblFleet[[#This Row],[Operating_h]]/tblFleet[[#This Row],[Available_h]],"")</f>
        <v/>
      </c>
    </row>
    <row r="1001">
      <c r="A1001" s="54" t="n"/>
      <c r="B1001" s="61" t="n"/>
      <c r="C1001" s="62" t="n"/>
      <c r="D1001" s="57" t="n"/>
      <c r="E1001" s="57" t="n"/>
      <c r="F1001" s="58" t="n"/>
      <c r="G1001" s="66">
        <f>IF(tblFleet[[#This Row],[Units]]="","",tblFleet[[#This Row],[Units]]*24)</f>
        <v/>
      </c>
      <c r="H1001" s="66">
        <f>IF(tblFleet[[#This Row],[Units]]="","",tblFleet[[#This Row],[Calendar_h]]-tblFleet[[#This Row],[Down_h]])</f>
        <v/>
      </c>
      <c r="I1001" s="60">
        <f>IF(AND(tblFleet[[#This Row],[Units]]&lt;&gt;"",tblFleet[[#This Row],[Calendar_h]]&gt;0),tblFleet[[#This Row],[Available_h]]/tblFleet[[#This Row],[Calendar_h]],"")</f>
        <v/>
      </c>
      <c r="J1001" s="60">
        <f>IF(AND(tblFleet[[#This Row],[Units]]&lt;&gt;"",tblFleet[[#This Row],[Available_h]]&gt;0),tblFleet[[#This Row],[Operating_h]]/tblFleet[[#This Row],[Available_h]],"")</f>
        <v/>
      </c>
    </row>
    <row r="1002">
      <c r="A1002" s="54" t="n"/>
      <c r="B1002" s="61" t="n"/>
      <c r="C1002" s="62" t="n"/>
      <c r="D1002" s="57" t="n"/>
      <c r="E1002" s="57" t="n"/>
      <c r="F1002" s="58" t="n"/>
      <c r="G1002" s="66">
        <f>IF(tblFleet[[#This Row],[Units]]="","",tblFleet[[#This Row],[Units]]*24)</f>
        <v/>
      </c>
      <c r="H1002" s="66">
        <f>IF(tblFleet[[#This Row],[Units]]="","",tblFleet[[#This Row],[Calendar_h]]-tblFleet[[#This Row],[Down_h]])</f>
        <v/>
      </c>
      <c r="I1002" s="60">
        <f>IF(AND(tblFleet[[#This Row],[Units]]&lt;&gt;"",tblFleet[[#This Row],[Calendar_h]]&gt;0),tblFleet[[#This Row],[Available_h]]/tblFleet[[#This Row],[Calendar_h]],"")</f>
        <v/>
      </c>
      <c r="J1002" s="60">
        <f>IF(AND(tblFleet[[#This Row],[Units]]&lt;&gt;"",tblFleet[[#This Row],[Available_h]]&gt;0),tblFleet[[#This Row],[Operating_h]]/tblFleet[[#This Row],[Available_h]],"")</f>
        <v/>
      </c>
    </row>
    <row r="1003">
      <c r="A1003" s="54" t="n"/>
      <c r="B1003" s="61" t="n"/>
      <c r="C1003" s="62" t="n"/>
      <c r="D1003" s="57" t="n"/>
      <c r="E1003" s="57" t="n"/>
      <c r="F1003" s="58" t="n"/>
      <c r="G1003" s="66">
        <f>IF(tblFleet[[#This Row],[Units]]="","",tblFleet[[#This Row],[Units]]*24)</f>
        <v/>
      </c>
      <c r="H1003" s="66">
        <f>IF(tblFleet[[#This Row],[Units]]="","",tblFleet[[#This Row],[Calendar_h]]-tblFleet[[#This Row],[Down_h]])</f>
        <v/>
      </c>
      <c r="I1003" s="60">
        <f>IF(AND(tblFleet[[#This Row],[Units]]&lt;&gt;"",tblFleet[[#This Row],[Calendar_h]]&gt;0),tblFleet[[#This Row],[Available_h]]/tblFleet[[#This Row],[Calendar_h]],"")</f>
        <v/>
      </c>
      <c r="J1003" s="60">
        <f>IF(AND(tblFleet[[#This Row],[Units]]&lt;&gt;"",tblFleet[[#This Row],[Available_h]]&gt;0),tblFleet[[#This Row],[Operating_h]]/tblFleet[[#This Row],[Available_h]],"")</f>
        <v/>
      </c>
    </row>
    <row r="1004">
      <c r="A1004" s="54" t="n"/>
      <c r="B1004" s="61" t="n"/>
      <c r="C1004" s="62" t="n"/>
      <c r="D1004" s="57" t="n"/>
      <c r="E1004" s="57" t="n"/>
      <c r="F1004" s="58" t="n"/>
      <c r="G1004" s="66">
        <f>IF(tblFleet[[#This Row],[Units]]="","",tblFleet[[#This Row],[Units]]*24)</f>
        <v/>
      </c>
      <c r="H1004" s="66">
        <f>IF(tblFleet[[#This Row],[Units]]="","",tblFleet[[#This Row],[Calendar_h]]-tblFleet[[#This Row],[Down_h]])</f>
        <v/>
      </c>
      <c r="I1004" s="60">
        <f>IF(AND(tblFleet[[#This Row],[Units]]&lt;&gt;"",tblFleet[[#This Row],[Calendar_h]]&gt;0),tblFleet[[#This Row],[Available_h]]/tblFleet[[#This Row],[Calendar_h]],"")</f>
        <v/>
      </c>
      <c r="J1004" s="60">
        <f>IF(AND(tblFleet[[#This Row],[Units]]&lt;&gt;"",tblFleet[[#This Row],[Available_h]]&gt;0),tblFleet[[#This Row],[Operating_h]]/tblFleet[[#This Row],[Available_h]],"")</f>
        <v/>
      </c>
    </row>
    <row r="1005">
      <c r="A1005" s="54" t="n"/>
      <c r="B1005" s="61" t="n"/>
      <c r="C1005" s="62" t="n"/>
      <c r="D1005" s="57" t="n"/>
      <c r="E1005" s="57" t="n"/>
      <c r="F1005" s="58" t="n"/>
      <c r="G1005" s="66">
        <f>IF(tblFleet[[#This Row],[Units]]="","",tblFleet[[#This Row],[Units]]*24)</f>
        <v/>
      </c>
      <c r="H1005" s="66">
        <f>IF(tblFleet[[#This Row],[Units]]="","",tblFleet[[#This Row],[Calendar_h]]-tblFleet[[#This Row],[Down_h]])</f>
        <v/>
      </c>
      <c r="I1005" s="60">
        <f>IF(AND(tblFleet[[#This Row],[Units]]&lt;&gt;"",tblFleet[[#This Row],[Calendar_h]]&gt;0),tblFleet[[#This Row],[Available_h]]/tblFleet[[#This Row],[Calendar_h]],"")</f>
        <v/>
      </c>
      <c r="J1005" s="60">
        <f>IF(AND(tblFleet[[#This Row],[Units]]&lt;&gt;"",tblFleet[[#This Row],[Available_h]]&gt;0),tblFleet[[#This Row],[Operating_h]]/tblFleet[[#This Row],[Available_h]],"")</f>
        <v/>
      </c>
    </row>
    <row r="1006">
      <c r="A1006" s="54" t="n"/>
      <c r="B1006" s="61" t="n"/>
      <c r="C1006" s="62" t="n"/>
      <c r="D1006" s="57" t="n"/>
      <c r="E1006" s="57" t="n"/>
      <c r="F1006" s="58" t="n"/>
      <c r="G1006" s="66">
        <f>IF(tblFleet[[#This Row],[Units]]="","",tblFleet[[#This Row],[Units]]*24)</f>
        <v/>
      </c>
      <c r="H1006" s="66">
        <f>IF(tblFleet[[#This Row],[Units]]="","",tblFleet[[#This Row],[Calendar_h]]-tblFleet[[#This Row],[Down_h]])</f>
        <v/>
      </c>
      <c r="I1006" s="60">
        <f>IF(AND(tblFleet[[#This Row],[Units]]&lt;&gt;"",tblFleet[[#This Row],[Calendar_h]]&gt;0),tblFleet[[#This Row],[Available_h]]/tblFleet[[#This Row],[Calendar_h]],"")</f>
        <v/>
      </c>
      <c r="J1006" s="60">
        <f>IF(AND(tblFleet[[#This Row],[Units]]&lt;&gt;"",tblFleet[[#This Row],[Available_h]]&gt;0),tblFleet[[#This Row],[Operating_h]]/tblFleet[[#This Row],[Available_h]],"")</f>
        <v/>
      </c>
    </row>
    <row r="1007">
      <c r="A1007" s="54" t="n"/>
      <c r="B1007" s="61" t="n"/>
      <c r="C1007" s="62" t="n"/>
      <c r="D1007" s="57" t="n"/>
      <c r="E1007" s="57" t="n"/>
      <c r="F1007" s="58" t="n"/>
      <c r="G1007" s="66">
        <f>IF(tblFleet[[#This Row],[Units]]="","",tblFleet[[#This Row],[Units]]*24)</f>
        <v/>
      </c>
      <c r="H1007" s="66">
        <f>IF(tblFleet[[#This Row],[Units]]="","",tblFleet[[#This Row],[Calendar_h]]-tblFleet[[#This Row],[Down_h]])</f>
        <v/>
      </c>
      <c r="I1007" s="60">
        <f>IF(AND(tblFleet[[#This Row],[Units]]&lt;&gt;"",tblFleet[[#This Row],[Calendar_h]]&gt;0),tblFleet[[#This Row],[Available_h]]/tblFleet[[#This Row],[Calendar_h]],"")</f>
        <v/>
      </c>
      <c r="J1007" s="60">
        <f>IF(AND(tblFleet[[#This Row],[Units]]&lt;&gt;"",tblFleet[[#This Row],[Available_h]]&gt;0),tblFleet[[#This Row],[Operating_h]]/tblFleet[[#This Row],[Available_h]],"")</f>
        <v/>
      </c>
    </row>
    <row r="1008">
      <c r="A1008" s="54" t="n"/>
      <c r="B1008" s="61" t="n"/>
      <c r="C1008" s="62" t="n"/>
      <c r="D1008" s="57" t="n"/>
      <c r="E1008" s="57" t="n"/>
      <c r="F1008" s="58" t="n"/>
      <c r="G1008" s="66">
        <f>IF(tblFleet[[#This Row],[Units]]="","",tblFleet[[#This Row],[Units]]*24)</f>
        <v/>
      </c>
      <c r="H1008" s="66">
        <f>IF(tblFleet[[#This Row],[Units]]="","",tblFleet[[#This Row],[Calendar_h]]-tblFleet[[#This Row],[Down_h]])</f>
        <v/>
      </c>
      <c r="I1008" s="60">
        <f>IF(AND(tblFleet[[#This Row],[Units]]&lt;&gt;"",tblFleet[[#This Row],[Calendar_h]]&gt;0),tblFleet[[#This Row],[Available_h]]/tblFleet[[#This Row],[Calendar_h]],"")</f>
        <v/>
      </c>
      <c r="J1008" s="60">
        <f>IF(AND(tblFleet[[#This Row],[Units]]&lt;&gt;"",tblFleet[[#This Row],[Available_h]]&gt;0),tblFleet[[#This Row],[Operating_h]]/tblFleet[[#This Row],[Available_h]],"")</f>
        <v/>
      </c>
    </row>
    <row r="1009">
      <c r="A1009" s="54" t="n"/>
      <c r="B1009" s="61" t="n"/>
      <c r="C1009" s="62" t="n"/>
      <c r="D1009" s="57" t="n"/>
      <c r="E1009" s="57" t="n"/>
      <c r="F1009" s="58" t="n"/>
      <c r="G1009" s="66">
        <f>IF(tblFleet[[#This Row],[Units]]="","",tblFleet[[#This Row],[Units]]*24)</f>
        <v/>
      </c>
      <c r="H1009" s="66">
        <f>IF(tblFleet[[#This Row],[Units]]="","",tblFleet[[#This Row],[Calendar_h]]-tblFleet[[#This Row],[Down_h]])</f>
        <v/>
      </c>
      <c r="I1009" s="60">
        <f>IF(AND(tblFleet[[#This Row],[Units]]&lt;&gt;"",tblFleet[[#This Row],[Calendar_h]]&gt;0),tblFleet[[#This Row],[Available_h]]/tblFleet[[#This Row],[Calendar_h]],"")</f>
        <v/>
      </c>
      <c r="J1009" s="60">
        <f>IF(AND(tblFleet[[#This Row],[Units]]&lt;&gt;"",tblFleet[[#This Row],[Available_h]]&gt;0),tblFleet[[#This Row],[Operating_h]]/tblFleet[[#This Row],[Available_h]],"")</f>
        <v/>
      </c>
    </row>
    <row r="1010">
      <c r="A1010" s="54" t="n"/>
      <c r="B1010" s="61" t="n"/>
      <c r="C1010" s="62" t="n"/>
      <c r="D1010" s="57" t="n"/>
      <c r="E1010" s="57" t="n"/>
      <c r="F1010" s="58" t="n"/>
      <c r="G1010" s="66">
        <f>IF(tblFleet[[#This Row],[Units]]="","",tblFleet[[#This Row],[Units]]*24)</f>
        <v/>
      </c>
      <c r="H1010" s="66">
        <f>IF(tblFleet[[#This Row],[Units]]="","",tblFleet[[#This Row],[Calendar_h]]-tblFleet[[#This Row],[Down_h]])</f>
        <v/>
      </c>
      <c r="I1010" s="60">
        <f>IF(AND(tblFleet[[#This Row],[Units]]&lt;&gt;"",tblFleet[[#This Row],[Calendar_h]]&gt;0),tblFleet[[#This Row],[Available_h]]/tblFleet[[#This Row],[Calendar_h]],"")</f>
        <v/>
      </c>
      <c r="J1010" s="60">
        <f>IF(AND(tblFleet[[#This Row],[Units]]&lt;&gt;"",tblFleet[[#This Row],[Available_h]]&gt;0),tblFleet[[#This Row],[Operating_h]]/tblFleet[[#This Row],[Available_h]],"")</f>
        <v/>
      </c>
    </row>
    <row r="1011">
      <c r="A1011" s="54" t="n"/>
      <c r="B1011" s="61" t="n"/>
      <c r="C1011" s="62" t="n"/>
      <c r="D1011" s="57" t="n"/>
      <c r="E1011" s="57" t="n"/>
      <c r="F1011" s="58" t="n"/>
      <c r="G1011" s="66">
        <f>IF(tblFleet[[#This Row],[Units]]="","",tblFleet[[#This Row],[Units]]*24)</f>
        <v/>
      </c>
      <c r="H1011" s="66">
        <f>IF(tblFleet[[#This Row],[Units]]="","",tblFleet[[#This Row],[Calendar_h]]-tblFleet[[#This Row],[Down_h]])</f>
        <v/>
      </c>
      <c r="I1011" s="60">
        <f>IF(AND(tblFleet[[#This Row],[Units]]&lt;&gt;"",tblFleet[[#This Row],[Calendar_h]]&gt;0),tblFleet[[#This Row],[Available_h]]/tblFleet[[#This Row],[Calendar_h]],"")</f>
        <v/>
      </c>
      <c r="J1011" s="60">
        <f>IF(AND(tblFleet[[#This Row],[Units]]&lt;&gt;"",tblFleet[[#This Row],[Available_h]]&gt;0),tblFleet[[#This Row],[Operating_h]]/tblFleet[[#This Row],[Available_h]],"")</f>
        <v/>
      </c>
    </row>
    <row r="1012">
      <c r="A1012" s="54" t="n"/>
      <c r="B1012" s="61" t="n"/>
      <c r="C1012" s="62" t="n"/>
      <c r="D1012" s="57" t="n"/>
      <c r="E1012" s="57" t="n"/>
      <c r="F1012" s="58" t="n"/>
      <c r="G1012" s="66">
        <f>IF(tblFleet[[#This Row],[Units]]="","",tblFleet[[#This Row],[Units]]*24)</f>
        <v/>
      </c>
      <c r="H1012" s="66">
        <f>IF(tblFleet[[#This Row],[Units]]="","",tblFleet[[#This Row],[Calendar_h]]-tblFleet[[#This Row],[Down_h]])</f>
        <v/>
      </c>
      <c r="I1012" s="60">
        <f>IF(AND(tblFleet[[#This Row],[Units]]&lt;&gt;"",tblFleet[[#This Row],[Calendar_h]]&gt;0),tblFleet[[#This Row],[Available_h]]/tblFleet[[#This Row],[Calendar_h]],"")</f>
        <v/>
      </c>
      <c r="J1012" s="60">
        <f>IF(AND(tblFleet[[#This Row],[Units]]&lt;&gt;"",tblFleet[[#This Row],[Available_h]]&gt;0),tblFleet[[#This Row],[Operating_h]]/tblFleet[[#This Row],[Available_h]],"")</f>
        <v/>
      </c>
    </row>
    <row r="1013">
      <c r="A1013" s="54" t="n"/>
      <c r="B1013" s="61" t="n"/>
      <c r="C1013" s="62" t="n"/>
      <c r="D1013" s="57" t="n"/>
      <c r="E1013" s="57" t="n"/>
      <c r="F1013" s="58" t="n"/>
      <c r="G1013" s="66">
        <f>IF(tblFleet[[#This Row],[Units]]="","",tblFleet[[#This Row],[Units]]*24)</f>
        <v/>
      </c>
      <c r="H1013" s="66">
        <f>IF(tblFleet[[#This Row],[Units]]="","",tblFleet[[#This Row],[Calendar_h]]-tblFleet[[#This Row],[Down_h]])</f>
        <v/>
      </c>
      <c r="I1013" s="60">
        <f>IF(AND(tblFleet[[#This Row],[Units]]&lt;&gt;"",tblFleet[[#This Row],[Calendar_h]]&gt;0),tblFleet[[#This Row],[Available_h]]/tblFleet[[#This Row],[Calendar_h]],"")</f>
        <v/>
      </c>
      <c r="J1013" s="60">
        <f>IF(AND(tblFleet[[#This Row],[Units]]&lt;&gt;"",tblFleet[[#This Row],[Available_h]]&gt;0),tblFleet[[#This Row],[Operating_h]]/tblFleet[[#This Row],[Available_h]],"")</f>
        <v/>
      </c>
    </row>
    <row r="1014">
      <c r="A1014" s="54" t="n"/>
      <c r="B1014" s="61" t="n"/>
      <c r="C1014" s="62" t="n"/>
      <c r="D1014" s="57" t="n"/>
      <c r="E1014" s="57" t="n"/>
      <c r="F1014" s="58" t="n"/>
      <c r="G1014" s="66">
        <f>IF(tblFleet[[#This Row],[Units]]="","",tblFleet[[#This Row],[Units]]*24)</f>
        <v/>
      </c>
      <c r="H1014" s="66">
        <f>IF(tblFleet[[#This Row],[Units]]="","",tblFleet[[#This Row],[Calendar_h]]-tblFleet[[#This Row],[Down_h]])</f>
        <v/>
      </c>
      <c r="I1014" s="60">
        <f>IF(AND(tblFleet[[#This Row],[Units]]&lt;&gt;"",tblFleet[[#This Row],[Calendar_h]]&gt;0),tblFleet[[#This Row],[Available_h]]/tblFleet[[#This Row],[Calendar_h]],"")</f>
        <v/>
      </c>
      <c r="J1014" s="60">
        <f>IF(AND(tblFleet[[#This Row],[Units]]&lt;&gt;"",tblFleet[[#This Row],[Available_h]]&gt;0),tblFleet[[#This Row],[Operating_h]]/tblFleet[[#This Row],[Available_h]],"")</f>
        <v/>
      </c>
    </row>
    <row r="1015">
      <c r="A1015" s="54" t="n"/>
      <c r="B1015" s="61" t="n"/>
      <c r="C1015" s="62" t="n"/>
      <c r="D1015" s="57" t="n"/>
      <c r="E1015" s="57" t="n"/>
      <c r="F1015" s="58" t="n"/>
      <c r="G1015" s="66">
        <f>IF(tblFleet[[#This Row],[Units]]="","",tblFleet[[#This Row],[Units]]*24)</f>
        <v/>
      </c>
      <c r="H1015" s="66">
        <f>IF(tblFleet[[#This Row],[Units]]="","",tblFleet[[#This Row],[Calendar_h]]-tblFleet[[#This Row],[Down_h]])</f>
        <v/>
      </c>
      <c r="I1015" s="60">
        <f>IF(AND(tblFleet[[#This Row],[Units]]&lt;&gt;"",tblFleet[[#This Row],[Calendar_h]]&gt;0),tblFleet[[#This Row],[Available_h]]/tblFleet[[#This Row],[Calendar_h]],"")</f>
        <v/>
      </c>
      <c r="J1015" s="60">
        <f>IF(AND(tblFleet[[#This Row],[Units]]&lt;&gt;"",tblFleet[[#This Row],[Available_h]]&gt;0),tblFleet[[#This Row],[Operating_h]]/tblFleet[[#This Row],[Available_h]],"")</f>
        <v/>
      </c>
    </row>
    <row r="1016">
      <c r="A1016" s="54" t="n"/>
      <c r="B1016" s="61" t="n"/>
      <c r="C1016" s="62" t="n"/>
      <c r="D1016" s="57" t="n"/>
      <c r="E1016" s="57" t="n"/>
      <c r="F1016" s="58" t="n"/>
      <c r="G1016" s="66">
        <f>IF(tblFleet[[#This Row],[Units]]="","",tblFleet[[#This Row],[Units]]*24)</f>
        <v/>
      </c>
      <c r="H1016" s="66">
        <f>IF(tblFleet[[#This Row],[Units]]="","",tblFleet[[#This Row],[Calendar_h]]-tblFleet[[#This Row],[Down_h]])</f>
        <v/>
      </c>
      <c r="I1016" s="60">
        <f>IF(AND(tblFleet[[#This Row],[Units]]&lt;&gt;"",tblFleet[[#This Row],[Calendar_h]]&gt;0),tblFleet[[#This Row],[Available_h]]/tblFleet[[#This Row],[Calendar_h]],"")</f>
        <v/>
      </c>
      <c r="J1016" s="60">
        <f>IF(AND(tblFleet[[#This Row],[Units]]&lt;&gt;"",tblFleet[[#This Row],[Available_h]]&gt;0),tblFleet[[#This Row],[Operating_h]]/tblFleet[[#This Row],[Available_h]],"")</f>
        <v/>
      </c>
    </row>
    <row r="1017">
      <c r="A1017" s="54" t="n"/>
      <c r="B1017" s="61" t="n"/>
      <c r="C1017" s="62" t="n"/>
      <c r="D1017" s="57" t="n"/>
      <c r="E1017" s="57" t="n"/>
      <c r="F1017" s="58" t="n"/>
      <c r="G1017" s="66">
        <f>IF(tblFleet[[#This Row],[Units]]="","",tblFleet[[#This Row],[Units]]*24)</f>
        <v/>
      </c>
      <c r="H1017" s="66">
        <f>IF(tblFleet[[#This Row],[Units]]="","",tblFleet[[#This Row],[Calendar_h]]-tblFleet[[#This Row],[Down_h]])</f>
        <v/>
      </c>
      <c r="I1017" s="60">
        <f>IF(AND(tblFleet[[#This Row],[Units]]&lt;&gt;"",tblFleet[[#This Row],[Calendar_h]]&gt;0),tblFleet[[#This Row],[Available_h]]/tblFleet[[#This Row],[Calendar_h]],"")</f>
        <v/>
      </c>
      <c r="J1017" s="60">
        <f>IF(AND(tblFleet[[#This Row],[Units]]&lt;&gt;"",tblFleet[[#This Row],[Available_h]]&gt;0),tblFleet[[#This Row],[Operating_h]]/tblFleet[[#This Row],[Available_h]],"")</f>
        <v/>
      </c>
    </row>
    <row r="1018">
      <c r="A1018" s="54" t="n"/>
      <c r="B1018" s="61" t="n"/>
      <c r="C1018" s="62" t="n"/>
      <c r="D1018" s="57" t="n"/>
      <c r="E1018" s="57" t="n"/>
      <c r="F1018" s="58" t="n"/>
      <c r="G1018" s="66">
        <f>IF(tblFleet[[#This Row],[Units]]="","",tblFleet[[#This Row],[Units]]*24)</f>
        <v/>
      </c>
      <c r="H1018" s="66">
        <f>IF(tblFleet[[#This Row],[Units]]="","",tblFleet[[#This Row],[Calendar_h]]-tblFleet[[#This Row],[Down_h]])</f>
        <v/>
      </c>
      <c r="I1018" s="60">
        <f>IF(AND(tblFleet[[#This Row],[Units]]&lt;&gt;"",tblFleet[[#This Row],[Calendar_h]]&gt;0),tblFleet[[#This Row],[Available_h]]/tblFleet[[#This Row],[Calendar_h]],"")</f>
        <v/>
      </c>
      <c r="J1018" s="60">
        <f>IF(AND(tblFleet[[#This Row],[Units]]&lt;&gt;"",tblFleet[[#This Row],[Available_h]]&gt;0),tblFleet[[#This Row],[Operating_h]]/tblFleet[[#This Row],[Available_h]],"")</f>
        <v/>
      </c>
    </row>
    <row r="1019">
      <c r="A1019" s="54" t="n"/>
      <c r="B1019" s="61" t="n"/>
      <c r="C1019" s="62" t="n"/>
      <c r="D1019" s="57" t="n"/>
      <c r="E1019" s="57" t="n"/>
      <c r="F1019" s="58" t="n"/>
      <c r="G1019" s="66">
        <f>IF(tblFleet[[#This Row],[Units]]="","",tblFleet[[#This Row],[Units]]*24)</f>
        <v/>
      </c>
      <c r="H1019" s="66">
        <f>IF(tblFleet[[#This Row],[Units]]="","",tblFleet[[#This Row],[Calendar_h]]-tblFleet[[#This Row],[Down_h]])</f>
        <v/>
      </c>
      <c r="I1019" s="60">
        <f>IF(AND(tblFleet[[#This Row],[Units]]&lt;&gt;"",tblFleet[[#This Row],[Calendar_h]]&gt;0),tblFleet[[#This Row],[Available_h]]/tblFleet[[#This Row],[Calendar_h]],"")</f>
        <v/>
      </c>
      <c r="J1019" s="60">
        <f>IF(AND(tblFleet[[#This Row],[Units]]&lt;&gt;"",tblFleet[[#This Row],[Available_h]]&gt;0),tblFleet[[#This Row],[Operating_h]]/tblFleet[[#This Row],[Available_h]],"")</f>
        <v/>
      </c>
    </row>
    <row r="1020">
      <c r="A1020" s="54" t="n"/>
      <c r="B1020" s="61" t="n"/>
      <c r="C1020" s="62" t="n"/>
      <c r="D1020" s="57" t="n"/>
      <c r="E1020" s="57" t="n"/>
      <c r="F1020" s="58" t="n"/>
      <c r="G1020" s="66">
        <f>IF(tblFleet[[#This Row],[Units]]="","",tblFleet[[#This Row],[Units]]*24)</f>
        <v/>
      </c>
      <c r="H1020" s="66">
        <f>IF(tblFleet[[#This Row],[Units]]="","",tblFleet[[#This Row],[Calendar_h]]-tblFleet[[#This Row],[Down_h]])</f>
        <v/>
      </c>
      <c r="I1020" s="60">
        <f>IF(AND(tblFleet[[#This Row],[Units]]&lt;&gt;"",tblFleet[[#This Row],[Calendar_h]]&gt;0),tblFleet[[#This Row],[Available_h]]/tblFleet[[#This Row],[Calendar_h]],"")</f>
        <v/>
      </c>
      <c r="J1020" s="60">
        <f>IF(AND(tblFleet[[#This Row],[Units]]&lt;&gt;"",tblFleet[[#This Row],[Available_h]]&gt;0),tblFleet[[#This Row],[Operating_h]]/tblFleet[[#This Row],[Available_h]],"")</f>
        <v/>
      </c>
    </row>
    <row r="1021">
      <c r="A1021" s="54" t="n"/>
      <c r="B1021" s="61" t="n"/>
      <c r="C1021" s="62" t="n"/>
      <c r="D1021" s="57" t="n"/>
      <c r="E1021" s="57" t="n"/>
      <c r="F1021" s="58" t="n"/>
      <c r="G1021" s="66">
        <f>IF(tblFleet[[#This Row],[Units]]="","",tblFleet[[#This Row],[Units]]*24)</f>
        <v/>
      </c>
      <c r="H1021" s="66">
        <f>IF(tblFleet[[#This Row],[Units]]="","",tblFleet[[#This Row],[Calendar_h]]-tblFleet[[#This Row],[Down_h]])</f>
        <v/>
      </c>
      <c r="I1021" s="60">
        <f>IF(AND(tblFleet[[#This Row],[Units]]&lt;&gt;"",tblFleet[[#This Row],[Calendar_h]]&gt;0),tblFleet[[#This Row],[Available_h]]/tblFleet[[#This Row],[Calendar_h]],"")</f>
        <v/>
      </c>
      <c r="J1021" s="60">
        <f>IF(AND(tblFleet[[#This Row],[Units]]&lt;&gt;"",tblFleet[[#This Row],[Available_h]]&gt;0),tblFleet[[#This Row],[Operating_h]]/tblFleet[[#This Row],[Available_h]],"")</f>
        <v/>
      </c>
    </row>
    <row r="1022">
      <c r="A1022" s="54" t="n"/>
      <c r="B1022" s="61" t="n"/>
      <c r="C1022" s="62" t="n"/>
      <c r="D1022" s="57" t="n"/>
      <c r="E1022" s="57" t="n"/>
      <c r="F1022" s="58" t="n"/>
      <c r="G1022" s="66">
        <f>IF(tblFleet[[#This Row],[Units]]="","",tblFleet[[#This Row],[Units]]*24)</f>
        <v/>
      </c>
      <c r="H1022" s="66">
        <f>IF(tblFleet[[#This Row],[Units]]="","",tblFleet[[#This Row],[Calendar_h]]-tblFleet[[#This Row],[Down_h]])</f>
        <v/>
      </c>
      <c r="I1022" s="60">
        <f>IF(AND(tblFleet[[#This Row],[Units]]&lt;&gt;"",tblFleet[[#This Row],[Calendar_h]]&gt;0),tblFleet[[#This Row],[Available_h]]/tblFleet[[#This Row],[Calendar_h]],"")</f>
        <v/>
      </c>
      <c r="J1022" s="60">
        <f>IF(AND(tblFleet[[#This Row],[Units]]&lt;&gt;"",tblFleet[[#This Row],[Available_h]]&gt;0),tblFleet[[#This Row],[Operating_h]]/tblFleet[[#This Row],[Available_h]],"")</f>
        <v/>
      </c>
    </row>
    <row r="1023">
      <c r="A1023" s="54" t="n"/>
      <c r="B1023" s="61" t="n"/>
      <c r="C1023" s="62" t="n"/>
      <c r="D1023" s="57" t="n"/>
      <c r="E1023" s="57" t="n"/>
      <c r="F1023" s="58" t="n"/>
      <c r="G1023" s="66">
        <f>IF(tblFleet[[#This Row],[Units]]="","",tblFleet[[#This Row],[Units]]*24)</f>
        <v/>
      </c>
      <c r="H1023" s="66">
        <f>IF(tblFleet[[#This Row],[Units]]="","",tblFleet[[#This Row],[Calendar_h]]-tblFleet[[#This Row],[Down_h]])</f>
        <v/>
      </c>
      <c r="I1023" s="60">
        <f>IF(AND(tblFleet[[#This Row],[Units]]&lt;&gt;"",tblFleet[[#This Row],[Calendar_h]]&gt;0),tblFleet[[#This Row],[Available_h]]/tblFleet[[#This Row],[Calendar_h]],"")</f>
        <v/>
      </c>
      <c r="J1023" s="60">
        <f>IF(AND(tblFleet[[#This Row],[Units]]&lt;&gt;"",tblFleet[[#This Row],[Available_h]]&gt;0),tblFleet[[#This Row],[Operating_h]]/tblFleet[[#This Row],[Available_h]],"")</f>
        <v/>
      </c>
    </row>
    <row r="1024">
      <c r="A1024" s="54" t="n"/>
      <c r="B1024" s="61" t="n"/>
      <c r="C1024" s="62" t="n"/>
      <c r="D1024" s="57" t="n"/>
      <c r="E1024" s="57" t="n"/>
      <c r="F1024" s="58" t="n"/>
      <c r="G1024" s="66">
        <f>IF(tblFleet[[#This Row],[Units]]="","",tblFleet[[#This Row],[Units]]*24)</f>
        <v/>
      </c>
      <c r="H1024" s="66">
        <f>IF(tblFleet[[#This Row],[Units]]="","",tblFleet[[#This Row],[Calendar_h]]-tblFleet[[#This Row],[Down_h]])</f>
        <v/>
      </c>
      <c r="I1024" s="60">
        <f>IF(AND(tblFleet[[#This Row],[Units]]&lt;&gt;"",tblFleet[[#This Row],[Calendar_h]]&gt;0),tblFleet[[#This Row],[Available_h]]/tblFleet[[#This Row],[Calendar_h]],"")</f>
        <v/>
      </c>
      <c r="J1024" s="60">
        <f>IF(AND(tblFleet[[#This Row],[Units]]&lt;&gt;"",tblFleet[[#This Row],[Available_h]]&gt;0),tblFleet[[#This Row],[Operating_h]]/tblFleet[[#This Row],[Available_h]],"")</f>
        <v/>
      </c>
    </row>
    <row r="1025">
      <c r="A1025" s="54" t="n"/>
      <c r="B1025" s="61" t="n"/>
      <c r="C1025" s="62" t="n"/>
      <c r="D1025" s="57" t="n"/>
      <c r="E1025" s="57" t="n"/>
      <c r="F1025" s="58" t="n"/>
      <c r="G1025" s="66">
        <f>IF(tblFleet[[#This Row],[Units]]="","",tblFleet[[#This Row],[Units]]*24)</f>
        <v/>
      </c>
      <c r="H1025" s="66">
        <f>IF(tblFleet[[#This Row],[Units]]="","",tblFleet[[#This Row],[Calendar_h]]-tblFleet[[#This Row],[Down_h]])</f>
        <v/>
      </c>
      <c r="I1025" s="60">
        <f>IF(AND(tblFleet[[#This Row],[Units]]&lt;&gt;"",tblFleet[[#This Row],[Calendar_h]]&gt;0),tblFleet[[#This Row],[Available_h]]/tblFleet[[#This Row],[Calendar_h]],"")</f>
        <v/>
      </c>
      <c r="J1025" s="60">
        <f>IF(AND(tblFleet[[#This Row],[Units]]&lt;&gt;"",tblFleet[[#This Row],[Available_h]]&gt;0),tblFleet[[#This Row],[Operating_h]]/tblFleet[[#This Row],[Available_h]],"")</f>
        <v/>
      </c>
    </row>
    <row r="1026">
      <c r="A1026" s="54" t="n"/>
      <c r="B1026" s="61" t="n"/>
      <c r="C1026" s="62" t="n"/>
      <c r="D1026" s="57" t="n"/>
      <c r="E1026" s="57" t="n"/>
      <c r="F1026" s="58" t="n"/>
      <c r="G1026" s="66">
        <f>IF(tblFleet[[#This Row],[Units]]="","",tblFleet[[#This Row],[Units]]*24)</f>
        <v/>
      </c>
      <c r="H1026" s="66">
        <f>IF(tblFleet[[#This Row],[Units]]="","",tblFleet[[#This Row],[Calendar_h]]-tblFleet[[#This Row],[Down_h]])</f>
        <v/>
      </c>
      <c r="I1026" s="60">
        <f>IF(AND(tblFleet[[#This Row],[Units]]&lt;&gt;"",tblFleet[[#This Row],[Calendar_h]]&gt;0),tblFleet[[#This Row],[Available_h]]/tblFleet[[#This Row],[Calendar_h]],"")</f>
        <v/>
      </c>
      <c r="J1026" s="60">
        <f>IF(AND(tblFleet[[#This Row],[Units]]&lt;&gt;"",tblFleet[[#This Row],[Available_h]]&gt;0),tblFleet[[#This Row],[Operating_h]]/tblFleet[[#This Row],[Available_h]],"")</f>
        <v/>
      </c>
    </row>
    <row r="1027">
      <c r="A1027" s="54" t="n"/>
      <c r="B1027" s="61" t="n"/>
      <c r="C1027" s="62" t="n"/>
      <c r="D1027" s="57" t="n"/>
      <c r="E1027" s="57" t="n"/>
      <c r="F1027" s="58" t="n"/>
      <c r="G1027" s="66">
        <f>IF(tblFleet[[#This Row],[Units]]="","",tblFleet[[#This Row],[Units]]*24)</f>
        <v/>
      </c>
      <c r="H1027" s="66">
        <f>IF(tblFleet[[#This Row],[Units]]="","",tblFleet[[#This Row],[Calendar_h]]-tblFleet[[#This Row],[Down_h]])</f>
        <v/>
      </c>
      <c r="I1027" s="60">
        <f>IF(AND(tblFleet[[#This Row],[Units]]&lt;&gt;"",tblFleet[[#This Row],[Calendar_h]]&gt;0),tblFleet[[#This Row],[Available_h]]/tblFleet[[#This Row],[Calendar_h]],"")</f>
        <v/>
      </c>
      <c r="J1027" s="60">
        <f>IF(AND(tblFleet[[#This Row],[Units]]&lt;&gt;"",tblFleet[[#This Row],[Available_h]]&gt;0),tblFleet[[#This Row],[Operating_h]]/tblFleet[[#This Row],[Available_h]],"")</f>
        <v/>
      </c>
    </row>
    <row r="1028">
      <c r="A1028" s="54" t="n"/>
      <c r="B1028" s="61" t="n"/>
      <c r="C1028" s="62" t="n"/>
      <c r="D1028" s="57" t="n"/>
      <c r="E1028" s="57" t="n"/>
      <c r="F1028" s="58" t="n"/>
      <c r="G1028" s="66">
        <f>IF(tblFleet[[#This Row],[Units]]="","",tblFleet[[#This Row],[Units]]*24)</f>
        <v/>
      </c>
      <c r="H1028" s="66">
        <f>IF(tblFleet[[#This Row],[Units]]="","",tblFleet[[#This Row],[Calendar_h]]-tblFleet[[#This Row],[Down_h]])</f>
        <v/>
      </c>
      <c r="I1028" s="60">
        <f>IF(AND(tblFleet[[#This Row],[Units]]&lt;&gt;"",tblFleet[[#This Row],[Calendar_h]]&gt;0),tblFleet[[#This Row],[Available_h]]/tblFleet[[#This Row],[Calendar_h]],"")</f>
        <v/>
      </c>
      <c r="J1028" s="60">
        <f>IF(AND(tblFleet[[#This Row],[Units]]&lt;&gt;"",tblFleet[[#This Row],[Available_h]]&gt;0),tblFleet[[#This Row],[Operating_h]]/tblFleet[[#This Row],[Available_h]],"")</f>
        <v/>
      </c>
    </row>
    <row r="1029">
      <c r="A1029" s="54" t="n"/>
      <c r="B1029" s="61" t="n"/>
      <c r="C1029" s="62" t="n"/>
      <c r="D1029" s="57" t="n"/>
      <c r="E1029" s="57" t="n"/>
      <c r="F1029" s="58" t="n"/>
      <c r="G1029" s="66">
        <f>IF(tblFleet[[#This Row],[Units]]="","",tblFleet[[#This Row],[Units]]*24)</f>
        <v/>
      </c>
      <c r="H1029" s="66">
        <f>IF(tblFleet[[#This Row],[Units]]="","",tblFleet[[#This Row],[Calendar_h]]-tblFleet[[#This Row],[Down_h]])</f>
        <v/>
      </c>
      <c r="I1029" s="60">
        <f>IF(AND(tblFleet[[#This Row],[Units]]&lt;&gt;"",tblFleet[[#This Row],[Calendar_h]]&gt;0),tblFleet[[#This Row],[Available_h]]/tblFleet[[#This Row],[Calendar_h]],"")</f>
        <v/>
      </c>
      <c r="J1029" s="60">
        <f>IF(AND(tblFleet[[#This Row],[Units]]&lt;&gt;"",tblFleet[[#This Row],[Available_h]]&gt;0),tblFleet[[#This Row],[Operating_h]]/tblFleet[[#This Row],[Available_h]],"")</f>
        <v/>
      </c>
    </row>
    <row r="1030">
      <c r="A1030" s="54" t="n"/>
      <c r="B1030" s="61" t="n"/>
      <c r="C1030" s="62" t="n"/>
      <c r="D1030" s="57" t="n"/>
      <c r="E1030" s="57" t="n"/>
      <c r="F1030" s="58" t="n"/>
      <c r="G1030" s="66">
        <f>IF(tblFleet[[#This Row],[Units]]="","",tblFleet[[#This Row],[Units]]*24)</f>
        <v/>
      </c>
      <c r="H1030" s="66">
        <f>IF(tblFleet[[#This Row],[Units]]="","",tblFleet[[#This Row],[Calendar_h]]-tblFleet[[#This Row],[Down_h]])</f>
        <v/>
      </c>
      <c r="I1030" s="60">
        <f>IF(AND(tblFleet[[#This Row],[Units]]&lt;&gt;"",tblFleet[[#This Row],[Calendar_h]]&gt;0),tblFleet[[#This Row],[Available_h]]/tblFleet[[#This Row],[Calendar_h]],"")</f>
        <v/>
      </c>
      <c r="J1030" s="60">
        <f>IF(AND(tblFleet[[#This Row],[Units]]&lt;&gt;"",tblFleet[[#This Row],[Available_h]]&gt;0),tblFleet[[#This Row],[Operating_h]]/tblFleet[[#This Row],[Available_h]],"")</f>
        <v/>
      </c>
    </row>
    <row r="1031">
      <c r="A1031" s="54" t="n"/>
      <c r="B1031" s="61" t="n"/>
      <c r="C1031" s="62" t="n"/>
      <c r="D1031" s="57" t="n"/>
      <c r="E1031" s="57" t="n"/>
      <c r="F1031" s="58" t="n"/>
      <c r="G1031" s="66">
        <f>IF(tblFleet[[#This Row],[Units]]="","",tblFleet[[#This Row],[Units]]*24)</f>
        <v/>
      </c>
      <c r="H1031" s="66">
        <f>IF(tblFleet[[#This Row],[Units]]="","",tblFleet[[#This Row],[Calendar_h]]-tblFleet[[#This Row],[Down_h]])</f>
        <v/>
      </c>
      <c r="I1031" s="60">
        <f>IF(AND(tblFleet[[#This Row],[Units]]&lt;&gt;"",tblFleet[[#This Row],[Calendar_h]]&gt;0),tblFleet[[#This Row],[Available_h]]/tblFleet[[#This Row],[Calendar_h]],"")</f>
        <v/>
      </c>
      <c r="J1031" s="60">
        <f>IF(AND(tblFleet[[#This Row],[Units]]&lt;&gt;"",tblFleet[[#This Row],[Available_h]]&gt;0),tblFleet[[#This Row],[Operating_h]]/tblFleet[[#This Row],[Available_h]],"")</f>
        <v/>
      </c>
    </row>
    <row r="1032">
      <c r="A1032" s="54" t="n"/>
      <c r="B1032" s="61" t="n"/>
      <c r="C1032" s="62" t="n"/>
      <c r="D1032" s="57" t="n"/>
      <c r="E1032" s="57" t="n"/>
      <c r="F1032" s="58" t="n"/>
      <c r="G1032" s="66">
        <f>IF(tblFleet[[#This Row],[Units]]="","",tblFleet[[#This Row],[Units]]*24)</f>
        <v/>
      </c>
      <c r="H1032" s="66">
        <f>IF(tblFleet[[#This Row],[Units]]="","",tblFleet[[#This Row],[Calendar_h]]-tblFleet[[#This Row],[Down_h]])</f>
        <v/>
      </c>
      <c r="I1032" s="60">
        <f>IF(AND(tblFleet[[#This Row],[Units]]&lt;&gt;"",tblFleet[[#This Row],[Calendar_h]]&gt;0),tblFleet[[#This Row],[Available_h]]/tblFleet[[#This Row],[Calendar_h]],"")</f>
        <v/>
      </c>
      <c r="J1032" s="60">
        <f>IF(AND(tblFleet[[#This Row],[Units]]&lt;&gt;"",tblFleet[[#This Row],[Available_h]]&gt;0),tblFleet[[#This Row],[Operating_h]]/tblFleet[[#This Row],[Available_h]],"")</f>
        <v/>
      </c>
    </row>
    <row r="1033">
      <c r="A1033" s="54" t="n"/>
      <c r="B1033" s="61" t="n"/>
      <c r="C1033" s="62" t="n"/>
      <c r="D1033" s="57" t="n"/>
      <c r="E1033" s="57" t="n"/>
      <c r="F1033" s="58" t="n"/>
      <c r="G1033" s="66">
        <f>IF(tblFleet[[#This Row],[Units]]="","",tblFleet[[#This Row],[Units]]*24)</f>
        <v/>
      </c>
      <c r="H1033" s="66">
        <f>IF(tblFleet[[#This Row],[Units]]="","",tblFleet[[#This Row],[Calendar_h]]-tblFleet[[#This Row],[Down_h]])</f>
        <v/>
      </c>
      <c r="I1033" s="60">
        <f>IF(AND(tblFleet[[#This Row],[Units]]&lt;&gt;"",tblFleet[[#This Row],[Calendar_h]]&gt;0),tblFleet[[#This Row],[Available_h]]/tblFleet[[#This Row],[Calendar_h]],"")</f>
        <v/>
      </c>
      <c r="J1033" s="60">
        <f>IF(AND(tblFleet[[#This Row],[Units]]&lt;&gt;"",tblFleet[[#This Row],[Available_h]]&gt;0),tblFleet[[#This Row],[Operating_h]]/tblFleet[[#This Row],[Available_h]],"")</f>
        <v/>
      </c>
    </row>
    <row r="1034">
      <c r="A1034" s="54" t="n"/>
      <c r="B1034" s="61" t="n"/>
      <c r="C1034" s="62" t="n"/>
      <c r="D1034" s="57" t="n"/>
      <c r="E1034" s="57" t="n"/>
      <c r="F1034" s="58" t="n"/>
      <c r="G1034" s="66">
        <f>IF(tblFleet[[#This Row],[Units]]="","",tblFleet[[#This Row],[Units]]*24)</f>
        <v/>
      </c>
      <c r="H1034" s="66">
        <f>IF(tblFleet[[#This Row],[Units]]="","",tblFleet[[#This Row],[Calendar_h]]-tblFleet[[#This Row],[Down_h]])</f>
        <v/>
      </c>
      <c r="I1034" s="60">
        <f>IF(AND(tblFleet[[#This Row],[Units]]&lt;&gt;"",tblFleet[[#This Row],[Calendar_h]]&gt;0),tblFleet[[#This Row],[Available_h]]/tblFleet[[#This Row],[Calendar_h]],"")</f>
        <v/>
      </c>
      <c r="J1034" s="60">
        <f>IF(AND(tblFleet[[#This Row],[Units]]&lt;&gt;"",tblFleet[[#This Row],[Available_h]]&gt;0),tblFleet[[#This Row],[Operating_h]]/tblFleet[[#This Row],[Available_h]],"")</f>
        <v/>
      </c>
    </row>
    <row r="1035">
      <c r="A1035" s="54" t="n"/>
      <c r="B1035" s="61" t="n"/>
      <c r="C1035" s="62" t="n"/>
      <c r="D1035" s="57" t="n"/>
      <c r="E1035" s="57" t="n"/>
      <c r="F1035" s="58" t="n"/>
      <c r="G1035" s="66">
        <f>IF(tblFleet[[#This Row],[Units]]="","",tblFleet[[#This Row],[Units]]*24)</f>
        <v/>
      </c>
      <c r="H1035" s="66">
        <f>IF(tblFleet[[#This Row],[Units]]="","",tblFleet[[#This Row],[Calendar_h]]-tblFleet[[#This Row],[Down_h]])</f>
        <v/>
      </c>
      <c r="I1035" s="60">
        <f>IF(AND(tblFleet[[#This Row],[Units]]&lt;&gt;"",tblFleet[[#This Row],[Calendar_h]]&gt;0),tblFleet[[#This Row],[Available_h]]/tblFleet[[#This Row],[Calendar_h]],"")</f>
        <v/>
      </c>
      <c r="J1035" s="60">
        <f>IF(AND(tblFleet[[#This Row],[Units]]&lt;&gt;"",tblFleet[[#This Row],[Available_h]]&gt;0),tblFleet[[#This Row],[Operating_h]]/tblFleet[[#This Row],[Available_h]],"")</f>
        <v/>
      </c>
    </row>
    <row r="1036">
      <c r="A1036" s="54" t="n"/>
      <c r="B1036" s="61" t="n"/>
      <c r="C1036" s="62" t="n"/>
      <c r="D1036" s="57" t="n"/>
      <c r="E1036" s="57" t="n"/>
      <c r="F1036" s="58" t="n"/>
      <c r="G1036" s="66">
        <f>IF(tblFleet[[#This Row],[Units]]="","",tblFleet[[#This Row],[Units]]*24)</f>
        <v/>
      </c>
      <c r="H1036" s="66">
        <f>IF(tblFleet[[#This Row],[Units]]="","",tblFleet[[#This Row],[Calendar_h]]-tblFleet[[#This Row],[Down_h]])</f>
        <v/>
      </c>
      <c r="I1036" s="60">
        <f>IF(AND(tblFleet[[#This Row],[Units]]&lt;&gt;"",tblFleet[[#This Row],[Calendar_h]]&gt;0),tblFleet[[#This Row],[Available_h]]/tblFleet[[#This Row],[Calendar_h]],"")</f>
        <v/>
      </c>
      <c r="J1036" s="60">
        <f>IF(AND(tblFleet[[#This Row],[Units]]&lt;&gt;"",tblFleet[[#This Row],[Available_h]]&gt;0),tblFleet[[#This Row],[Operating_h]]/tblFleet[[#This Row],[Available_h]],"")</f>
        <v/>
      </c>
    </row>
    <row r="1037">
      <c r="A1037" s="54" t="n"/>
      <c r="B1037" s="61" t="n"/>
      <c r="C1037" s="62" t="n"/>
      <c r="D1037" s="57" t="n"/>
      <c r="E1037" s="57" t="n"/>
      <c r="F1037" s="58" t="n"/>
      <c r="G1037" s="66">
        <f>IF(tblFleet[[#This Row],[Units]]="","",tblFleet[[#This Row],[Units]]*24)</f>
        <v/>
      </c>
      <c r="H1037" s="66">
        <f>IF(tblFleet[[#This Row],[Units]]="","",tblFleet[[#This Row],[Calendar_h]]-tblFleet[[#This Row],[Down_h]])</f>
        <v/>
      </c>
      <c r="I1037" s="60">
        <f>IF(AND(tblFleet[[#This Row],[Units]]&lt;&gt;"",tblFleet[[#This Row],[Calendar_h]]&gt;0),tblFleet[[#This Row],[Available_h]]/tblFleet[[#This Row],[Calendar_h]],"")</f>
        <v/>
      </c>
      <c r="J1037" s="60">
        <f>IF(AND(tblFleet[[#This Row],[Units]]&lt;&gt;"",tblFleet[[#This Row],[Available_h]]&gt;0),tblFleet[[#This Row],[Operating_h]]/tblFleet[[#This Row],[Available_h]],"")</f>
        <v/>
      </c>
    </row>
    <row r="1038">
      <c r="A1038" s="54" t="n"/>
      <c r="B1038" s="61" t="n"/>
      <c r="C1038" s="62" t="n"/>
      <c r="D1038" s="57" t="n"/>
      <c r="E1038" s="57" t="n"/>
      <c r="F1038" s="58" t="n"/>
      <c r="G1038" s="66">
        <f>IF(tblFleet[[#This Row],[Units]]="","",tblFleet[[#This Row],[Units]]*24)</f>
        <v/>
      </c>
      <c r="H1038" s="66">
        <f>IF(tblFleet[[#This Row],[Units]]="","",tblFleet[[#This Row],[Calendar_h]]-tblFleet[[#This Row],[Down_h]])</f>
        <v/>
      </c>
      <c r="I1038" s="60">
        <f>IF(AND(tblFleet[[#This Row],[Units]]&lt;&gt;"",tblFleet[[#This Row],[Calendar_h]]&gt;0),tblFleet[[#This Row],[Available_h]]/tblFleet[[#This Row],[Calendar_h]],"")</f>
        <v/>
      </c>
      <c r="J1038" s="60">
        <f>IF(AND(tblFleet[[#This Row],[Units]]&lt;&gt;"",tblFleet[[#This Row],[Available_h]]&gt;0),tblFleet[[#This Row],[Operating_h]]/tblFleet[[#This Row],[Available_h]],"")</f>
        <v/>
      </c>
    </row>
    <row r="1039">
      <c r="A1039" s="54" t="n"/>
      <c r="B1039" s="61" t="n"/>
      <c r="C1039" s="62" t="n"/>
      <c r="D1039" s="57" t="n"/>
      <c r="E1039" s="57" t="n"/>
      <c r="F1039" s="58" t="n"/>
      <c r="G1039" s="66">
        <f>IF(tblFleet[[#This Row],[Units]]="","",tblFleet[[#This Row],[Units]]*24)</f>
        <v/>
      </c>
      <c r="H1039" s="66">
        <f>IF(tblFleet[[#This Row],[Units]]="","",tblFleet[[#This Row],[Calendar_h]]-tblFleet[[#This Row],[Down_h]])</f>
        <v/>
      </c>
      <c r="I1039" s="60">
        <f>IF(AND(tblFleet[[#This Row],[Units]]&lt;&gt;"",tblFleet[[#This Row],[Calendar_h]]&gt;0),tblFleet[[#This Row],[Available_h]]/tblFleet[[#This Row],[Calendar_h]],"")</f>
        <v/>
      </c>
      <c r="J1039" s="60">
        <f>IF(AND(tblFleet[[#This Row],[Units]]&lt;&gt;"",tblFleet[[#This Row],[Available_h]]&gt;0),tblFleet[[#This Row],[Operating_h]]/tblFleet[[#This Row],[Available_h]],"")</f>
        <v/>
      </c>
    </row>
    <row r="1040">
      <c r="A1040" s="54" t="n"/>
      <c r="B1040" s="61" t="n"/>
      <c r="C1040" s="62" t="n"/>
      <c r="D1040" s="57" t="n"/>
      <c r="E1040" s="57" t="n"/>
      <c r="F1040" s="58" t="n"/>
      <c r="G1040" s="66">
        <f>IF(tblFleet[[#This Row],[Units]]="","",tblFleet[[#This Row],[Units]]*24)</f>
        <v/>
      </c>
      <c r="H1040" s="66">
        <f>IF(tblFleet[[#This Row],[Units]]="","",tblFleet[[#This Row],[Calendar_h]]-tblFleet[[#This Row],[Down_h]])</f>
        <v/>
      </c>
      <c r="I1040" s="60">
        <f>IF(AND(tblFleet[[#This Row],[Units]]&lt;&gt;"",tblFleet[[#This Row],[Calendar_h]]&gt;0),tblFleet[[#This Row],[Available_h]]/tblFleet[[#This Row],[Calendar_h]],"")</f>
        <v/>
      </c>
      <c r="J1040" s="60">
        <f>IF(AND(tblFleet[[#This Row],[Units]]&lt;&gt;"",tblFleet[[#This Row],[Available_h]]&gt;0),tblFleet[[#This Row],[Operating_h]]/tblFleet[[#This Row],[Available_h]],"")</f>
        <v/>
      </c>
    </row>
    <row r="1041">
      <c r="A1041" s="54" t="n"/>
      <c r="B1041" s="61" t="n"/>
      <c r="C1041" s="62" t="n"/>
      <c r="D1041" s="57" t="n"/>
      <c r="E1041" s="57" t="n"/>
      <c r="F1041" s="58" t="n"/>
      <c r="G1041" s="66">
        <f>IF(tblFleet[[#This Row],[Units]]="","",tblFleet[[#This Row],[Units]]*24)</f>
        <v/>
      </c>
      <c r="H1041" s="66">
        <f>IF(tblFleet[[#This Row],[Units]]="","",tblFleet[[#This Row],[Calendar_h]]-tblFleet[[#This Row],[Down_h]])</f>
        <v/>
      </c>
      <c r="I1041" s="60">
        <f>IF(AND(tblFleet[[#This Row],[Units]]&lt;&gt;"",tblFleet[[#This Row],[Calendar_h]]&gt;0),tblFleet[[#This Row],[Available_h]]/tblFleet[[#This Row],[Calendar_h]],"")</f>
        <v/>
      </c>
      <c r="J1041" s="60">
        <f>IF(AND(tblFleet[[#This Row],[Units]]&lt;&gt;"",tblFleet[[#This Row],[Available_h]]&gt;0),tblFleet[[#This Row],[Operating_h]]/tblFleet[[#This Row],[Available_h]],"")</f>
        <v/>
      </c>
    </row>
    <row r="1042">
      <c r="A1042" s="54" t="n"/>
      <c r="B1042" s="61" t="n"/>
      <c r="C1042" s="62" t="n"/>
      <c r="D1042" s="57" t="n"/>
      <c r="E1042" s="57" t="n"/>
      <c r="F1042" s="58" t="n"/>
      <c r="G1042" s="66">
        <f>IF(tblFleet[[#This Row],[Units]]="","",tblFleet[[#This Row],[Units]]*24)</f>
        <v/>
      </c>
      <c r="H1042" s="66">
        <f>IF(tblFleet[[#This Row],[Units]]="","",tblFleet[[#This Row],[Calendar_h]]-tblFleet[[#This Row],[Down_h]])</f>
        <v/>
      </c>
      <c r="I1042" s="60">
        <f>IF(AND(tblFleet[[#This Row],[Units]]&lt;&gt;"",tblFleet[[#This Row],[Calendar_h]]&gt;0),tblFleet[[#This Row],[Available_h]]/tblFleet[[#This Row],[Calendar_h]],"")</f>
        <v/>
      </c>
      <c r="J1042" s="60">
        <f>IF(AND(tblFleet[[#This Row],[Units]]&lt;&gt;"",tblFleet[[#This Row],[Available_h]]&gt;0),tblFleet[[#This Row],[Operating_h]]/tblFleet[[#This Row],[Available_h]],"")</f>
        <v/>
      </c>
    </row>
    <row r="1043">
      <c r="A1043" s="54" t="n"/>
      <c r="B1043" s="61" t="n"/>
      <c r="C1043" s="62" t="n"/>
      <c r="D1043" s="57" t="n"/>
      <c r="E1043" s="57" t="n"/>
      <c r="F1043" s="58" t="n"/>
      <c r="G1043" s="66">
        <f>IF(tblFleet[[#This Row],[Units]]="","",tblFleet[[#This Row],[Units]]*24)</f>
        <v/>
      </c>
      <c r="H1043" s="66">
        <f>IF(tblFleet[[#This Row],[Units]]="","",tblFleet[[#This Row],[Calendar_h]]-tblFleet[[#This Row],[Down_h]])</f>
        <v/>
      </c>
      <c r="I1043" s="60">
        <f>IF(AND(tblFleet[[#This Row],[Units]]&lt;&gt;"",tblFleet[[#This Row],[Calendar_h]]&gt;0),tblFleet[[#This Row],[Available_h]]/tblFleet[[#This Row],[Calendar_h]],"")</f>
        <v/>
      </c>
      <c r="J1043" s="60">
        <f>IF(AND(tblFleet[[#This Row],[Units]]&lt;&gt;"",tblFleet[[#This Row],[Available_h]]&gt;0),tblFleet[[#This Row],[Operating_h]]/tblFleet[[#This Row],[Available_h]],"")</f>
        <v/>
      </c>
    </row>
    <row r="1044">
      <c r="A1044" s="54" t="n"/>
      <c r="B1044" s="61" t="n"/>
      <c r="C1044" s="62" t="n"/>
      <c r="D1044" s="57" t="n"/>
      <c r="E1044" s="57" t="n"/>
      <c r="F1044" s="58" t="n"/>
      <c r="G1044" s="66">
        <f>IF(tblFleet[[#This Row],[Units]]="","",tblFleet[[#This Row],[Units]]*24)</f>
        <v/>
      </c>
      <c r="H1044" s="66">
        <f>IF(tblFleet[[#This Row],[Units]]="","",tblFleet[[#This Row],[Calendar_h]]-tblFleet[[#This Row],[Down_h]])</f>
        <v/>
      </c>
      <c r="I1044" s="60">
        <f>IF(AND(tblFleet[[#This Row],[Units]]&lt;&gt;"",tblFleet[[#This Row],[Calendar_h]]&gt;0),tblFleet[[#This Row],[Available_h]]/tblFleet[[#This Row],[Calendar_h]],"")</f>
        <v/>
      </c>
      <c r="J1044" s="60">
        <f>IF(AND(tblFleet[[#This Row],[Units]]&lt;&gt;"",tblFleet[[#This Row],[Available_h]]&gt;0),tblFleet[[#This Row],[Operating_h]]/tblFleet[[#This Row],[Available_h]],"")</f>
        <v/>
      </c>
    </row>
    <row r="1045">
      <c r="A1045" s="54" t="n"/>
      <c r="B1045" s="61" t="n"/>
      <c r="C1045" s="62" t="n"/>
      <c r="D1045" s="57" t="n"/>
      <c r="E1045" s="57" t="n"/>
      <c r="F1045" s="58" t="n"/>
      <c r="G1045" s="66">
        <f>IF(tblFleet[[#This Row],[Units]]="","",tblFleet[[#This Row],[Units]]*24)</f>
        <v/>
      </c>
      <c r="H1045" s="66">
        <f>IF(tblFleet[[#This Row],[Units]]="","",tblFleet[[#This Row],[Calendar_h]]-tblFleet[[#This Row],[Down_h]])</f>
        <v/>
      </c>
      <c r="I1045" s="60">
        <f>IF(AND(tblFleet[[#This Row],[Units]]&lt;&gt;"",tblFleet[[#This Row],[Calendar_h]]&gt;0),tblFleet[[#This Row],[Available_h]]/tblFleet[[#This Row],[Calendar_h]],"")</f>
        <v/>
      </c>
      <c r="J1045" s="60">
        <f>IF(AND(tblFleet[[#This Row],[Units]]&lt;&gt;"",tblFleet[[#This Row],[Available_h]]&gt;0),tblFleet[[#This Row],[Operating_h]]/tblFleet[[#This Row],[Available_h]],"")</f>
        <v/>
      </c>
    </row>
    <row r="1046">
      <c r="A1046" s="54" t="n"/>
      <c r="B1046" s="61" t="n"/>
      <c r="C1046" s="62" t="n"/>
      <c r="D1046" s="57" t="n"/>
      <c r="E1046" s="57" t="n"/>
      <c r="F1046" s="58" t="n"/>
      <c r="G1046" s="66">
        <f>IF(tblFleet[[#This Row],[Units]]="","",tblFleet[[#This Row],[Units]]*24)</f>
        <v/>
      </c>
      <c r="H1046" s="66">
        <f>IF(tblFleet[[#This Row],[Units]]="","",tblFleet[[#This Row],[Calendar_h]]-tblFleet[[#This Row],[Down_h]])</f>
        <v/>
      </c>
      <c r="I1046" s="60">
        <f>IF(AND(tblFleet[[#This Row],[Units]]&lt;&gt;"",tblFleet[[#This Row],[Calendar_h]]&gt;0),tblFleet[[#This Row],[Available_h]]/tblFleet[[#This Row],[Calendar_h]],"")</f>
        <v/>
      </c>
      <c r="J1046" s="60">
        <f>IF(AND(tblFleet[[#This Row],[Units]]&lt;&gt;"",tblFleet[[#This Row],[Available_h]]&gt;0),tblFleet[[#This Row],[Operating_h]]/tblFleet[[#This Row],[Available_h]],"")</f>
        <v/>
      </c>
    </row>
    <row r="1047">
      <c r="A1047" s="54" t="n"/>
      <c r="B1047" s="61" t="n"/>
      <c r="C1047" s="62" t="n"/>
      <c r="D1047" s="57" t="n"/>
      <c r="E1047" s="57" t="n"/>
      <c r="F1047" s="58" t="n"/>
      <c r="G1047" s="66">
        <f>IF(tblFleet[[#This Row],[Units]]="","",tblFleet[[#This Row],[Units]]*24)</f>
        <v/>
      </c>
      <c r="H1047" s="66">
        <f>IF(tblFleet[[#This Row],[Units]]="","",tblFleet[[#This Row],[Calendar_h]]-tblFleet[[#This Row],[Down_h]])</f>
        <v/>
      </c>
      <c r="I1047" s="60">
        <f>IF(AND(tblFleet[[#This Row],[Units]]&lt;&gt;"",tblFleet[[#This Row],[Calendar_h]]&gt;0),tblFleet[[#This Row],[Available_h]]/tblFleet[[#This Row],[Calendar_h]],"")</f>
        <v/>
      </c>
      <c r="J1047" s="60">
        <f>IF(AND(tblFleet[[#This Row],[Units]]&lt;&gt;"",tblFleet[[#This Row],[Available_h]]&gt;0),tblFleet[[#This Row],[Operating_h]]/tblFleet[[#This Row],[Available_h]],"")</f>
        <v/>
      </c>
    </row>
    <row r="1048">
      <c r="A1048" s="54" t="n"/>
      <c r="B1048" s="61" t="n"/>
      <c r="C1048" s="62" t="n"/>
      <c r="D1048" s="57" t="n"/>
      <c r="E1048" s="57" t="n"/>
      <c r="F1048" s="58" t="n"/>
      <c r="G1048" s="66">
        <f>IF(tblFleet[[#This Row],[Units]]="","",tblFleet[[#This Row],[Units]]*24)</f>
        <v/>
      </c>
      <c r="H1048" s="66">
        <f>IF(tblFleet[[#This Row],[Units]]="","",tblFleet[[#This Row],[Calendar_h]]-tblFleet[[#This Row],[Down_h]])</f>
        <v/>
      </c>
      <c r="I1048" s="60">
        <f>IF(AND(tblFleet[[#This Row],[Units]]&lt;&gt;"",tblFleet[[#This Row],[Calendar_h]]&gt;0),tblFleet[[#This Row],[Available_h]]/tblFleet[[#This Row],[Calendar_h]],"")</f>
        <v/>
      </c>
      <c r="J1048" s="60">
        <f>IF(AND(tblFleet[[#This Row],[Units]]&lt;&gt;"",tblFleet[[#This Row],[Available_h]]&gt;0),tblFleet[[#This Row],[Operating_h]]/tblFleet[[#This Row],[Available_h]],"")</f>
        <v/>
      </c>
    </row>
    <row r="1049">
      <c r="A1049" s="54" t="n"/>
      <c r="B1049" s="61" t="n"/>
      <c r="C1049" s="62" t="n"/>
      <c r="D1049" s="57" t="n"/>
      <c r="E1049" s="57" t="n"/>
      <c r="F1049" s="58" t="n"/>
      <c r="G1049" s="66">
        <f>IF(tblFleet[[#This Row],[Units]]="","",tblFleet[[#This Row],[Units]]*24)</f>
        <v/>
      </c>
      <c r="H1049" s="66">
        <f>IF(tblFleet[[#This Row],[Units]]="","",tblFleet[[#This Row],[Calendar_h]]-tblFleet[[#This Row],[Down_h]])</f>
        <v/>
      </c>
      <c r="I1049" s="60">
        <f>IF(AND(tblFleet[[#This Row],[Units]]&lt;&gt;"",tblFleet[[#This Row],[Calendar_h]]&gt;0),tblFleet[[#This Row],[Available_h]]/tblFleet[[#This Row],[Calendar_h]],"")</f>
        <v/>
      </c>
      <c r="J1049" s="60">
        <f>IF(AND(tblFleet[[#This Row],[Units]]&lt;&gt;"",tblFleet[[#This Row],[Available_h]]&gt;0),tblFleet[[#This Row],[Operating_h]]/tblFleet[[#This Row],[Available_h]],"")</f>
        <v/>
      </c>
    </row>
    <row r="1050">
      <c r="A1050" s="54" t="n"/>
      <c r="B1050" s="61" t="n"/>
      <c r="C1050" s="62" t="n"/>
      <c r="D1050" s="57" t="n"/>
      <c r="E1050" s="57" t="n"/>
      <c r="F1050" s="58" t="n"/>
      <c r="G1050" s="66">
        <f>IF(tblFleet[[#This Row],[Units]]="","",tblFleet[[#This Row],[Units]]*24)</f>
        <v/>
      </c>
      <c r="H1050" s="66">
        <f>IF(tblFleet[[#This Row],[Units]]="","",tblFleet[[#This Row],[Calendar_h]]-tblFleet[[#This Row],[Down_h]])</f>
        <v/>
      </c>
      <c r="I1050" s="60">
        <f>IF(AND(tblFleet[[#This Row],[Units]]&lt;&gt;"",tblFleet[[#This Row],[Calendar_h]]&gt;0),tblFleet[[#This Row],[Available_h]]/tblFleet[[#This Row],[Calendar_h]],"")</f>
        <v/>
      </c>
      <c r="J1050" s="60">
        <f>IF(AND(tblFleet[[#This Row],[Units]]&lt;&gt;"",tblFleet[[#This Row],[Available_h]]&gt;0),tblFleet[[#This Row],[Operating_h]]/tblFleet[[#This Row],[Available_h]],"")</f>
        <v/>
      </c>
    </row>
    <row r="1051">
      <c r="A1051" s="54" t="n"/>
      <c r="B1051" s="61" t="n"/>
      <c r="C1051" s="62" t="n"/>
      <c r="D1051" s="57" t="n"/>
      <c r="E1051" s="57" t="n"/>
      <c r="F1051" s="58" t="n"/>
      <c r="G1051" s="66">
        <f>IF(tblFleet[[#This Row],[Units]]="","",tblFleet[[#This Row],[Units]]*24)</f>
        <v/>
      </c>
      <c r="H1051" s="66">
        <f>IF(tblFleet[[#This Row],[Units]]="","",tblFleet[[#This Row],[Calendar_h]]-tblFleet[[#This Row],[Down_h]])</f>
        <v/>
      </c>
      <c r="I1051" s="60">
        <f>IF(AND(tblFleet[[#This Row],[Units]]&lt;&gt;"",tblFleet[[#This Row],[Calendar_h]]&gt;0),tblFleet[[#This Row],[Available_h]]/tblFleet[[#This Row],[Calendar_h]],"")</f>
        <v/>
      </c>
      <c r="J1051" s="60">
        <f>IF(AND(tblFleet[[#This Row],[Units]]&lt;&gt;"",tblFleet[[#This Row],[Available_h]]&gt;0),tblFleet[[#This Row],[Operating_h]]/tblFleet[[#This Row],[Available_h]],"")</f>
        <v/>
      </c>
    </row>
    <row r="1052">
      <c r="A1052" s="54" t="n"/>
      <c r="B1052" s="61" t="n"/>
      <c r="C1052" s="62" t="n"/>
      <c r="D1052" s="57" t="n"/>
      <c r="E1052" s="57" t="n"/>
      <c r="F1052" s="58" t="n"/>
      <c r="G1052" s="66">
        <f>IF(tblFleet[[#This Row],[Units]]="","",tblFleet[[#This Row],[Units]]*24)</f>
        <v/>
      </c>
      <c r="H1052" s="66">
        <f>IF(tblFleet[[#This Row],[Units]]="","",tblFleet[[#This Row],[Calendar_h]]-tblFleet[[#This Row],[Down_h]])</f>
        <v/>
      </c>
      <c r="I1052" s="60">
        <f>IF(AND(tblFleet[[#This Row],[Units]]&lt;&gt;"",tblFleet[[#This Row],[Calendar_h]]&gt;0),tblFleet[[#This Row],[Available_h]]/tblFleet[[#This Row],[Calendar_h]],"")</f>
        <v/>
      </c>
      <c r="J1052" s="60">
        <f>IF(AND(tblFleet[[#This Row],[Units]]&lt;&gt;"",tblFleet[[#This Row],[Available_h]]&gt;0),tblFleet[[#This Row],[Operating_h]]/tblFleet[[#This Row],[Available_h]],"")</f>
        <v/>
      </c>
    </row>
    <row r="1053">
      <c r="A1053" s="54" t="n"/>
      <c r="B1053" s="61" t="n"/>
      <c r="C1053" s="62" t="n"/>
      <c r="D1053" s="57" t="n"/>
      <c r="E1053" s="57" t="n"/>
      <c r="F1053" s="58" t="n"/>
      <c r="G1053" s="66">
        <f>IF(tblFleet[[#This Row],[Units]]="","",tblFleet[[#This Row],[Units]]*24)</f>
        <v/>
      </c>
      <c r="H1053" s="66">
        <f>IF(tblFleet[[#This Row],[Units]]="","",tblFleet[[#This Row],[Calendar_h]]-tblFleet[[#This Row],[Down_h]])</f>
        <v/>
      </c>
      <c r="I1053" s="60">
        <f>IF(AND(tblFleet[[#This Row],[Units]]&lt;&gt;"",tblFleet[[#This Row],[Calendar_h]]&gt;0),tblFleet[[#This Row],[Available_h]]/tblFleet[[#This Row],[Calendar_h]],"")</f>
        <v/>
      </c>
      <c r="J1053" s="60">
        <f>IF(AND(tblFleet[[#This Row],[Units]]&lt;&gt;"",tblFleet[[#This Row],[Available_h]]&gt;0),tblFleet[[#This Row],[Operating_h]]/tblFleet[[#This Row],[Available_h]],"")</f>
        <v/>
      </c>
    </row>
    <row r="1054">
      <c r="A1054" s="54" t="n"/>
      <c r="B1054" s="61" t="n"/>
      <c r="C1054" s="62" t="n"/>
      <c r="D1054" s="57" t="n"/>
      <c r="E1054" s="57" t="n"/>
      <c r="F1054" s="58" t="n"/>
      <c r="G1054" s="66">
        <f>IF(tblFleet[[#This Row],[Units]]="","",tblFleet[[#This Row],[Units]]*24)</f>
        <v/>
      </c>
      <c r="H1054" s="66">
        <f>IF(tblFleet[[#This Row],[Units]]="","",tblFleet[[#This Row],[Calendar_h]]-tblFleet[[#This Row],[Down_h]])</f>
        <v/>
      </c>
      <c r="I1054" s="60">
        <f>IF(AND(tblFleet[[#This Row],[Units]]&lt;&gt;"",tblFleet[[#This Row],[Calendar_h]]&gt;0),tblFleet[[#This Row],[Available_h]]/tblFleet[[#This Row],[Calendar_h]],"")</f>
        <v/>
      </c>
      <c r="J1054" s="60">
        <f>IF(AND(tblFleet[[#This Row],[Units]]&lt;&gt;"",tblFleet[[#This Row],[Available_h]]&gt;0),tblFleet[[#This Row],[Operating_h]]/tblFleet[[#This Row],[Available_h]],"")</f>
        <v/>
      </c>
    </row>
    <row r="1055">
      <c r="A1055" s="54" t="n"/>
      <c r="B1055" s="61" t="n"/>
      <c r="C1055" s="62" t="n"/>
      <c r="D1055" s="57" t="n"/>
      <c r="E1055" s="57" t="n"/>
      <c r="F1055" s="58" t="n"/>
      <c r="G1055" s="66">
        <f>IF(tblFleet[[#This Row],[Units]]="","",tblFleet[[#This Row],[Units]]*24)</f>
        <v/>
      </c>
      <c r="H1055" s="66">
        <f>IF(tblFleet[[#This Row],[Units]]="","",tblFleet[[#This Row],[Calendar_h]]-tblFleet[[#This Row],[Down_h]])</f>
        <v/>
      </c>
      <c r="I1055" s="60">
        <f>IF(AND(tblFleet[[#This Row],[Units]]&lt;&gt;"",tblFleet[[#This Row],[Calendar_h]]&gt;0),tblFleet[[#This Row],[Available_h]]/tblFleet[[#This Row],[Calendar_h]],"")</f>
        <v/>
      </c>
      <c r="J1055" s="60">
        <f>IF(AND(tblFleet[[#This Row],[Units]]&lt;&gt;"",tblFleet[[#This Row],[Available_h]]&gt;0),tblFleet[[#This Row],[Operating_h]]/tblFleet[[#This Row],[Available_h]],"")</f>
        <v/>
      </c>
    </row>
    <row r="1056">
      <c r="A1056" s="54" t="n"/>
      <c r="B1056" s="61" t="n"/>
      <c r="C1056" s="62" t="n"/>
      <c r="D1056" s="57" t="n"/>
      <c r="E1056" s="57" t="n"/>
      <c r="F1056" s="58" t="n"/>
      <c r="G1056" s="66">
        <f>IF(tblFleet[[#This Row],[Units]]="","",tblFleet[[#This Row],[Units]]*24)</f>
        <v/>
      </c>
      <c r="H1056" s="66">
        <f>IF(tblFleet[[#This Row],[Units]]="","",tblFleet[[#This Row],[Calendar_h]]-tblFleet[[#This Row],[Down_h]])</f>
        <v/>
      </c>
      <c r="I1056" s="60">
        <f>IF(AND(tblFleet[[#This Row],[Units]]&lt;&gt;"",tblFleet[[#This Row],[Calendar_h]]&gt;0),tblFleet[[#This Row],[Available_h]]/tblFleet[[#This Row],[Calendar_h]],"")</f>
        <v/>
      </c>
      <c r="J1056" s="60">
        <f>IF(AND(tblFleet[[#This Row],[Units]]&lt;&gt;"",tblFleet[[#This Row],[Available_h]]&gt;0),tblFleet[[#This Row],[Operating_h]]/tblFleet[[#This Row],[Available_h]],"")</f>
        <v/>
      </c>
    </row>
    <row r="1057">
      <c r="A1057" s="54" t="n"/>
      <c r="B1057" s="61" t="n"/>
      <c r="C1057" s="62" t="n"/>
      <c r="D1057" s="57" t="n"/>
      <c r="E1057" s="57" t="n"/>
      <c r="F1057" s="58" t="n"/>
      <c r="G1057" s="66">
        <f>IF(tblFleet[[#This Row],[Units]]="","",tblFleet[[#This Row],[Units]]*24)</f>
        <v/>
      </c>
      <c r="H1057" s="66">
        <f>IF(tblFleet[[#This Row],[Units]]="","",tblFleet[[#This Row],[Calendar_h]]-tblFleet[[#This Row],[Down_h]])</f>
        <v/>
      </c>
      <c r="I1057" s="60">
        <f>IF(AND(tblFleet[[#This Row],[Units]]&lt;&gt;"",tblFleet[[#This Row],[Calendar_h]]&gt;0),tblFleet[[#This Row],[Available_h]]/tblFleet[[#This Row],[Calendar_h]],"")</f>
        <v/>
      </c>
      <c r="J1057" s="60">
        <f>IF(AND(tblFleet[[#This Row],[Units]]&lt;&gt;"",tblFleet[[#This Row],[Available_h]]&gt;0),tblFleet[[#This Row],[Operating_h]]/tblFleet[[#This Row],[Available_h]],"")</f>
        <v/>
      </c>
    </row>
    <row r="1058">
      <c r="A1058" s="54" t="n"/>
      <c r="B1058" s="61" t="n"/>
      <c r="C1058" s="62" t="n"/>
      <c r="D1058" s="57" t="n"/>
      <c r="E1058" s="57" t="n"/>
      <c r="F1058" s="58" t="n"/>
      <c r="G1058" s="66">
        <f>IF(tblFleet[[#This Row],[Units]]="","",tblFleet[[#This Row],[Units]]*24)</f>
        <v/>
      </c>
      <c r="H1058" s="66">
        <f>IF(tblFleet[[#This Row],[Units]]="","",tblFleet[[#This Row],[Calendar_h]]-tblFleet[[#This Row],[Down_h]])</f>
        <v/>
      </c>
      <c r="I1058" s="60">
        <f>IF(AND(tblFleet[[#This Row],[Units]]&lt;&gt;"",tblFleet[[#This Row],[Calendar_h]]&gt;0),tblFleet[[#This Row],[Available_h]]/tblFleet[[#This Row],[Calendar_h]],"")</f>
        <v/>
      </c>
      <c r="J1058" s="60">
        <f>IF(AND(tblFleet[[#This Row],[Units]]&lt;&gt;"",tblFleet[[#This Row],[Available_h]]&gt;0),tblFleet[[#This Row],[Operating_h]]/tblFleet[[#This Row],[Available_h]],"")</f>
        <v/>
      </c>
    </row>
    <row r="1059">
      <c r="A1059" s="54" t="n"/>
      <c r="B1059" s="61" t="n"/>
      <c r="C1059" s="62" t="n"/>
      <c r="D1059" s="57" t="n"/>
      <c r="E1059" s="57" t="n"/>
      <c r="F1059" s="58" t="n"/>
      <c r="G1059" s="66">
        <f>IF(tblFleet[[#This Row],[Units]]="","",tblFleet[[#This Row],[Units]]*24)</f>
        <v/>
      </c>
      <c r="H1059" s="66">
        <f>IF(tblFleet[[#This Row],[Units]]="","",tblFleet[[#This Row],[Calendar_h]]-tblFleet[[#This Row],[Down_h]])</f>
        <v/>
      </c>
      <c r="I1059" s="60">
        <f>IF(AND(tblFleet[[#This Row],[Units]]&lt;&gt;"",tblFleet[[#This Row],[Calendar_h]]&gt;0),tblFleet[[#This Row],[Available_h]]/tblFleet[[#This Row],[Calendar_h]],"")</f>
        <v/>
      </c>
      <c r="J1059" s="60">
        <f>IF(AND(tblFleet[[#This Row],[Units]]&lt;&gt;"",tblFleet[[#This Row],[Available_h]]&gt;0),tblFleet[[#This Row],[Operating_h]]/tblFleet[[#This Row],[Available_h]],"")</f>
        <v/>
      </c>
    </row>
    <row r="1060">
      <c r="A1060" s="54" t="n"/>
      <c r="B1060" s="61" t="n"/>
      <c r="C1060" s="62" t="n"/>
      <c r="D1060" s="57" t="n"/>
      <c r="E1060" s="57" t="n"/>
      <c r="F1060" s="58" t="n"/>
      <c r="G1060" s="66">
        <f>IF(tblFleet[[#This Row],[Units]]="","",tblFleet[[#This Row],[Units]]*24)</f>
        <v/>
      </c>
      <c r="H1060" s="66">
        <f>IF(tblFleet[[#This Row],[Units]]="","",tblFleet[[#This Row],[Calendar_h]]-tblFleet[[#This Row],[Down_h]])</f>
        <v/>
      </c>
      <c r="I1060" s="60">
        <f>IF(AND(tblFleet[[#This Row],[Units]]&lt;&gt;"",tblFleet[[#This Row],[Calendar_h]]&gt;0),tblFleet[[#This Row],[Available_h]]/tblFleet[[#This Row],[Calendar_h]],"")</f>
        <v/>
      </c>
      <c r="J1060" s="60">
        <f>IF(AND(tblFleet[[#This Row],[Units]]&lt;&gt;"",tblFleet[[#This Row],[Available_h]]&gt;0),tblFleet[[#This Row],[Operating_h]]/tblFleet[[#This Row],[Available_h]],"")</f>
        <v/>
      </c>
    </row>
    <row r="1061">
      <c r="A1061" s="54" t="n"/>
      <c r="B1061" s="61" t="n"/>
      <c r="C1061" s="62" t="n"/>
      <c r="D1061" s="57" t="n"/>
      <c r="E1061" s="57" t="n"/>
      <c r="F1061" s="58" t="n"/>
      <c r="G1061" s="66">
        <f>IF(tblFleet[[#This Row],[Units]]="","",tblFleet[[#This Row],[Units]]*24)</f>
        <v/>
      </c>
      <c r="H1061" s="66">
        <f>IF(tblFleet[[#This Row],[Units]]="","",tblFleet[[#This Row],[Calendar_h]]-tblFleet[[#This Row],[Down_h]])</f>
        <v/>
      </c>
      <c r="I1061" s="60">
        <f>IF(AND(tblFleet[[#This Row],[Units]]&lt;&gt;"",tblFleet[[#This Row],[Calendar_h]]&gt;0),tblFleet[[#This Row],[Available_h]]/tblFleet[[#This Row],[Calendar_h]],"")</f>
        <v/>
      </c>
      <c r="J1061" s="60">
        <f>IF(AND(tblFleet[[#This Row],[Units]]&lt;&gt;"",tblFleet[[#This Row],[Available_h]]&gt;0),tblFleet[[#This Row],[Operating_h]]/tblFleet[[#This Row],[Available_h]],"")</f>
        <v/>
      </c>
    </row>
    <row r="1062">
      <c r="A1062" s="54" t="n"/>
      <c r="B1062" s="61" t="n"/>
      <c r="C1062" s="62" t="n"/>
      <c r="D1062" s="57" t="n"/>
      <c r="E1062" s="57" t="n"/>
      <c r="F1062" s="58" t="n"/>
      <c r="G1062" s="66">
        <f>IF(tblFleet[[#This Row],[Units]]="","",tblFleet[[#This Row],[Units]]*24)</f>
        <v/>
      </c>
      <c r="H1062" s="66">
        <f>IF(tblFleet[[#This Row],[Units]]="","",tblFleet[[#This Row],[Calendar_h]]-tblFleet[[#This Row],[Down_h]])</f>
        <v/>
      </c>
      <c r="I1062" s="60">
        <f>IF(AND(tblFleet[[#This Row],[Units]]&lt;&gt;"",tblFleet[[#This Row],[Calendar_h]]&gt;0),tblFleet[[#This Row],[Available_h]]/tblFleet[[#This Row],[Calendar_h]],"")</f>
        <v/>
      </c>
      <c r="J1062" s="60">
        <f>IF(AND(tblFleet[[#This Row],[Units]]&lt;&gt;"",tblFleet[[#This Row],[Available_h]]&gt;0),tblFleet[[#This Row],[Operating_h]]/tblFleet[[#This Row],[Available_h]],"")</f>
        <v/>
      </c>
    </row>
    <row r="1063">
      <c r="A1063" s="54" t="n"/>
      <c r="B1063" s="61" t="n"/>
      <c r="C1063" s="62" t="n"/>
      <c r="D1063" s="57" t="n"/>
      <c r="E1063" s="57" t="n"/>
      <c r="F1063" s="58" t="n"/>
      <c r="G1063" s="66">
        <f>IF(tblFleet[[#This Row],[Units]]="","",tblFleet[[#This Row],[Units]]*24)</f>
        <v/>
      </c>
      <c r="H1063" s="66">
        <f>IF(tblFleet[[#This Row],[Units]]="","",tblFleet[[#This Row],[Calendar_h]]-tblFleet[[#This Row],[Down_h]])</f>
        <v/>
      </c>
      <c r="I1063" s="60">
        <f>IF(AND(tblFleet[[#This Row],[Units]]&lt;&gt;"",tblFleet[[#This Row],[Calendar_h]]&gt;0),tblFleet[[#This Row],[Available_h]]/tblFleet[[#This Row],[Calendar_h]],"")</f>
        <v/>
      </c>
      <c r="J1063" s="60">
        <f>IF(AND(tblFleet[[#This Row],[Units]]&lt;&gt;"",tblFleet[[#This Row],[Available_h]]&gt;0),tblFleet[[#This Row],[Operating_h]]/tblFleet[[#This Row],[Available_h]],"")</f>
        <v/>
      </c>
    </row>
    <row r="1064">
      <c r="A1064" s="54" t="n"/>
      <c r="B1064" s="61" t="n"/>
      <c r="C1064" s="62" t="n"/>
      <c r="D1064" s="57" t="n"/>
      <c r="E1064" s="57" t="n"/>
      <c r="F1064" s="58" t="n"/>
      <c r="G1064" s="66">
        <f>IF(tblFleet[[#This Row],[Units]]="","",tblFleet[[#This Row],[Units]]*24)</f>
        <v/>
      </c>
      <c r="H1064" s="66">
        <f>IF(tblFleet[[#This Row],[Units]]="","",tblFleet[[#This Row],[Calendar_h]]-tblFleet[[#This Row],[Down_h]])</f>
        <v/>
      </c>
      <c r="I1064" s="60">
        <f>IF(AND(tblFleet[[#This Row],[Units]]&lt;&gt;"",tblFleet[[#This Row],[Calendar_h]]&gt;0),tblFleet[[#This Row],[Available_h]]/tblFleet[[#This Row],[Calendar_h]],"")</f>
        <v/>
      </c>
      <c r="J1064" s="60">
        <f>IF(AND(tblFleet[[#This Row],[Units]]&lt;&gt;"",tblFleet[[#This Row],[Available_h]]&gt;0),tblFleet[[#This Row],[Operating_h]]/tblFleet[[#This Row],[Available_h]],"")</f>
        <v/>
      </c>
    </row>
    <row r="1065">
      <c r="A1065" s="54" t="n"/>
      <c r="B1065" s="61" t="n"/>
      <c r="C1065" s="62" t="n"/>
      <c r="D1065" s="57" t="n"/>
      <c r="E1065" s="57" t="n"/>
      <c r="F1065" s="58" t="n"/>
      <c r="G1065" s="66">
        <f>IF(tblFleet[[#This Row],[Units]]="","",tblFleet[[#This Row],[Units]]*24)</f>
        <v/>
      </c>
      <c r="H1065" s="66">
        <f>IF(tblFleet[[#This Row],[Units]]="","",tblFleet[[#This Row],[Calendar_h]]-tblFleet[[#This Row],[Down_h]])</f>
        <v/>
      </c>
      <c r="I1065" s="60">
        <f>IF(AND(tblFleet[[#This Row],[Units]]&lt;&gt;"",tblFleet[[#This Row],[Calendar_h]]&gt;0),tblFleet[[#This Row],[Available_h]]/tblFleet[[#This Row],[Calendar_h]],"")</f>
        <v/>
      </c>
      <c r="J1065" s="60">
        <f>IF(AND(tblFleet[[#This Row],[Units]]&lt;&gt;"",tblFleet[[#This Row],[Available_h]]&gt;0),tblFleet[[#This Row],[Operating_h]]/tblFleet[[#This Row],[Available_h]],"")</f>
        <v/>
      </c>
    </row>
    <row r="1066">
      <c r="A1066" s="54" t="n"/>
      <c r="B1066" s="61" t="n"/>
      <c r="C1066" s="62" t="n"/>
      <c r="D1066" s="57" t="n"/>
      <c r="E1066" s="57" t="n"/>
      <c r="F1066" s="58" t="n"/>
      <c r="G1066" s="66">
        <f>IF(tblFleet[[#This Row],[Units]]="","",tblFleet[[#This Row],[Units]]*24)</f>
        <v/>
      </c>
      <c r="H1066" s="66">
        <f>IF(tblFleet[[#This Row],[Units]]="","",tblFleet[[#This Row],[Calendar_h]]-tblFleet[[#This Row],[Down_h]])</f>
        <v/>
      </c>
      <c r="I1066" s="60">
        <f>IF(AND(tblFleet[[#This Row],[Units]]&lt;&gt;"",tblFleet[[#This Row],[Calendar_h]]&gt;0),tblFleet[[#This Row],[Available_h]]/tblFleet[[#This Row],[Calendar_h]],"")</f>
        <v/>
      </c>
      <c r="J1066" s="60">
        <f>IF(AND(tblFleet[[#This Row],[Units]]&lt;&gt;"",tblFleet[[#This Row],[Available_h]]&gt;0),tblFleet[[#This Row],[Operating_h]]/tblFleet[[#This Row],[Available_h]],"")</f>
        <v/>
      </c>
    </row>
    <row r="1067">
      <c r="A1067" s="54" t="n"/>
      <c r="B1067" s="61" t="n"/>
      <c r="C1067" s="62" t="n"/>
      <c r="D1067" s="57" t="n"/>
      <c r="E1067" s="57" t="n"/>
      <c r="F1067" s="58" t="n"/>
      <c r="G1067" s="66">
        <f>IF(tblFleet[[#This Row],[Units]]="","",tblFleet[[#This Row],[Units]]*24)</f>
        <v/>
      </c>
      <c r="H1067" s="66">
        <f>IF(tblFleet[[#This Row],[Units]]="","",tblFleet[[#This Row],[Calendar_h]]-tblFleet[[#This Row],[Down_h]])</f>
        <v/>
      </c>
      <c r="I1067" s="60">
        <f>IF(AND(tblFleet[[#This Row],[Units]]&lt;&gt;"",tblFleet[[#This Row],[Calendar_h]]&gt;0),tblFleet[[#This Row],[Available_h]]/tblFleet[[#This Row],[Calendar_h]],"")</f>
        <v/>
      </c>
      <c r="J1067" s="60">
        <f>IF(AND(tblFleet[[#This Row],[Units]]&lt;&gt;"",tblFleet[[#This Row],[Available_h]]&gt;0),tblFleet[[#This Row],[Operating_h]]/tblFleet[[#This Row],[Available_h]],"")</f>
        <v/>
      </c>
    </row>
    <row r="1068">
      <c r="A1068" s="54" t="n"/>
      <c r="B1068" s="61" t="n"/>
      <c r="C1068" s="62" t="n"/>
      <c r="D1068" s="57" t="n"/>
      <c r="E1068" s="57" t="n"/>
      <c r="F1068" s="58" t="n"/>
      <c r="G1068" s="66">
        <f>IF(tblFleet[[#This Row],[Units]]="","",tblFleet[[#This Row],[Units]]*24)</f>
        <v/>
      </c>
      <c r="H1068" s="66">
        <f>IF(tblFleet[[#This Row],[Units]]="","",tblFleet[[#This Row],[Calendar_h]]-tblFleet[[#This Row],[Down_h]])</f>
        <v/>
      </c>
      <c r="I1068" s="60">
        <f>IF(AND(tblFleet[[#This Row],[Units]]&lt;&gt;"",tblFleet[[#This Row],[Calendar_h]]&gt;0),tblFleet[[#This Row],[Available_h]]/tblFleet[[#This Row],[Calendar_h]],"")</f>
        <v/>
      </c>
      <c r="J1068" s="60">
        <f>IF(AND(tblFleet[[#This Row],[Units]]&lt;&gt;"",tblFleet[[#This Row],[Available_h]]&gt;0),tblFleet[[#This Row],[Operating_h]]/tblFleet[[#This Row],[Available_h]],"")</f>
        <v/>
      </c>
    </row>
    <row r="1069">
      <c r="A1069" s="54" t="n"/>
      <c r="B1069" s="61" t="n"/>
      <c r="C1069" s="62" t="n"/>
      <c r="D1069" s="57" t="n"/>
      <c r="E1069" s="57" t="n"/>
      <c r="F1069" s="58" t="n"/>
      <c r="G1069" s="66">
        <f>IF(tblFleet[[#This Row],[Units]]="","",tblFleet[[#This Row],[Units]]*24)</f>
        <v/>
      </c>
      <c r="H1069" s="66">
        <f>IF(tblFleet[[#This Row],[Units]]="","",tblFleet[[#This Row],[Calendar_h]]-tblFleet[[#This Row],[Down_h]])</f>
        <v/>
      </c>
      <c r="I1069" s="60">
        <f>IF(AND(tblFleet[[#This Row],[Units]]&lt;&gt;"",tblFleet[[#This Row],[Calendar_h]]&gt;0),tblFleet[[#This Row],[Available_h]]/tblFleet[[#This Row],[Calendar_h]],"")</f>
        <v/>
      </c>
      <c r="J1069" s="60">
        <f>IF(AND(tblFleet[[#This Row],[Units]]&lt;&gt;"",tblFleet[[#This Row],[Available_h]]&gt;0),tblFleet[[#This Row],[Operating_h]]/tblFleet[[#This Row],[Available_h]],"")</f>
        <v/>
      </c>
    </row>
    <row r="1070">
      <c r="A1070" s="54" t="n"/>
      <c r="B1070" s="61" t="n"/>
      <c r="C1070" s="62" t="n"/>
      <c r="D1070" s="57" t="n"/>
      <c r="E1070" s="57" t="n"/>
      <c r="F1070" s="58" t="n"/>
      <c r="G1070" s="66">
        <f>IF(tblFleet[[#This Row],[Units]]="","",tblFleet[[#This Row],[Units]]*24)</f>
        <v/>
      </c>
      <c r="H1070" s="66">
        <f>IF(tblFleet[[#This Row],[Units]]="","",tblFleet[[#This Row],[Calendar_h]]-tblFleet[[#This Row],[Down_h]])</f>
        <v/>
      </c>
      <c r="I1070" s="60">
        <f>IF(AND(tblFleet[[#This Row],[Units]]&lt;&gt;"",tblFleet[[#This Row],[Calendar_h]]&gt;0),tblFleet[[#This Row],[Available_h]]/tblFleet[[#This Row],[Calendar_h]],"")</f>
        <v/>
      </c>
      <c r="J1070" s="60">
        <f>IF(AND(tblFleet[[#This Row],[Units]]&lt;&gt;"",tblFleet[[#This Row],[Available_h]]&gt;0),tblFleet[[#This Row],[Operating_h]]/tblFleet[[#This Row],[Available_h]],"")</f>
        <v/>
      </c>
    </row>
    <row r="1071">
      <c r="A1071" s="54" t="n"/>
      <c r="B1071" s="61" t="n"/>
      <c r="C1071" s="62" t="n"/>
      <c r="D1071" s="57" t="n"/>
      <c r="E1071" s="57" t="n"/>
      <c r="F1071" s="58" t="n"/>
      <c r="G1071" s="66">
        <f>IF(tblFleet[[#This Row],[Units]]="","",tblFleet[[#This Row],[Units]]*24)</f>
        <v/>
      </c>
      <c r="H1071" s="66">
        <f>IF(tblFleet[[#This Row],[Units]]="","",tblFleet[[#This Row],[Calendar_h]]-tblFleet[[#This Row],[Down_h]])</f>
        <v/>
      </c>
      <c r="I1071" s="60">
        <f>IF(AND(tblFleet[[#This Row],[Units]]&lt;&gt;"",tblFleet[[#This Row],[Calendar_h]]&gt;0),tblFleet[[#This Row],[Available_h]]/tblFleet[[#This Row],[Calendar_h]],"")</f>
        <v/>
      </c>
      <c r="J1071" s="60">
        <f>IF(AND(tblFleet[[#This Row],[Units]]&lt;&gt;"",tblFleet[[#This Row],[Available_h]]&gt;0),tblFleet[[#This Row],[Operating_h]]/tblFleet[[#This Row],[Available_h]],"")</f>
        <v/>
      </c>
    </row>
    <row r="1072">
      <c r="A1072" s="54" t="n"/>
      <c r="B1072" s="61" t="n"/>
      <c r="C1072" s="62" t="n"/>
      <c r="D1072" s="57" t="n"/>
      <c r="E1072" s="57" t="n"/>
      <c r="F1072" s="58" t="n"/>
      <c r="G1072" s="66">
        <f>IF(tblFleet[[#This Row],[Units]]="","",tblFleet[[#This Row],[Units]]*24)</f>
        <v/>
      </c>
      <c r="H1072" s="66">
        <f>IF(tblFleet[[#This Row],[Units]]="","",tblFleet[[#This Row],[Calendar_h]]-tblFleet[[#This Row],[Down_h]])</f>
        <v/>
      </c>
      <c r="I1072" s="60">
        <f>IF(AND(tblFleet[[#This Row],[Units]]&lt;&gt;"",tblFleet[[#This Row],[Calendar_h]]&gt;0),tblFleet[[#This Row],[Available_h]]/tblFleet[[#This Row],[Calendar_h]],"")</f>
        <v/>
      </c>
      <c r="J1072" s="60">
        <f>IF(AND(tblFleet[[#This Row],[Units]]&lt;&gt;"",tblFleet[[#This Row],[Available_h]]&gt;0),tblFleet[[#This Row],[Operating_h]]/tblFleet[[#This Row],[Available_h]],"")</f>
        <v/>
      </c>
    </row>
    <row r="1073">
      <c r="A1073" s="54" t="n"/>
      <c r="B1073" s="61" t="n"/>
      <c r="C1073" s="62" t="n"/>
      <c r="D1073" s="57" t="n"/>
      <c r="E1073" s="57" t="n"/>
      <c r="F1073" s="58" t="n"/>
      <c r="G1073" s="66">
        <f>IF(tblFleet[[#This Row],[Units]]="","",tblFleet[[#This Row],[Units]]*24)</f>
        <v/>
      </c>
      <c r="H1073" s="66">
        <f>IF(tblFleet[[#This Row],[Units]]="","",tblFleet[[#This Row],[Calendar_h]]-tblFleet[[#This Row],[Down_h]])</f>
        <v/>
      </c>
      <c r="I1073" s="60">
        <f>IF(AND(tblFleet[[#This Row],[Units]]&lt;&gt;"",tblFleet[[#This Row],[Calendar_h]]&gt;0),tblFleet[[#This Row],[Available_h]]/tblFleet[[#This Row],[Calendar_h]],"")</f>
        <v/>
      </c>
      <c r="J1073" s="60">
        <f>IF(AND(tblFleet[[#This Row],[Units]]&lt;&gt;"",tblFleet[[#This Row],[Available_h]]&gt;0),tblFleet[[#This Row],[Operating_h]]/tblFleet[[#This Row],[Available_h]],"")</f>
        <v/>
      </c>
    </row>
    <row r="1074">
      <c r="A1074" s="54" t="n"/>
      <c r="B1074" s="61" t="n"/>
      <c r="C1074" s="62" t="n"/>
      <c r="D1074" s="57" t="n"/>
      <c r="E1074" s="57" t="n"/>
      <c r="F1074" s="58" t="n"/>
      <c r="G1074" s="66">
        <f>IF(tblFleet[[#This Row],[Units]]="","",tblFleet[[#This Row],[Units]]*24)</f>
        <v/>
      </c>
      <c r="H1074" s="66">
        <f>IF(tblFleet[[#This Row],[Units]]="","",tblFleet[[#This Row],[Calendar_h]]-tblFleet[[#This Row],[Down_h]])</f>
        <v/>
      </c>
      <c r="I1074" s="60">
        <f>IF(AND(tblFleet[[#This Row],[Units]]&lt;&gt;"",tblFleet[[#This Row],[Calendar_h]]&gt;0),tblFleet[[#This Row],[Available_h]]/tblFleet[[#This Row],[Calendar_h]],"")</f>
        <v/>
      </c>
      <c r="J1074" s="60">
        <f>IF(AND(tblFleet[[#This Row],[Units]]&lt;&gt;"",tblFleet[[#This Row],[Available_h]]&gt;0),tblFleet[[#This Row],[Operating_h]]/tblFleet[[#This Row],[Available_h]],"")</f>
        <v/>
      </c>
    </row>
    <row r="1075">
      <c r="A1075" s="54" t="n"/>
      <c r="B1075" s="61" t="n"/>
      <c r="C1075" s="62" t="n"/>
      <c r="D1075" s="57" t="n"/>
      <c r="E1075" s="57" t="n"/>
      <c r="F1075" s="58" t="n"/>
      <c r="G1075" s="66">
        <f>IF(tblFleet[[#This Row],[Units]]="","",tblFleet[[#This Row],[Units]]*24)</f>
        <v/>
      </c>
      <c r="H1075" s="66">
        <f>IF(tblFleet[[#This Row],[Units]]="","",tblFleet[[#This Row],[Calendar_h]]-tblFleet[[#This Row],[Down_h]])</f>
        <v/>
      </c>
      <c r="I1075" s="60">
        <f>IF(AND(tblFleet[[#This Row],[Units]]&lt;&gt;"",tblFleet[[#This Row],[Calendar_h]]&gt;0),tblFleet[[#This Row],[Available_h]]/tblFleet[[#This Row],[Calendar_h]],"")</f>
        <v/>
      </c>
      <c r="J1075" s="60">
        <f>IF(AND(tblFleet[[#This Row],[Units]]&lt;&gt;"",tblFleet[[#This Row],[Available_h]]&gt;0),tblFleet[[#This Row],[Operating_h]]/tblFleet[[#This Row],[Available_h]],"")</f>
        <v/>
      </c>
    </row>
    <row r="1076">
      <c r="A1076" s="54" t="n"/>
      <c r="B1076" s="61" t="n"/>
      <c r="C1076" s="62" t="n"/>
      <c r="D1076" s="57" t="n"/>
      <c r="E1076" s="57" t="n"/>
      <c r="F1076" s="58" t="n"/>
      <c r="G1076" s="66">
        <f>IF(tblFleet[[#This Row],[Units]]="","",tblFleet[[#This Row],[Units]]*24)</f>
        <v/>
      </c>
      <c r="H1076" s="66">
        <f>IF(tblFleet[[#This Row],[Units]]="","",tblFleet[[#This Row],[Calendar_h]]-tblFleet[[#This Row],[Down_h]])</f>
        <v/>
      </c>
      <c r="I1076" s="60">
        <f>IF(AND(tblFleet[[#This Row],[Units]]&lt;&gt;"",tblFleet[[#This Row],[Calendar_h]]&gt;0),tblFleet[[#This Row],[Available_h]]/tblFleet[[#This Row],[Calendar_h]],"")</f>
        <v/>
      </c>
      <c r="J1076" s="60">
        <f>IF(AND(tblFleet[[#This Row],[Units]]&lt;&gt;"",tblFleet[[#This Row],[Available_h]]&gt;0),tblFleet[[#This Row],[Operating_h]]/tblFleet[[#This Row],[Available_h]],"")</f>
        <v/>
      </c>
    </row>
    <row r="1077">
      <c r="A1077" s="54" t="n"/>
      <c r="B1077" s="61" t="n"/>
      <c r="C1077" s="62" t="n"/>
      <c r="D1077" s="57" t="n"/>
      <c r="E1077" s="57" t="n"/>
      <c r="F1077" s="58" t="n"/>
      <c r="G1077" s="66">
        <f>IF(tblFleet[[#This Row],[Units]]="","",tblFleet[[#This Row],[Units]]*24)</f>
        <v/>
      </c>
      <c r="H1077" s="66">
        <f>IF(tblFleet[[#This Row],[Units]]="","",tblFleet[[#This Row],[Calendar_h]]-tblFleet[[#This Row],[Down_h]])</f>
        <v/>
      </c>
      <c r="I1077" s="60">
        <f>IF(AND(tblFleet[[#This Row],[Units]]&lt;&gt;"",tblFleet[[#This Row],[Calendar_h]]&gt;0),tblFleet[[#This Row],[Available_h]]/tblFleet[[#This Row],[Calendar_h]],"")</f>
        <v/>
      </c>
      <c r="J1077" s="60">
        <f>IF(AND(tblFleet[[#This Row],[Units]]&lt;&gt;"",tblFleet[[#This Row],[Available_h]]&gt;0),tblFleet[[#This Row],[Operating_h]]/tblFleet[[#This Row],[Available_h]],"")</f>
        <v/>
      </c>
    </row>
    <row r="1078">
      <c r="A1078" s="54" t="n"/>
      <c r="B1078" s="61" t="n"/>
      <c r="C1078" s="62" t="n"/>
      <c r="D1078" s="57" t="n"/>
      <c r="E1078" s="57" t="n"/>
      <c r="F1078" s="58" t="n"/>
      <c r="G1078" s="66">
        <f>IF(tblFleet[[#This Row],[Units]]="","",tblFleet[[#This Row],[Units]]*24)</f>
        <v/>
      </c>
      <c r="H1078" s="66">
        <f>IF(tblFleet[[#This Row],[Units]]="","",tblFleet[[#This Row],[Calendar_h]]-tblFleet[[#This Row],[Down_h]])</f>
        <v/>
      </c>
      <c r="I1078" s="60">
        <f>IF(AND(tblFleet[[#This Row],[Units]]&lt;&gt;"",tblFleet[[#This Row],[Calendar_h]]&gt;0),tblFleet[[#This Row],[Available_h]]/tblFleet[[#This Row],[Calendar_h]],"")</f>
        <v/>
      </c>
      <c r="J1078" s="60">
        <f>IF(AND(tblFleet[[#This Row],[Units]]&lt;&gt;"",tblFleet[[#This Row],[Available_h]]&gt;0),tblFleet[[#This Row],[Operating_h]]/tblFleet[[#This Row],[Available_h]],"")</f>
        <v/>
      </c>
    </row>
    <row r="1079">
      <c r="A1079" s="54" t="n"/>
      <c r="B1079" s="61" t="n"/>
      <c r="C1079" s="62" t="n"/>
      <c r="D1079" s="57" t="n"/>
      <c r="E1079" s="57" t="n"/>
      <c r="F1079" s="58" t="n"/>
      <c r="G1079" s="66">
        <f>IF(tblFleet[[#This Row],[Units]]="","",tblFleet[[#This Row],[Units]]*24)</f>
        <v/>
      </c>
      <c r="H1079" s="66">
        <f>IF(tblFleet[[#This Row],[Units]]="","",tblFleet[[#This Row],[Calendar_h]]-tblFleet[[#This Row],[Down_h]])</f>
        <v/>
      </c>
      <c r="I1079" s="60">
        <f>IF(AND(tblFleet[[#This Row],[Units]]&lt;&gt;"",tblFleet[[#This Row],[Calendar_h]]&gt;0),tblFleet[[#This Row],[Available_h]]/tblFleet[[#This Row],[Calendar_h]],"")</f>
        <v/>
      </c>
      <c r="J1079" s="60">
        <f>IF(AND(tblFleet[[#This Row],[Units]]&lt;&gt;"",tblFleet[[#This Row],[Available_h]]&gt;0),tblFleet[[#This Row],[Operating_h]]/tblFleet[[#This Row],[Available_h]],"")</f>
        <v/>
      </c>
    </row>
    <row r="1080">
      <c r="A1080" s="54" t="n"/>
      <c r="B1080" s="61" t="n"/>
      <c r="C1080" s="62" t="n"/>
      <c r="D1080" s="57" t="n"/>
      <c r="E1080" s="57" t="n"/>
      <c r="F1080" s="58" t="n"/>
      <c r="G1080" s="66">
        <f>IF(tblFleet[[#This Row],[Units]]="","",tblFleet[[#This Row],[Units]]*24)</f>
        <v/>
      </c>
      <c r="H1080" s="66">
        <f>IF(tblFleet[[#This Row],[Units]]="","",tblFleet[[#This Row],[Calendar_h]]-tblFleet[[#This Row],[Down_h]])</f>
        <v/>
      </c>
      <c r="I1080" s="60">
        <f>IF(AND(tblFleet[[#This Row],[Units]]&lt;&gt;"",tblFleet[[#This Row],[Calendar_h]]&gt;0),tblFleet[[#This Row],[Available_h]]/tblFleet[[#This Row],[Calendar_h]],"")</f>
        <v/>
      </c>
      <c r="J1080" s="60">
        <f>IF(AND(tblFleet[[#This Row],[Units]]&lt;&gt;"",tblFleet[[#This Row],[Available_h]]&gt;0),tblFleet[[#This Row],[Operating_h]]/tblFleet[[#This Row],[Available_h]],"")</f>
        <v/>
      </c>
    </row>
    <row r="1081">
      <c r="A1081" s="54" t="n"/>
      <c r="B1081" s="61" t="n"/>
      <c r="C1081" s="62" t="n"/>
      <c r="D1081" s="57" t="n"/>
      <c r="E1081" s="57" t="n"/>
      <c r="F1081" s="58" t="n"/>
      <c r="G1081" s="66">
        <f>IF(tblFleet[[#This Row],[Units]]="","",tblFleet[[#This Row],[Units]]*24)</f>
        <v/>
      </c>
      <c r="H1081" s="66">
        <f>IF(tblFleet[[#This Row],[Units]]="","",tblFleet[[#This Row],[Calendar_h]]-tblFleet[[#This Row],[Down_h]])</f>
        <v/>
      </c>
      <c r="I1081" s="60">
        <f>IF(AND(tblFleet[[#This Row],[Units]]&lt;&gt;"",tblFleet[[#This Row],[Calendar_h]]&gt;0),tblFleet[[#This Row],[Available_h]]/tblFleet[[#This Row],[Calendar_h]],"")</f>
        <v/>
      </c>
      <c r="J1081" s="60">
        <f>IF(AND(tblFleet[[#This Row],[Units]]&lt;&gt;"",tblFleet[[#This Row],[Available_h]]&gt;0),tblFleet[[#This Row],[Operating_h]]/tblFleet[[#This Row],[Available_h]],"")</f>
        <v/>
      </c>
    </row>
    <row r="1082">
      <c r="A1082" s="54" t="n"/>
      <c r="B1082" s="61" t="n"/>
      <c r="C1082" s="62" t="n"/>
      <c r="D1082" s="57" t="n"/>
      <c r="E1082" s="57" t="n"/>
      <c r="F1082" s="58" t="n"/>
      <c r="G1082" s="66">
        <f>IF(tblFleet[[#This Row],[Units]]="","",tblFleet[[#This Row],[Units]]*24)</f>
        <v/>
      </c>
      <c r="H1082" s="66">
        <f>IF(tblFleet[[#This Row],[Units]]="","",tblFleet[[#This Row],[Calendar_h]]-tblFleet[[#This Row],[Down_h]])</f>
        <v/>
      </c>
      <c r="I1082" s="60">
        <f>IF(AND(tblFleet[[#This Row],[Units]]&lt;&gt;"",tblFleet[[#This Row],[Calendar_h]]&gt;0),tblFleet[[#This Row],[Available_h]]/tblFleet[[#This Row],[Calendar_h]],"")</f>
        <v/>
      </c>
      <c r="J1082" s="60">
        <f>IF(AND(tblFleet[[#This Row],[Units]]&lt;&gt;"",tblFleet[[#This Row],[Available_h]]&gt;0),tblFleet[[#This Row],[Operating_h]]/tblFleet[[#This Row],[Available_h]],"")</f>
        <v/>
      </c>
    </row>
    <row r="1083">
      <c r="A1083" s="54" t="n"/>
      <c r="B1083" s="61" t="n"/>
      <c r="C1083" s="62" t="n"/>
      <c r="D1083" s="57" t="n"/>
      <c r="E1083" s="57" t="n"/>
      <c r="F1083" s="58" t="n"/>
      <c r="G1083" s="66">
        <f>IF(tblFleet[[#This Row],[Units]]="","",tblFleet[[#This Row],[Units]]*24)</f>
        <v/>
      </c>
      <c r="H1083" s="66">
        <f>IF(tblFleet[[#This Row],[Units]]="","",tblFleet[[#This Row],[Calendar_h]]-tblFleet[[#This Row],[Down_h]])</f>
        <v/>
      </c>
      <c r="I1083" s="60">
        <f>IF(AND(tblFleet[[#This Row],[Units]]&lt;&gt;"",tblFleet[[#This Row],[Calendar_h]]&gt;0),tblFleet[[#This Row],[Available_h]]/tblFleet[[#This Row],[Calendar_h]],"")</f>
        <v/>
      </c>
      <c r="J1083" s="60">
        <f>IF(AND(tblFleet[[#This Row],[Units]]&lt;&gt;"",tblFleet[[#This Row],[Available_h]]&gt;0),tblFleet[[#This Row],[Operating_h]]/tblFleet[[#This Row],[Available_h]],"")</f>
        <v/>
      </c>
    </row>
    <row r="1084">
      <c r="A1084" s="54" t="n"/>
      <c r="B1084" s="61" t="n"/>
      <c r="C1084" s="62" t="n"/>
      <c r="D1084" s="57" t="n"/>
      <c r="E1084" s="57" t="n"/>
      <c r="F1084" s="58" t="n"/>
      <c r="G1084" s="66">
        <f>IF(tblFleet[[#This Row],[Units]]="","",tblFleet[[#This Row],[Units]]*24)</f>
        <v/>
      </c>
      <c r="H1084" s="66">
        <f>IF(tblFleet[[#This Row],[Units]]="","",tblFleet[[#This Row],[Calendar_h]]-tblFleet[[#This Row],[Down_h]])</f>
        <v/>
      </c>
      <c r="I1084" s="60">
        <f>IF(AND(tblFleet[[#This Row],[Units]]&lt;&gt;"",tblFleet[[#This Row],[Calendar_h]]&gt;0),tblFleet[[#This Row],[Available_h]]/tblFleet[[#This Row],[Calendar_h]],"")</f>
        <v/>
      </c>
      <c r="J1084" s="60">
        <f>IF(AND(tblFleet[[#This Row],[Units]]&lt;&gt;"",tblFleet[[#This Row],[Available_h]]&gt;0),tblFleet[[#This Row],[Operating_h]]/tblFleet[[#This Row],[Available_h]],"")</f>
        <v/>
      </c>
    </row>
    <row r="1085">
      <c r="A1085" s="54" t="n"/>
      <c r="B1085" s="61" t="n"/>
      <c r="C1085" s="62" t="n"/>
      <c r="D1085" s="57" t="n"/>
      <c r="E1085" s="57" t="n"/>
      <c r="F1085" s="58" t="n"/>
      <c r="G1085" s="66">
        <f>IF(tblFleet[[#This Row],[Units]]="","",tblFleet[[#This Row],[Units]]*24)</f>
        <v/>
      </c>
      <c r="H1085" s="66">
        <f>IF(tblFleet[[#This Row],[Units]]="","",tblFleet[[#This Row],[Calendar_h]]-tblFleet[[#This Row],[Down_h]])</f>
        <v/>
      </c>
      <c r="I1085" s="60">
        <f>IF(AND(tblFleet[[#This Row],[Units]]&lt;&gt;"",tblFleet[[#This Row],[Calendar_h]]&gt;0),tblFleet[[#This Row],[Available_h]]/tblFleet[[#This Row],[Calendar_h]],"")</f>
        <v/>
      </c>
      <c r="J1085" s="60">
        <f>IF(AND(tblFleet[[#This Row],[Units]]&lt;&gt;"",tblFleet[[#This Row],[Available_h]]&gt;0),tblFleet[[#This Row],[Operating_h]]/tblFleet[[#This Row],[Available_h]],"")</f>
        <v/>
      </c>
    </row>
    <row r="1086">
      <c r="A1086" s="54" t="n"/>
      <c r="B1086" s="61" t="n"/>
      <c r="C1086" s="62" t="n"/>
      <c r="D1086" s="57" t="n"/>
      <c r="E1086" s="57" t="n"/>
      <c r="F1086" s="58" t="n"/>
      <c r="G1086" s="66">
        <f>IF(tblFleet[[#This Row],[Units]]="","",tblFleet[[#This Row],[Units]]*24)</f>
        <v/>
      </c>
      <c r="H1086" s="66">
        <f>IF(tblFleet[[#This Row],[Units]]="","",tblFleet[[#This Row],[Calendar_h]]-tblFleet[[#This Row],[Down_h]])</f>
        <v/>
      </c>
      <c r="I1086" s="60">
        <f>IF(AND(tblFleet[[#This Row],[Units]]&lt;&gt;"",tblFleet[[#This Row],[Calendar_h]]&gt;0),tblFleet[[#This Row],[Available_h]]/tblFleet[[#This Row],[Calendar_h]],"")</f>
        <v/>
      </c>
      <c r="J1086" s="60">
        <f>IF(AND(tblFleet[[#This Row],[Units]]&lt;&gt;"",tblFleet[[#This Row],[Available_h]]&gt;0),tblFleet[[#This Row],[Operating_h]]/tblFleet[[#This Row],[Available_h]],"")</f>
        <v/>
      </c>
    </row>
    <row r="1087">
      <c r="A1087" s="54" t="n"/>
      <c r="B1087" s="61" t="n"/>
      <c r="C1087" s="62" t="n"/>
      <c r="D1087" s="57" t="n"/>
      <c r="E1087" s="57" t="n"/>
      <c r="F1087" s="58" t="n"/>
      <c r="G1087" s="66">
        <f>IF(tblFleet[[#This Row],[Units]]="","",tblFleet[[#This Row],[Units]]*24)</f>
        <v/>
      </c>
      <c r="H1087" s="66">
        <f>IF(tblFleet[[#This Row],[Units]]="","",tblFleet[[#This Row],[Calendar_h]]-tblFleet[[#This Row],[Down_h]])</f>
        <v/>
      </c>
      <c r="I1087" s="60">
        <f>IF(AND(tblFleet[[#This Row],[Units]]&lt;&gt;"",tblFleet[[#This Row],[Calendar_h]]&gt;0),tblFleet[[#This Row],[Available_h]]/tblFleet[[#This Row],[Calendar_h]],"")</f>
        <v/>
      </c>
      <c r="J1087" s="60">
        <f>IF(AND(tblFleet[[#This Row],[Units]]&lt;&gt;"",tblFleet[[#This Row],[Available_h]]&gt;0),tblFleet[[#This Row],[Operating_h]]/tblFleet[[#This Row],[Available_h]],"")</f>
        <v/>
      </c>
    </row>
    <row r="1088">
      <c r="A1088" s="54" t="n"/>
      <c r="B1088" s="61" t="n"/>
      <c r="C1088" s="62" t="n"/>
      <c r="D1088" s="57" t="n"/>
      <c r="E1088" s="57" t="n"/>
      <c r="F1088" s="58" t="n"/>
      <c r="G1088" s="66">
        <f>IF(tblFleet[[#This Row],[Units]]="","",tblFleet[[#This Row],[Units]]*24)</f>
        <v/>
      </c>
      <c r="H1088" s="66">
        <f>IF(tblFleet[[#This Row],[Units]]="","",tblFleet[[#This Row],[Calendar_h]]-tblFleet[[#This Row],[Down_h]])</f>
        <v/>
      </c>
      <c r="I1088" s="60">
        <f>IF(AND(tblFleet[[#This Row],[Units]]&lt;&gt;"",tblFleet[[#This Row],[Calendar_h]]&gt;0),tblFleet[[#This Row],[Available_h]]/tblFleet[[#This Row],[Calendar_h]],"")</f>
        <v/>
      </c>
      <c r="J1088" s="60">
        <f>IF(AND(tblFleet[[#This Row],[Units]]&lt;&gt;"",tblFleet[[#This Row],[Available_h]]&gt;0),tblFleet[[#This Row],[Operating_h]]/tblFleet[[#This Row],[Available_h]],"")</f>
        <v/>
      </c>
    </row>
    <row r="1089">
      <c r="A1089" s="54" t="n"/>
      <c r="B1089" s="61" t="n"/>
      <c r="C1089" s="62" t="n"/>
      <c r="D1089" s="57" t="n"/>
      <c r="E1089" s="57" t="n"/>
      <c r="F1089" s="58" t="n"/>
      <c r="G1089" s="66">
        <f>IF(tblFleet[[#This Row],[Units]]="","",tblFleet[[#This Row],[Units]]*24)</f>
        <v/>
      </c>
      <c r="H1089" s="66">
        <f>IF(tblFleet[[#This Row],[Units]]="","",tblFleet[[#This Row],[Calendar_h]]-tblFleet[[#This Row],[Down_h]])</f>
        <v/>
      </c>
      <c r="I1089" s="60">
        <f>IF(AND(tblFleet[[#This Row],[Units]]&lt;&gt;"",tblFleet[[#This Row],[Calendar_h]]&gt;0),tblFleet[[#This Row],[Available_h]]/tblFleet[[#This Row],[Calendar_h]],"")</f>
        <v/>
      </c>
      <c r="J1089" s="60">
        <f>IF(AND(tblFleet[[#This Row],[Units]]&lt;&gt;"",tblFleet[[#This Row],[Available_h]]&gt;0),tblFleet[[#This Row],[Operating_h]]/tblFleet[[#This Row],[Available_h]],"")</f>
        <v/>
      </c>
    </row>
    <row r="1090">
      <c r="A1090" s="54" t="n"/>
      <c r="B1090" s="61" t="n"/>
      <c r="C1090" s="62" t="n"/>
      <c r="D1090" s="57" t="n"/>
      <c r="E1090" s="57" t="n"/>
      <c r="F1090" s="58" t="n"/>
      <c r="G1090" s="66">
        <f>IF(tblFleet[[#This Row],[Units]]="","",tblFleet[[#This Row],[Units]]*24)</f>
        <v/>
      </c>
      <c r="H1090" s="66">
        <f>IF(tblFleet[[#This Row],[Units]]="","",tblFleet[[#This Row],[Calendar_h]]-tblFleet[[#This Row],[Down_h]])</f>
        <v/>
      </c>
      <c r="I1090" s="60">
        <f>IF(AND(tblFleet[[#This Row],[Units]]&lt;&gt;"",tblFleet[[#This Row],[Calendar_h]]&gt;0),tblFleet[[#This Row],[Available_h]]/tblFleet[[#This Row],[Calendar_h]],"")</f>
        <v/>
      </c>
      <c r="J1090" s="60">
        <f>IF(AND(tblFleet[[#This Row],[Units]]&lt;&gt;"",tblFleet[[#This Row],[Available_h]]&gt;0),tblFleet[[#This Row],[Operating_h]]/tblFleet[[#This Row],[Available_h]],"")</f>
        <v/>
      </c>
    </row>
    <row r="1091">
      <c r="A1091" s="54" t="n"/>
      <c r="B1091" s="61" t="n"/>
      <c r="C1091" s="62" t="n"/>
      <c r="D1091" s="57" t="n"/>
      <c r="E1091" s="57" t="n"/>
      <c r="F1091" s="58" t="n"/>
      <c r="G1091" s="66">
        <f>IF(tblFleet[[#This Row],[Units]]="","",tblFleet[[#This Row],[Units]]*24)</f>
        <v/>
      </c>
      <c r="H1091" s="66">
        <f>IF(tblFleet[[#This Row],[Units]]="","",tblFleet[[#This Row],[Calendar_h]]-tblFleet[[#This Row],[Down_h]])</f>
        <v/>
      </c>
      <c r="I1091" s="60">
        <f>IF(AND(tblFleet[[#This Row],[Units]]&lt;&gt;"",tblFleet[[#This Row],[Calendar_h]]&gt;0),tblFleet[[#This Row],[Available_h]]/tblFleet[[#This Row],[Calendar_h]],"")</f>
        <v/>
      </c>
      <c r="J1091" s="60">
        <f>IF(AND(tblFleet[[#This Row],[Units]]&lt;&gt;"",tblFleet[[#This Row],[Available_h]]&gt;0),tblFleet[[#This Row],[Operating_h]]/tblFleet[[#This Row],[Available_h]],"")</f>
        <v/>
      </c>
    </row>
    <row r="1092">
      <c r="A1092" s="54" t="n"/>
      <c r="B1092" s="61" t="n"/>
      <c r="C1092" s="62" t="n"/>
      <c r="D1092" s="57" t="n"/>
      <c r="E1092" s="57" t="n"/>
      <c r="F1092" s="58" t="n"/>
      <c r="G1092" s="66">
        <f>IF(tblFleet[[#This Row],[Units]]="","",tblFleet[[#This Row],[Units]]*24)</f>
        <v/>
      </c>
      <c r="H1092" s="66">
        <f>IF(tblFleet[[#This Row],[Units]]="","",tblFleet[[#This Row],[Calendar_h]]-tblFleet[[#This Row],[Down_h]])</f>
        <v/>
      </c>
      <c r="I1092" s="60">
        <f>IF(AND(tblFleet[[#This Row],[Units]]&lt;&gt;"",tblFleet[[#This Row],[Calendar_h]]&gt;0),tblFleet[[#This Row],[Available_h]]/tblFleet[[#This Row],[Calendar_h]],"")</f>
        <v/>
      </c>
      <c r="J1092" s="60">
        <f>IF(AND(tblFleet[[#This Row],[Units]]&lt;&gt;"",tblFleet[[#This Row],[Available_h]]&gt;0),tblFleet[[#This Row],[Operating_h]]/tblFleet[[#This Row],[Available_h]],"")</f>
        <v/>
      </c>
    </row>
    <row r="1093">
      <c r="A1093" s="54" t="n"/>
      <c r="B1093" s="61" t="n"/>
      <c r="C1093" s="62" t="n"/>
      <c r="D1093" s="57" t="n"/>
      <c r="E1093" s="57" t="n"/>
      <c r="F1093" s="58" t="n"/>
      <c r="G1093" s="66">
        <f>IF(tblFleet[[#This Row],[Units]]="","",tblFleet[[#This Row],[Units]]*24)</f>
        <v/>
      </c>
      <c r="H1093" s="66">
        <f>IF(tblFleet[[#This Row],[Units]]="","",tblFleet[[#This Row],[Calendar_h]]-tblFleet[[#This Row],[Down_h]])</f>
        <v/>
      </c>
      <c r="I1093" s="60">
        <f>IF(AND(tblFleet[[#This Row],[Units]]&lt;&gt;"",tblFleet[[#This Row],[Calendar_h]]&gt;0),tblFleet[[#This Row],[Available_h]]/tblFleet[[#This Row],[Calendar_h]],"")</f>
        <v/>
      </c>
      <c r="J1093" s="60">
        <f>IF(AND(tblFleet[[#This Row],[Units]]&lt;&gt;"",tblFleet[[#This Row],[Available_h]]&gt;0),tblFleet[[#This Row],[Operating_h]]/tblFleet[[#This Row],[Available_h]],"")</f>
        <v/>
      </c>
    </row>
    <row r="1094">
      <c r="A1094" s="54" t="n"/>
      <c r="B1094" s="61" t="n"/>
      <c r="C1094" s="62" t="n"/>
      <c r="D1094" s="57" t="n"/>
      <c r="E1094" s="57" t="n"/>
      <c r="F1094" s="58" t="n"/>
      <c r="G1094" s="66">
        <f>IF(tblFleet[[#This Row],[Units]]="","",tblFleet[[#This Row],[Units]]*24)</f>
        <v/>
      </c>
      <c r="H1094" s="66">
        <f>IF(tblFleet[[#This Row],[Units]]="","",tblFleet[[#This Row],[Calendar_h]]-tblFleet[[#This Row],[Down_h]])</f>
        <v/>
      </c>
      <c r="I1094" s="60">
        <f>IF(AND(tblFleet[[#This Row],[Units]]&lt;&gt;"",tblFleet[[#This Row],[Calendar_h]]&gt;0),tblFleet[[#This Row],[Available_h]]/tblFleet[[#This Row],[Calendar_h]],"")</f>
        <v/>
      </c>
      <c r="J1094" s="60">
        <f>IF(AND(tblFleet[[#This Row],[Units]]&lt;&gt;"",tblFleet[[#This Row],[Available_h]]&gt;0),tblFleet[[#This Row],[Operating_h]]/tblFleet[[#This Row],[Available_h]],"")</f>
        <v/>
      </c>
    </row>
    <row r="1095">
      <c r="A1095" s="54" t="n"/>
      <c r="B1095" s="61" t="n"/>
      <c r="C1095" s="62" t="n"/>
      <c r="D1095" s="57" t="n"/>
      <c r="E1095" s="57" t="n"/>
      <c r="F1095" s="58" t="n"/>
      <c r="G1095" s="66">
        <f>IF(tblFleet[[#This Row],[Units]]="","",tblFleet[[#This Row],[Units]]*24)</f>
        <v/>
      </c>
      <c r="H1095" s="66">
        <f>IF(tblFleet[[#This Row],[Units]]="","",tblFleet[[#This Row],[Calendar_h]]-tblFleet[[#This Row],[Down_h]])</f>
        <v/>
      </c>
      <c r="I1095" s="60">
        <f>IF(AND(tblFleet[[#This Row],[Units]]&lt;&gt;"",tblFleet[[#This Row],[Calendar_h]]&gt;0),tblFleet[[#This Row],[Available_h]]/tblFleet[[#This Row],[Calendar_h]],"")</f>
        <v/>
      </c>
      <c r="J1095" s="60">
        <f>IF(AND(tblFleet[[#This Row],[Units]]&lt;&gt;"",tblFleet[[#This Row],[Available_h]]&gt;0),tblFleet[[#This Row],[Operating_h]]/tblFleet[[#This Row],[Available_h]],"")</f>
        <v/>
      </c>
    </row>
    <row r="1096">
      <c r="A1096" s="54" t="n"/>
      <c r="B1096" s="61" t="n"/>
      <c r="C1096" s="62" t="n"/>
      <c r="D1096" s="57" t="n"/>
      <c r="E1096" s="57" t="n"/>
      <c r="F1096" s="58" t="n"/>
      <c r="G1096" s="66">
        <f>IF(tblFleet[[#This Row],[Units]]="","",tblFleet[[#This Row],[Units]]*24)</f>
        <v/>
      </c>
      <c r="H1096" s="66">
        <f>IF(tblFleet[[#This Row],[Units]]="","",tblFleet[[#This Row],[Calendar_h]]-tblFleet[[#This Row],[Down_h]])</f>
        <v/>
      </c>
      <c r="I1096" s="60">
        <f>IF(AND(tblFleet[[#This Row],[Units]]&lt;&gt;"",tblFleet[[#This Row],[Calendar_h]]&gt;0),tblFleet[[#This Row],[Available_h]]/tblFleet[[#This Row],[Calendar_h]],"")</f>
        <v/>
      </c>
      <c r="J1096" s="60">
        <f>IF(AND(tblFleet[[#This Row],[Units]]&lt;&gt;"",tblFleet[[#This Row],[Available_h]]&gt;0),tblFleet[[#This Row],[Operating_h]]/tblFleet[[#This Row],[Available_h]],"")</f>
        <v/>
      </c>
    </row>
    <row r="1097">
      <c r="A1097" s="54" t="n"/>
      <c r="B1097" s="61" t="n"/>
      <c r="C1097" s="62" t="n"/>
      <c r="D1097" s="57" t="n"/>
      <c r="E1097" s="57" t="n"/>
      <c r="F1097" s="58" t="n"/>
      <c r="G1097" s="66">
        <f>IF(tblFleet[[#This Row],[Units]]="","",tblFleet[[#This Row],[Units]]*24)</f>
        <v/>
      </c>
      <c r="H1097" s="66">
        <f>IF(tblFleet[[#This Row],[Units]]="","",tblFleet[[#This Row],[Calendar_h]]-tblFleet[[#This Row],[Down_h]])</f>
        <v/>
      </c>
      <c r="I1097" s="60">
        <f>IF(AND(tblFleet[[#This Row],[Units]]&lt;&gt;"",tblFleet[[#This Row],[Calendar_h]]&gt;0),tblFleet[[#This Row],[Available_h]]/tblFleet[[#This Row],[Calendar_h]],"")</f>
        <v/>
      </c>
      <c r="J1097" s="60">
        <f>IF(AND(tblFleet[[#This Row],[Units]]&lt;&gt;"",tblFleet[[#This Row],[Available_h]]&gt;0),tblFleet[[#This Row],[Operating_h]]/tblFleet[[#This Row],[Available_h]],"")</f>
        <v/>
      </c>
    </row>
    <row r="1098">
      <c r="A1098" s="54" t="n"/>
      <c r="B1098" s="61" t="n"/>
      <c r="C1098" s="62" t="n"/>
      <c r="D1098" s="57" t="n"/>
      <c r="E1098" s="57" t="n"/>
      <c r="F1098" s="58" t="n"/>
      <c r="G1098" s="66">
        <f>IF(tblFleet[[#This Row],[Units]]="","",tblFleet[[#This Row],[Units]]*24)</f>
        <v/>
      </c>
      <c r="H1098" s="66">
        <f>IF(tblFleet[[#This Row],[Units]]="","",tblFleet[[#This Row],[Calendar_h]]-tblFleet[[#This Row],[Down_h]])</f>
        <v/>
      </c>
      <c r="I1098" s="60">
        <f>IF(AND(tblFleet[[#This Row],[Units]]&lt;&gt;"",tblFleet[[#This Row],[Calendar_h]]&gt;0),tblFleet[[#This Row],[Available_h]]/tblFleet[[#This Row],[Calendar_h]],"")</f>
        <v/>
      </c>
      <c r="J1098" s="60">
        <f>IF(AND(tblFleet[[#This Row],[Units]]&lt;&gt;"",tblFleet[[#This Row],[Available_h]]&gt;0),tblFleet[[#This Row],[Operating_h]]/tblFleet[[#This Row],[Available_h]],"")</f>
        <v/>
      </c>
    </row>
    <row r="1099">
      <c r="A1099" s="54" t="n"/>
      <c r="B1099" s="61" t="n"/>
      <c r="C1099" s="62" t="n"/>
      <c r="D1099" s="57" t="n"/>
      <c r="E1099" s="57" t="n"/>
      <c r="F1099" s="58" t="n"/>
      <c r="G1099" s="66">
        <f>IF(tblFleet[[#This Row],[Units]]="","",tblFleet[[#This Row],[Units]]*24)</f>
        <v/>
      </c>
      <c r="H1099" s="66">
        <f>IF(tblFleet[[#This Row],[Units]]="","",tblFleet[[#This Row],[Calendar_h]]-tblFleet[[#This Row],[Down_h]])</f>
        <v/>
      </c>
      <c r="I1099" s="60">
        <f>IF(AND(tblFleet[[#This Row],[Units]]&lt;&gt;"",tblFleet[[#This Row],[Calendar_h]]&gt;0),tblFleet[[#This Row],[Available_h]]/tblFleet[[#This Row],[Calendar_h]],"")</f>
        <v/>
      </c>
      <c r="J1099" s="60">
        <f>IF(AND(tblFleet[[#This Row],[Units]]&lt;&gt;"",tblFleet[[#This Row],[Available_h]]&gt;0),tblFleet[[#This Row],[Operating_h]]/tblFleet[[#This Row],[Available_h]],"")</f>
        <v/>
      </c>
    </row>
    <row r="1100">
      <c r="A1100" s="54" t="n"/>
      <c r="B1100" s="61" t="n"/>
      <c r="C1100" s="62" t="n"/>
      <c r="D1100" s="57" t="n"/>
      <c r="E1100" s="57" t="n"/>
      <c r="F1100" s="58" t="n"/>
      <c r="G1100" s="66">
        <f>IF(tblFleet[[#This Row],[Units]]="","",tblFleet[[#This Row],[Units]]*24)</f>
        <v/>
      </c>
      <c r="H1100" s="66">
        <f>IF(tblFleet[[#This Row],[Units]]="","",tblFleet[[#This Row],[Calendar_h]]-tblFleet[[#This Row],[Down_h]])</f>
        <v/>
      </c>
      <c r="I1100" s="60">
        <f>IF(AND(tblFleet[[#This Row],[Units]]&lt;&gt;"",tblFleet[[#This Row],[Calendar_h]]&gt;0),tblFleet[[#This Row],[Available_h]]/tblFleet[[#This Row],[Calendar_h]],"")</f>
        <v/>
      </c>
      <c r="J1100" s="60">
        <f>IF(AND(tblFleet[[#This Row],[Units]]&lt;&gt;"",tblFleet[[#This Row],[Available_h]]&gt;0),tblFleet[[#This Row],[Operating_h]]/tblFleet[[#This Row],[Available_h]],"")</f>
        <v/>
      </c>
    </row>
    <row r="1101">
      <c r="A1101" s="54" t="n"/>
      <c r="B1101" s="61" t="n"/>
      <c r="C1101" s="62" t="n"/>
      <c r="D1101" s="57" t="n"/>
      <c r="E1101" s="57" t="n"/>
      <c r="F1101" s="58" t="n"/>
      <c r="G1101" s="66">
        <f>IF(tblFleet[[#This Row],[Units]]="","",tblFleet[[#This Row],[Units]]*24)</f>
        <v/>
      </c>
      <c r="H1101" s="66">
        <f>IF(tblFleet[[#This Row],[Units]]="","",tblFleet[[#This Row],[Calendar_h]]-tblFleet[[#This Row],[Down_h]])</f>
        <v/>
      </c>
      <c r="I1101" s="60">
        <f>IF(AND(tblFleet[[#This Row],[Units]]&lt;&gt;"",tblFleet[[#This Row],[Calendar_h]]&gt;0),tblFleet[[#This Row],[Available_h]]/tblFleet[[#This Row],[Calendar_h]],"")</f>
        <v/>
      </c>
      <c r="J1101" s="60">
        <f>IF(AND(tblFleet[[#This Row],[Units]]&lt;&gt;"",tblFleet[[#This Row],[Available_h]]&gt;0),tblFleet[[#This Row],[Operating_h]]/tblFleet[[#This Row],[Available_h]],"")</f>
        <v/>
      </c>
    </row>
    <row r="1102">
      <c r="A1102" s="54" t="n"/>
      <c r="B1102" s="61" t="n"/>
      <c r="C1102" s="62" t="n"/>
      <c r="D1102" s="57" t="n"/>
      <c r="E1102" s="57" t="n"/>
      <c r="F1102" s="58" t="n"/>
      <c r="G1102" s="66">
        <f>IF(tblFleet[[#This Row],[Units]]="","",tblFleet[[#This Row],[Units]]*24)</f>
        <v/>
      </c>
      <c r="H1102" s="66">
        <f>IF(tblFleet[[#This Row],[Units]]="","",tblFleet[[#This Row],[Calendar_h]]-tblFleet[[#This Row],[Down_h]])</f>
        <v/>
      </c>
      <c r="I1102" s="60">
        <f>IF(AND(tblFleet[[#This Row],[Units]]&lt;&gt;"",tblFleet[[#This Row],[Calendar_h]]&gt;0),tblFleet[[#This Row],[Available_h]]/tblFleet[[#This Row],[Calendar_h]],"")</f>
        <v/>
      </c>
      <c r="J1102" s="60">
        <f>IF(AND(tblFleet[[#This Row],[Units]]&lt;&gt;"",tblFleet[[#This Row],[Available_h]]&gt;0),tblFleet[[#This Row],[Operating_h]]/tblFleet[[#This Row],[Available_h]],"")</f>
        <v/>
      </c>
    </row>
    <row r="1103">
      <c r="A1103" s="54" t="n"/>
      <c r="B1103" s="61" t="n"/>
      <c r="C1103" s="62" t="n"/>
      <c r="D1103" s="57" t="n"/>
      <c r="E1103" s="57" t="n"/>
      <c r="F1103" s="58" t="n"/>
      <c r="G1103" s="66">
        <f>IF(tblFleet[[#This Row],[Units]]="","",tblFleet[[#This Row],[Units]]*24)</f>
        <v/>
      </c>
      <c r="H1103" s="66">
        <f>IF(tblFleet[[#This Row],[Units]]="","",tblFleet[[#This Row],[Calendar_h]]-tblFleet[[#This Row],[Down_h]])</f>
        <v/>
      </c>
      <c r="I1103" s="60">
        <f>IF(AND(tblFleet[[#This Row],[Units]]&lt;&gt;"",tblFleet[[#This Row],[Calendar_h]]&gt;0),tblFleet[[#This Row],[Available_h]]/tblFleet[[#This Row],[Calendar_h]],"")</f>
        <v/>
      </c>
      <c r="J1103" s="60">
        <f>IF(AND(tblFleet[[#This Row],[Units]]&lt;&gt;"",tblFleet[[#This Row],[Available_h]]&gt;0),tblFleet[[#This Row],[Operating_h]]/tblFleet[[#This Row],[Available_h]],"")</f>
        <v/>
      </c>
    </row>
    <row r="1104">
      <c r="A1104" s="54" t="n"/>
      <c r="B1104" s="61" t="n"/>
      <c r="C1104" s="62" t="n"/>
      <c r="D1104" s="57" t="n"/>
      <c r="E1104" s="57" t="n"/>
      <c r="F1104" s="58" t="n"/>
      <c r="G1104" s="66">
        <f>IF(tblFleet[[#This Row],[Units]]="","",tblFleet[[#This Row],[Units]]*24)</f>
        <v/>
      </c>
      <c r="H1104" s="66">
        <f>IF(tblFleet[[#This Row],[Units]]="","",tblFleet[[#This Row],[Calendar_h]]-tblFleet[[#This Row],[Down_h]])</f>
        <v/>
      </c>
      <c r="I1104" s="60">
        <f>IF(AND(tblFleet[[#This Row],[Units]]&lt;&gt;"",tblFleet[[#This Row],[Calendar_h]]&gt;0),tblFleet[[#This Row],[Available_h]]/tblFleet[[#This Row],[Calendar_h]],"")</f>
        <v/>
      </c>
      <c r="J1104" s="60">
        <f>IF(AND(tblFleet[[#This Row],[Units]]&lt;&gt;"",tblFleet[[#This Row],[Available_h]]&gt;0),tblFleet[[#This Row],[Operating_h]]/tblFleet[[#This Row],[Available_h]],"")</f>
        <v/>
      </c>
    </row>
    <row r="1105">
      <c r="A1105" s="54" t="n"/>
      <c r="B1105" s="61" t="n"/>
      <c r="C1105" s="62" t="n"/>
      <c r="D1105" s="57" t="n"/>
      <c r="E1105" s="57" t="n"/>
      <c r="F1105" s="58" t="n"/>
      <c r="G1105" s="66">
        <f>IF(tblFleet[[#This Row],[Units]]="","",tblFleet[[#This Row],[Units]]*24)</f>
        <v/>
      </c>
      <c r="H1105" s="66">
        <f>IF(tblFleet[[#This Row],[Units]]="","",tblFleet[[#This Row],[Calendar_h]]-tblFleet[[#This Row],[Down_h]])</f>
        <v/>
      </c>
      <c r="I1105" s="60">
        <f>IF(AND(tblFleet[[#This Row],[Units]]&lt;&gt;"",tblFleet[[#This Row],[Calendar_h]]&gt;0),tblFleet[[#This Row],[Available_h]]/tblFleet[[#This Row],[Calendar_h]],"")</f>
        <v/>
      </c>
      <c r="J1105" s="60">
        <f>IF(AND(tblFleet[[#This Row],[Units]]&lt;&gt;"",tblFleet[[#This Row],[Available_h]]&gt;0),tblFleet[[#This Row],[Operating_h]]/tblFleet[[#This Row],[Available_h]],"")</f>
        <v/>
      </c>
    </row>
    <row r="1106">
      <c r="A1106" s="54" t="n"/>
      <c r="B1106" s="61" t="n"/>
      <c r="C1106" s="62" t="n"/>
      <c r="D1106" s="57" t="n"/>
      <c r="E1106" s="57" t="n"/>
      <c r="F1106" s="58" t="n"/>
      <c r="G1106" s="66">
        <f>IF(tblFleet[[#This Row],[Units]]="","",tblFleet[[#This Row],[Units]]*24)</f>
        <v/>
      </c>
      <c r="H1106" s="66">
        <f>IF(tblFleet[[#This Row],[Units]]="","",tblFleet[[#This Row],[Calendar_h]]-tblFleet[[#This Row],[Down_h]])</f>
        <v/>
      </c>
      <c r="I1106" s="60">
        <f>IF(AND(tblFleet[[#This Row],[Units]]&lt;&gt;"",tblFleet[[#This Row],[Calendar_h]]&gt;0),tblFleet[[#This Row],[Available_h]]/tblFleet[[#This Row],[Calendar_h]],"")</f>
        <v/>
      </c>
      <c r="J1106" s="60">
        <f>IF(AND(tblFleet[[#This Row],[Units]]&lt;&gt;"",tblFleet[[#This Row],[Available_h]]&gt;0),tblFleet[[#This Row],[Operating_h]]/tblFleet[[#This Row],[Available_h]],"")</f>
        <v/>
      </c>
    </row>
    <row r="1107">
      <c r="A1107" s="54" t="n"/>
      <c r="B1107" s="61" t="n"/>
      <c r="C1107" s="62" t="n"/>
      <c r="D1107" s="57" t="n"/>
      <c r="E1107" s="57" t="n"/>
      <c r="F1107" s="58" t="n"/>
      <c r="G1107" s="66">
        <f>IF(tblFleet[[#This Row],[Units]]="","",tblFleet[[#This Row],[Units]]*24)</f>
        <v/>
      </c>
      <c r="H1107" s="66">
        <f>IF(tblFleet[[#This Row],[Units]]="","",tblFleet[[#This Row],[Calendar_h]]-tblFleet[[#This Row],[Down_h]])</f>
        <v/>
      </c>
      <c r="I1107" s="60">
        <f>IF(AND(tblFleet[[#This Row],[Units]]&lt;&gt;"",tblFleet[[#This Row],[Calendar_h]]&gt;0),tblFleet[[#This Row],[Available_h]]/tblFleet[[#This Row],[Calendar_h]],"")</f>
        <v/>
      </c>
      <c r="J1107" s="60">
        <f>IF(AND(tblFleet[[#This Row],[Units]]&lt;&gt;"",tblFleet[[#This Row],[Available_h]]&gt;0),tblFleet[[#This Row],[Operating_h]]/tblFleet[[#This Row],[Available_h]],"")</f>
        <v/>
      </c>
    </row>
    <row r="1108">
      <c r="A1108" s="54" t="n"/>
      <c r="B1108" s="61" t="n"/>
      <c r="C1108" s="62" t="n"/>
      <c r="D1108" s="57" t="n"/>
      <c r="E1108" s="57" t="n"/>
      <c r="F1108" s="58" t="n"/>
      <c r="G1108" s="66">
        <f>IF(tblFleet[[#This Row],[Units]]="","",tblFleet[[#This Row],[Units]]*24)</f>
        <v/>
      </c>
      <c r="H1108" s="66">
        <f>IF(tblFleet[[#This Row],[Units]]="","",tblFleet[[#This Row],[Calendar_h]]-tblFleet[[#This Row],[Down_h]])</f>
        <v/>
      </c>
      <c r="I1108" s="60">
        <f>IF(AND(tblFleet[[#This Row],[Units]]&lt;&gt;"",tblFleet[[#This Row],[Calendar_h]]&gt;0),tblFleet[[#This Row],[Available_h]]/tblFleet[[#This Row],[Calendar_h]],"")</f>
        <v/>
      </c>
      <c r="J1108" s="60">
        <f>IF(AND(tblFleet[[#This Row],[Units]]&lt;&gt;"",tblFleet[[#This Row],[Available_h]]&gt;0),tblFleet[[#This Row],[Operating_h]]/tblFleet[[#This Row],[Available_h]],"")</f>
        <v/>
      </c>
    </row>
    <row r="1109">
      <c r="A1109" s="54" t="n"/>
      <c r="B1109" s="61" t="n"/>
      <c r="C1109" s="62" t="n"/>
      <c r="D1109" s="57" t="n"/>
      <c r="E1109" s="57" t="n"/>
      <c r="F1109" s="58" t="n"/>
      <c r="G1109" s="66">
        <f>IF(tblFleet[[#This Row],[Units]]="","",tblFleet[[#This Row],[Units]]*24)</f>
        <v/>
      </c>
      <c r="H1109" s="66">
        <f>IF(tblFleet[[#This Row],[Units]]="","",tblFleet[[#This Row],[Calendar_h]]-tblFleet[[#This Row],[Down_h]])</f>
        <v/>
      </c>
      <c r="I1109" s="60">
        <f>IF(AND(tblFleet[[#This Row],[Units]]&lt;&gt;"",tblFleet[[#This Row],[Calendar_h]]&gt;0),tblFleet[[#This Row],[Available_h]]/tblFleet[[#This Row],[Calendar_h]],"")</f>
        <v/>
      </c>
      <c r="J1109" s="60">
        <f>IF(AND(tblFleet[[#This Row],[Units]]&lt;&gt;"",tblFleet[[#This Row],[Available_h]]&gt;0),tblFleet[[#This Row],[Operating_h]]/tblFleet[[#This Row],[Available_h]],"")</f>
        <v/>
      </c>
    </row>
    <row r="1110">
      <c r="A1110" s="54" t="n"/>
      <c r="B1110" s="61" t="n"/>
      <c r="C1110" s="62" t="n"/>
      <c r="D1110" s="57" t="n"/>
      <c r="E1110" s="57" t="n"/>
      <c r="F1110" s="58" t="n"/>
      <c r="G1110" s="66">
        <f>IF(tblFleet[[#This Row],[Units]]="","",tblFleet[[#This Row],[Units]]*24)</f>
        <v/>
      </c>
      <c r="H1110" s="66">
        <f>IF(tblFleet[[#This Row],[Units]]="","",tblFleet[[#This Row],[Calendar_h]]-tblFleet[[#This Row],[Down_h]])</f>
        <v/>
      </c>
      <c r="I1110" s="60">
        <f>IF(AND(tblFleet[[#This Row],[Units]]&lt;&gt;"",tblFleet[[#This Row],[Calendar_h]]&gt;0),tblFleet[[#This Row],[Available_h]]/tblFleet[[#This Row],[Calendar_h]],"")</f>
        <v/>
      </c>
      <c r="J1110" s="60">
        <f>IF(AND(tblFleet[[#This Row],[Units]]&lt;&gt;"",tblFleet[[#This Row],[Available_h]]&gt;0),tblFleet[[#This Row],[Operating_h]]/tblFleet[[#This Row],[Available_h]],"")</f>
        <v/>
      </c>
    </row>
    <row r="1111">
      <c r="A1111" s="54" t="n"/>
      <c r="B1111" s="61" t="n"/>
      <c r="C1111" s="62" t="n"/>
      <c r="D1111" s="57" t="n"/>
      <c r="E1111" s="57" t="n"/>
      <c r="F1111" s="58" t="n"/>
      <c r="G1111" s="66">
        <f>IF(tblFleet[[#This Row],[Units]]="","",tblFleet[[#This Row],[Units]]*24)</f>
        <v/>
      </c>
      <c r="H1111" s="66">
        <f>IF(tblFleet[[#This Row],[Units]]="","",tblFleet[[#This Row],[Calendar_h]]-tblFleet[[#This Row],[Down_h]])</f>
        <v/>
      </c>
      <c r="I1111" s="60">
        <f>IF(AND(tblFleet[[#This Row],[Units]]&lt;&gt;"",tblFleet[[#This Row],[Calendar_h]]&gt;0),tblFleet[[#This Row],[Available_h]]/tblFleet[[#This Row],[Calendar_h]],"")</f>
        <v/>
      </c>
      <c r="J1111" s="60">
        <f>IF(AND(tblFleet[[#This Row],[Units]]&lt;&gt;"",tblFleet[[#This Row],[Available_h]]&gt;0),tblFleet[[#This Row],[Operating_h]]/tblFleet[[#This Row],[Available_h]],"")</f>
        <v/>
      </c>
    </row>
    <row r="1112">
      <c r="A1112" s="54" t="n"/>
      <c r="B1112" s="61" t="n"/>
      <c r="C1112" s="62" t="n"/>
      <c r="D1112" s="57" t="n"/>
      <c r="E1112" s="57" t="n"/>
      <c r="F1112" s="58" t="n"/>
      <c r="G1112" s="66">
        <f>IF(tblFleet[[#This Row],[Units]]="","",tblFleet[[#This Row],[Units]]*24)</f>
        <v/>
      </c>
      <c r="H1112" s="66">
        <f>IF(tblFleet[[#This Row],[Units]]="","",tblFleet[[#This Row],[Calendar_h]]-tblFleet[[#This Row],[Down_h]])</f>
        <v/>
      </c>
      <c r="I1112" s="60">
        <f>IF(AND(tblFleet[[#This Row],[Units]]&lt;&gt;"",tblFleet[[#This Row],[Calendar_h]]&gt;0),tblFleet[[#This Row],[Available_h]]/tblFleet[[#This Row],[Calendar_h]],"")</f>
        <v/>
      </c>
      <c r="J1112" s="60">
        <f>IF(AND(tblFleet[[#This Row],[Units]]&lt;&gt;"",tblFleet[[#This Row],[Available_h]]&gt;0),tblFleet[[#This Row],[Operating_h]]/tblFleet[[#This Row],[Available_h]],"")</f>
        <v/>
      </c>
    </row>
    <row r="1113">
      <c r="A1113" s="54" t="n"/>
      <c r="B1113" s="61" t="n"/>
      <c r="C1113" s="62" t="n"/>
      <c r="D1113" s="57" t="n"/>
      <c r="E1113" s="57" t="n"/>
      <c r="F1113" s="58" t="n"/>
      <c r="G1113" s="66">
        <f>IF(tblFleet[[#This Row],[Units]]="","",tblFleet[[#This Row],[Units]]*24)</f>
        <v/>
      </c>
      <c r="H1113" s="66">
        <f>IF(tblFleet[[#This Row],[Units]]="","",tblFleet[[#This Row],[Calendar_h]]-tblFleet[[#This Row],[Down_h]])</f>
        <v/>
      </c>
      <c r="I1113" s="60">
        <f>IF(AND(tblFleet[[#This Row],[Units]]&lt;&gt;"",tblFleet[[#This Row],[Calendar_h]]&gt;0),tblFleet[[#This Row],[Available_h]]/tblFleet[[#This Row],[Calendar_h]],"")</f>
        <v/>
      </c>
      <c r="J1113" s="60">
        <f>IF(AND(tblFleet[[#This Row],[Units]]&lt;&gt;"",tblFleet[[#This Row],[Available_h]]&gt;0),tblFleet[[#This Row],[Operating_h]]/tblFleet[[#This Row],[Available_h]],"")</f>
        <v/>
      </c>
    </row>
    <row r="1114">
      <c r="A1114" s="54" t="n"/>
      <c r="B1114" s="61" t="n"/>
      <c r="C1114" s="62" t="n"/>
      <c r="D1114" s="57" t="n"/>
      <c r="E1114" s="57" t="n"/>
      <c r="F1114" s="58" t="n"/>
      <c r="G1114" s="66">
        <f>IF(tblFleet[[#This Row],[Units]]="","",tblFleet[[#This Row],[Units]]*24)</f>
        <v/>
      </c>
      <c r="H1114" s="66">
        <f>IF(tblFleet[[#This Row],[Units]]="","",tblFleet[[#This Row],[Calendar_h]]-tblFleet[[#This Row],[Down_h]])</f>
        <v/>
      </c>
      <c r="I1114" s="60">
        <f>IF(AND(tblFleet[[#This Row],[Units]]&lt;&gt;"",tblFleet[[#This Row],[Calendar_h]]&gt;0),tblFleet[[#This Row],[Available_h]]/tblFleet[[#This Row],[Calendar_h]],"")</f>
        <v/>
      </c>
      <c r="J1114" s="60">
        <f>IF(AND(tblFleet[[#This Row],[Units]]&lt;&gt;"",tblFleet[[#This Row],[Available_h]]&gt;0),tblFleet[[#This Row],[Operating_h]]/tblFleet[[#This Row],[Available_h]],"")</f>
        <v/>
      </c>
    </row>
    <row r="1115">
      <c r="A1115" s="54" t="n"/>
      <c r="B1115" s="61" t="n"/>
      <c r="C1115" s="62" t="n"/>
      <c r="D1115" s="57" t="n"/>
      <c r="E1115" s="57" t="n"/>
      <c r="F1115" s="58" t="n"/>
      <c r="G1115" s="66">
        <f>IF(tblFleet[[#This Row],[Units]]="","",tblFleet[[#This Row],[Units]]*24)</f>
        <v/>
      </c>
      <c r="H1115" s="66">
        <f>IF(tblFleet[[#This Row],[Units]]="","",tblFleet[[#This Row],[Calendar_h]]-tblFleet[[#This Row],[Down_h]])</f>
        <v/>
      </c>
      <c r="I1115" s="60">
        <f>IF(AND(tblFleet[[#This Row],[Units]]&lt;&gt;"",tblFleet[[#This Row],[Calendar_h]]&gt;0),tblFleet[[#This Row],[Available_h]]/tblFleet[[#This Row],[Calendar_h]],"")</f>
        <v/>
      </c>
      <c r="J1115" s="60">
        <f>IF(AND(tblFleet[[#This Row],[Units]]&lt;&gt;"",tblFleet[[#This Row],[Available_h]]&gt;0),tblFleet[[#This Row],[Operating_h]]/tblFleet[[#This Row],[Available_h]],"")</f>
        <v/>
      </c>
    </row>
    <row r="1116">
      <c r="A1116" s="54" t="n"/>
      <c r="B1116" s="61" t="n"/>
      <c r="C1116" s="62" t="n"/>
      <c r="D1116" s="57" t="n"/>
      <c r="E1116" s="57" t="n"/>
      <c r="F1116" s="58" t="n"/>
      <c r="G1116" s="66">
        <f>IF(tblFleet[[#This Row],[Units]]="","",tblFleet[[#This Row],[Units]]*24)</f>
        <v/>
      </c>
      <c r="H1116" s="66">
        <f>IF(tblFleet[[#This Row],[Units]]="","",tblFleet[[#This Row],[Calendar_h]]-tblFleet[[#This Row],[Down_h]])</f>
        <v/>
      </c>
      <c r="I1116" s="60">
        <f>IF(AND(tblFleet[[#This Row],[Units]]&lt;&gt;"",tblFleet[[#This Row],[Calendar_h]]&gt;0),tblFleet[[#This Row],[Available_h]]/tblFleet[[#This Row],[Calendar_h]],"")</f>
        <v/>
      </c>
      <c r="J1116" s="60">
        <f>IF(AND(tblFleet[[#This Row],[Units]]&lt;&gt;"",tblFleet[[#This Row],[Available_h]]&gt;0),tblFleet[[#This Row],[Operating_h]]/tblFleet[[#This Row],[Available_h]],"")</f>
        <v/>
      </c>
    </row>
    <row r="1117">
      <c r="A1117" s="54" t="n"/>
      <c r="B1117" s="61" t="n"/>
      <c r="C1117" s="62" t="n"/>
      <c r="D1117" s="57" t="n"/>
      <c r="E1117" s="57" t="n"/>
      <c r="F1117" s="58" t="n"/>
      <c r="G1117" s="66">
        <f>IF(tblFleet[[#This Row],[Units]]="","",tblFleet[[#This Row],[Units]]*24)</f>
        <v/>
      </c>
      <c r="H1117" s="66">
        <f>IF(tblFleet[[#This Row],[Units]]="","",tblFleet[[#This Row],[Calendar_h]]-tblFleet[[#This Row],[Down_h]])</f>
        <v/>
      </c>
      <c r="I1117" s="60">
        <f>IF(AND(tblFleet[[#This Row],[Units]]&lt;&gt;"",tblFleet[[#This Row],[Calendar_h]]&gt;0),tblFleet[[#This Row],[Available_h]]/tblFleet[[#This Row],[Calendar_h]],"")</f>
        <v/>
      </c>
      <c r="J1117" s="60">
        <f>IF(AND(tblFleet[[#This Row],[Units]]&lt;&gt;"",tblFleet[[#This Row],[Available_h]]&gt;0),tblFleet[[#This Row],[Operating_h]]/tblFleet[[#This Row],[Available_h]],"")</f>
        <v/>
      </c>
    </row>
    <row r="1118">
      <c r="A1118" s="54" t="n"/>
      <c r="B1118" s="61" t="n"/>
      <c r="C1118" s="62" t="n"/>
      <c r="D1118" s="57" t="n"/>
      <c r="E1118" s="57" t="n"/>
      <c r="F1118" s="58" t="n"/>
      <c r="G1118" s="66">
        <f>IF(tblFleet[[#This Row],[Units]]="","",tblFleet[[#This Row],[Units]]*24)</f>
        <v/>
      </c>
      <c r="H1118" s="66">
        <f>IF(tblFleet[[#This Row],[Units]]="","",tblFleet[[#This Row],[Calendar_h]]-tblFleet[[#This Row],[Down_h]])</f>
        <v/>
      </c>
      <c r="I1118" s="60">
        <f>IF(AND(tblFleet[[#This Row],[Units]]&lt;&gt;"",tblFleet[[#This Row],[Calendar_h]]&gt;0),tblFleet[[#This Row],[Available_h]]/tblFleet[[#This Row],[Calendar_h]],"")</f>
        <v/>
      </c>
      <c r="J1118" s="60">
        <f>IF(AND(tblFleet[[#This Row],[Units]]&lt;&gt;"",tblFleet[[#This Row],[Available_h]]&gt;0),tblFleet[[#This Row],[Operating_h]]/tblFleet[[#This Row],[Available_h]],"")</f>
        <v/>
      </c>
    </row>
    <row r="1119">
      <c r="A1119" s="54" t="n"/>
      <c r="B1119" s="61" t="n"/>
      <c r="C1119" s="62" t="n"/>
      <c r="D1119" s="57" t="n"/>
      <c r="E1119" s="57" t="n"/>
      <c r="F1119" s="58" t="n"/>
      <c r="G1119" s="66">
        <f>IF(tblFleet[[#This Row],[Units]]="","",tblFleet[[#This Row],[Units]]*24)</f>
        <v/>
      </c>
      <c r="H1119" s="66">
        <f>IF(tblFleet[[#This Row],[Units]]="","",tblFleet[[#This Row],[Calendar_h]]-tblFleet[[#This Row],[Down_h]])</f>
        <v/>
      </c>
      <c r="I1119" s="60">
        <f>IF(AND(tblFleet[[#This Row],[Units]]&lt;&gt;"",tblFleet[[#This Row],[Calendar_h]]&gt;0),tblFleet[[#This Row],[Available_h]]/tblFleet[[#This Row],[Calendar_h]],"")</f>
        <v/>
      </c>
      <c r="J1119" s="60">
        <f>IF(AND(tblFleet[[#This Row],[Units]]&lt;&gt;"",tblFleet[[#This Row],[Available_h]]&gt;0),tblFleet[[#This Row],[Operating_h]]/tblFleet[[#This Row],[Available_h]],"")</f>
        <v/>
      </c>
    </row>
    <row r="1120">
      <c r="A1120" s="54" t="n"/>
      <c r="B1120" s="61" t="n"/>
      <c r="C1120" s="62" t="n"/>
      <c r="D1120" s="57" t="n"/>
      <c r="E1120" s="57" t="n"/>
      <c r="F1120" s="58" t="n"/>
      <c r="G1120" s="66">
        <f>IF(tblFleet[[#This Row],[Units]]="","",tblFleet[[#This Row],[Units]]*24)</f>
        <v/>
      </c>
      <c r="H1120" s="66">
        <f>IF(tblFleet[[#This Row],[Units]]="","",tblFleet[[#This Row],[Calendar_h]]-tblFleet[[#This Row],[Down_h]])</f>
        <v/>
      </c>
      <c r="I1120" s="60">
        <f>IF(AND(tblFleet[[#This Row],[Units]]&lt;&gt;"",tblFleet[[#This Row],[Calendar_h]]&gt;0),tblFleet[[#This Row],[Available_h]]/tblFleet[[#This Row],[Calendar_h]],"")</f>
        <v/>
      </c>
      <c r="J1120" s="60">
        <f>IF(AND(tblFleet[[#This Row],[Units]]&lt;&gt;"",tblFleet[[#This Row],[Available_h]]&gt;0),tblFleet[[#This Row],[Operating_h]]/tblFleet[[#This Row],[Available_h]],"")</f>
        <v/>
      </c>
    </row>
    <row r="1121">
      <c r="A1121" s="54" t="n"/>
      <c r="B1121" s="61" t="n"/>
      <c r="C1121" s="62" t="n"/>
      <c r="D1121" s="57" t="n"/>
      <c r="E1121" s="57" t="n"/>
      <c r="F1121" s="58" t="n"/>
      <c r="G1121" s="66">
        <f>IF(tblFleet[[#This Row],[Units]]="","",tblFleet[[#This Row],[Units]]*24)</f>
        <v/>
      </c>
      <c r="H1121" s="66">
        <f>IF(tblFleet[[#This Row],[Units]]="","",tblFleet[[#This Row],[Calendar_h]]-tblFleet[[#This Row],[Down_h]])</f>
        <v/>
      </c>
      <c r="I1121" s="60">
        <f>IF(AND(tblFleet[[#This Row],[Units]]&lt;&gt;"",tblFleet[[#This Row],[Calendar_h]]&gt;0),tblFleet[[#This Row],[Available_h]]/tblFleet[[#This Row],[Calendar_h]],"")</f>
        <v/>
      </c>
      <c r="J1121" s="60">
        <f>IF(AND(tblFleet[[#This Row],[Units]]&lt;&gt;"",tblFleet[[#This Row],[Available_h]]&gt;0),tblFleet[[#This Row],[Operating_h]]/tblFleet[[#This Row],[Available_h]],"")</f>
        <v/>
      </c>
    </row>
    <row r="1122">
      <c r="A1122" s="54" t="n"/>
      <c r="B1122" s="61" t="n"/>
      <c r="C1122" s="62" t="n"/>
      <c r="D1122" s="57" t="n"/>
      <c r="E1122" s="57" t="n"/>
      <c r="F1122" s="58" t="n"/>
      <c r="G1122" s="66">
        <f>IF(tblFleet[[#This Row],[Units]]="","",tblFleet[[#This Row],[Units]]*24)</f>
        <v/>
      </c>
      <c r="H1122" s="66">
        <f>IF(tblFleet[[#This Row],[Units]]="","",tblFleet[[#This Row],[Calendar_h]]-tblFleet[[#This Row],[Down_h]])</f>
        <v/>
      </c>
      <c r="I1122" s="60">
        <f>IF(AND(tblFleet[[#This Row],[Units]]&lt;&gt;"",tblFleet[[#This Row],[Calendar_h]]&gt;0),tblFleet[[#This Row],[Available_h]]/tblFleet[[#This Row],[Calendar_h]],"")</f>
        <v/>
      </c>
      <c r="J1122" s="60">
        <f>IF(AND(tblFleet[[#This Row],[Units]]&lt;&gt;"",tblFleet[[#This Row],[Available_h]]&gt;0),tblFleet[[#This Row],[Operating_h]]/tblFleet[[#This Row],[Available_h]],"")</f>
        <v/>
      </c>
    </row>
    <row r="1123">
      <c r="A1123" s="54" t="n"/>
      <c r="B1123" s="61" t="n"/>
      <c r="C1123" s="62" t="n"/>
      <c r="D1123" s="57" t="n"/>
      <c r="E1123" s="57" t="n"/>
      <c r="F1123" s="58" t="n"/>
      <c r="G1123" s="66">
        <f>IF(tblFleet[[#This Row],[Units]]="","",tblFleet[[#This Row],[Units]]*24)</f>
        <v/>
      </c>
      <c r="H1123" s="66">
        <f>IF(tblFleet[[#This Row],[Units]]="","",tblFleet[[#This Row],[Calendar_h]]-tblFleet[[#This Row],[Down_h]])</f>
        <v/>
      </c>
      <c r="I1123" s="60">
        <f>IF(AND(tblFleet[[#This Row],[Units]]&lt;&gt;"",tblFleet[[#This Row],[Calendar_h]]&gt;0),tblFleet[[#This Row],[Available_h]]/tblFleet[[#This Row],[Calendar_h]],"")</f>
        <v/>
      </c>
      <c r="J1123" s="60">
        <f>IF(AND(tblFleet[[#This Row],[Units]]&lt;&gt;"",tblFleet[[#This Row],[Available_h]]&gt;0),tblFleet[[#This Row],[Operating_h]]/tblFleet[[#This Row],[Available_h]],"")</f>
        <v/>
      </c>
    </row>
    <row r="1124">
      <c r="A1124" s="54" t="n"/>
      <c r="B1124" s="61" t="n"/>
      <c r="C1124" s="62" t="n"/>
      <c r="D1124" s="57" t="n"/>
      <c r="E1124" s="57" t="n"/>
      <c r="F1124" s="58" t="n"/>
      <c r="G1124" s="66">
        <f>IF(tblFleet[[#This Row],[Units]]="","",tblFleet[[#This Row],[Units]]*24)</f>
        <v/>
      </c>
      <c r="H1124" s="66">
        <f>IF(tblFleet[[#This Row],[Units]]="","",tblFleet[[#This Row],[Calendar_h]]-tblFleet[[#This Row],[Down_h]])</f>
        <v/>
      </c>
      <c r="I1124" s="60">
        <f>IF(AND(tblFleet[[#This Row],[Units]]&lt;&gt;"",tblFleet[[#This Row],[Calendar_h]]&gt;0),tblFleet[[#This Row],[Available_h]]/tblFleet[[#This Row],[Calendar_h]],"")</f>
        <v/>
      </c>
      <c r="J1124" s="60">
        <f>IF(AND(tblFleet[[#This Row],[Units]]&lt;&gt;"",tblFleet[[#This Row],[Available_h]]&gt;0),tblFleet[[#This Row],[Operating_h]]/tblFleet[[#This Row],[Available_h]],"")</f>
        <v/>
      </c>
    </row>
    <row r="1125">
      <c r="A1125" s="54" t="n"/>
      <c r="B1125" s="61" t="n"/>
      <c r="C1125" s="62" t="n"/>
      <c r="D1125" s="57" t="n"/>
      <c r="E1125" s="57" t="n"/>
      <c r="F1125" s="58" t="n"/>
      <c r="G1125" s="66">
        <f>IF(tblFleet[[#This Row],[Units]]="","",tblFleet[[#This Row],[Units]]*24)</f>
        <v/>
      </c>
      <c r="H1125" s="66">
        <f>IF(tblFleet[[#This Row],[Units]]="","",tblFleet[[#This Row],[Calendar_h]]-tblFleet[[#This Row],[Down_h]])</f>
        <v/>
      </c>
      <c r="I1125" s="60">
        <f>IF(AND(tblFleet[[#This Row],[Units]]&lt;&gt;"",tblFleet[[#This Row],[Calendar_h]]&gt;0),tblFleet[[#This Row],[Available_h]]/tblFleet[[#This Row],[Calendar_h]],"")</f>
        <v/>
      </c>
      <c r="J1125" s="60">
        <f>IF(AND(tblFleet[[#This Row],[Units]]&lt;&gt;"",tblFleet[[#This Row],[Available_h]]&gt;0),tblFleet[[#This Row],[Operating_h]]/tblFleet[[#This Row],[Available_h]],"")</f>
        <v/>
      </c>
    </row>
    <row r="1126">
      <c r="A1126" s="54" t="n"/>
      <c r="B1126" s="61" t="n"/>
      <c r="C1126" s="62" t="n"/>
      <c r="D1126" s="57" t="n"/>
      <c r="E1126" s="57" t="n"/>
      <c r="F1126" s="58" t="n"/>
      <c r="G1126" s="66">
        <f>IF(tblFleet[[#This Row],[Units]]="","",tblFleet[[#This Row],[Units]]*24)</f>
        <v/>
      </c>
      <c r="H1126" s="66">
        <f>IF(tblFleet[[#This Row],[Units]]="","",tblFleet[[#This Row],[Calendar_h]]-tblFleet[[#This Row],[Down_h]])</f>
        <v/>
      </c>
      <c r="I1126" s="60">
        <f>IF(AND(tblFleet[[#This Row],[Units]]&lt;&gt;"",tblFleet[[#This Row],[Calendar_h]]&gt;0),tblFleet[[#This Row],[Available_h]]/tblFleet[[#This Row],[Calendar_h]],"")</f>
        <v/>
      </c>
      <c r="J1126" s="60">
        <f>IF(AND(tblFleet[[#This Row],[Units]]&lt;&gt;"",tblFleet[[#This Row],[Available_h]]&gt;0),tblFleet[[#This Row],[Operating_h]]/tblFleet[[#This Row],[Available_h]],"")</f>
        <v/>
      </c>
    </row>
    <row r="1127">
      <c r="A1127" s="54" t="n"/>
      <c r="B1127" s="61" t="n"/>
      <c r="C1127" s="62" t="n"/>
      <c r="D1127" s="57" t="n"/>
      <c r="E1127" s="57" t="n"/>
      <c r="F1127" s="58" t="n"/>
      <c r="G1127" s="66">
        <f>IF(tblFleet[[#This Row],[Units]]="","",tblFleet[[#This Row],[Units]]*24)</f>
        <v/>
      </c>
      <c r="H1127" s="66">
        <f>IF(tblFleet[[#This Row],[Units]]="","",tblFleet[[#This Row],[Calendar_h]]-tblFleet[[#This Row],[Down_h]])</f>
        <v/>
      </c>
      <c r="I1127" s="60">
        <f>IF(AND(tblFleet[[#This Row],[Units]]&lt;&gt;"",tblFleet[[#This Row],[Calendar_h]]&gt;0),tblFleet[[#This Row],[Available_h]]/tblFleet[[#This Row],[Calendar_h]],"")</f>
        <v/>
      </c>
      <c r="J1127" s="60">
        <f>IF(AND(tblFleet[[#This Row],[Units]]&lt;&gt;"",tblFleet[[#This Row],[Available_h]]&gt;0),tblFleet[[#This Row],[Operating_h]]/tblFleet[[#This Row],[Available_h]],"")</f>
        <v/>
      </c>
    </row>
    <row r="1128">
      <c r="A1128" s="54" t="n"/>
      <c r="B1128" s="61" t="n"/>
      <c r="C1128" s="62" t="n"/>
      <c r="D1128" s="57" t="n"/>
      <c r="E1128" s="57" t="n"/>
      <c r="F1128" s="58" t="n"/>
      <c r="G1128" s="66">
        <f>IF(tblFleet[[#This Row],[Units]]="","",tblFleet[[#This Row],[Units]]*24)</f>
        <v/>
      </c>
      <c r="H1128" s="66">
        <f>IF(tblFleet[[#This Row],[Units]]="","",tblFleet[[#This Row],[Calendar_h]]-tblFleet[[#This Row],[Down_h]])</f>
        <v/>
      </c>
      <c r="I1128" s="60">
        <f>IF(AND(tblFleet[[#This Row],[Units]]&lt;&gt;"",tblFleet[[#This Row],[Calendar_h]]&gt;0),tblFleet[[#This Row],[Available_h]]/tblFleet[[#This Row],[Calendar_h]],"")</f>
        <v/>
      </c>
      <c r="J1128" s="60">
        <f>IF(AND(tblFleet[[#This Row],[Units]]&lt;&gt;"",tblFleet[[#This Row],[Available_h]]&gt;0),tblFleet[[#This Row],[Operating_h]]/tblFleet[[#This Row],[Available_h]],"")</f>
        <v/>
      </c>
    </row>
    <row r="1129">
      <c r="A1129" s="54" t="n"/>
      <c r="B1129" s="61" t="n"/>
      <c r="C1129" s="62" t="n"/>
      <c r="D1129" s="57" t="n"/>
      <c r="E1129" s="57" t="n"/>
      <c r="F1129" s="58" t="n"/>
      <c r="G1129" s="66">
        <f>IF(tblFleet[[#This Row],[Units]]="","",tblFleet[[#This Row],[Units]]*24)</f>
        <v/>
      </c>
      <c r="H1129" s="66">
        <f>IF(tblFleet[[#This Row],[Units]]="","",tblFleet[[#This Row],[Calendar_h]]-tblFleet[[#This Row],[Down_h]])</f>
        <v/>
      </c>
      <c r="I1129" s="60">
        <f>IF(AND(tblFleet[[#This Row],[Units]]&lt;&gt;"",tblFleet[[#This Row],[Calendar_h]]&gt;0),tblFleet[[#This Row],[Available_h]]/tblFleet[[#This Row],[Calendar_h]],"")</f>
        <v/>
      </c>
      <c r="J1129" s="60">
        <f>IF(AND(tblFleet[[#This Row],[Units]]&lt;&gt;"",tblFleet[[#This Row],[Available_h]]&gt;0),tblFleet[[#This Row],[Operating_h]]/tblFleet[[#This Row],[Available_h]],"")</f>
        <v/>
      </c>
    </row>
    <row r="1130">
      <c r="A1130" s="54" t="n"/>
      <c r="B1130" s="61" t="n"/>
      <c r="C1130" s="62" t="n"/>
      <c r="D1130" s="57" t="n"/>
      <c r="E1130" s="57" t="n"/>
      <c r="F1130" s="58" t="n"/>
      <c r="G1130" s="66">
        <f>IF(tblFleet[[#This Row],[Units]]="","",tblFleet[[#This Row],[Units]]*24)</f>
        <v/>
      </c>
      <c r="H1130" s="66">
        <f>IF(tblFleet[[#This Row],[Units]]="","",tblFleet[[#This Row],[Calendar_h]]-tblFleet[[#This Row],[Down_h]])</f>
        <v/>
      </c>
      <c r="I1130" s="60">
        <f>IF(AND(tblFleet[[#This Row],[Units]]&lt;&gt;"",tblFleet[[#This Row],[Calendar_h]]&gt;0),tblFleet[[#This Row],[Available_h]]/tblFleet[[#This Row],[Calendar_h]],"")</f>
        <v/>
      </c>
      <c r="J1130" s="60">
        <f>IF(AND(tblFleet[[#This Row],[Units]]&lt;&gt;"",tblFleet[[#This Row],[Available_h]]&gt;0),tblFleet[[#This Row],[Operating_h]]/tblFleet[[#This Row],[Available_h]],"")</f>
        <v/>
      </c>
    </row>
    <row r="1131">
      <c r="A1131" s="54" t="n"/>
      <c r="B1131" s="61" t="n"/>
      <c r="C1131" s="62" t="n"/>
      <c r="D1131" s="57" t="n"/>
      <c r="E1131" s="57" t="n"/>
      <c r="F1131" s="58" t="n"/>
      <c r="G1131" s="66">
        <f>IF(tblFleet[[#This Row],[Units]]="","",tblFleet[[#This Row],[Units]]*24)</f>
        <v/>
      </c>
      <c r="H1131" s="66">
        <f>IF(tblFleet[[#This Row],[Units]]="","",tblFleet[[#This Row],[Calendar_h]]-tblFleet[[#This Row],[Down_h]])</f>
        <v/>
      </c>
      <c r="I1131" s="60">
        <f>IF(AND(tblFleet[[#This Row],[Units]]&lt;&gt;"",tblFleet[[#This Row],[Calendar_h]]&gt;0),tblFleet[[#This Row],[Available_h]]/tblFleet[[#This Row],[Calendar_h]],"")</f>
        <v/>
      </c>
      <c r="J1131" s="60">
        <f>IF(AND(tblFleet[[#This Row],[Units]]&lt;&gt;"",tblFleet[[#This Row],[Available_h]]&gt;0),tblFleet[[#This Row],[Operating_h]]/tblFleet[[#This Row],[Available_h]],"")</f>
        <v/>
      </c>
    </row>
    <row r="1132">
      <c r="A1132" s="54" t="n"/>
      <c r="B1132" s="61" t="n"/>
      <c r="C1132" s="62" t="n"/>
      <c r="D1132" s="57" t="n"/>
      <c r="E1132" s="57" t="n"/>
      <c r="F1132" s="58" t="n"/>
      <c r="G1132" s="66">
        <f>IF(tblFleet[[#This Row],[Units]]="","",tblFleet[[#This Row],[Units]]*24)</f>
        <v/>
      </c>
      <c r="H1132" s="66">
        <f>IF(tblFleet[[#This Row],[Units]]="","",tblFleet[[#This Row],[Calendar_h]]-tblFleet[[#This Row],[Down_h]])</f>
        <v/>
      </c>
      <c r="I1132" s="60">
        <f>IF(AND(tblFleet[[#This Row],[Units]]&lt;&gt;"",tblFleet[[#This Row],[Calendar_h]]&gt;0),tblFleet[[#This Row],[Available_h]]/tblFleet[[#This Row],[Calendar_h]],"")</f>
        <v/>
      </c>
      <c r="J1132" s="60">
        <f>IF(AND(tblFleet[[#This Row],[Units]]&lt;&gt;"",tblFleet[[#This Row],[Available_h]]&gt;0),tblFleet[[#This Row],[Operating_h]]/tblFleet[[#This Row],[Available_h]],"")</f>
        <v/>
      </c>
    </row>
    <row r="1133">
      <c r="A1133" s="54" t="n"/>
      <c r="B1133" s="61" t="n"/>
      <c r="C1133" s="62" t="n"/>
      <c r="D1133" s="57" t="n"/>
      <c r="E1133" s="57" t="n"/>
      <c r="F1133" s="58" t="n"/>
      <c r="G1133" s="66">
        <f>IF(tblFleet[[#This Row],[Units]]="","",tblFleet[[#This Row],[Units]]*24)</f>
        <v/>
      </c>
      <c r="H1133" s="66">
        <f>IF(tblFleet[[#This Row],[Units]]="","",tblFleet[[#This Row],[Calendar_h]]-tblFleet[[#This Row],[Down_h]])</f>
        <v/>
      </c>
      <c r="I1133" s="60">
        <f>IF(AND(tblFleet[[#This Row],[Units]]&lt;&gt;"",tblFleet[[#This Row],[Calendar_h]]&gt;0),tblFleet[[#This Row],[Available_h]]/tblFleet[[#This Row],[Calendar_h]],"")</f>
        <v/>
      </c>
      <c r="J1133" s="60">
        <f>IF(AND(tblFleet[[#This Row],[Units]]&lt;&gt;"",tblFleet[[#This Row],[Available_h]]&gt;0),tblFleet[[#This Row],[Operating_h]]/tblFleet[[#This Row],[Available_h]],"")</f>
        <v/>
      </c>
    </row>
    <row r="1134">
      <c r="A1134" s="54" t="n"/>
      <c r="B1134" s="61" t="n"/>
      <c r="C1134" s="62" t="n"/>
      <c r="D1134" s="57" t="n"/>
      <c r="E1134" s="57" t="n"/>
      <c r="F1134" s="58" t="n"/>
      <c r="G1134" s="66">
        <f>IF(tblFleet[[#This Row],[Units]]="","",tblFleet[[#This Row],[Units]]*24)</f>
        <v/>
      </c>
      <c r="H1134" s="66">
        <f>IF(tblFleet[[#This Row],[Units]]="","",tblFleet[[#This Row],[Calendar_h]]-tblFleet[[#This Row],[Down_h]])</f>
        <v/>
      </c>
      <c r="I1134" s="60">
        <f>IF(AND(tblFleet[[#This Row],[Units]]&lt;&gt;"",tblFleet[[#This Row],[Calendar_h]]&gt;0),tblFleet[[#This Row],[Available_h]]/tblFleet[[#This Row],[Calendar_h]],"")</f>
        <v/>
      </c>
      <c r="J1134" s="60">
        <f>IF(AND(tblFleet[[#This Row],[Units]]&lt;&gt;"",tblFleet[[#This Row],[Available_h]]&gt;0),tblFleet[[#This Row],[Operating_h]]/tblFleet[[#This Row],[Available_h]],"")</f>
        <v/>
      </c>
    </row>
    <row r="1135">
      <c r="A1135" s="54" t="n"/>
      <c r="B1135" s="61" t="n"/>
      <c r="C1135" s="62" t="n"/>
      <c r="D1135" s="57" t="n"/>
      <c r="E1135" s="57" t="n"/>
      <c r="F1135" s="58" t="n"/>
      <c r="G1135" s="66">
        <f>IF(tblFleet[[#This Row],[Units]]="","",tblFleet[[#This Row],[Units]]*24)</f>
        <v/>
      </c>
      <c r="H1135" s="66">
        <f>IF(tblFleet[[#This Row],[Units]]="","",tblFleet[[#This Row],[Calendar_h]]-tblFleet[[#This Row],[Down_h]])</f>
        <v/>
      </c>
      <c r="I1135" s="60">
        <f>IF(AND(tblFleet[[#This Row],[Units]]&lt;&gt;"",tblFleet[[#This Row],[Calendar_h]]&gt;0),tblFleet[[#This Row],[Available_h]]/tblFleet[[#This Row],[Calendar_h]],"")</f>
        <v/>
      </c>
      <c r="J1135" s="60">
        <f>IF(AND(tblFleet[[#This Row],[Units]]&lt;&gt;"",tblFleet[[#This Row],[Available_h]]&gt;0),tblFleet[[#This Row],[Operating_h]]/tblFleet[[#This Row],[Available_h]],"")</f>
        <v/>
      </c>
    </row>
    <row r="1136">
      <c r="A1136" s="54" t="n"/>
      <c r="B1136" s="61" t="n"/>
      <c r="C1136" s="62" t="n"/>
      <c r="D1136" s="57" t="n"/>
      <c r="E1136" s="57" t="n"/>
      <c r="F1136" s="58" t="n"/>
      <c r="G1136" s="66">
        <f>IF(tblFleet[[#This Row],[Units]]="","",tblFleet[[#This Row],[Units]]*24)</f>
        <v/>
      </c>
      <c r="H1136" s="66">
        <f>IF(tblFleet[[#This Row],[Units]]="","",tblFleet[[#This Row],[Calendar_h]]-tblFleet[[#This Row],[Down_h]])</f>
        <v/>
      </c>
      <c r="I1136" s="60">
        <f>IF(AND(tblFleet[[#This Row],[Units]]&lt;&gt;"",tblFleet[[#This Row],[Calendar_h]]&gt;0),tblFleet[[#This Row],[Available_h]]/tblFleet[[#This Row],[Calendar_h]],"")</f>
        <v/>
      </c>
      <c r="J1136" s="60">
        <f>IF(AND(tblFleet[[#This Row],[Units]]&lt;&gt;"",tblFleet[[#This Row],[Available_h]]&gt;0),tblFleet[[#This Row],[Operating_h]]/tblFleet[[#This Row],[Available_h]],"")</f>
        <v/>
      </c>
    </row>
    <row r="1137">
      <c r="A1137" s="54" t="n"/>
      <c r="B1137" s="61" t="n"/>
      <c r="C1137" s="62" t="n"/>
      <c r="D1137" s="57" t="n"/>
      <c r="E1137" s="57" t="n"/>
      <c r="F1137" s="58" t="n"/>
      <c r="G1137" s="66">
        <f>IF(tblFleet[[#This Row],[Units]]="","",tblFleet[[#This Row],[Units]]*24)</f>
        <v/>
      </c>
      <c r="H1137" s="66">
        <f>IF(tblFleet[[#This Row],[Units]]="","",tblFleet[[#This Row],[Calendar_h]]-tblFleet[[#This Row],[Down_h]])</f>
        <v/>
      </c>
      <c r="I1137" s="60">
        <f>IF(AND(tblFleet[[#This Row],[Units]]&lt;&gt;"",tblFleet[[#This Row],[Calendar_h]]&gt;0),tblFleet[[#This Row],[Available_h]]/tblFleet[[#This Row],[Calendar_h]],"")</f>
        <v/>
      </c>
      <c r="J1137" s="60">
        <f>IF(AND(tblFleet[[#This Row],[Units]]&lt;&gt;"",tblFleet[[#This Row],[Available_h]]&gt;0),tblFleet[[#This Row],[Operating_h]]/tblFleet[[#This Row],[Available_h]],"")</f>
        <v/>
      </c>
    </row>
    <row r="1138">
      <c r="A1138" s="54" t="n"/>
      <c r="B1138" s="61" t="n"/>
      <c r="C1138" s="62" t="n"/>
      <c r="D1138" s="57" t="n"/>
      <c r="E1138" s="57" t="n"/>
      <c r="F1138" s="58" t="n"/>
      <c r="G1138" s="66">
        <f>IF(tblFleet[[#This Row],[Units]]="","",tblFleet[[#This Row],[Units]]*24)</f>
        <v/>
      </c>
      <c r="H1138" s="66">
        <f>IF(tblFleet[[#This Row],[Units]]="","",tblFleet[[#This Row],[Calendar_h]]-tblFleet[[#This Row],[Down_h]])</f>
        <v/>
      </c>
      <c r="I1138" s="60">
        <f>IF(AND(tblFleet[[#This Row],[Units]]&lt;&gt;"",tblFleet[[#This Row],[Calendar_h]]&gt;0),tblFleet[[#This Row],[Available_h]]/tblFleet[[#This Row],[Calendar_h]],"")</f>
        <v/>
      </c>
      <c r="J1138" s="60">
        <f>IF(AND(tblFleet[[#This Row],[Units]]&lt;&gt;"",tblFleet[[#This Row],[Available_h]]&gt;0),tblFleet[[#This Row],[Operating_h]]/tblFleet[[#This Row],[Available_h]],"")</f>
        <v/>
      </c>
    </row>
    <row r="1139">
      <c r="A1139" s="54" t="n"/>
      <c r="B1139" s="61" t="n"/>
      <c r="C1139" s="62" t="n"/>
      <c r="D1139" s="57" t="n"/>
      <c r="E1139" s="57" t="n"/>
      <c r="F1139" s="58" t="n"/>
      <c r="G1139" s="66">
        <f>IF(tblFleet[[#This Row],[Units]]="","",tblFleet[[#This Row],[Units]]*24)</f>
        <v/>
      </c>
      <c r="H1139" s="66">
        <f>IF(tblFleet[[#This Row],[Units]]="","",tblFleet[[#This Row],[Calendar_h]]-tblFleet[[#This Row],[Down_h]])</f>
        <v/>
      </c>
      <c r="I1139" s="60">
        <f>IF(AND(tblFleet[[#This Row],[Units]]&lt;&gt;"",tblFleet[[#This Row],[Calendar_h]]&gt;0),tblFleet[[#This Row],[Available_h]]/tblFleet[[#This Row],[Calendar_h]],"")</f>
        <v/>
      </c>
      <c r="J1139" s="60">
        <f>IF(AND(tblFleet[[#This Row],[Units]]&lt;&gt;"",tblFleet[[#This Row],[Available_h]]&gt;0),tblFleet[[#This Row],[Operating_h]]/tblFleet[[#This Row],[Available_h]],"")</f>
        <v/>
      </c>
    </row>
    <row r="1140">
      <c r="A1140" s="54" t="n"/>
      <c r="B1140" s="61" t="n"/>
      <c r="C1140" s="62" t="n"/>
      <c r="D1140" s="57" t="n"/>
      <c r="E1140" s="57" t="n"/>
      <c r="F1140" s="58" t="n"/>
      <c r="G1140" s="66">
        <f>IF(tblFleet[[#This Row],[Units]]="","",tblFleet[[#This Row],[Units]]*24)</f>
        <v/>
      </c>
      <c r="H1140" s="66">
        <f>IF(tblFleet[[#This Row],[Units]]="","",tblFleet[[#This Row],[Calendar_h]]-tblFleet[[#This Row],[Down_h]])</f>
        <v/>
      </c>
      <c r="I1140" s="60">
        <f>IF(AND(tblFleet[[#This Row],[Units]]&lt;&gt;"",tblFleet[[#This Row],[Calendar_h]]&gt;0),tblFleet[[#This Row],[Available_h]]/tblFleet[[#This Row],[Calendar_h]],"")</f>
        <v/>
      </c>
      <c r="J1140" s="60">
        <f>IF(AND(tblFleet[[#This Row],[Units]]&lt;&gt;"",tblFleet[[#This Row],[Available_h]]&gt;0),tblFleet[[#This Row],[Operating_h]]/tblFleet[[#This Row],[Available_h]],"")</f>
        <v/>
      </c>
    </row>
    <row r="1141">
      <c r="A1141" s="54" t="n"/>
      <c r="B1141" s="61" t="n"/>
      <c r="C1141" s="62" t="n"/>
      <c r="D1141" s="57" t="n"/>
      <c r="E1141" s="57" t="n"/>
      <c r="F1141" s="58" t="n"/>
      <c r="G1141" s="66">
        <f>IF(tblFleet[[#This Row],[Units]]="","",tblFleet[[#This Row],[Units]]*24)</f>
        <v/>
      </c>
      <c r="H1141" s="66">
        <f>IF(tblFleet[[#This Row],[Units]]="","",tblFleet[[#This Row],[Calendar_h]]-tblFleet[[#This Row],[Down_h]])</f>
        <v/>
      </c>
      <c r="I1141" s="60">
        <f>IF(AND(tblFleet[[#This Row],[Units]]&lt;&gt;"",tblFleet[[#This Row],[Calendar_h]]&gt;0),tblFleet[[#This Row],[Available_h]]/tblFleet[[#This Row],[Calendar_h]],"")</f>
        <v/>
      </c>
      <c r="J1141" s="60">
        <f>IF(AND(tblFleet[[#This Row],[Units]]&lt;&gt;"",tblFleet[[#This Row],[Available_h]]&gt;0),tblFleet[[#This Row],[Operating_h]]/tblFleet[[#This Row],[Available_h]],"")</f>
        <v/>
      </c>
    </row>
    <row r="1142">
      <c r="A1142" s="54" t="n"/>
      <c r="B1142" s="61" t="n"/>
      <c r="C1142" s="62" t="n"/>
      <c r="D1142" s="57" t="n"/>
      <c r="E1142" s="57" t="n"/>
      <c r="F1142" s="58" t="n"/>
      <c r="G1142" s="66">
        <f>IF(tblFleet[[#This Row],[Units]]="","",tblFleet[[#This Row],[Units]]*24)</f>
        <v/>
      </c>
      <c r="H1142" s="66">
        <f>IF(tblFleet[[#This Row],[Units]]="","",tblFleet[[#This Row],[Calendar_h]]-tblFleet[[#This Row],[Down_h]])</f>
        <v/>
      </c>
      <c r="I1142" s="60">
        <f>IF(AND(tblFleet[[#This Row],[Units]]&lt;&gt;"",tblFleet[[#This Row],[Calendar_h]]&gt;0),tblFleet[[#This Row],[Available_h]]/tblFleet[[#This Row],[Calendar_h]],"")</f>
        <v/>
      </c>
      <c r="J1142" s="60">
        <f>IF(AND(tblFleet[[#This Row],[Units]]&lt;&gt;"",tblFleet[[#This Row],[Available_h]]&gt;0),tblFleet[[#This Row],[Operating_h]]/tblFleet[[#This Row],[Available_h]],"")</f>
        <v/>
      </c>
    </row>
    <row r="1143">
      <c r="A1143" s="54" t="n"/>
      <c r="B1143" s="61" t="n"/>
      <c r="C1143" s="62" t="n"/>
      <c r="D1143" s="57" t="n"/>
      <c r="E1143" s="57" t="n"/>
      <c r="F1143" s="58" t="n"/>
      <c r="G1143" s="66">
        <f>IF(tblFleet[[#This Row],[Units]]="","",tblFleet[[#This Row],[Units]]*24)</f>
        <v/>
      </c>
      <c r="H1143" s="66">
        <f>IF(tblFleet[[#This Row],[Units]]="","",tblFleet[[#This Row],[Calendar_h]]-tblFleet[[#This Row],[Down_h]])</f>
        <v/>
      </c>
      <c r="I1143" s="60">
        <f>IF(AND(tblFleet[[#This Row],[Units]]&lt;&gt;"",tblFleet[[#This Row],[Calendar_h]]&gt;0),tblFleet[[#This Row],[Available_h]]/tblFleet[[#This Row],[Calendar_h]],"")</f>
        <v/>
      </c>
      <c r="J1143" s="60">
        <f>IF(AND(tblFleet[[#This Row],[Units]]&lt;&gt;"",tblFleet[[#This Row],[Available_h]]&gt;0),tblFleet[[#This Row],[Operating_h]]/tblFleet[[#This Row],[Available_h]],"")</f>
        <v/>
      </c>
    </row>
    <row r="1144">
      <c r="A1144" s="54" t="n"/>
      <c r="B1144" s="61" t="n"/>
      <c r="C1144" s="62" t="n"/>
      <c r="D1144" s="57" t="n"/>
      <c r="E1144" s="57" t="n"/>
      <c r="F1144" s="58" t="n"/>
      <c r="G1144" s="66">
        <f>IF(tblFleet[[#This Row],[Units]]="","",tblFleet[[#This Row],[Units]]*24)</f>
        <v/>
      </c>
      <c r="H1144" s="66">
        <f>IF(tblFleet[[#This Row],[Units]]="","",tblFleet[[#This Row],[Calendar_h]]-tblFleet[[#This Row],[Down_h]])</f>
        <v/>
      </c>
      <c r="I1144" s="60">
        <f>IF(AND(tblFleet[[#This Row],[Units]]&lt;&gt;"",tblFleet[[#This Row],[Calendar_h]]&gt;0),tblFleet[[#This Row],[Available_h]]/tblFleet[[#This Row],[Calendar_h]],"")</f>
        <v/>
      </c>
      <c r="J1144" s="60">
        <f>IF(AND(tblFleet[[#This Row],[Units]]&lt;&gt;"",tblFleet[[#This Row],[Available_h]]&gt;0),tblFleet[[#This Row],[Operating_h]]/tblFleet[[#This Row],[Available_h]],"")</f>
        <v/>
      </c>
    </row>
    <row r="1145">
      <c r="A1145" s="54" t="n"/>
      <c r="B1145" s="61" t="n"/>
      <c r="C1145" s="62" t="n"/>
      <c r="D1145" s="57" t="n"/>
      <c r="E1145" s="57" t="n"/>
      <c r="F1145" s="58" t="n"/>
      <c r="G1145" s="66">
        <f>IF(tblFleet[[#This Row],[Units]]="","",tblFleet[[#This Row],[Units]]*24)</f>
        <v/>
      </c>
      <c r="H1145" s="66">
        <f>IF(tblFleet[[#This Row],[Units]]="","",tblFleet[[#This Row],[Calendar_h]]-tblFleet[[#This Row],[Down_h]])</f>
        <v/>
      </c>
      <c r="I1145" s="60">
        <f>IF(AND(tblFleet[[#This Row],[Units]]&lt;&gt;"",tblFleet[[#This Row],[Calendar_h]]&gt;0),tblFleet[[#This Row],[Available_h]]/tblFleet[[#This Row],[Calendar_h]],"")</f>
        <v/>
      </c>
      <c r="J1145" s="60">
        <f>IF(AND(tblFleet[[#This Row],[Units]]&lt;&gt;"",tblFleet[[#This Row],[Available_h]]&gt;0),tblFleet[[#This Row],[Operating_h]]/tblFleet[[#This Row],[Available_h]],"")</f>
        <v/>
      </c>
    </row>
    <row r="1146">
      <c r="A1146" s="54" t="n"/>
      <c r="B1146" s="61" t="n"/>
      <c r="C1146" s="62" t="n"/>
      <c r="D1146" s="57" t="n"/>
      <c r="E1146" s="57" t="n"/>
      <c r="F1146" s="58" t="n"/>
      <c r="G1146" s="66">
        <f>IF(tblFleet[[#This Row],[Units]]="","",tblFleet[[#This Row],[Units]]*24)</f>
        <v/>
      </c>
      <c r="H1146" s="66">
        <f>IF(tblFleet[[#This Row],[Units]]="","",tblFleet[[#This Row],[Calendar_h]]-tblFleet[[#This Row],[Down_h]])</f>
        <v/>
      </c>
      <c r="I1146" s="60">
        <f>IF(AND(tblFleet[[#This Row],[Units]]&lt;&gt;"",tblFleet[[#This Row],[Calendar_h]]&gt;0),tblFleet[[#This Row],[Available_h]]/tblFleet[[#This Row],[Calendar_h]],"")</f>
        <v/>
      </c>
      <c r="J1146" s="60">
        <f>IF(AND(tblFleet[[#This Row],[Units]]&lt;&gt;"",tblFleet[[#This Row],[Available_h]]&gt;0),tblFleet[[#This Row],[Operating_h]]/tblFleet[[#This Row],[Available_h]],"")</f>
        <v/>
      </c>
    </row>
    <row r="1147">
      <c r="A1147" s="54" t="n"/>
      <c r="B1147" s="61" t="n"/>
      <c r="C1147" s="62" t="n"/>
      <c r="D1147" s="57" t="n"/>
      <c r="E1147" s="57" t="n"/>
      <c r="F1147" s="58" t="n"/>
      <c r="G1147" s="66">
        <f>IF(tblFleet[[#This Row],[Units]]="","",tblFleet[[#This Row],[Units]]*24)</f>
        <v/>
      </c>
      <c r="H1147" s="66">
        <f>IF(tblFleet[[#This Row],[Units]]="","",tblFleet[[#This Row],[Calendar_h]]-tblFleet[[#This Row],[Down_h]])</f>
        <v/>
      </c>
      <c r="I1147" s="60">
        <f>IF(AND(tblFleet[[#This Row],[Units]]&lt;&gt;"",tblFleet[[#This Row],[Calendar_h]]&gt;0),tblFleet[[#This Row],[Available_h]]/tblFleet[[#This Row],[Calendar_h]],"")</f>
        <v/>
      </c>
      <c r="J1147" s="60">
        <f>IF(AND(tblFleet[[#This Row],[Units]]&lt;&gt;"",tblFleet[[#This Row],[Available_h]]&gt;0),tblFleet[[#This Row],[Operating_h]]/tblFleet[[#This Row],[Available_h]],"")</f>
        <v/>
      </c>
    </row>
    <row r="1148">
      <c r="A1148" s="54" t="n"/>
      <c r="B1148" s="61" t="n"/>
      <c r="C1148" s="62" t="n"/>
      <c r="D1148" s="57" t="n"/>
      <c r="E1148" s="57" t="n"/>
      <c r="F1148" s="58" t="n"/>
      <c r="G1148" s="66">
        <f>IF(tblFleet[[#This Row],[Units]]="","",tblFleet[[#This Row],[Units]]*24)</f>
        <v/>
      </c>
      <c r="H1148" s="66">
        <f>IF(tblFleet[[#This Row],[Units]]="","",tblFleet[[#This Row],[Calendar_h]]-tblFleet[[#This Row],[Down_h]])</f>
        <v/>
      </c>
      <c r="I1148" s="60">
        <f>IF(AND(tblFleet[[#This Row],[Units]]&lt;&gt;"",tblFleet[[#This Row],[Calendar_h]]&gt;0),tblFleet[[#This Row],[Available_h]]/tblFleet[[#This Row],[Calendar_h]],"")</f>
        <v/>
      </c>
      <c r="J1148" s="60">
        <f>IF(AND(tblFleet[[#This Row],[Units]]&lt;&gt;"",tblFleet[[#This Row],[Available_h]]&gt;0),tblFleet[[#This Row],[Operating_h]]/tblFleet[[#This Row],[Available_h]],"")</f>
        <v/>
      </c>
    </row>
    <row r="1149">
      <c r="A1149" s="54" t="n"/>
      <c r="B1149" s="61" t="n"/>
      <c r="C1149" s="62" t="n"/>
      <c r="D1149" s="57" t="n"/>
      <c r="E1149" s="57" t="n"/>
      <c r="F1149" s="58" t="n"/>
      <c r="G1149" s="66">
        <f>IF(tblFleet[[#This Row],[Units]]="","",tblFleet[[#This Row],[Units]]*24)</f>
        <v/>
      </c>
      <c r="H1149" s="66">
        <f>IF(tblFleet[[#This Row],[Units]]="","",tblFleet[[#This Row],[Calendar_h]]-tblFleet[[#This Row],[Down_h]])</f>
        <v/>
      </c>
      <c r="I1149" s="60">
        <f>IF(AND(tblFleet[[#This Row],[Units]]&lt;&gt;"",tblFleet[[#This Row],[Calendar_h]]&gt;0),tblFleet[[#This Row],[Available_h]]/tblFleet[[#This Row],[Calendar_h]],"")</f>
        <v/>
      </c>
      <c r="J1149" s="60">
        <f>IF(AND(tblFleet[[#This Row],[Units]]&lt;&gt;"",tblFleet[[#This Row],[Available_h]]&gt;0),tblFleet[[#This Row],[Operating_h]]/tblFleet[[#This Row],[Available_h]],"")</f>
        <v/>
      </c>
    </row>
    <row r="1150">
      <c r="A1150" s="54" t="n"/>
      <c r="B1150" s="61" t="n"/>
      <c r="C1150" s="62" t="n"/>
      <c r="D1150" s="57" t="n"/>
      <c r="E1150" s="57" t="n"/>
      <c r="F1150" s="58" t="n"/>
      <c r="G1150" s="66">
        <f>IF(tblFleet[[#This Row],[Units]]="","",tblFleet[[#This Row],[Units]]*24)</f>
        <v/>
      </c>
      <c r="H1150" s="66">
        <f>IF(tblFleet[[#This Row],[Units]]="","",tblFleet[[#This Row],[Calendar_h]]-tblFleet[[#This Row],[Down_h]])</f>
        <v/>
      </c>
      <c r="I1150" s="60">
        <f>IF(AND(tblFleet[[#This Row],[Units]]&lt;&gt;"",tblFleet[[#This Row],[Calendar_h]]&gt;0),tblFleet[[#This Row],[Available_h]]/tblFleet[[#This Row],[Calendar_h]],"")</f>
        <v/>
      </c>
      <c r="J1150" s="60">
        <f>IF(AND(tblFleet[[#This Row],[Units]]&lt;&gt;"",tblFleet[[#This Row],[Available_h]]&gt;0),tblFleet[[#This Row],[Operating_h]]/tblFleet[[#This Row],[Available_h]],"")</f>
        <v/>
      </c>
    </row>
    <row r="1151">
      <c r="A1151" s="54" t="n"/>
      <c r="B1151" s="61" t="n"/>
      <c r="C1151" s="62" t="n"/>
      <c r="D1151" s="57" t="n"/>
      <c r="E1151" s="57" t="n"/>
      <c r="F1151" s="58" t="n"/>
      <c r="G1151" s="66">
        <f>IF(tblFleet[[#This Row],[Units]]="","",tblFleet[[#This Row],[Units]]*24)</f>
        <v/>
      </c>
      <c r="H1151" s="66">
        <f>IF(tblFleet[[#This Row],[Units]]="","",tblFleet[[#This Row],[Calendar_h]]-tblFleet[[#This Row],[Down_h]])</f>
        <v/>
      </c>
      <c r="I1151" s="60">
        <f>IF(AND(tblFleet[[#This Row],[Units]]&lt;&gt;"",tblFleet[[#This Row],[Calendar_h]]&gt;0),tblFleet[[#This Row],[Available_h]]/tblFleet[[#This Row],[Calendar_h]],"")</f>
        <v/>
      </c>
      <c r="J1151" s="60">
        <f>IF(AND(tblFleet[[#This Row],[Units]]&lt;&gt;"",tblFleet[[#This Row],[Available_h]]&gt;0),tblFleet[[#This Row],[Operating_h]]/tblFleet[[#This Row],[Available_h]],"")</f>
        <v/>
      </c>
    </row>
    <row r="1152">
      <c r="A1152" s="54" t="n"/>
      <c r="B1152" s="61" t="n"/>
      <c r="C1152" s="62" t="n"/>
      <c r="D1152" s="57" t="n"/>
      <c r="E1152" s="57" t="n"/>
      <c r="F1152" s="58" t="n"/>
      <c r="G1152" s="66">
        <f>IF(tblFleet[[#This Row],[Units]]="","",tblFleet[[#This Row],[Units]]*24)</f>
        <v/>
      </c>
      <c r="H1152" s="66">
        <f>IF(tblFleet[[#This Row],[Units]]="","",tblFleet[[#This Row],[Calendar_h]]-tblFleet[[#This Row],[Down_h]])</f>
        <v/>
      </c>
      <c r="I1152" s="60">
        <f>IF(AND(tblFleet[[#This Row],[Units]]&lt;&gt;"",tblFleet[[#This Row],[Calendar_h]]&gt;0),tblFleet[[#This Row],[Available_h]]/tblFleet[[#This Row],[Calendar_h]],"")</f>
        <v/>
      </c>
      <c r="J1152" s="60">
        <f>IF(AND(tblFleet[[#This Row],[Units]]&lt;&gt;"",tblFleet[[#This Row],[Available_h]]&gt;0),tblFleet[[#This Row],[Operating_h]]/tblFleet[[#This Row],[Available_h]],"")</f>
        <v/>
      </c>
    </row>
    <row r="1153">
      <c r="A1153" s="54" t="n"/>
      <c r="B1153" s="61" t="n"/>
      <c r="C1153" s="62" t="n"/>
      <c r="D1153" s="57" t="n"/>
      <c r="E1153" s="57" t="n"/>
      <c r="F1153" s="58" t="n"/>
      <c r="G1153" s="66">
        <f>IF(tblFleet[[#This Row],[Units]]="","",tblFleet[[#This Row],[Units]]*24)</f>
        <v/>
      </c>
      <c r="H1153" s="66">
        <f>IF(tblFleet[[#This Row],[Units]]="","",tblFleet[[#This Row],[Calendar_h]]-tblFleet[[#This Row],[Down_h]])</f>
        <v/>
      </c>
      <c r="I1153" s="60">
        <f>IF(AND(tblFleet[[#This Row],[Units]]&lt;&gt;"",tblFleet[[#This Row],[Calendar_h]]&gt;0),tblFleet[[#This Row],[Available_h]]/tblFleet[[#This Row],[Calendar_h]],"")</f>
        <v/>
      </c>
      <c r="J1153" s="60">
        <f>IF(AND(tblFleet[[#This Row],[Units]]&lt;&gt;"",tblFleet[[#This Row],[Available_h]]&gt;0),tblFleet[[#This Row],[Operating_h]]/tblFleet[[#This Row],[Available_h]],"")</f>
        <v/>
      </c>
    </row>
    <row r="1154">
      <c r="A1154" s="54" t="n"/>
      <c r="B1154" s="61" t="n"/>
      <c r="C1154" s="62" t="n"/>
      <c r="D1154" s="57" t="n"/>
      <c r="E1154" s="57" t="n"/>
      <c r="F1154" s="58" t="n"/>
      <c r="G1154" s="66">
        <f>IF(tblFleet[[#This Row],[Units]]="","",tblFleet[[#This Row],[Units]]*24)</f>
        <v/>
      </c>
      <c r="H1154" s="66">
        <f>IF(tblFleet[[#This Row],[Units]]="","",tblFleet[[#This Row],[Calendar_h]]-tblFleet[[#This Row],[Down_h]])</f>
        <v/>
      </c>
      <c r="I1154" s="60">
        <f>IF(AND(tblFleet[[#This Row],[Units]]&lt;&gt;"",tblFleet[[#This Row],[Calendar_h]]&gt;0),tblFleet[[#This Row],[Available_h]]/tblFleet[[#This Row],[Calendar_h]],"")</f>
        <v/>
      </c>
      <c r="J1154" s="60">
        <f>IF(AND(tblFleet[[#This Row],[Units]]&lt;&gt;"",tblFleet[[#This Row],[Available_h]]&gt;0),tblFleet[[#This Row],[Operating_h]]/tblFleet[[#This Row],[Available_h]],"")</f>
        <v/>
      </c>
    </row>
    <row r="1155">
      <c r="A1155" s="54" t="n"/>
      <c r="B1155" s="61" t="n"/>
      <c r="C1155" s="62" t="n"/>
      <c r="D1155" s="57" t="n"/>
      <c r="E1155" s="57" t="n"/>
      <c r="F1155" s="58" t="n"/>
      <c r="G1155" s="66">
        <f>IF(tblFleet[[#This Row],[Units]]="","",tblFleet[[#This Row],[Units]]*24)</f>
        <v/>
      </c>
      <c r="H1155" s="66">
        <f>IF(tblFleet[[#This Row],[Units]]="","",tblFleet[[#This Row],[Calendar_h]]-tblFleet[[#This Row],[Down_h]])</f>
        <v/>
      </c>
      <c r="I1155" s="60">
        <f>IF(AND(tblFleet[[#This Row],[Units]]&lt;&gt;"",tblFleet[[#This Row],[Calendar_h]]&gt;0),tblFleet[[#This Row],[Available_h]]/tblFleet[[#This Row],[Calendar_h]],"")</f>
        <v/>
      </c>
      <c r="J1155" s="60">
        <f>IF(AND(tblFleet[[#This Row],[Units]]&lt;&gt;"",tblFleet[[#This Row],[Available_h]]&gt;0),tblFleet[[#This Row],[Operating_h]]/tblFleet[[#This Row],[Available_h]],"")</f>
        <v/>
      </c>
    </row>
    <row r="1156">
      <c r="A1156" s="54" t="n"/>
      <c r="B1156" s="61" t="n"/>
      <c r="C1156" s="62" t="n"/>
      <c r="D1156" s="57" t="n"/>
      <c r="E1156" s="57" t="n"/>
      <c r="F1156" s="58" t="n"/>
      <c r="G1156" s="66">
        <f>IF(tblFleet[[#This Row],[Units]]="","",tblFleet[[#This Row],[Units]]*24)</f>
        <v/>
      </c>
      <c r="H1156" s="66">
        <f>IF(tblFleet[[#This Row],[Units]]="","",tblFleet[[#This Row],[Calendar_h]]-tblFleet[[#This Row],[Down_h]])</f>
        <v/>
      </c>
      <c r="I1156" s="60">
        <f>IF(AND(tblFleet[[#This Row],[Units]]&lt;&gt;"",tblFleet[[#This Row],[Calendar_h]]&gt;0),tblFleet[[#This Row],[Available_h]]/tblFleet[[#This Row],[Calendar_h]],"")</f>
        <v/>
      </c>
      <c r="J1156" s="60">
        <f>IF(AND(tblFleet[[#This Row],[Units]]&lt;&gt;"",tblFleet[[#This Row],[Available_h]]&gt;0),tblFleet[[#This Row],[Operating_h]]/tblFleet[[#This Row],[Available_h]],"")</f>
        <v/>
      </c>
    </row>
    <row r="1157">
      <c r="A1157" s="54" t="n"/>
      <c r="B1157" s="61" t="n"/>
      <c r="C1157" s="62" t="n"/>
      <c r="D1157" s="57" t="n"/>
      <c r="E1157" s="57" t="n"/>
      <c r="F1157" s="58" t="n"/>
      <c r="G1157" s="66">
        <f>IF(tblFleet[[#This Row],[Units]]="","",tblFleet[[#This Row],[Units]]*24)</f>
        <v/>
      </c>
      <c r="H1157" s="66">
        <f>IF(tblFleet[[#This Row],[Units]]="","",tblFleet[[#This Row],[Calendar_h]]-tblFleet[[#This Row],[Down_h]])</f>
        <v/>
      </c>
      <c r="I1157" s="60">
        <f>IF(AND(tblFleet[[#This Row],[Units]]&lt;&gt;"",tblFleet[[#This Row],[Calendar_h]]&gt;0),tblFleet[[#This Row],[Available_h]]/tblFleet[[#This Row],[Calendar_h]],"")</f>
        <v/>
      </c>
      <c r="J1157" s="60">
        <f>IF(AND(tblFleet[[#This Row],[Units]]&lt;&gt;"",tblFleet[[#This Row],[Available_h]]&gt;0),tblFleet[[#This Row],[Operating_h]]/tblFleet[[#This Row],[Available_h]],"")</f>
        <v/>
      </c>
    </row>
    <row r="1158">
      <c r="A1158" s="54" t="n"/>
      <c r="B1158" s="61" t="n"/>
      <c r="C1158" s="62" t="n"/>
      <c r="D1158" s="57" t="n"/>
      <c r="E1158" s="57" t="n"/>
      <c r="F1158" s="58" t="n"/>
      <c r="G1158" s="66">
        <f>IF(tblFleet[[#This Row],[Units]]="","",tblFleet[[#This Row],[Units]]*24)</f>
        <v/>
      </c>
      <c r="H1158" s="66">
        <f>IF(tblFleet[[#This Row],[Units]]="","",tblFleet[[#This Row],[Calendar_h]]-tblFleet[[#This Row],[Down_h]])</f>
        <v/>
      </c>
      <c r="I1158" s="60">
        <f>IF(AND(tblFleet[[#This Row],[Units]]&lt;&gt;"",tblFleet[[#This Row],[Calendar_h]]&gt;0),tblFleet[[#This Row],[Available_h]]/tblFleet[[#This Row],[Calendar_h]],"")</f>
        <v/>
      </c>
      <c r="J1158" s="60">
        <f>IF(AND(tblFleet[[#This Row],[Units]]&lt;&gt;"",tblFleet[[#This Row],[Available_h]]&gt;0),tblFleet[[#This Row],[Operating_h]]/tblFleet[[#This Row],[Available_h]],"")</f>
        <v/>
      </c>
    </row>
    <row r="1159">
      <c r="A1159" s="54" t="n"/>
      <c r="B1159" s="61" t="n"/>
      <c r="C1159" s="62" t="n"/>
      <c r="D1159" s="57" t="n"/>
      <c r="E1159" s="57" t="n"/>
      <c r="F1159" s="58" t="n"/>
      <c r="G1159" s="66">
        <f>IF(tblFleet[[#This Row],[Units]]="","",tblFleet[[#This Row],[Units]]*24)</f>
        <v/>
      </c>
      <c r="H1159" s="66">
        <f>IF(tblFleet[[#This Row],[Units]]="","",tblFleet[[#This Row],[Calendar_h]]-tblFleet[[#This Row],[Down_h]])</f>
        <v/>
      </c>
      <c r="I1159" s="60">
        <f>IF(AND(tblFleet[[#This Row],[Units]]&lt;&gt;"",tblFleet[[#This Row],[Calendar_h]]&gt;0),tblFleet[[#This Row],[Available_h]]/tblFleet[[#This Row],[Calendar_h]],"")</f>
        <v/>
      </c>
      <c r="J1159" s="60">
        <f>IF(AND(tblFleet[[#This Row],[Units]]&lt;&gt;"",tblFleet[[#This Row],[Available_h]]&gt;0),tblFleet[[#This Row],[Operating_h]]/tblFleet[[#This Row],[Available_h]],"")</f>
        <v/>
      </c>
    </row>
    <row r="1160">
      <c r="A1160" s="54" t="n"/>
      <c r="B1160" s="61" t="n"/>
      <c r="C1160" s="62" t="n"/>
      <c r="D1160" s="57" t="n"/>
      <c r="E1160" s="57" t="n"/>
      <c r="F1160" s="58" t="n"/>
      <c r="G1160" s="66">
        <f>IF(tblFleet[[#This Row],[Units]]="","",tblFleet[[#This Row],[Units]]*24)</f>
        <v/>
      </c>
      <c r="H1160" s="66">
        <f>IF(tblFleet[[#This Row],[Units]]="","",tblFleet[[#This Row],[Calendar_h]]-tblFleet[[#This Row],[Down_h]])</f>
        <v/>
      </c>
      <c r="I1160" s="60">
        <f>IF(AND(tblFleet[[#This Row],[Units]]&lt;&gt;"",tblFleet[[#This Row],[Calendar_h]]&gt;0),tblFleet[[#This Row],[Available_h]]/tblFleet[[#This Row],[Calendar_h]],"")</f>
        <v/>
      </c>
      <c r="J1160" s="60">
        <f>IF(AND(tblFleet[[#This Row],[Units]]&lt;&gt;"",tblFleet[[#This Row],[Available_h]]&gt;0),tblFleet[[#This Row],[Operating_h]]/tblFleet[[#This Row],[Available_h]],"")</f>
        <v/>
      </c>
    </row>
    <row r="1161">
      <c r="A1161" s="54" t="n"/>
      <c r="B1161" s="61" t="n"/>
      <c r="C1161" s="62" t="n"/>
      <c r="D1161" s="57" t="n"/>
      <c r="E1161" s="57" t="n"/>
      <c r="F1161" s="58" t="n"/>
      <c r="G1161" s="66">
        <f>IF(tblFleet[[#This Row],[Units]]="","",tblFleet[[#This Row],[Units]]*24)</f>
        <v/>
      </c>
      <c r="H1161" s="66">
        <f>IF(tblFleet[[#This Row],[Units]]="","",tblFleet[[#This Row],[Calendar_h]]-tblFleet[[#This Row],[Down_h]])</f>
        <v/>
      </c>
      <c r="I1161" s="60">
        <f>IF(AND(tblFleet[[#This Row],[Units]]&lt;&gt;"",tblFleet[[#This Row],[Calendar_h]]&gt;0),tblFleet[[#This Row],[Available_h]]/tblFleet[[#This Row],[Calendar_h]],"")</f>
        <v/>
      </c>
      <c r="J1161" s="60">
        <f>IF(AND(tblFleet[[#This Row],[Units]]&lt;&gt;"",tblFleet[[#This Row],[Available_h]]&gt;0),tblFleet[[#This Row],[Operating_h]]/tblFleet[[#This Row],[Available_h]],"")</f>
        <v/>
      </c>
    </row>
    <row r="1162">
      <c r="A1162" s="54" t="n"/>
      <c r="B1162" s="61" t="n"/>
      <c r="C1162" s="62" t="n"/>
      <c r="D1162" s="57" t="n"/>
      <c r="E1162" s="57" t="n"/>
      <c r="F1162" s="58" t="n"/>
      <c r="G1162" s="66">
        <f>IF(tblFleet[[#This Row],[Units]]="","",tblFleet[[#This Row],[Units]]*24)</f>
        <v/>
      </c>
      <c r="H1162" s="66">
        <f>IF(tblFleet[[#This Row],[Units]]="","",tblFleet[[#This Row],[Calendar_h]]-tblFleet[[#This Row],[Down_h]])</f>
        <v/>
      </c>
      <c r="I1162" s="60">
        <f>IF(AND(tblFleet[[#This Row],[Units]]&lt;&gt;"",tblFleet[[#This Row],[Calendar_h]]&gt;0),tblFleet[[#This Row],[Available_h]]/tblFleet[[#This Row],[Calendar_h]],"")</f>
        <v/>
      </c>
      <c r="J1162" s="60">
        <f>IF(AND(tblFleet[[#This Row],[Units]]&lt;&gt;"",tblFleet[[#This Row],[Available_h]]&gt;0),tblFleet[[#This Row],[Operating_h]]/tblFleet[[#This Row],[Available_h]],"")</f>
        <v/>
      </c>
    </row>
    <row r="1163">
      <c r="A1163" s="54" t="n"/>
      <c r="B1163" s="61" t="n"/>
      <c r="C1163" s="62" t="n"/>
      <c r="D1163" s="57" t="n"/>
      <c r="E1163" s="57" t="n"/>
      <c r="F1163" s="58" t="n"/>
      <c r="G1163" s="66">
        <f>IF(tblFleet[[#This Row],[Units]]="","",tblFleet[[#This Row],[Units]]*24)</f>
        <v/>
      </c>
      <c r="H1163" s="66">
        <f>IF(tblFleet[[#This Row],[Units]]="","",tblFleet[[#This Row],[Calendar_h]]-tblFleet[[#This Row],[Down_h]])</f>
        <v/>
      </c>
      <c r="I1163" s="60">
        <f>IF(AND(tblFleet[[#This Row],[Units]]&lt;&gt;"",tblFleet[[#This Row],[Calendar_h]]&gt;0),tblFleet[[#This Row],[Available_h]]/tblFleet[[#This Row],[Calendar_h]],"")</f>
        <v/>
      </c>
      <c r="J1163" s="60">
        <f>IF(AND(tblFleet[[#This Row],[Units]]&lt;&gt;"",tblFleet[[#This Row],[Available_h]]&gt;0),tblFleet[[#This Row],[Operating_h]]/tblFleet[[#This Row],[Available_h]],"")</f>
        <v/>
      </c>
    </row>
    <row r="1164">
      <c r="A1164" s="54" t="n"/>
      <c r="B1164" s="61" t="n"/>
      <c r="C1164" s="62" t="n"/>
      <c r="D1164" s="57" t="n"/>
      <c r="E1164" s="57" t="n"/>
      <c r="F1164" s="58" t="n"/>
      <c r="G1164" s="66">
        <f>IF(tblFleet[[#This Row],[Units]]="","",tblFleet[[#This Row],[Units]]*24)</f>
        <v/>
      </c>
      <c r="H1164" s="66">
        <f>IF(tblFleet[[#This Row],[Units]]="","",tblFleet[[#This Row],[Calendar_h]]-tblFleet[[#This Row],[Down_h]])</f>
        <v/>
      </c>
      <c r="I1164" s="60">
        <f>IF(AND(tblFleet[[#This Row],[Units]]&lt;&gt;"",tblFleet[[#This Row],[Calendar_h]]&gt;0),tblFleet[[#This Row],[Available_h]]/tblFleet[[#This Row],[Calendar_h]],"")</f>
        <v/>
      </c>
      <c r="J1164" s="60">
        <f>IF(AND(tblFleet[[#This Row],[Units]]&lt;&gt;"",tblFleet[[#This Row],[Available_h]]&gt;0),tblFleet[[#This Row],[Operating_h]]/tblFleet[[#This Row],[Available_h]],"")</f>
        <v/>
      </c>
    </row>
    <row r="1165">
      <c r="A1165" s="54" t="n"/>
      <c r="B1165" s="61" t="n"/>
      <c r="C1165" s="62" t="n"/>
      <c r="D1165" s="57" t="n"/>
      <c r="E1165" s="57" t="n"/>
      <c r="F1165" s="58" t="n"/>
      <c r="G1165" s="66">
        <f>IF(tblFleet[[#This Row],[Units]]="","",tblFleet[[#This Row],[Units]]*24)</f>
        <v/>
      </c>
      <c r="H1165" s="66">
        <f>IF(tblFleet[[#This Row],[Units]]="","",tblFleet[[#This Row],[Calendar_h]]-tblFleet[[#This Row],[Down_h]])</f>
        <v/>
      </c>
      <c r="I1165" s="60">
        <f>IF(AND(tblFleet[[#This Row],[Units]]&lt;&gt;"",tblFleet[[#This Row],[Calendar_h]]&gt;0),tblFleet[[#This Row],[Available_h]]/tblFleet[[#This Row],[Calendar_h]],"")</f>
        <v/>
      </c>
      <c r="J1165" s="60">
        <f>IF(AND(tblFleet[[#This Row],[Units]]&lt;&gt;"",tblFleet[[#This Row],[Available_h]]&gt;0),tblFleet[[#This Row],[Operating_h]]/tblFleet[[#This Row],[Available_h]],"")</f>
        <v/>
      </c>
    </row>
    <row r="1166">
      <c r="A1166" s="54" t="n"/>
      <c r="B1166" s="61" t="n"/>
      <c r="C1166" s="62" t="n"/>
      <c r="D1166" s="57" t="n"/>
      <c r="E1166" s="57" t="n"/>
      <c r="F1166" s="58" t="n"/>
      <c r="G1166" s="66">
        <f>IF(tblFleet[[#This Row],[Units]]="","",tblFleet[[#This Row],[Units]]*24)</f>
        <v/>
      </c>
      <c r="H1166" s="66">
        <f>IF(tblFleet[[#This Row],[Units]]="","",tblFleet[[#This Row],[Calendar_h]]-tblFleet[[#This Row],[Down_h]])</f>
        <v/>
      </c>
      <c r="I1166" s="60">
        <f>IF(AND(tblFleet[[#This Row],[Units]]&lt;&gt;"",tblFleet[[#This Row],[Calendar_h]]&gt;0),tblFleet[[#This Row],[Available_h]]/tblFleet[[#This Row],[Calendar_h]],"")</f>
        <v/>
      </c>
      <c r="J1166" s="60">
        <f>IF(AND(tblFleet[[#This Row],[Units]]&lt;&gt;"",tblFleet[[#This Row],[Available_h]]&gt;0),tblFleet[[#This Row],[Operating_h]]/tblFleet[[#This Row],[Available_h]],"")</f>
        <v/>
      </c>
    </row>
    <row r="1167">
      <c r="A1167" s="54" t="n"/>
      <c r="B1167" s="61" t="n"/>
      <c r="C1167" s="62" t="n"/>
      <c r="D1167" s="57" t="n"/>
      <c r="E1167" s="57" t="n"/>
      <c r="F1167" s="58" t="n"/>
      <c r="G1167" s="66">
        <f>IF(tblFleet[[#This Row],[Units]]="","",tblFleet[[#This Row],[Units]]*24)</f>
        <v/>
      </c>
      <c r="H1167" s="66">
        <f>IF(tblFleet[[#This Row],[Units]]="","",tblFleet[[#This Row],[Calendar_h]]-tblFleet[[#This Row],[Down_h]])</f>
        <v/>
      </c>
      <c r="I1167" s="60">
        <f>IF(AND(tblFleet[[#This Row],[Units]]&lt;&gt;"",tblFleet[[#This Row],[Calendar_h]]&gt;0),tblFleet[[#This Row],[Available_h]]/tblFleet[[#This Row],[Calendar_h]],"")</f>
        <v/>
      </c>
      <c r="J1167" s="60">
        <f>IF(AND(tblFleet[[#This Row],[Units]]&lt;&gt;"",tblFleet[[#This Row],[Available_h]]&gt;0),tblFleet[[#This Row],[Operating_h]]/tblFleet[[#This Row],[Available_h]],"")</f>
        <v/>
      </c>
    </row>
    <row r="1168">
      <c r="A1168" s="54" t="n"/>
      <c r="B1168" s="61" t="n"/>
      <c r="C1168" s="62" t="n"/>
      <c r="D1168" s="57" t="n"/>
      <c r="E1168" s="57" t="n"/>
      <c r="F1168" s="58" t="n"/>
      <c r="G1168" s="66">
        <f>IF(tblFleet[[#This Row],[Units]]="","",tblFleet[[#This Row],[Units]]*24)</f>
        <v/>
      </c>
      <c r="H1168" s="66">
        <f>IF(tblFleet[[#This Row],[Units]]="","",tblFleet[[#This Row],[Calendar_h]]-tblFleet[[#This Row],[Down_h]])</f>
        <v/>
      </c>
      <c r="I1168" s="60">
        <f>IF(AND(tblFleet[[#This Row],[Units]]&lt;&gt;"",tblFleet[[#This Row],[Calendar_h]]&gt;0),tblFleet[[#This Row],[Available_h]]/tblFleet[[#This Row],[Calendar_h]],"")</f>
        <v/>
      </c>
      <c r="J1168" s="60">
        <f>IF(AND(tblFleet[[#This Row],[Units]]&lt;&gt;"",tblFleet[[#This Row],[Available_h]]&gt;0),tblFleet[[#This Row],[Operating_h]]/tblFleet[[#This Row],[Available_h]],"")</f>
        <v/>
      </c>
    </row>
    <row r="1169">
      <c r="A1169" s="54" t="n"/>
      <c r="B1169" s="61" t="n"/>
      <c r="C1169" s="62" t="n"/>
      <c r="D1169" s="57" t="n"/>
      <c r="E1169" s="57" t="n"/>
      <c r="F1169" s="58" t="n"/>
      <c r="G1169" s="66">
        <f>IF(tblFleet[[#This Row],[Units]]="","",tblFleet[[#This Row],[Units]]*24)</f>
        <v/>
      </c>
      <c r="H1169" s="66">
        <f>IF(tblFleet[[#This Row],[Units]]="","",tblFleet[[#This Row],[Calendar_h]]-tblFleet[[#This Row],[Down_h]])</f>
        <v/>
      </c>
      <c r="I1169" s="60">
        <f>IF(AND(tblFleet[[#This Row],[Units]]&lt;&gt;"",tblFleet[[#This Row],[Calendar_h]]&gt;0),tblFleet[[#This Row],[Available_h]]/tblFleet[[#This Row],[Calendar_h]],"")</f>
        <v/>
      </c>
      <c r="J1169" s="60">
        <f>IF(AND(tblFleet[[#This Row],[Units]]&lt;&gt;"",tblFleet[[#This Row],[Available_h]]&gt;0),tblFleet[[#This Row],[Operating_h]]/tblFleet[[#This Row],[Available_h]],"")</f>
        <v/>
      </c>
    </row>
    <row r="1170">
      <c r="A1170" s="54" t="n"/>
      <c r="B1170" s="61" t="n"/>
      <c r="C1170" s="62" t="n"/>
      <c r="D1170" s="57" t="n"/>
      <c r="E1170" s="57" t="n"/>
      <c r="F1170" s="58" t="n"/>
      <c r="G1170" s="66">
        <f>IF(tblFleet[[#This Row],[Units]]="","",tblFleet[[#This Row],[Units]]*24)</f>
        <v/>
      </c>
      <c r="H1170" s="66">
        <f>IF(tblFleet[[#This Row],[Units]]="","",tblFleet[[#This Row],[Calendar_h]]-tblFleet[[#This Row],[Down_h]])</f>
        <v/>
      </c>
      <c r="I1170" s="60">
        <f>IF(AND(tblFleet[[#This Row],[Units]]&lt;&gt;"",tblFleet[[#This Row],[Calendar_h]]&gt;0),tblFleet[[#This Row],[Available_h]]/tblFleet[[#This Row],[Calendar_h]],"")</f>
        <v/>
      </c>
      <c r="J1170" s="60">
        <f>IF(AND(tblFleet[[#This Row],[Units]]&lt;&gt;"",tblFleet[[#This Row],[Available_h]]&gt;0),tblFleet[[#This Row],[Operating_h]]/tblFleet[[#This Row],[Available_h]],"")</f>
        <v/>
      </c>
    </row>
    <row r="1171">
      <c r="A1171" s="54" t="n"/>
      <c r="B1171" s="61" t="n"/>
      <c r="C1171" s="62" t="n"/>
      <c r="D1171" s="57" t="n"/>
      <c r="E1171" s="57" t="n"/>
      <c r="F1171" s="58" t="n"/>
      <c r="G1171" s="66">
        <f>IF(tblFleet[[#This Row],[Units]]="","",tblFleet[[#This Row],[Units]]*24)</f>
        <v/>
      </c>
      <c r="H1171" s="66">
        <f>IF(tblFleet[[#This Row],[Units]]="","",tblFleet[[#This Row],[Calendar_h]]-tblFleet[[#This Row],[Down_h]])</f>
        <v/>
      </c>
      <c r="I1171" s="60">
        <f>IF(AND(tblFleet[[#This Row],[Units]]&lt;&gt;"",tblFleet[[#This Row],[Calendar_h]]&gt;0),tblFleet[[#This Row],[Available_h]]/tblFleet[[#This Row],[Calendar_h]],"")</f>
        <v/>
      </c>
      <c r="J1171" s="60">
        <f>IF(AND(tblFleet[[#This Row],[Units]]&lt;&gt;"",tblFleet[[#This Row],[Available_h]]&gt;0),tblFleet[[#This Row],[Operating_h]]/tblFleet[[#This Row],[Available_h]],"")</f>
        <v/>
      </c>
    </row>
    <row r="1172">
      <c r="A1172" s="54" t="n"/>
      <c r="B1172" s="61" t="n"/>
      <c r="C1172" s="62" t="n"/>
      <c r="D1172" s="57" t="n"/>
      <c r="E1172" s="57" t="n"/>
      <c r="F1172" s="58" t="n"/>
      <c r="G1172" s="66">
        <f>IF(tblFleet[[#This Row],[Units]]="","",tblFleet[[#This Row],[Units]]*24)</f>
        <v/>
      </c>
      <c r="H1172" s="66">
        <f>IF(tblFleet[[#This Row],[Units]]="","",tblFleet[[#This Row],[Calendar_h]]-tblFleet[[#This Row],[Down_h]])</f>
        <v/>
      </c>
      <c r="I1172" s="60">
        <f>IF(AND(tblFleet[[#This Row],[Units]]&lt;&gt;"",tblFleet[[#This Row],[Calendar_h]]&gt;0),tblFleet[[#This Row],[Available_h]]/tblFleet[[#This Row],[Calendar_h]],"")</f>
        <v/>
      </c>
      <c r="J1172" s="60">
        <f>IF(AND(tblFleet[[#This Row],[Units]]&lt;&gt;"",tblFleet[[#This Row],[Available_h]]&gt;0),tblFleet[[#This Row],[Operating_h]]/tblFleet[[#This Row],[Available_h]],"")</f>
        <v/>
      </c>
    </row>
    <row r="1173">
      <c r="A1173" s="54" t="n"/>
      <c r="B1173" s="61" t="n"/>
      <c r="C1173" s="62" t="n"/>
      <c r="D1173" s="57" t="n"/>
      <c r="E1173" s="57" t="n"/>
      <c r="F1173" s="58" t="n"/>
      <c r="G1173" s="66">
        <f>IF(tblFleet[[#This Row],[Units]]="","",tblFleet[[#This Row],[Units]]*24)</f>
        <v/>
      </c>
      <c r="H1173" s="66">
        <f>IF(tblFleet[[#This Row],[Units]]="","",tblFleet[[#This Row],[Calendar_h]]-tblFleet[[#This Row],[Down_h]])</f>
        <v/>
      </c>
      <c r="I1173" s="60">
        <f>IF(AND(tblFleet[[#This Row],[Units]]&lt;&gt;"",tblFleet[[#This Row],[Calendar_h]]&gt;0),tblFleet[[#This Row],[Available_h]]/tblFleet[[#This Row],[Calendar_h]],"")</f>
        <v/>
      </c>
      <c r="J1173" s="60">
        <f>IF(AND(tblFleet[[#This Row],[Units]]&lt;&gt;"",tblFleet[[#This Row],[Available_h]]&gt;0),tblFleet[[#This Row],[Operating_h]]/tblFleet[[#This Row],[Available_h]],"")</f>
        <v/>
      </c>
    </row>
    <row r="1174">
      <c r="A1174" s="54" t="n"/>
      <c r="B1174" s="61" t="n"/>
      <c r="C1174" s="62" t="n"/>
      <c r="D1174" s="57" t="n"/>
      <c r="E1174" s="57" t="n"/>
      <c r="F1174" s="58" t="n"/>
      <c r="G1174" s="66">
        <f>IF(tblFleet[[#This Row],[Units]]="","",tblFleet[[#This Row],[Units]]*24)</f>
        <v/>
      </c>
      <c r="H1174" s="66">
        <f>IF(tblFleet[[#This Row],[Units]]="","",tblFleet[[#This Row],[Calendar_h]]-tblFleet[[#This Row],[Down_h]])</f>
        <v/>
      </c>
      <c r="I1174" s="60">
        <f>IF(AND(tblFleet[[#This Row],[Units]]&lt;&gt;"",tblFleet[[#This Row],[Calendar_h]]&gt;0),tblFleet[[#This Row],[Available_h]]/tblFleet[[#This Row],[Calendar_h]],"")</f>
        <v/>
      </c>
      <c r="J1174" s="60">
        <f>IF(AND(tblFleet[[#This Row],[Units]]&lt;&gt;"",tblFleet[[#This Row],[Available_h]]&gt;0),tblFleet[[#This Row],[Operating_h]]/tblFleet[[#This Row],[Available_h]],"")</f>
        <v/>
      </c>
    </row>
    <row r="1175">
      <c r="A1175" s="54" t="n"/>
      <c r="B1175" s="61" t="n"/>
      <c r="C1175" s="62" t="n"/>
      <c r="D1175" s="57" t="n"/>
      <c r="E1175" s="57" t="n"/>
      <c r="F1175" s="58" t="n"/>
      <c r="G1175" s="66">
        <f>IF(tblFleet[[#This Row],[Units]]="","",tblFleet[[#This Row],[Units]]*24)</f>
        <v/>
      </c>
      <c r="H1175" s="66">
        <f>IF(tblFleet[[#This Row],[Units]]="","",tblFleet[[#This Row],[Calendar_h]]-tblFleet[[#This Row],[Down_h]])</f>
        <v/>
      </c>
      <c r="I1175" s="60">
        <f>IF(AND(tblFleet[[#This Row],[Units]]&lt;&gt;"",tblFleet[[#This Row],[Calendar_h]]&gt;0),tblFleet[[#This Row],[Available_h]]/tblFleet[[#This Row],[Calendar_h]],"")</f>
        <v/>
      </c>
      <c r="J1175" s="60">
        <f>IF(AND(tblFleet[[#This Row],[Units]]&lt;&gt;"",tblFleet[[#This Row],[Available_h]]&gt;0),tblFleet[[#This Row],[Operating_h]]/tblFleet[[#This Row],[Available_h]],"")</f>
        <v/>
      </c>
    </row>
    <row r="1176">
      <c r="A1176" s="54" t="n"/>
      <c r="B1176" s="61" t="n"/>
      <c r="C1176" s="62" t="n"/>
      <c r="D1176" s="57" t="n"/>
      <c r="E1176" s="57" t="n"/>
      <c r="F1176" s="58" t="n"/>
      <c r="G1176" s="66">
        <f>IF(tblFleet[[#This Row],[Units]]="","",tblFleet[[#This Row],[Units]]*24)</f>
        <v/>
      </c>
      <c r="H1176" s="66">
        <f>IF(tblFleet[[#This Row],[Units]]="","",tblFleet[[#This Row],[Calendar_h]]-tblFleet[[#This Row],[Down_h]])</f>
        <v/>
      </c>
      <c r="I1176" s="60">
        <f>IF(AND(tblFleet[[#This Row],[Units]]&lt;&gt;"",tblFleet[[#This Row],[Calendar_h]]&gt;0),tblFleet[[#This Row],[Available_h]]/tblFleet[[#This Row],[Calendar_h]],"")</f>
        <v/>
      </c>
      <c r="J1176" s="60">
        <f>IF(AND(tblFleet[[#This Row],[Units]]&lt;&gt;"",tblFleet[[#This Row],[Available_h]]&gt;0),tblFleet[[#This Row],[Operating_h]]/tblFleet[[#This Row],[Available_h]],"")</f>
        <v/>
      </c>
    </row>
    <row r="1177">
      <c r="A1177" s="54" t="n"/>
      <c r="B1177" s="61" t="n"/>
      <c r="C1177" s="62" t="n"/>
      <c r="D1177" s="57" t="n"/>
      <c r="E1177" s="57" t="n"/>
      <c r="F1177" s="58" t="n"/>
      <c r="G1177" s="66">
        <f>IF(tblFleet[[#This Row],[Units]]="","",tblFleet[[#This Row],[Units]]*24)</f>
        <v/>
      </c>
      <c r="H1177" s="66">
        <f>IF(tblFleet[[#This Row],[Units]]="","",tblFleet[[#This Row],[Calendar_h]]-tblFleet[[#This Row],[Down_h]])</f>
        <v/>
      </c>
      <c r="I1177" s="60">
        <f>IF(AND(tblFleet[[#This Row],[Units]]&lt;&gt;"",tblFleet[[#This Row],[Calendar_h]]&gt;0),tblFleet[[#This Row],[Available_h]]/tblFleet[[#This Row],[Calendar_h]],"")</f>
        <v/>
      </c>
      <c r="J1177" s="60">
        <f>IF(AND(tblFleet[[#This Row],[Units]]&lt;&gt;"",tblFleet[[#This Row],[Available_h]]&gt;0),tblFleet[[#This Row],[Operating_h]]/tblFleet[[#This Row],[Available_h]],"")</f>
        <v/>
      </c>
    </row>
    <row r="1178">
      <c r="A1178" s="54" t="n"/>
      <c r="B1178" s="61" t="n"/>
      <c r="C1178" s="62" t="n"/>
      <c r="D1178" s="57" t="n"/>
      <c r="E1178" s="57" t="n"/>
      <c r="F1178" s="58" t="n"/>
      <c r="G1178" s="66">
        <f>IF(tblFleet[[#This Row],[Units]]="","",tblFleet[[#This Row],[Units]]*24)</f>
        <v/>
      </c>
      <c r="H1178" s="66">
        <f>IF(tblFleet[[#This Row],[Units]]="","",tblFleet[[#This Row],[Calendar_h]]-tblFleet[[#This Row],[Down_h]])</f>
        <v/>
      </c>
      <c r="I1178" s="60">
        <f>IF(AND(tblFleet[[#This Row],[Units]]&lt;&gt;"",tblFleet[[#This Row],[Calendar_h]]&gt;0),tblFleet[[#This Row],[Available_h]]/tblFleet[[#This Row],[Calendar_h]],"")</f>
        <v/>
      </c>
      <c r="J1178" s="60">
        <f>IF(AND(tblFleet[[#This Row],[Units]]&lt;&gt;"",tblFleet[[#This Row],[Available_h]]&gt;0),tblFleet[[#This Row],[Operating_h]]/tblFleet[[#This Row],[Available_h]],"")</f>
        <v/>
      </c>
    </row>
    <row r="1179">
      <c r="A1179" s="54" t="n"/>
      <c r="B1179" s="61" t="n"/>
      <c r="C1179" s="62" t="n"/>
      <c r="D1179" s="57" t="n"/>
      <c r="E1179" s="57" t="n"/>
      <c r="F1179" s="58" t="n"/>
      <c r="G1179" s="66">
        <f>IF(tblFleet[[#This Row],[Units]]="","",tblFleet[[#This Row],[Units]]*24)</f>
        <v/>
      </c>
      <c r="H1179" s="66">
        <f>IF(tblFleet[[#This Row],[Units]]="","",tblFleet[[#This Row],[Calendar_h]]-tblFleet[[#This Row],[Down_h]])</f>
        <v/>
      </c>
      <c r="I1179" s="60">
        <f>IF(AND(tblFleet[[#This Row],[Units]]&lt;&gt;"",tblFleet[[#This Row],[Calendar_h]]&gt;0),tblFleet[[#This Row],[Available_h]]/tblFleet[[#This Row],[Calendar_h]],"")</f>
        <v/>
      </c>
      <c r="J1179" s="60">
        <f>IF(AND(tblFleet[[#This Row],[Units]]&lt;&gt;"",tblFleet[[#This Row],[Available_h]]&gt;0),tblFleet[[#This Row],[Operating_h]]/tblFleet[[#This Row],[Available_h]],"")</f>
        <v/>
      </c>
    </row>
    <row r="1180">
      <c r="A1180" s="54" t="n"/>
      <c r="B1180" s="61" t="n"/>
      <c r="C1180" s="62" t="n"/>
      <c r="D1180" s="57" t="n"/>
      <c r="E1180" s="57" t="n"/>
      <c r="F1180" s="58" t="n"/>
      <c r="G1180" s="66">
        <f>IF(tblFleet[[#This Row],[Units]]="","",tblFleet[[#This Row],[Units]]*24)</f>
        <v/>
      </c>
      <c r="H1180" s="66">
        <f>IF(tblFleet[[#This Row],[Units]]="","",tblFleet[[#This Row],[Calendar_h]]-tblFleet[[#This Row],[Down_h]])</f>
        <v/>
      </c>
      <c r="I1180" s="60">
        <f>IF(AND(tblFleet[[#This Row],[Units]]&lt;&gt;"",tblFleet[[#This Row],[Calendar_h]]&gt;0),tblFleet[[#This Row],[Available_h]]/tblFleet[[#This Row],[Calendar_h]],"")</f>
        <v/>
      </c>
      <c r="J1180" s="60">
        <f>IF(AND(tblFleet[[#This Row],[Units]]&lt;&gt;"",tblFleet[[#This Row],[Available_h]]&gt;0),tblFleet[[#This Row],[Operating_h]]/tblFleet[[#This Row],[Available_h]],"")</f>
        <v/>
      </c>
    </row>
    <row r="1181">
      <c r="A1181" s="54" t="n"/>
      <c r="B1181" s="61" t="n"/>
      <c r="C1181" s="62" t="n"/>
      <c r="D1181" s="57" t="n"/>
      <c r="E1181" s="57" t="n"/>
      <c r="F1181" s="58" t="n"/>
      <c r="G1181" s="66">
        <f>IF(tblFleet[[#This Row],[Units]]="","",tblFleet[[#This Row],[Units]]*24)</f>
        <v/>
      </c>
      <c r="H1181" s="66">
        <f>IF(tblFleet[[#This Row],[Units]]="","",tblFleet[[#This Row],[Calendar_h]]-tblFleet[[#This Row],[Down_h]])</f>
        <v/>
      </c>
      <c r="I1181" s="60">
        <f>IF(AND(tblFleet[[#This Row],[Units]]&lt;&gt;"",tblFleet[[#This Row],[Calendar_h]]&gt;0),tblFleet[[#This Row],[Available_h]]/tblFleet[[#This Row],[Calendar_h]],"")</f>
        <v/>
      </c>
      <c r="J1181" s="60">
        <f>IF(AND(tblFleet[[#This Row],[Units]]&lt;&gt;"",tblFleet[[#This Row],[Available_h]]&gt;0),tblFleet[[#This Row],[Operating_h]]/tblFleet[[#This Row],[Available_h]],"")</f>
        <v/>
      </c>
    </row>
    <row r="1182">
      <c r="A1182" s="54" t="n"/>
      <c r="B1182" s="61" t="n"/>
      <c r="C1182" s="62" t="n"/>
      <c r="D1182" s="57" t="n"/>
      <c r="E1182" s="57" t="n"/>
      <c r="F1182" s="58" t="n"/>
      <c r="G1182" s="66">
        <f>IF(tblFleet[[#This Row],[Units]]="","",tblFleet[[#This Row],[Units]]*24)</f>
        <v/>
      </c>
      <c r="H1182" s="66">
        <f>IF(tblFleet[[#This Row],[Units]]="","",tblFleet[[#This Row],[Calendar_h]]-tblFleet[[#This Row],[Down_h]])</f>
        <v/>
      </c>
      <c r="I1182" s="60">
        <f>IF(AND(tblFleet[[#This Row],[Units]]&lt;&gt;"",tblFleet[[#This Row],[Calendar_h]]&gt;0),tblFleet[[#This Row],[Available_h]]/tblFleet[[#This Row],[Calendar_h]],"")</f>
        <v/>
      </c>
      <c r="J1182" s="60">
        <f>IF(AND(tblFleet[[#This Row],[Units]]&lt;&gt;"",tblFleet[[#This Row],[Available_h]]&gt;0),tblFleet[[#This Row],[Operating_h]]/tblFleet[[#This Row],[Available_h]],"")</f>
        <v/>
      </c>
    </row>
    <row r="1183">
      <c r="A1183" s="54" t="n"/>
      <c r="B1183" s="61" t="n"/>
      <c r="C1183" s="62" t="n"/>
      <c r="D1183" s="57" t="n"/>
      <c r="E1183" s="57" t="n"/>
      <c r="F1183" s="58" t="n"/>
      <c r="G1183" s="66">
        <f>IF(tblFleet[[#This Row],[Units]]="","",tblFleet[[#This Row],[Units]]*24)</f>
        <v/>
      </c>
      <c r="H1183" s="66">
        <f>IF(tblFleet[[#This Row],[Units]]="","",tblFleet[[#This Row],[Calendar_h]]-tblFleet[[#This Row],[Down_h]])</f>
        <v/>
      </c>
      <c r="I1183" s="60">
        <f>IF(AND(tblFleet[[#This Row],[Units]]&lt;&gt;"",tblFleet[[#This Row],[Calendar_h]]&gt;0),tblFleet[[#This Row],[Available_h]]/tblFleet[[#This Row],[Calendar_h]],"")</f>
        <v/>
      </c>
      <c r="J1183" s="60">
        <f>IF(AND(tblFleet[[#This Row],[Units]]&lt;&gt;"",tblFleet[[#This Row],[Available_h]]&gt;0),tblFleet[[#This Row],[Operating_h]]/tblFleet[[#This Row],[Available_h]],"")</f>
        <v/>
      </c>
    </row>
    <row r="1184">
      <c r="A1184" s="54" t="n"/>
      <c r="B1184" s="61" t="n"/>
      <c r="C1184" s="62" t="n"/>
      <c r="D1184" s="57" t="n"/>
      <c r="E1184" s="57" t="n"/>
      <c r="F1184" s="58" t="n"/>
      <c r="G1184" s="66">
        <f>IF(tblFleet[[#This Row],[Units]]="","",tblFleet[[#This Row],[Units]]*24)</f>
        <v/>
      </c>
      <c r="H1184" s="66">
        <f>IF(tblFleet[[#This Row],[Units]]="","",tblFleet[[#This Row],[Calendar_h]]-tblFleet[[#This Row],[Down_h]])</f>
        <v/>
      </c>
      <c r="I1184" s="60">
        <f>IF(AND(tblFleet[[#This Row],[Units]]&lt;&gt;"",tblFleet[[#This Row],[Calendar_h]]&gt;0),tblFleet[[#This Row],[Available_h]]/tblFleet[[#This Row],[Calendar_h]],"")</f>
        <v/>
      </c>
      <c r="J1184" s="60">
        <f>IF(AND(tblFleet[[#This Row],[Units]]&lt;&gt;"",tblFleet[[#This Row],[Available_h]]&gt;0),tblFleet[[#This Row],[Operating_h]]/tblFleet[[#This Row],[Available_h]],"")</f>
        <v/>
      </c>
    </row>
    <row r="1185">
      <c r="A1185" s="54" t="n"/>
      <c r="B1185" s="61" t="n"/>
      <c r="C1185" s="62" t="n"/>
      <c r="D1185" s="57" t="n"/>
      <c r="E1185" s="57" t="n"/>
      <c r="F1185" s="58" t="n"/>
      <c r="G1185" s="66">
        <f>IF(tblFleet[[#This Row],[Units]]="","",tblFleet[[#This Row],[Units]]*24)</f>
        <v/>
      </c>
      <c r="H1185" s="66">
        <f>IF(tblFleet[[#This Row],[Units]]="","",tblFleet[[#This Row],[Calendar_h]]-tblFleet[[#This Row],[Down_h]])</f>
        <v/>
      </c>
      <c r="I1185" s="60">
        <f>IF(AND(tblFleet[[#This Row],[Units]]&lt;&gt;"",tblFleet[[#This Row],[Calendar_h]]&gt;0),tblFleet[[#This Row],[Available_h]]/tblFleet[[#This Row],[Calendar_h]],"")</f>
        <v/>
      </c>
      <c r="J1185" s="60">
        <f>IF(AND(tblFleet[[#This Row],[Units]]&lt;&gt;"",tblFleet[[#This Row],[Available_h]]&gt;0),tblFleet[[#This Row],[Operating_h]]/tblFleet[[#This Row],[Available_h]],"")</f>
        <v/>
      </c>
    </row>
    <row r="1186">
      <c r="A1186" s="54" t="n"/>
      <c r="B1186" s="61" t="n"/>
      <c r="C1186" s="62" t="n"/>
      <c r="D1186" s="57" t="n"/>
      <c r="E1186" s="57" t="n"/>
      <c r="F1186" s="58" t="n"/>
      <c r="G1186" s="66">
        <f>IF(tblFleet[[#This Row],[Units]]="","",tblFleet[[#This Row],[Units]]*24)</f>
        <v/>
      </c>
      <c r="H1186" s="66">
        <f>IF(tblFleet[[#This Row],[Units]]="","",tblFleet[[#This Row],[Calendar_h]]-tblFleet[[#This Row],[Down_h]])</f>
        <v/>
      </c>
      <c r="I1186" s="60">
        <f>IF(AND(tblFleet[[#This Row],[Units]]&lt;&gt;"",tblFleet[[#This Row],[Calendar_h]]&gt;0),tblFleet[[#This Row],[Available_h]]/tblFleet[[#This Row],[Calendar_h]],"")</f>
        <v/>
      </c>
      <c r="J1186" s="60">
        <f>IF(AND(tblFleet[[#This Row],[Units]]&lt;&gt;"",tblFleet[[#This Row],[Available_h]]&gt;0),tblFleet[[#This Row],[Operating_h]]/tblFleet[[#This Row],[Available_h]],"")</f>
        <v/>
      </c>
    </row>
    <row r="1187">
      <c r="A1187" s="54" t="n"/>
      <c r="B1187" s="61" t="n"/>
      <c r="C1187" s="62" t="n"/>
      <c r="D1187" s="57" t="n"/>
      <c r="E1187" s="57" t="n"/>
      <c r="F1187" s="58" t="n"/>
      <c r="G1187" s="66">
        <f>IF(tblFleet[[#This Row],[Units]]="","",tblFleet[[#This Row],[Units]]*24)</f>
        <v/>
      </c>
      <c r="H1187" s="66">
        <f>IF(tblFleet[[#This Row],[Units]]="","",tblFleet[[#This Row],[Calendar_h]]-tblFleet[[#This Row],[Down_h]])</f>
        <v/>
      </c>
      <c r="I1187" s="60">
        <f>IF(AND(tblFleet[[#This Row],[Units]]&lt;&gt;"",tblFleet[[#This Row],[Calendar_h]]&gt;0),tblFleet[[#This Row],[Available_h]]/tblFleet[[#This Row],[Calendar_h]],"")</f>
        <v/>
      </c>
      <c r="J1187" s="60">
        <f>IF(AND(tblFleet[[#This Row],[Units]]&lt;&gt;"",tblFleet[[#This Row],[Available_h]]&gt;0),tblFleet[[#This Row],[Operating_h]]/tblFleet[[#This Row],[Available_h]],"")</f>
        <v/>
      </c>
    </row>
    <row r="1188">
      <c r="A1188" s="54" t="n"/>
      <c r="B1188" s="61" t="n"/>
      <c r="C1188" s="62" t="n"/>
      <c r="D1188" s="57" t="n"/>
      <c r="E1188" s="57" t="n"/>
      <c r="F1188" s="58" t="n"/>
      <c r="G1188" s="66">
        <f>IF(tblFleet[[#This Row],[Units]]="","",tblFleet[[#This Row],[Units]]*24)</f>
        <v/>
      </c>
      <c r="H1188" s="66">
        <f>IF(tblFleet[[#This Row],[Units]]="","",tblFleet[[#This Row],[Calendar_h]]-tblFleet[[#This Row],[Down_h]])</f>
        <v/>
      </c>
      <c r="I1188" s="60">
        <f>IF(AND(tblFleet[[#This Row],[Units]]&lt;&gt;"",tblFleet[[#This Row],[Calendar_h]]&gt;0),tblFleet[[#This Row],[Available_h]]/tblFleet[[#This Row],[Calendar_h]],"")</f>
        <v/>
      </c>
      <c r="J1188" s="60">
        <f>IF(AND(tblFleet[[#This Row],[Units]]&lt;&gt;"",tblFleet[[#This Row],[Available_h]]&gt;0),tblFleet[[#This Row],[Operating_h]]/tblFleet[[#This Row],[Available_h]],"")</f>
        <v/>
      </c>
    </row>
    <row r="1189">
      <c r="A1189" s="54" t="n"/>
      <c r="B1189" s="61" t="n"/>
      <c r="C1189" s="62" t="n"/>
      <c r="D1189" s="57" t="n"/>
      <c r="E1189" s="57" t="n"/>
      <c r="F1189" s="58" t="n"/>
      <c r="G1189" s="66">
        <f>IF(tblFleet[[#This Row],[Units]]="","",tblFleet[[#This Row],[Units]]*24)</f>
        <v/>
      </c>
      <c r="H1189" s="66">
        <f>IF(tblFleet[[#This Row],[Units]]="","",tblFleet[[#This Row],[Calendar_h]]-tblFleet[[#This Row],[Down_h]])</f>
        <v/>
      </c>
      <c r="I1189" s="60">
        <f>IF(AND(tblFleet[[#This Row],[Units]]&lt;&gt;"",tblFleet[[#This Row],[Calendar_h]]&gt;0),tblFleet[[#This Row],[Available_h]]/tblFleet[[#This Row],[Calendar_h]],"")</f>
        <v/>
      </c>
      <c r="J1189" s="60">
        <f>IF(AND(tblFleet[[#This Row],[Units]]&lt;&gt;"",tblFleet[[#This Row],[Available_h]]&gt;0),tblFleet[[#This Row],[Operating_h]]/tblFleet[[#This Row],[Available_h]],"")</f>
        <v/>
      </c>
    </row>
    <row r="1190">
      <c r="A1190" s="54" t="n"/>
      <c r="B1190" s="61" t="n"/>
      <c r="C1190" s="62" t="n"/>
      <c r="D1190" s="57" t="n"/>
      <c r="E1190" s="57" t="n"/>
      <c r="F1190" s="58" t="n"/>
      <c r="G1190" s="66">
        <f>IF(tblFleet[[#This Row],[Units]]="","",tblFleet[[#This Row],[Units]]*24)</f>
        <v/>
      </c>
      <c r="H1190" s="66">
        <f>IF(tblFleet[[#This Row],[Units]]="","",tblFleet[[#This Row],[Calendar_h]]-tblFleet[[#This Row],[Down_h]])</f>
        <v/>
      </c>
      <c r="I1190" s="60">
        <f>IF(AND(tblFleet[[#This Row],[Units]]&lt;&gt;"",tblFleet[[#This Row],[Calendar_h]]&gt;0),tblFleet[[#This Row],[Available_h]]/tblFleet[[#This Row],[Calendar_h]],"")</f>
        <v/>
      </c>
      <c r="J1190" s="60">
        <f>IF(AND(tblFleet[[#This Row],[Units]]&lt;&gt;"",tblFleet[[#This Row],[Available_h]]&gt;0),tblFleet[[#This Row],[Operating_h]]/tblFleet[[#This Row],[Available_h]],"")</f>
        <v/>
      </c>
    </row>
    <row r="1191">
      <c r="A1191" s="54" t="n"/>
      <c r="B1191" s="61" t="n"/>
      <c r="C1191" s="62" t="n"/>
      <c r="D1191" s="57" t="n"/>
      <c r="E1191" s="57" t="n"/>
      <c r="F1191" s="58" t="n"/>
      <c r="G1191" s="66">
        <f>IF(tblFleet[[#This Row],[Units]]="","",tblFleet[[#This Row],[Units]]*24)</f>
        <v/>
      </c>
      <c r="H1191" s="66">
        <f>IF(tblFleet[[#This Row],[Units]]="","",tblFleet[[#This Row],[Calendar_h]]-tblFleet[[#This Row],[Down_h]])</f>
        <v/>
      </c>
      <c r="I1191" s="60">
        <f>IF(AND(tblFleet[[#This Row],[Units]]&lt;&gt;"",tblFleet[[#This Row],[Calendar_h]]&gt;0),tblFleet[[#This Row],[Available_h]]/tblFleet[[#This Row],[Calendar_h]],"")</f>
        <v/>
      </c>
      <c r="J1191" s="60">
        <f>IF(AND(tblFleet[[#This Row],[Units]]&lt;&gt;"",tblFleet[[#This Row],[Available_h]]&gt;0),tblFleet[[#This Row],[Operating_h]]/tblFleet[[#This Row],[Available_h]],"")</f>
        <v/>
      </c>
    </row>
    <row r="1192">
      <c r="A1192" s="54" t="n"/>
      <c r="B1192" s="61" t="n"/>
      <c r="C1192" s="62" t="n"/>
      <c r="D1192" s="57" t="n"/>
      <c r="E1192" s="57" t="n"/>
      <c r="F1192" s="58" t="n"/>
      <c r="G1192" s="66">
        <f>IF(tblFleet[[#This Row],[Units]]="","",tblFleet[[#This Row],[Units]]*24)</f>
        <v/>
      </c>
      <c r="H1192" s="66">
        <f>IF(tblFleet[[#This Row],[Units]]="","",tblFleet[[#This Row],[Calendar_h]]-tblFleet[[#This Row],[Down_h]])</f>
        <v/>
      </c>
      <c r="I1192" s="60">
        <f>IF(AND(tblFleet[[#This Row],[Units]]&lt;&gt;"",tblFleet[[#This Row],[Calendar_h]]&gt;0),tblFleet[[#This Row],[Available_h]]/tblFleet[[#This Row],[Calendar_h]],"")</f>
        <v/>
      </c>
      <c r="J1192" s="60">
        <f>IF(AND(tblFleet[[#This Row],[Units]]&lt;&gt;"",tblFleet[[#This Row],[Available_h]]&gt;0),tblFleet[[#This Row],[Operating_h]]/tblFleet[[#This Row],[Available_h]],"")</f>
        <v/>
      </c>
    </row>
    <row r="1193">
      <c r="A1193" s="54" t="n"/>
      <c r="B1193" s="61" t="n"/>
      <c r="C1193" s="62" t="n"/>
      <c r="D1193" s="57" t="n"/>
      <c r="E1193" s="57" t="n"/>
      <c r="F1193" s="58" t="n"/>
      <c r="G1193" s="66">
        <f>IF(tblFleet[[#This Row],[Units]]="","",tblFleet[[#This Row],[Units]]*24)</f>
        <v/>
      </c>
      <c r="H1193" s="66">
        <f>IF(tblFleet[[#This Row],[Units]]="","",tblFleet[[#This Row],[Calendar_h]]-tblFleet[[#This Row],[Down_h]])</f>
        <v/>
      </c>
      <c r="I1193" s="60">
        <f>IF(AND(tblFleet[[#This Row],[Units]]&lt;&gt;"",tblFleet[[#This Row],[Calendar_h]]&gt;0),tblFleet[[#This Row],[Available_h]]/tblFleet[[#This Row],[Calendar_h]],"")</f>
        <v/>
      </c>
      <c r="J1193" s="60">
        <f>IF(AND(tblFleet[[#This Row],[Units]]&lt;&gt;"",tblFleet[[#This Row],[Available_h]]&gt;0),tblFleet[[#This Row],[Operating_h]]/tblFleet[[#This Row],[Available_h]],"")</f>
        <v/>
      </c>
    </row>
    <row r="1194">
      <c r="A1194" s="54" t="n"/>
      <c r="B1194" s="61" t="n"/>
      <c r="C1194" s="62" t="n"/>
      <c r="D1194" s="57" t="n"/>
      <c r="E1194" s="57" t="n"/>
      <c r="F1194" s="58" t="n"/>
      <c r="G1194" s="66">
        <f>IF(tblFleet[[#This Row],[Units]]="","",tblFleet[[#This Row],[Units]]*24)</f>
        <v/>
      </c>
      <c r="H1194" s="66">
        <f>IF(tblFleet[[#This Row],[Units]]="","",tblFleet[[#This Row],[Calendar_h]]-tblFleet[[#This Row],[Down_h]])</f>
        <v/>
      </c>
      <c r="I1194" s="60">
        <f>IF(AND(tblFleet[[#This Row],[Units]]&lt;&gt;"",tblFleet[[#This Row],[Calendar_h]]&gt;0),tblFleet[[#This Row],[Available_h]]/tblFleet[[#This Row],[Calendar_h]],"")</f>
        <v/>
      </c>
      <c r="J1194" s="60">
        <f>IF(AND(tblFleet[[#This Row],[Units]]&lt;&gt;"",tblFleet[[#This Row],[Available_h]]&gt;0),tblFleet[[#This Row],[Operating_h]]/tblFleet[[#This Row],[Available_h]],"")</f>
        <v/>
      </c>
    </row>
    <row r="1195">
      <c r="A1195" s="54" t="n"/>
      <c r="B1195" s="61" t="n"/>
      <c r="C1195" s="62" t="n"/>
      <c r="D1195" s="57" t="n"/>
      <c r="E1195" s="57" t="n"/>
      <c r="F1195" s="58" t="n"/>
      <c r="G1195" s="66">
        <f>IF(tblFleet[[#This Row],[Units]]="","",tblFleet[[#This Row],[Units]]*24)</f>
        <v/>
      </c>
      <c r="H1195" s="66">
        <f>IF(tblFleet[[#This Row],[Units]]="","",tblFleet[[#This Row],[Calendar_h]]-tblFleet[[#This Row],[Down_h]])</f>
        <v/>
      </c>
      <c r="I1195" s="60">
        <f>IF(AND(tblFleet[[#This Row],[Units]]&lt;&gt;"",tblFleet[[#This Row],[Calendar_h]]&gt;0),tblFleet[[#This Row],[Available_h]]/tblFleet[[#This Row],[Calendar_h]],"")</f>
        <v/>
      </c>
      <c r="J1195" s="60">
        <f>IF(AND(tblFleet[[#This Row],[Units]]&lt;&gt;"",tblFleet[[#This Row],[Available_h]]&gt;0),tblFleet[[#This Row],[Operating_h]]/tblFleet[[#This Row],[Available_h]],"")</f>
        <v/>
      </c>
    </row>
    <row r="1196">
      <c r="A1196" s="54" t="n"/>
      <c r="B1196" s="61" t="n"/>
      <c r="C1196" s="62" t="n"/>
      <c r="D1196" s="57" t="n"/>
      <c r="E1196" s="57" t="n"/>
      <c r="F1196" s="58" t="n"/>
      <c r="G1196" s="66">
        <f>IF(tblFleet[[#This Row],[Units]]="","",tblFleet[[#This Row],[Units]]*24)</f>
        <v/>
      </c>
      <c r="H1196" s="66">
        <f>IF(tblFleet[[#This Row],[Units]]="","",tblFleet[[#This Row],[Calendar_h]]-tblFleet[[#This Row],[Down_h]])</f>
        <v/>
      </c>
      <c r="I1196" s="60">
        <f>IF(AND(tblFleet[[#This Row],[Units]]&lt;&gt;"",tblFleet[[#This Row],[Calendar_h]]&gt;0),tblFleet[[#This Row],[Available_h]]/tblFleet[[#This Row],[Calendar_h]],"")</f>
        <v/>
      </c>
      <c r="J1196" s="60">
        <f>IF(AND(tblFleet[[#This Row],[Units]]&lt;&gt;"",tblFleet[[#This Row],[Available_h]]&gt;0),tblFleet[[#This Row],[Operating_h]]/tblFleet[[#This Row],[Available_h]],"")</f>
        <v/>
      </c>
    </row>
    <row r="1197">
      <c r="A1197" s="54" t="n"/>
      <c r="B1197" s="61" t="n"/>
      <c r="C1197" s="62" t="n"/>
      <c r="D1197" s="57" t="n"/>
      <c r="E1197" s="57" t="n"/>
      <c r="F1197" s="58" t="n"/>
      <c r="G1197" s="66">
        <f>IF(tblFleet[[#This Row],[Units]]="","",tblFleet[[#This Row],[Units]]*24)</f>
        <v/>
      </c>
      <c r="H1197" s="66">
        <f>IF(tblFleet[[#This Row],[Units]]="","",tblFleet[[#This Row],[Calendar_h]]-tblFleet[[#This Row],[Down_h]])</f>
        <v/>
      </c>
      <c r="I1197" s="60">
        <f>IF(AND(tblFleet[[#This Row],[Units]]&lt;&gt;"",tblFleet[[#This Row],[Calendar_h]]&gt;0),tblFleet[[#This Row],[Available_h]]/tblFleet[[#This Row],[Calendar_h]],"")</f>
        <v/>
      </c>
      <c r="J1197" s="60">
        <f>IF(AND(tblFleet[[#This Row],[Units]]&lt;&gt;"",tblFleet[[#This Row],[Available_h]]&gt;0),tblFleet[[#This Row],[Operating_h]]/tblFleet[[#This Row],[Available_h]],"")</f>
        <v/>
      </c>
    </row>
    <row r="1198">
      <c r="A1198" s="54" t="n"/>
      <c r="B1198" s="61" t="n"/>
      <c r="C1198" s="62" t="n"/>
      <c r="D1198" s="57" t="n"/>
      <c r="E1198" s="57" t="n"/>
      <c r="F1198" s="58" t="n"/>
      <c r="G1198" s="66">
        <f>IF(tblFleet[[#This Row],[Units]]="","",tblFleet[[#This Row],[Units]]*24)</f>
        <v/>
      </c>
      <c r="H1198" s="66">
        <f>IF(tblFleet[[#This Row],[Units]]="","",tblFleet[[#This Row],[Calendar_h]]-tblFleet[[#This Row],[Down_h]])</f>
        <v/>
      </c>
      <c r="I1198" s="60">
        <f>IF(AND(tblFleet[[#This Row],[Units]]&lt;&gt;"",tblFleet[[#This Row],[Calendar_h]]&gt;0),tblFleet[[#This Row],[Available_h]]/tblFleet[[#This Row],[Calendar_h]],"")</f>
        <v/>
      </c>
      <c r="J1198" s="60">
        <f>IF(AND(tblFleet[[#This Row],[Units]]&lt;&gt;"",tblFleet[[#This Row],[Available_h]]&gt;0),tblFleet[[#This Row],[Operating_h]]/tblFleet[[#This Row],[Available_h]],"")</f>
        <v/>
      </c>
    </row>
    <row r="1199">
      <c r="A1199" s="54" t="n"/>
      <c r="B1199" s="61" t="n"/>
      <c r="C1199" s="62" t="n"/>
      <c r="D1199" s="57" t="n"/>
      <c r="E1199" s="57" t="n"/>
      <c r="F1199" s="58" t="n"/>
      <c r="G1199" s="66">
        <f>IF(tblFleet[[#This Row],[Units]]="","",tblFleet[[#This Row],[Units]]*24)</f>
        <v/>
      </c>
      <c r="H1199" s="66">
        <f>IF(tblFleet[[#This Row],[Units]]="","",tblFleet[[#This Row],[Calendar_h]]-tblFleet[[#This Row],[Down_h]])</f>
        <v/>
      </c>
      <c r="I1199" s="60">
        <f>IF(AND(tblFleet[[#This Row],[Units]]&lt;&gt;"",tblFleet[[#This Row],[Calendar_h]]&gt;0),tblFleet[[#This Row],[Available_h]]/tblFleet[[#This Row],[Calendar_h]],"")</f>
        <v/>
      </c>
      <c r="J1199" s="60">
        <f>IF(AND(tblFleet[[#This Row],[Units]]&lt;&gt;"",tblFleet[[#This Row],[Available_h]]&gt;0),tblFleet[[#This Row],[Operating_h]]/tblFleet[[#This Row],[Available_h]],"")</f>
        <v/>
      </c>
    </row>
    <row r="1200">
      <c r="A1200" s="54" t="n"/>
      <c r="B1200" s="61" t="n"/>
      <c r="C1200" s="62" t="n"/>
      <c r="D1200" s="57" t="n"/>
      <c r="E1200" s="57" t="n"/>
      <c r="F1200" s="58" t="n"/>
      <c r="G1200" s="66">
        <f>IF(tblFleet[[#This Row],[Units]]="","",tblFleet[[#This Row],[Units]]*24)</f>
        <v/>
      </c>
      <c r="H1200" s="66">
        <f>IF(tblFleet[[#This Row],[Units]]="","",tblFleet[[#This Row],[Calendar_h]]-tblFleet[[#This Row],[Down_h]])</f>
        <v/>
      </c>
      <c r="I1200" s="60">
        <f>IF(AND(tblFleet[[#This Row],[Units]]&lt;&gt;"",tblFleet[[#This Row],[Calendar_h]]&gt;0),tblFleet[[#This Row],[Available_h]]/tblFleet[[#This Row],[Calendar_h]],"")</f>
        <v/>
      </c>
      <c r="J1200" s="60">
        <f>IF(AND(tblFleet[[#This Row],[Units]]&lt;&gt;"",tblFleet[[#This Row],[Available_h]]&gt;0),tblFleet[[#This Row],[Operating_h]]/tblFleet[[#This Row],[Available_h]],"")</f>
        <v/>
      </c>
    </row>
    <row r="1201">
      <c r="A1201" s="54" t="n"/>
      <c r="B1201" s="61" t="n"/>
      <c r="C1201" s="62" t="n"/>
      <c r="D1201" s="57" t="n"/>
      <c r="E1201" s="57" t="n"/>
      <c r="F1201" s="58" t="n"/>
      <c r="G1201" s="66">
        <f>IF(tblFleet[[#This Row],[Units]]="","",tblFleet[[#This Row],[Units]]*24)</f>
        <v/>
      </c>
      <c r="H1201" s="66">
        <f>IF(tblFleet[[#This Row],[Units]]="","",tblFleet[[#This Row],[Calendar_h]]-tblFleet[[#This Row],[Down_h]])</f>
        <v/>
      </c>
      <c r="I1201" s="60">
        <f>IF(AND(tblFleet[[#This Row],[Units]]&lt;&gt;"",tblFleet[[#This Row],[Calendar_h]]&gt;0),tblFleet[[#This Row],[Available_h]]/tblFleet[[#This Row],[Calendar_h]],"")</f>
        <v/>
      </c>
      <c r="J1201" s="60">
        <f>IF(AND(tblFleet[[#This Row],[Units]]&lt;&gt;"",tblFleet[[#This Row],[Available_h]]&gt;0),tblFleet[[#This Row],[Operating_h]]/tblFleet[[#This Row],[Available_h]],"")</f>
        <v/>
      </c>
    </row>
    <row r="1202">
      <c r="A1202" s="54" t="n"/>
      <c r="B1202" s="61" t="n"/>
      <c r="C1202" s="62" t="n"/>
      <c r="D1202" s="57" t="n"/>
      <c r="E1202" s="57" t="n"/>
      <c r="F1202" s="58" t="n"/>
      <c r="G1202" s="66">
        <f>IF(tblFleet[[#This Row],[Units]]="","",tblFleet[[#This Row],[Units]]*24)</f>
        <v/>
      </c>
      <c r="H1202" s="66">
        <f>IF(tblFleet[[#This Row],[Units]]="","",tblFleet[[#This Row],[Calendar_h]]-tblFleet[[#This Row],[Down_h]])</f>
        <v/>
      </c>
      <c r="I1202" s="60">
        <f>IF(AND(tblFleet[[#This Row],[Units]]&lt;&gt;"",tblFleet[[#This Row],[Calendar_h]]&gt;0),tblFleet[[#This Row],[Available_h]]/tblFleet[[#This Row],[Calendar_h]],"")</f>
        <v/>
      </c>
      <c r="J1202" s="60">
        <f>IF(AND(tblFleet[[#This Row],[Units]]&lt;&gt;"",tblFleet[[#This Row],[Available_h]]&gt;0),tblFleet[[#This Row],[Operating_h]]/tblFleet[[#This Row],[Available_h]],"")</f>
        <v/>
      </c>
    </row>
    <row r="1203">
      <c r="A1203" s="54" t="n"/>
      <c r="B1203" s="61" t="n"/>
      <c r="C1203" s="62" t="n"/>
      <c r="D1203" s="57" t="n"/>
      <c r="E1203" s="57" t="n"/>
      <c r="F1203" s="58" t="n"/>
      <c r="G1203" s="66">
        <f>IF(tblFleet[[#This Row],[Units]]="","",tblFleet[[#This Row],[Units]]*24)</f>
        <v/>
      </c>
      <c r="H1203" s="66">
        <f>IF(tblFleet[[#This Row],[Units]]="","",tblFleet[[#This Row],[Calendar_h]]-tblFleet[[#This Row],[Down_h]])</f>
        <v/>
      </c>
      <c r="I1203" s="60">
        <f>IF(AND(tblFleet[[#This Row],[Units]]&lt;&gt;"",tblFleet[[#This Row],[Calendar_h]]&gt;0),tblFleet[[#This Row],[Available_h]]/tblFleet[[#This Row],[Calendar_h]],"")</f>
        <v/>
      </c>
      <c r="J1203" s="60">
        <f>IF(AND(tblFleet[[#This Row],[Units]]&lt;&gt;"",tblFleet[[#This Row],[Available_h]]&gt;0),tblFleet[[#This Row],[Operating_h]]/tblFleet[[#This Row],[Available_h]],"")</f>
        <v/>
      </c>
    </row>
    <row r="1204">
      <c r="A1204" s="54" t="n"/>
      <c r="B1204" s="61" t="n"/>
      <c r="C1204" s="62" t="n"/>
      <c r="D1204" s="57" t="n"/>
      <c r="E1204" s="57" t="n"/>
      <c r="F1204" s="58" t="n"/>
      <c r="G1204" s="66">
        <f>IF(tblFleet[[#This Row],[Units]]="","",tblFleet[[#This Row],[Units]]*24)</f>
        <v/>
      </c>
      <c r="H1204" s="66">
        <f>IF(tblFleet[[#This Row],[Units]]="","",tblFleet[[#This Row],[Calendar_h]]-tblFleet[[#This Row],[Down_h]])</f>
        <v/>
      </c>
      <c r="I1204" s="60">
        <f>IF(AND(tblFleet[[#This Row],[Units]]&lt;&gt;"",tblFleet[[#This Row],[Calendar_h]]&gt;0),tblFleet[[#This Row],[Available_h]]/tblFleet[[#This Row],[Calendar_h]],"")</f>
        <v/>
      </c>
      <c r="J1204" s="60">
        <f>IF(AND(tblFleet[[#This Row],[Units]]&lt;&gt;"",tblFleet[[#This Row],[Available_h]]&gt;0),tblFleet[[#This Row],[Operating_h]]/tblFleet[[#This Row],[Available_h]],"")</f>
        <v/>
      </c>
    </row>
    <row r="1205">
      <c r="A1205" s="54" t="n"/>
      <c r="B1205" s="61" t="n"/>
      <c r="C1205" s="62" t="n"/>
      <c r="D1205" s="57" t="n"/>
      <c r="E1205" s="57" t="n"/>
      <c r="F1205" s="58" t="n"/>
      <c r="G1205" s="66">
        <f>IF(tblFleet[[#This Row],[Units]]="","",tblFleet[[#This Row],[Units]]*24)</f>
        <v/>
      </c>
      <c r="H1205" s="66">
        <f>IF(tblFleet[[#This Row],[Units]]="","",tblFleet[[#This Row],[Calendar_h]]-tblFleet[[#This Row],[Down_h]])</f>
        <v/>
      </c>
      <c r="I1205" s="60">
        <f>IF(AND(tblFleet[[#This Row],[Units]]&lt;&gt;"",tblFleet[[#This Row],[Calendar_h]]&gt;0),tblFleet[[#This Row],[Available_h]]/tblFleet[[#This Row],[Calendar_h]],"")</f>
        <v/>
      </c>
      <c r="J1205" s="60">
        <f>IF(AND(tblFleet[[#This Row],[Units]]&lt;&gt;"",tblFleet[[#This Row],[Available_h]]&gt;0),tblFleet[[#This Row],[Operating_h]]/tblFleet[[#This Row],[Available_h]],"")</f>
        <v/>
      </c>
    </row>
    <row r="1206">
      <c r="A1206" s="54" t="n"/>
      <c r="B1206" s="61" t="n"/>
      <c r="C1206" s="62" t="n"/>
      <c r="D1206" s="57" t="n"/>
      <c r="E1206" s="57" t="n"/>
      <c r="F1206" s="58" t="n"/>
      <c r="G1206" s="66">
        <f>IF(tblFleet[[#This Row],[Units]]="","",tblFleet[[#This Row],[Units]]*24)</f>
        <v/>
      </c>
      <c r="H1206" s="66">
        <f>IF(tblFleet[[#This Row],[Units]]="","",tblFleet[[#This Row],[Calendar_h]]-tblFleet[[#This Row],[Down_h]])</f>
        <v/>
      </c>
      <c r="I1206" s="60">
        <f>IF(AND(tblFleet[[#This Row],[Units]]&lt;&gt;"",tblFleet[[#This Row],[Calendar_h]]&gt;0),tblFleet[[#This Row],[Available_h]]/tblFleet[[#This Row],[Calendar_h]],"")</f>
        <v/>
      </c>
      <c r="J1206" s="60">
        <f>IF(AND(tblFleet[[#This Row],[Units]]&lt;&gt;"",tblFleet[[#This Row],[Available_h]]&gt;0),tblFleet[[#This Row],[Operating_h]]/tblFleet[[#This Row],[Available_h]],"")</f>
        <v/>
      </c>
    </row>
    <row r="1207">
      <c r="A1207" s="54" t="n"/>
      <c r="B1207" s="61" t="n"/>
      <c r="C1207" s="62" t="n"/>
      <c r="D1207" s="57" t="n"/>
      <c r="E1207" s="57" t="n"/>
      <c r="F1207" s="58" t="n"/>
      <c r="G1207" s="66">
        <f>IF(tblFleet[[#This Row],[Units]]="","",tblFleet[[#This Row],[Units]]*24)</f>
        <v/>
      </c>
      <c r="H1207" s="66">
        <f>IF(tblFleet[[#This Row],[Units]]="","",tblFleet[[#This Row],[Calendar_h]]-tblFleet[[#This Row],[Down_h]])</f>
        <v/>
      </c>
      <c r="I1207" s="60">
        <f>IF(AND(tblFleet[[#This Row],[Units]]&lt;&gt;"",tblFleet[[#This Row],[Calendar_h]]&gt;0),tblFleet[[#This Row],[Available_h]]/tblFleet[[#This Row],[Calendar_h]],"")</f>
        <v/>
      </c>
      <c r="J1207" s="60">
        <f>IF(AND(tblFleet[[#This Row],[Units]]&lt;&gt;"",tblFleet[[#This Row],[Available_h]]&gt;0),tblFleet[[#This Row],[Operating_h]]/tblFleet[[#This Row],[Available_h]],"")</f>
        <v/>
      </c>
    </row>
    <row r="1208">
      <c r="A1208" s="54" t="n"/>
      <c r="B1208" s="61" t="n"/>
      <c r="C1208" s="62" t="n"/>
      <c r="D1208" s="57" t="n"/>
      <c r="E1208" s="57" t="n"/>
      <c r="F1208" s="58" t="n"/>
      <c r="G1208" s="66">
        <f>IF(tblFleet[[#This Row],[Units]]="","",tblFleet[[#This Row],[Units]]*24)</f>
        <v/>
      </c>
      <c r="H1208" s="66">
        <f>IF(tblFleet[[#This Row],[Units]]="","",tblFleet[[#This Row],[Calendar_h]]-tblFleet[[#This Row],[Down_h]])</f>
        <v/>
      </c>
      <c r="I1208" s="60">
        <f>IF(AND(tblFleet[[#This Row],[Units]]&lt;&gt;"",tblFleet[[#This Row],[Calendar_h]]&gt;0),tblFleet[[#This Row],[Available_h]]/tblFleet[[#This Row],[Calendar_h]],"")</f>
        <v/>
      </c>
      <c r="J1208" s="60">
        <f>IF(AND(tblFleet[[#This Row],[Units]]&lt;&gt;"",tblFleet[[#This Row],[Available_h]]&gt;0),tblFleet[[#This Row],[Operating_h]]/tblFleet[[#This Row],[Available_h]],"")</f>
        <v/>
      </c>
    </row>
    <row r="1209">
      <c r="A1209" s="54" t="n"/>
      <c r="B1209" s="61" t="n"/>
      <c r="C1209" s="62" t="n"/>
      <c r="D1209" s="57" t="n"/>
      <c r="E1209" s="57" t="n"/>
      <c r="F1209" s="58" t="n"/>
      <c r="G1209" s="66">
        <f>IF(tblFleet[[#This Row],[Units]]="","",tblFleet[[#This Row],[Units]]*24)</f>
        <v/>
      </c>
      <c r="H1209" s="66">
        <f>IF(tblFleet[[#This Row],[Units]]="","",tblFleet[[#This Row],[Calendar_h]]-tblFleet[[#This Row],[Down_h]])</f>
        <v/>
      </c>
      <c r="I1209" s="60">
        <f>IF(AND(tblFleet[[#This Row],[Units]]&lt;&gt;"",tblFleet[[#This Row],[Calendar_h]]&gt;0),tblFleet[[#This Row],[Available_h]]/tblFleet[[#This Row],[Calendar_h]],"")</f>
        <v/>
      </c>
      <c r="J1209" s="60">
        <f>IF(AND(tblFleet[[#This Row],[Units]]&lt;&gt;"",tblFleet[[#This Row],[Available_h]]&gt;0),tblFleet[[#This Row],[Operating_h]]/tblFleet[[#This Row],[Available_h]],"")</f>
        <v/>
      </c>
    </row>
    <row r="1210">
      <c r="A1210" s="54" t="n"/>
      <c r="B1210" s="61" t="n"/>
      <c r="C1210" s="62" t="n"/>
      <c r="D1210" s="57" t="n"/>
      <c r="E1210" s="57" t="n"/>
      <c r="F1210" s="58" t="n"/>
      <c r="G1210" s="66">
        <f>IF(tblFleet[[#This Row],[Units]]="","",tblFleet[[#This Row],[Units]]*24)</f>
        <v/>
      </c>
      <c r="H1210" s="66">
        <f>IF(tblFleet[[#This Row],[Units]]="","",tblFleet[[#This Row],[Calendar_h]]-tblFleet[[#This Row],[Down_h]])</f>
        <v/>
      </c>
      <c r="I1210" s="60">
        <f>IF(AND(tblFleet[[#This Row],[Units]]&lt;&gt;"",tblFleet[[#This Row],[Calendar_h]]&gt;0),tblFleet[[#This Row],[Available_h]]/tblFleet[[#This Row],[Calendar_h]],"")</f>
        <v/>
      </c>
      <c r="J1210" s="60">
        <f>IF(AND(tblFleet[[#This Row],[Units]]&lt;&gt;"",tblFleet[[#This Row],[Available_h]]&gt;0),tblFleet[[#This Row],[Operating_h]]/tblFleet[[#This Row],[Available_h]],"")</f>
        <v/>
      </c>
    </row>
    <row r="1211">
      <c r="A1211" s="54" t="n"/>
      <c r="B1211" s="61" t="n"/>
      <c r="C1211" s="62" t="n"/>
      <c r="D1211" s="57" t="n"/>
      <c r="E1211" s="57" t="n"/>
      <c r="F1211" s="58" t="n"/>
      <c r="G1211" s="66">
        <f>IF(tblFleet[[#This Row],[Units]]="","",tblFleet[[#This Row],[Units]]*24)</f>
        <v/>
      </c>
      <c r="H1211" s="66">
        <f>IF(tblFleet[[#This Row],[Units]]="","",tblFleet[[#This Row],[Calendar_h]]-tblFleet[[#This Row],[Down_h]])</f>
        <v/>
      </c>
      <c r="I1211" s="60">
        <f>IF(AND(tblFleet[[#This Row],[Units]]&lt;&gt;"",tblFleet[[#This Row],[Calendar_h]]&gt;0),tblFleet[[#This Row],[Available_h]]/tblFleet[[#This Row],[Calendar_h]],"")</f>
        <v/>
      </c>
      <c r="J1211" s="60">
        <f>IF(AND(tblFleet[[#This Row],[Units]]&lt;&gt;"",tblFleet[[#This Row],[Available_h]]&gt;0),tblFleet[[#This Row],[Operating_h]]/tblFleet[[#This Row],[Available_h]],"")</f>
        <v/>
      </c>
    </row>
    <row r="1212">
      <c r="A1212" s="54" t="n"/>
      <c r="B1212" s="61" t="n"/>
      <c r="C1212" s="62" t="n"/>
      <c r="D1212" s="57" t="n"/>
      <c r="E1212" s="57" t="n"/>
      <c r="F1212" s="58" t="n"/>
      <c r="G1212" s="66">
        <f>IF(tblFleet[[#This Row],[Units]]="","",tblFleet[[#This Row],[Units]]*24)</f>
        <v/>
      </c>
      <c r="H1212" s="66">
        <f>IF(tblFleet[[#This Row],[Units]]="","",tblFleet[[#This Row],[Calendar_h]]-tblFleet[[#This Row],[Down_h]])</f>
        <v/>
      </c>
      <c r="I1212" s="60">
        <f>IF(AND(tblFleet[[#This Row],[Units]]&lt;&gt;"",tblFleet[[#This Row],[Calendar_h]]&gt;0),tblFleet[[#This Row],[Available_h]]/tblFleet[[#This Row],[Calendar_h]],"")</f>
        <v/>
      </c>
      <c r="J1212" s="60">
        <f>IF(AND(tblFleet[[#This Row],[Units]]&lt;&gt;"",tblFleet[[#This Row],[Available_h]]&gt;0),tblFleet[[#This Row],[Operating_h]]/tblFleet[[#This Row],[Available_h]],"")</f>
        <v/>
      </c>
    </row>
    <row r="1213">
      <c r="A1213" s="54" t="n"/>
      <c r="B1213" s="61" t="n"/>
      <c r="C1213" s="62" t="n"/>
      <c r="D1213" s="57" t="n"/>
      <c r="E1213" s="57" t="n"/>
      <c r="F1213" s="58" t="n"/>
      <c r="G1213" s="66">
        <f>IF(tblFleet[[#This Row],[Units]]="","",tblFleet[[#This Row],[Units]]*24)</f>
        <v/>
      </c>
      <c r="H1213" s="66">
        <f>IF(tblFleet[[#This Row],[Units]]="","",tblFleet[[#This Row],[Calendar_h]]-tblFleet[[#This Row],[Down_h]])</f>
        <v/>
      </c>
      <c r="I1213" s="60">
        <f>IF(AND(tblFleet[[#This Row],[Units]]&lt;&gt;"",tblFleet[[#This Row],[Calendar_h]]&gt;0),tblFleet[[#This Row],[Available_h]]/tblFleet[[#This Row],[Calendar_h]],"")</f>
        <v/>
      </c>
      <c r="J1213" s="60">
        <f>IF(AND(tblFleet[[#This Row],[Units]]&lt;&gt;"",tblFleet[[#This Row],[Available_h]]&gt;0),tblFleet[[#This Row],[Operating_h]]/tblFleet[[#This Row],[Available_h]],"")</f>
        <v/>
      </c>
    </row>
    <row r="1214">
      <c r="A1214" s="54" t="n"/>
      <c r="B1214" s="61" t="n"/>
      <c r="C1214" s="62" t="n"/>
      <c r="D1214" s="57" t="n"/>
      <c r="E1214" s="57" t="n"/>
      <c r="F1214" s="58" t="n"/>
      <c r="G1214" s="66">
        <f>IF(tblFleet[[#This Row],[Units]]="","",tblFleet[[#This Row],[Units]]*24)</f>
        <v/>
      </c>
      <c r="H1214" s="66">
        <f>IF(tblFleet[[#This Row],[Units]]="","",tblFleet[[#This Row],[Calendar_h]]-tblFleet[[#This Row],[Down_h]])</f>
        <v/>
      </c>
      <c r="I1214" s="60">
        <f>IF(AND(tblFleet[[#This Row],[Units]]&lt;&gt;"",tblFleet[[#This Row],[Calendar_h]]&gt;0),tblFleet[[#This Row],[Available_h]]/tblFleet[[#This Row],[Calendar_h]],"")</f>
        <v/>
      </c>
      <c r="J1214" s="60">
        <f>IF(AND(tblFleet[[#This Row],[Units]]&lt;&gt;"",tblFleet[[#This Row],[Available_h]]&gt;0),tblFleet[[#This Row],[Operating_h]]/tblFleet[[#This Row],[Available_h]],"")</f>
        <v/>
      </c>
    </row>
    <row r="1215">
      <c r="A1215" s="54" t="n"/>
      <c r="B1215" s="61" t="n"/>
      <c r="C1215" s="62" t="n"/>
      <c r="D1215" s="57" t="n"/>
      <c r="E1215" s="57" t="n"/>
      <c r="F1215" s="58" t="n"/>
      <c r="G1215" s="66">
        <f>IF(tblFleet[[#This Row],[Units]]="","",tblFleet[[#This Row],[Units]]*24)</f>
        <v/>
      </c>
      <c r="H1215" s="66">
        <f>IF(tblFleet[[#This Row],[Units]]="","",tblFleet[[#This Row],[Calendar_h]]-tblFleet[[#This Row],[Down_h]])</f>
        <v/>
      </c>
      <c r="I1215" s="60">
        <f>IF(AND(tblFleet[[#This Row],[Units]]&lt;&gt;"",tblFleet[[#This Row],[Calendar_h]]&gt;0),tblFleet[[#This Row],[Available_h]]/tblFleet[[#This Row],[Calendar_h]],"")</f>
        <v/>
      </c>
      <c r="J1215" s="60">
        <f>IF(AND(tblFleet[[#This Row],[Units]]&lt;&gt;"",tblFleet[[#This Row],[Available_h]]&gt;0),tblFleet[[#This Row],[Operating_h]]/tblFleet[[#This Row],[Available_h]],"")</f>
        <v/>
      </c>
    </row>
    <row r="1216">
      <c r="A1216" s="54" t="n"/>
      <c r="B1216" s="61" t="n"/>
      <c r="C1216" s="62" t="n"/>
      <c r="D1216" s="57" t="n"/>
      <c r="E1216" s="57" t="n"/>
      <c r="F1216" s="58" t="n"/>
      <c r="G1216" s="66">
        <f>IF(tblFleet[[#This Row],[Units]]="","",tblFleet[[#This Row],[Units]]*24)</f>
        <v/>
      </c>
      <c r="H1216" s="66">
        <f>IF(tblFleet[[#This Row],[Units]]="","",tblFleet[[#This Row],[Calendar_h]]-tblFleet[[#This Row],[Down_h]])</f>
        <v/>
      </c>
      <c r="I1216" s="60">
        <f>IF(AND(tblFleet[[#This Row],[Units]]&lt;&gt;"",tblFleet[[#This Row],[Calendar_h]]&gt;0),tblFleet[[#This Row],[Available_h]]/tblFleet[[#This Row],[Calendar_h]],"")</f>
        <v/>
      </c>
      <c r="J1216" s="60">
        <f>IF(AND(tblFleet[[#This Row],[Units]]&lt;&gt;"",tblFleet[[#This Row],[Available_h]]&gt;0),tblFleet[[#This Row],[Operating_h]]/tblFleet[[#This Row],[Available_h]],"")</f>
        <v/>
      </c>
    </row>
    <row r="1217">
      <c r="A1217" s="54" t="n"/>
      <c r="B1217" s="61" t="n"/>
      <c r="C1217" s="62" t="n"/>
      <c r="D1217" s="57" t="n"/>
      <c r="E1217" s="57" t="n"/>
      <c r="F1217" s="58" t="n"/>
      <c r="G1217" s="66">
        <f>IF(tblFleet[[#This Row],[Units]]="","",tblFleet[[#This Row],[Units]]*24)</f>
        <v/>
      </c>
      <c r="H1217" s="66">
        <f>IF(tblFleet[[#This Row],[Units]]="","",tblFleet[[#This Row],[Calendar_h]]-tblFleet[[#This Row],[Down_h]])</f>
        <v/>
      </c>
      <c r="I1217" s="60">
        <f>IF(AND(tblFleet[[#This Row],[Units]]&lt;&gt;"",tblFleet[[#This Row],[Calendar_h]]&gt;0),tblFleet[[#This Row],[Available_h]]/tblFleet[[#This Row],[Calendar_h]],"")</f>
        <v/>
      </c>
      <c r="J1217" s="60">
        <f>IF(AND(tblFleet[[#This Row],[Units]]&lt;&gt;"",tblFleet[[#This Row],[Available_h]]&gt;0),tblFleet[[#This Row],[Operating_h]]/tblFleet[[#This Row],[Available_h]],"")</f>
        <v/>
      </c>
    </row>
    <row r="1218">
      <c r="A1218" s="54" t="n"/>
      <c r="B1218" s="61" t="n"/>
      <c r="C1218" s="62" t="n"/>
      <c r="D1218" s="57" t="n"/>
      <c r="E1218" s="57" t="n"/>
      <c r="F1218" s="58" t="n"/>
      <c r="G1218" s="66">
        <f>IF(tblFleet[[#This Row],[Units]]="","",tblFleet[[#This Row],[Units]]*24)</f>
        <v/>
      </c>
      <c r="H1218" s="66">
        <f>IF(tblFleet[[#This Row],[Units]]="","",tblFleet[[#This Row],[Calendar_h]]-tblFleet[[#This Row],[Down_h]])</f>
        <v/>
      </c>
      <c r="I1218" s="60">
        <f>IF(AND(tblFleet[[#This Row],[Units]]&lt;&gt;"",tblFleet[[#This Row],[Calendar_h]]&gt;0),tblFleet[[#This Row],[Available_h]]/tblFleet[[#This Row],[Calendar_h]],"")</f>
        <v/>
      </c>
      <c r="J1218" s="60">
        <f>IF(AND(tblFleet[[#This Row],[Units]]&lt;&gt;"",tblFleet[[#This Row],[Available_h]]&gt;0),tblFleet[[#This Row],[Operating_h]]/tblFleet[[#This Row],[Available_h]],"")</f>
        <v/>
      </c>
    </row>
    <row r="1219">
      <c r="A1219" s="54" t="n"/>
      <c r="B1219" s="61" t="n"/>
      <c r="C1219" s="62" t="n"/>
      <c r="D1219" s="57" t="n"/>
      <c r="E1219" s="57" t="n"/>
      <c r="F1219" s="58" t="n"/>
      <c r="G1219" s="66">
        <f>IF(tblFleet[[#This Row],[Units]]="","",tblFleet[[#This Row],[Units]]*24)</f>
        <v/>
      </c>
      <c r="H1219" s="66">
        <f>IF(tblFleet[[#This Row],[Units]]="","",tblFleet[[#This Row],[Calendar_h]]-tblFleet[[#This Row],[Down_h]])</f>
        <v/>
      </c>
      <c r="I1219" s="60">
        <f>IF(AND(tblFleet[[#This Row],[Units]]&lt;&gt;"",tblFleet[[#This Row],[Calendar_h]]&gt;0),tblFleet[[#This Row],[Available_h]]/tblFleet[[#This Row],[Calendar_h]],"")</f>
        <v/>
      </c>
      <c r="J1219" s="60">
        <f>IF(AND(tblFleet[[#This Row],[Units]]&lt;&gt;"",tblFleet[[#This Row],[Available_h]]&gt;0),tblFleet[[#This Row],[Operating_h]]/tblFleet[[#This Row],[Available_h]],"")</f>
        <v/>
      </c>
    </row>
    <row r="1220">
      <c r="A1220" s="54" t="n"/>
      <c r="B1220" s="61" t="n"/>
      <c r="C1220" s="62" t="n"/>
      <c r="D1220" s="57" t="n"/>
      <c r="E1220" s="57" t="n"/>
      <c r="F1220" s="58" t="n"/>
      <c r="G1220" s="66">
        <f>IF(tblFleet[[#This Row],[Units]]="","",tblFleet[[#This Row],[Units]]*24)</f>
        <v/>
      </c>
      <c r="H1220" s="66">
        <f>IF(tblFleet[[#This Row],[Units]]="","",tblFleet[[#This Row],[Calendar_h]]-tblFleet[[#This Row],[Down_h]])</f>
        <v/>
      </c>
      <c r="I1220" s="60">
        <f>IF(AND(tblFleet[[#This Row],[Units]]&lt;&gt;"",tblFleet[[#This Row],[Calendar_h]]&gt;0),tblFleet[[#This Row],[Available_h]]/tblFleet[[#This Row],[Calendar_h]],"")</f>
        <v/>
      </c>
      <c r="J1220" s="60">
        <f>IF(AND(tblFleet[[#This Row],[Units]]&lt;&gt;"",tblFleet[[#This Row],[Available_h]]&gt;0),tblFleet[[#This Row],[Operating_h]]/tblFleet[[#This Row],[Available_h]],"")</f>
        <v/>
      </c>
    </row>
    <row r="1221">
      <c r="A1221" s="54" t="n"/>
      <c r="B1221" s="61" t="n"/>
      <c r="C1221" s="62" t="n"/>
      <c r="D1221" s="57" t="n"/>
      <c r="E1221" s="57" t="n"/>
      <c r="F1221" s="58" t="n"/>
      <c r="G1221" s="66">
        <f>IF(tblFleet[[#This Row],[Units]]="","",tblFleet[[#This Row],[Units]]*24)</f>
        <v/>
      </c>
      <c r="H1221" s="66">
        <f>IF(tblFleet[[#This Row],[Units]]="","",tblFleet[[#This Row],[Calendar_h]]-tblFleet[[#This Row],[Down_h]])</f>
        <v/>
      </c>
      <c r="I1221" s="60">
        <f>IF(AND(tblFleet[[#This Row],[Units]]&lt;&gt;"",tblFleet[[#This Row],[Calendar_h]]&gt;0),tblFleet[[#This Row],[Available_h]]/tblFleet[[#This Row],[Calendar_h]],"")</f>
        <v/>
      </c>
      <c r="J1221" s="60">
        <f>IF(AND(tblFleet[[#This Row],[Units]]&lt;&gt;"",tblFleet[[#This Row],[Available_h]]&gt;0),tblFleet[[#This Row],[Operating_h]]/tblFleet[[#This Row],[Available_h]],"")</f>
        <v/>
      </c>
    </row>
    <row r="1222">
      <c r="A1222" s="54" t="n"/>
      <c r="B1222" s="61" t="n"/>
      <c r="C1222" s="62" t="n"/>
      <c r="D1222" s="57" t="n"/>
      <c r="E1222" s="57" t="n"/>
      <c r="F1222" s="58" t="n"/>
      <c r="G1222" s="66">
        <f>IF(tblFleet[[#This Row],[Units]]="","",tblFleet[[#This Row],[Units]]*24)</f>
        <v/>
      </c>
      <c r="H1222" s="66">
        <f>IF(tblFleet[[#This Row],[Units]]="","",tblFleet[[#This Row],[Calendar_h]]-tblFleet[[#This Row],[Down_h]])</f>
        <v/>
      </c>
      <c r="I1222" s="60">
        <f>IF(AND(tblFleet[[#This Row],[Units]]&lt;&gt;"",tblFleet[[#This Row],[Calendar_h]]&gt;0),tblFleet[[#This Row],[Available_h]]/tblFleet[[#This Row],[Calendar_h]],"")</f>
        <v/>
      </c>
      <c r="J1222" s="60">
        <f>IF(AND(tblFleet[[#This Row],[Units]]&lt;&gt;"",tblFleet[[#This Row],[Available_h]]&gt;0),tblFleet[[#This Row],[Operating_h]]/tblFleet[[#This Row],[Available_h]],"")</f>
        <v/>
      </c>
    </row>
    <row r="1223">
      <c r="A1223" s="54" t="n"/>
      <c r="B1223" s="61" t="n"/>
      <c r="C1223" s="62" t="n"/>
      <c r="D1223" s="57" t="n"/>
      <c r="E1223" s="57" t="n"/>
      <c r="F1223" s="58" t="n"/>
      <c r="G1223" s="66">
        <f>IF(tblFleet[[#This Row],[Units]]="","",tblFleet[[#This Row],[Units]]*24)</f>
        <v/>
      </c>
      <c r="H1223" s="66">
        <f>IF(tblFleet[[#This Row],[Units]]="","",tblFleet[[#This Row],[Calendar_h]]-tblFleet[[#This Row],[Down_h]])</f>
        <v/>
      </c>
      <c r="I1223" s="60">
        <f>IF(AND(tblFleet[[#This Row],[Units]]&lt;&gt;"",tblFleet[[#This Row],[Calendar_h]]&gt;0),tblFleet[[#This Row],[Available_h]]/tblFleet[[#This Row],[Calendar_h]],"")</f>
        <v/>
      </c>
      <c r="J1223" s="60">
        <f>IF(AND(tblFleet[[#This Row],[Units]]&lt;&gt;"",tblFleet[[#This Row],[Available_h]]&gt;0),tblFleet[[#This Row],[Operating_h]]/tblFleet[[#This Row],[Available_h]],"")</f>
        <v/>
      </c>
    </row>
    <row r="1224">
      <c r="A1224" s="54" t="n"/>
      <c r="B1224" s="61" t="n"/>
      <c r="C1224" s="62" t="n"/>
      <c r="D1224" s="57" t="n"/>
      <c r="E1224" s="57" t="n"/>
      <c r="F1224" s="58" t="n"/>
      <c r="G1224" s="66">
        <f>IF(tblFleet[[#This Row],[Units]]="","",tblFleet[[#This Row],[Units]]*24)</f>
        <v/>
      </c>
      <c r="H1224" s="66">
        <f>IF(tblFleet[[#This Row],[Units]]="","",tblFleet[[#This Row],[Calendar_h]]-tblFleet[[#This Row],[Down_h]])</f>
        <v/>
      </c>
      <c r="I1224" s="60">
        <f>IF(AND(tblFleet[[#This Row],[Units]]&lt;&gt;"",tblFleet[[#This Row],[Calendar_h]]&gt;0),tblFleet[[#This Row],[Available_h]]/tblFleet[[#This Row],[Calendar_h]],"")</f>
        <v/>
      </c>
      <c r="J1224" s="60">
        <f>IF(AND(tblFleet[[#This Row],[Units]]&lt;&gt;"",tblFleet[[#This Row],[Available_h]]&gt;0),tblFleet[[#This Row],[Operating_h]]/tblFleet[[#This Row],[Available_h]],"")</f>
        <v/>
      </c>
    </row>
    <row r="1225">
      <c r="A1225" s="54" t="n"/>
      <c r="B1225" s="61" t="n"/>
      <c r="C1225" s="62" t="n"/>
      <c r="D1225" s="57" t="n"/>
      <c r="E1225" s="57" t="n"/>
      <c r="F1225" s="58" t="n"/>
      <c r="G1225" s="66">
        <f>IF(tblFleet[[#This Row],[Units]]="","",tblFleet[[#This Row],[Units]]*24)</f>
        <v/>
      </c>
      <c r="H1225" s="66">
        <f>IF(tblFleet[[#This Row],[Units]]="","",tblFleet[[#This Row],[Calendar_h]]-tblFleet[[#This Row],[Down_h]])</f>
        <v/>
      </c>
      <c r="I1225" s="60">
        <f>IF(AND(tblFleet[[#This Row],[Units]]&lt;&gt;"",tblFleet[[#This Row],[Calendar_h]]&gt;0),tblFleet[[#This Row],[Available_h]]/tblFleet[[#This Row],[Calendar_h]],"")</f>
        <v/>
      </c>
      <c r="J1225" s="60">
        <f>IF(AND(tblFleet[[#This Row],[Units]]&lt;&gt;"",tblFleet[[#This Row],[Available_h]]&gt;0),tblFleet[[#This Row],[Operating_h]]/tblFleet[[#This Row],[Available_h]],"")</f>
        <v/>
      </c>
    </row>
    <row r="1226">
      <c r="A1226" s="54" t="n"/>
      <c r="B1226" s="61" t="n"/>
      <c r="C1226" s="62" t="n"/>
      <c r="D1226" s="57" t="n"/>
      <c r="E1226" s="57" t="n"/>
      <c r="F1226" s="58" t="n"/>
      <c r="G1226" s="66">
        <f>IF(tblFleet[[#This Row],[Units]]="","",tblFleet[[#This Row],[Units]]*24)</f>
        <v/>
      </c>
      <c r="H1226" s="66">
        <f>IF(tblFleet[[#This Row],[Units]]="","",tblFleet[[#This Row],[Calendar_h]]-tblFleet[[#This Row],[Down_h]])</f>
        <v/>
      </c>
      <c r="I1226" s="60">
        <f>IF(AND(tblFleet[[#This Row],[Units]]&lt;&gt;"",tblFleet[[#This Row],[Calendar_h]]&gt;0),tblFleet[[#This Row],[Available_h]]/tblFleet[[#This Row],[Calendar_h]],"")</f>
        <v/>
      </c>
      <c r="J1226" s="60">
        <f>IF(AND(tblFleet[[#This Row],[Units]]&lt;&gt;"",tblFleet[[#This Row],[Available_h]]&gt;0),tblFleet[[#This Row],[Operating_h]]/tblFleet[[#This Row],[Available_h]],"")</f>
        <v/>
      </c>
    </row>
    <row r="1227">
      <c r="A1227" s="54" t="n"/>
      <c r="B1227" s="61" t="n"/>
      <c r="C1227" s="62" t="n"/>
      <c r="D1227" s="57" t="n"/>
      <c r="E1227" s="57" t="n"/>
      <c r="F1227" s="58" t="n"/>
      <c r="G1227" s="66">
        <f>IF(tblFleet[[#This Row],[Units]]="","",tblFleet[[#This Row],[Units]]*24)</f>
        <v/>
      </c>
      <c r="H1227" s="66">
        <f>IF(tblFleet[[#This Row],[Units]]="","",tblFleet[[#This Row],[Calendar_h]]-tblFleet[[#This Row],[Down_h]])</f>
        <v/>
      </c>
      <c r="I1227" s="60">
        <f>IF(AND(tblFleet[[#This Row],[Units]]&lt;&gt;"",tblFleet[[#This Row],[Calendar_h]]&gt;0),tblFleet[[#This Row],[Available_h]]/tblFleet[[#This Row],[Calendar_h]],"")</f>
        <v/>
      </c>
      <c r="J1227" s="60">
        <f>IF(AND(tblFleet[[#This Row],[Units]]&lt;&gt;"",tblFleet[[#This Row],[Available_h]]&gt;0),tblFleet[[#This Row],[Operating_h]]/tblFleet[[#This Row],[Available_h]],"")</f>
        <v/>
      </c>
    </row>
    <row r="1228">
      <c r="A1228" s="54" t="n"/>
      <c r="B1228" s="61" t="n"/>
      <c r="C1228" s="62" t="n"/>
      <c r="D1228" s="57" t="n"/>
      <c r="E1228" s="57" t="n"/>
      <c r="F1228" s="58" t="n"/>
      <c r="G1228" s="66">
        <f>IF(tblFleet[[#This Row],[Units]]="","",tblFleet[[#This Row],[Units]]*24)</f>
        <v/>
      </c>
      <c r="H1228" s="66">
        <f>IF(tblFleet[[#This Row],[Units]]="","",tblFleet[[#This Row],[Calendar_h]]-tblFleet[[#This Row],[Down_h]])</f>
        <v/>
      </c>
      <c r="I1228" s="60">
        <f>IF(AND(tblFleet[[#This Row],[Units]]&lt;&gt;"",tblFleet[[#This Row],[Calendar_h]]&gt;0),tblFleet[[#This Row],[Available_h]]/tblFleet[[#This Row],[Calendar_h]],"")</f>
        <v/>
      </c>
      <c r="J1228" s="60">
        <f>IF(AND(tblFleet[[#This Row],[Units]]&lt;&gt;"",tblFleet[[#This Row],[Available_h]]&gt;0),tblFleet[[#This Row],[Operating_h]]/tblFleet[[#This Row],[Available_h]],"")</f>
        <v/>
      </c>
    </row>
    <row r="1229">
      <c r="A1229" s="54" t="n"/>
      <c r="B1229" s="61" t="n"/>
      <c r="C1229" s="62" t="n"/>
      <c r="D1229" s="57" t="n"/>
      <c r="E1229" s="57" t="n"/>
      <c r="F1229" s="58" t="n"/>
      <c r="G1229" s="66">
        <f>IF(tblFleet[[#This Row],[Units]]="","",tblFleet[[#This Row],[Units]]*24)</f>
        <v/>
      </c>
      <c r="H1229" s="66">
        <f>IF(tblFleet[[#This Row],[Units]]="","",tblFleet[[#This Row],[Calendar_h]]-tblFleet[[#This Row],[Down_h]])</f>
        <v/>
      </c>
      <c r="I1229" s="60">
        <f>IF(AND(tblFleet[[#This Row],[Units]]&lt;&gt;"",tblFleet[[#This Row],[Calendar_h]]&gt;0),tblFleet[[#This Row],[Available_h]]/tblFleet[[#This Row],[Calendar_h]],"")</f>
        <v/>
      </c>
      <c r="J1229" s="60">
        <f>IF(AND(tblFleet[[#This Row],[Units]]&lt;&gt;"",tblFleet[[#This Row],[Available_h]]&gt;0),tblFleet[[#This Row],[Operating_h]]/tblFleet[[#This Row],[Available_h]],"")</f>
        <v/>
      </c>
    </row>
    <row r="1230">
      <c r="A1230" s="54" t="n"/>
      <c r="B1230" s="61" t="n"/>
      <c r="C1230" s="62" t="n"/>
      <c r="D1230" s="57" t="n"/>
      <c r="E1230" s="57" t="n"/>
      <c r="F1230" s="58" t="n"/>
      <c r="G1230" s="66">
        <f>IF(tblFleet[[#This Row],[Units]]="","",tblFleet[[#This Row],[Units]]*24)</f>
        <v/>
      </c>
      <c r="H1230" s="66">
        <f>IF(tblFleet[[#This Row],[Units]]="","",tblFleet[[#This Row],[Calendar_h]]-tblFleet[[#This Row],[Down_h]])</f>
        <v/>
      </c>
      <c r="I1230" s="60">
        <f>IF(AND(tblFleet[[#This Row],[Units]]&lt;&gt;"",tblFleet[[#This Row],[Calendar_h]]&gt;0),tblFleet[[#This Row],[Available_h]]/tblFleet[[#This Row],[Calendar_h]],"")</f>
        <v/>
      </c>
      <c r="J1230" s="60">
        <f>IF(AND(tblFleet[[#This Row],[Units]]&lt;&gt;"",tblFleet[[#This Row],[Available_h]]&gt;0),tblFleet[[#This Row],[Operating_h]]/tblFleet[[#This Row],[Available_h]],"")</f>
        <v/>
      </c>
    </row>
    <row r="1231">
      <c r="A1231" s="54" t="n"/>
      <c r="B1231" s="61" t="n"/>
      <c r="C1231" s="62" t="n"/>
      <c r="D1231" s="57" t="n"/>
      <c r="E1231" s="57" t="n"/>
      <c r="F1231" s="58" t="n"/>
      <c r="G1231" s="66">
        <f>IF(tblFleet[[#This Row],[Units]]="","",tblFleet[[#This Row],[Units]]*24)</f>
        <v/>
      </c>
      <c r="H1231" s="66">
        <f>IF(tblFleet[[#This Row],[Units]]="","",tblFleet[[#This Row],[Calendar_h]]-tblFleet[[#This Row],[Down_h]])</f>
        <v/>
      </c>
      <c r="I1231" s="60">
        <f>IF(AND(tblFleet[[#This Row],[Units]]&lt;&gt;"",tblFleet[[#This Row],[Calendar_h]]&gt;0),tblFleet[[#This Row],[Available_h]]/tblFleet[[#This Row],[Calendar_h]],"")</f>
        <v/>
      </c>
      <c r="J1231" s="60">
        <f>IF(AND(tblFleet[[#This Row],[Units]]&lt;&gt;"",tblFleet[[#This Row],[Available_h]]&gt;0),tblFleet[[#This Row],[Operating_h]]/tblFleet[[#This Row],[Available_h]],"")</f>
        <v/>
      </c>
    </row>
    <row r="1232">
      <c r="A1232" s="54" t="n"/>
      <c r="B1232" s="61" t="n"/>
      <c r="C1232" s="62" t="n"/>
      <c r="D1232" s="57" t="n"/>
      <c r="E1232" s="57" t="n"/>
      <c r="F1232" s="58" t="n"/>
      <c r="G1232" s="66">
        <f>IF(tblFleet[[#This Row],[Units]]="","",tblFleet[[#This Row],[Units]]*24)</f>
        <v/>
      </c>
      <c r="H1232" s="66">
        <f>IF(tblFleet[[#This Row],[Units]]="","",tblFleet[[#This Row],[Calendar_h]]-tblFleet[[#This Row],[Down_h]])</f>
        <v/>
      </c>
      <c r="I1232" s="60">
        <f>IF(AND(tblFleet[[#This Row],[Units]]&lt;&gt;"",tblFleet[[#This Row],[Calendar_h]]&gt;0),tblFleet[[#This Row],[Available_h]]/tblFleet[[#This Row],[Calendar_h]],"")</f>
        <v/>
      </c>
      <c r="J1232" s="60">
        <f>IF(AND(tblFleet[[#This Row],[Units]]&lt;&gt;"",tblFleet[[#This Row],[Available_h]]&gt;0),tblFleet[[#This Row],[Operating_h]]/tblFleet[[#This Row],[Available_h]],"")</f>
        <v/>
      </c>
    </row>
    <row r="1233">
      <c r="A1233" s="54" t="n"/>
      <c r="B1233" s="61" t="n"/>
      <c r="C1233" s="62" t="n"/>
      <c r="D1233" s="57" t="n"/>
      <c r="E1233" s="57" t="n"/>
      <c r="F1233" s="58" t="n"/>
      <c r="G1233" s="66">
        <f>IF(tblFleet[[#This Row],[Units]]="","",tblFleet[[#This Row],[Units]]*24)</f>
        <v/>
      </c>
      <c r="H1233" s="66">
        <f>IF(tblFleet[[#This Row],[Units]]="","",tblFleet[[#This Row],[Calendar_h]]-tblFleet[[#This Row],[Down_h]])</f>
        <v/>
      </c>
      <c r="I1233" s="60">
        <f>IF(AND(tblFleet[[#This Row],[Units]]&lt;&gt;"",tblFleet[[#This Row],[Calendar_h]]&gt;0),tblFleet[[#This Row],[Available_h]]/tblFleet[[#This Row],[Calendar_h]],"")</f>
        <v/>
      </c>
      <c r="J1233" s="60">
        <f>IF(AND(tblFleet[[#This Row],[Units]]&lt;&gt;"",tblFleet[[#This Row],[Available_h]]&gt;0),tblFleet[[#This Row],[Operating_h]]/tblFleet[[#This Row],[Available_h]],"")</f>
        <v/>
      </c>
    </row>
    <row r="1234">
      <c r="A1234" s="54" t="n"/>
      <c r="B1234" s="61" t="n"/>
      <c r="C1234" s="62" t="n"/>
      <c r="D1234" s="57" t="n"/>
      <c r="E1234" s="57" t="n"/>
      <c r="F1234" s="58" t="n"/>
      <c r="G1234" s="66">
        <f>IF(tblFleet[[#This Row],[Units]]="","",tblFleet[[#This Row],[Units]]*24)</f>
        <v/>
      </c>
      <c r="H1234" s="66">
        <f>IF(tblFleet[[#This Row],[Units]]="","",tblFleet[[#This Row],[Calendar_h]]-tblFleet[[#This Row],[Down_h]])</f>
        <v/>
      </c>
      <c r="I1234" s="60">
        <f>IF(AND(tblFleet[[#This Row],[Units]]&lt;&gt;"",tblFleet[[#This Row],[Calendar_h]]&gt;0),tblFleet[[#This Row],[Available_h]]/tblFleet[[#This Row],[Calendar_h]],"")</f>
        <v/>
      </c>
      <c r="J1234" s="60">
        <f>IF(AND(tblFleet[[#This Row],[Units]]&lt;&gt;"",tblFleet[[#This Row],[Available_h]]&gt;0),tblFleet[[#This Row],[Operating_h]]/tblFleet[[#This Row],[Available_h]],"")</f>
        <v/>
      </c>
    </row>
    <row r="1235">
      <c r="A1235" s="54" t="n"/>
      <c r="B1235" s="61" t="n"/>
      <c r="C1235" s="62" t="n"/>
      <c r="D1235" s="57" t="n"/>
      <c r="E1235" s="57" t="n"/>
      <c r="F1235" s="58" t="n"/>
      <c r="G1235" s="66">
        <f>IF(tblFleet[[#This Row],[Units]]="","",tblFleet[[#This Row],[Units]]*24)</f>
        <v/>
      </c>
      <c r="H1235" s="66">
        <f>IF(tblFleet[[#This Row],[Units]]="","",tblFleet[[#This Row],[Calendar_h]]-tblFleet[[#This Row],[Down_h]])</f>
        <v/>
      </c>
      <c r="I1235" s="60">
        <f>IF(AND(tblFleet[[#This Row],[Units]]&lt;&gt;"",tblFleet[[#This Row],[Calendar_h]]&gt;0),tblFleet[[#This Row],[Available_h]]/tblFleet[[#This Row],[Calendar_h]],"")</f>
        <v/>
      </c>
      <c r="J1235" s="60">
        <f>IF(AND(tblFleet[[#This Row],[Units]]&lt;&gt;"",tblFleet[[#This Row],[Available_h]]&gt;0),tblFleet[[#This Row],[Operating_h]]/tblFleet[[#This Row],[Available_h]],"")</f>
        <v/>
      </c>
    </row>
    <row r="1236">
      <c r="A1236" s="54" t="n"/>
      <c r="B1236" s="61" t="n"/>
      <c r="C1236" s="62" t="n"/>
      <c r="D1236" s="57" t="n"/>
      <c r="E1236" s="57" t="n"/>
      <c r="F1236" s="58" t="n"/>
      <c r="G1236" s="66">
        <f>IF(tblFleet[[#This Row],[Units]]="","",tblFleet[[#This Row],[Units]]*24)</f>
        <v/>
      </c>
      <c r="H1236" s="66">
        <f>IF(tblFleet[[#This Row],[Units]]="","",tblFleet[[#This Row],[Calendar_h]]-tblFleet[[#This Row],[Down_h]])</f>
        <v/>
      </c>
      <c r="I1236" s="60">
        <f>IF(AND(tblFleet[[#This Row],[Units]]&lt;&gt;"",tblFleet[[#This Row],[Calendar_h]]&gt;0),tblFleet[[#This Row],[Available_h]]/tblFleet[[#This Row],[Calendar_h]],"")</f>
        <v/>
      </c>
      <c r="J1236" s="60">
        <f>IF(AND(tblFleet[[#This Row],[Units]]&lt;&gt;"",tblFleet[[#This Row],[Available_h]]&gt;0),tblFleet[[#This Row],[Operating_h]]/tblFleet[[#This Row],[Available_h]],"")</f>
        <v/>
      </c>
    </row>
    <row r="1237">
      <c r="A1237" s="54" t="n"/>
      <c r="B1237" s="61" t="n"/>
      <c r="C1237" s="62" t="n"/>
      <c r="D1237" s="57" t="n"/>
      <c r="E1237" s="57" t="n"/>
      <c r="F1237" s="58" t="n"/>
      <c r="G1237" s="66">
        <f>IF(tblFleet[[#This Row],[Units]]="","",tblFleet[[#This Row],[Units]]*24)</f>
        <v/>
      </c>
      <c r="H1237" s="66">
        <f>IF(tblFleet[[#This Row],[Units]]="","",tblFleet[[#This Row],[Calendar_h]]-tblFleet[[#This Row],[Down_h]])</f>
        <v/>
      </c>
      <c r="I1237" s="60">
        <f>IF(AND(tblFleet[[#This Row],[Units]]&lt;&gt;"",tblFleet[[#This Row],[Calendar_h]]&gt;0),tblFleet[[#This Row],[Available_h]]/tblFleet[[#This Row],[Calendar_h]],"")</f>
        <v/>
      </c>
      <c r="J1237" s="60">
        <f>IF(AND(tblFleet[[#This Row],[Units]]&lt;&gt;"",tblFleet[[#This Row],[Available_h]]&gt;0),tblFleet[[#This Row],[Operating_h]]/tblFleet[[#This Row],[Available_h]],"")</f>
        <v/>
      </c>
    </row>
    <row r="1238">
      <c r="A1238" s="54" t="n"/>
      <c r="B1238" s="61" t="n"/>
      <c r="C1238" s="62" t="n"/>
      <c r="D1238" s="57" t="n"/>
      <c r="E1238" s="57" t="n"/>
      <c r="F1238" s="58" t="n"/>
      <c r="G1238" s="66">
        <f>IF(tblFleet[[#This Row],[Units]]="","",tblFleet[[#This Row],[Units]]*24)</f>
        <v/>
      </c>
      <c r="H1238" s="66">
        <f>IF(tblFleet[[#This Row],[Units]]="","",tblFleet[[#This Row],[Calendar_h]]-tblFleet[[#This Row],[Down_h]])</f>
        <v/>
      </c>
      <c r="I1238" s="60">
        <f>IF(AND(tblFleet[[#This Row],[Units]]&lt;&gt;"",tblFleet[[#This Row],[Calendar_h]]&gt;0),tblFleet[[#This Row],[Available_h]]/tblFleet[[#This Row],[Calendar_h]],"")</f>
        <v/>
      </c>
      <c r="J1238" s="60">
        <f>IF(AND(tblFleet[[#This Row],[Units]]&lt;&gt;"",tblFleet[[#This Row],[Available_h]]&gt;0),tblFleet[[#This Row],[Operating_h]]/tblFleet[[#This Row],[Available_h]],"")</f>
        <v/>
      </c>
    </row>
    <row r="1239">
      <c r="A1239" s="54" t="n"/>
      <c r="B1239" s="61" t="n"/>
      <c r="C1239" s="62" t="n"/>
      <c r="D1239" s="57" t="n"/>
      <c r="E1239" s="57" t="n"/>
      <c r="F1239" s="58" t="n"/>
      <c r="G1239" s="66">
        <f>IF(tblFleet[[#This Row],[Units]]="","",tblFleet[[#This Row],[Units]]*24)</f>
        <v/>
      </c>
      <c r="H1239" s="66">
        <f>IF(tblFleet[[#This Row],[Units]]="","",tblFleet[[#This Row],[Calendar_h]]-tblFleet[[#This Row],[Down_h]])</f>
        <v/>
      </c>
      <c r="I1239" s="60">
        <f>IF(AND(tblFleet[[#This Row],[Units]]&lt;&gt;"",tblFleet[[#This Row],[Calendar_h]]&gt;0),tblFleet[[#This Row],[Available_h]]/tblFleet[[#This Row],[Calendar_h]],"")</f>
        <v/>
      </c>
      <c r="J1239" s="60">
        <f>IF(AND(tblFleet[[#This Row],[Units]]&lt;&gt;"",tblFleet[[#This Row],[Available_h]]&gt;0),tblFleet[[#This Row],[Operating_h]]/tblFleet[[#This Row],[Available_h]],"")</f>
        <v/>
      </c>
    </row>
    <row r="1240">
      <c r="A1240" s="54" t="n"/>
      <c r="B1240" s="61" t="n"/>
      <c r="C1240" s="62" t="n"/>
      <c r="D1240" s="57" t="n"/>
      <c r="E1240" s="57" t="n"/>
      <c r="F1240" s="58" t="n"/>
      <c r="G1240" s="66">
        <f>IF(tblFleet[[#This Row],[Units]]="","",tblFleet[[#This Row],[Units]]*24)</f>
        <v/>
      </c>
      <c r="H1240" s="66">
        <f>IF(tblFleet[[#This Row],[Units]]="","",tblFleet[[#This Row],[Calendar_h]]-tblFleet[[#This Row],[Down_h]])</f>
        <v/>
      </c>
      <c r="I1240" s="60">
        <f>IF(AND(tblFleet[[#This Row],[Units]]&lt;&gt;"",tblFleet[[#This Row],[Calendar_h]]&gt;0),tblFleet[[#This Row],[Available_h]]/tblFleet[[#This Row],[Calendar_h]],"")</f>
        <v/>
      </c>
      <c r="J1240" s="60">
        <f>IF(AND(tblFleet[[#This Row],[Units]]&lt;&gt;"",tblFleet[[#This Row],[Available_h]]&gt;0),tblFleet[[#This Row],[Operating_h]]/tblFleet[[#This Row],[Available_h]],"")</f>
        <v/>
      </c>
    </row>
    <row r="1241">
      <c r="A1241" s="54" t="n"/>
      <c r="B1241" s="61" t="n"/>
      <c r="C1241" s="62" t="n"/>
      <c r="D1241" s="57" t="n"/>
      <c r="E1241" s="57" t="n"/>
      <c r="F1241" s="58" t="n"/>
      <c r="G1241" s="66">
        <f>IF(tblFleet[[#This Row],[Units]]="","",tblFleet[[#This Row],[Units]]*24)</f>
        <v/>
      </c>
      <c r="H1241" s="66">
        <f>IF(tblFleet[[#This Row],[Units]]="","",tblFleet[[#This Row],[Calendar_h]]-tblFleet[[#This Row],[Down_h]])</f>
        <v/>
      </c>
      <c r="I1241" s="60">
        <f>IF(AND(tblFleet[[#This Row],[Units]]&lt;&gt;"",tblFleet[[#This Row],[Calendar_h]]&gt;0),tblFleet[[#This Row],[Available_h]]/tblFleet[[#This Row],[Calendar_h]],"")</f>
        <v/>
      </c>
      <c r="J1241" s="60">
        <f>IF(AND(tblFleet[[#This Row],[Units]]&lt;&gt;"",tblFleet[[#This Row],[Available_h]]&gt;0),tblFleet[[#This Row],[Operating_h]]/tblFleet[[#This Row],[Available_h]],"")</f>
        <v/>
      </c>
    </row>
    <row r="1242">
      <c r="A1242" s="54" t="n"/>
      <c r="B1242" s="61" t="n"/>
      <c r="C1242" s="62" t="n"/>
      <c r="D1242" s="57" t="n"/>
      <c r="E1242" s="57" t="n"/>
      <c r="F1242" s="58" t="n"/>
      <c r="G1242" s="66">
        <f>IF(tblFleet[[#This Row],[Units]]="","",tblFleet[[#This Row],[Units]]*24)</f>
        <v/>
      </c>
      <c r="H1242" s="66">
        <f>IF(tblFleet[[#This Row],[Units]]="","",tblFleet[[#This Row],[Calendar_h]]-tblFleet[[#This Row],[Down_h]])</f>
        <v/>
      </c>
      <c r="I1242" s="60">
        <f>IF(AND(tblFleet[[#This Row],[Units]]&lt;&gt;"",tblFleet[[#This Row],[Calendar_h]]&gt;0),tblFleet[[#This Row],[Available_h]]/tblFleet[[#This Row],[Calendar_h]],"")</f>
        <v/>
      </c>
      <c r="J1242" s="60">
        <f>IF(AND(tblFleet[[#This Row],[Units]]&lt;&gt;"",tblFleet[[#This Row],[Available_h]]&gt;0),tblFleet[[#This Row],[Operating_h]]/tblFleet[[#This Row],[Available_h]],"")</f>
        <v/>
      </c>
    </row>
    <row r="1243">
      <c r="A1243" s="54" t="n"/>
      <c r="B1243" s="61" t="n"/>
      <c r="C1243" s="62" t="n"/>
      <c r="D1243" s="57" t="n"/>
      <c r="E1243" s="57" t="n"/>
      <c r="F1243" s="58" t="n"/>
      <c r="G1243" s="66">
        <f>IF(tblFleet[[#This Row],[Units]]="","",tblFleet[[#This Row],[Units]]*24)</f>
        <v/>
      </c>
      <c r="H1243" s="66">
        <f>IF(tblFleet[[#This Row],[Units]]="","",tblFleet[[#This Row],[Calendar_h]]-tblFleet[[#This Row],[Down_h]])</f>
        <v/>
      </c>
      <c r="I1243" s="60">
        <f>IF(AND(tblFleet[[#This Row],[Units]]&lt;&gt;"",tblFleet[[#This Row],[Calendar_h]]&gt;0),tblFleet[[#This Row],[Available_h]]/tblFleet[[#This Row],[Calendar_h]],"")</f>
        <v/>
      </c>
      <c r="J1243" s="60">
        <f>IF(AND(tblFleet[[#This Row],[Units]]&lt;&gt;"",tblFleet[[#This Row],[Available_h]]&gt;0),tblFleet[[#This Row],[Operating_h]]/tblFleet[[#This Row],[Available_h]],"")</f>
        <v/>
      </c>
    </row>
    <row r="1244">
      <c r="A1244" s="54" t="n"/>
      <c r="B1244" s="61" t="n"/>
      <c r="C1244" s="62" t="n"/>
      <c r="D1244" s="57" t="n"/>
      <c r="E1244" s="57" t="n"/>
      <c r="F1244" s="58" t="n"/>
      <c r="G1244" s="66">
        <f>IF(tblFleet[[#This Row],[Units]]="","",tblFleet[[#This Row],[Units]]*24)</f>
        <v/>
      </c>
      <c r="H1244" s="66">
        <f>IF(tblFleet[[#This Row],[Units]]="","",tblFleet[[#This Row],[Calendar_h]]-tblFleet[[#This Row],[Down_h]])</f>
        <v/>
      </c>
      <c r="I1244" s="60">
        <f>IF(AND(tblFleet[[#This Row],[Units]]&lt;&gt;"",tblFleet[[#This Row],[Calendar_h]]&gt;0),tblFleet[[#This Row],[Available_h]]/tblFleet[[#This Row],[Calendar_h]],"")</f>
        <v/>
      </c>
      <c r="J1244" s="60">
        <f>IF(AND(tblFleet[[#This Row],[Units]]&lt;&gt;"",tblFleet[[#This Row],[Available_h]]&gt;0),tblFleet[[#This Row],[Operating_h]]/tblFleet[[#This Row],[Available_h]],"")</f>
        <v/>
      </c>
    </row>
    <row r="1245">
      <c r="A1245" s="54" t="n"/>
      <c r="B1245" s="61" t="n"/>
      <c r="C1245" s="62" t="n"/>
      <c r="D1245" s="57" t="n"/>
      <c r="E1245" s="57" t="n"/>
      <c r="F1245" s="58" t="n"/>
      <c r="G1245" s="66">
        <f>IF(tblFleet[[#This Row],[Units]]="","",tblFleet[[#This Row],[Units]]*24)</f>
        <v/>
      </c>
      <c r="H1245" s="66">
        <f>IF(tblFleet[[#This Row],[Units]]="","",tblFleet[[#This Row],[Calendar_h]]-tblFleet[[#This Row],[Down_h]])</f>
        <v/>
      </c>
      <c r="I1245" s="60">
        <f>IF(AND(tblFleet[[#This Row],[Units]]&lt;&gt;"",tblFleet[[#This Row],[Calendar_h]]&gt;0),tblFleet[[#This Row],[Available_h]]/tblFleet[[#This Row],[Calendar_h]],"")</f>
        <v/>
      </c>
      <c r="J1245" s="60">
        <f>IF(AND(tblFleet[[#This Row],[Units]]&lt;&gt;"",tblFleet[[#This Row],[Available_h]]&gt;0),tblFleet[[#This Row],[Operating_h]]/tblFleet[[#This Row],[Available_h]],"")</f>
        <v/>
      </c>
    </row>
    <row r="1246">
      <c r="A1246" s="54" t="n"/>
      <c r="B1246" s="61" t="n"/>
      <c r="C1246" s="62" t="n"/>
      <c r="D1246" s="57" t="n"/>
      <c r="E1246" s="57" t="n"/>
      <c r="F1246" s="58" t="n"/>
      <c r="G1246" s="66">
        <f>IF(tblFleet[[#This Row],[Units]]="","",tblFleet[[#This Row],[Units]]*24)</f>
        <v/>
      </c>
      <c r="H1246" s="66">
        <f>IF(tblFleet[[#This Row],[Units]]="","",tblFleet[[#This Row],[Calendar_h]]-tblFleet[[#This Row],[Down_h]])</f>
        <v/>
      </c>
      <c r="I1246" s="60">
        <f>IF(AND(tblFleet[[#This Row],[Units]]&lt;&gt;"",tblFleet[[#This Row],[Calendar_h]]&gt;0),tblFleet[[#This Row],[Available_h]]/tblFleet[[#This Row],[Calendar_h]],"")</f>
        <v/>
      </c>
      <c r="J1246" s="60">
        <f>IF(AND(tblFleet[[#This Row],[Units]]&lt;&gt;"",tblFleet[[#This Row],[Available_h]]&gt;0),tblFleet[[#This Row],[Operating_h]]/tblFleet[[#This Row],[Available_h]],"")</f>
        <v/>
      </c>
    </row>
    <row r="1247">
      <c r="A1247" s="54" t="n"/>
      <c r="B1247" s="61" t="n"/>
      <c r="C1247" s="62" t="n"/>
      <c r="D1247" s="57" t="n"/>
      <c r="E1247" s="57" t="n"/>
      <c r="F1247" s="58" t="n"/>
      <c r="G1247" s="66">
        <f>IF(tblFleet[[#This Row],[Units]]="","",tblFleet[[#This Row],[Units]]*24)</f>
        <v/>
      </c>
      <c r="H1247" s="66">
        <f>IF(tblFleet[[#This Row],[Units]]="","",tblFleet[[#This Row],[Calendar_h]]-tblFleet[[#This Row],[Down_h]])</f>
        <v/>
      </c>
      <c r="I1247" s="60">
        <f>IF(AND(tblFleet[[#This Row],[Units]]&lt;&gt;"",tblFleet[[#This Row],[Calendar_h]]&gt;0),tblFleet[[#This Row],[Available_h]]/tblFleet[[#This Row],[Calendar_h]],"")</f>
        <v/>
      </c>
      <c r="J1247" s="60">
        <f>IF(AND(tblFleet[[#This Row],[Units]]&lt;&gt;"",tblFleet[[#This Row],[Available_h]]&gt;0),tblFleet[[#This Row],[Operating_h]]/tblFleet[[#This Row],[Available_h]],"")</f>
        <v/>
      </c>
    </row>
    <row r="1248">
      <c r="A1248" s="54" t="n"/>
      <c r="B1248" s="61" t="n"/>
      <c r="C1248" s="62" t="n"/>
      <c r="D1248" s="57" t="n"/>
      <c r="E1248" s="57" t="n"/>
      <c r="F1248" s="58" t="n"/>
      <c r="G1248" s="66">
        <f>IF(tblFleet[[#This Row],[Units]]="","",tblFleet[[#This Row],[Units]]*24)</f>
        <v/>
      </c>
      <c r="H1248" s="66">
        <f>IF(tblFleet[[#This Row],[Units]]="","",tblFleet[[#This Row],[Calendar_h]]-tblFleet[[#This Row],[Down_h]])</f>
        <v/>
      </c>
      <c r="I1248" s="60">
        <f>IF(AND(tblFleet[[#This Row],[Units]]&lt;&gt;"",tblFleet[[#This Row],[Calendar_h]]&gt;0),tblFleet[[#This Row],[Available_h]]/tblFleet[[#This Row],[Calendar_h]],"")</f>
        <v/>
      </c>
      <c r="J1248" s="60">
        <f>IF(AND(tblFleet[[#This Row],[Units]]&lt;&gt;"",tblFleet[[#This Row],[Available_h]]&gt;0),tblFleet[[#This Row],[Operating_h]]/tblFleet[[#This Row],[Available_h]],"")</f>
        <v/>
      </c>
    </row>
    <row r="1249">
      <c r="A1249" s="54" t="n"/>
      <c r="B1249" s="61" t="n"/>
      <c r="C1249" s="62" t="n"/>
      <c r="D1249" s="57" t="n"/>
      <c r="E1249" s="57" t="n"/>
      <c r="F1249" s="58" t="n"/>
      <c r="G1249" s="66">
        <f>IF(tblFleet[[#This Row],[Units]]="","",tblFleet[[#This Row],[Units]]*24)</f>
        <v/>
      </c>
      <c r="H1249" s="66">
        <f>IF(tblFleet[[#This Row],[Units]]="","",tblFleet[[#This Row],[Calendar_h]]-tblFleet[[#This Row],[Down_h]])</f>
        <v/>
      </c>
      <c r="I1249" s="60">
        <f>IF(AND(tblFleet[[#This Row],[Units]]&lt;&gt;"",tblFleet[[#This Row],[Calendar_h]]&gt;0),tblFleet[[#This Row],[Available_h]]/tblFleet[[#This Row],[Calendar_h]],"")</f>
        <v/>
      </c>
      <c r="J1249" s="60">
        <f>IF(AND(tblFleet[[#This Row],[Units]]&lt;&gt;"",tblFleet[[#This Row],[Available_h]]&gt;0),tblFleet[[#This Row],[Operating_h]]/tblFleet[[#This Row],[Available_h]],"")</f>
        <v/>
      </c>
    </row>
    <row r="1250">
      <c r="A1250" s="54" t="n"/>
      <c r="B1250" s="61" t="n"/>
      <c r="C1250" s="62" t="n"/>
      <c r="D1250" s="57" t="n"/>
      <c r="E1250" s="57" t="n"/>
      <c r="F1250" s="58" t="n"/>
      <c r="G1250" s="66">
        <f>IF(tblFleet[[#This Row],[Units]]="","",tblFleet[[#This Row],[Units]]*24)</f>
        <v/>
      </c>
      <c r="H1250" s="66">
        <f>IF(tblFleet[[#This Row],[Units]]="","",tblFleet[[#This Row],[Calendar_h]]-tblFleet[[#This Row],[Down_h]])</f>
        <v/>
      </c>
      <c r="I1250" s="60">
        <f>IF(AND(tblFleet[[#This Row],[Units]]&lt;&gt;"",tblFleet[[#This Row],[Calendar_h]]&gt;0),tblFleet[[#This Row],[Available_h]]/tblFleet[[#This Row],[Calendar_h]],"")</f>
        <v/>
      </c>
      <c r="J1250" s="60">
        <f>IF(AND(tblFleet[[#This Row],[Units]]&lt;&gt;"",tblFleet[[#This Row],[Available_h]]&gt;0),tblFleet[[#This Row],[Operating_h]]/tblFleet[[#This Row],[Available_h]],"")</f>
        <v/>
      </c>
    </row>
    <row r="1251">
      <c r="A1251" s="54" t="n"/>
      <c r="B1251" s="61" t="n"/>
      <c r="C1251" s="62" t="n"/>
      <c r="D1251" s="57" t="n"/>
      <c r="E1251" s="57" t="n"/>
      <c r="F1251" s="58" t="n"/>
      <c r="G1251" s="66">
        <f>IF(tblFleet[[#This Row],[Units]]="","",tblFleet[[#This Row],[Units]]*24)</f>
        <v/>
      </c>
      <c r="H1251" s="66">
        <f>IF(tblFleet[[#This Row],[Units]]="","",tblFleet[[#This Row],[Calendar_h]]-tblFleet[[#This Row],[Down_h]])</f>
        <v/>
      </c>
      <c r="I1251" s="60">
        <f>IF(AND(tblFleet[[#This Row],[Units]]&lt;&gt;"",tblFleet[[#This Row],[Calendar_h]]&gt;0),tblFleet[[#This Row],[Available_h]]/tblFleet[[#This Row],[Calendar_h]],"")</f>
        <v/>
      </c>
      <c r="J1251" s="60">
        <f>IF(AND(tblFleet[[#This Row],[Units]]&lt;&gt;"",tblFleet[[#This Row],[Available_h]]&gt;0),tblFleet[[#This Row],[Operating_h]]/tblFleet[[#This Row],[Available_h]],"")</f>
        <v/>
      </c>
    </row>
    <row r="1252">
      <c r="A1252" s="54" t="n"/>
      <c r="B1252" s="61" t="n"/>
      <c r="C1252" s="62" t="n"/>
      <c r="D1252" s="57" t="n"/>
      <c r="E1252" s="57" t="n"/>
      <c r="F1252" s="58" t="n"/>
      <c r="G1252" s="66">
        <f>IF(tblFleet[[#This Row],[Units]]="","",tblFleet[[#This Row],[Units]]*24)</f>
        <v/>
      </c>
      <c r="H1252" s="66">
        <f>IF(tblFleet[[#This Row],[Units]]="","",tblFleet[[#This Row],[Calendar_h]]-tblFleet[[#This Row],[Down_h]])</f>
        <v/>
      </c>
      <c r="I1252" s="60">
        <f>IF(AND(tblFleet[[#This Row],[Units]]&lt;&gt;"",tblFleet[[#This Row],[Calendar_h]]&gt;0),tblFleet[[#This Row],[Available_h]]/tblFleet[[#This Row],[Calendar_h]],"")</f>
        <v/>
      </c>
      <c r="J1252" s="60">
        <f>IF(AND(tblFleet[[#This Row],[Units]]&lt;&gt;"",tblFleet[[#This Row],[Available_h]]&gt;0),tblFleet[[#This Row],[Operating_h]]/tblFleet[[#This Row],[Available_h]],"")</f>
        <v/>
      </c>
    </row>
    <row r="1253">
      <c r="A1253" s="54" t="n"/>
      <c r="B1253" s="61" t="n"/>
      <c r="C1253" s="62" t="n"/>
      <c r="D1253" s="57" t="n"/>
      <c r="E1253" s="57" t="n"/>
      <c r="F1253" s="58" t="n"/>
      <c r="G1253" s="66">
        <f>IF(tblFleet[[#This Row],[Units]]="","",tblFleet[[#This Row],[Units]]*24)</f>
        <v/>
      </c>
      <c r="H1253" s="66">
        <f>IF(tblFleet[[#This Row],[Units]]="","",tblFleet[[#This Row],[Calendar_h]]-tblFleet[[#This Row],[Down_h]])</f>
        <v/>
      </c>
      <c r="I1253" s="60">
        <f>IF(AND(tblFleet[[#This Row],[Units]]&lt;&gt;"",tblFleet[[#This Row],[Calendar_h]]&gt;0),tblFleet[[#This Row],[Available_h]]/tblFleet[[#This Row],[Calendar_h]],"")</f>
        <v/>
      </c>
      <c r="J1253" s="60">
        <f>IF(AND(tblFleet[[#This Row],[Units]]&lt;&gt;"",tblFleet[[#This Row],[Available_h]]&gt;0),tblFleet[[#This Row],[Operating_h]]/tblFleet[[#This Row],[Available_h]],"")</f>
        <v/>
      </c>
    </row>
    <row r="1254">
      <c r="A1254" s="54" t="n"/>
      <c r="B1254" s="61" t="n"/>
      <c r="C1254" s="62" t="n"/>
      <c r="D1254" s="57" t="n"/>
      <c r="E1254" s="57" t="n"/>
      <c r="F1254" s="58" t="n"/>
      <c r="G1254" s="66">
        <f>IF(tblFleet[[#This Row],[Units]]="","",tblFleet[[#This Row],[Units]]*24)</f>
        <v/>
      </c>
      <c r="H1254" s="66">
        <f>IF(tblFleet[[#This Row],[Units]]="","",tblFleet[[#This Row],[Calendar_h]]-tblFleet[[#This Row],[Down_h]])</f>
        <v/>
      </c>
      <c r="I1254" s="60">
        <f>IF(AND(tblFleet[[#This Row],[Units]]&lt;&gt;"",tblFleet[[#This Row],[Calendar_h]]&gt;0),tblFleet[[#This Row],[Available_h]]/tblFleet[[#This Row],[Calendar_h]],"")</f>
        <v/>
      </c>
      <c r="J1254" s="60">
        <f>IF(AND(tblFleet[[#This Row],[Units]]&lt;&gt;"",tblFleet[[#This Row],[Available_h]]&gt;0),tblFleet[[#This Row],[Operating_h]]/tblFleet[[#This Row],[Available_h]],"")</f>
        <v/>
      </c>
    </row>
    <row r="1255">
      <c r="A1255" s="54" t="n"/>
      <c r="B1255" s="61" t="n"/>
      <c r="C1255" s="62" t="n"/>
      <c r="D1255" s="57" t="n"/>
      <c r="E1255" s="57" t="n"/>
      <c r="F1255" s="58" t="n"/>
      <c r="G1255" s="66">
        <f>IF(tblFleet[[#This Row],[Units]]="","",tblFleet[[#This Row],[Units]]*24)</f>
        <v/>
      </c>
      <c r="H1255" s="66">
        <f>IF(tblFleet[[#This Row],[Units]]="","",tblFleet[[#This Row],[Calendar_h]]-tblFleet[[#This Row],[Down_h]])</f>
        <v/>
      </c>
      <c r="I1255" s="60">
        <f>IF(AND(tblFleet[[#This Row],[Units]]&lt;&gt;"",tblFleet[[#This Row],[Calendar_h]]&gt;0),tblFleet[[#This Row],[Available_h]]/tblFleet[[#This Row],[Calendar_h]],"")</f>
        <v/>
      </c>
      <c r="J1255" s="60">
        <f>IF(AND(tblFleet[[#This Row],[Units]]&lt;&gt;"",tblFleet[[#This Row],[Available_h]]&gt;0),tblFleet[[#This Row],[Operating_h]]/tblFleet[[#This Row],[Available_h]],"")</f>
        <v/>
      </c>
    </row>
    <row r="1256">
      <c r="A1256" s="54" t="n"/>
      <c r="B1256" s="61" t="n"/>
      <c r="C1256" s="62" t="n"/>
      <c r="D1256" s="57" t="n"/>
      <c r="E1256" s="57" t="n"/>
      <c r="F1256" s="58" t="n"/>
      <c r="G1256" s="66">
        <f>IF(tblFleet[[#This Row],[Units]]="","",tblFleet[[#This Row],[Units]]*24)</f>
        <v/>
      </c>
      <c r="H1256" s="66">
        <f>IF(tblFleet[[#This Row],[Units]]="","",tblFleet[[#This Row],[Calendar_h]]-tblFleet[[#This Row],[Down_h]])</f>
        <v/>
      </c>
      <c r="I1256" s="60">
        <f>IF(AND(tblFleet[[#This Row],[Units]]&lt;&gt;"",tblFleet[[#This Row],[Calendar_h]]&gt;0),tblFleet[[#This Row],[Available_h]]/tblFleet[[#This Row],[Calendar_h]],"")</f>
        <v/>
      </c>
      <c r="J1256" s="60">
        <f>IF(AND(tblFleet[[#This Row],[Units]]&lt;&gt;"",tblFleet[[#This Row],[Available_h]]&gt;0),tblFleet[[#This Row],[Operating_h]]/tblFleet[[#This Row],[Available_h]],"")</f>
        <v/>
      </c>
    </row>
    <row r="1257">
      <c r="A1257" s="54" t="n"/>
      <c r="B1257" s="61" t="n"/>
      <c r="C1257" s="62" t="n"/>
      <c r="D1257" s="57" t="n"/>
      <c r="E1257" s="57" t="n"/>
      <c r="F1257" s="58" t="n"/>
      <c r="G1257" s="66">
        <f>IF(tblFleet[[#This Row],[Units]]="","",tblFleet[[#This Row],[Units]]*24)</f>
        <v/>
      </c>
      <c r="H1257" s="66">
        <f>IF(tblFleet[[#This Row],[Units]]="","",tblFleet[[#This Row],[Calendar_h]]-tblFleet[[#This Row],[Down_h]])</f>
        <v/>
      </c>
      <c r="I1257" s="60">
        <f>IF(AND(tblFleet[[#This Row],[Units]]&lt;&gt;"",tblFleet[[#This Row],[Calendar_h]]&gt;0),tblFleet[[#This Row],[Available_h]]/tblFleet[[#This Row],[Calendar_h]],"")</f>
        <v/>
      </c>
      <c r="J1257" s="60">
        <f>IF(AND(tblFleet[[#This Row],[Units]]&lt;&gt;"",tblFleet[[#This Row],[Available_h]]&gt;0),tblFleet[[#This Row],[Operating_h]]/tblFleet[[#This Row],[Available_h]],"")</f>
        <v/>
      </c>
    </row>
    <row r="1258">
      <c r="A1258" s="54" t="n"/>
      <c r="B1258" s="61" t="n"/>
      <c r="C1258" s="62" t="n"/>
      <c r="D1258" s="57" t="n"/>
      <c r="E1258" s="57" t="n"/>
      <c r="F1258" s="58" t="n"/>
      <c r="G1258" s="66">
        <f>IF(tblFleet[[#This Row],[Units]]="","",tblFleet[[#This Row],[Units]]*24)</f>
        <v/>
      </c>
      <c r="H1258" s="66">
        <f>IF(tblFleet[[#This Row],[Units]]="","",tblFleet[[#This Row],[Calendar_h]]-tblFleet[[#This Row],[Down_h]])</f>
        <v/>
      </c>
      <c r="I1258" s="60">
        <f>IF(AND(tblFleet[[#This Row],[Units]]&lt;&gt;"",tblFleet[[#This Row],[Calendar_h]]&gt;0),tblFleet[[#This Row],[Available_h]]/tblFleet[[#This Row],[Calendar_h]],"")</f>
        <v/>
      </c>
      <c r="J1258" s="60">
        <f>IF(AND(tblFleet[[#This Row],[Units]]&lt;&gt;"",tblFleet[[#This Row],[Available_h]]&gt;0),tblFleet[[#This Row],[Operating_h]]/tblFleet[[#This Row],[Available_h]],"")</f>
        <v/>
      </c>
    </row>
    <row r="1259">
      <c r="A1259" s="54" t="n"/>
      <c r="B1259" s="61" t="n"/>
      <c r="C1259" s="62" t="n"/>
      <c r="D1259" s="57" t="n"/>
      <c r="E1259" s="57" t="n"/>
      <c r="F1259" s="58" t="n"/>
      <c r="G1259" s="66">
        <f>IF(tblFleet[[#This Row],[Units]]="","",tblFleet[[#This Row],[Units]]*24)</f>
        <v/>
      </c>
      <c r="H1259" s="66">
        <f>IF(tblFleet[[#This Row],[Units]]="","",tblFleet[[#This Row],[Calendar_h]]-tblFleet[[#This Row],[Down_h]])</f>
        <v/>
      </c>
      <c r="I1259" s="60">
        <f>IF(AND(tblFleet[[#This Row],[Units]]&lt;&gt;"",tblFleet[[#This Row],[Calendar_h]]&gt;0),tblFleet[[#This Row],[Available_h]]/tblFleet[[#This Row],[Calendar_h]],"")</f>
        <v/>
      </c>
      <c r="J1259" s="60">
        <f>IF(AND(tblFleet[[#This Row],[Units]]&lt;&gt;"",tblFleet[[#This Row],[Available_h]]&gt;0),tblFleet[[#This Row],[Operating_h]]/tblFleet[[#This Row],[Available_h]],"")</f>
        <v/>
      </c>
    </row>
    <row r="1260">
      <c r="A1260" s="54" t="n"/>
      <c r="B1260" s="61" t="n"/>
      <c r="C1260" s="62" t="n"/>
      <c r="D1260" s="57" t="n"/>
      <c r="E1260" s="57" t="n"/>
      <c r="F1260" s="58" t="n"/>
      <c r="G1260" s="66">
        <f>IF(tblFleet[[#This Row],[Units]]="","",tblFleet[[#This Row],[Units]]*24)</f>
        <v/>
      </c>
      <c r="H1260" s="66">
        <f>IF(tblFleet[[#This Row],[Units]]="","",tblFleet[[#This Row],[Calendar_h]]-tblFleet[[#This Row],[Down_h]])</f>
        <v/>
      </c>
      <c r="I1260" s="60">
        <f>IF(AND(tblFleet[[#This Row],[Units]]&lt;&gt;"",tblFleet[[#This Row],[Calendar_h]]&gt;0),tblFleet[[#This Row],[Available_h]]/tblFleet[[#This Row],[Calendar_h]],"")</f>
        <v/>
      </c>
      <c r="J1260" s="60">
        <f>IF(AND(tblFleet[[#This Row],[Units]]&lt;&gt;"",tblFleet[[#This Row],[Available_h]]&gt;0),tblFleet[[#This Row],[Operating_h]]/tblFleet[[#This Row],[Available_h]],"")</f>
        <v/>
      </c>
    </row>
    <row r="1261">
      <c r="A1261" s="54" t="n"/>
      <c r="B1261" s="61" t="n"/>
      <c r="C1261" s="62" t="n"/>
      <c r="D1261" s="57" t="n"/>
      <c r="E1261" s="57" t="n"/>
      <c r="F1261" s="58" t="n"/>
      <c r="G1261" s="66">
        <f>IF(tblFleet[[#This Row],[Units]]="","",tblFleet[[#This Row],[Units]]*24)</f>
        <v/>
      </c>
      <c r="H1261" s="66">
        <f>IF(tblFleet[[#This Row],[Units]]="","",tblFleet[[#This Row],[Calendar_h]]-tblFleet[[#This Row],[Down_h]])</f>
        <v/>
      </c>
      <c r="I1261" s="60">
        <f>IF(AND(tblFleet[[#This Row],[Units]]&lt;&gt;"",tblFleet[[#This Row],[Calendar_h]]&gt;0),tblFleet[[#This Row],[Available_h]]/tblFleet[[#This Row],[Calendar_h]],"")</f>
        <v/>
      </c>
      <c r="J1261" s="60">
        <f>IF(AND(tblFleet[[#This Row],[Units]]&lt;&gt;"",tblFleet[[#This Row],[Available_h]]&gt;0),tblFleet[[#This Row],[Operating_h]]/tblFleet[[#This Row],[Available_h]],"")</f>
        <v/>
      </c>
    </row>
    <row r="1262">
      <c r="A1262" s="54" t="n"/>
      <c r="B1262" s="61" t="n"/>
      <c r="C1262" s="62" t="n"/>
      <c r="D1262" s="57" t="n"/>
      <c r="E1262" s="57" t="n"/>
      <c r="F1262" s="58" t="n"/>
      <c r="G1262" s="66">
        <f>IF(tblFleet[[#This Row],[Units]]="","",tblFleet[[#This Row],[Units]]*24)</f>
        <v/>
      </c>
      <c r="H1262" s="66">
        <f>IF(tblFleet[[#This Row],[Units]]="","",tblFleet[[#This Row],[Calendar_h]]-tblFleet[[#This Row],[Down_h]])</f>
        <v/>
      </c>
      <c r="I1262" s="60">
        <f>IF(AND(tblFleet[[#This Row],[Units]]&lt;&gt;"",tblFleet[[#This Row],[Calendar_h]]&gt;0),tblFleet[[#This Row],[Available_h]]/tblFleet[[#This Row],[Calendar_h]],"")</f>
        <v/>
      </c>
      <c r="J1262" s="60">
        <f>IF(AND(tblFleet[[#This Row],[Units]]&lt;&gt;"",tblFleet[[#This Row],[Available_h]]&gt;0),tblFleet[[#This Row],[Operating_h]]/tblFleet[[#This Row],[Available_h]],"")</f>
        <v/>
      </c>
    </row>
    <row r="1263">
      <c r="A1263" s="54" t="n"/>
      <c r="B1263" s="61" t="n"/>
      <c r="C1263" s="62" t="n"/>
      <c r="D1263" s="57" t="n"/>
      <c r="E1263" s="57" t="n"/>
      <c r="F1263" s="58" t="n"/>
      <c r="G1263" s="66">
        <f>IF(tblFleet[[#This Row],[Units]]="","",tblFleet[[#This Row],[Units]]*24)</f>
        <v/>
      </c>
      <c r="H1263" s="66">
        <f>IF(tblFleet[[#This Row],[Units]]="","",tblFleet[[#This Row],[Calendar_h]]-tblFleet[[#This Row],[Down_h]])</f>
        <v/>
      </c>
      <c r="I1263" s="60">
        <f>IF(AND(tblFleet[[#This Row],[Units]]&lt;&gt;"",tblFleet[[#This Row],[Calendar_h]]&gt;0),tblFleet[[#This Row],[Available_h]]/tblFleet[[#This Row],[Calendar_h]],"")</f>
        <v/>
      </c>
      <c r="J1263" s="60">
        <f>IF(AND(tblFleet[[#This Row],[Units]]&lt;&gt;"",tblFleet[[#This Row],[Available_h]]&gt;0),tblFleet[[#This Row],[Operating_h]]/tblFleet[[#This Row],[Available_h]],"")</f>
        <v/>
      </c>
    </row>
    <row r="1264">
      <c r="A1264" s="54" t="n"/>
      <c r="B1264" s="61" t="n"/>
      <c r="C1264" s="62" t="n"/>
      <c r="D1264" s="57" t="n"/>
      <c r="E1264" s="57" t="n"/>
      <c r="F1264" s="58" t="n"/>
      <c r="G1264" s="66">
        <f>IF(tblFleet[[#This Row],[Units]]="","",tblFleet[[#This Row],[Units]]*24)</f>
        <v/>
      </c>
      <c r="H1264" s="66">
        <f>IF(tblFleet[[#This Row],[Units]]="","",tblFleet[[#This Row],[Calendar_h]]-tblFleet[[#This Row],[Down_h]])</f>
        <v/>
      </c>
      <c r="I1264" s="60">
        <f>IF(AND(tblFleet[[#This Row],[Units]]&lt;&gt;"",tblFleet[[#This Row],[Calendar_h]]&gt;0),tblFleet[[#This Row],[Available_h]]/tblFleet[[#This Row],[Calendar_h]],"")</f>
        <v/>
      </c>
      <c r="J1264" s="60">
        <f>IF(AND(tblFleet[[#This Row],[Units]]&lt;&gt;"",tblFleet[[#This Row],[Available_h]]&gt;0),tblFleet[[#This Row],[Operating_h]]/tblFleet[[#This Row],[Available_h]],"")</f>
        <v/>
      </c>
    </row>
    <row r="1265">
      <c r="A1265" s="54" t="n"/>
      <c r="B1265" s="61" t="n"/>
      <c r="C1265" s="62" t="n"/>
      <c r="D1265" s="57" t="n"/>
      <c r="E1265" s="57" t="n"/>
      <c r="F1265" s="58" t="n"/>
      <c r="G1265" s="66">
        <f>IF(tblFleet[[#This Row],[Units]]="","",tblFleet[[#This Row],[Units]]*24)</f>
        <v/>
      </c>
      <c r="H1265" s="66">
        <f>IF(tblFleet[[#This Row],[Units]]="","",tblFleet[[#This Row],[Calendar_h]]-tblFleet[[#This Row],[Down_h]])</f>
        <v/>
      </c>
      <c r="I1265" s="60">
        <f>IF(AND(tblFleet[[#This Row],[Units]]&lt;&gt;"",tblFleet[[#This Row],[Calendar_h]]&gt;0),tblFleet[[#This Row],[Available_h]]/tblFleet[[#This Row],[Calendar_h]],"")</f>
        <v/>
      </c>
      <c r="J1265" s="60">
        <f>IF(AND(tblFleet[[#This Row],[Units]]&lt;&gt;"",tblFleet[[#This Row],[Available_h]]&gt;0),tblFleet[[#This Row],[Operating_h]]/tblFleet[[#This Row],[Available_h]],"")</f>
        <v/>
      </c>
    </row>
    <row r="1266">
      <c r="A1266" s="54" t="n"/>
      <c r="B1266" s="61" t="n"/>
      <c r="C1266" s="62" t="n"/>
      <c r="D1266" s="57" t="n"/>
      <c r="E1266" s="57" t="n"/>
      <c r="F1266" s="58" t="n"/>
      <c r="G1266" s="66">
        <f>IF(tblFleet[[#This Row],[Units]]="","",tblFleet[[#This Row],[Units]]*24)</f>
        <v/>
      </c>
      <c r="H1266" s="66">
        <f>IF(tblFleet[[#This Row],[Units]]="","",tblFleet[[#This Row],[Calendar_h]]-tblFleet[[#This Row],[Down_h]])</f>
        <v/>
      </c>
      <c r="I1266" s="60">
        <f>IF(AND(tblFleet[[#This Row],[Units]]&lt;&gt;"",tblFleet[[#This Row],[Calendar_h]]&gt;0),tblFleet[[#This Row],[Available_h]]/tblFleet[[#This Row],[Calendar_h]],"")</f>
        <v/>
      </c>
      <c r="J1266" s="60">
        <f>IF(AND(tblFleet[[#This Row],[Units]]&lt;&gt;"",tblFleet[[#This Row],[Available_h]]&gt;0),tblFleet[[#This Row],[Operating_h]]/tblFleet[[#This Row],[Available_h]],"")</f>
        <v/>
      </c>
    </row>
    <row r="1267">
      <c r="A1267" s="54" t="n"/>
      <c r="B1267" s="61" t="n"/>
      <c r="C1267" s="62" t="n"/>
      <c r="D1267" s="57" t="n"/>
      <c r="E1267" s="57" t="n"/>
      <c r="F1267" s="58" t="n"/>
      <c r="G1267" s="66">
        <f>IF(tblFleet[[#This Row],[Units]]="","",tblFleet[[#This Row],[Units]]*24)</f>
        <v/>
      </c>
      <c r="H1267" s="66">
        <f>IF(tblFleet[[#This Row],[Units]]="","",tblFleet[[#This Row],[Calendar_h]]-tblFleet[[#This Row],[Down_h]])</f>
        <v/>
      </c>
      <c r="I1267" s="60">
        <f>IF(AND(tblFleet[[#This Row],[Units]]&lt;&gt;"",tblFleet[[#This Row],[Calendar_h]]&gt;0),tblFleet[[#This Row],[Available_h]]/tblFleet[[#This Row],[Calendar_h]],"")</f>
        <v/>
      </c>
      <c r="J1267" s="60">
        <f>IF(AND(tblFleet[[#This Row],[Units]]&lt;&gt;"",tblFleet[[#This Row],[Available_h]]&gt;0),tblFleet[[#This Row],[Operating_h]]/tblFleet[[#This Row],[Available_h]],"")</f>
        <v/>
      </c>
    </row>
    <row r="1268">
      <c r="A1268" s="54" t="n"/>
      <c r="B1268" s="61" t="n"/>
      <c r="C1268" s="62" t="n"/>
      <c r="D1268" s="57" t="n"/>
      <c r="E1268" s="57" t="n"/>
      <c r="F1268" s="58" t="n"/>
      <c r="G1268" s="66">
        <f>IF(tblFleet[[#This Row],[Units]]="","",tblFleet[[#This Row],[Units]]*24)</f>
        <v/>
      </c>
      <c r="H1268" s="66">
        <f>IF(tblFleet[[#This Row],[Units]]="","",tblFleet[[#This Row],[Calendar_h]]-tblFleet[[#This Row],[Down_h]])</f>
        <v/>
      </c>
      <c r="I1268" s="60">
        <f>IF(AND(tblFleet[[#This Row],[Units]]&lt;&gt;"",tblFleet[[#This Row],[Calendar_h]]&gt;0),tblFleet[[#This Row],[Available_h]]/tblFleet[[#This Row],[Calendar_h]],"")</f>
        <v/>
      </c>
      <c r="J1268" s="60">
        <f>IF(AND(tblFleet[[#This Row],[Units]]&lt;&gt;"",tblFleet[[#This Row],[Available_h]]&gt;0),tblFleet[[#This Row],[Operating_h]]/tblFleet[[#This Row],[Available_h]],"")</f>
        <v/>
      </c>
    </row>
    <row r="1269">
      <c r="A1269" s="54" t="n"/>
      <c r="B1269" s="61" t="n"/>
      <c r="C1269" s="62" t="n"/>
      <c r="D1269" s="57" t="n"/>
      <c r="E1269" s="57" t="n"/>
      <c r="F1269" s="58" t="n"/>
      <c r="G1269" s="66">
        <f>IF(tblFleet[[#This Row],[Units]]="","",tblFleet[[#This Row],[Units]]*24)</f>
        <v/>
      </c>
      <c r="H1269" s="66">
        <f>IF(tblFleet[[#This Row],[Units]]="","",tblFleet[[#This Row],[Calendar_h]]-tblFleet[[#This Row],[Down_h]])</f>
        <v/>
      </c>
      <c r="I1269" s="60">
        <f>IF(AND(tblFleet[[#This Row],[Units]]&lt;&gt;"",tblFleet[[#This Row],[Calendar_h]]&gt;0),tblFleet[[#This Row],[Available_h]]/tblFleet[[#This Row],[Calendar_h]],"")</f>
        <v/>
      </c>
      <c r="J1269" s="60">
        <f>IF(AND(tblFleet[[#This Row],[Units]]&lt;&gt;"",tblFleet[[#This Row],[Available_h]]&gt;0),tblFleet[[#This Row],[Operating_h]]/tblFleet[[#This Row],[Available_h]],"")</f>
        <v/>
      </c>
    </row>
    <row r="1270">
      <c r="A1270" s="54" t="n"/>
      <c r="B1270" s="61" t="n"/>
      <c r="C1270" s="62" t="n"/>
      <c r="D1270" s="57" t="n"/>
      <c r="E1270" s="57" t="n"/>
      <c r="F1270" s="58" t="n"/>
      <c r="G1270" s="66">
        <f>IF(tblFleet[[#This Row],[Units]]="","",tblFleet[[#This Row],[Units]]*24)</f>
        <v/>
      </c>
      <c r="H1270" s="66">
        <f>IF(tblFleet[[#This Row],[Units]]="","",tblFleet[[#This Row],[Calendar_h]]-tblFleet[[#This Row],[Down_h]])</f>
        <v/>
      </c>
      <c r="I1270" s="60">
        <f>IF(AND(tblFleet[[#This Row],[Units]]&lt;&gt;"",tblFleet[[#This Row],[Calendar_h]]&gt;0),tblFleet[[#This Row],[Available_h]]/tblFleet[[#This Row],[Calendar_h]],"")</f>
        <v/>
      </c>
      <c r="J1270" s="60">
        <f>IF(AND(tblFleet[[#This Row],[Units]]&lt;&gt;"",tblFleet[[#This Row],[Available_h]]&gt;0),tblFleet[[#This Row],[Operating_h]]/tblFleet[[#This Row],[Available_h]],"")</f>
        <v/>
      </c>
    </row>
    <row r="1271">
      <c r="A1271" s="54" t="n"/>
      <c r="B1271" s="61" t="n"/>
      <c r="C1271" s="62" t="n"/>
      <c r="D1271" s="57" t="n"/>
      <c r="E1271" s="57" t="n"/>
      <c r="F1271" s="58" t="n"/>
      <c r="G1271" s="66">
        <f>IF(tblFleet[[#This Row],[Units]]="","",tblFleet[[#This Row],[Units]]*24)</f>
        <v/>
      </c>
      <c r="H1271" s="66">
        <f>IF(tblFleet[[#This Row],[Units]]="","",tblFleet[[#This Row],[Calendar_h]]-tblFleet[[#This Row],[Down_h]])</f>
        <v/>
      </c>
      <c r="I1271" s="60">
        <f>IF(AND(tblFleet[[#This Row],[Units]]&lt;&gt;"",tblFleet[[#This Row],[Calendar_h]]&gt;0),tblFleet[[#This Row],[Available_h]]/tblFleet[[#This Row],[Calendar_h]],"")</f>
        <v/>
      </c>
      <c r="J1271" s="60">
        <f>IF(AND(tblFleet[[#This Row],[Units]]&lt;&gt;"",tblFleet[[#This Row],[Available_h]]&gt;0),tblFleet[[#This Row],[Operating_h]]/tblFleet[[#This Row],[Available_h]],"")</f>
        <v/>
      </c>
    </row>
    <row r="1272">
      <c r="A1272" s="54" t="n"/>
      <c r="B1272" s="61" t="n"/>
      <c r="C1272" s="62" t="n"/>
      <c r="D1272" s="57" t="n"/>
      <c r="E1272" s="57" t="n"/>
      <c r="F1272" s="58" t="n"/>
      <c r="G1272" s="66">
        <f>IF(tblFleet[[#This Row],[Units]]="","",tblFleet[[#This Row],[Units]]*24)</f>
        <v/>
      </c>
      <c r="H1272" s="66">
        <f>IF(tblFleet[[#This Row],[Units]]="","",tblFleet[[#This Row],[Calendar_h]]-tblFleet[[#This Row],[Down_h]])</f>
        <v/>
      </c>
      <c r="I1272" s="60">
        <f>IF(AND(tblFleet[[#This Row],[Units]]&lt;&gt;"",tblFleet[[#This Row],[Calendar_h]]&gt;0),tblFleet[[#This Row],[Available_h]]/tblFleet[[#This Row],[Calendar_h]],"")</f>
        <v/>
      </c>
      <c r="J1272" s="60">
        <f>IF(AND(tblFleet[[#This Row],[Units]]&lt;&gt;"",tblFleet[[#This Row],[Available_h]]&gt;0),tblFleet[[#This Row],[Operating_h]]/tblFleet[[#This Row],[Available_h]],"")</f>
        <v/>
      </c>
    </row>
    <row r="1273">
      <c r="A1273" s="54" t="n"/>
      <c r="B1273" s="61" t="n"/>
      <c r="C1273" s="62" t="n"/>
      <c r="D1273" s="57" t="n"/>
      <c r="E1273" s="57" t="n"/>
      <c r="F1273" s="58" t="n"/>
      <c r="G1273" s="66">
        <f>IF(tblFleet[[#This Row],[Units]]="","",tblFleet[[#This Row],[Units]]*24)</f>
        <v/>
      </c>
      <c r="H1273" s="66">
        <f>IF(tblFleet[[#This Row],[Units]]="","",tblFleet[[#This Row],[Calendar_h]]-tblFleet[[#This Row],[Down_h]])</f>
        <v/>
      </c>
      <c r="I1273" s="60">
        <f>IF(AND(tblFleet[[#This Row],[Units]]&lt;&gt;"",tblFleet[[#This Row],[Calendar_h]]&gt;0),tblFleet[[#This Row],[Available_h]]/tblFleet[[#This Row],[Calendar_h]],"")</f>
        <v/>
      </c>
      <c r="J1273" s="60">
        <f>IF(AND(tblFleet[[#This Row],[Units]]&lt;&gt;"",tblFleet[[#This Row],[Available_h]]&gt;0),tblFleet[[#This Row],[Operating_h]]/tblFleet[[#This Row],[Available_h]],"")</f>
        <v/>
      </c>
    </row>
    <row r="1274">
      <c r="A1274" s="54" t="n"/>
      <c r="B1274" s="61" t="n"/>
      <c r="C1274" s="62" t="n"/>
      <c r="D1274" s="57" t="n"/>
      <c r="E1274" s="57" t="n"/>
      <c r="F1274" s="58" t="n"/>
      <c r="G1274" s="66">
        <f>IF(tblFleet[[#This Row],[Units]]="","",tblFleet[[#This Row],[Units]]*24)</f>
        <v/>
      </c>
      <c r="H1274" s="66">
        <f>IF(tblFleet[[#This Row],[Units]]="","",tblFleet[[#This Row],[Calendar_h]]-tblFleet[[#This Row],[Down_h]])</f>
        <v/>
      </c>
      <c r="I1274" s="60">
        <f>IF(AND(tblFleet[[#This Row],[Units]]&lt;&gt;"",tblFleet[[#This Row],[Calendar_h]]&gt;0),tblFleet[[#This Row],[Available_h]]/tblFleet[[#This Row],[Calendar_h]],"")</f>
        <v/>
      </c>
      <c r="J1274" s="60">
        <f>IF(AND(tblFleet[[#This Row],[Units]]&lt;&gt;"",tblFleet[[#This Row],[Available_h]]&gt;0),tblFleet[[#This Row],[Operating_h]]/tblFleet[[#This Row],[Available_h]],"")</f>
        <v/>
      </c>
    </row>
    <row r="1275">
      <c r="A1275" s="54" t="n"/>
      <c r="B1275" s="61" t="n"/>
      <c r="C1275" s="62" t="n"/>
      <c r="D1275" s="57" t="n"/>
      <c r="E1275" s="57" t="n"/>
      <c r="F1275" s="58" t="n"/>
      <c r="G1275" s="66">
        <f>IF(tblFleet[[#This Row],[Units]]="","",tblFleet[[#This Row],[Units]]*24)</f>
        <v/>
      </c>
      <c r="H1275" s="66">
        <f>IF(tblFleet[[#This Row],[Units]]="","",tblFleet[[#This Row],[Calendar_h]]-tblFleet[[#This Row],[Down_h]])</f>
        <v/>
      </c>
      <c r="I1275" s="60">
        <f>IF(AND(tblFleet[[#This Row],[Units]]&lt;&gt;"",tblFleet[[#This Row],[Calendar_h]]&gt;0),tblFleet[[#This Row],[Available_h]]/tblFleet[[#This Row],[Calendar_h]],"")</f>
        <v/>
      </c>
      <c r="J1275" s="60">
        <f>IF(AND(tblFleet[[#This Row],[Units]]&lt;&gt;"",tblFleet[[#This Row],[Available_h]]&gt;0),tblFleet[[#This Row],[Operating_h]]/tblFleet[[#This Row],[Available_h]],"")</f>
        <v/>
      </c>
    </row>
    <row r="1276">
      <c r="A1276" s="54" t="n"/>
      <c r="B1276" s="61" t="n"/>
      <c r="C1276" s="62" t="n"/>
      <c r="D1276" s="57" t="n"/>
      <c r="E1276" s="57" t="n"/>
      <c r="F1276" s="58" t="n"/>
      <c r="G1276" s="66">
        <f>IF(tblFleet[[#This Row],[Units]]="","",tblFleet[[#This Row],[Units]]*24)</f>
        <v/>
      </c>
      <c r="H1276" s="66">
        <f>IF(tblFleet[[#This Row],[Units]]="","",tblFleet[[#This Row],[Calendar_h]]-tblFleet[[#This Row],[Down_h]])</f>
        <v/>
      </c>
      <c r="I1276" s="60">
        <f>IF(AND(tblFleet[[#This Row],[Units]]&lt;&gt;"",tblFleet[[#This Row],[Calendar_h]]&gt;0),tblFleet[[#This Row],[Available_h]]/tblFleet[[#This Row],[Calendar_h]],"")</f>
        <v/>
      </c>
      <c r="J1276" s="60">
        <f>IF(AND(tblFleet[[#This Row],[Units]]&lt;&gt;"",tblFleet[[#This Row],[Available_h]]&gt;0),tblFleet[[#This Row],[Operating_h]]/tblFleet[[#This Row],[Available_h]],"")</f>
        <v/>
      </c>
    </row>
    <row r="1277">
      <c r="A1277" s="54" t="n"/>
      <c r="B1277" s="61" t="n"/>
      <c r="C1277" s="62" t="n"/>
      <c r="D1277" s="57" t="n"/>
      <c r="E1277" s="57" t="n"/>
      <c r="F1277" s="58" t="n"/>
      <c r="G1277" s="66">
        <f>IF(tblFleet[[#This Row],[Units]]="","",tblFleet[[#This Row],[Units]]*24)</f>
        <v/>
      </c>
      <c r="H1277" s="66">
        <f>IF(tblFleet[[#This Row],[Units]]="","",tblFleet[[#This Row],[Calendar_h]]-tblFleet[[#This Row],[Down_h]])</f>
        <v/>
      </c>
      <c r="I1277" s="60">
        <f>IF(AND(tblFleet[[#This Row],[Units]]&lt;&gt;"",tblFleet[[#This Row],[Calendar_h]]&gt;0),tblFleet[[#This Row],[Available_h]]/tblFleet[[#This Row],[Calendar_h]],"")</f>
        <v/>
      </c>
      <c r="J1277" s="60">
        <f>IF(AND(tblFleet[[#This Row],[Units]]&lt;&gt;"",tblFleet[[#This Row],[Available_h]]&gt;0),tblFleet[[#This Row],[Operating_h]]/tblFleet[[#This Row],[Available_h]],"")</f>
        <v/>
      </c>
    </row>
    <row r="1278">
      <c r="A1278" s="54" t="n"/>
      <c r="B1278" s="61" t="n"/>
      <c r="C1278" s="62" t="n"/>
      <c r="D1278" s="57" t="n"/>
      <c r="E1278" s="57" t="n"/>
      <c r="F1278" s="58" t="n"/>
      <c r="G1278" s="66">
        <f>IF(tblFleet[[#This Row],[Units]]="","",tblFleet[[#This Row],[Units]]*24)</f>
        <v/>
      </c>
      <c r="H1278" s="66">
        <f>IF(tblFleet[[#This Row],[Units]]="","",tblFleet[[#This Row],[Calendar_h]]-tblFleet[[#This Row],[Down_h]])</f>
        <v/>
      </c>
      <c r="I1278" s="60">
        <f>IF(AND(tblFleet[[#This Row],[Units]]&lt;&gt;"",tblFleet[[#This Row],[Calendar_h]]&gt;0),tblFleet[[#This Row],[Available_h]]/tblFleet[[#This Row],[Calendar_h]],"")</f>
        <v/>
      </c>
      <c r="J1278" s="60">
        <f>IF(AND(tblFleet[[#This Row],[Units]]&lt;&gt;"",tblFleet[[#This Row],[Available_h]]&gt;0),tblFleet[[#This Row],[Operating_h]]/tblFleet[[#This Row],[Available_h]],"")</f>
        <v/>
      </c>
    </row>
    <row r="1279">
      <c r="A1279" s="54" t="n"/>
      <c r="B1279" s="61" t="n"/>
      <c r="C1279" s="62" t="n"/>
      <c r="D1279" s="57" t="n"/>
      <c r="E1279" s="57" t="n"/>
      <c r="F1279" s="58" t="n"/>
      <c r="G1279" s="66">
        <f>IF(tblFleet[[#This Row],[Units]]="","",tblFleet[[#This Row],[Units]]*24)</f>
        <v/>
      </c>
      <c r="H1279" s="66">
        <f>IF(tblFleet[[#This Row],[Units]]="","",tblFleet[[#This Row],[Calendar_h]]-tblFleet[[#This Row],[Down_h]])</f>
        <v/>
      </c>
      <c r="I1279" s="60">
        <f>IF(AND(tblFleet[[#This Row],[Units]]&lt;&gt;"",tblFleet[[#This Row],[Calendar_h]]&gt;0),tblFleet[[#This Row],[Available_h]]/tblFleet[[#This Row],[Calendar_h]],"")</f>
        <v/>
      </c>
      <c r="J1279" s="60">
        <f>IF(AND(tblFleet[[#This Row],[Units]]&lt;&gt;"",tblFleet[[#This Row],[Available_h]]&gt;0),tblFleet[[#This Row],[Operating_h]]/tblFleet[[#This Row],[Available_h]],"")</f>
        <v/>
      </c>
    </row>
    <row r="1280">
      <c r="A1280" s="54" t="n"/>
      <c r="B1280" s="61" t="n"/>
      <c r="C1280" s="62" t="n"/>
      <c r="D1280" s="57" t="n"/>
      <c r="E1280" s="57" t="n"/>
      <c r="F1280" s="58" t="n"/>
      <c r="G1280" s="66">
        <f>IF(tblFleet[[#This Row],[Units]]="","",tblFleet[[#This Row],[Units]]*24)</f>
        <v/>
      </c>
      <c r="H1280" s="66">
        <f>IF(tblFleet[[#This Row],[Units]]="","",tblFleet[[#This Row],[Calendar_h]]-tblFleet[[#This Row],[Down_h]])</f>
        <v/>
      </c>
      <c r="I1280" s="60">
        <f>IF(AND(tblFleet[[#This Row],[Units]]&lt;&gt;"",tblFleet[[#This Row],[Calendar_h]]&gt;0),tblFleet[[#This Row],[Available_h]]/tblFleet[[#This Row],[Calendar_h]],"")</f>
        <v/>
      </c>
      <c r="J1280" s="60">
        <f>IF(AND(tblFleet[[#This Row],[Units]]&lt;&gt;"",tblFleet[[#This Row],[Available_h]]&gt;0),tblFleet[[#This Row],[Operating_h]]/tblFleet[[#This Row],[Available_h]],"")</f>
        <v/>
      </c>
    </row>
    <row r="1281">
      <c r="A1281" s="54" t="n"/>
      <c r="B1281" s="61" t="n"/>
      <c r="C1281" s="62" t="n"/>
      <c r="D1281" s="57" t="n"/>
      <c r="E1281" s="57" t="n"/>
      <c r="F1281" s="58" t="n"/>
      <c r="G1281" s="66">
        <f>IF(tblFleet[[#This Row],[Units]]="","",tblFleet[[#This Row],[Units]]*24)</f>
        <v/>
      </c>
      <c r="H1281" s="66">
        <f>IF(tblFleet[[#This Row],[Units]]="","",tblFleet[[#This Row],[Calendar_h]]-tblFleet[[#This Row],[Down_h]])</f>
        <v/>
      </c>
      <c r="I1281" s="60">
        <f>IF(AND(tblFleet[[#This Row],[Units]]&lt;&gt;"",tblFleet[[#This Row],[Calendar_h]]&gt;0),tblFleet[[#This Row],[Available_h]]/tblFleet[[#This Row],[Calendar_h]],"")</f>
        <v/>
      </c>
      <c r="J1281" s="60">
        <f>IF(AND(tblFleet[[#This Row],[Units]]&lt;&gt;"",tblFleet[[#This Row],[Available_h]]&gt;0),tblFleet[[#This Row],[Operating_h]]/tblFleet[[#This Row],[Available_h]],"")</f>
        <v/>
      </c>
    </row>
    <row r="1282">
      <c r="A1282" s="54" t="n"/>
      <c r="B1282" s="61" t="n"/>
      <c r="C1282" s="62" t="n"/>
      <c r="D1282" s="57" t="n"/>
      <c r="E1282" s="57" t="n"/>
      <c r="F1282" s="58" t="n"/>
      <c r="G1282" s="66">
        <f>IF(tblFleet[[#This Row],[Units]]="","",tblFleet[[#This Row],[Units]]*24)</f>
        <v/>
      </c>
      <c r="H1282" s="66">
        <f>IF(tblFleet[[#This Row],[Units]]="","",tblFleet[[#This Row],[Calendar_h]]-tblFleet[[#This Row],[Down_h]])</f>
        <v/>
      </c>
      <c r="I1282" s="60">
        <f>IF(AND(tblFleet[[#This Row],[Units]]&lt;&gt;"",tblFleet[[#This Row],[Calendar_h]]&gt;0),tblFleet[[#This Row],[Available_h]]/tblFleet[[#This Row],[Calendar_h]],"")</f>
        <v/>
      </c>
      <c r="J1282" s="60">
        <f>IF(AND(tblFleet[[#This Row],[Units]]&lt;&gt;"",tblFleet[[#This Row],[Available_h]]&gt;0),tblFleet[[#This Row],[Operating_h]]/tblFleet[[#This Row],[Available_h]],"")</f>
        <v/>
      </c>
    </row>
    <row r="1283">
      <c r="A1283" s="54" t="n"/>
      <c r="B1283" s="61" t="n"/>
      <c r="C1283" s="62" t="n"/>
      <c r="D1283" s="57" t="n"/>
      <c r="E1283" s="57" t="n"/>
      <c r="F1283" s="58" t="n"/>
      <c r="G1283" s="66">
        <f>IF(tblFleet[[#This Row],[Units]]="","",tblFleet[[#This Row],[Units]]*24)</f>
        <v/>
      </c>
      <c r="H1283" s="66">
        <f>IF(tblFleet[[#This Row],[Units]]="","",tblFleet[[#This Row],[Calendar_h]]-tblFleet[[#This Row],[Down_h]])</f>
        <v/>
      </c>
      <c r="I1283" s="60">
        <f>IF(AND(tblFleet[[#This Row],[Units]]&lt;&gt;"",tblFleet[[#This Row],[Calendar_h]]&gt;0),tblFleet[[#This Row],[Available_h]]/tblFleet[[#This Row],[Calendar_h]],"")</f>
        <v/>
      </c>
      <c r="J1283" s="60">
        <f>IF(AND(tblFleet[[#This Row],[Units]]&lt;&gt;"",tblFleet[[#This Row],[Available_h]]&gt;0),tblFleet[[#This Row],[Operating_h]]/tblFleet[[#This Row],[Available_h]],"")</f>
        <v/>
      </c>
    </row>
    <row r="1284">
      <c r="A1284" s="54" t="n"/>
      <c r="B1284" s="61" t="n"/>
      <c r="C1284" s="62" t="n"/>
      <c r="D1284" s="57" t="n"/>
      <c r="E1284" s="57" t="n"/>
      <c r="F1284" s="58" t="n"/>
      <c r="G1284" s="66">
        <f>IF(tblFleet[[#This Row],[Units]]="","",tblFleet[[#This Row],[Units]]*24)</f>
        <v/>
      </c>
      <c r="H1284" s="66">
        <f>IF(tblFleet[[#This Row],[Units]]="","",tblFleet[[#This Row],[Calendar_h]]-tblFleet[[#This Row],[Down_h]])</f>
        <v/>
      </c>
      <c r="I1284" s="60">
        <f>IF(AND(tblFleet[[#This Row],[Units]]&lt;&gt;"",tblFleet[[#This Row],[Calendar_h]]&gt;0),tblFleet[[#This Row],[Available_h]]/tblFleet[[#This Row],[Calendar_h]],"")</f>
        <v/>
      </c>
      <c r="J1284" s="60">
        <f>IF(AND(tblFleet[[#This Row],[Units]]&lt;&gt;"",tblFleet[[#This Row],[Available_h]]&gt;0),tblFleet[[#This Row],[Operating_h]]/tblFleet[[#This Row],[Available_h]],"")</f>
        <v/>
      </c>
    </row>
    <row r="1285">
      <c r="A1285" s="54" t="n"/>
      <c r="B1285" s="61" t="n"/>
      <c r="C1285" s="62" t="n"/>
      <c r="D1285" s="57" t="n"/>
      <c r="E1285" s="57" t="n"/>
      <c r="F1285" s="58" t="n"/>
      <c r="G1285" s="66">
        <f>IF(tblFleet[[#This Row],[Units]]="","",tblFleet[[#This Row],[Units]]*24)</f>
        <v/>
      </c>
      <c r="H1285" s="66">
        <f>IF(tblFleet[[#This Row],[Units]]="","",tblFleet[[#This Row],[Calendar_h]]-tblFleet[[#This Row],[Down_h]])</f>
        <v/>
      </c>
      <c r="I1285" s="60">
        <f>IF(AND(tblFleet[[#This Row],[Units]]&lt;&gt;"",tblFleet[[#This Row],[Calendar_h]]&gt;0),tblFleet[[#This Row],[Available_h]]/tblFleet[[#This Row],[Calendar_h]],"")</f>
        <v/>
      </c>
      <c r="J1285" s="60">
        <f>IF(AND(tblFleet[[#This Row],[Units]]&lt;&gt;"",tblFleet[[#This Row],[Available_h]]&gt;0),tblFleet[[#This Row],[Operating_h]]/tblFleet[[#This Row],[Available_h]],"")</f>
        <v/>
      </c>
    </row>
    <row r="1286">
      <c r="A1286" s="54" t="n"/>
      <c r="B1286" s="61" t="n"/>
      <c r="C1286" s="62" t="n"/>
      <c r="D1286" s="57" t="n"/>
      <c r="E1286" s="57" t="n"/>
      <c r="F1286" s="58" t="n"/>
      <c r="G1286" s="66">
        <f>IF(tblFleet[[#This Row],[Units]]="","",tblFleet[[#This Row],[Units]]*24)</f>
        <v/>
      </c>
      <c r="H1286" s="66">
        <f>IF(tblFleet[[#This Row],[Units]]="","",tblFleet[[#This Row],[Calendar_h]]-tblFleet[[#This Row],[Down_h]])</f>
        <v/>
      </c>
      <c r="I1286" s="60">
        <f>IF(AND(tblFleet[[#This Row],[Units]]&lt;&gt;"",tblFleet[[#This Row],[Calendar_h]]&gt;0),tblFleet[[#This Row],[Available_h]]/tblFleet[[#This Row],[Calendar_h]],"")</f>
        <v/>
      </c>
      <c r="J1286" s="60">
        <f>IF(AND(tblFleet[[#This Row],[Units]]&lt;&gt;"",tblFleet[[#This Row],[Available_h]]&gt;0),tblFleet[[#This Row],[Operating_h]]/tblFleet[[#This Row],[Available_h]],"")</f>
        <v/>
      </c>
    </row>
    <row r="1287">
      <c r="A1287" s="54" t="n"/>
      <c r="B1287" s="61" t="n"/>
      <c r="C1287" s="62" t="n"/>
      <c r="D1287" s="57" t="n"/>
      <c r="E1287" s="57" t="n"/>
      <c r="F1287" s="58" t="n"/>
      <c r="G1287" s="66">
        <f>IF(tblFleet[[#This Row],[Units]]="","",tblFleet[[#This Row],[Units]]*24)</f>
        <v/>
      </c>
      <c r="H1287" s="66">
        <f>IF(tblFleet[[#This Row],[Units]]="","",tblFleet[[#This Row],[Calendar_h]]-tblFleet[[#This Row],[Down_h]])</f>
        <v/>
      </c>
      <c r="I1287" s="60">
        <f>IF(AND(tblFleet[[#This Row],[Units]]&lt;&gt;"",tblFleet[[#This Row],[Calendar_h]]&gt;0),tblFleet[[#This Row],[Available_h]]/tblFleet[[#This Row],[Calendar_h]],"")</f>
        <v/>
      </c>
      <c r="J1287" s="60">
        <f>IF(AND(tblFleet[[#This Row],[Units]]&lt;&gt;"",tblFleet[[#This Row],[Available_h]]&gt;0),tblFleet[[#This Row],[Operating_h]]/tblFleet[[#This Row],[Available_h]],"")</f>
        <v/>
      </c>
    </row>
    <row r="1288">
      <c r="A1288" s="54" t="n"/>
      <c r="B1288" s="61" t="n"/>
      <c r="C1288" s="62" t="n"/>
      <c r="D1288" s="57" t="n"/>
      <c r="E1288" s="57" t="n"/>
      <c r="F1288" s="58" t="n"/>
      <c r="G1288" s="66">
        <f>IF(tblFleet[[#This Row],[Units]]="","",tblFleet[[#This Row],[Units]]*24)</f>
        <v/>
      </c>
      <c r="H1288" s="66">
        <f>IF(tblFleet[[#This Row],[Units]]="","",tblFleet[[#This Row],[Calendar_h]]-tblFleet[[#This Row],[Down_h]])</f>
        <v/>
      </c>
      <c r="I1288" s="60">
        <f>IF(AND(tblFleet[[#This Row],[Units]]&lt;&gt;"",tblFleet[[#This Row],[Calendar_h]]&gt;0),tblFleet[[#This Row],[Available_h]]/tblFleet[[#This Row],[Calendar_h]],"")</f>
        <v/>
      </c>
      <c r="J1288" s="60">
        <f>IF(AND(tblFleet[[#This Row],[Units]]&lt;&gt;"",tblFleet[[#This Row],[Available_h]]&gt;0),tblFleet[[#This Row],[Operating_h]]/tblFleet[[#This Row],[Available_h]],"")</f>
        <v/>
      </c>
    </row>
    <row r="1289">
      <c r="A1289" s="54" t="n"/>
      <c r="B1289" s="61" t="n"/>
      <c r="C1289" s="62" t="n"/>
      <c r="D1289" s="57" t="n"/>
      <c r="E1289" s="57" t="n"/>
      <c r="F1289" s="58" t="n"/>
      <c r="G1289" s="66">
        <f>IF(tblFleet[[#This Row],[Units]]="","",tblFleet[[#This Row],[Units]]*24)</f>
        <v/>
      </c>
      <c r="H1289" s="66">
        <f>IF(tblFleet[[#This Row],[Units]]="","",tblFleet[[#This Row],[Calendar_h]]-tblFleet[[#This Row],[Down_h]])</f>
        <v/>
      </c>
      <c r="I1289" s="60">
        <f>IF(AND(tblFleet[[#This Row],[Units]]&lt;&gt;"",tblFleet[[#This Row],[Calendar_h]]&gt;0),tblFleet[[#This Row],[Available_h]]/tblFleet[[#This Row],[Calendar_h]],"")</f>
        <v/>
      </c>
      <c r="J1289" s="60">
        <f>IF(AND(tblFleet[[#This Row],[Units]]&lt;&gt;"",tblFleet[[#This Row],[Available_h]]&gt;0),tblFleet[[#This Row],[Operating_h]]/tblFleet[[#This Row],[Available_h]],"")</f>
        <v/>
      </c>
    </row>
    <row r="1290">
      <c r="A1290" s="54" t="n"/>
      <c r="B1290" s="61" t="n"/>
      <c r="C1290" s="62" t="n"/>
      <c r="D1290" s="57" t="n"/>
      <c r="E1290" s="57" t="n"/>
      <c r="F1290" s="58" t="n"/>
      <c r="G1290" s="66">
        <f>IF(tblFleet[[#This Row],[Units]]="","",tblFleet[[#This Row],[Units]]*24)</f>
        <v/>
      </c>
      <c r="H1290" s="66">
        <f>IF(tblFleet[[#This Row],[Units]]="","",tblFleet[[#This Row],[Calendar_h]]-tblFleet[[#This Row],[Down_h]])</f>
        <v/>
      </c>
      <c r="I1290" s="60">
        <f>IF(AND(tblFleet[[#This Row],[Units]]&lt;&gt;"",tblFleet[[#This Row],[Calendar_h]]&gt;0),tblFleet[[#This Row],[Available_h]]/tblFleet[[#This Row],[Calendar_h]],"")</f>
        <v/>
      </c>
      <c r="J1290" s="60">
        <f>IF(AND(tblFleet[[#This Row],[Units]]&lt;&gt;"",tblFleet[[#This Row],[Available_h]]&gt;0),tblFleet[[#This Row],[Operating_h]]/tblFleet[[#This Row],[Available_h]],"")</f>
        <v/>
      </c>
    </row>
    <row r="1291">
      <c r="A1291" s="54" t="n"/>
      <c r="B1291" s="61" t="n"/>
      <c r="C1291" s="62" t="n"/>
      <c r="D1291" s="57" t="n"/>
      <c r="E1291" s="57" t="n"/>
      <c r="F1291" s="58" t="n"/>
      <c r="G1291" s="66">
        <f>IF(tblFleet[[#This Row],[Units]]="","",tblFleet[[#This Row],[Units]]*24)</f>
        <v/>
      </c>
      <c r="H1291" s="66">
        <f>IF(tblFleet[[#This Row],[Units]]="","",tblFleet[[#This Row],[Calendar_h]]-tblFleet[[#This Row],[Down_h]])</f>
        <v/>
      </c>
      <c r="I1291" s="60">
        <f>IF(AND(tblFleet[[#This Row],[Units]]&lt;&gt;"",tblFleet[[#This Row],[Calendar_h]]&gt;0),tblFleet[[#This Row],[Available_h]]/tblFleet[[#This Row],[Calendar_h]],"")</f>
        <v/>
      </c>
      <c r="J1291" s="60">
        <f>IF(AND(tblFleet[[#This Row],[Units]]&lt;&gt;"",tblFleet[[#This Row],[Available_h]]&gt;0),tblFleet[[#This Row],[Operating_h]]/tblFleet[[#This Row],[Available_h]],"")</f>
        <v/>
      </c>
    </row>
    <row r="1292">
      <c r="A1292" s="54" t="n"/>
      <c r="B1292" s="61" t="n"/>
      <c r="C1292" s="62" t="n"/>
      <c r="D1292" s="57" t="n"/>
      <c r="E1292" s="57" t="n"/>
      <c r="F1292" s="58" t="n"/>
      <c r="G1292" s="66">
        <f>IF(tblFleet[[#This Row],[Units]]="","",tblFleet[[#This Row],[Units]]*24)</f>
        <v/>
      </c>
      <c r="H1292" s="66">
        <f>IF(tblFleet[[#This Row],[Units]]="","",tblFleet[[#This Row],[Calendar_h]]-tblFleet[[#This Row],[Down_h]])</f>
        <v/>
      </c>
      <c r="I1292" s="60">
        <f>IF(AND(tblFleet[[#This Row],[Units]]&lt;&gt;"",tblFleet[[#This Row],[Calendar_h]]&gt;0),tblFleet[[#This Row],[Available_h]]/tblFleet[[#This Row],[Calendar_h]],"")</f>
        <v/>
      </c>
      <c r="J1292" s="60">
        <f>IF(AND(tblFleet[[#This Row],[Units]]&lt;&gt;"",tblFleet[[#This Row],[Available_h]]&gt;0),tblFleet[[#This Row],[Operating_h]]/tblFleet[[#This Row],[Available_h]],"")</f>
        <v/>
      </c>
    </row>
    <row r="1293">
      <c r="A1293" s="54" t="n"/>
      <c r="B1293" s="61" t="n"/>
      <c r="C1293" s="62" t="n"/>
      <c r="D1293" s="57" t="n"/>
      <c r="E1293" s="57" t="n"/>
      <c r="F1293" s="58" t="n"/>
      <c r="G1293" s="66">
        <f>IF(tblFleet[[#This Row],[Units]]="","",tblFleet[[#This Row],[Units]]*24)</f>
        <v/>
      </c>
      <c r="H1293" s="66">
        <f>IF(tblFleet[[#This Row],[Units]]="","",tblFleet[[#This Row],[Calendar_h]]-tblFleet[[#This Row],[Down_h]])</f>
        <v/>
      </c>
      <c r="I1293" s="60">
        <f>IF(AND(tblFleet[[#This Row],[Units]]&lt;&gt;"",tblFleet[[#This Row],[Calendar_h]]&gt;0),tblFleet[[#This Row],[Available_h]]/tblFleet[[#This Row],[Calendar_h]],"")</f>
        <v/>
      </c>
      <c r="J1293" s="60">
        <f>IF(AND(tblFleet[[#This Row],[Units]]&lt;&gt;"",tblFleet[[#This Row],[Available_h]]&gt;0),tblFleet[[#This Row],[Operating_h]]/tblFleet[[#This Row],[Available_h]],"")</f>
        <v/>
      </c>
    </row>
    <row r="1294">
      <c r="A1294" s="54" t="n"/>
      <c r="B1294" s="61" t="n"/>
      <c r="C1294" s="62" t="n"/>
      <c r="D1294" s="57" t="n"/>
      <c r="E1294" s="57" t="n"/>
      <c r="F1294" s="58" t="n"/>
      <c r="G1294" s="66">
        <f>IF(tblFleet[[#This Row],[Units]]="","",tblFleet[[#This Row],[Units]]*24)</f>
        <v/>
      </c>
      <c r="H1294" s="66">
        <f>IF(tblFleet[[#This Row],[Units]]="","",tblFleet[[#This Row],[Calendar_h]]-tblFleet[[#This Row],[Down_h]])</f>
        <v/>
      </c>
      <c r="I1294" s="60">
        <f>IF(AND(tblFleet[[#This Row],[Units]]&lt;&gt;"",tblFleet[[#This Row],[Calendar_h]]&gt;0),tblFleet[[#This Row],[Available_h]]/tblFleet[[#This Row],[Calendar_h]],"")</f>
        <v/>
      </c>
      <c r="J1294" s="60">
        <f>IF(AND(tblFleet[[#This Row],[Units]]&lt;&gt;"",tblFleet[[#This Row],[Available_h]]&gt;0),tblFleet[[#This Row],[Operating_h]]/tblFleet[[#This Row],[Available_h]],"")</f>
        <v/>
      </c>
    </row>
    <row r="1295">
      <c r="A1295" s="54" t="n"/>
      <c r="B1295" s="61" t="n"/>
      <c r="C1295" s="62" t="n"/>
      <c r="D1295" s="57" t="n"/>
      <c r="E1295" s="57" t="n"/>
      <c r="F1295" s="58" t="n"/>
      <c r="G1295" s="66">
        <f>IF(tblFleet[[#This Row],[Units]]="","",tblFleet[[#This Row],[Units]]*24)</f>
        <v/>
      </c>
      <c r="H1295" s="66">
        <f>IF(tblFleet[[#This Row],[Units]]="","",tblFleet[[#This Row],[Calendar_h]]-tblFleet[[#This Row],[Down_h]])</f>
        <v/>
      </c>
      <c r="I1295" s="60">
        <f>IF(AND(tblFleet[[#This Row],[Units]]&lt;&gt;"",tblFleet[[#This Row],[Calendar_h]]&gt;0),tblFleet[[#This Row],[Available_h]]/tblFleet[[#This Row],[Calendar_h]],"")</f>
        <v/>
      </c>
      <c r="J1295" s="60">
        <f>IF(AND(tblFleet[[#This Row],[Units]]&lt;&gt;"",tblFleet[[#This Row],[Available_h]]&gt;0),tblFleet[[#This Row],[Operating_h]]/tblFleet[[#This Row],[Available_h]],"")</f>
        <v/>
      </c>
    </row>
    <row r="1296">
      <c r="A1296" s="54" t="n"/>
      <c r="B1296" s="61" t="n"/>
      <c r="C1296" s="62" t="n"/>
      <c r="D1296" s="57" t="n"/>
      <c r="E1296" s="57" t="n"/>
      <c r="F1296" s="58" t="n"/>
      <c r="G1296" s="66">
        <f>IF(tblFleet[[#This Row],[Units]]="","",tblFleet[[#This Row],[Units]]*24)</f>
        <v/>
      </c>
      <c r="H1296" s="66">
        <f>IF(tblFleet[[#This Row],[Units]]="","",tblFleet[[#This Row],[Calendar_h]]-tblFleet[[#This Row],[Down_h]])</f>
        <v/>
      </c>
      <c r="I1296" s="60">
        <f>IF(AND(tblFleet[[#This Row],[Units]]&lt;&gt;"",tblFleet[[#This Row],[Calendar_h]]&gt;0),tblFleet[[#This Row],[Available_h]]/tblFleet[[#This Row],[Calendar_h]],"")</f>
        <v/>
      </c>
      <c r="J1296" s="60">
        <f>IF(AND(tblFleet[[#This Row],[Units]]&lt;&gt;"",tblFleet[[#This Row],[Available_h]]&gt;0),tblFleet[[#This Row],[Operating_h]]/tblFleet[[#This Row],[Available_h]],"")</f>
        <v/>
      </c>
    </row>
    <row r="1297">
      <c r="A1297" s="54" t="n"/>
      <c r="B1297" s="61" t="n"/>
      <c r="C1297" s="62" t="n"/>
      <c r="D1297" s="57" t="n"/>
      <c r="E1297" s="57" t="n"/>
      <c r="F1297" s="58" t="n"/>
      <c r="G1297" s="66">
        <f>IF(tblFleet[[#This Row],[Units]]="","",tblFleet[[#This Row],[Units]]*24)</f>
        <v/>
      </c>
      <c r="H1297" s="66">
        <f>IF(tblFleet[[#This Row],[Units]]="","",tblFleet[[#This Row],[Calendar_h]]-tblFleet[[#This Row],[Down_h]])</f>
        <v/>
      </c>
      <c r="I1297" s="60">
        <f>IF(AND(tblFleet[[#This Row],[Units]]&lt;&gt;"",tblFleet[[#This Row],[Calendar_h]]&gt;0),tblFleet[[#This Row],[Available_h]]/tblFleet[[#This Row],[Calendar_h]],"")</f>
        <v/>
      </c>
      <c r="J1297" s="60">
        <f>IF(AND(tblFleet[[#This Row],[Units]]&lt;&gt;"",tblFleet[[#This Row],[Available_h]]&gt;0),tblFleet[[#This Row],[Operating_h]]/tblFleet[[#This Row],[Available_h]],"")</f>
        <v/>
      </c>
    </row>
    <row r="1298">
      <c r="A1298" s="54" t="n"/>
      <c r="B1298" s="61" t="n"/>
      <c r="C1298" s="62" t="n"/>
      <c r="D1298" s="57" t="n"/>
      <c r="E1298" s="57" t="n"/>
      <c r="F1298" s="58" t="n"/>
      <c r="G1298" s="66">
        <f>IF(tblFleet[[#This Row],[Units]]="","",tblFleet[[#This Row],[Units]]*24)</f>
        <v/>
      </c>
      <c r="H1298" s="66">
        <f>IF(tblFleet[[#This Row],[Units]]="","",tblFleet[[#This Row],[Calendar_h]]-tblFleet[[#This Row],[Down_h]])</f>
        <v/>
      </c>
      <c r="I1298" s="60">
        <f>IF(AND(tblFleet[[#This Row],[Units]]&lt;&gt;"",tblFleet[[#This Row],[Calendar_h]]&gt;0),tblFleet[[#This Row],[Available_h]]/tblFleet[[#This Row],[Calendar_h]],"")</f>
        <v/>
      </c>
      <c r="J1298" s="60">
        <f>IF(AND(tblFleet[[#This Row],[Units]]&lt;&gt;"",tblFleet[[#This Row],[Available_h]]&gt;0),tblFleet[[#This Row],[Operating_h]]/tblFleet[[#This Row],[Available_h]],"")</f>
        <v/>
      </c>
    </row>
    <row r="1299">
      <c r="A1299" s="54" t="n"/>
      <c r="B1299" s="61" t="n"/>
      <c r="C1299" s="62" t="n"/>
      <c r="D1299" s="57" t="n"/>
      <c r="E1299" s="57" t="n"/>
      <c r="F1299" s="58" t="n"/>
      <c r="G1299" s="66">
        <f>IF(tblFleet[[#This Row],[Units]]="","",tblFleet[[#This Row],[Units]]*24)</f>
        <v/>
      </c>
      <c r="H1299" s="66">
        <f>IF(tblFleet[[#This Row],[Units]]="","",tblFleet[[#This Row],[Calendar_h]]-tblFleet[[#This Row],[Down_h]])</f>
        <v/>
      </c>
      <c r="I1299" s="60">
        <f>IF(AND(tblFleet[[#This Row],[Units]]&lt;&gt;"",tblFleet[[#This Row],[Calendar_h]]&gt;0),tblFleet[[#This Row],[Available_h]]/tblFleet[[#This Row],[Calendar_h]],"")</f>
        <v/>
      </c>
      <c r="J1299" s="60">
        <f>IF(AND(tblFleet[[#This Row],[Units]]&lt;&gt;"",tblFleet[[#This Row],[Available_h]]&gt;0),tblFleet[[#This Row],[Operating_h]]/tblFleet[[#This Row],[Available_h]],"")</f>
        <v/>
      </c>
    </row>
    <row r="1300">
      <c r="A1300" s="54" t="n"/>
      <c r="B1300" s="61" t="n"/>
      <c r="C1300" s="62" t="n"/>
      <c r="D1300" s="57" t="n"/>
      <c r="E1300" s="57" t="n"/>
      <c r="F1300" s="58" t="n"/>
      <c r="G1300" s="66">
        <f>IF(tblFleet[[#This Row],[Units]]="","",tblFleet[[#This Row],[Units]]*24)</f>
        <v/>
      </c>
      <c r="H1300" s="66">
        <f>IF(tblFleet[[#This Row],[Units]]="","",tblFleet[[#This Row],[Calendar_h]]-tblFleet[[#This Row],[Down_h]])</f>
        <v/>
      </c>
      <c r="I1300" s="60">
        <f>IF(AND(tblFleet[[#This Row],[Units]]&lt;&gt;"",tblFleet[[#This Row],[Calendar_h]]&gt;0),tblFleet[[#This Row],[Available_h]]/tblFleet[[#This Row],[Calendar_h]],"")</f>
        <v/>
      </c>
      <c r="J1300" s="60">
        <f>IF(AND(tblFleet[[#This Row],[Units]]&lt;&gt;"",tblFleet[[#This Row],[Available_h]]&gt;0),tblFleet[[#This Row],[Operating_h]]/tblFleet[[#This Row],[Available_h]],"")</f>
        <v/>
      </c>
    </row>
    <row r="1301">
      <c r="A1301" s="54" t="n"/>
      <c r="B1301" s="61" t="n"/>
      <c r="C1301" s="62" t="n"/>
      <c r="D1301" s="57" t="n"/>
      <c r="E1301" s="57" t="n"/>
      <c r="F1301" s="58" t="n"/>
      <c r="G1301" s="66">
        <f>IF(tblFleet[[#This Row],[Units]]="","",tblFleet[[#This Row],[Units]]*24)</f>
        <v/>
      </c>
      <c r="H1301" s="66">
        <f>IF(tblFleet[[#This Row],[Units]]="","",tblFleet[[#This Row],[Calendar_h]]-tblFleet[[#This Row],[Down_h]])</f>
        <v/>
      </c>
      <c r="I1301" s="60">
        <f>IF(AND(tblFleet[[#This Row],[Units]]&lt;&gt;"",tblFleet[[#This Row],[Calendar_h]]&gt;0),tblFleet[[#This Row],[Available_h]]/tblFleet[[#This Row],[Calendar_h]],"")</f>
        <v/>
      </c>
      <c r="J1301" s="60">
        <f>IF(AND(tblFleet[[#This Row],[Units]]&lt;&gt;"",tblFleet[[#This Row],[Available_h]]&gt;0),tblFleet[[#This Row],[Operating_h]]/tblFleet[[#This Row],[Available_h]],"")</f>
        <v/>
      </c>
    </row>
    <row r="1302">
      <c r="A1302" s="54" t="n"/>
      <c r="B1302" s="61" t="n"/>
      <c r="C1302" s="62" t="n"/>
      <c r="D1302" s="57" t="n"/>
      <c r="E1302" s="57" t="n"/>
      <c r="F1302" s="58" t="n"/>
      <c r="G1302" s="66">
        <f>IF(tblFleet[[#This Row],[Units]]="","",tblFleet[[#This Row],[Units]]*24)</f>
        <v/>
      </c>
      <c r="H1302" s="66">
        <f>IF(tblFleet[[#This Row],[Units]]="","",tblFleet[[#This Row],[Calendar_h]]-tblFleet[[#This Row],[Down_h]])</f>
        <v/>
      </c>
      <c r="I1302" s="60">
        <f>IF(AND(tblFleet[[#This Row],[Units]]&lt;&gt;"",tblFleet[[#This Row],[Calendar_h]]&gt;0),tblFleet[[#This Row],[Available_h]]/tblFleet[[#This Row],[Calendar_h]],"")</f>
        <v/>
      </c>
      <c r="J1302" s="60">
        <f>IF(AND(tblFleet[[#This Row],[Units]]&lt;&gt;"",tblFleet[[#This Row],[Available_h]]&gt;0),tblFleet[[#This Row],[Operating_h]]/tblFleet[[#This Row],[Available_h]],"")</f>
        <v/>
      </c>
    </row>
    <row r="1303">
      <c r="A1303" s="54" t="n"/>
      <c r="B1303" s="61" t="n"/>
      <c r="C1303" s="62" t="n"/>
      <c r="D1303" s="57" t="n"/>
      <c r="E1303" s="57" t="n"/>
      <c r="F1303" s="58" t="n"/>
      <c r="G1303" s="66">
        <f>IF(tblFleet[[#This Row],[Units]]="","",tblFleet[[#This Row],[Units]]*24)</f>
        <v/>
      </c>
      <c r="H1303" s="66">
        <f>IF(tblFleet[[#This Row],[Units]]="","",tblFleet[[#This Row],[Calendar_h]]-tblFleet[[#This Row],[Down_h]])</f>
        <v/>
      </c>
      <c r="I1303" s="60">
        <f>IF(AND(tblFleet[[#This Row],[Units]]&lt;&gt;"",tblFleet[[#This Row],[Calendar_h]]&gt;0),tblFleet[[#This Row],[Available_h]]/tblFleet[[#This Row],[Calendar_h]],"")</f>
        <v/>
      </c>
      <c r="J1303" s="60">
        <f>IF(AND(tblFleet[[#This Row],[Units]]&lt;&gt;"",tblFleet[[#This Row],[Available_h]]&gt;0),tblFleet[[#This Row],[Operating_h]]/tblFleet[[#This Row],[Available_h]],"")</f>
        <v/>
      </c>
    </row>
    <row r="1304">
      <c r="A1304" s="54" t="n"/>
      <c r="B1304" s="61" t="n"/>
      <c r="C1304" s="62" t="n"/>
      <c r="D1304" s="57" t="n"/>
      <c r="E1304" s="57" t="n"/>
      <c r="F1304" s="58" t="n"/>
      <c r="G1304" s="66">
        <f>IF(tblFleet[[#This Row],[Units]]="","",tblFleet[[#This Row],[Units]]*24)</f>
        <v/>
      </c>
      <c r="H1304" s="66">
        <f>IF(tblFleet[[#This Row],[Units]]="","",tblFleet[[#This Row],[Calendar_h]]-tblFleet[[#This Row],[Down_h]])</f>
        <v/>
      </c>
      <c r="I1304" s="60">
        <f>IF(AND(tblFleet[[#This Row],[Units]]&lt;&gt;"",tblFleet[[#This Row],[Calendar_h]]&gt;0),tblFleet[[#This Row],[Available_h]]/tblFleet[[#This Row],[Calendar_h]],"")</f>
        <v/>
      </c>
      <c r="J1304" s="60">
        <f>IF(AND(tblFleet[[#This Row],[Units]]&lt;&gt;"",tblFleet[[#This Row],[Available_h]]&gt;0),tblFleet[[#This Row],[Operating_h]]/tblFleet[[#This Row],[Available_h]],"")</f>
        <v/>
      </c>
    </row>
    <row r="1305">
      <c r="A1305" s="54" t="n"/>
      <c r="B1305" s="61" t="n"/>
      <c r="C1305" s="62" t="n"/>
      <c r="D1305" s="57" t="n"/>
      <c r="E1305" s="57" t="n"/>
      <c r="F1305" s="58" t="n"/>
      <c r="G1305" s="66">
        <f>IF(tblFleet[[#This Row],[Units]]="","",tblFleet[[#This Row],[Units]]*24)</f>
        <v/>
      </c>
      <c r="H1305" s="66">
        <f>IF(tblFleet[[#This Row],[Units]]="","",tblFleet[[#This Row],[Calendar_h]]-tblFleet[[#This Row],[Down_h]])</f>
        <v/>
      </c>
      <c r="I1305" s="60">
        <f>IF(AND(tblFleet[[#This Row],[Units]]&lt;&gt;"",tblFleet[[#This Row],[Calendar_h]]&gt;0),tblFleet[[#This Row],[Available_h]]/tblFleet[[#This Row],[Calendar_h]],"")</f>
        <v/>
      </c>
      <c r="J1305" s="60">
        <f>IF(AND(tblFleet[[#This Row],[Units]]&lt;&gt;"",tblFleet[[#This Row],[Available_h]]&gt;0),tblFleet[[#This Row],[Operating_h]]/tblFleet[[#This Row],[Available_h]],"")</f>
        <v/>
      </c>
    </row>
    <row r="1306">
      <c r="A1306" s="54" t="n"/>
      <c r="B1306" s="61" t="n"/>
      <c r="C1306" s="62" t="n"/>
      <c r="D1306" s="57" t="n"/>
      <c r="E1306" s="57" t="n"/>
      <c r="F1306" s="58" t="n"/>
      <c r="G1306" s="66">
        <f>IF(tblFleet[[#This Row],[Units]]="","",tblFleet[[#This Row],[Units]]*24)</f>
        <v/>
      </c>
      <c r="H1306" s="66">
        <f>IF(tblFleet[[#This Row],[Units]]="","",tblFleet[[#This Row],[Calendar_h]]-tblFleet[[#This Row],[Down_h]])</f>
        <v/>
      </c>
      <c r="I1306" s="60">
        <f>IF(AND(tblFleet[[#This Row],[Units]]&lt;&gt;"",tblFleet[[#This Row],[Calendar_h]]&gt;0),tblFleet[[#This Row],[Available_h]]/tblFleet[[#This Row],[Calendar_h]],"")</f>
        <v/>
      </c>
      <c r="J1306" s="60">
        <f>IF(AND(tblFleet[[#This Row],[Units]]&lt;&gt;"",tblFleet[[#This Row],[Available_h]]&gt;0),tblFleet[[#This Row],[Operating_h]]/tblFleet[[#This Row],[Available_h]],"")</f>
        <v/>
      </c>
    </row>
    <row r="1307">
      <c r="A1307" s="54" t="n"/>
      <c r="B1307" s="61" t="n"/>
      <c r="C1307" s="62" t="n"/>
      <c r="D1307" s="57" t="n"/>
      <c r="E1307" s="57" t="n"/>
      <c r="F1307" s="58" t="n"/>
      <c r="G1307" s="66">
        <f>IF(tblFleet[[#This Row],[Units]]="","",tblFleet[[#This Row],[Units]]*24)</f>
        <v/>
      </c>
      <c r="H1307" s="66">
        <f>IF(tblFleet[[#This Row],[Units]]="","",tblFleet[[#This Row],[Calendar_h]]-tblFleet[[#This Row],[Down_h]])</f>
        <v/>
      </c>
      <c r="I1307" s="60">
        <f>IF(AND(tblFleet[[#This Row],[Units]]&lt;&gt;"",tblFleet[[#This Row],[Calendar_h]]&gt;0),tblFleet[[#This Row],[Available_h]]/tblFleet[[#This Row],[Calendar_h]],"")</f>
        <v/>
      </c>
      <c r="J1307" s="60">
        <f>IF(AND(tblFleet[[#This Row],[Units]]&lt;&gt;"",tblFleet[[#This Row],[Available_h]]&gt;0),tblFleet[[#This Row],[Operating_h]]/tblFleet[[#This Row],[Available_h]],"")</f>
        <v/>
      </c>
    </row>
    <row r="1308">
      <c r="A1308" s="54" t="n"/>
      <c r="B1308" s="61" t="n"/>
      <c r="C1308" s="62" t="n"/>
      <c r="D1308" s="57" t="n"/>
      <c r="E1308" s="57" t="n"/>
      <c r="F1308" s="58" t="n"/>
      <c r="G1308" s="66">
        <f>IF(tblFleet[[#This Row],[Units]]="","",tblFleet[[#This Row],[Units]]*24)</f>
        <v/>
      </c>
      <c r="H1308" s="66">
        <f>IF(tblFleet[[#This Row],[Units]]="","",tblFleet[[#This Row],[Calendar_h]]-tblFleet[[#This Row],[Down_h]])</f>
        <v/>
      </c>
      <c r="I1308" s="60">
        <f>IF(AND(tblFleet[[#This Row],[Units]]&lt;&gt;"",tblFleet[[#This Row],[Calendar_h]]&gt;0),tblFleet[[#This Row],[Available_h]]/tblFleet[[#This Row],[Calendar_h]],"")</f>
        <v/>
      </c>
      <c r="J1308" s="60">
        <f>IF(AND(tblFleet[[#This Row],[Units]]&lt;&gt;"",tblFleet[[#This Row],[Available_h]]&gt;0),tblFleet[[#This Row],[Operating_h]]/tblFleet[[#This Row],[Available_h]],"")</f>
        <v/>
      </c>
    </row>
    <row r="1309">
      <c r="A1309" s="54" t="n"/>
      <c r="B1309" s="61" t="n"/>
      <c r="C1309" s="62" t="n"/>
      <c r="D1309" s="57" t="n"/>
      <c r="E1309" s="57" t="n"/>
      <c r="F1309" s="58" t="n"/>
      <c r="G1309" s="66">
        <f>IF(tblFleet[[#This Row],[Units]]="","",tblFleet[[#This Row],[Units]]*24)</f>
        <v/>
      </c>
      <c r="H1309" s="66">
        <f>IF(tblFleet[[#This Row],[Units]]="","",tblFleet[[#This Row],[Calendar_h]]-tblFleet[[#This Row],[Down_h]])</f>
        <v/>
      </c>
      <c r="I1309" s="60">
        <f>IF(AND(tblFleet[[#This Row],[Units]]&lt;&gt;"",tblFleet[[#This Row],[Calendar_h]]&gt;0),tblFleet[[#This Row],[Available_h]]/tblFleet[[#This Row],[Calendar_h]],"")</f>
        <v/>
      </c>
      <c r="J1309" s="60">
        <f>IF(AND(tblFleet[[#This Row],[Units]]&lt;&gt;"",tblFleet[[#This Row],[Available_h]]&gt;0),tblFleet[[#This Row],[Operating_h]]/tblFleet[[#This Row],[Available_h]],"")</f>
        <v/>
      </c>
    </row>
    <row r="1310">
      <c r="A1310" s="54" t="n"/>
      <c r="B1310" s="61" t="n"/>
      <c r="C1310" s="62" t="n"/>
      <c r="D1310" s="57" t="n"/>
      <c r="E1310" s="57" t="n"/>
      <c r="F1310" s="58" t="n"/>
      <c r="G1310" s="66">
        <f>IF(tblFleet[[#This Row],[Units]]="","",tblFleet[[#This Row],[Units]]*24)</f>
        <v/>
      </c>
      <c r="H1310" s="66">
        <f>IF(tblFleet[[#This Row],[Units]]="","",tblFleet[[#This Row],[Calendar_h]]-tblFleet[[#This Row],[Down_h]])</f>
        <v/>
      </c>
      <c r="I1310" s="60">
        <f>IF(AND(tblFleet[[#This Row],[Units]]&lt;&gt;"",tblFleet[[#This Row],[Calendar_h]]&gt;0),tblFleet[[#This Row],[Available_h]]/tblFleet[[#This Row],[Calendar_h]],"")</f>
        <v/>
      </c>
      <c r="J1310" s="60">
        <f>IF(AND(tblFleet[[#This Row],[Units]]&lt;&gt;"",tblFleet[[#This Row],[Available_h]]&gt;0),tblFleet[[#This Row],[Operating_h]]/tblFleet[[#This Row],[Available_h]],"")</f>
        <v/>
      </c>
    </row>
    <row r="1311">
      <c r="A1311" s="54" t="n"/>
      <c r="B1311" s="61" t="n"/>
      <c r="C1311" s="62" t="n"/>
      <c r="D1311" s="57" t="n"/>
      <c r="E1311" s="57" t="n"/>
      <c r="F1311" s="58" t="n"/>
      <c r="G1311" s="66">
        <f>IF(tblFleet[[#This Row],[Units]]="","",tblFleet[[#This Row],[Units]]*24)</f>
        <v/>
      </c>
      <c r="H1311" s="66">
        <f>IF(tblFleet[[#This Row],[Units]]="","",tblFleet[[#This Row],[Calendar_h]]-tblFleet[[#This Row],[Down_h]])</f>
        <v/>
      </c>
      <c r="I1311" s="60">
        <f>IF(AND(tblFleet[[#This Row],[Units]]&lt;&gt;"",tblFleet[[#This Row],[Calendar_h]]&gt;0),tblFleet[[#This Row],[Available_h]]/tblFleet[[#This Row],[Calendar_h]],"")</f>
        <v/>
      </c>
      <c r="J1311" s="60">
        <f>IF(AND(tblFleet[[#This Row],[Units]]&lt;&gt;"",tblFleet[[#This Row],[Available_h]]&gt;0),tblFleet[[#This Row],[Operating_h]]/tblFleet[[#This Row],[Available_h]],"")</f>
        <v/>
      </c>
    </row>
    <row r="1312">
      <c r="A1312" s="54" t="n"/>
      <c r="B1312" s="61" t="n"/>
      <c r="C1312" s="62" t="n"/>
      <c r="D1312" s="57" t="n"/>
      <c r="E1312" s="57" t="n"/>
      <c r="F1312" s="58" t="n"/>
      <c r="G1312" s="66">
        <f>IF(tblFleet[[#This Row],[Units]]="","",tblFleet[[#This Row],[Units]]*24)</f>
        <v/>
      </c>
      <c r="H1312" s="66">
        <f>IF(tblFleet[[#This Row],[Units]]="","",tblFleet[[#This Row],[Calendar_h]]-tblFleet[[#This Row],[Down_h]])</f>
        <v/>
      </c>
      <c r="I1312" s="60">
        <f>IF(AND(tblFleet[[#This Row],[Units]]&lt;&gt;"",tblFleet[[#This Row],[Calendar_h]]&gt;0),tblFleet[[#This Row],[Available_h]]/tblFleet[[#This Row],[Calendar_h]],"")</f>
        <v/>
      </c>
      <c r="J1312" s="60">
        <f>IF(AND(tblFleet[[#This Row],[Units]]&lt;&gt;"",tblFleet[[#This Row],[Available_h]]&gt;0),tblFleet[[#This Row],[Operating_h]]/tblFleet[[#This Row],[Available_h]],"")</f>
        <v/>
      </c>
    </row>
    <row r="1313">
      <c r="A1313" s="54" t="n"/>
      <c r="B1313" s="61" t="n"/>
      <c r="C1313" s="62" t="n"/>
      <c r="D1313" s="57" t="n"/>
      <c r="E1313" s="57" t="n"/>
      <c r="F1313" s="58" t="n"/>
      <c r="G1313" s="66">
        <f>IF(tblFleet[[#This Row],[Units]]="","",tblFleet[[#This Row],[Units]]*24)</f>
        <v/>
      </c>
      <c r="H1313" s="66">
        <f>IF(tblFleet[[#This Row],[Units]]="","",tblFleet[[#This Row],[Calendar_h]]-tblFleet[[#This Row],[Down_h]])</f>
        <v/>
      </c>
      <c r="I1313" s="60">
        <f>IF(AND(tblFleet[[#This Row],[Units]]&lt;&gt;"",tblFleet[[#This Row],[Calendar_h]]&gt;0),tblFleet[[#This Row],[Available_h]]/tblFleet[[#This Row],[Calendar_h]],"")</f>
        <v/>
      </c>
      <c r="J1313" s="60">
        <f>IF(AND(tblFleet[[#This Row],[Units]]&lt;&gt;"",tblFleet[[#This Row],[Available_h]]&gt;0),tblFleet[[#This Row],[Operating_h]]/tblFleet[[#This Row],[Available_h]],"")</f>
        <v/>
      </c>
    </row>
    <row r="1314">
      <c r="A1314" s="54" t="n"/>
      <c r="B1314" s="61" t="n"/>
      <c r="C1314" s="62" t="n"/>
      <c r="D1314" s="57" t="n"/>
      <c r="E1314" s="57" t="n"/>
      <c r="F1314" s="58" t="n"/>
      <c r="G1314" s="66">
        <f>IF(tblFleet[[#This Row],[Units]]="","",tblFleet[[#This Row],[Units]]*24)</f>
        <v/>
      </c>
      <c r="H1314" s="66">
        <f>IF(tblFleet[[#This Row],[Units]]="","",tblFleet[[#This Row],[Calendar_h]]-tblFleet[[#This Row],[Down_h]])</f>
        <v/>
      </c>
      <c r="I1314" s="60">
        <f>IF(AND(tblFleet[[#This Row],[Units]]&lt;&gt;"",tblFleet[[#This Row],[Calendar_h]]&gt;0),tblFleet[[#This Row],[Available_h]]/tblFleet[[#This Row],[Calendar_h]],"")</f>
        <v/>
      </c>
      <c r="J1314" s="60">
        <f>IF(AND(tblFleet[[#This Row],[Units]]&lt;&gt;"",tblFleet[[#This Row],[Available_h]]&gt;0),tblFleet[[#This Row],[Operating_h]]/tblFleet[[#This Row],[Available_h]],"")</f>
        <v/>
      </c>
    </row>
    <row r="1315">
      <c r="A1315" s="54" t="n"/>
      <c r="B1315" s="61" t="n"/>
      <c r="C1315" s="62" t="n"/>
      <c r="D1315" s="57" t="n"/>
      <c r="E1315" s="57" t="n"/>
      <c r="F1315" s="58" t="n"/>
      <c r="G1315" s="66">
        <f>IF(tblFleet[[#This Row],[Units]]="","",tblFleet[[#This Row],[Units]]*24)</f>
        <v/>
      </c>
      <c r="H1315" s="66">
        <f>IF(tblFleet[[#This Row],[Units]]="","",tblFleet[[#This Row],[Calendar_h]]-tblFleet[[#This Row],[Down_h]])</f>
        <v/>
      </c>
      <c r="I1315" s="60">
        <f>IF(AND(tblFleet[[#This Row],[Units]]&lt;&gt;"",tblFleet[[#This Row],[Calendar_h]]&gt;0),tblFleet[[#This Row],[Available_h]]/tblFleet[[#This Row],[Calendar_h]],"")</f>
        <v/>
      </c>
      <c r="J1315" s="60">
        <f>IF(AND(tblFleet[[#This Row],[Units]]&lt;&gt;"",tblFleet[[#This Row],[Available_h]]&gt;0),tblFleet[[#This Row],[Operating_h]]/tblFleet[[#This Row],[Available_h]],"")</f>
        <v/>
      </c>
    </row>
    <row r="1316">
      <c r="A1316" s="54" t="n"/>
      <c r="B1316" s="61" t="n"/>
      <c r="C1316" s="62" t="n"/>
      <c r="D1316" s="57" t="n"/>
      <c r="E1316" s="57" t="n"/>
      <c r="F1316" s="58" t="n"/>
      <c r="G1316" s="66">
        <f>IF(tblFleet[[#This Row],[Units]]="","",tblFleet[[#This Row],[Units]]*24)</f>
        <v/>
      </c>
      <c r="H1316" s="66">
        <f>IF(tblFleet[[#This Row],[Units]]="","",tblFleet[[#This Row],[Calendar_h]]-tblFleet[[#This Row],[Down_h]])</f>
        <v/>
      </c>
      <c r="I1316" s="60">
        <f>IF(AND(tblFleet[[#This Row],[Units]]&lt;&gt;"",tblFleet[[#This Row],[Calendar_h]]&gt;0),tblFleet[[#This Row],[Available_h]]/tblFleet[[#This Row],[Calendar_h]],"")</f>
        <v/>
      </c>
      <c r="J1316" s="60">
        <f>IF(AND(tblFleet[[#This Row],[Units]]&lt;&gt;"",tblFleet[[#This Row],[Available_h]]&gt;0),tblFleet[[#This Row],[Operating_h]]/tblFleet[[#This Row],[Available_h]],"")</f>
        <v/>
      </c>
    </row>
    <row r="1317">
      <c r="A1317" s="54" t="n"/>
      <c r="B1317" s="61" t="n"/>
      <c r="C1317" s="62" t="n"/>
      <c r="D1317" s="57" t="n"/>
      <c r="E1317" s="57" t="n"/>
      <c r="F1317" s="58" t="n"/>
      <c r="G1317" s="66">
        <f>IF(tblFleet[[#This Row],[Units]]="","",tblFleet[[#This Row],[Units]]*24)</f>
        <v/>
      </c>
      <c r="H1317" s="66">
        <f>IF(tblFleet[[#This Row],[Units]]="","",tblFleet[[#This Row],[Calendar_h]]-tblFleet[[#This Row],[Down_h]])</f>
        <v/>
      </c>
      <c r="I1317" s="60">
        <f>IF(AND(tblFleet[[#This Row],[Units]]&lt;&gt;"",tblFleet[[#This Row],[Calendar_h]]&gt;0),tblFleet[[#This Row],[Available_h]]/tblFleet[[#This Row],[Calendar_h]],"")</f>
        <v/>
      </c>
      <c r="J1317" s="60">
        <f>IF(AND(tblFleet[[#This Row],[Units]]&lt;&gt;"",tblFleet[[#This Row],[Available_h]]&gt;0),tblFleet[[#This Row],[Operating_h]]/tblFleet[[#This Row],[Available_h]],"")</f>
        <v/>
      </c>
    </row>
    <row r="1318">
      <c r="A1318" s="54" t="n"/>
      <c r="B1318" s="61" t="n"/>
      <c r="C1318" s="62" t="n"/>
      <c r="D1318" s="57" t="n"/>
      <c r="E1318" s="57" t="n"/>
      <c r="F1318" s="58" t="n"/>
      <c r="G1318" s="66">
        <f>IF(tblFleet[[#This Row],[Units]]="","",tblFleet[[#This Row],[Units]]*24)</f>
        <v/>
      </c>
      <c r="H1318" s="66">
        <f>IF(tblFleet[[#This Row],[Units]]="","",tblFleet[[#This Row],[Calendar_h]]-tblFleet[[#This Row],[Down_h]])</f>
        <v/>
      </c>
      <c r="I1318" s="60">
        <f>IF(AND(tblFleet[[#This Row],[Units]]&lt;&gt;"",tblFleet[[#This Row],[Calendar_h]]&gt;0),tblFleet[[#This Row],[Available_h]]/tblFleet[[#This Row],[Calendar_h]],"")</f>
        <v/>
      </c>
      <c r="J1318" s="60">
        <f>IF(AND(tblFleet[[#This Row],[Units]]&lt;&gt;"",tblFleet[[#This Row],[Available_h]]&gt;0),tblFleet[[#This Row],[Operating_h]]/tblFleet[[#This Row],[Available_h]],"")</f>
        <v/>
      </c>
    </row>
    <row r="1319">
      <c r="A1319" s="54" t="n"/>
      <c r="B1319" s="61" t="n"/>
      <c r="C1319" s="62" t="n"/>
      <c r="D1319" s="57" t="n"/>
      <c r="E1319" s="57" t="n"/>
      <c r="F1319" s="58" t="n"/>
      <c r="G1319" s="66">
        <f>IF(tblFleet[[#This Row],[Units]]="","",tblFleet[[#This Row],[Units]]*24)</f>
        <v/>
      </c>
      <c r="H1319" s="66">
        <f>IF(tblFleet[[#This Row],[Units]]="","",tblFleet[[#This Row],[Calendar_h]]-tblFleet[[#This Row],[Down_h]])</f>
        <v/>
      </c>
      <c r="I1319" s="60">
        <f>IF(AND(tblFleet[[#This Row],[Units]]&lt;&gt;"",tblFleet[[#This Row],[Calendar_h]]&gt;0),tblFleet[[#This Row],[Available_h]]/tblFleet[[#This Row],[Calendar_h]],"")</f>
        <v/>
      </c>
      <c r="J1319" s="60">
        <f>IF(AND(tblFleet[[#This Row],[Units]]&lt;&gt;"",tblFleet[[#This Row],[Available_h]]&gt;0),tblFleet[[#This Row],[Operating_h]]/tblFleet[[#This Row],[Available_h]],"")</f>
        <v/>
      </c>
    </row>
    <row r="1320">
      <c r="A1320" s="54" t="n"/>
      <c r="B1320" s="61" t="n"/>
      <c r="C1320" s="62" t="n"/>
      <c r="D1320" s="57" t="n"/>
      <c r="E1320" s="57" t="n"/>
      <c r="F1320" s="58" t="n"/>
      <c r="G1320" s="66">
        <f>IF(tblFleet[[#This Row],[Units]]="","",tblFleet[[#This Row],[Units]]*24)</f>
        <v/>
      </c>
      <c r="H1320" s="66">
        <f>IF(tblFleet[[#This Row],[Units]]="","",tblFleet[[#This Row],[Calendar_h]]-tblFleet[[#This Row],[Down_h]])</f>
        <v/>
      </c>
      <c r="I1320" s="60">
        <f>IF(AND(tblFleet[[#This Row],[Units]]&lt;&gt;"",tblFleet[[#This Row],[Calendar_h]]&gt;0),tblFleet[[#This Row],[Available_h]]/tblFleet[[#This Row],[Calendar_h]],"")</f>
        <v/>
      </c>
      <c r="J1320" s="60">
        <f>IF(AND(tblFleet[[#This Row],[Units]]&lt;&gt;"",tblFleet[[#This Row],[Available_h]]&gt;0),tblFleet[[#This Row],[Operating_h]]/tblFleet[[#This Row],[Available_h]],"")</f>
        <v/>
      </c>
    </row>
    <row r="1321">
      <c r="A1321" s="54" t="n"/>
      <c r="B1321" s="61" t="n"/>
      <c r="C1321" s="62" t="n"/>
      <c r="D1321" s="57" t="n"/>
      <c r="E1321" s="57" t="n"/>
      <c r="F1321" s="58" t="n"/>
      <c r="G1321" s="66">
        <f>IF(tblFleet[[#This Row],[Units]]="","",tblFleet[[#This Row],[Units]]*24)</f>
        <v/>
      </c>
      <c r="H1321" s="66">
        <f>IF(tblFleet[[#This Row],[Units]]="","",tblFleet[[#This Row],[Calendar_h]]-tblFleet[[#This Row],[Down_h]])</f>
        <v/>
      </c>
      <c r="I1321" s="60">
        <f>IF(AND(tblFleet[[#This Row],[Units]]&lt;&gt;"",tblFleet[[#This Row],[Calendar_h]]&gt;0),tblFleet[[#This Row],[Available_h]]/tblFleet[[#This Row],[Calendar_h]],"")</f>
        <v/>
      </c>
      <c r="J1321" s="60">
        <f>IF(AND(tblFleet[[#This Row],[Units]]&lt;&gt;"",tblFleet[[#This Row],[Available_h]]&gt;0),tblFleet[[#This Row],[Operating_h]]/tblFleet[[#This Row],[Available_h]],"")</f>
        <v/>
      </c>
    </row>
    <row r="1322">
      <c r="A1322" s="54" t="n"/>
      <c r="B1322" s="61" t="n"/>
      <c r="C1322" s="62" t="n"/>
      <c r="D1322" s="57" t="n"/>
      <c r="E1322" s="57" t="n"/>
      <c r="F1322" s="58" t="n"/>
      <c r="G1322" s="66">
        <f>IF(tblFleet[[#This Row],[Units]]="","",tblFleet[[#This Row],[Units]]*24)</f>
        <v/>
      </c>
      <c r="H1322" s="66">
        <f>IF(tblFleet[[#This Row],[Units]]="","",tblFleet[[#This Row],[Calendar_h]]-tblFleet[[#This Row],[Down_h]])</f>
        <v/>
      </c>
      <c r="I1322" s="60">
        <f>IF(AND(tblFleet[[#This Row],[Units]]&lt;&gt;"",tblFleet[[#This Row],[Calendar_h]]&gt;0),tblFleet[[#This Row],[Available_h]]/tblFleet[[#This Row],[Calendar_h]],"")</f>
        <v/>
      </c>
      <c r="J1322" s="60">
        <f>IF(AND(tblFleet[[#This Row],[Units]]&lt;&gt;"",tblFleet[[#This Row],[Available_h]]&gt;0),tblFleet[[#This Row],[Operating_h]]/tblFleet[[#This Row],[Available_h]],"")</f>
        <v/>
      </c>
    </row>
    <row r="1323">
      <c r="A1323" s="54" t="n"/>
      <c r="B1323" s="61" t="n"/>
      <c r="C1323" s="62" t="n"/>
      <c r="D1323" s="57" t="n"/>
      <c r="E1323" s="57" t="n"/>
      <c r="F1323" s="58" t="n"/>
      <c r="G1323" s="66">
        <f>IF(tblFleet[[#This Row],[Units]]="","",tblFleet[[#This Row],[Units]]*24)</f>
        <v/>
      </c>
      <c r="H1323" s="66">
        <f>IF(tblFleet[[#This Row],[Units]]="","",tblFleet[[#This Row],[Calendar_h]]-tblFleet[[#This Row],[Down_h]])</f>
        <v/>
      </c>
      <c r="I1323" s="60">
        <f>IF(AND(tblFleet[[#This Row],[Units]]&lt;&gt;"",tblFleet[[#This Row],[Calendar_h]]&gt;0),tblFleet[[#This Row],[Available_h]]/tblFleet[[#This Row],[Calendar_h]],"")</f>
        <v/>
      </c>
      <c r="J1323" s="60">
        <f>IF(AND(tblFleet[[#This Row],[Units]]&lt;&gt;"",tblFleet[[#This Row],[Available_h]]&gt;0),tblFleet[[#This Row],[Operating_h]]/tblFleet[[#This Row],[Available_h]],"")</f>
        <v/>
      </c>
    </row>
    <row r="1324">
      <c r="A1324" s="54" t="n"/>
      <c r="B1324" s="61" t="n"/>
      <c r="C1324" s="62" t="n"/>
      <c r="D1324" s="57" t="n"/>
      <c r="E1324" s="57" t="n"/>
      <c r="F1324" s="58" t="n"/>
      <c r="G1324" s="66">
        <f>IF(tblFleet[[#This Row],[Units]]="","",tblFleet[[#This Row],[Units]]*24)</f>
        <v/>
      </c>
      <c r="H1324" s="66">
        <f>IF(tblFleet[[#This Row],[Units]]="","",tblFleet[[#This Row],[Calendar_h]]-tblFleet[[#This Row],[Down_h]])</f>
        <v/>
      </c>
      <c r="I1324" s="60">
        <f>IF(AND(tblFleet[[#This Row],[Units]]&lt;&gt;"",tblFleet[[#This Row],[Calendar_h]]&gt;0),tblFleet[[#This Row],[Available_h]]/tblFleet[[#This Row],[Calendar_h]],"")</f>
        <v/>
      </c>
      <c r="J1324" s="60">
        <f>IF(AND(tblFleet[[#This Row],[Units]]&lt;&gt;"",tblFleet[[#This Row],[Available_h]]&gt;0),tblFleet[[#This Row],[Operating_h]]/tblFleet[[#This Row],[Available_h]],"")</f>
        <v/>
      </c>
    </row>
    <row r="1325">
      <c r="A1325" s="54" t="n"/>
      <c r="B1325" s="61" t="n"/>
      <c r="C1325" s="62" t="n"/>
      <c r="D1325" s="57" t="n"/>
      <c r="E1325" s="57" t="n"/>
      <c r="F1325" s="58" t="n"/>
      <c r="G1325" s="66">
        <f>IF(tblFleet[[#This Row],[Units]]="","",tblFleet[[#This Row],[Units]]*24)</f>
        <v/>
      </c>
      <c r="H1325" s="66">
        <f>IF(tblFleet[[#This Row],[Units]]="","",tblFleet[[#This Row],[Calendar_h]]-tblFleet[[#This Row],[Down_h]])</f>
        <v/>
      </c>
      <c r="I1325" s="60">
        <f>IF(AND(tblFleet[[#This Row],[Units]]&lt;&gt;"",tblFleet[[#This Row],[Calendar_h]]&gt;0),tblFleet[[#This Row],[Available_h]]/tblFleet[[#This Row],[Calendar_h]],"")</f>
        <v/>
      </c>
      <c r="J1325" s="60">
        <f>IF(AND(tblFleet[[#This Row],[Units]]&lt;&gt;"",tblFleet[[#This Row],[Available_h]]&gt;0),tblFleet[[#This Row],[Operating_h]]/tblFleet[[#This Row],[Available_h]],"")</f>
        <v/>
      </c>
    </row>
    <row r="1326">
      <c r="A1326" s="54" t="n"/>
      <c r="B1326" s="61" t="n"/>
      <c r="C1326" s="62" t="n"/>
      <c r="D1326" s="57" t="n"/>
      <c r="E1326" s="57" t="n"/>
      <c r="F1326" s="58" t="n"/>
      <c r="G1326" s="66">
        <f>IF(tblFleet[[#This Row],[Units]]="","",tblFleet[[#This Row],[Units]]*24)</f>
        <v/>
      </c>
      <c r="H1326" s="66">
        <f>IF(tblFleet[[#This Row],[Units]]="","",tblFleet[[#This Row],[Calendar_h]]-tblFleet[[#This Row],[Down_h]])</f>
        <v/>
      </c>
      <c r="I1326" s="60">
        <f>IF(AND(tblFleet[[#This Row],[Units]]&lt;&gt;"",tblFleet[[#This Row],[Calendar_h]]&gt;0),tblFleet[[#This Row],[Available_h]]/tblFleet[[#This Row],[Calendar_h]],"")</f>
        <v/>
      </c>
      <c r="J1326" s="60">
        <f>IF(AND(tblFleet[[#This Row],[Units]]&lt;&gt;"",tblFleet[[#This Row],[Available_h]]&gt;0),tblFleet[[#This Row],[Operating_h]]/tblFleet[[#This Row],[Available_h]],"")</f>
        <v/>
      </c>
    </row>
    <row r="1327">
      <c r="A1327" s="54" t="n"/>
      <c r="B1327" s="61" t="n"/>
      <c r="C1327" s="62" t="n"/>
      <c r="D1327" s="57" t="n"/>
      <c r="E1327" s="57" t="n"/>
      <c r="F1327" s="58" t="n"/>
      <c r="G1327" s="66">
        <f>IF(tblFleet[[#This Row],[Units]]="","",tblFleet[[#This Row],[Units]]*24)</f>
        <v/>
      </c>
      <c r="H1327" s="66">
        <f>IF(tblFleet[[#This Row],[Units]]="","",tblFleet[[#This Row],[Calendar_h]]-tblFleet[[#This Row],[Down_h]])</f>
        <v/>
      </c>
      <c r="I1327" s="60">
        <f>IF(AND(tblFleet[[#This Row],[Units]]&lt;&gt;"",tblFleet[[#This Row],[Calendar_h]]&gt;0),tblFleet[[#This Row],[Available_h]]/tblFleet[[#This Row],[Calendar_h]],"")</f>
        <v/>
      </c>
      <c r="J1327" s="60">
        <f>IF(AND(tblFleet[[#This Row],[Units]]&lt;&gt;"",tblFleet[[#This Row],[Available_h]]&gt;0),tblFleet[[#This Row],[Operating_h]]/tblFleet[[#This Row],[Available_h]],"")</f>
        <v/>
      </c>
    </row>
    <row r="1328">
      <c r="A1328" s="54" t="n"/>
      <c r="B1328" s="61" t="n"/>
      <c r="C1328" s="62" t="n"/>
      <c r="D1328" s="57" t="n"/>
      <c r="E1328" s="57" t="n"/>
      <c r="F1328" s="58" t="n"/>
      <c r="G1328" s="66">
        <f>IF(tblFleet[[#This Row],[Units]]="","",tblFleet[[#This Row],[Units]]*24)</f>
        <v/>
      </c>
      <c r="H1328" s="66">
        <f>IF(tblFleet[[#This Row],[Units]]="","",tblFleet[[#This Row],[Calendar_h]]-tblFleet[[#This Row],[Down_h]])</f>
        <v/>
      </c>
      <c r="I1328" s="60">
        <f>IF(AND(tblFleet[[#This Row],[Units]]&lt;&gt;"",tblFleet[[#This Row],[Calendar_h]]&gt;0),tblFleet[[#This Row],[Available_h]]/tblFleet[[#This Row],[Calendar_h]],"")</f>
        <v/>
      </c>
      <c r="J1328" s="60">
        <f>IF(AND(tblFleet[[#This Row],[Units]]&lt;&gt;"",tblFleet[[#This Row],[Available_h]]&gt;0),tblFleet[[#This Row],[Operating_h]]/tblFleet[[#This Row],[Available_h]],"")</f>
        <v/>
      </c>
    </row>
    <row r="1329">
      <c r="A1329" s="54" t="n"/>
      <c r="B1329" s="61" t="n"/>
      <c r="C1329" s="62" t="n"/>
      <c r="D1329" s="57" t="n"/>
      <c r="E1329" s="57" t="n"/>
      <c r="F1329" s="58" t="n"/>
      <c r="G1329" s="66">
        <f>IF(tblFleet[[#This Row],[Units]]="","",tblFleet[[#This Row],[Units]]*24)</f>
        <v/>
      </c>
      <c r="H1329" s="66">
        <f>IF(tblFleet[[#This Row],[Units]]="","",tblFleet[[#This Row],[Calendar_h]]-tblFleet[[#This Row],[Down_h]])</f>
        <v/>
      </c>
      <c r="I1329" s="60">
        <f>IF(AND(tblFleet[[#This Row],[Units]]&lt;&gt;"",tblFleet[[#This Row],[Calendar_h]]&gt;0),tblFleet[[#This Row],[Available_h]]/tblFleet[[#This Row],[Calendar_h]],"")</f>
        <v/>
      </c>
      <c r="J1329" s="60">
        <f>IF(AND(tblFleet[[#This Row],[Units]]&lt;&gt;"",tblFleet[[#This Row],[Available_h]]&gt;0),tblFleet[[#This Row],[Operating_h]]/tblFleet[[#This Row],[Available_h]],"")</f>
        <v/>
      </c>
    </row>
    <row r="1330">
      <c r="A1330" s="54" t="n"/>
      <c r="B1330" s="61" t="n"/>
      <c r="C1330" s="62" t="n"/>
      <c r="D1330" s="57" t="n"/>
      <c r="E1330" s="57" t="n"/>
      <c r="F1330" s="58" t="n"/>
      <c r="G1330" s="66">
        <f>IF(tblFleet[[#This Row],[Units]]="","",tblFleet[[#This Row],[Units]]*24)</f>
        <v/>
      </c>
      <c r="H1330" s="66">
        <f>IF(tblFleet[[#This Row],[Units]]="","",tblFleet[[#This Row],[Calendar_h]]-tblFleet[[#This Row],[Down_h]])</f>
        <v/>
      </c>
      <c r="I1330" s="60">
        <f>IF(AND(tblFleet[[#This Row],[Units]]&lt;&gt;"",tblFleet[[#This Row],[Calendar_h]]&gt;0),tblFleet[[#This Row],[Available_h]]/tblFleet[[#This Row],[Calendar_h]],"")</f>
        <v/>
      </c>
      <c r="J1330" s="60">
        <f>IF(AND(tblFleet[[#This Row],[Units]]&lt;&gt;"",tblFleet[[#This Row],[Available_h]]&gt;0),tblFleet[[#This Row],[Operating_h]]/tblFleet[[#This Row],[Available_h]],"")</f>
        <v/>
      </c>
    </row>
    <row r="1331">
      <c r="A1331" s="54" t="n"/>
      <c r="B1331" s="61" t="n"/>
      <c r="C1331" s="62" t="n"/>
      <c r="D1331" s="57" t="n"/>
      <c r="E1331" s="57" t="n"/>
      <c r="F1331" s="58" t="n"/>
      <c r="G1331" s="66">
        <f>IF(tblFleet[[#This Row],[Units]]="","",tblFleet[[#This Row],[Units]]*24)</f>
        <v/>
      </c>
      <c r="H1331" s="66">
        <f>IF(tblFleet[[#This Row],[Units]]="","",tblFleet[[#This Row],[Calendar_h]]-tblFleet[[#This Row],[Down_h]])</f>
        <v/>
      </c>
      <c r="I1331" s="60">
        <f>IF(AND(tblFleet[[#This Row],[Units]]&lt;&gt;"",tblFleet[[#This Row],[Calendar_h]]&gt;0),tblFleet[[#This Row],[Available_h]]/tblFleet[[#This Row],[Calendar_h]],"")</f>
        <v/>
      </c>
      <c r="J1331" s="60">
        <f>IF(AND(tblFleet[[#This Row],[Units]]&lt;&gt;"",tblFleet[[#This Row],[Available_h]]&gt;0),tblFleet[[#This Row],[Operating_h]]/tblFleet[[#This Row],[Available_h]],"")</f>
        <v/>
      </c>
    </row>
    <row r="1332">
      <c r="A1332" s="54" t="n"/>
      <c r="B1332" s="61" t="n"/>
      <c r="C1332" s="62" t="n"/>
      <c r="D1332" s="57" t="n"/>
      <c r="E1332" s="57" t="n"/>
      <c r="F1332" s="58" t="n"/>
      <c r="G1332" s="66">
        <f>IF(tblFleet[[#This Row],[Units]]="","",tblFleet[[#This Row],[Units]]*24)</f>
        <v/>
      </c>
      <c r="H1332" s="66">
        <f>IF(tblFleet[[#This Row],[Units]]="","",tblFleet[[#This Row],[Calendar_h]]-tblFleet[[#This Row],[Down_h]])</f>
        <v/>
      </c>
      <c r="I1332" s="60">
        <f>IF(AND(tblFleet[[#This Row],[Units]]&lt;&gt;"",tblFleet[[#This Row],[Calendar_h]]&gt;0),tblFleet[[#This Row],[Available_h]]/tblFleet[[#This Row],[Calendar_h]],"")</f>
        <v/>
      </c>
      <c r="J1332" s="60">
        <f>IF(AND(tblFleet[[#This Row],[Units]]&lt;&gt;"",tblFleet[[#This Row],[Available_h]]&gt;0),tblFleet[[#This Row],[Operating_h]]/tblFleet[[#This Row],[Available_h]],"")</f>
        <v/>
      </c>
    </row>
    <row r="1333">
      <c r="A1333" s="54" t="n"/>
      <c r="B1333" s="61" t="n"/>
      <c r="C1333" s="62" t="n"/>
      <c r="D1333" s="57" t="n"/>
      <c r="E1333" s="57" t="n"/>
      <c r="F1333" s="58" t="n"/>
      <c r="G1333" s="66">
        <f>IF(tblFleet[[#This Row],[Units]]="","",tblFleet[[#This Row],[Units]]*24)</f>
        <v/>
      </c>
      <c r="H1333" s="66">
        <f>IF(tblFleet[[#This Row],[Units]]="","",tblFleet[[#This Row],[Calendar_h]]-tblFleet[[#This Row],[Down_h]])</f>
        <v/>
      </c>
      <c r="I1333" s="60">
        <f>IF(AND(tblFleet[[#This Row],[Units]]&lt;&gt;"",tblFleet[[#This Row],[Calendar_h]]&gt;0),tblFleet[[#This Row],[Available_h]]/tblFleet[[#This Row],[Calendar_h]],"")</f>
        <v/>
      </c>
      <c r="J1333" s="60">
        <f>IF(AND(tblFleet[[#This Row],[Units]]&lt;&gt;"",tblFleet[[#This Row],[Available_h]]&gt;0),tblFleet[[#This Row],[Operating_h]]/tblFleet[[#This Row],[Available_h]],"")</f>
        <v/>
      </c>
    </row>
    <row r="1334">
      <c r="A1334" s="54" t="n"/>
      <c r="B1334" s="61" t="n"/>
      <c r="C1334" s="62" t="n"/>
      <c r="D1334" s="57" t="n"/>
      <c r="E1334" s="57" t="n"/>
      <c r="F1334" s="58" t="n"/>
      <c r="G1334" s="66">
        <f>IF(tblFleet[[#This Row],[Units]]="","",tblFleet[[#This Row],[Units]]*24)</f>
        <v/>
      </c>
      <c r="H1334" s="66">
        <f>IF(tblFleet[[#This Row],[Units]]="","",tblFleet[[#This Row],[Calendar_h]]-tblFleet[[#This Row],[Down_h]])</f>
        <v/>
      </c>
      <c r="I1334" s="60">
        <f>IF(AND(tblFleet[[#This Row],[Units]]&lt;&gt;"",tblFleet[[#This Row],[Calendar_h]]&gt;0),tblFleet[[#This Row],[Available_h]]/tblFleet[[#This Row],[Calendar_h]],"")</f>
        <v/>
      </c>
      <c r="J1334" s="60">
        <f>IF(AND(tblFleet[[#This Row],[Units]]&lt;&gt;"",tblFleet[[#This Row],[Available_h]]&gt;0),tblFleet[[#This Row],[Operating_h]]/tblFleet[[#This Row],[Available_h]],"")</f>
        <v/>
      </c>
    </row>
    <row r="1335">
      <c r="A1335" s="54" t="n"/>
      <c r="B1335" s="61" t="n"/>
      <c r="C1335" s="62" t="n"/>
      <c r="D1335" s="57" t="n"/>
      <c r="E1335" s="57" t="n"/>
      <c r="F1335" s="58" t="n"/>
      <c r="G1335" s="66">
        <f>IF(tblFleet[[#This Row],[Units]]="","",tblFleet[[#This Row],[Units]]*24)</f>
        <v/>
      </c>
      <c r="H1335" s="66">
        <f>IF(tblFleet[[#This Row],[Units]]="","",tblFleet[[#This Row],[Calendar_h]]-tblFleet[[#This Row],[Down_h]])</f>
        <v/>
      </c>
      <c r="I1335" s="60">
        <f>IF(AND(tblFleet[[#This Row],[Units]]&lt;&gt;"",tblFleet[[#This Row],[Calendar_h]]&gt;0),tblFleet[[#This Row],[Available_h]]/tblFleet[[#This Row],[Calendar_h]],"")</f>
        <v/>
      </c>
      <c r="J1335" s="60">
        <f>IF(AND(tblFleet[[#This Row],[Units]]&lt;&gt;"",tblFleet[[#This Row],[Available_h]]&gt;0),tblFleet[[#This Row],[Operating_h]]/tblFleet[[#This Row],[Available_h]],"")</f>
        <v/>
      </c>
    </row>
    <row r="1336">
      <c r="A1336" s="54" t="n"/>
      <c r="B1336" s="61" t="n"/>
      <c r="C1336" s="62" t="n"/>
      <c r="D1336" s="57" t="n"/>
      <c r="E1336" s="57" t="n"/>
      <c r="F1336" s="58" t="n"/>
      <c r="G1336" s="66">
        <f>IF(tblFleet[[#This Row],[Units]]="","",tblFleet[[#This Row],[Units]]*24)</f>
        <v/>
      </c>
      <c r="H1336" s="66">
        <f>IF(tblFleet[[#This Row],[Units]]="","",tblFleet[[#This Row],[Calendar_h]]-tblFleet[[#This Row],[Down_h]])</f>
        <v/>
      </c>
      <c r="I1336" s="60">
        <f>IF(AND(tblFleet[[#This Row],[Units]]&lt;&gt;"",tblFleet[[#This Row],[Calendar_h]]&gt;0),tblFleet[[#This Row],[Available_h]]/tblFleet[[#This Row],[Calendar_h]],"")</f>
        <v/>
      </c>
      <c r="J1336" s="60">
        <f>IF(AND(tblFleet[[#This Row],[Units]]&lt;&gt;"",tblFleet[[#This Row],[Available_h]]&gt;0),tblFleet[[#This Row],[Operating_h]]/tblFleet[[#This Row],[Available_h]],"")</f>
        <v/>
      </c>
    </row>
    <row r="1337">
      <c r="A1337" s="54" t="n"/>
      <c r="B1337" s="61" t="n"/>
      <c r="C1337" s="62" t="n"/>
      <c r="D1337" s="57" t="n"/>
      <c r="E1337" s="57" t="n"/>
      <c r="F1337" s="58" t="n"/>
      <c r="G1337" s="66">
        <f>IF(tblFleet[[#This Row],[Units]]="","",tblFleet[[#This Row],[Units]]*24)</f>
        <v/>
      </c>
      <c r="H1337" s="66">
        <f>IF(tblFleet[[#This Row],[Units]]="","",tblFleet[[#This Row],[Calendar_h]]-tblFleet[[#This Row],[Down_h]])</f>
        <v/>
      </c>
      <c r="I1337" s="60">
        <f>IF(AND(tblFleet[[#This Row],[Units]]&lt;&gt;"",tblFleet[[#This Row],[Calendar_h]]&gt;0),tblFleet[[#This Row],[Available_h]]/tblFleet[[#This Row],[Calendar_h]],"")</f>
        <v/>
      </c>
      <c r="J1337" s="60">
        <f>IF(AND(tblFleet[[#This Row],[Units]]&lt;&gt;"",tblFleet[[#This Row],[Available_h]]&gt;0),tblFleet[[#This Row],[Operating_h]]/tblFleet[[#This Row],[Available_h]],"")</f>
        <v/>
      </c>
    </row>
    <row r="1338">
      <c r="A1338" s="54" t="n"/>
      <c r="B1338" s="61" t="n"/>
      <c r="C1338" s="62" t="n"/>
      <c r="D1338" s="57" t="n"/>
      <c r="E1338" s="57" t="n"/>
      <c r="F1338" s="58" t="n"/>
      <c r="G1338" s="66">
        <f>IF(tblFleet[[#This Row],[Units]]="","",tblFleet[[#This Row],[Units]]*24)</f>
        <v/>
      </c>
      <c r="H1338" s="66">
        <f>IF(tblFleet[[#This Row],[Units]]="","",tblFleet[[#This Row],[Calendar_h]]-tblFleet[[#This Row],[Down_h]])</f>
        <v/>
      </c>
      <c r="I1338" s="60">
        <f>IF(AND(tblFleet[[#This Row],[Units]]&lt;&gt;"",tblFleet[[#This Row],[Calendar_h]]&gt;0),tblFleet[[#This Row],[Available_h]]/tblFleet[[#This Row],[Calendar_h]],"")</f>
        <v/>
      </c>
      <c r="J1338" s="60">
        <f>IF(AND(tblFleet[[#This Row],[Units]]&lt;&gt;"",tblFleet[[#This Row],[Available_h]]&gt;0),tblFleet[[#This Row],[Operating_h]]/tblFleet[[#This Row],[Available_h]],"")</f>
        <v/>
      </c>
    </row>
    <row r="1339">
      <c r="A1339" s="54" t="n"/>
      <c r="B1339" s="61" t="n"/>
      <c r="C1339" s="62" t="n"/>
      <c r="D1339" s="57" t="n"/>
      <c r="E1339" s="57" t="n"/>
      <c r="F1339" s="58" t="n"/>
      <c r="G1339" s="66">
        <f>IF(tblFleet[[#This Row],[Units]]="","",tblFleet[[#This Row],[Units]]*24)</f>
        <v/>
      </c>
      <c r="H1339" s="66">
        <f>IF(tblFleet[[#This Row],[Units]]="","",tblFleet[[#This Row],[Calendar_h]]-tblFleet[[#This Row],[Down_h]])</f>
        <v/>
      </c>
      <c r="I1339" s="60">
        <f>IF(AND(tblFleet[[#This Row],[Units]]&lt;&gt;"",tblFleet[[#This Row],[Calendar_h]]&gt;0),tblFleet[[#This Row],[Available_h]]/tblFleet[[#This Row],[Calendar_h]],"")</f>
        <v/>
      </c>
      <c r="J1339" s="60">
        <f>IF(AND(tblFleet[[#This Row],[Units]]&lt;&gt;"",tblFleet[[#This Row],[Available_h]]&gt;0),tblFleet[[#This Row],[Operating_h]]/tblFleet[[#This Row],[Available_h]],"")</f>
        <v/>
      </c>
    </row>
    <row r="1340">
      <c r="A1340" s="54" t="n"/>
      <c r="B1340" s="61" t="n"/>
      <c r="C1340" s="62" t="n"/>
      <c r="D1340" s="57" t="n"/>
      <c r="E1340" s="57" t="n"/>
      <c r="F1340" s="58" t="n"/>
      <c r="G1340" s="66">
        <f>IF(tblFleet[[#This Row],[Units]]="","",tblFleet[[#This Row],[Units]]*24)</f>
        <v/>
      </c>
      <c r="H1340" s="66">
        <f>IF(tblFleet[[#This Row],[Units]]="","",tblFleet[[#This Row],[Calendar_h]]-tblFleet[[#This Row],[Down_h]])</f>
        <v/>
      </c>
      <c r="I1340" s="60">
        <f>IF(AND(tblFleet[[#This Row],[Units]]&lt;&gt;"",tblFleet[[#This Row],[Calendar_h]]&gt;0),tblFleet[[#This Row],[Available_h]]/tblFleet[[#This Row],[Calendar_h]],"")</f>
        <v/>
      </c>
      <c r="J1340" s="60">
        <f>IF(AND(tblFleet[[#This Row],[Units]]&lt;&gt;"",tblFleet[[#This Row],[Available_h]]&gt;0),tblFleet[[#This Row],[Operating_h]]/tblFleet[[#This Row],[Available_h]],"")</f>
        <v/>
      </c>
    </row>
    <row r="1341">
      <c r="A1341" s="54" t="n"/>
      <c r="B1341" s="61" t="n"/>
      <c r="C1341" s="62" t="n"/>
      <c r="D1341" s="57" t="n"/>
      <c r="E1341" s="57" t="n"/>
      <c r="F1341" s="58" t="n"/>
      <c r="G1341" s="66">
        <f>IF(tblFleet[[#This Row],[Units]]="","",tblFleet[[#This Row],[Units]]*24)</f>
        <v/>
      </c>
      <c r="H1341" s="66">
        <f>IF(tblFleet[[#This Row],[Units]]="","",tblFleet[[#This Row],[Calendar_h]]-tblFleet[[#This Row],[Down_h]])</f>
        <v/>
      </c>
      <c r="I1341" s="60">
        <f>IF(AND(tblFleet[[#This Row],[Units]]&lt;&gt;"",tblFleet[[#This Row],[Calendar_h]]&gt;0),tblFleet[[#This Row],[Available_h]]/tblFleet[[#This Row],[Calendar_h]],"")</f>
        <v/>
      </c>
      <c r="J1341" s="60">
        <f>IF(AND(tblFleet[[#This Row],[Units]]&lt;&gt;"",tblFleet[[#This Row],[Available_h]]&gt;0),tblFleet[[#This Row],[Operating_h]]/tblFleet[[#This Row],[Available_h]],"")</f>
        <v/>
      </c>
    </row>
    <row r="1342">
      <c r="A1342" s="54" t="n"/>
      <c r="B1342" s="61" t="n"/>
      <c r="C1342" s="62" t="n"/>
      <c r="D1342" s="57" t="n"/>
      <c r="E1342" s="57" t="n"/>
      <c r="F1342" s="58" t="n"/>
      <c r="G1342" s="66">
        <f>IF(tblFleet[[#This Row],[Units]]="","",tblFleet[[#This Row],[Units]]*24)</f>
        <v/>
      </c>
      <c r="H1342" s="66">
        <f>IF(tblFleet[[#This Row],[Units]]="","",tblFleet[[#This Row],[Calendar_h]]-tblFleet[[#This Row],[Down_h]])</f>
        <v/>
      </c>
      <c r="I1342" s="60">
        <f>IF(AND(tblFleet[[#This Row],[Units]]&lt;&gt;"",tblFleet[[#This Row],[Calendar_h]]&gt;0),tblFleet[[#This Row],[Available_h]]/tblFleet[[#This Row],[Calendar_h]],"")</f>
        <v/>
      </c>
      <c r="J1342" s="60">
        <f>IF(AND(tblFleet[[#This Row],[Units]]&lt;&gt;"",tblFleet[[#This Row],[Available_h]]&gt;0),tblFleet[[#This Row],[Operating_h]]/tblFleet[[#This Row],[Available_h]],"")</f>
        <v/>
      </c>
    </row>
    <row r="1343">
      <c r="A1343" s="54" t="n"/>
      <c r="B1343" s="61" t="n"/>
      <c r="C1343" s="62" t="n"/>
      <c r="D1343" s="57" t="n"/>
      <c r="E1343" s="57" t="n"/>
      <c r="F1343" s="58" t="n"/>
      <c r="G1343" s="66">
        <f>IF(tblFleet[[#This Row],[Units]]="","",tblFleet[[#This Row],[Units]]*24)</f>
        <v/>
      </c>
      <c r="H1343" s="66">
        <f>IF(tblFleet[[#This Row],[Units]]="","",tblFleet[[#This Row],[Calendar_h]]-tblFleet[[#This Row],[Down_h]])</f>
        <v/>
      </c>
      <c r="I1343" s="60">
        <f>IF(AND(tblFleet[[#This Row],[Units]]&lt;&gt;"",tblFleet[[#This Row],[Calendar_h]]&gt;0),tblFleet[[#This Row],[Available_h]]/tblFleet[[#This Row],[Calendar_h]],"")</f>
        <v/>
      </c>
      <c r="J1343" s="60">
        <f>IF(AND(tblFleet[[#This Row],[Units]]&lt;&gt;"",tblFleet[[#This Row],[Available_h]]&gt;0),tblFleet[[#This Row],[Operating_h]]/tblFleet[[#This Row],[Available_h]],"")</f>
        <v/>
      </c>
    </row>
    <row r="1344">
      <c r="A1344" s="54" t="n"/>
      <c r="B1344" s="61" t="n"/>
      <c r="C1344" s="62" t="n"/>
      <c r="D1344" s="57" t="n"/>
      <c r="E1344" s="57" t="n"/>
      <c r="F1344" s="58" t="n"/>
      <c r="G1344" s="66">
        <f>IF(tblFleet[[#This Row],[Units]]="","",tblFleet[[#This Row],[Units]]*24)</f>
        <v/>
      </c>
      <c r="H1344" s="66">
        <f>IF(tblFleet[[#This Row],[Units]]="","",tblFleet[[#This Row],[Calendar_h]]-tblFleet[[#This Row],[Down_h]])</f>
        <v/>
      </c>
      <c r="I1344" s="60">
        <f>IF(AND(tblFleet[[#This Row],[Units]]&lt;&gt;"",tblFleet[[#This Row],[Calendar_h]]&gt;0),tblFleet[[#This Row],[Available_h]]/tblFleet[[#This Row],[Calendar_h]],"")</f>
        <v/>
      </c>
      <c r="J1344" s="60">
        <f>IF(AND(tblFleet[[#This Row],[Units]]&lt;&gt;"",tblFleet[[#This Row],[Available_h]]&gt;0),tblFleet[[#This Row],[Operating_h]]/tblFleet[[#This Row],[Available_h]],"")</f>
        <v/>
      </c>
    </row>
    <row r="1345">
      <c r="A1345" s="54" t="n"/>
      <c r="B1345" s="61" t="n"/>
      <c r="C1345" s="62" t="n"/>
      <c r="D1345" s="57" t="n"/>
      <c r="E1345" s="57" t="n"/>
      <c r="F1345" s="58" t="n"/>
      <c r="G1345" s="66">
        <f>IF(tblFleet[[#This Row],[Units]]="","",tblFleet[[#This Row],[Units]]*24)</f>
        <v/>
      </c>
      <c r="H1345" s="66">
        <f>IF(tblFleet[[#This Row],[Units]]="","",tblFleet[[#This Row],[Calendar_h]]-tblFleet[[#This Row],[Down_h]])</f>
        <v/>
      </c>
      <c r="I1345" s="60">
        <f>IF(AND(tblFleet[[#This Row],[Units]]&lt;&gt;"",tblFleet[[#This Row],[Calendar_h]]&gt;0),tblFleet[[#This Row],[Available_h]]/tblFleet[[#This Row],[Calendar_h]],"")</f>
        <v/>
      </c>
      <c r="J1345" s="60">
        <f>IF(AND(tblFleet[[#This Row],[Units]]&lt;&gt;"",tblFleet[[#This Row],[Available_h]]&gt;0),tblFleet[[#This Row],[Operating_h]]/tblFleet[[#This Row],[Available_h]],"")</f>
        <v/>
      </c>
    </row>
    <row r="1346">
      <c r="A1346" s="54" t="n"/>
      <c r="B1346" s="61" t="n"/>
      <c r="C1346" s="62" t="n"/>
      <c r="D1346" s="57" t="n"/>
      <c r="E1346" s="57" t="n"/>
      <c r="F1346" s="58" t="n"/>
      <c r="G1346" s="66">
        <f>IF(tblFleet[[#This Row],[Units]]="","",tblFleet[[#This Row],[Units]]*24)</f>
        <v/>
      </c>
      <c r="H1346" s="66">
        <f>IF(tblFleet[[#This Row],[Units]]="","",tblFleet[[#This Row],[Calendar_h]]-tblFleet[[#This Row],[Down_h]])</f>
        <v/>
      </c>
      <c r="I1346" s="60">
        <f>IF(AND(tblFleet[[#This Row],[Units]]&lt;&gt;"",tblFleet[[#This Row],[Calendar_h]]&gt;0),tblFleet[[#This Row],[Available_h]]/tblFleet[[#This Row],[Calendar_h]],"")</f>
        <v/>
      </c>
      <c r="J1346" s="60">
        <f>IF(AND(tblFleet[[#This Row],[Units]]&lt;&gt;"",tblFleet[[#This Row],[Available_h]]&gt;0),tblFleet[[#This Row],[Operating_h]]/tblFleet[[#This Row],[Available_h]],"")</f>
        <v/>
      </c>
    </row>
    <row r="1347">
      <c r="A1347" s="54" t="n"/>
      <c r="B1347" s="61" t="n"/>
      <c r="C1347" s="62" t="n"/>
      <c r="D1347" s="57" t="n"/>
      <c r="E1347" s="57" t="n"/>
      <c r="F1347" s="58" t="n"/>
      <c r="G1347" s="66">
        <f>IF(tblFleet[[#This Row],[Units]]="","",tblFleet[[#This Row],[Units]]*24)</f>
        <v/>
      </c>
      <c r="H1347" s="66">
        <f>IF(tblFleet[[#This Row],[Units]]="","",tblFleet[[#This Row],[Calendar_h]]-tblFleet[[#This Row],[Down_h]])</f>
        <v/>
      </c>
      <c r="I1347" s="60">
        <f>IF(AND(tblFleet[[#This Row],[Units]]&lt;&gt;"",tblFleet[[#This Row],[Calendar_h]]&gt;0),tblFleet[[#This Row],[Available_h]]/tblFleet[[#This Row],[Calendar_h]],"")</f>
        <v/>
      </c>
      <c r="J1347" s="60">
        <f>IF(AND(tblFleet[[#This Row],[Units]]&lt;&gt;"",tblFleet[[#This Row],[Available_h]]&gt;0),tblFleet[[#This Row],[Operating_h]]/tblFleet[[#This Row],[Available_h]],"")</f>
        <v/>
      </c>
    </row>
    <row r="1348">
      <c r="A1348" s="54" t="n"/>
      <c r="B1348" s="61" t="n"/>
      <c r="C1348" s="62" t="n"/>
      <c r="D1348" s="57" t="n"/>
      <c r="E1348" s="57" t="n"/>
      <c r="F1348" s="58" t="n"/>
      <c r="G1348" s="66">
        <f>IF(tblFleet[[#This Row],[Units]]="","",tblFleet[[#This Row],[Units]]*24)</f>
        <v/>
      </c>
      <c r="H1348" s="66">
        <f>IF(tblFleet[[#This Row],[Units]]="","",tblFleet[[#This Row],[Calendar_h]]-tblFleet[[#This Row],[Down_h]])</f>
        <v/>
      </c>
      <c r="I1348" s="60">
        <f>IF(AND(tblFleet[[#This Row],[Units]]&lt;&gt;"",tblFleet[[#This Row],[Calendar_h]]&gt;0),tblFleet[[#This Row],[Available_h]]/tblFleet[[#This Row],[Calendar_h]],"")</f>
        <v/>
      </c>
      <c r="J1348" s="60">
        <f>IF(AND(tblFleet[[#This Row],[Units]]&lt;&gt;"",tblFleet[[#This Row],[Available_h]]&gt;0),tblFleet[[#This Row],[Operating_h]]/tblFleet[[#This Row],[Available_h]],"")</f>
        <v/>
      </c>
    </row>
    <row r="1349">
      <c r="A1349" s="54" t="n"/>
      <c r="B1349" s="61" t="n"/>
      <c r="C1349" s="62" t="n"/>
      <c r="D1349" s="57" t="n"/>
      <c r="E1349" s="57" t="n"/>
      <c r="F1349" s="58" t="n"/>
      <c r="G1349" s="66">
        <f>IF(tblFleet[[#This Row],[Units]]="","",tblFleet[[#This Row],[Units]]*24)</f>
        <v/>
      </c>
      <c r="H1349" s="66">
        <f>IF(tblFleet[[#This Row],[Units]]="","",tblFleet[[#This Row],[Calendar_h]]-tblFleet[[#This Row],[Down_h]])</f>
        <v/>
      </c>
      <c r="I1349" s="60">
        <f>IF(AND(tblFleet[[#This Row],[Units]]&lt;&gt;"",tblFleet[[#This Row],[Calendar_h]]&gt;0),tblFleet[[#This Row],[Available_h]]/tblFleet[[#This Row],[Calendar_h]],"")</f>
        <v/>
      </c>
      <c r="J1349" s="60">
        <f>IF(AND(tblFleet[[#This Row],[Units]]&lt;&gt;"",tblFleet[[#This Row],[Available_h]]&gt;0),tblFleet[[#This Row],[Operating_h]]/tblFleet[[#This Row],[Available_h]],"")</f>
        <v/>
      </c>
    </row>
    <row r="1350">
      <c r="A1350" s="54" t="n"/>
      <c r="B1350" s="61" t="n"/>
      <c r="C1350" s="62" t="n"/>
      <c r="D1350" s="57" t="n"/>
      <c r="E1350" s="57" t="n"/>
      <c r="F1350" s="58" t="n"/>
      <c r="G1350" s="66">
        <f>IF(tblFleet[[#This Row],[Units]]="","",tblFleet[[#This Row],[Units]]*24)</f>
        <v/>
      </c>
      <c r="H1350" s="66">
        <f>IF(tblFleet[[#This Row],[Units]]="","",tblFleet[[#This Row],[Calendar_h]]-tblFleet[[#This Row],[Down_h]])</f>
        <v/>
      </c>
      <c r="I1350" s="60">
        <f>IF(AND(tblFleet[[#This Row],[Units]]&lt;&gt;"",tblFleet[[#This Row],[Calendar_h]]&gt;0),tblFleet[[#This Row],[Available_h]]/tblFleet[[#This Row],[Calendar_h]],"")</f>
        <v/>
      </c>
      <c r="J1350" s="60">
        <f>IF(AND(tblFleet[[#This Row],[Units]]&lt;&gt;"",tblFleet[[#This Row],[Available_h]]&gt;0),tblFleet[[#This Row],[Operating_h]]/tblFleet[[#This Row],[Available_h]],"")</f>
        <v/>
      </c>
    </row>
    <row r="1351">
      <c r="A1351" s="54" t="n"/>
      <c r="B1351" s="61" t="n"/>
      <c r="C1351" s="62" t="n"/>
      <c r="D1351" s="57" t="n"/>
      <c r="E1351" s="57" t="n"/>
      <c r="F1351" s="58" t="n"/>
      <c r="G1351" s="66">
        <f>IF(tblFleet[[#This Row],[Units]]="","",tblFleet[[#This Row],[Units]]*24)</f>
        <v/>
      </c>
      <c r="H1351" s="66">
        <f>IF(tblFleet[[#This Row],[Units]]="","",tblFleet[[#This Row],[Calendar_h]]-tblFleet[[#This Row],[Down_h]])</f>
        <v/>
      </c>
      <c r="I1351" s="60">
        <f>IF(AND(tblFleet[[#This Row],[Units]]&lt;&gt;"",tblFleet[[#This Row],[Calendar_h]]&gt;0),tblFleet[[#This Row],[Available_h]]/tblFleet[[#This Row],[Calendar_h]],"")</f>
        <v/>
      </c>
      <c r="J1351" s="60">
        <f>IF(AND(tblFleet[[#This Row],[Units]]&lt;&gt;"",tblFleet[[#This Row],[Available_h]]&gt;0),tblFleet[[#This Row],[Operating_h]]/tblFleet[[#This Row],[Available_h]],"")</f>
        <v/>
      </c>
    </row>
    <row r="1352">
      <c r="A1352" s="54" t="n"/>
      <c r="B1352" s="61" t="n"/>
      <c r="C1352" s="62" t="n"/>
      <c r="D1352" s="57" t="n"/>
      <c r="E1352" s="57" t="n"/>
      <c r="F1352" s="58" t="n"/>
      <c r="G1352" s="66">
        <f>IF(tblFleet[[#This Row],[Units]]="","",tblFleet[[#This Row],[Units]]*24)</f>
        <v/>
      </c>
      <c r="H1352" s="66">
        <f>IF(tblFleet[[#This Row],[Units]]="","",tblFleet[[#This Row],[Calendar_h]]-tblFleet[[#This Row],[Down_h]])</f>
        <v/>
      </c>
      <c r="I1352" s="60">
        <f>IF(AND(tblFleet[[#This Row],[Units]]&lt;&gt;"",tblFleet[[#This Row],[Calendar_h]]&gt;0),tblFleet[[#This Row],[Available_h]]/tblFleet[[#This Row],[Calendar_h]],"")</f>
        <v/>
      </c>
      <c r="J1352" s="60">
        <f>IF(AND(tblFleet[[#This Row],[Units]]&lt;&gt;"",tblFleet[[#This Row],[Available_h]]&gt;0),tblFleet[[#This Row],[Operating_h]]/tblFleet[[#This Row],[Available_h]],"")</f>
        <v/>
      </c>
    </row>
    <row r="1353">
      <c r="A1353" s="54" t="n"/>
      <c r="B1353" s="61" t="n"/>
      <c r="C1353" s="62" t="n"/>
      <c r="D1353" s="57" t="n"/>
      <c r="E1353" s="57" t="n"/>
      <c r="F1353" s="58" t="n"/>
      <c r="G1353" s="66">
        <f>IF(tblFleet[[#This Row],[Units]]="","",tblFleet[[#This Row],[Units]]*24)</f>
        <v/>
      </c>
      <c r="H1353" s="66">
        <f>IF(tblFleet[[#This Row],[Units]]="","",tblFleet[[#This Row],[Calendar_h]]-tblFleet[[#This Row],[Down_h]])</f>
        <v/>
      </c>
      <c r="I1353" s="60">
        <f>IF(AND(tblFleet[[#This Row],[Units]]&lt;&gt;"",tblFleet[[#This Row],[Calendar_h]]&gt;0),tblFleet[[#This Row],[Available_h]]/tblFleet[[#This Row],[Calendar_h]],"")</f>
        <v/>
      </c>
      <c r="J1353" s="60">
        <f>IF(AND(tblFleet[[#This Row],[Units]]&lt;&gt;"",tblFleet[[#This Row],[Available_h]]&gt;0),tblFleet[[#This Row],[Operating_h]]/tblFleet[[#This Row],[Available_h]],"")</f>
        <v/>
      </c>
    </row>
    <row r="1354">
      <c r="A1354" s="54" t="n"/>
      <c r="B1354" s="61" t="n"/>
      <c r="C1354" s="62" t="n"/>
      <c r="D1354" s="57" t="n"/>
      <c r="E1354" s="57" t="n"/>
      <c r="F1354" s="58" t="n"/>
      <c r="G1354" s="66">
        <f>IF(tblFleet[[#This Row],[Units]]="","",tblFleet[[#This Row],[Units]]*24)</f>
        <v/>
      </c>
      <c r="H1354" s="66">
        <f>IF(tblFleet[[#This Row],[Units]]="","",tblFleet[[#This Row],[Calendar_h]]-tblFleet[[#This Row],[Down_h]])</f>
        <v/>
      </c>
      <c r="I1354" s="60">
        <f>IF(AND(tblFleet[[#This Row],[Units]]&lt;&gt;"",tblFleet[[#This Row],[Calendar_h]]&gt;0),tblFleet[[#This Row],[Available_h]]/tblFleet[[#This Row],[Calendar_h]],"")</f>
        <v/>
      </c>
      <c r="J1354" s="60">
        <f>IF(AND(tblFleet[[#This Row],[Units]]&lt;&gt;"",tblFleet[[#This Row],[Available_h]]&gt;0),tblFleet[[#This Row],[Operating_h]]/tblFleet[[#This Row],[Available_h]],"")</f>
        <v/>
      </c>
    </row>
    <row r="1355">
      <c r="A1355" s="54" t="n"/>
      <c r="B1355" s="61" t="n"/>
      <c r="C1355" s="62" t="n"/>
      <c r="D1355" s="57" t="n"/>
      <c r="E1355" s="57" t="n"/>
      <c r="F1355" s="58" t="n"/>
      <c r="G1355" s="66">
        <f>IF(tblFleet[[#This Row],[Units]]="","",tblFleet[[#This Row],[Units]]*24)</f>
        <v/>
      </c>
      <c r="H1355" s="66">
        <f>IF(tblFleet[[#This Row],[Units]]="","",tblFleet[[#This Row],[Calendar_h]]-tblFleet[[#This Row],[Down_h]])</f>
        <v/>
      </c>
      <c r="I1355" s="60">
        <f>IF(AND(tblFleet[[#This Row],[Units]]&lt;&gt;"",tblFleet[[#This Row],[Calendar_h]]&gt;0),tblFleet[[#This Row],[Available_h]]/tblFleet[[#This Row],[Calendar_h]],"")</f>
        <v/>
      </c>
      <c r="J1355" s="60">
        <f>IF(AND(tblFleet[[#This Row],[Units]]&lt;&gt;"",tblFleet[[#This Row],[Available_h]]&gt;0),tblFleet[[#This Row],[Operating_h]]/tblFleet[[#This Row],[Available_h]],"")</f>
        <v/>
      </c>
    </row>
    <row r="1356">
      <c r="A1356" s="54" t="n"/>
      <c r="B1356" s="61" t="n"/>
      <c r="C1356" s="62" t="n"/>
      <c r="D1356" s="57" t="n"/>
      <c r="E1356" s="57" t="n"/>
      <c r="F1356" s="58" t="n"/>
      <c r="G1356" s="66">
        <f>IF(tblFleet[[#This Row],[Units]]="","",tblFleet[[#This Row],[Units]]*24)</f>
        <v/>
      </c>
      <c r="H1356" s="66">
        <f>IF(tblFleet[[#This Row],[Units]]="","",tblFleet[[#This Row],[Calendar_h]]-tblFleet[[#This Row],[Down_h]])</f>
        <v/>
      </c>
      <c r="I1356" s="60">
        <f>IF(AND(tblFleet[[#This Row],[Units]]&lt;&gt;"",tblFleet[[#This Row],[Calendar_h]]&gt;0),tblFleet[[#This Row],[Available_h]]/tblFleet[[#This Row],[Calendar_h]],"")</f>
        <v/>
      </c>
      <c r="J1356" s="60">
        <f>IF(AND(tblFleet[[#This Row],[Units]]&lt;&gt;"",tblFleet[[#This Row],[Available_h]]&gt;0),tblFleet[[#This Row],[Operating_h]]/tblFleet[[#This Row],[Available_h]],"")</f>
        <v/>
      </c>
    </row>
    <row r="1357">
      <c r="A1357" s="54" t="n"/>
      <c r="B1357" s="61" t="n"/>
      <c r="C1357" s="62" t="n"/>
      <c r="D1357" s="57" t="n"/>
      <c r="E1357" s="57" t="n"/>
      <c r="F1357" s="58" t="n"/>
      <c r="G1357" s="66">
        <f>IF(tblFleet[[#This Row],[Units]]="","",tblFleet[[#This Row],[Units]]*24)</f>
        <v/>
      </c>
      <c r="H1357" s="66">
        <f>IF(tblFleet[[#This Row],[Units]]="","",tblFleet[[#This Row],[Calendar_h]]-tblFleet[[#This Row],[Down_h]])</f>
        <v/>
      </c>
      <c r="I1357" s="60">
        <f>IF(AND(tblFleet[[#This Row],[Units]]&lt;&gt;"",tblFleet[[#This Row],[Calendar_h]]&gt;0),tblFleet[[#This Row],[Available_h]]/tblFleet[[#This Row],[Calendar_h]],"")</f>
        <v/>
      </c>
      <c r="J1357" s="60">
        <f>IF(AND(tblFleet[[#This Row],[Units]]&lt;&gt;"",tblFleet[[#This Row],[Available_h]]&gt;0),tblFleet[[#This Row],[Operating_h]]/tblFleet[[#This Row],[Available_h]],"")</f>
        <v/>
      </c>
    </row>
    <row r="1358">
      <c r="A1358" s="54" t="n"/>
      <c r="B1358" s="61" t="n"/>
      <c r="C1358" s="62" t="n"/>
      <c r="D1358" s="57" t="n"/>
      <c r="E1358" s="57" t="n"/>
      <c r="F1358" s="58" t="n"/>
      <c r="G1358" s="66">
        <f>IF(tblFleet[[#This Row],[Units]]="","",tblFleet[[#This Row],[Units]]*24)</f>
        <v/>
      </c>
      <c r="H1358" s="66">
        <f>IF(tblFleet[[#This Row],[Units]]="","",tblFleet[[#This Row],[Calendar_h]]-tblFleet[[#This Row],[Down_h]])</f>
        <v/>
      </c>
      <c r="I1358" s="60">
        <f>IF(AND(tblFleet[[#This Row],[Units]]&lt;&gt;"",tblFleet[[#This Row],[Calendar_h]]&gt;0),tblFleet[[#This Row],[Available_h]]/tblFleet[[#This Row],[Calendar_h]],"")</f>
        <v/>
      </c>
      <c r="J1358" s="60">
        <f>IF(AND(tblFleet[[#This Row],[Units]]&lt;&gt;"",tblFleet[[#This Row],[Available_h]]&gt;0),tblFleet[[#This Row],[Operating_h]]/tblFleet[[#This Row],[Available_h]],"")</f>
        <v/>
      </c>
    </row>
    <row r="1359">
      <c r="A1359" s="54" t="n"/>
      <c r="B1359" s="61" t="n"/>
      <c r="C1359" s="62" t="n"/>
      <c r="D1359" s="57" t="n"/>
      <c r="E1359" s="57" t="n"/>
      <c r="F1359" s="58" t="n"/>
      <c r="G1359" s="66">
        <f>IF(tblFleet[[#This Row],[Units]]="","",tblFleet[[#This Row],[Units]]*24)</f>
        <v/>
      </c>
      <c r="H1359" s="66">
        <f>IF(tblFleet[[#This Row],[Units]]="","",tblFleet[[#This Row],[Calendar_h]]-tblFleet[[#This Row],[Down_h]])</f>
        <v/>
      </c>
      <c r="I1359" s="60">
        <f>IF(AND(tblFleet[[#This Row],[Units]]&lt;&gt;"",tblFleet[[#This Row],[Calendar_h]]&gt;0),tblFleet[[#This Row],[Available_h]]/tblFleet[[#This Row],[Calendar_h]],"")</f>
        <v/>
      </c>
      <c r="J1359" s="60">
        <f>IF(AND(tblFleet[[#This Row],[Units]]&lt;&gt;"",tblFleet[[#This Row],[Available_h]]&gt;0),tblFleet[[#This Row],[Operating_h]]/tblFleet[[#This Row],[Available_h]],"")</f>
        <v/>
      </c>
    </row>
    <row r="1360">
      <c r="A1360" s="54" t="n"/>
      <c r="B1360" s="61" t="n"/>
      <c r="C1360" s="62" t="n"/>
      <c r="D1360" s="57" t="n"/>
      <c r="E1360" s="57" t="n"/>
      <c r="F1360" s="58" t="n"/>
      <c r="G1360" s="66">
        <f>IF(tblFleet[[#This Row],[Units]]="","",tblFleet[[#This Row],[Units]]*24)</f>
        <v/>
      </c>
      <c r="H1360" s="66">
        <f>IF(tblFleet[[#This Row],[Units]]="","",tblFleet[[#This Row],[Calendar_h]]-tblFleet[[#This Row],[Down_h]])</f>
        <v/>
      </c>
      <c r="I1360" s="60">
        <f>IF(AND(tblFleet[[#This Row],[Units]]&lt;&gt;"",tblFleet[[#This Row],[Calendar_h]]&gt;0),tblFleet[[#This Row],[Available_h]]/tblFleet[[#This Row],[Calendar_h]],"")</f>
        <v/>
      </c>
      <c r="J1360" s="60">
        <f>IF(AND(tblFleet[[#This Row],[Units]]&lt;&gt;"",tblFleet[[#This Row],[Available_h]]&gt;0),tblFleet[[#This Row],[Operating_h]]/tblFleet[[#This Row],[Available_h]],"")</f>
        <v/>
      </c>
    </row>
    <row r="1361">
      <c r="A1361" s="54" t="n"/>
      <c r="B1361" s="61" t="n"/>
      <c r="C1361" s="62" t="n"/>
      <c r="D1361" s="57" t="n"/>
      <c r="E1361" s="57" t="n"/>
      <c r="F1361" s="58" t="n"/>
      <c r="G1361" s="66">
        <f>IF(tblFleet[[#This Row],[Units]]="","",tblFleet[[#This Row],[Units]]*24)</f>
        <v/>
      </c>
      <c r="H1361" s="66">
        <f>IF(tblFleet[[#This Row],[Units]]="","",tblFleet[[#This Row],[Calendar_h]]-tblFleet[[#This Row],[Down_h]])</f>
        <v/>
      </c>
      <c r="I1361" s="60">
        <f>IF(AND(tblFleet[[#This Row],[Units]]&lt;&gt;"",tblFleet[[#This Row],[Calendar_h]]&gt;0),tblFleet[[#This Row],[Available_h]]/tblFleet[[#This Row],[Calendar_h]],"")</f>
        <v/>
      </c>
      <c r="J1361" s="60">
        <f>IF(AND(tblFleet[[#This Row],[Units]]&lt;&gt;"",tblFleet[[#This Row],[Available_h]]&gt;0),tblFleet[[#This Row],[Operating_h]]/tblFleet[[#This Row],[Available_h]],"")</f>
        <v/>
      </c>
    </row>
    <row r="1362">
      <c r="A1362" s="54" t="n"/>
      <c r="B1362" s="61" t="n"/>
      <c r="C1362" s="62" t="n"/>
      <c r="D1362" s="57" t="n"/>
      <c r="E1362" s="57" t="n"/>
      <c r="F1362" s="58" t="n"/>
      <c r="G1362" s="66">
        <f>IF(tblFleet[[#This Row],[Units]]="","",tblFleet[[#This Row],[Units]]*24)</f>
        <v/>
      </c>
      <c r="H1362" s="66">
        <f>IF(tblFleet[[#This Row],[Units]]="","",tblFleet[[#This Row],[Calendar_h]]-tblFleet[[#This Row],[Down_h]])</f>
        <v/>
      </c>
      <c r="I1362" s="60">
        <f>IF(AND(tblFleet[[#This Row],[Units]]&lt;&gt;"",tblFleet[[#This Row],[Calendar_h]]&gt;0),tblFleet[[#This Row],[Available_h]]/tblFleet[[#This Row],[Calendar_h]],"")</f>
        <v/>
      </c>
      <c r="J1362" s="60">
        <f>IF(AND(tblFleet[[#This Row],[Units]]&lt;&gt;"",tblFleet[[#This Row],[Available_h]]&gt;0),tblFleet[[#This Row],[Operating_h]]/tblFleet[[#This Row],[Available_h]],"")</f>
        <v/>
      </c>
    </row>
    <row r="1363">
      <c r="A1363" s="54" t="n"/>
      <c r="B1363" s="61" t="n"/>
      <c r="C1363" s="62" t="n"/>
      <c r="D1363" s="57" t="n"/>
      <c r="E1363" s="57" t="n"/>
      <c r="F1363" s="58" t="n"/>
      <c r="G1363" s="66">
        <f>IF(tblFleet[[#This Row],[Units]]="","",tblFleet[[#This Row],[Units]]*24)</f>
        <v/>
      </c>
      <c r="H1363" s="66">
        <f>IF(tblFleet[[#This Row],[Units]]="","",tblFleet[[#This Row],[Calendar_h]]-tblFleet[[#This Row],[Down_h]])</f>
        <v/>
      </c>
      <c r="I1363" s="60">
        <f>IF(AND(tblFleet[[#This Row],[Units]]&lt;&gt;"",tblFleet[[#This Row],[Calendar_h]]&gt;0),tblFleet[[#This Row],[Available_h]]/tblFleet[[#This Row],[Calendar_h]],"")</f>
        <v/>
      </c>
      <c r="J1363" s="60">
        <f>IF(AND(tblFleet[[#This Row],[Units]]&lt;&gt;"",tblFleet[[#This Row],[Available_h]]&gt;0),tblFleet[[#This Row],[Operating_h]]/tblFleet[[#This Row],[Available_h]],"")</f>
        <v/>
      </c>
    </row>
    <row r="1364">
      <c r="A1364" s="54" t="n"/>
      <c r="B1364" s="61" t="n"/>
      <c r="C1364" s="62" t="n"/>
      <c r="D1364" s="57" t="n"/>
      <c r="E1364" s="57" t="n"/>
      <c r="F1364" s="58" t="n"/>
      <c r="G1364" s="66">
        <f>IF(tblFleet[[#This Row],[Units]]="","",tblFleet[[#This Row],[Units]]*24)</f>
        <v/>
      </c>
      <c r="H1364" s="66">
        <f>IF(tblFleet[[#This Row],[Units]]="","",tblFleet[[#This Row],[Calendar_h]]-tblFleet[[#This Row],[Down_h]])</f>
        <v/>
      </c>
      <c r="I1364" s="60">
        <f>IF(AND(tblFleet[[#This Row],[Units]]&lt;&gt;"",tblFleet[[#This Row],[Calendar_h]]&gt;0),tblFleet[[#This Row],[Available_h]]/tblFleet[[#This Row],[Calendar_h]],"")</f>
        <v/>
      </c>
      <c r="J1364" s="60">
        <f>IF(AND(tblFleet[[#This Row],[Units]]&lt;&gt;"",tblFleet[[#This Row],[Available_h]]&gt;0),tblFleet[[#This Row],[Operating_h]]/tblFleet[[#This Row],[Available_h]],"")</f>
        <v/>
      </c>
    </row>
    <row r="1365">
      <c r="A1365" s="54" t="n"/>
      <c r="B1365" s="61" t="n"/>
      <c r="C1365" s="62" t="n"/>
      <c r="D1365" s="57" t="n"/>
      <c r="E1365" s="57" t="n"/>
      <c r="F1365" s="58" t="n"/>
      <c r="G1365" s="66">
        <f>IF(tblFleet[[#This Row],[Units]]="","",tblFleet[[#This Row],[Units]]*24)</f>
        <v/>
      </c>
      <c r="H1365" s="66">
        <f>IF(tblFleet[[#This Row],[Units]]="","",tblFleet[[#This Row],[Calendar_h]]-tblFleet[[#This Row],[Down_h]])</f>
        <v/>
      </c>
      <c r="I1365" s="60">
        <f>IF(AND(tblFleet[[#This Row],[Units]]&lt;&gt;"",tblFleet[[#This Row],[Calendar_h]]&gt;0),tblFleet[[#This Row],[Available_h]]/tblFleet[[#This Row],[Calendar_h]],"")</f>
        <v/>
      </c>
      <c r="J1365" s="60">
        <f>IF(AND(tblFleet[[#This Row],[Units]]&lt;&gt;"",tblFleet[[#This Row],[Available_h]]&gt;0),tblFleet[[#This Row],[Operating_h]]/tblFleet[[#This Row],[Available_h]],"")</f>
        <v/>
      </c>
    </row>
    <row r="1366">
      <c r="A1366" s="54" t="n"/>
      <c r="B1366" s="61" t="n"/>
      <c r="C1366" s="62" t="n"/>
      <c r="D1366" s="57" t="n"/>
      <c r="E1366" s="57" t="n"/>
      <c r="F1366" s="58" t="n"/>
      <c r="G1366" s="66">
        <f>IF(tblFleet[[#This Row],[Units]]="","",tblFleet[[#This Row],[Units]]*24)</f>
        <v/>
      </c>
      <c r="H1366" s="66">
        <f>IF(tblFleet[[#This Row],[Units]]="","",tblFleet[[#This Row],[Calendar_h]]-tblFleet[[#This Row],[Down_h]])</f>
        <v/>
      </c>
      <c r="I1366" s="60">
        <f>IF(AND(tblFleet[[#This Row],[Units]]&lt;&gt;"",tblFleet[[#This Row],[Calendar_h]]&gt;0),tblFleet[[#This Row],[Available_h]]/tblFleet[[#This Row],[Calendar_h]],"")</f>
        <v/>
      </c>
      <c r="J1366" s="60">
        <f>IF(AND(tblFleet[[#This Row],[Units]]&lt;&gt;"",tblFleet[[#This Row],[Available_h]]&gt;0),tblFleet[[#This Row],[Operating_h]]/tblFleet[[#This Row],[Available_h]],"")</f>
        <v/>
      </c>
    </row>
    <row r="1367">
      <c r="A1367" s="54" t="n"/>
      <c r="B1367" s="61" t="n"/>
      <c r="C1367" s="62" t="n"/>
      <c r="D1367" s="57" t="n"/>
      <c r="E1367" s="57" t="n"/>
      <c r="F1367" s="58" t="n"/>
      <c r="G1367" s="66">
        <f>IF(tblFleet[[#This Row],[Units]]="","",tblFleet[[#This Row],[Units]]*24)</f>
        <v/>
      </c>
      <c r="H1367" s="66">
        <f>IF(tblFleet[[#This Row],[Units]]="","",tblFleet[[#This Row],[Calendar_h]]-tblFleet[[#This Row],[Down_h]])</f>
        <v/>
      </c>
      <c r="I1367" s="60">
        <f>IF(AND(tblFleet[[#This Row],[Units]]&lt;&gt;"",tblFleet[[#This Row],[Calendar_h]]&gt;0),tblFleet[[#This Row],[Available_h]]/tblFleet[[#This Row],[Calendar_h]],"")</f>
        <v/>
      </c>
      <c r="J1367" s="60">
        <f>IF(AND(tblFleet[[#This Row],[Units]]&lt;&gt;"",tblFleet[[#This Row],[Available_h]]&gt;0),tblFleet[[#This Row],[Operating_h]]/tblFleet[[#This Row],[Available_h]],"")</f>
        <v/>
      </c>
    </row>
    <row r="1368">
      <c r="A1368" s="54" t="n"/>
      <c r="B1368" s="61" t="n"/>
      <c r="C1368" s="62" t="n"/>
      <c r="D1368" s="57" t="n"/>
      <c r="E1368" s="57" t="n"/>
      <c r="F1368" s="58" t="n"/>
      <c r="G1368" s="66">
        <f>IF(tblFleet[[#This Row],[Units]]="","",tblFleet[[#This Row],[Units]]*24)</f>
        <v/>
      </c>
      <c r="H1368" s="66">
        <f>IF(tblFleet[[#This Row],[Units]]="","",tblFleet[[#This Row],[Calendar_h]]-tblFleet[[#This Row],[Down_h]])</f>
        <v/>
      </c>
      <c r="I1368" s="60">
        <f>IF(AND(tblFleet[[#This Row],[Units]]&lt;&gt;"",tblFleet[[#This Row],[Calendar_h]]&gt;0),tblFleet[[#This Row],[Available_h]]/tblFleet[[#This Row],[Calendar_h]],"")</f>
        <v/>
      </c>
      <c r="J1368" s="60">
        <f>IF(AND(tblFleet[[#This Row],[Units]]&lt;&gt;"",tblFleet[[#This Row],[Available_h]]&gt;0),tblFleet[[#This Row],[Operating_h]]/tblFleet[[#This Row],[Available_h]],"")</f>
        <v/>
      </c>
    </row>
    <row r="1369">
      <c r="A1369" s="54" t="n"/>
      <c r="B1369" s="61" t="n"/>
      <c r="C1369" s="62" t="n"/>
      <c r="D1369" s="57" t="n"/>
      <c r="E1369" s="57" t="n"/>
      <c r="F1369" s="58" t="n"/>
      <c r="G1369" s="66">
        <f>IF(tblFleet[[#This Row],[Units]]="","",tblFleet[[#This Row],[Units]]*24)</f>
        <v/>
      </c>
      <c r="H1369" s="66">
        <f>IF(tblFleet[[#This Row],[Units]]="","",tblFleet[[#This Row],[Calendar_h]]-tblFleet[[#This Row],[Down_h]])</f>
        <v/>
      </c>
      <c r="I1369" s="60">
        <f>IF(AND(tblFleet[[#This Row],[Units]]&lt;&gt;"",tblFleet[[#This Row],[Calendar_h]]&gt;0),tblFleet[[#This Row],[Available_h]]/tblFleet[[#This Row],[Calendar_h]],"")</f>
        <v/>
      </c>
      <c r="J1369" s="60">
        <f>IF(AND(tblFleet[[#This Row],[Units]]&lt;&gt;"",tblFleet[[#This Row],[Available_h]]&gt;0),tblFleet[[#This Row],[Operating_h]]/tblFleet[[#This Row],[Available_h]],"")</f>
        <v/>
      </c>
    </row>
    <row r="1370">
      <c r="A1370" s="54" t="n"/>
      <c r="B1370" s="61" t="n"/>
      <c r="C1370" s="62" t="n"/>
      <c r="D1370" s="57" t="n"/>
      <c r="E1370" s="57" t="n"/>
      <c r="F1370" s="58" t="n"/>
      <c r="G1370" s="66">
        <f>IF(tblFleet[[#This Row],[Units]]="","",tblFleet[[#This Row],[Units]]*24)</f>
        <v/>
      </c>
      <c r="H1370" s="66">
        <f>IF(tblFleet[[#This Row],[Units]]="","",tblFleet[[#This Row],[Calendar_h]]-tblFleet[[#This Row],[Down_h]])</f>
        <v/>
      </c>
      <c r="I1370" s="60">
        <f>IF(AND(tblFleet[[#This Row],[Units]]&lt;&gt;"",tblFleet[[#This Row],[Calendar_h]]&gt;0),tblFleet[[#This Row],[Available_h]]/tblFleet[[#This Row],[Calendar_h]],"")</f>
        <v/>
      </c>
      <c r="J1370" s="60">
        <f>IF(AND(tblFleet[[#This Row],[Units]]&lt;&gt;"",tblFleet[[#This Row],[Available_h]]&gt;0),tblFleet[[#This Row],[Operating_h]]/tblFleet[[#This Row],[Available_h]],"")</f>
        <v/>
      </c>
    </row>
    <row r="1371">
      <c r="A1371" s="54" t="n"/>
      <c r="B1371" s="61" t="n"/>
      <c r="C1371" s="62" t="n"/>
      <c r="D1371" s="57" t="n"/>
      <c r="E1371" s="57" t="n"/>
      <c r="F1371" s="58" t="n"/>
      <c r="G1371" s="66">
        <f>IF(tblFleet[[#This Row],[Units]]="","",tblFleet[[#This Row],[Units]]*24)</f>
        <v/>
      </c>
      <c r="H1371" s="66">
        <f>IF(tblFleet[[#This Row],[Units]]="","",tblFleet[[#This Row],[Calendar_h]]-tblFleet[[#This Row],[Down_h]])</f>
        <v/>
      </c>
      <c r="I1371" s="60">
        <f>IF(AND(tblFleet[[#This Row],[Units]]&lt;&gt;"",tblFleet[[#This Row],[Calendar_h]]&gt;0),tblFleet[[#This Row],[Available_h]]/tblFleet[[#This Row],[Calendar_h]],"")</f>
        <v/>
      </c>
      <c r="J1371" s="60">
        <f>IF(AND(tblFleet[[#This Row],[Units]]&lt;&gt;"",tblFleet[[#This Row],[Available_h]]&gt;0),tblFleet[[#This Row],[Operating_h]]/tblFleet[[#This Row],[Available_h]],"")</f>
        <v/>
      </c>
    </row>
    <row r="1372">
      <c r="A1372" s="54" t="n"/>
      <c r="B1372" s="61" t="n"/>
      <c r="C1372" s="62" t="n"/>
      <c r="D1372" s="57" t="n"/>
      <c r="E1372" s="57" t="n"/>
      <c r="F1372" s="58" t="n"/>
      <c r="G1372" s="66">
        <f>IF(tblFleet[[#This Row],[Units]]="","",tblFleet[[#This Row],[Units]]*24)</f>
        <v/>
      </c>
      <c r="H1372" s="66">
        <f>IF(tblFleet[[#This Row],[Units]]="","",tblFleet[[#This Row],[Calendar_h]]-tblFleet[[#This Row],[Down_h]])</f>
        <v/>
      </c>
      <c r="I1372" s="60">
        <f>IF(AND(tblFleet[[#This Row],[Units]]&lt;&gt;"",tblFleet[[#This Row],[Calendar_h]]&gt;0),tblFleet[[#This Row],[Available_h]]/tblFleet[[#This Row],[Calendar_h]],"")</f>
        <v/>
      </c>
      <c r="J1372" s="60">
        <f>IF(AND(tblFleet[[#This Row],[Units]]&lt;&gt;"",tblFleet[[#This Row],[Available_h]]&gt;0),tblFleet[[#This Row],[Operating_h]]/tblFleet[[#This Row],[Available_h]],"")</f>
        <v/>
      </c>
    </row>
    <row r="1373">
      <c r="A1373" s="54" t="n"/>
      <c r="B1373" s="61" t="n"/>
      <c r="C1373" s="62" t="n"/>
      <c r="D1373" s="57" t="n"/>
      <c r="E1373" s="57" t="n"/>
      <c r="F1373" s="58" t="n"/>
      <c r="G1373" s="66">
        <f>IF(tblFleet[[#This Row],[Units]]="","",tblFleet[[#This Row],[Units]]*24)</f>
        <v/>
      </c>
      <c r="H1373" s="66">
        <f>IF(tblFleet[[#This Row],[Units]]="","",tblFleet[[#This Row],[Calendar_h]]-tblFleet[[#This Row],[Down_h]])</f>
        <v/>
      </c>
      <c r="I1373" s="60">
        <f>IF(AND(tblFleet[[#This Row],[Units]]&lt;&gt;"",tblFleet[[#This Row],[Calendar_h]]&gt;0),tblFleet[[#This Row],[Available_h]]/tblFleet[[#This Row],[Calendar_h]],"")</f>
        <v/>
      </c>
      <c r="J1373" s="60">
        <f>IF(AND(tblFleet[[#This Row],[Units]]&lt;&gt;"",tblFleet[[#This Row],[Available_h]]&gt;0),tblFleet[[#This Row],[Operating_h]]/tblFleet[[#This Row],[Available_h]],"")</f>
        <v/>
      </c>
    </row>
    <row r="1374">
      <c r="A1374" s="54" t="n"/>
      <c r="B1374" s="61" t="n"/>
      <c r="C1374" s="62" t="n"/>
      <c r="D1374" s="57" t="n"/>
      <c r="E1374" s="57" t="n"/>
      <c r="F1374" s="58" t="n"/>
      <c r="G1374" s="66">
        <f>IF(tblFleet[[#This Row],[Units]]="","",tblFleet[[#This Row],[Units]]*24)</f>
        <v/>
      </c>
      <c r="H1374" s="66">
        <f>IF(tblFleet[[#This Row],[Units]]="","",tblFleet[[#This Row],[Calendar_h]]-tblFleet[[#This Row],[Down_h]])</f>
        <v/>
      </c>
      <c r="I1374" s="60">
        <f>IF(AND(tblFleet[[#This Row],[Units]]&lt;&gt;"",tblFleet[[#This Row],[Calendar_h]]&gt;0),tblFleet[[#This Row],[Available_h]]/tblFleet[[#This Row],[Calendar_h]],"")</f>
        <v/>
      </c>
      <c r="J1374" s="60">
        <f>IF(AND(tblFleet[[#This Row],[Units]]&lt;&gt;"",tblFleet[[#This Row],[Available_h]]&gt;0),tblFleet[[#This Row],[Operating_h]]/tblFleet[[#This Row],[Available_h]],"")</f>
        <v/>
      </c>
    </row>
    <row r="1375">
      <c r="A1375" s="54" t="n"/>
      <c r="B1375" s="61" t="n"/>
      <c r="C1375" s="62" t="n"/>
      <c r="D1375" s="57" t="n"/>
      <c r="E1375" s="57" t="n"/>
      <c r="F1375" s="58" t="n"/>
      <c r="G1375" s="66">
        <f>IF(tblFleet[[#This Row],[Units]]="","",tblFleet[[#This Row],[Units]]*24)</f>
        <v/>
      </c>
      <c r="H1375" s="66">
        <f>IF(tblFleet[[#This Row],[Units]]="","",tblFleet[[#This Row],[Calendar_h]]-tblFleet[[#This Row],[Down_h]])</f>
        <v/>
      </c>
      <c r="I1375" s="60">
        <f>IF(AND(tblFleet[[#This Row],[Units]]&lt;&gt;"",tblFleet[[#This Row],[Calendar_h]]&gt;0),tblFleet[[#This Row],[Available_h]]/tblFleet[[#This Row],[Calendar_h]],"")</f>
        <v/>
      </c>
      <c r="J1375" s="60">
        <f>IF(AND(tblFleet[[#This Row],[Units]]&lt;&gt;"",tblFleet[[#This Row],[Available_h]]&gt;0),tblFleet[[#This Row],[Operating_h]]/tblFleet[[#This Row],[Available_h]],"")</f>
        <v/>
      </c>
    </row>
    <row r="1376">
      <c r="A1376" s="54" t="n"/>
      <c r="B1376" s="61" t="n"/>
      <c r="C1376" s="62" t="n"/>
      <c r="D1376" s="57" t="n"/>
      <c r="E1376" s="57" t="n"/>
      <c r="F1376" s="58" t="n"/>
      <c r="G1376" s="66">
        <f>IF(tblFleet[[#This Row],[Units]]="","",tblFleet[[#This Row],[Units]]*24)</f>
        <v/>
      </c>
      <c r="H1376" s="66">
        <f>IF(tblFleet[[#This Row],[Units]]="","",tblFleet[[#This Row],[Calendar_h]]-tblFleet[[#This Row],[Down_h]])</f>
        <v/>
      </c>
      <c r="I1376" s="60">
        <f>IF(AND(tblFleet[[#This Row],[Units]]&lt;&gt;"",tblFleet[[#This Row],[Calendar_h]]&gt;0),tblFleet[[#This Row],[Available_h]]/tblFleet[[#This Row],[Calendar_h]],"")</f>
        <v/>
      </c>
      <c r="J1376" s="60">
        <f>IF(AND(tblFleet[[#This Row],[Units]]&lt;&gt;"",tblFleet[[#This Row],[Available_h]]&gt;0),tblFleet[[#This Row],[Operating_h]]/tblFleet[[#This Row],[Available_h]],"")</f>
        <v/>
      </c>
    </row>
    <row r="1377">
      <c r="A1377" s="54" t="n"/>
      <c r="B1377" s="61" t="n"/>
      <c r="C1377" s="62" t="n"/>
      <c r="D1377" s="57" t="n"/>
      <c r="E1377" s="57" t="n"/>
      <c r="F1377" s="58" t="n"/>
      <c r="G1377" s="66">
        <f>IF(tblFleet[[#This Row],[Units]]="","",tblFleet[[#This Row],[Units]]*24)</f>
        <v/>
      </c>
      <c r="H1377" s="66">
        <f>IF(tblFleet[[#This Row],[Units]]="","",tblFleet[[#This Row],[Calendar_h]]-tblFleet[[#This Row],[Down_h]])</f>
        <v/>
      </c>
      <c r="I1377" s="60">
        <f>IF(AND(tblFleet[[#This Row],[Units]]&lt;&gt;"",tblFleet[[#This Row],[Calendar_h]]&gt;0),tblFleet[[#This Row],[Available_h]]/tblFleet[[#This Row],[Calendar_h]],"")</f>
        <v/>
      </c>
      <c r="J1377" s="60">
        <f>IF(AND(tblFleet[[#This Row],[Units]]&lt;&gt;"",tblFleet[[#This Row],[Available_h]]&gt;0),tblFleet[[#This Row],[Operating_h]]/tblFleet[[#This Row],[Available_h]],"")</f>
        <v/>
      </c>
    </row>
    <row r="1378">
      <c r="A1378" s="54" t="n"/>
      <c r="B1378" s="61" t="n"/>
      <c r="C1378" s="62" t="n"/>
      <c r="D1378" s="57" t="n"/>
      <c r="E1378" s="57" t="n"/>
      <c r="F1378" s="58" t="n"/>
      <c r="G1378" s="66">
        <f>IF(tblFleet[[#This Row],[Units]]="","",tblFleet[[#This Row],[Units]]*24)</f>
        <v/>
      </c>
      <c r="H1378" s="66">
        <f>IF(tblFleet[[#This Row],[Units]]="","",tblFleet[[#This Row],[Calendar_h]]-tblFleet[[#This Row],[Down_h]])</f>
        <v/>
      </c>
      <c r="I1378" s="60">
        <f>IF(AND(tblFleet[[#This Row],[Units]]&lt;&gt;"",tblFleet[[#This Row],[Calendar_h]]&gt;0),tblFleet[[#This Row],[Available_h]]/tblFleet[[#This Row],[Calendar_h]],"")</f>
        <v/>
      </c>
      <c r="J1378" s="60">
        <f>IF(AND(tblFleet[[#This Row],[Units]]&lt;&gt;"",tblFleet[[#This Row],[Available_h]]&gt;0),tblFleet[[#This Row],[Operating_h]]/tblFleet[[#This Row],[Available_h]],"")</f>
        <v/>
      </c>
    </row>
    <row r="1379">
      <c r="A1379" s="54" t="n"/>
      <c r="B1379" s="61" t="n"/>
      <c r="C1379" s="62" t="n"/>
      <c r="D1379" s="57" t="n"/>
      <c r="E1379" s="57" t="n"/>
      <c r="F1379" s="58" t="n"/>
      <c r="G1379" s="66">
        <f>IF(tblFleet[[#This Row],[Units]]="","",tblFleet[[#This Row],[Units]]*24)</f>
        <v/>
      </c>
      <c r="H1379" s="66">
        <f>IF(tblFleet[[#This Row],[Units]]="","",tblFleet[[#This Row],[Calendar_h]]-tblFleet[[#This Row],[Down_h]])</f>
        <v/>
      </c>
      <c r="I1379" s="60">
        <f>IF(AND(tblFleet[[#This Row],[Units]]&lt;&gt;"",tblFleet[[#This Row],[Calendar_h]]&gt;0),tblFleet[[#This Row],[Available_h]]/tblFleet[[#This Row],[Calendar_h]],"")</f>
        <v/>
      </c>
      <c r="J1379" s="60">
        <f>IF(AND(tblFleet[[#This Row],[Units]]&lt;&gt;"",tblFleet[[#This Row],[Available_h]]&gt;0),tblFleet[[#This Row],[Operating_h]]/tblFleet[[#This Row],[Available_h]],"")</f>
        <v/>
      </c>
    </row>
    <row r="1380">
      <c r="A1380" s="54" t="n"/>
      <c r="B1380" s="61" t="n"/>
      <c r="C1380" s="62" t="n"/>
      <c r="D1380" s="57" t="n"/>
      <c r="E1380" s="57" t="n"/>
      <c r="F1380" s="58" t="n"/>
      <c r="G1380" s="66">
        <f>IF(tblFleet[[#This Row],[Units]]="","",tblFleet[[#This Row],[Units]]*24)</f>
        <v/>
      </c>
      <c r="H1380" s="66">
        <f>IF(tblFleet[[#This Row],[Units]]="","",tblFleet[[#This Row],[Calendar_h]]-tblFleet[[#This Row],[Down_h]])</f>
        <v/>
      </c>
      <c r="I1380" s="60">
        <f>IF(AND(tblFleet[[#This Row],[Units]]&lt;&gt;"",tblFleet[[#This Row],[Calendar_h]]&gt;0),tblFleet[[#This Row],[Available_h]]/tblFleet[[#This Row],[Calendar_h]],"")</f>
        <v/>
      </c>
      <c r="J1380" s="60">
        <f>IF(AND(tblFleet[[#This Row],[Units]]&lt;&gt;"",tblFleet[[#This Row],[Available_h]]&gt;0),tblFleet[[#This Row],[Operating_h]]/tblFleet[[#This Row],[Available_h]],"")</f>
        <v/>
      </c>
    </row>
    <row r="1381">
      <c r="A1381" s="54" t="n"/>
      <c r="B1381" s="61" t="n"/>
      <c r="C1381" s="62" t="n"/>
      <c r="D1381" s="57" t="n"/>
      <c r="E1381" s="57" t="n"/>
      <c r="F1381" s="58" t="n"/>
      <c r="G1381" s="66">
        <f>IF(tblFleet[[#This Row],[Units]]="","",tblFleet[[#This Row],[Units]]*24)</f>
        <v/>
      </c>
      <c r="H1381" s="66">
        <f>IF(tblFleet[[#This Row],[Units]]="","",tblFleet[[#This Row],[Calendar_h]]-tblFleet[[#This Row],[Down_h]])</f>
        <v/>
      </c>
      <c r="I1381" s="60">
        <f>IF(AND(tblFleet[[#This Row],[Units]]&lt;&gt;"",tblFleet[[#This Row],[Calendar_h]]&gt;0),tblFleet[[#This Row],[Available_h]]/tblFleet[[#This Row],[Calendar_h]],"")</f>
        <v/>
      </c>
      <c r="J1381" s="60">
        <f>IF(AND(tblFleet[[#This Row],[Units]]&lt;&gt;"",tblFleet[[#This Row],[Available_h]]&gt;0),tblFleet[[#This Row],[Operating_h]]/tblFleet[[#This Row],[Available_h]],"")</f>
        <v/>
      </c>
    </row>
    <row r="1382">
      <c r="A1382" s="54" t="n"/>
      <c r="B1382" s="61" t="n"/>
      <c r="C1382" s="62" t="n"/>
      <c r="D1382" s="57" t="n"/>
      <c r="E1382" s="57" t="n"/>
      <c r="F1382" s="58" t="n"/>
      <c r="G1382" s="66">
        <f>IF(tblFleet[[#This Row],[Units]]="","",tblFleet[[#This Row],[Units]]*24)</f>
        <v/>
      </c>
      <c r="H1382" s="66">
        <f>IF(tblFleet[[#This Row],[Units]]="","",tblFleet[[#This Row],[Calendar_h]]-tblFleet[[#This Row],[Down_h]])</f>
        <v/>
      </c>
      <c r="I1382" s="60">
        <f>IF(AND(tblFleet[[#This Row],[Units]]&lt;&gt;"",tblFleet[[#This Row],[Calendar_h]]&gt;0),tblFleet[[#This Row],[Available_h]]/tblFleet[[#This Row],[Calendar_h]],"")</f>
        <v/>
      </c>
      <c r="J1382" s="60">
        <f>IF(AND(tblFleet[[#This Row],[Units]]&lt;&gt;"",tblFleet[[#This Row],[Available_h]]&gt;0),tblFleet[[#This Row],[Operating_h]]/tblFleet[[#This Row],[Available_h]],"")</f>
        <v/>
      </c>
    </row>
    <row r="1383">
      <c r="A1383" s="54" t="n"/>
      <c r="B1383" s="61" t="n"/>
      <c r="C1383" s="62" t="n"/>
      <c r="D1383" s="57" t="n"/>
      <c r="E1383" s="57" t="n"/>
      <c r="F1383" s="58" t="n"/>
      <c r="G1383" s="66">
        <f>IF(tblFleet[[#This Row],[Units]]="","",tblFleet[[#This Row],[Units]]*24)</f>
        <v/>
      </c>
      <c r="H1383" s="66">
        <f>IF(tblFleet[[#This Row],[Units]]="","",tblFleet[[#This Row],[Calendar_h]]-tblFleet[[#This Row],[Down_h]])</f>
        <v/>
      </c>
      <c r="I1383" s="60">
        <f>IF(AND(tblFleet[[#This Row],[Units]]&lt;&gt;"",tblFleet[[#This Row],[Calendar_h]]&gt;0),tblFleet[[#This Row],[Available_h]]/tblFleet[[#This Row],[Calendar_h]],"")</f>
        <v/>
      </c>
      <c r="J1383" s="60">
        <f>IF(AND(tblFleet[[#This Row],[Units]]&lt;&gt;"",tblFleet[[#This Row],[Available_h]]&gt;0),tblFleet[[#This Row],[Operating_h]]/tblFleet[[#This Row],[Available_h]],"")</f>
        <v/>
      </c>
    </row>
    <row r="1384">
      <c r="A1384" s="54" t="n"/>
      <c r="B1384" s="61" t="n"/>
      <c r="C1384" s="62" t="n"/>
      <c r="D1384" s="57" t="n"/>
      <c r="E1384" s="57" t="n"/>
      <c r="F1384" s="58" t="n"/>
      <c r="G1384" s="66">
        <f>IF(tblFleet[[#This Row],[Units]]="","",tblFleet[[#This Row],[Units]]*24)</f>
        <v/>
      </c>
      <c r="H1384" s="66">
        <f>IF(tblFleet[[#This Row],[Units]]="","",tblFleet[[#This Row],[Calendar_h]]-tblFleet[[#This Row],[Down_h]])</f>
        <v/>
      </c>
      <c r="I1384" s="60">
        <f>IF(AND(tblFleet[[#This Row],[Units]]&lt;&gt;"",tblFleet[[#This Row],[Calendar_h]]&gt;0),tblFleet[[#This Row],[Available_h]]/tblFleet[[#This Row],[Calendar_h]],"")</f>
        <v/>
      </c>
      <c r="J1384" s="60">
        <f>IF(AND(tblFleet[[#This Row],[Units]]&lt;&gt;"",tblFleet[[#This Row],[Available_h]]&gt;0),tblFleet[[#This Row],[Operating_h]]/tblFleet[[#This Row],[Available_h]],"")</f>
        <v/>
      </c>
    </row>
    <row r="1385">
      <c r="A1385" s="54" t="n"/>
      <c r="B1385" s="61" t="n"/>
      <c r="C1385" s="62" t="n"/>
      <c r="D1385" s="57" t="n"/>
      <c r="E1385" s="57" t="n"/>
      <c r="F1385" s="58" t="n"/>
      <c r="G1385" s="66">
        <f>IF(tblFleet[[#This Row],[Units]]="","",tblFleet[[#This Row],[Units]]*24)</f>
        <v/>
      </c>
      <c r="H1385" s="66">
        <f>IF(tblFleet[[#This Row],[Units]]="","",tblFleet[[#This Row],[Calendar_h]]-tblFleet[[#This Row],[Down_h]])</f>
        <v/>
      </c>
      <c r="I1385" s="60">
        <f>IF(AND(tblFleet[[#This Row],[Units]]&lt;&gt;"",tblFleet[[#This Row],[Calendar_h]]&gt;0),tblFleet[[#This Row],[Available_h]]/tblFleet[[#This Row],[Calendar_h]],"")</f>
        <v/>
      </c>
      <c r="J1385" s="60">
        <f>IF(AND(tblFleet[[#This Row],[Units]]&lt;&gt;"",tblFleet[[#This Row],[Available_h]]&gt;0),tblFleet[[#This Row],[Operating_h]]/tblFleet[[#This Row],[Available_h]],"")</f>
        <v/>
      </c>
    </row>
    <row r="1386">
      <c r="A1386" s="54" t="n"/>
      <c r="B1386" s="61" t="n"/>
      <c r="C1386" s="62" t="n"/>
      <c r="D1386" s="57" t="n"/>
      <c r="E1386" s="57" t="n"/>
      <c r="F1386" s="58" t="n"/>
      <c r="G1386" s="66">
        <f>IF(tblFleet[[#This Row],[Units]]="","",tblFleet[[#This Row],[Units]]*24)</f>
        <v/>
      </c>
      <c r="H1386" s="66">
        <f>IF(tblFleet[[#This Row],[Units]]="","",tblFleet[[#This Row],[Calendar_h]]-tblFleet[[#This Row],[Down_h]])</f>
        <v/>
      </c>
      <c r="I1386" s="60">
        <f>IF(AND(tblFleet[[#This Row],[Units]]&lt;&gt;"",tblFleet[[#This Row],[Calendar_h]]&gt;0),tblFleet[[#This Row],[Available_h]]/tblFleet[[#This Row],[Calendar_h]],"")</f>
        <v/>
      </c>
      <c r="J1386" s="60">
        <f>IF(AND(tblFleet[[#This Row],[Units]]&lt;&gt;"",tblFleet[[#This Row],[Available_h]]&gt;0),tblFleet[[#This Row],[Operating_h]]/tblFleet[[#This Row],[Available_h]],"")</f>
        <v/>
      </c>
    </row>
    <row r="1387">
      <c r="A1387" s="54" t="n"/>
      <c r="B1387" s="61" t="n"/>
      <c r="C1387" s="62" t="n"/>
      <c r="D1387" s="57" t="n"/>
      <c r="E1387" s="57" t="n"/>
      <c r="F1387" s="58" t="n"/>
      <c r="G1387" s="66">
        <f>IF(tblFleet[[#This Row],[Units]]="","",tblFleet[[#This Row],[Units]]*24)</f>
        <v/>
      </c>
      <c r="H1387" s="66">
        <f>IF(tblFleet[[#This Row],[Units]]="","",tblFleet[[#This Row],[Calendar_h]]-tblFleet[[#This Row],[Down_h]])</f>
        <v/>
      </c>
      <c r="I1387" s="60">
        <f>IF(AND(tblFleet[[#This Row],[Units]]&lt;&gt;"",tblFleet[[#This Row],[Calendar_h]]&gt;0),tblFleet[[#This Row],[Available_h]]/tblFleet[[#This Row],[Calendar_h]],"")</f>
        <v/>
      </c>
      <c r="J1387" s="60">
        <f>IF(AND(tblFleet[[#This Row],[Units]]&lt;&gt;"",tblFleet[[#This Row],[Available_h]]&gt;0),tblFleet[[#This Row],[Operating_h]]/tblFleet[[#This Row],[Available_h]],"")</f>
        <v/>
      </c>
    </row>
    <row r="1388">
      <c r="A1388" s="54" t="n"/>
      <c r="B1388" s="61" t="n"/>
      <c r="C1388" s="62" t="n"/>
      <c r="D1388" s="57" t="n"/>
      <c r="E1388" s="57" t="n"/>
      <c r="F1388" s="58" t="n"/>
      <c r="G1388" s="66">
        <f>IF(tblFleet[[#This Row],[Units]]="","",tblFleet[[#This Row],[Units]]*24)</f>
        <v/>
      </c>
      <c r="H1388" s="66">
        <f>IF(tblFleet[[#This Row],[Units]]="","",tblFleet[[#This Row],[Calendar_h]]-tblFleet[[#This Row],[Down_h]])</f>
        <v/>
      </c>
      <c r="I1388" s="60">
        <f>IF(AND(tblFleet[[#This Row],[Units]]&lt;&gt;"",tblFleet[[#This Row],[Calendar_h]]&gt;0),tblFleet[[#This Row],[Available_h]]/tblFleet[[#This Row],[Calendar_h]],"")</f>
        <v/>
      </c>
      <c r="J1388" s="60">
        <f>IF(AND(tblFleet[[#This Row],[Units]]&lt;&gt;"",tblFleet[[#This Row],[Available_h]]&gt;0),tblFleet[[#This Row],[Operating_h]]/tblFleet[[#This Row],[Available_h]],"")</f>
        <v/>
      </c>
    </row>
    <row r="1389">
      <c r="A1389" s="54" t="n"/>
      <c r="B1389" s="61" t="n"/>
      <c r="C1389" s="62" t="n"/>
      <c r="D1389" s="57" t="n"/>
      <c r="E1389" s="57" t="n"/>
      <c r="F1389" s="58" t="n"/>
      <c r="G1389" s="66">
        <f>IF(tblFleet[[#This Row],[Units]]="","",tblFleet[[#This Row],[Units]]*24)</f>
        <v/>
      </c>
      <c r="H1389" s="66">
        <f>IF(tblFleet[[#This Row],[Units]]="","",tblFleet[[#This Row],[Calendar_h]]-tblFleet[[#This Row],[Down_h]])</f>
        <v/>
      </c>
      <c r="I1389" s="60">
        <f>IF(AND(tblFleet[[#This Row],[Units]]&lt;&gt;"",tblFleet[[#This Row],[Calendar_h]]&gt;0),tblFleet[[#This Row],[Available_h]]/tblFleet[[#This Row],[Calendar_h]],"")</f>
        <v/>
      </c>
      <c r="J1389" s="60">
        <f>IF(AND(tblFleet[[#This Row],[Units]]&lt;&gt;"",tblFleet[[#This Row],[Available_h]]&gt;0),tblFleet[[#This Row],[Operating_h]]/tblFleet[[#This Row],[Available_h]],"")</f>
        <v/>
      </c>
    </row>
    <row r="1390">
      <c r="A1390" s="54" t="n"/>
      <c r="B1390" s="61" t="n"/>
      <c r="C1390" s="62" t="n"/>
      <c r="D1390" s="57" t="n"/>
      <c r="E1390" s="57" t="n"/>
      <c r="F1390" s="58" t="n"/>
      <c r="G1390" s="66">
        <f>IF(tblFleet[[#This Row],[Units]]="","",tblFleet[[#This Row],[Units]]*24)</f>
        <v/>
      </c>
      <c r="H1390" s="66">
        <f>IF(tblFleet[[#This Row],[Units]]="","",tblFleet[[#This Row],[Calendar_h]]-tblFleet[[#This Row],[Down_h]])</f>
        <v/>
      </c>
      <c r="I1390" s="60">
        <f>IF(AND(tblFleet[[#This Row],[Units]]&lt;&gt;"",tblFleet[[#This Row],[Calendar_h]]&gt;0),tblFleet[[#This Row],[Available_h]]/tblFleet[[#This Row],[Calendar_h]],"")</f>
        <v/>
      </c>
      <c r="J1390" s="60">
        <f>IF(AND(tblFleet[[#This Row],[Units]]&lt;&gt;"",tblFleet[[#This Row],[Available_h]]&gt;0),tblFleet[[#This Row],[Operating_h]]/tblFleet[[#This Row],[Available_h]],"")</f>
        <v/>
      </c>
    </row>
    <row r="1391">
      <c r="A1391" s="54" t="n"/>
      <c r="B1391" s="61" t="n"/>
      <c r="C1391" s="62" t="n"/>
      <c r="D1391" s="57" t="n"/>
      <c r="E1391" s="57" t="n"/>
      <c r="F1391" s="58" t="n"/>
      <c r="G1391" s="66">
        <f>IF(tblFleet[[#This Row],[Units]]="","",tblFleet[[#This Row],[Units]]*24)</f>
        <v/>
      </c>
      <c r="H1391" s="66">
        <f>IF(tblFleet[[#This Row],[Units]]="","",tblFleet[[#This Row],[Calendar_h]]-tblFleet[[#This Row],[Down_h]])</f>
        <v/>
      </c>
      <c r="I1391" s="60">
        <f>IF(AND(tblFleet[[#This Row],[Units]]&lt;&gt;"",tblFleet[[#This Row],[Calendar_h]]&gt;0),tblFleet[[#This Row],[Available_h]]/tblFleet[[#This Row],[Calendar_h]],"")</f>
        <v/>
      </c>
      <c r="J1391" s="60">
        <f>IF(AND(tblFleet[[#This Row],[Units]]&lt;&gt;"",tblFleet[[#This Row],[Available_h]]&gt;0),tblFleet[[#This Row],[Operating_h]]/tblFleet[[#This Row],[Available_h]],"")</f>
        <v/>
      </c>
    </row>
    <row r="1392">
      <c r="A1392" s="54" t="n"/>
      <c r="B1392" s="61" t="n"/>
      <c r="C1392" s="62" t="n"/>
      <c r="D1392" s="57" t="n"/>
      <c r="E1392" s="57" t="n"/>
      <c r="F1392" s="58" t="n"/>
      <c r="G1392" s="66">
        <f>IF(tblFleet[[#This Row],[Units]]="","",tblFleet[[#This Row],[Units]]*24)</f>
        <v/>
      </c>
      <c r="H1392" s="66">
        <f>IF(tblFleet[[#This Row],[Units]]="","",tblFleet[[#This Row],[Calendar_h]]-tblFleet[[#This Row],[Down_h]])</f>
        <v/>
      </c>
      <c r="I1392" s="60">
        <f>IF(AND(tblFleet[[#This Row],[Units]]&lt;&gt;"",tblFleet[[#This Row],[Calendar_h]]&gt;0),tblFleet[[#This Row],[Available_h]]/tblFleet[[#This Row],[Calendar_h]],"")</f>
        <v/>
      </c>
      <c r="J1392" s="60">
        <f>IF(AND(tblFleet[[#This Row],[Units]]&lt;&gt;"",tblFleet[[#This Row],[Available_h]]&gt;0),tblFleet[[#This Row],[Operating_h]]/tblFleet[[#This Row],[Available_h]],"")</f>
        <v/>
      </c>
    </row>
    <row r="1393">
      <c r="A1393" s="54" t="n"/>
      <c r="B1393" s="61" t="n"/>
      <c r="C1393" s="62" t="n"/>
      <c r="D1393" s="57" t="n"/>
      <c r="E1393" s="57" t="n"/>
      <c r="F1393" s="58" t="n"/>
      <c r="G1393" s="66">
        <f>IF(tblFleet[[#This Row],[Units]]="","",tblFleet[[#This Row],[Units]]*24)</f>
        <v/>
      </c>
      <c r="H1393" s="66">
        <f>IF(tblFleet[[#This Row],[Units]]="","",tblFleet[[#This Row],[Calendar_h]]-tblFleet[[#This Row],[Down_h]])</f>
        <v/>
      </c>
      <c r="I1393" s="60">
        <f>IF(AND(tblFleet[[#This Row],[Units]]&lt;&gt;"",tblFleet[[#This Row],[Calendar_h]]&gt;0),tblFleet[[#This Row],[Available_h]]/tblFleet[[#This Row],[Calendar_h]],"")</f>
        <v/>
      </c>
      <c r="J1393" s="60">
        <f>IF(AND(tblFleet[[#This Row],[Units]]&lt;&gt;"",tblFleet[[#This Row],[Available_h]]&gt;0),tblFleet[[#This Row],[Operating_h]]/tblFleet[[#This Row],[Available_h]],"")</f>
        <v/>
      </c>
    </row>
    <row r="1394">
      <c r="A1394" s="54" t="n"/>
      <c r="B1394" s="61" t="n"/>
      <c r="C1394" s="62" t="n"/>
      <c r="D1394" s="57" t="n"/>
      <c r="E1394" s="57" t="n"/>
      <c r="F1394" s="58" t="n"/>
      <c r="G1394" s="66">
        <f>IF(tblFleet[[#This Row],[Units]]="","",tblFleet[[#This Row],[Units]]*24)</f>
        <v/>
      </c>
      <c r="H1394" s="66">
        <f>IF(tblFleet[[#This Row],[Units]]="","",tblFleet[[#This Row],[Calendar_h]]-tblFleet[[#This Row],[Down_h]])</f>
        <v/>
      </c>
      <c r="I1394" s="60">
        <f>IF(AND(tblFleet[[#This Row],[Units]]&lt;&gt;"",tblFleet[[#This Row],[Calendar_h]]&gt;0),tblFleet[[#This Row],[Available_h]]/tblFleet[[#This Row],[Calendar_h]],"")</f>
        <v/>
      </c>
      <c r="J1394" s="60">
        <f>IF(AND(tblFleet[[#This Row],[Units]]&lt;&gt;"",tblFleet[[#This Row],[Available_h]]&gt;0),tblFleet[[#This Row],[Operating_h]]/tblFleet[[#This Row],[Available_h]],"")</f>
        <v/>
      </c>
    </row>
    <row r="1395">
      <c r="A1395" s="54" t="n"/>
      <c r="B1395" s="61" t="n"/>
      <c r="C1395" s="62" t="n"/>
      <c r="D1395" s="57" t="n"/>
      <c r="E1395" s="57" t="n"/>
      <c r="F1395" s="58" t="n"/>
      <c r="G1395" s="66">
        <f>IF(tblFleet[[#This Row],[Units]]="","",tblFleet[[#This Row],[Units]]*24)</f>
        <v/>
      </c>
      <c r="H1395" s="66">
        <f>IF(tblFleet[[#This Row],[Units]]="","",tblFleet[[#This Row],[Calendar_h]]-tblFleet[[#This Row],[Down_h]])</f>
        <v/>
      </c>
      <c r="I1395" s="60">
        <f>IF(AND(tblFleet[[#This Row],[Units]]&lt;&gt;"",tblFleet[[#This Row],[Calendar_h]]&gt;0),tblFleet[[#This Row],[Available_h]]/tblFleet[[#This Row],[Calendar_h]],"")</f>
        <v/>
      </c>
      <c r="J1395" s="60">
        <f>IF(AND(tblFleet[[#This Row],[Units]]&lt;&gt;"",tblFleet[[#This Row],[Available_h]]&gt;0),tblFleet[[#This Row],[Operating_h]]/tblFleet[[#This Row],[Available_h]],"")</f>
        <v/>
      </c>
    </row>
    <row r="1396">
      <c r="A1396" s="54" t="n"/>
      <c r="B1396" s="61" t="n"/>
      <c r="C1396" s="62" t="n"/>
      <c r="D1396" s="57" t="n"/>
      <c r="E1396" s="57" t="n"/>
      <c r="F1396" s="58" t="n"/>
      <c r="G1396" s="66">
        <f>IF(tblFleet[[#This Row],[Units]]="","",tblFleet[[#This Row],[Units]]*24)</f>
        <v/>
      </c>
      <c r="H1396" s="66">
        <f>IF(tblFleet[[#This Row],[Units]]="","",tblFleet[[#This Row],[Calendar_h]]-tblFleet[[#This Row],[Down_h]])</f>
        <v/>
      </c>
      <c r="I1396" s="60">
        <f>IF(AND(tblFleet[[#This Row],[Units]]&lt;&gt;"",tblFleet[[#This Row],[Calendar_h]]&gt;0),tblFleet[[#This Row],[Available_h]]/tblFleet[[#This Row],[Calendar_h]],"")</f>
        <v/>
      </c>
      <c r="J1396" s="60">
        <f>IF(AND(tblFleet[[#This Row],[Units]]&lt;&gt;"",tblFleet[[#This Row],[Available_h]]&gt;0),tblFleet[[#This Row],[Operating_h]]/tblFleet[[#This Row],[Available_h]],"")</f>
        <v/>
      </c>
    </row>
    <row r="1397">
      <c r="A1397" s="54" t="n"/>
      <c r="B1397" s="61" t="n"/>
      <c r="C1397" s="62" t="n"/>
      <c r="D1397" s="57" t="n"/>
      <c r="E1397" s="57" t="n"/>
      <c r="F1397" s="58" t="n"/>
      <c r="G1397" s="66">
        <f>IF(tblFleet[[#This Row],[Units]]="","",tblFleet[[#This Row],[Units]]*24)</f>
        <v/>
      </c>
      <c r="H1397" s="66">
        <f>IF(tblFleet[[#This Row],[Units]]="","",tblFleet[[#This Row],[Calendar_h]]-tblFleet[[#This Row],[Down_h]])</f>
        <v/>
      </c>
      <c r="I1397" s="60">
        <f>IF(AND(tblFleet[[#This Row],[Units]]&lt;&gt;"",tblFleet[[#This Row],[Calendar_h]]&gt;0),tblFleet[[#This Row],[Available_h]]/tblFleet[[#This Row],[Calendar_h]],"")</f>
        <v/>
      </c>
      <c r="J1397" s="60">
        <f>IF(AND(tblFleet[[#This Row],[Units]]&lt;&gt;"",tblFleet[[#This Row],[Available_h]]&gt;0),tblFleet[[#This Row],[Operating_h]]/tblFleet[[#This Row],[Available_h]],"")</f>
        <v/>
      </c>
    </row>
    <row r="1398">
      <c r="A1398" s="54" t="n"/>
      <c r="B1398" s="61" t="n"/>
      <c r="C1398" s="62" t="n"/>
      <c r="D1398" s="57" t="n"/>
      <c r="E1398" s="57" t="n"/>
      <c r="F1398" s="58" t="n"/>
      <c r="G1398" s="66">
        <f>IF(tblFleet[[#This Row],[Units]]="","",tblFleet[[#This Row],[Units]]*24)</f>
        <v/>
      </c>
      <c r="H1398" s="66">
        <f>IF(tblFleet[[#This Row],[Units]]="","",tblFleet[[#This Row],[Calendar_h]]-tblFleet[[#This Row],[Down_h]])</f>
        <v/>
      </c>
      <c r="I1398" s="60">
        <f>IF(AND(tblFleet[[#This Row],[Units]]&lt;&gt;"",tblFleet[[#This Row],[Calendar_h]]&gt;0),tblFleet[[#This Row],[Available_h]]/tblFleet[[#This Row],[Calendar_h]],"")</f>
        <v/>
      </c>
      <c r="J1398" s="60">
        <f>IF(AND(tblFleet[[#This Row],[Units]]&lt;&gt;"",tblFleet[[#This Row],[Available_h]]&gt;0),tblFleet[[#This Row],[Operating_h]]/tblFleet[[#This Row],[Available_h]],"")</f>
        <v/>
      </c>
    </row>
    <row r="1399">
      <c r="A1399" s="54" t="n"/>
      <c r="B1399" s="61" t="n"/>
      <c r="C1399" s="62" t="n"/>
      <c r="D1399" s="57" t="n"/>
      <c r="E1399" s="57" t="n"/>
      <c r="F1399" s="58" t="n"/>
      <c r="G1399" s="66">
        <f>IF(tblFleet[[#This Row],[Units]]="","",tblFleet[[#This Row],[Units]]*24)</f>
        <v/>
      </c>
      <c r="H1399" s="66">
        <f>IF(tblFleet[[#This Row],[Units]]="","",tblFleet[[#This Row],[Calendar_h]]-tblFleet[[#This Row],[Down_h]])</f>
        <v/>
      </c>
      <c r="I1399" s="60">
        <f>IF(AND(tblFleet[[#This Row],[Units]]&lt;&gt;"",tblFleet[[#This Row],[Calendar_h]]&gt;0),tblFleet[[#This Row],[Available_h]]/tblFleet[[#This Row],[Calendar_h]],"")</f>
        <v/>
      </c>
      <c r="J1399" s="60">
        <f>IF(AND(tblFleet[[#This Row],[Units]]&lt;&gt;"",tblFleet[[#This Row],[Available_h]]&gt;0),tblFleet[[#This Row],[Operating_h]]/tblFleet[[#This Row],[Available_h]],"")</f>
        <v/>
      </c>
    </row>
    <row r="1400">
      <c r="A1400" s="54" t="n"/>
      <c r="B1400" s="61" t="n"/>
      <c r="C1400" s="62" t="n"/>
      <c r="D1400" s="57" t="n"/>
      <c r="E1400" s="57" t="n"/>
      <c r="F1400" s="58" t="n"/>
      <c r="G1400" s="66">
        <f>IF(tblFleet[[#This Row],[Units]]="","",tblFleet[[#This Row],[Units]]*24)</f>
        <v/>
      </c>
      <c r="H1400" s="66">
        <f>IF(tblFleet[[#This Row],[Units]]="","",tblFleet[[#This Row],[Calendar_h]]-tblFleet[[#This Row],[Down_h]])</f>
        <v/>
      </c>
      <c r="I1400" s="60">
        <f>IF(AND(tblFleet[[#This Row],[Units]]&lt;&gt;"",tblFleet[[#This Row],[Calendar_h]]&gt;0),tblFleet[[#This Row],[Available_h]]/tblFleet[[#This Row],[Calendar_h]],"")</f>
        <v/>
      </c>
      <c r="J1400" s="60">
        <f>IF(AND(tblFleet[[#This Row],[Units]]&lt;&gt;"",tblFleet[[#This Row],[Available_h]]&gt;0),tblFleet[[#This Row],[Operating_h]]/tblFleet[[#This Row],[Available_h]],"")</f>
        <v/>
      </c>
    </row>
    <row r="1401">
      <c r="A1401" s="54" t="n"/>
      <c r="B1401" s="61" t="n"/>
      <c r="C1401" s="62" t="n"/>
      <c r="D1401" s="57" t="n"/>
      <c r="E1401" s="57" t="n"/>
      <c r="F1401" s="58" t="n"/>
      <c r="G1401" s="66">
        <f>IF(tblFleet[[#This Row],[Units]]="","",tblFleet[[#This Row],[Units]]*24)</f>
        <v/>
      </c>
      <c r="H1401" s="66">
        <f>IF(tblFleet[[#This Row],[Units]]="","",tblFleet[[#This Row],[Calendar_h]]-tblFleet[[#This Row],[Down_h]])</f>
        <v/>
      </c>
      <c r="I1401" s="60">
        <f>IF(AND(tblFleet[[#This Row],[Units]]&lt;&gt;"",tblFleet[[#This Row],[Calendar_h]]&gt;0),tblFleet[[#This Row],[Available_h]]/tblFleet[[#This Row],[Calendar_h]],"")</f>
        <v/>
      </c>
      <c r="J1401" s="60">
        <f>IF(AND(tblFleet[[#This Row],[Units]]&lt;&gt;"",tblFleet[[#This Row],[Available_h]]&gt;0),tblFleet[[#This Row],[Operating_h]]/tblFleet[[#This Row],[Available_h]],"")</f>
        <v/>
      </c>
    </row>
    <row r="1402">
      <c r="A1402" s="54" t="n"/>
      <c r="B1402" s="61" t="n"/>
      <c r="C1402" s="62" t="n"/>
      <c r="D1402" s="57" t="n"/>
      <c r="E1402" s="57" t="n"/>
      <c r="F1402" s="58" t="n"/>
      <c r="G1402" s="66">
        <f>IF(tblFleet[[#This Row],[Units]]="","",tblFleet[[#This Row],[Units]]*24)</f>
        <v/>
      </c>
      <c r="H1402" s="66">
        <f>IF(tblFleet[[#This Row],[Units]]="","",tblFleet[[#This Row],[Calendar_h]]-tblFleet[[#This Row],[Down_h]])</f>
        <v/>
      </c>
      <c r="I1402" s="60">
        <f>IF(AND(tblFleet[[#This Row],[Units]]&lt;&gt;"",tblFleet[[#This Row],[Calendar_h]]&gt;0),tblFleet[[#This Row],[Available_h]]/tblFleet[[#This Row],[Calendar_h]],"")</f>
        <v/>
      </c>
      <c r="J1402" s="60">
        <f>IF(AND(tblFleet[[#This Row],[Units]]&lt;&gt;"",tblFleet[[#This Row],[Available_h]]&gt;0),tblFleet[[#This Row],[Operating_h]]/tblFleet[[#This Row],[Available_h]],"")</f>
        <v/>
      </c>
    </row>
    <row r="1403">
      <c r="A1403" s="54" t="n"/>
      <c r="B1403" s="61" t="n"/>
      <c r="C1403" s="62" t="n"/>
      <c r="D1403" s="57" t="n"/>
      <c r="E1403" s="57" t="n"/>
      <c r="F1403" s="58" t="n"/>
      <c r="G1403" s="66">
        <f>IF(tblFleet[[#This Row],[Units]]="","",tblFleet[[#This Row],[Units]]*24)</f>
        <v/>
      </c>
      <c r="H1403" s="66">
        <f>IF(tblFleet[[#This Row],[Units]]="","",tblFleet[[#This Row],[Calendar_h]]-tblFleet[[#This Row],[Down_h]])</f>
        <v/>
      </c>
      <c r="I1403" s="60">
        <f>IF(AND(tblFleet[[#This Row],[Units]]&lt;&gt;"",tblFleet[[#This Row],[Calendar_h]]&gt;0),tblFleet[[#This Row],[Available_h]]/tblFleet[[#This Row],[Calendar_h]],"")</f>
        <v/>
      </c>
      <c r="J1403" s="60">
        <f>IF(AND(tblFleet[[#This Row],[Units]]&lt;&gt;"",tblFleet[[#This Row],[Available_h]]&gt;0),tblFleet[[#This Row],[Operating_h]]/tblFleet[[#This Row],[Available_h]],"")</f>
        <v/>
      </c>
    </row>
    <row r="1404">
      <c r="A1404" s="54" t="n"/>
      <c r="B1404" s="61" t="n"/>
      <c r="C1404" s="62" t="n"/>
      <c r="D1404" s="57" t="n"/>
      <c r="E1404" s="57" t="n"/>
      <c r="F1404" s="58" t="n"/>
      <c r="G1404" s="66">
        <f>IF(tblFleet[[#This Row],[Units]]="","",tblFleet[[#This Row],[Units]]*24)</f>
        <v/>
      </c>
      <c r="H1404" s="66">
        <f>IF(tblFleet[[#This Row],[Units]]="","",tblFleet[[#This Row],[Calendar_h]]-tblFleet[[#This Row],[Down_h]])</f>
        <v/>
      </c>
      <c r="I1404" s="60">
        <f>IF(AND(tblFleet[[#This Row],[Units]]&lt;&gt;"",tblFleet[[#This Row],[Calendar_h]]&gt;0),tblFleet[[#This Row],[Available_h]]/tblFleet[[#This Row],[Calendar_h]],"")</f>
        <v/>
      </c>
      <c r="J1404" s="60">
        <f>IF(AND(tblFleet[[#This Row],[Units]]&lt;&gt;"",tblFleet[[#This Row],[Available_h]]&gt;0),tblFleet[[#This Row],[Operating_h]]/tblFleet[[#This Row],[Available_h]],"")</f>
        <v/>
      </c>
    </row>
    <row r="1405">
      <c r="A1405" s="54" t="n"/>
      <c r="B1405" s="61" t="n"/>
      <c r="C1405" s="62" t="n"/>
      <c r="D1405" s="57" t="n"/>
      <c r="E1405" s="57" t="n"/>
      <c r="F1405" s="58" t="n"/>
      <c r="G1405" s="66">
        <f>IF(tblFleet[[#This Row],[Units]]="","",tblFleet[[#This Row],[Units]]*24)</f>
        <v/>
      </c>
      <c r="H1405" s="66">
        <f>IF(tblFleet[[#This Row],[Units]]="","",tblFleet[[#This Row],[Calendar_h]]-tblFleet[[#This Row],[Down_h]])</f>
        <v/>
      </c>
      <c r="I1405" s="60">
        <f>IF(AND(tblFleet[[#This Row],[Units]]&lt;&gt;"",tblFleet[[#This Row],[Calendar_h]]&gt;0),tblFleet[[#This Row],[Available_h]]/tblFleet[[#This Row],[Calendar_h]],"")</f>
        <v/>
      </c>
      <c r="J1405" s="60">
        <f>IF(AND(tblFleet[[#This Row],[Units]]&lt;&gt;"",tblFleet[[#This Row],[Available_h]]&gt;0),tblFleet[[#This Row],[Operating_h]]/tblFleet[[#This Row],[Available_h]],"")</f>
        <v/>
      </c>
    </row>
    <row r="1406">
      <c r="A1406" s="54" t="n"/>
      <c r="B1406" s="61" t="n"/>
      <c r="C1406" s="62" t="n"/>
      <c r="D1406" s="57" t="n"/>
      <c r="E1406" s="57" t="n"/>
      <c r="F1406" s="58" t="n"/>
      <c r="G1406" s="66">
        <f>IF(tblFleet[[#This Row],[Units]]="","",tblFleet[[#This Row],[Units]]*24)</f>
        <v/>
      </c>
      <c r="H1406" s="66">
        <f>IF(tblFleet[[#This Row],[Units]]="","",tblFleet[[#This Row],[Calendar_h]]-tblFleet[[#This Row],[Down_h]])</f>
        <v/>
      </c>
      <c r="I1406" s="60">
        <f>IF(AND(tblFleet[[#This Row],[Units]]&lt;&gt;"",tblFleet[[#This Row],[Calendar_h]]&gt;0),tblFleet[[#This Row],[Available_h]]/tblFleet[[#This Row],[Calendar_h]],"")</f>
        <v/>
      </c>
      <c r="J1406" s="60">
        <f>IF(AND(tblFleet[[#This Row],[Units]]&lt;&gt;"",tblFleet[[#This Row],[Available_h]]&gt;0),tblFleet[[#This Row],[Operating_h]]/tblFleet[[#This Row],[Available_h]],"")</f>
        <v/>
      </c>
    </row>
    <row r="1407">
      <c r="A1407" s="54" t="n"/>
      <c r="B1407" s="61" t="n"/>
      <c r="C1407" s="62" t="n"/>
      <c r="D1407" s="57" t="n"/>
      <c r="E1407" s="57" t="n"/>
      <c r="F1407" s="58" t="n"/>
      <c r="G1407" s="66">
        <f>IF(tblFleet[[#This Row],[Units]]="","",tblFleet[[#This Row],[Units]]*24)</f>
        <v/>
      </c>
      <c r="H1407" s="66">
        <f>IF(tblFleet[[#This Row],[Units]]="","",tblFleet[[#This Row],[Calendar_h]]-tblFleet[[#This Row],[Down_h]])</f>
        <v/>
      </c>
      <c r="I1407" s="60">
        <f>IF(AND(tblFleet[[#This Row],[Units]]&lt;&gt;"",tblFleet[[#This Row],[Calendar_h]]&gt;0),tblFleet[[#This Row],[Available_h]]/tblFleet[[#This Row],[Calendar_h]],"")</f>
        <v/>
      </c>
      <c r="J1407" s="60">
        <f>IF(AND(tblFleet[[#This Row],[Units]]&lt;&gt;"",tblFleet[[#This Row],[Available_h]]&gt;0),tblFleet[[#This Row],[Operating_h]]/tblFleet[[#This Row],[Available_h]],"")</f>
        <v/>
      </c>
    </row>
    <row r="1408">
      <c r="A1408" s="54" t="n"/>
      <c r="B1408" s="61" t="n"/>
      <c r="C1408" s="62" t="n"/>
      <c r="D1408" s="57" t="n"/>
      <c r="E1408" s="57" t="n"/>
      <c r="F1408" s="58" t="n"/>
      <c r="G1408" s="66">
        <f>IF(tblFleet[[#This Row],[Units]]="","",tblFleet[[#This Row],[Units]]*24)</f>
        <v/>
      </c>
      <c r="H1408" s="66">
        <f>IF(tblFleet[[#This Row],[Units]]="","",tblFleet[[#This Row],[Calendar_h]]-tblFleet[[#This Row],[Down_h]])</f>
        <v/>
      </c>
      <c r="I1408" s="60">
        <f>IF(AND(tblFleet[[#This Row],[Units]]&lt;&gt;"",tblFleet[[#This Row],[Calendar_h]]&gt;0),tblFleet[[#This Row],[Available_h]]/tblFleet[[#This Row],[Calendar_h]],"")</f>
        <v/>
      </c>
      <c r="J1408" s="60">
        <f>IF(AND(tblFleet[[#This Row],[Units]]&lt;&gt;"",tblFleet[[#This Row],[Available_h]]&gt;0),tblFleet[[#This Row],[Operating_h]]/tblFleet[[#This Row],[Available_h]],"")</f>
        <v/>
      </c>
    </row>
    <row r="1409">
      <c r="A1409" s="54" t="n"/>
      <c r="B1409" s="61" t="n"/>
      <c r="C1409" s="62" t="n"/>
      <c r="D1409" s="57" t="n"/>
      <c r="E1409" s="57" t="n"/>
      <c r="F1409" s="58" t="n"/>
      <c r="G1409" s="66">
        <f>IF(tblFleet[[#This Row],[Units]]="","",tblFleet[[#This Row],[Units]]*24)</f>
        <v/>
      </c>
      <c r="H1409" s="66">
        <f>IF(tblFleet[[#This Row],[Units]]="","",tblFleet[[#This Row],[Calendar_h]]-tblFleet[[#This Row],[Down_h]])</f>
        <v/>
      </c>
      <c r="I1409" s="60">
        <f>IF(AND(tblFleet[[#This Row],[Units]]&lt;&gt;"",tblFleet[[#This Row],[Calendar_h]]&gt;0),tblFleet[[#This Row],[Available_h]]/tblFleet[[#This Row],[Calendar_h]],"")</f>
        <v/>
      </c>
      <c r="J1409" s="60">
        <f>IF(AND(tblFleet[[#This Row],[Units]]&lt;&gt;"",tblFleet[[#This Row],[Available_h]]&gt;0),tblFleet[[#This Row],[Operating_h]]/tblFleet[[#This Row],[Available_h]],"")</f>
        <v/>
      </c>
    </row>
    <row r="1410">
      <c r="A1410" s="54" t="n"/>
      <c r="B1410" s="61" t="n"/>
      <c r="C1410" s="62" t="n"/>
      <c r="D1410" s="57" t="n"/>
      <c r="E1410" s="57" t="n"/>
      <c r="F1410" s="58" t="n"/>
      <c r="G1410" s="66">
        <f>IF(tblFleet[[#This Row],[Units]]="","",tblFleet[[#This Row],[Units]]*24)</f>
        <v/>
      </c>
      <c r="H1410" s="66">
        <f>IF(tblFleet[[#This Row],[Units]]="","",tblFleet[[#This Row],[Calendar_h]]-tblFleet[[#This Row],[Down_h]])</f>
        <v/>
      </c>
      <c r="I1410" s="60">
        <f>IF(AND(tblFleet[[#This Row],[Units]]&lt;&gt;"",tblFleet[[#This Row],[Calendar_h]]&gt;0),tblFleet[[#This Row],[Available_h]]/tblFleet[[#This Row],[Calendar_h]],"")</f>
        <v/>
      </c>
      <c r="J1410" s="60">
        <f>IF(AND(tblFleet[[#This Row],[Units]]&lt;&gt;"",tblFleet[[#This Row],[Available_h]]&gt;0),tblFleet[[#This Row],[Operating_h]]/tblFleet[[#This Row],[Available_h]],"")</f>
        <v/>
      </c>
    </row>
    <row r="1411">
      <c r="A1411" s="54" t="n"/>
      <c r="B1411" s="61" t="n"/>
      <c r="C1411" s="62" t="n"/>
      <c r="D1411" s="57" t="n"/>
      <c r="E1411" s="57" t="n"/>
      <c r="F1411" s="58" t="n"/>
      <c r="G1411" s="66">
        <f>IF(tblFleet[[#This Row],[Units]]="","",tblFleet[[#This Row],[Units]]*24)</f>
        <v/>
      </c>
      <c r="H1411" s="66">
        <f>IF(tblFleet[[#This Row],[Units]]="","",tblFleet[[#This Row],[Calendar_h]]-tblFleet[[#This Row],[Down_h]])</f>
        <v/>
      </c>
      <c r="I1411" s="60">
        <f>IF(AND(tblFleet[[#This Row],[Units]]&lt;&gt;"",tblFleet[[#This Row],[Calendar_h]]&gt;0),tblFleet[[#This Row],[Available_h]]/tblFleet[[#This Row],[Calendar_h]],"")</f>
        <v/>
      </c>
      <c r="J1411" s="60">
        <f>IF(AND(tblFleet[[#This Row],[Units]]&lt;&gt;"",tblFleet[[#This Row],[Available_h]]&gt;0),tblFleet[[#This Row],[Operating_h]]/tblFleet[[#This Row],[Available_h]],"")</f>
        <v/>
      </c>
    </row>
    <row r="1412">
      <c r="A1412" s="54" t="n"/>
      <c r="B1412" s="61" t="n"/>
      <c r="C1412" s="62" t="n"/>
      <c r="D1412" s="57" t="n"/>
      <c r="E1412" s="57" t="n"/>
      <c r="F1412" s="58" t="n"/>
      <c r="G1412" s="66">
        <f>IF(tblFleet[[#This Row],[Units]]="","",tblFleet[[#This Row],[Units]]*24)</f>
        <v/>
      </c>
      <c r="H1412" s="66">
        <f>IF(tblFleet[[#This Row],[Units]]="","",tblFleet[[#This Row],[Calendar_h]]-tblFleet[[#This Row],[Down_h]])</f>
        <v/>
      </c>
      <c r="I1412" s="60">
        <f>IF(AND(tblFleet[[#This Row],[Units]]&lt;&gt;"",tblFleet[[#This Row],[Calendar_h]]&gt;0),tblFleet[[#This Row],[Available_h]]/tblFleet[[#This Row],[Calendar_h]],"")</f>
        <v/>
      </c>
      <c r="J1412" s="60">
        <f>IF(AND(tblFleet[[#This Row],[Units]]&lt;&gt;"",tblFleet[[#This Row],[Available_h]]&gt;0),tblFleet[[#This Row],[Operating_h]]/tblFleet[[#This Row],[Available_h]],"")</f>
        <v/>
      </c>
    </row>
    <row r="1413">
      <c r="A1413" s="54" t="n"/>
      <c r="B1413" s="61" t="n"/>
      <c r="C1413" s="62" t="n"/>
      <c r="D1413" s="57" t="n"/>
      <c r="E1413" s="57" t="n"/>
      <c r="F1413" s="58" t="n"/>
      <c r="G1413" s="66">
        <f>IF(tblFleet[[#This Row],[Units]]="","",tblFleet[[#This Row],[Units]]*24)</f>
        <v/>
      </c>
      <c r="H1413" s="66">
        <f>IF(tblFleet[[#This Row],[Units]]="","",tblFleet[[#This Row],[Calendar_h]]-tblFleet[[#This Row],[Down_h]])</f>
        <v/>
      </c>
      <c r="I1413" s="60">
        <f>IF(AND(tblFleet[[#This Row],[Units]]&lt;&gt;"",tblFleet[[#This Row],[Calendar_h]]&gt;0),tblFleet[[#This Row],[Available_h]]/tblFleet[[#This Row],[Calendar_h]],"")</f>
        <v/>
      </c>
      <c r="J1413" s="60">
        <f>IF(AND(tblFleet[[#This Row],[Units]]&lt;&gt;"",tblFleet[[#This Row],[Available_h]]&gt;0),tblFleet[[#This Row],[Operating_h]]/tblFleet[[#This Row],[Available_h]],"")</f>
        <v/>
      </c>
    </row>
    <row r="1414">
      <c r="A1414" s="54" t="n"/>
      <c r="B1414" s="61" t="n"/>
      <c r="C1414" s="62" t="n"/>
      <c r="D1414" s="57" t="n"/>
      <c r="E1414" s="57" t="n"/>
      <c r="F1414" s="58" t="n"/>
      <c r="G1414" s="66">
        <f>IF(tblFleet[[#This Row],[Units]]="","",tblFleet[[#This Row],[Units]]*24)</f>
        <v/>
      </c>
      <c r="H1414" s="66">
        <f>IF(tblFleet[[#This Row],[Units]]="","",tblFleet[[#This Row],[Calendar_h]]-tblFleet[[#This Row],[Down_h]])</f>
        <v/>
      </c>
      <c r="I1414" s="60">
        <f>IF(AND(tblFleet[[#This Row],[Units]]&lt;&gt;"",tblFleet[[#This Row],[Calendar_h]]&gt;0),tblFleet[[#This Row],[Available_h]]/tblFleet[[#This Row],[Calendar_h]],"")</f>
        <v/>
      </c>
      <c r="J1414" s="60">
        <f>IF(AND(tblFleet[[#This Row],[Units]]&lt;&gt;"",tblFleet[[#This Row],[Available_h]]&gt;0),tblFleet[[#This Row],[Operating_h]]/tblFleet[[#This Row],[Available_h]],"")</f>
        <v/>
      </c>
    </row>
    <row r="1415">
      <c r="A1415" s="54" t="n"/>
      <c r="B1415" s="61" t="n"/>
      <c r="C1415" s="62" t="n"/>
      <c r="D1415" s="57" t="n"/>
      <c r="E1415" s="57" t="n"/>
      <c r="F1415" s="58" t="n"/>
      <c r="G1415" s="66">
        <f>IF(tblFleet[[#This Row],[Units]]="","",tblFleet[[#This Row],[Units]]*24)</f>
        <v/>
      </c>
      <c r="H1415" s="66">
        <f>IF(tblFleet[[#This Row],[Units]]="","",tblFleet[[#This Row],[Calendar_h]]-tblFleet[[#This Row],[Down_h]])</f>
        <v/>
      </c>
      <c r="I1415" s="60">
        <f>IF(AND(tblFleet[[#This Row],[Units]]&lt;&gt;"",tblFleet[[#This Row],[Calendar_h]]&gt;0),tblFleet[[#This Row],[Available_h]]/tblFleet[[#This Row],[Calendar_h]],"")</f>
        <v/>
      </c>
      <c r="J1415" s="60">
        <f>IF(AND(tblFleet[[#This Row],[Units]]&lt;&gt;"",tblFleet[[#This Row],[Available_h]]&gt;0),tblFleet[[#This Row],[Operating_h]]/tblFleet[[#This Row],[Available_h]],"")</f>
        <v/>
      </c>
    </row>
    <row r="1416">
      <c r="A1416" s="54" t="n"/>
      <c r="B1416" s="61" t="n"/>
      <c r="C1416" s="62" t="n"/>
      <c r="D1416" s="57" t="n"/>
      <c r="E1416" s="57" t="n"/>
      <c r="F1416" s="58" t="n"/>
      <c r="G1416" s="66">
        <f>IF(tblFleet[[#This Row],[Units]]="","",tblFleet[[#This Row],[Units]]*24)</f>
        <v/>
      </c>
      <c r="H1416" s="66">
        <f>IF(tblFleet[[#This Row],[Units]]="","",tblFleet[[#This Row],[Calendar_h]]-tblFleet[[#This Row],[Down_h]])</f>
        <v/>
      </c>
      <c r="I1416" s="60">
        <f>IF(AND(tblFleet[[#This Row],[Units]]&lt;&gt;"",tblFleet[[#This Row],[Calendar_h]]&gt;0),tblFleet[[#This Row],[Available_h]]/tblFleet[[#This Row],[Calendar_h]],"")</f>
        <v/>
      </c>
      <c r="J1416" s="60">
        <f>IF(AND(tblFleet[[#This Row],[Units]]&lt;&gt;"",tblFleet[[#This Row],[Available_h]]&gt;0),tblFleet[[#This Row],[Operating_h]]/tblFleet[[#This Row],[Available_h]],"")</f>
        <v/>
      </c>
    </row>
    <row r="1417">
      <c r="A1417" s="54" t="n"/>
      <c r="B1417" s="61" t="n"/>
      <c r="C1417" s="62" t="n"/>
      <c r="D1417" s="57" t="n"/>
      <c r="E1417" s="57" t="n"/>
      <c r="F1417" s="58" t="n"/>
      <c r="G1417" s="66">
        <f>IF(tblFleet[[#This Row],[Units]]="","",tblFleet[[#This Row],[Units]]*24)</f>
        <v/>
      </c>
      <c r="H1417" s="66">
        <f>IF(tblFleet[[#This Row],[Units]]="","",tblFleet[[#This Row],[Calendar_h]]-tblFleet[[#This Row],[Down_h]])</f>
        <v/>
      </c>
      <c r="I1417" s="60">
        <f>IF(AND(tblFleet[[#This Row],[Units]]&lt;&gt;"",tblFleet[[#This Row],[Calendar_h]]&gt;0),tblFleet[[#This Row],[Available_h]]/tblFleet[[#This Row],[Calendar_h]],"")</f>
        <v/>
      </c>
      <c r="J1417" s="60">
        <f>IF(AND(tblFleet[[#This Row],[Units]]&lt;&gt;"",tblFleet[[#This Row],[Available_h]]&gt;0),tblFleet[[#This Row],[Operating_h]]/tblFleet[[#This Row],[Available_h]],"")</f>
        <v/>
      </c>
    </row>
    <row r="1418">
      <c r="A1418" s="54" t="n"/>
      <c r="B1418" s="61" t="n"/>
      <c r="C1418" s="62" t="n"/>
      <c r="D1418" s="57" t="n"/>
      <c r="E1418" s="57" t="n"/>
      <c r="F1418" s="58" t="n"/>
      <c r="G1418" s="66">
        <f>IF(tblFleet[[#This Row],[Units]]="","",tblFleet[[#This Row],[Units]]*24)</f>
        <v/>
      </c>
      <c r="H1418" s="66">
        <f>IF(tblFleet[[#This Row],[Units]]="","",tblFleet[[#This Row],[Calendar_h]]-tblFleet[[#This Row],[Down_h]])</f>
        <v/>
      </c>
      <c r="I1418" s="60">
        <f>IF(AND(tblFleet[[#This Row],[Units]]&lt;&gt;"",tblFleet[[#This Row],[Calendar_h]]&gt;0),tblFleet[[#This Row],[Available_h]]/tblFleet[[#This Row],[Calendar_h]],"")</f>
        <v/>
      </c>
      <c r="J1418" s="60">
        <f>IF(AND(tblFleet[[#This Row],[Units]]&lt;&gt;"",tblFleet[[#This Row],[Available_h]]&gt;0),tblFleet[[#This Row],[Operating_h]]/tblFleet[[#This Row],[Available_h]],"")</f>
        <v/>
      </c>
    </row>
    <row r="1419">
      <c r="A1419" s="54" t="n"/>
      <c r="B1419" s="61" t="n"/>
      <c r="C1419" s="62" t="n"/>
      <c r="D1419" s="57" t="n"/>
      <c r="E1419" s="57" t="n"/>
      <c r="F1419" s="58" t="n"/>
      <c r="G1419" s="66">
        <f>IF(tblFleet[[#This Row],[Units]]="","",tblFleet[[#This Row],[Units]]*24)</f>
        <v/>
      </c>
      <c r="H1419" s="66">
        <f>IF(tblFleet[[#This Row],[Units]]="","",tblFleet[[#This Row],[Calendar_h]]-tblFleet[[#This Row],[Down_h]])</f>
        <v/>
      </c>
      <c r="I1419" s="60">
        <f>IF(AND(tblFleet[[#This Row],[Units]]&lt;&gt;"",tblFleet[[#This Row],[Calendar_h]]&gt;0),tblFleet[[#This Row],[Available_h]]/tblFleet[[#This Row],[Calendar_h]],"")</f>
        <v/>
      </c>
      <c r="J1419" s="60">
        <f>IF(AND(tblFleet[[#This Row],[Units]]&lt;&gt;"",tblFleet[[#This Row],[Available_h]]&gt;0),tblFleet[[#This Row],[Operating_h]]/tblFleet[[#This Row],[Available_h]],"")</f>
        <v/>
      </c>
    </row>
    <row r="1420">
      <c r="A1420" s="54" t="n"/>
      <c r="B1420" s="61" t="n"/>
      <c r="C1420" s="62" t="n"/>
      <c r="D1420" s="57" t="n"/>
      <c r="E1420" s="57" t="n"/>
      <c r="F1420" s="58" t="n"/>
      <c r="G1420" s="66">
        <f>IF(tblFleet[[#This Row],[Units]]="","",tblFleet[[#This Row],[Units]]*24)</f>
        <v/>
      </c>
      <c r="H1420" s="66">
        <f>IF(tblFleet[[#This Row],[Units]]="","",tblFleet[[#This Row],[Calendar_h]]-tblFleet[[#This Row],[Down_h]])</f>
        <v/>
      </c>
      <c r="I1420" s="60">
        <f>IF(AND(tblFleet[[#This Row],[Units]]&lt;&gt;"",tblFleet[[#This Row],[Calendar_h]]&gt;0),tblFleet[[#This Row],[Available_h]]/tblFleet[[#This Row],[Calendar_h]],"")</f>
        <v/>
      </c>
      <c r="J1420" s="60">
        <f>IF(AND(tblFleet[[#This Row],[Units]]&lt;&gt;"",tblFleet[[#This Row],[Available_h]]&gt;0),tblFleet[[#This Row],[Operating_h]]/tblFleet[[#This Row],[Available_h]],"")</f>
        <v/>
      </c>
    </row>
    <row r="1421">
      <c r="A1421" s="54" t="n"/>
      <c r="B1421" s="61" t="n"/>
      <c r="C1421" s="62" t="n"/>
      <c r="D1421" s="57" t="n"/>
      <c r="E1421" s="57" t="n"/>
      <c r="F1421" s="58" t="n"/>
      <c r="G1421" s="66">
        <f>IF(tblFleet[[#This Row],[Units]]="","",tblFleet[[#This Row],[Units]]*24)</f>
        <v/>
      </c>
      <c r="H1421" s="66">
        <f>IF(tblFleet[[#This Row],[Units]]="","",tblFleet[[#This Row],[Calendar_h]]-tblFleet[[#This Row],[Down_h]])</f>
        <v/>
      </c>
      <c r="I1421" s="60">
        <f>IF(AND(tblFleet[[#This Row],[Units]]&lt;&gt;"",tblFleet[[#This Row],[Calendar_h]]&gt;0),tblFleet[[#This Row],[Available_h]]/tblFleet[[#This Row],[Calendar_h]],"")</f>
        <v/>
      </c>
      <c r="J1421" s="60">
        <f>IF(AND(tblFleet[[#This Row],[Units]]&lt;&gt;"",tblFleet[[#This Row],[Available_h]]&gt;0),tblFleet[[#This Row],[Operating_h]]/tblFleet[[#This Row],[Available_h]],"")</f>
        <v/>
      </c>
    </row>
    <row r="1422">
      <c r="A1422" s="54" t="n"/>
      <c r="B1422" s="61" t="n"/>
      <c r="C1422" s="62" t="n"/>
      <c r="D1422" s="57" t="n"/>
      <c r="E1422" s="57" t="n"/>
      <c r="F1422" s="58" t="n"/>
      <c r="G1422" s="66">
        <f>IF(tblFleet[[#This Row],[Units]]="","",tblFleet[[#This Row],[Units]]*24)</f>
        <v/>
      </c>
      <c r="H1422" s="66">
        <f>IF(tblFleet[[#This Row],[Units]]="","",tblFleet[[#This Row],[Calendar_h]]-tblFleet[[#This Row],[Down_h]])</f>
        <v/>
      </c>
      <c r="I1422" s="60">
        <f>IF(AND(tblFleet[[#This Row],[Units]]&lt;&gt;"",tblFleet[[#This Row],[Calendar_h]]&gt;0),tblFleet[[#This Row],[Available_h]]/tblFleet[[#This Row],[Calendar_h]],"")</f>
        <v/>
      </c>
      <c r="J1422" s="60">
        <f>IF(AND(tblFleet[[#This Row],[Units]]&lt;&gt;"",tblFleet[[#This Row],[Available_h]]&gt;0),tblFleet[[#This Row],[Operating_h]]/tblFleet[[#This Row],[Available_h]],"")</f>
        <v/>
      </c>
    </row>
    <row r="1423">
      <c r="A1423" s="54" t="n"/>
      <c r="B1423" s="61" t="n"/>
      <c r="C1423" s="62" t="n"/>
      <c r="D1423" s="57" t="n"/>
      <c r="E1423" s="57" t="n"/>
      <c r="F1423" s="58" t="n"/>
      <c r="G1423" s="66">
        <f>IF(tblFleet[[#This Row],[Units]]="","",tblFleet[[#This Row],[Units]]*24)</f>
        <v/>
      </c>
      <c r="H1423" s="66">
        <f>IF(tblFleet[[#This Row],[Units]]="","",tblFleet[[#This Row],[Calendar_h]]-tblFleet[[#This Row],[Down_h]])</f>
        <v/>
      </c>
      <c r="I1423" s="60">
        <f>IF(AND(tblFleet[[#This Row],[Units]]&lt;&gt;"",tblFleet[[#This Row],[Calendar_h]]&gt;0),tblFleet[[#This Row],[Available_h]]/tblFleet[[#This Row],[Calendar_h]],"")</f>
        <v/>
      </c>
      <c r="J1423" s="60">
        <f>IF(AND(tblFleet[[#This Row],[Units]]&lt;&gt;"",tblFleet[[#This Row],[Available_h]]&gt;0),tblFleet[[#This Row],[Operating_h]]/tblFleet[[#This Row],[Available_h]],"")</f>
        <v/>
      </c>
    </row>
    <row r="1424">
      <c r="A1424" s="54" t="n"/>
      <c r="B1424" s="61" t="n"/>
      <c r="C1424" s="62" t="n"/>
      <c r="D1424" s="57" t="n"/>
      <c r="E1424" s="57" t="n"/>
      <c r="F1424" s="58" t="n"/>
      <c r="G1424" s="66">
        <f>IF(tblFleet[[#This Row],[Units]]="","",tblFleet[[#This Row],[Units]]*24)</f>
        <v/>
      </c>
      <c r="H1424" s="66">
        <f>IF(tblFleet[[#This Row],[Units]]="","",tblFleet[[#This Row],[Calendar_h]]-tblFleet[[#This Row],[Down_h]])</f>
        <v/>
      </c>
      <c r="I1424" s="60">
        <f>IF(AND(tblFleet[[#This Row],[Units]]&lt;&gt;"",tblFleet[[#This Row],[Calendar_h]]&gt;0),tblFleet[[#This Row],[Available_h]]/tblFleet[[#This Row],[Calendar_h]],"")</f>
        <v/>
      </c>
      <c r="J1424" s="60">
        <f>IF(AND(tblFleet[[#This Row],[Units]]&lt;&gt;"",tblFleet[[#This Row],[Available_h]]&gt;0),tblFleet[[#This Row],[Operating_h]]/tblFleet[[#This Row],[Available_h]],"")</f>
        <v/>
      </c>
    </row>
    <row r="1425">
      <c r="A1425" s="54" t="n"/>
      <c r="B1425" s="61" t="n"/>
      <c r="C1425" s="62" t="n"/>
      <c r="D1425" s="57" t="n"/>
      <c r="E1425" s="57" t="n"/>
      <c r="F1425" s="58" t="n"/>
      <c r="G1425" s="66">
        <f>IF(tblFleet[[#This Row],[Units]]="","",tblFleet[[#This Row],[Units]]*24)</f>
        <v/>
      </c>
      <c r="H1425" s="66">
        <f>IF(tblFleet[[#This Row],[Units]]="","",tblFleet[[#This Row],[Calendar_h]]-tblFleet[[#This Row],[Down_h]])</f>
        <v/>
      </c>
      <c r="I1425" s="60">
        <f>IF(AND(tblFleet[[#This Row],[Units]]&lt;&gt;"",tblFleet[[#This Row],[Calendar_h]]&gt;0),tblFleet[[#This Row],[Available_h]]/tblFleet[[#This Row],[Calendar_h]],"")</f>
        <v/>
      </c>
      <c r="J1425" s="60">
        <f>IF(AND(tblFleet[[#This Row],[Units]]&lt;&gt;"",tblFleet[[#This Row],[Available_h]]&gt;0),tblFleet[[#This Row],[Operating_h]]/tblFleet[[#This Row],[Available_h]],"")</f>
        <v/>
      </c>
    </row>
    <row r="1426">
      <c r="A1426" s="54" t="n"/>
      <c r="B1426" s="61" t="n"/>
      <c r="C1426" s="62" t="n"/>
      <c r="D1426" s="57" t="n"/>
      <c r="E1426" s="57" t="n"/>
      <c r="F1426" s="58" t="n"/>
      <c r="G1426" s="66">
        <f>IF(tblFleet[[#This Row],[Units]]="","",tblFleet[[#This Row],[Units]]*24)</f>
        <v/>
      </c>
      <c r="H1426" s="66">
        <f>IF(tblFleet[[#This Row],[Units]]="","",tblFleet[[#This Row],[Calendar_h]]-tblFleet[[#This Row],[Down_h]])</f>
        <v/>
      </c>
      <c r="I1426" s="60">
        <f>IF(AND(tblFleet[[#This Row],[Units]]&lt;&gt;"",tblFleet[[#This Row],[Calendar_h]]&gt;0),tblFleet[[#This Row],[Available_h]]/tblFleet[[#This Row],[Calendar_h]],"")</f>
        <v/>
      </c>
      <c r="J1426" s="60">
        <f>IF(AND(tblFleet[[#This Row],[Units]]&lt;&gt;"",tblFleet[[#This Row],[Available_h]]&gt;0),tblFleet[[#This Row],[Operating_h]]/tblFleet[[#This Row],[Available_h]],"")</f>
        <v/>
      </c>
    </row>
    <row r="1427">
      <c r="A1427" s="54" t="n"/>
      <c r="B1427" s="61" t="n"/>
      <c r="C1427" s="62" t="n"/>
      <c r="D1427" s="57" t="n"/>
      <c r="E1427" s="57" t="n"/>
      <c r="F1427" s="58" t="n"/>
      <c r="G1427" s="66">
        <f>IF(tblFleet[[#This Row],[Units]]="","",tblFleet[[#This Row],[Units]]*24)</f>
        <v/>
      </c>
      <c r="H1427" s="66">
        <f>IF(tblFleet[[#This Row],[Units]]="","",tblFleet[[#This Row],[Calendar_h]]-tblFleet[[#This Row],[Down_h]])</f>
        <v/>
      </c>
      <c r="I1427" s="60">
        <f>IF(AND(tblFleet[[#This Row],[Units]]&lt;&gt;"",tblFleet[[#This Row],[Calendar_h]]&gt;0),tblFleet[[#This Row],[Available_h]]/tblFleet[[#This Row],[Calendar_h]],"")</f>
        <v/>
      </c>
      <c r="J1427" s="60">
        <f>IF(AND(tblFleet[[#This Row],[Units]]&lt;&gt;"",tblFleet[[#This Row],[Available_h]]&gt;0),tblFleet[[#This Row],[Operating_h]]/tblFleet[[#This Row],[Available_h]],"")</f>
        <v/>
      </c>
    </row>
    <row r="1428">
      <c r="A1428" s="54" t="n"/>
      <c r="B1428" s="61" t="n"/>
      <c r="C1428" s="62" t="n"/>
      <c r="D1428" s="57" t="n"/>
      <c r="E1428" s="57" t="n"/>
      <c r="F1428" s="58" t="n"/>
      <c r="G1428" s="66">
        <f>IF(tblFleet[[#This Row],[Units]]="","",tblFleet[[#This Row],[Units]]*24)</f>
        <v/>
      </c>
      <c r="H1428" s="66">
        <f>IF(tblFleet[[#This Row],[Units]]="","",tblFleet[[#This Row],[Calendar_h]]-tblFleet[[#This Row],[Down_h]])</f>
        <v/>
      </c>
      <c r="I1428" s="60">
        <f>IF(AND(tblFleet[[#This Row],[Units]]&lt;&gt;"",tblFleet[[#This Row],[Calendar_h]]&gt;0),tblFleet[[#This Row],[Available_h]]/tblFleet[[#This Row],[Calendar_h]],"")</f>
        <v/>
      </c>
      <c r="J1428" s="60">
        <f>IF(AND(tblFleet[[#This Row],[Units]]&lt;&gt;"",tblFleet[[#This Row],[Available_h]]&gt;0),tblFleet[[#This Row],[Operating_h]]/tblFleet[[#This Row],[Available_h]],"")</f>
        <v/>
      </c>
    </row>
    <row r="1429">
      <c r="A1429" s="54" t="n"/>
      <c r="B1429" s="61" t="n"/>
      <c r="C1429" s="62" t="n"/>
      <c r="D1429" s="57" t="n"/>
      <c r="E1429" s="57" t="n"/>
      <c r="F1429" s="58" t="n"/>
      <c r="G1429" s="66">
        <f>IF(tblFleet[[#This Row],[Units]]="","",tblFleet[[#This Row],[Units]]*24)</f>
        <v/>
      </c>
      <c r="H1429" s="66">
        <f>IF(tblFleet[[#This Row],[Units]]="","",tblFleet[[#This Row],[Calendar_h]]-tblFleet[[#This Row],[Down_h]])</f>
        <v/>
      </c>
      <c r="I1429" s="60">
        <f>IF(AND(tblFleet[[#This Row],[Units]]&lt;&gt;"",tblFleet[[#This Row],[Calendar_h]]&gt;0),tblFleet[[#This Row],[Available_h]]/tblFleet[[#This Row],[Calendar_h]],"")</f>
        <v/>
      </c>
      <c r="J1429" s="60">
        <f>IF(AND(tblFleet[[#This Row],[Units]]&lt;&gt;"",tblFleet[[#This Row],[Available_h]]&gt;0),tblFleet[[#This Row],[Operating_h]]/tblFleet[[#This Row],[Available_h]],"")</f>
        <v/>
      </c>
    </row>
    <row r="1430">
      <c r="A1430" s="54" t="n"/>
      <c r="B1430" s="61" t="n"/>
      <c r="C1430" s="62" t="n"/>
      <c r="D1430" s="57" t="n"/>
      <c r="E1430" s="57" t="n"/>
      <c r="F1430" s="58" t="n"/>
      <c r="G1430" s="66">
        <f>IF(tblFleet[[#This Row],[Units]]="","",tblFleet[[#This Row],[Units]]*24)</f>
        <v/>
      </c>
      <c r="H1430" s="66">
        <f>IF(tblFleet[[#This Row],[Units]]="","",tblFleet[[#This Row],[Calendar_h]]-tblFleet[[#This Row],[Down_h]])</f>
        <v/>
      </c>
      <c r="I1430" s="60">
        <f>IF(AND(tblFleet[[#This Row],[Units]]&lt;&gt;"",tblFleet[[#This Row],[Calendar_h]]&gt;0),tblFleet[[#This Row],[Available_h]]/tblFleet[[#This Row],[Calendar_h]],"")</f>
        <v/>
      </c>
      <c r="J1430" s="60">
        <f>IF(AND(tblFleet[[#This Row],[Units]]&lt;&gt;"",tblFleet[[#This Row],[Available_h]]&gt;0),tblFleet[[#This Row],[Operating_h]]/tblFleet[[#This Row],[Available_h]],"")</f>
        <v/>
      </c>
    </row>
    <row r="1431">
      <c r="A1431" s="54" t="n"/>
      <c r="B1431" s="61" t="n"/>
      <c r="C1431" s="62" t="n"/>
      <c r="D1431" s="57" t="n"/>
      <c r="E1431" s="57" t="n"/>
      <c r="F1431" s="58" t="n"/>
      <c r="G1431" s="66">
        <f>IF(tblFleet[[#This Row],[Units]]="","",tblFleet[[#This Row],[Units]]*24)</f>
        <v/>
      </c>
      <c r="H1431" s="66">
        <f>IF(tblFleet[[#This Row],[Units]]="","",tblFleet[[#This Row],[Calendar_h]]-tblFleet[[#This Row],[Down_h]])</f>
        <v/>
      </c>
      <c r="I1431" s="60">
        <f>IF(AND(tblFleet[[#This Row],[Units]]&lt;&gt;"",tblFleet[[#This Row],[Calendar_h]]&gt;0),tblFleet[[#This Row],[Available_h]]/tblFleet[[#This Row],[Calendar_h]],"")</f>
        <v/>
      </c>
      <c r="J1431" s="60">
        <f>IF(AND(tblFleet[[#This Row],[Units]]&lt;&gt;"",tblFleet[[#This Row],[Available_h]]&gt;0),tblFleet[[#This Row],[Operating_h]]/tblFleet[[#This Row],[Available_h]],"")</f>
        <v/>
      </c>
    </row>
    <row r="1432">
      <c r="A1432" s="54" t="n"/>
      <c r="B1432" s="61" t="n"/>
      <c r="C1432" s="62" t="n"/>
      <c r="D1432" s="57" t="n"/>
      <c r="E1432" s="57" t="n"/>
      <c r="F1432" s="58" t="n"/>
      <c r="G1432" s="66">
        <f>IF(tblFleet[[#This Row],[Units]]="","",tblFleet[[#This Row],[Units]]*24)</f>
        <v/>
      </c>
      <c r="H1432" s="66">
        <f>IF(tblFleet[[#This Row],[Units]]="","",tblFleet[[#This Row],[Calendar_h]]-tblFleet[[#This Row],[Down_h]])</f>
        <v/>
      </c>
      <c r="I1432" s="60">
        <f>IF(AND(tblFleet[[#This Row],[Units]]&lt;&gt;"",tblFleet[[#This Row],[Calendar_h]]&gt;0),tblFleet[[#This Row],[Available_h]]/tblFleet[[#This Row],[Calendar_h]],"")</f>
        <v/>
      </c>
      <c r="J1432" s="60">
        <f>IF(AND(tblFleet[[#This Row],[Units]]&lt;&gt;"",tblFleet[[#This Row],[Available_h]]&gt;0),tblFleet[[#This Row],[Operating_h]]/tblFleet[[#This Row],[Available_h]],"")</f>
        <v/>
      </c>
    </row>
    <row r="1433">
      <c r="A1433" s="54" t="n"/>
      <c r="B1433" s="61" t="n"/>
      <c r="C1433" s="62" t="n"/>
      <c r="D1433" s="57" t="n"/>
      <c r="E1433" s="57" t="n"/>
      <c r="F1433" s="58" t="n"/>
      <c r="G1433" s="66">
        <f>IF(tblFleet[[#This Row],[Units]]="","",tblFleet[[#This Row],[Units]]*24)</f>
        <v/>
      </c>
      <c r="H1433" s="66">
        <f>IF(tblFleet[[#This Row],[Units]]="","",tblFleet[[#This Row],[Calendar_h]]-tblFleet[[#This Row],[Down_h]])</f>
        <v/>
      </c>
      <c r="I1433" s="60">
        <f>IF(AND(tblFleet[[#This Row],[Units]]&lt;&gt;"",tblFleet[[#This Row],[Calendar_h]]&gt;0),tblFleet[[#This Row],[Available_h]]/tblFleet[[#This Row],[Calendar_h]],"")</f>
        <v/>
      </c>
      <c r="J1433" s="60">
        <f>IF(AND(tblFleet[[#This Row],[Units]]&lt;&gt;"",tblFleet[[#This Row],[Available_h]]&gt;0),tblFleet[[#This Row],[Operating_h]]/tblFleet[[#This Row],[Available_h]],"")</f>
        <v/>
      </c>
    </row>
    <row r="1434">
      <c r="A1434" s="54" t="n"/>
      <c r="B1434" s="61" t="n"/>
      <c r="C1434" s="62" t="n"/>
      <c r="D1434" s="57" t="n"/>
      <c r="E1434" s="57" t="n"/>
      <c r="F1434" s="58" t="n"/>
      <c r="G1434" s="66">
        <f>IF(tblFleet[[#This Row],[Units]]="","",tblFleet[[#This Row],[Units]]*24)</f>
        <v/>
      </c>
      <c r="H1434" s="66">
        <f>IF(tblFleet[[#This Row],[Units]]="","",tblFleet[[#This Row],[Calendar_h]]-tblFleet[[#This Row],[Down_h]])</f>
        <v/>
      </c>
      <c r="I1434" s="60">
        <f>IF(AND(tblFleet[[#This Row],[Units]]&lt;&gt;"",tblFleet[[#This Row],[Calendar_h]]&gt;0),tblFleet[[#This Row],[Available_h]]/tblFleet[[#This Row],[Calendar_h]],"")</f>
        <v/>
      </c>
      <c r="J1434" s="60">
        <f>IF(AND(tblFleet[[#This Row],[Units]]&lt;&gt;"",tblFleet[[#This Row],[Available_h]]&gt;0),tblFleet[[#This Row],[Operating_h]]/tblFleet[[#This Row],[Available_h]],"")</f>
        <v/>
      </c>
    </row>
    <row r="1435">
      <c r="A1435" s="54" t="n"/>
      <c r="B1435" s="61" t="n"/>
      <c r="C1435" s="62" t="n"/>
      <c r="D1435" s="57" t="n"/>
      <c r="E1435" s="57" t="n"/>
      <c r="F1435" s="58" t="n"/>
      <c r="G1435" s="66">
        <f>IF(tblFleet[[#This Row],[Units]]="","",tblFleet[[#This Row],[Units]]*24)</f>
        <v/>
      </c>
      <c r="H1435" s="66">
        <f>IF(tblFleet[[#This Row],[Units]]="","",tblFleet[[#This Row],[Calendar_h]]-tblFleet[[#This Row],[Down_h]])</f>
        <v/>
      </c>
      <c r="I1435" s="60">
        <f>IF(AND(tblFleet[[#This Row],[Units]]&lt;&gt;"",tblFleet[[#This Row],[Calendar_h]]&gt;0),tblFleet[[#This Row],[Available_h]]/tblFleet[[#This Row],[Calendar_h]],"")</f>
        <v/>
      </c>
      <c r="J1435" s="60">
        <f>IF(AND(tblFleet[[#This Row],[Units]]&lt;&gt;"",tblFleet[[#This Row],[Available_h]]&gt;0),tblFleet[[#This Row],[Operating_h]]/tblFleet[[#This Row],[Available_h]],"")</f>
        <v/>
      </c>
    </row>
    <row r="1436">
      <c r="A1436" s="54" t="n"/>
      <c r="B1436" s="61" t="n"/>
      <c r="C1436" s="62" t="n"/>
      <c r="D1436" s="57" t="n"/>
      <c r="E1436" s="57" t="n"/>
      <c r="F1436" s="58" t="n"/>
      <c r="G1436" s="66">
        <f>IF(tblFleet[[#This Row],[Units]]="","",tblFleet[[#This Row],[Units]]*24)</f>
        <v/>
      </c>
      <c r="H1436" s="66">
        <f>IF(tblFleet[[#This Row],[Units]]="","",tblFleet[[#This Row],[Calendar_h]]-tblFleet[[#This Row],[Down_h]])</f>
        <v/>
      </c>
      <c r="I1436" s="60">
        <f>IF(AND(tblFleet[[#This Row],[Units]]&lt;&gt;"",tblFleet[[#This Row],[Calendar_h]]&gt;0),tblFleet[[#This Row],[Available_h]]/tblFleet[[#This Row],[Calendar_h]],"")</f>
        <v/>
      </c>
      <c r="J1436" s="60">
        <f>IF(AND(tblFleet[[#This Row],[Units]]&lt;&gt;"",tblFleet[[#This Row],[Available_h]]&gt;0),tblFleet[[#This Row],[Operating_h]]/tblFleet[[#This Row],[Available_h]],"")</f>
        <v/>
      </c>
    </row>
    <row r="1437">
      <c r="A1437" s="54" t="n"/>
      <c r="B1437" s="61" t="n"/>
      <c r="C1437" s="62" t="n"/>
      <c r="D1437" s="57" t="n"/>
      <c r="E1437" s="57" t="n"/>
      <c r="F1437" s="58" t="n"/>
      <c r="G1437" s="66">
        <f>IF(tblFleet[[#This Row],[Units]]="","",tblFleet[[#This Row],[Units]]*24)</f>
        <v/>
      </c>
      <c r="H1437" s="66">
        <f>IF(tblFleet[[#This Row],[Units]]="","",tblFleet[[#This Row],[Calendar_h]]-tblFleet[[#This Row],[Down_h]])</f>
        <v/>
      </c>
      <c r="I1437" s="60">
        <f>IF(AND(tblFleet[[#This Row],[Units]]&lt;&gt;"",tblFleet[[#This Row],[Calendar_h]]&gt;0),tblFleet[[#This Row],[Available_h]]/tblFleet[[#This Row],[Calendar_h]],"")</f>
        <v/>
      </c>
      <c r="J1437" s="60">
        <f>IF(AND(tblFleet[[#This Row],[Units]]&lt;&gt;"",tblFleet[[#This Row],[Available_h]]&gt;0),tblFleet[[#This Row],[Operating_h]]/tblFleet[[#This Row],[Available_h]],"")</f>
        <v/>
      </c>
    </row>
    <row r="1438">
      <c r="A1438" s="54" t="n"/>
      <c r="B1438" s="61" t="n"/>
      <c r="C1438" s="62" t="n"/>
      <c r="D1438" s="57" t="n"/>
      <c r="E1438" s="57" t="n"/>
      <c r="F1438" s="58" t="n"/>
      <c r="G1438" s="66">
        <f>IF(tblFleet[[#This Row],[Units]]="","",tblFleet[[#This Row],[Units]]*24)</f>
        <v/>
      </c>
      <c r="H1438" s="66">
        <f>IF(tblFleet[[#This Row],[Units]]="","",tblFleet[[#This Row],[Calendar_h]]-tblFleet[[#This Row],[Down_h]])</f>
        <v/>
      </c>
      <c r="I1438" s="60">
        <f>IF(AND(tblFleet[[#This Row],[Units]]&lt;&gt;"",tblFleet[[#This Row],[Calendar_h]]&gt;0),tblFleet[[#This Row],[Available_h]]/tblFleet[[#This Row],[Calendar_h]],"")</f>
        <v/>
      </c>
      <c r="J1438" s="60">
        <f>IF(AND(tblFleet[[#This Row],[Units]]&lt;&gt;"",tblFleet[[#This Row],[Available_h]]&gt;0),tblFleet[[#This Row],[Operating_h]]/tblFleet[[#This Row],[Available_h]],"")</f>
        <v/>
      </c>
    </row>
    <row r="1439">
      <c r="A1439" s="54" t="n"/>
      <c r="B1439" s="61" t="n"/>
      <c r="C1439" s="62" t="n"/>
      <c r="D1439" s="57" t="n"/>
      <c r="E1439" s="57" t="n"/>
      <c r="F1439" s="58" t="n"/>
      <c r="G1439" s="66">
        <f>IF(tblFleet[[#This Row],[Units]]="","",tblFleet[[#This Row],[Units]]*24)</f>
        <v/>
      </c>
      <c r="H1439" s="66">
        <f>IF(tblFleet[[#This Row],[Units]]="","",tblFleet[[#This Row],[Calendar_h]]-tblFleet[[#This Row],[Down_h]])</f>
        <v/>
      </c>
      <c r="I1439" s="60">
        <f>IF(AND(tblFleet[[#This Row],[Units]]&lt;&gt;"",tblFleet[[#This Row],[Calendar_h]]&gt;0),tblFleet[[#This Row],[Available_h]]/tblFleet[[#This Row],[Calendar_h]],"")</f>
        <v/>
      </c>
      <c r="J1439" s="60">
        <f>IF(AND(tblFleet[[#This Row],[Units]]&lt;&gt;"",tblFleet[[#This Row],[Available_h]]&gt;0),tblFleet[[#This Row],[Operating_h]]/tblFleet[[#This Row],[Available_h]],"")</f>
        <v/>
      </c>
    </row>
    <row r="1440">
      <c r="A1440" s="54" t="n"/>
      <c r="B1440" s="61" t="n"/>
      <c r="C1440" s="62" t="n"/>
      <c r="D1440" s="57" t="n"/>
      <c r="E1440" s="57" t="n"/>
      <c r="F1440" s="58" t="n"/>
      <c r="G1440" s="66">
        <f>IF(tblFleet[[#This Row],[Units]]="","",tblFleet[[#This Row],[Units]]*24)</f>
        <v/>
      </c>
      <c r="H1440" s="66">
        <f>IF(tblFleet[[#This Row],[Units]]="","",tblFleet[[#This Row],[Calendar_h]]-tblFleet[[#This Row],[Down_h]])</f>
        <v/>
      </c>
      <c r="I1440" s="60">
        <f>IF(AND(tblFleet[[#This Row],[Units]]&lt;&gt;"",tblFleet[[#This Row],[Calendar_h]]&gt;0),tblFleet[[#This Row],[Available_h]]/tblFleet[[#This Row],[Calendar_h]],"")</f>
        <v/>
      </c>
      <c r="J1440" s="60">
        <f>IF(AND(tblFleet[[#This Row],[Units]]&lt;&gt;"",tblFleet[[#This Row],[Available_h]]&gt;0),tblFleet[[#This Row],[Operating_h]]/tblFleet[[#This Row],[Available_h]],"")</f>
        <v/>
      </c>
    </row>
    <row r="1441">
      <c r="A1441" s="54" t="n"/>
      <c r="B1441" s="61" t="n"/>
      <c r="C1441" s="62" t="n"/>
      <c r="D1441" s="57" t="n"/>
      <c r="E1441" s="57" t="n"/>
      <c r="F1441" s="58" t="n"/>
      <c r="G1441" s="66">
        <f>IF(tblFleet[[#This Row],[Units]]="","",tblFleet[[#This Row],[Units]]*24)</f>
        <v/>
      </c>
      <c r="H1441" s="66">
        <f>IF(tblFleet[[#This Row],[Units]]="","",tblFleet[[#This Row],[Calendar_h]]-tblFleet[[#This Row],[Down_h]])</f>
        <v/>
      </c>
      <c r="I1441" s="60">
        <f>IF(AND(tblFleet[[#This Row],[Units]]&lt;&gt;"",tblFleet[[#This Row],[Calendar_h]]&gt;0),tblFleet[[#This Row],[Available_h]]/tblFleet[[#This Row],[Calendar_h]],"")</f>
        <v/>
      </c>
      <c r="J1441" s="60">
        <f>IF(AND(tblFleet[[#This Row],[Units]]&lt;&gt;"",tblFleet[[#This Row],[Available_h]]&gt;0),tblFleet[[#This Row],[Operating_h]]/tblFleet[[#This Row],[Available_h]],"")</f>
        <v/>
      </c>
    </row>
    <row r="1442">
      <c r="A1442" s="54" t="n"/>
      <c r="B1442" s="61" t="n"/>
      <c r="C1442" s="62" t="n"/>
      <c r="D1442" s="57" t="n"/>
      <c r="E1442" s="57" t="n"/>
      <c r="F1442" s="58" t="n"/>
      <c r="G1442" s="66">
        <f>IF(tblFleet[[#This Row],[Units]]="","",tblFleet[[#This Row],[Units]]*24)</f>
        <v/>
      </c>
      <c r="H1442" s="66">
        <f>IF(tblFleet[[#This Row],[Units]]="","",tblFleet[[#This Row],[Calendar_h]]-tblFleet[[#This Row],[Down_h]])</f>
        <v/>
      </c>
      <c r="I1442" s="60">
        <f>IF(AND(tblFleet[[#This Row],[Units]]&lt;&gt;"",tblFleet[[#This Row],[Calendar_h]]&gt;0),tblFleet[[#This Row],[Available_h]]/tblFleet[[#This Row],[Calendar_h]],"")</f>
        <v/>
      </c>
      <c r="J1442" s="60">
        <f>IF(AND(tblFleet[[#This Row],[Units]]&lt;&gt;"",tblFleet[[#This Row],[Available_h]]&gt;0),tblFleet[[#This Row],[Operating_h]]/tblFleet[[#This Row],[Available_h]],"")</f>
        <v/>
      </c>
    </row>
    <row r="1443">
      <c r="A1443" s="54" t="n"/>
      <c r="B1443" s="61" t="n"/>
      <c r="C1443" s="62" t="n"/>
      <c r="D1443" s="57" t="n"/>
      <c r="E1443" s="57" t="n"/>
      <c r="F1443" s="58" t="n"/>
      <c r="G1443" s="66">
        <f>IF(tblFleet[[#This Row],[Units]]="","",tblFleet[[#This Row],[Units]]*24)</f>
        <v/>
      </c>
      <c r="H1443" s="66">
        <f>IF(tblFleet[[#This Row],[Units]]="","",tblFleet[[#This Row],[Calendar_h]]-tblFleet[[#This Row],[Down_h]])</f>
        <v/>
      </c>
      <c r="I1443" s="60">
        <f>IF(AND(tblFleet[[#This Row],[Units]]&lt;&gt;"",tblFleet[[#This Row],[Calendar_h]]&gt;0),tblFleet[[#This Row],[Available_h]]/tblFleet[[#This Row],[Calendar_h]],"")</f>
        <v/>
      </c>
      <c r="J1443" s="60">
        <f>IF(AND(tblFleet[[#This Row],[Units]]&lt;&gt;"",tblFleet[[#This Row],[Available_h]]&gt;0),tblFleet[[#This Row],[Operating_h]]/tblFleet[[#This Row],[Available_h]],"")</f>
        <v/>
      </c>
    </row>
    <row r="1444">
      <c r="A1444" s="54" t="n"/>
      <c r="B1444" s="61" t="n"/>
      <c r="C1444" s="62" t="n"/>
      <c r="D1444" s="57" t="n"/>
      <c r="E1444" s="57" t="n"/>
      <c r="F1444" s="58" t="n"/>
      <c r="G1444" s="66">
        <f>IF(tblFleet[[#This Row],[Units]]="","",tblFleet[[#This Row],[Units]]*24)</f>
        <v/>
      </c>
      <c r="H1444" s="66">
        <f>IF(tblFleet[[#This Row],[Units]]="","",tblFleet[[#This Row],[Calendar_h]]-tblFleet[[#This Row],[Down_h]])</f>
        <v/>
      </c>
      <c r="I1444" s="60">
        <f>IF(AND(tblFleet[[#This Row],[Units]]&lt;&gt;"",tblFleet[[#This Row],[Calendar_h]]&gt;0),tblFleet[[#This Row],[Available_h]]/tblFleet[[#This Row],[Calendar_h]],"")</f>
        <v/>
      </c>
      <c r="J1444" s="60">
        <f>IF(AND(tblFleet[[#This Row],[Units]]&lt;&gt;"",tblFleet[[#This Row],[Available_h]]&gt;0),tblFleet[[#This Row],[Operating_h]]/tblFleet[[#This Row],[Available_h]],"")</f>
        <v/>
      </c>
    </row>
    <row r="1445">
      <c r="A1445" s="54" t="n"/>
      <c r="B1445" s="61" t="n"/>
      <c r="C1445" s="62" t="n"/>
      <c r="D1445" s="57" t="n"/>
      <c r="E1445" s="57" t="n"/>
      <c r="F1445" s="58" t="n"/>
      <c r="G1445" s="66">
        <f>IF(tblFleet[[#This Row],[Units]]="","",tblFleet[[#This Row],[Units]]*24)</f>
        <v/>
      </c>
      <c r="H1445" s="66">
        <f>IF(tblFleet[[#This Row],[Units]]="","",tblFleet[[#This Row],[Calendar_h]]-tblFleet[[#This Row],[Down_h]])</f>
        <v/>
      </c>
      <c r="I1445" s="60">
        <f>IF(AND(tblFleet[[#This Row],[Units]]&lt;&gt;"",tblFleet[[#This Row],[Calendar_h]]&gt;0),tblFleet[[#This Row],[Available_h]]/tblFleet[[#This Row],[Calendar_h]],"")</f>
        <v/>
      </c>
      <c r="J1445" s="60">
        <f>IF(AND(tblFleet[[#This Row],[Units]]&lt;&gt;"",tblFleet[[#This Row],[Available_h]]&gt;0),tblFleet[[#This Row],[Operating_h]]/tblFleet[[#This Row],[Available_h]],"")</f>
        <v/>
      </c>
    </row>
    <row r="1446">
      <c r="A1446" s="54" t="n"/>
      <c r="B1446" s="61" t="n"/>
      <c r="C1446" s="62" t="n"/>
      <c r="D1446" s="57" t="n"/>
      <c r="E1446" s="57" t="n"/>
      <c r="F1446" s="58" t="n"/>
      <c r="G1446" s="66">
        <f>IF(tblFleet[[#This Row],[Units]]="","",tblFleet[[#This Row],[Units]]*24)</f>
        <v/>
      </c>
      <c r="H1446" s="66">
        <f>IF(tblFleet[[#This Row],[Units]]="","",tblFleet[[#This Row],[Calendar_h]]-tblFleet[[#This Row],[Down_h]])</f>
        <v/>
      </c>
      <c r="I1446" s="60">
        <f>IF(AND(tblFleet[[#This Row],[Units]]&lt;&gt;"",tblFleet[[#This Row],[Calendar_h]]&gt;0),tblFleet[[#This Row],[Available_h]]/tblFleet[[#This Row],[Calendar_h]],"")</f>
        <v/>
      </c>
      <c r="J1446" s="60">
        <f>IF(AND(tblFleet[[#This Row],[Units]]&lt;&gt;"",tblFleet[[#This Row],[Available_h]]&gt;0),tblFleet[[#This Row],[Operating_h]]/tblFleet[[#This Row],[Available_h]],"")</f>
        <v/>
      </c>
    </row>
    <row r="1447">
      <c r="A1447" s="54" t="n"/>
      <c r="B1447" s="61" t="n"/>
      <c r="C1447" s="62" t="n"/>
      <c r="D1447" s="57" t="n"/>
      <c r="E1447" s="57" t="n"/>
      <c r="F1447" s="58" t="n"/>
      <c r="G1447" s="66">
        <f>IF(tblFleet[[#This Row],[Units]]="","",tblFleet[[#This Row],[Units]]*24)</f>
        <v/>
      </c>
      <c r="H1447" s="66">
        <f>IF(tblFleet[[#This Row],[Units]]="","",tblFleet[[#This Row],[Calendar_h]]-tblFleet[[#This Row],[Down_h]])</f>
        <v/>
      </c>
      <c r="I1447" s="60">
        <f>IF(AND(tblFleet[[#This Row],[Units]]&lt;&gt;"",tblFleet[[#This Row],[Calendar_h]]&gt;0),tblFleet[[#This Row],[Available_h]]/tblFleet[[#This Row],[Calendar_h]],"")</f>
        <v/>
      </c>
      <c r="J1447" s="60">
        <f>IF(AND(tblFleet[[#This Row],[Units]]&lt;&gt;"",tblFleet[[#This Row],[Available_h]]&gt;0),tblFleet[[#This Row],[Operating_h]]/tblFleet[[#This Row],[Available_h]],"")</f>
        <v/>
      </c>
    </row>
    <row r="1448">
      <c r="A1448" s="54" t="n"/>
      <c r="B1448" s="61" t="n"/>
      <c r="C1448" s="62" t="n"/>
      <c r="D1448" s="57" t="n"/>
      <c r="E1448" s="57" t="n"/>
      <c r="F1448" s="58" t="n"/>
      <c r="G1448" s="66">
        <f>IF(tblFleet[[#This Row],[Units]]="","",tblFleet[[#This Row],[Units]]*24)</f>
        <v/>
      </c>
      <c r="H1448" s="66">
        <f>IF(tblFleet[[#This Row],[Units]]="","",tblFleet[[#This Row],[Calendar_h]]-tblFleet[[#This Row],[Down_h]])</f>
        <v/>
      </c>
      <c r="I1448" s="60">
        <f>IF(AND(tblFleet[[#This Row],[Units]]&lt;&gt;"",tblFleet[[#This Row],[Calendar_h]]&gt;0),tblFleet[[#This Row],[Available_h]]/tblFleet[[#This Row],[Calendar_h]],"")</f>
        <v/>
      </c>
      <c r="J1448" s="60">
        <f>IF(AND(tblFleet[[#This Row],[Units]]&lt;&gt;"",tblFleet[[#This Row],[Available_h]]&gt;0),tblFleet[[#This Row],[Operating_h]]/tblFleet[[#This Row],[Available_h]],"")</f>
        <v/>
      </c>
    </row>
    <row r="1449">
      <c r="A1449" s="54" t="n"/>
      <c r="B1449" s="61" t="n"/>
      <c r="C1449" s="62" t="n"/>
      <c r="D1449" s="57" t="n"/>
      <c r="E1449" s="57" t="n"/>
      <c r="F1449" s="58" t="n"/>
      <c r="G1449" s="66">
        <f>IF(tblFleet[[#This Row],[Units]]="","",tblFleet[[#This Row],[Units]]*24)</f>
        <v/>
      </c>
      <c r="H1449" s="66">
        <f>IF(tblFleet[[#This Row],[Units]]="","",tblFleet[[#This Row],[Calendar_h]]-tblFleet[[#This Row],[Down_h]])</f>
        <v/>
      </c>
      <c r="I1449" s="60">
        <f>IF(AND(tblFleet[[#This Row],[Units]]&lt;&gt;"",tblFleet[[#This Row],[Calendar_h]]&gt;0),tblFleet[[#This Row],[Available_h]]/tblFleet[[#This Row],[Calendar_h]],"")</f>
        <v/>
      </c>
      <c r="J1449" s="60">
        <f>IF(AND(tblFleet[[#This Row],[Units]]&lt;&gt;"",tblFleet[[#This Row],[Available_h]]&gt;0),tblFleet[[#This Row],[Operating_h]]/tblFleet[[#This Row],[Available_h]],"")</f>
        <v/>
      </c>
    </row>
    <row r="1450">
      <c r="A1450" s="54" t="n"/>
      <c r="B1450" s="61" t="n"/>
      <c r="C1450" s="62" t="n"/>
      <c r="D1450" s="57" t="n"/>
      <c r="E1450" s="57" t="n"/>
      <c r="F1450" s="58" t="n"/>
      <c r="G1450" s="66">
        <f>IF(tblFleet[[#This Row],[Units]]="","",tblFleet[[#This Row],[Units]]*24)</f>
        <v/>
      </c>
      <c r="H1450" s="66">
        <f>IF(tblFleet[[#This Row],[Units]]="","",tblFleet[[#This Row],[Calendar_h]]-tblFleet[[#This Row],[Down_h]])</f>
        <v/>
      </c>
      <c r="I1450" s="60">
        <f>IF(AND(tblFleet[[#This Row],[Units]]&lt;&gt;"",tblFleet[[#This Row],[Calendar_h]]&gt;0),tblFleet[[#This Row],[Available_h]]/tblFleet[[#This Row],[Calendar_h]],"")</f>
        <v/>
      </c>
      <c r="J1450" s="60">
        <f>IF(AND(tblFleet[[#This Row],[Units]]&lt;&gt;"",tblFleet[[#This Row],[Available_h]]&gt;0),tblFleet[[#This Row],[Operating_h]]/tblFleet[[#This Row],[Available_h]],"")</f>
        <v/>
      </c>
    </row>
    <row r="1451">
      <c r="A1451" s="54" t="n"/>
      <c r="B1451" s="61" t="n"/>
      <c r="C1451" s="62" t="n"/>
      <c r="D1451" s="57" t="n"/>
      <c r="E1451" s="57" t="n"/>
      <c r="F1451" s="58" t="n"/>
      <c r="G1451" s="66">
        <f>IF(tblFleet[[#This Row],[Units]]="","",tblFleet[[#This Row],[Units]]*24)</f>
        <v/>
      </c>
      <c r="H1451" s="66">
        <f>IF(tblFleet[[#This Row],[Units]]="","",tblFleet[[#This Row],[Calendar_h]]-tblFleet[[#This Row],[Down_h]])</f>
        <v/>
      </c>
      <c r="I1451" s="60">
        <f>IF(AND(tblFleet[[#This Row],[Units]]&lt;&gt;"",tblFleet[[#This Row],[Calendar_h]]&gt;0),tblFleet[[#This Row],[Available_h]]/tblFleet[[#This Row],[Calendar_h]],"")</f>
        <v/>
      </c>
      <c r="J1451" s="60">
        <f>IF(AND(tblFleet[[#This Row],[Units]]&lt;&gt;"",tblFleet[[#This Row],[Available_h]]&gt;0),tblFleet[[#This Row],[Operating_h]]/tblFleet[[#This Row],[Available_h]],"")</f>
        <v/>
      </c>
    </row>
    <row r="1452">
      <c r="A1452" s="54" t="n"/>
      <c r="B1452" s="61" t="n"/>
      <c r="C1452" s="62" t="n"/>
      <c r="D1452" s="57" t="n"/>
      <c r="E1452" s="57" t="n"/>
      <c r="F1452" s="58" t="n"/>
      <c r="G1452" s="66">
        <f>IF(tblFleet[[#This Row],[Units]]="","",tblFleet[[#This Row],[Units]]*24)</f>
        <v/>
      </c>
      <c r="H1452" s="66">
        <f>IF(tblFleet[[#This Row],[Units]]="","",tblFleet[[#This Row],[Calendar_h]]-tblFleet[[#This Row],[Down_h]])</f>
        <v/>
      </c>
      <c r="I1452" s="60">
        <f>IF(AND(tblFleet[[#This Row],[Units]]&lt;&gt;"",tblFleet[[#This Row],[Calendar_h]]&gt;0),tblFleet[[#This Row],[Available_h]]/tblFleet[[#This Row],[Calendar_h]],"")</f>
        <v/>
      </c>
      <c r="J1452" s="60">
        <f>IF(AND(tblFleet[[#This Row],[Units]]&lt;&gt;"",tblFleet[[#This Row],[Available_h]]&gt;0),tblFleet[[#This Row],[Operating_h]]/tblFleet[[#This Row],[Available_h]],"")</f>
        <v/>
      </c>
    </row>
    <row r="1453">
      <c r="A1453" s="54" t="n"/>
      <c r="B1453" s="61" t="n"/>
      <c r="C1453" s="62" t="n"/>
      <c r="D1453" s="57" t="n"/>
      <c r="E1453" s="57" t="n"/>
      <c r="F1453" s="58" t="n"/>
      <c r="G1453" s="66">
        <f>IF(tblFleet[[#This Row],[Units]]="","",tblFleet[[#This Row],[Units]]*24)</f>
        <v/>
      </c>
      <c r="H1453" s="66">
        <f>IF(tblFleet[[#This Row],[Units]]="","",tblFleet[[#This Row],[Calendar_h]]-tblFleet[[#This Row],[Down_h]])</f>
        <v/>
      </c>
      <c r="I1453" s="60">
        <f>IF(AND(tblFleet[[#This Row],[Units]]&lt;&gt;"",tblFleet[[#This Row],[Calendar_h]]&gt;0),tblFleet[[#This Row],[Available_h]]/tblFleet[[#This Row],[Calendar_h]],"")</f>
        <v/>
      </c>
      <c r="J1453" s="60">
        <f>IF(AND(tblFleet[[#This Row],[Units]]&lt;&gt;"",tblFleet[[#This Row],[Available_h]]&gt;0),tblFleet[[#This Row],[Operating_h]]/tblFleet[[#This Row],[Available_h]],"")</f>
        <v/>
      </c>
    </row>
    <row r="1454">
      <c r="A1454" s="54" t="n"/>
      <c r="B1454" s="61" t="n"/>
      <c r="C1454" s="62" t="n"/>
      <c r="D1454" s="57" t="n"/>
      <c r="E1454" s="57" t="n"/>
      <c r="F1454" s="58" t="n"/>
      <c r="G1454" s="66">
        <f>IF(tblFleet[[#This Row],[Units]]="","",tblFleet[[#This Row],[Units]]*24)</f>
        <v/>
      </c>
      <c r="H1454" s="66">
        <f>IF(tblFleet[[#This Row],[Units]]="","",tblFleet[[#This Row],[Calendar_h]]-tblFleet[[#This Row],[Down_h]])</f>
        <v/>
      </c>
      <c r="I1454" s="60">
        <f>IF(AND(tblFleet[[#This Row],[Units]]&lt;&gt;"",tblFleet[[#This Row],[Calendar_h]]&gt;0),tblFleet[[#This Row],[Available_h]]/tblFleet[[#This Row],[Calendar_h]],"")</f>
        <v/>
      </c>
      <c r="J1454" s="60">
        <f>IF(AND(tblFleet[[#This Row],[Units]]&lt;&gt;"",tblFleet[[#This Row],[Available_h]]&gt;0),tblFleet[[#This Row],[Operating_h]]/tblFleet[[#This Row],[Available_h]],"")</f>
        <v/>
      </c>
    </row>
    <row r="1455">
      <c r="A1455" s="54" t="n"/>
      <c r="B1455" s="61" t="n"/>
      <c r="C1455" s="62" t="n"/>
      <c r="D1455" s="57" t="n"/>
      <c r="E1455" s="57" t="n"/>
      <c r="F1455" s="58" t="n"/>
      <c r="G1455" s="66">
        <f>IF(tblFleet[[#This Row],[Units]]="","",tblFleet[[#This Row],[Units]]*24)</f>
        <v/>
      </c>
      <c r="H1455" s="66">
        <f>IF(tblFleet[[#This Row],[Units]]="","",tblFleet[[#This Row],[Calendar_h]]-tblFleet[[#This Row],[Down_h]])</f>
        <v/>
      </c>
      <c r="I1455" s="60">
        <f>IF(AND(tblFleet[[#This Row],[Units]]&lt;&gt;"",tblFleet[[#This Row],[Calendar_h]]&gt;0),tblFleet[[#This Row],[Available_h]]/tblFleet[[#This Row],[Calendar_h]],"")</f>
        <v/>
      </c>
      <c r="J1455" s="60">
        <f>IF(AND(tblFleet[[#This Row],[Units]]&lt;&gt;"",tblFleet[[#This Row],[Available_h]]&gt;0),tblFleet[[#This Row],[Operating_h]]/tblFleet[[#This Row],[Available_h]],"")</f>
        <v/>
      </c>
    </row>
    <row r="1456">
      <c r="A1456" s="54" t="n"/>
      <c r="B1456" s="61" t="n"/>
      <c r="C1456" s="62" t="n"/>
      <c r="D1456" s="57" t="n"/>
      <c r="E1456" s="57" t="n"/>
      <c r="F1456" s="58" t="n"/>
      <c r="G1456" s="66">
        <f>IF(tblFleet[[#This Row],[Units]]="","",tblFleet[[#This Row],[Units]]*24)</f>
        <v/>
      </c>
      <c r="H1456" s="66">
        <f>IF(tblFleet[[#This Row],[Units]]="","",tblFleet[[#This Row],[Calendar_h]]-tblFleet[[#This Row],[Down_h]])</f>
        <v/>
      </c>
      <c r="I1456" s="60">
        <f>IF(AND(tblFleet[[#This Row],[Units]]&lt;&gt;"",tblFleet[[#This Row],[Calendar_h]]&gt;0),tblFleet[[#This Row],[Available_h]]/tblFleet[[#This Row],[Calendar_h]],"")</f>
        <v/>
      </c>
      <c r="J1456" s="60">
        <f>IF(AND(tblFleet[[#This Row],[Units]]&lt;&gt;"",tblFleet[[#This Row],[Available_h]]&gt;0),tblFleet[[#This Row],[Operating_h]]/tblFleet[[#This Row],[Available_h]],"")</f>
        <v/>
      </c>
    </row>
    <row r="1457">
      <c r="A1457" s="54" t="n"/>
      <c r="B1457" s="61" t="n"/>
      <c r="C1457" s="62" t="n"/>
      <c r="D1457" s="57" t="n"/>
      <c r="E1457" s="57" t="n"/>
      <c r="F1457" s="58" t="n"/>
      <c r="G1457" s="66">
        <f>IF(tblFleet[[#This Row],[Units]]="","",tblFleet[[#This Row],[Units]]*24)</f>
        <v/>
      </c>
      <c r="H1457" s="66">
        <f>IF(tblFleet[[#This Row],[Units]]="","",tblFleet[[#This Row],[Calendar_h]]-tblFleet[[#This Row],[Down_h]])</f>
        <v/>
      </c>
      <c r="I1457" s="60">
        <f>IF(AND(tblFleet[[#This Row],[Units]]&lt;&gt;"",tblFleet[[#This Row],[Calendar_h]]&gt;0),tblFleet[[#This Row],[Available_h]]/tblFleet[[#This Row],[Calendar_h]],"")</f>
        <v/>
      </c>
      <c r="J1457" s="60">
        <f>IF(AND(tblFleet[[#This Row],[Units]]&lt;&gt;"",tblFleet[[#This Row],[Available_h]]&gt;0),tblFleet[[#This Row],[Operating_h]]/tblFleet[[#This Row],[Available_h]],"")</f>
        <v/>
      </c>
    </row>
    <row r="1458">
      <c r="A1458" s="54" t="n"/>
      <c r="B1458" s="61" t="n"/>
      <c r="C1458" s="62" t="n"/>
      <c r="D1458" s="57" t="n"/>
      <c r="E1458" s="57" t="n"/>
      <c r="F1458" s="58" t="n"/>
      <c r="G1458" s="66">
        <f>IF(tblFleet[[#This Row],[Units]]="","",tblFleet[[#This Row],[Units]]*24)</f>
        <v/>
      </c>
      <c r="H1458" s="66">
        <f>IF(tblFleet[[#This Row],[Units]]="","",tblFleet[[#This Row],[Calendar_h]]-tblFleet[[#This Row],[Down_h]])</f>
        <v/>
      </c>
      <c r="I1458" s="60">
        <f>IF(AND(tblFleet[[#This Row],[Units]]&lt;&gt;"",tblFleet[[#This Row],[Calendar_h]]&gt;0),tblFleet[[#This Row],[Available_h]]/tblFleet[[#This Row],[Calendar_h]],"")</f>
        <v/>
      </c>
      <c r="J1458" s="60">
        <f>IF(AND(tblFleet[[#This Row],[Units]]&lt;&gt;"",tblFleet[[#This Row],[Available_h]]&gt;0),tblFleet[[#This Row],[Operating_h]]/tblFleet[[#This Row],[Available_h]],"")</f>
        <v/>
      </c>
    </row>
    <row r="1459">
      <c r="A1459" s="54" t="n"/>
      <c r="B1459" s="61" t="n"/>
      <c r="C1459" s="62" t="n"/>
      <c r="D1459" s="57" t="n"/>
      <c r="E1459" s="57" t="n"/>
      <c r="F1459" s="58" t="n"/>
      <c r="G1459" s="66">
        <f>IF(tblFleet[[#This Row],[Units]]="","",tblFleet[[#This Row],[Units]]*24)</f>
        <v/>
      </c>
      <c r="H1459" s="66">
        <f>IF(tblFleet[[#This Row],[Units]]="","",tblFleet[[#This Row],[Calendar_h]]-tblFleet[[#This Row],[Down_h]])</f>
        <v/>
      </c>
      <c r="I1459" s="60">
        <f>IF(AND(tblFleet[[#This Row],[Units]]&lt;&gt;"",tblFleet[[#This Row],[Calendar_h]]&gt;0),tblFleet[[#This Row],[Available_h]]/tblFleet[[#This Row],[Calendar_h]],"")</f>
        <v/>
      </c>
      <c r="J1459" s="60">
        <f>IF(AND(tblFleet[[#This Row],[Units]]&lt;&gt;"",tblFleet[[#This Row],[Available_h]]&gt;0),tblFleet[[#This Row],[Operating_h]]/tblFleet[[#This Row],[Available_h]],"")</f>
        <v/>
      </c>
    </row>
    <row r="1460">
      <c r="A1460" s="54" t="n"/>
      <c r="B1460" s="61" t="n"/>
      <c r="C1460" s="62" t="n"/>
      <c r="D1460" s="57" t="n"/>
      <c r="E1460" s="57" t="n"/>
      <c r="F1460" s="58" t="n"/>
      <c r="G1460" s="66">
        <f>IF(tblFleet[[#This Row],[Units]]="","",tblFleet[[#This Row],[Units]]*24)</f>
        <v/>
      </c>
      <c r="H1460" s="66">
        <f>IF(tblFleet[[#This Row],[Units]]="","",tblFleet[[#This Row],[Calendar_h]]-tblFleet[[#This Row],[Down_h]])</f>
        <v/>
      </c>
      <c r="I1460" s="60">
        <f>IF(AND(tblFleet[[#This Row],[Units]]&lt;&gt;"",tblFleet[[#This Row],[Calendar_h]]&gt;0),tblFleet[[#This Row],[Available_h]]/tblFleet[[#This Row],[Calendar_h]],"")</f>
        <v/>
      </c>
      <c r="J1460" s="60">
        <f>IF(AND(tblFleet[[#This Row],[Units]]&lt;&gt;"",tblFleet[[#This Row],[Available_h]]&gt;0),tblFleet[[#This Row],[Operating_h]]/tblFleet[[#This Row],[Available_h]],"")</f>
        <v/>
      </c>
    </row>
    <row r="1461">
      <c r="A1461" s="54" t="n"/>
      <c r="B1461" s="61" t="n"/>
      <c r="C1461" s="62" t="n"/>
      <c r="D1461" s="57" t="n"/>
      <c r="E1461" s="57" t="n"/>
      <c r="F1461" s="58" t="n"/>
      <c r="G1461" s="66">
        <f>IF(tblFleet[[#This Row],[Units]]="","",tblFleet[[#This Row],[Units]]*24)</f>
        <v/>
      </c>
      <c r="H1461" s="66">
        <f>IF(tblFleet[[#This Row],[Units]]="","",tblFleet[[#This Row],[Calendar_h]]-tblFleet[[#This Row],[Down_h]])</f>
        <v/>
      </c>
      <c r="I1461" s="60">
        <f>IF(AND(tblFleet[[#This Row],[Units]]&lt;&gt;"",tblFleet[[#This Row],[Calendar_h]]&gt;0),tblFleet[[#This Row],[Available_h]]/tblFleet[[#This Row],[Calendar_h]],"")</f>
        <v/>
      </c>
      <c r="J1461" s="60">
        <f>IF(AND(tblFleet[[#This Row],[Units]]&lt;&gt;"",tblFleet[[#This Row],[Available_h]]&gt;0),tblFleet[[#This Row],[Operating_h]]/tblFleet[[#This Row],[Available_h]],"")</f>
        <v/>
      </c>
    </row>
    <row r="1462">
      <c r="A1462" s="54" t="n"/>
      <c r="B1462" s="61" t="n"/>
      <c r="C1462" s="62" t="n"/>
      <c r="D1462" s="57" t="n"/>
      <c r="E1462" s="57" t="n"/>
      <c r="F1462" s="58" t="n"/>
      <c r="G1462" s="66">
        <f>IF(tblFleet[[#This Row],[Units]]="","",tblFleet[[#This Row],[Units]]*24)</f>
        <v/>
      </c>
      <c r="H1462" s="66">
        <f>IF(tblFleet[[#This Row],[Units]]="","",tblFleet[[#This Row],[Calendar_h]]-tblFleet[[#This Row],[Down_h]])</f>
        <v/>
      </c>
      <c r="I1462" s="60">
        <f>IF(AND(tblFleet[[#This Row],[Units]]&lt;&gt;"",tblFleet[[#This Row],[Calendar_h]]&gt;0),tblFleet[[#This Row],[Available_h]]/tblFleet[[#This Row],[Calendar_h]],"")</f>
        <v/>
      </c>
      <c r="J1462" s="60">
        <f>IF(AND(tblFleet[[#This Row],[Units]]&lt;&gt;"",tblFleet[[#This Row],[Available_h]]&gt;0),tblFleet[[#This Row],[Operating_h]]/tblFleet[[#This Row],[Available_h]],"")</f>
        <v/>
      </c>
    </row>
    <row r="1463">
      <c r="A1463" s="54" t="n"/>
      <c r="B1463" s="61" t="n"/>
      <c r="C1463" s="62" t="n"/>
      <c r="D1463" s="57" t="n"/>
      <c r="E1463" s="57" t="n"/>
      <c r="F1463" s="58" t="n"/>
      <c r="G1463" s="66">
        <f>IF(tblFleet[[#This Row],[Units]]="","",tblFleet[[#This Row],[Units]]*24)</f>
        <v/>
      </c>
      <c r="H1463" s="66">
        <f>IF(tblFleet[[#This Row],[Units]]="","",tblFleet[[#This Row],[Calendar_h]]-tblFleet[[#This Row],[Down_h]])</f>
        <v/>
      </c>
      <c r="I1463" s="60">
        <f>IF(AND(tblFleet[[#This Row],[Units]]&lt;&gt;"",tblFleet[[#This Row],[Calendar_h]]&gt;0),tblFleet[[#This Row],[Available_h]]/tblFleet[[#This Row],[Calendar_h]],"")</f>
        <v/>
      </c>
      <c r="J1463" s="60">
        <f>IF(AND(tblFleet[[#This Row],[Units]]&lt;&gt;"",tblFleet[[#This Row],[Available_h]]&gt;0),tblFleet[[#This Row],[Operating_h]]/tblFleet[[#This Row],[Available_h]],"")</f>
        <v/>
      </c>
    </row>
    <row r="1464">
      <c r="A1464" s="54" t="n"/>
      <c r="B1464" s="61" t="n"/>
      <c r="C1464" s="62" t="n"/>
      <c r="D1464" s="57" t="n"/>
      <c r="E1464" s="57" t="n"/>
      <c r="F1464" s="58" t="n"/>
      <c r="G1464" s="66">
        <f>IF(tblFleet[[#This Row],[Units]]="","",tblFleet[[#This Row],[Units]]*24)</f>
        <v/>
      </c>
      <c r="H1464" s="66">
        <f>IF(tblFleet[[#This Row],[Units]]="","",tblFleet[[#This Row],[Calendar_h]]-tblFleet[[#This Row],[Down_h]])</f>
        <v/>
      </c>
      <c r="I1464" s="60">
        <f>IF(AND(tblFleet[[#This Row],[Units]]&lt;&gt;"",tblFleet[[#This Row],[Calendar_h]]&gt;0),tblFleet[[#This Row],[Available_h]]/tblFleet[[#This Row],[Calendar_h]],"")</f>
        <v/>
      </c>
      <c r="J1464" s="60">
        <f>IF(AND(tblFleet[[#This Row],[Units]]&lt;&gt;"",tblFleet[[#This Row],[Available_h]]&gt;0),tblFleet[[#This Row],[Operating_h]]/tblFleet[[#This Row],[Available_h]],"")</f>
        <v/>
      </c>
    </row>
    <row r="1465">
      <c r="A1465" s="54" t="n"/>
      <c r="B1465" s="61" t="n"/>
      <c r="C1465" s="62" t="n"/>
      <c r="D1465" s="57" t="n"/>
      <c r="E1465" s="57" t="n"/>
      <c r="F1465" s="58" t="n"/>
      <c r="G1465" s="66">
        <f>IF(tblFleet[[#This Row],[Units]]="","",tblFleet[[#This Row],[Units]]*24)</f>
        <v/>
      </c>
      <c r="H1465" s="66">
        <f>IF(tblFleet[[#This Row],[Units]]="","",tblFleet[[#This Row],[Calendar_h]]-tblFleet[[#This Row],[Down_h]])</f>
        <v/>
      </c>
      <c r="I1465" s="60">
        <f>IF(AND(tblFleet[[#This Row],[Units]]&lt;&gt;"",tblFleet[[#This Row],[Calendar_h]]&gt;0),tblFleet[[#This Row],[Available_h]]/tblFleet[[#This Row],[Calendar_h]],"")</f>
        <v/>
      </c>
      <c r="J1465" s="60">
        <f>IF(AND(tblFleet[[#This Row],[Units]]&lt;&gt;"",tblFleet[[#This Row],[Available_h]]&gt;0),tblFleet[[#This Row],[Operating_h]]/tblFleet[[#This Row],[Available_h]],"")</f>
        <v/>
      </c>
    </row>
    <row r="1466">
      <c r="A1466" s="54" t="n"/>
      <c r="B1466" s="61" t="n"/>
      <c r="C1466" s="62" t="n"/>
      <c r="D1466" s="57" t="n"/>
      <c r="E1466" s="57" t="n"/>
      <c r="F1466" s="58" t="n"/>
      <c r="G1466" s="66">
        <f>IF(tblFleet[[#This Row],[Units]]="","",tblFleet[[#This Row],[Units]]*24)</f>
        <v/>
      </c>
      <c r="H1466" s="66">
        <f>IF(tblFleet[[#This Row],[Units]]="","",tblFleet[[#This Row],[Calendar_h]]-tblFleet[[#This Row],[Down_h]])</f>
        <v/>
      </c>
      <c r="I1466" s="60">
        <f>IF(AND(tblFleet[[#This Row],[Units]]&lt;&gt;"",tblFleet[[#This Row],[Calendar_h]]&gt;0),tblFleet[[#This Row],[Available_h]]/tblFleet[[#This Row],[Calendar_h]],"")</f>
        <v/>
      </c>
      <c r="J1466" s="60">
        <f>IF(AND(tblFleet[[#This Row],[Units]]&lt;&gt;"",tblFleet[[#This Row],[Available_h]]&gt;0),tblFleet[[#This Row],[Operating_h]]/tblFleet[[#This Row],[Available_h]],"")</f>
        <v/>
      </c>
    </row>
    <row r="1467">
      <c r="A1467" s="54" t="n"/>
      <c r="B1467" s="61" t="n"/>
      <c r="C1467" s="62" t="n"/>
      <c r="D1467" s="57" t="n"/>
      <c r="E1467" s="57" t="n"/>
      <c r="F1467" s="58" t="n"/>
      <c r="G1467" s="66">
        <f>IF(tblFleet[[#This Row],[Units]]="","",tblFleet[[#This Row],[Units]]*24)</f>
        <v/>
      </c>
      <c r="H1467" s="66">
        <f>IF(tblFleet[[#This Row],[Units]]="","",tblFleet[[#This Row],[Calendar_h]]-tblFleet[[#This Row],[Down_h]])</f>
        <v/>
      </c>
      <c r="I1467" s="60">
        <f>IF(AND(tblFleet[[#This Row],[Units]]&lt;&gt;"",tblFleet[[#This Row],[Calendar_h]]&gt;0),tblFleet[[#This Row],[Available_h]]/tblFleet[[#This Row],[Calendar_h]],"")</f>
        <v/>
      </c>
      <c r="J1467" s="60">
        <f>IF(AND(tblFleet[[#This Row],[Units]]&lt;&gt;"",tblFleet[[#This Row],[Available_h]]&gt;0),tblFleet[[#This Row],[Operating_h]]/tblFleet[[#This Row],[Available_h]],"")</f>
        <v/>
      </c>
    </row>
    <row r="1468">
      <c r="A1468" s="54" t="n"/>
      <c r="B1468" s="61" t="n"/>
      <c r="C1468" s="62" t="n"/>
      <c r="D1468" s="57" t="n"/>
      <c r="E1468" s="57" t="n"/>
      <c r="F1468" s="58" t="n"/>
      <c r="G1468" s="66">
        <f>IF(tblFleet[[#This Row],[Units]]="","",tblFleet[[#This Row],[Units]]*24)</f>
        <v/>
      </c>
      <c r="H1468" s="66">
        <f>IF(tblFleet[[#This Row],[Units]]="","",tblFleet[[#This Row],[Calendar_h]]-tblFleet[[#This Row],[Down_h]])</f>
        <v/>
      </c>
      <c r="I1468" s="60">
        <f>IF(AND(tblFleet[[#This Row],[Units]]&lt;&gt;"",tblFleet[[#This Row],[Calendar_h]]&gt;0),tblFleet[[#This Row],[Available_h]]/tblFleet[[#This Row],[Calendar_h]],"")</f>
        <v/>
      </c>
      <c r="J1468" s="60">
        <f>IF(AND(tblFleet[[#This Row],[Units]]&lt;&gt;"",tblFleet[[#This Row],[Available_h]]&gt;0),tblFleet[[#This Row],[Operating_h]]/tblFleet[[#This Row],[Available_h]],"")</f>
        <v/>
      </c>
    </row>
    <row r="1469">
      <c r="A1469" s="54" t="n"/>
      <c r="B1469" s="61" t="n"/>
      <c r="C1469" s="62" t="n"/>
      <c r="D1469" s="57" t="n"/>
      <c r="E1469" s="57" t="n"/>
      <c r="F1469" s="58" t="n"/>
      <c r="G1469" s="66">
        <f>IF(tblFleet[[#This Row],[Units]]="","",tblFleet[[#This Row],[Units]]*24)</f>
        <v/>
      </c>
      <c r="H1469" s="66">
        <f>IF(tblFleet[[#This Row],[Units]]="","",tblFleet[[#This Row],[Calendar_h]]-tblFleet[[#This Row],[Down_h]])</f>
        <v/>
      </c>
      <c r="I1469" s="60">
        <f>IF(AND(tblFleet[[#This Row],[Units]]&lt;&gt;"",tblFleet[[#This Row],[Calendar_h]]&gt;0),tblFleet[[#This Row],[Available_h]]/tblFleet[[#This Row],[Calendar_h]],"")</f>
        <v/>
      </c>
      <c r="J1469" s="60">
        <f>IF(AND(tblFleet[[#This Row],[Units]]&lt;&gt;"",tblFleet[[#This Row],[Available_h]]&gt;0),tblFleet[[#This Row],[Operating_h]]/tblFleet[[#This Row],[Available_h]],"")</f>
        <v/>
      </c>
    </row>
    <row r="1470">
      <c r="A1470" s="54" t="n"/>
      <c r="B1470" s="61" t="n"/>
      <c r="C1470" s="62" t="n"/>
      <c r="D1470" s="57" t="n"/>
      <c r="E1470" s="57" t="n"/>
      <c r="F1470" s="58" t="n"/>
      <c r="G1470" s="66">
        <f>IF(tblFleet[[#This Row],[Units]]="","",tblFleet[[#This Row],[Units]]*24)</f>
        <v/>
      </c>
      <c r="H1470" s="66">
        <f>IF(tblFleet[[#This Row],[Units]]="","",tblFleet[[#This Row],[Calendar_h]]-tblFleet[[#This Row],[Down_h]])</f>
        <v/>
      </c>
      <c r="I1470" s="60">
        <f>IF(AND(tblFleet[[#This Row],[Units]]&lt;&gt;"",tblFleet[[#This Row],[Calendar_h]]&gt;0),tblFleet[[#This Row],[Available_h]]/tblFleet[[#This Row],[Calendar_h]],"")</f>
        <v/>
      </c>
      <c r="J1470" s="60">
        <f>IF(AND(tblFleet[[#This Row],[Units]]&lt;&gt;"",tblFleet[[#This Row],[Available_h]]&gt;0),tblFleet[[#This Row],[Operating_h]]/tblFleet[[#This Row],[Available_h]],"")</f>
        <v/>
      </c>
    </row>
    <row r="1471">
      <c r="A1471" s="54" t="n"/>
      <c r="B1471" s="61" t="n"/>
      <c r="C1471" s="62" t="n"/>
      <c r="D1471" s="57" t="n"/>
      <c r="E1471" s="57" t="n"/>
      <c r="F1471" s="58" t="n"/>
      <c r="G1471" s="66">
        <f>IF(tblFleet[[#This Row],[Units]]="","",tblFleet[[#This Row],[Units]]*24)</f>
        <v/>
      </c>
      <c r="H1471" s="66">
        <f>IF(tblFleet[[#This Row],[Units]]="","",tblFleet[[#This Row],[Calendar_h]]-tblFleet[[#This Row],[Down_h]])</f>
        <v/>
      </c>
      <c r="I1471" s="60">
        <f>IF(AND(tblFleet[[#This Row],[Units]]&lt;&gt;"",tblFleet[[#This Row],[Calendar_h]]&gt;0),tblFleet[[#This Row],[Available_h]]/tblFleet[[#This Row],[Calendar_h]],"")</f>
        <v/>
      </c>
      <c r="J1471" s="60">
        <f>IF(AND(tblFleet[[#This Row],[Units]]&lt;&gt;"",tblFleet[[#This Row],[Available_h]]&gt;0),tblFleet[[#This Row],[Operating_h]]/tblFleet[[#This Row],[Available_h]],"")</f>
        <v/>
      </c>
    </row>
    <row r="1472">
      <c r="A1472" s="54" t="n"/>
      <c r="B1472" s="61" t="n"/>
      <c r="C1472" s="62" t="n"/>
      <c r="D1472" s="57" t="n"/>
      <c r="E1472" s="57" t="n"/>
      <c r="F1472" s="58" t="n"/>
      <c r="G1472" s="66">
        <f>IF(tblFleet[[#This Row],[Units]]="","",tblFleet[[#This Row],[Units]]*24)</f>
        <v/>
      </c>
      <c r="H1472" s="66">
        <f>IF(tblFleet[[#This Row],[Units]]="","",tblFleet[[#This Row],[Calendar_h]]-tblFleet[[#This Row],[Down_h]])</f>
        <v/>
      </c>
      <c r="I1472" s="60">
        <f>IF(AND(tblFleet[[#This Row],[Units]]&lt;&gt;"",tblFleet[[#This Row],[Calendar_h]]&gt;0),tblFleet[[#This Row],[Available_h]]/tblFleet[[#This Row],[Calendar_h]],"")</f>
        <v/>
      </c>
      <c r="J1472" s="60">
        <f>IF(AND(tblFleet[[#This Row],[Units]]&lt;&gt;"",tblFleet[[#This Row],[Available_h]]&gt;0),tblFleet[[#This Row],[Operating_h]]/tblFleet[[#This Row],[Available_h]],"")</f>
        <v/>
      </c>
    </row>
    <row r="1473">
      <c r="A1473" s="54" t="n"/>
      <c r="B1473" s="61" t="n"/>
      <c r="C1473" s="62" t="n"/>
      <c r="D1473" s="57" t="n"/>
      <c r="E1473" s="57" t="n"/>
      <c r="F1473" s="58" t="n"/>
      <c r="G1473" s="66">
        <f>IF(tblFleet[[#This Row],[Units]]="","",tblFleet[[#This Row],[Units]]*24)</f>
        <v/>
      </c>
      <c r="H1473" s="66">
        <f>IF(tblFleet[[#This Row],[Units]]="","",tblFleet[[#This Row],[Calendar_h]]-tblFleet[[#This Row],[Down_h]])</f>
        <v/>
      </c>
      <c r="I1473" s="60">
        <f>IF(AND(tblFleet[[#This Row],[Units]]&lt;&gt;"",tblFleet[[#This Row],[Calendar_h]]&gt;0),tblFleet[[#This Row],[Available_h]]/tblFleet[[#This Row],[Calendar_h]],"")</f>
        <v/>
      </c>
      <c r="J1473" s="60">
        <f>IF(AND(tblFleet[[#This Row],[Units]]&lt;&gt;"",tblFleet[[#This Row],[Available_h]]&gt;0),tblFleet[[#This Row],[Operating_h]]/tblFleet[[#This Row],[Available_h]],"")</f>
        <v/>
      </c>
    </row>
    <row r="1474">
      <c r="A1474" s="54" t="n"/>
      <c r="B1474" s="61" t="n"/>
      <c r="C1474" s="62" t="n"/>
      <c r="D1474" s="57" t="n"/>
      <c r="E1474" s="57" t="n"/>
      <c r="F1474" s="58" t="n"/>
      <c r="G1474" s="66">
        <f>IF(tblFleet[[#This Row],[Units]]="","",tblFleet[[#This Row],[Units]]*24)</f>
        <v/>
      </c>
      <c r="H1474" s="66">
        <f>IF(tblFleet[[#This Row],[Units]]="","",tblFleet[[#This Row],[Calendar_h]]-tblFleet[[#This Row],[Down_h]])</f>
        <v/>
      </c>
      <c r="I1474" s="60">
        <f>IF(AND(tblFleet[[#This Row],[Units]]&lt;&gt;"",tblFleet[[#This Row],[Calendar_h]]&gt;0),tblFleet[[#This Row],[Available_h]]/tblFleet[[#This Row],[Calendar_h]],"")</f>
        <v/>
      </c>
      <c r="J1474" s="60">
        <f>IF(AND(tblFleet[[#This Row],[Units]]&lt;&gt;"",tblFleet[[#This Row],[Available_h]]&gt;0),tblFleet[[#This Row],[Operating_h]]/tblFleet[[#This Row],[Available_h]],"")</f>
        <v/>
      </c>
    </row>
    <row r="1475">
      <c r="A1475" s="54" t="n"/>
      <c r="B1475" s="61" t="n"/>
      <c r="C1475" s="62" t="n"/>
      <c r="D1475" s="57" t="n"/>
      <c r="E1475" s="57" t="n"/>
      <c r="F1475" s="58" t="n"/>
      <c r="G1475" s="66">
        <f>IF(tblFleet[[#This Row],[Units]]="","",tblFleet[[#This Row],[Units]]*24)</f>
        <v/>
      </c>
      <c r="H1475" s="66">
        <f>IF(tblFleet[[#This Row],[Units]]="","",tblFleet[[#This Row],[Calendar_h]]-tblFleet[[#This Row],[Down_h]])</f>
        <v/>
      </c>
      <c r="I1475" s="60">
        <f>IF(AND(tblFleet[[#This Row],[Units]]&lt;&gt;"",tblFleet[[#This Row],[Calendar_h]]&gt;0),tblFleet[[#This Row],[Available_h]]/tblFleet[[#This Row],[Calendar_h]],"")</f>
        <v/>
      </c>
      <c r="J1475" s="60">
        <f>IF(AND(tblFleet[[#This Row],[Units]]&lt;&gt;"",tblFleet[[#This Row],[Available_h]]&gt;0),tblFleet[[#This Row],[Operating_h]]/tblFleet[[#This Row],[Available_h]],"")</f>
        <v/>
      </c>
    </row>
    <row r="1476">
      <c r="A1476" s="54" t="n"/>
      <c r="B1476" s="61" t="n"/>
      <c r="C1476" s="62" t="n"/>
      <c r="D1476" s="57" t="n"/>
      <c r="E1476" s="57" t="n"/>
      <c r="F1476" s="58" t="n"/>
      <c r="G1476" s="66">
        <f>IF(tblFleet[[#This Row],[Units]]="","",tblFleet[[#This Row],[Units]]*24)</f>
        <v/>
      </c>
      <c r="H1476" s="66">
        <f>IF(tblFleet[[#This Row],[Units]]="","",tblFleet[[#This Row],[Calendar_h]]-tblFleet[[#This Row],[Down_h]])</f>
        <v/>
      </c>
      <c r="I1476" s="60">
        <f>IF(AND(tblFleet[[#This Row],[Units]]&lt;&gt;"",tblFleet[[#This Row],[Calendar_h]]&gt;0),tblFleet[[#This Row],[Available_h]]/tblFleet[[#This Row],[Calendar_h]],"")</f>
        <v/>
      </c>
      <c r="J1476" s="60">
        <f>IF(AND(tblFleet[[#This Row],[Units]]&lt;&gt;"",tblFleet[[#This Row],[Available_h]]&gt;0),tblFleet[[#This Row],[Operating_h]]/tblFleet[[#This Row],[Available_h]],"")</f>
        <v/>
      </c>
    </row>
    <row r="1477">
      <c r="A1477" s="54" t="n"/>
      <c r="B1477" s="61" t="n"/>
      <c r="C1477" s="62" t="n"/>
      <c r="D1477" s="57" t="n"/>
      <c r="E1477" s="57" t="n"/>
      <c r="F1477" s="58" t="n"/>
      <c r="G1477" s="66">
        <f>IF(tblFleet[[#This Row],[Units]]="","",tblFleet[[#This Row],[Units]]*24)</f>
        <v/>
      </c>
      <c r="H1477" s="66">
        <f>IF(tblFleet[[#This Row],[Units]]="","",tblFleet[[#This Row],[Calendar_h]]-tblFleet[[#This Row],[Down_h]])</f>
        <v/>
      </c>
      <c r="I1477" s="60">
        <f>IF(AND(tblFleet[[#This Row],[Units]]&lt;&gt;"",tblFleet[[#This Row],[Calendar_h]]&gt;0),tblFleet[[#This Row],[Available_h]]/tblFleet[[#This Row],[Calendar_h]],"")</f>
        <v/>
      </c>
      <c r="J1477" s="60">
        <f>IF(AND(tblFleet[[#This Row],[Units]]&lt;&gt;"",tblFleet[[#This Row],[Available_h]]&gt;0),tblFleet[[#This Row],[Operating_h]]/tblFleet[[#This Row],[Available_h]],"")</f>
        <v/>
      </c>
    </row>
    <row r="1478">
      <c r="A1478" s="54" t="n"/>
      <c r="B1478" s="61" t="n"/>
      <c r="C1478" s="62" t="n"/>
      <c r="D1478" s="57" t="n"/>
      <c r="E1478" s="57" t="n"/>
      <c r="F1478" s="58" t="n"/>
      <c r="G1478" s="66">
        <f>IF(tblFleet[[#This Row],[Units]]="","",tblFleet[[#This Row],[Units]]*24)</f>
        <v/>
      </c>
      <c r="H1478" s="66">
        <f>IF(tblFleet[[#This Row],[Units]]="","",tblFleet[[#This Row],[Calendar_h]]-tblFleet[[#This Row],[Down_h]])</f>
        <v/>
      </c>
      <c r="I1478" s="60">
        <f>IF(AND(tblFleet[[#This Row],[Units]]&lt;&gt;"",tblFleet[[#This Row],[Calendar_h]]&gt;0),tblFleet[[#This Row],[Available_h]]/tblFleet[[#This Row],[Calendar_h]],"")</f>
        <v/>
      </c>
      <c r="J1478" s="60">
        <f>IF(AND(tblFleet[[#This Row],[Units]]&lt;&gt;"",tblFleet[[#This Row],[Available_h]]&gt;0),tblFleet[[#This Row],[Operating_h]]/tblFleet[[#This Row],[Available_h]],"")</f>
        <v/>
      </c>
    </row>
    <row r="1479">
      <c r="A1479" s="54" t="n"/>
      <c r="B1479" s="61" t="n"/>
      <c r="C1479" s="62" t="n"/>
      <c r="D1479" s="57" t="n"/>
      <c r="E1479" s="57" t="n"/>
      <c r="F1479" s="58" t="n"/>
      <c r="G1479" s="66">
        <f>IF(tblFleet[[#This Row],[Units]]="","",tblFleet[[#This Row],[Units]]*24)</f>
        <v/>
      </c>
      <c r="H1479" s="66">
        <f>IF(tblFleet[[#This Row],[Units]]="","",tblFleet[[#This Row],[Calendar_h]]-tblFleet[[#This Row],[Down_h]])</f>
        <v/>
      </c>
      <c r="I1479" s="60">
        <f>IF(AND(tblFleet[[#This Row],[Units]]&lt;&gt;"",tblFleet[[#This Row],[Calendar_h]]&gt;0),tblFleet[[#This Row],[Available_h]]/tblFleet[[#This Row],[Calendar_h]],"")</f>
        <v/>
      </c>
      <c r="J1479" s="60">
        <f>IF(AND(tblFleet[[#This Row],[Units]]&lt;&gt;"",tblFleet[[#This Row],[Available_h]]&gt;0),tblFleet[[#This Row],[Operating_h]]/tblFleet[[#This Row],[Available_h]],"")</f>
        <v/>
      </c>
    </row>
    <row r="1480">
      <c r="A1480" s="54" t="n"/>
      <c r="B1480" s="61" t="n"/>
      <c r="C1480" s="62" t="n"/>
      <c r="D1480" s="57" t="n"/>
      <c r="E1480" s="57" t="n"/>
      <c r="F1480" s="58" t="n"/>
      <c r="G1480" s="66">
        <f>IF(tblFleet[[#This Row],[Units]]="","",tblFleet[[#This Row],[Units]]*24)</f>
        <v/>
      </c>
      <c r="H1480" s="66">
        <f>IF(tblFleet[[#This Row],[Units]]="","",tblFleet[[#This Row],[Calendar_h]]-tblFleet[[#This Row],[Down_h]])</f>
        <v/>
      </c>
      <c r="I1480" s="60">
        <f>IF(AND(tblFleet[[#This Row],[Units]]&lt;&gt;"",tblFleet[[#This Row],[Calendar_h]]&gt;0),tblFleet[[#This Row],[Available_h]]/tblFleet[[#This Row],[Calendar_h]],"")</f>
        <v/>
      </c>
      <c r="J1480" s="60">
        <f>IF(AND(tblFleet[[#This Row],[Units]]&lt;&gt;"",tblFleet[[#This Row],[Available_h]]&gt;0),tblFleet[[#This Row],[Operating_h]]/tblFleet[[#This Row],[Available_h]],"")</f>
        <v/>
      </c>
    </row>
    <row r="1481">
      <c r="A1481" s="54" t="n"/>
      <c r="B1481" s="61" t="n"/>
      <c r="C1481" s="62" t="n"/>
      <c r="D1481" s="57" t="n"/>
      <c r="E1481" s="57" t="n"/>
      <c r="F1481" s="58" t="n"/>
      <c r="G1481" s="66">
        <f>IF(tblFleet[[#This Row],[Units]]="","",tblFleet[[#This Row],[Units]]*24)</f>
        <v/>
      </c>
      <c r="H1481" s="66">
        <f>IF(tblFleet[[#This Row],[Units]]="","",tblFleet[[#This Row],[Calendar_h]]-tblFleet[[#This Row],[Down_h]])</f>
        <v/>
      </c>
      <c r="I1481" s="60">
        <f>IF(AND(tblFleet[[#This Row],[Units]]&lt;&gt;"",tblFleet[[#This Row],[Calendar_h]]&gt;0),tblFleet[[#This Row],[Available_h]]/tblFleet[[#This Row],[Calendar_h]],"")</f>
        <v/>
      </c>
      <c r="J1481" s="60">
        <f>IF(AND(tblFleet[[#This Row],[Units]]&lt;&gt;"",tblFleet[[#This Row],[Available_h]]&gt;0),tblFleet[[#This Row],[Operating_h]]/tblFleet[[#This Row],[Available_h]],"")</f>
        <v/>
      </c>
    </row>
    <row r="1482">
      <c r="A1482" s="54" t="n"/>
      <c r="B1482" s="61" t="n"/>
      <c r="C1482" s="62" t="n"/>
      <c r="D1482" s="57" t="n"/>
      <c r="E1482" s="57" t="n"/>
      <c r="F1482" s="58" t="n"/>
      <c r="G1482" s="66">
        <f>IF(tblFleet[[#This Row],[Units]]="","",tblFleet[[#This Row],[Units]]*24)</f>
        <v/>
      </c>
      <c r="H1482" s="66">
        <f>IF(tblFleet[[#This Row],[Units]]="","",tblFleet[[#This Row],[Calendar_h]]-tblFleet[[#This Row],[Down_h]])</f>
        <v/>
      </c>
      <c r="I1482" s="60">
        <f>IF(AND(tblFleet[[#This Row],[Units]]&lt;&gt;"",tblFleet[[#This Row],[Calendar_h]]&gt;0),tblFleet[[#This Row],[Available_h]]/tblFleet[[#This Row],[Calendar_h]],"")</f>
        <v/>
      </c>
      <c r="J1482" s="60">
        <f>IF(AND(tblFleet[[#This Row],[Units]]&lt;&gt;"",tblFleet[[#This Row],[Available_h]]&gt;0),tblFleet[[#This Row],[Operating_h]]/tblFleet[[#This Row],[Available_h]],"")</f>
        <v/>
      </c>
    </row>
    <row r="1483">
      <c r="A1483" s="54" t="n"/>
      <c r="B1483" s="61" t="n"/>
      <c r="C1483" s="62" t="n"/>
      <c r="D1483" s="57" t="n"/>
      <c r="E1483" s="57" t="n"/>
      <c r="F1483" s="58" t="n"/>
      <c r="G1483" s="66">
        <f>IF(tblFleet[[#This Row],[Units]]="","",tblFleet[[#This Row],[Units]]*24)</f>
        <v/>
      </c>
      <c r="H1483" s="66">
        <f>IF(tblFleet[[#This Row],[Units]]="","",tblFleet[[#This Row],[Calendar_h]]-tblFleet[[#This Row],[Down_h]])</f>
        <v/>
      </c>
      <c r="I1483" s="60">
        <f>IF(AND(tblFleet[[#This Row],[Units]]&lt;&gt;"",tblFleet[[#This Row],[Calendar_h]]&gt;0),tblFleet[[#This Row],[Available_h]]/tblFleet[[#This Row],[Calendar_h]],"")</f>
        <v/>
      </c>
      <c r="J1483" s="60">
        <f>IF(AND(tblFleet[[#This Row],[Units]]&lt;&gt;"",tblFleet[[#This Row],[Available_h]]&gt;0),tblFleet[[#This Row],[Operating_h]]/tblFleet[[#This Row],[Available_h]],"")</f>
        <v/>
      </c>
    </row>
    <row r="1484">
      <c r="A1484" s="54" t="n"/>
      <c r="B1484" s="61" t="n"/>
      <c r="C1484" s="62" t="n"/>
      <c r="D1484" s="57" t="n"/>
      <c r="E1484" s="57" t="n"/>
      <c r="F1484" s="58" t="n"/>
      <c r="G1484" s="66">
        <f>IF(tblFleet[[#This Row],[Units]]="","",tblFleet[[#This Row],[Units]]*24)</f>
        <v/>
      </c>
      <c r="H1484" s="66">
        <f>IF(tblFleet[[#This Row],[Units]]="","",tblFleet[[#This Row],[Calendar_h]]-tblFleet[[#This Row],[Down_h]])</f>
        <v/>
      </c>
      <c r="I1484" s="60">
        <f>IF(AND(tblFleet[[#This Row],[Units]]&lt;&gt;"",tblFleet[[#This Row],[Calendar_h]]&gt;0),tblFleet[[#This Row],[Available_h]]/tblFleet[[#This Row],[Calendar_h]],"")</f>
        <v/>
      </c>
      <c r="J1484" s="60">
        <f>IF(AND(tblFleet[[#This Row],[Units]]&lt;&gt;"",tblFleet[[#This Row],[Available_h]]&gt;0),tblFleet[[#This Row],[Operating_h]]/tblFleet[[#This Row],[Available_h]],"")</f>
        <v/>
      </c>
    </row>
    <row r="1485">
      <c r="A1485" s="54" t="n"/>
      <c r="B1485" s="61" t="n"/>
      <c r="C1485" s="62" t="n"/>
      <c r="D1485" s="57" t="n"/>
      <c r="E1485" s="57" t="n"/>
      <c r="F1485" s="58" t="n"/>
      <c r="G1485" s="66">
        <f>IF(tblFleet[[#This Row],[Units]]="","",tblFleet[[#This Row],[Units]]*24)</f>
        <v/>
      </c>
      <c r="H1485" s="66">
        <f>IF(tblFleet[[#This Row],[Units]]="","",tblFleet[[#This Row],[Calendar_h]]-tblFleet[[#This Row],[Down_h]])</f>
        <v/>
      </c>
      <c r="I1485" s="60">
        <f>IF(AND(tblFleet[[#This Row],[Units]]&lt;&gt;"",tblFleet[[#This Row],[Calendar_h]]&gt;0),tblFleet[[#This Row],[Available_h]]/tblFleet[[#This Row],[Calendar_h]],"")</f>
        <v/>
      </c>
      <c r="J1485" s="60">
        <f>IF(AND(tblFleet[[#This Row],[Units]]&lt;&gt;"",tblFleet[[#This Row],[Available_h]]&gt;0),tblFleet[[#This Row],[Operating_h]]/tblFleet[[#This Row],[Available_h]],"")</f>
        <v/>
      </c>
    </row>
    <row r="1486">
      <c r="A1486" s="54" t="n"/>
      <c r="B1486" s="61" t="n"/>
      <c r="C1486" s="62" t="n"/>
      <c r="D1486" s="57" t="n"/>
      <c r="E1486" s="57" t="n"/>
      <c r="F1486" s="58" t="n"/>
      <c r="G1486" s="66">
        <f>IF(tblFleet[[#This Row],[Units]]="","",tblFleet[[#This Row],[Units]]*24)</f>
        <v/>
      </c>
      <c r="H1486" s="66">
        <f>IF(tblFleet[[#This Row],[Units]]="","",tblFleet[[#This Row],[Calendar_h]]-tblFleet[[#This Row],[Down_h]])</f>
        <v/>
      </c>
      <c r="I1486" s="60">
        <f>IF(AND(tblFleet[[#This Row],[Units]]&lt;&gt;"",tblFleet[[#This Row],[Calendar_h]]&gt;0),tblFleet[[#This Row],[Available_h]]/tblFleet[[#This Row],[Calendar_h]],"")</f>
        <v/>
      </c>
      <c r="J1486" s="60">
        <f>IF(AND(tblFleet[[#This Row],[Units]]&lt;&gt;"",tblFleet[[#This Row],[Available_h]]&gt;0),tblFleet[[#This Row],[Operating_h]]/tblFleet[[#This Row],[Available_h]],"")</f>
        <v/>
      </c>
    </row>
    <row r="1487">
      <c r="A1487" s="54" t="n"/>
      <c r="B1487" s="61" t="n"/>
      <c r="C1487" s="62" t="n"/>
      <c r="D1487" s="57" t="n"/>
      <c r="E1487" s="57" t="n"/>
      <c r="F1487" s="58" t="n"/>
      <c r="G1487" s="66">
        <f>IF(tblFleet[[#This Row],[Units]]="","",tblFleet[[#This Row],[Units]]*24)</f>
        <v/>
      </c>
      <c r="H1487" s="66">
        <f>IF(tblFleet[[#This Row],[Units]]="","",tblFleet[[#This Row],[Calendar_h]]-tblFleet[[#This Row],[Down_h]])</f>
        <v/>
      </c>
      <c r="I1487" s="60">
        <f>IF(AND(tblFleet[[#This Row],[Units]]&lt;&gt;"",tblFleet[[#This Row],[Calendar_h]]&gt;0),tblFleet[[#This Row],[Available_h]]/tblFleet[[#This Row],[Calendar_h]],"")</f>
        <v/>
      </c>
      <c r="J1487" s="60">
        <f>IF(AND(tblFleet[[#This Row],[Units]]&lt;&gt;"",tblFleet[[#This Row],[Available_h]]&gt;0),tblFleet[[#This Row],[Operating_h]]/tblFleet[[#This Row],[Available_h]],"")</f>
        <v/>
      </c>
    </row>
    <row r="1488">
      <c r="A1488" s="54" t="n"/>
      <c r="B1488" s="61" t="n"/>
      <c r="C1488" s="62" t="n"/>
      <c r="D1488" s="57" t="n"/>
      <c r="E1488" s="57" t="n"/>
      <c r="F1488" s="58" t="n"/>
      <c r="G1488" s="66">
        <f>IF(tblFleet[[#This Row],[Units]]="","",tblFleet[[#This Row],[Units]]*24)</f>
        <v/>
      </c>
      <c r="H1488" s="66">
        <f>IF(tblFleet[[#This Row],[Units]]="","",tblFleet[[#This Row],[Calendar_h]]-tblFleet[[#This Row],[Down_h]])</f>
        <v/>
      </c>
      <c r="I1488" s="60">
        <f>IF(AND(tblFleet[[#This Row],[Units]]&lt;&gt;"",tblFleet[[#This Row],[Calendar_h]]&gt;0),tblFleet[[#This Row],[Available_h]]/tblFleet[[#This Row],[Calendar_h]],"")</f>
        <v/>
      </c>
      <c r="J1488" s="60">
        <f>IF(AND(tblFleet[[#This Row],[Units]]&lt;&gt;"",tblFleet[[#This Row],[Available_h]]&gt;0),tblFleet[[#This Row],[Operating_h]]/tblFleet[[#This Row],[Available_h]],"")</f>
        <v/>
      </c>
    </row>
    <row r="1489">
      <c r="A1489" s="54" t="n"/>
      <c r="B1489" s="61" t="n"/>
      <c r="C1489" s="62" t="n"/>
      <c r="D1489" s="57" t="n"/>
      <c r="E1489" s="57" t="n"/>
      <c r="F1489" s="58" t="n"/>
      <c r="G1489" s="66">
        <f>IF(tblFleet[[#This Row],[Units]]="","",tblFleet[[#This Row],[Units]]*24)</f>
        <v/>
      </c>
      <c r="H1489" s="66">
        <f>IF(tblFleet[[#This Row],[Units]]="","",tblFleet[[#This Row],[Calendar_h]]-tblFleet[[#This Row],[Down_h]])</f>
        <v/>
      </c>
      <c r="I1489" s="60">
        <f>IF(AND(tblFleet[[#This Row],[Units]]&lt;&gt;"",tblFleet[[#This Row],[Calendar_h]]&gt;0),tblFleet[[#This Row],[Available_h]]/tblFleet[[#This Row],[Calendar_h]],"")</f>
        <v/>
      </c>
      <c r="J1489" s="60">
        <f>IF(AND(tblFleet[[#This Row],[Units]]&lt;&gt;"",tblFleet[[#This Row],[Available_h]]&gt;0),tblFleet[[#This Row],[Operating_h]]/tblFleet[[#This Row],[Available_h]],"")</f>
        <v/>
      </c>
    </row>
    <row r="1490">
      <c r="A1490" s="54" t="n"/>
      <c r="B1490" s="61" t="n"/>
      <c r="C1490" s="62" t="n"/>
      <c r="D1490" s="57" t="n"/>
      <c r="E1490" s="57" t="n"/>
      <c r="F1490" s="58" t="n"/>
      <c r="G1490" s="66">
        <f>IF(tblFleet[[#This Row],[Units]]="","",tblFleet[[#This Row],[Units]]*24)</f>
        <v/>
      </c>
      <c r="H1490" s="66">
        <f>IF(tblFleet[[#This Row],[Units]]="","",tblFleet[[#This Row],[Calendar_h]]-tblFleet[[#This Row],[Down_h]])</f>
        <v/>
      </c>
      <c r="I1490" s="60">
        <f>IF(AND(tblFleet[[#This Row],[Units]]&lt;&gt;"",tblFleet[[#This Row],[Calendar_h]]&gt;0),tblFleet[[#This Row],[Available_h]]/tblFleet[[#This Row],[Calendar_h]],"")</f>
        <v/>
      </c>
      <c r="J1490" s="60">
        <f>IF(AND(tblFleet[[#This Row],[Units]]&lt;&gt;"",tblFleet[[#This Row],[Available_h]]&gt;0),tblFleet[[#This Row],[Operating_h]]/tblFleet[[#This Row],[Available_h]],"")</f>
        <v/>
      </c>
    </row>
    <row r="1491">
      <c r="A1491" s="54" t="n"/>
      <c r="B1491" s="61" t="n"/>
      <c r="C1491" s="62" t="n"/>
      <c r="D1491" s="57" t="n"/>
      <c r="E1491" s="57" t="n"/>
      <c r="F1491" s="58" t="n"/>
      <c r="G1491" s="66">
        <f>IF(tblFleet[[#This Row],[Units]]="","",tblFleet[[#This Row],[Units]]*24)</f>
        <v/>
      </c>
      <c r="H1491" s="66">
        <f>IF(tblFleet[[#This Row],[Units]]="","",tblFleet[[#This Row],[Calendar_h]]-tblFleet[[#This Row],[Down_h]])</f>
        <v/>
      </c>
      <c r="I1491" s="60">
        <f>IF(AND(tblFleet[[#This Row],[Units]]&lt;&gt;"",tblFleet[[#This Row],[Calendar_h]]&gt;0),tblFleet[[#This Row],[Available_h]]/tblFleet[[#This Row],[Calendar_h]],"")</f>
        <v/>
      </c>
      <c r="J1491" s="60">
        <f>IF(AND(tblFleet[[#This Row],[Units]]&lt;&gt;"",tblFleet[[#This Row],[Available_h]]&gt;0),tblFleet[[#This Row],[Operating_h]]/tblFleet[[#This Row],[Available_h]],"")</f>
        <v/>
      </c>
    </row>
    <row r="1492">
      <c r="A1492" s="54" t="n"/>
      <c r="B1492" s="61" t="n"/>
      <c r="C1492" s="62" t="n"/>
      <c r="D1492" s="57" t="n"/>
      <c r="E1492" s="57" t="n"/>
      <c r="F1492" s="58" t="n"/>
      <c r="G1492" s="66">
        <f>IF(tblFleet[[#This Row],[Units]]="","",tblFleet[[#This Row],[Units]]*24)</f>
        <v/>
      </c>
      <c r="H1492" s="66">
        <f>IF(tblFleet[[#This Row],[Units]]="","",tblFleet[[#This Row],[Calendar_h]]-tblFleet[[#This Row],[Down_h]])</f>
        <v/>
      </c>
      <c r="I1492" s="60">
        <f>IF(AND(tblFleet[[#This Row],[Units]]&lt;&gt;"",tblFleet[[#This Row],[Calendar_h]]&gt;0),tblFleet[[#This Row],[Available_h]]/tblFleet[[#This Row],[Calendar_h]],"")</f>
        <v/>
      </c>
      <c r="J1492" s="60">
        <f>IF(AND(tblFleet[[#This Row],[Units]]&lt;&gt;"",tblFleet[[#This Row],[Available_h]]&gt;0),tblFleet[[#This Row],[Operating_h]]/tblFleet[[#This Row],[Available_h]],"")</f>
        <v/>
      </c>
    </row>
    <row r="1493">
      <c r="A1493" s="54" t="n"/>
      <c r="B1493" s="61" t="n"/>
      <c r="C1493" s="62" t="n"/>
      <c r="D1493" s="57" t="n"/>
      <c r="E1493" s="57" t="n"/>
      <c r="F1493" s="58" t="n"/>
      <c r="G1493" s="66">
        <f>IF(tblFleet[[#This Row],[Units]]="","",tblFleet[[#This Row],[Units]]*24)</f>
        <v/>
      </c>
      <c r="H1493" s="66">
        <f>IF(tblFleet[[#This Row],[Units]]="","",tblFleet[[#This Row],[Calendar_h]]-tblFleet[[#This Row],[Down_h]])</f>
        <v/>
      </c>
      <c r="I1493" s="60">
        <f>IF(AND(tblFleet[[#This Row],[Units]]&lt;&gt;"",tblFleet[[#This Row],[Calendar_h]]&gt;0),tblFleet[[#This Row],[Available_h]]/tblFleet[[#This Row],[Calendar_h]],"")</f>
        <v/>
      </c>
      <c r="J1493" s="60">
        <f>IF(AND(tblFleet[[#This Row],[Units]]&lt;&gt;"",tblFleet[[#This Row],[Available_h]]&gt;0),tblFleet[[#This Row],[Operating_h]]/tblFleet[[#This Row],[Available_h]],"")</f>
        <v/>
      </c>
    </row>
    <row r="1494">
      <c r="A1494" s="54" t="n"/>
      <c r="B1494" s="61" t="n"/>
      <c r="C1494" s="62" t="n"/>
      <c r="D1494" s="57" t="n"/>
      <c r="E1494" s="57" t="n"/>
      <c r="F1494" s="58" t="n"/>
      <c r="G1494" s="66">
        <f>IF(tblFleet[[#This Row],[Units]]="","",tblFleet[[#This Row],[Units]]*24)</f>
        <v/>
      </c>
      <c r="H1494" s="66">
        <f>IF(tblFleet[[#This Row],[Units]]="","",tblFleet[[#This Row],[Calendar_h]]-tblFleet[[#This Row],[Down_h]])</f>
        <v/>
      </c>
      <c r="I1494" s="60">
        <f>IF(AND(tblFleet[[#This Row],[Units]]&lt;&gt;"",tblFleet[[#This Row],[Calendar_h]]&gt;0),tblFleet[[#This Row],[Available_h]]/tblFleet[[#This Row],[Calendar_h]],"")</f>
        <v/>
      </c>
      <c r="J1494" s="60">
        <f>IF(AND(tblFleet[[#This Row],[Units]]&lt;&gt;"",tblFleet[[#This Row],[Available_h]]&gt;0),tblFleet[[#This Row],[Operating_h]]/tblFleet[[#This Row],[Available_h]],"")</f>
        <v/>
      </c>
    </row>
    <row r="1495">
      <c r="A1495" s="54" t="n"/>
      <c r="B1495" s="61" t="n"/>
      <c r="C1495" s="62" t="n"/>
      <c r="D1495" s="57" t="n"/>
      <c r="E1495" s="57" t="n"/>
      <c r="F1495" s="58" t="n"/>
      <c r="G1495" s="66">
        <f>IF(tblFleet[[#This Row],[Units]]="","",tblFleet[[#This Row],[Units]]*24)</f>
        <v/>
      </c>
      <c r="H1495" s="66">
        <f>IF(tblFleet[[#This Row],[Units]]="","",tblFleet[[#This Row],[Calendar_h]]-tblFleet[[#This Row],[Down_h]])</f>
        <v/>
      </c>
      <c r="I1495" s="60">
        <f>IF(AND(tblFleet[[#This Row],[Units]]&lt;&gt;"",tblFleet[[#This Row],[Calendar_h]]&gt;0),tblFleet[[#This Row],[Available_h]]/tblFleet[[#This Row],[Calendar_h]],"")</f>
        <v/>
      </c>
      <c r="J1495" s="60">
        <f>IF(AND(tblFleet[[#This Row],[Units]]&lt;&gt;"",tblFleet[[#This Row],[Available_h]]&gt;0),tblFleet[[#This Row],[Operating_h]]/tblFleet[[#This Row],[Available_h]],"")</f>
        <v/>
      </c>
    </row>
    <row r="1496">
      <c r="A1496" s="54" t="n"/>
      <c r="B1496" s="61" t="n"/>
      <c r="C1496" s="62" t="n"/>
      <c r="D1496" s="57" t="n"/>
      <c r="E1496" s="57" t="n"/>
      <c r="F1496" s="58" t="n"/>
      <c r="G1496" s="66">
        <f>IF(tblFleet[[#This Row],[Units]]="","",tblFleet[[#This Row],[Units]]*24)</f>
        <v/>
      </c>
      <c r="H1496" s="66">
        <f>IF(tblFleet[[#This Row],[Units]]="","",tblFleet[[#This Row],[Calendar_h]]-tblFleet[[#This Row],[Down_h]])</f>
        <v/>
      </c>
      <c r="I1496" s="60">
        <f>IF(AND(tblFleet[[#This Row],[Units]]&lt;&gt;"",tblFleet[[#This Row],[Calendar_h]]&gt;0),tblFleet[[#This Row],[Available_h]]/tblFleet[[#This Row],[Calendar_h]],"")</f>
        <v/>
      </c>
      <c r="J1496" s="60">
        <f>IF(AND(tblFleet[[#This Row],[Units]]&lt;&gt;"",tblFleet[[#This Row],[Available_h]]&gt;0),tblFleet[[#This Row],[Operating_h]]/tblFleet[[#This Row],[Available_h]],"")</f>
        <v/>
      </c>
    </row>
    <row r="1497">
      <c r="A1497" s="54" t="n"/>
      <c r="B1497" s="61" t="n"/>
      <c r="C1497" s="62" t="n"/>
      <c r="D1497" s="57" t="n"/>
      <c r="E1497" s="57" t="n"/>
      <c r="F1497" s="58" t="n"/>
      <c r="G1497" s="66">
        <f>IF(tblFleet[[#This Row],[Units]]="","",tblFleet[[#This Row],[Units]]*24)</f>
        <v/>
      </c>
      <c r="H1497" s="66">
        <f>IF(tblFleet[[#This Row],[Units]]="","",tblFleet[[#This Row],[Calendar_h]]-tblFleet[[#This Row],[Down_h]])</f>
        <v/>
      </c>
      <c r="I1497" s="60">
        <f>IF(AND(tblFleet[[#This Row],[Units]]&lt;&gt;"",tblFleet[[#This Row],[Calendar_h]]&gt;0),tblFleet[[#This Row],[Available_h]]/tblFleet[[#This Row],[Calendar_h]],"")</f>
        <v/>
      </c>
      <c r="J1497" s="60">
        <f>IF(AND(tblFleet[[#This Row],[Units]]&lt;&gt;"",tblFleet[[#This Row],[Available_h]]&gt;0),tblFleet[[#This Row],[Operating_h]]/tblFleet[[#This Row],[Available_h]],"")</f>
        <v/>
      </c>
    </row>
    <row r="1498">
      <c r="A1498" s="54" t="n"/>
      <c r="B1498" s="61" t="n"/>
      <c r="C1498" s="62" t="n"/>
      <c r="D1498" s="57" t="n"/>
      <c r="E1498" s="57" t="n"/>
      <c r="F1498" s="58" t="n"/>
      <c r="G1498" s="66">
        <f>IF(tblFleet[[#This Row],[Units]]="","",tblFleet[[#This Row],[Units]]*24)</f>
        <v/>
      </c>
      <c r="H1498" s="66">
        <f>IF(tblFleet[[#This Row],[Units]]="","",tblFleet[[#This Row],[Calendar_h]]-tblFleet[[#This Row],[Down_h]])</f>
        <v/>
      </c>
      <c r="I1498" s="60">
        <f>IF(AND(tblFleet[[#This Row],[Units]]&lt;&gt;"",tblFleet[[#This Row],[Calendar_h]]&gt;0),tblFleet[[#This Row],[Available_h]]/tblFleet[[#This Row],[Calendar_h]],"")</f>
        <v/>
      </c>
      <c r="J1498" s="60">
        <f>IF(AND(tblFleet[[#This Row],[Units]]&lt;&gt;"",tblFleet[[#This Row],[Available_h]]&gt;0),tblFleet[[#This Row],[Operating_h]]/tblFleet[[#This Row],[Available_h]],"")</f>
        <v/>
      </c>
    </row>
    <row r="1499">
      <c r="A1499" s="54" t="n"/>
      <c r="B1499" s="61" t="n"/>
      <c r="C1499" s="62" t="n"/>
      <c r="D1499" s="57" t="n"/>
      <c r="E1499" s="57" t="n"/>
      <c r="F1499" s="58" t="n"/>
      <c r="G1499" s="66">
        <f>IF(tblFleet[[#This Row],[Units]]="","",tblFleet[[#This Row],[Units]]*24)</f>
        <v/>
      </c>
      <c r="H1499" s="66">
        <f>IF(tblFleet[[#This Row],[Units]]="","",tblFleet[[#This Row],[Calendar_h]]-tblFleet[[#This Row],[Down_h]])</f>
        <v/>
      </c>
      <c r="I1499" s="60">
        <f>IF(AND(tblFleet[[#This Row],[Units]]&lt;&gt;"",tblFleet[[#This Row],[Calendar_h]]&gt;0),tblFleet[[#This Row],[Available_h]]/tblFleet[[#This Row],[Calendar_h]],"")</f>
        <v/>
      </c>
      <c r="J1499" s="60">
        <f>IF(AND(tblFleet[[#This Row],[Units]]&lt;&gt;"",tblFleet[[#This Row],[Available_h]]&gt;0),tblFleet[[#This Row],[Operating_h]]/tblFleet[[#This Row],[Available_h]],"")</f>
        <v/>
      </c>
    </row>
    <row r="1500">
      <c r="A1500" s="54" t="n"/>
      <c r="B1500" s="61" t="n"/>
      <c r="C1500" s="62" t="n"/>
      <c r="D1500" s="57" t="n"/>
      <c r="E1500" s="57" t="n"/>
      <c r="F1500" s="58" t="n"/>
      <c r="G1500" s="66">
        <f>IF(tblFleet[[#This Row],[Units]]="","",tblFleet[[#This Row],[Units]]*24)</f>
        <v/>
      </c>
      <c r="H1500" s="66">
        <f>IF(tblFleet[[#This Row],[Units]]="","",tblFleet[[#This Row],[Calendar_h]]-tblFleet[[#This Row],[Down_h]])</f>
        <v/>
      </c>
      <c r="I1500" s="60">
        <f>IF(AND(tblFleet[[#This Row],[Units]]&lt;&gt;"",tblFleet[[#This Row],[Calendar_h]]&gt;0),tblFleet[[#This Row],[Available_h]]/tblFleet[[#This Row],[Calendar_h]],"")</f>
        <v/>
      </c>
      <c r="J1500" s="60">
        <f>IF(AND(tblFleet[[#This Row],[Units]]&lt;&gt;"",tblFleet[[#This Row],[Available_h]]&gt;0),tblFleet[[#This Row],[Operating_h]]/tblFleet[[#This Row],[Available_h]],"")</f>
        <v/>
      </c>
    </row>
    <row r="1501">
      <c r="A1501" s="54" t="n"/>
      <c r="B1501" s="61" t="n"/>
      <c r="C1501" s="62" t="n"/>
      <c r="D1501" s="57" t="n"/>
      <c r="E1501" s="57" t="n"/>
      <c r="F1501" s="58" t="n"/>
      <c r="G1501" s="66">
        <f>IF(tblFleet[[#This Row],[Units]]="","",tblFleet[[#This Row],[Units]]*24)</f>
        <v/>
      </c>
      <c r="H1501" s="66">
        <f>IF(tblFleet[[#This Row],[Units]]="","",tblFleet[[#This Row],[Calendar_h]]-tblFleet[[#This Row],[Down_h]])</f>
        <v/>
      </c>
      <c r="I1501" s="60">
        <f>IF(AND(tblFleet[[#This Row],[Units]]&lt;&gt;"",tblFleet[[#This Row],[Calendar_h]]&gt;0),tblFleet[[#This Row],[Available_h]]/tblFleet[[#This Row],[Calendar_h]],"")</f>
        <v/>
      </c>
      <c r="J1501" s="60">
        <f>IF(AND(tblFleet[[#This Row],[Units]]&lt;&gt;"",tblFleet[[#This Row],[Available_h]]&gt;0),tblFleet[[#This Row],[Operating_h]]/tblFleet[[#This Row],[Available_h]],"")</f>
        <v/>
      </c>
    </row>
    <row r="1502">
      <c r="A1502" s="54" t="n"/>
      <c r="B1502" s="61" t="n"/>
      <c r="C1502" s="62" t="n"/>
      <c r="D1502" s="57" t="n"/>
      <c r="E1502" s="57" t="n"/>
      <c r="F1502" s="58" t="n"/>
      <c r="G1502" s="66">
        <f>IF(tblFleet[[#This Row],[Units]]="","",tblFleet[[#This Row],[Units]]*24)</f>
        <v/>
      </c>
      <c r="H1502" s="66">
        <f>IF(tblFleet[[#This Row],[Units]]="","",tblFleet[[#This Row],[Calendar_h]]-tblFleet[[#This Row],[Down_h]])</f>
        <v/>
      </c>
      <c r="I1502" s="60">
        <f>IF(AND(tblFleet[[#This Row],[Units]]&lt;&gt;"",tblFleet[[#This Row],[Calendar_h]]&gt;0),tblFleet[[#This Row],[Available_h]]/tblFleet[[#This Row],[Calendar_h]],"")</f>
        <v/>
      </c>
      <c r="J1502" s="60">
        <f>IF(AND(tblFleet[[#This Row],[Units]]&lt;&gt;"",tblFleet[[#This Row],[Available_h]]&gt;0),tblFleet[[#This Row],[Operating_h]]/tblFleet[[#This Row],[Available_h]],"")</f>
        <v/>
      </c>
    </row>
    <row r="1503">
      <c r="A1503" s="54" t="n"/>
      <c r="B1503" s="61" t="n"/>
      <c r="C1503" s="62" t="n"/>
      <c r="D1503" s="57" t="n"/>
      <c r="E1503" s="57" t="n"/>
      <c r="F1503" s="58" t="n"/>
      <c r="G1503" s="66">
        <f>IF(tblFleet[[#This Row],[Units]]="","",tblFleet[[#This Row],[Units]]*24)</f>
        <v/>
      </c>
      <c r="H1503" s="66">
        <f>IF(tblFleet[[#This Row],[Units]]="","",tblFleet[[#This Row],[Calendar_h]]-tblFleet[[#This Row],[Down_h]])</f>
        <v/>
      </c>
      <c r="I1503" s="60">
        <f>IF(AND(tblFleet[[#This Row],[Units]]&lt;&gt;"",tblFleet[[#This Row],[Calendar_h]]&gt;0),tblFleet[[#This Row],[Available_h]]/tblFleet[[#This Row],[Calendar_h]],"")</f>
        <v/>
      </c>
      <c r="J1503" s="60">
        <f>IF(AND(tblFleet[[#This Row],[Units]]&lt;&gt;"",tblFleet[[#This Row],[Available_h]]&gt;0),tblFleet[[#This Row],[Operating_h]]/tblFleet[[#This Row],[Available_h]],"")</f>
        <v/>
      </c>
    </row>
    <row r="1504">
      <c r="A1504" s="54" t="n"/>
      <c r="B1504" s="61" t="n"/>
      <c r="C1504" s="62" t="n"/>
      <c r="D1504" s="57" t="n"/>
      <c r="E1504" s="57" t="n"/>
      <c r="F1504" s="58" t="n"/>
      <c r="G1504" s="66">
        <f>IF(tblFleet[[#This Row],[Units]]="","",tblFleet[[#This Row],[Units]]*24)</f>
        <v/>
      </c>
      <c r="H1504" s="66">
        <f>IF(tblFleet[[#This Row],[Units]]="","",tblFleet[[#This Row],[Calendar_h]]-tblFleet[[#This Row],[Down_h]])</f>
        <v/>
      </c>
      <c r="I1504" s="60">
        <f>IF(AND(tblFleet[[#This Row],[Units]]&lt;&gt;"",tblFleet[[#This Row],[Calendar_h]]&gt;0),tblFleet[[#This Row],[Available_h]]/tblFleet[[#This Row],[Calendar_h]],"")</f>
        <v/>
      </c>
      <c r="J1504" s="60">
        <f>IF(AND(tblFleet[[#This Row],[Units]]&lt;&gt;"",tblFleet[[#This Row],[Available_h]]&gt;0),tblFleet[[#This Row],[Operating_h]]/tblFleet[[#This Row],[Available_h]],"")</f>
        <v/>
      </c>
    </row>
    <row r="1505">
      <c r="A1505" s="54" t="n"/>
      <c r="B1505" s="61" t="n"/>
      <c r="C1505" s="62" t="n"/>
      <c r="D1505" s="57" t="n"/>
      <c r="E1505" s="57" t="n"/>
      <c r="F1505" s="58" t="n"/>
      <c r="G1505" s="66">
        <f>IF(tblFleet[[#This Row],[Units]]="","",tblFleet[[#This Row],[Units]]*24)</f>
        <v/>
      </c>
      <c r="H1505" s="66">
        <f>IF(tblFleet[[#This Row],[Units]]="","",tblFleet[[#This Row],[Calendar_h]]-tblFleet[[#This Row],[Down_h]])</f>
        <v/>
      </c>
      <c r="I1505" s="60">
        <f>IF(AND(tblFleet[[#This Row],[Units]]&lt;&gt;"",tblFleet[[#This Row],[Calendar_h]]&gt;0),tblFleet[[#This Row],[Available_h]]/tblFleet[[#This Row],[Calendar_h]],"")</f>
        <v/>
      </c>
      <c r="J1505" s="60">
        <f>IF(AND(tblFleet[[#This Row],[Units]]&lt;&gt;"",tblFleet[[#This Row],[Available_h]]&gt;0),tblFleet[[#This Row],[Operating_h]]/tblFleet[[#This Row],[Available_h]],"")</f>
        <v/>
      </c>
    </row>
    <row r="1506">
      <c r="A1506" s="54" t="n"/>
      <c r="B1506" s="61" t="n"/>
      <c r="C1506" s="62" t="n"/>
      <c r="D1506" s="57" t="n"/>
      <c r="E1506" s="57" t="n"/>
      <c r="F1506" s="58" t="n"/>
      <c r="G1506" s="66">
        <f>IF(tblFleet[[#This Row],[Units]]="","",tblFleet[[#This Row],[Units]]*24)</f>
        <v/>
      </c>
      <c r="H1506" s="66">
        <f>IF(tblFleet[[#This Row],[Units]]="","",tblFleet[[#This Row],[Calendar_h]]-tblFleet[[#This Row],[Down_h]])</f>
        <v/>
      </c>
      <c r="I1506" s="60">
        <f>IF(AND(tblFleet[[#This Row],[Units]]&lt;&gt;"",tblFleet[[#This Row],[Calendar_h]]&gt;0),tblFleet[[#This Row],[Available_h]]/tblFleet[[#This Row],[Calendar_h]],"")</f>
        <v/>
      </c>
      <c r="J1506" s="60">
        <f>IF(AND(tblFleet[[#This Row],[Units]]&lt;&gt;"",tblFleet[[#This Row],[Available_h]]&gt;0),tblFleet[[#This Row],[Operating_h]]/tblFleet[[#This Row],[Available_h]],"")</f>
        <v/>
      </c>
    </row>
    <row r="1507">
      <c r="A1507" s="54" t="n"/>
      <c r="B1507" s="61" t="n"/>
      <c r="C1507" s="62" t="n"/>
      <c r="D1507" s="57" t="n"/>
      <c r="E1507" s="57" t="n"/>
      <c r="F1507" s="58" t="n"/>
      <c r="G1507" s="66">
        <f>IF(tblFleet[[#This Row],[Units]]="","",tblFleet[[#This Row],[Units]]*24)</f>
        <v/>
      </c>
      <c r="H1507" s="66">
        <f>IF(tblFleet[[#This Row],[Units]]="","",tblFleet[[#This Row],[Calendar_h]]-tblFleet[[#This Row],[Down_h]])</f>
        <v/>
      </c>
      <c r="I1507" s="60">
        <f>IF(AND(tblFleet[[#This Row],[Units]]&lt;&gt;"",tblFleet[[#This Row],[Calendar_h]]&gt;0),tblFleet[[#This Row],[Available_h]]/tblFleet[[#This Row],[Calendar_h]],"")</f>
        <v/>
      </c>
      <c r="J1507" s="60">
        <f>IF(AND(tblFleet[[#This Row],[Units]]&lt;&gt;"",tblFleet[[#This Row],[Available_h]]&gt;0),tblFleet[[#This Row],[Operating_h]]/tblFleet[[#This Row],[Available_h]],"")</f>
        <v/>
      </c>
    </row>
    <row r="1508">
      <c r="A1508" s="54" t="n"/>
      <c r="B1508" s="61" t="n"/>
      <c r="C1508" s="62" t="n"/>
      <c r="D1508" s="57" t="n"/>
      <c r="E1508" s="57" t="n"/>
      <c r="F1508" s="58" t="n"/>
      <c r="G1508" s="66">
        <f>IF(tblFleet[[#This Row],[Units]]="","",tblFleet[[#This Row],[Units]]*24)</f>
        <v/>
      </c>
      <c r="H1508" s="66">
        <f>IF(tblFleet[[#This Row],[Units]]="","",tblFleet[[#This Row],[Calendar_h]]-tblFleet[[#This Row],[Down_h]])</f>
        <v/>
      </c>
      <c r="I1508" s="60">
        <f>IF(AND(tblFleet[[#This Row],[Units]]&lt;&gt;"",tblFleet[[#This Row],[Calendar_h]]&gt;0),tblFleet[[#This Row],[Available_h]]/tblFleet[[#This Row],[Calendar_h]],"")</f>
        <v/>
      </c>
      <c r="J1508" s="60">
        <f>IF(AND(tblFleet[[#This Row],[Units]]&lt;&gt;"",tblFleet[[#This Row],[Available_h]]&gt;0),tblFleet[[#This Row],[Operating_h]]/tblFleet[[#This Row],[Available_h]],"")</f>
        <v/>
      </c>
    </row>
    <row r="1509">
      <c r="A1509" s="54" t="n"/>
      <c r="B1509" s="61" t="n"/>
      <c r="C1509" s="62" t="n"/>
      <c r="D1509" s="57" t="n"/>
      <c r="E1509" s="57" t="n"/>
      <c r="F1509" s="58" t="n"/>
      <c r="G1509" s="66">
        <f>IF(tblFleet[[#This Row],[Units]]="","",tblFleet[[#This Row],[Units]]*24)</f>
        <v/>
      </c>
      <c r="H1509" s="66">
        <f>IF(tblFleet[[#This Row],[Units]]="","",tblFleet[[#This Row],[Calendar_h]]-tblFleet[[#This Row],[Down_h]])</f>
        <v/>
      </c>
      <c r="I1509" s="60">
        <f>IF(AND(tblFleet[[#This Row],[Units]]&lt;&gt;"",tblFleet[[#This Row],[Calendar_h]]&gt;0),tblFleet[[#This Row],[Available_h]]/tblFleet[[#This Row],[Calendar_h]],"")</f>
        <v/>
      </c>
      <c r="J1509" s="60">
        <f>IF(AND(tblFleet[[#This Row],[Units]]&lt;&gt;"",tblFleet[[#This Row],[Available_h]]&gt;0),tblFleet[[#This Row],[Operating_h]]/tblFleet[[#This Row],[Available_h]],"")</f>
        <v/>
      </c>
    </row>
    <row r="1510">
      <c r="A1510" s="54" t="n"/>
      <c r="B1510" s="61" t="n"/>
      <c r="C1510" s="62" t="n"/>
      <c r="D1510" s="57" t="n"/>
      <c r="E1510" s="57" t="n"/>
      <c r="F1510" s="58" t="n"/>
      <c r="G1510" s="66">
        <f>IF(tblFleet[[#This Row],[Units]]="","",tblFleet[[#This Row],[Units]]*24)</f>
        <v/>
      </c>
      <c r="H1510" s="66">
        <f>IF(tblFleet[[#This Row],[Units]]="","",tblFleet[[#This Row],[Calendar_h]]-tblFleet[[#This Row],[Down_h]])</f>
        <v/>
      </c>
      <c r="I1510" s="60">
        <f>IF(AND(tblFleet[[#This Row],[Units]]&lt;&gt;"",tblFleet[[#This Row],[Calendar_h]]&gt;0),tblFleet[[#This Row],[Available_h]]/tblFleet[[#This Row],[Calendar_h]],"")</f>
        <v/>
      </c>
      <c r="J1510" s="60">
        <f>IF(AND(tblFleet[[#This Row],[Units]]&lt;&gt;"",tblFleet[[#This Row],[Available_h]]&gt;0),tblFleet[[#This Row],[Operating_h]]/tblFleet[[#This Row],[Available_h]],"")</f>
        <v/>
      </c>
    </row>
    <row r="1511">
      <c r="A1511" s="54" t="n"/>
      <c r="B1511" s="61" t="n"/>
      <c r="C1511" s="62" t="n"/>
      <c r="D1511" s="57" t="n"/>
      <c r="E1511" s="57" t="n"/>
      <c r="F1511" s="58" t="n"/>
      <c r="G1511" s="66">
        <f>IF(tblFleet[[#This Row],[Units]]="","",tblFleet[[#This Row],[Units]]*24)</f>
        <v/>
      </c>
      <c r="H1511" s="66">
        <f>IF(tblFleet[[#This Row],[Units]]="","",tblFleet[[#This Row],[Calendar_h]]-tblFleet[[#This Row],[Down_h]])</f>
        <v/>
      </c>
      <c r="I1511" s="60">
        <f>IF(AND(tblFleet[[#This Row],[Units]]&lt;&gt;"",tblFleet[[#This Row],[Calendar_h]]&gt;0),tblFleet[[#This Row],[Available_h]]/tblFleet[[#This Row],[Calendar_h]],"")</f>
        <v/>
      </c>
      <c r="J1511" s="60">
        <f>IF(AND(tblFleet[[#This Row],[Units]]&lt;&gt;"",tblFleet[[#This Row],[Available_h]]&gt;0),tblFleet[[#This Row],[Operating_h]]/tblFleet[[#This Row],[Available_h]],"")</f>
        <v/>
      </c>
    </row>
    <row r="1512">
      <c r="A1512" s="54" t="n"/>
      <c r="B1512" s="61" t="n"/>
      <c r="C1512" s="62" t="n"/>
      <c r="D1512" s="57" t="n"/>
      <c r="E1512" s="57" t="n"/>
      <c r="F1512" s="58" t="n"/>
      <c r="G1512" s="66">
        <f>IF(tblFleet[[#This Row],[Units]]="","",tblFleet[[#This Row],[Units]]*24)</f>
        <v/>
      </c>
      <c r="H1512" s="66">
        <f>IF(tblFleet[[#This Row],[Units]]="","",tblFleet[[#This Row],[Calendar_h]]-tblFleet[[#This Row],[Down_h]])</f>
        <v/>
      </c>
      <c r="I1512" s="60">
        <f>IF(AND(tblFleet[[#This Row],[Units]]&lt;&gt;"",tblFleet[[#This Row],[Calendar_h]]&gt;0),tblFleet[[#This Row],[Available_h]]/tblFleet[[#This Row],[Calendar_h]],"")</f>
        <v/>
      </c>
      <c r="J1512" s="60">
        <f>IF(AND(tblFleet[[#This Row],[Units]]&lt;&gt;"",tblFleet[[#This Row],[Available_h]]&gt;0),tblFleet[[#This Row],[Operating_h]]/tblFleet[[#This Row],[Available_h]],"")</f>
        <v/>
      </c>
    </row>
    <row r="1513">
      <c r="A1513" s="54" t="n"/>
      <c r="B1513" s="61" t="n"/>
      <c r="C1513" s="62" t="n"/>
      <c r="D1513" s="57" t="n"/>
      <c r="E1513" s="57" t="n"/>
      <c r="F1513" s="58" t="n"/>
      <c r="G1513" s="66">
        <f>IF(tblFleet[[#This Row],[Units]]="","",tblFleet[[#This Row],[Units]]*24)</f>
        <v/>
      </c>
      <c r="H1513" s="66">
        <f>IF(tblFleet[[#This Row],[Units]]="","",tblFleet[[#This Row],[Calendar_h]]-tblFleet[[#This Row],[Down_h]])</f>
        <v/>
      </c>
      <c r="I1513" s="60">
        <f>IF(AND(tblFleet[[#This Row],[Units]]&lt;&gt;"",tblFleet[[#This Row],[Calendar_h]]&gt;0),tblFleet[[#This Row],[Available_h]]/tblFleet[[#This Row],[Calendar_h]],"")</f>
        <v/>
      </c>
      <c r="J1513" s="60">
        <f>IF(AND(tblFleet[[#This Row],[Units]]&lt;&gt;"",tblFleet[[#This Row],[Available_h]]&gt;0),tblFleet[[#This Row],[Operating_h]]/tblFleet[[#This Row],[Available_h]],"")</f>
        <v/>
      </c>
    </row>
    <row r="1514">
      <c r="A1514" s="54" t="n"/>
      <c r="B1514" s="61" t="n"/>
      <c r="C1514" s="62" t="n"/>
      <c r="D1514" s="57" t="n"/>
      <c r="E1514" s="57" t="n"/>
      <c r="F1514" s="58" t="n"/>
      <c r="G1514" s="66">
        <f>IF(tblFleet[[#This Row],[Units]]="","",tblFleet[[#This Row],[Units]]*24)</f>
        <v/>
      </c>
      <c r="H1514" s="66">
        <f>IF(tblFleet[[#This Row],[Units]]="","",tblFleet[[#This Row],[Calendar_h]]-tblFleet[[#This Row],[Down_h]])</f>
        <v/>
      </c>
      <c r="I1514" s="60">
        <f>IF(AND(tblFleet[[#This Row],[Units]]&lt;&gt;"",tblFleet[[#This Row],[Calendar_h]]&gt;0),tblFleet[[#This Row],[Available_h]]/tblFleet[[#This Row],[Calendar_h]],"")</f>
        <v/>
      </c>
      <c r="J1514" s="60">
        <f>IF(AND(tblFleet[[#This Row],[Units]]&lt;&gt;"",tblFleet[[#This Row],[Available_h]]&gt;0),tblFleet[[#This Row],[Operating_h]]/tblFleet[[#This Row],[Available_h]],"")</f>
        <v/>
      </c>
    </row>
    <row r="1515">
      <c r="A1515" s="54" t="n"/>
      <c r="B1515" s="61" t="n"/>
      <c r="C1515" s="62" t="n"/>
      <c r="D1515" s="57" t="n"/>
      <c r="E1515" s="57" t="n"/>
      <c r="F1515" s="58" t="n"/>
      <c r="G1515" s="66">
        <f>IF(tblFleet[[#This Row],[Units]]="","",tblFleet[[#This Row],[Units]]*24)</f>
        <v/>
      </c>
      <c r="H1515" s="66">
        <f>IF(tblFleet[[#This Row],[Units]]="","",tblFleet[[#This Row],[Calendar_h]]-tblFleet[[#This Row],[Down_h]])</f>
        <v/>
      </c>
      <c r="I1515" s="60">
        <f>IF(AND(tblFleet[[#This Row],[Units]]&lt;&gt;"",tblFleet[[#This Row],[Calendar_h]]&gt;0),tblFleet[[#This Row],[Available_h]]/tblFleet[[#This Row],[Calendar_h]],"")</f>
        <v/>
      </c>
      <c r="J1515" s="60">
        <f>IF(AND(tblFleet[[#This Row],[Units]]&lt;&gt;"",tblFleet[[#This Row],[Available_h]]&gt;0),tblFleet[[#This Row],[Operating_h]]/tblFleet[[#This Row],[Available_h]],"")</f>
        <v/>
      </c>
    </row>
    <row r="1516">
      <c r="A1516" s="54" t="n"/>
      <c r="B1516" s="61" t="n"/>
      <c r="C1516" s="62" t="n"/>
      <c r="D1516" s="57" t="n"/>
      <c r="E1516" s="57" t="n"/>
      <c r="F1516" s="58" t="n"/>
      <c r="G1516" s="66">
        <f>IF(tblFleet[[#This Row],[Units]]="","",tblFleet[[#This Row],[Units]]*24)</f>
        <v/>
      </c>
      <c r="H1516" s="66">
        <f>IF(tblFleet[[#This Row],[Units]]="","",tblFleet[[#This Row],[Calendar_h]]-tblFleet[[#This Row],[Down_h]])</f>
        <v/>
      </c>
      <c r="I1516" s="60">
        <f>IF(AND(tblFleet[[#This Row],[Units]]&lt;&gt;"",tblFleet[[#This Row],[Calendar_h]]&gt;0),tblFleet[[#This Row],[Available_h]]/tblFleet[[#This Row],[Calendar_h]],"")</f>
        <v/>
      </c>
      <c r="J1516" s="60">
        <f>IF(AND(tblFleet[[#This Row],[Units]]&lt;&gt;"",tblFleet[[#This Row],[Available_h]]&gt;0),tblFleet[[#This Row],[Operating_h]]/tblFleet[[#This Row],[Available_h]],"")</f>
        <v/>
      </c>
    </row>
    <row r="1517">
      <c r="A1517" s="54" t="n"/>
      <c r="B1517" s="61" t="n"/>
      <c r="C1517" s="62" t="n"/>
      <c r="D1517" s="57" t="n"/>
      <c r="E1517" s="57" t="n"/>
      <c r="F1517" s="58" t="n"/>
      <c r="G1517" s="66">
        <f>IF(tblFleet[[#This Row],[Units]]="","",tblFleet[[#This Row],[Units]]*24)</f>
        <v/>
      </c>
      <c r="H1517" s="66">
        <f>IF(tblFleet[[#This Row],[Units]]="","",tblFleet[[#This Row],[Calendar_h]]-tblFleet[[#This Row],[Down_h]])</f>
        <v/>
      </c>
      <c r="I1517" s="60">
        <f>IF(AND(tblFleet[[#This Row],[Units]]&lt;&gt;"",tblFleet[[#This Row],[Calendar_h]]&gt;0),tblFleet[[#This Row],[Available_h]]/tblFleet[[#This Row],[Calendar_h]],"")</f>
        <v/>
      </c>
      <c r="J1517" s="60">
        <f>IF(AND(tblFleet[[#This Row],[Units]]&lt;&gt;"",tblFleet[[#This Row],[Available_h]]&gt;0),tblFleet[[#This Row],[Operating_h]]/tblFleet[[#This Row],[Available_h]],"")</f>
        <v/>
      </c>
    </row>
    <row r="1518">
      <c r="A1518" s="54" t="n"/>
      <c r="B1518" s="61" t="n"/>
      <c r="C1518" s="62" t="n"/>
      <c r="D1518" s="57" t="n"/>
      <c r="E1518" s="57" t="n"/>
      <c r="F1518" s="58" t="n"/>
      <c r="G1518" s="66">
        <f>IF(tblFleet[[#This Row],[Units]]="","",tblFleet[[#This Row],[Units]]*24)</f>
        <v/>
      </c>
      <c r="H1518" s="66">
        <f>IF(tblFleet[[#This Row],[Units]]="","",tblFleet[[#This Row],[Calendar_h]]-tblFleet[[#This Row],[Down_h]])</f>
        <v/>
      </c>
      <c r="I1518" s="60">
        <f>IF(AND(tblFleet[[#This Row],[Units]]&lt;&gt;"",tblFleet[[#This Row],[Calendar_h]]&gt;0),tblFleet[[#This Row],[Available_h]]/tblFleet[[#This Row],[Calendar_h]],"")</f>
        <v/>
      </c>
      <c r="J1518" s="60">
        <f>IF(AND(tblFleet[[#This Row],[Units]]&lt;&gt;"",tblFleet[[#This Row],[Available_h]]&gt;0),tblFleet[[#This Row],[Operating_h]]/tblFleet[[#This Row],[Available_h]],"")</f>
        <v/>
      </c>
    </row>
    <row r="1519">
      <c r="A1519" s="54" t="n"/>
      <c r="B1519" s="61" t="n"/>
      <c r="C1519" s="62" t="n"/>
      <c r="D1519" s="57" t="n"/>
      <c r="E1519" s="57" t="n"/>
      <c r="F1519" s="58" t="n"/>
      <c r="G1519" s="66">
        <f>IF(tblFleet[[#This Row],[Units]]="","",tblFleet[[#This Row],[Units]]*24)</f>
        <v/>
      </c>
      <c r="H1519" s="66">
        <f>IF(tblFleet[[#This Row],[Units]]="","",tblFleet[[#This Row],[Calendar_h]]-tblFleet[[#This Row],[Down_h]])</f>
        <v/>
      </c>
      <c r="I1519" s="60">
        <f>IF(AND(tblFleet[[#This Row],[Units]]&lt;&gt;"",tblFleet[[#This Row],[Calendar_h]]&gt;0),tblFleet[[#This Row],[Available_h]]/tblFleet[[#This Row],[Calendar_h]],"")</f>
        <v/>
      </c>
      <c r="J1519" s="60">
        <f>IF(AND(tblFleet[[#This Row],[Units]]&lt;&gt;"",tblFleet[[#This Row],[Available_h]]&gt;0),tblFleet[[#This Row],[Operating_h]]/tblFleet[[#This Row],[Available_h]],"")</f>
        <v/>
      </c>
    </row>
    <row r="1520">
      <c r="A1520" s="54" t="n"/>
      <c r="B1520" s="61" t="n"/>
      <c r="C1520" s="62" t="n"/>
      <c r="D1520" s="57" t="n"/>
      <c r="E1520" s="57" t="n"/>
      <c r="F1520" s="58" t="n"/>
      <c r="G1520" s="66">
        <f>IF(tblFleet[[#This Row],[Units]]="","",tblFleet[[#This Row],[Units]]*24)</f>
        <v/>
      </c>
      <c r="H1520" s="66">
        <f>IF(tblFleet[[#This Row],[Units]]="","",tblFleet[[#This Row],[Calendar_h]]-tblFleet[[#This Row],[Down_h]])</f>
        <v/>
      </c>
      <c r="I1520" s="60">
        <f>IF(AND(tblFleet[[#This Row],[Units]]&lt;&gt;"",tblFleet[[#This Row],[Calendar_h]]&gt;0),tblFleet[[#This Row],[Available_h]]/tblFleet[[#This Row],[Calendar_h]],"")</f>
        <v/>
      </c>
      <c r="J1520" s="60">
        <f>IF(AND(tblFleet[[#This Row],[Units]]&lt;&gt;"",tblFleet[[#This Row],[Available_h]]&gt;0),tblFleet[[#This Row],[Operating_h]]/tblFleet[[#This Row],[Available_h]],"")</f>
        <v/>
      </c>
    </row>
    <row r="1521">
      <c r="A1521" s="54" t="n"/>
      <c r="B1521" s="61" t="n"/>
      <c r="C1521" s="62" t="n"/>
      <c r="D1521" s="57" t="n"/>
      <c r="E1521" s="57" t="n"/>
      <c r="F1521" s="58" t="n"/>
      <c r="G1521" s="66">
        <f>IF(tblFleet[[#This Row],[Units]]="","",tblFleet[[#This Row],[Units]]*24)</f>
        <v/>
      </c>
      <c r="H1521" s="66">
        <f>IF(tblFleet[[#This Row],[Units]]="","",tblFleet[[#This Row],[Calendar_h]]-tblFleet[[#This Row],[Down_h]])</f>
        <v/>
      </c>
      <c r="I1521" s="60">
        <f>IF(AND(tblFleet[[#This Row],[Units]]&lt;&gt;"",tblFleet[[#This Row],[Calendar_h]]&gt;0),tblFleet[[#This Row],[Available_h]]/tblFleet[[#This Row],[Calendar_h]],"")</f>
        <v/>
      </c>
      <c r="J1521" s="60">
        <f>IF(AND(tblFleet[[#This Row],[Units]]&lt;&gt;"",tblFleet[[#This Row],[Available_h]]&gt;0),tblFleet[[#This Row],[Operating_h]]/tblFleet[[#This Row],[Available_h]],"")</f>
        <v/>
      </c>
    </row>
    <row r="1522">
      <c r="A1522" s="54" t="n"/>
      <c r="B1522" s="61" t="n"/>
      <c r="C1522" s="62" t="n"/>
      <c r="D1522" s="57" t="n"/>
      <c r="E1522" s="57" t="n"/>
      <c r="F1522" s="58" t="n"/>
      <c r="G1522" s="66">
        <f>IF(tblFleet[[#This Row],[Units]]="","",tblFleet[[#This Row],[Units]]*24)</f>
        <v/>
      </c>
      <c r="H1522" s="66">
        <f>IF(tblFleet[[#This Row],[Units]]="","",tblFleet[[#This Row],[Calendar_h]]-tblFleet[[#This Row],[Down_h]])</f>
        <v/>
      </c>
      <c r="I1522" s="60">
        <f>IF(AND(tblFleet[[#This Row],[Units]]&lt;&gt;"",tblFleet[[#This Row],[Calendar_h]]&gt;0),tblFleet[[#This Row],[Available_h]]/tblFleet[[#This Row],[Calendar_h]],"")</f>
        <v/>
      </c>
      <c r="J1522" s="60">
        <f>IF(AND(tblFleet[[#This Row],[Units]]&lt;&gt;"",tblFleet[[#This Row],[Available_h]]&gt;0),tblFleet[[#This Row],[Operating_h]]/tblFleet[[#This Row],[Available_h]],"")</f>
        <v/>
      </c>
    </row>
    <row r="1523">
      <c r="A1523" s="54" t="n"/>
      <c r="B1523" s="61" t="n"/>
      <c r="C1523" s="62" t="n"/>
      <c r="D1523" s="57" t="n"/>
      <c r="E1523" s="57" t="n"/>
      <c r="F1523" s="58" t="n"/>
      <c r="G1523" s="66">
        <f>IF(tblFleet[[#This Row],[Units]]="","",tblFleet[[#This Row],[Units]]*24)</f>
        <v/>
      </c>
      <c r="H1523" s="66">
        <f>IF(tblFleet[[#This Row],[Units]]="","",tblFleet[[#This Row],[Calendar_h]]-tblFleet[[#This Row],[Down_h]])</f>
        <v/>
      </c>
      <c r="I1523" s="60">
        <f>IF(AND(tblFleet[[#This Row],[Units]]&lt;&gt;"",tblFleet[[#This Row],[Calendar_h]]&gt;0),tblFleet[[#This Row],[Available_h]]/tblFleet[[#This Row],[Calendar_h]],"")</f>
        <v/>
      </c>
      <c r="J1523" s="60">
        <f>IF(AND(tblFleet[[#This Row],[Units]]&lt;&gt;"",tblFleet[[#This Row],[Available_h]]&gt;0),tblFleet[[#This Row],[Operating_h]]/tblFleet[[#This Row],[Available_h]],"")</f>
        <v/>
      </c>
    </row>
    <row r="1524">
      <c r="A1524" s="54" t="n"/>
      <c r="B1524" s="61" t="n"/>
      <c r="C1524" s="62" t="n"/>
      <c r="D1524" s="57" t="n"/>
      <c r="E1524" s="57" t="n"/>
      <c r="F1524" s="58" t="n"/>
      <c r="G1524" s="66">
        <f>IF(tblFleet[[#This Row],[Units]]="","",tblFleet[[#This Row],[Units]]*24)</f>
        <v/>
      </c>
      <c r="H1524" s="66">
        <f>IF(tblFleet[[#This Row],[Units]]="","",tblFleet[[#This Row],[Calendar_h]]-tblFleet[[#This Row],[Down_h]])</f>
        <v/>
      </c>
      <c r="I1524" s="60">
        <f>IF(AND(tblFleet[[#This Row],[Units]]&lt;&gt;"",tblFleet[[#This Row],[Calendar_h]]&gt;0),tblFleet[[#This Row],[Available_h]]/tblFleet[[#This Row],[Calendar_h]],"")</f>
        <v/>
      </c>
      <c r="J1524" s="60">
        <f>IF(AND(tblFleet[[#This Row],[Units]]&lt;&gt;"",tblFleet[[#This Row],[Available_h]]&gt;0),tblFleet[[#This Row],[Operating_h]]/tblFleet[[#This Row],[Available_h]],"")</f>
        <v/>
      </c>
    </row>
    <row r="1525">
      <c r="A1525" s="54" t="n"/>
      <c r="B1525" s="61" t="n"/>
      <c r="C1525" s="62" t="n"/>
      <c r="D1525" s="57" t="n"/>
      <c r="E1525" s="57" t="n"/>
      <c r="F1525" s="58" t="n"/>
      <c r="G1525" s="66">
        <f>IF(tblFleet[[#This Row],[Units]]="","",tblFleet[[#This Row],[Units]]*24)</f>
        <v/>
      </c>
      <c r="H1525" s="66">
        <f>IF(tblFleet[[#This Row],[Units]]="","",tblFleet[[#This Row],[Calendar_h]]-tblFleet[[#This Row],[Down_h]])</f>
        <v/>
      </c>
      <c r="I1525" s="60">
        <f>IF(AND(tblFleet[[#This Row],[Units]]&lt;&gt;"",tblFleet[[#This Row],[Calendar_h]]&gt;0),tblFleet[[#This Row],[Available_h]]/tblFleet[[#This Row],[Calendar_h]],"")</f>
        <v/>
      </c>
      <c r="J1525" s="60">
        <f>IF(AND(tblFleet[[#This Row],[Units]]&lt;&gt;"",tblFleet[[#This Row],[Available_h]]&gt;0),tblFleet[[#This Row],[Operating_h]]/tblFleet[[#This Row],[Available_h]],"")</f>
        <v/>
      </c>
    </row>
    <row r="1526">
      <c r="A1526" s="54" t="n"/>
      <c r="B1526" s="61" t="n"/>
      <c r="C1526" s="62" t="n"/>
      <c r="D1526" s="57" t="n"/>
      <c r="E1526" s="57" t="n"/>
      <c r="F1526" s="58" t="n"/>
      <c r="G1526" s="66">
        <f>IF(tblFleet[[#This Row],[Units]]="","",tblFleet[[#This Row],[Units]]*24)</f>
        <v/>
      </c>
      <c r="H1526" s="66">
        <f>IF(tblFleet[[#This Row],[Units]]="","",tblFleet[[#This Row],[Calendar_h]]-tblFleet[[#This Row],[Down_h]])</f>
        <v/>
      </c>
      <c r="I1526" s="60">
        <f>IF(AND(tblFleet[[#This Row],[Units]]&lt;&gt;"",tblFleet[[#This Row],[Calendar_h]]&gt;0),tblFleet[[#This Row],[Available_h]]/tblFleet[[#This Row],[Calendar_h]],"")</f>
        <v/>
      </c>
      <c r="J1526" s="60">
        <f>IF(AND(tblFleet[[#This Row],[Units]]&lt;&gt;"",tblFleet[[#This Row],[Available_h]]&gt;0),tblFleet[[#This Row],[Operating_h]]/tblFleet[[#This Row],[Available_h]],"")</f>
        <v/>
      </c>
    </row>
    <row r="1527">
      <c r="A1527" s="54" t="n"/>
      <c r="B1527" s="61" t="n"/>
      <c r="C1527" s="62" t="n"/>
      <c r="D1527" s="57" t="n"/>
      <c r="E1527" s="57" t="n"/>
      <c r="F1527" s="58" t="n"/>
      <c r="G1527" s="66">
        <f>IF(tblFleet[[#This Row],[Units]]="","",tblFleet[[#This Row],[Units]]*24)</f>
        <v/>
      </c>
      <c r="H1527" s="66">
        <f>IF(tblFleet[[#This Row],[Units]]="","",tblFleet[[#This Row],[Calendar_h]]-tblFleet[[#This Row],[Down_h]])</f>
        <v/>
      </c>
      <c r="I1527" s="60">
        <f>IF(AND(tblFleet[[#This Row],[Units]]&lt;&gt;"",tblFleet[[#This Row],[Calendar_h]]&gt;0),tblFleet[[#This Row],[Available_h]]/tblFleet[[#This Row],[Calendar_h]],"")</f>
        <v/>
      </c>
      <c r="J1527" s="60">
        <f>IF(AND(tblFleet[[#This Row],[Units]]&lt;&gt;"",tblFleet[[#This Row],[Available_h]]&gt;0),tblFleet[[#This Row],[Operating_h]]/tblFleet[[#This Row],[Available_h]],"")</f>
        <v/>
      </c>
    </row>
    <row r="1528">
      <c r="A1528" s="54" t="n"/>
      <c r="B1528" s="61" t="n"/>
      <c r="C1528" s="62" t="n"/>
      <c r="D1528" s="57" t="n"/>
      <c r="E1528" s="57" t="n"/>
      <c r="F1528" s="58" t="n"/>
      <c r="G1528" s="66">
        <f>IF(tblFleet[[#This Row],[Units]]="","",tblFleet[[#This Row],[Units]]*24)</f>
        <v/>
      </c>
      <c r="H1528" s="66">
        <f>IF(tblFleet[[#This Row],[Units]]="","",tblFleet[[#This Row],[Calendar_h]]-tblFleet[[#This Row],[Down_h]])</f>
        <v/>
      </c>
      <c r="I1528" s="60">
        <f>IF(AND(tblFleet[[#This Row],[Units]]&lt;&gt;"",tblFleet[[#This Row],[Calendar_h]]&gt;0),tblFleet[[#This Row],[Available_h]]/tblFleet[[#This Row],[Calendar_h]],"")</f>
        <v/>
      </c>
      <c r="J1528" s="60">
        <f>IF(AND(tblFleet[[#This Row],[Units]]&lt;&gt;"",tblFleet[[#This Row],[Available_h]]&gt;0),tblFleet[[#This Row],[Operating_h]]/tblFleet[[#This Row],[Available_h]],"")</f>
        <v/>
      </c>
    </row>
    <row r="1529">
      <c r="A1529" s="54" t="n"/>
      <c r="B1529" s="61" t="n"/>
      <c r="C1529" s="62" t="n"/>
      <c r="D1529" s="57" t="n"/>
      <c r="E1529" s="57" t="n"/>
      <c r="F1529" s="58" t="n"/>
      <c r="G1529" s="66">
        <f>IF(tblFleet[[#This Row],[Units]]="","",tblFleet[[#This Row],[Units]]*24)</f>
        <v/>
      </c>
      <c r="H1529" s="66">
        <f>IF(tblFleet[[#This Row],[Units]]="","",tblFleet[[#This Row],[Calendar_h]]-tblFleet[[#This Row],[Down_h]])</f>
        <v/>
      </c>
      <c r="I1529" s="60">
        <f>IF(AND(tblFleet[[#This Row],[Units]]&lt;&gt;"",tblFleet[[#This Row],[Calendar_h]]&gt;0),tblFleet[[#This Row],[Available_h]]/tblFleet[[#This Row],[Calendar_h]],"")</f>
        <v/>
      </c>
      <c r="J1529" s="60">
        <f>IF(AND(tblFleet[[#This Row],[Units]]&lt;&gt;"",tblFleet[[#This Row],[Available_h]]&gt;0),tblFleet[[#This Row],[Operating_h]]/tblFleet[[#This Row],[Available_h]],"")</f>
        <v/>
      </c>
    </row>
    <row r="1530">
      <c r="A1530" s="54" t="n"/>
      <c r="B1530" s="61" t="n"/>
      <c r="C1530" s="62" t="n"/>
      <c r="D1530" s="57" t="n"/>
      <c r="E1530" s="57" t="n"/>
      <c r="F1530" s="58" t="n"/>
      <c r="G1530" s="66">
        <f>IF(tblFleet[[#This Row],[Units]]="","",tblFleet[[#This Row],[Units]]*24)</f>
        <v/>
      </c>
      <c r="H1530" s="66">
        <f>IF(tblFleet[[#This Row],[Units]]="","",tblFleet[[#This Row],[Calendar_h]]-tblFleet[[#This Row],[Down_h]])</f>
        <v/>
      </c>
      <c r="I1530" s="60">
        <f>IF(AND(tblFleet[[#This Row],[Units]]&lt;&gt;"",tblFleet[[#This Row],[Calendar_h]]&gt;0),tblFleet[[#This Row],[Available_h]]/tblFleet[[#This Row],[Calendar_h]],"")</f>
        <v/>
      </c>
      <c r="J1530" s="60">
        <f>IF(AND(tblFleet[[#This Row],[Units]]&lt;&gt;"",tblFleet[[#This Row],[Available_h]]&gt;0),tblFleet[[#This Row],[Operating_h]]/tblFleet[[#This Row],[Available_h]],"")</f>
        <v/>
      </c>
    </row>
    <row r="1531">
      <c r="A1531" s="54" t="n"/>
      <c r="B1531" s="61" t="n"/>
      <c r="C1531" s="62" t="n"/>
      <c r="D1531" s="57" t="n"/>
      <c r="E1531" s="57" t="n"/>
      <c r="F1531" s="58" t="n"/>
      <c r="G1531" s="66">
        <f>IF(tblFleet[[#This Row],[Units]]="","",tblFleet[[#This Row],[Units]]*24)</f>
        <v/>
      </c>
      <c r="H1531" s="66">
        <f>IF(tblFleet[[#This Row],[Units]]="","",tblFleet[[#This Row],[Calendar_h]]-tblFleet[[#This Row],[Down_h]])</f>
        <v/>
      </c>
      <c r="I1531" s="60">
        <f>IF(AND(tblFleet[[#This Row],[Units]]&lt;&gt;"",tblFleet[[#This Row],[Calendar_h]]&gt;0),tblFleet[[#This Row],[Available_h]]/tblFleet[[#This Row],[Calendar_h]],"")</f>
        <v/>
      </c>
      <c r="J1531" s="60">
        <f>IF(AND(tblFleet[[#This Row],[Units]]&lt;&gt;"",tblFleet[[#This Row],[Available_h]]&gt;0),tblFleet[[#This Row],[Operating_h]]/tblFleet[[#This Row],[Available_h]],"")</f>
        <v/>
      </c>
    </row>
    <row r="1532">
      <c r="A1532" s="54" t="n"/>
      <c r="B1532" s="61" t="n"/>
      <c r="C1532" s="62" t="n"/>
      <c r="D1532" s="57" t="n"/>
      <c r="E1532" s="57" t="n"/>
      <c r="F1532" s="58" t="n"/>
      <c r="G1532" s="66">
        <f>IF(tblFleet[[#This Row],[Units]]="","",tblFleet[[#This Row],[Units]]*24)</f>
        <v/>
      </c>
      <c r="H1532" s="66">
        <f>IF(tblFleet[[#This Row],[Units]]="","",tblFleet[[#This Row],[Calendar_h]]-tblFleet[[#This Row],[Down_h]])</f>
        <v/>
      </c>
      <c r="I1532" s="60">
        <f>IF(AND(tblFleet[[#This Row],[Units]]&lt;&gt;"",tblFleet[[#This Row],[Calendar_h]]&gt;0),tblFleet[[#This Row],[Available_h]]/tblFleet[[#This Row],[Calendar_h]],"")</f>
        <v/>
      </c>
      <c r="J1532" s="60">
        <f>IF(AND(tblFleet[[#This Row],[Units]]&lt;&gt;"",tblFleet[[#This Row],[Available_h]]&gt;0),tblFleet[[#This Row],[Operating_h]]/tblFleet[[#This Row],[Available_h]],"")</f>
        <v/>
      </c>
    </row>
    <row r="1533">
      <c r="A1533" s="54" t="n"/>
      <c r="B1533" s="61" t="n"/>
      <c r="C1533" s="62" t="n"/>
      <c r="D1533" s="57" t="n"/>
      <c r="E1533" s="57" t="n"/>
      <c r="F1533" s="58" t="n"/>
      <c r="G1533" s="66">
        <f>IF(tblFleet[[#This Row],[Units]]="","",tblFleet[[#This Row],[Units]]*24)</f>
        <v/>
      </c>
      <c r="H1533" s="66">
        <f>IF(tblFleet[[#This Row],[Units]]="","",tblFleet[[#This Row],[Calendar_h]]-tblFleet[[#This Row],[Down_h]])</f>
        <v/>
      </c>
      <c r="I1533" s="60">
        <f>IF(AND(tblFleet[[#This Row],[Units]]&lt;&gt;"",tblFleet[[#This Row],[Calendar_h]]&gt;0),tblFleet[[#This Row],[Available_h]]/tblFleet[[#This Row],[Calendar_h]],"")</f>
        <v/>
      </c>
      <c r="J1533" s="60">
        <f>IF(AND(tblFleet[[#This Row],[Units]]&lt;&gt;"",tblFleet[[#This Row],[Available_h]]&gt;0),tblFleet[[#This Row],[Operating_h]]/tblFleet[[#This Row],[Available_h]],"")</f>
        <v/>
      </c>
    </row>
    <row r="1534">
      <c r="A1534" s="54" t="n"/>
      <c r="B1534" s="61" t="n"/>
      <c r="C1534" s="62" t="n"/>
      <c r="D1534" s="57" t="n"/>
      <c r="E1534" s="57" t="n"/>
      <c r="F1534" s="58" t="n"/>
      <c r="G1534" s="66">
        <f>IF(tblFleet[[#This Row],[Units]]="","",tblFleet[[#This Row],[Units]]*24)</f>
        <v/>
      </c>
      <c r="H1534" s="66">
        <f>IF(tblFleet[[#This Row],[Units]]="","",tblFleet[[#This Row],[Calendar_h]]-tblFleet[[#This Row],[Down_h]])</f>
        <v/>
      </c>
      <c r="I1534" s="60">
        <f>IF(AND(tblFleet[[#This Row],[Units]]&lt;&gt;"",tblFleet[[#This Row],[Calendar_h]]&gt;0),tblFleet[[#This Row],[Available_h]]/tblFleet[[#This Row],[Calendar_h]],"")</f>
        <v/>
      </c>
      <c r="J1534" s="60">
        <f>IF(AND(tblFleet[[#This Row],[Units]]&lt;&gt;"",tblFleet[[#This Row],[Available_h]]&gt;0),tblFleet[[#This Row],[Operating_h]]/tblFleet[[#This Row],[Available_h]],"")</f>
        <v/>
      </c>
    </row>
    <row r="1535">
      <c r="A1535" s="54" t="n"/>
      <c r="B1535" s="61" t="n"/>
      <c r="C1535" s="62" t="n"/>
      <c r="D1535" s="57" t="n"/>
      <c r="E1535" s="57" t="n"/>
      <c r="F1535" s="58" t="n"/>
      <c r="G1535" s="66">
        <f>IF(tblFleet[[#This Row],[Units]]="","",tblFleet[[#This Row],[Units]]*24)</f>
        <v/>
      </c>
      <c r="H1535" s="66">
        <f>IF(tblFleet[[#This Row],[Units]]="","",tblFleet[[#This Row],[Calendar_h]]-tblFleet[[#This Row],[Down_h]])</f>
        <v/>
      </c>
      <c r="I1535" s="60">
        <f>IF(AND(tblFleet[[#This Row],[Units]]&lt;&gt;"",tblFleet[[#This Row],[Calendar_h]]&gt;0),tblFleet[[#This Row],[Available_h]]/tblFleet[[#This Row],[Calendar_h]],"")</f>
        <v/>
      </c>
      <c r="J1535" s="60">
        <f>IF(AND(tblFleet[[#This Row],[Units]]&lt;&gt;"",tblFleet[[#This Row],[Available_h]]&gt;0),tblFleet[[#This Row],[Operating_h]]/tblFleet[[#This Row],[Available_h]],"")</f>
        <v/>
      </c>
    </row>
    <row r="1536">
      <c r="A1536" s="54" t="n"/>
      <c r="B1536" s="61" t="n"/>
      <c r="C1536" s="62" t="n"/>
      <c r="D1536" s="57" t="n"/>
      <c r="E1536" s="57" t="n"/>
      <c r="F1536" s="58" t="n"/>
      <c r="G1536" s="66">
        <f>IF(tblFleet[[#This Row],[Units]]="","",tblFleet[[#This Row],[Units]]*24)</f>
        <v/>
      </c>
      <c r="H1536" s="66">
        <f>IF(tblFleet[[#This Row],[Units]]="","",tblFleet[[#This Row],[Calendar_h]]-tblFleet[[#This Row],[Down_h]])</f>
        <v/>
      </c>
      <c r="I1536" s="60">
        <f>IF(AND(tblFleet[[#This Row],[Units]]&lt;&gt;"",tblFleet[[#This Row],[Calendar_h]]&gt;0),tblFleet[[#This Row],[Available_h]]/tblFleet[[#This Row],[Calendar_h]],"")</f>
        <v/>
      </c>
      <c r="J1536" s="60">
        <f>IF(AND(tblFleet[[#This Row],[Units]]&lt;&gt;"",tblFleet[[#This Row],[Available_h]]&gt;0),tblFleet[[#This Row],[Operating_h]]/tblFleet[[#This Row],[Available_h]],"")</f>
        <v/>
      </c>
    </row>
    <row r="1537">
      <c r="A1537" s="54" t="n"/>
      <c r="B1537" s="61" t="n"/>
      <c r="C1537" s="62" t="n"/>
      <c r="D1537" s="57" t="n"/>
      <c r="E1537" s="57" t="n"/>
      <c r="F1537" s="58" t="n"/>
      <c r="G1537" s="66">
        <f>IF(tblFleet[[#This Row],[Units]]="","",tblFleet[[#This Row],[Units]]*24)</f>
        <v/>
      </c>
      <c r="H1537" s="66">
        <f>IF(tblFleet[[#This Row],[Units]]="","",tblFleet[[#This Row],[Calendar_h]]-tblFleet[[#This Row],[Down_h]])</f>
        <v/>
      </c>
      <c r="I1537" s="60">
        <f>IF(AND(tblFleet[[#This Row],[Units]]&lt;&gt;"",tblFleet[[#This Row],[Calendar_h]]&gt;0),tblFleet[[#This Row],[Available_h]]/tblFleet[[#This Row],[Calendar_h]],"")</f>
        <v/>
      </c>
      <c r="J1537" s="60">
        <f>IF(AND(tblFleet[[#This Row],[Units]]&lt;&gt;"",tblFleet[[#This Row],[Available_h]]&gt;0),tblFleet[[#This Row],[Operating_h]]/tblFleet[[#This Row],[Available_h]],"")</f>
        <v/>
      </c>
    </row>
    <row r="1538">
      <c r="A1538" s="54" t="n"/>
      <c r="B1538" s="61" t="n"/>
      <c r="C1538" s="62" t="n"/>
      <c r="D1538" s="57" t="n"/>
      <c r="E1538" s="57" t="n"/>
      <c r="F1538" s="58" t="n"/>
      <c r="G1538" s="66">
        <f>IF(tblFleet[[#This Row],[Units]]="","",tblFleet[[#This Row],[Units]]*24)</f>
        <v/>
      </c>
      <c r="H1538" s="66">
        <f>IF(tblFleet[[#This Row],[Units]]="","",tblFleet[[#This Row],[Calendar_h]]-tblFleet[[#This Row],[Down_h]])</f>
        <v/>
      </c>
      <c r="I1538" s="60">
        <f>IF(AND(tblFleet[[#This Row],[Units]]&lt;&gt;"",tblFleet[[#This Row],[Calendar_h]]&gt;0),tblFleet[[#This Row],[Available_h]]/tblFleet[[#This Row],[Calendar_h]],"")</f>
        <v/>
      </c>
      <c r="J1538" s="60">
        <f>IF(AND(tblFleet[[#This Row],[Units]]&lt;&gt;"",tblFleet[[#This Row],[Available_h]]&gt;0),tblFleet[[#This Row],[Operating_h]]/tblFleet[[#This Row],[Available_h]],"")</f>
        <v/>
      </c>
    </row>
    <row r="1539">
      <c r="A1539" s="54" t="n"/>
      <c r="B1539" s="61" t="n"/>
      <c r="C1539" s="62" t="n"/>
      <c r="D1539" s="57" t="n"/>
      <c r="E1539" s="57" t="n"/>
      <c r="F1539" s="58" t="n"/>
      <c r="G1539" s="66">
        <f>IF(tblFleet[[#This Row],[Units]]="","",tblFleet[[#This Row],[Units]]*24)</f>
        <v/>
      </c>
      <c r="H1539" s="66">
        <f>IF(tblFleet[[#This Row],[Units]]="","",tblFleet[[#This Row],[Calendar_h]]-tblFleet[[#This Row],[Down_h]])</f>
        <v/>
      </c>
      <c r="I1539" s="60">
        <f>IF(AND(tblFleet[[#This Row],[Units]]&lt;&gt;"",tblFleet[[#This Row],[Calendar_h]]&gt;0),tblFleet[[#This Row],[Available_h]]/tblFleet[[#This Row],[Calendar_h]],"")</f>
        <v/>
      </c>
      <c r="J1539" s="60">
        <f>IF(AND(tblFleet[[#This Row],[Units]]&lt;&gt;"",tblFleet[[#This Row],[Available_h]]&gt;0),tblFleet[[#This Row],[Operating_h]]/tblFleet[[#This Row],[Available_h]],"")</f>
        <v/>
      </c>
    </row>
    <row r="1540">
      <c r="A1540" s="54" t="n"/>
      <c r="B1540" s="61" t="n"/>
      <c r="C1540" s="62" t="n"/>
      <c r="D1540" s="57" t="n"/>
      <c r="E1540" s="57" t="n"/>
      <c r="F1540" s="58" t="n"/>
      <c r="G1540" s="66">
        <f>IF(tblFleet[[#This Row],[Units]]="","",tblFleet[[#This Row],[Units]]*24)</f>
        <v/>
      </c>
      <c r="H1540" s="66">
        <f>IF(tblFleet[[#This Row],[Units]]="","",tblFleet[[#This Row],[Calendar_h]]-tblFleet[[#This Row],[Down_h]])</f>
        <v/>
      </c>
      <c r="I1540" s="60">
        <f>IF(AND(tblFleet[[#This Row],[Units]]&lt;&gt;"",tblFleet[[#This Row],[Calendar_h]]&gt;0),tblFleet[[#This Row],[Available_h]]/tblFleet[[#This Row],[Calendar_h]],"")</f>
        <v/>
      </c>
      <c r="J1540" s="60">
        <f>IF(AND(tblFleet[[#This Row],[Units]]&lt;&gt;"",tblFleet[[#This Row],[Available_h]]&gt;0),tblFleet[[#This Row],[Operating_h]]/tblFleet[[#This Row],[Available_h]],"")</f>
        <v/>
      </c>
    </row>
    <row r="1541">
      <c r="A1541" s="54" t="n"/>
      <c r="B1541" s="61" t="n"/>
      <c r="C1541" s="62" t="n"/>
      <c r="D1541" s="57" t="n"/>
      <c r="E1541" s="57" t="n"/>
      <c r="F1541" s="58" t="n"/>
      <c r="G1541" s="66">
        <f>IF(tblFleet[[#This Row],[Units]]="","",tblFleet[[#This Row],[Units]]*24)</f>
        <v/>
      </c>
      <c r="H1541" s="66">
        <f>IF(tblFleet[[#This Row],[Units]]="","",tblFleet[[#This Row],[Calendar_h]]-tblFleet[[#This Row],[Down_h]])</f>
        <v/>
      </c>
      <c r="I1541" s="60">
        <f>IF(AND(tblFleet[[#This Row],[Units]]&lt;&gt;"",tblFleet[[#This Row],[Calendar_h]]&gt;0),tblFleet[[#This Row],[Available_h]]/tblFleet[[#This Row],[Calendar_h]],"")</f>
        <v/>
      </c>
      <c r="J1541" s="60">
        <f>IF(AND(tblFleet[[#This Row],[Units]]&lt;&gt;"",tblFleet[[#This Row],[Available_h]]&gt;0),tblFleet[[#This Row],[Operating_h]]/tblFleet[[#This Row],[Available_h]],"")</f>
        <v/>
      </c>
    </row>
    <row r="1542">
      <c r="A1542" s="54" t="n"/>
      <c r="B1542" s="61" t="n"/>
      <c r="C1542" s="62" t="n"/>
      <c r="D1542" s="57" t="n"/>
      <c r="E1542" s="57" t="n"/>
      <c r="F1542" s="58" t="n"/>
      <c r="G1542" s="66">
        <f>IF(tblFleet[[#This Row],[Units]]="","",tblFleet[[#This Row],[Units]]*24)</f>
        <v/>
      </c>
      <c r="H1542" s="66">
        <f>IF(tblFleet[[#This Row],[Units]]="","",tblFleet[[#This Row],[Calendar_h]]-tblFleet[[#This Row],[Down_h]])</f>
        <v/>
      </c>
      <c r="I1542" s="60">
        <f>IF(AND(tblFleet[[#This Row],[Units]]&lt;&gt;"",tblFleet[[#This Row],[Calendar_h]]&gt;0),tblFleet[[#This Row],[Available_h]]/tblFleet[[#This Row],[Calendar_h]],"")</f>
        <v/>
      </c>
      <c r="J1542" s="60">
        <f>IF(AND(tblFleet[[#This Row],[Units]]&lt;&gt;"",tblFleet[[#This Row],[Available_h]]&gt;0),tblFleet[[#This Row],[Operating_h]]/tblFleet[[#This Row],[Available_h]],"")</f>
        <v/>
      </c>
    </row>
    <row r="1543">
      <c r="A1543" s="54" t="n"/>
      <c r="B1543" s="61" t="n"/>
      <c r="C1543" s="62" t="n"/>
      <c r="D1543" s="57" t="n"/>
      <c r="E1543" s="57" t="n"/>
      <c r="F1543" s="58" t="n"/>
      <c r="G1543" s="66">
        <f>IF(tblFleet[[#This Row],[Units]]="","",tblFleet[[#This Row],[Units]]*24)</f>
        <v/>
      </c>
      <c r="H1543" s="66">
        <f>IF(tblFleet[[#This Row],[Units]]="","",tblFleet[[#This Row],[Calendar_h]]-tblFleet[[#This Row],[Down_h]])</f>
        <v/>
      </c>
      <c r="I1543" s="60">
        <f>IF(AND(tblFleet[[#This Row],[Units]]&lt;&gt;"",tblFleet[[#This Row],[Calendar_h]]&gt;0),tblFleet[[#This Row],[Available_h]]/tblFleet[[#This Row],[Calendar_h]],"")</f>
        <v/>
      </c>
      <c r="J1543" s="60">
        <f>IF(AND(tblFleet[[#This Row],[Units]]&lt;&gt;"",tblFleet[[#This Row],[Available_h]]&gt;0),tblFleet[[#This Row],[Operating_h]]/tblFleet[[#This Row],[Available_h]],"")</f>
        <v/>
      </c>
    </row>
    <row r="1544">
      <c r="A1544" s="54" t="n"/>
      <c r="B1544" s="61" t="n"/>
      <c r="C1544" s="62" t="n"/>
      <c r="D1544" s="57" t="n"/>
      <c r="E1544" s="57" t="n"/>
      <c r="F1544" s="58" t="n"/>
      <c r="G1544" s="66">
        <f>IF(tblFleet[[#This Row],[Units]]="","",tblFleet[[#This Row],[Units]]*24)</f>
        <v/>
      </c>
      <c r="H1544" s="66">
        <f>IF(tblFleet[[#This Row],[Units]]="","",tblFleet[[#This Row],[Calendar_h]]-tblFleet[[#This Row],[Down_h]])</f>
        <v/>
      </c>
      <c r="I1544" s="60">
        <f>IF(AND(tblFleet[[#This Row],[Units]]&lt;&gt;"",tblFleet[[#This Row],[Calendar_h]]&gt;0),tblFleet[[#This Row],[Available_h]]/tblFleet[[#This Row],[Calendar_h]],"")</f>
        <v/>
      </c>
      <c r="J1544" s="60">
        <f>IF(AND(tblFleet[[#This Row],[Units]]&lt;&gt;"",tblFleet[[#This Row],[Available_h]]&gt;0),tblFleet[[#This Row],[Operating_h]]/tblFleet[[#This Row],[Available_h]],"")</f>
        <v/>
      </c>
    </row>
    <row r="1545">
      <c r="A1545" s="54" t="n"/>
      <c r="B1545" s="61" t="n"/>
      <c r="C1545" s="62" t="n"/>
      <c r="D1545" s="57" t="n"/>
      <c r="E1545" s="57" t="n"/>
      <c r="F1545" s="58" t="n"/>
      <c r="G1545" s="66">
        <f>IF(tblFleet[[#This Row],[Units]]="","",tblFleet[[#This Row],[Units]]*24)</f>
        <v/>
      </c>
      <c r="H1545" s="66">
        <f>IF(tblFleet[[#This Row],[Units]]="","",tblFleet[[#This Row],[Calendar_h]]-tblFleet[[#This Row],[Down_h]])</f>
        <v/>
      </c>
      <c r="I1545" s="60">
        <f>IF(AND(tblFleet[[#This Row],[Units]]&lt;&gt;"",tblFleet[[#This Row],[Calendar_h]]&gt;0),tblFleet[[#This Row],[Available_h]]/tblFleet[[#This Row],[Calendar_h]],"")</f>
        <v/>
      </c>
      <c r="J1545" s="60">
        <f>IF(AND(tblFleet[[#This Row],[Units]]&lt;&gt;"",tblFleet[[#This Row],[Available_h]]&gt;0),tblFleet[[#This Row],[Operating_h]]/tblFleet[[#This Row],[Available_h]],"")</f>
        <v/>
      </c>
    </row>
    <row r="1546">
      <c r="A1546" s="54" t="n"/>
      <c r="B1546" s="61" t="n"/>
      <c r="C1546" s="62" t="n"/>
      <c r="D1546" s="57" t="n"/>
      <c r="E1546" s="57" t="n"/>
      <c r="F1546" s="58" t="n"/>
      <c r="G1546" s="66">
        <f>IF(tblFleet[[#This Row],[Units]]="","",tblFleet[[#This Row],[Units]]*24)</f>
        <v/>
      </c>
      <c r="H1546" s="66">
        <f>IF(tblFleet[[#This Row],[Units]]="","",tblFleet[[#This Row],[Calendar_h]]-tblFleet[[#This Row],[Down_h]])</f>
        <v/>
      </c>
      <c r="I1546" s="60">
        <f>IF(AND(tblFleet[[#This Row],[Units]]&lt;&gt;"",tblFleet[[#This Row],[Calendar_h]]&gt;0),tblFleet[[#This Row],[Available_h]]/tblFleet[[#This Row],[Calendar_h]],"")</f>
        <v/>
      </c>
      <c r="J1546" s="60">
        <f>IF(AND(tblFleet[[#This Row],[Units]]&lt;&gt;"",tblFleet[[#This Row],[Available_h]]&gt;0),tblFleet[[#This Row],[Operating_h]]/tblFleet[[#This Row],[Available_h]],"")</f>
        <v/>
      </c>
    </row>
    <row r="1547">
      <c r="A1547" s="54" t="n"/>
      <c r="B1547" s="61" t="n"/>
      <c r="C1547" s="62" t="n"/>
      <c r="D1547" s="57" t="n"/>
      <c r="E1547" s="57" t="n"/>
      <c r="F1547" s="58" t="n"/>
      <c r="G1547" s="66">
        <f>IF(tblFleet[[#This Row],[Units]]="","",tblFleet[[#This Row],[Units]]*24)</f>
        <v/>
      </c>
      <c r="H1547" s="66">
        <f>IF(tblFleet[[#This Row],[Units]]="","",tblFleet[[#This Row],[Calendar_h]]-tblFleet[[#This Row],[Down_h]])</f>
        <v/>
      </c>
      <c r="I1547" s="60">
        <f>IF(AND(tblFleet[[#This Row],[Units]]&lt;&gt;"",tblFleet[[#This Row],[Calendar_h]]&gt;0),tblFleet[[#This Row],[Available_h]]/tblFleet[[#This Row],[Calendar_h]],"")</f>
        <v/>
      </c>
      <c r="J1547" s="60">
        <f>IF(AND(tblFleet[[#This Row],[Units]]&lt;&gt;"",tblFleet[[#This Row],[Available_h]]&gt;0),tblFleet[[#This Row],[Operating_h]]/tblFleet[[#This Row],[Available_h]],"")</f>
        <v/>
      </c>
    </row>
    <row r="1548">
      <c r="A1548" s="54" t="n"/>
      <c r="B1548" s="61" t="n"/>
      <c r="C1548" s="62" t="n"/>
      <c r="D1548" s="57" t="n"/>
      <c r="E1548" s="57" t="n"/>
      <c r="F1548" s="58" t="n"/>
      <c r="G1548" s="66">
        <f>IF(tblFleet[[#This Row],[Units]]="","",tblFleet[[#This Row],[Units]]*24)</f>
        <v/>
      </c>
      <c r="H1548" s="66">
        <f>IF(tblFleet[[#This Row],[Units]]="","",tblFleet[[#This Row],[Calendar_h]]-tblFleet[[#This Row],[Down_h]])</f>
        <v/>
      </c>
      <c r="I1548" s="60">
        <f>IF(AND(tblFleet[[#This Row],[Units]]&lt;&gt;"",tblFleet[[#This Row],[Calendar_h]]&gt;0),tblFleet[[#This Row],[Available_h]]/tblFleet[[#This Row],[Calendar_h]],"")</f>
        <v/>
      </c>
      <c r="J1548" s="60">
        <f>IF(AND(tblFleet[[#This Row],[Units]]&lt;&gt;"",tblFleet[[#This Row],[Available_h]]&gt;0),tblFleet[[#This Row],[Operating_h]]/tblFleet[[#This Row],[Available_h]],"")</f>
        <v/>
      </c>
    </row>
    <row r="1549">
      <c r="A1549" s="54" t="n"/>
      <c r="B1549" s="61" t="n"/>
      <c r="C1549" s="62" t="n"/>
      <c r="D1549" s="57" t="n"/>
      <c r="E1549" s="57" t="n"/>
      <c r="F1549" s="58" t="n"/>
      <c r="G1549" s="66">
        <f>IF(tblFleet[[#This Row],[Units]]="","",tblFleet[[#This Row],[Units]]*24)</f>
        <v/>
      </c>
      <c r="H1549" s="66">
        <f>IF(tblFleet[[#This Row],[Units]]="","",tblFleet[[#This Row],[Calendar_h]]-tblFleet[[#This Row],[Down_h]])</f>
        <v/>
      </c>
      <c r="I1549" s="60">
        <f>IF(AND(tblFleet[[#This Row],[Units]]&lt;&gt;"",tblFleet[[#This Row],[Calendar_h]]&gt;0),tblFleet[[#This Row],[Available_h]]/tblFleet[[#This Row],[Calendar_h]],"")</f>
        <v/>
      </c>
      <c r="J1549" s="60">
        <f>IF(AND(tblFleet[[#This Row],[Units]]&lt;&gt;"",tblFleet[[#This Row],[Available_h]]&gt;0),tblFleet[[#This Row],[Operating_h]]/tblFleet[[#This Row],[Available_h]],"")</f>
        <v/>
      </c>
    </row>
    <row r="1550">
      <c r="A1550" s="54" t="n"/>
      <c r="B1550" s="61" t="n"/>
      <c r="C1550" s="62" t="n"/>
      <c r="D1550" s="57" t="n"/>
      <c r="E1550" s="57" t="n"/>
      <c r="F1550" s="58" t="n"/>
      <c r="G1550" s="66">
        <f>IF(tblFleet[[#This Row],[Units]]="","",tblFleet[[#This Row],[Units]]*24)</f>
        <v/>
      </c>
      <c r="H1550" s="66">
        <f>IF(tblFleet[[#This Row],[Units]]="","",tblFleet[[#This Row],[Calendar_h]]-tblFleet[[#This Row],[Down_h]])</f>
        <v/>
      </c>
      <c r="I1550" s="60">
        <f>IF(AND(tblFleet[[#This Row],[Units]]&lt;&gt;"",tblFleet[[#This Row],[Calendar_h]]&gt;0),tblFleet[[#This Row],[Available_h]]/tblFleet[[#This Row],[Calendar_h]],"")</f>
        <v/>
      </c>
      <c r="J1550" s="60">
        <f>IF(AND(tblFleet[[#This Row],[Units]]&lt;&gt;"",tblFleet[[#This Row],[Available_h]]&gt;0),tblFleet[[#This Row],[Operating_h]]/tblFleet[[#This Row],[Available_h]],"")</f>
        <v/>
      </c>
    </row>
    <row r="1551">
      <c r="A1551" s="54" t="n"/>
      <c r="B1551" s="61" t="n"/>
      <c r="C1551" s="62" t="n"/>
      <c r="D1551" s="57" t="n"/>
      <c r="E1551" s="57" t="n"/>
      <c r="F1551" s="58" t="n"/>
      <c r="G1551" s="66">
        <f>IF(tblFleet[[#This Row],[Units]]="","",tblFleet[[#This Row],[Units]]*24)</f>
        <v/>
      </c>
      <c r="H1551" s="66">
        <f>IF(tblFleet[[#This Row],[Units]]="","",tblFleet[[#This Row],[Calendar_h]]-tblFleet[[#This Row],[Down_h]])</f>
        <v/>
      </c>
      <c r="I1551" s="60">
        <f>IF(AND(tblFleet[[#This Row],[Units]]&lt;&gt;"",tblFleet[[#This Row],[Calendar_h]]&gt;0),tblFleet[[#This Row],[Available_h]]/tblFleet[[#This Row],[Calendar_h]],"")</f>
        <v/>
      </c>
      <c r="J1551" s="60">
        <f>IF(AND(tblFleet[[#This Row],[Units]]&lt;&gt;"",tblFleet[[#This Row],[Available_h]]&gt;0),tblFleet[[#This Row],[Operating_h]]/tblFleet[[#This Row],[Available_h]],"")</f>
        <v/>
      </c>
    </row>
    <row r="1552">
      <c r="A1552" s="54" t="n"/>
      <c r="B1552" s="61" t="n"/>
      <c r="C1552" s="62" t="n"/>
      <c r="D1552" s="57" t="n"/>
      <c r="E1552" s="57" t="n"/>
      <c r="F1552" s="58" t="n"/>
      <c r="G1552" s="66">
        <f>IF(tblFleet[[#This Row],[Units]]="","",tblFleet[[#This Row],[Units]]*24)</f>
        <v/>
      </c>
      <c r="H1552" s="66">
        <f>IF(tblFleet[[#This Row],[Units]]="","",tblFleet[[#This Row],[Calendar_h]]-tblFleet[[#This Row],[Down_h]])</f>
        <v/>
      </c>
      <c r="I1552" s="60">
        <f>IF(AND(tblFleet[[#This Row],[Units]]&lt;&gt;"",tblFleet[[#This Row],[Calendar_h]]&gt;0),tblFleet[[#This Row],[Available_h]]/tblFleet[[#This Row],[Calendar_h]],"")</f>
        <v/>
      </c>
      <c r="J1552" s="60">
        <f>IF(AND(tblFleet[[#This Row],[Units]]&lt;&gt;"",tblFleet[[#This Row],[Available_h]]&gt;0),tblFleet[[#This Row],[Operating_h]]/tblFleet[[#This Row],[Available_h]],"")</f>
        <v/>
      </c>
    </row>
    <row r="1553">
      <c r="A1553" s="54" t="n"/>
      <c r="B1553" s="61" t="n"/>
      <c r="C1553" s="62" t="n"/>
      <c r="D1553" s="57" t="n"/>
      <c r="E1553" s="57" t="n"/>
      <c r="F1553" s="58" t="n"/>
      <c r="G1553" s="66">
        <f>IF(tblFleet[[#This Row],[Units]]="","",tblFleet[[#This Row],[Units]]*24)</f>
        <v/>
      </c>
      <c r="H1553" s="66">
        <f>IF(tblFleet[[#This Row],[Units]]="","",tblFleet[[#This Row],[Calendar_h]]-tblFleet[[#This Row],[Down_h]])</f>
        <v/>
      </c>
      <c r="I1553" s="60">
        <f>IF(AND(tblFleet[[#This Row],[Units]]&lt;&gt;"",tblFleet[[#This Row],[Calendar_h]]&gt;0),tblFleet[[#This Row],[Available_h]]/tblFleet[[#This Row],[Calendar_h]],"")</f>
        <v/>
      </c>
      <c r="J1553" s="60">
        <f>IF(AND(tblFleet[[#This Row],[Units]]&lt;&gt;"",tblFleet[[#This Row],[Available_h]]&gt;0),tblFleet[[#This Row],[Operating_h]]/tblFleet[[#This Row],[Available_h]],"")</f>
        <v/>
      </c>
    </row>
    <row r="1554">
      <c r="A1554" s="54" t="n"/>
      <c r="B1554" s="61" t="n"/>
      <c r="C1554" s="62" t="n"/>
      <c r="D1554" s="57" t="n"/>
      <c r="E1554" s="57" t="n"/>
      <c r="F1554" s="58" t="n"/>
      <c r="G1554" s="66">
        <f>IF(tblFleet[[#This Row],[Units]]="","",tblFleet[[#This Row],[Units]]*24)</f>
        <v/>
      </c>
      <c r="H1554" s="66">
        <f>IF(tblFleet[[#This Row],[Units]]="","",tblFleet[[#This Row],[Calendar_h]]-tblFleet[[#This Row],[Down_h]])</f>
        <v/>
      </c>
      <c r="I1554" s="60">
        <f>IF(AND(tblFleet[[#This Row],[Units]]&lt;&gt;"",tblFleet[[#This Row],[Calendar_h]]&gt;0),tblFleet[[#This Row],[Available_h]]/tblFleet[[#This Row],[Calendar_h]],"")</f>
        <v/>
      </c>
      <c r="J1554" s="60">
        <f>IF(AND(tblFleet[[#This Row],[Units]]&lt;&gt;"",tblFleet[[#This Row],[Available_h]]&gt;0),tblFleet[[#This Row],[Operating_h]]/tblFleet[[#This Row],[Available_h]],"")</f>
        <v/>
      </c>
    </row>
    <row r="1555">
      <c r="A1555" s="54" t="n"/>
      <c r="B1555" s="61" t="n"/>
      <c r="C1555" s="62" t="n"/>
      <c r="D1555" s="57" t="n"/>
      <c r="E1555" s="57" t="n"/>
      <c r="F1555" s="58" t="n"/>
      <c r="G1555" s="66">
        <f>IF(tblFleet[[#This Row],[Units]]="","",tblFleet[[#This Row],[Units]]*24)</f>
        <v/>
      </c>
      <c r="H1555" s="66">
        <f>IF(tblFleet[[#This Row],[Units]]="","",tblFleet[[#This Row],[Calendar_h]]-tblFleet[[#This Row],[Down_h]])</f>
        <v/>
      </c>
      <c r="I1555" s="60">
        <f>IF(AND(tblFleet[[#This Row],[Units]]&lt;&gt;"",tblFleet[[#This Row],[Calendar_h]]&gt;0),tblFleet[[#This Row],[Available_h]]/tblFleet[[#This Row],[Calendar_h]],"")</f>
        <v/>
      </c>
      <c r="J1555" s="60">
        <f>IF(AND(tblFleet[[#This Row],[Units]]&lt;&gt;"",tblFleet[[#This Row],[Available_h]]&gt;0),tblFleet[[#This Row],[Operating_h]]/tblFleet[[#This Row],[Available_h]],"")</f>
        <v/>
      </c>
    </row>
    <row r="1556">
      <c r="A1556" s="54" t="n"/>
      <c r="B1556" s="61" t="n"/>
      <c r="C1556" s="62" t="n"/>
      <c r="D1556" s="57" t="n"/>
      <c r="E1556" s="57" t="n"/>
      <c r="F1556" s="58" t="n"/>
      <c r="G1556" s="66">
        <f>IF(tblFleet[[#This Row],[Units]]="","",tblFleet[[#This Row],[Units]]*24)</f>
        <v/>
      </c>
      <c r="H1556" s="66">
        <f>IF(tblFleet[[#This Row],[Units]]="","",tblFleet[[#This Row],[Calendar_h]]-tblFleet[[#This Row],[Down_h]])</f>
        <v/>
      </c>
      <c r="I1556" s="60">
        <f>IF(AND(tblFleet[[#This Row],[Units]]&lt;&gt;"",tblFleet[[#This Row],[Calendar_h]]&gt;0),tblFleet[[#This Row],[Available_h]]/tblFleet[[#This Row],[Calendar_h]],"")</f>
        <v/>
      </c>
      <c r="J1556" s="60">
        <f>IF(AND(tblFleet[[#This Row],[Units]]&lt;&gt;"",tblFleet[[#This Row],[Available_h]]&gt;0),tblFleet[[#This Row],[Operating_h]]/tblFleet[[#This Row],[Available_h]],"")</f>
        <v/>
      </c>
    </row>
    <row r="1557">
      <c r="A1557" s="54" t="n"/>
      <c r="B1557" s="61" t="n"/>
      <c r="C1557" s="62" t="n"/>
      <c r="D1557" s="57" t="n"/>
      <c r="E1557" s="57" t="n"/>
      <c r="F1557" s="58" t="n"/>
      <c r="G1557" s="66">
        <f>IF(tblFleet[[#This Row],[Units]]="","",tblFleet[[#This Row],[Units]]*24)</f>
        <v/>
      </c>
      <c r="H1557" s="66">
        <f>IF(tblFleet[[#This Row],[Units]]="","",tblFleet[[#This Row],[Calendar_h]]-tblFleet[[#This Row],[Down_h]])</f>
        <v/>
      </c>
      <c r="I1557" s="60">
        <f>IF(AND(tblFleet[[#This Row],[Units]]&lt;&gt;"",tblFleet[[#This Row],[Calendar_h]]&gt;0),tblFleet[[#This Row],[Available_h]]/tblFleet[[#This Row],[Calendar_h]],"")</f>
        <v/>
      </c>
      <c r="J1557" s="60">
        <f>IF(AND(tblFleet[[#This Row],[Units]]&lt;&gt;"",tblFleet[[#This Row],[Available_h]]&gt;0),tblFleet[[#This Row],[Operating_h]]/tblFleet[[#This Row],[Available_h]],"")</f>
        <v/>
      </c>
    </row>
    <row r="1558">
      <c r="A1558" s="54" t="n"/>
      <c r="B1558" s="61" t="n"/>
      <c r="C1558" s="62" t="n"/>
      <c r="D1558" s="57" t="n"/>
      <c r="E1558" s="57" t="n"/>
      <c r="F1558" s="58" t="n"/>
      <c r="G1558" s="66">
        <f>IF(tblFleet[[#This Row],[Units]]="","",tblFleet[[#This Row],[Units]]*24)</f>
        <v/>
      </c>
      <c r="H1558" s="66">
        <f>IF(tblFleet[[#This Row],[Units]]="","",tblFleet[[#This Row],[Calendar_h]]-tblFleet[[#This Row],[Down_h]])</f>
        <v/>
      </c>
      <c r="I1558" s="60">
        <f>IF(AND(tblFleet[[#This Row],[Units]]&lt;&gt;"",tblFleet[[#This Row],[Calendar_h]]&gt;0),tblFleet[[#This Row],[Available_h]]/tblFleet[[#This Row],[Calendar_h]],"")</f>
        <v/>
      </c>
      <c r="J1558" s="60">
        <f>IF(AND(tblFleet[[#This Row],[Units]]&lt;&gt;"",tblFleet[[#This Row],[Available_h]]&gt;0),tblFleet[[#This Row],[Operating_h]]/tblFleet[[#This Row],[Available_h]],"")</f>
        <v/>
      </c>
    </row>
    <row r="1559">
      <c r="A1559" s="54" t="n"/>
      <c r="B1559" s="61" t="n"/>
      <c r="C1559" s="62" t="n"/>
      <c r="D1559" s="57" t="n"/>
      <c r="E1559" s="57" t="n"/>
      <c r="F1559" s="58" t="n"/>
      <c r="G1559" s="66">
        <f>IF(tblFleet[[#This Row],[Units]]="","",tblFleet[[#This Row],[Units]]*24)</f>
        <v/>
      </c>
      <c r="H1559" s="66">
        <f>IF(tblFleet[[#This Row],[Units]]="","",tblFleet[[#This Row],[Calendar_h]]-tblFleet[[#This Row],[Down_h]])</f>
        <v/>
      </c>
      <c r="I1559" s="60">
        <f>IF(AND(tblFleet[[#This Row],[Units]]&lt;&gt;"",tblFleet[[#This Row],[Calendar_h]]&gt;0),tblFleet[[#This Row],[Available_h]]/tblFleet[[#This Row],[Calendar_h]],"")</f>
        <v/>
      </c>
      <c r="J1559" s="60">
        <f>IF(AND(tblFleet[[#This Row],[Units]]&lt;&gt;"",tblFleet[[#This Row],[Available_h]]&gt;0),tblFleet[[#This Row],[Operating_h]]/tblFleet[[#This Row],[Available_h]],"")</f>
        <v/>
      </c>
    </row>
    <row r="1560">
      <c r="A1560" s="54" t="n"/>
      <c r="B1560" s="61" t="n"/>
      <c r="C1560" s="62" t="n"/>
      <c r="D1560" s="57" t="n"/>
      <c r="E1560" s="57" t="n"/>
      <c r="F1560" s="58" t="n"/>
      <c r="G1560" s="66">
        <f>IF(tblFleet[[#This Row],[Units]]="","",tblFleet[[#This Row],[Units]]*24)</f>
        <v/>
      </c>
      <c r="H1560" s="66">
        <f>IF(tblFleet[[#This Row],[Units]]="","",tblFleet[[#This Row],[Calendar_h]]-tblFleet[[#This Row],[Down_h]])</f>
        <v/>
      </c>
      <c r="I1560" s="60">
        <f>IF(AND(tblFleet[[#This Row],[Units]]&lt;&gt;"",tblFleet[[#This Row],[Calendar_h]]&gt;0),tblFleet[[#This Row],[Available_h]]/tblFleet[[#This Row],[Calendar_h]],"")</f>
        <v/>
      </c>
      <c r="J1560" s="60">
        <f>IF(AND(tblFleet[[#This Row],[Units]]&lt;&gt;"",tblFleet[[#This Row],[Available_h]]&gt;0),tblFleet[[#This Row],[Operating_h]]/tblFleet[[#This Row],[Available_h]],"")</f>
        <v/>
      </c>
    </row>
    <row r="1561">
      <c r="A1561" s="54" t="n"/>
      <c r="B1561" s="61" t="n"/>
      <c r="C1561" s="62" t="n"/>
      <c r="D1561" s="57" t="n"/>
      <c r="E1561" s="57" t="n"/>
      <c r="F1561" s="58" t="n"/>
      <c r="G1561" s="66">
        <f>IF(tblFleet[[#This Row],[Units]]="","",tblFleet[[#This Row],[Units]]*24)</f>
        <v/>
      </c>
      <c r="H1561" s="66">
        <f>IF(tblFleet[[#This Row],[Units]]="","",tblFleet[[#This Row],[Calendar_h]]-tblFleet[[#This Row],[Down_h]])</f>
        <v/>
      </c>
      <c r="I1561" s="60">
        <f>IF(AND(tblFleet[[#This Row],[Units]]&lt;&gt;"",tblFleet[[#This Row],[Calendar_h]]&gt;0),tblFleet[[#This Row],[Available_h]]/tblFleet[[#This Row],[Calendar_h]],"")</f>
        <v/>
      </c>
      <c r="J1561" s="60">
        <f>IF(AND(tblFleet[[#This Row],[Units]]&lt;&gt;"",tblFleet[[#This Row],[Available_h]]&gt;0),tblFleet[[#This Row],[Operating_h]]/tblFleet[[#This Row],[Available_h]],"")</f>
        <v/>
      </c>
    </row>
    <row r="1562">
      <c r="A1562" s="54" t="n"/>
      <c r="B1562" s="61" t="n"/>
      <c r="C1562" s="62" t="n"/>
      <c r="D1562" s="57" t="n"/>
      <c r="E1562" s="57" t="n"/>
      <c r="F1562" s="58" t="n"/>
      <c r="G1562" s="66">
        <f>IF(tblFleet[[#This Row],[Units]]="","",tblFleet[[#This Row],[Units]]*24)</f>
        <v/>
      </c>
      <c r="H1562" s="66">
        <f>IF(tblFleet[[#This Row],[Units]]="","",tblFleet[[#This Row],[Calendar_h]]-tblFleet[[#This Row],[Down_h]])</f>
        <v/>
      </c>
      <c r="I1562" s="60">
        <f>IF(AND(tblFleet[[#This Row],[Units]]&lt;&gt;"",tblFleet[[#This Row],[Calendar_h]]&gt;0),tblFleet[[#This Row],[Available_h]]/tblFleet[[#This Row],[Calendar_h]],"")</f>
        <v/>
      </c>
      <c r="J1562" s="60">
        <f>IF(AND(tblFleet[[#This Row],[Units]]&lt;&gt;"",tblFleet[[#This Row],[Available_h]]&gt;0),tblFleet[[#This Row],[Operating_h]]/tblFleet[[#This Row],[Available_h]],"")</f>
        <v/>
      </c>
    </row>
    <row r="1563">
      <c r="A1563" s="54" t="n"/>
      <c r="B1563" s="61" t="n"/>
      <c r="C1563" s="62" t="n"/>
      <c r="D1563" s="57" t="n"/>
      <c r="E1563" s="57" t="n"/>
      <c r="F1563" s="58" t="n"/>
      <c r="G1563" s="66">
        <f>IF(tblFleet[[#This Row],[Units]]="","",tblFleet[[#This Row],[Units]]*24)</f>
        <v/>
      </c>
      <c r="H1563" s="66">
        <f>IF(tblFleet[[#This Row],[Units]]="","",tblFleet[[#This Row],[Calendar_h]]-tblFleet[[#This Row],[Down_h]])</f>
        <v/>
      </c>
      <c r="I1563" s="60">
        <f>IF(AND(tblFleet[[#This Row],[Units]]&lt;&gt;"",tblFleet[[#This Row],[Calendar_h]]&gt;0),tblFleet[[#This Row],[Available_h]]/tblFleet[[#This Row],[Calendar_h]],"")</f>
        <v/>
      </c>
      <c r="J1563" s="60">
        <f>IF(AND(tblFleet[[#This Row],[Units]]&lt;&gt;"",tblFleet[[#This Row],[Available_h]]&gt;0),tblFleet[[#This Row],[Operating_h]]/tblFleet[[#This Row],[Available_h]],"")</f>
        <v/>
      </c>
    </row>
    <row r="1564">
      <c r="A1564" s="54" t="n"/>
      <c r="B1564" s="61" t="n"/>
      <c r="C1564" s="62" t="n"/>
      <c r="D1564" s="57" t="n"/>
      <c r="E1564" s="57" t="n"/>
      <c r="F1564" s="58" t="n"/>
      <c r="G1564" s="66">
        <f>IF(tblFleet[[#This Row],[Units]]="","",tblFleet[[#This Row],[Units]]*24)</f>
        <v/>
      </c>
      <c r="H1564" s="66">
        <f>IF(tblFleet[[#This Row],[Units]]="","",tblFleet[[#This Row],[Calendar_h]]-tblFleet[[#This Row],[Down_h]])</f>
        <v/>
      </c>
      <c r="I1564" s="60">
        <f>IF(AND(tblFleet[[#This Row],[Units]]&lt;&gt;"",tblFleet[[#This Row],[Calendar_h]]&gt;0),tblFleet[[#This Row],[Available_h]]/tblFleet[[#This Row],[Calendar_h]],"")</f>
        <v/>
      </c>
      <c r="J1564" s="60">
        <f>IF(AND(tblFleet[[#This Row],[Units]]&lt;&gt;"",tblFleet[[#This Row],[Available_h]]&gt;0),tblFleet[[#This Row],[Operating_h]]/tblFleet[[#This Row],[Available_h]],"")</f>
        <v/>
      </c>
    </row>
    <row r="1565">
      <c r="A1565" s="54" t="n"/>
      <c r="B1565" s="61" t="n"/>
      <c r="C1565" s="62" t="n"/>
      <c r="D1565" s="57" t="n"/>
      <c r="E1565" s="57" t="n"/>
      <c r="F1565" s="58" t="n"/>
      <c r="G1565" s="66">
        <f>IF(tblFleet[[#This Row],[Units]]="","",tblFleet[[#This Row],[Units]]*24)</f>
        <v/>
      </c>
      <c r="H1565" s="66">
        <f>IF(tblFleet[[#This Row],[Units]]="","",tblFleet[[#This Row],[Calendar_h]]-tblFleet[[#This Row],[Down_h]])</f>
        <v/>
      </c>
      <c r="I1565" s="60">
        <f>IF(AND(tblFleet[[#This Row],[Units]]&lt;&gt;"",tblFleet[[#This Row],[Calendar_h]]&gt;0),tblFleet[[#This Row],[Available_h]]/tblFleet[[#This Row],[Calendar_h]],"")</f>
        <v/>
      </c>
      <c r="J1565" s="60">
        <f>IF(AND(tblFleet[[#This Row],[Units]]&lt;&gt;"",tblFleet[[#This Row],[Available_h]]&gt;0),tblFleet[[#This Row],[Operating_h]]/tblFleet[[#This Row],[Available_h]],"")</f>
        <v/>
      </c>
    </row>
    <row r="1566">
      <c r="A1566" s="54" t="n"/>
      <c r="B1566" s="61" t="n"/>
      <c r="C1566" s="62" t="n"/>
      <c r="D1566" s="57" t="n"/>
      <c r="E1566" s="57" t="n"/>
      <c r="F1566" s="58" t="n"/>
      <c r="G1566" s="66">
        <f>IF(tblFleet[[#This Row],[Units]]="","",tblFleet[[#This Row],[Units]]*24)</f>
        <v/>
      </c>
      <c r="H1566" s="66">
        <f>IF(tblFleet[[#This Row],[Units]]="","",tblFleet[[#This Row],[Calendar_h]]-tblFleet[[#This Row],[Down_h]])</f>
        <v/>
      </c>
      <c r="I1566" s="60">
        <f>IF(AND(tblFleet[[#This Row],[Units]]&lt;&gt;"",tblFleet[[#This Row],[Calendar_h]]&gt;0),tblFleet[[#This Row],[Available_h]]/tblFleet[[#This Row],[Calendar_h]],"")</f>
        <v/>
      </c>
      <c r="J1566" s="60">
        <f>IF(AND(tblFleet[[#This Row],[Units]]&lt;&gt;"",tblFleet[[#This Row],[Available_h]]&gt;0),tblFleet[[#This Row],[Operating_h]]/tblFleet[[#This Row],[Available_h]],"")</f>
        <v/>
      </c>
    </row>
    <row r="1567">
      <c r="A1567" s="54" t="n"/>
      <c r="B1567" s="61" t="n"/>
      <c r="C1567" s="62" t="n"/>
      <c r="D1567" s="57" t="n"/>
      <c r="E1567" s="57" t="n"/>
      <c r="F1567" s="58" t="n"/>
      <c r="G1567" s="66">
        <f>IF(tblFleet[[#This Row],[Units]]="","",tblFleet[[#This Row],[Units]]*24)</f>
        <v/>
      </c>
      <c r="H1567" s="66">
        <f>IF(tblFleet[[#This Row],[Units]]="","",tblFleet[[#This Row],[Calendar_h]]-tblFleet[[#This Row],[Down_h]])</f>
        <v/>
      </c>
      <c r="I1567" s="60">
        <f>IF(AND(tblFleet[[#This Row],[Units]]&lt;&gt;"",tblFleet[[#This Row],[Calendar_h]]&gt;0),tblFleet[[#This Row],[Available_h]]/tblFleet[[#This Row],[Calendar_h]],"")</f>
        <v/>
      </c>
      <c r="J1567" s="60">
        <f>IF(AND(tblFleet[[#This Row],[Units]]&lt;&gt;"",tblFleet[[#This Row],[Available_h]]&gt;0),tblFleet[[#This Row],[Operating_h]]/tblFleet[[#This Row],[Available_h]],"")</f>
        <v/>
      </c>
    </row>
    <row r="1568">
      <c r="A1568" s="54" t="n"/>
      <c r="B1568" s="61" t="n"/>
      <c r="C1568" s="62" t="n"/>
      <c r="D1568" s="57" t="n"/>
      <c r="E1568" s="57" t="n"/>
      <c r="F1568" s="58" t="n"/>
      <c r="G1568" s="66">
        <f>IF(tblFleet[[#This Row],[Units]]="","",tblFleet[[#This Row],[Units]]*24)</f>
        <v/>
      </c>
      <c r="H1568" s="66">
        <f>IF(tblFleet[[#This Row],[Units]]="","",tblFleet[[#This Row],[Calendar_h]]-tblFleet[[#This Row],[Down_h]])</f>
        <v/>
      </c>
      <c r="I1568" s="60">
        <f>IF(AND(tblFleet[[#This Row],[Units]]&lt;&gt;"",tblFleet[[#This Row],[Calendar_h]]&gt;0),tblFleet[[#This Row],[Available_h]]/tblFleet[[#This Row],[Calendar_h]],"")</f>
        <v/>
      </c>
      <c r="J1568" s="60">
        <f>IF(AND(tblFleet[[#This Row],[Units]]&lt;&gt;"",tblFleet[[#This Row],[Available_h]]&gt;0),tblFleet[[#This Row],[Operating_h]]/tblFleet[[#This Row],[Available_h]],"")</f>
        <v/>
      </c>
    </row>
    <row r="1569">
      <c r="A1569" s="54" t="n"/>
      <c r="B1569" s="61" t="n"/>
      <c r="C1569" s="62" t="n"/>
      <c r="D1569" s="57" t="n"/>
      <c r="E1569" s="57" t="n"/>
      <c r="F1569" s="58" t="n"/>
      <c r="G1569" s="66">
        <f>IF(tblFleet[[#This Row],[Units]]="","",tblFleet[[#This Row],[Units]]*24)</f>
        <v/>
      </c>
      <c r="H1569" s="66">
        <f>IF(tblFleet[[#This Row],[Units]]="","",tblFleet[[#This Row],[Calendar_h]]-tblFleet[[#This Row],[Down_h]])</f>
        <v/>
      </c>
      <c r="I1569" s="60">
        <f>IF(AND(tblFleet[[#This Row],[Units]]&lt;&gt;"",tblFleet[[#This Row],[Calendar_h]]&gt;0),tblFleet[[#This Row],[Available_h]]/tblFleet[[#This Row],[Calendar_h]],"")</f>
        <v/>
      </c>
      <c r="J1569" s="60">
        <f>IF(AND(tblFleet[[#This Row],[Units]]&lt;&gt;"",tblFleet[[#This Row],[Available_h]]&gt;0),tblFleet[[#This Row],[Operating_h]]/tblFleet[[#This Row],[Available_h]],"")</f>
        <v/>
      </c>
    </row>
    <row r="1570">
      <c r="A1570" s="54" t="n"/>
      <c r="B1570" s="61" t="n"/>
      <c r="C1570" s="62" t="n"/>
      <c r="D1570" s="57" t="n"/>
      <c r="E1570" s="57" t="n"/>
      <c r="F1570" s="58" t="n"/>
      <c r="G1570" s="66">
        <f>IF(tblFleet[[#This Row],[Units]]="","",tblFleet[[#This Row],[Units]]*24)</f>
        <v/>
      </c>
      <c r="H1570" s="66">
        <f>IF(tblFleet[[#This Row],[Units]]="","",tblFleet[[#This Row],[Calendar_h]]-tblFleet[[#This Row],[Down_h]])</f>
        <v/>
      </c>
      <c r="I1570" s="60">
        <f>IF(AND(tblFleet[[#This Row],[Units]]&lt;&gt;"",tblFleet[[#This Row],[Calendar_h]]&gt;0),tblFleet[[#This Row],[Available_h]]/tblFleet[[#This Row],[Calendar_h]],"")</f>
        <v/>
      </c>
      <c r="J1570" s="60">
        <f>IF(AND(tblFleet[[#This Row],[Units]]&lt;&gt;"",tblFleet[[#This Row],[Available_h]]&gt;0),tblFleet[[#This Row],[Operating_h]]/tblFleet[[#This Row],[Available_h]],"")</f>
        <v/>
      </c>
    </row>
    <row r="1571">
      <c r="A1571" s="54" t="n"/>
      <c r="B1571" s="61" t="n"/>
      <c r="C1571" s="62" t="n"/>
      <c r="D1571" s="57" t="n"/>
      <c r="E1571" s="57" t="n"/>
      <c r="F1571" s="58" t="n"/>
      <c r="G1571" s="66">
        <f>IF(tblFleet[[#This Row],[Units]]="","",tblFleet[[#This Row],[Units]]*24)</f>
        <v/>
      </c>
      <c r="H1571" s="66">
        <f>IF(tblFleet[[#This Row],[Units]]="","",tblFleet[[#This Row],[Calendar_h]]-tblFleet[[#This Row],[Down_h]])</f>
        <v/>
      </c>
      <c r="I1571" s="60">
        <f>IF(AND(tblFleet[[#This Row],[Units]]&lt;&gt;"",tblFleet[[#This Row],[Calendar_h]]&gt;0),tblFleet[[#This Row],[Available_h]]/tblFleet[[#This Row],[Calendar_h]],"")</f>
        <v/>
      </c>
      <c r="J1571" s="60">
        <f>IF(AND(tblFleet[[#This Row],[Units]]&lt;&gt;"",tblFleet[[#This Row],[Available_h]]&gt;0),tblFleet[[#This Row],[Operating_h]]/tblFleet[[#This Row],[Available_h]],"")</f>
        <v/>
      </c>
    </row>
    <row r="1572">
      <c r="A1572" s="54" t="n"/>
      <c r="B1572" s="61" t="n"/>
      <c r="C1572" s="62" t="n"/>
      <c r="D1572" s="57" t="n"/>
      <c r="E1572" s="57" t="n"/>
      <c r="F1572" s="58" t="n"/>
      <c r="G1572" s="66">
        <f>IF(tblFleet[[#This Row],[Units]]="","",tblFleet[[#This Row],[Units]]*24)</f>
        <v/>
      </c>
      <c r="H1572" s="66">
        <f>IF(tblFleet[[#This Row],[Units]]="","",tblFleet[[#This Row],[Calendar_h]]-tblFleet[[#This Row],[Down_h]])</f>
        <v/>
      </c>
      <c r="I1572" s="60">
        <f>IF(AND(tblFleet[[#This Row],[Units]]&lt;&gt;"",tblFleet[[#This Row],[Calendar_h]]&gt;0),tblFleet[[#This Row],[Available_h]]/tblFleet[[#This Row],[Calendar_h]],"")</f>
        <v/>
      </c>
      <c r="J1572" s="60">
        <f>IF(AND(tblFleet[[#This Row],[Units]]&lt;&gt;"",tblFleet[[#This Row],[Available_h]]&gt;0),tblFleet[[#This Row],[Operating_h]]/tblFleet[[#This Row],[Available_h]],"")</f>
        <v/>
      </c>
    </row>
    <row r="1573">
      <c r="A1573" s="54" t="n"/>
      <c r="B1573" s="61" t="n"/>
      <c r="C1573" s="62" t="n"/>
      <c r="D1573" s="57" t="n"/>
      <c r="E1573" s="57" t="n"/>
      <c r="F1573" s="58" t="n"/>
      <c r="G1573" s="66">
        <f>IF(tblFleet[[#This Row],[Units]]="","",tblFleet[[#This Row],[Units]]*24)</f>
        <v/>
      </c>
      <c r="H1573" s="66">
        <f>IF(tblFleet[[#This Row],[Units]]="","",tblFleet[[#This Row],[Calendar_h]]-tblFleet[[#This Row],[Down_h]])</f>
        <v/>
      </c>
      <c r="I1573" s="60">
        <f>IF(AND(tblFleet[[#This Row],[Units]]&lt;&gt;"",tblFleet[[#This Row],[Calendar_h]]&gt;0),tblFleet[[#This Row],[Available_h]]/tblFleet[[#This Row],[Calendar_h]],"")</f>
        <v/>
      </c>
      <c r="J1573" s="60">
        <f>IF(AND(tblFleet[[#This Row],[Units]]&lt;&gt;"",tblFleet[[#This Row],[Available_h]]&gt;0),tblFleet[[#This Row],[Operating_h]]/tblFleet[[#This Row],[Available_h]],"")</f>
        <v/>
      </c>
    </row>
    <row r="1574">
      <c r="A1574" s="54" t="n"/>
      <c r="B1574" s="61" t="n"/>
      <c r="C1574" s="62" t="n"/>
      <c r="D1574" s="57" t="n"/>
      <c r="E1574" s="57" t="n"/>
      <c r="F1574" s="58" t="n"/>
      <c r="G1574" s="66">
        <f>IF(tblFleet[[#This Row],[Units]]="","",tblFleet[[#This Row],[Units]]*24)</f>
        <v/>
      </c>
      <c r="H1574" s="66">
        <f>IF(tblFleet[[#This Row],[Units]]="","",tblFleet[[#This Row],[Calendar_h]]-tblFleet[[#This Row],[Down_h]])</f>
        <v/>
      </c>
      <c r="I1574" s="60">
        <f>IF(AND(tblFleet[[#This Row],[Units]]&lt;&gt;"",tblFleet[[#This Row],[Calendar_h]]&gt;0),tblFleet[[#This Row],[Available_h]]/tblFleet[[#This Row],[Calendar_h]],"")</f>
        <v/>
      </c>
      <c r="J1574" s="60">
        <f>IF(AND(tblFleet[[#This Row],[Units]]&lt;&gt;"",tblFleet[[#This Row],[Available_h]]&gt;0),tblFleet[[#This Row],[Operating_h]]/tblFleet[[#This Row],[Available_h]],"")</f>
        <v/>
      </c>
    </row>
    <row r="1575">
      <c r="A1575" s="54" t="n"/>
      <c r="B1575" s="61" t="n"/>
      <c r="C1575" s="62" t="n"/>
      <c r="D1575" s="57" t="n"/>
      <c r="E1575" s="57" t="n"/>
      <c r="F1575" s="58" t="n"/>
      <c r="G1575" s="66">
        <f>IF(tblFleet[[#This Row],[Units]]="","",tblFleet[[#This Row],[Units]]*24)</f>
        <v/>
      </c>
      <c r="H1575" s="66">
        <f>IF(tblFleet[[#This Row],[Units]]="","",tblFleet[[#This Row],[Calendar_h]]-tblFleet[[#This Row],[Down_h]])</f>
        <v/>
      </c>
      <c r="I1575" s="60">
        <f>IF(AND(tblFleet[[#This Row],[Units]]&lt;&gt;"",tblFleet[[#This Row],[Calendar_h]]&gt;0),tblFleet[[#This Row],[Available_h]]/tblFleet[[#This Row],[Calendar_h]],"")</f>
        <v/>
      </c>
      <c r="J1575" s="60">
        <f>IF(AND(tblFleet[[#This Row],[Units]]&lt;&gt;"",tblFleet[[#This Row],[Available_h]]&gt;0),tblFleet[[#This Row],[Operating_h]]/tblFleet[[#This Row],[Available_h]],"")</f>
        <v/>
      </c>
    </row>
    <row r="1576">
      <c r="A1576" s="54" t="n"/>
      <c r="B1576" s="61" t="n"/>
      <c r="C1576" s="62" t="n"/>
      <c r="D1576" s="57" t="n"/>
      <c r="E1576" s="57" t="n"/>
      <c r="F1576" s="58" t="n"/>
      <c r="G1576" s="66">
        <f>IF(tblFleet[[#This Row],[Units]]="","",tblFleet[[#This Row],[Units]]*24)</f>
        <v/>
      </c>
      <c r="H1576" s="66">
        <f>IF(tblFleet[[#This Row],[Units]]="","",tblFleet[[#This Row],[Calendar_h]]-tblFleet[[#This Row],[Down_h]])</f>
        <v/>
      </c>
      <c r="I1576" s="60">
        <f>IF(AND(tblFleet[[#This Row],[Units]]&lt;&gt;"",tblFleet[[#This Row],[Calendar_h]]&gt;0),tblFleet[[#This Row],[Available_h]]/tblFleet[[#This Row],[Calendar_h]],"")</f>
        <v/>
      </c>
      <c r="J1576" s="60">
        <f>IF(AND(tblFleet[[#This Row],[Units]]&lt;&gt;"",tblFleet[[#This Row],[Available_h]]&gt;0),tblFleet[[#This Row],[Operating_h]]/tblFleet[[#This Row],[Available_h]],"")</f>
        <v/>
      </c>
    </row>
    <row r="1577">
      <c r="A1577" s="54" t="n"/>
      <c r="B1577" s="61" t="n"/>
      <c r="C1577" s="62" t="n"/>
      <c r="D1577" s="57" t="n"/>
      <c r="E1577" s="57" t="n"/>
      <c r="F1577" s="58" t="n"/>
      <c r="G1577" s="66">
        <f>IF(tblFleet[[#This Row],[Units]]="","",tblFleet[[#This Row],[Units]]*24)</f>
        <v/>
      </c>
      <c r="H1577" s="66">
        <f>IF(tblFleet[[#This Row],[Units]]="","",tblFleet[[#This Row],[Calendar_h]]-tblFleet[[#This Row],[Down_h]])</f>
        <v/>
      </c>
      <c r="I1577" s="60">
        <f>IF(AND(tblFleet[[#This Row],[Units]]&lt;&gt;"",tblFleet[[#This Row],[Calendar_h]]&gt;0),tblFleet[[#This Row],[Available_h]]/tblFleet[[#This Row],[Calendar_h]],"")</f>
        <v/>
      </c>
      <c r="J1577" s="60">
        <f>IF(AND(tblFleet[[#This Row],[Units]]&lt;&gt;"",tblFleet[[#This Row],[Available_h]]&gt;0),tblFleet[[#This Row],[Operating_h]]/tblFleet[[#This Row],[Available_h]],"")</f>
        <v/>
      </c>
    </row>
    <row r="1578">
      <c r="A1578" s="54" t="n"/>
      <c r="B1578" s="61" t="n"/>
      <c r="C1578" s="62" t="n"/>
      <c r="D1578" s="57" t="n"/>
      <c r="E1578" s="57" t="n"/>
      <c r="F1578" s="58" t="n"/>
      <c r="G1578" s="66">
        <f>IF(tblFleet[[#This Row],[Units]]="","",tblFleet[[#This Row],[Units]]*24)</f>
        <v/>
      </c>
      <c r="H1578" s="66">
        <f>IF(tblFleet[[#This Row],[Units]]="","",tblFleet[[#This Row],[Calendar_h]]-tblFleet[[#This Row],[Down_h]])</f>
        <v/>
      </c>
      <c r="I1578" s="60">
        <f>IF(AND(tblFleet[[#This Row],[Units]]&lt;&gt;"",tblFleet[[#This Row],[Calendar_h]]&gt;0),tblFleet[[#This Row],[Available_h]]/tblFleet[[#This Row],[Calendar_h]],"")</f>
        <v/>
      </c>
      <c r="J1578" s="60">
        <f>IF(AND(tblFleet[[#This Row],[Units]]&lt;&gt;"",tblFleet[[#This Row],[Available_h]]&gt;0),tblFleet[[#This Row],[Operating_h]]/tblFleet[[#This Row],[Available_h]],"")</f>
        <v/>
      </c>
    </row>
    <row r="1579">
      <c r="A1579" s="54" t="n"/>
      <c r="B1579" s="61" t="n"/>
      <c r="C1579" s="62" t="n"/>
      <c r="D1579" s="57" t="n"/>
      <c r="E1579" s="57" t="n"/>
      <c r="F1579" s="58" t="n"/>
      <c r="G1579" s="66">
        <f>IF(tblFleet[[#This Row],[Units]]="","",tblFleet[[#This Row],[Units]]*24)</f>
        <v/>
      </c>
      <c r="H1579" s="66">
        <f>IF(tblFleet[[#This Row],[Units]]="","",tblFleet[[#This Row],[Calendar_h]]-tblFleet[[#This Row],[Down_h]])</f>
        <v/>
      </c>
      <c r="I1579" s="60">
        <f>IF(AND(tblFleet[[#This Row],[Units]]&lt;&gt;"",tblFleet[[#This Row],[Calendar_h]]&gt;0),tblFleet[[#This Row],[Available_h]]/tblFleet[[#This Row],[Calendar_h]],"")</f>
        <v/>
      </c>
      <c r="J1579" s="60">
        <f>IF(AND(tblFleet[[#This Row],[Units]]&lt;&gt;"",tblFleet[[#This Row],[Available_h]]&gt;0),tblFleet[[#This Row],[Operating_h]]/tblFleet[[#This Row],[Available_h]],"")</f>
        <v/>
      </c>
    </row>
    <row r="1580">
      <c r="A1580" s="54" t="n"/>
      <c r="B1580" s="61" t="n"/>
      <c r="C1580" s="62" t="n"/>
      <c r="D1580" s="57" t="n"/>
      <c r="E1580" s="57" t="n"/>
      <c r="F1580" s="58" t="n"/>
      <c r="G1580" s="66">
        <f>IF(tblFleet[[#This Row],[Units]]="","",tblFleet[[#This Row],[Units]]*24)</f>
        <v/>
      </c>
      <c r="H1580" s="66">
        <f>IF(tblFleet[[#This Row],[Units]]="","",tblFleet[[#This Row],[Calendar_h]]-tblFleet[[#This Row],[Down_h]])</f>
        <v/>
      </c>
      <c r="I1580" s="60">
        <f>IF(AND(tblFleet[[#This Row],[Units]]&lt;&gt;"",tblFleet[[#This Row],[Calendar_h]]&gt;0),tblFleet[[#This Row],[Available_h]]/tblFleet[[#This Row],[Calendar_h]],"")</f>
        <v/>
      </c>
      <c r="J1580" s="60">
        <f>IF(AND(tblFleet[[#This Row],[Units]]&lt;&gt;"",tblFleet[[#This Row],[Available_h]]&gt;0),tblFleet[[#This Row],[Operating_h]]/tblFleet[[#This Row],[Available_h]],"")</f>
        <v/>
      </c>
    </row>
    <row r="1581">
      <c r="A1581" s="54" t="n"/>
      <c r="B1581" s="61" t="n"/>
      <c r="C1581" s="62" t="n"/>
      <c r="D1581" s="57" t="n"/>
      <c r="E1581" s="57" t="n"/>
      <c r="F1581" s="58" t="n"/>
      <c r="G1581" s="66">
        <f>IF(tblFleet[[#This Row],[Units]]="","",tblFleet[[#This Row],[Units]]*24)</f>
        <v/>
      </c>
      <c r="H1581" s="66">
        <f>IF(tblFleet[[#This Row],[Units]]="","",tblFleet[[#This Row],[Calendar_h]]-tblFleet[[#This Row],[Down_h]])</f>
        <v/>
      </c>
      <c r="I1581" s="60">
        <f>IF(AND(tblFleet[[#This Row],[Units]]&lt;&gt;"",tblFleet[[#This Row],[Calendar_h]]&gt;0),tblFleet[[#This Row],[Available_h]]/tblFleet[[#This Row],[Calendar_h]],"")</f>
        <v/>
      </c>
      <c r="J1581" s="60">
        <f>IF(AND(tblFleet[[#This Row],[Units]]&lt;&gt;"",tblFleet[[#This Row],[Available_h]]&gt;0),tblFleet[[#This Row],[Operating_h]]/tblFleet[[#This Row],[Available_h]],"")</f>
        <v/>
      </c>
    </row>
    <row r="1582">
      <c r="A1582" s="54" t="n"/>
      <c r="B1582" s="61" t="n"/>
      <c r="C1582" s="62" t="n"/>
      <c r="D1582" s="57" t="n"/>
      <c r="E1582" s="57" t="n"/>
      <c r="F1582" s="58" t="n"/>
      <c r="G1582" s="66">
        <f>IF(tblFleet[[#This Row],[Units]]="","",tblFleet[[#This Row],[Units]]*24)</f>
        <v/>
      </c>
      <c r="H1582" s="66">
        <f>IF(tblFleet[[#This Row],[Units]]="","",tblFleet[[#This Row],[Calendar_h]]-tblFleet[[#This Row],[Down_h]])</f>
        <v/>
      </c>
      <c r="I1582" s="60">
        <f>IF(AND(tblFleet[[#This Row],[Units]]&lt;&gt;"",tblFleet[[#This Row],[Calendar_h]]&gt;0),tblFleet[[#This Row],[Available_h]]/tblFleet[[#This Row],[Calendar_h]],"")</f>
        <v/>
      </c>
      <c r="J1582" s="60">
        <f>IF(AND(tblFleet[[#This Row],[Units]]&lt;&gt;"",tblFleet[[#This Row],[Available_h]]&gt;0),tblFleet[[#This Row],[Operating_h]]/tblFleet[[#This Row],[Available_h]],"")</f>
        <v/>
      </c>
    </row>
    <row r="1583">
      <c r="A1583" s="54" t="n"/>
      <c r="B1583" s="61" t="n"/>
      <c r="C1583" s="62" t="n"/>
      <c r="D1583" s="57" t="n"/>
      <c r="E1583" s="57" t="n"/>
      <c r="F1583" s="58" t="n"/>
      <c r="G1583" s="66">
        <f>IF(tblFleet[[#This Row],[Units]]="","",tblFleet[[#This Row],[Units]]*24)</f>
        <v/>
      </c>
      <c r="H1583" s="66">
        <f>IF(tblFleet[[#This Row],[Units]]="","",tblFleet[[#This Row],[Calendar_h]]-tblFleet[[#This Row],[Down_h]])</f>
        <v/>
      </c>
      <c r="I1583" s="60">
        <f>IF(AND(tblFleet[[#This Row],[Units]]&lt;&gt;"",tblFleet[[#This Row],[Calendar_h]]&gt;0),tblFleet[[#This Row],[Available_h]]/tblFleet[[#This Row],[Calendar_h]],"")</f>
        <v/>
      </c>
      <c r="J1583" s="60">
        <f>IF(AND(tblFleet[[#This Row],[Units]]&lt;&gt;"",tblFleet[[#This Row],[Available_h]]&gt;0),tblFleet[[#This Row],[Operating_h]]/tblFleet[[#This Row],[Available_h]],"")</f>
        <v/>
      </c>
    </row>
    <row r="1584">
      <c r="A1584" s="54" t="n"/>
      <c r="B1584" s="61" t="n"/>
      <c r="C1584" s="62" t="n"/>
      <c r="D1584" s="57" t="n"/>
      <c r="E1584" s="57" t="n"/>
      <c r="F1584" s="58" t="n"/>
      <c r="G1584" s="66">
        <f>IF(tblFleet[[#This Row],[Units]]="","",tblFleet[[#This Row],[Units]]*24)</f>
        <v/>
      </c>
      <c r="H1584" s="66">
        <f>IF(tblFleet[[#This Row],[Units]]="","",tblFleet[[#This Row],[Calendar_h]]-tblFleet[[#This Row],[Down_h]])</f>
        <v/>
      </c>
      <c r="I1584" s="60">
        <f>IF(AND(tblFleet[[#This Row],[Units]]&lt;&gt;"",tblFleet[[#This Row],[Calendar_h]]&gt;0),tblFleet[[#This Row],[Available_h]]/tblFleet[[#This Row],[Calendar_h]],"")</f>
        <v/>
      </c>
      <c r="J1584" s="60">
        <f>IF(AND(tblFleet[[#This Row],[Units]]&lt;&gt;"",tblFleet[[#This Row],[Available_h]]&gt;0),tblFleet[[#This Row],[Operating_h]]/tblFleet[[#This Row],[Available_h]],"")</f>
        <v/>
      </c>
    </row>
    <row r="1585">
      <c r="A1585" s="54" t="n"/>
      <c r="B1585" s="61" t="n"/>
      <c r="C1585" s="62" t="n"/>
      <c r="D1585" s="57" t="n"/>
      <c r="E1585" s="57" t="n"/>
      <c r="F1585" s="58" t="n"/>
      <c r="G1585" s="66">
        <f>IF(tblFleet[[#This Row],[Units]]="","",tblFleet[[#This Row],[Units]]*24)</f>
        <v/>
      </c>
      <c r="H1585" s="66">
        <f>IF(tblFleet[[#This Row],[Units]]="","",tblFleet[[#This Row],[Calendar_h]]-tblFleet[[#This Row],[Down_h]])</f>
        <v/>
      </c>
      <c r="I1585" s="60">
        <f>IF(AND(tblFleet[[#This Row],[Units]]&lt;&gt;"",tblFleet[[#This Row],[Calendar_h]]&gt;0),tblFleet[[#This Row],[Available_h]]/tblFleet[[#This Row],[Calendar_h]],"")</f>
        <v/>
      </c>
      <c r="J1585" s="60">
        <f>IF(AND(tblFleet[[#This Row],[Units]]&lt;&gt;"",tblFleet[[#This Row],[Available_h]]&gt;0),tblFleet[[#This Row],[Operating_h]]/tblFleet[[#This Row],[Available_h]],"")</f>
        <v/>
      </c>
    </row>
    <row r="1586">
      <c r="A1586" s="54" t="n"/>
      <c r="B1586" s="61" t="n"/>
      <c r="C1586" s="62" t="n"/>
      <c r="D1586" s="57" t="n"/>
      <c r="E1586" s="57" t="n"/>
      <c r="F1586" s="58" t="n"/>
      <c r="G1586" s="66">
        <f>IF(tblFleet[[#This Row],[Units]]="","",tblFleet[[#This Row],[Units]]*24)</f>
        <v/>
      </c>
      <c r="H1586" s="66">
        <f>IF(tblFleet[[#This Row],[Units]]="","",tblFleet[[#This Row],[Calendar_h]]-tblFleet[[#This Row],[Down_h]])</f>
        <v/>
      </c>
      <c r="I1586" s="60">
        <f>IF(AND(tblFleet[[#This Row],[Units]]&lt;&gt;"",tblFleet[[#This Row],[Calendar_h]]&gt;0),tblFleet[[#This Row],[Available_h]]/tblFleet[[#This Row],[Calendar_h]],"")</f>
        <v/>
      </c>
      <c r="J1586" s="60">
        <f>IF(AND(tblFleet[[#This Row],[Units]]&lt;&gt;"",tblFleet[[#This Row],[Available_h]]&gt;0),tblFleet[[#This Row],[Operating_h]]/tblFleet[[#This Row],[Available_h]],"")</f>
        <v/>
      </c>
    </row>
    <row r="1587">
      <c r="A1587" s="54" t="n"/>
      <c r="B1587" s="61" t="n"/>
      <c r="C1587" s="62" t="n"/>
      <c r="D1587" s="57" t="n"/>
      <c r="E1587" s="57" t="n"/>
      <c r="F1587" s="58" t="n"/>
      <c r="G1587" s="66">
        <f>IF(tblFleet[[#This Row],[Units]]="","",tblFleet[[#This Row],[Units]]*24)</f>
        <v/>
      </c>
      <c r="H1587" s="66">
        <f>IF(tblFleet[[#This Row],[Units]]="","",tblFleet[[#This Row],[Calendar_h]]-tblFleet[[#This Row],[Down_h]])</f>
        <v/>
      </c>
      <c r="I1587" s="60">
        <f>IF(AND(tblFleet[[#This Row],[Units]]&lt;&gt;"",tblFleet[[#This Row],[Calendar_h]]&gt;0),tblFleet[[#This Row],[Available_h]]/tblFleet[[#This Row],[Calendar_h]],"")</f>
        <v/>
      </c>
      <c r="J1587" s="60">
        <f>IF(AND(tblFleet[[#This Row],[Units]]&lt;&gt;"",tblFleet[[#This Row],[Available_h]]&gt;0),tblFleet[[#This Row],[Operating_h]]/tblFleet[[#This Row],[Available_h]],"")</f>
        <v/>
      </c>
    </row>
    <row r="1588">
      <c r="A1588" s="54" t="n"/>
      <c r="B1588" s="61" t="n"/>
      <c r="C1588" s="62" t="n"/>
      <c r="D1588" s="57" t="n"/>
      <c r="E1588" s="57" t="n"/>
      <c r="F1588" s="58" t="n"/>
      <c r="G1588" s="66">
        <f>IF(tblFleet[[#This Row],[Units]]="","",tblFleet[[#This Row],[Units]]*24)</f>
        <v/>
      </c>
      <c r="H1588" s="66">
        <f>IF(tblFleet[[#This Row],[Units]]="","",tblFleet[[#This Row],[Calendar_h]]-tblFleet[[#This Row],[Down_h]])</f>
        <v/>
      </c>
      <c r="I1588" s="60">
        <f>IF(AND(tblFleet[[#This Row],[Units]]&lt;&gt;"",tblFleet[[#This Row],[Calendar_h]]&gt;0),tblFleet[[#This Row],[Available_h]]/tblFleet[[#This Row],[Calendar_h]],"")</f>
        <v/>
      </c>
      <c r="J1588" s="60">
        <f>IF(AND(tblFleet[[#This Row],[Units]]&lt;&gt;"",tblFleet[[#This Row],[Available_h]]&gt;0),tblFleet[[#This Row],[Operating_h]]/tblFleet[[#This Row],[Available_h]],"")</f>
        <v/>
      </c>
    </row>
    <row r="1589">
      <c r="A1589" s="54" t="n"/>
      <c r="B1589" s="61" t="n"/>
      <c r="C1589" s="62" t="n"/>
      <c r="D1589" s="57" t="n"/>
      <c r="E1589" s="57" t="n"/>
      <c r="F1589" s="58" t="n"/>
      <c r="G1589" s="66">
        <f>IF(tblFleet[[#This Row],[Units]]="","",tblFleet[[#This Row],[Units]]*24)</f>
        <v/>
      </c>
      <c r="H1589" s="66">
        <f>IF(tblFleet[[#This Row],[Units]]="","",tblFleet[[#This Row],[Calendar_h]]-tblFleet[[#This Row],[Down_h]])</f>
        <v/>
      </c>
      <c r="I1589" s="60">
        <f>IF(AND(tblFleet[[#This Row],[Units]]&lt;&gt;"",tblFleet[[#This Row],[Calendar_h]]&gt;0),tblFleet[[#This Row],[Available_h]]/tblFleet[[#This Row],[Calendar_h]],"")</f>
        <v/>
      </c>
      <c r="J1589" s="60">
        <f>IF(AND(tblFleet[[#This Row],[Units]]&lt;&gt;"",tblFleet[[#This Row],[Available_h]]&gt;0),tblFleet[[#This Row],[Operating_h]]/tblFleet[[#This Row],[Available_h]],"")</f>
        <v/>
      </c>
    </row>
    <row r="1590">
      <c r="A1590" s="54" t="n"/>
      <c r="B1590" s="61" t="n"/>
      <c r="C1590" s="62" t="n"/>
      <c r="D1590" s="57" t="n"/>
      <c r="E1590" s="57" t="n"/>
      <c r="F1590" s="58" t="n"/>
      <c r="G1590" s="66">
        <f>IF(tblFleet[[#This Row],[Units]]="","",tblFleet[[#This Row],[Units]]*24)</f>
        <v/>
      </c>
      <c r="H1590" s="66">
        <f>IF(tblFleet[[#This Row],[Units]]="","",tblFleet[[#This Row],[Calendar_h]]-tblFleet[[#This Row],[Down_h]])</f>
        <v/>
      </c>
      <c r="I1590" s="60">
        <f>IF(AND(tblFleet[[#This Row],[Units]]&lt;&gt;"",tblFleet[[#This Row],[Calendar_h]]&gt;0),tblFleet[[#This Row],[Available_h]]/tblFleet[[#This Row],[Calendar_h]],"")</f>
        <v/>
      </c>
      <c r="J1590" s="60">
        <f>IF(AND(tblFleet[[#This Row],[Units]]&lt;&gt;"",tblFleet[[#This Row],[Available_h]]&gt;0),tblFleet[[#This Row],[Operating_h]]/tblFleet[[#This Row],[Available_h]],"")</f>
        <v/>
      </c>
    </row>
    <row r="1591">
      <c r="A1591" s="54" t="n"/>
      <c r="B1591" s="61" t="n"/>
      <c r="C1591" s="62" t="n"/>
      <c r="D1591" s="57" t="n"/>
      <c r="E1591" s="57" t="n"/>
      <c r="F1591" s="58" t="n"/>
      <c r="G1591" s="66">
        <f>IF(tblFleet[[#This Row],[Units]]="","",tblFleet[[#This Row],[Units]]*24)</f>
        <v/>
      </c>
      <c r="H1591" s="66">
        <f>IF(tblFleet[[#This Row],[Units]]="","",tblFleet[[#This Row],[Calendar_h]]-tblFleet[[#This Row],[Down_h]])</f>
        <v/>
      </c>
      <c r="I1591" s="60">
        <f>IF(AND(tblFleet[[#This Row],[Units]]&lt;&gt;"",tblFleet[[#This Row],[Calendar_h]]&gt;0),tblFleet[[#This Row],[Available_h]]/tblFleet[[#This Row],[Calendar_h]],"")</f>
        <v/>
      </c>
      <c r="J1591" s="60">
        <f>IF(AND(tblFleet[[#This Row],[Units]]&lt;&gt;"",tblFleet[[#This Row],[Available_h]]&gt;0),tblFleet[[#This Row],[Operating_h]]/tblFleet[[#This Row],[Available_h]],"")</f>
        <v/>
      </c>
    </row>
    <row r="1592">
      <c r="A1592" s="54" t="n"/>
      <c r="B1592" s="61" t="n"/>
      <c r="C1592" s="62" t="n"/>
      <c r="D1592" s="57" t="n"/>
      <c r="E1592" s="57" t="n"/>
      <c r="F1592" s="58" t="n"/>
      <c r="G1592" s="66">
        <f>IF(tblFleet[[#This Row],[Units]]="","",tblFleet[[#This Row],[Units]]*24)</f>
        <v/>
      </c>
      <c r="H1592" s="66">
        <f>IF(tblFleet[[#This Row],[Units]]="","",tblFleet[[#This Row],[Calendar_h]]-tblFleet[[#This Row],[Down_h]])</f>
        <v/>
      </c>
      <c r="I1592" s="60">
        <f>IF(AND(tblFleet[[#This Row],[Units]]&lt;&gt;"",tblFleet[[#This Row],[Calendar_h]]&gt;0),tblFleet[[#This Row],[Available_h]]/tblFleet[[#This Row],[Calendar_h]],"")</f>
        <v/>
      </c>
      <c r="J1592" s="60">
        <f>IF(AND(tblFleet[[#This Row],[Units]]&lt;&gt;"",tblFleet[[#This Row],[Available_h]]&gt;0),tblFleet[[#This Row],[Operating_h]]/tblFleet[[#This Row],[Available_h]],"")</f>
        <v/>
      </c>
    </row>
    <row r="1593">
      <c r="A1593" s="54" t="n"/>
      <c r="B1593" s="61" t="n"/>
      <c r="C1593" s="62" t="n"/>
      <c r="D1593" s="57" t="n"/>
      <c r="E1593" s="57" t="n"/>
      <c r="F1593" s="58" t="n"/>
      <c r="G1593" s="66">
        <f>IF(tblFleet[[#This Row],[Units]]="","",tblFleet[[#This Row],[Units]]*24)</f>
        <v/>
      </c>
      <c r="H1593" s="66">
        <f>IF(tblFleet[[#This Row],[Units]]="","",tblFleet[[#This Row],[Calendar_h]]-tblFleet[[#This Row],[Down_h]])</f>
        <v/>
      </c>
      <c r="I1593" s="60">
        <f>IF(AND(tblFleet[[#This Row],[Units]]&lt;&gt;"",tblFleet[[#This Row],[Calendar_h]]&gt;0),tblFleet[[#This Row],[Available_h]]/tblFleet[[#This Row],[Calendar_h]],"")</f>
        <v/>
      </c>
      <c r="J1593" s="60">
        <f>IF(AND(tblFleet[[#This Row],[Units]]&lt;&gt;"",tblFleet[[#This Row],[Available_h]]&gt;0),tblFleet[[#This Row],[Operating_h]]/tblFleet[[#This Row],[Available_h]],"")</f>
        <v/>
      </c>
    </row>
    <row r="1594">
      <c r="A1594" s="54" t="n"/>
      <c r="B1594" s="61" t="n"/>
      <c r="C1594" s="62" t="n"/>
      <c r="D1594" s="57" t="n"/>
      <c r="E1594" s="57" t="n"/>
      <c r="F1594" s="58" t="n"/>
      <c r="G1594" s="66">
        <f>IF(tblFleet[[#This Row],[Units]]="","",tblFleet[[#This Row],[Units]]*24)</f>
        <v/>
      </c>
      <c r="H1594" s="66">
        <f>IF(tblFleet[[#This Row],[Units]]="","",tblFleet[[#This Row],[Calendar_h]]-tblFleet[[#This Row],[Down_h]])</f>
        <v/>
      </c>
      <c r="I1594" s="60">
        <f>IF(AND(tblFleet[[#This Row],[Units]]&lt;&gt;"",tblFleet[[#This Row],[Calendar_h]]&gt;0),tblFleet[[#This Row],[Available_h]]/tblFleet[[#This Row],[Calendar_h]],"")</f>
        <v/>
      </c>
      <c r="J1594" s="60">
        <f>IF(AND(tblFleet[[#This Row],[Units]]&lt;&gt;"",tblFleet[[#This Row],[Available_h]]&gt;0),tblFleet[[#This Row],[Operating_h]]/tblFleet[[#This Row],[Available_h]],"")</f>
        <v/>
      </c>
    </row>
    <row r="1595">
      <c r="A1595" s="54" t="n"/>
      <c r="B1595" s="61" t="n"/>
      <c r="C1595" s="62" t="n"/>
      <c r="D1595" s="57" t="n"/>
      <c r="E1595" s="57" t="n"/>
      <c r="F1595" s="58" t="n"/>
      <c r="G1595" s="66">
        <f>IF(tblFleet[[#This Row],[Units]]="","",tblFleet[[#This Row],[Units]]*24)</f>
        <v/>
      </c>
      <c r="H1595" s="66">
        <f>IF(tblFleet[[#This Row],[Units]]="","",tblFleet[[#This Row],[Calendar_h]]-tblFleet[[#This Row],[Down_h]])</f>
        <v/>
      </c>
      <c r="I1595" s="60">
        <f>IF(AND(tblFleet[[#This Row],[Units]]&lt;&gt;"",tblFleet[[#This Row],[Calendar_h]]&gt;0),tblFleet[[#This Row],[Available_h]]/tblFleet[[#This Row],[Calendar_h]],"")</f>
        <v/>
      </c>
      <c r="J1595" s="60">
        <f>IF(AND(tblFleet[[#This Row],[Units]]&lt;&gt;"",tblFleet[[#This Row],[Available_h]]&gt;0),tblFleet[[#This Row],[Operating_h]]/tblFleet[[#This Row],[Available_h]],"")</f>
        <v/>
      </c>
    </row>
    <row r="1596">
      <c r="A1596" s="54" t="n"/>
      <c r="B1596" s="61" t="n"/>
      <c r="C1596" s="62" t="n"/>
      <c r="D1596" s="57" t="n"/>
      <c r="E1596" s="57" t="n"/>
      <c r="F1596" s="58" t="n"/>
      <c r="G1596" s="66">
        <f>IF(tblFleet[[#This Row],[Units]]="","",tblFleet[[#This Row],[Units]]*24)</f>
        <v/>
      </c>
      <c r="H1596" s="66">
        <f>IF(tblFleet[[#This Row],[Units]]="","",tblFleet[[#This Row],[Calendar_h]]-tblFleet[[#This Row],[Down_h]])</f>
        <v/>
      </c>
      <c r="I1596" s="60">
        <f>IF(AND(tblFleet[[#This Row],[Units]]&lt;&gt;"",tblFleet[[#This Row],[Calendar_h]]&gt;0),tblFleet[[#This Row],[Available_h]]/tblFleet[[#This Row],[Calendar_h]],"")</f>
        <v/>
      </c>
      <c r="J1596" s="60">
        <f>IF(AND(tblFleet[[#This Row],[Units]]&lt;&gt;"",tblFleet[[#This Row],[Available_h]]&gt;0),tblFleet[[#This Row],[Operating_h]]/tblFleet[[#This Row],[Available_h]],"")</f>
        <v/>
      </c>
    </row>
    <row r="1597">
      <c r="A1597" s="54" t="n"/>
      <c r="B1597" s="61" t="n"/>
      <c r="C1597" s="62" t="n"/>
      <c r="D1597" s="57" t="n"/>
      <c r="E1597" s="57" t="n"/>
      <c r="F1597" s="58" t="n"/>
      <c r="G1597" s="66">
        <f>IF(tblFleet[[#This Row],[Units]]="","",tblFleet[[#This Row],[Units]]*24)</f>
        <v/>
      </c>
      <c r="H1597" s="66">
        <f>IF(tblFleet[[#This Row],[Units]]="","",tblFleet[[#This Row],[Calendar_h]]-tblFleet[[#This Row],[Down_h]])</f>
        <v/>
      </c>
      <c r="I1597" s="60">
        <f>IF(AND(tblFleet[[#This Row],[Units]]&lt;&gt;"",tblFleet[[#This Row],[Calendar_h]]&gt;0),tblFleet[[#This Row],[Available_h]]/tblFleet[[#This Row],[Calendar_h]],"")</f>
        <v/>
      </c>
      <c r="J1597" s="60">
        <f>IF(AND(tblFleet[[#This Row],[Units]]&lt;&gt;"",tblFleet[[#This Row],[Available_h]]&gt;0),tblFleet[[#This Row],[Operating_h]]/tblFleet[[#This Row],[Available_h]],"")</f>
        <v/>
      </c>
    </row>
    <row r="1598">
      <c r="A1598" s="54" t="n"/>
      <c r="B1598" s="61" t="n"/>
      <c r="C1598" s="62" t="n"/>
      <c r="D1598" s="57" t="n"/>
      <c r="E1598" s="57" t="n"/>
      <c r="F1598" s="58" t="n"/>
      <c r="G1598" s="66">
        <f>IF(tblFleet[[#This Row],[Units]]="","",tblFleet[[#This Row],[Units]]*24)</f>
        <v/>
      </c>
      <c r="H1598" s="66">
        <f>IF(tblFleet[[#This Row],[Units]]="","",tblFleet[[#This Row],[Calendar_h]]-tblFleet[[#This Row],[Down_h]])</f>
        <v/>
      </c>
      <c r="I1598" s="60">
        <f>IF(AND(tblFleet[[#This Row],[Units]]&lt;&gt;"",tblFleet[[#This Row],[Calendar_h]]&gt;0),tblFleet[[#This Row],[Available_h]]/tblFleet[[#This Row],[Calendar_h]],"")</f>
        <v/>
      </c>
      <c r="J1598" s="60">
        <f>IF(AND(tblFleet[[#This Row],[Units]]&lt;&gt;"",tblFleet[[#This Row],[Available_h]]&gt;0),tblFleet[[#This Row],[Operating_h]]/tblFleet[[#This Row],[Available_h]],"")</f>
        <v/>
      </c>
    </row>
    <row r="1599">
      <c r="A1599" s="54" t="n"/>
      <c r="B1599" s="61" t="n"/>
      <c r="C1599" s="62" t="n"/>
      <c r="D1599" s="57" t="n"/>
      <c r="E1599" s="57" t="n"/>
      <c r="F1599" s="58" t="n"/>
      <c r="G1599" s="66">
        <f>IF(tblFleet[[#This Row],[Units]]="","",tblFleet[[#This Row],[Units]]*24)</f>
        <v/>
      </c>
      <c r="H1599" s="66">
        <f>IF(tblFleet[[#This Row],[Units]]="","",tblFleet[[#This Row],[Calendar_h]]-tblFleet[[#This Row],[Down_h]])</f>
        <v/>
      </c>
      <c r="I1599" s="60">
        <f>IF(AND(tblFleet[[#This Row],[Units]]&lt;&gt;"",tblFleet[[#This Row],[Calendar_h]]&gt;0),tblFleet[[#This Row],[Available_h]]/tblFleet[[#This Row],[Calendar_h]],"")</f>
        <v/>
      </c>
      <c r="J1599" s="60">
        <f>IF(AND(tblFleet[[#This Row],[Units]]&lt;&gt;"",tblFleet[[#This Row],[Available_h]]&gt;0),tblFleet[[#This Row],[Operating_h]]/tblFleet[[#This Row],[Available_h]],"")</f>
        <v/>
      </c>
    </row>
    <row r="1600">
      <c r="A1600" s="54" t="n"/>
      <c r="B1600" s="61" t="n"/>
      <c r="C1600" s="62" t="n"/>
      <c r="D1600" s="57" t="n"/>
      <c r="E1600" s="57" t="n"/>
      <c r="F1600" s="58" t="n"/>
      <c r="G1600" s="66">
        <f>IF(tblFleet[[#This Row],[Units]]="","",tblFleet[[#This Row],[Units]]*24)</f>
        <v/>
      </c>
      <c r="H1600" s="66">
        <f>IF(tblFleet[[#This Row],[Units]]="","",tblFleet[[#This Row],[Calendar_h]]-tblFleet[[#This Row],[Down_h]])</f>
        <v/>
      </c>
      <c r="I1600" s="60">
        <f>IF(AND(tblFleet[[#This Row],[Units]]&lt;&gt;"",tblFleet[[#This Row],[Calendar_h]]&gt;0),tblFleet[[#This Row],[Available_h]]/tblFleet[[#This Row],[Calendar_h]],"")</f>
        <v/>
      </c>
      <c r="J1600" s="60">
        <f>IF(AND(tblFleet[[#This Row],[Units]]&lt;&gt;"",tblFleet[[#This Row],[Available_h]]&gt;0),tblFleet[[#This Row],[Operating_h]]/tblFleet[[#This Row],[Available_h]],"")</f>
        <v/>
      </c>
    </row>
    <row r="1601">
      <c r="A1601" s="54" t="n"/>
      <c r="B1601" s="61" t="n"/>
      <c r="C1601" s="62" t="n"/>
      <c r="D1601" s="57" t="n"/>
      <c r="E1601" s="57" t="n"/>
      <c r="F1601" s="58" t="n"/>
      <c r="G1601" s="66">
        <f>IF(tblFleet[[#This Row],[Units]]="","",tblFleet[[#This Row],[Units]]*24)</f>
        <v/>
      </c>
      <c r="H1601" s="66">
        <f>IF(tblFleet[[#This Row],[Units]]="","",tblFleet[[#This Row],[Calendar_h]]-tblFleet[[#This Row],[Down_h]])</f>
        <v/>
      </c>
      <c r="I1601" s="60">
        <f>IF(AND(tblFleet[[#This Row],[Units]]&lt;&gt;"",tblFleet[[#This Row],[Calendar_h]]&gt;0),tblFleet[[#This Row],[Available_h]]/tblFleet[[#This Row],[Calendar_h]],"")</f>
        <v/>
      </c>
      <c r="J1601" s="60">
        <f>IF(AND(tblFleet[[#This Row],[Units]]&lt;&gt;"",tblFleet[[#This Row],[Available_h]]&gt;0),tblFleet[[#This Row],[Operating_h]]/tblFleet[[#This Row],[Available_h]],"")</f>
        <v/>
      </c>
    </row>
    <row r="1602">
      <c r="A1602" s="54" t="n"/>
      <c r="B1602" s="61" t="n"/>
      <c r="C1602" s="62" t="n"/>
      <c r="D1602" s="57" t="n"/>
      <c r="E1602" s="57" t="n"/>
      <c r="F1602" s="58" t="n"/>
      <c r="G1602" s="66">
        <f>IF(tblFleet[[#This Row],[Units]]="","",tblFleet[[#This Row],[Units]]*24)</f>
        <v/>
      </c>
      <c r="H1602" s="66">
        <f>IF(tblFleet[[#This Row],[Units]]="","",tblFleet[[#This Row],[Calendar_h]]-tblFleet[[#This Row],[Down_h]])</f>
        <v/>
      </c>
      <c r="I1602" s="60">
        <f>IF(AND(tblFleet[[#This Row],[Units]]&lt;&gt;"",tblFleet[[#This Row],[Calendar_h]]&gt;0),tblFleet[[#This Row],[Available_h]]/tblFleet[[#This Row],[Calendar_h]],"")</f>
        <v/>
      </c>
      <c r="J1602" s="60">
        <f>IF(AND(tblFleet[[#This Row],[Units]]&lt;&gt;"",tblFleet[[#This Row],[Available_h]]&gt;0),tblFleet[[#This Row],[Operating_h]]/tblFleet[[#This Row],[Available_h]],"")</f>
        <v/>
      </c>
    </row>
    <row r="1603">
      <c r="A1603" s="54" t="n"/>
      <c r="B1603" s="61" t="n"/>
      <c r="C1603" s="62" t="n"/>
      <c r="D1603" s="57" t="n"/>
      <c r="E1603" s="57" t="n"/>
      <c r="F1603" s="58" t="n"/>
      <c r="G1603" s="66">
        <f>IF(tblFleet[[#This Row],[Units]]="","",tblFleet[[#This Row],[Units]]*24)</f>
        <v/>
      </c>
      <c r="H1603" s="66">
        <f>IF(tblFleet[[#This Row],[Units]]="","",tblFleet[[#This Row],[Calendar_h]]-tblFleet[[#This Row],[Down_h]])</f>
        <v/>
      </c>
      <c r="I1603" s="60">
        <f>IF(AND(tblFleet[[#This Row],[Units]]&lt;&gt;"",tblFleet[[#This Row],[Calendar_h]]&gt;0),tblFleet[[#This Row],[Available_h]]/tblFleet[[#This Row],[Calendar_h]],"")</f>
        <v/>
      </c>
      <c r="J1603" s="60">
        <f>IF(AND(tblFleet[[#This Row],[Units]]&lt;&gt;"",tblFleet[[#This Row],[Available_h]]&gt;0),tblFleet[[#This Row],[Operating_h]]/tblFleet[[#This Row],[Available_h]],"")</f>
        <v/>
      </c>
    </row>
    <row r="1604">
      <c r="A1604" s="54" t="n"/>
      <c r="B1604" s="61" t="n"/>
      <c r="C1604" s="62" t="n"/>
      <c r="D1604" s="57" t="n"/>
      <c r="E1604" s="57" t="n"/>
      <c r="F1604" s="58" t="n"/>
      <c r="G1604" s="66">
        <f>IF(tblFleet[[#This Row],[Units]]="","",tblFleet[[#This Row],[Units]]*24)</f>
        <v/>
      </c>
      <c r="H1604" s="66">
        <f>IF(tblFleet[[#This Row],[Units]]="","",tblFleet[[#This Row],[Calendar_h]]-tblFleet[[#This Row],[Down_h]])</f>
        <v/>
      </c>
      <c r="I1604" s="60">
        <f>IF(AND(tblFleet[[#This Row],[Units]]&lt;&gt;"",tblFleet[[#This Row],[Calendar_h]]&gt;0),tblFleet[[#This Row],[Available_h]]/tblFleet[[#This Row],[Calendar_h]],"")</f>
        <v/>
      </c>
      <c r="J1604" s="60">
        <f>IF(AND(tblFleet[[#This Row],[Units]]&lt;&gt;"",tblFleet[[#This Row],[Available_h]]&gt;0),tblFleet[[#This Row],[Operating_h]]/tblFleet[[#This Row],[Available_h]],"")</f>
        <v/>
      </c>
    </row>
    <row r="1605">
      <c r="A1605" s="54" t="n"/>
      <c r="B1605" s="61" t="n"/>
      <c r="C1605" s="62" t="n"/>
      <c r="D1605" s="57" t="n"/>
      <c r="E1605" s="57" t="n"/>
      <c r="F1605" s="58" t="n"/>
      <c r="G1605" s="66">
        <f>IF(tblFleet[[#This Row],[Units]]="","",tblFleet[[#This Row],[Units]]*24)</f>
        <v/>
      </c>
      <c r="H1605" s="66">
        <f>IF(tblFleet[[#This Row],[Units]]="","",tblFleet[[#This Row],[Calendar_h]]-tblFleet[[#This Row],[Down_h]])</f>
        <v/>
      </c>
      <c r="I1605" s="60">
        <f>IF(AND(tblFleet[[#This Row],[Units]]&lt;&gt;"",tblFleet[[#This Row],[Calendar_h]]&gt;0),tblFleet[[#This Row],[Available_h]]/tblFleet[[#This Row],[Calendar_h]],"")</f>
        <v/>
      </c>
      <c r="J1605" s="60">
        <f>IF(AND(tblFleet[[#This Row],[Units]]&lt;&gt;"",tblFleet[[#This Row],[Available_h]]&gt;0),tblFleet[[#This Row],[Operating_h]]/tblFleet[[#This Row],[Available_h]],"")</f>
        <v/>
      </c>
    </row>
    <row r="1606">
      <c r="A1606" s="54" t="n"/>
      <c r="B1606" s="61" t="n"/>
      <c r="C1606" s="62" t="n"/>
      <c r="D1606" s="57" t="n"/>
      <c r="E1606" s="57" t="n"/>
      <c r="F1606" s="58" t="n"/>
      <c r="G1606" s="66">
        <f>IF(tblFleet[[#This Row],[Units]]="","",tblFleet[[#This Row],[Units]]*24)</f>
        <v/>
      </c>
      <c r="H1606" s="66">
        <f>IF(tblFleet[[#This Row],[Units]]="","",tblFleet[[#This Row],[Calendar_h]]-tblFleet[[#This Row],[Down_h]])</f>
        <v/>
      </c>
      <c r="I1606" s="60">
        <f>IF(AND(tblFleet[[#This Row],[Units]]&lt;&gt;"",tblFleet[[#This Row],[Calendar_h]]&gt;0),tblFleet[[#This Row],[Available_h]]/tblFleet[[#This Row],[Calendar_h]],"")</f>
        <v/>
      </c>
      <c r="J1606" s="60">
        <f>IF(AND(tblFleet[[#This Row],[Units]]&lt;&gt;"",tblFleet[[#This Row],[Available_h]]&gt;0),tblFleet[[#This Row],[Operating_h]]/tblFleet[[#This Row],[Available_h]],"")</f>
        <v/>
      </c>
    </row>
    <row r="1607">
      <c r="A1607" s="54" t="n"/>
      <c r="B1607" s="61" t="n"/>
      <c r="C1607" s="62" t="n"/>
      <c r="D1607" s="57" t="n"/>
      <c r="E1607" s="57" t="n"/>
      <c r="F1607" s="58" t="n"/>
      <c r="G1607" s="66">
        <f>IF(tblFleet[[#This Row],[Units]]="","",tblFleet[[#This Row],[Units]]*24)</f>
        <v/>
      </c>
      <c r="H1607" s="66">
        <f>IF(tblFleet[[#This Row],[Units]]="","",tblFleet[[#This Row],[Calendar_h]]-tblFleet[[#This Row],[Down_h]])</f>
        <v/>
      </c>
      <c r="I1607" s="60">
        <f>IF(AND(tblFleet[[#This Row],[Units]]&lt;&gt;"",tblFleet[[#This Row],[Calendar_h]]&gt;0),tblFleet[[#This Row],[Available_h]]/tblFleet[[#This Row],[Calendar_h]],"")</f>
        <v/>
      </c>
      <c r="J1607" s="60">
        <f>IF(AND(tblFleet[[#This Row],[Units]]&lt;&gt;"",tblFleet[[#This Row],[Available_h]]&gt;0),tblFleet[[#This Row],[Operating_h]]/tblFleet[[#This Row],[Available_h]],"")</f>
        <v/>
      </c>
    </row>
    <row r="1608">
      <c r="A1608" s="54" t="n"/>
      <c r="B1608" s="61" t="n"/>
      <c r="C1608" s="62" t="n"/>
      <c r="D1608" s="57" t="n"/>
      <c r="E1608" s="57" t="n"/>
      <c r="F1608" s="58" t="n"/>
      <c r="G1608" s="66">
        <f>IF(tblFleet[[#This Row],[Units]]="","",tblFleet[[#This Row],[Units]]*24)</f>
        <v/>
      </c>
      <c r="H1608" s="66">
        <f>IF(tblFleet[[#This Row],[Units]]="","",tblFleet[[#This Row],[Calendar_h]]-tblFleet[[#This Row],[Down_h]])</f>
        <v/>
      </c>
      <c r="I1608" s="60">
        <f>IF(AND(tblFleet[[#This Row],[Units]]&lt;&gt;"",tblFleet[[#This Row],[Calendar_h]]&gt;0),tblFleet[[#This Row],[Available_h]]/tblFleet[[#This Row],[Calendar_h]],"")</f>
        <v/>
      </c>
      <c r="J1608" s="60">
        <f>IF(AND(tblFleet[[#This Row],[Units]]&lt;&gt;"",tblFleet[[#This Row],[Available_h]]&gt;0),tblFleet[[#This Row],[Operating_h]]/tblFleet[[#This Row],[Available_h]],"")</f>
        <v/>
      </c>
    </row>
    <row r="1609">
      <c r="A1609" s="54" t="n"/>
      <c r="B1609" s="61" t="n"/>
      <c r="C1609" s="62" t="n"/>
      <c r="D1609" s="57" t="n"/>
      <c r="E1609" s="57" t="n"/>
      <c r="F1609" s="58" t="n"/>
      <c r="G1609" s="66">
        <f>IF(tblFleet[[#This Row],[Units]]="","",tblFleet[[#This Row],[Units]]*24)</f>
        <v/>
      </c>
      <c r="H1609" s="66">
        <f>IF(tblFleet[[#This Row],[Units]]="","",tblFleet[[#This Row],[Calendar_h]]-tblFleet[[#This Row],[Down_h]])</f>
        <v/>
      </c>
      <c r="I1609" s="60">
        <f>IF(AND(tblFleet[[#This Row],[Units]]&lt;&gt;"",tblFleet[[#This Row],[Calendar_h]]&gt;0),tblFleet[[#This Row],[Available_h]]/tblFleet[[#This Row],[Calendar_h]],"")</f>
        <v/>
      </c>
      <c r="J1609" s="60">
        <f>IF(AND(tblFleet[[#This Row],[Units]]&lt;&gt;"",tblFleet[[#This Row],[Available_h]]&gt;0),tblFleet[[#This Row],[Operating_h]]/tblFleet[[#This Row],[Available_h]],"")</f>
        <v/>
      </c>
    </row>
    <row r="1610">
      <c r="A1610" s="54" t="n"/>
      <c r="B1610" s="61" t="n"/>
      <c r="C1610" s="62" t="n"/>
      <c r="D1610" s="57" t="n"/>
      <c r="E1610" s="57" t="n"/>
      <c r="F1610" s="58" t="n"/>
      <c r="G1610" s="66">
        <f>IF(tblFleet[[#This Row],[Units]]="","",tblFleet[[#This Row],[Units]]*24)</f>
        <v/>
      </c>
      <c r="H1610" s="66">
        <f>IF(tblFleet[[#This Row],[Units]]="","",tblFleet[[#This Row],[Calendar_h]]-tblFleet[[#This Row],[Down_h]])</f>
        <v/>
      </c>
      <c r="I1610" s="60">
        <f>IF(AND(tblFleet[[#This Row],[Units]]&lt;&gt;"",tblFleet[[#This Row],[Calendar_h]]&gt;0),tblFleet[[#This Row],[Available_h]]/tblFleet[[#This Row],[Calendar_h]],"")</f>
        <v/>
      </c>
      <c r="J1610" s="60">
        <f>IF(AND(tblFleet[[#This Row],[Units]]&lt;&gt;"",tblFleet[[#This Row],[Available_h]]&gt;0),tblFleet[[#This Row],[Operating_h]]/tblFleet[[#This Row],[Available_h]],"")</f>
        <v/>
      </c>
    </row>
    <row r="1611">
      <c r="A1611" s="54" t="n"/>
      <c r="B1611" s="61" t="n"/>
      <c r="C1611" s="62" t="n"/>
      <c r="D1611" s="57" t="n"/>
      <c r="E1611" s="57" t="n"/>
      <c r="F1611" s="58" t="n"/>
      <c r="G1611" s="66">
        <f>IF(tblFleet[[#This Row],[Units]]="","",tblFleet[[#This Row],[Units]]*24)</f>
        <v/>
      </c>
      <c r="H1611" s="66">
        <f>IF(tblFleet[[#This Row],[Units]]="","",tblFleet[[#This Row],[Calendar_h]]-tblFleet[[#This Row],[Down_h]])</f>
        <v/>
      </c>
      <c r="I1611" s="60">
        <f>IF(AND(tblFleet[[#This Row],[Units]]&lt;&gt;"",tblFleet[[#This Row],[Calendar_h]]&gt;0),tblFleet[[#This Row],[Available_h]]/tblFleet[[#This Row],[Calendar_h]],"")</f>
        <v/>
      </c>
      <c r="J1611" s="60">
        <f>IF(AND(tblFleet[[#This Row],[Units]]&lt;&gt;"",tblFleet[[#This Row],[Available_h]]&gt;0),tblFleet[[#This Row],[Operating_h]]/tblFleet[[#This Row],[Available_h]],"")</f>
        <v/>
      </c>
    </row>
    <row r="1612">
      <c r="A1612" s="54" t="n"/>
      <c r="B1612" s="61" t="n"/>
      <c r="C1612" s="62" t="n"/>
      <c r="D1612" s="57" t="n"/>
      <c r="E1612" s="57" t="n"/>
      <c r="F1612" s="58" t="n"/>
      <c r="G1612" s="66">
        <f>IF(tblFleet[[#This Row],[Units]]="","",tblFleet[[#This Row],[Units]]*24)</f>
        <v/>
      </c>
      <c r="H1612" s="66">
        <f>IF(tblFleet[[#This Row],[Units]]="","",tblFleet[[#This Row],[Calendar_h]]-tblFleet[[#This Row],[Down_h]])</f>
        <v/>
      </c>
      <c r="I1612" s="60">
        <f>IF(AND(tblFleet[[#This Row],[Units]]&lt;&gt;"",tblFleet[[#This Row],[Calendar_h]]&gt;0),tblFleet[[#This Row],[Available_h]]/tblFleet[[#This Row],[Calendar_h]],"")</f>
        <v/>
      </c>
      <c r="J1612" s="60">
        <f>IF(AND(tblFleet[[#This Row],[Units]]&lt;&gt;"",tblFleet[[#This Row],[Available_h]]&gt;0),tblFleet[[#This Row],[Operating_h]]/tblFleet[[#This Row],[Available_h]],"")</f>
        <v/>
      </c>
    </row>
    <row r="1613">
      <c r="A1613" s="54" t="n"/>
      <c r="B1613" s="61" t="n"/>
      <c r="C1613" s="62" t="n"/>
      <c r="D1613" s="57" t="n"/>
      <c r="E1613" s="57" t="n"/>
      <c r="F1613" s="58" t="n"/>
      <c r="G1613" s="66">
        <f>IF(tblFleet[[#This Row],[Units]]="","",tblFleet[[#This Row],[Units]]*24)</f>
        <v/>
      </c>
      <c r="H1613" s="66">
        <f>IF(tblFleet[[#This Row],[Units]]="","",tblFleet[[#This Row],[Calendar_h]]-tblFleet[[#This Row],[Down_h]])</f>
        <v/>
      </c>
      <c r="I1613" s="60">
        <f>IF(AND(tblFleet[[#This Row],[Units]]&lt;&gt;"",tblFleet[[#This Row],[Calendar_h]]&gt;0),tblFleet[[#This Row],[Available_h]]/tblFleet[[#This Row],[Calendar_h]],"")</f>
        <v/>
      </c>
      <c r="J1613" s="60">
        <f>IF(AND(tblFleet[[#This Row],[Units]]&lt;&gt;"",tblFleet[[#This Row],[Available_h]]&gt;0),tblFleet[[#This Row],[Operating_h]]/tblFleet[[#This Row],[Available_h]],"")</f>
        <v/>
      </c>
    </row>
    <row r="1614">
      <c r="A1614" s="54" t="n"/>
      <c r="B1614" s="61" t="n"/>
      <c r="C1614" s="62" t="n"/>
      <c r="D1614" s="57" t="n"/>
      <c r="E1614" s="57" t="n"/>
      <c r="F1614" s="58" t="n"/>
      <c r="G1614" s="66">
        <f>IF(tblFleet[[#This Row],[Units]]="","",tblFleet[[#This Row],[Units]]*24)</f>
        <v/>
      </c>
      <c r="H1614" s="66">
        <f>IF(tblFleet[[#This Row],[Units]]="","",tblFleet[[#This Row],[Calendar_h]]-tblFleet[[#This Row],[Down_h]])</f>
        <v/>
      </c>
      <c r="I1614" s="60">
        <f>IF(AND(tblFleet[[#This Row],[Units]]&lt;&gt;"",tblFleet[[#This Row],[Calendar_h]]&gt;0),tblFleet[[#This Row],[Available_h]]/tblFleet[[#This Row],[Calendar_h]],"")</f>
        <v/>
      </c>
      <c r="J1614" s="60">
        <f>IF(AND(tblFleet[[#This Row],[Units]]&lt;&gt;"",tblFleet[[#This Row],[Available_h]]&gt;0),tblFleet[[#This Row],[Operating_h]]/tblFleet[[#This Row],[Available_h]],"")</f>
        <v/>
      </c>
    </row>
    <row r="1615">
      <c r="A1615" s="54" t="n"/>
      <c r="B1615" s="61" t="n"/>
      <c r="C1615" s="62" t="n"/>
      <c r="D1615" s="57" t="n"/>
      <c r="E1615" s="57" t="n"/>
      <c r="F1615" s="58" t="n"/>
      <c r="G1615" s="66">
        <f>IF(tblFleet[[#This Row],[Units]]="","",tblFleet[[#This Row],[Units]]*24)</f>
        <v/>
      </c>
      <c r="H1615" s="66">
        <f>IF(tblFleet[[#This Row],[Units]]="","",tblFleet[[#This Row],[Calendar_h]]-tblFleet[[#This Row],[Down_h]])</f>
        <v/>
      </c>
      <c r="I1615" s="60">
        <f>IF(AND(tblFleet[[#This Row],[Units]]&lt;&gt;"",tblFleet[[#This Row],[Calendar_h]]&gt;0),tblFleet[[#This Row],[Available_h]]/tblFleet[[#This Row],[Calendar_h]],"")</f>
        <v/>
      </c>
      <c r="J1615" s="60">
        <f>IF(AND(tblFleet[[#This Row],[Units]]&lt;&gt;"",tblFleet[[#This Row],[Available_h]]&gt;0),tblFleet[[#This Row],[Operating_h]]/tblFleet[[#This Row],[Available_h]],"")</f>
        <v/>
      </c>
    </row>
    <row r="1616">
      <c r="A1616" s="54" t="n"/>
      <c r="B1616" s="61" t="n"/>
      <c r="C1616" s="62" t="n"/>
      <c r="D1616" s="57" t="n"/>
      <c r="E1616" s="57" t="n"/>
      <c r="F1616" s="58" t="n"/>
      <c r="G1616" s="66">
        <f>IF(tblFleet[[#This Row],[Units]]="","",tblFleet[[#This Row],[Units]]*24)</f>
        <v/>
      </c>
      <c r="H1616" s="66">
        <f>IF(tblFleet[[#This Row],[Units]]="","",tblFleet[[#This Row],[Calendar_h]]-tblFleet[[#This Row],[Down_h]])</f>
        <v/>
      </c>
      <c r="I1616" s="60">
        <f>IF(AND(tblFleet[[#This Row],[Units]]&lt;&gt;"",tblFleet[[#This Row],[Calendar_h]]&gt;0),tblFleet[[#This Row],[Available_h]]/tblFleet[[#This Row],[Calendar_h]],"")</f>
        <v/>
      </c>
      <c r="J1616" s="60">
        <f>IF(AND(tblFleet[[#This Row],[Units]]&lt;&gt;"",tblFleet[[#This Row],[Available_h]]&gt;0),tblFleet[[#This Row],[Operating_h]]/tblFleet[[#This Row],[Available_h]],"")</f>
        <v/>
      </c>
    </row>
    <row r="1617">
      <c r="A1617" s="54" t="n"/>
      <c r="B1617" s="61" t="n"/>
      <c r="C1617" s="62" t="n"/>
      <c r="D1617" s="57" t="n"/>
      <c r="E1617" s="57" t="n"/>
      <c r="F1617" s="58" t="n"/>
      <c r="G1617" s="66">
        <f>IF(tblFleet[[#This Row],[Units]]="","",tblFleet[[#This Row],[Units]]*24)</f>
        <v/>
      </c>
      <c r="H1617" s="66">
        <f>IF(tblFleet[[#This Row],[Units]]="","",tblFleet[[#This Row],[Calendar_h]]-tblFleet[[#This Row],[Down_h]])</f>
        <v/>
      </c>
      <c r="I1617" s="60">
        <f>IF(AND(tblFleet[[#This Row],[Units]]&lt;&gt;"",tblFleet[[#This Row],[Calendar_h]]&gt;0),tblFleet[[#This Row],[Available_h]]/tblFleet[[#This Row],[Calendar_h]],"")</f>
        <v/>
      </c>
      <c r="J1617" s="60">
        <f>IF(AND(tblFleet[[#This Row],[Units]]&lt;&gt;"",tblFleet[[#This Row],[Available_h]]&gt;0),tblFleet[[#This Row],[Operating_h]]/tblFleet[[#This Row],[Available_h]],"")</f>
        <v/>
      </c>
    </row>
    <row r="1618">
      <c r="A1618" s="54" t="n"/>
      <c r="B1618" s="61" t="n"/>
      <c r="C1618" s="62" t="n"/>
      <c r="D1618" s="57" t="n"/>
      <c r="E1618" s="57" t="n"/>
      <c r="F1618" s="58" t="n"/>
      <c r="G1618" s="66">
        <f>IF(tblFleet[[#This Row],[Units]]="","",tblFleet[[#This Row],[Units]]*24)</f>
        <v/>
      </c>
      <c r="H1618" s="66">
        <f>IF(tblFleet[[#This Row],[Units]]="","",tblFleet[[#This Row],[Calendar_h]]-tblFleet[[#This Row],[Down_h]])</f>
        <v/>
      </c>
      <c r="I1618" s="60">
        <f>IF(AND(tblFleet[[#This Row],[Units]]&lt;&gt;"",tblFleet[[#This Row],[Calendar_h]]&gt;0),tblFleet[[#This Row],[Available_h]]/tblFleet[[#This Row],[Calendar_h]],"")</f>
        <v/>
      </c>
      <c r="J1618" s="60">
        <f>IF(AND(tblFleet[[#This Row],[Units]]&lt;&gt;"",tblFleet[[#This Row],[Available_h]]&gt;0),tblFleet[[#This Row],[Operating_h]]/tblFleet[[#This Row],[Available_h]],"")</f>
        <v/>
      </c>
    </row>
    <row r="1619">
      <c r="A1619" s="54" t="n"/>
      <c r="B1619" s="61" t="n"/>
      <c r="C1619" s="62" t="n"/>
      <c r="D1619" s="57" t="n"/>
      <c r="E1619" s="57" t="n"/>
      <c r="F1619" s="58" t="n"/>
      <c r="G1619" s="66">
        <f>IF(tblFleet[[#This Row],[Units]]="","",tblFleet[[#This Row],[Units]]*24)</f>
        <v/>
      </c>
      <c r="H1619" s="66">
        <f>IF(tblFleet[[#This Row],[Units]]="","",tblFleet[[#This Row],[Calendar_h]]-tblFleet[[#This Row],[Down_h]])</f>
        <v/>
      </c>
      <c r="I1619" s="60">
        <f>IF(AND(tblFleet[[#This Row],[Units]]&lt;&gt;"",tblFleet[[#This Row],[Calendar_h]]&gt;0),tblFleet[[#This Row],[Available_h]]/tblFleet[[#This Row],[Calendar_h]],"")</f>
        <v/>
      </c>
      <c r="J1619" s="60">
        <f>IF(AND(tblFleet[[#This Row],[Units]]&lt;&gt;"",tblFleet[[#This Row],[Available_h]]&gt;0),tblFleet[[#This Row],[Operating_h]]/tblFleet[[#This Row],[Available_h]],"")</f>
        <v/>
      </c>
    </row>
    <row r="1620">
      <c r="A1620" s="54" t="n"/>
      <c r="B1620" s="61" t="n"/>
      <c r="C1620" s="62" t="n"/>
      <c r="D1620" s="57" t="n"/>
      <c r="E1620" s="57" t="n"/>
      <c r="F1620" s="58" t="n"/>
      <c r="G1620" s="66">
        <f>IF(tblFleet[[#This Row],[Units]]="","",tblFleet[[#This Row],[Units]]*24)</f>
        <v/>
      </c>
      <c r="H1620" s="66">
        <f>IF(tblFleet[[#This Row],[Units]]="","",tblFleet[[#This Row],[Calendar_h]]-tblFleet[[#This Row],[Down_h]])</f>
        <v/>
      </c>
      <c r="I1620" s="60">
        <f>IF(AND(tblFleet[[#This Row],[Units]]&lt;&gt;"",tblFleet[[#This Row],[Calendar_h]]&gt;0),tblFleet[[#This Row],[Available_h]]/tblFleet[[#This Row],[Calendar_h]],"")</f>
        <v/>
      </c>
      <c r="J1620" s="60">
        <f>IF(AND(tblFleet[[#This Row],[Units]]&lt;&gt;"",tblFleet[[#This Row],[Available_h]]&gt;0),tblFleet[[#This Row],[Operating_h]]/tblFleet[[#This Row],[Available_h]],"")</f>
        <v/>
      </c>
    </row>
    <row r="1621">
      <c r="A1621" s="54" t="n"/>
      <c r="B1621" s="61" t="n"/>
      <c r="C1621" s="62" t="n"/>
      <c r="D1621" s="57" t="n"/>
      <c r="E1621" s="57" t="n"/>
      <c r="F1621" s="58" t="n"/>
      <c r="G1621" s="66">
        <f>IF(tblFleet[[#This Row],[Units]]="","",tblFleet[[#This Row],[Units]]*24)</f>
        <v/>
      </c>
      <c r="H1621" s="66">
        <f>IF(tblFleet[[#This Row],[Units]]="","",tblFleet[[#This Row],[Calendar_h]]-tblFleet[[#This Row],[Down_h]])</f>
        <v/>
      </c>
      <c r="I1621" s="60">
        <f>IF(AND(tblFleet[[#This Row],[Units]]&lt;&gt;"",tblFleet[[#This Row],[Calendar_h]]&gt;0),tblFleet[[#This Row],[Available_h]]/tblFleet[[#This Row],[Calendar_h]],"")</f>
        <v/>
      </c>
      <c r="J1621" s="60">
        <f>IF(AND(tblFleet[[#This Row],[Units]]&lt;&gt;"",tblFleet[[#This Row],[Available_h]]&gt;0),tblFleet[[#This Row],[Operating_h]]/tblFleet[[#This Row],[Available_h]],"")</f>
        <v/>
      </c>
    </row>
    <row r="1622">
      <c r="A1622" s="54" t="n"/>
      <c r="B1622" s="61" t="n"/>
      <c r="C1622" s="62" t="n"/>
      <c r="D1622" s="57" t="n"/>
      <c r="E1622" s="57" t="n"/>
      <c r="F1622" s="58" t="n"/>
      <c r="G1622" s="66">
        <f>IF(tblFleet[[#This Row],[Units]]="","",tblFleet[[#This Row],[Units]]*24)</f>
        <v/>
      </c>
      <c r="H1622" s="66">
        <f>IF(tblFleet[[#This Row],[Units]]="","",tblFleet[[#This Row],[Calendar_h]]-tblFleet[[#This Row],[Down_h]])</f>
        <v/>
      </c>
      <c r="I1622" s="60">
        <f>IF(AND(tblFleet[[#This Row],[Units]]&lt;&gt;"",tblFleet[[#This Row],[Calendar_h]]&gt;0),tblFleet[[#This Row],[Available_h]]/tblFleet[[#This Row],[Calendar_h]],"")</f>
        <v/>
      </c>
      <c r="J1622" s="60">
        <f>IF(AND(tblFleet[[#This Row],[Units]]&lt;&gt;"",tblFleet[[#This Row],[Available_h]]&gt;0),tblFleet[[#This Row],[Operating_h]]/tblFleet[[#This Row],[Available_h]],"")</f>
        <v/>
      </c>
    </row>
    <row r="1623">
      <c r="A1623" s="54" t="n"/>
      <c r="B1623" s="61" t="n"/>
      <c r="C1623" s="62" t="n"/>
      <c r="D1623" s="57" t="n"/>
      <c r="E1623" s="57" t="n"/>
      <c r="F1623" s="58" t="n"/>
      <c r="G1623" s="66">
        <f>IF(tblFleet[[#This Row],[Units]]="","",tblFleet[[#This Row],[Units]]*24)</f>
        <v/>
      </c>
      <c r="H1623" s="66">
        <f>IF(tblFleet[[#This Row],[Units]]="","",tblFleet[[#This Row],[Calendar_h]]-tblFleet[[#This Row],[Down_h]])</f>
        <v/>
      </c>
      <c r="I1623" s="60">
        <f>IF(AND(tblFleet[[#This Row],[Units]]&lt;&gt;"",tblFleet[[#This Row],[Calendar_h]]&gt;0),tblFleet[[#This Row],[Available_h]]/tblFleet[[#This Row],[Calendar_h]],"")</f>
        <v/>
      </c>
      <c r="J1623" s="60">
        <f>IF(AND(tblFleet[[#This Row],[Units]]&lt;&gt;"",tblFleet[[#This Row],[Available_h]]&gt;0),tblFleet[[#This Row],[Operating_h]]/tblFleet[[#This Row],[Available_h]],"")</f>
        <v/>
      </c>
    </row>
    <row r="1624">
      <c r="A1624" s="54" t="n"/>
      <c r="B1624" s="61" t="n"/>
      <c r="C1624" s="62" t="n"/>
      <c r="D1624" s="57" t="n"/>
      <c r="E1624" s="57" t="n"/>
      <c r="F1624" s="58" t="n"/>
      <c r="G1624" s="66">
        <f>IF(tblFleet[[#This Row],[Units]]="","",tblFleet[[#This Row],[Units]]*24)</f>
        <v/>
      </c>
      <c r="H1624" s="66">
        <f>IF(tblFleet[[#This Row],[Units]]="","",tblFleet[[#This Row],[Calendar_h]]-tblFleet[[#This Row],[Down_h]])</f>
        <v/>
      </c>
      <c r="I1624" s="60">
        <f>IF(AND(tblFleet[[#This Row],[Units]]&lt;&gt;"",tblFleet[[#This Row],[Calendar_h]]&gt;0),tblFleet[[#This Row],[Available_h]]/tblFleet[[#This Row],[Calendar_h]],"")</f>
        <v/>
      </c>
      <c r="J1624" s="60">
        <f>IF(AND(tblFleet[[#This Row],[Units]]&lt;&gt;"",tblFleet[[#This Row],[Available_h]]&gt;0),tblFleet[[#This Row],[Operating_h]]/tblFleet[[#This Row],[Available_h]],"")</f>
        <v/>
      </c>
    </row>
    <row r="1625">
      <c r="A1625" s="54" t="n"/>
      <c r="B1625" s="61" t="n"/>
      <c r="C1625" s="62" t="n"/>
      <c r="D1625" s="57" t="n"/>
      <c r="E1625" s="57" t="n"/>
      <c r="F1625" s="58" t="n"/>
      <c r="G1625" s="66">
        <f>IF(tblFleet[[#This Row],[Units]]="","",tblFleet[[#This Row],[Units]]*24)</f>
        <v/>
      </c>
      <c r="H1625" s="66">
        <f>IF(tblFleet[[#This Row],[Units]]="","",tblFleet[[#This Row],[Calendar_h]]-tblFleet[[#This Row],[Down_h]])</f>
        <v/>
      </c>
      <c r="I1625" s="60">
        <f>IF(AND(tblFleet[[#This Row],[Units]]&lt;&gt;"",tblFleet[[#This Row],[Calendar_h]]&gt;0),tblFleet[[#This Row],[Available_h]]/tblFleet[[#This Row],[Calendar_h]],"")</f>
        <v/>
      </c>
      <c r="J1625" s="60">
        <f>IF(AND(tblFleet[[#This Row],[Units]]&lt;&gt;"",tblFleet[[#This Row],[Available_h]]&gt;0),tblFleet[[#This Row],[Operating_h]]/tblFleet[[#This Row],[Available_h]],"")</f>
        <v/>
      </c>
    </row>
    <row r="1626">
      <c r="A1626" s="54" t="n"/>
      <c r="B1626" s="61" t="n"/>
      <c r="C1626" s="62" t="n"/>
      <c r="D1626" s="57" t="n"/>
      <c r="E1626" s="57" t="n"/>
      <c r="F1626" s="58" t="n"/>
      <c r="G1626" s="66">
        <f>IF(tblFleet[[#This Row],[Units]]="","",tblFleet[[#This Row],[Units]]*24)</f>
        <v/>
      </c>
      <c r="H1626" s="66">
        <f>IF(tblFleet[[#This Row],[Units]]="","",tblFleet[[#This Row],[Calendar_h]]-tblFleet[[#This Row],[Down_h]])</f>
        <v/>
      </c>
      <c r="I1626" s="60">
        <f>IF(AND(tblFleet[[#This Row],[Units]]&lt;&gt;"",tblFleet[[#This Row],[Calendar_h]]&gt;0),tblFleet[[#This Row],[Available_h]]/tblFleet[[#This Row],[Calendar_h]],"")</f>
        <v/>
      </c>
      <c r="J1626" s="60">
        <f>IF(AND(tblFleet[[#This Row],[Units]]&lt;&gt;"",tblFleet[[#This Row],[Available_h]]&gt;0),tblFleet[[#This Row],[Operating_h]]/tblFleet[[#This Row],[Available_h]],"")</f>
        <v/>
      </c>
    </row>
    <row r="1627">
      <c r="A1627" s="54" t="n"/>
      <c r="B1627" s="61" t="n"/>
      <c r="C1627" s="62" t="n"/>
      <c r="D1627" s="57" t="n"/>
      <c r="E1627" s="57" t="n"/>
      <c r="F1627" s="58" t="n"/>
      <c r="G1627" s="66">
        <f>IF(tblFleet[[#This Row],[Units]]="","",tblFleet[[#This Row],[Units]]*24)</f>
        <v/>
      </c>
      <c r="H1627" s="66">
        <f>IF(tblFleet[[#This Row],[Units]]="","",tblFleet[[#This Row],[Calendar_h]]-tblFleet[[#This Row],[Down_h]])</f>
        <v/>
      </c>
      <c r="I1627" s="60">
        <f>IF(AND(tblFleet[[#This Row],[Units]]&lt;&gt;"",tblFleet[[#This Row],[Calendar_h]]&gt;0),tblFleet[[#This Row],[Available_h]]/tblFleet[[#This Row],[Calendar_h]],"")</f>
        <v/>
      </c>
      <c r="J1627" s="60">
        <f>IF(AND(tblFleet[[#This Row],[Units]]&lt;&gt;"",tblFleet[[#This Row],[Available_h]]&gt;0),tblFleet[[#This Row],[Operating_h]]/tblFleet[[#This Row],[Available_h]],"")</f>
        <v/>
      </c>
    </row>
    <row r="1628">
      <c r="A1628" s="54" t="n"/>
      <c r="B1628" s="61" t="n"/>
      <c r="C1628" s="62" t="n"/>
      <c r="D1628" s="57" t="n"/>
      <c r="E1628" s="57" t="n"/>
      <c r="F1628" s="58" t="n"/>
      <c r="G1628" s="66">
        <f>IF(tblFleet[[#This Row],[Units]]="","",tblFleet[[#This Row],[Units]]*24)</f>
        <v/>
      </c>
      <c r="H1628" s="66">
        <f>IF(tblFleet[[#This Row],[Units]]="","",tblFleet[[#This Row],[Calendar_h]]-tblFleet[[#This Row],[Down_h]])</f>
        <v/>
      </c>
      <c r="I1628" s="60">
        <f>IF(AND(tblFleet[[#This Row],[Units]]&lt;&gt;"",tblFleet[[#This Row],[Calendar_h]]&gt;0),tblFleet[[#This Row],[Available_h]]/tblFleet[[#This Row],[Calendar_h]],"")</f>
        <v/>
      </c>
      <c r="J1628" s="60">
        <f>IF(AND(tblFleet[[#This Row],[Units]]&lt;&gt;"",tblFleet[[#This Row],[Available_h]]&gt;0),tblFleet[[#This Row],[Operating_h]]/tblFleet[[#This Row],[Available_h]],"")</f>
        <v/>
      </c>
    </row>
    <row r="1629">
      <c r="A1629" s="54" t="n"/>
      <c r="B1629" s="61" t="n"/>
      <c r="C1629" s="62" t="n"/>
      <c r="D1629" s="57" t="n"/>
      <c r="E1629" s="57" t="n"/>
      <c r="F1629" s="58" t="n"/>
      <c r="G1629" s="66">
        <f>IF(tblFleet[[#This Row],[Units]]="","",tblFleet[[#This Row],[Units]]*24)</f>
        <v/>
      </c>
      <c r="H1629" s="66">
        <f>IF(tblFleet[[#This Row],[Units]]="","",tblFleet[[#This Row],[Calendar_h]]-tblFleet[[#This Row],[Down_h]])</f>
        <v/>
      </c>
      <c r="I1629" s="60">
        <f>IF(AND(tblFleet[[#This Row],[Units]]&lt;&gt;"",tblFleet[[#This Row],[Calendar_h]]&gt;0),tblFleet[[#This Row],[Available_h]]/tblFleet[[#This Row],[Calendar_h]],"")</f>
        <v/>
      </c>
      <c r="J1629" s="60">
        <f>IF(AND(tblFleet[[#This Row],[Units]]&lt;&gt;"",tblFleet[[#This Row],[Available_h]]&gt;0),tblFleet[[#This Row],[Operating_h]]/tblFleet[[#This Row],[Available_h]],"")</f>
        <v/>
      </c>
    </row>
    <row r="1630">
      <c r="A1630" s="54" t="n"/>
      <c r="B1630" s="61" t="n"/>
      <c r="C1630" s="62" t="n"/>
      <c r="D1630" s="57" t="n"/>
      <c r="E1630" s="57" t="n"/>
      <c r="F1630" s="58" t="n"/>
      <c r="G1630" s="66">
        <f>IF(tblFleet[[#This Row],[Units]]="","",tblFleet[[#This Row],[Units]]*24)</f>
        <v/>
      </c>
      <c r="H1630" s="66">
        <f>IF(tblFleet[[#This Row],[Units]]="","",tblFleet[[#This Row],[Calendar_h]]-tblFleet[[#This Row],[Down_h]])</f>
        <v/>
      </c>
      <c r="I1630" s="60">
        <f>IF(AND(tblFleet[[#This Row],[Units]]&lt;&gt;"",tblFleet[[#This Row],[Calendar_h]]&gt;0),tblFleet[[#This Row],[Available_h]]/tblFleet[[#This Row],[Calendar_h]],"")</f>
        <v/>
      </c>
      <c r="J1630" s="60">
        <f>IF(AND(tblFleet[[#This Row],[Units]]&lt;&gt;"",tblFleet[[#This Row],[Available_h]]&gt;0),tblFleet[[#This Row],[Operating_h]]/tblFleet[[#This Row],[Available_h]],"")</f>
        <v/>
      </c>
    </row>
    <row r="1631">
      <c r="A1631" s="54" t="n"/>
      <c r="B1631" s="61" t="n"/>
      <c r="C1631" s="62" t="n"/>
      <c r="D1631" s="57" t="n"/>
      <c r="E1631" s="57" t="n"/>
      <c r="F1631" s="58" t="n"/>
      <c r="G1631" s="66">
        <f>IF(tblFleet[[#This Row],[Units]]="","",tblFleet[[#This Row],[Units]]*24)</f>
        <v/>
      </c>
      <c r="H1631" s="66">
        <f>IF(tblFleet[[#This Row],[Units]]="","",tblFleet[[#This Row],[Calendar_h]]-tblFleet[[#This Row],[Down_h]])</f>
        <v/>
      </c>
      <c r="I1631" s="60">
        <f>IF(AND(tblFleet[[#This Row],[Units]]&lt;&gt;"",tblFleet[[#This Row],[Calendar_h]]&gt;0),tblFleet[[#This Row],[Available_h]]/tblFleet[[#This Row],[Calendar_h]],"")</f>
        <v/>
      </c>
      <c r="J1631" s="60">
        <f>IF(AND(tblFleet[[#This Row],[Units]]&lt;&gt;"",tblFleet[[#This Row],[Available_h]]&gt;0),tblFleet[[#This Row],[Operating_h]]/tblFleet[[#This Row],[Available_h]],"")</f>
        <v/>
      </c>
    </row>
    <row r="1632">
      <c r="A1632" s="54" t="n"/>
      <c r="B1632" s="61" t="n"/>
      <c r="C1632" s="62" t="n"/>
      <c r="D1632" s="57" t="n"/>
      <c r="E1632" s="57" t="n"/>
      <c r="F1632" s="58" t="n"/>
      <c r="G1632" s="66">
        <f>IF(tblFleet[[#This Row],[Units]]="","",tblFleet[[#This Row],[Units]]*24)</f>
        <v/>
      </c>
      <c r="H1632" s="66">
        <f>IF(tblFleet[[#This Row],[Units]]="","",tblFleet[[#This Row],[Calendar_h]]-tblFleet[[#This Row],[Down_h]])</f>
        <v/>
      </c>
      <c r="I1632" s="60">
        <f>IF(AND(tblFleet[[#This Row],[Units]]&lt;&gt;"",tblFleet[[#This Row],[Calendar_h]]&gt;0),tblFleet[[#This Row],[Available_h]]/tblFleet[[#This Row],[Calendar_h]],"")</f>
        <v/>
      </c>
      <c r="J1632" s="60">
        <f>IF(AND(tblFleet[[#This Row],[Units]]&lt;&gt;"",tblFleet[[#This Row],[Available_h]]&gt;0),tblFleet[[#This Row],[Operating_h]]/tblFleet[[#This Row],[Available_h]],"")</f>
        <v/>
      </c>
    </row>
    <row r="1633">
      <c r="A1633" s="54" t="n"/>
      <c r="B1633" s="61" t="n"/>
      <c r="C1633" s="62" t="n"/>
      <c r="D1633" s="57" t="n"/>
      <c r="E1633" s="57" t="n"/>
      <c r="F1633" s="58" t="n"/>
      <c r="G1633" s="66">
        <f>IF(tblFleet[[#This Row],[Units]]="","",tblFleet[[#This Row],[Units]]*24)</f>
        <v/>
      </c>
      <c r="H1633" s="66">
        <f>IF(tblFleet[[#This Row],[Units]]="","",tblFleet[[#This Row],[Calendar_h]]-tblFleet[[#This Row],[Down_h]])</f>
        <v/>
      </c>
      <c r="I1633" s="60">
        <f>IF(AND(tblFleet[[#This Row],[Units]]&lt;&gt;"",tblFleet[[#This Row],[Calendar_h]]&gt;0),tblFleet[[#This Row],[Available_h]]/tblFleet[[#This Row],[Calendar_h]],"")</f>
        <v/>
      </c>
      <c r="J1633" s="60">
        <f>IF(AND(tblFleet[[#This Row],[Units]]&lt;&gt;"",tblFleet[[#This Row],[Available_h]]&gt;0),tblFleet[[#This Row],[Operating_h]]/tblFleet[[#This Row],[Available_h]],"")</f>
        <v/>
      </c>
    </row>
    <row r="1634">
      <c r="A1634" s="54" t="n"/>
      <c r="B1634" s="61" t="n"/>
      <c r="C1634" s="62" t="n"/>
      <c r="D1634" s="57" t="n"/>
      <c r="E1634" s="57" t="n"/>
      <c r="F1634" s="58" t="n"/>
      <c r="G1634" s="66">
        <f>IF(tblFleet[[#This Row],[Units]]="","",tblFleet[[#This Row],[Units]]*24)</f>
        <v/>
      </c>
      <c r="H1634" s="66">
        <f>IF(tblFleet[[#This Row],[Units]]="","",tblFleet[[#This Row],[Calendar_h]]-tblFleet[[#This Row],[Down_h]])</f>
        <v/>
      </c>
      <c r="I1634" s="60">
        <f>IF(AND(tblFleet[[#This Row],[Units]]&lt;&gt;"",tblFleet[[#This Row],[Calendar_h]]&gt;0),tblFleet[[#This Row],[Available_h]]/tblFleet[[#This Row],[Calendar_h]],"")</f>
        <v/>
      </c>
      <c r="J1634" s="60">
        <f>IF(AND(tblFleet[[#This Row],[Units]]&lt;&gt;"",tblFleet[[#This Row],[Available_h]]&gt;0),tblFleet[[#This Row],[Operating_h]]/tblFleet[[#This Row],[Available_h]],"")</f>
        <v/>
      </c>
    </row>
    <row r="1635">
      <c r="A1635" s="54" t="n"/>
      <c r="B1635" s="61" t="n"/>
      <c r="C1635" s="62" t="n"/>
      <c r="D1635" s="57" t="n"/>
      <c r="E1635" s="57" t="n"/>
      <c r="F1635" s="58" t="n"/>
      <c r="G1635" s="66">
        <f>IF(tblFleet[[#This Row],[Units]]="","",tblFleet[[#This Row],[Units]]*24)</f>
        <v/>
      </c>
      <c r="H1635" s="66">
        <f>IF(tblFleet[[#This Row],[Units]]="","",tblFleet[[#This Row],[Calendar_h]]-tblFleet[[#This Row],[Down_h]])</f>
        <v/>
      </c>
      <c r="I1635" s="60">
        <f>IF(AND(tblFleet[[#This Row],[Units]]&lt;&gt;"",tblFleet[[#This Row],[Calendar_h]]&gt;0),tblFleet[[#This Row],[Available_h]]/tblFleet[[#This Row],[Calendar_h]],"")</f>
        <v/>
      </c>
      <c r="J1635" s="60">
        <f>IF(AND(tblFleet[[#This Row],[Units]]&lt;&gt;"",tblFleet[[#This Row],[Available_h]]&gt;0),tblFleet[[#This Row],[Operating_h]]/tblFleet[[#This Row],[Available_h]],"")</f>
        <v/>
      </c>
    </row>
    <row r="1636">
      <c r="A1636" s="54" t="n"/>
      <c r="B1636" s="61" t="n"/>
      <c r="C1636" s="62" t="n"/>
      <c r="D1636" s="57" t="n"/>
      <c r="E1636" s="57" t="n"/>
      <c r="F1636" s="58" t="n"/>
      <c r="G1636" s="66">
        <f>IF(tblFleet[[#This Row],[Units]]="","",tblFleet[[#This Row],[Units]]*24)</f>
        <v/>
      </c>
      <c r="H1636" s="66">
        <f>IF(tblFleet[[#This Row],[Units]]="","",tblFleet[[#This Row],[Calendar_h]]-tblFleet[[#This Row],[Down_h]])</f>
        <v/>
      </c>
      <c r="I1636" s="60">
        <f>IF(AND(tblFleet[[#This Row],[Units]]&lt;&gt;"",tblFleet[[#This Row],[Calendar_h]]&gt;0),tblFleet[[#This Row],[Available_h]]/tblFleet[[#This Row],[Calendar_h]],"")</f>
        <v/>
      </c>
      <c r="J1636" s="60">
        <f>IF(AND(tblFleet[[#This Row],[Units]]&lt;&gt;"",tblFleet[[#This Row],[Available_h]]&gt;0),tblFleet[[#This Row],[Operating_h]]/tblFleet[[#This Row],[Available_h]],"")</f>
        <v/>
      </c>
    </row>
    <row r="1637">
      <c r="A1637" s="54" t="n"/>
      <c r="B1637" s="61" t="n"/>
      <c r="C1637" s="62" t="n"/>
      <c r="D1637" s="57" t="n"/>
      <c r="E1637" s="57" t="n"/>
      <c r="F1637" s="58" t="n"/>
      <c r="G1637" s="66">
        <f>IF(tblFleet[[#This Row],[Units]]="","",tblFleet[[#This Row],[Units]]*24)</f>
        <v/>
      </c>
      <c r="H1637" s="66">
        <f>IF(tblFleet[[#This Row],[Units]]="","",tblFleet[[#This Row],[Calendar_h]]-tblFleet[[#This Row],[Down_h]])</f>
        <v/>
      </c>
      <c r="I1637" s="60">
        <f>IF(AND(tblFleet[[#This Row],[Units]]&lt;&gt;"",tblFleet[[#This Row],[Calendar_h]]&gt;0),tblFleet[[#This Row],[Available_h]]/tblFleet[[#This Row],[Calendar_h]],"")</f>
        <v/>
      </c>
      <c r="J1637" s="60">
        <f>IF(AND(tblFleet[[#This Row],[Units]]&lt;&gt;"",tblFleet[[#This Row],[Available_h]]&gt;0),tblFleet[[#This Row],[Operating_h]]/tblFleet[[#This Row],[Available_h]],"")</f>
        <v/>
      </c>
    </row>
    <row r="1638">
      <c r="A1638" s="54" t="n"/>
      <c r="B1638" s="61" t="n"/>
      <c r="C1638" s="62" t="n"/>
      <c r="D1638" s="57" t="n"/>
      <c r="E1638" s="57" t="n"/>
      <c r="F1638" s="58" t="n"/>
      <c r="G1638" s="66">
        <f>IF(tblFleet[[#This Row],[Units]]="","",tblFleet[[#This Row],[Units]]*24)</f>
        <v/>
      </c>
      <c r="H1638" s="66">
        <f>IF(tblFleet[[#This Row],[Units]]="","",tblFleet[[#This Row],[Calendar_h]]-tblFleet[[#This Row],[Down_h]])</f>
        <v/>
      </c>
      <c r="I1638" s="60">
        <f>IF(AND(tblFleet[[#This Row],[Units]]&lt;&gt;"",tblFleet[[#This Row],[Calendar_h]]&gt;0),tblFleet[[#This Row],[Available_h]]/tblFleet[[#This Row],[Calendar_h]],"")</f>
        <v/>
      </c>
      <c r="J1638" s="60">
        <f>IF(AND(tblFleet[[#This Row],[Units]]&lt;&gt;"",tblFleet[[#This Row],[Available_h]]&gt;0),tblFleet[[#This Row],[Operating_h]]/tblFleet[[#This Row],[Available_h]],"")</f>
        <v/>
      </c>
    </row>
    <row r="1639">
      <c r="A1639" s="54" t="n"/>
      <c r="B1639" s="61" t="n"/>
      <c r="C1639" s="62" t="n"/>
      <c r="D1639" s="57" t="n"/>
      <c r="E1639" s="57" t="n"/>
      <c r="F1639" s="58" t="n"/>
      <c r="G1639" s="66">
        <f>IF(tblFleet[[#This Row],[Units]]="","",tblFleet[[#This Row],[Units]]*24)</f>
        <v/>
      </c>
      <c r="H1639" s="66">
        <f>IF(tblFleet[[#This Row],[Units]]="","",tblFleet[[#This Row],[Calendar_h]]-tblFleet[[#This Row],[Down_h]])</f>
        <v/>
      </c>
      <c r="I1639" s="60">
        <f>IF(AND(tblFleet[[#This Row],[Units]]&lt;&gt;"",tblFleet[[#This Row],[Calendar_h]]&gt;0),tblFleet[[#This Row],[Available_h]]/tblFleet[[#This Row],[Calendar_h]],"")</f>
        <v/>
      </c>
      <c r="J1639" s="60">
        <f>IF(AND(tblFleet[[#This Row],[Units]]&lt;&gt;"",tblFleet[[#This Row],[Available_h]]&gt;0),tblFleet[[#This Row],[Operating_h]]/tblFleet[[#This Row],[Available_h]],"")</f>
        <v/>
      </c>
    </row>
    <row r="1640">
      <c r="A1640" s="54" t="n"/>
      <c r="B1640" s="61" t="n"/>
      <c r="C1640" s="62" t="n"/>
      <c r="D1640" s="57" t="n"/>
      <c r="E1640" s="57" t="n"/>
      <c r="F1640" s="58" t="n"/>
      <c r="G1640" s="66">
        <f>IF(tblFleet[[#This Row],[Units]]="","",tblFleet[[#This Row],[Units]]*24)</f>
        <v/>
      </c>
      <c r="H1640" s="66">
        <f>IF(tblFleet[[#This Row],[Units]]="","",tblFleet[[#This Row],[Calendar_h]]-tblFleet[[#This Row],[Down_h]])</f>
        <v/>
      </c>
      <c r="I1640" s="60">
        <f>IF(AND(tblFleet[[#This Row],[Units]]&lt;&gt;"",tblFleet[[#This Row],[Calendar_h]]&gt;0),tblFleet[[#This Row],[Available_h]]/tblFleet[[#This Row],[Calendar_h]],"")</f>
        <v/>
      </c>
      <c r="J1640" s="60">
        <f>IF(AND(tblFleet[[#This Row],[Units]]&lt;&gt;"",tblFleet[[#This Row],[Available_h]]&gt;0),tblFleet[[#This Row],[Operating_h]]/tblFleet[[#This Row],[Available_h]],"")</f>
        <v/>
      </c>
    </row>
    <row r="1641">
      <c r="A1641" s="54" t="n"/>
      <c r="B1641" s="61" t="n"/>
      <c r="C1641" s="62" t="n"/>
      <c r="D1641" s="57" t="n"/>
      <c r="E1641" s="57" t="n"/>
      <c r="F1641" s="58" t="n"/>
      <c r="G1641" s="66">
        <f>IF(tblFleet[[#This Row],[Units]]="","",tblFleet[[#This Row],[Units]]*24)</f>
        <v/>
      </c>
      <c r="H1641" s="66">
        <f>IF(tblFleet[[#This Row],[Units]]="","",tblFleet[[#This Row],[Calendar_h]]-tblFleet[[#This Row],[Down_h]])</f>
        <v/>
      </c>
      <c r="I1641" s="60">
        <f>IF(AND(tblFleet[[#This Row],[Units]]&lt;&gt;"",tblFleet[[#This Row],[Calendar_h]]&gt;0),tblFleet[[#This Row],[Available_h]]/tblFleet[[#This Row],[Calendar_h]],"")</f>
        <v/>
      </c>
      <c r="J1641" s="60">
        <f>IF(AND(tblFleet[[#This Row],[Units]]&lt;&gt;"",tblFleet[[#This Row],[Available_h]]&gt;0),tblFleet[[#This Row],[Operating_h]]/tblFleet[[#This Row],[Available_h]],"")</f>
        <v/>
      </c>
    </row>
    <row r="1642">
      <c r="A1642" s="54" t="n"/>
      <c r="B1642" s="61" t="n"/>
      <c r="C1642" s="62" t="n"/>
      <c r="D1642" s="57" t="n"/>
      <c r="E1642" s="57" t="n"/>
      <c r="F1642" s="58" t="n"/>
      <c r="G1642" s="66">
        <f>IF(tblFleet[[#This Row],[Units]]="","",tblFleet[[#This Row],[Units]]*24)</f>
        <v/>
      </c>
      <c r="H1642" s="66">
        <f>IF(tblFleet[[#This Row],[Units]]="","",tblFleet[[#This Row],[Calendar_h]]-tblFleet[[#This Row],[Down_h]])</f>
        <v/>
      </c>
      <c r="I1642" s="60">
        <f>IF(AND(tblFleet[[#This Row],[Units]]&lt;&gt;"",tblFleet[[#This Row],[Calendar_h]]&gt;0),tblFleet[[#This Row],[Available_h]]/tblFleet[[#This Row],[Calendar_h]],"")</f>
        <v/>
      </c>
      <c r="J1642" s="60">
        <f>IF(AND(tblFleet[[#This Row],[Units]]&lt;&gt;"",tblFleet[[#This Row],[Available_h]]&gt;0),tblFleet[[#This Row],[Operating_h]]/tblFleet[[#This Row],[Available_h]],"")</f>
        <v/>
      </c>
    </row>
    <row r="1643">
      <c r="A1643" s="54" t="n"/>
      <c r="B1643" s="61" t="n"/>
      <c r="C1643" s="62" t="n"/>
      <c r="D1643" s="57" t="n"/>
      <c r="E1643" s="57" t="n"/>
      <c r="F1643" s="58" t="n"/>
      <c r="G1643" s="66">
        <f>IF(tblFleet[[#This Row],[Units]]="","",tblFleet[[#This Row],[Units]]*24)</f>
        <v/>
      </c>
      <c r="H1643" s="66">
        <f>IF(tblFleet[[#This Row],[Units]]="","",tblFleet[[#This Row],[Calendar_h]]-tblFleet[[#This Row],[Down_h]])</f>
        <v/>
      </c>
      <c r="I1643" s="60">
        <f>IF(AND(tblFleet[[#This Row],[Units]]&lt;&gt;"",tblFleet[[#This Row],[Calendar_h]]&gt;0),tblFleet[[#This Row],[Available_h]]/tblFleet[[#This Row],[Calendar_h]],"")</f>
        <v/>
      </c>
      <c r="J1643" s="60">
        <f>IF(AND(tblFleet[[#This Row],[Units]]&lt;&gt;"",tblFleet[[#This Row],[Available_h]]&gt;0),tblFleet[[#This Row],[Operating_h]]/tblFleet[[#This Row],[Available_h]],"")</f>
        <v/>
      </c>
    </row>
    <row r="1644">
      <c r="A1644" s="54" t="n"/>
      <c r="B1644" s="61" t="n"/>
      <c r="C1644" s="62" t="n"/>
      <c r="D1644" s="57" t="n"/>
      <c r="E1644" s="57" t="n"/>
      <c r="F1644" s="58" t="n"/>
      <c r="G1644" s="66">
        <f>IF(tblFleet[[#This Row],[Units]]="","",tblFleet[[#This Row],[Units]]*24)</f>
        <v/>
      </c>
      <c r="H1644" s="66">
        <f>IF(tblFleet[[#This Row],[Units]]="","",tblFleet[[#This Row],[Calendar_h]]-tblFleet[[#This Row],[Down_h]])</f>
        <v/>
      </c>
      <c r="I1644" s="60">
        <f>IF(AND(tblFleet[[#This Row],[Units]]&lt;&gt;"",tblFleet[[#This Row],[Calendar_h]]&gt;0),tblFleet[[#This Row],[Available_h]]/tblFleet[[#This Row],[Calendar_h]],"")</f>
        <v/>
      </c>
      <c r="J1644" s="60">
        <f>IF(AND(tblFleet[[#This Row],[Units]]&lt;&gt;"",tblFleet[[#This Row],[Available_h]]&gt;0),tblFleet[[#This Row],[Operating_h]]/tblFleet[[#This Row],[Available_h]],"")</f>
        <v/>
      </c>
    </row>
    <row r="1645">
      <c r="A1645" s="54" t="n"/>
      <c r="B1645" s="61" t="n"/>
      <c r="C1645" s="62" t="n"/>
      <c r="D1645" s="57" t="n"/>
      <c r="E1645" s="57" t="n"/>
      <c r="F1645" s="58" t="n"/>
      <c r="G1645" s="66">
        <f>IF(tblFleet[[#This Row],[Units]]="","",tblFleet[[#This Row],[Units]]*24)</f>
        <v/>
      </c>
      <c r="H1645" s="66">
        <f>IF(tblFleet[[#This Row],[Units]]="","",tblFleet[[#This Row],[Calendar_h]]-tblFleet[[#This Row],[Down_h]])</f>
        <v/>
      </c>
      <c r="I1645" s="60">
        <f>IF(AND(tblFleet[[#This Row],[Units]]&lt;&gt;"",tblFleet[[#This Row],[Calendar_h]]&gt;0),tblFleet[[#This Row],[Available_h]]/tblFleet[[#This Row],[Calendar_h]],"")</f>
        <v/>
      </c>
      <c r="J1645" s="60">
        <f>IF(AND(tblFleet[[#This Row],[Units]]&lt;&gt;"",tblFleet[[#This Row],[Available_h]]&gt;0),tblFleet[[#This Row],[Operating_h]]/tblFleet[[#This Row],[Available_h]],"")</f>
        <v/>
      </c>
    </row>
    <row r="1646">
      <c r="A1646" s="54" t="n"/>
      <c r="B1646" s="61" t="n"/>
      <c r="C1646" s="62" t="n"/>
      <c r="D1646" s="57" t="n"/>
      <c r="E1646" s="57" t="n"/>
      <c r="F1646" s="58" t="n"/>
      <c r="G1646" s="66">
        <f>IF(tblFleet[[#This Row],[Units]]="","",tblFleet[[#This Row],[Units]]*24)</f>
        <v/>
      </c>
      <c r="H1646" s="66">
        <f>IF(tblFleet[[#This Row],[Units]]="","",tblFleet[[#This Row],[Calendar_h]]-tblFleet[[#This Row],[Down_h]])</f>
        <v/>
      </c>
      <c r="I1646" s="60">
        <f>IF(AND(tblFleet[[#This Row],[Units]]&lt;&gt;"",tblFleet[[#This Row],[Calendar_h]]&gt;0),tblFleet[[#This Row],[Available_h]]/tblFleet[[#This Row],[Calendar_h]],"")</f>
        <v/>
      </c>
      <c r="J1646" s="60">
        <f>IF(AND(tblFleet[[#This Row],[Units]]&lt;&gt;"",tblFleet[[#This Row],[Available_h]]&gt;0),tblFleet[[#This Row],[Operating_h]]/tblFleet[[#This Row],[Available_h]],"")</f>
        <v/>
      </c>
    </row>
    <row r="1647">
      <c r="A1647" s="54" t="n"/>
      <c r="B1647" s="61" t="n"/>
      <c r="C1647" s="62" t="n"/>
      <c r="D1647" s="57" t="n"/>
      <c r="E1647" s="57" t="n"/>
      <c r="F1647" s="58" t="n"/>
      <c r="G1647" s="66">
        <f>IF(tblFleet[[#This Row],[Units]]="","",tblFleet[[#This Row],[Units]]*24)</f>
        <v/>
      </c>
      <c r="H1647" s="66">
        <f>IF(tblFleet[[#This Row],[Units]]="","",tblFleet[[#This Row],[Calendar_h]]-tblFleet[[#This Row],[Down_h]])</f>
        <v/>
      </c>
      <c r="I1647" s="60">
        <f>IF(AND(tblFleet[[#This Row],[Units]]&lt;&gt;"",tblFleet[[#This Row],[Calendar_h]]&gt;0),tblFleet[[#This Row],[Available_h]]/tblFleet[[#This Row],[Calendar_h]],"")</f>
        <v/>
      </c>
      <c r="J1647" s="60">
        <f>IF(AND(tblFleet[[#This Row],[Units]]&lt;&gt;"",tblFleet[[#This Row],[Available_h]]&gt;0),tblFleet[[#This Row],[Operating_h]]/tblFleet[[#This Row],[Available_h]],"")</f>
        <v/>
      </c>
    </row>
    <row r="1648">
      <c r="A1648" s="54" t="n"/>
      <c r="B1648" s="61" t="n"/>
      <c r="C1648" s="62" t="n"/>
      <c r="D1648" s="57" t="n"/>
      <c r="E1648" s="57" t="n"/>
      <c r="F1648" s="58" t="n"/>
      <c r="G1648" s="66">
        <f>IF(tblFleet[[#This Row],[Units]]="","",tblFleet[[#This Row],[Units]]*24)</f>
        <v/>
      </c>
      <c r="H1648" s="66">
        <f>IF(tblFleet[[#This Row],[Units]]="","",tblFleet[[#This Row],[Calendar_h]]-tblFleet[[#This Row],[Down_h]])</f>
        <v/>
      </c>
      <c r="I1648" s="60">
        <f>IF(AND(tblFleet[[#This Row],[Units]]&lt;&gt;"",tblFleet[[#This Row],[Calendar_h]]&gt;0),tblFleet[[#This Row],[Available_h]]/tblFleet[[#This Row],[Calendar_h]],"")</f>
        <v/>
      </c>
      <c r="J1648" s="60">
        <f>IF(AND(tblFleet[[#This Row],[Units]]&lt;&gt;"",tblFleet[[#This Row],[Available_h]]&gt;0),tblFleet[[#This Row],[Operating_h]]/tblFleet[[#This Row],[Available_h]],"")</f>
        <v/>
      </c>
    </row>
    <row r="1649">
      <c r="A1649" s="54" t="n"/>
      <c r="B1649" s="61" t="n"/>
      <c r="C1649" s="62" t="n"/>
      <c r="D1649" s="57" t="n"/>
      <c r="E1649" s="57" t="n"/>
      <c r="F1649" s="58" t="n"/>
      <c r="G1649" s="66">
        <f>IF(tblFleet[[#This Row],[Units]]="","",tblFleet[[#This Row],[Units]]*24)</f>
        <v/>
      </c>
      <c r="H1649" s="66">
        <f>IF(tblFleet[[#This Row],[Units]]="","",tblFleet[[#This Row],[Calendar_h]]-tblFleet[[#This Row],[Down_h]])</f>
        <v/>
      </c>
      <c r="I1649" s="60">
        <f>IF(AND(tblFleet[[#This Row],[Units]]&lt;&gt;"",tblFleet[[#This Row],[Calendar_h]]&gt;0),tblFleet[[#This Row],[Available_h]]/tblFleet[[#This Row],[Calendar_h]],"")</f>
        <v/>
      </c>
      <c r="J1649" s="60">
        <f>IF(AND(tblFleet[[#This Row],[Units]]&lt;&gt;"",tblFleet[[#This Row],[Available_h]]&gt;0),tblFleet[[#This Row],[Operating_h]]/tblFleet[[#This Row],[Available_h]],"")</f>
        <v/>
      </c>
    </row>
    <row r="1650">
      <c r="A1650" s="54" t="n"/>
      <c r="B1650" s="61" t="n"/>
      <c r="C1650" s="62" t="n"/>
      <c r="D1650" s="57" t="n"/>
      <c r="E1650" s="57" t="n"/>
      <c r="F1650" s="58" t="n"/>
      <c r="G1650" s="66">
        <f>IF(tblFleet[[#This Row],[Units]]="","",tblFleet[[#This Row],[Units]]*24)</f>
        <v/>
      </c>
      <c r="H1650" s="66">
        <f>IF(tblFleet[[#This Row],[Units]]="","",tblFleet[[#This Row],[Calendar_h]]-tblFleet[[#This Row],[Down_h]])</f>
        <v/>
      </c>
      <c r="I1650" s="60">
        <f>IF(AND(tblFleet[[#This Row],[Units]]&lt;&gt;"",tblFleet[[#This Row],[Calendar_h]]&gt;0),tblFleet[[#This Row],[Available_h]]/tblFleet[[#This Row],[Calendar_h]],"")</f>
        <v/>
      </c>
      <c r="J1650" s="60">
        <f>IF(AND(tblFleet[[#This Row],[Units]]&lt;&gt;"",tblFleet[[#This Row],[Available_h]]&gt;0),tblFleet[[#This Row],[Operating_h]]/tblFleet[[#This Row],[Available_h]],"")</f>
        <v/>
      </c>
    </row>
    <row r="1651">
      <c r="A1651" s="54" t="n"/>
      <c r="B1651" s="61" t="n"/>
      <c r="C1651" s="62" t="n"/>
      <c r="D1651" s="57" t="n"/>
      <c r="E1651" s="57" t="n"/>
      <c r="F1651" s="58" t="n"/>
      <c r="G1651" s="66">
        <f>IF(tblFleet[[#This Row],[Units]]="","",tblFleet[[#This Row],[Units]]*24)</f>
        <v/>
      </c>
      <c r="H1651" s="66">
        <f>IF(tblFleet[[#This Row],[Units]]="","",tblFleet[[#This Row],[Calendar_h]]-tblFleet[[#This Row],[Down_h]])</f>
        <v/>
      </c>
      <c r="I1651" s="60">
        <f>IF(AND(tblFleet[[#This Row],[Units]]&lt;&gt;"",tblFleet[[#This Row],[Calendar_h]]&gt;0),tblFleet[[#This Row],[Available_h]]/tblFleet[[#This Row],[Calendar_h]],"")</f>
        <v/>
      </c>
      <c r="J1651" s="60">
        <f>IF(AND(tblFleet[[#This Row],[Units]]&lt;&gt;"",tblFleet[[#This Row],[Available_h]]&gt;0),tblFleet[[#This Row],[Operating_h]]/tblFleet[[#This Row],[Available_h]],"")</f>
        <v/>
      </c>
    </row>
    <row r="1652">
      <c r="A1652" s="54" t="n"/>
      <c r="B1652" s="61" t="n"/>
      <c r="C1652" s="62" t="n"/>
      <c r="D1652" s="57" t="n"/>
      <c r="E1652" s="57" t="n"/>
      <c r="F1652" s="58" t="n"/>
      <c r="G1652" s="66">
        <f>IF(tblFleet[[#This Row],[Units]]="","",tblFleet[[#This Row],[Units]]*24)</f>
        <v/>
      </c>
      <c r="H1652" s="66">
        <f>IF(tblFleet[[#This Row],[Units]]="","",tblFleet[[#This Row],[Calendar_h]]-tblFleet[[#This Row],[Down_h]])</f>
        <v/>
      </c>
      <c r="I1652" s="60">
        <f>IF(AND(tblFleet[[#This Row],[Units]]&lt;&gt;"",tblFleet[[#This Row],[Calendar_h]]&gt;0),tblFleet[[#This Row],[Available_h]]/tblFleet[[#This Row],[Calendar_h]],"")</f>
        <v/>
      </c>
      <c r="J1652" s="60">
        <f>IF(AND(tblFleet[[#This Row],[Units]]&lt;&gt;"",tblFleet[[#This Row],[Available_h]]&gt;0),tblFleet[[#This Row],[Operating_h]]/tblFleet[[#This Row],[Available_h]],"")</f>
        <v/>
      </c>
    </row>
    <row r="1653">
      <c r="A1653" s="54" t="n"/>
      <c r="B1653" s="61" t="n"/>
      <c r="C1653" s="62" t="n"/>
      <c r="D1653" s="57" t="n"/>
      <c r="E1653" s="57" t="n"/>
      <c r="F1653" s="58" t="n"/>
      <c r="G1653" s="66">
        <f>IF(tblFleet[[#This Row],[Units]]="","",tblFleet[[#This Row],[Units]]*24)</f>
        <v/>
      </c>
      <c r="H1653" s="66">
        <f>IF(tblFleet[[#This Row],[Units]]="","",tblFleet[[#This Row],[Calendar_h]]-tblFleet[[#This Row],[Down_h]])</f>
        <v/>
      </c>
      <c r="I1653" s="60">
        <f>IF(AND(tblFleet[[#This Row],[Units]]&lt;&gt;"",tblFleet[[#This Row],[Calendar_h]]&gt;0),tblFleet[[#This Row],[Available_h]]/tblFleet[[#This Row],[Calendar_h]],"")</f>
        <v/>
      </c>
      <c r="J1653" s="60">
        <f>IF(AND(tblFleet[[#This Row],[Units]]&lt;&gt;"",tblFleet[[#This Row],[Available_h]]&gt;0),tblFleet[[#This Row],[Operating_h]]/tblFleet[[#This Row],[Available_h]],"")</f>
        <v/>
      </c>
    </row>
    <row r="1654">
      <c r="A1654" s="54" t="n"/>
      <c r="B1654" s="61" t="n"/>
      <c r="C1654" s="62" t="n"/>
      <c r="D1654" s="57" t="n"/>
      <c r="E1654" s="57" t="n"/>
      <c r="F1654" s="58" t="n"/>
      <c r="G1654" s="66">
        <f>IF(tblFleet[[#This Row],[Units]]="","",tblFleet[[#This Row],[Units]]*24)</f>
        <v/>
      </c>
      <c r="H1654" s="66">
        <f>IF(tblFleet[[#This Row],[Units]]="","",tblFleet[[#This Row],[Calendar_h]]-tblFleet[[#This Row],[Down_h]])</f>
        <v/>
      </c>
      <c r="I1654" s="60">
        <f>IF(AND(tblFleet[[#This Row],[Units]]&lt;&gt;"",tblFleet[[#This Row],[Calendar_h]]&gt;0),tblFleet[[#This Row],[Available_h]]/tblFleet[[#This Row],[Calendar_h]],"")</f>
        <v/>
      </c>
      <c r="J1654" s="60">
        <f>IF(AND(tblFleet[[#This Row],[Units]]&lt;&gt;"",tblFleet[[#This Row],[Available_h]]&gt;0),tblFleet[[#This Row],[Operating_h]]/tblFleet[[#This Row],[Available_h]],"")</f>
        <v/>
      </c>
    </row>
    <row r="1655">
      <c r="A1655" s="54" t="n"/>
      <c r="B1655" s="61" t="n"/>
      <c r="C1655" s="62" t="n"/>
      <c r="D1655" s="57" t="n"/>
      <c r="E1655" s="57" t="n"/>
      <c r="F1655" s="58" t="n"/>
      <c r="G1655" s="66">
        <f>IF(tblFleet[[#This Row],[Units]]="","",tblFleet[[#This Row],[Units]]*24)</f>
        <v/>
      </c>
      <c r="H1655" s="66">
        <f>IF(tblFleet[[#This Row],[Units]]="","",tblFleet[[#This Row],[Calendar_h]]-tblFleet[[#This Row],[Down_h]])</f>
        <v/>
      </c>
      <c r="I1655" s="60">
        <f>IF(AND(tblFleet[[#This Row],[Units]]&lt;&gt;"",tblFleet[[#This Row],[Calendar_h]]&gt;0),tblFleet[[#This Row],[Available_h]]/tblFleet[[#This Row],[Calendar_h]],"")</f>
        <v/>
      </c>
      <c r="J1655" s="60">
        <f>IF(AND(tblFleet[[#This Row],[Units]]&lt;&gt;"",tblFleet[[#This Row],[Available_h]]&gt;0),tblFleet[[#This Row],[Operating_h]]/tblFleet[[#This Row],[Available_h]],"")</f>
        <v/>
      </c>
    </row>
    <row r="1656">
      <c r="A1656" s="54" t="n"/>
      <c r="B1656" s="61" t="n"/>
      <c r="C1656" s="62" t="n"/>
      <c r="D1656" s="57" t="n"/>
      <c r="E1656" s="57" t="n"/>
      <c r="F1656" s="58" t="n"/>
      <c r="G1656" s="66">
        <f>IF(tblFleet[[#This Row],[Units]]="","",tblFleet[[#This Row],[Units]]*24)</f>
        <v/>
      </c>
      <c r="H1656" s="66">
        <f>IF(tblFleet[[#This Row],[Units]]="","",tblFleet[[#This Row],[Calendar_h]]-tblFleet[[#This Row],[Down_h]])</f>
        <v/>
      </c>
      <c r="I1656" s="60">
        <f>IF(AND(tblFleet[[#This Row],[Units]]&lt;&gt;"",tblFleet[[#This Row],[Calendar_h]]&gt;0),tblFleet[[#This Row],[Available_h]]/tblFleet[[#This Row],[Calendar_h]],"")</f>
        <v/>
      </c>
      <c r="J1656" s="60">
        <f>IF(AND(tblFleet[[#This Row],[Units]]&lt;&gt;"",tblFleet[[#This Row],[Available_h]]&gt;0),tblFleet[[#This Row],[Operating_h]]/tblFleet[[#This Row],[Available_h]],"")</f>
        <v/>
      </c>
    </row>
    <row r="1657">
      <c r="A1657" s="54" t="n"/>
      <c r="B1657" s="61" t="n"/>
      <c r="C1657" s="62" t="n"/>
      <c r="D1657" s="57" t="n"/>
      <c r="E1657" s="57" t="n"/>
      <c r="F1657" s="58" t="n"/>
      <c r="G1657" s="66">
        <f>IF(tblFleet[[#This Row],[Units]]="","",tblFleet[[#This Row],[Units]]*24)</f>
        <v/>
      </c>
      <c r="H1657" s="66">
        <f>IF(tblFleet[[#This Row],[Units]]="","",tblFleet[[#This Row],[Calendar_h]]-tblFleet[[#This Row],[Down_h]])</f>
        <v/>
      </c>
      <c r="I1657" s="60">
        <f>IF(AND(tblFleet[[#This Row],[Units]]&lt;&gt;"",tblFleet[[#This Row],[Calendar_h]]&gt;0),tblFleet[[#This Row],[Available_h]]/tblFleet[[#This Row],[Calendar_h]],"")</f>
        <v/>
      </c>
      <c r="J1657" s="60">
        <f>IF(AND(tblFleet[[#This Row],[Units]]&lt;&gt;"",tblFleet[[#This Row],[Available_h]]&gt;0),tblFleet[[#This Row],[Operating_h]]/tblFleet[[#This Row],[Available_h]],"")</f>
        <v/>
      </c>
    </row>
    <row r="1658">
      <c r="A1658" s="54" t="n"/>
      <c r="B1658" s="61" t="n"/>
      <c r="C1658" s="62" t="n"/>
      <c r="D1658" s="57" t="n"/>
      <c r="E1658" s="57" t="n"/>
      <c r="F1658" s="58" t="n"/>
      <c r="G1658" s="66">
        <f>IF(tblFleet[[#This Row],[Units]]="","",tblFleet[[#This Row],[Units]]*24)</f>
        <v/>
      </c>
      <c r="H1658" s="66">
        <f>IF(tblFleet[[#This Row],[Units]]="","",tblFleet[[#This Row],[Calendar_h]]-tblFleet[[#This Row],[Down_h]])</f>
        <v/>
      </c>
      <c r="I1658" s="60">
        <f>IF(AND(tblFleet[[#This Row],[Units]]&lt;&gt;"",tblFleet[[#This Row],[Calendar_h]]&gt;0),tblFleet[[#This Row],[Available_h]]/tblFleet[[#This Row],[Calendar_h]],"")</f>
        <v/>
      </c>
      <c r="J1658" s="60">
        <f>IF(AND(tblFleet[[#This Row],[Units]]&lt;&gt;"",tblFleet[[#This Row],[Available_h]]&gt;0),tblFleet[[#This Row],[Operating_h]]/tblFleet[[#This Row],[Available_h]],"")</f>
        <v/>
      </c>
    </row>
    <row r="1659">
      <c r="A1659" s="54" t="n"/>
      <c r="B1659" s="61" t="n"/>
      <c r="C1659" s="62" t="n"/>
      <c r="D1659" s="57" t="n"/>
      <c r="E1659" s="57" t="n"/>
      <c r="F1659" s="58" t="n"/>
      <c r="G1659" s="66">
        <f>IF(tblFleet[[#This Row],[Units]]="","",tblFleet[[#This Row],[Units]]*24)</f>
        <v/>
      </c>
      <c r="H1659" s="66">
        <f>IF(tblFleet[[#This Row],[Units]]="","",tblFleet[[#This Row],[Calendar_h]]-tblFleet[[#This Row],[Down_h]])</f>
        <v/>
      </c>
      <c r="I1659" s="60">
        <f>IF(AND(tblFleet[[#This Row],[Units]]&lt;&gt;"",tblFleet[[#This Row],[Calendar_h]]&gt;0),tblFleet[[#This Row],[Available_h]]/tblFleet[[#This Row],[Calendar_h]],"")</f>
        <v/>
      </c>
      <c r="J1659" s="60">
        <f>IF(AND(tblFleet[[#This Row],[Units]]&lt;&gt;"",tblFleet[[#This Row],[Available_h]]&gt;0),tblFleet[[#This Row],[Operating_h]]/tblFleet[[#This Row],[Available_h]],"")</f>
        <v/>
      </c>
    </row>
    <row r="1660">
      <c r="A1660" s="54" t="n"/>
      <c r="B1660" s="61" t="n"/>
      <c r="C1660" s="62" t="n"/>
      <c r="D1660" s="57" t="n"/>
      <c r="E1660" s="57" t="n"/>
      <c r="F1660" s="58" t="n"/>
      <c r="G1660" s="66">
        <f>IF(tblFleet[[#This Row],[Units]]="","",tblFleet[[#This Row],[Units]]*24)</f>
        <v/>
      </c>
      <c r="H1660" s="66">
        <f>IF(tblFleet[[#This Row],[Units]]="","",tblFleet[[#This Row],[Calendar_h]]-tblFleet[[#This Row],[Down_h]])</f>
        <v/>
      </c>
      <c r="I1660" s="60">
        <f>IF(AND(tblFleet[[#This Row],[Units]]&lt;&gt;"",tblFleet[[#This Row],[Calendar_h]]&gt;0),tblFleet[[#This Row],[Available_h]]/tblFleet[[#This Row],[Calendar_h]],"")</f>
        <v/>
      </c>
      <c r="J1660" s="60">
        <f>IF(AND(tblFleet[[#This Row],[Units]]&lt;&gt;"",tblFleet[[#This Row],[Available_h]]&gt;0),tblFleet[[#This Row],[Operating_h]]/tblFleet[[#This Row],[Available_h]],"")</f>
        <v/>
      </c>
    </row>
    <row r="1661">
      <c r="A1661" s="54" t="n"/>
      <c r="B1661" s="61" t="n"/>
      <c r="C1661" s="62" t="n"/>
      <c r="D1661" s="57" t="n"/>
      <c r="E1661" s="57" t="n"/>
      <c r="F1661" s="58" t="n"/>
      <c r="G1661" s="66">
        <f>IF(tblFleet[[#This Row],[Units]]="","",tblFleet[[#This Row],[Units]]*24)</f>
        <v/>
      </c>
      <c r="H1661" s="66">
        <f>IF(tblFleet[[#This Row],[Units]]="","",tblFleet[[#This Row],[Calendar_h]]-tblFleet[[#This Row],[Down_h]])</f>
        <v/>
      </c>
      <c r="I1661" s="60">
        <f>IF(AND(tblFleet[[#This Row],[Units]]&lt;&gt;"",tblFleet[[#This Row],[Calendar_h]]&gt;0),tblFleet[[#This Row],[Available_h]]/tblFleet[[#This Row],[Calendar_h]],"")</f>
        <v/>
      </c>
      <c r="J1661" s="60">
        <f>IF(AND(tblFleet[[#This Row],[Units]]&lt;&gt;"",tblFleet[[#This Row],[Available_h]]&gt;0),tblFleet[[#This Row],[Operating_h]]/tblFleet[[#This Row],[Available_h]],"")</f>
        <v/>
      </c>
    </row>
    <row r="1662">
      <c r="A1662" s="54" t="n"/>
      <c r="B1662" s="61" t="n"/>
      <c r="C1662" s="62" t="n"/>
      <c r="D1662" s="57" t="n"/>
      <c r="E1662" s="57" t="n"/>
      <c r="F1662" s="58" t="n"/>
      <c r="G1662" s="66">
        <f>IF(tblFleet[[#This Row],[Units]]="","",tblFleet[[#This Row],[Units]]*24)</f>
        <v/>
      </c>
      <c r="H1662" s="66">
        <f>IF(tblFleet[[#This Row],[Units]]="","",tblFleet[[#This Row],[Calendar_h]]-tblFleet[[#This Row],[Down_h]])</f>
        <v/>
      </c>
      <c r="I1662" s="60">
        <f>IF(AND(tblFleet[[#This Row],[Units]]&lt;&gt;"",tblFleet[[#This Row],[Calendar_h]]&gt;0),tblFleet[[#This Row],[Available_h]]/tblFleet[[#This Row],[Calendar_h]],"")</f>
        <v/>
      </c>
      <c r="J1662" s="60">
        <f>IF(AND(tblFleet[[#This Row],[Units]]&lt;&gt;"",tblFleet[[#This Row],[Available_h]]&gt;0),tblFleet[[#This Row],[Operating_h]]/tblFleet[[#This Row],[Available_h]],"")</f>
        <v/>
      </c>
    </row>
    <row r="1663">
      <c r="A1663" s="54" t="n"/>
      <c r="B1663" s="61" t="n"/>
      <c r="C1663" s="62" t="n"/>
      <c r="D1663" s="57" t="n"/>
      <c r="E1663" s="57" t="n"/>
      <c r="F1663" s="58" t="n"/>
      <c r="G1663" s="66">
        <f>IF(tblFleet[[#This Row],[Units]]="","",tblFleet[[#This Row],[Units]]*24)</f>
        <v/>
      </c>
      <c r="H1663" s="66">
        <f>IF(tblFleet[[#This Row],[Units]]="","",tblFleet[[#This Row],[Calendar_h]]-tblFleet[[#This Row],[Down_h]])</f>
        <v/>
      </c>
      <c r="I1663" s="60">
        <f>IF(AND(tblFleet[[#This Row],[Units]]&lt;&gt;"",tblFleet[[#This Row],[Calendar_h]]&gt;0),tblFleet[[#This Row],[Available_h]]/tblFleet[[#This Row],[Calendar_h]],"")</f>
        <v/>
      </c>
      <c r="J1663" s="60">
        <f>IF(AND(tblFleet[[#This Row],[Units]]&lt;&gt;"",tblFleet[[#This Row],[Available_h]]&gt;0),tblFleet[[#This Row],[Operating_h]]/tblFleet[[#This Row],[Available_h]],"")</f>
        <v/>
      </c>
    </row>
    <row r="1664">
      <c r="A1664" s="54" t="n"/>
      <c r="B1664" s="61" t="n"/>
      <c r="C1664" s="62" t="n"/>
      <c r="D1664" s="57" t="n"/>
      <c r="E1664" s="57" t="n"/>
      <c r="F1664" s="58" t="n"/>
      <c r="G1664" s="66">
        <f>IF(tblFleet[[#This Row],[Units]]="","",tblFleet[[#This Row],[Units]]*24)</f>
        <v/>
      </c>
      <c r="H1664" s="66">
        <f>IF(tblFleet[[#This Row],[Units]]="","",tblFleet[[#This Row],[Calendar_h]]-tblFleet[[#This Row],[Down_h]])</f>
        <v/>
      </c>
      <c r="I1664" s="60">
        <f>IF(AND(tblFleet[[#This Row],[Units]]&lt;&gt;"",tblFleet[[#This Row],[Calendar_h]]&gt;0),tblFleet[[#This Row],[Available_h]]/tblFleet[[#This Row],[Calendar_h]],"")</f>
        <v/>
      </c>
      <c r="J1664" s="60">
        <f>IF(AND(tblFleet[[#This Row],[Units]]&lt;&gt;"",tblFleet[[#This Row],[Available_h]]&gt;0),tblFleet[[#This Row],[Operating_h]]/tblFleet[[#This Row],[Available_h]],"")</f>
        <v/>
      </c>
    </row>
    <row r="1665">
      <c r="A1665" s="54" t="n"/>
      <c r="B1665" s="61" t="n"/>
      <c r="C1665" s="62" t="n"/>
      <c r="D1665" s="57" t="n"/>
      <c r="E1665" s="57" t="n"/>
      <c r="F1665" s="58" t="n"/>
      <c r="G1665" s="66">
        <f>IF(tblFleet[[#This Row],[Units]]="","",tblFleet[[#This Row],[Units]]*24)</f>
        <v/>
      </c>
      <c r="H1665" s="66">
        <f>IF(tblFleet[[#This Row],[Units]]="","",tblFleet[[#This Row],[Calendar_h]]-tblFleet[[#This Row],[Down_h]])</f>
        <v/>
      </c>
      <c r="I1665" s="60">
        <f>IF(AND(tblFleet[[#This Row],[Units]]&lt;&gt;"",tblFleet[[#This Row],[Calendar_h]]&gt;0),tblFleet[[#This Row],[Available_h]]/tblFleet[[#This Row],[Calendar_h]],"")</f>
        <v/>
      </c>
      <c r="J1665" s="60">
        <f>IF(AND(tblFleet[[#This Row],[Units]]&lt;&gt;"",tblFleet[[#This Row],[Available_h]]&gt;0),tblFleet[[#This Row],[Operating_h]]/tblFleet[[#This Row],[Available_h]],"")</f>
        <v/>
      </c>
    </row>
    <row r="1666">
      <c r="A1666" s="54" t="n"/>
      <c r="B1666" s="61" t="n"/>
      <c r="C1666" s="62" t="n"/>
      <c r="D1666" s="57" t="n"/>
      <c r="E1666" s="57" t="n"/>
      <c r="F1666" s="58" t="n"/>
      <c r="G1666" s="66">
        <f>IF(tblFleet[[#This Row],[Units]]="","",tblFleet[[#This Row],[Units]]*24)</f>
        <v/>
      </c>
      <c r="H1666" s="66">
        <f>IF(tblFleet[[#This Row],[Units]]="","",tblFleet[[#This Row],[Calendar_h]]-tblFleet[[#This Row],[Down_h]])</f>
        <v/>
      </c>
      <c r="I1666" s="60">
        <f>IF(AND(tblFleet[[#This Row],[Units]]&lt;&gt;"",tblFleet[[#This Row],[Calendar_h]]&gt;0),tblFleet[[#This Row],[Available_h]]/tblFleet[[#This Row],[Calendar_h]],"")</f>
        <v/>
      </c>
      <c r="J1666" s="60">
        <f>IF(AND(tblFleet[[#This Row],[Units]]&lt;&gt;"",tblFleet[[#This Row],[Available_h]]&gt;0),tblFleet[[#This Row],[Operating_h]]/tblFleet[[#This Row],[Available_h]],"")</f>
        <v/>
      </c>
    </row>
    <row r="1667">
      <c r="A1667" s="54" t="n"/>
      <c r="B1667" s="61" t="n"/>
      <c r="C1667" s="62" t="n"/>
      <c r="D1667" s="57" t="n"/>
      <c r="E1667" s="57" t="n"/>
      <c r="F1667" s="58" t="n"/>
      <c r="G1667" s="66">
        <f>IF(tblFleet[[#This Row],[Units]]="","",tblFleet[[#This Row],[Units]]*24)</f>
        <v/>
      </c>
      <c r="H1667" s="66">
        <f>IF(tblFleet[[#This Row],[Units]]="","",tblFleet[[#This Row],[Calendar_h]]-tblFleet[[#This Row],[Down_h]])</f>
        <v/>
      </c>
      <c r="I1667" s="60">
        <f>IF(AND(tblFleet[[#This Row],[Units]]&lt;&gt;"",tblFleet[[#This Row],[Calendar_h]]&gt;0),tblFleet[[#This Row],[Available_h]]/tblFleet[[#This Row],[Calendar_h]],"")</f>
        <v/>
      </c>
      <c r="J1667" s="60">
        <f>IF(AND(tblFleet[[#This Row],[Units]]&lt;&gt;"",tblFleet[[#This Row],[Available_h]]&gt;0),tblFleet[[#This Row],[Operating_h]]/tblFleet[[#This Row],[Available_h]],"")</f>
        <v/>
      </c>
    </row>
    <row r="1668">
      <c r="A1668" s="54" t="n"/>
      <c r="B1668" s="61" t="n"/>
      <c r="C1668" s="62" t="n"/>
      <c r="D1668" s="57" t="n"/>
      <c r="E1668" s="57" t="n"/>
      <c r="F1668" s="58" t="n"/>
      <c r="G1668" s="66">
        <f>IF(tblFleet[[#This Row],[Units]]="","",tblFleet[[#This Row],[Units]]*24)</f>
        <v/>
      </c>
      <c r="H1668" s="66">
        <f>IF(tblFleet[[#This Row],[Units]]="","",tblFleet[[#This Row],[Calendar_h]]-tblFleet[[#This Row],[Down_h]])</f>
        <v/>
      </c>
      <c r="I1668" s="60">
        <f>IF(AND(tblFleet[[#This Row],[Units]]&lt;&gt;"",tblFleet[[#This Row],[Calendar_h]]&gt;0),tblFleet[[#This Row],[Available_h]]/tblFleet[[#This Row],[Calendar_h]],"")</f>
        <v/>
      </c>
      <c r="J1668" s="60">
        <f>IF(AND(tblFleet[[#This Row],[Units]]&lt;&gt;"",tblFleet[[#This Row],[Available_h]]&gt;0),tblFleet[[#This Row],[Operating_h]]/tblFleet[[#This Row],[Available_h]],"")</f>
        <v/>
      </c>
    </row>
    <row r="1669">
      <c r="A1669" s="54" t="n"/>
      <c r="B1669" s="61" t="n"/>
      <c r="C1669" s="62" t="n"/>
      <c r="D1669" s="57" t="n"/>
      <c r="E1669" s="57" t="n"/>
      <c r="F1669" s="58" t="n"/>
      <c r="G1669" s="66">
        <f>IF(tblFleet[[#This Row],[Units]]="","",tblFleet[[#This Row],[Units]]*24)</f>
        <v/>
      </c>
      <c r="H1669" s="66">
        <f>IF(tblFleet[[#This Row],[Units]]="","",tblFleet[[#This Row],[Calendar_h]]-tblFleet[[#This Row],[Down_h]])</f>
        <v/>
      </c>
      <c r="I1669" s="60">
        <f>IF(AND(tblFleet[[#This Row],[Units]]&lt;&gt;"",tblFleet[[#This Row],[Calendar_h]]&gt;0),tblFleet[[#This Row],[Available_h]]/tblFleet[[#This Row],[Calendar_h]],"")</f>
        <v/>
      </c>
      <c r="J1669" s="60">
        <f>IF(AND(tblFleet[[#This Row],[Units]]&lt;&gt;"",tblFleet[[#This Row],[Available_h]]&gt;0),tblFleet[[#This Row],[Operating_h]]/tblFleet[[#This Row],[Available_h]],"")</f>
        <v/>
      </c>
    </row>
    <row r="1670">
      <c r="A1670" s="54" t="n"/>
      <c r="B1670" s="61" t="n"/>
      <c r="C1670" s="62" t="n"/>
      <c r="D1670" s="57" t="n"/>
      <c r="E1670" s="57" t="n"/>
      <c r="F1670" s="58" t="n"/>
      <c r="G1670" s="66">
        <f>IF(tblFleet[[#This Row],[Units]]="","",tblFleet[[#This Row],[Units]]*24)</f>
        <v/>
      </c>
      <c r="H1670" s="66">
        <f>IF(tblFleet[[#This Row],[Units]]="","",tblFleet[[#This Row],[Calendar_h]]-tblFleet[[#This Row],[Down_h]])</f>
        <v/>
      </c>
      <c r="I1670" s="60">
        <f>IF(AND(tblFleet[[#This Row],[Units]]&lt;&gt;"",tblFleet[[#This Row],[Calendar_h]]&gt;0),tblFleet[[#This Row],[Available_h]]/tblFleet[[#This Row],[Calendar_h]],"")</f>
        <v/>
      </c>
      <c r="J1670" s="60">
        <f>IF(AND(tblFleet[[#This Row],[Units]]&lt;&gt;"",tblFleet[[#This Row],[Available_h]]&gt;0),tblFleet[[#This Row],[Operating_h]]/tblFleet[[#This Row],[Available_h]],"")</f>
        <v/>
      </c>
    </row>
    <row r="1671">
      <c r="A1671" s="54" t="n"/>
      <c r="B1671" s="61" t="n"/>
      <c r="C1671" s="62" t="n"/>
      <c r="D1671" s="57" t="n"/>
      <c r="E1671" s="57" t="n"/>
      <c r="F1671" s="58" t="n"/>
      <c r="G1671" s="66">
        <f>IF(tblFleet[[#This Row],[Units]]="","",tblFleet[[#This Row],[Units]]*24)</f>
        <v/>
      </c>
      <c r="H1671" s="66">
        <f>IF(tblFleet[[#This Row],[Units]]="","",tblFleet[[#This Row],[Calendar_h]]-tblFleet[[#This Row],[Down_h]])</f>
        <v/>
      </c>
      <c r="I1671" s="60">
        <f>IF(AND(tblFleet[[#This Row],[Units]]&lt;&gt;"",tblFleet[[#This Row],[Calendar_h]]&gt;0),tblFleet[[#This Row],[Available_h]]/tblFleet[[#This Row],[Calendar_h]],"")</f>
        <v/>
      </c>
      <c r="J1671" s="60">
        <f>IF(AND(tblFleet[[#This Row],[Units]]&lt;&gt;"",tblFleet[[#This Row],[Available_h]]&gt;0),tblFleet[[#This Row],[Operating_h]]/tblFleet[[#This Row],[Available_h]],"")</f>
        <v/>
      </c>
    </row>
    <row r="1672">
      <c r="A1672" s="54" t="n"/>
      <c r="B1672" s="61" t="n"/>
      <c r="C1672" s="62" t="n"/>
      <c r="D1672" s="57" t="n"/>
      <c r="E1672" s="57" t="n"/>
      <c r="F1672" s="58" t="n"/>
      <c r="G1672" s="66">
        <f>IF(tblFleet[[#This Row],[Units]]="","",tblFleet[[#This Row],[Units]]*24)</f>
        <v/>
      </c>
      <c r="H1672" s="66">
        <f>IF(tblFleet[[#This Row],[Units]]="","",tblFleet[[#This Row],[Calendar_h]]-tblFleet[[#This Row],[Down_h]])</f>
        <v/>
      </c>
      <c r="I1672" s="60">
        <f>IF(AND(tblFleet[[#This Row],[Units]]&lt;&gt;"",tblFleet[[#This Row],[Calendar_h]]&gt;0),tblFleet[[#This Row],[Available_h]]/tblFleet[[#This Row],[Calendar_h]],"")</f>
        <v/>
      </c>
      <c r="J1672" s="60">
        <f>IF(AND(tblFleet[[#This Row],[Units]]&lt;&gt;"",tblFleet[[#This Row],[Available_h]]&gt;0),tblFleet[[#This Row],[Operating_h]]/tblFleet[[#This Row],[Available_h]],"")</f>
        <v/>
      </c>
    </row>
    <row r="1673">
      <c r="A1673" s="54" t="n"/>
      <c r="B1673" s="61" t="n"/>
      <c r="C1673" s="62" t="n"/>
      <c r="D1673" s="57" t="n"/>
      <c r="E1673" s="57" t="n"/>
      <c r="F1673" s="58" t="n"/>
      <c r="G1673" s="66">
        <f>IF(tblFleet[[#This Row],[Units]]="","",tblFleet[[#This Row],[Units]]*24)</f>
        <v/>
      </c>
      <c r="H1673" s="66">
        <f>IF(tblFleet[[#This Row],[Units]]="","",tblFleet[[#This Row],[Calendar_h]]-tblFleet[[#This Row],[Down_h]])</f>
        <v/>
      </c>
      <c r="I1673" s="60">
        <f>IF(AND(tblFleet[[#This Row],[Units]]&lt;&gt;"",tblFleet[[#This Row],[Calendar_h]]&gt;0),tblFleet[[#This Row],[Available_h]]/tblFleet[[#This Row],[Calendar_h]],"")</f>
        <v/>
      </c>
      <c r="J1673" s="60">
        <f>IF(AND(tblFleet[[#This Row],[Units]]&lt;&gt;"",tblFleet[[#This Row],[Available_h]]&gt;0),tblFleet[[#This Row],[Operating_h]]/tblFleet[[#This Row],[Available_h]],"")</f>
        <v/>
      </c>
    </row>
    <row r="1674">
      <c r="A1674" s="54" t="n"/>
      <c r="B1674" s="61" t="n"/>
      <c r="C1674" s="62" t="n"/>
      <c r="D1674" s="57" t="n"/>
      <c r="E1674" s="57" t="n"/>
      <c r="F1674" s="58" t="n"/>
      <c r="G1674" s="66">
        <f>IF(tblFleet[[#This Row],[Units]]="","",tblFleet[[#This Row],[Units]]*24)</f>
        <v/>
      </c>
      <c r="H1674" s="66">
        <f>IF(tblFleet[[#This Row],[Units]]="","",tblFleet[[#This Row],[Calendar_h]]-tblFleet[[#This Row],[Down_h]])</f>
        <v/>
      </c>
      <c r="I1674" s="60">
        <f>IF(AND(tblFleet[[#This Row],[Units]]&lt;&gt;"",tblFleet[[#This Row],[Calendar_h]]&gt;0),tblFleet[[#This Row],[Available_h]]/tblFleet[[#This Row],[Calendar_h]],"")</f>
        <v/>
      </c>
      <c r="J1674" s="60">
        <f>IF(AND(tblFleet[[#This Row],[Units]]&lt;&gt;"",tblFleet[[#This Row],[Available_h]]&gt;0),tblFleet[[#This Row],[Operating_h]]/tblFleet[[#This Row],[Available_h]],"")</f>
        <v/>
      </c>
    </row>
    <row r="1675">
      <c r="A1675" s="54" t="n"/>
      <c r="B1675" s="61" t="n"/>
      <c r="C1675" s="62" t="n"/>
      <c r="D1675" s="57" t="n"/>
      <c r="E1675" s="57" t="n"/>
      <c r="F1675" s="58" t="n"/>
      <c r="G1675" s="66">
        <f>IF(tblFleet[[#This Row],[Units]]="","",tblFleet[[#This Row],[Units]]*24)</f>
        <v/>
      </c>
      <c r="H1675" s="66">
        <f>IF(tblFleet[[#This Row],[Units]]="","",tblFleet[[#This Row],[Calendar_h]]-tblFleet[[#This Row],[Down_h]])</f>
        <v/>
      </c>
      <c r="I1675" s="60">
        <f>IF(AND(tblFleet[[#This Row],[Units]]&lt;&gt;"",tblFleet[[#This Row],[Calendar_h]]&gt;0),tblFleet[[#This Row],[Available_h]]/tblFleet[[#This Row],[Calendar_h]],"")</f>
        <v/>
      </c>
      <c r="J1675" s="60">
        <f>IF(AND(tblFleet[[#This Row],[Units]]&lt;&gt;"",tblFleet[[#This Row],[Available_h]]&gt;0),tblFleet[[#This Row],[Operating_h]]/tblFleet[[#This Row],[Available_h]],"")</f>
        <v/>
      </c>
    </row>
    <row r="1676">
      <c r="A1676" s="54" t="n"/>
      <c r="B1676" s="61" t="n"/>
      <c r="C1676" s="62" t="n"/>
      <c r="D1676" s="57" t="n"/>
      <c r="E1676" s="57" t="n"/>
      <c r="F1676" s="58" t="n"/>
      <c r="G1676" s="66">
        <f>IF(tblFleet[[#This Row],[Units]]="","",tblFleet[[#This Row],[Units]]*24)</f>
        <v/>
      </c>
      <c r="H1676" s="66">
        <f>IF(tblFleet[[#This Row],[Units]]="","",tblFleet[[#This Row],[Calendar_h]]-tblFleet[[#This Row],[Down_h]])</f>
        <v/>
      </c>
      <c r="I1676" s="60">
        <f>IF(AND(tblFleet[[#This Row],[Units]]&lt;&gt;"",tblFleet[[#This Row],[Calendar_h]]&gt;0),tblFleet[[#This Row],[Available_h]]/tblFleet[[#This Row],[Calendar_h]],"")</f>
        <v/>
      </c>
      <c r="J1676" s="60">
        <f>IF(AND(tblFleet[[#This Row],[Units]]&lt;&gt;"",tblFleet[[#This Row],[Available_h]]&gt;0),tblFleet[[#This Row],[Operating_h]]/tblFleet[[#This Row],[Available_h]],"")</f>
        <v/>
      </c>
    </row>
    <row r="1677">
      <c r="A1677" s="54" t="n"/>
      <c r="B1677" s="61" t="n"/>
      <c r="C1677" s="62" t="n"/>
      <c r="D1677" s="57" t="n"/>
      <c r="E1677" s="57" t="n"/>
      <c r="F1677" s="58" t="n"/>
      <c r="G1677" s="66">
        <f>IF(tblFleet[[#This Row],[Units]]="","",tblFleet[[#This Row],[Units]]*24)</f>
        <v/>
      </c>
      <c r="H1677" s="66">
        <f>IF(tblFleet[[#This Row],[Units]]="","",tblFleet[[#This Row],[Calendar_h]]-tblFleet[[#This Row],[Down_h]])</f>
        <v/>
      </c>
      <c r="I1677" s="60">
        <f>IF(AND(tblFleet[[#This Row],[Units]]&lt;&gt;"",tblFleet[[#This Row],[Calendar_h]]&gt;0),tblFleet[[#This Row],[Available_h]]/tblFleet[[#This Row],[Calendar_h]],"")</f>
        <v/>
      </c>
      <c r="J1677" s="60">
        <f>IF(AND(tblFleet[[#This Row],[Units]]&lt;&gt;"",tblFleet[[#This Row],[Available_h]]&gt;0),tblFleet[[#This Row],[Operating_h]]/tblFleet[[#This Row],[Available_h]],"")</f>
        <v/>
      </c>
    </row>
    <row r="1678">
      <c r="A1678" s="54" t="n"/>
      <c r="B1678" s="61" t="n"/>
      <c r="C1678" s="62" t="n"/>
      <c r="D1678" s="57" t="n"/>
      <c r="E1678" s="57" t="n"/>
      <c r="F1678" s="58" t="n"/>
      <c r="G1678" s="66">
        <f>IF(tblFleet[[#This Row],[Units]]="","",tblFleet[[#This Row],[Units]]*24)</f>
        <v/>
      </c>
      <c r="H1678" s="66">
        <f>IF(tblFleet[[#This Row],[Units]]="","",tblFleet[[#This Row],[Calendar_h]]-tblFleet[[#This Row],[Down_h]])</f>
        <v/>
      </c>
      <c r="I1678" s="60">
        <f>IF(AND(tblFleet[[#This Row],[Units]]&lt;&gt;"",tblFleet[[#This Row],[Calendar_h]]&gt;0),tblFleet[[#This Row],[Available_h]]/tblFleet[[#This Row],[Calendar_h]],"")</f>
        <v/>
      </c>
      <c r="J1678" s="60">
        <f>IF(AND(tblFleet[[#This Row],[Units]]&lt;&gt;"",tblFleet[[#This Row],[Available_h]]&gt;0),tblFleet[[#This Row],[Operating_h]]/tblFleet[[#This Row],[Available_h]],"")</f>
        <v/>
      </c>
    </row>
    <row r="1679">
      <c r="A1679" s="54" t="n"/>
      <c r="B1679" s="61" t="n"/>
      <c r="C1679" s="62" t="n"/>
      <c r="D1679" s="57" t="n"/>
      <c r="E1679" s="57" t="n"/>
      <c r="F1679" s="58" t="n"/>
      <c r="G1679" s="66">
        <f>IF(tblFleet[[#This Row],[Units]]="","",tblFleet[[#This Row],[Units]]*24)</f>
        <v/>
      </c>
      <c r="H1679" s="66">
        <f>IF(tblFleet[[#This Row],[Units]]="","",tblFleet[[#This Row],[Calendar_h]]-tblFleet[[#This Row],[Down_h]])</f>
        <v/>
      </c>
      <c r="I1679" s="60">
        <f>IF(AND(tblFleet[[#This Row],[Units]]&lt;&gt;"",tblFleet[[#This Row],[Calendar_h]]&gt;0),tblFleet[[#This Row],[Available_h]]/tblFleet[[#This Row],[Calendar_h]],"")</f>
        <v/>
      </c>
      <c r="J1679" s="60">
        <f>IF(AND(tblFleet[[#This Row],[Units]]&lt;&gt;"",tblFleet[[#This Row],[Available_h]]&gt;0),tblFleet[[#This Row],[Operating_h]]/tblFleet[[#This Row],[Available_h]],"")</f>
        <v/>
      </c>
    </row>
    <row r="1680">
      <c r="A1680" s="54" t="n"/>
      <c r="B1680" s="61" t="n"/>
      <c r="C1680" s="62" t="n"/>
      <c r="D1680" s="57" t="n"/>
      <c r="E1680" s="57" t="n"/>
      <c r="F1680" s="58" t="n"/>
      <c r="G1680" s="66">
        <f>IF(tblFleet[[#This Row],[Units]]="","",tblFleet[[#This Row],[Units]]*24)</f>
        <v/>
      </c>
      <c r="H1680" s="66">
        <f>IF(tblFleet[[#This Row],[Units]]="","",tblFleet[[#This Row],[Calendar_h]]-tblFleet[[#This Row],[Down_h]])</f>
        <v/>
      </c>
      <c r="I1680" s="60">
        <f>IF(AND(tblFleet[[#This Row],[Units]]&lt;&gt;"",tblFleet[[#This Row],[Calendar_h]]&gt;0),tblFleet[[#This Row],[Available_h]]/tblFleet[[#This Row],[Calendar_h]],"")</f>
        <v/>
      </c>
      <c r="J1680" s="60">
        <f>IF(AND(tblFleet[[#This Row],[Units]]&lt;&gt;"",tblFleet[[#This Row],[Available_h]]&gt;0),tblFleet[[#This Row],[Operating_h]]/tblFleet[[#This Row],[Available_h]],"")</f>
        <v/>
      </c>
    </row>
    <row r="1681">
      <c r="A1681" s="54" t="n"/>
      <c r="B1681" s="61" t="n"/>
      <c r="C1681" s="62" t="n"/>
      <c r="D1681" s="57" t="n"/>
      <c r="E1681" s="57" t="n"/>
      <c r="F1681" s="58" t="n"/>
      <c r="G1681" s="66">
        <f>IF(tblFleet[[#This Row],[Units]]="","",tblFleet[[#This Row],[Units]]*24)</f>
        <v/>
      </c>
      <c r="H1681" s="66">
        <f>IF(tblFleet[[#This Row],[Units]]="","",tblFleet[[#This Row],[Calendar_h]]-tblFleet[[#This Row],[Down_h]])</f>
        <v/>
      </c>
      <c r="I1681" s="60">
        <f>IF(AND(tblFleet[[#This Row],[Units]]&lt;&gt;"",tblFleet[[#This Row],[Calendar_h]]&gt;0),tblFleet[[#This Row],[Available_h]]/tblFleet[[#This Row],[Calendar_h]],"")</f>
        <v/>
      </c>
      <c r="J1681" s="60">
        <f>IF(AND(tblFleet[[#This Row],[Units]]&lt;&gt;"",tblFleet[[#This Row],[Available_h]]&gt;0),tblFleet[[#This Row],[Operating_h]]/tblFleet[[#This Row],[Available_h]],"")</f>
        <v/>
      </c>
    </row>
    <row r="1682">
      <c r="A1682" s="54" t="n"/>
      <c r="B1682" s="61" t="n"/>
      <c r="C1682" s="62" t="n"/>
      <c r="D1682" s="57" t="n"/>
      <c r="E1682" s="57" t="n"/>
      <c r="F1682" s="58" t="n"/>
      <c r="G1682" s="66">
        <f>IF(tblFleet[[#This Row],[Units]]="","",tblFleet[[#This Row],[Units]]*24)</f>
        <v/>
      </c>
      <c r="H1682" s="66">
        <f>IF(tblFleet[[#This Row],[Units]]="","",tblFleet[[#This Row],[Calendar_h]]-tblFleet[[#This Row],[Down_h]])</f>
        <v/>
      </c>
      <c r="I1682" s="60">
        <f>IF(AND(tblFleet[[#This Row],[Units]]&lt;&gt;"",tblFleet[[#This Row],[Calendar_h]]&gt;0),tblFleet[[#This Row],[Available_h]]/tblFleet[[#This Row],[Calendar_h]],"")</f>
        <v/>
      </c>
      <c r="J1682" s="60">
        <f>IF(AND(tblFleet[[#This Row],[Units]]&lt;&gt;"",tblFleet[[#This Row],[Available_h]]&gt;0),tblFleet[[#This Row],[Operating_h]]/tblFleet[[#This Row],[Available_h]],"")</f>
        <v/>
      </c>
    </row>
    <row r="1683">
      <c r="A1683" s="54" t="n"/>
      <c r="B1683" s="61" t="n"/>
      <c r="C1683" s="62" t="n"/>
      <c r="D1683" s="57" t="n"/>
      <c r="E1683" s="57" t="n"/>
      <c r="F1683" s="58" t="n"/>
      <c r="G1683" s="66">
        <f>IF(tblFleet[[#This Row],[Units]]="","",tblFleet[[#This Row],[Units]]*24)</f>
        <v/>
      </c>
      <c r="H1683" s="66">
        <f>IF(tblFleet[[#This Row],[Units]]="","",tblFleet[[#This Row],[Calendar_h]]-tblFleet[[#This Row],[Down_h]])</f>
        <v/>
      </c>
      <c r="I1683" s="60">
        <f>IF(AND(tblFleet[[#This Row],[Units]]&lt;&gt;"",tblFleet[[#This Row],[Calendar_h]]&gt;0),tblFleet[[#This Row],[Available_h]]/tblFleet[[#This Row],[Calendar_h]],"")</f>
        <v/>
      </c>
      <c r="J1683" s="60">
        <f>IF(AND(tblFleet[[#This Row],[Units]]&lt;&gt;"",tblFleet[[#This Row],[Available_h]]&gt;0),tblFleet[[#This Row],[Operating_h]]/tblFleet[[#This Row],[Available_h]],"")</f>
        <v/>
      </c>
    </row>
    <row r="1684">
      <c r="A1684" s="54" t="n"/>
      <c r="B1684" s="61" t="n"/>
      <c r="C1684" s="62" t="n"/>
      <c r="D1684" s="57" t="n"/>
      <c r="E1684" s="57" t="n"/>
      <c r="F1684" s="58" t="n"/>
      <c r="G1684" s="66">
        <f>IF(tblFleet[[#This Row],[Units]]="","",tblFleet[[#This Row],[Units]]*24)</f>
        <v/>
      </c>
      <c r="H1684" s="66">
        <f>IF(tblFleet[[#This Row],[Units]]="","",tblFleet[[#This Row],[Calendar_h]]-tblFleet[[#This Row],[Down_h]])</f>
        <v/>
      </c>
      <c r="I1684" s="60">
        <f>IF(AND(tblFleet[[#This Row],[Units]]&lt;&gt;"",tblFleet[[#This Row],[Calendar_h]]&gt;0),tblFleet[[#This Row],[Available_h]]/tblFleet[[#This Row],[Calendar_h]],"")</f>
        <v/>
      </c>
      <c r="J1684" s="60">
        <f>IF(AND(tblFleet[[#This Row],[Units]]&lt;&gt;"",tblFleet[[#This Row],[Available_h]]&gt;0),tblFleet[[#This Row],[Operating_h]]/tblFleet[[#This Row],[Available_h]],"")</f>
        <v/>
      </c>
    </row>
    <row r="1685">
      <c r="A1685" s="54" t="n"/>
      <c r="B1685" s="61" t="n"/>
      <c r="C1685" s="62" t="n"/>
      <c r="D1685" s="57" t="n"/>
      <c r="E1685" s="57" t="n"/>
      <c r="F1685" s="58" t="n"/>
      <c r="G1685" s="66">
        <f>IF(tblFleet[[#This Row],[Units]]="","",tblFleet[[#This Row],[Units]]*24)</f>
        <v/>
      </c>
      <c r="H1685" s="66">
        <f>IF(tblFleet[[#This Row],[Units]]="","",tblFleet[[#This Row],[Calendar_h]]-tblFleet[[#This Row],[Down_h]])</f>
        <v/>
      </c>
      <c r="I1685" s="60">
        <f>IF(AND(tblFleet[[#This Row],[Units]]&lt;&gt;"",tblFleet[[#This Row],[Calendar_h]]&gt;0),tblFleet[[#This Row],[Available_h]]/tblFleet[[#This Row],[Calendar_h]],"")</f>
        <v/>
      </c>
      <c r="J1685" s="60">
        <f>IF(AND(tblFleet[[#This Row],[Units]]&lt;&gt;"",tblFleet[[#This Row],[Available_h]]&gt;0),tblFleet[[#This Row],[Operating_h]]/tblFleet[[#This Row],[Available_h]],"")</f>
        <v/>
      </c>
    </row>
    <row r="1686">
      <c r="A1686" s="54" t="n"/>
      <c r="B1686" s="61" t="n"/>
      <c r="C1686" s="62" t="n"/>
      <c r="D1686" s="57" t="n"/>
      <c r="E1686" s="57" t="n"/>
      <c r="F1686" s="58" t="n"/>
      <c r="G1686" s="66">
        <f>IF(tblFleet[[#This Row],[Units]]="","",tblFleet[[#This Row],[Units]]*24)</f>
        <v/>
      </c>
      <c r="H1686" s="66">
        <f>IF(tblFleet[[#This Row],[Units]]="","",tblFleet[[#This Row],[Calendar_h]]-tblFleet[[#This Row],[Down_h]])</f>
        <v/>
      </c>
      <c r="I1686" s="60">
        <f>IF(AND(tblFleet[[#This Row],[Units]]&lt;&gt;"",tblFleet[[#This Row],[Calendar_h]]&gt;0),tblFleet[[#This Row],[Available_h]]/tblFleet[[#This Row],[Calendar_h]],"")</f>
        <v/>
      </c>
      <c r="J1686" s="60">
        <f>IF(AND(tblFleet[[#This Row],[Units]]&lt;&gt;"",tblFleet[[#This Row],[Available_h]]&gt;0),tblFleet[[#This Row],[Operating_h]]/tblFleet[[#This Row],[Available_h]],"")</f>
        <v/>
      </c>
    </row>
    <row r="1687">
      <c r="A1687" s="54" t="n"/>
      <c r="B1687" s="61" t="n"/>
      <c r="C1687" s="62" t="n"/>
      <c r="D1687" s="57" t="n"/>
      <c r="E1687" s="57" t="n"/>
      <c r="F1687" s="58" t="n"/>
      <c r="G1687" s="66">
        <f>IF(tblFleet[[#This Row],[Units]]="","",tblFleet[[#This Row],[Units]]*24)</f>
        <v/>
      </c>
      <c r="H1687" s="66">
        <f>IF(tblFleet[[#This Row],[Units]]="","",tblFleet[[#This Row],[Calendar_h]]-tblFleet[[#This Row],[Down_h]])</f>
        <v/>
      </c>
      <c r="I1687" s="60">
        <f>IF(AND(tblFleet[[#This Row],[Units]]&lt;&gt;"",tblFleet[[#This Row],[Calendar_h]]&gt;0),tblFleet[[#This Row],[Available_h]]/tblFleet[[#This Row],[Calendar_h]],"")</f>
        <v/>
      </c>
      <c r="J1687" s="60">
        <f>IF(AND(tblFleet[[#This Row],[Units]]&lt;&gt;"",tblFleet[[#This Row],[Available_h]]&gt;0),tblFleet[[#This Row],[Operating_h]]/tblFleet[[#This Row],[Available_h]],"")</f>
        <v/>
      </c>
    </row>
    <row r="1688">
      <c r="A1688" s="54" t="n"/>
      <c r="B1688" s="61" t="n"/>
      <c r="C1688" s="62" t="n"/>
      <c r="D1688" s="57" t="n"/>
      <c r="E1688" s="57" t="n"/>
      <c r="F1688" s="58" t="n"/>
      <c r="G1688" s="66">
        <f>IF(tblFleet[[#This Row],[Units]]="","",tblFleet[[#This Row],[Units]]*24)</f>
        <v/>
      </c>
      <c r="H1688" s="66">
        <f>IF(tblFleet[[#This Row],[Units]]="","",tblFleet[[#This Row],[Calendar_h]]-tblFleet[[#This Row],[Down_h]])</f>
        <v/>
      </c>
      <c r="I1688" s="60">
        <f>IF(AND(tblFleet[[#This Row],[Units]]&lt;&gt;"",tblFleet[[#This Row],[Calendar_h]]&gt;0),tblFleet[[#This Row],[Available_h]]/tblFleet[[#This Row],[Calendar_h]],"")</f>
        <v/>
      </c>
      <c r="J1688" s="60">
        <f>IF(AND(tblFleet[[#This Row],[Units]]&lt;&gt;"",tblFleet[[#This Row],[Available_h]]&gt;0),tblFleet[[#This Row],[Operating_h]]/tblFleet[[#This Row],[Available_h]],"")</f>
        <v/>
      </c>
    </row>
    <row r="1689">
      <c r="A1689" s="54" t="n"/>
      <c r="B1689" s="61" t="n"/>
      <c r="C1689" s="62" t="n"/>
      <c r="D1689" s="57" t="n"/>
      <c r="E1689" s="57" t="n"/>
      <c r="F1689" s="58" t="n"/>
      <c r="G1689" s="66">
        <f>IF(tblFleet[[#This Row],[Units]]="","",tblFleet[[#This Row],[Units]]*24)</f>
        <v/>
      </c>
      <c r="H1689" s="66">
        <f>IF(tblFleet[[#This Row],[Units]]="","",tblFleet[[#This Row],[Calendar_h]]-tblFleet[[#This Row],[Down_h]])</f>
        <v/>
      </c>
      <c r="I1689" s="60">
        <f>IF(AND(tblFleet[[#This Row],[Units]]&lt;&gt;"",tblFleet[[#This Row],[Calendar_h]]&gt;0),tblFleet[[#This Row],[Available_h]]/tblFleet[[#This Row],[Calendar_h]],"")</f>
        <v/>
      </c>
      <c r="J1689" s="60">
        <f>IF(AND(tblFleet[[#This Row],[Units]]&lt;&gt;"",tblFleet[[#This Row],[Available_h]]&gt;0),tblFleet[[#This Row],[Operating_h]]/tblFleet[[#This Row],[Available_h]],"")</f>
        <v/>
      </c>
    </row>
    <row r="1690">
      <c r="A1690" s="54" t="n"/>
      <c r="B1690" s="61" t="n"/>
      <c r="C1690" s="62" t="n"/>
      <c r="D1690" s="57" t="n"/>
      <c r="E1690" s="57" t="n"/>
      <c r="F1690" s="58" t="n"/>
      <c r="G1690" s="66">
        <f>IF(tblFleet[[#This Row],[Units]]="","",tblFleet[[#This Row],[Units]]*24)</f>
        <v/>
      </c>
      <c r="H1690" s="66">
        <f>IF(tblFleet[[#This Row],[Units]]="","",tblFleet[[#This Row],[Calendar_h]]-tblFleet[[#This Row],[Down_h]])</f>
        <v/>
      </c>
      <c r="I1690" s="60">
        <f>IF(AND(tblFleet[[#This Row],[Units]]&lt;&gt;"",tblFleet[[#This Row],[Calendar_h]]&gt;0),tblFleet[[#This Row],[Available_h]]/tblFleet[[#This Row],[Calendar_h]],"")</f>
        <v/>
      </c>
      <c r="J1690" s="60">
        <f>IF(AND(tblFleet[[#This Row],[Units]]&lt;&gt;"",tblFleet[[#This Row],[Available_h]]&gt;0),tblFleet[[#This Row],[Operating_h]]/tblFleet[[#This Row],[Available_h]],"")</f>
        <v/>
      </c>
    </row>
    <row r="1691">
      <c r="A1691" s="54" t="n"/>
      <c r="B1691" s="61" t="n"/>
      <c r="C1691" s="62" t="n"/>
      <c r="D1691" s="57" t="n"/>
      <c r="E1691" s="57" t="n"/>
      <c r="F1691" s="58" t="n"/>
      <c r="G1691" s="66">
        <f>IF(tblFleet[[#This Row],[Units]]="","",tblFleet[[#This Row],[Units]]*24)</f>
        <v/>
      </c>
      <c r="H1691" s="66">
        <f>IF(tblFleet[[#This Row],[Units]]="","",tblFleet[[#This Row],[Calendar_h]]-tblFleet[[#This Row],[Down_h]])</f>
        <v/>
      </c>
      <c r="I1691" s="60">
        <f>IF(AND(tblFleet[[#This Row],[Units]]&lt;&gt;"",tblFleet[[#This Row],[Calendar_h]]&gt;0),tblFleet[[#This Row],[Available_h]]/tblFleet[[#This Row],[Calendar_h]],"")</f>
        <v/>
      </c>
      <c r="J1691" s="60">
        <f>IF(AND(tblFleet[[#This Row],[Units]]&lt;&gt;"",tblFleet[[#This Row],[Available_h]]&gt;0),tblFleet[[#This Row],[Operating_h]]/tblFleet[[#This Row],[Available_h]],"")</f>
        <v/>
      </c>
    </row>
    <row r="1692">
      <c r="A1692" s="54" t="n"/>
      <c r="B1692" s="61" t="n"/>
      <c r="C1692" s="62" t="n"/>
      <c r="D1692" s="57" t="n"/>
      <c r="E1692" s="57" t="n"/>
      <c r="F1692" s="58" t="n"/>
      <c r="G1692" s="66">
        <f>IF(tblFleet[[#This Row],[Units]]="","",tblFleet[[#This Row],[Units]]*24)</f>
        <v/>
      </c>
      <c r="H1692" s="66">
        <f>IF(tblFleet[[#This Row],[Units]]="","",tblFleet[[#This Row],[Calendar_h]]-tblFleet[[#This Row],[Down_h]])</f>
        <v/>
      </c>
      <c r="I1692" s="60">
        <f>IF(AND(tblFleet[[#This Row],[Units]]&lt;&gt;"",tblFleet[[#This Row],[Calendar_h]]&gt;0),tblFleet[[#This Row],[Available_h]]/tblFleet[[#This Row],[Calendar_h]],"")</f>
        <v/>
      </c>
      <c r="J1692" s="60">
        <f>IF(AND(tblFleet[[#This Row],[Units]]&lt;&gt;"",tblFleet[[#This Row],[Available_h]]&gt;0),tblFleet[[#This Row],[Operating_h]]/tblFleet[[#This Row],[Available_h]],"")</f>
        <v/>
      </c>
    </row>
    <row r="1693">
      <c r="A1693" s="54" t="n"/>
      <c r="B1693" s="61" t="n"/>
      <c r="C1693" s="62" t="n"/>
      <c r="D1693" s="57" t="n"/>
      <c r="E1693" s="57" t="n"/>
      <c r="F1693" s="58" t="n"/>
      <c r="G1693" s="66">
        <f>IF(tblFleet[[#This Row],[Units]]="","",tblFleet[[#This Row],[Units]]*24)</f>
        <v/>
      </c>
      <c r="H1693" s="66">
        <f>IF(tblFleet[[#This Row],[Units]]="","",tblFleet[[#This Row],[Calendar_h]]-tblFleet[[#This Row],[Down_h]])</f>
        <v/>
      </c>
      <c r="I1693" s="60">
        <f>IF(AND(tblFleet[[#This Row],[Units]]&lt;&gt;"",tblFleet[[#This Row],[Calendar_h]]&gt;0),tblFleet[[#This Row],[Available_h]]/tblFleet[[#This Row],[Calendar_h]],"")</f>
        <v/>
      </c>
      <c r="J1693" s="60">
        <f>IF(AND(tblFleet[[#This Row],[Units]]&lt;&gt;"",tblFleet[[#This Row],[Available_h]]&gt;0),tblFleet[[#This Row],[Operating_h]]/tblFleet[[#This Row],[Available_h]],"")</f>
        <v/>
      </c>
    </row>
    <row r="1694">
      <c r="A1694" s="54" t="n"/>
      <c r="B1694" s="61" t="n"/>
      <c r="C1694" s="62" t="n"/>
      <c r="D1694" s="57" t="n"/>
      <c r="E1694" s="57" t="n"/>
      <c r="F1694" s="58" t="n"/>
      <c r="G1694" s="66">
        <f>IF(tblFleet[[#This Row],[Units]]="","",tblFleet[[#This Row],[Units]]*24)</f>
        <v/>
      </c>
      <c r="H1694" s="66">
        <f>IF(tblFleet[[#This Row],[Units]]="","",tblFleet[[#This Row],[Calendar_h]]-tblFleet[[#This Row],[Down_h]])</f>
        <v/>
      </c>
      <c r="I1694" s="60">
        <f>IF(AND(tblFleet[[#This Row],[Units]]&lt;&gt;"",tblFleet[[#This Row],[Calendar_h]]&gt;0),tblFleet[[#This Row],[Available_h]]/tblFleet[[#This Row],[Calendar_h]],"")</f>
        <v/>
      </c>
      <c r="J1694" s="60">
        <f>IF(AND(tblFleet[[#This Row],[Units]]&lt;&gt;"",tblFleet[[#This Row],[Available_h]]&gt;0),tblFleet[[#This Row],[Operating_h]]/tblFleet[[#This Row],[Available_h]],"")</f>
        <v/>
      </c>
    </row>
    <row r="1695">
      <c r="A1695" s="54" t="n"/>
      <c r="B1695" s="61" t="n"/>
      <c r="C1695" s="62" t="n"/>
      <c r="D1695" s="57" t="n"/>
      <c r="E1695" s="57" t="n"/>
      <c r="F1695" s="58" t="n"/>
      <c r="G1695" s="66">
        <f>IF(tblFleet[[#This Row],[Units]]="","",tblFleet[[#This Row],[Units]]*24)</f>
        <v/>
      </c>
      <c r="H1695" s="66">
        <f>IF(tblFleet[[#This Row],[Units]]="","",tblFleet[[#This Row],[Calendar_h]]-tblFleet[[#This Row],[Down_h]])</f>
        <v/>
      </c>
      <c r="I1695" s="60">
        <f>IF(AND(tblFleet[[#This Row],[Units]]&lt;&gt;"",tblFleet[[#This Row],[Calendar_h]]&gt;0),tblFleet[[#This Row],[Available_h]]/tblFleet[[#This Row],[Calendar_h]],"")</f>
        <v/>
      </c>
      <c r="J1695" s="60">
        <f>IF(AND(tblFleet[[#This Row],[Units]]&lt;&gt;"",tblFleet[[#This Row],[Available_h]]&gt;0),tblFleet[[#This Row],[Operating_h]]/tblFleet[[#This Row],[Available_h]],"")</f>
        <v/>
      </c>
    </row>
    <row r="1696">
      <c r="A1696" s="54" t="n"/>
      <c r="B1696" s="61" t="n"/>
      <c r="C1696" s="62" t="n"/>
      <c r="D1696" s="57" t="n"/>
      <c r="E1696" s="57" t="n"/>
      <c r="F1696" s="58" t="n"/>
      <c r="G1696" s="66">
        <f>IF(tblFleet[[#This Row],[Units]]="","",tblFleet[[#This Row],[Units]]*24)</f>
        <v/>
      </c>
      <c r="H1696" s="66">
        <f>IF(tblFleet[[#This Row],[Units]]="","",tblFleet[[#This Row],[Calendar_h]]-tblFleet[[#This Row],[Down_h]])</f>
        <v/>
      </c>
      <c r="I1696" s="60">
        <f>IF(AND(tblFleet[[#This Row],[Units]]&lt;&gt;"",tblFleet[[#This Row],[Calendar_h]]&gt;0),tblFleet[[#This Row],[Available_h]]/tblFleet[[#This Row],[Calendar_h]],"")</f>
        <v/>
      </c>
      <c r="J1696" s="60">
        <f>IF(AND(tblFleet[[#This Row],[Units]]&lt;&gt;"",tblFleet[[#This Row],[Available_h]]&gt;0),tblFleet[[#This Row],[Operating_h]]/tblFleet[[#This Row],[Available_h]],"")</f>
        <v/>
      </c>
    </row>
    <row r="1697">
      <c r="A1697" s="54" t="n"/>
      <c r="B1697" s="61" t="n"/>
      <c r="C1697" s="62" t="n"/>
      <c r="D1697" s="57" t="n"/>
      <c r="E1697" s="57" t="n"/>
      <c r="F1697" s="58" t="n"/>
      <c r="G1697" s="66">
        <f>IF(tblFleet[[#This Row],[Units]]="","",tblFleet[[#This Row],[Units]]*24)</f>
        <v/>
      </c>
      <c r="H1697" s="66">
        <f>IF(tblFleet[[#This Row],[Units]]="","",tblFleet[[#This Row],[Calendar_h]]-tblFleet[[#This Row],[Down_h]])</f>
        <v/>
      </c>
      <c r="I1697" s="60">
        <f>IF(AND(tblFleet[[#This Row],[Units]]&lt;&gt;"",tblFleet[[#This Row],[Calendar_h]]&gt;0),tblFleet[[#This Row],[Available_h]]/tblFleet[[#This Row],[Calendar_h]],"")</f>
        <v/>
      </c>
      <c r="J1697" s="60">
        <f>IF(AND(tblFleet[[#This Row],[Units]]&lt;&gt;"",tblFleet[[#This Row],[Available_h]]&gt;0),tblFleet[[#This Row],[Operating_h]]/tblFleet[[#This Row],[Available_h]],"")</f>
        <v/>
      </c>
    </row>
    <row r="1698">
      <c r="A1698" s="54" t="n"/>
      <c r="B1698" s="61" t="n"/>
      <c r="C1698" s="62" t="n"/>
      <c r="D1698" s="57" t="n"/>
      <c r="E1698" s="57" t="n"/>
      <c r="F1698" s="58" t="n"/>
      <c r="G1698" s="66">
        <f>IF(tblFleet[[#This Row],[Units]]="","",tblFleet[[#This Row],[Units]]*24)</f>
        <v/>
      </c>
      <c r="H1698" s="66">
        <f>IF(tblFleet[[#This Row],[Units]]="","",tblFleet[[#This Row],[Calendar_h]]-tblFleet[[#This Row],[Down_h]])</f>
        <v/>
      </c>
      <c r="I1698" s="60">
        <f>IF(AND(tblFleet[[#This Row],[Units]]&lt;&gt;"",tblFleet[[#This Row],[Calendar_h]]&gt;0),tblFleet[[#This Row],[Available_h]]/tblFleet[[#This Row],[Calendar_h]],"")</f>
        <v/>
      </c>
      <c r="J1698" s="60">
        <f>IF(AND(tblFleet[[#This Row],[Units]]&lt;&gt;"",tblFleet[[#This Row],[Available_h]]&gt;0),tblFleet[[#This Row],[Operating_h]]/tblFleet[[#This Row],[Available_h]],"")</f>
        <v/>
      </c>
    </row>
    <row r="1699">
      <c r="A1699" s="54" t="n"/>
      <c r="B1699" s="61" t="n"/>
      <c r="C1699" s="62" t="n"/>
      <c r="D1699" s="57" t="n"/>
      <c r="E1699" s="57" t="n"/>
      <c r="F1699" s="58" t="n"/>
      <c r="G1699" s="66">
        <f>IF(tblFleet[[#This Row],[Units]]="","",tblFleet[[#This Row],[Units]]*24)</f>
        <v/>
      </c>
      <c r="H1699" s="66">
        <f>IF(tblFleet[[#This Row],[Units]]="","",tblFleet[[#This Row],[Calendar_h]]-tblFleet[[#This Row],[Down_h]])</f>
        <v/>
      </c>
      <c r="I1699" s="60">
        <f>IF(AND(tblFleet[[#This Row],[Units]]&lt;&gt;"",tblFleet[[#This Row],[Calendar_h]]&gt;0),tblFleet[[#This Row],[Available_h]]/tblFleet[[#This Row],[Calendar_h]],"")</f>
        <v/>
      </c>
      <c r="J1699" s="60">
        <f>IF(AND(tblFleet[[#This Row],[Units]]&lt;&gt;"",tblFleet[[#This Row],[Available_h]]&gt;0),tblFleet[[#This Row],[Operating_h]]/tblFleet[[#This Row],[Available_h]],"")</f>
        <v/>
      </c>
    </row>
    <row r="1700">
      <c r="A1700" s="54" t="n"/>
      <c r="B1700" s="61" t="n"/>
      <c r="C1700" s="62" t="n"/>
      <c r="D1700" s="57" t="n"/>
      <c r="E1700" s="57" t="n"/>
      <c r="F1700" s="58" t="n"/>
      <c r="G1700" s="66">
        <f>IF(tblFleet[[#This Row],[Units]]="","",tblFleet[[#This Row],[Units]]*24)</f>
        <v/>
      </c>
      <c r="H1700" s="66">
        <f>IF(tblFleet[[#This Row],[Units]]="","",tblFleet[[#This Row],[Calendar_h]]-tblFleet[[#This Row],[Down_h]])</f>
        <v/>
      </c>
      <c r="I1700" s="60">
        <f>IF(AND(tblFleet[[#This Row],[Units]]&lt;&gt;"",tblFleet[[#This Row],[Calendar_h]]&gt;0),tblFleet[[#This Row],[Available_h]]/tblFleet[[#This Row],[Calendar_h]],"")</f>
        <v/>
      </c>
      <c r="J1700" s="60">
        <f>IF(AND(tblFleet[[#This Row],[Units]]&lt;&gt;"",tblFleet[[#This Row],[Available_h]]&gt;0),tblFleet[[#This Row],[Operating_h]]/tblFleet[[#This Row],[Available_h]],"")</f>
        <v/>
      </c>
    </row>
    <row r="1701">
      <c r="A1701" s="54" t="n"/>
      <c r="B1701" s="61" t="n"/>
      <c r="C1701" s="62" t="n"/>
      <c r="D1701" s="57" t="n"/>
      <c r="E1701" s="57" t="n"/>
      <c r="F1701" s="58" t="n"/>
      <c r="G1701" s="66">
        <f>IF(tblFleet[[#This Row],[Units]]="","",tblFleet[[#This Row],[Units]]*24)</f>
        <v/>
      </c>
      <c r="H1701" s="66">
        <f>IF(tblFleet[[#This Row],[Units]]="","",tblFleet[[#This Row],[Calendar_h]]-tblFleet[[#This Row],[Down_h]])</f>
        <v/>
      </c>
      <c r="I1701" s="60">
        <f>IF(AND(tblFleet[[#This Row],[Units]]&lt;&gt;"",tblFleet[[#This Row],[Calendar_h]]&gt;0),tblFleet[[#This Row],[Available_h]]/tblFleet[[#This Row],[Calendar_h]],"")</f>
        <v/>
      </c>
      <c r="J1701" s="60">
        <f>IF(AND(tblFleet[[#This Row],[Units]]&lt;&gt;"",tblFleet[[#This Row],[Available_h]]&gt;0),tblFleet[[#This Row],[Operating_h]]/tblFleet[[#This Row],[Available_h]],"")</f>
        <v/>
      </c>
    </row>
    <row r="1702">
      <c r="A1702" s="54" t="n"/>
      <c r="B1702" s="61" t="n"/>
      <c r="C1702" s="62" t="n"/>
      <c r="D1702" s="57" t="n"/>
      <c r="E1702" s="57" t="n"/>
      <c r="F1702" s="58" t="n"/>
      <c r="G1702" s="66">
        <f>IF(tblFleet[[#This Row],[Units]]="","",tblFleet[[#This Row],[Units]]*24)</f>
        <v/>
      </c>
      <c r="H1702" s="66">
        <f>IF(tblFleet[[#This Row],[Units]]="","",tblFleet[[#This Row],[Calendar_h]]-tblFleet[[#This Row],[Down_h]])</f>
        <v/>
      </c>
      <c r="I1702" s="60">
        <f>IF(AND(tblFleet[[#This Row],[Units]]&lt;&gt;"",tblFleet[[#This Row],[Calendar_h]]&gt;0),tblFleet[[#This Row],[Available_h]]/tblFleet[[#This Row],[Calendar_h]],"")</f>
        <v/>
      </c>
      <c r="J1702" s="60">
        <f>IF(AND(tblFleet[[#This Row],[Units]]&lt;&gt;"",tblFleet[[#This Row],[Available_h]]&gt;0),tblFleet[[#This Row],[Operating_h]]/tblFleet[[#This Row],[Available_h]],"")</f>
        <v/>
      </c>
    </row>
    <row r="1703">
      <c r="A1703" s="54" t="n"/>
      <c r="B1703" s="61" t="n"/>
      <c r="C1703" s="62" t="n"/>
      <c r="D1703" s="57" t="n"/>
      <c r="E1703" s="57" t="n"/>
      <c r="F1703" s="58" t="n"/>
      <c r="G1703" s="66">
        <f>IF(tblFleet[[#This Row],[Units]]="","",tblFleet[[#This Row],[Units]]*24)</f>
        <v/>
      </c>
      <c r="H1703" s="66">
        <f>IF(tblFleet[[#This Row],[Units]]="","",tblFleet[[#This Row],[Calendar_h]]-tblFleet[[#This Row],[Down_h]])</f>
        <v/>
      </c>
      <c r="I1703" s="60">
        <f>IF(AND(tblFleet[[#This Row],[Units]]&lt;&gt;"",tblFleet[[#This Row],[Calendar_h]]&gt;0),tblFleet[[#This Row],[Available_h]]/tblFleet[[#This Row],[Calendar_h]],"")</f>
        <v/>
      </c>
      <c r="J1703" s="60">
        <f>IF(AND(tblFleet[[#This Row],[Units]]&lt;&gt;"",tblFleet[[#This Row],[Available_h]]&gt;0),tblFleet[[#This Row],[Operating_h]]/tblFleet[[#This Row],[Available_h]],"")</f>
        <v/>
      </c>
    </row>
    <row r="1704">
      <c r="A1704" s="54" t="n"/>
      <c r="B1704" s="61" t="n"/>
      <c r="C1704" s="62" t="n"/>
      <c r="D1704" s="57" t="n"/>
      <c r="E1704" s="57" t="n"/>
      <c r="F1704" s="58" t="n"/>
      <c r="G1704" s="66">
        <f>IF(tblFleet[[#This Row],[Units]]="","",tblFleet[[#This Row],[Units]]*24)</f>
        <v/>
      </c>
      <c r="H1704" s="66">
        <f>IF(tblFleet[[#This Row],[Units]]="","",tblFleet[[#This Row],[Calendar_h]]-tblFleet[[#This Row],[Down_h]])</f>
        <v/>
      </c>
      <c r="I1704" s="60">
        <f>IF(AND(tblFleet[[#This Row],[Units]]&lt;&gt;"",tblFleet[[#This Row],[Calendar_h]]&gt;0),tblFleet[[#This Row],[Available_h]]/tblFleet[[#This Row],[Calendar_h]],"")</f>
        <v/>
      </c>
      <c r="J1704" s="60">
        <f>IF(AND(tblFleet[[#This Row],[Units]]&lt;&gt;"",tblFleet[[#This Row],[Available_h]]&gt;0),tblFleet[[#This Row],[Operating_h]]/tblFleet[[#This Row],[Available_h]],"")</f>
        <v/>
      </c>
    </row>
    <row r="1705">
      <c r="A1705" s="54" t="n"/>
      <c r="B1705" s="61" t="n"/>
      <c r="C1705" s="62" t="n"/>
      <c r="D1705" s="57" t="n"/>
      <c r="E1705" s="57" t="n"/>
      <c r="F1705" s="58" t="n"/>
      <c r="G1705" s="66">
        <f>IF(tblFleet[[#This Row],[Units]]="","",tblFleet[[#This Row],[Units]]*24)</f>
        <v/>
      </c>
      <c r="H1705" s="66">
        <f>IF(tblFleet[[#This Row],[Units]]="","",tblFleet[[#This Row],[Calendar_h]]-tblFleet[[#This Row],[Down_h]])</f>
        <v/>
      </c>
      <c r="I1705" s="60">
        <f>IF(AND(tblFleet[[#This Row],[Units]]&lt;&gt;"",tblFleet[[#This Row],[Calendar_h]]&gt;0),tblFleet[[#This Row],[Available_h]]/tblFleet[[#This Row],[Calendar_h]],"")</f>
        <v/>
      </c>
      <c r="J1705" s="60">
        <f>IF(AND(tblFleet[[#This Row],[Units]]&lt;&gt;"",tblFleet[[#This Row],[Available_h]]&gt;0),tblFleet[[#This Row],[Operating_h]]/tblFleet[[#This Row],[Available_h]],"")</f>
        <v/>
      </c>
    </row>
    <row r="1706">
      <c r="A1706" s="54" t="n"/>
      <c r="B1706" s="61" t="n"/>
      <c r="C1706" s="62" t="n"/>
      <c r="D1706" s="57" t="n"/>
      <c r="E1706" s="57" t="n"/>
      <c r="F1706" s="58" t="n"/>
      <c r="G1706" s="66">
        <f>IF(tblFleet[[#This Row],[Units]]="","",tblFleet[[#This Row],[Units]]*24)</f>
        <v/>
      </c>
      <c r="H1706" s="66">
        <f>IF(tblFleet[[#This Row],[Units]]="","",tblFleet[[#This Row],[Calendar_h]]-tblFleet[[#This Row],[Down_h]])</f>
        <v/>
      </c>
      <c r="I1706" s="60">
        <f>IF(AND(tblFleet[[#This Row],[Units]]&lt;&gt;"",tblFleet[[#This Row],[Calendar_h]]&gt;0),tblFleet[[#This Row],[Available_h]]/tblFleet[[#This Row],[Calendar_h]],"")</f>
        <v/>
      </c>
      <c r="J1706" s="60">
        <f>IF(AND(tblFleet[[#This Row],[Units]]&lt;&gt;"",tblFleet[[#This Row],[Available_h]]&gt;0),tblFleet[[#This Row],[Operating_h]]/tblFleet[[#This Row],[Available_h]],"")</f>
        <v/>
      </c>
    </row>
    <row r="1707">
      <c r="A1707" s="54" t="n"/>
      <c r="B1707" s="61" t="n"/>
      <c r="C1707" s="62" t="n"/>
      <c r="D1707" s="57" t="n"/>
      <c r="E1707" s="57" t="n"/>
      <c r="F1707" s="58" t="n"/>
      <c r="G1707" s="66">
        <f>IF(tblFleet[[#This Row],[Units]]="","",tblFleet[[#This Row],[Units]]*24)</f>
        <v/>
      </c>
      <c r="H1707" s="66">
        <f>IF(tblFleet[[#This Row],[Units]]="","",tblFleet[[#This Row],[Calendar_h]]-tblFleet[[#This Row],[Down_h]])</f>
        <v/>
      </c>
      <c r="I1707" s="60">
        <f>IF(AND(tblFleet[[#This Row],[Units]]&lt;&gt;"",tblFleet[[#This Row],[Calendar_h]]&gt;0),tblFleet[[#This Row],[Available_h]]/tblFleet[[#This Row],[Calendar_h]],"")</f>
        <v/>
      </c>
      <c r="J1707" s="60">
        <f>IF(AND(tblFleet[[#This Row],[Units]]&lt;&gt;"",tblFleet[[#This Row],[Available_h]]&gt;0),tblFleet[[#This Row],[Operating_h]]/tblFleet[[#This Row],[Available_h]],"")</f>
        <v/>
      </c>
    </row>
    <row r="1708">
      <c r="A1708" s="54" t="n"/>
      <c r="B1708" s="61" t="n"/>
      <c r="C1708" s="62" t="n"/>
      <c r="D1708" s="57" t="n"/>
      <c r="E1708" s="57" t="n"/>
      <c r="F1708" s="58" t="n"/>
      <c r="G1708" s="66">
        <f>IF(tblFleet[[#This Row],[Units]]="","",tblFleet[[#This Row],[Units]]*24)</f>
        <v/>
      </c>
      <c r="H1708" s="66">
        <f>IF(tblFleet[[#This Row],[Units]]="","",tblFleet[[#This Row],[Calendar_h]]-tblFleet[[#This Row],[Down_h]])</f>
        <v/>
      </c>
      <c r="I1708" s="60">
        <f>IF(AND(tblFleet[[#This Row],[Units]]&lt;&gt;"",tblFleet[[#This Row],[Calendar_h]]&gt;0),tblFleet[[#This Row],[Available_h]]/tblFleet[[#This Row],[Calendar_h]],"")</f>
        <v/>
      </c>
      <c r="J1708" s="60">
        <f>IF(AND(tblFleet[[#This Row],[Units]]&lt;&gt;"",tblFleet[[#This Row],[Available_h]]&gt;0),tblFleet[[#This Row],[Operating_h]]/tblFleet[[#This Row],[Available_h]],"")</f>
        <v/>
      </c>
    </row>
    <row r="1709">
      <c r="A1709" s="54" t="n"/>
      <c r="B1709" s="61" t="n"/>
      <c r="C1709" s="62" t="n"/>
      <c r="D1709" s="57" t="n"/>
      <c r="E1709" s="57" t="n"/>
      <c r="F1709" s="58" t="n"/>
      <c r="G1709" s="66">
        <f>IF(tblFleet[[#This Row],[Units]]="","",tblFleet[[#This Row],[Units]]*24)</f>
        <v/>
      </c>
      <c r="H1709" s="66">
        <f>IF(tblFleet[[#This Row],[Units]]="","",tblFleet[[#This Row],[Calendar_h]]-tblFleet[[#This Row],[Down_h]])</f>
        <v/>
      </c>
      <c r="I1709" s="60">
        <f>IF(AND(tblFleet[[#This Row],[Units]]&lt;&gt;"",tblFleet[[#This Row],[Calendar_h]]&gt;0),tblFleet[[#This Row],[Available_h]]/tblFleet[[#This Row],[Calendar_h]],"")</f>
        <v/>
      </c>
      <c r="J1709" s="60">
        <f>IF(AND(tblFleet[[#This Row],[Units]]&lt;&gt;"",tblFleet[[#This Row],[Available_h]]&gt;0),tblFleet[[#This Row],[Operating_h]]/tblFleet[[#This Row],[Available_h]],"")</f>
        <v/>
      </c>
    </row>
    <row r="1710">
      <c r="A1710" s="54" t="n"/>
      <c r="B1710" s="61" t="n"/>
      <c r="C1710" s="62" t="n"/>
      <c r="D1710" s="57" t="n"/>
      <c r="E1710" s="57" t="n"/>
      <c r="F1710" s="58" t="n"/>
      <c r="G1710" s="66">
        <f>IF(tblFleet[[#This Row],[Units]]="","",tblFleet[[#This Row],[Units]]*24)</f>
        <v/>
      </c>
      <c r="H1710" s="66">
        <f>IF(tblFleet[[#This Row],[Units]]="","",tblFleet[[#This Row],[Calendar_h]]-tblFleet[[#This Row],[Down_h]])</f>
        <v/>
      </c>
      <c r="I1710" s="60">
        <f>IF(AND(tblFleet[[#This Row],[Units]]&lt;&gt;"",tblFleet[[#This Row],[Calendar_h]]&gt;0),tblFleet[[#This Row],[Available_h]]/tblFleet[[#This Row],[Calendar_h]],"")</f>
        <v/>
      </c>
      <c r="J1710" s="60">
        <f>IF(AND(tblFleet[[#This Row],[Units]]&lt;&gt;"",tblFleet[[#This Row],[Available_h]]&gt;0),tblFleet[[#This Row],[Operating_h]]/tblFleet[[#This Row],[Available_h]],"")</f>
        <v/>
      </c>
    </row>
    <row r="1711">
      <c r="A1711" s="54" t="n"/>
      <c r="B1711" s="61" t="n"/>
      <c r="C1711" s="62" t="n"/>
      <c r="D1711" s="57" t="n"/>
      <c r="E1711" s="57" t="n"/>
      <c r="F1711" s="58" t="n"/>
      <c r="G1711" s="66">
        <f>IF(tblFleet[[#This Row],[Units]]="","",tblFleet[[#This Row],[Units]]*24)</f>
        <v/>
      </c>
      <c r="H1711" s="66">
        <f>IF(tblFleet[[#This Row],[Units]]="","",tblFleet[[#This Row],[Calendar_h]]-tblFleet[[#This Row],[Down_h]])</f>
        <v/>
      </c>
      <c r="I1711" s="60">
        <f>IF(AND(tblFleet[[#This Row],[Units]]&lt;&gt;"",tblFleet[[#This Row],[Calendar_h]]&gt;0),tblFleet[[#This Row],[Available_h]]/tblFleet[[#This Row],[Calendar_h]],"")</f>
        <v/>
      </c>
      <c r="J1711" s="60">
        <f>IF(AND(tblFleet[[#This Row],[Units]]&lt;&gt;"",tblFleet[[#This Row],[Available_h]]&gt;0),tblFleet[[#This Row],[Operating_h]]/tblFleet[[#This Row],[Available_h]],"")</f>
        <v/>
      </c>
    </row>
    <row r="1712">
      <c r="A1712" s="54" t="n"/>
      <c r="B1712" s="61" t="n"/>
      <c r="C1712" s="62" t="n"/>
      <c r="D1712" s="57" t="n"/>
      <c r="E1712" s="57" t="n"/>
      <c r="F1712" s="58" t="n"/>
      <c r="G1712" s="66">
        <f>IF(tblFleet[[#This Row],[Units]]="","",tblFleet[[#This Row],[Units]]*24)</f>
        <v/>
      </c>
      <c r="H1712" s="66">
        <f>IF(tblFleet[[#This Row],[Units]]="","",tblFleet[[#This Row],[Calendar_h]]-tblFleet[[#This Row],[Down_h]])</f>
        <v/>
      </c>
      <c r="I1712" s="60">
        <f>IF(AND(tblFleet[[#This Row],[Units]]&lt;&gt;"",tblFleet[[#This Row],[Calendar_h]]&gt;0),tblFleet[[#This Row],[Available_h]]/tblFleet[[#This Row],[Calendar_h]],"")</f>
        <v/>
      </c>
      <c r="J1712" s="60">
        <f>IF(AND(tblFleet[[#This Row],[Units]]&lt;&gt;"",tblFleet[[#This Row],[Available_h]]&gt;0),tblFleet[[#This Row],[Operating_h]]/tblFleet[[#This Row],[Available_h]],"")</f>
        <v/>
      </c>
    </row>
    <row r="1713">
      <c r="A1713" s="54" t="n"/>
      <c r="B1713" s="61" t="n"/>
      <c r="C1713" s="62" t="n"/>
      <c r="D1713" s="57" t="n"/>
      <c r="E1713" s="57" t="n"/>
      <c r="F1713" s="58" t="n"/>
      <c r="G1713" s="66">
        <f>IF(tblFleet[[#This Row],[Units]]="","",tblFleet[[#This Row],[Units]]*24)</f>
        <v/>
      </c>
      <c r="H1713" s="66">
        <f>IF(tblFleet[[#This Row],[Units]]="","",tblFleet[[#This Row],[Calendar_h]]-tblFleet[[#This Row],[Down_h]])</f>
        <v/>
      </c>
      <c r="I1713" s="60">
        <f>IF(AND(tblFleet[[#This Row],[Units]]&lt;&gt;"",tblFleet[[#This Row],[Calendar_h]]&gt;0),tblFleet[[#This Row],[Available_h]]/tblFleet[[#This Row],[Calendar_h]],"")</f>
        <v/>
      </c>
      <c r="J1713" s="60">
        <f>IF(AND(tblFleet[[#This Row],[Units]]&lt;&gt;"",tblFleet[[#This Row],[Available_h]]&gt;0),tblFleet[[#This Row],[Operating_h]]/tblFleet[[#This Row],[Available_h]],"")</f>
        <v/>
      </c>
    </row>
    <row r="1714">
      <c r="A1714" s="54" t="n"/>
      <c r="B1714" s="61" t="n"/>
      <c r="C1714" s="62" t="n"/>
      <c r="D1714" s="57" t="n"/>
      <c r="E1714" s="57" t="n"/>
      <c r="F1714" s="58" t="n"/>
      <c r="G1714" s="66">
        <f>IF(tblFleet[[#This Row],[Units]]="","",tblFleet[[#This Row],[Units]]*24)</f>
        <v/>
      </c>
      <c r="H1714" s="66">
        <f>IF(tblFleet[[#This Row],[Units]]="","",tblFleet[[#This Row],[Calendar_h]]-tblFleet[[#This Row],[Down_h]])</f>
        <v/>
      </c>
      <c r="I1714" s="60">
        <f>IF(AND(tblFleet[[#This Row],[Units]]&lt;&gt;"",tblFleet[[#This Row],[Calendar_h]]&gt;0),tblFleet[[#This Row],[Available_h]]/tblFleet[[#This Row],[Calendar_h]],"")</f>
        <v/>
      </c>
      <c r="J1714" s="60">
        <f>IF(AND(tblFleet[[#This Row],[Units]]&lt;&gt;"",tblFleet[[#This Row],[Available_h]]&gt;0),tblFleet[[#This Row],[Operating_h]]/tblFleet[[#This Row],[Available_h]],"")</f>
        <v/>
      </c>
    </row>
    <row r="1715">
      <c r="A1715" s="54" t="n"/>
      <c r="B1715" s="61" t="n"/>
      <c r="C1715" s="62" t="n"/>
      <c r="D1715" s="57" t="n"/>
      <c r="E1715" s="57" t="n"/>
      <c r="F1715" s="58" t="n"/>
      <c r="G1715" s="66">
        <f>IF(tblFleet[[#This Row],[Units]]="","",tblFleet[[#This Row],[Units]]*24)</f>
        <v/>
      </c>
      <c r="H1715" s="66">
        <f>IF(tblFleet[[#This Row],[Units]]="","",tblFleet[[#This Row],[Calendar_h]]-tblFleet[[#This Row],[Down_h]])</f>
        <v/>
      </c>
      <c r="I1715" s="60">
        <f>IF(AND(tblFleet[[#This Row],[Units]]&lt;&gt;"",tblFleet[[#This Row],[Calendar_h]]&gt;0),tblFleet[[#This Row],[Available_h]]/tblFleet[[#This Row],[Calendar_h]],"")</f>
        <v/>
      </c>
      <c r="J1715" s="60">
        <f>IF(AND(tblFleet[[#This Row],[Units]]&lt;&gt;"",tblFleet[[#This Row],[Available_h]]&gt;0),tblFleet[[#This Row],[Operating_h]]/tblFleet[[#This Row],[Available_h]],"")</f>
        <v/>
      </c>
    </row>
    <row r="1716">
      <c r="A1716" s="54" t="n"/>
      <c r="B1716" s="61" t="n"/>
      <c r="C1716" s="62" t="n"/>
      <c r="D1716" s="57" t="n"/>
      <c r="E1716" s="57" t="n"/>
      <c r="F1716" s="58" t="n"/>
      <c r="G1716" s="66">
        <f>IF(tblFleet[[#This Row],[Units]]="","",tblFleet[[#This Row],[Units]]*24)</f>
        <v/>
      </c>
      <c r="H1716" s="66">
        <f>IF(tblFleet[[#This Row],[Units]]="","",tblFleet[[#This Row],[Calendar_h]]-tblFleet[[#This Row],[Down_h]])</f>
        <v/>
      </c>
      <c r="I1716" s="60">
        <f>IF(AND(tblFleet[[#This Row],[Units]]&lt;&gt;"",tblFleet[[#This Row],[Calendar_h]]&gt;0),tblFleet[[#This Row],[Available_h]]/tblFleet[[#This Row],[Calendar_h]],"")</f>
        <v/>
      </c>
      <c r="J1716" s="60">
        <f>IF(AND(tblFleet[[#This Row],[Units]]&lt;&gt;"",tblFleet[[#This Row],[Available_h]]&gt;0),tblFleet[[#This Row],[Operating_h]]/tblFleet[[#This Row],[Available_h]],"")</f>
        <v/>
      </c>
    </row>
    <row r="1717">
      <c r="A1717" s="54" t="n"/>
      <c r="B1717" s="61" t="n"/>
      <c r="C1717" s="62" t="n"/>
      <c r="D1717" s="57" t="n"/>
      <c r="E1717" s="57" t="n"/>
      <c r="F1717" s="58" t="n"/>
      <c r="G1717" s="66">
        <f>IF(tblFleet[[#This Row],[Units]]="","",tblFleet[[#This Row],[Units]]*24)</f>
        <v/>
      </c>
      <c r="H1717" s="66">
        <f>IF(tblFleet[[#This Row],[Units]]="","",tblFleet[[#This Row],[Calendar_h]]-tblFleet[[#This Row],[Down_h]])</f>
        <v/>
      </c>
      <c r="I1717" s="60">
        <f>IF(AND(tblFleet[[#This Row],[Units]]&lt;&gt;"",tblFleet[[#This Row],[Calendar_h]]&gt;0),tblFleet[[#This Row],[Available_h]]/tblFleet[[#This Row],[Calendar_h]],"")</f>
        <v/>
      </c>
      <c r="J1717" s="60">
        <f>IF(AND(tblFleet[[#This Row],[Units]]&lt;&gt;"",tblFleet[[#This Row],[Available_h]]&gt;0),tblFleet[[#This Row],[Operating_h]]/tblFleet[[#This Row],[Available_h]],"")</f>
        <v/>
      </c>
    </row>
    <row r="1718">
      <c r="A1718" s="54" t="n"/>
      <c r="B1718" s="61" t="n"/>
      <c r="C1718" s="62" t="n"/>
      <c r="D1718" s="57" t="n"/>
      <c r="E1718" s="57" t="n"/>
      <c r="F1718" s="58" t="n"/>
      <c r="G1718" s="66">
        <f>IF(tblFleet[[#This Row],[Units]]="","",tblFleet[[#This Row],[Units]]*24)</f>
        <v/>
      </c>
      <c r="H1718" s="66">
        <f>IF(tblFleet[[#This Row],[Units]]="","",tblFleet[[#This Row],[Calendar_h]]-tblFleet[[#This Row],[Down_h]])</f>
        <v/>
      </c>
      <c r="I1718" s="60">
        <f>IF(AND(tblFleet[[#This Row],[Units]]&lt;&gt;"",tblFleet[[#This Row],[Calendar_h]]&gt;0),tblFleet[[#This Row],[Available_h]]/tblFleet[[#This Row],[Calendar_h]],"")</f>
        <v/>
      </c>
      <c r="J1718" s="60">
        <f>IF(AND(tblFleet[[#This Row],[Units]]&lt;&gt;"",tblFleet[[#This Row],[Available_h]]&gt;0),tblFleet[[#This Row],[Operating_h]]/tblFleet[[#This Row],[Available_h]],"")</f>
        <v/>
      </c>
    </row>
    <row r="1719">
      <c r="A1719" s="54" t="n"/>
      <c r="B1719" s="61" t="n"/>
      <c r="C1719" s="62" t="n"/>
      <c r="D1719" s="57" t="n"/>
      <c r="E1719" s="57" t="n"/>
      <c r="F1719" s="58" t="n"/>
      <c r="G1719" s="66">
        <f>IF(tblFleet[[#This Row],[Units]]="","",tblFleet[[#This Row],[Units]]*24)</f>
        <v/>
      </c>
      <c r="H1719" s="66">
        <f>IF(tblFleet[[#This Row],[Units]]="","",tblFleet[[#This Row],[Calendar_h]]-tblFleet[[#This Row],[Down_h]])</f>
        <v/>
      </c>
      <c r="I1719" s="60">
        <f>IF(AND(tblFleet[[#This Row],[Units]]&lt;&gt;"",tblFleet[[#This Row],[Calendar_h]]&gt;0),tblFleet[[#This Row],[Available_h]]/tblFleet[[#This Row],[Calendar_h]],"")</f>
        <v/>
      </c>
      <c r="J1719" s="60">
        <f>IF(AND(tblFleet[[#This Row],[Units]]&lt;&gt;"",tblFleet[[#This Row],[Available_h]]&gt;0),tblFleet[[#This Row],[Operating_h]]/tblFleet[[#This Row],[Available_h]],"")</f>
        <v/>
      </c>
    </row>
    <row r="1720">
      <c r="A1720" s="54" t="n"/>
      <c r="B1720" s="61" t="n"/>
      <c r="C1720" s="62" t="n"/>
      <c r="D1720" s="57" t="n"/>
      <c r="E1720" s="57" t="n"/>
      <c r="F1720" s="58" t="n"/>
      <c r="G1720" s="66">
        <f>IF(tblFleet[[#This Row],[Units]]="","",tblFleet[[#This Row],[Units]]*24)</f>
        <v/>
      </c>
      <c r="H1720" s="66">
        <f>IF(tblFleet[[#This Row],[Units]]="","",tblFleet[[#This Row],[Calendar_h]]-tblFleet[[#This Row],[Down_h]])</f>
        <v/>
      </c>
      <c r="I1720" s="60">
        <f>IF(AND(tblFleet[[#This Row],[Units]]&lt;&gt;"",tblFleet[[#This Row],[Calendar_h]]&gt;0),tblFleet[[#This Row],[Available_h]]/tblFleet[[#This Row],[Calendar_h]],"")</f>
        <v/>
      </c>
      <c r="J1720" s="60">
        <f>IF(AND(tblFleet[[#This Row],[Units]]&lt;&gt;"",tblFleet[[#This Row],[Available_h]]&gt;0),tblFleet[[#This Row],[Operating_h]]/tblFleet[[#This Row],[Available_h]],"")</f>
        <v/>
      </c>
    </row>
    <row r="1721">
      <c r="A1721" s="54" t="n"/>
      <c r="B1721" s="61" t="n"/>
      <c r="C1721" s="62" t="n"/>
      <c r="D1721" s="57" t="n"/>
      <c r="E1721" s="57" t="n"/>
      <c r="F1721" s="58" t="n"/>
      <c r="G1721" s="66">
        <f>IF(tblFleet[[#This Row],[Units]]="","",tblFleet[[#This Row],[Units]]*24)</f>
        <v/>
      </c>
      <c r="H1721" s="66">
        <f>IF(tblFleet[[#This Row],[Units]]="","",tblFleet[[#This Row],[Calendar_h]]-tblFleet[[#This Row],[Down_h]])</f>
        <v/>
      </c>
      <c r="I1721" s="60">
        <f>IF(AND(tblFleet[[#This Row],[Units]]&lt;&gt;"",tblFleet[[#This Row],[Calendar_h]]&gt;0),tblFleet[[#This Row],[Available_h]]/tblFleet[[#This Row],[Calendar_h]],"")</f>
        <v/>
      </c>
      <c r="J1721" s="60">
        <f>IF(AND(tblFleet[[#This Row],[Units]]&lt;&gt;"",tblFleet[[#This Row],[Available_h]]&gt;0),tblFleet[[#This Row],[Operating_h]]/tblFleet[[#This Row],[Available_h]],"")</f>
        <v/>
      </c>
    </row>
    <row r="1722">
      <c r="A1722" s="54" t="n"/>
      <c r="B1722" s="61" t="n"/>
      <c r="C1722" s="62" t="n"/>
      <c r="D1722" s="57" t="n"/>
      <c r="E1722" s="57" t="n"/>
      <c r="F1722" s="58" t="n"/>
      <c r="G1722" s="66">
        <f>IF(tblFleet[[#This Row],[Units]]="","",tblFleet[[#This Row],[Units]]*24)</f>
        <v/>
      </c>
      <c r="H1722" s="66">
        <f>IF(tblFleet[[#This Row],[Units]]="","",tblFleet[[#This Row],[Calendar_h]]-tblFleet[[#This Row],[Down_h]])</f>
        <v/>
      </c>
      <c r="I1722" s="60">
        <f>IF(AND(tblFleet[[#This Row],[Units]]&lt;&gt;"",tblFleet[[#This Row],[Calendar_h]]&gt;0),tblFleet[[#This Row],[Available_h]]/tblFleet[[#This Row],[Calendar_h]],"")</f>
        <v/>
      </c>
      <c r="J1722" s="60">
        <f>IF(AND(tblFleet[[#This Row],[Units]]&lt;&gt;"",tblFleet[[#This Row],[Available_h]]&gt;0),tblFleet[[#This Row],[Operating_h]]/tblFleet[[#This Row],[Available_h]],"")</f>
        <v/>
      </c>
    </row>
    <row r="1723">
      <c r="A1723" s="54" t="n"/>
      <c r="B1723" s="61" t="n"/>
      <c r="C1723" s="62" t="n"/>
      <c r="D1723" s="57" t="n"/>
      <c r="E1723" s="57" t="n"/>
      <c r="F1723" s="58" t="n"/>
      <c r="G1723" s="66">
        <f>IF(tblFleet[[#This Row],[Units]]="","",tblFleet[[#This Row],[Units]]*24)</f>
        <v/>
      </c>
      <c r="H1723" s="66">
        <f>IF(tblFleet[[#This Row],[Units]]="","",tblFleet[[#This Row],[Calendar_h]]-tblFleet[[#This Row],[Down_h]])</f>
        <v/>
      </c>
      <c r="I1723" s="60">
        <f>IF(AND(tblFleet[[#This Row],[Units]]&lt;&gt;"",tblFleet[[#This Row],[Calendar_h]]&gt;0),tblFleet[[#This Row],[Available_h]]/tblFleet[[#This Row],[Calendar_h]],"")</f>
        <v/>
      </c>
      <c r="J1723" s="60">
        <f>IF(AND(tblFleet[[#This Row],[Units]]&lt;&gt;"",tblFleet[[#This Row],[Available_h]]&gt;0),tblFleet[[#This Row],[Operating_h]]/tblFleet[[#This Row],[Available_h]],"")</f>
        <v/>
      </c>
    </row>
    <row r="1724">
      <c r="A1724" s="54" t="n"/>
      <c r="B1724" s="61" t="n"/>
      <c r="C1724" s="62" t="n"/>
      <c r="D1724" s="57" t="n"/>
      <c r="E1724" s="57" t="n"/>
      <c r="F1724" s="58" t="n"/>
      <c r="G1724" s="66">
        <f>IF(tblFleet[[#This Row],[Units]]="","",tblFleet[[#This Row],[Units]]*24)</f>
        <v/>
      </c>
      <c r="H1724" s="66">
        <f>IF(tblFleet[[#This Row],[Units]]="","",tblFleet[[#This Row],[Calendar_h]]-tblFleet[[#This Row],[Down_h]])</f>
        <v/>
      </c>
      <c r="I1724" s="60">
        <f>IF(AND(tblFleet[[#This Row],[Units]]&lt;&gt;"",tblFleet[[#This Row],[Calendar_h]]&gt;0),tblFleet[[#This Row],[Available_h]]/tblFleet[[#This Row],[Calendar_h]],"")</f>
        <v/>
      </c>
      <c r="J1724" s="60">
        <f>IF(AND(tblFleet[[#This Row],[Units]]&lt;&gt;"",tblFleet[[#This Row],[Available_h]]&gt;0),tblFleet[[#This Row],[Operating_h]]/tblFleet[[#This Row],[Available_h]],"")</f>
        <v/>
      </c>
    </row>
    <row r="1725">
      <c r="A1725" s="54" t="n"/>
      <c r="B1725" s="61" t="n"/>
      <c r="C1725" s="62" t="n"/>
      <c r="D1725" s="57" t="n"/>
      <c r="E1725" s="57" t="n"/>
      <c r="F1725" s="58" t="n"/>
      <c r="G1725" s="66">
        <f>IF(tblFleet[[#This Row],[Units]]="","",tblFleet[[#This Row],[Units]]*24)</f>
        <v/>
      </c>
      <c r="H1725" s="66">
        <f>IF(tblFleet[[#This Row],[Units]]="","",tblFleet[[#This Row],[Calendar_h]]-tblFleet[[#This Row],[Down_h]])</f>
        <v/>
      </c>
      <c r="I1725" s="60">
        <f>IF(AND(tblFleet[[#This Row],[Units]]&lt;&gt;"",tblFleet[[#This Row],[Calendar_h]]&gt;0),tblFleet[[#This Row],[Available_h]]/tblFleet[[#This Row],[Calendar_h]],"")</f>
        <v/>
      </c>
      <c r="J1725" s="60">
        <f>IF(AND(tblFleet[[#This Row],[Units]]&lt;&gt;"",tblFleet[[#This Row],[Available_h]]&gt;0),tblFleet[[#This Row],[Operating_h]]/tblFleet[[#This Row],[Available_h]],"")</f>
        <v/>
      </c>
    </row>
    <row r="1726">
      <c r="A1726" s="54" t="n"/>
      <c r="B1726" s="61" t="n"/>
      <c r="C1726" s="62" t="n"/>
      <c r="D1726" s="57" t="n"/>
      <c r="E1726" s="57" t="n"/>
      <c r="F1726" s="58" t="n"/>
      <c r="G1726" s="66">
        <f>IF(tblFleet[[#This Row],[Units]]="","",tblFleet[[#This Row],[Units]]*24)</f>
        <v/>
      </c>
      <c r="H1726" s="66">
        <f>IF(tblFleet[[#This Row],[Units]]="","",tblFleet[[#This Row],[Calendar_h]]-tblFleet[[#This Row],[Down_h]])</f>
        <v/>
      </c>
      <c r="I1726" s="60">
        <f>IF(AND(tblFleet[[#This Row],[Units]]&lt;&gt;"",tblFleet[[#This Row],[Calendar_h]]&gt;0),tblFleet[[#This Row],[Available_h]]/tblFleet[[#This Row],[Calendar_h]],"")</f>
        <v/>
      </c>
      <c r="J1726" s="60">
        <f>IF(AND(tblFleet[[#This Row],[Units]]&lt;&gt;"",tblFleet[[#This Row],[Available_h]]&gt;0),tblFleet[[#This Row],[Operating_h]]/tblFleet[[#This Row],[Available_h]],"")</f>
        <v/>
      </c>
    </row>
    <row r="1727">
      <c r="A1727" s="54" t="n"/>
      <c r="B1727" s="61" t="n"/>
      <c r="C1727" s="62" t="n"/>
      <c r="D1727" s="57" t="n"/>
      <c r="E1727" s="57" t="n"/>
      <c r="F1727" s="58" t="n"/>
      <c r="G1727" s="66">
        <f>IF(tblFleet[[#This Row],[Units]]="","",tblFleet[[#This Row],[Units]]*24)</f>
        <v/>
      </c>
      <c r="H1727" s="66">
        <f>IF(tblFleet[[#This Row],[Units]]="","",tblFleet[[#This Row],[Calendar_h]]-tblFleet[[#This Row],[Down_h]])</f>
        <v/>
      </c>
      <c r="I1727" s="60">
        <f>IF(AND(tblFleet[[#This Row],[Units]]&lt;&gt;"",tblFleet[[#This Row],[Calendar_h]]&gt;0),tblFleet[[#This Row],[Available_h]]/tblFleet[[#This Row],[Calendar_h]],"")</f>
        <v/>
      </c>
      <c r="J1727" s="60">
        <f>IF(AND(tblFleet[[#This Row],[Units]]&lt;&gt;"",tblFleet[[#This Row],[Available_h]]&gt;0),tblFleet[[#This Row],[Operating_h]]/tblFleet[[#This Row],[Available_h]],"")</f>
        <v/>
      </c>
    </row>
    <row r="1728">
      <c r="A1728" s="54" t="n"/>
      <c r="B1728" s="61" t="n"/>
      <c r="C1728" s="62" t="n"/>
      <c r="D1728" s="57" t="n"/>
      <c r="E1728" s="57" t="n"/>
      <c r="F1728" s="58" t="n"/>
      <c r="G1728" s="66">
        <f>IF(tblFleet[[#This Row],[Units]]="","",tblFleet[[#This Row],[Units]]*24)</f>
        <v/>
      </c>
      <c r="H1728" s="66">
        <f>IF(tblFleet[[#This Row],[Units]]="","",tblFleet[[#This Row],[Calendar_h]]-tblFleet[[#This Row],[Down_h]])</f>
        <v/>
      </c>
      <c r="I1728" s="60">
        <f>IF(AND(tblFleet[[#This Row],[Units]]&lt;&gt;"",tblFleet[[#This Row],[Calendar_h]]&gt;0),tblFleet[[#This Row],[Available_h]]/tblFleet[[#This Row],[Calendar_h]],"")</f>
        <v/>
      </c>
      <c r="J1728" s="60">
        <f>IF(AND(tblFleet[[#This Row],[Units]]&lt;&gt;"",tblFleet[[#This Row],[Available_h]]&gt;0),tblFleet[[#This Row],[Operating_h]]/tblFleet[[#This Row],[Available_h]],"")</f>
        <v/>
      </c>
    </row>
    <row r="1729">
      <c r="A1729" s="54" t="n"/>
      <c r="B1729" s="61" t="n"/>
      <c r="C1729" s="62" t="n"/>
      <c r="D1729" s="57" t="n"/>
      <c r="E1729" s="57" t="n"/>
      <c r="F1729" s="58" t="n"/>
      <c r="G1729" s="66">
        <f>IF(tblFleet[[#This Row],[Units]]="","",tblFleet[[#This Row],[Units]]*24)</f>
        <v/>
      </c>
      <c r="H1729" s="66">
        <f>IF(tblFleet[[#This Row],[Units]]="","",tblFleet[[#This Row],[Calendar_h]]-tblFleet[[#This Row],[Down_h]])</f>
        <v/>
      </c>
      <c r="I1729" s="60">
        <f>IF(AND(tblFleet[[#This Row],[Units]]&lt;&gt;"",tblFleet[[#This Row],[Calendar_h]]&gt;0),tblFleet[[#This Row],[Available_h]]/tblFleet[[#This Row],[Calendar_h]],"")</f>
        <v/>
      </c>
      <c r="J1729" s="60">
        <f>IF(AND(tblFleet[[#This Row],[Units]]&lt;&gt;"",tblFleet[[#This Row],[Available_h]]&gt;0),tblFleet[[#This Row],[Operating_h]]/tblFleet[[#This Row],[Available_h]],"")</f>
        <v/>
      </c>
    </row>
    <row r="1730">
      <c r="A1730" s="54" t="n"/>
      <c r="B1730" s="61" t="n"/>
      <c r="C1730" s="62" t="n"/>
      <c r="D1730" s="57" t="n"/>
      <c r="E1730" s="57" t="n"/>
      <c r="F1730" s="58" t="n"/>
      <c r="G1730" s="66">
        <f>IF(tblFleet[[#This Row],[Units]]="","",tblFleet[[#This Row],[Units]]*24)</f>
        <v/>
      </c>
      <c r="H1730" s="66">
        <f>IF(tblFleet[[#This Row],[Units]]="","",tblFleet[[#This Row],[Calendar_h]]-tblFleet[[#This Row],[Down_h]])</f>
        <v/>
      </c>
      <c r="I1730" s="60">
        <f>IF(AND(tblFleet[[#This Row],[Units]]&lt;&gt;"",tblFleet[[#This Row],[Calendar_h]]&gt;0),tblFleet[[#This Row],[Available_h]]/tblFleet[[#This Row],[Calendar_h]],"")</f>
        <v/>
      </c>
      <c r="J1730" s="60">
        <f>IF(AND(tblFleet[[#This Row],[Units]]&lt;&gt;"",tblFleet[[#This Row],[Available_h]]&gt;0),tblFleet[[#This Row],[Operating_h]]/tblFleet[[#This Row],[Available_h]],"")</f>
        <v/>
      </c>
    </row>
    <row r="1731">
      <c r="A1731" s="54" t="n"/>
      <c r="B1731" s="61" t="n"/>
      <c r="C1731" s="62" t="n"/>
      <c r="D1731" s="57" t="n"/>
      <c r="E1731" s="57" t="n"/>
      <c r="F1731" s="58" t="n"/>
      <c r="G1731" s="66">
        <f>IF(tblFleet[[#This Row],[Units]]="","",tblFleet[[#This Row],[Units]]*24)</f>
        <v/>
      </c>
      <c r="H1731" s="66">
        <f>IF(tblFleet[[#This Row],[Units]]="","",tblFleet[[#This Row],[Calendar_h]]-tblFleet[[#This Row],[Down_h]])</f>
        <v/>
      </c>
      <c r="I1731" s="60">
        <f>IF(AND(tblFleet[[#This Row],[Units]]&lt;&gt;"",tblFleet[[#This Row],[Calendar_h]]&gt;0),tblFleet[[#This Row],[Available_h]]/tblFleet[[#This Row],[Calendar_h]],"")</f>
        <v/>
      </c>
      <c r="J1731" s="60">
        <f>IF(AND(tblFleet[[#This Row],[Units]]&lt;&gt;"",tblFleet[[#This Row],[Available_h]]&gt;0),tblFleet[[#This Row],[Operating_h]]/tblFleet[[#This Row],[Available_h]],"")</f>
        <v/>
      </c>
    </row>
    <row r="1732">
      <c r="A1732" s="54" t="n"/>
      <c r="B1732" s="61" t="n"/>
      <c r="C1732" s="62" t="n"/>
      <c r="D1732" s="57" t="n"/>
      <c r="E1732" s="57" t="n"/>
      <c r="F1732" s="58" t="n"/>
      <c r="G1732" s="66">
        <f>IF(tblFleet[[#This Row],[Units]]="","",tblFleet[[#This Row],[Units]]*24)</f>
        <v/>
      </c>
      <c r="H1732" s="66">
        <f>IF(tblFleet[[#This Row],[Units]]="","",tblFleet[[#This Row],[Calendar_h]]-tblFleet[[#This Row],[Down_h]])</f>
        <v/>
      </c>
      <c r="I1732" s="60">
        <f>IF(AND(tblFleet[[#This Row],[Units]]&lt;&gt;"",tblFleet[[#This Row],[Calendar_h]]&gt;0),tblFleet[[#This Row],[Available_h]]/tblFleet[[#This Row],[Calendar_h]],"")</f>
        <v/>
      </c>
      <c r="J1732" s="60">
        <f>IF(AND(tblFleet[[#This Row],[Units]]&lt;&gt;"",tblFleet[[#This Row],[Available_h]]&gt;0),tblFleet[[#This Row],[Operating_h]]/tblFleet[[#This Row],[Available_h]],"")</f>
        <v/>
      </c>
    </row>
    <row r="1733">
      <c r="A1733" s="54" t="n"/>
      <c r="B1733" s="61" t="n"/>
      <c r="C1733" s="62" t="n"/>
      <c r="D1733" s="57" t="n"/>
      <c r="E1733" s="57" t="n"/>
      <c r="F1733" s="58" t="n"/>
      <c r="G1733" s="66">
        <f>IF(tblFleet[[#This Row],[Units]]="","",tblFleet[[#This Row],[Units]]*24)</f>
        <v/>
      </c>
      <c r="H1733" s="66">
        <f>IF(tblFleet[[#This Row],[Units]]="","",tblFleet[[#This Row],[Calendar_h]]-tblFleet[[#This Row],[Down_h]])</f>
        <v/>
      </c>
      <c r="I1733" s="60">
        <f>IF(AND(tblFleet[[#This Row],[Units]]&lt;&gt;"",tblFleet[[#This Row],[Calendar_h]]&gt;0),tblFleet[[#This Row],[Available_h]]/tblFleet[[#This Row],[Calendar_h]],"")</f>
        <v/>
      </c>
      <c r="J1733" s="60">
        <f>IF(AND(tblFleet[[#This Row],[Units]]&lt;&gt;"",tblFleet[[#This Row],[Available_h]]&gt;0),tblFleet[[#This Row],[Operating_h]]/tblFleet[[#This Row],[Available_h]],"")</f>
        <v/>
      </c>
    </row>
    <row r="1734">
      <c r="A1734" s="54" t="n"/>
      <c r="B1734" s="61" t="n"/>
      <c r="C1734" s="62" t="n"/>
      <c r="D1734" s="57" t="n"/>
      <c r="E1734" s="57" t="n"/>
      <c r="F1734" s="58" t="n"/>
      <c r="G1734" s="66">
        <f>IF(tblFleet[[#This Row],[Units]]="","",tblFleet[[#This Row],[Units]]*24)</f>
        <v/>
      </c>
      <c r="H1734" s="66">
        <f>IF(tblFleet[[#This Row],[Units]]="","",tblFleet[[#This Row],[Calendar_h]]-tblFleet[[#This Row],[Down_h]])</f>
        <v/>
      </c>
      <c r="I1734" s="60">
        <f>IF(AND(tblFleet[[#This Row],[Units]]&lt;&gt;"",tblFleet[[#This Row],[Calendar_h]]&gt;0),tblFleet[[#This Row],[Available_h]]/tblFleet[[#This Row],[Calendar_h]],"")</f>
        <v/>
      </c>
      <c r="J1734" s="60">
        <f>IF(AND(tblFleet[[#This Row],[Units]]&lt;&gt;"",tblFleet[[#This Row],[Available_h]]&gt;0),tblFleet[[#This Row],[Operating_h]]/tblFleet[[#This Row],[Available_h]],"")</f>
        <v/>
      </c>
    </row>
    <row r="1735">
      <c r="A1735" s="54" t="n"/>
      <c r="B1735" s="61" t="n"/>
      <c r="C1735" s="62" t="n"/>
      <c r="D1735" s="57" t="n"/>
      <c r="E1735" s="57" t="n"/>
      <c r="F1735" s="58" t="n"/>
      <c r="G1735" s="66">
        <f>IF(tblFleet[[#This Row],[Units]]="","",tblFleet[[#This Row],[Units]]*24)</f>
        <v/>
      </c>
      <c r="H1735" s="66">
        <f>IF(tblFleet[[#This Row],[Units]]="","",tblFleet[[#This Row],[Calendar_h]]-tblFleet[[#This Row],[Down_h]])</f>
        <v/>
      </c>
      <c r="I1735" s="60">
        <f>IF(AND(tblFleet[[#This Row],[Units]]&lt;&gt;"",tblFleet[[#This Row],[Calendar_h]]&gt;0),tblFleet[[#This Row],[Available_h]]/tblFleet[[#This Row],[Calendar_h]],"")</f>
        <v/>
      </c>
      <c r="J1735" s="60">
        <f>IF(AND(tblFleet[[#This Row],[Units]]&lt;&gt;"",tblFleet[[#This Row],[Available_h]]&gt;0),tblFleet[[#This Row],[Operating_h]]/tblFleet[[#This Row],[Available_h]],"")</f>
        <v/>
      </c>
    </row>
    <row r="1736">
      <c r="A1736" s="54" t="n"/>
      <c r="B1736" s="61" t="n"/>
      <c r="C1736" s="62" t="n"/>
      <c r="D1736" s="57" t="n"/>
      <c r="E1736" s="57" t="n"/>
      <c r="F1736" s="58" t="n"/>
      <c r="G1736" s="66">
        <f>IF(tblFleet[[#This Row],[Units]]="","",tblFleet[[#This Row],[Units]]*24)</f>
        <v/>
      </c>
      <c r="H1736" s="66">
        <f>IF(tblFleet[[#This Row],[Units]]="","",tblFleet[[#This Row],[Calendar_h]]-tblFleet[[#This Row],[Down_h]])</f>
        <v/>
      </c>
      <c r="I1736" s="60">
        <f>IF(AND(tblFleet[[#This Row],[Units]]&lt;&gt;"",tblFleet[[#This Row],[Calendar_h]]&gt;0),tblFleet[[#This Row],[Available_h]]/tblFleet[[#This Row],[Calendar_h]],"")</f>
        <v/>
      </c>
      <c r="J1736" s="60">
        <f>IF(AND(tblFleet[[#This Row],[Units]]&lt;&gt;"",tblFleet[[#This Row],[Available_h]]&gt;0),tblFleet[[#This Row],[Operating_h]]/tblFleet[[#This Row],[Available_h]],"")</f>
        <v/>
      </c>
    </row>
    <row r="1737">
      <c r="A1737" s="54" t="n"/>
      <c r="B1737" s="61" t="n"/>
      <c r="C1737" s="62" t="n"/>
      <c r="D1737" s="57" t="n"/>
      <c r="E1737" s="57" t="n"/>
      <c r="F1737" s="58" t="n"/>
      <c r="G1737" s="66">
        <f>IF(tblFleet[[#This Row],[Units]]="","",tblFleet[[#This Row],[Units]]*24)</f>
        <v/>
      </c>
      <c r="H1737" s="66">
        <f>IF(tblFleet[[#This Row],[Units]]="","",tblFleet[[#This Row],[Calendar_h]]-tblFleet[[#This Row],[Down_h]])</f>
        <v/>
      </c>
      <c r="I1737" s="60">
        <f>IF(AND(tblFleet[[#This Row],[Units]]&lt;&gt;"",tblFleet[[#This Row],[Calendar_h]]&gt;0),tblFleet[[#This Row],[Available_h]]/tblFleet[[#This Row],[Calendar_h]],"")</f>
        <v/>
      </c>
      <c r="J1737" s="60">
        <f>IF(AND(tblFleet[[#This Row],[Units]]&lt;&gt;"",tblFleet[[#This Row],[Available_h]]&gt;0),tblFleet[[#This Row],[Operating_h]]/tblFleet[[#This Row],[Available_h]],"")</f>
        <v/>
      </c>
    </row>
    <row r="1738">
      <c r="A1738" s="54" t="n"/>
      <c r="B1738" s="61" t="n"/>
      <c r="C1738" s="62" t="n"/>
      <c r="D1738" s="57" t="n"/>
      <c r="E1738" s="57" t="n"/>
      <c r="F1738" s="58" t="n"/>
      <c r="G1738" s="66">
        <f>IF(tblFleet[[#This Row],[Units]]="","",tblFleet[[#This Row],[Units]]*24)</f>
        <v/>
      </c>
      <c r="H1738" s="66">
        <f>IF(tblFleet[[#This Row],[Units]]="","",tblFleet[[#This Row],[Calendar_h]]-tblFleet[[#This Row],[Down_h]])</f>
        <v/>
      </c>
      <c r="I1738" s="60">
        <f>IF(AND(tblFleet[[#This Row],[Units]]&lt;&gt;"",tblFleet[[#This Row],[Calendar_h]]&gt;0),tblFleet[[#This Row],[Available_h]]/tblFleet[[#This Row],[Calendar_h]],"")</f>
        <v/>
      </c>
      <c r="J1738" s="60">
        <f>IF(AND(tblFleet[[#This Row],[Units]]&lt;&gt;"",tblFleet[[#This Row],[Available_h]]&gt;0),tblFleet[[#This Row],[Operating_h]]/tblFleet[[#This Row],[Available_h]],"")</f>
        <v/>
      </c>
    </row>
    <row r="1739">
      <c r="A1739" s="54" t="n"/>
      <c r="B1739" s="61" t="n"/>
      <c r="C1739" s="62" t="n"/>
      <c r="D1739" s="57" t="n"/>
      <c r="E1739" s="57" t="n"/>
      <c r="F1739" s="58" t="n"/>
      <c r="G1739" s="66">
        <f>IF(tblFleet[[#This Row],[Units]]="","",tblFleet[[#This Row],[Units]]*24)</f>
        <v/>
      </c>
      <c r="H1739" s="66">
        <f>IF(tblFleet[[#This Row],[Units]]="","",tblFleet[[#This Row],[Calendar_h]]-tblFleet[[#This Row],[Down_h]])</f>
        <v/>
      </c>
      <c r="I1739" s="60">
        <f>IF(AND(tblFleet[[#This Row],[Units]]&lt;&gt;"",tblFleet[[#This Row],[Calendar_h]]&gt;0),tblFleet[[#This Row],[Available_h]]/tblFleet[[#This Row],[Calendar_h]],"")</f>
        <v/>
      </c>
      <c r="J1739" s="60">
        <f>IF(AND(tblFleet[[#This Row],[Units]]&lt;&gt;"",tblFleet[[#This Row],[Available_h]]&gt;0),tblFleet[[#This Row],[Operating_h]]/tblFleet[[#This Row],[Available_h]],"")</f>
        <v/>
      </c>
    </row>
    <row r="1740">
      <c r="A1740" s="54" t="n"/>
      <c r="B1740" s="61" t="n"/>
      <c r="C1740" s="62" t="n"/>
      <c r="D1740" s="57" t="n"/>
      <c r="E1740" s="57" t="n"/>
      <c r="F1740" s="58" t="n"/>
      <c r="G1740" s="66">
        <f>IF(tblFleet[[#This Row],[Units]]="","",tblFleet[[#This Row],[Units]]*24)</f>
        <v/>
      </c>
      <c r="H1740" s="66">
        <f>IF(tblFleet[[#This Row],[Units]]="","",tblFleet[[#This Row],[Calendar_h]]-tblFleet[[#This Row],[Down_h]])</f>
        <v/>
      </c>
      <c r="I1740" s="60">
        <f>IF(AND(tblFleet[[#This Row],[Units]]&lt;&gt;"",tblFleet[[#This Row],[Calendar_h]]&gt;0),tblFleet[[#This Row],[Available_h]]/tblFleet[[#This Row],[Calendar_h]],"")</f>
        <v/>
      </c>
      <c r="J1740" s="60">
        <f>IF(AND(tblFleet[[#This Row],[Units]]&lt;&gt;"",tblFleet[[#This Row],[Available_h]]&gt;0),tblFleet[[#This Row],[Operating_h]]/tblFleet[[#This Row],[Available_h]],"")</f>
        <v/>
      </c>
    </row>
    <row r="1741">
      <c r="A1741" s="54" t="n"/>
      <c r="B1741" s="61" t="n"/>
      <c r="C1741" s="62" t="n"/>
      <c r="D1741" s="57" t="n"/>
      <c r="E1741" s="57" t="n"/>
      <c r="F1741" s="58" t="n"/>
      <c r="G1741" s="66">
        <f>IF(tblFleet[[#This Row],[Units]]="","",tblFleet[[#This Row],[Units]]*24)</f>
        <v/>
      </c>
      <c r="H1741" s="66">
        <f>IF(tblFleet[[#This Row],[Units]]="","",tblFleet[[#This Row],[Calendar_h]]-tblFleet[[#This Row],[Down_h]])</f>
        <v/>
      </c>
      <c r="I1741" s="60">
        <f>IF(AND(tblFleet[[#This Row],[Units]]&lt;&gt;"",tblFleet[[#This Row],[Calendar_h]]&gt;0),tblFleet[[#This Row],[Available_h]]/tblFleet[[#This Row],[Calendar_h]],"")</f>
        <v/>
      </c>
      <c r="J1741" s="60">
        <f>IF(AND(tblFleet[[#This Row],[Units]]&lt;&gt;"",tblFleet[[#This Row],[Available_h]]&gt;0),tblFleet[[#This Row],[Operating_h]]/tblFleet[[#This Row],[Available_h]],"")</f>
        <v/>
      </c>
    </row>
    <row r="1742">
      <c r="A1742" s="54" t="n"/>
      <c r="B1742" s="61" t="n"/>
      <c r="C1742" s="62" t="n"/>
      <c r="D1742" s="57" t="n"/>
      <c r="E1742" s="57" t="n"/>
      <c r="F1742" s="58" t="n"/>
      <c r="G1742" s="66">
        <f>IF(tblFleet[[#This Row],[Units]]="","",tblFleet[[#This Row],[Units]]*24)</f>
        <v/>
      </c>
      <c r="H1742" s="66">
        <f>IF(tblFleet[[#This Row],[Units]]="","",tblFleet[[#This Row],[Calendar_h]]-tblFleet[[#This Row],[Down_h]])</f>
        <v/>
      </c>
      <c r="I1742" s="60">
        <f>IF(AND(tblFleet[[#This Row],[Units]]&lt;&gt;"",tblFleet[[#This Row],[Calendar_h]]&gt;0),tblFleet[[#This Row],[Available_h]]/tblFleet[[#This Row],[Calendar_h]],"")</f>
        <v/>
      </c>
      <c r="J1742" s="60">
        <f>IF(AND(tblFleet[[#This Row],[Units]]&lt;&gt;"",tblFleet[[#This Row],[Available_h]]&gt;0),tblFleet[[#This Row],[Operating_h]]/tblFleet[[#This Row],[Available_h]],"")</f>
        <v/>
      </c>
    </row>
    <row r="1743">
      <c r="A1743" s="54" t="n"/>
      <c r="B1743" s="61" t="n"/>
      <c r="C1743" s="62" t="n"/>
      <c r="D1743" s="57" t="n"/>
      <c r="E1743" s="57" t="n"/>
      <c r="F1743" s="58" t="n"/>
      <c r="G1743" s="66">
        <f>IF(tblFleet[[#This Row],[Units]]="","",tblFleet[[#This Row],[Units]]*24)</f>
        <v/>
      </c>
      <c r="H1743" s="66">
        <f>IF(tblFleet[[#This Row],[Units]]="","",tblFleet[[#This Row],[Calendar_h]]-tblFleet[[#This Row],[Down_h]])</f>
        <v/>
      </c>
      <c r="I1743" s="60">
        <f>IF(AND(tblFleet[[#This Row],[Units]]&lt;&gt;"",tblFleet[[#This Row],[Calendar_h]]&gt;0),tblFleet[[#This Row],[Available_h]]/tblFleet[[#This Row],[Calendar_h]],"")</f>
        <v/>
      </c>
      <c r="J1743" s="60">
        <f>IF(AND(tblFleet[[#This Row],[Units]]&lt;&gt;"",tblFleet[[#This Row],[Available_h]]&gt;0),tblFleet[[#This Row],[Operating_h]]/tblFleet[[#This Row],[Available_h]],"")</f>
        <v/>
      </c>
    </row>
    <row r="1744">
      <c r="A1744" s="54" t="n"/>
      <c r="B1744" s="61" t="n"/>
      <c r="C1744" s="62" t="n"/>
      <c r="D1744" s="57" t="n"/>
      <c r="E1744" s="57" t="n"/>
      <c r="F1744" s="58" t="n"/>
      <c r="G1744" s="66">
        <f>IF(tblFleet[[#This Row],[Units]]="","",tblFleet[[#This Row],[Units]]*24)</f>
        <v/>
      </c>
      <c r="H1744" s="66">
        <f>IF(tblFleet[[#This Row],[Units]]="","",tblFleet[[#This Row],[Calendar_h]]-tblFleet[[#This Row],[Down_h]])</f>
        <v/>
      </c>
      <c r="I1744" s="60">
        <f>IF(AND(tblFleet[[#This Row],[Units]]&lt;&gt;"",tblFleet[[#This Row],[Calendar_h]]&gt;0),tblFleet[[#This Row],[Available_h]]/tblFleet[[#This Row],[Calendar_h]],"")</f>
        <v/>
      </c>
      <c r="J1744" s="60">
        <f>IF(AND(tblFleet[[#This Row],[Units]]&lt;&gt;"",tblFleet[[#This Row],[Available_h]]&gt;0),tblFleet[[#This Row],[Operating_h]]/tblFleet[[#This Row],[Available_h]],"")</f>
        <v/>
      </c>
    </row>
    <row r="1745">
      <c r="A1745" s="54" t="n"/>
      <c r="B1745" s="61" t="n"/>
      <c r="C1745" s="62" t="n"/>
      <c r="D1745" s="57" t="n"/>
      <c r="E1745" s="57" t="n"/>
      <c r="F1745" s="58" t="n"/>
      <c r="G1745" s="66">
        <f>IF(tblFleet[[#This Row],[Units]]="","",tblFleet[[#This Row],[Units]]*24)</f>
        <v/>
      </c>
      <c r="H1745" s="66">
        <f>IF(tblFleet[[#This Row],[Units]]="","",tblFleet[[#This Row],[Calendar_h]]-tblFleet[[#This Row],[Down_h]])</f>
        <v/>
      </c>
      <c r="I1745" s="60">
        <f>IF(AND(tblFleet[[#This Row],[Units]]&lt;&gt;"",tblFleet[[#This Row],[Calendar_h]]&gt;0),tblFleet[[#This Row],[Available_h]]/tblFleet[[#This Row],[Calendar_h]],"")</f>
        <v/>
      </c>
      <c r="J1745" s="60">
        <f>IF(AND(tblFleet[[#This Row],[Units]]&lt;&gt;"",tblFleet[[#This Row],[Available_h]]&gt;0),tblFleet[[#This Row],[Operating_h]]/tblFleet[[#This Row],[Available_h]],"")</f>
        <v/>
      </c>
    </row>
    <row r="1746">
      <c r="A1746" s="54" t="n"/>
      <c r="B1746" s="61" t="n"/>
      <c r="C1746" s="62" t="n"/>
      <c r="D1746" s="57" t="n"/>
      <c r="E1746" s="57" t="n"/>
      <c r="F1746" s="58" t="n"/>
      <c r="G1746" s="66">
        <f>IF(tblFleet[[#This Row],[Units]]="","",tblFleet[[#This Row],[Units]]*24)</f>
        <v/>
      </c>
      <c r="H1746" s="66">
        <f>IF(tblFleet[[#This Row],[Units]]="","",tblFleet[[#This Row],[Calendar_h]]-tblFleet[[#This Row],[Down_h]])</f>
        <v/>
      </c>
      <c r="I1746" s="60">
        <f>IF(AND(tblFleet[[#This Row],[Units]]&lt;&gt;"",tblFleet[[#This Row],[Calendar_h]]&gt;0),tblFleet[[#This Row],[Available_h]]/tblFleet[[#This Row],[Calendar_h]],"")</f>
        <v/>
      </c>
      <c r="J1746" s="60">
        <f>IF(AND(tblFleet[[#This Row],[Units]]&lt;&gt;"",tblFleet[[#This Row],[Available_h]]&gt;0),tblFleet[[#This Row],[Operating_h]]/tblFleet[[#This Row],[Available_h]],"")</f>
        <v/>
      </c>
    </row>
    <row r="1747">
      <c r="A1747" s="54" t="n"/>
      <c r="B1747" s="61" t="n"/>
      <c r="C1747" s="62" t="n"/>
      <c r="D1747" s="57" t="n"/>
      <c r="E1747" s="57" t="n"/>
      <c r="F1747" s="58" t="n"/>
      <c r="G1747" s="66">
        <f>IF(tblFleet[[#This Row],[Units]]="","",tblFleet[[#This Row],[Units]]*24)</f>
        <v/>
      </c>
      <c r="H1747" s="66">
        <f>IF(tblFleet[[#This Row],[Units]]="","",tblFleet[[#This Row],[Calendar_h]]-tblFleet[[#This Row],[Down_h]])</f>
        <v/>
      </c>
      <c r="I1747" s="60">
        <f>IF(AND(tblFleet[[#This Row],[Units]]&lt;&gt;"",tblFleet[[#This Row],[Calendar_h]]&gt;0),tblFleet[[#This Row],[Available_h]]/tblFleet[[#This Row],[Calendar_h]],"")</f>
        <v/>
      </c>
      <c r="J1747" s="60">
        <f>IF(AND(tblFleet[[#This Row],[Units]]&lt;&gt;"",tblFleet[[#This Row],[Available_h]]&gt;0),tblFleet[[#This Row],[Operating_h]]/tblFleet[[#This Row],[Available_h]],"")</f>
        <v/>
      </c>
    </row>
    <row r="1748">
      <c r="A1748" s="54" t="n"/>
      <c r="B1748" s="61" t="n"/>
      <c r="C1748" s="62" t="n"/>
      <c r="D1748" s="57" t="n"/>
      <c r="E1748" s="57" t="n"/>
      <c r="F1748" s="58" t="n"/>
      <c r="G1748" s="66">
        <f>IF(tblFleet[[#This Row],[Units]]="","",tblFleet[[#This Row],[Units]]*24)</f>
        <v/>
      </c>
      <c r="H1748" s="66">
        <f>IF(tblFleet[[#This Row],[Units]]="","",tblFleet[[#This Row],[Calendar_h]]-tblFleet[[#This Row],[Down_h]])</f>
        <v/>
      </c>
      <c r="I1748" s="60">
        <f>IF(AND(tblFleet[[#This Row],[Units]]&lt;&gt;"",tblFleet[[#This Row],[Calendar_h]]&gt;0),tblFleet[[#This Row],[Available_h]]/tblFleet[[#This Row],[Calendar_h]],"")</f>
        <v/>
      </c>
      <c r="J1748" s="60">
        <f>IF(AND(tblFleet[[#This Row],[Units]]&lt;&gt;"",tblFleet[[#This Row],[Available_h]]&gt;0),tblFleet[[#This Row],[Operating_h]]/tblFleet[[#This Row],[Available_h]],"")</f>
        <v/>
      </c>
    </row>
    <row r="1749">
      <c r="A1749" s="54" t="n"/>
      <c r="B1749" s="61" t="n"/>
      <c r="C1749" s="62" t="n"/>
      <c r="D1749" s="57" t="n"/>
      <c r="E1749" s="57" t="n"/>
      <c r="F1749" s="58" t="n"/>
      <c r="G1749" s="66">
        <f>IF(tblFleet[[#This Row],[Units]]="","",tblFleet[[#This Row],[Units]]*24)</f>
        <v/>
      </c>
      <c r="H1749" s="66">
        <f>IF(tblFleet[[#This Row],[Units]]="","",tblFleet[[#This Row],[Calendar_h]]-tblFleet[[#This Row],[Down_h]])</f>
        <v/>
      </c>
      <c r="I1749" s="60">
        <f>IF(AND(tblFleet[[#This Row],[Units]]&lt;&gt;"",tblFleet[[#This Row],[Calendar_h]]&gt;0),tblFleet[[#This Row],[Available_h]]/tblFleet[[#This Row],[Calendar_h]],"")</f>
        <v/>
      </c>
      <c r="J1749" s="60">
        <f>IF(AND(tblFleet[[#This Row],[Units]]&lt;&gt;"",tblFleet[[#This Row],[Available_h]]&gt;0),tblFleet[[#This Row],[Operating_h]]/tblFleet[[#This Row],[Available_h]],"")</f>
        <v/>
      </c>
    </row>
    <row r="1750">
      <c r="A1750" s="54" t="n"/>
      <c r="B1750" s="61" t="n"/>
      <c r="C1750" s="62" t="n"/>
      <c r="D1750" s="57" t="n"/>
      <c r="E1750" s="57" t="n"/>
      <c r="F1750" s="58" t="n"/>
      <c r="G1750" s="66">
        <f>IF(tblFleet[[#This Row],[Units]]="","",tblFleet[[#This Row],[Units]]*24)</f>
        <v/>
      </c>
      <c r="H1750" s="66">
        <f>IF(tblFleet[[#This Row],[Units]]="","",tblFleet[[#This Row],[Calendar_h]]-tblFleet[[#This Row],[Down_h]])</f>
        <v/>
      </c>
      <c r="I1750" s="60">
        <f>IF(AND(tblFleet[[#This Row],[Units]]&lt;&gt;"",tblFleet[[#This Row],[Calendar_h]]&gt;0),tblFleet[[#This Row],[Available_h]]/tblFleet[[#This Row],[Calendar_h]],"")</f>
        <v/>
      </c>
      <c r="J1750" s="60">
        <f>IF(AND(tblFleet[[#This Row],[Units]]&lt;&gt;"",tblFleet[[#This Row],[Available_h]]&gt;0),tblFleet[[#This Row],[Operating_h]]/tblFleet[[#This Row],[Available_h]],"")</f>
        <v/>
      </c>
    </row>
    <row r="1751">
      <c r="A1751" s="54" t="n"/>
      <c r="B1751" s="61" t="n"/>
      <c r="C1751" s="62" t="n"/>
      <c r="D1751" s="57" t="n"/>
      <c r="E1751" s="57" t="n"/>
      <c r="F1751" s="58" t="n"/>
      <c r="G1751" s="66">
        <f>IF(tblFleet[[#This Row],[Units]]="","",tblFleet[[#This Row],[Units]]*24)</f>
        <v/>
      </c>
      <c r="H1751" s="66">
        <f>IF(tblFleet[[#This Row],[Units]]="","",tblFleet[[#This Row],[Calendar_h]]-tblFleet[[#This Row],[Down_h]])</f>
        <v/>
      </c>
      <c r="I1751" s="60">
        <f>IF(AND(tblFleet[[#This Row],[Units]]&lt;&gt;"",tblFleet[[#This Row],[Calendar_h]]&gt;0),tblFleet[[#This Row],[Available_h]]/tblFleet[[#This Row],[Calendar_h]],"")</f>
        <v/>
      </c>
      <c r="J1751" s="60">
        <f>IF(AND(tblFleet[[#This Row],[Units]]&lt;&gt;"",tblFleet[[#This Row],[Available_h]]&gt;0),tblFleet[[#This Row],[Operating_h]]/tblFleet[[#This Row],[Available_h]],"")</f>
        <v/>
      </c>
    </row>
    <row r="1752">
      <c r="A1752" s="54" t="n"/>
      <c r="B1752" s="61" t="n"/>
      <c r="C1752" s="62" t="n"/>
      <c r="D1752" s="57" t="n"/>
      <c r="E1752" s="57" t="n"/>
      <c r="F1752" s="58" t="n"/>
      <c r="G1752" s="66">
        <f>IF(tblFleet[[#This Row],[Units]]="","",tblFleet[[#This Row],[Units]]*24)</f>
        <v/>
      </c>
      <c r="H1752" s="66">
        <f>IF(tblFleet[[#This Row],[Units]]="","",tblFleet[[#This Row],[Calendar_h]]-tblFleet[[#This Row],[Down_h]])</f>
        <v/>
      </c>
      <c r="I1752" s="60">
        <f>IF(AND(tblFleet[[#This Row],[Units]]&lt;&gt;"",tblFleet[[#This Row],[Calendar_h]]&gt;0),tblFleet[[#This Row],[Available_h]]/tblFleet[[#This Row],[Calendar_h]],"")</f>
        <v/>
      </c>
      <c r="J1752" s="60">
        <f>IF(AND(tblFleet[[#This Row],[Units]]&lt;&gt;"",tblFleet[[#This Row],[Available_h]]&gt;0),tblFleet[[#This Row],[Operating_h]]/tblFleet[[#This Row],[Available_h]],"")</f>
        <v/>
      </c>
    </row>
    <row r="1753">
      <c r="A1753" s="54" t="n"/>
      <c r="B1753" s="61" t="n"/>
      <c r="C1753" s="62" t="n"/>
      <c r="D1753" s="57" t="n"/>
      <c r="E1753" s="57" t="n"/>
      <c r="F1753" s="58" t="n"/>
      <c r="G1753" s="66">
        <f>IF(tblFleet[[#This Row],[Units]]="","",tblFleet[[#This Row],[Units]]*24)</f>
        <v/>
      </c>
      <c r="H1753" s="66">
        <f>IF(tblFleet[[#This Row],[Units]]="","",tblFleet[[#This Row],[Calendar_h]]-tblFleet[[#This Row],[Down_h]])</f>
        <v/>
      </c>
      <c r="I1753" s="60">
        <f>IF(AND(tblFleet[[#This Row],[Units]]&lt;&gt;"",tblFleet[[#This Row],[Calendar_h]]&gt;0),tblFleet[[#This Row],[Available_h]]/tblFleet[[#This Row],[Calendar_h]],"")</f>
        <v/>
      </c>
      <c r="J1753" s="60">
        <f>IF(AND(tblFleet[[#This Row],[Units]]&lt;&gt;"",tblFleet[[#This Row],[Available_h]]&gt;0),tblFleet[[#This Row],[Operating_h]]/tblFleet[[#This Row],[Available_h]],"")</f>
        <v/>
      </c>
    </row>
    <row r="1754">
      <c r="A1754" s="54" t="n"/>
      <c r="B1754" s="61" t="n"/>
      <c r="C1754" s="62" t="n"/>
      <c r="D1754" s="57" t="n"/>
      <c r="E1754" s="57" t="n"/>
      <c r="F1754" s="58" t="n"/>
      <c r="G1754" s="66">
        <f>IF(tblFleet[[#This Row],[Units]]="","",tblFleet[[#This Row],[Units]]*24)</f>
        <v/>
      </c>
      <c r="H1754" s="66">
        <f>IF(tblFleet[[#This Row],[Units]]="","",tblFleet[[#This Row],[Calendar_h]]-tblFleet[[#This Row],[Down_h]])</f>
        <v/>
      </c>
      <c r="I1754" s="60">
        <f>IF(AND(tblFleet[[#This Row],[Units]]&lt;&gt;"",tblFleet[[#This Row],[Calendar_h]]&gt;0),tblFleet[[#This Row],[Available_h]]/tblFleet[[#This Row],[Calendar_h]],"")</f>
        <v/>
      </c>
      <c r="J1754" s="60">
        <f>IF(AND(tblFleet[[#This Row],[Units]]&lt;&gt;"",tblFleet[[#This Row],[Available_h]]&gt;0),tblFleet[[#This Row],[Operating_h]]/tblFleet[[#This Row],[Available_h]],"")</f>
        <v/>
      </c>
    </row>
    <row r="1755">
      <c r="A1755" s="54" t="n"/>
      <c r="B1755" s="61" t="n"/>
      <c r="C1755" s="62" t="n"/>
      <c r="D1755" s="57" t="n"/>
      <c r="E1755" s="57" t="n"/>
      <c r="F1755" s="58" t="n"/>
      <c r="G1755" s="66">
        <f>IF(tblFleet[[#This Row],[Units]]="","",tblFleet[[#This Row],[Units]]*24)</f>
        <v/>
      </c>
      <c r="H1755" s="66">
        <f>IF(tblFleet[[#This Row],[Units]]="","",tblFleet[[#This Row],[Calendar_h]]-tblFleet[[#This Row],[Down_h]])</f>
        <v/>
      </c>
      <c r="I1755" s="60">
        <f>IF(AND(tblFleet[[#This Row],[Units]]&lt;&gt;"",tblFleet[[#This Row],[Calendar_h]]&gt;0),tblFleet[[#This Row],[Available_h]]/tblFleet[[#This Row],[Calendar_h]],"")</f>
        <v/>
      </c>
      <c r="J1755" s="60">
        <f>IF(AND(tblFleet[[#This Row],[Units]]&lt;&gt;"",tblFleet[[#This Row],[Available_h]]&gt;0),tblFleet[[#This Row],[Operating_h]]/tblFleet[[#This Row],[Available_h]],"")</f>
        <v/>
      </c>
    </row>
    <row r="1756">
      <c r="A1756" s="54" t="n"/>
      <c r="B1756" s="61" t="n"/>
      <c r="C1756" s="62" t="n"/>
      <c r="D1756" s="57" t="n"/>
      <c r="E1756" s="57" t="n"/>
      <c r="F1756" s="58" t="n"/>
      <c r="G1756" s="66">
        <f>IF(tblFleet[[#This Row],[Units]]="","",tblFleet[[#This Row],[Units]]*24)</f>
        <v/>
      </c>
      <c r="H1756" s="66">
        <f>IF(tblFleet[[#This Row],[Units]]="","",tblFleet[[#This Row],[Calendar_h]]-tblFleet[[#This Row],[Down_h]])</f>
        <v/>
      </c>
      <c r="I1756" s="60">
        <f>IF(AND(tblFleet[[#This Row],[Units]]&lt;&gt;"",tblFleet[[#This Row],[Calendar_h]]&gt;0),tblFleet[[#This Row],[Available_h]]/tblFleet[[#This Row],[Calendar_h]],"")</f>
        <v/>
      </c>
      <c r="J1756" s="60">
        <f>IF(AND(tblFleet[[#This Row],[Units]]&lt;&gt;"",tblFleet[[#This Row],[Available_h]]&gt;0),tblFleet[[#This Row],[Operating_h]]/tblFleet[[#This Row],[Available_h]],"")</f>
        <v/>
      </c>
    </row>
    <row r="1757">
      <c r="A1757" s="54" t="n"/>
      <c r="B1757" s="61" t="n"/>
      <c r="C1757" s="62" t="n"/>
      <c r="D1757" s="57" t="n"/>
      <c r="E1757" s="57" t="n"/>
      <c r="F1757" s="58" t="n"/>
      <c r="G1757" s="66">
        <f>IF(tblFleet[[#This Row],[Units]]="","",tblFleet[[#This Row],[Units]]*24)</f>
        <v/>
      </c>
      <c r="H1757" s="66">
        <f>IF(tblFleet[[#This Row],[Units]]="","",tblFleet[[#This Row],[Calendar_h]]-tblFleet[[#This Row],[Down_h]])</f>
        <v/>
      </c>
      <c r="I1757" s="60">
        <f>IF(AND(tblFleet[[#This Row],[Units]]&lt;&gt;"",tblFleet[[#This Row],[Calendar_h]]&gt;0),tblFleet[[#This Row],[Available_h]]/tblFleet[[#This Row],[Calendar_h]],"")</f>
        <v/>
      </c>
      <c r="J1757" s="60">
        <f>IF(AND(tblFleet[[#This Row],[Units]]&lt;&gt;"",tblFleet[[#This Row],[Available_h]]&gt;0),tblFleet[[#This Row],[Operating_h]]/tblFleet[[#This Row],[Available_h]],"")</f>
        <v/>
      </c>
    </row>
    <row r="1758">
      <c r="A1758" s="54" t="n"/>
      <c r="B1758" s="61" t="n"/>
      <c r="C1758" s="62" t="n"/>
      <c r="D1758" s="57" t="n"/>
      <c r="E1758" s="57" t="n"/>
      <c r="F1758" s="58" t="n"/>
      <c r="G1758" s="66">
        <f>IF(tblFleet[[#This Row],[Units]]="","",tblFleet[[#This Row],[Units]]*24)</f>
        <v/>
      </c>
      <c r="H1758" s="66">
        <f>IF(tblFleet[[#This Row],[Units]]="","",tblFleet[[#This Row],[Calendar_h]]-tblFleet[[#This Row],[Down_h]])</f>
        <v/>
      </c>
      <c r="I1758" s="60">
        <f>IF(AND(tblFleet[[#This Row],[Units]]&lt;&gt;"",tblFleet[[#This Row],[Calendar_h]]&gt;0),tblFleet[[#This Row],[Available_h]]/tblFleet[[#This Row],[Calendar_h]],"")</f>
        <v/>
      </c>
      <c r="J1758" s="60">
        <f>IF(AND(tblFleet[[#This Row],[Units]]&lt;&gt;"",tblFleet[[#This Row],[Available_h]]&gt;0),tblFleet[[#This Row],[Operating_h]]/tblFleet[[#This Row],[Available_h]],"")</f>
        <v/>
      </c>
    </row>
    <row r="1759">
      <c r="A1759" s="54" t="n"/>
      <c r="B1759" s="61" t="n"/>
      <c r="C1759" s="62" t="n"/>
      <c r="D1759" s="57" t="n"/>
      <c r="E1759" s="57" t="n"/>
      <c r="F1759" s="58" t="n"/>
      <c r="G1759" s="66">
        <f>IF(tblFleet[[#This Row],[Units]]="","",tblFleet[[#This Row],[Units]]*24)</f>
        <v/>
      </c>
      <c r="H1759" s="66">
        <f>IF(tblFleet[[#This Row],[Units]]="","",tblFleet[[#This Row],[Calendar_h]]-tblFleet[[#This Row],[Down_h]])</f>
        <v/>
      </c>
      <c r="I1759" s="60">
        <f>IF(AND(tblFleet[[#This Row],[Units]]&lt;&gt;"",tblFleet[[#This Row],[Calendar_h]]&gt;0),tblFleet[[#This Row],[Available_h]]/tblFleet[[#This Row],[Calendar_h]],"")</f>
        <v/>
      </c>
      <c r="J1759" s="60">
        <f>IF(AND(tblFleet[[#This Row],[Units]]&lt;&gt;"",tblFleet[[#This Row],[Available_h]]&gt;0),tblFleet[[#This Row],[Operating_h]]/tblFleet[[#This Row],[Available_h]],"")</f>
        <v/>
      </c>
    </row>
    <row r="1760">
      <c r="A1760" s="54" t="n"/>
      <c r="B1760" s="61" t="n"/>
      <c r="C1760" s="62" t="n"/>
      <c r="D1760" s="57" t="n"/>
      <c r="E1760" s="57" t="n"/>
      <c r="F1760" s="58" t="n"/>
      <c r="G1760" s="66">
        <f>IF(tblFleet[[#This Row],[Units]]="","",tblFleet[[#This Row],[Units]]*24)</f>
        <v/>
      </c>
      <c r="H1760" s="66">
        <f>IF(tblFleet[[#This Row],[Units]]="","",tblFleet[[#This Row],[Calendar_h]]-tblFleet[[#This Row],[Down_h]])</f>
        <v/>
      </c>
      <c r="I1760" s="60">
        <f>IF(AND(tblFleet[[#This Row],[Units]]&lt;&gt;"",tblFleet[[#This Row],[Calendar_h]]&gt;0),tblFleet[[#This Row],[Available_h]]/tblFleet[[#This Row],[Calendar_h]],"")</f>
        <v/>
      </c>
      <c r="J1760" s="60">
        <f>IF(AND(tblFleet[[#This Row],[Units]]&lt;&gt;"",tblFleet[[#This Row],[Available_h]]&gt;0),tblFleet[[#This Row],[Operating_h]]/tblFleet[[#This Row],[Available_h]],"")</f>
        <v/>
      </c>
    </row>
    <row r="1761">
      <c r="A1761" s="54" t="n"/>
      <c r="B1761" s="61" t="n"/>
      <c r="C1761" s="62" t="n"/>
      <c r="D1761" s="57" t="n"/>
      <c r="E1761" s="57" t="n"/>
      <c r="F1761" s="58" t="n"/>
      <c r="G1761" s="66">
        <f>IF(tblFleet[[#This Row],[Units]]="","",tblFleet[[#This Row],[Units]]*24)</f>
        <v/>
      </c>
      <c r="H1761" s="66">
        <f>IF(tblFleet[[#This Row],[Units]]="","",tblFleet[[#This Row],[Calendar_h]]-tblFleet[[#This Row],[Down_h]])</f>
        <v/>
      </c>
      <c r="I1761" s="60">
        <f>IF(AND(tblFleet[[#This Row],[Units]]&lt;&gt;"",tblFleet[[#This Row],[Calendar_h]]&gt;0),tblFleet[[#This Row],[Available_h]]/tblFleet[[#This Row],[Calendar_h]],"")</f>
        <v/>
      </c>
      <c r="J1761" s="60">
        <f>IF(AND(tblFleet[[#This Row],[Units]]&lt;&gt;"",tblFleet[[#This Row],[Available_h]]&gt;0),tblFleet[[#This Row],[Operating_h]]/tblFleet[[#This Row],[Available_h]],"")</f>
        <v/>
      </c>
    </row>
    <row r="1762">
      <c r="A1762" s="54" t="n"/>
      <c r="B1762" s="61" t="n"/>
      <c r="C1762" s="62" t="n"/>
      <c r="D1762" s="57" t="n"/>
      <c r="E1762" s="57" t="n"/>
      <c r="F1762" s="58" t="n"/>
      <c r="G1762" s="66">
        <f>IF(tblFleet[[#This Row],[Units]]="","",tblFleet[[#This Row],[Units]]*24)</f>
        <v/>
      </c>
      <c r="H1762" s="66">
        <f>IF(tblFleet[[#This Row],[Units]]="","",tblFleet[[#This Row],[Calendar_h]]-tblFleet[[#This Row],[Down_h]])</f>
        <v/>
      </c>
      <c r="I1762" s="60">
        <f>IF(AND(tblFleet[[#This Row],[Units]]&lt;&gt;"",tblFleet[[#This Row],[Calendar_h]]&gt;0),tblFleet[[#This Row],[Available_h]]/tblFleet[[#This Row],[Calendar_h]],"")</f>
        <v/>
      </c>
      <c r="J1762" s="60">
        <f>IF(AND(tblFleet[[#This Row],[Units]]&lt;&gt;"",tblFleet[[#This Row],[Available_h]]&gt;0),tblFleet[[#This Row],[Operating_h]]/tblFleet[[#This Row],[Available_h]],"")</f>
        <v/>
      </c>
    </row>
    <row r="1763">
      <c r="A1763" s="54" t="n"/>
      <c r="B1763" s="61" t="n"/>
      <c r="C1763" s="62" t="n"/>
      <c r="D1763" s="57" t="n"/>
      <c r="E1763" s="57" t="n"/>
      <c r="F1763" s="58" t="n"/>
      <c r="G1763" s="66">
        <f>IF(tblFleet[[#This Row],[Units]]="","",tblFleet[[#This Row],[Units]]*24)</f>
        <v/>
      </c>
      <c r="H1763" s="66">
        <f>IF(tblFleet[[#This Row],[Units]]="","",tblFleet[[#This Row],[Calendar_h]]-tblFleet[[#This Row],[Down_h]])</f>
        <v/>
      </c>
      <c r="I1763" s="60">
        <f>IF(AND(tblFleet[[#This Row],[Units]]&lt;&gt;"",tblFleet[[#This Row],[Calendar_h]]&gt;0),tblFleet[[#This Row],[Available_h]]/tblFleet[[#This Row],[Calendar_h]],"")</f>
        <v/>
      </c>
      <c r="J1763" s="60">
        <f>IF(AND(tblFleet[[#This Row],[Units]]&lt;&gt;"",tblFleet[[#This Row],[Available_h]]&gt;0),tblFleet[[#This Row],[Operating_h]]/tblFleet[[#This Row],[Available_h]],"")</f>
        <v/>
      </c>
    </row>
    <row r="1764">
      <c r="A1764" s="54" t="n"/>
      <c r="B1764" s="61" t="n"/>
      <c r="C1764" s="62" t="n"/>
      <c r="D1764" s="57" t="n"/>
      <c r="E1764" s="57" t="n"/>
      <c r="F1764" s="58" t="n"/>
      <c r="G1764" s="66">
        <f>IF(tblFleet[[#This Row],[Units]]="","",tblFleet[[#This Row],[Units]]*24)</f>
        <v/>
      </c>
      <c r="H1764" s="66">
        <f>IF(tblFleet[[#This Row],[Units]]="","",tblFleet[[#This Row],[Calendar_h]]-tblFleet[[#This Row],[Down_h]])</f>
        <v/>
      </c>
      <c r="I1764" s="60">
        <f>IF(AND(tblFleet[[#This Row],[Units]]&lt;&gt;"",tblFleet[[#This Row],[Calendar_h]]&gt;0),tblFleet[[#This Row],[Available_h]]/tblFleet[[#This Row],[Calendar_h]],"")</f>
        <v/>
      </c>
      <c r="J1764" s="60">
        <f>IF(AND(tblFleet[[#This Row],[Units]]&lt;&gt;"",tblFleet[[#This Row],[Available_h]]&gt;0),tblFleet[[#This Row],[Operating_h]]/tblFleet[[#This Row],[Available_h]],"")</f>
        <v/>
      </c>
    </row>
    <row r="1765">
      <c r="A1765" s="54" t="n"/>
      <c r="B1765" s="61" t="n"/>
      <c r="C1765" s="62" t="n"/>
      <c r="D1765" s="57" t="n"/>
      <c r="E1765" s="57" t="n"/>
      <c r="F1765" s="58" t="n"/>
      <c r="G1765" s="66">
        <f>IF(tblFleet[[#This Row],[Units]]="","",tblFleet[[#This Row],[Units]]*24)</f>
        <v/>
      </c>
      <c r="H1765" s="66">
        <f>IF(tblFleet[[#This Row],[Units]]="","",tblFleet[[#This Row],[Calendar_h]]-tblFleet[[#This Row],[Down_h]])</f>
        <v/>
      </c>
      <c r="I1765" s="60">
        <f>IF(AND(tblFleet[[#This Row],[Units]]&lt;&gt;"",tblFleet[[#This Row],[Calendar_h]]&gt;0),tblFleet[[#This Row],[Available_h]]/tblFleet[[#This Row],[Calendar_h]],"")</f>
        <v/>
      </c>
      <c r="J1765" s="60">
        <f>IF(AND(tblFleet[[#This Row],[Units]]&lt;&gt;"",tblFleet[[#This Row],[Available_h]]&gt;0),tblFleet[[#This Row],[Operating_h]]/tblFleet[[#This Row],[Available_h]],"")</f>
        <v/>
      </c>
    </row>
    <row r="1766">
      <c r="A1766" s="54" t="n"/>
      <c r="B1766" s="61" t="n"/>
      <c r="C1766" s="62" t="n"/>
      <c r="D1766" s="57" t="n"/>
      <c r="E1766" s="57" t="n"/>
      <c r="F1766" s="58" t="n"/>
      <c r="G1766" s="66">
        <f>IF(tblFleet[[#This Row],[Units]]="","",tblFleet[[#This Row],[Units]]*24)</f>
        <v/>
      </c>
      <c r="H1766" s="66">
        <f>IF(tblFleet[[#This Row],[Units]]="","",tblFleet[[#This Row],[Calendar_h]]-tblFleet[[#This Row],[Down_h]])</f>
        <v/>
      </c>
      <c r="I1766" s="60">
        <f>IF(AND(tblFleet[[#This Row],[Units]]&lt;&gt;"",tblFleet[[#This Row],[Calendar_h]]&gt;0),tblFleet[[#This Row],[Available_h]]/tblFleet[[#This Row],[Calendar_h]],"")</f>
        <v/>
      </c>
      <c r="J1766" s="60">
        <f>IF(AND(tblFleet[[#This Row],[Units]]&lt;&gt;"",tblFleet[[#This Row],[Available_h]]&gt;0),tblFleet[[#This Row],[Operating_h]]/tblFleet[[#This Row],[Available_h]],"")</f>
        <v/>
      </c>
    </row>
    <row r="1767">
      <c r="A1767" s="54" t="n"/>
      <c r="B1767" s="61" t="n"/>
      <c r="C1767" s="62" t="n"/>
      <c r="D1767" s="57" t="n"/>
      <c r="E1767" s="57" t="n"/>
      <c r="F1767" s="58" t="n"/>
      <c r="G1767" s="66">
        <f>IF(tblFleet[[#This Row],[Units]]="","",tblFleet[[#This Row],[Units]]*24)</f>
        <v/>
      </c>
      <c r="H1767" s="66">
        <f>IF(tblFleet[[#This Row],[Units]]="","",tblFleet[[#This Row],[Calendar_h]]-tblFleet[[#This Row],[Down_h]])</f>
        <v/>
      </c>
      <c r="I1767" s="60">
        <f>IF(AND(tblFleet[[#This Row],[Units]]&lt;&gt;"",tblFleet[[#This Row],[Calendar_h]]&gt;0),tblFleet[[#This Row],[Available_h]]/tblFleet[[#This Row],[Calendar_h]],"")</f>
        <v/>
      </c>
      <c r="J1767" s="60">
        <f>IF(AND(tblFleet[[#This Row],[Units]]&lt;&gt;"",tblFleet[[#This Row],[Available_h]]&gt;0),tblFleet[[#This Row],[Operating_h]]/tblFleet[[#This Row],[Available_h]],"")</f>
        <v/>
      </c>
    </row>
    <row r="1768">
      <c r="A1768" s="54" t="n"/>
      <c r="B1768" s="61" t="n"/>
      <c r="C1768" s="62" t="n"/>
      <c r="D1768" s="57" t="n"/>
      <c r="E1768" s="57" t="n"/>
      <c r="F1768" s="58" t="n"/>
      <c r="G1768" s="66">
        <f>IF(tblFleet[[#This Row],[Units]]="","",tblFleet[[#This Row],[Units]]*24)</f>
        <v/>
      </c>
      <c r="H1768" s="66">
        <f>IF(tblFleet[[#This Row],[Units]]="","",tblFleet[[#This Row],[Calendar_h]]-tblFleet[[#This Row],[Down_h]])</f>
        <v/>
      </c>
      <c r="I1768" s="60">
        <f>IF(AND(tblFleet[[#This Row],[Units]]&lt;&gt;"",tblFleet[[#This Row],[Calendar_h]]&gt;0),tblFleet[[#This Row],[Available_h]]/tblFleet[[#This Row],[Calendar_h]],"")</f>
        <v/>
      </c>
      <c r="J1768" s="60">
        <f>IF(AND(tblFleet[[#This Row],[Units]]&lt;&gt;"",tblFleet[[#This Row],[Available_h]]&gt;0),tblFleet[[#This Row],[Operating_h]]/tblFleet[[#This Row],[Available_h]],"")</f>
        <v/>
      </c>
    </row>
    <row r="1769">
      <c r="A1769" s="54" t="n"/>
      <c r="B1769" s="61" t="n"/>
      <c r="C1769" s="62" t="n"/>
      <c r="D1769" s="57" t="n"/>
      <c r="E1769" s="57" t="n"/>
      <c r="F1769" s="58" t="n"/>
      <c r="G1769" s="66">
        <f>IF(tblFleet[[#This Row],[Units]]="","",tblFleet[[#This Row],[Units]]*24)</f>
        <v/>
      </c>
      <c r="H1769" s="66">
        <f>IF(tblFleet[[#This Row],[Units]]="","",tblFleet[[#This Row],[Calendar_h]]-tblFleet[[#This Row],[Down_h]])</f>
        <v/>
      </c>
      <c r="I1769" s="60">
        <f>IF(AND(tblFleet[[#This Row],[Units]]&lt;&gt;"",tblFleet[[#This Row],[Calendar_h]]&gt;0),tblFleet[[#This Row],[Available_h]]/tblFleet[[#This Row],[Calendar_h]],"")</f>
        <v/>
      </c>
      <c r="J1769" s="60">
        <f>IF(AND(tblFleet[[#This Row],[Units]]&lt;&gt;"",tblFleet[[#This Row],[Available_h]]&gt;0),tblFleet[[#This Row],[Operating_h]]/tblFleet[[#This Row],[Available_h]],"")</f>
        <v/>
      </c>
    </row>
    <row r="1770">
      <c r="A1770" s="54" t="n"/>
      <c r="B1770" s="61" t="n"/>
      <c r="C1770" s="62" t="n"/>
      <c r="D1770" s="57" t="n"/>
      <c r="E1770" s="57" t="n"/>
      <c r="F1770" s="58" t="n"/>
      <c r="G1770" s="66">
        <f>IF(tblFleet[[#This Row],[Units]]="","",tblFleet[[#This Row],[Units]]*24)</f>
        <v/>
      </c>
      <c r="H1770" s="66">
        <f>IF(tblFleet[[#This Row],[Units]]="","",tblFleet[[#This Row],[Calendar_h]]-tblFleet[[#This Row],[Down_h]])</f>
        <v/>
      </c>
      <c r="I1770" s="60">
        <f>IF(AND(tblFleet[[#This Row],[Units]]&lt;&gt;"",tblFleet[[#This Row],[Calendar_h]]&gt;0),tblFleet[[#This Row],[Available_h]]/tblFleet[[#This Row],[Calendar_h]],"")</f>
        <v/>
      </c>
      <c r="J1770" s="60">
        <f>IF(AND(tblFleet[[#This Row],[Units]]&lt;&gt;"",tblFleet[[#This Row],[Available_h]]&gt;0),tblFleet[[#This Row],[Operating_h]]/tblFleet[[#This Row],[Available_h]],"")</f>
        <v/>
      </c>
    </row>
    <row r="1771">
      <c r="A1771" s="54" t="n"/>
      <c r="B1771" s="61" t="n"/>
      <c r="C1771" s="62" t="n"/>
      <c r="D1771" s="57" t="n"/>
      <c r="E1771" s="57" t="n"/>
      <c r="F1771" s="58" t="n"/>
      <c r="G1771" s="66">
        <f>IF(tblFleet[[#This Row],[Units]]="","",tblFleet[[#This Row],[Units]]*24)</f>
        <v/>
      </c>
      <c r="H1771" s="66">
        <f>IF(tblFleet[[#This Row],[Units]]="","",tblFleet[[#This Row],[Calendar_h]]-tblFleet[[#This Row],[Down_h]])</f>
        <v/>
      </c>
      <c r="I1771" s="60">
        <f>IF(AND(tblFleet[[#This Row],[Units]]&lt;&gt;"",tblFleet[[#This Row],[Calendar_h]]&gt;0),tblFleet[[#This Row],[Available_h]]/tblFleet[[#This Row],[Calendar_h]],"")</f>
        <v/>
      </c>
      <c r="J1771" s="60">
        <f>IF(AND(tblFleet[[#This Row],[Units]]&lt;&gt;"",tblFleet[[#This Row],[Available_h]]&gt;0),tblFleet[[#This Row],[Operating_h]]/tblFleet[[#This Row],[Available_h]],"")</f>
        <v/>
      </c>
    </row>
    <row r="1772">
      <c r="A1772" s="54" t="n"/>
      <c r="B1772" s="61" t="n"/>
      <c r="C1772" s="62" t="n"/>
      <c r="D1772" s="57" t="n"/>
      <c r="E1772" s="57" t="n"/>
      <c r="F1772" s="58" t="n"/>
      <c r="G1772" s="66">
        <f>IF(tblFleet[[#This Row],[Units]]="","",tblFleet[[#This Row],[Units]]*24)</f>
        <v/>
      </c>
      <c r="H1772" s="66">
        <f>IF(tblFleet[[#This Row],[Units]]="","",tblFleet[[#This Row],[Calendar_h]]-tblFleet[[#This Row],[Down_h]])</f>
        <v/>
      </c>
      <c r="I1772" s="60">
        <f>IF(AND(tblFleet[[#This Row],[Units]]&lt;&gt;"",tblFleet[[#This Row],[Calendar_h]]&gt;0),tblFleet[[#This Row],[Available_h]]/tblFleet[[#This Row],[Calendar_h]],"")</f>
        <v/>
      </c>
      <c r="J1772" s="60">
        <f>IF(AND(tblFleet[[#This Row],[Units]]&lt;&gt;"",tblFleet[[#This Row],[Available_h]]&gt;0),tblFleet[[#This Row],[Operating_h]]/tblFleet[[#This Row],[Available_h]],"")</f>
        <v/>
      </c>
    </row>
    <row r="1773">
      <c r="A1773" s="54" t="n"/>
      <c r="B1773" s="61" t="n"/>
      <c r="C1773" s="62" t="n"/>
      <c r="D1773" s="57" t="n"/>
      <c r="E1773" s="57" t="n"/>
      <c r="F1773" s="58" t="n"/>
      <c r="G1773" s="66">
        <f>IF(tblFleet[[#This Row],[Units]]="","",tblFleet[[#This Row],[Units]]*24)</f>
        <v/>
      </c>
      <c r="H1773" s="66">
        <f>IF(tblFleet[[#This Row],[Units]]="","",tblFleet[[#This Row],[Calendar_h]]-tblFleet[[#This Row],[Down_h]])</f>
        <v/>
      </c>
      <c r="I1773" s="60">
        <f>IF(AND(tblFleet[[#This Row],[Units]]&lt;&gt;"",tblFleet[[#This Row],[Calendar_h]]&gt;0),tblFleet[[#This Row],[Available_h]]/tblFleet[[#This Row],[Calendar_h]],"")</f>
        <v/>
      </c>
      <c r="J1773" s="60">
        <f>IF(AND(tblFleet[[#This Row],[Units]]&lt;&gt;"",tblFleet[[#This Row],[Available_h]]&gt;0),tblFleet[[#This Row],[Operating_h]]/tblFleet[[#This Row],[Available_h]],"")</f>
        <v/>
      </c>
    </row>
    <row r="1774">
      <c r="A1774" s="54" t="n"/>
      <c r="B1774" s="61" t="n"/>
      <c r="C1774" s="62" t="n"/>
      <c r="D1774" s="57" t="n"/>
      <c r="E1774" s="57" t="n"/>
      <c r="F1774" s="58" t="n"/>
      <c r="G1774" s="66">
        <f>IF(tblFleet[[#This Row],[Units]]="","",tblFleet[[#This Row],[Units]]*24)</f>
        <v/>
      </c>
      <c r="H1774" s="66">
        <f>IF(tblFleet[[#This Row],[Units]]="","",tblFleet[[#This Row],[Calendar_h]]-tblFleet[[#This Row],[Down_h]])</f>
        <v/>
      </c>
      <c r="I1774" s="60">
        <f>IF(AND(tblFleet[[#This Row],[Units]]&lt;&gt;"",tblFleet[[#This Row],[Calendar_h]]&gt;0),tblFleet[[#This Row],[Available_h]]/tblFleet[[#This Row],[Calendar_h]],"")</f>
        <v/>
      </c>
      <c r="J1774" s="60">
        <f>IF(AND(tblFleet[[#This Row],[Units]]&lt;&gt;"",tblFleet[[#This Row],[Available_h]]&gt;0),tblFleet[[#This Row],[Operating_h]]/tblFleet[[#This Row],[Available_h]],"")</f>
        <v/>
      </c>
    </row>
    <row r="1775">
      <c r="A1775" s="54" t="n"/>
      <c r="B1775" s="61" t="n"/>
      <c r="C1775" s="62" t="n"/>
      <c r="D1775" s="57" t="n"/>
      <c r="E1775" s="57" t="n"/>
      <c r="F1775" s="58" t="n"/>
      <c r="G1775" s="66">
        <f>IF(tblFleet[[#This Row],[Units]]="","",tblFleet[[#This Row],[Units]]*24)</f>
        <v/>
      </c>
      <c r="H1775" s="66">
        <f>IF(tblFleet[[#This Row],[Units]]="","",tblFleet[[#This Row],[Calendar_h]]-tblFleet[[#This Row],[Down_h]])</f>
        <v/>
      </c>
      <c r="I1775" s="60">
        <f>IF(AND(tblFleet[[#This Row],[Units]]&lt;&gt;"",tblFleet[[#This Row],[Calendar_h]]&gt;0),tblFleet[[#This Row],[Available_h]]/tblFleet[[#This Row],[Calendar_h]],"")</f>
        <v/>
      </c>
      <c r="J1775" s="60">
        <f>IF(AND(tblFleet[[#This Row],[Units]]&lt;&gt;"",tblFleet[[#This Row],[Available_h]]&gt;0),tblFleet[[#This Row],[Operating_h]]/tblFleet[[#This Row],[Available_h]],"")</f>
        <v/>
      </c>
    </row>
    <row r="1776">
      <c r="A1776" s="54" t="n"/>
      <c r="B1776" s="61" t="n"/>
      <c r="C1776" s="62" t="n"/>
      <c r="D1776" s="57" t="n"/>
      <c r="E1776" s="57" t="n"/>
      <c r="F1776" s="58" t="n"/>
      <c r="G1776" s="66">
        <f>IF(tblFleet[[#This Row],[Units]]="","",tblFleet[[#This Row],[Units]]*24)</f>
        <v/>
      </c>
      <c r="H1776" s="66">
        <f>IF(tblFleet[[#This Row],[Units]]="","",tblFleet[[#This Row],[Calendar_h]]-tblFleet[[#This Row],[Down_h]])</f>
        <v/>
      </c>
      <c r="I1776" s="60">
        <f>IF(AND(tblFleet[[#This Row],[Units]]&lt;&gt;"",tblFleet[[#This Row],[Calendar_h]]&gt;0),tblFleet[[#This Row],[Available_h]]/tblFleet[[#This Row],[Calendar_h]],"")</f>
        <v/>
      </c>
      <c r="J1776" s="60">
        <f>IF(AND(tblFleet[[#This Row],[Units]]&lt;&gt;"",tblFleet[[#This Row],[Available_h]]&gt;0),tblFleet[[#This Row],[Operating_h]]/tblFleet[[#This Row],[Available_h]],"")</f>
        <v/>
      </c>
    </row>
    <row r="1777">
      <c r="A1777" s="54" t="n"/>
      <c r="B1777" s="61" t="n"/>
      <c r="C1777" s="62" t="n"/>
      <c r="D1777" s="57" t="n"/>
      <c r="E1777" s="57" t="n"/>
      <c r="F1777" s="58" t="n"/>
      <c r="G1777" s="66">
        <f>IF(tblFleet[[#This Row],[Units]]="","",tblFleet[[#This Row],[Units]]*24)</f>
        <v/>
      </c>
      <c r="H1777" s="66">
        <f>IF(tblFleet[[#This Row],[Units]]="","",tblFleet[[#This Row],[Calendar_h]]-tblFleet[[#This Row],[Down_h]])</f>
        <v/>
      </c>
      <c r="I1777" s="60">
        <f>IF(AND(tblFleet[[#This Row],[Units]]&lt;&gt;"",tblFleet[[#This Row],[Calendar_h]]&gt;0),tblFleet[[#This Row],[Available_h]]/tblFleet[[#This Row],[Calendar_h]],"")</f>
        <v/>
      </c>
      <c r="J1777" s="60">
        <f>IF(AND(tblFleet[[#This Row],[Units]]&lt;&gt;"",tblFleet[[#This Row],[Available_h]]&gt;0),tblFleet[[#This Row],[Operating_h]]/tblFleet[[#This Row],[Available_h]],"")</f>
        <v/>
      </c>
    </row>
    <row r="1778">
      <c r="A1778" s="54" t="n"/>
      <c r="B1778" s="61" t="n"/>
      <c r="C1778" s="62" t="n"/>
      <c r="D1778" s="57" t="n"/>
      <c r="E1778" s="57" t="n"/>
      <c r="F1778" s="58" t="n"/>
      <c r="G1778" s="66">
        <f>IF(tblFleet[[#This Row],[Units]]="","",tblFleet[[#This Row],[Units]]*24)</f>
        <v/>
      </c>
      <c r="H1778" s="66">
        <f>IF(tblFleet[[#This Row],[Units]]="","",tblFleet[[#This Row],[Calendar_h]]-tblFleet[[#This Row],[Down_h]])</f>
        <v/>
      </c>
      <c r="I1778" s="60">
        <f>IF(AND(tblFleet[[#This Row],[Units]]&lt;&gt;"",tblFleet[[#This Row],[Calendar_h]]&gt;0),tblFleet[[#This Row],[Available_h]]/tblFleet[[#This Row],[Calendar_h]],"")</f>
        <v/>
      </c>
      <c r="J1778" s="60">
        <f>IF(AND(tblFleet[[#This Row],[Units]]&lt;&gt;"",tblFleet[[#This Row],[Available_h]]&gt;0),tblFleet[[#This Row],[Operating_h]]/tblFleet[[#This Row],[Available_h]],"")</f>
        <v/>
      </c>
    </row>
    <row r="1779">
      <c r="A1779" s="54" t="n"/>
      <c r="B1779" s="61" t="n"/>
      <c r="C1779" s="62" t="n"/>
      <c r="D1779" s="57" t="n"/>
      <c r="E1779" s="57" t="n"/>
      <c r="F1779" s="58" t="n"/>
      <c r="G1779" s="66">
        <f>IF(tblFleet[[#This Row],[Units]]="","",tblFleet[[#This Row],[Units]]*24)</f>
        <v/>
      </c>
      <c r="H1779" s="66">
        <f>IF(tblFleet[[#This Row],[Units]]="","",tblFleet[[#This Row],[Calendar_h]]-tblFleet[[#This Row],[Down_h]])</f>
        <v/>
      </c>
      <c r="I1779" s="60">
        <f>IF(AND(tblFleet[[#This Row],[Units]]&lt;&gt;"",tblFleet[[#This Row],[Calendar_h]]&gt;0),tblFleet[[#This Row],[Available_h]]/tblFleet[[#This Row],[Calendar_h]],"")</f>
        <v/>
      </c>
      <c r="J1779" s="60">
        <f>IF(AND(tblFleet[[#This Row],[Units]]&lt;&gt;"",tblFleet[[#This Row],[Available_h]]&gt;0),tblFleet[[#This Row],[Operating_h]]/tblFleet[[#This Row],[Available_h]],"")</f>
        <v/>
      </c>
    </row>
    <row r="1780">
      <c r="A1780" s="54" t="n"/>
      <c r="B1780" s="61" t="n"/>
      <c r="C1780" s="62" t="n"/>
      <c r="D1780" s="57" t="n"/>
      <c r="E1780" s="57" t="n"/>
      <c r="F1780" s="58" t="n"/>
      <c r="G1780" s="66">
        <f>IF(tblFleet[[#This Row],[Units]]="","",tblFleet[[#This Row],[Units]]*24)</f>
        <v/>
      </c>
      <c r="H1780" s="66">
        <f>IF(tblFleet[[#This Row],[Units]]="","",tblFleet[[#This Row],[Calendar_h]]-tblFleet[[#This Row],[Down_h]])</f>
        <v/>
      </c>
      <c r="I1780" s="60">
        <f>IF(AND(tblFleet[[#This Row],[Units]]&lt;&gt;"",tblFleet[[#This Row],[Calendar_h]]&gt;0),tblFleet[[#This Row],[Available_h]]/tblFleet[[#This Row],[Calendar_h]],"")</f>
        <v/>
      </c>
      <c r="J1780" s="60">
        <f>IF(AND(tblFleet[[#This Row],[Units]]&lt;&gt;"",tblFleet[[#This Row],[Available_h]]&gt;0),tblFleet[[#This Row],[Operating_h]]/tblFleet[[#This Row],[Available_h]],"")</f>
        <v/>
      </c>
    </row>
    <row r="1781">
      <c r="A1781" s="54" t="n"/>
      <c r="B1781" s="61" t="n"/>
      <c r="C1781" s="62" t="n"/>
      <c r="D1781" s="57" t="n"/>
      <c r="E1781" s="57" t="n"/>
      <c r="F1781" s="58" t="n"/>
      <c r="G1781" s="66">
        <f>IF(tblFleet[[#This Row],[Units]]="","",tblFleet[[#This Row],[Units]]*24)</f>
        <v/>
      </c>
      <c r="H1781" s="66">
        <f>IF(tblFleet[[#This Row],[Units]]="","",tblFleet[[#This Row],[Calendar_h]]-tblFleet[[#This Row],[Down_h]])</f>
        <v/>
      </c>
      <c r="I1781" s="60">
        <f>IF(AND(tblFleet[[#This Row],[Units]]&lt;&gt;"",tblFleet[[#This Row],[Calendar_h]]&gt;0),tblFleet[[#This Row],[Available_h]]/tblFleet[[#This Row],[Calendar_h]],"")</f>
        <v/>
      </c>
      <c r="J1781" s="60">
        <f>IF(AND(tblFleet[[#This Row],[Units]]&lt;&gt;"",tblFleet[[#This Row],[Available_h]]&gt;0),tblFleet[[#This Row],[Operating_h]]/tblFleet[[#This Row],[Available_h]],"")</f>
        <v/>
      </c>
    </row>
    <row r="1782">
      <c r="A1782" s="54" t="n"/>
      <c r="B1782" s="61" t="n"/>
      <c r="C1782" s="62" t="n"/>
      <c r="D1782" s="57" t="n"/>
      <c r="E1782" s="57" t="n"/>
      <c r="F1782" s="58" t="n"/>
      <c r="G1782" s="66">
        <f>IF(tblFleet[[#This Row],[Units]]="","",tblFleet[[#This Row],[Units]]*24)</f>
        <v/>
      </c>
      <c r="H1782" s="66">
        <f>IF(tblFleet[[#This Row],[Units]]="","",tblFleet[[#This Row],[Calendar_h]]-tblFleet[[#This Row],[Down_h]])</f>
        <v/>
      </c>
      <c r="I1782" s="60">
        <f>IF(AND(tblFleet[[#This Row],[Units]]&lt;&gt;"",tblFleet[[#This Row],[Calendar_h]]&gt;0),tblFleet[[#This Row],[Available_h]]/tblFleet[[#This Row],[Calendar_h]],"")</f>
        <v/>
      </c>
      <c r="J1782" s="60">
        <f>IF(AND(tblFleet[[#This Row],[Units]]&lt;&gt;"",tblFleet[[#This Row],[Available_h]]&gt;0),tblFleet[[#This Row],[Operating_h]]/tblFleet[[#This Row],[Available_h]],"")</f>
        <v/>
      </c>
    </row>
    <row r="1783">
      <c r="A1783" s="54" t="n"/>
      <c r="B1783" s="61" t="n"/>
      <c r="C1783" s="62" t="n"/>
      <c r="D1783" s="57" t="n"/>
      <c r="E1783" s="57" t="n"/>
      <c r="F1783" s="58" t="n"/>
      <c r="G1783" s="66">
        <f>IF(tblFleet[[#This Row],[Units]]="","",tblFleet[[#This Row],[Units]]*24)</f>
        <v/>
      </c>
      <c r="H1783" s="66">
        <f>IF(tblFleet[[#This Row],[Units]]="","",tblFleet[[#This Row],[Calendar_h]]-tblFleet[[#This Row],[Down_h]])</f>
        <v/>
      </c>
      <c r="I1783" s="60">
        <f>IF(AND(tblFleet[[#This Row],[Units]]&lt;&gt;"",tblFleet[[#This Row],[Calendar_h]]&gt;0),tblFleet[[#This Row],[Available_h]]/tblFleet[[#This Row],[Calendar_h]],"")</f>
        <v/>
      </c>
      <c r="J1783" s="60">
        <f>IF(AND(tblFleet[[#This Row],[Units]]&lt;&gt;"",tblFleet[[#This Row],[Available_h]]&gt;0),tblFleet[[#This Row],[Operating_h]]/tblFleet[[#This Row],[Available_h]],"")</f>
        <v/>
      </c>
    </row>
    <row r="1784">
      <c r="A1784" s="54" t="n"/>
      <c r="B1784" s="61" t="n"/>
      <c r="C1784" s="62" t="n"/>
      <c r="D1784" s="57" t="n"/>
      <c r="E1784" s="57" t="n"/>
      <c r="F1784" s="58" t="n"/>
      <c r="G1784" s="66">
        <f>IF(tblFleet[[#This Row],[Units]]="","",tblFleet[[#This Row],[Units]]*24)</f>
        <v/>
      </c>
      <c r="H1784" s="66">
        <f>IF(tblFleet[[#This Row],[Units]]="","",tblFleet[[#This Row],[Calendar_h]]-tblFleet[[#This Row],[Down_h]])</f>
        <v/>
      </c>
      <c r="I1784" s="60">
        <f>IF(AND(tblFleet[[#This Row],[Units]]&lt;&gt;"",tblFleet[[#This Row],[Calendar_h]]&gt;0),tblFleet[[#This Row],[Available_h]]/tblFleet[[#This Row],[Calendar_h]],"")</f>
        <v/>
      </c>
      <c r="J1784" s="60">
        <f>IF(AND(tblFleet[[#This Row],[Units]]&lt;&gt;"",tblFleet[[#This Row],[Available_h]]&gt;0),tblFleet[[#This Row],[Operating_h]]/tblFleet[[#This Row],[Available_h]],"")</f>
        <v/>
      </c>
    </row>
    <row r="1785">
      <c r="A1785" s="54" t="n"/>
      <c r="B1785" s="61" t="n"/>
      <c r="C1785" s="62" t="n"/>
      <c r="D1785" s="57" t="n"/>
      <c r="E1785" s="57" t="n"/>
      <c r="F1785" s="58" t="n"/>
      <c r="G1785" s="66">
        <f>IF(tblFleet[[#This Row],[Units]]="","",tblFleet[[#This Row],[Units]]*24)</f>
        <v/>
      </c>
      <c r="H1785" s="66">
        <f>IF(tblFleet[[#This Row],[Units]]="","",tblFleet[[#This Row],[Calendar_h]]-tblFleet[[#This Row],[Down_h]])</f>
        <v/>
      </c>
      <c r="I1785" s="60">
        <f>IF(AND(tblFleet[[#This Row],[Units]]&lt;&gt;"",tblFleet[[#This Row],[Calendar_h]]&gt;0),tblFleet[[#This Row],[Available_h]]/tblFleet[[#This Row],[Calendar_h]],"")</f>
        <v/>
      </c>
      <c r="J1785" s="60">
        <f>IF(AND(tblFleet[[#This Row],[Units]]&lt;&gt;"",tblFleet[[#This Row],[Available_h]]&gt;0),tblFleet[[#This Row],[Operating_h]]/tblFleet[[#This Row],[Available_h]],"")</f>
        <v/>
      </c>
    </row>
    <row r="1786">
      <c r="A1786" s="54" t="n"/>
      <c r="B1786" s="61" t="n"/>
      <c r="C1786" s="62" t="n"/>
      <c r="D1786" s="57" t="n"/>
      <c r="E1786" s="57" t="n"/>
      <c r="F1786" s="58" t="n"/>
      <c r="G1786" s="66">
        <f>IF(tblFleet[[#This Row],[Units]]="","",tblFleet[[#This Row],[Units]]*24)</f>
        <v/>
      </c>
      <c r="H1786" s="66">
        <f>IF(tblFleet[[#This Row],[Units]]="","",tblFleet[[#This Row],[Calendar_h]]-tblFleet[[#This Row],[Down_h]])</f>
        <v/>
      </c>
      <c r="I1786" s="60">
        <f>IF(AND(tblFleet[[#This Row],[Units]]&lt;&gt;"",tblFleet[[#This Row],[Calendar_h]]&gt;0),tblFleet[[#This Row],[Available_h]]/tblFleet[[#This Row],[Calendar_h]],"")</f>
        <v/>
      </c>
      <c r="J1786" s="60">
        <f>IF(AND(tblFleet[[#This Row],[Units]]&lt;&gt;"",tblFleet[[#This Row],[Available_h]]&gt;0),tblFleet[[#This Row],[Operating_h]]/tblFleet[[#This Row],[Available_h]],"")</f>
        <v/>
      </c>
    </row>
    <row r="1787">
      <c r="A1787" s="54" t="n"/>
      <c r="B1787" s="61" t="n"/>
      <c r="C1787" s="62" t="n"/>
      <c r="D1787" s="57" t="n"/>
      <c r="E1787" s="57" t="n"/>
      <c r="F1787" s="58" t="n"/>
      <c r="G1787" s="66">
        <f>IF(tblFleet[[#This Row],[Units]]="","",tblFleet[[#This Row],[Units]]*24)</f>
        <v/>
      </c>
      <c r="H1787" s="66">
        <f>IF(tblFleet[[#This Row],[Units]]="","",tblFleet[[#This Row],[Calendar_h]]-tblFleet[[#This Row],[Down_h]])</f>
        <v/>
      </c>
      <c r="I1787" s="60">
        <f>IF(AND(tblFleet[[#This Row],[Units]]&lt;&gt;"",tblFleet[[#This Row],[Calendar_h]]&gt;0),tblFleet[[#This Row],[Available_h]]/tblFleet[[#This Row],[Calendar_h]],"")</f>
        <v/>
      </c>
      <c r="J1787" s="60">
        <f>IF(AND(tblFleet[[#This Row],[Units]]&lt;&gt;"",tblFleet[[#This Row],[Available_h]]&gt;0),tblFleet[[#This Row],[Operating_h]]/tblFleet[[#This Row],[Available_h]],"")</f>
        <v/>
      </c>
    </row>
    <row r="1788">
      <c r="A1788" s="54" t="n"/>
      <c r="B1788" s="61" t="n"/>
      <c r="C1788" s="62" t="n"/>
      <c r="D1788" s="57" t="n"/>
      <c r="E1788" s="57" t="n"/>
      <c r="F1788" s="58" t="n"/>
      <c r="G1788" s="66">
        <f>IF(tblFleet[[#This Row],[Units]]="","",tblFleet[[#This Row],[Units]]*24)</f>
        <v/>
      </c>
      <c r="H1788" s="66">
        <f>IF(tblFleet[[#This Row],[Units]]="","",tblFleet[[#This Row],[Calendar_h]]-tblFleet[[#This Row],[Down_h]])</f>
        <v/>
      </c>
      <c r="I1788" s="60">
        <f>IF(AND(tblFleet[[#This Row],[Units]]&lt;&gt;"",tblFleet[[#This Row],[Calendar_h]]&gt;0),tblFleet[[#This Row],[Available_h]]/tblFleet[[#This Row],[Calendar_h]],"")</f>
        <v/>
      </c>
      <c r="J1788" s="60">
        <f>IF(AND(tblFleet[[#This Row],[Units]]&lt;&gt;"",tblFleet[[#This Row],[Available_h]]&gt;0),tblFleet[[#This Row],[Operating_h]]/tblFleet[[#This Row],[Available_h]],"")</f>
        <v/>
      </c>
    </row>
    <row r="1789">
      <c r="A1789" s="54" t="n"/>
      <c r="B1789" s="61" t="n"/>
      <c r="C1789" s="62" t="n"/>
      <c r="D1789" s="57" t="n"/>
      <c r="E1789" s="57" t="n"/>
      <c r="F1789" s="58" t="n"/>
      <c r="G1789" s="66">
        <f>IF(tblFleet[[#This Row],[Units]]="","",tblFleet[[#This Row],[Units]]*24)</f>
        <v/>
      </c>
      <c r="H1789" s="66">
        <f>IF(tblFleet[[#This Row],[Units]]="","",tblFleet[[#This Row],[Calendar_h]]-tblFleet[[#This Row],[Down_h]])</f>
        <v/>
      </c>
      <c r="I1789" s="60">
        <f>IF(AND(tblFleet[[#This Row],[Units]]&lt;&gt;"",tblFleet[[#This Row],[Calendar_h]]&gt;0),tblFleet[[#This Row],[Available_h]]/tblFleet[[#This Row],[Calendar_h]],"")</f>
        <v/>
      </c>
      <c r="J1789" s="60">
        <f>IF(AND(tblFleet[[#This Row],[Units]]&lt;&gt;"",tblFleet[[#This Row],[Available_h]]&gt;0),tblFleet[[#This Row],[Operating_h]]/tblFleet[[#This Row],[Available_h]],"")</f>
        <v/>
      </c>
    </row>
    <row r="1790">
      <c r="A1790" s="54" t="n"/>
      <c r="B1790" s="61" t="n"/>
      <c r="C1790" s="62" t="n"/>
      <c r="D1790" s="57" t="n"/>
      <c r="E1790" s="57" t="n"/>
      <c r="F1790" s="58" t="n"/>
      <c r="G1790" s="66">
        <f>IF(tblFleet[[#This Row],[Units]]="","",tblFleet[[#This Row],[Units]]*24)</f>
        <v/>
      </c>
      <c r="H1790" s="66">
        <f>IF(tblFleet[[#This Row],[Units]]="","",tblFleet[[#This Row],[Calendar_h]]-tblFleet[[#This Row],[Down_h]])</f>
        <v/>
      </c>
      <c r="I1790" s="60">
        <f>IF(AND(tblFleet[[#This Row],[Units]]&lt;&gt;"",tblFleet[[#This Row],[Calendar_h]]&gt;0),tblFleet[[#This Row],[Available_h]]/tblFleet[[#This Row],[Calendar_h]],"")</f>
        <v/>
      </c>
      <c r="J1790" s="60">
        <f>IF(AND(tblFleet[[#This Row],[Units]]&lt;&gt;"",tblFleet[[#This Row],[Available_h]]&gt;0),tblFleet[[#This Row],[Operating_h]]/tblFleet[[#This Row],[Available_h]],"")</f>
        <v/>
      </c>
    </row>
    <row r="1791">
      <c r="A1791" s="54" t="n"/>
      <c r="B1791" s="61" t="n"/>
      <c r="C1791" s="62" t="n"/>
      <c r="D1791" s="57" t="n"/>
      <c r="E1791" s="57" t="n"/>
      <c r="F1791" s="58" t="n"/>
      <c r="G1791" s="66">
        <f>IF(tblFleet[[#This Row],[Units]]="","",tblFleet[[#This Row],[Units]]*24)</f>
        <v/>
      </c>
      <c r="H1791" s="66">
        <f>IF(tblFleet[[#This Row],[Units]]="","",tblFleet[[#This Row],[Calendar_h]]-tblFleet[[#This Row],[Down_h]])</f>
        <v/>
      </c>
      <c r="I1791" s="60">
        <f>IF(AND(tblFleet[[#This Row],[Units]]&lt;&gt;"",tblFleet[[#This Row],[Calendar_h]]&gt;0),tblFleet[[#This Row],[Available_h]]/tblFleet[[#This Row],[Calendar_h]],"")</f>
        <v/>
      </c>
      <c r="J1791" s="60">
        <f>IF(AND(tblFleet[[#This Row],[Units]]&lt;&gt;"",tblFleet[[#This Row],[Available_h]]&gt;0),tblFleet[[#This Row],[Operating_h]]/tblFleet[[#This Row],[Available_h]],"")</f>
        <v/>
      </c>
    </row>
    <row r="1792">
      <c r="A1792" s="54" t="n"/>
      <c r="B1792" s="61" t="n"/>
      <c r="C1792" s="62" t="n"/>
      <c r="D1792" s="57" t="n"/>
      <c r="E1792" s="57" t="n"/>
      <c r="F1792" s="58" t="n"/>
      <c r="G1792" s="66">
        <f>IF(tblFleet[[#This Row],[Units]]="","",tblFleet[[#This Row],[Units]]*24)</f>
        <v/>
      </c>
      <c r="H1792" s="66">
        <f>IF(tblFleet[[#This Row],[Units]]="","",tblFleet[[#This Row],[Calendar_h]]-tblFleet[[#This Row],[Down_h]])</f>
        <v/>
      </c>
      <c r="I1792" s="60">
        <f>IF(AND(tblFleet[[#This Row],[Units]]&lt;&gt;"",tblFleet[[#This Row],[Calendar_h]]&gt;0),tblFleet[[#This Row],[Available_h]]/tblFleet[[#This Row],[Calendar_h]],"")</f>
        <v/>
      </c>
      <c r="J1792" s="60">
        <f>IF(AND(tblFleet[[#This Row],[Units]]&lt;&gt;"",tblFleet[[#This Row],[Available_h]]&gt;0),tblFleet[[#This Row],[Operating_h]]/tblFleet[[#This Row],[Available_h]],"")</f>
        <v/>
      </c>
    </row>
    <row r="1793">
      <c r="A1793" s="54" t="n"/>
      <c r="B1793" s="61" t="n"/>
      <c r="C1793" s="62" t="n"/>
      <c r="D1793" s="57" t="n"/>
      <c r="E1793" s="57" t="n"/>
      <c r="F1793" s="58" t="n"/>
      <c r="G1793" s="66">
        <f>IF(tblFleet[[#This Row],[Units]]="","",tblFleet[[#This Row],[Units]]*24)</f>
        <v/>
      </c>
      <c r="H1793" s="66">
        <f>IF(tblFleet[[#This Row],[Units]]="","",tblFleet[[#This Row],[Calendar_h]]-tblFleet[[#This Row],[Down_h]])</f>
        <v/>
      </c>
      <c r="I1793" s="60">
        <f>IF(AND(tblFleet[[#This Row],[Units]]&lt;&gt;"",tblFleet[[#This Row],[Calendar_h]]&gt;0),tblFleet[[#This Row],[Available_h]]/tblFleet[[#This Row],[Calendar_h]],"")</f>
        <v/>
      </c>
      <c r="J1793" s="60">
        <f>IF(AND(tblFleet[[#This Row],[Units]]&lt;&gt;"",tblFleet[[#This Row],[Available_h]]&gt;0),tblFleet[[#This Row],[Operating_h]]/tblFleet[[#This Row],[Available_h]],"")</f>
        <v/>
      </c>
    </row>
    <row r="1794">
      <c r="A1794" s="54" t="n"/>
      <c r="B1794" s="61" t="n"/>
      <c r="C1794" s="62" t="n"/>
      <c r="D1794" s="57" t="n"/>
      <c r="E1794" s="57" t="n"/>
      <c r="F1794" s="58" t="n"/>
      <c r="G1794" s="66">
        <f>IF(tblFleet[[#This Row],[Units]]="","",tblFleet[[#This Row],[Units]]*24)</f>
        <v/>
      </c>
      <c r="H1794" s="66">
        <f>IF(tblFleet[[#This Row],[Units]]="","",tblFleet[[#This Row],[Calendar_h]]-tblFleet[[#This Row],[Down_h]])</f>
        <v/>
      </c>
      <c r="I1794" s="60">
        <f>IF(AND(tblFleet[[#This Row],[Units]]&lt;&gt;"",tblFleet[[#This Row],[Calendar_h]]&gt;0),tblFleet[[#This Row],[Available_h]]/tblFleet[[#This Row],[Calendar_h]],"")</f>
        <v/>
      </c>
      <c r="J1794" s="60">
        <f>IF(AND(tblFleet[[#This Row],[Units]]&lt;&gt;"",tblFleet[[#This Row],[Available_h]]&gt;0),tblFleet[[#This Row],[Operating_h]]/tblFleet[[#This Row],[Available_h]],"")</f>
        <v/>
      </c>
    </row>
    <row r="1795">
      <c r="A1795" s="54" t="n"/>
      <c r="B1795" s="61" t="n"/>
      <c r="C1795" s="62" t="n"/>
      <c r="D1795" s="57" t="n"/>
      <c r="E1795" s="57" t="n"/>
      <c r="F1795" s="58" t="n"/>
      <c r="G1795" s="66">
        <f>IF(tblFleet[[#This Row],[Units]]="","",tblFleet[[#This Row],[Units]]*24)</f>
        <v/>
      </c>
      <c r="H1795" s="66">
        <f>IF(tblFleet[[#This Row],[Units]]="","",tblFleet[[#This Row],[Calendar_h]]-tblFleet[[#This Row],[Down_h]])</f>
        <v/>
      </c>
      <c r="I1795" s="60">
        <f>IF(AND(tblFleet[[#This Row],[Units]]&lt;&gt;"",tblFleet[[#This Row],[Calendar_h]]&gt;0),tblFleet[[#This Row],[Available_h]]/tblFleet[[#This Row],[Calendar_h]],"")</f>
        <v/>
      </c>
      <c r="J1795" s="60">
        <f>IF(AND(tblFleet[[#This Row],[Units]]&lt;&gt;"",tblFleet[[#This Row],[Available_h]]&gt;0),tblFleet[[#This Row],[Operating_h]]/tblFleet[[#This Row],[Available_h]],"")</f>
        <v/>
      </c>
    </row>
    <row r="1796">
      <c r="A1796" s="54" t="n"/>
      <c r="B1796" s="61" t="n"/>
      <c r="C1796" s="62" t="n"/>
      <c r="D1796" s="57" t="n"/>
      <c r="E1796" s="57" t="n"/>
      <c r="F1796" s="58" t="n"/>
      <c r="G1796" s="66">
        <f>IF(tblFleet[[#This Row],[Units]]="","",tblFleet[[#This Row],[Units]]*24)</f>
        <v/>
      </c>
      <c r="H1796" s="66">
        <f>IF(tblFleet[[#This Row],[Units]]="","",tblFleet[[#This Row],[Calendar_h]]-tblFleet[[#This Row],[Down_h]])</f>
        <v/>
      </c>
      <c r="I1796" s="60">
        <f>IF(AND(tblFleet[[#This Row],[Units]]&lt;&gt;"",tblFleet[[#This Row],[Calendar_h]]&gt;0),tblFleet[[#This Row],[Available_h]]/tblFleet[[#This Row],[Calendar_h]],"")</f>
        <v/>
      </c>
      <c r="J1796" s="60">
        <f>IF(AND(tblFleet[[#This Row],[Units]]&lt;&gt;"",tblFleet[[#This Row],[Available_h]]&gt;0),tblFleet[[#This Row],[Operating_h]]/tblFleet[[#This Row],[Available_h]],"")</f>
        <v/>
      </c>
    </row>
    <row r="1797">
      <c r="A1797" s="54" t="n"/>
      <c r="B1797" s="61" t="n"/>
      <c r="C1797" s="62" t="n"/>
      <c r="D1797" s="57" t="n"/>
      <c r="E1797" s="57" t="n"/>
      <c r="F1797" s="58" t="n"/>
      <c r="G1797" s="66">
        <f>IF(tblFleet[[#This Row],[Units]]="","",tblFleet[[#This Row],[Units]]*24)</f>
        <v/>
      </c>
      <c r="H1797" s="66">
        <f>IF(tblFleet[[#This Row],[Units]]="","",tblFleet[[#This Row],[Calendar_h]]-tblFleet[[#This Row],[Down_h]])</f>
        <v/>
      </c>
      <c r="I1797" s="60">
        <f>IF(AND(tblFleet[[#This Row],[Units]]&lt;&gt;"",tblFleet[[#This Row],[Calendar_h]]&gt;0),tblFleet[[#This Row],[Available_h]]/tblFleet[[#This Row],[Calendar_h]],"")</f>
        <v/>
      </c>
      <c r="J1797" s="60">
        <f>IF(AND(tblFleet[[#This Row],[Units]]&lt;&gt;"",tblFleet[[#This Row],[Available_h]]&gt;0),tblFleet[[#This Row],[Operating_h]]/tblFleet[[#This Row],[Available_h]],"")</f>
        <v/>
      </c>
    </row>
    <row r="1798">
      <c r="A1798" s="54" t="n"/>
      <c r="B1798" s="61" t="n"/>
      <c r="C1798" s="62" t="n"/>
      <c r="D1798" s="57" t="n"/>
      <c r="E1798" s="57" t="n"/>
      <c r="F1798" s="58" t="n"/>
      <c r="G1798" s="66">
        <f>IF(tblFleet[[#This Row],[Units]]="","",tblFleet[[#This Row],[Units]]*24)</f>
        <v/>
      </c>
      <c r="H1798" s="66">
        <f>IF(tblFleet[[#This Row],[Units]]="","",tblFleet[[#This Row],[Calendar_h]]-tblFleet[[#This Row],[Down_h]])</f>
        <v/>
      </c>
      <c r="I1798" s="60">
        <f>IF(AND(tblFleet[[#This Row],[Units]]&lt;&gt;"",tblFleet[[#This Row],[Calendar_h]]&gt;0),tblFleet[[#This Row],[Available_h]]/tblFleet[[#This Row],[Calendar_h]],"")</f>
        <v/>
      </c>
      <c r="J1798" s="60">
        <f>IF(AND(tblFleet[[#This Row],[Units]]&lt;&gt;"",tblFleet[[#This Row],[Available_h]]&gt;0),tblFleet[[#This Row],[Operating_h]]/tblFleet[[#This Row],[Available_h]],"")</f>
        <v/>
      </c>
    </row>
    <row r="1799">
      <c r="A1799" s="54" t="n"/>
      <c r="B1799" s="61" t="n"/>
      <c r="C1799" s="62" t="n"/>
      <c r="D1799" s="57" t="n"/>
      <c r="E1799" s="57" t="n"/>
      <c r="F1799" s="58" t="n"/>
      <c r="G1799" s="66">
        <f>IF(tblFleet[[#This Row],[Units]]="","",tblFleet[[#This Row],[Units]]*24)</f>
        <v/>
      </c>
      <c r="H1799" s="66">
        <f>IF(tblFleet[[#This Row],[Units]]="","",tblFleet[[#This Row],[Calendar_h]]-tblFleet[[#This Row],[Down_h]])</f>
        <v/>
      </c>
      <c r="I1799" s="60">
        <f>IF(AND(tblFleet[[#This Row],[Units]]&lt;&gt;"",tblFleet[[#This Row],[Calendar_h]]&gt;0),tblFleet[[#This Row],[Available_h]]/tblFleet[[#This Row],[Calendar_h]],"")</f>
        <v/>
      </c>
      <c r="J1799" s="60">
        <f>IF(AND(tblFleet[[#This Row],[Units]]&lt;&gt;"",tblFleet[[#This Row],[Available_h]]&gt;0),tblFleet[[#This Row],[Operating_h]]/tblFleet[[#This Row],[Available_h]],"")</f>
        <v/>
      </c>
    </row>
    <row r="1800">
      <c r="A1800" s="54" t="n"/>
      <c r="B1800" s="61" t="n"/>
      <c r="C1800" s="62" t="n"/>
      <c r="D1800" s="57" t="n"/>
      <c r="E1800" s="57" t="n"/>
      <c r="F1800" s="58" t="n"/>
      <c r="G1800" s="66">
        <f>IF(tblFleet[[#This Row],[Units]]="","",tblFleet[[#This Row],[Units]]*24)</f>
        <v/>
      </c>
      <c r="H1800" s="66">
        <f>IF(tblFleet[[#This Row],[Units]]="","",tblFleet[[#This Row],[Calendar_h]]-tblFleet[[#This Row],[Down_h]])</f>
        <v/>
      </c>
      <c r="I1800" s="60">
        <f>IF(AND(tblFleet[[#This Row],[Units]]&lt;&gt;"",tblFleet[[#This Row],[Calendar_h]]&gt;0),tblFleet[[#This Row],[Available_h]]/tblFleet[[#This Row],[Calendar_h]],"")</f>
        <v/>
      </c>
      <c r="J1800" s="60">
        <f>IF(AND(tblFleet[[#This Row],[Units]]&lt;&gt;"",tblFleet[[#This Row],[Available_h]]&gt;0),tblFleet[[#This Row],[Operating_h]]/tblFleet[[#This Row],[Available_h]],"")</f>
        <v/>
      </c>
    </row>
    <row r="1801">
      <c r="A1801" s="54" t="n"/>
      <c r="B1801" s="61" t="n"/>
      <c r="C1801" s="62" t="n"/>
      <c r="D1801" s="57" t="n"/>
      <c r="E1801" s="57" t="n"/>
      <c r="F1801" s="58" t="n"/>
      <c r="G1801" s="66">
        <f>IF(tblFleet[[#This Row],[Units]]="","",tblFleet[[#This Row],[Units]]*24)</f>
        <v/>
      </c>
      <c r="H1801" s="66">
        <f>IF(tblFleet[[#This Row],[Units]]="","",tblFleet[[#This Row],[Calendar_h]]-tblFleet[[#This Row],[Down_h]])</f>
        <v/>
      </c>
      <c r="I1801" s="60">
        <f>IF(AND(tblFleet[[#This Row],[Units]]&lt;&gt;"",tblFleet[[#This Row],[Calendar_h]]&gt;0),tblFleet[[#This Row],[Available_h]]/tblFleet[[#This Row],[Calendar_h]],"")</f>
        <v/>
      </c>
      <c r="J1801" s="60">
        <f>IF(AND(tblFleet[[#This Row],[Units]]&lt;&gt;"",tblFleet[[#This Row],[Available_h]]&gt;0),tblFleet[[#This Row],[Operating_h]]/tblFleet[[#This Row],[Available_h]],"")</f>
        <v/>
      </c>
    </row>
    <row r="1802">
      <c r="A1802" s="54" t="n"/>
      <c r="B1802" s="61" t="n"/>
      <c r="C1802" s="62" t="n"/>
      <c r="D1802" s="57" t="n"/>
      <c r="E1802" s="57" t="n"/>
      <c r="F1802" s="58" t="n"/>
      <c r="G1802" s="66">
        <f>IF(tblFleet[[#This Row],[Units]]="","",tblFleet[[#This Row],[Units]]*24)</f>
        <v/>
      </c>
      <c r="H1802" s="66">
        <f>IF(tblFleet[[#This Row],[Units]]="","",tblFleet[[#This Row],[Calendar_h]]-tblFleet[[#This Row],[Down_h]])</f>
        <v/>
      </c>
      <c r="I1802" s="60">
        <f>IF(AND(tblFleet[[#This Row],[Units]]&lt;&gt;"",tblFleet[[#This Row],[Calendar_h]]&gt;0),tblFleet[[#This Row],[Available_h]]/tblFleet[[#This Row],[Calendar_h]],"")</f>
        <v/>
      </c>
      <c r="J1802" s="60">
        <f>IF(AND(tblFleet[[#This Row],[Units]]&lt;&gt;"",tblFleet[[#This Row],[Available_h]]&gt;0),tblFleet[[#This Row],[Operating_h]]/tblFleet[[#This Row],[Available_h]],"")</f>
        <v/>
      </c>
    </row>
    <row r="1803">
      <c r="A1803" s="54" t="n"/>
      <c r="B1803" s="61" t="n"/>
      <c r="C1803" s="62" t="n"/>
      <c r="D1803" s="57" t="n"/>
      <c r="E1803" s="57" t="n"/>
      <c r="F1803" s="58" t="n"/>
      <c r="G1803" s="66">
        <f>IF(tblFleet[[#This Row],[Units]]="","",tblFleet[[#This Row],[Units]]*24)</f>
        <v/>
      </c>
      <c r="H1803" s="66">
        <f>IF(tblFleet[[#This Row],[Units]]="","",tblFleet[[#This Row],[Calendar_h]]-tblFleet[[#This Row],[Down_h]])</f>
        <v/>
      </c>
      <c r="I1803" s="60">
        <f>IF(AND(tblFleet[[#This Row],[Units]]&lt;&gt;"",tblFleet[[#This Row],[Calendar_h]]&gt;0),tblFleet[[#This Row],[Available_h]]/tblFleet[[#This Row],[Calendar_h]],"")</f>
        <v/>
      </c>
      <c r="J1803" s="60">
        <f>IF(AND(tblFleet[[#This Row],[Units]]&lt;&gt;"",tblFleet[[#This Row],[Available_h]]&gt;0),tblFleet[[#This Row],[Operating_h]]/tblFleet[[#This Row],[Available_h]],"")</f>
        <v/>
      </c>
    </row>
    <row r="1804">
      <c r="A1804" s="54" t="n"/>
      <c r="B1804" s="61" t="n"/>
      <c r="C1804" s="62" t="n"/>
      <c r="D1804" s="57" t="n"/>
      <c r="E1804" s="57" t="n"/>
      <c r="F1804" s="58" t="n"/>
      <c r="G1804" s="66">
        <f>IF(tblFleet[[#This Row],[Units]]="","",tblFleet[[#This Row],[Units]]*24)</f>
        <v/>
      </c>
      <c r="H1804" s="66">
        <f>IF(tblFleet[[#This Row],[Units]]="","",tblFleet[[#This Row],[Calendar_h]]-tblFleet[[#This Row],[Down_h]])</f>
        <v/>
      </c>
      <c r="I1804" s="60">
        <f>IF(AND(tblFleet[[#This Row],[Units]]&lt;&gt;"",tblFleet[[#This Row],[Calendar_h]]&gt;0),tblFleet[[#This Row],[Available_h]]/tblFleet[[#This Row],[Calendar_h]],"")</f>
        <v/>
      </c>
      <c r="J1804" s="60">
        <f>IF(AND(tblFleet[[#This Row],[Units]]&lt;&gt;"",tblFleet[[#This Row],[Available_h]]&gt;0),tblFleet[[#This Row],[Operating_h]]/tblFleet[[#This Row],[Available_h]],"")</f>
        <v/>
      </c>
    </row>
    <row r="1805">
      <c r="A1805" s="54" t="n"/>
      <c r="B1805" s="61" t="n"/>
      <c r="C1805" s="62" t="n"/>
      <c r="D1805" s="57" t="n"/>
      <c r="E1805" s="57" t="n"/>
      <c r="F1805" s="58" t="n"/>
      <c r="G1805" s="66">
        <f>IF(tblFleet[[#This Row],[Units]]="","",tblFleet[[#This Row],[Units]]*24)</f>
        <v/>
      </c>
      <c r="H1805" s="66">
        <f>IF(tblFleet[[#This Row],[Units]]="","",tblFleet[[#This Row],[Calendar_h]]-tblFleet[[#This Row],[Down_h]])</f>
        <v/>
      </c>
      <c r="I1805" s="60">
        <f>IF(AND(tblFleet[[#This Row],[Units]]&lt;&gt;"",tblFleet[[#This Row],[Calendar_h]]&gt;0),tblFleet[[#This Row],[Available_h]]/tblFleet[[#This Row],[Calendar_h]],"")</f>
        <v/>
      </c>
      <c r="J1805" s="60">
        <f>IF(AND(tblFleet[[#This Row],[Units]]&lt;&gt;"",tblFleet[[#This Row],[Available_h]]&gt;0),tblFleet[[#This Row],[Operating_h]]/tblFleet[[#This Row],[Available_h]],"")</f>
        <v/>
      </c>
    </row>
    <row r="1806">
      <c r="A1806" s="54" t="n"/>
      <c r="B1806" s="61" t="n"/>
      <c r="C1806" s="62" t="n"/>
      <c r="D1806" s="57" t="n"/>
      <c r="E1806" s="57" t="n"/>
      <c r="F1806" s="58" t="n"/>
      <c r="G1806" s="66">
        <f>IF(tblFleet[[#This Row],[Units]]="","",tblFleet[[#This Row],[Units]]*24)</f>
        <v/>
      </c>
      <c r="H1806" s="66">
        <f>IF(tblFleet[[#This Row],[Units]]="","",tblFleet[[#This Row],[Calendar_h]]-tblFleet[[#This Row],[Down_h]])</f>
        <v/>
      </c>
      <c r="I1806" s="60">
        <f>IF(AND(tblFleet[[#This Row],[Units]]&lt;&gt;"",tblFleet[[#This Row],[Calendar_h]]&gt;0),tblFleet[[#This Row],[Available_h]]/tblFleet[[#This Row],[Calendar_h]],"")</f>
        <v/>
      </c>
      <c r="J1806" s="60">
        <f>IF(AND(tblFleet[[#This Row],[Units]]&lt;&gt;"",tblFleet[[#This Row],[Available_h]]&gt;0),tblFleet[[#This Row],[Operating_h]]/tblFleet[[#This Row],[Available_h]],"")</f>
        <v/>
      </c>
    </row>
    <row r="1807">
      <c r="A1807" s="54" t="n"/>
      <c r="B1807" s="61" t="n"/>
      <c r="C1807" s="62" t="n"/>
      <c r="D1807" s="57" t="n"/>
      <c r="E1807" s="57" t="n"/>
      <c r="F1807" s="58" t="n"/>
      <c r="G1807" s="66">
        <f>IF(tblFleet[[#This Row],[Units]]="","",tblFleet[[#This Row],[Units]]*24)</f>
        <v/>
      </c>
      <c r="H1807" s="66">
        <f>IF(tblFleet[[#This Row],[Units]]="","",tblFleet[[#This Row],[Calendar_h]]-tblFleet[[#This Row],[Down_h]])</f>
        <v/>
      </c>
      <c r="I1807" s="60">
        <f>IF(AND(tblFleet[[#This Row],[Units]]&lt;&gt;"",tblFleet[[#This Row],[Calendar_h]]&gt;0),tblFleet[[#This Row],[Available_h]]/tblFleet[[#This Row],[Calendar_h]],"")</f>
        <v/>
      </c>
      <c r="J1807" s="60">
        <f>IF(AND(tblFleet[[#This Row],[Units]]&lt;&gt;"",tblFleet[[#This Row],[Available_h]]&gt;0),tblFleet[[#This Row],[Operating_h]]/tblFleet[[#This Row],[Available_h]],"")</f>
        <v/>
      </c>
    </row>
    <row r="1808">
      <c r="A1808" s="54" t="n"/>
      <c r="B1808" s="61" t="n"/>
      <c r="C1808" s="62" t="n"/>
      <c r="D1808" s="57" t="n"/>
      <c r="E1808" s="57" t="n"/>
      <c r="F1808" s="58" t="n"/>
      <c r="G1808" s="66">
        <f>IF(tblFleet[[#This Row],[Units]]="","",tblFleet[[#This Row],[Units]]*24)</f>
        <v/>
      </c>
      <c r="H1808" s="66">
        <f>IF(tblFleet[[#This Row],[Units]]="","",tblFleet[[#This Row],[Calendar_h]]-tblFleet[[#This Row],[Down_h]])</f>
        <v/>
      </c>
      <c r="I1808" s="60">
        <f>IF(AND(tblFleet[[#This Row],[Units]]&lt;&gt;"",tblFleet[[#This Row],[Calendar_h]]&gt;0),tblFleet[[#This Row],[Available_h]]/tblFleet[[#This Row],[Calendar_h]],"")</f>
        <v/>
      </c>
      <c r="J1808" s="60">
        <f>IF(AND(tblFleet[[#This Row],[Units]]&lt;&gt;"",tblFleet[[#This Row],[Available_h]]&gt;0),tblFleet[[#This Row],[Operating_h]]/tblFleet[[#This Row],[Available_h]],"")</f>
        <v/>
      </c>
    </row>
    <row r="1809">
      <c r="A1809" s="54" t="n"/>
      <c r="B1809" s="61" t="n"/>
      <c r="C1809" s="62" t="n"/>
      <c r="D1809" s="57" t="n"/>
      <c r="E1809" s="57" t="n"/>
      <c r="F1809" s="58" t="n"/>
      <c r="G1809" s="66">
        <f>IF(tblFleet[[#This Row],[Units]]="","",tblFleet[[#This Row],[Units]]*24)</f>
        <v/>
      </c>
      <c r="H1809" s="66">
        <f>IF(tblFleet[[#This Row],[Units]]="","",tblFleet[[#This Row],[Calendar_h]]-tblFleet[[#This Row],[Down_h]])</f>
        <v/>
      </c>
      <c r="I1809" s="60">
        <f>IF(AND(tblFleet[[#This Row],[Units]]&lt;&gt;"",tblFleet[[#This Row],[Calendar_h]]&gt;0),tblFleet[[#This Row],[Available_h]]/tblFleet[[#This Row],[Calendar_h]],"")</f>
        <v/>
      </c>
      <c r="J1809" s="60">
        <f>IF(AND(tblFleet[[#This Row],[Units]]&lt;&gt;"",tblFleet[[#This Row],[Available_h]]&gt;0),tblFleet[[#This Row],[Operating_h]]/tblFleet[[#This Row],[Available_h]],"")</f>
        <v/>
      </c>
    </row>
    <row r="1810">
      <c r="A1810" s="54" t="n"/>
      <c r="B1810" s="61" t="n"/>
      <c r="C1810" s="62" t="n"/>
      <c r="D1810" s="57" t="n"/>
      <c r="E1810" s="57" t="n"/>
      <c r="F1810" s="58" t="n"/>
      <c r="G1810" s="66">
        <f>IF(tblFleet[[#This Row],[Units]]="","",tblFleet[[#This Row],[Units]]*24)</f>
        <v/>
      </c>
      <c r="H1810" s="66">
        <f>IF(tblFleet[[#This Row],[Units]]="","",tblFleet[[#This Row],[Calendar_h]]-tblFleet[[#This Row],[Down_h]])</f>
        <v/>
      </c>
      <c r="I1810" s="60">
        <f>IF(AND(tblFleet[[#This Row],[Units]]&lt;&gt;"",tblFleet[[#This Row],[Calendar_h]]&gt;0),tblFleet[[#This Row],[Available_h]]/tblFleet[[#This Row],[Calendar_h]],"")</f>
        <v/>
      </c>
      <c r="J1810" s="60">
        <f>IF(AND(tblFleet[[#This Row],[Units]]&lt;&gt;"",tblFleet[[#This Row],[Available_h]]&gt;0),tblFleet[[#This Row],[Operating_h]]/tblFleet[[#This Row],[Available_h]],"")</f>
        <v/>
      </c>
    </row>
    <row r="1811">
      <c r="A1811" s="54" t="n"/>
      <c r="B1811" s="61" t="n"/>
      <c r="C1811" s="62" t="n"/>
      <c r="D1811" s="57" t="n"/>
      <c r="E1811" s="57" t="n"/>
      <c r="F1811" s="58" t="n"/>
      <c r="G1811" s="66">
        <f>IF(tblFleet[[#This Row],[Units]]="","",tblFleet[[#This Row],[Units]]*24)</f>
        <v/>
      </c>
      <c r="H1811" s="66">
        <f>IF(tblFleet[[#This Row],[Units]]="","",tblFleet[[#This Row],[Calendar_h]]-tblFleet[[#This Row],[Down_h]])</f>
        <v/>
      </c>
      <c r="I1811" s="60">
        <f>IF(AND(tblFleet[[#This Row],[Units]]&lt;&gt;"",tblFleet[[#This Row],[Calendar_h]]&gt;0),tblFleet[[#This Row],[Available_h]]/tblFleet[[#This Row],[Calendar_h]],"")</f>
        <v/>
      </c>
      <c r="J1811" s="60">
        <f>IF(AND(tblFleet[[#This Row],[Units]]&lt;&gt;"",tblFleet[[#This Row],[Available_h]]&gt;0),tblFleet[[#This Row],[Operating_h]]/tblFleet[[#This Row],[Available_h]],"")</f>
        <v/>
      </c>
    </row>
    <row r="1812">
      <c r="A1812" s="54" t="n"/>
      <c r="B1812" s="61" t="n"/>
      <c r="C1812" s="62" t="n"/>
      <c r="D1812" s="57" t="n"/>
      <c r="E1812" s="57" t="n"/>
      <c r="F1812" s="58" t="n"/>
      <c r="G1812" s="66">
        <f>IF(tblFleet[[#This Row],[Units]]="","",tblFleet[[#This Row],[Units]]*24)</f>
        <v/>
      </c>
      <c r="H1812" s="66">
        <f>IF(tblFleet[[#This Row],[Units]]="","",tblFleet[[#This Row],[Calendar_h]]-tblFleet[[#This Row],[Down_h]])</f>
        <v/>
      </c>
      <c r="I1812" s="60">
        <f>IF(AND(tblFleet[[#This Row],[Units]]&lt;&gt;"",tblFleet[[#This Row],[Calendar_h]]&gt;0),tblFleet[[#This Row],[Available_h]]/tblFleet[[#This Row],[Calendar_h]],"")</f>
        <v/>
      </c>
      <c r="J1812" s="60">
        <f>IF(AND(tblFleet[[#This Row],[Units]]&lt;&gt;"",tblFleet[[#This Row],[Available_h]]&gt;0),tblFleet[[#This Row],[Operating_h]]/tblFleet[[#This Row],[Available_h]],"")</f>
        <v/>
      </c>
    </row>
    <row r="1813">
      <c r="A1813" s="54" t="n"/>
      <c r="B1813" s="61" t="n"/>
      <c r="C1813" s="62" t="n"/>
      <c r="D1813" s="57" t="n"/>
      <c r="E1813" s="57" t="n"/>
      <c r="F1813" s="58" t="n"/>
      <c r="G1813" s="66">
        <f>IF(tblFleet[[#This Row],[Units]]="","",tblFleet[[#This Row],[Units]]*24)</f>
        <v/>
      </c>
      <c r="H1813" s="66">
        <f>IF(tblFleet[[#This Row],[Units]]="","",tblFleet[[#This Row],[Calendar_h]]-tblFleet[[#This Row],[Down_h]])</f>
        <v/>
      </c>
      <c r="I1813" s="60">
        <f>IF(AND(tblFleet[[#This Row],[Units]]&lt;&gt;"",tblFleet[[#This Row],[Calendar_h]]&gt;0),tblFleet[[#This Row],[Available_h]]/tblFleet[[#This Row],[Calendar_h]],"")</f>
        <v/>
      </c>
      <c r="J1813" s="60">
        <f>IF(AND(tblFleet[[#This Row],[Units]]&lt;&gt;"",tblFleet[[#This Row],[Available_h]]&gt;0),tblFleet[[#This Row],[Operating_h]]/tblFleet[[#This Row],[Available_h]],"")</f>
        <v/>
      </c>
    </row>
    <row r="1814">
      <c r="A1814" s="54" t="n"/>
      <c r="B1814" s="61" t="n"/>
      <c r="C1814" s="62" t="n"/>
      <c r="D1814" s="57" t="n"/>
      <c r="E1814" s="57" t="n"/>
      <c r="F1814" s="58" t="n"/>
      <c r="G1814" s="66">
        <f>IF(tblFleet[[#This Row],[Units]]="","",tblFleet[[#This Row],[Units]]*24)</f>
        <v/>
      </c>
      <c r="H1814" s="66">
        <f>IF(tblFleet[[#This Row],[Units]]="","",tblFleet[[#This Row],[Calendar_h]]-tblFleet[[#This Row],[Down_h]])</f>
        <v/>
      </c>
      <c r="I1814" s="60">
        <f>IF(AND(tblFleet[[#This Row],[Units]]&lt;&gt;"",tblFleet[[#This Row],[Calendar_h]]&gt;0),tblFleet[[#This Row],[Available_h]]/tblFleet[[#This Row],[Calendar_h]],"")</f>
        <v/>
      </c>
      <c r="J1814" s="60">
        <f>IF(AND(tblFleet[[#This Row],[Units]]&lt;&gt;"",tblFleet[[#This Row],[Available_h]]&gt;0),tblFleet[[#This Row],[Operating_h]]/tblFleet[[#This Row],[Available_h]],"")</f>
        <v/>
      </c>
    </row>
    <row r="1815">
      <c r="A1815" s="54" t="n"/>
      <c r="B1815" s="61" t="n"/>
      <c r="C1815" s="62" t="n"/>
      <c r="D1815" s="57" t="n"/>
      <c r="E1815" s="57" t="n"/>
      <c r="F1815" s="58" t="n"/>
      <c r="G1815" s="66">
        <f>IF(tblFleet[[#This Row],[Units]]="","",tblFleet[[#This Row],[Units]]*24)</f>
        <v/>
      </c>
      <c r="H1815" s="66">
        <f>IF(tblFleet[[#This Row],[Units]]="","",tblFleet[[#This Row],[Calendar_h]]-tblFleet[[#This Row],[Down_h]])</f>
        <v/>
      </c>
      <c r="I1815" s="60">
        <f>IF(AND(tblFleet[[#This Row],[Units]]&lt;&gt;"",tblFleet[[#This Row],[Calendar_h]]&gt;0),tblFleet[[#This Row],[Available_h]]/tblFleet[[#This Row],[Calendar_h]],"")</f>
        <v/>
      </c>
      <c r="J1815" s="60">
        <f>IF(AND(tblFleet[[#This Row],[Units]]&lt;&gt;"",tblFleet[[#This Row],[Available_h]]&gt;0),tblFleet[[#This Row],[Operating_h]]/tblFleet[[#This Row],[Available_h]],"")</f>
        <v/>
      </c>
    </row>
    <row r="1816">
      <c r="A1816" s="54" t="n"/>
      <c r="B1816" s="61" t="n"/>
      <c r="C1816" s="62" t="n"/>
      <c r="D1816" s="57" t="n"/>
      <c r="E1816" s="57" t="n"/>
      <c r="F1816" s="58" t="n"/>
      <c r="G1816" s="66">
        <f>IF(tblFleet[[#This Row],[Units]]="","",tblFleet[[#This Row],[Units]]*24)</f>
        <v/>
      </c>
      <c r="H1816" s="66">
        <f>IF(tblFleet[[#This Row],[Units]]="","",tblFleet[[#This Row],[Calendar_h]]-tblFleet[[#This Row],[Down_h]])</f>
        <v/>
      </c>
      <c r="I1816" s="60">
        <f>IF(AND(tblFleet[[#This Row],[Units]]&lt;&gt;"",tblFleet[[#This Row],[Calendar_h]]&gt;0),tblFleet[[#This Row],[Available_h]]/tblFleet[[#This Row],[Calendar_h]],"")</f>
        <v/>
      </c>
      <c r="J1816" s="60">
        <f>IF(AND(tblFleet[[#This Row],[Units]]&lt;&gt;"",tblFleet[[#This Row],[Available_h]]&gt;0),tblFleet[[#This Row],[Operating_h]]/tblFleet[[#This Row],[Available_h]],"")</f>
        <v/>
      </c>
    </row>
    <row r="1817">
      <c r="A1817" s="54" t="n"/>
      <c r="B1817" s="61" t="n"/>
      <c r="C1817" s="62" t="n"/>
      <c r="D1817" s="57" t="n"/>
      <c r="E1817" s="57" t="n"/>
      <c r="F1817" s="58" t="n"/>
      <c r="G1817" s="66">
        <f>IF(tblFleet[[#This Row],[Units]]="","",tblFleet[[#This Row],[Units]]*24)</f>
        <v/>
      </c>
      <c r="H1817" s="66">
        <f>IF(tblFleet[[#This Row],[Units]]="","",tblFleet[[#This Row],[Calendar_h]]-tblFleet[[#This Row],[Down_h]])</f>
        <v/>
      </c>
      <c r="I1817" s="60">
        <f>IF(AND(tblFleet[[#This Row],[Units]]&lt;&gt;"",tblFleet[[#This Row],[Calendar_h]]&gt;0),tblFleet[[#This Row],[Available_h]]/tblFleet[[#This Row],[Calendar_h]],"")</f>
        <v/>
      </c>
      <c r="J1817" s="60">
        <f>IF(AND(tblFleet[[#This Row],[Units]]&lt;&gt;"",tblFleet[[#This Row],[Available_h]]&gt;0),tblFleet[[#This Row],[Operating_h]]/tblFleet[[#This Row],[Available_h]],"")</f>
        <v/>
      </c>
    </row>
    <row r="1818">
      <c r="A1818" s="54" t="n"/>
      <c r="B1818" s="61" t="n"/>
      <c r="C1818" s="62" t="n"/>
      <c r="D1818" s="57" t="n"/>
      <c r="E1818" s="57" t="n"/>
      <c r="F1818" s="58" t="n"/>
      <c r="G1818" s="66">
        <f>IF(tblFleet[[#This Row],[Units]]="","",tblFleet[[#This Row],[Units]]*24)</f>
        <v/>
      </c>
      <c r="H1818" s="66">
        <f>IF(tblFleet[[#This Row],[Units]]="","",tblFleet[[#This Row],[Calendar_h]]-tblFleet[[#This Row],[Down_h]])</f>
        <v/>
      </c>
      <c r="I1818" s="60">
        <f>IF(AND(tblFleet[[#This Row],[Units]]&lt;&gt;"",tblFleet[[#This Row],[Calendar_h]]&gt;0),tblFleet[[#This Row],[Available_h]]/tblFleet[[#This Row],[Calendar_h]],"")</f>
        <v/>
      </c>
      <c r="J1818" s="60">
        <f>IF(AND(tblFleet[[#This Row],[Units]]&lt;&gt;"",tblFleet[[#This Row],[Available_h]]&gt;0),tblFleet[[#This Row],[Operating_h]]/tblFleet[[#This Row],[Available_h]],"")</f>
        <v/>
      </c>
    </row>
    <row r="1819">
      <c r="A1819" s="54" t="n"/>
      <c r="B1819" s="61" t="n"/>
      <c r="C1819" s="62" t="n"/>
      <c r="D1819" s="57" t="n"/>
      <c r="E1819" s="57" t="n"/>
      <c r="F1819" s="58" t="n"/>
      <c r="G1819" s="66">
        <f>IF(tblFleet[[#This Row],[Units]]="","",tblFleet[[#This Row],[Units]]*24)</f>
        <v/>
      </c>
      <c r="H1819" s="66">
        <f>IF(tblFleet[[#This Row],[Units]]="","",tblFleet[[#This Row],[Calendar_h]]-tblFleet[[#This Row],[Down_h]])</f>
        <v/>
      </c>
      <c r="I1819" s="60">
        <f>IF(AND(tblFleet[[#This Row],[Units]]&lt;&gt;"",tblFleet[[#This Row],[Calendar_h]]&gt;0),tblFleet[[#This Row],[Available_h]]/tblFleet[[#This Row],[Calendar_h]],"")</f>
        <v/>
      </c>
      <c r="J1819" s="60">
        <f>IF(AND(tblFleet[[#This Row],[Units]]&lt;&gt;"",tblFleet[[#This Row],[Available_h]]&gt;0),tblFleet[[#This Row],[Operating_h]]/tblFleet[[#This Row],[Available_h]],"")</f>
        <v/>
      </c>
    </row>
    <row r="1820">
      <c r="A1820" s="54" t="n"/>
      <c r="B1820" s="61" t="n"/>
      <c r="C1820" s="62" t="n"/>
      <c r="D1820" s="57" t="n"/>
      <c r="E1820" s="57" t="n"/>
      <c r="F1820" s="58" t="n"/>
      <c r="G1820" s="66">
        <f>IF(tblFleet[[#This Row],[Units]]="","",tblFleet[[#This Row],[Units]]*24)</f>
        <v/>
      </c>
      <c r="H1820" s="66">
        <f>IF(tblFleet[[#This Row],[Units]]="","",tblFleet[[#This Row],[Calendar_h]]-tblFleet[[#This Row],[Down_h]])</f>
        <v/>
      </c>
      <c r="I1820" s="60">
        <f>IF(AND(tblFleet[[#This Row],[Units]]&lt;&gt;"",tblFleet[[#This Row],[Calendar_h]]&gt;0),tblFleet[[#This Row],[Available_h]]/tblFleet[[#This Row],[Calendar_h]],"")</f>
        <v/>
      </c>
      <c r="J1820" s="60">
        <f>IF(AND(tblFleet[[#This Row],[Units]]&lt;&gt;"",tblFleet[[#This Row],[Available_h]]&gt;0),tblFleet[[#This Row],[Operating_h]]/tblFleet[[#This Row],[Available_h]],"")</f>
        <v/>
      </c>
    </row>
    <row r="1821">
      <c r="A1821" s="54" t="n"/>
      <c r="B1821" s="61" t="n"/>
      <c r="C1821" s="62" t="n"/>
      <c r="D1821" s="57" t="n"/>
      <c r="E1821" s="57" t="n"/>
      <c r="F1821" s="58" t="n"/>
      <c r="G1821" s="66">
        <f>IF(tblFleet[[#This Row],[Units]]="","",tblFleet[[#This Row],[Units]]*24)</f>
        <v/>
      </c>
      <c r="H1821" s="66">
        <f>IF(tblFleet[[#This Row],[Units]]="","",tblFleet[[#This Row],[Calendar_h]]-tblFleet[[#This Row],[Down_h]])</f>
        <v/>
      </c>
      <c r="I1821" s="60">
        <f>IF(AND(tblFleet[[#This Row],[Units]]&lt;&gt;"",tblFleet[[#This Row],[Calendar_h]]&gt;0),tblFleet[[#This Row],[Available_h]]/tblFleet[[#This Row],[Calendar_h]],"")</f>
        <v/>
      </c>
      <c r="J1821" s="60">
        <f>IF(AND(tblFleet[[#This Row],[Units]]&lt;&gt;"",tblFleet[[#This Row],[Available_h]]&gt;0),tblFleet[[#This Row],[Operating_h]]/tblFleet[[#This Row],[Available_h]],"")</f>
        <v/>
      </c>
    </row>
    <row r="1822">
      <c r="A1822" s="54" t="n"/>
      <c r="B1822" s="61" t="n"/>
      <c r="C1822" s="62" t="n"/>
      <c r="D1822" s="57" t="n"/>
      <c r="E1822" s="57" t="n"/>
      <c r="F1822" s="58" t="n"/>
      <c r="G1822" s="66">
        <f>IF(tblFleet[[#This Row],[Units]]="","",tblFleet[[#This Row],[Units]]*24)</f>
        <v/>
      </c>
      <c r="H1822" s="66">
        <f>IF(tblFleet[[#This Row],[Units]]="","",tblFleet[[#This Row],[Calendar_h]]-tblFleet[[#This Row],[Down_h]])</f>
        <v/>
      </c>
      <c r="I1822" s="60">
        <f>IF(AND(tblFleet[[#This Row],[Units]]&lt;&gt;"",tblFleet[[#This Row],[Calendar_h]]&gt;0),tblFleet[[#This Row],[Available_h]]/tblFleet[[#This Row],[Calendar_h]],"")</f>
        <v/>
      </c>
      <c r="J1822" s="60">
        <f>IF(AND(tblFleet[[#This Row],[Units]]&lt;&gt;"",tblFleet[[#This Row],[Available_h]]&gt;0),tblFleet[[#This Row],[Operating_h]]/tblFleet[[#This Row],[Available_h]],"")</f>
        <v/>
      </c>
    </row>
    <row r="1823">
      <c r="A1823" s="54" t="n"/>
      <c r="B1823" s="61" t="n"/>
      <c r="C1823" s="62" t="n"/>
      <c r="D1823" s="57" t="n"/>
      <c r="E1823" s="57" t="n"/>
      <c r="F1823" s="58" t="n"/>
      <c r="G1823" s="66">
        <f>IF(tblFleet[[#This Row],[Units]]="","",tblFleet[[#This Row],[Units]]*24)</f>
        <v/>
      </c>
      <c r="H1823" s="66">
        <f>IF(tblFleet[[#This Row],[Units]]="","",tblFleet[[#This Row],[Calendar_h]]-tblFleet[[#This Row],[Down_h]])</f>
        <v/>
      </c>
      <c r="I1823" s="60">
        <f>IF(AND(tblFleet[[#This Row],[Units]]&lt;&gt;"",tblFleet[[#This Row],[Calendar_h]]&gt;0),tblFleet[[#This Row],[Available_h]]/tblFleet[[#This Row],[Calendar_h]],"")</f>
        <v/>
      </c>
      <c r="J1823" s="60">
        <f>IF(AND(tblFleet[[#This Row],[Units]]&lt;&gt;"",tblFleet[[#This Row],[Available_h]]&gt;0),tblFleet[[#This Row],[Operating_h]]/tblFleet[[#This Row],[Available_h]],"")</f>
        <v/>
      </c>
    </row>
    <row r="1824">
      <c r="A1824" s="54" t="n"/>
      <c r="B1824" s="61" t="n"/>
      <c r="C1824" s="62" t="n"/>
      <c r="D1824" s="57" t="n"/>
      <c r="E1824" s="57" t="n"/>
      <c r="F1824" s="58" t="n"/>
      <c r="G1824" s="66">
        <f>IF(tblFleet[[#This Row],[Units]]="","",tblFleet[[#This Row],[Units]]*24)</f>
        <v/>
      </c>
      <c r="H1824" s="66">
        <f>IF(tblFleet[[#This Row],[Units]]="","",tblFleet[[#This Row],[Calendar_h]]-tblFleet[[#This Row],[Down_h]])</f>
        <v/>
      </c>
      <c r="I1824" s="60">
        <f>IF(AND(tblFleet[[#This Row],[Units]]&lt;&gt;"",tblFleet[[#This Row],[Calendar_h]]&gt;0),tblFleet[[#This Row],[Available_h]]/tblFleet[[#This Row],[Calendar_h]],"")</f>
        <v/>
      </c>
      <c r="J1824" s="60">
        <f>IF(AND(tblFleet[[#This Row],[Units]]&lt;&gt;"",tblFleet[[#This Row],[Available_h]]&gt;0),tblFleet[[#This Row],[Operating_h]]/tblFleet[[#This Row],[Available_h]],"")</f>
        <v/>
      </c>
    </row>
    <row r="1825">
      <c r="A1825" s="54" t="n"/>
      <c r="B1825" s="61" t="n"/>
      <c r="C1825" s="62" t="n"/>
      <c r="D1825" s="57" t="n"/>
      <c r="E1825" s="57" t="n"/>
      <c r="F1825" s="58" t="n"/>
      <c r="G1825" s="66">
        <f>IF(tblFleet[[#This Row],[Units]]="","",tblFleet[[#This Row],[Units]]*24)</f>
        <v/>
      </c>
      <c r="H1825" s="66">
        <f>IF(tblFleet[[#This Row],[Units]]="","",tblFleet[[#This Row],[Calendar_h]]-tblFleet[[#This Row],[Down_h]])</f>
        <v/>
      </c>
      <c r="I1825" s="60">
        <f>IF(AND(tblFleet[[#This Row],[Units]]&lt;&gt;"",tblFleet[[#This Row],[Calendar_h]]&gt;0),tblFleet[[#This Row],[Available_h]]/tblFleet[[#This Row],[Calendar_h]],"")</f>
        <v/>
      </c>
      <c r="J1825" s="60">
        <f>IF(AND(tblFleet[[#This Row],[Units]]&lt;&gt;"",tblFleet[[#This Row],[Available_h]]&gt;0),tblFleet[[#This Row],[Operating_h]]/tblFleet[[#This Row],[Available_h]],"")</f>
        <v/>
      </c>
    </row>
    <row r="1826">
      <c r="A1826" s="54" t="n"/>
      <c r="B1826" s="61" t="n"/>
      <c r="C1826" s="62" t="n"/>
      <c r="D1826" s="57" t="n"/>
      <c r="E1826" s="57" t="n"/>
      <c r="F1826" s="58" t="n"/>
      <c r="G1826" s="66">
        <f>IF(tblFleet[[#This Row],[Units]]="","",tblFleet[[#This Row],[Units]]*24)</f>
        <v/>
      </c>
      <c r="H1826" s="66">
        <f>IF(tblFleet[[#This Row],[Units]]="","",tblFleet[[#This Row],[Calendar_h]]-tblFleet[[#This Row],[Down_h]])</f>
        <v/>
      </c>
      <c r="I1826" s="60">
        <f>IF(AND(tblFleet[[#This Row],[Units]]&lt;&gt;"",tblFleet[[#This Row],[Calendar_h]]&gt;0),tblFleet[[#This Row],[Available_h]]/tblFleet[[#This Row],[Calendar_h]],"")</f>
        <v/>
      </c>
      <c r="J1826" s="60">
        <f>IF(AND(tblFleet[[#This Row],[Units]]&lt;&gt;"",tblFleet[[#This Row],[Available_h]]&gt;0),tblFleet[[#This Row],[Operating_h]]/tblFleet[[#This Row],[Available_h]],"")</f>
        <v/>
      </c>
    </row>
    <row r="1827">
      <c r="A1827" s="54" t="n"/>
      <c r="B1827" s="61" t="n"/>
      <c r="C1827" s="62" t="n"/>
      <c r="D1827" s="57" t="n"/>
      <c r="E1827" s="57" t="n"/>
      <c r="F1827" s="58" t="n"/>
      <c r="G1827" s="66">
        <f>IF(tblFleet[[#This Row],[Units]]="","",tblFleet[[#This Row],[Units]]*24)</f>
        <v/>
      </c>
      <c r="H1827" s="66">
        <f>IF(tblFleet[[#This Row],[Units]]="","",tblFleet[[#This Row],[Calendar_h]]-tblFleet[[#This Row],[Down_h]])</f>
        <v/>
      </c>
      <c r="I1827" s="60">
        <f>IF(AND(tblFleet[[#This Row],[Units]]&lt;&gt;"",tblFleet[[#This Row],[Calendar_h]]&gt;0),tblFleet[[#This Row],[Available_h]]/tblFleet[[#This Row],[Calendar_h]],"")</f>
        <v/>
      </c>
      <c r="J1827" s="60">
        <f>IF(AND(tblFleet[[#This Row],[Units]]&lt;&gt;"",tblFleet[[#This Row],[Available_h]]&gt;0),tblFleet[[#This Row],[Operating_h]]/tblFleet[[#This Row],[Available_h]],"")</f>
        <v/>
      </c>
    </row>
    <row r="1828">
      <c r="A1828" s="54" t="n"/>
      <c r="B1828" s="61" t="n"/>
      <c r="C1828" s="62" t="n"/>
      <c r="D1828" s="57" t="n"/>
      <c r="E1828" s="57" t="n"/>
      <c r="F1828" s="58" t="n"/>
      <c r="G1828" s="66">
        <f>IF(tblFleet[[#This Row],[Units]]="","",tblFleet[[#This Row],[Units]]*24)</f>
        <v/>
      </c>
      <c r="H1828" s="66">
        <f>IF(tblFleet[[#This Row],[Units]]="","",tblFleet[[#This Row],[Calendar_h]]-tblFleet[[#This Row],[Down_h]])</f>
        <v/>
      </c>
      <c r="I1828" s="60">
        <f>IF(AND(tblFleet[[#This Row],[Units]]&lt;&gt;"",tblFleet[[#This Row],[Calendar_h]]&gt;0),tblFleet[[#This Row],[Available_h]]/tblFleet[[#This Row],[Calendar_h]],"")</f>
        <v/>
      </c>
      <c r="J1828" s="60">
        <f>IF(AND(tblFleet[[#This Row],[Units]]&lt;&gt;"",tblFleet[[#This Row],[Available_h]]&gt;0),tblFleet[[#This Row],[Operating_h]]/tblFleet[[#This Row],[Available_h]],"")</f>
        <v/>
      </c>
    </row>
    <row r="1829">
      <c r="A1829" s="54" t="n"/>
      <c r="B1829" s="61" t="n"/>
      <c r="C1829" s="62" t="n"/>
      <c r="D1829" s="57" t="n"/>
      <c r="E1829" s="57" t="n"/>
      <c r="F1829" s="58" t="n"/>
      <c r="G1829" s="66">
        <f>IF(tblFleet[[#This Row],[Units]]="","",tblFleet[[#This Row],[Units]]*24)</f>
        <v/>
      </c>
      <c r="H1829" s="66">
        <f>IF(tblFleet[[#This Row],[Units]]="","",tblFleet[[#This Row],[Calendar_h]]-tblFleet[[#This Row],[Down_h]])</f>
        <v/>
      </c>
      <c r="I1829" s="60">
        <f>IF(AND(tblFleet[[#This Row],[Units]]&lt;&gt;"",tblFleet[[#This Row],[Calendar_h]]&gt;0),tblFleet[[#This Row],[Available_h]]/tblFleet[[#This Row],[Calendar_h]],"")</f>
        <v/>
      </c>
      <c r="J1829" s="60">
        <f>IF(AND(tblFleet[[#This Row],[Units]]&lt;&gt;"",tblFleet[[#This Row],[Available_h]]&gt;0),tblFleet[[#This Row],[Operating_h]]/tblFleet[[#This Row],[Available_h]],"")</f>
        <v/>
      </c>
    </row>
    <row r="1830">
      <c r="A1830" s="54" t="n"/>
      <c r="B1830" s="61" t="n"/>
      <c r="C1830" s="62" t="n"/>
      <c r="D1830" s="57" t="n"/>
      <c r="E1830" s="57" t="n"/>
      <c r="F1830" s="58" t="n"/>
      <c r="G1830" s="66">
        <f>IF(tblFleet[[#This Row],[Units]]="","",tblFleet[[#This Row],[Units]]*24)</f>
        <v/>
      </c>
      <c r="H1830" s="66">
        <f>IF(tblFleet[[#This Row],[Units]]="","",tblFleet[[#This Row],[Calendar_h]]-tblFleet[[#This Row],[Down_h]])</f>
        <v/>
      </c>
      <c r="I1830" s="60">
        <f>IF(AND(tblFleet[[#This Row],[Units]]&lt;&gt;"",tblFleet[[#This Row],[Calendar_h]]&gt;0),tblFleet[[#This Row],[Available_h]]/tblFleet[[#This Row],[Calendar_h]],"")</f>
        <v/>
      </c>
      <c r="J1830" s="60">
        <f>IF(AND(tblFleet[[#This Row],[Units]]&lt;&gt;"",tblFleet[[#This Row],[Available_h]]&gt;0),tblFleet[[#This Row],[Operating_h]]/tblFleet[[#This Row],[Available_h]],"")</f>
        <v/>
      </c>
    </row>
    <row r="1831">
      <c r="A1831" s="54" t="n"/>
      <c r="B1831" s="61" t="n"/>
      <c r="C1831" s="62" t="n"/>
      <c r="D1831" s="57" t="n"/>
      <c r="E1831" s="57" t="n"/>
      <c r="F1831" s="58" t="n"/>
      <c r="G1831" s="66">
        <f>IF(tblFleet[[#This Row],[Units]]="","",tblFleet[[#This Row],[Units]]*24)</f>
        <v/>
      </c>
      <c r="H1831" s="66">
        <f>IF(tblFleet[[#This Row],[Units]]="","",tblFleet[[#This Row],[Calendar_h]]-tblFleet[[#This Row],[Down_h]])</f>
        <v/>
      </c>
      <c r="I1831" s="60">
        <f>IF(AND(tblFleet[[#This Row],[Units]]&lt;&gt;"",tblFleet[[#This Row],[Calendar_h]]&gt;0),tblFleet[[#This Row],[Available_h]]/tblFleet[[#This Row],[Calendar_h]],"")</f>
        <v/>
      </c>
      <c r="J1831" s="60">
        <f>IF(AND(tblFleet[[#This Row],[Units]]&lt;&gt;"",tblFleet[[#This Row],[Available_h]]&gt;0),tblFleet[[#This Row],[Operating_h]]/tblFleet[[#This Row],[Available_h]],"")</f>
        <v/>
      </c>
    </row>
    <row r="1832">
      <c r="A1832" s="54" t="n"/>
      <c r="B1832" s="61" t="n"/>
      <c r="C1832" s="62" t="n"/>
      <c r="D1832" s="57" t="n"/>
      <c r="E1832" s="57" t="n"/>
      <c r="F1832" s="58" t="n"/>
      <c r="G1832" s="66">
        <f>IF(tblFleet[[#This Row],[Units]]="","",tblFleet[[#This Row],[Units]]*24)</f>
        <v/>
      </c>
      <c r="H1832" s="66">
        <f>IF(tblFleet[[#This Row],[Units]]="","",tblFleet[[#This Row],[Calendar_h]]-tblFleet[[#This Row],[Down_h]])</f>
        <v/>
      </c>
      <c r="I1832" s="60">
        <f>IF(AND(tblFleet[[#This Row],[Units]]&lt;&gt;"",tblFleet[[#This Row],[Calendar_h]]&gt;0),tblFleet[[#This Row],[Available_h]]/tblFleet[[#This Row],[Calendar_h]],"")</f>
        <v/>
      </c>
      <c r="J1832" s="60">
        <f>IF(AND(tblFleet[[#This Row],[Units]]&lt;&gt;"",tblFleet[[#This Row],[Available_h]]&gt;0),tblFleet[[#This Row],[Operating_h]]/tblFleet[[#This Row],[Available_h]],"")</f>
        <v/>
      </c>
    </row>
    <row r="1833">
      <c r="A1833" s="54" t="n"/>
      <c r="B1833" s="61" t="n"/>
      <c r="C1833" s="62" t="n"/>
      <c r="D1833" s="57" t="n"/>
      <c r="E1833" s="57" t="n"/>
      <c r="F1833" s="58" t="n"/>
      <c r="G1833" s="66">
        <f>IF(tblFleet[[#This Row],[Units]]="","",tblFleet[[#This Row],[Units]]*24)</f>
        <v/>
      </c>
      <c r="H1833" s="66">
        <f>IF(tblFleet[[#This Row],[Units]]="","",tblFleet[[#This Row],[Calendar_h]]-tblFleet[[#This Row],[Down_h]])</f>
        <v/>
      </c>
      <c r="I1833" s="60">
        <f>IF(AND(tblFleet[[#This Row],[Units]]&lt;&gt;"",tblFleet[[#This Row],[Calendar_h]]&gt;0),tblFleet[[#This Row],[Available_h]]/tblFleet[[#This Row],[Calendar_h]],"")</f>
        <v/>
      </c>
      <c r="J1833" s="60">
        <f>IF(AND(tblFleet[[#This Row],[Units]]&lt;&gt;"",tblFleet[[#This Row],[Available_h]]&gt;0),tblFleet[[#This Row],[Operating_h]]/tblFleet[[#This Row],[Available_h]],"")</f>
        <v/>
      </c>
    </row>
    <row r="1834">
      <c r="A1834" s="54" t="n"/>
      <c r="B1834" s="61" t="n"/>
      <c r="C1834" s="62" t="n"/>
      <c r="D1834" s="57" t="n"/>
      <c r="E1834" s="57" t="n"/>
      <c r="F1834" s="58" t="n"/>
      <c r="G1834" s="66">
        <f>IF(tblFleet[[#This Row],[Units]]="","",tblFleet[[#This Row],[Units]]*24)</f>
        <v/>
      </c>
      <c r="H1834" s="66">
        <f>IF(tblFleet[[#This Row],[Units]]="","",tblFleet[[#This Row],[Calendar_h]]-tblFleet[[#This Row],[Down_h]])</f>
        <v/>
      </c>
      <c r="I1834" s="60">
        <f>IF(AND(tblFleet[[#This Row],[Units]]&lt;&gt;"",tblFleet[[#This Row],[Calendar_h]]&gt;0),tblFleet[[#This Row],[Available_h]]/tblFleet[[#This Row],[Calendar_h]],"")</f>
        <v/>
      </c>
      <c r="J1834" s="60">
        <f>IF(AND(tblFleet[[#This Row],[Units]]&lt;&gt;"",tblFleet[[#This Row],[Available_h]]&gt;0),tblFleet[[#This Row],[Operating_h]]/tblFleet[[#This Row],[Available_h]],"")</f>
        <v/>
      </c>
    </row>
    <row r="1835">
      <c r="A1835" s="54" t="n"/>
      <c r="B1835" s="61" t="n"/>
      <c r="C1835" s="62" t="n"/>
      <c r="D1835" s="57" t="n"/>
      <c r="E1835" s="57" t="n"/>
      <c r="F1835" s="58" t="n"/>
      <c r="G1835" s="66">
        <f>IF(tblFleet[[#This Row],[Units]]="","",tblFleet[[#This Row],[Units]]*24)</f>
        <v/>
      </c>
      <c r="H1835" s="66">
        <f>IF(tblFleet[[#This Row],[Units]]="","",tblFleet[[#This Row],[Calendar_h]]-tblFleet[[#This Row],[Down_h]])</f>
        <v/>
      </c>
      <c r="I1835" s="60">
        <f>IF(AND(tblFleet[[#This Row],[Units]]&lt;&gt;"",tblFleet[[#This Row],[Calendar_h]]&gt;0),tblFleet[[#This Row],[Available_h]]/tblFleet[[#This Row],[Calendar_h]],"")</f>
        <v/>
      </c>
      <c r="J1835" s="60">
        <f>IF(AND(tblFleet[[#This Row],[Units]]&lt;&gt;"",tblFleet[[#This Row],[Available_h]]&gt;0),tblFleet[[#This Row],[Operating_h]]/tblFleet[[#This Row],[Available_h]],"")</f>
        <v/>
      </c>
    </row>
    <row r="1836">
      <c r="A1836" s="54" t="n"/>
      <c r="B1836" s="61" t="n"/>
      <c r="C1836" s="62" t="n"/>
      <c r="D1836" s="57" t="n"/>
      <c r="E1836" s="57" t="n"/>
      <c r="F1836" s="58" t="n"/>
      <c r="G1836" s="66">
        <f>IF(tblFleet[[#This Row],[Units]]="","",tblFleet[[#This Row],[Units]]*24)</f>
        <v/>
      </c>
      <c r="H1836" s="66">
        <f>IF(tblFleet[[#This Row],[Units]]="","",tblFleet[[#This Row],[Calendar_h]]-tblFleet[[#This Row],[Down_h]])</f>
        <v/>
      </c>
      <c r="I1836" s="60">
        <f>IF(AND(tblFleet[[#This Row],[Units]]&lt;&gt;"",tblFleet[[#This Row],[Calendar_h]]&gt;0),tblFleet[[#This Row],[Available_h]]/tblFleet[[#This Row],[Calendar_h]],"")</f>
        <v/>
      </c>
      <c r="J1836" s="60">
        <f>IF(AND(tblFleet[[#This Row],[Units]]&lt;&gt;"",tblFleet[[#This Row],[Available_h]]&gt;0),tblFleet[[#This Row],[Operating_h]]/tblFleet[[#This Row],[Available_h]],"")</f>
        <v/>
      </c>
    </row>
    <row r="1837">
      <c r="A1837" s="54" t="n"/>
      <c r="B1837" s="61" t="n"/>
      <c r="C1837" s="62" t="n"/>
      <c r="D1837" s="57" t="n"/>
      <c r="E1837" s="57" t="n"/>
      <c r="F1837" s="58" t="n"/>
      <c r="G1837" s="66">
        <f>IF(tblFleet[[#This Row],[Units]]="","",tblFleet[[#This Row],[Units]]*24)</f>
        <v/>
      </c>
      <c r="H1837" s="66">
        <f>IF(tblFleet[[#This Row],[Units]]="","",tblFleet[[#This Row],[Calendar_h]]-tblFleet[[#This Row],[Down_h]])</f>
        <v/>
      </c>
      <c r="I1837" s="60">
        <f>IF(AND(tblFleet[[#This Row],[Units]]&lt;&gt;"",tblFleet[[#This Row],[Calendar_h]]&gt;0),tblFleet[[#This Row],[Available_h]]/tblFleet[[#This Row],[Calendar_h]],"")</f>
        <v/>
      </c>
      <c r="J1837" s="60">
        <f>IF(AND(tblFleet[[#This Row],[Units]]&lt;&gt;"",tblFleet[[#This Row],[Available_h]]&gt;0),tblFleet[[#This Row],[Operating_h]]/tblFleet[[#This Row],[Available_h]],"")</f>
        <v/>
      </c>
    </row>
    <row r="1838">
      <c r="A1838" s="54" t="n"/>
      <c r="B1838" s="61" t="n"/>
      <c r="C1838" s="62" t="n"/>
      <c r="D1838" s="57" t="n"/>
      <c r="E1838" s="57" t="n"/>
      <c r="F1838" s="58" t="n"/>
      <c r="G1838" s="66">
        <f>IF(tblFleet[[#This Row],[Units]]="","",tblFleet[[#This Row],[Units]]*24)</f>
        <v/>
      </c>
      <c r="H1838" s="66">
        <f>IF(tblFleet[[#This Row],[Units]]="","",tblFleet[[#This Row],[Calendar_h]]-tblFleet[[#This Row],[Down_h]])</f>
        <v/>
      </c>
      <c r="I1838" s="60">
        <f>IF(AND(tblFleet[[#This Row],[Units]]&lt;&gt;"",tblFleet[[#This Row],[Calendar_h]]&gt;0),tblFleet[[#This Row],[Available_h]]/tblFleet[[#This Row],[Calendar_h]],"")</f>
        <v/>
      </c>
      <c r="J1838" s="60">
        <f>IF(AND(tblFleet[[#This Row],[Units]]&lt;&gt;"",tblFleet[[#This Row],[Available_h]]&gt;0),tblFleet[[#This Row],[Operating_h]]/tblFleet[[#This Row],[Available_h]],"")</f>
        <v/>
      </c>
    </row>
    <row r="1839">
      <c r="A1839" s="54" t="n"/>
      <c r="B1839" s="61" t="n"/>
      <c r="C1839" s="62" t="n"/>
      <c r="D1839" s="57" t="n"/>
      <c r="E1839" s="57" t="n"/>
      <c r="F1839" s="58" t="n"/>
      <c r="G1839" s="66">
        <f>IF(tblFleet[[#This Row],[Units]]="","",tblFleet[[#This Row],[Units]]*24)</f>
        <v/>
      </c>
      <c r="H1839" s="66">
        <f>IF(tblFleet[[#This Row],[Units]]="","",tblFleet[[#This Row],[Calendar_h]]-tblFleet[[#This Row],[Down_h]])</f>
        <v/>
      </c>
      <c r="I1839" s="60">
        <f>IF(AND(tblFleet[[#This Row],[Units]]&lt;&gt;"",tblFleet[[#This Row],[Calendar_h]]&gt;0),tblFleet[[#This Row],[Available_h]]/tblFleet[[#This Row],[Calendar_h]],"")</f>
        <v/>
      </c>
      <c r="J1839" s="60">
        <f>IF(AND(tblFleet[[#This Row],[Units]]&lt;&gt;"",tblFleet[[#This Row],[Available_h]]&gt;0),tblFleet[[#This Row],[Operating_h]]/tblFleet[[#This Row],[Available_h]],"")</f>
        <v/>
      </c>
    </row>
    <row r="1840">
      <c r="A1840" s="54" t="n"/>
      <c r="B1840" s="61" t="n"/>
      <c r="C1840" s="62" t="n"/>
      <c r="D1840" s="57" t="n"/>
      <c r="E1840" s="57" t="n"/>
      <c r="F1840" s="58" t="n"/>
      <c r="G1840" s="66">
        <f>IF(tblFleet[[#This Row],[Units]]="","",tblFleet[[#This Row],[Units]]*24)</f>
        <v/>
      </c>
      <c r="H1840" s="66">
        <f>IF(tblFleet[[#This Row],[Units]]="","",tblFleet[[#This Row],[Calendar_h]]-tblFleet[[#This Row],[Down_h]])</f>
        <v/>
      </c>
      <c r="I1840" s="60">
        <f>IF(AND(tblFleet[[#This Row],[Units]]&lt;&gt;"",tblFleet[[#This Row],[Calendar_h]]&gt;0),tblFleet[[#This Row],[Available_h]]/tblFleet[[#This Row],[Calendar_h]],"")</f>
        <v/>
      </c>
      <c r="J1840" s="60">
        <f>IF(AND(tblFleet[[#This Row],[Units]]&lt;&gt;"",tblFleet[[#This Row],[Available_h]]&gt;0),tblFleet[[#This Row],[Operating_h]]/tblFleet[[#This Row],[Available_h]],"")</f>
        <v/>
      </c>
    </row>
    <row r="1841">
      <c r="A1841" s="54" t="n"/>
      <c r="B1841" s="61" t="n"/>
      <c r="C1841" s="62" t="n"/>
      <c r="D1841" s="57" t="n"/>
      <c r="E1841" s="57" t="n"/>
      <c r="F1841" s="58" t="n"/>
      <c r="G1841" s="66">
        <f>IF(tblFleet[[#This Row],[Units]]="","",tblFleet[[#This Row],[Units]]*24)</f>
        <v/>
      </c>
      <c r="H1841" s="66">
        <f>IF(tblFleet[[#This Row],[Units]]="","",tblFleet[[#This Row],[Calendar_h]]-tblFleet[[#This Row],[Down_h]])</f>
        <v/>
      </c>
      <c r="I1841" s="60">
        <f>IF(AND(tblFleet[[#This Row],[Units]]&lt;&gt;"",tblFleet[[#This Row],[Calendar_h]]&gt;0),tblFleet[[#This Row],[Available_h]]/tblFleet[[#This Row],[Calendar_h]],"")</f>
        <v/>
      </c>
      <c r="J1841" s="60">
        <f>IF(AND(tblFleet[[#This Row],[Units]]&lt;&gt;"",tblFleet[[#This Row],[Available_h]]&gt;0),tblFleet[[#This Row],[Operating_h]]/tblFleet[[#This Row],[Available_h]],"")</f>
        <v/>
      </c>
    </row>
    <row r="1842">
      <c r="A1842" s="54" t="n"/>
      <c r="B1842" s="61" t="n"/>
      <c r="C1842" s="62" t="n"/>
      <c r="D1842" s="57" t="n"/>
      <c r="E1842" s="57" t="n"/>
      <c r="F1842" s="58" t="n"/>
      <c r="G1842" s="66">
        <f>IF(tblFleet[[#This Row],[Units]]="","",tblFleet[[#This Row],[Units]]*24)</f>
        <v/>
      </c>
      <c r="H1842" s="66">
        <f>IF(tblFleet[[#This Row],[Units]]="","",tblFleet[[#This Row],[Calendar_h]]-tblFleet[[#This Row],[Down_h]])</f>
        <v/>
      </c>
      <c r="I1842" s="60">
        <f>IF(AND(tblFleet[[#This Row],[Units]]&lt;&gt;"",tblFleet[[#This Row],[Calendar_h]]&gt;0),tblFleet[[#This Row],[Available_h]]/tblFleet[[#This Row],[Calendar_h]],"")</f>
        <v/>
      </c>
      <c r="J1842" s="60">
        <f>IF(AND(tblFleet[[#This Row],[Units]]&lt;&gt;"",tblFleet[[#This Row],[Available_h]]&gt;0),tblFleet[[#This Row],[Operating_h]]/tblFleet[[#This Row],[Available_h]],"")</f>
        <v/>
      </c>
    </row>
    <row r="1843">
      <c r="A1843" s="54" t="n"/>
      <c r="B1843" s="61" t="n"/>
      <c r="C1843" s="62" t="n"/>
      <c r="D1843" s="57" t="n"/>
      <c r="E1843" s="57" t="n"/>
      <c r="F1843" s="58" t="n"/>
      <c r="G1843" s="66">
        <f>IF(tblFleet[[#This Row],[Units]]="","",tblFleet[[#This Row],[Units]]*24)</f>
        <v/>
      </c>
      <c r="H1843" s="66">
        <f>IF(tblFleet[[#This Row],[Units]]="","",tblFleet[[#This Row],[Calendar_h]]-tblFleet[[#This Row],[Down_h]])</f>
        <v/>
      </c>
      <c r="I1843" s="60">
        <f>IF(AND(tblFleet[[#This Row],[Units]]&lt;&gt;"",tblFleet[[#This Row],[Calendar_h]]&gt;0),tblFleet[[#This Row],[Available_h]]/tblFleet[[#This Row],[Calendar_h]],"")</f>
        <v/>
      </c>
      <c r="J1843" s="60">
        <f>IF(AND(tblFleet[[#This Row],[Units]]&lt;&gt;"",tblFleet[[#This Row],[Available_h]]&gt;0),tblFleet[[#This Row],[Operating_h]]/tblFleet[[#This Row],[Available_h]],"")</f>
        <v/>
      </c>
    </row>
    <row r="1844">
      <c r="A1844" s="54" t="n"/>
      <c r="B1844" s="61" t="n"/>
      <c r="C1844" s="62" t="n"/>
      <c r="D1844" s="57" t="n"/>
      <c r="E1844" s="57" t="n"/>
      <c r="F1844" s="58" t="n"/>
      <c r="G1844" s="66">
        <f>IF(tblFleet[[#This Row],[Units]]="","",tblFleet[[#This Row],[Units]]*24)</f>
        <v/>
      </c>
      <c r="H1844" s="66">
        <f>IF(tblFleet[[#This Row],[Units]]="","",tblFleet[[#This Row],[Calendar_h]]-tblFleet[[#This Row],[Down_h]])</f>
        <v/>
      </c>
      <c r="I1844" s="60">
        <f>IF(AND(tblFleet[[#This Row],[Units]]&lt;&gt;"",tblFleet[[#This Row],[Calendar_h]]&gt;0),tblFleet[[#This Row],[Available_h]]/tblFleet[[#This Row],[Calendar_h]],"")</f>
        <v/>
      </c>
      <c r="J1844" s="60">
        <f>IF(AND(tblFleet[[#This Row],[Units]]&lt;&gt;"",tblFleet[[#This Row],[Available_h]]&gt;0),tblFleet[[#This Row],[Operating_h]]/tblFleet[[#This Row],[Available_h]],"")</f>
        <v/>
      </c>
    </row>
    <row r="1845">
      <c r="A1845" s="54" t="n"/>
      <c r="B1845" s="61" t="n"/>
      <c r="C1845" s="62" t="n"/>
      <c r="D1845" s="57" t="n"/>
      <c r="E1845" s="57" t="n"/>
      <c r="F1845" s="58" t="n"/>
      <c r="G1845" s="66">
        <f>IF(tblFleet[[#This Row],[Units]]="","",tblFleet[[#This Row],[Units]]*24)</f>
        <v/>
      </c>
      <c r="H1845" s="66">
        <f>IF(tblFleet[[#This Row],[Units]]="","",tblFleet[[#This Row],[Calendar_h]]-tblFleet[[#This Row],[Down_h]])</f>
        <v/>
      </c>
      <c r="I1845" s="60">
        <f>IF(AND(tblFleet[[#This Row],[Units]]&lt;&gt;"",tblFleet[[#This Row],[Calendar_h]]&gt;0),tblFleet[[#This Row],[Available_h]]/tblFleet[[#This Row],[Calendar_h]],"")</f>
        <v/>
      </c>
      <c r="J1845" s="60">
        <f>IF(AND(tblFleet[[#This Row],[Units]]&lt;&gt;"",tblFleet[[#This Row],[Available_h]]&gt;0),tblFleet[[#This Row],[Operating_h]]/tblFleet[[#This Row],[Available_h]],"")</f>
        <v/>
      </c>
    </row>
    <row r="1846">
      <c r="A1846" s="54" t="n"/>
      <c r="B1846" s="61" t="n"/>
      <c r="C1846" s="62" t="n"/>
      <c r="D1846" s="57" t="n"/>
      <c r="E1846" s="57" t="n"/>
      <c r="F1846" s="58" t="n"/>
      <c r="G1846" s="66">
        <f>IF(tblFleet[[#This Row],[Units]]="","",tblFleet[[#This Row],[Units]]*24)</f>
        <v/>
      </c>
      <c r="H1846" s="66">
        <f>IF(tblFleet[[#This Row],[Units]]="","",tblFleet[[#This Row],[Calendar_h]]-tblFleet[[#This Row],[Down_h]])</f>
        <v/>
      </c>
      <c r="I1846" s="60">
        <f>IF(AND(tblFleet[[#This Row],[Units]]&lt;&gt;"",tblFleet[[#This Row],[Calendar_h]]&gt;0),tblFleet[[#This Row],[Available_h]]/tblFleet[[#This Row],[Calendar_h]],"")</f>
        <v/>
      </c>
      <c r="J1846" s="60">
        <f>IF(AND(tblFleet[[#This Row],[Units]]&lt;&gt;"",tblFleet[[#This Row],[Available_h]]&gt;0),tblFleet[[#This Row],[Operating_h]]/tblFleet[[#This Row],[Available_h]],"")</f>
        <v/>
      </c>
    </row>
    <row r="1847">
      <c r="A1847" s="54" t="n"/>
      <c r="B1847" s="61" t="n"/>
      <c r="C1847" s="62" t="n"/>
      <c r="D1847" s="57" t="n"/>
      <c r="E1847" s="57" t="n"/>
      <c r="F1847" s="58" t="n"/>
      <c r="G1847" s="66">
        <f>IF(tblFleet[[#This Row],[Units]]="","",tblFleet[[#This Row],[Units]]*24)</f>
        <v/>
      </c>
      <c r="H1847" s="66">
        <f>IF(tblFleet[[#This Row],[Units]]="","",tblFleet[[#This Row],[Calendar_h]]-tblFleet[[#This Row],[Down_h]])</f>
        <v/>
      </c>
      <c r="I1847" s="60">
        <f>IF(AND(tblFleet[[#This Row],[Units]]&lt;&gt;"",tblFleet[[#This Row],[Calendar_h]]&gt;0),tblFleet[[#This Row],[Available_h]]/tblFleet[[#This Row],[Calendar_h]],"")</f>
        <v/>
      </c>
      <c r="J1847" s="60">
        <f>IF(AND(tblFleet[[#This Row],[Units]]&lt;&gt;"",tblFleet[[#This Row],[Available_h]]&gt;0),tblFleet[[#This Row],[Operating_h]]/tblFleet[[#This Row],[Available_h]],"")</f>
        <v/>
      </c>
    </row>
    <row r="1848">
      <c r="A1848" s="54" t="n"/>
      <c r="B1848" s="61" t="n"/>
      <c r="C1848" s="62" t="n"/>
      <c r="D1848" s="57" t="n"/>
      <c r="E1848" s="57" t="n"/>
      <c r="F1848" s="58" t="n"/>
      <c r="G1848" s="66">
        <f>IF(tblFleet[[#This Row],[Units]]="","",tblFleet[[#This Row],[Units]]*24)</f>
        <v/>
      </c>
      <c r="H1848" s="66">
        <f>IF(tblFleet[[#This Row],[Units]]="","",tblFleet[[#This Row],[Calendar_h]]-tblFleet[[#This Row],[Down_h]])</f>
        <v/>
      </c>
      <c r="I1848" s="60">
        <f>IF(AND(tblFleet[[#This Row],[Units]]&lt;&gt;"",tblFleet[[#This Row],[Calendar_h]]&gt;0),tblFleet[[#This Row],[Available_h]]/tblFleet[[#This Row],[Calendar_h]],"")</f>
        <v/>
      </c>
      <c r="J1848" s="60">
        <f>IF(AND(tblFleet[[#This Row],[Units]]&lt;&gt;"",tblFleet[[#This Row],[Available_h]]&gt;0),tblFleet[[#This Row],[Operating_h]]/tblFleet[[#This Row],[Available_h]],"")</f>
        <v/>
      </c>
    </row>
    <row r="1849">
      <c r="A1849" s="54" t="n"/>
      <c r="B1849" s="61" t="n"/>
      <c r="C1849" s="62" t="n"/>
      <c r="D1849" s="57" t="n"/>
      <c r="E1849" s="57" t="n"/>
      <c r="F1849" s="58" t="n"/>
      <c r="G1849" s="66">
        <f>IF(tblFleet[[#This Row],[Units]]="","",tblFleet[[#This Row],[Units]]*24)</f>
        <v/>
      </c>
      <c r="H1849" s="66">
        <f>IF(tblFleet[[#This Row],[Units]]="","",tblFleet[[#This Row],[Calendar_h]]-tblFleet[[#This Row],[Down_h]])</f>
        <v/>
      </c>
      <c r="I1849" s="60">
        <f>IF(AND(tblFleet[[#This Row],[Units]]&lt;&gt;"",tblFleet[[#This Row],[Calendar_h]]&gt;0),tblFleet[[#This Row],[Available_h]]/tblFleet[[#This Row],[Calendar_h]],"")</f>
        <v/>
      </c>
      <c r="J1849" s="60">
        <f>IF(AND(tblFleet[[#This Row],[Units]]&lt;&gt;"",tblFleet[[#This Row],[Available_h]]&gt;0),tblFleet[[#This Row],[Operating_h]]/tblFleet[[#This Row],[Available_h]],"")</f>
        <v/>
      </c>
    </row>
    <row r="1850">
      <c r="A1850" s="54" t="n"/>
      <c r="B1850" s="61" t="n"/>
      <c r="C1850" s="62" t="n"/>
      <c r="D1850" s="57" t="n"/>
      <c r="E1850" s="57" t="n"/>
      <c r="F1850" s="58" t="n"/>
      <c r="G1850" s="66">
        <f>IF(tblFleet[[#This Row],[Units]]="","",tblFleet[[#This Row],[Units]]*24)</f>
        <v/>
      </c>
      <c r="H1850" s="66">
        <f>IF(tblFleet[[#This Row],[Units]]="","",tblFleet[[#This Row],[Calendar_h]]-tblFleet[[#This Row],[Down_h]])</f>
        <v/>
      </c>
      <c r="I1850" s="60">
        <f>IF(AND(tblFleet[[#This Row],[Units]]&lt;&gt;"",tblFleet[[#This Row],[Calendar_h]]&gt;0),tblFleet[[#This Row],[Available_h]]/tblFleet[[#This Row],[Calendar_h]],"")</f>
        <v/>
      </c>
      <c r="J1850" s="60">
        <f>IF(AND(tblFleet[[#This Row],[Units]]&lt;&gt;"",tblFleet[[#This Row],[Available_h]]&gt;0),tblFleet[[#This Row],[Operating_h]]/tblFleet[[#This Row],[Available_h]],"")</f>
        <v/>
      </c>
    </row>
    <row r="1851">
      <c r="A1851" s="54" t="n"/>
      <c r="B1851" s="61" t="n"/>
      <c r="C1851" s="62" t="n"/>
      <c r="D1851" s="57" t="n"/>
      <c r="E1851" s="57" t="n"/>
      <c r="F1851" s="58" t="n"/>
      <c r="G1851" s="66">
        <f>IF(tblFleet[[#This Row],[Units]]="","",tblFleet[[#This Row],[Units]]*24)</f>
        <v/>
      </c>
      <c r="H1851" s="66">
        <f>IF(tblFleet[[#This Row],[Units]]="","",tblFleet[[#This Row],[Calendar_h]]-tblFleet[[#This Row],[Down_h]])</f>
        <v/>
      </c>
      <c r="I1851" s="60">
        <f>IF(AND(tblFleet[[#This Row],[Units]]&lt;&gt;"",tblFleet[[#This Row],[Calendar_h]]&gt;0),tblFleet[[#This Row],[Available_h]]/tblFleet[[#This Row],[Calendar_h]],"")</f>
        <v/>
      </c>
      <c r="J1851" s="60">
        <f>IF(AND(tblFleet[[#This Row],[Units]]&lt;&gt;"",tblFleet[[#This Row],[Available_h]]&gt;0),tblFleet[[#This Row],[Operating_h]]/tblFleet[[#This Row],[Available_h]],"")</f>
        <v/>
      </c>
    </row>
    <row r="1852">
      <c r="A1852" s="54" t="n"/>
      <c r="B1852" s="61" t="n"/>
      <c r="C1852" s="62" t="n"/>
      <c r="D1852" s="57" t="n"/>
      <c r="E1852" s="57" t="n"/>
      <c r="F1852" s="58" t="n"/>
      <c r="G1852" s="66">
        <f>IF(tblFleet[[#This Row],[Units]]="","",tblFleet[[#This Row],[Units]]*24)</f>
        <v/>
      </c>
      <c r="H1852" s="66">
        <f>IF(tblFleet[[#This Row],[Units]]="","",tblFleet[[#This Row],[Calendar_h]]-tblFleet[[#This Row],[Down_h]])</f>
        <v/>
      </c>
      <c r="I1852" s="60">
        <f>IF(AND(tblFleet[[#This Row],[Units]]&lt;&gt;"",tblFleet[[#This Row],[Calendar_h]]&gt;0),tblFleet[[#This Row],[Available_h]]/tblFleet[[#This Row],[Calendar_h]],"")</f>
        <v/>
      </c>
      <c r="J1852" s="60">
        <f>IF(AND(tblFleet[[#This Row],[Units]]&lt;&gt;"",tblFleet[[#This Row],[Available_h]]&gt;0),tblFleet[[#This Row],[Operating_h]]/tblFleet[[#This Row],[Available_h]],"")</f>
        <v/>
      </c>
    </row>
    <row r="1853">
      <c r="A1853" s="54" t="n"/>
      <c r="B1853" s="61" t="n"/>
      <c r="C1853" s="62" t="n"/>
      <c r="D1853" s="57" t="n"/>
      <c r="E1853" s="57" t="n"/>
      <c r="F1853" s="58" t="n"/>
      <c r="G1853" s="66">
        <f>IF(tblFleet[[#This Row],[Units]]="","",tblFleet[[#This Row],[Units]]*24)</f>
        <v/>
      </c>
      <c r="H1853" s="66">
        <f>IF(tblFleet[[#This Row],[Units]]="","",tblFleet[[#This Row],[Calendar_h]]-tblFleet[[#This Row],[Down_h]])</f>
        <v/>
      </c>
      <c r="I1853" s="60">
        <f>IF(AND(tblFleet[[#This Row],[Units]]&lt;&gt;"",tblFleet[[#This Row],[Calendar_h]]&gt;0),tblFleet[[#This Row],[Available_h]]/tblFleet[[#This Row],[Calendar_h]],"")</f>
        <v/>
      </c>
      <c r="J1853" s="60">
        <f>IF(AND(tblFleet[[#This Row],[Units]]&lt;&gt;"",tblFleet[[#This Row],[Available_h]]&gt;0),tblFleet[[#This Row],[Operating_h]]/tblFleet[[#This Row],[Available_h]],"")</f>
        <v/>
      </c>
    </row>
    <row r="1854">
      <c r="A1854" s="54" t="n"/>
      <c r="B1854" s="61" t="n"/>
      <c r="C1854" s="62" t="n"/>
      <c r="D1854" s="57" t="n"/>
      <c r="E1854" s="57" t="n"/>
      <c r="F1854" s="58" t="n"/>
      <c r="G1854" s="66">
        <f>IF(tblFleet[[#This Row],[Units]]="","",tblFleet[[#This Row],[Units]]*24)</f>
        <v/>
      </c>
      <c r="H1854" s="66">
        <f>IF(tblFleet[[#This Row],[Units]]="","",tblFleet[[#This Row],[Calendar_h]]-tblFleet[[#This Row],[Down_h]])</f>
        <v/>
      </c>
      <c r="I1854" s="60">
        <f>IF(AND(tblFleet[[#This Row],[Units]]&lt;&gt;"",tblFleet[[#This Row],[Calendar_h]]&gt;0),tblFleet[[#This Row],[Available_h]]/tblFleet[[#This Row],[Calendar_h]],"")</f>
        <v/>
      </c>
      <c r="J1854" s="60">
        <f>IF(AND(tblFleet[[#This Row],[Units]]&lt;&gt;"",tblFleet[[#This Row],[Available_h]]&gt;0),tblFleet[[#This Row],[Operating_h]]/tblFleet[[#This Row],[Available_h]],"")</f>
        <v/>
      </c>
    </row>
    <row r="1855">
      <c r="A1855" s="54" t="n"/>
      <c r="B1855" s="61" t="n"/>
      <c r="C1855" s="62" t="n"/>
      <c r="D1855" s="57" t="n"/>
      <c r="E1855" s="57" t="n"/>
      <c r="F1855" s="58" t="n"/>
      <c r="G1855" s="66">
        <f>IF(tblFleet[[#This Row],[Units]]="","",tblFleet[[#This Row],[Units]]*24)</f>
        <v/>
      </c>
      <c r="H1855" s="66">
        <f>IF(tblFleet[[#This Row],[Units]]="","",tblFleet[[#This Row],[Calendar_h]]-tblFleet[[#This Row],[Down_h]])</f>
        <v/>
      </c>
      <c r="I1855" s="60">
        <f>IF(AND(tblFleet[[#This Row],[Units]]&lt;&gt;"",tblFleet[[#This Row],[Calendar_h]]&gt;0),tblFleet[[#This Row],[Available_h]]/tblFleet[[#This Row],[Calendar_h]],"")</f>
        <v/>
      </c>
      <c r="J1855" s="60">
        <f>IF(AND(tblFleet[[#This Row],[Units]]&lt;&gt;"",tblFleet[[#This Row],[Available_h]]&gt;0),tblFleet[[#This Row],[Operating_h]]/tblFleet[[#This Row],[Available_h]],"")</f>
        <v/>
      </c>
    </row>
    <row r="1856">
      <c r="A1856" s="54" t="n"/>
      <c r="B1856" s="61" t="n"/>
      <c r="C1856" s="62" t="n"/>
      <c r="D1856" s="57" t="n"/>
      <c r="E1856" s="57" t="n"/>
      <c r="F1856" s="58" t="n"/>
      <c r="G1856" s="66">
        <f>IF(tblFleet[[#This Row],[Units]]="","",tblFleet[[#This Row],[Units]]*24)</f>
        <v/>
      </c>
      <c r="H1856" s="66">
        <f>IF(tblFleet[[#This Row],[Units]]="","",tblFleet[[#This Row],[Calendar_h]]-tblFleet[[#This Row],[Down_h]])</f>
        <v/>
      </c>
      <c r="I1856" s="60">
        <f>IF(AND(tblFleet[[#This Row],[Units]]&lt;&gt;"",tblFleet[[#This Row],[Calendar_h]]&gt;0),tblFleet[[#This Row],[Available_h]]/tblFleet[[#This Row],[Calendar_h]],"")</f>
        <v/>
      </c>
      <c r="J1856" s="60">
        <f>IF(AND(tblFleet[[#This Row],[Units]]&lt;&gt;"",tblFleet[[#This Row],[Available_h]]&gt;0),tblFleet[[#This Row],[Operating_h]]/tblFleet[[#This Row],[Available_h]],"")</f>
        <v/>
      </c>
    </row>
    <row r="1857">
      <c r="A1857" s="54" t="n"/>
      <c r="B1857" s="61" t="n"/>
      <c r="C1857" s="62" t="n"/>
      <c r="D1857" s="57" t="n"/>
      <c r="E1857" s="57" t="n"/>
      <c r="F1857" s="58" t="n"/>
      <c r="G1857" s="66">
        <f>IF(tblFleet[[#This Row],[Units]]="","",tblFleet[[#This Row],[Units]]*24)</f>
        <v/>
      </c>
      <c r="H1857" s="66">
        <f>IF(tblFleet[[#This Row],[Units]]="","",tblFleet[[#This Row],[Calendar_h]]-tblFleet[[#This Row],[Down_h]])</f>
        <v/>
      </c>
      <c r="I1857" s="60">
        <f>IF(AND(tblFleet[[#This Row],[Units]]&lt;&gt;"",tblFleet[[#This Row],[Calendar_h]]&gt;0),tblFleet[[#This Row],[Available_h]]/tblFleet[[#This Row],[Calendar_h]],"")</f>
        <v/>
      </c>
      <c r="J1857" s="60">
        <f>IF(AND(tblFleet[[#This Row],[Units]]&lt;&gt;"",tblFleet[[#This Row],[Available_h]]&gt;0),tblFleet[[#This Row],[Operating_h]]/tblFleet[[#This Row],[Available_h]],"")</f>
        <v/>
      </c>
    </row>
    <row r="1858">
      <c r="A1858" s="54" t="n"/>
      <c r="B1858" s="61" t="n"/>
      <c r="C1858" s="62" t="n"/>
      <c r="D1858" s="57" t="n"/>
      <c r="E1858" s="57" t="n"/>
      <c r="F1858" s="58" t="n"/>
      <c r="G1858" s="66">
        <f>IF(tblFleet[[#This Row],[Units]]="","",tblFleet[[#This Row],[Units]]*24)</f>
        <v/>
      </c>
      <c r="H1858" s="66">
        <f>IF(tblFleet[[#This Row],[Units]]="","",tblFleet[[#This Row],[Calendar_h]]-tblFleet[[#This Row],[Down_h]])</f>
        <v/>
      </c>
      <c r="I1858" s="60">
        <f>IF(AND(tblFleet[[#This Row],[Units]]&lt;&gt;"",tblFleet[[#This Row],[Calendar_h]]&gt;0),tblFleet[[#This Row],[Available_h]]/tblFleet[[#This Row],[Calendar_h]],"")</f>
        <v/>
      </c>
      <c r="J1858" s="60">
        <f>IF(AND(tblFleet[[#This Row],[Units]]&lt;&gt;"",tblFleet[[#This Row],[Available_h]]&gt;0),tblFleet[[#This Row],[Operating_h]]/tblFleet[[#This Row],[Available_h]],"")</f>
        <v/>
      </c>
    </row>
    <row r="1859">
      <c r="A1859" s="54" t="n"/>
      <c r="B1859" s="61" t="n"/>
      <c r="C1859" s="62" t="n"/>
      <c r="D1859" s="57" t="n"/>
      <c r="E1859" s="57" t="n"/>
      <c r="F1859" s="58" t="n"/>
      <c r="G1859" s="66">
        <f>IF(tblFleet[[#This Row],[Units]]="","",tblFleet[[#This Row],[Units]]*24)</f>
        <v/>
      </c>
      <c r="H1859" s="66">
        <f>IF(tblFleet[[#This Row],[Units]]="","",tblFleet[[#This Row],[Calendar_h]]-tblFleet[[#This Row],[Down_h]])</f>
        <v/>
      </c>
      <c r="I1859" s="60">
        <f>IF(AND(tblFleet[[#This Row],[Units]]&lt;&gt;"",tblFleet[[#This Row],[Calendar_h]]&gt;0),tblFleet[[#This Row],[Available_h]]/tblFleet[[#This Row],[Calendar_h]],"")</f>
        <v/>
      </c>
      <c r="J1859" s="60">
        <f>IF(AND(tblFleet[[#This Row],[Units]]&lt;&gt;"",tblFleet[[#This Row],[Available_h]]&gt;0),tblFleet[[#This Row],[Operating_h]]/tblFleet[[#This Row],[Available_h]],"")</f>
        <v/>
      </c>
    </row>
    <row r="1860">
      <c r="A1860" s="54" t="n"/>
      <c r="B1860" s="61" t="n"/>
      <c r="C1860" s="62" t="n"/>
      <c r="D1860" s="57" t="n"/>
      <c r="E1860" s="57" t="n"/>
      <c r="F1860" s="58" t="n"/>
      <c r="G1860" s="66">
        <f>IF(tblFleet[[#This Row],[Units]]="","",tblFleet[[#This Row],[Units]]*24)</f>
        <v/>
      </c>
      <c r="H1860" s="66">
        <f>IF(tblFleet[[#This Row],[Units]]="","",tblFleet[[#This Row],[Calendar_h]]-tblFleet[[#This Row],[Down_h]])</f>
        <v/>
      </c>
      <c r="I1860" s="60">
        <f>IF(AND(tblFleet[[#This Row],[Units]]&lt;&gt;"",tblFleet[[#This Row],[Calendar_h]]&gt;0),tblFleet[[#This Row],[Available_h]]/tblFleet[[#This Row],[Calendar_h]],"")</f>
        <v/>
      </c>
      <c r="J1860" s="60">
        <f>IF(AND(tblFleet[[#This Row],[Units]]&lt;&gt;"",tblFleet[[#This Row],[Available_h]]&gt;0),tblFleet[[#This Row],[Operating_h]]/tblFleet[[#This Row],[Available_h]],"")</f>
        <v/>
      </c>
    </row>
    <row r="1861">
      <c r="A1861" s="54" t="n"/>
      <c r="B1861" s="61" t="n"/>
      <c r="C1861" s="62" t="n"/>
      <c r="D1861" s="57" t="n"/>
      <c r="E1861" s="57" t="n"/>
      <c r="F1861" s="58" t="n"/>
      <c r="G1861" s="66">
        <f>IF(tblFleet[[#This Row],[Units]]="","",tblFleet[[#This Row],[Units]]*24)</f>
        <v/>
      </c>
      <c r="H1861" s="66">
        <f>IF(tblFleet[[#This Row],[Units]]="","",tblFleet[[#This Row],[Calendar_h]]-tblFleet[[#This Row],[Down_h]])</f>
        <v/>
      </c>
      <c r="I1861" s="60">
        <f>IF(AND(tblFleet[[#This Row],[Units]]&lt;&gt;"",tblFleet[[#This Row],[Calendar_h]]&gt;0),tblFleet[[#This Row],[Available_h]]/tblFleet[[#This Row],[Calendar_h]],"")</f>
        <v/>
      </c>
      <c r="J1861" s="60">
        <f>IF(AND(tblFleet[[#This Row],[Units]]&lt;&gt;"",tblFleet[[#This Row],[Available_h]]&gt;0),tblFleet[[#This Row],[Operating_h]]/tblFleet[[#This Row],[Available_h]],"")</f>
        <v/>
      </c>
    </row>
    <row r="1862">
      <c r="A1862" s="54" t="n"/>
      <c r="B1862" s="61" t="n"/>
      <c r="C1862" s="62" t="n"/>
      <c r="D1862" s="57" t="n"/>
      <c r="E1862" s="57" t="n"/>
      <c r="F1862" s="58" t="n"/>
      <c r="G1862" s="66">
        <f>IF(tblFleet[[#This Row],[Units]]="","",tblFleet[[#This Row],[Units]]*24)</f>
        <v/>
      </c>
      <c r="H1862" s="66">
        <f>IF(tblFleet[[#This Row],[Units]]="","",tblFleet[[#This Row],[Calendar_h]]-tblFleet[[#This Row],[Down_h]])</f>
        <v/>
      </c>
      <c r="I1862" s="60">
        <f>IF(AND(tblFleet[[#This Row],[Units]]&lt;&gt;"",tblFleet[[#This Row],[Calendar_h]]&gt;0),tblFleet[[#This Row],[Available_h]]/tblFleet[[#This Row],[Calendar_h]],"")</f>
        <v/>
      </c>
      <c r="J1862" s="60">
        <f>IF(AND(tblFleet[[#This Row],[Units]]&lt;&gt;"",tblFleet[[#This Row],[Available_h]]&gt;0),tblFleet[[#This Row],[Operating_h]]/tblFleet[[#This Row],[Available_h]],"")</f>
        <v/>
      </c>
    </row>
    <row r="1863">
      <c r="A1863" s="54" t="n"/>
      <c r="B1863" s="61" t="n"/>
      <c r="C1863" s="62" t="n"/>
      <c r="D1863" s="57" t="n"/>
      <c r="E1863" s="57" t="n"/>
      <c r="F1863" s="58" t="n"/>
      <c r="G1863" s="66">
        <f>IF(tblFleet[[#This Row],[Units]]="","",tblFleet[[#This Row],[Units]]*24)</f>
        <v/>
      </c>
      <c r="H1863" s="66">
        <f>IF(tblFleet[[#This Row],[Units]]="","",tblFleet[[#This Row],[Calendar_h]]-tblFleet[[#This Row],[Down_h]])</f>
        <v/>
      </c>
      <c r="I1863" s="60">
        <f>IF(AND(tblFleet[[#This Row],[Units]]&lt;&gt;"",tblFleet[[#This Row],[Calendar_h]]&gt;0),tblFleet[[#This Row],[Available_h]]/tblFleet[[#This Row],[Calendar_h]],"")</f>
        <v/>
      </c>
      <c r="J1863" s="60">
        <f>IF(AND(tblFleet[[#This Row],[Units]]&lt;&gt;"",tblFleet[[#This Row],[Available_h]]&gt;0),tblFleet[[#This Row],[Operating_h]]/tblFleet[[#This Row],[Available_h]],"")</f>
        <v/>
      </c>
    </row>
    <row r="1864">
      <c r="A1864" s="54" t="n"/>
      <c r="B1864" s="61" t="n"/>
      <c r="C1864" s="62" t="n"/>
      <c r="D1864" s="57" t="n"/>
      <c r="E1864" s="57" t="n"/>
      <c r="F1864" s="58" t="n"/>
      <c r="G1864" s="66">
        <f>IF(tblFleet[[#This Row],[Units]]="","",tblFleet[[#This Row],[Units]]*24)</f>
        <v/>
      </c>
      <c r="H1864" s="66">
        <f>IF(tblFleet[[#This Row],[Units]]="","",tblFleet[[#This Row],[Calendar_h]]-tblFleet[[#This Row],[Down_h]])</f>
        <v/>
      </c>
      <c r="I1864" s="60">
        <f>IF(AND(tblFleet[[#This Row],[Units]]&lt;&gt;"",tblFleet[[#This Row],[Calendar_h]]&gt;0),tblFleet[[#This Row],[Available_h]]/tblFleet[[#This Row],[Calendar_h]],"")</f>
        <v/>
      </c>
      <c r="J1864" s="60">
        <f>IF(AND(tblFleet[[#This Row],[Units]]&lt;&gt;"",tblFleet[[#This Row],[Available_h]]&gt;0),tblFleet[[#This Row],[Operating_h]]/tblFleet[[#This Row],[Available_h]],"")</f>
        <v/>
      </c>
    </row>
    <row r="1865">
      <c r="A1865" s="54" t="n"/>
      <c r="B1865" s="61" t="n"/>
      <c r="C1865" s="62" t="n"/>
      <c r="D1865" s="57" t="n"/>
      <c r="E1865" s="57" t="n"/>
      <c r="F1865" s="58" t="n"/>
      <c r="G1865" s="66">
        <f>IF(tblFleet[[#This Row],[Units]]="","",tblFleet[[#This Row],[Units]]*24)</f>
        <v/>
      </c>
      <c r="H1865" s="66">
        <f>IF(tblFleet[[#This Row],[Units]]="","",tblFleet[[#This Row],[Calendar_h]]-tblFleet[[#This Row],[Down_h]])</f>
        <v/>
      </c>
      <c r="I1865" s="60">
        <f>IF(AND(tblFleet[[#This Row],[Units]]&lt;&gt;"",tblFleet[[#This Row],[Calendar_h]]&gt;0),tblFleet[[#This Row],[Available_h]]/tblFleet[[#This Row],[Calendar_h]],"")</f>
        <v/>
      </c>
      <c r="J1865" s="60">
        <f>IF(AND(tblFleet[[#This Row],[Units]]&lt;&gt;"",tblFleet[[#This Row],[Available_h]]&gt;0),tblFleet[[#This Row],[Operating_h]]/tblFleet[[#This Row],[Available_h]],"")</f>
        <v/>
      </c>
    </row>
    <row r="1866">
      <c r="A1866" s="54" t="n"/>
      <c r="B1866" s="61" t="n"/>
      <c r="C1866" s="62" t="n"/>
      <c r="D1866" s="57" t="n"/>
      <c r="E1866" s="57" t="n"/>
      <c r="F1866" s="58" t="n"/>
      <c r="G1866" s="66">
        <f>IF(tblFleet[[#This Row],[Units]]="","",tblFleet[[#This Row],[Units]]*24)</f>
        <v/>
      </c>
      <c r="H1866" s="66">
        <f>IF(tblFleet[[#This Row],[Units]]="","",tblFleet[[#This Row],[Calendar_h]]-tblFleet[[#This Row],[Down_h]])</f>
        <v/>
      </c>
      <c r="I1866" s="60">
        <f>IF(AND(tblFleet[[#This Row],[Units]]&lt;&gt;"",tblFleet[[#This Row],[Calendar_h]]&gt;0),tblFleet[[#This Row],[Available_h]]/tblFleet[[#This Row],[Calendar_h]],"")</f>
        <v/>
      </c>
      <c r="J1866" s="60">
        <f>IF(AND(tblFleet[[#This Row],[Units]]&lt;&gt;"",tblFleet[[#This Row],[Available_h]]&gt;0),tblFleet[[#This Row],[Operating_h]]/tblFleet[[#This Row],[Available_h]],"")</f>
        <v/>
      </c>
    </row>
    <row r="1867">
      <c r="A1867" s="54" t="n"/>
      <c r="B1867" s="61" t="n"/>
      <c r="C1867" s="62" t="n"/>
      <c r="D1867" s="57" t="n"/>
      <c r="E1867" s="57" t="n"/>
      <c r="F1867" s="58" t="n"/>
      <c r="G1867" s="66">
        <f>IF(tblFleet[[#This Row],[Units]]="","",tblFleet[[#This Row],[Units]]*24)</f>
        <v/>
      </c>
      <c r="H1867" s="66">
        <f>IF(tblFleet[[#This Row],[Units]]="","",tblFleet[[#This Row],[Calendar_h]]-tblFleet[[#This Row],[Down_h]])</f>
        <v/>
      </c>
      <c r="I1867" s="60">
        <f>IF(AND(tblFleet[[#This Row],[Units]]&lt;&gt;"",tblFleet[[#This Row],[Calendar_h]]&gt;0),tblFleet[[#This Row],[Available_h]]/tblFleet[[#This Row],[Calendar_h]],"")</f>
        <v/>
      </c>
      <c r="J1867" s="60">
        <f>IF(AND(tblFleet[[#This Row],[Units]]&lt;&gt;"",tblFleet[[#This Row],[Available_h]]&gt;0),tblFleet[[#This Row],[Operating_h]]/tblFleet[[#This Row],[Available_h]],"")</f>
        <v/>
      </c>
    </row>
    <row r="1868">
      <c r="A1868" s="54" t="n"/>
      <c r="B1868" s="61" t="n"/>
      <c r="C1868" s="62" t="n"/>
      <c r="D1868" s="57" t="n"/>
      <c r="E1868" s="57" t="n"/>
      <c r="F1868" s="58" t="n"/>
      <c r="G1868" s="66">
        <f>IF(tblFleet[[#This Row],[Units]]="","",tblFleet[[#This Row],[Units]]*24)</f>
        <v/>
      </c>
      <c r="H1868" s="66">
        <f>IF(tblFleet[[#This Row],[Units]]="","",tblFleet[[#This Row],[Calendar_h]]-tblFleet[[#This Row],[Down_h]])</f>
        <v/>
      </c>
      <c r="I1868" s="60">
        <f>IF(AND(tblFleet[[#This Row],[Units]]&lt;&gt;"",tblFleet[[#This Row],[Calendar_h]]&gt;0),tblFleet[[#This Row],[Available_h]]/tblFleet[[#This Row],[Calendar_h]],"")</f>
        <v/>
      </c>
      <c r="J1868" s="60">
        <f>IF(AND(tblFleet[[#This Row],[Units]]&lt;&gt;"",tblFleet[[#This Row],[Available_h]]&gt;0),tblFleet[[#This Row],[Operating_h]]/tblFleet[[#This Row],[Available_h]],"")</f>
        <v/>
      </c>
    </row>
    <row r="1869">
      <c r="A1869" s="54" t="n"/>
      <c r="B1869" s="61" t="n"/>
      <c r="C1869" s="62" t="n"/>
      <c r="D1869" s="57" t="n"/>
      <c r="E1869" s="57" t="n"/>
      <c r="F1869" s="58" t="n"/>
      <c r="G1869" s="66">
        <f>IF(tblFleet[[#This Row],[Units]]="","",tblFleet[[#This Row],[Units]]*24)</f>
        <v/>
      </c>
      <c r="H1869" s="66">
        <f>IF(tblFleet[[#This Row],[Units]]="","",tblFleet[[#This Row],[Calendar_h]]-tblFleet[[#This Row],[Down_h]])</f>
        <v/>
      </c>
      <c r="I1869" s="60">
        <f>IF(AND(tblFleet[[#This Row],[Units]]&lt;&gt;"",tblFleet[[#This Row],[Calendar_h]]&gt;0),tblFleet[[#This Row],[Available_h]]/tblFleet[[#This Row],[Calendar_h]],"")</f>
        <v/>
      </c>
      <c r="J1869" s="60">
        <f>IF(AND(tblFleet[[#This Row],[Units]]&lt;&gt;"",tblFleet[[#This Row],[Available_h]]&gt;0),tblFleet[[#This Row],[Operating_h]]/tblFleet[[#This Row],[Available_h]],"")</f>
        <v/>
      </c>
    </row>
    <row r="1870">
      <c r="A1870" s="54" t="n"/>
      <c r="B1870" s="61" t="n"/>
      <c r="C1870" s="62" t="n"/>
      <c r="D1870" s="57" t="n"/>
      <c r="E1870" s="57" t="n"/>
      <c r="F1870" s="58" t="n"/>
      <c r="G1870" s="66">
        <f>IF(tblFleet[[#This Row],[Units]]="","",tblFleet[[#This Row],[Units]]*24)</f>
        <v/>
      </c>
      <c r="H1870" s="66">
        <f>IF(tblFleet[[#This Row],[Units]]="","",tblFleet[[#This Row],[Calendar_h]]-tblFleet[[#This Row],[Down_h]])</f>
        <v/>
      </c>
      <c r="I1870" s="60">
        <f>IF(AND(tblFleet[[#This Row],[Units]]&lt;&gt;"",tblFleet[[#This Row],[Calendar_h]]&gt;0),tblFleet[[#This Row],[Available_h]]/tblFleet[[#This Row],[Calendar_h]],"")</f>
        <v/>
      </c>
      <c r="J1870" s="60">
        <f>IF(AND(tblFleet[[#This Row],[Units]]&lt;&gt;"",tblFleet[[#This Row],[Available_h]]&gt;0),tblFleet[[#This Row],[Operating_h]]/tblFleet[[#This Row],[Available_h]],"")</f>
        <v/>
      </c>
    </row>
    <row r="1871">
      <c r="A1871" s="54" t="n"/>
      <c r="B1871" s="61" t="n"/>
      <c r="C1871" s="62" t="n"/>
      <c r="D1871" s="57" t="n"/>
      <c r="E1871" s="57" t="n"/>
      <c r="F1871" s="58" t="n"/>
      <c r="G1871" s="66">
        <f>IF(tblFleet[[#This Row],[Units]]="","",tblFleet[[#This Row],[Units]]*24)</f>
        <v/>
      </c>
      <c r="H1871" s="66">
        <f>IF(tblFleet[[#This Row],[Units]]="","",tblFleet[[#This Row],[Calendar_h]]-tblFleet[[#This Row],[Down_h]])</f>
        <v/>
      </c>
      <c r="I1871" s="60">
        <f>IF(AND(tblFleet[[#This Row],[Units]]&lt;&gt;"",tblFleet[[#This Row],[Calendar_h]]&gt;0),tblFleet[[#This Row],[Available_h]]/tblFleet[[#This Row],[Calendar_h]],"")</f>
        <v/>
      </c>
      <c r="J1871" s="60">
        <f>IF(AND(tblFleet[[#This Row],[Units]]&lt;&gt;"",tblFleet[[#This Row],[Available_h]]&gt;0),tblFleet[[#This Row],[Operating_h]]/tblFleet[[#This Row],[Available_h]],"")</f>
        <v/>
      </c>
    </row>
    <row r="1872">
      <c r="A1872" s="54" t="n"/>
      <c r="B1872" s="61" t="n"/>
      <c r="C1872" s="62" t="n"/>
      <c r="D1872" s="57" t="n"/>
      <c r="E1872" s="57" t="n"/>
      <c r="F1872" s="58" t="n"/>
      <c r="G1872" s="66">
        <f>IF(tblFleet[[#This Row],[Units]]="","",tblFleet[[#This Row],[Units]]*24)</f>
        <v/>
      </c>
      <c r="H1872" s="66">
        <f>IF(tblFleet[[#This Row],[Units]]="","",tblFleet[[#This Row],[Calendar_h]]-tblFleet[[#This Row],[Down_h]])</f>
        <v/>
      </c>
      <c r="I1872" s="60">
        <f>IF(AND(tblFleet[[#This Row],[Units]]&lt;&gt;"",tblFleet[[#This Row],[Calendar_h]]&gt;0),tblFleet[[#This Row],[Available_h]]/tblFleet[[#This Row],[Calendar_h]],"")</f>
        <v/>
      </c>
      <c r="J1872" s="60">
        <f>IF(AND(tblFleet[[#This Row],[Units]]&lt;&gt;"",tblFleet[[#This Row],[Available_h]]&gt;0),tblFleet[[#This Row],[Operating_h]]/tblFleet[[#This Row],[Available_h]],"")</f>
        <v/>
      </c>
    </row>
    <row r="1873">
      <c r="A1873" s="54" t="n"/>
      <c r="B1873" s="61" t="n"/>
      <c r="C1873" s="62" t="n"/>
      <c r="D1873" s="57" t="n"/>
      <c r="E1873" s="57" t="n"/>
      <c r="F1873" s="58" t="n"/>
      <c r="G1873" s="66">
        <f>IF(tblFleet[[#This Row],[Units]]="","",tblFleet[[#This Row],[Units]]*24)</f>
        <v/>
      </c>
      <c r="H1873" s="66">
        <f>IF(tblFleet[[#This Row],[Units]]="","",tblFleet[[#This Row],[Calendar_h]]-tblFleet[[#This Row],[Down_h]])</f>
        <v/>
      </c>
      <c r="I1873" s="60">
        <f>IF(AND(tblFleet[[#This Row],[Units]]&lt;&gt;"",tblFleet[[#This Row],[Calendar_h]]&gt;0),tblFleet[[#This Row],[Available_h]]/tblFleet[[#This Row],[Calendar_h]],"")</f>
        <v/>
      </c>
      <c r="J1873" s="60">
        <f>IF(AND(tblFleet[[#This Row],[Units]]&lt;&gt;"",tblFleet[[#This Row],[Available_h]]&gt;0),tblFleet[[#This Row],[Operating_h]]/tblFleet[[#This Row],[Available_h]],"")</f>
        <v/>
      </c>
    </row>
    <row r="1874">
      <c r="A1874" s="54" t="n"/>
      <c r="B1874" s="61" t="n"/>
      <c r="C1874" s="62" t="n"/>
      <c r="D1874" s="57" t="n"/>
      <c r="E1874" s="57" t="n"/>
      <c r="F1874" s="58" t="n"/>
      <c r="G1874" s="66">
        <f>IF(tblFleet[[#This Row],[Units]]="","",tblFleet[[#This Row],[Units]]*24)</f>
        <v/>
      </c>
      <c r="H1874" s="66">
        <f>IF(tblFleet[[#This Row],[Units]]="","",tblFleet[[#This Row],[Calendar_h]]-tblFleet[[#This Row],[Down_h]])</f>
        <v/>
      </c>
      <c r="I1874" s="60">
        <f>IF(AND(tblFleet[[#This Row],[Units]]&lt;&gt;"",tblFleet[[#This Row],[Calendar_h]]&gt;0),tblFleet[[#This Row],[Available_h]]/tblFleet[[#This Row],[Calendar_h]],"")</f>
        <v/>
      </c>
      <c r="J1874" s="60">
        <f>IF(AND(tblFleet[[#This Row],[Units]]&lt;&gt;"",tblFleet[[#This Row],[Available_h]]&gt;0),tblFleet[[#This Row],[Operating_h]]/tblFleet[[#This Row],[Available_h]],"")</f>
        <v/>
      </c>
    </row>
    <row r="1875">
      <c r="A1875" s="54" t="n"/>
      <c r="B1875" s="61" t="n"/>
      <c r="C1875" s="62" t="n"/>
      <c r="D1875" s="57" t="n"/>
      <c r="E1875" s="57" t="n"/>
      <c r="F1875" s="58" t="n"/>
      <c r="G1875" s="66">
        <f>IF(tblFleet[[#This Row],[Units]]="","",tblFleet[[#This Row],[Units]]*24)</f>
        <v/>
      </c>
      <c r="H1875" s="66">
        <f>IF(tblFleet[[#This Row],[Units]]="","",tblFleet[[#This Row],[Calendar_h]]-tblFleet[[#This Row],[Down_h]])</f>
        <v/>
      </c>
      <c r="I1875" s="60">
        <f>IF(AND(tblFleet[[#This Row],[Units]]&lt;&gt;"",tblFleet[[#This Row],[Calendar_h]]&gt;0),tblFleet[[#This Row],[Available_h]]/tblFleet[[#This Row],[Calendar_h]],"")</f>
        <v/>
      </c>
      <c r="J1875" s="60">
        <f>IF(AND(tblFleet[[#This Row],[Units]]&lt;&gt;"",tblFleet[[#This Row],[Available_h]]&gt;0),tblFleet[[#This Row],[Operating_h]]/tblFleet[[#This Row],[Available_h]],"")</f>
        <v/>
      </c>
    </row>
    <row r="1876">
      <c r="A1876" s="54" t="n"/>
      <c r="B1876" s="61" t="n"/>
      <c r="C1876" s="62" t="n"/>
      <c r="D1876" s="57" t="n"/>
      <c r="E1876" s="57" t="n"/>
      <c r="F1876" s="58" t="n"/>
      <c r="G1876" s="66">
        <f>IF(tblFleet[[#This Row],[Units]]="","",tblFleet[[#This Row],[Units]]*24)</f>
        <v/>
      </c>
      <c r="H1876" s="66">
        <f>IF(tblFleet[[#This Row],[Units]]="","",tblFleet[[#This Row],[Calendar_h]]-tblFleet[[#This Row],[Down_h]])</f>
        <v/>
      </c>
      <c r="I1876" s="60">
        <f>IF(AND(tblFleet[[#This Row],[Units]]&lt;&gt;"",tblFleet[[#This Row],[Calendar_h]]&gt;0),tblFleet[[#This Row],[Available_h]]/tblFleet[[#This Row],[Calendar_h]],"")</f>
        <v/>
      </c>
      <c r="J1876" s="60">
        <f>IF(AND(tblFleet[[#This Row],[Units]]&lt;&gt;"",tblFleet[[#This Row],[Available_h]]&gt;0),tblFleet[[#This Row],[Operating_h]]/tblFleet[[#This Row],[Available_h]],"")</f>
        <v/>
      </c>
    </row>
    <row r="1877">
      <c r="A1877" s="54" t="n"/>
      <c r="B1877" s="61" t="n"/>
      <c r="C1877" s="62" t="n"/>
      <c r="D1877" s="57" t="n"/>
      <c r="E1877" s="57" t="n"/>
      <c r="F1877" s="58" t="n"/>
      <c r="G1877" s="66">
        <f>IF(tblFleet[[#This Row],[Units]]="","",tblFleet[[#This Row],[Units]]*24)</f>
        <v/>
      </c>
      <c r="H1877" s="66">
        <f>IF(tblFleet[[#This Row],[Units]]="","",tblFleet[[#This Row],[Calendar_h]]-tblFleet[[#This Row],[Down_h]])</f>
        <v/>
      </c>
      <c r="I1877" s="60">
        <f>IF(AND(tblFleet[[#This Row],[Units]]&lt;&gt;"",tblFleet[[#This Row],[Calendar_h]]&gt;0),tblFleet[[#This Row],[Available_h]]/tblFleet[[#This Row],[Calendar_h]],"")</f>
        <v/>
      </c>
      <c r="J1877" s="60">
        <f>IF(AND(tblFleet[[#This Row],[Units]]&lt;&gt;"",tblFleet[[#This Row],[Available_h]]&gt;0),tblFleet[[#This Row],[Operating_h]]/tblFleet[[#This Row],[Available_h]],"")</f>
        <v/>
      </c>
    </row>
    <row r="1878">
      <c r="A1878" s="54" t="n"/>
      <c r="B1878" s="61" t="n"/>
      <c r="C1878" s="62" t="n"/>
      <c r="D1878" s="57" t="n"/>
      <c r="E1878" s="57" t="n"/>
      <c r="F1878" s="58" t="n"/>
      <c r="G1878" s="66">
        <f>IF(tblFleet[[#This Row],[Units]]="","",tblFleet[[#This Row],[Units]]*24)</f>
        <v/>
      </c>
      <c r="H1878" s="66">
        <f>IF(tblFleet[[#This Row],[Units]]="","",tblFleet[[#This Row],[Calendar_h]]-tblFleet[[#This Row],[Down_h]])</f>
        <v/>
      </c>
      <c r="I1878" s="60">
        <f>IF(AND(tblFleet[[#This Row],[Units]]&lt;&gt;"",tblFleet[[#This Row],[Calendar_h]]&gt;0),tblFleet[[#This Row],[Available_h]]/tblFleet[[#This Row],[Calendar_h]],"")</f>
        <v/>
      </c>
      <c r="J1878" s="60">
        <f>IF(AND(tblFleet[[#This Row],[Units]]&lt;&gt;"",tblFleet[[#This Row],[Available_h]]&gt;0),tblFleet[[#This Row],[Operating_h]]/tblFleet[[#This Row],[Available_h]],"")</f>
        <v/>
      </c>
    </row>
    <row r="1879">
      <c r="A1879" s="54" t="n"/>
      <c r="B1879" s="61" t="n"/>
      <c r="C1879" s="62" t="n"/>
      <c r="D1879" s="57" t="n"/>
      <c r="E1879" s="57" t="n"/>
      <c r="F1879" s="58" t="n"/>
      <c r="G1879" s="66">
        <f>IF(tblFleet[[#This Row],[Units]]="","",tblFleet[[#This Row],[Units]]*24)</f>
        <v/>
      </c>
      <c r="H1879" s="66">
        <f>IF(tblFleet[[#This Row],[Units]]="","",tblFleet[[#This Row],[Calendar_h]]-tblFleet[[#This Row],[Down_h]])</f>
        <v/>
      </c>
      <c r="I1879" s="60">
        <f>IF(AND(tblFleet[[#This Row],[Units]]&lt;&gt;"",tblFleet[[#This Row],[Calendar_h]]&gt;0),tblFleet[[#This Row],[Available_h]]/tblFleet[[#This Row],[Calendar_h]],"")</f>
        <v/>
      </c>
      <c r="J1879" s="60">
        <f>IF(AND(tblFleet[[#This Row],[Units]]&lt;&gt;"",tblFleet[[#This Row],[Available_h]]&gt;0),tblFleet[[#This Row],[Operating_h]]/tblFleet[[#This Row],[Available_h]],"")</f>
        <v/>
      </c>
    </row>
    <row r="1880">
      <c r="A1880" s="54" t="n"/>
      <c r="B1880" s="61" t="n"/>
      <c r="C1880" s="62" t="n"/>
      <c r="D1880" s="57" t="n"/>
      <c r="E1880" s="57" t="n"/>
      <c r="F1880" s="58" t="n"/>
      <c r="G1880" s="66">
        <f>IF(tblFleet[[#This Row],[Units]]="","",tblFleet[[#This Row],[Units]]*24)</f>
        <v/>
      </c>
      <c r="H1880" s="66">
        <f>IF(tblFleet[[#This Row],[Units]]="","",tblFleet[[#This Row],[Calendar_h]]-tblFleet[[#This Row],[Down_h]])</f>
        <v/>
      </c>
      <c r="I1880" s="60">
        <f>IF(AND(tblFleet[[#This Row],[Units]]&lt;&gt;"",tblFleet[[#This Row],[Calendar_h]]&gt;0),tblFleet[[#This Row],[Available_h]]/tblFleet[[#This Row],[Calendar_h]],"")</f>
        <v/>
      </c>
      <c r="J1880" s="60">
        <f>IF(AND(tblFleet[[#This Row],[Units]]&lt;&gt;"",tblFleet[[#This Row],[Available_h]]&gt;0),tblFleet[[#This Row],[Operating_h]]/tblFleet[[#This Row],[Available_h]],"")</f>
        <v/>
      </c>
    </row>
    <row r="1881">
      <c r="A1881" s="54" t="n"/>
      <c r="B1881" s="61" t="n"/>
      <c r="C1881" s="62" t="n"/>
      <c r="D1881" s="57" t="n"/>
      <c r="E1881" s="57" t="n"/>
      <c r="F1881" s="58" t="n"/>
      <c r="G1881" s="66">
        <f>IF(tblFleet[[#This Row],[Units]]="","",tblFleet[[#This Row],[Units]]*24)</f>
        <v/>
      </c>
      <c r="H1881" s="66">
        <f>IF(tblFleet[[#This Row],[Units]]="","",tblFleet[[#This Row],[Calendar_h]]-tblFleet[[#This Row],[Down_h]])</f>
        <v/>
      </c>
      <c r="I1881" s="60">
        <f>IF(AND(tblFleet[[#This Row],[Units]]&lt;&gt;"",tblFleet[[#This Row],[Calendar_h]]&gt;0),tblFleet[[#This Row],[Available_h]]/tblFleet[[#This Row],[Calendar_h]],"")</f>
        <v/>
      </c>
      <c r="J1881" s="60">
        <f>IF(AND(tblFleet[[#This Row],[Units]]&lt;&gt;"",tblFleet[[#This Row],[Available_h]]&gt;0),tblFleet[[#This Row],[Operating_h]]/tblFleet[[#This Row],[Available_h]],"")</f>
        <v/>
      </c>
    </row>
    <row r="1882">
      <c r="A1882" s="54" t="n"/>
      <c r="B1882" s="61" t="n"/>
      <c r="C1882" s="62" t="n"/>
      <c r="D1882" s="57" t="n"/>
      <c r="E1882" s="57" t="n"/>
      <c r="F1882" s="58" t="n"/>
      <c r="G1882" s="66">
        <f>IF(tblFleet[[#This Row],[Units]]="","",tblFleet[[#This Row],[Units]]*24)</f>
        <v/>
      </c>
      <c r="H1882" s="66">
        <f>IF(tblFleet[[#This Row],[Units]]="","",tblFleet[[#This Row],[Calendar_h]]-tblFleet[[#This Row],[Down_h]])</f>
        <v/>
      </c>
      <c r="I1882" s="60">
        <f>IF(AND(tblFleet[[#This Row],[Units]]&lt;&gt;"",tblFleet[[#This Row],[Calendar_h]]&gt;0),tblFleet[[#This Row],[Available_h]]/tblFleet[[#This Row],[Calendar_h]],"")</f>
        <v/>
      </c>
      <c r="J1882" s="60">
        <f>IF(AND(tblFleet[[#This Row],[Units]]&lt;&gt;"",tblFleet[[#This Row],[Available_h]]&gt;0),tblFleet[[#This Row],[Operating_h]]/tblFleet[[#This Row],[Available_h]],"")</f>
        <v/>
      </c>
    </row>
    <row r="1883">
      <c r="A1883" s="54" t="n"/>
      <c r="B1883" s="61" t="n"/>
      <c r="C1883" s="62" t="n"/>
      <c r="D1883" s="57" t="n"/>
      <c r="E1883" s="57" t="n"/>
      <c r="F1883" s="58" t="n"/>
      <c r="G1883" s="66">
        <f>IF(tblFleet[[#This Row],[Units]]="","",tblFleet[[#This Row],[Units]]*24)</f>
        <v/>
      </c>
      <c r="H1883" s="66">
        <f>IF(tblFleet[[#This Row],[Units]]="","",tblFleet[[#This Row],[Calendar_h]]-tblFleet[[#This Row],[Down_h]])</f>
        <v/>
      </c>
      <c r="I1883" s="60">
        <f>IF(AND(tblFleet[[#This Row],[Units]]&lt;&gt;"",tblFleet[[#This Row],[Calendar_h]]&gt;0),tblFleet[[#This Row],[Available_h]]/tblFleet[[#This Row],[Calendar_h]],"")</f>
        <v/>
      </c>
      <c r="J1883" s="60">
        <f>IF(AND(tblFleet[[#This Row],[Units]]&lt;&gt;"",tblFleet[[#This Row],[Available_h]]&gt;0),tblFleet[[#This Row],[Operating_h]]/tblFleet[[#This Row],[Available_h]],"")</f>
        <v/>
      </c>
    </row>
    <row r="1884">
      <c r="A1884" s="54" t="n"/>
      <c r="B1884" s="61" t="n"/>
      <c r="C1884" s="62" t="n"/>
      <c r="D1884" s="57" t="n"/>
      <c r="E1884" s="57" t="n"/>
      <c r="F1884" s="58" t="n"/>
      <c r="G1884" s="66">
        <f>IF(tblFleet[[#This Row],[Units]]="","",tblFleet[[#This Row],[Units]]*24)</f>
        <v/>
      </c>
      <c r="H1884" s="66">
        <f>IF(tblFleet[[#This Row],[Units]]="","",tblFleet[[#This Row],[Calendar_h]]-tblFleet[[#This Row],[Down_h]])</f>
        <v/>
      </c>
      <c r="I1884" s="60">
        <f>IF(AND(tblFleet[[#This Row],[Units]]&lt;&gt;"",tblFleet[[#This Row],[Calendar_h]]&gt;0),tblFleet[[#This Row],[Available_h]]/tblFleet[[#This Row],[Calendar_h]],"")</f>
        <v/>
      </c>
      <c r="J1884" s="60">
        <f>IF(AND(tblFleet[[#This Row],[Units]]&lt;&gt;"",tblFleet[[#This Row],[Available_h]]&gt;0),tblFleet[[#This Row],[Operating_h]]/tblFleet[[#This Row],[Available_h]],"")</f>
        <v/>
      </c>
    </row>
    <row r="1885">
      <c r="A1885" s="54" t="n"/>
      <c r="B1885" s="61" t="n"/>
      <c r="C1885" s="62" t="n"/>
      <c r="D1885" s="57" t="n"/>
      <c r="E1885" s="57" t="n"/>
      <c r="F1885" s="58" t="n"/>
      <c r="G1885" s="66">
        <f>IF(tblFleet[[#This Row],[Units]]="","",tblFleet[[#This Row],[Units]]*24)</f>
        <v/>
      </c>
      <c r="H1885" s="66">
        <f>IF(tblFleet[[#This Row],[Units]]="","",tblFleet[[#This Row],[Calendar_h]]-tblFleet[[#This Row],[Down_h]])</f>
        <v/>
      </c>
      <c r="I1885" s="60">
        <f>IF(AND(tblFleet[[#This Row],[Units]]&lt;&gt;"",tblFleet[[#This Row],[Calendar_h]]&gt;0),tblFleet[[#This Row],[Available_h]]/tblFleet[[#This Row],[Calendar_h]],"")</f>
        <v/>
      </c>
      <c r="J1885" s="60">
        <f>IF(AND(tblFleet[[#This Row],[Units]]&lt;&gt;"",tblFleet[[#This Row],[Available_h]]&gt;0),tblFleet[[#This Row],[Operating_h]]/tblFleet[[#This Row],[Available_h]],"")</f>
        <v/>
      </c>
    </row>
    <row r="1886">
      <c r="A1886" s="54" t="n"/>
      <c r="B1886" s="61" t="n"/>
      <c r="C1886" s="62" t="n"/>
      <c r="D1886" s="57" t="n"/>
      <c r="E1886" s="57" t="n"/>
      <c r="F1886" s="58" t="n"/>
      <c r="G1886" s="66">
        <f>IF(tblFleet[[#This Row],[Units]]="","",tblFleet[[#This Row],[Units]]*24)</f>
        <v/>
      </c>
      <c r="H1886" s="66">
        <f>IF(tblFleet[[#This Row],[Units]]="","",tblFleet[[#This Row],[Calendar_h]]-tblFleet[[#This Row],[Down_h]])</f>
        <v/>
      </c>
      <c r="I1886" s="60">
        <f>IF(AND(tblFleet[[#This Row],[Units]]&lt;&gt;"",tblFleet[[#This Row],[Calendar_h]]&gt;0),tblFleet[[#This Row],[Available_h]]/tblFleet[[#This Row],[Calendar_h]],"")</f>
        <v/>
      </c>
      <c r="J1886" s="60">
        <f>IF(AND(tblFleet[[#This Row],[Units]]&lt;&gt;"",tblFleet[[#This Row],[Available_h]]&gt;0),tblFleet[[#This Row],[Operating_h]]/tblFleet[[#This Row],[Available_h]],"")</f>
        <v/>
      </c>
    </row>
    <row r="1887">
      <c r="A1887" s="54" t="n"/>
      <c r="B1887" s="61" t="n"/>
      <c r="C1887" s="62" t="n"/>
      <c r="D1887" s="57" t="n"/>
      <c r="E1887" s="57" t="n"/>
      <c r="F1887" s="58" t="n"/>
      <c r="G1887" s="66">
        <f>IF(tblFleet[[#This Row],[Units]]="","",tblFleet[[#This Row],[Units]]*24)</f>
        <v/>
      </c>
      <c r="H1887" s="66">
        <f>IF(tblFleet[[#This Row],[Units]]="","",tblFleet[[#This Row],[Calendar_h]]-tblFleet[[#This Row],[Down_h]])</f>
        <v/>
      </c>
      <c r="I1887" s="60">
        <f>IF(AND(tblFleet[[#This Row],[Units]]&lt;&gt;"",tblFleet[[#This Row],[Calendar_h]]&gt;0),tblFleet[[#This Row],[Available_h]]/tblFleet[[#This Row],[Calendar_h]],"")</f>
        <v/>
      </c>
      <c r="J1887" s="60">
        <f>IF(AND(tblFleet[[#This Row],[Units]]&lt;&gt;"",tblFleet[[#This Row],[Available_h]]&gt;0),tblFleet[[#This Row],[Operating_h]]/tblFleet[[#This Row],[Available_h]],"")</f>
        <v/>
      </c>
    </row>
    <row r="1888">
      <c r="A1888" s="54" t="n"/>
      <c r="B1888" s="61" t="n"/>
      <c r="C1888" s="62" t="n"/>
      <c r="D1888" s="57" t="n"/>
      <c r="E1888" s="57" t="n"/>
      <c r="F1888" s="58" t="n"/>
      <c r="G1888" s="66">
        <f>IF(tblFleet[[#This Row],[Units]]="","",tblFleet[[#This Row],[Units]]*24)</f>
        <v/>
      </c>
      <c r="H1888" s="66">
        <f>IF(tblFleet[[#This Row],[Units]]="","",tblFleet[[#This Row],[Calendar_h]]-tblFleet[[#This Row],[Down_h]])</f>
        <v/>
      </c>
      <c r="I1888" s="60">
        <f>IF(AND(tblFleet[[#This Row],[Units]]&lt;&gt;"",tblFleet[[#This Row],[Calendar_h]]&gt;0),tblFleet[[#This Row],[Available_h]]/tblFleet[[#This Row],[Calendar_h]],"")</f>
        <v/>
      </c>
      <c r="J1888" s="60">
        <f>IF(AND(tblFleet[[#This Row],[Units]]&lt;&gt;"",tblFleet[[#This Row],[Available_h]]&gt;0),tblFleet[[#This Row],[Operating_h]]/tblFleet[[#This Row],[Available_h]],"")</f>
        <v/>
      </c>
    </row>
    <row r="1889">
      <c r="A1889" s="54" t="n"/>
      <c r="B1889" s="61" t="n"/>
      <c r="C1889" s="62" t="n"/>
      <c r="D1889" s="57" t="n"/>
      <c r="E1889" s="57" t="n"/>
      <c r="F1889" s="58" t="n"/>
      <c r="G1889" s="66">
        <f>IF(tblFleet[[#This Row],[Units]]="","",tblFleet[[#This Row],[Units]]*24)</f>
        <v/>
      </c>
      <c r="H1889" s="66">
        <f>IF(tblFleet[[#This Row],[Units]]="","",tblFleet[[#This Row],[Calendar_h]]-tblFleet[[#This Row],[Down_h]])</f>
        <v/>
      </c>
      <c r="I1889" s="60">
        <f>IF(AND(tblFleet[[#This Row],[Units]]&lt;&gt;"",tblFleet[[#This Row],[Calendar_h]]&gt;0),tblFleet[[#This Row],[Available_h]]/tblFleet[[#This Row],[Calendar_h]],"")</f>
        <v/>
      </c>
      <c r="J1889" s="60">
        <f>IF(AND(tblFleet[[#This Row],[Units]]&lt;&gt;"",tblFleet[[#This Row],[Available_h]]&gt;0),tblFleet[[#This Row],[Operating_h]]/tblFleet[[#This Row],[Available_h]],"")</f>
        <v/>
      </c>
    </row>
    <row r="1890">
      <c r="A1890" s="54" t="n"/>
      <c r="B1890" s="61" t="n"/>
      <c r="C1890" s="62" t="n"/>
      <c r="D1890" s="57" t="n"/>
      <c r="E1890" s="57" t="n"/>
      <c r="F1890" s="58" t="n"/>
      <c r="G1890" s="66">
        <f>IF(tblFleet[[#This Row],[Units]]="","",tblFleet[[#This Row],[Units]]*24)</f>
        <v/>
      </c>
      <c r="H1890" s="66">
        <f>IF(tblFleet[[#This Row],[Units]]="","",tblFleet[[#This Row],[Calendar_h]]-tblFleet[[#This Row],[Down_h]])</f>
        <v/>
      </c>
      <c r="I1890" s="60">
        <f>IF(AND(tblFleet[[#This Row],[Units]]&lt;&gt;"",tblFleet[[#This Row],[Calendar_h]]&gt;0),tblFleet[[#This Row],[Available_h]]/tblFleet[[#This Row],[Calendar_h]],"")</f>
        <v/>
      </c>
      <c r="J1890" s="60">
        <f>IF(AND(tblFleet[[#This Row],[Units]]&lt;&gt;"",tblFleet[[#This Row],[Available_h]]&gt;0),tblFleet[[#This Row],[Operating_h]]/tblFleet[[#This Row],[Available_h]],"")</f>
        <v/>
      </c>
    </row>
    <row r="1891">
      <c r="A1891" s="54" t="n"/>
      <c r="B1891" s="61" t="n"/>
      <c r="C1891" s="62" t="n"/>
      <c r="D1891" s="57" t="n"/>
      <c r="E1891" s="57" t="n"/>
      <c r="F1891" s="58" t="n"/>
      <c r="G1891" s="66">
        <f>IF(tblFleet[[#This Row],[Units]]="","",tblFleet[[#This Row],[Units]]*24)</f>
        <v/>
      </c>
      <c r="H1891" s="66">
        <f>IF(tblFleet[[#This Row],[Units]]="","",tblFleet[[#This Row],[Calendar_h]]-tblFleet[[#This Row],[Down_h]])</f>
        <v/>
      </c>
      <c r="I1891" s="60">
        <f>IF(AND(tblFleet[[#This Row],[Units]]&lt;&gt;"",tblFleet[[#This Row],[Calendar_h]]&gt;0),tblFleet[[#This Row],[Available_h]]/tblFleet[[#This Row],[Calendar_h]],"")</f>
        <v/>
      </c>
      <c r="J1891" s="60">
        <f>IF(AND(tblFleet[[#This Row],[Units]]&lt;&gt;"",tblFleet[[#This Row],[Available_h]]&gt;0),tblFleet[[#This Row],[Operating_h]]/tblFleet[[#This Row],[Available_h]],"")</f>
        <v/>
      </c>
    </row>
    <row r="1892">
      <c r="A1892" s="54" t="n"/>
      <c r="B1892" s="61" t="n"/>
      <c r="C1892" s="62" t="n"/>
      <c r="D1892" s="57" t="n"/>
      <c r="E1892" s="57" t="n"/>
      <c r="F1892" s="58" t="n"/>
      <c r="G1892" s="66">
        <f>IF(tblFleet[[#This Row],[Units]]="","",tblFleet[[#This Row],[Units]]*24)</f>
        <v/>
      </c>
      <c r="H1892" s="66">
        <f>IF(tblFleet[[#This Row],[Units]]="","",tblFleet[[#This Row],[Calendar_h]]-tblFleet[[#This Row],[Down_h]])</f>
        <v/>
      </c>
      <c r="I1892" s="60">
        <f>IF(AND(tblFleet[[#This Row],[Units]]&lt;&gt;"",tblFleet[[#This Row],[Calendar_h]]&gt;0),tblFleet[[#This Row],[Available_h]]/tblFleet[[#This Row],[Calendar_h]],"")</f>
        <v/>
      </c>
      <c r="J1892" s="60">
        <f>IF(AND(tblFleet[[#This Row],[Units]]&lt;&gt;"",tblFleet[[#This Row],[Available_h]]&gt;0),tblFleet[[#This Row],[Operating_h]]/tblFleet[[#This Row],[Available_h]],"")</f>
        <v/>
      </c>
    </row>
    <row r="1893">
      <c r="A1893" s="54" t="n"/>
      <c r="B1893" s="61" t="n"/>
      <c r="C1893" s="62" t="n"/>
      <c r="D1893" s="57" t="n"/>
      <c r="E1893" s="57" t="n"/>
      <c r="F1893" s="58" t="n"/>
      <c r="G1893" s="66">
        <f>IF(tblFleet[[#This Row],[Units]]="","",tblFleet[[#This Row],[Units]]*24)</f>
        <v/>
      </c>
      <c r="H1893" s="66">
        <f>IF(tblFleet[[#This Row],[Units]]="","",tblFleet[[#This Row],[Calendar_h]]-tblFleet[[#This Row],[Down_h]])</f>
        <v/>
      </c>
      <c r="I1893" s="60">
        <f>IF(AND(tblFleet[[#This Row],[Units]]&lt;&gt;"",tblFleet[[#This Row],[Calendar_h]]&gt;0),tblFleet[[#This Row],[Available_h]]/tblFleet[[#This Row],[Calendar_h]],"")</f>
        <v/>
      </c>
      <c r="J1893" s="60">
        <f>IF(AND(tblFleet[[#This Row],[Units]]&lt;&gt;"",tblFleet[[#This Row],[Available_h]]&gt;0),tblFleet[[#This Row],[Operating_h]]/tblFleet[[#This Row],[Available_h]],"")</f>
        <v/>
      </c>
    </row>
    <row r="1894">
      <c r="A1894" s="54" t="n"/>
      <c r="B1894" s="61" t="n"/>
      <c r="C1894" s="62" t="n"/>
      <c r="D1894" s="57" t="n"/>
      <c r="E1894" s="57" t="n"/>
      <c r="F1894" s="58" t="n"/>
      <c r="G1894" s="66">
        <f>IF(tblFleet[[#This Row],[Units]]="","",tblFleet[[#This Row],[Units]]*24)</f>
        <v/>
      </c>
      <c r="H1894" s="66">
        <f>IF(tblFleet[[#This Row],[Units]]="","",tblFleet[[#This Row],[Calendar_h]]-tblFleet[[#This Row],[Down_h]])</f>
        <v/>
      </c>
      <c r="I1894" s="60">
        <f>IF(AND(tblFleet[[#This Row],[Units]]&lt;&gt;"",tblFleet[[#This Row],[Calendar_h]]&gt;0),tblFleet[[#This Row],[Available_h]]/tblFleet[[#This Row],[Calendar_h]],"")</f>
        <v/>
      </c>
      <c r="J1894" s="60">
        <f>IF(AND(tblFleet[[#This Row],[Units]]&lt;&gt;"",tblFleet[[#This Row],[Available_h]]&gt;0),tblFleet[[#This Row],[Operating_h]]/tblFleet[[#This Row],[Available_h]],"")</f>
        <v/>
      </c>
    </row>
    <row r="1895">
      <c r="A1895" s="54" t="n"/>
      <c r="B1895" s="61" t="n"/>
      <c r="C1895" s="62" t="n"/>
      <c r="D1895" s="57" t="n"/>
      <c r="E1895" s="57" t="n"/>
      <c r="F1895" s="58" t="n"/>
      <c r="G1895" s="66">
        <f>IF(tblFleet[[#This Row],[Units]]="","",tblFleet[[#This Row],[Units]]*24)</f>
        <v/>
      </c>
      <c r="H1895" s="66">
        <f>IF(tblFleet[[#This Row],[Units]]="","",tblFleet[[#This Row],[Calendar_h]]-tblFleet[[#This Row],[Down_h]])</f>
        <v/>
      </c>
      <c r="I1895" s="60">
        <f>IF(AND(tblFleet[[#This Row],[Units]]&lt;&gt;"",tblFleet[[#This Row],[Calendar_h]]&gt;0),tblFleet[[#This Row],[Available_h]]/tblFleet[[#This Row],[Calendar_h]],"")</f>
        <v/>
      </c>
      <c r="J1895" s="60">
        <f>IF(AND(tblFleet[[#This Row],[Units]]&lt;&gt;"",tblFleet[[#This Row],[Available_h]]&gt;0),tblFleet[[#This Row],[Operating_h]]/tblFleet[[#This Row],[Available_h]],"")</f>
        <v/>
      </c>
    </row>
    <row r="1896">
      <c r="A1896" s="54" t="n"/>
      <c r="B1896" s="61" t="n"/>
      <c r="C1896" s="62" t="n"/>
      <c r="D1896" s="57" t="n"/>
      <c r="E1896" s="57" t="n"/>
      <c r="F1896" s="58" t="n"/>
      <c r="G1896" s="66">
        <f>IF(tblFleet[[#This Row],[Units]]="","",tblFleet[[#This Row],[Units]]*24)</f>
        <v/>
      </c>
      <c r="H1896" s="66">
        <f>IF(tblFleet[[#This Row],[Units]]="","",tblFleet[[#This Row],[Calendar_h]]-tblFleet[[#This Row],[Down_h]])</f>
        <v/>
      </c>
      <c r="I1896" s="60">
        <f>IF(AND(tblFleet[[#This Row],[Units]]&lt;&gt;"",tblFleet[[#This Row],[Calendar_h]]&gt;0),tblFleet[[#This Row],[Available_h]]/tblFleet[[#This Row],[Calendar_h]],"")</f>
        <v/>
      </c>
      <c r="J1896" s="60">
        <f>IF(AND(tblFleet[[#This Row],[Units]]&lt;&gt;"",tblFleet[[#This Row],[Available_h]]&gt;0),tblFleet[[#This Row],[Operating_h]]/tblFleet[[#This Row],[Available_h]],"")</f>
        <v/>
      </c>
    </row>
    <row r="1897">
      <c r="A1897" s="54" t="n"/>
      <c r="B1897" s="61" t="n"/>
      <c r="C1897" s="62" t="n"/>
      <c r="D1897" s="57" t="n"/>
      <c r="E1897" s="57" t="n"/>
      <c r="F1897" s="58" t="n"/>
      <c r="G1897" s="66">
        <f>IF(tblFleet[[#This Row],[Units]]="","",tblFleet[[#This Row],[Units]]*24)</f>
        <v/>
      </c>
      <c r="H1897" s="66">
        <f>IF(tblFleet[[#This Row],[Units]]="","",tblFleet[[#This Row],[Calendar_h]]-tblFleet[[#This Row],[Down_h]])</f>
        <v/>
      </c>
      <c r="I1897" s="60">
        <f>IF(AND(tblFleet[[#This Row],[Units]]&lt;&gt;"",tblFleet[[#This Row],[Calendar_h]]&gt;0),tblFleet[[#This Row],[Available_h]]/tblFleet[[#This Row],[Calendar_h]],"")</f>
        <v/>
      </c>
      <c r="J1897" s="60">
        <f>IF(AND(tblFleet[[#This Row],[Units]]&lt;&gt;"",tblFleet[[#This Row],[Available_h]]&gt;0),tblFleet[[#This Row],[Operating_h]]/tblFleet[[#This Row],[Available_h]],"")</f>
        <v/>
      </c>
    </row>
    <row r="1898">
      <c r="A1898" s="54" t="n"/>
      <c r="B1898" s="61" t="n"/>
      <c r="C1898" s="62" t="n"/>
      <c r="D1898" s="57" t="n"/>
      <c r="E1898" s="57" t="n"/>
      <c r="F1898" s="58" t="n"/>
      <c r="G1898" s="66">
        <f>IF(tblFleet[[#This Row],[Units]]="","",tblFleet[[#This Row],[Units]]*24)</f>
        <v/>
      </c>
      <c r="H1898" s="66">
        <f>IF(tblFleet[[#This Row],[Units]]="","",tblFleet[[#This Row],[Calendar_h]]-tblFleet[[#This Row],[Down_h]])</f>
        <v/>
      </c>
      <c r="I1898" s="60">
        <f>IF(AND(tblFleet[[#This Row],[Units]]&lt;&gt;"",tblFleet[[#This Row],[Calendar_h]]&gt;0),tblFleet[[#This Row],[Available_h]]/tblFleet[[#This Row],[Calendar_h]],"")</f>
        <v/>
      </c>
      <c r="J1898" s="60">
        <f>IF(AND(tblFleet[[#This Row],[Units]]&lt;&gt;"",tblFleet[[#This Row],[Available_h]]&gt;0),tblFleet[[#This Row],[Operating_h]]/tblFleet[[#This Row],[Available_h]],"")</f>
        <v/>
      </c>
    </row>
    <row r="1899">
      <c r="A1899" s="54" t="n"/>
      <c r="B1899" s="61" t="n"/>
      <c r="C1899" s="62" t="n"/>
      <c r="D1899" s="57" t="n"/>
      <c r="E1899" s="57" t="n"/>
      <c r="F1899" s="58" t="n"/>
      <c r="G1899" s="66">
        <f>IF(tblFleet[[#This Row],[Units]]="","",tblFleet[[#This Row],[Units]]*24)</f>
        <v/>
      </c>
      <c r="H1899" s="66">
        <f>IF(tblFleet[[#This Row],[Units]]="","",tblFleet[[#This Row],[Calendar_h]]-tblFleet[[#This Row],[Down_h]])</f>
        <v/>
      </c>
      <c r="I1899" s="60">
        <f>IF(AND(tblFleet[[#This Row],[Units]]&lt;&gt;"",tblFleet[[#This Row],[Calendar_h]]&gt;0),tblFleet[[#This Row],[Available_h]]/tblFleet[[#This Row],[Calendar_h]],"")</f>
        <v/>
      </c>
      <c r="J1899" s="60">
        <f>IF(AND(tblFleet[[#This Row],[Units]]&lt;&gt;"",tblFleet[[#This Row],[Available_h]]&gt;0),tblFleet[[#This Row],[Operating_h]]/tblFleet[[#This Row],[Available_h]],"")</f>
        <v/>
      </c>
    </row>
    <row r="1900">
      <c r="A1900" s="54" t="n"/>
      <c r="B1900" s="61" t="n"/>
      <c r="C1900" s="62" t="n"/>
      <c r="D1900" s="57" t="n"/>
      <c r="E1900" s="57" t="n"/>
      <c r="F1900" s="58" t="n"/>
      <c r="G1900" s="66">
        <f>IF(tblFleet[[#This Row],[Units]]="","",tblFleet[[#This Row],[Units]]*24)</f>
        <v/>
      </c>
      <c r="H1900" s="66">
        <f>IF(tblFleet[[#This Row],[Units]]="","",tblFleet[[#This Row],[Calendar_h]]-tblFleet[[#This Row],[Down_h]])</f>
        <v/>
      </c>
      <c r="I1900" s="60">
        <f>IF(AND(tblFleet[[#This Row],[Units]]&lt;&gt;"",tblFleet[[#This Row],[Calendar_h]]&gt;0),tblFleet[[#This Row],[Available_h]]/tblFleet[[#This Row],[Calendar_h]],"")</f>
        <v/>
      </c>
      <c r="J1900" s="60">
        <f>IF(AND(tblFleet[[#This Row],[Units]]&lt;&gt;"",tblFleet[[#This Row],[Available_h]]&gt;0),tblFleet[[#This Row],[Operating_h]]/tblFleet[[#This Row],[Available_h]],"")</f>
        <v/>
      </c>
    </row>
    <row r="1901">
      <c r="A1901" s="54" t="n"/>
      <c r="B1901" s="61" t="n"/>
      <c r="C1901" s="62" t="n"/>
      <c r="D1901" s="57" t="n"/>
      <c r="E1901" s="57" t="n"/>
      <c r="F1901" s="58" t="n"/>
      <c r="G1901" s="66">
        <f>IF(tblFleet[[#This Row],[Units]]="","",tblFleet[[#This Row],[Units]]*24)</f>
        <v/>
      </c>
      <c r="H1901" s="66">
        <f>IF(tblFleet[[#This Row],[Units]]="","",tblFleet[[#This Row],[Calendar_h]]-tblFleet[[#This Row],[Down_h]])</f>
        <v/>
      </c>
      <c r="I1901" s="60">
        <f>IF(AND(tblFleet[[#This Row],[Units]]&lt;&gt;"",tblFleet[[#This Row],[Calendar_h]]&gt;0),tblFleet[[#This Row],[Available_h]]/tblFleet[[#This Row],[Calendar_h]],"")</f>
        <v/>
      </c>
      <c r="J1901" s="60">
        <f>IF(AND(tblFleet[[#This Row],[Units]]&lt;&gt;"",tblFleet[[#This Row],[Available_h]]&gt;0),tblFleet[[#This Row],[Operating_h]]/tblFleet[[#This Row],[Available_h]],"")</f>
        <v/>
      </c>
    </row>
    <row r="1902">
      <c r="A1902" s="54" t="n"/>
      <c r="B1902" s="61" t="n"/>
      <c r="C1902" s="62" t="n"/>
      <c r="D1902" s="57" t="n"/>
      <c r="E1902" s="57" t="n"/>
      <c r="F1902" s="58" t="n"/>
      <c r="G1902" s="66">
        <f>IF(tblFleet[[#This Row],[Units]]="","",tblFleet[[#This Row],[Units]]*24)</f>
        <v/>
      </c>
      <c r="H1902" s="66">
        <f>IF(tblFleet[[#This Row],[Units]]="","",tblFleet[[#This Row],[Calendar_h]]-tblFleet[[#This Row],[Down_h]])</f>
        <v/>
      </c>
      <c r="I1902" s="60">
        <f>IF(AND(tblFleet[[#This Row],[Units]]&lt;&gt;"",tblFleet[[#This Row],[Calendar_h]]&gt;0),tblFleet[[#This Row],[Available_h]]/tblFleet[[#This Row],[Calendar_h]],"")</f>
        <v/>
      </c>
      <c r="J1902" s="60">
        <f>IF(AND(tblFleet[[#This Row],[Units]]&lt;&gt;"",tblFleet[[#This Row],[Available_h]]&gt;0),tblFleet[[#This Row],[Operating_h]]/tblFleet[[#This Row],[Available_h]],"")</f>
        <v/>
      </c>
    </row>
    <row r="1903">
      <c r="A1903" s="54" t="n"/>
      <c r="B1903" s="61" t="n"/>
      <c r="C1903" s="62" t="n"/>
      <c r="D1903" s="57" t="n"/>
      <c r="E1903" s="57" t="n"/>
      <c r="F1903" s="58" t="n"/>
      <c r="G1903" s="66">
        <f>IF(tblFleet[[#This Row],[Units]]="","",tblFleet[[#This Row],[Units]]*24)</f>
        <v/>
      </c>
      <c r="H1903" s="66">
        <f>IF(tblFleet[[#This Row],[Units]]="","",tblFleet[[#This Row],[Calendar_h]]-tblFleet[[#This Row],[Down_h]])</f>
        <v/>
      </c>
      <c r="I1903" s="60">
        <f>IF(AND(tblFleet[[#This Row],[Units]]&lt;&gt;"",tblFleet[[#This Row],[Calendar_h]]&gt;0),tblFleet[[#This Row],[Available_h]]/tblFleet[[#This Row],[Calendar_h]],"")</f>
        <v/>
      </c>
      <c r="J1903" s="60">
        <f>IF(AND(tblFleet[[#This Row],[Units]]&lt;&gt;"",tblFleet[[#This Row],[Available_h]]&gt;0),tblFleet[[#This Row],[Operating_h]]/tblFleet[[#This Row],[Available_h]],"")</f>
        <v/>
      </c>
    </row>
    <row r="1904">
      <c r="A1904" s="54" t="n"/>
      <c r="B1904" s="61" t="n"/>
      <c r="C1904" s="62" t="n"/>
      <c r="D1904" s="57" t="n"/>
      <c r="E1904" s="57" t="n"/>
      <c r="F1904" s="58" t="n"/>
      <c r="G1904" s="66">
        <f>IF(tblFleet[[#This Row],[Units]]="","",tblFleet[[#This Row],[Units]]*24)</f>
        <v/>
      </c>
      <c r="H1904" s="66">
        <f>IF(tblFleet[[#This Row],[Units]]="","",tblFleet[[#This Row],[Calendar_h]]-tblFleet[[#This Row],[Down_h]])</f>
        <v/>
      </c>
      <c r="I1904" s="60">
        <f>IF(AND(tblFleet[[#This Row],[Units]]&lt;&gt;"",tblFleet[[#This Row],[Calendar_h]]&gt;0),tblFleet[[#This Row],[Available_h]]/tblFleet[[#This Row],[Calendar_h]],"")</f>
        <v/>
      </c>
      <c r="J1904" s="60">
        <f>IF(AND(tblFleet[[#This Row],[Units]]&lt;&gt;"",tblFleet[[#This Row],[Available_h]]&gt;0),tblFleet[[#This Row],[Operating_h]]/tblFleet[[#This Row],[Available_h]],"")</f>
        <v/>
      </c>
    </row>
    <row r="1905">
      <c r="A1905" s="54" t="n"/>
      <c r="B1905" s="61" t="n"/>
      <c r="C1905" s="62" t="n"/>
      <c r="D1905" s="57" t="n"/>
      <c r="E1905" s="57" t="n"/>
      <c r="F1905" s="58" t="n"/>
      <c r="G1905" s="66">
        <f>IF(tblFleet[[#This Row],[Units]]="","",tblFleet[[#This Row],[Units]]*24)</f>
        <v/>
      </c>
      <c r="H1905" s="66">
        <f>IF(tblFleet[[#This Row],[Units]]="","",tblFleet[[#This Row],[Calendar_h]]-tblFleet[[#This Row],[Down_h]])</f>
        <v/>
      </c>
      <c r="I1905" s="60">
        <f>IF(AND(tblFleet[[#This Row],[Units]]&lt;&gt;"",tblFleet[[#This Row],[Calendar_h]]&gt;0),tblFleet[[#This Row],[Available_h]]/tblFleet[[#This Row],[Calendar_h]],"")</f>
        <v/>
      </c>
      <c r="J1905" s="60">
        <f>IF(AND(tblFleet[[#This Row],[Units]]&lt;&gt;"",tblFleet[[#This Row],[Available_h]]&gt;0),tblFleet[[#This Row],[Operating_h]]/tblFleet[[#This Row],[Available_h]],"")</f>
        <v/>
      </c>
    </row>
    <row r="1906">
      <c r="A1906" s="54" t="n"/>
      <c r="B1906" s="61" t="n"/>
      <c r="C1906" s="62" t="n"/>
      <c r="D1906" s="57" t="n"/>
      <c r="E1906" s="57" t="n"/>
      <c r="F1906" s="58" t="n"/>
      <c r="G1906" s="66">
        <f>IF(tblFleet[[#This Row],[Units]]="","",tblFleet[[#This Row],[Units]]*24)</f>
        <v/>
      </c>
      <c r="H1906" s="66">
        <f>IF(tblFleet[[#This Row],[Units]]="","",tblFleet[[#This Row],[Calendar_h]]-tblFleet[[#This Row],[Down_h]])</f>
        <v/>
      </c>
      <c r="I1906" s="60">
        <f>IF(AND(tblFleet[[#This Row],[Units]]&lt;&gt;"",tblFleet[[#This Row],[Calendar_h]]&gt;0),tblFleet[[#This Row],[Available_h]]/tblFleet[[#This Row],[Calendar_h]],"")</f>
        <v/>
      </c>
      <c r="J1906" s="60">
        <f>IF(AND(tblFleet[[#This Row],[Units]]&lt;&gt;"",tblFleet[[#This Row],[Available_h]]&gt;0),tblFleet[[#This Row],[Operating_h]]/tblFleet[[#This Row],[Available_h]],"")</f>
        <v/>
      </c>
    </row>
    <row r="1907">
      <c r="A1907" s="54" t="n"/>
      <c r="B1907" s="61" t="n"/>
      <c r="C1907" s="62" t="n"/>
      <c r="D1907" s="57" t="n"/>
      <c r="E1907" s="57" t="n"/>
      <c r="F1907" s="58" t="n"/>
      <c r="G1907" s="66">
        <f>IF(tblFleet[[#This Row],[Units]]="","",tblFleet[[#This Row],[Units]]*24)</f>
        <v/>
      </c>
      <c r="H1907" s="66">
        <f>IF(tblFleet[[#This Row],[Units]]="","",tblFleet[[#This Row],[Calendar_h]]-tblFleet[[#This Row],[Down_h]])</f>
        <v/>
      </c>
      <c r="I1907" s="60">
        <f>IF(AND(tblFleet[[#This Row],[Units]]&lt;&gt;"",tblFleet[[#This Row],[Calendar_h]]&gt;0),tblFleet[[#This Row],[Available_h]]/tblFleet[[#This Row],[Calendar_h]],"")</f>
        <v/>
      </c>
      <c r="J1907" s="60">
        <f>IF(AND(tblFleet[[#This Row],[Units]]&lt;&gt;"",tblFleet[[#This Row],[Available_h]]&gt;0),tblFleet[[#This Row],[Operating_h]]/tblFleet[[#This Row],[Available_h]],"")</f>
        <v/>
      </c>
    </row>
    <row r="1908">
      <c r="A1908" s="54" t="n"/>
      <c r="B1908" s="61" t="n"/>
      <c r="C1908" s="62" t="n"/>
      <c r="D1908" s="57" t="n"/>
      <c r="E1908" s="57" t="n"/>
      <c r="F1908" s="58" t="n"/>
      <c r="G1908" s="66">
        <f>IF(tblFleet[[#This Row],[Units]]="","",tblFleet[[#This Row],[Units]]*24)</f>
        <v/>
      </c>
      <c r="H1908" s="66">
        <f>IF(tblFleet[[#This Row],[Units]]="","",tblFleet[[#This Row],[Calendar_h]]-tblFleet[[#This Row],[Down_h]])</f>
        <v/>
      </c>
      <c r="I1908" s="60">
        <f>IF(AND(tblFleet[[#This Row],[Units]]&lt;&gt;"",tblFleet[[#This Row],[Calendar_h]]&gt;0),tblFleet[[#This Row],[Available_h]]/tblFleet[[#This Row],[Calendar_h]],"")</f>
        <v/>
      </c>
      <c r="J1908" s="60">
        <f>IF(AND(tblFleet[[#This Row],[Units]]&lt;&gt;"",tblFleet[[#This Row],[Available_h]]&gt;0),tblFleet[[#This Row],[Operating_h]]/tblFleet[[#This Row],[Available_h]],"")</f>
        <v/>
      </c>
    </row>
    <row r="1909">
      <c r="A1909" s="54" t="n"/>
      <c r="B1909" s="61" t="n"/>
      <c r="C1909" s="62" t="n"/>
      <c r="D1909" s="57" t="n"/>
      <c r="E1909" s="57" t="n"/>
      <c r="F1909" s="58" t="n"/>
      <c r="G1909" s="66">
        <f>IF(tblFleet[[#This Row],[Units]]="","",tblFleet[[#This Row],[Units]]*24)</f>
        <v/>
      </c>
      <c r="H1909" s="66">
        <f>IF(tblFleet[[#This Row],[Units]]="","",tblFleet[[#This Row],[Calendar_h]]-tblFleet[[#This Row],[Down_h]])</f>
        <v/>
      </c>
      <c r="I1909" s="60">
        <f>IF(AND(tblFleet[[#This Row],[Units]]&lt;&gt;"",tblFleet[[#This Row],[Calendar_h]]&gt;0),tblFleet[[#This Row],[Available_h]]/tblFleet[[#This Row],[Calendar_h]],"")</f>
        <v/>
      </c>
      <c r="J1909" s="60">
        <f>IF(AND(tblFleet[[#This Row],[Units]]&lt;&gt;"",tblFleet[[#This Row],[Available_h]]&gt;0),tblFleet[[#This Row],[Operating_h]]/tblFleet[[#This Row],[Available_h]],"")</f>
        <v/>
      </c>
    </row>
    <row r="1910">
      <c r="A1910" s="54" t="n"/>
      <c r="B1910" s="61" t="n"/>
      <c r="C1910" s="62" t="n"/>
      <c r="D1910" s="57" t="n"/>
      <c r="E1910" s="57" t="n"/>
      <c r="F1910" s="58" t="n"/>
      <c r="G1910" s="66">
        <f>IF(tblFleet[[#This Row],[Units]]="","",tblFleet[[#This Row],[Units]]*24)</f>
        <v/>
      </c>
      <c r="H1910" s="66">
        <f>IF(tblFleet[[#This Row],[Units]]="","",tblFleet[[#This Row],[Calendar_h]]-tblFleet[[#This Row],[Down_h]])</f>
        <v/>
      </c>
      <c r="I1910" s="60">
        <f>IF(AND(tblFleet[[#This Row],[Units]]&lt;&gt;"",tblFleet[[#This Row],[Calendar_h]]&gt;0),tblFleet[[#This Row],[Available_h]]/tblFleet[[#This Row],[Calendar_h]],"")</f>
        <v/>
      </c>
      <c r="J1910" s="60">
        <f>IF(AND(tblFleet[[#This Row],[Units]]&lt;&gt;"",tblFleet[[#This Row],[Available_h]]&gt;0),tblFleet[[#This Row],[Operating_h]]/tblFleet[[#This Row],[Available_h]],"")</f>
        <v/>
      </c>
    </row>
    <row r="1911">
      <c r="A1911" s="54" t="n"/>
      <c r="B1911" s="61" t="n"/>
      <c r="C1911" s="62" t="n"/>
      <c r="D1911" s="57" t="n"/>
      <c r="E1911" s="57" t="n"/>
      <c r="F1911" s="58" t="n"/>
      <c r="G1911" s="66">
        <f>IF(tblFleet[[#This Row],[Units]]="","",tblFleet[[#This Row],[Units]]*24)</f>
        <v/>
      </c>
      <c r="H1911" s="66">
        <f>IF(tblFleet[[#This Row],[Units]]="","",tblFleet[[#This Row],[Calendar_h]]-tblFleet[[#This Row],[Down_h]])</f>
        <v/>
      </c>
      <c r="I1911" s="60">
        <f>IF(AND(tblFleet[[#This Row],[Units]]&lt;&gt;"",tblFleet[[#This Row],[Calendar_h]]&gt;0),tblFleet[[#This Row],[Available_h]]/tblFleet[[#This Row],[Calendar_h]],"")</f>
        <v/>
      </c>
      <c r="J1911" s="60">
        <f>IF(AND(tblFleet[[#This Row],[Units]]&lt;&gt;"",tblFleet[[#This Row],[Available_h]]&gt;0),tblFleet[[#This Row],[Operating_h]]/tblFleet[[#This Row],[Available_h]],"")</f>
        <v/>
      </c>
    </row>
    <row r="1912">
      <c r="A1912" s="54" t="n"/>
      <c r="B1912" s="61" t="n"/>
      <c r="C1912" s="62" t="n"/>
      <c r="D1912" s="57" t="n"/>
      <c r="E1912" s="57" t="n"/>
      <c r="F1912" s="58" t="n"/>
      <c r="G1912" s="66">
        <f>IF(tblFleet[[#This Row],[Units]]="","",tblFleet[[#This Row],[Units]]*24)</f>
        <v/>
      </c>
      <c r="H1912" s="66">
        <f>IF(tblFleet[[#This Row],[Units]]="","",tblFleet[[#This Row],[Calendar_h]]-tblFleet[[#This Row],[Down_h]])</f>
        <v/>
      </c>
      <c r="I1912" s="60">
        <f>IF(AND(tblFleet[[#This Row],[Units]]&lt;&gt;"",tblFleet[[#This Row],[Calendar_h]]&gt;0),tblFleet[[#This Row],[Available_h]]/tblFleet[[#This Row],[Calendar_h]],"")</f>
        <v/>
      </c>
      <c r="J1912" s="60">
        <f>IF(AND(tblFleet[[#This Row],[Units]]&lt;&gt;"",tblFleet[[#This Row],[Available_h]]&gt;0),tblFleet[[#This Row],[Operating_h]]/tblFleet[[#This Row],[Available_h]],"")</f>
        <v/>
      </c>
    </row>
    <row r="1913">
      <c r="A1913" s="54" t="n"/>
      <c r="B1913" s="61" t="n"/>
      <c r="C1913" s="62" t="n"/>
      <c r="D1913" s="57" t="n"/>
      <c r="E1913" s="57" t="n"/>
      <c r="F1913" s="58" t="n"/>
      <c r="G1913" s="66">
        <f>IF(tblFleet[[#This Row],[Units]]="","",tblFleet[[#This Row],[Units]]*24)</f>
        <v/>
      </c>
      <c r="H1913" s="66">
        <f>IF(tblFleet[[#This Row],[Units]]="","",tblFleet[[#This Row],[Calendar_h]]-tblFleet[[#This Row],[Down_h]])</f>
        <v/>
      </c>
      <c r="I1913" s="60">
        <f>IF(AND(tblFleet[[#This Row],[Units]]&lt;&gt;"",tblFleet[[#This Row],[Calendar_h]]&gt;0),tblFleet[[#This Row],[Available_h]]/tblFleet[[#This Row],[Calendar_h]],"")</f>
        <v/>
      </c>
      <c r="J1913" s="60">
        <f>IF(AND(tblFleet[[#This Row],[Units]]&lt;&gt;"",tblFleet[[#This Row],[Available_h]]&gt;0),tblFleet[[#This Row],[Operating_h]]/tblFleet[[#This Row],[Available_h]],"")</f>
        <v/>
      </c>
    </row>
    <row r="1914">
      <c r="A1914" s="54" t="n"/>
      <c r="B1914" s="61" t="n"/>
      <c r="C1914" s="62" t="n"/>
      <c r="D1914" s="57" t="n"/>
      <c r="E1914" s="57" t="n"/>
      <c r="F1914" s="58" t="n"/>
      <c r="G1914" s="66">
        <f>IF(tblFleet[[#This Row],[Units]]="","",tblFleet[[#This Row],[Units]]*24)</f>
        <v/>
      </c>
      <c r="H1914" s="66">
        <f>IF(tblFleet[[#This Row],[Units]]="","",tblFleet[[#This Row],[Calendar_h]]-tblFleet[[#This Row],[Down_h]])</f>
        <v/>
      </c>
      <c r="I1914" s="60">
        <f>IF(AND(tblFleet[[#This Row],[Units]]&lt;&gt;"",tblFleet[[#This Row],[Calendar_h]]&gt;0),tblFleet[[#This Row],[Available_h]]/tblFleet[[#This Row],[Calendar_h]],"")</f>
        <v/>
      </c>
      <c r="J1914" s="60">
        <f>IF(AND(tblFleet[[#This Row],[Units]]&lt;&gt;"",tblFleet[[#This Row],[Available_h]]&gt;0),tblFleet[[#This Row],[Operating_h]]/tblFleet[[#This Row],[Available_h]],"")</f>
        <v/>
      </c>
    </row>
    <row r="1915">
      <c r="A1915" s="54" t="n"/>
      <c r="B1915" s="61" t="n"/>
      <c r="C1915" s="62" t="n"/>
      <c r="D1915" s="57" t="n"/>
      <c r="E1915" s="57" t="n"/>
      <c r="F1915" s="58" t="n"/>
      <c r="G1915" s="66">
        <f>IF(tblFleet[[#This Row],[Units]]="","",tblFleet[[#This Row],[Units]]*24)</f>
        <v/>
      </c>
      <c r="H1915" s="66">
        <f>IF(tblFleet[[#This Row],[Units]]="","",tblFleet[[#This Row],[Calendar_h]]-tblFleet[[#This Row],[Down_h]])</f>
        <v/>
      </c>
      <c r="I1915" s="60">
        <f>IF(AND(tblFleet[[#This Row],[Units]]&lt;&gt;"",tblFleet[[#This Row],[Calendar_h]]&gt;0),tblFleet[[#This Row],[Available_h]]/tblFleet[[#This Row],[Calendar_h]],"")</f>
        <v/>
      </c>
      <c r="J1915" s="60">
        <f>IF(AND(tblFleet[[#This Row],[Units]]&lt;&gt;"",tblFleet[[#This Row],[Available_h]]&gt;0),tblFleet[[#This Row],[Operating_h]]/tblFleet[[#This Row],[Available_h]],"")</f>
        <v/>
      </c>
    </row>
    <row r="1916">
      <c r="A1916" s="54" t="n"/>
      <c r="B1916" s="61" t="n"/>
      <c r="C1916" s="62" t="n"/>
      <c r="D1916" s="57" t="n"/>
      <c r="E1916" s="57" t="n"/>
      <c r="F1916" s="58" t="n"/>
      <c r="G1916" s="66">
        <f>IF(tblFleet[[#This Row],[Units]]="","",tblFleet[[#This Row],[Units]]*24)</f>
        <v/>
      </c>
      <c r="H1916" s="66">
        <f>IF(tblFleet[[#This Row],[Units]]="","",tblFleet[[#This Row],[Calendar_h]]-tblFleet[[#This Row],[Down_h]])</f>
        <v/>
      </c>
      <c r="I1916" s="60">
        <f>IF(AND(tblFleet[[#This Row],[Units]]&lt;&gt;"",tblFleet[[#This Row],[Calendar_h]]&gt;0),tblFleet[[#This Row],[Available_h]]/tblFleet[[#This Row],[Calendar_h]],"")</f>
        <v/>
      </c>
      <c r="J1916" s="60">
        <f>IF(AND(tblFleet[[#This Row],[Units]]&lt;&gt;"",tblFleet[[#This Row],[Available_h]]&gt;0),tblFleet[[#This Row],[Operating_h]]/tblFleet[[#This Row],[Available_h]],"")</f>
        <v/>
      </c>
    </row>
    <row r="1917">
      <c r="A1917" s="54" t="n"/>
      <c r="B1917" s="61" t="n"/>
      <c r="C1917" s="62" t="n"/>
      <c r="D1917" s="57" t="n"/>
      <c r="E1917" s="57" t="n"/>
      <c r="F1917" s="58" t="n"/>
      <c r="G1917" s="66">
        <f>IF(tblFleet[[#This Row],[Units]]="","",tblFleet[[#This Row],[Units]]*24)</f>
        <v/>
      </c>
      <c r="H1917" s="66">
        <f>IF(tblFleet[[#This Row],[Units]]="","",tblFleet[[#This Row],[Calendar_h]]-tblFleet[[#This Row],[Down_h]])</f>
        <v/>
      </c>
      <c r="I1917" s="60">
        <f>IF(AND(tblFleet[[#This Row],[Units]]&lt;&gt;"",tblFleet[[#This Row],[Calendar_h]]&gt;0),tblFleet[[#This Row],[Available_h]]/tblFleet[[#This Row],[Calendar_h]],"")</f>
        <v/>
      </c>
      <c r="J1917" s="60">
        <f>IF(AND(tblFleet[[#This Row],[Units]]&lt;&gt;"",tblFleet[[#This Row],[Available_h]]&gt;0),tblFleet[[#This Row],[Operating_h]]/tblFleet[[#This Row],[Available_h]],"")</f>
        <v/>
      </c>
    </row>
    <row r="1918">
      <c r="A1918" s="54" t="n"/>
      <c r="B1918" s="61" t="n"/>
      <c r="C1918" s="62" t="n"/>
      <c r="D1918" s="57" t="n"/>
      <c r="E1918" s="57" t="n"/>
      <c r="F1918" s="58" t="n"/>
      <c r="G1918" s="66">
        <f>IF(tblFleet[[#This Row],[Units]]="","",tblFleet[[#This Row],[Units]]*24)</f>
        <v/>
      </c>
      <c r="H1918" s="66">
        <f>IF(tblFleet[[#This Row],[Units]]="","",tblFleet[[#This Row],[Calendar_h]]-tblFleet[[#This Row],[Down_h]])</f>
        <v/>
      </c>
      <c r="I1918" s="60">
        <f>IF(AND(tblFleet[[#This Row],[Units]]&lt;&gt;"",tblFleet[[#This Row],[Calendar_h]]&gt;0),tblFleet[[#This Row],[Available_h]]/tblFleet[[#This Row],[Calendar_h]],"")</f>
        <v/>
      </c>
      <c r="J1918" s="60">
        <f>IF(AND(tblFleet[[#This Row],[Units]]&lt;&gt;"",tblFleet[[#This Row],[Available_h]]&gt;0),tblFleet[[#This Row],[Operating_h]]/tblFleet[[#This Row],[Available_h]],"")</f>
        <v/>
      </c>
    </row>
    <row r="1919">
      <c r="A1919" s="54" t="n"/>
      <c r="B1919" s="61" t="n"/>
      <c r="C1919" s="62" t="n"/>
      <c r="D1919" s="57" t="n"/>
      <c r="E1919" s="57" t="n"/>
      <c r="F1919" s="58" t="n"/>
      <c r="G1919" s="66">
        <f>IF(tblFleet[[#This Row],[Units]]="","",tblFleet[[#This Row],[Units]]*24)</f>
        <v/>
      </c>
      <c r="H1919" s="66">
        <f>IF(tblFleet[[#This Row],[Units]]="","",tblFleet[[#This Row],[Calendar_h]]-tblFleet[[#This Row],[Down_h]])</f>
        <v/>
      </c>
      <c r="I1919" s="60">
        <f>IF(AND(tblFleet[[#This Row],[Units]]&lt;&gt;"",tblFleet[[#This Row],[Calendar_h]]&gt;0),tblFleet[[#This Row],[Available_h]]/tblFleet[[#This Row],[Calendar_h]],"")</f>
        <v/>
      </c>
      <c r="J1919" s="60">
        <f>IF(AND(tblFleet[[#This Row],[Units]]&lt;&gt;"",tblFleet[[#This Row],[Available_h]]&gt;0),tblFleet[[#This Row],[Operating_h]]/tblFleet[[#This Row],[Available_h]],"")</f>
        <v/>
      </c>
    </row>
    <row r="1920">
      <c r="A1920" s="54" t="n"/>
      <c r="B1920" s="61" t="n"/>
      <c r="C1920" s="62" t="n"/>
      <c r="D1920" s="57" t="n"/>
      <c r="E1920" s="57" t="n"/>
      <c r="F1920" s="58" t="n"/>
      <c r="G1920" s="66">
        <f>IF(tblFleet[[#This Row],[Units]]="","",tblFleet[[#This Row],[Units]]*24)</f>
        <v/>
      </c>
      <c r="H1920" s="66">
        <f>IF(tblFleet[[#This Row],[Units]]="","",tblFleet[[#This Row],[Calendar_h]]-tblFleet[[#This Row],[Down_h]])</f>
        <v/>
      </c>
      <c r="I1920" s="60">
        <f>IF(AND(tblFleet[[#This Row],[Units]]&lt;&gt;"",tblFleet[[#This Row],[Calendar_h]]&gt;0),tblFleet[[#This Row],[Available_h]]/tblFleet[[#This Row],[Calendar_h]],"")</f>
        <v/>
      </c>
      <c r="J1920" s="60">
        <f>IF(AND(tblFleet[[#This Row],[Units]]&lt;&gt;"",tblFleet[[#This Row],[Available_h]]&gt;0),tblFleet[[#This Row],[Operating_h]]/tblFleet[[#This Row],[Available_h]],"")</f>
        <v/>
      </c>
    </row>
    <row r="1921">
      <c r="A1921" s="54" t="n"/>
      <c r="B1921" s="61" t="n"/>
      <c r="C1921" s="62" t="n"/>
      <c r="D1921" s="57" t="n"/>
      <c r="E1921" s="57" t="n"/>
      <c r="F1921" s="58" t="n"/>
      <c r="G1921" s="66">
        <f>IF(tblFleet[[#This Row],[Units]]="","",tblFleet[[#This Row],[Units]]*24)</f>
        <v/>
      </c>
      <c r="H1921" s="66">
        <f>IF(tblFleet[[#This Row],[Units]]="","",tblFleet[[#This Row],[Calendar_h]]-tblFleet[[#This Row],[Down_h]])</f>
        <v/>
      </c>
      <c r="I1921" s="60">
        <f>IF(AND(tblFleet[[#This Row],[Units]]&lt;&gt;"",tblFleet[[#This Row],[Calendar_h]]&gt;0),tblFleet[[#This Row],[Available_h]]/tblFleet[[#This Row],[Calendar_h]],"")</f>
        <v/>
      </c>
      <c r="J1921" s="60">
        <f>IF(AND(tblFleet[[#This Row],[Units]]&lt;&gt;"",tblFleet[[#This Row],[Available_h]]&gt;0),tblFleet[[#This Row],[Operating_h]]/tblFleet[[#This Row],[Available_h]],"")</f>
        <v/>
      </c>
    </row>
    <row r="1922">
      <c r="A1922" s="54" t="n"/>
      <c r="B1922" s="61" t="n"/>
      <c r="C1922" s="62" t="n"/>
      <c r="D1922" s="57" t="n"/>
      <c r="E1922" s="57" t="n"/>
      <c r="F1922" s="58" t="n"/>
      <c r="G1922" s="66">
        <f>IF(tblFleet[[#This Row],[Units]]="","",tblFleet[[#This Row],[Units]]*24)</f>
        <v/>
      </c>
      <c r="H1922" s="66">
        <f>IF(tblFleet[[#This Row],[Units]]="","",tblFleet[[#This Row],[Calendar_h]]-tblFleet[[#This Row],[Down_h]])</f>
        <v/>
      </c>
      <c r="I1922" s="60">
        <f>IF(AND(tblFleet[[#This Row],[Units]]&lt;&gt;"",tblFleet[[#This Row],[Calendar_h]]&gt;0),tblFleet[[#This Row],[Available_h]]/tblFleet[[#This Row],[Calendar_h]],"")</f>
        <v/>
      </c>
      <c r="J1922" s="60">
        <f>IF(AND(tblFleet[[#This Row],[Units]]&lt;&gt;"",tblFleet[[#This Row],[Available_h]]&gt;0),tblFleet[[#This Row],[Operating_h]]/tblFleet[[#This Row],[Available_h]],"")</f>
        <v/>
      </c>
    </row>
    <row r="1923">
      <c r="A1923" s="54" t="n"/>
      <c r="B1923" s="61" t="n"/>
      <c r="C1923" s="62" t="n"/>
      <c r="D1923" s="57" t="n"/>
      <c r="E1923" s="57" t="n"/>
      <c r="F1923" s="58" t="n"/>
      <c r="G1923" s="66">
        <f>IF(tblFleet[[#This Row],[Units]]="","",tblFleet[[#This Row],[Units]]*24)</f>
        <v/>
      </c>
      <c r="H1923" s="66">
        <f>IF(tblFleet[[#This Row],[Units]]="","",tblFleet[[#This Row],[Calendar_h]]-tblFleet[[#This Row],[Down_h]])</f>
        <v/>
      </c>
      <c r="I1923" s="60">
        <f>IF(AND(tblFleet[[#This Row],[Units]]&lt;&gt;"",tblFleet[[#This Row],[Calendar_h]]&gt;0),tblFleet[[#This Row],[Available_h]]/tblFleet[[#This Row],[Calendar_h]],"")</f>
        <v/>
      </c>
      <c r="J1923" s="60">
        <f>IF(AND(tblFleet[[#This Row],[Units]]&lt;&gt;"",tblFleet[[#This Row],[Available_h]]&gt;0),tblFleet[[#This Row],[Operating_h]]/tblFleet[[#This Row],[Available_h]],"")</f>
        <v/>
      </c>
    </row>
    <row r="1924">
      <c r="A1924" s="54" t="n"/>
      <c r="B1924" s="61" t="n"/>
      <c r="C1924" s="62" t="n"/>
      <c r="D1924" s="57" t="n"/>
      <c r="E1924" s="57" t="n"/>
      <c r="F1924" s="58" t="n"/>
      <c r="G1924" s="66">
        <f>IF(tblFleet[[#This Row],[Units]]="","",tblFleet[[#This Row],[Units]]*24)</f>
        <v/>
      </c>
      <c r="H1924" s="66">
        <f>IF(tblFleet[[#This Row],[Units]]="","",tblFleet[[#This Row],[Calendar_h]]-tblFleet[[#This Row],[Down_h]])</f>
        <v/>
      </c>
      <c r="I1924" s="60">
        <f>IF(AND(tblFleet[[#This Row],[Units]]&lt;&gt;"",tblFleet[[#This Row],[Calendar_h]]&gt;0),tblFleet[[#This Row],[Available_h]]/tblFleet[[#This Row],[Calendar_h]],"")</f>
        <v/>
      </c>
      <c r="J1924" s="60">
        <f>IF(AND(tblFleet[[#This Row],[Units]]&lt;&gt;"",tblFleet[[#This Row],[Available_h]]&gt;0),tblFleet[[#This Row],[Operating_h]]/tblFleet[[#This Row],[Available_h]],"")</f>
        <v/>
      </c>
    </row>
    <row r="1925">
      <c r="A1925" s="54" t="n"/>
      <c r="B1925" s="61" t="n"/>
      <c r="C1925" s="62" t="n"/>
      <c r="D1925" s="57" t="n"/>
      <c r="E1925" s="57" t="n"/>
      <c r="F1925" s="58" t="n"/>
      <c r="G1925" s="66">
        <f>IF(tblFleet[[#This Row],[Units]]="","",tblFleet[[#This Row],[Units]]*24)</f>
        <v/>
      </c>
      <c r="H1925" s="66">
        <f>IF(tblFleet[[#This Row],[Units]]="","",tblFleet[[#This Row],[Calendar_h]]-tblFleet[[#This Row],[Down_h]])</f>
        <v/>
      </c>
      <c r="I1925" s="60">
        <f>IF(AND(tblFleet[[#This Row],[Units]]&lt;&gt;"",tblFleet[[#This Row],[Calendar_h]]&gt;0),tblFleet[[#This Row],[Available_h]]/tblFleet[[#This Row],[Calendar_h]],"")</f>
        <v/>
      </c>
      <c r="J1925" s="60">
        <f>IF(AND(tblFleet[[#This Row],[Units]]&lt;&gt;"",tblFleet[[#This Row],[Available_h]]&gt;0),tblFleet[[#This Row],[Operating_h]]/tblFleet[[#This Row],[Available_h]],"")</f>
        <v/>
      </c>
    </row>
    <row r="1926">
      <c r="A1926" s="54" t="n"/>
      <c r="B1926" s="61" t="n"/>
      <c r="C1926" s="62" t="n"/>
      <c r="D1926" s="57" t="n"/>
      <c r="E1926" s="57" t="n"/>
      <c r="F1926" s="58" t="n"/>
      <c r="G1926" s="66">
        <f>IF(tblFleet[[#This Row],[Units]]="","",tblFleet[[#This Row],[Units]]*24)</f>
        <v/>
      </c>
      <c r="H1926" s="66">
        <f>IF(tblFleet[[#This Row],[Units]]="","",tblFleet[[#This Row],[Calendar_h]]-tblFleet[[#This Row],[Down_h]])</f>
        <v/>
      </c>
      <c r="I1926" s="60">
        <f>IF(AND(tblFleet[[#This Row],[Units]]&lt;&gt;"",tblFleet[[#This Row],[Calendar_h]]&gt;0),tblFleet[[#This Row],[Available_h]]/tblFleet[[#This Row],[Calendar_h]],"")</f>
        <v/>
      </c>
      <c r="J1926" s="60">
        <f>IF(AND(tblFleet[[#This Row],[Units]]&lt;&gt;"",tblFleet[[#This Row],[Available_h]]&gt;0),tblFleet[[#This Row],[Operating_h]]/tblFleet[[#This Row],[Available_h]],"")</f>
        <v/>
      </c>
    </row>
    <row r="1927">
      <c r="A1927" s="54" t="n"/>
      <c r="B1927" s="61" t="n"/>
      <c r="C1927" s="62" t="n"/>
      <c r="D1927" s="57" t="n"/>
      <c r="E1927" s="57" t="n"/>
      <c r="F1927" s="58" t="n"/>
      <c r="G1927" s="66">
        <f>IF(tblFleet[[#This Row],[Units]]="","",tblFleet[[#This Row],[Units]]*24)</f>
        <v/>
      </c>
      <c r="H1927" s="66">
        <f>IF(tblFleet[[#This Row],[Units]]="","",tblFleet[[#This Row],[Calendar_h]]-tblFleet[[#This Row],[Down_h]])</f>
        <v/>
      </c>
      <c r="I1927" s="60">
        <f>IF(AND(tblFleet[[#This Row],[Units]]&lt;&gt;"",tblFleet[[#This Row],[Calendar_h]]&gt;0),tblFleet[[#This Row],[Available_h]]/tblFleet[[#This Row],[Calendar_h]],"")</f>
        <v/>
      </c>
      <c r="J1927" s="60">
        <f>IF(AND(tblFleet[[#This Row],[Units]]&lt;&gt;"",tblFleet[[#This Row],[Available_h]]&gt;0),tblFleet[[#This Row],[Operating_h]]/tblFleet[[#This Row],[Available_h]],"")</f>
        <v/>
      </c>
    </row>
    <row r="1928">
      <c r="A1928" s="54" t="n"/>
      <c r="B1928" s="61" t="n"/>
      <c r="C1928" s="62" t="n"/>
      <c r="D1928" s="57" t="n"/>
      <c r="E1928" s="57" t="n"/>
      <c r="F1928" s="58" t="n"/>
      <c r="G1928" s="66">
        <f>IF(tblFleet[[#This Row],[Units]]="","",tblFleet[[#This Row],[Units]]*24)</f>
        <v/>
      </c>
      <c r="H1928" s="66">
        <f>IF(tblFleet[[#This Row],[Units]]="","",tblFleet[[#This Row],[Calendar_h]]-tblFleet[[#This Row],[Down_h]])</f>
        <v/>
      </c>
      <c r="I1928" s="60">
        <f>IF(AND(tblFleet[[#This Row],[Units]]&lt;&gt;"",tblFleet[[#This Row],[Calendar_h]]&gt;0),tblFleet[[#This Row],[Available_h]]/tblFleet[[#This Row],[Calendar_h]],"")</f>
        <v/>
      </c>
      <c r="J1928" s="60">
        <f>IF(AND(tblFleet[[#This Row],[Units]]&lt;&gt;"",tblFleet[[#This Row],[Available_h]]&gt;0),tblFleet[[#This Row],[Operating_h]]/tblFleet[[#This Row],[Available_h]],"")</f>
        <v/>
      </c>
    </row>
    <row r="1929">
      <c r="A1929" s="54" t="n"/>
      <c r="B1929" s="61" t="n"/>
      <c r="C1929" s="62" t="n"/>
      <c r="D1929" s="57" t="n"/>
      <c r="E1929" s="57" t="n"/>
      <c r="F1929" s="58" t="n"/>
      <c r="G1929" s="66">
        <f>IF(tblFleet[[#This Row],[Units]]="","",tblFleet[[#This Row],[Units]]*24)</f>
        <v/>
      </c>
      <c r="H1929" s="66">
        <f>IF(tblFleet[[#This Row],[Units]]="","",tblFleet[[#This Row],[Calendar_h]]-tblFleet[[#This Row],[Down_h]])</f>
        <v/>
      </c>
      <c r="I1929" s="60">
        <f>IF(AND(tblFleet[[#This Row],[Units]]&lt;&gt;"",tblFleet[[#This Row],[Calendar_h]]&gt;0),tblFleet[[#This Row],[Available_h]]/tblFleet[[#This Row],[Calendar_h]],"")</f>
        <v/>
      </c>
      <c r="J1929" s="60">
        <f>IF(AND(tblFleet[[#This Row],[Units]]&lt;&gt;"",tblFleet[[#This Row],[Available_h]]&gt;0),tblFleet[[#This Row],[Operating_h]]/tblFleet[[#This Row],[Available_h]],"")</f>
        <v/>
      </c>
    </row>
    <row r="1930">
      <c r="A1930" s="54" t="n"/>
      <c r="B1930" s="61" t="n"/>
      <c r="C1930" s="62" t="n"/>
      <c r="D1930" s="57" t="n"/>
      <c r="E1930" s="57" t="n"/>
      <c r="F1930" s="58" t="n"/>
      <c r="G1930" s="66">
        <f>IF(tblFleet[[#This Row],[Units]]="","",tblFleet[[#This Row],[Units]]*24)</f>
        <v/>
      </c>
      <c r="H1930" s="66">
        <f>IF(tblFleet[[#This Row],[Units]]="","",tblFleet[[#This Row],[Calendar_h]]-tblFleet[[#This Row],[Down_h]])</f>
        <v/>
      </c>
      <c r="I1930" s="60">
        <f>IF(AND(tblFleet[[#This Row],[Units]]&lt;&gt;"",tblFleet[[#This Row],[Calendar_h]]&gt;0),tblFleet[[#This Row],[Available_h]]/tblFleet[[#This Row],[Calendar_h]],"")</f>
        <v/>
      </c>
      <c r="J1930" s="60">
        <f>IF(AND(tblFleet[[#This Row],[Units]]&lt;&gt;"",tblFleet[[#This Row],[Available_h]]&gt;0),tblFleet[[#This Row],[Operating_h]]/tblFleet[[#This Row],[Available_h]],"")</f>
        <v/>
      </c>
    </row>
    <row r="1931">
      <c r="A1931" s="54" t="n"/>
      <c r="B1931" s="61" t="n"/>
      <c r="C1931" s="62" t="n"/>
      <c r="D1931" s="57" t="n"/>
      <c r="E1931" s="57" t="n"/>
      <c r="F1931" s="58" t="n"/>
      <c r="G1931" s="66">
        <f>IF(tblFleet[[#This Row],[Units]]="","",tblFleet[[#This Row],[Units]]*24)</f>
        <v/>
      </c>
      <c r="H1931" s="66">
        <f>IF(tblFleet[[#This Row],[Units]]="","",tblFleet[[#This Row],[Calendar_h]]-tblFleet[[#This Row],[Down_h]])</f>
        <v/>
      </c>
      <c r="I1931" s="60">
        <f>IF(AND(tblFleet[[#This Row],[Units]]&lt;&gt;"",tblFleet[[#This Row],[Calendar_h]]&gt;0),tblFleet[[#This Row],[Available_h]]/tblFleet[[#This Row],[Calendar_h]],"")</f>
        <v/>
      </c>
      <c r="J1931" s="60">
        <f>IF(AND(tblFleet[[#This Row],[Units]]&lt;&gt;"",tblFleet[[#This Row],[Available_h]]&gt;0),tblFleet[[#This Row],[Operating_h]]/tblFleet[[#This Row],[Available_h]],"")</f>
        <v/>
      </c>
    </row>
    <row r="1932">
      <c r="A1932" s="54" t="n"/>
      <c r="B1932" s="61" t="n"/>
      <c r="C1932" s="62" t="n"/>
      <c r="D1932" s="57" t="n"/>
      <c r="E1932" s="57" t="n"/>
      <c r="F1932" s="58" t="n"/>
      <c r="G1932" s="66">
        <f>IF(tblFleet[[#This Row],[Units]]="","",tblFleet[[#This Row],[Units]]*24)</f>
        <v/>
      </c>
      <c r="H1932" s="66">
        <f>IF(tblFleet[[#This Row],[Units]]="","",tblFleet[[#This Row],[Calendar_h]]-tblFleet[[#This Row],[Down_h]])</f>
        <v/>
      </c>
      <c r="I1932" s="60">
        <f>IF(AND(tblFleet[[#This Row],[Units]]&lt;&gt;"",tblFleet[[#This Row],[Calendar_h]]&gt;0),tblFleet[[#This Row],[Available_h]]/tblFleet[[#This Row],[Calendar_h]],"")</f>
        <v/>
      </c>
      <c r="J1932" s="60">
        <f>IF(AND(tblFleet[[#This Row],[Units]]&lt;&gt;"",tblFleet[[#This Row],[Available_h]]&gt;0),tblFleet[[#This Row],[Operating_h]]/tblFleet[[#This Row],[Available_h]],"")</f>
        <v/>
      </c>
    </row>
    <row r="1933">
      <c r="A1933" s="54" t="n"/>
      <c r="B1933" s="61" t="n"/>
      <c r="C1933" s="62" t="n"/>
      <c r="D1933" s="57" t="n"/>
      <c r="E1933" s="57" t="n"/>
      <c r="F1933" s="58" t="n"/>
      <c r="G1933" s="66">
        <f>IF(tblFleet[[#This Row],[Units]]="","",tblFleet[[#This Row],[Units]]*24)</f>
        <v/>
      </c>
      <c r="H1933" s="66">
        <f>IF(tblFleet[[#This Row],[Units]]="","",tblFleet[[#This Row],[Calendar_h]]-tblFleet[[#This Row],[Down_h]])</f>
        <v/>
      </c>
      <c r="I1933" s="60">
        <f>IF(AND(tblFleet[[#This Row],[Units]]&lt;&gt;"",tblFleet[[#This Row],[Calendar_h]]&gt;0),tblFleet[[#This Row],[Available_h]]/tblFleet[[#This Row],[Calendar_h]],"")</f>
        <v/>
      </c>
      <c r="J1933" s="60">
        <f>IF(AND(tblFleet[[#This Row],[Units]]&lt;&gt;"",tblFleet[[#This Row],[Available_h]]&gt;0),tblFleet[[#This Row],[Operating_h]]/tblFleet[[#This Row],[Available_h]],"")</f>
        <v/>
      </c>
    </row>
    <row r="1934">
      <c r="A1934" s="54" t="n"/>
      <c r="B1934" s="61" t="n"/>
      <c r="C1934" s="62" t="n"/>
      <c r="D1934" s="57" t="n"/>
      <c r="E1934" s="57" t="n"/>
      <c r="F1934" s="58" t="n"/>
      <c r="G1934" s="66">
        <f>IF(tblFleet[[#This Row],[Units]]="","",tblFleet[[#This Row],[Units]]*24)</f>
        <v/>
      </c>
      <c r="H1934" s="66">
        <f>IF(tblFleet[[#This Row],[Units]]="","",tblFleet[[#This Row],[Calendar_h]]-tblFleet[[#This Row],[Down_h]])</f>
        <v/>
      </c>
      <c r="I1934" s="60">
        <f>IF(AND(tblFleet[[#This Row],[Units]]&lt;&gt;"",tblFleet[[#This Row],[Calendar_h]]&gt;0),tblFleet[[#This Row],[Available_h]]/tblFleet[[#This Row],[Calendar_h]],"")</f>
        <v/>
      </c>
      <c r="J1934" s="60">
        <f>IF(AND(tblFleet[[#This Row],[Units]]&lt;&gt;"",tblFleet[[#This Row],[Available_h]]&gt;0),tblFleet[[#This Row],[Operating_h]]/tblFleet[[#This Row],[Available_h]],"")</f>
        <v/>
      </c>
    </row>
    <row r="1935">
      <c r="A1935" s="54" t="n"/>
      <c r="B1935" s="61" t="n"/>
      <c r="C1935" s="62" t="n"/>
      <c r="D1935" s="57" t="n"/>
      <c r="E1935" s="57" t="n"/>
      <c r="F1935" s="58" t="n"/>
      <c r="G1935" s="66">
        <f>IF(tblFleet[[#This Row],[Units]]="","",tblFleet[[#This Row],[Units]]*24)</f>
        <v/>
      </c>
      <c r="H1935" s="66">
        <f>IF(tblFleet[[#This Row],[Units]]="","",tblFleet[[#This Row],[Calendar_h]]-tblFleet[[#This Row],[Down_h]])</f>
        <v/>
      </c>
      <c r="I1935" s="60">
        <f>IF(AND(tblFleet[[#This Row],[Units]]&lt;&gt;"",tblFleet[[#This Row],[Calendar_h]]&gt;0),tblFleet[[#This Row],[Available_h]]/tblFleet[[#This Row],[Calendar_h]],"")</f>
        <v/>
      </c>
      <c r="J1935" s="60">
        <f>IF(AND(tblFleet[[#This Row],[Units]]&lt;&gt;"",tblFleet[[#This Row],[Available_h]]&gt;0),tblFleet[[#This Row],[Operating_h]]/tblFleet[[#This Row],[Available_h]],"")</f>
        <v/>
      </c>
    </row>
    <row r="1936">
      <c r="A1936" s="54" t="n"/>
      <c r="B1936" s="61" t="n"/>
      <c r="C1936" s="62" t="n"/>
      <c r="D1936" s="57" t="n"/>
      <c r="E1936" s="57" t="n"/>
      <c r="F1936" s="58" t="n"/>
      <c r="G1936" s="66">
        <f>IF(tblFleet[[#This Row],[Units]]="","",tblFleet[[#This Row],[Units]]*24)</f>
        <v/>
      </c>
      <c r="H1936" s="66">
        <f>IF(tblFleet[[#This Row],[Units]]="","",tblFleet[[#This Row],[Calendar_h]]-tblFleet[[#This Row],[Down_h]])</f>
        <v/>
      </c>
      <c r="I1936" s="60">
        <f>IF(AND(tblFleet[[#This Row],[Units]]&lt;&gt;"",tblFleet[[#This Row],[Calendar_h]]&gt;0),tblFleet[[#This Row],[Available_h]]/tblFleet[[#This Row],[Calendar_h]],"")</f>
        <v/>
      </c>
      <c r="J1936" s="60">
        <f>IF(AND(tblFleet[[#This Row],[Units]]&lt;&gt;"",tblFleet[[#This Row],[Available_h]]&gt;0),tblFleet[[#This Row],[Operating_h]]/tblFleet[[#This Row],[Available_h]],"")</f>
        <v/>
      </c>
    </row>
    <row r="1937">
      <c r="A1937" s="54" t="n"/>
      <c r="B1937" s="61" t="n"/>
      <c r="C1937" s="62" t="n"/>
      <c r="D1937" s="57" t="n"/>
      <c r="E1937" s="57" t="n"/>
      <c r="F1937" s="58" t="n"/>
      <c r="G1937" s="66">
        <f>IF(tblFleet[[#This Row],[Units]]="","",tblFleet[[#This Row],[Units]]*24)</f>
        <v/>
      </c>
      <c r="H1937" s="66">
        <f>IF(tblFleet[[#This Row],[Units]]="","",tblFleet[[#This Row],[Calendar_h]]-tblFleet[[#This Row],[Down_h]])</f>
        <v/>
      </c>
      <c r="I1937" s="60">
        <f>IF(AND(tblFleet[[#This Row],[Units]]&lt;&gt;"",tblFleet[[#This Row],[Calendar_h]]&gt;0),tblFleet[[#This Row],[Available_h]]/tblFleet[[#This Row],[Calendar_h]],"")</f>
        <v/>
      </c>
      <c r="J1937" s="60">
        <f>IF(AND(tblFleet[[#This Row],[Units]]&lt;&gt;"",tblFleet[[#This Row],[Available_h]]&gt;0),tblFleet[[#This Row],[Operating_h]]/tblFleet[[#This Row],[Available_h]],"")</f>
        <v/>
      </c>
    </row>
    <row r="1938">
      <c r="A1938" s="54" t="n"/>
      <c r="B1938" s="61" t="n"/>
      <c r="C1938" s="62" t="n"/>
      <c r="D1938" s="57" t="n"/>
      <c r="E1938" s="57" t="n"/>
      <c r="F1938" s="58" t="n"/>
      <c r="G1938" s="66">
        <f>IF(tblFleet[[#This Row],[Units]]="","",tblFleet[[#This Row],[Units]]*24)</f>
        <v/>
      </c>
      <c r="H1938" s="66">
        <f>IF(tblFleet[[#This Row],[Units]]="","",tblFleet[[#This Row],[Calendar_h]]-tblFleet[[#This Row],[Down_h]])</f>
        <v/>
      </c>
      <c r="I1938" s="60">
        <f>IF(AND(tblFleet[[#This Row],[Units]]&lt;&gt;"",tblFleet[[#This Row],[Calendar_h]]&gt;0),tblFleet[[#This Row],[Available_h]]/tblFleet[[#This Row],[Calendar_h]],"")</f>
        <v/>
      </c>
      <c r="J1938" s="60">
        <f>IF(AND(tblFleet[[#This Row],[Units]]&lt;&gt;"",tblFleet[[#This Row],[Available_h]]&gt;0),tblFleet[[#This Row],[Operating_h]]/tblFleet[[#This Row],[Available_h]],"")</f>
        <v/>
      </c>
    </row>
    <row r="1939">
      <c r="A1939" s="54" t="n"/>
      <c r="B1939" s="61" t="n"/>
      <c r="C1939" s="62" t="n"/>
      <c r="D1939" s="57" t="n"/>
      <c r="E1939" s="57" t="n"/>
      <c r="F1939" s="58" t="n"/>
      <c r="G1939" s="66">
        <f>IF(tblFleet[[#This Row],[Units]]="","",tblFleet[[#This Row],[Units]]*24)</f>
        <v/>
      </c>
      <c r="H1939" s="66">
        <f>IF(tblFleet[[#This Row],[Units]]="","",tblFleet[[#This Row],[Calendar_h]]-tblFleet[[#This Row],[Down_h]])</f>
        <v/>
      </c>
      <c r="I1939" s="60">
        <f>IF(AND(tblFleet[[#This Row],[Units]]&lt;&gt;"",tblFleet[[#This Row],[Calendar_h]]&gt;0),tblFleet[[#This Row],[Available_h]]/tblFleet[[#This Row],[Calendar_h]],"")</f>
        <v/>
      </c>
      <c r="J1939" s="60">
        <f>IF(AND(tblFleet[[#This Row],[Units]]&lt;&gt;"",tblFleet[[#This Row],[Available_h]]&gt;0),tblFleet[[#This Row],[Operating_h]]/tblFleet[[#This Row],[Available_h]],"")</f>
        <v/>
      </c>
    </row>
    <row r="1940">
      <c r="A1940" s="54" t="n"/>
      <c r="B1940" s="61" t="n"/>
      <c r="C1940" s="62" t="n"/>
      <c r="D1940" s="57" t="n"/>
      <c r="E1940" s="57" t="n"/>
      <c r="F1940" s="58" t="n"/>
      <c r="G1940" s="66">
        <f>IF(tblFleet[[#This Row],[Units]]="","",tblFleet[[#This Row],[Units]]*24)</f>
        <v/>
      </c>
      <c r="H1940" s="66">
        <f>IF(tblFleet[[#This Row],[Units]]="","",tblFleet[[#This Row],[Calendar_h]]-tblFleet[[#This Row],[Down_h]])</f>
        <v/>
      </c>
      <c r="I1940" s="60">
        <f>IF(AND(tblFleet[[#This Row],[Units]]&lt;&gt;"",tblFleet[[#This Row],[Calendar_h]]&gt;0),tblFleet[[#This Row],[Available_h]]/tblFleet[[#This Row],[Calendar_h]],"")</f>
        <v/>
      </c>
      <c r="J1940" s="60">
        <f>IF(AND(tblFleet[[#This Row],[Units]]&lt;&gt;"",tblFleet[[#This Row],[Available_h]]&gt;0),tblFleet[[#This Row],[Operating_h]]/tblFleet[[#This Row],[Available_h]],"")</f>
        <v/>
      </c>
    </row>
    <row r="1941">
      <c r="A1941" s="54" t="n"/>
      <c r="B1941" s="61" t="n"/>
      <c r="C1941" s="62" t="n"/>
      <c r="D1941" s="57" t="n"/>
      <c r="E1941" s="57" t="n"/>
      <c r="F1941" s="58" t="n"/>
      <c r="G1941" s="66">
        <f>IF(tblFleet[[#This Row],[Units]]="","",tblFleet[[#This Row],[Units]]*24)</f>
        <v/>
      </c>
      <c r="H1941" s="66">
        <f>IF(tblFleet[[#This Row],[Units]]="","",tblFleet[[#This Row],[Calendar_h]]-tblFleet[[#This Row],[Down_h]])</f>
        <v/>
      </c>
      <c r="I1941" s="60">
        <f>IF(AND(tblFleet[[#This Row],[Units]]&lt;&gt;"",tblFleet[[#This Row],[Calendar_h]]&gt;0),tblFleet[[#This Row],[Available_h]]/tblFleet[[#This Row],[Calendar_h]],"")</f>
        <v/>
      </c>
      <c r="J1941" s="60">
        <f>IF(AND(tblFleet[[#This Row],[Units]]&lt;&gt;"",tblFleet[[#This Row],[Available_h]]&gt;0),tblFleet[[#This Row],[Operating_h]]/tblFleet[[#This Row],[Available_h]],"")</f>
        <v/>
      </c>
    </row>
    <row r="1942">
      <c r="A1942" s="54" t="n"/>
      <c r="B1942" s="61" t="n"/>
      <c r="C1942" s="62" t="n"/>
      <c r="D1942" s="57" t="n"/>
      <c r="E1942" s="57" t="n"/>
      <c r="F1942" s="58" t="n"/>
      <c r="G1942" s="66">
        <f>IF(tblFleet[[#This Row],[Units]]="","",tblFleet[[#This Row],[Units]]*24)</f>
        <v/>
      </c>
      <c r="H1942" s="66">
        <f>IF(tblFleet[[#This Row],[Units]]="","",tblFleet[[#This Row],[Calendar_h]]-tblFleet[[#This Row],[Down_h]])</f>
        <v/>
      </c>
      <c r="I1942" s="60">
        <f>IF(AND(tblFleet[[#This Row],[Units]]&lt;&gt;"",tblFleet[[#This Row],[Calendar_h]]&gt;0),tblFleet[[#This Row],[Available_h]]/tblFleet[[#This Row],[Calendar_h]],"")</f>
        <v/>
      </c>
      <c r="J1942" s="60">
        <f>IF(AND(tblFleet[[#This Row],[Units]]&lt;&gt;"",tblFleet[[#This Row],[Available_h]]&gt;0),tblFleet[[#This Row],[Operating_h]]/tblFleet[[#This Row],[Available_h]],"")</f>
        <v/>
      </c>
    </row>
    <row r="1943">
      <c r="A1943" s="54" t="n"/>
      <c r="B1943" s="61" t="n"/>
      <c r="C1943" s="62" t="n"/>
      <c r="D1943" s="57" t="n"/>
      <c r="E1943" s="57" t="n"/>
      <c r="F1943" s="58" t="n"/>
      <c r="G1943" s="66">
        <f>IF(tblFleet[[#This Row],[Units]]="","",tblFleet[[#This Row],[Units]]*24)</f>
        <v/>
      </c>
      <c r="H1943" s="66">
        <f>IF(tblFleet[[#This Row],[Units]]="","",tblFleet[[#This Row],[Calendar_h]]-tblFleet[[#This Row],[Down_h]])</f>
        <v/>
      </c>
      <c r="I1943" s="60">
        <f>IF(AND(tblFleet[[#This Row],[Units]]&lt;&gt;"",tblFleet[[#This Row],[Calendar_h]]&gt;0),tblFleet[[#This Row],[Available_h]]/tblFleet[[#This Row],[Calendar_h]],"")</f>
        <v/>
      </c>
      <c r="J1943" s="60">
        <f>IF(AND(tblFleet[[#This Row],[Units]]&lt;&gt;"",tblFleet[[#This Row],[Available_h]]&gt;0),tblFleet[[#This Row],[Operating_h]]/tblFleet[[#This Row],[Available_h]],"")</f>
        <v/>
      </c>
    </row>
    <row r="1944">
      <c r="A1944" s="54" t="n"/>
      <c r="B1944" s="61" t="n"/>
      <c r="C1944" s="62" t="n"/>
      <c r="D1944" s="57" t="n"/>
      <c r="E1944" s="57" t="n"/>
      <c r="F1944" s="58" t="n"/>
      <c r="G1944" s="66">
        <f>IF(tblFleet[[#This Row],[Units]]="","",tblFleet[[#This Row],[Units]]*24)</f>
        <v/>
      </c>
      <c r="H1944" s="66">
        <f>IF(tblFleet[[#This Row],[Units]]="","",tblFleet[[#This Row],[Calendar_h]]-tblFleet[[#This Row],[Down_h]])</f>
        <v/>
      </c>
      <c r="I1944" s="60">
        <f>IF(AND(tblFleet[[#This Row],[Units]]&lt;&gt;"",tblFleet[[#This Row],[Calendar_h]]&gt;0),tblFleet[[#This Row],[Available_h]]/tblFleet[[#This Row],[Calendar_h]],"")</f>
        <v/>
      </c>
      <c r="J1944" s="60">
        <f>IF(AND(tblFleet[[#This Row],[Units]]&lt;&gt;"",tblFleet[[#This Row],[Available_h]]&gt;0),tblFleet[[#This Row],[Operating_h]]/tblFleet[[#This Row],[Available_h]],"")</f>
        <v/>
      </c>
    </row>
    <row r="1945">
      <c r="A1945" s="54" t="n"/>
      <c r="B1945" s="61" t="n"/>
      <c r="C1945" s="62" t="n"/>
      <c r="D1945" s="57" t="n"/>
      <c r="E1945" s="57" t="n"/>
      <c r="F1945" s="58" t="n"/>
      <c r="G1945" s="66">
        <f>IF(tblFleet[[#This Row],[Units]]="","",tblFleet[[#This Row],[Units]]*24)</f>
        <v/>
      </c>
      <c r="H1945" s="66">
        <f>IF(tblFleet[[#This Row],[Units]]="","",tblFleet[[#This Row],[Calendar_h]]-tblFleet[[#This Row],[Down_h]])</f>
        <v/>
      </c>
      <c r="I1945" s="60">
        <f>IF(AND(tblFleet[[#This Row],[Units]]&lt;&gt;"",tblFleet[[#This Row],[Calendar_h]]&gt;0),tblFleet[[#This Row],[Available_h]]/tblFleet[[#This Row],[Calendar_h]],"")</f>
        <v/>
      </c>
      <c r="J1945" s="60">
        <f>IF(AND(tblFleet[[#This Row],[Units]]&lt;&gt;"",tblFleet[[#This Row],[Available_h]]&gt;0),tblFleet[[#This Row],[Operating_h]]/tblFleet[[#This Row],[Available_h]],"")</f>
        <v/>
      </c>
    </row>
    <row r="1946">
      <c r="A1946" s="54" t="n"/>
      <c r="B1946" s="61" t="n"/>
      <c r="C1946" s="62" t="n"/>
      <c r="D1946" s="57" t="n"/>
      <c r="E1946" s="57" t="n"/>
      <c r="F1946" s="58" t="n"/>
      <c r="G1946" s="66">
        <f>IF(tblFleet[[#This Row],[Units]]="","",tblFleet[[#This Row],[Units]]*24)</f>
        <v/>
      </c>
      <c r="H1946" s="66">
        <f>IF(tblFleet[[#This Row],[Units]]="","",tblFleet[[#This Row],[Calendar_h]]-tblFleet[[#This Row],[Down_h]])</f>
        <v/>
      </c>
      <c r="I1946" s="60">
        <f>IF(AND(tblFleet[[#This Row],[Units]]&lt;&gt;"",tblFleet[[#This Row],[Calendar_h]]&gt;0),tblFleet[[#This Row],[Available_h]]/tblFleet[[#This Row],[Calendar_h]],"")</f>
        <v/>
      </c>
      <c r="J1946" s="60">
        <f>IF(AND(tblFleet[[#This Row],[Units]]&lt;&gt;"",tblFleet[[#This Row],[Available_h]]&gt;0),tblFleet[[#This Row],[Operating_h]]/tblFleet[[#This Row],[Available_h]],"")</f>
        <v/>
      </c>
    </row>
    <row r="1947">
      <c r="A1947" s="54" t="n"/>
      <c r="B1947" s="61" t="n"/>
      <c r="C1947" s="62" t="n"/>
      <c r="D1947" s="57" t="n"/>
      <c r="E1947" s="57" t="n"/>
      <c r="F1947" s="58" t="n"/>
      <c r="G1947" s="66">
        <f>IF(tblFleet[[#This Row],[Units]]="","",tblFleet[[#This Row],[Units]]*24)</f>
        <v/>
      </c>
      <c r="H1947" s="66">
        <f>IF(tblFleet[[#This Row],[Units]]="","",tblFleet[[#This Row],[Calendar_h]]-tblFleet[[#This Row],[Down_h]])</f>
        <v/>
      </c>
      <c r="I1947" s="60">
        <f>IF(AND(tblFleet[[#This Row],[Units]]&lt;&gt;"",tblFleet[[#This Row],[Calendar_h]]&gt;0),tblFleet[[#This Row],[Available_h]]/tblFleet[[#This Row],[Calendar_h]],"")</f>
        <v/>
      </c>
      <c r="J1947" s="60">
        <f>IF(AND(tblFleet[[#This Row],[Units]]&lt;&gt;"",tblFleet[[#This Row],[Available_h]]&gt;0),tblFleet[[#This Row],[Operating_h]]/tblFleet[[#This Row],[Available_h]],"")</f>
        <v/>
      </c>
    </row>
    <row r="1948">
      <c r="A1948" s="54" t="n"/>
      <c r="B1948" s="61" t="n"/>
      <c r="C1948" s="62" t="n"/>
      <c r="D1948" s="57" t="n"/>
      <c r="E1948" s="57" t="n"/>
      <c r="F1948" s="58" t="n"/>
      <c r="G1948" s="66">
        <f>IF(tblFleet[[#This Row],[Units]]="","",tblFleet[[#This Row],[Units]]*24)</f>
        <v/>
      </c>
      <c r="H1948" s="66">
        <f>IF(tblFleet[[#This Row],[Units]]="","",tblFleet[[#This Row],[Calendar_h]]-tblFleet[[#This Row],[Down_h]])</f>
        <v/>
      </c>
      <c r="I1948" s="60">
        <f>IF(AND(tblFleet[[#This Row],[Units]]&lt;&gt;"",tblFleet[[#This Row],[Calendar_h]]&gt;0),tblFleet[[#This Row],[Available_h]]/tblFleet[[#This Row],[Calendar_h]],"")</f>
        <v/>
      </c>
      <c r="J1948" s="60">
        <f>IF(AND(tblFleet[[#This Row],[Units]]&lt;&gt;"",tblFleet[[#This Row],[Available_h]]&gt;0),tblFleet[[#This Row],[Operating_h]]/tblFleet[[#This Row],[Available_h]],"")</f>
        <v/>
      </c>
    </row>
    <row r="1949">
      <c r="A1949" s="54" t="n"/>
      <c r="B1949" s="61" t="n"/>
      <c r="C1949" s="62" t="n"/>
      <c r="D1949" s="57" t="n"/>
      <c r="E1949" s="57" t="n"/>
      <c r="F1949" s="58" t="n"/>
      <c r="G1949" s="66">
        <f>IF(tblFleet[[#This Row],[Units]]="","",tblFleet[[#This Row],[Units]]*24)</f>
        <v/>
      </c>
      <c r="H1949" s="66">
        <f>IF(tblFleet[[#This Row],[Units]]="","",tblFleet[[#This Row],[Calendar_h]]-tblFleet[[#This Row],[Down_h]])</f>
        <v/>
      </c>
      <c r="I1949" s="60">
        <f>IF(AND(tblFleet[[#This Row],[Units]]&lt;&gt;"",tblFleet[[#This Row],[Calendar_h]]&gt;0),tblFleet[[#This Row],[Available_h]]/tblFleet[[#This Row],[Calendar_h]],"")</f>
        <v/>
      </c>
      <c r="J1949" s="60">
        <f>IF(AND(tblFleet[[#This Row],[Units]]&lt;&gt;"",tblFleet[[#This Row],[Available_h]]&gt;0),tblFleet[[#This Row],[Operating_h]]/tblFleet[[#This Row],[Available_h]],"")</f>
        <v/>
      </c>
    </row>
    <row r="1950">
      <c r="A1950" s="54" t="n"/>
      <c r="B1950" s="61" t="n"/>
      <c r="C1950" s="62" t="n"/>
      <c r="D1950" s="57" t="n"/>
      <c r="E1950" s="57" t="n"/>
      <c r="F1950" s="58" t="n"/>
      <c r="G1950" s="66">
        <f>IF(tblFleet[[#This Row],[Units]]="","",tblFleet[[#This Row],[Units]]*24)</f>
        <v/>
      </c>
      <c r="H1950" s="66">
        <f>IF(tblFleet[[#This Row],[Units]]="","",tblFleet[[#This Row],[Calendar_h]]-tblFleet[[#This Row],[Down_h]])</f>
        <v/>
      </c>
      <c r="I1950" s="60">
        <f>IF(AND(tblFleet[[#This Row],[Units]]&lt;&gt;"",tblFleet[[#This Row],[Calendar_h]]&gt;0),tblFleet[[#This Row],[Available_h]]/tblFleet[[#This Row],[Calendar_h]],"")</f>
        <v/>
      </c>
      <c r="J1950" s="60">
        <f>IF(AND(tblFleet[[#This Row],[Units]]&lt;&gt;"",tblFleet[[#This Row],[Available_h]]&gt;0),tblFleet[[#This Row],[Operating_h]]/tblFleet[[#This Row],[Available_h]],"")</f>
        <v/>
      </c>
    </row>
    <row r="1951">
      <c r="A1951" s="54" t="n"/>
      <c r="B1951" s="61" t="n"/>
      <c r="C1951" s="62" t="n"/>
      <c r="D1951" s="57" t="n"/>
      <c r="E1951" s="57" t="n"/>
      <c r="F1951" s="58" t="n"/>
      <c r="G1951" s="66">
        <f>IF(tblFleet[[#This Row],[Units]]="","",tblFleet[[#This Row],[Units]]*24)</f>
        <v/>
      </c>
      <c r="H1951" s="66">
        <f>IF(tblFleet[[#This Row],[Units]]="","",tblFleet[[#This Row],[Calendar_h]]-tblFleet[[#This Row],[Down_h]])</f>
        <v/>
      </c>
      <c r="I1951" s="60">
        <f>IF(AND(tblFleet[[#This Row],[Units]]&lt;&gt;"",tblFleet[[#This Row],[Calendar_h]]&gt;0),tblFleet[[#This Row],[Available_h]]/tblFleet[[#This Row],[Calendar_h]],"")</f>
        <v/>
      </c>
      <c r="J1951" s="60">
        <f>IF(AND(tblFleet[[#This Row],[Units]]&lt;&gt;"",tblFleet[[#This Row],[Available_h]]&gt;0),tblFleet[[#This Row],[Operating_h]]/tblFleet[[#This Row],[Available_h]],"")</f>
        <v/>
      </c>
    </row>
    <row r="1952">
      <c r="A1952" s="54" t="n"/>
      <c r="B1952" s="61" t="n"/>
      <c r="C1952" s="62" t="n"/>
      <c r="D1952" s="57" t="n"/>
      <c r="E1952" s="57" t="n"/>
      <c r="F1952" s="58" t="n"/>
      <c r="G1952" s="66">
        <f>IF(tblFleet[[#This Row],[Units]]="","",tblFleet[[#This Row],[Units]]*24)</f>
        <v/>
      </c>
      <c r="H1952" s="66">
        <f>IF(tblFleet[[#This Row],[Units]]="","",tblFleet[[#This Row],[Calendar_h]]-tblFleet[[#This Row],[Down_h]])</f>
        <v/>
      </c>
      <c r="I1952" s="60">
        <f>IF(AND(tblFleet[[#This Row],[Units]]&lt;&gt;"",tblFleet[[#This Row],[Calendar_h]]&gt;0),tblFleet[[#This Row],[Available_h]]/tblFleet[[#This Row],[Calendar_h]],"")</f>
        <v/>
      </c>
      <c r="J1952" s="60">
        <f>IF(AND(tblFleet[[#This Row],[Units]]&lt;&gt;"",tblFleet[[#This Row],[Available_h]]&gt;0),tblFleet[[#This Row],[Operating_h]]/tblFleet[[#This Row],[Available_h]],"")</f>
        <v/>
      </c>
    </row>
    <row r="1953">
      <c r="A1953" s="54" t="n"/>
      <c r="B1953" s="61" t="n"/>
      <c r="C1953" s="62" t="n"/>
      <c r="D1953" s="57" t="n"/>
      <c r="E1953" s="57" t="n"/>
      <c r="F1953" s="58" t="n"/>
      <c r="G1953" s="66">
        <f>IF(tblFleet[[#This Row],[Units]]="","",tblFleet[[#This Row],[Units]]*24)</f>
        <v/>
      </c>
      <c r="H1953" s="66">
        <f>IF(tblFleet[[#This Row],[Units]]="","",tblFleet[[#This Row],[Calendar_h]]-tblFleet[[#This Row],[Down_h]])</f>
        <v/>
      </c>
      <c r="I1953" s="60">
        <f>IF(AND(tblFleet[[#This Row],[Units]]&lt;&gt;"",tblFleet[[#This Row],[Calendar_h]]&gt;0),tblFleet[[#This Row],[Available_h]]/tblFleet[[#This Row],[Calendar_h]],"")</f>
        <v/>
      </c>
      <c r="J1953" s="60">
        <f>IF(AND(tblFleet[[#This Row],[Units]]&lt;&gt;"",tblFleet[[#This Row],[Available_h]]&gt;0),tblFleet[[#This Row],[Operating_h]]/tblFleet[[#This Row],[Available_h]],"")</f>
        <v/>
      </c>
    </row>
    <row r="1954">
      <c r="A1954" s="54" t="n"/>
      <c r="B1954" s="61" t="n"/>
      <c r="C1954" s="62" t="n"/>
      <c r="D1954" s="57" t="n"/>
      <c r="E1954" s="57" t="n"/>
      <c r="F1954" s="58" t="n"/>
      <c r="G1954" s="66">
        <f>IF(tblFleet[[#This Row],[Units]]="","",tblFleet[[#This Row],[Units]]*24)</f>
        <v/>
      </c>
      <c r="H1954" s="66">
        <f>IF(tblFleet[[#This Row],[Units]]="","",tblFleet[[#This Row],[Calendar_h]]-tblFleet[[#This Row],[Down_h]])</f>
        <v/>
      </c>
      <c r="I1954" s="60">
        <f>IF(AND(tblFleet[[#This Row],[Units]]&lt;&gt;"",tblFleet[[#This Row],[Calendar_h]]&gt;0),tblFleet[[#This Row],[Available_h]]/tblFleet[[#This Row],[Calendar_h]],"")</f>
        <v/>
      </c>
      <c r="J1954" s="60">
        <f>IF(AND(tblFleet[[#This Row],[Units]]&lt;&gt;"",tblFleet[[#This Row],[Available_h]]&gt;0),tblFleet[[#This Row],[Operating_h]]/tblFleet[[#This Row],[Available_h]],"")</f>
        <v/>
      </c>
    </row>
    <row r="1955">
      <c r="A1955" s="54" t="n"/>
      <c r="B1955" s="61" t="n"/>
      <c r="C1955" s="62" t="n"/>
      <c r="D1955" s="57" t="n"/>
      <c r="E1955" s="57" t="n"/>
      <c r="F1955" s="58" t="n"/>
      <c r="G1955" s="66">
        <f>IF(tblFleet[[#This Row],[Units]]="","",tblFleet[[#This Row],[Units]]*24)</f>
        <v/>
      </c>
      <c r="H1955" s="66">
        <f>IF(tblFleet[[#This Row],[Units]]="","",tblFleet[[#This Row],[Calendar_h]]-tblFleet[[#This Row],[Down_h]])</f>
        <v/>
      </c>
      <c r="I1955" s="60">
        <f>IF(AND(tblFleet[[#This Row],[Units]]&lt;&gt;"",tblFleet[[#This Row],[Calendar_h]]&gt;0),tblFleet[[#This Row],[Available_h]]/tblFleet[[#This Row],[Calendar_h]],"")</f>
        <v/>
      </c>
      <c r="J1955" s="60">
        <f>IF(AND(tblFleet[[#This Row],[Units]]&lt;&gt;"",tblFleet[[#This Row],[Available_h]]&gt;0),tblFleet[[#This Row],[Operating_h]]/tblFleet[[#This Row],[Available_h]],"")</f>
        <v/>
      </c>
    </row>
    <row r="1956">
      <c r="A1956" s="54" t="n"/>
      <c r="B1956" s="61" t="n"/>
      <c r="C1956" s="62" t="n"/>
      <c r="D1956" s="57" t="n"/>
      <c r="E1956" s="57" t="n"/>
      <c r="F1956" s="58" t="n"/>
      <c r="G1956" s="66">
        <f>IF(tblFleet[[#This Row],[Units]]="","",tblFleet[[#This Row],[Units]]*24)</f>
        <v/>
      </c>
      <c r="H1956" s="66">
        <f>IF(tblFleet[[#This Row],[Units]]="","",tblFleet[[#This Row],[Calendar_h]]-tblFleet[[#This Row],[Down_h]])</f>
        <v/>
      </c>
      <c r="I1956" s="60">
        <f>IF(AND(tblFleet[[#This Row],[Units]]&lt;&gt;"",tblFleet[[#This Row],[Calendar_h]]&gt;0),tblFleet[[#This Row],[Available_h]]/tblFleet[[#This Row],[Calendar_h]],"")</f>
        <v/>
      </c>
      <c r="J1956" s="60">
        <f>IF(AND(tblFleet[[#This Row],[Units]]&lt;&gt;"",tblFleet[[#This Row],[Available_h]]&gt;0),tblFleet[[#This Row],[Operating_h]]/tblFleet[[#This Row],[Available_h]],"")</f>
        <v/>
      </c>
    </row>
    <row r="1957">
      <c r="A1957" s="54" t="n"/>
      <c r="B1957" s="61" t="n"/>
      <c r="C1957" s="62" t="n"/>
      <c r="D1957" s="57" t="n"/>
      <c r="E1957" s="57" t="n"/>
      <c r="F1957" s="58" t="n"/>
      <c r="G1957" s="66">
        <f>IF(tblFleet[[#This Row],[Units]]="","",tblFleet[[#This Row],[Units]]*24)</f>
        <v/>
      </c>
      <c r="H1957" s="66">
        <f>IF(tblFleet[[#This Row],[Units]]="","",tblFleet[[#This Row],[Calendar_h]]-tblFleet[[#This Row],[Down_h]])</f>
        <v/>
      </c>
      <c r="I1957" s="60">
        <f>IF(AND(tblFleet[[#This Row],[Units]]&lt;&gt;"",tblFleet[[#This Row],[Calendar_h]]&gt;0),tblFleet[[#This Row],[Available_h]]/tblFleet[[#This Row],[Calendar_h]],"")</f>
        <v/>
      </c>
      <c r="J1957" s="60">
        <f>IF(AND(tblFleet[[#This Row],[Units]]&lt;&gt;"",tblFleet[[#This Row],[Available_h]]&gt;0),tblFleet[[#This Row],[Operating_h]]/tblFleet[[#This Row],[Available_h]],"")</f>
        <v/>
      </c>
    </row>
    <row r="1958">
      <c r="A1958" s="54" t="n"/>
      <c r="B1958" s="61" t="n"/>
      <c r="C1958" s="62" t="n"/>
      <c r="D1958" s="57" t="n"/>
      <c r="E1958" s="57" t="n"/>
      <c r="F1958" s="58" t="n"/>
      <c r="G1958" s="66">
        <f>IF(tblFleet[[#This Row],[Units]]="","",tblFleet[[#This Row],[Units]]*24)</f>
        <v/>
      </c>
      <c r="H1958" s="66">
        <f>IF(tblFleet[[#This Row],[Units]]="","",tblFleet[[#This Row],[Calendar_h]]-tblFleet[[#This Row],[Down_h]])</f>
        <v/>
      </c>
      <c r="I1958" s="60">
        <f>IF(AND(tblFleet[[#This Row],[Units]]&lt;&gt;"",tblFleet[[#This Row],[Calendar_h]]&gt;0),tblFleet[[#This Row],[Available_h]]/tblFleet[[#This Row],[Calendar_h]],"")</f>
        <v/>
      </c>
      <c r="J1958" s="60">
        <f>IF(AND(tblFleet[[#This Row],[Units]]&lt;&gt;"",tblFleet[[#This Row],[Available_h]]&gt;0),tblFleet[[#This Row],[Operating_h]]/tblFleet[[#This Row],[Available_h]],"")</f>
        <v/>
      </c>
    </row>
    <row r="1959">
      <c r="A1959" s="54" t="n"/>
      <c r="B1959" s="61" t="n"/>
      <c r="C1959" s="62" t="n"/>
      <c r="D1959" s="57" t="n"/>
      <c r="E1959" s="57" t="n"/>
      <c r="F1959" s="58" t="n"/>
      <c r="G1959" s="66">
        <f>IF(tblFleet[[#This Row],[Units]]="","",tblFleet[[#This Row],[Units]]*24)</f>
        <v/>
      </c>
      <c r="H1959" s="66">
        <f>IF(tblFleet[[#This Row],[Units]]="","",tblFleet[[#This Row],[Calendar_h]]-tblFleet[[#This Row],[Down_h]])</f>
        <v/>
      </c>
      <c r="I1959" s="60">
        <f>IF(AND(tblFleet[[#This Row],[Units]]&lt;&gt;"",tblFleet[[#This Row],[Calendar_h]]&gt;0),tblFleet[[#This Row],[Available_h]]/tblFleet[[#This Row],[Calendar_h]],"")</f>
        <v/>
      </c>
      <c r="J1959" s="60">
        <f>IF(AND(tblFleet[[#This Row],[Units]]&lt;&gt;"",tblFleet[[#This Row],[Available_h]]&gt;0),tblFleet[[#This Row],[Operating_h]]/tblFleet[[#This Row],[Available_h]],"")</f>
        <v/>
      </c>
    </row>
    <row r="1960">
      <c r="A1960" s="54" t="n"/>
      <c r="B1960" s="61" t="n"/>
      <c r="C1960" s="62" t="n"/>
      <c r="D1960" s="57" t="n"/>
      <c r="E1960" s="57" t="n"/>
      <c r="F1960" s="58" t="n"/>
      <c r="G1960" s="66">
        <f>IF(tblFleet[[#This Row],[Units]]="","",tblFleet[[#This Row],[Units]]*24)</f>
        <v/>
      </c>
      <c r="H1960" s="66">
        <f>IF(tblFleet[[#This Row],[Units]]="","",tblFleet[[#This Row],[Calendar_h]]-tblFleet[[#This Row],[Down_h]])</f>
        <v/>
      </c>
      <c r="I1960" s="60">
        <f>IF(AND(tblFleet[[#This Row],[Units]]&lt;&gt;"",tblFleet[[#This Row],[Calendar_h]]&gt;0),tblFleet[[#This Row],[Available_h]]/tblFleet[[#This Row],[Calendar_h]],"")</f>
        <v/>
      </c>
      <c r="J1960" s="60">
        <f>IF(AND(tblFleet[[#This Row],[Units]]&lt;&gt;"",tblFleet[[#This Row],[Available_h]]&gt;0),tblFleet[[#This Row],[Operating_h]]/tblFleet[[#This Row],[Available_h]],"")</f>
        <v/>
      </c>
    </row>
    <row r="1961">
      <c r="A1961" s="54" t="n"/>
      <c r="B1961" s="61" t="n"/>
      <c r="C1961" s="62" t="n"/>
      <c r="D1961" s="57" t="n"/>
      <c r="E1961" s="57" t="n"/>
      <c r="F1961" s="58" t="n"/>
      <c r="G1961" s="66">
        <f>IF(tblFleet[[#This Row],[Units]]="","",tblFleet[[#This Row],[Units]]*24)</f>
        <v/>
      </c>
      <c r="H1961" s="66">
        <f>IF(tblFleet[[#This Row],[Units]]="","",tblFleet[[#This Row],[Calendar_h]]-tblFleet[[#This Row],[Down_h]])</f>
        <v/>
      </c>
      <c r="I1961" s="60">
        <f>IF(AND(tblFleet[[#This Row],[Units]]&lt;&gt;"",tblFleet[[#This Row],[Calendar_h]]&gt;0),tblFleet[[#This Row],[Available_h]]/tblFleet[[#This Row],[Calendar_h]],"")</f>
        <v/>
      </c>
      <c r="J1961" s="60">
        <f>IF(AND(tblFleet[[#This Row],[Units]]&lt;&gt;"",tblFleet[[#This Row],[Available_h]]&gt;0),tblFleet[[#This Row],[Operating_h]]/tblFleet[[#This Row],[Available_h]],"")</f>
        <v/>
      </c>
    </row>
    <row r="1962">
      <c r="A1962" s="54" t="n"/>
      <c r="B1962" s="61" t="n"/>
      <c r="C1962" s="62" t="n"/>
      <c r="D1962" s="57" t="n"/>
      <c r="E1962" s="57" t="n"/>
      <c r="F1962" s="58" t="n"/>
      <c r="G1962" s="66">
        <f>IF(tblFleet[[#This Row],[Units]]="","",tblFleet[[#This Row],[Units]]*24)</f>
        <v/>
      </c>
      <c r="H1962" s="66">
        <f>IF(tblFleet[[#This Row],[Units]]="","",tblFleet[[#This Row],[Calendar_h]]-tblFleet[[#This Row],[Down_h]])</f>
        <v/>
      </c>
      <c r="I1962" s="60">
        <f>IF(AND(tblFleet[[#This Row],[Units]]&lt;&gt;"",tblFleet[[#This Row],[Calendar_h]]&gt;0),tblFleet[[#This Row],[Available_h]]/tblFleet[[#This Row],[Calendar_h]],"")</f>
        <v/>
      </c>
      <c r="J1962" s="60">
        <f>IF(AND(tblFleet[[#This Row],[Units]]&lt;&gt;"",tblFleet[[#This Row],[Available_h]]&gt;0),tblFleet[[#This Row],[Operating_h]]/tblFleet[[#This Row],[Available_h]],"")</f>
        <v/>
      </c>
    </row>
    <row r="1963">
      <c r="A1963" s="54" t="n"/>
      <c r="B1963" s="61" t="n"/>
      <c r="C1963" s="62" t="n"/>
      <c r="D1963" s="57" t="n"/>
      <c r="E1963" s="57" t="n"/>
      <c r="F1963" s="58" t="n"/>
      <c r="G1963" s="66">
        <f>IF(tblFleet[[#This Row],[Units]]="","",tblFleet[[#This Row],[Units]]*24)</f>
        <v/>
      </c>
      <c r="H1963" s="66">
        <f>IF(tblFleet[[#This Row],[Units]]="","",tblFleet[[#This Row],[Calendar_h]]-tblFleet[[#This Row],[Down_h]])</f>
        <v/>
      </c>
      <c r="I1963" s="60">
        <f>IF(AND(tblFleet[[#This Row],[Units]]&lt;&gt;"",tblFleet[[#This Row],[Calendar_h]]&gt;0),tblFleet[[#This Row],[Available_h]]/tblFleet[[#This Row],[Calendar_h]],"")</f>
        <v/>
      </c>
      <c r="J1963" s="60">
        <f>IF(AND(tblFleet[[#This Row],[Units]]&lt;&gt;"",tblFleet[[#This Row],[Available_h]]&gt;0),tblFleet[[#This Row],[Operating_h]]/tblFleet[[#This Row],[Available_h]],"")</f>
        <v/>
      </c>
    </row>
    <row r="1964">
      <c r="A1964" s="54" t="n"/>
      <c r="B1964" s="61" t="n"/>
      <c r="C1964" s="62" t="n"/>
      <c r="D1964" s="57" t="n"/>
      <c r="E1964" s="57" t="n"/>
      <c r="F1964" s="58" t="n"/>
      <c r="G1964" s="66">
        <f>IF(tblFleet[[#This Row],[Units]]="","",tblFleet[[#This Row],[Units]]*24)</f>
        <v/>
      </c>
      <c r="H1964" s="66">
        <f>IF(tblFleet[[#This Row],[Units]]="","",tblFleet[[#This Row],[Calendar_h]]-tblFleet[[#This Row],[Down_h]])</f>
        <v/>
      </c>
      <c r="I1964" s="60">
        <f>IF(AND(tblFleet[[#This Row],[Units]]&lt;&gt;"",tblFleet[[#This Row],[Calendar_h]]&gt;0),tblFleet[[#This Row],[Available_h]]/tblFleet[[#This Row],[Calendar_h]],"")</f>
        <v/>
      </c>
      <c r="J1964" s="60">
        <f>IF(AND(tblFleet[[#This Row],[Units]]&lt;&gt;"",tblFleet[[#This Row],[Available_h]]&gt;0),tblFleet[[#This Row],[Operating_h]]/tblFleet[[#This Row],[Available_h]],"")</f>
        <v/>
      </c>
    </row>
    <row r="1965">
      <c r="A1965" s="54" t="n"/>
      <c r="B1965" s="61" t="n"/>
      <c r="C1965" s="62" t="n"/>
      <c r="D1965" s="57" t="n"/>
      <c r="E1965" s="57" t="n"/>
      <c r="F1965" s="58" t="n"/>
      <c r="G1965" s="66">
        <f>IF(tblFleet[[#This Row],[Units]]="","",tblFleet[[#This Row],[Units]]*24)</f>
        <v/>
      </c>
      <c r="H1965" s="66">
        <f>IF(tblFleet[[#This Row],[Units]]="","",tblFleet[[#This Row],[Calendar_h]]-tblFleet[[#This Row],[Down_h]])</f>
        <v/>
      </c>
      <c r="I1965" s="60">
        <f>IF(AND(tblFleet[[#This Row],[Units]]&lt;&gt;"",tblFleet[[#This Row],[Calendar_h]]&gt;0),tblFleet[[#This Row],[Available_h]]/tblFleet[[#This Row],[Calendar_h]],"")</f>
        <v/>
      </c>
      <c r="J1965" s="60">
        <f>IF(AND(tblFleet[[#This Row],[Units]]&lt;&gt;"",tblFleet[[#This Row],[Available_h]]&gt;0),tblFleet[[#This Row],[Operating_h]]/tblFleet[[#This Row],[Available_h]],"")</f>
        <v/>
      </c>
    </row>
    <row r="1966">
      <c r="A1966" s="54" t="n"/>
      <c r="B1966" s="61" t="n"/>
      <c r="C1966" s="62" t="n"/>
      <c r="D1966" s="57" t="n"/>
      <c r="E1966" s="57" t="n"/>
      <c r="F1966" s="58" t="n"/>
      <c r="G1966" s="66">
        <f>IF(tblFleet[[#This Row],[Units]]="","",tblFleet[[#This Row],[Units]]*24)</f>
        <v/>
      </c>
      <c r="H1966" s="66">
        <f>IF(tblFleet[[#This Row],[Units]]="","",tblFleet[[#This Row],[Calendar_h]]-tblFleet[[#This Row],[Down_h]])</f>
        <v/>
      </c>
      <c r="I1966" s="60">
        <f>IF(AND(tblFleet[[#This Row],[Units]]&lt;&gt;"",tblFleet[[#This Row],[Calendar_h]]&gt;0),tblFleet[[#This Row],[Available_h]]/tblFleet[[#This Row],[Calendar_h]],"")</f>
        <v/>
      </c>
      <c r="J1966" s="60">
        <f>IF(AND(tblFleet[[#This Row],[Units]]&lt;&gt;"",tblFleet[[#This Row],[Available_h]]&gt;0),tblFleet[[#This Row],[Operating_h]]/tblFleet[[#This Row],[Available_h]],"")</f>
        <v/>
      </c>
    </row>
    <row r="1967">
      <c r="A1967" s="54" t="n"/>
      <c r="B1967" s="61" t="n"/>
      <c r="C1967" s="62" t="n"/>
      <c r="D1967" s="57" t="n"/>
      <c r="E1967" s="57" t="n"/>
      <c r="F1967" s="58" t="n"/>
      <c r="G1967" s="66">
        <f>IF(tblFleet[[#This Row],[Units]]="","",tblFleet[[#This Row],[Units]]*24)</f>
        <v/>
      </c>
      <c r="H1967" s="66">
        <f>IF(tblFleet[[#This Row],[Units]]="","",tblFleet[[#This Row],[Calendar_h]]-tblFleet[[#This Row],[Down_h]])</f>
        <v/>
      </c>
      <c r="I1967" s="60">
        <f>IF(AND(tblFleet[[#This Row],[Units]]&lt;&gt;"",tblFleet[[#This Row],[Calendar_h]]&gt;0),tblFleet[[#This Row],[Available_h]]/tblFleet[[#This Row],[Calendar_h]],"")</f>
        <v/>
      </c>
      <c r="J1967" s="60">
        <f>IF(AND(tblFleet[[#This Row],[Units]]&lt;&gt;"",tblFleet[[#This Row],[Available_h]]&gt;0),tblFleet[[#This Row],[Operating_h]]/tblFleet[[#This Row],[Available_h]],"")</f>
        <v/>
      </c>
    </row>
    <row r="1968">
      <c r="A1968" s="54" t="n"/>
      <c r="B1968" s="61" t="n"/>
      <c r="C1968" s="62" t="n"/>
      <c r="D1968" s="57" t="n"/>
      <c r="E1968" s="57" t="n"/>
      <c r="F1968" s="58" t="n"/>
      <c r="G1968" s="66">
        <f>IF(tblFleet[[#This Row],[Units]]="","",tblFleet[[#This Row],[Units]]*24)</f>
        <v/>
      </c>
      <c r="H1968" s="66">
        <f>IF(tblFleet[[#This Row],[Units]]="","",tblFleet[[#This Row],[Calendar_h]]-tblFleet[[#This Row],[Down_h]])</f>
        <v/>
      </c>
      <c r="I1968" s="60">
        <f>IF(AND(tblFleet[[#This Row],[Units]]&lt;&gt;"",tblFleet[[#This Row],[Calendar_h]]&gt;0),tblFleet[[#This Row],[Available_h]]/tblFleet[[#This Row],[Calendar_h]],"")</f>
        <v/>
      </c>
      <c r="J1968" s="60">
        <f>IF(AND(tblFleet[[#This Row],[Units]]&lt;&gt;"",tblFleet[[#This Row],[Available_h]]&gt;0),tblFleet[[#This Row],[Operating_h]]/tblFleet[[#This Row],[Available_h]],"")</f>
        <v/>
      </c>
    </row>
    <row r="1969">
      <c r="A1969" s="54" t="n"/>
      <c r="B1969" s="61" t="n"/>
      <c r="C1969" s="62" t="n"/>
      <c r="D1969" s="57" t="n"/>
      <c r="E1969" s="57" t="n"/>
      <c r="F1969" s="58" t="n"/>
      <c r="G1969" s="66">
        <f>IF(tblFleet[[#This Row],[Units]]="","",tblFleet[[#This Row],[Units]]*24)</f>
        <v/>
      </c>
      <c r="H1969" s="66">
        <f>IF(tblFleet[[#This Row],[Units]]="","",tblFleet[[#This Row],[Calendar_h]]-tblFleet[[#This Row],[Down_h]])</f>
        <v/>
      </c>
      <c r="I1969" s="60">
        <f>IF(AND(tblFleet[[#This Row],[Units]]&lt;&gt;"",tblFleet[[#This Row],[Calendar_h]]&gt;0),tblFleet[[#This Row],[Available_h]]/tblFleet[[#This Row],[Calendar_h]],"")</f>
        <v/>
      </c>
      <c r="J1969" s="60">
        <f>IF(AND(tblFleet[[#This Row],[Units]]&lt;&gt;"",tblFleet[[#This Row],[Available_h]]&gt;0),tblFleet[[#This Row],[Operating_h]]/tblFleet[[#This Row],[Available_h]],"")</f>
        <v/>
      </c>
    </row>
    <row r="1970">
      <c r="A1970" s="54" t="n"/>
      <c r="B1970" s="61" t="n"/>
      <c r="C1970" s="62" t="n"/>
      <c r="D1970" s="57" t="n"/>
      <c r="E1970" s="57" t="n"/>
      <c r="F1970" s="58" t="n"/>
      <c r="G1970" s="66">
        <f>IF(tblFleet[[#This Row],[Units]]="","",tblFleet[[#This Row],[Units]]*24)</f>
        <v/>
      </c>
      <c r="H1970" s="66">
        <f>IF(tblFleet[[#This Row],[Units]]="","",tblFleet[[#This Row],[Calendar_h]]-tblFleet[[#This Row],[Down_h]])</f>
        <v/>
      </c>
      <c r="I1970" s="60">
        <f>IF(AND(tblFleet[[#This Row],[Units]]&lt;&gt;"",tblFleet[[#This Row],[Calendar_h]]&gt;0),tblFleet[[#This Row],[Available_h]]/tblFleet[[#This Row],[Calendar_h]],"")</f>
        <v/>
      </c>
      <c r="J1970" s="60">
        <f>IF(AND(tblFleet[[#This Row],[Units]]&lt;&gt;"",tblFleet[[#This Row],[Available_h]]&gt;0),tblFleet[[#This Row],[Operating_h]]/tblFleet[[#This Row],[Available_h]],"")</f>
        <v/>
      </c>
    </row>
    <row r="1971">
      <c r="A1971" s="54" t="n"/>
      <c r="B1971" s="61" t="n"/>
      <c r="C1971" s="62" t="n"/>
      <c r="D1971" s="57" t="n"/>
      <c r="E1971" s="57" t="n"/>
      <c r="F1971" s="58" t="n"/>
      <c r="G1971" s="66">
        <f>IF(tblFleet[[#This Row],[Units]]="","",tblFleet[[#This Row],[Units]]*24)</f>
        <v/>
      </c>
      <c r="H1971" s="66">
        <f>IF(tblFleet[[#This Row],[Units]]="","",tblFleet[[#This Row],[Calendar_h]]-tblFleet[[#This Row],[Down_h]])</f>
        <v/>
      </c>
      <c r="I1971" s="60">
        <f>IF(AND(tblFleet[[#This Row],[Units]]&lt;&gt;"",tblFleet[[#This Row],[Calendar_h]]&gt;0),tblFleet[[#This Row],[Available_h]]/tblFleet[[#This Row],[Calendar_h]],"")</f>
        <v/>
      </c>
      <c r="J1971" s="60">
        <f>IF(AND(tblFleet[[#This Row],[Units]]&lt;&gt;"",tblFleet[[#This Row],[Available_h]]&gt;0),tblFleet[[#This Row],[Operating_h]]/tblFleet[[#This Row],[Available_h]],"")</f>
        <v/>
      </c>
    </row>
    <row r="1972">
      <c r="A1972" s="54" t="n"/>
      <c r="B1972" s="61" t="n"/>
      <c r="C1972" s="62" t="n"/>
      <c r="D1972" s="57" t="n"/>
      <c r="E1972" s="57" t="n"/>
      <c r="F1972" s="58" t="n"/>
      <c r="G1972" s="66">
        <f>IF(tblFleet[[#This Row],[Units]]="","",tblFleet[[#This Row],[Units]]*24)</f>
        <v/>
      </c>
      <c r="H1972" s="66">
        <f>IF(tblFleet[[#This Row],[Units]]="","",tblFleet[[#This Row],[Calendar_h]]-tblFleet[[#This Row],[Down_h]])</f>
        <v/>
      </c>
      <c r="I1972" s="60">
        <f>IF(AND(tblFleet[[#This Row],[Units]]&lt;&gt;"",tblFleet[[#This Row],[Calendar_h]]&gt;0),tblFleet[[#This Row],[Available_h]]/tblFleet[[#This Row],[Calendar_h]],"")</f>
        <v/>
      </c>
      <c r="J1972" s="60">
        <f>IF(AND(tblFleet[[#This Row],[Units]]&lt;&gt;"",tblFleet[[#This Row],[Available_h]]&gt;0),tblFleet[[#This Row],[Operating_h]]/tblFleet[[#This Row],[Available_h]],"")</f>
        <v/>
      </c>
    </row>
    <row r="1973">
      <c r="A1973" s="54" t="n"/>
      <c r="B1973" s="61" t="n"/>
      <c r="C1973" s="62" t="n"/>
      <c r="D1973" s="57" t="n"/>
      <c r="E1973" s="57" t="n"/>
      <c r="F1973" s="58" t="n"/>
      <c r="G1973" s="66">
        <f>IF(tblFleet[[#This Row],[Units]]="","",tblFleet[[#This Row],[Units]]*24)</f>
        <v/>
      </c>
      <c r="H1973" s="66">
        <f>IF(tblFleet[[#This Row],[Units]]="","",tblFleet[[#This Row],[Calendar_h]]-tblFleet[[#This Row],[Down_h]])</f>
        <v/>
      </c>
      <c r="I1973" s="60">
        <f>IF(AND(tblFleet[[#This Row],[Units]]&lt;&gt;"",tblFleet[[#This Row],[Calendar_h]]&gt;0),tblFleet[[#This Row],[Available_h]]/tblFleet[[#This Row],[Calendar_h]],"")</f>
        <v/>
      </c>
      <c r="J1973" s="60">
        <f>IF(AND(tblFleet[[#This Row],[Units]]&lt;&gt;"",tblFleet[[#This Row],[Available_h]]&gt;0),tblFleet[[#This Row],[Operating_h]]/tblFleet[[#This Row],[Available_h]],"")</f>
        <v/>
      </c>
    </row>
    <row r="1974">
      <c r="A1974" s="54" t="n"/>
      <c r="B1974" s="61" t="n"/>
      <c r="C1974" s="62" t="n"/>
      <c r="D1974" s="57" t="n"/>
      <c r="E1974" s="57" t="n"/>
      <c r="F1974" s="58" t="n"/>
      <c r="G1974" s="66">
        <f>IF(tblFleet[[#This Row],[Units]]="","",tblFleet[[#This Row],[Units]]*24)</f>
        <v/>
      </c>
      <c r="H1974" s="66">
        <f>IF(tblFleet[[#This Row],[Units]]="","",tblFleet[[#This Row],[Calendar_h]]-tblFleet[[#This Row],[Down_h]])</f>
        <v/>
      </c>
      <c r="I1974" s="60">
        <f>IF(AND(tblFleet[[#This Row],[Units]]&lt;&gt;"",tblFleet[[#This Row],[Calendar_h]]&gt;0),tblFleet[[#This Row],[Available_h]]/tblFleet[[#This Row],[Calendar_h]],"")</f>
        <v/>
      </c>
      <c r="J1974" s="60">
        <f>IF(AND(tblFleet[[#This Row],[Units]]&lt;&gt;"",tblFleet[[#This Row],[Available_h]]&gt;0),tblFleet[[#This Row],[Operating_h]]/tblFleet[[#This Row],[Available_h]],"")</f>
        <v/>
      </c>
    </row>
    <row r="1975">
      <c r="A1975" s="54" t="n"/>
      <c r="B1975" s="61" t="n"/>
      <c r="C1975" s="62" t="n"/>
      <c r="D1975" s="57" t="n"/>
      <c r="E1975" s="57" t="n"/>
      <c r="F1975" s="58" t="n"/>
      <c r="G1975" s="66">
        <f>IF(tblFleet[[#This Row],[Units]]="","",tblFleet[[#This Row],[Units]]*24)</f>
        <v/>
      </c>
      <c r="H1975" s="66">
        <f>IF(tblFleet[[#This Row],[Units]]="","",tblFleet[[#This Row],[Calendar_h]]-tblFleet[[#This Row],[Down_h]])</f>
        <v/>
      </c>
      <c r="I1975" s="60">
        <f>IF(AND(tblFleet[[#This Row],[Units]]&lt;&gt;"",tblFleet[[#This Row],[Calendar_h]]&gt;0),tblFleet[[#This Row],[Available_h]]/tblFleet[[#This Row],[Calendar_h]],"")</f>
        <v/>
      </c>
      <c r="J1975" s="60">
        <f>IF(AND(tblFleet[[#This Row],[Units]]&lt;&gt;"",tblFleet[[#This Row],[Available_h]]&gt;0),tblFleet[[#This Row],[Operating_h]]/tblFleet[[#This Row],[Available_h]],"")</f>
        <v/>
      </c>
    </row>
    <row r="1976">
      <c r="A1976" s="54" t="n"/>
      <c r="B1976" s="61" t="n"/>
      <c r="C1976" s="62" t="n"/>
      <c r="D1976" s="57" t="n"/>
      <c r="E1976" s="57" t="n"/>
      <c r="F1976" s="58" t="n"/>
      <c r="G1976" s="66">
        <f>IF(tblFleet[[#This Row],[Units]]="","",tblFleet[[#This Row],[Units]]*24)</f>
        <v/>
      </c>
      <c r="H1976" s="66">
        <f>IF(tblFleet[[#This Row],[Units]]="","",tblFleet[[#This Row],[Calendar_h]]-tblFleet[[#This Row],[Down_h]])</f>
        <v/>
      </c>
      <c r="I1976" s="60">
        <f>IF(AND(tblFleet[[#This Row],[Units]]&lt;&gt;"",tblFleet[[#This Row],[Calendar_h]]&gt;0),tblFleet[[#This Row],[Available_h]]/tblFleet[[#This Row],[Calendar_h]],"")</f>
        <v/>
      </c>
      <c r="J1976" s="60">
        <f>IF(AND(tblFleet[[#This Row],[Units]]&lt;&gt;"",tblFleet[[#This Row],[Available_h]]&gt;0),tblFleet[[#This Row],[Operating_h]]/tblFleet[[#This Row],[Available_h]],"")</f>
        <v/>
      </c>
    </row>
    <row r="1977">
      <c r="A1977" s="54" t="n"/>
      <c r="B1977" s="61" t="n"/>
      <c r="C1977" s="62" t="n"/>
      <c r="D1977" s="57" t="n"/>
      <c r="E1977" s="57" t="n"/>
      <c r="F1977" s="58" t="n"/>
      <c r="G1977" s="66">
        <f>IF(tblFleet[[#This Row],[Units]]="","",tblFleet[[#This Row],[Units]]*24)</f>
        <v/>
      </c>
      <c r="H1977" s="66">
        <f>IF(tblFleet[[#This Row],[Units]]="","",tblFleet[[#This Row],[Calendar_h]]-tblFleet[[#This Row],[Down_h]])</f>
        <v/>
      </c>
      <c r="I1977" s="60">
        <f>IF(AND(tblFleet[[#This Row],[Units]]&lt;&gt;"",tblFleet[[#This Row],[Calendar_h]]&gt;0),tblFleet[[#This Row],[Available_h]]/tblFleet[[#This Row],[Calendar_h]],"")</f>
        <v/>
      </c>
      <c r="J1977" s="60">
        <f>IF(AND(tblFleet[[#This Row],[Units]]&lt;&gt;"",tblFleet[[#This Row],[Available_h]]&gt;0),tblFleet[[#This Row],[Operating_h]]/tblFleet[[#This Row],[Available_h]],"")</f>
        <v/>
      </c>
    </row>
    <row r="1978">
      <c r="A1978" s="54" t="n"/>
      <c r="B1978" s="61" t="n"/>
      <c r="C1978" s="62" t="n"/>
      <c r="D1978" s="57" t="n"/>
      <c r="E1978" s="57" t="n"/>
      <c r="F1978" s="58" t="n"/>
      <c r="G1978" s="66">
        <f>IF(tblFleet[[#This Row],[Units]]="","",tblFleet[[#This Row],[Units]]*24)</f>
        <v/>
      </c>
      <c r="H1978" s="66">
        <f>IF(tblFleet[[#This Row],[Units]]="","",tblFleet[[#This Row],[Calendar_h]]-tblFleet[[#This Row],[Down_h]])</f>
        <v/>
      </c>
      <c r="I1978" s="60">
        <f>IF(AND(tblFleet[[#This Row],[Units]]&lt;&gt;"",tblFleet[[#This Row],[Calendar_h]]&gt;0),tblFleet[[#This Row],[Available_h]]/tblFleet[[#This Row],[Calendar_h]],"")</f>
        <v/>
      </c>
      <c r="J1978" s="60">
        <f>IF(AND(tblFleet[[#This Row],[Units]]&lt;&gt;"",tblFleet[[#This Row],[Available_h]]&gt;0),tblFleet[[#This Row],[Operating_h]]/tblFleet[[#This Row],[Available_h]],"")</f>
        <v/>
      </c>
    </row>
    <row r="1979">
      <c r="A1979" s="54" t="n"/>
      <c r="B1979" s="61" t="n"/>
      <c r="C1979" s="62" t="n"/>
      <c r="D1979" s="57" t="n"/>
      <c r="E1979" s="57" t="n"/>
      <c r="F1979" s="58" t="n"/>
      <c r="G1979" s="66">
        <f>IF(tblFleet[[#This Row],[Units]]="","",tblFleet[[#This Row],[Units]]*24)</f>
        <v/>
      </c>
      <c r="H1979" s="66">
        <f>IF(tblFleet[[#This Row],[Units]]="","",tblFleet[[#This Row],[Calendar_h]]-tblFleet[[#This Row],[Down_h]])</f>
        <v/>
      </c>
      <c r="I1979" s="60">
        <f>IF(AND(tblFleet[[#This Row],[Units]]&lt;&gt;"",tblFleet[[#This Row],[Calendar_h]]&gt;0),tblFleet[[#This Row],[Available_h]]/tblFleet[[#This Row],[Calendar_h]],"")</f>
        <v/>
      </c>
      <c r="J1979" s="60">
        <f>IF(AND(tblFleet[[#This Row],[Units]]&lt;&gt;"",tblFleet[[#This Row],[Available_h]]&gt;0),tblFleet[[#This Row],[Operating_h]]/tblFleet[[#This Row],[Available_h]],"")</f>
        <v/>
      </c>
    </row>
    <row r="1980">
      <c r="A1980" s="54" t="n"/>
      <c r="B1980" s="61" t="n"/>
      <c r="C1980" s="62" t="n"/>
      <c r="D1980" s="57" t="n"/>
      <c r="E1980" s="57" t="n"/>
      <c r="F1980" s="58" t="n"/>
      <c r="G1980" s="66">
        <f>IF(tblFleet[[#This Row],[Units]]="","",tblFleet[[#This Row],[Units]]*24)</f>
        <v/>
      </c>
      <c r="H1980" s="66">
        <f>IF(tblFleet[[#This Row],[Units]]="","",tblFleet[[#This Row],[Calendar_h]]-tblFleet[[#This Row],[Down_h]])</f>
        <v/>
      </c>
      <c r="I1980" s="60">
        <f>IF(AND(tblFleet[[#This Row],[Units]]&lt;&gt;"",tblFleet[[#This Row],[Calendar_h]]&gt;0),tblFleet[[#This Row],[Available_h]]/tblFleet[[#This Row],[Calendar_h]],"")</f>
        <v/>
      </c>
      <c r="J1980" s="60">
        <f>IF(AND(tblFleet[[#This Row],[Units]]&lt;&gt;"",tblFleet[[#This Row],[Available_h]]&gt;0),tblFleet[[#This Row],[Operating_h]]/tblFleet[[#This Row],[Available_h]],"")</f>
        <v/>
      </c>
    </row>
    <row r="1981">
      <c r="A1981" s="54" t="n"/>
      <c r="B1981" s="61" t="n"/>
      <c r="C1981" s="62" t="n"/>
      <c r="D1981" s="57" t="n"/>
      <c r="E1981" s="57" t="n"/>
      <c r="F1981" s="58" t="n"/>
      <c r="G1981" s="66">
        <f>IF(tblFleet[[#This Row],[Units]]="","",tblFleet[[#This Row],[Units]]*24)</f>
        <v/>
      </c>
      <c r="H1981" s="66">
        <f>IF(tblFleet[[#This Row],[Units]]="","",tblFleet[[#This Row],[Calendar_h]]-tblFleet[[#This Row],[Down_h]])</f>
        <v/>
      </c>
      <c r="I1981" s="60">
        <f>IF(AND(tblFleet[[#This Row],[Units]]&lt;&gt;"",tblFleet[[#This Row],[Calendar_h]]&gt;0),tblFleet[[#This Row],[Available_h]]/tblFleet[[#This Row],[Calendar_h]],"")</f>
        <v/>
      </c>
      <c r="J1981" s="60">
        <f>IF(AND(tblFleet[[#This Row],[Units]]&lt;&gt;"",tblFleet[[#This Row],[Available_h]]&gt;0),tblFleet[[#This Row],[Operating_h]]/tblFleet[[#This Row],[Available_h]],"")</f>
        <v/>
      </c>
    </row>
    <row r="1982">
      <c r="A1982" s="54" t="n"/>
      <c r="B1982" s="61" t="n"/>
      <c r="C1982" s="62" t="n"/>
      <c r="D1982" s="57" t="n"/>
      <c r="E1982" s="57" t="n"/>
      <c r="F1982" s="58" t="n"/>
      <c r="G1982" s="66">
        <f>IF(tblFleet[[#This Row],[Units]]="","",tblFleet[[#This Row],[Units]]*24)</f>
        <v/>
      </c>
      <c r="H1982" s="66">
        <f>IF(tblFleet[[#This Row],[Units]]="","",tblFleet[[#This Row],[Calendar_h]]-tblFleet[[#This Row],[Down_h]])</f>
        <v/>
      </c>
      <c r="I1982" s="60">
        <f>IF(AND(tblFleet[[#This Row],[Units]]&lt;&gt;"",tblFleet[[#This Row],[Calendar_h]]&gt;0),tblFleet[[#This Row],[Available_h]]/tblFleet[[#This Row],[Calendar_h]],"")</f>
        <v/>
      </c>
      <c r="J1982" s="60">
        <f>IF(AND(tblFleet[[#This Row],[Units]]&lt;&gt;"",tblFleet[[#This Row],[Available_h]]&gt;0),tblFleet[[#This Row],[Operating_h]]/tblFleet[[#This Row],[Available_h]],"")</f>
        <v/>
      </c>
    </row>
    <row r="1983">
      <c r="A1983" s="54" t="n"/>
      <c r="B1983" s="61" t="n"/>
      <c r="C1983" s="62" t="n"/>
      <c r="D1983" s="57" t="n"/>
      <c r="E1983" s="57" t="n"/>
      <c r="F1983" s="58" t="n"/>
      <c r="G1983" s="66">
        <f>IF(tblFleet[[#This Row],[Units]]="","",tblFleet[[#This Row],[Units]]*24)</f>
        <v/>
      </c>
      <c r="H1983" s="66">
        <f>IF(tblFleet[[#This Row],[Units]]="","",tblFleet[[#This Row],[Calendar_h]]-tblFleet[[#This Row],[Down_h]])</f>
        <v/>
      </c>
      <c r="I1983" s="60">
        <f>IF(AND(tblFleet[[#This Row],[Units]]&lt;&gt;"",tblFleet[[#This Row],[Calendar_h]]&gt;0),tblFleet[[#This Row],[Available_h]]/tblFleet[[#This Row],[Calendar_h]],"")</f>
        <v/>
      </c>
      <c r="J1983" s="60">
        <f>IF(AND(tblFleet[[#This Row],[Units]]&lt;&gt;"",tblFleet[[#This Row],[Available_h]]&gt;0),tblFleet[[#This Row],[Operating_h]]/tblFleet[[#This Row],[Available_h]],"")</f>
        <v/>
      </c>
    </row>
    <row r="1984">
      <c r="A1984" s="54" t="n"/>
      <c r="B1984" s="61" t="n"/>
      <c r="C1984" s="62" t="n"/>
      <c r="D1984" s="57" t="n"/>
      <c r="E1984" s="57" t="n"/>
      <c r="F1984" s="58" t="n"/>
      <c r="G1984" s="66">
        <f>IF(tblFleet[[#This Row],[Units]]="","",tblFleet[[#This Row],[Units]]*24)</f>
        <v/>
      </c>
      <c r="H1984" s="66">
        <f>IF(tblFleet[[#This Row],[Units]]="","",tblFleet[[#This Row],[Calendar_h]]-tblFleet[[#This Row],[Down_h]])</f>
        <v/>
      </c>
      <c r="I1984" s="60">
        <f>IF(AND(tblFleet[[#This Row],[Units]]&lt;&gt;"",tblFleet[[#This Row],[Calendar_h]]&gt;0),tblFleet[[#This Row],[Available_h]]/tblFleet[[#This Row],[Calendar_h]],"")</f>
        <v/>
      </c>
      <c r="J1984" s="60">
        <f>IF(AND(tblFleet[[#This Row],[Units]]&lt;&gt;"",tblFleet[[#This Row],[Available_h]]&gt;0),tblFleet[[#This Row],[Operating_h]]/tblFleet[[#This Row],[Available_h]],"")</f>
        <v/>
      </c>
    </row>
    <row r="1985">
      <c r="A1985" s="54" t="n"/>
      <c r="B1985" s="61" t="n"/>
      <c r="C1985" s="62" t="n"/>
      <c r="D1985" s="57" t="n"/>
      <c r="E1985" s="57" t="n"/>
      <c r="F1985" s="58" t="n"/>
      <c r="G1985" s="66">
        <f>IF(tblFleet[[#This Row],[Units]]="","",tblFleet[[#This Row],[Units]]*24)</f>
        <v/>
      </c>
      <c r="H1985" s="66">
        <f>IF(tblFleet[[#This Row],[Units]]="","",tblFleet[[#This Row],[Calendar_h]]-tblFleet[[#This Row],[Down_h]])</f>
        <v/>
      </c>
      <c r="I1985" s="60">
        <f>IF(AND(tblFleet[[#This Row],[Units]]&lt;&gt;"",tblFleet[[#This Row],[Calendar_h]]&gt;0),tblFleet[[#This Row],[Available_h]]/tblFleet[[#This Row],[Calendar_h]],"")</f>
        <v/>
      </c>
      <c r="J1985" s="60">
        <f>IF(AND(tblFleet[[#This Row],[Units]]&lt;&gt;"",tblFleet[[#This Row],[Available_h]]&gt;0),tblFleet[[#This Row],[Operating_h]]/tblFleet[[#This Row],[Available_h]],"")</f>
        <v/>
      </c>
    </row>
    <row r="1986">
      <c r="A1986" s="54" t="n"/>
      <c r="B1986" s="61" t="n"/>
      <c r="C1986" s="62" t="n"/>
      <c r="D1986" s="57" t="n"/>
      <c r="E1986" s="57" t="n"/>
      <c r="F1986" s="58" t="n"/>
      <c r="G1986" s="66">
        <f>IF(tblFleet[[#This Row],[Units]]="","",tblFleet[[#This Row],[Units]]*24)</f>
        <v/>
      </c>
      <c r="H1986" s="66">
        <f>IF(tblFleet[[#This Row],[Units]]="","",tblFleet[[#This Row],[Calendar_h]]-tblFleet[[#This Row],[Down_h]])</f>
        <v/>
      </c>
      <c r="I1986" s="60">
        <f>IF(AND(tblFleet[[#This Row],[Units]]&lt;&gt;"",tblFleet[[#This Row],[Calendar_h]]&gt;0),tblFleet[[#This Row],[Available_h]]/tblFleet[[#This Row],[Calendar_h]],"")</f>
        <v/>
      </c>
      <c r="J1986" s="60">
        <f>IF(AND(tblFleet[[#This Row],[Units]]&lt;&gt;"",tblFleet[[#This Row],[Available_h]]&gt;0),tblFleet[[#This Row],[Operating_h]]/tblFleet[[#This Row],[Available_h]],"")</f>
        <v/>
      </c>
    </row>
    <row r="1987">
      <c r="A1987" s="54" t="n"/>
      <c r="B1987" s="61" t="n"/>
      <c r="C1987" s="62" t="n"/>
      <c r="D1987" s="57" t="n"/>
      <c r="E1987" s="57" t="n"/>
      <c r="F1987" s="58" t="n"/>
      <c r="G1987" s="66">
        <f>IF(tblFleet[[#This Row],[Units]]="","",tblFleet[[#This Row],[Units]]*24)</f>
        <v/>
      </c>
      <c r="H1987" s="66">
        <f>IF(tblFleet[[#This Row],[Units]]="","",tblFleet[[#This Row],[Calendar_h]]-tblFleet[[#This Row],[Down_h]])</f>
        <v/>
      </c>
      <c r="I1987" s="60">
        <f>IF(AND(tblFleet[[#This Row],[Units]]&lt;&gt;"",tblFleet[[#This Row],[Calendar_h]]&gt;0),tblFleet[[#This Row],[Available_h]]/tblFleet[[#This Row],[Calendar_h]],"")</f>
        <v/>
      </c>
      <c r="J1987" s="60">
        <f>IF(AND(tblFleet[[#This Row],[Units]]&lt;&gt;"",tblFleet[[#This Row],[Available_h]]&gt;0),tblFleet[[#This Row],[Operating_h]]/tblFleet[[#This Row],[Available_h]],"")</f>
        <v/>
      </c>
    </row>
    <row r="1988">
      <c r="A1988" s="54" t="n"/>
      <c r="B1988" s="61" t="n"/>
      <c r="C1988" s="62" t="n"/>
      <c r="D1988" s="57" t="n"/>
      <c r="E1988" s="57" t="n"/>
      <c r="F1988" s="58" t="n"/>
      <c r="G1988" s="66">
        <f>IF(tblFleet[[#This Row],[Units]]="","",tblFleet[[#This Row],[Units]]*24)</f>
        <v/>
      </c>
      <c r="H1988" s="66">
        <f>IF(tblFleet[[#This Row],[Units]]="","",tblFleet[[#This Row],[Calendar_h]]-tblFleet[[#This Row],[Down_h]])</f>
        <v/>
      </c>
      <c r="I1988" s="60">
        <f>IF(AND(tblFleet[[#This Row],[Units]]&lt;&gt;"",tblFleet[[#This Row],[Calendar_h]]&gt;0),tblFleet[[#This Row],[Available_h]]/tblFleet[[#This Row],[Calendar_h]],"")</f>
        <v/>
      </c>
      <c r="J1988" s="60">
        <f>IF(AND(tblFleet[[#This Row],[Units]]&lt;&gt;"",tblFleet[[#This Row],[Available_h]]&gt;0),tblFleet[[#This Row],[Operating_h]]/tblFleet[[#This Row],[Available_h]],"")</f>
        <v/>
      </c>
    </row>
    <row r="1989">
      <c r="A1989" s="54" t="n"/>
      <c r="B1989" s="61" t="n"/>
      <c r="C1989" s="62" t="n"/>
      <c r="D1989" s="57" t="n"/>
      <c r="E1989" s="57" t="n"/>
      <c r="F1989" s="58" t="n"/>
      <c r="G1989" s="66">
        <f>IF(tblFleet[[#This Row],[Units]]="","",tblFleet[[#This Row],[Units]]*24)</f>
        <v/>
      </c>
      <c r="H1989" s="66">
        <f>IF(tblFleet[[#This Row],[Units]]="","",tblFleet[[#This Row],[Calendar_h]]-tblFleet[[#This Row],[Down_h]])</f>
        <v/>
      </c>
      <c r="I1989" s="60">
        <f>IF(AND(tblFleet[[#This Row],[Units]]&lt;&gt;"",tblFleet[[#This Row],[Calendar_h]]&gt;0),tblFleet[[#This Row],[Available_h]]/tblFleet[[#This Row],[Calendar_h]],"")</f>
        <v/>
      </c>
      <c r="J1989" s="60">
        <f>IF(AND(tblFleet[[#This Row],[Units]]&lt;&gt;"",tblFleet[[#This Row],[Available_h]]&gt;0),tblFleet[[#This Row],[Operating_h]]/tblFleet[[#This Row],[Available_h]],"")</f>
        <v/>
      </c>
    </row>
    <row r="1990">
      <c r="A1990" s="54" t="n"/>
      <c r="B1990" s="61" t="n"/>
      <c r="C1990" s="62" t="n"/>
      <c r="D1990" s="57" t="n"/>
      <c r="E1990" s="57" t="n"/>
      <c r="F1990" s="58" t="n"/>
      <c r="G1990" s="66">
        <f>IF(tblFleet[[#This Row],[Units]]="","",tblFleet[[#This Row],[Units]]*24)</f>
        <v/>
      </c>
      <c r="H1990" s="66">
        <f>IF(tblFleet[[#This Row],[Units]]="","",tblFleet[[#This Row],[Calendar_h]]-tblFleet[[#This Row],[Down_h]])</f>
        <v/>
      </c>
      <c r="I1990" s="60">
        <f>IF(AND(tblFleet[[#This Row],[Units]]&lt;&gt;"",tblFleet[[#This Row],[Calendar_h]]&gt;0),tblFleet[[#This Row],[Available_h]]/tblFleet[[#This Row],[Calendar_h]],"")</f>
        <v/>
      </c>
      <c r="J1990" s="60">
        <f>IF(AND(tblFleet[[#This Row],[Units]]&lt;&gt;"",tblFleet[[#This Row],[Available_h]]&gt;0),tblFleet[[#This Row],[Operating_h]]/tblFleet[[#This Row],[Available_h]],"")</f>
        <v/>
      </c>
    </row>
    <row r="1991">
      <c r="A1991" s="54" t="n"/>
      <c r="B1991" s="61" t="n"/>
      <c r="C1991" s="62" t="n"/>
      <c r="D1991" s="57" t="n"/>
      <c r="E1991" s="57" t="n"/>
      <c r="F1991" s="58" t="n"/>
      <c r="G1991" s="66">
        <f>IF(tblFleet[[#This Row],[Units]]="","",tblFleet[[#This Row],[Units]]*24)</f>
        <v/>
      </c>
      <c r="H1991" s="66">
        <f>IF(tblFleet[[#This Row],[Units]]="","",tblFleet[[#This Row],[Calendar_h]]-tblFleet[[#This Row],[Down_h]])</f>
        <v/>
      </c>
      <c r="I1991" s="60">
        <f>IF(AND(tblFleet[[#This Row],[Units]]&lt;&gt;"",tblFleet[[#This Row],[Calendar_h]]&gt;0),tblFleet[[#This Row],[Available_h]]/tblFleet[[#This Row],[Calendar_h]],"")</f>
        <v/>
      </c>
      <c r="J1991" s="60">
        <f>IF(AND(tblFleet[[#This Row],[Units]]&lt;&gt;"",tblFleet[[#This Row],[Available_h]]&gt;0),tblFleet[[#This Row],[Operating_h]]/tblFleet[[#This Row],[Available_h]],"")</f>
        <v/>
      </c>
    </row>
    <row r="1992">
      <c r="A1992" s="54" t="n"/>
      <c r="B1992" s="61" t="n"/>
      <c r="C1992" s="62" t="n"/>
      <c r="D1992" s="57" t="n"/>
      <c r="E1992" s="57" t="n"/>
      <c r="F1992" s="58" t="n"/>
      <c r="G1992" s="66">
        <f>IF(tblFleet[[#This Row],[Units]]="","",tblFleet[[#This Row],[Units]]*24)</f>
        <v/>
      </c>
      <c r="H1992" s="66">
        <f>IF(tblFleet[[#This Row],[Units]]="","",tblFleet[[#This Row],[Calendar_h]]-tblFleet[[#This Row],[Down_h]])</f>
        <v/>
      </c>
      <c r="I1992" s="60">
        <f>IF(AND(tblFleet[[#This Row],[Units]]&lt;&gt;"",tblFleet[[#This Row],[Calendar_h]]&gt;0),tblFleet[[#This Row],[Available_h]]/tblFleet[[#This Row],[Calendar_h]],"")</f>
        <v/>
      </c>
      <c r="J1992" s="60">
        <f>IF(AND(tblFleet[[#This Row],[Units]]&lt;&gt;"",tblFleet[[#This Row],[Available_h]]&gt;0),tblFleet[[#This Row],[Operating_h]]/tblFleet[[#This Row],[Available_h]],"")</f>
        <v/>
      </c>
    </row>
    <row r="1993">
      <c r="A1993" s="54" t="n"/>
      <c r="B1993" s="61" t="n"/>
      <c r="C1993" s="62" t="n"/>
      <c r="D1993" s="57" t="n"/>
      <c r="E1993" s="57" t="n"/>
      <c r="F1993" s="58" t="n"/>
      <c r="G1993" s="66">
        <f>IF(tblFleet[[#This Row],[Units]]="","",tblFleet[[#This Row],[Units]]*24)</f>
        <v/>
      </c>
      <c r="H1993" s="66">
        <f>IF(tblFleet[[#This Row],[Units]]="","",tblFleet[[#This Row],[Calendar_h]]-tblFleet[[#This Row],[Down_h]])</f>
        <v/>
      </c>
      <c r="I1993" s="60">
        <f>IF(AND(tblFleet[[#This Row],[Units]]&lt;&gt;"",tblFleet[[#This Row],[Calendar_h]]&gt;0),tblFleet[[#This Row],[Available_h]]/tblFleet[[#This Row],[Calendar_h]],"")</f>
        <v/>
      </c>
      <c r="J1993" s="60">
        <f>IF(AND(tblFleet[[#This Row],[Units]]&lt;&gt;"",tblFleet[[#This Row],[Available_h]]&gt;0),tblFleet[[#This Row],[Operating_h]]/tblFleet[[#This Row],[Available_h]],"")</f>
        <v/>
      </c>
    </row>
    <row r="1994">
      <c r="A1994" s="54" t="n"/>
      <c r="B1994" s="61" t="n"/>
      <c r="C1994" s="62" t="n"/>
      <c r="D1994" s="57" t="n"/>
      <c r="E1994" s="57" t="n"/>
      <c r="F1994" s="58" t="n"/>
      <c r="G1994" s="66">
        <f>IF(tblFleet[[#This Row],[Units]]="","",tblFleet[[#This Row],[Units]]*24)</f>
        <v/>
      </c>
      <c r="H1994" s="66">
        <f>IF(tblFleet[[#This Row],[Units]]="","",tblFleet[[#This Row],[Calendar_h]]-tblFleet[[#This Row],[Down_h]])</f>
        <v/>
      </c>
      <c r="I1994" s="60">
        <f>IF(AND(tblFleet[[#This Row],[Units]]&lt;&gt;"",tblFleet[[#This Row],[Calendar_h]]&gt;0),tblFleet[[#This Row],[Available_h]]/tblFleet[[#This Row],[Calendar_h]],"")</f>
        <v/>
      </c>
      <c r="J1994" s="60">
        <f>IF(AND(tblFleet[[#This Row],[Units]]&lt;&gt;"",tblFleet[[#This Row],[Available_h]]&gt;0),tblFleet[[#This Row],[Operating_h]]/tblFleet[[#This Row],[Available_h]],"")</f>
        <v/>
      </c>
    </row>
    <row r="1995">
      <c r="A1995" s="54" t="n"/>
      <c r="B1995" s="61" t="n"/>
      <c r="C1995" s="62" t="n"/>
      <c r="D1995" s="57" t="n"/>
      <c r="E1995" s="57" t="n"/>
      <c r="F1995" s="58" t="n"/>
      <c r="G1995" s="66">
        <f>IF(tblFleet[[#This Row],[Units]]="","",tblFleet[[#This Row],[Units]]*24)</f>
        <v/>
      </c>
      <c r="H1995" s="66">
        <f>IF(tblFleet[[#This Row],[Units]]="","",tblFleet[[#This Row],[Calendar_h]]-tblFleet[[#This Row],[Down_h]])</f>
        <v/>
      </c>
      <c r="I1995" s="60">
        <f>IF(AND(tblFleet[[#This Row],[Units]]&lt;&gt;"",tblFleet[[#This Row],[Calendar_h]]&gt;0),tblFleet[[#This Row],[Available_h]]/tblFleet[[#This Row],[Calendar_h]],"")</f>
        <v/>
      </c>
      <c r="J1995" s="60">
        <f>IF(AND(tblFleet[[#This Row],[Units]]&lt;&gt;"",tblFleet[[#This Row],[Available_h]]&gt;0),tblFleet[[#This Row],[Operating_h]]/tblFleet[[#This Row],[Available_h]],"")</f>
        <v/>
      </c>
    </row>
    <row r="1996">
      <c r="A1996" s="54" t="n"/>
      <c r="B1996" s="61" t="n"/>
      <c r="C1996" s="62" t="n"/>
      <c r="D1996" s="57" t="n"/>
      <c r="E1996" s="57" t="n"/>
      <c r="F1996" s="58" t="n"/>
      <c r="G1996" s="66">
        <f>IF(tblFleet[[#This Row],[Units]]="","",tblFleet[[#This Row],[Units]]*24)</f>
        <v/>
      </c>
      <c r="H1996" s="66">
        <f>IF(tblFleet[[#This Row],[Units]]="","",tblFleet[[#This Row],[Calendar_h]]-tblFleet[[#This Row],[Down_h]])</f>
        <v/>
      </c>
      <c r="I1996" s="60">
        <f>IF(AND(tblFleet[[#This Row],[Units]]&lt;&gt;"",tblFleet[[#This Row],[Calendar_h]]&gt;0),tblFleet[[#This Row],[Available_h]]/tblFleet[[#This Row],[Calendar_h]],"")</f>
        <v/>
      </c>
      <c r="J1996" s="60">
        <f>IF(AND(tblFleet[[#This Row],[Units]]&lt;&gt;"",tblFleet[[#This Row],[Available_h]]&gt;0),tblFleet[[#This Row],[Operating_h]]/tblFleet[[#This Row],[Available_h]],"")</f>
        <v/>
      </c>
    </row>
    <row r="1997">
      <c r="A1997" s="54" t="n"/>
      <c r="B1997" s="61" t="n"/>
      <c r="C1997" s="62" t="n"/>
      <c r="D1997" s="57" t="n"/>
      <c r="E1997" s="57" t="n"/>
      <c r="F1997" s="58" t="n"/>
      <c r="G1997" s="66">
        <f>IF(tblFleet[[#This Row],[Units]]="","",tblFleet[[#This Row],[Units]]*24)</f>
        <v/>
      </c>
      <c r="H1997" s="66">
        <f>IF(tblFleet[[#This Row],[Units]]="","",tblFleet[[#This Row],[Calendar_h]]-tblFleet[[#This Row],[Down_h]])</f>
        <v/>
      </c>
      <c r="I1997" s="60">
        <f>IF(AND(tblFleet[[#This Row],[Units]]&lt;&gt;"",tblFleet[[#This Row],[Calendar_h]]&gt;0),tblFleet[[#This Row],[Available_h]]/tblFleet[[#This Row],[Calendar_h]],"")</f>
        <v/>
      </c>
      <c r="J1997" s="60">
        <f>IF(AND(tblFleet[[#This Row],[Units]]&lt;&gt;"",tblFleet[[#This Row],[Available_h]]&gt;0),tblFleet[[#This Row],[Operating_h]]/tblFleet[[#This Row],[Available_h]],"")</f>
        <v/>
      </c>
    </row>
    <row r="1998">
      <c r="A1998" s="54" t="n"/>
      <c r="B1998" s="61" t="n"/>
      <c r="C1998" s="62" t="n"/>
      <c r="D1998" s="57" t="n"/>
      <c r="E1998" s="57" t="n"/>
      <c r="F1998" s="58" t="n"/>
      <c r="G1998" s="66">
        <f>IF(tblFleet[[#This Row],[Units]]="","",tblFleet[[#This Row],[Units]]*24)</f>
        <v/>
      </c>
      <c r="H1998" s="66">
        <f>IF(tblFleet[[#This Row],[Units]]="","",tblFleet[[#This Row],[Calendar_h]]-tblFleet[[#This Row],[Down_h]])</f>
        <v/>
      </c>
      <c r="I1998" s="60">
        <f>IF(AND(tblFleet[[#This Row],[Units]]&lt;&gt;"",tblFleet[[#This Row],[Calendar_h]]&gt;0),tblFleet[[#This Row],[Available_h]]/tblFleet[[#This Row],[Calendar_h]],"")</f>
        <v/>
      </c>
      <c r="J1998" s="60">
        <f>IF(AND(tblFleet[[#This Row],[Units]]&lt;&gt;"",tblFleet[[#This Row],[Available_h]]&gt;0),tblFleet[[#This Row],[Operating_h]]/tblFleet[[#This Row],[Available_h]],"")</f>
        <v/>
      </c>
    </row>
    <row r="1999">
      <c r="A1999" s="54" t="n"/>
      <c r="B1999" s="61" t="n"/>
      <c r="C1999" s="62" t="n"/>
      <c r="D1999" s="57" t="n"/>
      <c r="E1999" s="57" t="n"/>
      <c r="F1999" s="58" t="n"/>
      <c r="G1999" s="66">
        <f>IF(tblFleet[[#This Row],[Units]]="","",tblFleet[[#This Row],[Units]]*24)</f>
        <v/>
      </c>
      <c r="H1999" s="66">
        <f>IF(tblFleet[[#This Row],[Units]]="","",tblFleet[[#This Row],[Calendar_h]]-tblFleet[[#This Row],[Down_h]])</f>
        <v/>
      </c>
      <c r="I1999" s="60">
        <f>IF(AND(tblFleet[[#This Row],[Units]]&lt;&gt;"",tblFleet[[#This Row],[Calendar_h]]&gt;0),tblFleet[[#This Row],[Available_h]]/tblFleet[[#This Row],[Calendar_h]],"")</f>
        <v/>
      </c>
      <c r="J1999" s="60">
        <f>IF(AND(tblFleet[[#This Row],[Units]]&lt;&gt;"",tblFleet[[#This Row],[Available_h]]&gt;0),tblFleet[[#This Row],[Operating_h]]/tblFleet[[#This Row],[Available_h]],"")</f>
        <v/>
      </c>
    </row>
    <row r="2000">
      <c r="A2000" s="54" t="n"/>
      <c r="B2000" s="61" t="n"/>
      <c r="C2000" s="62" t="n"/>
      <c r="D2000" s="57" t="n"/>
      <c r="E2000" s="57" t="n"/>
      <c r="F2000" s="58" t="n"/>
      <c r="G2000" s="66">
        <f>IF(tblFleet[[#This Row],[Units]]="","",tblFleet[[#This Row],[Units]]*24)</f>
        <v/>
      </c>
      <c r="H2000" s="66">
        <f>IF(tblFleet[[#This Row],[Units]]="","",tblFleet[[#This Row],[Calendar_h]]-tblFleet[[#This Row],[Down_h]])</f>
        <v/>
      </c>
      <c r="I2000" s="60">
        <f>IF(AND(tblFleet[[#This Row],[Units]]&lt;&gt;"",tblFleet[[#This Row],[Calendar_h]]&gt;0),tblFleet[[#This Row],[Available_h]]/tblFleet[[#This Row],[Calendar_h]],"")</f>
        <v/>
      </c>
      <c r="J2000" s="60">
        <f>IF(AND(tblFleet[[#This Row],[Units]]&lt;&gt;"",tblFleet[[#This Row],[Available_h]]&gt;0),tblFleet[[#This Row],[Operating_h]]/tblFleet[[#This Row],[Available_h]],"")</f>
        <v/>
      </c>
    </row>
    <row r="2001">
      <c r="A2001" s="54" t="n"/>
      <c r="B2001" s="61" t="n"/>
      <c r="C2001" s="62" t="n"/>
      <c r="D2001" s="57" t="n"/>
      <c r="E2001" s="57" t="n"/>
      <c r="F2001" s="58" t="n"/>
      <c r="G2001" s="66">
        <f>IF(tblFleet[[#This Row],[Units]]="","",tblFleet[[#This Row],[Units]]*24)</f>
        <v/>
      </c>
      <c r="H2001" s="66">
        <f>IF(tblFleet[[#This Row],[Units]]="","",tblFleet[[#This Row],[Calendar_h]]-tblFleet[[#This Row],[Down_h]])</f>
        <v/>
      </c>
      <c r="I2001" s="60">
        <f>IF(AND(tblFleet[[#This Row],[Units]]&lt;&gt;"",tblFleet[[#This Row],[Calendar_h]]&gt;0),tblFleet[[#This Row],[Available_h]]/tblFleet[[#This Row],[Calendar_h]],"")</f>
        <v/>
      </c>
      <c r="J2001" s="60">
        <f>IF(AND(tblFleet[[#This Row],[Units]]&lt;&gt;"",tblFleet[[#This Row],[Available_h]]&gt;0),tblFleet[[#This Row],[Operating_h]]/tblFleet[[#This Row],[Available_h]],"")</f>
        <v/>
      </c>
    </row>
    <row r="2002">
      <c r="A2002" s="54" t="n"/>
      <c r="B2002" s="61" t="n"/>
      <c r="C2002" s="62" t="n"/>
      <c r="D2002" s="57" t="n"/>
      <c r="E2002" s="57" t="n"/>
      <c r="F2002" s="58" t="n"/>
      <c r="G2002" s="66">
        <f>IF(tblFleet[[#This Row],[Units]]="","",tblFleet[[#This Row],[Units]]*24)</f>
        <v/>
      </c>
      <c r="H2002" s="66">
        <f>IF(tblFleet[[#This Row],[Units]]="","",tblFleet[[#This Row],[Calendar_h]]-tblFleet[[#This Row],[Down_h]])</f>
        <v/>
      </c>
      <c r="I2002" s="60">
        <f>IF(AND(tblFleet[[#This Row],[Units]]&lt;&gt;"",tblFleet[[#This Row],[Calendar_h]]&gt;0),tblFleet[[#This Row],[Available_h]]/tblFleet[[#This Row],[Calendar_h]],"")</f>
        <v/>
      </c>
      <c r="J2002" s="60">
        <f>IF(AND(tblFleet[[#This Row],[Units]]&lt;&gt;"",tblFleet[[#This Row],[Available_h]]&gt;0),tblFleet[[#This Row],[Operating_h]]/tblFleet[[#This Row],[Available_h]],"")</f>
        <v/>
      </c>
    </row>
    <row r="2003">
      <c r="A2003" s="54" t="n"/>
      <c r="B2003" s="61" t="n"/>
      <c r="C2003" s="62" t="n"/>
      <c r="D2003" s="57" t="n"/>
      <c r="E2003" s="57" t="n"/>
      <c r="F2003" s="58" t="n"/>
      <c r="G2003" s="66">
        <f>IF(tblFleet[[#This Row],[Units]]="","",tblFleet[[#This Row],[Units]]*24)</f>
        <v/>
      </c>
      <c r="H2003" s="66">
        <f>IF(tblFleet[[#This Row],[Units]]="","",tblFleet[[#This Row],[Calendar_h]]-tblFleet[[#This Row],[Down_h]])</f>
        <v/>
      </c>
      <c r="I2003" s="60">
        <f>IF(AND(tblFleet[[#This Row],[Units]]&lt;&gt;"",tblFleet[[#This Row],[Calendar_h]]&gt;0),tblFleet[[#This Row],[Available_h]]/tblFleet[[#This Row],[Calendar_h]],"")</f>
        <v/>
      </c>
      <c r="J2003" s="60">
        <f>IF(AND(tblFleet[[#This Row],[Units]]&lt;&gt;"",tblFleet[[#This Row],[Available_h]]&gt;0),tblFleet[[#This Row],[Operating_h]]/tblFleet[[#This Row],[Available_h]],"")</f>
        <v/>
      </c>
    </row>
    <row r="2004">
      <c r="A2004" s="54" t="n"/>
      <c r="B2004" s="61" t="n"/>
      <c r="C2004" s="62" t="n"/>
      <c r="D2004" s="57" t="n"/>
      <c r="E2004" s="57" t="n"/>
      <c r="F2004" s="58" t="n"/>
      <c r="G2004" s="66">
        <f>IF(tblFleet[[#This Row],[Units]]="","",tblFleet[[#This Row],[Units]]*24)</f>
        <v/>
      </c>
      <c r="H2004" s="66">
        <f>IF(tblFleet[[#This Row],[Units]]="","",tblFleet[[#This Row],[Calendar_h]]-tblFleet[[#This Row],[Down_h]])</f>
        <v/>
      </c>
      <c r="I2004" s="60">
        <f>IF(AND(tblFleet[[#This Row],[Units]]&lt;&gt;"",tblFleet[[#This Row],[Calendar_h]]&gt;0),tblFleet[[#This Row],[Available_h]]/tblFleet[[#This Row],[Calendar_h]],"")</f>
        <v/>
      </c>
      <c r="J2004" s="60">
        <f>IF(AND(tblFleet[[#This Row],[Units]]&lt;&gt;"",tblFleet[[#This Row],[Available_h]]&gt;0),tblFleet[[#This Row],[Operating_h]]/tblFleet[[#This Row],[Available_h]],"")</f>
        <v/>
      </c>
    </row>
    <row r="2005">
      <c r="A2005" s="54" t="n"/>
      <c r="B2005" s="61" t="n"/>
      <c r="C2005" s="62" t="n"/>
      <c r="D2005" s="57" t="n"/>
      <c r="E2005" s="57" t="n"/>
      <c r="F2005" s="58" t="n"/>
      <c r="G2005" s="66">
        <f>IF(tblFleet[[#This Row],[Units]]="","",tblFleet[[#This Row],[Units]]*24)</f>
        <v/>
      </c>
      <c r="H2005" s="66">
        <f>IF(tblFleet[[#This Row],[Units]]="","",tblFleet[[#This Row],[Calendar_h]]-tblFleet[[#This Row],[Down_h]])</f>
        <v/>
      </c>
      <c r="I2005" s="60">
        <f>IF(AND(tblFleet[[#This Row],[Units]]&lt;&gt;"",tblFleet[[#This Row],[Calendar_h]]&gt;0),tblFleet[[#This Row],[Available_h]]/tblFleet[[#This Row],[Calendar_h]],"")</f>
        <v/>
      </c>
      <c r="J2005" s="60">
        <f>IF(AND(tblFleet[[#This Row],[Units]]&lt;&gt;"",tblFleet[[#This Row],[Available_h]]&gt;0),tblFleet[[#This Row],[Operating_h]]/tblFleet[[#This Row],[Available_h]],"")</f>
        <v/>
      </c>
    </row>
    <row r="2006">
      <c r="A2006" s="54" t="n"/>
      <c r="B2006" s="61" t="n"/>
      <c r="C2006" s="62" t="n"/>
      <c r="D2006" s="57" t="n"/>
      <c r="E2006" s="57" t="n"/>
      <c r="F2006" s="58" t="n"/>
      <c r="G2006" s="66">
        <f>IF(tblFleet[[#This Row],[Units]]="","",tblFleet[[#This Row],[Units]]*24)</f>
        <v/>
      </c>
      <c r="H2006" s="66">
        <f>IF(tblFleet[[#This Row],[Units]]="","",tblFleet[[#This Row],[Calendar_h]]-tblFleet[[#This Row],[Down_h]])</f>
        <v/>
      </c>
      <c r="I2006" s="60">
        <f>IF(AND(tblFleet[[#This Row],[Units]]&lt;&gt;"",tblFleet[[#This Row],[Calendar_h]]&gt;0),tblFleet[[#This Row],[Available_h]]/tblFleet[[#This Row],[Calendar_h]],"")</f>
        <v/>
      </c>
      <c r="J2006" s="60">
        <f>IF(AND(tblFleet[[#This Row],[Units]]&lt;&gt;"",tblFleet[[#This Row],[Available_h]]&gt;0),tblFleet[[#This Row],[Operating_h]]/tblFleet[[#This Row],[Available_h]],"")</f>
        <v/>
      </c>
    </row>
    <row r="2007">
      <c r="A2007" s="54" t="n"/>
      <c r="B2007" s="61" t="n"/>
      <c r="C2007" s="62" t="n"/>
      <c r="D2007" s="57" t="n"/>
      <c r="E2007" s="57" t="n"/>
      <c r="F2007" s="58" t="n"/>
      <c r="G2007" s="66">
        <f>IF(tblFleet[[#This Row],[Units]]="","",tblFleet[[#This Row],[Units]]*24)</f>
        <v/>
      </c>
      <c r="H2007" s="66">
        <f>IF(tblFleet[[#This Row],[Units]]="","",tblFleet[[#This Row],[Calendar_h]]-tblFleet[[#This Row],[Down_h]])</f>
        <v/>
      </c>
      <c r="I2007" s="60">
        <f>IF(AND(tblFleet[[#This Row],[Units]]&lt;&gt;"",tblFleet[[#This Row],[Calendar_h]]&gt;0),tblFleet[[#This Row],[Available_h]]/tblFleet[[#This Row],[Calendar_h]],"")</f>
        <v/>
      </c>
      <c r="J2007" s="60">
        <f>IF(AND(tblFleet[[#This Row],[Units]]&lt;&gt;"",tblFleet[[#This Row],[Available_h]]&gt;0),tblFleet[[#This Row],[Operating_h]]/tblFleet[[#This Row],[Available_h]],"")</f>
        <v/>
      </c>
    </row>
    <row r="2008">
      <c r="A2008" s="54" t="n"/>
      <c r="B2008" s="61" t="n"/>
      <c r="C2008" s="62" t="n"/>
      <c r="D2008" s="57" t="n"/>
      <c r="E2008" s="57" t="n"/>
      <c r="F2008" s="58" t="n"/>
      <c r="G2008" s="66">
        <f>IF(tblFleet[[#This Row],[Units]]="","",tblFleet[[#This Row],[Units]]*24)</f>
        <v/>
      </c>
      <c r="H2008" s="66">
        <f>IF(tblFleet[[#This Row],[Units]]="","",tblFleet[[#This Row],[Calendar_h]]-tblFleet[[#This Row],[Down_h]])</f>
        <v/>
      </c>
      <c r="I2008" s="60">
        <f>IF(AND(tblFleet[[#This Row],[Units]]&lt;&gt;"",tblFleet[[#This Row],[Calendar_h]]&gt;0),tblFleet[[#This Row],[Available_h]]/tblFleet[[#This Row],[Calendar_h]],"")</f>
        <v/>
      </c>
      <c r="J2008" s="60">
        <f>IF(AND(tblFleet[[#This Row],[Units]]&lt;&gt;"",tblFleet[[#This Row],[Available_h]]&gt;0),tblFleet[[#This Row],[Operating_h]]/tblFleet[[#This Row],[Available_h]],"")</f>
        <v/>
      </c>
    </row>
    <row r="2009">
      <c r="A2009" s="54" t="n"/>
      <c r="B2009" s="61" t="n"/>
      <c r="C2009" s="62" t="n"/>
      <c r="D2009" s="57" t="n"/>
      <c r="E2009" s="57" t="n"/>
      <c r="F2009" s="58" t="n"/>
      <c r="G2009" s="66">
        <f>IF(tblFleet[[#This Row],[Units]]="","",tblFleet[[#This Row],[Units]]*24)</f>
        <v/>
      </c>
      <c r="H2009" s="66">
        <f>IF(tblFleet[[#This Row],[Units]]="","",tblFleet[[#This Row],[Calendar_h]]-tblFleet[[#This Row],[Down_h]])</f>
        <v/>
      </c>
      <c r="I2009" s="60">
        <f>IF(AND(tblFleet[[#This Row],[Units]]&lt;&gt;"",tblFleet[[#This Row],[Calendar_h]]&gt;0),tblFleet[[#This Row],[Available_h]]/tblFleet[[#This Row],[Calendar_h]],"")</f>
        <v/>
      </c>
      <c r="J2009" s="60">
        <f>IF(AND(tblFleet[[#This Row],[Units]]&lt;&gt;"",tblFleet[[#This Row],[Available_h]]&gt;0),tblFleet[[#This Row],[Operating_h]]/tblFleet[[#This Row],[Available_h]],"")</f>
        <v/>
      </c>
    </row>
    <row r="2010">
      <c r="A2010" s="54" t="n"/>
      <c r="B2010" s="61" t="n"/>
      <c r="C2010" s="62" t="n"/>
      <c r="D2010" s="57" t="n"/>
      <c r="E2010" s="57" t="n"/>
      <c r="F2010" s="58" t="n"/>
      <c r="G2010" s="66">
        <f>IF(tblFleet[[#This Row],[Units]]="","",tblFleet[[#This Row],[Units]]*24)</f>
        <v/>
      </c>
      <c r="H2010" s="66">
        <f>IF(tblFleet[[#This Row],[Units]]="","",tblFleet[[#This Row],[Calendar_h]]-tblFleet[[#This Row],[Down_h]])</f>
        <v/>
      </c>
      <c r="I2010" s="60">
        <f>IF(AND(tblFleet[[#This Row],[Units]]&lt;&gt;"",tblFleet[[#This Row],[Calendar_h]]&gt;0),tblFleet[[#This Row],[Available_h]]/tblFleet[[#This Row],[Calendar_h]],"")</f>
        <v/>
      </c>
      <c r="J2010" s="60">
        <f>IF(AND(tblFleet[[#This Row],[Units]]&lt;&gt;"",tblFleet[[#This Row],[Available_h]]&gt;0),tblFleet[[#This Row],[Operating_h]]/tblFleet[[#This Row],[Available_h]],"")</f>
        <v/>
      </c>
    </row>
    <row r="2011">
      <c r="A2011" s="54" t="n"/>
      <c r="B2011" s="61" t="n"/>
      <c r="C2011" s="62" t="n"/>
      <c r="D2011" s="57" t="n"/>
      <c r="E2011" s="57" t="n"/>
      <c r="F2011" s="58" t="n"/>
      <c r="G2011" s="66">
        <f>IF(tblFleet[[#This Row],[Units]]="","",tblFleet[[#This Row],[Units]]*24)</f>
        <v/>
      </c>
      <c r="H2011" s="66">
        <f>IF(tblFleet[[#This Row],[Units]]="","",tblFleet[[#This Row],[Calendar_h]]-tblFleet[[#This Row],[Down_h]])</f>
        <v/>
      </c>
      <c r="I2011" s="60">
        <f>IF(AND(tblFleet[[#This Row],[Units]]&lt;&gt;"",tblFleet[[#This Row],[Calendar_h]]&gt;0),tblFleet[[#This Row],[Available_h]]/tblFleet[[#This Row],[Calendar_h]],"")</f>
        <v/>
      </c>
      <c r="J2011" s="60">
        <f>IF(AND(tblFleet[[#This Row],[Units]]&lt;&gt;"",tblFleet[[#This Row],[Available_h]]&gt;0),tblFleet[[#This Row],[Operating_h]]/tblFleet[[#This Row],[Available_h]],"")</f>
        <v/>
      </c>
    </row>
    <row r="2012">
      <c r="A2012" s="54" t="n"/>
      <c r="B2012" s="61" t="n"/>
      <c r="C2012" s="62" t="n"/>
      <c r="D2012" s="57" t="n"/>
      <c r="E2012" s="57" t="n"/>
      <c r="F2012" s="58" t="n"/>
      <c r="G2012" s="66">
        <f>IF(tblFleet[[#This Row],[Units]]="","",tblFleet[[#This Row],[Units]]*24)</f>
        <v/>
      </c>
      <c r="H2012" s="66">
        <f>IF(tblFleet[[#This Row],[Units]]="","",tblFleet[[#This Row],[Calendar_h]]-tblFleet[[#This Row],[Down_h]])</f>
        <v/>
      </c>
      <c r="I2012" s="60">
        <f>IF(AND(tblFleet[[#This Row],[Units]]&lt;&gt;"",tblFleet[[#This Row],[Calendar_h]]&gt;0),tblFleet[[#This Row],[Available_h]]/tblFleet[[#This Row],[Calendar_h]],"")</f>
        <v/>
      </c>
      <c r="J2012" s="60">
        <f>IF(AND(tblFleet[[#This Row],[Units]]&lt;&gt;"",tblFleet[[#This Row],[Available_h]]&gt;0),tblFleet[[#This Row],[Operating_h]]/tblFleet[[#This Row],[Available_h]],"")</f>
        <v/>
      </c>
    </row>
    <row r="2013">
      <c r="A2013" s="54" t="n"/>
      <c r="B2013" s="61" t="n"/>
      <c r="C2013" s="62" t="n"/>
      <c r="D2013" s="57" t="n"/>
      <c r="E2013" s="57" t="n"/>
      <c r="F2013" s="58" t="n"/>
      <c r="G2013" s="66">
        <f>IF(tblFleet[[#This Row],[Units]]="","",tblFleet[[#This Row],[Units]]*24)</f>
        <v/>
      </c>
      <c r="H2013" s="66">
        <f>IF(tblFleet[[#This Row],[Units]]="","",tblFleet[[#This Row],[Calendar_h]]-tblFleet[[#This Row],[Down_h]])</f>
        <v/>
      </c>
      <c r="I2013" s="60">
        <f>IF(AND(tblFleet[[#This Row],[Units]]&lt;&gt;"",tblFleet[[#This Row],[Calendar_h]]&gt;0),tblFleet[[#This Row],[Available_h]]/tblFleet[[#This Row],[Calendar_h]],"")</f>
        <v/>
      </c>
      <c r="J2013" s="60">
        <f>IF(AND(tblFleet[[#This Row],[Units]]&lt;&gt;"",tblFleet[[#This Row],[Available_h]]&gt;0),tblFleet[[#This Row],[Operating_h]]/tblFleet[[#This Row],[Available_h]],"")</f>
        <v/>
      </c>
    </row>
    <row r="2014">
      <c r="A2014" s="54" t="n"/>
      <c r="B2014" s="61" t="n"/>
      <c r="C2014" s="62" t="n"/>
      <c r="D2014" s="57" t="n"/>
      <c r="E2014" s="57" t="n"/>
      <c r="F2014" s="58" t="n"/>
      <c r="G2014" s="66">
        <f>IF(tblFleet[[#This Row],[Units]]="","",tblFleet[[#This Row],[Units]]*24)</f>
        <v/>
      </c>
      <c r="H2014" s="66">
        <f>IF(tblFleet[[#This Row],[Units]]="","",tblFleet[[#This Row],[Calendar_h]]-tblFleet[[#This Row],[Down_h]])</f>
        <v/>
      </c>
      <c r="I2014" s="60">
        <f>IF(AND(tblFleet[[#This Row],[Units]]&lt;&gt;"",tblFleet[[#This Row],[Calendar_h]]&gt;0),tblFleet[[#This Row],[Available_h]]/tblFleet[[#This Row],[Calendar_h]],"")</f>
        <v/>
      </c>
      <c r="J2014" s="60">
        <f>IF(AND(tblFleet[[#This Row],[Units]]&lt;&gt;"",tblFleet[[#This Row],[Available_h]]&gt;0),tblFleet[[#This Row],[Operating_h]]/tblFleet[[#This Row],[Available_h]],"")</f>
        <v/>
      </c>
    </row>
    <row r="2015">
      <c r="A2015" s="54" t="n"/>
      <c r="B2015" s="61" t="n"/>
      <c r="C2015" s="62" t="n"/>
      <c r="D2015" s="57" t="n"/>
      <c r="E2015" s="57" t="n"/>
      <c r="F2015" s="58" t="n"/>
      <c r="G2015" s="66">
        <f>IF(tblFleet[[#This Row],[Units]]="","",tblFleet[[#This Row],[Units]]*24)</f>
        <v/>
      </c>
      <c r="H2015" s="66">
        <f>IF(tblFleet[[#This Row],[Units]]="","",tblFleet[[#This Row],[Calendar_h]]-tblFleet[[#This Row],[Down_h]])</f>
        <v/>
      </c>
      <c r="I2015" s="60">
        <f>IF(AND(tblFleet[[#This Row],[Units]]&lt;&gt;"",tblFleet[[#This Row],[Calendar_h]]&gt;0),tblFleet[[#This Row],[Available_h]]/tblFleet[[#This Row],[Calendar_h]],"")</f>
        <v/>
      </c>
      <c r="J2015" s="60">
        <f>IF(AND(tblFleet[[#This Row],[Units]]&lt;&gt;"",tblFleet[[#This Row],[Available_h]]&gt;0),tblFleet[[#This Row],[Operating_h]]/tblFleet[[#This Row],[Available_h]],"")</f>
        <v/>
      </c>
    </row>
    <row r="2016">
      <c r="A2016" s="54" t="n"/>
      <c r="B2016" s="61" t="n"/>
      <c r="C2016" s="62" t="n"/>
      <c r="D2016" s="57" t="n"/>
      <c r="E2016" s="57" t="n"/>
      <c r="F2016" s="58" t="n"/>
      <c r="G2016" s="66">
        <f>IF(tblFleet[[#This Row],[Units]]="","",tblFleet[[#This Row],[Units]]*24)</f>
        <v/>
      </c>
      <c r="H2016" s="66">
        <f>IF(tblFleet[[#This Row],[Units]]="","",tblFleet[[#This Row],[Calendar_h]]-tblFleet[[#This Row],[Down_h]])</f>
        <v/>
      </c>
      <c r="I2016" s="60">
        <f>IF(AND(tblFleet[[#This Row],[Units]]&lt;&gt;"",tblFleet[[#This Row],[Calendar_h]]&gt;0),tblFleet[[#This Row],[Available_h]]/tblFleet[[#This Row],[Calendar_h]],"")</f>
        <v/>
      </c>
      <c r="J2016" s="60">
        <f>IF(AND(tblFleet[[#This Row],[Units]]&lt;&gt;"",tblFleet[[#This Row],[Available_h]]&gt;0),tblFleet[[#This Row],[Operating_h]]/tblFleet[[#This Row],[Available_h]],"")</f>
        <v/>
      </c>
    </row>
    <row r="2017">
      <c r="A2017" s="54" t="n"/>
      <c r="B2017" s="61" t="n"/>
      <c r="C2017" s="62" t="n"/>
      <c r="D2017" s="57" t="n"/>
      <c r="E2017" s="57" t="n"/>
      <c r="F2017" s="58" t="n"/>
      <c r="G2017" s="66">
        <f>IF(tblFleet[[#This Row],[Units]]="","",tblFleet[[#This Row],[Units]]*24)</f>
        <v/>
      </c>
      <c r="H2017" s="66">
        <f>IF(tblFleet[[#This Row],[Units]]="","",tblFleet[[#This Row],[Calendar_h]]-tblFleet[[#This Row],[Down_h]])</f>
        <v/>
      </c>
      <c r="I2017" s="60">
        <f>IF(AND(tblFleet[[#This Row],[Units]]&lt;&gt;"",tblFleet[[#This Row],[Calendar_h]]&gt;0),tblFleet[[#This Row],[Available_h]]/tblFleet[[#This Row],[Calendar_h]],"")</f>
        <v/>
      </c>
      <c r="J2017" s="60">
        <f>IF(AND(tblFleet[[#This Row],[Units]]&lt;&gt;"",tblFleet[[#This Row],[Available_h]]&gt;0),tblFleet[[#This Row],[Operating_h]]/tblFleet[[#This Row],[Available_h]],"")</f>
        <v/>
      </c>
    </row>
    <row r="2018">
      <c r="A2018" s="54" t="n"/>
      <c r="B2018" s="61" t="n"/>
      <c r="C2018" s="62" t="n"/>
      <c r="D2018" s="57" t="n"/>
      <c r="E2018" s="57" t="n"/>
      <c r="F2018" s="58" t="n"/>
      <c r="G2018" s="66">
        <f>IF(tblFleet[[#This Row],[Units]]="","",tblFleet[[#This Row],[Units]]*24)</f>
        <v/>
      </c>
      <c r="H2018" s="66">
        <f>IF(tblFleet[[#This Row],[Units]]="","",tblFleet[[#This Row],[Calendar_h]]-tblFleet[[#This Row],[Down_h]])</f>
        <v/>
      </c>
      <c r="I2018" s="60">
        <f>IF(AND(tblFleet[[#This Row],[Units]]&lt;&gt;"",tblFleet[[#This Row],[Calendar_h]]&gt;0),tblFleet[[#This Row],[Available_h]]/tblFleet[[#This Row],[Calendar_h]],"")</f>
        <v/>
      </c>
      <c r="J2018" s="60">
        <f>IF(AND(tblFleet[[#This Row],[Units]]&lt;&gt;"",tblFleet[[#This Row],[Available_h]]&gt;0),tblFleet[[#This Row],[Operating_h]]/tblFleet[[#This Row],[Available_h]],"")</f>
        <v/>
      </c>
    </row>
    <row r="2019">
      <c r="A2019" s="54" t="n"/>
      <c r="B2019" s="61" t="n"/>
      <c r="C2019" s="62" t="n"/>
      <c r="D2019" s="57" t="n"/>
      <c r="E2019" s="57" t="n"/>
      <c r="F2019" s="58" t="n"/>
      <c r="G2019" s="66">
        <f>IF(tblFleet[[#This Row],[Units]]="","",tblFleet[[#This Row],[Units]]*24)</f>
        <v/>
      </c>
      <c r="H2019" s="66">
        <f>IF(tblFleet[[#This Row],[Units]]="","",tblFleet[[#This Row],[Calendar_h]]-tblFleet[[#This Row],[Down_h]])</f>
        <v/>
      </c>
      <c r="I2019" s="60">
        <f>IF(AND(tblFleet[[#This Row],[Units]]&lt;&gt;"",tblFleet[[#This Row],[Calendar_h]]&gt;0),tblFleet[[#This Row],[Available_h]]/tblFleet[[#This Row],[Calendar_h]],"")</f>
        <v/>
      </c>
      <c r="J2019" s="60">
        <f>IF(AND(tblFleet[[#This Row],[Units]]&lt;&gt;"",tblFleet[[#This Row],[Available_h]]&gt;0),tblFleet[[#This Row],[Operating_h]]/tblFleet[[#This Row],[Available_h]],"")</f>
        <v/>
      </c>
    </row>
    <row r="2020">
      <c r="A2020" s="54" t="n"/>
      <c r="B2020" s="61" t="n"/>
      <c r="C2020" s="62" t="n"/>
      <c r="D2020" s="57" t="n"/>
      <c r="E2020" s="57" t="n"/>
      <c r="F2020" s="58" t="n"/>
      <c r="G2020" s="66">
        <f>IF(tblFleet[[#This Row],[Units]]="","",tblFleet[[#This Row],[Units]]*24)</f>
        <v/>
      </c>
      <c r="H2020" s="66">
        <f>IF(tblFleet[[#This Row],[Units]]="","",tblFleet[[#This Row],[Calendar_h]]-tblFleet[[#This Row],[Down_h]])</f>
        <v/>
      </c>
      <c r="I2020" s="60">
        <f>IF(AND(tblFleet[[#This Row],[Units]]&lt;&gt;"",tblFleet[[#This Row],[Calendar_h]]&gt;0),tblFleet[[#This Row],[Available_h]]/tblFleet[[#This Row],[Calendar_h]],"")</f>
        <v/>
      </c>
      <c r="J2020" s="60">
        <f>IF(AND(tblFleet[[#This Row],[Units]]&lt;&gt;"",tblFleet[[#This Row],[Available_h]]&gt;0),tblFleet[[#This Row],[Operating_h]]/tblFleet[[#This Row],[Available_h]],"")</f>
        <v/>
      </c>
    </row>
    <row r="2021">
      <c r="A2021" s="54" t="n"/>
      <c r="B2021" s="61" t="n"/>
      <c r="C2021" s="62" t="n"/>
      <c r="D2021" s="57" t="n"/>
      <c r="E2021" s="57" t="n"/>
      <c r="F2021" s="58" t="n"/>
      <c r="G2021" s="66">
        <f>IF(tblFleet[[#This Row],[Units]]="","",tblFleet[[#This Row],[Units]]*24)</f>
        <v/>
      </c>
      <c r="H2021" s="66">
        <f>IF(tblFleet[[#This Row],[Units]]="","",tblFleet[[#This Row],[Calendar_h]]-tblFleet[[#This Row],[Down_h]])</f>
        <v/>
      </c>
      <c r="I2021" s="60">
        <f>IF(AND(tblFleet[[#This Row],[Units]]&lt;&gt;"",tblFleet[[#This Row],[Calendar_h]]&gt;0),tblFleet[[#This Row],[Available_h]]/tblFleet[[#This Row],[Calendar_h]],"")</f>
        <v/>
      </c>
      <c r="J2021" s="60">
        <f>IF(AND(tblFleet[[#This Row],[Units]]&lt;&gt;"",tblFleet[[#This Row],[Available_h]]&gt;0),tblFleet[[#This Row],[Operating_h]]/tblFleet[[#This Row],[Available_h]],"")</f>
        <v/>
      </c>
    </row>
    <row r="2022">
      <c r="A2022" s="54" t="n"/>
      <c r="B2022" s="61" t="n"/>
      <c r="C2022" s="62" t="n"/>
      <c r="D2022" s="57" t="n"/>
      <c r="E2022" s="57" t="n"/>
      <c r="F2022" s="58" t="n"/>
      <c r="G2022" s="66">
        <f>IF(tblFleet[[#This Row],[Units]]="","",tblFleet[[#This Row],[Units]]*24)</f>
        <v/>
      </c>
      <c r="H2022" s="66">
        <f>IF(tblFleet[[#This Row],[Units]]="","",tblFleet[[#This Row],[Calendar_h]]-tblFleet[[#This Row],[Down_h]])</f>
        <v/>
      </c>
      <c r="I2022" s="60">
        <f>IF(AND(tblFleet[[#This Row],[Units]]&lt;&gt;"",tblFleet[[#This Row],[Calendar_h]]&gt;0),tblFleet[[#This Row],[Available_h]]/tblFleet[[#This Row],[Calendar_h]],"")</f>
        <v/>
      </c>
      <c r="J2022" s="60">
        <f>IF(AND(tblFleet[[#This Row],[Units]]&lt;&gt;"",tblFleet[[#This Row],[Available_h]]&gt;0),tblFleet[[#This Row],[Operating_h]]/tblFleet[[#This Row],[Available_h]],"")</f>
        <v/>
      </c>
    </row>
    <row r="2023">
      <c r="A2023" s="54" t="n"/>
      <c r="B2023" s="61" t="n"/>
      <c r="C2023" s="62" t="n"/>
      <c r="D2023" s="57" t="n"/>
      <c r="E2023" s="57" t="n"/>
      <c r="F2023" s="58" t="n"/>
      <c r="G2023" s="66">
        <f>IF(tblFleet[[#This Row],[Units]]="","",tblFleet[[#This Row],[Units]]*24)</f>
        <v/>
      </c>
      <c r="H2023" s="66">
        <f>IF(tblFleet[[#This Row],[Units]]="","",tblFleet[[#This Row],[Calendar_h]]-tblFleet[[#This Row],[Down_h]])</f>
        <v/>
      </c>
      <c r="I2023" s="60">
        <f>IF(AND(tblFleet[[#This Row],[Units]]&lt;&gt;"",tblFleet[[#This Row],[Calendar_h]]&gt;0),tblFleet[[#This Row],[Available_h]]/tblFleet[[#This Row],[Calendar_h]],"")</f>
        <v/>
      </c>
      <c r="J2023" s="60">
        <f>IF(AND(tblFleet[[#This Row],[Units]]&lt;&gt;"",tblFleet[[#This Row],[Available_h]]&gt;0),tblFleet[[#This Row],[Operating_h]]/tblFleet[[#This Row],[Available_h]],"")</f>
        <v/>
      </c>
    </row>
    <row r="2024">
      <c r="A2024" s="54" t="n"/>
      <c r="B2024" s="61" t="n"/>
      <c r="C2024" s="62" t="n"/>
      <c r="D2024" s="57" t="n"/>
      <c r="E2024" s="57" t="n"/>
      <c r="F2024" s="58" t="n"/>
      <c r="G2024" s="66">
        <f>IF(tblFleet[[#This Row],[Units]]="","",tblFleet[[#This Row],[Units]]*24)</f>
        <v/>
      </c>
      <c r="H2024" s="66">
        <f>IF(tblFleet[[#This Row],[Units]]="","",tblFleet[[#This Row],[Calendar_h]]-tblFleet[[#This Row],[Down_h]])</f>
        <v/>
      </c>
      <c r="I2024" s="60">
        <f>IF(AND(tblFleet[[#This Row],[Units]]&lt;&gt;"",tblFleet[[#This Row],[Calendar_h]]&gt;0),tblFleet[[#This Row],[Available_h]]/tblFleet[[#This Row],[Calendar_h]],"")</f>
        <v/>
      </c>
      <c r="J2024" s="60">
        <f>IF(AND(tblFleet[[#This Row],[Units]]&lt;&gt;"",tblFleet[[#This Row],[Available_h]]&gt;0),tblFleet[[#This Row],[Operating_h]]/tblFleet[[#This Row],[Available_h]],"")</f>
        <v/>
      </c>
    </row>
    <row r="2025">
      <c r="A2025" s="54" t="n"/>
      <c r="B2025" s="61" t="n"/>
      <c r="C2025" s="62" t="n"/>
      <c r="D2025" s="57" t="n"/>
      <c r="E2025" s="57" t="n"/>
      <c r="F2025" s="58" t="n"/>
      <c r="G2025" s="66">
        <f>IF(tblFleet[[#This Row],[Units]]="","",tblFleet[[#This Row],[Units]]*24)</f>
        <v/>
      </c>
      <c r="H2025" s="66">
        <f>IF(tblFleet[[#This Row],[Units]]="","",tblFleet[[#This Row],[Calendar_h]]-tblFleet[[#This Row],[Down_h]])</f>
        <v/>
      </c>
      <c r="I2025" s="60">
        <f>IF(AND(tblFleet[[#This Row],[Units]]&lt;&gt;"",tblFleet[[#This Row],[Calendar_h]]&gt;0),tblFleet[[#This Row],[Available_h]]/tblFleet[[#This Row],[Calendar_h]],"")</f>
        <v/>
      </c>
      <c r="J2025" s="60">
        <f>IF(AND(tblFleet[[#This Row],[Units]]&lt;&gt;"",tblFleet[[#This Row],[Available_h]]&gt;0),tblFleet[[#This Row],[Operating_h]]/tblFleet[[#This Row],[Available_h]],"")</f>
        <v/>
      </c>
    </row>
    <row r="2026">
      <c r="A2026" s="54" t="n"/>
      <c r="B2026" s="61" t="n"/>
      <c r="C2026" s="62" t="n"/>
      <c r="D2026" s="57" t="n"/>
      <c r="E2026" s="57" t="n"/>
      <c r="F2026" s="58" t="n"/>
      <c r="G2026" s="66">
        <f>IF(tblFleet[[#This Row],[Units]]="","",tblFleet[[#This Row],[Units]]*24)</f>
        <v/>
      </c>
      <c r="H2026" s="66">
        <f>IF(tblFleet[[#This Row],[Units]]="","",tblFleet[[#This Row],[Calendar_h]]-tblFleet[[#This Row],[Down_h]])</f>
        <v/>
      </c>
      <c r="I2026" s="60">
        <f>IF(AND(tblFleet[[#This Row],[Units]]&lt;&gt;"",tblFleet[[#This Row],[Calendar_h]]&gt;0),tblFleet[[#This Row],[Available_h]]/tblFleet[[#This Row],[Calendar_h]],"")</f>
        <v/>
      </c>
      <c r="J2026" s="60">
        <f>IF(AND(tblFleet[[#This Row],[Units]]&lt;&gt;"",tblFleet[[#This Row],[Available_h]]&gt;0),tblFleet[[#This Row],[Operating_h]]/tblFleet[[#This Row],[Available_h]],"")</f>
        <v/>
      </c>
    </row>
    <row r="2027">
      <c r="A2027" s="54" t="n"/>
      <c r="B2027" s="61" t="n"/>
      <c r="C2027" s="62" t="n"/>
      <c r="D2027" s="57" t="n"/>
      <c r="E2027" s="57" t="n"/>
      <c r="F2027" s="58" t="n"/>
      <c r="G2027" s="66">
        <f>IF(tblFleet[[#This Row],[Units]]="","",tblFleet[[#This Row],[Units]]*24)</f>
        <v/>
      </c>
      <c r="H2027" s="66">
        <f>IF(tblFleet[[#This Row],[Units]]="","",tblFleet[[#This Row],[Calendar_h]]-tblFleet[[#This Row],[Down_h]])</f>
        <v/>
      </c>
      <c r="I2027" s="60">
        <f>IF(AND(tblFleet[[#This Row],[Units]]&lt;&gt;"",tblFleet[[#This Row],[Calendar_h]]&gt;0),tblFleet[[#This Row],[Available_h]]/tblFleet[[#This Row],[Calendar_h]],"")</f>
        <v/>
      </c>
      <c r="J2027" s="60">
        <f>IF(AND(tblFleet[[#This Row],[Units]]&lt;&gt;"",tblFleet[[#This Row],[Available_h]]&gt;0),tblFleet[[#This Row],[Operating_h]]/tblFleet[[#This Row],[Available_h]],"")</f>
        <v/>
      </c>
    </row>
    <row r="2028">
      <c r="A2028" s="54" t="n"/>
      <c r="B2028" s="61" t="n"/>
      <c r="C2028" s="62" t="n"/>
      <c r="D2028" s="57" t="n"/>
      <c r="E2028" s="57" t="n"/>
      <c r="F2028" s="58" t="n"/>
      <c r="G2028" s="66">
        <f>IF(tblFleet[[#This Row],[Units]]="","",tblFleet[[#This Row],[Units]]*24)</f>
        <v/>
      </c>
      <c r="H2028" s="66">
        <f>IF(tblFleet[[#This Row],[Units]]="","",tblFleet[[#This Row],[Calendar_h]]-tblFleet[[#This Row],[Down_h]])</f>
        <v/>
      </c>
      <c r="I2028" s="60">
        <f>IF(AND(tblFleet[[#This Row],[Units]]&lt;&gt;"",tblFleet[[#This Row],[Calendar_h]]&gt;0),tblFleet[[#This Row],[Available_h]]/tblFleet[[#This Row],[Calendar_h]],"")</f>
        <v/>
      </c>
      <c r="J2028" s="60">
        <f>IF(AND(tblFleet[[#This Row],[Units]]&lt;&gt;"",tblFleet[[#This Row],[Available_h]]&gt;0),tblFleet[[#This Row],[Operating_h]]/tblFleet[[#This Row],[Available_h]],"")</f>
        <v/>
      </c>
    </row>
    <row r="2029">
      <c r="A2029" s="54" t="n"/>
      <c r="B2029" s="61" t="n"/>
      <c r="C2029" s="62" t="n"/>
      <c r="D2029" s="57" t="n"/>
      <c r="E2029" s="57" t="n"/>
      <c r="F2029" s="58" t="n"/>
      <c r="G2029" s="66">
        <f>IF(tblFleet[[#This Row],[Units]]="","",tblFleet[[#This Row],[Units]]*24)</f>
        <v/>
      </c>
      <c r="H2029" s="66">
        <f>IF(tblFleet[[#This Row],[Units]]="","",tblFleet[[#This Row],[Calendar_h]]-tblFleet[[#This Row],[Down_h]])</f>
        <v/>
      </c>
      <c r="I2029" s="60">
        <f>IF(AND(tblFleet[[#This Row],[Units]]&lt;&gt;"",tblFleet[[#This Row],[Calendar_h]]&gt;0),tblFleet[[#This Row],[Available_h]]/tblFleet[[#This Row],[Calendar_h]],"")</f>
        <v/>
      </c>
      <c r="J2029" s="60">
        <f>IF(AND(tblFleet[[#This Row],[Units]]&lt;&gt;"",tblFleet[[#This Row],[Available_h]]&gt;0),tblFleet[[#This Row],[Operating_h]]/tblFleet[[#This Row],[Available_h]],"")</f>
        <v/>
      </c>
    </row>
    <row r="2030">
      <c r="A2030" s="54" t="n"/>
      <c r="B2030" s="61" t="n"/>
      <c r="C2030" s="62" t="n"/>
      <c r="D2030" s="57" t="n"/>
      <c r="E2030" s="57" t="n"/>
      <c r="F2030" s="58" t="n"/>
      <c r="G2030" s="66">
        <f>IF(tblFleet[[#This Row],[Units]]="","",tblFleet[[#This Row],[Units]]*24)</f>
        <v/>
      </c>
      <c r="H2030" s="66">
        <f>IF(tblFleet[[#This Row],[Units]]="","",tblFleet[[#This Row],[Calendar_h]]-tblFleet[[#This Row],[Down_h]])</f>
        <v/>
      </c>
      <c r="I2030" s="60">
        <f>IF(AND(tblFleet[[#This Row],[Units]]&lt;&gt;"",tblFleet[[#This Row],[Calendar_h]]&gt;0),tblFleet[[#This Row],[Available_h]]/tblFleet[[#This Row],[Calendar_h]],"")</f>
        <v/>
      </c>
      <c r="J2030" s="60">
        <f>IF(AND(tblFleet[[#This Row],[Units]]&lt;&gt;"",tblFleet[[#This Row],[Available_h]]&gt;0),tblFleet[[#This Row],[Operating_h]]/tblFleet[[#This Row],[Available_h]],"")</f>
        <v/>
      </c>
    </row>
    <row r="2031">
      <c r="A2031" s="54" t="n"/>
      <c r="B2031" s="61" t="n"/>
      <c r="C2031" s="62" t="n"/>
      <c r="D2031" s="57" t="n"/>
      <c r="E2031" s="57" t="n"/>
      <c r="F2031" s="58" t="n"/>
      <c r="G2031" s="66">
        <f>IF(tblFleet[[#This Row],[Units]]="","",tblFleet[[#This Row],[Units]]*24)</f>
        <v/>
      </c>
      <c r="H2031" s="66">
        <f>IF(tblFleet[[#This Row],[Units]]="","",tblFleet[[#This Row],[Calendar_h]]-tblFleet[[#This Row],[Down_h]])</f>
        <v/>
      </c>
      <c r="I2031" s="60">
        <f>IF(AND(tblFleet[[#This Row],[Units]]&lt;&gt;"",tblFleet[[#This Row],[Calendar_h]]&gt;0),tblFleet[[#This Row],[Available_h]]/tblFleet[[#This Row],[Calendar_h]],"")</f>
        <v/>
      </c>
      <c r="J2031" s="60">
        <f>IF(AND(tblFleet[[#This Row],[Units]]&lt;&gt;"",tblFleet[[#This Row],[Available_h]]&gt;0),tblFleet[[#This Row],[Operating_h]]/tblFleet[[#This Row],[Available_h]],"")</f>
        <v/>
      </c>
    </row>
    <row r="2032">
      <c r="A2032" s="54" t="n"/>
      <c r="B2032" s="61" t="n"/>
      <c r="C2032" s="62" t="n"/>
      <c r="D2032" s="57" t="n"/>
      <c r="E2032" s="57" t="n"/>
      <c r="F2032" s="58" t="n"/>
      <c r="G2032" s="66">
        <f>IF(tblFleet[[#This Row],[Units]]="","",tblFleet[[#This Row],[Units]]*24)</f>
        <v/>
      </c>
      <c r="H2032" s="66">
        <f>IF(tblFleet[[#This Row],[Units]]="","",tblFleet[[#This Row],[Calendar_h]]-tblFleet[[#This Row],[Down_h]])</f>
        <v/>
      </c>
      <c r="I2032" s="60">
        <f>IF(AND(tblFleet[[#This Row],[Units]]&lt;&gt;"",tblFleet[[#This Row],[Calendar_h]]&gt;0),tblFleet[[#This Row],[Available_h]]/tblFleet[[#This Row],[Calendar_h]],"")</f>
        <v/>
      </c>
      <c r="J2032" s="60">
        <f>IF(AND(tblFleet[[#This Row],[Units]]&lt;&gt;"",tblFleet[[#This Row],[Available_h]]&gt;0),tblFleet[[#This Row],[Operating_h]]/tblFleet[[#This Row],[Available_h]],"")</f>
        <v/>
      </c>
    </row>
    <row r="2033">
      <c r="A2033" s="54" t="n"/>
      <c r="B2033" s="61" t="n"/>
      <c r="C2033" s="62" t="n"/>
      <c r="D2033" s="57" t="n"/>
      <c r="E2033" s="57" t="n"/>
      <c r="F2033" s="58" t="n"/>
      <c r="G2033" s="66">
        <f>IF(tblFleet[[#This Row],[Units]]="","",tblFleet[[#This Row],[Units]]*24)</f>
        <v/>
      </c>
      <c r="H2033" s="66">
        <f>IF(tblFleet[[#This Row],[Units]]="","",tblFleet[[#This Row],[Calendar_h]]-tblFleet[[#This Row],[Down_h]])</f>
        <v/>
      </c>
      <c r="I2033" s="60">
        <f>IF(AND(tblFleet[[#This Row],[Units]]&lt;&gt;"",tblFleet[[#This Row],[Calendar_h]]&gt;0),tblFleet[[#This Row],[Available_h]]/tblFleet[[#This Row],[Calendar_h]],"")</f>
        <v/>
      </c>
      <c r="J2033" s="60">
        <f>IF(AND(tblFleet[[#This Row],[Units]]&lt;&gt;"",tblFleet[[#This Row],[Available_h]]&gt;0),tblFleet[[#This Row],[Operating_h]]/tblFleet[[#This Row],[Available_h]],"")</f>
        <v/>
      </c>
    </row>
    <row r="2034">
      <c r="A2034" s="54" t="n"/>
      <c r="B2034" s="61" t="n"/>
      <c r="C2034" s="62" t="n"/>
      <c r="D2034" s="57" t="n"/>
      <c r="E2034" s="57" t="n"/>
      <c r="F2034" s="58" t="n"/>
      <c r="G2034" s="66">
        <f>IF(tblFleet[[#This Row],[Units]]="","",tblFleet[[#This Row],[Units]]*24)</f>
        <v/>
      </c>
      <c r="H2034" s="66">
        <f>IF(tblFleet[[#This Row],[Units]]="","",tblFleet[[#This Row],[Calendar_h]]-tblFleet[[#This Row],[Down_h]])</f>
        <v/>
      </c>
      <c r="I2034" s="60">
        <f>IF(AND(tblFleet[[#This Row],[Units]]&lt;&gt;"",tblFleet[[#This Row],[Calendar_h]]&gt;0),tblFleet[[#This Row],[Available_h]]/tblFleet[[#This Row],[Calendar_h]],"")</f>
        <v/>
      </c>
      <c r="J2034" s="60">
        <f>IF(AND(tblFleet[[#This Row],[Units]]&lt;&gt;"",tblFleet[[#This Row],[Available_h]]&gt;0),tblFleet[[#This Row],[Operating_h]]/tblFleet[[#This Row],[Available_h]],"")</f>
        <v/>
      </c>
    </row>
    <row r="2035">
      <c r="A2035" s="54" t="n"/>
      <c r="B2035" s="61" t="n"/>
      <c r="C2035" s="62" t="n"/>
      <c r="D2035" s="57" t="n"/>
      <c r="E2035" s="57" t="n"/>
      <c r="F2035" s="58" t="n"/>
      <c r="G2035" s="66">
        <f>IF(tblFleet[[#This Row],[Units]]="","",tblFleet[[#This Row],[Units]]*24)</f>
        <v/>
      </c>
      <c r="H2035" s="66">
        <f>IF(tblFleet[[#This Row],[Units]]="","",tblFleet[[#This Row],[Calendar_h]]-tblFleet[[#This Row],[Down_h]])</f>
        <v/>
      </c>
      <c r="I2035" s="60">
        <f>IF(AND(tblFleet[[#This Row],[Units]]&lt;&gt;"",tblFleet[[#This Row],[Calendar_h]]&gt;0),tblFleet[[#This Row],[Available_h]]/tblFleet[[#This Row],[Calendar_h]],"")</f>
        <v/>
      </c>
      <c r="J2035" s="60">
        <f>IF(AND(tblFleet[[#This Row],[Units]]&lt;&gt;"",tblFleet[[#This Row],[Available_h]]&gt;0),tblFleet[[#This Row],[Operating_h]]/tblFleet[[#This Row],[Available_h]],"")</f>
        <v/>
      </c>
    </row>
    <row r="2036">
      <c r="A2036" s="54" t="n"/>
      <c r="B2036" s="61" t="n"/>
      <c r="C2036" s="62" t="n"/>
      <c r="D2036" s="57" t="n"/>
      <c r="E2036" s="57" t="n"/>
      <c r="F2036" s="58" t="n"/>
      <c r="G2036" s="66">
        <f>IF(tblFleet[[#This Row],[Units]]="","",tblFleet[[#This Row],[Units]]*24)</f>
        <v/>
      </c>
      <c r="H2036" s="66">
        <f>IF(tblFleet[[#This Row],[Units]]="","",tblFleet[[#This Row],[Calendar_h]]-tblFleet[[#This Row],[Down_h]])</f>
        <v/>
      </c>
      <c r="I2036" s="60">
        <f>IF(AND(tblFleet[[#This Row],[Units]]&lt;&gt;"",tblFleet[[#This Row],[Calendar_h]]&gt;0),tblFleet[[#This Row],[Available_h]]/tblFleet[[#This Row],[Calendar_h]],"")</f>
        <v/>
      </c>
      <c r="J2036" s="60">
        <f>IF(AND(tblFleet[[#This Row],[Units]]&lt;&gt;"",tblFleet[[#This Row],[Available_h]]&gt;0),tblFleet[[#This Row],[Operating_h]]/tblFleet[[#This Row],[Available_h]],"")</f>
        <v/>
      </c>
    </row>
    <row r="2037">
      <c r="A2037" s="54" t="n"/>
      <c r="B2037" s="61" t="n"/>
      <c r="C2037" s="62" t="n"/>
      <c r="D2037" s="57" t="n"/>
      <c r="E2037" s="57" t="n"/>
      <c r="F2037" s="58" t="n"/>
      <c r="G2037" s="66">
        <f>IF(tblFleet[[#This Row],[Units]]="","",tblFleet[[#This Row],[Units]]*24)</f>
        <v/>
      </c>
      <c r="H2037" s="66">
        <f>IF(tblFleet[[#This Row],[Units]]="","",tblFleet[[#This Row],[Calendar_h]]-tblFleet[[#This Row],[Down_h]])</f>
        <v/>
      </c>
      <c r="I2037" s="60">
        <f>IF(AND(tblFleet[[#This Row],[Units]]&lt;&gt;"",tblFleet[[#This Row],[Calendar_h]]&gt;0),tblFleet[[#This Row],[Available_h]]/tblFleet[[#This Row],[Calendar_h]],"")</f>
        <v/>
      </c>
      <c r="J2037" s="60">
        <f>IF(AND(tblFleet[[#This Row],[Units]]&lt;&gt;"",tblFleet[[#This Row],[Available_h]]&gt;0),tblFleet[[#This Row],[Operating_h]]/tblFleet[[#This Row],[Available_h]],"")</f>
        <v/>
      </c>
    </row>
    <row r="2038">
      <c r="A2038" s="54" t="n"/>
      <c r="B2038" s="61" t="n"/>
      <c r="C2038" s="62" t="n"/>
      <c r="D2038" s="57" t="n"/>
      <c r="E2038" s="57" t="n"/>
      <c r="F2038" s="58" t="n"/>
      <c r="G2038" s="66">
        <f>IF(tblFleet[[#This Row],[Units]]="","",tblFleet[[#This Row],[Units]]*24)</f>
        <v/>
      </c>
      <c r="H2038" s="66">
        <f>IF(tblFleet[[#This Row],[Units]]="","",tblFleet[[#This Row],[Calendar_h]]-tblFleet[[#This Row],[Down_h]])</f>
        <v/>
      </c>
      <c r="I2038" s="60">
        <f>IF(AND(tblFleet[[#This Row],[Units]]&lt;&gt;"",tblFleet[[#This Row],[Calendar_h]]&gt;0),tblFleet[[#This Row],[Available_h]]/tblFleet[[#This Row],[Calendar_h]],"")</f>
        <v/>
      </c>
      <c r="J2038" s="60">
        <f>IF(AND(tblFleet[[#This Row],[Units]]&lt;&gt;"",tblFleet[[#This Row],[Available_h]]&gt;0),tblFleet[[#This Row],[Operating_h]]/tblFleet[[#This Row],[Available_h]],"")</f>
        <v/>
      </c>
    </row>
    <row r="2039">
      <c r="A2039" s="54" t="n"/>
      <c r="B2039" s="61" t="n"/>
      <c r="C2039" s="62" t="n"/>
      <c r="D2039" s="57" t="n"/>
      <c r="E2039" s="57" t="n"/>
      <c r="F2039" s="58" t="n"/>
      <c r="G2039" s="66">
        <f>IF(tblFleet[[#This Row],[Units]]="","",tblFleet[[#This Row],[Units]]*24)</f>
        <v/>
      </c>
      <c r="H2039" s="66">
        <f>IF(tblFleet[[#This Row],[Units]]="","",tblFleet[[#This Row],[Calendar_h]]-tblFleet[[#This Row],[Down_h]])</f>
        <v/>
      </c>
      <c r="I2039" s="60">
        <f>IF(AND(tblFleet[[#This Row],[Units]]&lt;&gt;"",tblFleet[[#This Row],[Calendar_h]]&gt;0),tblFleet[[#This Row],[Available_h]]/tblFleet[[#This Row],[Calendar_h]],"")</f>
        <v/>
      </c>
      <c r="J2039" s="60">
        <f>IF(AND(tblFleet[[#This Row],[Units]]&lt;&gt;"",tblFleet[[#This Row],[Available_h]]&gt;0),tblFleet[[#This Row],[Operating_h]]/tblFleet[[#This Row],[Available_h]],"")</f>
        <v/>
      </c>
    </row>
    <row r="2040">
      <c r="A2040" s="54" t="n"/>
      <c r="B2040" s="61" t="n"/>
      <c r="C2040" s="62" t="n"/>
      <c r="D2040" s="57" t="n"/>
      <c r="E2040" s="57" t="n"/>
      <c r="F2040" s="58" t="n"/>
      <c r="G2040" s="66">
        <f>IF(tblFleet[[#This Row],[Units]]="","",tblFleet[[#This Row],[Units]]*24)</f>
        <v/>
      </c>
      <c r="H2040" s="66">
        <f>IF(tblFleet[[#This Row],[Units]]="","",tblFleet[[#This Row],[Calendar_h]]-tblFleet[[#This Row],[Down_h]])</f>
        <v/>
      </c>
      <c r="I2040" s="60">
        <f>IF(AND(tblFleet[[#This Row],[Units]]&lt;&gt;"",tblFleet[[#This Row],[Calendar_h]]&gt;0),tblFleet[[#This Row],[Available_h]]/tblFleet[[#This Row],[Calendar_h]],"")</f>
        <v/>
      </c>
      <c r="J2040" s="60">
        <f>IF(AND(tblFleet[[#This Row],[Units]]&lt;&gt;"",tblFleet[[#This Row],[Available_h]]&gt;0),tblFleet[[#This Row],[Operating_h]]/tblFleet[[#This Row],[Available_h]],"")</f>
        <v/>
      </c>
    </row>
    <row r="2041">
      <c r="A2041" s="54" t="n"/>
      <c r="B2041" s="61" t="n"/>
      <c r="C2041" s="62" t="n"/>
      <c r="D2041" s="57" t="n"/>
      <c r="E2041" s="57" t="n"/>
      <c r="F2041" s="58" t="n"/>
      <c r="G2041" s="66">
        <f>IF(tblFleet[[#This Row],[Units]]="","",tblFleet[[#This Row],[Units]]*24)</f>
        <v/>
      </c>
      <c r="H2041" s="66">
        <f>IF(tblFleet[[#This Row],[Units]]="","",tblFleet[[#This Row],[Calendar_h]]-tblFleet[[#This Row],[Down_h]])</f>
        <v/>
      </c>
      <c r="I2041" s="60">
        <f>IF(AND(tblFleet[[#This Row],[Units]]&lt;&gt;"",tblFleet[[#This Row],[Calendar_h]]&gt;0),tblFleet[[#This Row],[Available_h]]/tblFleet[[#This Row],[Calendar_h]],"")</f>
        <v/>
      </c>
      <c r="J2041" s="60">
        <f>IF(AND(tblFleet[[#This Row],[Units]]&lt;&gt;"",tblFleet[[#This Row],[Available_h]]&gt;0),tblFleet[[#This Row],[Operating_h]]/tblFleet[[#This Row],[Available_h]],"")</f>
        <v/>
      </c>
    </row>
    <row r="2042">
      <c r="A2042" s="54" t="n"/>
      <c r="B2042" s="61" t="n"/>
      <c r="C2042" s="62" t="n"/>
      <c r="D2042" s="57" t="n"/>
      <c r="E2042" s="57" t="n"/>
      <c r="F2042" s="58" t="n"/>
      <c r="G2042" s="66">
        <f>IF(tblFleet[[#This Row],[Units]]="","",tblFleet[[#This Row],[Units]]*24)</f>
        <v/>
      </c>
      <c r="H2042" s="66">
        <f>IF(tblFleet[[#This Row],[Units]]="","",tblFleet[[#This Row],[Calendar_h]]-tblFleet[[#This Row],[Down_h]])</f>
        <v/>
      </c>
      <c r="I2042" s="60">
        <f>IF(AND(tblFleet[[#This Row],[Units]]&lt;&gt;"",tblFleet[[#This Row],[Calendar_h]]&gt;0),tblFleet[[#This Row],[Available_h]]/tblFleet[[#This Row],[Calendar_h]],"")</f>
        <v/>
      </c>
      <c r="J2042" s="60">
        <f>IF(AND(tblFleet[[#This Row],[Units]]&lt;&gt;"",tblFleet[[#This Row],[Available_h]]&gt;0),tblFleet[[#This Row],[Operating_h]]/tblFleet[[#This Row],[Available_h]],"")</f>
        <v/>
      </c>
    </row>
    <row r="2043">
      <c r="A2043" s="54" t="n"/>
      <c r="B2043" s="61" t="n"/>
      <c r="C2043" s="62" t="n"/>
      <c r="D2043" s="57" t="n"/>
      <c r="E2043" s="57" t="n"/>
      <c r="F2043" s="58" t="n"/>
      <c r="G2043" s="66">
        <f>IF(tblFleet[[#This Row],[Units]]="","",tblFleet[[#This Row],[Units]]*24)</f>
        <v/>
      </c>
      <c r="H2043" s="66">
        <f>IF(tblFleet[[#This Row],[Units]]="","",tblFleet[[#This Row],[Calendar_h]]-tblFleet[[#This Row],[Down_h]])</f>
        <v/>
      </c>
      <c r="I2043" s="60">
        <f>IF(AND(tblFleet[[#This Row],[Units]]&lt;&gt;"",tblFleet[[#This Row],[Calendar_h]]&gt;0),tblFleet[[#This Row],[Available_h]]/tblFleet[[#This Row],[Calendar_h]],"")</f>
        <v/>
      </c>
      <c r="J2043" s="60">
        <f>IF(AND(tblFleet[[#This Row],[Units]]&lt;&gt;"",tblFleet[[#This Row],[Available_h]]&gt;0),tblFleet[[#This Row],[Operating_h]]/tblFleet[[#This Row],[Available_h]],"")</f>
        <v/>
      </c>
    </row>
    <row r="2044">
      <c r="A2044" s="54" t="n"/>
      <c r="B2044" s="61" t="n"/>
      <c r="C2044" s="62" t="n"/>
      <c r="D2044" s="57" t="n"/>
      <c r="E2044" s="57" t="n"/>
      <c r="F2044" s="58" t="n"/>
      <c r="G2044" s="66">
        <f>IF(tblFleet[[#This Row],[Units]]="","",tblFleet[[#This Row],[Units]]*24)</f>
        <v/>
      </c>
      <c r="H2044" s="66">
        <f>IF(tblFleet[[#This Row],[Units]]="","",tblFleet[[#This Row],[Calendar_h]]-tblFleet[[#This Row],[Down_h]])</f>
        <v/>
      </c>
      <c r="I2044" s="60">
        <f>IF(AND(tblFleet[[#This Row],[Units]]&lt;&gt;"",tblFleet[[#This Row],[Calendar_h]]&gt;0),tblFleet[[#This Row],[Available_h]]/tblFleet[[#This Row],[Calendar_h]],"")</f>
        <v/>
      </c>
      <c r="J2044" s="60">
        <f>IF(AND(tblFleet[[#This Row],[Units]]&lt;&gt;"",tblFleet[[#This Row],[Available_h]]&gt;0),tblFleet[[#This Row],[Operating_h]]/tblFleet[[#This Row],[Available_h]],"")</f>
        <v/>
      </c>
    </row>
    <row r="2045">
      <c r="A2045" s="54" t="n"/>
      <c r="B2045" s="61" t="n"/>
      <c r="C2045" s="62" t="n"/>
      <c r="D2045" s="57" t="n"/>
      <c r="E2045" s="57" t="n"/>
      <c r="F2045" s="58" t="n"/>
      <c r="G2045" s="66">
        <f>IF(tblFleet[[#This Row],[Units]]="","",tblFleet[[#This Row],[Units]]*24)</f>
        <v/>
      </c>
      <c r="H2045" s="66">
        <f>IF(tblFleet[[#This Row],[Units]]="","",tblFleet[[#This Row],[Calendar_h]]-tblFleet[[#This Row],[Down_h]])</f>
        <v/>
      </c>
      <c r="I2045" s="60">
        <f>IF(AND(tblFleet[[#This Row],[Units]]&lt;&gt;"",tblFleet[[#This Row],[Calendar_h]]&gt;0),tblFleet[[#This Row],[Available_h]]/tblFleet[[#This Row],[Calendar_h]],"")</f>
        <v/>
      </c>
      <c r="J2045" s="60">
        <f>IF(AND(tblFleet[[#This Row],[Units]]&lt;&gt;"",tblFleet[[#This Row],[Available_h]]&gt;0),tblFleet[[#This Row],[Operating_h]]/tblFleet[[#This Row],[Available_h]],"")</f>
        <v/>
      </c>
    </row>
    <row r="2046">
      <c r="A2046" s="54" t="n"/>
      <c r="B2046" s="61" t="n"/>
      <c r="C2046" s="62" t="n"/>
      <c r="D2046" s="57" t="n"/>
      <c r="E2046" s="57" t="n"/>
      <c r="F2046" s="58" t="n"/>
      <c r="G2046" s="66">
        <f>IF(tblFleet[[#This Row],[Units]]="","",tblFleet[[#This Row],[Units]]*24)</f>
        <v/>
      </c>
      <c r="H2046" s="66">
        <f>IF(tblFleet[[#This Row],[Units]]="","",tblFleet[[#This Row],[Calendar_h]]-tblFleet[[#This Row],[Down_h]])</f>
        <v/>
      </c>
      <c r="I2046" s="60">
        <f>IF(AND(tblFleet[[#This Row],[Units]]&lt;&gt;"",tblFleet[[#This Row],[Calendar_h]]&gt;0),tblFleet[[#This Row],[Available_h]]/tblFleet[[#This Row],[Calendar_h]],"")</f>
        <v/>
      </c>
      <c r="J2046" s="60">
        <f>IF(AND(tblFleet[[#This Row],[Units]]&lt;&gt;"",tblFleet[[#This Row],[Available_h]]&gt;0),tblFleet[[#This Row],[Operating_h]]/tblFleet[[#This Row],[Available_h]],"")</f>
        <v/>
      </c>
    </row>
    <row r="2047">
      <c r="A2047" s="54" t="n"/>
      <c r="B2047" s="61" t="n"/>
      <c r="C2047" s="62" t="n"/>
      <c r="D2047" s="57" t="n"/>
      <c r="E2047" s="57" t="n"/>
      <c r="F2047" s="58" t="n"/>
      <c r="G2047" s="66">
        <f>IF(tblFleet[[#This Row],[Units]]="","",tblFleet[[#This Row],[Units]]*24)</f>
        <v/>
      </c>
      <c r="H2047" s="66">
        <f>IF(tblFleet[[#This Row],[Units]]="","",tblFleet[[#This Row],[Calendar_h]]-tblFleet[[#This Row],[Down_h]])</f>
        <v/>
      </c>
      <c r="I2047" s="60">
        <f>IF(AND(tblFleet[[#This Row],[Units]]&lt;&gt;"",tblFleet[[#This Row],[Calendar_h]]&gt;0),tblFleet[[#This Row],[Available_h]]/tblFleet[[#This Row],[Calendar_h]],"")</f>
        <v/>
      </c>
      <c r="J2047" s="60">
        <f>IF(AND(tblFleet[[#This Row],[Units]]&lt;&gt;"",tblFleet[[#This Row],[Available_h]]&gt;0),tblFleet[[#This Row],[Operating_h]]/tblFleet[[#This Row],[Available_h]],"")</f>
        <v/>
      </c>
    </row>
    <row r="2048">
      <c r="A2048" s="54" t="n"/>
      <c r="B2048" s="61" t="n"/>
      <c r="C2048" s="62" t="n"/>
      <c r="D2048" s="57" t="n"/>
      <c r="E2048" s="57" t="n"/>
      <c r="F2048" s="58" t="n"/>
      <c r="G2048" s="66">
        <f>IF(tblFleet[[#This Row],[Units]]="","",tblFleet[[#This Row],[Units]]*24)</f>
        <v/>
      </c>
      <c r="H2048" s="66">
        <f>IF(tblFleet[[#This Row],[Units]]="","",tblFleet[[#This Row],[Calendar_h]]-tblFleet[[#This Row],[Down_h]])</f>
        <v/>
      </c>
      <c r="I2048" s="60">
        <f>IF(AND(tblFleet[[#This Row],[Units]]&lt;&gt;"",tblFleet[[#This Row],[Calendar_h]]&gt;0),tblFleet[[#This Row],[Available_h]]/tblFleet[[#This Row],[Calendar_h]],"")</f>
        <v/>
      </c>
      <c r="J2048" s="60">
        <f>IF(AND(tblFleet[[#This Row],[Units]]&lt;&gt;"",tblFleet[[#This Row],[Available_h]]&gt;0),tblFleet[[#This Row],[Operating_h]]/tblFleet[[#This Row],[Available_h]],"")</f>
        <v/>
      </c>
    </row>
    <row r="2049">
      <c r="A2049" s="54" t="n"/>
      <c r="B2049" s="61" t="n"/>
      <c r="C2049" s="62" t="n"/>
      <c r="D2049" s="57" t="n"/>
      <c r="E2049" s="57" t="n"/>
      <c r="F2049" s="58" t="n"/>
      <c r="G2049" s="66">
        <f>IF(tblFleet[[#This Row],[Units]]="","",tblFleet[[#This Row],[Units]]*24)</f>
        <v/>
      </c>
      <c r="H2049" s="66">
        <f>IF(tblFleet[[#This Row],[Units]]="","",tblFleet[[#This Row],[Calendar_h]]-tblFleet[[#This Row],[Down_h]])</f>
        <v/>
      </c>
      <c r="I2049" s="60">
        <f>IF(AND(tblFleet[[#This Row],[Units]]&lt;&gt;"",tblFleet[[#This Row],[Calendar_h]]&gt;0),tblFleet[[#This Row],[Available_h]]/tblFleet[[#This Row],[Calendar_h]],"")</f>
        <v/>
      </c>
      <c r="J2049" s="60">
        <f>IF(AND(tblFleet[[#This Row],[Units]]&lt;&gt;"",tblFleet[[#This Row],[Available_h]]&gt;0),tblFleet[[#This Row],[Operating_h]]/tblFleet[[#This Row],[Available_h]],"")</f>
        <v/>
      </c>
    </row>
    <row r="2050">
      <c r="A2050" s="54" t="n"/>
      <c r="B2050" s="61" t="n"/>
      <c r="C2050" s="62" t="n"/>
      <c r="D2050" s="57" t="n"/>
      <c r="E2050" s="57" t="n"/>
      <c r="F2050" s="58" t="n"/>
      <c r="G2050" s="66">
        <f>IF(tblFleet[[#This Row],[Units]]="","",tblFleet[[#This Row],[Units]]*24)</f>
        <v/>
      </c>
      <c r="H2050" s="66">
        <f>IF(tblFleet[[#This Row],[Units]]="","",tblFleet[[#This Row],[Calendar_h]]-tblFleet[[#This Row],[Down_h]])</f>
        <v/>
      </c>
      <c r="I2050" s="60">
        <f>IF(AND(tblFleet[[#This Row],[Units]]&lt;&gt;"",tblFleet[[#This Row],[Calendar_h]]&gt;0),tblFleet[[#This Row],[Available_h]]/tblFleet[[#This Row],[Calendar_h]],"")</f>
        <v/>
      </c>
      <c r="J2050" s="60">
        <f>IF(AND(tblFleet[[#This Row],[Units]]&lt;&gt;"",tblFleet[[#This Row],[Available_h]]&gt;0),tblFleet[[#This Row],[Operating_h]]/tblFleet[[#This Row],[Available_h]],"")</f>
        <v/>
      </c>
    </row>
    <row r="2051">
      <c r="A2051" s="54" t="n"/>
      <c r="B2051" s="61" t="n"/>
      <c r="C2051" s="62" t="n"/>
      <c r="D2051" s="57" t="n"/>
      <c r="E2051" s="57" t="n"/>
      <c r="F2051" s="58" t="n"/>
      <c r="G2051" s="66">
        <f>IF(tblFleet[[#This Row],[Units]]="","",tblFleet[[#This Row],[Units]]*24)</f>
        <v/>
      </c>
      <c r="H2051" s="66">
        <f>IF(tblFleet[[#This Row],[Units]]="","",tblFleet[[#This Row],[Calendar_h]]-tblFleet[[#This Row],[Down_h]])</f>
        <v/>
      </c>
      <c r="I2051" s="60">
        <f>IF(AND(tblFleet[[#This Row],[Units]]&lt;&gt;"",tblFleet[[#This Row],[Calendar_h]]&gt;0),tblFleet[[#This Row],[Available_h]]/tblFleet[[#This Row],[Calendar_h]],"")</f>
        <v/>
      </c>
      <c r="J2051" s="60">
        <f>IF(AND(tblFleet[[#This Row],[Units]]&lt;&gt;"",tblFleet[[#This Row],[Available_h]]&gt;0),tblFleet[[#This Row],[Operating_h]]/tblFleet[[#This Row],[Available_h]],"")</f>
        <v/>
      </c>
    </row>
    <row r="2052">
      <c r="A2052" s="54" t="n"/>
      <c r="B2052" s="61" t="n"/>
      <c r="C2052" s="62" t="n"/>
      <c r="D2052" s="57" t="n"/>
      <c r="E2052" s="57" t="n"/>
      <c r="F2052" s="58" t="n"/>
      <c r="G2052" s="66">
        <f>IF(tblFleet[[#This Row],[Units]]="","",tblFleet[[#This Row],[Units]]*24)</f>
        <v/>
      </c>
      <c r="H2052" s="66">
        <f>IF(tblFleet[[#This Row],[Units]]="","",tblFleet[[#This Row],[Calendar_h]]-tblFleet[[#This Row],[Down_h]])</f>
        <v/>
      </c>
      <c r="I2052" s="60">
        <f>IF(AND(tblFleet[[#This Row],[Units]]&lt;&gt;"",tblFleet[[#This Row],[Calendar_h]]&gt;0),tblFleet[[#This Row],[Available_h]]/tblFleet[[#This Row],[Calendar_h]],"")</f>
        <v/>
      </c>
      <c r="J2052" s="60">
        <f>IF(AND(tblFleet[[#This Row],[Units]]&lt;&gt;"",tblFleet[[#This Row],[Available_h]]&gt;0),tblFleet[[#This Row],[Operating_h]]/tblFleet[[#This Row],[Available_h]],"")</f>
        <v/>
      </c>
    </row>
    <row r="2053">
      <c r="A2053" s="54" t="n"/>
      <c r="B2053" s="61" t="n"/>
      <c r="C2053" s="62" t="n"/>
      <c r="D2053" s="57" t="n"/>
      <c r="E2053" s="57" t="n"/>
      <c r="F2053" s="58" t="n"/>
      <c r="G2053" s="66">
        <f>IF(tblFleet[[#This Row],[Units]]="","",tblFleet[[#This Row],[Units]]*24)</f>
        <v/>
      </c>
      <c r="H2053" s="66">
        <f>IF(tblFleet[[#This Row],[Units]]="","",tblFleet[[#This Row],[Calendar_h]]-tblFleet[[#This Row],[Down_h]])</f>
        <v/>
      </c>
      <c r="I2053" s="60">
        <f>IF(AND(tblFleet[[#This Row],[Units]]&lt;&gt;"",tblFleet[[#This Row],[Calendar_h]]&gt;0),tblFleet[[#This Row],[Available_h]]/tblFleet[[#This Row],[Calendar_h]],"")</f>
        <v/>
      </c>
      <c r="J2053" s="60">
        <f>IF(AND(tblFleet[[#This Row],[Units]]&lt;&gt;"",tblFleet[[#This Row],[Available_h]]&gt;0),tblFleet[[#This Row],[Operating_h]]/tblFleet[[#This Row],[Available_h]],"")</f>
        <v/>
      </c>
    </row>
    <row r="2054">
      <c r="A2054" s="54" t="n"/>
      <c r="B2054" s="61" t="n"/>
      <c r="C2054" s="62" t="n"/>
      <c r="D2054" s="57" t="n"/>
      <c r="E2054" s="57" t="n"/>
      <c r="F2054" s="58" t="n"/>
      <c r="G2054" s="66">
        <f>IF(tblFleet[[#This Row],[Units]]="","",tblFleet[[#This Row],[Units]]*24)</f>
        <v/>
      </c>
      <c r="H2054" s="66">
        <f>IF(tblFleet[[#This Row],[Units]]="","",tblFleet[[#This Row],[Calendar_h]]-tblFleet[[#This Row],[Down_h]])</f>
        <v/>
      </c>
      <c r="I2054" s="60">
        <f>IF(AND(tblFleet[[#This Row],[Units]]&lt;&gt;"",tblFleet[[#This Row],[Calendar_h]]&gt;0),tblFleet[[#This Row],[Available_h]]/tblFleet[[#This Row],[Calendar_h]],"")</f>
        <v/>
      </c>
      <c r="J2054" s="60">
        <f>IF(AND(tblFleet[[#This Row],[Units]]&lt;&gt;"",tblFleet[[#This Row],[Available_h]]&gt;0),tblFleet[[#This Row],[Operating_h]]/tblFleet[[#This Row],[Available_h]],"")</f>
        <v/>
      </c>
    </row>
    <row r="2055">
      <c r="A2055" s="54" t="n"/>
      <c r="B2055" s="61" t="n"/>
      <c r="C2055" s="62" t="n"/>
      <c r="D2055" s="57" t="n"/>
      <c r="E2055" s="57" t="n"/>
      <c r="F2055" s="58" t="n"/>
      <c r="G2055" s="66">
        <f>IF(tblFleet[[#This Row],[Units]]="","",tblFleet[[#This Row],[Units]]*24)</f>
        <v/>
      </c>
      <c r="H2055" s="66">
        <f>IF(tblFleet[[#This Row],[Units]]="","",tblFleet[[#This Row],[Calendar_h]]-tblFleet[[#This Row],[Down_h]])</f>
        <v/>
      </c>
      <c r="I2055" s="60">
        <f>IF(AND(tblFleet[[#This Row],[Units]]&lt;&gt;"",tblFleet[[#This Row],[Calendar_h]]&gt;0),tblFleet[[#This Row],[Available_h]]/tblFleet[[#This Row],[Calendar_h]],"")</f>
        <v/>
      </c>
      <c r="J2055" s="60">
        <f>IF(AND(tblFleet[[#This Row],[Units]]&lt;&gt;"",tblFleet[[#This Row],[Available_h]]&gt;0),tblFleet[[#This Row],[Operating_h]]/tblFleet[[#This Row],[Available_h]],"")</f>
        <v/>
      </c>
    </row>
    <row r="2056">
      <c r="A2056" s="54" t="n"/>
      <c r="B2056" s="61" t="n"/>
      <c r="C2056" s="62" t="n"/>
      <c r="D2056" s="57" t="n"/>
      <c r="E2056" s="57" t="n"/>
      <c r="F2056" s="58" t="n"/>
      <c r="G2056" s="66">
        <f>IF(tblFleet[[#This Row],[Units]]="","",tblFleet[[#This Row],[Units]]*24)</f>
        <v/>
      </c>
      <c r="H2056" s="66">
        <f>IF(tblFleet[[#This Row],[Units]]="","",tblFleet[[#This Row],[Calendar_h]]-tblFleet[[#This Row],[Down_h]])</f>
        <v/>
      </c>
      <c r="I2056" s="60">
        <f>IF(AND(tblFleet[[#This Row],[Units]]&lt;&gt;"",tblFleet[[#This Row],[Calendar_h]]&gt;0),tblFleet[[#This Row],[Available_h]]/tblFleet[[#This Row],[Calendar_h]],"")</f>
        <v/>
      </c>
      <c r="J2056" s="60">
        <f>IF(AND(tblFleet[[#This Row],[Units]]&lt;&gt;"",tblFleet[[#This Row],[Available_h]]&gt;0),tblFleet[[#This Row],[Operating_h]]/tblFleet[[#This Row],[Available_h]],"")</f>
        <v/>
      </c>
    </row>
    <row r="2057">
      <c r="A2057" s="54" t="n"/>
      <c r="B2057" s="61" t="n"/>
      <c r="C2057" s="62" t="n"/>
      <c r="D2057" s="57" t="n"/>
      <c r="E2057" s="57" t="n"/>
      <c r="F2057" s="58" t="n"/>
      <c r="G2057" s="66">
        <f>IF(tblFleet[[#This Row],[Units]]="","",tblFleet[[#This Row],[Units]]*24)</f>
        <v/>
      </c>
      <c r="H2057" s="66">
        <f>IF(tblFleet[[#This Row],[Units]]="","",tblFleet[[#This Row],[Calendar_h]]-tblFleet[[#This Row],[Down_h]])</f>
        <v/>
      </c>
      <c r="I2057" s="60">
        <f>IF(AND(tblFleet[[#This Row],[Units]]&lt;&gt;"",tblFleet[[#This Row],[Calendar_h]]&gt;0),tblFleet[[#This Row],[Available_h]]/tblFleet[[#This Row],[Calendar_h]],"")</f>
        <v/>
      </c>
      <c r="J2057" s="60">
        <f>IF(AND(tblFleet[[#This Row],[Units]]&lt;&gt;"",tblFleet[[#This Row],[Available_h]]&gt;0),tblFleet[[#This Row],[Operating_h]]/tblFleet[[#This Row],[Available_h]],"")</f>
        <v/>
      </c>
    </row>
    <row r="2058">
      <c r="A2058" s="54" t="n"/>
      <c r="B2058" s="61" t="n"/>
      <c r="C2058" s="62" t="n"/>
      <c r="D2058" s="57" t="n"/>
      <c r="E2058" s="57" t="n"/>
      <c r="F2058" s="58" t="n"/>
      <c r="G2058" s="66">
        <f>IF(tblFleet[[#This Row],[Units]]="","",tblFleet[[#This Row],[Units]]*24)</f>
        <v/>
      </c>
      <c r="H2058" s="66">
        <f>IF(tblFleet[[#This Row],[Units]]="","",tblFleet[[#This Row],[Calendar_h]]-tblFleet[[#This Row],[Down_h]])</f>
        <v/>
      </c>
      <c r="I2058" s="60">
        <f>IF(AND(tblFleet[[#This Row],[Units]]&lt;&gt;"",tblFleet[[#This Row],[Calendar_h]]&gt;0),tblFleet[[#This Row],[Available_h]]/tblFleet[[#This Row],[Calendar_h]],"")</f>
        <v/>
      </c>
      <c r="J2058" s="60">
        <f>IF(AND(tblFleet[[#This Row],[Units]]&lt;&gt;"",tblFleet[[#This Row],[Available_h]]&gt;0),tblFleet[[#This Row],[Operating_h]]/tblFleet[[#This Row],[Available_h]],"")</f>
        <v/>
      </c>
    </row>
    <row r="2059">
      <c r="A2059" s="54" t="n"/>
      <c r="B2059" s="61" t="n"/>
      <c r="C2059" s="62" t="n"/>
      <c r="D2059" s="57" t="n"/>
      <c r="E2059" s="57" t="n"/>
      <c r="F2059" s="58" t="n"/>
      <c r="G2059" s="66">
        <f>IF(tblFleet[[#This Row],[Units]]="","",tblFleet[[#This Row],[Units]]*24)</f>
        <v/>
      </c>
      <c r="H2059" s="66">
        <f>IF(tblFleet[[#This Row],[Units]]="","",tblFleet[[#This Row],[Calendar_h]]-tblFleet[[#This Row],[Down_h]])</f>
        <v/>
      </c>
      <c r="I2059" s="60">
        <f>IF(AND(tblFleet[[#This Row],[Units]]&lt;&gt;"",tblFleet[[#This Row],[Calendar_h]]&gt;0),tblFleet[[#This Row],[Available_h]]/tblFleet[[#This Row],[Calendar_h]],"")</f>
        <v/>
      </c>
      <c r="J2059" s="60">
        <f>IF(AND(tblFleet[[#This Row],[Units]]&lt;&gt;"",tblFleet[[#This Row],[Available_h]]&gt;0),tblFleet[[#This Row],[Operating_h]]/tblFleet[[#This Row],[Available_h]],"")</f>
        <v/>
      </c>
    </row>
    <row r="2060">
      <c r="A2060" s="54" t="n"/>
      <c r="B2060" s="61" t="n"/>
      <c r="C2060" s="62" t="n"/>
      <c r="D2060" s="57" t="n"/>
      <c r="E2060" s="57" t="n"/>
      <c r="F2060" s="58" t="n"/>
      <c r="G2060" s="66">
        <f>IF(tblFleet[[#This Row],[Units]]="","",tblFleet[[#This Row],[Units]]*24)</f>
        <v/>
      </c>
      <c r="H2060" s="66">
        <f>IF(tblFleet[[#This Row],[Units]]="","",tblFleet[[#This Row],[Calendar_h]]-tblFleet[[#This Row],[Down_h]])</f>
        <v/>
      </c>
      <c r="I2060" s="60">
        <f>IF(AND(tblFleet[[#This Row],[Units]]&lt;&gt;"",tblFleet[[#This Row],[Calendar_h]]&gt;0),tblFleet[[#This Row],[Available_h]]/tblFleet[[#This Row],[Calendar_h]],"")</f>
        <v/>
      </c>
      <c r="J2060" s="60">
        <f>IF(AND(tblFleet[[#This Row],[Units]]&lt;&gt;"",tblFleet[[#This Row],[Available_h]]&gt;0),tblFleet[[#This Row],[Operating_h]]/tblFleet[[#This Row],[Available_h]],"")</f>
        <v/>
      </c>
    </row>
    <row r="2061">
      <c r="A2061" s="54" t="n"/>
      <c r="B2061" s="61" t="n"/>
      <c r="C2061" s="62" t="n"/>
      <c r="D2061" s="57" t="n"/>
      <c r="E2061" s="57" t="n"/>
      <c r="F2061" s="58" t="n"/>
      <c r="G2061" s="66">
        <f>IF(tblFleet[[#This Row],[Units]]="","",tblFleet[[#This Row],[Units]]*24)</f>
        <v/>
      </c>
      <c r="H2061" s="66">
        <f>IF(tblFleet[[#This Row],[Units]]="","",tblFleet[[#This Row],[Calendar_h]]-tblFleet[[#This Row],[Down_h]])</f>
        <v/>
      </c>
      <c r="I2061" s="60">
        <f>IF(AND(tblFleet[[#This Row],[Units]]&lt;&gt;"",tblFleet[[#This Row],[Calendar_h]]&gt;0),tblFleet[[#This Row],[Available_h]]/tblFleet[[#This Row],[Calendar_h]],"")</f>
        <v/>
      </c>
      <c r="J2061" s="60">
        <f>IF(AND(tblFleet[[#This Row],[Units]]&lt;&gt;"",tblFleet[[#This Row],[Available_h]]&gt;0),tblFleet[[#This Row],[Operating_h]]/tblFleet[[#This Row],[Available_h]],"")</f>
        <v/>
      </c>
    </row>
    <row r="2062">
      <c r="A2062" s="54" t="n"/>
      <c r="B2062" s="61" t="n"/>
      <c r="C2062" s="62" t="n"/>
      <c r="D2062" s="57" t="n"/>
      <c r="E2062" s="57" t="n"/>
      <c r="F2062" s="58" t="n"/>
      <c r="G2062" s="66">
        <f>IF(tblFleet[[#This Row],[Units]]="","",tblFleet[[#This Row],[Units]]*24)</f>
        <v/>
      </c>
      <c r="H2062" s="66">
        <f>IF(tblFleet[[#This Row],[Units]]="","",tblFleet[[#This Row],[Calendar_h]]-tblFleet[[#This Row],[Down_h]])</f>
        <v/>
      </c>
      <c r="I2062" s="60">
        <f>IF(AND(tblFleet[[#This Row],[Units]]&lt;&gt;"",tblFleet[[#This Row],[Calendar_h]]&gt;0),tblFleet[[#This Row],[Available_h]]/tblFleet[[#This Row],[Calendar_h]],"")</f>
        <v/>
      </c>
      <c r="J2062" s="60">
        <f>IF(AND(tblFleet[[#This Row],[Units]]&lt;&gt;"",tblFleet[[#This Row],[Available_h]]&gt;0),tblFleet[[#This Row],[Operating_h]]/tblFleet[[#This Row],[Available_h]],"")</f>
        <v/>
      </c>
    </row>
    <row r="2063">
      <c r="A2063" s="54" t="n"/>
      <c r="B2063" s="61" t="n"/>
      <c r="C2063" s="62" t="n"/>
      <c r="D2063" s="57" t="n"/>
      <c r="E2063" s="57" t="n"/>
      <c r="F2063" s="58" t="n"/>
      <c r="G2063" s="66">
        <f>IF(tblFleet[[#This Row],[Units]]="","",tblFleet[[#This Row],[Units]]*24)</f>
        <v/>
      </c>
      <c r="H2063" s="66">
        <f>IF(tblFleet[[#This Row],[Units]]="","",tblFleet[[#This Row],[Calendar_h]]-tblFleet[[#This Row],[Down_h]])</f>
        <v/>
      </c>
      <c r="I2063" s="60">
        <f>IF(AND(tblFleet[[#This Row],[Units]]&lt;&gt;"",tblFleet[[#This Row],[Calendar_h]]&gt;0),tblFleet[[#This Row],[Available_h]]/tblFleet[[#This Row],[Calendar_h]],"")</f>
        <v/>
      </c>
      <c r="J2063" s="60">
        <f>IF(AND(tblFleet[[#This Row],[Units]]&lt;&gt;"",tblFleet[[#This Row],[Available_h]]&gt;0),tblFleet[[#This Row],[Operating_h]]/tblFleet[[#This Row],[Available_h]],"")</f>
        <v/>
      </c>
    </row>
    <row r="2064">
      <c r="A2064" s="54" t="n"/>
      <c r="B2064" s="61" t="n"/>
      <c r="C2064" s="62" t="n"/>
      <c r="D2064" s="57" t="n"/>
      <c r="E2064" s="57" t="n"/>
      <c r="F2064" s="58" t="n"/>
      <c r="G2064" s="66">
        <f>IF(tblFleet[[#This Row],[Units]]="","",tblFleet[[#This Row],[Units]]*24)</f>
        <v/>
      </c>
      <c r="H2064" s="66">
        <f>IF(tblFleet[[#This Row],[Units]]="","",tblFleet[[#This Row],[Calendar_h]]-tblFleet[[#This Row],[Down_h]])</f>
        <v/>
      </c>
      <c r="I2064" s="60">
        <f>IF(AND(tblFleet[[#This Row],[Units]]&lt;&gt;"",tblFleet[[#This Row],[Calendar_h]]&gt;0),tblFleet[[#This Row],[Available_h]]/tblFleet[[#This Row],[Calendar_h]],"")</f>
        <v/>
      </c>
      <c r="J2064" s="60">
        <f>IF(AND(tblFleet[[#This Row],[Units]]&lt;&gt;"",tblFleet[[#This Row],[Available_h]]&gt;0),tblFleet[[#This Row],[Operating_h]]/tblFleet[[#This Row],[Available_h]],"")</f>
        <v/>
      </c>
    </row>
    <row r="2065">
      <c r="A2065" s="54" t="n"/>
      <c r="B2065" s="61" t="n"/>
      <c r="C2065" s="62" t="n"/>
      <c r="D2065" s="57" t="n"/>
      <c r="E2065" s="57" t="n"/>
      <c r="F2065" s="58" t="n"/>
      <c r="G2065" s="66">
        <f>IF(tblFleet[[#This Row],[Units]]="","",tblFleet[[#This Row],[Units]]*24)</f>
        <v/>
      </c>
      <c r="H2065" s="66">
        <f>IF(tblFleet[[#This Row],[Units]]="","",tblFleet[[#This Row],[Calendar_h]]-tblFleet[[#This Row],[Down_h]])</f>
        <v/>
      </c>
      <c r="I2065" s="60">
        <f>IF(AND(tblFleet[[#This Row],[Units]]&lt;&gt;"",tblFleet[[#This Row],[Calendar_h]]&gt;0),tblFleet[[#This Row],[Available_h]]/tblFleet[[#This Row],[Calendar_h]],"")</f>
        <v/>
      </c>
      <c r="J2065" s="60">
        <f>IF(AND(tblFleet[[#This Row],[Units]]&lt;&gt;"",tblFleet[[#This Row],[Available_h]]&gt;0),tblFleet[[#This Row],[Operating_h]]/tblFleet[[#This Row],[Available_h]],"")</f>
        <v/>
      </c>
    </row>
    <row r="2066">
      <c r="A2066" s="54" t="n"/>
      <c r="B2066" s="61" t="n"/>
      <c r="C2066" s="62" t="n"/>
      <c r="D2066" s="57" t="n"/>
      <c r="E2066" s="57" t="n"/>
      <c r="F2066" s="58" t="n"/>
      <c r="G2066" s="66">
        <f>IF(tblFleet[[#This Row],[Units]]="","",tblFleet[[#This Row],[Units]]*24)</f>
        <v/>
      </c>
      <c r="H2066" s="66">
        <f>IF(tblFleet[[#This Row],[Units]]="","",tblFleet[[#This Row],[Calendar_h]]-tblFleet[[#This Row],[Down_h]])</f>
        <v/>
      </c>
      <c r="I2066" s="60">
        <f>IF(AND(tblFleet[[#This Row],[Units]]&lt;&gt;"",tblFleet[[#This Row],[Calendar_h]]&gt;0),tblFleet[[#This Row],[Available_h]]/tblFleet[[#This Row],[Calendar_h]],"")</f>
        <v/>
      </c>
      <c r="J2066" s="60">
        <f>IF(AND(tblFleet[[#This Row],[Units]]&lt;&gt;"",tblFleet[[#This Row],[Available_h]]&gt;0),tblFleet[[#This Row],[Operating_h]]/tblFleet[[#This Row],[Available_h]],"")</f>
        <v/>
      </c>
    </row>
    <row r="2067">
      <c r="A2067" s="54" t="n"/>
      <c r="B2067" s="61" t="n"/>
      <c r="C2067" s="62" t="n"/>
      <c r="D2067" s="57" t="n"/>
      <c r="E2067" s="57" t="n"/>
      <c r="F2067" s="58" t="n"/>
      <c r="G2067" s="66">
        <f>IF(tblFleet[[#This Row],[Units]]="","",tblFleet[[#This Row],[Units]]*24)</f>
        <v/>
      </c>
      <c r="H2067" s="66">
        <f>IF(tblFleet[[#This Row],[Units]]="","",tblFleet[[#This Row],[Calendar_h]]-tblFleet[[#This Row],[Down_h]])</f>
        <v/>
      </c>
      <c r="I2067" s="60">
        <f>IF(AND(tblFleet[[#This Row],[Units]]&lt;&gt;"",tblFleet[[#This Row],[Calendar_h]]&gt;0),tblFleet[[#This Row],[Available_h]]/tblFleet[[#This Row],[Calendar_h]],"")</f>
        <v/>
      </c>
      <c r="J2067" s="60">
        <f>IF(AND(tblFleet[[#This Row],[Units]]&lt;&gt;"",tblFleet[[#This Row],[Available_h]]&gt;0),tblFleet[[#This Row],[Operating_h]]/tblFleet[[#This Row],[Available_h]],"")</f>
        <v/>
      </c>
    </row>
    <row r="2068">
      <c r="A2068" s="54" t="n"/>
      <c r="B2068" s="61" t="n"/>
      <c r="C2068" s="62" t="n"/>
      <c r="D2068" s="57" t="n"/>
      <c r="E2068" s="57" t="n"/>
      <c r="F2068" s="58" t="n"/>
      <c r="G2068" s="66">
        <f>IF(tblFleet[[#This Row],[Units]]="","",tblFleet[[#This Row],[Units]]*24)</f>
        <v/>
      </c>
      <c r="H2068" s="66">
        <f>IF(tblFleet[[#This Row],[Units]]="","",tblFleet[[#This Row],[Calendar_h]]-tblFleet[[#This Row],[Down_h]])</f>
        <v/>
      </c>
      <c r="I2068" s="60">
        <f>IF(AND(tblFleet[[#This Row],[Units]]&lt;&gt;"",tblFleet[[#This Row],[Calendar_h]]&gt;0),tblFleet[[#This Row],[Available_h]]/tblFleet[[#This Row],[Calendar_h]],"")</f>
        <v/>
      </c>
      <c r="J2068" s="60">
        <f>IF(AND(tblFleet[[#This Row],[Units]]&lt;&gt;"",tblFleet[[#This Row],[Available_h]]&gt;0),tblFleet[[#This Row],[Operating_h]]/tblFleet[[#This Row],[Available_h]],"")</f>
        <v/>
      </c>
    </row>
    <row r="2069">
      <c r="A2069" s="54" t="n"/>
      <c r="B2069" s="61" t="n"/>
      <c r="C2069" s="62" t="n"/>
      <c r="D2069" s="57" t="n"/>
      <c r="E2069" s="57" t="n"/>
      <c r="F2069" s="58" t="n"/>
      <c r="G2069" s="66">
        <f>IF(tblFleet[[#This Row],[Units]]="","",tblFleet[[#This Row],[Units]]*24)</f>
        <v/>
      </c>
      <c r="H2069" s="66">
        <f>IF(tblFleet[[#This Row],[Units]]="","",tblFleet[[#This Row],[Calendar_h]]-tblFleet[[#This Row],[Down_h]])</f>
        <v/>
      </c>
      <c r="I2069" s="60">
        <f>IF(AND(tblFleet[[#This Row],[Units]]&lt;&gt;"",tblFleet[[#This Row],[Calendar_h]]&gt;0),tblFleet[[#This Row],[Available_h]]/tblFleet[[#This Row],[Calendar_h]],"")</f>
        <v/>
      </c>
      <c r="J2069" s="60">
        <f>IF(AND(tblFleet[[#This Row],[Units]]&lt;&gt;"",tblFleet[[#This Row],[Available_h]]&gt;0),tblFleet[[#This Row],[Operating_h]]/tblFleet[[#This Row],[Available_h]],"")</f>
        <v/>
      </c>
    </row>
    <row r="2070">
      <c r="A2070" s="54" t="n"/>
      <c r="B2070" s="61" t="n"/>
      <c r="C2070" s="62" t="n"/>
      <c r="D2070" s="57" t="n"/>
      <c r="E2070" s="57" t="n"/>
      <c r="F2070" s="58" t="n"/>
      <c r="G2070" s="66">
        <f>IF(tblFleet[[#This Row],[Units]]="","",tblFleet[[#This Row],[Units]]*24)</f>
        <v/>
      </c>
      <c r="H2070" s="66">
        <f>IF(tblFleet[[#This Row],[Units]]="","",tblFleet[[#This Row],[Calendar_h]]-tblFleet[[#This Row],[Down_h]])</f>
        <v/>
      </c>
      <c r="I2070" s="60">
        <f>IF(AND(tblFleet[[#This Row],[Units]]&lt;&gt;"",tblFleet[[#This Row],[Calendar_h]]&gt;0),tblFleet[[#This Row],[Available_h]]/tblFleet[[#This Row],[Calendar_h]],"")</f>
        <v/>
      </c>
      <c r="J2070" s="60">
        <f>IF(AND(tblFleet[[#This Row],[Units]]&lt;&gt;"",tblFleet[[#This Row],[Available_h]]&gt;0),tblFleet[[#This Row],[Operating_h]]/tblFleet[[#This Row],[Available_h]],"")</f>
        <v/>
      </c>
    </row>
    <row r="2071">
      <c r="A2071" s="54" t="n"/>
      <c r="B2071" s="61" t="n"/>
      <c r="C2071" s="62" t="n"/>
      <c r="D2071" s="57" t="n"/>
      <c r="E2071" s="57" t="n"/>
      <c r="F2071" s="58" t="n"/>
      <c r="G2071" s="66">
        <f>IF(tblFleet[[#This Row],[Units]]="","",tblFleet[[#This Row],[Units]]*24)</f>
        <v/>
      </c>
      <c r="H2071" s="66">
        <f>IF(tblFleet[[#This Row],[Units]]="","",tblFleet[[#This Row],[Calendar_h]]-tblFleet[[#This Row],[Down_h]])</f>
        <v/>
      </c>
      <c r="I2071" s="60">
        <f>IF(AND(tblFleet[[#This Row],[Units]]&lt;&gt;"",tblFleet[[#This Row],[Calendar_h]]&gt;0),tblFleet[[#This Row],[Available_h]]/tblFleet[[#This Row],[Calendar_h]],"")</f>
        <v/>
      </c>
      <c r="J2071" s="60">
        <f>IF(AND(tblFleet[[#This Row],[Units]]&lt;&gt;"",tblFleet[[#This Row],[Available_h]]&gt;0),tblFleet[[#This Row],[Operating_h]]/tblFleet[[#This Row],[Available_h]],"")</f>
        <v/>
      </c>
    </row>
    <row r="2072">
      <c r="A2072" s="54" t="n"/>
      <c r="B2072" s="61" t="n"/>
      <c r="C2072" s="62" t="n"/>
      <c r="D2072" s="57" t="n"/>
      <c r="E2072" s="57" t="n"/>
      <c r="F2072" s="58" t="n"/>
      <c r="G2072" s="66">
        <f>IF(tblFleet[[#This Row],[Units]]="","",tblFleet[[#This Row],[Units]]*24)</f>
        <v/>
      </c>
      <c r="H2072" s="66">
        <f>IF(tblFleet[[#This Row],[Units]]="","",tblFleet[[#This Row],[Calendar_h]]-tblFleet[[#This Row],[Down_h]])</f>
        <v/>
      </c>
      <c r="I2072" s="60">
        <f>IF(AND(tblFleet[[#This Row],[Units]]&lt;&gt;"",tblFleet[[#This Row],[Calendar_h]]&gt;0),tblFleet[[#This Row],[Available_h]]/tblFleet[[#This Row],[Calendar_h]],"")</f>
        <v/>
      </c>
      <c r="J2072" s="60">
        <f>IF(AND(tblFleet[[#This Row],[Units]]&lt;&gt;"",tblFleet[[#This Row],[Available_h]]&gt;0),tblFleet[[#This Row],[Operating_h]]/tblFleet[[#This Row],[Available_h]],"")</f>
        <v/>
      </c>
    </row>
    <row r="2073">
      <c r="A2073" s="54" t="n"/>
      <c r="B2073" s="61" t="n"/>
      <c r="C2073" s="62" t="n"/>
      <c r="D2073" s="57" t="n"/>
      <c r="E2073" s="57" t="n"/>
      <c r="F2073" s="58" t="n"/>
      <c r="G2073" s="66">
        <f>IF(tblFleet[[#This Row],[Units]]="","",tblFleet[[#This Row],[Units]]*24)</f>
        <v/>
      </c>
      <c r="H2073" s="66">
        <f>IF(tblFleet[[#This Row],[Units]]="","",tblFleet[[#This Row],[Calendar_h]]-tblFleet[[#This Row],[Down_h]])</f>
        <v/>
      </c>
      <c r="I2073" s="60">
        <f>IF(AND(tblFleet[[#This Row],[Units]]&lt;&gt;"",tblFleet[[#This Row],[Calendar_h]]&gt;0),tblFleet[[#This Row],[Available_h]]/tblFleet[[#This Row],[Calendar_h]],"")</f>
        <v/>
      </c>
      <c r="J2073" s="60">
        <f>IF(AND(tblFleet[[#This Row],[Units]]&lt;&gt;"",tblFleet[[#This Row],[Available_h]]&gt;0),tblFleet[[#This Row],[Operating_h]]/tblFleet[[#This Row],[Available_h]],"")</f>
        <v/>
      </c>
    </row>
    <row r="2074">
      <c r="A2074" s="54" t="n"/>
      <c r="B2074" s="61" t="n"/>
      <c r="C2074" s="62" t="n"/>
      <c r="D2074" s="57" t="n"/>
      <c r="E2074" s="57" t="n"/>
      <c r="F2074" s="58" t="n"/>
      <c r="G2074" s="66">
        <f>IF(tblFleet[[#This Row],[Units]]="","",tblFleet[[#This Row],[Units]]*24)</f>
        <v/>
      </c>
      <c r="H2074" s="66">
        <f>IF(tblFleet[[#This Row],[Units]]="","",tblFleet[[#This Row],[Calendar_h]]-tblFleet[[#This Row],[Down_h]])</f>
        <v/>
      </c>
      <c r="I2074" s="60">
        <f>IF(AND(tblFleet[[#This Row],[Units]]&lt;&gt;"",tblFleet[[#This Row],[Calendar_h]]&gt;0),tblFleet[[#This Row],[Available_h]]/tblFleet[[#This Row],[Calendar_h]],"")</f>
        <v/>
      </c>
      <c r="J2074" s="60">
        <f>IF(AND(tblFleet[[#This Row],[Units]]&lt;&gt;"",tblFleet[[#This Row],[Available_h]]&gt;0),tblFleet[[#This Row],[Operating_h]]/tblFleet[[#This Row],[Available_h]],"")</f>
        <v/>
      </c>
    </row>
    <row r="2075">
      <c r="A2075" s="54" t="n"/>
      <c r="B2075" s="61" t="n"/>
      <c r="C2075" s="62" t="n"/>
      <c r="D2075" s="57" t="n"/>
      <c r="E2075" s="57" t="n"/>
      <c r="F2075" s="58" t="n"/>
      <c r="G2075" s="66">
        <f>IF(tblFleet[[#This Row],[Units]]="","",tblFleet[[#This Row],[Units]]*24)</f>
        <v/>
      </c>
      <c r="H2075" s="66">
        <f>IF(tblFleet[[#This Row],[Units]]="","",tblFleet[[#This Row],[Calendar_h]]-tblFleet[[#This Row],[Down_h]])</f>
        <v/>
      </c>
      <c r="I2075" s="60">
        <f>IF(AND(tblFleet[[#This Row],[Units]]&lt;&gt;"",tblFleet[[#This Row],[Calendar_h]]&gt;0),tblFleet[[#This Row],[Available_h]]/tblFleet[[#This Row],[Calendar_h]],"")</f>
        <v/>
      </c>
      <c r="J2075" s="60">
        <f>IF(AND(tblFleet[[#This Row],[Units]]&lt;&gt;"",tblFleet[[#This Row],[Available_h]]&gt;0),tblFleet[[#This Row],[Operating_h]]/tblFleet[[#This Row],[Available_h]],"")</f>
        <v/>
      </c>
    </row>
    <row r="2076">
      <c r="A2076" s="54" t="n"/>
      <c r="B2076" s="61" t="n"/>
      <c r="C2076" s="62" t="n"/>
      <c r="D2076" s="57" t="n"/>
      <c r="E2076" s="57" t="n"/>
      <c r="F2076" s="58" t="n"/>
      <c r="G2076" s="66">
        <f>IF(tblFleet[[#This Row],[Units]]="","",tblFleet[[#This Row],[Units]]*24)</f>
        <v/>
      </c>
      <c r="H2076" s="66">
        <f>IF(tblFleet[[#This Row],[Units]]="","",tblFleet[[#This Row],[Calendar_h]]-tblFleet[[#This Row],[Down_h]])</f>
        <v/>
      </c>
      <c r="I2076" s="60">
        <f>IF(AND(tblFleet[[#This Row],[Units]]&lt;&gt;"",tblFleet[[#This Row],[Calendar_h]]&gt;0),tblFleet[[#This Row],[Available_h]]/tblFleet[[#This Row],[Calendar_h]],"")</f>
        <v/>
      </c>
      <c r="J2076" s="60">
        <f>IF(AND(tblFleet[[#This Row],[Units]]&lt;&gt;"",tblFleet[[#This Row],[Available_h]]&gt;0),tblFleet[[#This Row],[Operating_h]]/tblFleet[[#This Row],[Available_h]],"")</f>
        <v/>
      </c>
    </row>
    <row r="2077">
      <c r="A2077" s="54" t="n"/>
      <c r="B2077" s="61" t="n"/>
      <c r="C2077" s="62" t="n"/>
      <c r="D2077" s="57" t="n"/>
      <c r="E2077" s="57" t="n"/>
      <c r="F2077" s="58" t="n"/>
      <c r="G2077" s="66">
        <f>IF(tblFleet[[#This Row],[Units]]="","",tblFleet[[#This Row],[Units]]*24)</f>
        <v/>
      </c>
      <c r="H2077" s="66">
        <f>IF(tblFleet[[#This Row],[Units]]="","",tblFleet[[#This Row],[Calendar_h]]-tblFleet[[#This Row],[Down_h]])</f>
        <v/>
      </c>
      <c r="I2077" s="60">
        <f>IF(AND(tblFleet[[#This Row],[Units]]&lt;&gt;"",tblFleet[[#This Row],[Calendar_h]]&gt;0),tblFleet[[#This Row],[Available_h]]/tblFleet[[#This Row],[Calendar_h]],"")</f>
        <v/>
      </c>
      <c r="J2077" s="60">
        <f>IF(AND(tblFleet[[#This Row],[Units]]&lt;&gt;"",tblFleet[[#This Row],[Available_h]]&gt;0),tblFleet[[#This Row],[Operating_h]]/tblFleet[[#This Row],[Available_h]],"")</f>
        <v/>
      </c>
    </row>
    <row r="2078">
      <c r="A2078" s="54" t="n"/>
      <c r="B2078" s="61" t="n"/>
      <c r="C2078" s="62" t="n"/>
      <c r="D2078" s="57" t="n"/>
      <c r="E2078" s="57" t="n"/>
      <c r="F2078" s="58" t="n"/>
      <c r="G2078" s="66">
        <f>IF(tblFleet[[#This Row],[Units]]="","",tblFleet[[#This Row],[Units]]*24)</f>
        <v/>
      </c>
      <c r="H2078" s="66">
        <f>IF(tblFleet[[#This Row],[Units]]="","",tblFleet[[#This Row],[Calendar_h]]-tblFleet[[#This Row],[Down_h]])</f>
        <v/>
      </c>
      <c r="I2078" s="60">
        <f>IF(AND(tblFleet[[#This Row],[Units]]&lt;&gt;"",tblFleet[[#This Row],[Calendar_h]]&gt;0),tblFleet[[#This Row],[Available_h]]/tblFleet[[#This Row],[Calendar_h]],"")</f>
        <v/>
      </c>
      <c r="J2078" s="60">
        <f>IF(AND(tblFleet[[#This Row],[Units]]&lt;&gt;"",tblFleet[[#This Row],[Available_h]]&gt;0),tblFleet[[#This Row],[Operating_h]]/tblFleet[[#This Row],[Available_h]],"")</f>
        <v/>
      </c>
    </row>
    <row r="2079">
      <c r="A2079" s="54" t="n"/>
      <c r="B2079" s="61" t="n"/>
      <c r="C2079" s="62" t="n"/>
      <c r="D2079" s="57" t="n"/>
      <c r="E2079" s="57" t="n"/>
      <c r="F2079" s="58" t="n"/>
      <c r="G2079" s="66">
        <f>IF(tblFleet[[#This Row],[Units]]="","",tblFleet[[#This Row],[Units]]*24)</f>
        <v/>
      </c>
      <c r="H2079" s="66">
        <f>IF(tblFleet[[#This Row],[Units]]="","",tblFleet[[#This Row],[Calendar_h]]-tblFleet[[#This Row],[Down_h]])</f>
        <v/>
      </c>
      <c r="I2079" s="60">
        <f>IF(AND(tblFleet[[#This Row],[Units]]&lt;&gt;"",tblFleet[[#This Row],[Calendar_h]]&gt;0),tblFleet[[#This Row],[Available_h]]/tblFleet[[#This Row],[Calendar_h]],"")</f>
        <v/>
      </c>
      <c r="J2079" s="60">
        <f>IF(AND(tblFleet[[#This Row],[Units]]&lt;&gt;"",tblFleet[[#This Row],[Available_h]]&gt;0),tblFleet[[#This Row],[Operating_h]]/tblFleet[[#This Row],[Available_h]],"")</f>
        <v/>
      </c>
    </row>
    <row r="2080">
      <c r="A2080" s="54" t="n"/>
      <c r="B2080" s="61" t="n"/>
      <c r="C2080" s="62" t="n"/>
      <c r="D2080" s="57" t="n"/>
      <c r="E2080" s="57" t="n"/>
      <c r="F2080" s="58" t="n"/>
      <c r="G2080" s="66">
        <f>IF(tblFleet[[#This Row],[Units]]="","",tblFleet[[#This Row],[Units]]*24)</f>
        <v/>
      </c>
      <c r="H2080" s="66">
        <f>IF(tblFleet[[#This Row],[Units]]="","",tblFleet[[#This Row],[Calendar_h]]-tblFleet[[#This Row],[Down_h]])</f>
        <v/>
      </c>
      <c r="I2080" s="60">
        <f>IF(AND(tblFleet[[#This Row],[Units]]&lt;&gt;"",tblFleet[[#This Row],[Calendar_h]]&gt;0),tblFleet[[#This Row],[Available_h]]/tblFleet[[#This Row],[Calendar_h]],"")</f>
        <v/>
      </c>
      <c r="J2080" s="60">
        <f>IF(AND(tblFleet[[#This Row],[Units]]&lt;&gt;"",tblFleet[[#This Row],[Available_h]]&gt;0),tblFleet[[#This Row],[Operating_h]]/tblFleet[[#This Row],[Available_h]],"")</f>
        <v/>
      </c>
    </row>
    <row r="2081">
      <c r="A2081" s="54" t="n"/>
      <c r="B2081" s="61" t="n"/>
      <c r="C2081" s="62" t="n"/>
      <c r="D2081" s="57" t="n"/>
      <c r="E2081" s="57" t="n"/>
      <c r="F2081" s="58" t="n"/>
      <c r="G2081" s="66">
        <f>IF(tblFleet[[#This Row],[Units]]="","",tblFleet[[#This Row],[Units]]*24)</f>
        <v/>
      </c>
      <c r="H2081" s="66">
        <f>IF(tblFleet[[#This Row],[Units]]="","",tblFleet[[#This Row],[Calendar_h]]-tblFleet[[#This Row],[Down_h]])</f>
        <v/>
      </c>
      <c r="I2081" s="60">
        <f>IF(AND(tblFleet[[#This Row],[Units]]&lt;&gt;"",tblFleet[[#This Row],[Calendar_h]]&gt;0),tblFleet[[#This Row],[Available_h]]/tblFleet[[#This Row],[Calendar_h]],"")</f>
        <v/>
      </c>
      <c r="J2081" s="60">
        <f>IF(AND(tblFleet[[#This Row],[Units]]&lt;&gt;"",tblFleet[[#This Row],[Available_h]]&gt;0),tblFleet[[#This Row],[Operating_h]]/tblFleet[[#This Row],[Available_h]],"")</f>
        <v/>
      </c>
    </row>
    <row r="2082">
      <c r="A2082" s="54" t="n"/>
      <c r="B2082" s="61" t="n"/>
      <c r="C2082" s="62" t="n"/>
      <c r="D2082" s="57" t="n"/>
      <c r="E2082" s="57" t="n"/>
      <c r="F2082" s="58" t="n"/>
      <c r="G2082" s="66">
        <f>IF(tblFleet[[#This Row],[Units]]="","",tblFleet[[#This Row],[Units]]*24)</f>
        <v/>
      </c>
      <c r="H2082" s="66">
        <f>IF(tblFleet[[#This Row],[Units]]="","",tblFleet[[#This Row],[Calendar_h]]-tblFleet[[#This Row],[Down_h]])</f>
        <v/>
      </c>
      <c r="I2082" s="60">
        <f>IF(AND(tblFleet[[#This Row],[Units]]&lt;&gt;"",tblFleet[[#This Row],[Calendar_h]]&gt;0),tblFleet[[#This Row],[Available_h]]/tblFleet[[#This Row],[Calendar_h]],"")</f>
        <v/>
      </c>
      <c r="J2082" s="60">
        <f>IF(AND(tblFleet[[#This Row],[Units]]&lt;&gt;"",tblFleet[[#This Row],[Available_h]]&gt;0),tblFleet[[#This Row],[Operating_h]]/tblFleet[[#This Row],[Available_h]],"")</f>
        <v/>
      </c>
    </row>
    <row r="2083">
      <c r="A2083" s="54" t="n"/>
      <c r="B2083" s="61" t="n"/>
      <c r="C2083" s="62" t="n"/>
      <c r="D2083" s="57" t="n"/>
      <c r="E2083" s="57" t="n"/>
      <c r="F2083" s="58" t="n"/>
      <c r="G2083" s="66">
        <f>IF(tblFleet[[#This Row],[Units]]="","",tblFleet[[#This Row],[Units]]*24)</f>
        <v/>
      </c>
      <c r="H2083" s="66">
        <f>IF(tblFleet[[#This Row],[Units]]="","",tblFleet[[#This Row],[Calendar_h]]-tblFleet[[#This Row],[Down_h]])</f>
        <v/>
      </c>
      <c r="I2083" s="60">
        <f>IF(AND(tblFleet[[#This Row],[Units]]&lt;&gt;"",tblFleet[[#This Row],[Calendar_h]]&gt;0),tblFleet[[#This Row],[Available_h]]/tblFleet[[#This Row],[Calendar_h]],"")</f>
        <v/>
      </c>
      <c r="J2083" s="60">
        <f>IF(AND(tblFleet[[#This Row],[Units]]&lt;&gt;"",tblFleet[[#This Row],[Available_h]]&gt;0),tblFleet[[#This Row],[Operating_h]]/tblFleet[[#This Row],[Available_h]],"")</f>
        <v/>
      </c>
    </row>
    <row r="2084">
      <c r="A2084" s="54" t="n"/>
      <c r="B2084" s="61" t="n"/>
      <c r="C2084" s="62" t="n"/>
      <c r="D2084" s="57" t="n"/>
      <c r="E2084" s="57" t="n"/>
      <c r="F2084" s="58" t="n"/>
      <c r="G2084" s="66">
        <f>IF(tblFleet[[#This Row],[Units]]="","",tblFleet[[#This Row],[Units]]*24)</f>
        <v/>
      </c>
      <c r="H2084" s="66">
        <f>IF(tblFleet[[#This Row],[Units]]="","",tblFleet[[#This Row],[Calendar_h]]-tblFleet[[#This Row],[Down_h]])</f>
        <v/>
      </c>
      <c r="I2084" s="60">
        <f>IF(AND(tblFleet[[#This Row],[Units]]&lt;&gt;"",tblFleet[[#This Row],[Calendar_h]]&gt;0),tblFleet[[#This Row],[Available_h]]/tblFleet[[#This Row],[Calendar_h]],"")</f>
        <v/>
      </c>
      <c r="J2084" s="60">
        <f>IF(AND(tblFleet[[#This Row],[Units]]&lt;&gt;"",tblFleet[[#This Row],[Available_h]]&gt;0),tblFleet[[#This Row],[Operating_h]]/tblFleet[[#This Row],[Available_h]],"")</f>
        <v/>
      </c>
    </row>
    <row r="2085">
      <c r="A2085" s="54" t="n"/>
      <c r="B2085" s="61" t="n"/>
      <c r="C2085" s="62" t="n"/>
      <c r="D2085" s="57" t="n"/>
      <c r="E2085" s="57" t="n"/>
      <c r="F2085" s="58" t="n"/>
      <c r="G2085" s="66">
        <f>IF(tblFleet[[#This Row],[Units]]="","",tblFleet[[#This Row],[Units]]*24)</f>
        <v/>
      </c>
      <c r="H2085" s="66">
        <f>IF(tblFleet[[#This Row],[Units]]="","",tblFleet[[#This Row],[Calendar_h]]-tblFleet[[#This Row],[Down_h]])</f>
        <v/>
      </c>
      <c r="I2085" s="60">
        <f>IF(AND(tblFleet[[#This Row],[Units]]&lt;&gt;"",tblFleet[[#This Row],[Calendar_h]]&gt;0),tblFleet[[#This Row],[Available_h]]/tblFleet[[#This Row],[Calendar_h]],"")</f>
        <v/>
      </c>
      <c r="J2085" s="60">
        <f>IF(AND(tblFleet[[#This Row],[Units]]&lt;&gt;"",tblFleet[[#This Row],[Available_h]]&gt;0),tblFleet[[#This Row],[Operating_h]]/tblFleet[[#This Row],[Available_h]],"")</f>
        <v/>
      </c>
    </row>
    <row r="2086">
      <c r="A2086" s="54" t="n"/>
      <c r="B2086" s="61" t="n"/>
      <c r="C2086" s="62" t="n"/>
      <c r="D2086" s="57" t="n"/>
      <c r="E2086" s="57" t="n"/>
      <c r="F2086" s="58" t="n"/>
      <c r="G2086" s="66">
        <f>IF(tblFleet[[#This Row],[Units]]="","",tblFleet[[#This Row],[Units]]*24)</f>
        <v/>
      </c>
      <c r="H2086" s="66">
        <f>IF(tblFleet[[#This Row],[Units]]="","",tblFleet[[#This Row],[Calendar_h]]-tblFleet[[#This Row],[Down_h]])</f>
        <v/>
      </c>
      <c r="I2086" s="60">
        <f>IF(AND(tblFleet[[#This Row],[Units]]&lt;&gt;"",tblFleet[[#This Row],[Calendar_h]]&gt;0),tblFleet[[#This Row],[Available_h]]/tblFleet[[#This Row],[Calendar_h]],"")</f>
        <v/>
      </c>
      <c r="J2086" s="60">
        <f>IF(AND(tblFleet[[#This Row],[Units]]&lt;&gt;"",tblFleet[[#This Row],[Available_h]]&gt;0),tblFleet[[#This Row],[Operating_h]]/tblFleet[[#This Row],[Available_h]],"")</f>
        <v/>
      </c>
    </row>
    <row r="2087">
      <c r="A2087" s="54" t="n"/>
      <c r="B2087" s="61" t="n"/>
      <c r="C2087" s="62" t="n"/>
      <c r="D2087" s="57" t="n"/>
      <c r="E2087" s="57" t="n"/>
      <c r="F2087" s="58" t="n"/>
      <c r="G2087" s="66">
        <f>IF(tblFleet[[#This Row],[Units]]="","",tblFleet[[#This Row],[Units]]*24)</f>
        <v/>
      </c>
      <c r="H2087" s="66">
        <f>IF(tblFleet[[#This Row],[Units]]="","",tblFleet[[#This Row],[Calendar_h]]-tblFleet[[#This Row],[Down_h]])</f>
        <v/>
      </c>
      <c r="I2087" s="60">
        <f>IF(AND(tblFleet[[#This Row],[Units]]&lt;&gt;"",tblFleet[[#This Row],[Calendar_h]]&gt;0),tblFleet[[#This Row],[Available_h]]/tblFleet[[#This Row],[Calendar_h]],"")</f>
        <v/>
      </c>
      <c r="J2087" s="60">
        <f>IF(AND(tblFleet[[#This Row],[Units]]&lt;&gt;"",tblFleet[[#This Row],[Available_h]]&gt;0),tblFleet[[#This Row],[Operating_h]]/tblFleet[[#This Row],[Available_h]],"")</f>
        <v/>
      </c>
    </row>
    <row r="2088">
      <c r="A2088" s="54" t="n"/>
      <c r="B2088" s="61" t="n"/>
      <c r="C2088" s="62" t="n"/>
      <c r="D2088" s="57" t="n"/>
      <c r="E2088" s="57" t="n"/>
      <c r="F2088" s="58" t="n"/>
      <c r="G2088" s="66">
        <f>IF(tblFleet[[#This Row],[Units]]="","",tblFleet[[#This Row],[Units]]*24)</f>
        <v/>
      </c>
      <c r="H2088" s="66">
        <f>IF(tblFleet[[#This Row],[Units]]="","",tblFleet[[#This Row],[Calendar_h]]-tblFleet[[#This Row],[Down_h]])</f>
        <v/>
      </c>
      <c r="I2088" s="60">
        <f>IF(AND(tblFleet[[#This Row],[Units]]&lt;&gt;"",tblFleet[[#This Row],[Calendar_h]]&gt;0),tblFleet[[#This Row],[Available_h]]/tblFleet[[#This Row],[Calendar_h]],"")</f>
        <v/>
      </c>
      <c r="J2088" s="60">
        <f>IF(AND(tblFleet[[#This Row],[Units]]&lt;&gt;"",tblFleet[[#This Row],[Available_h]]&gt;0),tblFleet[[#This Row],[Operating_h]]/tblFleet[[#This Row],[Available_h]],"")</f>
        <v/>
      </c>
    </row>
    <row r="2089">
      <c r="A2089" s="54" t="n"/>
      <c r="B2089" s="61" t="n"/>
      <c r="C2089" s="62" t="n"/>
      <c r="D2089" s="57" t="n"/>
      <c r="E2089" s="57" t="n"/>
      <c r="F2089" s="58" t="n"/>
      <c r="G2089" s="66">
        <f>IF(tblFleet[[#This Row],[Units]]="","",tblFleet[[#This Row],[Units]]*24)</f>
        <v/>
      </c>
      <c r="H2089" s="66">
        <f>IF(tblFleet[[#This Row],[Units]]="","",tblFleet[[#This Row],[Calendar_h]]-tblFleet[[#This Row],[Down_h]])</f>
        <v/>
      </c>
      <c r="I2089" s="60">
        <f>IF(AND(tblFleet[[#This Row],[Units]]&lt;&gt;"",tblFleet[[#This Row],[Calendar_h]]&gt;0),tblFleet[[#This Row],[Available_h]]/tblFleet[[#This Row],[Calendar_h]],"")</f>
        <v/>
      </c>
      <c r="J2089" s="60">
        <f>IF(AND(tblFleet[[#This Row],[Units]]&lt;&gt;"",tblFleet[[#This Row],[Available_h]]&gt;0),tblFleet[[#This Row],[Operating_h]]/tblFleet[[#This Row],[Available_h]],"")</f>
        <v/>
      </c>
    </row>
    <row r="2090">
      <c r="A2090" s="54" t="n"/>
      <c r="B2090" s="61" t="n"/>
      <c r="C2090" s="62" t="n"/>
      <c r="D2090" s="57" t="n"/>
      <c r="E2090" s="57" t="n"/>
      <c r="F2090" s="58" t="n"/>
      <c r="G2090" s="66">
        <f>IF(tblFleet[[#This Row],[Units]]="","",tblFleet[[#This Row],[Units]]*24)</f>
        <v/>
      </c>
      <c r="H2090" s="66">
        <f>IF(tblFleet[[#This Row],[Units]]="","",tblFleet[[#This Row],[Calendar_h]]-tblFleet[[#This Row],[Down_h]])</f>
        <v/>
      </c>
      <c r="I2090" s="60">
        <f>IF(AND(tblFleet[[#This Row],[Units]]&lt;&gt;"",tblFleet[[#This Row],[Calendar_h]]&gt;0),tblFleet[[#This Row],[Available_h]]/tblFleet[[#This Row],[Calendar_h]],"")</f>
        <v/>
      </c>
      <c r="J2090" s="60">
        <f>IF(AND(tblFleet[[#This Row],[Units]]&lt;&gt;"",tblFleet[[#This Row],[Available_h]]&gt;0),tblFleet[[#This Row],[Operating_h]]/tblFleet[[#This Row],[Available_h]],"")</f>
        <v/>
      </c>
    </row>
    <row r="2091">
      <c r="A2091" s="54" t="n"/>
      <c r="B2091" s="61" t="n"/>
      <c r="C2091" s="62" t="n"/>
      <c r="D2091" s="57" t="n"/>
      <c r="E2091" s="57" t="n"/>
      <c r="F2091" s="58" t="n"/>
      <c r="G2091" s="66">
        <f>IF(tblFleet[[#This Row],[Units]]="","",tblFleet[[#This Row],[Units]]*24)</f>
        <v/>
      </c>
      <c r="H2091" s="66">
        <f>IF(tblFleet[[#This Row],[Units]]="","",tblFleet[[#This Row],[Calendar_h]]-tblFleet[[#This Row],[Down_h]])</f>
        <v/>
      </c>
      <c r="I2091" s="60">
        <f>IF(AND(tblFleet[[#This Row],[Units]]&lt;&gt;"",tblFleet[[#This Row],[Calendar_h]]&gt;0),tblFleet[[#This Row],[Available_h]]/tblFleet[[#This Row],[Calendar_h]],"")</f>
        <v/>
      </c>
      <c r="J2091" s="60">
        <f>IF(AND(tblFleet[[#This Row],[Units]]&lt;&gt;"",tblFleet[[#This Row],[Available_h]]&gt;0),tblFleet[[#This Row],[Operating_h]]/tblFleet[[#This Row],[Available_h]],"")</f>
        <v/>
      </c>
    </row>
    <row r="2092">
      <c r="A2092" s="54" t="n"/>
      <c r="B2092" s="61" t="n"/>
      <c r="C2092" s="62" t="n"/>
      <c r="D2092" s="57" t="n"/>
      <c r="E2092" s="57" t="n"/>
      <c r="F2092" s="58" t="n"/>
      <c r="G2092" s="66">
        <f>IF(tblFleet[[#This Row],[Units]]="","",tblFleet[[#This Row],[Units]]*24)</f>
        <v/>
      </c>
      <c r="H2092" s="66">
        <f>IF(tblFleet[[#This Row],[Units]]="","",tblFleet[[#This Row],[Calendar_h]]-tblFleet[[#This Row],[Down_h]])</f>
        <v/>
      </c>
      <c r="I2092" s="60">
        <f>IF(AND(tblFleet[[#This Row],[Units]]&lt;&gt;"",tblFleet[[#This Row],[Calendar_h]]&gt;0),tblFleet[[#This Row],[Available_h]]/tblFleet[[#This Row],[Calendar_h]],"")</f>
        <v/>
      </c>
      <c r="J2092" s="60">
        <f>IF(AND(tblFleet[[#This Row],[Units]]&lt;&gt;"",tblFleet[[#This Row],[Available_h]]&gt;0),tblFleet[[#This Row],[Operating_h]]/tblFleet[[#This Row],[Available_h]],"")</f>
        <v/>
      </c>
    </row>
    <row r="2093">
      <c r="A2093" s="54" t="n"/>
      <c r="B2093" s="61" t="n"/>
      <c r="C2093" s="62" t="n"/>
      <c r="D2093" s="57" t="n"/>
      <c r="E2093" s="57" t="n"/>
      <c r="F2093" s="58" t="n"/>
      <c r="G2093" s="66">
        <f>IF(tblFleet[[#This Row],[Units]]="","",tblFleet[[#This Row],[Units]]*24)</f>
        <v/>
      </c>
      <c r="H2093" s="66">
        <f>IF(tblFleet[[#This Row],[Units]]="","",tblFleet[[#This Row],[Calendar_h]]-tblFleet[[#This Row],[Down_h]])</f>
        <v/>
      </c>
      <c r="I2093" s="60">
        <f>IF(AND(tblFleet[[#This Row],[Units]]&lt;&gt;"",tblFleet[[#This Row],[Calendar_h]]&gt;0),tblFleet[[#This Row],[Available_h]]/tblFleet[[#This Row],[Calendar_h]],"")</f>
        <v/>
      </c>
      <c r="J2093" s="60">
        <f>IF(AND(tblFleet[[#This Row],[Units]]&lt;&gt;"",tblFleet[[#This Row],[Available_h]]&gt;0),tblFleet[[#This Row],[Operating_h]]/tblFleet[[#This Row],[Available_h]],"")</f>
        <v/>
      </c>
    </row>
    <row r="2094">
      <c r="A2094" s="54" t="n"/>
      <c r="B2094" s="61" t="n"/>
      <c r="C2094" s="62" t="n"/>
      <c r="D2094" s="57" t="n"/>
      <c r="E2094" s="57" t="n"/>
      <c r="F2094" s="58" t="n"/>
      <c r="G2094" s="66">
        <f>IF(tblFleet[[#This Row],[Units]]="","",tblFleet[[#This Row],[Units]]*24)</f>
        <v/>
      </c>
      <c r="H2094" s="66">
        <f>IF(tblFleet[[#This Row],[Units]]="","",tblFleet[[#This Row],[Calendar_h]]-tblFleet[[#This Row],[Down_h]])</f>
        <v/>
      </c>
      <c r="I2094" s="60">
        <f>IF(AND(tblFleet[[#This Row],[Units]]&lt;&gt;"",tblFleet[[#This Row],[Calendar_h]]&gt;0),tblFleet[[#This Row],[Available_h]]/tblFleet[[#This Row],[Calendar_h]],"")</f>
        <v/>
      </c>
      <c r="J2094" s="60">
        <f>IF(AND(tblFleet[[#This Row],[Units]]&lt;&gt;"",tblFleet[[#This Row],[Available_h]]&gt;0),tblFleet[[#This Row],[Operating_h]]/tblFleet[[#This Row],[Available_h]],"")</f>
        <v/>
      </c>
    </row>
    <row r="2095">
      <c r="A2095" s="54" t="n"/>
      <c r="B2095" s="61" t="n"/>
      <c r="C2095" s="62" t="n"/>
      <c r="D2095" s="57" t="n"/>
      <c r="E2095" s="57" t="n"/>
      <c r="F2095" s="58" t="n"/>
      <c r="G2095" s="66">
        <f>IF(tblFleet[[#This Row],[Units]]="","",tblFleet[[#This Row],[Units]]*24)</f>
        <v/>
      </c>
      <c r="H2095" s="66">
        <f>IF(tblFleet[[#This Row],[Units]]="","",tblFleet[[#This Row],[Calendar_h]]-tblFleet[[#This Row],[Down_h]])</f>
        <v/>
      </c>
      <c r="I2095" s="60">
        <f>IF(AND(tblFleet[[#This Row],[Units]]&lt;&gt;"",tblFleet[[#This Row],[Calendar_h]]&gt;0),tblFleet[[#This Row],[Available_h]]/tblFleet[[#This Row],[Calendar_h]],"")</f>
        <v/>
      </c>
      <c r="J2095" s="60">
        <f>IF(AND(tblFleet[[#This Row],[Units]]&lt;&gt;"",tblFleet[[#This Row],[Available_h]]&gt;0),tblFleet[[#This Row],[Operating_h]]/tblFleet[[#This Row],[Available_h]],"")</f>
        <v/>
      </c>
    </row>
    <row r="2096">
      <c r="A2096" s="54" t="n"/>
      <c r="B2096" s="61" t="n"/>
      <c r="C2096" s="62" t="n"/>
      <c r="D2096" s="57" t="n"/>
      <c r="E2096" s="57" t="n"/>
      <c r="F2096" s="58" t="n"/>
      <c r="G2096" s="66">
        <f>IF(tblFleet[[#This Row],[Units]]="","",tblFleet[[#This Row],[Units]]*24)</f>
        <v/>
      </c>
      <c r="H2096" s="66">
        <f>IF(tblFleet[[#This Row],[Units]]="","",tblFleet[[#This Row],[Calendar_h]]-tblFleet[[#This Row],[Down_h]])</f>
        <v/>
      </c>
      <c r="I2096" s="60">
        <f>IF(AND(tblFleet[[#This Row],[Units]]&lt;&gt;"",tblFleet[[#This Row],[Calendar_h]]&gt;0),tblFleet[[#This Row],[Available_h]]/tblFleet[[#This Row],[Calendar_h]],"")</f>
        <v/>
      </c>
      <c r="J2096" s="60">
        <f>IF(AND(tblFleet[[#This Row],[Units]]&lt;&gt;"",tblFleet[[#This Row],[Available_h]]&gt;0),tblFleet[[#This Row],[Operating_h]]/tblFleet[[#This Row],[Available_h]],"")</f>
        <v/>
      </c>
    </row>
    <row r="2097">
      <c r="A2097" s="54" t="n"/>
      <c r="B2097" s="61" t="n"/>
      <c r="C2097" s="62" t="n"/>
      <c r="D2097" s="57" t="n"/>
      <c r="E2097" s="57" t="n"/>
      <c r="F2097" s="58" t="n"/>
      <c r="G2097" s="66">
        <f>IF(tblFleet[[#This Row],[Units]]="","",tblFleet[[#This Row],[Units]]*24)</f>
        <v/>
      </c>
      <c r="H2097" s="66">
        <f>IF(tblFleet[[#This Row],[Units]]="","",tblFleet[[#This Row],[Calendar_h]]-tblFleet[[#This Row],[Down_h]])</f>
        <v/>
      </c>
      <c r="I2097" s="60">
        <f>IF(AND(tblFleet[[#This Row],[Units]]&lt;&gt;"",tblFleet[[#This Row],[Calendar_h]]&gt;0),tblFleet[[#This Row],[Available_h]]/tblFleet[[#This Row],[Calendar_h]],"")</f>
        <v/>
      </c>
      <c r="J2097" s="60">
        <f>IF(AND(tblFleet[[#This Row],[Units]]&lt;&gt;"",tblFleet[[#This Row],[Available_h]]&gt;0),tblFleet[[#This Row],[Operating_h]]/tblFleet[[#This Row],[Available_h]],"")</f>
        <v/>
      </c>
    </row>
    <row r="2098">
      <c r="A2098" s="54" t="n"/>
      <c r="B2098" s="61" t="n"/>
      <c r="C2098" s="62" t="n"/>
      <c r="D2098" s="57" t="n"/>
      <c r="E2098" s="57" t="n"/>
      <c r="F2098" s="58" t="n"/>
      <c r="G2098" s="66">
        <f>IF(tblFleet[[#This Row],[Units]]="","",tblFleet[[#This Row],[Units]]*24)</f>
        <v/>
      </c>
      <c r="H2098" s="66">
        <f>IF(tblFleet[[#This Row],[Units]]="","",tblFleet[[#This Row],[Calendar_h]]-tblFleet[[#This Row],[Down_h]])</f>
        <v/>
      </c>
      <c r="I2098" s="60">
        <f>IF(AND(tblFleet[[#This Row],[Units]]&lt;&gt;"",tblFleet[[#This Row],[Calendar_h]]&gt;0),tblFleet[[#This Row],[Available_h]]/tblFleet[[#This Row],[Calendar_h]],"")</f>
        <v/>
      </c>
      <c r="J2098" s="60">
        <f>IF(AND(tblFleet[[#This Row],[Units]]&lt;&gt;"",tblFleet[[#This Row],[Available_h]]&gt;0),tblFleet[[#This Row],[Operating_h]]/tblFleet[[#This Row],[Available_h]],"")</f>
        <v/>
      </c>
    </row>
    <row r="2099">
      <c r="A2099" s="54" t="n"/>
      <c r="B2099" s="61" t="n"/>
      <c r="C2099" s="62" t="n"/>
      <c r="D2099" s="57" t="n"/>
      <c r="E2099" s="57" t="n"/>
      <c r="F2099" s="58" t="n"/>
      <c r="G2099" s="66">
        <f>IF(tblFleet[[#This Row],[Units]]="","",tblFleet[[#This Row],[Units]]*24)</f>
        <v/>
      </c>
      <c r="H2099" s="66">
        <f>IF(tblFleet[[#This Row],[Units]]="","",tblFleet[[#This Row],[Calendar_h]]-tblFleet[[#This Row],[Down_h]])</f>
        <v/>
      </c>
      <c r="I2099" s="60">
        <f>IF(AND(tblFleet[[#This Row],[Units]]&lt;&gt;"",tblFleet[[#This Row],[Calendar_h]]&gt;0),tblFleet[[#This Row],[Available_h]]/tblFleet[[#This Row],[Calendar_h]],"")</f>
        <v/>
      </c>
      <c r="J2099" s="60">
        <f>IF(AND(tblFleet[[#This Row],[Units]]&lt;&gt;"",tblFleet[[#This Row],[Available_h]]&gt;0),tblFleet[[#This Row],[Operating_h]]/tblFleet[[#This Row],[Available_h]],"")</f>
        <v/>
      </c>
    </row>
    <row r="2100">
      <c r="A2100" s="54" t="n"/>
      <c r="B2100" s="61" t="n"/>
      <c r="C2100" s="62" t="n"/>
      <c r="D2100" s="57" t="n"/>
      <c r="E2100" s="57" t="n"/>
      <c r="F2100" s="58" t="n"/>
      <c r="G2100" s="66">
        <f>IF(tblFleet[[#This Row],[Units]]="","",tblFleet[[#This Row],[Units]]*24)</f>
        <v/>
      </c>
      <c r="H2100" s="66">
        <f>IF(tblFleet[[#This Row],[Units]]="","",tblFleet[[#This Row],[Calendar_h]]-tblFleet[[#This Row],[Down_h]])</f>
        <v/>
      </c>
      <c r="I2100" s="60">
        <f>IF(AND(tblFleet[[#This Row],[Units]]&lt;&gt;"",tblFleet[[#This Row],[Calendar_h]]&gt;0),tblFleet[[#This Row],[Available_h]]/tblFleet[[#This Row],[Calendar_h]],"")</f>
        <v/>
      </c>
      <c r="J2100" s="60">
        <f>IF(AND(tblFleet[[#This Row],[Units]]&lt;&gt;"",tblFleet[[#This Row],[Available_h]]&gt;0),tblFleet[[#This Row],[Operating_h]]/tblFleet[[#This Row],[Available_h]],"")</f>
        <v/>
      </c>
    </row>
    <row r="2101">
      <c r="A2101" s="54" t="n"/>
      <c r="B2101" s="61" t="n"/>
      <c r="C2101" s="62" t="n"/>
      <c r="D2101" s="57" t="n"/>
      <c r="E2101" s="57" t="n"/>
      <c r="F2101" s="58" t="n"/>
      <c r="G2101" s="66">
        <f>IF(tblFleet[[#This Row],[Units]]="","",tblFleet[[#This Row],[Units]]*24)</f>
        <v/>
      </c>
      <c r="H2101" s="66">
        <f>IF(tblFleet[[#This Row],[Units]]="","",tblFleet[[#This Row],[Calendar_h]]-tblFleet[[#This Row],[Down_h]])</f>
        <v/>
      </c>
      <c r="I2101" s="60">
        <f>IF(AND(tblFleet[[#This Row],[Units]]&lt;&gt;"",tblFleet[[#This Row],[Calendar_h]]&gt;0),tblFleet[[#This Row],[Available_h]]/tblFleet[[#This Row],[Calendar_h]],"")</f>
        <v/>
      </c>
      <c r="J2101" s="60">
        <f>IF(AND(tblFleet[[#This Row],[Units]]&lt;&gt;"",tblFleet[[#This Row],[Available_h]]&gt;0),tblFleet[[#This Row],[Operating_h]]/tblFleet[[#This Row],[Available_h]],"")</f>
        <v/>
      </c>
    </row>
    <row r="2102">
      <c r="A2102" s="54" t="n"/>
      <c r="B2102" s="61" t="n"/>
      <c r="C2102" s="62" t="n"/>
      <c r="D2102" s="57" t="n"/>
      <c r="E2102" s="57" t="n"/>
      <c r="F2102" s="58" t="n"/>
      <c r="G2102" s="66">
        <f>IF(tblFleet[[#This Row],[Units]]="","",tblFleet[[#This Row],[Units]]*24)</f>
        <v/>
      </c>
      <c r="H2102" s="66">
        <f>IF(tblFleet[[#This Row],[Units]]="","",tblFleet[[#This Row],[Calendar_h]]-tblFleet[[#This Row],[Down_h]])</f>
        <v/>
      </c>
      <c r="I2102" s="60">
        <f>IF(AND(tblFleet[[#This Row],[Units]]&lt;&gt;"",tblFleet[[#This Row],[Calendar_h]]&gt;0),tblFleet[[#This Row],[Available_h]]/tblFleet[[#This Row],[Calendar_h]],"")</f>
        <v/>
      </c>
      <c r="J2102" s="60">
        <f>IF(AND(tblFleet[[#This Row],[Units]]&lt;&gt;"",tblFleet[[#This Row],[Available_h]]&gt;0),tblFleet[[#This Row],[Operating_h]]/tblFleet[[#This Row],[Available_h]],"")</f>
        <v/>
      </c>
    </row>
    <row r="2103">
      <c r="A2103" s="54" t="n"/>
      <c r="B2103" s="61" t="n"/>
      <c r="C2103" s="62" t="n"/>
      <c r="D2103" s="57" t="n"/>
      <c r="E2103" s="57" t="n"/>
      <c r="F2103" s="58" t="n"/>
      <c r="G2103" s="66">
        <f>IF(tblFleet[[#This Row],[Units]]="","",tblFleet[[#This Row],[Units]]*24)</f>
        <v/>
      </c>
      <c r="H2103" s="66">
        <f>IF(tblFleet[[#This Row],[Units]]="","",tblFleet[[#This Row],[Calendar_h]]-tblFleet[[#This Row],[Down_h]])</f>
        <v/>
      </c>
      <c r="I2103" s="60">
        <f>IF(AND(tblFleet[[#This Row],[Units]]&lt;&gt;"",tblFleet[[#This Row],[Calendar_h]]&gt;0),tblFleet[[#This Row],[Available_h]]/tblFleet[[#This Row],[Calendar_h]],"")</f>
        <v/>
      </c>
      <c r="J2103" s="60">
        <f>IF(AND(tblFleet[[#This Row],[Units]]&lt;&gt;"",tblFleet[[#This Row],[Available_h]]&gt;0),tblFleet[[#This Row],[Operating_h]]/tblFleet[[#This Row],[Available_h]],"")</f>
        <v/>
      </c>
    </row>
    <row r="2104">
      <c r="A2104" s="54" t="n"/>
      <c r="B2104" s="61" t="n"/>
      <c r="C2104" s="62" t="n"/>
      <c r="D2104" s="57" t="n"/>
      <c r="E2104" s="57" t="n"/>
      <c r="F2104" s="58" t="n"/>
      <c r="G2104" s="66">
        <f>IF(tblFleet[[#This Row],[Units]]="","",tblFleet[[#This Row],[Units]]*24)</f>
        <v/>
      </c>
      <c r="H2104" s="66">
        <f>IF(tblFleet[[#This Row],[Units]]="","",tblFleet[[#This Row],[Calendar_h]]-tblFleet[[#This Row],[Down_h]])</f>
        <v/>
      </c>
      <c r="I2104" s="60">
        <f>IF(AND(tblFleet[[#This Row],[Units]]&lt;&gt;"",tblFleet[[#This Row],[Calendar_h]]&gt;0),tblFleet[[#This Row],[Available_h]]/tblFleet[[#This Row],[Calendar_h]],"")</f>
        <v/>
      </c>
      <c r="J2104" s="60">
        <f>IF(AND(tblFleet[[#This Row],[Units]]&lt;&gt;"",tblFleet[[#This Row],[Available_h]]&gt;0),tblFleet[[#This Row],[Operating_h]]/tblFleet[[#This Row],[Available_h]],"")</f>
        <v/>
      </c>
    </row>
    <row r="2105">
      <c r="A2105" s="54" t="n"/>
      <c r="B2105" s="61" t="n"/>
      <c r="C2105" s="62" t="n"/>
      <c r="D2105" s="57" t="n"/>
      <c r="E2105" s="57" t="n"/>
      <c r="F2105" s="58" t="n"/>
      <c r="G2105" s="66">
        <f>IF(tblFleet[[#This Row],[Units]]="","",tblFleet[[#This Row],[Units]]*24)</f>
        <v/>
      </c>
      <c r="H2105" s="66">
        <f>IF(tblFleet[[#This Row],[Units]]="","",tblFleet[[#This Row],[Calendar_h]]-tblFleet[[#This Row],[Down_h]])</f>
        <v/>
      </c>
      <c r="I2105" s="60">
        <f>IF(AND(tblFleet[[#This Row],[Units]]&lt;&gt;"",tblFleet[[#This Row],[Calendar_h]]&gt;0),tblFleet[[#This Row],[Available_h]]/tblFleet[[#This Row],[Calendar_h]],"")</f>
        <v/>
      </c>
      <c r="J2105" s="60">
        <f>IF(AND(tblFleet[[#This Row],[Units]]&lt;&gt;"",tblFleet[[#This Row],[Available_h]]&gt;0),tblFleet[[#This Row],[Operating_h]]/tblFleet[[#This Row],[Available_h]],"")</f>
        <v/>
      </c>
    </row>
    <row r="2106">
      <c r="A2106" s="54" t="n"/>
      <c r="B2106" s="61" t="n"/>
      <c r="C2106" s="62" t="n"/>
      <c r="D2106" s="57" t="n"/>
      <c r="E2106" s="57" t="n"/>
      <c r="F2106" s="58" t="n"/>
      <c r="G2106" s="66">
        <f>IF(tblFleet[[#This Row],[Units]]="","",tblFleet[[#This Row],[Units]]*24)</f>
        <v/>
      </c>
      <c r="H2106" s="66">
        <f>IF(tblFleet[[#This Row],[Units]]="","",tblFleet[[#This Row],[Calendar_h]]-tblFleet[[#This Row],[Down_h]])</f>
        <v/>
      </c>
      <c r="I2106" s="60">
        <f>IF(AND(tblFleet[[#This Row],[Units]]&lt;&gt;"",tblFleet[[#This Row],[Calendar_h]]&gt;0),tblFleet[[#This Row],[Available_h]]/tblFleet[[#This Row],[Calendar_h]],"")</f>
        <v/>
      </c>
      <c r="J2106" s="60">
        <f>IF(AND(tblFleet[[#This Row],[Units]]&lt;&gt;"",tblFleet[[#This Row],[Available_h]]&gt;0),tblFleet[[#This Row],[Operating_h]]/tblFleet[[#This Row],[Available_h]],"")</f>
        <v/>
      </c>
    </row>
    <row r="2107">
      <c r="A2107" s="54" t="n"/>
      <c r="B2107" s="61" t="n"/>
      <c r="C2107" s="62" t="n"/>
      <c r="D2107" s="57" t="n"/>
      <c r="E2107" s="57" t="n"/>
      <c r="F2107" s="58" t="n"/>
      <c r="G2107" s="66">
        <f>IF(tblFleet[[#This Row],[Units]]="","",tblFleet[[#This Row],[Units]]*24)</f>
        <v/>
      </c>
      <c r="H2107" s="66">
        <f>IF(tblFleet[[#This Row],[Units]]="","",tblFleet[[#This Row],[Calendar_h]]-tblFleet[[#This Row],[Down_h]])</f>
        <v/>
      </c>
      <c r="I2107" s="60">
        <f>IF(AND(tblFleet[[#This Row],[Units]]&lt;&gt;"",tblFleet[[#This Row],[Calendar_h]]&gt;0),tblFleet[[#This Row],[Available_h]]/tblFleet[[#This Row],[Calendar_h]],"")</f>
        <v/>
      </c>
      <c r="J2107" s="60">
        <f>IF(AND(tblFleet[[#This Row],[Units]]&lt;&gt;"",tblFleet[[#This Row],[Available_h]]&gt;0),tblFleet[[#This Row],[Operating_h]]/tblFleet[[#This Row],[Available_h]],"")</f>
        <v/>
      </c>
    </row>
    <row r="2108">
      <c r="A2108" s="54" t="n"/>
      <c r="B2108" s="61" t="n"/>
      <c r="C2108" s="62" t="n"/>
      <c r="D2108" s="57" t="n"/>
      <c r="E2108" s="57" t="n"/>
      <c r="F2108" s="58" t="n"/>
      <c r="G2108" s="66">
        <f>IF(tblFleet[[#This Row],[Units]]="","",tblFleet[[#This Row],[Units]]*24)</f>
        <v/>
      </c>
      <c r="H2108" s="66">
        <f>IF(tblFleet[[#This Row],[Units]]="","",tblFleet[[#This Row],[Calendar_h]]-tblFleet[[#This Row],[Down_h]])</f>
        <v/>
      </c>
      <c r="I2108" s="60">
        <f>IF(AND(tblFleet[[#This Row],[Units]]&lt;&gt;"",tblFleet[[#This Row],[Calendar_h]]&gt;0),tblFleet[[#This Row],[Available_h]]/tblFleet[[#This Row],[Calendar_h]],"")</f>
        <v/>
      </c>
      <c r="J2108" s="60">
        <f>IF(AND(tblFleet[[#This Row],[Units]]&lt;&gt;"",tblFleet[[#This Row],[Available_h]]&gt;0),tblFleet[[#This Row],[Operating_h]]/tblFleet[[#This Row],[Available_h]],"")</f>
        <v/>
      </c>
    </row>
    <row r="2109">
      <c r="A2109" s="54" t="n"/>
      <c r="B2109" s="61" t="n"/>
      <c r="C2109" s="62" t="n"/>
      <c r="D2109" s="57" t="n"/>
      <c r="E2109" s="57" t="n"/>
      <c r="F2109" s="58" t="n"/>
      <c r="G2109" s="66">
        <f>IF(tblFleet[[#This Row],[Units]]="","",tblFleet[[#This Row],[Units]]*24)</f>
        <v/>
      </c>
      <c r="H2109" s="66">
        <f>IF(tblFleet[[#This Row],[Units]]="","",tblFleet[[#This Row],[Calendar_h]]-tblFleet[[#This Row],[Down_h]])</f>
        <v/>
      </c>
      <c r="I2109" s="60">
        <f>IF(AND(tblFleet[[#This Row],[Units]]&lt;&gt;"",tblFleet[[#This Row],[Calendar_h]]&gt;0),tblFleet[[#This Row],[Available_h]]/tblFleet[[#This Row],[Calendar_h]],"")</f>
        <v/>
      </c>
      <c r="J2109" s="60">
        <f>IF(AND(tblFleet[[#This Row],[Units]]&lt;&gt;"",tblFleet[[#This Row],[Available_h]]&gt;0),tblFleet[[#This Row],[Operating_h]]/tblFleet[[#This Row],[Available_h]],"")</f>
        <v/>
      </c>
    </row>
    <row r="2110">
      <c r="A2110" s="54" t="n"/>
      <c r="B2110" s="61" t="n"/>
      <c r="C2110" s="62" t="n"/>
      <c r="D2110" s="57" t="n"/>
      <c r="E2110" s="57" t="n"/>
      <c r="F2110" s="58" t="n"/>
      <c r="G2110" s="66">
        <f>IF(tblFleet[[#This Row],[Units]]="","",tblFleet[[#This Row],[Units]]*24)</f>
        <v/>
      </c>
      <c r="H2110" s="66">
        <f>IF(tblFleet[[#This Row],[Units]]="","",tblFleet[[#This Row],[Calendar_h]]-tblFleet[[#This Row],[Down_h]])</f>
        <v/>
      </c>
      <c r="I2110" s="60">
        <f>IF(AND(tblFleet[[#This Row],[Units]]&lt;&gt;"",tblFleet[[#This Row],[Calendar_h]]&gt;0),tblFleet[[#This Row],[Available_h]]/tblFleet[[#This Row],[Calendar_h]],"")</f>
        <v/>
      </c>
      <c r="J2110" s="60">
        <f>IF(AND(tblFleet[[#This Row],[Units]]&lt;&gt;"",tblFleet[[#This Row],[Available_h]]&gt;0),tblFleet[[#This Row],[Operating_h]]/tblFleet[[#This Row],[Available_h]],"")</f>
        <v/>
      </c>
    </row>
    <row r="2111">
      <c r="A2111" s="54" t="n"/>
      <c r="B2111" s="61" t="n"/>
      <c r="C2111" s="62" t="n"/>
      <c r="D2111" s="57" t="n"/>
      <c r="E2111" s="57" t="n"/>
      <c r="F2111" s="58" t="n"/>
      <c r="G2111" s="66">
        <f>IF(tblFleet[[#This Row],[Units]]="","",tblFleet[[#This Row],[Units]]*24)</f>
        <v/>
      </c>
      <c r="H2111" s="66">
        <f>IF(tblFleet[[#This Row],[Units]]="","",tblFleet[[#This Row],[Calendar_h]]-tblFleet[[#This Row],[Down_h]])</f>
        <v/>
      </c>
      <c r="I2111" s="60">
        <f>IF(AND(tblFleet[[#This Row],[Units]]&lt;&gt;"",tblFleet[[#This Row],[Calendar_h]]&gt;0),tblFleet[[#This Row],[Available_h]]/tblFleet[[#This Row],[Calendar_h]],"")</f>
        <v/>
      </c>
      <c r="J2111" s="60">
        <f>IF(AND(tblFleet[[#This Row],[Units]]&lt;&gt;"",tblFleet[[#This Row],[Available_h]]&gt;0),tblFleet[[#This Row],[Operating_h]]/tblFleet[[#This Row],[Available_h]],"")</f>
        <v/>
      </c>
    </row>
    <row r="2112">
      <c r="A2112" s="54" t="n"/>
      <c r="B2112" s="61" t="n"/>
      <c r="C2112" s="62" t="n"/>
      <c r="D2112" s="57" t="n"/>
      <c r="E2112" s="57" t="n"/>
      <c r="F2112" s="58" t="n"/>
      <c r="G2112" s="66">
        <f>IF(tblFleet[[#This Row],[Units]]="","",tblFleet[[#This Row],[Units]]*24)</f>
        <v/>
      </c>
      <c r="H2112" s="66">
        <f>IF(tblFleet[[#This Row],[Units]]="","",tblFleet[[#This Row],[Calendar_h]]-tblFleet[[#This Row],[Down_h]])</f>
        <v/>
      </c>
      <c r="I2112" s="60">
        <f>IF(AND(tblFleet[[#This Row],[Units]]&lt;&gt;"",tblFleet[[#This Row],[Calendar_h]]&gt;0),tblFleet[[#This Row],[Available_h]]/tblFleet[[#This Row],[Calendar_h]],"")</f>
        <v/>
      </c>
      <c r="J2112" s="60">
        <f>IF(AND(tblFleet[[#This Row],[Units]]&lt;&gt;"",tblFleet[[#This Row],[Available_h]]&gt;0),tblFleet[[#This Row],[Operating_h]]/tblFleet[[#This Row],[Available_h]],"")</f>
        <v/>
      </c>
    </row>
    <row r="2113">
      <c r="A2113" s="54" t="n"/>
      <c r="B2113" s="61" t="n"/>
      <c r="C2113" s="62" t="n"/>
      <c r="D2113" s="57" t="n"/>
      <c r="E2113" s="57" t="n"/>
      <c r="F2113" s="58" t="n"/>
      <c r="G2113" s="66">
        <f>IF(tblFleet[[#This Row],[Units]]="","",tblFleet[[#This Row],[Units]]*24)</f>
        <v/>
      </c>
      <c r="H2113" s="66">
        <f>IF(tblFleet[[#This Row],[Units]]="","",tblFleet[[#This Row],[Calendar_h]]-tblFleet[[#This Row],[Down_h]])</f>
        <v/>
      </c>
      <c r="I2113" s="60">
        <f>IF(AND(tblFleet[[#This Row],[Units]]&lt;&gt;"",tblFleet[[#This Row],[Calendar_h]]&gt;0),tblFleet[[#This Row],[Available_h]]/tblFleet[[#This Row],[Calendar_h]],"")</f>
        <v/>
      </c>
      <c r="J2113" s="60">
        <f>IF(AND(tblFleet[[#This Row],[Units]]&lt;&gt;"",tblFleet[[#This Row],[Available_h]]&gt;0),tblFleet[[#This Row],[Operating_h]]/tblFleet[[#This Row],[Available_h]],"")</f>
        <v/>
      </c>
    </row>
    <row r="2114">
      <c r="A2114" s="54" t="n"/>
      <c r="B2114" s="61" t="n"/>
      <c r="C2114" s="62" t="n"/>
      <c r="D2114" s="57" t="n"/>
      <c r="E2114" s="57" t="n"/>
      <c r="F2114" s="58" t="n"/>
      <c r="G2114" s="66">
        <f>IF(tblFleet[[#This Row],[Units]]="","",tblFleet[[#This Row],[Units]]*24)</f>
        <v/>
      </c>
      <c r="H2114" s="66">
        <f>IF(tblFleet[[#This Row],[Units]]="","",tblFleet[[#This Row],[Calendar_h]]-tblFleet[[#This Row],[Down_h]])</f>
        <v/>
      </c>
      <c r="I2114" s="60">
        <f>IF(AND(tblFleet[[#This Row],[Units]]&lt;&gt;"",tblFleet[[#This Row],[Calendar_h]]&gt;0),tblFleet[[#This Row],[Available_h]]/tblFleet[[#This Row],[Calendar_h]],"")</f>
        <v/>
      </c>
      <c r="J2114" s="60">
        <f>IF(AND(tblFleet[[#This Row],[Units]]&lt;&gt;"",tblFleet[[#This Row],[Available_h]]&gt;0),tblFleet[[#This Row],[Operating_h]]/tblFleet[[#This Row],[Available_h]],"")</f>
        <v/>
      </c>
    </row>
    <row r="2115">
      <c r="A2115" s="54" t="n"/>
      <c r="B2115" s="61" t="n"/>
      <c r="C2115" s="62" t="n"/>
      <c r="D2115" s="57" t="n"/>
      <c r="E2115" s="57" t="n"/>
      <c r="F2115" s="58" t="n"/>
      <c r="G2115" s="66">
        <f>IF(tblFleet[[#This Row],[Units]]="","",tblFleet[[#This Row],[Units]]*24)</f>
        <v/>
      </c>
      <c r="H2115" s="66">
        <f>IF(tblFleet[[#This Row],[Units]]="","",tblFleet[[#This Row],[Calendar_h]]-tblFleet[[#This Row],[Down_h]])</f>
        <v/>
      </c>
      <c r="I2115" s="60">
        <f>IF(AND(tblFleet[[#This Row],[Units]]&lt;&gt;"",tblFleet[[#This Row],[Calendar_h]]&gt;0),tblFleet[[#This Row],[Available_h]]/tblFleet[[#This Row],[Calendar_h]],"")</f>
        <v/>
      </c>
      <c r="J2115" s="60">
        <f>IF(AND(tblFleet[[#This Row],[Units]]&lt;&gt;"",tblFleet[[#This Row],[Available_h]]&gt;0),tblFleet[[#This Row],[Operating_h]]/tblFleet[[#This Row],[Available_h]],"")</f>
        <v/>
      </c>
    </row>
    <row r="2116">
      <c r="A2116" s="54" t="n"/>
      <c r="B2116" s="61" t="n"/>
      <c r="C2116" s="62" t="n"/>
      <c r="D2116" s="57" t="n"/>
      <c r="E2116" s="57" t="n"/>
      <c r="F2116" s="58" t="n"/>
      <c r="G2116" s="66">
        <f>IF(tblFleet[[#This Row],[Units]]="","",tblFleet[[#This Row],[Units]]*24)</f>
        <v/>
      </c>
      <c r="H2116" s="66">
        <f>IF(tblFleet[[#This Row],[Units]]="","",tblFleet[[#This Row],[Calendar_h]]-tblFleet[[#This Row],[Down_h]])</f>
        <v/>
      </c>
      <c r="I2116" s="60">
        <f>IF(AND(tblFleet[[#This Row],[Units]]&lt;&gt;"",tblFleet[[#This Row],[Calendar_h]]&gt;0),tblFleet[[#This Row],[Available_h]]/tblFleet[[#This Row],[Calendar_h]],"")</f>
        <v/>
      </c>
      <c r="J2116" s="60">
        <f>IF(AND(tblFleet[[#This Row],[Units]]&lt;&gt;"",tblFleet[[#This Row],[Available_h]]&gt;0),tblFleet[[#This Row],[Operating_h]]/tblFleet[[#This Row],[Available_h]],"")</f>
        <v/>
      </c>
    </row>
    <row r="2117">
      <c r="A2117" s="54" t="n"/>
      <c r="B2117" s="61" t="n"/>
      <c r="C2117" s="62" t="n"/>
      <c r="D2117" s="57" t="n"/>
      <c r="E2117" s="57" t="n"/>
      <c r="F2117" s="58" t="n"/>
      <c r="G2117" s="66">
        <f>IF(tblFleet[[#This Row],[Units]]="","",tblFleet[[#This Row],[Units]]*24)</f>
        <v/>
      </c>
      <c r="H2117" s="66">
        <f>IF(tblFleet[[#This Row],[Units]]="","",tblFleet[[#This Row],[Calendar_h]]-tblFleet[[#This Row],[Down_h]])</f>
        <v/>
      </c>
      <c r="I2117" s="60">
        <f>IF(AND(tblFleet[[#This Row],[Units]]&lt;&gt;"",tblFleet[[#This Row],[Calendar_h]]&gt;0),tblFleet[[#This Row],[Available_h]]/tblFleet[[#This Row],[Calendar_h]],"")</f>
        <v/>
      </c>
      <c r="J2117" s="60">
        <f>IF(AND(tblFleet[[#This Row],[Units]]&lt;&gt;"",tblFleet[[#This Row],[Available_h]]&gt;0),tblFleet[[#This Row],[Operating_h]]/tblFleet[[#This Row],[Available_h]],"")</f>
        <v/>
      </c>
    </row>
    <row r="2118">
      <c r="A2118" s="54" t="n"/>
      <c r="B2118" s="61" t="n"/>
      <c r="C2118" s="62" t="n"/>
      <c r="D2118" s="57" t="n"/>
      <c r="E2118" s="57" t="n"/>
      <c r="F2118" s="58" t="n"/>
      <c r="G2118" s="66">
        <f>IF(tblFleet[[#This Row],[Units]]="","",tblFleet[[#This Row],[Units]]*24)</f>
        <v/>
      </c>
      <c r="H2118" s="66">
        <f>IF(tblFleet[[#This Row],[Units]]="","",tblFleet[[#This Row],[Calendar_h]]-tblFleet[[#This Row],[Down_h]])</f>
        <v/>
      </c>
      <c r="I2118" s="60">
        <f>IF(AND(tblFleet[[#This Row],[Units]]&lt;&gt;"",tblFleet[[#This Row],[Calendar_h]]&gt;0),tblFleet[[#This Row],[Available_h]]/tblFleet[[#This Row],[Calendar_h]],"")</f>
        <v/>
      </c>
      <c r="J2118" s="60">
        <f>IF(AND(tblFleet[[#This Row],[Units]]&lt;&gt;"",tblFleet[[#This Row],[Available_h]]&gt;0),tblFleet[[#This Row],[Operating_h]]/tblFleet[[#This Row],[Available_h]],"")</f>
        <v/>
      </c>
    </row>
    <row r="2119">
      <c r="A2119" s="54" t="n"/>
      <c r="B2119" s="61" t="n"/>
      <c r="C2119" s="62" t="n"/>
      <c r="D2119" s="57" t="n"/>
      <c r="E2119" s="57" t="n"/>
      <c r="F2119" s="58" t="n"/>
      <c r="G2119" s="66">
        <f>IF(tblFleet[[#This Row],[Units]]="","",tblFleet[[#This Row],[Units]]*24)</f>
        <v/>
      </c>
      <c r="H2119" s="66">
        <f>IF(tblFleet[[#This Row],[Units]]="","",tblFleet[[#This Row],[Calendar_h]]-tblFleet[[#This Row],[Down_h]])</f>
        <v/>
      </c>
      <c r="I2119" s="60">
        <f>IF(AND(tblFleet[[#This Row],[Units]]&lt;&gt;"",tblFleet[[#This Row],[Calendar_h]]&gt;0),tblFleet[[#This Row],[Available_h]]/tblFleet[[#This Row],[Calendar_h]],"")</f>
        <v/>
      </c>
      <c r="J2119" s="60">
        <f>IF(AND(tblFleet[[#This Row],[Units]]&lt;&gt;"",tblFleet[[#This Row],[Available_h]]&gt;0),tblFleet[[#This Row],[Operating_h]]/tblFleet[[#This Row],[Available_h]],"")</f>
        <v/>
      </c>
    </row>
    <row r="2120">
      <c r="A2120" s="54" t="n"/>
      <c r="B2120" s="61" t="n"/>
      <c r="C2120" s="62" t="n"/>
      <c r="D2120" s="57" t="n"/>
      <c r="E2120" s="57" t="n"/>
      <c r="F2120" s="58" t="n"/>
      <c r="G2120" s="66">
        <f>IF(tblFleet[[#This Row],[Units]]="","",tblFleet[[#This Row],[Units]]*24)</f>
        <v/>
      </c>
      <c r="H2120" s="66">
        <f>IF(tblFleet[[#This Row],[Units]]="","",tblFleet[[#This Row],[Calendar_h]]-tblFleet[[#This Row],[Down_h]])</f>
        <v/>
      </c>
      <c r="I2120" s="60">
        <f>IF(AND(tblFleet[[#This Row],[Units]]&lt;&gt;"",tblFleet[[#This Row],[Calendar_h]]&gt;0),tblFleet[[#This Row],[Available_h]]/tblFleet[[#This Row],[Calendar_h]],"")</f>
        <v/>
      </c>
      <c r="J2120" s="60">
        <f>IF(AND(tblFleet[[#This Row],[Units]]&lt;&gt;"",tblFleet[[#This Row],[Available_h]]&gt;0),tblFleet[[#This Row],[Operating_h]]/tblFleet[[#This Row],[Available_h]],"")</f>
        <v/>
      </c>
    </row>
    <row r="2121">
      <c r="A2121" s="54" t="n"/>
      <c r="B2121" s="61" t="n"/>
      <c r="C2121" s="62" t="n"/>
      <c r="D2121" s="57" t="n"/>
      <c r="E2121" s="57" t="n"/>
      <c r="F2121" s="58" t="n"/>
      <c r="G2121" s="66">
        <f>IF(tblFleet[[#This Row],[Units]]="","",tblFleet[[#This Row],[Units]]*24)</f>
        <v/>
      </c>
      <c r="H2121" s="66">
        <f>IF(tblFleet[[#This Row],[Units]]="","",tblFleet[[#This Row],[Calendar_h]]-tblFleet[[#This Row],[Down_h]])</f>
        <v/>
      </c>
      <c r="I2121" s="60">
        <f>IF(AND(tblFleet[[#This Row],[Units]]&lt;&gt;"",tblFleet[[#This Row],[Calendar_h]]&gt;0),tblFleet[[#This Row],[Available_h]]/tblFleet[[#This Row],[Calendar_h]],"")</f>
        <v/>
      </c>
      <c r="J2121" s="60">
        <f>IF(AND(tblFleet[[#This Row],[Units]]&lt;&gt;"",tblFleet[[#This Row],[Available_h]]&gt;0),tblFleet[[#This Row],[Operating_h]]/tblFleet[[#This Row],[Available_h]],"")</f>
        <v/>
      </c>
    </row>
    <row r="2122">
      <c r="A2122" s="54" t="n"/>
      <c r="B2122" s="61" t="n"/>
      <c r="C2122" s="62" t="n"/>
      <c r="D2122" s="57" t="n"/>
      <c r="E2122" s="57" t="n"/>
      <c r="F2122" s="58" t="n"/>
      <c r="G2122" s="66">
        <f>IF(tblFleet[[#This Row],[Units]]="","",tblFleet[[#This Row],[Units]]*24)</f>
        <v/>
      </c>
      <c r="H2122" s="66">
        <f>IF(tblFleet[[#This Row],[Units]]="","",tblFleet[[#This Row],[Calendar_h]]-tblFleet[[#This Row],[Down_h]])</f>
        <v/>
      </c>
      <c r="I2122" s="60">
        <f>IF(AND(tblFleet[[#This Row],[Units]]&lt;&gt;"",tblFleet[[#This Row],[Calendar_h]]&gt;0),tblFleet[[#This Row],[Available_h]]/tblFleet[[#This Row],[Calendar_h]],"")</f>
        <v/>
      </c>
      <c r="J2122" s="60">
        <f>IF(AND(tblFleet[[#This Row],[Units]]&lt;&gt;"",tblFleet[[#This Row],[Available_h]]&gt;0),tblFleet[[#This Row],[Operating_h]]/tblFleet[[#This Row],[Available_h]],"")</f>
        <v/>
      </c>
    </row>
    <row r="2123">
      <c r="A2123" s="54" t="n"/>
      <c r="B2123" s="61" t="n"/>
      <c r="C2123" s="62" t="n"/>
      <c r="D2123" s="57" t="n"/>
      <c r="E2123" s="57" t="n"/>
      <c r="F2123" s="58" t="n"/>
      <c r="G2123" s="66">
        <f>IF(tblFleet[[#This Row],[Units]]="","",tblFleet[[#This Row],[Units]]*24)</f>
        <v/>
      </c>
      <c r="H2123" s="66">
        <f>IF(tblFleet[[#This Row],[Units]]="","",tblFleet[[#This Row],[Calendar_h]]-tblFleet[[#This Row],[Down_h]])</f>
        <v/>
      </c>
      <c r="I2123" s="60">
        <f>IF(AND(tblFleet[[#This Row],[Units]]&lt;&gt;"",tblFleet[[#This Row],[Calendar_h]]&gt;0),tblFleet[[#This Row],[Available_h]]/tblFleet[[#This Row],[Calendar_h]],"")</f>
        <v/>
      </c>
      <c r="J2123" s="60">
        <f>IF(AND(tblFleet[[#This Row],[Units]]&lt;&gt;"",tblFleet[[#This Row],[Available_h]]&gt;0),tblFleet[[#This Row],[Operating_h]]/tblFleet[[#This Row],[Available_h]],"")</f>
        <v/>
      </c>
    </row>
    <row r="2124">
      <c r="A2124" s="54" t="n"/>
      <c r="B2124" s="61" t="n"/>
      <c r="C2124" s="62" t="n"/>
      <c r="D2124" s="57" t="n"/>
      <c r="E2124" s="57" t="n"/>
      <c r="F2124" s="58" t="n"/>
      <c r="G2124" s="66">
        <f>IF(tblFleet[[#This Row],[Units]]="","",tblFleet[[#This Row],[Units]]*24)</f>
        <v/>
      </c>
      <c r="H2124" s="66">
        <f>IF(tblFleet[[#This Row],[Units]]="","",tblFleet[[#This Row],[Calendar_h]]-tblFleet[[#This Row],[Down_h]])</f>
        <v/>
      </c>
      <c r="I2124" s="60">
        <f>IF(AND(tblFleet[[#This Row],[Units]]&lt;&gt;"",tblFleet[[#This Row],[Calendar_h]]&gt;0),tblFleet[[#This Row],[Available_h]]/tblFleet[[#This Row],[Calendar_h]],"")</f>
        <v/>
      </c>
      <c r="J2124" s="60">
        <f>IF(AND(tblFleet[[#This Row],[Units]]&lt;&gt;"",tblFleet[[#This Row],[Available_h]]&gt;0),tblFleet[[#This Row],[Operating_h]]/tblFleet[[#This Row],[Available_h]],"")</f>
        <v/>
      </c>
    </row>
    <row r="2125">
      <c r="A2125" s="54" t="n"/>
      <c r="B2125" s="61" t="n"/>
      <c r="C2125" s="62" t="n"/>
      <c r="D2125" s="57" t="n"/>
      <c r="E2125" s="57" t="n"/>
      <c r="F2125" s="58" t="n"/>
      <c r="G2125" s="66">
        <f>IF(tblFleet[[#This Row],[Units]]="","",tblFleet[[#This Row],[Units]]*24)</f>
        <v/>
      </c>
      <c r="H2125" s="66">
        <f>IF(tblFleet[[#This Row],[Units]]="","",tblFleet[[#This Row],[Calendar_h]]-tblFleet[[#This Row],[Down_h]])</f>
        <v/>
      </c>
      <c r="I2125" s="60">
        <f>IF(AND(tblFleet[[#This Row],[Units]]&lt;&gt;"",tblFleet[[#This Row],[Calendar_h]]&gt;0),tblFleet[[#This Row],[Available_h]]/tblFleet[[#This Row],[Calendar_h]],"")</f>
        <v/>
      </c>
      <c r="J2125" s="60">
        <f>IF(AND(tblFleet[[#This Row],[Units]]&lt;&gt;"",tblFleet[[#This Row],[Available_h]]&gt;0),tblFleet[[#This Row],[Operating_h]]/tblFleet[[#This Row],[Available_h]],"")</f>
        <v/>
      </c>
    </row>
    <row r="2126">
      <c r="A2126" s="54" t="n"/>
      <c r="B2126" s="61" t="n"/>
      <c r="C2126" s="62" t="n"/>
      <c r="D2126" s="57" t="n"/>
      <c r="E2126" s="57" t="n"/>
      <c r="F2126" s="58" t="n"/>
      <c r="G2126" s="66">
        <f>IF(tblFleet[[#This Row],[Units]]="","",tblFleet[[#This Row],[Units]]*24)</f>
        <v/>
      </c>
      <c r="H2126" s="66">
        <f>IF(tblFleet[[#This Row],[Units]]="","",tblFleet[[#This Row],[Calendar_h]]-tblFleet[[#This Row],[Down_h]])</f>
        <v/>
      </c>
      <c r="I2126" s="60">
        <f>IF(AND(tblFleet[[#This Row],[Units]]&lt;&gt;"",tblFleet[[#This Row],[Calendar_h]]&gt;0),tblFleet[[#This Row],[Available_h]]/tblFleet[[#This Row],[Calendar_h]],"")</f>
        <v/>
      </c>
      <c r="J2126" s="60">
        <f>IF(AND(tblFleet[[#This Row],[Units]]&lt;&gt;"",tblFleet[[#This Row],[Available_h]]&gt;0),tblFleet[[#This Row],[Operating_h]]/tblFleet[[#This Row],[Available_h]],"")</f>
        <v/>
      </c>
    </row>
    <row r="2127">
      <c r="A2127" s="54" t="n"/>
      <c r="B2127" s="61" t="n"/>
      <c r="C2127" s="62" t="n"/>
      <c r="D2127" s="57" t="n"/>
      <c r="E2127" s="57" t="n"/>
      <c r="F2127" s="58" t="n"/>
      <c r="G2127" s="66">
        <f>IF(tblFleet[[#This Row],[Units]]="","",tblFleet[[#This Row],[Units]]*24)</f>
        <v/>
      </c>
      <c r="H2127" s="66">
        <f>IF(tblFleet[[#This Row],[Units]]="","",tblFleet[[#This Row],[Calendar_h]]-tblFleet[[#This Row],[Down_h]])</f>
        <v/>
      </c>
      <c r="I2127" s="60">
        <f>IF(AND(tblFleet[[#This Row],[Units]]&lt;&gt;"",tblFleet[[#This Row],[Calendar_h]]&gt;0),tblFleet[[#This Row],[Available_h]]/tblFleet[[#This Row],[Calendar_h]],"")</f>
        <v/>
      </c>
      <c r="J2127" s="60">
        <f>IF(AND(tblFleet[[#This Row],[Units]]&lt;&gt;"",tblFleet[[#This Row],[Available_h]]&gt;0),tblFleet[[#This Row],[Operating_h]]/tblFleet[[#This Row],[Available_h]],"")</f>
        <v/>
      </c>
    </row>
    <row r="2128">
      <c r="A2128" s="54" t="n"/>
      <c r="B2128" s="61" t="n"/>
      <c r="C2128" s="62" t="n"/>
      <c r="D2128" s="57" t="n"/>
      <c r="E2128" s="57" t="n"/>
      <c r="F2128" s="58" t="n"/>
      <c r="G2128" s="66">
        <f>IF(tblFleet[[#This Row],[Units]]="","",tblFleet[[#This Row],[Units]]*24)</f>
        <v/>
      </c>
      <c r="H2128" s="66">
        <f>IF(tblFleet[[#This Row],[Units]]="","",tblFleet[[#This Row],[Calendar_h]]-tblFleet[[#This Row],[Down_h]])</f>
        <v/>
      </c>
      <c r="I2128" s="60">
        <f>IF(AND(tblFleet[[#This Row],[Units]]&lt;&gt;"",tblFleet[[#This Row],[Calendar_h]]&gt;0),tblFleet[[#This Row],[Available_h]]/tblFleet[[#This Row],[Calendar_h]],"")</f>
        <v/>
      </c>
      <c r="J2128" s="60">
        <f>IF(AND(tblFleet[[#This Row],[Units]]&lt;&gt;"",tblFleet[[#This Row],[Available_h]]&gt;0),tblFleet[[#This Row],[Operating_h]]/tblFleet[[#This Row],[Available_h]],"")</f>
        <v/>
      </c>
    </row>
    <row r="2129">
      <c r="A2129" s="54" t="n"/>
      <c r="B2129" s="61" t="n"/>
      <c r="C2129" s="62" t="n"/>
      <c r="D2129" s="57" t="n"/>
      <c r="E2129" s="57" t="n"/>
      <c r="F2129" s="58" t="n"/>
      <c r="G2129" s="66">
        <f>IF(tblFleet[[#This Row],[Units]]="","",tblFleet[[#This Row],[Units]]*24)</f>
        <v/>
      </c>
      <c r="H2129" s="66">
        <f>IF(tblFleet[[#This Row],[Units]]="","",tblFleet[[#This Row],[Calendar_h]]-tblFleet[[#This Row],[Down_h]])</f>
        <v/>
      </c>
      <c r="I2129" s="60">
        <f>IF(AND(tblFleet[[#This Row],[Units]]&lt;&gt;"",tblFleet[[#This Row],[Calendar_h]]&gt;0),tblFleet[[#This Row],[Available_h]]/tblFleet[[#This Row],[Calendar_h]],"")</f>
        <v/>
      </c>
      <c r="J2129" s="60">
        <f>IF(AND(tblFleet[[#This Row],[Units]]&lt;&gt;"",tblFleet[[#This Row],[Available_h]]&gt;0),tblFleet[[#This Row],[Operating_h]]/tblFleet[[#This Row],[Available_h]],"")</f>
        <v/>
      </c>
    </row>
    <row r="2130">
      <c r="A2130" s="54" t="n"/>
      <c r="B2130" s="61" t="n"/>
      <c r="C2130" s="62" t="n"/>
      <c r="D2130" s="57" t="n"/>
      <c r="E2130" s="57" t="n"/>
      <c r="F2130" s="58" t="n"/>
      <c r="G2130" s="66">
        <f>IF(tblFleet[[#This Row],[Units]]="","",tblFleet[[#This Row],[Units]]*24)</f>
        <v/>
      </c>
      <c r="H2130" s="66">
        <f>IF(tblFleet[[#This Row],[Units]]="","",tblFleet[[#This Row],[Calendar_h]]-tblFleet[[#This Row],[Down_h]])</f>
        <v/>
      </c>
      <c r="I2130" s="60">
        <f>IF(AND(tblFleet[[#This Row],[Units]]&lt;&gt;"",tblFleet[[#This Row],[Calendar_h]]&gt;0),tblFleet[[#This Row],[Available_h]]/tblFleet[[#This Row],[Calendar_h]],"")</f>
        <v/>
      </c>
      <c r="J2130" s="60">
        <f>IF(AND(tblFleet[[#This Row],[Units]]&lt;&gt;"",tblFleet[[#This Row],[Available_h]]&gt;0),tblFleet[[#This Row],[Operating_h]]/tblFleet[[#This Row],[Available_h]],"")</f>
        <v/>
      </c>
    </row>
    <row r="2131">
      <c r="A2131" s="54" t="n"/>
      <c r="B2131" s="61" t="n"/>
      <c r="C2131" s="62" t="n"/>
      <c r="D2131" s="57" t="n"/>
      <c r="E2131" s="57" t="n"/>
      <c r="F2131" s="58" t="n"/>
      <c r="G2131" s="66">
        <f>IF(tblFleet[[#This Row],[Units]]="","",tblFleet[[#This Row],[Units]]*24)</f>
        <v/>
      </c>
      <c r="H2131" s="66">
        <f>IF(tblFleet[[#This Row],[Units]]="","",tblFleet[[#This Row],[Calendar_h]]-tblFleet[[#This Row],[Down_h]])</f>
        <v/>
      </c>
      <c r="I2131" s="60">
        <f>IF(AND(tblFleet[[#This Row],[Units]]&lt;&gt;"",tblFleet[[#This Row],[Calendar_h]]&gt;0),tblFleet[[#This Row],[Available_h]]/tblFleet[[#This Row],[Calendar_h]],"")</f>
        <v/>
      </c>
      <c r="J2131" s="60">
        <f>IF(AND(tblFleet[[#This Row],[Units]]&lt;&gt;"",tblFleet[[#This Row],[Available_h]]&gt;0),tblFleet[[#This Row],[Operating_h]]/tblFleet[[#This Row],[Available_h]],"")</f>
        <v/>
      </c>
    </row>
    <row r="2132">
      <c r="A2132" s="54" t="n"/>
      <c r="B2132" s="61" t="n"/>
      <c r="C2132" s="62" t="n"/>
      <c r="D2132" s="57" t="n"/>
      <c r="E2132" s="57" t="n"/>
      <c r="F2132" s="58" t="n"/>
      <c r="G2132" s="66">
        <f>IF(tblFleet[[#This Row],[Units]]="","",tblFleet[[#This Row],[Units]]*24)</f>
        <v/>
      </c>
      <c r="H2132" s="66">
        <f>IF(tblFleet[[#This Row],[Units]]="","",tblFleet[[#This Row],[Calendar_h]]-tblFleet[[#This Row],[Down_h]])</f>
        <v/>
      </c>
      <c r="I2132" s="60">
        <f>IF(AND(tblFleet[[#This Row],[Units]]&lt;&gt;"",tblFleet[[#This Row],[Calendar_h]]&gt;0),tblFleet[[#This Row],[Available_h]]/tblFleet[[#This Row],[Calendar_h]],"")</f>
        <v/>
      </c>
      <c r="J2132" s="60">
        <f>IF(AND(tblFleet[[#This Row],[Units]]&lt;&gt;"",tblFleet[[#This Row],[Available_h]]&gt;0),tblFleet[[#This Row],[Operating_h]]/tblFleet[[#This Row],[Available_h]],"")</f>
        <v/>
      </c>
    </row>
    <row r="2133">
      <c r="A2133" s="54" t="n"/>
      <c r="B2133" s="61" t="n"/>
      <c r="C2133" s="62" t="n"/>
      <c r="D2133" s="57" t="n"/>
      <c r="E2133" s="57" t="n"/>
      <c r="F2133" s="58" t="n"/>
      <c r="G2133" s="66">
        <f>IF(tblFleet[[#This Row],[Units]]="","",tblFleet[[#This Row],[Units]]*24)</f>
        <v/>
      </c>
      <c r="H2133" s="66">
        <f>IF(tblFleet[[#This Row],[Units]]="","",tblFleet[[#This Row],[Calendar_h]]-tblFleet[[#This Row],[Down_h]])</f>
        <v/>
      </c>
      <c r="I2133" s="60">
        <f>IF(AND(tblFleet[[#This Row],[Units]]&lt;&gt;"",tblFleet[[#This Row],[Calendar_h]]&gt;0),tblFleet[[#This Row],[Available_h]]/tblFleet[[#This Row],[Calendar_h]],"")</f>
        <v/>
      </c>
      <c r="J2133" s="60">
        <f>IF(AND(tblFleet[[#This Row],[Units]]&lt;&gt;"",tblFleet[[#This Row],[Available_h]]&gt;0),tblFleet[[#This Row],[Operating_h]]/tblFleet[[#This Row],[Available_h]],"")</f>
        <v/>
      </c>
    </row>
    <row r="2134">
      <c r="A2134" s="54" t="n"/>
      <c r="B2134" s="61" t="n"/>
      <c r="C2134" s="62" t="n"/>
      <c r="D2134" s="57" t="n"/>
      <c r="E2134" s="57" t="n"/>
      <c r="F2134" s="58" t="n"/>
      <c r="G2134" s="66">
        <f>IF(tblFleet[[#This Row],[Units]]="","",tblFleet[[#This Row],[Units]]*24)</f>
        <v/>
      </c>
      <c r="H2134" s="66">
        <f>IF(tblFleet[[#This Row],[Units]]="","",tblFleet[[#This Row],[Calendar_h]]-tblFleet[[#This Row],[Down_h]])</f>
        <v/>
      </c>
      <c r="I2134" s="60">
        <f>IF(AND(tblFleet[[#This Row],[Units]]&lt;&gt;"",tblFleet[[#This Row],[Calendar_h]]&gt;0),tblFleet[[#This Row],[Available_h]]/tblFleet[[#This Row],[Calendar_h]],"")</f>
        <v/>
      </c>
      <c r="J2134" s="60">
        <f>IF(AND(tblFleet[[#This Row],[Units]]&lt;&gt;"",tblFleet[[#This Row],[Available_h]]&gt;0),tblFleet[[#This Row],[Operating_h]]/tblFleet[[#This Row],[Available_h]],"")</f>
        <v/>
      </c>
    </row>
    <row r="2135">
      <c r="A2135" s="54" t="n"/>
      <c r="B2135" s="61" t="n"/>
      <c r="C2135" s="62" t="n"/>
      <c r="D2135" s="57" t="n"/>
      <c r="E2135" s="57" t="n"/>
      <c r="F2135" s="58" t="n"/>
      <c r="G2135" s="66">
        <f>IF(tblFleet[[#This Row],[Units]]="","",tblFleet[[#This Row],[Units]]*24)</f>
        <v/>
      </c>
      <c r="H2135" s="66">
        <f>IF(tblFleet[[#This Row],[Units]]="","",tblFleet[[#This Row],[Calendar_h]]-tblFleet[[#This Row],[Down_h]])</f>
        <v/>
      </c>
      <c r="I2135" s="60">
        <f>IF(AND(tblFleet[[#This Row],[Units]]&lt;&gt;"",tblFleet[[#This Row],[Calendar_h]]&gt;0),tblFleet[[#This Row],[Available_h]]/tblFleet[[#This Row],[Calendar_h]],"")</f>
        <v/>
      </c>
      <c r="J2135" s="60">
        <f>IF(AND(tblFleet[[#This Row],[Units]]&lt;&gt;"",tblFleet[[#This Row],[Available_h]]&gt;0),tblFleet[[#This Row],[Operating_h]]/tblFleet[[#This Row],[Available_h]],"")</f>
        <v/>
      </c>
    </row>
    <row r="2136">
      <c r="A2136" s="54" t="n"/>
      <c r="B2136" s="61" t="n"/>
      <c r="C2136" s="62" t="n"/>
      <c r="D2136" s="57" t="n"/>
      <c r="E2136" s="57" t="n"/>
      <c r="F2136" s="58" t="n"/>
      <c r="G2136" s="66">
        <f>IF(tblFleet[[#This Row],[Units]]="","",tblFleet[[#This Row],[Units]]*24)</f>
        <v/>
      </c>
      <c r="H2136" s="66">
        <f>IF(tblFleet[[#This Row],[Units]]="","",tblFleet[[#This Row],[Calendar_h]]-tblFleet[[#This Row],[Down_h]])</f>
        <v/>
      </c>
      <c r="I2136" s="60">
        <f>IF(AND(tblFleet[[#This Row],[Units]]&lt;&gt;"",tblFleet[[#This Row],[Calendar_h]]&gt;0),tblFleet[[#This Row],[Available_h]]/tblFleet[[#This Row],[Calendar_h]],"")</f>
        <v/>
      </c>
      <c r="J2136" s="60">
        <f>IF(AND(tblFleet[[#This Row],[Units]]&lt;&gt;"",tblFleet[[#This Row],[Available_h]]&gt;0),tblFleet[[#This Row],[Operating_h]]/tblFleet[[#This Row],[Available_h]],"")</f>
        <v/>
      </c>
    </row>
    <row r="2137">
      <c r="A2137" s="54" t="n"/>
      <c r="B2137" s="61" t="n"/>
      <c r="C2137" s="62" t="n"/>
      <c r="D2137" s="57" t="n"/>
      <c r="E2137" s="57" t="n"/>
      <c r="F2137" s="58" t="n"/>
      <c r="G2137" s="66">
        <f>IF(tblFleet[[#This Row],[Units]]="","",tblFleet[[#This Row],[Units]]*24)</f>
        <v/>
      </c>
      <c r="H2137" s="66">
        <f>IF(tblFleet[[#This Row],[Units]]="","",tblFleet[[#This Row],[Calendar_h]]-tblFleet[[#This Row],[Down_h]])</f>
        <v/>
      </c>
      <c r="I2137" s="60">
        <f>IF(AND(tblFleet[[#This Row],[Units]]&lt;&gt;"",tblFleet[[#This Row],[Calendar_h]]&gt;0),tblFleet[[#This Row],[Available_h]]/tblFleet[[#This Row],[Calendar_h]],"")</f>
        <v/>
      </c>
      <c r="J2137" s="60">
        <f>IF(AND(tblFleet[[#This Row],[Units]]&lt;&gt;"",tblFleet[[#This Row],[Available_h]]&gt;0),tblFleet[[#This Row],[Operating_h]]/tblFleet[[#This Row],[Available_h]],"")</f>
        <v/>
      </c>
    </row>
    <row r="2138">
      <c r="A2138" s="54" t="n"/>
      <c r="B2138" s="61" t="n"/>
      <c r="C2138" s="62" t="n"/>
      <c r="D2138" s="57" t="n"/>
      <c r="E2138" s="57" t="n"/>
      <c r="F2138" s="58" t="n"/>
      <c r="G2138" s="66">
        <f>IF(tblFleet[[#This Row],[Units]]="","",tblFleet[[#This Row],[Units]]*24)</f>
        <v/>
      </c>
      <c r="H2138" s="66">
        <f>IF(tblFleet[[#This Row],[Units]]="","",tblFleet[[#This Row],[Calendar_h]]-tblFleet[[#This Row],[Down_h]])</f>
        <v/>
      </c>
      <c r="I2138" s="60">
        <f>IF(AND(tblFleet[[#This Row],[Units]]&lt;&gt;"",tblFleet[[#This Row],[Calendar_h]]&gt;0),tblFleet[[#This Row],[Available_h]]/tblFleet[[#This Row],[Calendar_h]],"")</f>
        <v/>
      </c>
      <c r="J2138" s="60">
        <f>IF(AND(tblFleet[[#This Row],[Units]]&lt;&gt;"",tblFleet[[#This Row],[Available_h]]&gt;0),tblFleet[[#This Row],[Operating_h]]/tblFleet[[#This Row],[Available_h]],"")</f>
        <v/>
      </c>
    </row>
    <row r="2139">
      <c r="A2139" s="54" t="n"/>
      <c r="B2139" s="61" t="n"/>
      <c r="C2139" s="62" t="n"/>
      <c r="D2139" s="57" t="n"/>
      <c r="E2139" s="57" t="n"/>
      <c r="F2139" s="58" t="n"/>
      <c r="G2139" s="66">
        <f>IF(tblFleet[[#This Row],[Units]]="","",tblFleet[[#This Row],[Units]]*24)</f>
        <v/>
      </c>
      <c r="H2139" s="66">
        <f>IF(tblFleet[[#This Row],[Units]]="","",tblFleet[[#This Row],[Calendar_h]]-tblFleet[[#This Row],[Down_h]])</f>
        <v/>
      </c>
      <c r="I2139" s="60">
        <f>IF(AND(tblFleet[[#This Row],[Units]]&lt;&gt;"",tblFleet[[#This Row],[Calendar_h]]&gt;0),tblFleet[[#This Row],[Available_h]]/tblFleet[[#This Row],[Calendar_h]],"")</f>
        <v/>
      </c>
      <c r="J2139" s="60">
        <f>IF(AND(tblFleet[[#This Row],[Units]]&lt;&gt;"",tblFleet[[#This Row],[Available_h]]&gt;0),tblFleet[[#This Row],[Operating_h]]/tblFleet[[#This Row],[Available_h]],"")</f>
        <v/>
      </c>
    </row>
    <row r="2140">
      <c r="A2140" s="54" t="n"/>
      <c r="B2140" s="61" t="n"/>
      <c r="C2140" s="62" t="n"/>
      <c r="D2140" s="57" t="n"/>
      <c r="E2140" s="57" t="n"/>
      <c r="F2140" s="58" t="n"/>
      <c r="G2140" s="66">
        <f>IF(tblFleet[[#This Row],[Units]]="","",tblFleet[[#This Row],[Units]]*24)</f>
        <v/>
      </c>
      <c r="H2140" s="66">
        <f>IF(tblFleet[[#This Row],[Units]]="","",tblFleet[[#This Row],[Calendar_h]]-tblFleet[[#This Row],[Down_h]])</f>
        <v/>
      </c>
      <c r="I2140" s="60">
        <f>IF(AND(tblFleet[[#This Row],[Units]]&lt;&gt;"",tblFleet[[#This Row],[Calendar_h]]&gt;0),tblFleet[[#This Row],[Available_h]]/tblFleet[[#This Row],[Calendar_h]],"")</f>
        <v/>
      </c>
      <c r="J2140" s="60">
        <f>IF(AND(tblFleet[[#This Row],[Units]]&lt;&gt;"",tblFleet[[#This Row],[Available_h]]&gt;0),tblFleet[[#This Row],[Operating_h]]/tblFleet[[#This Row],[Available_h]],"")</f>
        <v/>
      </c>
    </row>
    <row r="2141">
      <c r="A2141" s="54" t="n"/>
      <c r="B2141" s="61" t="n"/>
      <c r="C2141" s="62" t="n"/>
      <c r="D2141" s="57" t="n"/>
      <c r="E2141" s="57" t="n"/>
      <c r="F2141" s="58" t="n"/>
      <c r="G2141" s="66">
        <f>IF(tblFleet[[#This Row],[Units]]="","",tblFleet[[#This Row],[Units]]*24)</f>
        <v/>
      </c>
      <c r="H2141" s="66">
        <f>IF(tblFleet[[#This Row],[Units]]="","",tblFleet[[#This Row],[Calendar_h]]-tblFleet[[#This Row],[Down_h]])</f>
        <v/>
      </c>
      <c r="I2141" s="60">
        <f>IF(AND(tblFleet[[#This Row],[Units]]&lt;&gt;"",tblFleet[[#This Row],[Calendar_h]]&gt;0),tblFleet[[#This Row],[Available_h]]/tblFleet[[#This Row],[Calendar_h]],"")</f>
        <v/>
      </c>
      <c r="J2141" s="60">
        <f>IF(AND(tblFleet[[#This Row],[Units]]&lt;&gt;"",tblFleet[[#This Row],[Available_h]]&gt;0),tblFleet[[#This Row],[Operating_h]]/tblFleet[[#This Row],[Available_h]],"")</f>
        <v/>
      </c>
    </row>
    <row r="2142">
      <c r="A2142" s="54" t="n"/>
      <c r="B2142" s="61" t="n"/>
      <c r="C2142" s="62" t="n"/>
      <c r="D2142" s="57" t="n"/>
      <c r="E2142" s="57" t="n"/>
      <c r="F2142" s="58" t="n"/>
      <c r="G2142" s="66">
        <f>IF(tblFleet[[#This Row],[Units]]="","",tblFleet[[#This Row],[Units]]*24)</f>
        <v/>
      </c>
      <c r="H2142" s="66">
        <f>IF(tblFleet[[#This Row],[Units]]="","",tblFleet[[#This Row],[Calendar_h]]-tblFleet[[#This Row],[Down_h]])</f>
        <v/>
      </c>
      <c r="I2142" s="60">
        <f>IF(AND(tblFleet[[#This Row],[Units]]&lt;&gt;"",tblFleet[[#This Row],[Calendar_h]]&gt;0),tblFleet[[#This Row],[Available_h]]/tblFleet[[#This Row],[Calendar_h]],"")</f>
        <v/>
      </c>
      <c r="J2142" s="60">
        <f>IF(AND(tblFleet[[#This Row],[Units]]&lt;&gt;"",tblFleet[[#This Row],[Available_h]]&gt;0),tblFleet[[#This Row],[Operating_h]]/tblFleet[[#This Row],[Available_h]],"")</f>
        <v/>
      </c>
    </row>
    <row r="2143">
      <c r="A2143" s="54" t="n"/>
      <c r="B2143" s="61" t="n"/>
      <c r="C2143" s="62" t="n"/>
      <c r="D2143" s="57" t="n"/>
      <c r="E2143" s="57" t="n"/>
      <c r="F2143" s="58" t="n"/>
      <c r="G2143" s="66">
        <f>IF(tblFleet[[#This Row],[Units]]="","",tblFleet[[#This Row],[Units]]*24)</f>
        <v/>
      </c>
      <c r="H2143" s="66">
        <f>IF(tblFleet[[#This Row],[Units]]="","",tblFleet[[#This Row],[Calendar_h]]-tblFleet[[#This Row],[Down_h]])</f>
        <v/>
      </c>
      <c r="I2143" s="60">
        <f>IF(AND(tblFleet[[#This Row],[Units]]&lt;&gt;"",tblFleet[[#This Row],[Calendar_h]]&gt;0),tblFleet[[#This Row],[Available_h]]/tblFleet[[#This Row],[Calendar_h]],"")</f>
        <v/>
      </c>
      <c r="J2143" s="60">
        <f>IF(AND(tblFleet[[#This Row],[Units]]&lt;&gt;"",tblFleet[[#This Row],[Available_h]]&gt;0),tblFleet[[#This Row],[Operating_h]]/tblFleet[[#This Row],[Available_h]],"")</f>
        <v/>
      </c>
    </row>
    <row r="2144">
      <c r="A2144" s="54" t="n"/>
      <c r="B2144" s="61" t="n"/>
      <c r="C2144" s="62" t="n"/>
      <c r="D2144" s="57" t="n"/>
      <c r="E2144" s="57" t="n"/>
      <c r="F2144" s="58" t="n"/>
      <c r="G2144" s="66">
        <f>IF(tblFleet[[#This Row],[Units]]="","",tblFleet[[#This Row],[Units]]*24)</f>
        <v/>
      </c>
      <c r="H2144" s="66">
        <f>IF(tblFleet[[#This Row],[Units]]="","",tblFleet[[#This Row],[Calendar_h]]-tblFleet[[#This Row],[Down_h]])</f>
        <v/>
      </c>
      <c r="I2144" s="60">
        <f>IF(AND(tblFleet[[#This Row],[Units]]&lt;&gt;"",tblFleet[[#This Row],[Calendar_h]]&gt;0),tblFleet[[#This Row],[Available_h]]/tblFleet[[#This Row],[Calendar_h]],"")</f>
        <v/>
      </c>
      <c r="J2144" s="60">
        <f>IF(AND(tblFleet[[#This Row],[Units]]&lt;&gt;"",tblFleet[[#This Row],[Available_h]]&gt;0),tblFleet[[#This Row],[Operating_h]]/tblFleet[[#This Row],[Available_h]],"")</f>
        <v/>
      </c>
    </row>
    <row r="2145">
      <c r="A2145" s="54" t="n"/>
      <c r="B2145" s="61" t="n"/>
      <c r="C2145" s="62" t="n"/>
      <c r="D2145" s="57" t="n"/>
      <c r="E2145" s="57" t="n"/>
      <c r="F2145" s="58" t="n"/>
      <c r="G2145" s="66">
        <f>IF(tblFleet[[#This Row],[Units]]="","",tblFleet[[#This Row],[Units]]*24)</f>
        <v/>
      </c>
      <c r="H2145" s="66">
        <f>IF(tblFleet[[#This Row],[Units]]="","",tblFleet[[#This Row],[Calendar_h]]-tblFleet[[#This Row],[Down_h]])</f>
        <v/>
      </c>
      <c r="I2145" s="60">
        <f>IF(AND(tblFleet[[#This Row],[Units]]&lt;&gt;"",tblFleet[[#This Row],[Calendar_h]]&gt;0),tblFleet[[#This Row],[Available_h]]/tblFleet[[#This Row],[Calendar_h]],"")</f>
        <v/>
      </c>
      <c r="J2145" s="60">
        <f>IF(AND(tblFleet[[#This Row],[Units]]&lt;&gt;"",tblFleet[[#This Row],[Available_h]]&gt;0),tblFleet[[#This Row],[Operating_h]]/tblFleet[[#This Row],[Available_h]],"")</f>
        <v/>
      </c>
    </row>
    <row r="2146">
      <c r="A2146" s="54" t="n"/>
      <c r="B2146" s="61" t="n"/>
      <c r="C2146" s="62" t="n"/>
      <c r="D2146" s="57" t="n"/>
      <c r="E2146" s="57" t="n"/>
      <c r="F2146" s="58" t="n"/>
      <c r="G2146" s="66">
        <f>IF(tblFleet[[#This Row],[Units]]="","",tblFleet[[#This Row],[Units]]*24)</f>
        <v/>
      </c>
      <c r="H2146" s="66">
        <f>IF(tblFleet[[#This Row],[Units]]="","",tblFleet[[#This Row],[Calendar_h]]-tblFleet[[#This Row],[Down_h]])</f>
        <v/>
      </c>
      <c r="I2146" s="60">
        <f>IF(AND(tblFleet[[#This Row],[Units]]&lt;&gt;"",tblFleet[[#This Row],[Calendar_h]]&gt;0),tblFleet[[#This Row],[Available_h]]/tblFleet[[#This Row],[Calendar_h]],"")</f>
        <v/>
      </c>
      <c r="J2146" s="60">
        <f>IF(AND(tblFleet[[#This Row],[Units]]&lt;&gt;"",tblFleet[[#This Row],[Available_h]]&gt;0),tblFleet[[#This Row],[Operating_h]]/tblFleet[[#This Row],[Available_h]],"")</f>
        <v/>
      </c>
    </row>
    <row r="2147">
      <c r="A2147" s="54" t="n"/>
      <c r="B2147" s="61" t="n"/>
      <c r="C2147" s="62" t="n"/>
      <c r="D2147" s="57" t="n"/>
      <c r="E2147" s="57" t="n"/>
      <c r="F2147" s="58" t="n"/>
      <c r="G2147" s="66">
        <f>IF(tblFleet[[#This Row],[Units]]="","",tblFleet[[#This Row],[Units]]*24)</f>
        <v/>
      </c>
      <c r="H2147" s="66">
        <f>IF(tblFleet[[#This Row],[Units]]="","",tblFleet[[#This Row],[Calendar_h]]-tblFleet[[#This Row],[Down_h]])</f>
        <v/>
      </c>
      <c r="I2147" s="60">
        <f>IF(AND(tblFleet[[#This Row],[Units]]&lt;&gt;"",tblFleet[[#This Row],[Calendar_h]]&gt;0),tblFleet[[#This Row],[Available_h]]/tblFleet[[#This Row],[Calendar_h]],"")</f>
        <v/>
      </c>
      <c r="J2147" s="60">
        <f>IF(AND(tblFleet[[#This Row],[Units]]&lt;&gt;"",tblFleet[[#This Row],[Available_h]]&gt;0),tblFleet[[#This Row],[Operating_h]]/tblFleet[[#This Row],[Available_h]],"")</f>
        <v/>
      </c>
    </row>
    <row r="2148">
      <c r="A2148" s="54" t="n"/>
      <c r="B2148" s="61" t="n"/>
      <c r="C2148" s="62" t="n"/>
      <c r="D2148" s="57" t="n"/>
      <c r="E2148" s="57" t="n"/>
      <c r="F2148" s="58" t="n"/>
      <c r="G2148" s="66">
        <f>IF(tblFleet[[#This Row],[Units]]="","",tblFleet[[#This Row],[Units]]*24)</f>
        <v/>
      </c>
      <c r="H2148" s="66">
        <f>IF(tblFleet[[#This Row],[Units]]="","",tblFleet[[#This Row],[Calendar_h]]-tblFleet[[#This Row],[Down_h]])</f>
        <v/>
      </c>
      <c r="I2148" s="60">
        <f>IF(AND(tblFleet[[#This Row],[Units]]&lt;&gt;"",tblFleet[[#This Row],[Calendar_h]]&gt;0),tblFleet[[#This Row],[Available_h]]/tblFleet[[#This Row],[Calendar_h]],"")</f>
        <v/>
      </c>
      <c r="J2148" s="60">
        <f>IF(AND(tblFleet[[#This Row],[Units]]&lt;&gt;"",tblFleet[[#This Row],[Available_h]]&gt;0),tblFleet[[#This Row],[Operating_h]]/tblFleet[[#This Row],[Available_h]],"")</f>
        <v/>
      </c>
    </row>
    <row r="2149">
      <c r="A2149" s="54" t="n"/>
      <c r="B2149" s="61" t="n"/>
      <c r="C2149" s="62" t="n"/>
      <c r="D2149" s="57" t="n"/>
      <c r="E2149" s="57" t="n"/>
      <c r="F2149" s="58" t="n"/>
      <c r="G2149" s="66">
        <f>IF(tblFleet[[#This Row],[Units]]="","",tblFleet[[#This Row],[Units]]*24)</f>
        <v/>
      </c>
      <c r="H2149" s="66">
        <f>IF(tblFleet[[#This Row],[Units]]="","",tblFleet[[#This Row],[Calendar_h]]-tblFleet[[#This Row],[Down_h]])</f>
        <v/>
      </c>
      <c r="I2149" s="60">
        <f>IF(AND(tblFleet[[#This Row],[Units]]&lt;&gt;"",tblFleet[[#This Row],[Calendar_h]]&gt;0),tblFleet[[#This Row],[Available_h]]/tblFleet[[#This Row],[Calendar_h]],"")</f>
        <v/>
      </c>
      <c r="J2149" s="60">
        <f>IF(AND(tblFleet[[#This Row],[Units]]&lt;&gt;"",tblFleet[[#This Row],[Available_h]]&gt;0),tblFleet[[#This Row],[Operating_h]]/tblFleet[[#This Row],[Available_h]],"")</f>
        <v/>
      </c>
    </row>
    <row r="2150">
      <c r="A2150" s="54" t="n"/>
      <c r="B2150" s="61" t="n"/>
      <c r="C2150" s="62" t="n"/>
      <c r="D2150" s="57" t="n"/>
      <c r="E2150" s="57" t="n"/>
      <c r="F2150" s="58" t="n"/>
      <c r="G2150" s="66">
        <f>IF(tblFleet[[#This Row],[Units]]="","",tblFleet[[#This Row],[Units]]*24)</f>
        <v/>
      </c>
      <c r="H2150" s="66">
        <f>IF(tblFleet[[#This Row],[Units]]="","",tblFleet[[#This Row],[Calendar_h]]-tblFleet[[#This Row],[Down_h]])</f>
        <v/>
      </c>
      <c r="I2150" s="60">
        <f>IF(AND(tblFleet[[#This Row],[Units]]&lt;&gt;"",tblFleet[[#This Row],[Calendar_h]]&gt;0),tblFleet[[#This Row],[Available_h]]/tblFleet[[#This Row],[Calendar_h]],"")</f>
        <v/>
      </c>
      <c r="J2150" s="60">
        <f>IF(AND(tblFleet[[#This Row],[Units]]&lt;&gt;"",tblFleet[[#This Row],[Available_h]]&gt;0),tblFleet[[#This Row],[Operating_h]]/tblFleet[[#This Row],[Available_h]],"")</f>
        <v/>
      </c>
    </row>
    <row r="2151">
      <c r="A2151" s="54" t="n"/>
      <c r="B2151" s="61" t="n"/>
      <c r="C2151" s="62" t="n"/>
      <c r="D2151" s="57" t="n"/>
      <c r="E2151" s="57" t="n"/>
      <c r="F2151" s="58" t="n"/>
      <c r="G2151" s="66">
        <f>IF(tblFleet[[#This Row],[Units]]="","",tblFleet[[#This Row],[Units]]*24)</f>
        <v/>
      </c>
      <c r="H2151" s="66">
        <f>IF(tblFleet[[#This Row],[Units]]="","",tblFleet[[#This Row],[Calendar_h]]-tblFleet[[#This Row],[Down_h]])</f>
        <v/>
      </c>
      <c r="I2151" s="60">
        <f>IF(AND(tblFleet[[#This Row],[Units]]&lt;&gt;"",tblFleet[[#This Row],[Calendar_h]]&gt;0),tblFleet[[#This Row],[Available_h]]/tblFleet[[#This Row],[Calendar_h]],"")</f>
        <v/>
      </c>
      <c r="J2151" s="60">
        <f>IF(AND(tblFleet[[#This Row],[Units]]&lt;&gt;"",tblFleet[[#This Row],[Available_h]]&gt;0),tblFleet[[#This Row],[Operating_h]]/tblFleet[[#This Row],[Available_h]],"")</f>
        <v/>
      </c>
    </row>
    <row r="2152">
      <c r="A2152" s="54" t="n"/>
      <c r="B2152" s="61" t="n"/>
      <c r="C2152" s="62" t="n"/>
      <c r="D2152" s="57" t="n"/>
      <c r="E2152" s="57" t="n"/>
      <c r="F2152" s="58" t="n"/>
      <c r="G2152" s="66">
        <f>IF(tblFleet[[#This Row],[Units]]="","",tblFleet[[#This Row],[Units]]*24)</f>
        <v/>
      </c>
      <c r="H2152" s="66">
        <f>IF(tblFleet[[#This Row],[Units]]="","",tblFleet[[#This Row],[Calendar_h]]-tblFleet[[#This Row],[Down_h]])</f>
        <v/>
      </c>
      <c r="I2152" s="60">
        <f>IF(AND(tblFleet[[#This Row],[Units]]&lt;&gt;"",tblFleet[[#This Row],[Calendar_h]]&gt;0),tblFleet[[#This Row],[Available_h]]/tblFleet[[#This Row],[Calendar_h]],"")</f>
        <v/>
      </c>
      <c r="J2152" s="60">
        <f>IF(AND(tblFleet[[#This Row],[Units]]&lt;&gt;"",tblFleet[[#This Row],[Available_h]]&gt;0),tblFleet[[#This Row],[Operating_h]]/tblFleet[[#This Row],[Available_h]],"")</f>
        <v/>
      </c>
    </row>
    <row r="2153">
      <c r="A2153" s="54" t="n"/>
      <c r="B2153" s="61" t="n"/>
      <c r="C2153" s="62" t="n"/>
      <c r="D2153" s="57" t="n"/>
      <c r="E2153" s="57" t="n"/>
      <c r="F2153" s="58" t="n"/>
      <c r="G2153" s="66">
        <f>IF(tblFleet[[#This Row],[Units]]="","",tblFleet[[#This Row],[Units]]*24)</f>
        <v/>
      </c>
      <c r="H2153" s="66">
        <f>IF(tblFleet[[#This Row],[Units]]="","",tblFleet[[#This Row],[Calendar_h]]-tblFleet[[#This Row],[Down_h]])</f>
        <v/>
      </c>
      <c r="I2153" s="60">
        <f>IF(AND(tblFleet[[#This Row],[Units]]&lt;&gt;"",tblFleet[[#This Row],[Calendar_h]]&gt;0),tblFleet[[#This Row],[Available_h]]/tblFleet[[#This Row],[Calendar_h]],"")</f>
        <v/>
      </c>
      <c r="J2153" s="60">
        <f>IF(AND(tblFleet[[#This Row],[Units]]&lt;&gt;"",tblFleet[[#This Row],[Available_h]]&gt;0),tblFleet[[#This Row],[Operating_h]]/tblFleet[[#This Row],[Available_h]],"")</f>
        <v/>
      </c>
    </row>
    <row r="2154">
      <c r="A2154" s="54" t="n"/>
      <c r="B2154" s="61" t="n"/>
      <c r="C2154" s="62" t="n"/>
      <c r="D2154" s="57" t="n"/>
      <c r="E2154" s="57" t="n"/>
      <c r="F2154" s="58" t="n"/>
      <c r="G2154" s="66">
        <f>IF(tblFleet[[#This Row],[Units]]="","",tblFleet[[#This Row],[Units]]*24)</f>
        <v/>
      </c>
      <c r="H2154" s="66">
        <f>IF(tblFleet[[#This Row],[Units]]="","",tblFleet[[#This Row],[Calendar_h]]-tblFleet[[#This Row],[Down_h]])</f>
        <v/>
      </c>
      <c r="I2154" s="60">
        <f>IF(AND(tblFleet[[#This Row],[Units]]&lt;&gt;"",tblFleet[[#This Row],[Calendar_h]]&gt;0),tblFleet[[#This Row],[Available_h]]/tblFleet[[#This Row],[Calendar_h]],"")</f>
        <v/>
      </c>
      <c r="J2154" s="60">
        <f>IF(AND(tblFleet[[#This Row],[Units]]&lt;&gt;"",tblFleet[[#This Row],[Available_h]]&gt;0),tblFleet[[#This Row],[Operating_h]]/tblFleet[[#This Row],[Available_h]],"")</f>
        <v/>
      </c>
    </row>
    <row r="2155">
      <c r="A2155" s="54" t="n"/>
      <c r="B2155" s="61" t="n"/>
      <c r="C2155" s="62" t="n"/>
      <c r="D2155" s="57" t="n"/>
      <c r="E2155" s="57" t="n"/>
      <c r="F2155" s="58" t="n"/>
      <c r="G2155" s="66">
        <f>IF(tblFleet[[#This Row],[Units]]="","",tblFleet[[#This Row],[Units]]*24)</f>
        <v/>
      </c>
      <c r="H2155" s="66">
        <f>IF(tblFleet[[#This Row],[Units]]="","",tblFleet[[#This Row],[Calendar_h]]-tblFleet[[#This Row],[Down_h]])</f>
        <v/>
      </c>
      <c r="I2155" s="60">
        <f>IF(AND(tblFleet[[#This Row],[Units]]&lt;&gt;"",tblFleet[[#This Row],[Calendar_h]]&gt;0),tblFleet[[#This Row],[Available_h]]/tblFleet[[#This Row],[Calendar_h]],"")</f>
        <v/>
      </c>
      <c r="J2155" s="60">
        <f>IF(AND(tblFleet[[#This Row],[Units]]&lt;&gt;"",tblFleet[[#This Row],[Available_h]]&gt;0),tblFleet[[#This Row],[Operating_h]]/tblFleet[[#This Row],[Available_h]],"")</f>
        <v/>
      </c>
    </row>
    <row r="2156">
      <c r="A2156" s="54" t="n"/>
      <c r="B2156" s="61" t="n"/>
      <c r="C2156" s="62" t="n"/>
      <c r="D2156" s="57" t="n"/>
      <c r="E2156" s="57" t="n"/>
      <c r="F2156" s="58" t="n"/>
      <c r="G2156" s="66">
        <f>IF(tblFleet[[#This Row],[Units]]="","",tblFleet[[#This Row],[Units]]*24)</f>
        <v/>
      </c>
      <c r="H2156" s="66">
        <f>IF(tblFleet[[#This Row],[Units]]="","",tblFleet[[#This Row],[Calendar_h]]-tblFleet[[#This Row],[Down_h]])</f>
        <v/>
      </c>
      <c r="I2156" s="60">
        <f>IF(AND(tblFleet[[#This Row],[Units]]&lt;&gt;"",tblFleet[[#This Row],[Calendar_h]]&gt;0),tblFleet[[#This Row],[Available_h]]/tblFleet[[#This Row],[Calendar_h]],"")</f>
        <v/>
      </c>
      <c r="J2156" s="60">
        <f>IF(AND(tblFleet[[#This Row],[Units]]&lt;&gt;"",tblFleet[[#This Row],[Available_h]]&gt;0),tblFleet[[#This Row],[Operating_h]]/tblFleet[[#This Row],[Available_h]],"")</f>
        <v/>
      </c>
    </row>
    <row r="2157">
      <c r="A2157" s="54" t="n"/>
      <c r="B2157" s="61" t="n"/>
      <c r="C2157" s="62" t="n"/>
      <c r="D2157" s="57" t="n"/>
      <c r="E2157" s="57" t="n"/>
      <c r="F2157" s="58" t="n"/>
      <c r="G2157" s="66">
        <f>IF(tblFleet[[#This Row],[Units]]="","",tblFleet[[#This Row],[Units]]*24)</f>
        <v/>
      </c>
      <c r="H2157" s="66">
        <f>IF(tblFleet[[#This Row],[Units]]="","",tblFleet[[#This Row],[Calendar_h]]-tblFleet[[#This Row],[Down_h]])</f>
        <v/>
      </c>
      <c r="I2157" s="60">
        <f>IF(AND(tblFleet[[#This Row],[Units]]&lt;&gt;"",tblFleet[[#This Row],[Calendar_h]]&gt;0),tblFleet[[#This Row],[Available_h]]/tblFleet[[#This Row],[Calendar_h]],"")</f>
        <v/>
      </c>
      <c r="J2157" s="60">
        <f>IF(AND(tblFleet[[#This Row],[Units]]&lt;&gt;"",tblFleet[[#This Row],[Available_h]]&gt;0),tblFleet[[#This Row],[Operating_h]]/tblFleet[[#This Row],[Available_h]],"")</f>
        <v/>
      </c>
    </row>
    <row r="2158">
      <c r="A2158" s="54" t="n"/>
      <c r="B2158" s="61" t="n"/>
      <c r="C2158" s="62" t="n"/>
      <c r="D2158" s="57" t="n"/>
      <c r="E2158" s="57" t="n"/>
      <c r="F2158" s="58" t="n"/>
      <c r="G2158" s="66">
        <f>IF(tblFleet[[#This Row],[Units]]="","",tblFleet[[#This Row],[Units]]*24)</f>
        <v/>
      </c>
      <c r="H2158" s="66">
        <f>IF(tblFleet[[#This Row],[Units]]="","",tblFleet[[#This Row],[Calendar_h]]-tblFleet[[#This Row],[Down_h]])</f>
        <v/>
      </c>
      <c r="I2158" s="60">
        <f>IF(AND(tblFleet[[#This Row],[Units]]&lt;&gt;"",tblFleet[[#This Row],[Calendar_h]]&gt;0),tblFleet[[#This Row],[Available_h]]/tblFleet[[#This Row],[Calendar_h]],"")</f>
        <v/>
      </c>
      <c r="J2158" s="60">
        <f>IF(AND(tblFleet[[#This Row],[Units]]&lt;&gt;"",tblFleet[[#This Row],[Available_h]]&gt;0),tblFleet[[#This Row],[Operating_h]]/tblFleet[[#This Row],[Available_h]],"")</f>
        <v/>
      </c>
    </row>
    <row r="2159">
      <c r="A2159" s="54" t="n"/>
      <c r="B2159" s="61" t="n"/>
      <c r="C2159" s="62" t="n"/>
      <c r="D2159" s="57" t="n"/>
      <c r="E2159" s="57" t="n"/>
      <c r="F2159" s="58" t="n"/>
      <c r="G2159" s="66">
        <f>IF(tblFleet[[#This Row],[Units]]="","",tblFleet[[#This Row],[Units]]*24)</f>
        <v/>
      </c>
      <c r="H2159" s="66">
        <f>IF(tblFleet[[#This Row],[Units]]="","",tblFleet[[#This Row],[Calendar_h]]-tblFleet[[#This Row],[Down_h]])</f>
        <v/>
      </c>
      <c r="I2159" s="60">
        <f>IF(AND(tblFleet[[#This Row],[Units]]&lt;&gt;"",tblFleet[[#This Row],[Calendar_h]]&gt;0),tblFleet[[#This Row],[Available_h]]/tblFleet[[#This Row],[Calendar_h]],"")</f>
        <v/>
      </c>
      <c r="J2159" s="60">
        <f>IF(AND(tblFleet[[#This Row],[Units]]&lt;&gt;"",tblFleet[[#This Row],[Available_h]]&gt;0),tblFleet[[#This Row],[Operating_h]]/tblFleet[[#This Row],[Available_h]],"")</f>
        <v/>
      </c>
    </row>
    <row r="2160">
      <c r="A2160" s="54" t="n"/>
      <c r="B2160" s="61" t="n"/>
      <c r="C2160" s="62" t="n"/>
      <c r="D2160" s="57" t="n"/>
      <c r="E2160" s="57" t="n"/>
      <c r="F2160" s="58" t="n"/>
      <c r="G2160" s="66">
        <f>IF(tblFleet[[#This Row],[Units]]="","",tblFleet[[#This Row],[Units]]*24)</f>
        <v/>
      </c>
      <c r="H2160" s="66">
        <f>IF(tblFleet[[#This Row],[Units]]="","",tblFleet[[#This Row],[Calendar_h]]-tblFleet[[#This Row],[Down_h]])</f>
        <v/>
      </c>
      <c r="I2160" s="60">
        <f>IF(AND(tblFleet[[#This Row],[Units]]&lt;&gt;"",tblFleet[[#This Row],[Calendar_h]]&gt;0),tblFleet[[#This Row],[Available_h]]/tblFleet[[#This Row],[Calendar_h]],"")</f>
        <v/>
      </c>
      <c r="J2160" s="60">
        <f>IF(AND(tblFleet[[#This Row],[Units]]&lt;&gt;"",tblFleet[[#This Row],[Available_h]]&gt;0),tblFleet[[#This Row],[Operating_h]]/tblFleet[[#This Row],[Available_h]],"")</f>
        <v/>
      </c>
    </row>
    <row r="2161">
      <c r="A2161" s="54" t="n"/>
      <c r="B2161" s="61" t="n"/>
      <c r="C2161" s="62" t="n"/>
      <c r="D2161" s="57" t="n"/>
      <c r="E2161" s="57" t="n"/>
      <c r="F2161" s="58" t="n"/>
      <c r="G2161" s="66">
        <f>IF(tblFleet[[#This Row],[Units]]="","",tblFleet[[#This Row],[Units]]*24)</f>
        <v/>
      </c>
      <c r="H2161" s="66">
        <f>IF(tblFleet[[#This Row],[Units]]="","",tblFleet[[#This Row],[Calendar_h]]-tblFleet[[#This Row],[Down_h]])</f>
        <v/>
      </c>
      <c r="I2161" s="60">
        <f>IF(AND(tblFleet[[#This Row],[Units]]&lt;&gt;"",tblFleet[[#This Row],[Calendar_h]]&gt;0),tblFleet[[#This Row],[Available_h]]/tblFleet[[#This Row],[Calendar_h]],"")</f>
        <v/>
      </c>
      <c r="J2161" s="60">
        <f>IF(AND(tblFleet[[#This Row],[Units]]&lt;&gt;"",tblFleet[[#This Row],[Available_h]]&gt;0),tblFleet[[#This Row],[Operating_h]]/tblFleet[[#This Row],[Available_h]],"")</f>
        <v/>
      </c>
    </row>
    <row r="2162">
      <c r="A2162" s="54" t="n"/>
      <c r="B2162" s="61" t="n"/>
      <c r="C2162" s="62" t="n"/>
      <c r="D2162" s="57" t="n"/>
      <c r="E2162" s="57" t="n"/>
      <c r="F2162" s="58" t="n"/>
      <c r="G2162" s="66">
        <f>IF(tblFleet[[#This Row],[Units]]="","",tblFleet[[#This Row],[Units]]*24)</f>
        <v/>
      </c>
      <c r="H2162" s="66">
        <f>IF(tblFleet[[#This Row],[Units]]="","",tblFleet[[#This Row],[Calendar_h]]-tblFleet[[#This Row],[Down_h]])</f>
        <v/>
      </c>
      <c r="I2162" s="60">
        <f>IF(AND(tblFleet[[#This Row],[Units]]&lt;&gt;"",tblFleet[[#This Row],[Calendar_h]]&gt;0),tblFleet[[#This Row],[Available_h]]/tblFleet[[#This Row],[Calendar_h]],"")</f>
        <v/>
      </c>
      <c r="J2162" s="60">
        <f>IF(AND(tblFleet[[#This Row],[Units]]&lt;&gt;"",tblFleet[[#This Row],[Available_h]]&gt;0),tblFleet[[#This Row],[Operating_h]]/tblFleet[[#This Row],[Available_h]],"")</f>
        <v/>
      </c>
    </row>
    <row r="2163">
      <c r="A2163" s="54" t="n"/>
      <c r="B2163" s="61" t="n"/>
      <c r="C2163" s="62" t="n"/>
      <c r="D2163" s="57" t="n"/>
      <c r="E2163" s="57" t="n"/>
      <c r="F2163" s="58" t="n"/>
      <c r="G2163" s="66">
        <f>IF(tblFleet[[#This Row],[Units]]="","",tblFleet[[#This Row],[Units]]*24)</f>
        <v/>
      </c>
      <c r="H2163" s="66">
        <f>IF(tblFleet[[#This Row],[Units]]="","",tblFleet[[#This Row],[Calendar_h]]-tblFleet[[#This Row],[Down_h]])</f>
        <v/>
      </c>
      <c r="I2163" s="60">
        <f>IF(AND(tblFleet[[#This Row],[Units]]&lt;&gt;"",tblFleet[[#This Row],[Calendar_h]]&gt;0),tblFleet[[#This Row],[Available_h]]/tblFleet[[#This Row],[Calendar_h]],"")</f>
        <v/>
      </c>
      <c r="J2163" s="60">
        <f>IF(AND(tblFleet[[#This Row],[Units]]&lt;&gt;"",tblFleet[[#This Row],[Available_h]]&gt;0),tblFleet[[#This Row],[Operating_h]]/tblFleet[[#This Row],[Available_h]],"")</f>
        <v/>
      </c>
    </row>
    <row r="2164">
      <c r="A2164" s="54" t="n"/>
      <c r="B2164" s="61" t="n"/>
      <c r="C2164" s="62" t="n"/>
      <c r="D2164" s="57" t="n"/>
      <c r="E2164" s="57" t="n"/>
      <c r="F2164" s="58" t="n"/>
      <c r="G2164" s="66">
        <f>IF(tblFleet[[#This Row],[Units]]="","",tblFleet[[#This Row],[Units]]*24)</f>
        <v/>
      </c>
      <c r="H2164" s="66">
        <f>IF(tblFleet[[#This Row],[Units]]="","",tblFleet[[#This Row],[Calendar_h]]-tblFleet[[#This Row],[Down_h]])</f>
        <v/>
      </c>
      <c r="I2164" s="60">
        <f>IF(AND(tblFleet[[#This Row],[Units]]&lt;&gt;"",tblFleet[[#This Row],[Calendar_h]]&gt;0),tblFleet[[#This Row],[Available_h]]/tblFleet[[#This Row],[Calendar_h]],"")</f>
        <v/>
      </c>
      <c r="J2164" s="60">
        <f>IF(AND(tblFleet[[#This Row],[Units]]&lt;&gt;"",tblFleet[[#This Row],[Available_h]]&gt;0),tblFleet[[#This Row],[Operating_h]]/tblFleet[[#This Row],[Available_h]],"")</f>
        <v/>
      </c>
    </row>
    <row r="2165">
      <c r="A2165" s="54" t="n"/>
      <c r="B2165" s="61" t="n"/>
      <c r="C2165" s="62" t="n"/>
      <c r="D2165" s="57" t="n"/>
      <c r="E2165" s="57" t="n"/>
      <c r="F2165" s="58" t="n"/>
      <c r="G2165" s="66">
        <f>IF(tblFleet[[#This Row],[Units]]="","",tblFleet[[#This Row],[Units]]*24)</f>
        <v/>
      </c>
      <c r="H2165" s="66">
        <f>IF(tblFleet[[#This Row],[Units]]="","",tblFleet[[#This Row],[Calendar_h]]-tblFleet[[#This Row],[Down_h]])</f>
        <v/>
      </c>
      <c r="I2165" s="60">
        <f>IF(AND(tblFleet[[#This Row],[Units]]&lt;&gt;"",tblFleet[[#This Row],[Calendar_h]]&gt;0),tblFleet[[#This Row],[Available_h]]/tblFleet[[#This Row],[Calendar_h]],"")</f>
        <v/>
      </c>
      <c r="J2165" s="60">
        <f>IF(AND(tblFleet[[#This Row],[Units]]&lt;&gt;"",tblFleet[[#This Row],[Available_h]]&gt;0),tblFleet[[#This Row],[Operating_h]]/tblFleet[[#This Row],[Available_h]],"")</f>
        <v/>
      </c>
    </row>
    <row r="2166">
      <c r="A2166" s="54" t="n"/>
      <c r="B2166" s="61" t="n"/>
      <c r="C2166" s="62" t="n"/>
      <c r="D2166" s="57" t="n"/>
      <c r="E2166" s="57" t="n"/>
      <c r="F2166" s="58" t="n"/>
      <c r="G2166" s="66">
        <f>IF(tblFleet[[#This Row],[Units]]="","",tblFleet[[#This Row],[Units]]*24)</f>
        <v/>
      </c>
      <c r="H2166" s="66">
        <f>IF(tblFleet[[#This Row],[Units]]="","",tblFleet[[#This Row],[Calendar_h]]-tblFleet[[#This Row],[Down_h]])</f>
        <v/>
      </c>
      <c r="I2166" s="60">
        <f>IF(AND(tblFleet[[#This Row],[Units]]&lt;&gt;"",tblFleet[[#This Row],[Calendar_h]]&gt;0),tblFleet[[#This Row],[Available_h]]/tblFleet[[#This Row],[Calendar_h]],"")</f>
        <v/>
      </c>
      <c r="J2166" s="60">
        <f>IF(AND(tblFleet[[#This Row],[Units]]&lt;&gt;"",tblFleet[[#This Row],[Available_h]]&gt;0),tblFleet[[#This Row],[Operating_h]]/tblFleet[[#This Row],[Available_h]],"")</f>
        <v/>
      </c>
    </row>
    <row r="2167">
      <c r="A2167" s="54" t="n"/>
      <c r="B2167" s="61" t="n"/>
      <c r="C2167" s="62" t="n"/>
      <c r="D2167" s="57" t="n"/>
      <c r="E2167" s="57" t="n"/>
      <c r="F2167" s="58" t="n"/>
      <c r="G2167" s="66">
        <f>IF(tblFleet[[#This Row],[Units]]="","",tblFleet[[#This Row],[Units]]*24)</f>
        <v/>
      </c>
      <c r="H2167" s="66">
        <f>IF(tblFleet[[#This Row],[Units]]="","",tblFleet[[#This Row],[Calendar_h]]-tblFleet[[#This Row],[Down_h]])</f>
        <v/>
      </c>
      <c r="I2167" s="60">
        <f>IF(AND(tblFleet[[#This Row],[Units]]&lt;&gt;"",tblFleet[[#This Row],[Calendar_h]]&gt;0),tblFleet[[#This Row],[Available_h]]/tblFleet[[#This Row],[Calendar_h]],"")</f>
        <v/>
      </c>
      <c r="J2167" s="60">
        <f>IF(AND(tblFleet[[#This Row],[Units]]&lt;&gt;"",tblFleet[[#This Row],[Available_h]]&gt;0),tblFleet[[#This Row],[Operating_h]]/tblFleet[[#This Row],[Available_h]],"")</f>
        <v/>
      </c>
    </row>
    <row r="2168">
      <c r="A2168" s="54" t="n"/>
      <c r="B2168" s="61" t="n"/>
      <c r="C2168" s="62" t="n"/>
      <c r="D2168" s="57" t="n"/>
      <c r="E2168" s="57" t="n"/>
      <c r="F2168" s="58" t="n"/>
      <c r="G2168" s="66">
        <f>IF(tblFleet[[#This Row],[Units]]="","",tblFleet[[#This Row],[Units]]*24)</f>
        <v/>
      </c>
      <c r="H2168" s="66">
        <f>IF(tblFleet[[#This Row],[Units]]="","",tblFleet[[#This Row],[Calendar_h]]-tblFleet[[#This Row],[Down_h]])</f>
        <v/>
      </c>
      <c r="I2168" s="60">
        <f>IF(AND(tblFleet[[#This Row],[Units]]&lt;&gt;"",tblFleet[[#This Row],[Calendar_h]]&gt;0),tblFleet[[#This Row],[Available_h]]/tblFleet[[#This Row],[Calendar_h]],"")</f>
        <v/>
      </c>
      <c r="J2168" s="60">
        <f>IF(AND(tblFleet[[#This Row],[Units]]&lt;&gt;"",tblFleet[[#This Row],[Available_h]]&gt;0),tblFleet[[#This Row],[Operating_h]]/tblFleet[[#This Row],[Available_h]],"")</f>
        <v/>
      </c>
    </row>
    <row r="2169">
      <c r="A2169" s="54" t="n"/>
      <c r="B2169" s="61" t="n"/>
      <c r="C2169" s="62" t="n"/>
      <c r="D2169" s="57" t="n"/>
      <c r="E2169" s="57" t="n"/>
      <c r="F2169" s="58" t="n"/>
      <c r="G2169" s="66">
        <f>IF(tblFleet[[#This Row],[Units]]="","",tblFleet[[#This Row],[Units]]*24)</f>
        <v/>
      </c>
      <c r="H2169" s="66">
        <f>IF(tblFleet[[#This Row],[Units]]="","",tblFleet[[#This Row],[Calendar_h]]-tblFleet[[#This Row],[Down_h]])</f>
        <v/>
      </c>
      <c r="I2169" s="60">
        <f>IF(AND(tblFleet[[#This Row],[Units]]&lt;&gt;"",tblFleet[[#This Row],[Calendar_h]]&gt;0),tblFleet[[#This Row],[Available_h]]/tblFleet[[#This Row],[Calendar_h]],"")</f>
        <v/>
      </c>
      <c r="J2169" s="60">
        <f>IF(AND(tblFleet[[#This Row],[Units]]&lt;&gt;"",tblFleet[[#This Row],[Available_h]]&gt;0),tblFleet[[#This Row],[Operating_h]]/tblFleet[[#This Row],[Available_h]],"")</f>
        <v/>
      </c>
    </row>
    <row r="2170">
      <c r="A2170" s="54" t="n"/>
      <c r="B2170" s="61" t="n"/>
      <c r="C2170" s="62" t="n"/>
      <c r="D2170" s="57" t="n"/>
      <c r="E2170" s="57" t="n"/>
      <c r="F2170" s="58" t="n"/>
      <c r="G2170" s="66">
        <f>IF(tblFleet[[#This Row],[Units]]="","",tblFleet[[#This Row],[Units]]*24)</f>
        <v/>
      </c>
      <c r="H2170" s="66">
        <f>IF(tblFleet[[#This Row],[Units]]="","",tblFleet[[#This Row],[Calendar_h]]-tblFleet[[#This Row],[Down_h]])</f>
        <v/>
      </c>
      <c r="I2170" s="60">
        <f>IF(AND(tblFleet[[#This Row],[Units]]&lt;&gt;"",tblFleet[[#This Row],[Calendar_h]]&gt;0),tblFleet[[#This Row],[Available_h]]/tblFleet[[#This Row],[Calendar_h]],"")</f>
        <v/>
      </c>
      <c r="J2170" s="60">
        <f>IF(AND(tblFleet[[#This Row],[Units]]&lt;&gt;"",tblFleet[[#This Row],[Available_h]]&gt;0),tblFleet[[#This Row],[Operating_h]]/tblFleet[[#This Row],[Available_h]],"")</f>
        <v/>
      </c>
    </row>
    <row r="2171">
      <c r="A2171" s="54" t="n"/>
      <c r="B2171" s="61" t="n"/>
      <c r="C2171" s="62" t="n"/>
      <c r="D2171" s="57" t="n"/>
      <c r="E2171" s="57" t="n"/>
      <c r="F2171" s="58" t="n"/>
      <c r="G2171" s="66">
        <f>IF(tblFleet[[#This Row],[Units]]="","",tblFleet[[#This Row],[Units]]*24)</f>
        <v/>
      </c>
      <c r="H2171" s="66">
        <f>IF(tblFleet[[#This Row],[Units]]="","",tblFleet[[#This Row],[Calendar_h]]-tblFleet[[#This Row],[Down_h]])</f>
        <v/>
      </c>
      <c r="I2171" s="60">
        <f>IF(AND(tblFleet[[#This Row],[Units]]&lt;&gt;"",tblFleet[[#This Row],[Calendar_h]]&gt;0),tblFleet[[#This Row],[Available_h]]/tblFleet[[#This Row],[Calendar_h]],"")</f>
        <v/>
      </c>
      <c r="J2171" s="60">
        <f>IF(AND(tblFleet[[#This Row],[Units]]&lt;&gt;"",tblFleet[[#This Row],[Available_h]]&gt;0),tblFleet[[#This Row],[Operating_h]]/tblFleet[[#This Row],[Available_h]],"")</f>
        <v/>
      </c>
    </row>
    <row r="2172">
      <c r="A2172" s="54" t="n"/>
      <c r="B2172" s="61" t="n"/>
      <c r="C2172" s="62" t="n"/>
      <c r="D2172" s="57" t="n"/>
      <c r="E2172" s="57" t="n"/>
      <c r="F2172" s="58" t="n"/>
      <c r="G2172" s="66">
        <f>IF(tblFleet[[#This Row],[Units]]="","",tblFleet[[#This Row],[Units]]*24)</f>
        <v/>
      </c>
      <c r="H2172" s="66">
        <f>IF(tblFleet[[#This Row],[Units]]="","",tblFleet[[#This Row],[Calendar_h]]-tblFleet[[#This Row],[Down_h]])</f>
        <v/>
      </c>
      <c r="I2172" s="60">
        <f>IF(AND(tblFleet[[#This Row],[Units]]&lt;&gt;"",tblFleet[[#This Row],[Calendar_h]]&gt;0),tblFleet[[#This Row],[Available_h]]/tblFleet[[#This Row],[Calendar_h]],"")</f>
        <v/>
      </c>
      <c r="J2172" s="60">
        <f>IF(AND(tblFleet[[#This Row],[Units]]&lt;&gt;"",tblFleet[[#This Row],[Available_h]]&gt;0),tblFleet[[#This Row],[Operating_h]]/tblFleet[[#This Row],[Available_h]],"")</f>
        <v/>
      </c>
    </row>
    <row r="2173">
      <c r="A2173" s="54" t="n"/>
      <c r="B2173" s="61" t="n"/>
      <c r="C2173" s="62" t="n"/>
      <c r="D2173" s="57" t="n"/>
      <c r="E2173" s="57" t="n"/>
      <c r="F2173" s="58" t="n"/>
      <c r="G2173" s="66">
        <f>IF(tblFleet[[#This Row],[Units]]="","",tblFleet[[#This Row],[Units]]*24)</f>
        <v/>
      </c>
      <c r="H2173" s="66">
        <f>IF(tblFleet[[#This Row],[Units]]="","",tblFleet[[#This Row],[Calendar_h]]-tblFleet[[#This Row],[Down_h]])</f>
        <v/>
      </c>
      <c r="I2173" s="60">
        <f>IF(AND(tblFleet[[#This Row],[Units]]&lt;&gt;"",tblFleet[[#This Row],[Calendar_h]]&gt;0),tblFleet[[#This Row],[Available_h]]/tblFleet[[#This Row],[Calendar_h]],"")</f>
        <v/>
      </c>
      <c r="J2173" s="60">
        <f>IF(AND(tblFleet[[#This Row],[Units]]&lt;&gt;"",tblFleet[[#This Row],[Available_h]]&gt;0),tblFleet[[#This Row],[Operating_h]]/tblFleet[[#This Row],[Available_h]],"")</f>
        <v/>
      </c>
    </row>
    <row r="2174">
      <c r="A2174" s="54" t="n"/>
      <c r="B2174" s="61" t="n"/>
      <c r="C2174" s="62" t="n"/>
      <c r="D2174" s="57" t="n"/>
      <c r="E2174" s="57" t="n"/>
      <c r="F2174" s="58" t="n"/>
      <c r="G2174" s="66">
        <f>IF(tblFleet[[#This Row],[Units]]="","",tblFleet[[#This Row],[Units]]*24)</f>
        <v/>
      </c>
      <c r="H2174" s="66">
        <f>IF(tblFleet[[#This Row],[Units]]="","",tblFleet[[#This Row],[Calendar_h]]-tblFleet[[#This Row],[Down_h]])</f>
        <v/>
      </c>
      <c r="I2174" s="60">
        <f>IF(AND(tblFleet[[#This Row],[Units]]&lt;&gt;"",tblFleet[[#This Row],[Calendar_h]]&gt;0),tblFleet[[#This Row],[Available_h]]/tblFleet[[#This Row],[Calendar_h]],"")</f>
        <v/>
      </c>
      <c r="J2174" s="60">
        <f>IF(AND(tblFleet[[#This Row],[Units]]&lt;&gt;"",tblFleet[[#This Row],[Available_h]]&gt;0),tblFleet[[#This Row],[Operating_h]]/tblFleet[[#This Row],[Available_h]],"")</f>
        <v/>
      </c>
    </row>
    <row r="2175">
      <c r="A2175" s="54" t="n"/>
      <c r="B2175" s="61" t="n"/>
      <c r="C2175" s="62" t="n"/>
      <c r="D2175" s="57" t="n"/>
      <c r="E2175" s="57" t="n"/>
      <c r="F2175" s="58" t="n"/>
      <c r="G2175" s="66">
        <f>IF(tblFleet[[#This Row],[Units]]="","",tblFleet[[#This Row],[Units]]*24)</f>
        <v/>
      </c>
      <c r="H2175" s="66">
        <f>IF(tblFleet[[#This Row],[Units]]="","",tblFleet[[#This Row],[Calendar_h]]-tblFleet[[#This Row],[Down_h]])</f>
        <v/>
      </c>
      <c r="I2175" s="60">
        <f>IF(AND(tblFleet[[#This Row],[Units]]&lt;&gt;"",tblFleet[[#This Row],[Calendar_h]]&gt;0),tblFleet[[#This Row],[Available_h]]/tblFleet[[#This Row],[Calendar_h]],"")</f>
        <v/>
      </c>
      <c r="J2175" s="60">
        <f>IF(AND(tblFleet[[#This Row],[Units]]&lt;&gt;"",tblFleet[[#This Row],[Available_h]]&gt;0),tblFleet[[#This Row],[Operating_h]]/tblFleet[[#This Row],[Available_h]],"")</f>
        <v/>
      </c>
    </row>
    <row r="2176">
      <c r="A2176" s="54" t="n"/>
      <c r="B2176" s="61" t="n"/>
      <c r="C2176" s="62" t="n"/>
      <c r="D2176" s="57" t="n"/>
      <c r="E2176" s="57" t="n"/>
      <c r="F2176" s="58" t="n"/>
      <c r="G2176" s="66">
        <f>IF(tblFleet[[#This Row],[Units]]="","",tblFleet[[#This Row],[Units]]*24)</f>
        <v/>
      </c>
      <c r="H2176" s="66">
        <f>IF(tblFleet[[#This Row],[Units]]="","",tblFleet[[#This Row],[Calendar_h]]-tblFleet[[#This Row],[Down_h]])</f>
        <v/>
      </c>
      <c r="I2176" s="60">
        <f>IF(AND(tblFleet[[#This Row],[Units]]&lt;&gt;"",tblFleet[[#This Row],[Calendar_h]]&gt;0),tblFleet[[#This Row],[Available_h]]/tblFleet[[#This Row],[Calendar_h]],"")</f>
        <v/>
      </c>
      <c r="J2176" s="60">
        <f>IF(AND(tblFleet[[#This Row],[Units]]&lt;&gt;"",tblFleet[[#This Row],[Available_h]]&gt;0),tblFleet[[#This Row],[Operating_h]]/tblFleet[[#This Row],[Available_h]],"")</f>
        <v/>
      </c>
    </row>
    <row r="2177">
      <c r="A2177" s="54" t="n"/>
      <c r="B2177" s="61" t="n"/>
      <c r="C2177" s="62" t="n"/>
      <c r="D2177" s="57" t="n"/>
      <c r="E2177" s="57" t="n"/>
      <c r="F2177" s="58" t="n"/>
      <c r="G2177" s="66">
        <f>IF(tblFleet[[#This Row],[Units]]="","",tblFleet[[#This Row],[Units]]*24)</f>
        <v/>
      </c>
      <c r="H2177" s="66">
        <f>IF(tblFleet[[#This Row],[Units]]="","",tblFleet[[#This Row],[Calendar_h]]-tblFleet[[#This Row],[Down_h]])</f>
        <v/>
      </c>
      <c r="I2177" s="60">
        <f>IF(AND(tblFleet[[#This Row],[Units]]&lt;&gt;"",tblFleet[[#This Row],[Calendar_h]]&gt;0),tblFleet[[#This Row],[Available_h]]/tblFleet[[#This Row],[Calendar_h]],"")</f>
        <v/>
      </c>
      <c r="J2177" s="60">
        <f>IF(AND(tblFleet[[#This Row],[Units]]&lt;&gt;"",tblFleet[[#This Row],[Available_h]]&gt;0),tblFleet[[#This Row],[Operating_h]]/tblFleet[[#This Row],[Available_h]],"")</f>
        <v/>
      </c>
    </row>
    <row r="2178">
      <c r="A2178" s="54" t="n"/>
      <c r="B2178" s="61" t="n"/>
      <c r="C2178" s="62" t="n"/>
      <c r="D2178" s="57" t="n"/>
      <c r="E2178" s="57" t="n"/>
      <c r="F2178" s="58" t="n"/>
      <c r="G2178" s="66">
        <f>IF(tblFleet[[#This Row],[Units]]="","",tblFleet[[#This Row],[Units]]*24)</f>
        <v/>
      </c>
      <c r="H2178" s="66">
        <f>IF(tblFleet[[#This Row],[Units]]="","",tblFleet[[#This Row],[Calendar_h]]-tblFleet[[#This Row],[Down_h]])</f>
        <v/>
      </c>
      <c r="I2178" s="60">
        <f>IF(AND(tblFleet[[#This Row],[Units]]&lt;&gt;"",tblFleet[[#This Row],[Calendar_h]]&gt;0),tblFleet[[#This Row],[Available_h]]/tblFleet[[#This Row],[Calendar_h]],"")</f>
        <v/>
      </c>
      <c r="J2178" s="60">
        <f>IF(AND(tblFleet[[#This Row],[Units]]&lt;&gt;"",tblFleet[[#This Row],[Available_h]]&gt;0),tblFleet[[#This Row],[Operating_h]]/tblFleet[[#This Row],[Available_h]],"")</f>
        <v/>
      </c>
    </row>
    <row r="2179">
      <c r="A2179" s="54" t="n"/>
      <c r="B2179" s="61" t="n"/>
      <c r="C2179" s="62" t="n"/>
      <c r="D2179" s="57" t="n"/>
      <c r="E2179" s="57" t="n"/>
      <c r="F2179" s="58" t="n"/>
      <c r="G2179" s="66">
        <f>IF(tblFleet[[#This Row],[Units]]="","",tblFleet[[#This Row],[Units]]*24)</f>
        <v/>
      </c>
      <c r="H2179" s="66">
        <f>IF(tblFleet[[#This Row],[Units]]="","",tblFleet[[#This Row],[Calendar_h]]-tblFleet[[#This Row],[Down_h]])</f>
        <v/>
      </c>
      <c r="I2179" s="60">
        <f>IF(AND(tblFleet[[#This Row],[Units]]&lt;&gt;"",tblFleet[[#This Row],[Calendar_h]]&gt;0),tblFleet[[#This Row],[Available_h]]/tblFleet[[#This Row],[Calendar_h]],"")</f>
        <v/>
      </c>
      <c r="J2179" s="60">
        <f>IF(AND(tblFleet[[#This Row],[Units]]&lt;&gt;"",tblFleet[[#This Row],[Available_h]]&gt;0),tblFleet[[#This Row],[Operating_h]]/tblFleet[[#This Row],[Available_h]],"")</f>
        <v/>
      </c>
    </row>
    <row r="2180">
      <c r="A2180" s="54" t="n"/>
      <c r="B2180" s="61" t="n"/>
      <c r="C2180" s="62" t="n"/>
      <c r="D2180" s="57" t="n"/>
      <c r="E2180" s="57" t="n"/>
      <c r="F2180" s="58" t="n"/>
      <c r="G2180" s="66">
        <f>IF(tblFleet[[#This Row],[Units]]="","",tblFleet[[#This Row],[Units]]*24)</f>
        <v/>
      </c>
      <c r="H2180" s="66">
        <f>IF(tblFleet[[#This Row],[Units]]="","",tblFleet[[#This Row],[Calendar_h]]-tblFleet[[#This Row],[Down_h]])</f>
        <v/>
      </c>
      <c r="I2180" s="60">
        <f>IF(AND(tblFleet[[#This Row],[Units]]&lt;&gt;"",tblFleet[[#This Row],[Calendar_h]]&gt;0),tblFleet[[#This Row],[Available_h]]/tblFleet[[#This Row],[Calendar_h]],"")</f>
        <v/>
      </c>
      <c r="J2180" s="60">
        <f>IF(AND(tblFleet[[#This Row],[Units]]&lt;&gt;"",tblFleet[[#This Row],[Available_h]]&gt;0),tblFleet[[#This Row],[Operating_h]]/tblFleet[[#This Row],[Available_h]],"")</f>
        <v/>
      </c>
    </row>
    <row r="2181">
      <c r="A2181" s="54" t="n"/>
      <c r="B2181" s="61" t="n"/>
      <c r="C2181" s="62" t="n"/>
      <c r="D2181" s="57" t="n"/>
      <c r="E2181" s="57" t="n"/>
      <c r="F2181" s="58" t="n"/>
      <c r="G2181" s="66">
        <f>IF(tblFleet[[#This Row],[Units]]="","",tblFleet[[#This Row],[Units]]*24)</f>
        <v/>
      </c>
      <c r="H2181" s="66">
        <f>IF(tblFleet[[#This Row],[Units]]="","",tblFleet[[#This Row],[Calendar_h]]-tblFleet[[#This Row],[Down_h]])</f>
        <v/>
      </c>
      <c r="I2181" s="60">
        <f>IF(AND(tblFleet[[#This Row],[Units]]&lt;&gt;"",tblFleet[[#This Row],[Calendar_h]]&gt;0),tblFleet[[#This Row],[Available_h]]/tblFleet[[#This Row],[Calendar_h]],"")</f>
        <v/>
      </c>
      <c r="J2181" s="60">
        <f>IF(AND(tblFleet[[#This Row],[Units]]&lt;&gt;"",tblFleet[[#This Row],[Available_h]]&gt;0),tblFleet[[#This Row],[Operating_h]]/tblFleet[[#This Row],[Available_h]],"")</f>
        <v/>
      </c>
    </row>
    <row r="2182">
      <c r="A2182" s="54" t="n"/>
      <c r="B2182" s="61" t="n"/>
      <c r="C2182" s="62" t="n"/>
      <c r="D2182" s="57" t="n"/>
      <c r="E2182" s="57" t="n"/>
      <c r="F2182" s="58" t="n"/>
      <c r="G2182" s="66">
        <f>IF(tblFleet[[#This Row],[Units]]="","",tblFleet[[#This Row],[Units]]*24)</f>
        <v/>
      </c>
      <c r="H2182" s="66">
        <f>IF(tblFleet[[#This Row],[Units]]="","",tblFleet[[#This Row],[Calendar_h]]-tblFleet[[#This Row],[Down_h]])</f>
        <v/>
      </c>
      <c r="I2182" s="60">
        <f>IF(AND(tblFleet[[#This Row],[Units]]&lt;&gt;"",tblFleet[[#This Row],[Calendar_h]]&gt;0),tblFleet[[#This Row],[Available_h]]/tblFleet[[#This Row],[Calendar_h]],"")</f>
        <v/>
      </c>
      <c r="J2182" s="60">
        <f>IF(AND(tblFleet[[#This Row],[Units]]&lt;&gt;"",tblFleet[[#This Row],[Available_h]]&gt;0),tblFleet[[#This Row],[Operating_h]]/tblFleet[[#This Row],[Available_h]],"")</f>
        <v/>
      </c>
    </row>
    <row r="2183">
      <c r="A2183" s="54" t="n"/>
      <c r="B2183" s="61" t="n"/>
      <c r="C2183" s="62" t="n"/>
      <c r="D2183" s="57" t="n"/>
      <c r="E2183" s="57" t="n"/>
      <c r="F2183" s="58" t="n"/>
      <c r="G2183" s="66">
        <f>IF(tblFleet[[#This Row],[Units]]="","",tblFleet[[#This Row],[Units]]*24)</f>
        <v/>
      </c>
      <c r="H2183" s="66">
        <f>IF(tblFleet[[#This Row],[Units]]="","",tblFleet[[#This Row],[Calendar_h]]-tblFleet[[#This Row],[Down_h]])</f>
        <v/>
      </c>
      <c r="I2183" s="60">
        <f>IF(AND(tblFleet[[#This Row],[Units]]&lt;&gt;"",tblFleet[[#This Row],[Calendar_h]]&gt;0),tblFleet[[#This Row],[Available_h]]/tblFleet[[#This Row],[Calendar_h]],"")</f>
        <v/>
      </c>
      <c r="J2183" s="60">
        <f>IF(AND(tblFleet[[#This Row],[Units]]&lt;&gt;"",tblFleet[[#This Row],[Available_h]]&gt;0),tblFleet[[#This Row],[Operating_h]]/tblFleet[[#This Row],[Available_h]],"")</f>
        <v/>
      </c>
    </row>
    <row r="2184">
      <c r="A2184" s="54" t="n"/>
      <c r="B2184" s="61" t="n"/>
      <c r="C2184" s="62" t="n"/>
      <c r="D2184" s="57" t="n"/>
      <c r="E2184" s="57" t="n"/>
      <c r="F2184" s="58" t="n"/>
      <c r="G2184" s="66">
        <f>IF(tblFleet[[#This Row],[Units]]="","",tblFleet[[#This Row],[Units]]*24)</f>
        <v/>
      </c>
      <c r="H2184" s="66">
        <f>IF(tblFleet[[#This Row],[Units]]="","",tblFleet[[#This Row],[Calendar_h]]-tblFleet[[#This Row],[Down_h]])</f>
        <v/>
      </c>
      <c r="I2184" s="60">
        <f>IF(AND(tblFleet[[#This Row],[Units]]&lt;&gt;"",tblFleet[[#This Row],[Calendar_h]]&gt;0),tblFleet[[#This Row],[Available_h]]/tblFleet[[#This Row],[Calendar_h]],"")</f>
        <v/>
      </c>
      <c r="J2184" s="60">
        <f>IF(AND(tblFleet[[#This Row],[Units]]&lt;&gt;"",tblFleet[[#This Row],[Available_h]]&gt;0),tblFleet[[#This Row],[Operating_h]]/tblFleet[[#This Row],[Available_h]],"")</f>
        <v/>
      </c>
    </row>
    <row r="2185">
      <c r="A2185" s="54" t="n"/>
      <c r="B2185" s="61" t="n"/>
      <c r="C2185" s="62" t="n"/>
      <c r="D2185" s="57" t="n"/>
      <c r="E2185" s="57" t="n"/>
      <c r="F2185" s="58" t="n"/>
      <c r="G2185" s="66">
        <f>IF(tblFleet[[#This Row],[Units]]="","",tblFleet[[#This Row],[Units]]*24)</f>
        <v/>
      </c>
      <c r="H2185" s="66">
        <f>IF(tblFleet[[#This Row],[Units]]="","",tblFleet[[#This Row],[Calendar_h]]-tblFleet[[#This Row],[Down_h]])</f>
        <v/>
      </c>
      <c r="I2185" s="60">
        <f>IF(AND(tblFleet[[#This Row],[Units]]&lt;&gt;"",tblFleet[[#This Row],[Calendar_h]]&gt;0),tblFleet[[#This Row],[Available_h]]/tblFleet[[#This Row],[Calendar_h]],"")</f>
        <v/>
      </c>
      <c r="J2185" s="60">
        <f>IF(AND(tblFleet[[#This Row],[Units]]&lt;&gt;"",tblFleet[[#This Row],[Available_h]]&gt;0),tblFleet[[#This Row],[Operating_h]]/tblFleet[[#This Row],[Available_h]],"")</f>
        <v/>
      </c>
    </row>
    <row r="2186">
      <c r="A2186" s="54" t="n"/>
      <c r="B2186" s="61" t="n"/>
      <c r="C2186" s="62" t="n"/>
      <c r="D2186" s="57" t="n"/>
      <c r="E2186" s="57" t="n"/>
      <c r="F2186" s="58" t="n"/>
      <c r="G2186" s="66">
        <f>IF(tblFleet[[#This Row],[Units]]="","",tblFleet[[#This Row],[Units]]*24)</f>
        <v/>
      </c>
      <c r="H2186" s="66">
        <f>IF(tblFleet[[#This Row],[Units]]="","",tblFleet[[#This Row],[Calendar_h]]-tblFleet[[#This Row],[Down_h]])</f>
        <v/>
      </c>
      <c r="I2186" s="60">
        <f>IF(AND(tblFleet[[#This Row],[Units]]&lt;&gt;"",tblFleet[[#This Row],[Calendar_h]]&gt;0),tblFleet[[#This Row],[Available_h]]/tblFleet[[#This Row],[Calendar_h]],"")</f>
        <v/>
      </c>
      <c r="J2186" s="60">
        <f>IF(AND(tblFleet[[#This Row],[Units]]&lt;&gt;"",tblFleet[[#This Row],[Available_h]]&gt;0),tblFleet[[#This Row],[Operating_h]]/tblFleet[[#This Row],[Available_h]],"")</f>
        <v/>
      </c>
    </row>
    <row r="2187">
      <c r="A2187" s="54" t="n"/>
      <c r="B2187" s="61" t="n"/>
      <c r="C2187" s="62" t="n"/>
      <c r="D2187" s="57" t="n"/>
      <c r="E2187" s="57" t="n"/>
      <c r="F2187" s="58" t="n"/>
      <c r="G2187" s="66">
        <f>IF(tblFleet[[#This Row],[Units]]="","",tblFleet[[#This Row],[Units]]*24)</f>
        <v/>
      </c>
      <c r="H2187" s="66">
        <f>IF(tblFleet[[#This Row],[Units]]="","",tblFleet[[#This Row],[Calendar_h]]-tblFleet[[#This Row],[Down_h]])</f>
        <v/>
      </c>
      <c r="I2187" s="60">
        <f>IF(AND(tblFleet[[#This Row],[Units]]&lt;&gt;"",tblFleet[[#This Row],[Calendar_h]]&gt;0),tblFleet[[#This Row],[Available_h]]/tblFleet[[#This Row],[Calendar_h]],"")</f>
        <v/>
      </c>
      <c r="J2187" s="60">
        <f>IF(AND(tblFleet[[#This Row],[Units]]&lt;&gt;"",tblFleet[[#This Row],[Available_h]]&gt;0),tblFleet[[#This Row],[Operating_h]]/tblFleet[[#This Row],[Available_h]],"")</f>
        <v/>
      </c>
    </row>
    <row r="2188">
      <c r="A2188" s="54" t="n"/>
      <c r="B2188" s="61" t="n"/>
      <c r="C2188" s="62" t="n"/>
      <c r="D2188" s="57" t="n"/>
      <c r="E2188" s="57" t="n"/>
      <c r="F2188" s="58" t="n"/>
      <c r="G2188" s="66">
        <f>IF(tblFleet[[#This Row],[Units]]="","",tblFleet[[#This Row],[Units]]*24)</f>
        <v/>
      </c>
      <c r="H2188" s="66">
        <f>IF(tblFleet[[#This Row],[Units]]="","",tblFleet[[#This Row],[Calendar_h]]-tblFleet[[#This Row],[Down_h]])</f>
        <v/>
      </c>
      <c r="I2188" s="60">
        <f>IF(AND(tblFleet[[#This Row],[Units]]&lt;&gt;"",tblFleet[[#This Row],[Calendar_h]]&gt;0),tblFleet[[#This Row],[Available_h]]/tblFleet[[#This Row],[Calendar_h]],"")</f>
        <v/>
      </c>
      <c r="J2188" s="60">
        <f>IF(AND(tblFleet[[#This Row],[Units]]&lt;&gt;"",tblFleet[[#This Row],[Available_h]]&gt;0),tblFleet[[#This Row],[Operating_h]]/tblFleet[[#This Row],[Available_h]],"")</f>
        <v/>
      </c>
    </row>
    <row r="2189">
      <c r="A2189" s="54" t="n"/>
      <c r="B2189" s="61" t="n"/>
      <c r="C2189" s="62" t="n"/>
      <c r="D2189" s="57" t="n"/>
      <c r="E2189" s="57" t="n"/>
      <c r="F2189" s="58" t="n"/>
      <c r="G2189" s="66">
        <f>IF(tblFleet[[#This Row],[Units]]="","",tblFleet[[#This Row],[Units]]*24)</f>
        <v/>
      </c>
      <c r="H2189" s="66">
        <f>IF(tblFleet[[#This Row],[Units]]="","",tblFleet[[#This Row],[Calendar_h]]-tblFleet[[#This Row],[Down_h]])</f>
        <v/>
      </c>
      <c r="I2189" s="60">
        <f>IF(AND(tblFleet[[#This Row],[Units]]&lt;&gt;"",tblFleet[[#This Row],[Calendar_h]]&gt;0),tblFleet[[#This Row],[Available_h]]/tblFleet[[#This Row],[Calendar_h]],"")</f>
        <v/>
      </c>
      <c r="J2189" s="60">
        <f>IF(AND(tblFleet[[#This Row],[Units]]&lt;&gt;"",tblFleet[[#This Row],[Available_h]]&gt;0),tblFleet[[#This Row],[Operating_h]]/tblFleet[[#This Row],[Available_h]],"")</f>
        <v/>
      </c>
    </row>
    <row r="2190">
      <c r="A2190" s="54" t="n"/>
      <c r="B2190" s="61" t="n"/>
      <c r="C2190" s="62" t="n"/>
      <c r="D2190" s="57" t="n"/>
      <c r="E2190" s="57" t="n"/>
      <c r="F2190" s="58" t="n"/>
      <c r="G2190" s="66">
        <f>IF(tblFleet[[#This Row],[Units]]="","",tblFleet[[#This Row],[Units]]*24)</f>
        <v/>
      </c>
      <c r="H2190" s="66">
        <f>IF(tblFleet[[#This Row],[Units]]="","",tblFleet[[#This Row],[Calendar_h]]-tblFleet[[#This Row],[Down_h]])</f>
        <v/>
      </c>
      <c r="I2190" s="60">
        <f>IF(AND(tblFleet[[#This Row],[Units]]&lt;&gt;"",tblFleet[[#This Row],[Calendar_h]]&gt;0),tblFleet[[#This Row],[Available_h]]/tblFleet[[#This Row],[Calendar_h]],"")</f>
        <v/>
      </c>
      <c r="J2190" s="60">
        <f>IF(AND(tblFleet[[#This Row],[Units]]&lt;&gt;"",tblFleet[[#This Row],[Available_h]]&gt;0),tblFleet[[#This Row],[Operating_h]]/tblFleet[[#This Row],[Available_h]],"")</f>
        <v/>
      </c>
    </row>
    <row r="2191">
      <c r="A2191" s="54" t="n"/>
      <c r="B2191" s="61" t="n"/>
      <c r="C2191" s="62" t="n"/>
      <c r="D2191" s="57" t="n"/>
      <c r="E2191" s="57" t="n"/>
      <c r="F2191" s="58" t="n"/>
      <c r="G2191" s="66">
        <f>IF(tblFleet[[#This Row],[Units]]="","",tblFleet[[#This Row],[Units]]*24)</f>
        <v/>
      </c>
      <c r="H2191" s="66">
        <f>IF(tblFleet[[#This Row],[Units]]="","",tblFleet[[#This Row],[Calendar_h]]-tblFleet[[#This Row],[Down_h]])</f>
        <v/>
      </c>
      <c r="I2191" s="60">
        <f>IF(AND(tblFleet[[#This Row],[Units]]&lt;&gt;"",tblFleet[[#This Row],[Calendar_h]]&gt;0),tblFleet[[#This Row],[Available_h]]/tblFleet[[#This Row],[Calendar_h]],"")</f>
        <v/>
      </c>
      <c r="J2191" s="60">
        <f>IF(AND(tblFleet[[#This Row],[Units]]&lt;&gt;"",tblFleet[[#This Row],[Available_h]]&gt;0),tblFleet[[#This Row],[Operating_h]]/tblFleet[[#This Row],[Available_h]],"")</f>
        <v/>
      </c>
    </row>
    <row r="2192">
      <c r="A2192" s="54" t="n"/>
      <c r="B2192" s="61" t="n"/>
      <c r="C2192" s="62" t="n"/>
      <c r="D2192" s="57" t="n"/>
      <c r="E2192" s="57" t="n"/>
      <c r="F2192" s="58" t="n"/>
      <c r="G2192" s="66">
        <f>IF(tblFleet[[#This Row],[Units]]="","",tblFleet[[#This Row],[Units]]*24)</f>
        <v/>
      </c>
      <c r="H2192" s="66">
        <f>IF(tblFleet[[#This Row],[Units]]="","",tblFleet[[#This Row],[Calendar_h]]-tblFleet[[#This Row],[Down_h]])</f>
        <v/>
      </c>
      <c r="I2192" s="60">
        <f>IF(AND(tblFleet[[#This Row],[Units]]&lt;&gt;"",tblFleet[[#This Row],[Calendar_h]]&gt;0),tblFleet[[#This Row],[Available_h]]/tblFleet[[#This Row],[Calendar_h]],"")</f>
        <v/>
      </c>
      <c r="J2192" s="60">
        <f>IF(AND(tblFleet[[#This Row],[Units]]&lt;&gt;"",tblFleet[[#This Row],[Available_h]]&gt;0),tblFleet[[#This Row],[Operating_h]]/tblFleet[[#This Row],[Available_h]],"")</f>
        <v/>
      </c>
    </row>
    <row r="2193">
      <c r="A2193" s="54" t="n"/>
      <c r="B2193" s="61" t="n"/>
      <c r="C2193" s="62" t="n"/>
      <c r="D2193" s="57" t="n"/>
      <c r="E2193" s="57" t="n"/>
      <c r="F2193" s="58" t="n"/>
      <c r="G2193" s="66">
        <f>IF(tblFleet[[#This Row],[Units]]="","",tblFleet[[#This Row],[Units]]*24)</f>
        <v/>
      </c>
      <c r="H2193" s="66">
        <f>IF(tblFleet[[#This Row],[Units]]="","",tblFleet[[#This Row],[Calendar_h]]-tblFleet[[#This Row],[Down_h]])</f>
        <v/>
      </c>
      <c r="I2193" s="60">
        <f>IF(AND(tblFleet[[#This Row],[Units]]&lt;&gt;"",tblFleet[[#This Row],[Calendar_h]]&gt;0),tblFleet[[#This Row],[Available_h]]/tblFleet[[#This Row],[Calendar_h]],"")</f>
        <v/>
      </c>
      <c r="J2193" s="60">
        <f>IF(AND(tblFleet[[#This Row],[Units]]&lt;&gt;"",tblFleet[[#This Row],[Available_h]]&gt;0),tblFleet[[#This Row],[Operating_h]]/tblFleet[[#This Row],[Available_h]],"")</f>
        <v/>
      </c>
    </row>
    <row r="2194">
      <c r="A2194" s="54" t="n"/>
      <c r="B2194" s="61" t="n"/>
      <c r="C2194" s="62" t="n"/>
      <c r="D2194" s="57" t="n"/>
      <c r="E2194" s="57" t="n"/>
      <c r="F2194" s="58" t="n"/>
      <c r="G2194" s="66">
        <f>IF(tblFleet[[#This Row],[Units]]="","",tblFleet[[#This Row],[Units]]*24)</f>
        <v/>
      </c>
      <c r="H2194" s="66">
        <f>IF(tblFleet[[#This Row],[Units]]="","",tblFleet[[#This Row],[Calendar_h]]-tblFleet[[#This Row],[Down_h]])</f>
        <v/>
      </c>
      <c r="I2194" s="60">
        <f>IF(AND(tblFleet[[#This Row],[Units]]&lt;&gt;"",tblFleet[[#This Row],[Calendar_h]]&gt;0),tblFleet[[#This Row],[Available_h]]/tblFleet[[#This Row],[Calendar_h]],"")</f>
        <v/>
      </c>
      <c r="J2194" s="60">
        <f>IF(AND(tblFleet[[#This Row],[Units]]&lt;&gt;"",tblFleet[[#This Row],[Available_h]]&gt;0),tblFleet[[#This Row],[Operating_h]]/tblFleet[[#This Row],[Available_h]],"")</f>
        <v/>
      </c>
    </row>
    <row r="2195">
      <c r="A2195" s="54" t="n"/>
      <c r="B2195" s="61" t="n"/>
      <c r="C2195" s="62" t="n"/>
      <c r="D2195" s="57" t="n"/>
      <c r="E2195" s="57" t="n"/>
      <c r="F2195" s="58" t="n"/>
      <c r="G2195" s="66">
        <f>IF(tblFleet[[#This Row],[Units]]="","",tblFleet[[#This Row],[Units]]*24)</f>
        <v/>
      </c>
      <c r="H2195" s="66">
        <f>IF(tblFleet[[#This Row],[Units]]="","",tblFleet[[#This Row],[Calendar_h]]-tblFleet[[#This Row],[Down_h]])</f>
        <v/>
      </c>
      <c r="I2195" s="60">
        <f>IF(AND(tblFleet[[#This Row],[Units]]&lt;&gt;"",tblFleet[[#This Row],[Calendar_h]]&gt;0),tblFleet[[#This Row],[Available_h]]/tblFleet[[#This Row],[Calendar_h]],"")</f>
        <v/>
      </c>
      <c r="J2195" s="60">
        <f>IF(AND(tblFleet[[#This Row],[Units]]&lt;&gt;"",tblFleet[[#This Row],[Available_h]]&gt;0),tblFleet[[#This Row],[Operating_h]]/tblFleet[[#This Row],[Available_h]],"")</f>
        <v/>
      </c>
    </row>
    <row r="2196">
      <c r="A2196" s="54" t="n"/>
      <c r="B2196" s="61" t="n"/>
      <c r="C2196" s="62" t="n"/>
      <c r="D2196" s="57" t="n"/>
      <c r="E2196" s="57" t="n"/>
      <c r="F2196" s="58" t="n"/>
      <c r="G2196" s="66">
        <f>IF(tblFleet[[#This Row],[Units]]="","",tblFleet[[#This Row],[Units]]*24)</f>
        <v/>
      </c>
      <c r="H2196" s="66">
        <f>IF(tblFleet[[#This Row],[Units]]="","",tblFleet[[#This Row],[Calendar_h]]-tblFleet[[#This Row],[Down_h]])</f>
        <v/>
      </c>
      <c r="I2196" s="60">
        <f>IF(AND(tblFleet[[#This Row],[Units]]&lt;&gt;"",tblFleet[[#This Row],[Calendar_h]]&gt;0),tblFleet[[#This Row],[Available_h]]/tblFleet[[#This Row],[Calendar_h]],"")</f>
        <v/>
      </c>
      <c r="J2196" s="60">
        <f>IF(AND(tblFleet[[#This Row],[Units]]&lt;&gt;"",tblFleet[[#This Row],[Available_h]]&gt;0),tblFleet[[#This Row],[Operating_h]]/tblFleet[[#This Row],[Available_h]],"")</f>
        <v/>
      </c>
    </row>
    <row r="2197">
      <c r="A2197" s="54" t="n"/>
      <c r="B2197" s="61" t="n"/>
      <c r="C2197" s="62" t="n"/>
      <c r="D2197" s="57" t="n"/>
      <c r="E2197" s="57" t="n"/>
      <c r="F2197" s="58" t="n"/>
      <c r="G2197" s="66">
        <f>IF(tblFleet[[#This Row],[Units]]="","",tblFleet[[#This Row],[Units]]*24)</f>
        <v/>
      </c>
      <c r="H2197" s="66">
        <f>IF(tblFleet[[#This Row],[Units]]="","",tblFleet[[#This Row],[Calendar_h]]-tblFleet[[#This Row],[Down_h]])</f>
        <v/>
      </c>
      <c r="I2197" s="60">
        <f>IF(AND(tblFleet[[#This Row],[Units]]&lt;&gt;"",tblFleet[[#This Row],[Calendar_h]]&gt;0),tblFleet[[#This Row],[Available_h]]/tblFleet[[#This Row],[Calendar_h]],"")</f>
        <v/>
      </c>
      <c r="J2197" s="60">
        <f>IF(AND(tblFleet[[#This Row],[Units]]&lt;&gt;"",tblFleet[[#This Row],[Available_h]]&gt;0),tblFleet[[#This Row],[Operating_h]]/tblFleet[[#This Row],[Available_h]],"")</f>
        <v/>
      </c>
    </row>
    <row r="2198">
      <c r="A2198" s="54" t="n"/>
      <c r="B2198" s="61" t="n"/>
      <c r="C2198" s="62" t="n"/>
      <c r="D2198" s="57" t="n"/>
      <c r="E2198" s="57" t="n"/>
      <c r="F2198" s="58" t="n"/>
      <c r="G2198" s="66">
        <f>IF(tblFleet[[#This Row],[Units]]="","",tblFleet[[#This Row],[Units]]*24)</f>
        <v/>
      </c>
      <c r="H2198" s="66">
        <f>IF(tblFleet[[#This Row],[Units]]="","",tblFleet[[#This Row],[Calendar_h]]-tblFleet[[#This Row],[Down_h]])</f>
        <v/>
      </c>
      <c r="I2198" s="60">
        <f>IF(AND(tblFleet[[#This Row],[Units]]&lt;&gt;"",tblFleet[[#This Row],[Calendar_h]]&gt;0),tblFleet[[#This Row],[Available_h]]/tblFleet[[#This Row],[Calendar_h]],"")</f>
        <v/>
      </c>
      <c r="J2198" s="60">
        <f>IF(AND(tblFleet[[#This Row],[Units]]&lt;&gt;"",tblFleet[[#This Row],[Available_h]]&gt;0),tblFleet[[#This Row],[Operating_h]]/tblFleet[[#This Row],[Available_h]],"")</f>
        <v/>
      </c>
    </row>
    <row r="2199">
      <c r="A2199" s="54" t="n"/>
      <c r="B2199" s="61" t="n"/>
      <c r="C2199" s="62" t="n"/>
      <c r="D2199" s="57" t="n"/>
      <c r="E2199" s="57" t="n"/>
      <c r="F2199" s="58" t="n"/>
      <c r="G2199" s="66">
        <f>IF(tblFleet[[#This Row],[Units]]="","",tblFleet[[#This Row],[Units]]*24)</f>
        <v/>
      </c>
      <c r="H2199" s="66">
        <f>IF(tblFleet[[#This Row],[Units]]="","",tblFleet[[#This Row],[Calendar_h]]-tblFleet[[#This Row],[Down_h]])</f>
        <v/>
      </c>
      <c r="I2199" s="60">
        <f>IF(AND(tblFleet[[#This Row],[Units]]&lt;&gt;"",tblFleet[[#This Row],[Calendar_h]]&gt;0),tblFleet[[#This Row],[Available_h]]/tblFleet[[#This Row],[Calendar_h]],"")</f>
        <v/>
      </c>
      <c r="J2199" s="60">
        <f>IF(AND(tblFleet[[#This Row],[Units]]&lt;&gt;"",tblFleet[[#This Row],[Available_h]]&gt;0),tblFleet[[#This Row],[Operating_h]]/tblFleet[[#This Row],[Available_h]],"")</f>
        <v/>
      </c>
    </row>
    <row r="2200">
      <c r="A2200" s="54" t="n"/>
      <c r="B2200" s="61" t="n"/>
      <c r="C2200" s="62" t="n"/>
      <c r="D2200" s="57" t="n"/>
      <c r="E2200" s="57" t="n"/>
      <c r="F2200" s="58" t="n"/>
      <c r="G2200" s="66">
        <f>IF(tblFleet[[#This Row],[Units]]="","",tblFleet[[#This Row],[Units]]*24)</f>
        <v/>
      </c>
      <c r="H2200" s="66">
        <f>IF(tblFleet[[#This Row],[Units]]="","",tblFleet[[#This Row],[Calendar_h]]-tblFleet[[#This Row],[Down_h]])</f>
        <v/>
      </c>
      <c r="I2200" s="60">
        <f>IF(AND(tblFleet[[#This Row],[Units]]&lt;&gt;"",tblFleet[[#This Row],[Calendar_h]]&gt;0),tblFleet[[#This Row],[Available_h]]/tblFleet[[#This Row],[Calendar_h]],"")</f>
        <v/>
      </c>
      <c r="J2200" s="60">
        <f>IF(AND(tblFleet[[#This Row],[Units]]&lt;&gt;"",tblFleet[[#This Row],[Available_h]]&gt;0),tblFleet[[#This Row],[Operating_h]]/tblFleet[[#This Row],[Available_h]],"")</f>
        <v/>
      </c>
    </row>
    <row r="2201">
      <c r="A2201" s="54" t="n"/>
      <c r="B2201" s="61" t="n"/>
      <c r="C2201" s="62" t="n"/>
      <c r="D2201" s="57" t="n"/>
      <c r="E2201" s="57" t="n"/>
      <c r="F2201" s="58" t="n"/>
      <c r="G2201" s="66">
        <f>IF(tblFleet[[#This Row],[Units]]="","",tblFleet[[#This Row],[Units]]*24)</f>
        <v/>
      </c>
      <c r="H2201" s="66">
        <f>IF(tblFleet[[#This Row],[Units]]="","",tblFleet[[#This Row],[Calendar_h]]-tblFleet[[#This Row],[Down_h]])</f>
        <v/>
      </c>
      <c r="I2201" s="60">
        <f>IF(AND(tblFleet[[#This Row],[Units]]&lt;&gt;"",tblFleet[[#This Row],[Calendar_h]]&gt;0),tblFleet[[#This Row],[Available_h]]/tblFleet[[#This Row],[Calendar_h]],"")</f>
        <v/>
      </c>
      <c r="J2201" s="60">
        <f>IF(AND(tblFleet[[#This Row],[Units]]&lt;&gt;"",tblFleet[[#This Row],[Available_h]]&gt;0),tblFleet[[#This Row],[Operating_h]]/tblFleet[[#This Row],[Available_h]],"")</f>
        <v/>
      </c>
    </row>
    <row r="2202">
      <c r="A2202" s="54" t="n"/>
      <c r="B2202" s="61" t="n"/>
      <c r="C2202" s="62" t="n"/>
      <c r="D2202" s="57" t="n"/>
      <c r="E2202" s="57" t="n"/>
      <c r="F2202" s="58" t="n"/>
      <c r="G2202" s="66">
        <f>IF(tblFleet[[#This Row],[Units]]="","",tblFleet[[#This Row],[Units]]*24)</f>
        <v/>
      </c>
      <c r="H2202" s="66">
        <f>IF(tblFleet[[#This Row],[Units]]="","",tblFleet[[#This Row],[Calendar_h]]-tblFleet[[#This Row],[Down_h]])</f>
        <v/>
      </c>
      <c r="I2202" s="60">
        <f>IF(AND(tblFleet[[#This Row],[Units]]&lt;&gt;"",tblFleet[[#This Row],[Calendar_h]]&gt;0),tblFleet[[#This Row],[Available_h]]/tblFleet[[#This Row],[Calendar_h]],"")</f>
        <v/>
      </c>
      <c r="J2202" s="60">
        <f>IF(AND(tblFleet[[#This Row],[Units]]&lt;&gt;"",tblFleet[[#This Row],[Available_h]]&gt;0),tblFleet[[#This Row],[Operating_h]]/tblFleet[[#This Row],[Available_h]],"")</f>
        <v/>
      </c>
    </row>
    <row r="2203">
      <c r="A2203" s="54" t="n"/>
      <c r="B2203" s="61" t="n"/>
      <c r="C2203" s="62" t="n"/>
      <c r="D2203" s="57" t="n"/>
      <c r="E2203" s="57" t="n"/>
      <c r="F2203" s="58" t="n"/>
      <c r="G2203" s="66">
        <f>IF(tblFleet[[#This Row],[Units]]="","",tblFleet[[#This Row],[Units]]*24)</f>
        <v/>
      </c>
      <c r="H2203" s="66">
        <f>IF(tblFleet[[#This Row],[Units]]="","",tblFleet[[#This Row],[Calendar_h]]-tblFleet[[#This Row],[Down_h]])</f>
        <v/>
      </c>
      <c r="I2203" s="60">
        <f>IF(AND(tblFleet[[#This Row],[Units]]&lt;&gt;"",tblFleet[[#This Row],[Calendar_h]]&gt;0),tblFleet[[#This Row],[Available_h]]/tblFleet[[#This Row],[Calendar_h]],"")</f>
        <v/>
      </c>
      <c r="J2203" s="60">
        <f>IF(AND(tblFleet[[#This Row],[Units]]&lt;&gt;"",tblFleet[[#This Row],[Available_h]]&gt;0),tblFleet[[#This Row],[Operating_h]]/tblFleet[[#This Row],[Available_h]],"")</f>
        <v/>
      </c>
    </row>
    <row r="2204">
      <c r="A2204" s="54" t="n"/>
      <c r="B2204" s="61" t="n"/>
      <c r="C2204" s="62" t="n"/>
      <c r="D2204" s="57" t="n"/>
      <c r="E2204" s="57" t="n"/>
      <c r="F2204" s="58" t="n"/>
      <c r="G2204" s="66">
        <f>IF(tblFleet[[#This Row],[Units]]="","",tblFleet[[#This Row],[Units]]*24)</f>
        <v/>
      </c>
      <c r="H2204" s="66">
        <f>IF(tblFleet[[#This Row],[Units]]="","",tblFleet[[#This Row],[Calendar_h]]-tblFleet[[#This Row],[Down_h]])</f>
        <v/>
      </c>
      <c r="I2204" s="60">
        <f>IF(AND(tblFleet[[#This Row],[Units]]&lt;&gt;"",tblFleet[[#This Row],[Calendar_h]]&gt;0),tblFleet[[#This Row],[Available_h]]/tblFleet[[#This Row],[Calendar_h]],"")</f>
        <v/>
      </c>
      <c r="J2204" s="60">
        <f>IF(AND(tblFleet[[#This Row],[Units]]&lt;&gt;"",tblFleet[[#This Row],[Available_h]]&gt;0),tblFleet[[#This Row],[Operating_h]]/tblFleet[[#This Row],[Available_h]],"")</f>
        <v/>
      </c>
    </row>
    <row r="2205">
      <c r="A2205" s="54" t="n"/>
      <c r="B2205" s="61" t="n"/>
      <c r="C2205" s="62" t="n"/>
      <c r="D2205" s="57" t="n"/>
      <c r="E2205" s="57" t="n"/>
      <c r="F2205" s="58" t="n"/>
      <c r="G2205" s="66">
        <f>IF(tblFleet[[#This Row],[Units]]="","",tblFleet[[#This Row],[Units]]*24)</f>
        <v/>
      </c>
      <c r="H2205" s="66">
        <f>IF(tblFleet[[#This Row],[Units]]="","",tblFleet[[#This Row],[Calendar_h]]-tblFleet[[#This Row],[Down_h]])</f>
        <v/>
      </c>
      <c r="I2205" s="60">
        <f>IF(AND(tblFleet[[#This Row],[Units]]&lt;&gt;"",tblFleet[[#This Row],[Calendar_h]]&gt;0),tblFleet[[#This Row],[Available_h]]/tblFleet[[#This Row],[Calendar_h]],"")</f>
        <v/>
      </c>
      <c r="J2205" s="60">
        <f>IF(AND(tblFleet[[#This Row],[Units]]&lt;&gt;"",tblFleet[[#This Row],[Available_h]]&gt;0),tblFleet[[#This Row],[Operating_h]]/tblFleet[[#This Row],[Available_h]],"")</f>
        <v/>
      </c>
    </row>
    <row r="2206">
      <c r="A2206" s="54" t="n"/>
      <c r="B2206" s="61" t="n"/>
      <c r="C2206" s="62" t="n"/>
      <c r="D2206" s="57" t="n"/>
      <c r="E2206" s="57" t="n"/>
      <c r="F2206" s="58" t="n"/>
      <c r="G2206" s="66">
        <f>IF(tblFleet[[#This Row],[Units]]="","",tblFleet[[#This Row],[Units]]*24)</f>
        <v/>
      </c>
      <c r="H2206" s="66">
        <f>IF(tblFleet[[#This Row],[Units]]="","",tblFleet[[#This Row],[Calendar_h]]-tblFleet[[#This Row],[Down_h]])</f>
        <v/>
      </c>
      <c r="I2206" s="60">
        <f>IF(AND(tblFleet[[#This Row],[Units]]&lt;&gt;"",tblFleet[[#This Row],[Calendar_h]]&gt;0),tblFleet[[#This Row],[Available_h]]/tblFleet[[#This Row],[Calendar_h]],"")</f>
        <v/>
      </c>
      <c r="J2206" s="60">
        <f>IF(AND(tblFleet[[#This Row],[Units]]&lt;&gt;"",tblFleet[[#This Row],[Available_h]]&gt;0),tblFleet[[#This Row],[Operating_h]]/tblFleet[[#This Row],[Available_h]],"")</f>
        <v/>
      </c>
    </row>
    <row r="2207">
      <c r="A2207" s="54" t="n"/>
      <c r="B2207" s="61" t="n"/>
      <c r="C2207" s="62" t="n"/>
      <c r="D2207" s="57" t="n"/>
      <c r="E2207" s="57" t="n"/>
      <c r="F2207" s="58" t="n"/>
      <c r="G2207" s="66">
        <f>IF(tblFleet[[#This Row],[Units]]="","",tblFleet[[#This Row],[Units]]*24)</f>
        <v/>
      </c>
      <c r="H2207" s="66">
        <f>IF(tblFleet[[#This Row],[Units]]="","",tblFleet[[#This Row],[Calendar_h]]-tblFleet[[#This Row],[Down_h]])</f>
        <v/>
      </c>
      <c r="I2207" s="60">
        <f>IF(AND(tblFleet[[#This Row],[Units]]&lt;&gt;"",tblFleet[[#This Row],[Calendar_h]]&gt;0),tblFleet[[#This Row],[Available_h]]/tblFleet[[#This Row],[Calendar_h]],"")</f>
        <v/>
      </c>
      <c r="J2207" s="60">
        <f>IF(AND(tblFleet[[#This Row],[Units]]&lt;&gt;"",tblFleet[[#This Row],[Available_h]]&gt;0),tblFleet[[#This Row],[Operating_h]]/tblFleet[[#This Row],[Available_h]],"")</f>
        <v/>
      </c>
    </row>
    <row r="2208">
      <c r="A2208" s="54" t="n"/>
      <c r="B2208" s="61" t="n"/>
      <c r="C2208" s="62" t="n"/>
      <c r="D2208" s="57" t="n"/>
      <c r="E2208" s="57" t="n"/>
      <c r="F2208" s="58" t="n"/>
      <c r="G2208" s="66">
        <f>IF(tblFleet[[#This Row],[Units]]="","",tblFleet[[#This Row],[Units]]*24)</f>
        <v/>
      </c>
      <c r="H2208" s="66">
        <f>IF(tblFleet[[#This Row],[Units]]="","",tblFleet[[#This Row],[Calendar_h]]-tblFleet[[#This Row],[Down_h]])</f>
        <v/>
      </c>
      <c r="I2208" s="60">
        <f>IF(AND(tblFleet[[#This Row],[Units]]&lt;&gt;"",tblFleet[[#This Row],[Calendar_h]]&gt;0),tblFleet[[#This Row],[Available_h]]/tblFleet[[#This Row],[Calendar_h]],"")</f>
        <v/>
      </c>
      <c r="J2208" s="60">
        <f>IF(AND(tblFleet[[#This Row],[Units]]&lt;&gt;"",tblFleet[[#This Row],[Available_h]]&gt;0),tblFleet[[#This Row],[Operating_h]]/tblFleet[[#This Row],[Available_h]],"")</f>
        <v/>
      </c>
    </row>
    <row r="2209">
      <c r="A2209" s="54" t="n"/>
      <c r="B2209" s="61" t="n"/>
      <c r="C2209" s="62" t="n"/>
      <c r="D2209" s="57" t="n"/>
      <c r="E2209" s="57" t="n"/>
      <c r="F2209" s="58" t="n"/>
      <c r="G2209" s="66">
        <f>IF(tblFleet[[#This Row],[Units]]="","",tblFleet[[#This Row],[Units]]*24)</f>
        <v/>
      </c>
      <c r="H2209" s="66">
        <f>IF(tblFleet[[#This Row],[Units]]="","",tblFleet[[#This Row],[Calendar_h]]-tblFleet[[#This Row],[Down_h]])</f>
        <v/>
      </c>
      <c r="I2209" s="60">
        <f>IF(AND(tblFleet[[#This Row],[Units]]&lt;&gt;"",tblFleet[[#This Row],[Calendar_h]]&gt;0),tblFleet[[#This Row],[Available_h]]/tblFleet[[#This Row],[Calendar_h]],"")</f>
        <v/>
      </c>
      <c r="J2209" s="60">
        <f>IF(AND(tblFleet[[#This Row],[Units]]&lt;&gt;"",tblFleet[[#This Row],[Available_h]]&gt;0),tblFleet[[#This Row],[Operating_h]]/tblFleet[[#This Row],[Available_h]],"")</f>
        <v/>
      </c>
    </row>
    <row r="2210">
      <c r="A2210" s="54" t="n"/>
      <c r="B2210" s="61" t="n"/>
      <c r="C2210" s="62" t="n"/>
      <c r="D2210" s="57" t="n"/>
      <c r="E2210" s="57" t="n"/>
      <c r="F2210" s="58" t="n"/>
      <c r="G2210" s="66">
        <f>IF(tblFleet[[#This Row],[Units]]="","",tblFleet[[#This Row],[Units]]*24)</f>
        <v/>
      </c>
      <c r="H2210" s="66">
        <f>IF(tblFleet[[#This Row],[Units]]="","",tblFleet[[#This Row],[Calendar_h]]-tblFleet[[#This Row],[Down_h]])</f>
        <v/>
      </c>
      <c r="I2210" s="60">
        <f>IF(AND(tblFleet[[#This Row],[Units]]&lt;&gt;"",tblFleet[[#This Row],[Calendar_h]]&gt;0),tblFleet[[#This Row],[Available_h]]/tblFleet[[#This Row],[Calendar_h]],"")</f>
        <v/>
      </c>
      <c r="J2210" s="60">
        <f>IF(AND(tblFleet[[#This Row],[Units]]&lt;&gt;"",tblFleet[[#This Row],[Available_h]]&gt;0),tblFleet[[#This Row],[Operating_h]]/tblFleet[[#This Row],[Available_h]],"")</f>
        <v/>
      </c>
    </row>
    <row r="2211">
      <c r="A2211" s="54" t="n"/>
      <c r="B2211" s="61" t="n"/>
      <c r="C2211" s="62" t="n"/>
      <c r="D2211" s="57" t="n"/>
      <c r="E2211" s="57" t="n"/>
      <c r="F2211" s="58" t="n"/>
      <c r="G2211" s="66">
        <f>IF(tblFleet[[#This Row],[Units]]="","",tblFleet[[#This Row],[Units]]*24)</f>
        <v/>
      </c>
      <c r="H2211" s="66">
        <f>IF(tblFleet[[#This Row],[Units]]="","",tblFleet[[#This Row],[Calendar_h]]-tblFleet[[#This Row],[Down_h]])</f>
        <v/>
      </c>
      <c r="I2211" s="60">
        <f>IF(AND(tblFleet[[#This Row],[Units]]&lt;&gt;"",tblFleet[[#This Row],[Calendar_h]]&gt;0),tblFleet[[#This Row],[Available_h]]/tblFleet[[#This Row],[Calendar_h]],"")</f>
        <v/>
      </c>
      <c r="J2211" s="60">
        <f>IF(AND(tblFleet[[#This Row],[Units]]&lt;&gt;"",tblFleet[[#This Row],[Available_h]]&gt;0),tblFleet[[#This Row],[Operating_h]]/tblFleet[[#This Row],[Available_h]],"")</f>
        <v/>
      </c>
    </row>
    <row r="2212">
      <c r="A2212" s="54" t="n"/>
      <c r="B2212" s="61" t="n"/>
      <c r="C2212" s="62" t="n"/>
      <c r="D2212" s="57" t="n"/>
      <c r="E2212" s="57" t="n"/>
      <c r="F2212" s="58" t="n"/>
      <c r="G2212" s="66">
        <f>IF(tblFleet[[#This Row],[Units]]="","",tblFleet[[#This Row],[Units]]*24)</f>
        <v/>
      </c>
      <c r="H2212" s="66">
        <f>IF(tblFleet[[#This Row],[Units]]="","",tblFleet[[#This Row],[Calendar_h]]-tblFleet[[#This Row],[Down_h]])</f>
        <v/>
      </c>
      <c r="I2212" s="60">
        <f>IF(AND(tblFleet[[#This Row],[Units]]&lt;&gt;"",tblFleet[[#This Row],[Calendar_h]]&gt;0),tblFleet[[#This Row],[Available_h]]/tblFleet[[#This Row],[Calendar_h]],"")</f>
        <v/>
      </c>
      <c r="J2212" s="60">
        <f>IF(AND(tblFleet[[#This Row],[Units]]&lt;&gt;"",tblFleet[[#This Row],[Available_h]]&gt;0),tblFleet[[#This Row],[Operating_h]]/tblFleet[[#This Row],[Available_h]],"")</f>
        <v/>
      </c>
    </row>
    <row r="2213">
      <c r="A2213" s="54" t="n"/>
      <c r="B2213" s="61" t="n"/>
      <c r="C2213" s="62" t="n"/>
      <c r="D2213" s="57" t="n"/>
      <c r="E2213" s="57" t="n"/>
      <c r="F2213" s="58" t="n"/>
      <c r="G2213" s="66">
        <f>IF(tblFleet[[#This Row],[Units]]="","",tblFleet[[#This Row],[Units]]*24)</f>
        <v/>
      </c>
      <c r="H2213" s="66">
        <f>IF(tblFleet[[#This Row],[Units]]="","",tblFleet[[#This Row],[Calendar_h]]-tblFleet[[#This Row],[Down_h]])</f>
        <v/>
      </c>
      <c r="I2213" s="60">
        <f>IF(AND(tblFleet[[#This Row],[Units]]&lt;&gt;"",tblFleet[[#This Row],[Calendar_h]]&gt;0),tblFleet[[#This Row],[Available_h]]/tblFleet[[#This Row],[Calendar_h]],"")</f>
        <v/>
      </c>
      <c r="J2213" s="60">
        <f>IF(AND(tblFleet[[#This Row],[Units]]&lt;&gt;"",tblFleet[[#This Row],[Available_h]]&gt;0),tblFleet[[#This Row],[Operating_h]]/tblFleet[[#This Row],[Available_h]],"")</f>
        <v/>
      </c>
    </row>
    <row r="2214">
      <c r="A2214" s="54" t="n"/>
      <c r="B2214" s="61" t="n"/>
      <c r="C2214" s="62" t="n"/>
      <c r="D2214" s="57" t="n"/>
      <c r="E2214" s="57" t="n"/>
      <c r="F2214" s="58" t="n"/>
      <c r="G2214" s="66">
        <f>IF(tblFleet[[#This Row],[Units]]="","",tblFleet[[#This Row],[Units]]*24)</f>
        <v/>
      </c>
      <c r="H2214" s="66">
        <f>IF(tblFleet[[#This Row],[Units]]="","",tblFleet[[#This Row],[Calendar_h]]-tblFleet[[#This Row],[Down_h]])</f>
        <v/>
      </c>
      <c r="I2214" s="60">
        <f>IF(AND(tblFleet[[#This Row],[Units]]&lt;&gt;"",tblFleet[[#This Row],[Calendar_h]]&gt;0),tblFleet[[#This Row],[Available_h]]/tblFleet[[#This Row],[Calendar_h]],"")</f>
        <v/>
      </c>
      <c r="J2214" s="60">
        <f>IF(AND(tblFleet[[#This Row],[Units]]&lt;&gt;"",tblFleet[[#This Row],[Available_h]]&gt;0),tblFleet[[#This Row],[Operating_h]]/tblFleet[[#This Row],[Available_h]],"")</f>
        <v/>
      </c>
    </row>
    <row r="2215">
      <c r="A2215" s="54" t="n"/>
      <c r="B2215" s="61" t="n"/>
      <c r="C2215" s="62" t="n"/>
      <c r="D2215" s="57" t="n"/>
      <c r="E2215" s="57" t="n"/>
      <c r="F2215" s="58" t="n"/>
      <c r="G2215" s="66">
        <f>IF(tblFleet[[#This Row],[Units]]="","",tblFleet[[#This Row],[Units]]*24)</f>
        <v/>
      </c>
      <c r="H2215" s="66">
        <f>IF(tblFleet[[#This Row],[Units]]="","",tblFleet[[#This Row],[Calendar_h]]-tblFleet[[#This Row],[Down_h]])</f>
        <v/>
      </c>
      <c r="I2215" s="60">
        <f>IF(AND(tblFleet[[#This Row],[Units]]&lt;&gt;"",tblFleet[[#This Row],[Calendar_h]]&gt;0),tblFleet[[#This Row],[Available_h]]/tblFleet[[#This Row],[Calendar_h]],"")</f>
        <v/>
      </c>
      <c r="J2215" s="60">
        <f>IF(AND(tblFleet[[#This Row],[Units]]&lt;&gt;"",tblFleet[[#This Row],[Available_h]]&gt;0),tblFleet[[#This Row],[Operating_h]]/tblFleet[[#This Row],[Available_h]],"")</f>
        <v/>
      </c>
    </row>
    <row r="2216">
      <c r="A2216" s="54" t="n"/>
      <c r="B2216" s="61" t="n"/>
      <c r="C2216" s="62" t="n"/>
      <c r="D2216" s="57" t="n"/>
      <c r="E2216" s="57" t="n"/>
      <c r="F2216" s="58" t="n"/>
      <c r="G2216" s="66">
        <f>IF(tblFleet[[#This Row],[Units]]="","",tblFleet[[#This Row],[Units]]*24)</f>
        <v/>
      </c>
      <c r="H2216" s="66">
        <f>IF(tblFleet[[#This Row],[Units]]="","",tblFleet[[#This Row],[Calendar_h]]-tblFleet[[#This Row],[Down_h]])</f>
        <v/>
      </c>
      <c r="I2216" s="60">
        <f>IF(AND(tblFleet[[#This Row],[Units]]&lt;&gt;"",tblFleet[[#This Row],[Calendar_h]]&gt;0),tblFleet[[#This Row],[Available_h]]/tblFleet[[#This Row],[Calendar_h]],"")</f>
        <v/>
      </c>
      <c r="J2216" s="60">
        <f>IF(AND(tblFleet[[#This Row],[Units]]&lt;&gt;"",tblFleet[[#This Row],[Available_h]]&gt;0),tblFleet[[#This Row],[Operating_h]]/tblFleet[[#This Row],[Available_h]],"")</f>
        <v/>
      </c>
    </row>
    <row r="2217">
      <c r="A2217" s="54" t="n"/>
      <c r="B2217" s="61" t="n"/>
      <c r="C2217" s="62" t="n"/>
      <c r="D2217" s="57" t="n"/>
      <c r="E2217" s="57" t="n"/>
      <c r="F2217" s="58" t="n"/>
      <c r="G2217" s="66">
        <f>IF(tblFleet[[#This Row],[Units]]="","",tblFleet[[#This Row],[Units]]*24)</f>
        <v/>
      </c>
      <c r="H2217" s="66">
        <f>IF(tblFleet[[#This Row],[Units]]="","",tblFleet[[#This Row],[Calendar_h]]-tblFleet[[#This Row],[Down_h]])</f>
        <v/>
      </c>
      <c r="I2217" s="60">
        <f>IF(AND(tblFleet[[#This Row],[Units]]&lt;&gt;"",tblFleet[[#This Row],[Calendar_h]]&gt;0),tblFleet[[#This Row],[Available_h]]/tblFleet[[#This Row],[Calendar_h]],"")</f>
        <v/>
      </c>
      <c r="J2217" s="60">
        <f>IF(AND(tblFleet[[#This Row],[Units]]&lt;&gt;"",tblFleet[[#This Row],[Available_h]]&gt;0),tblFleet[[#This Row],[Operating_h]]/tblFleet[[#This Row],[Available_h]],"")</f>
        <v/>
      </c>
    </row>
    <row r="2218">
      <c r="A2218" s="54" t="n"/>
      <c r="B2218" s="61" t="n"/>
      <c r="C2218" s="62" t="n"/>
      <c r="D2218" s="57" t="n"/>
      <c r="E2218" s="57" t="n"/>
      <c r="F2218" s="58" t="n"/>
      <c r="G2218" s="66">
        <f>IF(tblFleet[[#This Row],[Units]]="","",tblFleet[[#This Row],[Units]]*24)</f>
        <v/>
      </c>
      <c r="H2218" s="66">
        <f>IF(tblFleet[[#This Row],[Units]]="","",tblFleet[[#This Row],[Calendar_h]]-tblFleet[[#This Row],[Down_h]])</f>
        <v/>
      </c>
      <c r="I2218" s="60">
        <f>IF(AND(tblFleet[[#This Row],[Units]]&lt;&gt;"",tblFleet[[#This Row],[Calendar_h]]&gt;0),tblFleet[[#This Row],[Available_h]]/tblFleet[[#This Row],[Calendar_h]],"")</f>
        <v/>
      </c>
      <c r="J2218" s="60">
        <f>IF(AND(tblFleet[[#This Row],[Units]]&lt;&gt;"",tblFleet[[#This Row],[Available_h]]&gt;0),tblFleet[[#This Row],[Operating_h]]/tblFleet[[#This Row],[Available_h]],"")</f>
        <v/>
      </c>
    </row>
    <row r="2219">
      <c r="A2219" s="54" t="n"/>
      <c r="B2219" s="61" t="n"/>
      <c r="C2219" s="62" t="n"/>
      <c r="D2219" s="57" t="n"/>
      <c r="E2219" s="57" t="n"/>
      <c r="F2219" s="58" t="n"/>
      <c r="G2219" s="66">
        <f>IF(tblFleet[[#This Row],[Units]]="","",tblFleet[[#This Row],[Units]]*24)</f>
        <v/>
      </c>
      <c r="H2219" s="66">
        <f>IF(tblFleet[[#This Row],[Units]]="","",tblFleet[[#This Row],[Calendar_h]]-tblFleet[[#This Row],[Down_h]])</f>
        <v/>
      </c>
      <c r="I2219" s="60">
        <f>IF(AND(tblFleet[[#This Row],[Units]]&lt;&gt;"",tblFleet[[#This Row],[Calendar_h]]&gt;0),tblFleet[[#This Row],[Available_h]]/tblFleet[[#This Row],[Calendar_h]],"")</f>
        <v/>
      </c>
      <c r="J2219" s="60">
        <f>IF(AND(tblFleet[[#This Row],[Units]]&lt;&gt;"",tblFleet[[#This Row],[Available_h]]&gt;0),tblFleet[[#This Row],[Operating_h]]/tblFleet[[#This Row],[Available_h]],"")</f>
        <v/>
      </c>
    </row>
    <row r="2220">
      <c r="A2220" s="54" t="n"/>
      <c r="B2220" s="61" t="n"/>
      <c r="C2220" s="62" t="n"/>
      <c r="D2220" s="57" t="n"/>
      <c r="E2220" s="57" t="n"/>
      <c r="F2220" s="58" t="n"/>
      <c r="G2220" s="66">
        <f>IF(tblFleet[[#This Row],[Units]]="","",tblFleet[[#This Row],[Units]]*24)</f>
        <v/>
      </c>
      <c r="H2220" s="66">
        <f>IF(tblFleet[[#This Row],[Units]]="","",tblFleet[[#This Row],[Calendar_h]]-tblFleet[[#This Row],[Down_h]])</f>
        <v/>
      </c>
      <c r="I2220" s="60">
        <f>IF(AND(tblFleet[[#This Row],[Units]]&lt;&gt;"",tblFleet[[#This Row],[Calendar_h]]&gt;0),tblFleet[[#This Row],[Available_h]]/tblFleet[[#This Row],[Calendar_h]],"")</f>
        <v/>
      </c>
      <c r="J2220" s="60">
        <f>IF(AND(tblFleet[[#This Row],[Units]]&lt;&gt;"",tblFleet[[#This Row],[Available_h]]&gt;0),tblFleet[[#This Row],[Operating_h]]/tblFleet[[#This Row],[Available_h]],"")</f>
        <v/>
      </c>
    </row>
    <row r="2221">
      <c r="A2221" s="54" t="n"/>
      <c r="B2221" s="61" t="n"/>
      <c r="C2221" s="62" t="n"/>
      <c r="D2221" s="57" t="n"/>
      <c r="E2221" s="57" t="n"/>
      <c r="F2221" s="58" t="n"/>
      <c r="G2221" s="66">
        <f>IF(tblFleet[[#This Row],[Units]]="","",tblFleet[[#This Row],[Units]]*24)</f>
        <v/>
      </c>
      <c r="H2221" s="66">
        <f>IF(tblFleet[[#This Row],[Units]]="","",tblFleet[[#This Row],[Calendar_h]]-tblFleet[[#This Row],[Down_h]])</f>
        <v/>
      </c>
      <c r="I2221" s="60">
        <f>IF(AND(tblFleet[[#This Row],[Units]]&lt;&gt;"",tblFleet[[#This Row],[Calendar_h]]&gt;0),tblFleet[[#This Row],[Available_h]]/tblFleet[[#This Row],[Calendar_h]],"")</f>
        <v/>
      </c>
      <c r="J2221" s="60">
        <f>IF(AND(tblFleet[[#This Row],[Units]]&lt;&gt;"",tblFleet[[#This Row],[Available_h]]&gt;0),tblFleet[[#This Row],[Operating_h]]/tblFleet[[#This Row],[Available_h]],"")</f>
        <v/>
      </c>
    </row>
    <row r="2222">
      <c r="A2222" s="54" t="n"/>
      <c r="B2222" s="61" t="n"/>
      <c r="C2222" s="62" t="n"/>
      <c r="D2222" s="57" t="n"/>
      <c r="E2222" s="57" t="n"/>
      <c r="F2222" s="58" t="n"/>
      <c r="G2222" s="66">
        <f>IF(tblFleet[[#This Row],[Units]]="","",tblFleet[[#This Row],[Units]]*24)</f>
        <v/>
      </c>
      <c r="H2222" s="66">
        <f>IF(tblFleet[[#This Row],[Units]]="","",tblFleet[[#This Row],[Calendar_h]]-tblFleet[[#This Row],[Down_h]])</f>
        <v/>
      </c>
      <c r="I2222" s="60">
        <f>IF(AND(tblFleet[[#This Row],[Units]]&lt;&gt;"",tblFleet[[#This Row],[Calendar_h]]&gt;0),tblFleet[[#This Row],[Available_h]]/tblFleet[[#This Row],[Calendar_h]],"")</f>
        <v/>
      </c>
      <c r="J2222" s="60">
        <f>IF(AND(tblFleet[[#This Row],[Units]]&lt;&gt;"",tblFleet[[#This Row],[Available_h]]&gt;0),tblFleet[[#This Row],[Operating_h]]/tblFleet[[#This Row],[Available_h]],"")</f>
        <v/>
      </c>
    </row>
    <row r="2223">
      <c r="A2223" s="54" t="n"/>
      <c r="B2223" s="61" t="n"/>
      <c r="C2223" s="62" t="n"/>
      <c r="D2223" s="57" t="n"/>
      <c r="E2223" s="57" t="n"/>
      <c r="F2223" s="58" t="n"/>
      <c r="G2223" s="66">
        <f>IF(tblFleet[[#This Row],[Units]]="","",tblFleet[[#This Row],[Units]]*24)</f>
        <v/>
      </c>
      <c r="H2223" s="66">
        <f>IF(tblFleet[[#This Row],[Units]]="","",tblFleet[[#This Row],[Calendar_h]]-tblFleet[[#This Row],[Down_h]])</f>
        <v/>
      </c>
      <c r="I2223" s="60">
        <f>IF(AND(tblFleet[[#This Row],[Units]]&lt;&gt;"",tblFleet[[#This Row],[Calendar_h]]&gt;0),tblFleet[[#This Row],[Available_h]]/tblFleet[[#This Row],[Calendar_h]],"")</f>
        <v/>
      </c>
      <c r="J2223" s="60">
        <f>IF(AND(tblFleet[[#This Row],[Units]]&lt;&gt;"",tblFleet[[#This Row],[Available_h]]&gt;0),tblFleet[[#This Row],[Operating_h]]/tblFleet[[#This Row],[Available_h]],"")</f>
        <v/>
      </c>
    </row>
    <row r="2224">
      <c r="A2224" s="54" t="n"/>
      <c r="B2224" s="61" t="n"/>
      <c r="C2224" s="62" t="n"/>
      <c r="D2224" s="57" t="n"/>
      <c r="E2224" s="57" t="n"/>
      <c r="F2224" s="58" t="n"/>
      <c r="G2224" s="66">
        <f>IF(tblFleet[[#This Row],[Units]]="","",tblFleet[[#This Row],[Units]]*24)</f>
        <v/>
      </c>
      <c r="H2224" s="66">
        <f>IF(tblFleet[[#This Row],[Units]]="","",tblFleet[[#This Row],[Calendar_h]]-tblFleet[[#This Row],[Down_h]])</f>
        <v/>
      </c>
      <c r="I2224" s="60">
        <f>IF(AND(tblFleet[[#This Row],[Units]]&lt;&gt;"",tblFleet[[#This Row],[Calendar_h]]&gt;0),tblFleet[[#This Row],[Available_h]]/tblFleet[[#This Row],[Calendar_h]],"")</f>
        <v/>
      </c>
      <c r="J2224" s="60">
        <f>IF(AND(tblFleet[[#This Row],[Units]]&lt;&gt;"",tblFleet[[#This Row],[Available_h]]&gt;0),tblFleet[[#This Row],[Operating_h]]/tblFleet[[#This Row],[Available_h]],"")</f>
        <v/>
      </c>
    </row>
    <row r="2225">
      <c r="A2225" s="54" t="n"/>
      <c r="B2225" s="61" t="n"/>
      <c r="C2225" s="62" t="n"/>
      <c r="D2225" s="57" t="n"/>
      <c r="E2225" s="57" t="n"/>
      <c r="F2225" s="58" t="n"/>
      <c r="G2225" s="66">
        <f>IF(tblFleet[[#This Row],[Units]]="","",tblFleet[[#This Row],[Units]]*24)</f>
        <v/>
      </c>
      <c r="H2225" s="66">
        <f>IF(tblFleet[[#This Row],[Units]]="","",tblFleet[[#This Row],[Calendar_h]]-tblFleet[[#This Row],[Down_h]])</f>
        <v/>
      </c>
      <c r="I2225" s="60">
        <f>IF(AND(tblFleet[[#This Row],[Units]]&lt;&gt;"",tblFleet[[#This Row],[Calendar_h]]&gt;0),tblFleet[[#This Row],[Available_h]]/tblFleet[[#This Row],[Calendar_h]],"")</f>
        <v/>
      </c>
      <c r="J2225" s="60">
        <f>IF(AND(tblFleet[[#This Row],[Units]]&lt;&gt;"",tblFleet[[#This Row],[Available_h]]&gt;0),tblFleet[[#This Row],[Operating_h]]/tblFleet[[#This Row],[Available_h]],"")</f>
        <v/>
      </c>
    </row>
    <row r="2226">
      <c r="A2226" s="54" t="n"/>
      <c r="B2226" s="61" t="n"/>
      <c r="C2226" s="62" t="n"/>
      <c r="D2226" s="57" t="n"/>
      <c r="E2226" s="57" t="n"/>
      <c r="F2226" s="58" t="n"/>
      <c r="G2226" s="66">
        <f>IF(tblFleet[[#This Row],[Units]]="","",tblFleet[[#This Row],[Units]]*24)</f>
        <v/>
      </c>
      <c r="H2226" s="66">
        <f>IF(tblFleet[[#This Row],[Units]]="","",tblFleet[[#This Row],[Calendar_h]]-tblFleet[[#This Row],[Down_h]])</f>
        <v/>
      </c>
      <c r="I2226" s="60">
        <f>IF(AND(tblFleet[[#This Row],[Units]]&lt;&gt;"",tblFleet[[#This Row],[Calendar_h]]&gt;0),tblFleet[[#This Row],[Available_h]]/tblFleet[[#This Row],[Calendar_h]],"")</f>
        <v/>
      </c>
      <c r="J2226" s="60">
        <f>IF(AND(tblFleet[[#This Row],[Units]]&lt;&gt;"",tblFleet[[#This Row],[Available_h]]&gt;0),tblFleet[[#This Row],[Operating_h]]/tblFleet[[#This Row],[Available_h]],"")</f>
        <v/>
      </c>
    </row>
    <row r="2227">
      <c r="A2227" s="54" t="n"/>
      <c r="B2227" s="61" t="n"/>
      <c r="C2227" s="62" t="n"/>
      <c r="D2227" s="57" t="n"/>
      <c r="E2227" s="57" t="n"/>
      <c r="F2227" s="58" t="n"/>
      <c r="G2227" s="66">
        <f>IF(tblFleet[[#This Row],[Units]]="","",tblFleet[[#This Row],[Units]]*24)</f>
        <v/>
      </c>
      <c r="H2227" s="66">
        <f>IF(tblFleet[[#This Row],[Units]]="","",tblFleet[[#This Row],[Calendar_h]]-tblFleet[[#This Row],[Down_h]])</f>
        <v/>
      </c>
      <c r="I2227" s="60">
        <f>IF(AND(tblFleet[[#This Row],[Units]]&lt;&gt;"",tblFleet[[#This Row],[Calendar_h]]&gt;0),tblFleet[[#This Row],[Available_h]]/tblFleet[[#This Row],[Calendar_h]],"")</f>
        <v/>
      </c>
      <c r="J2227" s="60">
        <f>IF(AND(tblFleet[[#This Row],[Units]]&lt;&gt;"",tblFleet[[#This Row],[Available_h]]&gt;0),tblFleet[[#This Row],[Operating_h]]/tblFleet[[#This Row],[Available_h]],"")</f>
        <v/>
      </c>
    </row>
    <row r="2228">
      <c r="A2228" s="54" t="n"/>
      <c r="B2228" s="61" t="n"/>
      <c r="C2228" s="62" t="n"/>
      <c r="D2228" s="57" t="n"/>
      <c r="E2228" s="57" t="n"/>
      <c r="F2228" s="58" t="n"/>
      <c r="G2228" s="66">
        <f>IF(tblFleet[[#This Row],[Units]]="","",tblFleet[[#This Row],[Units]]*24)</f>
        <v/>
      </c>
      <c r="H2228" s="66">
        <f>IF(tblFleet[[#This Row],[Units]]="","",tblFleet[[#This Row],[Calendar_h]]-tblFleet[[#This Row],[Down_h]])</f>
        <v/>
      </c>
      <c r="I2228" s="60">
        <f>IF(AND(tblFleet[[#This Row],[Units]]&lt;&gt;"",tblFleet[[#This Row],[Calendar_h]]&gt;0),tblFleet[[#This Row],[Available_h]]/tblFleet[[#This Row],[Calendar_h]],"")</f>
        <v/>
      </c>
      <c r="J2228" s="60">
        <f>IF(AND(tblFleet[[#This Row],[Units]]&lt;&gt;"",tblFleet[[#This Row],[Available_h]]&gt;0),tblFleet[[#This Row],[Operating_h]]/tblFleet[[#This Row],[Available_h]],"")</f>
        <v/>
      </c>
    </row>
    <row r="2229">
      <c r="A2229" s="54" t="n"/>
      <c r="B2229" s="61" t="n"/>
      <c r="C2229" s="62" t="n"/>
      <c r="D2229" s="57" t="n"/>
      <c r="E2229" s="57" t="n"/>
      <c r="F2229" s="58" t="n"/>
      <c r="G2229" s="66">
        <f>IF(tblFleet[[#This Row],[Units]]="","",tblFleet[[#This Row],[Units]]*24)</f>
        <v/>
      </c>
      <c r="H2229" s="66">
        <f>IF(tblFleet[[#This Row],[Units]]="","",tblFleet[[#This Row],[Calendar_h]]-tblFleet[[#This Row],[Down_h]])</f>
        <v/>
      </c>
      <c r="I2229" s="60">
        <f>IF(AND(tblFleet[[#This Row],[Units]]&lt;&gt;"",tblFleet[[#This Row],[Calendar_h]]&gt;0),tblFleet[[#This Row],[Available_h]]/tblFleet[[#This Row],[Calendar_h]],"")</f>
        <v/>
      </c>
      <c r="J2229" s="60">
        <f>IF(AND(tblFleet[[#This Row],[Units]]&lt;&gt;"",tblFleet[[#This Row],[Available_h]]&gt;0),tblFleet[[#This Row],[Operating_h]]/tblFleet[[#This Row],[Available_h]],"")</f>
        <v/>
      </c>
    </row>
    <row r="2230">
      <c r="A2230" s="54" t="n"/>
      <c r="B2230" s="61" t="n"/>
      <c r="C2230" s="62" t="n"/>
      <c r="D2230" s="57" t="n"/>
      <c r="E2230" s="57" t="n"/>
      <c r="F2230" s="58" t="n"/>
      <c r="G2230" s="66">
        <f>IF(tblFleet[[#This Row],[Units]]="","",tblFleet[[#This Row],[Units]]*24)</f>
        <v/>
      </c>
      <c r="H2230" s="66">
        <f>IF(tblFleet[[#This Row],[Units]]="","",tblFleet[[#This Row],[Calendar_h]]-tblFleet[[#This Row],[Down_h]])</f>
        <v/>
      </c>
      <c r="I2230" s="60">
        <f>IF(AND(tblFleet[[#This Row],[Units]]&lt;&gt;"",tblFleet[[#This Row],[Calendar_h]]&gt;0),tblFleet[[#This Row],[Available_h]]/tblFleet[[#This Row],[Calendar_h]],"")</f>
        <v/>
      </c>
      <c r="J2230" s="60">
        <f>IF(AND(tblFleet[[#This Row],[Units]]&lt;&gt;"",tblFleet[[#This Row],[Available_h]]&gt;0),tblFleet[[#This Row],[Operating_h]]/tblFleet[[#This Row],[Available_h]],"")</f>
        <v/>
      </c>
    </row>
    <row r="2231">
      <c r="A2231" s="54" t="n"/>
      <c r="B2231" s="61" t="n"/>
      <c r="C2231" s="62" t="n"/>
      <c r="D2231" s="57" t="n"/>
      <c r="E2231" s="57" t="n"/>
      <c r="F2231" s="58" t="n"/>
      <c r="G2231" s="66">
        <f>IF(tblFleet[[#This Row],[Units]]="","",tblFleet[[#This Row],[Units]]*24)</f>
        <v/>
      </c>
      <c r="H2231" s="66">
        <f>IF(tblFleet[[#This Row],[Units]]="","",tblFleet[[#This Row],[Calendar_h]]-tblFleet[[#This Row],[Down_h]])</f>
        <v/>
      </c>
      <c r="I2231" s="60">
        <f>IF(AND(tblFleet[[#This Row],[Units]]&lt;&gt;"",tblFleet[[#This Row],[Calendar_h]]&gt;0),tblFleet[[#This Row],[Available_h]]/tblFleet[[#This Row],[Calendar_h]],"")</f>
        <v/>
      </c>
      <c r="J2231" s="60">
        <f>IF(AND(tblFleet[[#This Row],[Units]]&lt;&gt;"",tblFleet[[#This Row],[Available_h]]&gt;0),tblFleet[[#This Row],[Operating_h]]/tblFleet[[#This Row],[Available_h]],"")</f>
        <v/>
      </c>
    </row>
    <row r="2232">
      <c r="A2232" s="54" t="n"/>
      <c r="B2232" s="61" t="n"/>
      <c r="C2232" s="62" t="n"/>
      <c r="D2232" s="57" t="n"/>
      <c r="E2232" s="57" t="n"/>
      <c r="F2232" s="58" t="n"/>
      <c r="G2232" s="66">
        <f>IF(tblFleet[[#This Row],[Units]]="","",tblFleet[[#This Row],[Units]]*24)</f>
        <v/>
      </c>
      <c r="H2232" s="66">
        <f>IF(tblFleet[[#This Row],[Units]]="","",tblFleet[[#This Row],[Calendar_h]]-tblFleet[[#This Row],[Down_h]])</f>
        <v/>
      </c>
      <c r="I2232" s="60">
        <f>IF(AND(tblFleet[[#This Row],[Units]]&lt;&gt;"",tblFleet[[#This Row],[Calendar_h]]&gt;0),tblFleet[[#This Row],[Available_h]]/tblFleet[[#This Row],[Calendar_h]],"")</f>
        <v/>
      </c>
      <c r="J2232" s="60">
        <f>IF(AND(tblFleet[[#This Row],[Units]]&lt;&gt;"",tblFleet[[#This Row],[Available_h]]&gt;0),tblFleet[[#This Row],[Operating_h]]/tblFleet[[#This Row],[Available_h]],"")</f>
        <v/>
      </c>
    </row>
    <row r="2233">
      <c r="A2233" s="54" t="n"/>
      <c r="B2233" s="61" t="n"/>
      <c r="C2233" s="62" t="n"/>
      <c r="D2233" s="57" t="n"/>
      <c r="E2233" s="57" t="n"/>
      <c r="F2233" s="58" t="n"/>
      <c r="G2233" s="66">
        <f>IF(tblFleet[[#This Row],[Units]]="","",tblFleet[[#This Row],[Units]]*24)</f>
        <v/>
      </c>
      <c r="H2233" s="66">
        <f>IF(tblFleet[[#This Row],[Units]]="","",tblFleet[[#This Row],[Calendar_h]]-tblFleet[[#This Row],[Down_h]])</f>
        <v/>
      </c>
      <c r="I2233" s="60">
        <f>IF(AND(tblFleet[[#This Row],[Units]]&lt;&gt;"",tblFleet[[#This Row],[Calendar_h]]&gt;0),tblFleet[[#This Row],[Available_h]]/tblFleet[[#This Row],[Calendar_h]],"")</f>
        <v/>
      </c>
      <c r="J2233" s="60">
        <f>IF(AND(tblFleet[[#This Row],[Units]]&lt;&gt;"",tblFleet[[#This Row],[Available_h]]&gt;0),tblFleet[[#This Row],[Operating_h]]/tblFleet[[#This Row],[Available_h]],"")</f>
        <v/>
      </c>
    </row>
    <row r="2234">
      <c r="A2234" s="54" t="n"/>
      <c r="B2234" s="61" t="n"/>
      <c r="C2234" s="62" t="n"/>
      <c r="D2234" s="57" t="n"/>
      <c r="E2234" s="57" t="n"/>
      <c r="F2234" s="58" t="n"/>
      <c r="G2234" s="66">
        <f>IF(tblFleet[[#This Row],[Units]]="","",tblFleet[[#This Row],[Units]]*24)</f>
        <v/>
      </c>
      <c r="H2234" s="66">
        <f>IF(tblFleet[[#This Row],[Units]]="","",tblFleet[[#This Row],[Calendar_h]]-tblFleet[[#This Row],[Down_h]])</f>
        <v/>
      </c>
      <c r="I2234" s="60">
        <f>IF(AND(tblFleet[[#This Row],[Units]]&lt;&gt;"",tblFleet[[#This Row],[Calendar_h]]&gt;0),tblFleet[[#This Row],[Available_h]]/tblFleet[[#This Row],[Calendar_h]],"")</f>
        <v/>
      </c>
      <c r="J2234" s="60">
        <f>IF(AND(tblFleet[[#This Row],[Units]]&lt;&gt;"",tblFleet[[#This Row],[Available_h]]&gt;0),tblFleet[[#This Row],[Operating_h]]/tblFleet[[#This Row],[Available_h]],"")</f>
        <v/>
      </c>
    </row>
    <row r="2235">
      <c r="A2235" s="54" t="n"/>
      <c r="B2235" s="61" t="n"/>
      <c r="C2235" s="62" t="n"/>
      <c r="D2235" s="57" t="n"/>
      <c r="E2235" s="57" t="n"/>
      <c r="F2235" s="58" t="n"/>
      <c r="G2235" s="66">
        <f>IF(tblFleet[[#This Row],[Units]]="","",tblFleet[[#This Row],[Units]]*24)</f>
        <v/>
      </c>
      <c r="H2235" s="66">
        <f>IF(tblFleet[[#This Row],[Units]]="","",tblFleet[[#This Row],[Calendar_h]]-tblFleet[[#This Row],[Down_h]])</f>
        <v/>
      </c>
      <c r="I2235" s="60">
        <f>IF(AND(tblFleet[[#This Row],[Units]]&lt;&gt;"",tblFleet[[#This Row],[Calendar_h]]&gt;0),tblFleet[[#This Row],[Available_h]]/tblFleet[[#This Row],[Calendar_h]],"")</f>
        <v/>
      </c>
      <c r="J2235" s="60">
        <f>IF(AND(tblFleet[[#This Row],[Units]]&lt;&gt;"",tblFleet[[#This Row],[Available_h]]&gt;0),tblFleet[[#This Row],[Operating_h]]/tblFleet[[#This Row],[Available_h]],"")</f>
        <v/>
      </c>
    </row>
    <row r="2236">
      <c r="A2236" s="54" t="n"/>
      <c r="B2236" s="61" t="n"/>
      <c r="C2236" s="62" t="n"/>
      <c r="D2236" s="57" t="n"/>
      <c r="E2236" s="57" t="n"/>
      <c r="F2236" s="58" t="n"/>
      <c r="G2236" s="66">
        <f>IF(tblFleet[[#This Row],[Units]]="","",tblFleet[[#This Row],[Units]]*24)</f>
        <v/>
      </c>
      <c r="H2236" s="66">
        <f>IF(tblFleet[[#This Row],[Units]]="","",tblFleet[[#This Row],[Calendar_h]]-tblFleet[[#This Row],[Down_h]])</f>
        <v/>
      </c>
      <c r="I2236" s="60">
        <f>IF(AND(tblFleet[[#This Row],[Units]]&lt;&gt;"",tblFleet[[#This Row],[Calendar_h]]&gt;0),tblFleet[[#This Row],[Available_h]]/tblFleet[[#This Row],[Calendar_h]],"")</f>
        <v/>
      </c>
      <c r="J2236" s="60">
        <f>IF(AND(tblFleet[[#This Row],[Units]]&lt;&gt;"",tblFleet[[#This Row],[Available_h]]&gt;0),tblFleet[[#This Row],[Operating_h]]/tblFleet[[#This Row],[Available_h]],"")</f>
        <v/>
      </c>
    </row>
    <row r="2237">
      <c r="A2237" s="54" t="n"/>
      <c r="B2237" s="61" t="n"/>
      <c r="C2237" s="62" t="n"/>
      <c r="D2237" s="57" t="n"/>
      <c r="E2237" s="57" t="n"/>
      <c r="F2237" s="58" t="n"/>
      <c r="G2237" s="66">
        <f>IF(tblFleet[[#This Row],[Units]]="","",tblFleet[[#This Row],[Units]]*24)</f>
        <v/>
      </c>
      <c r="H2237" s="66">
        <f>IF(tblFleet[[#This Row],[Units]]="","",tblFleet[[#This Row],[Calendar_h]]-tblFleet[[#This Row],[Down_h]])</f>
        <v/>
      </c>
      <c r="I2237" s="60">
        <f>IF(AND(tblFleet[[#This Row],[Units]]&lt;&gt;"",tblFleet[[#This Row],[Calendar_h]]&gt;0),tblFleet[[#This Row],[Available_h]]/tblFleet[[#This Row],[Calendar_h]],"")</f>
        <v/>
      </c>
      <c r="J2237" s="60">
        <f>IF(AND(tblFleet[[#This Row],[Units]]&lt;&gt;"",tblFleet[[#This Row],[Available_h]]&gt;0),tblFleet[[#This Row],[Operating_h]]/tblFleet[[#This Row],[Available_h]],"")</f>
        <v/>
      </c>
    </row>
    <row r="2238">
      <c r="A2238" s="54" t="n"/>
      <c r="B2238" s="61" t="n"/>
      <c r="C2238" s="62" t="n"/>
      <c r="D2238" s="57" t="n"/>
      <c r="E2238" s="57" t="n"/>
      <c r="F2238" s="58" t="n"/>
      <c r="G2238" s="66">
        <f>IF(tblFleet[[#This Row],[Units]]="","",tblFleet[[#This Row],[Units]]*24)</f>
        <v/>
      </c>
      <c r="H2238" s="66">
        <f>IF(tblFleet[[#This Row],[Units]]="","",tblFleet[[#This Row],[Calendar_h]]-tblFleet[[#This Row],[Down_h]])</f>
        <v/>
      </c>
      <c r="I2238" s="60">
        <f>IF(AND(tblFleet[[#This Row],[Units]]&lt;&gt;"",tblFleet[[#This Row],[Calendar_h]]&gt;0),tblFleet[[#This Row],[Available_h]]/tblFleet[[#This Row],[Calendar_h]],"")</f>
        <v/>
      </c>
      <c r="J2238" s="60">
        <f>IF(AND(tblFleet[[#This Row],[Units]]&lt;&gt;"",tblFleet[[#This Row],[Available_h]]&gt;0),tblFleet[[#This Row],[Operating_h]]/tblFleet[[#This Row],[Available_h]],"")</f>
        <v/>
      </c>
    </row>
    <row r="2239">
      <c r="A2239" s="54" t="n"/>
      <c r="B2239" s="61" t="n"/>
      <c r="C2239" s="62" t="n"/>
      <c r="D2239" s="57" t="n"/>
      <c r="E2239" s="57" t="n"/>
      <c r="F2239" s="58" t="n"/>
      <c r="G2239" s="66">
        <f>IF(tblFleet[[#This Row],[Units]]="","",tblFleet[[#This Row],[Units]]*24)</f>
        <v/>
      </c>
      <c r="H2239" s="66">
        <f>IF(tblFleet[[#This Row],[Units]]="","",tblFleet[[#This Row],[Calendar_h]]-tblFleet[[#This Row],[Down_h]])</f>
        <v/>
      </c>
      <c r="I2239" s="60">
        <f>IF(AND(tblFleet[[#This Row],[Units]]&lt;&gt;"",tblFleet[[#This Row],[Calendar_h]]&gt;0),tblFleet[[#This Row],[Available_h]]/tblFleet[[#This Row],[Calendar_h]],"")</f>
        <v/>
      </c>
      <c r="J2239" s="60">
        <f>IF(AND(tblFleet[[#This Row],[Units]]&lt;&gt;"",tblFleet[[#This Row],[Available_h]]&gt;0),tblFleet[[#This Row],[Operating_h]]/tblFleet[[#This Row],[Available_h]],"")</f>
        <v/>
      </c>
    </row>
    <row r="2240">
      <c r="A2240" s="54" t="n"/>
      <c r="B2240" s="61" t="n"/>
      <c r="C2240" s="62" t="n"/>
      <c r="D2240" s="57" t="n"/>
      <c r="E2240" s="57" t="n"/>
      <c r="F2240" s="58" t="n"/>
      <c r="G2240" s="66">
        <f>IF(tblFleet[[#This Row],[Units]]="","",tblFleet[[#This Row],[Units]]*24)</f>
        <v/>
      </c>
      <c r="H2240" s="66">
        <f>IF(tblFleet[[#This Row],[Units]]="","",tblFleet[[#This Row],[Calendar_h]]-tblFleet[[#This Row],[Down_h]])</f>
        <v/>
      </c>
      <c r="I2240" s="60">
        <f>IF(AND(tblFleet[[#This Row],[Units]]&lt;&gt;"",tblFleet[[#This Row],[Calendar_h]]&gt;0),tblFleet[[#This Row],[Available_h]]/tblFleet[[#This Row],[Calendar_h]],"")</f>
        <v/>
      </c>
      <c r="J2240" s="60">
        <f>IF(AND(tblFleet[[#This Row],[Units]]&lt;&gt;"",tblFleet[[#This Row],[Available_h]]&gt;0),tblFleet[[#This Row],[Operating_h]]/tblFleet[[#This Row],[Available_h]],"")</f>
        <v/>
      </c>
    </row>
    <row r="2241">
      <c r="A2241" s="54" t="n"/>
      <c r="B2241" s="61" t="n"/>
      <c r="C2241" s="62" t="n"/>
      <c r="D2241" s="57" t="n"/>
      <c r="E2241" s="57" t="n"/>
      <c r="F2241" s="58" t="n"/>
      <c r="G2241" s="66">
        <f>IF(tblFleet[[#This Row],[Units]]="","",tblFleet[[#This Row],[Units]]*24)</f>
        <v/>
      </c>
      <c r="H2241" s="66">
        <f>IF(tblFleet[[#This Row],[Units]]="","",tblFleet[[#This Row],[Calendar_h]]-tblFleet[[#This Row],[Down_h]])</f>
        <v/>
      </c>
      <c r="I2241" s="60">
        <f>IF(AND(tblFleet[[#This Row],[Units]]&lt;&gt;"",tblFleet[[#This Row],[Calendar_h]]&gt;0),tblFleet[[#This Row],[Available_h]]/tblFleet[[#This Row],[Calendar_h]],"")</f>
        <v/>
      </c>
      <c r="J2241" s="60">
        <f>IF(AND(tblFleet[[#This Row],[Units]]&lt;&gt;"",tblFleet[[#This Row],[Available_h]]&gt;0),tblFleet[[#This Row],[Operating_h]]/tblFleet[[#This Row],[Available_h]],"")</f>
        <v/>
      </c>
    </row>
    <row r="2242">
      <c r="A2242" s="54" t="n"/>
      <c r="B2242" s="61" t="n"/>
      <c r="C2242" s="62" t="n"/>
      <c r="D2242" s="57" t="n"/>
      <c r="E2242" s="57" t="n"/>
      <c r="F2242" s="58" t="n"/>
      <c r="G2242" s="66">
        <f>IF(tblFleet[[#This Row],[Units]]="","",tblFleet[[#This Row],[Units]]*24)</f>
        <v/>
      </c>
      <c r="H2242" s="66">
        <f>IF(tblFleet[[#This Row],[Units]]="","",tblFleet[[#This Row],[Calendar_h]]-tblFleet[[#This Row],[Down_h]])</f>
        <v/>
      </c>
      <c r="I2242" s="60">
        <f>IF(AND(tblFleet[[#This Row],[Units]]&lt;&gt;"",tblFleet[[#This Row],[Calendar_h]]&gt;0),tblFleet[[#This Row],[Available_h]]/tblFleet[[#This Row],[Calendar_h]],"")</f>
        <v/>
      </c>
      <c r="J2242" s="60">
        <f>IF(AND(tblFleet[[#This Row],[Units]]&lt;&gt;"",tblFleet[[#This Row],[Available_h]]&gt;0),tblFleet[[#This Row],[Operating_h]]/tblFleet[[#This Row],[Available_h]],"")</f>
        <v/>
      </c>
    </row>
    <row r="2243">
      <c r="A2243" s="54" t="n"/>
      <c r="B2243" s="61" t="n"/>
      <c r="C2243" s="62" t="n"/>
      <c r="D2243" s="57" t="n"/>
      <c r="E2243" s="57" t="n"/>
      <c r="F2243" s="58" t="n"/>
      <c r="G2243" s="66">
        <f>IF(tblFleet[[#This Row],[Units]]="","",tblFleet[[#This Row],[Units]]*24)</f>
        <v/>
      </c>
      <c r="H2243" s="66">
        <f>IF(tblFleet[[#This Row],[Units]]="","",tblFleet[[#This Row],[Calendar_h]]-tblFleet[[#This Row],[Down_h]])</f>
        <v/>
      </c>
      <c r="I2243" s="60">
        <f>IF(AND(tblFleet[[#This Row],[Units]]&lt;&gt;"",tblFleet[[#This Row],[Calendar_h]]&gt;0),tblFleet[[#This Row],[Available_h]]/tblFleet[[#This Row],[Calendar_h]],"")</f>
        <v/>
      </c>
      <c r="J2243" s="60">
        <f>IF(AND(tblFleet[[#This Row],[Units]]&lt;&gt;"",tblFleet[[#This Row],[Available_h]]&gt;0),tblFleet[[#This Row],[Operating_h]]/tblFleet[[#This Row],[Available_h]],"")</f>
        <v/>
      </c>
    </row>
    <row r="2244">
      <c r="A2244" s="54" t="n"/>
      <c r="B2244" s="61" t="n"/>
      <c r="C2244" s="62" t="n"/>
      <c r="D2244" s="57" t="n"/>
      <c r="E2244" s="57" t="n"/>
      <c r="F2244" s="58" t="n"/>
      <c r="G2244" s="66">
        <f>IF(tblFleet[[#This Row],[Units]]="","",tblFleet[[#This Row],[Units]]*24)</f>
        <v/>
      </c>
      <c r="H2244" s="66">
        <f>IF(tblFleet[[#This Row],[Units]]="","",tblFleet[[#This Row],[Calendar_h]]-tblFleet[[#This Row],[Down_h]])</f>
        <v/>
      </c>
      <c r="I2244" s="60">
        <f>IF(AND(tblFleet[[#This Row],[Units]]&lt;&gt;"",tblFleet[[#This Row],[Calendar_h]]&gt;0),tblFleet[[#This Row],[Available_h]]/tblFleet[[#This Row],[Calendar_h]],"")</f>
        <v/>
      </c>
      <c r="J2244" s="60">
        <f>IF(AND(tblFleet[[#This Row],[Units]]&lt;&gt;"",tblFleet[[#This Row],[Available_h]]&gt;0),tblFleet[[#This Row],[Operating_h]]/tblFleet[[#This Row],[Available_h]],"")</f>
        <v/>
      </c>
    </row>
    <row r="2245">
      <c r="A2245" s="54" t="n"/>
      <c r="B2245" s="61" t="n"/>
      <c r="C2245" s="62" t="n"/>
      <c r="D2245" s="57" t="n"/>
      <c r="E2245" s="57" t="n"/>
      <c r="F2245" s="58" t="n"/>
      <c r="G2245" s="66">
        <f>IF(tblFleet[[#This Row],[Units]]="","",tblFleet[[#This Row],[Units]]*24)</f>
        <v/>
      </c>
      <c r="H2245" s="66">
        <f>IF(tblFleet[[#This Row],[Units]]="","",tblFleet[[#This Row],[Calendar_h]]-tblFleet[[#This Row],[Down_h]])</f>
        <v/>
      </c>
      <c r="I2245" s="60">
        <f>IF(AND(tblFleet[[#This Row],[Units]]&lt;&gt;"",tblFleet[[#This Row],[Calendar_h]]&gt;0),tblFleet[[#This Row],[Available_h]]/tblFleet[[#This Row],[Calendar_h]],"")</f>
        <v/>
      </c>
      <c r="J2245" s="60">
        <f>IF(AND(tblFleet[[#This Row],[Units]]&lt;&gt;"",tblFleet[[#This Row],[Available_h]]&gt;0),tblFleet[[#This Row],[Operating_h]]/tblFleet[[#This Row],[Available_h]],"")</f>
        <v/>
      </c>
    </row>
    <row r="2246">
      <c r="A2246" s="54" t="n"/>
      <c r="B2246" s="61" t="n"/>
      <c r="C2246" s="62" t="n"/>
      <c r="D2246" s="57" t="n"/>
      <c r="E2246" s="57" t="n"/>
      <c r="F2246" s="58" t="n"/>
      <c r="G2246" s="66">
        <f>IF(tblFleet[[#This Row],[Units]]="","",tblFleet[[#This Row],[Units]]*24)</f>
        <v/>
      </c>
      <c r="H2246" s="66">
        <f>IF(tblFleet[[#This Row],[Units]]="","",tblFleet[[#This Row],[Calendar_h]]-tblFleet[[#This Row],[Down_h]])</f>
        <v/>
      </c>
      <c r="I2246" s="60">
        <f>IF(AND(tblFleet[[#This Row],[Units]]&lt;&gt;"",tblFleet[[#This Row],[Calendar_h]]&gt;0),tblFleet[[#This Row],[Available_h]]/tblFleet[[#This Row],[Calendar_h]],"")</f>
        <v/>
      </c>
      <c r="J2246" s="60">
        <f>IF(AND(tblFleet[[#This Row],[Units]]&lt;&gt;"",tblFleet[[#This Row],[Available_h]]&gt;0),tblFleet[[#This Row],[Operating_h]]/tblFleet[[#This Row],[Available_h]],"")</f>
        <v/>
      </c>
    </row>
    <row r="2247">
      <c r="A2247" s="54" t="n"/>
      <c r="B2247" s="61" t="n"/>
      <c r="C2247" s="62" t="n"/>
      <c r="D2247" s="57" t="n"/>
      <c r="E2247" s="57" t="n"/>
      <c r="F2247" s="58" t="n"/>
      <c r="G2247" s="66">
        <f>IF(tblFleet[[#This Row],[Units]]="","",tblFleet[[#This Row],[Units]]*24)</f>
        <v/>
      </c>
      <c r="H2247" s="66">
        <f>IF(tblFleet[[#This Row],[Units]]="","",tblFleet[[#This Row],[Calendar_h]]-tblFleet[[#This Row],[Down_h]])</f>
        <v/>
      </c>
      <c r="I2247" s="60">
        <f>IF(AND(tblFleet[[#This Row],[Units]]&lt;&gt;"",tblFleet[[#This Row],[Calendar_h]]&gt;0),tblFleet[[#This Row],[Available_h]]/tblFleet[[#This Row],[Calendar_h]],"")</f>
        <v/>
      </c>
      <c r="J2247" s="60">
        <f>IF(AND(tblFleet[[#This Row],[Units]]&lt;&gt;"",tblFleet[[#This Row],[Available_h]]&gt;0),tblFleet[[#This Row],[Operating_h]]/tblFleet[[#This Row],[Available_h]],"")</f>
        <v/>
      </c>
    </row>
    <row r="2248">
      <c r="A2248" s="54" t="n"/>
      <c r="B2248" s="61" t="n"/>
      <c r="C2248" s="62" t="n"/>
      <c r="D2248" s="57" t="n"/>
      <c r="E2248" s="57" t="n"/>
      <c r="F2248" s="58" t="n"/>
      <c r="G2248" s="66">
        <f>IF(tblFleet[[#This Row],[Units]]="","",tblFleet[[#This Row],[Units]]*24)</f>
        <v/>
      </c>
      <c r="H2248" s="66">
        <f>IF(tblFleet[[#This Row],[Units]]="","",tblFleet[[#This Row],[Calendar_h]]-tblFleet[[#This Row],[Down_h]])</f>
        <v/>
      </c>
      <c r="I2248" s="60">
        <f>IF(AND(tblFleet[[#This Row],[Units]]&lt;&gt;"",tblFleet[[#This Row],[Calendar_h]]&gt;0),tblFleet[[#This Row],[Available_h]]/tblFleet[[#This Row],[Calendar_h]],"")</f>
        <v/>
      </c>
      <c r="J2248" s="60">
        <f>IF(AND(tblFleet[[#This Row],[Units]]&lt;&gt;"",tblFleet[[#This Row],[Available_h]]&gt;0),tblFleet[[#This Row],[Operating_h]]/tblFleet[[#This Row],[Available_h]],"")</f>
        <v/>
      </c>
    </row>
    <row r="2249">
      <c r="A2249" s="54" t="n"/>
      <c r="B2249" s="61" t="n"/>
      <c r="C2249" s="62" t="n"/>
      <c r="D2249" s="57" t="n"/>
      <c r="E2249" s="57" t="n"/>
      <c r="F2249" s="58" t="n"/>
      <c r="G2249" s="66">
        <f>IF(tblFleet[[#This Row],[Units]]="","",tblFleet[[#This Row],[Units]]*24)</f>
        <v/>
      </c>
      <c r="H2249" s="66">
        <f>IF(tblFleet[[#This Row],[Units]]="","",tblFleet[[#This Row],[Calendar_h]]-tblFleet[[#This Row],[Down_h]])</f>
        <v/>
      </c>
      <c r="I2249" s="60">
        <f>IF(AND(tblFleet[[#This Row],[Units]]&lt;&gt;"",tblFleet[[#This Row],[Calendar_h]]&gt;0),tblFleet[[#This Row],[Available_h]]/tblFleet[[#This Row],[Calendar_h]],"")</f>
        <v/>
      </c>
      <c r="J2249" s="60">
        <f>IF(AND(tblFleet[[#This Row],[Units]]&lt;&gt;"",tblFleet[[#This Row],[Available_h]]&gt;0),tblFleet[[#This Row],[Operating_h]]/tblFleet[[#This Row],[Available_h]],"")</f>
        <v/>
      </c>
    </row>
    <row r="2250">
      <c r="A2250" s="54" t="n"/>
      <c r="B2250" s="61" t="n"/>
      <c r="C2250" s="62" t="n"/>
      <c r="D2250" s="57" t="n"/>
      <c r="E2250" s="57" t="n"/>
      <c r="F2250" s="58" t="n"/>
      <c r="G2250" s="66">
        <f>IF(tblFleet[[#This Row],[Units]]="","",tblFleet[[#This Row],[Units]]*24)</f>
        <v/>
      </c>
      <c r="H2250" s="66">
        <f>IF(tblFleet[[#This Row],[Units]]="","",tblFleet[[#This Row],[Calendar_h]]-tblFleet[[#This Row],[Down_h]])</f>
        <v/>
      </c>
      <c r="I2250" s="60">
        <f>IF(AND(tblFleet[[#This Row],[Units]]&lt;&gt;"",tblFleet[[#This Row],[Calendar_h]]&gt;0),tblFleet[[#This Row],[Available_h]]/tblFleet[[#This Row],[Calendar_h]],"")</f>
        <v/>
      </c>
      <c r="J2250" s="60">
        <f>IF(AND(tblFleet[[#This Row],[Units]]&lt;&gt;"",tblFleet[[#This Row],[Available_h]]&gt;0),tblFleet[[#This Row],[Operating_h]]/tblFleet[[#This Row],[Available_h]],"")</f>
        <v/>
      </c>
    </row>
    <row r="2251">
      <c r="A2251" s="54" t="n"/>
      <c r="B2251" s="61" t="n"/>
      <c r="C2251" s="62" t="n"/>
      <c r="D2251" s="57" t="n"/>
      <c r="E2251" s="57" t="n"/>
      <c r="F2251" s="58" t="n"/>
      <c r="G2251" s="66">
        <f>IF(tblFleet[[#This Row],[Units]]="","",tblFleet[[#This Row],[Units]]*24)</f>
        <v/>
      </c>
      <c r="H2251" s="66">
        <f>IF(tblFleet[[#This Row],[Units]]="","",tblFleet[[#This Row],[Calendar_h]]-tblFleet[[#This Row],[Down_h]])</f>
        <v/>
      </c>
      <c r="I2251" s="60">
        <f>IF(AND(tblFleet[[#This Row],[Units]]&lt;&gt;"",tblFleet[[#This Row],[Calendar_h]]&gt;0),tblFleet[[#This Row],[Available_h]]/tblFleet[[#This Row],[Calendar_h]],"")</f>
        <v/>
      </c>
      <c r="J2251" s="60">
        <f>IF(AND(tblFleet[[#This Row],[Units]]&lt;&gt;"",tblFleet[[#This Row],[Available_h]]&gt;0),tblFleet[[#This Row],[Operating_h]]/tblFleet[[#This Row],[Available_h]],"")</f>
        <v/>
      </c>
    </row>
    <row r="2252">
      <c r="A2252" s="54" t="n"/>
      <c r="B2252" s="61" t="n"/>
      <c r="C2252" s="62" t="n"/>
      <c r="D2252" s="57" t="n"/>
      <c r="E2252" s="57" t="n"/>
      <c r="F2252" s="58" t="n"/>
      <c r="G2252" s="66">
        <f>IF(tblFleet[[#This Row],[Units]]="","",tblFleet[[#This Row],[Units]]*24)</f>
        <v/>
      </c>
      <c r="H2252" s="66">
        <f>IF(tblFleet[[#This Row],[Units]]="","",tblFleet[[#This Row],[Calendar_h]]-tblFleet[[#This Row],[Down_h]])</f>
        <v/>
      </c>
      <c r="I2252" s="60">
        <f>IF(AND(tblFleet[[#This Row],[Units]]&lt;&gt;"",tblFleet[[#This Row],[Calendar_h]]&gt;0),tblFleet[[#This Row],[Available_h]]/tblFleet[[#This Row],[Calendar_h]],"")</f>
        <v/>
      </c>
      <c r="J2252" s="60">
        <f>IF(AND(tblFleet[[#This Row],[Units]]&lt;&gt;"",tblFleet[[#This Row],[Available_h]]&gt;0),tblFleet[[#This Row],[Operating_h]]/tblFleet[[#This Row],[Available_h]],"")</f>
        <v/>
      </c>
    </row>
    <row r="2253">
      <c r="A2253" s="54" t="n"/>
      <c r="B2253" s="61" t="n"/>
      <c r="C2253" s="62" t="n"/>
      <c r="D2253" s="57" t="n"/>
      <c r="E2253" s="57" t="n"/>
      <c r="F2253" s="58" t="n"/>
      <c r="G2253" s="66">
        <f>IF(tblFleet[[#This Row],[Units]]="","",tblFleet[[#This Row],[Units]]*24)</f>
        <v/>
      </c>
      <c r="H2253" s="66">
        <f>IF(tblFleet[[#This Row],[Units]]="","",tblFleet[[#This Row],[Calendar_h]]-tblFleet[[#This Row],[Down_h]])</f>
        <v/>
      </c>
      <c r="I2253" s="60">
        <f>IF(AND(tblFleet[[#This Row],[Units]]&lt;&gt;"",tblFleet[[#This Row],[Calendar_h]]&gt;0),tblFleet[[#This Row],[Available_h]]/tblFleet[[#This Row],[Calendar_h]],"")</f>
        <v/>
      </c>
      <c r="J2253" s="60">
        <f>IF(AND(tblFleet[[#This Row],[Units]]&lt;&gt;"",tblFleet[[#This Row],[Available_h]]&gt;0),tblFleet[[#This Row],[Operating_h]]/tblFleet[[#This Row],[Available_h]],"")</f>
        <v/>
      </c>
    </row>
    <row r="2254">
      <c r="A2254" s="54" t="n"/>
      <c r="B2254" s="61" t="n"/>
      <c r="C2254" s="62" t="n"/>
      <c r="D2254" s="57" t="n"/>
      <c r="E2254" s="57" t="n"/>
      <c r="F2254" s="58" t="n"/>
      <c r="G2254" s="66">
        <f>IF(tblFleet[[#This Row],[Units]]="","",tblFleet[[#This Row],[Units]]*24)</f>
        <v/>
      </c>
      <c r="H2254" s="66">
        <f>IF(tblFleet[[#This Row],[Units]]="","",tblFleet[[#This Row],[Calendar_h]]-tblFleet[[#This Row],[Down_h]])</f>
        <v/>
      </c>
      <c r="I2254" s="60">
        <f>IF(AND(tblFleet[[#This Row],[Units]]&lt;&gt;"",tblFleet[[#This Row],[Calendar_h]]&gt;0),tblFleet[[#This Row],[Available_h]]/tblFleet[[#This Row],[Calendar_h]],"")</f>
        <v/>
      </c>
      <c r="J2254" s="60">
        <f>IF(AND(tblFleet[[#This Row],[Units]]&lt;&gt;"",tblFleet[[#This Row],[Available_h]]&gt;0),tblFleet[[#This Row],[Operating_h]]/tblFleet[[#This Row],[Available_h]],"")</f>
        <v/>
      </c>
    </row>
    <row r="2255">
      <c r="A2255" s="54" t="n"/>
      <c r="B2255" s="61" t="n"/>
      <c r="C2255" s="62" t="n"/>
      <c r="D2255" s="57" t="n"/>
      <c r="E2255" s="57" t="n"/>
      <c r="F2255" s="58" t="n"/>
      <c r="G2255" s="66">
        <f>IF(tblFleet[[#This Row],[Units]]="","",tblFleet[[#This Row],[Units]]*24)</f>
        <v/>
      </c>
      <c r="H2255" s="66">
        <f>IF(tblFleet[[#This Row],[Units]]="","",tblFleet[[#This Row],[Calendar_h]]-tblFleet[[#This Row],[Down_h]])</f>
        <v/>
      </c>
      <c r="I2255" s="60">
        <f>IF(AND(tblFleet[[#This Row],[Units]]&lt;&gt;"",tblFleet[[#This Row],[Calendar_h]]&gt;0),tblFleet[[#This Row],[Available_h]]/tblFleet[[#This Row],[Calendar_h]],"")</f>
        <v/>
      </c>
      <c r="J2255" s="60">
        <f>IF(AND(tblFleet[[#This Row],[Units]]&lt;&gt;"",tblFleet[[#This Row],[Available_h]]&gt;0),tblFleet[[#This Row],[Operating_h]]/tblFleet[[#This Row],[Available_h]],"")</f>
        <v/>
      </c>
    </row>
    <row r="2256">
      <c r="A2256" s="54" t="n"/>
      <c r="B2256" s="61" t="n"/>
      <c r="C2256" s="62" t="n"/>
      <c r="D2256" s="57" t="n"/>
      <c r="E2256" s="57" t="n"/>
      <c r="F2256" s="58" t="n"/>
      <c r="G2256" s="66">
        <f>IF(tblFleet[[#This Row],[Units]]="","",tblFleet[[#This Row],[Units]]*24)</f>
        <v/>
      </c>
      <c r="H2256" s="66">
        <f>IF(tblFleet[[#This Row],[Units]]="","",tblFleet[[#This Row],[Calendar_h]]-tblFleet[[#This Row],[Down_h]])</f>
        <v/>
      </c>
      <c r="I2256" s="60">
        <f>IF(AND(tblFleet[[#This Row],[Units]]&lt;&gt;"",tblFleet[[#This Row],[Calendar_h]]&gt;0),tblFleet[[#This Row],[Available_h]]/tblFleet[[#This Row],[Calendar_h]],"")</f>
        <v/>
      </c>
      <c r="J2256" s="60">
        <f>IF(AND(tblFleet[[#This Row],[Units]]&lt;&gt;"",tblFleet[[#This Row],[Available_h]]&gt;0),tblFleet[[#This Row],[Operating_h]]/tblFleet[[#This Row],[Available_h]],"")</f>
        <v/>
      </c>
    </row>
    <row r="2257">
      <c r="A2257" s="54" t="n"/>
      <c r="B2257" s="61" t="n"/>
      <c r="C2257" s="62" t="n"/>
      <c r="D2257" s="57" t="n"/>
      <c r="E2257" s="57" t="n"/>
      <c r="F2257" s="58" t="n"/>
      <c r="G2257" s="66">
        <f>IF(tblFleet[[#This Row],[Units]]="","",tblFleet[[#This Row],[Units]]*24)</f>
        <v/>
      </c>
      <c r="H2257" s="66">
        <f>IF(tblFleet[[#This Row],[Units]]="","",tblFleet[[#This Row],[Calendar_h]]-tblFleet[[#This Row],[Down_h]])</f>
        <v/>
      </c>
      <c r="I2257" s="60">
        <f>IF(AND(tblFleet[[#This Row],[Units]]&lt;&gt;"",tblFleet[[#This Row],[Calendar_h]]&gt;0),tblFleet[[#This Row],[Available_h]]/tblFleet[[#This Row],[Calendar_h]],"")</f>
        <v/>
      </c>
      <c r="J2257" s="60">
        <f>IF(AND(tblFleet[[#This Row],[Units]]&lt;&gt;"",tblFleet[[#This Row],[Available_h]]&gt;0),tblFleet[[#This Row],[Operating_h]]/tblFleet[[#This Row],[Available_h]],"")</f>
        <v/>
      </c>
    </row>
    <row r="2258">
      <c r="A2258" s="54" t="n"/>
      <c r="B2258" s="61" t="n"/>
      <c r="C2258" s="62" t="n"/>
      <c r="D2258" s="57" t="n"/>
      <c r="E2258" s="57" t="n"/>
      <c r="F2258" s="58" t="n"/>
      <c r="G2258" s="66">
        <f>IF(tblFleet[[#This Row],[Units]]="","",tblFleet[[#This Row],[Units]]*24)</f>
        <v/>
      </c>
      <c r="H2258" s="66">
        <f>IF(tblFleet[[#This Row],[Units]]="","",tblFleet[[#This Row],[Calendar_h]]-tblFleet[[#This Row],[Down_h]])</f>
        <v/>
      </c>
      <c r="I2258" s="60">
        <f>IF(AND(tblFleet[[#This Row],[Units]]&lt;&gt;"",tblFleet[[#This Row],[Calendar_h]]&gt;0),tblFleet[[#This Row],[Available_h]]/tblFleet[[#This Row],[Calendar_h]],"")</f>
        <v/>
      </c>
      <c r="J2258" s="60">
        <f>IF(AND(tblFleet[[#This Row],[Units]]&lt;&gt;"",tblFleet[[#This Row],[Available_h]]&gt;0),tblFleet[[#This Row],[Operating_h]]/tblFleet[[#This Row],[Available_h]],"")</f>
        <v/>
      </c>
    </row>
    <row r="2259">
      <c r="A2259" s="54" t="n"/>
      <c r="B2259" s="61" t="n"/>
      <c r="C2259" s="62" t="n"/>
      <c r="D2259" s="57" t="n"/>
      <c r="E2259" s="57" t="n"/>
      <c r="F2259" s="58" t="n"/>
      <c r="G2259" s="66">
        <f>IF(tblFleet[[#This Row],[Units]]="","",tblFleet[[#This Row],[Units]]*24)</f>
        <v/>
      </c>
      <c r="H2259" s="66">
        <f>IF(tblFleet[[#This Row],[Units]]="","",tblFleet[[#This Row],[Calendar_h]]-tblFleet[[#This Row],[Down_h]])</f>
        <v/>
      </c>
      <c r="I2259" s="60">
        <f>IF(AND(tblFleet[[#This Row],[Units]]&lt;&gt;"",tblFleet[[#This Row],[Calendar_h]]&gt;0),tblFleet[[#This Row],[Available_h]]/tblFleet[[#This Row],[Calendar_h]],"")</f>
        <v/>
      </c>
      <c r="J2259" s="60">
        <f>IF(AND(tblFleet[[#This Row],[Units]]&lt;&gt;"",tblFleet[[#This Row],[Available_h]]&gt;0),tblFleet[[#This Row],[Operating_h]]/tblFleet[[#This Row],[Available_h]],"")</f>
        <v/>
      </c>
    </row>
    <row r="2260">
      <c r="A2260" s="54" t="n"/>
      <c r="B2260" s="61" t="n"/>
      <c r="C2260" s="62" t="n"/>
      <c r="D2260" s="57" t="n"/>
      <c r="E2260" s="57" t="n"/>
      <c r="F2260" s="58" t="n"/>
      <c r="G2260" s="66">
        <f>IF(tblFleet[[#This Row],[Units]]="","",tblFleet[[#This Row],[Units]]*24)</f>
        <v/>
      </c>
      <c r="H2260" s="66">
        <f>IF(tblFleet[[#This Row],[Units]]="","",tblFleet[[#This Row],[Calendar_h]]-tblFleet[[#This Row],[Down_h]])</f>
        <v/>
      </c>
      <c r="I2260" s="60">
        <f>IF(AND(tblFleet[[#This Row],[Units]]&lt;&gt;"",tblFleet[[#This Row],[Calendar_h]]&gt;0),tblFleet[[#This Row],[Available_h]]/tblFleet[[#This Row],[Calendar_h]],"")</f>
        <v/>
      </c>
      <c r="J2260" s="60">
        <f>IF(AND(tblFleet[[#This Row],[Units]]&lt;&gt;"",tblFleet[[#This Row],[Available_h]]&gt;0),tblFleet[[#This Row],[Operating_h]]/tblFleet[[#This Row],[Available_h]],"")</f>
        <v/>
      </c>
    </row>
    <row r="2261">
      <c r="A2261" s="54" t="n"/>
      <c r="B2261" s="61" t="n"/>
      <c r="C2261" s="62" t="n"/>
      <c r="D2261" s="57" t="n"/>
      <c r="E2261" s="57" t="n"/>
      <c r="F2261" s="58" t="n"/>
      <c r="G2261" s="66">
        <f>IF(tblFleet[[#This Row],[Units]]="","",tblFleet[[#This Row],[Units]]*24)</f>
        <v/>
      </c>
      <c r="H2261" s="66">
        <f>IF(tblFleet[[#This Row],[Units]]="","",tblFleet[[#This Row],[Calendar_h]]-tblFleet[[#This Row],[Down_h]])</f>
        <v/>
      </c>
      <c r="I2261" s="60">
        <f>IF(AND(tblFleet[[#This Row],[Units]]&lt;&gt;"",tblFleet[[#This Row],[Calendar_h]]&gt;0),tblFleet[[#This Row],[Available_h]]/tblFleet[[#This Row],[Calendar_h]],"")</f>
        <v/>
      </c>
      <c r="J2261" s="60">
        <f>IF(AND(tblFleet[[#This Row],[Units]]&lt;&gt;"",tblFleet[[#This Row],[Available_h]]&gt;0),tblFleet[[#This Row],[Operating_h]]/tblFleet[[#This Row],[Available_h]],"")</f>
        <v/>
      </c>
    </row>
    <row r="2262">
      <c r="A2262" s="54" t="n"/>
      <c r="B2262" s="61" t="n"/>
      <c r="C2262" s="62" t="n"/>
      <c r="D2262" s="57" t="n"/>
      <c r="E2262" s="57" t="n"/>
      <c r="F2262" s="58" t="n"/>
      <c r="G2262" s="66">
        <f>IF(tblFleet[[#This Row],[Units]]="","",tblFleet[[#This Row],[Units]]*24)</f>
        <v/>
      </c>
      <c r="H2262" s="66">
        <f>IF(tblFleet[[#This Row],[Units]]="","",tblFleet[[#This Row],[Calendar_h]]-tblFleet[[#This Row],[Down_h]])</f>
        <v/>
      </c>
      <c r="I2262" s="60">
        <f>IF(AND(tblFleet[[#This Row],[Units]]&lt;&gt;"",tblFleet[[#This Row],[Calendar_h]]&gt;0),tblFleet[[#This Row],[Available_h]]/tblFleet[[#This Row],[Calendar_h]],"")</f>
        <v/>
      </c>
      <c r="J2262" s="60">
        <f>IF(AND(tblFleet[[#This Row],[Units]]&lt;&gt;"",tblFleet[[#This Row],[Available_h]]&gt;0),tblFleet[[#This Row],[Operating_h]]/tblFleet[[#This Row],[Available_h]],"")</f>
        <v/>
      </c>
    </row>
    <row r="2263">
      <c r="A2263" s="54" t="n"/>
      <c r="B2263" s="61" t="n"/>
      <c r="C2263" s="62" t="n"/>
      <c r="D2263" s="57" t="n"/>
      <c r="E2263" s="57" t="n"/>
      <c r="F2263" s="58" t="n"/>
      <c r="G2263" s="66">
        <f>IF(tblFleet[[#This Row],[Units]]="","",tblFleet[[#This Row],[Units]]*24)</f>
        <v/>
      </c>
      <c r="H2263" s="66">
        <f>IF(tblFleet[[#This Row],[Units]]="","",tblFleet[[#This Row],[Calendar_h]]-tblFleet[[#This Row],[Down_h]])</f>
        <v/>
      </c>
      <c r="I2263" s="60">
        <f>IF(AND(tblFleet[[#This Row],[Units]]&lt;&gt;"",tblFleet[[#This Row],[Calendar_h]]&gt;0),tblFleet[[#This Row],[Available_h]]/tblFleet[[#This Row],[Calendar_h]],"")</f>
        <v/>
      </c>
      <c r="J2263" s="60">
        <f>IF(AND(tblFleet[[#This Row],[Units]]&lt;&gt;"",tblFleet[[#This Row],[Available_h]]&gt;0),tblFleet[[#This Row],[Operating_h]]/tblFleet[[#This Row],[Available_h]],"")</f>
        <v/>
      </c>
    </row>
    <row r="2264">
      <c r="A2264" s="54" t="n"/>
      <c r="B2264" s="61" t="n"/>
      <c r="C2264" s="62" t="n"/>
      <c r="D2264" s="57" t="n"/>
      <c r="E2264" s="57" t="n"/>
      <c r="F2264" s="58" t="n"/>
      <c r="G2264" s="66">
        <f>IF(tblFleet[[#This Row],[Units]]="","",tblFleet[[#This Row],[Units]]*24)</f>
        <v/>
      </c>
      <c r="H2264" s="66">
        <f>IF(tblFleet[[#This Row],[Units]]="","",tblFleet[[#This Row],[Calendar_h]]-tblFleet[[#This Row],[Down_h]])</f>
        <v/>
      </c>
      <c r="I2264" s="60">
        <f>IF(AND(tblFleet[[#This Row],[Units]]&lt;&gt;"",tblFleet[[#This Row],[Calendar_h]]&gt;0),tblFleet[[#This Row],[Available_h]]/tblFleet[[#This Row],[Calendar_h]],"")</f>
        <v/>
      </c>
      <c r="J2264" s="60">
        <f>IF(AND(tblFleet[[#This Row],[Units]]&lt;&gt;"",tblFleet[[#This Row],[Available_h]]&gt;0),tblFleet[[#This Row],[Operating_h]]/tblFleet[[#This Row],[Available_h]],"")</f>
        <v/>
      </c>
    </row>
    <row r="2265">
      <c r="A2265" s="54" t="n"/>
      <c r="B2265" s="61" t="n"/>
      <c r="C2265" s="62" t="n"/>
      <c r="D2265" s="57" t="n"/>
      <c r="E2265" s="57" t="n"/>
      <c r="F2265" s="58" t="n"/>
      <c r="G2265" s="66">
        <f>IF(tblFleet[[#This Row],[Units]]="","",tblFleet[[#This Row],[Units]]*24)</f>
        <v/>
      </c>
      <c r="H2265" s="66">
        <f>IF(tblFleet[[#This Row],[Units]]="","",tblFleet[[#This Row],[Calendar_h]]-tblFleet[[#This Row],[Down_h]])</f>
        <v/>
      </c>
      <c r="I2265" s="60">
        <f>IF(AND(tblFleet[[#This Row],[Units]]&lt;&gt;"",tblFleet[[#This Row],[Calendar_h]]&gt;0),tblFleet[[#This Row],[Available_h]]/tblFleet[[#This Row],[Calendar_h]],"")</f>
        <v/>
      </c>
      <c r="J2265" s="60">
        <f>IF(AND(tblFleet[[#This Row],[Units]]&lt;&gt;"",tblFleet[[#This Row],[Available_h]]&gt;0),tblFleet[[#This Row],[Operating_h]]/tblFleet[[#This Row],[Available_h]],"")</f>
        <v/>
      </c>
    </row>
    <row r="2266">
      <c r="A2266" s="54" t="n"/>
      <c r="B2266" s="61" t="n"/>
      <c r="C2266" s="62" t="n"/>
      <c r="D2266" s="57" t="n"/>
      <c r="E2266" s="57" t="n"/>
      <c r="F2266" s="58" t="n"/>
      <c r="G2266" s="66">
        <f>IF(tblFleet[[#This Row],[Units]]="","",tblFleet[[#This Row],[Units]]*24)</f>
        <v/>
      </c>
      <c r="H2266" s="66">
        <f>IF(tblFleet[[#This Row],[Units]]="","",tblFleet[[#This Row],[Calendar_h]]-tblFleet[[#This Row],[Down_h]])</f>
        <v/>
      </c>
      <c r="I2266" s="60">
        <f>IF(AND(tblFleet[[#This Row],[Units]]&lt;&gt;"",tblFleet[[#This Row],[Calendar_h]]&gt;0),tblFleet[[#This Row],[Available_h]]/tblFleet[[#This Row],[Calendar_h]],"")</f>
        <v/>
      </c>
      <c r="J2266" s="60">
        <f>IF(AND(tblFleet[[#This Row],[Units]]&lt;&gt;"",tblFleet[[#This Row],[Available_h]]&gt;0),tblFleet[[#This Row],[Operating_h]]/tblFleet[[#This Row],[Available_h]],"")</f>
        <v/>
      </c>
    </row>
    <row r="2267">
      <c r="A2267" s="54" t="n"/>
      <c r="B2267" s="61" t="n"/>
      <c r="C2267" s="62" t="n"/>
      <c r="D2267" s="57" t="n"/>
      <c r="E2267" s="57" t="n"/>
      <c r="F2267" s="58" t="n"/>
      <c r="G2267" s="66">
        <f>IF(tblFleet[[#This Row],[Units]]="","",tblFleet[[#This Row],[Units]]*24)</f>
        <v/>
      </c>
      <c r="H2267" s="66">
        <f>IF(tblFleet[[#This Row],[Units]]="","",tblFleet[[#This Row],[Calendar_h]]-tblFleet[[#This Row],[Down_h]])</f>
        <v/>
      </c>
      <c r="I2267" s="60">
        <f>IF(AND(tblFleet[[#This Row],[Units]]&lt;&gt;"",tblFleet[[#This Row],[Calendar_h]]&gt;0),tblFleet[[#This Row],[Available_h]]/tblFleet[[#This Row],[Calendar_h]],"")</f>
        <v/>
      </c>
      <c r="J2267" s="60">
        <f>IF(AND(tblFleet[[#This Row],[Units]]&lt;&gt;"",tblFleet[[#This Row],[Available_h]]&gt;0),tblFleet[[#This Row],[Operating_h]]/tblFleet[[#This Row],[Available_h]],"")</f>
        <v/>
      </c>
    </row>
    <row r="2268">
      <c r="A2268" s="54" t="n"/>
      <c r="B2268" s="61" t="n"/>
      <c r="C2268" s="62" t="n"/>
      <c r="D2268" s="57" t="n"/>
      <c r="E2268" s="57" t="n"/>
      <c r="F2268" s="58" t="n"/>
      <c r="G2268" s="66">
        <f>IF(tblFleet[[#This Row],[Units]]="","",tblFleet[[#This Row],[Units]]*24)</f>
        <v/>
      </c>
      <c r="H2268" s="66">
        <f>IF(tblFleet[[#This Row],[Units]]="","",tblFleet[[#This Row],[Calendar_h]]-tblFleet[[#This Row],[Down_h]])</f>
        <v/>
      </c>
      <c r="I2268" s="60">
        <f>IF(AND(tblFleet[[#This Row],[Units]]&lt;&gt;"",tblFleet[[#This Row],[Calendar_h]]&gt;0),tblFleet[[#This Row],[Available_h]]/tblFleet[[#This Row],[Calendar_h]],"")</f>
        <v/>
      </c>
      <c r="J2268" s="60">
        <f>IF(AND(tblFleet[[#This Row],[Units]]&lt;&gt;"",tblFleet[[#This Row],[Available_h]]&gt;0),tblFleet[[#This Row],[Operating_h]]/tblFleet[[#This Row],[Available_h]],"")</f>
        <v/>
      </c>
    </row>
    <row r="2269">
      <c r="A2269" s="54" t="n"/>
      <c r="B2269" s="61" t="n"/>
      <c r="C2269" s="62" t="n"/>
      <c r="D2269" s="57" t="n"/>
      <c r="E2269" s="57" t="n"/>
      <c r="F2269" s="58" t="n"/>
      <c r="G2269" s="66">
        <f>IF(tblFleet[[#This Row],[Units]]="","",tblFleet[[#This Row],[Units]]*24)</f>
        <v/>
      </c>
      <c r="H2269" s="66">
        <f>IF(tblFleet[[#This Row],[Units]]="","",tblFleet[[#This Row],[Calendar_h]]-tblFleet[[#This Row],[Down_h]])</f>
        <v/>
      </c>
      <c r="I2269" s="60">
        <f>IF(AND(tblFleet[[#This Row],[Units]]&lt;&gt;"",tblFleet[[#This Row],[Calendar_h]]&gt;0),tblFleet[[#This Row],[Available_h]]/tblFleet[[#This Row],[Calendar_h]],"")</f>
        <v/>
      </c>
      <c r="J2269" s="60">
        <f>IF(AND(tblFleet[[#This Row],[Units]]&lt;&gt;"",tblFleet[[#This Row],[Available_h]]&gt;0),tblFleet[[#This Row],[Operating_h]]/tblFleet[[#This Row],[Available_h]],"")</f>
        <v/>
      </c>
    </row>
    <row r="2270">
      <c r="A2270" s="54" t="n"/>
      <c r="B2270" s="61" t="n"/>
      <c r="C2270" s="62" t="n"/>
      <c r="D2270" s="57" t="n"/>
      <c r="E2270" s="57" t="n"/>
      <c r="F2270" s="58" t="n"/>
      <c r="G2270" s="66">
        <f>IF(tblFleet[[#This Row],[Units]]="","",tblFleet[[#This Row],[Units]]*24)</f>
        <v/>
      </c>
      <c r="H2270" s="66">
        <f>IF(tblFleet[[#This Row],[Units]]="","",tblFleet[[#This Row],[Calendar_h]]-tblFleet[[#This Row],[Down_h]])</f>
        <v/>
      </c>
      <c r="I2270" s="60">
        <f>IF(AND(tblFleet[[#This Row],[Units]]&lt;&gt;"",tblFleet[[#This Row],[Calendar_h]]&gt;0),tblFleet[[#This Row],[Available_h]]/tblFleet[[#This Row],[Calendar_h]],"")</f>
        <v/>
      </c>
      <c r="J2270" s="60">
        <f>IF(AND(tblFleet[[#This Row],[Units]]&lt;&gt;"",tblFleet[[#This Row],[Available_h]]&gt;0),tblFleet[[#This Row],[Operating_h]]/tblFleet[[#This Row],[Available_h]],"")</f>
        <v/>
      </c>
    </row>
    <row r="2271">
      <c r="A2271" s="54" t="n"/>
      <c r="B2271" s="61" t="n"/>
      <c r="C2271" s="62" t="n"/>
      <c r="D2271" s="57" t="n"/>
      <c r="E2271" s="57" t="n"/>
      <c r="F2271" s="58" t="n"/>
      <c r="G2271" s="66">
        <f>IF(tblFleet[[#This Row],[Units]]="","",tblFleet[[#This Row],[Units]]*24)</f>
        <v/>
      </c>
      <c r="H2271" s="66">
        <f>IF(tblFleet[[#This Row],[Units]]="","",tblFleet[[#This Row],[Calendar_h]]-tblFleet[[#This Row],[Down_h]])</f>
        <v/>
      </c>
      <c r="I2271" s="60">
        <f>IF(AND(tblFleet[[#This Row],[Units]]&lt;&gt;"",tblFleet[[#This Row],[Calendar_h]]&gt;0),tblFleet[[#This Row],[Available_h]]/tblFleet[[#This Row],[Calendar_h]],"")</f>
        <v/>
      </c>
      <c r="J2271" s="60">
        <f>IF(AND(tblFleet[[#This Row],[Units]]&lt;&gt;"",tblFleet[[#This Row],[Available_h]]&gt;0),tblFleet[[#This Row],[Operating_h]]/tblFleet[[#This Row],[Available_h]],"")</f>
        <v/>
      </c>
    </row>
    <row r="2272">
      <c r="A2272" s="54" t="n"/>
      <c r="B2272" s="61" t="n"/>
      <c r="C2272" s="62" t="n"/>
      <c r="D2272" s="57" t="n"/>
      <c r="E2272" s="57" t="n"/>
      <c r="F2272" s="58" t="n"/>
      <c r="G2272" s="66">
        <f>IF(tblFleet[[#This Row],[Units]]="","",tblFleet[[#This Row],[Units]]*24)</f>
        <v/>
      </c>
      <c r="H2272" s="66">
        <f>IF(tblFleet[[#This Row],[Units]]="","",tblFleet[[#This Row],[Calendar_h]]-tblFleet[[#This Row],[Down_h]])</f>
        <v/>
      </c>
      <c r="I2272" s="60">
        <f>IF(AND(tblFleet[[#This Row],[Units]]&lt;&gt;"",tblFleet[[#This Row],[Calendar_h]]&gt;0),tblFleet[[#This Row],[Available_h]]/tblFleet[[#This Row],[Calendar_h]],"")</f>
        <v/>
      </c>
      <c r="J2272" s="60">
        <f>IF(AND(tblFleet[[#This Row],[Units]]&lt;&gt;"",tblFleet[[#This Row],[Available_h]]&gt;0),tblFleet[[#This Row],[Operating_h]]/tblFleet[[#This Row],[Available_h]],"")</f>
        <v/>
      </c>
    </row>
    <row r="2273">
      <c r="A2273" s="54" t="n"/>
      <c r="B2273" s="61" t="n"/>
      <c r="C2273" s="62" t="n"/>
      <c r="D2273" s="57" t="n"/>
      <c r="E2273" s="57" t="n"/>
      <c r="F2273" s="58" t="n"/>
      <c r="G2273" s="66">
        <f>IF(tblFleet[[#This Row],[Units]]="","",tblFleet[[#This Row],[Units]]*24)</f>
        <v/>
      </c>
      <c r="H2273" s="66">
        <f>IF(tblFleet[[#This Row],[Units]]="","",tblFleet[[#This Row],[Calendar_h]]-tblFleet[[#This Row],[Down_h]])</f>
        <v/>
      </c>
      <c r="I2273" s="60">
        <f>IF(AND(tblFleet[[#This Row],[Units]]&lt;&gt;"",tblFleet[[#This Row],[Calendar_h]]&gt;0),tblFleet[[#This Row],[Available_h]]/tblFleet[[#This Row],[Calendar_h]],"")</f>
        <v/>
      </c>
      <c r="J2273" s="60">
        <f>IF(AND(tblFleet[[#This Row],[Units]]&lt;&gt;"",tblFleet[[#This Row],[Available_h]]&gt;0),tblFleet[[#This Row],[Operating_h]]/tblFleet[[#This Row],[Available_h]],"")</f>
        <v/>
      </c>
    </row>
    <row r="2274">
      <c r="A2274" s="54" t="n"/>
      <c r="B2274" s="61" t="n"/>
      <c r="C2274" s="62" t="n"/>
      <c r="D2274" s="57" t="n"/>
      <c r="E2274" s="57" t="n"/>
      <c r="F2274" s="58" t="n"/>
      <c r="G2274" s="66">
        <f>IF(tblFleet[[#This Row],[Units]]="","",tblFleet[[#This Row],[Units]]*24)</f>
        <v/>
      </c>
      <c r="H2274" s="66">
        <f>IF(tblFleet[[#This Row],[Units]]="","",tblFleet[[#This Row],[Calendar_h]]-tblFleet[[#This Row],[Down_h]])</f>
        <v/>
      </c>
      <c r="I2274" s="60">
        <f>IF(AND(tblFleet[[#This Row],[Units]]&lt;&gt;"",tblFleet[[#This Row],[Calendar_h]]&gt;0),tblFleet[[#This Row],[Available_h]]/tblFleet[[#This Row],[Calendar_h]],"")</f>
        <v/>
      </c>
      <c r="J2274" s="60">
        <f>IF(AND(tblFleet[[#This Row],[Units]]&lt;&gt;"",tblFleet[[#This Row],[Available_h]]&gt;0),tblFleet[[#This Row],[Operating_h]]/tblFleet[[#This Row],[Available_h]],"")</f>
        <v/>
      </c>
    </row>
    <row r="2275">
      <c r="A2275" s="54" t="n"/>
      <c r="B2275" s="61" t="n"/>
      <c r="C2275" s="62" t="n"/>
      <c r="D2275" s="57" t="n"/>
      <c r="E2275" s="57" t="n"/>
      <c r="F2275" s="58" t="n"/>
      <c r="G2275" s="66">
        <f>IF(tblFleet[[#This Row],[Units]]="","",tblFleet[[#This Row],[Units]]*24)</f>
        <v/>
      </c>
      <c r="H2275" s="66">
        <f>IF(tblFleet[[#This Row],[Units]]="","",tblFleet[[#This Row],[Calendar_h]]-tblFleet[[#This Row],[Down_h]])</f>
        <v/>
      </c>
      <c r="I2275" s="60">
        <f>IF(AND(tblFleet[[#This Row],[Units]]&lt;&gt;"",tblFleet[[#This Row],[Calendar_h]]&gt;0),tblFleet[[#This Row],[Available_h]]/tblFleet[[#This Row],[Calendar_h]],"")</f>
        <v/>
      </c>
      <c r="J2275" s="60">
        <f>IF(AND(tblFleet[[#This Row],[Units]]&lt;&gt;"",tblFleet[[#This Row],[Available_h]]&gt;0),tblFleet[[#This Row],[Operating_h]]/tblFleet[[#This Row],[Available_h]],"")</f>
        <v/>
      </c>
    </row>
    <row r="2276">
      <c r="A2276" s="54" t="n"/>
      <c r="B2276" s="61" t="n"/>
      <c r="C2276" s="62" t="n"/>
      <c r="D2276" s="57" t="n"/>
      <c r="E2276" s="57" t="n"/>
      <c r="F2276" s="58" t="n"/>
      <c r="G2276" s="66">
        <f>IF(tblFleet[[#This Row],[Units]]="","",tblFleet[[#This Row],[Units]]*24)</f>
        <v/>
      </c>
      <c r="H2276" s="66">
        <f>IF(tblFleet[[#This Row],[Units]]="","",tblFleet[[#This Row],[Calendar_h]]-tblFleet[[#This Row],[Down_h]])</f>
        <v/>
      </c>
      <c r="I2276" s="60">
        <f>IF(AND(tblFleet[[#This Row],[Units]]&lt;&gt;"",tblFleet[[#This Row],[Calendar_h]]&gt;0),tblFleet[[#This Row],[Available_h]]/tblFleet[[#This Row],[Calendar_h]],"")</f>
        <v/>
      </c>
      <c r="J2276" s="60">
        <f>IF(AND(tblFleet[[#This Row],[Units]]&lt;&gt;"",tblFleet[[#This Row],[Available_h]]&gt;0),tblFleet[[#This Row],[Operating_h]]/tblFleet[[#This Row],[Available_h]],"")</f>
        <v/>
      </c>
    </row>
    <row r="2277">
      <c r="A2277" s="54" t="n"/>
      <c r="B2277" s="61" t="n"/>
      <c r="C2277" s="62" t="n"/>
      <c r="D2277" s="57" t="n"/>
      <c r="E2277" s="57" t="n"/>
      <c r="F2277" s="58" t="n"/>
      <c r="G2277" s="66">
        <f>IF(tblFleet[[#This Row],[Units]]="","",tblFleet[[#This Row],[Units]]*24)</f>
        <v/>
      </c>
      <c r="H2277" s="66">
        <f>IF(tblFleet[[#This Row],[Units]]="","",tblFleet[[#This Row],[Calendar_h]]-tblFleet[[#This Row],[Down_h]])</f>
        <v/>
      </c>
      <c r="I2277" s="60">
        <f>IF(AND(tblFleet[[#This Row],[Units]]&lt;&gt;"",tblFleet[[#This Row],[Calendar_h]]&gt;0),tblFleet[[#This Row],[Available_h]]/tblFleet[[#This Row],[Calendar_h]],"")</f>
        <v/>
      </c>
      <c r="J2277" s="60">
        <f>IF(AND(tblFleet[[#This Row],[Units]]&lt;&gt;"",tblFleet[[#This Row],[Available_h]]&gt;0),tblFleet[[#This Row],[Operating_h]]/tblFleet[[#This Row],[Available_h]],"")</f>
        <v/>
      </c>
    </row>
    <row r="2278">
      <c r="A2278" s="54" t="n"/>
      <c r="B2278" s="61" t="n"/>
      <c r="C2278" s="62" t="n"/>
      <c r="D2278" s="57" t="n"/>
      <c r="E2278" s="57" t="n"/>
      <c r="F2278" s="58" t="n"/>
      <c r="G2278" s="66">
        <f>IF(tblFleet[[#This Row],[Units]]="","",tblFleet[[#This Row],[Units]]*24)</f>
        <v/>
      </c>
      <c r="H2278" s="66">
        <f>IF(tblFleet[[#This Row],[Units]]="","",tblFleet[[#This Row],[Calendar_h]]-tblFleet[[#This Row],[Down_h]])</f>
        <v/>
      </c>
      <c r="I2278" s="60">
        <f>IF(AND(tblFleet[[#This Row],[Units]]&lt;&gt;"",tblFleet[[#This Row],[Calendar_h]]&gt;0),tblFleet[[#This Row],[Available_h]]/tblFleet[[#This Row],[Calendar_h]],"")</f>
        <v/>
      </c>
      <c r="J2278" s="60">
        <f>IF(AND(tblFleet[[#This Row],[Units]]&lt;&gt;"",tblFleet[[#This Row],[Available_h]]&gt;0),tblFleet[[#This Row],[Operating_h]]/tblFleet[[#This Row],[Available_h]],"")</f>
        <v/>
      </c>
    </row>
    <row r="2279">
      <c r="A2279" s="54" t="n"/>
      <c r="B2279" s="61" t="n"/>
      <c r="C2279" s="62" t="n"/>
      <c r="D2279" s="57" t="n"/>
      <c r="E2279" s="57" t="n"/>
      <c r="F2279" s="58" t="n"/>
      <c r="G2279" s="66">
        <f>IF(tblFleet[[#This Row],[Units]]="","",tblFleet[[#This Row],[Units]]*24)</f>
        <v/>
      </c>
      <c r="H2279" s="66">
        <f>IF(tblFleet[[#This Row],[Units]]="","",tblFleet[[#This Row],[Calendar_h]]-tblFleet[[#This Row],[Down_h]])</f>
        <v/>
      </c>
      <c r="I2279" s="60">
        <f>IF(AND(tblFleet[[#This Row],[Units]]&lt;&gt;"",tblFleet[[#This Row],[Calendar_h]]&gt;0),tblFleet[[#This Row],[Available_h]]/tblFleet[[#This Row],[Calendar_h]],"")</f>
        <v/>
      </c>
      <c r="J2279" s="60">
        <f>IF(AND(tblFleet[[#This Row],[Units]]&lt;&gt;"",tblFleet[[#This Row],[Available_h]]&gt;0),tblFleet[[#This Row],[Operating_h]]/tblFleet[[#This Row],[Available_h]],"")</f>
        <v/>
      </c>
    </row>
    <row r="2280">
      <c r="A2280" s="54" t="n"/>
      <c r="B2280" s="61" t="n"/>
      <c r="C2280" s="62" t="n"/>
      <c r="D2280" s="57" t="n"/>
      <c r="E2280" s="57" t="n"/>
      <c r="F2280" s="58" t="n"/>
      <c r="G2280" s="66">
        <f>IF(tblFleet[[#This Row],[Units]]="","",tblFleet[[#This Row],[Units]]*24)</f>
        <v/>
      </c>
      <c r="H2280" s="66">
        <f>IF(tblFleet[[#This Row],[Units]]="","",tblFleet[[#This Row],[Calendar_h]]-tblFleet[[#This Row],[Down_h]])</f>
        <v/>
      </c>
      <c r="I2280" s="60">
        <f>IF(AND(tblFleet[[#This Row],[Units]]&lt;&gt;"",tblFleet[[#This Row],[Calendar_h]]&gt;0),tblFleet[[#This Row],[Available_h]]/tblFleet[[#This Row],[Calendar_h]],"")</f>
        <v/>
      </c>
      <c r="J2280" s="60">
        <f>IF(AND(tblFleet[[#This Row],[Units]]&lt;&gt;"",tblFleet[[#This Row],[Available_h]]&gt;0),tblFleet[[#This Row],[Operating_h]]/tblFleet[[#This Row],[Available_h]],"")</f>
        <v/>
      </c>
    </row>
    <row r="2281">
      <c r="A2281" s="54" t="n"/>
      <c r="B2281" s="61" t="n"/>
      <c r="C2281" s="62" t="n"/>
      <c r="D2281" s="57" t="n"/>
      <c r="E2281" s="57" t="n"/>
      <c r="F2281" s="58" t="n"/>
      <c r="G2281" s="66">
        <f>IF(tblFleet[[#This Row],[Units]]="","",tblFleet[[#This Row],[Units]]*24)</f>
        <v/>
      </c>
      <c r="H2281" s="66">
        <f>IF(tblFleet[[#This Row],[Units]]="","",tblFleet[[#This Row],[Calendar_h]]-tblFleet[[#This Row],[Down_h]])</f>
        <v/>
      </c>
      <c r="I2281" s="60">
        <f>IF(AND(tblFleet[[#This Row],[Units]]&lt;&gt;"",tblFleet[[#This Row],[Calendar_h]]&gt;0),tblFleet[[#This Row],[Available_h]]/tblFleet[[#This Row],[Calendar_h]],"")</f>
        <v/>
      </c>
      <c r="J2281" s="60">
        <f>IF(AND(tblFleet[[#This Row],[Units]]&lt;&gt;"",tblFleet[[#This Row],[Available_h]]&gt;0),tblFleet[[#This Row],[Operating_h]]/tblFleet[[#This Row],[Available_h]],"")</f>
        <v/>
      </c>
    </row>
    <row r="2282">
      <c r="A2282" s="54" t="n"/>
      <c r="B2282" s="61" t="n"/>
      <c r="C2282" s="62" t="n"/>
      <c r="D2282" s="57" t="n"/>
      <c r="E2282" s="57" t="n"/>
      <c r="F2282" s="58" t="n"/>
      <c r="G2282" s="66">
        <f>IF(tblFleet[[#This Row],[Units]]="","",tblFleet[[#This Row],[Units]]*24)</f>
        <v/>
      </c>
      <c r="H2282" s="66">
        <f>IF(tblFleet[[#This Row],[Units]]="","",tblFleet[[#This Row],[Calendar_h]]-tblFleet[[#This Row],[Down_h]])</f>
        <v/>
      </c>
      <c r="I2282" s="60">
        <f>IF(AND(tblFleet[[#This Row],[Units]]&lt;&gt;"",tblFleet[[#This Row],[Calendar_h]]&gt;0),tblFleet[[#This Row],[Available_h]]/tblFleet[[#This Row],[Calendar_h]],"")</f>
        <v/>
      </c>
      <c r="J2282" s="60">
        <f>IF(AND(tblFleet[[#This Row],[Units]]&lt;&gt;"",tblFleet[[#This Row],[Available_h]]&gt;0),tblFleet[[#This Row],[Operating_h]]/tblFleet[[#This Row],[Available_h]],"")</f>
        <v/>
      </c>
    </row>
    <row r="2283">
      <c r="A2283" s="54" t="n"/>
      <c r="B2283" s="61" t="n"/>
      <c r="C2283" s="62" t="n"/>
      <c r="D2283" s="57" t="n"/>
      <c r="E2283" s="57" t="n"/>
      <c r="F2283" s="58" t="n"/>
      <c r="G2283" s="66">
        <f>IF(tblFleet[[#This Row],[Units]]="","",tblFleet[[#This Row],[Units]]*24)</f>
        <v/>
      </c>
      <c r="H2283" s="66">
        <f>IF(tblFleet[[#This Row],[Units]]="","",tblFleet[[#This Row],[Calendar_h]]-tblFleet[[#This Row],[Down_h]])</f>
        <v/>
      </c>
      <c r="I2283" s="60">
        <f>IF(AND(tblFleet[[#This Row],[Units]]&lt;&gt;"",tblFleet[[#This Row],[Calendar_h]]&gt;0),tblFleet[[#This Row],[Available_h]]/tblFleet[[#This Row],[Calendar_h]],"")</f>
        <v/>
      </c>
      <c r="J2283" s="60">
        <f>IF(AND(tblFleet[[#This Row],[Units]]&lt;&gt;"",tblFleet[[#This Row],[Available_h]]&gt;0),tblFleet[[#This Row],[Operating_h]]/tblFleet[[#This Row],[Available_h]],"")</f>
        <v/>
      </c>
    </row>
    <row r="2284">
      <c r="A2284" s="54" t="n"/>
      <c r="B2284" s="61" t="n"/>
      <c r="C2284" s="62" t="n"/>
      <c r="D2284" s="57" t="n"/>
      <c r="E2284" s="57" t="n"/>
      <c r="F2284" s="58" t="n"/>
      <c r="G2284" s="66">
        <f>IF(tblFleet[[#This Row],[Units]]="","",tblFleet[[#This Row],[Units]]*24)</f>
        <v/>
      </c>
      <c r="H2284" s="66">
        <f>IF(tblFleet[[#This Row],[Units]]="","",tblFleet[[#This Row],[Calendar_h]]-tblFleet[[#This Row],[Down_h]])</f>
        <v/>
      </c>
      <c r="I2284" s="60">
        <f>IF(AND(tblFleet[[#This Row],[Units]]&lt;&gt;"",tblFleet[[#This Row],[Calendar_h]]&gt;0),tblFleet[[#This Row],[Available_h]]/tblFleet[[#This Row],[Calendar_h]],"")</f>
        <v/>
      </c>
      <c r="J2284" s="60">
        <f>IF(AND(tblFleet[[#This Row],[Units]]&lt;&gt;"",tblFleet[[#This Row],[Available_h]]&gt;0),tblFleet[[#This Row],[Operating_h]]/tblFleet[[#This Row],[Available_h]],"")</f>
        <v/>
      </c>
    </row>
    <row r="2285">
      <c r="A2285" s="54" t="n"/>
      <c r="B2285" s="61" t="n"/>
      <c r="C2285" s="62" t="n"/>
      <c r="D2285" s="57" t="n"/>
      <c r="E2285" s="57" t="n"/>
      <c r="F2285" s="58" t="n"/>
      <c r="G2285" s="66">
        <f>IF(tblFleet[[#This Row],[Units]]="","",tblFleet[[#This Row],[Units]]*24)</f>
        <v/>
      </c>
      <c r="H2285" s="66">
        <f>IF(tblFleet[[#This Row],[Units]]="","",tblFleet[[#This Row],[Calendar_h]]-tblFleet[[#This Row],[Down_h]])</f>
        <v/>
      </c>
      <c r="I2285" s="60">
        <f>IF(AND(tblFleet[[#This Row],[Units]]&lt;&gt;"",tblFleet[[#This Row],[Calendar_h]]&gt;0),tblFleet[[#This Row],[Available_h]]/tblFleet[[#This Row],[Calendar_h]],"")</f>
        <v/>
      </c>
      <c r="J2285" s="60">
        <f>IF(AND(tblFleet[[#This Row],[Units]]&lt;&gt;"",tblFleet[[#This Row],[Available_h]]&gt;0),tblFleet[[#This Row],[Operating_h]]/tblFleet[[#This Row],[Available_h]],"")</f>
        <v/>
      </c>
    </row>
    <row r="2286">
      <c r="A2286" s="54" t="n"/>
      <c r="B2286" s="61" t="n"/>
      <c r="C2286" s="62" t="n"/>
      <c r="D2286" s="57" t="n"/>
      <c r="E2286" s="57" t="n"/>
      <c r="F2286" s="58" t="n"/>
      <c r="G2286" s="66">
        <f>IF(tblFleet[[#This Row],[Units]]="","",tblFleet[[#This Row],[Units]]*24)</f>
        <v/>
      </c>
      <c r="H2286" s="66">
        <f>IF(tblFleet[[#This Row],[Units]]="","",tblFleet[[#This Row],[Calendar_h]]-tblFleet[[#This Row],[Down_h]])</f>
        <v/>
      </c>
      <c r="I2286" s="60">
        <f>IF(AND(tblFleet[[#This Row],[Units]]&lt;&gt;"",tblFleet[[#This Row],[Calendar_h]]&gt;0),tblFleet[[#This Row],[Available_h]]/tblFleet[[#This Row],[Calendar_h]],"")</f>
        <v/>
      </c>
      <c r="J2286" s="60">
        <f>IF(AND(tblFleet[[#This Row],[Units]]&lt;&gt;"",tblFleet[[#This Row],[Available_h]]&gt;0),tblFleet[[#This Row],[Operating_h]]/tblFleet[[#This Row],[Available_h]],"")</f>
        <v/>
      </c>
    </row>
    <row r="2287">
      <c r="A2287" s="54" t="n"/>
      <c r="B2287" s="61" t="n"/>
      <c r="C2287" s="62" t="n"/>
      <c r="D2287" s="57" t="n"/>
      <c r="E2287" s="57" t="n"/>
      <c r="F2287" s="58" t="n"/>
      <c r="G2287" s="66">
        <f>IF(tblFleet[[#This Row],[Units]]="","",tblFleet[[#This Row],[Units]]*24)</f>
        <v/>
      </c>
      <c r="H2287" s="66">
        <f>IF(tblFleet[[#This Row],[Units]]="","",tblFleet[[#This Row],[Calendar_h]]-tblFleet[[#This Row],[Down_h]])</f>
        <v/>
      </c>
      <c r="I2287" s="60">
        <f>IF(AND(tblFleet[[#This Row],[Units]]&lt;&gt;"",tblFleet[[#This Row],[Calendar_h]]&gt;0),tblFleet[[#This Row],[Available_h]]/tblFleet[[#This Row],[Calendar_h]],"")</f>
        <v/>
      </c>
      <c r="J2287" s="60">
        <f>IF(AND(tblFleet[[#This Row],[Units]]&lt;&gt;"",tblFleet[[#This Row],[Available_h]]&gt;0),tblFleet[[#This Row],[Operating_h]]/tblFleet[[#This Row],[Available_h]],"")</f>
        <v/>
      </c>
    </row>
    <row r="2288">
      <c r="A2288" s="54" t="n"/>
      <c r="B2288" s="61" t="n"/>
      <c r="C2288" s="62" t="n"/>
      <c r="D2288" s="57" t="n"/>
      <c r="E2288" s="57" t="n"/>
      <c r="F2288" s="58" t="n"/>
      <c r="G2288" s="66">
        <f>IF(tblFleet[[#This Row],[Units]]="","",tblFleet[[#This Row],[Units]]*24)</f>
        <v/>
      </c>
      <c r="H2288" s="66">
        <f>IF(tblFleet[[#This Row],[Units]]="","",tblFleet[[#This Row],[Calendar_h]]-tblFleet[[#This Row],[Down_h]])</f>
        <v/>
      </c>
      <c r="I2288" s="60">
        <f>IF(AND(tblFleet[[#This Row],[Units]]&lt;&gt;"",tblFleet[[#This Row],[Calendar_h]]&gt;0),tblFleet[[#This Row],[Available_h]]/tblFleet[[#This Row],[Calendar_h]],"")</f>
        <v/>
      </c>
      <c r="J2288" s="60">
        <f>IF(AND(tblFleet[[#This Row],[Units]]&lt;&gt;"",tblFleet[[#This Row],[Available_h]]&gt;0),tblFleet[[#This Row],[Operating_h]]/tblFleet[[#This Row],[Available_h]],"")</f>
        <v/>
      </c>
    </row>
    <row r="2289">
      <c r="A2289" s="54" t="n"/>
      <c r="B2289" s="61" t="n"/>
      <c r="C2289" s="62" t="n"/>
      <c r="D2289" s="57" t="n"/>
      <c r="E2289" s="57" t="n"/>
      <c r="F2289" s="58" t="n"/>
      <c r="G2289" s="66">
        <f>IF(tblFleet[[#This Row],[Units]]="","",tblFleet[[#This Row],[Units]]*24)</f>
        <v/>
      </c>
      <c r="H2289" s="66">
        <f>IF(tblFleet[[#This Row],[Units]]="","",tblFleet[[#This Row],[Calendar_h]]-tblFleet[[#This Row],[Down_h]])</f>
        <v/>
      </c>
      <c r="I2289" s="60">
        <f>IF(AND(tblFleet[[#This Row],[Units]]&lt;&gt;"",tblFleet[[#This Row],[Calendar_h]]&gt;0),tblFleet[[#This Row],[Available_h]]/tblFleet[[#This Row],[Calendar_h]],"")</f>
        <v/>
      </c>
      <c r="J2289" s="60">
        <f>IF(AND(tblFleet[[#This Row],[Units]]&lt;&gt;"",tblFleet[[#This Row],[Available_h]]&gt;0),tblFleet[[#This Row],[Operating_h]]/tblFleet[[#This Row],[Available_h]],"")</f>
        <v/>
      </c>
    </row>
    <row r="2290">
      <c r="A2290" s="54" t="n"/>
      <c r="B2290" s="61" t="n"/>
      <c r="C2290" s="62" t="n"/>
      <c r="D2290" s="57" t="n"/>
      <c r="E2290" s="57" t="n"/>
      <c r="F2290" s="58" t="n"/>
      <c r="G2290" s="66">
        <f>IF(tblFleet[[#This Row],[Units]]="","",tblFleet[[#This Row],[Units]]*24)</f>
        <v/>
      </c>
      <c r="H2290" s="66">
        <f>IF(tblFleet[[#This Row],[Units]]="","",tblFleet[[#This Row],[Calendar_h]]-tblFleet[[#This Row],[Down_h]])</f>
        <v/>
      </c>
      <c r="I2290" s="60">
        <f>IF(AND(tblFleet[[#This Row],[Units]]&lt;&gt;"",tblFleet[[#This Row],[Calendar_h]]&gt;0),tblFleet[[#This Row],[Available_h]]/tblFleet[[#This Row],[Calendar_h]],"")</f>
        <v/>
      </c>
      <c r="J2290" s="60">
        <f>IF(AND(tblFleet[[#This Row],[Units]]&lt;&gt;"",tblFleet[[#This Row],[Available_h]]&gt;0),tblFleet[[#This Row],[Operating_h]]/tblFleet[[#This Row],[Available_h]],"")</f>
        <v/>
      </c>
    </row>
    <row r="2291">
      <c r="A2291" s="54" t="n"/>
      <c r="B2291" s="61" t="n"/>
      <c r="C2291" s="62" t="n"/>
      <c r="D2291" s="57" t="n"/>
      <c r="E2291" s="57" t="n"/>
      <c r="F2291" s="58" t="n"/>
      <c r="G2291" s="66">
        <f>IF(tblFleet[[#This Row],[Units]]="","",tblFleet[[#This Row],[Units]]*24)</f>
        <v/>
      </c>
      <c r="H2291" s="66">
        <f>IF(tblFleet[[#This Row],[Units]]="","",tblFleet[[#This Row],[Calendar_h]]-tblFleet[[#This Row],[Down_h]])</f>
        <v/>
      </c>
      <c r="I2291" s="60">
        <f>IF(AND(tblFleet[[#This Row],[Units]]&lt;&gt;"",tblFleet[[#This Row],[Calendar_h]]&gt;0),tblFleet[[#This Row],[Available_h]]/tblFleet[[#This Row],[Calendar_h]],"")</f>
        <v/>
      </c>
      <c r="J2291" s="60">
        <f>IF(AND(tblFleet[[#This Row],[Units]]&lt;&gt;"",tblFleet[[#This Row],[Available_h]]&gt;0),tblFleet[[#This Row],[Operating_h]]/tblFleet[[#This Row],[Available_h]],"")</f>
        <v/>
      </c>
    </row>
    <row r="2292">
      <c r="A2292" s="54" t="n"/>
      <c r="B2292" s="61" t="n"/>
      <c r="C2292" s="62" t="n"/>
      <c r="D2292" s="57" t="n"/>
      <c r="E2292" s="57" t="n"/>
      <c r="F2292" s="58" t="n"/>
      <c r="G2292" s="66">
        <f>IF(tblFleet[[#This Row],[Units]]="","",tblFleet[[#This Row],[Units]]*24)</f>
        <v/>
      </c>
      <c r="H2292" s="66">
        <f>IF(tblFleet[[#This Row],[Units]]="","",tblFleet[[#This Row],[Calendar_h]]-tblFleet[[#This Row],[Down_h]])</f>
        <v/>
      </c>
      <c r="I2292" s="60">
        <f>IF(AND(tblFleet[[#This Row],[Units]]&lt;&gt;"",tblFleet[[#This Row],[Calendar_h]]&gt;0),tblFleet[[#This Row],[Available_h]]/tblFleet[[#This Row],[Calendar_h]],"")</f>
        <v/>
      </c>
      <c r="J2292" s="60">
        <f>IF(AND(tblFleet[[#This Row],[Units]]&lt;&gt;"",tblFleet[[#This Row],[Available_h]]&gt;0),tblFleet[[#This Row],[Operating_h]]/tblFleet[[#This Row],[Available_h]],"")</f>
        <v/>
      </c>
    </row>
    <row r="2293">
      <c r="A2293" s="54" t="n"/>
      <c r="B2293" s="61" t="n"/>
      <c r="C2293" s="62" t="n"/>
      <c r="D2293" s="57" t="n"/>
      <c r="E2293" s="57" t="n"/>
      <c r="F2293" s="58" t="n"/>
      <c r="G2293" s="66">
        <f>IF(tblFleet[[#This Row],[Units]]="","",tblFleet[[#This Row],[Units]]*24)</f>
        <v/>
      </c>
      <c r="H2293" s="66">
        <f>IF(tblFleet[[#This Row],[Units]]="","",tblFleet[[#This Row],[Calendar_h]]-tblFleet[[#This Row],[Down_h]])</f>
        <v/>
      </c>
      <c r="I2293" s="60">
        <f>IF(AND(tblFleet[[#This Row],[Units]]&lt;&gt;"",tblFleet[[#This Row],[Calendar_h]]&gt;0),tblFleet[[#This Row],[Available_h]]/tblFleet[[#This Row],[Calendar_h]],"")</f>
        <v/>
      </c>
      <c r="J2293" s="60">
        <f>IF(AND(tblFleet[[#This Row],[Units]]&lt;&gt;"",tblFleet[[#This Row],[Available_h]]&gt;0),tblFleet[[#This Row],[Operating_h]]/tblFleet[[#This Row],[Available_h]],"")</f>
        <v/>
      </c>
    </row>
    <row r="2294">
      <c r="A2294" s="54" t="n"/>
      <c r="B2294" s="61" t="n"/>
      <c r="C2294" s="62" t="n"/>
      <c r="D2294" s="57" t="n"/>
      <c r="E2294" s="57" t="n"/>
      <c r="F2294" s="58" t="n"/>
      <c r="G2294" s="66">
        <f>IF(tblFleet[[#This Row],[Units]]="","",tblFleet[[#This Row],[Units]]*24)</f>
        <v/>
      </c>
      <c r="H2294" s="66">
        <f>IF(tblFleet[[#This Row],[Units]]="","",tblFleet[[#This Row],[Calendar_h]]-tblFleet[[#This Row],[Down_h]])</f>
        <v/>
      </c>
      <c r="I2294" s="60">
        <f>IF(AND(tblFleet[[#This Row],[Units]]&lt;&gt;"",tblFleet[[#This Row],[Calendar_h]]&gt;0),tblFleet[[#This Row],[Available_h]]/tblFleet[[#This Row],[Calendar_h]],"")</f>
        <v/>
      </c>
      <c r="J2294" s="60">
        <f>IF(AND(tblFleet[[#This Row],[Units]]&lt;&gt;"",tblFleet[[#This Row],[Available_h]]&gt;0),tblFleet[[#This Row],[Operating_h]]/tblFleet[[#This Row],[Available_h]],"")</f>
        <v/>
      </c>
    </row>
    <row r="2295">
      <c r="A2295" s="54" t="n"/>
      <c r="B2295" s="61" t="n"/>
      <c r="C2295" s="62" t="n"/>
      <c r="D2295" s="57" t="n"/>
      <c r="E2295" s="57" t="n"/>
      <c r="F2295" s="58" t="n"/>
      <c r="G2295" s="66">
        <f>IF(tblFleet[[#This Row],[Units]]="","",tblFleet[[#This Row],[Units]]*24)</f>
        <v/>
      </c>
      <c r="H2295" s="66">
        <f>IF(tblFleet[[#This Row],[Units]]="","",tblFleet[[#This Row],[Calendar_h]]-tblFleet[[#This Row],[Down_h]])</f>
        <v/>
      </c>
      <c r="I2295" s="60">
        <f>IF(AND(tblFleet[[#This Row],[Units]]&lt;&gt;"",tblFleet[[#This Row],[Calendar_h]]&gt;0),tblFleet[[#This Row],[Available_h]]/tblFleet[[#This Row],[Calendar_h]],"")</f>
        <v/>
      </c>
      <c r="J2295" s="60">
        <f>IF(AND(tblFleet[[#This Row],[Units]]&lt;&gt;"",tblFleet[[#This Row],[Available_h]]&gt;0),tblFleet[[#This Row],[Operating_h]]/tblFleet[[#This Row],[Available_h]],"")</f>
        <v/>
      </c>
    </row>
    <row r="2296">
      <c r="A2296" s="54" t="n"/>
      <c r="B2296" s="61" t="n"/>
      <c r="C2296" s="62" t="n"/>
      <c r="D2296" s="57" t="n"/>
      <c r="E2296" s="57" t="n"/>
      <c r="F2296" s="58" t="n"/>
      <c r="G2296" s="66">
        <f>IF(tblFleet[[#This Row],[Units]]="","",tblFleet[[#This Row],[Units]]*24)</f>
        <v/>
      </c>
      <c r="H2296" s="66">
        <f>IF(tblFleet[[#This Row],[Units]]="","",tblFleet[[#This Row],[Calendar_h]]-tblFleet[[#This Row],[Down_h]])</f>
        <v/>
      </c>
      <c r="I2296" s="60">
        <f>IF(AND(tblFleet[[#This Row],[Units]]&lt;&gt;"",tblFleet[[#This Row],[Calendar_h]]&gt;0),tblFleet[[#This Row],[Available_h]]/tblFleet[[#This Row],[Calendar_h]],"")</f>
        <v/>
      </c>
      <c r="J2296" s="60">
        <f>IF(AND(tblFleet[[#This Row],[Units]]&lt;&gt;"",tblFleet[[#This Row],[Available_h]]&gt;0),tblFleet[[#This Row],[Operating_h]]/tblFleet[[#This Row],[Available_h]],"")</f>
        <v/>
      </c>
    </row>
    <row r="2297">
      <c r="A2297" s="54" t="n"/>
      <c r="B2297" s="61" t="n"/>
      <c r="C2297" s="62" t="n"/>
      <c r="D2297" s="57" t="n"/>
      <c r="E2297" s="57" t="n"/>
      <c r="F2297" s="58" t="n"/>
      <c r="G2297" s="66">
        <f>IF(tblFleet[[#This Row],[Units]]="","",tblFleet[[#This Row],[Units]]*24)</f>
        <v/>
      </c>
      <c r="H2297" s="66">
        <f>IF(tblFleet[[#This Row],[Units]]="","",tblFleet[[#This Row],[Calendar_h]]-tblFleet[[#This Row],[Down_h]])</f>
        <v/>
      </c>
      <c r="I2297" s="60">
        <f>IF(AND(tblFleet[[#This Row],[Units]]&lt;&gt;"",tblFleet[[#This Row],[Calendar_h]]&gt;0),tblFleet[[#This Row],[Available_h]]/tblFleet[[#This Row],[Calendar_h]],"")</f>
        <v/>
      </c>
      <c r="J2297" s="60">
        <f>IF(AND(tblFleet[[#This Row],[Units]]&lt;&gt;"",tblFleet[[#This Row],[Available_h]]&gt;0),tblFleet[[#This Row],[Operating_h]]/tblFleet[[#This Row],[Available_h]],"")</f>
        <v/>
      </c>
    </row>
    <row r="2298">
      <c r="A2298" s="54" t="n"/>
      <c r="B2298" s="61" t="n"/>
      <c r="C2298" s="62" t="n"/>
      <c r="D2298" s="57" t="n"/>
      <c r="E2298" s="57" t="n"/>
      <c r="F2298" s="58" t="n"/>
      <c r="G2298" s="66">
        <f>IF(tblFleet[[#This Row],[Units]]="","",tblFleet[[#This Row],[Units]]*24)</f>
        <v/>
      </c>
      <c r="H2298" s="66">
        <f>IF(tblFleet[[#This Row],[Units]]="","",tblFleet[[#This Row],[Calendar_h]]-tblFleet[[#This Row],[Down_h]])</f>
        <v/>
      </c>
      <c r="I2298" s="60">
        <f>IF(AND(tblFleet[[#This Row],[Units]]&lt;&gt;"",tblFleet[[#This Row],[Calendar_h]]&gt;0),tblFleet[[#This Row],[Available_h]]/tblFleet[[#This Row],[Calendar_h]],"")</f>
        <v/>
      </c>
      <c r="J2298" s="60">
        <f>IF(AND(tblFleet[[#This Row],[Units]]&lt;&gt;"",tblFleet[[#This Row],[Available_h]]&gt;0),tblFleet[[#This Row],[Operating_h]]/tblFleet[[#This Row],[Available_h]],"")</f>
        <v/>
      </c>
    </row>
    <row r="2299">
      <c r="A2299" s="54" t="n"/>
      <c r="B2299" s="61" t="n"/>
      <c r="C2299" s="62" t="n"/>
      <c r="D2299" s="57" t="n"/>
      <c r="E2299" s="57" t="n"/>
      <c r="F2299" s="58" t="n"/>
      <c r="G2299" s="66">
        <f>IF(tblFleet[[#This Row],[Units]]="","",tblFleet[[#This Row],[Units]]*24)</f>
        <v/>
      </c>
      <c r="H2299" s="66">
        <f>IF(tblFleet[[#This Row],[Units]]="","",tblFleet[[#This Row],[Calendar_h]]-tblFleet[[#This Row],[Down_h]])</f>
        <v/>
      </c>
      <c r="I2299" s="60">
        <f>IF(AND(tblFleet[[#This Row],[Units]]&lt;&gt;"",tblFleet[[#This Row],[Calendar_h]]&gt;0),tblFleet[[#This Row],[Available_h]]/tblFleet[[#This Row],[Calendar_h]],"")</f>
        <v/>
      </c>
      <c r="J2299" s="60">
        <f>IF(AND(tblFleet[[#This Row],[Units]]&lt;&gt;"",tblFleet[[#This Row],[Available_h]]&gt;0),tblFleet[[#This Row],[Operating_h]]/tblFleet[[#This Row],[Available_h]],"")</f>
        <v/>
      </c>
    </row>
    <row r="2300">
      <c r="A2300" s="54" t="n"/>
      <c r="B2300" s="61" t="n"/>
      <c r="C2300" s="62" t="n"/>
      <c r="D2300" s="57" t="n"/>
      <c r="E2300" s="57" t="n"/>
      <c r="F2300" s="58" t="n"/>
      <c r="G2300" s="66">
        <f>IF(tblFleet[[#This Row],[Units]]="","",tblFleet[[#This Row],[Units]]*24)</f>
        <v/>
      </c>
      <c r="H2300" s="66">
        <f>IF(tblFleet[[#This Row],[Units]]="","",tblFleet[[#This Row],[Calendar_h]]-tblFleet[[#This Row],[Down_h]])</f>
        <v/>
      </c>
      <c r="I2300" s="60">
        <f>IF(AND(tblFleet[[#This Row],[Units]]&lt;&gt;"",tblFleet[[#This Row],[Calendar_h]]&gt;0),tblFleet[[#This Row],[Available_h]]/tblFleet[[#This Row],[Calendar_h]],"")</f>
        <v/>
      </c>
      <c r="J2300" s="60">
        <f>IF(AND(tblFleet[[#This Row],[Units]]&lt;&gt;"",tblFleet[[#This Row],[Available_h]]&gt;0),tblFleet[[#This Row],[Operating_h]]/tblFleet[[#This Row],[Available_h]],"")</f>
        <v/>
      </c>
    </row>
    <row r="2301">
      <c r="A2301" s="54" t="n"/>
      <c r="B2301" s="61" t="n"/>
      <c r="C2301" s="62" t="n"/>
      <c r="D2301" s="57" t="n"/>
      <c r="E2301" s="57" t="n"/>
      <c r="F2301" s="58" t="n"/>
      <c r="G2301" s="66">
        <f>IF(tblFleet[[#This Row],[Units]]="","",tblFleet[[#This Row],[Units]]*24)</f>
        <v/>
      </c>
      <c r="H2301" s="66">
        <f>IF(tblFleet[[#This Row],[Units]]="","",tblFleet[[#This Row],[Calendar_h]]-tblFleet[[#This Row],[Down_h]])</f>
        <v/>
      </c>
      <c r="I2301" s="60">
        <f>IF(AND(tblFleet[[#This Row],[Units]]&lt;&gt;"",tblFleet[[#This Row],[Calendar_h]]&gt;0),tblFleet[[#This Row],[Available_h]]/tblFleet[[#This Row],[Calendar_h]],"")</f>
        <v/>
      </c>
      <c r="J2301" s="60">
        <f>IF(AND(tblFleet[[#This Row],[Units]]&lt;&gt;"",tblFleet[[#This Row],[Available_h]]&gt;0),tblFleet[[#This Row],[Operating_h]]/tblFleet[[#This Row],[Available_h]],"")</f>
        <v/>
      </c>
    </row>
    <row r="2302">
      <c r="A2302" s="54" t="n"/>
      <c r="B2302" s="61" t="n"/>
      <c r="C2302" s="62" t="n"/>
      <c r="D2302" s="57" t="n"/>
      <c r="E2302" s="57" t="n"/>
      <c r="F2302" s="58" t="n"/>
      <c r="G2302" s="66">
        <f>IF(tblFleet[[#This Row],[Units]]="","",tblFleet[[#This Row],[Units]]*24)</f>
        <v/>
      </c>
      <c r="H2302" s="66">
        <f>IF(tblFleet[[#This Row],[Units]]="","",tblFleet[[#This Row],[Calendar_h]]-tblFleet[[#This Row],[Down_h]])</f>
        <v/>
      </c>
      <c r="I2302" s="60">
        <f>IF(AND(tblFleet[[#This Row],[Units]]&lt;&gt;"",tblFleet[[#This Row],[Calendar_h]]&gt;0),tblFleet[[#This Row],[Available_h]]/tblFleet[[#This Row],[Calendar_h]],"")</f>
        <v/>
      </c>
      <c r="J2302" s="60">
        <f>IF(AND(tblFleet[[#This Row],[Units]]&lt;&gt;"",tblFleet[[#This Row],[Available_h]]&gt;0),tblFleet[[#This Row],[Operating_h]]/tblFleet[[#This Row],[Available_h]],"")</f>
        <v/>
      </c>
    </row>
    <row r="2303">
      <c r="A2303" s="54" t="n"/>
      <c r="B2303" s="61" t="n"/>
      <c r="C2303" s="62" t="n"/>
      <c r="D2303" s="57" t="n"/>
      <c r="E2303" s="57" t="n"/>
      <c r="F2303" s="58" t="n"/>
      <c r="G2303" s="66">
        <f>IF(tblFleet[[#This Row],[Units]]="","",tblFleet[[#This Row],[Units]]*24)</f>
        <v/>
      </c>
      <c r="H2303" s="66">
        <f>IF(tblFleet[[#This Row],[Units]]="","",tblFleet[[#This Row],[Calendar_h]]-tblFleet[[#This Row],[Down_h]])</f>
        <v/>
      </c>
      <c r="I2303" s="60">
        <f>IF(AND(tblFleet[[#This Row],[Units]]&lt;&gt;"",tblFleet[[#This Row],[Calendar_h]]&gt;0),tblFleet[[#This Row],[Available_h]]/tblFleet[[#This Row],[Calendar_h]],"")</f>
        <v/>
      </c>
      <c r="J2303" s="60">
        <f>IF(AND(tblFleet[[#This Row],[Units]]&lt;&gt;"",tblFleet[[#This Row],[Available_h]]&gt;0),tblFleet[[#This Row],[Operating_h]]/tblFleet[[#This Row],[Available_h]],"")</f>
        <v/>
      </c>
    </row>
    <row r="2304">
      <c r="A2304" s="54" t="n"/>
      <c r="B2304" s="61" t="n"/>
      <c r="C2304" s="62" t="n"/>
      <c r="D2304" s="57" t="n"/>
      <c r="E2304" s="57" t="n"/>
      <c r="F2304" s="58" t="n"/>
      <c r="G2304" s="66">
        <f>IF(tblFleet[[#This Row],[Units]]="","",tblFleet[[#This Row],[Units]]*24)</f>
        <v/>
      </c>
      <c r="H2304" s="66">
        <f>IF(tblFleet[[#This Row],[Units]]="","",tblFleet[[#This Row],[Calendar_h]]-tblFleet[[#This Row],[Down_h]])</f>
        <v/>
      </c>
      <c r="I2304" s="60">
        <f>IF(AND(tblFleet[[#This Row],[Units]]&lt;&gt;"",tblFleet[[#This Row],[Calendar_h]]&gt;0),tblFleet[[#This Row],[Available_h]]/tblFleet[[#This Row],[Calendar_h]],"")</f>
        <v/>
      </c>
      <c r="J2304" s="60">
        <f>IF(AND(tblFleet[[#This Row],[Units]]&lt;&gt;"",tblFleet[[#This Row],[Available_h]]&gt;0),tblFleet[[#This Row],[Operating_h]]/tblFleet[[#This Row],[Available_h]],"")</f>
        <v/>
      </c>
    </row>
    <row r="2305">
      <c r="A2305" s="54" t="n"/>
      <c r="B2305" s="61" t="n"/>
      <c r="C2305" s="62" t="n"/>
      <c r="D2305" s="57" t="n"/>
      <c r="E2305" s="57" t="n"/>
      <c r="F2305" s="58" t="n"/>
      <c r="G2305" s="66">
        <f>IF(tblFleet[[#This Row],[Units]]="","",tblFleet[[#This Row],[Units]]*24)</f>
        <v/>
      </c>
      <c r="H2305" s="66">
        <f>IF(tblFleet[[#This Row],[Units]]="","",tblFleet[[#This Row],[Calendar_h]]-tblFleet[[#This Row],[Down_h]])</f>
        <v/>
      </c>
      <c r="I2305" s="60">
        <f>IF(AND(tblFleet[[#This Row],[Units]]&lt;&gt;"",tblFleet[[#This Row],[Calendar_h]]&gt;0),tblFleet[[#This Row],[Available_h]]/tblFleet[[#This Row],[Calendar_h]],"")</f>
        <v/>
      </c>
      <c r="J2305" s="60">
        <f>IF(AND(tblFleet[[#This Row],[Units]]&lt;&gt;"",tblFleet[[#This Row],[Available_h]]&gt;0),tblFleet[[#This Row],[Operating_h]]/tblFleet[[#This Row],[Available_h]],"")</f>
        <v/>
      </c>
    </row>
    <row r="2306">
      <c r="A2306" s="54" t="n"/>
      <c r="B2306" s="61" t="n"/>
      <c r="C2306" s="62" t="n"/>
      <c r="D2306" s="57" t="n"/>
      <c r="E2306" s="57" t="n"/>
      <c r="F2306" s="58" t="n"/>
      <c r="G2306" s="66">
        <f>IF(tblFleet[[#This Row],[Units]]="","",tblFleet[[#This Row],[Units]]*24)</f>
        <v/>
      </c>
      <c r="H2306" s="66">
        <f>IF(tblFleet[[#This Row],[Units]]="","",tblFleet[[#This Row],[Calendar_h]]-tblFleet[[#This Row],[Down_h]])</f>
        <v/>
      </c>
      <c r="I2306" s="60">
        <f>IF(AND(tblFleet[[#This Row],[Units]]&lt;&gt;"",tblFleet[[#This Row],[Calendar_h]]&gt;0),tblFleet[[#This Row],[Available_h]]/tblFleet[[#This Row],[Calendar_h]],"")</f>
        <v/>
      </c>
      <c r="J2306" s="60">
        <f>IF(AND(tblFleet[[#This Row],[Units]]&lt;&gt;"",tblFleet[[#This Row],[Available_h]]&gt;0),tblFleet[[#This Row],[Operating_h]]/tblFleet[[#This Row],[Available_h]],"")</f>
        <v/>
      </c>
    </row>
    <row r="2307">
      <c r="A2307" s="54" t="n"/>
      <c r="B2307" s="61" t="n"/>
      <c r="C2307" s="62" t="n"/>
      <c r="D2307" s="57" t="n"/>
      <c r="E2307" s="57" t="n"/>
      <c r="F2307" s="58" t="n"/>
      <c r="G2307" s="66">
        <f>IF(tblFleet[[#This Row],[Units]]="","",tblFleet[[#This Row],[Units]]*24)</f>
        <v/>
      </c>
      <c r="H2307" s="66">
        <f>IF(tblFleet[[#This Row],[Units]]="","",tblFleet[[#This Row],[Calendar_h]]-tblFleet[[#This Row],[Down_h]])</f>
        <v/>
      </c>
      <c r="I2307" s="60">
        <f>IF(AND(tblFleet[[#This Row],[Units]]&lt;&gt;"",tblFleet[[#This Row],[Calendar_h]]&gt;0),tblFleet[[#This Row],[Available_h]]/tblFleet[[#This Row],[Calendar_h]],"")</f>
        <v/>
      </c>
      <c r="J2307" s="60">
        <f>IF(AND(tblFleet[[#This Row],[Units]]&lt;&gt;"",tblFleet[[#This Row],[Available_h]]&gt;0),tblFleet[[#This Row],[Operating_h]]/tblFleet[[#This Row],[Available_h]],"")</f>
        <v/>
      </c>
    </row>
    <row r="2308">
      <c r="A2308" s="54" t="n"/>
      <c r="B2308" s="61" t="n"/>
      <c r="C2308" s="62" t="n"/>
      <c r="D2308" s="57" t="n"/>
      <c r="E2308" s="57" t="n"/>
      <c r="F2308" s="58" t="n"/>
      <c r="G2308" s="66">
        <f>IF(tblFleet[[#This Row],[Units]]="","",tblFleet[[#This Row],[Units]]*24)</f>
        <v/>
      </c>
      <c r="H2308" s="66">
        <f>IF(tblFleet[[#This Row],[Units]]="","",tblFleet[[#This Row],[Calendar_h]]-tblFleet[[#This Row],[Down_h]])</f>
        <v/>
      </c>
      <c r="I2308" s="60">
        <f>IF(AND(tblFleet[[#This Row],[Units]]&lt;&gt;"",tblFleet[[#This Row],[Calendar_h]]&gt;0),tblFleet[[#This Row],[Available_h]]/tblFleet[[#This Row],[Calendar_h]],"")</f>
        <v/>
      </c>
      <c r="J2308" s="60">
        <f>IF(AND(tblFleet[[#This Row],[Units]]&lt;&gt;"",tblFleet[[#This Row],[Available_h]]&gt;0),tblFleet[[#This Row],[Operating_h]]/tblFleet[[#This Row],[Available_h]],"")</f>
        <v/>
      </c>
    </row>
    <row r="2309">
      <c r="A2309" s="54" t="n"/>
      <c r="B2309" s="61" t="n"/>
      <c r="C2309" s="62" t="n"/>
      <c r="D2309" s="57" t="n"/>
      <c r="E2309" s="57" t="n"/>
      <c r="F2309" s="58" t="n"/>
      <c r="G2309" s="66">
        <f>IF(tblFleet[[#This Row],[Units]]="","",tblFleet[[#This Row],[Units]]*24)</f>
        <v/>
      </c>
      <c r="H2309" s="66">
        <f>IF(tblFleet[[#This Row],[Units]]="","",tblFleet[[#This Row],[Calendar_h]]-tblFleet[[#This Row],[Down_h]])</f>
        <v/>
      </c>
      <c r="I2309" s="60">
        <f>IF(AND(tblFleet[[#This Row],[Units]]&lt;&gt;"",tblFleet[[#This Row],[Calendar_h]]&gt;0),tblFleet[[#This Row],[Available_h]]/tblFleet[[#This Row],[Calendar_h]],"")</f>
        <v/>
      </c>
      <c r="J2309" s="60">
        <f>IF(AND(tblFleet[[#This Row],[Units]]&lt;&gt;"",tblFleet[[#This Row],[Available_h]]&gt;0),tblFleet[[#This Row],[Operating_h]]/tblFleet[[#This Row],[Available_h]],"")</f>
        <v/>
      </c>
    </row>
    <row r="2310">
      <c r="A2310" s="54" t="n"/>
      <c r="B2310" s="61" t="n"/>
      <c r="C2310" s="62" t="n"/>
      <c r="D2310" s="57" t="n"/>
      <c r="E2310" s="57" t="n"/>
      <c r="F2310" s="58" t="n"/>
      <c r="G2310" s="66">
        <f>IF(tblFleet[[#This Row],[Units]]="","",tblFleet[[#This Row],[Units]]*24)</f>
        <v/>
      </c>
      <c r="H2310" s="66">
        <f>IF(tblFleet[[#This Row],[Units]]="","",tblFleet[[#This Row],[Calendar_h]]-tblFleet[[#This Row],[Down_h]])</f>
        <v/>
      </c>
      <c r="I2310" s="60">
        <f>IF(AND(tblFleet[[#This Row],[Units]]&lt;&gt;"",tblFleet[[#This Row],[Calendar_h]]&gt;0),tblFleet[[#This Row],[Available_h]]/tblFleet[[#This Row],[Calendar_h]],"")</f>
        <v/>
      </c>
      <c r="J2310" s="60">
        <f>IF(AND(tblFleet[[#This Row],[Units]]&lt;&gt;"",tblFleet[[#This Row],[Available_h]]&gt;0),tblFleet[[#This Row],[Operating_h]]/tblFleet[[#This Row],[Available_h]],"")</f>
        <v/>
      </c>
    </row>
    <row r="2311">
      <c r="A2311" s="54" t="n"/>
      <c r="B2311" s="61" t="n"/>
      <c r="C2311" s="62" t="n"/>
      <c r="D2311" s="57" t="n"/>
      <c r="E2311" s="57" t="n"/>
      <c r="F2311" s="58" t="n"/>
      <c r="G2311" s="66">
        <f>IF(tblFleet[[#This Row],[Units]]="","",tblFleet[[#This Row],[Units]]*24)</f>
        <v/>
      </c>
      <c r="H2311" s="66">
        <f>IF(tblFleet[[#This Row],[Units]]="","",tblFleet[[#This Row],[Calendar_h]]-tblFleet[[#This Row],[Down_h]])</f>
        <v/>
      </c>
      <c r="I2311" s="60">
        <f>IF(AND(tblFleet[[#This Row],[Units]]&lt;&gt;"",tblFleet[[#This Row],[Calendar_h]]&gt;0),tblFleet[[#This Row],[Available_h]]/tblFleet[[#This Row],[Calendar_h]],"")</f>
        <v/>
      </c>
      <c r="J2311" s="60">
        <f>IF(AND(tblFleet[[#This Row],[Units]]&lt;&gt;"",tblFleet[[#This Row],[Available_h]]&gt;0),tblFleet[[#This Row],[Operating_h]]/tblFleet[[#This Row],[Available_h]],"")</f>
        <v/>
      </c>
    </row>
    <row r="2312">
      <c r="A2312" s="54" t="n"/>
      <c r="B2312" s="61" t="n"/>
      <c r="C2312" s="62" t="n"/>
      <c r="D2312" s="57" t="n"/>
      <c r="E2312" s="57" t="n"/>
      <c r="F2312" s="58" t="n"/>
      <c r="G2312" s="66">
        <f>IF(tblFleet[[#This Row],[Units]]="","",tblFleet[[#This Row],[Units]]*24)</f>
        <v/>
      </c>
      <c r="H2312" s="66">
        <f>IF(tblFleet[[#This Row],[Units]]="","",tblFleet[[#This Row],[Calendar_h]]-tblFleet[[#This Row],[Down_h]])</f>
        <v/>
      </c>
      <c r="I2312" s="60">
        <f>IF(AND(tblFleet[[#This Row],[Units]]&lt;&gt;"",tblFleet[[#This Row],[Calendar_h]]&gt;0),tblFleet[[#This Row],[Available_h]]/tblFleet[[#This Row],[Calendar_h]],"")</f>
        <v/>
      </c>
      <c r="J2312" s="60">
        <f>IF(AND(tblFleet[[#This Row],[Units]]&lt;&gt;"",tblFleet[[#This Row],[Available_h]]&gt;0),tblFleet[[#This Row],[Operating_h]]/tblFleet[[#This Row],[Available_h]],"")</f>
        <v/>
      </c>
    </row>
    <row r="2313">
      <c r="A2313" s="54" t="n"/>
      <c r="B2313" s="61" t="n"/>
      <c r="C2313" s="62" t="n"/>
      <c r="D2313" s="57" t="n"/>
      <c r="E2313" s="57" t="n"/>
      <c r="F2313" s="58" t="n"/>
      <c r="G2313" s="66">
        <f>IF(tblFleet[[#This Row],[Units]]="","",tblFleet[[#This Row],[Units]]*24)</f>
        <v/>
      </c>
      <c r="H2313" s="66">
        <f>IF(tblFleet[[#This Row],[Units]]="","",tblFleet[[#This Row],[Calendar_h]]-tblFleet[[#This Row],[Down_h]])</f>
        <v/>
      </c>
      <c r="I2313" s="60">
        <f>IF(AND(tblFleet[[#This Row],[Units]]&lt;&gt;"",tblFleet[[#This Row],[Calendar_h]]&gt;0),tblFleet[[#This Row],[Available_h]]/tblFleet[[#This Row],[Calendar_h]],"")</f>
        <v/>
      </c>
      <c r="J2313" s="60">
        <f>IF(AND(tblFleet[[#This Row],[Units]]&lt;&gt;"",tblFleet[[#This Row],[Available_h]]&gt;0),tblFleet[[#This Row],[Operating_h]]/tblFleet[[#This Row],[Available_h]],"")</f>
        <v/>
      </c>
    </row>
    <row r="2314">
      <c r="A2314" s="54" t="n"/>
      <c r="B2314" s="61" t="n"/>
      <c r="C2314" s="62" t="n"/>
      <c r="D2314" s="57" t="n"/>
      <c r="E2314" s="57" t="n"/>
      <c r="F2314" s="58" t="n"/>
      <c r="G2314" s="66">
        <f>IF(tblFleet[[#This Row],[Units]]="","",tblFleet[[#This Row],[Units]]*24)</f>
        <v/>
      </c>
      <c r="H2314" s="66">
        <f>IF(tblFleet[[#This Row],[Units]]="","",tblFleet[[#This Row],[Calendar_h]]-tblFleet[[#This Row],[Down_h]])</f>
        <v/>
      </c>
      <c r="I2314" s="60">
        <f>IF(AND(tblFleet[[#This Row],[Units]]&lt;&gt;"",tblFleet[[#This Row],[Calendar_h]]&gt;0),tblFleet[[#This Row],[Available_h]]/tblFleet[[#This Row],[Calendar_h]],"")</f>
        <v/>
      </c>
      <c r="J2314" s="60">
        <f>IF(AND(tblFleet[[#This Row],[Units]]&lt;&gt;"",tblFleet[[#This Row],[Available_h]]&gt;0),tblFleet[[#This Row],[Operating_h]]/tblFleet[[#This Row],[Available_h]],"")</f>
        <v/>
      </c>
    </row>
    <row r="2315">
      <c r="A2315" s="54" t="n"/>
      <c r="B2315" s="61" t="n"/>
      <c r="C2315" s="62" t="n"/>
      <c r="D2315" s="57" t="n"/>
      <c r="E2315" s="57" t="n"/>
      <c r="F2315" s="58" t="n"/>
      <c r="G2315" s="66">
        <f>IF(tblFleet[[#This Row],[Units]]="","",tblFleet[[#This Row],[Units]]*24)</f>
        <v/>
      </c>
      <c r="H2315" s="66">
        <f>IF(tblFleet[[#This Row],[Units]]="","",tblFleet[[#This Row],[Calendar_h]]-tblFleet[[#This Row],[Down_h]])</f>
        <v/>
      </c>
      <c r="I2315" s="60">
        <f>IF(AND(tblFleet[[#This Row],[Units]]&lt;&gt;"",tblFleet[[#This Row],[Calendar_h]]&gt;0),tblFleet[[#This Row],[Available_h]]/tblFleet[[#This Row],[Calendar_h]],"")</f>
        <v/>
      </c>
      <c r="J2315" s="60">
        <f>IF(AND(tblFleet[[#This Row],[Units]]&lt;&gt;"",tblFleet[[#This Row],[Available_h]]&gt;0),tblFleet[[#This Row],[Operating_h]]/tblFleet[[#This Row],[Available_h]],"")</f>
        <v/>
      </c>
    </row>
    <row r="2316">
      <c r="A2316" s="54" t="n"/>
      <c r="B2316" s="61" t="n"/>
      <c r="C2316" s="62" t="n"/>
      <c r="D2316" s="57" t="n"/>
      <c r="E2316" s="57" t="n"/>
      <c r="F2316" s="58" t="n"/>
      <c r="G2316" s="66">
        <f>IF(tblFleet[[#This Row],[Units]]="","",tblFleet[[#This Row],[Units]]*24)</f>
        <v/>
      </c>
      <c r="H2316" s="66">
        <f>IF(tblFleet[[#This Row],[Units]]="","",tblFleet[[#This Row],[Calendar_h]]-tblFleet[[#This Row],[Down_h]])</f>
        <v/>
      </c>
      <c r="I2316" s="60">
        <f>IF(AND(tblFleet[[#This Row],[Units]]&lt;&gt;"",tblFleet[[#This Row],[Calendar_h]]&gt;0),tblFleet[[#This Row],[Available_h]]/tblFleet[[#This Row],[Calendar_h]],"")</f>
        <v/>
      </c>
      <c r="J2316" s="60">
        <f>IF(AND(tblFleet[[#This Row],[Units]]&lt;&gt;"",tblFleet[[#This Row],[Available_h]]&gt;0),tblFleet[[#This Row],[Operating_h]]/tblFleet[[#This Row],[Available_h]],"")</f>
        <v/>
      </c>
    </row>
    <row r="2317">
      <c r="A2317" s="54" t="n"/>
      <c r="B2317" s="61" t="n"/>
      <c r="C2317" s="62" t="n"/>
      <c r="D2317" s="57" t="n"/>
      <c r="E2317" s="57" t="n"/>
      <c r="F2317" s="58" t="n"/>
      <c r="G2317" s="66">
        <f>IF(tblFleet[[#This Row],[Units]]="","",tblFleet[[#This Row],[Units]]*24)</f>
        <v/>
      </c>
      <c r="H2317" s="66">
        <f>IF(tblFleet[[#This Row],[Units]]="","",tblFleet[[#This Row],[Calendar_h]]-tblFleet[[#This Row],[Down_h]])</f>
        <v/>
      </c>
      <c r="I2317" s="60">
        <f>IF(AND(tblFleet[[#This Row],[Units]]&lt;&gt;"",tblFleet[[#This Row],[Calendar_h]]&gt;0),tblFleet[[#This Row],[Available_h]]/tblFleet[[#This Row],[Calendar_h]],"")</f>
        <v/>
      </c>
      <c r="J2317" s="60">
        <f>IF(AND(tblFleet[[#This Row],[Units]]&lt;&gt;"",tblFleet[[#This Row],[Available_h]]&gt;0),tblFleet[[#This Row],[Operating_h]]/tblFleet[[#This Row],[Available_h]],"")</f>
        <v/>
      </c>
    </row>
    <row r="2318">
      <c r="A2318" s="54" t="n"/>
      <c r="B2318" s="61" t="n"/>
      <c r="C2318" s="62" t="n"/>
      <c r="D2318" s="57" t="n"/>
      <c r="E2318" s="57" t="n"/>
      <c r="F2318" s="58" t="n"/>
      <c r="G2318" s="66">
        <f>IF(tblFleet[[#This Row],[Units]]="","",tblFleet[[#This Row],[Units]]*24)</f>
        <v/>
      </c>
      <c r="H2318" s="66">
        <f>IF(tblFleet[[#This Row],[Units]]="","",tblFleet[[#This Row],[Calendar_h]]-tblFleet[[#This Row],[Down_h]])</f>
        <v/>
      </c>
      <c r="I2318" s="60">
        <f>IF(AND(tblFleet[[#This Row],[Units]]&lt;&gt;"",tblFleet[[#This Row],[Calendar_h]]&gt;0),tblFleet[[#This Row],[Available_h]]/tblFleet[[#This Row],[Calendar_h]],"")</f>
        <v/>
      </c>
      <c r="J2318" s="60">
        <f>IF(AND(tblFleet[[#This Row],[Units]]&lt;&gt;"",tblFleet[[#This Row],[Available_h]]&gt;0),tblFleet[[#This Row],[Operating_h]]/tblFleet[[#This Row],[Available_h]],"")</f>
        <v/>
      </c>
    </row>
    <row r="2319">
      <c r="A2319" s="54" t="n"/>
      <c r="B2319" s="61" t="n"/>
      <c r="C2319" s="62" t="n"/>
      <c r="D2319" s="57" t="n"/>
      <c r="E2319" s="57" t="n"/>
      <c r="F2319" s="58" t="n"/>
      <c r="G2319" s="66">
        <f>IF(tblFleet[[#This Row],[Units]]="","",tblFleet[[#This Row],[Units]]*24)</f>
        <v/>
      </c>
      <c r="H2319" s="66">
        <f>IF(tblFleet[[#This Row],[Units]]="","",tblFleet[[#This Row],[Calendar_h]]-tblFleet[[#This Row],[Down_h]])</f>
        <v/>
      </c>
      <c r="I2319" s="60">
        <f>IF(AND(tblFleet[[#This Row],[Units]]&lt;&gt;"",tblFleet[[#This Row],[Calendar_h]]&gt;0),tblFleet[[#This Row],[Available_h]]/tblFleet[[#This Row],[Calendar_h]],"")</f>
        <v/>
      </c>
      <c r="J2319" s="60">
        <f>IF(AND(tblFleet[[#This Row],[Units]]&lt;&gt;"",tblFleet[[#This Row],[Available_h]]&gt;0),tblFleet[[#This Row],[Operating_h]]/tblFleet[[#This Row],[Available_h]],"")</f>
        <v/>
      </c>
    </row>
    <row r="2320">
      <c r="A2320" s="54" t="n"/>
      <c r="B2320" s="61" t="n"/>
      <c r="C2320" s="62" t="n"/>
      <c r="D2320" s="57" t="n"/>
      <c r="E2320" s="57" t="n"/>
      <c r="F2320" s="58" t="n"/>
      <c r="G2320" s="66">
        <f>IF(tblFleet[[#This Row],[Units]]="","",tblFleet[[#This Row],[Units]]*24)</f>
        <v/>
      </c>
      <c r="H2320" s="66">
        <f>IF(tblFleet[[#This Row],[Units]]="","",tblFleet[[#This Row],[Calendar_h]]-tblFleet[[#This Row],[Down_h]])</f>
        <v/>
      </c>
      <c r="I2320" s="60">
        <f>IF(AND(tblFleet[[#This Row],[Units]]&lt;&gt;"",tblFleet[[#This Row],[Calendar_h]]&gt;0),tblFleet[[#This Row],[Available_h]]/tblFleet[[#This Row],[Calendar_h]],"")</f>
        <v/>
      </c>
      <c r="J2320" s="60">
        <f>IF(AND(tblFleet[[#This Row],[Units]]&lt;&gt;"",tblFleet[[#This Row],[Available_h]]&gt;0),tblFleet[[#This Row],[Operating_h]]/tblFleet[[#This Row],[Available_h]],"")</f>
        <v/>
      </c>
    </row>
    <row r="2321">
      <c r="A2321" s="54" t="n"/>
      <c r="B2321" s="61" t="n"/>
      <c r="C2321" s="62" t="n"/>
      <c r="D2321" s="57" t="n"/>
      <c r="E2321" s="57" t="n"/>
      <c r="F2321" s="58" t="n"/>
      <c r="G2321" s="66">
        <f>IF(tblFleet[[#This Row],[Units]]="","",tblFleet[[#This Row],[Units]]*24)</f>
        <v/>
      </c>
      <c r="H2321" s="66">
        <f>IF(tblFleet[[#This Row],[Units]]="","",tblFleet[[#This Row],[Calendar_h]]-tblFleet[[#This Row],[Down_h]])</f>
        <v/>
      </c>
      <c r="I2321" s="60">
        <f>IF(AND(tblFleet[[#This Row],[Units]]&lt;&gt;"",tblFleet[[#This Row],[Calendar_h]]&gt;0),tblFleet[[#This Row],[Available_h]]/tblFleet[[#This Row],[Calendar_h]],"")</f>
        <v/>
      </c>
      <c r="J2321" s="60">
        <f>IF(AND(tblFleet[[#This Row],[Units]]&lt;&gt;"",tblFleet[[#This Row],[Available_h]]&gt;0),tblFleet[[#This Row],[Operating_h]]/tblFleet[[#This Row],[Available_h]],"")</f>
        <v/>
      </c>
    </row>
    <row r="2322">
      <c r="A2322" s="54" t="n"/>
      <c r="B2322" s="61" t="n"/>
      <c r="C2322" s="62" t="n"/>
      <c r="D2322" s="57" t="n"/>
      <c r="E2322" s="57" t="n"/>
      <c r="F2322" s="58" t="n"/>
      <c r="G2322" s="66">
        <f>IF(tblFleet[[#This Row],[Units]]="","",tblFleet[[#This Row],[Units]]*24)</f>
        <v/>
      </c>
      <c r="H2322" s="66">
        <f>IF(tblFleet[[#This Row],[Units]]="","",tblFleet[[#This Row],[Calendar_h]]-tblFleet[[#This Row],[Down_h]])</f>
        <v/>
      </c>
      <c r="I2322" s="60">
        <f>IF(AND(tblFleet[[#This Row],[Units]]&lt;&gt;"",tblFleet[[#This Row],[Calendar_h]]&gt;0),tblFleet[[#This Row],[Available_h]]/tblFleet[[#This Row],[Calendar_h]],"")</f>
        <v/>
      </c>
      <c r="J2322" s="60">
        <f>IF(AND(tblFleet[[#This Row],[Units]]&lt;&gt;"",tblFleet[[#This Row],[Available_h]]&gt;0),tblFleet[[#This Row],[Operating_h]]/tblFleet[[#This Row],[Available_h]],"")</f>
        <v/>
      </c>
    </row>
    <row r="2323">
      <c r="A2323" s="54" t="n"/>
      <c r="B2323" s="61" t="n"/>
      <c r="C2323" s="62" t="n"/>
      <c r="D2323" s="57" t="n"/>
      <c r="E2323" s="57" t="n"/>
      <c r="F2323" s="58" t="n"/>
      <c r="G2323" s="66">
        <f>IF(tblFleet[[#This Row],[Units]]="","",tblFleet[[#This Row],[Units]]*24)</f>
        <v/>
      </c>
      <c r="H2323" s="66">
        <f>IF(tblFleet[[#This Row],[Units]]="","",tblFleet[[#This Row],[Calendar_h]]-tblFleet[[#This Row],[Down_h]])</f>
        <v/>
      </c>
      <c r="I2323" s="60">
        <f>IF(AND(tblFleet[[#This Row],[Units]]&lt;&gt;"",tblFleet[[#This Row],[Calendar_h]]&gt;0),tblFleet[[#This Row],[Available_h]]/tblFleet[[#This Row],[Calendar_h]],"")</f>
        <v/>
      </c>
      <c r="J2323" s="60">
        <f>IF(AND(tblFleet[[#This Row],[Units]]&lt;&gt;"",tblFleet[[#This Row],[Available_h]]&gt;0),tblFleet[[#This Row],[Operating_h]]/tblFleet[[#This Row],[Available_h]],"")</f>
        <v/>
      </c>
    </row>
    <row r="2324">
      <c r="A2324" s="54" t="n"/>
      <c r="B2324" s="61" t="n"/>
      <c r="C2324" s="62" t="n"/>
      <c r="D2324" s="57" t="n"/>
      <c r="E2324" s="57" t="n"/>
      <c r="F2324" s="58" t="n"/>
      <c r="G2324" s="66">
        <f>IF(tblFleet[[#This Row],[Units]]="","",tblFleet[[#This Row],[Units]]*24)</f>
        <v/>
      </c>
      <c r="H2324" s="66">
        <f>IF(tblFleet[[#This Row],[Units]]="","",tblFleet[[#This Row],[Calendar_h]]-tblFleet[[#This Row],[Down_h]])</f>
        <v/>
      </c>
      <c r="I2324" s="60">
        <f>IF(AND(tblFleet[[#This Row],[Units]]&lt;&gt;"",tblFleet[[#This Row],[Calendar_h]]&gt;0),tblFleet[[#This Row],[Available_h]]/tblFleet[[#This Row],[Calendar_h]],"")</f>
        <v/>
      </c>
      <c r="J2324" s="60">
        <f>IF(AND(tblFleet[[#This Row],[Units]]&lt;&gt;"",tblFleet[[#This Row],[Available_h]]&gt;0),tblFleet[[#This Row],[Operating_h]]/tblFleet[[#This Row],[Available_h]],"")</f>
        <v/>
      </c>
    </row>
    <row r="2325">
      <c r="A2325" s="54" t="n"/>
      <c r="B2325" s="61" t="n"/>
      <c r="C2325" s="62" t="n"/>
      <c r="D2325" s="57" t="n"/>
      <c r="E2325" s="57" t="n"/>
      <c r="F2325" s="58" t="n"/>
      <c r="G2325" s="66">
        <f>IF(tblFleet[[#This Row],[Units]]="","",tblFleet[[#This Row],[Units]]*24)</f>
        <v/>
      </c>
      <c r="H2325" s="66">
        <f>IF(tblFleet[[#This Row],[Units]]="","",tblFleet[[#This Row],[Calendar_h]]-tblFleet[[#This Row],[Down_h]])</f>
        <v/>
      </c>
      <c r="I2325" s="60">
        <f>IF(AND(tblFleet[[#This Row],[Units]]&lt;&gt;"",tblFleet[[#This Row],[Calendar_h]]&gt;0),tblFleet[[#This Row],[Available_h]]/tblFleet[[#This Row],[Calendar_h]],"")</f>
        <v/>
      </c>
      <c r="J2325" s="60">
        <f>IF(AND(tblFleet[[#This Row],[Units]]&lt;&gt;"",tblFleet[[#This Row],[Available_h]]&gt;0),tblFleet[[#This Row],[Operating_h]]/tblFleet[[#This Row],[Available_h]],"")</f>
        <v/>
      </c>
    </row>
    <row r="2326">
      <c r="A2326" s="54" t="n"/>
      <c r="B2326" s="61" t="n"/>
      <c r="C2326" s="62" t="n"/>
      <c r="D2326" s="57" t="n"/>
      <c r="E2326" s="57" t="n"/>
      <c r="F2326" s="58" t="n"/>
      <c r="G2326" s="66">
        <f>IF(tblFleet[[#This Row],[Units]]="","",tblFleet[[#This Row],[Units]]*24)</f>
        <v/>
      </c>
      <c r="H2326" s="66">
        <f>IF(tblFleet[[#This Row],[Units]]="","",tblFleet[[#This Row],[Calendar_h]]-tblFleet[[#This Row],[Down_h]])</f>
        <v/>
      </c>
      <c r="I2326" s="60">
        <f>IF(AND(tblFleet[[#This Row],[Units]]&lt;&gt;"",tblFleet[[#This Row],[Calendar_h]]&gt;0),tblFleet[[#This Row],[Available_h]]/tblFleet[[#This Row],[Calendar_h]],"")</f>
        <v/>
      </c>
      <c r="J2326" s="60">
        <f>IF(AND(tblFleet[[#This Row],[Units]]&lt;&gt;"",tblFleet[[#This Row],[Available_h]]&gt;0),tblFleet[[#This Row],[Operating_h]]/tblFleet[[#This Row],[Available_h]],"")</f>
        <v/>
      </c>
    </row>
    <row r="2327">
      <c r="A2327" s="54" t="n"/>
      <c r="B2327" s="61" t="n"/>
      <c r="C2327" s="62" t="n"/>
      <c r="D2327" s="57" t="n"/>
      <c r="E2327" s="57" t="n"/>
      <c r="F2327" s="58" t="n"/>
      <c r="G2327" s="66">
        <f>IF(tblFleet[[#This Row],[Units]]="","",tblFleet[[#This Row],[Units]]*24)</f>
        <v/>
      </c>
      <c r="H2327" s="66">
        <f>IF(tblFleet[[#This Row],[Units]]="","",tblFleet[[#This Row],[Calendar_h]]-tblFleet[[#This Row],[Down_h]])</f>
        <v/>
      </c>
      <c r="I2327" s="60">
        <f>IF(AND(tblFleet[[#This Row],[Units]]&lt;&gt;"",tblFleet[[#This Row],[Calendar_h]]&gt;0),tblFleet[[#This Row],[Available_h]]/tblFleet[[#This Row],[Calendar_h]],"")</f>
        <v/>
      </c>
      <c r="J2327" s="60">
        <f>IF(AND(tblFleet[[#This Row],[Units]]&lt;&gt;"",tblFleet[[#This Row],[Available_h]]&gt;0),tblFleet[[#This Row],[Operating_h]]/tblFleet[[#This Row],[Available_h]],"")</f>
        <v/>
      </c>
    </row>
    <row r="2328">
      <c r="A2328" s="54" t="n"/>
      <c r="B2328" s="61" t="n"/>
      <c r="C2328" s="62" t="n"/>
      <c r="D2328" s="57" t="n"/>
      <c r="E2328" s="57" t="n"/>
      <c r="F2328" s="58" t="n"/>
      <c r="G2328" s="66">
        <f>IF(tblFleet[[#This Row],[Units]]="","",tblFleet[[#This Row],[Units]]*24)</f>
        <v/>
      </c>
      <c r="H2328" s="66">
        <f>IF(tblFleet[[#This Row],[Units]]="","",tblFleet[[#This Row],[Calendar_h]]-tblFleet[[#This Row],[Down_h]])</f>
        <v/>
      </c>
      <c r="I2328" s="60">
        <f>IF(AND(tblFleet[[#This Row],[Units]]&lt;&gt;"",tblFleet[[#This Row],[Calendar_h]]&gt;0),tblFleet[[#This Row],[Available_h]]/tblFleet[[#This Row],[Calendar_h]],"")</f>
        <v/>
      </c>
      <c r="J2328" s="60">
        <f>IF(AND(tblFleet[[#This Row],[Units]]&lt;&gt;"",tblFleet[[#This Row],[Available_h]]&gt;0),tblFleet[[#This Row],[Operating_h]]/tblFleet[[#This Row],[Available_h]],"")</f>
        <v/>
      </c>
    </row>
    <row r="2329">
      <c r="A2329" s="54" t="n"/>
      <c r="B2329" s="61" t="n"/>
      <c r="C2329" s="62" t="n"/>
      <c r="D2329" s="57" t="n"/>
      <c r="E2329" s="57" t="n"/>
      <c r="F2329" s="58" t="n"/>
      <c r="G2329" s="66">
        <f>IF(tblFleet[[#This Row],[Units]]="","",tblFleet[[#This Row],[Units]]*24)</f>
        <v/>
      </c>
      <c r="H2329" s="66">
        <f>IF(tblFleet[[#This Row],[Units]]="","",tblFleet[[#This Row],[Calendar_h]]-tblFleet[[#This Row],[Down_h]])</f>
        <v/>
      </c>
      <c r="I2329" s="60">
        <f>IF(AND(tblFleet[[#This Row],[Units]]&lt;&gt;"",tblFleet[[#This Row],[Calendar_h]]&gt;0),tblFleet[[#This Row],[Available_h]]/tblFleet[[#This Row],[Calendar_h]],"")</f>
        <v/>
      </c>
      <c r="J2329" s="60">
        <f>IF(AND(tblFleet[[#This Row],[Units]]&lt;&gt;"",tblFleet[[#This Row],[Available_h]]&gt;0),tblFleet[[#This Row],[Operating_h]]/tblFleet[[#This Row],[Available_h]],"")</f>
        <v/>
      </c>
    </row>
    <row r="2330">
      <c r="A2330" s="54" t="n"/>
      <c r="B2330" s="61" t="n"/>
      <c r="C2330" s="62" t="n"/>
      <c r="D2330" s="57" t="n"/>
      <c r="E2330" s="57" t="n"/>
      <c r="F2330" s="58" t="n"/>
      <c r="G2330" s="66">
        <f>IF(tblFleet[[#This Row],[Units]]="","",tblFleet[[#This Row],[Units]]*24)</f>
        <v/>
      </c>
      <c r="H2330" s="66">
        <f>IF(tblFleet[[#This Row],[Units]]="","",tblFleet[[#This Row],[Calendar_h]]-tblFleet[[#This Row],[Down_h]])</f>
        <v/>
      </c>
      <c r="I2330" s="60">
        <f>IF(AND(tblFleet[[#This Row],[Units]]&lt;&gt;"",tblFleet[[#This Row],[Calendar_h]]&gt;0),tblFleet[[#This Row],[Available_h]]/tblFleet[[#This Row],[Calendar_h]],"")</f>
        <v/>
      </c>
      <c r="J2330" s="60">
        <f>IF(AND(tblFleet[[#This Row],[Units]]&lt;&gt;"",tblFleet[[#This Row],[Available_h]]&gt;0),tblFleet[[#This Row],[Operating_h]]/tblFleet[[#This Row],[Available_h]],"")</f>
        <v/>
      </c>
    </row>
    <row r="2331">
      <c r="A2331" s="54" t="n"/>
      <c r="B2331" s="61" t="n"/>
      <c r="C2331" s="62" t="n"/>
      <c r="D2331" s="57" t="n"/>
      <c r="E2331" s="57" t="n"/>
      <c r="F2331" s="58" t="n"/>
      <c r="G2331" s="66">
        <f>IF(tblFleet[[#This Row],[Units]]="","",tblFleet[[#This Row],[Units]]*24)</f>
        <v/>
      </c>
      <c r="H2331" s="66">
        <f>IF(tblFleet[[#This Row],[Units]]="","",tblFleet[[#This Row],[Calendar_h]]-tblFleet[[#This Row],[Down_h]])</f>
        <v/>
      </c>
      <c r="I2331" s="60">
        <f>IF(AND(tblFleet[[#This Row],[Units]]&lt;&gt;"",tblFleet[[#This Row],[Calendar_h]]&gt;0),tblFleet[[#This Row],[Available_h]]/tblFleet[[#This Row],[Calendar_h]],"")</f>
        <v/>
      </c>
      <c r="J2331" s="60">
        <f>IF(AND(tblFleet[[#This Row],[Units]]&lt;&gt;"",tblFleet[[#This Row],[Available_h]]&gt;0),tblFleet[[#This Row],[Operating_h]]/tblFleet[[#This Row],[Available_h]],"")</f>
        <v/>
      </c>
    </row>
    <row r="2332">
      <c r="A2332" s="54" t="n"/>
      <c r="B2332" s="61" t="n"/>
      <c r="C2332" s="62" t="n"/>
      <c r="D2332" s="57" t="n"/>
      <c r="E2332" s="57" t="n"/>
      <c r="F2332" s="58" t="n"/>
      <c r="G2332" s="66">
        <f>IF(tblFleet[[#This Row],[Units]]="","",tblFleet[[#This Row],[Units]]*24)</f>
        <v/>
      </c>
      <c r="H2332" s="66">
        <f>IF(tblFleet[[#This Row],[Units]]="","",tblFleet[[#This Row],[Calendar_h]]-tblFleet[[#This Row],[Down_h]])</f>
        <v/>
      </c>
      <c r="I2332" s="60">
        <f>IF(AND(tblFleet[[#This Row],[Units]]&lt;&gt;"",tblFleet[[#This Row],[Calendar_h]]&gt;0),tblFleet[[#This Row],[Available_h]]/tblFleet[[#This Row],[Calendar_h]],"")</f>
        <v/>
      </c>
      <c r="J2332" s="60">
        <f>IF(AND(tblFleet[[#This Row],[Units]]&lt;&gt;"",tblFleet[[#This Row],[Available_h]]&gt;0),tblFleet[[#This Row],[Operating_h]]/tblFleet[[#This Row],[Available_h]],"")</f>
        <v/>
      </c>
    </row>
    <row r="2333">
      <c r="A2333" s="54" t="n"/>
      <c r="B2333" s="61" t="n"/>
      <c r="C2333" s="62" t="n"/>
      <c r="D2333" s="57" t="n"/>
      <c r="E2333" s="57" t="n"/>
      <c r="F2333" s="58" t="n"/>
      <c r="G2333" s="66">
        <f>IF(tblFleet[[#This Row],[Units]]="","",tblFleet[[#This Row],[Units]]*24)</f>
        <v/>
      </c>
      <c r="H2333" s="66">
        <f>IF(tblFleet[[#This Row],[Units]]="","",tblFleet[[#This Row],[Calendar_h]]-tblFleet[[#This Row],[Down_h]])</f>
        <v/>
      </c>
      <c r="I2333" s="60">
        <f>IF(AND(tblFleet[[#This Row],[Units]]&lt;&gt;"",tblFleet[[#This Row],[Calendar_h]]&gt;0),tblFleet[[#This Row],[Available_h]]/tblFleet[[#This Row],[Calendar_h]],"")</f>
        <v/>
      </c>
      <c r="J2333" s="60">
        <f>IF(AND(tblFleet[[#This Row],[Units]]&lt;&gt;"",tblFleet[[#This Row],[Available_h]]&gt;0),tblFleet[[#This Row],[Operating_h]]/tblFleet[[#This Row],[Available_h]],"")</f>
        <v/>
      </c>
    </row>
    <row r="2334">
      <c r="A2334" s="54" t="n"/>
      <c r="B2334" s="61" t="n"/>
      <c r="C2334" s="62" t="n"/>
      <c r="D2334" s="57" t="n"/>
      <c r="E2334" s="57" t="n"/>
      <c r="F2334" s="58" t="n"/>
      <c r="G2334" s="66">
        <f>IF(tblFleet[[#This Row],[Units]]="","",tblFleet[[#This Row],[Units]]*24)</f>
        <v/>
      </c>
      <c r="H2334" s="66">
        <f>IF(tblFleet[[#This Row],[Units]]="","",tblFleet[[#This Row],[Calendar_h]]-tblFleet[[#This Row],[Down_h]])</f>
        <v/>
      </c>
      <c r="I2334" s="60">
        <f>IF(AND(tblFleet[[#This Row],[Units]]&lt;&gt;"",tblFleet[[#This Row],[Calendar_h]]&gt;0),tblFleet[[#This Row],[Available_h]]/tblFleet[[#This Row],[Calendar_h]],"")</f>
        <v/>
      </c>
      <c r="J2334" s="60">
        <f>IF(AND(tblFleet[[#This Row],[Units]]&lt;&gt;"",tblFleet[[#This Row],[Available_h]]&gt;0),tblFleet[[#This Row],[Operating_h]]/tblFleet[[#This Row],[Available_h]],"")</f>
        <v/>
      </c>
    </row>
    <row r="2335">
      <c r="A2335" s="54" t="n"/>
      <c r="B2335" s="61" t="n"/>
      <c r="C2335" s="62" t="n"/>
      <c r="D2335" s="57" t="n"/>
      <c r="E2335" s="57" t="n"/>
      <c r="F2335" s="58" t="n"/>
      <c r="G2335" s="66">
        <f>IF(tblFleet[[#This Row],[Units]]="","",tblFleet[[#This Row],[Units]]*24)</f>
        <v/>
      </c>
      <c r="H2335" s="66">
        <f>IF(tblFleet[[#This Row],[Units]]="","",tblFleet[[#This Row],[Calendar_h]]-tblFleet[[#This Row],[Down_h]])</f>
        <v/>
      </c>
      <c r="I2335" s="60">
        <f>IF(AND(tblFleet[[#This Row],[Units]]&lt;&gt;"",tblFleet[[#This Row],[Calendar_h]]&gt;0),tblFleet[[#This Row],[Available_h]]/tblFleet[[#This Row],[Calendar_h]],"")</f>
        <v/>
      </c>
      <c r="J2335" s="60">
        <f>IF(AND(tblFleet[[#This Row],[Units]]&lt;&gt;"",tblFleet[[#This Row],[Available_h]]&gt;0),tblFleet[[#This Row],[Operating_h]]/tblFleet[[#This Row],[Available_h]],"")</f>
        <v/>
      </c>
    </row>
    <row r="2336">
      <c r="A2336" s="54" t="n"/>
      <c r="B2336" s="61" t="n"/>
      <c r="C2336" s="62" t="n"/>
      <c r="D2336" s="57" t="n"/>
      <c r="E2336" s="57" t="n"/>
      <c r="F2336" s="58" t="n"/>
      <c r="G2336" s="66">
        <f>IF(tblFleet[[#This Row],[Units]]="","",tblFleet[[#This Row],[Units]]*24)</f>
        <v/>
      </c>
      <c r="H2336" s="66">
        <f>IF(tblFleet[[#This Row],[Units]]="","",tblFleet[[#This Row],[Calendar_h]]-tblFleet[[#This Row],[Down_h]])</f>
        <v/>
      </c>
      <c r="I2336" s="60">
        <f>IF(AND(tblFleet[[#This Row],[Units]]&lt;&gt;"",tblFleet[[#This Row],[Calendar_h]]&gt;0),tblFleet[[#This Row],[Available_h]]/tblFleet[[#This Row],[Calendar_h]],"")</f>
        <v/>
      </c>
      <c r="J2336" s="60">
        <f>IF(AND(tblFleet[[#This Row],[Units]]&lt;&gt;"",tblFleet[[#This Row],[Available_h]]&gt;0),tblFleet[[#This Row],[Operating_h]]/tblFleet[[#This Row],[Available_h]],"")</f>
        <v/>
      </c>
    </row>
    <row r="2337">
      <c r="A2337" s="54" t="n"/>
      <c r="B2337" s="61" t="n"/>
      <c r="C2337" s="62" t="n"/>
      <c r="D2337" s="57" t="n"/>
      <c r="E2337" s="57" t="n"/>
      <c r="F2337" s="58" t="n"/>
      <c r="G2337" s="66">
        <f>IF(tblFleet[[#This Row],[Units]]="","",tblFleet[[#This Row],[Units]]*24)</f>
        <v/>
      </c>
      <c r="H2337" s="66">
        <f>IF(tblFleet[[#This Row],[Units]]="","",tblFleet[[#This Row],[Calendar_h]]-tblFleet[[#This Row],[Down_h]])</f>
        <v/>
      </c>
      <c r="I2337" s="60">
        <f>IF(AND(tblFleet[[#This Row],[Units]]&lt;&gt;"",tblFleet[[#This Row],[Calendar_h]]&gt;0),tblFleet[[#This Row],[Available_h]]/tblFleet[[#This Row],[Calendar_h]],"")</f>
        <v/>
      </c>
      <c r="J2337" s="60">
        <f>IF(AND(tblFleet[[#This Row],[Units]]&lt;&gt;"",tblFleet[[#This Row],[Available_h]]&gt;0),tblFleet[[#This Row],[Operating_h]]/tblFleet[[#This Row],[Available_h]],"")</f>
        <v/>
      </c>
    </row>
    <row r="2338">
      <c r="A2338" s="54" t="n"/>
      <c r="B2338" s="61" t="n"/>
      <c r="C2338" s="62" t="n"/>
      <c r="D2338" s="57" t="n"/>
      <c r="E2338" s="57" t="n"/>
      <c r="F2338" s="58" t="n"/>
      <c r="G2338" s="66">
        <f>IF(tblFleet[[#This Row],[Units]]="","",tblFleet[[#This Row],[Units]]*24)</f>
        <v/>
      </c>
      <c r="H2338" s="66">
        <f>IF(tblFleet[[#This Row],[Units]]="","",tblFleet[[#This Row],[Calendar_h]]-tblFleet[[#This Row],[Down_h]])</f>
        <v/>
      </c>
      <c r="I2338" s="60">
        <f>IF(AND(tblFleet[[#This Row],[Units]]&lt;&gt;"",tblFleet[[#This Row],[Calendar_h]]&gt;0),tblFleet[[#This Row],[Available_h]]/tblFleet[[#This Row],[Calendar_h]],"")</f>
        <v/>
      </c>
      <c r="J2338" s="60">
        <f>IF(AND(tblFleet[[#This Row],[Units]]&lt;&gt;"",tblFleet[[#This Row],[Available_h]]&gt;0),tblFleet[[#This Row],[Operating_h]]/tblFleet[[#This Row],[Available_h]],"")</f>
        <v/>
      </c>
    </row>
    <row r="2339">
      <c r="A2339" s="54" t="n"/>
      <c r="B2339" s="61" t="n"/>
      <c r="C2339" s="62" t="n"/>
      <c r="D2339" s="57" t="n"/>
      <c r="E2339" s="57" t="n"/>
      <c r="F2339" s="58" t="n"/>
      <c r="G2339" s="66">
        <f>IF(tblFleet[[#This Row],[Units]]="","",tblFleet[[#This Row],[Units]]*24)</f>
        <v/>
      </c>
      <c r="H2339" s="66">
        <f>IF(tblFleet[[#This Row],[Units]]="","",tblFleet[[#This Row],[Calendar_h]]-tblFleet[[#This Row],[Down_h]])</f>
        <v/>
      </c>
      <c r="I2339" s="60">
        <f>IF(AND(tblFleet[[#This Row],[Units]]&lt;&gt;"",tblFleet[[#This Row],[Calendar_h]]&gt;0),tblFleet[[#This Row],[Available_h]]/tblFleet[[#This Row],[Calendar_h]],"")</f>
        <v/>
      </c>
      <c r="J2339" s="60">
        <f>IF(AND(tblFleet[[#This Row],[Units]]&lt;&gt;"",tblFleet[[#This Row],[Available_h]]&gt;0),tblFleet[[#This Row],[Operating_h]]/tblFleet[[#This Row],[Available_h]],"")</f>
        <v/>
      </c>
    </row>
    <row r="2340">
      <c r="A2340" s="54" t="n"/>
      <c r="B2340" s="61" t="n"/>
      <c r="C2340" s="62" t="n"/>
      <c r="D2340" s="57" t="n"/>
      <c r="E2340" s="57" t="n"/>
      <c r="F2340" s="58" t="n"/>
      <c r="G2340" s="66">
        <f>IF(tblFleet[[#This Row],[Units]]="","",tblFleet[[#This Row],[Units]]*24)</f>
        <v/>
      </c>
      <c r="H2340" s="66">
        <f>IF(tblFleet[[#This Row],[Units]]="","",tblFleet[[#This Row],[Calendar_h]]-tblFleet[[#This Row],[Down_h]])</f>
        <v/>
      </c>
      <c r="I2340" s="60">
        <f>IF(AND(tblFleet[[#This Row],[Units]]&lt;&gt;"",tblFleet[[#This Row],[Calendar_h]]&gt;0),tblFleet[[#This Row],[Available_h]]/tblFleet[[#This Row],[Calendar_h]],"")</f>
        <v/>
      </c>
      <c r="J2340" s="60">
        <f>IF(AND(tblFleet[[#This Row],[Units]]&lt;&gt;"",tblFleet[[#This Row],[Available_h]]&gt;0),tblFleet[[#This Row],[Operating_h]]/tblFleet[[#This Row],[Available_h]],"")</f>
        <v/>
      </c>
    </row>
    <row r="2341">
      <c r="A2341" s="54" t="n"/>
      <c r="B2341" s="61" t="n"/>
      <c r="C2341" s="62" t="n"/>
      <c r="D2341" s="57" t="n"/>
      <c r="E2341" s="57" t="n"/>
      <c r="F2341" s="58" t="n"/>
      <c r="G2341" s="66">
        <f>IF(tblFleet[[#This Row],[Units]]="","",tblFleet[[#This Row],[Units]]*24)</f>
        <v/>
      </c>
      <c r="H2341" s="66">
        <f>IF(tblFleet[[#This Row],[Units]]="","",tblFleet[[#This Row],[Calendar_h]]-tblFleet[[#This Row],[Down_h]])</f>
        <v/>
      </c>
      <c r="I2341" s="60">
        <f>IF(AND(tblFleet[[#This Row],[Units]]&lt;&gt;"",tblFleet[[#This Row],[Calendar_h]]&gt;0),tblFleet[[#This Row],[Available_h]]/tblFleet[[#This Row],[Calendar_h]],"")</f>
        <v/>
      </c>
      <c r="J2341" s="60">
        <f>IF(AND(tblFleet[[#This Row],[Units]]&lt;&gt;"",tblFleet[[#This Row],[Available_h]]&gt;0),tblFleet[[#This Row],[Operating_h]]/tblFleet[[#This Row],[Available_h]],"")</f>
        <v/>
      </c>
    </row>
    <row r="2342">
      <c r="A2342" s="54" t="n"/>
      <c r="B2342" s="61" t="n"/>
      <c r="C2342" s="62" t="n"/>
      <c r="D2342" s="57" t="n"/>
      <c r="E2342" s="57" t="n"/>
      <c r="F2342" s="58" t="n"/>
      <c r="G2342" s="66">
        <f>IF(tblFleet[[#This Row],[Units]]="","",tblFleet[[#This Row],[Units]]*24)</f>
        <v/>
      </c>
      <c r="H2342" s="66">
        <f>IF(tblFleet[[#This Row],[Units]]="","",tblFleet[[#This Row],[Calendar_h]]-tblFleet[[#This Row],[Down_h]])</f>
        <v/>
      </c>
      <c r="I2342" s="60">
        <f>IF(AND(tblFleet[[#This Row],[Units]]&lt;&gt;"",tblFleet[[#This Row],[Calendar_h]]&gt;0),tblFleet[[#This Row],[Available_h]]/tblFleet[[#This Row],[Calendar_h]],"")</f>
        <v/>
      </c>
      <c r="J2342" s="60">
        <f>IF(AND(tblFleet[[#This Row],[Units]]&lt;&gt;"",tblFleet[[#This Row],[Available_h]]&gt;0),tblFleet[[#This Row],[Operating_h]]/tblFleet[[#This Row],[Available_h]],"")</f>
        <v/>
      </c>
    </row>
    <row r="2343">
      <c r="A2343" s="54" t="n"/>
      <c r="B2343" s="61" t="n"/>
      <c r="C2343" s="62" t="n"/>
      <c r="D2343" s="57" t="n"/>
      <c r="E2343" s="57" t="n"/>
      <c r="F2343" s="58" t="n"/>
      <c r="G2343" s="66">
        <f>IF(tblFleet[[#This Row],[Units]]="","",tblFleet[[#This Row],[Units]]*24)</f>
        <v/>
      </c>
      <c r="H2343" s="66">
        <f>IF(tblFleet[[#This Row],[Units]]="","",tblFleet[[#This Row],[Calendar_h]]-tblFleet[[#This Row],[Down_h]])</f>
        <v/>
      </c>
      <c r="I2343" s="60">
        <f>IF(AND(tblFleet[[#This Row],[Units]]&lt;&gt;"",tblFleet[[#This Row],[Calendar_h]]&gt;0),tblFleet[[#This Row],[Available_h]]/tblFleet[[#This Row],[Calendar_h]],"")</f>
        <v/>
      </c>
      <c r="J2343" s="60">
        <f>IF(AND(tblFleet[[#This Row],[Units]]&lt;&gt;"",tblFleet[[#This Row],[Available_h]]&gt;0),tblFleet[[#This Row],[Operating_h]]/tblFleet[[#This Row],[Available_h]],"")</f>
        <v/>
      </c>
    </row>
    <row r="2344">
      <c r="A2344" s="54" t="n"/>
      <c r="B2344" s="61" t="n"/>
      <c r="C2344" s="62" t="n"/>
      <c r="D2344" s="57" t="n"/>
      <c r="E2344" s="57" t="n"/>
      <c r="F2344" s="58" t="n"/>
      <c r="G2344" s="66">
        <f>IF(tblFleet[[#This Row],[Units]]="","",tblFleet[[#This Row],[Units]]*24)</f>
        <v/>
      </c>
      <c r="H2344" s="66">
        <f>IF(tblFleet[[#This Row],[Units]]="","",tblFleet[[#This Row],[Calendar_h]]-tblFleet[[#This Row],[Down_h]])</f>
        <v/>
      </c>
      <c r="I2344" s="60">
        <f>IF(AND(tblFleet[[#This Row],[Units]]&lt;&gt;"",tblFleet[[#This Row],[Calendar_h]]&gt;0),tblFleet[[#This Row],[Available_h]]/tblFleet[[#This Row],[Calendar_h]],"")</f>
        <v/>
      </c>
      <c r="J2344" s="60">
        <f>IF(AND(tblFleet[[#This Row],[Units]]&lt;&gt;"",tblFleet[[#This Row],[Available_h]]&gt;0),tblFleet[[#This Row],[Operating_h]]/tblFleet[[#This Row],[Available_h]],"")</f>
        <v/>
      </c>
    </row>
    <row r="2345">
      <c r="A2345" s="54" t="n"/>
      <c r="B2345" s="61" t="n"/>
      <c r="C2345" s="62" t="n"/>
      <c r="D2345" s="57" t="n"/>
      <c r="E2345" s="57" t="n"/>
      <c r="F2345" s="58" t="n"/>
      <c r="G2345" s="66">
        <f>IF(tblFleet[[#This Row],[Units]]="","",tblFleet[[#This Row],[Units]]*24)</f>
        <v/>
      </c>
      <c r="H2345" s="66">
        <f>IF(tblFleet[[#This Row],[Units]]="","",tblFleet[[#This Row],[Calendar_h]]-tblFleet[[#This Row],[Down_h]])</f>
        <v/>
      </c>
      <c r="I2345" s="60">
        <f>IF(AND(tblFleet[[#This Row],[Units]]&lt;&gt;"",tblFleet[[#This Row],[Calendar_h]]&gt;0),tblFleet[[#This Row],[Available_h]]/tblFleet[[#This Row],[Calendar_h]],"")</f>
        <v/>
      </c>
      <c r="J2345" s="60">
        <f>IF(AND(tblFleet[[#This Row],[Units]]&lt;&gt;"",tblFleet[[#This Row],[Available_h]]&gt;0),tblFleet[[#This Row],[Operating_h]]/tblFleet[[#This Row],[Available_h]],"")</f>
        <v/>
      </c>
    </row>
    <row r="2346">
      <c r="A2346" s="54" t="n"/>
      <c r="B2346" s="61" t="n"/>
      <c r="C2346" s="62" t="n"/>
      <c r="D2346" s="57" t="n"/>
      <c r="E2346" s="57" t="n"/>
      <c r="F2346" s="58" t="n"/>
      <c r="G2346" s="66">
        <f>IF(tblFleet[[#This Row],[Units]]="","",tblFleet[[#This Row],[Units]]*24)</f>
        <v/>
      </c>
      <c r="H2346" s="66">
        <f>IF(tblFleet[[#This Row],[Units]]="","",tblFleet[[#This Row],[Calendar_h]]-tblFleet[[#This Row],[Down_h]])</f>
        <v/>
      </c>
      <c r="I2346" s="60">
        <f>IF(AND(tblFleet[[#This Row],[Units]]&lt;&gt;"",tblFleet[[#This Row],[Calendar_h]]&gt;0),tblFleet[[#This Row],[Available_h]]/tblFleet[[#This Row],[Calendar_h]],"")</f>
        <v/>
      </c>
      <c r="J2346" s="60">
        <f>IF(AND(tblFleet[[#This Row],[Units]]&lt;&gt;"",tblFleet[[#This Row],[Available_h]]&gt;0),tblFleet[[#This Row],[Operating_h]]/tblFleet[[#This Row],[Available_h]],"")</f>
        <v/>
      </c>
    </row>
    <row r="2347">
      <c r="A2347" s="54" t="n"/>
      <c r="B2347" s="61" t="n"/>
      <c r="C2347" s="62" t="n"/>
      <c r="D2347" s="57" t="n"/>
      <c r="E2347" s="57" t="n"/>
      <c r="F2347" s="58" t="n"/>
      <c r="G2347" s="66">
        <f>IF(tblFleet[[#This Row],[Units]]="","",tblFleet[[#This Row],[Units]]*24)</f>
        <v/>
      </c>
      <c r="H2347" s="66">
        <f>IF(tblFleet[[#This Row],[Units]]="","",tblFleet[[#This Row],[Calendar_h]]-tblFleet[[#This Row],[Down_h]])</f>
        <v/>
      </c>
      <c r="I2347" s="60">
        <f>IF(AND(tblFleet[[#This Row],[Units]]&lt;&gt;"",tblFleet[[#This Row],[Calendar_h]]&gt;0),tblFleet[[#This Row],[Available_h]]/tblFleet[[#This Row],[Calendar_h]],"")</f>
        <v/>
      </c>
      <c r="J2347" s="60">
        <f>IF(AND(tblFleet[[#This Row],[Units]]&lt;&gt;"",tblFleet[[#This Row],[Available_h]]&gt;0),tblFleet[[#This Row],[Operating_h]]/tblFleet[[#This Row],[Available_h]],"")</f>
        <v/>
      </c>
    </row>
    <row r="2348">
      <c r="A2348" s="54" t="n"/>
      <c r="B2348" s="61" t="n"/>
      <c r="C2348" s="62" t="n"/>
      <c r="D2348" s="57" t="n"/>
      <c r="E2348" s="57" t="n"/>
      <c r="F2348" s="58" t="n"/>
      <c r="G2348" s="66">
        <f>IF(tblFleet[[#This Row],[Units]]="","",tblFleet[[#This Row],[Units]]*24)</f>
        <v/>
      </c>
      <c r="H2348" s="66">
        <f>IF(tblFleet[[#This Row],[Units]]="","",tblFleet[[#This Row],[Calendar_h]]-tblFleet[[#This Row],[Down_h]])</f>
        <v/>
      </c>
      <c r="I2348" s="60">
        <f>IF(AND(tblFleet[[#This Row],[Units]]&lt;&gt;"",tblFleet[[#This Row],[Calendar_h]]&gt;0),tblFleet[[#This Row],[Available_h]]/tblFleet[[#This Row],[Calendar_h]],"")</f>
        <v/>
      </c>
      <c r="J2348" s="60">
        <f>IF(AND(tblFleet[[#This Row],[Units]]&lt;&gt;"",tblFleet[[#This Row],[Available_h]]&gt;0),tblFleet[[#This Row],[Operating_h]]/tblFleet[[#This Row],[Available_h]],"")</f>
        <v/>
      </c>
    </row>
    <row r="2349">
      <c r="A2349" s="54" t="n"/>
      <c r="B2349" s="61" t="n"/>
      <c r="C2349" s="62" t="n"/>
      <c r="D2349" s="57" t="n"/>
      <c r="E2349" s="57" t="n"/>
      <c r="F2349" s="58" t="n"/>
      <c r="G2349" s="66">
        <f>IF(tblFleet[[#This Row],[Units]]="","",tblFleet[[#This Row],[Units]]*24)</f>
        <v/>
      </c>
      <c r="H2349" s="66">
        <f>IF(tblFleet[[#This Row],[Units]]="","",tblFleet[[#This Row],[Calendar_h]]-tblFleet[[#This Row],[Down_h]])</f>
        <v/>
      </c>
      <c r="I2349" s="60">
        <f>IF(AND(tblFleet[[#This Row],[Units]]&lt;&gt;"",tblFleet[[#This Row],[Calendar_h]]&gt;0),tblFleet[[#This Row],[Available_h]]/tblFleet[[#This Row],[Calendar_h]],"")</f>
        <v/>
      </c>
      <c r="J2349" s="60">
        <f>IF(AND(tblFleet[[#This Row],[Units]]&lt;&gt;"",tblFleet[[#This Row],[Available_h]]&gt;0),tblFleet[[#This Row],[Operating_h]]/tblFleet[[#This Row],[Available_h]],"")</f>
        <v/>
      </c>
    </row>
    <row r="2350">
      <c r="A2350" s="54" t="n"/>
      <c r="B2350" s="61" t="n"/>
      <c r="C2350" s="62" t="n"/>
      <c r="D2350" s="57" t="n"/>
      <c r="E2350" s="57" t="n"/>
      <c r="F2350" s="58" t="n"/>
      <c r="G2350" s="66">
        <f>IF(tblFleet[[#This Row],[Units]]="","",tblFleet[[#This Row],[Units]]*24)</f>
        <v/>
      </c>
      <c r="H2350" s="66">
        <f>IF(tblFleet[[#This Row],[Units]]="","",tblFleet[[#This Row],[Calendar_h]]-tblFleet[[#This Row],[Down_h]])</f>
        <v/>
      </c>
      <c r="I2350" s="60">
        <f>IF(AND(tblFleet[[#This Row],[Units]]&lt;&gt;"",tblFleet[[#This Row],[Calendar_h]]&gt;0),tblFleet[[#This Row],[Available_h]]/tblFleet[[#This Row],[Calendar_h]],"")</f>
        <v/>
      </c>
      <c r="J2350" s="60">
        <f>IF(AND(tblFleet[[#This Row],[Units]]&lt;&gt;"",tblFleet[[#This Row],[Available_h]]&gt;0),tblFleet[[#This Row],[Operating_h]]/tblFleet[[#This Row],[Available_h]],"")</f>
        <v/>
      </c>
    </row>
    <row r="2351">
      <c r="A2351" s="54" t="n"/>
      <c r="B2351" s="61" t="n"/>
      <c r="C2351" s="62" t="n"/>
      <c r="D2351" s="57" t="n"/>
      <c r="E2351" s="57" t="n"/>
      <c r="F2351" s="58" t="n"/>
      <c r="G2351" s="66">
        <f>IF(tblFleet[[#This Row],[Units]]="","",tblFleet[[#This Row],[Units]]*24)</f>
        <v/>
      </c>
      <c r="H2351" s="66">
        <f>IF(tblFleet[[#This Row],[Units]]="","",tblFleet[[#This Row],[Calendar_h]]-tblFleet[[#This Row],[Down_h]])</f>
        <v/>
      </c>
      <c r="I2351" s="60">
        <f>IF(AND(tblFleet[[#This Row],[Units]]&lt;&gt;"",tblFleet[[#This Row],[Calendar_h]]&gt;0),tblFleet[[#This Row],[Available_h]]/tblFleet[[#This Row],[Calendar_h]],"")</f>
        <v/>
      </c>
      <c r="J2351" s="60">
        <f>IF(AND(tblFleet[[#This Row],[Units]]&lt;&gt;"",tblFleet[[#This Row],[Available_h]]&gt;0),tblFleet[[#This Row],[Operating_h]]/tblFleet[[#This Row],[Available_h]],"")</f>
        <v/>
      </c>
    </row>
    <row r="2352">
      <c r="A2352" s="54" t="n"/>
      <c r="B2352" s="61" t="n"/>
      <c r="C2352" s="62" t="n"/>
      <c r="D2352" s="57" t="n"/>
      <c r="E2352" s="57" t="n"/>
      <c r="F2352" s="58" t="n"/>
      <c r="G2352" s="66">
        <f>IF(tblFleet[[#This Row],[Units]]="","",tblFleet[[#This Row],[Units]]*24)</f>
        <v/>
      </c>
      <c r="H2352" s="66">
        <f>IF(tblFleet[[#This Row],[Units]]="","",tblFleet[[#This Row],[Calendar_h]]-tblFleet[[#This Row],[Down_h]])</f>
        <v/>
      </c>
      <c r="I2352" s="60">
        <f>IF(AND(tblFleet[[#This Row],[Units]]&lt;&gt;"",tblFleet[[#This Row],[Calendar_h]]&gt;0),tblFleet[[#This Row],[Available_h]]/tblFleet[[#This Row],[Calendar_h]],"")</f>
        <v/>
      </c>
      <c r="J2352" s="60">
        <f>IF(AND(tblFleet[[#This Row],[Units]]&lt;&gt;"",tblFleet[[#This Row],[Available_h]]&gt;0),tblFleet[[#This Row],[Operating_h]]/tblFleet[[#This Row],[Available_h]],"")</f>
        <v/>
      </c>
    </row>
    <row r="2353">
      <c r="A2353" s="54" t="n"/>
      <c r="B2353" s="61" t="n"/>
      <c r="C2353" s="62" t="n"/>
      <c r="D2353" s="57" t="n"/>
      <c r="E2353" s="57" t="n"/>
      <c r="F2353" s="58" t="n"/>
      <c r="G2353" s="66">
        <f>IF(tblFleet[[#This Row],[Units]]="","",tblFleet[[#This Row],[Units]]*24)</f>
        <v/>
      </c>
      <c r="H2353" s="66">
        <f>IF(tblFleet[[#This Row],[Units]]="","",tblFleet[[#This Row],[Calendar_h]]-tblFleet[[#This Row],[Down_h]])</f>
        <v/>
      </c>
      <c r="I2353" s="60">
        <f>IF(AND(tblFleet[[#This Row],[Units]]&lt;&gt;"",tblFleet[[#This Row],[Calendar_h]]&gt;0),tblFleet[[#This Row],[Available_h]]/tblFleet[[#This Row],[Calendar_h]],"")</f>
        <v/>
      </c>
      <c r="J2353" s="60">
        <f>IF(AND(tblFleet[[#This Row],[Units]]&lt;&gt;"",tblFleet[[#This Row],[Available_h]]&gt;0),tblFleet[[#This Row],[Operating_h]]/tblFleet[[#This Row],[Available_h]],"")</f>
        <v/>
      </c>
    </row>
    <row r="2354">
      <c r="A2354" s="54" t="n"/>
      <c r="B2354" s="61" t="n"/>
      <c r="C2354" s="62" t="n"/>
      <c r="D2354" s="57" t="n"/>
      <c r="E2354" s="57" t="n"/>
      <c r="F2354" s="58" t="n"/>
      <c r="G2354" s="66">
        <f>IF(tblFleet[[#This Row],[Units]]="","",tblFleet[[#This Row],[Units]]*24)</f>
        <v/>
      </c>
      <c r="H2354" s="66">
        <f>IF(tblFleet[[#This Row],[Units]]="","",tblFleet[[#This Row],[Calendar_h]]-tblFleet[[#This Row],[Down_h]])</f>
        <v/>
      </c>
      <c r="I2354" s="60">
        <f>IF(AND(tblFleet[[#This Row],[Units]]&lt;&gt;"",tblFleet[[#This Row],[Calendar_h]]&gt;0),tblFleet[[#This Row],[Available_h]]/tblFleet[[#This Row],[Calendar_h]],"")</f>
        <v/>
      </c>
      <c r="J2354" s="60">
        <f>IF(AND(tblFleet[[#This Row],[Units]]&lt;&gt;"",tblFleet[[#This Row],[Available_h]]&gt;0),tblFleet[[#This Row],[Operating_h]]/tblFleet[[#This Row],[Available_h]],"")</f>
        <v/>
      </c>
    </row>
    <row r="2355">
      <c r="A2355" s="54" t="n"/>
      <c r="B2355" s="61" t="n"/>
      <c r="C2355" s="62" t="n"/>
      <c r="D2355" s="57" t="n"/>
      <c r="E2355" s="57" t="n"/>
      <c r="F2355" s="58" t="n"/>
      <c r="G2355" s="66">
        <f>IF(tblFleet[[#This Row],[Units]]="","",tblFleet[[#This Row],[Units]]*24)</f>
        <v/>
      </c>
      <c r="H2355" s="66">
        <f>IF(tblFleet[[#This Row],[Units]]="","",tblFleet[[#This Row],[Calendar_h]]-tblFleet[[#This Row],[Down_h]])</f>
        <v/>
      </c>
      <c r="I2355" s="60">
        <f>IF(AND(tblFleet[[#This Row],[Units]]&lt;&gt;"",tblFleet[[#This Row],[Calendar_h]]&gt;0),tblFleet[[#This Row],[Available_h]]/tblFleet[[#This Row],[Calendar_h]],"")</f>
        <v/>
      </c>
      <c r="J2355" s="60">
        <f>IF(AND(tblFleet[[#This Row],[Units]]&lt;&gt;"",tblFleet[[#This Row],[Available_h]]&gt;0),tblFleet[[#This Row],[Operating_h]]/tblFleet[[#This Row],[Available_h]],"")</f>
        <v/>
      </c>
    </row>
    <row r="2356">
      <c r="A2356" s="54" t="n"/>
      <c r="B2356" s="61" t="n"/>
      <c r="C2356" s="62" t="n"/>
      <c r="D2356" s="57" t="n"/>
      <c r="E2356" s="57" t="n"/>
      <c r="F2356" s="58" t="n"/>
      <c r="G2356" s="66">
        <f>IF(tblFleet[[#This Row],[Units]]="","",tblFleet[[#This Row],[Units]]*24)</f>
        <v/>
      </c>
      <c r="H2356" s="66">
        <f>IF(tblFleet[[#This Row],[Units]]="","",tblFleet[[#This Row],[Calendar_h]]-tblFleet[[#This Row],[Down_h]])</f>
        <v/>
      </c>
      <c r="I2356" s="60">
        <f>IF(AND(tblFleet[[#This Row],[Units]]&lt;&gt;"",tblFleet[[#This Row],[Calendar_h]]&gt;0),tblFleet[[#This Row],[Available_h]]/tblFleet[[#This Row],[Calendar_h]],"")</f>
        <v/>
      </c>
      <c r="J2356" s="60">
        <f>IF(AND(tblFleet[[#This Row],[Units]]&lt;&gt;"",tblFleet[[#This Row],[Available_h]]&gt;0),tblFleet[[#This Row],[Operating_h]]/tblFleet[[#This Row],[Available_h]],"")</f>
        <v/>
      </c>
    </row>
    <row r="2357">
      <c r="A2357" s="54" t="n"/>
      <c r="B2357" s="61" t="n"/>
      <c r="C2357" s="62" t="n"/>
      <c r="D2357" s="57" t="n"/>
      <c r="E2357" s="57" t="n"/>
      <c r="F2357" s="58" t="n"/>
      <c r="G2357" s="66">
        <f>IF(tblFleet[[#This Row],[Units]]="","",tblFleet[[#This Row],[Units]]*24)</f>
        <v/>
      </c>
      <c r="H2357" s="66">
        <f>IF(tblFleet[[#This Row],[Units]]="","",tblFleet[[#This Row],[Calendar_h]]-tblFleet[[#This Row],[Down_h]])</f>
        <v/>
      </c>
      <c r="I2357" s="60">
        <f>IF(AND(tblFleet[[#This Row],[Units]]&lt;&gt;"",tblFleet[[#This Row],[Calendar_h]]&gt;0),tblFleet[[#This Row],[Available_h]]/tblFleet[[#This Row],[Calendar_h]],"")</f>
        <v/>
      </c>
      <c r="J2357" s="60">
        <f>IF(AND(tblFleet[[#This Row],[Units]]&lt;&gt;"",tblFleet[[#This Row],[Available_h]]&gt;0),tblFleet[[#This Row],[Operating_h]]/tblFleet[[#This Row],[Available_h]],"")</f>
        <v/>
      </c>
    </row>
    <row r="2358">
      <c r="A2358" s="54" t="n"/>
      <c r="B2358" s="61" t="n"/>
      <c r="C2358" s="62" t="n"/>
      <c r="D2358" s="57" t="n"/>
      <c r="E2358" s="57" t="n"/>
      <c r="F2358" s="58" t="n"/>
      <c r="G2358" s="66">
        <f>IF(tblFleet[[#This Row],[Units]]="","",tblFleet[[#This Row],[Units]]*24)</f>
        <v/>
      </c>
      <c r="H2358" s="66">
        <f>IF(tblFleet[[#This Row],[Units]]="","",tblFleet[[#This Row],[Calendar_h]]-tblFleet[[#This Row],[Down_h]])</f>
        <v/>
      </c>
      <c r="I2358" s="60">
        <f>IF(AND(tblFleet[[#This Row],[Units]]&lt;&gt;"",tblFleet[[#This Row],[Calendar_h]]&gt;0),tblFleet[[#This Row],[Available_h]]/tblFleet[[#This Row],[Calendar_h]],"")</f>
        <v/>
      </c>
      <c r="J2358" s="60">
        <f>IF(AND(tblFleet[[#This Row],[Units]]&lt;&gt;"",tblFleet[[#This Row],[Available_h]]&gt;0),tblFleet[[#This Row],[Operating_h]]/tblFleet[[#This Row],[Available_h]],"")</f>
        <v/>
      </c>
    </row>
    <row r="2359">
      <c r="A2359" s="54" t="n"/>
      <c r="B2359" s="61" t="n"/>
      <c r="C2359" s="62" t="n"/>
      <c r="D2359" s="57" t="n"/>
      <c r="E2359" s="57" t="n"/>
      <c r="F2359" s="58" t="n"/>
      <c r="G2359" s="66">
        <f>IF(tblFleet[[#This Row],[Units]]="","",tblFleet[[#This Row],[Units]]*24)</f>
        <v/>
      </c>
      <c r="H2359" s="66">
        <f>IF(tblFleet[[#This Row],[Units]]="","",tblFleet[[#This Row],[Calendar_h]]-tblFleet[[#This Row],[Down_h]])</f>
        <v/>
      </c>
      <c r="I2359" s="60">
        <f>IF(AND(tblFleet[[#This Row],[Units]]&lt;&gt;"",tblFleet[[#This Row],[Calendar_h]]&gt;0),tblFleet[[#This Row],[Available_h]]/tblFleet[[#This Row],[Calendar_h]],"")</f>
        <v/>
      </c>
      <c r="J2359" s="60">
        <f>IF(AND(tblFleet[[#This Row],[Units]]&lt;&gt;"",tblFleet[[#This Row],[Available_h]]&gt;0),tblFleet[[#This Row],[Operating_h]]/tblFleet[[#This Row],[Available_h]],"")</f>
        <v/>
      </c>
    </row>
    <row r="2360">
      <c r="A2360" s="54" t="n"/>
      <c r="B2360" s="61" t="n"/>
      <c r="C2360" s="62" t="n"/>
      <c r="D2360" s="57" t="n"/>
      <c r="E2360" s="57" t="n"/>
      <c r="F2360" s="58" t="n"/>
      <c r="G2360" s="66">
        <f>IF(tblFleet[[#This Row],[Units]]="","",tblFleet[[#This Row],[Units]]*24)</f>
        <v/>
      </c>
      <c r="H2360" s="66">
        <f>IF(tblFleet[[#This Row],[Units]]="","",tblFleet[[#This Row],[Calendar_h]]-tblFleet[[#This Row],[Down_h]])</f>
        <v/>
      </c>
      <c r="I2360" s="60">
        <f>IF(AND(tblFleet[[#This Row],[Units]]&lt;&gt;"",tblFleet[[#This Row],[Calendar_h]]&gt;0),tblFleet[[#This Row],[Available_h]]/tblFleet[[#This Row],[Calendar_h]],"")</f>
        <v/>
      </c>
      <c r="J2360" s="60">
        <f>IF(AND(tblFleet[[#This Row],[Units]]&lt;&gt;"",tblFleet[[#This Row],[Available_h]]&gt;0),tblFleet[[#This Row],[Operating_h]]/tblFleet[[#This Row],[Available_h]],"")</f>
        <v/>
      </c>
    </row>
    <row r="2361">
      <c r="A2361" s="54" t="n"/>
      <c r="B2361" s="61" t="n"/>
      <c r="C2361" s="62" t="n"/>
      <c r="D2361" s="57" t="n"/>
      <c r="E2361" s="57" t="n"/>
      <c r="F2361" s="58" t="n"/>
      <c r="G2361" s="66">
        <f>IF(tblFleet[[#This Row],[Units]]="","",tblFleet[[#This Row],[Units]]*24)</f>
        <v/>
      </c>
      <c r="H2361" s="66">
        <f>IF(tblFleet[[#This Row],[Units]]="","",tblFleet[[#This Row],[Calendar_h]]-tblFleet[[#This Row],[Down_h]])</f>
        <v/>
      </c>
      <c r="I2361" s="60">
        <f>IF(AND(tblFleet[[#This Row],[Units]]&lt;&gt;"",tblFleet[[#This Row],[Calendar_h]]&gt;0),tblFleet[[#This Row],[Available_h]]/tblFleet[[#This Row],[Calendar_h]],"")</f>
        <v/>
      </c>
      <c r="J2361" s="60">
        <f>IF(AND(tblFleet[[#This Row],[Units]]&lt;&gt;"",tblFleet[[#This Row],[Available_h]]&gt;0),tblFleet[[#This Row],[Operating_h]]/tblFleet[[#This Row],[Available_h]],"")</f>
        <v/>
      </c>
    </row>
    <row r="2362">
      <c r="A2362" s="54" t="n"/>
      <c r="B2362" s="61" t="n"/>
      <c r="C2362" s="62" t="n"/>
      <c r="D2362" s="57" t="n"/>
      <c r="E2362" s="57" t="n"/>
      <c r="F2362" s="58" t="n"/>
      <c r="G2362" s="66">
        <f>IF(tblFleet[[#This Row],[Units]]="","",tblFleet[[#This Row],[Units]]*24)</f>
        <v/>
      </c>
      <c r="H2362" s="66">
        <f>IF(tblFleet[[#This Row],[Units]]="","",tblFleet[[#This Row],[Calendar_h]]-tblFleet[[#This Row],[Down_h]])</f>
        <v/>
      </c>
      <c r="I2362" s="60">
        <f>IF(AND(tblFleet[[#This Row],[Units]]&lt;&gt;"",tblFleet[[#This Row],[Calendar_h]]&gt;0),tblFleet[[#This Row],[Available_h]]/tblFleet[[#This Row],[Calendar_h]],"")</f>
        <v/>
      </c>
      <c r="J2362" s="60">
        <f>IF(AND(tblFleet[[#This Row],[Units]]&lt;&gt;"",tblFleet[[#This Row],[Available_h]]&gt;0),tblFleet[[#This Row],[Operating_h]]/tblFleet[[#This Row],[Available_h]],"")</f>
        <v/>
      </c>
    </row>
    <row r="2363">
      <c r="A2363" s="54" t="n"/>
      <c r="B2363" s="61" t="n"/>
      <c r="C2363" s="62" t="n"/>
      <c r="D2363" s="57" t="n"/>
      <c r="E2363" s="57" t="n"/>
      <c r="F2363" s="58" t="n"/>
      <c r="G2363" s="66">
        <f>IF(tblFleet[[#This Row],[Units]]="","",tblFleet[[#This Row],[Units]]*24)</f>
        <v/>
      </c>
      <c r="H2363" s="66">
        <f>IF(tblFleet[[#This Row],[Units]]="","",tblFleet[[#This Row],[Calendar_h]]-tblFleet[[#This Row],[Down_h]])</f>
        <v/>
      </c>
      <c r="I2363" s="60">
        <f>IF(AND(tblFleet[[#This Row],[Units]]&lt;&gt;"",tblFleet[[#This Row],[Calendar_h]]&gt;0),tblFleet[[#This Row],[Available_h]]/tblFleet[[#This Row],[Calendar_h]],"")</f>
        <v/>
      </c>
      <c r="J2363" s="60">
        <f>IF(AND(tblFleet[[#This Row],[Units]]&lt;&gt;"",tblFleet[[#This Row],[Available_h]]&gt;0),tblFleet[[#This Row],[Operating_h]]/tblFleet[[#This Row],[Available_h]],"")</f>
        <v/>
      </c>
    </row>
    <row r="2364">
      <c r="A2364" s="54" t="n"/>
      <c r="B2364" s="61" t="n"/>
      <c r="C2364" s="62" t="n"/>
      <c r="D2364" s="57" t="n"/>
      <c r="E2364" s="57" t="n"/>
      <c r="F2364" s="58" t="n"/>
      <c r="G2364" s="66">
        <f>IF(tblFleet[[#This Row],[Units]]="","",tblFleet[[#This Row],[Units]]*24)</f>
        <v/>
      </c>
      <c r="H2364" s="66">
        <f>IF(tblFleet[[#This Row],[Units]]="","",tblFleet[[#This Row],[Calendar_h]]-tblFleet[[#This Row],[Down_h]])</f>
        <v/>
      </c>
      <c r="I2364" s="60">
        <f>IF(AND(tblFleet[[#This Row],[Units]]&lt;&gt;"",tblFleet[[#This Row],[Calendar_h]]&gt;0),tblFleet[[#This Row],[Available_h]]/tblFleet[[#This Row],[Calendar_h]],"")</f>
        <v/>
      </c>
      <c r="J2364" s="60">
        <f>IF(AND(tblFleet[[#This Row],[Units]]&lt;&gt;"",tblFleet[[#This Row],[Available_h]]&gt;0),tblFleet[[#This Row],[Operating_h]]/tblFleet[[#This Row],[Available_h]],"")</f>
        <v/>
      </c>
    </row>
    <row r="2365">
      <c r="A2365" s="54" t="n"/>
      <c r="B2365" s="61" t="n"/>
      <c r="C2365" s="62" t="n"/>
      <c r="D2365" s="57" t="n"/>
      <c r="E2365" s="57" t="n"/>
      <c r="F2365" s="58" t="n"/>
      <c r="G2365" s="66">
        <f>IF(tblFleet[[#This Row],[Units]]="","",tblFleet[[#This Row],[Units]]*24)</f>
        <v/>
      </c>
      <c r="H2365" s="66">
        <f>IF(tblFleet[[#This Row],[Units]]="","",tblFleet[[#This Row],[Calendar_h]]-tblFleet[[#This Row],[Down_h]])</f>
        <v/>
      </c>
      <c r="I2365" s="60">
        <f>IF(AND(tblFleet[[#This Row],[Units]]&lt;&gt;"",tblFleet[[#This Row],[Calendar_h]]&gt;0),tblFleet[[#This Row],[Available_h]]/tblFleet[[#This Row],[Calendar_h]],"")</f>
        <v/>
      </c>
      <c r="J2365" s="60">
        <f>IF(AND(tblFleet[[#This Row],[Units]]&lt;&gt;"",tblFleet[[#This Row],[Available_h]]&gt;0),tblFleet[[#This Row],[Operating_h]]/tblFleet[[#This Row],[Available_h]],"")</f>
        <v/>
      </c>
    </row>
    <row r="2366">
      <c r="A2366" s="54" t="n"/>
      <c r="B2366" s="61" t="n"/>
      <c r="C2366" s="62" t="n"/>
      <c r="D2366" s="57" t="n"/>
      <c r="E2366" s="57" t="n"/>
      <c r="F2366" s="58" t="n"/>
      <c r="G2366" s="66">
        <f>IF(tblFleet[[#This Row],[Units]]="","",tblFleet[[#This Row],[Units]]*24)</f>
        <v/>
      </c>
      <c r="H2366" s="66">
        <f>IF(tblFleet[[#This Row],[Units]]="","",tblFleet[[#This Row],[Calendar_h]]-tblFleet[[#This Row],[Down_h]])</f>
        <v/>
      </c>
      <c r="I2366" s="60">
        <f>IF(AND(tblFleet[[#This Row],[Units]]&lt;&gt;"",tblFleet[[#This Row],[Calendar_h]]&gt;0),tblFleet[[#This Row],[Available_h]]/tblFleet[[#This Row],[Calendar_h]],"")</f>
        <v/>
      </c>
      <c r="J2366" s="60">
        <f>IF(AND(tblFleet[[#This Row],[Units]]&lt;&gt;"",tblFleet[[#This Row],[Available_h]]&gt;0),tblFleet[[#This Row],[Operating_h]]/tblFleet[[#This Row],[Available_h]],"")</f>
        <v/>
      </c>
    </row>
    <row r="2367">
      <c r="A2367" s="54" t="n"/>
      <c r="B2367" s="61" t="n"/>
      <c r="C2367" s="62" t="n"/>
      <c r="D2367" s="57" t="n"/>
      <c r="E2367" s="57" t="n"/>
      <c r="F2367" s="58" t="n"/>
      <c r="G2367" s="66">
        <f>IF(tblFleet[[#This Row],[Units]]="","",tblFleet[[#This Row],[Units]]*24)</f>
        <v/>
      </c>
      <c r="H2367" s="66">
        <f>IF(tblFleet[[#This Row],[Units]]="","",tblFleet[[#This Row],[Calendar_h]]-tblFleet[[#This Row],[Down_h]])</f>
        <v/>
      </c>
      <c r="I2367" s="60">
        <f>IF(AND(tblFleet[[#This Row],[Units]]&lt;&gt;"",tblFleet[[#This Row],[Calendar_h]]&gt;0),tblFleet[[#This Row],[Available_h]]/tblFleet[[#This Row],[Calendar_h]],"")</f>
        <v/>
      </c>
      <c r="J2367" s="60">
        <f>IF(AND(tblFleet[[#This Row],[Units]]&lt;&gt;"",tblFleet[[#This Row],[Available_h]]&gt;0),tblFleet[[#This Row],[Operating_h]]/tblFleet[[#This Row],[Available_h]],"")</f>
        <v/>
      </c>
    </row>
    <row r="2368">
      <c r="A2368" s="54" t="n"/>
      <c r="B2368" s="61" t="n"/>
      <c r="C2368" s="62" t="n"/>
      <c r="D2368" s="57" t="n"/>
      <c r="E2368" s="57" t="n"/>
      <c r="F2368" s="58" t="n"/>
      <c r="G2368" s="66">
        <f>IF(tblFleet[[#This Row],[Units]]="","",tblFleet[[#This Row],[Units]]*24)</f>
        <v/>
      </c>
      <c r="H2368" s="66">
        <f>IF(tblFleet[[#This Row],[Units]]="","",tblFleet[[#This Row],[Calendar_h]]-tblFleet[[#This Row],[Down_h]])</f>
        <v/>
      </c>
      <c r="I2368" s="60">
        <f>IF(AND(tblFleet[[#This Row],[Units]]&lt;&gt;"",tblFleet[[#This Row],[Calendar_h]]&gt;0),tblFleet[[#This Row],[Available_h]]/tblFleet[[#This Row],[Calendar_h]],"")</f>
        <v/>
      </c>
      <c r="J2368" s="60">
        <f>IF(AND(tblFleet[[#This Row],[Units]]&lt;&gt;"",tblFleet[[#This Row],[Available_h]]&gt;0),tblFleet[[#This Row],[Operating_h]]/tblFleet[[#This Row],[Available_h]],"")</f>
        <v/>
      </c>
    </row>
    <row r="2369">
      <c r="A2369" s="54" t="n"/>
      <c r="B2369" s="61" t="n"/>
      <c r="C2369" s="62" t="n"/>
      <c r="D2369" s="57" t="n"/>
      <c r="E2369" s="57" t="n"/>
      <c r="F2369" s="58" t="n"/>
      <c r="G2369" s="66">
        <f>IF(tblFleet[[#This Row],[Units]]="","",tblFleet[[#This Row],[Units]]*24)</f>
        <v/>
      </c>
      <c r="H2369" s="66">
        <f>IF(tblFleet[[#This Row],[Units]]="","",tblFleet[[#This Row],[Calendar_h]]-tblFleet[[#This Row],[Down_h]])</f>
        <v/>
      </c>
      <c r="I2369" s="60">
        <f>IF(AND(tblFleet[[#This Row],[Units]]&lt;&gt;"",tblFleet[[#This Row],[Calendar_h]]&gt;0),tblFleet[[#This Row],[Available_h]]/tblFleet[[#This Row],[Calendar_h]],"")</f>
        <v/>
      </c>
      <c r="J2369" s="60">
        <f>IF(AND(tblFleet[[#This Row],[Units]]&lt;&gt;"",tblFleet[[#This Row],[Available_h]]&gt;0),tblFleet[[#This Row],[Operating_h]]/tblFleet[[#This Row],[Available_h]],"")</f>
        <v/>
      </c>
    </row>
    <row r="2370">
      <c r="A2370" s="54" t="n"/>
      <c r="B2370" s="61" t="n"/>
      <c r="C2370" s="62" t="n"/>
      <c r="D2370" s="57" t="n"/>
      <c r="E2370" s="57" t="n"/>
      <c r="F2370" s="58" t="n"/>
      <c r="G2370" s="66">
        <f>IF(tblFleet[[#This Row],[Units]]="","",tblFleet[[#This Row],[Units]]*24)</f>
        <v/>
      </c>
      <c r="H2370" s="66">
        <f>IF(tblFleet[[#This Row],[Units]]="","",tblFleet[[#This Row],[Calendar_h]]-tblFleet[[#This Row],[Down_h]])</f>
        <v/>
      </c>
      <c r="I2370" s="60">
        <f>IF(AND(tblFleet[[#This Row],[Units]]&lt;&gt;"",tblFleet[[#This Row],[Calendar_h]]&gt;0),tblFleet[[#This Row],[Available_h]]/tblFleet[[#This Row],[Calendar_h]],"")</f>
        <v/>
      </c>
      <c r="J2370" s="60">
        <f>IF(AND(tblFleet[[#This Row],[Units]]&lt;&gt;"",tblFleet[[#This Row],[Available_h]]&gt;0),tblFleet[[#This Row],[Operating_h]]/tblFleet[[#This Row],[Available_h]],"")</f>
        <v/>
      </c>
    </row>
    <row r="2371">
      <c r="A2371" s="54" t="n"/>
      <c r="B2371" s="61" t="n"/>
      <c r="C2371" s="62" t="n"/>
      <c r="D2371" s="57" t="n"/>
      <c r="E2371" s="57" t="n"/>
      <c r="F2371" s="58" t="n"/>
      <c r="G2371" s="66">
        <f>IF(tblFleet[[#This Row],[Units]]="","",tblFleet[[#This Row],[Units]]*24)</f>
        <v/>
      </c>
      <c r="H2371" s="66">
        <f>IF(tblFleet[[#This Row],[Units]]="","",tblFleet[[#This Row],[Calendar_h]]-tblFleet[[#This Row],[Down_h]])</f>
        <v/>
      </c>
      <c r="I2371" s="60">
        <f>IF(AND(tblFleet[[#This Row],[Units]]&lt;&gt;"",tblFleet[[#This Row],[Calendar_h]]&gt;0),tblFleet[[#This Row],[Available_h]]/tblFleet[[#This Row],[Calendar_h]],"")</f>
        <v/>
      </c>
      <c r="J2371" s="60">
        <f>IF(AND(tblFleet[[#This Row],[Units]]&lt;&gt;"",tblFleet[[#This Row],[Available_h]]&gt;0),tblFleet[[#This Row],[Operating_h]]/tblFleet[[#This Row],[Available_h]],"")</f>
        <v/>
      </c>
    </row>
    <row r="2372">
      <c r="A2372" s="54" t="n"/>
      <c r="B2372" s="61" t="n"/>
      <c r="C2372" s="62" t="n"/>
      <c r="D2372" s="57" t="n"/>
      <c r="E2372" s="57" t="n"/>
      <c r="F2372" s="58" t="n"/>
      <c r="G2372" s="66">
        <f>IF(tblFleet[[#This Row],[Units]]="","",tblFleet[[#This Row],[Units]]*24)</f>
        <v/>
      </c>
      <c r="H2372" s="66">
        <f>IF(tblFleet[[#This Row],[Units]]="","",tblFleet[[#This Row],[Calendar_h]]-tblFleet[[#This Row],[Down_h]])</f>
        <v/>
      </c>
      <c r="I2372" s="60">
        <f>IF(AND(tblFleet[[#This Row],[Units]]&lt;&gt;"",tblFleet[[#This Row],[Calendar_h]]&gt;0),tblFleet[[#This Row],[Available_h]]/tblFleet[[#This Row],[Calendar_h]],"")</f>
        <v/>
      </c>
      <c r="J2372" s="60">
        <f>IF(AND(tblFleet[[#This Row],[Units]]&lt;&gt;"",tblFleet[[#This Row],[Available_h]]&gt;0),tblFleet[[#This Row],[Operating_h]]/tblFleet[[#This Row],[Available_h]],"")</f>
        <v/>
      </c>
    </row>
    <row r="2373">
      <c r="A2373" s="54" t="n"/>
      <c r="B2373" s="61" t="n"/>
      <c r="C2373" s="62" t="n"/>
      <c r="D2373" s="57" t="n"/>
      <c r="E2373" s="57" t="n"/>
      <c r="F2373" s="58" t="n"/>
      <c r="G2373" s="66">
        <f>IF(tblFleet[[#This Row],[Units]]="","",tblFleet[[#This Row],[Units]]*24)</f>
        <v/>
      </c>
      <c r="H2373" s="66">
        <f>IF(tblFleet[[#This Row],[Units]]="","",tblFleet[[#This Row],[Calendar_h]]-tblFleet[[#This Row],[Down_h]])</f>
        <v/>
      </c>
      <c r="I2373" s="60">
        <f>IF(AND(tblFleet[[#This Row],[Units]]&lt;&gt;"",tblFleet[[#This Row],[Calendar_h]]&gt;0),tblFleet[[#This Row],[Available_h]]/tblFleet[[#This Row],[Calendar_h]],"")</f>
        <v/>
      </c>
      <c r="J2373" s="60">
        <f>IF(AND(tblFleet[[#This Row],[Units]]&lt;&gt;"",tblFleet[[#This Row],[Available_h]]&gt;0),tblFleet[[#This Row],[Operating_h]]/tblFleet[[#This Row],[Available_h]],"")</f>
        <v/>
      </c>
    </row>
    <row r="2374">
      <c r="A2374" s="54" t="n"/>
      <c r="B2374" s="61" t="n"/>
      <c r="C2374" s="62" t="n"/>
      <c r="D2374" s="57" t="n"/>
      <c r="E2374" s="57" t="n"/>
      <c r="F2374" s="58" t="n"/>
      <c r="G2374" s="66">
        <f>IF(tblFleet[[#This Row],[Units]]="","",tblFleet[[#This Row],[Units]]*24)</f>
        <v/>
      </c>
      <c r="H2374" s="66">
        <f>IF(tblFleet[[#This Row],[Units]]="","",tblFleet[[#This Row],[Calendar_h]]-tblFleet[[#This Row],[Down_h]])</f>
        <v/>
      </c>
      <c r="I2374" s="60">
        <f>IF(AND(tblFleet[[#This Row],[Units]]&lt;&gt;"",tblFleet[[#This Row],[Calendar_h]]&gt;0),tblFleet[[#This Row],[Available_h]]/tblFleet[[#This Row],[Calendar_h]],"")</f>
        <v/>
      </c>
      <c r="J2374" s="60">
        <f>IF(AND(tblFleet[[#This Row],[Units]]&lt;&gt;"",tblFleet[[#This Row],[Available_h]]&gt;0),tblFleet[[#This Row],[Operating_h]]/tblFleet[[#This Row],[Available_h]],"")</f>
        <v/>
      </c>
    </row>
    <row r="2375">
      <c r="A2375" s="54" t="n"/>
      <c r="B2375" s="61" t="n"/>
      <c r="C2375" s="62" t="n"/>
      <c r="D2375" s="57" t="n"/>
      <c r="E2375" s="57" t="n"/>
      <c r="F2375" s="58" t="n"/>
      <c r="G2375" s="66">
        <f>IF(tblFleet[[#This Row],[Units]]="","",tblFleet[[#This Row],[Units]]*24)</f>
        <v/>
      </c>
      <c r="H2375" s="66">
        <f>IF(tblFleet[[#This Row],[Units]]="","",tblFleet[[#This Row],[Calendar_h]]-tblFleet[[#This Row],[Down_h]])</f>
        <v/>
      </c>
      <c r="I2375" s="60">
        <f>IF(AND(tblFleet[[#This Row],[Units]]&lt;&gt;"",tblFleet[[#This Row],[Calendar_h]]&gt;0),tblFleet[[#This Row],[Available_h]]/tblFleet[[#This Row],[Calendar_h]],"")</f>
        <v/>
      </c>
      <c r="J2375" s="60">
        <f>IF(AND(tblFleet[[#This Row],[Units]]&lt;&gt;"",tblFleet[[#This Row],[Available_h]]&gt;0),tblFleet[[#This Row],[Operating_h]]/tblFleet[[#This Row],[Available_h]],"")</f>
        <v/>
      </c>
    </row>
    <row r="2376">
      <c r="A2376" s="54" t="n"/>
      <c r="B2376" s="61" t="n"/>
      <c r="C2376" s="62" t="n"/>
      <c r="D2376" s="57" t="n"/>
      <c r="E2376" s="57" t="n"/>
      <c r="F2376" s="58" t="n"/>
      <c r="G2376" s="66">
        <f>IF(tblFleet[[#This Row],[Units]]="","",tblFleet[[#This Row],[Units]]*24)</f>
        <v/>
      </c>
      <c r="H2376" s="66">
        <f>IF(tblFleet[[#This Row],[Units]]="","",tblFleet[[#This Row],[Calendar_h]]-tblFleet[[#This Row],[Down_h]])</f>
        <v/>
      </c>
      <c r="I2376" s="60">
        <f>IF(AND(tblFleet[[#This Row],[Units]]&lt;&gt;"",tblFleet[[#This Row],[Calendar_h]]&gt;0),tblFleet[[#This Row],[Available_h]]/tblFleet[[#This Row],[Calendar_h]],"")</f>
        <v/>
      </c>
      <c r="J2376" s="60">
        <f>IF(AND(tblFleet[[#This Row],[Units]]&lt;&gt;"",tblFleet[[#This Row],[Available_h]]&gt;0),tblFleet[[#This Row],[Operating_h]]/tblFleet[[#This Row],[Available_h]],"")</f>
        <v/>
      </c>
    </row>
    <row r="2377">
      <c r="A2377" s="54" t="n"/>
      <c r="B2377" s="61" t="n"/>
      <c r="C2377" s="62" t="n"/>
      <c r="D2377" s="57" t="n"/>
      <c r="E2377" s="57" t="n"/>
      <c r="F2377" s="58" t="n"/>
      <c r="G2377" s="66">
        <f>IF(tblFleet[[#This Row],[Units]]="","",tblFleet[[#This Row],[Units]]*24)</f>
        <v/>
      </c>
      <c r="H2377" s="66">
        <f>IF(tblFleet[[#This Row],[Units]]="","",tblFleet[[#This Row],[Calendar_h]]-tblFleet[[#This Row],[Down_h]])</f>
        <v/>
      </c>
      <c r="I2377" s="60">
        <f>IF(AND(tblFleet[[#This Row],[Units]]&lt;&gt;"",tblFleet[[#This Row],[Calendar_h]]&gt;0),tblFleet[[#This Row],[Available_h]]/tblFleet[[#This Row],[Calendar_h]],"")</f>
        <v/>
      </c>
      <c r="J2377" s="60">
        <f>IF(AND(tblFleet[[#This Row],[Units]]&lt;&gt;"",tblFleet[[#This Row],[Available_h]]&gt;0),tblFleet[[#This Row],[Operating_h]]/tblFleet[[#This Row],[Available_h]],"")</f>
        <v/>
      </c>
    </row>
    <row r="2378">
      <c r="A2378" s="54" t="n"/>
      <c r="B2378" s="61" t="n"/>
      <c r="C2378" s="62" t="n"/>
      <c r="D2378" s="57" t="n"/>
      <c r="E2378" s="57" t="n"/>
      <c r="F2378" s="58" t="n"/>
      <c r="G2378" s="66">
        <f>IF(tblFleet[[#This Row],[Units]]="","",tblFleet[[#This Row],[Units]]*24)</f>
        <v/>
      </c>
      <c r="H2378" s="66">
        <f>IF(tblFleet[[#This Row],[Units]]="","",tblFleet[[#This Row],[Calendar_h]]-tblFleet[[#This Row],[Down_h]])</f>
        <v/>
      </c>
      <c r="I2378" s="60">
        <f>IF(AND(tblFleet[[#This Row],[Units]]&lt;&gt;"",tblFleet[[#This Row],[Calendar_h]]&gt;0),tblFleet[[#This Row],[Available_h]]/tblFleet[[#This Row],[Calendar_h]],"")</f>
        <v/>
      </c>
      <c r="J2378" s="60">
        <f>IF(AND(tblFleet[[#This Row],[Units]]&lt;&gt;"",tblFleet[[#This Row],[Available_h]]&gt;0),tblFleet[[#This Row],[Operating_h]]/tblFleet[[#This Row],[Available_h]],"")</f>
        <v/>
      </c>
    </row>
    <row r="2379">
      <c r="A2379" s="54" t="n"/>
      <c r="B2379" s="61" t="n"/>
      <c r="C2379" s="62" t="n"/>
      <c r="D2379" s="57" t="n"/>
      <c r="E2379" s="57" t="n"/>
      <c r="F2379" s="58" t="n"/>
      <c r="G2379" s="66">
        <f>IF(tblFleet[[#This Row],[Units]]="","",tblFleet[[#This Row],[Units]]*24)</f>
        <v/>
      </c>
      <c r="H2379" s="66">
        <f>IF(tblFleet[[#This Row],[Units]]="","",tblFleet[[#This Row],[Calendar_h]]-tblFleet[[#This Row],[Down_h]])</f>
        <v/>
      </c>
      <c r="I2379" s="60">
        <f>IF(AND(tblFleet[[#This Row],[Units]]&lt;&gt;"",tblFleet[[#This Row],[Calendar_h]]&gt;0),tblFleet[[#This Row],[Available_h]]/tblFleet[[#This Row],[Calendar_h]],"")</f>
        <v/>
      </c>
      <c r="J2379" s="60">
        <f>IF(AND(tblFleet[[#This Row],[Units]]&lt;&gt;"",tblFleet[[#This Row],[Available_h]]&gt;0),tblFleet[[#This Row],[Operating_h]]/tblFleet[[#This Row],[Available_h]],"")</f>
        <v/>
      </c>
    </row>
    <row r="2380">
      <c r="A2380" s="54" t="n"/>
      <c r="B2380" s="61" t="n"/>
      <c r="C2380" s="62" t="n"/>
      <c r="D2380" s="57" t="n"/>
      <c r="E2380" s="57" t="n"/>
      <c r="F2380" s="58" t="n"/>
      <c r="G2380" s="66">
        <f>IF(tblFleet[[#This Row],[Units]]="","",tblFleet[[#This Row],[Units]]*24)</f>
        <v/>
      </c>
      <c r="H2380" s="66">
        <f>IF(tblFleet[[#This Row],[Units]]="","",tblFleet[[#This Row],[Calendar_h]]-tblFleet[[#This Row],[Down_h]])</f>
        <v/>
      </c>
      <c r="I2380" s="60">
        <f>IF(AND(tblFleet[[#This Row],[Units]]&lt;&gt;"",tblFleet[[#This Row],[Calendar_h]]&gt;0),tblFleet[[#This Row],[Available_h]]/tblFleet[[#This Row],[Calendar_h]],"")</f>
        <v/>
      </c>
      <c r="J2380" s="60">
        <f>IF(AND(tblFleet[[#This Row],[Units]]&lt;&gt;"",tblFleet[[#This Row],[Available_h]]&gt;0),tblFleet[[#This Row],[Operating_h]]/tblFleet[[#This Row],[Available_h]],"")</f>
        <v/>
      </c>
    </row>
    <row r="2381">
      <c r="A2381" s="54" t="n"/>
      <c r="B2381" s="61" t="n"/>
      <c r="C2381" s="62" t="n"/>
      <c r="D2381" s="57" t="n"/>
      <c r="E2381" s="57" t="n"/>
      <c r="F2381" s="58" t="n"/>
      <c r="G2381" s="66">
        <f>IF(tblFleet[[#This Row],[Units]]="","",tblFleet[[#This Row],[Units]]*24)</f>
        <v/>
      </c>
      <c r="H2381" s="66">
        <f>IF(tblFleet[[#This Row],[Units]]="","",tblFleet[[#This Row],[Calendar_h]]-tblFleet[[#This Row],[Down_h]])</f>
        <v/>
      </c>
      <c r="I2381" s="60">
        <f>IF(AND(tblFleet[[#This Row],[Units]]&lt;&gt;"",tblFleet[[#This Row],[Calendar_h]]&gt;0),tblFleet[[#This Row],[Available_h]]/tblFleet[[#This Row],[Calendar_h]],"")</f>
        <v/>
      </c>
      <c r="J2381" s="60">
        <f>IF(AND(tblFleet[[#This Row],[Units]]&lt;&gt;"",tblFleet[[#This Row],[Available_h]]&gt;0),tblFleet[[#This Row],[Operating_h]]/tblFleet[[#This Row],[Available_h]],"")</f>
        <v/>
      </c>
    </row>
    <row r="2382">
      <c r="A2382" s="54" t="n"/>
      <c r="B2382" s="61" t="n"/>
      <c r="C2382" s="62" t="n"/>
      <c r="D2382" s="57" t="n"/>
      <c r="E2382" s="57" t="n"/>
      <c r="F2382" s="58" t="n"/>
      <c r="G2382" s="66">
        <f>IF(tblFleet[[#This Row],[Units]]="","",tblFleet[[#This Row],[Units]]*24)</f>
        <v/>
      </c>
      <c r="H2382" s="66">
        <f>IF(tblFleet[[#This Row],[Units]]="","",tblFleet[[#This Row],[Calendar_h]]-tblFleet[[#This Row],[Down_h]])</f>
        <v/>
      </c>
      <c r="I2382" s="60">
        <f>IF(AND(tblFleet[[#This Row],[Units]]&lt;&gt;"",tblFleet[[#This Row],[Calendar_h]]&gt;0),tblFleet[[#This Row],[Available_h]]/tblFleet[[#This Row],[Calendar_h]],"")</f>
        <v/>
      </c>
      <c r="J2382" s="60">
        <f>IF(AND(tblFleet[[#This Row],[Units]]&lt;&gt;"",tblFleet[[#This Row],[Available_h]]&gt;0),tblFleet[[#This Row],[Operating_h]]/tblFleet[[#This Row],[Available_h]],"")</f>
        <v/>
      </c>
    </row>
    <row r="2383">
      <c r="A2383" s="54" t="n"/>
      <c r="B2383" s="61" t="n"/>
      <c r="C2383" s="62" t="n"/>
      <c r="D2383" s="57" t="n"/>
      <c r="E2383" s="57" t="n"/>
      <c r="F2383" s="58" t="n"/>
      <c r="G2383" s="66">
        <f>IF(tblFleet[[#This Row],[Units]]="","",tblFleet[[#This Row],[Units]]*24)</f>
        <v/>
      </c>
      <c r="H2383" s="66">
        <f>IF(tblFleet[[#This Row],[Units]]="","",tblFleet[[#This Row],[Calendar_h]]-tblFleet[[#This Row],[Down_h]])</f>
        <v/>
      </c>
      <c r="I2383" s="60">
        <f>IF(AND(tblFleet[[#This Row],[Units]]&lt;&gt;"",tblFleet[[#This Row],[Calendar_h]]&gt;0),tblFleet[[#This Row],[Available_h]]/tblFleet[[#This Row],[Calendar_h]],"")</f>
        <v/>
      </c>
      <c r="J2383" s="60">
        <f>IF(AND(tblFleet[[#This Row],[Units]]&lt;&gt;"",tblFleet[[#This Row],[Available_h]]&gt;0),tblFleet[[#This Row],[Operating_h]]/tblFleet[[#This Row],[Available_h]],"")</f>
        <v/>
      </c>
    </row>
    <row r="2384">
      <c r="A2384" s="54" t="n"/>
      <c r="B2384" s="61" t="n"/>
      <c r="C2384" s="62" t="n"/>
      <c r="D2384" s="57" t="n"/>
      <c r="E2384" s="57" t="n"/>
      <c r="F2384" s="58" t="n"/>
      <c r="G2384" s="66">
        <f>IF(tblFleet[[#This Row],[Units]]="","",tblFleet[[#This Row],[Units]]*24)</f>
        <v/>
      </c>
      <c r="H2384" s="66">
        <f>IF(tblFleet[[#This Row],[Units]]="","",tblFleet[[#This Row],[Calendar_h]]-tblFleet[[#This Row],[Down_h]])</f>
        <v/>
      </c>
      <c r="I2384" s="60">
        <f>IF(AND(tblFleet[[#This Row],[Units]]&lt;&gt;"",tblFleet[[#This Row],[Calendar_h]]&gt;0),tblFleet[[#This Row],[Available_h]]/tblFleet[[#This Row],[Calendar_h]],"")</f>
        <v/>
      </c>
      <c r="J2384" s="60">
        <f>IF(AND(tblFleet[[#This Row],[Units]]&lt;&gt;"",tblFleet[[#This Row],[Available_h]]&gt;0),tblFleet[[#This Row],[Operating_h]]/tblFleet[[#This Row],[Available_h]],"")</f>
        <v/>
      </c>
    </row>
    <row r="2385">
      <c r="A2385" s="54" t="n"/>
      <c r="B2385" s="61" t="n"/>
      <c r="C2385" s="62" t="n"/>
      <c r="D2385" s="57" t="n"/>
      <c r="E2385" s="57" t="n"/>
      <c r="F2385" s="58" t="n"/>
      <c r="G2385" s="66">
        <f>IF(tblFleet[[#This Row],[Units]]="","",tblFleet[[#This Row],[Units]]*24)</f>
        <v/>
      </c>
      <c r="H2385" s="66">
        <f>IF(tblFleet[[#This Row],[Units]]="","",tblFleet[[#This Row],[Calendar_h]]-tblFleet[[#This Row],[Down_h]])</f>
        <v/>
      </c>
      <c r="I2385" s="60">
        <f>IF(AND(tblFleet[[#This Row],[Units]]&lt;&gt;"",tblFleet[[#This Row],[Calendar_h]]&gt;0),tblFleet[[#This Row],[Available_h]]/tblFleet[[#This Row],[Calendar_h]],"")</f>
        <v/>
      </c>
      <c r="J2385" s="60">
        <f>IF(AND(tblFleet[[#This Row],[Units]]&lt;&gt;"",tblFleet[[#This Row],[Available_h]]&gt;0),tblFleet[[#This Row],[Operating_h]]/tblFleet[[#This Row],[Available_h]],"")</f>
        <v/>
      </c>
    </row>
    <row r="2386">
      <c r="A2386" s="54" t="n"/>
      <c r="B2386" s="61" t="n"/>
      <c r="C2386" s="62" t="n"/>
      <c r="D2386" s="57" t="n"/>
      <c r="E2386" s="57" t="n"/>
      <c r="F2386" s="58" t="n"/>
      <c r="G2386" s="66">
        <f>IF(tblFleet[[#This Row],[Units]]="","",tblFleet[[#This Row],[Units]]*24)</f>
        <v/>
      </c>
      <c r="H2386" s="66">
        <f>IF(tblFleet[[#This Row],[Units]]="","",tblFleet[[#This Row],[Calendar_h]]-tblFleet[[#This Row],[Down_h]])</f>
        <v/>
      </c>
      <c r="I2386" s="60">
        <f>IF(AND(tblFleet[[#This Row],[Units]]&lt;&gt;"",tblFleet[[#This Row],[Calendar_h]]&gt;0),tblFleet[[#This Row],[Available_h]]/tblFleet[[#This Row],[Calendar_h]],"")</f>
        <v/>
      </c>
      <c r="J2386" s="60">
        <f>IF(AND(tblFleet[[#This Row],[Units]]&lt;&gt;"",tblFleet[[#This Row],[Available_h]]&gt;0),tblFleet[[#This Row],[Operating_h]]/tblFleet[[#This Row],[Available_h]],"")</f>
        <v/>
      </c>
    </row>
    <row r="2387">
      <c r="A2387" s="54" t="n"/>
      <c r="B2387" s="61" t="n"/>
      <c r="C2387" s="62" t="n"/>
      <c r="D2387" s="57" t="n"/>
      <c r="E2387" s="57" t="n"/>
      <c r="F2387" s="58" t="n"/>
      <c r="G2387" s="66">
        <f>IF(tblFleet[[#This Row],[Units]]="","",tblFleet[[#This Row],[Units]]*24)</f>
        <v/>
      </c>
      <c r="H2387" s="66">
        <f>IF(tblFleet[[#This Row],[Units]]="","",tblFleet[[#This Row],[Calendar_h]]-tblFleet[[#This Row],[Down_h]])</f>
        <v/>
      </c>
      <c r="I2387" s="60">
        <f>IF(AND(tblFleet[[#This Row],[Units]]&lt;&gt;"",tblFleet[[#This Row],[Calendar_h]]&gt;0),tblFleet[[#This Row],[Available_h]]/tblFleet[[#This Row],[Calendar_h]],"")</f>
        <v/>
      </c>
      <c r="J2387" s="60">
        <f>IF(AND(tblFleet[[#This Row],[Units]]&lt;&gt;"",tblFleet[[#This Row],[Available_h]]&gt;0),tblFleet[[#This Row],[Operating_h]]/tblFleet[[#This Row],[Available_h]],"")</f>
        <v/>
      </c>
    </row>
    <row r="2388">
      <c r="A2388" s="54" t="n"/>
      <c r="B2388" s="61" t="n"/>
      <c r="C2388" s="62" t="n"/>
      <c r="D2388" s="57" t="n"/>
      <c r="E2388" s="57" t="n"/>
      <c r="F2388" s="58" t="n"/>
      <c r="G2388" s="66">
        <f>IF(tblFleet[[#This Row],[Units]]="","",tblFleet[[#This Row],[Units]]*24)</f>
        <v/>
      </c>
      <c r="H2388" s="66">
        <f>IF(tblFleet[[#This Row],[Units]]="","",tblFleet[[#This Row],[Calendar_h]]-tblFleet[[#This Row],[Down_h]])</f>
        <v/>
      </c>
      <c r="I2388" s="60">
        <f>IF(AND(tblFleet[[#This Row],[Units]]&lt;&gt;"",tblFleet[[#This Row],[Calendar_h]]&gt;0),tblFleet[[#This Row],[Available_h]]/tblFleet[[#This Row],[Calendar_h]],"")</f>
        <v/>
      </c>
      <c r="J2388" s="60">
        <f>IF(AND(tblFleet[[#This Row],[Units]]&lt;&gt;"",tblFleet[[#This Row],[Available_h]]&gt;0),tblFleet[[#This Row],[Operating_h]]/tblFleet[[#This Row],[Available_h]],"")</f>
        <v/>
      </c>
    </row>
    <row r="2389">
      <c r="A2389" s="54" t="n"/>
      <c r="B2389" s="61" t="n"/>
      <c r="C2389" s="62" t="n"/>
      <c r="D2389" s="57" t="n"/>
      <c r="E2389" s="57" t="n"/>
      <c r="F2389" s="58" t="n"/>
      <c r="G2389" s="66">
        <f>IF(tblFleet[[#This Row],[Units]]="","",tblFleet[[#This Row],[Units]]*24)</f>
        <v/>
      </c>
      <c r="H2389" s="66">
        <f>IF(tblFleet[[#This Row],[Units]]="","",tblFleet[[#This Row],[Calendar_h]]-tblFleet[[#This Row],[Down_h]])</f>
        <v/>
      </c>
      <c r="I2389" s="60">
        <f>IF(AND(tblFleet[[#This Row],[Units]]&lt;&gt;"",tblFleet[[#This Row],[Calendar_h]]&gt;0),tblFleet[[#This Row],[Available_h]]/tblFleet[[#This Row],[Calendar_h]],"")</f>
        <v/>
      </c>
      <c r="J2389" s="60">
        <f>IF(AND(tblFleet[[#This Row],[Units]]&lt;&gt;"",tblFleet[[#This Row],[Available_h]]&gt;0),tblFleet[[#This Row],[Operating_h]]/tblFleet[[#This Row],[Available_h]],"")</f>
        <v/>
      </c>
    </row>
    <row r="2390">
      <c r="A2390" s="54" t="n"/>
      <c r="B2390" s="61" t="n"/>
      <c r="C2390" s="62" t="n"/>
      <c r="D2390" s="57" t="n"/>
      <c r="E2390" s="57" t="n"/>
      <c r="F2390" s="58" t="n"/>
      <c r="G2390" s="66">
        <f>IF(tblFleet[[#This Row],[Units]]="","",tblFleet[[#This Row],[Units]]*24)</f>
        <v/>
      </c>
      <c r="H2390" s="66">
        <f>IF(tblFleet[[#This Row],[Units]]="","",tblFleet[[#This Row],[Calendar_h]]-tblFleet[[#This Row],[Down_h]])</f>
        <v/>
      </c>
      <c r="I2390" s="60">
        <f>IF(AND(tblFleet[[#This Row],[Units]]&lt;&gt;"",tblFleet[[#This Row],[Calendar_h]]&gt;0),tblFleet[[#This Row],[Available_h]]/tblFleet[[#This Row],[Calendar_h]],"")</f>
        <v/>
      </c>
      <c r="J2390" s="60">
        <f>IF(AND(tblFleet[[#This Row],[Units]]&lt;&gt;"",tblFleet[[#This Row],[Available_h]]&gt;0),tblFleet[[#This Row],[Operating_h]]/tblFleet[[#This Row],[Available_h]],"")</f>
        <v/>
      </c>
    </row>
    <row r="2391">
      <c r="A2391" s="54" t="n"/>
      <c r="B2391" s="61" t="n"/>
      <c r="C2391" s="62" t="n"/>
      <c r="D2391" s="57" t="n"/>
      <c r="E2391" s="57" t="n"/>
      <c r="F2391" s="58" t="n"/>
      <c r="G2391" s="66">
        <f>IF(tblFleet[[#This Row],[Units]]="","",tblFleet[[#This Row],[Units]]*24)</f>
        <v/>
      </c>
      <c r="H2391" s="66">
        <f>IF(tblFleet[[#This Row],[Units]]="","",tblFleet[[#This Row],[Calendar_h]]-tblFleet[[#This Row],[Down_h]])</f>
        <v/>
      </c>
      <c r="I2391" s="60">
        <f>IF(AND(tblFleet[[#This Row],[Units]]&lt;&gt;"",tblFleet[[#This Row],[Calendar_h]]&gt;0),tblFleet[[#This Row],[Available_h]]/tblFleet[[#This Row],[Calendar_h]],"")</f>
        <v/>
      </c>
      <c r="J2391" s="60">
        <f>IF(AND(tblFleet[[#This Row],[Units]]&lt;&gt;"",tblFleet[[#This Row],[Available_h]]&gt;0),tblFleet[[#This Row],[Operating_h]]/tblFleet[[#This Row],[Available_h]],"")</f>
        <v/>
      </c>
    </row>
    <row r="2392">
      <c r="A2392" s="54" t="n"/>
      <c r="B2392" s="61" t="n"/>
      <c r="C2392" s="62" t="n"/>
      <c r="D2392" s="57" t="n"/>
      <c r="E2392" s="57" t="n"/>
      <c r="F2392" s="58" t="n"/>
      <c r="G2392" s="66">
        <f>IF(tblFleet[[#This Row],[Units]]="","",tblFleet[[#This Row],[Units]]*24)</f>
        <v/>
      </c>
      <c r="H2392" s="66">
        <f>IF(tblFleet[[#This Row],[Units]]="","",tblFleet[[#This Row],[Calendar_h]]-tblFleet[[#This Row],[Down_h]])</f>
        <v/>
      </c>
      <c r="I2392" s="60">
        <f>IF(AND(tblFleet[[#This Row],[Units]]&lt;&gt;"",tblFleet[[#This Row],[Calendar_h]]&gt;0),tblFleet[[#This Row],[Available_h]]/tblFleet[[#This Row],[Calendar_h]],"")</f>
        <v/>
      </c>
      <c r="J2392" s="60">
        <f>IF(AND(tblFleet[[#This Row],[Units]]&lt;&gt;"",tblFleet[[#This Row],[Available_h]]&gt;0),tblFleet[[#This Row],[Operating_h]]/tblFleet[[#This Row],[Available_h]],"")</f>
        <v/>
      </c>
    </row>
    <row r="2393">
      <c r="A2393" s="54" t="n"/>
      <c r="B2393" s="61" t="n"/>
      <c r="C2393" s="62" t="n"/>
      <c r="D2393" s="57" t="n"/>
      <c r="E2393" s="57" t="n"/>
      <c r="F2393" s="58" t="n"/>
      <c r="G2393" s="66">
        <f>IF(tblFleet[[#This Row],[Units]]="","",tblFleet[[#This Row],[Units]]*24)</f>
        <v/>
      </c>
      <c r="H2393" s="66">
        <f>IF(tblFleet[[#This Row],[Units]]="","",tblFleet[[#This Row],[Calendar_h]]-tblFleet[[#This Row],[Down_h]])</f>
        <v/>
      </c>
      <c r="I2393" s="60">
        <f>IF(AND(tblFleet[[#This Row],[Units]]&lt;&gt;"",tblFleet[[#This Row],[Calendar_h]]&gt;0),tblFleet[[#This Row],[Available_h]]/tblFleet[[#This Row],[Calendar_h]],"")</f>
        <v/>
      </c>
      <c r="J2393" s="60">
        <f>IF(AND(tblFleet[[#This Row],[Units]]&lt;&gt;"",tblFleet[[#This Row],[Available_h]]&gt;0),tblFleet[[#This Row],[Operating_h]]/tblFleet[[#This Row],[Available_h]],"")</f>
        <v/>
      </c>
    </row>
    <row r="2394">
      <c r="A2394" s="54" t="n"/>
      <c r="B2394" s="61" t="n"/>
      <c r="C2394" s="62" t="n"/>
      <c r="D2394" s="57" t="n"/>
      <c r="E2394" s="57" t="n"/>
      <c r="F2394" s="58" t="n"/>
      <c r="G2394" s="66">
        <f>IF(tblFleet[[#This Row],[Units]]="","",tblFleet[[#This Row],[Units]]*24)</f>
        <v/>
      </c>
      <c r="H2394" s="66">
        <f>IF(tblFleet[[#This Row],[Units]]="","",tblFleet[[#This Row],[Calendar_h]]-tblFleet[[#This Row],[Down_h]])</f>
        <v/>
      </c>
      <c r="I2394" s="60">
        <f>IF(AND(tblFleet[[#This Row],[Units]]&lt;&gt;"",tblFleet[[#This Row],[Calendar_h]]&gt;0),tblFleet[[#This Row],[Available_h]]/tblFleet[[#This Row],[Calendar_h]],"")</f>
        <v/>
      </c>
      <c r="J2394" s="60">
        <f>IF(AND(tblFleet[[#This Row],[Units]]&lt;&gt;"",tblFleet[[#This Row],[Available_h]]&gt;0),tblFleet[[#This Row],[Operating_h]]/tblFleet[[#This Row],[Available_h]],"")</f>
        <v/>
      </c>
    </row>
    <row r="2395">
      <c r="A2395" s="54" t="n"/>
      <c r="B2395" s="61" t="n"/>
      <c r="C2395" s="62" t="n"/>
      <c r="D2395" s="57" t="n"/>
      <c r="E2395" s="57" t="n"/>
      <c r="F2395" s="58" t="n"/>
      <c r="G2395" s="66">
        <f>IF(tblFleet[[#This Row],[Units]]="","",tblFleet[[#This Row],[Units]]*24)</f>
        <v/>
      </c>
      <c r="H2395" s="66">
        <f>IF(tblFleet[[#This Row],[Units]]="","",tblFleet[[#This Row],[Calendar_h]]-tblFleet[[#This Row],[Down_h]])</f>
        <v/>
      </c>
      <c r="I2395" s="60">
        <f>IF(AND(tblFleet[[#This Row],[Units]]&lt;&gt;"",tblFleet[[#This Row],[Calendar_h]]&gt;0),tblFleet[[#This Row],[Available_h]]/tblFleet[[#This Row],[Calendar_h]],"")</f>
        <v/>
      </c>
      <c r="J2395" s="60">
        <f>IF(AND(tblFleet[[#This Row],[Units]]&lt;&gt;"",tblFleet[[#This Row],[Available_h]]&gt;0),tblFleet[[#This Row],[Operating_h]]/tblFleet[[#This Row],[Available_h]],"")</f>
        <v/>
      </c>
    </row>
    <row r="2396">
      <c r="A2396" s="54" t="n"/>
      <c r="B2396" s="61" t="n"/>
      <c r="C2396" s="62" t="n"/>
      <c r="D2396" s="57" t="n"/>
      <c r="E2396" s="57" t="n"/>
      <c r="F2396" s="58" t="n"/>
      <c r="G2396" s="66">
        <f>IF(tblFleet[[#This Row],[Units]]="","",tblFleet[[#This Row],[Units]]*24)</f>
        <v/>
      </c>
      <c r="H2396" s="66">
        <f>IF(tblFleet[[#This Row],[Units]]="","",tblFleet[[#This Row],[Calendar_h]]-tblFleet[[#This Row],[Down_h]])</f>
        <v/>
      </c>
      <c r="I2396" s="60">
        <f>IF(AND(tblFleet[[#This Row],[Units]]&lt;&gt;"",tblFleet[[#This Row],[Calendar_h]]&gt;0),tblFleet[[#This Row],[Available_h]]/tblFleet[[#This Row],[Calendar_h]],"")</f>
        <v/>
      </c>
      <c r="J2396" s="60">
        <f>IF(AND(tblFleet[[#This Row],[Units]]&lt;&gt;"",tblFleet[[#This Row],[Available_h]]&gt;0),tblFleet[[#This Row],[Operating_h]]/tblFleet[[#This Row],[Available_h]],"")</f>
        <v/>
      </c>
    </row>
    <row r="2397">
      <c r="A2397" s="54" t="n"/>
      <c r="B2397" s="61" t="n"/>
      <c r="C2397" s="62" t="n"/>
      <c r="D2397" s="57" t="n"/>
      <c r="E2397" s="57" t="n"/>
      <c r="F2397" s="58" t="n"/>
      <c r="G2397" s="66">
        <f>IF(tblFleet[[#This Row],[Units]]="","",tblFleet[[#This Row],[Units]]*24)</f>
        <v/>
      </c>
      <c r="H2397" s="66">
        <f>IF(tblFleet[[#This Row],[Units]]="","",tblFleet[[#This Row],[Calendar_h]]-tblFleet[[#This Row],[Down_h]])</f>
        <v/>
      </c>
      <c r="I2397" s="60">
        <f>IF(AND(tblFleet[[#This Row],[Units]]&lt;&gt;"",tblFleet[[#This Row],[Calendar_h]]&gt;0),tblFleet[[#This Row],[Available_h]]/tblFleet[[#This Row],[Calendar_h]],"")</f>
        <v/>
      </c>
      <c r="J2397" s="60">
        <f>IF(AND(tblFleet[[#This Row],[Units]]&lt;&gt;"",tblFleet[[#This Row],[Available_h]]&gt;0),tblFleet[[#This Row],[Operating_h]]/tblFleet[[#This Row],[Available_h]],"")</f>
        <v/>
      </c>
    </row>
    <row r="2398">
      <c r="A2398" s="54" t="n"/>
      <c r="B2398" s="61" t="n"/>
      <c r="C2398" s="62" t="n"/>
      <c r="D2398" s="57" t="n"/>
      <c r="E2398" s="57" t="n"/>
      <c r="F2398" s="58" t="n"/>
      <c r="G2398" s="66">
        <f>IF(tblFleet[[#This Row],[Units]]="","",tblFleet[[#This Row],[Units]]*24)</f>
        <v/>
      </c>
      <c r="H2398" s="66">
        <f>IF(tblFleet[[#This Row],[Units]]="","",tblFleet[[#This Row],[Calendar_h]]-tblFleet[[#This Row],[Down_h]])</f>
        <v/>
      </c>
      <c r="I2398" s="60">
        <f>IF(AND(tblFleet[[#This Row],[Units]]&lt;&gt;"",tblFleet[[#This Row],[Calendar_h]]&gt;0),tblFleet[[#This Row],[Available_h]]/tblFleet[[#This Row],[Calendar_h]],"")</f>
        <v/>
      </c>
      <c r="J2398" s="60">
        <f>IF(AND(tblFleet[[#This Row],[Units]]&lt;&gt;"",tblFleet[[#This Row],[Available_h]]&gt;0),tblFleet[[#This Row],[Operating_h]]/tblFleet[[#This Row],[Available_h]],"")</f>
        <v/>
      </c>
    </row>
    <row r="2399">
      <c r="A2399" s="54" t="n"/>
      <c r="B2399" s="61" t="n"/>
      <c r="C2399" s="62" t="n"/>
      <c r="D2399" s="57" t="n"/>
      <c r="E2399" s="57" t="n"/>
      <c r="F2399" s="58" t="n"/>
      <c r="G2399" s="66">
        <f>IF(tblFleet[[#This Row],[Units]]="","",tblFleet[[#This Row],[Units]]*24)</f>
        <v/>
      </c>
      <c r="H2399" s="66">
        <f>IF(tblFleet[[#This Row],[Units]]="","",tblFleet[[#This Row],[Calendar_h]]-tblFleet[[#This Row],[Down_h]])</f>
        <v/>
      </c>
      <c r="I2399" s="60">
        <f>IF(AND(tblFleet[[#This Row],[Units]]&lt;&gt;"",tblFleet[[#This Row],[Calendar_h]]&gt;0),tblFleet[[#This Row],[Available_h]]/tblFleet[[#This Row],[Calendar_h]],"")</f>
        <v/>
      </c>
      <c r="J2399" s="60">
        <f>IF(AND(tblFleet[[#This Row],[Units]]&lt;&gt;"",tblFleet[[#This Row],[Available_h]]&gt;0),tblFleet[[#This Row],[Operating_h]]/tblFleet[[#This Row],[Available_h]],"")</f>
        <v/>
      </c>
    </row>
    <row r="2400">
      <c r="A2400" s="54" t="n"/>
      <c r="B2400" s="61" t="n"/>
      <c r="C2400" s="62" t="n"/>
      <c r="D2400" s="57" t="n"/>
      <c r="E2400" s="57" t="n"/>
      <c r="F2400" s="58" t="n"/>
      <c r="G2400" s="66">
        <f>IF(tblFleet[[#This Row],[Units]]="","",tblFleet[[#This Row],[Units]]*24)</f>
        <v/>
      </c>
      <c r="H2400" s="66">
        <f>IF(tblFleet[[#This Row],[Units]]="","",tblFleet[[#This Row],[Calendar_h]]-tblFleet[[#This Row],[Down_h]])</f>
        <v/>
      </c>
      <c r="I2400" s="60">
        <f>IF(AND(tblFleet[[#This Row],[Units]]&lt;&gt;"",tblFleet[[#This Row],[Calendar_h]]&gt;0),tblFleet[[#This Row],[Available_h]]/tblFleet[[#This Row],[Calendar_h]],"")</f>
        <v/>
      </c>
      <c r="J2400" s="60">
        <f>IF(AND(tblFleet[[#This Row],[Units]]&lt;&gt;"",tblFleet[[#This Row],[Available_h]]&gt;0),tblFleet[[#This Row],[Operating_h]]/tblFleet[[#This Row],[Available_h]],"")</f>
        <v/>
      </c>
    </row>
    <row r="2401">
      <c r="A2401" s="54" t="n"/>
      <c r="B2401" s="61" t="n"/>
      <c r="C2401" s="62" t="n"/>
      <c r="D2401" s="57" t="n"/>
      <c r="E2401" s="57" t="n"/>
      <c r="F2401" s="58" t="n"/>
      <c r="G2401" s="66">
        <f>IF(tblFleet[[#This Row],[Units]]="","",tblFleet[[#This Row],[Units]]*24)</f>
        <v/>
      </c>
      <c r="H2401" s="66">
        <f>IF(tblFleet[[#This Row],[Units]]="","",tblFleet[[#This Row],[Calendar_h]]-tblFleet[[#This Row],[Down_h]])</f>
        <v/>
      </c>
      <c r="I2401" s="60">
        <f>IF(AND(tblFleet[[#This Row],[Units]]&lt;&gt;"",tblFleet[[#This Row],[Calendar_h]]&gt;0),tblFleet[[#This Row],[Available_h]]/tblFleet[[#This Row],[Calendar_h]],"")</f>
        <v/>
      </c>
      <c r="J2401" s="60">
        <f>IF(AND(tblFleet[[#This Row],[Units]]&lt;&gt;"",tblFleet[[#This Row],[Available_h]]&gt;0),tblFleet[[#This Row],[Operating_h]]/tblFleet[[#This Row],[Available_h]],"")</f>
        <v/>
      </c>
    </row>
    <row r="2402">
      <c r="A2402" s="54" t="n"/>
      <c r="B2402" s="61" t="n"/>
      <c r="C2402" s="62" t="n"/>
      <c r="D2402" s="57" t="n"/>
      <c r="E2402" s="57" t="n"/>
      <c r="F2402" s="58" t="n"/>
      <c r="G2402" s="66">
        <f>IF(tblFleet[[#This Row],[Units]]="","",tblFleet[[#This Row],[Units]]*24)</f>
        <v/>
      </c>
      <c r="H2402" s="66">
        <f>IF(tblFleet[[#This Row],[Units]]="","",tblFleet[[#This Row],[Calendar_h]]-tblFleet[[#This Row],[Down_h]])</f>
        <v/>
      </c>
      <c r="I2402" s="60">
        <f>IF(AND(tblFleet[[#This Row],[Units]]&lt;&gt;"",tblFleet[[#This Row],[Calendar_h]]&gt;0),tblFleet[[#This Row],[Available_h]]/tblFleet[[#This Row],[Calendar_h]],"")</f>
        <v/>
      </c>
      <c r="J2402" s="60">
        <f>IF(AND(tblFleet[[#This Row],[Units]]&lt;&gt;"",tblFleet[[#This Row],[Available_h]]&gt;0),tblFleet[[#This Row],[Operating_h]]/tblFleet[[#This Row],[Available_h]],"")</f>
        <v/>
      </c>
    </row>
    <row r="2403">
      <c r="A2403" s="54" t="n"/>
      <c r="B2403" s="61" t="n"/>
      <c r="C2403" s="62" t="n"/>
      <c r="D2403" s="57" t="n"/>
      <c r="E2403" s="57" t="n"/>
      <c r="F2403" s="58" t="n"/>
      <c r="G2403" s="66">
        <f>IF(tblFleet[[#This Row],[Units]]="","",tblFleet[[#This Row],[Units]]*24)</f>
        <v/>
      </c>
      <c r="H2403" s="66">
        <f>IF(tblFleet[[#This Row],[Units]]="","",tblFleet[[#This Row],[Calendar_h]]-tblFleet[[#This Row],[Down_h]])</f>
        <v/>
      </c>
      <c r="I2403" s="60">
        <f>IF(AND(tblFleet[[#This Row],[Units]]&lt;&gt;"",tblFleet[[#This Row],[Calendar_h]]&gt;0),tblFleet[[#This Row],[Available_h]]/tblFleet[[#This Row],[Calendar_h]],"")</f>
        <v/>
      </c>
      <c r="J2403" s="60">
        <f>IF(AND(tblFleet[[#This Row],[Units]]&lt;&gt;"",tblFleet[[#This Row],[Available_h]]&gt;0),tblFleet[[#This Row],[Operating_h]]/tblFleet[[#This Row],[Available_h]],"")</f>
        <v/>
      </c>
    </row>
    <row r="2404">
      <c r="A2404" s="54" t="n"/>
      <c r="B2404" s="61" t="n"/>
      <c r="C2404" s="62" t="n"/>
      <c r="D2404" s="57" t="n"/>
      <c r="E2404" s="57" t="n"/>
      <c r="F2404" s="58" t="n"/>
      <c r="G2404" s="66">
        <f>IF(tblFleet[[#This Row],[Units]]="","",tblFleet[[#This Row],[Units]]*24)</f>
        <v/>
      </c>
      <c r="H2404" s="66">
        <f>IF(tblFleet[[#This Row],[Units]]="","",tblFleet[[#This Row],[Calendar_h]]-tblFleet[[#This Row],[Down_h]])</f>
        <v/>
      </c>
      <c r="I2404" s="60">
        <f>IF(AND(tblFleet[[#This Row],[Units]]&lt;&gt;"",tblFleet[[#This Row],[Calendar_h]]&gt;0),tblFleet[[#This Row],[Available_h]]/tblFleet[[#This Row],[Calendar_h]],"")</f>
        <v/>
      </c>
      <c r="J2404" s="60">
        <f>IF(AND(tblFleet[[#This Row],[Units]]&lt;&gt;"",tblFleet[[#This Row],[Available_h]]&gt;0),tblFleet[[#This Row],[Operating_h]]/tblFleet[[#This Row],[Available_h]],"")</f>
        <v/>
      </c>
    </row>
    <row r="2405">
      <c r="A2405" s="54" t="n"/>
      <c r="B2405" s="61" t="n"/>
      <c r="C2405" s="62" t="n"/>
      <c r="D2405" s="57" t="n"/>
      <c r="E2405" s="57" t="n"/>
      <c r="F2405" s="58" t="n"/>
      <c r="G2405" s="66">
        <f>IF(tblFleet[[#This Row],[Units]]="","",tblFleet[[#This Row],[Units]]*24)</f>
        <v/>
      </c>
      <c r="H2405" s="66">
        <f>IF(tblFleet[[#This Row],[Units]]="","",tblFleet[[#This Row],[Calendar_h]]-tblFleet[[#This Row],[Down_h]])</f>
        <v/>
      </c>
      <c r="I2405" s="60">
        <f>IF(AND(tblFleet[[#This Row],[Units]]&lt;&gt;"",tblFleet[[#This Row],[Calendar_h]]&gt;0),tblFleet[[#This Row],[Available_h]]/tblFleet[[#This Row],[Calendar_h]],"")</f>
        <v/>
      </c>
      <c r="J2405" s="60">
        <f>IF(AND(tblFleet[[#This Row],[Units]]&lt;&gt;"",tblFleet[[#This Row],[Available_h]]&gt;0),tblFleet[[#This Row],[Operating_h]]/tblFleet[[#This Row],[Available_h]],"")</f>
        <v/>
      </c>
    </row>
    <row r="2406">
      <c r="A2406" s="54" t="n"/>
      <c r="B2406" s="61" t="n"/>
      <c r="C2406" s="62" t="n"/>
      <c r="D2406" s="57" t="n"/>
      <c r="E2406" s="57" t="n"/>
      <c r="F2406" s="58" t="n"/>
      <c r="G2406" s="66">
        <f>IF(tblFleet[[#This Row],[Units]]="","",tblFleet[[#This Row],[Units]]*24)</f>
        <v/>
      </c>
      <c r="H2406" s="66">
        <f>IF(tblFleet[[#This Row],[Units]]="","",tblFleet[[#This Row],[Calendar_h]]-tblFleet[[#This Row],[Down_h]])</f>
        <v/>
      </c>
      <c r="I2406" s="60">
        <f>IF(AND(tblFleet[[#This Row],[Units]]&lt;&gt;"",tblFleet[[#This Row],[Calendar_h]]&gt;0),tblFleet[[#This Row],[Available_h]]/tblFleet[[#This Row],[Calendar_h]],"")</f>
        <v/>
      </c>
      <c r="J2406" s="60">
        <f>IF(AND(tblFleet[[#This Row],[Units]]&lt;&gt;"",tblFleet[[#This Row],[Available_h]]&gt;0),tblFleet[[#This Row],[Operating_h]]/tblFleet[[#This Row],[Available_h]],"")</f>
        <v/>
      </c>
    </row>
    <row r="2407">
      <c r="A2407" s="54" t="n"/>
      <c r="B2407" s="61" t="n"/>
      <c r="C2407" s="62" t="n"/>
      <c r="D2407" s="57" t="n"/>
      <c r="E2407" s="57" t="n"/>
      <c r="F2407" s="58" t="n"/>
      <c r="G2407" s="66">
        <f>IF(tblFleet[[#This Row],[Units]]="","",tblFleet[[#This Row],[Units]]*24)</f>
        <v/>
      </c>
      <c r="H2407" s="66">
        <f>IF(tblFleet[[#This Row],[Units]]="","",tblFleet[[#This Row],[Calendar_h]]-tblFleet[[#This Row],[Down_h]])</f>
        <v/>
      </c>
      <c r="I2407" s="60">
        <f>IF(AND(tblFleet[[#This Row],[Units]]&lt;&gt;"",tblFleet[[#This Row],[Calendar_h]]&gt;0),tblFleet[[#This Row],[Available_h]]/tblFleet[[#This Row],[Calendar_h]],"")</f>
        <v/>
      </c>
      <c r="J2407" s="60">
        <f>IF(AND(tblFleet[[#This Row],[Units]]&lt;&gt;"",tblFleet[[#This Row],[Available_h]]&gt;0),tblFleet[[#This Row],[Operating_h]]/tblFleet[[#This Row],[Available_h]],"")</f>
        <v/>
      </c>
    </row>
    <row r="2408">
      <c r="A2408" s="54" t="n"/>
      <c r="B2408" s="61" t="n"/>
      <c r="C2408" s="62" t="n"/>
      <c r="D2408" s="57" t="n"/>
      <c r="E2408" s="57" t="n"/>
      <c r="F2408" s="58" t="n"/>
      <c r="G2408" s="66">
        <f>IF(tblFleet[[#This Row],[Units]]="","",tblFleet[[#This Row],[Units]]*24)</f>
        <v/>
      </c>
      <c r="H2408" s="66">
        <f>IF(tblFleet[[#This Row],[Units]]="","",tblFleet[[#This Row],[Calendar_h]]-tblFleet[[#This Row],[Down_h]])</f>
        <v/>
      </c>
      <c r="I2408" s="60">
        <f>IF(AND(tblFleet[[#This Row],[Units]]&lt;&gt;"",tblFleet[[#This Row],[Calendar_h]]&gt;0),tblFleet[[#This Row],[Available_h]]/tblFleet[[#This Row],[Calendar_h]],"")</f>
        <v/>
      </c>
      <c r="J2408" s="60">
        <f>IF(AND(tblFleet[[#This Row],[Units]]&lt;&gt;"",tblFleet[[#This Row],[Available_h]]&gt;0),tblFleet[[#This Row],[Operating_h]]/tblFleet[[#This Row],[Available_h]],"")</f>
        <v/>
      </c>
    </row>
    <row r="2409">
      <c r="A2409" s="54" t="n"/>
      <c r="B2409" s="61" t="n"/>
      <c r="C2409" s="62" t="n"/>
      <c r="D2409" s="57" t="n"/>
      <c r="E2409" s="57" t="n"/>
      <c r="F2409" s="58" t="n"/>
      <c r="G2409" s="66">
        <f>IF(tblFleet[[#This Row],[Units]]="","",tblFleet[[#This Row],[Units]]*24)</f>
        <v/>
      </c>
      <c r="H2409" s="66">
        <f>IF(tblFleet[[#This Row],[Units]]="","",tblFleet[[#This Row],[Calendar_h]]-tblFleet[[#This Row],[Down_h]])</f>
        <v/>
      </c>
      <c r="I2409" s="60">
        <f>IF(AND(tblFleet[[#This Row],[Units]]&lt;&gt;"",tblFleet[[#This Row],[Calendar_h]]&gt;0),tblFleet[[#This Row],[Available_h]]/tblFleet[[#This Row],[Calendar_h]],"")</f>
        <v/>
      </c>
      <c r="J2409" s="60">
        <f>IF(AND(tblFleet[[#This Row],[Units]]&lt;&gt;"",tblFleet[[#This Row],[Available_h]]&gt;0),tblFleet[[#This Row],[Operating_h]]/tblFleet[[#This Row],[Available_h]],"")</f>
        <v/>
      </c>
    </row>
    <row r="2410">
      <c r="A2410" s="54" t="n"/>
      <c r="B2410" s="61" t="n"/>
      <c r="C2410" s="62" t="n"/>
      <c r="D2410" s="57" t="n"/>
      <c r="E2410" s="57" t="n"/>
      <c r="F2410" s="58" t="n"/>
      <c r="G2410" s="66">
        <f>IF(tblFleet[[#This Row],[Units]]="","",tblFleet[[#This Row],[Units]]*24)</f>
        <v/>
      </c>
      <c r="H2410" s="66">
        <f>IF(tblFleet[[#This Row],[Units]]="","",tblFleet[[#This Row],[Calendar_h]]-tblFleet[[#This Row],[Down_h]])</f>
        <v/>
      </c>
      <c r="I2410" s="60">
        <f>IF(AND(tblFleet[[#This Row],[Units]]&lt;&gt;"",tblFleet[[#This Row],[Calendar_h]]&gt;0),tblFleet[[#This Row],[Available_h]]/tblFleet[[#This Row],[Calendar_h]],"")</f>
        <v/>
      </c>
      <c r="J2410" s="60">
        <f>IF(AND(tblFleet[[#This Row],[Units]]&lt;&gt;"",tblFleet[[#This Row],[Available_h]]&gt;0),tblFleet[[#This Row],[Operating_h]]/tblFleet[[#This Row],[Available_h]],"")</f>
        <v/>
      </c>
    </row>
    <row r="2411">
      <c r="A2411" s="54" t="n"/>
      <c r="B2411" s="61" t="n"/>
      <c r="C2411" s="62" t="n"/>
      <c r="D2411" s="57" t="n"/>
      <c r="E2411" s="57" t="n"/>
      <c r="F2411" s="58" t="n"/>
      <c r="G2411" s="66">
        <f>IF(tblFleet[[#This Row],[Units]]="","",tblFleet[[#This Row],[Units]]*24)</f>
        <v/>
      </c>
      <c r="H2411" s="66">
        <f>IF(tblFleet[[#This Row],[Units]]="","",tblFleet[[#This Row],[Calendar_h]]-tblFleet[[#This Row],[Down_h]])</f>
        <v/>
      </c>
      <c r="I2411" s="60">
        <f>IF(AND(tblFleet[[#This Row],[Units]]&lt;&gt;"",tblFleet[[#This Row],[Calendar_h]]&gt;0),tblFleet[[#This Row],[Available_h]]/tblFleet[[#This Row],[Calendar_h]],"")</f>
        <v/>
      </c>
      <c r="J2411" s="60">
        <f>IF(AND(tblFleet[[#This Row],[Units]]&lt;&gt;"",tblFleet[[#This Row],[Available_h]]&gt;0),tblFleet[[#This Row],[Operating_h]]/tblFleet[[#This Row],[Available_h]],"")</f>
        <v/>
      </c>
    </row>
    <row r="2412">
      <c r="A2412" s="54" t="n"/>
      <c r="B2412" s="61" t="n"/>
      <c r="C2412" s="62" t="n"/>
      <c r="D2412" s="57" t="n"/>
      <c r="E2412" s="57" t="n"/>
      <c r="F2412" s="58" t="n"/>
      <c r="G2412" s="66">
        <f>IF(tblFleet[[#This Row],[Units]]="","",tblFleet[[#This Row],[Units]]*24)</f>
        <v/>
      </c>
      <c r="H2412" s="66">
        <f>IF(tblFleet[[#This Row],[Units]]="","",tblFleet[[#This Row],[Calendar_h]]-tblFleet[[#This Row],[Down_h]])</f>
        <v/>
      </c>
      <c r="I2412" s="60">
        <f>IF(AND(tblFleet[[#This Row],[Units]]&lt;&gt;"",tblFleet[[#This Row],[Calendar_h]]&gt;0),tblFleet[[#This Row],[Available_h]]/tblFleet[[#This Row],[Calendar_h]],"")</f>
        <v/>
      </c>
      <c r="J2412" s="60">
        <f>IF(AND(tblFleet[[#This Row],[Units]]&lt;&gt;"",tblFleet[[#This Row],[Available_h]]&gt;0),tblFleet[[#This Row],[Operating_h]]/tblFleet[[#This Row],[Available_h]],"")</f>
        <v/>
      </c>
    </row>
    <row r="2413">
      <c r="A2413" s="54" t="n"/>
      <c r="B2413" s="61" t="n"/>
      <c r="C2413" s="62" t="n"/>
      <c r="D2413" s="57" t="n"/>
      <c r="E2413" s="57" t="n"/>
      <c r="F2413" s="58" t="n"/>
      <c r="G2413" s="66">
        <f>IF(tblFleet[[#This Row],[Units]]="","",tblFleet[[#This Row],[Units]]*24)</f>
        <v/>
      </c>
      <c r="H2413" s="66">
        <f>IF(tblFleet[[#This Row],[Units]]="","",tblFleet[[#This Row],[Calendar_h]]-tblFleet[[#This Row],[Down_h]])</f>
        <v/>
      </c>
      <c r="I2413" s="60">
        <f>IF(AND(tblFleet[[#This Row],[Units]]&lt;&gt;"",tblFleet[[#This Row],[Calendar_h]]&gt;0),tblFleet[[#This Row],[Available_h]]/tblFleet[[#This Row],[Calendar_h]],"")</f>
        <v/>
      </c>
      <c r="J2413" s="60">
        <f>IF(AND(tblFleet[[#This Row],[Units]]&lt;&gt;"",tblFleet[[#This Row],[Available_h]]&gt;0),tblFleet[[#This Row],[Operating_h]]/tblFleet[[#This Row],[Available_h]],"")</f>
        <v/>
      </c>
    </row>
    <row r="2414">
      <c r="A2414" s="54" t="n"/>
      <c r="B2414" s="61" t="n"/>
      <c r="C2414" s="62" t="n"/>
      <c r="D2414" s="57" t="n"/>
      <c r="E2414" s="57" t="n"/>
      <c r="F2414" s="58" t="n"/>
      <c r="G2414" s="66">
        <f>IF(tblFleet[[#This Row],[Units]]="","",tblFleet[[#This Row],[Units]]*24)</f>
        <v/>
      </c>
      <c r="H2414" s="66">
        <f>IF(tblFleet[[#This Row],[Units]]="","",tblFleet[[#This Row],[Calendar_h]]-tblFleet[[#This Row],[Down_h]])</f>
        <v/>
      </c>
      <c r="I2414" s="60">
        <f>IF(AND(tblFleet[[#This Row],[Units]]&lt;&gt;"",tblFleet[[#This Row],[Calendar_h]]&gt;0),tblFleet[[#This Row],[Available_h]]/tblFleet[[#This Row],[Calendar_h]],"")</f>
        <v/>
      </c>
      <c r="J2414" s="60">
        <f>IF(AND(tblFleet[[#This Row],[Units]]&lt;&gt;"",tblFleet[[#This Row],[Available_h]]&gt;0),tblFleet[[#This Row],[Operating_h]]/tblFleet[[#This Row],[Available_h]],"")</f>
        <v/>
      </c>
    </row>
    <row r="2415">
      <c r="A2415" s="54" t="n"/>
      <c r="B2415" s="61" t="n"/>
      <c r="C2415" s="62" t="n"/>
      <c r="D2415" s="57" t="n"/>
      <c r="E2415" s="57" t="n"/>
      <c r="F2415" s="58" t="n"/>
      <c r="G2415" s="66">
        <f>IF(tblFleet[[#This Row],[Units]]="","",tblFleet[[#This Row],[Units]]*24)</f>
        <v/>
      </c>
      <c r="H2415" s="66">
        <f>IF(tblFleet[[#This Row],[Units]]="","",tblFleet[[#This Row],[Calendar_h]]-tblFleet[[#This Row],[Down_h]])</f>
        <v/>
      </c>
      <c r="I2415" s="60">
        <f>IF(AND(tblFleet[[#This Row],[Units]]&lt;&gt;"",tblFleet[[#This Row],[Calendar_h]]&gt;0),tblFleet[[#This Row],[Available_h]]/tblFleet[[#This Row],[Calendar_h]],"")</f>
        <v/>
      </c>
      <c r="J2415" s="60">
        <f>IF(AND(tblFleet[[#This Row],[Units]]&lt;&gt;"",tblFleet[[#This Row],[Available_h]]&gt;0),tblFleet[[#This Row],[Operating_h]]/tblFleet[[#This Row],[Available_h]],"")</f>
        <v/>
      </c>
    </row>
    <row r="2416">
      <c r="A2416" s="54" t="n"/>
      <c r="B2416" s="61" t="n"/>
      <c r="C2416" s="62" t="n"/>
      <c r="D2416" s="57" t="n"/>
      <c r="E2416" s="57" t="n"/>
      <c r="F2416" s="58" t="n"/>
      <c r="G2416" s="66">
        <f>IF(tblFleet[[#This Row],[Units]]="","",tblFleet[[#This Row],[Units]]*24)</f>
        <v/>
      </c>
      <c r="H2416" s="66">
        <f>IF(tblFleet[[#This Row],[Units]]="","",tblFleet[[#This Row],[Calendar_h]]-tblFleet[[#This Row],[Down_h]])</f>
        <v/>
      </c>
      <c r="I2416" s="60">
        <f>IF(AND(tblFleet[[#This Row],[Units]]&lt;&gt;"",tblFleet[[#This Row],[Calendar_h]]&gt;0),tblFleet[[#This Row],[Available_h]]/tblFleet[[#This Row],[Calendar_h]],"")</f>
        <v/>
      </c>
      <c r="J2416" s="60">
        <f>IF(AND(tblFleet[[#This Row],[Units]]&lt;&gt;"",tblFleet[[#This Row],[Available_h]]&gt;0),tblFleet[[#This Row],[Operating_h]]/tblFleet[[#This Row],[Available_h]],"")</f>
        <v/>
      </c>
    </row>
    <row r="2417">
      <c r="A2417" s="54" t="n"/>
      <c r="B2417" s="61" t="n"/>
      <c r="C2417" s="62" t="n"/>
      <c r="D2417" s="57" t="n"/>
      <c r="E2417" s="57" t="n"/>
      <c r="F2417" s="58" t="n"/>
      <c r="G2417" s="66">
        <f>IF(tblFleet[[#This Row],[Units]]="","",tblFleet[[#This Row],[Units]]*24)</f>
        <v/>
      </c>
      <c r="H2417" s="66">
        <f>IF(tblFleet[[#This Row],[Units]]="","",tblFleet[[#This Row],[Calendar_h]]-tblFleet[[#This Row],[Down_h]])</f>
        <v/>
      </c>
      <c r="I2417" s="60">
        <f>IF(AND(tblFleet[[#This Row],[Units]]&lt;&gt;"",tblFleet[[#This Row],[Calendar_h]]&gt;0),tblFleet[[#This Row],[Available_h]]/tblFleet[[#This Row],[Calendar_h]],"")</f>
        <v/>
      </c>
      <c r="J2417" s="60">
        <f>IF(AND(tblFleet[[#This Row],[Units]]&lt;&gt;"",tblFleet[[#This Row],[Available_h]]&gt;0),tblFleet[[#This Row],[Operating_h]]/tblFleet[[#This Row],[Available_h]],"")</f>
        <v/>
      </c>
    </row>
    <row r="2418">
      <c r="A2418" s="54" t="n"/>
      <c r="B2418" s="61" t="n"/>
      <c r="C2418" s="62" t="n"/>
      <c r="D2418" s="57" t="n"/>
      <c r="E2418" s="57" t="n"/>
      <c r="F2418" s="58" t="n"/>
      <c r="G2418" s="66">
        <f>IF(tblFleet[[#This Row],[Units]]="","",tblFleet[[#This Row],[Units]]*24)</f>
        <v/>
      </c>
      <c r="H2418" s="66">
        <f>IF(tblFleet[[#This Row],[Units]]="","",tblFleet[[#This Row],[Calendar_h]]-tblFleet[[#This Row],[Down_h]])</f>
        <v/>
      </c>
      <c r="I2418" s="60">
        <f>IF(AND(tblFleet[[#This Row],[Units]]&lt;&gt;"",tblFleet[[#This Row],[Calendar_h]]&gt;0),tblFleet[[#This Row],[Available_h]]/tblFleet[[#This Row],[Calendar_h]],"")</f>
        <v/>
      </c>
      <c r="J2418" s="60">
        <f>IF(AND(tblFleet[[#This Row],[Units]]&lt;&gt;"",tblFleet[[#This Row],[Available_h]]&gt;0),tblFleet[[#This Row],[Operating_h]]/tblFleet[[#This Row],[Available_h]],"")</f>
        <v/>
      </c>
    </row>
    <row r="2419">
      <c r="A2419" s="54" t="n"/>
      <c r="B2419" s="61" t="n"/>
      <c r="C2419" s="62" t="n"/>
      <c r="D2419" s="57" t="n"/>
      <c r="E2419" s="57" t="n"/>
      <c r="F2419" s="58" t="n"/>
      <c r="G2419" s="66">
        <f>IF(tblFleet[[#This Row],[Units]]="","",tblFleet[[#This Row],[Units]]*24)</f>
        <v/>
      </c>
      <c r="H2419" s="66">
        <f>IF(tblFleet[[#This Row],[Units]]="","",tblFleet[[#This Row],[Calendar_h]]-tblFleet[[#This Row],[Down_h]])</f>
        <v/>
      </c>
      <c r="I2419" s="60">
        <f>IF(AND(tblFleet[[#This Row],[Units]]&lt;&gt;"",tblFleet[[#This Row],[Calendar_h]]&gt;0),tblFleet[[#This Row],[Available_h]]/tblFleet[[#This Row],[Calendar_h]],"")</f>
        <v/>
      </c>
      <c r="J2419" s="60">
        <f>IF(AND(tblFleet[[#This Row],[Units]]&lt;&gt;"",tblFleet[[#This Row],[Available_h]]&gt;0),tblFleet[[#This Row],[Operating_h]]/tblFleet[[#This Row],[Available_h]],"")</f>
        <v/>
      </c>
    </row>
    <row r="2420">
      <c r="A2420" s="54" t="n"/>
      <c r="B2420" s="61" t="n"/>
      <c r="C2420" s="62" t="n"/>
      <c r="D2420" s="57" t="n"/>
      <c r="E2420" s="57" t="n"/>
      <c r="F2420" s="58" t="n"/>
      <c r="G2420" s="66">
        <f>IF(tblFleet[[#This Row],[Units]]="","",tblFleet[[#This Row],[Units]]*24)</f>
        <v/>
      </c>
      <c r="H2420" s="66">
        <f>IF(tblFleet[[#This Row],[Units]]="","",tblFleet[[#This Row],[Calendar_h]]-tblFleet[[#This Row],[Down_h]])</f>
        <v/>
      </c>
      <c r="I2420" s="60">
        <f>IF(AND(tblFleet[[#This Row],[Units]]&lt;&gt;"",tblFleet[[#This Row],[Calendar_h]]&gt;0),tblFleet[[#This Row],[Available_h]]/tblFleet[[#This Row],[Calendar_h]],"")</f>
        <v/>
      </c>
      <c r="J2420" s="60">
        <f>IF(AND(tblFleet[[#This Row],[Units]]&lt;&gt;"",tblFleet[[#This Row],[Available_h]]&gt;0),tblFleet[[#This Row],[Operating_h]]/tblFleet[[#This Row],[Available_h]],"")</f>
        <v/>
      </c>
    </row>
    <row r="2421">
      <c r="A2421" s="54" t="n"/>
      <c r="B2421" s="61" t="n"/>
      <c r="C2421" s="62" t="n"/>
      <c r="D2421" s="57" t="n"/>
      <c r="E2421" s="57" t="n"/>
      <c r="F2421" s="58" t="n"/>
      <c r="G2421" s="66">
        <f>IF(tblFleet[[#This Row],[Units]]="","",tblFleet[[#This Row],[Units]]*24)</f>
        <v/>
      </c>
      <c r="H2421" s="66">
        <f>IF(tblFleet[[#This Row],[Units]]="","",tblFleet[[#This Row],[Calendar_h]]-tblFleet[[#This Row],[Down_h]])</f>
        <v/>
      </c>
      <c r="I2421" s="60">
        <f>IF(AND(tblFleet[[#This Row],[Units]]&lt;&gt;"",tblFleet[[#This Row],[Calendar_h]]&gt;0),tblFleet[[#This Row],[Available_h]]/tblFleet[[#This Row],[Calendar_h]],"")</f>
        <v/>
      </c>
      <c r="J2421" s="60">
        <f>IF(AND(tblFleet[[#This Row],[Units]]&lt;&gt;"",tblFleet[[#This Row],[Available_h]]&gt;0),tblFleet[[#This Row],[Operating_h]]/tblFleet[[#This Row],[Available_h]],"")</f>
        <v/>
      </c>
    </row>
    <row r="2422">
      <c r="A2422" s="54" t="n"/>
      <c r="B2422" s="61" t="n"/>
      <c r="C2422" s="62" t="n"/>
      <c r="D2422" s="57" t="n"/>
      <c r="E2422" s="57" t="n"/>
      <c r="F2422" s="58" t="n"/>
      <c r="G2422" s="66">
        <f>IF(tblFleet[[#This Row],[Units]]="","",tblFleet[[#This Row],[Units]]*24)</f>
        <v/>
      </c>
      <c r="H2422" s="66">
        <f>IF(tblFleet[[#This Row],[Units]]="","",tblFleet[[#This Row],[Calendar_h]]-tblFleet[[#This Row],[Down_h]])</f>
        <v/>
      </c>
      <c r="I2422" s="60">
        <f>IF(AND(tblFleet[[#This Row],[Units]]&lt;&gt;"",tblFleet[[#This Row],[Calendar_h]]&gt;0),tblFleet[[#This Row],[Available_h]]/tblFleet[[#This Row],[Calendar_h]],"")</f>
        <v/>
      </c>
      <c r="J2422" s="60">
        <f>IF(AND(tblFleet[[#This Row],[Units]]&lt;&gt;"",tblFleet[[#This Row],[Available_h]]&gt;0),tblFleet[[#This Row],[Operating_h]]/tblFleet[[#This Row],[Available_h]],"")</f>
        <v/>
      </c>
    </row>
    <row r="2423">
      <c r="A2423" s="54" t="n"/>
      <c r="B2423" s="61" t="n"/>
      <c r="C2423" s="62" t="n"/>
      <c r="D2423" s="57" t="n"/>
      <c r="E2423" s="57" t="n"/>
      <c r="F2423" s="58" t="n"/>
      <c r="G2423" s="66">
        <f>IF(tblFleet[[#This Row],[Units]]="","",tblFleet[[#This Row],[Units]]*24)</f>
        <v/>
      </c>
      <c r="H2423" s="66">
        <f>IF(tblFleet[[#This Row],[Units]]="","",tblFleet[[#This Row],[Calendar_h]]-tblFleet[[#This Row],[Down_h]])</f>
        <v/>
      </c>
      <c r="I2423" s="60">
        <f>IF(AND(tblFleet[[#This Row],[Units]]&lt;&gt;"",tblFleet[[#This Row],[Calendar_h]]&gt;0),tblFleet[[#This Row],[Available_h]]/tblFleet[[#This Row],[Calendar_h]],"")</f>
        <v/>
      </c>
      <c r="J2423" s="60">
        <f>IF(AND(tblFleet[[#This Row],[Units]]&lt;&gt;"",tblFleet[[#This Row],[Available_h]]&gt;0),tblFleet[[#This Row],[Operating_h]]/tblFleet[[#This Row],[Available_h]],"")</f>
        <v/>
      </c>
    </row>
    <row r="2424">
      <c r="A2424" s="54" t="n"/>
      <c r="B2424" s="61" t="n"/>
      <c r="C2424" s="62" t="n"/>
      <c r="D2424" s="57" t="n"/>
      <c r="E2424" s="57" t="n"/>
      <c r="F2424" s="58" t="n"/>
      <c r="G2424" s="66">
        <f>IF(tblFleet[[#This Row],[Units]]="","",tblFleet[[#This Row],[Units]]*24)</f>
        <v/>
      </c>
      <c r="H2424" s="66">
        <f>IF(tblFleet[[#This Row],[Units]]="","",tblFleet[[#This Row],[Calendar_h]]-tblFleet[[#This Row],[Down_h]])</f>
        <v/>
      </c>
      <c r="I2424" s="60">
        <f>IF(AND(tblFleet[[#This Row],[Units]]&lt;&gt;"",tblFleet[[#This Row],[Calendar_h]]&gt;0),tblFleet[[#This Row],[Available_h]]/tblFleet[[#This Row],[Calendar_h]],"")</f>
        <v/>
      </c>
      <c r="J2424" s="60">
        <f>IF(AND(tblFleet[[#This Row],[Units]]&lt;&gt;"",tblFleet[[#This Row],[Available_h]]&gt;0),tblFleet[[#This Row],[Operating_h]]/tblFleet[[#This Row],[Available_h]],"")</f>
        <v/>
      </c>
    </row>
    <row r="2425">
      <c r="A2425" s="54" t="n"/>
      <c r="B2425" s="61" t="n"/>
      <c r="C2425" s="62" t="n"/>
      <c r="D2425" s="57" t="n"/>
      <c r="E2425" s="57" t="n"/>
      <c r="F2425" s="58" t="n"/>
      <c r="G2425" s="66">
        <f>IF(tblFleet[[#This Row],[Units]]="","",tblFleet[[#This Row],[Units]]*24)</f>
        <v/>
      </c>
      <c r="H2425" s="66">
        <f>IF(tblFleet[[#This Row],[Units]]="","",tblFleet[[#This Row],[Calendar_h]]-tblFleet[[#This Row],[Down_h]])</f>
        <v/>
      </c>
      <c r="I2425" s="60">
        <f>IF(AND(tblFleet[[#This Row],[Units]]&lt;&gt;"",tblFleet[[#This Row],[Calendar_h]]&gt;0),tblFleet[[#This Row],[Available_h]]/tblFleet[[#This Row],[Calendar_h]],"")</f>
        <v/>
      </c>
      <c r="J2425" s="60">
        <f>IF(AND(tblFleet[[#This Row],[Units]]&lt;&gt;"",tblFleet[[#This Row],[Available_h]]&gt;0),tblFleet[[#This Row],[Operating_h]]/tblFleet[[#This Row],[Available_h]],"")</f>
        <v/>
      </c>
    </row>
    <row r="2426">
      <c r="A2426" s="54" t="n"/>
      <c r="B2426" s="61" t="n"/>
      <c r="C2426" s="62" t="n"/>
      <c r="D2426" s="57" t="n"/>
      <c r="E2426" s="57" t="n"/>
      <c r="F2426" s="58" t="n"/>
      <c r="G2426" s="66">
        <f>IF(tblFleet[[#This Row],[Units]]="","",tblFleet[[#This Row],[Units]]*24)</f>
        <v/>
      </c>
      <c r="H2426" s="66">
        <f>IF(tblFleet[[#This Row],[Units]]="","",tblFleet[[#This Row],[Calendar_h]]-tblFleet[[#This Row],[Down_h]])</f>
        <v/>
      </c>
      <c r="I2426" s="60">
        <f>IF(AND(tblFleet[[#This Row],[Units]]&lt;&gt;"",tblFleet[[#This Row],[Calendar_h]]&gt;0),tblFleet[[#This Row],[Available_h]]/tblFleet[[#This Row],[Calendar_h]],"")</f>
        <v/>
      </c>
      <c r="J2426" s="60">
        <f>IF(AND(tblFleet[[#This Row],[Units]]&lt;&gt;"",tblFleet[[#This Row],[Available_h]]&gt;0),tblFleet[[#This Row],[Operating_h]]/tblFleet[[#This Row],[Available_h]],"")</f>
        <v/>
      </c>
    </row>
    <row r="2427">
      <c r="A2427" s="54" t="n"/>
      <c r="B2427" s="61" t="n"/>
      <c r="C2427" s="62" t="n"/>
      <c r="D2427" s="57" t="n"/>
      <c r="E2427" s="57" t="n"/>
      <c r="F2427" s="58" t="n"/>
      <c r="G2427" s="66">
        <f>IF(tblFleet[[#This Row],[Units]]="","",tblFleet[[#This Row],[Units]]*24)</f>
        <v/>
      </c>
      <c r="H2427" s="66">
        <f>IF(tblFleet[[#This Row],[Units]]="","",tblFleet[[#This Row],[Calendar_h]]-tblFleet[[#This Row],[Down_h]])</f>
        <v/>
      </c>
      <c r="I2427" s="60">
        <f>IF(AND(tblFleet[[#This Row],[Units]]&lt;&gt;"",tblFleet[[#This Row],[Calendar_h]]&gt;0),tblFleet[[#This Row],[Available_h]]/tblFleet[[#This Row],[Calendar_h]],"")</f>
        <v/>
      </c>
      <c r="J2427" s="60">
        <f>IF(AND(tblFleet[[#This Row],[Units]]&lt;&gt;"",tblFleet[[#This Row],[Available_h]]&gt;0),tblFleet[[#This Row],[Operating_h]]/tblFleet[[#This Row],[Available_h]],"")</f>
        <v/>
      </c>
    </row>
    <row r="2428">
      <c r="A2428" s="54" t="n"/>
      <c r="B2428" s="61" t="n"/>
      <c r="C2428" s="62" t="n"/>
      <c r="D2428" s="57" t="n"/>
      <c r="E2428" s="57" t="n"/>
      <c r="F2428" s="58" t="n"/>
      <c r="G2428" s="66">
        <f>IF(tblFleet[[#This Row],[Units]]="","",tblFleet[[#This Row],[Units]]*24)</f>
        <v/>
      </c>
      <c r="H2428" s="66">
        <f>IF(tblFleet[[#This Row],[Units]]="","",tblFleet[[#This Row],[Calendar_h]]-tblFleet[[#This Row],[Down_h]])</f>
        <v/>
      </c>
      <c r="I2428" s="60">
        <f>IF(AND(tblFleet[[#This Row],[Units]]&lt;&gt;"",tblFleet[[#This Row],[Calendar_h]]&gt;0),tblFleet[[#This Row],[Available_h]]/tblFleet[[#This Row],[Calendar_h]],"")</f>
        <v/>
      </c>
      <c r="J2428" s="60">
        <f>IF(AND(tblFleet[[#This Row],[Units]]&lt;&gt;"",tblFleet[[#This Row],[Available_h]]&gt;0),tblFleet[[#This Row],[Operating_h]]/tblFleet[[#This Row],[Available_h]],"")</f>
        <v/>
      </c>
    </row>
    <row r="2429">
      <c r="A2429" s="54" t="n"/>
      <c r="B2429" s="61" t="n"/>
      <c r="C2429" s="62" t="n"/>
      <c r="D2429" s="57" t="n"/>
      <c r="E2429" s="57" t="n"/>
      <c r="F2429" s="58" t="n"/>
      <c r="G2429" s="66">
        <f>IF(tblFleet[[#This Row],[Units]]="","",tblFleet[[#This Row],[Units]]*24)</f>
        <v/>
      </c>
      <c r="H2429" s="66">
        <f>IF(tblFleet[[#This Row],[Units]]="","",tblFleet[[#This Row],[Calendar_h]]-tblFleet[[#This Row],[Down_h]])</f>
        <v/>
      </c>
      <c r="I2429" s="60">
        <f>IF(AND(tblFleet[[#This Row],[Units]]&lt;&gt;"",tblFleet[[#This Row],[Calendar_h]]&gt;0),tblFleet[[#This Row],[Available_h]]/tblFleet[[#This Row],[Calendar_h]],"")</f>
        <v/>
      </c>
      <c r="J2429" s="60">
        <f>IF(AND(tblFleet[[#This Row],[Units]]&lt;&gt;"",tblFleet[[#This Row],[Available_h]]&gt;0),tblFleet[[#This Row],[Operating_h]]/tblFleet[[#This Row],[Available_h]],"")</f>
        <v/>
      </c>
    </row>
    <row r="2430">
      <c r="A2430" s="54" t="n"/>
      <c r="B2430" s="61" t="n"/>
      <c r="C2430" s="62" t="n"/>
      <c r="D2430" s="57" t="n"/>
      <c r="E2430" s="57" t="n"/>
      <c r="F2430" s="58" t="n"/>
      <c r="G2430" s="66">
        <f>IF(tblFleet[[#This Row],[Units]]="","",tblFleet[[#This Row],[Units]]*24)</f>
        <v/>
      </c>
      <c r="H2430" s="66">
        <f>IF(tblFleet[[#This Row],[Units]]="","",tblFleet[[#This Row],[Calendar_h]]-tblFleet[[#This Row],[Down_h]])</f>
        <v/>
      </c>
      <c r="I2430" s="60">
        <f>IF(AND(tblFleet[[#This Row],[Units]]&lt;&gt;"",tblFleet[[#This Row],[Calendar_h]]&gt;0),tblFleet[[#This Row],[Available_h]]/tblFleet[[#This Row],[Calendar_h]],"")</f>
        <v/>
      </c>
      <c r="J2430" s="60">
        <f>IF(AND(tblFleet[[#This Row],[Units]]&lt;&gt;"",tblFleet[[#This Row],[Available_h]]&gt;0),tblFleet[[#This Row],[Operating_h]]/tblFleet[[#This Row],[Available_h]],"")</f>
        <v/>
      </c>
    </row>
    <row r="2431">
      <c r="A2431" s="54" t="n"/>
      <c r="B2431" s="61" t="n"/>
      <c r="C2431" s="62" t="n"/>
      <c r="D2431" s="57" t="n"/>
      <c r="E2431" s="57" t="n"/>
      <c r="F2431" s="58" t="n"/>
      <c r="G2431" s="66">
        <f>IF(tblFleet[[#This Row],[Units]]="","",tblFleet[[#This Row],[Units]]*24)</f>
        <v/>
      </c>
      <c r="H2431" s="66">
        <f>IF(tblFleet[[#This Row],[Units]]="","",tblFleet[[#This Row],[Calendar_h]]-tblFleet[[#This Row],[Down_h]])</f>
        <v/>
      </c>
      <c r="I2431" s="60">
        <f>IF(AND(tblFleet[[#This Row],[Units]]&lt;&gt;"",tblFleet[[#This Row],[Calendar_h]]&gt;0),tblFleet[[#This Row],[Available_h]]/tblFleet[[#This Row],[Calendar_h]],"")</f>
        <v/>
      </c>
      <c r="J2431" s="60">
        <f>IF(AND(tblFleet[[#This Row],[Units]]&lt;&gt;"",tblFleet[[#This Row],[Available_h]]&gt;0),tblFleet[[#This Row],[Operating_h]]/tblFleet[[#This Row],[Available_h]],"")</f>
        <v/>
      </c>
    </row>
    <row r="2432">
      <c r="A2432" s="54" t="n"/>
      <c r="B2432" s="61" t="n"/>
      <c r="C2432" s="62" t="n"/>
      <c r="D2432" s="57" t="n"/>
      <c r="E2432" s="57" t="n"/>
      <c r="F2432" s="58" t="n"/>
      <c r="G2432" s="66">
        <f>IF(tblFleet[[#This Row],[Units]]="","",tblFleet[[#This Row],[Units]]*24)</f>
        <v/>
      </c>
      <c r="H2432" s="66">
        <f>IF(tblFleet[[#This Row],[Units]]="","",tblFleet[[#This Row],[Calendar_h]]-tblFleet[[#This Row],[Down_h]])</f>
        <v/>
      </c>
      <c r="I2432" s="60">
        <f>IF(AND(tblFleet[[#This Row],[Units]]&lt;&gt;"",tblFleet[[#This Row],[Calendar_h]]&gt;0),tblFleet[[#This Row],[Available_h]]/tblFleet[[#This Row],[Calendar_h]],"")</f>
        <v/>
      </c>
      <c r="J2432" s="60">
        <f>IF(AND(tblFleet[[#This Row],[Units]]&lt;&gt;"",tblFleet[[#This Row],[Available_h]]&gt;0),tblFleet[[#This Row],[Operating_h]]/tblFleet[[#This Row],[Available_h]],"")</f>
        <v/>
      </c>
    </row>
    <row r="2433">
      <c r="A2433" s="54" t="n"/>
      <c r="B2433" s="61" t="n"/>
      <c r="C2433" s="62" t="n"/>
      <c r="D2433" s="57" t="n"/>
      <c r="E2433" s="57" t="n"/>
      <c r="F2433" s="58" t="n"/>
      <c r="G2433" s="66">
        <f>IF(tblFleet[[#This Row],[Units]]="","",tblFleet[[#This Row],[Units]]*24)</f>
        <v/>
      </c>
      <c r="H2433" s="66">
        <f>IF(tblFleet[[#This Row],[Units]]="","",tblFleet[[#This Row],[Calendar_h]]-tblFleet[[#This Row],[Down_h]])</f>
        <v/>
      </c>
      <c r="I2433" s="60">
        <f>IF(AND(tblFleet[[#This Row],[Units]]&lt;&gt;"",tblFleet[[#This Row],[Calendar_h]]&gt;0),tblFleet[[#This Row],[Available_h]]/tblFleet[[#This Row],[Calendar_h]],"")</f>
        <v/>
      </c>
      <c r="J2433" s="60">
        <f>IF(AND(tblFleet[[#This Row],[Units]]&lt;&gt;"",tblFleet[[#This Row],[Available_h]]&gt;0),tblFleet[[#This Row],[Operating_h]]/tblFleet[[#This Row],[Available_h]],"")</f>
        <v/>
      </c>
    </row>
    <row r="2434">
      <c r="A2434" s="54" t="n"/>
      <c r="B2434" s="61" t="n"/>
      <c r="C2434" s="62" t="n"/>
      <c r="D2434" s="57" t="n"/>
      <c r="E2434" s="57" t="n"/>
      <c r="F2434" s="58" t="n"/>
      <c r="G2434" s="66">
        <f>IF(tblFleet[[#This Row],[Units]]="","",tblFleet[[#This Row],[Units]]*24)</f>
        <v/>
      </c>
      <c r="H2434" s="66">
        <f>IF(tblFleet[[#This Row],[Units]]="","",tblFleet[[#This Row],[Calendar_h]]-tblFleet[[#This Row],[Down_h]])</f>
        <v/>
      </c>
      <c r="I2434" s="60">
        <f>IF(AND(tblFleet[[#This Row],[Units]]&lt;&gt;"",tblFleet[[#This Row],[Calendar_h]]&gt;0),tblFleet[[#This Row],[Available_h]]/tblFleet[[#This Row],[Calendar_h]],"")</f>
        <v/>
      </c>
      <c r="J2434" s="60">
        <f>IF(AND(tblFleet[[#This Row],[Units]]&lt;&gt;"",tblFleet[[#This Row],[Available_h]]&gt;0),tblFleet[[#This Row],[Operating_h]]/tblFleet[[#This Row],[Available_h]],"")</f>
        <v/>
      </c>
    </row>
    <row r="2435">
      <c r="A2435" s="54" t="n"/>
      <c r="B2435" s="61" t="n"/>
      <c r="C2435" s="62" t="n"/>
      <c r="D2435" s="57" t="n"/>
      <c r="E2435" s="57" t="n"/>
      <c r="F2435" s="58" t="n"/>
      <c r="G2435" s="66">
        <f>IF(tblFleet[[#This Row],[Units]]="","",tblFleet[[#This Row],[Units]]*24)</f>
        <v/>
      </c>
      <c r="H2435" s="66">
        <f>IF(tblFleet[[#This Row],[Units]]="","",tblFleet[[#This Row],[Calendar_h]]-tblFleet[[#This Row],[Down_h]])</f>
        <v/>
      </c>
      <c r="I2435" s="60">
        <f>IF(AND(tblFleet[[#This Row],[Units]]&lt;&gt;"",tblFleet[[#This Row],[Calendar_h]]&gt;0),tblFleet[[#This Row],[Available_h]]/tblFleet[[#This Row],[Calendar_h]],"")</f>
        <v/>
      </c>
      <c r="J2435" s="60">
        <f>IF(AND(tblFleet[[#This Row],[Units]]&lt;&gt;"",tblFleet[[#This Row],[Available_h]]&gt;0),tblFleet[[#This Row],[Operating_h]]/tblFleet[[#This Row],[Available_h]],"")</f>
        <v/>
      </c>
    </row>
    <row r="2436">
      <c r="A2436" s="54" t="n"/>
      <c r="B2436" s="61" t="n"/>
      <c r="C2436" s="62" t="n"/>
      <c r="D2436" s="57" t="n"/>
      <c r="E2436" s="57" t="n"/>
      <c r="F2436" s="58" t="n"/>
      <c r="G2436" s="66">
        <f>IF(tblFleet[[#This Row],[Units]]="","",tblFleet[[#This Row],[Units]]*24)</f>
        <v/>
      </c>
      <c r="H2436" s="66">
        <f>IF(tblFleet[[#This Row],[Units]]="","",tblFleet[[#This Row],[Calendar_h]]-tblFleet[[#This Row],[Down_h]])</f>
        <v/>
      </c>
      <c r="I2436" s="60">
        <f>IF(AND(tblFleet[[#This Row],[Units]]&lt;&gt;"",tblFleet[[#This Row],[Calendar_h]]&gt;0),tblFleet[[#This Row],[Available_h]]/tblFleet[[#This Row],[Calendar_h]],"")</f>
        <v/>
      </c>
      <c r="J2436" s="60">
        <f>IF(AND(tblFleet[[#This Row],[Units]]&lt;&gt;"",tblFleet[[#This Row],[Available_h]]&gt;0),tblFleet[[#This Row],[Operating_h]]/tblFleet[[#This Row],[Available_h]],"")</f>
        <v/>
      </c>
    </row>
    <row r="2437">
      <c r="A2437" s="54" t="n"/>
      <c r="B2437" s="61" t="n"/>
      <c r="C2437" s="62" t="n"/>
      <c r="D2437" s="57" t="n"/>
      <c r="E2437" s="57" t="n"/>
      <c r="F2437" s="58" t="n"/>
      <c r="G2437" s="66">
        <f>IF(tblFleet[[#This Row],[Units]]="","",tblFleet[[#This Row],[Units]]*24)</f>
        <v/>
      </c>
      <c r="H2437" s="66">
        <f>IF(tblFleet[[#This Row],[Units]]="","",tblFleet[[#This Row],[Calendar_h]]-tblFleet[[#This Row],[Down_h]])</f>
        <v/>
      </c>
      <c r="I2437" s="60">
        <f>IF(AND(tblFleet[[#This Row],[Units]]&lt;&gt;"",tblFleet[[#This Row],[Calendar_h]]&gt;0),tblFleet[[#This Row],[Available_h]]/tblFleet[[#This Row],[Calendar_h]],"")</f>
        <v/>
      </c>
      <c r="J2437" s="60">
        <f>IF(AND(tblFleet[[#This Row],[Units]]&lt;&gt;"",tblFleet[[#This Row],[Available_h]]&gt;0),tblFleet[[#This Row],[Operating_h]]/tblFleet[[#This Row],[Available_h]],"")</f>
        <v/>
      </c>
    </row>
    <row r="2438">
      <c r="A2438" s="54" t="n"/>
      <c r="B2438" s="61" t="n"/>
      <c r="C2438" s="62" t="n"/>
      <c r="D2438" s="57" t="n"/>
      <c r="E2438" s="57" t="n"/>
      <c r="F2438" s="58" t="n"/>
      <c r="G2438" s="66">
        <f>IF(tblFleet[[#This Row],[Units]]="","",tblFleet[[#This Row],[Units]]*24)</f>
        <v/>
      </c>
      <c r="H2438" s="66">
        <f>IF(tblFleet[[#This Row],[Units]]="","",tblFleet[[#This Row],[Calendar_h]]-tblFleet[[#This Row],[Down_h]])</f>
        <v/>
      </c>
      <c r="I2438" s="60">
        <f>IF(AND(tblFleet[[#This Row],[Units]]&lt;&gt;"",tblFleet[[#This Row],[Calendar_h]]&gt;0),tblFleet[[#This Row],[Available_h]]/tblFleet[[#This Row],[Calendar_h]],"")</f>
        <v/>
      </c>
      <c r="J2438" s="60">
        <f>IF(AND(tblFleet[[#This Row],[Units]]&lt;&gt;"",tblFleet[[#This Row],[Available_h]]&gt;0),tblFleet[[#This Row],[Operating_h]]/tblFleet[[#This Row],[Available_h]],"")</f>
        <v/>
      </c>
    </row>
    <row r="2439">
      <c r="A2439" s="54" t="n"/>
      <c r="B2439" s="61" t="n"/>
      <c r="C2439" s="62" t="n"/>
      <c r="D2439" s="57" t="n"/>
      <c r="E2439" s="57" t="n"/>
      <c r="F2439" s="58" t="n"/>
      <c r="G2439" s="66">
        <f>IF(tblFleet[[#This Row],[Units]]="","",tblFleet[[#This Row],[Units]]*24)</f>
        <v/>
      </c>
      <c r="H2439" s="66">
        <f>IF(tblFleet[[#This Row],[Units]]="","",tblFleet[[#This Row],[Calendar_h]]-tblFleet[[#This Row],[Down_h]])</f>
        <v/>
      </c>
      <c r="I2439" s="60">
        <f>IF(AND(tblFleet[[#This Row],[Units]]&lt;&gt;"",tblFleet[[#This Row],[Calendar_h]]&gt;0),tblFleet[[#This Row],[Available_h]]/tblFleet[[#This Row],[Calendar_h]],"")</f>
        <v/>
      </c>
      <c r="J2439" s="60">
        <f>IF(AND(tblFleet[[#This Row],[Units]]&lt;&gt;"",tblFleet[[#This Row],[Available_h]]&gt;0),tblFleet[[#This Row],[Operating_h]]/tblFleet[[#This Row],[Available_h]],"")</f>
        <v/>
      </c>
    </row>
    <row r="2440">
      <c r="A2440" s="54" t="n"/>
      <c r="B2440" s="61" t="n"/>
      <c r="C2440" s="62" t="n"/>
      <c r="D2440" s="57" t="n"/>
      <c r="E2440" s="57" t="n"/>
      <c r="F2440" s="58" t="n"/>
      <c r="G2440" s="66">
        <f>IF(tblFleet[[#This Row],[Units]]="","",tblFleet[[#This Row],[Units]]*24)</f>
        <v/>
      </c>
      <c r="H2440" s="66">
        <f>IF(tblFleet[[#This Row],[Units]]="","",tblFleet[[#This Row],[Calendar_h]]-tblFleet[[#This Row],[Down_h]])</f>
        <v/>
      </c>
      <c r="I2440" s="60">
        <f>IF(AND(tblFleet[[#This Row],[Units]]&lt;&gt;"",tblFleet[[#This Row],[Calendar_h]]&gt;0),tblFleet[[#This Row],[Available_h]]/tblFleet[[#This Row],[Calendar_h]],"")</f>
        <v/>
      </c>
      <c r="J2440" s="60">
        <f>IF(AND(tblFleet[[#This Row],[Units]]&lt;&gt;"",tblFleet[[#This Row],[Available_h]]&gt;0),tblFleet[[#This Row],[Operating_h]]/tblFleet[[#This Row],[Available_h]],"")</f>
        <v/>
      </c>
    </row>
    <row r="2441">
      <c r="A2441" s="54" t="n"/>
      <c r="B2441" s="61" t="n"/>
      <c r="C2441" s="62" t="n"/>
      <c r="D2441" s="57" t="n"/>
      <c r="E2441" s="57" t="n"/>
      <c r="F2441" s="58" t="n"/>
      <c r="G2441" s="66">
        <f>IF(tblFleet[[#This Row],[Units]]="","",tblFleet[[#This Row],[Units]]*24)</f>
        <v/>
      </c>
      <c r="H2441" s="66">
        <f>IF(tblFleet[[#This Row],[Units]]="","",tblFleet[[#This Row],[Calendar_h]]-tblFleet[[#This Row],[Down_h]])</f>
        <v/>
      </c>
      <c r="I2441" s="60">
        <f>IF(AND(tblFleet[[#This Row],[Units]]&lt;&gt;"",tblFleet[[#This Row],[Calendar_h]]&gt;0),tblFleet[[#This Row],[Available_h]]/tblFleet[[#This Row],[Calendar_h]],"")</f>
        <v/>
      </c>
      <c r="J2441" s="60">
        <f>IF(AND(tblFleet[[#This Row],[Units]]&lt;&gt;"",tblFleet[[#This Row],[Available_h]]&gt;0),tblFleet[[#This Row],[Operating_h]]/tblFleet[[#This Row],[Available_h]],"")</f>
        <v/>
      </c>
    </row>
    <row r="2442">
      <c r="A2442" s="54" t="n"/>
      <c r="B2442" s="61" t="n"/>
      <c r="C2442" s="62" t="n"/>
      <c r="D2442" s="57" t="n"/>
      <c r="E2442" s="57" t="n"/>
      <c r="F2442" s="58" t="n"/>
      <c r="G2442" s="66">
        <f>IF(tblFleet[[#This Row],[Units]]="","",tblFleet[[#This Row],[Units]]*24)</f>
        <v/>
      </c>
      <c r="H2442" s="66">
        <f>IF(tblFleet[[#This Row],[Units]]="","",tblFleet[[#This Row],[Calendar_h]]-tblFleet[[#This Row],[Down_h]])</f>
        <v/>
      </c>
      <c r="I2442" s="60">
        <f>IF(AND(tblFleet[[#This Row],[Units]]&lt;&gt;"",tblFleet[[#This Row],[Calendar_h]]&gt;0),tblFleet[[#This Row],[Available_h]]/tblFleet[[#This Row],[Calendar_h]],"")</f>
        <v/>
      </c>
      <c r="J2442" s="60">
        <f>IF(AND(tblFleet[[#This Row],[Units]]&lt;&gt;"",tblFleet[[#This Row],[Available_h]]&gt;0),tblFleet[[#This Row],[Operating_h]]/tblFleet[[#This Row],[Available_h]],"")</f>
        <v/>
      </c>
    </row>
    <row r="2443">
      <c r="A2443" s="54" t="n"/>
      <c r="B2443" s="61" t="n"/>
      <c r="C2443" s="62" t="n"/>
      <c r="D2443" s="57" t="n"/>
      <c r="E2443" s="57" t="n"/>
      <c r="F2443" s="58" t="n"/>
      <c r="G2443" s="66">
        <f>IF(tblFleet[[#This Row],[Units]]="","",tblFleet[[#This Row],[Units]]*24)</f>
        <v/>
      </c>
      <c r="H2443" s="66">
        <f>IF(tblFleet[[#This Row],[Units]]="","",tblFleet[[#This Row],[Calendar_h]]-tblFleet[[#This Row],[Down_h]])</f>
        <v/>
      </c>
      <c r="I2443" s="60">
        <f>IF(AND(tblFleet[[#This Row],[Units]]&lt;&gt;"",tblFleet[[#This Row],[Calendar_h]]&gt;0),tblFleet[[#This Row],[Available_h]]/tblFleet[[#This Row],[Calendar_h]],"")</f>
        <v/>
      </c>
      <c r="J2443" s="60">
        <f>IF(AND(tblFleet[[#This Row],[Units]]&lt;&gt;"",tblFleet[[#This Row],[Available_h]]&gt;0),tblFleet[[#This Row],[Operating_h]]/tblFleet[[#This Row],[Available_h]],"")</f>
        <v/>
      </c>
    </row>
    <row r="2444">
      <c r="A2444" s="54" t="n"/>
      <c r="B2444" s="61" t="n"/>
      <c r="C2444" s="62" t="n"/>
      <c r="D2444" s="57" t="n"/>
      <c r="E2444" s="57" t="n"/>
      <c r="F2444" s="58" t="n"/>
      <c r="G2444" s="66">
        <f>IF(tblFleet[[#This Row],[Units]]="","",tblFleet[[#This Row],[Units]]*24)</f>
        <v/>
      </c>
      <c r="H2444" s="66">
        <f>IF(tblFleet[[#This Row],[Units]]="","",tblFleet[[#This Row],[Calendar_h]]-tblFleet[[#This Row],[Down_h]])</f>
        <v/>
      </c>
      <c r="I2444" s="60">
        <f>IF(AND(tblFleet[[#This Row],[Units]]&lt;&gt;"",tblFleet[[#This Row],[Calendar_h]]&gt;0),tblFleet[[#This Row],[Available_h]]/tblFleet[[#This Row],[Calendar_h]],"")</f>
        <v/>
      </c>
      <c r="J2444" s="60">
        <f>IF(AND(tblFleet[[#This Row],[Units]]&lt;&gt;"",tblFleet[[#This Row],[Available_h]]&gt;0),tblFleet[[#This Row],[Operating_h]]/tblFleet[[#This Row],[Available_h]],"")</f>
        <v/>
      </c>
    </row>
    <row r="2445">
      <c r="A2445" s="54" t="n"/>
      <c r="B2445" s="61" t="n"/>
      <c r="C2445" s="62" t="n"/>
      <c r="D2445" s="57" t="n"/>
      <c r="E2445" s="57" t="n"/>
      <c r="F2445" s="58" t="n"/>
      <c r="G2445" s="66">
        <f>IF(tblFleet[[#This Row],[Units]]="","",tblFleet[[#This Row],[Units]]*24)</f>
        <v/>
      </c>
      <c r="H2445" s="66">
        <f>IF(tblFleet[[#This Row],[Units]]="","",tblFleet[[#This Row],[Calendar_h]]-tblFleet[[#This Row],[Down_h]])</f>
        <v/>
      </c>
      <c r="I2445" s="60">
        <f>IF(AND(tblFleet[[#This Row],[Units]]&lt;&gt;"",tblFleet[[#This Row],[Calendar_h]]&gt;0),tblFleet[[#This Row],[Available_h]]/tblFleet[[#This Row],[Calendar_h]],"")</f>
        <v/>
      </c>
      <c r="J2445" s="60">
        <f>IF(AND(tblFleet[[#This Row],[Units]]&lt;&gt;"",tblFleet[[#This Row],[Available_h]]&gt;0),tblFleet[[#This Row],[Operating_h]]/tblFleet[[#This Row],[Available_h]],"")</f>
        <v/>
      </c>
    </row>
    <row r="2446">
      <c r="A2446" s="54" t="n"/>
      <c r="B2446" s="61" t="n"/>
      <c r="C2446" s="62" t="n"/>
      <c r="D2446" s="57" t="n"/>
      <c r="E2446" s="57" t="n"/>
      <c r="F2446" s="58" t="n"/>
      <c r="G2446" s="66">
        <f>IF(tblFleet[[#This Row],[Units]]="","",tblFleet[[#This Row],[Units]]*24)</f>
        <v/>
      </c>
      <c r="H2446" s="66">
        <f>IF(tblFleet[[#This Row],[Units]]="","",tblFleet[[#This Row],[Calendar_h]]-tblFleet[[#This Row],[Down_h]])</f>
        <v/>
      </c>
      <c r="I2446" s="60">
        <f>IF(AND(tblFleet[[#This Row],[Units]]&lt;&gt;"",tblFleet[[#This Row],[Calendar_h]]&gt;0),tblFleet[[#This Row],[Available_h]]/tblFleet[[#This Row],[Calendar_h]],"")</f>
        <v/>
      </c>
      <c r="J2446" s="60">
        <f>IF(AND(tblFleet[[#This Row],[Units]]&lt;&gt;"",tblFleet[[#This Row],[Available_h]]&gt;0),tblFleet[[#This Row],[Operating_h]]/tblFleet[[#This Row],[Available_h]],"")</f>
        <v/>
      </c>
    </row>
    <row r="2447">
      <c r="A2447" s="54" t="n"/>
      <c r="B2447" s="61" t="n"/>
      <c r="C2447" s="62" t="n"/>
      <c r="D2447" s="57" t="n"/>
      <c r="E2447" s="57" t="n"/>
      <c r="F2447" s="58" t="n"/>
      <c r="G2447" s="66">
        <f>IF(tblFleet[[#This Row],[Units]]="","",tblFleet[[#This Row],[Units]]*24)</f>
        <v/>
      </c>
      <c r="H2447" s="66">
        <f>IF(tblFleet[[#This Row],[Units]]="","",tblFleet[[#This Row],[Calendar_h]]-tblFleet[[#This Row],[Down_h]])</f>
        <v/>
      </c>
      <c r="I2447" s="60">
        <f>IF(AND(tblFleet[[#This Row],[Units]]&lt;&gt;"",tblFleet[[#This Row],[Calendar_h]]&gt;0),tblFleet[[#This Row],[Available_h]]/tblFleet[[#This Row],[Calendar_h]],"")</f>
        <v/>
      </c>
      <c r="J2447" s="60">
        <f>IF(AND(tblFleet[[#This Row],[Units]]&lt;&gt;"",tblFleet[[#This Row],[Available_h]]&gt;0),tblFleet[[#This Row],[Operating_h]]/tblFleet[[#This Row],[Available_h]],"")</f>
        <v/>
      </c>
    </row>
    <row r="2448">
      <c r="A2448" s="54" t="n"/>
      <c r="B2448" s="61" t="n"/>
      <c r="C2448" s="62" t="n"/>
      <c r="D2448" s="57" t="n"/>
      <c r="E2448" s="57" t="n"/>
      <c r="F2448" s="58" t="n"/>
      <c r="G2448" s="66">
        <f>IF(tblFleet[[#This Row],[Units]]="","",tblFleet[[#This Row],[Units]]*24)</f>
        <v/>
      </c>
      <c r="H2448" s="66">
        <f>IF(tblFleet[[#This Row],[Units]]="","",tblFleet[[#This Row],[Calendar_h]]-tblFleet[[#This Row],[Down_h]])</f>
        <v/>
      </c>
      <c r="I2448" s="60">
        <f>IF(AND(tblFleet[[#This Row],[Units]]&lt;&gt;"",tblFleet[[#This Row],[Calendar_h]]&gt;0),tblFleet[[#This Row],[Available_h]]/tblFleet[[#This Row],[Calendar_h]],"")</f>
        <v/>
      </c>
      <c r="J2448" s="60">
        <f>IF(AND(tblFleet[[#This Row],[Units]]&lt;&gt;"",tblFleet[[#This Row],[Available_h]]&gt;0),tblFleet[[#This Row],[Operating_h]]/tblFleet[[#This Row],[Available_h]],"")</f>
        <v/>
      </c>
    </row>
    <row r="2449">
      <c r="A2449" s="54" t="n"/>
      <c r="B2449" s="61" t="n"/>
      <c r="C2449" s="62" t="n"/>
      <c r="D2449" s="57" t="n"/>
      <c r="E2449" s="57" t="n"/>
      <c r="F2449" s="58" t="n"/>
      <c r="G2449" s="66">
        <f>IF(tblFleet[[#This Row],[Units]]="","",tblFleet[[#This Row],[Units]]*24)</f>
        <v/>
      </c>
      <c r="H2449" s="66">
        <f>IF(tblFleet[[#This Row],[Units]]="","",tblFleet[[#This Row],[Calendar_h]]-tblFleet[[#This Row],[Down_h]])</f>
        <v/>
      </c>
      <c r="I2449" s="60">
        <f>IF(AND(tblFleet[[#This Row],[Units]]&lt;&gt;"",tblFleet[[#This Row],[Calendar_h]]&gt;0),tblFleet[[#This Row],[Available_h]]/tblFleet[[#This Row],[Calendar_h]],"")</f>
        <v/>
      </c>
      <c r="J2449" s="60">
        <f>IF(AND(tblFleet[[#This Row],[Units]]&lt;&gt;"",tblFleet[[#This Row],[Available_h]]&gt;0),tblFleet[[#This Row],[Operating_h]]/tblFleet[[#This Row],[Available_h]],"")</f>
        <v/>
      </c>
    </row>
    <row r="2450">
      <c r="A2450" s="54" t="n"/>
      <c r="B2450" s="61" t="n"/>
      <c r="C2450" s="62" t="n"/>
      <c r="D2450" s="57" t="n"/>
      <c r="E2450" s="57" t="n"/>
      <c r="F2450" s="58" t="n"/>
      <c r="G2450" s="66">
        <f>IF(tblFleet[[#This Row],[Units]]="","",tblFleet[[#This Row],[Units]]*24)</f>
        <v/>
      </c>
      <c r="H2450" s="66">
        <f>IF(tblFleet[[#This Row],[Units]]="","",tblFleet[[#This Row],[Calendar_h]]-tblFleet[[#This Row],[Down_h]])</f>
        <v/>
      </c>
      <c r="I2450" s="60">
        <f>IF(AND(tblFleet[[#This Row],[Units]]&lt;&gt;"",tblFleet[[#This Row],[Calendar_h]]&gt;0),tblFleet[[#This Row],[Available_h]]/tblFleet[[#This Row],[Calendar_h]],"")</f>
        <v/>
      </c>
      <c r="J2450" s="60">
        <f>IF(AND(tblFleet[[#This Row],[Units]]&lt;&gt;"",tblFleet[[#This Row],[Available_h]]&gt;0),tblFleet[[#This Row],[Operating_h]]/tblFleet[[#This Row],[Available_h]],"")</f>
        <v/>
      </c>
    </row>
    <row r="2451">
      <c r="A2451" s="54" t="n"/>
      <c r="B2451" s="61" t="n"/>
      <c r="C2451" s="62" t="n"/>
      <c r="D2451" s="57" t="n"/>
      <c r="E2451" s="57" t="n"/>
      <c r="F2451" s="58" t="n"/>
      <c r="G2451" s="66">
        <f>IF(tblFleet[[#This Row],[Units]]="","",tblFleet[[#This Row],[Units]]*24)</f>
        <v/>
      </c>
      <c r="H2451" s="66">
        <f>IF(tblFleet[[#This Row],[Units]]="","",tblFleet[[#This Row],[Calendar_h]]-tblFleet[[#This Row],[Down_h]])</f>
        <v/>
      </c>
      <c r="I2451" s="60">
        <f>IF(AND(tblFleet[[#This Row],[Units]]&lt;&gt;"",tblFleet[[#This Row],[Calendar_h]]&gt;0),tblFleet[[#This Row],[Available_h]]/tblFleet[[#This Row],[Calendar_h]],"")</f>
        <v/>
      </c>
      <c r="J2451" s="60">
        <f>IF(AND(tblFleet[[#This Row],[Units]]&lt;&gt;"",tblFleet[[#This Row],[Available_h]]&gt;0),tblFleet[[#This Row],[Operating_h]]/tblFleet[[#This Row],[Available_h]],"")</f>
        <v/>
      </c>
    </row>
    <row r="2452">
      <c r="A2452" s="54" t="n"/>
      <c r="B2452" s="61" t="n"/>
      <c r="C2452" s="62" t="n"/>
      <c r="D2452" s="57" t="n"/>
      <c r="E2452" s="57" t="n"/>
      <c r="F2452" s="58" t="n"/>
      <c r="G2452" s="66">
        <f>IF(tblFleet[[#This Row],[Units]]="","",tblFleet[[#This Row],[Units]]*24)</f>
        <v/>
      </c>
      <c r="H2452" s="66">
        <f>IF(tblFleet[[#This Row],[Units]]="","",tblFleet[[#This Row],[Calendar_h]]-tblFleet[[#This Row],[Down_h]])</f>
        <v/>
      </c>
      <c r="I2452" s="60">
        <f>IF(AND(tblFleet[[#This Row],[Units]]&lt;&gt;"",tblFleet[[#This Row],[Calendar_h]]&gt;0),tblFleet[[#This Row],[Available_h]]/tblFleet[[#This Row],[Calendar_h]],"")</f>
        <v/>
      </c>
      <c r="J2452" s="60">
        <f>IF(AND(tblFleet[[#This Row],[Units]]&lt;&gt;"",tblFleet[[#This Row],[Available_h]]&gt;0),tblFleet[[#This Row],[Operating_h]]/tblFleet[[#This Row],[Available_h]],"")</f>
        <v/>
      </c>
    </row>
    <row r="2453">
      <c r="A2453" s="54" t="n"/>
      <c r="B2453" s="61" t="n"/>
      <c r="C2453" s="62" t="n"/>
      <c r="D2453" s="57" t="n"/>
      <c r="E2453" s="57" t="n"/>
      <c r="F2453" s="58" t="n"/>
      <c r="G2453" s="66">
        <f>IF(tblFleet[[#This Row],[Units]]="","",tblFleet[[#This Row],[Units]]*24)</f>
        <v/>
      </c>
      <c r="H2453" s="66">
        <f>IF(tblFleet[[#This Row],[Units]]="","",tblFleet[[#This Row],[Calendar_h]]-tblFleet[[#This Row],[Down_h]])</f>
        <v/>
      </c>
      <c r="I2453" s="60">
        <f>IF(AND(tblFleet[[#This Row],[Units]]&lt;&gt;"",tblFleet[[#This Row],[Calendar_h]]&gt;0),tblFleet[[#This Row],[Available_h]]/tblFleet[[#This Row],[Calendar_h]],"")</f>
        <v/>
      </c>
      <c r="J2453" s="60">
        <f>IF(AND(tblFleet[[#This Row],[Units]]&lt;&gt;"",tblFleet[[#This Row],[Available_h]]&gt;0),tblFleet[[#This Row],[Operating_h]]/tblFleet[[#This Row],[Available_h]],"")</f>
        <v/>
      </c>
    </row>
    <row r="2454">
      <c r="A2454" s="54" t="n"/>
      <c r="B2454" s="61" t="n"/>
      <c r="C2454" s="62" t="n"/>
      <c r="D2454" s="57" t="n"/>
      <c r="E2454" s="57" t="n"/>
      <c r="F2454" s="58" t="n"/>
      <c r="G2454" s="66">
        <f>IF(tblFleet[[#This Row],[Units]]="","",tblFleet[[#This Row],[Units]]*24)</f>
        <v/>
      </c>
      <c r="H2454" s="66">
        <f>IF(tblFleet[[#This Row],[Units]]="","",tblFleet[[#This Row],[Calendar_h]]-tblFleet[[#This Row],[Down_h]])</f>
        <v/>
      </c>
      <c r="I2454" s="60">
        <f>IF(AND(tblFleet[[#This Row],[Units]]&lt;&gt;"",tblFleet[[#This Row],[Calendar_h]]&gt;0),tblFleet[[#This Row],[Available_h]]/tblFleet[[#This Row],[Calendar_h]],"")</f>
        <v/>
      </c>
      <c r="J2454" s="60">
        <f>IF(AND(tblFleet[[#This Row],[Units]]&lt;&gt;"",tblFleet[[#This Row],[Available_h]]&gt;0),tblFleet[[#This Row],[Operating_h]]/tblFleet[[#This Row],[Available_h]],"")</f>
        <v/>
      </c>
    </row>
    <row r="2455">
      <c r="A2455" s="54" t="n"/>
      <c r="B2455" s="61" t="n"/>
      <c r="C2455" s="62" t="n"/>
      <c r="D2455" s="57" t="n"/>
      <c r="E2455" s="57" t="n"/>
      <c r="F2455" s="58" t="n"/>
      <c r="G2455" s="66">
        <f>IF(tblFleet[[#This Row],[Units]]="","",tblFleet[[#This Row],[Units]]*24)</f>
        <v/>
      </c>
      <c r="H2455" s="66">
        <f>IF(tblFleet[[#This Row],[Units]]="","",tblFleet[[#This Row],[Calendar_h]]-tblFleet[[#This Row],[Down_h]])</f>
        <v/>
      </c>
      <c r="I2455" s="60">
        <f>IF(AND(tblFleet[[#This Row],[Units]]&lt;&gt;"",tblFleet[[#This Row],[Calendar_h]]&gt;0),tblFleet[[#This Row],[Available_h]]/tblFleet[[#This Row],[Calendar_h]],"")</f>
        <v/>
      </c>
      <c r="J2455" s="60">
        <f>IF(AND(tblFleet[[#This Row],[Units]]&lt;&gt;"",tblFleet[[#This Row],[Available_h]]&gt;0),tblFleet[[#This Row],[Operating_h]]/tblFleet[[#This Row],[Available_h]],"")</f>
        <v/>
      </c>
    </row>
    <row r="2456">
      <c r="A2456" s="54" t="n"/>
      <c r="B2456" s="61" t="n"/>
      <c r="C2456" s="62" t="n"/>
      <c r="D2456" s="57" t="n"/>
      <c r="E2456" s="57" t="n"/>
      <c r="F2456" s="58" t="n"/>
      <c r="G2456" s="66">
        <f>IF(tblFleet[[#This Row],[Units]]="","",tblFleet[[#This Row],[Units]]*24)</f>
        <v/>
      </c>
      <c r="H2456" s="66">
        <f>IF(tblFleet[[#This Row],[Units]]="","",tblFleet[[#This Row],[Calendar_h]]-tblFleet[[#This Row],[Down_h]])</f>
        <v/>
      </c>
      <c r="I2456" s="60">
        <f>IF(AND(tblFleet[[#This Row],[Units]]&lt;&gt;"",tblFleet[[#This Row],[Calendar_h]]&gt;0),tblFleet[[#This Row],[Available_h]]/tblFleet[[#This Row],[Calendar_h]],"")</f>
        <v/>
      </c>
      <c r="J2456" s="60">
        <f>IF(AND(tblFleet[[#This Row],[Units]]&lt;&gt;"",tblFleet[[#This Row],[Available_h]]&gt;0),tblFleet[[#This Row],[Operating_h]]/tblFleet[[#This Row],[Available_h]],"")</f>
        <v/>
      </c>
    </row>
    <row r="2457">
      <c r="A2457" s="54" t="n"/>
      <c r="B2457" s="61" t="n"/>
      <c r="C2457" s="62" t="n"/>
      <c r="D2457" s="57" t="n"/>
      <c r="E2457" s="57" t="n"/>
      <c r="F2457" s="58" t="n"/>
      <c r="G2457" s="66">
        <f>IF(tblFleet[[#This Row],[Units]]="","",tblFleet[[#This Row],[Units]]*24)</f>
        <v/>
      </c>
      <c r="H2457" s="66">
        <f>IF(tblFleet[[#This Row],[Units]]="","",tblFleet[[#This Row],[Calendar_h]]-tblFleet[[#This Row],[Down_h]])</f>
        <v/>
      </c>
      <c r="I2457" s="60">
        <f>IF(AND(tblFleet[[#This Row],[Units]]&lt;&gt;"",tblFleet[[#This Row],[Calendar_h]]&gt;0),tblFleet[[#This Row],[Available_h]]/tblFleet[[#This Row],[Calendar_h]],"")</f>
        <v/>
      </c>
      <c r="J2457" s="60">
        <f>IF(AND(tblFleet[[#This Row],[Units]]&lt;&gt;"",tblFleet[[#This Row],[Available_h]]&gt;0),tblFleet[[#This Row],[Operating_h]]/tblFleet[[#This Row],[Available_h]],"")</f>
        <v/>
      </c>
    </row>
    <row r="2458">
      <c r="A2458" s="54" t="n"/>
      <c r="B2458" s="61" t="n"/>
      <c r="C2458" s="62" t="n"/>
      <c r="D2458" s="57" t="n"/>
      <c r="E2458" s="57" t="n"/>
      <c r="F2458" s="58" t="n"/>
      <c r="G2458" s="66">
        <f>IF(tblFleet[[#This Row],[Units]]="","",tblFleet[[#This Row],[Units]]*24)</f>
        <v/>
      </c>
      <c r="H2458" s="66">
        <f>IF(tblFleet[[#This Row],[Units]]="","",tblFleet[[#This Row],[Calendar_h]]-tblFleet[[#This Row],[Down_h]])</f>
        <v/>
      </c>
      <c r="I2458" s="60">
        <f>IF(AND(tblFleet[[#This Row],[Units]]&lt;&gt;"",tblFleet[[#This Row],[Calendar_h]]&gt;0),tblFleet[[#This Row],[Available_h]]/tblFleet[[#This Row],[Calendar_h]],"")</f>
        <v/>
      </c>
      <c r="J2458" s="60">
        <f>IF(AND(tblFleet[[#This Row],[Units]]&lt;&gt;"",tblFleet[[#This Row],[Available_h]]&gt;0),tblFleet[[#This Row],[Operating_h]]/tblFleet[[#This Row],[Available_h]],"")</f>
        <v/>
      </c>
    </row>
    <row r="2459">
      <c r="A2459" s="54" t="n"/>
      <c r="B2459" s="61" t="n"/>
      <c r="C2459" s="62" t="n"/>
      <c r="D2459" s="57" t="n"/>
      <c r="E2459" s="57" t="n"/>
      <c r="F2459" s="58" t="n"/>
      <c r="G2459" s="66">
        <f>IF(tblFleet[[#This Row],[Units]]="","",tblFleet[[#This Row],[Units]]*24)</f>
        <v/>
      </c>
      <c r="H2459" s="66">
        <f>IF(tblFleet[[#This Row],[Units]]="","",tblFleet[[#This Row],[Calendar_h]]-tblFleet[[#This Row],[Down_h]])</f>
        <v/>
      </c>
      <c r="I2459" s="60">
        <f>IF(AND(tblFleet[[#This Row],[Units]]&lt;&gt;"",tblFleet[[#This Row],[Calendar_h]]&gt;0),tblFleet[[#This Row],[Available_h]]/tblFleet[[#This Row],[Calendar_h]],"")</f>
        <v/>
      </c>
      <c r="J2459" s="60">
        <f>IF(AND(tblFleet[[#This Row],[Units]]&lt;&gt;"",tblFleet[[#This Row],[Available_h]]&gt;0),tblFleet[[#This Row],[Operating_h]]/tblFleet[[#This Row],[Available_h]],"")</f>
        <v/>
      </c>
    </row>
    <row r="2460">
      <c r="A2460" s="54" t="n"/>
      <c r="B2460" s="61" t="n"/>
      <c r="C2460" s="62" t="n"/>
      <c r="D2460" s="57" t="n"/>
      <c r="E2460" s="57" t="n"/>
      <c r="F2460" s="58" t="n"/>
      <c r="G2460" s="66">
        <f>IF(tblFleet[[#This Row],[Units]]="","",tblFleet[[#This Row],[Units]]*24)</f>
        <v/>
      </c>
      <c r="H2460" s="66">
        <f>IF(tblFleet[[#This Row],[Units]]="","",tblFleet[[#This Row],[Calendar_h]]-tblFleet[[#This Row],[Down_h]])</f>
        <v/>
      </c>
      <c r="I2460" s="60">
        <f>IF(AND(tblFleet[[#This Row],[Units]]&lt;&gt;"",tblFleet[[#This Row],[Calendar_h]]&gt;0),tblFleet[[#This Row],[Available_h]]/tblFleet[[#This Row],[Calendar_h]],"")</f>
        <v/>
      </c>
      <c r="J2460" s="60">
        <f>IF(AND(tblFleet[[#This Row],[Units]]&lt;&gt;"",tblFleet[[#This Row],[Available_h]]&gt;0),tblFleet[[#This Row],[Operating_h]]/tblFleet[[#This Row],[Available_h]],"")</f>
        <v/>
      </c>
    </row>
    <row r="2461">
      <c r="A2461" s="54" t="n"/>
      <c r="B2461" s="61" t="n"/>
      <c r="C2461" s="62" t="n"/>
      <c r="D2461" s="57" t="n"/>
      <c r="E2461" s="57" t="n"/>
      <c r="F2461" s="58" t="n"/>
      <c r="G2461" s="66">
        <f>IF(tblFleet[[#This Row],[Units]]="","",tblFleet[[#This Row],[Units]]*24)</f>
        <v/>
      </c>
      <c r="H2461" s="66">
        <f>IF(tblFleet[[#This Row],[Units]]="","",tblFleet[[#This Row],[Calendar_h]]-tblFleet[[#This Row],[Down_h]])</f>
        <v/>
      </c>
      <c r="I2461" s="60">
        <f>IF(AND(tblFleet[[#This Row],[Units]]&lt;&gt;"",tblFleet[[#This Row],[Calendar_h]]&gt;0),tblFleet[[#This Row],[Available_h]]/tblFleet[[#This Row],[Calendar_h]],"")</f>
        <v/>
      </c>
      <c r="J2461" s="60">
        <f>IF(AND(tblFleet[[#This Row],[Units]]&lt;&gt;"",tblFleet[[#This Row],[Available_h]]&gt;0),tblFleet[[#This Row],[Operating_h]]/tblFleet[[#This Row],[Available_h]],"")</f>
        <v/>
      </c>
    </row>
    <row r="2462">
      <c r="A2462" s="54" t="n"/>
      <c r="B2462" s="61" t="n"/>
      <c r="C2462" s="62" t="n"/>
      <c r="D2462" s="57" t="n"/>
      <c r="E2462" s="57" t="n"/>
      <c r="F2462" s="58" t="n"/>
      <c r="G2462" s="66">
        <f>IF(tblFleet[[#This Row],[Units]]="","",tblFleet[[#This Row],[Units]]*24)</f>
        <v/>
      </c>
      <c r="H2462" s="66">
        <f>IF(tblFleet[[#This Row],[Units]]="","",tblFleet[[#This Row],[Calendar_h]]-tblFleet[[#This Row],[Down_h]])</f>
        <v/>
      </c>
      <c r="I2462" s="60">
        <f>IF(AND(tblFleet[[#This Row],[Units]]&lt;&gt;"",tblFleet[[#This Row],[Calendar_h]]&gt;0),tblFleet[[#This Row],[Available_h]]/tblFleet[[#This Row],[Calendar_h]],"")</f>
        <v/>
      </c>
      <c r="J2462" s="60">
        <f>IF(AND(tblFleet[[#This Row],[Units]]&lt;&gt;"",tblFleet[[#This Row],[Available_h]]&gt;0),tblFleet[[#This Row],[Operating_h]]/tblFleet[[#This Row],[Available_h]],"")</f>
        <v/>
      </c>
    </row>
    <row r="2463">
      <c r="A2463" s="54" t="n"/>
      <c r="B2463" s="61" t="n"/>
      <c r="C2463" s="62" t="n"/>
      <c r="D2463" s="57" t="n"/>
      <c r="E2463" s="57" t="n"/>
      <c r="F2463" s="58" t="n"/>
      <c r="G2463" s="66">
        <f>IF(tblFleet[[#This Row],[Units]]="","",tblFleet[[#This Row],[Units]]*24)</f>
        <v/>
      </c>
      <c r="H2463" s="66">
        <f>IF(tblFleet[[#This Row],[Units]]="","",tblFleet[[#This Row],[Calendar_h]]-tblFleet[[#This Row],[Down_h]])</f>
        <v/>
      </c>
      <c r="I2463" s="60">
        <f>IF(AND(tblFleet[[#This Row],[Units]]&lt;&gt;"",tblFleet[[#This Row],[Calendar_h]]&gt;0),tblFleet[[#This Row],[Available_h]]/tblFleet[[#This Row],[Calendar_h]],"")</f>
        <v/>
      </c>
      <c r="J2463" s="60">
        <f>IF(AND(tblFleet[[#This Row],[Units]]&lt;&gt;"",tblFleet[[#This Row],[Available_h]]&gt;0),tblFleet[[#This Row],[Operating_h]]/tblFleet[[#This Row],[Available_h]],"")</f>
        <v/>
      </c>
    </row>
    <row r="2464">
      <c r="A2464" s="54" t="n"/>
      <c r="B2464" s="61" t="n"/>
      <c r="C2464" s="62" t="n"/>
      <c r="D2464" s="57" t="n"/>
      <c r="E2464" s="57" t="n"/>
      <c r="F2464" s="58" t="n"/>
      <c r="G2464" s="66">
        <f>IF(tblFleet[[#This Row],[Units]]="","",tblFleet[[#This Row],[Units]]*24)</f>
        <v/>
      </c>
      <c r="H2464" s="66">
        <f>IF(tblFleet[[#This Row],[Units]]="","",tblFleet[[#This Row],[Calendar_h]]-tblFleet[[#This Row],[Down_h]])</f>
        <v/>
      </c>
      <c r="I2464" s="60">
        <f>IF(AND(tblFleet[[#This Row],[Units]]&lt;&gt;"",tblFleet[[#This Row],[Calendar_h]]&gt;0),tblFleet[[#This Row],[Available_h]]/tblFleet[[#This Row],[Calendar_h]],"")</f>
        <v/>
      </c>
      <c r="J2464" s="60">
        <f>IF(AND(tblFleet[[#This Row],[Units]]&lt;&gt;"",tblFleet[[#This Row],[Available_h]]&gt;0),tblFleet[[#This Row],[Operating_h]]/tblFleet[[#This Row],[Available_h]],"")</f>
        <v/>
      </c>
    </row>
    <row r="2465">
      <c r="A2465" s="54" t="n"/>
      <c r="B2465" s="61" t="n"/>
      <c r="C2465" s="62" t="n"/>
      <c r="D2465" s="57" t="n"/>
      <c r="E2465" s="57" t="n"/>
      <c r="F2465" s="58" t="n"/>
      <c r="G2465" s="66">
        <f>IF(tblFleet[[#This Row],[Units]]="","",tblFleet[[#This Row],[Units]]*24)</f>
        <v/>
      </c>
      <c r="H2465" s="66">
        <f>IF(tblFleet[[#This Row],[Units]]="","",tblFleet[[#This Row],[Calendar_h]]-tblFleet[[#This Row],[Down_h]])</f>
        <v/>
      </c>
      <c r="I2465" s="60">
        <f>IF(AND(tblFleet[[#This Row],[Units]]&lt;&gt;"",tblFleet[[#This Row],[Calendar_h]]&gt;0),tblFleet[[#This Row],[Available_h]]/tblFleet[[#This Row],[Calendar_h]],"")</f>
        <v/>
      </c>
      <c r="J2465" s="60">
        <f>IF(AND(tblFleet[[#This Row],[Units]]&lt;&gt;"",tblFleet[[#This Row],[Available_h]]&gt;0),tblFleet[[#This Row],[Operating_h]]/tblFleet[[#This Row],[Available_h]],"")</f>
        <v/>
      </c>
    </row>
    <row r="2466">
      <c r="A2466" s="54" t="n"/>
      <c r="B2466" s="61" t="n"/>
      <c r="C2466" s="62" t="n"/>
      <c r="D2466" s="57" t="n"/>
      <c r="E2466" s="57" t="n"/>
      <c r="F2466" s="58" t="n"/>
      <c r="G2466" s="66">
        <f>IF(tblFleet[[#This Row],[Units]]="","",tblFleet[[#This Row],[Units]]*24)</f>
        <v/>
      </c>
      <c r="H2466" s="66">
        <f>IF(tblFleet[[#This Row],[Units]]="","",tblFleet[[#This Row],[Calendar_h]]-tblFleet[[#This Row],[Down_h]])</f>
        <v/>
      </c>
      <c r="I2466" s="60">
        <f>IF(AND(tblFleet[[#This Row],[Units]]&lt;&gt;"",tblFleet[[#This Row],[Calendar_h]]&gt;0),tblFleet[[#This Row],[Available_h]]/tblFleet[[#This Row],[Calendar_h]],"")</f>
        <v/>
      </c>
      <c r="J2466" s="60">
        <f>IF(AND(tblFleet[[#This Row],[Units]]&lt;&gt;"",tblFleet[[#This Row],[Available_h]]&gt;0),tblFleet[[#This Row],[Operating_h]]/tblFleet[[#This Row],[Available_h]],"")</f>
        <v/>
      </c>
    </row>
    <row r="2467">
      <c r="A2467" s="54" t="n"/>
      <c r="B2467" s="61" t="n"/>
      <c r="C2467" s="62" t="n"/>
      <c r="D2467" s="57" t="n"/>
      <c r="E2467" s="57" t="n"/>
      <c r="F2467" s="58" t="n"/>
      <c r="G2467" s="66">
        <f>IF(tblFleet[[#This Row],[Units]]="","",tblFleet[[#This Row],[Units]]*24)</f>
        <v/>
      </c>
      <c r="H2467" s="66">
        <f>IF(tblFleet[[#This Row],[Units]]="","",tblFleet[[#This Row],[Calendar_h]]-tblFleet[[#This Row],[Down_h]])</f>
        <v/>
      </c>
      <c r="I2467" s="60">
        <f>IF(AND(tblFleet[[#This Row],[Units]]&lt;&gt;"",tblFleet[[#This Row],[Calendar_h]]&gt;0),tblFleet[[#This Row],[Available_h]]/tblFleet[[#This Row],[Calendar_h]],"")</f>
        <v/>
      </c>
      <c r="J2467" s="60">
        <f>IF(AND(tblFleet[[#This Row],[Units]]&lt;&gt;"",tblFleet[[#This Row],[Available_h]]&gt;0),tblFleet[[#This Row],[Operating_h]]/tblFleet[[#This Row],[Available_h]],"")</f>
        <v/>
      </c>
    </row>
    <row r="2468">
      <c r="A2468" s="54" t="n"/>
      <c r="B2468" s="61" t="n"/>
      <c r="C2468" s="62" t="n"/>
      <c r="D2468" s="57" t="n"/>
      <c r="E2468" s="57" t="n"/>
      <c r="F2468" s="58" t="n"/>
      <c r="G2468" s="66">
        <f>IF(tblFleet[[#This Row],[Units]]="","",tblFleet[[#This Row],[Units]]*24)</f>
        <v/>
      </c>
      <c r="H2468" s="66">
        <f>IF(tblFleet[[#This Row],[Units]]="","",tblFleet[[#This Row],[Calendar_h]]-tblFleet[[#This Row],[Down_h]])</f>
        <v/>
      </c>
      <c r="I2468" s="60">
        <f>IF(AND(tblFleet[[#This Row],[Units]]&lt;&gt;"",tblFleet[[#This Row],[Calendar_h]]&gt;0),tblFleet[[#This Row],[Available_h]]/tblFleet[[#This Row],[Calendar_h]],"")</f>
        <v/>
      </c>
      <c r="J2468" s="60">
        <f>IF(AND(tblFleet[[#This Row],[Units]]&lt;&gt;"",tblFleet[[#This Row],[Available_h]]&gt;0),tblFleet[[#This Row],[Operating_h]]/tblFleet[[#This Row],[Available_h]],"")</f>
        <v/>
      </c>
    </row>
    <row r="2469">
      <c r="A2469" s="54" t="n"/>
      <c r="B2469" s="61" t="n"/>
      <c r="C2469" s="62" t="n"/>
      <c r="D2469" s="57" t="n"/>
      <c r="E2469" s="57" t="n"/>
      <c r="F2469" s="58" t="n"/>
      <c r="G2469" s="66">
        <f>IF(tblFleet[[#This Row],[Units]]="","",tblFleet[[#This Row],[Units]]*24)</f>
        <v/>
      </c>
      <c r="H2469" s="66">
        <f>IF(tblFleet[[#This Row],[Units]]="","",tblFleet[[#This Row],[Calendar_h]]-tblFleet[[#This Row],[Down_h]])</f>
        <v/>
      </c>
      <c r="I2469" s="60">
        <f>IF(AND(tblFleet[[#This Row],[Units]]&lt;&gt;"",tblFleet[[#This Row],[Calendar_h]]&gt;0),tblFleet[[#This Row],[Available_h]]/tblFleet[[#This Row],[Calendar_h]],"")</f>
        <v/>
      </c>
      <c r="J2469" s="60">
        <f>IF(AND(tblFleet[[#This Row],[Units]]&lt;&gt;"",tblFleet[[#This Row],[Available_h]]&gt;0),tblFleet[[#This Row],[Operating_h]]/tblFleet[[#This Row],[Available_h]],"")</f>
        <v/>
      </c>
    </row>
    <row r="2470">
      <c r="A2470" s="54" t="n"/>
      <c r="B2470" s="61" t="n"/>
      <c r="C2470" s="62" t="n"/>
      <c r="D2470" s="57" t="n"/>
      <c r="E2470" s="57" t="n"/>
      <c r="F2470" s="58" t="n"/>
      <c r="G2470" s="66">
        <f>IF(tblFleet[[#This Row],[Units]]="","",tblFleet[[#This Row],[Units]]*24)</f>
        <v/>
      </c>
      <c r="H2470" s="66">
        <f>IF(tblFleet[[#This Row],[Units]]="","",tblFleet[[#This Row],[Calendar_h]]-tblFleet[[#This Row],[Down_h]])</f>
        <v/>
      </c>
      <c r="I2470" s="60">
        <f>IF(AND(tblFleet[[#This Row],[Units]]&lt;&gt;"",tblFleet[[#This Row],[Calendar_h]]&gt;0),tblFleet[[#This Row],[Available_h]]/tblFleet[[#This Row],[Calendar_h]],"")</f>
        <v/>
      </c>
      <c r="J2470" s="60">
        <f>IF(AND(tblFleet[[#This Row],[Units]]&lt;&gt;"",tblFleet[[#This Row],[Available_h]]&gt;0),tblFleet[[#This Row],[Operating_h]]/tblFleet[[#This Row],[Available_h]],"")</f>
        <v/>
      </c>
    </row>
    <row r="2471">
      <c r="A2471" s="54" t="n"/>
      <c r="B2471" s="61" t="n"/>
      <c r="C2471" s="62" t="n"/>
      <c r="D2471" s="57" t="n"/>
      <c r="E2471" s="57" t="n"/>
      <c r="F2471" s="58" t="n"/>
      <c r="G2471" s="66">
        <f>IF(tblFleet[[#This Row],[Units]]="","",tblFleet[[#This Row],[Units]]*24)</f>
        <v/>
      </c>
      <c r="H2471" s="66">
        <f>IF(tblFleet[[#This Row],[Units]]="","",tblFleet[[#This Row],[Calendar_h]]-tblFleet[[#This Row],[Down_h]])</f>
        <v/>
      </c>
      <c r="I2471" s="60">
        <f>IF(AND(tblFleet[[#This Row],[Units]]&lt;&gt;"",tblFleet[[#This Row],[Calendar_h]]&gt;0),tblFleet[[#This Row],[Available_h]]/tblFleet[[#This Row],[Calendar_h]],"")</f>
        <v/>
      </c>
      <c r="J2471" s="60">
        <f>IF(AND(tblFleet[[#This Row],[Units]]&lt;&gt;"",tblFleet[[#This Row],[Available_h]]&gt;0),tblFleet[[#This Row],[Operating_h]]/tblFleet[[#This Row],[Available_h]],"")</f>
        <v/>
      </c>
    </row>
    <row r="2472">
      <c r="A2472" s="54" t="n"/>
      <c r="B2472" s="61" t="n"/>
      <c r="C2472" s="62" t="n"/>
      <c r="D2472" s="57" t="n"/>
      <c r="E2472" s="57" t="n"/>
      <c r="F2472" s="58" t="n"/>
      <c r="G2472" s="66">
        <f>IF(tblFleet[[#This Row],[Units]]="","",tblFleet[[#This Row],[Units]]*24)</f>
        <v/>
      </c>
      <c r="H2472" s="66">
        <f>IF(tblFleet[[#This Row],[Units]]="","",tblFleet[[#This Row],[Calendar_h]]-tblFleet[[#This Row],[Down_h]])</f>
        <v/>
      </c>
      <c r="I2472" s="60">
        <f>IF(AND(tblFleet[[#This Row],[Units]]&lt;&gt;"",tblFleet[[#This Row],[Calendar_h]]&gt;0),tblFleet[[#This Row],[Available_h]]/tblFleet[[#This Row],[Calendar_h]],"")</f>
        <v/>
      </c>
      <c r="J2472" s="60">
        <f>IF(AND(tblFleet[[#This Row],[Units]]&lt;&gt;"",tblFleet[[#This Row],[Available_h]]&gt;0),tblFleet[[#This Row],[Operating_h]]/tblFleet[[#This Row],[Available_h]],"")</f>
        <v/>
      </c>
    </row>
    <row r="2473">
      <c r="A2473" s="54" t="n"/>
      <c r="B2473" s="61" t="n"/>
      <c r="C2473" s="62" t="n"/>
      <c r="D2473" s="57" t="n"/>
      <c r="E2473" s="57" t="n"/>
      <c r="F2473" s="58" t="n"/>
      <c r="G2473" s="66">
        <f>IF(tblFleet[[#This Row],[Units]]="","",tblFleet[[#This Row],[Units]]*24)</f>
        <v/>
      </c>
      <c r="H2473" s="66">
        <f>IF(tblFleet[[#This Row],[Units]]="","",tblFleet[[#This Row],[Calendar_h]]-tblFleet[[#This Row],[Down_h]])</f>
        <v/>
      </c>
      <c r="I2473" s="60">
        <f>IF(AND(tblFleet[[#This Row],[Units]]&lt;&gt;"",tblFleet[[#This Row],[Calendar_h]]&gt;0),tblFleet[[#This Row],[Available_h]]/tblFleet[[#This Row],[Calendar_h]],"")</f>
        <v/>
      </c>
      <c r="J2473" s="60">
        <f>IF(AND(tblFleet[[#This Row],[Units]]&lt;&gt;"",tblFleet[[#This Row],[Available_h]]&gt;0),tblFleet[[#This Row],[Operating_h]]/tblFleet[[#This Row],[Available_h]],"")</f>
        <v/>
      </c>
    </row>
    <row r="2474">
      <c r="A2474" s="54" t="n"/>
      <c r="B2474" s="61" t="n"/>
      <c r="C2474" s="62" t="n"/>
      <c r="D2474" s="57" t="n"/>
      <c r="E2474" s="57" t="n"/>
      <c r="F2474" s="58" t="n"/>
      <c r="G2474" s="66">
        <f>IF(tblFleet[[#This Row],[Units]]="","",tblFleet[[#This Row],[Units]]*24)</f>
        <v/>
      </c>
      <c r="H2474" s="66">
        <f>IF(tblFleet[[#This Row],[Units]]="","",tblFleet[[#This Row],[Calendar_h]]-tblFleet[[#This Row],[Down_h]])</f>
        <v/>
      </c>
      <c r="I2474" s="60">
        <f>IF(AND(tblFleet[[#This Row],[Units]]&lt;&gt;"",tblFleet[[#This Row],[Calendar_h]]&gt;0),tblFleet[[#This Row],[Available_h]]/tblFleet[[#This Row],[Calendar_h]],"")</f>
        <v/>
      </c>
      <c r="J2474" s="60">
        <f>IF(AND(tblFleet[[#This Row],[Units]]&lt;&gt;"",tblFleet[[#This Row],[Available_h]]&gt;0),tblFleet[[#This Row],[Operating_h]]/tblFleet[[#This Row],[Available_h]],"")</f>
        <v/>
      </c>
    </row>
    <row r="2475">
      <c r="A2475" s="54" t="n"/>
      <c r="B2475" s="61" t="n"/>
      <c r="C2475" s="62" t="n"/>
      <c r="D2475" s="57" t="n"/>
      <c r="E2475" s="57" t="n"/>
      <c r="F2475" s="58" t="n"/>
      <c r="G2475" s="66">
        <f>IF(tblFleet[[#This Row],[Units]]="","",tblFleet[[#This Row],[Units]]*24)</f>
        <v/>
      </c>
      <c r="H2475" s="66">
        <f>IF(tblFleet[[#This Row],[Units]]="","",tblFleet[[#This Row],[Calendar_h]]-tblFleet[[#This Row],[Down_h]])</f>
        <v/>
      </c>
      <c r="I2475" s="60">
        <f>IF(AND(tblFleet[[#This Row],[Units]]&lt;&gt;"",tblFleet[[#This Row],[Calendar_h]]&gt;0),tblFleet[[#This Row],[Available_h]]/tblFleet[[#This Row],[Calendar_h]],"")</f>
        <v/>
      </c>
      <c r="J2475" s="60">
        <f>IF(AND(tblFleet[[#This Row],[Units]]&lt;&gt;"",tblFleet[[#This Row],[Available_h]]&gt;0),tblFleet[[#This Row],[Operating_h]]/tblFleet[[#This Row],[Available_h]],"")</f>
        <v/>
      </c>
    </row>
    <row r="2476">
      <c r="A2476" s="54" t="n"/>
      <c r="B2476" s="61" t="n"/>
      <c r="C2476" s="62" t="n"/>
      <c r="D2476" s="57" t="n"/>
      <c r="E2476" s="57" t="n"/>
      <c r="F2476" s="58" t="n"/>
      <c r="G2476" s="66">
        <f>IF(tblFleet[[#This Row],[Units]]="","",tblFleet[[#This Row],[Units]]*24)</f>
        <v/>
      </c>
      <c r="H2476" s="66">
        <f>IF(tblFleet[[#This Row],[Units]]="","",tblFleet[[#This Row],[Calendar_h]]-tblFleet[[#This Row],[Down_h]])</f>
        <v/>
      </c>
      <c r="I2476" s="60">
        <f>IF(AND(tblFleet[[#This Row],[Units]]&lt;&gt;"",tblFleet[[#This Row],[Calendar_h]]&gt;0),tblFleet[[#This Row],[Available_h]]/tblFleet[[#This Row],[Calendar_h]],"")</f>
        <v/>
      </c>
      <c r="J2476" s="60">
        <f>IF(AND(tblFleet[[#This Row],[Units]]&lt;&gt;"",tblFleet[[#This Row],[Available_h]]&gt;0),tblFleet[[#This Row],[Operating_h]]/tblFleet[[#This Row],[Available_h]],"")</f>
        <v/>
      </c>
    </row>
    <row r="2477">
      <c r="A2477" s="54" t="n"/>
      <c r="B2477" s="61" t="n"/>
      <c r="C2477" s="62" t="n"/>
      <c r="D2477" s="57" t="n"/>
      <c r="E2477" s="57" t="n"/>
      <c r="F2477" s="58" t="n"/>
      <c r="G2477" s="66">
        <f>IF(tblFleet[[#This Row],[Units]]="","",tblFleet[[#This Row],[Units]]*24)</f>
        <v/>
      </c>
      <c r="H2477" s="66">
        <f>IF(tblFleet[[#This Row],[Units]]="","",tblFleet[[#This Row],[Calendar_h]]-tblFleet[[#This Row],[Down_h]])</f>
        <v/>
      </c>
      <c r="I2477" s="60">
        <f>IF(AND(tblFleet[[#This Row],[Units]]&lt;&gt;"",tblFleet[[#This Row],[Calendar_h]]&gt;0),tblFleet[[#This Row],[Available_h]]/tblFleet[[#This Row],[Calendar_h]],"")</f>
        <v/>
      </c>
      <c r="J2477" s="60">
        <f>IF(AND(tblFleet[[#This Row],[Units]]&lt;&gt;"",tblFleet[[#This Row],[Available_h]]&gt;0),tblFleet[[#This Row],[Operating_h]]/tblFleet[[#This Row],[Available_h]],"")</f>
        <v/>
      </c>
    </row>
    <row r="2478">
      <c r="A2478" s="54" t="n"/>
      <c r="B2478" s="61" t="n"/>
      <c r="C2478" s="62" t="n"/>
      <c r="D2478" s="57" t="n"/>
      <c r="E2478" s="57" t="n"/>
      <c r="F2478" s="58" t="n"/>
      <c r="G2478" s="66">
        <f>IF(tblFleet[[#This Row],[Units]]="","",tblFleet[[#This Row],[Units]]*24)</f>
        <v/>
      </c>
      <c r="H2478" s="66">
        <f>IF(tblFleet[[#This Row],[Units]]="","",tblFleet[[#This Row],[Calendar_h]]-tblFleet[[#This Row],[Down_h]])</f>
        <v/>
      </c>
      <c r="I2478" s="60">
        <f>IF(AND(tblFleet[[#This Row],[Units]]&lt;&gt;"",tblFleet[[#This Row],[Calendar_h]]&gt;0),tblFleet[[#This Row],[Available_h]]/tblFleet[[#This Row],[Calendar_h]],"")</f>
        <v/>
      </c>
      <c r="J2478" s="60">
        <f>IF(AND(tblFleet[[#This Row],[Units]]&lt;&gt;"",tblFleet[[#This Row],[Available_h]]&gt;0),tblFleet[[#This Row],[Operating_h]]/tblFleet[[#This Row],[Available_h]],"")</f>
        <v/>
      </c>
    </row>
    <row r="2479">
      <c r="A2479" s="54" t="n"/>
      <c r="B2479" s="61" t="n"/>
      <c r="C2479" s="62" t="n"/>
      <c r="D2479" s="57" t="n"/>
      <c r="E2479" s="57" t="n"/>
      <c r="F2479" s="58" t="n"/>
      <c r="G2479" s="66">
        <f>IF(tblFleet[[#This Row],[Units]]="","",tblFleet[[#This Row],[Units]]*24)</f>
        <v/>
      </c>
      <c r="H2479" s="66">
        <f>IF(tblFleet[[#This Row],[Units]]="","",tblFleet[[#This Row],[Calendar_h]]-tblFleet[[#This Row],[Down_h]])</f>
        <v/>
      </c>
      <c r="I2479" s="60">
        <f>IF(AND(tblFleet[[#This Row],[Units]]&lt;&gt;"",tblFleet[[#This Row],[Calendar_h]]&gt;0),tblFleet[[#This Row],[Available_h]]/tblFleet[[#This Row],[Calendar_h]],"")</f>
        <v/>
      </c>
      <c r="J2479" s="60">
        <f>IF(AND(tblFleet[[#This Row],[Units]]&lt;&gt;"",tblFleet[[#This Row],[Available_h]]&gt;0),tblFleet[[#This Row],[Operating_h]]/tblFleet[[#This Row],[Available_h]],"")</f>
        <v/>
      </c>
    </row>
    <row r="2480">
      <c r="A2480" s="54" t="n"/>
      <c r="B2480" s="61" t="n"/>
      <c r="C2480" s="62" t="n"/>
      <c r="D2480" s="57" t="n"/>
      <c r="E2480" s="57" t="n"/>
      <c r="F2480" s="58" t="n"/>
      <c r="G2480" s="66">
        <f>IF(tblFleet[[#This Row],[Units]]="","",tblFleet[[#This Row],[Units]]*24)</f>
        <v/>
      </c>
      <c r="H2480" s="66">
        <f>IF(tblFleet[[#This Row],[Units]]="","",tblFleet[[#This Row],[Calendar_h]]-tblFleet[[#This Row],[Down_h]])</f>
        <v/>
      </c>
      <c r="I2480" s="60">
        <f>IF(AND(tblFleet[[#This Row],[Units]]&lt;&gt;"",tblFleet[[#This Row],[Calendar_h]]&gt;0),tblFleet[[#This Row],[Available_h]]/tblFleet[[#This Row],[Calendar_h]],"")</f>
        <v/>
      </c>
      <c r="J2480" s="60">
        <f>IF(AND(tblFleet[[#This Row],[Units]]&lt;&gt;"",tblFleet[[#This Row],[Available_h]]&gt;0),tblFleet[[#This Row],[Operating_h]]/tblFleet[[#This Row],[Available_h]],"")</f>
        <v/>
      </c>
    </row>
    <row r="2481">
      <c r="A2481" s="54" t="n"/>
      <c r="B2481" s="61" t="n"/>
      <c r="C2481" s="62" t="n"/>
      <c r="D2481" s="57" t="n"/>
      <c r="E2481" s="57" t="n"/>
      <c r="F2481" s="58" t="n"/>
      <c r="G2481" s="66">
        <f>IF(tblFleet[[#This Row],[Units]]="","",tblFleet[[#This Row],[Units]]*24)</f>
        <v/>
      </c>
      <c r="H2481" s="66">
        <f>IF(tblFleet[[#This Row],[Units]]="","",tblFleet[[#This Row],[Calendar_h]]-tblFleet[[#This Row],[Down_h]])</f>
        <v/>
      </c>
      <c r="I2481" s="60">
        <f>IF(AND(tblFleet[[#This Row],[Units]]&lt;&gt;"",tblFleet[[#This Row],[Calendar_h]]&gt;0),tblFleet[[#This Row],[Available_h]]/tblFleet[[#This Row],[Calendar_h]],"")</f>
        <v/>
      </c>
      <c r="J2481" s="60">
        <f>IF(AND(tblFleet[[#This Row],[Units]]&lt;&gt;"",tblFleet[[#This Row],[Available_h]]&gt;0),tblFleet[[#This Row],[Operating_h]]/tblFleet[[#This Row],[Available_h]],"")</f>
        <v/>
      </c>
    </row>
    <row r="2482">
      <c r="A2482" s="54" t="n"/>
      <c r="B2482" s="61" t="n"/>
      <c r="C2482" s="62" t="n"/>
      <c r="D2482" s="57" t="n"/>
      <c r="E2482" s="57" t="n"/>
      <c r="F2482" s="58" t="n"/>
      <c r="G2482" s="66">
        <f>IF(tblFleet[[#This Row],[Units]]="","",tblFleet[[#This Row],[Units]]*24)</f>
        <v/>
      </c>
      <c r="H2482" s="66">
        <f>IF(tblFleet[[#This Row],[Units]]="","",tblFleet[[#This Row],[Calendar_h]]-tblFleet[[#This Row],[Down_h]])</f>
        <v/>
      </c>
      <c r="I2482" s="60">
        <f>IF(AND(tblFleet[[#This Row],[Units]]&lt;&gt;"",tblFleet[[#This Row],[Calendar_h]]&gt;0),tblFleet[[#This Row],[Available_h]]/tblFleet[[#This Row],[Calendar_h]],"")</f>
        <v/>
      </c>
      <c r="J2482" s="60">
        <f>IF(AND(tblFleet[[#This Row],[Units]]&lt;&gt;"",tblFleet[[#This Row],[Available_h]]&gt;0),tblFleet[[#This Row],[Operating_h]]/tblFleet[[#This Row],[Available_h]],"")</f>
        <v/>
      </c>
    </row>
    <row r="2483">
      <c r="A2483" s="54" t="n"/>
      <c r="B2483" s="61" t="n"/>
      <c r="C2483" s="62" t="n"/>
      <c r="D2483" s="57" t="n"/>
      <c r="E2483" s="57" t="n"/>
      <c r="F2483" s="58" t="n"/>
      <c r="G2483" s="66">
        <f>IF(tblFleet[[#This Row],[Units]]="","",tblFleet[[#This Row],[Units]]*24)</f>
        <v/>
      </c>
      <c r="H2483" s="66">
        <f>IF(tblFleet[[#This Row],[Units]]="","",tblFleet[[#This Row],[Calendar_h]]-tblFleet[[#This Row],[Down_h]])</f>
        <v/>
      </c>
      <c r="I2483" s="60">
        <f>IF(AND(tblFleet[[#This Row],[Units]]&lt;&gt;"",tblFleet[[#This Row],[Calendar_h]]&gt;0),tblFleet[[#This Row],[Available_h]]/tblFleet[[#This Row],[Calendar_h]],"")</f>
        <v/>
      </c>
      <c r="J2483" s="60">
        <f>IF(AND(tblFleet[[#This Row],[Units]]&lt;&gt;"",tblFleet[[#This Row],[Available_h]]&gt;0),tblFleet[[#This Row],[Operating_h]]/tblFleet[[#This Row],[Available_h]],"")</f>
        <v/>
      </c>
    </row>
    <row r="2484">
      <c r="A2484" s="54" t="n"/>
      <c r="B2484" s="61" t="n"/>
      <c r="C2484" s="62" t="n"/>
      <c r="D2484" s="57" t="n"/>
      <c r="E2484" s="57" t="n"/>
      <c r="F2484" s="58" t="n"/>
      <c r="G2484" s="66">
        <f>IF(tblFleet[[#This Row],[Units]]="","",tblFleet[[#This Row],[Units]]*24)</f>
        <v/>
      </c>
      <c r="H2484" s="66">
        <f>IF(tblFleet[[#This Row],[Units]]="","",tblFleet[[#This Row],[Calendar_h]]-tblFleet[[#This Row],[Down_h]])</f>
        <v/>
      </c>
      <c r="I2484" s="60">
        <f>IF(AND(tblFleet[[#This Row],[Units]]&lt;&gt;"",tblFleet[[#This Row],[Calendar_h]]&gt;0),tblFleet[[#This Row],[Available_h]]/tblFleet[[#This Row],[Calendar_h]],"")</f>
        <v/>
      </c>
      <c r="J2484" s="60">
        <f>IF(AND(tblFleet[[#This Row],[Units]]&lt;&gt;"",tblFleet[[#This Row],[Available_h]]&gt;0),tblFleet[[#This Row],[Operating_h]]/tblFleet[[#This Row],[Available_h]],"")</f>
        <v/>
      </c>
    </row>
    <row r="2485">
      <c r="A2485" s="54" t="n"/>
      <c r="B2485" s="61" t="n"/>
      <c r="C2485" s="62" t="n"/>
      <c r="D2485" s="57" t="n"/>
      <c r="E2485" s="57" t="n"/>
      <c r="F2485" s="58" t="n"/>
      <c r="G2485" s="66">
        <f>IF(tblFleet[[#This Row],[Units]]="","",tblFleet[[#This Row],[Units]]*24)</f>
        <v/>
      </c>
      <c r="H2485" s="66">
        <f>IF(tblFleet[[#This Row],[Units]]="","",tblFleet[[#This Row],[Calendar_h]]-tblFleet[[#This Row],[Down_h]])</f>
        <v/>
      </c>
      <c r="I2485" s="60">
        <f>IF(AND(tblFleet[[#This Row],[Units]]&lt;&gt;"",tblFleet[[#This Row],[Calendar_h]]&gt;0),tblFleet[[#This Row],[Available_h]]/tblFleet[[#This Row],[Calendar_h]],"")</f>
        <v/>
      </c>
      <c r="J2485" s="60">
        <f>IF(AND(tblFleet[[#This Row],[Units]]&lt;&gt;"",tblFleet[[#This Row],[Available_h]]&gt;0),tblFleet[[#This Row],[Operating_h]]/tblFleet[[#This Row],[Available_h]],"")</f>
        <v/>
      </c>
    </row>
    <row r="2486">
      <c r="A2486" s="54" t="n"/>
      <c r="B2486" s="61" t="n"/>
      <c r="C2486" s="62" t="n"/>
      <c r="D2486" s="57" t="n"/>
      <c r="E2486" s="57" t="n"/>
      <c r="F2486" s="58" t="n"/>
      <c r="G2486" s="66">
        <f>IF(tblFleet[[#This Row],[Units]]="","",tblFleet[[#This Row],[Units]]*24)</f>
        <v/>
      </c>
      <c r="H2486" s="66">
        <f>IF(tblFleet[[#This Row],[Units]]="","",tblFleet[[#This Row],[Calendar_h]]-tblFleet[[#This Row],[Down_h]])</f>
        <v/>
      </c>
      <c r="I2486" s="60">
        <f>IF(AND(tblFleet[[#This Row],[Units]]&lt;&gt;"",tblFleet[[#This Row],[Calendar_h]]&gt;0),tblFleet[[#This Row],[Available_h]]/tblFleet[[#This Row],[Calendar_h]],"")</f>
        <v/>
      </c>
      <c r="J2486" s="60">
        <f>IF(AND(tblFleet[[#This Row],[Units]]&lt;&gt;"",tblFleet[[#This Row],[Available_h]]&gt;0),tblFleet[[#This Row],[Operating_h]]/tblFleet[[#This Row],[Available_h]],"")</f>
        <v/>
      </c>
    </row>
    <row r="2487">
      <c r="A2487" s="54" t="n"/>
      <c r="B2487" s="61" t="n"/>
      <c r="C2487" s="62" t="n"/>
      <c r="D2487" s="57" t="n"/>
      <c r="E2487" s="57" t="n"/>
      <c r="F2487" s="58" t="n"/>
      <c r="G2487" s="66">
        <f>IF(tblFleet[[#This Row],[Units]]="","",tblFleet[[#This Row],[Units]]*24)</f>
        <v/>
      </c>
      <c r="H2487" s="66">
        <f>IF(tblFleet[[#This Row],[Units]]="","",tblFleet[[#This Row],[Calendar_h]]-tblFleet[[#This Row],[Down_h]])</f>
        <v/>
      </c>
      <c r="I2487" s="60">
        <f>IF(AND(tblFleet[[#This Row],[Units]]&lt;&gt;"",tblFleet[[#This Row],[Calendar_h]]&gt;0),tblFleet[[#This Row],[Available_h]]/tblFleet[[#This Row],[Calendar_h]],"")</f>
        <v/>
      </c>
      <c r="J2487" s="60">
        <f>IF(AND(tblFleet[[#This Row],[Units]]&lt;&gt;"",tblFleet[[#This Row],[Available_h]]&gt;0),tblFleet[[#This Row],[Operating_h]]/tblFleet[[#This Row],[Available_h]],"")</f>
        <v/>
      </c>
    </row>
    <row r="2488">
      <c r="A2488" s="54" t="n"/>
      <c r="B2488" s="61" t="n"/>
      <c r="C2488" s="62" t="n"/>
      <c r="D2488" s="57" t="n"/>
      <c r="E2488" s="57" t="n"/>
      <c r="F2488" s="58" t="n"/>
      <c r="G2488" s="66">
        <f>IF(tblFleet[[#This Row],[Units]]="","",tblFleet[[#This Row],[Units]]*24)</f>
        <v/>
      </c>
      <c r="H2488" s="66">
        <f>IF(tblFleet[[#This Row],[Units]]="","",tblFleet[[#This Row],[Calendar_h]]-tblFleet[[#This Row],[Down_h]])</f>
        <v/>
      </c>
      <c r="I2488" s="60">
        <f>IF(AND(tblFleet[[#This Row],[Units]]&lt;&gt;"",tblFleet[[#This Row],[Calendar_h]]&gt;0),tblFleet[[#This Row],[Available_h]]/tblFleet[[#This Row],[Calendar_h]],"")</f>
        <v/>
      </c>
      <c r="J2488" s="60">
        <f>IF(AND(tblFleet[[#This Row],[Units]]&lt;&gt;"",tblFleet[[#This Row],[Available_h]]&gt;0),tblFleet[[#This Row],[Operating_h]]/tblFleet[[#This Row],[Available_h]],"")</f>
        <v/>
      </c>
    </row>
    <row r="2489">
      <c r="A2489" s="54" t="n"/>
      <c r="B2489" s="61" t="n"/>
      <c r="C2489" s="62" t="n"/>
      <c r="D2489" s="57" t="n"/>
      <c r="E2489" s="57" t="n"/>
      <c r="F2489" s="58" t="n"/>
      <c r="G2489" s="66">
        <f>IF(tblFleet[[#This Row],[Units]]="","",tblFleet[[#This Row],[Units]]*24)</f>
        <v/>
      </c>
      <c r="H2489" s="66">
        <f>IF(tblFleet[[#This Row],[Units]]="","",tblFleet[[#This Row],[Calendar_h]]-tblFleet[[#This Row],[Down_h]])</f>
        <v/>
      </c>
      <c r="I2489" s="60">
        <f>IF(AND(tblFleet[[#This Row],[Units]]&lt;&gt;"",tblFleet[[#This Row],[Calendar_h]]&gt;0),tblFleet[[#This Row],[Available_h]]/tblFleet[[#This Row],[Calendar_h]],"")</f>
        <v/>
      </c>
      <c r="J2489" s="60">
        <f>IF(AND(tblFleet[[#This Row],[Units]]&lt;&gt;"",tblFleet[[#This Row],[Available_h]]&gt;0),tblFleet[[#This Row],[Operating_h]]/tblFleet[[#This Row],[Available_h]],"")</f>
        <v/>
      </c>
    </row>
    <row r="2490">
      <c r="A2490" s="54" t="n"/>
      <c r="B2490" s="61" t="n"/>
      <c r="C2490" s="62" t="n"/>
      <c r="D2490" s="57" t="n"/>
      <c r="E2490" s="57" t="n"/>
      <c r="F2490" s="58" t="n"/>
      <c r="G2490" s="66">
        <f>IF(tblFleet[[#This Row],[Units]]="","",tblFleet[[#This Row],[Units]]*24)</f>
        <v/>
      </c>
      <c r="H2490" s="66">
        <f>IF(tblFleet[[#This Row],[Units]]="","",tblFleet[[#This Row],[Calendar_h]]-tblFleet[[#This Row],[Down_h]])</f>
        <v/>
      </c>
      <c r="I2490" s="60">
        <f>IF(AND(tblFleet[[#This Row],[Units]]&lt;&gt;"",tblFleet[[#This Row],[Calendar_h]]&gt;0),tblFleet[[#This Row],[Available_h]]/tblFleet[[#This Row],[Calendar_h]],"")</f>
        <v/>
      </c>
      <c r="J2490" s="60">
        <f>IF(AND(tblFleet[[#This Row],[Units]]&lt;&gt;"",tblFleet[[#This Row],[Available_h]]&gt;0),tblFleet[[#This Row],[Operating_h]]/tblFleet[[#This Row],[Available_h]],"")</f>
        <v/>
      </c>
    </row>
    <row r="2491">
      <c r="A2491" s="54" t="n"/>
      <c r="B2491" s="61" t="n"/>
      <c r="C2491" s="62" t="n"/>
      <c r="D2491" s="57" t="n"/>
      <c r="E2491" s="57" t="n"/>
      <c r="F2491" s="58" t="n"/>
      <c r="G2491" s="66">
        <f>IF(tblFleet[[#This Row],[Units]]="","",tblFleet[[#This Row],[Units]]*24)</f>
        <v/>
      </c>
      <c r="H2491" s="66">
        <f>IF(tblFleet[[#This Row],[Units]]="","",tblFleet[[#This Row],[Calendar_h]]-tblFleet[[#This Row],[Down_h]])</f>
        <v/>
      </c>
      <c r="I2491" s="60">
        <f>IF(AND(tblFleet[[#This Row],[Units]]&lt;&gt;"",tblFleet[[#This Row],[Calendar_h]]&gt;0),tblFleet[[#This Row],[Available_h]]/tblFleet[[#This Row],[Calendar_h]],"")</f>
        <v/>
      </c>
      <c r="J2491" s="60">
        <f>IF(AND(tblFleet[[#This Row],[Units]]&lt;&gt;"",tblFleet[[#This Row],[Available_h]]&gt;0),tblFleet[[#This Row],[Operating_h]]/tblFleet[[#This Row],[Available_h]],"")</f>
        <v/>
      </c>
    </row>
    <row r="2492">
      <c r="A2492" s="54" t="n"/>
      <c r="B2492" s="61" t="n"/>
      <c r="C2492" s="62" t="n"/>
      <c r="D2492" s="57" t="n"/>
      <c r="E2492" s="57" t="n"/>
      <c r="F2492" s="58" t="n"/>
      <c r="G2492" s="66">
        <f>IF(tblFleet[[#This Row],[Units]]="","",tblFleet[[#This Row],[Units]]*24)</f>
        <v/>
      </c>
      <c r="H2492" s="66">
        <f>IF(tblFleet[[#This Row],[Units]]="","",tblFleet[[#This Row],[Calendar_h]]-tblFleet[[#This Row],[Down_h]])</f>
        <v/>
      </c>
      <c r="I2492" s="60">
        <f>IF(AND(tblFleet[[#This Row],[Units]]&lt;&gt;"",tblFleet[[#This Row],[Calendar_h]]&gt;0),tblFleet[[#This Row],[Available_h]]/tblFleet[[#This Row],[Calendar_h]],"")</f>
        <v/>
      </c>
      <c r="J2492" s="60">
        <f>IF(AND(tblFleet[[#This Row],[Units]]&lt;&gt;"",tblFleet[[#This Row],[Available_h]]&gt;0),tblFleet[[#This Row],[Operating_h]]/tblFleet[[#This Row],[Available_h]],"")</f>
        <v/>
      </c>
    </row>
    <row r="2493">
      <c r="A2493" s="54" t="n"/>
      <c r="B2493" s="61" t="n"/>
      <c r="C2493" s="62" t="n"/>
      <c r="D2493" s="57" t="n"/>
      <c r="E2493" s="57" t="n"/>
      <c r="F2493" s="58" t="n"/>
      <c r="G2493" s="66">
        <f>IF(tblFleet[[#This Row],[Units]]="","",tblFleet[[#This Row],[Units]]*24)</f>
        <v/>
      </c>
      <c r="H2493" s="66">
        <f>IF(tblFleet[[#This Row],[Units]]="","",tblFleet[[#This Row],[Calendar_h]]-tblFleet[[#This Row],[Down_h]])</f>
        <v/>
      </c>
      <c r="I2493" s="60">
        <f>IF(AND(tblFleet[[#This Row],[Units]]&lt;&gt;"",tblFleet[[#This Row],[Calendar_h]]&gt;0),tblFleet[[#This Row],[Available_h]]/tblFleet[[#This Row],[Calendar_h]],"")</f>
        <v/>
      </c>
      <c r="J2493" s="60">
        <f>IF(AND(tblFleet[[#This Row],[Units]]&lt;&gt;"",tblFleet[[#This Row],[Available_h]]&gt;0),tblFleet[[#This Row],[Operating_h]]/tblFleet[[#This Row],[Available_h]],"")</f>
        <v/>
      </c>
    </row>
    <row r="2494">
      <c r="A2494" s="54" t="n"/>
      <c r="B2494" s="61" t="n"/>
      <c r="C2494" s="62" t="n"/>
      <c r="D2494" s="57" t="n"/>
      <c r="E2494" s="57" t="n"/>
      <c r="F2494" s="58" t="n"/>
      <c r="G2494" s="66">
        <f>IF(tblFleet[[#This Row],[Units]]="","",tblFleet[[#This Row],[Units]]*24)</f>
        <v/>
      </c>
      <c r="H2494" s="66">
        <f>IF(tblFleet[[#This Row],[Units]]="","",tblFleet[[#This Row],[Calendar_h]]-tblFleet[[#This Row],[Down_h]])</f>
        <v/>
      </c>
      <c r="I2494" s="60">
        <f>IF(AND(tblFleet[[#This Row],[Units]]&lt;&gt;"",tblFleet[[#This Row],[Calendar_h]]&gt;0),tblFleet[[#This Row],[Available_h]]/tblFleet[[#This Row],[Calendar_h]],"")</f>
        <v/>
      </c>
      <c r="J2494" s="60">
        <f>IF(AND(tblFleet[[#This Row],[Units]]&lt;&gt;"",tblFleet[[#This Row],[Available_h]]&gt;0),tblFleet[[#This Row],[Operating_h]]/tblFleet[[#This Row],[Available_h]],"")</f>
        <v/>
      </c>
    </row>
    <row r="2495">
      <c r="A2495" s="54" t="n"/>
      <c r="B2495" s="61" t="n"/>
      <c r="C2495" s="62" t="n"/>
      <c r="D2495" s="57" t="n"/>
      <c r="E2495" s="57" t="n"/>
      <c r="F2495" s="58" t="n"/>
      <c r="G2495" s="66">
        <f>IF(tblFleet[[#This Row],[Units]]="","",tblFleet[[#This Row],[Units]]*24)</f>
        <v/>
      </c>
      <c r="H2495" s="66">
        <f>IF(tblFleet[[#This Row],[Units]]="","",tblFleet[[#This Row],[Calendar_h]]-tblFleet[[#This Row],[Down_h]])</f>
        <v/>
      </c>
      <c r="I2495" s="60">
        <f>IF(AND(tblFleet[[#This Row],[Units]]&lt;&gt;"",tblFleet[[#This Row],[Calendar_h]]&gt;0),tblFleet[[#This Row],[Available_h]]/tblFleet[[#This Row],[Calendar_h]],"")</f>
        <v/>
      </c>
      <c r="J2495" s="60">
        <f>IF(AND(tblFleet[[#This Row],[Units]]&lt;&gt;"",tblFleet[[#This Row],[Available_h]]&gt;0),tblFleet[[#This Row],[Operating_h]]/tblFleet[[#This Row],[Available_h]],"")</f>
        <v/>
      </c>
    </row>
    <row r="2496">
      <c r="A2496" s="54" t="n"/>
      <c r="B2496" s="61" t="n"/>
      <c r="C2496" s="62" t="n"/>
      <c r="D2496" s="57" t="n"/>
      <c r="E2496" s="57" t="n"/>
      <c r="F2496" s="58" t="n"/>
      <c r="G2496" s="66">
        <f>IF(tblFleet[[#This Row],[Units]]="","",tblFleet[[#This Row],[Units]]*24)</f>
        <v/>
      </c>
      <c r="H2496" s="66">
        <f>IF(tblFleet[[#This Row],[Units]]="","",tblFleet[[#This Row],[Calendar_h]]-tblFleet[[#This Row],[Down_h]])</f>
        <v/>
      </c>
      <c r="I2496" s="60">
        <f>IF(AND(tblFleet[[#This Row],[Units]]&lt;&gt;"",tblFleet[[#This Row],[Calendar_h]]&gt;0),tblFleet[[#This Row],[Available_h]]/tblFleet[[#This Row],[Calendar_h]],"")</f>
        <v/>
      </c>
      <c r="J2496" s="60">
        <f>IF(AND(tblFleet[[#This Row],[Units]]&lt;&gt;"",tblFleet[[#This Row],[Available_h]]&gt;0),tblFleet[[#This Row],[Operating_h]]/tblFleet[[#This Row],[Available_h]],"")</f>
        <v/>
      </c>
    </row>
    <row r="2497">
      <c r="A2497" s="54" t="n"/>
      <c r="B2497" s="61" t="n"/>
      <c r="C2497" s="62" t="n"/>
      <c r="D2497" s="57" t="n"/>
      <c r="E2497" s="57" t="n"/>
      <c r="F2497" s="58" t="n"/>
      <c r="G2497" s="66">
        <f>IF(tblFleet[[#This Row],[Units]]="","",tblFleet[[#This Row],[Units]]*24)</f>
        <v/>
      </c>
      <c r="H2497" s="66">
        <f>IF(tblFleet[[#This Row],[Units]]="","",tblFleet[[#This Row],[Calendar_h]]-tblFleet[[#This Row],[Down_h]])</f>
        <v/>
      </c>
      <c r="I2497" s="60">
        <f>IF(AND(tblFleet[[#This Row],[Units]]&lt;&gt;"",tblFleet[[#This Row],[Calendar_h]]&gt;0),tblFleet[[#This Row],[Available_h]]/tblFleet[[#This Row],[Calendar_h]],"")</f>
        <v/>
      </c>
      <c r="J2497" s="60">
        <f>IF(AND(tblFleet[[#This Row],[Units]]&lt;&gt;"",tblFleet[[#This Row],[Available_h]]&gt;0),tblFleet[[#This Row],[Operating_h]]/tblFleet[[#This Row],[Available_h]],"")</f>
        <v/>
      </c>
    </row>
    <row r="2498">
      <c r="A2498" s="54" t="n"/>
      <c r="B2498" s="61" t="n"/>
      <c r="C2498" s="62" t="n"/>
      <c r="D2498" s="57" t="n"/>
      <c r="E2498" s="57" t="n"/>
      <c r="F2498" s="58" t="n"/>
      <c r="G2498" s="66">
        <f>IF(tblFleet[[#This Row],[Units]]="","",tblFleet[[#This Row],[Units]]*24)</f>
        <v/>
      </c>
      <c r="H2498" s="66">
        <f>IF(tblFleet[[#This Row],[Units]]="","",tblFleet[[#This Row],[Calendar_h]]-tblFleet[[#This Row],[Down_h]])</f>
        <v/>
      </c>
      <c r="I2498" s="60">
        <f>IF(AND(tblFleet[[#This Row],[Units]]&lt;&gt;"",tblFleet[[#This Row],[Calendar_h]]&gt;0),tblFleet[[#This Row],[Available_h]]/tblFleet[[#This Row],[Calendar_h]],"")</f>
        <v/>
      </c>
      <c r="J2498" s="60">
        <f>IF(AND(tblFleet[[#This Row],[Units]]&lt;&gt;"",tblFleet[[#This Row],[Available_h]]&gt;0),tblFleet[[#This Row],[Operating_h]]/tblFleet[[#This Row],[Available_h]],"")</f>
        <v/>
      </c>
    </row>
    <row r="2499">
      <c r="A2499" s="54" t="n"/>
      <c r="B2499" s="61" t="n"/>
      <c r="C2499" s="62" t="n"/>
      <c r="D2499" s="57" t="n"/>
      <c r="E2499" s="57" t="n"/>
      <c r="F2499" s="58" t="n"/>
      <c r="G2499" s="66">
        <f>IF(tblFleet[[#This Row],[Units]]="","",tblFleet[[#This Row],[Units]]*24)</f>
        <v/>
      </c>
      <c r="H2499" s="66">
        <f>IF(tblFleet[[#This Row],[Units]]="","",tblFleet[[#This Row],[Calendar_h]]-tblFleet[[#This Row],[Down_h]])</f>
        <v/>
      </c>
      <c r="I2499" s="60">
        <f>IF(AND(tblFleet[[#This Row],[Units]]&lt;&gt;"",tblFleet[[#This Row],[Calendar_h]]&gt;0),tblFleet[[#This Row],[Available_h]]/tblFleet[[#This Row],[Calendar_h]],"")</f>
        <v/>
      </c>
      <c r="J2499" s="60">
        <f>IF(AND(tblFleet[[#This Row],[Units]]&lt;&gt;"",tblFleet[[#This Row],[Available_h]]&gt;0),tblFleet[[#This Row],[Operating_h]]/tblFleet[[#This Row],[Available_h]],"")</f>
        <v/>
      </c>
    </row>
    <row r="2500">
      <c r="A2500" s="54" t="n"/>
      <c r="B2500" s="61" t="n"/>
      <c r="C2500" s="62" t="n"/>
      <c r="D2500" s="57" t="n"/>
      <c r="E2500" s="57" t="n"/>
      <c r="F2500" s="58" t="n"/>
      <c r="G2500" s="66">
        <f>IF(tblFleet[[#This Row],[Units]]="","",tblFleet[[#This Row],[Units]]*24)</f>
        <v/>
      </c>
      <c r="H2500" s="66">
        <f>IF(tblFleet[[#This Row],[Units]]="","",tblFleet[[#This Row],[Calendar_h]]-tblFleet[[#This Row],[Down_h]])</f>
        <v/>
      </c>
      <c r="I2500" s="60">
        <f>IF(AND(tblFleet[[#This Row],[Units]]&lt;&gt;"",tblFleet[[#This Row],[Calendar_h]]&gt;0),tblFleet[[#This Row],[Available_h]]/tblFleet[[#This Row],[Calendar_h]],"")</f>
        <v/>
      </c>
      <c r="J2500" s="60">
        <f>IF(AND(tblFleet[[#This Row],[Units]]&lt;&gt;"",tblFleet[[#This Row],[Available_h]]&gt;0),tblFleet[[#This Row],[Operating_h]]/tblFleet[[#This Row],[Available_h]],"")</f>
        <v/>
      </c>
    </row>
    <row r="2501">
      <c r="A2501" s="54" t="n"/>
      <c r="B2501" s="61" t="n"/>
      <c r="C2501" s="62" t="n"/>
      <c r="D2501" s="57" t="n"/>
      <c r="E2501" s="57" t="n"/>
      <c r="F2501" s="58" t="n"/>
      <c r="G2501" s="66">
        <f>IF(tblFleet[[#This Row],[Units]]="","",tblFleet[[#This Row],[Units]]*24)</f>
        <v/>
      </c>
      <c r="H2501" s="66">
        <f>IF(tblFleet[[#This Row],[Units]]="","",tblFleet[[#This Row],[Calendar_h]]-tblFleet[[#This Row],[Down_h]])</f>
        <v/>
      </c>
      <c r="I2501" s="60">
        <f>IF(AND(tblFleet[[#This Row],[Units]]&lt;&gt;"",tblFleet[[#This Row],[Calendar_h]]&gt;0),tblFleet[[#This Row],[Available_h]]/tblFleet[[#This Row],[Calendar_h]],"")</f>
        <v/>
      </c>
      <c r="J2501" s="60">
        <f>IF(AND(tblFleet[[#This Row],[Units]]&lt;&gt;"",tblFleet[[#This Row],[Available_h]]&gt;0),tblFleet[[#This Row],[Operating_h]]/tblFleet[[#This Row],[Available_h]],"")</f>
        <v/>
      </c>
    </row>
    <row r="2502">
      <c r="A2502" s="54" t="n"/>
      <c r="B2502" s="61" t="n"/>
      <c r="C2502" s="62" t="n"/>
      <c r="D2502" s="57" t="n"/>
      <c r="E2502" s="57" t="n"/>
      <c r="F2502" s="58" t="n"/>
      <c r="G2502" s="66">
        <f>IF(tblFleet[[#This Row],[Units]]="","",tblFleet[[#This Row],[Units]]*24)</f>
        <v/>
      </c>
      <c r="H2502" s="66">
        <f>IF(tblFleet[[#This Row],[Units]]="","",tblFleet[[#This Row],[Calendar_h]]-tblFleet[[#This Row],[Down_h]])</f>
        <v/>
      </c>
      <c r="I2502" s="60">
        <f>IF(AND(tblFleet[[#This Row],[Units]]&lt;&gt;"",tblFleet[[#This Row],[Calendar_h]]&gt;0),tblFleet[[#This Row],[Available_h]]/tblFleet[[#This Row],[Calendar_h]],"")</f>
        <v/>
      </c>
      <c r="J2502" s="60">
        <f>IF(AND(tblFleet[[#This Row],[Units]]&lt;&gt;"",tblFleet[[#This Row],[Available_h]]&gt;0),tblFleet[[#This Row],[Operating_h]]/tblFleet[[#This Row],[Available_h]],"")</f>
        <v/>
      </c>
    </row>
    <row r="2503">
      <c r="A2503" s="54" t="n"/>
      <c r="B2503" s="61" t="n"/>
      <c r="C2503" s="62" t="n"/>
      <c r="D2503" s="57" t="n"/>
      <c r="E2503" s="57" t="n"/>
      <c r="F2503" s="58" t="n"/>
      <c r="G2503" s="66">
        <f>IF(tblFleet[[#This Row],[Units]]="","",tblFleet[[#This Row],[Units]]*24)</f>
        <v/>
      </c>
      <c r="H2503" s="66">
        <f>IF(tblFleet[[#This Row],[Units]]="","",tblFleet[[#This Row],[Calendar_h]]-tblFleet[[#This Row],[Down_h]])</f>
        <v/>
      </c>
      <c r="I2503" s="60">
        <f>IF(AND(tblFleet[[#This Row],[Units]]&lt;&gt;"",tblFleet[[#This Row],[Calendar_h]]&gt;0),tblFleet[[#This Row],[Available_h]]/tblFleet[[#This Row],[Calendar_h]],"")</f>
        <v/>
      </c>
      <c r="J2503" s="60">
        <f>IF(AND(tblFleet[[#This Row],[Units]]&lt;&gt;"",tblFleet[[#This Row],[Available_h]]&gt;0),tblFleet[[#This Row],[Operating_h]]/tblFleet[[#This Row],[Available_h]],"")</f>
        <v/>
      </c>
    </row>
    <row r="2504">
      <c r="A2504" s="54" t="n"/>
      <c r="B2504" s="61" t="n"/>
      <c r="C2504" s="62" t="n"/>
      <c r="D2504" s="57" t="n"/>
      <c r="E2504" s="57" t="n"/>
      <c r="F2504" s="58" t="n"/>
      <c r="G2504" s="66">
        <f>IF(tblFleet[[#This Row],[Units]]="","",tblFleet[[#This Row],[Units]]*24)</f>
        <v/>
      </c>
      <c r="H2504" s="66">
        <f>IF(tblFleet[[#This Row],[Units]]="","",tblFleet[[#This Row],[Calendar_h]]-tblFleet[[#This Row],[Down_h]])</f>
        <v/>
      </c>
      <c r="I2504" s="60">
        <f>IF(AND(tblFleet[[#This Row],[Units]]&lt;&gt;"",tblFleet[[#This Row],[Calendar_h]]&gt;0),tblFleet[[#This Row],[Available_h]]/tblFleet[[#This Row],[Calendar_h]],"")</f>
        <v/>
      </c>
      <c r="J2504" s="60">
        <f>IF(AND(tblFleet[[#This Row],[Units]]&lt;&gt;"",tblFleet[[#This Row],[Available_h]]&gt;0),tblFleet[[#This Row],[Operating_h]]/tblFleet[[#This Row],[Available_h]],"")</f>
        <v/>
      </c>
    </row>
    <row r="2505">
      <c r="A2505" s="54" t="n"/>
      <c r="B2505" s="61" t="n"/>
      <c r="C2505" s="62" t="n"/>
      <c r="D2505" s="57" t="n"/>
      <c r="E2505" s="57" t="n"/>
      <c r="F2505" s="58" t="n"/>
      <c r="G2505" s="66">
        <f>IF(tblFleet[[#This Row],[Units]]="","",tblFleet[[#This Row],[Units]]*24)</f>
        <v/>
      </c>
      <c r="H2505" s="66">
        <f>IF(tblFleet[[#This Row],[Units]]="","",tblFleet[[#This Row],[Calendar_h]]-tblFleet[[#This Row],[Down_h]])</f>
        <v/>
      </c>
      <c r="I2505" s="60">
        <f>IF(AND(tblFleet[[#This Row],[Units]]&lt;&gt;"",tblFleet[[#This Row],[Calendar_h]]&gt;0),tblFleet[[#This Row],[Available_h]]/tblFleet[[#This Row],[Calendar_h]],"")</f>
        <v/>
      </c>
      <c r="J2505" s="60">
        <f>IF(AND(tblFleet[[#This Row],[Units]]&lt;&gt;"",tblFleet[[#This Row],[Available_h]]&gt;0),tblFleet[[#This Row],[Operating_h]]/tblFleet[[#This Row],[Available_h]],"")</f>
        <v/>
      </c>
    </row>
    <row r="2506">
      <c r="A2506" s="54" t="n"/>
      <c r="B2506" s="61" t="n"/>
      <c r="C2506" s="62" t="n"/>
      <c r="D2506" s="57" t="n"/>
      <c r="E2506" s="57" t="n"/>
      <c r="F2506" s="58" t="n"/>
      <c r="G2506" s="66">
        <f>IF(tblFleet[[#This Row],[Units]]="","",tblFleet[[#This Row],[Units]]*24)</f>
        <v/>
      </c>
      <c r="H2506" s="66">
        <f>IF(tblFleet[[#This Row],[Units]]="","",tblFleet[[#This Row],[Calendar_h]]-tblFleet[[#This Row],[Down_h]])</f>
        <v/>
      </c>
      <c r="I2506" s="60">
        <f>IF(AND(tblFleet[[#This Row],[Units]]&lt;&gt;"",tblFleet[[#This Row],[Calendar_h]]&gt;0),tblFleet[[#This Row],[Available_h]]/tblFleet[[#This Row],[Calendar_h]],"")</f>
        <v/>
      </c>
      <c r="J2506" s="60">
        <f>IF(AND(tblFleet[[#This Row],[Units]]&lt;&gt;"",tblFleet[[#This Row],[Available_h]]&gt;0),tblFleet[[#This Row],[Operating_h]]/tblFleet[[#This Row],[Available_h]],"")</f>
        <v/>
      </c>
    </row>
    <row r="2507">
      <c r="A2507" s="54" t="n"/>
      <c r="B2507" s="61" t="n"/>
      <c r="C2507" s="62" t="n"/>
      <c r="D2507" s="57" t="n"/>
      <c r="E2507" s="57" t="n"/>
      <c r="F2507" s="58" t="n"/>
      <c r="G2507" s="66">
        <f>IF(tblFleet[[#This Row],[Units]]="","",tblFleet[[#This Row],[Units]]*24)</f>
        <v/>
      </c>
      <c r="H2507" s="66">
        <f>IF(tblFleet[[#This Row],[Units]]="","",tblFleet[[#This Row],[Calendar_h]]-tblFleet[[#This Row],[Down_h]])</f>
        <v/>
      </c>
      <c r="I2507" s="60">
        <f>IF(AND(tblFleet[[#This Row],[Units]]&lt;&gt;"",tblFleet[[#This Row],[Calendar_h]]&gt;0),tblFleet[[#This Row],[Available_h]]/tblFleet[[#This Row],[Calendar_h]],"")</f>
        <v/>
      </c>
      <c r="J2507" s="60">
        <f>IF(AND(tblFleet[[#This Row],[Units]]&lt;&gt;"",tblFleet[[#This Row],[Available_h]]&gt;0),tblFleet[[#This Row],[Operating_h]]/tblFleet[[#This Row],[Available_h]],"")</f>
        <v/>
      </c>
    </row>
    <row r="2508">
      <c r="A2508" s="54" t="n"/>
      <c r="B2508" s="61" t="n"/>
      <c r="C2508" s="62" t="n"/>
      <c r="D2508" s="57" t="n"/>
      <c r="E2508" s="57" t="n"/>
      <c r="F2508" s="58" t="n"/>
      <c r="G2508" s="66">
        <f>IF(tblFleet[[#This Row],[Units]]="","",tblFleet[[#This Row],[Units]]*24)</f>
        <v/>
      </c>
      <c r="H2508" s="66">
        <f>IF(tblFleet[[#This Row],[Units]]="","",tblFleet[[#This Row],[Calendar_h]]-tblFleet[[#This Row],[Down_h]])</f>
        <v/>
      </c>
      <c r="I2508" s="60">
        <f>IF(AND(tblFleet[[#This Row],[Units]]&lt;&gt;"",tblFleet[[#This Row],[Calendar_h]]&gt;0),tblFleet[[#This Row],[Available_h]]/tblFleet[[#This Row],[Calendar_h]],"")</f>
        <v/>
      </c>
      <c r="J2508" s="60">
        <f>IF(AND(tblFleet[[#This Row],[Units]]&lt;&gt;"",tblFleet[[#This Row],[Available_h]]&gt;0),tblFleet[[#This Row],[Operating_h]]/tblFleet[[#This Row],[Available_h]],"")</f>
        <v/>
      </c>
    </row>
    <row r="2509">
      <c r="A2509" s="54" t="n"/>
      <c r="B2509" s="61" t="n"/>
      <c r="C2509" s="62" t="n"/>
      <c r="D2509" s="57" t="n"/>
      <c r="E2509" s="57" t="n"/>
      <c r="F2509" s="58" t="n"/>
      <c r="G2509" s="66">
        <f>IF(tblFleet[[#This Row],[Units]]="","",tblFleet[[#This Row],[Units]]*24)</f>
        <v/>
      </c>
      <c r="H2509" s="66">
        <f>IF(tblFleet[[#This Row],[Units]]="","",tblFleet[[#This Row],[Calendar_h]]-tblFleet[[#This Row],[Down_h]])</f>
        <v/>
      </c>
      <c r="I2509" s="60">
        <f>IF(AND(tblFleet[[#This Row],[Units]]&lt;&gt;"",tblFleet[[#This Row],[Calendar_h]]&gt;0),tblFleet[[#This Row],[Available_h]]/tblFleet[[#This Row],[Calendar_h]],"")</f>
        <v/>
      </c>
      <c r="J2509" s="60">
        <f>IF(AND(tblFleet[[#This Row],[Units]]&lt;&gt;"",tblFleet[[#This Row],[Available_h]]&gt;0),tblFleet[[#This Row],[Operating_h]]/tblFleet[[#This Row],[Available_h]],"")</f>
        <v/>
      </c>
    </row>
    <row r="2510">
      <c r="A2510" s="54" t="n"/>
      <c r="B2510" s="61" t="n"/>
      <c r="C2510" s="62" t="n"/>
      <c r="D2510" s="57" t="n"/>
      <c r="E2510" s="57" t="n"/>
      <c r="F2510" s="58" t="n"/>
      <c r="G2510" s="66">
        <f>IF(tblFleet[[#This Row],[Units]]="","",tblFleet[[#This Row],[Units]]*24)</f>
        <v/>
      </c>
      <c r="H2510" s="66">
        <f>IF(tblFleet[[#This Row],[Units]]="","",tblFleet[[#This Row],[Calendar_h]]-tblFleet[[#This Row],[Down_h]])</f>
        <v/>
      </c>
      <c r="I2510" s="60">
        <f>IF(AND(tblFleet[[#This Row],[Units]]&lt;&gt;"",tblFleet[[#This Row],[Calendar_h]]&gt;0),tblFleet[[#This Row],[Available_h]]/tblFleet[[#This Row],[Calendar_h]],"")</f>
        <v/>
      </c>
      <c r="J2510" s="60">
        <f>IF(AND(tblFleet[[#This Row],[Units]]&lt;&gt;"",tblFleet[[#This Row],[Available_h]]&gt;0),tblFleet[[#This Row],[Operating_h]]/tblFleet[[#This Row],[Available_h]],"")</f>
        <v/>
      </c>
    </row>
    <row r="2511">
      <c r="A2511" s="54" t="n"/>
      <c r="B2511" s="61" t="n"/>
      <c r="C2511" s="62" t="n"/>
      <c r="D2511" s="57" t="n"/>
      <c r="E2511" s="57" t="n"/>
      <c r="F2511" s="58" t="n"/>
      <c r="G2511" s="66">
        <f>IF(tblFleet[[#This Row],[Units]]="","",tblFleet[[#This Row],[Units]]*24)</f>
        <v/>
      </c>
      <c r="H2511" s="66">
        <f>IF(tblFleet[[#This Row],[Units]]="","",tblFleet[[#This Row],[Calendar_h]]-tblFleet[[#This Row],[Down_h]])</f>
        <v/>
      </c>
      <c r="I2511" s="60">
        <f>IF(AND(tblFleet[[#This Row],[Units]]&lt;&gt;"",tblFleet[[#This Row],[Calendar_h]]&gt;0),tblFleet[[#This Row],[Available_h]]/tblFleet[[#This Row],[Calendar_h]],"")</f>
        <v/>
      </c>
      <c r="J2511" s="60">
        <f>IF(AND(tblFleet[[#This Row],[Units]]&lt;&gt;"",tblFleet[[#This Row],[Available_h]]&gt;0),tblFleet[[#This Row],[Operating_h]]/tblFleet[[#This Row],[Available_h]],"")</f>
        <v/>
      </c>
    </row>
    <row r="2512">
      <c r="A2512" s="54" t="n"/>
      <c r="B2512" s="61" t="n"/>
      <c r="C2512" s="62" t="n"/>
      <c r="D2512" s="57" t="n"/>
      <c r="E2512" s="57" t="n"/>
      <c r="F2512" s="58" t="n"/>
      <c r="G2512" s="66">
        <f>IF(tblFleet[[#This Row],[Units]]="","",tblFleet[[#This Row],[Units]]*24)</f>
        <v/>
      </c>
      <c r="H2512" s="66">
        <f>IF(tblFleet[[#This Row],[Units]]="","",tblFleet[[#This Row],[Calendar_h]]-tblFleet[[#This Row],[Down_h]])</f>
        <v/>
      </c>
      <c r="I2512" s="60">
        <f>IF(AND(tblFleet[[#This Row],[Units]]&lt;&gt;"",tblFleet[[#This Row],[Calendar_h]]&gt;0),tblFleet[[#This Row],[Available_h]]/tblFleet[[#This Row],[Calendar_h]],"")</f>
        <v/>
      </c>
      <c r="J2512" s="60">
        <f>IF(AND(tblFleet[[#This Row],[Units]]&lt;&gt;"",tblFleet[[#This Row],[Available_h]]&gt;0),tblFleet[[#This Row],[Operating_h]]/tblFleet[[#This Row],[Available_h]],"")</f>
        <v/>
      </c>
    </row>
    <row r="2513">
      <c r="A2513" s="54" t="n"/>
      <c r="B2513" s="61" t="n"/>
      <c r="C2513" s="62" t="n"/>
      <c r="D2513" s="57" t="n"/>
      <c r="E2513" s="57" t="n"/>
      <c r="F2513" s="58" t="n"/>
      <c r="G2513" s="66">
        <f>IF(tblFleet[[#This Row],[Units]]="","",tblFleet[[#This Row],[Units]]*24)</f>
        <v/>
      </c>
      <c r="H2513" s="66">
        <f>IF(tblFleet[[#This Row],[Units]]="","",tblFleet[[#This Row],[Calendar_h]]-tblFleet[[#This Row],[Down_h]])</f>
        <v/>
      </c>
      <c r="I2513" s="60">
        <f>IF(AND(tblFleet[[#This Row],[Units]]&lt;&gt;"",tblFleet[[#This Row],[Calendar_h]]&gt;0),tblFleet[[#This Row],[Available_h]]/tblFleet[[#This Row],[Calendar_h]],"")</f>
        <v/>
      </c>
      <c r="J2513" s="60">
        <f>IF(AND(tblFleet[[#This Row],[Units]]&lt;&gt;"",tblFleet[[#This Row],[Available_h]]&gt;0),tblFleet[[#This Row],[Operating_h]]/tblFleet[[#This Row],[Available_h]],"")</f>
        <v/>
      </c>
    </row>
    <row r="2514">
      <c r="A2514" s="54" t="n"/>
      <c r="B2514" s="61" t="n"/>
      <c r="C2514" s="62" t="n"/>
      <c r="D2514" s="57" t="n"/>
      <c r="E2514" s="57" t="n"/>
      <c r="F2514" s="58" t="n"/>
      <c r="G2514" s="66">
        <f>IF(tblFleet[[#This Row],[Units]]="","",tblFleet[[#This Row],[Units]]*24)</f>
        <v/>
      </c>
      <c r="H2514" s="66">
        <f>IF(tblFleet[[#This Row],[Units]]="","",tblFleet[[#This Row],[Calendar_h]]-tblFleet[[#This Row],[Down_h]])</f>
        <v/>
      </c>
      <c r="I2514" s="60">
        <f>IF(AND(tblFleet[[#This Row],[Units]]&lt;&gt;"",tblFleet[[#This Row],[Calendar_h]]&gt;0),tblFleet[[#This Row],[Available_h]]/tblFleet[[#This Row],[Calendar_h]],"")</f>
        <v/>
      </c>
      <c r="J2514" s="60">
        <f>IF(AND(tblFleet[[#This Row],[Units]]&lt;&gt;"",tblFleet[[#This Row],[Available_h]]&gt;0),tblFleet[[#This Row],[Operating_h]]/tblFleet[[#This Row],[Available_h]],"")</f>
        <v/>
      </c>
    </row>
    <row r="2515">
      <c r="A2515" s="54" t="n"/>
      <c r="B2515" s="61" t="n"/>
      <c r="C2515" s="62" t="n"/>
      <c r="D2515" s="57" t="n"/>
      <c r="E2515" s="57" t="n"/>
      <c r="F2515" s="58" t="n"/>
      <c r="G2515" s="66">
        <f>IF(tblFleet[[#This Row],[Units]]="","",tblFleet[[#This Row],[Units]]*24)</f>
        <v/>
      </c>
      <c r="H2515" s="66">
        <f>IF(tblFleet[[#This Row],[Units]]="","",tblFleet[[#This Row],[Calendar_h]]-tblFleet[[#This Row],[Down_h]])</f>
        <v/>
      </c>
      <c r="I2515" s="60">
        <f>IF(AND(tblFleet[[#This Row],[Units]]&lt;&gt;"",tblFleet[[#This Row],[Calendar_h]]&gt;0),tblFleet[[#This Row],[Available_h]]/tblFleet[[#This Row],[Calendar_h]],"")</f>
        <v/>
      </c>
      <c r="J2515" s="60">
        <f>IF(AND(tblFleet[[#This Row],[Units]]&lt;&gt;"",tblFleet[[#This Row],[Available_h]]&gt;0),tblFleet[[#This Row],[Operating_h]]/tblFleet[[#This Row],[Available_h]],"")</f>
        <v/>
      </c>
    </row>
    <row r="2516">
      <c r="A2516" s="54" t="n"/>
      <c r="B2516" s="61" t="n"/>
      <c r="C2516" s="62" t="n"/>
      <c r="D2516" s="57" t="n"/>
      <c r="E2516" s="57" t="n"/>
      <c r="F2516" s="58" t="n"/>
      <c r="G2516" s="66">
        <f>IF(tblFleet[[#This Row],[Units]]="","",tblFleet[[#This Row],[Units]]*24)</f>
        <v/>
      </c>
      <c r="H2516" s="66">
        <f>IF(tblFleet[[#This Row],[Units]]="","",tblFleet[[#This Row],[Calendar_h]]-tblFleet[[#This Row],[Down_h]])</f>
        <v/>
      </c>
      <c r="I2516" s="60">
        <f>IF(AND(tblFleet[[#This Row],[Units]]&lt;&gt;"",tblFleet[[#This Row],[Calendar_h]]&gt;0),tblFleet[[#This Row],[Available_h]]/tblFleet[[#This Row],[Calendar_h]],"")</f>
        <v/>
      </c>
      <c r="J2516" s="60">
        <f>IF(AND(tblFleet[[#This Row],[Units]]&lt;&gt;"",tblFleet[[#This Row],[Available_h]]&gt;0),tblFleet[[#This Row],[Operating_h]]/tblFleet[[#This Row],[Available_h]],"")</f>
        <v/>
      </c>
    </row>
    <row r="2517">
      <c r="A2517" s="54" t="n"/>
      <c r="B2517" s="61" t="n"/>
      <c r="C2517" s="62" t="n"/>
      <c r="D2517" s="57" t="n"/>
      <c r="E2517" s="57" t="n"/>
      <c r="F2517" s="58" t="n"/>
      <c r="G2517" s="66">
        <f>IF(tblFleet[[#This Row],[Units]]="","",tblFleet[[#This Row],[Units]]*24)</f>
        <v/>
      </c>
      <c r="H2517" s="66">
        <f>IF(tblFleet[[#This Row],[Units]]="","",tblFleet[[#This Row],[Calendar_h]]-tblFleet[[#This Row],[Down_h]])</f>
        <v/>
      </c>
      <c r="I2517" s="60">
        <f>IF(AND(tblFleet[[#This Row],[Units]]&lt;&gt;"",tblFleet[[#This Row],[Calendar_h]]&gt;0),tblFleet[[#This Row],[Available_h]]/tblFleet[[#This Row],[Calendar_h]],"")</f>
        <v/>
      </c>
      <c r="J2517" s="60">
        <f>IF(AND(tblFleet[[#This Row],[Units]]&lt;&gt;"",tblFleet[[#This Row],[Available_h]]&gt;0),tblFleet[[#This Row],[Operating_h]]/tblFleet[[#This Row],[Available_h]],"")</f>
        <v/>
      </c>
    </row>
    <row r="2518">
      <c r="A2518" s="54" t="n"/>
      <c r="B2518" s="61" t="n"/>
      <c r="C2518" s="62" t="n"/>
      <c r="D2518" s="57" t="n"/>
      <c r="E2518" s="57" t="n"/>
      <c r="F2518" s="58" t="n"/>
      <c r="G2518" s="66">
        <f>IF(tblFleet[[#This Row],[Units]]="","",tblFleet[[#This Row],[Units]]*24)</f>
        <v/>
      </c>
      <c r="H2518" s="66">
        <f>IF(tblFleet[[#This Row],[Units]]="","",tblFleet[[#This Row],[Calendar_h]]-tblFleet[[#This Row],[Down_h]])</f>
        <v/>
      </c>
      <c r="I2518" s="60">
        <f>IF(AND(tblFleet[[#This Row],[Units]]&lt;&gt;"",tblFleet[[#This Row],[Calendar_h]]&gt;0),tblFleet[[#This Row],[Available_h]]/tblFleet[[#This Row],[Calendar_h]],"")</f>
        <v/>
      </c>
      <c r="J2518" s="60">
        <f>IF(AND(tblFleet[[#This Row],[Units]]&lt;&gt;"",tblFleet[[#This Row],[Available_h]]&gt;0),tblFleet[[#This Row],[Operating_h]]/tblFleet[[#This Row],[Available_h]],"")</f>
        <v/>
      </c>
    </row>
    <row r="2519">
      <c r="A2519" s="54" t="n"/>
      <c r="B2519" s="61" t="n"/>
      <c r="C2519" s="62" t="n"/>
      <c r="D2519" s="57" t="n"/>
      <c r="E2519" s="57" t="n"/>
      <c r="F2519" s="58" t="n"/>
      <c r="G2519" s="66">
        <f>IF(tblFleet[[#This Row],[Units]]="","",tblFleet[[#This Row],[Units]]*24)</f>
        <v/>
      </c>
      <c r="H2519" s="66">
        <f>IF(tblFleet[[#This Row],[Units]]="","",tblFleet[[#This Row],[Calendar_h]]-tblFleet[[#This Row],[Down_h]])</f>
        <v/>
      </c>
      <c r="I2519" s="60">
        <f>IF(AND(tblFleet[[#This Row],[Units]]&lt;&gt;"",tblFleet[[#This Row],[Calendar_h]]&gt;0),tblFleet[[#This Row],[Available_h]]/tblFleet[[#This Row],[Calendar_h]],"")</f>
        <v/>
      </c>
      <c r="J2519" s="60">
        <f>IF(AND(tblFleet[[#This Row],[Units]]&lt;&gt;"",tblFleet[[#This Row],[Available_h]]&gt;0),tblFleet[[#This Row],[Operating_h]]/tblFleet[[#This Row],[Available_h]],"")</f>
        <v/>
      </c>
    </row>
    <row r="2520">
      <c r="A2520" s="54" t="n"/>
      <c r="B2520" s="61" t="n"/>
      <c r="C2520" s="62" t="n"/>
      <c r="D2520" s="57" t="n"/>
      <c r="E2520" s="57" t="n"/>
      <c r="F2520" s="58" t="n"/>
      <c r="G2520" s="66">
        <f>IF(tblFleet[[#This Row],[Units]]="","",tblFleet[[#This Row],[Units]]*24)</f>
        <v/>
      </c>
      <c r="H2520" s="66">
        <f>IF(tblFleet[[#This Row],[Units]]="","",tblFleet[[#This Row],[Calendar_h]]-tblFleet[[#This Row],[Down_h]])</f>
        <v/>
      </c>
      <c r="I2520" s="60">
        <f>IF(AND(tblFleet[[#This Row],[Units]]&lt;&gt;"",tblFleet[[#This Row],[Calendar_h]]&gt;0),tblFleet[[#This Row],[Available_h]]/tblFleet[[#This Row],[Calendar_h]],"")</f>
        <v/>
      </c>
      <c r="J2520" s="60">
        <f>IF(AND(tblFleet[[#This Row],[Units]]&lt;&gt;"",tblFleet[[#This Row],[Available_h]]&gt;0),tblFleet[[#This Row],[Operating_h]]/tblFleet[[#This Row],[Available_h]],"")</f>
        <v/>
      </c>
    </row>
    <row r="2521">
      <c r="A2521" s="54" t="n"/>
      <c r="B2521" s="61" t="n"/>
      <c r="C2521" s="62" t="n"/>
      <c r="D2521" s="57" t="n"/>
      <c r="E2521" s="57" t="n"/>
      <c r="F2521" s="58" t="n"/>
      <c r="G2521" s="66">
        <f>IF(tblFleet[[#This Row],[Units]]="","",tblFleet[[#This Row],[Units]]*24)</f>
        <v/>
      </c>
      <c r="H2521" s="66">
        <f>IF(tblFleet[[#This Row],[Units]]="","",tblFleet[[#This Row],[Calendar_h]]-tblFleet[[#This Row],[Down_h]])</f>
        <v/>
      </c>
      <c r="I2521" s="60">
        <f>IF(AND(tblFleet[[#This Row],[Units]]&lt;&gt;"",tblFleet[[#This Row],[Calendar_h]]&gt;0),tblFleet[[#This Row],[Available_h]]/tblFleet[[#This Row],[Calendar_h]],"")</f>
        <v/>
      </c>
      <c r="J2521" s="60">
        <f>IF(AND(tblFleet[[#This Row],[Units]]&lt;&gt;"",tblFleet[[#This Row],[Available_h]]&gt;0),tblFleet[[#This Row],[Operating_h]]/tblFleet[[#This Row],[Available_h]],"")</f>
        <v/>
      </c>
    </row>
    <row r="2522">
      <c r="A2522" s="54" t="n"/>
      <c r="B2522" s="61" t="n"/>
      <c r="C2522" s="62" t="n"/>
      <c r="D2522" s="57" t="n"/>
      <c r="E2522" s="57" t="n"/>
      <c r="F2522" s="58" t="n"/>
      <c r="G2522" s="66">
        <f>IF(tblFleet[[#This Row],[Units]]="","",tblFleet[[#This Row],[Units]]*24)</f>
        <v/>
      </c>
      <c r="H2522" s="66">
        <f>IF(tblFleet[[#This Row],[Units]]="","",tblFleet[[#This Row],[Calendar_h]]-tblFleet[[#This Row],[Down_h]])</f>
        <v/>
      </c>
      <c r="I2522" s="60">
        <f>IF(AND(tblFleet[[#This Row],[Units]]&lt;&gt;"",tblFleet[[#This Row],[Calendar_h]]&gt;0),tblFleet[[#This Row],[Available_h]]/tblFleet[[#This Row],[Calendar_h]],"")</f>
        <v/>
      </c>
      <c r="J2522" s="60">
        <f>IF(AND(tblFleet[[#This Row],[Units]]&lt;&gt;"",tblFleet[[#This Row],[Available_h]]&gt;0),tblFleet[[#This Row],[Operating_h]]/tblFleet[[#This Row],[Available_h]],"")</f>
        <v/>
      </c>
    </row>
    <row r="2523">
      <c r="A2523" s="54" t="n"/>
      <c r="B2523" s="61" t="n"/>
      <c r="C2523" s="62" t="n"/>
      <c r="D2523" s="57" t="n"/>
      <c r="E2523" s="57" t="n"/>
      <c r="F2523" s="58" t="n"/>
      <c r="G2523" s="66">
        <f>IF(tblFleet[[#This Row],[Units]]="","",tblFleet[[#This Row],[Units]]*24)</f>
        <v/>
      </c>
      <c r="H2523" s="66">
        <f>IF(tblFleet[[#This Row],[Units]]="","",tblFleet[[#This Row],[Calendar_h]]-tblFleet[[#This Row],[Down_h]])</f>
        <v/>
      </c>
      <c r="I2523" s="60">
        <f>IF(AND(tblFleet[[#This Row],[Units]]&lt;&gt;"",tblFleet[[#This Row],[Calendar_h]]&gt;0),tblFleet[[#This Row],[Available_h]]/tblFleet[[#This Row],[Calendar_h]],"")</f>
        <v/>
      </c>
      <c r="J2523" s="60">
        <f>IF(AND(tblFleet[[#This Row],[Units]]&lt;&gt;"",tblFleet[[#This Row],[Available_h]]&gt;0),tblFleet[[#This Row],[Operating_h]]/tblFleet[[#This Row],[Available_h]],"")</f>
        <v/>
      </c>
    </row>
    <row r="2524">
      <c r="A2524" s="54" t="n"/>
      <c r="B2524" s="61" t="n"/>
      <c r="C2524" s="62" t="n"/>
      <c r="D2524" s="57" t="n"/>
      <c r="E2524" s="57" t="n"/>
      <c r="F2524" s="58" t="n"/>
      <c r="G2524" s="66">
        <f>IF(tblFleet[[#This Row],[Units]]="","",tblFleet[[#This Row],[Units]]*24)</f>
        <v/>
      </c>
      <c r="H2524" s="66">
        <f>IF(tblFleet[[#This Row],[Units]]="","",tblFleet[[#This Row],[Calendar_h]]-tblFleet[[#This Row],[Down_h]])</f>
        <v/>
      </c>
      <c r="I2524" s="60">
        <f>IF(AND(tblFleet[[#This Row],[Units]]&lt;&gt;"",tblFleet[[#This Row],[Calendar_h]]&gt;0),tblFleet[[#This Row],[Available_h]]/tblFleet[[#This Row],[Calendar_h]],"")</f>
        <v/>
      </c>
      <c r="J2524" s="60">
        <f>IF(AND(tblFleet[[#This Row],[Units]]&lt;&gt;"",tblFleet[[#This Row],[Available_h]]&gt;0),tblFleet[[#This Row],[Operating_h]]/tblFleet[[#This Row],[Available_h]],"")</f>
        <v/>
      </c>
    </row>
    <row r="2525">
      <c r="A2525" s="54" t="n"/>
      <c r="B2525" s="61" t="n"/>
      <c r="C2525" s="62" t="n"/>
      <c r="D2525" s="57" t="n"/>
      <c r="E2525" s="57" t="n"/>
      <c r="F2525" s="58" t="n"/>
      <c r="G2525" s="66">
        <f>IF(tblFleet[[#This Row],[Units]]="","",tblFleet[[#This Row],[Units]]*24)</f>
        <v/>
      </c>
      <c r="H2525" s="66">
        <f>IF(tblFleet[[#This Row],[Units]]="","",tblFleet[[#This Row],[Calendar_h]]-tblFleet[[#This Row],[Down_h]])</f>
        <v/>
      </c>
      <c r="I2525" s="60">
        <f>IF(AND(tblFleet[[#This Row],[Units]]&lt;&gt;"",tblFleet[[#This Row],[Calendar_h]]&gt;0),tblFleet[[#This Row],[Available_h]]/tblFleet[[#This Row],[Calendar_h]],"")</f>
        <v/>
      </c>
      <c r="J2525" s="60">
        <f>IF(AND(tblFleet[[#This Row],[Units]]&lt;&gt;"",tblFleet[[#This Row],[Available_h]]&gt;0),tblFleet[[#This Row],[Operating_h]]/tblFleet[[#This Row],[Available_h]],"")</f>
        <v/>
      </c>
    </row>
    <row r="2526">
      <c r="A2526" s="54" t="n"/>
      <c r="B2526" s="61" t="n"/>
      <c r="C2526" s="62" t="n"/>
      <c r="D2526" s="57" t="n"/>
      <c r="E2526" s="57" t="n"/>
      <c r="F2526" s="58" t="n"/>
      <c r="G2526" s="66">
        <f>IF(tblFleet[[#This Row],[Units]]="","",tblFleet[[#This Row],[Units]]*24)</f>
        <v/>
      </c>
      <c r="H2526" s="66">
        <f>IF(tblFleet[[#This Row],[Units]]="","",tblFleet[[#This Row],[Calendar_h]]-tblFleet[[#This Row],[Down_h]])</f>
        <v/>
      </c>
      <c r="I2526" s="60">
        <f>IF(AND(tblFleet[[#This Row],[Units]]&lt;&gt;"",tblFleet[[#This Row],[Calendar_h]]&gt;0),tblFleet[[#This Row],[Available_h]]/tblFleet[[#This Row],[Calendar_h]],"")</f>
        <v/>
      </c>
      <c r="J2526" s="60">
        <f>IF(AND(tblFleet[[#This Row],[Units]]&lt;&gt;"",tblFleet[[#This Row],[Available_h]]&gt;0),tblFleet[[#This Row],[Operating_h]]/tblFleet[[#This Row],[Available_h]],"")</f>
        <v/>
      </c>
    </row>
    <row r="2527">
      <c r="A2527" s="54" t="n"/>
      <c r="B2527" s="61" t="n"/>
      <c r="C2527" s="62" t="n"/>
      <c r="D2527" s="57" t="n"/>
      <c r="E2527" s="57" t="n"/>
      <c r="F2527" s="58" t="n"/>
      <c r="G2527" s="66">
        <f>IF(tblFleet[[#This Row],[Units]]="","",tblFleet[[#This Row],[Units]]*24)</f>
        <v/>
      </c>
      <c r="H2527" s="66">
        <f>IF(tblFleet[[#This Row],[Units]]="","",tblFleet[[#This Row],[Calendar_h]]-tblFleet[[#This Row],[Down_h]])</f>
        <v/>
      </c>
      <c r="I2527" s="60">
        <f>IF(AND(tblFleet[[#This Row],[Units]]&lt;&gt;"",tblFleet[[#This Row],[Calendar_h]]&gt;0),tblFleet[[#This Row],[Available_h]]/tblFleet[[#This Row],[Calendar_h]],"")</f>
        <v/>
      </c>
      <c r="J2527" s="60">
        <f>IF(AND(tblFleet[[#This Row],[Units]]&lt;&gt;"",tblFleet[[#This Row],[Available_h]]&gt;0),tblFleet[[#This Row],[Operating_h]]/tblFleet[[#This Row],[Available_h]],"")</f>
        <v/>
      </c>
    </row>
    <row r="2528">
      <c r="A2528" s="54" t="n"/>
      <c r="B2528" s="61" t="n"/>
      <c r="C2528" s="62" t="n"/>
      <c r="D2528" s="57" t="n"/>
      <c r="E2528" s="57" t="n"/>
      <c r="F2528" s="58" t="n"/>
      <c r="G2528" s="66">
        <f>IF(tblFleet[[#This Row],[Units]]="","",tblFleet[[#This Row],[Units]]*24)</f>
        <v/>
      </c>
      <c r="H2528" s="66">
        <f>IF(tblFleet[[#This Row],[Units]]="","",tblFleet[[#This Row],[Calendar_h]]-tblFleet[[#This Row],[Down_h]])</f>
        <v/>
      </c>
      <c r="I2528" s="60">
        <f>IF(AND(tblFleet[[#This Row],[Units]]&lt;&gt;"",tblFleet[[#This Row],[Calendar_h]]&gt;0),tblFleet[[#This Row],[Available_h]]/tblFleet[[#This Row],[Calendar_h]],"")</f>
        <v/>
      </c>
      <c r="J2528" s="60">
        <f>IF(AND(tblFleet[[#This Row],[Units]]&lt;&gt;"",tblFleet[[#This Row],[Available_h]]&gt;0),tblFleet[[#This Row],[Operating_h]]/tblFleet[[#This Row],[Available_h]],"")</f>
        <v/>
      </c>
    </row>
    <row r="2529">
      <c r="A2529" s="54" t="n"/>
      <c r="B2529" s="61" t="n"/>
      <c r="C2529" s="62" t="n"/>
      <c r="D2529" s="57" t="n"/>
      <c r="E2529" s="57" t="n"/>
      <c r="F2529" s="58" t="n"/>
      <c r="G2529" s="66">
        <f>IF(tblFleet[[#This Row],[Units]]="","",tblFleet[[#This Row],[Units]]*24)</f>
        <v/>
      </c>
      <c r="H2529" s="66">
        <f>IF(tblFleet[[#This Row],[Units]]="","",tblFleet[[#This Row],[Calendar_h]]-tblFleet[[#This Row],[Down_h]])</f>
        <v/>
      </c>
      <c r="I2529" s="60">
        <f>IF(AND(tblFleet[[#This Row],[Units]]&lt;&gt;"",tblFleet[[#This Row],[Calendar_h]]&gt;0),tblFleet[[#This Row],[Available_h]]/tblFleet[[#This Row],[Calendar_h]],"")</f>
        <v/>
      </c>
      <c r="J2529" s="60">
        <f>IF(AND(tblFleet[[#This Row],[Units]]&lt;&gt;"",tblFleet[[#This Row],[Available_h]]&gt;0),tblFleet[[#This Row],[Operating_h]]/tblFleet[[#This Row],[Available_h]],"")</f>
        <v/>
      </c>
    </row>
    <row r="2530">
      <c r="A2530" s="54" t="n"/>
      <c r="B2530" s="61" t="n"/>
      <c r="C2530" s="62" t="n"/>
      <c r="D2530" s="57" t="n"/>
      <c r="E2530" s="57" t="n"/>
      <c r="F2530" s="58" t="n"/>
      <c r="G2530" s="66">
        <f>IF(tblFleet[[#This Row],[Units]]="","",tblFleet[[#This Row],[Units]]*24)</f>
        <v/>
      </c>
      <c r="H2530" s="66">
        <f>IF(tblFleet[[#This Row],[Units]]="","",tblFleet[[#This Row],[Calendar_h]]-tblFleet[[#This Row],[Down_h]])</f>
        <v/>
      </c>
      <c r="I2530" s="60">
        <f>IF(AND(tblFleet[[#This Row],[Units]]&lt;&gt;"",tblFleet[[#This Row],[Calendar_h]]&gt;0),tblFleet[[#This Row],[Available_h]]/tblFleet[[#This Row],[Calendar_h]],"")</f>
        <v/>
      </c>
      <c r="J2530" s="60">
        <f>IF(AND(tblFleet[[#This Row],[Units]]&lt;&gt;"",tblFleet[[#This Row],[Available_h]]&gt;0),tblFleet[[#This Row],[Operating_h]]/tblFleet[[#This Row],[Available_h]],"")</f>
        <v/>
      </c>
    </row>
    <row r="2531">
      <c r="A2531" s="54" t="n"/>
      <c r="B2531" s="61" t="n"/>
      <c r="C2531" s="62" t="n"/>
      <c r="D2531" s="57" t="n"/>
      <c r="E2531" s="57" t="n"/>
      <c r="F2531" s="58" t="n"/>
      <c r="G2531" s="66">
        <f>IF(tblFleet[[#This Row],[Units]]="","",tblFleet[[#This Row],[Units]]*24)</f>
        <v/>
      </c>
      <c r="H2531" s="66">
        <f>IF(tblFleet[[#This Row],[Units]]="","",tblFleet[[#This Row],[Calendar_h]]-tblFleet[[#This Row],[Down_h]])</f>
        <v/>
      </c>
      <c r="I2531" s="60">
        <f>IF(AND(tblFleet[[#This Row],[Units]]&lt;&gt;"",tblFleet[[#This Row],[Calendar_h]]&gt;0),tblFleet[[#This Row],[Available_h]]/tblFleet[[#This Row],[Calendar_h]],"")</f>
        <v/>
      </c>
      <c r="J2531" s="60">
        <f>IF(AND(tblFleet[[#This Row],[Units]]&lt;&gt;"",tblFleet[[#This Row],[Available_h]]&gt;0),tblFleet[[#This Row],[Operating_h]]/tblFleet[[#This Row],[Available_h]],"")</f>
        <v/>
      </c>
    </row>
    <row r="2532">
      <c r="A2532" s="54" t="n"/>
      <c r="B2532" s="61" t="n"/>
      <c r="C2532" s="62" t="n"/>
      <c r="D2532" s="57" t="n"/>
      <c r="E2532" s="57" t="n"/>
      <c r="F2532" s="58" t="n"/>
      <c r="G2532" s="66">
        <f>IF(tblFleet[[#This Row],[Units]]="","",tblFleet[[#This Row],[Units]]*24)</f>
        <v/>
      </c>
      <c r="H2532" s="66">
        <f>IF(tblFleet[[#This Row],[Units]]="","",tblFleet[[#This Row],[Calendar_h]]-tblFleet[[#This Row],[Down_h]])</f>
        <v/>
      </c>
      <c r="I2532" s="60">
        <f>IF(AND(tblFleet[[#This Row],[Units]]&lt;&gt;"",tblFleet[[#This Row],[Calendar_h]]&gt;0),tblFleet[[#This Row],[Available_h]]/tblFleet[[#This Row],[Calendar_h]],"")</f>
        <v/>
      </c>
      <c r="J2532" s="60">
        <f>IF(AND(tblFleet[[#This Row],[Units]]&lt;&gt;"",tblFleet[[#This Row],[Available_h]]&gt;0),tblFleet[[#This Row],[Operating_h]]/tblFleet[[#This Row],[Available_h]],"")</f>
        <v/>
      </c>
    </row>
    <row r="2533">
      <c r="A2533" s="54" t="n"/>
      <c r="B2533" s="61" t="n"/>
      <c r="C2533" s="62" t="n"/>
      <c r="D2533" s="57" t="n"/>
      <c r="E2533" s="57" t="n"/>
      <c r="F2533" s="58" t="n"/>
      <c r="G2533" s="66">
        <f>IF(tblFleet[[#This Row],[Units]]="","",tblFleet[[#This Row],[Units]]*24)</f>
        <v/>
      </c>
      <c r="H2533" s="66">
        <f>IF(tblFleet[[#This Row],[Units]]="","",tblFleet[[#This Row],[Calendar_h]]-tblFleet[[#This Row],[Down_h]])</f>
        <v/>
      </c>
      <c r="I2533" s="60">
        <f>IF(AND(tblFleet[[#This Row],[Units]]&lt;&gt;"",tblFleet[[#This Row],[Calendar_h]]&gt;0),tblFleet[[#This Row],[Available_h]]/tblFleet[[#This Row],[Calendar_h]],"")</f>
        <v/>
      </c>
      <c r="J2533" s="60">
        <f>IF(AND(tblFleet[[#This Row],[Units]]&lt;&gt;"",tblFleet[[#This Row],[Available_h]]&gt;0),tblFleet[[#This Row],[Operating_h]]/tblFleet[[#This Row],[Available_h]],"")</f>
        <v/>
      </c>
    </row>
    <row r="2534">
      <c r="A2534" s="54" t="n"/>
      <c r="B2534" s="61" t="n"/>
      <c r="C2534" s="62" t="n"/>
      <c r="D2534" s="57" t="n"/>
      <c r="E2534" s="57" t="n"/>
      <c r="F2534" s="58" t="n"/>
      <c r="G2534" s="66">
        <f>IF(tblFleet[[#This Row],[Units]]="","",tblFleet[[#This Row],[Units]]*24)</f>
        <v/>
      </c>
      <c r="H2534" s="66">
        <f>IF(tblFleet[[#This Row],[Units]]="","",tblFleet[[#This Row],[Calendar_h]]-tblFleet[[#This Row],[Down_h]])</f>
        <v/>
      </c>
      <c r="I2534" s="60">
        <f>IF(AND(tblFleet[[#This Row],[Units]]&lt;&gt;"",tblFleet[[#This Row],[Calendar_h]]&gt;0),tblFleet[[#This Row],[Available_h]]/tblFleet[[#This Row],[Calendar_h]],"")</f>
        <v/>
      </c>
      <c r="J2534" s="60">
        <f>IF(AND(tblFleet[[#This Row],[Units]]&lt;&gt;"",tblFleet[[#This Row],[Available_h]]&gt;0),tblFleet[[#This Row],[Operating_h]]/tblFleet[[#This Row],[Available_h]],"")</f>
        <v/>
      </c>
    </row>
    <row r="2535">
      <c r="A2535" s="54" t="n"/>
      <c r="B2535" s="61" t="n"/>
      <c r="C2535" s="62" t="n"/>
      <c r="D2535" s="57" t="n"/>
      <c r="E2535" s="57" t="n"/>
      <c r="F2535" s="58" t="n"/>
      <c r="G2535" s="66">
        <f>IF(tblFleet[[#This Row],[Units]]="","",tblFleet[[#This Row],[Units]]*24)</f>
        <v/>
      </c>
      <c r="H2535" s="66">
        <f>IF(tblFleet[[#This Row],[Units]]="","",tblFleet[[#This Row],[Calendar_h]]-tblFleet[[#This Row],[Down_h]])</f>
        <v/>
      </c>
      <c r="I2535" s="60">
        <f>IF(AND(tblFleet[[#This Row],[Units]]&lt;&gt;"",tblFleet[[#This Row],[Calendar_h]]&gt;0),tblFleet[[#This Row],[Available_h]]/tblFleet[[#This Row],[Calendar_h]],"")</f>
        <v/>
      </c>
      <c r="J2535" s="60">
        <f>IF(AND(tblFleet[[#This Row],[Units]]&lt;&gt;"",tblFleet[[#This Row],[Available_h]]&gt;0),tblFleet[[#This Row],[Operating_h]]/tblFleet[[#This Row],[Available_h]],"")</f>
        <v/>
      </c>
    </row>
    <row r="2536">
      <c r="A2536" s="54" t="n"/>
      <c r="B2536" s="61" t="n"/>
      <c r="C2536" s="62" t="n"/>
      <c r="D2536" s="57" t="n"/>
      <c r="E2536" s="57" t="n"/>
      <c r="F2536" s="58" t="n"/>
      <c r="G2536" s="66">
        <f>IF(tblFleet[[#This Row],[Units]]="","",tblFleet[[#This Row],[Units]]*24)</f>
        <v/>
      </c>
      <c r="H2536" s="66">
        <f>IF(tblFleet[[#This Row],[Units]]="","",tblFleet[[#This Row],[Calendar_h]]-tblFleet[[#This Row],[Down_h]])</f>
        <v/>
      </c>
      <c r="I2536" s="60">
        <f>IF(AND(tblFleet[[#This Row],[Units]]&lt;&gt;"",tblFleet[[#This Row],[Calendar_h]]&gt;0),tblFleet[[#This Row],[Available_h]]/tblFleet[[#This Row],[Calendar_h]],"")</f>
        <v/>
      </c>
      <c r="J2536" s="60">
        <f>IF(AND(tblFleet[[#This Row],[Units]]&lt;&gt;"",tblFleet[[#This Row],[Available_h]]&gt;0),tblFleet[[#This Row],[Operating_h]]/tblFleet[[#This Row],[Available_h]],"")</f>
        <v/>
      </c>
    </row>
    <row r="2537">
      <c r="A2537" s="54" t="n"/>
      <c r="B2537" s="61" t="n"/>
      <c r="C2537" s="62" t="n"/>
      <c r="D2537" s="57" t="n"/>
      <c r="E2537" s="57" t="n"/>
      <c r="F2537" s="58" t="n"/>
      <c r="G2537" s="66">
        <f>IF(tblFleet[[#This Row],[Units]]="","",tblFleet[[#This Row],[Units]]*24)</f>
        <v/>
      </c>
      <c r="H2537" s="66">
        <f>IF(tblFleet[[#This Row],[Units]]="","",tblFleet[[#This Row],[Calendar_h]]-tblFleet[[#This Row],[Down_h]])</f>
        <v/>
      </c>
      <c r="I2537" s="60">
        <f>IF(AND(tblFleet[[#This Row],[Units]]&lt;&gt;"",tblFleet[[#This Row],[Calendar_h]]&gt;0),tblFleet[[#This Row],[Available_h]]/tblFleet[[#This Row],[Calendar_h]],"")</f>
        <v/>
      </c>
      <c r="J2537" s="60">
        <f>IF(AND(tblFleet[[#This Row],[Units]]&lt;&gt;"",tblFleet[[#This Row],[Available_h]]&gt;0),tblFleet[[#This Row],[Operating_h]]/tblFleet[[#This Row],[Available_h]],"")</f>
        <v/>
      </c>
    </row>
    <row r="2538">
      <c r="A2538" s="54" t="n"/>
      <c r="B2538" s="61" t="n"/>
      <c r="C2538" s="62" t="n"/>
      <c r="D2538" s="57" t="n"/>
      <c r="E2538" s="57" t="n"/>
      <c r="F2538" s="58" t="n"/>
      <c r="G2538" s="66">
        <f>IF(tblFleet[[#This Row],[Units]]="","",tblFleet[[#This Row],[Units]]*24)</f>
        <v/>
      </c>
      <c r="H2538" s="66">
        <f>IF(tblFleet[[#This Row],[Units]]="","",tblFleet[[#This Row],[Calendar_h]]-tblFleet[[#This Row],[Down_h]])</f>
        <v/>
      </c>
      <c r="I2538" s="60">
        <f>IF(AND(tblFleet[[#This Row],[Units]]&lt;&gt;"",tblFleet[[#This Row],[Calendar_h]]&gt;0),tblFleet[[#This Row],[Available_h]]/tblFleet[[#This Row],[Calendar_h]],"")</f>
        <v/>
      </c>
      <c r="J2538" s="60">
        <f>IF(AND(tblFleet[[#This Row],[Units]]&lt;&gt;"",tblFleet[[#This Row],[Available_h]]&gt;0),tblFleet[[#This Row],[Operating_h]]/tblFleet[[#This Row],[Available_h]],"")</f>
        <v/>
      </c>
    </row>
    <row r="2539">
      <c r="A2539" s="54" t="n"/>
      <c r="B2539" s="61" t="n"/>
      <c r="C2539" s="62" t="n"/>
      <c r="D2539" s="57" t="n"/>
      <c r="E2539" s="57" t="n"/>
      <c r="F2539" s="58" t="n"/>
      <c r="G2539" s="66">
        <f>IF(tblFleet[[#This Row],[Units]]="","",tblFleet[[#This Row],[Units]]*24)</f>
        <v/>
      </c>
      <c r="H2539" s="66">
        <f>IF(tblFleet[[#This Row],[Units]]="","",tblFleet[[#This Row],[Calendar_h]]-tblFleet[[#This Row],[Down_h]])</f>
        <v/>
      </c>
      <c r="I2539" s="60">
        <f>IF(AND(tblFleet[[#This Row],[Units]]&lt;&gt;"",tblFleet[[#This Row],[Calendar_h]]&gt;0),tblFleet[[#This Row],[Available_h]]/tblFleet[[#This Row],[Calendar_h]],"")</f>
        <v/>
      </c>
      <c r="J2539" s="60">
        <f>IF(AND(tblFleet[[#This Row],[Units]]&lt;&gt;"",tblFleet[[#This Row],[Available_h]]&gt;0),tblFleet[[#This Row],[Operating_h]]/tblFleet[[#This Row],[Available_h]],"")</f>
        <v/>
      </c>
    </row>
    <row r="2540">
      <c r="A2540" s="54" t="n"/>
      <c r="B2540" s="61" t="n"/>
      <c r="C2540" s="62" t="n"/>
      <c r="D2540" s="57" t="n"/>
      <c r="E2540" s="57" t="n"/>
      <c r="F2540" s="58" t="n"/>
      <c r="G2540" s="66">
        <f>IF(tblFleet[[#This Row],[Units]]="","",tblFleet[[#This Row],[Units]]*24)</f>
        <v/>
      </c>
      <c r="H2540" s="66">
        <f>IF(tblFleet[[#This Row],[Units]]="","",tblFleet[[#This Row],[Calendar_h]]-tblFleet[[#This Row],[Down_h]])</f>
        <v/>
      </c>
      <c r="I2540" s="60">
        <f>IF(AND(tblFleet[[#This Row],[Units]]&lt;&gt;"",tblFleet[[#This Row],[Calendar_h]]&gt;0),tblFleet[[#This Row],[Available_h]]/tblFleet[[#This Row],[Calendar_h]],"")</f>
        <v/>
      </c>
      <c r="J2540" s="60">
        <f>IF(AND(tblFleet[[#This Row],[Units]]&lt;&gt;"",tblFleet[[#This Row],[Available_h]]&gt;0),tblFleet[[#This Row],[Operating_h]]/tblFleet[[#This Row],[Available_h]],"")</f>
        <v/>
      </c>
    </row>
    <row r="2541">
      <c r="A2541" s="54" t="n"/>
      <c r="B2541" s="61" t="n"/>
      <c r="C2541" s="62" t="n"/>
      <c r="D2541" s="57" t="n"/>
      <c r="E2541" s="57" t="n"/>
      <c r="F2541" s="58" t="n"/>
      <c r="G2541" s="66">
        <f>IF(tblFleet[[#This Row],[Units]]="","",tblFleet[[#This Row],[Units]]*24)</f>
        <v/>
      </c>
      <c r="H2541" s="66">
        <f>IF(tblFleet[[#This Row],[Units]]="","",tblFleet[[#This Row],[Calendar_h]]-tblFleet[[#This Row],[Down_h]])</f>
        <v/>
      </c>
      <c r="I2541" s="60">
        <f>IF(AND(tblFleet[[#This Row],[Units]]&lt;&gt;"",tblFleet[[#This Row],[Calendar_h]]&gt;0),tblFleet[[#This Row],[Available_h]]/tblFleet[[#This Row],[Calendar_h]],"")</f>
        <v/>
      </c>
      <c r="J2541" s="60">
        <f>IF(AND(tblFleet[[#This Row],[Units]]&lt;&gt;"",tblFleet[[#This Row],[Available_h]]&gt;0),tblFleet[[#This Row],[Operating_h]]/tblFleet[[#This Row],[Available_h]],"")</f>
        <v/>
      </c>
    </row>
    <row r="2542">
      <c r="A2542" s="54" t="n"/>
      <c r="B2542" s="61" t="n"/>
      <c r="C2542" s="62" t="n"/>
      <c r="D2542" s="57" t="n"/>
      <c r="E2542" s="57" t="n"/>
      <c r="F2542" s="58" t="n"/>
      <c r="G2542" s="66">
        <f>IF(tblFleet[[#This Row],[Units]]="","",tblFleet[[#This Row],[Units]]*24)</f>
        <v/>
      </c>
      <c r="H2542" s="66">
        <f>IF(tblFleet[[#This Row],[Units]]="","",tblFleet[[#This Row],[Calendar_h]]-tblFleet[[#This Row],[Down_h]])</f>
        <v/>
      </c>
      <c r="I2542" s="60">
        <f>IF(AND(tblFleet[[#This Row],[Units]]&lt;&gt;"",tblFleet[[#This Row],[Calendar_h]]&gt;0),tblFleet[[#This Row],[Available_h]]/tblFleet[[#This Row],[Calendar_h]],"")</f>
        <v/>
      </c>
      <c r="J2542" s="60">
        <f>IF(AND(tblFleet[[#This Row],[Units]]&lt;&gt;"",tblFleet[[#This Row],[Available_h]]&gt;0),tblFleet[[#This Row],[Operating_h]]/tblFleet[[#This Row],[Available_h]],"")</f>
        <v/>
      </c>
    </row>
    <row r="2543">
      <c r="A2543" s="54" t="n"/>
      <c r="B2543" s="61" t="n"/>
      <c r="C2543" s="62" t="n"/>
      <c r="D2543" s="57" t="n"/>
      <c r="E2543" s="57" t="n"/>
      <c r="F2543" s="58" t="n"/>
      <c r="G2543" s="66">
        <f>IF(tblFleet[[#This Row],[Units]]="","",tblFleet[[#This Row],[Units]]*24)</f>
        <v/>
      </c>
      <c r="H2543" s="66">
        <f>IF(tblFleet[[#This Row],[Units]]="","",tblFleet[[#This Row],[Calendar_h]]-tblFleet[[#This Row],[Down_h]])</f>
        <v/>
      </c>
      <c r="I2543" s="60">
        <f>IF(AND(tblFleet[[#This Row],[Units]]&lt;&gt;"",tblFleet[[#This Row],[Calendar_h]]&gt;0),tblFleet[[#This Row],[Available_h]]/tblFleet[[#This Row],[Calendar_h]],"")</f>
        <v/>
      </c>
      <c r="J2543" s="60">
        <f>IF(AND(tblFleet[[#This Row],[Units]]&lt;&gt;"",tblFleet[[#This Row],[Available_h]]&gt;0),tblFleet[[#This Row],[Operating_h]]/tblFleet[[#This Row],[Available_h]],"")</f>
        <v/>
      </c>
    </row>
    <row r="2544">
      <c r="A2544" s="54" t="n"/>
      <c r="B2544" s="61" t="n"/>
      <c r="C2544" s="62" t="n"/>
      <c r="D2544" s="57" t="n"/>
      <c r="E2544" s="57" t="n"/>
      <c r="F2544" s="58" t="n"/>
      <c r="G2544" s="66">
        <f>IF(tblFleet[[#This Row],[Units]]="","",tblFleet[[#This Row],[Units]]*24)</f>
        <v/>
      </c>
      <c r="H2544" s="66">
        <f>IF(tblFleet[[#This Row],[Units]]="","",tblFleet[[#This Row],[Calendar_h]]-tblFleet[[#This Row],[Down_h]])</f>
        <v/>
      </c>
      <c r="I2544" s="60">
        <f>IF(AND(tblFleet[[#This Row],[Units]]&lt;&gt;"",tblFleet[[#This Row],[Calendar_h]]&gt;0),tblFleet[[#This Row],[Available_h]]/tblFleet[[#This Row],[Calendar_h]],"")</f>
        <v/>
      </c>
      <c r="J2544" s="60">
        <f>IF(AND(tblFleet[[#This Row],[Units]]&lt;&gt;"",tblFleet[[#This Row],[Available_h]]&gt;0),tblFleet[[#This Row],[Operating_h]]/tblFleet[[#This Row],[Available_h]],"")</f>
        <v/>
      </c>
    </row>
    <row r="2545">
      <c r="A2545" s="54" t="n"/>
      <c r="B2545" s="61" t="n"/>
      <c r="C2545" s="62" t="n"/>
      <c r="D2545" s="57" t="n"/>
      <c r="E2545" s="57" t="n"/>
      <c r="F2545" s="58" t="n"/>
      <c r="G2545" s="66">
        <f>IF(tblFleet[[#This Row],[Units]]="","",tblFleet[[#This Row],[Units]]*24)</f>
        <v/>
      </c>
      <c r="H2545" s="66">
        <f>IF(tblFleet[[#This Row],[Units]]="","",tblFleet[[#This Row],[Calendar_h]]-tblFleet[[#This Row],[Down_h]])</f>
        <v/>
      </c>
      <c r="I2545" s="60">
        <f>IF(AND(tblFleet[[#This Row],[Units]]&lt;&gt;"",tblFleet[[#This Row],[Calendar_h]]&gt;0),tblFleet[[#This Row],[Available_h]]/tblFleet[[#This Row],[Calendar_h]],"")</f>
        <v/>
      </c>
      <c r="J2545" s="60">
        <f>IF(AND(tblFleet[[#This Row],[Units]]&lt;&gt;"",tblFleet[[#This Row],[Available_h]]&gt;0),tblFleet[[#This Row],[Operating_h]]/tblFleet[[#This Row],[Available_h]],"")</f>
        <v/>
      </c>
    </row>
    <row r="2546">
      <c r="A2546" s="54" t="n"/>
      <c r="B2546" s="61" t="n"/>
      <c r="C2546" s="62" t="n"/>
      <c r="D2546" s="57" t="n"/>
      <c r="E2546" s="57" t="n"/>
      <c r="F2546" s="58" t="n"/>
      <c r="G2546" s="66">
        <f>IF(tblFleet[[#This Row],[Units]]="","",tblFleet[[#This Row],[Units]]*24)</f>
        <v/>
      </c>
      <c r="H2546" s="66">
        <f>IF(tblFleet[[#This Row],[Units]]="","",tblFleet[[#This Row],[Calendar_h]]-tblFleet[[#This Row],[Down_h]])</f>
        <v/>
      </c>
      <c r="I2546" s="60">
        <f>IF(AND(tblFleet[[#This Row],[Units]]&lt;&gt;"",tblFleet[[#This Row],[Calendar_h]]&gt;0),tblFleet[[#This Row],[Available_h]]/tblFleet[[#This Row],[Calendar_h]],"")</f>
        <v/>
      </c>
      <c r="J2546" s="60">
        <f>IF(AND(tblFleet[[#This Row],[Units]]&lt;&gt;"",tblFleet[[#This Row],[Available_h]]&gt;0),tblFleet[[#This Row],[Operating_h]]/tblFleet[[#This Row],[Available_h]],"")</f>
        <v/>
      </c>
    </row>
    <row r="2547">
      <c r="A2547" s="54" t="n"/>
      <c r="B2547" s="61" t="n"/>
      <c r="C2547" s="62" t="n"/>
      <c r="D2547" s="57" t="n"/>
      <c r="E2547" s="57" t="n"/>
      <c r="F2547" s="58" t="n"/>
      <c r="G2547" s="66">
        <f>IF(tblFleet[[#This Row],[Units]]="","",tblFleet[[#This Row],[Units]]*24)</f>
        <v/>
      </c>
      <c r="H2547" s="66">
        <f>IF(tblFleet[[#This Row],[Units]]="","",tblFleet[[#This Row],[Calendar_h]]-tblFleet[[#This Row],[Down_h]])</f>
        <v/>
      </c>
      <c r="I2547" s="60">
        <f>IF(AND(tblFleet[[#This Row],[Units]]&lt;&gt;"",tblFleet[[#This Row],[Calendar_h]]&gt;0),tblFleet[[#This Row],[Available_h]]/tblFleet[[#This Row],[Calendar_h]],"")</f>
        <v/>
      </c>
      <c r="J2547" s="60">
        <f>IF(AND(tblFleet[[#This Row],[Units]]&lt;&gt;"",tblFleet[[#This Row],[Available_h]]&gt;0),tblFleet[[#This Row],[Operating_h]]/tblFleet[[#This Row],[Available_h]],"")</f>
        <v/>
      </c>
    </row>
    <row r="2548">
      <c r="A2548" s="54" t="n"/>
      <c r="B2548" s="61" t="n"/>
      <c r="C2548" s="62" t="n"/>
      <c r="D2548" s="57" t="n"/>
      <c r="E2548" s="57" t="n"/>
      <c r="F2548" s="58" t="n"/>
      <c r="G2548" s="66">
        <f>IF(tblFleet[[#This Row],[Units]]="","",tblFleet[[#This Row],[Units]]*24)</f>
        <v/>
      </c>
      <c r="H2548" s="66">
        <f>IF(tblFleet[[#This Row],[Units]]="","",tblFleet[[#This Row],[Calendar_h]]-tblFleet[[#This Row],[Down_h]])</f>
        <v/>
      </c>
      <c r="I2548" s="60">
        <f>IF(AND(tblFleet[[#This Row],[Units]]&lt;&gt;"",tblFleet[[#This Row],[Calendar_h]]&gt;0),tblFleet[[#This Row],[Available_h]]/tblFleet[[#This Row],[Calendar_h]],"")</f>
        <v/>
      </c>
      <c r="J2548" s="60">
        <f>IF(AND(tblFleet[[#This Row],[Units]]&lt;&gt;"",tblFleet[[#This Row],[Available_h]]&gt;0),tblFleet[[#This Row],[Operating_h]]/tblFleet[[#This Row],[Available_h]],"")</f>
        <v/>
      </c>
    </row>
    <row r="2549">
      <c r="A2549" s="54" t="n"/>
      <c r="B2549" s="61" t="n"/>
      <c r="C2549" s="62" t="n"/>
      <c r="D2549" s="57" t="n"/>
      <c r="E2549" s="57" t="n"/>
      <c r="F2549" s="58" t="n"/>
      <c r="G2549" s="66">
        <f>IF(tblFleet[[#This Row],[Units]]="","",tblFleet[[#This Row],[Units]]*24)</f>
        <v/>
      </c>
      <c r="H2549" s="66">
        <f>IF(tblFleet[[#This Row],[Units]]="","",tblFleet[[#This Row],[Calendar_h]]-tblFleet[[#This Row],[Down_h]])</f>
        <v/>
      </c>
      <c r="I2549" s="60">
        <f>IF(AND(tblFleet[[#This Row],[Units]]&lt;&gt;"",tblFleet[[#This Row],[Calendar_h]]&gt;0),tblFleet[[#This Row],[Available_h]]/tblFleet[[#This Row],[Calendar_h]],"")</f>
        <v/>
      </c>
      <c r="J2549" s="60">
        <f>IF(AND(tblFleet[[#This Row],[Units]]&lt;&gt;"",tblFleet[[#This Row],[Available_h]]&gt;0),tblFleet[[#This Row],[Operating_h]]/tblFleet[[#This Row],[Available_h]],"")</f>
        <v/>
      </c>
    </row>
    <row r="2550">
      <c r="A2550" s="54" t="n"/>
      <c r="B2550" s="61" t="n"/>
      <c r="C2550" s="62" t="n"/>
      <c r="D2550" s="57" t="n"/>
      <c r="E2550" s="57" t="n"/>
      <c r="F2550" s="58" t="n"/>
      <c r="G2550" s="66">
        <f>IF(tblFleet[[#This Row],[Units]]="","",tblFleet[[#This Row],[Units]]*24)</f>
        <v/>
      </c>
      <c r="H2550" s="66">
        <f>IF(tblFleet[[#This Row],[Units]]="","",tblFleet[[#This Row],[Calendar_h]]-tblFleet[[#This Row],[Down_h]])</f>
        <v/>
      </c>
      <c r="I2550" s="60">
        <f>IF(AND(tblFleet[[#This Row],[Units]]&lt;&gt;"",tblFleet[[#This Row],[Calendar_h]]&gt;0),tblFleet[[#This Row],[Available_h]]/tblFleet[[#This Row],[Calendar_h]],"")</f>
        <v/>
      </c>
      <c r="J2550" s="60">
        <f>IF(AND(tblFleet[[#This Row],[Units]]&lt;&gt;"",tblFleet[[#This Row],[Available_h]]&gt;0),tblFleet[[#This Row],[Operating_h]]/tblFleet[[#This Row],[Available_h]],"")</f>
        <v/>
      </c>
    </row>
    <row r="2551">
      <c r="A2551" s="54" t="n"/>
      <c r="B2551" s="61" t="n"/>
      <c r="C2551" s="62" t="n"/>
      <c r="D2551" s="57" t="n"/>
      <c r="E2551" s="57" t="n"/>
      <c r="F2551" s="58" t="n"/>
      <c r="G2551" s="66">
        <f>IF(tblFleet[[#This Row],[Units]]="","",tblFleet[[#This Row],[Units]]*24)</f>
        <v/>
      </c>
      <c r="H2551" s="66">
        <f>IF(tblFleet[[#This Row],[Units]]="","",tblFleet[[#This Row],[Calendar_h]]-tblFleet[[#This Row],[Down_h]])</f>
        <v/>
      </c>
      <c r="I2551" s="60">
        <f>IF(AND(tblFleet[[#This Row],[Units]]&lt;&gt;"",tblFleet[[#This Row],[Calendar_h]]&gt;0),tblFleet[[#This Row],[Available_h]]/tblFleet[[#This Row],[Calendar_h]],"")</f>
        <v/>
      </c>
      <c r="J2551" s="60">
        <f>IF(AND(tblFleet[[#This Row],[Units]]&lt;&gt;"",tblFleet[[#This Row],[Available_h]]&gt;0),tblFleet[[#This Row],[Operating_h]]/tblFleet[[#This Row],[Available_h]],"")</f>
        <v/>
      </c>
    </row>
    <row r="2552">
      <c r="A2552" s="54" t="n"/>
      <c r="B2552" s="61" t="n"/>
      <c r="C2552" s="62" t="n"/>
      <c r="D2552" s="57" t="n"/>
      <c r="E2552" s="57" t="n"/>
      <c r="F2552" s="58" t="n"/>
      <c r="G2552" s="66">
        <f>IF(tblFleet[[#This Row],[Units]]="","",tblFleet[[#This Row],[Units]]*24)</f>
        <v/>
      </c>
      <c r="H2552" s="66">
        <f>IF(tblFleet[[#This Row],[Units]]="","",tblFleet[[#This Row],[Calendar_h]]-tblFleet[[#This Row],[Down_h]])</f>
        <v/>
      </c>
      <c r="I2552" s="60">
        <f>IF(AND(tblFleet[[#This Row],[Units]]&lt;&gt;"",tblFleet[[#This Row],[Calendar_h]]&gt;0),tblFleet[[#This Row],[Available_h]]/tblFleet[[#This Row],[Calendar_h]],"")</f>
        <v/>
      </c>
      <c r="J2552" s="60">
        <f>IF(AND(tblFleet[[#This Row],[Units]]&lt;&gt;"",tblFleet[[#This Row],[Available_h]]&gt;0),tblFleet[[#This Row],[Operating_h]]/tblFleet[[#This Row],[Available_h]],"")</f>
        <v/>
      </c>
    </row>
    <row r="2553">
      <c r="A2553" s="54" t="n"/>
      <c r="B2553" s="61" t="n"/>
      <c r="C2553" s="62" t="n"/>
      <c r="D2553" s="57" t="n"/>
      <c r="E2553" s="57" t="n"/>
      <c r="F2553" s="58" t="n"/>
      <c r="G2553" s="66">
        <f>IF(tblFleet[[#This Row],[Units]]="","",tblFleet[[#This Row],[Units]]*24)</f>
        <v/>
      </c>
      <c r="H2553" s="66">
        <f>IF(tblFleet[[#This Row],[Units]]="","",tblFleet[[#This Row],[Calendar_h]]-tblFleet[[#This Row],[Down_h]])</f>
        <v/>
      </c>
      <c r="I2553" s="60">
        <f>IF(AND(tblFleet[[#This Row],[Units]]&lt;&gt;"",tblFleet[[#This Row],[Calendar_h]]&gt;0),tblFleet[[#This Row],[Available_h]]/tblFleet[[#This Row],[Calendar_h]],"")</f>
        <v/>
      </c>
      <c r="J2553" s="60">
        <f>IF(AND(tblFleet[[#This Row],[Units]]&lt;&gt;"",tblFleet[[#This Row],[Available_h]]&gt;0),tblFleet[[#This Row],[Operating_h]]/tblFleet[[#This Row],[Available_h]],"")</f>
        <v/>
      </c>
    </row>
    <row r="2554">
      <c r="A2554" s="54" t="n"/>
      <c r="B2554" s="61" t="n"/>
      <c r="C2554" s="62" t="n"/>
      <c r="D2554" s="57" t="n"/>
      <c r="E2554" s="57" t="n"/>
      <c r="F2554" s="58" t="n"/>
      <c r="G2554" s="66">
        <f>IF(tblFleet[[#This Row],[Units]]="","",tblFleet[[#This Row],[Units]]*24)</f>
        <v/>
      </c>
      <c r="H2554" s="66">
        <f>IF(tblFleet[[#This Row],[Units]]="","",tblFleet[[#This Row],[Calendar_h]]-tblFleet[[#This Row],[Down_h]])</f>
        <v/>
      </c>
      <c r="I2554" s="60">
        <f>IF(AND(tblFleet[[#This Row],[Units]]&lt;&gt;"",tblFleet[[#This Row],[Calendar_h]]&gt;0),tblFleet[[#This Row],[Available_h]]/tblFleet[[#This Row],[Calendar_h]],"")</f>
        <v/>
      </c>
      <c r="J2554" s="60">
        <f>IF(AND(tblFleet[[#This Row],[Units]]&lt;&gt;"",tblFleet[[#This Row],[Available_h]]&gt;0),tblFleet[[#This Row],[Operating_h]]/tblFleet[[#This Row],[Available_h]],"")</f>
        <v/>
      </c>
    </row>
    <row r="2555">
      <c r="A2555" s="54" t="n"/>
      <c r="B2555" s="61" t="n"/>
      <c r="C2555" s="62" t="n"/>
      <c r="D2555" s="57" t="n"/>
      <c r="E2555" s="57" t="n"/>
      <c r="F2555" s="58" t="n"/>
      <c r="G2555" s="66">
        <f>IF(tblFleet[[#This Row],[Units]]="","",tblFleet[[#This Row],[Units]]*24)</f>
        <v/>
      </c>
      <c r="H2555" s="66">
        <f>IF(tblFleet[[#This Row],[Units]]="","",tblFleet[[#This Row],[Calendar_h]]-tblFleet[[#This Row],[Down_h]])</f>
        <v/>
      </c>
      <c r="I2555" s="60">
        <f>IF(AND(tblFleet[[#This Row],[Units]]&lt;&gt;"",tblFleet[[#This Row],[Calendar_h]]&gt;0),tblFleet[[#This Row],[Available_h]]/tblFleet[[#This Row],[Calendar_h]],"")</f>
        <v/>
      </c>
      <c r="J2555" s="60">
        <f>IF(AND(tblFleet[[#This Row],[Units]]&lt;&gt;"",tblFleet[[#This Row],[Available_h]]&gt;0),tblFleet[[#This Row],[Operating_h]]/tblFleet[[#This Row],[Available_h]],"")</f>
        <v/>
      </c>
    </row>
    <row r="2556">
      <c r="A2556" s="54" t="n"/>
      <c r="B2556" s="61" t="n"/>
      <c r="C2556" s="62" t="n"/>
      <c r="D2556" s="57" t="n"/>
      <c r="E2556" s="57" t="n"/>
      <c r="F2556" s="58" t="n"/>
      <c r="G2556" s="66">
        <f>IF(tblFleet[[#This Row],[Units]]="","",tblFleet[[#This Row],[Units]]*24)</f>
        <v/>
      </c>
      <c r="H2556" s="66">
        <f>IF(tblFleet[[#This Row],[Units]]="","",tblFleet[[#This Row],[Calendar_h]]-tblFleet[[#This Row],[Down_h]])</f>
        <v/>
      </c>
      <c r="I2556" s="60">
        <f>IF(AND(tblFleet[[#This Row],[Units]]&lt;&gt;"",tblFleet[[#This Row],[Calendar_h]]&gt;0),tblFleet[[#This Row],[Available_h]]/tblFleet[[#This Row],[Calendar_h]],"")</f>
        <v/>
      </c>
      <c r="J2556" s="60">
        <f>IF(AND(tblFleet[[#This Row],[Units]]&lt;&gt;"",tblFleet[[#This Row],[Available_h]]&gt;0),tblFleet[[#This Row],[Operating_h]]/tblFleet[[#This Row],[Available_h]],"")</f>
        <v/>
      </c>
    </row>
    <row r="2557">
      <c r="A2557" s="54" t="n"/>
      <c r="B2557" s="61" t="n"/>
      <c r="C2557" s="62" t="n"/>
      <c r="D2557" s="57" t="n"/>
      <c r="E2557" s="57" t="n"/>
      <c r="F2557" s="58" t="n"/>
      <c r="G2557" s="66">
        <f>IF(tblFleet[[#This Row],[Units]]="","",tblFleet[[#This Row],[Units]]*24)</f>
        <v/>
      </c>
      <c r="H2557" s="66">
        <f>IF(tblFleet[[#This Row],[Units]]="","",tblFleet[[#This Row],[Calendar_h]]-tblFleet[[#This Row],[Down_h]])</f>
        <v/>
      </c>
      <c r="I2557" s="60">
        <f>IF(AND(tblFleet[[#This Row],[Units]]&lt;&gt;"",tblFleet[[#This Row],[Calendar_h]]&gt;0),tblFleet[[#This Row],[Available_h]]/tblFleet[[#This Row],[Calendar_h]],"")</f>
        <v/>
      </c>
      <c r="J2557" s="60">
        <f>IF(AND(tblFleet[[#This Row],[Units]]&lt;&gt;"",tblFleet[[#This Row],[Available_h]]&gt;0),tblFleet[[#This Row],[Operating_h]]/tblFleet[[#This Row],[Available_h]],"")</f>
        <v/>
      </c>
    </row>
    <row r="2558">
      <c r="A2558" s="54" t="n"/>
      <c r="B2558" s="61" t="n"/>
      <c r="C2558" s="62" t="n"/>
      <c r="D2558" s="57" t="n"/>
      <c r="E2558" s="57" t="n"/>
      <c r="F2558" s="58" t="n"/>
      <c r="G2558" s="66">
        <f>IF(tblFleet[[#This Row],[Units]]="","",tblFleet[[#This Row],[Units]]*24)</f>
        <v/>
      </c>
      <c r="H2558" s="66">
        <f>IF(tblFleet[[#This Row],[Units]]="","",tblFleet[[#This Row],[Calendar_h]]-tblFleet[[#This Row],[Down_h]])</f>
        <v/>
      </c>
      <c r="I2558" s="60">
        <f>IF(AND(tblFleet[[#This Row],[Units]]&lt;&gt;"",tblFleet[[#This Row],[Calendar_h]]&gt;0),tblFleet[[#This Row],[Available_h]]/tblFleet[[#This Row],[Calendar_h]],"")</f>
        <v/>
      </c>
      <c r="J2558" s="60">
        <f>IF(AND(tblFleet[[#This Row],[Units]]&lt;&gt;"",tblFleet[[#This Row],[Available_h]]&gt;0),tblFleet[[#This Row],[Operating_h]]/tblFleet[[#This Row],[Available_h]],"")</f>
        <v/>
      </c>
    </row>
    <row r="2559">
      <c r="A2559" s="54" t="n"/>
      <c r="B2559" s="61" t="n"/>
      <c r="C2559" s="62" t="n"/>
      <c r="D2559" s="57" t="n"/>
      <c r="E2559" s="57" t="n"/>
      <c r="F2559" s="58" t="n"/>
      <c r="G2559" s="66">
        <f>IF(tblFleet[[#This Row],[Units]]="","",tblFleet[[#This Row],[Units]]*24)</f>
        <v/>
      </c>
      <c r="H2559" s="66">
        <f>IF(tblFleet[[#This Row],[Units]]="","",tblFleet[[#This Row],[Calendar_h]]-tblFleet[[#This Row],[Down_h]])</f>
        <v/>
      </c>
      <c r="I2559" s="60">
        <f>IF(AND(tblFleet[[#This Row],[Units]]&lt;&gt;"",tblFleet[[#This Row],[Calendar_h]]&gt;0),tblFleet[[#This Row],[Available_h]]/tblFleet[[#This Row],[Calendar_h]],"")</f>
        <v/>
      </c>
      <c r="J2559" s="60">
        <f>IF(AND(tblFleet[[#This Row],[Units]]&lt;&gt;"",tblFleet[[#This Row],[Available_h]]&gt;0),tblFleet[[#This Row],[Operating_h]]/tblFleet[[#This Row],[Available_h]],"")</f>
        <v/>
      </c>
    </row>
    <row r="2560">
      <c r="A2560" s="54" t="n"/>
      <c r="B2560" s="61" t="n"/>
      <c r="C2560" s="62" t="n"/>
      <c r="D2560" s="57" t="n"/>
      <c r="E2560" s="57" t="n"/>
      <c r="F2560" s="58" t="n"/>
      <c r="G2560" s="66">
        <f>IF(tblFleet[[#This Row],[Units]]="","",tblFleet[[#This Row],[Units]]*24)</f>
        <v/>
      </c>
      <c r="H2560" s="66">
        <f>IF(tblFleet[[#This Row],[Units]]="","",tblFleet[[#This Row],[Calendar_h]]-tblFleet[[#This Row],[Down_h]])</f>
        <v/>
      </c>
      <c r="I2560" s="60">
        <f>IF(AND(tblFleet[[#This Row],[Units]]&lt;&gt;"",tblFleet[[#This Row],[Calendar_h]]&gt;0),tblFleet[[#This Row],[Available_h]]/tblFleet[[#This Row],[Calendar_h]],"")</f>
        <v/>
      </c>
      <c r="J2560" s="60">
        <f>IF(AND(tblFleet[[#This Row],[Units]]&lt;&gt;"",tblFleet[[#This Row],[Available_h]]&gt;0),tblFleet[[#This Row],[Operating_h]]/tblFleet[[#This Row],[Available_h]],"")</f>
        <v/>
      </c>
    </row>
    <row r="2561">
      <c r="A2561" s="54" t="n"/>
      <c r="B2561" s="61" t="n"/>
      <c r="C2561" s="62" t="n"/>
      <c r="D2561" s="57" t="n"/>
      <c r="E2561" s="57" t="n"/>
      <c r="F2561" s="58" t="n"/>
      <c r="G2561" s="66">
        <f>IF(tblFleet[[#This Row],[Units]]="","",tblFleet[[#This Row],[Units]]*24)</f>
        <v/>
      </c>
      <c r="H2561" s="66">
        <f>IF(tblFleet[[#This Row],[Units]]="","",tblFleet[[#This Row],[Calendar_h]]-tblFleet[[#This Row],[Down_h]])</f>
        <v/>
      </c>
      <c r="I2561" s="60">
        <f>IF(AND(tblFleet[[#This Row],[Units]]&lt;&gt;"",tblFleet[[#This Row],[Calendar_h]]&gt;0),tblFleet[[#This Row],[Available_h]]/tblFleet[[#This Row],[Calendar_h]],"")</f>
        <v/>
      </c>
      <c r="J2561" s="60">
        <f>IF(AND(tblFleet[[#This Row],[Units]]&lt;&gt;"",tblFleet[[#This Row],[Available_h]]&gt;0),tblFleet[[#This Row],[Operating_h]]/tblFleet[[#This Row],[Available_h]],"")</f>
        <v/>
      </c>
    </row>
    <row r="2562">
      <c r="A2562" s="54" t="n"/>
      <c r="B2562" s="61" t="n"/>
      <c r="C2562" s="62" t="n"/>
      <c r="D2562" s="57" t="n"/>
      <c r="E2562" s="57" t="n"/>
      <c r="F2562" s="58" t="n"/>
      <c r="G2562" s="66">
        <f>IF(tblFleet[[#This Row],[Units]]="","",tblFleet[[#This Row],[Units]]*24)</f>
        <v/>
      </c>
      <c r="H2562" s="66">
        <f>IF(tblFleet[[#This Row],[Units]]="","",tblFleet[[#This Row],[Calendar_h]]-tblFleet[[#This Row],[Down_h]])</f>
        <v/>
      </c>
      <c r="I2562" s="60">
        <f>IF(AND(tblFleet[[#This Row],[Units]]&lt;&gt;"",tblFleet[[#This Row],[Calendar_h]]&gt;0),tblFleet[[#This Row],[Available_h]]/tblFleet[[#This Row],[Calendar_h]],"")</f>
        <v/>
      </c>
      <c r="J2562" s="60">
        <f>IF(AND(tblFleet[[#This Row],[Units]]&lt;&gt;"",tblFleet[[#This Row],[Available_h]]&gt;0),tblFleet[[#This Row],[Operating_h]]/tblFleet[[#This Row],[Available_h]],"")</f>
        <v/>
      </c>
    </row>
    <row r="2563">
      <c r="A2563" s="54" t="n"/>
      <c r="B2563" s="61" t="n"/>
      <c r="C2563" s="62" t="n"/>
      <c r="D2563" s="57" t="n"/>
      <c r="E2563" s="57" t="n"/>
      <c r="F2563" s="58" t="n"/>
      <c r="G2563" s="66">
        <f>IF(tblFleet[[#This Row],[Units]]="","",tblFleet[[#This Row],[Units]]*24)</f>
        <v/>
      </c>
      <c r="H2563" s="66">
        <f>IF(tblFleet[[#This Row],[Units]]="","",tblFleet[[#This Row],[Calendar_h]]-tblFleet[[#This Row],[Down_h]])</f>
        <v/>
      </c>
      <c r="I2563" s="60">
        <f>IF(AND(tblFleet[[#This Row],[Units]]&lt;&gt;"",tblFleet[[#This Row],[Calendar_h]]&gt;0),tblFleet[[#This Row],[Available_h]]/tblFleet[[#This Row],[Calendar_h]],"")</f>
        <v/>
      </c>
      <c r="J2563" s="60">
        <f>IF(AND(tblFleet[[#This Row],[Units]]&lt;&gt;"",tblFleet[[#This Row],[Available_h]]&gt;0),tblFleet[[#This Row],[Operating_h]]/tblFleet[[#This Row],[Available_h]],"")</f>
        <v/>
      </c>
    </row>
    <row r="2564">
      <c r="A2564" s="54" t="n"/>
      <c r="B2564" s="61" t="n"/>
      <c r="C2564" s="62" t="n"/>
      <c r="D2564" s="57" t="n"/>
      <c r="E2564" s="57" t="n"/>
      <c r="F2564" s="58" t="n"/>
      <c r="G2564" s="66">
        <f>IF(tblFleet[[#This Row],[Units]]="","",tblFleet[[#This Row],[Units]]*24)</f>
        <v/>
      </c>
      <c r="H2564" s="66">
        <f>IF(tblFleet[[#This Row],[Units]]="","",tblFleet[[#This Row],[Calendar_h]]-tblFleet[[#This Row],[Down_h]])</f>
        <v/>
      </c>
      <c r="I2564" s="60">
        <f>IF(AND(tblFleet[[#This Row],[Units]]&lt;&gt;"",tblFleet[[#This Row],[Calendar_h]]&gt;0),tblFleet[[#This Row],[Available_h]]/tblFleet[[#This Row],[Calendar_h]],"")</f>
        <v/>
      </c>
      <c r="J2564" s="60">
        <f>IF(AND(tblFleet[[#This Row],[Units]]&lt;&gt;"",tblFleet[[#This Row],[Available_h]]&gt;0),tblFleet[[#This Row],[Operating_h]]/tblFleet[[#This Row],[Available_h]],"")</f>
        <v/>
      </c>
    </row>
    <row r="2565">
      <c r="A2565" s="54" t="n"/>
      <c r="B2565" s="61" t="n"/>
      <c r="C2565" s="62" t="n"/>
      <c r="D2565" s="57" t="n"/>
      <c r="E2565" s="57" t="n"/>
      <c r="F2565" s="58" t="n"/>
      <c r="G2565" s="66">
        <f>IF(tblFleet[[#This Row],[Units]]="","",tblFleet[[#This Row],[Units]]*24)</f>
        <v/>
      </c>
      <c r="H2565" s="66">
        <f>IF(tblFleet[[#This Row],[Units]]="","",tblFleet[[#This Row],[Calendar_h]]-tblFleet[[#This Row],[Down_h]])</f>
        <v/>
      </c>
      <c r="I2565" s="60">
        <f>IF(AND(tblFleet[[#This Row],[Units]]&lt;&gt;"",tblFleet[[#This Row],[Calendar_h]]&gt;0),tblFleet[[#This Row],[Available_h]]/tblFleet[[#This Row],[Calendar_h]],"")</f>
        <v/>
      </c>
      <c r="J2565" s="60">
        <f>IF(AND(tblFleet[[#This Row],[Units]]&lt;&gt;"",tblFleet[[#This Row],[Available_h]]&gt;0),tblFleet[[#This Row],[Operating_h]]/tblFleet[[#This Row],[Available_h]],"")</f>
        <v/>
      </c>
    </row>
    <row r="2566">
      <c r="A2566" s="54" t="n"/>
      <c r="B2566" s="61" t="n"/>
      <c r="C2566" s="62" t="n"/>
      <c r="D2566" s="57" t="n"/>
      <c r="E2566" s="57" t="n"/>
      <c r="F2566" s="58" t="n"/>
      <c r="G2566" s="66">
        <f>IF(tblFleet[[#This Row],[Units]]="","",tblFleet[[#This Row],[Units]]*24)</f>
        <v/>
      </c>
      <c r="H2566" s="66">
        <f>IF(tblFleet[[#This Row],[Units]]="","",tblFleet[[#This Row],[Calendar_h]]-tblFleet[[#This Row],[Down_h]])</f>
        <v/>
      </c>
      <c r="I2566" s="60">
        <f>IF(AND(tblFleet[[#This Row],[Units]]&lt;&gt;"",tblFleet[[#This Row],[Calendar_h]]&gt;0),tblFleet[[#This Row],[Available_h]]/tblFleet[[#This Row],[Calendar_h]],"")</f>
        <v/>
      </c>
      <c r="J2566" s="60">
        <f>IF(AND(tblFleet[[#This Row],[Units]]&lt;&gt;"",tblFleet[[#This Row],[Available_h]]&gt;0),tblFleet[[#This Row],[Operating_h]]/tblFleet[[#This Row],[Available_h]],"")</f>
        <v/>
      </c>
    </row>
    <row r="2567">
      <c r="A2567" s="54" t="n"/>
      <c r="B2567" s="61" t="n"/>
      <c r="C2567" s="62" t="n"/>
      <c r="D2567" s="57" t="n"/>
      <c r="E2567" s="57" t="n"/>
      <c r="F2567" s="58" t="n"/>
      <c r="G2567" s="66">
        <f>IF(tblFleet[[#This Row],[Units]]="","",tblFleet[[#This Row],[Units]]*24)</f>
        <v/>
      </c>
      <c r="H2567" s="66">
        <f>IF(tblFleet[[#This Row],[Units]]="","",tblFleet[[#This Row],[Calendar_h]]-tblFleet[[#This Row],[Down_h]])</f>
        <v/>
      </c>
      <c r="I2567" s="60">
        <f>IF(AND(tblFleet[[#This Row],[Units]]&lt;&gt;"",tblFleet[[#This Row],[Calendar_h]]&gt;0),tblFleet[[#This Row],[Available_h]]/tblFleet[[#This Row],[Calendar_h]],"")</f>
        <v/>
      </c>
      <c r="J2567" s="60">
        <f>IF(AND(tblFleet[[#This Row],[Units]]&lt;&gt;"",tblFleet[[#This Row],[Available_h]]&gt;0),tblFleet[[#This Row],[Operating_h]]/tblFleet[[#This Row],[Available_h]],"")</f>
        <v/>
      </c>
    </row>
    <row r="2568">
      <c r="A2568" s="54" t="n"/>
      <c r="B2568" s="61" t="n"/>
      <c r="C2568" s="62" t="n"/>
      <c r="D2568" s="57" t="n"/>
      <c r="E2568" s="57" t="n"/>
      <c r="F2568" s="58" t="n"/>
      <c r="G2568" s="66">
        <f>IF(tblFleet[[#This Row],[Units]]="","",tblFleet[[#This Row],[Units]]*24)</f>
        <v/>
      </c>
      <c r="H2568" s="66">
        <f>IF(tblFleet[[#This Row],[Units]]="","",tblFleet[[#This Row],[Calendar_h]]-tblFleet[[#This Row],[Down_h]])</f>
        <v/>
      </c>
      <c r="I2568" s="60">
        <f>IF(AND(tblFleet[[#This Row],[Units]]&lt;&gt;"",tblFleet[[#This Row],[Calendar_h]]&gt;0),tblFleet[[#This Row],[Available_h]]/tblFleet[[#This Row],[Calendar_h]],"")</f>
        <v/>
      </c>
      <c r="J2568" s="60">
        <f>IF(AND(tblFleet[[#This Row],[Units]]&lt;&gt;"",tblFleet[[#This Row],[Available_h]]&gt;0),tblFleet[[#This Row],[Operating_h]]/tblFleet[[#This Row],[Available_h]],"")</f>
        <v/>
      </c>
    </row>
    <row r="2569">
      <c r="A2569" s="54" t="n"/>
      <c r="B2569" s="61" t="n"/>
      <c r="C2569" s="62" t="n"/>
      <c r="D2569" s="57" t="n"/>
      <c r="E2569" s="57" t="n"/>
      <c r="F2569" s="58" t="n"/>
      <c r="G2569" s="66">
        <f>IF(tblFleet[[#This Row],[Units]]="","",tblFleet[[#This Row],[Units]]*24)</f>
        <v/>
      </c>
      <c r="H2569" s="66">
        <f>IF(tblFleet[[#This Row],[Units]]="","",tblFleet[[#This Row],[Calendar_h]]-tblFleet[[#This Row],[Down_h]])</f>
        <v/>
      </c>
      <c r="I2569" s="60">
        <f>IF(AND(tblFleet[[#This Row],[Units]]&lt;&gt;"",tblFleet[[#This Row],[Calendar_h]]&gt;0),tblFleet[[#This Row],[Available_h]]/tblFleet[[#This Row],[Calendar_h]],"")</f>
        <v/>
      </c>
      <c r="J2569" s="60">
        <f>IF(AND(tblFleet[[#This Row],[Units]]&lt;&gt;"",tblFleet[[#This Row],[Available_h]]&gt;0),tblFleet[[#This Row],[Operating_h]]/tblFleet[[#This Row],[Available_h]],"")</f>
        <v/>
      </c>
    </row>
    <row r="2570">
      <c r="A2570" s="54" t="n"/>
      <c r="B2570" s="61" t="n"/>
      <c r="C2570" s="62" t="n"/>
      <c r="D2570" s="57" t="n"/>
      <c r="E2570" s="57" t="n"/>
      <c r="F2570" s="58" t="n"/>
      <c r="G2570" s="66">
        <f>IF(tblFleet[[#This Row],[Units]]="","",tblFleet[[#This Row],[Units]]*24)</f>
        <v/>
      </c>
      <c r="H2570" s="66">
        <f>IF(tblFleet[[#This Row],[Units]]="","",tblFleet[[#This Row],[Calendar_h]]-tblFleet[[#This Row],[Down_h]])</f>
        <v/>
      </c>
      <c r="I2570" s="60">
        <f>IF(AND(tblFleet[[#This Row],[Units]]&lt;&gt;"",tblFleet[[#This Row],[Calendar_h]]&gt;0),tblFleet[[#This Row],[Available_h]]/tblFleet[[#This Row],[Calendar_h]],"")</f>
        <v/>
      </c>
      <c r="J2570" s="60">
        <f>IF(AND(tblFleet[[#This Row],[Units]]&lt;&gt;"",tblFleet[[#This Row],[Available_h]]&gt;0),tblFleet[[#This Row],[Operating_h]]/tblFleet[[#This Row],[Available_h]],"")</f>
        <v/>
      </c>
    </row>
    <row r="2571">
      <c r="A2571" s="54" t="n"/>
      <c r="B2571" s="61" t="n"/>
      <c r="C2571" s="62" t="n"/>
      <c r="D2571" s="57" t="n"/>
      <c r="E2571" s="57" t="n"/>
      <c r="F2571" s="58" t="n"/>
      <c r="G2571" s="66">
        <f>IF(tblFleet[[#This Row],[Units]]="","",tblFleet[[#This Row],[Units]]*24)</f>
        <v/>
      </c>
      <c r="H2571" s="66">
        <f>IF(tblFleet[[#This Row],[Units]]="","",tblFleet[[#This Row],[Calendar_h]]-tblFleet[[#This Row],[Down_h]])</f>
        <v/>
      </c>
      <c r="I2571" s="60">
        <f>IF(AND(tblFleet[[#This Row],[Units]]&lt;&gt;"",tblFleet[[#This Row],[Calendar_h]]&gt;0),tblFleet[[#This Row],[Available_h]]/tblFleet[[#This Row],[Calendar_h]],"")</f>
        <v/>
      </c>
      <c r="J2571" s="60">
        <f>IF(AND(tblFleet[[#This Row],[Units]]&lt;&gt;"",tblFleet[[#This Row],[Available_h]]&gt;0),tblFleet[[#This Row],[Operating_h]]/tblFleet[[#This Row],[Available_h]],"")</f>
        <v/>
      </c>
    </row>
    <row r="2572">
      <c r="A2572" s="54" t="n"/>
      <c r="B2572" s="61" t="n"/>
      <c r="C2572" s="62" t="n"/>
      <c r="D2572" s="57" t="n"/>
      <c r="E2572" s="57" t="n"/>
      <c r="F2572" s="58" t="n"/>
      <c r="G2572" s="66">
        <f>IF(tblFleet[[#This Row],[Units]]="","",tblFleet[[#This Row],[Units]]*24)</f>
        <v/>
      </c>
      <c r="H2572" s="66">
        <f>IF(tblFleet[[#This Row],[Units]]="","",tblFleet[[#This Row],[Calendar_h]]-tblFleet[[#This Row],[Down_h]])</f>
        <v/>
      </c>
      <c r="I2572" s="60">
        <f>IF(AND(tblFleet[[#This Row],[Units]]&lt;&gt;"",tblFleet[[#This Row],[Calendar_h]]&gt;0),tblFleet[[#This Row],[Available_h]]/tblFleet[[#This Row],[Calendar_h]],"")</f>
        <v/>
      </c>
      <c r="J2572" s="60">
        <f>IF(AND(tblFleet[[#This Row],[Units]]&lt;&gt;"",tblFleet[[#This Row],[Available_h]]&gt;0),tblFleet[[#This Row],[Operating_h]]/tblFleet[[#This Row],[Available_h]],"")</f>
        <v/>
      </c>
    </row>
    <row r="2573">
      <c r="A2573" s="54" t="n"/>
      <c r="B2573" s="61" t="n"/>
      <c r="C2573" s="62" t="n"/>
      <c r="D2573" s="57" t="n"/>
      <c r="E2573" s="57" t="n"/>
      <c r="F2573" s="58" t="n"/>
      <c r="G2573" s="66">
        <f>IF(tblFleet[[#This Row],[Units]]="","",tblFleet[[#This Row],[Units]]*24)</f>
        <v/>
      </c>
      <c r="H2573" s="66">
        <f>IF(tblFleet[[#This Row],[Units]]="","",tblFleet[[#This Row],[Calendar_h]]-tblFleet[[#This Row],[Down_h]])</f>
        <v/>
      </c>
      <c r="I2573" s="60">
        <f>IF(AND(tblFleet[[#This Row],[Units]]&lt;&gt;"",tblFleet[[#This Row],[Calendar_h]]&gt;0),tblFleet[[#This Row],[Available_h]]/tblFleet[[#This Row],[Calendar_h]],"")</f>
        <v/>
      </c>
      <c r="J2573" s="60">
        <f>IF(AND(tblFleet[[#This Row],[Units]]&lt;&gt;"",tblFleet[[#This Row],[Available_h]]&gt;0),tblFleet[[#This Row],[Operating_h]]/tblFleet[[#This Row],[Available_h]],"")</f>
        <v/>
      </c>
    </row>
    <row r="2574">
      <c r="A2574" s="54" t="n"/>
      <c r="B2574" s="61" t="n"/>
      <c r="C2574" s="62" t="n"/>
      <c r="D2574" s="57" t="n"/>
      <c r="E2574" s="57" t="n"/>
      <c r="F2574" s="58" t="n"/>
      <c r="G2574" s="66">
        <f>IF(tblFleet[[#This Row],[Units]]="","",tblFleet[[#This Row],[Units]]*24)</f>
        <v/>
      </c>
      <c r="H2574" s="66">
        <f>IF(tblFleet[[#This Row],[Units]]="","",tblFleet[[#This Row],[Calendar_h]]-tblFleet[[#This Row],[Down_h]])</f>
        <v/>
      </c>
      <c r="I2574" s="60">
        <f>IF(AND(tblFleet[[#This Row],[Units]]&lt;&gt;"",tblFleet[[#This Row],[Calendar_h]]&gt;0),tblFleet[[#This Row],[Available_h]]/tblFleet[[#This Row],[Calendar_h]],"")</f>
        <v/>
      </c>
      <c r="J2574" s="60">
        <f>IF(AND(tblFleet[[#This Row],[Units]]&lt;&gt;"",tblFleet[[#This Row],[Available_h]]&gt;0),tblFleet[[#This Row],[Operating_h]]/tblFleet[[#This Row],[Available_h]],"")</f>
        <v/>
      </c>
    </row>
    <row r="2575">
      <c r="A2575" s="54" t="n"/>
      <c r="B2575" s="61" t="n"/>
      <c r="C2575" s="62" t="n"/>
      <c r="D2575" s="57" t="n"/>
      <c r="E2575" s="57" t="n"/>
      <c r="F2575" s="58" t="n"/>
      <c r="G2575" s="66">
        <f>IF(tblFleet[[#This Row],[Units]]="","",tblFleet[[#This Row],[Units]]*24)</f>
        <v/>
      </c>
      <c r="H2575" s="66">
        <f>IF(tblFleet[[#This Row],[Units]]="","",tblFleet[[#This Row],[Calendar_h]]-tblFleet[[#This Row],[Down_h]])</f>
        <v/>
      </c>
      <c r="I2575" s="60">
        <f>IF(AND(tblFleet[[#This Row],[Units]]&lt;&gt;"",tblFleet[[#This Row],[Calendar_h]]&gt;0),tblFleet[[#This Row],[Available_h]]/tblFleet[[#This Row],[Calendar_h]],"")</f>
        <v/>
      </c>
      <c r="J2575" s="60">
        <f>IF(AND(tblFleet[[#This Row],[Units]]&lt;&gt;"",tblFleet[[#This Row],[Available_h]]&gt;0),tblFleet[[#This Row],[Operating_h]]/tblFleet[[#This Row],[Available_h]],"")</f>
        <v/>
      </c>
    </row>
    <row r="2576">
      <c r="A2576" s="54" t="n"/>
      <c r="B2576" s="61" t="n"/>
      <c r="C2576" s="62" t="n"/>
      <c r="D2576" s="57" t="n"/>
      <c r="E2576" s="57" t="n"/>
      <c r="F2576" s="58" t="n"/>
      <c r="G2576" s="66">
        <f>IF(tblFleet[[#This Row],[Units]]="","",tblFleet[[#This Row],[Units]]*24)</f>
        <v/>
      </c>
      <c r="H2576" s="66">
        <f>IF(tblFleet[[#This Row],[Units]]="","",tblFleet[[#This Row],[Calendar_h]]-tblFleet[[#This Row],[Down_h]])</f>
        <v/>
      </c>
      <c r="I2576" s="60">
        <f>IF(AND(tblFleet[[#This Row],[Units]]&lt;&gt;"",tblFleet[[#This Row],[Calendar_h]]&gt;0),tblFleet[[#This Row],[Available_h]]/tblFleet[[#This Row],[Calendar_h]],"")</f>
        <v/>
      </c>
      <c r="J2576" s="60">
        <f>IF(AND(tblFleet[[#This Row],[Units]]&lt;&gt;"",tblFleet[[#This Row],[Available_h]]&gt;0),tblFleet[[#This Row],[Operating_h]]/tblFleet[[#This Row],[Available_h]],"")</f>
        <v/>
      </c>
    </row>
    <row r="2577">
      <c r="A2577" s="54" t="n"/>
      <c r="B2577" s="61" t="n"/>
      <c r="C2577" s="62" t="n"/>
      <c r="D2577" s="57" t="n"/>
      <c r="E2577" s="57" t="n"/>
      <c r="F2577" s="58" t="n"/>
      <c r="G2577" s="66">
        <f>IF(tblFleet[[#This Row],[Units]]="","",tblFleet[[#This Row],[Units]]*24)</f>
        <v/>
      </c>
      <c r="H2577" s="66">
        <f>IF(tblFleet[[#This Row],[Units]]="","",tblFleet[[#This Row],[Calendar_h]]-tblFleet[[#This Row],[Down_h]])</f>
        <v/>
      </c>
      <c r="I2577" s="60">
        <f>IF(AND(tblFleet[[#This Row],[Units]]&lt;&gt;"",tblFleet[[#This Row],[Calendar_h]]&gt;0),tblFleet[[#This Row],[Available_h]]/tblFleet[[#This Row],[Calendar_h]],"")</f>
        <v/>
      </c>
      <c r="J2577" s="60">
        <f>IF(AND(tblFleet[[#This Row],[Units]]&lt;&gt;"",tblFleet[[#This Row],[Available_h]]&gt;0),tblFleet[[#This Row],[Operating_h]]/tblFleet[[#This Row],[Available_h]],"")</f>
        <v/>
      </c>
    </row>
    <row r="2578">
      <c r="A2578" s="54" t="n"/>
      <c r="B2578" s="61" t="n"/>
      <c r="C2578" s="62" t="n"/>
      <c r="D2578" s="57" t="n"/>
      <c r="E2578" s="57" t="n"/>
      <c r="F2578" s="58" t="n"/>
      <c r="G2578" s="66">
        <f>IF(tblFleet[[#This Row],[Units]]="","",tblFleet[[#This Row],[Units]]*24)</f>
        <v/>
      </c>
      <c r="H2578" s="66">
        <f>IF(tblFleet[[#This Row],[Units]]="","",tblFleet[[#This Row],[Calendar_h]]-tblFleet[[#This Row],[Down_h]])</f>
        <v/>
      </c>
      <c r="I2578" s="60">
        <f>IF(AND(tblFleet[[#This Row],[Units]]&lt;&gt;"",tblFleet[[#This Row],[Calendar_h]]&gt;0),tblFleet[[#This Row],[Available_h]]/tblFleet[[#This Row],[Calendar_h]],"")</f>
        <v/>
      </c>
      <c r="J2578" s="60">
        <f>IF(AND(tblFleet[[#This Row],[Units]]&lt;&gt;"",tblFleet[[#This Row],[Available_h]]&gt;0),tblFleet[[#This Row],[Operating_h]]/tblFleet[[#This Row],[Available_h]],"")</f>
        <v/>
      </c>
    </row>
    <row r="2579">
      <c r="A2579" s="54" t="n"/>
      <c r="B2579" s="61" t="n"/>
      <c r="C2579" s="62" t="n"/>
      <c r="D2579" s="57" t="n"/>
      <c r="E2579" s="57" t="n"/>
      <c r="F2579" s="58" t="n"/>
      <c r="G2579" s="66">
        <f>IF(tblFleet[[#This Row],[Units]]="","",tblFleet[[#This Row],[Units]]*24)</f>
        <v/>
      </c>
      <c r="H2579" s="66">
        <f>IF(tblFleet[[#This Row],[Units]]="","",tblFleet[[#This Row],[Calendar_h]]-tblFleet[[#This Row],[Down_h]])</f>
        <v/>
      </c>
      <c r="I2579" s="60">
        <f>IF(AND(tblFleet[[#This Row],[Units]]&lt;&gt;"",tblFleet[[#This Row],[Calendar_h]]&gt;0),tblFleet[[#This Row],[Available_h]]/tblFleet[[#This Row],[Calendar_h]],"")</f>
        <v/>
      </c>
      <c r="J2579" s="60">
        <f>IF(AND(tblFleet[[#This Row],[Units]]&lt;&gt;"",tblFleet[[#This Row],[Available_h]]&gt;0),tblFleet[[#This Row],[Operating_h]]/tblFleet[[#This Row],[Available_h]],"")</f>
        <v/>
      </c>
    </row>
    <row r="2580">
      <c r="A2580" s="54" t="n"/>
      <c r="B2580" s="61" t="n"/>
      <c r="C2580" s="62" t="n"/>
      <c r="D2580" s="57" t="n"/>
      <c r="E2580" s="57" t="n"/>
      <c r="F2580" s="58" t="n"/>
      <c r="G2580" s="66">
        <f>IF(tblFleet[[#This Row],[Units]]="","",tblFleet[[#This Row],[Units]]*24)</f>
        <v/>
      </c>
      <c r="H2580" s="66">
        <f>IF(tblFleet[[#This Row],[Units]]="","",tblFleet[[#This Row],[Calendar_h]]-tblFleet[[#This Row],[Down_h]])</f>
        <v/>
      </c>
      <c r="I2580" s="60">
        <f>IF(AND(tblFleet[[#This Row],[Units]]&lt;&gt;"",tblFleet[[#This Row],[Calendar_h]]&gt;0),tblFleet[[#This Row],[Available_h]]/tblFleet[[#This Row],[Calendar_h]],"")</f>
        <v/>
      </c>
      <c r="J2580" s="60">
        <f>IF(AND(tblFleet[[#This Row],[Units]]&lt;&gt;"",tblFleet[[#This Row],[Available_h]]&gt;0),tblFleet[[#This Row],[Operating_h]]/tblFleet[[#This Row],[Available_h]],"")</f>
        <v/>
      </c>
    </row>
    <row r="2581">
      <c r="A2581" s="54" t="n"/>
      <c r="B2581" s="61" t="n"/>
      <c r="C2581" s="62" t="n"/>
      <c r="D2581" s="57" t="n"/>
      <c r="E2581" s="57" t="n"/>
      <c r="F2581" s="58" t="n"/>
      <c r="G2581" s="66">
        <f>IF(tblFleet[[#This Row],[Units]]="","",tblFleet[[#This Row],[Units]]*24)</f>
        <v/>
      </c>
      <c r="H2581" s="66">
        <f>IF(tblFleet[[#This Row],[Units]]="","",tblFleet[[#This Row],[Calendar_h]]-tblFleet[[#This Row],[Down_h]])</f>
        <v/>
      </c>
      <c r="I2581" s="60">
        <f>IF(AND(tblFleet[[#This Row],[Units]]&lt;&gt;"",tblFleet[[#This Row],[Calendar_h]]&gt;0),tblFleet[[#This Row],[Available_h]]/tblFleet[[#This Row],[Calendar_h]],"")</f>
        <v/>
      </c>
      <c r="J2581" s="60">
        <f>IF(AND(tblFleet[[#This Row],[Units]]&lt;&gt;"",tblFleet[[#This Row],[Available_h]]&gt;0),tblFleet[[#This Row],[Operating_h]]/tblFleet[[#This Row],[Available_h]],"")</f>
        <v/>
      </c>
    </row>
    <row r="2582">
      <c r="A2582" s="54" t="n"/>
      <c r="B2582" s="61" t="n"/>
      <c r="C2582" s="62" t="n"/>
      <c r="D2582" s="57" t="n"/>
      <c r="E2582" s="57" t="n"/>
      <c r="F2582" s="58" t="n"/>
      <c r="G2582" s="66">
        <f>IF(tblFleet[[#This Row],[Units]]="","",tblFleet[[#This Row],[Units]]*24)</f>
        <v/>
      </c>
      <c r="H2582" s="66">
        <f>IF(tblFleet[[#This Row],[Units]]="","",tblFleet[[#This Row],[Calendar_h]]-tblFleet[[#This Row],[Down_h]])</f>
        <v/>
      </c>
      <c r="I2582" s="60">
        <f>IF(AND(tblFleet[[#This Row],[Units]]&lt;&gt;"",tblFleet[[#This Row],[Calendar_h]]&gt;0),tblFleet[[#This Row],[Available_h]]/tblFleet[[#This Row],[Calendar_h]],"")</f>
        <v/>
      </c>
      <c r="J2582" s="60">
        <f>IF(AND(tblFleet[[#This Row],[Units]]&lt;&gt;"",tblFleet[[#This Row],[Available_h]]&gt;0),tblFleet[[#This Row],[Operating_h]]/tblFleet[[#This Row],[Available_h]],"")</f>
        <v/>
      </c>
    </row>
    <row r="2583">
      <c r="A2583" s="54" t="n"/>
      <c r="B2583" s="61" t="n"/>
      <c r="C2583" s="62" t="n"/>
      <c r="D2583" s="57" t="n"/>
      <c r="E2583" s="57" t="n"/>
      <c r="F2583" s="58" t="n"/>
      <c r="G2583" s="66">
        <f>IF(tblFleet[[#This Row],[Units]]="","",tblFleet[[#This Row],[Units]]*24)</f>
        <v/>
      </c>
      <c r="H2583" s="66">
        <f>IF(tblFleet[[#This Row],[Units]]="","",tblFleet[[#This Row],[Calendar_h]]-tblFleet[[#This Row],[Down_h]])</f>
        <v/>
      </c>
      <c r="I2583" s="60">
        <f>IF(AND(tblFleet[[#This Row],[Units]]&lt;&gt;"",tblFleet[[#This Row],[Calendar_h]]&gt;0),tblFleet[[#This Row],[Available_h]]/tblFleet[[#This Row],[Calendar_h]],"")</f>
        <v/>
      </c>
      <c r="J2583" s="60">
        <f>IF(AND(tblFleet[[#This Row],[Units]]&lt;&gt;"",tblFleet[[#This Row],[Available_h]]&gt;0),tblFleet[[#This Row],[Operating_h]]/tblFleet[[#This Row],[Available_h]],"")</f>
        <v/>
      </c>
    </row>
    <row r="2584">
      <c r="A2584" s="54" t="n"/>
      <c r="B2584" s="61" t="n"/>
      <c r="C2584" s="62" t="n"/>
      <c r="D2584" s="57" t="n"/>
      <c r="E2584" s="57" t="n"/>
      <c r="F2584" s="58" t="n"/>
      <c r="G2584" s="66">
        <f>IF(tblFleet[[#This Row],[Units]]="","",tblFleet[[#This Row],[Units]]*24)</f>
        <v/>
      </c>
      <c r="H2584" s="66">
        <f>IF(tblFleet[[#This Row],[Units]]="","",tblFleet[[#This Row],[Calendar_h]]-tblFleet[[#This Row],[Down_h]])</f>
        <v/>
      </c>
      <c r="I2584" s="60">
        <f>IF(AND(tblFleet[[#This Row],[Units]]&lt;&gt;"",tblFleet[[#This Row],[Calendar_h]]&gt;0),tblFleet[[#This Row],[Available_h]]/tblFleet[[#This Row],[Calendar_h]],"")</f>
        <v/>
      </c>
      <c r="J2584" s="60">
        <f>IF(AND(tblFleet[[#This Row],[Units]]&lt;&gt;"",tblFleet[[#This Row],[Available_h]]&gt;0),tblFleet[[#This Row],[Operating_h]]/tblFleet[[#This Row],[Available_h]],"")</f>
        <v/>
      </c>
    </row>
    <row r="2585">
      <c r="A2585" s="54" t="n"/>
      <c r="B2585" s="61" t="n"/>
      <c r="C2585" s="62" t="n"/>
      <c r="D2585" s="57" t="n"/>
      <c r="E2585" s="57" t="n"/>
      <c r="F2585" s="58" t="n"/>
      <c r="G2585" s="66">
        <f>IF(tblFleet[[#This Row],[Units]]="","",tblFleet[[#This Row],[Units]]*24)</f>
        <v/>
      </c>
      <c r="H2585" s="66">
        <f>IF(tblFleet[[#This Row],[Units]]="","",tblFleet[[#This Row],[Calendar_h]]-tblFleet[[#This Row],[Down_h]])</f>
        <v/>
      </c>
      <c r="I2585" s="60">
        <f>IF(AND(tblFleet[[#This Row],[Units]]&lt;&gt;"",tblFleet[[#This Row],[Calendar_h]]&gt;0),tblFleet[[#This Row],[Available_h]]/tblFleet[[#This Row],[Calendar_h]],"")</f>
        <v/>
      </c>
      <c r="J2585" s="60">
        <f>IF(AND(tblFleet[[#This Row],[Units]]&lt;&gt;"",tblFleet[[#This Row],[Available_h]]&gt;0),tblFleet[[#This Row],[Operating_h]]/tblFleet[[#This Row],[Available_h]],"")</f>
        <v/>
      </c>
    </row>
    <row r="2586">
      <c r="A2586" s="54" t="n"/>
      <c r="B2586" s="61" t="n"/>
      <c r="C2586" s="62" t="n"/>
      <c r="D2586" s="57" t="n"/>
      <c r="E2586" s="57" t="n"/>
      <c r="F2586" s="58" t="n"/>
      <c r="G2586" s="66">
        <f>IF(tblFleet[[#This Row],[Units]]="","",tblFleet[[#This Row],[Units]]*24)</f>
        <v/>
      </c>
      <c r="H2586" s="66">
        <f>IF(tblFleet[[#This Row],[Units]]="","",tblFleet[[#This Row],[Calendar_h]]-tblFleet[[#This Row],[Down_h]])</f>
        <v/>
      </c>
      <c r="I2586" s="60">
        <f>IF(AND(tblFleet[[#This Row],[Units]]&lt;&gt;"",tblFleet[[#This Row],[Calendar_h]]&gt;0),tblFleet[[#This Row],[Available_h]]/tblFleet[[#This Row],[Calendar_h]],"")</f>
        <v/>
      </c>
      <c r="J2586" s="60">
        <f>IF(AND(tblFleet[[#This Row],[Units]]&lt;&gt;"",tblFleet[[#This Row],[Available_h]]&gt;0),tblFleet[[#This Row],[Operating_h]]/tblFleet[[#This Row],[Available_h]],"")</f>
        <v/>
      </c>
    </row>
    <row r="2587">
      <c r="A2587" s="54" t="n"/>
      <c r="B2587" s="61" t="n"/>
      <c r="C2587" s="62" t="n"/>
      <c r="D2587" s="57" t="n"/>
      <c r="E2587" s="57" t="n"/>
      <c r="F2587" s="58" t="n"/>
      <c r="G2587" s="66">
        <f>IF(tblFleet[[#This Row],[Units]]="","",tblFleet[[#This Row],[Units]]*24)</f>
        <v/>
      </c>
      <c r="H2587" s="66">
        <f>IF(tblFleet[[#This Row],[Units]]="","",tblFleet[[#This Row],[Calendar_h]]-tblFleet[[#This Row],[Down_h]])</f>
        <v/>
      </c>
      <c r="I2587" s="60">
        <f>IF(AND(tblFleet[[#This Row],[Units]]&lt;&gt;"",tblFleet[[#This Row],[Calendar_h]]&gt;0),tblFleet[[#This Row],[Available_h]]/tblFleet[[#This Row],[Calendar_h]],"")</f>
        <v/>
      </c>
      <c r="J2587" s="60">
        <f>IF(AND(tblFleet[[#This Row],[Units]]&lt;&gt;"",tblFleet[[#This Row],[Available_h]]&gt;0),tblFleet[[#This Row],[Operating_h]]/tblFleet[[#This Row],[Available_h]],"")</f>
        <v/>
      </c>
    </row>
    <row r="2588">
      <c r="A2588" s="54" t="n"/>
      <c r="B2588" s="61" t="n"/>
      <c r="C2588" s="62" t="n"/>
      <c r="D2588" s="57" t="n"/>
      <c r="E2588" s="57" t="n"/>
      <c r="F2588" s="58" t="n"/>
      <c r="G2588" s="66">
        <f>IF(tblFleet[[#This Row],[Units]]="","",tblFleet[[#This Row],[Units]]*24)</f>
        <v/>
      </c>
      <c r="H2588" s="66">
        <f>IF(tblFleet[[#This Row],[Units]]="","",tblFleet[[#This Row],[Calendar_h]]-tblFleet[[#This Row],[Down_h]])</f>
        <v/>
      </c>
      <c r="I2588" s="60">
        <f>IF(AND(tblFleet[[#This Row],[Units]]&lt;&gt;"",tblFleet[[#This Row],[Calendar_h]]&gt;0),tblFleet[[#This Row],[Available_h]]/tblFleet[[#This Row],[Calendar_h]],"")</f>
        <v/>
      </c>
      <c r="J2588" s="60">
        <f>IF(AND(tblFleet[[#This Row],[Units]]&lt;&gt;"",tblFleet[[#This Row],[Available_h]]&gt;0),tblFleet[[#This Row],[Operating_h]]/tblFleet[[#This Row],[Available_h]],"")</f>
        <v/>
      </c>
    </row>
    <row r="2589">
      <c r="A2589" s="54" t="n"/>
      <c r="B2589" s="61" t="n"/>
      <c r="C2589" s="62" t="n"/>
      <c r="D2589" s="57" t="n"/>
      <c r="E2589" s="57" t="n"/>
      <c r="F2589" s="58" t="n"/>
      <c r="G2589" s="66">
        <f>IF(tblFleet[[#This Row],[Units]]="","",tblFleet[[#This Row],[Units]]*24)</f>
        <v/>
      </c>
      <c r="H2589" s="66">
        <f>IF(tblFleet[[#This Row],[Units]]="","",tblFleet[[#This Row],[Calendar_h]]-tblFleet[[#This Row],[Down_h]])</f>
        <v/>
      </c>
      <c r="I2589" s="60">
        <f>IF(AND(tblFleet[[#This Row],[Units]]&lt;&gt;"",tblFleet[[#This Row],[Calendar_h]]&gt;0),tblFleet[[#This Row],[Available_h]]/tblFleet[[#This Row],[Calendar_h]],"")</f>
        <v/>
      </c>
      <c r="J2589" s="60">
        <f>IF(AND(tblFleet[[#This Row],[Units]]&lt;&gt;"",tblFleet[[#This Row],[Available_h]]&gt;0),tblFleet[[#This Row],[Operating_h]]/tblFleet[[#This Row],[Available_h]],"")</f>
        <v/>
      </c>
    </row>
    <row r="2590">
      <c r="A2590" s="54" t="n"/>
      <c r="B2590" s="61" t="n"/>
      <c r="C2590" s="62" t="n"/>
      <c r="D2590" s="57" t="n"/>
      <c r="E2590" s="57" t="n"/>
      <c r="F2590" s="58" t="n"/>
      <c r="G2590" s="66">
        <f>IF(tblFleet[[#This Row],[Units]]="","",tblFleet[[#This Row],[Units]]*24)</f>
        <v/>
      </c>
      <c r="H2590" s="66">
        <f>IF(tblFleet[[#This Row],[Units]]="","",tblFleet[[#This Row],[Calendar_h]]-tblFleet[[#This Row],[Down_h]])</f>
        <v/>
      </c>
      <c r="I2590" s="60">
        <f>IF(AND(tblFleet[[#This Row],[Units]]&lt;&gt;"",tblFleet[[#This Row],[Calendar_h]]&gt;0),tblFleet[[#This Row],[Available_h]]/tblFleet[[#This Row],[Calendar_h]],"")</f>
        <v/>
      </c>
      <c r="J2590" s="60">
        <f>IF(AND(tblFleet[[#This Row],[Units]]&lt;&gt;"",tblFleet[[#This Row],[Available_h]]&gt;0),tblFleet[[#This Row],[Operating_h]]/tblFleet[[#This Row],[Available_h]],"")</f>
        <v/>
      </c>
    </row>
    <row r="2591">
      <c r="A2591" s="54" t="n"/>
      <c r="B2591" s="61" t="n"/>
      <c r="C2591" s="62" t="n"/>
      <c r="D2591" s="57" t="n"/>
      <c r="E2591" s="57" t="n"/>
      <c r="F2591" s="58" t="n"/>
      <c r="G2591" s="66">
        <f>IF(tblFleet[[#This Row],[Units]]="","",tblFleet[[#This Row],[Units]]*24)</f>
        <v/>
      </c>
      <c r="H2591" s="66">
        <f>IF(tblFleet[[#This Row],[Units]]="","",tblFleet[[#This Row],[Calendar_h]]-tblFleet[[#This Row],[Down_h]])</f>
        <v/>
      </c>
      <c r="I2591" s="60">
        <f>IF(AND(tblFleet[[#This Row],[Units]]&lt;&gt;"",tblFleet[[#This Row],[Calendar_h]]&gt;0),tblFleet[[#This Row],[Available_h]]/tblFleet[[#This Row],[Calendar_h]],"")</f>
        <v/>
      </c>
      <c r="J2591" s="60">
        <f>IF(AND(tblFleet[[#This Row],[Units]]&lt;&gt;"",tblFleet[[#This Row],[Available_h]]&gt;0),tblFleet[[#This Row],[Operating_h]]/tblFleet[[#This Row],[Available_h]],"")</f>
        <v/>
      </c>
    </row>
    <row r="2592">
      <c r="A2592" s="54" t="n"/>
      <c r="B2592" s="61" t="n"/>
      <c r="C2592" s="62" t="n"/>
      <c r="D2592" s="57" t="n"/>
      <c r="E2592" s="57" t="n"/>
      <c r="F2592" s="58" t="n"/>
      <c r="G2592" s="66">
        <f>IF(tblFleet[[#This Row],[Units]]="","",tblFleet[[#This Row],[Units]]*24)</f>
        <v/>
      </c>
      <c r="H2592" s="66">
        <f>IF(tblFleet[[#This Row],[Units]]="","",tblFleet[[#This Row],[Calendar_h]]-tblFleet[[#This Row],[Down_h]])</f>
        <v/>
      </c>
      <c r="I2592" s="60">
        <f>IF(AND(tblFleet[[#This Row],[Units]]&lt;&gt;"",tblFleet[[#This Row],[Calendar_h]]&gt;0),tblFleet[[#This Row],[Available_h]]/tblFleet[[#This Row],[Calendar_h]],"")</f>
        <v/>
      </c>
      <c r="J2592" s="60">
        <f>IF(AND(tblFleet[[#This Row],[Units]]&lt;&gt;"",tblFleet[[#This Row],[Available_h]]&gt;0),tblFleet[[#This Row],[Operating_h]]/tblFleet[[#This Row],[Available_h]],"")</f>
        <v/>
      </c>
    </row>
    <row r="2593">
      <c r="A2593" s="54" t="n"/>
      <c r="B2593" s="61" t="n"/>
      <c r="C2593" s="62" t="n"/>
      <c r="D2593" s="57" t="n"/>
      <c r="E2593" s="57" t="n"/>
      <c r="F2593" s="58" t="n"/>
      <c r="G2593" s="66">
        <f>IF(tblFleet[[#This Row],[Units]]="","",tblFleet[[#This Row],[Units]]*24)</f>
        <v/>
      </c>
      <c r="H2593" s="66">
        <f>IF(tblFleet[[#This Row],[Units]]="","",tblFleet[[#This Row],[Calendar_h]]-tblFleet[[#This Row],[Down_h]])</f>
        <v/>
      </c>
      <c r="I2593" s="60">
        <f>IF(AND(tblFleet[[#This Row],[Units]]&lt;&gt;"",tblFleet[[#This Row],[Calendar_h]]&gt;0),tblFleet[[#This Row],[Available_h]]/tblFleet[[#This Row],[Calendar_h]],"")</f>
        <v/>
      </c>
      <c r="J2593" s="60">
        <f>IF(AND(tblFleet[[#This Row],[Units]]&lt;&gt;"",tblFleet[[#This Row],[Available_h]]&gt;0),tblFleet[[#This Row],[Operating_h]]/tblFleet[[#This Row],[Available_h]],"")</f>
        <v/>
      </c>
    </row>
    <row r="2594">
      <c r="A2594" s="54" t="n"/>
      <c r="B2594" s="61" t="n"/>
      <c r="C2594" s="62" t="n"/>
      <c r="D2594" s="57" t="n"/>
      <c r="E2594" s="57" t="n"/>
      <c r="F2594" s="58" t="n"/>
      <c r="G2594" s="66">
        <f>IF(tblFleet[[#This Row],[Units]]="","",tblFleet[[#This Row],[Units]]*24)</f>
        <v/>
      </c>
      <c r="H2594" s="66">
        <f>IF(tblFleet[[#This Row],[Units]]="","",tblFleet[[#This Row],[Calendar_h]]-tblFleet[[#This Row],[Down_h]])</f>
        <v/>
      </c>
      <c r="I2594" s="60">
        <f>IF(AND(tblFleet[[#This Row],[Units]]&lt;&gt;"",tblFleet[[#This Row],[Calendar_h]]&gt;0),tblFleet[[#This Row],[Available_h]]/tblFleet[[#This Row],[Calendar_h]],"")</f>
        <v/>
      </c>
      <c r="J2594" s="60">
        <f>IF(AND(tblFleet[[#This Row],[Units]]&lt;&gt;"",tblFleet[[#This Row],[Available_h]]&gt;0),tblFleet[[#This Row],[Operating_h]]/tblFleet[[#This Row],[Available_h]],"")</f>
        <v/>
      </c>
    </row>
    <row r="2595">
      <c r="A2595" s="54" t="n"/>
      <c r="B2595" s="61" t="n"/>
      <c r="C2595" s="62" t="n"/>
      <c r="D2595" s="57" t="n"/>
      <c r="E2595" s="57" t="n"/>
      <c r="F2595" s="58" t="n"/>
      <c r="G2595" s="66">
        <f>IF(tblFleet[[#This Row],[Units]]="","",tblFleet[[#This Row],[Units]]*24)</f>
        <v/>
      </c>
      <c r="H2595" s="66">
        <f>IF(tblFleet[[#This Row],[Units]]="","",tblFleet[[#This Row],[Calendar_h]]-tblFleet[[#This Row],[Down_h]])</f>
        <v/>
      </c>
      <c r="I2595" s="60">
        <f>IF(AND(tblFleet[[#This Row],[Units]]&lt;&gt;"",tblFleet[[#This Row],[Calendar_h]]&gt;0),tblFleet[[#This Row],[Available_h]]/tblFleet[[#This Row],[Calendar_h]],"")</f>
        <v/>
      </c>
      <c r="J2595" s="60">
        <f>IF(AND(tblFleet[[#This Row],[Units]]&lt;&gt;"",tblFleet[[#This Row],[Available_h]]&gt;0),tblFleet[[#This Row],[Operating_h]]/tblFleet[[#This Row],[Available_h]],"")</f>
        <v/>
      </c>
    </row>
    <row r="2596">
      <c r="A2596" s="54" t="n"/>
      <c r="B2596" s="61" t="n"/>
      <c r="C2596" s="62" t="n"/>
      <c r="D2596" s="57" t="n"/>
      <c r="E2596" s="57" t="n"/>
      <c r="F2596" s="58" t="n"/>
      <c r="G2596" s="66">
        <f>IF(tblFleet[[#This Row],[Units]]="","",tblFleet[[#This Row],[Units]]*24)</f>
        <v/>
      </c>
      <c r="H2596" s="66">
        <f>IF(tblFleet[[#This Row],[Units]]="","",tblFleet[[#This Row],[Calendar_h]]-tblFleet[[#This Row],[Down_h]])</f>
        <v/>
      </c>
      <c r="I2596" s="60">
        <f>IF(AND(tblFleet[[#This Row],[Units]]&lt;&gt;"",tblFleet[[#This Row],[Calendar_h]]&gt;0),tblFleet[[#This Row],[Available_h]]/tblFleet[[#This Row],[Calendar_h]],"")</f>
        <v/>
      </c>
      <c r="J2596" s="60">
        <f>IF(AND(tblFleet[[#This Row],[Units]]&lt;&gt;"",tblFleet[[#This Row],[Available_h]]&gt;0),tblFleet[[#This Row],[Operating_h]]/tblFleet[[#This Row],[Available_h]],"")</f>
        <v/>
      </c>
    </row>
    <row r="2597">
      <c r="A2597" s="54" t="n"/>
      <c r="B2597" s="61" t="n"/>
      <c r="C2597" s="62" t="n"/>
      <c r="D2597" s="57" t="n"/>
      <c r="E2597" s="57" t="n"/>
      <c r="F2597" s="58" t="n"/>
      <c r="G2597" s="66">
        <f>IF(tblFleet[[#This Row],[Units]]="","",tblFleet[[#This Row],[Units]]*24)</f>
        <v/>
      </c>
      <c r="H2597" s="66">
        <f>IF(tblFleet[[#This Row],[Units]]="","",tblFleet[[#This Row],[Calendar_h]]-tblFleet[[#This Row],[Down_h]])</f>
        <v/>
      </c>
      <c r="I2597" s="60">
        <f>IF(AND(tblFleet[[#This Row],[Units]]&lt;&gt;"",tblFleet[[#This Row],[Calendar_h]]&gt;0),tblFleet[[#This Row],[Available_h]]/tblFleet[[#This Row],[Calendar_h]],"")</f>
        <v/>
      </c>
      <c r="J2597" s="60">
        <f>IF(AND(tblFleet[[#This Row],[Units]]&lt;&gt;"",tblFleet[[#This Row],[Available_h]]&gt;0),tblFleet[[#This Row],[Operating_h]]/tblFleet[[#This Row],[Available_h]],"")</f>
        <v/>
      </c>
    </row>
    <row r="2598">
      <c r="A2598" s="54" t="n"/>
      <c r="B2598" s="61" t="n"/>
      <c r="C2598" s="62" t="n"/>
      <c r="D2598" s="57" t="n"/>
      <c r="E2598" s="57" t="n"/>
      <c r="F2598" s="58" t="n"/>
      <c r="G2598" s="66">
        <f>IF(tblFleet[[#This Row],[Units]]="","",tblFleet[[#This Row],[Units]]*24)</f>
        <v/>
      </c>
      <c r="H2598" s="66">
        <f>IF(tblFleet[[#This Row],[Units]]="","",tblFleet[[#This Row],[Calendar_h]]-tblFleet[[#This Row],[Down_h]])</f>
        <v/>
      </c>
      <c r="I2598" s="60">
        <f>IF(AND(tblFleet[[#This Row],[Units]]&lt;&gt;"",tblFleet[[#This Row],[Calendar_h]]&gt;0),tblFleet[[#This Row],[Available_h]]/tblFleet[[#This Row],[Calendar_h]],"")</f>
        <v/>
      </c>
      <c r="J2598" s="60">
        <f>IF(AND(tblFleet[[#This Row],[Units]]&lt;&gt;"",tblFleet[[#This Row],[Available_h]]&gt;0),tblFleet[[#This Row],[Operating_h]]/tblFleet[[#This Row],[Available_h]],"")</f>
        <v/>
      </c>
    </row>
    <row r="2599">
      <c r="A2599" s="54" t="n"/>
      <c r="B2599" s="61" t="n"/>
      <c r="C2599" s="62" t="n"/>
      <c r="D2599" s="57" t="n"/>
      <c r="E2599" s="57" t="n"/>
      <c r="F2599" s="58" t="n"/>
      <c r="G2599" s="66">
        <f>IF(tblFleet[[#This Row],[Units]]="","",tblFleet[[#This Row],[Units]]*24)</f>
        <v/>
      </c>
      <c r="H2599" s="66">
        <f>IF(tblFleet[[#This Row],[Units]]="","",tblFleet[[#This Row],[Calendar_h]]-tblFleet[[#This Row],[Down_h]])</f>
        <v/>
      </c>
      <c r="I2599" s="60">
        <f>IF(AND(tblFleet[[#This Row],[Units]]&lt;&gt;"",tblFleet[[#This Row],[Calendar_h]]&gt;0),tblFleet[[#This Row],[Available_h]]/tblFleet[[#This Row],[Calendar_h]],"")</f>
        <v/>
      </c>
      <c r="J2599" s="60">
        <f>IF(AND(tblFleet[[#This Row],[Units]]&lt;&gt;"",tblFleet[[#This Row],[Available_h]]&gt;0),tblFleet[[#This Row],[Operating_h]]/tblFleet[[#This Row],[Available_h]],"")</f>
        <v/>
      </c>
    </row>
    <row r="2600">
      <c r="A2600" s="54" t="n"/>
      <c r="B2600" s="61" t="n"/>
      <c r="C2600" s="62" t="n"/>
      <c r="D2600" s="57" t="n"/>
      <c r="E2600" s="57" t="n"/>
      <c r="F2600" s="58" t="n"/>
      <c r="G2600" s="66">
        <f>IF(tblFleet[[#This Row],[Units]]="","",tblFleet[[#This Row],[Units]]*24)</f>
        <v/>
      </c>
      <c r="H2600" s="66">
        <f>IF(tblFleet[[#This Row],[Units]]="","",tblFleet[[#This Row],[Calendar_h]]-tblFleet[[#This Row],[Down_h]])</f>
        <v/>
      </c>
      <c r="I2600" s="60">
        <f>IF(AND(tblFleet[[#This Row],[Units]]&lt;&gt;"",tblFleet[[#This Row],[Calendar_h]]&gt;0),tblFleet[[#This Row],[Available_h]]/tblFleet[[#This Row],[Calendar_h]],"")</f>
        <v/>
      </c>
      <c r="J2600" s="60">
        <f>IF(AND(tblFleet[[#This Row],[Units]]&lt;&gt;"",tblFleet[[#This Row],[Available_h]]&gt;0),tblFleet[[#This Row],[Operating_h]]/tblFleet[[#This Row],[Available_h]],"")</f>
        <v/>
      </c>
    </row>
    <row r="2601">
      <c r="A2601" s="54" t="n"/>
      <c r="B2601" s="61" t="n"/>
      <c r="C2601" s="62" t="n"/>
      <c r="D2601" s="57" t="n"/>
      <c r="E2601" s="57" t="n"/>
      <c r="F2601" s="58" t="n"/>
      <c r="G2601" s="66">
        <f>IF(tblFleet[[#This Row],[Units]]="","",tblFleet[[#This Row],[Units]]*24)</f>
        <v/>
      </c>
      <c r="H2601" s="66">
        <f>IF(tblFleet[[#This Row],[Units]]="","",tblFleet[[#This Row],[Calendar_h]]-tblFleet[[#This Row],[Down_h]])</f>
        <v/>
      </c>
      <c r="I2601" s="60">
        <f>IF(AND(tblFleet[[#This Row],[Units]]&lt;&gt;"",tblFleet[[#This Row],[Calendar_h]]&gt;0),tblFleet[[#This Row],[Available_h]]/tblFleet[[#This Row],[Calendar_h]],"")</f>
        <v/>
      </c>
      <c r="J2601" s="60">
        <f>IF(AND(tblFleet[[#This Row],[Units]]&lt;&gt;"",tblFleet[[#This Row],[Available_h]]&gt;0),tblFleet[[#This Row],[Operating_h]]/tblFleet[[#This Row],[Available_h]],"")</f>
        <v/>
      </c>
    </row>
    <row r="2602">
      <c r="A2602" s="54" t="n"/>
      <c r="B2602" s="61" t="n"/>
      <c r="C2602" s="62" t="n"/>
      <c r="D2602" s="57" t="n"/>
      <c r="E2602" s="57" t="n"/>
      <c r="F2602" s="58" t="n"/>
      <c r="G2602" s="66">
        <f>IF(tblFleet[[#This Row],[Units]]="","",tblFleet[[#This Row],[Units]]*24)</f>
        <v/>
      </c>
      <c r="H2602" s="66">
        <f>IF(tblFleet[[#This Row],[Units]]="","",tblFleet[[#This Row],[Calendar_h]]-tblFleet[[#This Row],[Down_h]])</f>
        <v/>
      </c>
      <c r="I2602" s="60">
        <f>IF(AND(tblFleet[[#This Row],[Units]]&lt;&gt;"",tblFleet[[#This Row],[Calendar_h]]&gt;0),tblFleet[[#This Row],[Available_h]]/tblFleet[[#This Row],[Calendar_h]],"")</f>
        <v/>
      </c>
      <c r="J2602" s="60">
        <f>IF(AND(tblFleet[[#This Row],[Units]]&lt;&gt;"",tblFleet[[#This Row],[Available_h]]&gt;0),tblFleet[[#This Row],[Operating_h]]/tblFleet[[#This Row],[Available_h]],"")</f>
        <v/>
      </c>
    </row>
    <row r="2603">
      <c r="A2603" s="54" t="n"/>
      <c r="B2603" s="61" t="n"/>
      <c r="C2603" s="62" t="n"/>
      <c r="D2603" s="57" t="n"/>
      <c r="E2603" s="57" t="n"/>
      <c r="F2603" s="58" t="n"/>
      <c r="G2603" s="66">
        <f>IF(tblFleet[[#This Row],[Units]]="","",tblFleet[[#This Row],[Units]]*24)</f>
        <v/>
      </c>
      <c r="H2603" s="66">
        <f>IF(tblFleet[[#This Row],[Units]]="","",tblFleet[[#This Row],[Calendar_h]]-tblFleet[[#This Row],[Down_h]])</f>
        <v/>
      </c>
      <c r="I2603" s="60">
        <f>IF(AND(tblFleet[[#This Row],[Units]]&lt;&gt;"",tblFleet[[#This Row],[Calendar_h]]&gt;0),tblFleet[[#This Row],[Available_h]]/tblFleet[[#This Row],[Calendar_h]],"")</f>
        <v/>
      </c>
      <c r="J2603" s="60">
        <f>IF(AND(tblFleet[[#This Row],[Units]]&lt;&gt;"",tblFleet[[#This Row],[Available_h]]&gt;0),tblFleet[[#This Row],[Operating_h]]/tblFleet[[#This Row],[Available_h]],"")</f>
        <v/>
      </c>
    </row>
    <row r="2604">
      <c r="A2604" s="54" t="n"/>
      <c r="B2604" s="61" t="n"/>
      <c r="C2604" s="62" t="n"/>
      <c r="D2604" s="57" t="n"/>
      <c r="E2604" s="57" t="n"/>
      <c r="F2604" s="58" t="n"/>
      <c r="G2604" s="66">
        <f>IF(tblFleet[[#This Row],[Units]]="","",tblFleet[[#This Row],[Units]]*24)</f>
        <v/>
      </c>
      <c r="H2604" s="66">
        <f>IF(tblFleet[[#This Row],[Units]]="","",tblFleet[[#This Row],[Calendar_h]]-tblFleet[[#This Row],[Down_h]])</f>
        <v/>
      </c>
      <c r="I2604" s="60">
        <f>IF(AND(tblFleet[[#This Row],[Units]]&lt;&gt;"",tblFleet[[#This Row],[Calendar_h]]&gt;0),tblFleet[[#This Row],[Available_h]]/tblFleet[[#This Row],[Calendar_h]],"")</f>
        <v/>
      </c>
      <c r="J2604" s="60">
        <f>IF(AND(tblFleet[[#This Row],[Units]]&lt;&gt;"",tblFleet[[#This Row],[Available_h]]&gt;0),tblFleet[[#This Row],[Operating_h]]/tblFleet[[#This Row],[Available_h]],"")</f>
        <v/>
      </c>
    </row>
    <row r="2605">
      <c r="A2605" s="54" t="n"/>
      <c r="B2605" s="61" t="n"/>
      <c r="C2605" s="62" t="n"/>
      <c r="D2605" s="57" t="n"/>
      <c r="E2605" s="57" t="n"/>
      <c r="F2605" s="58" t="n"/>
      <c r="G2605" s="66">
        <f>IF(tblFleet[[#This Row],[Units]]="","",tblFleet[[#This Row],[Units]]*24)</f>
        <v/>
      </c>
      <c r="H2605" s="66">
        <f>IF(tblFleet[[#This Row],[Units]]="","",tblFleet[[#This Row],[Calendar_h]]-tblFleet[[#This Row],[Down_h]])</f>
        <v/>
      </c>
      <c r="I2605" s="60">
        <f>IF(AND(tblFleet[[#This Row],[Units]]&lt;&gt;"",tblFleet[[#This Row],[Calendar_h]]&gt;0),tblFleet[[#This Row],[Available_h]]/tblFleet[[#This Row],[Calendar_h]],"")</f>
        <v/>
      </c>
      <c r="J2605" s="60">
        <f>IF(AND(tblFleet[[#This Row],[Units]]&lt;&gt;"",tblFleet[[#This Row],[Available_h]]&gt;0),tblFleet[[#This Row],[Operating_h]]/tblFleet[[#This Row],[Available_h]],"")</f>
        <v/>
      </c>
    </row>
    <row r="2606">
      <c r="A2606" s="54" t="n"/>
      <c r="B2606" s="61" t="n"/>
      <c r="C2606" s="62" t="n"/>
      <c r="D2606" s="57" t="n"/>
      <c r="E2606" s="57" t="n"/>
      <c r="F2606" s="58" t="n"/>
      <c r="G2606" s="66">
        <f>IF(tblFleet[[#This Row],[Units]]="","",tblFleet[[#This Row],[Units]]*24)</f>
        <v/>
      </c>
      <c r="H2606" s="66">
        <f>IF(tblFleet[[#This Row],[Units]]="","",tblFleet[[#This Row],[Calendar_h]]-tblFleet[[#This Row],[Down_h]])</f>
        <v/>
      </c>
      <c r="I2606" s="60">
        <f>IF(AND(tblFleet[[#This Row],[Units]]&lt;&gt;"",tblFleet[[#This Row],[Calendar_h]]&gt;0),tblFleet[[#This Row],[Available_h]]/tblFleet[[#This Row],[Calendar_h]],"")</f>
        <v/>
      </c>
      <c r="J2606" s="60">
        <f>IF(AND(tblFleet[[#This Row],[Units]]&lt;&gt;"",tblFleet[[#This Row],[Available_h]]&gt;0),tblFleet[[#This Row],[Operating_h]]/tblFleet[[#This Row],[Available_h]],"")</f>
        <v/>
      </c>
    </row>
    <row r="2607">
      <c r="A2607" s="54" t="n"/>
      <c r="B2607" s="61" t="n"/>
      <c r="C2607" s="62" t="n"/>
      <c r="D2607" s="57" t="n"/>
      <c r="E2607" s="57" t="n"/>
      <c r="F2607" s="58" t="n"/>
      <c r="G2607" s="66">
        <f>IF(tblFleet[[#This Row],[Units]]="","",tblFleet[[#This Row],[Units]]*24)</f>
        <v/>
      </c>
      <c r="H2607" s="66">
        <f>IF(tblFleet[[#This Row],[Units]]="","",tblFleet[[#This Row],[Calendar_h]]-tblFleet[[#This Row],[Down_h]])</f>
        <v/>
      </c>
      <c r="I2607" s="60">
        <f>IF(AND(tblFleet[[#This Row],[Units]]&lt;&gt;"",tblFleet[[#This Row],[Calendar_h]]&gt;0),tblFleet[[#This Row],[Available_h]]/tblFleet[[#This Row],[Calendar_h]],"")</f>
        <v/>
      </c>
      <c r="J2607" s="60">
        <f>IF(AND(tblFleet[[#This Row],[Units]]&lt;&gt;"",tblFleet[[#This Row],[Available_h]]&gt;0),tblFleet[[#This Row],[Operating_h]]/tblFleet[[#This Row],[Available_h]],"")</f>
        <v/>
      </c>
    </row>
    <row r="2608">
      <c r="A2608" s="54" t="n"/>
      <c r="B2608" s="61" t="n"/>
      <c r="C2608" s="62" t="n"/>
      <c r="D2608" s="57" t="n"/>
      <c r="E2608" s="57" t="n"/>
      <c r="F2608" s="58" t="n"/>
      <c r="G2608" s="66">
        <f>IF(tblFleet[[#This Row],[Units]]="","",tblFleet[[#This Row],[Units]]*24)</f>
        <v/>
      </c>
      <c r="H2608" s="66">
        <f>IF(tblFleet[[#This Row],[Units]]="","",tblFleet[[#This Row],[Calendar_h]]-tblFleet[[#This Row],[Down_h]])</f>
        <v/>
      </c>
      <c r="I2608" s="60">
        <f>IF(AND(tblFleet[[#This Row],[Units]]&lt;&gt;"",tblFleet[[#This Row],[Calendar_h]]&gt;0),tblFleet[[#This Row],[Available_h]]/tblFleet[[#This Row],[Calendar_h]],"")</f>
        <v/>
      </c>
      <c r="J2608" s="60">
        <f>IF(AND(tblFleet[[#This Row],[Units]]&lt;&gt;"",tblFleet[[#This Row],[Available_h]]&gt;0),tblFleet[[#This Row],[Operating_h]]/tblFleet[[#This Row],[Available_h]],"")</f>
        <v/>
      </c>
    </row>
    <row r="2609">
      <c r="A2609" s="54" t="n"/>
      <c r="B2609" s="61" t="n"/>
      <c r="C2609" s="62" t="n"/>
      <c r="D2609" s="57" t="n"/>
      <c r="E2609" s="57" t="n"/>
      <c r="F2609" s="58" t="n"/>
      <c r="G2609" s="66">
        <f>IF(tblFleet[[#This Row],[Units]]="","",tblFleet[[#This Row],[Units]]*24)</f>
        <v/>
      </c>
      <c r="H2609" s="66">
        <f>IF(tblFleet[[#This Row],[Units]]="","",tblFleet[[#This Row],[Calendar_h]]-tblFleet[[#This Row],[Down_h]])</f>
        <v/>
      </c>
      <c r="I2609" s="60">
        <f>IF(AND(tblFleet[[#This Row],[Units]]&lt;&gt;"",tblFleet[[#This Row],[Calendar_h]]&gt;0),tblFleet[[#This Row],[Available_h]]/tblFleet[[#This Row],[Calendar_h]],"")</f>
        <v/>
      </c>
      <c r="J2609" s="60">
        <f>IF(AND(tblFleet[[#This Row],[Units]]&lt;&gt;"",tblFleet[[#This Row],[Available_h]]&gt;0),tblFleet[[#This Row],[Operating_h]]/tblFleet[[#This Row],[Available_h]],"")</f>
        <v/>
      </c>
    </row>
    <row r="2610">
      <c r="A2610" s="54" t="n"/>
      <c r="B2610" s="61" t="n"/>
      <c r="C2610" s="62" t="n"/>
      <c r="D2610" s="57" t="n"/>
      <c r="E2610" s="57" t="n"/>
      <c r="F2610" s="58" t="n"/>
      <c r="G2610" s="66">
        <f>IF(tblFleet[[#This Row],[Units]]="","",tblFleet[[#This Row],[Units]]*24)</f>
        <v/>
      </c>
      <c r="H2610" s="66">
        <f>IF(tblFleet[[#This Row],[Units]]="","",tblFleet[[#This Row],[Calendar_h]]-tblFleet[[#This Row],[Down_h]])</f>
        <v/>
      </c>
      <c r="I2610" s="60">
        <f>IF(AND(tblFleet[[#This Row],[Units]]&lt;&gt;"",tblFleet[[#This Row],[Calendar_h]]&gt;0),tblFleet[[#This Row],[Available_h]]/tblFleet[[#This Row],[Calendar_h]],"")</f>
        <v/>
      </c>
      <c r="J2610" s="60">
        <f>IF(AND(tblFleet[[#This Row],[Units]]&lt;&gt;"",tblFleet[[#This Row],[Available_h]]&gt;0),tblFleet[[#This Row],[Operating_h]]/tblFleet[[#This Row],[Available_h]],"")</f>
        <v/>
      </c>
    </row>
    <row r="2611">
      <c r="A2611" s="54" t="n"/>
      <c r="B2611" s="61" t="n"/>
      <c r="C2611" s="62" t="n"/>
      <c r="D2611" s="57" t="n"/>
      <c r="E2611" s="57" t="n"/>
      <c r="F2611" s="58" t="n"/>
      <c r="G2611" s="66">
        <f>IF(tblFleet[[#This Row],[Units]]="","",tblFleet[[#This Row],[Units]]*24)</f>
        <v/>
      </c>
      <c r="H2611" s="66">
        <f>IF(tblFleet[[#This Row],[Units]]="","",tblFleet[[#This Row],[Calendar_h]]-tblFleet[[#This Row],[Down_h]])</f>
        <v/>
      </c>
      <c r="I2611" s="60">
        <f>IF(AND(tblFleet[[#This Row],[Units]]&lt;&gt;"",tblFleet[[#This Row],[Calendar_h]]&gt;0),tblFleet[[#This Row],[Available_h]]/tblFleet[[#This Row],[Calendar_h]],"")</f>
        <v/>
      </c>
      <c r="J2611" s="60">
        <f>IF(AND(tblFleet[[#This Row],[Units]]&lt;&gt;"",tblFleet[[#This Row],[Available_h]]&gt;0),tblFleet[[#This Row],[Operating_h]]/tblFleet[[#This Row],[Available_h]],"")</f>
        <v/>
      </c>
    </row>
    <row r="2612">
      <c r="A2612" s="54" t="n"/>
      <c r="B2612" s="61" t="n"/>
      <c r="C2612" s="62" t="n"/>
      <c r="D2612" s="57" t="n"/>
      <c r="E2612" s="57" t="n"/>
      <c r="F2612" s="58" t="n"/>
      <c r="G2612" s="66">
        <f>IF(tblFleet[[#This Row],[Units]]="","",tblFleet[[#This Row],[Units]]*24)</f>
        <v/>
      </c>
      <c r="H2612" s="66">
        <f>IF(tblFleet[[#This Row],[Units]]="","",tblFleet[[#This Row],[Calendar_h]]-tblFleet[[#This Row],[Down_h]])</f>
        <v/>
      </c>
      <c r="I2612" s="60">
        <f>IF(AND(tblFleet[[#This Row],[Units]]&lt;&gt;"",tblFleet[[#This Row],[Calendar_h]]&gt;0),tblFleet[[#This Row],[Available_h]]/tblFleet[[#This Row],[Calendar_h]],"")</f>
        <v/>
      </c>
      <c r="J2612" s="60">
        <f>IF(AND(tblFleet[[#This Row],[Units]]&lt;&gt;"",tblFleet[[#This Row],[Available_h]]&gt;0),tblFleet[[#This Row],[Operating_h]]/tblFleet[[#This Row],[Available_h]],"")</f>
        <v/>
      </c>
    </row>
    <row r="2613">
      <c r="A2613" s="54" t="n"/>
      <c r="B2613" s="61" t="n"/>
      <c r="C2613" s="62" t="n"/>
      <c r="D2613" s="57" t="n"/>
      <c r="E2613" s="57" t="n"/>
      <c r="F2613" s="58" t="n"/>
      <c r="G2613" s="66">
        <f>IF(tblFleet[[#This Row],[Units]]="","",tblFleet[[#This Row],[Units]]*24)</f>
        <v/>
      </c>
      <c r="H2613" s="66">
        <f>IF(tblFleet[[#This Row],[Units]]="","",tblFleet[[#This Row],[Calendar_h]]-tblFleet[[#This Row],[Down_h]])</f>
        <v/>
      </c>
      <c r="I2613" s="60">
        <f>IF(AND(tblFleet[[#This Row],[Units]]&lt;&gt;"",tblFleet[[#This Row],[Calendar_h]]&gt;0),tblFleet[[#This Row],[Available_h]]/tblFleet[[#This Row],[Calendar_h]],"")</f>
        <v/>
      </c>
      <c r="J2613" s="60">
        <f>IF(AND(tblFleet[[#This Row],[Units]]&lt;&gt;"",tblFleet[[#This Row],[Available_h]]&gt;0),tblFleet[[#This Row],[Operating_h]]/tblFleet[[#This Row],[Available_h]],"")</f>
        <v/>
      </c>
    </row>
    <row r="2614">
      <c r="A2614" s="54" t="n"/>
      <c r="B2614" s="61" t="n"/>
      <c r="C2614" s="62" t="n"/>
      <c r="D2614" s="57" t="n"/>
      <c r="E2614" s="57" t="n"/>
      <c r="F2614" s="58" t="n"/>
      <c r="G2614" s="66">
        <f>IF(tblFleet[[#This Row],[Units]]="","",tblFleet[[#This Row],[Units]]*24)</f>
        <v/>
      </c>
      <c r="H2614" s="66">
        <f>IF(tblFleet[[#This Row],[Units]]="","",tblFleet[[#This Row],[Calendar_h]]-tblFleet[[#This Row],[Down_h]])</f>
        <v/>
      </c>
      <c r="I2614" s="60">
        <f>IF(AND(tblFleet[[#This Row],[Units]]&lt;&gt;"",tblFleet[[#This Row],[Calendar_h]]&gt;0),tblFleet[[#This Row],[Available_h]]/tblFleet[[#This Row],[Calendar_h]],"")</f>
        <v/>
      </c>
      <c r="J2614" s="60">
        <f>IF(AND(tblFleet[[#This Row],[Units]]&lt;&gt;"",tblFleet[[#This Row],[Available_h]]&gt;0),tblFleet[[#This Row],[Operating_h]]/tblFleet[[#This Row],[Available_h]],"")</f>
        <v/>
      </c>
    </row>
    <row r="2615">
      <c r="A2615" s="54" t="n"/>
      <c r="B2615" s="61" t="n"/>
      <c r="C2615" s="62" t="n"/>
      <c r="D2615" s="57" t="n"/>
      <c r="E2615" s="57" t="n"/>
      <c r="F2615" s="58" t="n"/>
      <c r="G2615" s="66">
        <f>IF(tblFleet[[#This Row],[Units]]="","",tblFleet[[#This Row],[Units]]*24)</f>
        <v/>
      </c>
      <c r="H2615" s="66">
        <f>IF(tblFleet[[#This Row],[Units]]="","",tblFleet[[#This Row],[Calendar_h]]-tblFleet[[#This Row],[Down_h]])</f>
        <v/>
      </c>
      <c r="I2615" s="60">
        <f>IF(AND(tblFleet[[#This Row],[Units]]&lt;&gt;"",tblFleet[[#This Row],[Calendar_h]]&gt;0),tblFleet[[#This Row],[Available_h]]/tblFleet[[#This Row],[Calendar_h]],"")</f>
        <v/>
      </c>
      <c r="J2615" s="60">
        <f>IF(AND(tblFleet[[#This Row],[Units]]&lt;&gt;"",tblFleet[[#This Row],[Available_h]]&gt;0),tblFleet[[#This Row],[Operating_h]]/tblFleet[[#This Row],[Available_h]],"")</f>
        <v/>
      </c>
    </row>
    <row r="2616">
      <c r="A2616" s="54" t="n"/>
      <c r="B2616" s="61" t="n"/>
      <c r="C2616" s="62" t="n"/>
      <c r="D2616" s="57" t="n"/>
      <c r="E2616" s="57" t="n"/>
      <c r="F2616" s="58" t="n"/>
      <c r="G2616" s="66">
        <f>IF(tblFleet[[#This Row],[Units]]="","",tblFleet[[#This Row],[Units]]*24)</f>
        <v/>
      </c>
      <c r="H2616" s="66">
        <f>IF(tblFleet[[#This Row],[Units]]="","",tblFleet[[#This Row],[Calendar_h]]-tblFleet[[#This Row],[Down_h]])</f>
        <v/>
      </c>
      <c r="I2616" s="60">
        <f>IF(AND(tblFleet[[#This Row],[Units]]&lt;&gt;"",tblFleet[[#This Row],[Calendar_h]]&gt;0),tblFleet[[#This Row],[Available_h]]/tblFleet[[#This Row],[Calendar_h]],"")</f>
        <v/>
      </c>
      <c r="J2616" s="60">
        <f>IF(AND(tblFleet[[#This Row],[Units]]&lt;&gt;"",tblFleet[[#This Row],[Available_h]]&gt;0),tblFleet[[#This Row],[Operating_h]]/tblFleet[[#This Row],[Available_h]],"")</f>
        <v/>
      </c>
    </row>
    <row r="2617">
      <c r="A2617" s="54" t="n"/>
      <c r="B2617" s="61" t="n"/>
      <c r="C2617" s="62" t="n"/>
      <c r="D2617" s="57" t="n"/>
      <c r="E2617" s="57" t="n"/>
      <c r="F2617" s="58" t="n"/>
      <c r="G2617" s="66">
        <f>IF(tblFleet[[#This Row],[Units]]="","",tblFleet[[#This Row],[Units]]*24)</f>
        <v/>
      </c>
      <c r="H2617" s="66">
        <f>IF(tblFleet[[#This Row],[Units]]="","",tblFleet[[#This Row],[Calendar_h]]-tblFleet[[#This Row],[Down_h]])</f>
        <v/>
      </c>
      <c r="I2617" s="60">
        <f>IF(AND(tblFleet[[#This Row],[Units]]&lt;&gt;"",tblFleet[[#This Row],[Calendar_h]]&gt;0),tblFleet[[#This Row],[Available_h]]/tblFleet[[#This Row],[Calendar_h]],"")</f>
        <v/>
      </c>
      <c r="J2617" s="60">
        <f>IF(AND(tblFleet[[#This Row],[Units]]&lt;&gt;"",tblFleet[[#This Row],[Available_h]]&gt;0),tblFleet[[#This Row],[Operating_h]]/tblFleet[[#This Row],[Available_h]],"")</f>
        <v/>
      </c>
    </row>
    <row r="2618">
      <c r="A2618" s="54" t="n"/>
      <c r="B2618" s="61" t="n"/>
      <c r="C2618" s="62" t="n"/>
      <c r="D2618" s="57" t="n"/>
      <c r="E2618" s="57" t="n"/>
      <c r="F2618" s="58" t="n"/>
      <c r="G2618" s="66">
        <f>IF(tblFleet[[#This Row],[Units]]="","",tblFleet[[#This Row],[Units]]*24)</f>
        <v/>
      </c>
      <c r="H2618" s="66">
        <f>IF(tblFleet[[#This Row],[Units]]="","",tblFleet[[#This Row],[Calendar_h]]-tblFleet[[#This Row],[Down_h]])</f>
        <v/>
      </c>
      <c r="I2618" s="60">
        <f>IF(AND(tblFleet[[#This Row],[Units]]&lt;&gt;"",tblFleet[[#This Row],[Calendar_h]]&gt;0),tblFleet[[#This Row],[Available_h]]/tblFleet[[#This Row],[Calendar_h]],"")</f>
        <v/>
      </c>
      <c r="J2618" s="60">
        <f>IF(AND(tblFleet[[#This Row],[Units]]&lt;&gt;"",tblFleet[[#This Row],[Available_h]]&gt;0),tblFleet[[#This Row],[Operating_h]]/tblFleet[[#This Row],[Available_h]],"")</f>
        <v/>
      </c>
    </row>
    <row r="2619">
      <c r="A2619" s="54" t="n"/>
      <c r="B2619" s="61" t="n"/>
      <c r="C2619" s="62" t="n"/>
      <c r="D2619" s="57" t="n"/>
      <c r="E2619" s="57" t="n"/>
      <c r="F2619" s="58" t="n"/>
      <c r="G2619" s="66">
        <f>IF(tblFleet[[#This Row],[Units]]="","",tblFleet[[#This Row],[Units]]*24)</f>
        <v/>
      </c>
      <c r="H2619" s="66">
        <f>IF(tblFleet[[#This Row],[Units]]="","",tblFleet[[#This Row],[Calendar_h]]-tblFleet[[#This Row],[Down_h]])</f>
        <v/>
      </c>
      <c r="I2619" s="60">
        <f>IF(AND(tblFleet[[#This Row],[Units]]&lt;&gt;"",tblFleet[[#This Row],[Calendar_h]]&gt;0),tblFleet[[#This Row],[Available_h]]/tblFleet[[#This Row],[Calendar_h]],"")</f>
        <v/>
      </c>
      <c r="J2619" s="60">
        <f>IF(AND(tblFleet[[#This Row],[Units]]&lt;&gt;"",tblFleet[[#This Row],[Available_h]]&gt;0),tblFleet[[#This Row],[Operating_h]]/tblFleet[[#This Row],[Available_h]],"")</f>
        <v/>
      </c>
    </row>
    <row r="2620">
      <c r="A2620" s="54" t="n"/>
      <c r="B2620" s="61" t="n"/>
      <c r="C2620" s="62" t="n"/>
      <c r="D2620" s="57" t="n"/>
      <c r="E2620" s="57" t="n"/>
      <c r="F2620" s="58" t="n"/>
      <c r="G2620" s="66">
        <f>IF(tblFleet[[#This Row],[Units]]="","",tblFleet[[#This Row],[Units]]*24)</f>
        <v/>
      </c>
      <c r="H2620" s="66">
        <f>IF(tblFleet[[#This Row],[Units]]="","",tblFleet[[#This Row],[Calendar_h]]-tblFleet[[#This Row],[Down_h]])</f>
        <v/>
      </c>
      <c r="I2620" s="60">
        <f>IF(AND(tblFleet[[#This Row],[Units]]&lt;&gt;"",tblFleet[[#This Row],[Calendar_h]]&gt;0),tblFleet[[#This Row],[Available_h]]/tblFleet[[#This Row],[Calendar_h]],"")</f>
        <v/>
      </c>
      <c r="J2620" s="60">
        <f>IF(AND(tblFleet[[#This Row],[Units]]&lt;&gt;"",tblFleet[[#This Row],[Available_h]]&gt;0),tblFleet[[#This Row],[Operating_h]]/tblFleet[[#This Row],[Available_h]],"")</f>
        <v/>
      </c>
    </row>
    <row r="2621">
      <c r="A2621" s="54" t="n"/>
      <c r="B2621" s="61" t="n"/>
      <c r="C2621" s="62" t="n"/>
      <c r="D2621" s="57" t="n"/>
      <c r="E2621" s="57" t="n"/>
      <c r="F2621" s="58" t="n"/>
      <c r="G2621" s="66">
        <f>IF(tblFleet[[#This Row],[Units]]="","",tblFleet[[#This Row],[Units]]*24)</f>
        <v/>
      </c>
      <c r="H2621" s="66">
        <f>IF(tblFleet[[#This Row],[Units]]="","",tblFleet[[#This Row],[Calendar_h]]-tblFleet[[#This Row],[Down_h]])</f>
        <v/>
      </c>
      <c r="I2621" s="60">
        <f>IF(AND(tblFleet[[#This Row],[Units]]&lt;&gt;"",tblFleet[[#This Row],[Calendar_h]]&gt;0),tblFleet[[#This Row],[Available_h]]/tblFleet[[#This Row],[Calendar_h]],"")</f>
        <v/>
      </c>
      <c r="J2621" s="60">
        <f>IF(AND(tblFleet[[#This Row],[Units]]&lt;&gt;"",tblFleet[[#This Row],[Available_h]]&gt;0),tblFleet[[#This Row],[Operating_h]]/tblFleet[[#This Row],[Available_h]],"")</f>
        <v/>
      </c>
    </row>
    <row r="2622">
      <c r="A2622" s="54" t="n"/>
      <c r="B2622" s="61" t="n"/>
      <c r="C2622" s="62" t="n"/>
      <c r="D2622" s="57" t="n"/>
      <c r="E2622" s="57" t="n"/>
      <c r="F2622" s="58" t="n"/>
      <c r="G2622" s="66">
        <f>IF(tblFleet[[#This Row],[Units]]="","",tblFleet[[#This Row],[Units]]*24)</f>
        <v/>
      </c>
      <c r="H2622" s="66">
        <f>IF(tblFleet[[#This Row],[Units]]="","",tblFleet[[#This Row],[Calendar_h]]-tblFleet[[#This Row],[Down_h]])</f>
        <v/>
      </c>
      <c r="I2622" s="60">
        <f>IF(AND(tblFleet[[#This Row],[Units]]&lt;&gt;"",tblFleet[[#This Row],[Calendar_h]]&gt;0),tblFleet[[#This Row],[Available_h]]/tblFleet[[#This Row],[Calendar_h]],"")</f>
        <v/>
      </c>
      <c r="J2622" s="60">
        <f>IF(AND(tblFleet[[#This Row],[Units]]&lt;&gt;"",tblFleet[[#This Row],[Available_h]]&gt;0),tblFleet[[#This Row],[Operating_h]]/tblFleet[[#This Row],[Available_h]],"")</f>
        <v/>
      </c>
    </row>
    <row r="2623">
      <c r="A2623" s="54" t="n"/>
      <c r="B2623" s="61" t="n"/>
      <c r="C2623" s="62" t="n"/>
      <c r="D2623" s="57" t="n"/>
      <c r="E2623" s="57" t="n"/>
      <c r="F2623" s="58" t="n"/>
      <c r="G2623" s="66">
        <f>IF(tblFleet[[#This Row],[Units]]="","",tblFleet[[#This Row],[Units]]*24)</f>
        <v/>
      </c>
      <c r="H2623" s="66">
        <f>IF(tblFleet[[#This Row],[Units]]="","",tblFleet[[#This Row],[Calendar_h]]-tblFleet[[#This Row],[Down_h]])</f>
        <v/>
      </c>
      <c r="I2623" s="60">
        <f>IF(AND(tblFleet[[#This Row],[Units]]&lt;&gt;"",tblFleet[[#This Row],[Calendar_h]]&gt;0),tblFleet[[#This Row],[Available_h]]/tblFleet[[#This Row],[Calendar_h]],"")</f>
        <v/>
      </c>
      <c r="J2623" s="60">
        <f>IF(AND(tblFleet[[#This Row],[Units]]&lt;&gt;"",tblFleet[[#This Row],[Available_h]]&gt;0),tblFleet[[#This Row],[Operating_h]]/tblFleet[[#This Row],[Available_h]],"")</f>
        <v/>
      </c>
    </row>
    <row r="2624">
      <c r="A2624" s="54" t="n"/>
      <c r="B2624" s="61" t="n"/>
      <c r="C2624" s="62" t="n"/>
      <c r="D2624" s="57" t="n"/>
      <c r="E2624" s="57" t="n"/>
      <c r="F2624" s="58" t="n"/>
      <c r="G2624" s="66">
        <f>IF(tblFleet[[#This Row],[Units]]="","",tblFleet[[#This Row],[Units]]*24)</f>
        <v/>
      </c>
      <c r="H2624" s="66">
        <f>IF(tblFleet[[#This Row],[Units]]="","",tblFleet[[#This Row],[Calendar_h]]-tblFleet[[#This Row],[Down_h]])</f>
        <v/>
      </c>
      <c r="I2624" s="60">
        <f>IF(AND(tblFleet[[#This Row],[Units]]&lt;&gt;"",tblFleet[[#This Row],[Calendar_h]]&gt;0),tblFleet[[#This Row],[Available_h]]/tblFleet[[#This Row],[Calendar_h]],"")</f>
        <v/>
      </c>
      <c r="J2624" s="60">
        <f>IF(AND(tblFleet[[#This Row],[Units]]&lt;&gt;"",tblFleet[[#This Row],[Available_h]]&gt;0),tblFleet[[#This Row],[Operating_h]]/tblFleet[[#This Row],[Available_h]],"")</f>
        <v/>
      </c>
    </row>
    <row r="2625">
      <c r="A2625" s="54" t="n"/>
      <c r="B2625" s="61" t="n"/>
      <c r="C2625" s="62" t="n"/>
      <c r="D2625" s="57" t="n"/>
      <c r="E2625" s="57" t="n"/>
      <c r="F2625" s="58" t="n"/>
      <c r="G2625" s="66">
        <f>IF(tblFleet[[#This Row],[Units]]="","",tblFleet[[#This Row],[Units]]*24)</f>
        <v/>
      </c>
      <c r="H2625" s="66">
        <f>IF(tblFleet[[#This Row],[Units]]="","",tblFleet[[#This Row],[Calendar_h]]-tblFleet[[#This Row],[Down_h]])</f>
        <v/>
      </c>
      <c r="I2625" s="60">
        <f>IF(AND(tblFleet[[#This Row],[Units]]&lt;&gt;"",tblFleet[[#This Row],[Calendar_h]]&gt;0),tblFleet[[#This Row],[Available_h]]/tblFleet[[#This Row],[Calendar_h]],"")</f>
        <v/>
      </c>
      <c r="J2625" s="60">
        <f>IF(AND(tblFleet[[#This Row],[Units]]&lt;&gt;"",tblFleet[[#This Row],[Available_h]]&gt;0),tblFleet[[#This Row],[Operating_h]]/tblFleet[[#This Row],[Available_h]],"")</f>
        <v/>
      </c>
    </row>
    <row r="2626">
      <c r="A2626" s="54" t="n"/>
      <c r="B2626" s="61" t="n"/>
      <c r="C2626" s="62" t="n"/>
      <c r="D2626" s="57" t="n"/>
      <c r="E2626" s="57" t="n"/>
      <c r="F2626" s="58" t="n"/>
      <c r="G2626" s="66">
        <f>IF(tblFleet[[#This Row],[Units]]="","",tblFleet[[#This Row],[Units]]*24)</f>
        <v/>
      </c>
      <c r="H2626" s="66">
        <f>IF(tblFleet[[#This Row],[Units]]="","",tblFleet[[#This Row],[Calendar_h]]-tblFleet[[#This Row],[Down_h]])</f>
        <v/>
      </c>
      <c r="I2626" s="60">
        <f>IF(AND(tblFleet[[#This Row],[Units]]&lt;&gt;"",tblFleet[[#This Row],[Calendar_h]]&gt;0),tblFleet[[#This Row],[Available_h]]/tblFleet[[#This Row],[Calendar_h]],"")</f>
        <v/>
      </c>
      <c r="J2626" s="60">
        <f>IF(AND(tblFleet[[#This Row],[Units]]&lt;&gt;"",tblFleet[[#This Row],[Available_h]]&gt;0),tblFleet[[#This Row],[Operating_h]]/tblFleet[[#This Row],[Available_h]],"")</f>
        <v/>
      </c>
    </row>
    <row r="2627">
      <c r="A2627" s="54" t="n"/>
      <c r="B2627" s="61" t="n"/>
      <c r="C2627" s="62" t="n"/>
      <c r="D2627" s="57" t="n"/>
      <c r="E2627" s="57" t="n"/>
      <c r="F2627" s="58" t="n"/>
      <c r="G2627" s="66">
        <f>IF(tblFleet[[#This Row],[Units]]="","",tblFleet[[#This Row],[Units]]*24)</f>
        <v/>
      </c>
      <c r="H2627" s="66">
        <f>IF(tblFleet[[#This Row],[Units]]="","",tblFleet[[#This Row],[Calendar_h]]-tblFleet[[#This Row],[Down_h]])</f>
        <v/>
      </c>
      <c r="I2627" s="60">
        <f>IF(AND(tblFleet[[#This Row],[Units]]&lt;&gt;"",tblFleet[[#This Row],[Calendar_h]]&gt;0),tblFleet[[#This Row],[Available_h]]/tblFleet[[#This Row],[Calendar_h]],"")</f>
        <v/>
      </c>
      <c r="J2627" s="60">
        <f>IF(AND(tblFleet[[#This Row],[Units]]&lt;&gt;"",tblFleet[[#This Row],[Available_h]]&gt;0),tblFleet[[#This Row],[Operating_h]]/tblFleet[[#This Row],[Available_h]],"")</f>
        <v/>
      </c>
    </row>
    <row r="2628">
      <c r="A2628" s="54" t="n"/>
      <c r="B2628" s="61" t="n"/>
      <c r="C2628" s="62" t="n"/>
      <c r="D2628" s="57" t="n"/>
      <c r="E2628" s="57" t="n"/>
      <c r="F2628" s="58" t="n"/>
      <c r="G2628" s="66">
        <f>IF(tblFleet[[#This Row],[Units]]="","",tblFleet[[#This Row],[Units]]*24)</f>
        <v/>
      </c>
      <c r="H2628" s="66">
        <f>IF(tblFleet[[#This Row],[Units]]="","",tblFleet[[#This Row],[Calendar_h]]-tblFleet[[#This Row],[Down_h]])</f>
        <v/>
      </c>
      <c r="I2628" s="60">
        <f>IF(AND(tblFleet[[#This Row],[Units]]&lt;&gt;"",tblFleet[[#This Row],[Calendar_h]]&gt;0),tblFleet[[#This Row],[Available_h]]/tblFleet[[#This Row],[Calendar_h]],"")</f>
        <v/>
      </c>
      <c r="J2628" s="60">
        <f>IF(AND(tblFleet[[#This Row],[Units]]&lt;&gt;"",tblFleet[[#This Row],[Available_h]]&gt;0),tblFleet[[#This Row],[Operating_h]]/tblFleet[[#This Row],[Available_h]],"")</f>
        <v/>
      </c>
    </row>
    <row r="2629">
      <c r="A2629" s="54" t="n"/>
      <c r="B2629" s="61" t="n"/>
      <c r="C2629" s="62" t="n"/>
      <c r="D2629" s="57" t="n"/>
      <c r="E2629" s="57" t="n"/>
      <c r="F2629" s="58" t="n"/>
      <c r="G2629" s="66">
        <f>IF(tblFleet[[#This Row],[Units]]="","",tblFleet[[#This Row],[Units]]*24)</f>
        <v/>
      </c>
      <c r="H2629" s="66">
        <f>IF(tblFleet[[#This Row],[Units]]="","",tblFleet[[#This Row],[Calendar_h]]-tblFleet[[#This Row],[Down_h]])</f>
        <v/>
      </c>
      <c r="I2629" s="60">
        <f>IF(AND(tblFleet[[#This Row],[Units]]&lt;&gt;"",tblFleet[[#This Row],[Calendar_h]]&gt;0),tblFleet[[#This Row],[Available_h]]/tblFleet[[#This Row],[Calendar_h]],"")</f>
        <v/>
      </c>
      <c r="J2629" s="60">
        <f>IF(AND(tblFleet[[#This Row],[Units]]&lt;&gt;"",tblFleet[[#This Row],[Available_h]]&gt;0),tblFleet[[#This Row],[Operating_h]]/tblFleet[[#This Row],[Available_h]],"")</f>
        <v/>
      </c>
    </row>
    <row r="2630">
      <c r="A2630" s="54" t="n"/>
      <c r="B2630" s="61" t="n"/>
      <c r="C2630" s="62" t="n"/>
      <c r="D2630" s="57" t="n"/>
      <c r="E2630" s="57" t="n"/>
      <c r="F2630" s="58" t="n"/>
      <c r="G2630" s="66">
        <f>IF(tblFleet[[#This Row],[Units]]="","",tblFleet[[#This Row],[Units]]*24)</f>
        <v/>
      </c>
      <c r="H2630" s="66">
        <f>IF(tblFleet[[#This Row],[Units]]="","",tblFleet[[#This Row],[Calendar_h]]-tblFleet[[#This Row],[Down_h]])</f>
        <v/>
      </c>
      <c r="I2630" s="60">
        <f>IF(AND(tblFleet[[#This Row],[Units]]&lt;&gt;"",tblFleet[[#This Row],[Calendar_h]]&gt;0),tblFleet[[#This Row],[Available_h]]/tblFleet[[#This Row],[Calendar_h]],"")</f>
        <v/>
      </c>
      <c r="J2630" s="60">
        <f>IF(AND(tblFleet[[#This Row],[Units]]&lt;&gt;"",tblFleet[[#This Row],[Available_h]]&gt;0),tblFleet[[#This Row],[Operating_h]]/tblFleet[[#This Row],[Available_h]],"")</f>
        <v/>
      </c>
    </row>
    <row r="2631">
      <c r="A2631" s="54" t="n"/>
      <c r="B2631" s="61" t="n"/>
      <c r="C2631" s="62" t="n"/>
      <c r="D2631" s="57" t="n"/>
      <c r="E2631" s="57" t="n"/>
      <c r="F2631" s="58" t="n"/>
      <c r="G2631" s="66">
        <f>IF(tblFleet[[#This Row],[Units]]="","",tblFleet[[#This Row],[Units]]*24)</f>
        <v/>
      </c>
      <c r="H2631" s="66">
        <f>IF(tblFleet[[#This Row],[Units]]="","",tblFleet[[#This Row],[Calendar_h]]-tblFleet[[#This Row],[Down_h]])</f>
        <v/>
      </c>
      <c r="I2631" s="60">
        <f>IF(AND(tblFleet[[#This Row],[Units]]&lt;&gt;"",tblFleet[[#This Row],[Calendar_h]]&gt;0),tblFleet[[#This Row],[Available_h]]/tblFleet[[#This Row],[Calendar_h]],"")</f>
        <v/>
      </c>
      <c r="J2631" s="60">
        <f>IF(AND(tblFleet[[#This Row],[Units]]&lt;&gt;"",tblFleet[[#This Row],[Available_h]]&gt;0),tblFleet[[#This Row],[Operating_h]]/tblFleet[[#This Row],[Available_h]],"")</f>
        <v/>
      </c>
    </row>
    <row r="2632">
      <c r="A2632" s="54" t="n"/>
      <c r="B2632" s="61" t="n"/>
      <c r="C2632" s="62" t="n"/>
      <c r="D2632" s="57" t="n"/>
      <c r="E2632" s="57" t="n"/>
      <c r="F2632" s="58" t="n"/>
      <c r="G2632" s="66">
        <f>IF(tblFleet[[#This Row],[Units]]="","",tblFleet[[#This Row],[Units]]*24)</f>
        <v/>
      </c>
      <c r="H2632" s="66">
        <f>IF(tblFleet[[#This Row],[Units]]="","",tblFleet[[#This Row],[Calendar_h]]-tblFleet[[#This Row],[Down_h]])</f>
        <v/>
      </c>
      <c r="I2632" s="60">
        <f>IF(AND(tblFleet[[#This Row],[Units]]&lt;&gt;"",tblFleet[[#This Row],[Calendar_h]]&gt;0),tblFleet[[#This Row],[Available_h]]/tblFleet[[#This Row],[Calendar_h]],"")</f>
        <v/>
      </c>
      <c r="J2632" s="60">
        <f>IF(AND(tblFleet[[#This Row],[Units]]&lt;&gt;"",tblFleet[[#This Row],[Available_h]]&gt;0),tblFleet[[#This Row],[Operating_h]]/tblFleet[[#This Row],[Available_h]],"")</f>
        <v/>
      </c>
    </row>
    <row r="2633">
      <c r="A2633" s="54" t="n"/>
      <c r="B2633" s="61" t="n"/>
      <c r="C2633" s="62" t="n"/>
      <c r="D2633" s="57" t="n"/>
      <c r="E2633" s="57" t="n"/>
      <c r="F2633" s="58" t="n"/>
      <c r="G2633" s="66">
        <f>IF(tblFleet[[#This Row],[Units]]="","",tblFleet[[#This Row],[Units]]*24)</f>
        <v/>
      </c>
      <c r="H2633" s="66">
        <f>IF(tblFleet[[#This Row],[Units]]="","",tblFleet[[#This Row],[Calendar_h]]-tblFleet[[#This Row],[Down_h]])</f>
        <v/>
      </c>
      <c r="I2633" s="60">
        <f>IF(AND(tblFleet[[#This Row],[Units]]&lt;&gt;"",tblFleet[[#This Row],[Calendar_h]]&gt;0),tblFleet[[#This Row],[Available_h]]/tblFleet[[#This Row],[Calendar_h]],"")</f>
        <v/>
      </c>
      <c r="J2633" s="60">
        <f>IF(AND(tblFleet[[#This Row],[Units]]&lt;&gt;"",tblFleet[[#This Row],[Available_h]]&gt;0),tblFleet[[#This Row],[Operating_h]]/tblFleet[[#This Row],[Available_h]],"")</f>
        <v/>
      </c>
    </row>
    <row r="2634">
      <c r="A2634" s="54" t="n"/>
      <c r="B2634" s="61" t="n"/>
      <c r="C2634" s="62" t="n"/>
      <c r="D2634" s="57" t="n"/>
      <c r="E2634" s="57" t="n"/>
      <c r="F2634" s="58" t="n"/>
      <c r="G2634" s="66">
        <f>IF(tblFleet[[#This Row],[Units]]="","",tblFleet[[#This Row],[Units]]*24)</f>
        <v/>
      </c>
      <c r="H2634" s="66">
        <f>IF(tblFleet[[#This Row],[Units]]="","",tblFleet[[#This Row],[Calendar_h]]-tblFleet[[#This Row],[Down_h]])</f>
        <v/>
      </c>
      <c r="I2634" s="60">
        <f>IF(AND(tblFleet[[#This Row],[Units]]&lt;&gt;"",tblFleet[[#This Row],[Calendar_h]]&gt;0),tblFleet[[#This Row],[Available_h]]/tblFleet[[#This Row],[Calendar_h]],"")</f>
        <v/>
      </c>
      <c r="J2634" s="60">
        <f>IF(AND(tblFleet[[#This Row],[Units]]&lt;&gt;"",tblFleet[[#This Row],[Available_h]]&gt;0),tblFleet[[#This Row],[Operating_h]]/tblFleet[[#This Row],[Available_h]],"")</f>
        <v/>
      </c>
    </row>
    <row r="2635">
      <c r="A2635" s="54" t="n"/>
      <c r="B2635" s="61" t="n"/>
      <c r="C2635" s="62" t="n"/>
      <c r="D2635" s="57" t="n"/>
      <c r="E2635" s="57" t="n"/>
      <c r="F2635" s="58" t="n"/>
      <c r="G2635" s="66">
        <f>IF(tblFleet[[#This Row],[Units]]="","",tblFleet[[#This Row],[Units]]*24)</f>
        <v/>
      </c>
      <c r="H2635" s="66">
        <f>IF(tblFleet[[#This Row],[Units]]="","",tblFleet[[#This Row],[Calendar_h]]-tblFleet[[#This Row],[Down_h]])</f>
        <v/>
      </c>
      <c r="I2635" s="60">
        <f>IF(AND(tblFleet[[#This Row],[Units]]&lt;&gt;"",tblFleet[[#This Row],[Calendar_h]]&gt;0),tblFleet[[#This Row],[Available_h]]/tblFleet[[#This Row],[Calendar_h]],"")</f>
        <v/>
      </c>
      <c r="J2635" s="60">
        <f>IF(AND(tblFleet[[#This Row],[Units]]&lt;&gt;"",tblFleet[[#This Row],[Available_h]]&gt;0),tblFleet[[#This Row],[Operating_h]]/tblFleet[[#This Row],[Available_h]],"")</f>
        <v/>
      </c>
    </row>
    <row r="2636">
      <c r="A2636" s="54" t="n"/>
      <c r="B2636" s="61" t="n"/>
      <c r="C2636" s="62" t="n"/>
      <c r="D2636" s="57" t="n"/>
      <c r="E2636" s="57" t="n"/>
      <c r="F2636" s="58" t="n"/>
      <c r="G2636" s="66">
        <f>IF(tblFleet[[#This Row],[Units]]="","",tblFleet[[#This Row],[Units]]*24)</f>
        <v/>
      </c>
      <c r="H2636" s="66">
        <f>IF(tblFleet[[#This Row],[Units]]="","",tblFleet[[#This Row],[Calendar_h]]-tblFleet[[#This Row],[Down_h]])</f>
        <v/>
      </c>
      <c r="I2636" s="60">
        <f>IF(AND(tblFleet[[#This Row],[Units]]&lt;&gt;"",tblFleet[[#This Row],[Calendar_h]]&gt;0),tblFleet[[#This Row],[Available_h]]/tblFleet[[#This Row],[Calendar_h]],"")</f>
        <v/>
      </c>
      <c r="J2636" s="60">
        <f>IF(AND(tblFleet[[#This Row],[Units]]&lt;&gt;"",tblFleet[[#This Row],[Available_h]]&gt;0),tblFleet[[#This Row],[Operating_h]]/tblFleet[[#This Row],[Available_h]],"")</f>
        <v/>
      </c>
    </row>
    <row r="2637">
      <c r="A2637" s="54" t="n"/>
      <c r="B2637" s="61" t="n"/>
      <c r="C2637" s="62" t="n"/>
      <c r="D2637" s="57" t="n"/>
      <c r="E2637" s="57" t="n"/>
      <c r="F2637" s="58" t="n"/>
      <c r="G2637" s="66">
        <f>IF(tblFleet[[#This Row],[Units]]="","",tblFleet[[#This Row],[Units]]*24)</f>
        <v/>
      </c>
      <c r="H2637" s="66">
        <f>IF(tblFleet[[#This Row],[Units]]="","",tblFleet[[#This Row],[Calendar_h]]-tblFleet[[#This Row],[Down_h]])</f>
        <v/>
      </c>
      <c r="I2637" s="60">
        <f>IF(AND(tblFleet[[#This Row],[Units]]&lt;&gt;"",tblFleet[[#This Row],[Calendar_h]]&gt;0),tblFleet[[#This Row],[Available_h]]/tblFleet[[#This Row],[Calendar_h]],"")</f>
        <v/>
      </c>
      <c r="J2637" s="60">
        <f>IF(AND(tblFleet[[#This Row],[Units]]&lt;&gt;"",tblFleet[[#This Row],[Available_h]]&gt;0),tblFleet[[#This Row],[Operating_h]]/tblFleet[[#This Row],[Available_h]],"")</f>
        <v/>
      </c>
    </row>
    <row r="2638">
      <c r="A2638" s="54" t="n"/>
      <c r="B2638" s="61" t="n"/>
      <c r="C2638" s="62" t="n"/>
      <c r="D2638" s="57" t="n"/>
      <c r="E2638" s="57" t="n"/>
      <c r="F2638" s="58" t="n"/>
      <c r="G2638" s="66">
        <f>IF(tblFleet[[#This Row],[Units]]="","",tblFleet[[#This Row],[Units]]*24)</f>
        <v/>
      </c>
      <c r="H2638" s="66">
        <f>IF(tblFleet[[#This Row],[Units]]="","",tblFleet[[#This Row],[Calendar_h]]-tblFleet[[#This Row],[Down_h]])</f>
        <v/>
      </c>
      <c r="I2638" s="60">
        <f>IF(AND(tblFleet[[#This Row],[Units]]&lt;&gt;"",tblFleet[[#This Row],[Calendar_h]]&gt;0),tblFleet[[#This Row],[Available_h]]/tblFleet[[#This Row],[Calendar_h]],"")</f>
        <v/>
      </c>
      <c r="J2638" s="60">
        <f>IF(AND(tblFleet[[#This Row],[Units]]&lt;&gt;"",tblFleet[[#This Row],[Available_h]]&gt;0),tblFleet[[#This Row],[Operating_h]]/tblFleet[[#This Row],[Available_h]],"")</f>
        <v/>
      </c>
    </row>
    <row r="2639">
      <c r="A2639" s="54" t="n"/>
      <c r="B2639" s="61" t="n"/>
      <c r="C2639" s="62" t="n"/>
      <c r="D2639" s="57" t="n"/>
      <c r="E2639" s="57" t="n"/>
      <c r="F2639" s="58" t="n"/>
      <c r="G2639" s="66">
        <f>IF(tblFleet[[#This Row],[Units]]="","",tblFleet[[#This Row],[Units]]*24)</f>
        <v/>
      </c>
      <c r="H2639" s="66">
        <f>IF(tblFleet[[#This Row],[Units]]="","",tblFleet[[#This Row],[Calendar_h]]-tblFleet[[#This Row],[Down_h]])</f>
        <v/>
      </c>
      <c r="I2639" s="60">
        <f>IF(AND(tblFleet[[#This Row],[Units]]&lt;&gt;"",tblFleet[[#This Row],[Calendar_h]]&gt;0),tblFleet[[#This Row],[Available_h]]/tblFleet[[#This Row],[Calendar_h]],"")</f>
        <v/>
      </c>
      <c r="J2639" s="60">
        <f>IF(AND(tblFleet[[#This Row],[Units]]&lt;&gt;"",tblFleet[[#This Row],[Available_h]]&gt;0),tblFleet[[#This Row],[Operating_h]]/tblFleet[[#This Row],[Available_h]],"")</f>
        <v/>
      </c>
    </row>
    <row r="2640">
      <c r="A2640" s="54" t="n"/>
      <c r="B2640" s="61" t="n"/>
      <c r="C2640" s="62" t="n"/>
      <c r="D2640" s="57" t="n"/>
      <c r="E2640" s="57" t="n"/>
      <c r="F2640" s="58" t="n"/>
      <c r="G2640" s="66">
        <f>IF(tblFleet[[#This Row],[Units]]="","",tblFleet[[#This Row],[Units]]*24)</f>
        <v/>
      </c>
      <c r="H2640" s="66">
        <f>IF(tblFleet[[#This Row],[Units]]="","",tblFleet[[#This Row],[Calendar_h]]-tblFleet[[#This Row],[Down_h]])</f>
        <v/>
      </c>
      <c r="I2640" s="60">
        <f>IF(AND(tblFleet[[#This Row],[Units]]&lt;&gt;"",tblFleet[[#This Row],[Calendar_h]]&gt;0),tblFleet[[#This Row],[Available_h]]/tblFleet[[#This Row],[Calendar_h]],"")</f>
        <v/>
      </c>
      <c r="J2640" s="60">
        <f>IF(AND(tblFleet[[#This Row],[Units]]&lt;&gt;"",tblFleet[[#This Row],[Available_h]]&gt;0),tblFleet[[#This Row],[Operating_h]]/tblFleet[[#This Row],[Available_h]],"")</f>
        <v/>
      </c>
    </row>
    <row r="2641">
      <c r="A2641" s="54" t="n"/>
      <c r="B2641" s="61" t="n"/>
      <c r="C2641" s="62" t="n"/>
      <c r="D2641" s="57" t="n"/>
      <c r="E2641" s="57" t="n"/>
      <c r="F2641" s="58" t="n"/>
      <c r="G2641" s="66">
        <f>IF(tblFleet[[#This Row],[Units]]="","",tblFleet[[#This Row],[Units]]*24)</f>
        <v/>
      </c>
      <c r="H2641" s="66">
        <f>IF(tblFleet[[#This Row],[Units]]="","",tblFleet[[#This Row],[Calendar_h]]-tblFleet[[#This Row],[Down_h]])</f>
        <v/>
      </c>
      <c r="I2641" s="60">
        <f>IF(AND(tblFleet[[#This Row],[Units]]&lt;&gt;"",tblFleet[[#This Row],[Calendar_h]]&gt;0),tblFleet[[#This Row],[Available_h]]/tblFleet[[#This Row],[Calendar_h]],"")</f>
        <v/>
      </c>
      <c r="J2641" s="60">
        <f>IF(AND(tblFleet[[#This Row],[Units]]&lt;&gt;"",tblFleet[[#This Row],[Available_h]]&gt;0),tblFleet[[#This Row],[Operating_h]]/tblFleet[[#This Row],[Available_h]],"")</f>
        <v/>
      </c>
    </row>
    <row r="2642">
      <c r="A2642" s="54" t="n"/>
      <c r="B2642" s="61" t="n"/>
      <c r="C2642" s="62" t="n"/>
      <c r="D2642" s="57" t="n"/>
      <c r="E2642" s="57" t="n"/>
      <c r="F2642" s="58" t="n"/>
      <c r="G2642" s="66">
        <f>IF(tblFleet[[#This Row],[Units]]="","",tblFleet[[#This Row],[Units]]*24)</f>
        <v/>
      </c>
      <c r="H2642" s="66">
        <f>IF(tblFleet[[#This Row],[Units]]="","",tblFleet[[#This Row],[Calendar_h]]-tblFleet[[#This Row],[Down_h]])</f>
        <v/>
      </c>
      <c r="I2642" s="60">
        <f>IF(AND(tblFleet[[#This Row],[Units]]&lt;&gt;"",tblFleet[[#This Row],[Calendar_h]]&gt;0),tblFleet[[#This Row],[Available_h]]/tblFleet[[#This Row],[Calendar_h]],"")</f>
        <v/>
      </c>
      <c r="J2642" s="60">
        <f>IF(AND(tblFleet[[#This Row],[Units]]&lt;&gt;"",tblFleet[[#This Row],[Available_h]]&gt;0),tblFleet[[#This Row],[Operating_h]]/tblFleet[[#This Row],[Available_h]],"")</f>
        <v/>
      </c>
    </row>
    <row r="2643">
      <c r="A2643" s="54" t="n"/>
      <c r="B2643" s="61" t="n"/>
      <c r="C2643" s="62" t="n"/>
      <c r="D2643" s="57" t="n"/>
      <c r="E2643" s="57" t="n"/>
      <c r="F2643" s="58" t="n"/>
      <c r="G2643" s="66">
        <f>IF(tblFleet[[#This Row],[Units]]="","",tblFleet[[#This Row],[Units]]*24)</f>
        <v/>
      </c>
      <c r="H2643" s="66">
        <f>IF(tblFleet[[#This Row],[Units]]="","",tblFleet[[#This Row],[Calendar_h]]-tblFleet[[#This Row],[Down_h]])</f>
        <v/>
      </c>
      <c r="I2643" s="60">
        <f>IF(AND(tblFleet[[#This Row],[Units]]&lt;&gt;"",tblFleet[[#This Row],[Calendar_h]]&gt;0),tblFleet[[#This Row],[Available_h]]/tblFleet[[#This Row],[Calendar_h]],"")</f>
        <v/>
      </c>
      <c r="J2643" s="60">
        <f>IF(AND(tblFleet[[#This Row],[Units]]&lt;&gt;"",tblFleet[[#This Row],[Available_h]]&gt;0),tblFleet[[#This Row],[Operating_h]]/tblFleet[[#This Row],[Available_h]],"")</f>
        <v/>
      </c>
    </row>
    <row r="2644">
      <c r="A2644" s="54" t="n"/>
      <c r="B2644" s="61" t="n"/>
      <c r="C2644" s="62" t="n"/>
      <c r="D2644" s="57" t="n"/>
      <c r="E2644" s="57" t="n"/>
      <c r="F2644" s="58" t="n"/>
      <c r="G2644" s="66">
        <f>IF(tblFleet[[#This Row],[Units]]="","",tblFleet[[#This Row],[Units]]*24)</f>
        <v/>
      </c>
      <c r="H2644" s="66">
        <f>IF(tblFleet[[#This Row],[Units]]="","",tblFleet[[#This Row],[Calendar_h]]-tblFleet[[#This Row],[Down_h]])</f>
        <v/>
      </c>
      <c r="I2644" s="60">
        <f>IF(AND(tblFleet[[#This Row],[Units]]&lt;&gt;"",tblFleet[[#This Row],[Calendar_h]]&gt;0),tblFleet[[#This Row],[Available_h]]/tblFleet[[#This Row],[Calendar_h]],"")</f>
        <v/>
      </c>
      <c r="J2644" s="60">
        <f>IF(AND(tblFleet[[#This Row],[Units]]&lt;&gt;"",tblFleet[[#This Row],[Available_h]]&gt;0),tblFleet[[#This Row],[Operating_h]]/tblFleet[[#This Row],[Available_h]],"")</f>
        <v/>
      </c>
    </row>
    <row r="2645">
      <c r="A2645" s="54" t="n"/>
      <c r="B2645" s="61" t="n"/>
      <c r="C2645" s="62" t="n"/>
      <c r="D2645" s="57" t="n"/>
      <c r="E2645" s="57" t="n"/>
      <c r="F2645" s="58" t="n"/>
      <c r="G2645" s="66">
        <f>IF(tblFleet[[#This Row],[Units]]="","",tblFleet[[#This Row],[Units]]*24)</f>
        <v/>
      </c>
      <c r="H2645" s="66">
        <f>IF(tblFleet[[#This Row],[Units]]="","",tblFleet[[#This Row],[Calendar_h]]-tblFleet[[#This Row],[Down_h]])</f>
        <v/>
      </c>
      <c r="I2645" s="60">
        <f>IF(AND(tblFleet[[#This Row],[Units]]&lt;&gt;"",tblFleet[[#This Row],[Calendar_h]]&gt;0),tblFleet[[#This Row],[Available_h]]/tblFleet[[#This Row],[Calendar_h]],"")</f>
        <v/>
      </c>
      <c r="J2645" s="60">
        <f>IF(AND(tblFleet[[#This Row],[Units]]&lt;&gt;"",tblFleet[[#This Row],[Available_h]]&gt;0),tblFleet[[#This Row],[Operating_h]]/tblFleet[[#This Row],[Available_h]],"")</f>
        <v/>
      </c>
    </row>
    <row r="2646">
      <c r="A2646" s="54" t="n"/>
      <c r="B2646" s="61" t="n"/>
      <c r="C2646" s="62" t="n"/>
      <c r="D2646" s="57" t="n"/>
      <c r="E2646" s="57" t="n"/>
      <c r="F2646" s="58" t="n"/>
      <c r="G2646" s="66">
        <f>IF(tblFleet[[#This Row],[Units]]="","",tblFleet[[#This Row],[Units]]*24)</f>
        <v/>
      </c>
      <c r="H2646" s="66">
        <f>IF(tblFleet[[#This Row],[Units]]="","",tblFleet[[#This Row],[Calendar_h]]-tblFleet[[#This Row],[Down_h]])</f>
        <v/>
      </c>
      <c r="I2646" s="60">
        <f>IF(AND(tblFleet[[#This Row],[Units]]&lt;&gt;"",tblFleet[[#This Row],[Calendar_h]]&gt;0),tblFleet[[#This Row],[Available_h]]/tblFleet[[#This Row],[Calendar_h]],"")</f>
        <v/>
      </c>
      <c r="J2646" s="60">
        <f>IF(AND(tblFleet[[#This Row],[Units]]&lt;&gt;"",tblFleet[[#This Row],[Available_h]]&gt;0),tblFleet[[#This Row],[Operating_h]]/tblFleet[[#This Row],[Available_h]],"")</f>
        <v/>
      </c>
    </row>
    <row r="2647">
      <c r="A2647" s="54" t="n"/>
      <c r="B2647" s="61" t="n"/>
      <c r="C2647" s="62" t="n"/>
      <c r="D2647" s="57" t="n"/>
      <c r="E2647" s="57" t="n"/>
      <c r="F2647" s="58" t="n"/>
      <c r="G2647" s="66">
        <f>IF(tblFleet[[#This Row],[Units]]="","",tblFleet[[#This Row],[Units]]*24)</f>
        <v/>
      </c>
      <c r="H2647" s="66">
        <f>IF(tblFleet[[#This Row],[Units]]="","",tblFleet[[#This Row],[Calendar_h]]-tblFleet[[#This Row],[Down_h]])</f>
        <v/>
      </c>
      <c r="I2647" s="60">
        <f>IF(AND(tblFleet[[#This Row],[Units]]&lt;&gt;"",tblFleet[[#This Row],[Calendar_h]]&gt;0),tblFleet[[#This Row],[Available_h]]/tblFleet[[#This Row],[Calendar_h]],"")</f>
        <v/>
      </c>
      <c r="J2647" s="60">
        <f>IF(AND(tblFleet[[#This Row],[Units]]&lt;&gt;"",tblFleet[[#This Row],[Available_h]]&gt;0),tblFleet[[#This Row],[Operating_h]]/tblFleet[[#This Row],[Available_h]],"")</f>
        <v/>
      </c>
    </row>
    <row r="2648">
      <c r="A2648" s="54" t="n"/>
      <c r="B2648" s="61" t="n"/>
      <c r="C2648" s="62" t="n"/>
      <c r="D2648" s="57" t="n"/>
      <c r="E2648" s="57" t="n"/>
      <c r="F2648" s="58" t="n"/>
      <c r="G2648" s="66">
        <f>IF(tblFleet[[#This Row],[Units]]="","",tblFleet[[#This Row],[Units]]*24)</f>
        <v/>
      </c>
      <c r="H2648" s="66">
        <f>IF(tblFleet[[#This Row],[Units]]="","",tblFleet[[#This Row],[Calendar_h]]-tblFleet[[#This Row],[Down_h]])</f>
        <v/>
      </c>
      <c r="I2648" s="60">
        <f>IF(AND(tblFleet[[#This Row],[Units]]&lt;&gt;"",tblFleet[[#This Row],[Calendar_h]]&gt;0),tblFleet[[#This Row],[Available_h]]/tblFleet[[#This Row],[Calendar_h]],"")</f>
        <v/>
      </c>
      <c r="J2648" s="60">
        <f>IF(AND(tblFleet[[#This Row],[Units]]&lt;&gt;"",tblFleet[[#This Row],[Available_h]]&gt;0),tblFleet[[#This Row],[Operating_h]]/tblFleet[[#This Row],[Available_h]],"")</f>
        <v/>
      </c>
    </row>
    <row r="2649">
      <c r="A2649" s="54" t="n"/>
      <c r="B2649" s="61" t="n"/>
      <c r="C2649" s="62" t="n"/>
      <c r="D2649" s="57" t="n"/>
      <c r="E2649" s="57" t="n"/>
      <c r="F2649" s="58" t="n"/>
      <c r="G2649" s="66">
        <f>IF(tblFleet[[#This Row],[Units]]="","",tblFleet[[#This Row],[Units]]*24)</f>
        <v/>
      </c>
      <c r="H2649" s="66">
        <f>IF(tblFleet[[#This Row],[Units]]="","",tblFleet[[#This Row],[Calendar_h]]-tblFleet[[#This Row],[Down_h]])</f>
        <v/>
      </c>
      <c r="I2649" s="60">
        <f>IF(AND(tblFleet[[#This Row],[Units]]&lt;&gt;"",tblFleet[[#This Row],[Calendar_h]]&gt;0),tblFleet[[#This Row],[Available_h]]/tblFleet[[#This Row],[Calendar_h]],"")</f>
        <v/>
      </c>
      <c r="J2649" s="60">
        <f>IF(AND(tblFleet[[#This Row],[Units]]&lt;&gt;"",tblFleet[[#This Row],[Available_h]]&gt;0),tblFleet[[#This Row],[Operating_h]]/tblFleet[[#This Row],[Available_h]],"")</f>
        <v/>
      </c>
    </row>
    <row r="2650">
      <c r="A2650" s="54" t="n"/>
      <c r="B2650" s="61" t="n"/>
      <c r="C2650" s="62" t="n"/>
      <c r="D2650" s="57" t="n"/>
      <c r="E2650" s="57" t="n"/>
      <c r="F2650" s="58" t="n"/>
      <c r="G2650" s="66">
        <f>IF(tblFleet[[#This Row],[Units]]="","",tblFleet[[#This Row],[Units]]*24)</f>
        <v/>
      </c>
      <c r="H2650" s="66">
        <f>IF(tblFleet[[#This Row],[Units]]="","",tblFleet[[#This Row],[Calendar_h]]-tblFleet[[#This Row],[Down_h]])</f>
        <v/>
      </c>
      <c r="I2650" s="60">
        <f>IF(AND(tblFleet[[#This Row],[Units]]&lt;&gt;"",tblFleet[[#This Row],[Calendar_h]]&gt;0),tblFleet[[#This Row],[Available_h]]/tblFleet[[#This Row],[Calendar_h]],"")</f>
        <v/>
      </c>
      <c r="J2650" s="60">
        <f>IF(AND(tblFleet[[#This Row],[Units]]&lt;&gt;"",tblFleet[[#This Row],[Available_h]]&gt;0),tblFleet[[#This Row],[Operating_h]]/tblFleet[[#This Row],[Available_h]],"")</f>
        <v/>
      </c>
    </row>
    <row r="2651">
      <c r="A2651" s="54" t="n"/>
      <c r="B2651" s="61" t="n"/>
      <c r="C2651" s="62" t="n"/>
      <c r="D2651" s="57" t="n"/>
      <c r="E2651" s="57" t="n"/>
      <c r="F2651" s="58" t="n"/>
      <c r="G2651" s="66">
        <f>IF(tblFleet[[#This Row],[Units]]="","",tblFleet[[#This Row],[Units]]*24)</f>
        <v/>
      </c>
      <c r="H2651" s="66">
        <f>IF(tblFleet[[#This Row],[Units]]="","",tblFleet[[#This Row],[Calendar_h]]-tblFleet[[#This Row],[Down_h]])</f>
        <v/>
      </c>
      <c r="I2651" s="60">
        <f>IF(AND(tblFleet[[#This Row],[Units]]&lt;&gt;"",tblFleet[[#This Row],[Calendar_h]]&gt;0),tblFleet[[#This Row],[Available_h]]/tblFleet[[#This Row],[Calendar_h]],"")</f>
        <v/>
      </c>
      <c r="J2651" s="60">
        <f>IF(AND(tblFleet[[#This Row],[Units]]&lt;&gt;"",tblFleet[[#This Row],[Available_h]]&gt;0),tblFleet[[#This Row],[Operating_h]]/tblFleet[[#This Row],[Available_h]],"")</f>
        <v/>
      </c>
    </row>
    <row r="2652">
      <c r="A2652" s="54" t="n"/>
      <c r="B2652" s="61" t="n"/>
      <c r="C2652" s="62" t="n"/>
      <c r="D2652" s="57" t="n"/>
      <c r="E2652" s="57" t="n"/>
      <c r="F2652" s="58" t="n"/>
      <c r="G2652" s="66">
        <f>IF(tblFleet[[#This Row],[Units]]="","",tblFleet[[#This Row],[Units]]*24)</f>
        <v/>
      </c>
      <c r="H2652" s="66">
        <f>IF(tblFleet[[#This Row],[Units]]="","",tblFleet[[#This Row],[Calendar_h]]-tblFleet[[#This Row],[Down_h]])</f>
        <v/>
      </c>
      <c r="I2652" s="60">
        <f>IF(AND(tblFleet[[#This Row],[Units]]&lt;&gt;"",tblFleet[[#This Row],[Calendar_h]]&gt;0),tblFleet[[#This Row],[Available_h]]/tblFleet[[#This Row],[Calendar_h]],"")</f>
        <v/>
      </c>
      <c r="J2652" s="60">
        <f>IF(AND(tblFleet[[#This Row],[Units]]&lt;&gt;"",tblFleet[[#This Row],[Available_h]]&gt;0),tblFleet[[#This Row],[Operating_h]]/tblFleet[[#This Row],[Available_h]],"")</f>
        <v/>
      </c>
    </row>
    <row r="2653">
      <c r="A2653" s="54" t="n"/>
      <c r="B2653" s="61" t="n"/>
      <c r="C2653" s="62" t="n"/>
      <c r="D2653" s="57" t="n"/>
      <c r="E2653" s="57" t="n"/>
      <c r="F2653" s="58" t="n"/>
      <c r="G2653" s="66">
        <f>IF(tblFleet[[#This Row],[Units]]="","",tblFleet[[#This Row],[Units]]*24)</f>
        <v/>
      </c>
      <c r="H2653" s="66">
        <f>IF(tblFleet[[#This Row],[Units]]="","",tblFleet[[#This Row],[Calendar_h]]-tblFleet[[#This Row],[Down_h]])</f>
        <v/>
      </c>
      <c r="I2653" s="60">
        <f>IF(AND(tblFleet[[#This Row],[Units]]&lt;&gt;"",tblFleet[[#This Row],[Calendar_h]]&gt;0),tblFleet[[#This Row],[Available_h]]/tblFleet[[#This Row],[Calendar_h]],"")</f>
        <v/>
      </c>
      <c r="J2653" s="60">
        <f>IF(AND(tblFleet[[#This Row],[Units]]&lt;&gt;"",tblFleet[[#This Row],[Available_h]]&gt;0),tblFleet[[#This Row],[Operating_h]]/tblFleet[[#This Row],[Available_h]],"")</f>
        <v/>
      </c>
    </row>
    <row r="2654">
      <c r="A2654" s="54" t="n"/>
      <c r="B2654" s="61" t="n"/>
      <c r="C2654" s="62" t="n"/>
      <c r="D2654" s="57" t="n"/>
      <c r="E2654" s="57" t="n"/>
      <c r="F2654" s="58" t="n"/>
      <c r="G2654" s="66">
        <f>IF(tblFleet[[#This Row],[Units]]="","",tblFleet[[#This Row],[Units]]*24)</f>
        <v/>
      </c>
      <c r="H2654" s="66">
        <f>IF(tblFleet[[#This Row],[Units]]="","",tblFleet[[#This Row],[Calendar_h]]-tblFleet[[#This Row],[Down_h]])</f>
        <v/>
      </c>
      <c r="I2654" s="60">
        <f>IF(AND(tblFleet[[#This Row],[Units]]&lt;&gt;"",tblFleet[[#This Row],[Calendar_h]]&gt;0),tblFleet[[#This Row],[Available_h]]/tblFleet[[#This Row],[Calendar_h]],"")</f>
        <v/>
      </c>
      <c r="J2654" s="60">
        <f>IF(AND(tblFleet[[#This Row],[Units]]&lt;&gt;"",tblFleet[[#This Row],[Available_h]]&gt;0),tblFleet[[#This Row],[Operating_h]]/tblFleet[[#This Row],[Available_h]],"")</f>
        <v/>
      </c>
    </row>
    <row r="2655">
      <c r="A2655" s="54" t="n"/>
      <c r="B2655" s="61" t="n"/>
      <c r="C2655" s="62" t="n"/>
      <c r="D2655" s="57" t="n"/>
      <c r="E2655" s="57" t="n"/>
      <c r="F2655" s="58" t="n"/>
      <c r="G2655" s="66">
        <f>IF(tblFleet[[#This Row],[Units]]="","",tblFleet[[#This Row],[Units]]*24)</f>
        <v/>
      </c>
      <c r="H2655" s="66">
        <f>IF(tblFleet[[#This Row],[Units]]="","",tblFleet[[#This Row],[Calendar_h]]-tblFleet[[#This Row],[Down_h]])</f>
        <v/>
      </c>
      <c r="I2655" s="60">
        <f>IF(AND(tblFleet[[#This Row],[Units]]&lt;&gt;"",tblFleet[[#This Row],[Calendar_h]]&gt;0),tblFleet[[#This Row],[Available_h]]/tblFleet[[#This Row],[Calendar_h]],"")</f>
        <v/>
      </c>
      <c r="J2655" s="60">
        <f>IF(AND(tblFleet[[#This Row],[Units]]&lt;&gt;"",tblFleet[[#This Row],[Available_h]]&gt;0),tblFleet[[#This Row],[Operating_h]]/tblFleet[[#This Row],[Available_h]],"")</f>
        <v/>
      </c>
    </row>
    <row r="2656">
      <c r="A2656" s="54" t="n"/>
      <c r="B2656" s="61" t="n"/>
      <c r="C2656" s="62" t="n"/>
      <c r="D2656" s="57" t="n"/>
      <c r="E2656" s="57" t="n"/>
      <c r="F2656" s="58" t="n"/>
      <c r="G2656" s="66">
        <f>IF(tblFleet[[#This Row],[Units]]="","",tblFleet[[#This Row],[Units]]*24)</f>
        <v/>
      </c>
      <c r="H2656" s="66">
        <f>IF(tblFleet[[#This Row],[Units]]="","",tblFleet[[#This Row],[Calendar_h]]-tblFleet[[#This Row],[Down_h]])</f>
        <v/>
      </c>
      <c r="I2656" s="60">
        <f>IF(AND(tblFleet[[#This Row],[Units]]&lt;&gt;"",tblFleet[[#This Row],[Calendar_h]]&gt;0),tblFleet[[#This Row],[Available_h]]/tblFleet[[#This Row],[Calendar_h]],"")</f>
        <v/>
      </c>
      <c r="J2656" s="60">
        <f>IF(AND(tblFleet[[#This Row],[Units]]&lt;&gt;"",tblFleet[[#This Row],[Available_h]]&gt;0),tblFleet[[#This Row],[Operating_h]]/tblFleet[[#This Row],[Available_h]],"")</f>
        <v/>
      </c>
    </row>
    <row r="2657">
      <c r="A2657" s="54" t="n"/>
      <c r="B2657" s="61" t="n"/>
      <c r="C2657" s="62" t="n"/>
      <c r="D2657" s="57" t="n"/>
      <c r="E2657" s="57" t="n"/>
      <c r="F2657" s="58" t="n"/>
      <c r="G2657" s="66">
        <f>IF(tblFleet[[#This Row],[Units]]="","",tblFleet[[#This Row],[Units]]*24)</f>
        <v/>
      </c>
      <c r="H2657" s="66">
        <f>IF(tblFleet[[#This Row],[Units]]="","",tblFleet[[#This Row],[Calendar_h]]-tblFleet[[#This Row],[Down_h]])</f>
        <v/>
      </c>
      <c r="I2657" s="60">
        <f>IF(AND(tblFleet[[#This Row],[Units]]&lt;&gt;"",tblFleet[[#This Row],[Calendar_h]]&gt;0),tblFleet[[#This Row],[Available_h]]/tblFleet[[#This Row],[Calendar_h]],"")</f>
        <v/>
      </c>
      <c r="J2657" s="60">
        <f>IF(AND(tblFleet[[#This Row],[Units]]&lt;&gt;"",tblFleet[[#This Row],[Available_h]]&gt;0),tblFleet[[#This Row],[Operating_h]]/tblFleet[[#This Row],[Available_h]],"")</f>
        <v/>
      </c>
    </row>
    <row r="2658">
      <c r="A2658" s="54" t="n"/>
      <c r="B2658" s="61" t="n"/>
      <c r="C2658" s="62" t="n"/>
      <c r="D2658" s="57" t="n"/>
      <c r="E2658" s="57" t="n"/>
      <c r="F2658" s="58" t="n"/>
      <c r="G2658" s="66">
        <f>IF(tblFleet[[#This Row],[Units]]="","",tblFleet[[#This Row],[Units]]*24)</f>
        <v/>
      </c>
      <c r="H2658" s="66">
        <f>IF(tblFleet[[#This Row],[Units]]="","",tblFleet[[#This Row],[Calendar_h]]-tblFleet[[#This Row],[Down_h]])</f>
        <v/>
      </c>
      <c r="I2658" s="60">
        <f>IF(AND(tblFleet[[#This Row],[Units]]&lt;&gt;"",tblFleet[[#This Row],[Calendar_h]]&gt;0),tblFleet[[#This Row],[Available_h]]/tblFleet[[#This Row],[Calendar_h]],"")</f>
        <v/>
      </c>
      <c r="J2658" s="60">
        <f>IF(AND(tblFleet[[#This Row],[Units]]&lt;&gt;"",tblFleet[[#This Row],[Available_h]]&gt;0),tblFleet[[#This Row],[Operating_h]]/tblFleet[[#This Row],[Available_h]],"")</f>
        <v/>
      </c>
    </row>
    <row r="2659">
      <c r="A2659" s="54" t="n"/>
      <c r="B2659" s="61" t="n"/>
      <c r="C2659" s="62" t="n"/>
      <c r="D2659" s="57" t="n"/>
      <c r="E2659" s="57" t="n"/>
      <c r="F2659" s="58" t="n"/>
      <c r="G2659" s="66">
        <f>IF(tblFleet[[#This Row],[Units]]="","",tblFleet[[#This Row],[Units]]*24)</f>
        <v/>
      </c>
      <c r="H2659" s="66">
        <f>IF(tblFleet[[#This Row],[Units]]="","",tblFleet[[#This Row],[Calendar_h]]-tblFleet[[#This Row],[Down_h]])</f>
        <v/>
      </c>
      <c r="I2659" s="60">
        <f>IF(AND(tblFleet[[#This Row],[Units]]&lt;&gt;"",tblFleet[[#This Row],[Calendar_h]]&gt;0),tblFleet[[#This Row],[Available_h]]/tblFleet[[#This Row],[Calendar_h]],"")</f>
        <v/>
      </c>
      <c r="J2659" s="60">
        <f>IF(AND(tblFleet[[#This Row],[Units]]&lt;&gt;"",tblFleet[[#This Row],[Available_h]]&gt;0),tblFleet[[#This Row],[Operating_h]]/tblFleet[[#This Row],[Available_h]],"")</f>
        <v/>
      </c>
    </row>
    <row r="2660">
      <c r="A2660" s="54" t="n"/>
      <c r="B2660" s="61" t="n"/>
      <c r="C2660" s="62" t="n"/>
      <c r="D2660" s="57" t="n"/>
      <c r="E2660" s="57" t="n"/>
      <c r="F2660" s="58" t="n"/>
      <c r="G2660" s="66">
        <f>IF(tblFleet[[#This Row],[Units]]="","",tblFleet[[#This Row],[Units]]*24)</f>
        <v/>
      </c>
      <c r="H2660" s="66">
        <f>IF(tblFleet[[#This Row],[Units]]="","",tblFleet[[#This Row],[Calendar_h]]-tblFleet[[#This Row],[Down_h]])</f>
        <v/>
      </c>
      <c r="I2660" s="60">
        <f>IF(AND(tblFleet[[#This Row],[Units]]&lt;&gt;"",tblFleet[[#This Row],[Calendar_h]]&gt;0),tblFleet[[#This Row],[Available_h]]/tblFleet[[#This Row],[Calendar_h]],"")</f>
        <v/>
      </c>
      <c r="J2660" s="60">
        <f>IF(AND(tblFleet[[#This Row],[Units]]&lt;&gt;"",tblFleet[[#This Row],[Available_h]]&gt;0),tblFleet[[#This Row],[Operating_h]]/tblFleet[[#This Row],[Available_h]],"")</f>
        <v/>
      </c>
    </row>
    <row r="2661">
      <c r="A2661" s="54" t="n"/>
      <c r="B2661" s="61" t="n"/>
      <c r="C2661" s="62" t="n"/>
      <c r="D2661" s="57" t="n"/>
      <c r="E2661" s="57" t="n"/>
      <c r="F2661" s="58" t="n"/>
      <c r="G2661" s="66">
        <f>IF(tblFleet[[#This Row],[Units]]="","",tblFleet[[#This Row],[Units]]*24)</f>
        <v/>
      </c>
      <c r="H2661" s="66">
        <f>IF(tblFleet[[#This Row],[Units]]="","",tblFleet[[#This Row],[Calendar_h]]-tblFleet[[#This Row],[Down_h]])</f>
        <v/>
      </c>
      <c r="I2661" s="60">
        <f>IF(AND(tblFleet[[#This Row],[Units]]&lt;&gt;"",tblFleet[[#This Row],[Calendar_h]]&gt;0),tblFleet[[#This Row],[Available_h]]/tblFleet[[#This Row],[Calendar_h]],"")</f>
        <v/>
      </c>
      <c r="J2661" s="60">
        <f>IF(AND(tblFleet[[#This Row],[Units]]&lt;&gt;"",tblFleet[[#This Row],[Available_h]]&gt;0),tblFleet[[#This Row],[Operating_h]]/tblFleet[[#This Row],[Available_h]],"")</f>
        <v/>
      </c>
    </row>
    <row r="2662">
      <c r="A2662" s="54" t="n"/>
      <c r="B2662" s="61" t="n"/>
      <c r="C2662" s="62" t="n"/>
      <c r="D2662" s="57" t="n"/>
      <c r="E2662" s="57" t="n"/>
      <c r="F2662" s="58" t="n"/>
      <c r="G2662" s="66">
        <f>IF(tblFleet[[#This Row],[Units]]="","",tblFleet[[#This Row],[Units]]*24)</f>
        <v/>
      </c>
      <c r="H2662" s="66">
        <f>IF(tblFleet[[#This Row],[Units]]="","",tblFleet[[#This Row],[Calendar_h]]-tblFleet[[#This Row],[Down_h]])</f>
        <v/>
      </c>
      <c r="I2662" s="60">
        <f>IF(AND(tblFleet[[#This Row],[Units]]&lt;&gt;"",tblFleet[[#This Row],[Calendar_h]]&gt;0),tblFleet[[#This Row],[Available_h]]/tblFleet[[#This Row],[Calendar_h]],"")</f>
        <v/>
      </c>
      <c r="J2662" s="60">
        <f>IF(AND(tblFleet[[#This Row],[Units]]&lt;&gt;"",tblFleet[[#This Row],[Available_h]]&gt;0),tblFleet[[#This Row],[Operating_h]]/tblFleet[[#This Row],[Available_h]],"")</f>
        <v/>
      </c>
    </row>
    <row r="2663">
      <c r="A2663" s="54" t="n"/>
      <c r="B2663" s="61" t="n"/>
      <c r="C2663" s="62" t="n"/>
      <c r="D2663" s="57" t="n"/>
      <c r="E2663" s="57" t="n"/>
      <c r="F2663" s="58" t="n"/>
      <c r="G2663" s="66">
        <f>IF(tblFleet[[#This Row],[Units]]="","",tblFleet[[#This Row],[Units]]*24)</f>
        <v/>
      </c>
      <c r="H2663" s="66">
        <f>IF(tblFleet[[#This Row],[Units]]="","",tblFleet[[#This Row],[Calendar_h]]-tblFleet[[#This Row],[Down_h]])</f>
        <v/>
      </c>
      <c r="I2663" s="60">
        <f>IF(AND(tblFleet[[#This Row],[Units]]&lt;&gt;"",tblFleet[[#This Row],[Calendar_h]]&gt;0),tblFleet[[#This Row],[Available_h]]/tblFleet[[#This Row],[Calendar_h]],"")</f>
        <v/>
      </c>
      <c r="J2663" s="60">
        <f>IF(AND(tblFleet[[#This Row],[Units]]&lt;&gt;"",tblFleet[[#This Row],[Available_h]]&gt;0),tblFleet[[#This Row],[Operating_h]]/tblFleet[[#This Row],[Available_h]],"")</f>
        <v/>
      </c>
    </row>
    <row r="2664">
      <c r="A2664" s="54" t="n"/>
      <c r="B2664" s="61" t="n"/>
      <c r="C2664" s="62" t="n"/>
      <c r="D2664" s="57" t="n"/>
      <c r="E2664" s="57" t="n"/>
      <c r="F2664" s="58" t="n"/>
      <c r="G2664" s="66">
        <f>IF(tblFleet[[#This Row],[Units]]="","",tblFleet[[#This Row],[Units]]*24)</f>
        <v/>
      </c>
      <c r="H2664" s="66">
        <f>IF(tblFleet[[#This Row],[Units]]="","",tblFleet[[#This Row],[Calendar_h]]-tblFleet[[#This Row],[Down_h]])</f>
        <v/>
      </c>
      <c r="I2664" s="60">
        <f>IF(AND(tblFleet[[#This Row],[Units]]&lt;&gt;"",tblFleet[[#This Row],[Calendar_h]]&gt;0),tblFleet[[#This Row],[Available_h]]/tblFleet[[#This Row],[Calendar_h]],"")</f>
        <v/>
      </c>
      <c r="J2664" s="60">
        <f>IF(AND(tblFleet[[#This Row],[Units]]&lt;&gt;"",tblFleet[[#This Row],[Available_h]]&gt;0),tblFleet[[#This Row],[Operating_h]]/tblFleet[[#This Row],[Available_h]],"")</f>
        <v/>
      </c>
    </row>
    <row r="2665">
      <c r="A2665" s="54" t="n"/>
      <c r="B2665" s="61" t="n"/>
      <c r="C2665" s="62" t="n"/>
      <c r="D2665" s="57" t="n"/>
      <c r="E2665" s="57" t="n"/>
      <c r="F2665" s="58" t="n"/>
      <c r="G2665" s="66">
        <f>IF(tblFleet[[#This Row],[Units]]="","",tblFleet[[#This Row],[Units]]*24)</f>
        <v/>
      </c>
      <c r="H2665" s="66">
        <f>IF(tblFleet[[#This Row],[Units]]="","",tblFleet[[#This Row],[Calendar_h]]-tblFleet[[#This Row],[Down_h]])</f>
        <v/>
      </c>
      <c r="I2665" s="60">
        <f>IF(AND(tblFleet[[#This Row],[Units]]&lt;&gt;"",tblFleet[[#This Row],[Calendar_h]]&gt;0),tblFleet[[#This Row],[Available_h]]/tblFleet[[#This Row],[Calendar_h]],"")</f>
        <v/>
      </c>
      <c r="J2665" s="60">
        <f>IF(AND(tblFleet[[#This Row],[Units]]&lt;&gt;"",tblFleet[[#This Row],[Available_h]]&gt;0),tblFleet[[#This Row],[Operating_h]]/tblFleet[[#This Row],[Available_h]],"")</f>
        <v/>
      </c>
    </row>
    <row r="2666">
      <c r="A2666" s="54" t="n"/>
      <c r="B2666" s="61" t="n"/>
      <c r="C2666" s="62" t="n"/>
      <c r="D2666" s="57" t="n"/>
      <c r="E2666" s="57" t="n"/>
      <c r="F2666" s="58" t="n"/>
      <c r="G2666" s="66">
        <f>IF(tblFleet[[#This Row],[Units]]="","",tblFleet[[#This Row],[Units]]*24)</f>
        <v/>
      </c>
      <c r="H2666" s="66">
        <f>IF(tblFleet[[#This Row],[Units]]="","",tblFleet[[#This Row],[Calendar_h]]-tblFleet[[#This Row],[Down_h]])</f>
        <v/>
      </c>
      <c r="I2666" s="60">
        <f>IF(AND(tblFleet[[#This Row],[Units]]&lt;&gt;"",tblFleet[[#This Row],[Calendar_h]]&gt;0),tblFleet[[#This Row],[Available_h]]/tblFleet[[#This Row],[Calendar_h]],"")</f>
        <v/>
      </c>
      <c r="J2666" s="60">
        <f>IF(AND(tblFleet[[#This Row],[Units]]&lt;&gt;"",tblFleet[[#This Row],[Available_h]]&gt;0),tblFleet[[#This Row],[Operating_h]]/tblFleet[[#This Row],[Available_h]],"")</f>
        <v/>
      </c>
    </row>
    <row r="2667">
      <c r="A2667" s="54" t="n"/>
      <c r="B2667" s="61" t="n"/>
      <c r="C2667" s="62" t="n"/>
      <c r="D2667" s="57" t="n"/>
      <c r="E2667" s="57" t="n"/>
      <c r="F2667" s="58" t="n"/>
      <c r="G2667" s="66">
        <f>IF(tblFleet[[#This Row],[Units]]="","",tblFleet[[#This Row],[Units]]*24)</f>
        <v/>
      </c>
      <c r="H2667" s="66">
        <f>IF(tblFleet[[#This Row],[Units]]="","",tblFleet[[#This Row],[Calendar_h]]-tblFleet[[#This Row],[Down_h]])</f>
        <v/>
      </c>
      <c r="I2667" s="60">
        <f>IF(AND(tblFleet[[#This Row],[Units]]&lt;&gt;"",tblFleet[[#This Row],[Calendar_h]]&gt;0),tblFleet[[#This Row],[Available_h]]/tblFleet[[#This Row],[Calendar_h]],"")</f>
        <v/>
      </c>
      <c r="J2667" s="60">
        <f>IF(AND(tblFleet[[#This Row],[Units]]&lt;&gt;"",tblFleet[[#This Row],[Available_h]]&gt;0),tblFleet[[#This Row],[Operating_h]]/tblFleet[[#This Row],[Available_h]],"")</f>
        <v/>
      </c>
    </row>
    <row r="2668">
      <c r="A2668" s="54" t="n"/>
      <c r="B2668" s="61" t="n"/>
      <c r="C2668" s="62" t="n"/>
      <c r="D2668" s="57" t="n"/>
      <c r="E2668" s="57" t="n"/>
      <c r="F2668" s="58" t="n"/>
      <c r="G2668" s="66">
        <f>IF(tblFleet[[#This Row],[Units]]="","",tblFleet[[#This Row],[Units]]*24)</f>
        <v/>
      </c>
      <c r="H2668" s="66">
        <f>IF(tblFleet[[#This Row],[Units]]="","",tblFleet[[#This Row],[Calendar_h]]-tblFleet[[#This Row],[Down_h]])</f>
        <v/>
      </c>
      <c r="I2668" s="60">
        <f>IF(AND(tblFleet[[#This Row],[Units]]&lt;&gt;"",tblFleet[[#This Row],[Calendar_h]]&gt;0),tblFleet[[#This Row],[Available_h]]/tblFleet[[#This Row],[Calendar_h]],"")</f>
        <v/>
      </c>
      <c r="J2668" s="60">
        <f>IF(AND(tblFleet[[#This Row],[Units]]&lt;&gt;"",tblFleet[[#This Row],[Available_h]]&gt;0),tblFleet[[#This Row],[Operating_h]]/tblFleet[[#This Row],[Available_h]],"")</f>
        <v/>
      </c>
    </row>
    <row r="2669">
      <c r="A2669" s="54" t="n"/>
      <c r="B2669" s="61" t="n"/>
      <c r="C2669" s="62" t="n"/>
      <c r="D2669" s="57" t="n"/>
      <c r="E2669" s="57" t="n"/>
      <c r="F2669" s="58" t="n"/>
      <c r="G2669" s="66">
        <f>IF(tblFleet[[#This Row],[Units]]="","",tblFleet[[#This Row],[Units]]*24)</f>
        <v/>
      </c>
      <c r="H2669" s="66">
        <f>IF(tblFleet[[#This Row],[Units]]="","",tblFleet[[#This Row],[Calendar_h]]-tblFleet[[#This Row],[Down_h]])</f>
        <v/>
      </c>
      <c r="I2669" s="60">
        <f>IF(AND(tblFleet[[#This Row],[Units]]&lt;&gt;"",tblFleet[[#This Row],[Calendar_h]]&gt;0),tblFleet[[#This Row],[Available_h]]/tblFleet[[#This Row],[Calendar_h]],"")</f>
        <v/>
      </c>
      <c r="J2669" s="60">
        <f>IF(AND(tblFleet[[#This Row],[Units]]&lt;&gt;"",tblFleet[[#This Row],[Available_h]]&gt;0),tblFleet[[#This Row],[Operating_h]]/tblFleet[[#This Row],[Available_h]],"")</f>
        <v/>
      </c>
    </row>
    <row r="2670">
      <c r="A2670" s="54" t="n"/>
      <c r="B2670" s="61" t="n"/>
      <c r="C2670" s="62" t="n"/>
      <c r="D2670" s="57" t="n"/>
      <c r="E2670" s="57" t="n"/>
      <c r="F2670" s="58" t="n"/>
      <c r="G2670" s="66">
        <f>IF(tblFleet[[#This Row],[Units]]="","",tblFleet[[#This Row],[Units]]*24)</f>
        <v/>
      </c>
      <c r="H2670" s="66">
        <f>IF(tblFleet[[#This Row],[Units]]="","",tblFleet[[#This Row],[Calendar_h]]-tblFleet[[#This Row],[Down_h]])</f>
        <v/>
      </c>
      <c r="I2670" s="60">
        <f>IF(AND(tblFleet[[#This Row],[Units]]&lt;&gt;"",tblFleet[[#This Row],[Calendar_h]]&gt;0),tblFleet[[#This Row],[Available_h]]/tblFleet[[#This Row],[Calendar_h]],"")</f>
        <v/>
      </c>
      <c r="J2670" s="60">
        <f>IF(AND(tblFleet[[#This Row],[Units]]&lt;&gt;"",tblFleet[[#This Row],[Available_h]]&gt;0),tblFleet[[#This Row],[Operating_h]]/tblFleet[[#This Row],[Available_h]],"")</f>
        <v/>
      </c>
    </row>
    <row r="2671">
      <c r="A2671" s="54" t="n"/>
      <c r="B2671" s="61" t="n"/>
      <c r="C2671" s="62" t="n"/>
      <c r="D2671" s="57" t="n"/>
      <c r="E2671" s="57" t="n"/>
      <c r="F2671" s="58" t="n"/>
      <c r="G2671" s="66">
        <f>IF(tblFleet[[#This Row],[Units]]="","",tblFleet[[#This Row],[Units]]*24)</f>
        <v/>
      </c>
      <c r="H2671" s="66">
        <f>IF(tblFleet[[#This Row],[Units]]="","",tblFleet[[#This Row],[Calendar_h]]-tblFleet[[#This Row],[Down_h]])</f>
        <v/>
      </c>
      <c r="I2671" s="60">
        <f>IF(AND(tblFleet[[#This Row],[Units]]&lt;&gt;"",tblFleet[[#This Row],[Calendar_h]]&gt;0),tblFleet[[#This Row],[Available_h]]/tblFleet[[#This Row],[Calendar_h]],"")</f>
        <v/>
      </c>
      <c r="J2671" s="60">
        <f>IF(AND(tblFleet[[#This Row],[Units]]&lt;&gt;"",tblFleet[[#This Row],[Available_h]]&gt;0),tblFleet[[#This Row],[Operating_h]]/tblFleet[[#This Row],[Available_h]],"")</f>
        <v/>
      </c>
    </row>
    <row r="2672">
      <c r="A2672" s="54" t="n"/>
      <c r="B2672" s="61" t="n"/>
      <c r="C2672" s="62" t="n"/>
      <c r="D2672" s="57" t="n"/>
      <c r="E2672" s="57" t="n"/>
      <c r="F2672" s="58" t="n"/>
      <c r="G2672" s="66">
        <f>IF(tblFleet[[#This Row],[Units]]="","",tblFleet[[#This Row],[Units]]*24)</f>
        <v/>
      </c>
      <c r="H2672" s="66">
        <f>IF(tblFleet[[#This Row],[Units]]="","",tblFleet[[#This Row],[Calendar_h]]-tblFleet[[#This Row],[Down_h]])</f>
        <v/>
      </c>
      <c r="I2672" s="60">
        <f>IF(AND(tblFleet[[#This Row],[Units]]&lt;&gt;"",tblFleet[[#This Row],[Calendar_h]]&gt;0),tblFleet[[#This Row],[Available_h]]/tblFleet[[#This Row],[Calendar_h]],"")</f>
        <v/>
      </c>
      <c r="J2672" s="60">
        <f>IF(AND(tblFleet[[#This Row],[Units]]&lt;&gt;"",tblFleet[[#This Row],[Available_h]]&gt;0),tblFleet[[#This Row],[Operating_h]]/tblFleet[[#This Row],[Available_h]],"")</f>
        <v/>
      </c>
    </row>
    <row r="2673">
      <c r="A2673" s="54" t="n"/>
      <c r="B2673" s="61" t="n"/>
      <c r="C2673" s="62" t="n"/>
      <c r="D2673" s="57" t="n"/>
      <c r="E2673" s="57" t="n"/>
      <c r="F2673" s="58" t="n"/>
      <c r="G2673" s="66">
        <f>IF(tblFleet[[#This Row],[Units]]="","",tblFleet[[#This Row],[Units]]*24)</f>
        <v/>
      </c>
      <c r="H2673" s="66">
        <f>IF(tblFleet[[#This Row],[Units]]="","",tblFleet[[#This Row],[Calendar_h]]-tblFleet[[#This Row],[Down_h]])</f>
        <v/>
      </c>
      <c r="I2673" s="60">
        <f>IF(AND(tblFleet[[#This Row],[Units]]&lt;&gt;"",tblFleet[[#This Row],[Calendar_h]]&gt;0),tblFleet[[#This Row],[Available_h]]/tblFleet[[#This Row],[Calendar_h]],"")</f>
        <v/>
      </c>
      <c r="J2673" s="60">
        <f>IF(AND(tblFleet[[#This Row],[Units]]&lt;&gt;"",tblFleet[[#This Row],[Available_h]]&gt;0),tblFleet[[#This Row],[Operating_h]]/tblFleet[[#This Row],[Available_h]],"")</f>
        <v/>
      </c>
    </row>
    <row r="2674">
      <c r="A2674" s="54" t="n"/>
      <c r="B2674" s="61" t="n"/>
      <c r="C2674" s="62" t="n"/>
      <c r="D2674" s="57" t="n"/>
      <c r="E2674" s="57" t="n"/>
      <c r="F2674" s="58" t="n"/>
      <c r="G2674" s="66">
        <f>IF(tblFleet[[#This Row],[Units]]="","",tblFleet[[#This Row],[Units]]*24)</f>
        <v/>
      </c>
      <c r="H2674" s="66">
        <f>IF(tblFleet[[#This Row],[Units]]="","",tblFleet[[#This Row],[Calendar_h]]-tblFleet[[#This Row],[Down_h]])</f>
        <v/>
      </c>
      <c r="I2674" s="60">
        <f>IF(AND(tblFleet[[#This Row],[Units]]&lt;&gt;"",tblFleet[[#This Row],[Calendar_h]]&gt;0),tblFleet[[#This Row],[Available_h]]/tblFleet[[#This Row],[Calendar_h]],"")</f>
        <v/>
      </c>
      <c r="J2674" s="60">
        <f>IF(AND(tblFleet[[#This Row],[Units]]&lt;&gt;"",tblFleet[[#This Row],[Available_h]]&gt;0),tblFleet[[#This Row],[Operating_h]]/tblFleet[[#This Row],[Available_h]],"")</f>
        <v/>
      </c>
    </row>
    <row r="2675">
      <c r="A2675" s="54" t="n"/>
      <c r="B2675" s="61" t="n"/>
      <c r="C2675" s="62" t="n"/>
      <c r="D2675" s="57" t="n"/>
      <c r="E2675" s="57" t="n"/>
      <c r="F2675" s="58" t="n"/>
      <c r="G2675" s="66">
        <f>IF(tblFleet[[#This Row],[Units]]="","",tblFleet[[#This Row],[Units]]*24)</f>
        <v/>
      </c>
      <c r="H2675" s="66">
        <f>IF(tblFleet[[#This Row],[Units]]="","",tblFleet[[#This Row],[Calendar_h]]-tblFleet[[#This Row],[Down_h]])</f>
        <v/>
      </c>
      <c r="I2675" s="60">
        <f>IF(AND(tblFleet[[#This Row],[Units]]&lt;&gt;"",tblFleet[[#This Row],[Calendar_h]]&gt;0),tblFleet[[#This Row],[Available_h]]/tblFleet[[#This Row],[Calendar_h]],"")</f>
        <v/>
      </c>
      <c r="J2675" s="60">
        <f>IF(AND(tblFleet[[#This Row],[Units]]&lt;&gt;"",tblFleet[[#This Row],[Available_h]]&gt;0),tblFleet[[#This Row],[Operating_h]]/tblFleet[[#This Row],[Available_h]],"")</f>
        <v/>
      </c>
    </row>
    <row r="2676">
      <c r="A2676" s="54" t="n"/>
      <c r="B2676" s="61" t="n"/>
      <c r="C2676" s="62" t="n"/>
      <c r="D2676" s="57" t="n"/>
      <c r="E2676" s="57" t="n"/>
      <c r="F2676" s="58" t="n"/>
      <c r="G2676" s="66">
        <f>IF(tblFleet[[#This Row],[Units]]="","",tblFleet[[#This Row],[Units]]*24)</f>
        <v/>
      </c>
      <c r="H2676" s="66">
        <f>IF(tblFleet[[#This Row],[Units]]="","",tblFleet[[#This Row],[Calendar_h]]-tblFleet[[#This Row],[Down_h]])</f>
        <v/>
      </c>
      <c r="I2676" s="60">
        <f>IF(AND(tblFleet[[#This Row],[Units]]&lt;&gt;"",tblFleet[[#This Row],[Calendar_h]]&gt;0),tblFleet[[#This Row],[Available_h]]/tblFleet[[#This Row],[Calendar_h]],"")</f>
        <v/>
      </c>
      <c r="J2676" s="60">
        <f>IF(AND(tblFleet[[#This Row],[Units]]&lt;&gt;"",tblFleet[[#This Row],[Available_h]]&gt;0),tblFleet[[#This Row],[Operating_h]]/tblFleet[[#This Row],[Available_h]],"")</f>
        <v/>
      </c>
    </row>
    <row r="2677">
      <c r="A2677" s="54" t="n"/>
      <c r="B2677" s="61" t="n"/>
      <c r="C2677" s="62" t="n"/>
      <c r="D2677" s="57" t="n"/>
      <c r="E2677" s="57" t="n"/>
      <c r="F2677" s="58" t="n"/>
      <c r="G2677" s="66">
        <f>IF(tblFleet[[#This Row],[Units]]="","",tblFleet[[#This Row],[Units]]*24)</f>
        <v/>
      </c>
      <c r="H2677" s="66">
        <f>IF(tblFleet[[#This Row],[Units]]="","",tblFleet[[#This Row],[Calendar_h]]-tblFleet[[#This Row],[Down_h]])</f>
        <v/>
      </c>
      <c r="I2677" s="60">
        <f>IF(AND(tblFleet[[#This Row],[Units]]&lt;&gt;"",tblFleet[[#This Row],[Calendar_h]]&gt;0),tblFleet[[#This Row],[Available_h]]/tblFleet[[#This Row],[Calendar_h]],"")</f>
        <v/>
      </c>
      <c r="J2677" s="60">
        <f>IF(AND(tblFleet[[#This Row],[Units]]&lt;&gt;"",tblFleet[[#This Row],[Available_h]]&gt;0),tblFleet[[#This Row],[Operating_h]]/tblFleet[[#This Row],[Available_h]],"")</f>
        <v/>
      </c>
    </row>
    <row r="2678">
      <c r="A2678" s="54" t="n"/>
      <c r="B2678" s="61" t="n"/>
      <c r="C2678" s="62" t="n"/>
      <c r="D2678" s="57" t="n"/>
      <c r="E2678" s="57" t="n"/>
      <c r="F2678" s="58" t="n"/>
      <c r="G2678" s="66">
        <f>IF(tblFleet[[#This Row],[Units]]="","",tblFleet[[#This Row],[Units]]*24)</f>
        <v/>
      </c>
      <c r="H2678" s="66">
        <f>IF(tblFleet[[#This Row],[Units]]="","",tblFleet[[#This Row],[Calendar_h]]-tblFleet[[#This Row],[Down_h]])</f>
        <v/>
      </c>
      <c r="I2678" s="60">
        <f>IF(AND(tblFleet[[#This Row],[Units]]&lt;&gt;"",tblFleet[[#This Row],[Calendar_h]]&gt;0),tblFleet[[#This Row],[Available_h]]/tblFleet[[#This Row],[Calendar_h]],"")</f>
        <v/>
      </c>
      <c r="J2678" s="60">
        <f>IF(AND(tblFleet[[#This Row],[Units]]&lt;&gt;"",tblFleet[[#This Row],[Available_h]]&gt;0),tblFleet[[#This Row],[Operating_h]]/tblFleet[[#This Row],[Available_h]],"")</f>
        <v/>
      </c>
    </row>
    <row r="2679">
      <c r="A2679" s="54" t="n"/>
      <c r="B2679" s="61" t="n"/>
      <c r="C2679" s="62" t="n"/>
      <c r="D2679" s="57" t="n"/>
      <c r="E2679" s="57" t="n"/>
      <c r="F2679" s="58" t="n"/>
      <c r="G2679" s="66">
        <f>IF(tblFleet[[#This Row],[Units]]="","",tblFleet[[#This Row],[Units]]*24)</f>
        <v/>
      </c>
      <c r="H2679" s="66">
        <f>IF(tblFleet[[#This Row],[Units]]="","",tblFleet[[#This Row],[Calendar_h]]-tblFleet[[#This Row],[Down_h]])</f>
        <v/>
      </c>
      <c r="I2679" s="60">
        <f>IF(AND(tblFleet[[#This Row],[Units]]&lt;&gt;"",tblFleet[[#This Row],[Calendar_h]]&gt;0),tblFleet[[#This Row],[Available_h]]/tblFleet[[#This Row],[Calendar_h]],"")</f>
        <v/>
      </c>
      <c r="J2679" s="60">
        <f>IF(AND(tblFleet[[#This Row],[Units]]&lt;&gt;"",tblFleet[[#This Row],[Available_h]]&gt;0),tblFleet[[#This Row],[Operating_h]]/tblFleet[[#This Row],[Available_h]],"")</f>
        <v/>
      </c>
    </row>
    <row r="2680">
      <c r="A2680" s="54" t="n"/>
      <c r="B2680" s="61" t="n"/>
      <c r="C2680" s="62" t="n"/>
      <c r="D2680" s="57" t="n"/>
      <c r="E2680" s="57" t="n"/>
      <c r="F2680" s="58" t="n"/>
      <c r="G2680" s="66">
        <f>IF(tblFleet[[#This Row],[Units]]="","",tblFleet[[#This Row],[Units]]*24)</f>
        <v/>
      </c>
      <c r="H2680" s="66">
        <f>IF(tblFleet[[#This Row],[Units]]="","",tblFleet[[#This Row],[Calendar_h]]-tblFleet[[#This Row],[Down_h]])</f>
        <v/>
      </c>
      <c r="I2680" s="60">
        <f>IF(AND(tblFleet[[#This Row],[Units]]&lt;&gt;"",tblFleet[[#This Row],[Calendar_h]]&gt;0),tblFleet[[#This Row],[Available_h]]/tblFleet[[#This Row],[Calendar_h]],"")</f>
        <v/>
      </c>
      <c r="J2680" s="60">
        <f>IF(AND(tblFleet[[#This Row],[Units]]&lt;&gt;"",tblFleet[[#This Row],[Available_h]]&gt;0),tblFleet[[#This Row],[Operating_h]]/tblFleet[[#This Row],[Available_h]],"")</f>
        <v/>
      </c>
    </row>
    <row r="2681">
      <c r="A2681" s="54" t="n"/>
      <c r="B2681" s="61" t="n"/>
      <c r="C2681" s="62" t="n"/>
      <c r="D2681" s="57" t="n"/>
      <c r="E2681" s="57" t="n"/>
      <c r="F2681" s="58" t="n"/>
      <c r="G2681" s="66">
        <f>IF(tblFleet[[#This Row],[Units]]="","",tblFleet[[#This Row],[Units]]*24)</f>
        <v/>
      </c>
      <c r="H2681" s="66">
        <f>IF(tblFleet[[#This Row],[Units]]="","",tblFleet[[#This Row],[Calendar_h]]-tblFleet[[#This Row],[Down_h]])</f>
        <v/>
      </c>
      <c r="I2681" s="60">
        <f>IF(AND(tblFleet[[#This Row],[Units]]&lt;&gt;"",tblFleet[[#This Row],[Calendar_h]]&gt;0),tblFleet[[#This Row],[Available_h]]/tblFleet[[#This Row],[Calendar_h]],"")</f>
        <v/>
      </c>
      <c r="J2681" s="60">
        <f>IF(AND(tblFleet[[#This Row],[Units]]&lt;&gt;"",tblFleet[[#This Row],[Available_h]]&gt;0),tblFleet[[#This Row],[Operating_h]]/tblFleet[[#This Row],[Available_h]],"")</f>
        <v/>
      </c>
    </row>
    <row r="2682">
      <c r="A2682" s="54" t="n"/>
      <c r="B2682" s="61" t="n"/>
      <c r="C2682" s="62" t="n"/>
      <c r="D2682" s="57" t="n"/>
      <c r="E2682" s="57" t="n"/>
      <c r="F2682" s="58" t="n"/>
      <c r="G2682" s="66">
        <f>IF(tblFleet[[#This Row],[Units]]="","",tblFleet[[#This Row],[Units]]*24)</f>
        <v/>
      </c>
      <c r="H2682" s="66">
        <f>IF(tblFleet[[#This Row],[Units]]="","",tblFleet[[#This Row],[Calendar_h]]-tblFleet[[#This Row],[Down_h]])</f>
        <v/>
      </c>
      <c r="I2682" s="60">
        <f>IF(AND(tblFleet[[#This Row],[Units]]&lt;&gt;"",tblFleet[[#This Row],[Calendar_h]]&gt;0),tblFleet[[#This Row],[Available_h]]/tblFleet[[#This Row],[Calendar_h]],"")</f>
        <v/>
      </c>
      <c r="J2682" s="60">
        <f>IF(AND(tblFleet[[#This Row],[Units]]&lt;&gt;"",tblFleet[[#This Row],[Available_h]]&gt;0),tblFleet[[#This Row],[Operating_h]]/tblFleet[[#This Row],[Available_h]],"")</f>
        <v/>
      </c>
    </row>
    <row r="2683">
      <c r="A2683" s="54" t="n"/>
      <c r="B2683" s="61" t="n"/>
      <c r="C2683" s="62" t="n"/>
      <c r="D2683" s="57" t="n"/>
      <c r="E2683" s="57" t="n"/>
      <c r="F2683" s="58" t="n"/>
      <c r="G2683" s="66">
        <f>IF(tblFleet[[#This Row],[Units]]="","",tblFleet[[#This Row],[Units]]*24)</f>
        <v/>
      </c>
      <c r="H2683" s="66">
        <f>IF(tblFleet[[#This Row],[Units]]="","",tblFleet[[#This Row],[Calendar_h]]-tblFleet[[#This Row],[Down_h]])</f>
        <v/>
      </c>
      <c r="I2683" s="60">
        <f>IF(AND(tblFleet[[#This Row],[Units]]&lt;&gt;"",tblFleet[[#This Row],[Calendar_h]]&gt;0),tblFleet[[#This Row],[Available_h]]/tblFleet[[#This Row],[Calendar_h]],"")</f>
        <v/>
      </c>
      <c r="J2683" s="60">
        <f>IF(AND(tblFleet[[#This Row],[Units]]&lt;&gt;"",tblFleet[[#This Row],[Available_h]]&gt;0),tblFleet[[#This Row],[Operating_h]]/tblFleet[[#This Row],[Available_h]],"")</f>
        <v/>
      </c>
    </row>
    <row r="2684">
      <c r="A2684" s="54" t="n"/>
      <c r="B2684" s="61" t="n"/>
      <c r="C2684" s="62" t="n"/>
      <c r="D2684" s="57" t="n"/>
      <c r="E2684" s="57" t="n"/>
      <c r="F2684" s="58" t="n"/>
      <c r="G2684" s="66">
        <f>IF(tblFleet[[#This Row],[Units]]="","",tblFleet[[#This Row],[Units]]*24)</f>
        <v/>
      </c>
      <c r="H2684" s="66">
        <f>IF(tblFleet[[#This Row],[Units]]="","",tblFleet[[#This Row],[Calendar_h]]-tblFleet[[#This Row],[Down_h]])</f>
        <v/>
      </c>
      <c r="I2684" s="60">
        <f>IF(AND(tblFleet[[#This Row],[Units]]&lt;&gt;"",tblFleet[[#This Row],[Calendar_h]]&gt;0),tblFleet[[#This Row],[Available_h]]/tblFleet[[#This Row],[Calendar_h]],"")</f>
        <v/>
      </c>
      <c r="J2684" s="60">
        <f>IF(AND(tblFleet[[#This Row],[Units]]&lt;&gt;"",tblFleet[[#This Row],[Available_h]]&gt;0),tblFleet[[#This Row],[Operating_h]]/tblFleet[[#This Row],[Available_h]],"")</f>
        <v/>
      </c>
    </row>
    <row r="2685">
      <c r="A2685" s="54" t="n"/>
      <c r="B2685" s="61" t="n"/>
      <c r="C2685" s="62" t="n"/>
      <c r="D2685" s="57" t="n"/>
      <c r="E2685" s="57" t="n"/>
      <c r="F2685" s="58" t="n"/>
      <c r="G2685" s="66">
        <f>IF(tblFleet[[#This Row],[Units]]="","",tblFleet[[#This Row],[Units]]*24)</f>
        <v/>
      </c>
      <c r="H2685" s="66">
        <f>IF(tblFleet[[#This Row],[Units]]="","",tblFleet[[#This Row],[Calendar_h]]-tblFleet[[#This Row],[Down_h]])</f>
        <v/>
      </c>
      <c r="I2685" s="60">
        <f>IF(AND(tblFleet[[#This Row],[Units]]&lt;&gt;"",tblFleet[[#This Row],[Calendar_h]]&gt;0),tblFleet[[#This Row],[Available_h]]/tblFleet[[#This Row],[Calendar_h]],"")</f>
        <v/>
      </c>
      <c r="J2685" s="60">
        <f>IF(AND(tblFleet[[#This Row],[Units]]&lt;&gt;"",tblFleet[[#This Row],[Available_h]]&gt;0),tblFleet[[#This Row],[Operating_h]]/tblFleet[[#This Row],[Available_h]],"")</f>
        <v/>
      </c>
    </row>
    <row r="2686">
      <c r="A2686" s="54" t="n"/>
      <c r="B2686" s="61" t="n"/>
      <c r="C2686" s="62" t="n"/>
      <c r="D2686" s="57" t="n"/>
      <c r="E2686" s="57" t="n"/>
      <c r="F2686" s="58" t="n"/>
      <c r="G2686" s="66">
        <f>IF(tblFleet[[#This Row],[Units]]="","",tblFleet[[#This Row],[Units]]*24)</f>
        <v/>
      </c>
      <c r="H2686" s="66">
        <f>IF(tblFleet[[#This Row],[Units]]="","",tblFleet[[#This Row],[Calendar_h]]-tblFleet[[#This Row],[Down_h]])</f>
        <v/>
      </c>
      <c r="I2686" s="60">
        <f>IF(AND(tblFleet[[#This Row],[Units]]&lt;&gt;"",tblFleet[[#This Row],[Calendar_h]]&gt;0),tblFleet[[#This Row],[Available_h]]/tblFleet[[#This Row],[Calendar_h]],"")</f>
        <v/>
      </c>
      <c r="J2686" s="60">
        <f>IF(AND(tblFleet[[#This Row],[Units]]&lt;&gt;"",tblFleet[[#This Row],[Available_h]]&gt;0),tblFleet[[#This Row],[Operating_h]]/tblFleet[[#This Row],[Available_h]],"")</f>
        <v/>
      </c>
    </row>
    <row r="2687">
      <c r="A2687" s="54" t="n"/>
      <c r="B2687" s="61" t="n"/>
      <c r="C2687" s="62" t="n"/>
      <c r="D2687" s="57" t="n"/>
      <c r="E2687" s="57" t="n"/>
      <c r="F2687" s="58" t="n"/>
      <c r="G2687" s="66">
        <f>IF(tblFleet[[#This Row],[Units]]="","",tblFleet[[#This Row],[Units]]*24)</f>
        <v/>
      </c>
      <c r="H2687" s="66">
        <f>IF(tblFleet[[#This Row],[Units]]="","",tblFleet[[#This Row],[Calendar_h]]-tblFleet[[#This Row],[Down_h]])</f>
        <v/>
      </c>
      <c r="I2687" s="60">
        <f>IF(AND(tblFleet[[#This Row],[Units]]&lt;&gt;"",tblFleet[[#This Row],[Calendar_h]]&gt;0),tblFleet[[#This Row],[Available_h]]/tblFleet[[#This Row],[Calendar_h]],"")</f>
        <v/>
      </c>
      <c r="J2687" s="60">
        <f>IF(AND(tblFleet[[#This Row],[Units]]&lt;&gt;"",tblFleet[[#This Row],[Available_h]]&gt;0),tblFleet[[#This Row],[Operating_h]]/tblFleet[[#This Row],[Available_h]],"")</f>
        <v/>
      </c>
    </row>
    <row r="2688">
      <c r="A2688" s="54" t="n"/>
      <c r="B2688" s="61" t="n"/>
      <c r="C2688" s="62" t="n"/>
      <c r="D2688" s="57" t="n"/>
      <c r="E2688" s="57" t="n"/>
      <c r="F2688" s="58" t="n"/>
      <c r="G2688" s="66">
        <f>IF(tblFleet[[#This Row],[Units]]="","",tblFleet[[#This Row],[Units]]*24)</f>
        <v/>
      </c>
      <c r="H2688" s="66">
        <f>IF(tblFleet[[#This Row],[Units]]="","",tblFleet[[#This Row],[Calendar_h]]-tblFleet[[#This Row],[Down_h]])</f>
        <v/>
      </c>
      <c r="I2688" s="60">
        <f>IF(AND(tblFleet[[#This Row],[Units]]&lt;&gt;"",tblFleet[[#This Row],[Calendar_h]]&gt;0),tblFleet[[#This Row],[Available_h]]/tblFleet[[#This Row],[Calendar_h]],"")</f>
        <v/>
      </c>
      <c r="J2688" s="60">
        <f>IF(AND(tblFleet[[#This Row],[Units]]&lt;&gt;"",tblFleet[[#This Row],[Available_h]]&gt;0),tblFleet[[#This Row],[Operating_h]]/tblFleet[[#This Row],[Available_h]],"")</f>
        <v/>
      </c>
    </row>
    <row r="2689">
      <c r="A2689" s="54" t="n"/>
      <c r="B2689" s="61" t="n"/>
      <c r="C2689" s="62" t="n"/>
      <c r="D2689" s="57" t="n"/>
      <c r="E2689" s="57" t="n"/>
      <c r="F2689" s="58" t="n"/>
      <c r="G2689" s="66">
        <f>IF(tblFleet[[#This Row],[Units]]="","",tblFleet[[#This Row],[Units]]*24)</f>
        <v/>
      </c>
      <c r="H2689" s="66">
        <f>IF(tblFleet[[#This Row],[Units]]="","",tblFleet[[#This Row],[Calendar_h]]-tblFleet[[#This Row],[Down_h]])</f>
        <v/>
      </c>
      <c r="I2689" s="60">
        <f>IF(AND(tblFleet[[#This Row],[Units]]&lt;&gt;"",tblFleet[[#This Row],[Calendar_h]]&gt;0),tblFleet[[#This Row],[Available_h]]/tblFleet[[#This Row],[Calendar_h]],"")</f>
        <v/>
      </c>
      <c r="J2689" s="60">
        <f>IF(AND(tblFleet[[#This Row],[Units]]&lt;&gt;"",tblFleet[[#This Row],[Available_h]]&gt;0),tblFleet[[#This Row],[Operating_h]]/tblFleet[[#This Row],[Available_h]],"")</f>
        <v/>
      </c>
    </row>
    <row r="2690">
      <c r="A2690" s="54" t="n"/>
      <c r="B2690" s="61" t="n"/>
      <c r="C2690" s="62" t="n"/>
      <c r="D2690" s="57" t="n"/>
      <c r="E2690" s="57" t="n"/>
      <c r="F2690" s="58" t="n"/>
      <c r="G2690" s="66">
        <f>IF(tblFleet[[#This Row],[Units]]="","",tblFleet[[#This Row],[Units]]*24)</f>
        <v/>
      </c>
      <c r="H2690" s="66">
        <f>IF(tblFleet[[#This Row],[Units]]="","",tblFleet[[#This Row],[Calendar_h]]-tblFleet[[#This Row],[Down_h]])</f>
        <v/>
      </c>
      <c r="I2690" s="60">
        <f>IF(AND(tblFleet[[#This Row],[Units]]&lt;&gt;"",tblFleet[[#This Row],[Calendar_h]]&gt;0),tblFleet[[#This Row],[Available_h]]/tblFleet[[#This Row],[Calendar_h]],"")</f>
        <v/>
      </c>
      <c r="J2690" s="60">
        <f>IF(AND(tblFleet[[#This Row],[Units]]&lt;&gt;"",tblFleet[[#This Row],[Available_h]]&gt;0),tblFleet[[#This Row],[Operating_h]]/tblFleet[[#This Row],[Available_h]],"")</f>
        <v/>
      </c>
    </row>
    <row r="2691">
      <c r="A2691" s="54" t="n"/>
      <c r="B2691" s="61" t="n"/>
      <c r="C2691" s="62" t="n"/>
      <c r="D2691" s="57" t="n"/>
      <c r="E2691" s="57" t="n"/>
      <c r="F2691" s="58" t="n"/>
      <c r="G2691" s="66">
        <f>IF(tblFleet[[#This Row],[Units]]="","",tblFleet[[#This Row],[Units]]*24)</f>
        <v/>
      </c>
      <c r="H2691" s="66">
        <f>IF(tblFleet[[#This Row],[Units]]="","",tblFleet[[#This Row],[Calendar_h]]-tblFleet[[#This Row],[Down_h]])</f>
        <v/>
      </c>
      <c r="I2691" s="60">
        <f>IF(AND(tblFleet[[#This Row],[Units]]&lt;&gt;"",tblFleet[[#This Row],[Calendar_h]]&gt;0),tblFleet[[#This Row],[Available_h]]/tblFleet[[#This Row],[Calendar_h]],"")</f>
        <v/>
      </c>
      <c r="J2691" s="60">
        <f>IF(AND(tblFleet[[#This Row],[Units]]&lt;&gt;"",tblFleet[[#This Row],[Available_h]]&gt;0),tblFleet[[#This Row],[Operating_h]]/tblFleet[[#This Row],[Available_h]],"")</f>
        <v/>
      </c>
    </row>
    <row r="2692">
      <c r="A2692" s="54" t="n"/>
      <c r="B2692" s="61" t="n"/>
      <c r="C2692" s="62" t="n"/>
      <c r="D2692" s="57" t="n"/>
      <c r="E2692" s="57" t="n"/>
      <c r="F2692" s="58" t="n"/>
      <c r="G2692" s="66">
        <f>IF(tblFleet[[#This Row],[Units]]="","",tblFleet[[#This Row],[Units]]*24)</f>
        <v/>
      </c>
      <c r="H2692" s="66">
        <f>IF(tblFleet[[#This Row],[Units]]="","",tblFleet[[#This Row],[Calendar_h]]-tblFleet[[#This Row],[Down_h]])</f>
        <v/>
      </c>
      <c r="I2692" s="60">
        <f>IF(AND(tblFleet[[#This Row],[Units]]&lt;&gt;"",tblFleet[[#This Row],[Calendar_h]]&gt;0),tblFleet[[#This Row],[Available_h]]/tblFleet[[#This Row],[Calendar_h]],"")</f>
        <v/>
      </c>
      <c r="J2692" s="60">
        <f>IF(AND(tblFleet[[#This Row],[Units]]&lt;&gt;"",tblFleet[[#This Row],[Available_h]]&gt;0),tblFleet[[#This Row],[Operating_h]]/tblFleet[[#This Row],[Available_h]],"")</f>
        <v/>
      </c>
    </row>
    <row r="2693">
      <c r="A2693" s="54" t="n"/>
      <c r="B2693" s="61" t="n"/>
      <c r="C2693" s="62" t="n"/>
      <c r="D2693" s="57" t="n"/>
      <c r="E2693" s="57" t="n"/>
      <c r="F2693" s="58" t="n"/>
      <c r="G2693" s="66">
        <f>IF(tblFleet[[#This Row],[Units]]="","",tblFleet[[#This Row],[Units]]*24)</f>
        <v/>
      </c>
      <c r="H2693" s="66">
        <f>IF(tblFleet[[#This Row],[Units]]="","",tblFleet[[#This Row],[Calendar_h]]-tblFleet[[#This Row],[Down_h]])</f>
        <v/>
      </c>
      <c r="I2693" s="60">
        <f>IF(AND(tblFleet[[#This Row],[Units]]&lt;&gt;"",tblFleet[[#This Row],[Calendar_h]]&gt;0),tblFleet[[#This Row],[Available_h]]/tblFleet[[#This Row],[Calendar_h]],"")</f>
        <v/>
      </c>
      <c r="J2693" s="60">
        <f>IF(AND(tblFleet[[#This Row],[Units]]&lt;&gt;"",tblFleet[[#This Row],[Available_h]]&gt;0),tblFleet[[#This Row],[Operating_h]]/tblFleet[[#This Row],[Available_h]],"")</f>
        <v/>
      </c>
    </row>
    <row r="2694">
      <c r="A2694" s="54" t="n"/>
      <c r="B2694" s="61" t="n"/>
      <c r="C2694" s="62" t="n"/>
      <c r="D2694" s="57" t="n"/>
      <c r="E2694" s="57" t="n"/>
      <c r="F2694" s="58" t="n"/>
      <c r="G2694" s="66">
        <f>IF(tblFleet[[#This Row],[Units]]="","",tblFleet[[#This Row],[Units]]*24)</f>
        <v/>
      </c>
      <c r="H2694" s="66">
        <f>IF(tblFleet[[#This Row],[Units]]="","",tblFleet[[#This Row],[Calendar_h]]-tblFleet[[#This Row],[Down_h]])</f>
        <v/>
      </c>
      <c r="I2694" s="60">
        <f>IF(AND(tblFleet[[#This Row],[Units]]&lt;&gt;"",tblFleet[[#This Row],[Calendar_h]]&gt;0),tblFleet[[#This Row],[Available_h]]/tblFleet[[#This Row],[Calendar_h]],"")</f>
        <v/>
      </c>
      <c r="J2694" s="60">
        <f>IF(AND(tblFleet[[#This Row],[Units]]&lt;&gt;"",tblFleet[[#This Row],[Available_h]]&gt;0),tblFleet[[#This Row],[Operating_h]]/tblFleet[[#This Row],[Available_h]],"")</f>
        <v/>
      </c>
    </row>
    <row r="2695">
      <c r="A2695" s="54" t="n"/>
      <c r="B2695" s="61" t="n"/>
      <c r="C2695" s="62" t="n"/>
      <c r="D2695" s="57" t="n"/>
      <c r="E2695" s="57" t="n"/>
      <c r="F2695" s="58" t="n"/>
      <c r="G2695" s="66">
        <f>IF(tblFleet[[#This Row],[Units]]="","",tblFleet[[#This Row],[Units]]*24)</f>
        <v/>
      </c>
      <c r="H2695" s="66">
        <f>IF(tblFleet[[#This Row],[Units]]="","",tblFleet[[#This Row],[Calendar_h]]-tblFleet[[#This Row],[Down_h]])</f>
        <v/>
      </c>
      <c r="I2695" s="60">
        <f>IF(AND(tblFleet[[#This Row],[Units]]&lt;&gt;"",tblFleet[[#This Row],[Calendar_h]]&gt;0),tblFleet[[#This Row],[Available_h]]/tblFleet[[#This Row],[Calendar_h]],"")</f>
        <v/>
      </c>
      <c r="J2695" s="60">
        <f>IF(AND(tblFleet[[#This Row],[Units]]&lt;&gt;"",tblFleet[[#This Row],[Available_h]]&gt;0),tblFleet[[#This Row],[Operating_h]]/tblFleet[[#This Row],[Available_h]],"")</f>
        <v/>
      </c>
    </row>
    <row r="2696">
      <c r="A2696" s="54" t="n"/>
      <c r="B2696" s="61" t="n"/>
      <c r="C2696" s="62" t="n"/>
      <c r="D2696" s="57" t="n"/>
      <c r="E2696" s="57" t="n"/>
      <c r="F2696" s="58" t="n"/>
      <c r="G2696" s="66">
        <f>IF(tblFleet[[#This Row],[Units]]="","",tblFleet[[#This Row],[Units]]*24)</f>
        <v/>
      </c>
      <c r="H2696" s="66">
        <f>IF(tblFleet[[#This Row],[Units]]="","",tblFleet[[#This Row],[Calendar_h]]-tblFleet[[#This Row],[Down_h]])</f>
        <v/>
      </c>
      <c r="I2696" s="60">
        <f>IF(AND(tblFleet[[#This Row],[Units]]&lt;&gt;"",tblFleet[[#This Row],[Calendar_h]]&gt;0),tblFleet[[#This Row],[Available_h]]/tblFleet[[#This Row],[Calendar_h]],"")</f>
        <v/>
      </c>
      <c r="J2696" s="60">
        <f>IF(AND(tblFleet[[#This Row],[Units]]&lt;&gt;"",tblFleet[[#This Row],[Available_h]]&gt;0),tblFleet[[#This Row],[Operating_h]]/tblFleet[[#This Row],[Available_h]],"")</f>
        <v/>
      </c>
    </row>
    <row r="2697">
      <c r="A2697" s="54" t="n"/>
      <c r="B2697" s="61" t="n"/>
      <c r="C2697" s="62" t="n"/>
      <c r="D2697" s="57" t="n"/>
      <c r="E2697" s="57" t="n"/>
      <c r="F2697" s="58" t="n"/>
      <c r="G2697" s="66">
        <f>IF(tblFleet[[#This Row],[Units]]="","",tblFleet[[#This Row],[Units]]*24)</f>
        <v/>
      </c>
      <c r="H2697" s="66">
        <f>IF(tblFleet[[#This Row],[Units]]="","",tblFleet[[#This Row],[Calendar_h]]-tblFleet[[#This Row],[Down_h]])</f>
        <v/>
      </c>
      <c r="I2697" s="60">
        <f>IF(AND(tblFleet[[#This Row],[Units]]&lt;&gt;"",tblFleet[[#This Row],[Calendar_h]]&gt;0),tblFleet[[#This Row],[Available_h]]/tblFleet[[#This Row],[Calendar_h]],"")</f>
        <v/>
      </c>
      <c r="J2697" s="60">
        <f>IF(AND(tblFleet[[#This Row],[Units]]&lt;&gt;"",tblFleet[[#This Row],[Available_h]]&gt;0),tblFleet[[#This Row],[Operating_h]]/tblFleet[[#This Row],[Available_h]],"")</f>
        <v/>
      </c>
    </row>
    <row r="2698">
      <c r="A2698" s="54" t="n"/>
      <c r="B2698" s="61" t="n"/>
      <c r="C2698" s="62" t="n"/>
      <c r="D2698" s="57" t="n"/>
      <c r="E2698" s="57" t="n"/>
      <c r="F2698" s="58" t="n"/>
      <c r="G2698" s="66">
        <f>IF(tblFleet[[#This Row],[Units]]="","",tblFleet[[#This Row],[Units]]*24)</f>
        <v/>
      </c>
      <c r="H2698" s="66">
        <f>IF(tblFleet[[#This Row],[Units]]="","",tblFleet[[#This Row],[Calendar_h]]-tblFleet[[#This Row],[Down_h]])</f>
        <v/>
      </c>
      <c r="I2698" s="60">
        <f>IF(AND(tblFleet[[#This Row],[Units]]&lt;&gt;"",tblFleet[[#This Row],[Calendar_h]]&gt;0),tblFleet[[#This Row],[Available_h]]/tblFleet[[#This Row],[Calendar_h]],"")</f>
        <v/>
      </c>
      <c r="J2698" s="60">
        <f>IF(AND(tblFleet[[#This Row],[Units]]&lt;&gt;"",tblFleet[[#This Row],[Available_h]]&gt;0),tblFleet[[#This Row],[Operating_h]]/tblFleet[[#This Row],[Available_h]],"")</f>
        <v/>
      </c>
    </row>
    <row r="2699">
      <c r="A2699" s="54" t="n"/>
      <c r="B2699" s="61" t="n"/>
      <c r="C2699" s="62" t="n"/>
      <c r="D2699" s="57" t="n"/>
      <c r="E2699" s="57" t="n"/>
      <c r="F2699" s="58" t="n"/>
      <c r="G2699" s="66">
        <f>IF(tblFleet[[#This Row],[Units]]="","",tblFleet[[#This Row],[Units]]*24)</f>
        <v/>
      </c>
      <c r="H2699" s="66">
        <f>IF(tblFleet[[#This Row],[Units]]="","",tblFleet[[#This Row],[Calendar_h]]-tblFleet[[#This Row],[Down_h]])</f>
        <v/>
      </c>
      <c r="I2699" s="60">
        <f>IF(AND(tblFleet[[#This Row],[Units]]&lt;&gt;"",tblFleet[[#This Row],[Calendar_h]]&gt;0),tblFleet[[#This Row],[Available_h]]/tblFleet[[#This Row],[Calendar_h]],"")</f>
        <v/>
      </c>
      <c r="J2699" s="60">
        <f>IF(AND(tblFleet[[#This Row],[Units]]&lt;&gt;"",tblFleet[[#This Row],[Available_h]]&gt;0),tblFleet[[#This Row],[Operating_h]]/tblFleet[[#This Row],[Available_h]],"")</f>
        <v/>
      </c>
    </row>
    <row r="2700">
      <c r="A2700" s="54" t="n"/>
      <c r="B2700" s="61" t="n"/>
      <c r="C2700" s="62" t="n"/>
      <c r="D2700" s="57" t="n"/>
      <c r="E2700" s="57" t="n"/>
      <c r="F2700" s="58" t="n"/>
      <c r="G2700" s="66">
        <f>IF(tblFleet[[#This Row],[Units]]="","",tblFleet[[#This Row],[Units]]*24)</f>
        <v/>
      </c>
      <c r="H2700" s="66">
        <f>IF(tblFleet[[#This Row],[Units]]="","",tblFleet[[#This Row],[Calendar_h]]-tblFleet[[#This Row],[Down_h]])</f>
        <v/>
      </c>
      <c r="I2700" s="60">
        <f>IF(AND(tblFleet[[#This Row],[Units]]&lt;&gt;"",tblFleet[[#This Row],[Calendar_h]]&gt;0),tblFleet[[#This Row],[Available_h]]/tblFleet[[#This Row],[Calendar_h]],"")</f>
        <v/>
      </c>
      <c r="J2700" s="60">
        <f>IF(AND(tblFleet[[#This Row],[Units]]&lt;&gt;"",tblFleet[[#This Row],[Available_h]]&gt;0),tblFleet[[#This Row],[Operating_h]]/tblFleet[[#This Row],[Available_h]],"")</f>
        <v/>
      </c>
    </row>
    <row r="2701">
      <c r="A2701" s="54" t="n"/>
      <c r="B2701" s="61" t="n"/>
      <c r="C2701" s="62" t="n"/>
      <c r="D2701" s="57" t="n"/>
      <c r="E2701" s="57" t="n"/>
      <c r="F2701" s="58" t="n"/>
      <c r="G2701" s="66">
        <f>IF(tblFleet[[#This Row],[Units]]="","",tblFleet[[#This Row],[Units]]*24)</f>
        <v/>
      </c>
      <c r="H2701" s="66">
        <f>IF(tblFleet[[#This Row],[Units]]="","",tblFleet[[#This Row],[Calendar_h]]-tblFleet[[#This Row],[Down_h]])</f>
        <v/>
      </c>
      <c r="I2701" s="60">
        <f>IF(AND(tblFleet[[#This Row],[Units]]&lt;&gt;"",tblFleet[[#This Row],[Calendar_h]]&gt;0),tblFleet[[#This Row],[Available_h]]/tblFleet[[#This Row],[Calendar_h]],"")</f>
        <v/>
      </c>
      <c r="J2701" s="60">
        <f>IF(AND(tblFleet[[#This Row],[Units]]&lt;&gt;"",tblFleet[[#This Row],[Available_h]]&gt;0),tblFleet[[#This Row],[Operating_h]]/tblFleet[[#This Row],[Available_h]],"")</f>
        <v/>
      </c>
    </row>
    <row r="2702">
      <c r="A2702" s="54" t="n"/>
      <c r="B2702" s="61" t="n"/>
      <c r="C2702" s="62" t="n"/>
      <c r="D2702" s="57" t="n"/>
      <c r="E2702" s="57" t="n"/>
      <c r="F2702" s="58" t="n"/>
      <c r="G2702" s="66">
        <f>IF(tblFleet[[#This Row],[Units]]="","",tblFleet[[#This Row],[Units]]*24)</f>
        <v/>
      </c>
      <c r="H2702" s="66">
        <f>IF(tblFleet[[#This Row],[Units]]="","",tblFleet[[#This Row],[Calendar_h]]-tblFleet[[#This Row],[Down_h]])</f>
        <v/>
      </c>
      <c r="I2702" s="60">
        <f>IF(AND(tblFleet[[#This Row],[Units]]&lt;&gt;"",tblFleet[[#This Row],[Calendar_h]]&gt;0),tblFleet[[#This Row],[Available_h]]/tblFleet[[#This Row],[Calendar_h]],"")</f>
        <v/>
      </c>
      <c r="J2702" s="60">
        <f>IF(AND(tblFleet[[#This Row],[Units]]&lt;&gt;"",tblFleet[[#This Row],[Available_h]]&gt;0),tblFleet[[#This Row],[Operating_h]]/tblFleet[[#This Row],[Available_h]],"")</f>
        <v/>
      </c>
    </row>
    <row r="2703">
      <c r="A2703" s="54" t="n"/>
      <c r="B2703" s="61" t="n"/>
      <c r="C2703" s="62" t="n"/>
      <c r="D2703" s="57" t="n"/>
      <c r="E2703" s="57" t="n"/>
      <c r="F2703" s="58" t="n"/>
      <c r="G2703" s="66">
        <f>IF(tblFleet[[#This Row],[Units]]="","",tblFleet[[#This Row],[Units]]*24)</f>
        <v/>
      </c>
      <c r="H2703" s="66">
        <f>IF(tblFleet[[#This Row],[Units]]="","",tblFleet[[#This Row],[Calendar_h]]-tblFleet[[#This Row],[Down_h]])</f>
        <v/>
      </c>
      <c r="I2703" s="60">
        <f>IF(AND(tblFleet[[#This Row],[Units]]&lt;&gt;"",tblFleet[[#This Row],[Calendar_h]]&gt;0),tblFleet[[#This Row],[Available_h]]/tblFleet[[#This Row],[Calendar_h]],"")</f>
        <v/>
      </c>
      <c r="J2703" s="60">
        <f>IF(AND(tblFleet[[#This Row],[Units]]&lt;&gt;"",tblFleet[[#This Row],[Available_h]]&gt;0),tblFleet[[#This Row],[Operating_h]]/tblFleet[[#This Row],[Available_h]],"")</f>
        <v/>
      </c>
    </row>
    <row r="2704">
      <c r="A2704" s="54" t="n"/>
      <c r="B2704" s="61" t="n"/>
      <c r="C2704" s="62" t="n"/>
      <c r="D2704" s="57" t="n"/>
      <c r="E2704" s="57" t="n"/>
      <c r="F2704" s="58" t="n"/>
      <c r="G2704" s="66">
        <f>IF(tblFleet[[#This Row],[Units]]="","",tblFleet[[#This Row],[Units]]*24)</f>
        <v/>
      </c>
      <c r="H2704" s="66">
        <f>IF(tblFleet[[#This Row],[Units]]="","",tblFleet[[#This Row],[Calendar_h]]-tblFleet[[#This Row],[Down_h]])</f>
        <v/>
      </c>
      <c r="I2704" s="60">
        <f>IF(AND(tblFleet[[#This Row],[Units]]&lt;&gt;"",tblFleet[[#This Row],[Calendar_h]]&gt;0),tblFleet[[#This Row],[Available_h]]/tblFleet[[#This Row],[Calendar_h]],"")</f>
        <v/>
      </c>
      <c r="J2704" s="60">
        <f>IF(AND(tblFleet[[#This Row],[Units]]&lt;&gt;"",tblFleet[[#This Row],[Available_h]]&gt;0),tblFleet[[#This Row],[Operating_h]]/tblFleet[[#This Row],[Available_h]],"")</f>
        <v/>
      </c>
    </row>
    <row r="2705">
      <c r="A2705" s="54" t="n"/>
      <c r="B2705" s="61" t="n"/>
      <c r="C2705" s="62" t="n"/>
      <c r="D2705" s="57" t="n"/>
      <c r="E2705" s="57" t="n"/>
      <c r="F2705" s="58" t="n"/>
      <c r="G2705" s="66">
        <f>IF(tblFleet[[#This Row],[Units]]="","",tblFleet[[#This Row],[Units]]*24)</f>
        <v/>
      </c>
      <c r="H2705" s="66">
        <f>IF(tblFleet[[#This Row],[Units]]="","",tblFleet[[#This Row],[Calendar_h]]-tblFleet[[#This Row],[Down_h]])</f>
        <v/>
      </c>
      <c r="I2705" s="60">
        <f>IF(AND(tblFleet[[#This Row],[Units]]&lt;&gt;"",tblFleet[[#This Row],[Calendar_h]]&gt;0),tblFleet[[#This Row],[Available_h]]/tblFleet[[#This Row],[Calendar_h]],"")</f>
        <v/>
      </c>
      <c r="J2705" s="60">
        <f>IF(AND(tblFleet[[#This Row],[Units]]&lt;&gt;"",tblFleet[[#This Row],[Available_h]]&gt;0),tblFleet[[#This Row],[Operating_h]]/tblFleet[[#This Row],[Available_h]],"")</f>
        <v/>
      </c>
    </row>
    <row r="2706">
      <c r="A2706" s="54" t="n"/>
      <c r="B2706" s="61" t="n"/>
      <c r="C2706" s="62" t="n"/>
      <c r="D2706" s="57" t="n"/>
      <c r="E2706" s="57" t="n"/>
      <c r="F2706" s="58" t="n"/>
      <c r="G2706" s="66">
        <f>IF(tblFleet[[#This Row],[Units]]="","",tblFleet[[#This Row],[Units]]*24)</f>
        <v/>
      </c>
      <c r="H2706" s="66">
        <f>IF(tblFleet[[#This Row],[Units]]="","",tblFleet[[#This Row],[Calendar_h]]-tblFleet[[#This Row],[Down_h]])</f>
        <v/>
      </c>
      <c r="I2706" s="60">
        <f>IF(AND(tblFleet[[#This Row],[Units]]&lt;&gt;"",tblFleet[[#This Row],[Calendar_h]]&gt;0),tblFleet[[#This Row],[Available_h]]/tblFleet[[#This Row],[Calendar_h]],"")</f>
        <v/>
      </c>
      <c r="J2706" s="60">
        <f>IF(AND(tblFleet[[#This Row],[Units]]&lt;&gt;"",tblFleet[[#This Row],[Available_h]]&gt;0),tblFleet[[#This Row],[Operating_h]]/tblFleet[[#This Row],[Available_h]],"")</f>
        <v/>
      </c>
    </row>
    <row r="2707">
      <c r="A2707" s="54" t="n"/>
      <c r="B2707" s="61" t="n"/>
      <c r="C2707" s="62" t="n"/>
      <c r="D2707" s="57" t="n"/>
      <c r="E2707" s="57" t="n"/>
      <c r="F2707" s="58" t="n"/>
      <c r="G2707" s="66">
        <f>IF(tblFleet[[#This Row],[Units]]="","",tblFleet[[#This Row],[Units]]*24)</f>
        <v/>
      </c>
      <c r="H2707" s="66">
        <f>IF(tblFleet[[#This Row],[Units]]="","",tblFleet[[#This Row],[Calendar_h]]-tblFleet[[#This Row],[Down_h]])</f>
        <v/>
      </c>
      <c r="I2707" s="60">
        <f>IF(AND(tblFleet[[#This Row],[Units]]&lt;&gt;"",tblFleet[[#This Row],[Calendar_h]]&gt;0),tblFleet[[#This Row],[Available_h]]/tblFleet[[#This Row],[Calendar_h]],"")</f>
        <v/>
      </c>
      <c r="J2707" s="60">
        <f>IF(AND(tblFleet[[#This Row],[Units]]&lt;&gt;"",tblFleet[[#This Row],[Available_h]]&gt;0),tblFleet[[#This Row],[Operating_h]]/tblFleet[[#This Row],[Available_h]],"")</f>
        <v/>
      </c>
    </row>
    <row r="2708">
      <c r="A2708" s="54" t="n"/>
      <c r="B2708" s="61" t="n"/>
      <c r="C2708" s="62" t="n"/>
      <c r="D2708" s="57" t="n"/>
      <c r="E2708" s="57" t="n"/>
      <c r="F2708" s="58" t="n"/>
      <c r="G2708" s="66">
        <f>IF(tblFleet[[#This Row],[Units]]="","",tblFleet[[#This Row],[Units]]*24)</f>
        <v/>
      </c>
      <c r="H2708" s="66">
        <f>IF(tblFleet[[#This Row],[Units]]="","",tblFleet[[#This Row],[Calendar_h]]-tblFleet[[#This Row],[Down_h]])</f>
        <v/>
      </c>
      <c r="I2708" s="60">
        <f>IF(AND(tblFleet[[#This Row],[Units]]&lt;&gt;"",tblFleet[[#This Row],[Calendar_h]]&gt;0),tblFleet[[#This Row],[Available_h]]/tblFleet[[#This Row],[Calendar_h]],"")</f>
        <v/>
      </c>
      <c r="J2708" s="60">
        <f>IF(AND(tblFleet[[#This Row],[Units]]&lt;&gt;"",tblFleet[[#This Row],[Available_h]]&gt;0),tblFleet[[#This Row],[Operating_h]]/tblFleet[[#This Row],[Available_h]],"")</f>
        <v/>
      </c>
    </row>
    <row r="2709">
      <c r="A2709" s="54" t="n"/>
      <c r="B2709" s="61" t="n"/>
      <c r="C2709" s="62" t="n"/>
      <c r="D2709" s="57" t="n"/>
      <c r="E2709" s="57" t="n"/>
      <c r="F2709" s="58" t="n"/>
      <c r="G2709" s="66">
        <f>IF(tblFleet[[#This Row],[Units]]="","",tblFleet[[#This Row],[Units]]*24)</f>
        <v/>
      </c>
      <c r="H2709" s="66">
        <f>IF(tblFleet[[#This Row],[Units]]="","",tblFleet[[#This Row],[Calendar_h]]-tblFleet[[#This Row],[Down_h]])</f>
        <v/>
      </c>
      <c r="I2709" s="60">
        <f>IF(AND(tblFleet[[#This Row],[Units]]&lt;&gt;"",tblFleet[[#This Row],[Calendar_h]]&gt;0),tblFleet[[#This Row],[Available_h]]/tblFleet[[#This Row],[Calendar_h]],"")</f>
        <v/>
      </c>
      <c r="J2709" s="60">
        <f>IF(AND(tblFleet[[#This Row],[Units]]&lt;&gt;"",tblFleet[[#This Row],[Available_h]]&gt;0),tblFleet[[#This Row],[Operating_h]]/tblFleet[[#This Row],[Available_h]],"")</f>
        <v/>
      </c>
    </row>
    <row r="2710">
      <c r="A2710" s="54" t="n"/>
      <c r="B2710" s="61" t="n"/>
      <c r="C2710" s="62" t="n"/>
      <c r="D2710" s="57" t="n"/>
      <c r="E2710" s="57" t="n"/>
      <c r="F2710" s="58" t="n"/>
      <c r="G2710" s="66">
        <f>IF(tblFleet[[#This Row],[Units]]="","",tblFleet[[#This Row],[Units]]*24)</f>
        <v/>
      </c>
      <c r="H2710" s="66">
        <f>IF(tblFleet[[#This Row],[Units]]="","",tblFleet[[#This Row],[Calendar_h]]-tblFleet[[#This Row],[Down_h]])</f>
        <v/>
      </c>
      <c r="I2710" s="60">
        <f>IF(AND(tblFleet[[#This Row],[Units]]&lt;&gt;"",tblFleet[[#This Row],[Calendar_h]]&gt;0),tblFleet[[#This Row],[Available_h]]/tblFleet[[#This Row],[Calendar_h]],"")</f>
        <v/>
      </c>
      <c r="J2710" s="60">
        <f>IF(AND(tblFleet[[#This Row],[Units]]&lt;&gt;"",tblFleet[[#This Row],[Available_h]]&gt;0),tblFleet[[#This Row],[Operating_h]]/tblFleet[[#This Row],[Available_h]],"")</f>
        <v/>
      </c>
    </row>
    <row r="2711">
      <c r="A2711" s="54" t="n"/>
      <c r="B2711" s="61" t="n"/>
      <c r="C2711" s="62" t="n"/>
      <c r="D2711" s="57" t="n"/>
      <c r="E2711" s="57" t="n"/>
      <c r="F2711" s="58" t="n"/>
      <c r="G2711" s="66">
        <f>IF(tblFleet[[#This Row],[Units]]="","",tblFleet[[#This Row],[Units]]*24)</f>
        <v/>
      </c>
      <c r="H2711" s="66">
        <f>IF(tblFleet[[#This Row],[Units]]="","",tblFleet[[#This Row],[Calendar_h]]-tblFleet[[#This Row],[Down_h]])</f>
        <v/>
      </c>
      <c r="I2711" s="60">
        <f>IF(AND(tblFleet[[#This Row],[Units]]&lt;&gt;"",tblFleet[[#This Row],[Calendar_h]]&gt;0),tblFleet[[#This Row],[Available_h]]/tblFleet[[#This Row],[Calendar_h]],"")</f>
        <v/>
      </c>
      <c r="J2711" s="60">
        <f>IF(AND(tblFleet[[#This Row],[Units]]&lt;&gt;"",tblFleet[[#This Row],[Available_h]]&gt;0),tblFleet[[#This Row],[Operating_h]]/tblFleet[[#This Row],[Available_h]],"")</f>
        <v/>
      </c>
    </row>
    <row r="2712">
      <c r="A2712" s="54" t="n"/>
      <c r="B2712" s="61" t="n"/>
      <c r="C2712" s="62" t="n"/>
      <c r="D2712" s="57" t="n"/>
      <c r="E2712" s="57" t="n"/>
      <c r="F2712" s="58" t="n"/>
      <c r="G2712" s="66">
        <f>IF(tblFleet[[#This Row],[Units]]="","",tblFleet[[#This Row],[Units]]*24)</f>
        <v/>
      </c>
      <c r="H2712" s="66">
        <f>IF(tblFleet[[#This Row],[Units]]="","",tblFleet[[#This Row],[Calendar_h]]-tblFleet[[#This Row],[Down_h]])</f>
        <v/>
      </c>
      <c r="I2712" s="60">
        <f>IF(AND(tblFleet[[#This Row],[Units]]&lt;&gt;"",tblFleet[[#This Row],[Calendar_h]]&gt;0),tblFleet[[#This Row],[Available_h]]/tblFleet[[#This Row],[Calendar_h]],"")</f>
        <v/>
      </c>
      <c r="J2712" s="60">
        <f>IF(AND(tblFleet[[#This Row],[Units]]&lt;&gt;"",tblFleet[[#This Row],[Available_h]]&gt;0),tblFleet[[#This Row],[Operating_h]]/tblFleet[[#This Row],[Available_h]],"")</f>
        <v/>
      </c>
    </row>
    <row r="2713">
      <c r="A2713" s="54" t="n"/>
      <c r="B2713" s="61" t="n"/>
      <c r="C2713" s="62" t="n"/>
      <c r="D2713" s="57" t="n"/>
      <c r="E2713" s="57" t="n"/>
      <c r="F2713" s="58" t="n"/>
      <c r="G2713" s="66">
        <f>IF(tblFleet[[#This Row],[Units]]="","",tblFleet[[#This Row],[Units]]*24)</f>
        <v/>
      </c>
      <c r="H2713" s="66">
        <f>IF(tblFleet[[#This Row],[Units]]="","",tblFleet[[#This Row],[Calendar_h]]-tblFleet[[#This Row],[Down_h]])</f>
        <v/>
      </c>
      <c r="I2713" s="60">
        <f>IF(AND(tblFleet[[#This Row],[Units]]&lt;&gt;"",tblFleet[[#This Row],[Calendar_h]]&gt;0),tblFleet[[#This Row],[Available_h]]/tblFleet[[#This Row],[Calendar_h]],"")</f>
        <v/>
      </c>
      <c r="J2713" s="60">
        <f>IF(AND(tblFleet[[#This Row],[Units]]&lt;&gt;"",tblFleet[[#This Row],[Available_h]]&gt;0),tblFleet[[#This Row],[Operating_h]]/tblFleet[[#This Row],[Available_h]],"")</f>
        <v/>
      </c>
    </row>
    <row r="2714">
      <c r="A2714" s="54" t="n"/>
      <c r="B2714" s="61" t="n"/>
      <c r="C2714" s="62" t="n"/>
      <c r="D2714" s="57" t="n"/>
      <c r="E2714" s="57" t="n"/>
      <c r="F2714" s="58" t="n"/>
      <c r="G2714" s="66">
        <f>IF(tblFleet[[#This Row],[Units]]="","",tblFleet[[#This Row],[Units]]*24)</f>
        <v/>
      </c>
      <c r="H2714" s="66">
        <f>IF(tblFleet[[#This Row],[Units]]="","",tblFleet[[#This Row],[Calendar_h]]-tblFleet[[#This Row],[Down_h]])</f>
        <v/>
      </c>
      <c r="I2714" s="60">
        <f>IF(AND(tblFleet[[#This Row],[Units]]&lt;&gt;"",tblFleet[[#This Row],[Calendar_h]]&gt;0),tblFleet[[#This Row],[Available_h]]/tblFleet[[#This Row],[Calendar_h]],"")</f>
        <v/>
      </c>
      <c r="J2714" s="60">
        <f>IF(AND(tblFleet[[#This Row],[Units]]&lt;&gt;"",tblFleet[[#This Row],[Available_h]]&gt;0),tblFleet[[#This Row],[Operating_h]]/tblFleet[[#This Row],[Available_h]],"")</f>
        <v/>
      </c>
    </row>
    <row r="2715">
      <c r="A2715" s="54" t="n"/>
      <c r="B2715" s="61" t="n"/>
      <c r="C2715" s="62" t="n"/>
      <c r="D2715" s="57" t="n"/>
      <c r="E2715" s="57" t="n"/>
      <c r="F2715" s="58" t="n"/>
      <c r="G2715" s="66">
        <f>IF(tblFleet[[#This Row],[Units]]="","",tblFleet[[#This Row],[Units]]*24)</f>
        <v/>
      </c>
      <c r="H2715" s="66">
        <f>IF(tblFleet[[#This Row],[Units]]="","",tblFleet[[#This Row],[Calendar_h]]-tblFleet[[#This Row],[Down_h]])</f>
        <v/>
      </c>
      <c r="I2715" s="60">
        <f>IF(AND(tblFleet[[#This Row],[Units]]&lt;&gt;"",tblFleet[[#This Row],[Calendar_h]]&gt;0),tblFleet[[#This Row],[Available_h]]/tblFleet[[#This Row],[Calendar_h]],"")</f>
        <v/>
      </c>
      <c r="J2715" s="60">
        <f>IF(AND(tblFleet[[#This Row],[Units]]&lt;&gt;"",tblFleet[[#This Row],[Available_h]]&gt;0),tblFleet[[#This Row],[Operating_h]]/tblFleet[[#This Row],[Available_h]],"")</f>
        <v/>
      </c>
    </row>
    <row r="2716">
      <c r="A2716" s="54" t="n"/>
      <c r="B2716" s="61" t="n"/>
      <c r="C2716" s="62" t="n"/>
      <c r="D2716" s="57" t="n"/>
      <c r="E2716" s="57" t="n"/>
      <c r="F2716" s="58" t="n"/>
      <c r="G2716" s="66">
        <f>IF(tblFleet[[#This Row],[Units]]="","",tblFleet[[#This Row],[Units]]*24)</f>
        <v/>
      </c>
      <c r="H2716" s="66">
        <f>IF(tblFleet[[#This Row],[Units]]="","",tblFleet[[#This Row],[Calendar_h]]-tblFleet[[#This Row],[Down_h]])</f>
        <v/>
      </c>
      <c r="I2716" s="60">
        <f>IF(AND(tblFleet[[#This Row],[Units]]&lt;&gt;"",tblFleet[[#This Row],[Calendar_h]]&gt;0),tblFleet[[#This Row],[Available_h]]/tblFleet[[#This Row],[Calendar_h]],"")</f>
        <v/>
      </c>
      <c r="J2716" s="60">
        <f>IF(AND(tblFleet[[#This Row],[Units]]&lt;&gt;"",tblFleet[[#This Row],[Available_h]]&gt;0),tblFleet[[#This Row],[Operating_h]]/tblFleet[[#This Row],[Available_h]],"")</f>
        <v/>
      </c>
    </row>
    <row r="2717">
      <c r="A2717" s="54" t="n"/>
      <c r="B2717" s="61" t="n"/>
      <c r="C2717" s="62" t="n"/>
      <c r="D2717" s="57" t="n"/>
      <c r="E2717" s="57" t="n"/>
      <c r="F2717" s="58" t="n"/>
      <c r="G2717" s="66">
        <f>IF(tblFleet[[#This Row],[Units]]="","",tblFleet[[#This Row],[Units]]*24)</f>
        <v/>
      </c>
      <c r="H2717" s="66">
        <f>IF(tblFleet[[#This Row],[Units]]="","",tblFleet[[#This Row],[Calendar_h]]-tblFleet[[#This Row],[Down_h]])</f>
        <v/>
      </c>
      <c r="I2717" s="60">
        <f>IF(AND(tblFleet[[#This Row],[Units]]&lt;&gt;"",tblFleet[[#This Row],[Calendar_h]]&gt;0),tblFleet[[#This Row],[Available_h]]/tblFleet[[#This Row],[Calendar_h]],"")</f>
        <v/>
      </c>
      <c r="J2717" s="60">
        <f>IF(AND(tblFleet[[#This Row],[Units]]&lt;&gt;"",tblFleet[[#This Row],[Available_h]]&gt;0),tblFleet[[#This Row],[Operating_h]]/tblFleet[[#This Row],[Available_h]],"")</f>
        <v/>
      </c>
    </row>
    <row r="2718">
      <c r="A2718" s="54" t="n"/>
      <c r="B2718" s="61" t="n"/>
      <c r="C2718" s="62" t="n"/>
      <c r="D2718" s="57" t="n"/>
      <c r="E2718" s="57" t="n"/>
      <c r="F2718" s="58" t="n"/>
      <c r="G2718" s="66">
        <f>IF(tblFleet[[#This Row],[Units]]="","",tblFleet[[#This Row],[Units]]*24)</f>
        <v/>
      </c>
      <c r="H2718" s="66">
        <f>IF(tblFleet[[#This Row],[Units]]="","",tblFleet[[#This Row],[Calendar_h]]-tblFleet[[#This Row],[Down_h]])</f>
        <v/>
      </c>
      <c r="I2718" s="60">
        <f>IF(AND(tblFleet[[#This Row],[Units]]&lt;&gt;"",tblFleet[[#This Row],[Calendar_h]]&gt;0),tblFleet[[#This Row],[Available_h]]/tblFleet[[#This Row],[Calendar_h]],"")</f>
        <v/>
      </c>
      <c r="J2718" s="60">
        <f>IF(AND(tblFleet[[#This Row],[Units]]&lt;&gt;"",tblFleet[[#This Row],[Available_h]]&gt;0),tblFleet[[#This Row],[Operating_h]]/tblFleet[[#This Row],[Available_h]],"")</f>
        <v/>
      </c>
    </row>
    <row r="2719">
      <c r="A2719" s="54" t="n"/>
      <c r="B2719" s="61" t="n"/>
      <c r="C2719" s="62" t="n"/>
      <c r="D2719" s="57" t="n"/>
      <c r="E2719" s="57" t="n"/>
      <c r="F2719" s="58" t="n"/>
      <c r="G2719" s="66">
        <f>IF(tblFleet[[#This Row],[Units]]="","",tblFleet[[#This Row],[Units]]*24)</f>
        <v/>
      </c>
      <c r="H2719" s="66">
        <f>IF(tblFleet[[#This Row],[Units]]="","",tblFleet[[#This Row],[Calendar_h]]-tblFleet[[#This Row],[Down_h]])</f>
        <v/>
      </c>
      <c r="I2719" s="60">
        <f>IF(AND(tblFleet[[#This Row],[Units]]&lt;&gt;"",tblFleet[[#This Row],[Calendar_h]]&gt;0),tblFleet[[#This Row],[Available_h]]/tblFleet[[#This Row],[Calendar_h]],"")</f>
        <v/>
      </c>
      <c r="J2719" s="60">
        <f>IF(AND(tblFleet[[#This Row],[Units]]&lt;&gt;"",tblFleet[[#This Row],[Available_h]]&gt;0),tblFleet[[#This Row],[Operating_h]]/tblFleet[[#This Row],[Available_h]],"")</f>
        <v/>
      </c>
    </row>
    <row r="2720">
      <c r="A2720" s="54" t="n"/>
      <c r="B2720" s="61" t="n"/>
      <c r="C2720" s="62" t="n"/>
      <c r="D2720" s="57" t="n"/>
      <c r="E2720" s="57" t="n"/>
      <c r="F2720" s="58" t="n"/>
      <c r="G2720" s="66">
        <f>IF(tblFleet[[#This Row],[Units]]="","",tblFleet[[#This Row],[Units]]*24)</f>
        <v/>
      </c>
      <c r="H2720" s="66">
        <f>IF(tblFleet[[#This Row],[Units]]="","",tblFleet[[#This Row],[Calendar_h]]-tblFleet[[#This Row],[Down_h]])</f>
        <v/>
      </c>
      <c r="I2720" s="60">
        <f>IF(AND(tblFleet[[#This Row],[Units]]&lt;&gt;"",tblFleet[[#This Row],[Calendar_h]]&gt;0),tblFleet[[#This Row],[Available_h]]/tblFleet[[#This Row],[Calendar_h]],"")</f>
        <v/>
      </c>
      <c r="J2720" s="60">
        <f>IF(AND(tblFleet[[#This Row],[Units]]&lt;&gt;"",tblFleet[[#This Row],[Available_h]]&gt;0),tblFleet[[#This Row],[Operating_h]]/tblFleet[[#This Row],[Available_h]],"")</f>
        <v/>
      </c>
    </row>
    <row r="2721">
      <c r="A2721" s="54" t="n"/>
      <c r="B2721" s="61" t="n"/>
      <c r="C2721" s="62" t="n"/>
      <c r="D2721" s="57" t="n"/>
      <c r="E2721" s="57" t="n"/>
      <c r="F2721" s="58" t="n"/>
      <c r="G2721" s="66">
        <f>IF(tblFleet[[#This Row],[Units]]="","",tblFleet[[#This Row],[Units]]*24)</f>
        <v/>
      </c>
      <c r="H2721" s="66">
        <f>IF(tblFleet[[#This Row],[Units]]="","",tblFleet[[#This Row],[Calendar_h]]-tblFleet[[#This Row],[Down_h]])</f>
        <v/>
      </c>
      <c r="I2721" s="60">
        <f>IF(AND(tblFleet[[#This Row],[Units]]&lt;&gt;"",tblFleet[[#This Row],[Calendar_h]]&gt;0),tblFleet[[#This Row],[Available_h]]/tblFleet[[#This Row],[Calendar_h]],"")</f>
        <v/>
      </c>
      <c r="J2721" s="60">
        <f>IF(AND(tblFleet[[#This Row],[Units]]&lt;&gt;"",tblFleet[[#This Row],[Available_h]]&gt;0),tblFleet[[#This Row],[Operating_h]]/tblFleet[[#This Row],[Available_h]],"")</f>
        <v/>
      </c>
    </row>
    <row r="2722">
      <c r="A2722" s="54" t="n"/>
      <c r="B2722" s="61" t="n"/>
      <c r="C2722" s="62" t="n"/>
      <c r="D2722" s="57" t="n"/>
      <c r="E2722" s="57" t="n"/>
      <c r="F2722" s="58" t="n"/>
      <c r="G2722" s="66">
        <f>IF(tblFleet[[#This Row],[Units]]="","",tblFleet[[#This Row],[Units]]*24)</f>
        <v/>
      </c>
      <c r="H2722" s="66">
        <f>IF(tblFleet[[#This Row],[Units]]="","",tblFleet[[#This Row],[Calendar_h]]-tblFleet[[#This Row],[Down_h]])</f>
        <v/>
      </c>
      <c r="I2722" s="60">
        <f>IF(AND(tblFleet[[#This Row],[Units]]&lt;&gt;"",tblFleet[[#This Row],[Calendar_h]]&gt;0),tblFleet[[#This Row],[Available_h]]/tblFleet[[#This Row],[Calendar_h]],"")</f>
        <v/>
      </c>
      <c r="J2722" s="60">
        <f>IF(AND(tblFleet[[#This Row],[Units]]&lt;&gt;"",tblFleet[[#This Row],[Available_h]]&gt;0),tblFleet[[#This Row],[Operating_h]]/tblFleet[[#This Row],[Available_h]],"")</f>
        <v/>
      </c>
    </row>
    <row r="2723">
      <c r="A2723" s="54" t="n"/>
      <c r="B2723" s="61" t="n"/>
      <c r="C2723" s="62" t="n"/>
      <c r="D2723" s="57" t="n"/>
      <c r="E2723" s="57" t="n"/>
      <c r="F2723" s="58" t="n"/>
      <c r="G2723" s="66">
        <f>IF(tblFleet[[#This Row],[Units]]="","",tblFleet[[#This Row],[Units]]*24)</f>
        <v/>
      </c>
      <c r="H2723" s="66">
        <f>IF(tblFleet[[#This Row],[Units]]="","",tblFleet[[#This Row],[Calendar_h]]-tblFleet[[#This Row],[Down_h]])</f>
        <v/>
      </c>
      <c r="I2723" s="60">
        <f>IF(AND(tblFleet[[#This Row],[Units]]&lt;&gt;"",tblFleet[[#This Row],[Calendar_h]]&gt;0),tblFleet[[#This Row],[Available_h]]/tblFleet[[#This Row],[Calendar_h]],"")</f>
        <v/>
      </c>
      <c r="J2723" s="60">
        <f>IF(AND(tblFleet[[#This Row],[Units]]&lt;&gt;"",tblFleet[[#This Row],[Available_h]]&gt;0),tblFleet[[#This Row],[Operating_h]]/tblFleet[[#This Row],[Available_h]],"")</f>
        <v/>
      </c>
    </row>
    <row r="2724">
      <c r="A2724" s="54" t="n"/>
      <c r="B2724" s="61" t="n"/>
      <c r="C2724" s="62" t="n"/>
      <c r="D2724" s="57" t="n"/>
      <c r="E2724" s="57" t="n"/>
      <c r="F2724" s="58" t="n"/>
      <c r="G2724" s="66">
        <f>IF(tblFleet[[#This Row],[Units]]="","",tblFleet[[#This Row],[Units]]*24)</f>
        <v/>
      </c>
      <c r="H2724" s="66">
        <f>IF(tblFleet[[#This Row],[Units]]="","",tblFleet[[#This Row],[Calendar_h]]-tblFleet[[#This Row],[Down_h]])</f>
        <v/>
      </c>
      <c r="I2724" s="60">
        <f>IF(AND(tblFleet[[#This Row],[Units]]&lt;&gt;"",tblFleet[[#This Row],[Calendar_h]]&gt;0),tblFleet[[#This Row],[Available_h]]/tblFleet[[#This Row],[Calendar_h]],"")</f>
        <v/>
      </c>
      <c r="J2724" s="60">
        <f>IF(AND(tblFleet[[#This Row],[Units]]&lt;&gt;"",tblFleet[[#This Row],[Available_h]]&gt;0),tblFleet[[#This Row],[Operating_h]]/tblFleet[[#This Row],[Available_h]],"")</f>
        <v/>
      </c>
    </row>
    <row r="2725">
      <c r="A2725" s="54" t="n"/>
      <c r="B2725" s="61" t="n"/>
      <c r="C2725" s="62" t="n"/>
      <c r="D2725" s="57" t="n"/>
      <c r="E2725" s="57" t="n"/>
      <c r="F2725" s="58" t="n"/>
      <c r="G2725" s="66">
        <f>IF(tblFleet[[#This Row],[Units]]="","",tblFleet[[#This Row],[Units]]*24)</f>
        <v/>
      </c>
      <c r="H2725" s="66">
        <f>IF(tblFleet[[#This Row],[Units]]="","",tblFleet[[#This Row],[Calendar_h]]-tblFleet[[#This Row],[Down_h]])</f>
        <v/>
      </c>
      <c r="I2725" s="60">
        <f>IF(AND(tblFleet[[#This Row],[Units]]&lt;&gt;"",tblFleet[[#This Row],[Calendar_h]]&gt;0),tblFleet[[#This Row],[Available_h]]/tblFleet[[#This Row],[Calendar_h]],"")</f>
        <v/>
      </c>
      <c r="J2725" s="60">
        <f>IF(AND(tblFleet[[#This Row],[Units]]&lt;&gt;"",tblFleet[[#This Row],[Available_h]]&gt;0),tblFleet[[#This Row],[Operating_h]]/tblFleet[[#This Row],[Available_h]],"")</f>
        <v/>
      </c>
    </row>
    <row r="2726">
      <c r="A2726" s="54" t="n"/>
      <c r="B2726" s="61" t="n"/>
      <c r="C2726" s="62" t="n"/>
      <c r="D2726" s="57" t="n"/>
      <c r="E2726" s="57" t="n"/>
      <c r="F2726" s="58" t="n"/>
      <c r="G2726" s="66">
        <f>IF(tblFleet[[#This Row],[Units]]="","",tblFleet[[#This Row],[Units]]*24)</f>
        <v/>
      </c>
      <c r="H2726" s="66">
        <f>IF(tblFleet[[#This Row],[Units]]="","",tblFleet[[#This Row],[Calendar_h]]-tblFleet[[#This Row],[Down_h]])</f>
        <v/>
      </c>
      <c r="I2726" s="60">
        <f>IF(AND(tblFleet[[#This Row],[Units]]&lt;&gt;"",tblFleet[[#This Row],[Calendar_h]]&gt;0),tblFleet[[#This Row],[Available_h]]/tblFleet[[#This Row],[Calendar_h]],"")</f>
        <v/>
      </c>
      <c r="J2726" s="60">
        <f>IF(AND(tblFleet[[#This Row],[Units]]&lt;&gt;"",tblFleet[[#This Row],[Available_h]]&gt;0),tblFleet[[#This Row],[Operating_h]]/tblFleet[[#This Row],[Available_h]],"")</f>
        <v/>
      </c>
    </row>
    <row r="2727">
      <c r="A2727" s="54" t="n"/>
      <c r="B2727" s="61" t="n"/>
      <c r="C2727" s="62" t="n"/>
      <c r="D2727" s="57" t="n"/>
      <c r="E2727" s="57" t="n"/>
      <c r="F2727" s="58" t="n"/>
      <c r="G2727" s="66">
        <f>IF(tblFleet[[#This Row],[Units]]="","",tblFleet[[#This Row],[Units]]*24)</f>
        <v/>
      </c>
      <c r="H2727" s="66">
        <f>IF(tblFleet[[#This Row],[Units]]="","",tblFleet[[#This Row],[Calendar_h]]-tblFleet[[#This Row],[Down_h]])</f>
        <v/>
      </c>
      <c r="I2727" s="60">
        <f>IF(AND(tblFleet[[#This Row],[Units]]&lt;&gt;"",tblFleet[[#This Row],[Calendar_h]]&gt;0),tblFleet[[#This Row],[Available_h]]/tblFleet[[#This Row],[Calendar_h]],"")</f>
        <v/>
      </c>
      <c r="J2727" s="60">
        <f>IF(AND(tblFleet[[#This Row],[Units]]&lt;&gt;"",tblFleet[[#This Row],[Available_h]]&gt;0),tblFleet[[#This Row],[Operating_h]]/tblFleet[[#This Row],[Available_h]],"")</f>
        <v/>
      </c>
    </row>
    <row r="2728">
      <c r="A2728" s="54" t="n"/>
      <c r="B2728" s="61" t="n"/>
      <c r="C2728" s="62" t="n"/>
      <c r="D2728" s="57" t="n"/>
      <c r="E2728" s="57" t="n"/>
      <c r="F2728" s="58" t="n"/>
      <c r="G2728" s="66">
        <f>IF(tblFleet[[#This Row],[Units]]="","",tblFleet[[#This Row],[Units]]*24)</f>
        <v/>
      </c>
      <c r="H2728" s="66">
        <f>IF(tblFleet[[#This Row],[Units]]="","",tblFleet[[#This Row],[Calendar_h]]-tblFleet[[#This Row],[Down_h]])</f>
        <v/>
      </c>
      <c r="I2728" s="60">
        <f>IF(AND(tblFleet[[#This Row],[Units]]&lt;&gt;"",tblFleet[[#This Row],[Calendar_h]]&gt;0),tblFleet[[#This Row],[Available_h]]/tblFleet[[#This Row],[Calendar_h]],"")</f>
        <v/>
      </c>
      <c r="J2728" s="60">
        <f>IF(AND(tblFleet[[#This Row],[Units]]&lt;&gt;"",tblFleet[[#This Row],[Available_h]]&gt;0),tblFleet[[#This Row],[Operating_h]]/tblFleet[[#This Row],[Available_h]],"")</f>
        <v/>
      </c>
    </row>
    <row r="2729">
      <c r="A2729" s="54" t="n"/>
      <c r="B2729" s="61" t="n"/>
      <c r="C2729" s="62" t="n"/>
      <c r="D2729" s="57" t="n"/>
      <c r="E2729" s="57" t="n"/>
      <c r="F2729" s="58" t="n"/>
      <c r="G2729" s="66">
        <f>IF(tblFleet[[#This Row],[Units]]="","",tblFleet[[#This Row],[Units]]*24)</f>
        <v/>
      </c>
      <c r="H2729" s="66">
        <f>IF(tblFleet[[#This Row],[Units]]="","",tblFleet[[#This Row],[Calendar_h]]-tblFleet[[#This Row],[Down_h]])</f>
        <v/>
      </c>
      <c r="I2729" s="60">
        <f>IF(AND(tblFleet[[#This Row],[Units]]&lt;&gt;"",tblFleet[[#This Row],[Calendar_h]]&gt;0),tblFleet[[#This Row],[Available_h]]/tblFleet[[#This Row],[Calendar_h]],"")</f>
        <v/>
      </c>
      <c r="J2729" s="60">
        <f>IF(AND(tblFleet[[#This Row],[Units]]&lt;&gt;"",tblFleet[[#This Row],[Available_h]]&gt;0),tblFleet[[#This Row],[Operating_h]]/tblFleet[[#This Row],[Available_h]],"")</f>
        <v/>
      </c>
    </row>
    <row r="2730">
      <c r="A2730" s="54" t="n"/>
      <c r="B2730" s="61" t="n"/>
      <c r="C2730" s="62" t="n"/>
      <c r="D2730" s="57" t="n"/>
      <c r="E2730" s="57" t="n"/>
      <c r="F2730" s="58" t="n"/>
      <c r="G2730" s="66">
        <f>IF(tblFleet[[#This Row],[Units]]="","",tblFleet[[#This Row],[Units]]*24)</f>
        <v/>
      </c>
      <c r="H2730" s="66">
        <f>IF(tblFleet[[#This Row],[Units]]="","",tblFleet[[#This Row],[Calendar_h]]-tblFleet[[#This Row],[Down_h]])</f>
        <v/>
      </c>
      <c r="I2730" s="60">
        <f>IF(AND(tblFleet[[#This Row],[Units]]&lt;&gt;"",tblFleet[[#This Row],[Calendar_h]]&gt;0),tblFleet[[#This Row],[Available_h]]/tblFleet[[#This Row],[Calendar_h]],"")</f>
        <v/>
      </c>
      <c r="J2730" s="60">
        <f>IF(AND(tblFleet[[#This Row],[Units]]&lt;&gt;"",tblFleet[[#This Row],[Available_h]]&gt;0),tblFleet[[#This Row],[Operating_h]]/tblFleet[[#This Row],[Available_h]],"")</f>
        <v/>
      </c>
    </row>
    <row r="2731">
      <c r="A2731" s="54" t="n"/>
      <c r="B2731" s="61" t="n"/>
      <c r="C2731" s="62" t="n"/>
      <c r="D2731" s="57" t="n"/>
      <c r="E2731" s="57" t="n"/>
      <c r="F2731" s="58" t="n"/>
      <c r="G2731" s="66">
        <f>IF(tblFleet[[#This Row],[Units]]="","",tblFleet[[#This Row],[Units]]*24)</f>
        <v/>
      </c>
      <c r="H2731" s="66">
        <f>IF(tblFleet[[#This Row],[Units]]="","",tblFleet[[#This Row],[Calendar_h]]-tblFleet[[#This Row],[Down_h]])</f>
        <v/>
      </c>
      <c r="I2731" s="60">
        <f>IF(AND(tblFleet[[#This Row],[Units]]&lt;&gt;"",tblFleet[[#This Row],[Calendar_h]]&gt;0),tblFleet[[#This Row],[Available_h]]/tblFleet[[#This Row],[Calendar_h]],"")</f>
        <v/>
      </c>
      <c r="J2731" s="60">
        <f>IF(AND(tblFleet[[#This Row],[Units]]&lt;&gt;"",tblFleet[[#This Row],[Available_h]]&gt;0),tblFleet[[#This Row],[Operating_h]]/tblFleet[[#This Row],[Available_h]],"")</f>
        <v/>
      </c>
    </row>
    <row r="2732">
      <c r="A2732" s="54" t="n"/>
      <c r="B2732" s="61" t="n"/>
      <c r="C2732" s="62" t="n"/>
      <c r="D2732" s="57" t="n"/>
      <c r="E2732" s="57" t="n"/>
      <c r="F2732" s="58" t="n"/>
      <c r="G2732" s="66">
        <f>IF(tblFleet[[#This Row],[Units]]="","",tblFleet[[#This Row],[Units]]*24)</f>
        <v/>
      </c>
      <c r="H2732" s="66">
        <f>IF(tblFleet[[#This Row],[Units]]="","",tblFleet[[#This Row],[Calendar_h]]-tblFleet[[#This Row],[Down_h]])</f>
        <v/>
      </c>
      <c r="I2732" s="60">
        <f>IF(AND(tblFleet[[#This Row],[Units]]&lt;&gt;"",tblFleet[[#This Row],[Calendar_h]]&gt;0),tblFleet[[#This Row],[Available_h]]/tblFleet[[#This Row],[Calendar_h]],"")</f>
        <v/>
      </c>
      <c r="J2732" s="60">
        <f>IF(AND(tblFleet[[#This Row],[Units]]&lt;&gt;"",tblFleet[[#This Row],[Available_h]]&gt;0),tblFleet[[#This Row],[Operating_h]]/tblFleet[[#This Row],[Available_h]],"")</f>
        <v/>
      </c>
    </row>
    <row r="2733">
      <c r="A2733" s="54" t="n"/>
      <c r="B2733" s="61" t="n"/>
      <c r="C2733" s="62" t="n"/>
      <c r="D2733" s="57" t="n"/>
      <c r="E2733" s="57" t="n"/>
      <c r="F2733" s="58" t="n"/>
      <c r="G2733" s="66">
        <f>IF(tblFleet[[#This Row],[Units]]="","",tblFleet[[#This Row],[Units]]*24)</f>
        <v/>
      </c>
      <c r="H2733" s="66">
        <f>IF(tblFleet[[#This Row],[Units]]="","",tblFleet[[#This Row],[Calendar_h]]-tblFleet[[#This Row],[Down_h]])</f>
        <v/>
      </c>
      <c r="I2733" s="60">
        <f>IF(AND(tblFleet[[#This Row],[Units]]&lt;&gt;"",tblFleet[[#This Row],[Calendar_h]]&gt;0),tblFleet[[#This Row],[Available_h]]/tblFleet[[#This Row],[Calendar_h]],"")</f>
        <v/>
      </c>
      <c r="J2733" s="60">
        <f>IF(AND(tblFleet[[#This Row],[Units]]&lt;&gt;"",tblFleet[[#This Row],[Available_h]]&gt;0),tblFleet[[#This Row],[Operating_h]]/tblFleet[[#This Row],[Available_h]],"")</f>
        <v/>
      </c>
    </row>
    <row r="2734">
      <c r="A2734" s="54" t="n"/>
      <c r="B2734" s="61" t="n"/>
      <c r="C2734" s="62" t="n"/>
      <c r="D2734" s="57" t="n"/>
      <c r="E2734" s="57" t="n"/>
      <c r="F2734" s="58" t="n"/>
      <c r="G2734" s="66">
        <f>IF(tblFleet[[#This Row],[Units]]="","",tblFleet[[#This Row],[Units]]*24)</f>
        <v/>
      </c>
      <c r="H2734" s="66">
        <f>IF(tblFleet[[#This Row],[Units]]="","",tblFleet[[#This Row],[Calendar_h]]-tblFleet[[#This Row],[Down_h]])</f>
        <v/>
      </c>
      <c r="I2734" s="60">
        <f>IF(AND(tblFleet[[#This Row],[Units]]&lt;&gt;"",tblFleet[[#This Row],[Calendar_h]]&gt;0),tblFleet[[#This Row],[Available_h]]/tblFleet[[#This Row],[Calendar_h]],"")</f>
        <v/>
      </c>
      <c r="J2734" s="60">
        <f>IF(AND(tblFleet[[#This Row],[Units]]&lt;&gt;"",tblFleet[[#This Row],[Available_h]]&gt;0),tblFleet[[#This Row],[Operating_h]]/tblFleet[[#This Row],[Available_h]],"")</f>
        <v/>
      </c>
    </row>
    <row r="2735">
      <c r="A2735" s="54" t="n"/>
      <c r="B2735" s="61" t="n"/>
      <c r="C2735" s="62" t="n"/>
      <c r="D2735" s="57" t="n"/>
      <c r="E2735" s="57" t="n"/>
      <c r="F2735" s="58" t="n"/>
      <c r="G2735" s="66">
        <f>IF(tblFleet[[#This Row],[Units]]="","",tblFleet[[#This Row],[Units]]*24)</f>
        <v/>
      </c>
      <c r="H2735" s="66">
        <f>IF(tblFleet[[#This Row],[Units]]="","",tblFleet[[#This Row],[Calendar_h]]-tblFleet[[#This Row],[Down_h]])</f>
        <v/>
      </c>
      <c r="I2735" s="60">
        <f>IF(AND(tblFleet[[#This Row],[Units]]&lt;&gt;"",tblFleet[[#This Row],[Calendar_h]]&gt;0),tblFleet[[#This Row],[Available_h]]/tblFleet[[#This Row],[Calendar_h]],"")</f>
        <v/>
      </c>
      <c r="J2735" s="60">
        <f>IF(AND(tblFleet[[#This Row],[Units]]&lt;&gt;"",tblFleet[[#This Row],[Available_h]]&gt;0),tblFleet[[#This Row],[Operating_h]]/tblFleet[[#This Row],[Available_h]],"")</f>
        <v/>
      </c>
    </row>
    <row r="2736">
      <c r="A2736" s="54" t="n"/>
      <c r="B2736" s="61" t="n"/>
      <c r="C2736" s="62" t="n"/>
      <c r="D2736" s="57" t="n"/>
      <c r="E2736" s="57" t="n"/>
      <c r="F2736" s="58" t="n"/>
      <c r="G2736" s="66">
        <f>IF(tblFleet[[#This Row],[Units]]="","",tblFleet[[#This Row],[Units]]*24)</f>
        <v/>
      </c>
      <c r="H2736" s="66">
        <f>IF(tblFleet[[#This Row],[Units]]="","",tblFleet[[#This Row],[Calendar_h]]-tblFleet[[#This Row],[Down_h]])</f>
        <v/>
      </c>
      <c r="I2736" s="60">
        <f>IF(AND(tblFleet[[#This Row],[Units]]&lt;&gt;"",tblFleet[[#This Row],[Calendar_h]]&gt;0),tblFleet[[#This Row],[Available_h]]/tblFleet[[#This Row],[Calendar_h]],"")</f>
        <v/>
      </c>
      <c r="J2736" s="60">
        <f>IF(AND(tblFleet[[#This Row],[Units]]&lt;&gt;"",tblFleet[[#This Row],[Available_h]]&gt;0),tblFleet[[#This Row],[Operating_h]]/tblFleet[[#This Row],[Available_h]],"")</f>
        <v/>
      </c>
    </row>
    <row r="2737">
      <c r="A2737" s="54" t="n"/>
      <c r="B2737" s="61" t="n"/>
      <c r="C2737" s="62" t="n"/>
      <c r="D2737" s="57" t="n"/>
      <c r="E2737" s="57" t="n"/>
      <c r="F2737" s="58" t="n"/>
      <c r="G2737" s="66">
        <f>IF(tblFleet[[#This Row],[Units]]="","",tblFleet[[#This Row],[Units]]*24)</f>
        <v/>
      </c>
      <c r="H2737" s="66">
        <f>IF(tblFleet[[#This Row],[Units]]="","",tblFleet[[#This Row],[Calendar_h]]-tblFleet[[#This Row],[Down_h]])</f>
        <v/>
      </c>
      <c r="I2737" s="60">
        <f>IF(AND(tblFleet[[#This Row],[Units]]&lt;&gt;"",tblFleet[[#This Row],[Calendar_h]]&gt;0),tblFleet[[#This Row],[Available_h]]/tblFleet[[#This Row],[Calendar_h]],"")</f>
        <v/>
      </c>
      <c r="J2737" s="60">
        <f>IF(AND(tblFleet[[#This Row],[Units]]&lt;&gt;"",tblFleet[[#This Row],[Available_h]]&gt;0),tblFleet[[#This Row],[Operating_h]]/tblFleet[[#This Row],[Available_h]],"")</f>
        <v/>
      </c>
    </row>
    <row r="2738">
      <c r="A2738" s="54" t="n"/>
      <c r="B2738" s="61" t="n"/>
      <c r="C2738" s="62" t="n"/>
      <c r="D2738" s="57" t="n"/>
      <c r="E2738" s="57" t="n"/>
      <c r="F2738" s="58" t="n"/>
      <c r="G2738" s="66">
        <f>IF(tblFleet[[#This Row],[Units]]="","",tblFleet[[#This Row],[Units]]*24)</f>
        <v/>
      </c>
      <c r="H2738" s="66">
        <f>IF(tblFleet[[#This Row],[Units]]="","",tblFleet[[#This Row],[Calendar_h]]-tblFleet[[#This Row],[Down_h]])</f>
        <v/>
      </c>
      <c r="I2738" s="60">
        <f>IF(AND(tblFleet[[#This Row],[Units]]&lt;&gt;"",tblFleet[[#This Row],[Calendar_h]]&gt;0),tblFleet[[#This Row],[Available_h]]/tblFleet[[#This Row],[Calendar_h]],"")</f>
        <v/>
      </c>
      <c r="J2738" s="60">
        <f>IF(AND(tblFleet[[#This Row],[Units]]&lt;&gt;"",tblFleet[[#This Row],[Available_h]]&gt;0),tblFleet[[#This Row],[Operating_h]]/tblFleet[[#This Row],[Available_h]],"")</f>
        <v/>
      </c>
    </row>
    <row r="2739">
      <c r="A2739" s="54" t="n"/>
      <c r="B2739" s="61" t="n"/>
      <c r="C2739" s="62" t="n"/>
      <c r="D2739" s="57" t="n"/>
      <c r="E2739" s="57" t="n"/>
      <c r="F2739" s="58" t="n"/>
      <c r="G2739" s="66">
        <f>IF(tblFleet[[#This Row],[Units]]="","",tblFleet[[#This Row],[Units]]*24)</f>
        <v/>
      </c>
      <c r="H2739" s="66">
        <f>IF(tblFleet[[#This Row],[Units]]="","",tblFleet[[#This Row],[Calendar_h]]-tblFleet[[#This Row],[Down_h]])</f>
        <v/>
      </c>
      <c r="I2739" s="60">
        <f>IF(AND(tblFleet[[#This Row],[Units]]&lt;&gt;"",tblFleet[[#This Row],[Calendar_h]]&gt;0),tblFleet[[#This Row],[Available_h]]/tblFleet[[#This Row],[Calendar_h]],"")</f>
        <v/>
      </c>
      <c r="J2739" s="60">
        <f>IF(AND(tblFleet[[#This Row],[Units]]&lt;&gt;"",tblFleet[[#This Row],[Available_h]]&gt;0),tblFleet[[#This Row],[Operating_h]]/tblFleet[[#This Row],[Available_h]],"")</f>
        <v/>
      </c>
    </row>
    <row r="2740">
      <c r="A2740" s="54" t="n"/>
      <c r="B2740" s="61" t="n"/>
      <c r="C2740" s="62" t="n"/>
      <c r="D2740" s="57" t="n"/>
      <c r="E2740" s="57" t="n"/>
      <c r="F2740" s="58" t="n"/>
      <c r="G2740" s="66">
        <f>IF(tblFleet[[#This Row],[Units]]="","",tblFleet[[#This Row],[Units]]*24)</f>
        <v/>
      </c>
      <c r="H2740" s="66">
        <f>IF(tblFleet[[#This Row],[Units]]="","",tblFleet[[#This Row],[Calendar_h]]-tblFleet[[#This Row],[Down_h]])</f>
        <v/>
      </c>
      <c r="I2740" s="60">
        <f>IF(AND(tblFleet[[#This Row],[Units]]&lt;&gt;"",tblFleet[[#This Row],[Calendar_h]]&gt;0),tblFleet[[#This Row],[Available_h]]/tblFleet[[#This Row],[Calendar_h]],"")</f>
        <v/>
      </c>
      <c r="J2740" s="60">
        <f>IF(AND(tblFleet[[#This Row],[Units]]&lt;&gt;"",tblFleet[[#This Row],[Available_h]]&gt;0),tblFleet[[#This Row],[Operating_h]]/tblFleet[[#This Row],[Available_h]],"")</f>
        <v/>
      </c>
    </row>
    <row r="2741">
      <c r="A2741" s="54" t="n"/>
      <c r="B2741" s="61" t="n"/>
      <c r="C2741" s="62" t="n"/>
      <c r="D2741" s="57" t="n"/>
      <c r="E2741" s="57" t="n"/>
      <c r="F2741" s="58" t="n"/>
      <c r="G2741" s="66">
        <f>IF(tblFleet[[#This Row],[Units]]="","",tblFleet[[#This Row],[Units]]*24)</f>
        <v/>
      </c>
      <c r="H2741" s="66">
        <f>IF(tblFleet[[#This Row],[Units]]="","",tblFleet[[#This Row],[Calendar_h]]-tblFleet[[#This Row],[Down_h]])</f>
        <v/>
      </c>
      <c r="I2741" s="60">
        <f>IF(AND(tblFleet[[#This Row],[Units]]&lt;&gt;"",tblFleet[[#This Row],[Calendar_h]]&gt;0),tblFleet[[#This Row],[Available_h]]/tblFleet[[#This Row],[Calendar_h]],"")</f>
        <v/>
      </c>
      <c r="J2741" s="60">
        <f>IF(AND(tblFleet[[#This Row],[Units]]&lt;&gt;"",tblFleet[[#This Row],[Available_h]]&gt;0),tblFleet[[#This Row],[Operating_h]]/tblFleet[[#This Row],[Available_h]],"")</f>
        <v/>
      </c>
    </row>
    <row r="2742">
      <c r="A2742" s="54" t="n"/>
      <c r="B2742" s="61" t="n"/>
      <c r="C2742" s="62" t="n"/>
      <c r="D2742" s="57" t="n"/>
      <c r="E2742" s="57" t="n"/>
      <c r="F2742" s="58" t="n"/>
      <c r="G2742" s="66">
        <f>IF(tblFleet[[#This Row],[Units]]="","",tblFleet[[#This Row],[Units]]*24)</f>
        <v/>
      </c>
      <c r="H2742" s="66">
        <f>IF(tblFleet[[#This Row],[Units]]="","",tblFleet[[#This Row],[Calendar_h]]-tblFleet[[#This Row],[Down_h]])</f>
        <v/>
      </c>
      <c r="I2742" s="60">
        <f>IF(AND(tblFleet[[#This Row],[Units]]&lt;&gt;"",tblFleet[[#This Row],[Calendar_h]]&gt;0),tblFleet[[#This Row],[Available_h]]/tblFleet[[#This Row],[Calendar_h]],"")</f>
        <v/>
      </c>
      <c r="J2742" s="60">
        <f>IF(AND(tblFleet[[#This Row],[Units]]&lt;&gt;"",tblFleet[[#This Row],[Available_h]]&gt;0),tblFleet[[#This Row],[Operating_h]]/tblFleet[[#This Row],[Available_h]],"")</f>
        <v/>
      </c>
    </row>
    <row r="2743">
      <c r="A2743" s="54" t="n"/>
      <c r="B2743" s="61" t="n"/>
      <c r="C2743" s="62" t="n"/>
      <c r="D2743" s="57" t="n"/>
      <c r="E2743" s="57" t="n"/>
      <c r="F2743" s="58" t="n"/>
      <c r="G2743" s="66">
        <f>IF(tblFleet[[#This Row],[Units]]="","",tblFleet[[#This Row],[Units]]*24)</f>
        <v/>
      </c>
      <c r="H2743" s="66">
        <f>IF(tblFleet[[#This Row],[Units]]="","",tblFleet[[#This Row],[Calendar_h]]-tblFleet[[#This Row],[Down_h]])</f>
        <v/>
      </c>
      <c r="I2743" s="60">
        <f>IF(AND(tblFleet[[#This Row],[Units]]&lt;&gt;"",tblFleet[[#This Row],[Calendar_h]]&gt;0),tblFleet[[#This Row],[Available_h]]/tblFleet[[#This Row],[Calendar_h]],"")</f>
        <v/>
      </c>
      <c r="J2743" s="60">
        <f>IF(AND(tblFleet[[#This Row],[Units]]&lt;&gt;"",tblFleet[[#This Row],[Available_h]]&gt;0),tblFleet[[#This Row],[Operating_h]]/tblFleet[[#This Row],[Available_h]],"")</f>
        <v/>
      </c>
    </row>
    <row r="2744">
      <c r="A2744" s="54" t="n"/>
      <c r="B2744" s="61" t="n"/>
      <c r="C2744" s="62" t="n"/>
      <c r="D2744" s="57" t="n"/>
      <c r="E2744" s="57" t="n"/>
      <c r="F2744" s="58" t="n"/>
      <c r="G2744" s="66">
        <f>IF(tblFleet[[#This Row],[Units]]="","",tblFleet[[#This Row],[Units]]*24)</f>
        <v/>
      </c>
      <c r="H2744" s="66">
        <f>IF(tblFleet[[#This Row],[Units]]="","",tblFleet[[#This Row],[Calendar_h]]-tblFleet[[#This Row],[Down_h]])</f>
        <v/>
      </c>
      <c r="I2744" s="60">
        <f>IF(AND(tblFleet[[#This Row],[Units]]&lt;&gt;"",tblFleet[[#This Row],[Calendar_h]]&gt;0),tblFleet[[#This Row],[Available_h]]/tblFleet[[#This Row],[Calendar_h]],"")</f>
        <v/>
      </c>
      <c r="J2744" s="60">
        <f>IF(AND(tblFleet[[#This Row],[Units]]&lt;&gt;"",tblFleet[[#This Row],[Available_h]]&gt;0),tblFleet[[#This Row],[Operating_h]]/tblFleet[[#This Row],[Available_h]],"")</f>
        <v/>
      </c>
    </row>
    <row r="2745">
      <c r="A2745" s="54" t="n"/>
      <c r="B2745" s="61" t="n"/>
      <c r="C2745" s="62" t="n"/>
      <c r="D2745" s="57" t="n"/>
      <c r="E2745" s="57" t="n"/>
      <c r="F2745" s="58" t="n"/>
      <c r="G2745" s="66">
        <f>IF(tblFleet[[#This Row],[Units]]="","",tblFleet[[#This Row],[Units]]*24)</f>
        <v/>
      </c>
      <c r="H2745" s="66">
        <f>IF(tblFleet[[#This Row],[Units]]="","",tblFleet[[#This Row],[Calendar_h]]-tblFleet[[#This Row],[Down_h]])</f>
        <v/>
      </c>
      <c r="I2745" s="60">
        <f>IF(AND(tblFleet[[#This Row],[Units]]&lt;&gt;"",tblFleet[[#This Row],[Calendar_h]]&gt;0),tblFleet[[#This Row],[Available_h]]/tblFleet[[#This Row],[Calendar_h]],"")</f>
        <v/>
      </c>
      <c r="J2745" s="60">
        <f>IF(AND(tblFleet[[#This Row],[Units]]&lt;&gt;"",tblFleet[[#This Row],[Available_h]]&gt;0),tblFleet[[#This Row],[Operating_h]]/tblFleet[[#This Row],[Available_h]],"")</f>
        <v/>
      </c>
    </row>
    <row r="2746">
      <c r="A2746" s="54" t="n"/>
      <c r="B2746" s="61" t="n"/>
      <c r="C2746" s="62" t="n"/>
      <c r="D2746" s="57" t="n"/>
      <c r="E2746" s="57" t="n"/>
      <c r="F2746" s="58" t="n"/>
      <c r="G2746" s="66">
        <f>IF(tblFleet[[#This Row],[Units]]="","",tblFleet[[#This Row],[Units]]*24)</f>
        <v/>
      </c>
      <c r="H2746" s="66">
        <f>IF(tblFleet[[#This Row],[Units]]="","",tblFleet[[#This Row],[Calendar_h]]-tblFleet[[#This Row],[Down_h]])</f>
        <v/>
      </c>
      <c r="I2746" s="60">
        <f>IF(AND(tblFleet[[#This Row],[Units]]&lt;&gt;"",tblFleet[[#This Row],[Calendar_h]]&gt;0),tblFleet[[#This Row],[Available_h]]/tblFleet[[#This Row],[Calendar_h]],"")</f>
        <v/>
      </c>
      <c r="J2746" s="60">
        <f>IF(AND(tblFleet[[#This Row],[Units]]&lt;&gt;"",tblFleet[[#This Row],[Available_h]]&gt;0),tblFleet[[#This Row],[Operating_h]]/tblFleet[[#This Row],[Available_h]],"")</f>
        <v/>
      </c>
    </row>
    <row r="2747">
      <c r="A2747" s="54" t="n"/>
      <c r="B2747" s="61" t="n"/>
      <c r="C2747" s="62" t="n"/>
      <c r="D2747" s="57" t="n"/>
      <c r="E2747" s="57" t="n"/>
      <c r="F2747" s="58" t="n"/>
      <c r="G2747" s="66">
        <f>IF(tblFleet[[#This Row],[Units]]="","",tblFleet[[#This Row],[Units]]*24)</f>
        <v/>
      </c>
      <c r="H2747" s="66">
        <f>IF(tblFleet[[#This Row],[Units]]="","",tblFleet[[#This Row],[Calendar_h]]-tblFleet[[#This Row],[Down_h]])</f>
        <v/>
      </c>
      <c r="I2747" s="60">
        <f>IF(AND(tblFleet[[#This Row],[Units]]&lt;&gt;"",tblFleet[[#This Row],[Calendar_h]]&gt;0),tblFleet[[#This Row],[Available_h]]/tblFleet[[#This Row],[Calendar_h]],"")</f>
        <v/>
      </c>
      <c r="J2747" s="60">
        <f>IF(AND(tblFleet[[#This Row],[Units]]&lt;&gt;"",tblFleet[[#This Row],[Available_h]]&gt;0),tblFleet[[#This Row],[Operating_h]]/tblFleet[[#This Row],[Available_h]],"")</f>
        <v/>
      </c>
    </row>
    <row r="2748">
      <c r="A2748" s="54" t="n"/>
      <c r="B2748" s="61" t="n"/>
      <c r="C2748" s="62" t="n"/>
      <c r="D2748" s="57" t="n"/>
      <c r="E2748" s="57" t="n"/>
      <c r="F2748" s="58" t="n"/>
      <c r="G2748" s="66">
        <f>IF(tblFleet[[#This Row],[Units]]="","",tblFleet[[#This Row],[Units]]*24)</f>
        <v/>
      </c>
      <c r="H2748" s="66">
        <f>IF(tblFleet[[#This Row],[Units]]="","",tblFleet[[#This Row],[Calendar_h]]-tblFleet[[#This Row],[Down_h]])</f>
        <v/>
      </c>
      <c r="I2748" s="60">
        <f>IF(AND(tblFleet[[#This Row],[Units]]&lt;&gt;"",tblFleet[[#This Row],[Calendar_h]]&gt;0),tblFleet[[#This Row],[Available_h]]/tblFleet[[#This Row],[Calendar_h]],"")</f>
        <v/>
      </c>
      <c r="J2748" s="60">
        <f>IF(AND(tblFleet[[#This Row],[Units]]&lt;&gt;"",tblFleet[[#This Row],[Available_h]]&gt;0),tblFleet[[#This Row],[Operating_h]]/tblFleet[[#This Row],[Available_h]],"")</f>
        <v/>
      </c>
    </row>
    <row r="2749">
      <c r="A2749" s="54" t="n"/>
      <c r="B2749" s="61" t="n"/>
      <c r="C2749" s="62" t="n"/>
      <c r="D2749" s="57" t="n"/>
      <c r="E2749" s="57" t="n"/>
      <c r="F2749" s="58" t="n"/>
      <c r="G2749" s="66">
        <f>IF(tblFleet[[#This Row],[Units]]="","",tblFleet[[#This Row],[Units]]*24)</f>
        <v/>
      </c>
      <c r="H2749" s="66">
        <f>IF(tblFleet[[#This Row],[Units]]="","",tblFleet[[#This Row],[Calendar_h]]-tblFleet[[#This Row],[Down_h]])</f>
        <v/>
      </c>
      <c r="I2749" s="60">
        <f>IF(AND(tblFleet[[#This Row],[Units]]&lt;&gt;"",tblFleet[[#This Row],[Calendar_h]]&gt;0),tblFleet[[#This Row],[Available_h]]/tblFleet[[#This Row],[Calendar_h]],"")</f>
        <v/>
      </c>
      <c r="J2749" s="60">
        <f>IF(AND(tblFleet[[#This Row],[Units]]&lt;&gt;"",tblFleet[[#This Row],[Available_h]]&gt;0),tblFleet[[#This Row],[Operating_h]]/tblFleet[[#This Row],[Available_h]],"")</f>
        <v/>
      </c>
    </row>
    <row r="2750">
      <c r="A2750" s="54" t="n"/>
      <c r="B2750" s="61" t="n"/>
      <c r="C2750" s="62" t="n"/>
      <c r="D2750" s="57" t="n"/>
      <c r="E2750" s="57" t="n"/>
      <c r="F2750" s="58" t="n"/>
      <c r="G2750" s="66">
        <f>IF(tblFleet[[#This Row],[Units]]="","",tblFleet[[#This Row],[Units]]*24)</f>
        <v/>
      </c>
      <c r="H2750" s="66">
        <f>IF(tblFleet[[#This Row],[Units]]="","",tblFleet[[#This Row],[Calendar_h]]-tblFleet[[#This Row],[Down_h]])</f>
        <v/>
      </c>
      <c r="I2750" s="60">
        <f>IF(AND(tblFleet[[#This Row],[Units]]&lt;&gt;"",tblFleet[[#This Row],[Calendar_h]]&gt;0),tblFleet[[#This Row],[Available_h]]/tblFleet[[#This Row],[Calendar_h]],"")</f>
        <v/>
      </c>
      <c r="J2750" s="60">
        <f>IF(AND(tblFleet[[#This Row],[Units]]&lt;&gt;"",tblFleet[[#This Row],[Available_h]]&gt;0),tblFleet[[#This Row],[Operating_h]]/tblFleet[[#This Row],[Available_h]],"")</f>
        <v/>
      </c>
    </row>
    <row r="2751">
      <c r="A2751" s="54" t="n"/>
      <c r="B2751" s="61" t="n"/>
      <c r="C2751" s="62" t="n"/>
      <c r="D2751" s="57" t="n"/>
      <c r="E2751" s="57" t="n"/>
      <c r="F2751" s="58" t="n"/>
      <c r="G2751" s="66">
        <f>IF(tblFleet[[#This Row],[Units]]="","",tblFleet[[#This Row],[Units]]*24)</f>
        <v/>
      </c>
      <c r="H2751" s="66">
        <f>IF(tblFleet[[#This Row],[Units]]="","",tblFleet[[#This Row],[Calendar_h]]-tblFleet[[#This Row],[Down_h]])</f>
        <v/>
      </c>
      <c r="I2751" s="60">
        <f>IF(AND(tblFleet[[#This Row],[Units]]&lt;&gt;"",tblFleet[[#This Row],[Calendar_h]]&gt;0),tblFleet[[#This Row],[Available_h]]/tblFleet[[#This Row],[Calendar_h]],"")</f>
        <v/>
      </c>
      <c r="J2751" s="60">
        <f>IF(AND(tblFleet[[#This Row],[Units]]&lt;&gt;"",tblFleet[[#This Row],[Available_h]]&gt;0),tblFleet[[#This Row],[Operating_h]]/tblFleet[[#This Row],[Available_h]],"")</f>
        <v/>
      </c>
    </row>
    <row r="2752">
      <c r="A2752" s="54" t="n"/>
      <c r="B2752" s="61" t="n"/>
      <c r="C2752" s="62" t="n"/>
      <c r="D2752" s="57" t="n"/>
      <c r="E2752" s="57" t="n"/>
      <c r="F2752" s="58" t="n"/>
      <c r="G2752" s="66">
        <f>IF(tblFleet[[#This Row],[Units]]="","",tblFleet[[#This Row],[Units]]*24)</f>
        <v/>
      </c>
      <c r="H2752" s="66">
        <f>IF(tblFleet[[#This Row],[Units]]="","",tblFleet[[#This Row],[Calendar_h]]-tblFleet[[#This Row],[Down_h]])</f>
        <v/>
      </c>
      <c r="I2752" s="60">
        <f>IF(AND(tblFleet[[#This Row],[Units]]&lt;&gt;"",tblFleet[[#This Row],[Calendar_h]]&gt;0),tblFleet[[#This Row],[Available_h]]/tblFleet[[#This Row],[Calendar_h]],"")</f>
        <v/>
      </c>
      <c r="J2752" s="60">
        <f>IF(AND(tblFleet[[#This Row],[Units]]&lt;&gt;"",tblFleet[[#This Row],[Available_h]]&gt;0),tblFleet[[#This Row],[Operating_h]]/tblFleet[[#This Row],[Available_h]],"")</f>
        <v/>
      </c>
    </row>
    <row r="2753">
      <c r="A2753" s="54" t="n"/>
      <c r="B2753" s="61" t="n"/>
      <c r="C2753" s="62" t="n"/>
      <c r="D2753" s="57" t="n"/>
      <c r="E2753" s="57" t="n"/>
      <c r="F2753" s="58" t="n"/>
      <c r="G2753" s="66">
        <f>IF(tblFleet[[#This Row],[Units]]="","",tblFleet[[#This Row],[Units]]*24)</f>
        <v/>
      </c>
      <c r="H2753" s="66">
        <f>IF(tblFleet[[#This Row],[Units]]="","",tblFleet[[#This Row],[Calendar_h]]-tblFleet[[#This Row],[Down_h]])</f>
        <v/>
      </c>
      <c r="I2753" s="60">
        <f>IF(AND(tblFleet[[#This Row],[Units]]&lt;&gt;"",tblFleet[[#This Row],[Calendar_h]]&gt;0),tblFleet[[#This Row],[Available_h]]/tblFleet[[#This Row],[Calendar_h]],"")</f>
        <v/>
      </c>
      <c r="J2753" s="60">
        <f>IF(AND(tblFleet[[#This Row],[Units]]&lt;&gt;"",tblFleet[[#This Row],[Available_h]]&gt;0),tblFleet[[#This Row],[Operating_h]]/tblFleet[[#This Row],[Available_h]],"")</f>
        <v/>
      </c>
    </row>
    <row r="2754">
      <c r="A2754" s="54" t="n"/>
      <c r="B2754" s="61" t="n"/>
      <c r="C2754" s="62" t="n"/>
      <c r="D2754" s="57" t="n"/>
      <c r="E2754" s="57" t="n"/>
      <c r="F2754" s="58" t="n"/>
      <c r="G2754" s="66">
        <f>IF(tblFleet[[#This Row],[Units]]="","",tblFleet[[#This Row],[Units]]*24)</f>
        <v/>
      </c>
      <c r="H2754" s="66">
        <f>IF(tblFleet[[#This Row],[Units]]="","",tblFleet[[#This Row],[Calendar_h]]-tblFleet[[#This Row],[Down_h]])</f>
        <v/>
      </c>
      <c r="I2754" s="60">
        <f>IF(AND(tblFleet[[#This Row],[Units]]&lt;&gt;"",tblFleet[[#This Row],[Calendar_h]]&gt;0),tblFleet[[#This Row],[Available_h]]/tblFleet[[#This Row],[Calendar_h]],"")</f>
        <v/>
      </c>
      <c r="J2754" s="60">
        <f>IF(AND(tblFleet[[#This Row],[Units]]&lt;&gt;"",tblFleet[[#This Row],[Available_h]]&gt;0),tblFleet[[#This Row],[Operating_h]]/tblFleet[[#This Row],[Available_h]],"")</f>
        <v/>
      </c>
    </row>
    <row r="2755">
      <c r="A2755" s="54" t="n"/>
      <c r="B2755" s="61" t="n"/>
      <c r="C2755" s="62" t="n"/>
      <c r="D2755" s="57" t="n"/>
      <c r="E2755" s="57" t="n"/>
      <c r="F2755" s="58" t="n"/>
      <c r="G2755" s="66">
        <f>IF(tblFleet[[#This Row],[Units]]="","",tblFleet[[#This Row],[Units]]*24)</f>
        <v/>
      </c>
      <c r="H2755" s="66">
        <f>IF(tblFleet[[#This Row],[Units]]="","",tblFleet[[#This Row],[Calendar_h]]-tblFleet[[#This Row],[Down_h]])</f>
        <v/>
      </c>
      <c r="I2755" s="60">
        <f>IF(AND(tblFleet[[#This Row],[Units]]&lt;&gt;"",tblFleet[[#This Row],[Calendar_h]]&gt;0),tblFleet[[#This Row],[Available_h]]/tblFleet[[#This Row],[Calendar_h]],"")</f>
        <v/>
      </c>
      <c r="J2755" s="60">
        <f>IF(AND(tblFleet[[#This Row],[Units]]&lt;&gt;"",tblFleet[[#This Row],[Available_h]]&gt;0),tblFleet[[#This Row],[Operating_h]]/tblFleet[[#This Row],[Available_h]],"")</f>
        <v/>
      </c>
    </row>
    <row r="2756">
      <c r="A2756" s="54" t="n"/>
      <c r="B2756" s="61" t="n"/>
      <c r="C2756" s="62" t="n"/>
      <c r="D2756" s="57" t="n"/>
      <c r="E2756" s="57" t="n"/>
      <c r="F2756" s="58" t="n"/>
      <c r="G2756" s="66">
        <f>IF(tblFleet[[#This Row],[Units]]="","",tblFleet[[#This Row],[Units]]*24)</f>
        <v/>
      </c>
      <c r="H2756" s="66">
        <f>IF(tblFleet[[#This Row],[Units]]="","",tblFleet[[#This Row],[Calendar_h]]-tblFleet[[#This Row],[Down_h]])</f>
        <v/>
      </c>
      <c r="I2756" s="60">
        <f>IF(AND(tblFleet[[#This Row],[Units]]&lt;&gt;"",tblFleet[[#This Row],[Calendar_h]]&gt;0),tblFleet[[#This Row],[Available_h]]/tblFleet[[#This Row],[Calendar_h]],"")</f>
        <v/>
      </c>
      <c r="J2756" s="60">
        <f>IF(AND(tblFleet[[#This Row],[Units]]&lt;&gt;"",tblFleet[[#This Row],[Available_h]]&gt;0),tblFleet[[#This Row],[Operating_h]]/tblFleet[[#This Row],[Available_h]],"")</f>
        <v/>
      </c>
    </row>
    <row r="2757">
      <c r="A2757" s="54" t="n"/>
      <c r="B2757" s="61" t="n"/>
      <c r="C2757" s="62" t="n"/>
      <c r="D2757" s="57" t="n"/>
      <c r="E2757" s="57" t="n"/>
      <c r="F2757" s="58" t="n"/>
      <c r="G2757" s="66">
        <f>IF(tblFleet[[#This Row],[Units]]="","",tblFleet[[#This Row],[Units]]*24)</f>
        <v/>
      </c>
      <c r="H2757" s="66">
        <f>IF(tblFleet[[#This Row],[Units]]="","",tblFleet[[#This Row],[Calendar_h]]-tblFleet[[#This Row],[Down_h]])</f>
        <v/>
      </c>
      <c r="I2757" s="60">
        <f>IF(AND(tblFleet[[#This Row],[Units]]&lt;&gt;"",tblFleet[[#This Row],[Calendar_h]]&gt;0),tblFleet[[#This Row],[Available_h]]/tblFleet[[#This Row],[Calendar_h]],"")</f>
        <v/>
      </c>
      <c r="J2757" s="60">
        <f>IF(AND(tblFleet[[#This Row],[Units]]&lt;&gt;"",tblFleet[[#This Row],[Available_h]]&gt;0),tblFleet[[#This Row],[Operating_h]]/tblFleet[[#This Row],[Available_h]],"")</f>
        <v/>
      </c>
    </row>
    <row r="2758">
      <c r="A2758" s="54" t="n"/>
      <c r="B2758" s="61" t="n"/>
      <c r="C2758" s="62" t="n"/>
      <c r="D2758" s="57" t="n"/>
      <c r="E2758" s="57" t="n"/>
      <c r="F2758" s="58" t="n"/>
      <c r="G2758" s="66">
        <f>IF(tblFleet[[#This Row],[Units]]="","",tblFleet[[#This Row],[Units]]*24)</f>
        <v/>
      </c>
      <c r="H2758" s="66">
        <f>IF(tblFleet[[#This Row],[Units]]="","",tblFleet[[#This Row],[Calendar_h]]-tblFleet[[#This Row],[Down_h]])</f>
        <v/>
      </c>
      <c r="I2758" s="60">
        <f>IF(AND(tblFleet[[#This Row],[Units]]&lt;&gt;"",tblFleet[[#This Row],[Calendar_h]]&gt;0),tblFleet[[#This Row],[Available_h]]/tblFleet[[#This Row],[Calendar_h]],"")</f>
        <v/>
      </c>
      <c r="J2758" s="60">
        <f>IF(AND(tblFleet[[#This Row],[Units]]&lt;&gt;"",tblFleet[[#This Row],[Available_h]]&gt;0),tblFleet[[#This Row],[Operating_h]]/tblFleet[[#This Row],[Available_h]],"")</f>
        <v/>
      </c>
    </row>
    <row r="2759">
      <c r="A2759" s="54" t="n"/>
      <c r="B2759" s="61" t="n"/>
      <c r="C2759" s="62" t="n"/>
      <c r="D2759" s="57" t="n"/>
      <c r="E2759" s="57" t="n"/>
      <c r="F2759" s="58" t="n"/>
      <c r="G2759" s="66">
        <f>IF(tblFleet[[#This Row],[Units]]="","",tblFleet[[#This Row],[Units]]*24)</f>
        <v/>
      </c>
      <c r="H2759" s="66">
        <f>IF(tblFleet[[#This Row],[Units]]="","",tblFleet[[#This Row],[Calendar_h]]-tblFleet[[#This Row],[Down_h]])</f>
        <v/>
      </c>
      <c r="I2759" s="60">
        <f>IF(AND(tblFleet[[#This Row],[Units]]&lt;&gt;"",tblFleet[[#This Row],[Calendar_h]]&gt;0),tblFleet[[#This Row],[Available_h]]/tblFleet[[#This Row],[Calendar_h]],"")</f>
        <v/>
      </c>
      <c r="J2759" s="60">
        <f>IF(AND(tblFleet[[#This Row],[Units]]&lt;&gt;"",tblFleet[[#This Row],[Available_h]]&gt;0),tblFleet[[#This Row],[Operating_h]]/tblFleet[[#This Row],[Available_h]],"")</f>
        <v/>
      </c>
    </row>
    <row r="2760">
      <c r="A2760" s="54" t="n"/>
      <c r="B2760" s="61" t="n"/>
      <c r="C2760" s="62" t="n"/>
      <c r="D2760" s="57" t="n"/>
      <c r="E2760" s="57" t="n"/>
      <c r="F2760" s="58" t="n"/>
      <c r="G2760" s="66">
        <f>IF(tblFleet[[#This Row],[Units]]="","",tblFleet[[#This Row],[Units]]*24)</f>
        <v/>
      </c>
      <c r="H2760" s="66">
        <f>IF(tblFleet[[#This Row],[Units]]="","",tblFleet[[#This Row],[Calendar_h]]-tblFleet[[#This Row],[Down_h]])</f>
        <v/>
      </c>
      <c r="I2760" s="60">
        <f>IF(AND(tblFleet[[#This Row],[Units]]&lt;&gt;"",tblFleet[[#This Row],[Calendar_h]]&gt;0),tblFleet[[#This Row],[Available_h]]/tblFleet[[#This Row],[Calendar_h]],"")</f>
        <v/>
      </c>
      <c r="J2760" s="60">
        <f>IF(AND(tblFleet[[#This Row],[Units]]&lt;&gt;"",tblFleet[[#This Row],[Available_h]]&gt;0),tblFleet[[#This Row],[Operating_h]]/tblFleet[[#This Row],[Available_h]],"")</f>
        <v/>
      </c>
    </row>
    <row r="2761">
      <c r="A2761" s="54" t="n"/>
      <c r="B2761" s="61" t="n"/>
      <c r="C2761" s="62" t="n"/>
      <c r="D2761" s="57" t="n"/>
      <c r="E2761" s="57" t="n"/>
      <c r="F2761" s="58" t="n"/>
      <c r="G2761" s="66">
        <f>IF(tblFleet[[#This Row],[Units]]="","",tblFleet[[#This Row],[Units]]*24)</f>
        <v/>
      </c>
      <c r="H2761" s="66">
        <f>IF(tblFleet[[#This Row],[Units]]="","",tblFleet[[#This Row],[Calendar_h]]-tblFleet[[#This Row],[Down_h]])</f>
        <v/>
      </c>
      <c r="I2761" s="60">
        <f>IF(AND(tblFleet[[#This Row],[Units]]&lt;&gt;"",tblFleet[[#This Row],[Calendar_h]]&gt;0),tblFleet[[#This Row],[Available_h]]/tblFleet[[#This Row],[Calendar_h]],"")</f>
        <v/>
      </c>
      <c r="J2761" s="60">
        <f>IF(AND(tblFleet[[#This Row],[Units]]&lt;&gt;"",tblFleet[[#This Row],[Available_h]]&gt;0),tblFleet[[#This Row],[Operating_h]]/tblFleet[[#This Row],[Available_h]],"")</f>
        <v/>
      </c>
    </row>
    <row r="2762">
      <c r="A2762" s="54" t="n"/>
      <c r="B2762" s="61" t="n"/>
      <c r="C2762" s="62" t="n"/>
      <c r="D2762" s="57" t="n"/>
      <c r="E2762" s="57" t="n"/>
      <c r="F2762" s="58" t="n"/>
      <c r="G2762" s="66">
        <f>IF(tblFleet[[#This Row],[Units]]="","",tblFleet[[#This Row],[Units]]*24)</f>
        <v/>
      </c>
      <c r="H2762" s="66">
        <f>IF(tblFleet[[#This Row],[Units]]="","",tblFleet[[#This Row],[Calendar_h]]-tblFleet[[#This Row],[Down_h]])</f>
        <v/>
      </c>
      <c r="I2762" s="60">
        <f>IF(AND(tblFleet[[#This Row],[Units]]&lt;&gt;"",tblFleet[[#This Row],[Calendar_h]]&gt;0),tblFleet[[#This Row],[Available_h]]/tblFleet[[#This Row],[Calendar_h]],"")</f>
        <v/>
      </c>
      <c r="J2762" s="60">
        <f>IF(AND(tblFleet[[#This Row],[Units]]&lt;&gt;"",tblFleet[[#This Row],[Available_h]]&gt;0),tblFleet[[#This Row],[Operating_h]]/tblFleet[[#This Row],[Available_h]],"")</f>
        <v/>
      </c>
    </row>
    <row r="2763">
      <c r="A2763" s="54" t="n"/>
      <c r="B2763" s="61" t="n"/>
      <c r="C2763" s="62" t="n"/>
      <c r="D2763" s="57" t="n"/>
      <c r="E2763" s="57" t="n"/>
      <c r="F2763" s="58" t="n"/>
      <c r="G2763" s="66">
        <f>IF(tblFleet[[#This Row],[Units]]="","",tblFleet[[#This Row],[Units]]*24)</f>
        <v/>
      </c>
      <c r="H2763" s="66">
        <f>IF(tblFleet[[#This Row],[Units]]="","",tblFleet[[#This Row],[Calendar_h]]-tblFleet[[#This Row],[Down_h]])</f>
        <v/>
      </c>
      <c r="I2763" s="60">
        <f>IF(AND(tblFleet[[#This Row],[Units]]&lt;&gt;"",tblFleet[[#This Row],[Calendar_h]]&gt;0),tblFleet[[#This Row],[Available_h]]/tblFleet[[#This Row],[Calendar_h]],"")</f>
        <v/>
      </c>
      <c r="J2763" s="60">
        <f>IF(AND(tblFleet[[#This Row],[Units]]&lt;&gt;"",tblFleet[[#This Row],[Available_h]]&gt;0),tblFleet[[#This Row],[Operating_h]]/tblFleet[[#This Row],[Available_h]],"")</f>
        <v/>
      </c>
    </row>
    <row r="2764">
      <c r="A2764" s="54" t="n"/>
      <c r="B2764" s="61" t="n"/>
      <c r="C2764" s="62" t="n"/>
      <c r="D2764" s="57" t="n"/>
      <c r="E2764" s="57" t="n"/>
      <c r="F2764" s="58" t="n"/>
      <c r="G2764" s="66">
        <f>IF(tblFleet[[#This Row],[Units]]="","",tblFleet[[#This Row],[Units]]*24)</f>
        <v/>
      </c>
      <c r="H2764" s="66">
        <f>IF(tblFleet[[#This Row],[Units]]="","",tblFleet[[#This Row],[Calendar_h]]-tblFleet[[#This Row],[Down_h]])</f>
        <v/>
      </c>
      <c r="I2764" s="60">
        <f>IF(AND(tblFleet[[#This Row],[Units]]&lt;&gt;"",tblFleet[[#This Row],[Calendar_h]]&gt;0),tblFleet[[#This Row],[Available_h]]/tblFleet[[#This Row],[Calendar_h]],"")</f>
        <v/>
      </c>
      <c r="J2764" s="60">
        <f>IF(AND(tblFleet[[#This Row],[Units]]&lt;&gt;"",tblFleet[[#This Row],[Available_h]]&gt;0),tblFleet[[#This Row],[Operating_h]]/tblFleet[[#This Row],[Available_h]],"")</f>
        <v/>
      </c>
    </row>
    <row r="2765">
      <c r="A2765" s="54" t="n"/>
      <c r="B2765" s="61" t="n"/>
      <c r="C2765" s="62" t="n"/>
      <c r="D2765" s="57" t="n"/>
      <c r="E2765" s="57" t="n"/>
      <c r="F2765" s="58" t="n"/>
      <c r="G2765" s="66">
        <f>IF(tblFleet[[#This Row],[Units]]="","",tblFleet[[#This Row],[Units]]*24)</f>
        <v/>
      </c>
      <c r="H2765" s="66">
        <f>IF(tblFleet[[#This Row],[Units]]="","",tblFleet[[#This Row],[Calendar_h]]-tblFleet[[#This Row],[Down_h]])</f>
        <v/>
      </c>
      <c r="I2765" s="60">
        <f>IF(AND(tblFleet[[#This Row],[Units]]&lt;&gt;"",tblFleet[[#This Row],[Calendar_h]]&gt;0),tblFleet[[#This Row],[Available_h]]/tblFleet[[#This Row],[Calendar_h]],"")</f>
        <v/>
      </c>
      <c r="J2765" s="60">
        <f>IF(AND(tblFleet[[#This Row],[Units]]&lt;&gt;"",tblFleet[[#This Row],[Available_h]]&gt;0),tblFleet[[#This Row],[Operating_h]]/tblFleet[[#This Row],[Available_h]],"")</f>
        <v/>
      </c>
    </row>
    <row r="2766">
      <c r="A2766" s="54" t="n"/>
      <c r="B2766" s="61" t="n"/>
      <c r="C2766" s="62" t="n"/>
      <c r="D2766" s="57" t="n"/>
      <c r="E2766" s="57" t="n"/>
      <c r="F2766" s="58" t="n"/>
      <c r="G2766" s="66">
        <f>IF(tblFleet[[#This Row],[Units]]="","",tblFleet[[#This Row],[Units]]*24)</f>
        <v/>
      </c>
      <c r="H2766" s="66">
        <f>IF(tblFleet[[#This Row],[Units]]="","",tblFleet[[#This Row],[Calendar_h]]-tblFleet[[#This Row],[Down_h]])</f>
        <v/>
      </c>
      <c r="I2766" s="60">
        <f>IF(AND(tblFleet[[#This Row],[Units]]&lt;&gt;"",tblFleet[[#This Row],[Calendar_h]]&gt;0),tblFleet[[#This Row],[Available_h]]/tblFleet[[#This Row],[Calendar_h]],"")</f>
        <v/>
      </c>
      <c r="J2766" s="60">
        <f>IF(AND(tblFleet[[#This Row],[Units]]&lt;&gt;"",tblFleet[[#This Row],[Available_h]]&gt;0),tblFleet[[#This Row],[Operating_h]]/tblFleet[[#This Row],[Available_h]],"")</f>
        <v/>
      </c>
    </row>
    <row r="2767">
      <c r="A2767" s="54" t="n"/>
      <c r="B2767" s="61" t="n"/>
      <c r="C2767" s="62" t="n"/>
      <c r="D2767" s="57" t="n"/>
      <c r="E2767" s="57" t="n"/>
      <c r="F2767" s="58" t="n"/>
      <c r="G2767" s="66">
        <f>IF(tblFleet[[#This Row],[Units]]="","",tblFleet[[#This Row],[Units]]*24)</f>
        <v/>
      </c>
      <c r="H2767" s="66">
        <f>IF(tblFleet[[#This Row],[Units]]="","",tblFleet[[#This Row],[Calendar_h]]-tblFleet[[#This Row],[Down_h]])</f>
        <v/>
      </c>
      <c r="I2767" s="60">
        <f>IF(AND(tblFleet[[#This Row],[Units]]&lt;&gt;"",tblFleet[[#This Row],[Calendar_h]]&gt;0),tblFleet[[#This Row],[Available_h]]/tblFleet[[#This Row],[Calendar_h]],"")</f>
        <v/>
      </c>
      <c r="J2767" s="60">
        <f>IF(AND(tblFleet[[#This Row],[Units]]&lt;&gt;"",tblFleet[[#This Row],[Available_h]]&gt;0),tblFleet[[#This Row],[Operating_h]]/tblFleet[[#This Row],[Available_h]],"")</f>
        <v/>
      </c>
    </row>
    <row r="2768">
      <c r="A2768" s="54" t="n"/>
      <c r="B2768" s="61" t="n"/>
      <c r="C2768" s="62" t="n"/>
      <c r="D2768" s="57" t="n"/>
      <c r="E2768" s="57" t="n"/>
      <c r="F2768" s="58" t="n"/>
      <c r="G2768" s="66">
        <f>IF(tblFleet[[#This Row],[Units]]="","",tblFleet[[#This Row],[Units]]*24)</f>
        <v/>
      </c>
      <c r="H2768" s="66">
        <f>IF(tblFleet[[#This Row],[Units]]="","",tblFleet[[#This Row],[Calendar_h]]-tblFleet[[#This Row],[Down_h]])</f>
        <v/>
      </c>
      <c r="I2768" s="60">
        <f>IF(AND(tblFleet[[#This Row],[Units]]&lt;&gt;"",tblFleet[[#This Row],[Calendar_h]]&gt;0),tblFleet[[#This Row],[Available_h]]/tblFleet[[#This Row],[Calendar_h]],"")</f>
        <v/>
      </c>
      <c r="J2768" s="60">
        <f>IF(AND(tblFleet[[#This Row],[Units]]&lt;&gt;"",tblFleet[[#This Row],[Available_h]]&gt;0),tblFleet[[#This Row],[Operating_h]]/tblFleet[[#This Row],[Available_h]],"")</f>
        <v/>
      </c>
    </row>
    <row r="2769">
      <c r="A2769" s="54" t="n"/>
      <c r="B2769" s="61" t="n"/>
      <c r="C2769" s="62" t="n"/>
      <c r="D2769" s="57" t="n"/>
      <c r="E2769" s="57" t="n"/>
      <c r="F2769" s="58" t="n"/>
      <c r="G2769" s="66">
        <f>IF(tblFleet[[#This Row],[Units]]="","",tblFleet[[#This Row],[Units]]*24)</f>
        <v/>
      </c>
      <c r="H2769" s="66">
        <f>IF(tblFleet[[#This Row],[Units]]="","",tblFleet[[#This Row],[Calendar_h]]-tblFleet[[#This Row],[Down_h]])</f>
        <v/>
      </c>
      <c r="I2769" s="60">
        <f>IF(AND(tblFleet[[#This Row],[Units]]&lt;&gt;"",tblFleet[[#This Row],[Calendar_h]]&gt;0),tblFleet[[#This Row],[Available_h]]/tblFleet[[#This Row],[Calendar_h]],"")</f>
        <v/>
      </c>
      <c r="J2769" s="60">
        <f>IF(AND(tblFleet[[#This Row],[Units]]&lt;&gt;"",tblFleet[[#This Row],[Available_h]]&gt;0),tblFleet[[#This Row],[Operating_h]]/tblFleet[[#This Row],[Available_h]],"")</f>
        <v/>
      </c>
    </row>
    <row r="2770">
      <c r="A2770" s="54" t="n"/>
      <c r="B2770" s="61" t="n"/>
      <c r="C2770" s="62" t="n"/>
      <c r="D2770" s="57" t="n"/>
      <c r="E2770" s="57" t="n"/>
      <c r="F2770" s="58" t="n"/>
      <c r="G2770" s="66">
        <f>IF(tblFleet[[#This Row],[Units]]="","",tblFleet[[#This Row],[Units]]*24)</f>
        <v/>
      </c>
      <c r="H2770" s="66">
        <f>IF(tblFleet[[#This Row],[Units]]="","",tblFleet[[#This Row],[Calendar_h]]-tblFleet[[#This Row],[Down_h]])</f>
        <v/>
      </c>
      <c r="I2770" s="60">
        <f>IF(AND(tblFleet[[#This Row],[Units]]&lt;&gt;"",tblFleet[[#This Row],[Calendar_h]]&gt;0),tblFleet[[#This Row],[Available_h]]/tblFleet[[#This Row],[Calendar_h]],"")</f>
        <v/>
      </c>
      <c r="J2770" s="60">
        <f>IF(AND(tblFleet[[#This Row],[Units]]&lt;&gt;"",tblFleet[[#This Row],[Available_h]]&gt;0),tblFleet[[#This Row],[Operating_h]]/tblFleet[[#This Row],[Available_h]],"")</f>
        <v/>
      </c>
    </row>
    <row r="2771">
      <c r="A2771" s="54" t="n"/>
      <c r="B2771" s="61" t="n"/>
      <c r="C2771" s="62" t="n"/>
      <c r="D2771" s="57" t="n"/>
      <c r="E2771" s="57" t="n"/>
      <c r="F2771" s="58" t="n"/>
      <c r="G2771" s="66">
        <f>IF(tblFleet[[#This Row],[Units]]="","",tblFleet[[#This Row],[Units]]*24)</f>
        <v/>
      </c>
      <c r="H2771" s="66">
        <f>IF(tblFleet[[#This Row],[Units]]="","",tblFleet[[#This Row],[Calendar_h]]-tblFleet[[#This Row],[Down_h]])</f>
        <v/>
      </c>
      <c r="I2771" s="60">
        <f>IF(AND(tblFleet[[#This Row],[Units]]&lt;&gt;"",tblFleet[[#This Row],[Calendar_h]]&gt;0),tblFleet[[#This Row],[Available_h]]/tblFleet[[#This Row],[Calendar_h]],"")</f>
        <v/>
      </c>
      <c r="J2771" s="60">
        <f>IF(AND(tblFleet[[#This Row],[Units]]&lt;&gt;"",tblFleet[[#This Row],[Available_h]]&gt;0),tblFleet[[#This Row],[Operating_h]]/tblFleet[[#This Row],[Available_h]],"")</f>
        <v/>
      </c>
    </row>
    <row r="2772">
      <c r="A2772" s="54" t="n"/>
      <c r="B2772" s="61" t="n"/>
      <c r="C2772" s="62" t="n"/>
      <c r="D2772" s="57" t="n"/>
      <c r="E2772" s="57" t="n"/>
      <c r="F2772" s="58" t="n"/>
      <c r="G2772" s="66">
        <f>IF(tblFleet[[#This Row],[Units]]="","",tblFleet[[#This Row],[Units]]*24)</f>
        <v/>
      </c>
      <c r="H2772" s="66">
        <f>IF(tblFleet[[#This Row],[Units]]="","",tblFleet[[#This Row],[Calendar_h]]-tblFleet[[#This Row],[Down_h]])</f>
        <v/>
      </c>
      <c r="I2772" s="60">
        <f>IF(AND(tblFleet[[#This Row],[Units]]&lt;&gt;"",tblFleet[[#This Row],[Calendar_h]]&gt;0),tblFleet[[#This Row],[Available_h]]/tblFleet[[#This Row],[Calendar_h]],"")</f>
        <v/>
      </c>
      <c r="J2772" s="60">
        <f>IF(AND(tblFleet[[#This Row],[Units]]&lt;&gt;"",tblFleet[[#This Row],[Available_h]]&gt;0),tblFleet[[#This Row],[Operating_h]]/tblFleet[[#This Row],[Available_h]],"")</f>
        <v/>
      </c>
    </row>
    <row r="2773">
      <c r="A2773" s="54" t="n"/>
      <c r="B2773" s="61" t="n"/>
      <c r="C2773" s="62" t="n"/>
      <c r="D2773" s="57" t="n"/>
      <c r="E2773" s="57" t="n"/>
      <c r="F2773" s="58" t="n"/>
      <c r="G2773" s="66">
        <f>IF(tblFleet[[#This Row],[Units]]="","",tblFleet[[#This Row],[Units]]*24)</f>
        <v/>
      </c>
      <c r="H2773" s="66">
        <f>IF(tblFleet[[#This Row],[Units]]="","",tblFleet[[#This Row],[Calendar_h]]-tblFleet[[#This Row],[Down_h]])</f>
        <v/>
      </c>
      <c r="I2773" s="60">
        <f>IF(AND(tblFleet[[#This Row],[Units]]&lt;&gt;"",tblFleet[[#This Row],[Calendar_h]]&gt;0),tblFleet[[#This Row],[Available_h]]/tblFleet[[#This Row],[Calendar_h]],"")</f>
        <v/>
      </c>
      <c r="J2773" s="60">
        <f>IF(AND(tblFleet[[#This Row],[Units]]&lt;&gt;"",tblFleet[[#This Row],[Available_h]]&gt;0),tblFleet[[#This Row],[Operating_h]]/tblFleet[[#This Row],[Available_h]],"")</f>
        <v/>
      </c>
    </row>
    <row r="2774">
      <c r="A2774" s="54" t="n"/>
      <c r="B2774" s="61" t="n"/>
      <c r="C2774" s="62" t="n"/>
      <c r="D2774" s="57" t="n"/>
      <c r="E2774" s="57" t="n"/>
      <c r="F2774" s="58" t="n"/>
      <c r="G2774" s="66">
        <f>IF(tblFleet[[#This Row],[Units]]="","",tblFleet[[#This Row],[Units]]*24)</f>
        <v/>
      </c>
      <c r="H2774" s="66">
        <f>IF(tblFleet[[#This Row],[Units]]="","",tblFleet[[#This Row],[Calendar_h]]-tblFleet[[#This Row],[Down_h]])</f>
        <v/>
      </c>
      <c r="I2774" s="60">
        <f>IF(AND(tblFleet[[#This Row],[Units]]&lt;&gt;"",tblFleet[[#This Row],[Calendar_h]]&gt;0),tblFleet[[#This Row],[Available_h]]/tblFleet[[#This Row],[Calendar_h]],"")</f>
        <v/>
      </c>
      <c r="J2774" s="60">
        <f>IF(AND(tblFleet[[#This Row],[Units]]&lt;&gt;"",tblFleet[[#This Row],[Available_h]]&gt;0),tblFleet[[#This Row],[Operating_h]]/tblFleet[[#This Row],[Available_h]],"")</f>
        <v/>
      </c>
    </row>
    <row r="2775">
      <c r="A2775" s="54" t="n"/>
      <c r="B2775" s="61" t="n"/>
      <c r="C2775" s="62" t="n"/>
      <c r="D2775" s="57" t="n"/>
      <c r="E2775" s="57" t="n"/>
      <c r="F2775" s="58" t="n"/>
      <c r="G2775" s="66">
        <f>IF(tblFleet[[#This Row],[Units]]="","",tblFleet[[#This Row],[Units]]*24)</f>
        <v/>
      </c>
      <c r="H2775" s="66">
        <f>IF(tblFleet[[#This Row],[Units]]="","",tblFleet[[#This Row],[Calendar_h]]-tblFleet[[#This Row],[Down_h]])</f>
        <v/>
      </c>
      <c r="I2775" s="60">
        <f>IF(AND(tblFleet[[#This Row],[Units]]&lt;&gt;"",tblFleet[[#This Row],[Calendar_h]]&gt;0),tblFleet[[#This Row],[Available_h]]/tblFleet[[#This Row],[Calendar_h]],"")</f>
        <v/>
      </c>
      <c r="J2775" s="60">
        <f>IF(AND(tblFleet[[#This Row],[Units]]&lt;&gt;"",tblFleet[[#This Row],[Available_h]]&gt;0),tblFleet[[#This Row],[Operating_h]]/tblFleet[[#This Row],[Available_h]],"")</f>
        <v/>
      </c>
    </row>
    <row r="2776">
      <c r="A2776" s="54" t="n"/>
      <c r="B2776" s="61" t="n"/>
      <c r="C2776" s="62" t="n"/>
      <c r="D2776" s="57" t="n"/>
      <c r="E2776" s="57" t="n"/>
      <c r="F2776" s="58" t="n"/>
      <c r="G2776" s="66">
        <f>IF(tblFleet[[#This Row],[Units]]="","",tblFleet[[#This Row],[Units]]*24)</f>
        <v/>
      </c>
      <c r="H2776" s="66">
        <f>IF(tblFleet[[#This Row],[Units]]="","",tblFleet[[#This Row],[Calendar_h]]-tblFleet[[#This Row],[Down_h]])</f>
        <v/>
      </c>
      <c r="I2776" s="60">
        <f>IF(AND(tblFleet[[#This Row],[Units]]&lt;&gt;"",tblFleet[[#This Row],[Calendar_h]]&gt;0),tblFleet[[#This Row],[Available_h]]/tblFleet[[#This Row],[Calendar_h]],"")</f>
        <v/>
      </c>
      <c r="J2776" s="60">
        <f>IF(AND(tblFleet[[#This Row],[Units]]&lt;&gt;"",tblFleet[[#This Row],[Available_h]]&gt;0),tblFleet[[#This Row],[Operating_h]]/tblFleet[[#This Row],[Available_h]],"")</f>
        <v/>
      </c>
    </row>
    <row r="2777">
      <c r="A2777" s="54" t="n"/>
      <c r="B2777" s="61" t="n"/>
      <c r="C2777" s="62" t="n"/>
      <c r="D2777" s="57" t="n"/>
      <c r="E2777" s="57" t="n"/>
      <c r="F2777" s="58" t="n"/>
      <c r="G2777" s="66">
        <f>IF(tblFleet[[#This Row],[Units]]="","",tblFleet[[#This Row],[Units]]*24)</f>
        <v/>
      </c>
      <c r="H2777" s="66">
        <f>IF(tblFleet[[#This Row],[Units]]="","",tblFleet[[#This Row],[Calendar_h]]-tblFleet[[#This Row],[Down_h]])</f>
        <v/>
      </c>
      <c r="I2777" s="60">
        <f>IF(AND(tblFleet[[#This Row],[Units]]&lt;&gt;"",tblFleet[[#This Row],[Calendar_h]]&gt;0),tblFleet[[#This Row],[Available_h]]/tblFleet[[#This Row],[Calendar_h]],"")</f>
        <v/>
      </c>
      <c r="J2777" s="60">
        <f>IF(AND(tblFleet[[#This Row],[Units]]&lt;&gt;"",tblFleet[[#This Row],[Available_h]]&gt;0),tblFleet[[#This Row],[Operating_h]]/tblFleet[[#This Row],[Available_h]],"")</f>
        <v/>
      </c>
    </row>
    <row r="2778">
      <c r="A2778" s="54" t="n"/>
      <c r="B2778" s="61" t="n"/>
      <c r="C2778" s="62" t="n"/>
      <c r="D2778" s="57" t="n"/>
      <c r="E2778" s="57" t="n"/>
      <c r="F2778" s="58" t="n"/>
      <c r="G2778" s="66">
        <f>IF(tblFleet[[#This Row],[Units]]="","",tblFleet[[#This Row],[Units]]*24)</f>
        <v/>
      </c>
      <c r="H2778" s="66">
        <f>IF(tblFleet[[#This Row],[Units]]="","",tblFleet[[#This Row],[Calendar_h]]-tblFleet[[#This Row],[Down_h]])</f>
        <v/>
      </c>
      <c r="I2778" s="60">
        <f>IF(AND(tblFleet[[#This Row],[Units]]&lt;&gt;"",tblFleet[[#This Row],[Calendar_h]]&gt;0),tblFleet[[#This Row],[Available_h]]/tblFleet[[#This Row],[Calendar_h]],"")</f>
        <v/>
      </c>
      <c r="J2778" s="60">
        <f>IF(AND(tblFleet[[#This Row],[Units]]&lt;&gt;"",tblFleet[[#This Row],[Available_h]]&gt;0),tblFleet[[#This Row],[Operating_h]]/tblFleet[[#This Row],[Available_h]],"")</f>
        <v/>
      </c>
    </row>
    <row r="2779">
      <c r="A2779" s="54" t="n"/>
      <c r="B2779" s="61" t="n"/>
      <c r="C2779" s="62" t="n"/>
      <c r="D2779" s="57" t="n"/>
      <c r="E2779" s="57" t="n"/>
      <c r="F2779" s="58" t="n"/>
      <c r="G2779" s="66">
        <f>IF(tblFleet[[#This Row],[Units]]="","",tblFleet[[#This Row],[Units]]*24)</f>
        <v/>
      </c>
      <c r="H2779" s="66">
        <f>IF(tblFleet[[#This Row],[Units]]="","",tblFleet[[#This Row],[Calendar_h]]-tblFleet[[#This Row],[Down_h]])</f>
        <v/>
      </c>
      <c r="I2779" s="60">
        <f>IF(AND(tblFleet[[#This Row],[Units]]&lt;&gt;"",tblFleet[[#This Row],[Calendar_h]]&gt;0),tblFleet[[#This Row],[Available_h]]/tblFleet[[#This Row],[Calendar_h]],"")</f>
        <v/>
      </c>
      <c r="J2779" s="60">
        <f>IF(AND(tblFleet[[#This Row],[Units]]&lt;&gt;"",tblFleet[[#This Row],[Available_h]]&gt;0),tblFleet[[#This Row],[Operating_h]]/tblFleet[[#This Row],[Available_h]],"")</f>
        <v/>
      </c>
    </row>
    <row r="2780">
      <c r="A2780" s="54" t="n"/>
      <c r="B2780" s="61" t="n"/>
      <c r="C2780" s="62" t="n"/>
      <c r="D2780" s="57" t="n"/>
      <c r="E2780" s="57" t="n"/>
      <c r="F2780" s="58" t="n"/>
      <c r="G2780" s="66">
        <f>IF(tblFleet[[#This Row],[Units]]="","",tblFleet[[#This Row],[Units]]*24)</f>
        <v/>
      </c>
      <c r="H2780" s="66">
        <f>IF(tblFleet[[#This Row],[Units]]="","",tblFleet[[#This Row],[Calendar_h]]-tblFleet[[#This Row],[Down_h]])</f>
        <v/>
      </c>
      <c r="I2780" s="60">
        <f>IF(AND(tblFleet[[#This Row],[Units]]&lt;&gt;"",tblFleet[[#This Row],[Calendar_h]]&gt;0),tblFleet[[#This Row],[Available_h]]/tblFleet[[#This Row],[Calendar_h]],"")</f>
        <v/>
      </c>
      <c r="J2780" s="60">
        <f>IF(AND(tblFleet[[#This Row],[Units]]&lt;&gt;"",tblFleet[[#This Row],[Available_h]]&gt;0),tblFleet[[#This Row],[Operating_h]]/tblFleet[[#This Row],[Available_h]],"")</f>
        <v/>
      </c>
    </row>
    <row r="2781">
      <c r="A2781" s="54" t="n"/>
      <c r="B2781" s="61" t="n"/>
      <c r="C2781" s="62" t="n"/>
      <c r="D2781" s="57" t="n"/>
      <c r="E2781" s="57" t="n"/>
      <c r="F2781" s="58" t="n"/>
      <c r="G2781" s="66">
        <f>IF(tblFleet[[#This Row],[Units]]="","",tblFleet[[#This Row],[Units]]*24)</f>
        <v/>
      </c>
      <c r="H2781" s="66">
        <f>IF(tblFleet[[#This Row],[Units]]="","",tblFleet[[#This Row],[Calendar_h]]-tblFleet[[#This Row],[Down_h]])</f>
        <v/>
      </c>
      <c r="I2781" s="60">
        <f>IF(AND(tblFleet[[#This Row],[Units]]&lt;&gt;"",tblFleet[[#This Row],[Calendar_h]]&gt;0),tblFleet[[#This Row],[Available_h]]/tblFleet[[#This Row],[Calendar_h]],"")</f>
        <v/>
      </c>
      <c r="J2781" s="60">
        <f>IF(AND(tblFleet[[#This Row],[Units]]&lt;&gt;"",tblFleet[[#This Row],[Available_h]]&gt;0),tblFleet[[#This Row],[Operating_h]]/tblFleet[[#This Row],[Available_h]],"")</f>
        <v/>
      </c>
    </row>
    <row r="2782">
      <c r="A2782" s="54" t="n"/>
      <c r="B2782" s="61" t="n"/>
      <c r="C2782" s="62" t="n"/>
      <c r="D2782" s="57" t="n"/>
      <c r="E2782" s="57" t="n"/>
      <c r="F2782" s="58" t="n"/>
      <c r="G2782" s="66">
        <f>IF(tblFleet[[#This Row],[Units]]="","",tblFleet[[#This Row],[Units]]*24)</f>
        <v/>
      </c>
      <c r="H2782" s="66">
        <f>IF(tblFleet[[#This Row],[Units]]="","",tblFleet[[#This Row],[Calendar_h]]-tblFleet[[#This Row],[Down_h]])</f>
        <v/>
      </c>
      <c r="I2782" s="60">
        <f>IF(AND(tblFleet[[#This Row],[Units]]&lt;&gt;"",tblFleet[[#This Row],[Calendar_h]]&gt;0),tblFleet[[#This Row],[Available_h]]/tblFleet[[#This Row],[Calendar_h]],"")</f>
        <v/>
      </c>
      <c r="J2782" s="60">
        <f>IF(AND(tblFleet[[#This Row],[Units]]&lt;&gt;"",tblFleet[[#This Row],[Available_h]]&gt;0),tblFleet[[#This Row],[Operating_h]]/tblFleet[[#This Row],[Available_h]],"")</f>
        <v/>
      </c>
    </row>
    <row r="2783">
      <c r="A2783" s="54" t="n"/>
      <c r="B2783" s="61" t="n"/>
      <c r="C2783" s="62" t="n"/>
      <c r="D2783" s="57" t="n"/>
      <c r="E2783" s="57" t="n"/>
      <c r="F2783" s="58" t="n"/>
      <c r="G2783" s="66">
        <f>IF(tblFleet[[#This Row],[Units]]="","",tblFleet[[#This Row],[Units]]*24)</f>
        <v/>
      </c>
      <c r="H2783" s="66">
        <f>IF(tblFleet[[#This Row],[Units]]="","",tblFleet[[#This Row],[Calendar_h]]-tblFleet[[#This Row],[Down_h]])</f>
        <v/>
      </c>
      <c r="I2783" s="60">
        <f>IF(AND(tblFleet[[#This Row],[Units]]&lt;&gt;"",tblFleet[[#This Row],[Calendar_h]]&gt;0),tblFleet[[#This Row],[Available_h]]/tblFleet[[#This Row],[Calendar_h]],"")</f>
        <v/>
      </c>
      <c r="J2783" s="60">
        <f>IF(AND(tblFleet[[#This Row],[Units]]&lt;&gt;"",tblFleet[[#This Row],[Available_h]]&gt;0),tblFleet[[#This Row],[Operating_h]]/tblFleet[[#This Row],[Available_h]],"")</f>
        <v/>
      </c>
    </row>
    <row r="2784">
      <c r="A2784" s="54" t="n"/>
      <c r="B2784" s="61" t="n"/>
      <c r="C2784" s="62" t="n"/>
      <c r="D2784" s="57" t="n"/>
      <c r="E2784" s="57" t="n"/>
      <c r="F2784" s="58" t="n"/>
      <c r="G2784" s="66">
        <f>IF(tblFleet[[#This Row],[Units]]="","",tblFleet[[#This Row],[Units]]*24)</f>
        <v/>
      </c>
      <c r="H2784" s="66">
        <f>IF(tblFleet[[#This Row],[Units]]="","",tblFleet[[#This Row],[Calendar_h]]-tblFleet[[#This Row],[Down_h]])</f>
        <v/>
      </c>
      <c r="I2784" s="60">
        <f>IF(AND(tblFleet[[#This Row],[Units]]&lt;&gt;"",tblFleet[[#This Row],[Calendar_h]]&gt;0),tblFleet[[#This Row],[Available_h]]/tblFleet[[#This Row],[Calendar_h]],"")</f>
        <v/>
      </c>
      <c r="J2784" s="60">
        <f>IF(AND(tblFleet[[#This Row],[Units]]&lt;&gt;"",tblFleet[[#This Row],[Available_h]]&gt;0),tblFleet[[#This Row],[Operating_h]]/tblFleet[[#This Row],[Available_h]],"")</f>
        <v/>
      </c>
    </row>
    <row r="2785">
      <c r="A2785" s="54" t="n"/>
      <c r="B2785" s="61" t="n"/>
      <c r="C2785" s="62" t="n"/>
      <c r="D2785" s="57" t="n"/>
      <c r="E2785" s="57" t="n"/>
      <c r="F2785" s="58" t="n"/>
      <c r="G2785" s="66">
        <f>IF(tblFleet[[#This Row],[Units]]="","",tblFleet[[#This Row],[Units]]*24)</f>
        <v/>
      </c>
      <c r="H2785" s="66">
        <f>IF(tblFleet[[#This Row],[Units]]="","",tblFleet[[#This Row],[Calendar_h]]-tblFleet[[#This Row],[Down_h]])</f>
        <v/>
      </c>
      <c r="I2785" s="60">
        <f>IF(AND(tblFleet[[#This Row],[Units]]&lt;&gt;"",tblFleet[[#This Row],[Calendar_h]]&gt;0),tblFleet[[#This Row],[Available_h]]/tblFleet[[#This Row],[Calendar_h]],"")</f>
        <v/>
      </c>
      <c r="J2785" s="60">
        <f>IF(AND(tblFleet[[#This Row],[Units]]&lt;&gt;"",tblFleet[[#This Row],[Available_h]]&gt;0),tblFleet[[#This Row],[Operating_h]]/tblFleet[[#This Row],[Available_h]],"")</f>
        <v/>
      </c>
    </row>
    <row r="2786">
      <c r="A2786" s="54" t="n"/>
      <c r="B2786" s="61" t="n"/>
      <c r="C2786" s="62" t="n"/>
      <c r="D2786" s="57" t="n"/>
      <c r="E2786" s="57" t="n"/>
      <c r="F2786" s="58" t="n"/>
      <c r="G2786" s="66">
        <f>IF(tblFleet[[#This Row],[Units]]="","",tblFleet[[#This Row],[Units]]*24)</f>
        <v/>
      </c>
      <c r="H2786" s="66">
        <f>IF(tblFleet[[#This Row],[Units]]="","",tblFleet[[#This Row],[Calendar_h]]-tblFleet[[#This Row],[Down_h]])</f>
        <v/>
      </c>
      <c r="I2786" s="60">
        <f>IF(AND(tblFleet[[#This Row],[Units]]&lt;&gt;"",tblFleet[[#This Row],[Calendar_h]]&gt;0),tblFleet[[#This Row],[Available_h]]/tblFleet[[#This Row],[Calendar_h]],"")</f>
        <v/>
      </c>
      <c r="J2786" s="60">
        <f>IF(AND(tblFleet[[#This Row],[Units]]&lt;&gt;"",tblFleet[[#This Row],[Available_h]]&gt;0),tblFleet[[#This Row],[Operating_h]]/tblFleet[[#This Row],[Available_h]],"")</f>
        <v/>
      </c>
    </row>
    <row r="2787">
      <c r="A2787" s="54" t="n"/>
      <c r="B2787" s="61" t="n"/>
      <c r="C2787" s="62" t="n"/>
      <c r="D2787" s="57" t="n"/>
      <c r="E2787" s="57" t="n"/>
      <c r="F2787" s="58" t="n"/>
      <c r="G2787" s="66">
        <f>IF(tblFleet[[#This Row],[Units]]="","",tblFleet[[#This Row],[Units]]*24)</f>
        <v/>
      </c>
      <c r="H2787" s="66">
        <f>IF(tblFleet[[#This Row],[Units]]="","",tblFleet[[#This Row],[Calendar_h]]-tblFleet[[#This Row],[Down_h]])</f>
        <v/>
      </c>
      <c r="I2787" s="60">
        <f>IF(AND(tblFleet[[#This Row],[Units]]&lt;&gt;"",tblFleet[[#This Row],[Calendar_h]]&gt;0),tblFleet[[#This Row],[Available_h]]/tblFleet[[#This Row],[Calendar_h]],"")</f>
        <v/>
      </c>
      <c r="J2787" s="60">
        <f>IF(AND(tblFleet[[#This Row],[Units]]&lt;&gt;"",tblFleet[[#This Row],[Available_h]]&gt;0),tblFleet[[#This Row],[Operating_h]]/tblFleet[[#This Row],[Available_h]],"")</f>
        <v/>
      </c>
    </row>
    <row r="2788">
      <c r="A2788" s="54" t="n"/>
      <c r="B2788" s="61" t="n"/>
      <c r="C2788" s="62" t="n"/>
      <c r="D2788" s="57" t="n"/>
      <c r="E2788" s="57" t="n"/>
      <c r="F2788" s="58" t="n"/>
      <c r="G2788" s="66">
        <f>IF(tblFleet[[#This Row],[Units]]="","",tblFleet[[#This Row],[Units]]*24)</f>
        <v/>
      </c>
      <c r="H2788" s="66">
        <f>IF(tblFleet[[#This Row],[Units]]="","",tblFleet[[#This Row],[Calendar_h]]-tblFleet[[#This Row],[Down_h]])</f>
        <v/>
      </c>
      <c r="I2788" s="60">
        <f>IF(AND(tblFleet[[#This Row],[Units]]&lt;&gt;"",tblFleet[[#This Row],[Calendar_h]]&gt;0),tblFleet[[#This Row],[Available_h]]/tblFleet[[#This Row],[Calendar_h]],"")</f>
        <v/>
      </c>
      <c r="J2788" s="60">
        <f>IF(AND(tblFleet[[#This Row],[Units]]&lt;&gt;"",tblFleet[[#This Row],[Available_h]]&gt;0),tblFleet[[#This Row],[Operating_h]]/tblFleet[[#This Row],[Available_h]],"")</f>
        <v/>
      </c>
    </row>
    <row r="2789">
      <c r="A2789" s="54" t="n"/>
      <c r="B2789" s="61" t="n"/>
      <c r="C2789" s="62" t="n"/>
      <c r="D2789" s="57" t="n"/>
      <c r="E2789" s="57" t="n"/>
      <c r="F2789" s="58" t="n"/>
      <c r="G2789" s="66">
        <f>IF(tblFleet[[#This Row],[Units]]="","",tblFleet[[#This Row],[Units]]*24)</f>
        <v/>
      </c>
      <c r="H2789" s="66">
        <f>IF(tblFleet[[#This Row],[Units]]="","",tblFleet[[#This Row],[Calendar_h]]-tblFleet[[#This Row],[Down_h]])</f>
        <v/>
      </c>
      <c r="I2789" s="60">
        <f>IF(AND(tblFleet[[#This Row],[Units]]&lt;&gt;"",tblFleet[[#This Row],[Calendar_h]]&gt;0),tblFleet[[#This Row],[Available_h]]/tblFleet[[#This Row],[Calendar_h]],"")</f>
        <v/>
      </c>
      <c r="J2789" s="60">
        <f>IF(AND(tblFleet[[#This Row],[Units]]&lt;&gt;"",tblFleet[[#This Row],[Available_h]]&gt;0),tblFleet[[#This Row],[Operating_h]]/tblFleet[[#This Row],[Available_h]],"")</f>
        <v/>
      </c>
    </row>
    <row r="2790">
      <c r="A2790" s="54" t="n"/>
      <c r="B2790" s="61" t="n"/>
      <c r="C2790" s="62" t="n"/>
      <c r="D2790" s="57" t="n"/>
      <c r="E2790" s="57" t="n"/>
      <c r="F2790" s="58" t="n"/>
      <c r="G2790" s="66">
        <f>IF(tblFleet[[#This Row],[Units]]="","",tblFleet[[#This Row],[Units]]*24)</f>
        <v/>
      </c>
      <c r="H2790" s="66">
        <f>IF(tblFleet[[#This Row],[Units]]="","",tblFleet[[#This Row],[Calendar_h]]-tblFleet[[#This Row],[Down_h]])</f>
        <v/>
      </c>
      <c r="I2790" s="60">
        <f>IF(AND(tblFleet[[#This Row],[Units]]&lt;&gt;"",tblFleet[[#This Row],[Calendar_h]]&gt;0),tblFleet[[#This Row],[Available_h]]/tblFleet[[#This Row],[Calendar_h]],"")</f>
        <v/>
      </c>
      <c r="J2790" s="60">
        <f>IF(AND(tblFleet[[#This Row],[Units]]&lt;&gt;"",tblFleet[[#This Row],[Available_h]]&gt;0),tblFleet[[#This Row],[Operating_h]]/tblFleet[[#This Row],[Available_h]],"")</f>
        <v/>
      </c>
    </row>
    <row r="2791">
      <c r="A2791" s="54" t="n"/>
      <c r="B2791" s="61" t="n"/>
      <c r="C2791" s="62" t="n"/>
      <c r="D2791" s="57" t="n"/>
      <c r="E2791" s="57" t="n"/>
      <c r="F2791" s="58" t="n"/>
      <c r="G2791" s="66">
        <f>IF(tblFleet[[#This Row],[Units]]="","",tblFleet[[#This Row],[Units]]*24)</f>
        <v/>
      </c>
      <c r="H2791" s="66">
        <f>IF(tblFleet[[#This Row],[Units]]="","",tblFleet[[#This Row],[Calendar_h]]-tblFleet[[#This Row],[Down_h]])</f>
        <v/>
      </c>
      <c r="I2791" s="60">
        <f>IF(AND(tblFleet[[#This Row],[Units]]&lt;&gt;"",tblFleet[[#This Row],[Calendar_h]]&gt;0),tblFleet[[#This Row],[Available_h]]/tblFleet[[#This Row],[Calendar_h]],"")</f>
        <v/>
      </c>
      <c r="J2791" s="60">
        <f>IF(AND(tblFleet[[#This Row],[Units]]&lt;&gt;"",tblFleet[[#This Row],[Available_h]]&gt;0),tblFleet[[#This Row],[Operating_h]]/tblFleet[[#This Row],[Available_h]],"")</f>
        <v/>
      </c>
    </row>
    <row r="2792">
      <c r="A2792" s="54" t="n"/>
      <c r="B2792" s="61" t="n"/>
      <c r="C2792" s="62" t="n"/>
      <c r="D2792" s="57" t="n"/>
      <c r="E2792" s="57" t="n"/>
      <c r="F2792" s="58" t="n"/>
      <c r="G2792" s="66">
        <f>IF(tblFleet[[#This Row],[Units]]="","",tblFleet[[#This Row],[Units]]*24)</f>
        <v/>
      </c>
      <c r="H2792" s="66">
        <f>IF(tblFleet[[#This Row],[Units]]="","",tblFleet[[#This Row],[Calendar_h]]-tblFleet[[#This Row],[Down_h]])</f>
        <v/>
      </c>
      <c r="I2792" s="60">
        <f>IF(AND(tblFleet[[#This Row],[Units]]&lt;&gt;"",tblFleet[[#This Row],[Calendar_h]]&gt;0),tblFleet[[#This Row],[Available_h]]/tblFleet[[#This Row],[Calendar_h]],"")</f>
        <v/>
      </c>
      <c r="J2792" s="60">
        <f>IF(AND(tblFleet[[#This Row],[Units]]&lt;&gt;"",tblFleet[[#This Row],[Available_h]]&gt;0),tblFleet[[#This Row],[Operating_h]]/tblFleet[[#This Row],[Available_h]],"")</f>
        <v/>
      </c>
    </row>
    <row r="2793">
      <c r="A2793" s="54" t="n"/>
      <c r="B2793" s="61" t="n"/>
      <c r="C2793" s="62" t="n"/>
      <c r="D2793" s="57" t="n"/>
      <c r="E2793" s="57" t="n"/>
      <c r="F2793" s="58" t="n"/>
      <c r="G2793" s="66">
        <f>IF(tblFleet[[#This Row],[Units]]="","",tblFleet[[#This Row],[Units]]*24)</f>
        <v/>
      </c>
      <c r="H2793" s="66">
        <f>IF(tblFleet[[#This Row],[Units]]="","",tblFleet[[#This Row],[Calendar_h]]-tblFleet[[#This Row],[Down_h]])</f>
        <v/>
      </c>
      <c r="I2793" s="60">
        <f>IF(AND(tblFleet[[#This Row],[Units]]&lt;&gt;"",tblFleet[[#This Row],[Calendar_h]]&gt;0),tblFleet[[#This Row],[Available_h]]/tblFleet[[#This Row],[Calendar_h]],"")</f>
        <v/>
      </c>
      <c r="J2793" s="60">
        <f>IF(AND(tblFleet[[#This Row],[Units]]&lt;&gt;"",tblFleet[[#This Row],[Available_h]]&gt;0),tblFleet[[#This Row],[Operating_h]]/tblFleet[[#This Row],[Available_h]],"")</f>
        <v/>
      </c>
    </row>
    <row r="2794">
      <c r="A2794" s="54" t="n"/>
      <c r="B2794" s="61" t="n"/>
      <c r="C2794" s="62" t="n"/>
      <c r="D2794" s="57" t="n"/>
      <c r="E2794" s="57" t="n"/>
      <c r="F2794" s="58" t="n"/>
      <c r="G2794" s="66">
        <f>IF(tblFleet[[#This Row],[Units]]="","",tblFleet[[#This Row],[Units]]*24)</f>
        <v/>
      </c>
      <c r="H2794" s="66">
        <f>IF(tblFleet[[#This Row],[Units]]="","",tblFleet[[#This Row],[Calendar_h]]-tblFleet[[#This Row],[Down_h]])</f>
        <v/>
      </c>
      <c r="I2794" s="60">
        <f>IF(AND(tblFleet[[#This Row],[Units]]&lt;&gt;"",tblFleet[[#This Row],[Calendar_h]]&gt;0),tblFleet[[#This Row],[Available_h]]/tblFleet[[#This Row],[Calendar_h]],"")</f>
        <v/>
      </c>
      <c r="J2794" s="60">
        <f>IF(AND(tblFleet[[#This Row],[Units]]&lt;&gt;"",tblFleet[[#This Row],[Available_h]]&gt;0),tblFleet[[#This Row],[Operating_h]]/tblFleet[[#This Row],[Available_h]],"")</f>
        <v/>
      </c>
    </row>
    <row r="2795">
      <c r="A2795" s="54" t="n"/>
      <c r="B2795" s="61" t="n"/>
      <c r="C2795" s="62" t="n"/>
      <c r="D2795" s="57" t="n"/>
      <c r="E2795" s="57" t="n"/>
      <c r="F2795" s="58" t="n"/>
      <c r="G2795" s="66">
        <f>IF(tblFleet[[#This Row],[Units]]="","",tblFleet[[#This Row],[Units]]*24)</f>
        <v/>
      </c>
      <c r="H2795" s="66">
        <f>IF(tblFleet[[#This Row],[Units]]="","",tblFleet[[#This Row],[Calendar_h]]-tblFleet[[#This Row],[Down_h]])</f>
        <v/>
      </c>
      <c r="I2795" s="60">
        <f>IF(AND(tblFleet[[#This Row],[Units]]&lt;&gt;"",tblFleet[[#This Row],[Calendar_h]]&gt;0),tblFleet[[#This Row],[Available_h]]/tblFleet[[#This Row],[Calendar_h]],"")</f>
        <v/>
      </c>
      <c r="J2795" s="60">
        <f>IF(AND(tblFleet[[#This Row],[Units]]&lt;&gt;"",tblFleet[[#This Row],[Available_h]]&gt;0),tblFleet[[#This Row],[Operating_h]]/tblFleet[[#This Row],[Available_h]],"")</f>
        <v/>
      </c>
    </row>
    <row r="2796">
      <c r="A2796" s="54" t="n"/>
      <c r="B2796" s="61" t="n"/>
      <c r="C2796" s="62" t="n"/>
      <c r="D2796" s="57" t="n"/>
      <c r="E2796" s="57" t="n"/>
      <c r="F2796" s="58" t="n"/>
      <c r="G2796" s="66">
        <f>IF(tblFleet[[#This Row],[Units]]="","",tblFleet[[#This Row],[Units]]*24)</f>
        <v/>
      </c>
      <c r="H2796" s="66">
        <f>IF(tblFleet[[#This Row],[Units]]="","",tblFleet[[#This Row],[Calendar_h]]-tblFleet[[#This Row],[Down_h]])</f>
        <v/>
      </c>
      <c r="I2796" s="60">
        <f>IF(AND(tblFleet[[#This Row],[Units]]&lt;&gt;"",tblFleet[[#This Row],[Calendar_h]]&gt;0),tblFleet[[#This Row],[Available_h]]/tblFleet[[#This Row],[Calendar_h]],"")</f>
        <v/>
      </c>
      <c r="J2796" s="60">
        <f>IF(AND(tblFleet[[#This Row],[Units]]&lt;&gt;"",tblFleet[[#This Row],[Available_h]]&gt;0),tblFleet[[#This Row],[Operating_h]]/tblFleet[[#This Row],[Available_h]],"")</f>
        <v/>
      </c>
    </row>
    <row r="2797">
      <c r="A2797" s="54" t="n"/>
      <c r="B2797" s="61" t="n"/>
      <c r="C2797" s="62" t="n"/>
      <c r="D2797" s="57" t="n"/>
      <c r="E2797" s="57" t="n"/>
      <c r="F2797" s="58" t="n"/>
      <c r="G2797" s="66">
        <f>IF(tblFleet[[#This Row],[Units]]="","",tblFleet[[#This Row],[Units]]*24)</f>
        <v/>
      </c>
      <c r="H2797" s="66">
        <f>IF(tblFleet[[#This Row],[Units]]="","",tblFleet[[#This Row],[Calendar_h]]-tblFleet[[#This Row],[Down_h]])</f>
        <v/>
      </c>
      <c r="I2797" s="60">
        <f>IF(AND(tblFleet[[#This Row],[Units]]&lt;&gt;"",tblFleet[[#This Row],[Calendar_h]]&gt;0),tblFleet[[#This Row],[Available_h]]/tblFleet[[#This Row],[Calendar_h]],"")</f>
        <v/>
      </c>
      <c r="J2797" s="60">
        <f>IF(AND(tblFleet[[#This Row],[Units]]&lt;&gt;"",tblFleet[[#This Row],[Available_h]]&gt;0),tblFleet[[#This Row],[Operating_h]]/tblFleet[[#This Row],[Available_h]],"")</f>
        <v/>
      </c>
    </row>
    <row r="2798">
      <c r="A2798" s="54" t="n"/>
      <c r="B2798" s="61" t="n"/>
      <c r="C2798" s="62" t="n"/>
      <c r="D2798" s="57" t="n"/>
      <c r="E2798" s="57" t="n"/>
      <c r="F2798" s="58" t="n"/>
      <c r="G2798" s="66">
        <f>IF(tblFleet[[#This Row],[Units]]="","",tblFleet[[#This Row],[Units]]*24)</f>
        <v/>
      </c>
      <c r="H2798" s="66">
        <f>IF(tblFleet[[#This Row],[Units]]="","",tblFleet[[#This Row],[Calendar_h]]-tblFleet[[#This Row],[Down_h]])</f>
        <v/>
      </c>
      <c r="I2798" s="60">
        <f>IF(AND(tblFleet[[#This Row],[Units]]&lt;&gt;"",tblFleet[[#This Row],[Calendar_h]]&gt;0),tblFleet[[#This Row],[Available_h]]/tblFleet[[#This Row],[Calendar_h]],"")</f>
        <v/>
      </c>
      <c r="J2798" s="60">
        <f>IF(AND(tblFleet[[#This Row],[Units]]&lt;&gt;"",tblFleet[[#This Row],[Available_h]]&gt;0),tblFleet[[#This Row],[Operating_h]]/tblFleet[[#This Row],[Available_h]],"")</f>
        <v/>
      </c>
    </row>
    <row r="2799">
      <c r="A2799" s="54" t="n"/>
      <c r="B2799" s="61" t="n"/>
      <c r="C2799" s="62" t="n"/>
      <c r="D2799" s="57" t="n"/>
      <c r="E2799" s="57" t="n"/>
      <c r="F2799" s="58" t="n"/>
      <c r="G2799" s="66">
        <f>IF(tblFleet[[#This Row],[Units]]="","",tblFleet[[#This Row],[Units]]*24)</f>
        <v/>
      </c>
      <c r="H2799" s="66">
        <f>IF(tblFleet[[#This Row],[Units]]="","",tblFleet[[#This Row],[Calendar_h]]-tblFleet[[#This Row],[Down_h]])</f>
        <v/>
      </c>
      <c r="I2799" s="60">
        <f>IF(AND(tblFleet[[#This Row],[Units]]&lt;&gt;"",tblFleet[[#This Row],[Calendar_h]]&gt;0),tblFleet[[#This Row],[Available_h]]/tblFleet[[#This Row],[Calendar_h]],"")</f>
        <v/>
      </c>
      <c r="J2799" s="60">
        <f>IF(AND(tblFleet[[#This Row],[Units]]&lt;&gt;"",tblFleet[[#This Row],[Available_h]]&gt;0),tblFleet[[#This Row],[Operating_h]]/tblFleet[[#This Row],[Available_h]],"")</f>
        <v/>
      </c>
    </row>
    <row r="2800">
      <c r="A2800" s="54" t="n"/>
      <c r="B2800" s="61" t="n"/>
      <c r="C2800" s="62" t="n"/>
      <c r="D2800" s="57" t="n"/>
      <c r="E2800" s="57" t="n"/>
      <c r="F2800" s="58" t="n"/>
      <c r="G2800" s="66">
        <f>IF(tblFleet[[#This Row],[Units]]="","",tblFleet[[#This Row],[Units]]*24)</f>
        <v/>
      </c>
      <c r="H2800" s="66">
        <f>IF(tblFleet[[#This Row],[Units]]="","",tblFleet[[#This Row],[Calendar_h]]-tblFleet[[#This Row],[Down_h]])</f>
        <v/>
      </c>
      <c r="I2800" s="60">
        <f>IF(AND(tblFleet[[#This Row],[Units]]&lt;&gt;"",tblFleet[[#This Row],[Calendar_h]]&gt;0),tblFleet[[#This Row],[Available_h]]/tblFleet[[#This Row],[Calendar_h]],"")</f>
        <v/>
      </c>
      <c r="J2800" s="60">
        <f>IF(AND(tblFleet[[#This Row],[Units]]&lt;&gt;"",tblFleet[[#This Row],[Available_h]]&gt;0),tblFleet[[#This Row],[Operating_h]]/tblFleet[[#This Row],[Available_h]],"")</f>
        <v/>
      </c>
    </row>
    <row r="2801">
      <c r="A2801" s="54" t="n"/>
      <c r="B2801" s="61" t="n"/>
      <c r="C2801" s="62" t="n"/>
      <c r="D2801" s="57" t="n"/>
      <c r="E2801" s="57" t="n"/>
      <c r="F2801" s="58" t="n"/>
      <c r="G2801" s="66">
        <f>IF(tblFleet[[#This Row],[Units]]="","",tblFleet[[#This Row],[Units]]*24)</f>
        <v/>
      </c>
      <c r="H2801" s="66">
        <f>IF(tblFleet[[#This Row],[Units]]="","",tblFleet[[#This Row],[Calendar_h]]-tblFleet[[#This Row],[Down_h]])</f>
        <v/>
      </c>
      <c r="I2801" s="60">
        <f>IF(AND(tblFleet[[#This Row],[Units]]&lt;&gt;"",tblFleet[[#This Row],[Calendar_h]]&gt;0),tblFleet[[#This Row],[Available_h]]/tblFleet[[#This Row],[Calendar_h]],"")</f>
        <v/>
      </c>
      <c r="J2801" s="60">
        <f>IF(AND(tblFleet[[#This Row],[Units]]&lt;&gt;"",tblFleet[[#This Row],[Available_h]]&gt;0),tblFleet[[#This Row],[Operating_h]]/tblFleet[[#This Row],[Available_h]],"")</f>
        <v/>
      </c>
    </row>
    <row r="2802">
      <c r="A2802" s="54" t="n"/>
      <c r="B2802" s="61" t="n"/>
      <c r="C2802" s="62" t="n"/>
      <c r="D2802" s="57" t="n"/>
      <c r="E2802" s="57" t="n"/>
      <c r="F2802" s="58" t="n"/>
      <c r="G2802" s="66">
        <f>IF(tblFleet[[#This Row],[Units]]="","",tblFleet[[#This Row],[Units]]*24)</f>
        <v/>
      </c>
      <c r="H2802" s="66">
        <f>IF(tblFleet[[#This Row],[Units]]="","",tblFleet[[#This Row],[Calendar_h]]-tblFleet[[#This Row],[Down_h]])</f>
        <v/>
      </c>
      <c r="I2802" s="60">
        <f>IF(AND(tblFleet[[#This Row],[Units]]&lt;&gt;"",tblFleet[[#This Row],[Calendar_h]]&gt;0),tblFleet[[#This Row],[Available_h]]/tblFleet[[#This Row],[Calendar_h]],"")</f>
        <v/>
      </c>
      <c r="J2802" s="60">
        <f>IF(AND(tblFleet[[#This Row],[Units]]&lt;&gt;"",tblFleet[[#This Row],[Available_h]]&gt;0),tblFleet[[#This Row],[Operating_h]]/tblFleet[[#This Row],[Available_h]],"")</f>
        <v/>
      </c>
    </row>
    <row r="2803">
      <c r="A2803" s="54" t="n"/>
      <c r="B2803" s="61" t="n"/>
      <c r="C2803" s="62" t="n"/>
      <c r="D2803" s="57" t="n"/>
      <c r="E2803" s="57" t="n"/>
      <c r="F2803" s="58" t="n"/>
      <c r="G2803" s="66">
        <f>IF(tblFleet[[#This Row],[Units]]="","",tblFleet[[#This Row],[Units]]*24)</f>
        <v/>
      </c>
      <c r="H2803" s="66">
        <f>IF(tblFleet[[#This Row],[Units]]="","",tblFleet[[#This Row],[Calendar_h]]-tblFleet[[#This Row],[Down_h]])</f>
        <v/>
      </c>
      <c r="I2803" s="60">
        <f>IF(AND(tblFleet[[#This Row],[Units]]&lt;&gt;"",tblFleet[[#This Row],[Calendar_h]]&gt;0),tblFleet[[#This Row],[Available_h]]/tblFleet[[#This Row],[Calendar_h]],"")</f>
        <v/>
      </c>
      <c r="J2803" s="60">
        <f>IF(AND(tblFleet[[#This Row],[Units]]&lt;&gt;"",tblFleet[[#This Row],[Available_h]]&gt;0),tblFleet[[#This Row],[Operating_h]]/tblFleet[[#This Row],[Available_h]],"")</f>
        <v/>
      </c>
    </row>
    <row r="2804">
      <c r="A2804" s="54" t="n"/>
      <c r="B2804" s="61" t="n"/>
      <c r="C2804" s="62" t="n"/>
      <c r="D2804" s="57" t="n"/>
      <c r="E2804" s="57" t="n"/>
      <c r="F2804" s="58" t="n"/>
      <c r="G2804" s="66">
        <f>IF(tblFleet[[#This Row],[Units]]="","",tblFleet[[#This Row],[Units]]*24)</f>
        <v/>
      </c>
      <c r="H2804" s="66">
        <f>IF(tblFleet[[#This Row],[Units]]="","",tblFleet[[#This Row],[Calendar_h]]-tblFleet[[#This Row],[Down_h]])</f>
        <v/>
      </c>
      <c r="I2804" s="60">
        <f>IF(AND(tblFleet[[#This Row],[Units]]&lt;&gt;"",tblFleet[[#This Row],[Calendar_h]]&gt;0),tblFleet[[#This Row],[Available_h]]/tblFleet[[#This Row],[Calendar_h]],"")</f>
        <v/>
      </c>
      <c r="J2804" s="60">
        <f>IF(AND(tblFleet[[#This Row],[Units]]&lt;&gt;"",tblFleet[[#This Row],[Available_h]]&gt;0),tblFleet[[#This Row],[Operating_h]]/tblFleet[[#This Row],[Available_h]],"")</f>
        <v/>
      </c>
    </row>
    <row r="2805">
      <c r="A2805" s="54" t="n"/>
      <c r="B2805" s="61" t="n"/>
      <c r="C2805" s="62" t="n"/>
      <c r="D2805" s="57" t="n"/>
      <c r="E2805" s="57" t="n"/>
      <c r="F2805" s="58" t="n"/>
      <c r="G2805" s="66">
        <f>IF(tblFleet[[#This Row],[Units]]="","",tblFleet[[#This Row],[Units]]*24)</f>
        <v/>
      </c>
      <c r="H2805" s="66">
        <f>IF(tblFleet[[#This Row],[Units]]="","",tblFleet[[#This Row],[Calendar_h]]-tblFleet[[#This Row],[Down_h]])</f>
        <v/>
      </c>
      <c r="I2805" s="60">
        <f>IF(AND(tblFleet[[#This Row],[Units]]&lt;&gt;"",tblFleet[[#This Row],[Calendar_h]]&gt;0),tblFleet[[#This Row],[Available_h]]/tblFleet[[#This Row],[Calendar_h]],"")</f>
        <v/>
      </c>
      <c r="J2805" s="60">
        <f>IF(AND(tblFleet[[#This Row],[Units]]&lt;&gt;"",tblFleet[[#This Row],[Available_h]]&gt;0),tblFleet[[#This Row],[Operating_h]]/tblFleet[[#This Row],[Available_h]],"")</f>
        <v/>
      </c>
    </row>
    <row r="2806">
      <c r="A2806" s="54" t="n"/>
      <c r="B2806" s="61" t="n"/>
      <c r="C2806" s="62" t="n"/>
      <c r="D2806" s="57" t="n"/>
      <c r="E2806" s="57" t="n"/>
      <c r="F2806" s="58" t="n"/>
      <c r="G2806" s="66">
        <f>IF(tblFleet[[#This Row],[Units]]="","",tblFleet[[#This Row],[Units]]*24)</f>
        <v/>
      </c>
      <c r="H2806" s="66">
        <f>IF(tblFleet[[#This Row],[Units]]="","",tblFleet[[#This Row],[Calendar_h]]-tblFleet[[#This Row],[Down_h]])</f>
        <v/>
      </c>
      <c r="I2806" s="60">
        <f>IF(AND(tblFleet[[#This Row],[Units]]&lt;&gt;"",tblFleet[[#This Row],[Calendar_h]]&gt;0),tblFleet[[#This Row],[Available_h]]/tblFleet[[#This Row],[Calendar_h]],"")</f>
        <v/>
      </c>
      <c r="J2806" s="60">
        <f>IF(AND(tblFleet[[#This Row],[Units]]&lt;&gt;"",tblFleet[[#This Row],[Available_h]]&gt;0),tblFleet[[#This Row],[Operating_h]]/tblFleet[[#This Row],[Available_h]],"")</f>
        <v/>
      </c>
    </row>
    <row r="2807">
      <c r="A2807" s="54" t="n"/>
      <c r="B2807" s="61" t="n"/>
      <c r="C2807" s="62" t="n"/>
      <c r="D2807" s="57" t="n"/>
      <c r="E2807" s="57" t="n"/>
      <c r="F2807" s="58" t="n"/>
      <c r="G2807" s="66">
        <f>IF(tblFleet[[#This Row],[Units]]="","",tblFleet[[#This Row],[Units]]*24)</f>
        <v/>
      </c>
      <c r="H2807" s="66">
        <f>IF(tblFleet[[#This Row],[Units]]="","",tblFleet[[#This Row],[Calendar_h]]-tblFleet[[#This Row],[Down_h]])</f>
        <v/>
      </c>
      <c r="I2807" s="60">
        <f>IF(AND(tblFleet[[#This Row],[Units]]&lt;&gt;"",tblFleet[[#This Row],[Calendar_h]]&gt;0),tblFleet[[#This Row],[Available_h]]/tblFleet[[#This Row],[Calendar_h]],"")</f>
        <v/>
      </c>
      <c r="J2807" s="60">
        <f>IF(AND(tblFleet[[#This Row],[Units]]&lt;&gt;"",tblFleet[[#This Row],[Available_h]]&gt;0),tblFleet[[#This Row],[Operating_h]]/tblFleet[[#This Row],[Available_h]],"")</f>
        <v/>
      </c>
    </row>
    <row r="2808">
      <c r="A2808" s="54" t="n"/>
      <c r="B2808" s="61" t="n"/>
      <c r="C2808" s="62" t="n"/>
      <c r="D2808" s="57" t="n"/>
      <c r="E2808" s="57" t="n"/>
      <c r="F2808" s="58" t="n"/>
      <c r="G2808" s="66">
        <f>IF(tblFleet[[#This Row],[Units]]="","",tblFleet[[#This Row],[Units]]*24)</f>
        <v/>
      </c>
      <c r="H2808" s="66">
        <f>IF(tblFleet[[#This Row],[Units]]="","",tblFleet[[#This Row],[Calendar_h]]-tblFleet[[#This Row],[Down_h]])</f>
        <v/>
      </c>
      <c r="I2808" s="60">
        <f>IF(AND(tblFleet[[#This Row],[Units]]&lt;&gt;"",tblFleet[[#This Row],[Calendar_h]]&gt;0),tblFleet[[#This Row],[Available_h]]/tblFleet[[#This Row],[Calendar_h]],"")</f>
        <v/>
      </c>
      <c r="J2808" s="60">
        <f>IF(AND(tblFleet[[#This Row],[Units]]&lt;&gt;"",tblFleet[[#This Row],[Available_h]]&gt;0),tblFleet[[#This Row],[Operating_h]]/tblFleet[[#This Row],[Available_h]],"")</f>
        <v/>
      </c>
    </row>
    <row r="2809">
      <c r="A2809" s="54" t="n"/>
      <c r="B2809" s="61" t="n"/>
      <c r="C2809" s="62" t="n"/>
      <c r="D2809" s="57" t="n"/>
      <c r="E2809" s="57" t="n"/>
      <c r="F2809" s="58" t="n"/>
      <c r="G2809" s="66">
        <f>IF(tblFleet[[#This Row],[Units]]="","",tblFleet[[#This Row],[Units]]*24)</f>
        <v/>
      </c>
      <c r="H2809" s="66">
        <f>IF(tblFleet[[#This Row],[Units]]="","",tblFleet[[#This Row],[Calendar_h]]-tblFleet[[#This Row],[Down_h]])</f>
        <v/>
      </c>
      <c r="I2809" s="60">
        <f>IF(AND(tblFleet[[#This Row],[Units]]&lt;&gt;"",tblFleet[[#This Row],[Calendar_h]]&gt;0),tblFleet[[#This Row],[Available_h]]/tblFleet[[#This Row],[Calendar_h]],"")</f>
        <v/>
      </c>
      <c r="J2809" s="60">
        <f>IF(AND(tblFleet[[#This Row],[Units]]&lt;&gt;"",tblFleet[[#This Row],[Available_h]]&gt;0),tblFleet[[#This Row],[Operating_h]]/tblFleet[[#This Row],[Available_h]],"")</f>
        <v/>
      </c>
    </row>
    <row r="2810">
      <c r="A2810" s="54" t="n"/>
      <c r="B2810" s="61" t="n"/>
      <c r="C2810" s="62" t="n"/>
      <c r="D2810" s="57" t="n"/>
      <c r="E2810" s="57" t="n"/>
      <c r="F2810" s="58" t="n"/>
      <c r="G2810" s="66">
        <f>IF(tblFleet[[#This Row],[Units]]="","",tblFleet[[#This Row],[Units]]*24)</f>
        <v/>
      </c>
      <c r="H2810" s="66">
        <f>IF(tblFleet[[#This Row],[Units]]="","",tblFleet[[#This Row],[Calendar_h]]-tblFleet[[#This Row],[Down_h]])</f>
        <v/>
      </c>
      <c r="I2810" s="60">
        <f>IF(AND(tblFleet[[#This Row],[Units]]&lt;&gt;"",tblFleet[[#This Row],[Calendar_h]]&gt;0),tblFleet[[#This Row],[Available_h]]/tblFleet[[#This Row],[Calendar_h]],"")</f>
        <v/>
      </c>
      <c r="J2810" s="60">
        <f>IF(AND(tblFleet[[#This Row],[Units]]&lt;&gt;"",tblFleet[[#This Row],[Available_h]]&gt;0),tblFleet[[#This Row],[Operating_h]]/tblFleet[[#This Row],[Available_h]],"")</f>
        <v/>
      </c>
    </row>
    <row r="2811">
      <c r="A2811" s="54" t="n"/>
      <c r="B2811" s="61" t="n"/>
      <c r="C2811" s="62" t="n"/>
      <c r="D2811" s="57" t="n"/>
      <c r="E2811" s="57" t="n"/>
      <c r="F2811" s="58" t="n"/>
      <c r="G2811" s="66">
        <f>IF(tblFleet[[#This Row],[Units]]="","",tblFleet[[#This Row],[Units]]*24)</f>
        <v/>
      </c>
      <c r="H2811" s="66">
        <f>IF(tblFleet[[#This Row],[Units]]="","",tblFleet[[#This Row],[Calendar_h]]-tblFleet[[#This Row],[Down_h]])</f>
        <v/>
      </c>
      <c r="I2811" s="60">
        <f>IF(AND(tblFleet[[#This Row],[Units]]&lt;&gt;"",tblFleet[[#This Row],[Calendar_h]]&gt;0),tblFleet[[#This Row],[Available_h]]/tblFleet[[#This Row],[Calendar_h]],"")</f>
        <v/>
      </c>
      <c r="J2811" s="60">
        <f>IF(AND(tblFleet[[#This Row],[Units]]&lt;&gt;"",tblFleet[[#This Row],[Available_h]]&gt;0),tblFleet[[#This Row],[Operating_h]]/tblFleet[[#This Row],[Available_h]],"")</f>
        <v/>
      </c>
    </row>
    <row r="2812">
      <c r="A2812" s="54" t="n"/>
      <c r="B2812" s="61" t="n"/>
      <c r="C2812" s="62" t="n"/>
      <c r="D2812" s="57" t="n"/>
      <c r="E2812" s="57" t="n"/>
      <c r="F2812" s="58" t="n"/>
      <c r="G2812" s="66">
        <f>IF(tblFleet[[#This Row],[Units]]="","",tblFleet[[#This Row],[Units]]*24)</f>
        <v/>
      </c>
      <c r="H2812" s="66">
        <f>IF(tblFleet[[#This Row],[Units]]="","",tblFleet[[#This Row],[Calendar_h]]-tblFleet[[#This Row],[Down_h]])</f>
        <v/>
      </c>
      <c r="I2812" s="60">
        <f>IF(AND(tblFleet[[#This Row],[Units]]&lt;&gt;"",tblFleet[[#This Row],[Calendar_h]]&gt;0),tblFleet[[#This Row],[Available_h]]/tblFleet[[#This Row],[Calendar_h]],"")</f>
        <v/>
      </c>
      <c r="J2812" s="60">
        <f>IF(AND(tblFleet[[#This Row],[Units]]&lt;&gt;"",tblFleet[[#This Row],[Available_h]]&gt;0),tblFleet[[#This Row],[Operating_h]]/tblFleet[[#This Row],[Available_h]],"")</f>
        <v/>
      </c>
    </row>
    <row r="2813">
      <c r="A2813" s="54" t="n"/>
      <c r="B2813" s="61" t="n"/>
      <c r="C2813" s="62" t="n"/>
      <c r="D2813" s="57" t="n"/>
      <c r="E2813" s="57" t="n"/>
      <c r="F2813" s="58" t="n"/>
      <c r="G2813" s="66">
        <f>IF(tblFleet[[#This Row],[Units]]="","",tblFleet[[#This Row],[Units]]*24)</f>
        <v/>
      </c>
      <c r="H2813" s="66">
        <f>IF(tblFleet[[#This Row],[Units]]="","",tblFleet[[#This Row],[Calendar_h]]-tblFleet[[#This Row],[Down_h]])</f>
        <v/>
      </c>
      <c r="I2813" s="60">
        <f>IF(AND(tblFleet[[#This Row],[Units]]&lt;&gt;"",tblFleet[[#This Row],[Calendar_h]]&gt;0),tblFleet[[#This Row],[Available_h]]/tblFleet[[#This Row],[Calendar_h]],"")</f>
        <v/>
      </c>
      <c r="J2813" s="60">
        <f>IF(AND(tblFleet[[#This Row],[Units]]&lt;&gt;"",tblFleet[[#This Row],[Available_h]]&gt;0),tblFleet[[#This Row],[Operating_h]]/tblFleet[[#This Row],[Available_h]],"")</f>
        <v/>
      </c>
    </row>
    <row r="2814">
      <c r="A2814" s="54" t="n"/>
      <c r="B2814" s="61" t="n"/>
      <c r="C2814" s="62" t="n"/>
      <c r="D2814" s="57" t="n"/>
      <c r="E2814" s="57" t="n"/>
      <c r="F2814" s="58" t="n"/>
      <c r="G2814" s="66">
        <f>IF(tblFleet[[#This Row],[Units]]="","",tblFleet[[#This Row],[Units]]*24)</f>
        <v/>
      </c>
      <c r="H2814" s="66">
        <f>IF(tblFleet[[#This Row],[Units]]="","",tblFleet[[#This Row],[Calendar_h]]-tblFleet[[#This Row],[Down_h]])</f>
        <v/>
      </c>
      <c r="I2814" s="60">
        <f>IF(AND(tblFleet[[#This Row],[Units]]&lt;&gt;"",tblFleet[[#This Row],[Calendar_h]]&gt;0),tblFleet[[#This Row],[Available_h]]/tblFleet[[#This Row],[Calendar_h]],"")</f>
        <v/>
      </c>
      <c r="J2814" s="60">
        <f>IF(AND(tblFleet[[#This Row],[Units]]&lt;&gt;"",tblFleet[[#This Row],[Available_h]]&gt;0),tblFleet[[#This Row],[Operating_h]]/tblFleet[[#This Row],[Available_h]],"")</f>
        <v/>
      </c>
    </row>
    <row r="2815">
      <c r="A2815" s="54" t="n"/>
      <c r="B2815" s="61" t="n"/>
      <c r="C2815" s="62" t="n"/>
      <c r="D2815" s="57" t="n"/>
      <c r="E2815" s="57" t="n"/>
      <c r="F2815" s="58" t="n"/>
      <c r="G2815" s="66">
        <f>IF(tblFleet[[#This Row],[Units]]="","",tblFleet[[#This Row],[Units]]*24)</f>
        <v/>
      </c>
      <c r="H2815" s="66">
        <f>IF(tblFleet[[#This Row],[Units]]="","",tblFleet[[#This Row],[Calendar_h]]-tblFleet[[#This Row],[Down_h]])</f>
        <v/>
      </c>
      <c r="I2815" s="60">
        <f>IF(AND(tblFleet[[#This Row],[Units]]&lt;&gt;"",tblFleet[[#This Row],[Calendar_h]]&gt;0),tblFleet[[#This Row],[Available_h]]/tblFleet[[#This Row],[Calendar_h]],"")</f>
        <v/>
      </c>
      <c r="J2815" s="60">
        <f>IF(AND(tblFleet[[#This Row],[Units]]&lt;&gt;"",tblFleet[[#This Row],[Available_h]]&gt;0),tblFleet[[#This Row],[Operating_h]]/tblFleet[[#This Row],[Available_h]],"")</f>
        <v/>
      </c>
    </row>
    <row r="2816">
      <c r="A2816" s="54" t="n"/>
      <c r="B2816" s="61" t="n"/>
      <c r="C2816" s="62" t="n"/>
      <c r="D2816" s="57" t="n"/>
      <c r="E2816" s="57" t="n"/>
      <c r="F2816" s="58" t="n"/>
      <c r="G2816" s="66">
        <f>IF(tblFleet[[#This Row],[Units]]="","",tblFleet[[#This Row],[Units]]*24)</f>
        <v/>
      </c>
      <c r="H2816" s="66">
        <f>IF(tblFleet[[#This Row],[Units]]="","",tblFleet[[#This Row],[Calendar_h]]-tblFleet[[#This Row],[Down_h]])</f>
        <v/>
      </c>
      <c r="I2816" s="60">
        <f>IF(AND(tblFleet[[#This Row],[Units]]&lt;&gt;"",tblFleet[[#This Row],[Calendar_h]]&gt;0),tblFleet[[#This Row],[Available_h]]/tblFleet[[#This Row],[Calendar_h]],"")</f>
        <v/>
      </c>
      <c r="J2816" s="60">
        <f>IF(AND(tblFleet[[#This Row],[Units]]&lt;&gt;"",tblFleet[[#This Row],[Available_h]]&gt;0),tblFleet[[#This Row],[Operating_h]]/tblFleet[[#This Row],[Available_h]],"")</f>
        <v/>
      </c>
    </row>
    <row r="2817">
      <c r="A2817" s="54" t="n"/>
      <c r="B2817" s="61" t="n"/>
      <c r="C2817" s="62" t="n"/>
      <c r="D2817" s="57" t="n"/>
      <c r="E2817" s="57" t="n"/>
      <c r="F2817" s="58" t="n"/>
      <c r="G2817" s="66">
        <f>IF(tblFleet[[#This Row],[Units]]="","",tblFleet[[#This Row],[Units]]*24)</f>
        <v/>
      </c>
      <c r="H2817" s="66">
        <f>IF(tblFleet[[#This Row],[Units]]="","",tblFleet[[#This Row],[Calendar_h]]-tblFleet[[#This Row],[Down_h]])</f>
        <v/>
      </c>
      <c r="I2817" s="60">
        <f>IF(AND(tblFleet[[#This Row],[Units]]&lt;&gt;"",tblFleet[[#This Row],[Calendar_h]]&gt;0),tblFleet[[#This Row],[Available_h]]/tblFleet[[#This Row],[Calendar_h]],"")</f>
        <v/>
      </c>
      <c r="J2817" s="60">
        <f>IF(AND(tblFleet[[#This Row],[Units]]&lt;&gt;"",tblFleet[[#This Row],[Available_h]]&gt;0),tblFleet[[#This Row],[Operating_h]]/tblFleet[[#This Row],[Available_h]],"")</f>
        <v/>
      </c>
    </row>
    <row r="2818">
      <c r="A2818" s="54" t="n"/>
      <c r="B2818" s="61" t="n"/>
      <c r="C2818" s="62" t="n"/>
      <c r="D2818" s="57" t="n"/>
      <c r="E2818" s="57" t="n"/>
      <c r="F2818" s="58" t="n"/>
      <c r="G2818" s="66">
        <f>IF(tblFleet[[#This Row],[Units]]="","",tblFleet[[#This Row],[Units]]*24)</f>
        <v/>
      </c>
      <c r="H2818" s="66">
        <f>IF(tblFleet[[#This Row],[Units]]="","",tblFleet[[#This Row],[Calendar_h]]-tblFleet[[#This Row],[Down_h]])</f>
        <v/>
      </c>
      <c r="I2818" s="60">
        <f>IF(AND(tblFleet[[#This Row],[Units]]&lt;&gt;"",tblFleet[[#This Row],[Calendar_h]]&gt;0),tblFleet[[#This Row],[Available_h]]/tblFleet[[#This Row],[Calendar_h]],"")</f>
        <v/>
      </c>
      <c r="J2818" s="60">
        <f>IF(AND(tblFleet[[#This Row],[Units]]&lt;&gt;"",tblFleet[[#This Row],[Available_h]]&gt;0),tblFleet[[#This Row],[Operating_h]]/tblFleet[[#This Row],[Available_h]],"")</f>
        <v/>
      </c>
    </row>
    <row r="2819">
      <c r="A2819" s="54" t="n"/>
      <c r="B2819" s="61" t="n"/>
      <c r="C2819" s="62" t="n"/>
      <c r="D2819" s="57" t="n"/>
      <c r="E2819" s="57" t="n"/>
      <c r="F2819" s="58" t="n"/>
      <c r="G2819" s="66">
        <f>IF(tblFleet[[#This Row],[Units]]="","",tblFleet[[#This Row],[Units]]*24)</f>
        <v/>
      </c>
      <c r="H2819" s="66">
        <f>IF(tblFleet[[#This Row],[Units]]="","",tblFleet[[#This Row],[Calendar_h]]-tblFleet[[#This Row],[Down_h]])</f>
        <v/>
      </c>
      <c r="I2819" s="60">
        <f>IF(AND(tblFleet[[#This Row],[Units]]&lt;&gt;"",tblFleet[[#This Row],[Calendar_h]]&gt;0),tblFleet[[#This Row],[Available_h]]/tblFleet[[#This Row],[Calendar_h]],"")</f>
        <v/>
      </c>
      <c r="J2819" s="60">
        <f>IF(AND(tblFleet[[#This Row],[Units]]&lt;&gt;"",tblFleet[[#This Row],[Available_h]]&gt;0),tblFleet[[#This Row],[Operating_h]]/tblFleet[[#This Row],[Available_h]],"")</f>
        <v/>
      </c>
    </row>
    <row r="2820">
      <c r="A2820" s="54" t="n"/>
      <c r="B2820" s="61" t="n"/>
      <c r="C2820" s="62" t="n"/>
      <c r="D2820" s="57" t="n"/>
      <c r="E2820" s="57" t="n"/>
      <c r="F2820" s="58" t="n"/>
      <c r="G2820" s="66">
        <f>IF(tblFleet[[#This Row],[Units]]="","",tblFleet[[#This Row],[Units]]*24)</f>
        <v/>
      </c>
      <c r="H2820" s="66">
        <f>IF(tblFleet[[#This Row],[Units]]="","",tblFleet[[#This Row],[Calendar_h]]-tblFleet[[#This Row],[Down_h]])</f>
        <v/>
      </c>
      <c r="I2820" s="60">
        <f>IF(AND(tblFleet[[#This Row],[Units]]&lt;&gt;"",tblFleet[[#This Row],[Calendar_h]]&gt;0),tblFleet[[#This Row],[Available_h]]/tblFleet[[#This Row],[Calendar_h]],"")</f>
        <v/>
      </c>
      <c r="J2820" s="60">
        <f>IF(AND(tblFleet[[#This Row],[Units]]&lt;&gt;"",tblFleet[[#This Row],[Available_h]]&gt;0),tblFleet[[#This Row],[Operating_h]]/tblFleet[[#This Row],[Available_h]],"")</f>
        <v/>
      </c>
    </row>
    <row r="2821">
      <c r="A2821" s="54" t="n"/>
      <c r="B2821" s="61" t="n"/>
      <c r="C2821" s="62" t="n"/>
      <c r="D2821" s="57" t="n"/>
      <c r="E2821" s="57" t="n"/>
      <c r="F2821" s="58" t="n"/>
      <c r="G2821" s="66">
        <f>IF(tblFleet[[#This Row],[Units]]="","",tblFleet[[#This Row],[Units]]*24)</f>
        <v/>
      </c>
      <c r="H2821" s="66">
        <f>IF(tblFleet[[#This Row],[Units]]="","",tblFleet[[#This Row],[Calendar_h]]-tblFleet[[#This Row],[Down_h]])</f>
        <v/>
      </c>
      <c r="I2821" s="60">
        <f>IF(AND(tblFleet[[#This Row],[Units]]&lt;&gt;"",tblFleet[[#This Row],[Calendar_h]]&gt;0),tblFleet[[#This Row],[Available_h]]/tblFleet[[#This Row],[Calendar_h]],"")</f>
        <v/>
      </c>
      <c r="J2821" s="60">
        <f>IF(AND(tblFleet[[#This Row],[Units]]&lt;&gt;"",tblFleet[[#This Row],[Available_h]]&gt;0),tblFleet[[#This Row],[Operating_h]]/tblFleet[[#This Row],[Available_h]],"")</f>
        <v/>
      </c>
    </row>
    <row r="2822">
      <c r="A2822" s="54" t="n"/>
      <c r="B2822" s="61" t="n"/>
      <c r="C2822" s="62" t="n"/>
      <c r="D2822" s="57" t="n"/>
      <c r="E2822" s="57" t="n"/>
      <c r="F2822" s="58" t="n"/>
      <c r="G2822" s="66">
        <f>IF(tblFleet[[#This Row],[Units]]="","",tblFleet[[#This Row],[Units]]*24)</f>
        <v/>
      </c>
      <c r="H2822" s="66">
        <f>IF(tblFleet[[#This Row],[Units]]="","",tblFleet[[#This Row],[Calendar_h]]-tblFleet[[#This Row],[Down_h]])</f>
        <v/>
      </c>
      <c r="I2822" s="60">
        <f>IF(AND(tblFleet[[#This Row],[Units]]&lt;&gt;"",tblFleet[[#This Row],[Calendar_h]]&gt;0),tblFleet[[#This Row],[Available_h]]/tblFleet[[#This Row],[Calendar_h]],"")</f>
        <v/>
      </c>
      <c r="J2822" s="60">
        <f>IF(AND(tblFleet[[#This Row],[Units]]&lt;&gt;"",tblFleet[[#This Row],[Available_h]]&gt;0),tblFleet[[#This Row],[Operating_h]]/tblFleet[[#This Row],[Available_h]],"")</f>
        <v/>
      </c>
    </row>
    <row r="2823">
      <c r="A2823" s="54" t="n"/>
      <c r="B2823" s="61" t="n"/>
      <c r="C2823" s="62" t="n"/>
      <c r="D2823" s="57" t="n"/>
      <c r="E2823" s="57" t="n"/>
      <c r="F2823" s="58" t="n"/>
      <c r="G2823" s="66">
        <f>IF(tblFleet[[#This Row],[Units]]="","",tblFleet[[#This Row],[Units]]*24)</f>
        <v/>
      </c>
      <c r="H2823" s="66">
        <f>IF(tblFleet[[#This Row],[Units]]="","",tblFleet[[#This Row],[Calendar_h]]-tblFleet[[#This Row],[Down_h]])</f>
        <v/>
      </c>
      <c r="I2823" s="60">
        <f>IF(AND(tblFleet[[#This Row],[Units]]&lt;&gt;"",tblFleet[[#This Row],[Calendar_h]]&gt;0),tblFleet[[#This Row],[Available_h]]/tblFleet[[#This Row],[Calendar_h]],"")</f>
        <v/>
      </c>
      <c r="J2823" s="60">
        <f>IF(AND(tblFleet[[#This Row],[Units]]&lt;&gt;"",tblFleet[[#This Row],[Available_h]]&gt;0),tblFleet[[#This Row],[Operating_h]]/tblFleet[[#This Row],[Available_h]],"")</f>
        <v/>
      </c>
    </row>
    <row r="2824">
      <c r="A2824" s="54" t="n"/>
      <c r="B2824" s="61" t="n"/>
      <c r="C2824" s="62" t="n"/>
      <c r="D2824" s="57" t="n"/>
      <c r="E2824" s="57" t="n"/>
      <c r="F2824" s="58" t="n"/>
      <c r="G2824" s="66">
        <f>IF(tblFleet[[#This Row],[Units]]="","",tblFleet[[#This Row],[Units]]*24)</f>
        <v/>
      </c>
      <c r="H2824" s="66">
        <f>IF(tblFleet[[#This Row],[Units]]="","",tblFleet[[#This Row],[Calendar_h]]-tblFleet[[#This Row],[Down_h]])</f>
        <v/>
      </c>
      <c r="I2824" s="60">
        <f>IF(AND(tblFleet[[#This Row],[Units]]&lt;&gt;"",tblFleet[[#This Row],[Calendar_h]]&gt;0),tblFleet[[#This Row],[Available_h]]/tblFleet[[#This Row],[Calendar_h]],"")</f>
        <v/>
      </c>
      <c r="J2824" s="60">
        <f>IF(AND(tblFleet[[#This Row],[Units]]&lt;&gt;"",tblFleet[[#This Row],[Available_h]]&gt;0),tblFleet[[#This Row],[Operating_h]]/tblFleet[[#This Row],[Available_h]],"")</f>
        <v/>
      </c>
    </row>
    <row r="2825">
      <c r="A2825" s="54" t="n"/>
      <c r="B2825" s="61" t="n"/>
      <c r="C2825" s="62" t="n"/>
      <c r="D2825" s="57" t="n"/>
      <c r="E2825" s="57" t="n"/>
      <c r="F2825" s="58" t="n"/>
      <c r="G2825" s="66">
        <f>IF(tblFleet[[#This Row],[Units]]="","",tblFleet[[#This Row],[Units]]*24)</f>
        <v/>
      </c>
      <c r="H2825" s="66">
        <f>IF(tblFleet[[#This Row],[Units]]="","",tblFleet[[#This Row],[Calendar_h]]-tblFleet[[#This Row],[Down_h]])</f>
        <v/>
      </c>
      <c r="I2825" s="60">
        <f>IF(AND(tblFleet[[#This Row],[Units]]&lt;&gt;"",tblFleet[[#This Row],[Calendar_h]]&gt;0),tblFleet[[#This Row],[Available_h]]/tblFleet[[#This Row],[Calendar_h]],"")</f>
        <v/>
      </c>
      <c r="J2825" s="60">
        <f>IF(AND(tblFleet[[#This Row],[Units]]&lt;&gt;"",tblFleet[[#This Row],[Available_h]]&gt;0),tblFleet[[#This Row],[Operating_h]]/tblFleet[[#This Row],[Available_h]],"")</f>
        <v/>
      </c>
    </row>
    <row r="2826">
      <c r="A2826" s="54" t="n"/>
      <c r="B2826" s="61" t="n"/>
      <c r="C2826" s="62" t="n"/>
      <c r="D2826" s="57" t="n"/>
      <c r="E2826" s="57" t="n"/>
      <c r="F2826" s="58" t="n"/>
      <c r="G2826" s="66">
        <f>IF(tblFleet[[#This Row],[Units]]="","",tblFleet[[#This Row],[Units]]*24)</f>
        <v/>
      </c>
      <c r="H2826" s="66">
        <f>IF(tblFleet[[#This Row],[Units]]="","",tblFleet[[#This Row],[Calendar_h]]-tblFleet[[#This Row],[Down_h]])</f>
        <v/>
      </c>
      <c r="I2826" s="60">
        <f>IF(AND(tblFleet[[#This Row],[Units]]&lt;&gt;"",tblFleet[[#This Row],[Calendar_h]]&gt;0),tblFleet[[#This Row],[Available_h]]/tblFleet[[#This Row],[Calendar_h]],"")</f>
        <v/>
      </c>
      <c r="J2826" s="60">
        <f>IF(AND(tblFleet[[#This Row],[Units]]&lt;&gt;"",tblFleet[[#This Row],[Available_h]]&gt;0),tblFleet[[#This Row],[Operating_h]]/tblFleet[[#This Row],[Available_h]],"")</f>
        <v/>
      </c>
    </row>
    <row r="2827">
      <c r="A2827" s="54" t="n"/>
      <c r="B2827" s="61" t="n"/>
      <c r="C2827" s="62" t="n"/>
      <c r="D2827" s="57" t="n"/>
      <c r="E2827" s="57" t="n"/>
      <c r="F2827" s="58" t="n"/>
      <c r="G2827" s="66">
        <f>IF(tblFleet[[#This Row],[Units]]="","",tblFleet[[#This Row],[Units]]*24)</f>
        <v/>
      </c>
      <c r="H2827" s="66">
        <f>IF(tblFleet[[#This Row],[Units]]="","",tblFleet[[#This Row],[Calendar_h]]-tblFleet[[#This Row],[Down_h]])</f>
        <v/>
      </c>
      <c r="I2827" s="60">
        <f>IF(AND(tblFleet[[#This Row],[Units]]&lt;&gt;"",tblFleet[[#This Row],[Calendar_h]]&gt;0),tblFleet[[#This Row],[Available_h]]/tblFleet[[#This Row],[Calendar_h]],"")</f>
        <v/>
      </c>
      <c r="J2827" s="60">
        <f>IF(AND(tblFleet[[#This Row],[Units]]&lt;&gt;"",tblFleet[[#This Row],[Available_h]]&gt;0),tblFleet[[#This Row],[Operating_h]]/tblFleet[[#This Row],[Available_h]],"")</f>
        <v/>
      </c>
    </row>
    <row r="2828">
      <c r="A2828" s="54" t="n"/>
      <c r="B2828" s="61" t="n"/>
      <c r="C2828" s="62" t="n"/>
      <c r="D2828" s="57" t="n"/>
      <c r="E2828" s="57" t="n"/>
      <c r="F2828" s="58" t="n"/>
      <c r="G2828" s="66">
        <f>IF(tblFleet[[#This Row],[Units]]="","",tblFleet[[#This Row],[Units]]*24)</f>
        <v/>
      </c>
      <c r="H2828" s="66">
        <f>IF(tblFleet[[#This Row],[Units]]="","",tblFleet[[#This Row],[Calendar_h]]-tblFleet[[#This Row],[Down_h]])</f>
        <v/>
      </c>
      <c r="I2828" s="60">
        <f>IF(AND(tblFleet[[#This Row],[Units]]&lt;&gt;"",tblFleet[[#This Row],[Calendar_h]]&gt;0),tblFleet[[#This Row],[Available_h]]/tblFleet[[#This Row],[Calendar_h]],"")</f>
        <v/>
      </c>
      <c r="J2828" s="60">
        <f>IF(AND(tblFleet[[#This Row],[Units]]&lt;&gt;"",tblFleet[[#This Row],[Available_h]]&gt;0),tblFleet[[#This Row],[Operating_h]]/tblFleet[[#This Row],[Available_h]],"")</f>
        <v/>
      </c>
    </row>
    <row r="2829">
      <c r="A2829" s="54" t="n"/>
      <c r="B2829" s="61" t="n"/>
      <c r="C2829" s="62" t="n"/>
      <c r="D2829" s="57" t="n"/>
      <c r="E2829" s="57" t="n"/>
      <c r="F2829" s="58" t="n"/>
      <c r="G2829" s="66">
        <f>IF(tblFleet[[#This Row],[Units]]="","",tblFleet[[#This Row],[Units]]*24)</f>
        <v/>
      </c>
      <c r="H2829" s="66">
        <f>IF(tblFleet[[#This Row],[Units]]="","",tblFleet[[#This Row],[Calendar_h]]-tblFleet[[#This Row],[Down_h]])</f>
        <v/>
      </c>
      <c r="I2829" s="60">
        <f>IF(AND(tblFleet[[#This Row],[Units]]&lt;&gt;"",tblFleet[[#This Row],[Calendar_h]]&gt;0),tblFleet[[#This Row],[Available_h]]/tblFleet[[#This Row],[Calendar_h]],"")</f>
        <v/>
      </c>
      <c r="J2829" s="60">
        <f>IF(AND(tblFleet[[#This Row],[Units]]&lt;&gt;"",tblFleet[[#This Row],[Available_h]]&gt;0),tblFleet[[#This Row],[Operating_h]]/tblFleet[[#This Row],[Available_h]],"")</f>
        <v/>
      </c>
    </row>
    <row r="2830">
      <c r="A2830" s="54" t="n"/>
      <c r="B2830" s="61" t="n"/>
      <c r="C2830" s="62" t="n"/>
      <c r="D2830" s="57" t="n"/>
      <c r="E2830" s="57" t="n"/>
      <c r="F2830" s="58" t="n"/>
      <c r="G2830" s="66">
        <f>IF(tblFleet[[#This Row],[Units]]="","",tblFleet[[#This Row],[Units]]*24)</f>
        <v/>
      </c>
      <c r="H2830" s="66">
        <f>IF(tblFleet[[#This Row],[Units]]="","",tblFleet[[#This Row],[Calendar_h]]-tblFleet[[#This Row],[Down_h]])</f>
        <v/>
      </c>
      <c r="I2830" s="60">
        <f>IF(AND(tblFleet[[#This Row],[Units]]&lt;&gt;"",tblFleet[[#This Row],[Calendar_h]]&gt;0),tblFleet[[#This Row],[Available_h]]/tblFleet[[#This Row],[Calendar_h]],"")</f>
        <v/>
      </c>
      <c r="J2830" s="60">
        <f>IF(AND(tblFleet[[#This Row],[Units]]&lt;&gt;"",tblFleet[[#This Row],[Available_h]]&gt;0),tblFleet[[#This Row],[Operating_h]]/tblFleet[[#This Row],[Available_h]],"")</f>
        <v/>
      </c>
    </row>
    <row r="2831">
      <c r="A2831" s="54" t="n"/>
      <c r="B2831" s="61" t="n"/>
      <c r="C2831" s="62" t="n"/>
      <c r="D2831" s="57" t="n"/>
      <c r="E2831" s="57" t="n"/>
      <c r="F2831" s="58" t="n"/>
      <c r="G2831" s="66">
        <f>IF(tblFleet[[#This Row],[Units]]="","",tblFleet[[#This Row],[Units]]*24)</f>
        <v/>
      </c>
      <c r="H2831" s="66">
        <f>IF(tblFleet[[#This Row],[Units]]="","",tblFleet[[#This Row],[Calendar_h]]-tblFleet[[#This Row],[Down_h]])</f>
        <v/>
      </c>
      <c r="I2831" s="60">
        <f>IF(AND(tblFleet[[#This Row],[Units]]&lt;&gt;"",tblFleet[[#This Row],[Calendar_h]]&gt;0),tblFleet[[#This Row],[Available_h]]/tblFleet[[#This Row],[Calendar_h]],"")</f>
        <v/>
      </c>
      <c r="J2831" s="60">
        <f>IF(AND(tblFleet[[#This Row],[Units]]&lt;&gt;"",tblFleet[[#This Row],[Available_h]]&gt;0),tblFleet[[#This Row],[Operating_h]]/tblFleet[[#This Row],[Available_h]],"")</f>
        <v/>
      </c>
    </row>
    <row r="2832">
      <c r="A2832" s="54" t="n"/>
      <c r="B2832" s="61" t="n"/>
      <c r="C2832" s="62" t="n"/>
      <c r="D2832" s="57" t="n"/>
      <c r="E2832" s="57" t="n"/>
      <c r="F2832" s="58" t="n"/>
      <c r="G2832" s="66">
        <f>IF(tblFleet[[#This Row],[Units]]="","",tblFleet[[#This Row],[Units]]*24)</f>
        <v/>
      </c>
      <c r="H2832" s="66">
        <f>IF(tblFleet[[#This Row],[Units]]="","",tblFleet[[#This Row],[Calendar_h]]-tblFleet[[#This Row],[Down_h]])</f>
        <v/>
      </c>
      <c r="I2832" s="60">
        <f>IF(AND(tblFleet[[#This Row],[Units]]&lt;&gt;"",tblFleet[[#This Row],[Calendar_h]]&gt;0),tblFleet[[#This Row],[Available_h]]/tblFleet[[#This Row],[Calendar_h]],"")</f>
        <v/>
      </c>
      <c r="J2832" s="60">
        <f>IF(AND(tblFleet[[#This Row],[Units]]&lt;&gt;"",tblFleet[[#This Row],[Available_h]]&gt;0),tblFleet[[#This Row],[Operating_h]]/tblFleet[[#This Row],[Available_h]],"")</f>
        <v/>
      </c>
    </row>
    <row r="2833">
      <c r="A2833" s="54" t="n"/>
      <c r="B2833" s="61" t="n"/>
      <c r="C2833" s="62" t="n"/>
      <c r="D2833" s="57" t="n"/>
      <c r="E2833" s="57" t="n"/>
      <c r="F2833" s="58" t="n"/>
      <c r="G2833" s="66">
        <f>IF(tblFleet[[#This Row],[Units]]="","",tblFleet[[#This Row],[Units]]*24)</f>
        <v/>
      </c>
      <c r="H2833" s="66">
        <f>IF(tblFleet[[#This Row],[Units]]="","",tblFleet[[#This Row],[Calendar_h]]-tblFleet[[#This Row],[Down_h]])</f>
        <v/>
      </c>
      <c r="I2833" s="60">
        <f>IF(AND(tblFleet[[#This Row],[Units]]&lt;&gt;"",tblFleet[[#This Row],[Calendar_h]]&gt;0),tblFleet[[#This Row],[Available_h]]/tblFleet[[#This Row],[Calendar_h]],"")</f>
        <v/>
      </c>
      <c r="J2833" s="60">
        <f>IF(AND(tblFleet[[#This Row],[Units]]&lt;&gt;"",tblFleet[[#This Row],[Available_h]]&gt;0),tblFleet[[#This Row],[Operating_h]]/tblFleet[[#This Row],[Available_h]],"")</f>
        <v/>
      </c>
    </row>
    <row r="2834">
      <c r="A2834" s="54" t="n"/>
      <c r="B2834" s="61" t="n"/>
      <c r="C2834" s="62" t="n"/>
      <c r="D2834" s="57" t="n"/>
      <c r="E2834" s="57" t="n"/>
      <c r="F2834" s="58" t="n"/>
      <c r="G2834" s="66">
        <f>IF(tblFleet[[#This Row],[Units]]="","",tblFleet[[#This Row],[Units]]*24)</f>
        <v/>
      </c>
      <c r="H2834" s="66">
        <f>IF(tblFleet[[#This Row],[Units]]="","",tblFleet[[#This Row],[Calendar_h]]-tblFleet[[#This Row],[Down_h]])</f>
        <v/>
      </c>
      <c r="I2834" s="60">
        <f>IF(AND(tblFleet[[#This Row],[Units]]&lt;&gt;"",tblFleet[[#This Row],[Calendar_h]]&gt;0),tblFleet[[#This Row],[Available_h]]/tblFleet[[#This Row],[Calendar_h]],"")</f>
        <v/>
      </c>
      <c r="J2834" s="60">
        <f>IF(AND(tblFleet[[#This Row],[Units]]&lt;&gt;"",tblFleet[[#This Row],[Available_h]]&gt;0),tblFleet[[#This Row],[Operating_h]]/tblFleet[[#This Row],[Available_h]],"")</f>
        <v/>
      </c>
    </row>
    <row r="2835">
      <c r="A2835" s="54" t="n"/>
      <c r="B2835" s="61" t="n"/>
      <c r="C2835" s="62" t="n"/>
      <c r="D2835" s="57" t="n"/>
      <c r="E2835" s="57" t="n"/>
      <c r="F2835" s="58" t="n"/>
      <c r="G2835" s="66">
        <f>IF(tblFleet[[#This Row],[Units]]="","",tblFleet[[#This Row],[Units]]*24)</f>
        <v/>
      </c>
      <c r="H2835" s="66">
        <f>IF(tblFleet[[#This Row],[Units]]="","",tblFleet[[#This Row],[Calendar_h]]-tblFleet[[#This Row],[Down_h]])</f>
        <v/>
      </c>
      <c r="I2835" s="60">
        <f>IF(AND(tblFleet[[#This Row],[Units]]&lt;&gt;"",tblFleet[[#This Row],[Calendar_h]]&gt;0),tblFleet[[#This Row],[Available_h]]/tblFleet[[#This Row],[Calendar_h]],"")</f>
        <v/>
      </c>
      <c r="J2835" s="60">
        <f>IF(AND(tblFleet[[#This Row],[Units]]&lt;&gt;"",tblFleet[[#This Row],[Available_h]]&gt;0),tblFleet[[#This Row],[Operating_h]]/tblFleet[[#This Row],[Available_h]],"")</f>
        <v/>
      </c>
    </row>
    <row r="2836">
      <c r="A2836" s="54" t="n"/>
      <c r="B2836" s="61" t="n"/>
      <c r="C2836" s="62" t="n"/>
      <c r="D2836" s="57" t="n"/>
      <c r="E2836" s="57" t="n"/>
      <c r="F2836" s="58" t="n"/>
      <c r="G2836" s="66">
        <f>IF(tblFleet[[#This Row],[Units]]="","",tblFleet[[#This Row],[Units]]*24)</f>
        <v/>
      </c>
      <c r="H2836" s="66">
        <f>IF(tblFleet[[#This Row],[Units]]="","",tblFleet[[#This Row],[Calendar_h]]-tblFleet[[#This Row],[Down_h]])</f>
        <v/>
      </c>
      <c r="I2836" s="60">
        <f>IF(AND(tblFleet[[#This Row],[Units]]&lt;&gt;"",tblFleet[[#This Row],[Calendar_h]]&gt;0),tblFleet[[#This Row],[Available_h]]/tblFleet[[#This Row],[Calendar_h]],"")</f>
        <v/>
      </c>
      <c r="J2836" s="60">
        <f>IF(AND(tblFleet[[#This Row],[Units]]&lt;&gt;"",tblFleet[[#This Row],[Available_h]]&gt;0),tblFleet[[#This Row],[Operating_h]]/tblFleet[[#This Row],[Available_h]],"")</f>
        <v/>
      </c>
    </row>
    <row r="2837">
      <c r="A2837" s="54" t="n"/>
      <c r="B2837" s="61" t="n"/>
      <c r="C2837" s="62" t="n"/>
      <c r="D2837" s="57" t="n"/>
      <c r="E2837" s="57" t="n"/>
      <c r="F2837" s="58" t="n"/>
      <c r="G2837" s="66">
        <f>IF(tblFleet[[#This Row],[Units]]="","",tblFleet[[#This Row],[Units]]*24)</f>
        <v/>
      </c>
      <c r="H2837" s="66">
        <f>IF(tblFleet[[#This Row],[Units]]="","",tblFleet[[#This Row],[Calendar_h]]-tblFleet[[#This Row],[Down_h]])</f>
        <v/>
      </c>
      <c r="I2837" s="60">
        <f>IF(AND(tblFleet[[#This Row],[Units]]&lt;&gt;"",tblFleet[[#This Row],[Calendar_h]]&gt;0),tblFleet[[#This Row],[Available_h]]/tblFleet[[#This Row],[Calendar_h]],"")</f>
        <v/>
      </c>
      <c r="J2837" s="60">
        <f>IF(AND(tblFleet[[#This Row],[Units]]&lt;&gt;"",tblFleet[[#This Row],[Available_h]]&gt;0),tblFleet[[#This Row],[Operating_h]]/tblFleet[[#This Row],[Available_h]],"")</f>
        <v/>
      </c>
    </row>
    <row r="2838">
      <c r="A2838" s="54" t="n"/>
      <c r="B2838" s="61" t="n"/>
      <c r="C2838" s="62" t="n"/>
      <c r="D2838" s="57" t="n"/>
      <c r="E2838" s="57" t="n"/>
      <c r="F2838" s="58" t="n"/>
      <c r="G2838" s="66">
        <f>IF(tblFleet[[#This Row],[Units]]="","",tblFleet[[#This Row],[Units]]*24)</f>
        <v/>
      </c>
      <c r="H2838" s="66">
        <f>IF(tblFleet[[#This Row],[Units]]="","",tblFleet[[#This Row],[Calendar_h]]-tblFleet[[#This Row],[Down_h]])</f>
        <v/>
      </c>
      <c r="I2838" s="60">
        <f>IF(AND(tblFleet[[#This Row],[Units]]&lt;&gt;"",tblFleet[[#This Row],[Calendar_h]]&gt;0),tblFleet[[#This Row],[Available_h]]/tblFleet[[#This Row],[Calendar_h]],"")</f>
        <v/>
      </c>
      <c r="J2838" s="60">
        <f>IF(AND(tblFleet[[#This Row],[Units]]&lt;&gt;"",tblFleet[[#This Row],[Available_h]]&gt;0),tblFleet[[#This Row],[Operating_h]]/tblFleet[[#This Row],[Available_h]],"")</f>
        <v/>
      </c>
    </row>
    <row r="2839">
      <c r="A2839" s="54" t="n"/>
      <c r="B2839" s="61" t="n"/>
      <c r="C2839" s="62" t="n"/>
      <c r="D2839" s="57" t="n"/>
      <c r="E2839" s="57" t="n"/>
      <c r="F2839" s="58" t="n"/>
      <c r="G2839" s="66">
        <f>IF(tblFleet[[#This Row],[Units]]="","",tblFleet[[#This Row],[Units]]*24)</f>
        <v/>
      </c>
      <c r="H2839" s="66">
        <f>IF(tblFleet[[#This Row],[Units]]="","",tblFleet[[#This Row],[Calendar_h]]-tblFleet[[#This Row],[Down_h]])</f>
        <v/>
      </c>
      <c r="I2839" s="60">
        <f>IF(AND(tblFleet[[#This Row],[Units]]&lt;&gt;"",tblFleet[[#This Row],[Calendar_h]]&gt;0),tblFleet[[#This Row],[Available_h]]/tblFleet[[#This Row],[Calendar_h]],"")</f>
        <v/>
      </c>
      <c r="J2839" s="60">
        <f>IF(AND(tblFleet[[#This Row],[Units]]&lt;&gt;"",tblFleet[[#This Row],[Available_h]]&gt;0),tblFleet[[#This Row],[Operating_h]]/tblFleet[[#This Row],[Available_h]],"")</f>
        <v/>
      </c>
    </row>
    <row r="2840">
      <c r="A2840" s="54" t="n"/>
      <c r="B2840" s="61" t="n"/>
      <c r="C2840" s="62" t="n"/>
      <c r="D2840" s="57" t="n"/>
      <c r="E2840" s="57" t="n"/>
      <c r="F2840" s="58" t="n"/>
      <c r="G2840" s="66">
        <f>IF(tblFleet[[#This Row],[Units]]="","",tblFleet[[#This Row],[Units]]*24)</f>
        <v/>
      </c>
      <c r="H2840" s="66">
        <f>IF(tblFleet[[#This Row],[Units]]="","",tblFleet[[#This Row],[Calendar_h]]-tblFleet[[#This Row],[Down_h]])</f>
        <v/>
      </c>
      <c r="I2840" s="60">
        <f>IF(AND(tblFleet[[#This Row],[Units]]&lt;&gt;"",tblFleet[[#This Row],[Calendar_h]]&gt;0),tblFleet[[#This Row],[Available_h]]/tblFleet[[#This Row],[Calendar_h]],"")</f>
        <v/>
      </c>
      <c r="J2840" s="60">
        <f>IF(AND(tblFleet[[#This Row],[Units]]&lt;&gt;"",tblFleet[[#This Row],[Available_h]]&gt;0),tblFleet[[#This Row],[Operating_h]]/tblFleet[[#This Row],[Available_h]],"")</f>
        <v/>
      </c>
    </row>
    <row r="2841">
      <c r="A2841" s="54" t="n"/>
      <c r="B2841" s="61" t="n"/>
      <c r="C2841" s="62" t="n"/>
      <c r="D2841" s="57" t="n"/>
      <c r="E2841" s="57" t="n"/>
      <c r="F2841" s="58" t="n"/>
      <c r="G2841" s="66">
        <f>IF(tblFleet[[#This Row],[Units]]="","",tblFleet[[#This Row],[Units]]*24)</f>
        <v/>
      </c>
      <c r="H2841" s="66">
        <f>IF(tblFleet[[#This Row],[Units]]="","",tblFleet[[#This Row],[Calendar_h]]-tblFleet[[#This Row],[Down_h]])</f>
        <v/>
      </c>
      <c r="I2841" s="60">
        <f>IF(AND(tblFleet[[#This Row],[Units]]&lt;&gt;"",tblFleet[[#This Row],[Calendar_h]]&gt;0),tblFleet[[#This Row],[Available_h]]/tblFleet[[#This Row],[Calendar_h]],"")</f>
        <v/>
      </c>
      <c r="J2841" s="60">
        <f>IF(AND(tblFleet[[#This Row],[Units]]&lt;&gt;"",tblFleet[[#This Row],[Available_h]]&gt;0),tblFleet[[#This Row],[Operating_h]]/tblFleet[[#This Row],[Available_h]],"")</f>
        <v/>
      </c>
    </row>
    <row r="2842">
      <c r="A2842" s="54" t="n"/>
      <c r="B2842" s="61" t="n"/>
      <c r="C2842" s="62" t="n"/>
      <c r="D2842" s="57" t="n"/>
      <c r="E2842" s="57" t="n"/>
      <c r="F2842" s="58" t="n"/>
      <c r="G2842" s="66">
        <f>IF(tblFleet[[#This Row],[Units]]="","",tblFleet[[#This Row],[Units]]*24)</f>
        <v/>
      </c>
      <c r="H2842" s="66">
        <f>IF(tblFleet[[#This Row],[Units]]="","",tblFleet[[#This Row],[Calendar_h]]-tblFleet[[#This Row],[Down_h]])</f>
        <v/>
      </c>
      <c r="I2842" s="60">
        <f>IF(AND(tblFleet[[#This Row],[Units]]&lt;&gt;"",tblFleet[[#This Row],[Calendar_h]]&gt;0),tblFleet[[#This Row],[Available_h]]/tblFleet[[#This Row],[Calendar_h]],"")</f>
        <v/>
      </c>
      <c r="J2842" s="60">
        <f>IF(AND(tblFleet[[#This Row],[Units]]&lt;&gt;"",tblFleet[[#This Row],[Available_h]]&gt;0),tblFleet[[#This Row],[Operating_h]]/tblFleet[[#This Row],[Available_h]],"")</f>
        <v/>
      </c>
    </row>
    <row r="2843">
      <c r="A2843" s="54" t="n"/>
      <c r="B2843" s="61" t="n"/>
      <c r="C2843" s="62" t="n"/>
      <c r="D2843" s="57" t="n"/>
      <c r="E2843" s="57" t="n"/>
      <c r="F2843" s="58" t="n"/>
      <c r="G2843" s="66">
        <f>IF(tblFleet[[#This Row],[Units]]="","",tblFleet[[#This Row],[Units]]*24)</f>
        <v/>
      </c>
      <c r="H2843" s="66">
        <f>IF(tblFleet[[#This Row],[Units]]="","",tblFleet[[#This Row],[Calendar_h]]-tblFleet[[#This Row],[Down_h]])</f>
        <v/>
      </c>
      <c r="I2843" s="60">
        <f>IF(AND(tblFleet[[#This Row],[Units]]&lt;&gt;"",tblFleet[[#This Row],[Calendar_h]]&gt;0),tblFleet[[#This Row],[Available_h]]/tblFleet[[#This Row],[Calendar_h]],"")</f>
        <v/>
      </c>
      <c r="J2843" s="60">
        <f>IF(AND(tblFleet[[#This Row],[Units]]&lt;&gt;"",tblFleet[[#This Row],[Available_h]]&gt;0),tblFleet[[#This Row],[Operating_h]]/tblFleet[[#This Row],[Available_h]],"")</f>
        <v/>
      </c>
    </row>
    <row r="2844">
      <c r="A2844" s="54" t="n"/>
      <c r="B2844" s="61" t="n"/>
      <c r="C2844" s="62" t="n"/>
      <c r="D2844" s="57" t="n"/>
      <c r="E2844" s="57" t="n"/>
      <c r="F2844" s="58" t="n"/>
      <c r="G2844" s="66">
        <f>IF(tblFleet[[#This Row],[Units]]="","",tblFleet[[#This Row],[Units]]*24)</f>
        <v/>
      </c>
      <c r="H2844" s="66">
        <f>IF(tblFleet[[#This Row],[Units]]="","",tblFleet[[#This Row],[Calendar_h]]-tblFleet[[#This Row],[Down_h]])</f>
        <v/>
      </c>
      <c r="I2844" s="60">
        <f>IF(AND(tblFleet[[#This Row],[Units]]&lt;&gt;"",tblFleet[[#This Row],[Calendar_h]]&gt;0),tblFleet[[#This Row],[Available_h]]/tblFleet[[#This Row],[Calendar_h]],"")</f>
        <v/>
      </c>
      <c r="J2844" s="60">
        <f>IF(AND(tblFleet[[#This Row],[Units]]&lt;&gt;"",tblFleet[[#This Row],[Available_h]]&gt;0),tblFleet[[#This Row],[Operating_h]]/tblFleet[[#This Row],[Available_h]],"")</f>
        <v/>
      </c>
    </row>
    <row r="2845">
      <c r="A2845" s="54" t="n"/>
      <c r="B2845" s="61" t="n"/>
      <c r="C2845" s="62" t="n"/>
      <c r="D2845" s="57" t="n"/>
      <c r="E2845" s="57" t="n"/>
      <c r="F2845" s="58" t="n"/>
      <c r="G2845" s="66">
        <f>IF(tblFleet[[#This Row],[Units]]="","",tblFleet[[#This Row],[Units]]*24)</f>
        <v/>
      </c>
      <c r="H2845" s="66">
        <f>IF(tblFleet[[#This Row],[Units]]="","",tblFleet[[#This Row],[Calendar_h]]-tblFleet[[#This Row],[Down_h]])</f>
        <v/>
      </c>
      <c r="I2845" s="60">
        <f>IF(AND(tblFleet[[#This Row],[Units]]&lt;&gt;"",tblFleet[[#This Row],[Calendar_h]]&gt;0),tblFleet[[#This Row],[Available_h]]/tblFleet[[#This Row],[Calendar_h]],"")</f>
        <v/>
      </c>
      <c r="J2845" s="60">
        <f>IF(AND(tblFleet[[#This Row],[Units]]&lt;&gt;"",tblFleet[[#This Row],[Available_h]]&gt;0),tblFleet[[#This Row],[Operating_h]]/tblFleet[[#This Row],[Available_h]],"")</f>
        <v/>
      </c>
    </row>
    <row r="2846">
      <c r="A2846" s="54" t="n"/>
      <c r="B2846" s="61" t="n"/>
      <c r="C2846" s="62" t="n"/>
      <c r="D2846" s="57" t="n"/>
      <c r="E2846" s="57" t="n"/>
      <c r="F2846" s="58" t="n"/>
      <c r="G2846" s="66">
        <f>IF(tblFleet[[#This Row],[Units]]="","",tblFleet[[#This Row],[Units]]*24)</f>
        <v/>
      </c>
      <c r="H2846" s="66">
        <f>IF(tblFleet[[#This Row],[Units]]="","",tblFleet[[#This Row],[Calendar_h]]-tblFleet[[#This Row],[Down_h]])</f>
        <v/>
      </c>
      <c r="I2846" s="60">
        <f>IF(AND(tblFleet[[#This Row],[Units]]&lt;&gt;"",tblFleet[[#This Row],[Calendar_h]]&gt;0),tblFleet[[#This Row],[Available_h]]/tblFleet[[#This Row],[Calendar_h]],"")</f>
        <v/>
      </c>
      <c r="J2846" s="60">
        <f>IF(AND(tblFleet[[#This Row],[Units]]&lt;&gt;"",tblFleet[[#This Row],[Available_h]]&gt;0),tblFleet[[#This Row],[Operating_h]]/tblFleet[[#This Row],[Available_h]],"")</f>
        <v/>
      </c>
    </row>
    <row r="2847">
      <c r="A2847" s="54" t="n"/>
      <c r="B2847" s="61" t="n"/>
      <c r="C2847" s="62" t="n"/>
      <c r="D2847" s="57" t="n"/>
      <c r="E2847" s="57" t="n"/>
      <c r="F2847" s="58" t="n"/>
      <c r="G2847" s="66">
        <f>IF(tblFleet[[#This Row],[Units]]="","",tblFleet[[#This Row],[Units]]*24)</f>
        <v/>
      </c>
      <c r="H2847" s="66">
        <f>IF(tblFleet[[#This Row],[Units]]="","",tblFleet[[#This Row],[Calendar_h]]-tblFleet[[#This Row],[Down_h]])</f>
        <v/>
      </c>
      <c r="I2847" s="60">
        <f>IF(AND(tblFleet[[#This Row],[Units]]&lt;&gt;"",tblFleet[[#This Row],[Calendar_h]]&gt;0),tblFleet[[#This Row],[Available_h]]/tblFleet[[#This Row],[Calendar_h]],"")</f>
        <v/>
      </c>
      <c r="J2847" s="60">
        <f>IF(AND(tblFleet[[#This Row],[Units]]&lt;&gt;"",tblFleet[[#This Row],[Available_h]]&gt;0),tblFleet[[#This Row],[Operating_h]]/tblFleet[[#This Row],[Available_h]],"")</f>
        <v/>
      </c>
    </row>
    <row r="2848">
      <c r="A2848" s="54" t="n"/>
      <c r="B2848" s="61" t="n"/>
      <c r="C2848" s="62" t="n"/>
      <c r="D2848" s="57" t="n"/>
      <c r="E2848" s="57" t="n"/>
      <c r="F2848" s="58" t="n"/>
      <c r="G2848" s="66">
        <f>IF(tblFleet[[#This Row],[Units]]="","",tblFleet[[#This Row],[Units]]*24)</f>
        <v/>
      </c>
      <c r="H2848" s="66">
        <f>IF(tblFleet[[#This Row],[Units]]="","",tblFleet[[#This Row],[Calendar_h]]-tblFleet[[#This Row],[Down_h]])</f>
        <v/>
      </c>
      <c r="I2848" s="60">
        <f>IF(AND(tblFleet[[#This Row],[Units]]&lt;&gt;"",tblFleet[[#This Row],[Calendar_h]]&gt;0),tblFleet[[#This Row],[Available_h]]/tblFleet[[#This Row],[Calendar_h]],"")</f>
        <v/>
      </c>
      <c r="J2848" s="60">
        <f>IF(AND(tblFleet[[#This Row],[Units]]&lt;&gt;"",tblFleet[[#This Row],[Available_h]]&gt;0),tblFleet[[#This Row],[Operating_h]]/tblFleet[[#This Row],[Available_h]],"")</f>
        <v/>
      </c>
    </row>
    <row r="2849">
      <c r="A2849" s="54" t="n"/>
      <c r="B2849" s="61" t="n"/>
      <c r="C2849" s="62" t="n"/>
      <c r="D2849" s="57" t="n"/>
      <c r="E2849" s="57" t="n"/>
      <c r="F2849" s="58" t="n"/>
      <c r="G2849" s="66">
        <f>IF(tblFleet[[#This Row],[Units]]="","",tblFleet[[#This Row],[Units]]*24)</f>
        <v/>
      </c>
      <c r="H2849" s="66">
        <f>IF(tblFleet[[#This Row],[Units]]="","",tblFleet[[#This Row],[Calendar_h]]-tblFleet[[#This Row],[Down_h]])</f>
        <v/>
      </c>
      <c r="I2849" s="60">
        <f>IF(AND(tblFleet[[#This Row],[Units]]&lt;&gt;"",tblFleet[[#This Row],[Calendar_h]]&gt;0),tblFleet[[#This Row],[Available_h]]/tblFleet[[#This Row],[Calendar_h]],"")</f>
        <v/>
      </c>
      <c r="J2849" s="60">
        <f>IF(AND(tblFleet[[#This Row],[Units]]&lt;&gt;"",tblFleet[[#This Row],[Available_h]]&gt;0),tblFleet[[#This Row],[Operating_h]]/tblFleet[[#This Row],[Available_h]],"")</f>
        <v/>
      </c>
    </row>
    <row r="2850">
      <c r="A2850" s="54" t="n"/>
      <c r="B2850" s="61" t="n"/>
      <c r="C2850" s="62" t="n"/>
      <c r="D2850" s="57" t="n"/>
      <c r="E2850" s="57" t="n"/>
      <c r="F2850" s="58" t="n"/>
      <c r="G2850" s="66">
        <f>IF(tblFleet[[#This Row],[Units]]="","",tblFleet[[#This Row],[Units]]*24)</f>
        <v/>
      </c>
      <c r="H2850" s="66">
        <f>IF(tblFleet[[#This Row],[Units]]="","",tblFleet[[#This Row],[Calendar_h]]-tblFleet[[#This Row],[Down_h]])</f>
        <v/>
      </c>
      <c r="I2850" s="60">
        <f>IF(AND(tblFleet[[#This Row],[Units]]&lt;&gt;"",tblFleet[[#This Row],[Calendar_h]]&gt;0),tblFleet[[#This Row],[Available_h]]/tblFleet[[#This Row],[Calendar_h]],"")</f>
        <v/>
      </c>
      <c r="J2850" s="60">
        <f>IF(AND(tblFleet[[#This Row],[Units]]&lt;&gt;"",tblFleet[[#This Row],[Available_h]]&gt;0),tblFleet[[#This Row],[Operating_h]]/tblFleet[[#This Row],[Available_h]],"")</f>
        <v/>
      </c>
    </row>
    <row r="2851">
      <c r="A2851" s="54" t="n"/>
      <c r="B2851" s="61" t="n"/>
      <c r="C2851" s="62" t="n"/>
      <c r="D2851" s="57" t="n"/>
      <c r="E2851" s="57" t="n"/>
      <c r="F2851" s="58" t="n"/>
      <c r="G2851" s="66">
        <f>IF(tblFleet[[#This Row],[Units]]="","",tblFleet[[#This Row],[Units]]*24)</f>
        <v/>
      </c>
      <c r="H2851" s="66">
        <f>IF(tblFleet[[#This Row],[Units]]="","",tblFleet[[#This Row],[Calendar_h]]-tblFleet[[#This Row],[Down_h]])</f>
        <v/>
      </c>
      <c r="I2851" s="60">
        <f>IF(AND(tblFleet[[#This Row],[Units]]&lt;&gt;"",tblFleet[[#This Row],[Calendar_h]]&gt;0),tblFleet[[#This Row],[Available_h]]/tblFleet[[#This Row],[Calendar_h]],"")</f>
        <v/>
      </c>
      <c r="J2851" s="60">
        <f>IF(AND(tblFleet[[#This Row],[Units]]&lt;&gt;"",tblFleet[[#This Row],[Available_h]]&gt;0),tblFleet[[#This Row],[Operating_h]]/tblFleet[[#This Row],[Available_h]],"")</f>
        <v/>
      </c>
    </row>
    <row r="2852">
      <c r="A2852" s="54" t="n"/>
      <c r="B2852" s="61" t="n"/>
      <c r="C2852" s="62" t="n"/>
      <c r="D2852" s="57" t="n"/>
      <c r="E2852" s="57" t="n"/>
      <c r="F2852" s="58" t="n"/>
      <c r="G2852" s="66">
        <f>IF(tblFleet[[#This Row],[Units]]="","",tblFleet[[#This Row],[Units]]*24)</f>
        <v/>
      </c>
      <c r="H2852" s="66">
        <f>IF(tblFleet[[#This Row],[Units]]="","",tblFleet[[#This Row],[Calendar_h]]-tblFleet[[#This Row],[Down_h]])</f>
        <v/>
      </c>
      <c r="I2852" s="60">
        <f>IF(AND(tblFleet[[#This Row],[Units]]&lt;&gt;"",tblFleet[[#This Row],[Calendar_h]]&gt;0),tblFleet[[#This Row],[Available_h]]/tblFleet[[#This Row],[Calendar_h]],"")</f>
        <v/>
      </c>
      <c r="J2852" s="60">
        <f>IF(AND(tblFleet[[#This Row],[Units]]&lt;&gt;"",tblFleet[[#This Row],[Available_h]]&gt;0),tblFleet[[#This Row],[Operating_h]]/tblFleet[[#This Row],[Available_h]],"")</f>
        <v/>
      </c>
    </row>
    <row r="2853">
      <c r="A2853" s="54" t="n"/>
      <c r="B2853" s="61" t="n"/>
      <c r="C2853" s="62" t="n"/>
      <c r="D2853" s="57" t="n"/>
      <c r="E2853" s="57" t="n"/>
      <c r="F2853" s="58" t="n"/>
      <c r="G2853" s="66">
        <f>IF(tblFleet[[#This Row],[Units]]="","",tblFleet[[#This Row],[Units]]*24)</f>
        <v/>
      </c>
      <c r="H2853" s="66">
        <f>IF(tblFleet[[#This Row],[Units]]="","",tblFleet[[#This Row],[Calendar_h]]-tblFleet[[#This Row],[Down_h]])</f>
        <v/>
      </c>
      <c r="I2853" s="60">
        <f>IF(AND(tblFleet[[#This Row],[Units]]&lt;&gt;"",tblFleet[[#This Row],[Calendar_h]]&gt;0),tblFleet[[#This Row],[Available_h]]/tblFleet[[#This Row],[Calendar_h]],"")</f>
        <v/>
      </c>
      <c r="J2853" s="60">
        <f>IF(AND(tblFleet[[#This Row],[Units]]&lt;&gt;"",tblFleet[[#This Row],[Available_h]]&gt;0),tblFleet[[#This Row],[Operating_h]]/tblFleet[[#This Row],[Available_h]],"")</f>
        <v/>
      </c>
    </row>
    <row r="2854">
      <c r="A2854" s="54" t="n"/>
      <c r="B2854" s="61" t="n"/>
      <c r="C2854" s="62" t="n"/>
      <c r="D2854" s="57" t="n"/>
      <c r="E2854" s="57" t="n"/>
      <c r="F2854" s="58" t="n"/>
      <c r="G2854" s="66">
        <f>IF(tblFleet[[#This Row],[Units]]="","",tblFleet[[#This Row],[Units]]*24)</f>
        <v/>
      </c>
      <c r="H2854" s="66">
        <f>IF(tblFleet[[#This Row],[Units]]="","",tblFleet[[#This Row],[Calendar_h]]-tblFleet[[#This Row],[Down_h]])</f>
        <v/>
      </c>
      <c r="I2854" s="60">
        <f>IF(AND(tblFleet[[#This Row],[Units]]&lt;&gt;"",tblFleet[[#This Row],[Calendar_h]]&gt;0),tblFleet[[#This Row],[Available_h]]/tblFleet[[#This Row],[Calendar_h]],"")</f>
        <v/>
      </c>
      <c r="J2854" s="60">
        <f>IF(AND(tblFleet[[#This Row],[Units]]&lt;&gt;"",tblFleet[[#This Row],[Available_h]]&gt;0),tblFleet[[#This Row],[Operating_h]]/tblFleet[[#This Row],[Available_h]],"")</f>
        <v/>
      </c>
    </row>
    <row r="2855">
      <c r="A2855" s="54" t="n"/>
      <c r="B2855" s="61" t="n"/>
      <c r="C2855" s="62" t="n"/>
      <c r="D2855" s="57" t="n"/>
      <c r="E2855" s="57" t="n"/>
      <c r="F2855" s="58" t="n"/>
      <c r="G2855" s="66">
        <f>IF(tblFleet[[#This Row],[Units]]="","",tblFleet[[#This Row],[Units]]*24)</f>
        <v/>
      </c>
      <c r="H2855" s="66">
        <f>IF(tblFleet[[#This Row],[Units]]="","",tblFleet[[#This Row],[Calendar_h]]-tblFleet[[#This Row],[Down_h]])</f>
        <v/>
      </c>
      <c r="I2855" s="60">
        <f>IF(AND(tblFleet[[#This Row],[Units]]&lt;&gt;"",tblFleet[[#This Row],[Calendar_h]]&gt;0),tblFleet[[#This Row],[Available_h]]/tblFleet[[#This Row],[Calendar_h]],"")</f>
        <v/>
      </c>
      <c r="J2855" s="60">
        <f>IF(AND(tblFleet[[#This Row],[Units]]&lt;&gt;"",tblFleet[[#This Row],[Available_h]]&gt;0),tblFleet[[#This Row],[Operating_h]]/tblFleet[[#This Row],[Available_h]],"")</f>
        <v/>
      </c>
    </row>
    <row r="2856">
      <c r="A2856" s="54" t="n"/>
      <c r="B2856" s="61" t="n"/>
      <c r="C2856" s="62" t="n"/>
      <c r="D2856" s="57" t="n"/>
      <c r="E2856" s="57" t="n"/>
      <c r="F2856" s="58" t="n"/>
      <c r="G2856" s="66">
        <f>IF(tblFleet[[#This Row],[Units]]="","",tblFleet[[#This Row],[Units]]*24)</f>
        <v/>
      </c>
      <c r="H2856" s="66">
        <f>IF(tblFleet[[#This Row],[Units]]="","",tblFleet[[#This Row],[Calendar_h]]-tblFleet[[#This Row],[Down_h]])</f>
        <v/>
      </c>
      <c r="I2856" s="60">
        <f>IF(AND(tblFleet[[#This Row],[Units]]&lt;&gt;"",tblFleet[[#This Row],[Calendar_h]]&gt;0),tblFleet[[#This Row],[Available_h]]/tblFleet[[#This Row],[Calendar_h]],"")</f>
        <v/>
      </c>
      <c r="J2856" s="60">
        <f>IF(AND(tblFleet[[#This Row],[Units]]&lt;&gt;"",tblFleet[[#This Row],[Available_h]]&gt;0),tblFleet[[#This Row],[Operating_h]]/tblFleet[[#This Row],[Available_h]],"")</f>
        <v/>
      </c>
    </row>
    <row r="2857">
      <c r="A2857" s="54" t="n"/>
      <c r="B2857" s="61" t="n"/>
      <c r="C2857" s="62" t="n"/>
      <c r="D2857" s="57" t="n"/>
      <c r="E2857" s="57" t="n"/>
      <c r="F2857" s="58" t="n"/>
      <c r="G2857" s="66">
        <f>IF(tblFleet[[#This Row],[Units]]="","",tblFleet[[#This Row],[Units]]*24)</f>
        <v/>
      </c>
      <c r="H2857" s="66">
        <f>IF(tblFleet[[#This Row],[Units]]="","",tblFleet[[#This Row],[Calendar_h]]-tblFleet[[#This Row],[Down_h]])</f>
        <v/>
      </c>
      <c r="I2857" s="60">
        <f>IF(AND(tblFleet[[#This Row],[Units]]&lt;&gt;"",tblFleet[[#This Row],[Calendar_h]]&gt;0),tblFleet[[#This Row],[Available_h]]/tblFleet[[#This Row],[Calendar_h]],"")</f>
        <v/>
      </c>
      <c r="J2857" s="60">
        <f>IF(AND(tblFleet[[#This Row],[Units]]&lt;&gt;"",tblFleet[[#This Row],[Available_h]]&gt;0),tblFleet[[#This Row],[Operating_h]]/tblFleet[[#This Row],[Available_h]],"")</f>
        <v/>
      </c>
    </row>
    <row r="2858">
      <c r="A2858" s="54" t="n"/>
      <c r="B2858" s="61" t="n"/>
      <c r="C2858" s="62" t="n"/>
      <c r="D2858" s="57" t="n"/>
      <c r="E2858" s="57" t="n"/>
      <c r="F2858" s="58" t="n"/>
      <c r="G2858" s="66">
        <f>IF(tblFleet[[#This Row],[Units]]="","",tblFleet[[#This Row],[Units]]*24)</f>
        <v/>
      </c>
      <c r="H2858" s="66">
        <f>IF(tblFleet[[#This Row],[Units]]="","",tblFleet[[#This Row],[Calendar_h]]-tblFleet[[#This Row],[Down_h]])</f>
        <v/>
      </c>
      <c r="I2858" s="60">
        <f>IF(AND(tblFleet[[#This Row],[Units]]&lt;&gt;"",tblFleet[[#This Row],[Calendar_h]]&gt;0),tblFleet[[#This Row],[Available_h]]/tblFleet[[#This Row],[Calendar_h]],"")</f>
        <v/>
      </c>
      <c r="J2858" s="60">
        <f>IF(AND(tblFleet[[#This Row],[Units]]&lt;&gt;"",tblFleet[[#This Row],[Available_h]]&gt;0),tblFleet[[#This Row],[Operating_h]]/tblFleet[[#This Row],[Available_h]],"")</f>
        <v/>
      </c>
    </row>
    <row r="2859">
      <c r="A2859" s="54" t="n"/>
      <c r="B2859" s="61" t="n"/>
      <c r="C2859" s="62" t="n"/>
      <c r="D2859" s="57" t="n"/>
      <c r="E2859" s="57" t="n"/>
      <c r="F2859" s="58" t="n"/>
      <c r="G2859" s="66">
        <f>IF(tblFleet[[#This Row],[Units]]="","",tblFleet[[#This Row],[Units]]*24)</f>
        <v/>
      </c>
      <c r="H2859" s="66">
        <f>IF(tblFleet[[#This Row],[Units]]="","",tblFleet[[#This Row],[Calendar_h]]-tblFleet[[#This Row],[Down_h]])</f>
        <v/>
      </c>
      <c r="I2859" s="60">
        <f>IF(AND(tblFleet[[#This Row],[Units]]&lt;&gt;"",tblFleet[[#This Row],[Calendar_h]]&gt;0),tblFleet[[#This Row],[Available_h]]/tblFleet[[#This Row],[Calendar_h]],"")</f>
        <v/>
      </c>
      <c r="J2859" s="60">
        <f>IF(AND(tblFleet[[#This Row],[Units]]&lt;&gt;"",tblFleet[[#This Row],[Available_h]]&gt;0),tblFleet[[#This Row],[Operating_h]]/tblFleet[[#This Row],[Available_h]],"")</f>
        <v/>
      </c>
    </row>
    <row r="2860">
      <c r="A2860" s="54" t="n"/>
      <c r="B2860" s="61" t="n"/>
      <c r="C2860" s="62" t="n"/>
      <c r="D2860" s="57" t="n"/>
      <c r="E2860" s="57" t="n"/>
      <c r="F2860" s="58" t="n"/>
      <c r="G2860" s="66">
        <f>IF(tblFleet[[#This Row],[Units]]="","",tblFleet[[#This Row],[Units]]*24)</f>
        <v/>
      </c>
      <c r="H2860" s="66">
        <f>IF(tblFleet[[#This Row],[Units]]="","",tblFleet[[#This Row],[Calendar_h]]-tblFleet[[#This Row],[Down_h]])</f>
        <v/>
      </c>
      <c r="I2860" s="60">
        <f>IF(AND(tblFleet[[#This Row],[Units]]&lt;&gt;"",tblFleet[[#This Row],[Calendar_h]]&gt;0),tblFleet[[#This Row],[Available_h]]/tblFleet[[#This Row],[Calendar_h]],"")</f>
        <v/>
      </c>
      <c r="J2860" s="60">
        <f>IF(AND(tblFleet[[#This Row],[Units]]&lt;&gt;"",tblFleet[[#This Row],[Available_h]]&gt;0),tblFleet[[#This Row],[Operating_h]]/tblFleet[[#This Row],[Available_h]],"")</f>
        <v/>
      </c>
    </row>
    <row r="2861">
      <c r="A2861" s="54" t="n"/>
      <c r="B2861" s="61" t="n"/>
      <c r="C2861" s="62" t="n"/>
      <c r="D2861" s="57" t="n"/>
      <c r="E2861" s="57" t="n"/>
      <c r="F2861" s="58" t="n"/>
      <c r="G2861" s="66">
        <f>IF(tblFleet[[#This Row],[Units]]="","",tblFleet[[#This Row],[Units]]*24)</f>
        <v/>
      </c>
      <c r="H2861" s="66">
        <f>IF(tblFleet[[#This Row],[Units]]="","",tblFleet[[#This Row],[Calendar_h]]-tblFleet[[#This Row],[Down_h]])</f>
        <v/>
      </c>
      <c r="I2861" s="60">
        <f>IF(AND(tblFleet[[#This Row],[Units]]&lt;&gt;"",tblFleet[[#This Row],[Calendar_h]]&gt;0),tblFleet[[#This Row],[Available_h]]/tblFleet[[#This Row],[Calendar_h]],"")</f>
        <v/>
      </c>
      <c r="J2861" s="60">
        <f>IF(AND(tblFleet[[#This Row],[Units]]&lt;&gt;"",tblFleet[[#This Row],[Available_h]]&gt;0),tblFleet[[#This Row],[Operating_h]]/tblFleet[[#This Row],[Available_h]],"")</f>
        <v/>
      </c>
    </row>
    <row r="2862">
      <c r="A2862" s="54" t="n"/>
      <c r="B2862" s="61" t="n"/>
      <c r="C2862" s="62" t="n"/>
      <c r="D2862" s="57" t="n"/>
      <c r="E2862" s="57" t="n"/>
      <c r="F2862" s="58" t="n"/>
      <c r="G2862" s="66">
        <f>IF(tblFleet[[#This Row],[Units]]="","",tblFleet[[#This Row],[Units]]*24)</f>
        <v/>
      </c>
      <c r="H2862" s="66">
        <f>IF(tblFleet[[#This Row],[Units]]="","",tblFleet[[#This Row],[Calendar_h]]-tblFleet[[#This Row],[Down_h]])</f>
        <v/>
      </c>
      <c r="I2862" s="60">
        <f>IF(AND(tblFleet[[#This Row],[Units]]&lt;&gt;"",tblFleet[[#This Row],[Calendar_h]]&gt;0),tblFleet[[#This Row],[Available_h]]/tblFleet[[#This Row],[Calendar_h]],"")</f>
        <v/>
      </c>
      <c r="J2862" s="60">
        <f>IF(AND(tblFleet[[#This Row],[Units]]&lt;&gt;"",tblFleet[[#This Row],[Available_h]]&gt;0),tblFleet[[#This Row],[Operating_h]]/tblFleet[[#This Row],[Available_h]],"")</f>
        <v/>
      </c>
    </row>
    <row r="2863">
      <c r="A2863" s="54" t="n"/>
      <c r="B2863" s="61" t="n"/>
      <c r="C2863" s="62" t="n"/>
      <c r="D2863" s="57" t="n"/>
      <c r="E2863" s="57" t="n"/>
      <c r="F2863" s="58" t="n"/>
      <c r="G2863" s="66">
        <f>IF(tblFleet[[#This Row],[Units]]="","",tblFleet[[#This Row],[Units]]*24)</f>
        <v/>
      </c>
      <c r="H2863" s="66">
        <f>IF(tblFleet[[#This Row],[Units]]="","",tblFleet[[#This Row],[Calendar_h]]-tblFleet[[#This Row],[Down_h]])</f>
        <v/>
      </c>
      <c r="I2863" s="60">
        <f>IF(AND(tblFleet[[#This Row],[Units]]&lt;&gt;"",tblFleet[[#This Row],[Calendar_h]]&gt;0),tblFleet[[#This Row],[Available_h]]/tblFleet[[#This Row],[Calendar_h]],"")</f>
        <v/>
      </c>
      <c r="J2863" s="60">
        <f>IF(AND(tblFleet[[#This Row],[Units]]&lt;&gt;"",tblFleet[[#This Row],[Available_h]]&gt;0),tblFleet[[#This Row],[Operating_h]]/tblFleet[[#This Row],[Available_h]],"")</f>
        <v/>
      </c>
    </row>
    <row r="2864">
      <c r="A2864" s="54" t="n"/>
      <c r="B2864" s="61" t="n"/>
      <c r="C2864" s="62" t="n"/>
      <c r="D2864" s="57" t="n"/>
      <c r="E2864" s="57" t="n"/>
      <c r="F2864" s="58" t="n"/>
      <c r="G2864" s="66">
        <f>IF(tblFleet[[#This Row],[Units]]="","",tblFleet[[#This Row],[Units]]*24)</f>
        <v/>
      </c>
      <c r="H2864" s="66">
        <f>IF(tblFleet[[#This Row],[Units]]="","",tblFleet[[#This Row],[Calendar_h]]-tblFleet[[#This Row],[Down_h]])</f>
        <v/>
      </c>
      <c r="I2864" s="60">
        <f>IF(AND(tblFleet[[#This Row],[Units]]&lt;&gt;"",tblFleet[[#This Row],[Calendar_h]]&gt;0),tblFleet[[#This Row],[Available_h]]/tblFleet[[#This Row],[Calendar_h]],"")</f>
        <v/>
      </c>
      <c r="J2864" s="60">
        <f>IF(AND(tblFleet[[#This Row],[Units]]&lt;&gt;"",tblFleet[[#This Row],[Available_h]]&gt;0),tblFleet[[#This Row],[Operating_h]]/tblFleet[[#This Row],[Available_h]],"")</f>
        <v/>
      </c>
    </row>
    <row r="2865">
      <c r="A2865" s="54" t="n"/>
      <c r="B2865" s="61" t="n"/>
      <c r="C2865" s="62" t="n"/>
      <c r="D2865" s="57" t="n"/>
      <c r="E2865" s="57" t="n"/>
      <c r="F2865" s="58" t="n"/>
      <c r="G2865" s="66">
        <f>IF(tblFleet[[#This Row],[Units]]="","",tblFleet[[#This Row],[Units]]*24)</f>
        <v/>
      </c>
      <c r="H2865" s="66">
        <f>IF(tblFleet[[#This Row],[Units]]="","",tblFleet[[#This Row],[Calendar_h]]-tblFleet[[#This Row],[Down_h]])</f>
        <v/>
      </c>
      <c r="I2865" s="60">
        <f>IF(AND(tblFleet[[#This Row],[Units]]&lt;&gt;"",tblFleet[[#This Row],[Calendar_h]]&gt;0),tblFleet[[#This Row],[Available_h]]/tblFleet[[#This Row],[Calendar_h]],"")</f>
        <v/>
      </c>
      <c r="J2865" s="60">
        <f>IF(AND(tblFleet[[#This Row],[Units]]&lt;&gt;"",tblFleet[[#This Row],[Available_h]]&gt;0),tblFleet[[#This Row],[Operating_h]]/tblFleet[[#This Row],[Available_h]],"")</f>
        <v/>
      </c>
    </row>
    <row r="2866">
      <c r="A2866" s="54" t="n"/>
      <c r="B2866" s="61" t="n"/>
      <c r="C2866" s="62" t="n"/>
      <c r="D2866" s="57" t="n"/>
      <c r="E2866" s="57" t="n"/>
      <c r="F2866" s="58" t="n"/>
      <c r="G2866" s="66">
        <f>IF(tblFleet[[#This Row],[Units]]="","",tblFleet[[#This Row],[Units]]*24)</f>
        <v/>
      </c>
      <c r="H2866" s="66">
        <f>IF(tblFleet[[#This Row],[Units]]="","",tblFleet[[#This Row],[Calendar_h]]-tblFleet[[#This Row],[Down_h]])</f>
        <v/>
      </c>
      <c r="I2866" s="60">
        <f>IF(AND(tblFleet[[#This Row],[Units]]&lt;&gt;"",tblFleet[[#This Row],[Calendar_h]]&gt;0),tblFleet[[#This Row],[Available_h]]/tblFleet[[#This Row],[Calendar_h]],"")</f>
        <v/>
      </c>
      <c r="J2866" s="60">
        <f>IF(AND(tblFleet[[#This Row],[Units]]&lt;&gt;"",tblFleet[[#This Row],[Available_h]]&gt;0),tblFleet[[#This Row],[Operating_h]]/tblFleet[[#This Row],[Available_h]],"")</f>
        <v/>
      </c>
    </row>
    <row r="2867">
      <c r="A2867" s="54" t="n"/>
      <c r="B2867" s="61" t="n"/>
      <c r="C2867" s="62" t="n"/>
      <c r="D2867" s="57" t="n"/>
      <c r="E2867" s="57" t="n"/>
      <c r="F2867" s="58" t="n"/>
      <c r="G2867" s="66">
        <f>IF(tblFleet[[#This Row],[Units]]="","",tblFleet[[#This Row],[Units]]*24)</f>
        <v/>
      </c>
      <c r="H2867" s="66">
        <f>IF(tblFleet[[#This Row],[Units]]="","",tblFleet[[#This Row],[Calendar_h]]-tblFleet[[#This Row],[Down_h]])</f>
        <v/>
      </c>
      <c r="I2867" s="60">
        <f>IF(AND(tblFleet[[#This Row],[Units]]&lt;&gt;"",tblFleet[[#This Row],[Calendar_h]]&gt;0),tblFleet[[#This Row],[Available_h]]/tblFleet[[#This Row],[Calendar_h]],"")</f>
        <v/>
      </c>
      <c r="J2867" s="60">
        <f>IF(AND(tblFleet[[#This Row],[Units]]&lt;&gt;"",tblFleet[[#This Row],[Available_h]]&gt;0),tblFleet[[#This Row],[Operating_h]]/tblFleet[[#This Row],[Available_h]],"")</f>
        <v/>
      </c>
    </row>
    <row r="2868">
      <c r="A2868" s="54" t="n"/>
      <c r="B2868" s="61" t="n"/>
      <c r="C2868" s="62" t="n"/>
      <c r="D2868" s="57" t="n"/>
      <c r="E2868" s="57" t="n"/>
      <c r="F2868" s="58" t="n"/>
      <c r="G2868" s="66">
        <f>IF(tblFleet[[#This Row],[Units]]="","",tblFleet[[#This Row],[Units]]*24)</f>
        <v/>
      </c>
      <c r="H2868" s="66">
        <f>IF(tblFleet[[#This Row],[Units]]="","",tblFleet[[#This Row],[Calendar_h]]-tblFleet[[#This Row],[Down_h]])</f>
        <v/>
      </c>
      <c r="I2868" s="60">
        <f>IF(AND(tblFleet[[#This Row],[Units]]&lt;&gt;"",tblFleet[[#This Row],[Calendar_h]]&gt;0),tblFleet[[#This Row],[Available_h]]/tblFleet[[#This Row],[Calendar_h]],"")</f>
        <v/>
      </c>
      <c r="J2868" s="60">
        <f>IF(AND(tblFleet[[#This Row],[Units]]&lt;&gt;"",tblFleet[[#This Row],[Available_h]]&gt;0),tblFleet[[#This Row],[Operating_h]]/tblFleet[[#This Row],[Available_h]],"")</f>
        <v/>
      </c>
    </row>
    <row r="2869">
      <c r="A2869" s="54" t="n"/>
      <c r="B2869" s="61" t="n"/>
      <c r="C2869" s="62" t="n"/>
      <c r="D2869" s="57" t="n"/>
      <c r="E2869" s="57" t="n"/>
      <c r="F2869" s="58" t="n"/>
      <c r="G2869" s="66">
        <f>IF(tblFleet[[#This Row],[Units]]="","",tblFleet[[#This Row],[Units]]*24)</f>
        <v/>
      </c>
      <c r="H2869" s="66">
        <f>IF(tblFleet[[#This Row],[Units]]="","",tblFleet[[#This Row],[Calendar_h]]-tblFleet[[#This Row],[Down_h]])</f>
        <v/>
      </c>
      <c r="I2869" s="60">
        <f>IF(AND(tblFleet[[#This Row],[Units]]&lt;&gt;"",tblFleet[[#This Row],[Calendar_h]]&gt;0),tblFleet[[#This Row],[Available_h]]/tblFleet[[#This Row],[Calendar_h]],"")</f>
        <v/>
      </c>
      <c r="J2869" s="60">
        <f>IF(AND(tblFleet[[#This Row],[Units]]&lt;&gt;"",tblFleet[[#This Row],[Available_h]]&gt;0),tblFleet[[#This Row],[Operating_h]]/tblFleet[[#This Row],[Available_h]],"")</f>
        <v/>
      </c>
    </row>
    <row r="2870">
      <c r="A2870" s="54" t="n"/>
      <c r="B2870" s="61" t="n"/>
      <c r="C2870" s="62" t="n"/>
      <c r="D2870" s="57" t="n"/>
      <c r="E2870" s="57" t="n"/>
      <c r="F2870" s="58" t="n"/>
      <c r="G2870" s="66">
        <f>IF(tblFleet[[#This Row],[Units]]="","",tblFleet[[#This Row],[Units]]*24)</f>
        <v/>
      </c>
      <c r="H2870" s="66">
        <f>IF(tblFleet[[#This Row],[Units]]="","",tblFleet[[#This Row],[Calendar_h]]-tblFleet[[#This Row],[Down_h]])</f>
        <v/>
      </c>
      <c r="I2870" s="60">
        <f>IF(AND(tblFleet[[#This Row],[Units]]&lt;&gt;"",tblFleet[[#This Row],[Calendar_h]]&gt;0),tblFleet[[#This Row],[Available_h]]/tblFleet[[#This Row],[Calendar_h]],"")</f>
        <v/>
      </c>
      <c r="J2870" s="60">
        <f>IF(AND(tblFleet[[#This Row],[Units]]&lt;&gt;"",tblFleet[[#This Row],[Available_h]]&gt;0),tblFleet[[#This Row],[Operating_h]]/tblFleet[[#This Row],[Available_h]],"")</f>
        <v/>
      </c>
    </row>
    <row r="2871">
      <c r="A2871" s="54" t="n"/>
      <c r="B2871" s="61" t="n"/>
      <c r="C2871" s="62" t="n"/>
      <c r="D2871" s="57" t="n"/>
      <c r="E2871" s="57" t="n"/>
      <c r="F2871" s="58" t="n"/>
      <c r="G2871" s="66">
        <f>IF(tblFleet[[#This Row],[Units]]="","",tblFleet[[#This Row],[Units]]*24)</f>
        <v/>
      </c>
      <c r="H2871" s="66">
        <f>IF(tblFleet[[#This Row],[Units]]="","",tblFleet[[#This Row],[Calendar_h]]-tblFleet[[#This Row],[Down_h]])</f>
        <v/>
      </c>
      <c r="I2871" s="60">
        <f>IF(AND(tblFleet[[#This Row],[Units]]&lt;&gt;"",tblFleet[[#This Row],[Calendar_h]]&gt;0),tblFleet[[#This Row],[Available_h]]/tblFleet[[#This Row],[Calendar_h]],"")</f>
        <v/>
      </c>
      <c r="J2871" s="60">
        <f>IF(AND(tblFleet[[#This Row],[Units]]&lt;&gt;"",tblFleet[[#This Row],[Available_h]]&gt;0),tblFleet[[#This Row],[Operating_h]]/tblFleet[[#This Row],[Available_h]],"")</f>
        <v/>
      </c>
    </row>
    <row r="2872">
      <c r="A2872" s="54" t="n"/>
      <c r="B2872" s="61" t="n"/>
      <c r="C2872" s="62" t="n"/>
      <c r="D2872" s="57" t="n"/>
      <c r="E2872" s="57" t="n"/>
      <c r="F2872" s="58" t="n"/>
      <c r="G2872" s="66">
        <f>IF(tblFleet[[#This Row],[Units]]="","",tblFleet[[#This Row],[Units]]*24)</f>
        <v/>
      </c>
      <c r="H2872" s="66">
        <f>IF(tblFleet[[#This Row],[Units]]="","",tblFleet[[#This Row],[Calendar_h]]-tblFleet[[#This Row],[Down_h]])</f>
        <v/>
      </c>
      <c r="I2872" s="60">
        <f>IF(AND(tblFleet[[#This Row],[Units]]&lt;&gt;"",tblFleet[[#This Row],[Calendar_h]]&gt;0),tblFleet[[#This Row],[Available_h]]/tblFleet[[#This Row],[Calendar_h]],"")</f>
        <v/>
      </c>
      <c r="J2872" s="60">
        <f>IF(AND(tblFleet[[#This Row],[Units]]&lt;&gt;"",tblFleet[[#This Row],[Available_h]]&gt;0),tblFleet[[#This Row],[Operating_h]]/tblFleet[[#This Row],[Available_h]],"")</f>
        <v/>
      </c>
    </row>
    <row r="2873">
      <c r="A2873" s="54" t="n"/>
      <c r="B2873" s="61" t="n"/>
      <c r="C2873" s="62" t="n"/>
      <c r="D2873" s="57" t="n"/>
      <c r="E2873" s="57" t="n"/>
      <c r="F2873" s="58" t="n"/>
      <c r="G2873" s="66">
        <f>IF(tblFleet[[#This Row],[Units]]="","",tblFleet[[#This Row],[Units]]*24)</f>
        <v/>
      </c>
      <c r="H2873" s="66">
        <f>IF(tblFleet[[#This Row],[Units]]="","",tblFleet[[#This Row],[Calendar_h]]-tblFleet[[#This Row],[Down_h]])</f>
        <v/>
      </c>
      <c r="I2873" s="60">
        <f>IF(AND(tblFleet[[#This Row],[Units]]&lt;&gt;"",tblFleet[[#This Row],[Calendar_h]]&gt;0),tblFleet[[#This Row],[Available_h]]/tblFleet[[#This Row],[Calendar_h]],"")</f>
        <v/>
      </c>
      <c r="J2873" s="60">
        <f>IF(AND(tblFleet[[#This Row],[Units]]&lt;&gt;"",tblFleet[[#This Row],[Available_h]]&gt;0),tblFleet[[#This Row],[Operating_h]]/tblFleet[[#This Row],[Available_h]],"")</f>
        <v/>
      </c>
    </row>
    <row r="2874">
      <c r="A2874" s="54" t="n"/>
      <c r="B2874" s="61" t="n"/>
      <c r="C2874" s="62" t="n"/>
      <c r="D2874" s="57" t="n"/>
      <c r="E2874" s="57" t="n"/>
      <c r="F2874" s="58" t="n"/>
      <c r="G2874" s="66">
        <f>IF(tblFleet[[#This Row],[Units]]="","",tblFleet[[#This Row],[Units]]*24)</f>
        <v/>
      </c>
      <c r="H2874" s="66">
        <f>IF(tblFleet[[#This Row],[Units]]="","",tblFleet[[#This Row],[Calendar_h]]-tblFleet[[#This Row],[Down_h]])</f>
        <v/>
      </c>
      <c r="I2874" s="60">
        <f>IF(AND(tblFleet[[#This Row],[Units]]&lt;&gt;"",tblFleet[[#This Row],[Calendar_h]]&gt;0),tblFleet[[#This Row],[Available_h]]/tblFleet[[#This Row],[Calendar_h]],"")</f>
        <v/>
      </c>
      <c r="J2874" s="60">
        <f>IF(AND(tblFleet[[#This Row],[Units]]&lt;&gt;"",tblFleet[[#This Row],[Available_h]]&gt;0),tblFleet[[#This Row],[Operating_h]]/tblFleet[[#This Row],[Available_h]],"")</f>
        <v/>
      </c>
    </row>
    <row r="2875">
      <c r="A2875" s="54" t="n"/>
      <c r="B2875" s="61" t="n"/>
      <c r="C2875" s="62" t="n"/>
      <c r="D2875" s="57" t="n"/>
      <c r="E2875" s="57" t="n"/>
      <c r="F2875" s="58" t="n"/>
      <c r="G2875" s="66">
        <f>IF(tblFleet[[#This Row],[Units]]="","",tblFleet[[#This Row],[Units]]*24)</f>
        <v/>
      </c>
      <c r="H2875" s="66">
        <f>IF(tblFleet[[#This Row],[Units]]="","",tblFleet[[#This Row],[Calendar_h]]-tblFleet[[#This Row],[Down_h]])</f>
        <v/>
      </c>
      <c r="I2875" s="60">
        <f>IF(AND(tblFleet[[#This Row],[Units]]&lt;&gt;"",tblFleet[[#This Row],[Calendar_h]]&gt;0),tblFleet[[#This Row],[Available_h]]/tblFleet[[#This Row],[Calendar_h]],"")</f>
        <v/>
      </c>
      <c r="J2875" s="60">
        <f>IF(AND(tblFleet[[#This Row],[Units]]&lt;&gt;"",tblFleet[[#This Row],[Available_h]]&gt;0),tblFleet[[#This Row],[Operating_h]]/tblFleet[[#This Row],[Available_h]],"")</f>
        <v/>
      </c>
    </row>
    <row r="2876">
      <c r="A2876" s="54" t="n"/>
      <c r="B2876" s="61" t="n"/>
      <c r="C2876" s="62" t="n"/>
      <c r="D2876" s="57" t="n"/>
      <c r="E2876" s="57" t="n"/>
      <c r="F2876" s="58" t="n"/>
      <c r="G2876" s="66">
        <f>IF(tblFleet[[#This Row],[Units]]="","",tblFleet[[#This Row],[Units]]*24)</f>
        <v/>
      </c>
      <c r="H2876" s="66">
        <f>IF(tblFleet[[#This Row],[Units]]="","",tblFleet[[#This Row],[Calendar_h]]-tblFleet[[#This Row],[Down_h]])</f>
        <v/>
      </c>
      <c r="I2876" s="60">
        <f>IF(AND(tblFleet[[#This Row],[Units]]&lt;&gt;"",tblFleet[[#This Row],[Calendar_h]]&gt;0),tblFleet[[#This Row],[Available_h]]/tblFleet[[#This Row],[Calendar_h]],"")</f>
        <v/>
      </c>
      <c r="J2876" s="60">
        <f>IF(AND(tblFleet[[#This Row],[Units]]&lt;&gt;"",tblFleet[[#This Row],[Available_h]]&gt;0),tblFleet[[#This Row],[Operating_h]]/tblFleet[[#This Row],[Available_h]],"")</f>
        <v/>
      </c>
    </row>
    <row r="2877">
      <c r="A2877" s="54" t="n"/>
      <c r="B2877" s="61" t="n"/>
      <c r="C2877" s="62" t="n"/>
      <c r="D2877" s="57" t="n"/>
      <c r="E2877" s="57" t="n"/>
      <c r="F2877" s="58" t="n"/>
      <c r="G2877" s="66">
        <f>IF(tblFleet[[#This Row],[Units]]="","",tblFleet[[#This Row],[Units]]*24)</f>
        <v/>
      </c>
      <c r="H2877" s="66">
        <f>IF(tblFleet[[#This Row],[Units]]="","",tblFleet[[#This Row],[Calendar_h]]-tblFleet[[#This Row],[Down_h]])</f>
        <v/>
      </c>
      <c r="I2877" s="60">
        <f>IF(AND(tblFleet[[#This Row],[Units]]&lt;&gt;"",tblFleet[[#This Row],[Calendar_h]]&gt;0),tblFleet[[#This Row],[Available_h]]/tblFleet[[#This Row],[Calendar_h]],"")</f>
        <v/>
      </c>
      <c r="J2877" s="60">
        <f>IF(AND(tblFleet[[#This Row],[Units]]&lt;&gt;"",tblFleet[[#This Row],[Available_h]]&gt;0),tblFleet[[#This Row],[Operating_h]]/tblFleet[[#This Row],[Available_h]],"")</f>
        <v/>
      </c>
    </row>
    <row r="2878">
      <c r="A2878" s="54" t="n"/>
      <c r="B2878" s="61" t="n"/>
      <c r="C2878" s="62" t="n"/>
      <c r="D2878" s="57" t="n"/>
      <c r="E2878" s="57" t="n"/>
      <c r="F2878" s="58" t="n"/>
      <c r="G2878" s="66">
        <f>IF(tblFleet[[#This Row],[Units]]="","",tblFleet[[#This Row],[Units]]*24)</f>
        <v/>
      </c>
      <c r="H2878" s="66">
        <f>IF(tblFleet[[#This Row],[Units]]="","",tblFleet[[#This Row],[Calendar_h]]-tblFleet[[#This Row],[Down_h]])</f>
        <v/>
      </c>
      <c r="I2878" s="60">
        <f>IF(AND(tblFleet[[#This Row],[Units]]&lt;&gt;"",tblFleet[[#This Row],[Calendar_h]]&gt;0),tblFleet[[#This Row],[Available_h]]/tblFleet[[#This Row],[Calendar_h]],"")</f>
        <v/>
      </c>
      <c r="J2878" s="60">
        <f>IF(AND(tblFleet[[#This Row],[Units]]&lt;&gt;"",tblFleet[[#This Row],[Available_h]]&gt;0),tblFleet[[#This Row],[Operating_h]]/tblFleet[[#This Row],[Available_h]],"")</f>
        <v/>
      </c>
    </row>
    <row r="2879">
      <c r="A2879" s="54" t="n"/>
      <c r="B2879" s="61" t="n"/>
      <c r="C2879" s="62" t="n"/>
      <c r="D2879" s="57" t="n"/>
      <c r="E2879" s="57" t="n"/>
      <c r="F2879" s="58" t="n"/>
      <c r="G2879" s="66">
        <f>IF(tblFleet[[#This Row],[Units]]="","",tblFleet[[#This Row],[Units]]*24)</f>
        <v/>
      </c>
      <c r="H2879" s="66">
        <f>IF(tblFleet[[#This Row],[Units]]="","",tblFleet[[#This Row],[Calendar_h]]-tblFleet[[#This Row],[Down_h]])</f>
        <v/>
      </c>
      <c r="I2879" s="60">
        <f>IF(AND(tblFleet[[#This Row],[Units]]&lt;&gt;"",tblFleet[[#This Row],[Calendar_h]]&gt;0),tblFleet[[#This Row],[Available_h]]/tblFleet[[#This Row],[Calendar_h]],"")</f>
        <v/>
      </c>
      <c r="J2879" s="60">
        <f>IF(AND(tblFleet[[#This Row],[Units]]&lt;&gt;"",tblFleet[[#This Row],[Available_h]]&gt;0),tblFleet[[#This Row],[Operating_h]]/tblFleet[[#This Row],[Available_h]],"")</f>
        <v/>
      </c>
    </row>
    <row r="2880">
      <c r="A2880" s="54" t="n"/>
      <c r="B2880" s="61" t="n"/>
      <c r="C2880" s="62" t="n"/>
      <c r="D2880" s="57" t="n"/>
      <c r="E2880" s="57" t="n"/>
      <c r="F2880" s="58" t="n"/>
      <c r="G2880" s="66">
        <f>IF(tblFleet[[#This Row],[Units]]="","",tblFleet[[#This Row],[Units]]*24)</f>
        <v/>
      </c>
      <c r="H2880" s="66">
        <f>IF(tblFleet[[#This Row],[Units]]="","",tblFleet[[#This Row],[Calendar_h]]-tblFleet[[#This Row],[Down_h]])</f>
        <v/>
      </c>
      <c r="I2880" s="60">
        <f>IF(AND(tblFleet[[#This Row],[Units]]&lt;&gt;"",tblFleet[[#This Row],[Calendar_h]]&gt;0),tblFleet[[#This Row],[Available_h]]/tblFleet[[#This Row],[Calendar_h]],"")</f>
        <v/>
      </c>
      <c r="J2880" s="60">
        <f>IF(AND(tblFleet[[#This Row],[Units]]&lt;&gt;"",tblFleet[[#This Row],[Available_h]]&gt;0),tblFleet[[#This Row],[Operating_h]]/tblFleet[[#This Row],[Available_h]],"")</f>
        <v/>
      </c>
    </row>
    <row r="2881">
      <c r="A2881" s="54" t="n"/>
      <c r="B2881" s="61" t="n"/>
      <c r="C2881" s="62" t="n"/>
      <c r="D2881" s="57" t="n"/>
      <c r="E2881" s="57" t="n"/>
      <c r="F2881" s="58" t="n"/>
      <c r="G2881" s="66">
        <f>IF(tblFleet[[#This Row],[Units]]="","",tblFleet[[#This Row],[Units]]*24)</f>
        <v/>
      </c>
      <c r="H2881" s="66">
        <f>IF(tblFleet[[#This Row],[Units]]="","",tblFleet[[#This Row],[Calendar_h]]-tblFleet[[#This Row],[Down_h]])</f>
        <v/>
      </c>
      <c r="I2881" s="60">
        <f>IF(AND(tblFleet[[#This Row],[Units]]&lt;&gt;"",tblFleet[[#This Row],[Calendar_h]]&gt;0),tblFleet[[#This Row],[Available_h]]/tblFleet[[#This Row],[Calendar_h]],"")</f>
        <v/>
      </c>
      <c r="J2881" s="60">
        <f>IF(AND(tblFleet[[#This Row],[Units]]&lt;&gt;"",tblFleet[[#This Row],[Available_h]]&gt;0),tblFleet[[#This Row],[Operating_h]]/tblFleet[[#This Row],[Available_h]],"")</f>
        <v/>
      </c>
    </row>
    <row r="2882">
      <c r="A2882" s="54" t="n"/>
      <c r="B2882" s="61" t="n"/>
      <c r="C2882" s="62" t="n"/>
      <c r="D2882" s="57" t="n"/>
      <c r="E2882" s="57" t="n"/>
      <c r="F2882" s="58" t="n"/>
      <c r="G2882" s="66">
        <f>IF(tblFleet[[#This Row],[Units]]="","",tblFleet[[#This Row],[Units]]*24)</f>
        <v/>
      </c>
      <c r="H2882" s="66">
        <f>IF(tblFleet[[#This Row],[Units]]="","",tblFleet[[#This Row],[Calendar_h]]-tblFleet[[#This Row],[Down_h]])</f>
        <v/>
      </c>
      <c r="I2882" s="60">
        <f>IF(AND(tblFleet[[#This Row],[Units]]&lt;&gt;"",tblFleet[[#This Row],[Calendar_h]]&gt;0),tblFleet[[#This Row],[Available_h]]/tblFleet[[#This Row],[Calendar_h]],"")</f>
        <v/>
      </c>
      <c r="J2882" s="60">
        <f>IF(AND(tblFleet[[#This Row],[Units]]&lt;&gt;"",tblFleet[[#This Row],[Available_h]]&gt;0),tblFleet[[#This Row],[Operating_h]]/tblFleet[[#This Row],[Available_h]],"")</f>
        <v/>
      </c>
    </row>
    <row r="2883">
      <c r="A2883" s="54" t="n"/>
      <c r="B2883" s="61" t="n"/>
      <c r="C2883" s="62" t="n"/>
      <c r="D2883" s="57" t="n"/>
      <c r="E2883" s="57" t="n"/>
      <c r="F2883" s="58" t="n"/>
      <c r="G2883" s="66">
        <f>IF(tblFleet[[#This Row],[Units]]="","",tblFleet[[#This Row],[Units]]*24)</f>
        <v/>
      </c>
      <c r="H2883" s="66">
        <f>IF(tblFleet[[#This Row],[Units]]="","",tblFleet[[#This Row],[Calendar_h]]-tblFleet[[#This Row],[Down_h]])</f>
        <v/>
      </c>
      <c r="I2883" s="60">
        <f>IF(AND(tblFleet[[#This Row],[Units]]&lt;&gt;"",tblFleet[[#This Row],[Calendar_h]]&gt;0),tblFleet[[#This Row],[Available_h]]/tblFleet[[#This Row],[Calendar_h]],"")</f>
        <v/>
      </c>
      <c r="J2883" s="60">
        <f>IF(AND(tblFleet[[#This Row],[Units]]&lt;&gt;"",tblFleet[[#This Row],[Available_h]]&gt;0),tblFleet[[#This Row],[Operating_h]]/tblFleet[[#This Row],[Available_h]],"")</f>
        <v/>
      </c>
    </row>
    <row r="2884">
      <c r="A2884" s="54" t="n"/>
      <c r="B2884" s="61" t="n"/>
      <c r="C2884" s="62" t="n"/>
      <c r="D2884" s="57" t="n"/>
      <c r="E2884" s="57" t="n"/>
      <c r="F2884" s="58" t="n"/>
      <c r="G2884" s="66">
        <f>IF(tblFleet[[#This Row],[Units]]="","",tblFleet[[#This Row],[Units]]*24)</f>
        <v/>
      </c>
      <c r="H2884" s="66">
        <f>IF(tblFleet[[#This Row],[Units]]="","",tblFleet[[#This Row],[Calendar_h]]-tblFleet[[#This Row],[Down_h]])</f>
        <v/>
      </c>
      <c r="I2884" s="60">
        <f>IF(AND(tblFleet[[#This Row],[Units]]&lt;&gt;"",tblFleet[[#This Row],[Calendar_h]]&gt;0),tblFleet[[#This Row],[Available_h]]/tblFleet[[#This Row],[Calendar_h]],"")</f>
        <v/>
      </c>
      <c r="J2884" s="60">
        <f>IF(AND(tblFleet[[#This Row],[Units]]&lt;&gt;"",tblFleet[[#This Row],[Available_h]]&gt;0),tblFleet[[#This Row],[Operating_h]]/tblFleet[[#This Row],[Available_h]],"")</f>
        <v/>
      </c>
    </row>
    <row r="2885">
      <c r="A2885" s="54" t="n"/>
      <c r="B2885" s="61" t="n"/>
      <c r="C2885" s="62" t="n"/>
      <c r="D2885" s="57" t="n"/>
      <c r="E2885" s="57" t="n"/>
      <c r="F2885" s="58" t="n"/>
      <c r="G2885" s="66">
        <f>IF(tblFleet[[#This Row],[Units]]="","",tblFleet[[#This Row],[Units]]*24)</f>
        <v/>
      </c>
      <c r="H2885" s="66">
        <f>IF(tblFleet[[#This Row],[Units]]="","",tblFleet[[#This Row],[Calendar_h]]-tblFleet[[#This Row],[Down_h]])</f>
        <v/>
      </c>
      <c r="I2885" s="60">
        <f>IF(AND(tblFleet[[#This Row],[Units]]&lt;&gt;"",tblFleet[[#This Row],[Calendar_h]]&gt;0),tblFleet[[#This Row],[Available_h]]/tblFleet[[#This Row],[Calendar_h]],"")</f>
        <v/>
      </c>
      <c r="J2885" s="60">
        <f>IF(AND(tblFleet[[#This Row],[Units]]&lt;&gt;"",tblFleet[[#This Row],[Available_h]]&gt;0),tblFleet[[#This Row],[Operating_h]]/tblFleet[[#This Row],[Available_h]],"")</f>
        <v/>
      </c>
    </row>
    <row r="2886">
      <c r="A2886" s="54" t="n"/>
      <c r="B2886" s="61" t="n"/>
      <c r="C2886" s="62" t="n"/>
      <c r="D2886" s="57" t="n"/>
      <c r="E2886" s="57" t="n"/>
      <c r="F2886" s="58" t="n"/>
      <c r="G2886" s="66">
        <f>IF(tblFleet[[#This Row],[Units]]="","",tblFleet[[#This Row],[Units]]*24)</f>
        <v/>
      </c>
      <c r="H2886" s="66">
        <f>IF(tblFleet[[#This Row],[Units]]="","",tblFleet[[#This Row],[Calendar_h]]-tblFleet[[#This Row],[Down_h]])</f>
        <v/>
      </c>
      <c r="I2886" s="60">
        <f>IF(AND(tblFleet[[#This Row],[Units]]&lt;&gt;"",tblFleet[[#This Row],[Calendar_h]]&gt;0),tblFleet[[#This Row],[Available_h]]/tblFleet[[#This Row],[Calendar_h]],"")</f>
        <v/>
      </c>
      <c r="J2886" s="60">
        <f>IF(AND(tblFleet[[#This Row],[Units]]&lt;&gt;"",tblFleet[[#This Row],[Available_h]]&gt;0),tblFleet[[#This Row],[Operating_h]]/tblFleet[[#This Row],[Available_h]],"")</f>
        <v/>
      </c>
    </row>
    <row r="2887">
      <c r="A2887" s="54" t="n"/>
      <c r="B2887" s="61" t="n"/>
      <c r="C2887" s="62" t="n"/>
      <c r="D2887" s="57" t="n"/>
      <c r="E2887" s="57" t="n"/>
      <c r="F2887" s="58" t="n"/>
      <c r="G2887" s="66">
        <f>IF(tblFleet[[#This Row],[Units]]="","",tblFleet[[#This Row],[Units]]*24)</f>
        <v/>
      </c>
      <c r="H2887" s="66">
        <f>IF(tblFleet[[#This Row],[Units]]="","",tblFleet[[#This Row],[Calendar_h]]-tblFleet[[#This Row],[Down_h]])</f>
        <v/>
      </c>
      <c r="I2887" s="60">
        <f>IF(AND(tblFleet[[#This Row],[Units]]&lt;&gt;"",tblFleet[[#This Row],[Calendar_h]]&gt;0),tblFleet[[#This Row],[Available_h]]/tblFleet[[#This Row],[Calendar_h]],"")</f>
        <v/>
      </c>
      <c r="J2887" s="60">
        <f>IF(AND(tblFleet[[#This Row],[Units]]&lt;&gt;"",tblFleet[[#This Row],[Available_h]]&gt;0),tblFleet[[#This Row],[Operating_h]]/tblFleet[[#This Row],[Available_h]],"")</f>
        <v/>
      </c>
    </row>
    <row r="2888">
      <c r="A2888" s="54" t="n"/>
      <c r="B2888" s="61" t="n"/>
      <c r="C2888" s="62" t="n"/>
      <c r="D2888" s="57" t="n"/>
      <c r="E2888" s="57" t="n"/>
      <c r="F2888" s="58" t="n"/>
      <c r="G2888" s="66">
        <f>IF(tblFleet[[#This Row],[Units]]="","",tblFleet[[#This Row],[Units]]*24)</f>
        <v/>
      </c>
      <c r="H2888" s="66">
        <f>IF(tblFleet[[#This Row],[Units]]="","",tblFleet[[#This Row],[Calendar_h]]-tblFleet[[#This Row],[Down_h]])</f>
        <v/>
      </c>
      <c r="I2888" s="60">
        <f>IF(AND(tblFleet[[#This Row],[Units]]&lt;&gt;"",tblFleet[[#This Row],[Calendar_h]]&gt;0),tblFleet[[#This Row],[Available_h]]/tblFleet[[#This Row],[Calendar_h]],"")</f>
        <v/>
      </c>
      <c r="J2888" s="60">
        <f>IF(AND(tblFleet[[#This Row],[Units]]&lt;&gt;"",tblFleet[[#This Row],[Available_h]]&gt;0),tblFleet[[#This Row],[Operating_h]]/tblFleet[[#This Row],[Available_h]],"")</f>
        <v/>
      </c>
    </row>
    <row r="2889">
      <c r="A2889" s="54" t="n"/>
      <c r="B2889" s="61" t="n"/>
      <c r="C2889" s="62" t="n"/>
      <c r="D2889" s="57" t="n"/>
      <c r="E2889" s="57" t="n"/>
      <c r="F2889" s="58" t="n"/>
      <c r="G2889" s="66">
        <f>IF(tblFleet[[#This Row],[Units]]="","",tblFleet[[#This Row],[Units]]*24)</f>
        <v/>
      </c>
      <c r="H2889" s="66">
        <f>IF(tblFleet[[#This Row],[Units]]="","",tblFleet[[#This Row],[Calendar_h]]-tblFleet[[#This Row],[Down_h]])</f>
        <v/>
      </c>
      <c r="I2889" s="60">
        <f>IF(AND(tblFleet[[#This Row],[Units]]&lt;&gt;"",tblFleet[[#This Row],[Calendar_h]]&gt;0),tblFleet[[#This Row],[Available_h]]/tblFleet[[#This Row],[Calendar_h]],"")</f>
        <v/>
      </c>
      <c r="J2889" s="60">
        <f>IF(AND(tblFleet[[#This Row],[Units]]&lt;&gt;"",tblFleet[[#This Row],[Available_h]]&gt;0),tblFleet[[#This Row],[Operating_h]]/tblFleet[[#This Row],[Available_h]],"")</f>
        <v/>
      </c>
    </row>
    <row r="2890">
      <c r="A2890" s="54" t="n"/>
      <c r="B2890" s="61" t="n"/>
      <c r="C2890" s="62" t="n"/>
      <c r="D2890" s="57" t="n"/>
      <c r="E2890" s="57" t="n"/>
      <c r="F2890" s="58" t="n"/>
      <c r="G2890" s="66">
        <f>IF(tblFleet[[#This Row],[Units]]="","",tblFleet[[#This Row],[Units]]*24)</f>
        <v/>
      </c>
      <c r="H2890" s="66">
        <f>IF(tblFleet[[#This Row],[Units]]="","",tblFleet[[#This Row],[Calendar_h]]-tblFleet[[#This Row],[Down_h]])</f>
        <v/>
      </c>
      <c r="I2890" s="60">
        <f>IF(AND(tblFleet[[#This Row],[Units]]&lt;&gt;"",tblFleet[[#This Row],[Calendar_h]]&gt;0),tblFleet[[#This Row],[Available_h]]/tblFleet[[#This Row],[Calendar_h]],"")</f>
        <v/>
      </c>
      <c r="J2890" s="60">
        <f>IF(AND(tblFleet[[#This Row],[Units]]&lt;&gt;"",tblFleet[[#This Row],[Available_h]]&gt;0),tblFleet[[#This Row],[Operating_h]]/tblFleet[[#This Row],[Available_h]],"")</f>
        <v/>
      </c>
    </row>
    <row r="2891">
      <c r="A2891" s="54" t="n"/>
      <c r="B2891" s="61" t="n"/>
      <c r="C2891" s="62" t="n"/>
      <c r="D2891" s="57" t="n"/>
      <c r="E2891" s="57" t="n"/>
      <c r="F2891" s="58" t="n"/>
      <c r="G2891" s="66">
        <f>IF(tblFleet[[#This Row],[Units]]="","",tblFleet[[#This Row],[Units]]*24)</f>
        <v/>
      </c>
      <c r="H2891" s="66">
        <f>IF(tblFleet[[#This Row],[Units]]="","",tblFleet[[#This Row],[Calendar_h]]-tblFleet[[#This Row],[Down_h]])</f>
        <v/>
      </c>
      <c r="I2891" s="60">
        <f>IF(AND(tblFleet[[#This Row],[Units]]&lt;&gt;"",tblFleet[[#This Row],[Calendar_h]]&gt;0),tblFleet[[#This Row],[Available_h]]/tblFleet[[#This Row],[Calendar_h]],"")</f>
        <v/>
      </c>
      <c r="J2891" s="60">
        <f>IF(AND(tblFleet[[#This Row],[Units]]&lt;&gt;"",tblFleet[[#This Row],[Available_h]]&gt;0),tblFleet[[#This Row],[Operating_h]]/tblFleet[[#This Row],[Available_h]],"")</f>
        <v/>
      </c>
    </row>
    <row r="2892">
      <c r="A2892" s="54" t="n"/>
      <c r="B2892" s="61" t="n"/>
      <c r="C2892" s="62" t="n"/>
      <c r="D2892" s="57" t="n"/>
      <c r="E2892" s="57" t="n"/>
      <c r="F2892" s="58" t="n"/>
      <c r="G2892" s="66">
        <f>IF(tblFleet[[#This Row],[Units]]="","",tblFleet[[#This Row],[Units]]*24)</f>
        <v/>
      </c>
      <c r="H2892" s="66">
        <f>IF(tblFleet[[#This Row],[Units]]="","",tblFleet[[#This Row],[Calendar_h]]-tblFleet[[#This Row],[Down_h]])</f>
        <v/>
      </c>
      <c r="I2892" s="60">
        <f>IF(AND(tblFleet[[#This Row],[Units]]&lt;&gt;"",tblFleet[[#This Row],[Calendar_h]]&gt;0),tblFleet[[#This Row],[Available_h]]/tblFleet[[#This Row],[Calendar_h]],"")</f>
        <v/>
      </c>
      <c r="J2892" s="60">
        <f>IF(AND(tblFleet[[#This Row],[Units]]&lt;&gt;"",tblFleet[[#This Row],[Available_h]]&gt;0),tblFleet[[#This Row],[Operating_h]]/tblFleet[[#This Row],[Available_h]],"")</f>
        <v/>
      </c>
    </row>
    <row r="2893">
      <c r="A2893" s="54" t="n"/>
      <c r="B2893" s="61" t="n"/>
      <c r="C2893" s="62" t="n"/>
      <c r="D2893" s="57" t="n"/>
      <c r="E2893" s="57" t="n"/>
      <c r="F2893" s="58" t="n"/>
      <c r="G2893" s="66">
        <f>IF(tblFleet[[#This Row],[Units]]="","",tblFleet[[#This Row],[Units]]*24)</f>
        <v/>
      </c>
      <c r="H2893" s="66">
        <f>IF(tblFleet[[#This Row],[Units]]="","",tblFleet[[#This Row],[Calendar_h]]-tblFleet[[#This Row],[Down_h]])</f>
        <v/>
      </c>
      <c r="I2893" s="60">
        <f>IF(AND(tblFleet[[#This Row],[Units]]&lt;&gt;"",tblFleet[[#This Row],[Calendar_h]]&gt;0),tblFleet[[#This Row],[Available_h]]/tblFleet[[#This Row],[Calendar_h]],"")</f>
        <v/>
      </c>
      <c r="J2893" s="60">
        <f>IF(AND(tblFleet[[#This Row],[Units]]&lt;&gt;"",tblFleet[[#This Row],[Available_h]]&gt;0),tblFleet[[#This Row],[Operating_h]]/tblFleet[[#This Row],[Available_h]],"")</f>
        <v/>
      </c>
    </row>
    <row r="2894">
      <c r="A2894" s="54" t="n"/>
      <c r="B2894" s="61" t="n"/>
      <c r="C2894" s="62" t="n"/>
      <c r="D2894" s="57" t="n"/>
      <c r="E2894" s="57" t="n"/>
      <c r="F2894" s="58" t="n"/>
      <c r="G2894" s="66">
        <f>IF(tblFleet[[#This Row],[Units]]="","",tblFleet[[#This Row],[Units]]*24)</f>
        <v/>
      </c>
      <c r="H2894" s="66">
        <f>IF(tblFleet[[#This Row],[Units]]="","",tblFleet[[#This Row],[Calendar_h]]-tblFleet[[#This Row],[Down_h]])</f>
        <v/>
      </c>
      <c r="I2894" s="60">
        <f>IF(AND(tblFleet[[#This Row],[Units]]&lt;&gt;"",tblFleet[[#This Row],[Calendar_h]]&gt;0),tblFleet[[#This Row],[Available_h]]/tblFleet[[#This Row],[Calendar_h]],"")</f>
        <v/>
      </c>
      <c r="J2894" s="60">
        <f>IF(AND(tblFleet[[#This Row],[Units]]&lt;&gt;"",tblFleet[[#This Row],[Available_h]]&gt;0),tblFleet[[#This Row],[Operating_h]]/tblFleet[[#This Row],[Available_h]],"")</f>
        <v/>
      </c>
    </row>
    <row r="2895">
      <c r="A2895" s="54" t="n"/>
      <c r="B2895" s="61" t="n"/>
      <c r="C2895" s="62" t="n"/>
      <c r="D2895" s="57" t="n"/>
      <c r="E2895" s="57" t="n"/>
      <c r="F2895" s="58" t="n"/>
      <c r="G2895" s="66">
        <f>IF(tblFleet[[#This Row],[Units]]="","",tblFleet[[#This Row],[Units]]*24)</f>
        <v/>
      </c>
      <c r="H2895" s="66">
        <f>IF(tblFleet[[#This Row],[Units]]="","",tblFleet[[#This Row],[Calendar_h]]-tblFleet[[#This Row],[Down_h]])</f>
        <v/>
      </c>
      <c r="I2895" s="60">
        <f>IF(AND(tblFleet[[#This Row],[Units]]&lt;&gt;"",tblFleet[[#This Row],[Calendar_h]]&gt;0),tblFleet[[#This Row],[Available_h]]/tblFleet[[#This Row],[Calendar_h]],"")</f>
        <v/>
      </c>
      <c r="J2895" s="60">
        <f>IF(AND(tblFleet[[#This Row],[Units]]&lt;&gt;"",tblFleet[[#This Row],[Available_h]]&gt;0),tblFleet[[#This Row],[Operating_h]]/tblFleet[[#This Row],[Available_h]],"")</f>
        <v/>
      </c>
    </row>
    <row r="2896">
      <c r="A2896" s="54" t="n"/>
      <c r="B2896" s="61" t="n"/>
      <c r="C2896" s="62" t="n"/>
      <c r="D2896" s="57" t="n"/>
      <c r="E2896" s="57" t="n"/>
      <c r="F2896" s="58" t="n"/>
      <c r="G2896" s="66">
        <f>IF(tblFleet[[#This Row],[Units]]="","",tblFleet[[#This Row],[Units]]*24)</f>
        <v/>
      </c>
      <c r="H2896" s="66">
        <f>IF(tblFleet[[#This Row],[Units]]="","",tblFleet[[#This Row],[Calendar_h]]-tblFleet[[#This Row],[Down_h]])</f>
        <v/>
      </c>
      <c r="I2896" s="60">
        <f>IF(AND(tblFleet[[#This Row],[Units]]&lt;&gt;"",tblFleet[[#This Row],[Calendar_h]]&gt;0),tblFleet[[#This Row],[Available_h]]/tblFleet[[#This Row],[Calendar_h]],"")</f>
        <v/>
      </c>
      <c r="J2896" s="60">
        <f>IF(AND(tblFleet[[#This Row],[Units]]&lt;&gt;"",tblFleet[[#This Row],[Available_h]]&gt;0),tblFleet[[#This Row],[Operating_h]]/tblFleet[[#This Row],[Available_h]],"")</f>
        <v/>
      </c>
    </row>
    <row r="2897">
      <c r="A2897" s="54" t="n"/>
      <c r="B2897" s="61" t="n"/>
      <c r="C2897" s="62" t="n"/>
      <c r="D2897" s="57" t="n"/>
      <c r="E2897" s="57" t="n"/>
      <c r="F2897" s="58" t="n"/>
      <c r="G2897" s="66">
        <f>IF(tblFleet[[#This Row],[Units]]="","",tblFleet[[#This Row],[Units]]*24)</f>
        <v/>
      </c>
      <c r="H2897" s="66">
        <f>IF(tblFleet[[#This Row],[Units]]="","",tblFleet[[#This Row],[Calendar_h]]-tblFleet[[#This Row],[Down_h]])</f>
        <v/>
      </c>
      <c r="I2897" s="60">
        <f>IF(AND(tblFleet[[#This Row],[Units]]&lt;&gt;"",tblFleet[[#This Row],[Calendar_h]]&gt;0),tblFleet[[#This Row],[Available_h]]/tblFleet[[#This Row],[Calendar_h]],"")</f>
        <v/>
      </c>
      <c r="J2897" s="60">
        <f>IF(AND(tblFleet[[#This Row],[Units]]&lt;&gt;"",tblFleet[[#This Row],[Available_h]]&gt;0),tblFleet[[#This Row],[Operating_h]]/tblFleet[[#This Row],[Available_h]],"")</f>
        <v/>
      </c>
    </row>
    <row r="2898">
      <c r="A2898" s="54" t="n"/>
      <c r="B2898" s="61" t="n"/>
      <c r="C2898" s="62" t="n"/>
      <c r="D2898" s="57" t="n"/>
      <c r="E2898" s="57" t="n"/>
      <c r="F2898" s="58" t="n"/>
      <c r="G2898" s="66">
        <f>IF(tblFleet[[#This Row],[Units]]="","",tblFleet[[#This Row],[Units]]*24)</f>
        <v/>
      </c>
      <c r="H2898" s="66">
        <f>IF(tblFleet[[#This Row],[Units]]="","",tblFleet[[#This Row],[Calendar_h]]-tblFleet[[#This Row],[Down_h]])</f>
        <v/>
      </c>
      <c r="I2898" s="60">
        <f>IF(AND(tblFleet[[#This Row],[Units]]&lt;&gt;"",tblFleet[[#This Row],[Calendar_h]]&gt;0),tblFleet[[#This Row],[Available_h]]/tblFleet[[#This Row],[Calendar_h]],"")</f>
        <v/>
      </c>
      <c r="J2898" s="60">
        <f>IF(AND(tblFleet[[#This Row],[Units]]&lt;&gt;"",tblFleet[[#This Row],[Available_h]]&gt;0),tblFleet[[#This Row],[Operating_h]]/tblFleet[[#This Row],[Available_h]],"")</f>
        <v/>
      </c>
    </row>
    <row r="2899">
      <c r="A2899" s="54" t="n"/>
      <c r="B2899" s="61" t="n"/>
      <c r="C2899" s="62" t="n"/>
      <c r="D2899" s="57" t="n"/>
      <c r="E2899" s="57" t="n"/>
      <c r="F2899" s="58" t="n"/>
      <c r="G2899" s="66">
        <f>IF(tblFleet[[#This Row],[Units]]="","",tblFleet[[#This Row],[Units]]*24)</f>
        <v/>
      </c>
      <c r="H2899" s="66">
        <f>IF(tblFleet[[#This Row],[Units]]="","",tblFleet[[#This Row],[Calendar_h]]-tblFleet[[#This Row],[Down_h]])</f>
        <v/>
      </c>
      <c r="I2899" s="60">
        <f>IF(AND(tblFleet[[#This Row],[Units]]&lt;&gt;"",tblFleet[[#This Row],[Calendar_h]]&gt;0),tblFleet[[#This Row],[Available_h]]/tblFleet[[#This Row],[Calendar_h]],"")</f>
        <v/>
      </c>
      <c r="J2899" s="60">
        <f>IF(AND(tblFleet[[#This Row],[Units]]&lt;&gt;"",tblFleet[[#This Row],[Available_h]]&gt;0),tblFleet[[#This Row],[Operating_h]]/tblFleet[[#This Row],[Available_h]],"")</f>
        <v/>
      </c>
    </row>
    <row r="2900">
      <c r="A2900" s="54" t="n"/>
      <c r="B2900" s="61" t="n"/>
      <c r="C2900" s="62" t="n"/>
      <c r="D2900" s="57" t="n"/>
      <c r="E2900" s="57" t="n"/>
      <c r="F2900" s="58" t="n"/>
      <c r="G2900" s="66">
        <f>IF(tblFleet[[#This Row],[Units]]="","",tblFleet[[#This Row],[Units]]*24)</f>
        <v/>
      </c>
      <c r="H2900" s="66">
        <f>IF(tblFleet[[#This Row],[Units]]="","",tblFleet[[#This Row],[Calendar_h]]-tblFleet[[#This Row],[Down_h]])</f>
        <v/>
      </c>
      <c r="I2900" s="60">
        <f>IF(AND(tblFleet[[#This Row],[Units]]&lt;&gt;"",tblFleet[[#This Row],[Calendar_h]]&gt;0),tblFleet[[#This Row],[Available_h]]/tblFleet[[#This Row],[Calendar_h]],"")</f>
        <v/>
      </c>
      <c r="J2900" s="60">
        <f>IF(AND(tblFleet[[#This Row],[Units]]&lt;&gt;"",tblFleet[[#This Row],[Available_h]]&gt;0),tblFleet[[#This Row],[Operating_h]]/tblFleet[[#This Row],[Available_h]],"")</f>
        <v/>
      </c>
    </row>
    <row r="2901">
      <c r="A2901" s="54" t="n"/>
      <c r="B2901" s="61" t="n"/>
      <c r="C2901" s="62" t="n"/>
      <c r="D2901" s="57" t="n"/>
      <c r="E2901" s="57" t="n"/>
      <c r="F2901" s="58" t="n"/>
      <c r="G2901" s="66">
        <f>IF(tblFleet[[#This Row],[Units]]="","",tblFleet[[#This Row],[Units]]*24)</f>
        <v/>
      </c>
      <c r="H2901" s="66">
        <f>IF(tblFleet[[#This Row],[Units]]="","",tblFleet[[#This Row],[Calendar_h]]-tblFleet[[#This Row],[Down_h]])</f>
        <v/>
      </c>
      <c r="I2901" s="60">
        <f>IF(AND(tblFleet[[#This Row],[Units]]&lt;&gt;"",tblFleet[[#This Row],[Calendar_h]]&gt;0),tblFleet[[#This Row],[Available_h]]/tblFleet[[#This Row],[Calendar_h]],"")</f>
        <v/>
      </c>
      <c r="J2901" s="60">
        <f>IF(AND(tblFleet[[#This Row],[Units]]&lt;&gt;"",tblFleet[[#This Row],[Available_h]]&gt;0),tblFleet[[#This Row],[Operating_h]]/tblFleet[[#This Row],[Available_h]],"")</f>
        <v/>
      </c>
    </row>
    <row r="2902">
      <c r="A2902" s="54" t="n"/>
      <c r="B2902" s="61" t="n"/>
      <c r="C2902" s="62" t="n"/>
      <c r="D2902" s="57" t="n"/>
      <c r="E2902" s="57" t="n"/>
      <c r="F2902" s="58" t="n"/>
      <c r="G2902" s="66">
        <f>IF(tblFleet[[#This Row],[Units]]="","",tblFleet[[#This Row],[Units]]*24)</f>
        <v/>
      </c>
      <c r="H2902" s="66">
        <f>IF(tblFleet[[#This Row],[Units]]="","",tblFleet[[#This Row],[Calendar_h]]-tblFleet[[#This Row],[Down_h]])</f>
        <v/>
      </c>
      <c r="I2902" s="60">
        <f>IF(AND(tblFleet[[#This Row],[Units]]&lt;&gt;"",tblFleet[[#This Row],[Calendar_h]]&gt;0),tblFleet[[#This Row],[Available_h]]/tblFleet[[#This Row],[Calendar_h]],"")</f>
        <v/>
      </c>
      <c r="J2902" s="60">
        <f>IF(AND(tblFleet[[#This Row],[Units]]&lt;&gt;"",tblFleet[[#This Row],[Available_h]]&gt;0),tblFleet[[#This Row],[Operating_h]]/tblFleet[[#This Row],[Available_h]],"")</f>
        <v/>
      </c>
    </row>
    <row r="2903">
      <c r="A2903" s="54" t="n"/>
      <c r="B2903" s="61" t="n"/>
      <c r="C2903" s="62" t="n"/>
      <c r="D2903" s="57" t="n"/>
      <c r="E2903" s="57" t="n"/>
      <c r="F2903" s="58" t="n"/>
      <c r="G2903" s="66">
        <f>IF(tblFleet[[#This Row],[Units]]="","",tblFleet[[#This Row],[Units]]*24)</f>
        <v/>
      </c>
      <c r="H2903" s="66">
        <f>IF(tblFleet[[#This Row],[Units]]="","",tblFleet[[#This Row],[Calendar_h]]-tblFleet[[#This Row],[Down_h]])</f>
        <v/>
      </c>
      <c r="I2903" s="60">
        <f>IF(AND(tblFleet[[#This Row],[Units]]&lt;&gt;"",tblFleet[[#This Row],[Calendar_h]]&gt;0),tblFleet[[#This Row],[Available_h]]/tblFleet[[#This Row],[Calendar_h]],"")</f>
        <v/>
      </c>
      <c r="J2903" s="60">
        <f>IF(AND(tblFleet[[#This Row],[Units]]&lt;&gt;"",tblFleet[[#This Row],[Available_h]]&gt;0),tblFleet[[#This Row],[Operating_h]]/tblFleet[[#This Row],[Available_h]],"")</f>
        <v/>
      </c>
    </row>
    <row r="2904">
      <c r="A2904" s="54" t="n"/>
      <c r="B2904" s="61" t="n"/>
      <c r="C2904" s="62" t="n"/>
      <c r="D2904" s="57" t="n"/>
      <c r="E2904" s="57" t="n"/>
      <c r="F2904" s="58" t="n"/>
      <c r="G2904" s="66">
        <f>IF(tblFleet[[#This Row],[Units]]="","",tblFleet[[#This Row],[Units]]*24)</f>
        <v/>
      </c>
      <c r="H2904" s="66">
        <f>IF(tblFleet[[#This Row],[Units]]="","",tblFleet[[#This Row],[Calendar_h]]-tblFleet[[#This Row],[Down_h]])</f>
        <v/>
      </c>
      <c r="I2904" s="60">
        <f>IF(AND(tblFleet[[#This Row],[Units]]&lt;&gt;"",tblFleet[[#This Row],[Calendar_h]]&gt;0),tblFleet[[#This Row],[Available_h]]/tblFleet[[#This Row],[Calendar_h]],"")</f>
        <v/>
      </c>
      <c r="J2904" s="60">
        <f>IF(AND(tblFleet[[#This Row],[Units]]&lt;&gt;"",tblFleet[[#This Row],[Available_h]]&gt;0),tblFleet[[#This Row],[Operating_h]]/tblFleet[[#This Row],[Available_h]],"")</f>
        <v/>
      </c>
    </row>
    <row r="2905">
      <c r="A2905" s="54" t="n"/>
      <c r="B2905" s="61" t="n"/>
      <c r="C2905" s="62" t="n"/>
      <c r="D2905" s="57" t="n"/>
      <c r="E2905" s="57" t="n"/>
      <c r="F2905" s="58" t="n"/>
      <c r="G2905" s="66">
        <f>IF(tblFleet[[#This Row],[Units]]="","",tblFleet[[#This Row],[Units]]*24)</f>
        <v/>
      </c>
      <c r="H2905" s="66">
        <f>IF(tblFleet[[#This Row],[Units]]="","",tblFleet[[#This Row],[Calendar_h]]-tblFleet[[#This Row],[Down_h]])</f>
        <v/>
      </c>
      <c r="I2905" s="60">
        <f>IF(AND(tblFleet[[#This Row],[Units]]&lt;&gt;"",tblFleet[[#This Row],[Calendar_h]]&gt;0),tblFleet[[#This Row],[Available_h]]/tblFleet[[#This Row],[Calendar_h]],"")</f>
        <v/>
      </c>
      <c r="J2905" s="60">
        <f>IF(AND(tblFleet[[#This Row],[Units]]&lt;&gt;"",tblFleet[[#This Row],[Available_h]]&gt;0),tblFleet[[#This Row],[Operating_h]]/tblFleet[[#This Row],[Available_h]],"")</f>
        <v/>
      </c>
    </row>
    <row r="2906">
      <c r="A2906" s="54" t="n"/>
      <c r="B2906" s="61" t="n"/>
      <c r="C2906" s="62" t="n"/>
      <c r="D2906" s="57" t="n"/>
      <c r="E2906" s="57" t="n"/>
      <c r="F2906" s="58" t="n"/>
      <c r="G2906" s="66">
        <f>IF(tblFleet[[#This Row],[Units]]="","",tblFleet[[#This Row],[Units]]*24)</f>
        <v/>
      </c>
      <c r="H2906" s="66">
        <f>IF(tblFleet[[#This Row],[Units]]="","",tblFleet[[#This Row],[Calendar_h]]-tblFleet[[#This Row],[Down_h]])</f>
        <v/>
      </c>
      <c r="I2906" s="60">
        <f>IF(AND(tblFleet[[#This Row],[Units]]&lt;&gt;"",tblFleet[[#This Row],[Calendar_h]]&gt;0),tblFleet[[#This Row],[Available_h]]/tblFleet[[#This Row],[Calendar_h]],"")</f>
        <v/>
      </c>
      <c r="J2906" s="60">
        <f>IF(AND(tblFleet[[#This Row],[Units]]&lt;&gt;"",tblFleet[[#This Row],[Available_h]]&gt;0),tblFleet[[#This Row],[Operating_h]]/tblFleet[[#This Row],[Available_h]],"")</f>
        <v/>
      </c>
    </row>
    <row r="2907">
      <c r="A2907" s="54" t="n"/>
      <c r="B2907" s="61" t="n"/>
      <c r="C2907" s="62" t="n"/>
      <c r="D2907" s="57" t="n"/>
      <c r="E2907" s="57" t="n"/>
      <c r="F2907" s="58" t="n"/>
      <c r="G2907" s="66">
        <f>IF(tblFleet[[#This Row],[Units]]="","",tblFleet[[#This Row],[Units]]*24)</f>
        <v/>
      </c>
      <c r="H2907" s="66">
        <f>IF(tblFleet[[#This Row],[Units]]="","",tblFleet[[#This Row],[Calendar_h]]-tblFleet[[#This Row],[Down_h]])</f>
        <v/>
      </c>
      <c r="I2907" s="60">
        <f>IF(AND(tblFleet[[#This Row],[Units]]&lt;&gt;"",tblFleet[[#This Row],[Calendar_h]]&gt;0),tblFleet[[#This Row],[Available_h]]/tblFleet[[#This Row],[Calendar_h]],"")</f>
        <v/>
      </c>
      <c r="J2907" s="60">
        <f>IF(AND(tblFleet[[#This Row],[Units]]&lt;&gt;"",tblFleet[[#This Row],[Available_h]]&gt;0),tblFleet[[#This Row],[Operating_h]]/tblFleet[[#This Row],[Available_h]],"")</f>
        <v/>
      </c>
    </row>
    <row r="2908">
      <c r="A2908" s="54" t="n"/>
      <c r="B2908" s="61" t="n"/>
      <c r="C2908" s="62" t="n"/>
      <c r="D2908" s="57" t="n"/>
      <c r="E2908" s="57" t="n"/>
      <c r="F2908" s="58" t="n"/>
      <c r="G2908" s="66">
        <f>IF(tblFleet[[#This Row],[Units]]="","",tblFleet[[#This Row],[Units]]*24)</f>
        <v/>
      </c>
      <c r="H2908" s="66">
        <f>IF(tblFleet[[#This Row],[Units]]="","",tblFleet[[#This Row],[Calendar_h]]-tblFleet[[#This Row],[Down_h]])</f>
        <v/>
      </c>
      <c r="I2908" s="60">
        <f>IF(AND(tblFleet[[#This Row],[Units]]&lt;&gt;"",tblFleet[[#This Row],[Calendar_h]]&gt;0),tblFleet[[#This Row],[Available_h]]/tblFleet[[#This Row],[Calendar_h]],"")</f>
        <v/>
      </c>
      <c r="J2908" s="60">
        <f>IF(AND(tblFleet[[#This Row],[Units]]&lt;&gt;"",tblFleet[[#This Row],[Available_h]]&gt;0),tblFleet[[#This Row],[Operating_h]]/tblFleet[[#This Row],[Available_h]],"")</f>
        <v/>
      </c>
    </row>
    <row r="2909">
      <c r="A2909" s="54" t="n"/>
      <c r="B2909" s="61" t="n"/>
      <c r="C2909" s="62" t="n"/>
      <c r="D2909" s="57" t="n"/>
      <c r="E2909" s="57" t="n"/>
      <c r="F2909" s="58" t="n"/>
      <c r="G2909" s="66">
        <f>IF(tblFleet[[#This Row],[Units]]="","",tblFleet[[#This Row],[Units]]*24)</f>
        <v/>
      </c>
      <c r="H2909" s="66">
        <f>IF(tblFleet[[#This Row],[Units]]="","",tblFleet[[#This Row],[Calendar_h]]-tblFleet[[#This Row],[Down_h]])</f>
        <v/>
      </c>
      <c r="I2909" s="60">
        <f>IF(AND(tblFleet[[#This Row],[Units]]&lt;&gt;"",tblFleet[[#This Row],[Calendar_h]]&gt;0),tblFleet[[#This Row],[Available_h]]/tblFleet[[#This Row],[Calendar_h]],"")</f>
        <v/>
      </c>
      <c r="J2909" s="60">
        <f>IF(AND(tblFleet[[#This Row],[Units]]&lt;&gt;"",tblFleet[[#This Row],[Available_h]]&gt;0),tblFleet[[#This Row],[Operating_h]]/tblFleet[[#This Row],[Available_h]],"")</f>
        <v/>
      </c>
    </row>
    <row r="2910">
      <c r="A2910" s="54" t="n"/>
      <c r="B2910" s="61" t="n"/>
      <c r="C2910" s="62" t="n"/>
      <c r="D2910" s="57" t="n"/>
      <c r="E2910" s="57" t="n"/>
      <c r="F2910" s="58" t="n"/>
      <c r="G2910" s="66">
        <f>IF(tblFleet[[#This Row],[Units]]="","",tblFleet[[#This Row],[Units]]*24)</f>
        <v/>
      </c>
      <c r="H2910" s="66">
        <f>IF(tblFleet[[#This Row],[Units]]="","",tblFleet[[#This Row],[Calendar_h]]-tblFleet[[#This Row],[Down_h]])</f>
        <v/>
      </c>
      <c r="I2910" s="60">
        <f>IF(AND(tblFleet[[#This Row],[Units]]&lt;&gt;"",tblFleet[[#This Row],[Calendar_h]]&gt;0),tblFleet[[#This Row],[Available_h]]/tblFleet[[#This Row],[Calendar_h]],"")</f>
        <v/>
      </c>
      <c r="J2910" s="60">
        <f>IF(AND(tblFleet[[#This Row],[Units]]&lt;&gt;"",tblFleet[[#This Row],[Available_h]]&gt;0),tblFleet[[#This Row],[Operating_h]]/tblFleet[[#This Row],[Available_h]],"")</f>
        <v/>
      </c>
    </row>
    <row r="2911">
      <c r="A2911" s="54" t="n"/>
      <c r="B2911" s="61" t="n"/>
      <c r="C2911" s="62" t="n"/>
      <c r="D2911" s="57" t="n"/>
      <c r="E2911" s="57" t="n"/>
      <c r="F2911" s="58" t="n"/>
      <c r="G2911" s="66">
        <f>IF(tblFleet[[#This Row],[Units]]="","",tblFleet[[#This Row],[Units]]*24)</f>
        <v/>
      </c>
      <c r="H2911" s="66">
        <f>IF(tblFleet[[#This Row],[Units]]="","",tblFleet[[#This Row],[Calendar_h]]-tblFleet[[#This Row],[Down_h]])</f>
        <v/>
      </c>
      <c r="I2911" s="60">
        <f>IF(AND(tblFleet[[#This Row],[Units]]&lt;&gt;"",tblFleet[[#This Row],[Calendar_h]]&gt;0),tblFleet[[#This Row],[Available_h]]/tblFleet[[#This Row],[Calendar_h]],"")</f>
        <v/>
      </c>
      <c r="J2911" s="60">
        <f>IF(AND(tblFleet[[#This Row],[Units]]&lt;&gt;"",tblFleet[[#This Row],[Available_h]]&gt;0),tblFleet[[#This Row],[Operating_h]]/tblFleet[[#This Row],[Available_h]],"")</f>
        <v/>
      </c>
    </row>
    <row r="2912">
      <c r="A2912" s="54" t="n"/>
      <c r="B2912" s="61" t="n"/>
      <c r="C2912" s="62" t="n"/>
      <c r="D2912" s="57" t="n"/>
      <c r="E2912" s="57" t="n"/>
      <c r="F2912" s="58" t="n"/>
      <c r="G2912" s="66">
        <f>IF(tblFleet[[#This Row],[Units]]="","",tblFleet[[#This Row],[Units]]*24)</f>
        <v/>
      </c>
      <c r="H2912" s="66">
        <f>IF(tblFleet[[#This Row],[Units]]="","",tblFleet[[#This Row],[Calendar_h]]-tblFleet[[#This Row],[Down_h]])</f>
        <v/>
      </c>
      <c r="I2912" s="60">
        <f>IF(AND(tblFleet[[#This Row],[Units]]&lt;&gt;"",tblFleet[[#This Row],[Calendar_h]]&gt;0),tblFleet[[#This Row],[Available_h]]/tblFleet[[#This Row],[Calendar_h]],"")</f>
        <v/>
      </c>
      <c r="J2912" s="60">
        <f>IF(AND(tblFleet[[#This Row],[Units]]&lt;&gt;"",tblFleet[[#This Row],[Available_h]]&gt;0),tblFleet[[#This Row],[Operating_h]]/tblFleet[[#This Row],[Available_h]],"")</f>
        <v/>
      </c>
    </row>
    <row r="2913">
      <c r="A2913" s="54" t="n"/>
      <c r="B2913" s="61" t="n"/>
      <c r="C2913" s="62" t="n"/>
      <c r="D2913" s="57" t="n"/>
      <c r="E2913" s="57" t="n"/>
      <c r="F2913" s="58" t="n"/>
      <c r="G2913" s="66">
        <f>IF(tblFleet[[#This Row],[Units]]="","",tblFleet[[#This Row],[Units]]*24)</f>
        <v/>
      </c>
      <c r="H2913" s="66">
        <f>IF(tblFleet[[#This Row],[Units]]="","",tblFleet[[#This Row],[Calendar_h]]-tblFleet[[#This Row],[Down_h]])</f>
        <v/>
      </c>
      <c r="I2913" s="60">
        <f>IF(AND(tblFleet[[#This Row],[Units]]&lt;&gt;"",tblFleet[[#This Row],[Calendar_h]]&gt;0),tblFleet[[#This Row],[Available_h]]/tblFleet[[#This Row],[Calendar_h]],"")</f>
        <v/>
      </c>
      <c r="J2913" s="60">
        <f>IF(AND(tblFleet[[#This Row],[Units]]&lt;&gt;"",tblFleet[[#This Row],[Available_h]]&gt;0),tblFleet[[#This Row],[Operating_h]]/tblFleet[[#This Row],[Available_h]],"")</f>
        <v/>
      </c>
    </row>
    <row r="2914">
      <c r="A2914" s="54" t="n"/>
      <c r="B2914" s="61" t="n"/>
      <c r="C2914" s="62" t="n"/>
      <c r="D2914" s="57" t="n"/>
      <c r="E2914" s="57" t="n"/>
      <c r="F2914" s="58" t="n"/>
      <c r="G2914" s="66">
        <f>IF(tblFleet[[#This Row],[Units]]="","",tblFleet[[#This Row],[Units]]*24)</f>
        <v/>
      </c>
      <c r="H2914" s="66">
        <f>IF(tblFleet[[#This Row],[Units]]="","",tblFleet[[#This Row],[Calendar_h]]-tblFleet[[#This Row],[Down_h]])</f>
        <v/>
      </c>
      <c r="I2914" s="60">
        <f>IF(AND(tblFleet[[#This Row],[Units]]&lt;&gt;"",tblFleet[[#This Row],[Calendar_h]]&gt;0),tblFleet[[#This Row],[Available_h]]/tblFleet[[#This Row],[Calendar_h]],"")</f>
        <v/>
      </c>
      <c r="J2914" s="60">
        <f>IF(AND(tblFleet[[#This Row],[Units]]&lt;&gt;"",tblFleet[[#This Row],[Available_h]]&gt;0),tblFleet[[#This Row],[Operating_h]]/tblFleet[[#This Row],[Available_h]],"")</f>
        <v/>
      </c>
    </row>
    <row r="2915">
      <c r="A2915" s="54" t="n"/>
      <c r="B2915" s="61" t="n"/>
      <c r="C2915" s="62" t="n"/>
      <c r="D2915" s="57" t="n"/>
      <c r="E2915" s="57" t="n"/>
      <c r="F2915" s="58" t="n"/>
      <c r="G2915" s="66">
        <f>IF(tblFleet[[#This Row],[Units]]="","",tblFleet[[#This Row],[Units]]*24)</f>
        <v/>
      </c>
      <c r="H2915" s="66">
        <f>IF(tblFleet[[#This Row],[Units]]="","",tblFleet[[#This Row],[Calendar_h]]-tblFleet[[#This Row],[Down_h]])</f>
        <v/>
      </c>
      <c r="I2915" s="60">
        <f>IF(AND(tblFleet[[#This Row],[Units]]&lt;&gt;"",tblFleet[[#This Row],[Calendar_h]]&gt;0),tblFleet[[#This Row],[Available_h]]/tblFleet[[#This Row],[Calendar_h]],"")</f>
        <v/>
      </c>
      <c r="J2915" s="60">
        <f>IF(AND(tblFleet[[#This Row],[Units]]&lt;&gt;"",tblFleet[[#This Row],[Available_h]]&gt;0),tblFleet[[#This Row],[Operating_h]]/tblFleet[[#This Row],[Available_h]],"")</f>
        <v/>
      </c>
    </row>
    <row r="2916">
      <c r="A2916" s="54" t="n"/>
      <c r="B2916" s="61" t="n"/>
      <c r="C2916" s="62" t="n"/>
      <c r="D2916" s="57" t="n"/>
      <c r="E2916" s="57" t="n"/>
      <c r="F2916" s="58" t="n"/>
      <c r="G2916" s="66">
        <f>IF(tblFleet[[#This Row],[Units]]="","",tblFleet[[#This Row],[Units]]*24)</f>
        <v/>
      </c>
      <c r="H2916" s="66">
        <f>IF(tblFleet[[#This Row],[Units]]="","",tblFleet[[#This Row],[Calendar_h]]-tblFleet[[#This Row],[Down_h]])</f>
        <v/>
      </c>
      <c r="I2916" s="60">
        <f>IF(AND(tblFleet[[#This Row],[Units]]&lt;&gt;"",tblFleet[[#This Row],[Calendar_h]]&gt;0),tblFleet[[#This Row],[Available_h]]/tblFleet[[#This Row],[Calendar_h]],"")</f>
        <v/>
      </c>
      <c r="J2916" s="60">
        <f>IF(AND(tblFleet[[#This Row],[Units]]&lt;&gt;"",tblFleet[[#This Row],[Available_h]]&gt;0),tblFleet[[#This Row],[Operating_h]]/tblFleet[[#This Row],[Available_h]],"")</f>
        <v/>
      </c>
    </row>
    <row r="2917">
      <c r="A2917" s="54" t="n"/>
      <c r="B2917" s="61" t="n"/>
      <c r="C2917" s="62" t="n"/>
      <c r="D2917" s="57" t="n"/>
      <c r="E2917" s="57" t="n"/>
      <c r="F2917" s="58" t="n"/>
      <c r="G2917" s="66">
        <f>IF(tblFleet[[#This Row],[Units]]="","",tblFleet[[#This Row],[Units]]*24)</f>
        <v/>
      </c>
      <c r="H2917" s="66">
        <f>IF(tblFleet[[#This Row],[Units]]="","",tblFleet[[#This Row],[Calendar_h]]-tblFleet[[#This Row],[Down_h]])</f>
        <v/>
      </c>
      <c r="I2917" s="60">
        <f>IF(AND(tblFleet[[#This Row],[Units]]&lt;&gt;"",tblFleet[[#This Row],[Calendar_h]]&gt;0),tblFleet[[#This Row],[Available_h]]/tblFleet[[#This Row],[Calendar_h]],"")</f>
        <v/>
      </c>
      <c r="J2917" s="60">
        <f>IF(AND(tblFleet[[#This Row],[Units]]&lt;&gt;"",tblFleet[[#This Row],[Available_h]]&gt;0),tblFleet[[#This Row],[Operating_h]]/tblFleet[[#This Row],[Available_h]],"")</f>
        <v/>
      </c>
    </row>
    <row r="2918">
      <c r="A2918" s="54" t="n"/>
      <c r="B2918" s="61" t="n"/>
      <c r="C2918" s="62" t="n"/>
      <c r="D2918" s="57" t="n"/>
      <c r="E2918" s="57" t="n"/>
      <c r="F2918" s="58" t="n"/>
      <c r="G2918" s="66">
        <f>IF(tblFleet[[#This Row],[Units]]="","",tblFleet[[#This Row],[Units]]*24)</f>
        <v/>
      </c>
      <c r="H2918" s="66">
        <f>IF(tblFleet[[#This Row],[Units]]="","",tblFleet[[#This Row],[Calendar_h]]-tblFleet[[#This Row],[Down_h]])</f>
        <v/>
      </c>
      <c r="I2918" s="60">
        <f>IF(AND(tblFleet[[#This Row],[Units]]&lt;&gt;"",tblFleet[[#This Row],[Calendar_h]]&gt;0),tblFleet[[#This Row],[Available_h]]/tblFleet[[#This Row],[Calendar_h]],"")</f>
        <v/>
      </c>
      <c r="J2918" s="60">
        <f>IF(AND(tblFleet[[#This Row],[Units]]&lt;&gt;"",tblFleet[[#This Row],[Available_h]]&gt;0),tblFleet[[#This Row],[Operating_h]]/tblFleet[[#This Row],[Available_h]],"")</f>
        <v/>
      </c>
    </row>
    <row r="2919">
      <c r="A2919" s="54" t="n"/>
      <c r="B2919" s="61" t="n"/>
      <c r="C2919" s="62" t="n"/>
      <c r="D2919" s="57" t="n"/>
      <c r="E2919" s="57" t="n"/>
      <c r="F2919" s="58" t="n"/>
      <c r="G2919" s="66">
        <f>IF(tblFleet[[#This Row],[Units]]="","",tblFleet[[#This Row],[Units]]*24)</f>
        <v/>
      </c>
      <c r="H2919" s="66">
        <f>IF(tblFleet[[#This Row],[Units]]="","",tblFleet[[#This Row],[Calendar_h]]-tblFleet[[#This Row],[Down_h]])</f>
        <v/>
      </c>
      <c r="I2919" s="60">
        <f>IF(AND(tblFleet[[#This Row],[Units]]&lt;&gt;"",tblFleet[[#This Row],[Calendar_h]]&gt;0),tblFleet[[#This Row],[Available_h]]/tblFleet[[#This Row],[Calendar_h]],"")</f>
        <v/>
      </c>
      <c r="J2919" s="60">
        <f>IF(AND(tblFleet[[#This Row],[Units]]&lt;&gt;"",tblFleet[[#This Row],[Available_h]]&gt;0),tblFleet[[#This Row],[Operating_h]]/tblFleet[[#This Row],[Available_h]],"")</f>
        <v/>
      </c>
    </row>
    <row r="2920">
      <c r="A2920" s="54" t="n"/>
      <c r="B2920" s="61" t="n"/>
      <c r="C2920" s="62" t="n"/>
      <c r="D2920" s="57" t="n"/>
      <c r="E2920" s="57" t="n"/>
      <c r="F2920" s="58" t="n"/>
      <c r="G2920" s="66">
        <f>IF(tblFleet[[#This Row],[Units]]="","",tblFleet[[#This Row],[Units]]*24)</f>
        <v/>
      </c>
      <c r="H2920" s="66">
        <f>IF(tblFleet[[#This Row],[Units]]="","",tblFleet[[#This Row],[Calendar_h]]-tblFleet[[#This Row],[Down_h]])</f>
        <v/>
      </c>
      <c r="I2920" s="60">
        <f>IF(AND(tblFleet[[#This Row],[Units]]&lt;&gt;"",tblFleet[[#This Row],[Calendar_h]]&gt;0),tblFleet[[#This Row],[Available_h]]/tblFleet[[#This Row],[Calendar_h]],"")</f>
        <v/>
      </c>
      <c r="J2920" s="60">
        <f>IF(AND(tblFleet[[#This Row],[Units]]&lt;&gt;"",tblFleet[[#This Row],[Available_h]]&gt;0),tblFleet[[#This Row],[Operating_h]]/tblFleet[[#This Row],[Available_h]],"")</f>
        <v/>
      </c>
    </row>
    <row r="2921">
      <c r="A2921" s="54" t="n"/>
      <c r="B2921" s="61" t="n"/>
      <c r="C2921" s="62" t="n"/>
      <c r="D2921" s="57" t="n"/>
      <c r="E2921" s="57" t="n"/>
      <c r="F2921" s="58" t="n"/>
      <c r="G2921" s="66">
        <f>IF(tblFleet[[#This Row],[Units]]="","",tblFleet[[#This Row],[Units]]*24)</f>
        <v/>
      </c>
      <c r="H2921" s="66">
        <f>IF(tblFleet[[#This Row],[Units]]="","",tblFleet[[#This Row],[Calendar_h]]-tblFleet[[#This Row],[Down_h]])</f>
        <v/>
      </c>
      <c r="I2921" s="60">
        <f>IF(AND(tblFleet[[#This Row],[Units]]&lt;&gt;"",tblFleet[[#This Row],[Calendar_h]]&gt;0),tblFleet[[#This Row],[Available_h]]/tblFleet[[#This Row],[Calendar_h]],"")</f>
        <v/>
      </c>
      <c r="J2921" s="60">
        <f>IF(AND(tblFleet[[#This Row],[Units]]&lt;&gt;"",tblFleet[[#This Row],[Available_h]]&gt;0),tblFleet[[#This Row],[Operating_h]]/tblFleet[[#This Row],[Available_h]],"")</f>
        <v/>
      </c>
    </row>
    <row r="2922">
      <c r="A2922" s="54" t="n"/>
      <c r="B2922" s="61" t="n"/>
      <c r="C2922" s="62" t="n"/>
      <c r="D2922" s="57" t="n"/>
      <c r="E2922" s="57" t="n"/>
      <c r="F2922" s="58" t="n"/>
      <c r="G2922" s="66">
        <f>IF(tblFleet[[#This Row],[Units]]="","",tblFleet[[#This Row],[Units]]*24)</f>
        <v/>
      </c>
      <c r="H2922" s="66">
        <f>IF(tblFleet[[#This Row],[Units]]="","",tblFleet[[#This Row],[Calendar_h]]-tblFleet[[#This Row],[Down_h]])</f>
        <v/>
      </c>
      <c r="I2922" s="60">
        <f>IF(AND(tblFleet[[#This Row],[Units]]&lt;&gt;"",tblFleet[[#This Row],[Calendar_h]]&gt;0),tblFleet[[#This Row],[Available_h]]/tblFleet[[#This Row],[Calendar_h]],"")</f>
        <v/>
      </c>
      <c r="J2922" s="60">
        <f>IF(AND(tblFleet[[#This Row],[Units]]&lt;&gt;"",tblFleet[[#This Row],[Available_h]]&gt;0),tblFleet[[#This Row],[Operating_h]]/tblFleet[[#This Row],[Available_h]],"")</f>
        <v/>
      </c>
    </row>
    <row r="2923">
      <c r="A2923" s="54" t="n"/>
      <c r="B2923" s="61" t="n"/>
      <c r="C2923" s="62" t="n"/>
      <c r="D2923" s="57" t="n"/>
      <c r="E2923" s="57" t="n"/>
      <c r="F2923" s="58" t="n"/>
      <c r="G2923" s="66">
        <f>IF(tblFleet[[#This Row],[Units]]="","",tblFleet[[#This Row],[Units]]*24)</f>
        <v/>
      </c>
      <c r="H2923" s="66">
        <f>IF(tblFleet[[#This Row],[Units]]="","",tblFleet[[#This Row],[Calendar_h]]-tblFleet[[#This Row],[Down_h]])</f>
        <v/>
      </c>
      <c r="I2923" s="60">
        <f>IF(AND(tblFleet[[#This Row],[Units]]&lt;&gt;"",tblFleet[[#This Row],[Calendar_h]]&gt;0),tblFleet[[#This Row],[Available_h]]/tblFleet[[#This Row],[Calendar_h]],"")</f>
        <v/>
      </c>
      <c r="J2923" s="60">
        <f>IF(AND(tblFleet[[#This Row],[Units]]&lt;&gt;"",tblFleet[[#This Row],[Available_h]]&gt;0),tblFleet[[#This Row],[Operating_h]]/tblFleet[[#This Row],[Available_h]],"")</f>
        <v/>
      </c>
    </row>
    <row r="2924">
      <c r="A2924" s="54" t="n"/>
      <c r="B2924" s="61" t="n"/>
      <c r="C2924" s="62" t="n"/>
      <c r="D2924" s="57" t="n"/>
      <c r="E2924" s="57" t="n"/>
      <c r="F2924" s="58" t="n"/>
      <c r="G2924" s="66">
        <f>IF(tblFleet[[#This Row],[Units]]="","",tblFleet[[#This Row],[Units]]*24)</f>
        <v/>
      </c>
      <c r="H2924" s="66">
        <f>IF(tblFleet[[#This Row],[Units]]="","",tblFleet[[#This Row],[Calendar_h]]-tblFleet[[#This Row],[Down_h]])</f>
        <v/>
      </c>
      <c r="I2924" s="60">
        <f>IF(AND(tblFleet[[#This Row],[Units]]&lt;&gt;"",tblFleet[[#This Row],[Calendar_h]]&gt;0),tblFleet[[#This Row],[Available_h]]/tblFleet[[#This Row],[Calendar_h]],"")</f>
        <v/>
      </c>
      <c r="J2924" s="60">
        <f>IF(AND(tblFleet[[#This Row],[Units]]&lt;&gt;"",tblFleet[[#This Row],[Available_h]]&gt;0),tblFleet[[#This Row],[Operating_h]]/tblFleet[[#This Row],[Available_h]],"")</f>
        <v/>
      </c>
    </row>
    <row r="2925">
      <c r="A2925" s="54" t="n"/>
      <c r="B2925" s="61" t="n"/>
      <c r="C2925" s="62" t="n"/>
      <c r="D2925" s="57" t="n"/>
      <c r="E2925" s="57" t="n"/>
      <c r="F2925" s="58" t="n"/>
      <c r="G2925" s="66">
        <f>IF(tblFleet[[#This Row],[Units]]="","",tblFleet[[#This Row],[Units]]*24)</f>
        <v/>
      </c>
      <c r="H2925" s="66">
        <f>IF(tblFleet[[#This Row],[Units]]="","",tblFleet[[#This Row],[Calendar_h]]-tblFleet[[#This Row],[Down_h]])</f>
        <v/>
      </c>
      <c r="I2925" s="60">
        <f>IF(AND(tblFleet[[#This Row],[Units]]&lt;&gt;"",tblFleet[[#This Row],[Calendar_h]]&gt;0),tblFleet[[#This Row],[Available_h]]/tblFleet[[#This Row],[Calendar_h]],"")</f>
        <v/>
      </c>
      <c r="J2925" s="60">
        <f>IF(AND(tblFleet[[#This Row],[Units]]&lt;&gt;"",tblFleet[[#This Row],[Available_h]]&gt;0),tblFleet[[#This Row],[Operating_h]]/tblFleet[[#This Row],[Available_h]],"")</f>
        <v/>
      </c>
    </row>
    <row r="2926">
      <c r="A2926" s="54" t="n"/>
      <c r="B2926" s="61" t="n"/>
      <c r="C2926" s="62" t="n"/>
      <c r="D2926" s="57" t="n"/>
      <c r="E2926" s="57" t="n"/>
      <c r="F2926" s="58" t="n"/>
      <c r="G2926" s="66">
        <f>IF(tblFleet[[#This Row],[Units]]="","",tblFleet[[#This Row],[Units]]*24)</f>
        <v/>
      </c>
      <c r="H2926" s="66">
        <f>IF(tblFleet[[#This Row],[Units]]="","",tblFleet[[#This Row],[Calendar_h]]-tblFleet[[#This Row],[Down_h]])</f>
        <v/>
      </c>
      <c r="I2926" s="60">
        <f>IF(AND(tblFleet[[#This Row],[Units]]&lt;&gt;"",tblFleet[[#This Row],[Calendar_h]]&gt;0),tblFleet[[#This Row],[Available_h]]/tblFleet[[#This Row],[Calendar_h]],"")</f>
        <v/>
      </c>
      <c r="J2926" s="60">
        <f>IF(AND(tblFleet[[#This Row],[Units]]&lt;&gt;"",tblFleet[[#This Row],[Available_h]]&gt;0),tblFleet[[#This Row],[Operating_h]]/tblFleet[[#This Row],[Available_h]],"")</f>
        <v/>
      </c>
    </row>
    <row r="2927">
      <c r="A2927" s="54" t="n"/>
      <c r="B2927" s="61" t="n"/>
      <c r="C2927" s="62" t="n"/>
      <c r="D2927" s="57" t="n"/>
      <c r="E2927" s="57" t="n"/>
      <c r="F2927" s="58" t="n"/>
      <c r="G2927" s="66">
        <f>IF(tblFleet[[#This Row],[Units]]="","",tblFleet[[#This Row],[Units]]*24)</f>
        <v/>
      </c>
      <c r="H2927" s="66">
        <f>IF(tblFleet[[#This Row],[Units]]="","",tblFleet[[#This Row],[Calendar_h]]-tblFleet[[#This Row],[Down_h]])</f>
        <v/>
      </c>
      <c r="I2927" s="60">
        <f>IF(AND(tblFleet[[#This Row],[Units]]&lt;&gt;"",tblFleet[[#This Row],[Calendar_h]]&gt;0),tblFleet[[#This Row],[Available_h]]/tblFleet[[#This Row],[Calendar_h]],"")</f>
        <v/>
      </c>
      <c r="J2927" s="60">
        <f>IF(AND(tblFleet[[#This Row],[Units]]&lt;&gt;"",tblFleet[[#This Row],[Available_h]]&gt;0),tblFleet[[#This Row],[Operating_h]]/tblFleet[[#This Row],[Available_h]],"")</f>
        <v/>
      </c>
    </row>
    <row r="2928">
      <c r="A2928" s="54" t="n"/>
      <c r="B2928" s="61" t="n"/>
      <c r="C2928" s="62" t="n"/>
      <c r="D2928" s="57" t="n"/>
      <c r="E2928" s="57" t="n"/>
      <c r="F2928" s="58" t="n"/>
      <c r="G2928" s="66">
        <f>IF(tblFleet[[#This Row],[Units]]="","",tblFleet[[#This Row],[Units]]*24)</f>
        <v/>
      </c>
      <c r="H2928" s="66">
        <f>IF(tblFleet[[#This Row],[Units]]="","",tblFleet[[#This Row],[Calendar_h]]-tblFleet[[#This Row],[Down_h]])</f>
        <v/>
      </c>
      <c r="I2928" s="60">
        <f>IF(AND(tblFleet[[#This Row],[Units]]&lt;&gt;"",tblFleet[[#This Row],[Calendar_h]]&gt;0),tblFleet[[#This Row],[Available_h]]/tblFleet[[#This Row],[Calendar_h]],"")</f>
        <v/>
      </c>
      <c r="J2928" s="60">
        <f>IF(AND(tblFleet[[#This Row],[Units]]&lt;&gt;"",tblFleet[[#This Row],[Available_h]]&gt;0),tblFleet[[#This Row],[Operating_h]]/tblFleet[[#This Row],[Available_h]],"")</f>
        <v/>
      </c>
    </row>
    <row r="2929">
      <c r="A2929" s="54" t="n"/>
      <c r="B2929" s="61" t="n"/>
      <c r="C2929" s="62" t="n"/>
      <c r="D2929" s="57" t="n"/>
      <c r="E2929" s="57" t="n"/>
      <c r="F2929" s="58" t="n"/>
      <c r="G2929" s="66">
        <f>IF(tblFleet[[#This Row],[Units]]="","",tblFleet[[#This Row],[Units]]*24)</f>
        <v/>
      </c>
      <c r="H2929" s="66">
        <f>IF(tblFleet[[#This Row],[Units]]="","",tblFleet[[#This Row],[Calendar_h]]-tblFleet[[#This Row],[Down_h]])</f>
        <v/>
      </c>
      <c r="I2929" s="60">
        <f>IF(AND(tblFleet[[#This Row],[Units]]&lt;&gt;"",tblFleet[[#This Row],[Calendar_h]]&gt;0),tblFleet[[#This Row],[Available_h]]/tblFleet[[#This Row],[Calendar_h]],"")</f>
        <v/>
      </c>
      <c r="J2929" s="60">
        <f>IF(AND(tblFleet[[#This Row],[Units]]&lt;&gt;"",tblFleet[[#This Row],[Available_h]]&gt;0),tblFleet[[#This Row],[Operating_h]]/tblFleet[[#This Row],[Available_h]],"")</f>
        <v/>
      </c>
    </row>
    <row r="2930">
      <c r="A2930" s="54" t="n"/>
      <c r="B2930" s="61" t="n"/>
      <c r="C2930" s="62" t="n"/>
      <c r="D2930" s="57" t="n"/>
      <c r="E2930" s="57" t="n"/>
      <c r="F2930" s="58" t="n"/>
      <c r="G2930" s="66">
        <f>IF(tblFleet[[#This Row],[Units]]="","",tblFleet[[#This Row],[Units]]*24)</f>
        <v/>
      </c>
      <c r="H2930" s="66">
        <f>IF(tblFleet[[#This Row],[Units]]="","",tblFleet[[#This Row],[Calendar_h]]-tblFleet[[#This Row],[Down_h]])</f>
        <v/>
      </c>
      <c r="I2930" s="60">
        <f>IF(AND(tblFleet[[#This Row],[Units]]&lt;&gt;"",tblFleet[[#This Row],[Calendar_h]]&gt;0),tblFleet[[#This Row],[Available_h]]/tblFleet[[#This Row],[Calendar_h]],"")</f>
        <v/>
      </c>
      <c r="J2930" s="60">
        <f>IF(AND(tblFleet[[#This Row],[Units]]&lt;&gt;"",tblFleet[[#This Row],[Available_h]]&gt;0),tblFleet[[#This Row],[Operating_h]]/tblFleet[[#This Row],[Available_h]],"")</f>
        <v/>
      </c>
    </row>
    <row r="2931">
      <c r="A2931" s="54" t="n"/>
      <c r="B2931" s="61" t="n"/>
      <c r="C2931" s="62" t="n"/>
      <c r="D2931" s="57" t="n"/>
      <c r="E2931" s="57" t="n"/>
      <c r="F2931" s="58" t="n"/>
      <c r="G2931" s="66">
        <f>IF(tblFleet[[#This Row],[Units]]="","",tblFleet[[#This Row],[Units]]*24)</f>
        <v/>
      </c>
      <c r="H2931" s="66">
        <f>IF(tblFleet[[#This Row],[Units]]="","",tblFleet[[#This Row],[Calendar_h]]-tblFleet[[#This Row],[Down_h]])</f>
        <v/>
      </c>
      <c r="I2931" s="60">
        <f>IF(AND(tblFleet[[#This Row],[Units]]&lt;&gt;"",tblFleet[[#This Row],[Calendar_h]]&gt;0),tblFleet[[#This Row],[Available_h]]/tblFleet[[#This Row],[Calendar_h]],"")</f>
        <v/>
      </c>
      <c r="J2931" s="60">
        <f>IF(AND(tblFleet[[#This Row],[Units]]&lt;&gt;"",tblFleet[[#This Row],[Available_h]]&gt;0),tblFleet[[#This Row],[Operating_h]]/tblFleet[[#This Row],[Available_h]],"")</f>
        <v/>
      </c>
    </row>
    <row r="2932">
      <c r="A2932" s="54" t="n"/>
      <c r="B2932" s="61" t="n"/>
      <c r="C2932" s="62" t="n"/>
      <c r="D2932" s="57" t="n"/>
      <c r="E2932" s="57" t="n"/>
      <c r="F2932" s="58" t="n"/>
      <c r="G2932" s="66">
        <f>IF(tblFleet[[#This Row],[Units]]="","",tblFleet[[#This Row],[Units]]*24)</f>
        <v/>
      </c>
      <c r="H2932" s="66">
        <f>IF(tblFleet[[#This Row],[Units]]="","",tblFleet[[#This Row],[Calendar_h]]-tblFleet[[#This Row],[Down_h]])</f>
        <v/>
      </c>
      <c r="I2932" s="60">
        <f>IF(AND(tblFleet[[#This Row],[Units]]&lt;&gt;"",tblFleet[[#This Row],[Calendar_h]]&gt;0),tblFleet[[#This Row],[Available_h]]/tblFleet[[#This Row],[Calendar_h]],"")</f>
        <v/>
      </c>
      <c r="J2932" s="60">
        <f>IF(AND(tblFleet[[#This Row],[Units]]&lt;&gt;"",tblFleet[[#This Row],[Available_h]]&gt;0),tblFleet[[#This Row],[Operating_h]]/tblFleet[[#This Row],[Available_h]],"")</f>
        <v/>
      </c>
    </row>
    <row r="2933">
      <c r="A2933" s="54" t="n"/>
      <c r="B2933" s="61" t="n"/>
      <c r="C2933" s="62" t="n"/>
      <c r="D2933" s="57" t="n"/>
      <c r="E2933" s="57" t="n"/>
      <c r="F2933" s="58" t="n"/>
      <c r="G2933" s="66">
        <f>IF(tblFleet[[#This Row],[Units]]="","",tblFleet[[#This Row],[Units]]*24)</f>
        <v/>
      </c>
      <c r="H2933" s="66">
        <f>IF(tblFleet[[#This Row],[Units]]="","",tblFleet[[#This Row],[Calendar_h]]-tblFleet[[#This Row],[Down_h]])</f>
        <v/>
      </c>
      <c r="I2933" s="60">
        <f>IF(AND(tblFleet[[#This Row],[Units]]&lt;&gt;"",tblFleet[[#This Row],[Calendar_h]]&gt;0),tblFleet[[#This Row],[Available_h]]/tblFleet[[#This Row],[Calendar_h]],"")</f>
        <v/>
      </c>
      <c r="J2933" s="60">
        <f>IF(AND(tblFleet[[#This Row],[Units]]&lt;&gt;"",tblFleet[[#This Row],[Available_h]]&gt;0),tblFleet[[#This Row],[Operating_h]]/tblFleet[[#This Row],[Available_h]],"")</f>
        <v/>
      </c>
    </row>
    <row r="2934">
      <c r="A2934" s="54" t="n"/>
      <c r="B2934" s="61" t="n"/>
      <c r="C2934" s="62" t="n"/>
      <c r="D2934" s="57" t="n"/>
      <c r="E2934" s="57" t="n"/>
      <c r="F2934" s="58" t="n"/>
      <c r="G2934" s="66">
        <f>IF(tblFleet[[#This Row],[Units]]="","",tblFleet[[#This Row],[Units]]*24)</f>
        <v/>
      </c>
      <c r="H2934" s="66">
        <f>IF(tblFleet[[#This Row],[Units]]="","",tblFleet[[#This Row],[Calendar_h]]-tblFleet[[#This Row],[Down_h]])</f>
        <v/>
      </c>
      <c r="I2934" s="60">
        <f>IF(AND(tblFleet[[#This Row],[Units]]&lt;&gt;"",tblFleet[[#This Row],[Calendar_h]]&gt;0),tblFleet[[#This Row],[Available_h]]/tblFleet[[#This Row],[Calendar_h]],"")</f>
        <v/>
      </c>
      <c r="J2934" s="60">
        <f>IF(AND(tblFleet[[#This Row],[Units]]&lt;&gt;"",tblFleet[[#This Row],[Available_h]]&gt;0),tblFleet[[#This Row],[Operating_h]]/tblFleet[[#This Row],[Available_h]],"")</f>
        <v/>
      </c>
    </row>
    <row r="2935">
      <c r="A2935" s="54" t="n"/>
      <c r="B2935" s="61" t="n"/>
      <c r="C2935" s="62" t="n"/>
      <c r="D2935" s="57" t="n"/>
      <c r="E2935" s="57" t="n"/>
      <c r="F2935" s="58" t="n"/>
      <c r="G2935" s="66">
        <f>IF(tblFleet[[#This Row],[Units]]="","",tblFleet[[#This Row],[Units]]*24)</f>
        <v/>
      </c>
      <c r="H2935" s="66">
        <f>IF(tblFleet[[#This Row],[Units]]="","",tblFleet[[#This Row],[Calendar_h]]-tblFleet[[#This Row],[Down_h]])</f>
        <v/>
      </c>
      <c r="I2935" s="60">
        <f>IF(AND(tblFleet[[#This Row],[Units]]&lt;&gt;"",tblFleet[[#This Row],[Calendar_h]]&gt;0),tblFleet[[#This Row],[Available_h]]/tblFleet[[#This Row],[Calendar_h]],"")</f>
        <v/>
      </c>
      <c r="J2935" s="60">
        <f>IF(AND(tblFleet[[#This Row],[Units]]&lt;&gt;"",tblFleet[[#This Row],[Available_h]]&gt;0),tblFleet[[#This Row],[Operating_h]]/tblFleet[[#This Row],[Available_h]],"")</f>
        <v/>
      </c>
    </row>
    <row r="2936">
      <c r="A2936" s="54" t="n"/>
      <c r="B2936" s="61" t="n"/>
      <c r="C2936" s="62" t="n"/>
      <c r="D2936" s="57" t="n"/>
      <c r="E2936" s="57" t="n"/>
      <c r="F2936" s="58" t="n"/>
      <c r="G2936" s="66">
        <f>IF(tblFleet[[#This Row],[Units]]="","",tblFleet[[#This Row],[Units]]*24)</f>
        <v/>
      </c>
      <c r="H2936" s="66">
        <f>IF(tblFleet[[#This Row],[Units]]="","",tblFleet[[#This Row],[Calendar_h]]-tblFleet[[#This Row],[Down_h]])</f>
        <v/>
      </c>
      <c r="I2936" s="60">
        <f>IF(AND(tblFleet[[#This Row],[Units]]&lt;&gt;"",tblFleet[[#This Row],[Calendar_h]]&gt;0),tblFleet[[#This Row],[Available_h]]/tblFleet[[#This Row],[Calendar_h]],"")</f>
        <v/>
      </c>
      <c r="J2936" s="60">
        <f>IF(AND(tblFleet[[#This Row],[Units]]&lt;&gt;"",tblFleet[[#This Row],[Available_h]]&gt;0),tblFleet[[#This Row],[Operating_h]]/tblFleet[[#This Row],[Available_h]],"")</f>
        <v/>
      </c>
    </row>
    <row r="2937">
      <c r="A2937" s="54" t="n"/>
      <c r="B2937" s="61" t="n"/>
      <c r="C2937" s="62" t="n"/>
      <c r="D2937" s="57" t="n"/>
      <c r="E2937" s="57" t="n"/>
      <c r="F2937" s="58" t="n"/>
      <c r="G2937" s="66">
        <f>IF(tblFleet[[#This Row],[Units]]="","",tblFleet[[#This Row],[Units]]*24)</f>
        <v/>
      </c>
      <c r="H2937" s="66">
        <f>IF(tblFleet[[#This Row],[Units]]="","",tblFleet[[#This Row],[Calendar_h]]-tblFleet[[#This Row],[Down_h]])</f>
        <v/>
      </c>
      <c r="I2937" s="60">
        <f>IF(AND(tblFleet[[#This Row],[Units]]&lt;&gt;"",tblFleet[[#This Row],[Calendar_h]]&gt;0),tblFleet[[#This Row],[Available_h]]/tblFleet[[#This Row],[Calendar_h]],"")</f>
        <v/>
      </c>
      <c r="J2937" s="60">
        <f>IF(AND(tblFleet[[#This Row],[Units]]&lt;&gt;"",tblFleet[[#This Row],[Available_h]]&gt;0),tblFleet[[#This Row],[Operating_h]]/tblFleet[[#This Row],[Available_h]],"")</f>
        <v/>
      </c>
    </row>
    <row r="2938">
      <c r="A2938" s="54" t="n"/>
      <c r="B2938" s="61" t="n"/>
      <c r="C2938" s="62" t="n"/>
      <c r="D2938" s="57" t="n"/>
      <c r="E2938" s="57" t="n"/>
      <c r="F2938" s="58" t="n"/>
      <c r="G2938" s="66">
        <f>IF(tblFleet[[#This Row],[Units]]="","",tblFleet[[#This Row],[Units]]*24)</f>
        <v/>
      </c>
      <c r="H2938" s="66">
        <f>IF(tblFleet[[#This Row],[Units]]="","",tblFleet[[#This Row],[Calendar_h]]-tblFleet[[#This Row],[Down_h]])</f>
        <v/>
      </c>
      <c r="I2938" s="60">
        <f>IF(AND(tblFleet[[#This Row],[Units]]&lt;&gt;"",tblFleet[[#This Row],[Calendar_h]]&gt;0),tblFleet[[#This Row],[Available_h]]/tblFleet[[#This Row],[Calendar_h]],"")</f>
        <v/>
      </c>
      <c r="J2938" s="60">
        <f>IF(AND(tblFleet[[#This Row],[Units]]&lt;&gt;"",tblFleet[[#This Row],[Available_h]]&gt;0),tblFleet[[#This Row],[Operating_h]]/tblFleet[[#This Row],[Available_h]],"")</f>
        <v/>
      </c>
    </row>
    <row r="2939">
      <c r="A2939" s="54" t="n"/>
      <c r="B2939" s="61" t="n"/>
      <c r="C2939" s="62" t="n"/>
      <c r="D2939" s="57" t="n"/>
      <c r="E2939" s="57" t="n"/>
      <c r="F2939" s="58" t="n"/>
      <c r="G2939" s="66">
        <f>IF(tblFleet[[#This Row],[Units]]="","",tblFleet[[#This Row],[Units]]*24)</f>
        <v/>
      </c>
      <c r="H2939" s="66">
        <f>IF(tblFleet[[#This Row],[Units]]="","",tblFleet[[#This Row],[Calendar_h]]-tblFleet[[#This Row],[Down_h]])</f>
        <v/>
      </c>
      <c r="I2939" s="60">
        <f>IF(AND(tblFleet[[#This Row],[Units]]&lt;&gt;"",tblFleet[[#This Row],[Calendar_h]]&gt;0),tblFleet[[#This Row],[Available_h]]/tblFleet[[#This Row],[Calendar_h]],"")</f>
        <v/>
      </c>
      <c r="J2939" s="60">
        <f>IF(AND(tblFleet[[#This Row],[Units]]&lt;&gt;"",tblFleet[[#This Row],[Available_h]]&gt;0),tblFleet[[#This Row],[Operating_h]]/tblFleet[[#This Row],[Available_h]],"")</f>
        <v/>
      </c>
    </row>
    <row r="2940">
      <c r="A2940" s="54" t="n"/>
      <c r="B2940" s="61" t="n"/>
      <c r="C2940" s="62" t="n"/>
      <c r="D2940" s="57" t="n"/>
      <c r="E2940" s="57" t="n"/>
      <c r="F2940" s="58" t="n"/>
      <c r="G2940" s="66">
        <f>IF(tblFleet[[#This Row],[Units]]="","",tblFleet[[#This Row],[Units]]*24)</f>
        <v/>
      </c>
      <c r="H2940" s="66">
        <f>IF(tblFleet[[#This Row],[Units]]="","",tblFleet[[#This Row],[Calendar_h]]-tblFleet[[#This Row],[Down_h]])</f>
        <v/>
      </c>
      <c r="I2940" s="60">
        <f>IF(AND(tblFleet[[#This Row],[Units]]&lt;&gt;"",tblFleet[[#This Row],[Calendar_h]]&gt;0),tblFleet[[#This Row],[Available_h]]/tblFleet[[#This Row],[Calendar_h]],"")</f>
        <v/>
      </c>
      <c r="J2940" s="60">
        <f>IF(AND(tblFleet[[#This Row],[Units]]&lt;&gt;"",tblFleet[[#This Row],[Available_h]]&gt;0),tblFleet[[#This Row],[Operating_h]]/tblFleet[[#This Row],[Available_h]],"")</f>
        <v/>
      </c>
    </row>
    <row r="2941">
      <c r="A2941" s="54" t="n"/>
      <c r="B2941" s="61" t="n"/>
      <c r="C2941" s="62" t="n"/>
      <c r="D2941" s="57" t="n"/>
      <c r="E2941" s="57" t="n"/>
      <c r="F2941" s="58" t="n"/>
      <c r="G2941" s="66">
        <f>IF(tblFleet[[#This Row],[Units]]="","",tblFleet[[#This Row],[Units]]*24)</f>
        <v/>
      </c>
      <c r="H2941" s="66">
        <f>IF(tblFleet[[#This Row],[Units]]="","",tblFleet[[#This Row],[Calendar_h]]-tblFleet[[#This Row],[Down_h]])</f>
        <v/>
      </c>
      <c r="I2941" s="60">
        <f>IF(AND(tblFleet[[#This Row],[Units]]&lt;&gt;"",tblFleet[[#This Row],[Calendar_h]]&gt;0),tblFleet[[#This Row],[Available_h]]/tblFleet[[#This Row],[Calendar_h]],"")</f>
        <v/>
      </c>
      <c r="J2941" s="60">
        <f>IF(AND(tblFleet[[#This Row],[Units]]&lt;&gt;"",tblFleet[[#This Row],[Available_h]]&gt;0),tblFleet[[#This Row],[Operating_h]]/tblFleet[[#This Row],[Available_h]],"")</f>
        <v/>
      </c>
    </row>
    <row r="2942">
      <c r="A2942" s="54" t="n"/>
      <c r="B2942" s="61" t="n"/>
      <c r="C2942" s="62" t="n"/>
      <c r="D2942" s="57" t="n"/>
      <c r="E2942" s="57" t="n"/>
      <c r="F2942" s="58" t="n"/>
      <c r="G2942" s="66">
        <f>IF(tblFleet[[#This Row],[Units]]="","",tblFleet[[#This Row],[Units]]*24)</f>
        <v/>
      </c>
      <c r="H2942" s="66">
        <f>IF(tblFleet[[#This Row],[Units]]="","",tblFleet[[#This Row],[Calendar_h]]-tblFleet[[#This Row],[Down_h]])</f>
        <v/>
      </c>
      <c r="I2942" s="60">
        <f>IF(AND(tblFleet[[#This Row],[Units]]&lt;&gt;"",tblFleet[[#This Row],[Calendar_h]]&gt;0),tblFleet[[#This Row],[Available_h]]/tblFleet[[#This Row],[Calendar_h]],"")</f>
        <v/>
      </c>
      <c r="J2942" s="60">
        <f>IF(AND(tblFleet[[#This Row],[Units]]&lt;&gt;"",tblFleet[[#This Row],[Available_h]]&gt;0),tblFleet[[#This Row],[Operating_h]]/tblFleet[[#This Row],[Available_h]],"")</f>
        <v/>
      </c>
    </row>
    <row r="2943">
      <c r="A2943" s="54" t="n"/>
      <c r="B2943" s="61" t="n"/>
      <c r="C2943" s="62" t="n"/>
      <c r="D2943" s="57" t="n"/>
      <c r="E2943" s="57" t="n"/>
      <c r="F2943" s="58" t="n"/>
      <c r="G2943" s="66">
        <f>IF(tblFleet[[#This Row],[Units]]="","",tblFleet[[#This Row],[Units]]*24)</f>
        <v/>
      </c>
      <c r="H2943" s="66">
        <f>IF(tblFleet[[#This Row],[Units]]="","",tblFleet[[#This Row],[Calendar_h]]-tblFleet[[#This Row],[Down_h]])</f>
        <v/>
      </c>
      <c r="I2943" s="60">
        <f>IF(AND(tblFleet[[#This Row],[Units]]&lt;&gt;"",tblFleet[[#This Row],[Calendar_h]]&gt;0),tblFleet[[#This Row],[Available_h]]/tblFleet[[#This Row],[Calendar_h]],"")</f>
        <v/>
      </c>
      <c r="J2943" s="60">
        <f>IF(AND(tblFleet[[#This Row],[Units]]&lt;&gt;"",tblFleet[[#This Row],[Available_h]]&gt;0),tblFleet[[#This Row],[Operating_h]]/tblFleet[[#This Row],[Available_h]],"")</f>
        <v/>
      </c>
    </row>
    <row r="2944">
      <c r="A2944" s="54" t="n"/>
      <c r="B2944" s="61" t="n"/>
      <c r="C2944" s="62" t="n"/>
      <c r="D2944" s="57" t="n"/>
      <c r="E2944" s="57" t="n"/>
      <c r="F2944" s="58" t="n"/>
      <c r="G2944" s="66">
        <f>IF(tblFleet[[#This Row],[Units]]="","",tblFleet[[#This Row],[Units]]*24)</f>
        <v/>
      </c>
      <c r="H2944" s="66">
        <f>IF(tblFleet[[#This Row],[Units]]="","",tblFleet[[#This Row],[Calendar_h]]-tblFleet[[#This Row],[Down_h]])</f>
        <v/>
      </c>
      <c r="I2944" s="60">
        <f>IF(AND(tblFleet[[#This Row],[Units]]&lt;&gt;"",tblFleet[[#This Row],[Calendar_h]]&gt;0),tblFleet[[#This Row],[Available_h]]/tblFleet[[#This Row],[Calendar_h]],"")</f>
        <v/>
      </c>
      <c r="J2944" s="60">
        <f>IF(AND(tblFleet[[#This Row],[Units]]&lt;&gt;"",tblFleet[[#This Row],[Available_h]]&gt;0),tblFleet[[#This Row],[Operating_h]]/tblFleet[[#This Row],[Available_h]],"")</f>
        <v/>
      </c>
    </row>
    <row r="2945">
      <c r="A2945" s="54" t="n"/>
      <c r="B2945" s="61" t="n"/>
      <c r="C2945" s="62" t="n"/>
      <c r="D2945" s="57" t="n"/>
      <c r="E2945" s="57" t="n"/>
      <c r="F2945" s="58" t="n"/>
      <c r="G2945" s="66">
        <f>IF(tblFleet[[#This Row],[Units]]="","",tblFleet[[#This Row],[Units]]*24)</f>
        <v/>
      </c>
      <c r="H2945" s="66">
        <f>IF(tblFleet[[#This Row],[Units]]="","",tblFleet[[#This Row],[Calendar_h]]-tblFleet[[#This Row],[Down_h]])</f>
        <v/>
      </c>
      <c r="I2945" s="60">
        <f>IF(AND(tblFleet[[#This Row],[Units]]&lt;&gt;"",tblFleet[[#This Row],[Calendar_h]]&gt;0),tblFleet[[#This Row],[Available_h]]/tblFleet[[#This Row],[Calendar_h]],"")</f>
        <v/>
      </c>
      <c r="J2945" s="60">
        <f>IF(AND(tblFleet[[#This Row],[Units]]&lt;&gt;"",tblFleet[[#This Row],[Available_h]]&gt;0),tblFleet[[#This Row],[Operating_h]]/tblFleet[[#This Row],[Available_h]],"")</f>
        <v/>
      </c>
    </row>
    <row r="2946">
      <c r="A2946" s="54" t="n"/>
      <c r="B2946" s="61" t="n"/>
      <c r="C2946" s="62" t="n"/>
      <c r="D2946" s="57" t="n"/>
      <c r="E2946" s="57" t="n"/>
      <c r="F2946" s="58" t="n"/>
      <c r="G2946" s="66">
        <f>IF(tblFleet[[#This Row],[Units]]="","",tblFleet[[#This Row],[Units]]*24)</f>
        <v/>
      </c>
      <c r="H2946" s="66">
        <f>IF(tblFleet[[#This Row],[Units]]="","",tblFleet[[#This Row],[Calendar_h]]-tblFleet[[#This Row],[Down_h]])</f>
        <v/>
      </c>
      <c r="I2946" s="60">
        <f>IF(AND(tblFleet[[#This Row],[Units]]&lt;&gt;"",tblFleet[[#This Row],[Calendar_h]]&gt;0),tblFleet[[#This Row],[Available_h]]/tblFleet[[#This Row],[Calendar_h]],"")</f>
        <v/>
      </c>
      <c r="J2946" s="60">
        <f>IF(AND(tblFleet[[#This Row],[Units]]&lt;&gt;"",tblFleet[[#This Row],[Available_h]]&gt;0),tblFleet[[#This Row],[Operating_h]]/tblFleet[[#This Row],[Available_h]],"")</f>
        <v/>
      </c>
    </row>
    <row r="2947">
      <c r="A2947" s="54" t="n"/>
      <c r="B2947" s="61" t="n"/>
      <c r="C2947" s="62" t="n"/>
      <c r="D2947" s="57" t="n"/>
      <c r="E2947" s="57" t="n"/>
      <c r="F2947" s="58" t="n"/>
      <c r="G2947" s="66">
        <f>IF(tblFleet[[#This Row],[Units]]="","",tblFleet[[#This Row],[Units]]*24)</f>
        <v/>
      </c>
      <c r="H2947" s="66">
        <f>IF(tblFleet[[#This Row],[Units]]="","",tblFleet[[#This Row],[Calendar_h]]-tblFleet[[#This Row],[Down_h]])</f>
        <v/>
      </c>
      <c r="I2947" s="60">
        <f>IF(AND(tblFleet[[#This Row],[Units]]&lt;&gt;"",tblFleet[[#This Row],[Calendar_h]]&gt;0),tblFleet[[#This Row],[Available_h]]/tblFleet[[#This Row],[Calendar_h]],"")</f>
        <v/>
      </c>
      <c r="J2947" s="60">
        <f>IF(AND(tblFleet[[#This Row],[Units]]&lt;&gt;"",tblFleet[[#This Row],[Available_h]]&gt;0),tblFleet[[#This Row],[Operating_h]]/tblFleet[[#This Row],[Available_h]],"")</f>
        <v/>
      </c>
    </row>
    <row r="2948">
      <c r="A2948" s="54" t="n"/>
      <c r="B2948" s="61" t="n"/>
      <c r="C2948" s="62" t="n"/>
      <c r="D2948" s="57" t="n"/>
      <c r="E2948" s="57" t="n"/>
      <c r="F2948" s="58" t="n"/>
      <c r="G2948" s="66">
        <f>IF(tblFleet[[#This Row],[Units]]="","",tblFleet[[#This Row],[Units]]*24)</f>
        <v/>
      </c>
      <c r="H2948" s="66">
        <f>IF(tblFleet[[#This Row],[Units]]="","",tblFleet[[#This Row],[Calendar_h]]-tblFleet[[#This Row],[Down_h]])</f>
        <v/>
      </c>
      <c r="I2948" s="60">
        <f>IF(AND(tblFleet[[#This Row],[Units]]&lt;&gt;"",tblFleet[[#This Row],[Calendar_h]]&gt;0),tblFleet[[#This Row],[Available_h]]/tblFleet[[#This Row],[Calendar_h]],"")</f>
        <v/>
      </c>
      <c r="J2948" s="60">
        <f>IF(AND(tblFleet[[#This Row],[Units]]&lt;&gt;"",tblFleet[[#This Row],[Available_h]]&gt;0),tblFleet[[#This Row],[Operating_h]]/tblFleet[[#This Row],[Available_h]],"")</f>
        <v/>
      </c>
    </row>
    <row r="2949">
      <c r="A2949" s="54" t="n"/>
      <c r="B2949" s="61" t="n"/>
      <c r="C2949" s="62" t="n"/>
      <c r="D2949" s="57" t="n"/>
      <c r="E2949" s="57" t="n"/>
      <c r="F2949" s="58" t="n"/>
      <c r="G2949" s="66">
        <f>IF(tblFleet[[#This Row],[Units]]="","",tblFleet[[#This Row],[Units]]*24)</f>
        <v/>
      </c>
      <c r="H2949" s="66">
        <f>IF(tblFleet[[#This Row],[Units]]="","",tblFleet[[#This Row],[Calendar_h]]-tblFleet[[#This Row],[Down_h]])</f>
        <v/>
      </c>
      <c r="I2949" s="60">
        <f>IF(AND(tblFleet[[#This Row],[Units]]&lt;&gt;"",tblFleet[[#This Row],[Calendar_h]]&gt;0),tblFleet[[#This Row],[Available_h]]/tblFleet[[#This Row],[Calendar_h]],"")</f>
        <v/>
      </c>
      <c r="J2949" s="60">
        <f>IF(AND(tblFleet[[#This Row],[Units]]&lt;&gt;"",tblFleet[[#This Row],[Available_h]]&gt;0),tblFleet[[#This Row],[Operating_h]]/tblFleet[[#This Row],[Available_h]],"")</f>
        <v/>
      </c>
    </row>
    <row r="2950">
      <c r="A2950" s="54" t="n"/>
      <c r="B2950" s="61" t="n"/>
      <c r="C2950" s="62" t="n"/>
      <c r="D2950" s="57" t="n"/>
      <c r="E2950" s="57" t="n"/>
      <c r="F2950" s="58" t="n"/>
      <c r="G2950" s="66">
        <f>IF(tblFleet[[#This Row],[Units]]="","",tblFleet[[#This Row],[Units]]*24)</f>
        <v/>
      </c>
      <c r="H2950" s="66">
        <f>IF(tblFleet[[#This Row],[Units]]="","",tblFleet[[#This Row],[Calendar_h]]-tblFleet[[#This Row],[Down_h]])</f>
        <v/>
      </c>
      <c r="I2950" s="60">
        <f>IF(AND(tblFleet[[#This Row],[Units]]&lt;&gt;"",tblFleet[[#This Row],[Calendar_h]]&gt;0),tblFleet[[#This Row],[Available_h]]/tblFleet[[#This Row],[Calendar_h]],"")</f>
        <v/>
      </c>
      <c r="J2950" s="60">
        <f>IF(AND(tblFleet[[#This Row],[Units]]&lt;&gt;"",tblFleet[[#This Row],[Available_h]]&gt;0),tblFleet[[#This Row],[Operating_h]]/tblFleet[[#This Row],[Available_h]],"")</f>
        <v/>
      </c>
    </row>
    <row r="2951">
      <c r="A2951" s="54" t="n"/>
      <c r="B2951" s="61" t="n"/>
      <c r="C2951" s="62" t="n"/>
      <c r="D2951" s="57" t="n"/>
      <c r="E2951" s="57" t="n"/>
      <c r="F2951" s="58" t="n"/>
      <c r="G2951" s="66">
        <f>IF(tblFleet[[#This Row],[Units]]="","",tblFleet[[#This Row],[Units]]*24)</f>
        <v/>
      </c>
      <c r="H2951" s="66">
        <f>IF(tblFleet[[#This Row],[Units]]="","",tblFleet[[#This Row],[Calendar_h]]-tblFleet[[#This Row],[Down_h]])</f>
        <v/>
      </c>
      <c r="I2951" s="60">
        <f>IF(AND(tblFleet[[#This Row],[Units]]&lt;&gt;"",tblFleet[[#This Row],[Calendar_h]]&gt;0),tblFleet[[#This Row],[Available_h]]/tblFleet[[#This Row],[Calendar_h]],"")</f>
        <v/>
      </c>
      <c r="J2951" s="60">
        <f>IF(AND(tblFleet[[#This Row],[Units]]&lt;&gt;"",tblFleet[[#This Row],[Available_h]]&gt;0),tblFleet[[#This Row],[Operating_h]]/tblFleet[[#This Row],[Available_h]],"")</f>
        <v/>
      </c>
    </row>
    <row r="2952">
      <c r="A2952" s="54" t="n"/>
      <c r="B2952" s="61" t="n"/>
      <c r="C2952" s="62" t="n"/>
      <c r="D2952" s="57" t="n"/>
      <c r="E2952" s="57" t="n"/>
      <c r="F2952" s="58" t="n"/>
      <c r="G2952" s="66">
        <f>IF(tblFleet[[#This Row],[Units]]="","",tblFleet[[#This Row],[Units]]*24)</f>
        <v/>
      </c>
      <c r="H2952" s="66">
        <f>IF(tblFleet[[#This Row],[Units]]="","",tblFleet[[#This Row],[Calendar_h]]-tblFleet[[#This Row],[Down_h]])</f>
        <v/>
      </c>
      <c r="I2952" s="60">
        <f>IF(AND(tblFleet[[#This Row],[Units]]&lt;&gt;"",tblFleet[[#This Row],[Calendar_h]]&gt;0),tblFleet[[#This Row],[Available_h]]/tblFleet[[#This Row],[Calendar_h]],"")</f>
        <v/>
      </c>
      <c r="J2952" s="60">
        <f>IF(AND(tblFleet[[#This Row],[Units]]&lt;&gt;"",tblFleet[[#This Row],[Available_h]]&gt;0),tblFleet[[#This Row],[Operating_h]]/tblFleet[[#This Row],[Available_h]],"")</f>
        <v/>
      </c>
    </row>
    <row r="2953">
      <c r="A2953" s="54" t="n"/>
      <c r="B2953" s="61" t="n"/>
      <c r="C2953" s="62" t="n"/>
      <c r="D2953" s="57" t="n"/>
      <c r="E2953" s="57" t="n"/>
      <c r="F2953" s="58" t="n"/>
      <c r="G2953" s="66">
        <f>IF(tblFleet[[#This Row],[Units]]="","",tblFleet[[#This Row],[Units]]*24)</f>
        <v/>
      </c>
      <c r="H2953" s="66">
        <f>IF(tblFleet[[#This Row],[Units]]="","",tblFleet[[#This Row],[Calendar_h]]-tblFleet[[#This Row],[Down_h]])</f>
        <v/>
      </c>
      <c r="I2953" s="60">
        <f>IF(AND(tblFleet[[#This Row],[Units]]&lt;&gt;"",tblFleet[[#This Row],[Calendar_h]]&gt;0),tblFleet[[#This Row],[Available_h]]/tblFleet[[#This Row],[Calendar_h]],"")</f>
        <v/>
      </c>
      <c r="J2953" s="60">
        <f>IF(AND(tblFleet[[#This Row],[Units]]&lt;&gt;"",tblFleet[[#This Row],[Available_h]]&gt;0),tblFleet[[#This Row],[Operating_h]]/tblFleet[[#This Row],[Available_h]],"")</f>
        <v/>
      </c>
    </row>
    <row r="2954">
      <c r="A2954" s="54" t="n"/>
      <c r="B2954" s="61" t="n"/>
      <c r="C2954" s="62" t="n"/>
      <c r="D2954" s="57" t="n"/>
      <c r="E2954" s="57" t="n"/>
      <c r="F2954" s="58" t="n"/>
      <c r="G2954" s="66">
        <f>IF(tblFleet[[#This Row],[Units]]="","",tblFleet[[#This Row],[Units]]*24)</f>
        <v/>
      </c>
      <c r="H2954" s="66">
        <f>IF(tblFleet[[#This Row],[Units]]="","",tblFleet[[#This Row],[Calendar_h]]-tblFleet[[#This Row],[Down_h]])</f>
        <v/>
      </c>
      <c r="I2954" s="60">
        <f>IF(AND(tblFleet[[#This Row],[Units]]&lt;&gt;"",tblFleet[[#This Row],[Calendar_h]]&gt;0),tblFleet[[#This Row],[Available_h]]/tblFleet[[#This Row],[Calendar_h]],"")</f>
        <v/>
      </c>
      <c r="J2954" s="60">
        <f>IF(AND(tblFleet[[#This Row],[Units]]&lt;&gt;"",tblFleet[[#This Row],[Available_h]]&gt;0),tblFleet[[#This Row],[Operating_h]]/tblFleet[[#This Row],[Available_h]],"")</f>
        <v/>
      </c>
    </row>
    <row r="2955">
      <c r="A2955" s="54" t="n"/>
      <c r="B2955" s="61" t="n"/>
      <c r="C2955" s="62" t="n"/>
      <c r="D2955" s="57" t="n"/>
      <c r="E2955" s="57" t="n"/>
      <c r="F2955" s="58" t="n"/>
      <c r="G2955" s="66">
        <f>IF(tblFleet[[#This Row],[Units]]="","",tblFleet[[#This Row],[Units]]*24)</f>
        <v/>
      </c>
      <c r="H2955" s="66">
        <f>IF(tblFleet[[#This Row],[Units]]="","",tblFleet[[#This Row],[Calendar_h]]-tblFleet[[#This Row],[Down_h]])</f>
        <v/>
      </c>
      <c r="I2955" s="60">
        <f>IF(AND(tblFleet[[#This Row],[Units]]&lt;&gt;"",tblFleet[[#This Row],[Calendar_h]]&gt;0),tblFleet[[#This Row],[Available_h]]/tblFleet[[#This Row],[Calendar_h]],"")</f>
        <v/>
      </c>
      <c r="J2955" s="60">
        <f>IF(AND(tblFleet[[#This Row],[Units]]&lt;&gt;"",tblFleet[[#This Row],[Available_h]]&gt;0),tblFleet[[#This Row],[Operating_h]]/tblFleet[[#This Row],[Available_h]],"")</f>
        <v/>
      </c>
    </row>
    <row r="2956">
      <c r="A2956" s="54" t="n"/>
      <c r="B2956" s="61" t="n"/>
      <c r="C2956" s="62" t="n"/>
      <c r="D2956" s="57" t="n"/>
      <c r="E2956" s="57" t="n"/>
      <c r="F2956" s="58" t="n"/>
      <c r="G2956" s="66">
        <f>IF(tblFleet[[#This Row],[Units]]="","",tblFleet[[#This Row],[Units]]*24)</f>
        <v/>
      </c>
      <c r="H2956" s="66">
        <f>IF(tblFleet[[#This Row],[Units]]="","",tblFleet[[#This Row],[Calendar_h]]-tblFleet[[#This Row],[Down_h]])</f>
        <v/>
      </c>
      <c r="I2956" s="60">
        <f>IF(AND(tblFleet[[#This Row],[Units]]&lt;&gt;"",tblFleet[[#This Row],[Calendar_h]]&gt;0),tblFleet[[#This Row],[Available_h]]/tblFleet[[#This Row],[Calendar_h]],"")</f>
        <v/>
      </c>
      <c r="J2956" s="60">
        <f>IF(AND(tblFleet[[#This Row],[Units]]&lt;&gt;"",tblFleet[[#This Row],[Available_h]]&gt;0),tblFleet[[#This Row],[Operating_h]]/tblFleet[[#This Row],[Available_h]],"")</f>
        <v/>
      </c>
    </row>
    <row r="2957">
      <c r="A2957" s="54" t="n"/>
      <c r="B2957" s="61" t="n"/>
      <c r="C2957" s="62" t="n"/>
      <c r="D2957" s="57" t="n"/>
      <c r="E2957" s="57" t="n"/>
      <c r="F2957" s="58" t="n"/>
      <c r="G2957" s="66">
        <f>IF(tblFleet[[#This Row],[Units]]="","",tblFleet[[#This Row],[Units]]*24)</f>
        <v/>
      </c>
      <c r="H2957" s="66">
        <f>IF(tblFleet[[#This Row],[Units]]="","",tblFleet[[#This Row],[Calendar_h]]-tblFleet[[#This Row],[Down_h]])</f>
        <v/>
      </c>
      <c r="I2957" s="60">
        <f>IF(AND(tblFleet[[#This Row],[Units]]&lt;&gt;"",tblFleet[[#This Row],[Calendar_h]]&gt;0),tblFleet[[#This Row],[Available_h]]/tblFleet[[#This Row],[Calendar_h]],"")</f>
        <v/>
      </c>
      <c r="J2957" s="60">
        <f>IF(AND(tblFleet[[#This Row],[Units]]&lt;&gt;"",tblFleet[[#This Row],[Available_h]]&gt;0),tblFleet[[#This Row],[Operating_h]]/tblFleet[[#This Row],[Available_h]],"")</f>
        <v/>
      </c>
    </row>
    <row r="2958">
      <c r="A2958" s="54" t="n"/>
      <c r="B2958" s="61" t="n"/>
      <c r="C2958" s="62" t="n"/>
      <c r="D2958" s="57" t="n"/>
      <c r="E2958" s="57" t="n"/>
      <c r="F2958" s="58" t="n"/>
      <c r="G2958" s="66">
        <f>IF(tblFleet[[#This Row],[Units]]="","",tblFleet[[#This Row],[Units]]*24)</f>
        <v/>
      </c>
      <c r="H2958" s="66">
        <f>IF(tblFleet[[#This Row],[Units]]="","",tblFleet[[#This Row],[Calendar_h]]-tblFleet[[#This Row],[Down_h]])</f>
        <v/>
      </c>
      <c r="I2958" s="60">
        <f>IF(AND(tblFleet[[#This Row],[Units]]&lt;&gt;"",tblFleet[[#This Row],[Calendar_h]]&gt;0),tblFleet[[#This Row],[Available_h]]/tblFleet[[#This Row],[Calendar_h]],"")</f>
        <v/>
      </c>
      <c r="J2958" s="60">
        <f>IF(AND(tblFleet[[#This Row],[Units]]&lt;&gt;"",tblFleet[[#This Row],[Available_h]]&gt;0),tblFleet[[#This Row],[Operating_h]]/tblFleet[[#This Row],[Available_h]],"")</f>
        <v/>
      </c>
    </row>
    <row r="2959">
      <c r="A2959" s="54" t="n"/>
      <c r="B2959" s="61" t="n"/>
      <c r="C2959" s="62" t="n"/>
      <c r="D2959" s="57" t="n"/>
      <c r="E2959" s="57" t="n"/>
      <c r="F2959" s="58" t="n"/>
      <c r="G2959" s="66">
        <f>IF(tblFleet[[#This Row],[Units]]="","",tblFleet[[#This Row],[Units]]*24)</f>
        <v/>
      </c>
      <c r="H2959" s="66">
        <f>IF(tblFleet[[#This Row],[Units]]="","",tblFleet[[#This Row],[Calendar_h]]-tblFleet[[#This Row],[Down_h]])</f>
        <v/>
      </c>
      <c r="I2959" s="60">
        <f>IF(AND(tblFleet[[#This Row],[Units]]&lt;&gt;"",tblFleet[[#This Row],[Calendar_h]]&gt;0),tblFleet[[#This Row],[Available_h]]/tblFleet[[#This Row],[Calendar_h]],"")</f>
        <v/>
      </c>
      <c r="J2959" s="60">
        <f>IF(AND(tblFleet[[#This Row],[Units]]&lt;&gt;"",tblFleet[[#This Row],[Available_h]]&gt;0),tblFleet[[#This Row],[Operating_h]]/tblFleet[[#This Row],[Available_h]],"")</f>
        <v/>
      </c>
    </row>
    <row r="2960">
      <c r="A2960" s="54" t="n"/>
      <c r="B2960" s="61" t="n"/>
      <c r="C2960" s="62" t="n"/>
      <c r="D2960" s="57" t="n"/>
      <c r="E2960" s="57" t="n"/>
      <c r="F2960" s="58" t="n"/>
      <c r="G2960" s="66">
        <f>IF(tblFleet[[#This Row],[Units]]="","",tblFleet[[#This Row],[Units]]*24)</f>
        <v/>
      </c>
      <c r="H2960" s="66">
        <f>IF(tblFleet[[#This Row],[Units]]="","",tblFleet[[#This Row],[Calendar_h]]-tblFleet[[#This Row],[Down_h]])</f>
        <v/>
      </c>
      <c r="I2960" s="60">
        <f>IF(AND(tblFleet[[#This Row],[Units]]&lt;&gt;"",tblFleet[[#This Row],[Calendar_h]]&gt;0),tblFleet[[#This Row],[Available_h]]/tblFleet[[#This Row],[Calendar_h]],"")</f>
        <v/>
      </c>
      <c r="J2960" s="60">
        <f>IF(AND(tblFleet[[#This Row],[Units]]&lt;&gt;"",tblFleet[[#This Row],[Available_h]]&gt;0),tblFleet[[#This Row],[Operating_h]]/tblFleet[[#This Row],[Available_h]],"")</f>
        <v/>
      </c>
    </row>
    <row r="2961">
      <c r="A2961" s="54" t="n"/>
      <c r="B2961" s="61" t="n"/>
      <c r="C2961" s="62" t="n"/>
      <c r="D2961" s="57" t="n"/>
      <c r="E2961" s="57" t="n"/>
      <c r="F2961" s="58" t="n"/>
      <c r="G2961" s="66">
        <f>IF(tblFleet[[#This Row],[Units]]="","",tblFleet[[#This Row],[Units]]*24)</f>
        <v/>
      </c>
      <c r="H2961" s="66">
        <f>IF(tblFleet[[#This Row],[Units]]="","",tblFleet[[#This Row],[Calendar_h]]-tblFleet[[#This Row],[Down_h]])</f>
        <v/>
      </c>
      <c r="I2961" s="60">
        <f>IF(AND(tblFleet[[#This Row],[Units]]&lt;&gt;"",tblFleet[[#This Row],[Calendar_h]]&gt;0),tblFleet[[#This Row],[Available_h]]/tblFleet[[#This Row],[Calendar_h]],"")</f>
        <v/>
      </c>
      <c r="J2961" s="60">
        <f>IF(AND(tblFleet[[#This Row],[Units]]&lt;&gt;"",tblFleet[[#This Row],[Available_h]]&gt;0),tblFleet[[#This Row],[Operating_h]]/tblFleet[[#This Row],[Available_h]],"")</f>
        <v/>
      </c>
    </row>
    <row r="2962">
      <c r="A2962" s="54" t="n"/>
      <c r="B2962" s="61" t="n"/>
      <c r="C2962" s="62" t="n"/>
      <c r="D2962" s="57" t="n"/>
      <c r="E2962" s="57" t="n"/>
      <c r="F2962" s="58" t="n"/>
      <c r="G2962" s="66">
        <f>IF(tblFleet[[#This Row],[Units]]="","",tblFleet[[#This Row],[Units]]*24)</f>
        <v/>
      </c>
      <c r="H2962" s="66">
        <f>IF(tblFleet[[#This Row],[Units]]="","",tblFleet[[#This Row],[Calendar_h]]-tblFleet[[#This Row],[Down_h]])</f>
        <v/>
      </c>
      <c r="I2962" s="60">
        <f>IF(AND(tblFleet[[#This Row],[Units]]&lt;&gt;"",tblFleet[[#This Row],[Calendar_h]]&gt;0),tblFleet[[#This Row],[Available_h]]/tblFleet[[#This Row],[Calendar_h]],"")</f>
        <v/>
      </c>
      <c r="J2962" s="60">
        <f>IF(AND(tblFleet[[#This Row],[Units]]&lt;&gt;"",tblFleet[[#This Row],[Available_h]]&gt;0),tblFleet[[#This Row],[Operating_h]]/tblFleet[[#This Row],[Available_h]],"")</f>
        <v/>
      </c>
    </row>
    <row r="2963">
      <c r="A2963" s="54" t="n"/>
      <c r="B2963" s="61" t="n"/>
      <c r="C2963" s="62" t="n"/>
      <c r="D2963" s="57" t="n"/>
      <c r="E2963" s="57" t="n"/>
      <c r="F2963" s="58" t="n"/>
      <c r="G2963" s="66">
        <f>IF(tblFleet[[#This Row],[Units]]="","",tblFleet[[#This Row],[Units]]*24)</f>
        <v/>
      </c>
      <c r="H2963" s="66">
        <f>IF(tblFleet[[#This Row],[Units]]="","",tblFleet[[#This Row],[Calendar_h]]-tblFleet[[#This Row],[Down_h]])</f>
        <v/>
      </c>
      <c r="I2963" s="60">
        <f>IF(AND(tblFleet[[#This Row],[Units]]&lt;&gt;"",tblFleet[[#This Row],[Calendar_h]]&gt;0),tblFleet[[#This Row],[Available_h]]/tblFleet[[#This Row],[Calendar_h]],"")</f>
        <v/>
      </c>
      <c r="J2963" s="60">
        <f>IF(AND(tblFleet[[#This Row],[Units]]&lt;&gt;"",tblFleet[[#This Row],[Available_h]]&gt;0),tblFleet[[#This Row],[Operating_h]]/tblFleet[[#This Row],[Available_h]],"")</f>
        <v/>
      </c>
    </row>
    <row r="2964">
      <c r="A2964" s="54" t="n"/>
      <c r="B2964" s="61" t="n"/>
      <c r="C2964" s="62" t="n"/>
      <c r="D2964" s="57" t="n"/>
      <c r="E2964" s="57" t="n"/>
      <c r="F2964" s="58" t="n"/>
      <c r="G2964" s="66">
        <f>IF(tblFleet[[#This Row],[Units]]="","",tblFleet[[#This Row],[Units]]*24)</f>
        <v/>
      </c>
      <c r="H2964" s="66">
        <f>IF(tblFleet[[#This Row],[Units]]="","",tblFleet[[#This Row],[Calendar_h]]-tblFleet[[#This Row],[Down_h]])</f>
        <v/>
      </c>
      <c r="I2964" s="60">
        <f>IF(AND(tblFleet[[#This Row],[Units]]&lt;&gt;"",tblFleet[[#This Row],[Calendar_h]]&gt;0),tblFleet[[#This Row],[Available_h]]/tblFleet[[#This Row],[Calendar_h]],"")</f>
        <v/>
      </c>
      <c r="J2964" s="60">
        <f>IF(AND(tblFleet[[#This Row],[Units]]&lt;&gt;"",tblFleet[[#This Row],[Available_h]]&gt;0),tblFleet[[#This Row],[Operating_h]]/tblFleet[[#This Row],[Available_h]],"")</f>
        <v/>
      </c>
    </row>
    <row r="2965">
      <c r="A2965" s="54" t="n"/>
      <c r="B2965" s="61" t="n"/>
      <c r="C2965" s="62" t="n"/>
      <c r="D2965" s="57" t="n"/>
      <c r="E2965" s="57" t="n"/>
      <c r="F2965" s="58" t="n"/>
      <c r="G2965" s="66">
        <f>IF(tblFleet[[#This Row],[Units]]="","",tblFleet[[#This Row],[Units]]*24)</f>
        <v/>
      </c>
      <c r="H2965" s="66">
        <f>IF(tblFleet[[#This Row],[Units]]="","",tblFleet[[#This Row],[Calendar_h]]-tblFleet[[#This Row],[Down_h]])</f>
        <v/>
      </c>
      <c r="I2965" s="60">
        <f>IF(AND(tblFleet[[#This Row],[Units]]&lt;&gt;"",tblFleet[[#This Row],[Calendar_h]]&gt;0),tblFleet[[#This Row],[Available_h]]/tblFleet[[#This Row],[Calendar_h]],"")</f>
        <v/>
      </c>
      <c r="J2965" s="60">
        <f>IF(AND(tblFleet[[#This Row],[Units]]&lt;&gt;"",tblFleet[[#This Row],[Available_h]]&gt;0),tblFleet[[#This Row],[Operating_h]]/tblFleet[[#This Row],[Available_h]],"")</f>
        <v/>
      </c>
    </row>
    <row r="2966">
      <c r="A2966" s="54" t="n"/>
      <c r="B2966" s="61" t="n"/>
      <c r="C2966" s="62" t="n"/>
      <c r="D2966" s="57" t="n"/>
      <c r="E2966" s="57" t="n"/>
      <c r="F2966" s="58" t="n"/>
      <c r="G2966" s="66">
        <f>IF(tblFleet[[#This Row],[Units]]="","",tblFleet[[#This Row],[Units]]*24)</f>
        <v/>
      </c>
      <c r="H2966" s="66">
        <f>IF(tblFleet[[#This Row],[Units]]="","",tblFleet[[#This Row],[Calendar_h]]-tblFleet[[#This Row],[Down_h]])</f>
        <v/>
      </c>
      <c r="I2966" s="60">
        <f>IF(AND(tblFleet[[#This Row],[Units]]&lt;&gt;"",tblFleet[[#This Row],[Calendar_h]]&gt;0),tblFleet[[#This Row],[Available_h]]/tblFleet[[#This Row],[Calendar_h]],"")</f>
        <v/>
      </c>
      <c r="J2966" s="60">
        <f>IF(AND(tblFleet[[#This Row],[Units]]&lt;&gt;"",tblFleet[[#This Row],[Available_h]]&gt;0),tblFleet[[#This Row],[Operating_h]]/tblFleet[[#This Row],[Available_h]],"")</f>
        <v/>
      </c>
    </row>
    <row r="2967">
      <c r="A2967" s="54" t="n"/>
      <c r="B2967" s="61" t="n"/>
      <c r="C2967" s="62" t="n"/>
      <c r="D2967" s="57" t="n"/>
      <c r="E2967" s="57" t="n"/>
      <c r="F2967" s="58" t="n"/>
      <c r="G2967" s="66">
        <f>IF(tblFleet[[#This Row],[Units]]="","",tblFleet[[#This Row],[Units]]*24)</f>
        <v/>
      </c>
      <c r="H2967" s="66">
        <f>IF(tblFleet[[#This Row],[Units]]="","",tblFleet[[#This Row],[Calendar_h]]-tblFleet[[#This Row],[Down_h]])</f>
        <v/>
      </c>
      <c r="I2967" s="60">
        <f>IF(AND(tblFleet[[#This Row],[Units]]&lt;&gt;"",tblFleet[[#This Row],[Calendar_h]]&gt;0),tblFleet[[#This Row],[Available_h]]/tblFleet[[#This Row],[Calendar_h]],"")</f>
        <v/>
      </c>
      <c r="J2967" s="60">
        <f>IF(AND(tblFleet[[#This Row],[Units]]&lt;&gt;"",tblFleet[[#This Row],[Available_h]]&gt;0),tblFleet[[#This Row],[Operating_h]]/tblFleet[[#This Row],[Available_h]],"")</f>
        <v/>
      </c>
    </row>
    <row r="2968">
      <c r="A2968" s="54" t="n"/>
      <c r="B2968" s="61" t="n"/>
      <c r="C2968" s="62" t="n"/>
      <c r="D2968" s="57" t="n"/>
      <c r="E2968" s="57" t="n"/>
      <c r="F2968" s="58" t="n"/>
      <c r="G2968" s="66">
        <f>IF(tblFleet[[#This Row],[Units]]="","",tblFleet[[#This Row],[Units]]*24)</f>
        <v/>
      </c>
      <c r="H2968" s="66">
        <f>IF(tblFleet[[#This Row],[Units]]="","",tblFleet[[#This Row],[Calendar_h]]-tblFleet[[#This Row],[Down_h]])</f>
        <v/>
      </c>
      <c r="I2968" s="60">
        <f>IF(AND(tblFleet[[#This Row],[Units]]&lt;&gt;"",tblFleet[[#This Row],[Calendar_h]]&gt;0),tblFleet[[#This Row],[Available_h]]/tblFleet[[#This Row],[Calendar_h]],"")</f>
        <v/>
      </c>
      <c r="J2968" s="60">
        <f>IF(AND(tblFleet[[#This Row],[Units]]&lt;&gt;"",tblFleet[[#This Row],[Available_h]]&gt;0),tblFleet[[#This Row],[Operating_h]]/tblFleet[[#This Row],[Available_h]],"")</f>
        <v/>
      </c>
    </row>
    <row r="2969">
      <c r="A2969" s="54" t="n"/>
      <c r="B2969" s="61" t="n"/>
      <c r="C2969" s="62" t="n"/>
      <c r="D2969" s="57" t="n"/>
      <c r="E2969" s="57" t="n"/>
      <c r="F2969" s="58" t="n"/>
      <c r="G2969" s="66">
        <f>IF(tblFleet[[#This Row],[Units]]="","",tblFleet[[#This Row],[Units]]*24)</f>
        <v/>
      </c>
      <c r="H2969" s="66">
        <f>IF(tblFleet[[#This Row],[Units]]="","",tblFleet[[#This Row],[Calendar_h]]-tblFleet[[#This Row],[Down_h]])</f>
        <v/>
      </c>
      <c r="I2969" s="60">
        <f>IF(AND(tblFleet[[#This Row],[Units]]&lt;&gt;"",tblFleet[[#This Row],[Calendar_h]]&gt;0),tblFleet[[#This Row],[Available_h]]/tblFleet[[#This Row],[Calendar_h]],"")</f>
        <v/>
      </c>
      <c r="J2969" s="60">
        <f>IF(AND(tblFleet[[#This Row],[Units]]&lt;&gt;"",tblFleet[[#This Row],[Available_h]]&gt;0),tblFleet[[#This Row],[Operating_h]]/tblFleet[[#This Row],[Available_h]],"")</f>
        <v/>
      </c>
    </row>
    <row r="2970">
      <c r="A2970" s="54" t="n"/>
      <c r="B2970" s="61" t="n"/>
      <c r="C2970" s="62" t="n"/>
      <c r="D2970" s="57" t="n"/>
      <c r="E2970" s="57" t="n"/>
      <c r="F2970" s="58" t="n"/>
      <c r="G2970" s="66">
        <f>IF(tblFleet[[#This Row],[Units]]="","",tblFleet[[#This Row],[Units]]*24)</f>
        <v/>
      </c>
      <c r="H2970" s="66">
        <f>IF(tblFleet[[#This Row],[Units]]="","",tblFleet[[#This Row],[Calendar_h]]-tblFleet[[#This Row],[Down_h]])</f>
        <v/>
      </c>
      <c r="I2970" s="60">
        <f>IF(AND(tblFleet[[#This Row],[Units]]&lt;&gt;"",tblFleet[[#This Row],[Calendar_h]]&gt;0),tblFleet[[#This Row],[Available_h]]/tblFleet[[#This Row],[Calendar_h]],"")</f>
        <v/>
      </c>
      <c r="J2970" s="60">
        <f>IF(AND(tblFleet[[#This Row],[Units]]&lt;&gt;"",tblFleet[[#This Row],[Available_h]]&gt;0),tblFleet[[#This Row],[Operating_h]]/tblFleet[[#This Row],[Available_h]],"")</f>
        <v/>
      </c>
    </row>
    <row r="2971">
      <c r="A2971" s="54" t="n"/>
      <c r="B2971" s="61" t="n"/>
      <c r="C2971" s="62" t="n"/>
      <c r="D2971" s="57" t="n"/>
      <c r="E2971" s="57" t="n"/>
      <c r="F2971" s="58" t="n"/>
      <c r="G2971" s="66">
        <f>IF(tblFleet[[#This Row],[Units]]="","",tblFleet[[#This Row],[Units]]*24)</f>
        <v/>
      </c>
      <c r="H2971" s="66">
        <f>IF(tblFleet[[#This Row],[Units]]="","",tblFleet[[#This Row],[Calendar_h]]-tblFleet[[#This Row],[Down_h]])</f>
        <v/>
      </c>
      <c r="I2971" s="60">
        <f>IF(AND(tblFleet[[#This Row],[Units]]&lt;&gt;"",tblFleet[[#This Row],[Calendar_h]]&gt;0),tblFleet[[#This Row],[Available_h]]/tblFleet[[#This Row],[Calendar_h]],"")</f>
        <v/>
      </c>
      <c r="J2971" s="60">
        <f>IF(AND(tblFleet[[#This Row],[Units]]&lt;&gt;"",tblFleet[[#This Row],[Available_h]]&gt;0),tblFleet[[#This Row],[Operating_h]]/tblFleet[[#This Row],[Available_h]],"")</f>
        <v/>
      </c>
    </row>
    <row r="2972">
      <c r="A2972" s="54" t="n"/>
      <c r="B2972" s="61" t="n"/>
      <c r="C2972" s="62" t="n"/>
      <c r="D2972" s="57" t="n"/>
      <c r="E2972" s="57" t="n"/>
      <c r="F2972" s="58" t="n"/>
      <c r="G2972" s="66">
        <f>IF(tblFleet[[#This Row],[Units]]="","",tblFleet[[#This Row],[Units]]*24)</f>
        <v/>
      </c>
      <c r="H2972" s="66">
        <f>IF(tblFleet[[#This Row],[Units]]="","",tblFleet[[#This Row],[Calendar_h]]-tblFleet[[#This Row],[Down_h]])</f>
        <v/>
      </c>
      <c r="I2972" s="60">
        <f>IF(AND(tblFleet[[#This Row],[Units]]&lt;&gt;"",tblFleet[[#This Row],[Calendar_h]]&gt;0),tblFleet[[#This Row],[Available_h]]/tblFleet[[#This Row],[Calendar_h]],"")</f>
        <v/>
      </c>
      <c r="J2972" s="60">
        <f>IF(AND(tblFleet[[#This Row],[Units]]&lt;&gt;"",tblFleet[[#This Row],[Available_h]]&gt;0),tblFleet[[#This Row],[Operating_h]]/tblFleet[[#This Row],[Available_h]],"")</f>
        <v/>
      </c>
    </row>
    <row r="2973">
      <c r="A2973" s="54" t="n"/>
      <c r="B2973" s="61" t="n"/>
      <c r="C2973" s="62" t="n"/>
      <c r="D2973" s="57" t="n"/>
      <c r="E2973" s="57" t="n"/>
      <c r="F2973" s="58" t="n"/>
      <c r="G2973" s="66">
        <f>IF(tblFleet[[#This Row],[Units]]="","",tblFleet[[#This Row],[Units]]*24)</f>
        <v/>
      </c>
      <c r="H2973" s="66">
        <f>IF(tblFleet[[#This Row],[Units]]="","",tblFleet[[#This Row],[Calendar_h]]-tblFleet[[#This Row],[Down_h]])</f>
        <v/>
      </c>
      <c r="I2973" s="60">
        <f>IF(AND(tblFleet[[#This Row],[Units]]&lt;&gt;"",tblFleet[[#This Row],[Calendar_h]]&gt;0),tblFleet[[#This Row],[Available_h]]/tblFleet[[#This Row],[Calendar_h]],"")</f>
        <v/>
      </c>
      <c r="J2973" s="60">
        <f>IF(AND(tblFleet[[#This Row],[Units]]&lt;&gt;"",tblFleet[[#This Row],[Available_h]]&gt;0),tblFleet[[#This Row],[Operating_h]]/tblFleet[[#This Row],[Available_h]],"")</f>
        <v/>
      </c>
    </row>
    <row r="2974">
      <c r="A2974" s="54" t="n"/>
      <c r="B2974" s="61" t="n"/>
      <c r="C2974" s="62" t="n"/>
      <c r="D2974" s="57" t="n"/>
      <c r="E2974" s="57" t="n"/>
      <c r="F2974" s="58" t="n"/>
      <c r="G2974" s="66">
        <f>IF(tblFleet[[#This Row],[Units]]="","",tblFleet[[#This Row],[Units]]*24)</f>
        <v/>
      </c>
      <c r="H2974" s="66">
        <f>IF(tblFleet[[#This Row],[Units]]="","",tblFleet[[#This Row],[Calendar_h]]-tblFleet[[#This Row],[Down_h]])</f>
        <v/>
      </c>
      <c r="I2974" s="60">
        <f>IF(AND(tblFleet[[#This Row],[Units]]&lt;&gt;"",tblFleet[[#This Row],[Calendar_h]]&gt;0),tblFleet[[#This Row],[Available_h]]/tblFleet[[#This Row],[Calendar_h]],"")</f>
        <v/>
      </c>
      <c r="J2974" s="60">
        <f>IF(AND(tblFleet[[#This Row],[Units]]&lt;&gt;"",tblFleet[[#This Row],[Available_h]]&gt;0),tblFleet[[#This Row],[Operating_h]]/tblFleet[[#This Row],[Available_h]],"")</f>
        <v/>
      </c>
    </row>
    <row r="2975">
      <c r="A2975" s="54" t="n"/>
      <c r="B2975" s="61" t="n"/>
      <c r="C2975" s="62" t="n"/>
      <c r="D2975" s="57" t="n"/>
      <c r="E2975" s="57" t="n"/>
      <c r="F2975" s="58" t="n"/>
      <c r="G2975" s="66">
        <f>IF(tblFleet[[#This Row],[Units]]="","",tblFleet[[#This Row],[Units]]*24)</f>
        <v/>
      </c>
      <c r="H2975" s="66">
        <f>IF(tblFleet[[#This Row],[Units]]="","",tblFleet[[#This Row],[Calendar_h]]-tblFleet[[#This Row],[Down_h]])</f>
        <v/>
      </c>
      <c r="I2975" s="60">
        <f>IF(AND(tblFleet[[#This Row],[Units]]&lt;&gt;"",tblFleet[[#This Row],[Calendar_h]]&gt;0),tblFleet[[#This Row],[Available_h]]/tblFleet[[#This Row],[Calendar_h]],"")</f>
        <v/>
      </c>
      <c r="J2975" s="60">
        <f>IF(AND(tblFleet[[#This Row],[Units]]&lt;&gt;"",tblFleet[[#This Row],[Available_h]]&gt;0),tblFleet[[#This Row],[Operating_h]]/tblFleet[[#This Row],[Available_h]],"")</f>
        <v/>
      </c>
    </row>
    <row r="2976">
      <c r="A2976" s="54" t="n"/>
      <c r="B2976" s="61" t="n"/>
      <c r="C2976" s="62" t="n"/>
      <c r="D2976" s="57" t="n"/>
      <c r="E2976" s="57" t="n"/>
      <c r="F2976" s="58" t="n"/>
      <c r="G2976" s="66">
        <f>IF(tblFleet[[#This Row],[Units]]="","",tblFleet[[#This Row],[Units]]*24)</f>
        <v/>
      </c>
      <c r="H2976" s="66">
        <f>IF(tblFleet[[#This Row],[Units]]="","",tblFleet[[#This Row],[Calendar_h]]-tblFleet[[#This Row],[Down_h]])</f>
        <v/>
      </c>
      <c r="I2976" s="60">
        <f>IF(AND(tblFleet[[#This Row],[Units]]&lt;&gt;"",tblFleet[[#This Row],[Calendar_h]]&gt;0),tblFleet[[#This Row],[Available_h]]/tblFleet[[#This Row],[Calendar_h]],"")</f>
        <v/>
      </c>
      <c r="J2976" s="60">
        <f>IF(AND(tblFleet[[#This Row],[Units]]&lt;&gt;"",tblFleet[[#This Row],[Available_h]]&gt;0),tblFleet[[#This Row],[Operating_h]]/tblFleet[[#This Row],[Available_h]],"")</f>
        <v/>
      </c>
    </row>
    <row r="2977">
      <c r="A2977" s="54" t="n"/>
      <c r="B2977" s="61" t="n"/>
      <c r="C2977" s="62" t="n"/>
      <c r="D2977" s="57" t="n"/>
      <c r="E2977" s="57" t="n"/>
      <c r="F2977" s="58" t="n"/>
      <c r="G2977" s="66">
        <f>IF(tblFleet[[#This Row],[Units]]="","",tblFleet[[#This Row],[Units]]*24)</f>
        <v/>
      </c>
      <c r="H2977" s="66">
        <f>IF(tblFleet[[#This Row],[Units]]="","",tblFleet[[#This Row],[Calendar_h]]-tblFleet[[#This Row],[Down_h]])</f>
        <v/>
      </c>
      <c r="I2977" s="60">
        <f>IF(AND(tblFleet[[#This Row],[Units]]&lt;&gt;"",tblFleet[[#This Row],[Calendar_h]]&gt;0),tblFleet[[#This Row],[Available_h]]/tblFleet[[#This Row],[Calendar_h]],"")</f>
        <v/>
      </c>
      <c r="J2977" s="60">
        <f>IF(AND(tblFleet[[#This Row],[Units]]&lt;&gt;"",tblFleet[[#This Row],[Available_h]]&gt;0),tblFleet[[#This Row],[Operating_h]]/tblFleet[[#This Row],[Available_h]],"")</f>
        <v/>
      </c>
    </row>
    <row r="2978">
      <c r="A2978" s="54" t="n"/>
      <c r="B2978" s="61" t="n"/>
      <c r="C2978" s="62" t="n"/>
      <c r="D2978" s="57" t="n"/>
      <c r="E2978" s="57" t="n"/>
      <c r="F2978" s="58" t="n"/>
      <c r="G2978" s="66">
        <f>IF(tblFleet[[#This Row],[Units]]="","",tblFleet[[#This Row],[Units]]*24)</f>
        <v/>
      </c>
      <c r="H2978" s="66">
        <f>IF(tblFleet[[#This Row],[Units]]="","",tblFleet[[#This Row],[Calendar_h]]-tblFleet[[#This Row],[Down_h]])</f>
        <v/>
      </c>
      <c r="I2978" s="60">
        <f>IF(AND(tblFleet[[#This Row],[Units]]&lt;&gt;"",tblFleet[[#This Row],[Calendar_h]]&gt;0),tblFleet[[#This Row],[Available_h]]/tblFleet[[#This Row],[Calendar_h]],"")</f>
        <v/>
      </c>
      <c r="J2978" s="60">
        <f>IF(AND(tblFleet[[#This Row],[Units]]&lt;&gt;"",tblFleet[[#This Row],[Available_h]]&gt;0),tblFleet[[#This Row],[Operating_h]]/tblFleet[[#This Row],[Available_h]],"")</f>
        <v/>
      </c>
    </row>
    <row r="2979">
      <c r="A2979" s="54" t="n"/>
      <c r="B2979" s="61" t="n"/>
      <c r="C2979" s="62" t="n"/>
      <c r="D2979" s="57" t="n"/>
      <c r="E2979" s="57" t="n"/>
      <c r="F2979" s="58" t="n"/>
      <c r="G2979" s="66">
        <f>IF(tblFleet[[#This Row],[Units]]="","",tblFleet[[#This Row],[Units]]*24)</f>
        <v/>
      </c>
      <c r="H2979" s="66">
        <f>IF(tblFleet[[#This Row],[Units]]="","",tblFleet[[#This Row],[Calendar_h]]-tblFleet[[#This Row],[Down_h]])</f>
        <v/>
      </c>
      <c r="I2979" s="60">
        <f>IF(AND(tblFleet[[#This Row],[Units]]&lt;&gt;"",tblFleet[[#This Row],[Calendar_h]]&gt;0),tblFleet[[#This Row],[Available_h]]/tblFleet[[#This Row],[Calendar_h]],"")</f>
        <v/>
      </c>
      <c r="J2979" s="60">
        <f>IF(AND(tblFleet[[#This Row],[Units]]&lt;&gt;"",tblFleet[[#This Row],[Available_h]]&gt;0),tblFleet[[#This Row],[Operating_h]]/tblFleet[[#This Row],[Available_h]],"")</f>
        <v/>
      </c>
    </row>
    <row r="2980">
      <c r="A2980" s="54" t="n"/>
      <c r="B2980" s="61" t="n"/>
      <c r="C2980" s="62" t="n"/>
      <c r="D2980" s="57" t="n"/>
      <c r="E2980" s="57" t="n"/>
      <c r="F2980" s="58" t="n"/>
      <c r="G2980" s="66">
        <f>IF(tblFleet[[#This Row],[Units]]="","",tblFleet[[#This Row],[Units]]*24)</f>
        <v/>
      </c>
      <c r="H2980" s="66">
        <f>IF(tblFleet[[#This Row],[Units]]="","",tblFleet[[#This Row],[Calendar_h]]-tblFleet[[#This Row],[Down_h]])</f>
        <v/>
      </c>
      <c r="I2980" s="60">
        <f>IF(AND(tblFleet[[#This Row],[Units]]&lt;&gt;"",tblFleet[[#This Row],[Calendar_h]]&gt;0),tblFleet[[#This Row],[Available_h]]/tblFleet[[#This Row],[Calendar_h]],"")</f>
        <v/>
      </c>
      <c r="J2980" s="60">
        <f>IF(AND(tblFleet[[#This Row],[Units]]&lt;&gt;"",tblFleet[[#This Row],[Available_h]]&gt;0),tblFleet[[#This Row],[Operating_h]]/tblFleet[[#This Row],[Available_h]],"")</f>
        <v/>
      </c>
    </row>
    <row r="2981">
      <c r="A2981" s="54" t="n"/>
      <c r="B2981" s="61" t="n"/>
      <c r="C2981" s="62" t="n"/>
      <c r="D2981" s="57" t="n"/>
      <c r="E2981" s="57" t="n"/>
      <c r="F2981" s="58" t="n"/>
      <c r="G2981" s="66">
        <f>IF(tblFleet[[#This Row],[Units]]="","",tblFleet[[#This Row],[Units]]*24)</f>
        <v/>
      </c>
      <c r="H2981" s="66">
        <f>IF(tblFleet[[#This Row],[Units]]="","",tblFleet[[#This Row],[Calendar_h]]-tblFleet[[#This Row],[Down_h]])</f>
        <v/>
      </c>
      <c r="I2981" s="60">
        <f>IF(AND(tblFleet[[#This Row],[Units]]&lt;&gt;"",tblFleet[[#This Row],[Calendar_h]]&gt;0),tblFleet[[#This Row],[Available_h]]/tblFleet[[#This Row],[Calendar_h]],"")</f>
        <v/>
      </c>
      <c r="J2981" s="60">
        <f>IF(AND(tblFleet[[#This Row],[Units]]&lt;&gt;"",tblFleet[[#This Row],[Available_h]]&gt;0),tblFleet[[#This Row],[Operating_h]]/tblFleet[[#This Row],[Available_h]],"")</f>
        <v/>
      </c>
    </row>
    <row r="2982">
      <c r="A2982" s="54" t="n"/>
      <c r="B2982" s="61" t="n"/>
      <c r="C2982" s="62" t="n"/>
      <c r="D2982" s="57" t="n"/>
      <c r="E2982" s="57" t="n"/>
      <c r="F2982" s="58" t="n"/>
      <c r="G2982" s="66">
        <f>IF(tblFleet[[#This Row],[Units]]="","",tblFleet[[#This Row],[Units]]*24)</f>
        <v/>
      </c>
      <c r="H2982" s="66">
        <f>IF(tblFleet[[#This Row],[Units]]="","",tblFleet[[#This Row],[Calendar_h]]-tblFleet[[#This Row],[Down_h]])</f>
        <v/>
      </c>
      <c r="I2982" s="60">
        <f>IF(AND(tblFleet[[#This Row],[Units]]&lt;&gt;"",tblFleet[[#This Row],[Calendar_h]]&gt;0),tblFleet[[#This Row],[Available_h]]/tblFleet[[#This Row],[Calendar_h]],"")</f>
        <v/>
      </c>
      <c r="J2982" s="60">
        <f>IF(AND(tblFleet[[#This Row],[Units]]&lt;&gt;"",tblFleet[[#This Row],[Available_h]]&gt;0),tblFleet[[#This Row],[Operating_h]]/tblFleet[[#This Row],[Available_h]],"")</f>
        <v/>
      </c>
    </row>
    <row r="2983">
      <c r="A2983" s="54" t="n"/>
      <c r="B2983" s="61" t="n"/>
      <c r="C2983" s="62" t="n"/>
      <c r="D2983" s="57" t="n"/>
      <c r="E2983" s="57" t="n"/>
      <c r="F2983" s="58" t="n"/>
      <c r="G2983" s="66">
        <f>IF(tblFleet[[#This Row],[Units]]="","",tblFleet[[#This Row],[Units]]*24)</f>
        <v/>
      </c>
      <c r="H2983" s="66">
        <f>IF(tblFleet[[#This Row],[Units]]="","",tblFleet[[#This Row],[Calendar_h]]-tblFleet[[#This Row],[Down_h]])</f>
        <v/>
      </c>
      <c r="I2983" s="60">
        <f>IF(AND(tblFleet[[#This Row],[Units]]&lt;&gt;"",tblFleet[[#This Row],[Calendar_h]]&gt;0),tblFleet[[#This Row],[Available_h]]/tblFleet[[#This Row],[Calendar_h]],"")</f>
        <v/>
      </c>
      <c r="J2983" s="60">
        <f>IF(AND(tblFleet[[#This Row],[Units]]&lt;&gt;"",tblFleet[[#This Row],[Available_h]]&gt;0),tblFleet[[#This Row],[Operating_h]]/tblFleet[[#This Row],[Available_h]],"")</f>
        <v/>
      </c>
    </row>
    <row r="2984">
      <c r="A2984" s="54" t="n"/>
      <c r="B2984" s="61" t="n"/>
      <c r="C2984" s="62" t="n"/>
      <c r="D2984" s="57" t="n"/>
      <c r="E2984" s="57" t="n"/>
      <c r="F2984" s="58" t="n"/>
      <c r="G2984" s="66">
        <f>IF(tblFleet[[#This Row],[Units]]="","",tblFleet[[#This Row],[Units]]*24)</f>
        <v/>
      </c>
      <c r="H2984" s="66">
        <f>IF(tblFleet[[#This Row],[Units]]="","",tblFleet[[#This Row],[Calendar_h]]-tblFleet[[#This Row],[Down_h]])</f>
        <v/>
      </c>
      <c r="I2984" s="60">
        <f>IF(AND(tblFleet[[#This Row],[Units]]&lt;&gt;"",tblFleet[[#This Row],[Calendar_h]]&gt;0),tblFleet[[#This Row],[Available_h]]/tblFleet[[#This Row],[Calendar_h]],"")</f>
        <v/>
      </c>
      <c r="J2984" s="60">
        <f>IF(AND(tblFleet[[#This Row],[Units]]&lt;&gt;"",tblFleet[[#This Row],[Available_h]]&gt;0),tblFleet[[#This Row],[Operating_h]]/tblFleet[[#This Row],[Available_h]],"")</f>
        <v/>
      </c>
    </row>
    <row r="2985">
      <c r="A2985" s="54" t="n"/>
      <c r="B2985" s="61" t="n"/>
      <c r="C2985" s="62" t="n"/>
      <c r="D2985" s="57" t="n"/>
      <c r="E2985" s="57" t="n"/>
      <c r="F2985" s="58" t="n"/>
      <c r="G2985" s="66">
        <f>IF(tblFleet[[#This Row],[Units]]="","",tblFleet[[#This Row],[Units]]*24)</f>
        <v/>
      </c>
      <c r="H2985" s="66">
        <f>IF(tblFleet[[#This Row],[Units]]="","",tblFleet[[#This Row],[Calendar_h]]-tblFleet[[#This Row],[Down_h]])</f>
        <v/>
      </c>
      <c r="I2985" s="60">
        <f>IF(AND(tblFleet[[#This Row],[Units]]&lt;&gt;"",tblFleet[[#This Row],[Calendar_h]]&gt;0),tblFleet[[#This Row],[Available_h]]/tblFleet[[#This Row],[Calendar_h]],"")</f>
        <v/>
      </c>
      <c r="J2985" s="60">
        <f>IF(AND(tblFleet[[#This Row],[Units]]&lt;&gt;"",tblFleet[[#This Row],[Available_h]]&gt;0),tblFleet[[#This Row],[Operating_h]]/tblFleet[[#This Row],[Available_h]],"")</f>
        <v/>
      </c>
    </row>
    <row r="2986">
      <c r="A2986" s="54" t="n"/>
      <c r="B2986" s="61" t="n"/>
      <c r="C2986" s="62" t="n"/>
      <c r="D2986" s="57" t="n"/>
      <c r="E2986" s="57" t="n"/>
      <c r="F2986" s="58" t="n"/>
      <c r="G2986" s="66">
        <f>IF(tblFleet[[#This Row],[Units]]="","",tblFleet[[#This Row],[Units]]*24)</f>
        <v/>
      </c>
      <c r="H2986" s="66">
        <f>IF(tblFleet[[#This Row],[Units]]="","",tblFleet[[#This Row],[Calendar_h]]-tblFleet[[#This Row],[Down_h]])</f>
        <v/>
      </c>
      <c r="I2986" s="60">
        <f>IF(AND(tblFleet[[#This Row],[Units]]&lt;&gt;"",tblFleet[[#This Row],[Calendar_h]]&gt;0),tblFleet[[#This Row],[Available_h]]/tblFleet[[#This Row],[Calendar_h]],"")</f>
        <v/>
      </c>
      <c r="J2986" s="60">
        <f>IF(AND(tblFleet[[#This Row],[Units]]&lt;&gt;"",tblFleet[[#This Row],[Available_h]]&gt;0),tblFleet[[#This Row],[Operating_h]]/tblFleet[[#This Row],[Available_h]],"")</f>
        <v/>
      </c>
    </row>
    <row r="2987">
      <c r="A2987" s="54" t="n"/>
      <c r="B2987" s="61" t="n"/>
      <c r="C2987" s="62" t="n"/>
      <c r="D2987" s="57" t="n"/>
      <c r="E2987" s="57" t="n"/>
      <c r="F2987" s="58" t="n"/>
      <c r="G2987" s="66">
        <f>IF(tblFleet[[#This Row],[Units]]="","",tblFleet[[#This Row],[Units]]*24)</f>
        <v/>
      </c>
      <c r="H2987" s="66">
        <f>IF(tblFleet[[#This Row],[Units]]="","",tblFleet[[#This Row],[Calendar_h]]-tblFleet[[#This Row],[Down_h]])</f>
        <v/>
      </c>
      <c r="I2987" s="60">
        <f>IF(AND(tblFleet[[#This Row],[Units]]&lt;&gt;"",tblFleet[[#This Row],[Calendar_h]]&gt;0),tblFleet[[#This Row],[Available_h]]/tblFleet[[#This Row],[Calendar_h]],"")</f>
        <v/>
      </c>
      <c r="J2987" s="60">
        <f>IF(AND(tblFleet[[#This Row],[Units]]&lt;&gt;"",tblFleet[[#This Row],[Available_h]]&gt;0),tblFleet[[#This Row],[Operating_h]]/tblFleet[[#This Row],[Available_h]],"")</f>
        <v/>
      </c>
    </row>
    <row r="2988">
      <c r="A2988" s="54" t="n"/>
      <c r="B2988" s="61" t="n"/>
      <c r="C2988" s="62" t="n"/>
      <c r="D2988" s="57" t="n"/>
      <c r="E2988" s="57" t="n"/>
      <c r="F2988" s="58" t="n"/>
      <c r="G2988" s="66">
        <f>IF(tblFleet[[#This Row],[Units]]="","",tblFleet[[#This Row],[Units]]*24)</f>
        <v/>
      </c>
      <c r="H2988" s="66">
        <f>IF(tblFleet[[#This Row],[Units]]="","",tblFleet[[#This Row],[Calendar_h]]-tblFleet[[#This Row],[Down_h]])</f>
        <v/>
      </c>
      <c r="I2988" s="60">
        <f>IF(AND(tblFleet[[#This Row],[Units]]&lt;&gt;"",tblFleet[[#This Row],[Calendar_h]]&gt;0),tblFleet[[#This Row],[Available_h]]/tblFleet[[#This Row],[Calendar_h]],"")</f>
        <v/>
      </c>
      <c r="J2988" s="60">
        <f>IF(AND(tblFleet[[#This Row],[Units]]&lt;&gt;"",tblFleet[[#This Row],[Available_h]]&gt;0),tblFleet[[#This Row],[Operating_h]]/tblFleet[[#This Row],[Available_h]],"")</f>
        <v/>
      </c>
    </row>
    <row r="2989">
      <c r="A2989" s="54" t="n"/>
      <c r="B2989" s="61" t="n"/>
      <c r="C2989" s="62" t="n"/>
      <c r="D2989" s="57" t="n"/>
      <c r="E2989" s="57" t="n"/>
      <c r="F2989" s="58" t="n"/>
      <c r="G2989" s="66">
        <f>IF(tblFleet[[#This Row],[Units]]="","",tblFleet[[#This Row],[Units]]*24)</f>
        <v/>
      </c>
      <c r="H2989" s="66">
        <f>IF(tblFleet[[#This Row],[Units]]="","",tblFleet[[#This Row],[Calendar_h]]-tblFleet[[#This Row],[Down_h]])</f>
        <v/>
      </c>
      <c r="I2989" s="60">
        <f>IF(AND(tblFleet[[#This Row],[Units]]&lt;&gt;"",tblFleet[[#This Row],[Calendar_h]]&gt;0),tblFleet[[#This Row],[Available_h]]/tblFleet[[#This Row],[Calendar_h]],"")</f>
        <v/>
      </c>
      <c r="J2989" s="60">
        <f>IF(AND(tblFleet[[#This Row],[Units]]&lt;&gt;"",tblFleet[[#This Row],[Available_h]]&gt;0),tblFleet[[#This Row],[Operating_h]]/tblFleet[[#This Row],[Available_h]],"")</f>
        <v/>
      </c>
    </row>
    <row r="2990">
      <c r="A2990" s="54" t="n"/>
      <c r="B2990" s="61" t="n"/>
      <c r="C2990" s="62" t="n"/>
      <c r="D2990" s="57" t="n"/>
      <c r="E2990" s="57" t="n"/>
      <c r="F2990" s="58" t="n"/>
      <c r="G2990" s="66">
        <f>IF(tblFleet[[#This Row],[Units]]="","",tblFleet[[#This Row],[Units]]*24)</f>
        <v/>
      </c>
      <c r="H2990" s="66">
        <f>IF(tblFleet[[#This Row],[Units]]="","",tblFleet[[#This Row],[Calendar_h]]-tblFleet[[#This Row],[Down_h]])</f>
        <v/>
      </c>
      <c r="I2990" s="60">
        <f>IF(AND(tblFleet[[#This Row],[Units]]&lt;&gt;"",tblFleet[[#This Row],[Calendar_h]]&gt;0),tblFleet[[#This Row],[Available_h]]/tblFleet[[#This Row],[Calendar_h]],"")</f>
        <v/>
      </c>
      <c r="J2990" s="60">
        <f>IF(AND(tblFleet[[#This Row],[Units]]&lt;&gt;"",tblFleet[[#This Row],[Available_h]]&gt;0),tblFleet[[#This Row],[Operating_h]]/tblFleet[[#This Row],[Available_h]],"")</f>
        <v/>
      </c>
    </row>
    <row r="2991">
      <c r="A2991" s="54" t="n"/>
      <c r="B2991" s="61" t="n"/>
      <c r="C2991" s="62" t="n"/>
      <c r="D2991" s="57" t="n"/>
      <c r="E2991" s="57" t="n"/>
      <c r="F2991" s="58" t="n"/>
      <c r="G2991" s="66">
        <f>IF(tblFleet[[#This Row],[Units]]="","",tblFleet[[#This Row],[Units]]*24)</f>
        <v/>
      </c>
      <c r="H2991" s="66">
        <f>IF(tblFleet[[#This Row],[Units]]="","",tblFleet[[#This Row],[Calendar_h]]-tblFleet[[#This Row],[Down_h]])</f>
        <v/>
      </c>
      <c r="I2991" s="60">
        <f>IF(AND(tblFleet[[#This Row],[Units]]&lt;&gt;"",tblFleet[[#This Row],[Calendar_h]]&gt;0),tblFleet[[#This Row],[Available_h]]/tblFleet[[#This Row],[Calendar_h]],"")</f>
        <v/>
      </c>
      <c r="J2991" s="60">
        <f>IF(AND(tblFleet[[#This Row],[Units]]&lt;&gt;"",tblFleet[[#This Row],[Available_h]]&gt;0),tblFleet[[#This Row],[Operating_h]]/tblFleet[[#This Row],[Available_h]],"")</f>
        <v/>
      </c>
    </row>
    <row r="2992">
      <c r="A2992" s="54" t="n"/>
      <c r="B2992" s="61" t="n"/>
      <c r="C2992" s="62" t="n"/>
      <c r="D2992" s="57" t="n"/>
      <c r="E2992" s="57" t="n"/>
      <c r="F2992" s="58" t="n"/>
      <c r="G2992" s="66">
        <f>IF(tblFleet[[#This Row],[Units]]="","",tblFleet[[#This Row],[Units]]*24)</f>
        <v/>
      </c>
      <c r="H2992" s="66">
        <f>IF(tblFleet[[#This Row],[Units]]="","",tblFleet[[#This Row],[Calendar_h]]-tblFleet[[#This Row],[Down_h]])</f>
        <v/>
      </c>
      <c r="I2992" s="60">
        <f>IF(AND(tblFleet[[#This Row],[Units]]&lt;&gt;"",tblFleet[[#This Row],[Calendar_h]]&gt;0),tblFleet[[#This Row],[Available_h]]/tblFleet[[#This Row],[Calendar_h]],"")</f>
        <v/>
      </c>
      <c r="J2992" s="60">
        <f>IF(AND(tblFleet[[#This Row],[Units]]&lt;&gt;"",tblFleet[[#This Row],[Available_h]]&gt;0),tblFleet[[#This Row],[Operating_h]]/tblFleet[[#This Row],[Available_h]],"")</f>
        <v/>
      </c>
    </row>
    <row r="2993">
      <c r="A2993" s="54" t="n"/>
      <c r="B2993" s="61" t="n"/>
      <c r="C2993" s="62" t="n"/>
      <c r="D2993" s="57" t="n"/>
      <c r="E2993" s="57" t="n"/>
      <c r="F2993" s="58" t="n"/>
      <c r="G2993" s="66">
        <f>IF(tblFleet[[#This Row],[Units]]="","",tblFleet[[#This Row],[Units]]*24)</f>
        <v/>
      </c>
      <c r="H2993" s="66">
        <f>IF(tblFleet[[#This Row],[Units]]="","",tblFleet[[#This Row],[Calendar_h]]-tblFleet[[#This Row],[Down_h]])</f>
        <v/>
      </c>
      <c r="I2993" s="60">
        <f>IF(AND(tblFleet[[#This Row],[Units]]&lt;&gt;"",tblFleet[[#This Row],[Calendar_h]]&gt;0),tblFleet[[#This Row],[Available_h]]/tblFleet[[#This Row],[Calendar_h]],"")</f>
        <v/>
      </c>
      <c r="J2993" s="60">
        <f>IF(AND(tblFleet[[#This Row],[Units]]&lt;&gt;"",tblFleet[[#This Row],[Available_h]]&gt;0),tblFleet[[#This Row],[Operating_h]]/tblFleet[[#This Row],[Available_h]],"")</f>
        <v/>
      </c>
    </row>
    <row r="2994">
      <c r="A2994" s="54" t="n"/>
      <c r="B2994" s="61" t="n"/>
      <c r="C2994" s="62" t="n"/>
      <c r="D2994" s="57" t="n"/>
      <c r="E2994" s="57" t="n"/>
      <c r="F2994" s="58" t="n"/>
      <c r="G2994" s="66">
        <f>IF(tblFleet[[#This Row],[Units]]="","",tblFleet[[#This Row],[Units]]*24)</f>
        <v/>
      </c>
      <c r="H2994" s="66">
        <f>IF(tblFleet[[#This Row],[Units]]="","",tblFleet[[#This Row],[Calendar_h]]-tblFleet[[#This Row],[Down_h]])</f>
        <v/>
      </c>
      <c r="I2994" s="60">
        <f>IF(AND(tblFleet[[#This Row],[Units]]&lt;&gt;"",tblFleet[[#This Row],[Calendar_h]]&gt;0),tblFleet[[#This Row],[Available_h]]/tblFleet[[#This Row],[Calendar_h]],"")</f>
        <v/>
      </c>
      <c r="J2994" s="60">
        <f>IF(AND(tblFleet[[#This Row],[Units]]&lt;&gt;"",tblFleet[[#This Row],[Available_h]]&gt;0),tblFleet[[#This Row],[Operating_h]]/tblFleet[[#This Row],[Available_h]],"")</f>
        <v/>
      </c>
    </row>
    <row r="2995">
      <c r="A2995" s="54" t="n"/>
      <c r="B2995" s="61" t="n"/>
      <c r="C2995" s="62" t="n"/>
      <c r="D2995" s="57" t="n"/>
      <c r="E2995" s="57" t="n"/>
      <c r="F2995" s="58" t="n"/>
      <c r="G2995" s="66">
        <f>IF(tblFleet[[#This Row],[Units]]="","",tblFleet[[#This Row],[Units]]*24)</f>
        <v/>
      </c>
      <c r="H2995" s="66">
        <f>IF(tblFleet[[#This Row],[Units]]="","",tblFleet[[#This Row],[Calendar_h]]-tblFleet[[#This Row],[Down_h]])</f>
        <v/>
      </c>
      <c r="I2995" s="60">
        <f>IF(AND(tblFleet[[#This Row],[Units]]&lt;&gt;"",tblFleet[[#This Row],[Calendar_h]]&gt;0),tblFleet[[#This Row],[Available_h]]/tblFleet[[#This Row],[Calendar_h]],"")</f>
        <v/>
      </c>
      <c r="J2995" s="60">
        <f>IF(AND(tblFleet[[#This Row],[Units]]&lt;&gt;"",tblFleet[[#This Row],[Available_h]]&gt;0),tblFleet[[#This Row],[Operating_h]]/tblFleet[[#This Row],[Available_h]],"")</f>
        <v/>
      </c>
    </row>
    <row r="2996">
      <c r="A2996" s="54" t="n"/>
      <c r="B2996" s="61" t="n"/>
      <c r="C2996" s="62" t="n"/>
      <c r="D2996" s="57" t="n"/>
      <c r="E2996" s="57" t="n"/>
      <c r="F2996" s="58" t="n"/>
      <c r="G2996" s="66">
        <f>IF(tblFleet[[#This Row],[Units]]="","",tblFleet[[#This Row],[Units]]*24)</f>
        <v/>
      </c>
      <c r="H2996" s="66">
        <f>IF(tblFleet[[#This Row],[Units]]="","",tblFleet[[#This Row],[Calendar_h]]-tblFleet[[#This Row],[Down_h]])</f>
        <v/>
      </c>
      <c r="I2996" s="60">
        <f>IF(AND(tblFleet[[#This Row],[Units]]&lt;&gt;"",tblFleet[[#This Row],[Calendar_h]]&gt;0),tblFleet[[#This Row],[Available_h]]/tblFleet[[#This Row],[Calendar_h]],"")</f>
        <v/>
      </c>
      <c r="J2996" s="60">
        <f>IF(AND(tblFleet[[#This Row],[Units]]&lt;&gt;"",tblFleet[[#This Row],[Available_h]]&gt;0),tblFleet[[#This Row],[Operating_h]]/tblFleet[[#This Row],[Available_h]],"")</f>
        <v/>
      </c>
    </row>
    <row r="2997">
      <c r="A2997" s="54" t="n"/>
      <c r="B2997" s="61" t="n"/>
      <c r="C2997" s="62" t="n"/>
      <c r="D2997" s="57" t="n"/>
      <c r="E2997" s="57" t="n"/>
      <c r="F2997" s="58" t="n"/>
      <c r="G2997" s="66">
        <f>IF(tblFleet[[#This Row],[Units]]="","",tblFleet[[#This Row],[Units]]*24)</f>
        <v/>
      </c>
      <c r="H2997" s="66">
        <f>IF(tblFleet[[#This Row],[Units]]="","",tblFleet[[#This Row],[Calendar_h]]-tblFleet[[#This Row],[Down_h]])</f>
        <v/>
      </c>
      <c r="I2997" s="60">
        <f>IF(AND(tblFleet[[#This Row],[Units]]&lt;&gt;"",tblFleet[[#This Row],[Calendar_h]]&gt;0),tblFleet[[#This Row],[Available_h]]/tblFleet[[#This Row],[Calendar_h]],"")</f>
        <v/>
      </c>
      <c r="J2997" s="60">
        <f>IF(AND(tblFleet[[#This Row],[Units]]&lt;&gt;"",tblFleet[[#This Row],[Available_h]]&gt;0),tblFleet[[#This Row],[Operating_h]]/tblFleet[[#This Row],[Available_h]],"")</f>
        <v/>
      </c>
    </row>
    <row r="2998">
      <c r="A2998" s="54" t="n"/>
      <c r="B2998" s="61" t="n"/>
      <c r="C2998" s="62" t="n"/>
      <c r="D2998" s="57" t="n"/>
      <c r="E2998" s="57" t="n"/>
      <c r="F2998" s="58" t="n"/>
      <c r="G2998" s="66">
        <f>IF(tblFleet[[#This Row],[Units]]="","",tblFleet[[#This Row],[Units]]*24)</f>
        <v/>
      </c>
      <c r="H2998" s="66">
        <f>IF(tblFleet[[#This Row],[Units]]="","",tblFleet[[#This Row],[Calendar_h]]-tblFleet[[#This Row],[Down_h]])</f>
        <v/>
      </c>
      <c r="I2998" s="60">
        <f>IF(AND(tblFleet[[#This Row],[Units]]&lt;&gt;"",tblFleet[[#This Row],[Calendar_h]]&gt;0),tblFleet[[#This Row],[Available_h]]/tblFleet[[#This Row],[Calendar_h]],"")</f>
        <v/>
      </c>
      <c r="J2998" s="60">
        <f>IF(AND(tblFleet[[#This Row],[Units]]&lt;&gt;"",tblFleet[[#This Row],[Available_h]]&gt;0),tblFleet[[#This Row],[Operating_h]]/tblFleet[[#This Row],[Available_h]],"")</f>
        <v/>
      </c>
    </row>
    <row r="2999">
      <c r="A2999" s="54" t="n"/>
      <c r="B2999" s="61" t="n"/>
      <c r="C2999" s="62" t="n"/>
      <c r="D2999" s="57" t="n"/>
      <c r="E2999" s="57" t="n"/>
      <c r="F2999" s="58" t="n"/>
      <c r="G2999" s="66">
        <f>IF(tblFleet[[#This Row],[Units]]="","",tblFleet[[#This Row],[Units]]*24)</f>
        <v/>
      </c>
      <c r="H2999" s="66">
        <f>IF(tblFleet[[#This Row],[Units]]="","",tblFleet[[#This Row],[Calendar_h]]-tblFleet[[#This Row],[Down_h]])</f>
        <v/>
      </c>
      <c r="I2999" s="60">
        <f>IF(AND(tblFleet[[#This Row],[Units]]&lt;&gt;"",tblFleet[[#This Row],[Calendar_h]]&gt;0),tblFleet[[#This Row],[Available_h]]/tblFleet[[#This Row],[Calendar_h]],"")</f>
        <v/>
      </c>
      <c r="J2999" s="60">
        <f>IF(AND(tblFleet[[#This Row],[Units]]&lt;&gt;"",tblFleet[[#This Row],[Available_h]]&gt;0),tblFleet[[#This Row],[Operating_h]]/tblFleet[[#This Row],[Available_h]],"")</f>
        <v/>
      </c>
    </row>
    <row r="3000">
      <c r="A3000" s="54" t="n"/>
      <c r="B3000" s="61" t="n"/>
      <c r="C3000" s="62" t="n"/>
      <c r="D3000" s="57" t="n"/>
      <c r="E3000" s="57" t="n"/>
      <c r="F3000" s="58" t="n"/>
      <c r="G3000" s="66">
        <f>IF(tblFleet[[#This Row],[Units]]="","",tblFleet[[#This Row],[Units]]*24)</f>
        <v/>
      </c>
      <c r="H3000" s="66">
        <f>IF(tblFleet[[#This Row],[Units]]="","",tblFleet[[#This Row],[Calendar_h]]-tblFleet[[#This Row],[Down_h]])</f>
        <v/>
      </c>
      <c r="I3000" s="60">
        <f>IF(AND(tblFleet[[#This Row],[Units]]&lt;&gt;"",tblFleet[[#This Row],[Calendar_h]]&gt;0),tblFleet[[#This Row],[Available_h]]/tblFleet[[#This Row],[Calendar_h]],"")</f>
        <v/>
      </c>
      <c r="J3000" s="60">
        <f>IF(AND(tblFleet[[#This Row],[Units]]&lt;&gt;"",tblFleet[[#This Row],[Available_h]]&gt;0),tblFleet[[#This Row],[Operating_h]]/tblFleet[[#This Row],[Available_h]],"")</f>
        <v/>
      </c>
    </row>
    <row r="3001">
      <c r="A3001" s="54" t="n"/>
      <c r="B3001" s="61" t="n"/>
      <c r="C3001" s="62" t="n"/>
      <c r="D3001" s="57" t="n"/>
      <c r="E3001" s="57" t="n"/>
      <c r="F3001" s="58" t="n"/>
      <c r="G3001" s="66">
        <f>IF(tblFleet[[#This Row],[Units]]="","",tblFleet[[#This Row],[Units]]*24)</f>
        <v/>
      </c>
      <c r="H3001" s="66">
        <f>IF(tblFleet[[#This Row],[Units]]="","",tblFleet[[#This Row],[Calendar_h]]-tblFleet[[#This Row],[Down_h]])</f>
        <v/>
      </c>
      <c r="I3001" s="60">
        <f>IF(AND(tblFleet[[#This Row],[Units]]&lt;&gt;"",tblFleet[[#This Row],[Calendar_h]]&gt;0),tblFleet[[#This Row],[Available_h]]/tblFleet[[#This Row],[Calendar_h]],"")</f>
        <v/>
      </c>
      <c r="J3001" s="60">
        <f>IF(AND(tblFleet[[#This Row],[Units]]&lt;&gt;"",tblFleet[[#This Row],[Available_h]]&gt;0),tblFleet[[#This Row],[Operating_h]]/tblFleet[[#This Row],[Available_h]],"")</f>
        <v/>
      </c>
    </row>
    <row r="3002">
      <c r="A3002" s="54" t="n"/>
      <c r="B3002" s="61" t="n"/>
      <c r="C3002" s="62" t="n"/>
      <c r="D3002" s="57" t="n"/>
      <c r="E3002" s="57" t="n"/>
      <c r="F3002" s="58" t="n"/>
      <c r="G3002" s="66">
        <f>IF(tblFleet[[#This Row],[Units]]="","",tblFleet[[#This Row],[Units]]*24)</f>
        <v/>
      </c>
      <c r="H3002" s="66">
        <f>IF(tblFleet[[#This Row],[Units]]="","",tblFleet[[#This Row],[Calendar_h]]-tblFleet[[#This Row],[Down_h]])</f>
        <v/>
      </c>
      <c r="I3002" s="60">
        <f>IF(AND(tblFleet[[#This Row],[Units]]&lt;&gt;"",tblFleet[[#This Row],[Calendar_h]]&gt;0),tblFleet[[#This Row],[Available_h]]/tblFleet[[#This Row],[Calendar_h]],"")</f>
        <v/>
      </c>
      <c r="J3002" s="60">
        <f>IF(AND(tblFleet[[#This Row],[Units]]&lt;&gt;"",tblFleet[[#This Row],[Available_h]]&gt;0),tblFleet[[#This Row],[Operating_h]]/tblFleet[[#This Row],[Available_h]],"")</f>
        <v/>
      </c>
    </row>
    <row r="3003">
      <c r="A3003" s="54" t="n"/>
      <c r="B3003" s="61" t="n"/>
      <c r="C3003" s="62" t="n"/>
      <c r="D3003" s="57" t="n"/>
      <c r="E3003" s="57" t="n"/>
      <c r="F3003" s="58" t="n"/>
      <c r="G3003" s="66">
        <f>IF(tblFleet[[#This Row],[Units]]="","",tblFleet[[#This Row],[Units]]*24)</f>
        <v/>
      </c>
      <c r="H3003" s="66">
        <f>IF(tblFleet[[#This Row],[Units]]="","",tblFleet[[#This Row],[Calendar_h]]-tblFleet[[#This Row],[Down_h]])</f>
        <v/>
      </c>
      <c r="I3003" s="60">
        <f>IF(AND(tblFleet[[#This Row],[Units]]&lt;&gt;"",tblFleet[[#This Row],[Calendar_h]]&gt;0),tblFleet[[#This Row],[Available_h]]/tblFleet[[#This Row],[Calendar_h]],"")</f>
        <v/>
      </c>
      <c r="J3003" s="60">
        <f>IF(AND(tblFleet[[#This Row],[Units]]&lt;&gt;"",tblFleet[[#This Row],[Available_h]]&gt;0),tblFleet[[#This Row],[Operating_h]]/tblFleet[[#This Row],[Available_h]],"")</f>
        <v/>
      </c>
    </row>
    <row r="3004">
      <c r="A3004" s="54" t="n"/>
      <c r="B3004" s="61" t="n"/>
      <c r="C3004" s="62" t="n"/>
      <c r="D3004" s="57" t="n"/>
      <c r="E3004" s="57" t="n"/>
      <c r="F3004" s="58" t="n"/>
      <c r="G3004" s="66">
        <f>IF(tblFleet[[#This Row],[Units]]="","",tblFleet[[#This Row],[Units]]*24)</f>
        <v/>
      </c>
      <c r="H3004" s="66">
        <f>IF(tblFleet[[#This Row],[Units]]="","",tblFleet[[#This Row],[Calendar_h]]-tblFleet[[#This Row],[Down_h]])</f>
        <v/>
      </c>
      <c r="I3004" s="60">
        <f>IF(AND(tblFleet[[#This Row],[Units]]&lt;&gt;"",tblFleet[[#This Row],[Calendar_h]]&gt;0),tblFleet[[#This Row],[Available_h]]/tblFleet[[#This Row],[Calendar_h]],"")</f>
        <v/>
      </c>
      <c r="J3004" s="60">
        <f>IF(AND(tblFleet[[#This Row],[Units]]&lt;&gt;"",tblFleet[[#This Row],[Available_h]]&gt;0),tblFleet[[#This Row],[Operating_h]]/tblFleet[[#This Row],[Available_h]],"")</f>
        <v/>
      </c>
    </row>
    <row r="3005">
      <c r="A3005" s="54" t="n"/>
      <c r="B3005" s="61" t="n"/>
      <c r="C3005" s="62" t="n"/>
      <c r="D3005" s="57" t="n"/>
      <c r="E3005" s="57" t="n"/>
      <c r="F3005" s="58" t="n"/>
      <c r="G3005" s="66">
        <f>IF(tblFleet[[#This Row],[Units]]="","",tblFleet[[#This Row],[Units]]*24)</f>
        <v/>
      </c>
      <c r="H3005" s="66">
        <f>IF(tblFleet[[#This Row],[Units]]="","",tblFleet[[#This Row],[Calendar_h]]-tblFleet[[#This Row],[Down_h]])</f>
        <v/>
      </c>
      <c r="I3005" s="60">
        <f>IF(AND(tblFleet[[#This Row],[Units]]&lt;&gt;"",tblFleet[[#This Row],[Calendar_h]]&gt;0),tblFleet[[#This Row],[Available_h]]/tblFleet[[#This Row],[Calendar_h]],"")</f>
        <v/>
      </c>
      <c r="J3005" s="60">
        <f>IF(AND(tblFleet[[#This Row],[Units]]&lt;&gt;"",tblFleet[[#This Row],[Available_h]]&gt;0),tblFleet[[#This Row],[Operating_h]]/tblFleet[[#This Row],[Available_h]],"")</f>
        <v/>
      </c>
    </row>
  </sheetData>
  <dataValidations count="5">
    <dataValidation sqref="A6:A30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005" showDropDown="0" showInputMessage="0" showErrorMessage="1" allowBlank="1" errorTitle="Not in list" error="Choose a value from the list (edit the Lists sheet to add one)." type="list">
      <formula1>=lst_Equipment_Class</formula1>
    </dataValidation>
    <dataValidation sqref="C6:C3005" showDropDown="0" showInputMessage="1" showErrorMessage="1" allowBlank="1" errorTitle="Outside expected range" error="Expected between 0 and 200. Click Yes to keep the value if it is correct." promptTitle="Units in fleet" prompt="Number of machines of this class on site" type="whole" errorStyle="warning" operator="between">
      <formula1>0</formula1>
      <formula2>200</formula2>
    </dataValidation>
    <dataValidation sqref="D6:D3005" showDropDown="0" showInputMessage="1" showErrorMessage="1" allowBlank="1" errorTitle="Outside expected range" error="Expected between 0 and 4800. Click Yes to keep the value if it is correct." promptTitle="Down hours" prompt="Sum of maintenance and breakdown hours across the class" type="decimal" errorStyle="warning" operator="between">
      <formula1>0</formula1>
      <formula2>4800</formula2>
    </dataValidation>
    <dataValidation sqref="E6:E3005" showDropDown="0" showInputMessage="1" showErrorMessage="1" allowBlank="1" errorTitle="Outside expected range" error="Expected between 0 and 4800. Click Yes to keep the value if it is correct." promptTitle="Operating hours" prompt="Sum of engine or productive hours across the class" type="decimal" errorStyle="warning" operator="between">
      <formula1>0</formula1>
      <formula2>4800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S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.3" customWidth="1" min="2" max="2"/>
    <col width="28" customWidth="1" min="3" max="3"/>
    <col width="11" customWidth="1" min="4" max="4"/>
    <col width="18.2" customWidth="1" min="5" max="5"/>
    <col width="23.6" customWidth="1" min="6" max="6"/>
    <col width="25.4" customWidth="1" min="7" max="7"/>
    <col width="18.2" customWidth="1" min="8" max="8"/>
    <col width="11.9" customWidth="1" min="9" max="9"/>
    <col width="14.6" customWidth="1" min="10" max="10"/>
    <col width="23.6" customWidth="1" min="11" max="11"/>
    <col width="22.7" customWidth="1" min="12" max="12"/>
    <col width="28" customWidth="1" min="13" max="13"/>
    <col width="17.3" customWidth="1" min="14" max="14"/>
    <col width="13.7" customWidth="1" min="15" max="15"/>
    <col width="21.8" customWidth="1" min="16" max="16"/>
    <col width="32" customWidth="1" min="17" max="17"/>
    <col width="22.7" customWidth="1" min="18" max="18"/>
    <col width="19.1" customWidth="1" min="19" max="19"/>
  </cols>
  <sheetData>
    <row r="1">
      <c r="A1" s="50" t="inlineStr">
        <is>
          <t>Safety, health, environment and community, one row per day</t>
        </is>
      </c>
    </row>
    <row r="2">
      <c r="A2" s="6" t="inlineStr">
        <is>
          <t>Owner: HSE.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Hours worked, employees (h)</t>
        </is>
      </c>
      <c r="C4" s="51" t="inlineStr">
        <is>
          <t>Hours worked, contractors (h)</t>
        </is>
      </c>
      <c r="D4" s="51" t="inlineStr">
        <is>
          <t>Fatalities</t>
        </is>
      </c>
      <c r="E4" s="51" t="inlineStr">
        <is>
          <t>Lost time injuries</t>
        </is>
      </c>
      <c r="F4" s="51" t="inlineStr">
        <is>
          <t>Restricted work injuries</t>
        </is>
      </c>
      <c r="G4" s="51" t="inlineStr">
        <is>
          <t>Medical treatment injuries</t>
        </is>
      </c>
      <c r="H4" s="51" t="inlineStr">
        <is>
          <t>First aid injuries</t>
        </is>
      </c>
      <c r="I4" s="51" t="inlineStr">
        <is>
          <t>Near misses</t>
        </is>
      </c>
      <c r="J4" s="51" t="inlineStr">
        <is>
          <t>Hazard reports</t>
        </is>
      </c>
      <c r="K4" s="51" t="inlineStr">
        <is>
          <t>High potential incidents</t>
        </is>
      </c>
      <c r="L4" s="51" t="inlineStr">
        <is>
          <t>Environmental incidents</t>
        </is>
      </c>
      <c r="M4" s="51" t="inlineStr">
        <is>
          <t>Community incidents or grievances</t>
        </is>
      </c>
      <c r="N4" s="51" t="inlineStr">
        <is>
          <t>Vehicle incidents</t>
        </is>
      </c>
      <c r="O4" s="51" t="inlineStr">
        <is>
          <t>Toolbox talks</t>
        </is>
      </c>
      <c r="P4" s="51" t="inlineStr">
        <is>
          <t>Inspections and audits</t>
        </is>
      </c>
      <c r="Q4" s="51" t="inlineStr">
        <is>
          <t>Comments</t>
        </is>
      </c>
      <c r="R4" s="51" t="inlineStr">
        <is>
          <t>Hours worked, total (h)</t>
        </is>
      </c>
      <c r="S4" s="51" t="inlineStr">
        <is>
          <t>Recordable injuries</t>
        </is>
      </c>
    </row>
    <row r="5">
      <c r="A5" s="52" t="inlineStr">
        <is>
          <t>Date</t>
        </is>
      </c>
      <c r="B5" s="52" t="inlineStr">
        <is>
          <t>Hours_Employees</t>
        </is>
      </c>
      <c r="C5" s="52" t="inlineStr">
        <is>
          <t>Hours_Contractors</t>
        </is>
      </c>
      <c r="D5" s="52" t="inlineStr">
        <is>
          <t>Fatality</t>
        </is>
      </c>
      <c r="E5" s="52" t="inlineStr">
        <is>
          <t>LTI</t>
        </is>
      </c>
      <c r="F5" s="52" t="inlineStr">
        <is>
          <t>RWI</t>
        </is>
      </c>
      <c r="G5" s="52" t="inlineStr">
        <is>
          <t>MTI</t>
        </is>
      </c>
      <c r="H5" s="52" t="inlineStr">
        <is>
          <t>FAI</t>
        </is>
      </c>
      <c r="I5" s="52" t="inlineStr">
        <is>
          <t>Near_Miss</t>
        </is>
      </c>
      <c r="J5" s="52" t="inlineStr">
        <is>
          <t>Hazard_Reports</t>
        </is>
      </c>
      <c r="K5" s="52" t="inlineStr">
        <is>
          <t>HPI</t>
        </is>
      </c>
      <c r="L5" s="52" t="inlineStr">
        <is>
          <t>Env_Incidents</t>
        </is>
      </c>
      <c r="M5" s="52" t="inlineStr">
        <is>
          <t>Community_Incidents</t>
        </is>
      </c>
      <c r="N5" s="52" t="inlineStr">
        <is>
          <t>Vehicle_Incidents</t>
        </is>
      </c>
      <c r="O5" s="52" t="inlineStr">
        <is>
          <t>Toolbox_Talks</t>
        </is>
      </c>
      <c r="P5" s="52" t="inlineStr">
        <is>
          <t>Inspections</t>
        </is>
      </c>
      <c r="Q5" s="52" t="inlineStr">
        <is>
          <t>Comments</t>
        </is>
      </c>
      <c r="R5" s="53" t="inlineStr">
        <is>
          <t>Hours_Total</t>
        </is>
      </c>
      <c r="S5" s="53" t="inlineStr">
        <is>
          <t>Recordables</t>
        </is>
      </c>
    </row>
    <row r="6">
      <c r="A6" s="54" t="n">
        <v>46023</v>
      </c>
      <c r="B6" s="57" t="n"/>
      <c r="C6" s="57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58" t="n"/>
      <c r="R6" s="66">
        <f>IF(AND(tblSafety[[#This Row],[Hours_Employees]]="",tblSafety[[#This Row],[Hours_Contractors]]=""),"",N(tblSafety[[#This Row],[Hours_Employees]])+N(tblSafety[[#This Row],[Hours_Contractors]]))</f>
        <v/>
      </c>
      <c r="S6" s="64">
        <f>N(tblSafety[[#This Row],[Fatality]])+N(tblSafety[[#This Row],[LTI]])+N(tblSafety[[#This Row],[RWI]])+N(tblSafety[[#This Row],[MTI]])</f>
        <v/>
      </c>
    </row>
    <row r="7">
      <c r="A7" s="54" t="n">
        <v>46024</v>
      </c>
      <c r="B7" s="57" t="n"/>
      <c r="C7" s="57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58" t="n"/>
      <c r="R7" s="66">
        <f>IF(AND(tblSafety[[#This Row],[Hours_Employees]]="",tblSafety[[#This Row],[Hours_Contractors]]=""),"",N(tblSafety[[#This Row],[Hours_Employees]])+N(tblSafety[[#This Row],[Hours_Contractors]]))</f>
        <v/>
      </c>
      <c r="S7" s="64">
        <f>N(tblSafety[[#This Row],[Fatality]])+N(tblSafety[[#This Row],[LTI]])+N(tblSafety[[#This Row],[RWI]])+N(tblSafety[[#This Row],[MTI]])</f>
        <v/>
      </c>
    </row>
    <row r="8">
      <c r="A8" s="54" t="n">
        <v>46025</v>
      </c>
      <c r="B8" s="57" t="n"/>
      <c r="C8" s="57" t="n"/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58" t="n"/>
      <c r="R8" s="66">
        <f>IF(AND(tblSafety[[#This Row],[Hours_Employees]]="",tblSafety[[#This Row],[Hours_Contractors]]=""),"",N(tblSafety[[#This Row],[Hours_Employees]])+N(tblSafety[[#This Row],[Hours_Contractors]]))</f>
        <v/>
      </c>
      <c r="S8" s="64">
        <f>N(tblSafety[[#This Row],[Fatality]])+N(tblSafety[[#This Row],[LTI]])+N(tblSafety[[#This Row],[RWI]])+N(tblSafety[[#This Row],[MTI]])</f>
        <v/>
      </c>
    </row>
    <row r="9">
      <c r="A9" s="54" t="n">
        <v>46026</v>
      </c>
      <c r="B9" s="57" t="n"/>
      <c r="C9" s="57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58" t="n"/>
      <c r="R9" s="66">
        <f>IF(AND(tblSafety[[#This Row],[Hours_Employees]]="",tblSafety[[#This Row],[Hours_Contractors]]=""),"",N(tblSafety[[#This Row],[Hours_Employees]])+N(tblSafety[[#This Row],[Hours_Contractors]]))</f>
        <v/>
      </c>
      <c r="S9" s="64">
        <f>N(tblSafety[[#This Row],[Fatality]])+N(tblSafety[[#This Row],[LTI]])+N(tblSafety[[#This Row],[RWI]])+N(tblSafety[[#This Row],[MTI]])</f>
        <v/>
      </c>
    </row>
    <row r="10">
      <c r="A10" s="54" t="n">
        <v>46027</v>
      </c>
      <c r="B10" s="57" t="n"/>
      <c r="C10" s="57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58" t="n"/>
      <c r="R10" s="66">
        <f>IF(AND(tblSafety[[#This Row],[Hours_Employees]]="",tblSafety[[#This Row],[Hours_Contractors]]=""),"",N(tblSafety[[#This Row],[Hours_Employees]])+N(tblSafety[[#This Row],[Hours_Contractors]]))</f>
        <v/>
      </c>
      <c r="S10" s="64">
        <f>N(tblSafety[[#This Row],[Fatality]])+N(tblSafety[[#This Row],[LTI]])+N(tblSafety[[#This Row],[RWI]])+N(tblSafety[[#This Row],[MTI]])</f>
        <v/>
      </c>
    </row>
    <row r="11">
      <c r="A11" s="54" t="n">
        <v>46028</v>
      </c>
      <c r="B11" s="57" t="n"/>
      <c r="C11" s="57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58" t="n"/>
      <c r="R11" s="66">
        <f>IF(AND(tblSafety[[#This Row],[Hours_Employees]]="",tblSafety[[#This Row],[Hours_Contractors]]=""),"",N(tblSafety[[#This Row],[Hours_Employees]])+N(tblSafety[[#This Row],[Hours_Contractors]]))</f>
        <v/>
      </c>
      <c r="S11" s="64">
        <f>N(tblSafety[[#This Row],[Fatality]])+N(tblSafety[[#This Row],[LTI]])+N(tblSafety[[#This Row],[RWI]])+N(tblSafety[[#This Row],[MTI]])</f>
        <v/>
      </c>
    </row>
    <row r="12">
      <c r="A12" s="54" t="n">
        <v>46029</v>
      </c>
      <c r="B12" s="57" t="n"/>
      <c r="C12" s="57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58" t="n"/>
      <c r="R12" s="66">
        <f>IF(AND(tblSafety[[#This Row],[Hours_Employees]]="",tblSafety[[#This Row],[Hours_Contractors]]=""),"",N(tblSafety[[#This Row],[Hours_Employees]])+N(tblSafety[[#This Row],[Hours_Contractors]]))</f>
        <v/>
      </c>
      <c r="S12" s="64">
        <f>N(tblSafety[[#This Row],[Fatality]])+N(tblSafety[[#This Row],[LTI]])+N(tblSafety[[#This Row],[RWI]])+N(tblSafety[[#This Row],[MTI]])</f>
        <v/>
      </c>
    </row>
    <row r="13">
      <c r="A13" s="54" t="n">
        <v>46030</v>
      </c>
      <c r="B13" s="57" t="n"/>
      <c r="C13" s="57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58" t="n"/>
      <c r="R13" s="66">
        <f>IF(AND(tblSafety[[#This Row],[Hours_Employees]]="",tblSafety[[#This Row],[Hours_Contractors]]=""),"",N(tblSafety[[#This Row],[Hours_Employees]])+N(tblSafety[[#This Row],[Hours_Contractors]]))</f>
        <v/>
      </c>
      <c r="S13" s="64">
        <f>N(tblSafety[[#This Row],[Fatality]])+N(tblSafety[[#This Row],[LTI]])+N(tblSafety[[#This Row],[RWI]])+N(tblSafety[[#This Row],[MTI]])</f>
        <v/>
      </c>
    </row>
    <row r="14">
      <c r="A14" s="54" t="n">
        <v>46031</v>
      </c>
      <c r="B14" s="57" t="n"/>
      <c r="C14" s="57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58" t="n"/>
      <c r="R14" s="66">
        <f>IF(AND(tblSafety[[#This Row],[Hours_Employees]]="",tblSafety[[#This Row],[Hours_Contractors]]=""),"",N(tblSafety[[#This Row],[Hours_Employees]])+N(tblSafety[[#This Row],[Hours_Contractors]]))</f>
        <v/>
      </c>
      <c r="S14" s="64">
        <f>N(tblSafety[[#This Row],[Fatality]])+N(tblSafety[[#This Row],[LTI]])+N(tblSafety[[#This Row],[RWI]])+N(tblSafety[[#This Row],[MTI]])</f>
        <v/>
      </c>
    </row>
    <row r="15">
      <c r="A15" s="54" t="n">
        <v>46032</v>
      </c>
      <c r="B15" s="57" t="n"/>
      <c r="C15" s="57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58" t="n"/>
      <c r="R15" s="66">
        <f>IF(AND(tblSafety[[#This Row],[Hours_Employees]]="",tblSafety[[#This Row],[Hours_Contractors]]=""),"",N(tblSafety[[#This Row],[Hours_Employees]])+N(tblSafety[[#This Row],[Hours_Contractors]]))</f>
        <v/>
      </c>
      <c r="S15" s="64">
        <f>N(tblSafety[[#This Row],[Fatality]])+N(tblSafety[[#This Row],[LTI]])+N(tblSafety[[#This Row],[RWI]])+N(tblSafety[[#This Row],[MTI]])</f>
        <v/>
      </c>
    </row>
    <row r="16">
      <c r="A16" s="54" t="n">
        <v>46033</v>
      </c>
      <c r="B16" s="57" t="n"/>
      <c r="C16" s="57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58" t="n"/>
      <c r="R16" s="66">
        <f>IF(AND(tblSafety[[#This Row],[Hours_Employees]]="",tblSafety[[#This Row],[Hours_Contractors]]=""),"",N(tblSafety[[#This Row],[Hours_Employees]])+N(tblSafety[[#This Row],[Hours_Contractors]]))</f>
        <v/>
      </c>
      <c r="S16" s="64">
        <f>N(tblSafety[[#This Row],[Fatality]])+N(tblSafety[[#This Row],[LTI]])+N(tblSafety[[#This Row],[RWI]])+N(tblSafety[[#This Row],[MTI]])</f>
        <v/>
      </c>
    </row>
    <row r="17">
      <c r="A17" s="54" t="n">
        <v>46034</v>
      </c>
      <c r="B17" s="57" t="n"/>
      <c r="C17" s="57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58" t="n"/>
      <c r="R17" s="66">
        <f>IF(AND(tblSafety[[#This Row],[Hours_Employees]]="",tblSafety[[#This Row],[Hours_Contractors]]=""),"",N(tblSafety[[#This Row],[Hours_Employees]])+N(tblSafety[[#This Row],[Hours_Contractors]]))</f>
        <v/>
      </c>
      <c r="S17" s="64">
        <f>N(tblSafety[[#This Row],[Fatality]])+N(tblSafety[[#This Row],[LTI]])+N(tblSafety[[#This Row],[RWI]])+N(tblSafety[[#This Row],[MTI]])</f>
        <v/>
      </c>
    </row>
    <row r="18">
      <c r="A18" s="54" t="n">
        <v>46035</v>
      </c>
      <c r="B18" s="57" t="n"/>
      <c r="C18" s="57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58" t="n"/>
      <c r="R18" s="66">
        <f>IF(AND(tblSafety[[#This Row],[Hours_Employees]]="",tblSafety[[#This Row],[Hours_Contractors]]=""),"",N(tblSafety[[#This Row],[Hours_Employees]])+N(tblSafety[[#This Row],[Hours_Contractors]]))</f>
        <v/>
      </c>
      <c r="S18" s="64">
        <f>N(tblSafety[[#This Row],[Fatality]])+N(tblSafety[[#This Row],[LTI]])+N(tblSafety[[#This Row],[RWI]])+N(tblSafety[[#This Row],[MTI]])</f>
        <v/>
      </c>
    </row>
    <row r="19">
      <c r="A19" s="54" t="n">
        <v>46036</v>
      </c>
      <c r="B19" s="57" t="n"/>
      <c r="C19" s="57" t="n"/>
      <c r="D19" s="62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58" t="n"/>
      <c r="R19" s="66">
        <f>IF(AND(tblSafety[[#This Row],[Hours_Employees]]="",tblSafety[[#This Row],[Hours_Contractors]]=""),"",N(tblSafety[[#This Row],[Hours_Employees]])+N(tblSafety[[#This Row],[Hours_Contractors]]))</f>
        <v/>
      </c>
      <c r="S19" s="64">
        <f>N(tblSafety[[#This Row],[Fatality]])+N(tblSafety[[#This Row],[LTI]])+N(tblSafety[[#This Row],[RWI]])+N(tblSafety[[#This Row],[MTI]])</f>
        <v/>
      </c>
    </row>
    <row r="20">
      <c r="A20" s="54" t="n">
        <v>46037</v>
      </c>
      <c r="B20" s="57" t="n"/>
      <c r="C20" s="57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58" t="n"/>
      <c r="R20" s="66">
        <f>IF(AND(tblSafety[[#This Row],[Hours_Employees]]="",tblSafety[[#This Row],[Hours_Contractors]]=""),"",N(tblSafety[[#This Row],[Hours_Employees]])+N(tblSafety[[#This Row],[Hours_Contractors]]))</f>
        <v/>
      </c>
      <c r="S20" s="64">
        <f>N(tblSafety[[#This Row],[Fatality]])+N(tblSafety[[#This Row],[LTI]])+N(tblSafety[[#This Row],[RWI]])+N(tblSafety[[#This Row],[MTI]])</f>
        <v/>
      </c>
    </row>
    <row r="21">
      <c r="A21" s="54" t="n">
        <v>46038</v>
      </c>
      <c r="B21" s="57" t="n"/>
      <c r="C21" s="57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58" t="n"/>
      <c r="R21" s="66">
        <f>IF(AND(tblSafety[[#This Row],[Hours_Employees]]="",tblSafety[[#This Row],[Hours_Contractors]]=""),"",N(tblSafety[[#This Row],[Hours_Employees]])+N(tblSafety[[#This Row],[Hours_Contractors]]))</f>
        <v/>
      </c>
      <c r="S21" s="64">
        <f>N(tblSafety[[#This Row],[Fatality]])+N(tblSafety[[#This Row],[LTI]])+N(tblSafety[[#This Row],[RWI]])+N(tblSafety[[#This Row],[MTI]])</f>
        <v/>
      </c>
    </row>
    <row r="22">
      <c r="A22" s="54" t="n">
        <v>46039</v>
      </c>
      <c r="B22" s="57" t="n"/>
      <c r="C22" s="57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58" t="n"/>
      <c r="R22" s="66">
        <f>IF(AND(tblSafety[[#This Row],[Hours_Employees]]="",tblSafety[[#This Row],[Hours_Contractors]]=""),"",N(tblSafety[[#This Row],[Hours_Employees]])+N(tblSafety[[#This Row],[Hours_Contractors]]))</f>
        <v/>
      </c>
      <c r="S22" s="64">
        <f>N(tblSafety[[#This Row],[Fatality]])+N(tblSafety[[#This Row],[LTI]])+N(tblSafety[[#This Row],[RWI]])+N(tblSafety[[#This Row],[MTI]])</f>
        <v/>
      </c>
    </row>
    <row r="23">
      <c r="A23" s="54" t="n">
        <v>46040</v>
      </c>
      <c r="B23" s="57" t="n"/>
      <c r="C23" s="57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58" t="n"/>
      <c r="R23" s="66">
        <f>IF(AND(tblSafety[[#This Row],[Hours_Employees]]="",tblSafety[[#This Row],[Hours_Contractors]]=""),"",N(tblSafety[[#This Row],[Hours_Employees]])+N(tblSafety[[#This Row],[Hours_Contractors]]))</f>
        <v/>
      </c>
      <c r="S23" s="64">
        <f>N(tblSafety[[#This Row],[Fatality]])+N(tblSafety[[#This Row],[LTI]])+N(tblSafety[[#This Row],[RWI]])+N(tblSafety[[#This Row],[MTI]])</f>
        <v/>
      </c>
    </row>
    <row r="24">
      <c r="A24" s="54" t="n">
        <v>46041</v>
      </c>
      <c r="B24" s="57" t="n"/>
      <c r="C24" s="57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58" t="n"/>
      <c r="R24" s="66">
        <f>IF(AND(tblSafety[[#This Row],[Hours_Employees]]="",tblSafety[[#This Row],[Hours_Contractors]]=""),"",N(tblSafety[[#This Row],[Hours_Employees]])+N(tblSafety[[#This Row],[Hours_Contractors]]))</f>
        <v/>
      </c>
      <c r="S24" s="64">
        <f>N(tblSafety[[#This Row],[Fatality]])+N(tblSafety[[#This Row],[LTI]])+N(tblSafety[[#This Row],[RWI]])+N(tblSafety[[#This Row],[MTI]])</f>
        <v/>
      </c>
    </row>
    <row r="25">
      <c r="A25" s="54" t="n">
        <v>46042</v>
      </c>
      <c r="B25" s="57" t="n"/>
      <c r="C25" s="57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58" t="n"/>
      <c r="R25" s="66">
        <f>IF(AND(tblSafety[[#This Row],[Hours_Employees]]="",tblSafety[[#This Row],[Hours_Contractors]]=""),"",N(tblSafety[[#This Row],[Hours_Employees]])+N(tblSafety[[#This Row],[Hours_Contractors]]))</f>
        <v/>
      </c>
      <c r="S25" s="64">
        <f>N(tblSafety[[#This Row],[Fatality]])+N(tblSafety[[#This Row],[LTI]])+N(tblSafety[[#This Row],[RWI]])+N(tblSafety[[#This Row],[MTI]])</f>
        <v/>
      </c>
    </row>
    <row r="26">
      <c r="A26" s="54" t="n">
        <v>46043</v>
      </c>
      <c r="B26" s="57" t="n"/>
      <c r="C26" s="57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58" t="n"/>
      <c r="R26" s="66">
        <f>IF(AND(tblSafety[[#This Row],[Hours_Employees]]="",tblSafety[[#This Row],[Hours_Contractors]]=""),"",N(tblSafety[[#This Row],[Hours_Employees]])+N(tblSafety[[#This Row],[Hours_Contractors]]))</f>
        <v/>
      </c>
      <c r="S26" s="64">
        <f>N(tblSafety[[#This Row],[Fatality]])+N(tblSafety[[#This Row],[LTI]])+N(tblSafety[[#This Row],[RWI]])+N(tblSafety[[#This Row],[MTI]])</f>
        <v/>
      </c>
    </row>
    <row r="27">
      <c r="A27" s="54" t="n">
        <v>46044</v>
      </c>
      <c r="B27" s="57" t="n"/>
      <c r="C27" s="57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58" t="n"/>
      <c r="R27" s="66">
        <f>IF(AND(tblSafety[[#This Row],[Hours_Employees]]="",tblSafety[[#This Row],[Hours_Contractors]]=""),"",N(tblSafety[[#This Row],[Hours_Employees]])+N(tblSafety[[#This Row],[Hours_Contractors]]))</f>
        <v/>
      </c>
      <c r="S27" s="64">
        <f>N(tblSafety[[#This Row],[Fatality]])+N(tblSafety[[#This Row],[LTI]])+N(tblSafety[[#This Row],[RWI]])+N(tblSafety[[#This Row],[MTI]])</f>
        <v/>
      </c>
    </row>
    <row r="28">
      <c r="A28" s="54" t="n">
        <v>46045</v>
      </c>
      <c r="B28" s="57" t="n"/>
      <c r="C28" s="57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58" t="n"/>
      <c r="R28" s="66">
        <f>IF(AND(tblSafety[[#This Row],[Hours_Employees]]="",tblSafety[[#This Row],[Hours_Contractors]]=""),"",N(tblSafety[[#This Row],[Hours_Employees]])+N(tblSafety[[#This Row],[Hours_Contractors]]))</f>
        <v/>
      </c>
      <c r="S28" s="64">
        <f>N(tblSafety[[#This Row],[Fatality]])+N(tblSafety[[#This Row],[LTI]])+N(tblSafety[[#This Row],[RWI]])+N(tblSafety[[#This Row],[MTI]])</f>
        <v/>
      </c>
    </row>
    <row r="29">
      <c r="A29" s="54" t="n">
        <v>46046</v>
      </c>
      <c r="B29" s="57" t="n"/>
      <c r="C29" s="57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58" t="n"/>
      <c r="R29" s="66">
        <f>IF(AND(tblSafety[[#This Row],[Hours_Employees]]="",tblSafety[[#This Row],[Hours_Contractors]]=""),"",N(tblSafety[[#This Row],[Hours_Employees]])+N(tblSafety[[#This Row],[Hours_Contractors]]))</f>
        <v/>
      </c>
      <c r="S29" s="64">
        <f>N(tblSafety[[#This Row],[Fatality]])+N(tblSafety[[#This Row],[LTI]])+N(tblSafety[[#This Row],[RWI]])+N(tblSafety[[#This Row],[MTI]])</f>
        <v/>
      </c>
    </row>
    <row r="30">
      <c r="A30" s="54" t="n">
        <v>46047</v>
      </c>
      <c r="B30" s="57" t="n"/>
      <c r="C30" s="57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58" t="n"/>
      <c r="R30" s="66">
        <f>IF(AND(tblSafety[[#This Row],[Hours_Employees]]="",tblSafety[[#This Row],[Hours_Contractors]]=""),"",N(tblSafety[[#This Row],[Hours_Employees]])+N(tblSafety[[#This Row],[Hours_Contractors]]))</f>
        <v/>
      </c>
      <c r="S30" s="64">
        <f>N(tblSafety[[#This Row],[Fatality]])+N(tblSafety[[#This Row],[LTI]])+N(tblSafety[[#This Row],[RWI]])+N(tblSafety[[#This Row],[MTI]])</f>
        <v/>
      </c>
    </row>
    <row r="31">
      <c r="A31" s="54" t="n">
        <v>46048</v>
      </c>
      <c r="B31" s="57" t="n"/>
      <c r="C31" s="57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58" t="n"/>
      <c r="R31" s="66">
        <f>IF(AND(tblSafety[[#This Row],[Hours_Employees]]="",tblSafety[[#This Row],[Hours_Contractors]]=""),"",N(tblSafety[[#This Row],[Hours_Employees]])+N(tblSafety[[#This Row],[Hours_Contractors]]))</f>
        <v/>
      </c>
      <c r="S31" s="64">
        <f>N(tblSafety[[#This Row],[Fatality]])+N(tblSafety[[#This Row],[LTI]])+N(tblSafety[[#This Row],[RWI]])+N(tblSafety[[#This Row],[MTI]])</f>
        <v/>
      </c>
    </row>
    <row r="32">
      <c r="A32" s="54" t="n">
        <v>46049</v>
      </c>
      <c r="B32" s="57" t="n"/>
      <c r="C32" s="57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58" t="n"/>
      <c r="R32" s="66">
        <f>IF(AND(tblSafety[[#This Row],[Hours_Employees]]="",tblSafety[[#This Row],[Hours_Contractors]]=""),"",N(tblSafety[[#This Row],[Hours_Employees]])+N(tblSafety[[#This Row],[Hours_Contractors]]))</f>
        <v/>
      </c>
      <c r="S32" s="64">
        <f>N(tblSafety[[#This Row],[Fatality]])+N(tblSafety[[#This Row],[LTI]])+N(tblSafety[[#This Row],[RWI]])+N(tblSafety[[#This Row],[MTI]])</f>
        <v/>
      </c>
    </row>
    <row r="33">
      <c r="A33" s="54" t="n">
        <v>46050</v>
      </c>
      <c r="B33" s="57" t="n"/>
      <c r="C33" s="57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58" t="n"/>
      <c r="R33" s="66">
        <f>IF(AND(tblSafety[[#This Row],[Hours_Employees]]="",tblSafety[[#This Row],[Hours_Contractors]]=""),"",N(tblSafety[[#This Row],[Hours_Employees]])+N(tblSafety[[#This Row],[Hours_Contractors]]))</f>
        <v/>
      </c>
      <c r="S33" s="64">
        <f>N(tblSafety[[#This Row],[Fatality]])+N(tblSafety[[#This Row],[LTI]])+N(tblSafety[[#This Row],[RWI]])+N(tblSafety[[#This Row],[MTI]])</f>
        <v/>
      </c>
    </row>
    <row r="34">
      <c r="A34" s="54" t="n">
        <v>46051</v>
      </c>
      <c r="B34" s="57" t="n"/>
      <c r="C34" s="57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58" t="n"/>
      <c r="R34" s="66">
        <f>IF(AND(tblSafety[[#This Row],[Hours_Employees]]="",tblSafety[[#This Row],[Hours_Contractors]]=""),"",N(tblSafety[[#This Row],[Hours_Employees]])+N(tblSafety[[#This Row],[Hours_Contractors]]))</f>
        <v/>
      </c>
      <c r="S34" s="64">
        <f>N(tblSafety[[#This Row],[Fatality]])+N(tblSafety[[#This Row],[LTI]])+N(tblSafety[[#This Row],[RWI]])+N(tblSafety[[#This Row],[MTI]])</f>
        <v/>
      </c>
    </row>
    <row r="35">
      <c r="A35" s="54" t="n">
        <v>46052</v>
      </c>
      <c r="B35" s="57" t="n"/>
      <c r="C35" s="57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58" t="n"/>
      <c r="R35" s="66">
        <f>IF(AND(tblSafety[[#This Row],[Hours_Employees]]="",tblSafety[[#This Row],[Hours_Contractors]]=""),"",N(tblSafety[[#This Row],[Hours_Employees]])+N(tblSafety[[#This Row],[Hours_Contractors]]))</f>
        <v/>
      </c>
      <c r="S35" s="64">
        <f>N(tblSafety[[#This Row],[Fatality]])+N(tblSafety[[#This Row],[LTI]])+N(tblSafety[[#This Row],[RWI]])+N(tblSafety[[#This Row],[MTI]])</f>
        <v/>
      </c>
    </row>
    <row r="36">
      <c r="A36" s="54" t="n">
        <v>46053</v>
      </c>
      <c r="B36" s="57" t="n"/>
      <c r="C36" s="57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58" t="n"/>
      <c r="R36" s="66">
        <f>IF(AND(tblSafety[[#This Row],[Hours_Employees]]="",tblSafety[[#This Row],[Hours_Contractors]]=""),"",N(tblSafety[[#This Row],[Hours_Employees]])+N(tblSafety[[#This Row],[Hours_Contractors]]))</f>
        <v/>
      </c>
      <c r="S36" s="64">
        <f>N(tblSafety[[#This Row],[Fatality]])+N(tblSafety[[#This Row],[LTI]])+N(tblSafety[[#This Row],[RWI]])+N(tblSafety[[#This Row],[MTI]])</f>
        <v/>
      </c>
    </row>
    <row r="37">
      <c r="A37" s="54" t="n">
        <v>46054</v>
      </c>
      <c r="B37" s="57" t="n"/>
      <c r="C37" s="57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58" t="n"/>
      <c r="R37" s="66">
        <f>IF(AND(tblSafety[[#This Row],[Hours_Employees]]="",tblSafety[[#This Row],[Hours_Contractors]]=""),"",N(tblSafety[[#This Row],[Hours_Employees]])+N(tblSafety[[#This Row],[Hours_Contractors]]))</f>
        <v/>
      </c>
      <c r="S37" s="64">
        <f>N(tblSafety[[#This Row],[Fatality]])+N(tblSafety[[#This Row],[LTI]])+N(tblSafety[[#This Row],[RWI]])+N(tblSafety[[#This Row],[MTI]])</f>
        <v/>
      </c>
    </row>
    <row r="38">
      <c r="A38" s="54" t="n">
        <v>46055</v>
      </c>
      <c r="B38" s="57" t="n"/>
      <c r="C38" s="57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58" t="n"/>
      <c r="R38" s="66">
        <f>IF(AND(tblSafety[[#This Row],[Hours_Employees]]="",tblSafety[[#This Row],[Hours_Contractors]]=""),"",N(tblSafety[[#This Row],[Hours_Employees]])+N(tblSafety[[#This Row],[Hours_Contractors]]))</f>
        <v/>
      </c>
      <c r="S38" s="64">
        <f>N(tblSafety[[#This Row],[Fatality]])+N(tblSafety[[#This Row],[LTI]])+N(tblSafety[[#This Row],[RWI]])+N(tblSafety[[#This Row],[MTI]])</f>
        <v/>
      </c>
    </row>
    <row r="39">
      <c r="A39" s="54" t="n">
        <v>46056</v>
      </c>
      <c r="B39" s="57" t="n"/>
      <c r="C39" s="57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58" t="n"/>
      <c r="R39" s="66">
        <f>IF(AND(tblSafety[[#This Row],[Hours_Employees]]="",tblSafety[[#This Row],[Hours_Contractors]]=""),"",N(tblSafety[[#This Row],[Hours_Employees]])+N(tblSafety[[#This Row],[Hours_Contractors]]))</f>
        <v/>
      </c>
      <c r="S39" s="64">
        <f>N(tblSafety[[#This Row],[Fatality]])+N(tblSafety[[#This Row],[LTI]])+N(tblSafety[[#This Row],[RWI]])+N(tblSafety[[#This Row],[MTI]])</f>
        <v/>
      </c>
    </row>
    <row r="40">
      <c r="A40" s="54" t="n">
        <v>46057</v>
      </c>
      <c r="B40" s="57" t="n"/>
      <c r="C40" s="57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58" t="n"/>
      <c r="R40" s="66">
        <f>IF(AND(tblSafety[[#This Row],[Hours_Employees]]="",tblSafety[[#This Row],[Hours_Contractors]]=""),"",N(tblSafety[[#This Row],[Hours_Employees]])+N(tblSafety[[#This Row],[Hours_Contractors]]))</f>
        <v/>
      </c>
      <c r="S40" s="64">
        <f>N(tblSafety[[#This Row],[Fatality]])+N(tblSafety[[#This Row],[LTI]])+N(tblSafety[[#This Row],[RWI]])+N(tblSafety[[#This Row],[MTI]])</f>
        <v/>
      </c>
    </row>
    <row r="41">
      <c r="A41" s="54" t="n">
        <v>46058</v>
      </c>
      <c r="B41" s="57" t="n"/>
      <c r="C41" s="57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58" t="n"/>
      <c r="R41" s="66">
        <f>IF(AND(tblSafety[[#This Row],[Hours_Employees]]="",tblSafety[[#This Row],[Hours_Contractors]]=""),"",N(tblSafety[[#This Row],[Hours_Employees]])+N(tblSafety[[#This Row],[Hours_Contractors]]))</f>
        <v/>
      </c>
      <c r="S41" s="64">
        <f>N(tblSafety[[#This Row],[Fatality]])+N(tblSafety[[#This Row],[LTI]])+N(tblSafety[[#This Row],[RWI]])+N(tblSafety[[#This Row],[MTI]])</f>
        <v/>
      </c>
    </row>
    <row r="42">
      <c r="A42" s="54" t="n">
        <v>46059</v>
      </c>
      <c r="B42" s="57" t="n"/>
      <c r="C42" s="57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58" t="n"/>
      <c r="R42" s="66">
        <f>IF(AND(tblSafety[[#This Row],[Hours_Employees]]="",tblSafety[[#This Row],[Hours_Contractors]]=""),"",N(tblSafety[[#This Row],[Hours_Employees]])+N(tblSafety[[#This Row],[Hours_Contractors]]))</f>
        <v/>
      </c>
      <c r="S42" s="64">
        <f>N(tblSafety[[#This Row],[Fatality]])+N(tblSafety[[#This Row],[LTI]])+N(tblSafety[[#This Row],[RWI]])+N(tblSafety[[#This Row],[MTI]])</f>
        <v/>
      </c>
    </row>
    <row r="43">
      <c r="A43" s="54" t="n">
        <v>46060</v>
      </c>
      <c r="B43" s="57" t="n"/>
      <c r="C43" s="57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58" t="n"/>
      <c r="R43" s="66">
        <f>IF(AND(tblSafety[[#This Row],[Hours_Employees]]="",tblSafety[[#This Row],[Hours_Contractors]]=""),"",N(tblSafety[[#This Row],[Hours_Employees]])+N(tblSafety[[#This Row],[Hours_Contractors]]))</f>
        <v/>
      </c>
      <c r="S43" s="64">
        <f>N(tblSafety[[#This Row],[Fatality]])+N(tblSafety[[#This Row],[LTI]])+N(tblSafety[[#This Row],[RWI]])+N(tblSafety[[#This Row],[MTI]])</f>
        <v/>
      </c>
    </row>
    <row r="44">
      <c r="A44" s="54" t="n">
        <v>46061</v>
      </c>
      <c r="B44" s="57" t="n"/>
      <c r="C44" s="57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58" t="n"/>
      <c r="R44" s="66">
        <f>IF(AND(tblSafety[[#This Row],[Hours_Employees]]="",tblSafety[[#This Row],[Hours_Contractors]]=""),"",N(tblSafety[[#This Row],[Hours_Employees]])+N(tblSafety[[#This Row],[Hours_Contractors]]))</f>
        <v/>
      </c>
      <c r="S44" s="64">
        <f>N(tblSafety[[#This Row],[Fatality]])+N(tblSafety[[#This Row],[LTI]])+N(tblSafety[[#This Row],[RWI]])+N(tblSafety[[#This Row],[MTI]])</f>
        <v/>
      </c>
    </row>
    <row r="45">
      <c r="A45" s="54" t="n">
        <v>46062</v>
      </c>
      <c r="B45" s="57" t="n"/>
      <c r="C45" s="57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58" t="n"/>
      <c r="R45" s="66">
        <f>IF(AND(tblSafety[[#This Row],[Hours_Employees]]="",tblSafety[[#This Row],[Hours_Contractors]]=""),"",N(tblSafety[[#This Row],[Hours_Employees]])+N(tblSafety[[#This Row],[Hours_Contractors]]))</f>
        <v/>
      </c>
      <c r="S45" s="64">
        <f>N(tblSafety[[#This Row],[Fatality]])+N(tblSafety[[#This Row],[LTI]])+N(tblSafety[[#This Row],[RWI]])+N(tblSafety[[#This Row],[MTI]])</f>
        <v/>
      </c>
    </row>
    <row r="46">
      <c r="A46" s="54" t="n">
        <v>46063</v>
      </c>
      <c r="B46" s="57" t="n"/>
      <c r="C46" s="57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58" t="n"/>
      <c r="R46" s="66">
        <f>IF(AND(tblSafety[[#This Row],[Hours_Employees]]="",tblSafety[[#This Row],[Hours_Contractors]]=""),"",N(tblSafety[[#This Row],[Hours_Employees]])+N(tblSafety[[#This Row],[Hours_Contractors]]))</f>
        <v/>
      </c>
      <c r="S46" s="64">
        <f>N(tblSafety[[#This Row],[Fatality]])+N(tblSafety[[#This Row],[LTI]])+N(tblSafety[[#This Row],[RWI]])+N(tblSafety[[#This Row],[MTI]])</f>
        <v/>
      </c>
    </row>
    <row r="47">
      <c r="A47" s="54" t="n">
        <v>46064</v>
      </c>
      <c r="B47" s="57" t="n"/>
      <c r="C47" s="57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58" t="n"/>
      <c r="R47" s="66">
        <f>IF(AND(tblSafety[[#This Row],[Hours_Employees]]="",tblSafety[[#This Row],[Hours_Contractors]]=""),"",N(tblSafety[[#This Row],[Hours_Employees]])+N(tblSafety[[#This Row],[Hours_Contractors]]))</f>
        <v/>
      </c>
      <c r="S47" s="64">
        <f>N(tblSafety[[#This Row],[Fatality]])+N(tblSafety[[#This Row],[LTI]])+N(tblSafety[[#This Row],[RWI]])+N(tblSafety[[#This Row],[MTI]])</f>
        <v/>
      </c>
    </row>
    <row r="48">
      <c r="A48" s="54" t="n">
        <v>46065</v>
      </c>
      <c r="B48" s="57" t="n"/>
      <c r="C48" s="57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58" t="n"/>
      <c r="R48" s="66">
        <f>IF(AND(tblSafety[[#This Row],[Hours_Employees]]="",tblSafety[[#This Row],[Hours_Contractors]]=""),"",N(tblSafety[[#This Row],[Hours_Employees]])+N(tblSafety[[#This Row],[Hours_Contractors]]))</f>
        <v/>
      </c>
      <c r="S48" s="64">
        <f>N(tblSafety[[#This Row],[Fatality]])+N(tblSafety[[#This Row],[LTI]])+N(tblSafety[[#This Row],[RWI]])+N(tblSafety[[#This Row],[MTI]])</f>
        <v/>
      </c>
    </row>
    <row r="49">
      <c r="A49" s="54" t="n">
        <v>46066</v>
      </c>
      <c r="B49" s="57" t="n"/>
      <c r="C49" s="57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58" t="n"/>
      <c r="R49" s="66">
        <f>IF(AND(tblSafety[[#This Row],[Hours_Employees]]="",tblSafety[[#This Row],[Hours_Contractors]]=""),"",N(tblSafety[[#This Row],[Hours_Employees]])+N(tblSafety[[#This Row],[Hours_Contractors]]))</f>
        <v/>
      </c>
      <c r="S49" s="64">
        <f>N(tblSafety[[#This Row],[Fatality]])+N(tblSafety[[#This Row],[LTI]])+N(tblSafety[[#This Row],[RWI]])+N(tblSafety[[#This Row],[MTI]])</f>
        <v/>
      </c>
    </row>
    <row r="50">
      <c r="A50" s="54" t="n">
        <v>46067</v>
      </c>
      <c r="B50" s="57" t="n"/>
      <c r="C50" s="57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58" t="n"/>
      <c r="R50" s="66">
        <f>IF(AND(tblSafety[[#This Row],[Hours_Employees]]="",tblSafety[[#This Row],[Hours_Contractors]]=""),"",N(tblSafety[[#This Row],[Hours_Employees]])+N(tblSafety[[#This Row],[Hours_Contractors]]))</f>
        <v/>
      </c>
      <c r="S50" s="64">
        <f>N(tblSafety[[#This Row],[Fatality]])+N(tblSafety[[#This Row],[LTI]])+N(tblSafety[[#This Row],[RWI]])+N(tblSafety[[#This Row],[MTI]])</f>
        <v/>
      </c>
    </row>
    <row r="51">
      <c r="A51" s="54" t="n">
        <v>46068</v>
      </c>
      <c r="B51" s="57" t="n"/>
      <c r="C51" s="57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58" t="n"/>
      <c r="R51" s="66">
        <f>IF(AND(tblSafety[[#This Row],[Hours_Employees]]="",tblSafety[[#This Row],[Hours_Contractors]]=""),"",N(tblSafety[[#This Row],[Hours_Employees]])+N(tblSafety[[#This Row],[Hours_Contractors]]))</f>
        <v/>
      </c>
      <c r="S51" s="64">
        <f>N(tblSafety[[#This Row],[Fatality]])+N(tblSafety[[#This Row],[LTI]])+N(tblSafety[[#This Row],[RWI]])+N(tblSafety[[#This Row],[MTI]])</f>
        <v/>
      </c>
    </row>
    <row r="52">
      <c r="A52" s="54" t="n">
        <v>46069</v>
      </c>
      <c r="B52" s="57" t="n"/>
      <c r="C52" s="57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58" t="n"/>
      <c r="R52" s="66">
        <f>IF(AND(tblSafety[[#This Row],[Hours_Employees]]="",tblSafety[[#This Row],[Hours_Contractors]]=""),"",N(tblSafety[[#This Row],[Hours_Employees]])+N(tblSafety[[#This Row],[Hours_Contractors]]))</f>
        <v/>
      </c>
      <c r="S52" s="64">
        <f>N(tblSafety[[#This Row],[Fatality]])+N(tblSafety[[#This Row],[LTI]])+N(tblSafety[[#This Row],[RWI]])+N(tblSafety[[#This Row],[MTI]])</f>
        <v/>
      </c>
    </row>
    <row r="53">
      <c r="A53" s="54" t="n">
        <v>46070</v>
      </c>
      <c r="B53" s="57" t="n"/>
      <c r="C53" s="57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58" t="n"/>
      <c r="R53" s="66">
        <f>IF(AND(tblSafety[[#This Row],[Hours_Employees]]="",tblSafety[[#This Row],[Hours_Contractors]]=""),"",N(tblSafety[[#This Row],[Hours_Employees]])+N(tblSafety[[#This Row],[Hours_Contractors]]))</f>
        <v/>
      </c>
      <c r="S53" s="64">
        <f>N(tblSafety[[#This Row],[Fatality]])+N(tblSafety[[#This Row],[LTI]])+N(tblSafety[[#This Row],[RWI]])+N(tblSafety[[#This Row],[MTI]])</f>
        <v/>
      </c>
    </row>
    <row r="54">
      <c r="A54" s="54" t="n">
        <v>46071</v>
      </c>
      <c r="B54" s="57" t="n"/>
      <c r="C54" s="57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58" t="n"/>
      <c r="R54" s="66">
        <f>IF(AND(tblSafety[[#This Row],[Hours_Employees]]="",tblSafety[[#This Row],[Hours_Contractors]]=""),"",N(tblSafety[[#This Row],[Hours_Employees]])+N(tblSafety[[#This Row],[Hours_Contractors]]))</f>
        <v/>
      </c>
      <c r="S54" s="64">
        <f>N(tblSafety[[#This Row],[Fatality]])+N(tblSafety[[#This Row],[LTI]])+N(tblSafety[[#This Row],[RWI]])+N(tblSafety[[#This Row],[MTI]])</f>
        <v/>
      </c>
    </row>
    <row r="55">
      <c r="A55" s="54" t="n">
        <v>46072</v>
      </c>
      <c r="B55" s="57" t="n"/>
      <c r="C55" s="57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58" t="n"/>
      <c r="R55" s="66">
        <f>IF(AND(tblSafety[[#This Row],[Hours_Employees]]="",tblSafety[[#This Row],[Hours_Contractors]]=""),"",N(tblSafety[[#This Row],[Hours_Employees]])+N(tblSafety[[#This Row],[Hours_Contractors]]))</f>
        <v/>
      </c>
      <c r="S55" s="64">
        <f>N(tblSafety[[#This Row],[Fatality]])+N(tblSafety[[#This Row],[LTI]])+N(tblSafety[[#This Row],[RWI]])+N(tblSafety[[#This Row],[MTI]])</f>
        <v/>
      </c>
    </row>
    <row r="56">
      <c r="A56" s="54" t="n">
        <v>46073</v>
      </c>
      <c r="B56" s="57" t="n"/>
      <c r="C56" s="57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58" t="n"/>
      <c r="R56" s="66">
        <f>IF(AND(tblSafety[[#This Row],[Hours_Employees]]="",tblSafety[[#This Row],[Hours_Contractors]]=""),"",N(tblSafety[[#This Row],[Hours_Employees]])+N(tblSafety[[#This Row],[Hours_Contractors]]))</f>
        <v/>
      </c>
      <c r="S56" s="64">
        <f>N(tblSafety[[#This Row],[Fatality]])+N(tblSafety[[#This Row],[LTI]])+N(tblSafety[[#This Row],[RWI]])+N(tblSafety[[#This Row],[MTI]])</f>
        <v/>
      </c>
    </row>
    <row r="57">
      <c r="A57" s="54" t="n">
        <v>46074</v>
      </c>
      <c r="B57" s="57" t="n"/>
      <c r="C57" s="57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58" t="n"/>
      <c r="R57" s="66">
        <f>IF(AND(tblSafety[[#This Row],[Hours_Employees]]="",tblSafety[[#This Row],[Hours_Contractors]]=""),"",N(tblSafety[[#This Row],[Hours_Employees]])+N(tblSafety[[#This Row],[Hours_Contractors]]))</f>
        <v/>
      </c>
      <c r="S57" s="64">
        <f>N(tblSafety[[#This Row],[Fatality]])+N(tblSafety[[#This Row],[LTI]])+N(tblSafety[[#This Row],[RWI]])+N(tblSafety[[#This Row],[MTI]])</f>
        <v/>
      </c>
    </row>
    <row r="58">
      <c r="A58" s="54" t="n">
        <v>46075</v>
      </c>
      <c r="B58" s="57" t="n"/>
      <c r="C58" s="57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58" t="n"/>
      <c r="R58" s="66">
        <f>IF(AND(tblSafety[[#This Row],[Hours_Employees]]="",tblSafety[[#This Row],[Hours_Contractors]]=""),"",N(tblSafety[[#This Row],[Hours_Employees]])+N(tblSafety[[#This Row],[Hours_Contractors]]))</f>
        <v/>
      </c>
      <c r="S58" s="64">
        <f>N(tblSafety[[#This Row],[Fatality]])+N(tblSafety[[#This Row],[LTI]])+N(tblSafety[[#This Row],[RWI]])+N(tblSafety[[#This Row],[MTI]])</f>
        <v/>
      </c>
    </row>
    <row r="59">
      <c r="A59" s="54" t="n">
        <v>46076</v>
      </c>
      <c r="B59" s="57" t="n"/>
      <c r="C59" s="57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58" t="n"/>
      <c r="R59" s="66">
        <f>IF(AND(tblSafety[[#This Row],[Hours_Employees]]="",tblSafety[[#This Row],[Hours_Contractors]]=""),"",N(tblSafety[[#This Row],[Hours_Employees]])+N(tblSafety[[#This Row],[Hours_Contractors]]))</f>
        <v/>
      </c>
      <c r="S59" s="64">
        <f>N(tblSafety[[#This Row],[Fatality]])+N(tblSafety[[#This Row],[LTI]])+N(tblSafety[[#This Row],[RWI]])+N(tblSafety[[#This Row],[MTI]])</f>
        <v/>
      </c>
    </row>
    <row r="60">
      <c r="A60" s="54" t="n">
        <v>46077</v>
      </c>
      <c r="B60" s="57" t="n"/>
      <c r="C60" s="57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58" t="n"/>
      <c r="R60" s="66">
        <f>IF(AND(tblSafety[[#This Row],[Hours_Employees]]="",tblSafety[[#This Row],[Hours_Contractors]]=""),"",N(tblSafety[[#This Row],[Hours_Employees]])+N(tblSafety[[#This Row],[Hours_Contractors]]))</f>
        <v/>
      </c>
      <c r="S60" s="64">
        <f>N(tblSafety[[#This Row],[Fatality]])+N(tblSafety[[#This Row],[LTI]])+N(tblSafety[[#This Row],[RWI]])+N(tblSafety[[#This Row],[MTI]])</f>
        <v/>
      </c>
    </row>
    <row r="61">
      <c r="A61" s="54" t="n">
        <v>46078</v>
      </c>
      <c r="B61" s="57" t="n"/>
      <c r="C61" s="57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58" t="n"/>
      <c r="R61" s="66">
        <f>IF(AND(tblSafety[[#This Row],[Hours_Employees]]="",tblSafety[[#This Row],[Hours_Contractors]]=""),"",N(tblSafety[[#This Row],[Hours_Employees]])+N(tblSafety[[#This Row],[Hours_Contractors]]))</f>
        <v/>
      </c>
      <c r="S61" s="64">
        <f>N(tblSafety[[#This Row],[Fatality]])+N(tblSafety[[#This Row],[LTI]])+N(tblSafety[[#This Row],[RWI]])+N(tblSafety[[#This Row],[MTI]])</f>
        <v/>
      </c>
    </row>
    <row r="62">
      <c r="A62" s="54" t="n">
        <v>46079</v>
      </c>
      <c r="B62" s="57" t="n"/>
      <c r="C62" s="57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58" t="n"/>
      <c r="R62" s="66">
        <f>IF(AND(tblSafety[[#This Row],[Hours_Employees]]="",tblSafety[[#This Row],[Hours_Contractors]]=""),"",N(tblSafety[[#This Row],[Hours_Employees]])+N(tblSafety[[#This Row],[Hours_Contractors]]))</f>
        <v/>
      </c>
      <c r="S62" s="64">
        <f>N(tblSafety[[#This Row],[Fatality]])+N(tblSafety[[#This Row],[LTI]])+N(tblSafety[[#This Row],[RWI]])+N(tblSafety[[#This Row],[MTI]])</f>
        <v/>
      </c>
    </row>
    <row r="63">
      <c r="A63" s="54" t="n">
        <v>46080</v>
      </c>
      <c r="B63" s="57" t="n"/>
      <c r="C63" s="57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58" t="n"/>
      <c r="R63" s="66">
        <f>IF(AND(tblSafety[[#This Row],[Hours_Employees]]="",tblSafety[[#This Row],[Hours_Contractors]]=""),"",N(tblSafety[[#This Row],[Hours_Employees]])+N(tblSafety[[#This Row],[Hours_Contractors]]))</f>
        <v/>
      </c>
      <c r="S63" s="64">
        <f>N(tblSafety[[#This Row],[Fatality]])+N(tblSafety[[#This Row],[LTI]])+N(tblSafety[[#This Row],[RWI]])+N(tblSafety[[#This Row],[MTI]])</f>
        <v/>
      </c>
    </row>
    <row r="64">
      <c r="A64" s="54" t="n">
        <v>46081</v>
      </c>
      <c r="B64" s="57" t="n"/>
      <c r="C64" s="57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58" t="n"/>
      <c r="R64" s="66">
        <f>IF(AND(tblSafety[[#This Row],[Hours_Employees]]="",tblSafety[[#This Row],[Hours_Contractors]]=""),"",N(tblSafety[[#This Row],[Hours_Employees]])+N(tblSafety[[#This Row],[Hours_Contractors]]))</f>
        <v/>
      </c>
      <c r="S64" s="64">
        <f>N(tblSafety[[#This Row],[Fatality]])+N(tblSafety[[#This Row],[LTI]])+N(tblSafety[[#This Row],[RWI]])+N(tblSafety[[#This Row],[MTI]])</f>
        <v/>
      </c>
    </row>
    <row r="65">
      <c r="A65" s="54" t="n">
        <v>46082</v>
      </c>
      <c r="B65" s="57" t="n"/>
      <c r="C65" s="57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58" t="n"/>
      <c r="R65" s="66">
        <f>IF(AND(tblSafety[[#This Row],[Hours_Employees]]="",tblSafety[[#This Row],[Hours_Contractors]]=""),"",N(tblSafety[[#This Row],[Hours_Employees]])+N(tblSafety[[#This Row],[Hours_Contractors]]))</f>
        <v/>
      </c>
      <c r="S65" s="64">
        <f>N(tblSafety[[#This Row],[Fatality]])+N(tblSafety[[#This Row],[LTI]])+N(tblSafety[[#This Row],[RWI]])+N(tblSafety[[#This Row],[MTI]])</f>
        <v/>
      </c>
    </row>
    <row r="66">
      <c r="A66" s="54" t="n">
        <v>46083</v>
      </c>
      <c r="B66" s="57" t="n"/>
      <c r="C66" s="57" t="n"/>
      <c r="D66" s="62" t="n"/>
      <c r="E66" s="62" t="n"/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58" t="n"/>
      <c r="R66" s="66">
        <f>IF(AND(tblSafety[[#This Row],[Hours_Employees]]="",tblSafety[[#This Row],[Hours_Contractors]]=""),"",N(tblSafety[[#This Row],[Hours_Employees]])+N(tblSafety[[#This Row],[Hours_Contractors]]))</f>
        <v/>
      </c>
      <c r="S66" s="64">
        <f>N(tblSafety[[#This Row],[Fatality]])+N(tblSafety[[#This Row],[LTI]])+N(tblSafety[[#This Row],[RWI]])+N(tblSafety[[#This Row],[MTI]])</f>
        <v/>
      </c>
    </row>
    <row r="67">
      <c r="A67" s="54" t="n">
        <v>46084</v>
      </c>
      <c r="B67" s="57" t="n"/>
      <c r="C67" s="57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58" t="n"/>
      <c r="R67" s="66">
        <f>IF(AND(tblSafety[[#This Row],[Hours_Employees]]="",tblSafety[[#This Row],[Hours_Contractors]]=""),"",N(tblSafety[[#This Row],[Hours_Employees]])+N(tblSafety[[#This Row],[Hours_Contractors]]))</f>
        <v/>
      </c>
      <c r="S67" s="64">
        <f>N(tblSafety[[#This Row],[Fatality]])+N(tblSafety[[#This Row],[LTI]])+N(tblSafety[[#This Row],[RWI]])+N(tblSafety[[#This Row],[MTI]])</f>
        <v/>
      </c>
    </row>
    <row r="68">
      <c r="A68" s="54" t="n">
        <v>46085</v>
      </c>
      <c r="B68" s="57" t="n"/>
      <c r="C68" s="57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58" t="n"/>
      <c r="R68" s="66">
        <f>IF(AND(tblSafety[[#This Row],[Hours_Employees]]="",tblSafety[[#This Row],[Hours_Contractors]]=""),"",N(tblSafety[[#This Row],[Hours_Employees]])+N(tblSafety[[#This Row],[Hours_Contractors]]))</f>
        <v/>
      </c>
      <c r="S68" s="64">
        <f>N(tblSafety[[#This Row],[Fatality]])+N(tblSafety[[#This Row],[LTI]])+N(tblSafety[[#This Row],[RWI]])+N(tblSafety[[#This Row],[MTI]])</f>
        <v/>
      </c>
    </row>
    <row r="69">
      <c r="A69" s="54" t="n">
        <v>46086</v>
      </c>
      <c r="B69" s="57" t="n"/>
      <c r="C69" s="57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58" t="n"/>
      <c r="R69" s="66">
        <f>IF(AND(tblSafety[[#This Row],[Hours_Employees]]="",tblSafety[[#This Row],[Hours_Contractors]]=""),"",N(tblSafety[[#This Row],[Hours_Employees]])+N(tblSafety[[#This Row],[Hours_Contractors]]))</f>
        <v/>
      </c>
      <c r="S69" s="64">
        <f>N(tblSafety[[#This Row],[Fatality]])+N(tblSafety[[#This Row],[LTI]])+N(tblSafety[[#This Row],[RWI]])+N(tblSafety[[#This Row],[MTI]])</f>
        <v/>
      </c>
    </row>
    <row r="70">
      <c r="A70" s="54" t="n">
        <v>46087</v>
      </c>
      <c r="B70" s="57" t="n"/>
      <c r="C70" s="57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58" t="n"/>
      <c r="R70" s="66">
        <f>IF(AND(tblSafety[[#This Row],[Hours_Employees]]="",tblSafety[[#This Row],[Hours_Contractors]]=""),"",N(tblSafety[[#This Row],[Hours_Employees]])+N(tblSafety[[#This Row],[Hours_Contractors]]))</f>
        <v/>
      </c>
      <c r="S70" s="64">
        <f>N(tblSafety[[#This Row],[Fatality]])+N(tblSafety[[#This Row],[LTI]])+N(tblSafety[[#This Row],[RWI]])+N(tblSafety[[#This Row],[MTI]])</f>
        <v/>
      </c>
    </row>
    <row r="71">
      <c r="A71" s="54" t="n">
        <v>46088</v>
      </c>
      <c r="B71" s="57" t="n"/>
      <c r="C71" s="57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58" t="n"/>
      <c r="R71" s="66">
        <f>IF(AND(tblSafety[[#This Row],[Hours_Employees]]="",tblSafety[[#This Row],[Hours_Contractors]]=""),"",N(tblSafety[[#This Row],[Hours_Employees]])+N(tblSafety[[#This Row],[Hours_Contractors]]))</f>
        <v/>
      </c>
      <c r="S71" s="64">
        <f>N(tblSafety[[#This Row],[Fatality]])+N(tblSafety[[#This Row],[LTI]])+N(tblSafety[[#This Row],[RWI]])+N(tblSafety[[#This Row],[MTI]])</f>
        <v/>
      </c>
    </row>
    <row r="72">
      <c r="A72" s="54" t="n">
        <v>46089</v>
      </c>
      <c r="B72" s="57" t="n"/>
      <c r="C72" s="57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58" t="n"/>
      <c r="R72" s="66">
        <f>IF(AND(tblSafety[[#This Row],[Hours_Employees]]="",tblSafety[[#This Row],[Hours_Contractors]]=""),"",N(tblSafety[[#This Row],[Hours_Employees]])+N(tblSafety[[#This Row],[Hours_Contractors]]))</f>
        <v/>
      </c>
      <c r="S72" s="64">
        <f>N(tblSafety[[#This Row],[Fatality]])+N(tblSafety[[#This Row],[LTI]])+N(tblSafety[[#This Row],[RWI]])+N(tblSafety[[#This Row],[MTI]])</f>
        <v/>
      </c>
    </row>
    <row r="73">
      <c r="A73" s="54" t="n">
        <v>46090</v>
      </c>
      <c r="B73" s="57" t="n"/>
      <c r="C73" s="57" t="n"/>
      <c r="D73" s="62" t="n"/>
      <c r="E73" s="62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58" t="n"/>
      <c r="R73" s="66">
        <f>IF(AND(tblSafety[[#This Row],[Hours_Employees]]="",tblSafety[[#This Row],[Hours_Contractors]]=""),"",N(tblSafety[[#This Row],[Hours_Employees]])+N(tblSafety[[#This Row],[Hours_Contractors]]))</f>
        <v/>
      </c>
      <c r="S73" s="64">
        <f>N(tblSafety[[#This Row],[Fatality]])+N(tblSafety[[#This Row],[LTI]])+N(tblSafety[[#This Row],[RWI]])+N(tblSafety[[#This Row],[MTI]])</f>
        <v/>
      </c>
    </row>
    <row r="74">
      <c r="A74" s="54" t="n">
        <v>46091</v>
      </c>
      <c r="B74" s="57" t="n"/>
      <c r="C74" s="57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58" t="n"/>
      <c r="R74" s="66">
        <f>IF(AND(tblSafety[[#This Row],[Hours_Employees]]="",tblSafety[[#This Row],[Hours_Contractors]]=""),"",N(tblSafety[[#This Row],[Hours_Employees]])+N(tblSafety[[#This Row],[Hours_Contractors]]))</f>
        <v/>
      </c>
      <c r="S74" s="64">
        <f>N(tblSafety[[#This Row],[Fatality]])+N(tblSafety[[#This Row],[LTI]])+N(tblSafety[[#This Row],[RWI]])+N(tblSafety[[#This Row],[MTI]])</f>
        <v/>
      </c>
    </row>
    <row r="75">
      <c r="A75" s="54" t="n">
        <v>46092</v>
      </c>
      <c r="B75" s="57" t="n"/>
      <c r="C75" s="57" t="n"/>
      <c r="D75" s="62" t="n"/>
      <c r="E75" s="62" t="n"/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58" t="n"/>
      <c r="R75" s="66">
        <f>IF(AND(tblSafety[[#This Row],[Hours_Employees]]="",tblSafety[[#This Row],[Hours_Contractors]]=""),"",N(tblSafety[[#This Row],[Hours_Employees]])+N(tblSafety[[#This Row],[Hours_Contractors]]))</f>
        <v/>
      </c>
      <c r="S75" s="64">
        <f>N(tblSafety[[#This Row],[Fatality]])+N(tblSafety[[#This Row],[LTI]])+N(tblSafety[[#This Row],[RWI]])+N(tblSafety[[#This Row],[MTI]])</f>
        <v/>
      </c>
    </row>
    <row r="76">
      <c r="A76" s="54" t="n">
        <v>46093</v>
      </c>
      <c r="B76" s="57" t="n"/>
      <c r="C76" s="57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58" t="n"/>
      <c r="R76" s="66">
        <f>IF(AND(tblSafety[[#This Row],[Hours_Employees]]="",tblSafety[[#This Row],[Hours_Contractors]]=""),"",N(tblSafety[[#This Row],[Hours_Employees]])+N(tblSafety[[#This Row],[Hours_Contractors]]))</f>
        <v/>
      </c>
      <c r="S76" s="64">
        <f>N(tblSafety[[#This Row],[Fatality]])+N(tblSafety[[#This Row],[LTI]])+N(tblSafety[[#This Row],[RWI]])+N(tblSafety[[#This Row],[MTI]])</f>
        <v/>
      </c>
    </row>
    <row r="77">
      <c r="A77" s="54" t="n">
        <v>46094</v>
      </c>
      <c r="B77" s="57" t="n"/>
      <c r="C77" s="57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58" t="n"/>
      <c r="R77" s="66">
        <f>IF(AND(tblSafety[[#This Row],[Hours_Employees]]="",tblSafety[[#This Row],[Hours_Contractors]]=""),"",N(tblSafety[[#This Row],[Hours_Employees]])+N(tblSafety[[#This Row],[Hours_Contractors]]))</f>
        <v/>
      </c>
      <c r="S77" s="64">
        <f>N(tblSafety[[#This Row],[Fatality]])+N(tblSafety[[#This Row],[LTI]])+N(tblSafety[[#This Row],[RWI]])+N(tblSafety[[#This Row],[MTI]])</f>
        <v/>
      </c>
    </row>
    <row r="78">
      <c r="A78" s="54" t="n">
        <v>46095</v>
      </c>
      <c r="B78" s="57" t="n"/>
      <c r="C78" s="57" t="n"/>
      <c r="D78" s="62" t="n"/>
      <c r="E78" s="62" t="n"/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58" t="n"/>
      <c r="R78" s="66">
        <f>IF(AND(tblSafety[[#This Row],[Hours_Employees]]="",tblSafety[[#This Row],[Hours_Contractors]]=""),"",N(tblSafety[[#This Row],[Hours_Employees]])+N(tblSafety[[#This Row],[Hours_Contractors]]))</f>
        <v/>
      </c>
      <c r="S78" s="64">
        <f>N(tblSafety[[#This Row],[Fatality]])+N(tblSafety[[#This Row],[LTI]])+N(tblSafety[[#This Row],[RWI]])+N(tblSafety[[#This Row],[MTI]])</f>
        <v/>
      </c>
    </row>
    <row r="79">
      <c r="A79" s="54" t="n">
        <v>46096</v>
      </c>
      <c r="B79" s="57" t="n"/>
      <c r="C79" s="57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58" t="n"/>
      <c r="R79" s="66">
        <f>IF(AND(tblSafety[[#This Row],[Hours_Employees]]="",tblSafety[[#This Row],[Hours_Contractors]]=""),"",N(tblSafety[[#This Row],[Hours_Employees]])+N(tblSafety[[#This Row],[Hours_Contractors]]))</f>
        <v/>
      </c>
      <c r="S79" s="64">
        <f>N(tblSafety[[#This Row],[Fatality]])+N(tblSafety[[#This Row],[LTI]])+N(tblSafety[[#This Row],[RWI]])+N(tblSafety[[#This Row],[MTI]])</f>
        <v/>
      </c>
    </row>
    <row r="80">
      <c r="A80" s="54" t="n">
        <v>46097</v>
      </c>
      <c r="B80" s="57" t="n"/>
      <c r="C80" s="57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58" t="n"/>
      <c r="R80" s="66">
        <f>IF(AND(tblSafety[[#This Row],[Hours_Employees]]="",tblSafety[[#This Row],[Hours_Contractors]]=""),"",N(tblSafety[[#This Row],[Hours_Employees]])+N(tblSafety[[#This Row],[Hours_Contractors]]))</f>
        <v/>
      </c>
      <c r="S80" s="64">
        <f>N(tblSafety[[#This Row],[Fatality]])+N(tblSafety[[#This Row],[LTI]])+N(tblSafety[[#This Row],[RWI]])+N(tblSafety[[#This Row],[MTI]])</f>
        <v/>
      </c>
    </row>
    <row r="81">
      <c r="A81" s="54" t="n">
        <v>46098</v>
      </c>
      <c r="B81" s="57" t="n"/>
      <c r="C81" s="57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58" t="n"/>
      <c r="R81" s="66">
        <f>IF(AND(tblSafety[[#This Row],[Hours_Employees]]="",tblSafety[[#This Row],[Hours_Contractors]]=""),"",N(tblSafety[[#This Row],[Hours_Employees]])+N(tblSafety[[#This Row],[Hours_Contractors]]))</f>
        <v/>
      </c>
      <c r="S81" s="64">
        <f>N(tblSafety[[#This Row],[Fatality]])+N(tblSafety[[#This Row],[LTI]])+N(tblSafety[[#This Row],[RWI]])+N(tblSafety[[#This Row],[MTI]])</f>
        <v/>
      </c>
    </row>
    <row r="82">
      <c r="A82" s="54" t="n">
        <v>46099</v>
      </c>
      <c r="B82" s="57" t="n"/>
      <c r="C82" s="57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58" t="n"/>
      <c r="R82" s="66">
        <f>IF(AND(tblSafety[[#This Row],[Hours_Employees]]="",tblSafety[[#This Row],[Hours_Contractors]]=""),"",N(tblSafety[[#This Row],[Hours_Employees]])+N(tblSafety[[#This Row],[Hours_Contractors]]))</f>
        <v/>
      </c>
      <c r="S82" s="64">
        <f>N(tblSafety[[#This Row],[Fatality]])+N(tblSafety[[#This Row],[LTI]])+N(tblSafety[[#This Row],[RWI]])+N(tblSafety[[#This Row],[MTI]])</f>
        <v/>
      </c>
    </row>
    <row r="83">
      <c r="A83" s="54" t="n">
        <v>46100</v>
      </c>
      <c r="B83" s="57" t="n"/>
      <c r="C83" s="57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58" t="n"/>
      <c r="R83" s="66">
        <f>IF(AND(tblSafety[[#This Row],[Hours_Employees]]="",tblSafety[[#This Row],[Hours_Contractors]]=""),"",N(tblSafety[[#This Row],[Hours_Employees]])+N(tblSafety[[#This Row],[Hours_Contractors]]))</f>
        <v/>
      </c>
      <c r="S83" s="64">
        <f>N(tblSafety[[#This Row],[Fatality]])+N(tblSafety[[#This Row],[LTI]])+N(tblSafety[[#This Row],[RWI]])+N(tblSafety[[#This Row],[MTI]])</f>
        <v/>
      </c>
    </row>
    <row r="84">
      <c r="A84" s="54" t="n">
        <v>46101</v>
      </c>
      <c r="B84" s="57" t="n"/>
      <c r="C84" s="57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58" t="n"/>
      <c r="R84" s="66">
        <f>IF(AND(tblSafety[[#This Row],[Hours_Employees]]="",tblSafety[[#This Row],[Hours_Contractors]]=""),"",N(tblSafety[[#This Row],[Hours_Employees]])+N(tblSafety[[#This Row],[Hours_Contractors]]))</f>
        <v/>
      </c>
      <c r="S84" s="64">
        <f>N(tblSafety[[#This Row],[Fatality]])+N(tblSafety[[#This Row],[LTI]])+N(tblSafety[[#This Row],[RWI]])+N(tblSafety[[#This Row],[MTI]])</f>
        <v/>
      </c>
    </row>
    <row r="85">
      <c r="A85" s="54" t="n">
        <v>46102</v>
      </c>
      <c r="B85" s="57" t="n"/>
      <c r="C85" s="57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58" t="n"/>
      <c r="R85" s="66">
        <f>IF(AND(tblSafety[[#This Row],[Hours_Employees]]="",tblSafety[[#This Row],[Hours_Contractors]]=""),"",N(tblSafety[[#This Row],[Hours_Employees]])+N(tblSafety[[#This Row],[Hours_Contractors]]))</f>
        <v/>
      </c>
      <c r="S85" s="64">
        <f>N(tblSafety[[#This Row],[Fatality]])+N(tblSafety[[#This Row],[LTI]])+N(tblSafety[[#This Row],[RWI]])+N(tblSafety[[#This Row],[MTI]])</f>
        <v/>
      </c>
    </row>
    <row r="86">
      <c r="A86" s="54" t="n">
        <v>46103</v>
      </c>
      <c r="B86" s="57" t="n"/>
      <c r="C86" s="57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58" t="n"/>
      <c r="R86" s="66">
        <f>IF(AND(tblSafety[[#This Row],[Hours_Employees]]="",tblSafety[[#This Row],[Hours_Contractors]]=""),"",N(tblSafety[[#This Row],[Hours_Employees]])+N(tblSafety[[#This Row],[Hours_Contractors]]))</f>
        <v/>
      </c>
      <c r="S86" s="64">
        <f>N(tblSafety[[#This Row],[Fatality]])+N(tblSafety[[#This Row],[LTI]])+N(tblSafety[[#This Row],[RWI]])+N(tblSafety[[#This Row],[MTI]])</f>
        <v/>
      </c>
    </row>
    <row r="87">
      <c r="A87" s="54" t="n">
        <v>46104</v>
      </c>
      <c r="B87" s="57" t="n"/>
      <c r="C87" s="57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58" t="n"/>
      <c r="R87" s="66">
        <f>IF(AND(tblSafety[[#This Row],[Hours_Employees]]="",tblSafety[[#This Row],[Hours_Contractors]]=""),"",N(tblSafety[[#This Row],[Hours_Employees]])+N(tblSafety[[#This Row],[Hours_Contractors]]))</f>
        <v/>
      </c>
      <c r="S87" s="64">
        <f>N(tblSafety[[#This Row],[Fatality]])+N(tblSafety[[#This Row],[LTI]])+N(tblSafety[[#This Row],[RWI]])+N(tblSafety[[#This Row],[MTI]])</f>
        <v/>
      </c>
    </row>
    <row r="88">
      <c r="A88" s="54" t="n">
        <v>46105</v>
      </c>
      <c r="B88" s="57" t="n"/>
      <c r="C88" s="57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58" t="n"/>
      <c r="R88" s="66">
        <f>IF(AND(tblSafety[[#This Row],[Hours_Employees]]="",tblSafety[[#This Row],[Hours_Contractors]]=""),"",N(tblSafety[[#This Row],[Hours_Employees]])+N(tblSafety[[#This Row],[Hours_Contractors]]))</f>
        <v/>
      </c>
      <c r="S88" s="64">
        <f>N(tblSafety[[#This Row],[Fatality]])+N(tblSafety[[#This Row],[LTI]])+N(tblSafety[[#This Row],[RWI]])+N(tblSafety[[#This Row],[MTI]])</f>
        <v/>
      </c>
    </row>
    <row r="89">
      <c r="A89" s="54" t="n">
        <v>46106</v>
      </c>
      <c r="B89" s="57" t="n"/>
      <c r="C89" s="57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58" t="n"/>
      <c r="R89" s="66">
        <f>IF(AND(tblSafety[[#This Row],[Hours_Employees]]="",tblSafety[[#This Row],[Hours_Contractors]]=""),"",N(tblSafety[[#This Row],[Hours_Employees]])+N(tblSafety[[#This Row],[Hours_Contractors]]))</f>
        <v/>
      </c>
      <c r="S89" s="64">
        <f>N(tblSafety[[#This Row],[Fatality]])+N(tblSafety[[#This Row],[LTI]])+N(tblSafety[[#This Row],[RWI]])+N(tblSafety[[#This Row],[MTI]])</f>
        <v/>
      </c>
    </row>
    <row r="90">
      <c r="A90" s="54" t="n">
        <v>46107</v>
      </c>
      <c r="B90" s="57" t="n"/>
      <c r="C90" s="57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58" t="n"/>
      <c r="R90" s="66">
        <f>IF(AND(tblSafety[[#This Row],[Hours_Employees]]="",tblSafety[[#This Row],[Hours_Contractors]]=""),"",N(tblSafety[[#This Row],[Hours_Employees]])+N(tblSafety[[#This Row],[Hours_Contractors]]))</f>
        <v/>
      </c>
      <c r="S90" s="64">
        <f>N(tblSafety[[#This Row],[Fatality]])+N(tblSafety[[#This Row],[LTI]])+N(tblSafety[[#This Row],[RWI]])+N(tblSafety[[#This Row],[MTI]])</f>
        <v/>
      </c>
    </row>
    <row r="91">
      <c r="A91" s="54" t="n">
        <v>46108</v>
      </c>
      <c r="B91" s="57" t="n"/>
      <c r="C91" s="57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58" t="n"/>
      <c r="R91" s="66">
        <f>IF(AND(tblSafety[[#This Row],[Hours_Employees]]="",tblSafety[[#This Row],[Hours_Contractors]]=""),"",N(tblSafety[[#This Row],[Hours_Employees]])+N(tblSafety[[#This Row],[Hours_Contractors]]))</f>
        <v/>
      </c>
      <c r="S91" s="64">
        <f>N(tblSafety[[#This Row],[Fatality]])+N(tblSafety[[#This Row],[LTI]])+N(tblSafety[[#This Row],[RWI]])+N(tblSafety[[#This Row],[MTI]])</f>
        <v/>
      </c>
    </row>
    <row r="92">
      <c r="A92" s="54" t="n">
        <v>46109</v>
      </c>
      <c r="B92" s="57" t="n"/>
      <c r="C92" s="57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58" t="n"/>
      <c r="R92" s="66">
        <f>IF(AND(tblSafety[[#This Row],[Hours_Employees]]="",tblSafety[[#This Row],[Hours_Contractors]]=""),"",N(tblSafety[[#This Row],[Hours_Employees]])+N(tblSafety[[#This Row],[Hours_Contractors]]))</f>
        <v/>
      </c>
      <c r="S92" s="64">
        <f>N(tblSafety[[#This Row],[Fatality]])+N(tblSafety[[#This Row],[LTI]])+N(tblSafety[[#This Row],[RWI]])+N(tblSafety[[#This Row],[MTI]])</f>
        <v/>
      </c>
    </row>
    <row r="93">
      <c r="A93" s="54" t="n">
        <v>46110</v>
      </c>
      <c r="B93" s="57" t="n"/>
      <c r="C93" s="57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58" t="n"/>
      <c r="R93" s="66">
        <f>IF(AND(tblSafety[[#This Row],[Hours_Employees]]="",tblSafety[[#This Row],[Hours_Contractors]]=""),"",N(tblSafety[[#This Row],[Hours_Employees]])+N(tblSafety[[#This Row],[Hours_Contractors]]))</f>
        <v/>
      </c>
      <c r="S93" s="64">
        <f>N(tblSafety[[#This Row],[Fatality]])+N(tblSafety[[#This Row],[LTI]])+N(tblSafety[[#This Row],[RWI]])+N(tblSafety[[#This Row],[MTI]])</f>
        <v/>
      </c>
    </row>
    <row r="94">
      <c r="A94" s="54" t="n">
        <v>46111</v>
      </c>
      <c r="B94" s="57" t="n"/>
      <c r="C94" s="57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58" t="n"/>
      <c r="R94" s="66">
        <f>IF(AND(tblSafety[[#This Row],[Hours_Employees]]="",tblSafety[[#This Row],[Hours_Contractors]]=""),"",N(tblSafety[[#This Row],[Hours_Employees]])+N(tblSafety[[#This Row],[Hours_Contractors]]))</f>
        <v/>
      </c>
      <c r="S94" s="64">
        <f>N(tblSafety[[#This Row],[Fatality]])+N(tblSafety[[#This Row],[LTI]])+N(tblSafety[[#This Row],[RWI]])+N(tblSafety[[#This Row],[MTI]])</f>
        <v/>
      </c>
    </row>
    <row r="95">
      <c r="A95" s="54" t="n">
        <v>46112</v>
      </c>
      <c r="B95" s="57" t="n"/>
      <c r="C95" s="57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58" t="n"/>
      <c r="R95" s="66">
        <f>IF(AND(tblSafety[[#This Row],[Hours_Employees]]="",tblSafety[[#This Row],[Hours_Contractors]]=""),"",N(tblSafety[[#This Row],[Hours_Employees]])+N(tblSafety[[#This Row],[Hours_Contractors]]))</f>
        <v/>
      </c>
      <c r="S95" s="64">
        <f>N(tblSafety[[#This Row],[Fatality]])+N(tblSafety[[#This Row],[LTI]])+N(tblSafety[[#This Row],[RWI]])+N(tblSafety[[#This Row],[MTI]])</f>
        <v/>
      </c>
    </row>
    <row r="96">
      <c r="A96" s="54" t="n">
        <v>46113</v>
      </c>
      <c r="B96" s="57" t="n"/>
      <c r="C96" s="57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58" t="n"/>
      <c r="R96" s="66">
        <f>IF(AND(tblSafety[[#This Row],[Hours_Employees]]="",tblSafety[[#This Row],[Hours_Contractors]]=""),"",N(tblSafety[[#This Row],[Hours_Employees]])+N(tblSafety[[#This Row],[Hours_Contractors]]))</f>
        <v/>
      </c>
      <c r="S96" s="64">
        <f>N(tblSafety[[#This Row],[Fatality]])+N(tblSafety[[#This Row],[LTI]])+N(tblSafety[[#This Row],[RWI]])+N(tblSafety[[#This Row],[MTI]])</f>
        <v/>
      </c>
    </row>
    <row r="97">
      <c r="A97" s="54" t="n">
        <v>46114</v>
      </c>
      <c r="B97" s="57" t="n"/>
      <c r="C97" s="57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58" t="n"/>
      <c r="R97" s="66">
        <f>IF(AND(tblSafety[[#This Row],[Hours_Employees]]="",tblSafety[[#This Row],[Hours_Contractors]]=""),"",N(tblSafety[[#This Row],[Hours_Employees]])+N(tblSafety[[#This Row],[Hours_Contractors]]))</f>
        <v/>
      </c>
      <c r="S97" s="64">
        <f>N(tblSafety[[#This Row],[Fatality]])+N(tblSafety[[#This Row],[LTI]])+N(tblSafety[[#This Row],[RWI]])+N(tblSafety[[#This Row],[MTI]])</f>
        <v/>
      </c>
    </row>
    <row r="98">
      <c r="A98" s="54" t="n">
        <v>46115</v>
      </c>
      <c r="B98" s="57" t="n"/>
      <c r="C98" s="57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58" t="n"/>
      <c r="R98" s="66">
        <f>IF(AND(tblSafety[[#This Row],[Hours_Employees]]="",tblSafety[[#This Row],[Hours_Contractors]]=""),"",N(tblSafety[[#This Row],[Hours_Employees]])+N(tblSafety[[#This Row],[Hours_Contractors]]))</f>
        <v/>
      </c>
      <c r="S98" s="64">
        <f>N(tblSafety[[#This Row],[Fatality]])+N(tblSafety[[#This Row],[LTI]])+N(tblSafety[[#This Row],[RWI]])+N(tblSafety[[#This Row],[MTI]])</f>
        <v/>
      </c>
    </row>
    <row r="99">
      <c r="A99" s="54" t="n">
        <v>46116</v>
      </c>
      <c r="B99" s="57" t="n"/>
      <c r="C99" s="57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58" t="n"/>
      <c r="R99" s="66">
        <f>IF(AND(tblSafety[[#This Row],[Hours_Employees]]="",tblSafety[[#This Row],[Hours_Contractors]]=""),"",N(tblSafety[[#This Row],[Hours_Employees]])+N(tblSafety[[#This Row],[Hours_Contractors]]))</f>
        <v/>
      </c>
      <c r="S99" s="64">
        <f>N(tblSafety[[#This Row],[Fatality]])+N(tblSafety[[#This Row],[LTI]])+N(tblSafety[[#This Row],[RWI]])+N(tblSafety[[#This Row],[MTI]])</f>
        <v/>
      </c>
    </row>
    <row r="100">
      <c r="A100" s="54" t="n">
        <v>46117</v>
      </c>
      <c r="B100" s="57" t="n"/>
      <c r="C100" s="57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58" t="n"/>
      <c r="R100" s="66">
        <f>IF(AND(tblSafety[[#This Row],[Hours_Employees]]="",tblSafety[[#This Row],[Hours_Contractors]]=""),"",N(tblSafety[[#This Row],[Hours_Employees]])+N(tblSafety[[#This Row],[Hours_Contractors]]))</f>
        <v/>
      </c>
      <c r="S100" s="64">
        <f>N(tblSafety[[#This Row],[Fatality]])+N(tblSafety[[#This Row],[LTI]])+N(tblSafety[[#This Row],[RWI]])+N(tblSafety[[#This Row],[MTI]])</f>
        <v/>
      </c>
    </row>
    <row r="101">
      <c r="A101" s="54" t="n">
        <v>46118</v>
      </c>
      <c r="B101" s="57" t="n"/>
      <c r="C101" s="57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58" t="n"/>
      <c r="R101" s="66">
        <f>IF(AND(tblSafety[[#This Row],[Hours_Employees]]="",tblSafety[[#This Row],[Hours_Contractors]]=""),"",N(tblSafety[[#This Row],[Hours_Employees]])+N(tblSafety[[#This Row],[Hours_Contractors]]))</f>
        <v/>
      </c>
      <c r="S101" s="64">
        <f>N(tblSafety[[#This Row],[Fatality]])+N(tblSafety[[#This Row],[LTI]])+N(tblSafety[[#This Row],[RWI]])+N(tblSafety[[#This Row],[MTI]])</f>
        <v/>
      </c>
    </row>
    <row r="102">
      <c r="A102" s="54" t="n">
        <v>46119</v>
      </c>
      <c r="B102" s="57" t="n"/>
      <c r="C102" s="57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58" t="n"/>
      <c r="R102" s="66">
        <f>IF(AND(tblSafety[[#This Row],[Hours_Employees]]="",tblSafety[[#This Row],[Hours_Contractors]]=""),"",N(tblSafety[[#This Row],[Hours_Employees]])+N(tblSafety[[#This Row],[Hours_Contractors]]))</f>
        <v/>
      </c>
      <c r="S102" s="64">
        <f>N(tblSafety[[#This Row],[Fatality]])+N(tblSafety[[#This Row],[LTI]])+N(tblSafety[[#This Row],[RWI]])+N(tblSafety[[#This Row],[MTI]])</f>
        <v/>
      </c>
    </row>
    <row r="103">
      <c r="A103" s="54" t="n">
        <v>46120</v>
      </c>
      <c r="B103" s="57" t="n"/>
      <c r="C103" s="57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58" t="n"/>
      <c r="R103" s="66">
        <f>IF(AND(tblSafety[[#This Row],[Hours_Employees]]="",tblSafety[[#This Row],[Hours_Contractors]]=""),"",N(tblSafety[[#This Row],[Hours_Employees]])+N(tblSafety[[#This Row],[Hours_Contractors]]))</f>
        <v/>
      </c>
      <c r="S103" s="64">
        <f>N(tblSafety[[#This Row],[Fatality]])+N(tblSafety[[#This Row],[LTI]])+N(tblSafety[[#This Row],[RWI]])+N(tblSafety[[#This Row],[MTI]])</f>
        <v/>
      </c>
    </row>
    <row r="104">
      <c r="A104" s="54" t="n">
        <v>46121</v>
      </c>
      <c r="B104" s="57" t="n"/>
      <c r="C104" s="57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58" t="n"/>
      <c r="R104" s="66">
        <f>IF(AND(tblSafety[[#This Row],[Hours_Employees]]="",tblSafety[[#This Row],[Hours_Contractors]]=""),"",N(tblSafety[[#This Row],[Hours_Employees]])+N(tblSafety[[#This Row],[Hours_Contractors]]))</f>
        <v/>
      </c>
      <c r="S104" s="64">
        <f>N(tblSafety[[#This Row],[Fatality]])+N(tblSafety[[#This Row],[LTI]])+N(tblSafety[[#This Row],[RWI]])+N(tblSafety[[#This Row],[MTI]])</f>
        <v/>
      </c>
    </row>
    <row r="105">
      <c r="A105" s="54" t="n">
        <v>46122</v>
      </c>
      <c r="B105" s="57" t="n"/>
      <c r="C105" s="57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58" t="n"/>
      <c r="R105" s="66">
        <f>IF(AND(tblSafety[[#This Row],[Hours_Employees]]="",tblSafety[[#This Row],[Hours_Contractors]]=""),"",N(tblSafety[[#This Row],[Hours_Employees]])+N(tblSafety[[#This Row],[Hours_Contractors]]))</f>
        <v/>
      </c>
      <c r="S105" s="64">
        <f>N(tblSafety[[#This Row],[Fatality]])+N(tblSafety[[#This Row],[LTI]])+N(tblSafety[[#This Row],[RWI]])+N(tblSafety[[#This Row],[MTI]])</f>
        <v/>
      </c>
    </row>
    <row r="106">
      <c r="A106" s="54" t="n">
        <v>46123</v>
      </c>
      <c r="B106" s="57" t="n"/>
      <c r="C106" s="57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58" t="n"/>
      <c r="R106" s="66">
        <f>IF(AND(tblSafety[[#This Row],[Hours_Employees]]="",tblSafety[[#This Row],[Hours_Contractors]]=""),"",N(tblSafety[[#This Row],[Hours_Employees]])+N(tblSafety[[#This Row],[Hours_Contractors]]))</f>
        <v/>
      </c>
      <c r="S106" s="64">
        <f>N(tblSafety[[#This Row],[Fatality]])+N(tblSafety[[#This Row],[LTI]])+N(tblSafety[[#This Row],[RWI]])+N(tblSafety[[#This Row],[MTI]])</f>
        <v/>
      </c>
    </row>
    <row r="107">
      <c r="A107" s="54" t="n">
        <v>46124</v>
      </c>
      <c r="B107" s="57" t="n"/>
      <c r="C107" s="57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58" t="n"/>
      <c r="R107" s="66">
        <f>IF(AND(tblSafety[[#This Row],[Hours_Employees]]="",tblSafety[[#This Row],[Hours_Contractors]]=""),"",N(tblSafety[[#This Row],[Hours_Employees]])+N(tblSafety[[#This Row],[Hours_Contractors]]))</f>
        <v/>
      </c>
      <c r="S107" s="64">
        <f>N(tblSafety[[#This Row],[Fatality]])+N(tblSafety[[#This Row],[LTI]])+N(tblSafety[[#This Row],[RWI]])+N(tblSafety[[#This Row],[MTI]])</f>
        <v/>
      </c>
    </row>
    <row r="108">
      <c r="A108" s="54" t="n">
        <v>46125</v>
      </c>
      <c r="B108" s="57" t="n"/>
      <c r="C108" s="57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58" t="n"/>
      <c r="R108" s="66">
        <f>IF(AND(tblSafety[[#This Row],[Hours_Employees]]="",tblSafety[[#This Row],[Hours_Contractors]]=""),"",N(tblSafety[[#This Row],[Hours_Employees]])+N(tblSafety[[#This Row],[Hours_Contractors]]))</f>
        <v/>
      </c>
      <c r="S108" s="64">
        <f>N(tblSafety[[#This Row],[Fatality]])+N(tblSafety[[#This Row],[LTI]])+N(tblSafety[[#This Row],[RWI]])+N(tblSafety[[#This Row],[MTI]])</f>
        <v/>
      </c>
    </row>
    <row r="109">
      <c r="A109" s="54" t="n">
        <v>46126</v>
      </c>
      <c r="B109" s="57" t="n"/>
      <c r="C109" s="57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58" t="n"/>
      <c r="R109" s="66">
        <f>IF(AND(tblSafety[[#This Row],[Hours_Employees]]="",tblSafety[[#This Row],[Hours_Contractors]]=""),"",N(tblSafety[[#This Row],[Hours_Employees]])+N(tblSafety[[#This Row],[Hours_Contractors]]))</f>
        <v/>
      </c>
      <c r="S109" s="64">
        <f>N(tblSafety[[#This Row],[Fatality]])+N(tblSafety[[#This Row],[LTI]])+N(tblSafety[[#This Row],[RWI]])+N(tblSafety[[#This Row],[MTI]])</f>
        <v/>
      </c>
    </row>
    <row r="110">
      <c r="A110" s="54" t="n">
        <v>46127</v>
      </c>
      <c r="B110" s="57" t="n"/>
      <c r="C110" s="57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58" t="n"/>
      <c r="R110" s="66">
        <f>IF(AND(tblSafety[[#This Row],[Hours_Employees]]="",tblSafety[[#This Row],[Hours_Contractors]]=""),"",N(tblSafety[[#This Row],[Hours_Employees]])+N(tblSafety[[#This Row],[Hours_Contractors]]))</f>
        <v/>
      </c>
      <c r="S110" s="64">
        <f>N(tblSafety[[#This Row],[Fatality]])+N(tblSafety[[#This Row],[LTI]])+N(tblSafety[[#This Row],[RWI]])+N(tblSafety[[#This Row],[MTI]])</f>
        <v/>
      </c>
    </row>
    <row r="111">
      <c r="A111" s="54" t="n">
        <v>46128</v>
      </c>
      <c r="B111" s="57" t="n"/>
      <c r="C111" s="57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58" t="n"/>
      <c r="R111" s="66">
        <f>IF(AND(tblSafety[[#This Row],[Hours_Employees]]="",tblSafety[[#This Row],[Hours_Contractors]]=""),"",N(tblSafety[[#This Row],[Hours_Employees]])+N(tblSafety[[#This Row],[Hours_Contractors]]))</f>
        <v/>
      </c>
      <c r="S111" s="64">
        <f>N(tblSafety[[#This Row],[Fatality]])+N(tblSafety[[#This Row],[LTI]])+N(tblSafety[[#This Row],[RWI]])+N(tblSafety[[#This Row],[MTI]])</f>
        <v/>
      </c>
    </row>
    <row r="112">
      <c r="A112" s="54" t="n">
        <v>46129</v>
      </c>
      <c r="B112" s="57" t="n"/>
      <c r="C112" s="57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58" t="n"/>
      <c r="R112" s="66">
        <f>IF(AND(tblSafety[[#This Row],[Hours_Employees]]="",tblSafety[[#This Row],[Hours_Contractors]]=""),"",N(tblSafety[[#This Row],[Hours_Employees]])+N(tblSafety[[#This Row],[Hours_Contractors]]))</f>
        <v/>
      </c>
      <c r="S112" s="64">
        <f>N(tblSafety[[#This Row],[Fatality]])+N(tblSafety[[#This Row],[LTI]])+N(tblSafety[[#This Row],[RWI]])+N(tblSafety[[#This Row],[MTI]])</f>
        <v/>
      </c>
    </row>
    <row r="113">
      <c r="A113" s="54" t="n">
        <v>46130</v>
      </c>
      <c r="B113" s="57" t="n"/>
      <c r="C113" s="57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58" t="n"/>
      <c r="R113" s="66">
        <f>IF(AND(tblSafety[[#This Row],[Hours_Employees]]="",tblSafety[[#This Row],[Hours_Contractors]]=""),"",N(tblSafety[[#This Row],[Hours_Employees]])+N(tblSafety[[#This Row],[Hours_Contractors]]))</f>
        <v/>
      </c>
      <c r="S113" s="64">
        <f>N(tblSafety[[#This Row],[Fatality]])+N(tblSafety[[#This Row],[LTI]])+N(tblSafety[[#This Row],[RWI]])+N(tblSafety[[#This Row],[MTI]])</f>
        <v/>
      </c>
    </row>
    <row r="114">
      <c r="A114" s="54" t="n">
        <v>46131</v>
      </c>
      <c r="B114" s="57" t="n"/>
      <c r="C114" s="57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58" t="n"/>
      <c r="R114" s="66">
        <f>IF(AND(tblSafety[[#This Row],[Hours_Employees]]="",tblSafety[[#This Row],[Hours_Contractors]]=""),"",N(tblSafety[[#This Row],[Hours_Employees]])+N(tblSafety[[#This Row],[Hours_Contractors]]))</f>
        <v/>
      </c>
      <c r="S114" s="64">
        <f>N(tblSafety[[#This Row],[Fatality]])+N(tblSafety[[#This Row],[LTI]])+N(tblSafety[[#This Row],[RWI]])+N(tblSafety[[#This Row],[MTI]])</f>
        <v/>
      </c>
    </row>
    <row r="115">
      <c r="A115" s="54" t="n">
        <v>46132</v>
      </c>
      <c r="B115" s="57" t="n"/>
      <c r="C115" s="57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58" t="n"/>
      <c r="R115" s="66">
        <f>IF(AND(tblSafety[[#This Row],[Hours_Employees]]="",tblSafety[[#This Row],[Hours_Contractors]]=""),"",N(tblSafety[[#This Row],[Hours_Employees]])+N(tblSafety[[#This Row],[Hours_Contractors]]))</f>
        <v/>
      </c>
      <c r="S115" s="64">
        <f>N(tblSafety[[#This Row],[Fatality]])+N(tblSafety[[#This Row],[LTI]])+N(tblSafety[[#This Row],[RWI]])+N(tblSafety[[#This Row],[MTI]])</f>
        <v/>
      </c>
    </row>
    <row r="116">
      <c r="A116" s="54" t="n">
        <v>46133</v>
      </c>
      <c r="B116" s="57" t="n"/>
      <c r="C116" s="57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58" t="n"/>
      <c r="R116" s="66">
        <f>IF(AND(tblSafety[[#This Row],[Hours_Employees]]="",tblSafety[[#This Row],[Hours_Contractors]]=""),"",N(tblSafety[[#This Row],[Hours_Employees]])+N(tblSafety[[#This Row],[Hours_Contractors]]))</f>
        <v/>
      </c>
      <c r="S116" s="64">
        <f>N(tblSafety[[#This Row],[Fatality]])+N(tblSafety[[#This Row],[LTI]])+N(tblSafety[[#This Row],[RWI]])+N(tblSafety[[#This Row],[MTI]])</f>
        <v/>
      </c>
    </row>
    <row r="117">
      <c r="A117" s="54" t="n">
        <v>46134</v>
      </c>
      <c r="B117" s="57" t="n"/>
      <c r="C117" s="57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58" t="n"/>
      <c r="R117" s="66">
        <f>IF(AND(tblSafety[[#This Row],[Hours_Employees]]="",tblSafety[[#This Row],[Hours_Contractors]]=""),"",N(tblSafety[[#This Row],[Hours_Employees]])+N(tblSafety[[#This Row],[Hours_Contractors]]))</f>
        <v/>
      </c>
      <c r="S117" s="64">
        <f>N(tblSafety[[#This Row],[Fatality]])+N(tblSafety[[#This Row],[LTI]])+N(tblSafety[[#This Row],[RWI]])+N(tblSafety[[#This Row],[MTI]])</f>
        <v/>
      </c>
    </row>
    <row r="118">
      <c r="A118" s="54" t="n">
        <v>46135</v>
      </c>
      <c r="B118" s="57" t="n"/>
      <c r="C118" s="57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58" t="n"/>
      <c r="R118" s="66">
        <f>IF(AND(tblSafety[[#This Row],[Hours_Employees]]="",tblSafety[[#This Row],[Hours_Contractors]]=""),"",N(tblSafety[[#This Row],[Hours_Employees]])+N(tblSafety[[#This Row],[Hours_Contractors]]))</f>
        <v/>
      </c>
      <c r="S118" s="64">
        <f>N(tblSafety[[#This Row],[Fatality]])+N(tblSafety[[#This Row],[LTI]])+N(tblSafety[[#This Row],[RWI]])+N(tblSafety[[#This Row],[MTI]])</f>
        <v/>
      </c>
    </row>
    <row r="119">
      <c r="A119" s="54" t="n">
        <v>46136</v>
      </c>
      <c r="B119" s="57" t="n"/>
      <c r="C119" s="57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58" t="n"/>
      <c r="R119" s="66">
        <f>IF(AND(tblSafety[[#This Row],[Hours_Employees]]="",tblSafety[[#This Row],[Hours_Contractors]]=""),"",N(tblSafety[[#This Row],[Hours_Employees]])+N(tblSafety[[#This Row],[Hours_Contractors]]))</f>
        <v/>
      </c>
      <c r="S119" s="64">
        <f>N(tblSafety[[#This Row],[Fatality]])+N(tblSafety[[#This Row],[LTI]])+N(tblSafety[[#This Row],[RWI]])+N(tblSafety[[#This Row],[MTI]])</f>
        <v/>
      </c>
    </row>
    <row r="120">
      <c r="A120" s="54" t="n">
        <v>46137</v>
      </c>
      <c r="B120" s="57" t="n"/>
      <c r="C120" s="57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58" t="n"/>
      <c r="R120" s="66">
        <f>IF(AND(tblSafety[[#This Row],[Hours_Employees]]="",tblSafety[[#This Row],[Hours_Contractors]]=""),"",N(tblSafety[[#This Row],[Hours_Employees]])+N(tblSafety[[#This Row],[Hours_Contractors]]))</f>
        <v/>
      </c>
      <c r="S120" s="64">
        <f>N(tblSafety[[#This Row],[Fatality]])+N(tblSafety[[#This Row],[LTI]])+N(tblSafety[[#This Row],[RWI]])+N(tblSafety[[#This Row],[MTI]])</f>
        <v/>
      </c>
    </row>
    <row r="121">
      <c r="A121" s="54" t="n">
        <v>46138</v>
      </c>
      <c r="B121" s="57" t="n"/>
      <c r="C121" s="57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58" t="n"/>
      <c r="R121" s="66">
        <f>IF(AND(tblSafety[[#This Row],[Hours_Employees]]="",tblSafety[[#This Row],[Hours_Contractors]]=""),"",N(tblSafety[[#This Row],[Hours_Employees]])+N(tblSafety[[#This Row],[Hours_Contractors]]))</f>
        <v/>
      </c>
      <c r="S121" s="64">
        <f>N(tblSafety[[#This Row],[Fatality]])+N(tblSafety[[#This Row],[LTI]])+N(tblSafety[[#This Row],[RWI]])+N(tblSafety[[#This Row],[MTI]])</f>
        <v/>
      </c>
    </row>
    <row r="122">
      <c r="A122" s="54" t="n">
        <v>46139</v>
      </c>
      <c r="B122" s="57" t="n"/>
      <c r="C122" s="57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58" t="n"/>
      <c r="R122" s="66">
        <f>IF(AND(tblSafety[[#This Row],[Hours_Employees]]="",tblSafety[[#This Row],[Hours_Contractors]]=""),"",N(tblSafety[[#This Row],[Hours_Employees]])+N(tblSafety[[#This Row],[Hours_Contractors]]))</f>
        <v/>
      </c>
      <c r="S122" s="64">
        <f>N(tblSafety[[#This Row],[Fatality]])+N(tblSafety[[#This Row],[LTI]])+N(tblSafety[[#This Row],[RWI]])+N(tblSafety[[#This Row],[MTI]])</f>
        <v/>
      </c>
    </row>
    <row r="123">
      <c r="A123" s="54" t="n">
        <v>46140</v>
      </c>
      <c r="B123" s="57" t="n"/>
      <c r="C123" s="57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58" t="n"/>
      <c r="R123" s="66">
        <f>IF(AND(tblSafety[[#This Row],[Hours_Employees]]="",tblSafety[[#This Row],[Hours_Contractors]]=""),"",N(tblSafety[[#This Row],[Hours_Employees]])+N(tblSafety[[#This Row],[Hours_Contractors]]))</f>
        <v/>
      </c>
      <c r="S123" s="64">
        <f>N(tblSafety[[#This Row],[Fatality]])+N(tblSafety[[#This Row],[LTI]])+N(tblSafety[[#This Row],[RWI]])+N(tblSafety[[#This Row],[MTI]])</f>
        <v/>
      </c>
    </row>
    <row r="124">
      <c r="A124" s="54" t="n">
        <v>46141</v>
      </c>
      <c r="B124" s="57" t="n"/>
      <c r="C124" s="57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58" t="n"/>
      <c r="R124" s="66">
        <f>IF(AND(tblSafety[[#This Row],[Hours_Employees]]="",tblSafety[[#This Row],[Hours_Contractors]]=""),"",N(tblSafety[[#This Row],[Hours_Employees]])+N(tblSafety[[#This Row],[Hours_Contractors]]))</f>
        <v/>
      </c>
      <c r="S124" s="64">
        <f>N(tblSafety[[#This Row],[Fatality]])+N(tblSafety[[#This Row],[LTI]])+N(tblSafety[[#This Row],[RWI]])+N(tblSafety[[#This Row],[MTI]])</f>
        <v/>
      </c>
    </row>
    <row r="125">
      <c r="A125" s="54" t="n">
        <v>46142</v>
      </c>
      <c r="B125" s="57" t="n"/>
      <c r="C125" s="57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58" t="n"/>
      <c r="R125" s="66">
        <f>IF(AND(tblSafety[[#This Row],[Hours_Employees]]="",tblSafety[[#This Row],[Hours_Contractors]]=""),"",N(tblSafety[[#This Row],[Hours_Employees]])+N(tblSafety[[#This Row],[Hours_Contractors]]))</f>
        <v/>
      </c>
      <c r="S125" s="64">
        <f>N(tblSafety[[#This Row],[Fatality]])+N(tblSafety[[#This Row],[LTI]])+N(tblSafety[[#This Row],[RWI]])+N(tblSafety[[#This Row],[MTI]])</f>
        <v/>
      </c>
    </row>
    <row r="126">
      <c r="A126" s="54" t="n">
        <v>46143</v>
      </c>
      <c r="B126" s="57" t="n"/>
      <c r="C126" s="57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58" t="n"/>
      <c r="R126" s="66">
        <f>IF(AND(tblSafety[[#This Row],[Hours_Employees]]="",tblSafety[[#This Row],[Hours_Contractors]]=""),"",N(tblSafety[[#This Row],[Hours_Employees]])+N(tblSafety[[#This Row],[Hours_Contractors]]))</f>
        <v/>
      </c>
      <c r="S126" s="64">
        <f>N(tblSafety[[#This Row],[Fatality]])+N(tblSafety[[#This Row],[LTI]])+N(tblSafety[[#This Row],[RWI]])+N(tblSafety[[#This Row],[MTI]])</f>
        <v/>
      </c>
    </row>
    <row r="127">
      <c r="A127" s="54" t="n">
        <v>46144</v>
      </c>
      <c r="B127" s="57" t="n"/>
      <c r="C127" s="57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58" t="n"/>
      <c r="R127" s="66">
        <f>IF(AND(tblSafety[[#This Row],[Hours_Employees]]="",tblSafety[[#This Row],[Hours_Contractors]]=""),"",N(tblSafety[[#This Row],[Hours_Employees]])+N(tblSafety[[#This Row],[Hours_Contractors]]))</f>
        <v/>
      </c>
      <c r="S127" s="64">
        <f>N(tblSafety[[#This Row],[Fatality]])+N(tblSafety[[#This Row],[LTI]])+N(tblSafety[[#This Row],[RWI]])+N(tblSafety[[#This Row],[MTI]])</f>
        <v/>
      </c>
    </row>
    <row r="128">
      <c r="A128" s="54" t="n">
        <v>46145</v>
      </c>
      <c r="B128" s="57" t="n"/>
      <c r="C128" s="57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58" t="n"/>
      <c r="R128" s="66">
        <f>IF(AND(tblSafety[[#This Row],[Hours_Employees]]="",tblSafety[[#This Row],[Hours_Contractors]]=""),"",N(tblSafety[[#This Row],[Hours_Employees]])+N(tblSafety[[#This Row],[Hours_Contractors]]))</f>
        <v/>
      </c>
      <c r="S128" s="64">
        <f>N(tblSafety[[#This Row],[Fatality]])+N(tblSafety[[#This Row],[LTI]])+N(tblSafety[[#This Row],[RWI]])+N(tblSafety[[#This Row],[MTI]])</f>
        <v/>
      </c>
    </row>
    <row r="129">
      <c r="A129" s="54" t="n">
        <v>46146</v>
      </c>
      <c r="B129" s="57" t="n"/>
      <c r="C129" s="57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58" t="n"/>
      <c r="R129" s="66">
        <f>IF(AND(tblSafety[[#This Row],[Hours_Employees]]="",tblSafety[[#This Row],[Hours_Contractors]]=""),"",N(tblSafety[[#This Row],[Hours_Employees]])+N(tblSafety[[#This Row],[Hours_Contractors]]))</f>
        <v/>
      </c>
      <c r="S129" s="64">
        <f>N(tblSafety[[#This Row],[Fatality]])+N(tblSafety[[#This Row],[LTI]])+N(tblSafety[[#This Row],[RWI]])+N(tblSafety[[#This Row],[MTI]])</f>
        <v/>
      </c>
    </row>
    <row r="130">
      <c r="A130" s="54" t="n">
        <v>46147</v>
      </c>
      <c r="B130" s="57" t="n"/>
      <c r="C130" s="57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58" t="n"/>
      <c r="R130" s="66">
        <f>IF(AND(tblSafety[[#This Row],[Hours_Employees]]="",tblSafety[[#This Row],[Hours_Contractors]]=""),"",N(tblSafety[[#This Row],[Hours_Employees]])+N(tblSafety[[#This Row],[Hours_Contractors]]))</f>
        <v/>
      </c>
      <c r="S130" s="64">
        <f>N(tblSafety[[#This Row],[Fatality]])+N(tblSafety[[#This Row],[LTI]])+N(tblSafety[[#This Row],[RWI]])+N(tblSafety[[#This Row],[MTI]])</f>
        <v/>
      </c>
    </row>
    <row r="131">
      <c r="A131" s="54" t="n">
        <v>46148</v>
      </c>
      <c r="B131" s="57" t="n"/>
      <c r="C131" s="57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58" t="n"/>
      <c r="R131" s="66">
        <f>IF(AND(tblSafety[[#This Row],[Hours_Employees]]="",tblSafety[[#This Row],[Hours_Contractors]]=""),"",N(tblSafety[[#This Row],[Hours_Employees]])+N(tblSafety[[#This Row],[Hours_Contractors]]))</f>
        <v/>
      </c>
      <c r="S131" s="64">
        <f>N(tblSafety[[#This Row],[Fatality]])+N(tblSafety[[#This Row],[LTI]])+N(tblSafety[[#This Row],[RWI]])+N(tblSafety[[#This Row],[MTI]])</f>
        <v/>
      </c>
    </row>
    <row r="132">
      <c r="A132" s="54" t="n">
        <v>46149</v>
      </c>
      <c r="B132" s="57" t="n"/>
      <c r="C132" s="57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58" t="n"/>
      <c r="R132" s="66">
        <f>IF(AND(tblSafety[[#This Row],[Hours_Employees]]="",tblSafety[[#This Row],[Hours_Contractors]]=""),"",N(tblSafety[[#This Row],[Hours_Employees]])+N(tblSafety[[#This Row],[Hours_Contractors]]))</f>
        <v/>
      </c>
      <c r="S132" s="64">
        <f>N(tblSafety[[#This Row],[Fatality]])+N(tblSafety[[#This Row],[LTI]])+N(tblSafety[[#This Row],[RWI]])+N(tblSafety[[#This Row],[MTI]])</f>
        <v/>
      </c>
    </row>
    <row r="133">
      <c r="A133" s="54" t="n">
        <v>46150</v>
      </c>
      <c r="B133" s="57" t="n"/>
      <c r="C133" s="57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58" t="n"/>
      <c r="R133" s="66">
        <f>IF(AND(tblSafety[[#This Row],[Hours_Employees]]="",tblSafety[[#This Row],[Hours_Contractors]]=""),"",N(tblSafety[[#This Row],[Hours_Employees]])+N(tblSafety[[#This Row],[Hours_Contractors]]))</f>
        <v/>
      </c>
      <c r="S133" s="64">
        <f>N(tblSafety[[#This Row],[Fatality]])+N(tblSafety[[#This Row],[LTI]])+N(tblSafety[[#This Row],[RWI]])+N(tblSafety[[#This Row],[MTI]])</f>
        <v/>
      </c>
    </row>
    <row r="134">
      <c r="A134" s="54" t="n">
        <v>46151</v>
      </c>
      <c r="B134" s="57" t="n"/>
      <c r="C134" s="57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58" t="n"/>
      <c r="R134" s="66">
        <f>IF(AND(tblSafety[[#This Row],[Hours_Employees]]="",tblSafety[[#This Row],[Hours_Contractors]]=""),"",N(tblSafety[[#This Row],[Hours_Employees]])+N(tblSafety[[#This Row],[Hours_Contractors]]))</f>
        <v/>
      </c>
      <c r="S134" s="64">
        <f>N(tblSafety[[#This Row],[Fatality]])+N(tblSafety[[#This Row],[LTI]])+N(tblSafety[[#This Row],[RWI]])+N(tblSafety[[#This Row],[MTI]])</f>
        <v/>
      </c>
    </row>
    <row r="135">
      <c r="A135" s="54" t="n">
        <v>46152</v>
      </c>
      <c r="B135" s="57" t="n"/>
      <c r="C135" s="57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58" t="n"/>
      <c r="R135" s="66">
        <f>IF(AND(tblSafety[[#This Row],[Hours_Employees]]="",tblSafety[[#This Row],[Hours_Contractors]]=""),"",N(tblSafety[[#This Row],[Hours_Employees]])+N(tblSafety[[#This Row],[Hours_Contractors]]))</f>
        <v/>
      </c>
      <c r="S135" s="64">
        <f>N(tblSafety[[#This Row],[Fatality]])+N(tblSafety[[#This Row],[LTI]])+N(tblSafety[[#This Row],[RWI]])+N(tblSafety[[#This Row],[MTI]])</f>
        <v/>
      </c>
    </row>
    <row r="136">
      <c r="A136" s="54" t="n">
        <v>46153</v>
      </c>
      <c r="B136" s="57" t="n"/>
      <c r="C136" s="57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58" t="n"/>
      <c r="R136" s="66">
        <f>IF(AND(tblSafety[[#This Row],[Hours_Employees]]="",tblSafety[[#This Row],[Hours_Contractors]]=""),"",N(tblSafety[[#This Row],[Hours_Employees]])+N(tblSafety[[#This Row],[Hours_Contractors]]))</f>
        <v/>
      </c>
      <c r="S136" s="64">
        <f>N(tblSafety[[#This Row],[Fatality]])+N(tblSafety[[#This Row],[LTI]])+N(tblSafety[[#This Row],[RWI]])+N(tblSafety[[#This Row],[MTI]])</f>
        <v/>
      </c>
    </row>
    <row r="137">
      <c r="A137" s="54" t="n">
        <v>46154</v>
      </c>
      <c r="B137" s="57" t="n"/>
      <c r="C137" s="57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58" t="n"/>
      <c r="R137" s="66">
        <f>IF(AND(tblSafety[[#This Row],[Hours_Employees]]="",tblSafety[[#This Row],[Hours_Contractors]]=""),"",N(tblSafety[[#This Row],[Hours_Employees]])+N(tblSafety[[#This Row],[Hours_Contractors]]))</f>
        <v/>
      </c>
      <c r="S137" s="64">
        <f>N(tblSafety[[#This Row],[Fatality]])+N(tblSafety[[#This Row],[LTI]])+N(tblSafety[[#This Row],[RWI]])+N(tblSafety[[#This Row],[MTI]])</f>
        <v/>
      </c>
    </row>
    <row r="138">
      <c r="A138" s="54" t="n">
        <v>46155</v>
      </c>
      <c r="B138" s="57" t="n"/>
      <c r="C138" s="57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58" t="n"/>
      <c r="R138" s="66">
        <f>IF(AND(tblSafety[[#This Row],[Hours_Employees]]="",tblSafety[[#This Row],[Hours_Contractors]]=""),"",N(tblSafety[[#This Row],[Hours_Employees]])+N(tblSafety[[#This Row],[Hours_Contractors]]))</f>
        <v/>
      </c>
      <c r="S138" s="64">
        <f>N(tblSafety[[#This Row],[Fatality]])+N(tblSafety[[#This Row],[LTI]])+N(tblSafety[[#This Row],[RWI]])+N(tblSafety[[#This Row],[MTI]])</f>
        <v/>
      </c>
    </row>
    <row r="139">
      <c r="A139" s="54" t="n">
        <v>46156</v>
      </c>
      <c r="B139" s="57" t="n"/>
      <c r="C139" s="57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58" t="n"/>
      <c r="R139" s="66">
        <f>IF(AND(tblSafety[[#This Row],[Hours_Employees]]="",tblSafety[[#This Row],[Hours_Contractors]]=""),"",N(tblSafety[[#This Row],[Hours_Employees]])+N(tblSafety[[#This Row],[Hours_Contractors]]))</f>
        <v/>
      </c>
      <c r="S139" s="64">
        <f>N(tblSafety[[#This Row],[Fatality]])+N(tblSafety[[#This Row],[LTI]])+N(tblSafety[[#This Row],[RWI]])+N(tblSafety[[#This Row],[MTI]])</f>
        <v/>
      </c>
    </row>
    <row r="140">
      <c r="A140" s="54" t="n">
        <v>46157</v>
      </c>
      <c r="B140" s="57" t="n"/>
      <c r="C140" s="57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58" t="n"/>
      <c r="R140" s="66">
        <f>IF(AND(tblSafety[[#This Row],[Hours_Employees]]="",tblSafety[[#This Row],[Hours_Contractors]]=""),"",N(tblSafety[[#This Row],[Hours_Employees]])+N(tblSafety[[#This Row],[Hours_Contractors]]))</f>
        <v/>
      </c>
      <c r="S140" s="64">
        <f>N(tblSafety[[#This Row],[Fatality]])+N(tblSafety[[#This Row],[LTI]])+N(tblSafety[[#This Row],[RWI]])+N(tblSafety[[#This Row],[MTI]])</f>
        <v/>
      </c>
    </row>
    <row r="141">
      <c r="A141" s="54" t="n">
        <v>46158</v>
      </c>
      <c r="B141" s="57" t="n"/>
      <c r="C141" s="57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58" t="n"/>
      <c r="R141" s="66">
        <f>IF(AND(tblSafety[[#This Row],[Hours_Employees]]="",tblSafety[[#This Row],[Hours_Contractors]]=""),"",N(tblSafety[[#This Row],[Hours_Employees]])+N(tblSafety[[#This Row],[Hours_Contractors]]))</f>
        <v/>
      </c>
      <c r="S141" s="64">
        <f>N(tblSafety[[#This Row],[Fatality]])+N(tblSafety[[#This Row],[LTI]])+N(tblSafety[[#This Row],[RWI]])+N(tblSafety[[#This Row],[MTI]])</f>
        <v/>
      </c>
    </row>
    <row r="142">
      <c r="A142" s="54" t="n">
        <v>46159</v>
      </c>
      <c r="B142" s="57" t="n"/>
      <c r="C142" s="57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58" t="n"/>
      <c r="R142" s="66">
        <f>IF(AND(tblSafety[[#This Row],[Hours_Employees]]="",tblSafety[[#This Row],[Hours_Contractors]]=""),"",N(tblSafety[[#This Row],[Hours_Employees]])+N(tblSafety[[#This Row],[Hours_Contractors]]))</f>
        <v/>
      </c>
      <c r="S142" s="64">
        <f>N(tblSafety[[#This Row],[Fatality]])+N(tblSafety[[#This Row],[LTI]])+N(tblSafety[[#This Row],[RWI]])+N(tblSafety[[#This Row],[MTI]])</f>
        <v/>
      </c>
    </row>
    <row r="143">
      <c r="A143" s="54" t="n">
        <v>46160</v>
      </c>
      <c r="B143" s="57" t="n"/>
      <c r="C143" s="57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58" t="n"/>
      <c r="R143" s="66">
        <f>IF(AND(tblSafety[[#This Row],[Hours_Employees]]="",tblSafety[[#This Row],[Hours_Contractors]]=""),"",N(tblSafety[[#This Row],[Hours_Employees]])+N(tblSafety[[#This Row],[Hours_Contractors]]))</f>
        <v/>
      </c>
      <c r="S143" s="64">
        <f>N(tblSafety[[#This Row],[Fatality]])+N(tblSafety[[#This Row],[LTI]])+N(tblSafety[[#This Row],[RWI]])+N(tblSafety[[#This Row],[MTI]])</f>
        <v/>
      </c>
    </row>
    <row r="144">
      <c r="A144" s="54" t="n">
        <v>46161</v>
      </c>
      <c r="B144" s="57" t="n"/>
      <c r="C144" s="57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58" t="n"/>
      <c r="R144" s="66">
        <f>IF(AND(tblSafety[[#This Row],[Hours_Employees]]="",tblSafety[[#This Row],[Hours_Contractors]]=""),"",N(tblSafety[[#This Row],[Hours_Employees]])+N(tblSafety[[#This Row],[Hours_Contractors]]))</f>
        <v/>
      </c>
      <c r="S144" s="64">
        <f>N(tblSafety[[#This Row],[Fatality]])+N(tblSafety[[#This Row],[LTI]])+N(tblSafety[[#This Row],[RWI]])+N(tblSafety[[#This Row],[MTI]])</f>
        <v/>
      </c>
    </row>
    <row r="145">
      <c r="A145" s="54" t="n">
        <v>46162</v>
      </c>
      <c r="B145" s="57" t="n"/>
      <c r="C145" s="57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58" t="n"/>
      <c r="R145" s="66">
        <f>IF(AND(tblSafety[[#This Row],[Hours_Employees]]="",tblSafety[[#This Row],[Hours_Contractors]]=""),"",N(tblSafety[[#This Row],[Hours_Employees]])+N(tblSafety[[#This Row],[Hours_Contractors]]))</f>
        <v/>
      </c>
      <c r="S145" s="64">
        <f>N(tblSafety[[#This Row],[Fatality]])+N(tblSafety[[#This Row],[LTI]])+N(tblSafety[[#This Row],[RWI]])+N(tblSafety[[#This Row],[MTI]])</f>
        <v/>
      </c>
    </row>
    <row r="146">
      <c r="A146" s="54" t="n">
        <v>46163</v>
      </c>
      <c r="B146" s="57" t="n"/>
      <c r="C146" s="57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58" t="n"/>
      <c r="R146" s="66">
        <f>IF(AND(tblSafety[[#This Row],[Hours_Employees]]="",tblSafety[[#This Row],[Hours_Contractors]]=""),"",N(tblSafety[[#This Row],[Hours_Employees]])+N(tblSafety[[#This Row],[Hours_Contractors]]))</f>
        <v/>
      </c>
      <c r="S146" s="64">
        <f>N(tblSafety[[#This Row],[Fatality]])+N(tblSafety[[#This Row],[LTI]])+N(tblSafety[[#This Row],[RWI]])+N(tblSafety[[#This Row],[MTI]])</f>
        <v/>
      </c>
    </row>
    <row r="147">
      <c r="A147" s="54" t="n">
        <v>46164</v>
      </c>
      <c r="B147" s="57" t="n"/>
      <c r="C147" s="57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58" t="n"/>
      <c r="R147" s="66">
        <f>IF(AND(tblSafety[[#This Row],[Hours_Employees]]="",tblSafety[[#This Row],[Hours_Contractors]]=""),"",N(tblSafety[[#This Row],[Hours_Employees]])+N(tblSafety[[#This Row],[Hours_Contractors]]))</f>
        <v/>
      </c>
      <c r="S147" s="64">
        <f>N(tblSafety[[#This Row],[Fatality]])+N(tblSafety[[#This Row],[LTI]])+N(tblSafety[[#This Row],[RWI]])+N(tblSafety[[#This Row],[MTI]])</f>
        <v/>
      </c>
    </row>
    <row r="148">
      <c r="A148" s="54" t="n">
        <v>46165</v>
      </c>
      <c r="B148" s="57" t="n"/>
      <c r="C148" s="57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58" t="n"/>
      <c r="R148" s="66">
        <f>IF(AND(tblSafety[[#This Row],[Hours_Employees]]="",tblSafety[[#This Row],[Hours_Contractors]]=""),"",N(tblSafety[[#This Row],[Hours_Employees]])+N(tblSafety[[#This Row],[Hours_Contractors]]))</f>
        <v/>
      </c>
      <c r="S148" s="64">
        <f>N(tblSafety[[#This Row],[Fatality]])+N(tblSafety[[#This Row],[LTI]])+N(tblSafety[[#This Row],[RWI]])+N(tblSafety[[#This Row],[MTI]])</f>
        <v/>
      </c>
    </row>
    <row r="149">
      <c r="A149" s="54" t="n">
        <v>46166</v>
      </c>
      <c r="B149" s="57" t="n"/>
      <c r="C149" s="57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58" t="n"/>
      <c r="R149" s="66">
        <f>IF(AND(tblSafety[[#This Row],[Hours_Employees]]="",tblSafety[[#This Row],[Hours_Contractors]]=""),"",N(tblSafety[[#This Row],[Hours_Employees]])+N(tblSafety[[#This Row],[Hours_Contractors]]))</f>
        <v/>
      </c>
      <c r="S149" s="64">
        <f>N(tblSafety[[#This Row],[Fatality]])+N(tblSafety[[#This Row],[LTI]])+N(tblSafety[[#This Row],[RWI]])+N(tblSafety[[#This Row],[MTI]])</f>
        <v/>
      </c>
    </row>
    <row r="150">
      <c r="A150" s="54" t="n">
        <v>46167</v>
      </c>
      <c r="B150" s="57" t="n"/>
      <c r="C150" s="57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58" t="n"/>
      <c r="R150" s="66">
        <f>IF(AND(tblSafety[[#This Row],[Hours_Employees]]="",tblSafety[[#This Row],[Hours_Contractors]]=""),"",N(tblSafety[[#This Row],[Hours_Employees]])+N(tblSafety[[#This Row],[Hours_Contractors]]))</f>
        <v/>
      </c>
      <c r="S150" s="64">
        <f>N(tblSafety[[#This Row],[Fatality]])+N(tblSafety[[#This Row],[LTI]])+N(tblSafety[[#This Row],[RWI]])+N(tblSafety[[#This Row],[MTI]])</f>
        <v/>
      </c>
    </row>
    <row r="151">
      <c r="A151" s="54" t="n">
        <v>46168</v>
      </c>
      <c r="B151" s="57" t="n"/>
      <c r="C151" s="57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58" t="n"/>
      <c r="R151" s="66">
        <f>IF(AND(tblSafety[[#This Row],[Hours_Employees]]="",tblSafety[[#This Row],[Hours_Contractors]]=""),"",N(tblSafety[[#This Row],[Hours_Employees]])+N(tblSafety[[#This Row],[Hours_Contractors]]))</f>
        <v/>
      </c>
      <c r="S151" s="64">
        <f>N(tblSafety[[#This Row],[Fatality]])+N(tblSafety[[#This Row],[LTI]])+N(tblSafety[[#This Row],[RWI]])+N(tblSafety[[#This Row],[MTI]])</f>
        <v/>
      </c>
    </row>
    <row r="152">
      <c r="A152" s="54" t="n">
        <v>46169</v>
      </c>
      <c r="B152" s="57" t="n"/>
      <c r="C152" s="57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58" t="n"/>
      <c r="R152" s="66">
        <f>IF(AND(tblSafety[[#This Row],[Hours_Employees]]="",tblSafety[[#This Row],[Hours_Contractors]]=""),"",N(tblSafety[[#This Row],[Hours_Employees]])+N(tblSafety[[#This Row],[Hours_Contractors]]))</f>
        <v/>
      </c>
      <c r="S152" s="64">
        <f>N(tblSafety[[#This Row],[Fatality]])+N(tblSafety[[#This Row],[LTI]])+N(tblSafety[[#This Row],[RWI]])+N(tblSafety[[#This Row],[MTI]])</f>
        <v/>
      </c>
    </row>
    <row r="153">
      <c r="A153" s="54" t="n">
        <v>46170</v>
      </c>
      <c r="B153" s="57" t="n"/>
      <c r="C153" s="57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58" t="n"/>
      <c r="R153" s="66">
        <f>IF(AND(tblSafety[[#This Row],[Hours_Employees]]="",tblSafety[[#This Row],[Hours_Contractors]]=""),"",N(tblSafety[[#This Row],[Hours_Employees]])+N(tblSafety[[#This Row],[Hours_Contractors]]))</f>
        <v/>
      </c>
      <c r="S153" s="64">
        <f>N(tblSafety[[#This Row],[Fatality]])+N(tblSafety[[#This Row],[LTI]])+N(tblSafety[[#This Row],[RWI]])+N(tblSafety[[#This Row],[MTI]])</f>
        <v/>
      </c>
    </row>
    <row r="154">
      <c r="A154" s="54" t="n">
        <v>46171</v>
      </c>
      <c r="B154" s="57" t="n"/>
      <c r="C154" s="57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58" t="n"/>
      <c r="R154" s="66">
        <f>IF(AND(tblSafety[[#This Row],[Hours_Employees]]="",tblSafety[[#This Row],[Hours_Contractors]]=""),"",N(tblSafety[[#This Row],[Hours_Employees]])+N(tblSafety[[#This Row],[Hours_Contractors]]))</f>
        <v/>
      </c>
      <c r="S154" s="64">
        <f>N(tblSafety[[#This Row],[Fatality]])+N(tblSafety[[#This Row],[LTI]])+N(tblSafety[[#This Row],[RWI]])+N(tblSafety[[#This Row],[MTI]])</f>
        <v/>
      </c>
    </row>
    <row r="155">
      <c r="A155" s="54" t="n">
        <v>46172</v>
      </c>
      <c r="B155" s="57" t="n"/>
      <c r="C155" s="57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58" t="n"/>
      <c r="R155" s="66">
        <f>IF(AND(tblSafety[[#This Row],[Hours_Employees]]="",tblSafety[[#This Row],[Hours_Contractors]]=""),"",N(tblSafety[[#This Row],[Hours_Employees]])+N(tblSafety[[#This Row],[Hours_Contractors]]))</f>
        <v/>
      </c>
      <c r="S155" s="64">
        <f>N(tblSafety[[#This Row],[Fatality]])+N(tblSafety[[#This Row],[LTI]])+N(tblSafety[[#This Row],[RWI]])+N(tblSafety[[#This Row],[MTI]])</f>
        <v/>
      </c>
    </row>
    <row r="156">
      <c r="A156" s="54" t="n">
        <v>46173</v>
      </c>
      <c r="B156" s="57" t="n"/>
      <c r="C156" s="57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58" t="n"/>
      <c r="R156" s="66">
        <f>IF(AND(tblSafety[[#This Row],[Hours_Employees]]="",tblSafety[[#This Row],[Hours_Contractors]]=""),"",N(tblSafety[[#This Row],[Hours_Employees]])+N(tblSafety[[#This Row],[Hours_Contractors]]))</f>
        <v/>
      </c>
      <c r="S156" s="64">
        <f>N(tblSafety[[#This Row],[Fatality]])+N(tblSafety[[#This Row],[LTI]])+N(tblSafety[[#This Row],[RWI]])+N(tblSafety[[#This Row],[MTI]])</f>
        <v/>
      </c>
    </row>
    <row r="157">
      <c r="A157" s="54" t="n">
        <v>46174</v>
      </c>
      <c r="B157" s="57" t="n"/>
      <c r="C157" s="57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58" t="n"/>
      <c r="R157" s="66">
        <f>IF(AND(tblSafety[[#This Row],[Hours_Employees]]="",tblSafety[[#This Row],[Hours_Contractors]]=""),"",N(tblSafety[[#This Row],[Hours_Employees]])+N(tblSafety[[#This Row],[Hours_Contractors]]))</f>
        <v/>
      </c>
      <c r="S157" s="64">
        <f>N(tblSafety[[#This Row],[Fatality]])+N(tblSafety[[#This Row],[LTI]])+N(tblSafety[[#This Row],[RWI]])+N(tblSafety[[#This Row],[MTI]])</f>
        <v/>
      </c>
    </row>
    <row r="158">
      <c r="A158" s="54" t="n">
        <v>46175</v>
      </c>
      <c r="B158" s="57" t="n"/>
      <c r="C158" s="57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58" t="n"/>
      <c r="R158" s="66">
        <f>IF(AND(tblSafety[[#This Row],[Hours_Employees]]="",tblSafety[[#This Row],[Hours_Contractors]]=""),"",N(tblSafety[[#This Row],[Hours_Employees]])+N(tblSafety[[#This Row],[Hours_Contractors]]))</f>
        <v/>
      </c>
      <c r="S158" s="64">
        <f>N(tblSafety[[#This Row],[Fatality]])+N(tblSafety[[#This Row],[LTI]])+N(tblSafety[[#This Row],[RWI]])+N(tblSafety[[#This Row],[MTI]])</f>
        <v/>
      </c>
    </row>
    <row r="159">
      <c r="A159" s="54" t="n">
        <v>46176</v>
      </c>
      <c r="B159" s="57" t="n"/>
      <c r="C159" s="57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58" t="n"/>
      <c r="R159" s="66">
        <f>IF(AND(tblSafety[[#This Row],[Hours_Employees]]="",tblSafety[[#This Row],[Hours_Contractors]]=""),"",N(tblSafety[[#This Row],[Hours_Employees]])+N(tblSafety[[#This Row],[Hours_Contractors]]))</f>
        <v/>
      </c>
      <c r="S159" s="64">
        <f>N(tblSafety[[#This Row],[Fatality]])+N(tblSafety[[#This Row],[LTI]])+N(tblSafety[[#This Row],[RWI]])+N(tblSafety[[#This Row],[MTI]])</f>
        <v/>
      </c>
    </row>
    <row r="160">
      <c r="A160" s="54" t="n">
        <v>46177</v>
      </c>
      <c r="B160" s="57" t="n"/>
      <c r="C160" s="57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58" t="n"/>
      <c r="R160" s="66">
        <f>IF(AND(tblSafety[[#This Row],[Hours_Employees]]="",tblSafety[[#This Row],[Hours_Contractors]]=""),"",N(tblSafety[[#This Row],[Hours_Employees]])+N(tblSafety[[#This Row],[Hours_Contractors]]))</f>
        <v/>
      </c>
      <c r="S160" s="64">
        <f>N(tblSafety[[#This Row],[Fatality]])+N(tblSafety[[#This Row],[LTI]])+N(tblSafety[[#This Row],[RWI]])+N(tblSafety[[#This Row],[MTI]])</f>
        <v/>
      </c>
    </row>
    <row r="161">
      <c r="A161" s="54" t="n">
        <v>46178</v>
      </c>
      <c r="B161" s="57" t="n"/>
      <c r="C161" s="57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58" t="n"/>
      <c r="R161" s="66">
        <f>IF(AND(tblSafety[[#This Row],[Hours_Employees]]="",tblSafety[[#This Row],[Hours_Contractors]]=""),"",N(tblSafety[[#This Row],[Hours_Employees]])+N(tblSafety[[#This Row],[Hours_Contractors]]))</f>
        <v/>
      </c>
      <c r="S161" s="64">
        <f>N(tblSafety[[#This Row],[Fatality]])+N(tblSafety[[#This Row],[LTI]])+N(tblSafety[[#This Row],[RWI]])+N(tblSafety[[#This Row],[MTI]])</f>
        <v/>
      </c>
    </row>
    <row r="162">
      <c r="A162" s="54" t="n">
        <v>46179</v>
      </c>
      <c r="B162" s="57" t="n"/>
      <c r="C162" s="57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58" t="n"/>
      <c r="R162" s="66">
        <f>IF(AND(tblSafety[[#This Row],[Hours_Employees]]="",tblSafety[[#This Row],[Hours_Contractors]]=""),"",N(tblSafety[[#This Row],[Hours_Employees]])+N(tblSafety[[#This Row],[Hours_Contractors]]))</f>
        <v/>
      </c>
      <c r="S162" s="64">
        <f>N(tblSafety[[#This Row],[Fatality]])+N(tblSafety[[#This Row],[LTI]])+N(tblSafety[[#This Row],[RWI]])+N(tblSafety[[#This Row],[MTI]])</f>
        <v/>
      </c>
    </row>
    <row r="163">
      <c r="A163" s="54" t="n">
        <v>46180</v>
      </c>
      <c r="B163" s="57" t="n"/>
      <c r="C163" s="57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58" t="n"/>
      <c r="R163" s="66">
        <f>IF(AND(tblSafety[[#This Row],[Hours_Employees]]="",tblSafety[[#This Row],[Hours_Contractors]]=""),"",N(tblSafety[[#This Row],[Hours_Employees]])+N(tblSafety[[#This Row],[Hours_Contractors]]))</f>
        <v/>
      </c>
      <c r="S163" s="64">
        <f>N(tblSafety[[#This Row],[Fatality]])+N(tblSafety[[#This Row],[LTI]])+N(tblSafety[[#This Row],[RWI]])+N(tblSafety[[#This Row],[MTI]])</f>
        <v/>
      </c>
    </row>
    <row r="164">
      <c r="A164" s="54" t="n">
        <v>46181</v>
      </c>
      <c r="B164" s="57" t="n"/>
      <c r="C164" s="57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58" t="n"/>
      <c r="R164" s="66">
        <f>IF(AND(tblSafety[[#This Row],[Hours_Employees]]="",tblSafety[[#This Row],[Hours_Contractors]]=""),"",N(tblSafety[[#This Row],[Hours_Employees]])+N(tblSafety[[#This Row],[Hours_Contractors]]))</f>
        <v/>
      </c>
      <c r="S164" s="64">
        <f>N(tblSafety[[#This Row],[Fatality]])+N(tblSafety[[#This Row],[LTI]])+N(tblSafety[[#This Row],[RWI]])+N(tblSafety[[#This Row],[MTI]])</f>
        <v/>
      </c>
    </row>
    <row r="165">
      <c r="A165" s="54" t="n">
        <v>46182</v>
      </c>
      <c r="B165" s="57" t="n"/>
      <c r="C165" s="57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58" t="n"/>
      <c r="R165" s="66">
        <f>IF(AND(tblSafety[[#This Row],[Hours_Employees]]="",tblSafety[[#This Row],[Hours_Contractors]]=""),"",N(tblSafety[[#This Row],[Hours_Employees]])+N(tblSafety[[#This Row],[Hours_Contractors]]))</f>
        <v/>
      </c>
      <c r="S165" s="64">
        <f>N(tblSafety[[#This Row],[Fatality]])+N(tblSafety[[#This Row],[LTI]])+N(tblSafety[[#This Row],[RWI]])+N(tblSafety[[#This Row],[MTI]])</f>
        <v/>
      </c>
    </row>
    <row r="166">
      <c r="A166" s="54" t="n">
        <v>46183</v>
      </c>
      <c r="B166" s="57" t="n"/>
      <c r="C166" s="57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58" t="n"/>
      <c r="R166" s="66">
        <f>IF(AND(tblSafety[[#This Row],[Hours_Employees]]="",tblSafety[[#This Row],[Hours_Contractors]]=""),"",N(tblSafety[[#This Row],[Hours_Employees]])+N(tblSafety[[#This Row],[Hours_Contractors]]))</f>
        <v/>
      </c>
      <c r="S166" s="64">
        <f>N(tblSafety[[#This Row],[Fatality]])+N(tblSafety[[#This Row],[LTI]])+N(tblSafety[[#This Row],[RWI]])+N(tblSafety[[#This Row],[MTI]])</f>
        <v/>
      </c>
    </row>
    <row r="167">
      <c r="A167" s="54" t="n">
        <v>46184</v>
      </c>
      <c r="B167" s="57" t="n"/>
      <c r="C167" s="57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58" t="n"/>
      <c r="R167" s="66">
        <f>IF(AND(tblSafety[[#This Row],[Hours_Employees]]="",tblSafety[[#This Row],[Hours_Contractors]]=""),"",N(tblSafety[[#This Row],[Hours_Employees]])+N(tblSafety[[#This Row],[Hours_Contractors]]))</f>
        <v/>
      </c>
      <c r="S167" s="64">
        <f>N(tblSafety[[#This Row],[Fatality]])+N(tblSafety[[#This Row],[LTI]])+N(tblSafety[[#This Row],[RWI]])+N(tblSafety[[#This Row],[MTI]])</f>
        <v/>
      </c>
    </row>
    <row r="168">
      <c r="A168" s="54" t="n">
        <v>46185</v>
      </c>
      <c r="B168" s="57" t="n"/>
      <c r="C168" s="57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58" t="n"/>
      <c r="R168" s="66">
        <f>IF(AND(tblSafety[[#This Row],[Hours_Employees]]="",tblSafety[[#This Row],[Hours_Contractors]]=""),"",N(tblSafety[[#This Row],[Hours_Employees]])+N(tblSafety[[#This Row],[Hours_Contractors]]))</f>
        <v/>
      </c>
      <c r="S168" s="64">
        <f>N(tblSafety[[#This Row],[Fatality]])+N(tblSafety[[#This Row],[LTI]])+N(tblSafety[[#This Row],[RWI]])+N(tblSafety[[#This Row],[MTI]])</f>
        <v/>
      </c>
    </row>
    <row r="169">
      <c r="A169" s="54" t="n">
        <v>46186</v>
      </c>
      <c r="B169" s="57" t="n"/>
      <c r="C169" s="57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58" t="n"/>
      <c r="R169" s="66">
        <f>IF(AND(tblSafety[[#This Row],[Hours_Employees]]="",tblSafety[[#This Row],[Hours_Contractors]]=""),"",N(tblSafety[[#This Row],[Hours_Employees]])+N(tblSafety[[#This Row],[Hours_Contractors]]))</f>
        <v/>
      </c>
      <c r="S169" s="64">
        <f>N(tblSafety[[#This Row],[Fatality]])+N(tblSafety[[#This Row],[LTI]])+N(tblSafety[[#This Row],[RWI]])+N(tblSafety[[#This Row],[MTI]])</f>
        <v/>
      </c>
    </row>
    <row r="170">
      <c r="A170" s="54" t="n">
        <v>46187</v>
      </c>
      <c r="B170" s="57" t="n"/>
      <c r="C170" s="57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58" t="n"/>
      <c r="R170" s="66">
        <f>IF(AND(tblSafety[[#This Row],[Hours_Employees]]="",tblSafety[[#This Row],[Hours_Contractors]]=""),"",N(tblSafety[[#This Row],[Hours_Employees]])+N(tblSafety[[#This Row],[Hours_Contractors]]))</f>
        <v/>
      </c>
      <c r="S170" s="64">
        <f>N(tblSafety[[#This Row],[Fatality]])+N(tblSafety[[#This Row],[LTI]])+N(tblSafety[[#This Row],[RWI]])+N(tblSafety[[#This Row],[MTI]])</f>
        <v/>
      </c>
    </row>
    <row r="171">
      <c r="A171" s="54" t="n">
        <v>46188</v>
      </c>
      <c r="B171" s="57" t="n"/>
      <c r="C171" s="57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58" t="n"/>
      <c r="R171" s="66">
        <f>IF(AND(tblSafety[[#This Row],[Hours_Employees]]="",tblSafety[[#This Row],[Hours_Contractors]]=""),"",N(tblSafety[[#This Row],[Hours_Employees]])+N(tblSafety[[#This Row],[Hours_Contractors]]))</f>
        <v/>
      </c>
      <c r="S171" s="64">
        <f>N(tblSafety[[#This Row],[Fatality]])+N(tblSafety[[#This Row],[LTI]])+N(tblSafety[[#This Row],[RWI]])+N(tblSafety[[#This Row],[MTI]])</f>
        <v/>
      </c>
    </row>
    <row r="172">
      <c r="A172" s="54" t="n">
        <v>46189</v>
      </c>
      <c r="B172" s="57" t="n"/>
      <c r="C172" s="57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58" t="n"/>
      <c r="R172" s="66">
        <f>IF(AND(tblSafety[[#This Row],[Hours_Employees]]="",tblSafety[[#This Row],[Hours_Contractors]]=""),"",N(tblSafety[[#This Row],[Hours_Employees]])+N(tblSafety[[#This Row],[Hours_Contractors]]))</f>
        <v/>
      </c>
      <c r="S172" s="64">
        <f>N(tblSafety[[#This Row],[Fatality]])+N(tblSafety[[#This Row],[LTI]])+N(tblSafety[[#This Row],[RWI]])+N(tblSafety[[#This Row],[MTI]])</f>
        <v/>
      </c>
    </row>
    <row r="173">
      <c r="A173" s="54" t="n">
        <v>46190</v>
      </c>
      <c r="B173" s="57" t="n"/>
      <c r="C173" s="57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58" t="n"/>
      <c r="R173" s="66">
        <f>IF(AND(tblSafety[[#This Row],[Hours_Employees]]="",tblSafety[[#This Row],[Hours_Contractors]]=""),"",N(tblSafety[[#This Row],[Hours_Employees]])+N(tblSafety[[#This Row],[Hours_Contractors]]))</f>
        <v/>
      </c>
      <c r="S173" s="64">
        <f>N(tblSafety[[#This Row],[Fatality]])+N(tblSafety[[#This Row],[LTI]])+N(tblSafety[[#This Row],[RWI]])+N(tblSafety[[#This Row],[MTI]])</f>
        <v/>
      </c>
    </row>
    <row r="174">
      <c r="A174" s="54" t="n">
        <v>46191</v>
      </c>
      <c r="B174" s="57" t="n"/>
      <c r="C174" s="57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58" t="n"/>
      <c r="R174" s="66">
        <f>IF(AND(tblSafety[[#This Row],[Hours_Employees]]="",tblSafety[[#This Row],[Hours_Contractors]]=""),"",N(tblSafety[[#This Row],[Hours_Employees]])+N(tblSafety[[#This Row],[Hours_Contractors]]))</f>
        <v/>
      </c>
      <c r="S174" s="64">
        <f>N(tblSafety[[#This Row],[Fatality]])+N(tblSafety[[#This Row],[LTI]])+N(tblSafety[[#This Row],[RWI]])+N(tblSafety[[#This Row],[MTI]])</f>
        <v/>
      </c>
    </row>
    <row r="175">
      <c r="A175" s="54" t="n">
        <v>46192</v>
      </c>
      <c r="B175" s="57" t="n"/>
      <c r="C175" s="57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58" t="n"/>
      <c r="R175" s="66">
        <f>IF(AND(tblSafety[[#This Row],[Hours_Employees]]="",tblSafety[[#This Row],[Hours_Contractors]]=""),"",N(tblSafety[[#This Row],[Hours_Employees]])+N(tblSafety[[#This Row],[Hours_Contractors]]))</f>
        <v/>
      </c>
      <c r="S175" s="64">
        <f>N(tblSafety[[#This Row],[Fatality]])+N(tblSafety[[#This Row],[LTI]])+N(tblSafety[[#This Row],[RWI]])+N(tblSafety[[#This Row],[MTI]])</f>
        <v/>
      </c>
    </row>
    <row r="176">
      <c r="A176" s="54" t="n">
        <v>46193</v>
      </c>
      <c r="B176" s="57" t="n"/>
      <c r="C176" s="57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58" t="n"/>
      <c r="R176" s="66">
        <f>IF(AND(tblSafety[[#This Row],[Hours_Employees]]="",tblSafety[[#This Row],[Hours_Contractors]]=""),"",N(tblSafety[[#This Row],[Hours_Employees]])+N(tblSafety[[#This Row],[Hours_Contractors]]))</f>
        <v/>
      </c>
      <c r="S176" s="64">
        <f>N(tblSafety[[#This Row],[Fatality]])+N(tblSafety[[#This Row],[LTI]])+N(tblSafety[[#This Row],[RWI]])+N(tblSafety[[#This Row],[MTI]])</f>
        <v/>
      </c>
    </row>
    <row r="177">
      <c r="A177" s="54" t="n">
        <v>46194</v>
      </c>
      <c r="B177" s="57" t="n"/>
      <c r="C177" s="57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58" t="n"/>
      <c r="R177" s="66">
        <f>IF(AND(tblSafety[[#This Row],[Hours_Employees]]="",tblSafety[[#This Row],[Hours_Contractors]]=""),"",N(tblSafety[[#This Row],[Hours_Employees]])+N(tblSafety[[#This Row],[Hours_Contractors]]))</f>
        <v/>
      </c>
      <c r="S177" s="64">
        <f>N(tblSafety[[#This Row],[Fatality]])+N(tblSafety[[#This Row],[LTI]])+N(tblSafety[[#This Row],[RWI]])+N(tblSafety[[#This Row],[MTI]])</f>
        <v/>
      </c>
    </row>
    <row r="178">
      <c r="A178" s="54" t="n">
        <v>46195</v>
      </c>
      <c r="B178" s="57" t="n"/>
      <c r="C178" s="57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58" t="n"/>
      <c r="R178" s="66">
        <f>IF(AND(tblSafety[[#This Row],[Hours_Employees]]="",tblSafety[[#This Row],[Hours_Contractors]]=""),"",N(tblSafety[[#This Row],[Hours_Employees]])+N(tblSafety[[#This Row],[Hours_Contractors]]))</f>
        <v/>
      </c>
      <c r="S178" s="64">
        <f>N(tblSafety[[#This Row],[Fatality]])+N(tblSafety[[#This Row],[LTI]])+N(tblSafety[[#This Row],[RWI]])+N(tblSafety[[#This Row],[MTI]])</f>
        <v/>
      </c>
    </row>
    <row r="179">
      <c r="A179" s="54" t="n">
        <v>46196</v>
      </c>
      <c r="B179" s="57" t="n"/>
      <c r="C179" s="57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58" t="n"/>
      <c r="R179" s="66">
        <f>IF(AND(tblSafety[[#This Row],[Hours_Employees]]="",tblSafety[[#This Row],[Hours_Contractors]]=""),"",N(tblSafety[[#This Row],[Hours_Employees]])+N(tblSafety[[#This Row],[Hours_Contractors]]))</f>
        <v/>
      </c>
      <c r="S179" s="64">
        <f>N(tblSafety[[#This Row],[Fatality]])+N(tblSafety[[#This Row],[LTI]])+N(tblSafety[[#This Row],[RWI]])+N(tblSafety[[#This Row],[MTI]])</f>
        <v/>
      </c>
    </row>
    <row r="180">
      <c r="A180" s="54" t="n">
        <v>46197</v>
      </c>
      <c r="B180" s="57" t="n"/>
      <c r="C180" s="57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58" t="n"/>
      <c r="R180" s="66">
        <f>IF(AND(tblSafety[[#This Row],[Hours_Employees]]="",tblSafety[[#This Row],[Hours_Contractors]]=""),"",N(tblSafety[[#This Row],[Hours_Employees]])+N(tblSafety[[#This Row],[Hours_Contractors]]))</f>
        <v/>
      </c>
      <c r="S180" s="64">
        <f>N(tblSafety[[#This Row],[Fatality]])+N(tblSafety[[#This Row],[LTI]])+N(tblSafety[[#This Row],[RWI]])+N(tblSafety[[#This Row],[MTI]])</f>
        <v/>
      </c>
    </row>
    <row r="181">
      <c r="A181" s="54" t="n">
        <v>46198</v>
      </c>
      <c r="B181" s="57" t="n"/>
      <c r="C181" s="57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58" t="n"/>
      <c r="R181" s="66">
        <f>IF(AND(tblSafety[[#This Row],[Hours_Employees]]="",tblSafety[[#This Row],[Hours_Contractors]]=""),"",N(tblSafety[[#This Row],[Hours_Employees]])+N(tblSafety[[#This Row],[Hours_Contractors]]))</f>
        <v/>
      </c>
      <c r="S181" s="64">
        <f>N(tblSafety[[#This Row],[Fatality]])+N(tblSafety[[#This Row],[LTI]])+N(tblSafety[[#This Row],[RWI]])+N(tblSafety[[#This Row],[MTI]])</f>
        <v/>
      </c>
    </row>
    <row r="182">
      <c r="A182" s="54" t="n">
        <v>46199</v>
      </c>
      <c r="B182" s="57" t="n"/>
      <c r="C182" s="57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58" t="n"/>
      <c r="R182" s="66">
        <f>IF(AND(tblSafety[[#This Row],[Hours_Employees]]="",tblSafety[[#This Row],[Hours_Contractors]]=""),"",N(tblSafety[[#This Row],[Hours_Employees]])+N(tblSafety[[#This Row],[Hours_Contractors]]))</f>
        <v/>
      </c>
      <c r="S182" s="64">
        <f>N(tblSafety[[#This Row],[Fatality]])+N(tblSafety[[#This Row],[LTI]])+N(tblSafety[[#This Row],[RWI]])+N(tblSafety[[#This Row],[MTI]])</f>
        <v/>
      </c>
    </row>
    <row r="183">
      <c r="A183" s="54" t="n">
        <v>46200</v>
      </c>
      <c r="B183" s="57" t="n"/>
      <c r="C183" s="57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58" t="n"/>
      <c r="R183" s="66">
        <f>IF(AND(tblSafety[[#This Row],[Hours_Employees]]="",tblSafety[[#This Row],[Hours_Contractors]]=""),"",N(tblSafety[[#This Row],[Hours_Employees]])+N(tblSafety[[#This Row],[Hours_Contractors]]))</f>
        <v/>
      </c>
      <c r="S183" s="64">
        <f>N(tblSafety[[#This Row],[Fatality]])+N(tblSafety[[#This Row],[LTI]])+N(tblSafety[[#This Row],[RWI]])+N(tblSafety[[#This Row],[MTI]])</f>
        <v/>
      </c>
    </row>
    <row r="184">
      <c r="A184" s="54" t="n">
        <v>46201</v>
      </c>
      <c r="B184" s="57" t="n"/>
      <c r="C184" s="57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58" t="n"/>
      <c r="R184" s="66">
        <f>IF(AND(tblSafety[[#This Row],[Hours_Employees]]="",tblSafety[[#This Row],[Hours_Contractors]]=""),"",N(tblSafety[[#This Row],[Hours_Employees]])+N(tblSafety[[#This Row],[Hours_Contractors]]))</f>
        <v/>
      </c>
      <c r="S184" s="64">
        <f>N(tblSafety[[#This Row],[Fatality]])+N(tblSafety[[#This Row],[LTI]])+N(tblSafety[[#This Row],[RWI]])+N(tblSafety[[#This Row],[MTI]])</f>
        <v/>
      </c>
    </row>
    <row r="185">
      <c r="A185" s="54" t="n">
        <v>46202</v>
      </c>
      <c r="B185" s="57" t="n"/>
      <c r="C185" s="57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58" t="n"/>
      <c r="R185" s="66">
        <f>IF(AND(tblSafety[[#This Row],[Hours_Employees]]="",tblSafety[[#This Row],[Hours_Contractors]]=""),"",N(tblSafety[[#This Row],[Hours_Employees]])+N(tblSafety[[#This Row],[Hours_Contractors]]))</f>
        <v/>
      </c>
      <c r="S185" s="64">
        <f>N(tblSafety[[#This Row],[Fatality]])+N(tblSafety[[#This Row],[LTI]])+N(tblSafety[[#This Row],[RWI]])+N(tblSafety[[#This Row],[MTI]])</f>
        <v/>
      </c>
    </row>
    <row r="186">
      <c r="A186" s="54" t="n">
        <v>46203</v>
      </c>
      <c r="B186" s="57" t="n"/>
      <c r="C186" s="57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58" t="n"/>
      <c r="R186" s="66">
        <f>IF(AND(tblSafety[[#This Row],[Hours_Employees]]="",tblSafety[[#This Row],[Hours_Contractors]]=""),"",N(tblSafety[[#This Row],[Hours_Employees]])+N(tblSafety[[#This Row],[Hours_Contractors]]))</f>
        <v/>
      </c>
      <c r="S186" s="64">
        <f>N(tblSafety[[#This Row],[Fatality]])+N(tblSafety[[#This Row],[LTI]])+N(tblSafety[[#This Row],[RWI]])+N(tblSafety[[#This Row],[MTI]])</f>
        <v/>
      </c>
    </row>
    <row r="187">
      <c r="A187" s="54" t="n">
        <v>46204</v>
      </c>
      <c r="B187" s="57" t="n"/>
      <c r="C187" s="57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58" t="n"/>
      <c r="R187" s="66">
        <f>IF(AND(tblSafety[[#This Row],[Hours_Employees]]="",tblSafety[[#This Row],[Hours_Contractors]]=""),"",N(tblSafety[[#This Row],[Hours_Employees]])+N(tblSafety[[#This Row],[Hours_Contractors]]))</f>
        <v/>
      </c>
      <c r="S187" s="64">
        <f>N(tblSafety[[#This Row],[Fatality]])+N(tblSafety[[#This Row],[LTI]])+N(tblSafety[[#This Row],[RWI]])+N(tblSafety[[#This Row],[MTI]])</f>
        <v/>
      </c>
    </row>
    <row r="188">
      <c r="A188" s="54" t="n">
        <v>46205</v>
      </c>
      <c r="B188" s="57" t="n"/>
      <c r="C188" s="57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58" t="n"/>
      <c r="R188" s="66">
        <f>IF(AND(tblSafety[[#This Row],[Hours_Employees]]="",tblSafety[[#This Row],[Hours_Contractors]]=""),"",N(tblSafety[[#This Row],[Hours_Employees]])+N(tblSafety[[#This Row],[Hours_Contractors]]))</f>
        <v/>
      </c>
      <c r="S188" s="64">
        <f>N(tblSafety[[#This Row],[Fatality]])+N(tblSafety[[#This Row],[LTI]])+N(tblSafety[[#This Row],[RWI]])+N(tblSafety[[#This Row],[MTI]])</f>
        <v/>
      </c>
    </row>
    <row r="189">
      <c r="A189" s="54" t="n">
        <v>46206</v>
      </c>
      <c r="B189" s="57" t="n"/>
      <c r="C189" s="57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58" t="n"/>
      <c r="R189" s="66">
        <f>IF(AND(tblSafety[[#This Row],[Hours_Employees]]="",tblSafety[[#This Row],[Hours_Contractors]]=""),"",N(tblSafety[[#This Row],[Hours_Employees]])+N(tblSafety[[#This Row],[Hours_Contractors]]))</f>
        <v/>
      </c>
      <c r="S189" s="64">
        <f>N(tblSafety[[#This Row],[Fatality]])+N(tblSafety[[#This Row],[LTI]])+N(tblSafety[[#This Row],[RWI]])+N(tblSafety[[#This Row],[MTI]])</f>
        <v/>
      </c>
    </row>
    <row r="190">
      <c r="A190" s="54" t="n">
        <v>46207</v>
      </c>
      <c r="B190" s="57" t="n"/>
      <c r="C190" s="57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58" t="n"/>
      <c r="R190" s="66">
        <f>IF(AND(tblSafety[[#This Row],[Hours_Employees]]="",tblSafety[[#This Row],[Hours_Contractors]]=""),"",N(tblSafety[[#This Row],[Hours_Employees]])+N(tblSafety[[#This Row],[Hours_Contractors]]))</f>
        <v/>
      </c>
      <c r="S190" s="64">
        <f>N(tblSafety[[#This Row],[Fatality]])+N(tblSafety[[#This Row],[LTI]])+N(tblSafety[[#This Row],[RWI]])+N(tblSafety[[#This Row],[MTI]])</f>
        <v/>
      </c>
    </row>
    <row r="191">
      <c r="A191" s="54" t="n">
        <v>46208</v>
      </c>
      <c r="B191" s="57" t="n"/>
      <c r="C191" s="57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58" t="n"/>
      <c r="R191" s="66">
        <f>IF(AND(tblSafety[[#This Row],[Hours_Employees]]="",tblSafety[[#This Row],[Hours_Contractors]]=""),"",N(tblSafety[[#This Row],[Hours_Employees]])+N(tblSafety[[#This Row],[Hours_Contractors]]))</f>
        <v/>
      </c>
      <c r="S191" s="64">
        <f>N(tblSafety[[#This Row],[Fatality]])+N(tblSafety[[#This Row],[LTI]])+N(tblSafety[[#This Row],[RWI]])+N(tblSafety[[#This Row],[MTI]])</f>
        <v/>
      </c>
    </row>
    <row r="192">
      <c r="A192" s="54" t="n">
        <v>46209</v>
      </c>
      <c r="B192" s="57" t="n"/>
      <c r="C192" s="57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58" t="n"/>
      <c r="R192" s="66">
        <f>IF(AND(tblSafety[[#This Row],[Hours_Employees]]="",tblSafety[[#This Row],[Hours_Contractors]]=""),"",N(tblSafety[[#This Row],[Hours_Employees]])+N(tblSafety[[#This Row],[Hours_Contractors]]))</f>
        <v/>
      </c>
      <c r="S192" s="64">
        <f>N(tblSafety[[#This Row],[Fatality]])+N(tblSafety[[#This Row],[LTI]])+N(tblSafety[[#This Row],[RWI]])+N(tblSafety[[#This Row],[MTI]])</f>
        <v/>
      </c>
    </row>
    <row r="193">
      <c r="A193" s="54" t="n">
        <v>46210</v>
      </c>
      <c r="B193" s="57" t="n"/>
      <c r="C193" s="57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58" t="n"/>
      <c r="R193" s="66">
        <f>IF(AND(tblSafety[[#This Row],[Hours_Employees]]="",tblSafety[[#This Row],[Hours_Contractors]]=""),"",N(tblSafety[[#This Row],[Hours_Employees]])+N(tblSafety[[#This Row],[Hours_Contractors]]))</f>
        <v/>
      </c>
      <c r="S193" s="64">
        <f>N(tblSafety[[#This Row],[Fatality]])+N(tblSafety[[#This Row],[LTI]])+N(tblSafety[[#This Row],[RWI]])+N(tblSafety[[#This Row],[MTI]])</f>
        <v/>
      </c>
    </row>
    <row r="194">
      <c r="A194" s="54" t="n">
        <v>46211</v>
      </c>
      <c r="B194" s="57" t="n"/>
      <c r="C194" s="57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58" t="n"/>
      <c r="R194" s="66">
        <f>IF(AND(tblSafety[[#This Row],[Hours_Employees]]="",tblSafety[[#This Row],[Hours_Contractors]]=""),"",N(tblSafety[[#This Row],[Hours_Employees]])+N(tblSafety[[#This Row],[Hours_Contractors]]))</f>
        <v/>
      </c>
      <c r="S194" s="64">
        <f>N(tblSafety[[#This Row],[Fatality]])+N(tblSafety[[#This Row],[LTI]])+N(tblSafety[[#This Row],[RWI]])+N(tblSafety[[#This Row],[MTI]])</f>
        <v/>
      </c>
    </row>
    <row r="195">
      <c r="A195" s="54" t="n">
        <v>46212</v>
      </c>
      <c r="B195" s="57" t="n"/>
      <c r="C195" s="57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58" t="n"/>
      <c r="R195" s="66">
        <f>IF(AND(tblSafety[[#This Row],[Hours_Employees]]="",tblSafety[[#This Row],[Hours_Contractors]]=""),"",N(tblSafety[[#This Row],[Hours_Employees]])+N(tblSafety[[#This Row],[Hours_Contractors]]))</f>
        <v/>
      </c>
      <c r="S195" s="64">
        <f>N(tblSafety[[#This Row],[Fatality]])+N(tblSafety[[#This Row],[LTI]])+N(tblSafety[[#This Row],[RWI]])+N(tblSafety[[#This Row],[MTI]])</f>
        <v/>
      </c>
    </row>
    <row r="196">
      <c r="A196" s="54" t="n">
        <v>46213</v>
      </c>
      <c r="B196" s="57" t="n"/>
      <c r="C196" s="57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58" t="n"/>
      <c r="R196" s="66">
        <f>IF(AND(tblSafety[[#This Row],[Hours_Employees]]="",tblSafety[[#This Row],[Hours_Contractors]]=""),"",N(tblSafety[[#This Row],[Hours_Employees]])+N(tblSafety[[#This Row],[Hours_Contractors]]))</f>
        <v/>
      </c>
      <c r="S196" s="64">
        <f>N(tblSafety[[#This Row],[Fatality]])+N(tblSafety[[#This Row],[LTI]])+N(tblSafety[[#This Row],[RWI]])+N(tblSafety[[#This Row],[MTI]])</f>
        <v/>
      </c>
    </row>
    <row r="197">
      <c r="A197" s="54" t="n">
        <v>46214</v>
      </c>
      <c r="B197" s="57" t="n"/>
      <c r="C197" s="57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58" t="n"/>
      <c r="R197" s="66">
        <f>IF(AND(tblSafety[[#This Row],[Hours_Employees]]="",tblSafety[[#This Row],[Hours_Contractors]]=""),"",N(tblSafety[[#This Row],[Hours_Employees]])+N(tblSafety[[#This Row],[Hours_Contractors]]))</f>
        <v/>
      </c>
      <c r="S197" s="64">
        <f>N(tblSafety[[#This Row],[Fatality]])+N(tblSafety[[#This Row],[LTI]])+N(tblSafety[[#This Row],[RWI]])+N(tblSafety[[#This Row],[MTI]])</f>
        <v/>
      </c>
    </row>
    <row r="198">
      <c r="A198" s="54" t="n">
        <v>46215</v>
      </c>
      <c r="B198" s="57" t="n"/>
      <c r="C198" s="57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58" t="n"/>
      <c r="R198" s="66">
        <f>IF(AND(tblSafety[[#This Row],[Hours_Employees]]="",tblSafety[[#This Row],[Hours_Contractors]]=""),"",N(tblSafety[[#This Row],[Hours_Employees]])+N(tblSafety[[#This Row],[Hours_Contractors]]))</f>
        <v/>
      </c>
      <c r="S198" s="64">
        <f>N(tblSafety[[#This Row],[Fatality]])+N(tblSafety[[#This Row],[LTI]])+N(tblSafety[[#This Row],[RWI]])+N(tblSafety[[#This Row],[MTI]])</f>
        <v/>
      </c>
    </row>
    <row r="199">
      <c r="A199" s="54" t="n">
        <v>46216</v>
      </c>
      <c r="B199" s="57" t="n"/>
      <c r="C199" s="57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58" t="n"/>
      <c r="R199" s="66">
        <f>IF(AND(tblSafety[[#This Row],[Hours_Employees]]="",tblSafety[[#This Row],[Hours_Contractors]]=""),"",N(tblSafety[[#This Row],[Hours_Employees]])+N(tblSafety[[#This Row],[Hours_Contractors]]))</f>
        <v/>
      </c>
      <c r="S199" s="64">
        <f>N(tblSafety[[#This Row],[Fatality]])+N(tblSafety[[#This Row],[LTI]])+N(tblSafety[[#This Row],[RWI]])+N(tblSafety[[#This Row],[MTI]])</f>
        <v/>
      </c>
    </row>
    <row r="200">
      <c r="A200" s="54" t="n">
        <v>46217</v>
      </c>
      <c r="B200" s="57" t="n"/>
      <c r="C200" s="57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58" t="n"/>
      <c r="R200" s="66">
        <f>IF(AND(tblSafety[[#This Row],[Hours_Employees]]="",tblSafety[[#This Row],[Hours_Contractors]]=""),"",N(tblSafety[[#This Row],[Hours_Employees]])+N(tblSafety[[#This Row],[Hours_Contractors]]))</f>
        <v/>
      </c>
      <c r="S200" s="64">
        <f>N(tblSafety[[#This Row],[Fatality]])+N(tblSafety[[#This Row],[LTI]])+N(tblSafety[[#This Row],[RWI]])+N(tblSafety[[#This Row],[MTI]])</f>
        <v/>
      </c>
    </row>
    <row r="201">
      <c r="A201" s="54" t="n">
        <v>46218</v>
      </c>
      <c r="B201" s="57" t="n"/>
      <c r="C201" s="57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58" t="n"/>
      <c r="R201" s="66">
        <f>IF(AND(tblSafety[[#This Row],[Hours_Employees]]="",tblSafety[[#This Row],[Hours_Contractors]]=""),"",N(tblSafety[[#This Row],[Hours_Employees]])+N(tblSafety[[#This Row],[Hours_Contractors]]))</f>
        <v/>
      </c>
      <c r="S201" s="64">
        <f>N(tblSafety[[#This Row],[Fatality]])+N(tblSafety[[#This Row],[LTI]])+N(tblSafety[[#This Row],[RWI]])+N(tblSafety[[#This Row],[MTI]])</f>
        <v/>
      </c>
    </row>
    <row r="202">
      <c r="A202" s="54" t="n">
        <v>46219</v>
      </c>
      <c r="B202" s="57" t="n"/>
      <c r="C202" s="57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58" t="n"/>
      <c r="R202" s="66">
        <f>IF(AND(tblSafety[[#This Row],[Hours_Employees]]="",tblSafety[[#This Row],[Hours_Contractors]]=""),"",N(tblSafety[[#This Row],[Hours_Employees]])+N(tblSafety[[#This Row],[Hours_Contractors]]))</f>
        <v/>
      </c>
      <c r="S202" s="64">
        <f>N(tblSafety[[#This Row],[Fatality]])+N(tblSafety[[#This Row],[LTI]])+N(tblSafety[[#This Row],[RWI]])+N(tblSafety[[#This Row],[MTI]])</f>
        <v/>
      </c>
    </row>
    <row r="203">
      <c r="A203" s="54" t="n">
        <v>46220</v>
      </c>
      <c r="B203" s="57" t="n"/>
      <c r="C203" s="57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58" t="n"/>
      <c r="R203" s="66">
        <f>IF(AND(tblSafety[[#This Row],[Hours_Employees]]="",tblSafety[[#This Row],[Hours_Contractors]]=""),"",N(tblSafety[[#This Row],[Hours_Employees]])+N(tblSafety[[#This Row],[Hours_Contractors]]))</f>
        <v/>
      </c>
      <c r="S203" s="64">
        <f>N(tblSafety[[#This Row],[Fatality]])+N(tblSafety[[#This Row],[LTI]])+N(tblSafety[[#This Row],[RWI]])+N(tblSafety[[#This Row],[MTI]])</f>
        <v/>
      </c>
    </row>
    <row r="204">
      <c r="A204" s="54" t="n">
        <v>46221</v>
      </c>
      <c r="B204" s="57" t="n"/>
      <c r="C204" s="57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58" t="n"/>
      <c r="R204" s="66">
        <f>IF(AND(tblSafety[[#This Row],[Hours_Employees]]="",tblSafety[[#This Row],[Hours_Contractors]]=""),"",N(tblSafety[[#This Row],[Hours_Employees]])+N(tblSafety[[#This Row],[Hours_Contractors]]))</f>
        <v/>
      </c>
      <c r="S204" s="64">
        <f>N(tblSafety[[#This Row],[Fatality]])+N(tblSafety[[#This Row],[LTI]])+N(tblSafety[[#This Row],[RWI]])+N(tblSafety[[#This Row],[MTI]])</f>
        <v/>
      </c>
    </row>
    <row r="205">
      <c r="A205" s="54" t="n">
        <v>46222</v>
      </c>
      <c r="B205" s="57" t="n"/>
      <c r="C205" s="57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58" t="n"/>
      <c r="R205" s="66">
        <f>IF(AND(tblSafety[[#This Row],[Hours_Employees]]="",tblSafety[[#This Row],[Hours_Contractors]]=""),"",N(tblSafety[[#This Row],[Hours_Employees]])+N(tblSafety[[#This Row],[Hours_Contractors]]))</f>
        <v/>
      </c>
      <c r="S205" s="64">
        <f>N(tblSafety[[#This Row],[Fatality]])+N(tblSafety[[#This Row],[LTI]])+N(tblSafety[[#This Row],[RWI]])+N(tblSafety[[#This Row],[MTI]])</f>
        <v/>
      </c>
    </row>
    <row r="206">
      <c r="A206" s="54" t="n">
        <v>46223</v>
      </c>
      <c r="B206" s="57" t="n"/>
      <c r="C206" s="57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58" t="n"/>
      <c r="R206" s="66">
        <f>IF(AND(tblSafety[[#This Row],[Hours_Employees]]="",tblSafety[[#This Row],[Hours_Contractors]]=""),"",N(tblSafety[[#This Row],[Hours_Employees]])+N(tblSafety[[#This Row],[Hours_Contractors]]))</f>
        <v/>
      </c>
      <c r="S206" s="64">
        <f>N(tblSafety[[#This Row],[Fatality]])+N(tblSafety[[#This Row],[LTI]])+N(tblSafety[[#This Row],[RWI]])+N(tblSafety[[#This Row],[MTI]])</f>
        <v/>
      </c>
    </row>
    <row r="207">
      <c r="A207" s="54" t="n">
        <v>46224</v>
      </c>
      <c r="B207" s="57" t="n"/>
      <c r="C207" s="57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58" t="n"/>
      <c r="R207" s="66">
        <f>IF(AND(tblSafety[[#This Row],[Hours_Employees]]="",tblSafety[[#This Row],[Hours_Contractors]]=""),"",N(tblSafety[[#This Row],[Hours_Employees]])+N(tblSafety[[#This Row],[Hours_Contractors]]))</f>
        <v/>
      </c>
      <c r="S207" s="64">
        <f>N(tblSafety[[#This Row],[Fatality]])+N(tblSafety[[#This Row],[LTI]])+N(tblSafety[[#This Row],[RWI]])+N(tblSafety[[#This Row],[MTI]])</f>
        <v/>
      </c>
    </row>
    <row r="208">
      <c r="A208" s="54" t="n">
        <v>46225</v>
      </c>
      <c r="B208" s="57" t="n"/>
      <c r="C208" s="57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58" t="n"/>
      <c r="R208" s="66">
        <f>IF(AND(tblSafety[[#This Row],[Hours_Employees]]="",tblSafety[[#This Row],[Hours_Contractors]]=""),"",N(tblSafety[[#This Row],[Hours_Employees]])+N(tblSafety[[#This Row],[Hours_Contractors]]))</f>
        <v/>
      </c>
      <c r="S208" s="64">
        <f>N(tblSafety[[#This Row],[Fatality]])+N(tblSafety[[#This Row],[LTI]])+N(tblSafety[[#This Row],[RWI]])+N(tblSafety[[#This Row],[MTI]])</f>
        <v/>
      </c>
    </row>
    <row r="209">
      <c r="A209" s="54" t="n">
        <v>46226</v>
      </c>
      <c r="B209" s="57" t="n"/>
      <c r="C209" s="57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58" t="n"/>
      <c r="R209" s="66">
        <f>IF(AND(tblSafety[[#This Row],[Hours_Employees]]="",tblSafety[[#This Row],[Hours_Contractors]]=""),"",N(tblSafety[[#This Row],[Hours_Employees]])+N(tblSafety[[#This Row],[Hours_Contractors]]))</f>
        <v/>
      </c>
      <c r="S209" s="64">
        <f>N(tblSafety[[#This Row],[Fatality]])+N(tblSafety[[#This Row],[LTI]])+N(tblSafety[[#This Row],[RWI]])+N(tblSafety[[#This Row],[MTI]])</f>
        <v/>
      </c>
    </row>
    <row r="210">
      <c r="A210" s="54" t="n">
        <v>46227</v>
      </c>
      <c r="B210" s="57" t="n"/>
      <c r="C210" s="57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58" t="n"/>
      <c r="R210" s="66">
        <f>IF(AND(tblSafety[[#This Row],[Hours_Employees]]="",tblSafety[[#This Row],[Hours_Contractors]]=""),"",N(tblSafety[[#This Row],[Hours_Employees]])+N(tblSafety[[#This Row],[Hours_Contractors]]))</f>
        <v/>
      </c>
      <c r="S210" s="64">
        <f>N(tblSafety[[#This Row],[Fatality]])+N(tblSafety[[#This Row],[LTI]])+N(tblSafety[[#This Row],[RWI]])+N(tblSafety[[#This Row],[MTI]])</f>
        <v/>
      </c>
    </row>
    <row r="211">
      <c r="A211" s="54" t="n">
        <v>46228</v>
      </c>
      <c r="B211" s="57" t="n"/>
      <c r="C211" s="57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58" t="n"/>
      <c r="R211" s="66">
        <f>IF(AND(tblSafety[[#This Row],[Hours_Employees]]="",tblSafety[[#This Row],[Hours_Contractors]]=""),"",N(tblSafety[[#This Row],[Hours_Employees]])+N(tblSafety[[#This Row],[Hours_Contractors]]))</f>
        <v/>
      </c>
      <c r="S211" s="64">
        <f>N(tblSafety[[#This Row],[Fatality]])+N(tblSafety[[#This Row],[LTI]])+N(tblSafety[[#This Row],[RWI]])+N(tblSafety[[#This Row],[MTI]])</f>
        <v/>
      </c>
    </row>
    <row r="212">
      <c r="A212" s="54" t="n">
        <v>46229</v>
      </c>
      <c r="B212" s="57" t="n"/>
      <c r="C212" s="57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58" t="n"/>
      <c r="R212" s="66">
        <f>IF(AND(tblSafety[[#This Row],[Hours_Employees]]="",tblSafety[[#This Row],[Hours_Contractors]]=""),"",N(tblSafety[[#This Row],[Hours_Employees]])+N(tblSafety[[#This Row],[Hours_Contractors]]))</f>
        <v/>
      </c>
      <c r="S212" s="64">
        <f>N(tblSafety[[#This Row],[Fatality]])+N(tblSafety[[#This Row],[LTI]])+N(tblSafety[[#This Row],[RWI]])+N(tblSafety[[#This Row],[MTI]])</f>
        <v/>
      </c>
    </row>
    <row r="213">
      <c r="A213" s="54" t="n">
        <v>46230</v>
      </c>
      <c r="B213" s="57" t="n"/>
      <c r="C213" s="57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58" t="n"/>
      <c r="R213" s="66">
        <f>IF(AND(tblSafety[[#This Row],[Hours_Employees]]="",tblSafety[[#This Row],[Hours_Contractors]]=""),"",N(tblSafety[[#This Row],[Hours_Employees]])+N(tblSafety[[#This Row],[Hours_Contractors]]))</f>
        <v/>
      </c>
      <c r="S213" s="64">
        <f>N(tblSafety[[#This Row],[Fatality]])+N(tblSafety[[#This Row],[LTI]])+N(tblSafety[[#This Row],[RWI]])+N(tblSafety[[#This Row],[MTI]])</f>
        <v/>
      </c>
    </row>
    <row r="214">
      <c r="A214" s="54" t="n">
        <v>46231</v>
      </c>
      <c r="B214" s="57" t="n"/>
      <c r="C214" s="57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58" t="n"/>
      <c r="R214" s="66">
        <f>IF(AND(tblSafety[[#This Row],[Hours_Employees]]="",tblSafety[[#This Row],[Hours_Contractors]]=""),"",N(tblSafety[[#This Row],[Hours_Employees]])+N(tblSafety[[#This Row],[Hours_Contractors]]))</f>
        <v/>
      </c>
      <c r="S214" s="64">
        <f>N(tblSafety[[#This Row],[Fatality]])+N(tblSafety[[#This Row],[LTI]])+N(tblSafety[[#This Row],[RWI]])+N(tblSafety[[#This Row],[MTI]])</f>
        <v/>
      </c>
    </row>
    <row r="215">
      <c r="A215" s="54" t="n">
        <v>46232</v>
      </c>
      <c r="B215" s="57" t="n"/>
      <c r="C215" s="57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58" t="n"/>
      <c r="R215" s="66">
        <f>IF(AND(tblSafety[[#This Row],[Hours_Employees]]="",tblSafety[[#This Row],[Hours_Contractors]]=""),"",N(tblSafety[[#This Row],[Hours_Employees]])+N(tblSafety[[#This Row],[Hours_Contractors]]))</f>
        <v/>
      </c>
      <c r="S215" s="64">
        <f>N(tblSafety[[#This Row],[Fatality]])+N(tblSafety[[#This Row],[LTI]])+N(tblSafety[[#This Row],[RWI]])+N(tblSafety[[#This Row],[MTI]])</f>
        <v/>
      </c>
    </row>
    <row r="216">
      <c r="A216" s="54" t="n">
        <v>46233</v>
      </c>
      <c r="B216" s="57" t="n"/>
      <c r="C216" s="57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58" t="n"/>
      <c r="R216" s="66">
        <f>IF(AND(tblSafety[[#This Row],[Hours_Employees]]="",tblSafety[[#This Row],[Hours_Contractors]]=""),"",N(tblSafety[[#This Row],[Hours_Employees]])+N(tblSafety[[#This Row],[Hours_Contractors]]))</f>
        <v/>
      </c>
      <c r="S216" s="64">
        <f>N(tblSafety[[#This Row],[Fatality]])+N(tblSafety[[#This Row],[LTI]])+N(tblSafety[[#This Row],[RWI]])+N(tblSafety[[#This Row],[MTI]])</f>
        <v/>
      </c>
    </row>
    <row r="217">
      <c r="A217" s="54" t="n">
        <v>46234</v>
      </c>
      <c r="B217" s="57" t="n"/>
      <c r="C217" s="57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58" t="n"/>
      <c r="R217" s="66">
        <f>IF(AND(tblSafety[[#This Row],[Hours_Employees]]="",tblSafety[[#This Row],[Hours_Contractors]]=""),"",N(tblSafety[[#This Row],[Hours_Employees]])+N(tblSafety[[#This Row],[Hours_Contractors]]))</f>
        <v/>
      </c>
      <c r="S217" s="64">
        <f>N(tblSafety[[#This Row],[Fatality]])+N(tblSafety[[#This Row],[LTI]])+N(tblSafety[[#This Row],[RWI]])+N(tblSafety[[#This Row],[MTI]])</f>
        <v/>
      </c>
    </row>
    <row r="218">
      <c r="A218" s="54" t="n">
        <v>46235</v>
      </c>
      <c r="B218" s="57" t="n"/>
      <c r="C218" s="57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58" t="n"/>
      <c r="R218" s="66">
        <f>IF(AND(tblSafety[[#This Row],[Hours_Employees]]="",tblSafety[[#This Row],[Hours_Contractors]]=""),"",N(tblSafety[[#This Row],[Hours_Employees]])+N(tblSafety[[#This Row],[Hours_Contractors]]))</f>
        <v/>
      </c>
      <c r="S218" s="64">
        <f>N(tblSafety[[#This Row],[Fatality]])+N(tblSafety[[#This Row],[LTI]])+N(tblSafety[[#This Row],[RWI]])+N(tblSafety[[#This Row],[MTI]])</f>
        <v/>
      </c>
    </row>
    <row r="219">
      <c r="A219" s="54" t="n">
        <v>46236</v>
      </c>
      <c r="B219" s="57" t="n"/>
      <c r="C219" s="57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58" t="n"/>
      <c r="R219" s="66">
        <f>IF(AND(tblSafety[[#This Row],[Hours_Employees]]="",tblSafety[[#This Row],[Hours_Contractors]]=""),"",N(tblSafety[[#This Row],[Hours_Employees]])+N(tblSafety[[#This Row],[Hours_Contractors]]))</f>
        <v/>
      </c>
      <c r="S219" s="64">
        <f>N(tblSafety[[#This Row],[Fatality]])+N(tblSafety[[#This Row],[LTI]])+N(tblSafety[[#This Row],[RWI]])+N(tblSafety[[#This Row],[MTI]])</f>
        <v/>
      </c>
    </row>
    <row r="220">
      <c r="A220" s="54" t="n">
        <v>46237</v>
      </c>
      <c r="B220" s="57" t="n"/>
      <c r="C220" s="57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58" t="n"/>
      <c r="R220" s="66">
        <f>IF(AND(tblSafety[[#This Row],[Hours_Employees]]="",tblSafety[[#This Row],[Hours_Contractors]]=""),"",N(tblSafety[[#This Row],[Hours_Employees]])+N(tblSafety[[#This Row],[Hours_Contractors]]))</f>
        <v/>
      </c>
      <c r="S220" s="64">
        <f>N(tblSafety[[#This Row],[Fatality]])+N(tblSafety[[#This Row],[LTI]])+N(tblSafety[[#This Row],[RWI]])+N(tblSafety[[#This Row],[MTI]])</f>
        <v/>
      </c>
    </row>
    <row r="221">
      <c r="A221" s="54" t="n">
        <v>46238</v>
      </c>
      <c r="B221" s="57" t="n"/>
      <c r="C221" s="57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58" t="n"/>
      <c r="R221" s="66">
        <f>IF(AND(tblSafety[[#This Row],[Hours_Employees]]="",tblSafety[[#This Row],[Hours_Contractors]]=""),"",N(tblSafety[[#This Row],[Hours_Employees]])+N(tblSafety[[#This Row],[Hours_Contractors]]))</f>
        <v/>
      </c>
      <c r="S221" s="64">
        <f>N(tblSafety[[#This Row],[Fatality]])+N(tblSafety[[#This Row],[LTI]])+N(tblSafety[[#This Row],[RWI]])+N(tblSafety[[#This Row],[MTI]])</f>
        <v/>
      </c>
    </row>
    <row r="222">
      <c r="A222" s="54" t="n">
        <v>46239</v>
      </c>
      <c r="B222" s="57" t="n"/>
      <c r="C222" s="57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58" t="n"/>
      <c r="R222" s="66">
        <f>IF(AND(tblSafety[[#This Row],[Hours_Employees]]="",tblSafety[[#This Row],[Hours_Contractors]]=""),"",N(tblSafety[[#This Row],[Hours_Employees]])+N(tblSafety[[#This Row],[Hours_Contractors]]))</f>
        <v/>
      </c>
      <c r="S222" s="64">
        <f>N(tblSafety[[#This Row],[Fatality]])+N(tblSafety[[#This Row],[LTI]])+N(tblSafety[[#This Row],[RWI]])+N(tblSafety[[#This Row],[MTI]])</f>
        <v/>
      </c>
    </row>
    <row r="223">
      <c r="A223" s="54" t="n">
        <v>46240</v>
      </c>
      <c r="B223" s="57" t="n"/>
      <c r="C223" s="57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58" t="n"/>
      <c r="R223" s="66">
        <f>IF(AND(tblSafety[[#This Row],[Hours_Employees]]="",tblSafety[[#This Row],[Hours_Contractors]]=""),"",N(tblSafety[[#This Row],[Hours_Employees]])+N(tblSafety[[#This Row],[Hours_Contractors]]))</f>
        <v/>
      </c>
      <c r="S223" s="64">
        <f>N(tblSafety[[#This Row],[Fatality]])+N(tblSafety[[#This Row],[LTI]])+N(tblSafety[[#This Row],[RWI]])+N(tblSafety[[#This Row],[MTI]])</f>
        <v/>
      </c>
    </row>
    <row r="224">
      <c r="A224" s="54" t="n">
        <v>46241</v>
      </c>
      <c r="B224" s="57" t="n"/>
      <c r="C224" s="57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58" t="n"/>
      <c r="R224" s="66">
        <f>IF(AND(tblSafety[[#This Row],[Hours_Employees]]="",tblSafety[[#This Row],[Hours_Contractors]]=""),"",N(tblSafety[[#This Row],[Hours_Employees]])+N(tblSafety[[#This Row],[Hours_Contractors]]))</f>
        <v/>
      </c>
      <c r="S224" s="64">
        <f>N(tblSafety[[#This Row],[Fatality]])+N(tblSafety[[#This Row],[LTI]])+N(tblSafety[[#This Row],[RWI]])+N(tblSafety[[#This Row],[MTI]])</f>
        <v/>
      </c>
    </row>
    <row r="225">
      <c r="A225" s="54" t="n">
        <v>46242</v>
      </c>
      <c r="B225" s="57" t="n"/>
      <c r="C225" s="57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58" t="n"/>
      <c r="R225" s="66">
        <f>IF(AND(tblSafety[[#This Row],[Hours_Employees]]="",tblSafety[[#This Row],[Hours_Contractors]]=""),"",N(tblSafety[[#This Row],[Hours_Employees]])+N(tblSafety[[#This Row],[Hours_Contractors]]))</f>
        <v/>
      </c>
      <c r="S225" s="64">
        <f>N(tblSafety[[#This Row],[Fatality]])+N(tblSafety[[#This Row],[LTI]])+N(tblSafety[[#This Row],[RWI]])+N(tblSafety[[#This Row],[MTI]])</f>
        <v/>
      </c>
    </row>
    <row r="226">
      <c r="A226" s="54" t="n">
        <v>46243</v>
      </c>
      <c r="B226" s="57" t="n"/>
      <c r="C226" s="57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58" t="n"/>
      <c r="R226" s="66">
        <f>IF(AND(tblSafety[[#This Row],[Hours_Employees]]="",tblSafety[[#This Row],[Hours_Contractors]]=""),"",N(tblSafety[[#This Row],[Hours_Employees]])+N(tblSafety[[#This Row],[Hours_Contractors]]))</f>
        <v/>
      </c>
      <c r="S226" s="64">
        <f>N(tblSafety[[#This Row],[Fatality]])+N(tblSafety[[#This Row],[LTI]])+N(tblSafety[[#This Row],[RWI]])+N(tblSafety[[#This Row],[MTI]])</f>
        <v/>
      </c>
    </row>
    <row r="227">
      <c r="A227" s="54" t="n">
        <v>46244</v>
      </c>
      <c r="B227" s="57" t="n"/>
      <c r="C227" s="57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58" t="n"/>
      <c r="R227" s="66">
        <f>IF(AND(tblSafety[[#This Row],[Hours_Employees]]="",tblSafety[[#This Row],[Hours_Contractors]]=""),"",N(tblSafety[[#This Row],[Hours_Employees]])+N(tblSafety[[#This Row],[Hours_Contractors]]))</f>
        <v/>
      </c>
      <c r="S227" s="64">
        <f>N(tblSafety[[#This Row],[Fatality]])+N(tblSafety[[#This Row],[LTI]])+N(tblSafety[[#This Row],[RWI]])+N(tblSafety[[#This Row],[MTI]])</f>
        <v/>
      </c>
    </row>
    <row r="228">
      <c r="A228" s="54" t="n">
        <v>46245</v>
      </c>
      <c r="B228" s="57" t="n"/>
      <c r="C228" s="57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58" t="n"/>
      <c r="R228" s="66">
        <f>IF(AND(tblSafety[[#This Row],[Hours_Employees]]="",tblSafety[[#This Row],[Hours_Contractors]]=""),"",N(tblSafety[[#This Row],[Hours_Employees]])+N(tblSafety[[#This Row],[Hours_Contractors]]))</f>
        <v/>
      </c>
      <c r="S228" s="64">
        <f>N(tblSafety[[#This Row],[Fatality]])+N(tblSafety[[#This Row],[LTI]])+N(tblSafety[[#This Row],[RWI]])+N(tblSafety[[#This Row],[MTI]])</f>
        <v/>
      </c>
    </row>
    <row r="229">
      <c r="A229" s="54" t="n">
        <v>46246</v>
      </c>
      <c r="B229" s="57" t="n"/>
      <c r="C229" s="57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58" t="n"/>
      <c r="R229" s="66">
        <f>IF(AND(tblSafety[[#This Row],[Hours_Employees]]="",tblSafety[[#This Row],[Hours_Contractors]]=""),"",N(tblSafety[[#This Row],[Hours_Employees]])+N(tblSafety[[#This Row],[Hours_Contractors]]))</f>
        <v/>
      </c>
      <c r="S229" s="64">
        <f>N(tblSafety[[#This Row],[Fatality]])+N(tblSafety[[#This Row],[LTI]])+N(tblSafety[[#This Row],[RWI]])+N(tblSafety[[#This Row],[MTI]])</f>
        <v/>
      </c>
    </row>
    <row r="230">
      <c r="A230" s="54" t="n">
        <v>46247</v>
      </c>
      <c r="B230" s="57" t="n"/>
      <c r="C230" s="57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58" t="n"/>
      <c r="R230" s="66">
        <f>IF(AND(tblSafety[[#This Row],[Hours_Employees]]="",tblSafety[[#This Row],[Hours_Contractors]]=""),"",N(tblSafety[[#This Row],[Hours_Employees]])+N(tblSafety[[#This Row],[Hours_Contractors]]))</f>
        <v/>
      </c>
      <c r="S230" s="64">
        <f>N(tblSafety[[#This Row],[Fatality]])+N(tblSafety[[#This Row],[LTI]])+N(tblSafety[[#This Row],[RWI]])+N(tblSafety[[#This Row],[MTI]])</f>
        <v/>
      </c>
    </row>
    <row r="231">
      <c r="A231" s="54" t="n">
        <v>46248</v>
      </c>
      <c r="B231" s="57" t="n"/>
      <c r="C231" s="57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58" t="n"/>
      <c r="R231" s="66">
        <f>IF(AND(tblSafety[[#This Row],[Hours_Employees]]="",tblSafety[[#This Row],[Hours_Contractors]]=""),"",N(tblSafety[[#This Row],[Hours_Employees]])+N(tblSafety[[#This Row],[Hours_Contractors]]))</f>
        <v/>
      </c>
      <c r="S231" s="64">
        <f>N(tblSafety[[#This Row],[Fatality]])+N(tblSafety[[#This Row],[LTI]])+N(tblSafety[[#This Row],[RWI]])+N(tblSafety[[#This Row],[MTI]])</f>
        <v/>
      </c>
    </row>
    <row r="232">
      <c r="A232" s="54" t="n">
        <v>46249</v>
      </c>
      <c r="B232" s="57" t="n"/>
      <c r="C232" s="57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58" t="n"/>
      <c r="R232" s="66">
        <f>IF(AND(tblSafety[[#This Row],[Hours_Employees]]="",tblSafety[[#This Row],[Hours_Contractors]]=""),"",N(tblSafety[[#This Row],[Hours_Employees]])+N(tblSafety[[#This Row],[Hours_Contractors]]))</f>
        <v/>
      </c>
      <c r="S232" s="64">
        <f>N(tblSafety[[#This Row],[Fatality]])+N(tblSafety[[#This Row],[LTI]])+N(tblSafety[[#This Row],[RWI]])+N(tblSafety[[#This Row],[MTI]])</f>
        <v/>
      </c>
    </row>
    <row r="233">
      <c r="A233" s="54" t="n">
        <v>46250</v>
      </c>
      <c r="B233" s="57" t="n"/>
      <c r="C233" s="57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58" t="n"/>
      <c r="R233" s="66">
        <f>IF(AND(tblSafety[[#This Row],[Hours_Employees]]="",tblSafety[[#This Row],[Hours_Contractors]]=""),"",N(tblSafety[[#This Row],[Hours_Employees]])+N(tblSafety[[#This Row],[Hours_Contractors]]))</f>
        <v/>
      </c>
      <c r="S233" s="64">
        <f>N(tblSafety[[#This Row],[Fatality]])+N(tblSafety[[#This Row],[LTI]])+N(tblSafety[[#This Row],[RWI]])+N(tblSafety[[#This Row],[MTI]])</f>
        <v/>
      </c>
    </row>
    <row r="234">
      <c r="A234" s="54" t="n">
        <v>46251</v>
      </c>
      <c r="B234" s="57" t="n"/>
      <c r="C234" s="57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58" t="n"/>
      <c r="R234" s="66">
        <f>IF(AND(tblSafety[[#This Row],[Hours_Employees]]="",tblSafety[[#This Row],[Hours_Contractors]]=""),"",N(tblSafety[[#This Row],[Hours_Employees]])+N(tblSafety[[#This Row],[Hours_Contractors]]))</f>
        <v/>
      </c>
      <c r="S234" s="64">
        <f>N(tblSafety[[#This Row],[Fatality]])+N(tblSafety[[#This Row],[LTI]])+N(tblSafety[[#This Row],[RWI]])+N(tblSafety[[#This Row],[MTI]])</f>
        <v/>
      </c>
    </row>
    <row r="235">
      <c r="A235" s="54" t="n">
        <v>46252</v>
      </c>
      <c r="B235" s="57" t="n"/>
      <c r="C235" s="57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58" t="n"/>
      <c r="R235" s="66">
        <f>IF(AND(tblSafety[[#This Row],[Hours_Employees]]="",tblSafety[[#This Row],[Hours_Contractors]]=""),"",N(tblSafety[[#This Row],[Hours_Employees]])+N(tblSafety[[#This Row],[Hours_Contractors]]))</f>
        <v/>
      </c>
      <c r="S235" s="64">
        <f>N(tblSafety[[#This Row],[Fatality]])+N(tblSafety[[#This Row],[LTI]])+N(tblSafety[[#This Row],[RWI]])+N(tblSafety[[#This Row],[MTI]])</f>
        <v/>
      </c>
    </row>
    <row r="236">
      <c r="A236" s="54" t="n">
        <v>46253</v>
      </c>
      <c r="B236" s="57" t="n"/>
      <c r="C236" s="57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58" t="n"/>
      <c r="R236" s="66">
        <f>IF(AND(tblSafety[[#This Row],[Hours_Employees]]="",tblSafety[[#This Row],[Hours_Contractors]]=""),"",N(tblSafety[[#This Row],[Hours_Employees]])+N(tblSafety[[#This Row],[Hours_Contractors]]))</f>
        <v/>
      </c>
      <c r="S236" s="64">
        <f>N(tblSafety[[#This Row],[Fatality]])+N(tblSafety[[#This Row],[LTI]])+N(tblSafety[[#This Row],[RWI]])+N(tblSafety[[#This Row],[MTI]])</f>
        <v/>
      </c>
    </row>
    <row r="237">
      <c r="A237" s="54" t="n">
        <v>46254</v>
      </c>
      <c r="B237" s="57" t="n"/>
      <c r="C237" s="57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58" t="n"/>
      <c r="R237" s="66">
        <f>IF(AND(tblSafety[[#This Row],[Hours_Employees]]="",tblSafety[[#This Row],[Hours_Contractors]]=""),"",N(tblSafety[[#This Row],[Hours_Employees]])+N(tblSafety[[#This Row],[Hours_Contractors]]))</f>
        <v/>
      </c>
      <c r="S237" s="64">
        <f>N(tblSafety[[#This Row],[Fatality]])+N(tblSafety[[#This Row],[LTI]])+N(tblSafety[[#This Row],[RWI]])+N(tblSafety[[#This Row],[MTI]])</f>
        <v/>
      </c>
    </row>
    <row r="238">
      <c r="A238" s="54" t="n">
        <v>46255</v>
      </c>
      <c r="B238" s="57" t="n"/>
      <c r="C238" s="57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58" t="n"/>
      <c r="R238" s="66">
        <f>IF(AND(tblSafety[[#This Row],[Hours_Employees]]="",tblSafety[[#This Row],[Hours_Contractors]]=""),"",N(tblSafety[[#This Row],[Hours_Employees]])+N(tblSafety[[#This Row],[Hours_Contractors]]))</f>
        <v/>
      </c>
      <c r="S238" s="64">
        <f>N(tblSafety[[#This Row],[Fatality]])+N(tblSafety[[#This Row],[LTI]])+N(tblSafety[[#This Row],[RWI]])+N(tblSafety[[#This Row],[MTI]])</f>
        <v/>
      </c>
    </row>
    <row r="239">
      <c r="A239" s="54" t="n">
        <v>46256</v>
      </c>
      <c r="B239" s="57" t="n"/>
      <c r="C239" s="57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58" t="n"/>
      <c r="R239" s="66">
        <f>IF(AND(tblSafety[[#This Row],[Hours_Employees]]="",tblSafety[[#This Row],[Hours_Contractors]]=""),"",N(tblSafety[[#This Row],[Hours_Employees]])+N(tblSafety[[#This Row],[Hours_Contractors]]))</f>
        <v/>
      </c>
      <c r="S239" s="64">
        <f>N(tblSafety[[#This Row],[Fatality]])+N(tblSafety[[#This Row],[LTI]])+N(tblSafety[[#This Row],[RWI]])+N(tblSafety[[#This Row],[MTI]])</f>
        <v/>
      </c>
    </row>
    <row r="240">
      <c r="A240" s="54" t="n">
        <v>46257</v>
      </c>
      <c r="B240" s="57" t="n"/>
      <c r="C240" s="57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58" t="n"/>
      <c r="R240" s="66">
        <f>IF(AND(tblSafety[[#This Row],[Hours_Employees]]="",tblSafety[[#This Row],[Hours_Contractors]]=""),"",N(tblSafety[[#This Row],[Hours_Employees]])+N(tblSafety[[#This Row],[Hours_Contractors]]))</f>
        <v/>
      </c>
      <c r="S240" s="64">
        <f>N(tblSafety[[#This Row],[Fatality]])+N(tblSafety[[#This Row],[LTI]])+N(tblSafety[[#This Row],[RWI]])+N(tblSafety[[#This Row],[MTI]])</f>
        <v/>
      </c>
    </row>
    <row r="241">
      <c r="A241" s="54" t="n">
        <v>46258</v>
      </c>
      <c r="B241" s="57" t="n"/>
      <c r="C241" s="57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58" t="n"/>
      <c r="R241" s="66">
        <f>IF(AND(tblSafety[[#This Row],[Hours_Employees]]="",tblSafety[[#This Row],[Hours_Contractors]]=""),"",N(tblSafety[[#This Row],[Hours_Employees]])+N(tblSafety[[#This Row],[Hours_Contractors]]))</f>
        <v/>
      </c>
      <c r="S241" s="64">
        <f>N(tblSafety[[#This Row],[Fatality]])+N(tblSafety[[#This Row],[LTI]])+N(tblSafety[[#This Row],[RWI]])+N(tblSafety[[#This Row],[MTI]])</f>
        <v/>
      </c>
    </row>
    <row r="242">
      <c r="A242" s="54" t="n">
        <v>46259</v>
      </c>
      <c r="B242" s="57" t="n"/>
      <c r="C242" s="57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58" t="n"/>
      <c r="R242" s="66">
        <f>IF(AND(tblSafety[[#This Row],[Hours_Employees]]="",tblSafety[[#This Row],[Hours_Contractors]]=""),"",N(tblSafety[[#This Row],[Hours_Employees]])+N(tblSafety[[#This Row],[Hours_Contractors]]))</f>
        <v/>
      </c>
      <c r="S242" s="64">
        <f>N(tblSafety[[#This Row],[Fatality]])+N(tblSafety[[#This Row],[LTI]])+N(tblSafety[[#This Row],[RWI]])+N(tblSafety[[#This Row],[MTI]])</f>
        <v/>
      </c>
    </row>
    <row r="243">
      <c r="A243" s="54" t="n">
        <v>46260</v>
      </c>
      <c r="B243" s="57" t="n"/>
      <c r="C243" s="57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58" t="n"/>
      <c r="R243" s="66">
        <f>IF(AND(tblSafety[[#This Row],[Hours_Employees]]="",tblSafety[[#This Row],[Hours_Contractors]]=""),"",N(tblSafety[[#This Row],[Hours_Employees]])+N(tblSafety[[#This Row],[Hours_Contractors]]))</f>
        <v/>
      </c>
      <c r="S243" s="64">
        <f>N(tblSafety[[#This Row],[Fatality]])+N(tblSafety[[#This Row],[LTI]])+N(tblSafety[[#This Row],[RWI]])+N(tblSafety[[#This Row],[MTI]])</f>
        <v/>
      </c>
    </row>
    <row r="244">
      <c r="A244" s="54" t="n">
        <v>46261</v>
      </c>
      <c r="B244" s="57" t="n"/>
      <c r="C244" s="57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58" t="n"/>
      <c r="R244" s="66">
        <f>IF(AND(tblSafety[[#This Row],[Hours_Employees]]="",tblSafety[[#This Row],[Hours_Contractors]]=""),"",N(tblSafety[[#This Row],[Hours_Employees]])+N(tblSafety[[#This Row],[Hours_Contractors]]))</f>
        <v/>
      </c>
      <c r="S244" s="64">
        <f>N(tblSafety[[#This Row],[Fatality]])+N(tblSafety[[#This Row],[LTI]])+N(tblSafety[[#This Row],[RWI]])+N(tblSafety[[#This Row],[MTI]])</f>
        <v/>
      </c>
    </row>
    <row r="245">
      <c r="A245" s="54" t="n">
        <v>46262</v>
      </c>
      <c r="B245" s="57" t="n"/>
      <c r="C245" s="57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58" t="n"/>
      <c r="R245" s="66">
        <f>IF(AND(tblSafety[[#This Row],[Hours_Employees]]="",tblSafety[[#This Row],[Hours_Contractors]]=""),"",N(tblSafety[[#This Row],[Hours_Employees]])+N(tblSafety[[#This Row],[Hours_Contractors]]))</f>
        <v/>
      </c>
      <c r="S245" s="64">
        <f>N(tblSafety[[#This Row],[Fatality]])+N(tblSafety[[#This Row],[LTI]])+N(tblSafety[[#This Row],[RWI]])+N(tblSafety[[#This Row],[MTI]])</f>
        <v/>
      </c>
    </row>
    <row r="246">
      <c r="A246" s="54" t="n">
        <v>46263</v>
      </c>
      <c r="B246" s="57" t="n"/>
      <c r="C246" s="57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58" t="n"/>
      <c r="R246" s="66">
        <f>IF(AND(tblSafety[[#This Row],[Hours_Employees]]="",tblSafety[[#This Row],[Hours_Contractors]]=""),"",N(tblSafety[[#This Row],[Hours_Employees]])+N(tblSafety[[#This Row],[Hours_Contractors]]))</f>
        <v/>
      </c>
      <c r="S246" s="64">
        <f>N(tblSafety[[#This Row],[Fatality]])+N(tblSafety[[#This Row],[LTI]])+N(tblSafety[[#This Row],[RWI]])+N(tblSafety[[#This Row],[MTI]])</f>
        <v/>
      </c>
    </row>
    <row r="247">
      <c r="A247" s="54" t="n">
        <v>46264</v>
      </c>
      <c r="B247" s="57" t="n"/>
      <c r="C247" s="57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58" t="n"/>
      <c r="R247" s="66">
        <f>IF(AND(tblSafety[[#This Row],[Hours_Employees]]="",tblSafety[[#This Row],[Hours_Contractors]]=""),"",N(tblSafety[[#This Row],[Hours_Employees]])+N(tblSafety[[#This Row],[Hours_Contractors]]))</f>
        <v/>
      </c>
      <c r="S247" s="64">
        <f>N(tblSafety[[#This Row],[Fatality]])+N(tblSafety[[#This Row],[LTI]])+N(tblSafety[[#This Row],[RWI]])+N(tblSafety[[#This Row],[MTI]])</f>
        <v/>
      </c>
    </row>
    <row r="248">
      <c r="A248" s="54" t="n">
        <v>46265</v>
      </c>
      <c r="B248" s="57" t="n"/>
      <c r="C248" s="57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58" t="n"/>
      <c r="R248" s="66">
        <f>IF(AND(tblSafety[[#This Row],[Hours_Employees]]="",tblSafety[[#This Row],[Hours_Contractors]]=""),"",N(tblSafety[[#This Row],[Hours_Employees]])+N(tblSafety[[#This Row],[Hours_Contractors]]))</f>
        <v/>
      </c>
      <c r="S248" s="64">
        <f>N(tblSafety[[#This Row],[Fatality]])+N(tblSafety[[#This Row],[LTI]])+N(tblSafety[[#This Row],[RWI]])+N(tblSafety[[#This Row],[MTI]])</f>
        <v/>
      </c>
    </row>
    <row r="249">
      <c r="A249" s="54" t="n">
        <v>46266</v>
      </c>
      <c r="B249" s="57" t="n"/>
      <c r="C249" s="57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58" t="n"/>
      <c r="R249" s="66">
        <f>IF(AND(tblSafety[[#This Row],[Hours_Employees]]="",tblSafety[[#This Row],[Hours_Contractors]]=""),"",N(tblSafety[[#This Row],[Hours_Employees]])+N(tblSafety[[#This Row],[Hours_Contractors]]))</f>
        <v/>
      </c>
      <c r="S249" s="64">
        <f>N(tblSafety[[#This Row],[Fatality]])+N(tblSafety[[#This Row],[LTI]])+N(tblSafety[[#This Row],[RWI]])+N(tblSafety[[#This Row],[MTI]])</f>
        <v/>
      </c>
    </row>
    <row r="250">
      <c r="A250" s="54" t="n">
        <v>46267</v>
      </c>
      <c r="B250" s="57" t="n"/>
      <c r="C250" s="57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58" t="n"/>
      <c r="R250" s="66">
        <f>IF(AND(tblSafety[[#This Row],[Hours_Employees]]="",tblSafety[[#This Row],[Hours_Contractors]]=""),"",N(tblSafety[[#This Row],[Hours_Employees]])+N(tblSafety[[#This Row],[Hours_Contractors]]))</f>
        <v/>
      </c>
      <c r="S250" s="64">
        <f>N(tblSafety[[#This Row],[Fatality]])+N(tblSafety[[#This Row],[LTI]])+N(tblSafety[[#This Row],[RWI]])+N(tblSafety[[#This Row],[MTI]])</f>
        <v/>
      </c>
    </row>
    <row r="251">
      <c r="A251" s="54" t="n">
        <v>46268</v>
      </c>
      <c r="B251" s="57" t="n"/>
      <c r="C251" s="57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58" t="n"/>
      <c r="R251" s="66">
        <f>IF(AND(tblSafety[[#This Row],[Hours_Employees]]="",tblSafety[[#This Row],[Hours_Contractors]]=""),"",N(tblSafety[[#This Row],[Hours_Employees]])+N(tblSafety[[#This Row],[Hours_Contractors]]))</f>
        <v/>
      </c>
      <c r="S251" s="64">
        <f>N(tblSafety[[#This Row],[Fatality]])+N(tblSafety[[#This Row],[LTI]])+N(tblSafety[[#This Row],[RWI]])+N(tblSafety[[#This Row],[MTI]])</f>
        <v/>
      </c>
    </row>
    <row r="252">
      <c r="A252" s="54" t="n">
        <v>46269</v>
      </c>
      <c r="B252" s="57" t="n"/>
      <c r="C252" s="57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58" t="n"/>
      <c r="R252" s="66">
        <f>IF(AND(tblSafety[[#This Row],[Hours_Employees]]="",tblSafety[[#This Row],[Hours_Contractors]]=""),"",N(tblSafety[[#This Row],[Hours_Employees]])+N(tblSafety[[#This Row],[Hours_Contractors]]))</f>
        <v/>
      </c>
      <c r="S252" s="64">
        <f>N(tblSafety[[#This Row],[Fatality]])+N(tblSafety[[#This Row],[LTI]])+N(tblSafety[[#This Row],[RWI]])+N(tblSafety[[#This Row],[MTI]])</f>
        <v/>
      </c>
    </row>
    <row r="253">
      <c r="A253" s="54" t="n">
        <v>46270</v>
      </c>
      <c r="B253" s="57" t="n"/>
      <c r="C253" s="57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58" t="n"/>
      <c r="R253" s="66">
        <f>IF(AND(tblSafety[[#This Row],[Hours_Employees]]="",tblSafety[[#This Row],[Hours_Contractors]]=""),"",N(tblSafety[[#This Row],[Hours_Employees]])+N(tblSafety[[#This Row],[Hours_Contractors]]))</f>
        <v/>
      </c>
      <c r="S253" s="64">
        <f>N(tblSafety[[#This Row],[Fatality]])+N(tblSafety[[#This Row],[LTI]])+N(tblSafety[[#This Row],[RWI]])+N(tblSafety[[#This Row],[MTI]])</f>
        <v/>
      </c>
    </row>
    <row r="254">
      <c r="A254" s="54" t="n">
        <v>46271</v>
      </c>
      <c r="B254" s="57" t="n"/>
      <c r="C254" s="57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58" t="n"/>
      <c r="R254" s="66">
        <f>IF(AND(tblSafety[[#This Row],[Hours_Employees]]="",tblSafety[[#This Row],[Hours_Contractors]]=""),"",N(tblSafety[[#This Row],[Hours_Employees]])+N(tblSafety[[#This Row],[Hours_Contractors]]))</f>
        <v/>
      </c>
      <c r="S254" s="64">
        <f>N(tblSafety[[#This Row],[Fatality]])+N(tblSafety[[#This Row],[LTI]])+N(tblSafety[[#This Row],[RWI]])+N(tblSafety[[#This Row],[MTI]])</f>
        <v/>
      </c>
    </row>
    <row r="255">
      <c r="A255" s="54" t="n">
        <v>46272</v>
      </c>
      <c r="B255" s="57" t="n"/>
      <c r="C255" s="57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58" t="n"/>
      <c r="R255" s="66">
        <f>IF(AND(tblSafety[[#This Row],[Hours_Employees]]="",tblSafety[[#This Row],[Hours_Contractors]]=""),"",N(tblSafety[[#This Row],[Hours_Employees]])+N(tblSafety[[#This Row],[Hours_Contractors]]))</f>
        <v/>
      </c>
      <c r="S255" s="64">
        <f>N(tblSafety[[#This Row],[Fatality]])+N(tblSafety[[#This Row],[LTI]])+N(tblSafety[[#This Row],[RWI]])+N(tblSafety[[#This Row],[MTI]])</f>
        <v/>
      </c>
    </row>
    <row r="256">
      <c r="A256" s="54" t="n">
        <v>46273</v>
      </c>
      <c r="B256" s="57" t="n"/>
      <c r="C256" s="57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58" t="n"/>
      <c r="R256" s="66">
        <f>IF(AND(tblSafety[[#This Row],[Hours_Employees]]="",tblSafety[[#This Row],[Hours_Contractors]]=""),"",N(tblSafety[[#This Row],[Hours_Employees]])+N(tblSafety[[#This Row],[Hours_Contractors]]))</f>
        <v/>
      </c>
      <c r="S256" s="64">
        <f>N(tblSafety[[#This Row],[Fatality]])+N(tblSafety[[#This Row],[LTI]])+N(tblSafety[[#This Row],[RWI]])+N(tblSafety[[#This Row],[MTI]])</f>
        <v/>
      </c>
    </row>
    <row r="257">
      <c r="A257" s="54" t="n">
        <v>46274</v>
      </c>
      <c r="B257" s="57" t="n"/>
      <c r="C257" s="57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58" t="n"/>
      <c r="R257" s="66">
        <f>IF(AND(tblSafety[[#This Row],[Hours_Employees]]="",tblSafety[[#This Row],[Hours_Contractors]]=""),"",N(tblSafety[[#This Row],[Hours_Employees]])+N(tblSafety[[#This Row],[Hours_Contractors]]))</f>
        <v/>
      </c>
      <c r="S257" s="64">
        <f>N(tblSafety[[#This Row],[Fatality]])+N(tblSafety[[#This Row],[LTI]])+N(tblSafety[[#This Row],[RWI]])+N(tblSafety[[#This Row],[MTI]])</f>
        <v/>
      </c>
    </row>
    <row r="258">
      <c r="A258" s="54" t="n">
        <v>46275</v>
      </c>
      <c r="B258" s="57" t="n"/>
      <c r="C258" s="57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58" t="n"/>
      <c r="R258" s="66">
        <f>IF(AND(tblSafety[[#This Row],[Hours_Employees]]="",tblSafety[[#This Row],[Hours_Contractors]]=""),"",N(tblSafety[[#This Row],[Hours_Employees]])+N(tblSafety[[#This Row],[Hours_Contractors]]))</f>
        <v/>
      </c>
      <c r="S258" s="64">
        <f>N(tblSafety[[#This Row],[Fatality]])+N(tblSafety[[#This Row],[LTI]])+N(tblSafety[[#This Row],[RWI]])+N(tblSafety[[#This Row],[MTI]])</f>
        <v/>
      </c>
    </row>
    <row r="259">
      <c r="A259" s="54" t="n">
        <v>46276</v>
      </c>
      <c r="B259" s="57" t="n"/>
      <c r="C259" s="57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58" t="n"/>
      <c r="R259" s="66">
        <f>IF(AND(tblSafety[[#This Row],[Hours_Employees]]="",tblSafety[[#This Row],[Hours_Contractors]]=""),"",N(tblSafety[[#This Row],[Hours_Employees]])+N(tblSafety[[#This Row],[Hours_Contractors]]))</f>
        <v/>
      </c>
      <c r="S259" s="64">
        <f>N(tblSafety[[#This Row],[Fatality]])+N(tblSafety[[#This Row],[LTI]])+N(tblSafety[[#This Row],[RWI]])+N(tblSafety[[#This Row],[MTI]])</f>
        <v/>
      </c>
    </row>
    <row r="260">
      <c r="A260" s="54" t="n">
        <v>46277</v>
      </c>
      <c r="B260" s="57" t="n"/>
      <c r="C260" s="57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58" t="n"/>
      <c r="R260" s="66">
        <f>IF(AND(tblSafety[[#This Row],[Hours_Employees]]="",tblSafety[[#This Row],[Hours_Contractors]]=""),"",N(tblSafety[[#This Row],[Hours_Employees]])+N(tblSafety[[#This Row],[Hours_Contractors]]))</f>
        <v/>
      </c>
      <c r="S260" s="64">
        <f>N(tblSafety[[#This Row],[Fatality]])+N(tblSafety[[#This Row],[LTI]])+N(tblSafety[[#This Row],[RWI]])+N(tblSafety[[#This Row],[MTI]])</f>
        <v/>
      </c>
    </row>
    <row r="261">
      <c r="A261" s="54" t="n">
        <v>46278</v>
      </c>
      <c r="B261" s="57" t="n"/>
      <c r="C261" s="57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58" t="n"/>
      <c r="R261" s="66">
        <f>IF(AND(tblSafety[[#This Row],[Hours_Employees]]="",tblSafety[[#This Row],[Hours_Contractors]]=""),"",N(tblSafety[[#This Row],[Hours_Employees]])+N(tblSafety[[#This Row],[Hours_Contractors]]))</f>
        <v/>
      </c>
      <c r="S261" s="64">
        <f>N(tblSafety[[#This Row],[Fatality]])+N(tblSafety[[#This Row],[LTI]])+N(tblSafety[[#This Row],[RWI]])+N(tblSafety[[#This Row],[MTI]])</f>
        <v/>
      </c>
    </row>
    <row r="262">
      <c r="A262" s="54" t="n">
        <v>46279</v>
      </c>
      <c r="B262" s="57" t="n"/>
      <c r="C262" s="57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58" t="n"/>
      <c r="R262" s="66">
        <f>IF(AND(tblSafety[[#This Row],[Hours_Employees]]="",tblSafety[[#This Row],[Hours_Contractors]]=""),"",N(tblSafety[[#This Row],[Hours_Employees]])+N(tblSafety[[#This Row],[Hours_Contractors]]))</f>
        <v/>
      </c>
      <c r="S262" s="64">
        <f>N(tblSafety[[#This Row],[Fatality]])+N(tblSafety[[#This Row],[LTI]])+N(tblSafety[[#This Row],[RWI]])+N(tblSafety[[#This Row],[MTI]])</f>
        <v/>
      </c>
    </row>
    <row r="263">
      <c r="A263" s="54" t="n">
        <v>46280</v>
      </c>
      <c r="B263" s="57" t="n"/>
      <c r="C263" s="57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58" t="n"/>
      <c r="R263" s="66">
        <f>IF(AND(tblSafety[[#This Row],[Hours_Employees]]="",tblSafety[[#This Row],[Hours_Contractors]]=""),"",N(tblSafety[[#This Row],[Hours_Employees]])+N(tblSafety[[#This Row],[Hours_Contractors]]))</f>
        <v/>
      </c>
      <c r="S263" s="64">
        <f>N(tblSafety[[#This Row],[Fatality]])+N(tblSafety[[#This Row],[LTI]])+N(tblSafety[[#This Row],[RWI]])+N(tblSafety[[#This Row],[MTI]])</f>
        <v/>
      </c>
    </row>
    <row r="264">
      <c r="A264" s="54" t="n">
        <v>46281</v>
      </c>
      <c r="B264" s="57" t="n"/>
      <c r="C264" s="57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58" t="n"/>
      <c r="R264" s="66">
        <f>IF(AND(tblSafety[[#This Row],[Hours_Employees]]="",tblSafety[[#This Row],[Hours_Contractors]]=""),"",N(tblSafety[[#This Row],[Hours_Employees]])+N(tblSafety[[#This Row],[Hours_Contractors]]))</f>
        <v/>
      </c>
      <c r="S264" s="64">
        <f>N(tblSafety[[#This Row],[Fatality]])+N(tblSafety[[#This Row],[LTI]])+N(tblSafety[[#This Row],[RWI]])+N(tblSafety[[#This Row],[MTI]])</f>
        <v/>
      </c>
    </row>
    <row r="265">
      <c r="A265" s="54" t="n">
        <v>46282</v>
      </c>
      <c r="B265" s="57" t="n"/>
      <c r="C265" s="57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58" t="n"/>
      <c r="R265" s="66">
        <f>IF(AND(tblSafety[[#This Row],[Hours_Employees]]="",tblSafety[[#This Row],[Hours_Contractors]]=""),"",N(tblSafety[[#This Row],[Hours_Employees]])+N(tblSafety[[#This Row],[Hours_Contractors]]))</f>
        <v/>
      </c>
      <c r="S265" s="64">
        <f>N(tblSafety[[#This Row],[Fatality]])+N(tblSafety[[#This Row],[LTI]])+N(tblSafety[[#This Row],[RWI]])+N(tblSafety[[#This Row],[MTI]])</f>
        <v/>
      </c>
    </row>
    <row r="266">
      <c r="A266" s="54" t="n">
        <v>46283</v>
      </c>
      <c r="B266" s="57" t="n"/>
      <c r="C266" s="57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58" t="n"/>
      <c r="R266" s="66">
        <f>IF(AND(tblSafety[[#This Row],[Hours_Employees]]="",tblSafety[[#This Row],[Hours_Contractors]]=""),"",N(tblSafety[[#This Row],[Hours_Employees]])+N(tblSafety[[#This Row],[Hours_Contractors]]))</f>
        <v/>
      </c>
      <c r="S266" s="64">
        <f>N(tblSafety[[#This Row],[Fatality]])+N(tblSafety[[#This Row],[LTI]])+N(tblSafety[[#This Row],[RWI]])+N(tblSafety[[#This Row],[MTI]])</f>
        <v/>
      </c>
    </row>
    <row r="267">
      <c r="A267" s="54" t="n">
        <v>46284</v>
      </c>
      <c r="B267" s="57" t="n"/>
      <c r="C267" s="57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58" t="n"/>
      <c r="R267" s="66">
        <f>IF(AND(tblSafety[[#This Row],[Hours_Employees]]="",tblSafety[[#This Row],[Hours_Contractors]]=""),"",N(tblSafety[[#This Row],[Hours_Employees]])+N(tblSafety[[#This Row],[Hours_Contractors]]))</f>
        <v/>
      </c>
      <c r="S267" s="64">
        <f>N(tblSafety[[#This Row],[Fatality]])+N(tblSafety[[#This Row],[LTI]])+N(tblSafety[[#This Row],[RWI]])+N(tblSafety[[#This Row],[MTI]])</f>
        <v/>
      </c>
    </row>
    <row r="268">
      <c r="A268" s="54" t="n">
        <v>46285</v>
      </c>
      <c r="B268" s="57" t="n"/>
      <c r="C268" s="57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58" t="n"/>
      <c r="R268" s="66">
        <f>IF(AND(tblSafety[[#This Row],[Hours_Employees]]="",tblSafety[[#This Row],[Hours_Contractors]]=""),"",N(tblSafety[[#This Row],[Hours_Employees]])+N(tblSafety[[#This Row],[Hours_Contractors]]))</f>
        <v/>
      </c>
      <c r="S268" s="64">
        <f>N(tblSafety[[#This Row],[Fatality]])+N(tblSafety[[#This Row],[LTI]])+N(tblSafety[[#This Row],[RWI]])+N(tblSafety[[#This Row],[MTI]])</f>
        <v/>
      </c>
    </row>
    <row r="269">
      <c r="A269" s="54" t="n">
        <v>46286</v>
      </c>
      <c r="B269" s="57" t="n"/>
      <c r="C269" s="57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58" t="n"/>
      <c r="R269" s="66">
        <f>IF(AND(tblSafety[[#This Row],[Hours_Employees]]="",tblSafety[[#This Row],[Hours_Contractors]]=""),"",N(tblSafety[[#This Row],[Hours_Employees]])+N(tblSafety[[#This Row],[Hours_Contractors]]))</f>
        <v/>
      </c>
      <c r="S269" s="64">
        <f>N(tblSafety[[#This Row],[Fatality]])+N(tblSafety[[#This Row],[LTI]])+N(tblSafety[[#This Row],[RWI]])+N(tblSafety[[#This Row],[MTI]])</f>
        <v/>
      </c>
    </row>
    <row r="270">
      <c r="A270" s="54" t="n">
        <v>46287</v>
      </c>
      <c r="B270" s="57" t="n"/>
      <c r="C270" s="57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58" t="n"/>
      <c r="R270" s="66">
        <f>IF(AND(tblSafety[[#This Row],[Hours_Employees]]="",tblSafety[[#This Row],[Hours_Contractors]]=""),"",N(tblSafety[[#This Row],[Hours_Employees]])+N(tblSafety[[#This Row],[Hours_Contractors]]))</f>
        <v/>
      </c>
      <c r="S270" s="64">
        <f>N(tblSafety[[#This Row],[Fatality]])+N(tblSafety[[#This Row],[LTI]])+N(tblSafety[[#This Row],[RWI]])+N(tblSafety[[#This Row],[MTI]])</f>
        <v/>
      </c>
    </row>
    <row r="271">
      <c r="A271" s="54" t="n">
        <v>46288</v>
      </c>
      <c r="B271" s="57" t="n"/>
      <c r="C271" s="57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58" t="n"/>
      <c r="R271" s="66">
        <f>IF(AND(tblSafety[[#This Row],[Hours_Employees]]="",tblSafety[[#This Row],[Hours_Contractors]]=""),"",N(tblSafety[[#This Row],[Hours_Employees]])+N(tblSafety[[#This Row],[Hours_Contractors]]))</f>
        <v/>
      </c>
      <c r="S271" s="64">
        <f>N(tblSafety[[#This Row],[Fatality]])+N(tblSafety[[#This Row],[LTI]])+N(tblSafety[[#This Row],[RWI]])+N(tblSafety[[#This Row],[MTI]])</f>
        <v/>
      </c>
    </row>
    <row r="272">
      <c r="A272" s="54" t="n">
        <v>46289</v>
      </c>
      <c r="B272" s="57" t="n"/>
      <c r="C272" s="57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58" t="n"/>
      <c r="R272" s="66">
        <f>IF(AND(tblSafety[[#This Row],[Hours_Employees]]="",tblSafety[[#This Row],[Hours_Contractors]]=""),"",N(tblSafety[[#This Row],[Hours_Employees]])+N(tblSafety[[#This Row],[Hours_Contractors]]))</f>
        <v/>
      </c>
      <c r="S272" s="64">
        <f>N(tblSafety[[#This Row],[Fatality]])+N(tblSafety[[#This Row],[LTI]])+N(tblSafety[[#This Row],[RWI]])+N(tblSafety[[#This Row],[MTI]])</f>
        <v/>
      </c>
    </row>
    <row r="273">
      <c r="A273" s="54" t="n">
        <v>46290</v>
      </c>
      <c r="B273" s="57" t="n"/>
      <c r="C273" s="57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58" t="n"/>
      <c r="R273" s="66">
        <f>IF(AND(tblSafety[[#This Row],[Hours_Employees]]="",tblSafety[[#This Row],[Hours_Contractors]]=""),"",N(tblSafety[[#This Row],[Hours_Employees]])+N(tblSafety[[#This Row],[Hours_Contractors]]))</f>
        <v/>
      </c>
      <c r="S273" s="64">
        <f>N(tblSafety[[#This Row],[Fatality]])+N(tblSafety[[#This Row],[LTI]])+N(tblSafety[[#This Row],[RWI]])+N(tblSafety[[#This Row],[MTI]])</f>
        <v/>
      </c>
    </row>
    <row r="274">
      <c r="A274" s="54" t="n">
        <v>46291</v>
      </c>
      <c r="B274" s="57" t="n"/>
      <c r="C274" s="57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58" t="n"/>
      <c r="R274" s="66">
        <f>IF(AND(tblSafety[[#This Row],[Hours_Employees]]="",tblSafety[[#This Row],[Hours_Contractors]]=""),"",N(tblSafety[[#This Row],[Hours_Employees]])+N(tblSafety[[#This Row],[Hours_Contractors]]))</f>
        <v/>
      </c>
      <c r="S274" s="64">
        <f>N(tblSafety[[#This Row],[Fatality]])+N(tblSafety[[#This Row],[LTI]])+N(tblSafety[[#This Row],[RWI]])+N(tblSafety[[#This Row],[MTI]])</f>
        <v/>
      </c>
    </row>
    <row r="275">
      <c r="A275" s="54" t="n">
        <v>46292</v>
      </c>
      <c r="B275" s="57" t="n"/>
      <c r="C275" s="57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58" t="n"/>
      <c r="R275" s="66">
        <f>IF(AND(tblSafety[[#This Row],[Hours_Employees]]="",tblSafety[[#This Row],[Hours_Contractors]]=""),"",N(tblSafety[[#This Row],[Hours_Employees]])+N(tblSafety[[#This Row],[Hours_Contractors]]))</f>
        <v/>
      </c>
      <c r="S275" s="64">
        <f>N(tblSafety[[#This Row],[Fatality]])+N(tblSafety[[#This Row],[LTI]])+N(tblSafety[[#This Row],[RWI]])+N(tblSafety[[#This Row],[MTI]])</f>
        <v/>
      </c>
    </row>
    <row r="276">
      <c r="A276" s="54" t="n">
        <v>46293</v>
      </c>
      <c r="B276" s="57" t="n"/>
      <c r="C276" s="57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58" t="n"/>
      <c r="R276" s="66">
        <f>IF(AND(tblSafety[[#This Row],[Hours_Employees]]="",tblSafety[[#This Row],[Hours_Contractors]]=""),"",N(tblSafety[[#This Row],[Hours_Employees]])+N(tblSafety[[#This Row],[Hours_Contractors]]))</f>
        <v/>
      </c>
      <c r="S276" s="64">
        <f>N(tblSafety[[#This Row],[Fatality]])+N(tblSafety[[#This Row],[LTI]])+N(tblSafety[[#This Row],[RWI]])+N(tblSafety[[#This Row],[MTI]])</f>
        <v/>
      </c>
    </row>
    <row r="277">
      <c r="A277" s="54" t="n">
        <v>46294</v>
      </c>
      <c r="B277" s="57" t="n"/>
      <c r="C277" s="57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58" t="n"/>
      <c r="R277" s="66">
        <f>IF(AND(tblSafety[[#This Row],[Hours_Employees]]="",tblSafety[[#This Row],[Hours_Contractors]]=""),"",N(tblSafety[[#This Row],[Hours_Employees]])+N(tblSafety[[#This Row],[Hours_Contractors]]))</f>
        <v/>
      </c>
      <c r="S277" s="64">
        <f>N(tblSafety[[#This Row],[Fatality]])+N(tblSafety[[#This Row],[LTI]])+N(tblSafety[[#This Row],[RWI]])+N(tblSafety[[#This Row],[MTI]])</f>
        <v/>
      </c>
    </row>
    <row r="278">
      <c r="A278" s="54" t="n">
        <v>46295</v>
      </c>
      <c r="B278" s="57" t="n"/>
      <c r="C278" s="57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58" t="n"/>
      <c r="R278" s="66">
        <f>IF(AND(tblSafety[[#This Row],[Hours_Employees]]="",tblSafety[[#This Row],[Hours_Contractors]]=""),"",N(tblSafety[[#This Row],[Hours_Employees]])+N(tblSafety[[#This Row],[Hours_Contractors]]))</f>
        <v/>
      </c>
      <c r="S278" s="64">
        <f>N(tblSafety[[#This Row],[Fatality]])+N(tblSafety[[#This Row],[LTI]])+N(tblSafety[[#This Row],[RWI]])+N(tblSafety[[#This Row],[MTI]])</f>
        <v/>
      </c>
    </row>
    <row r="279">
      <c r="A279" s="54" t="n">
        <v>46296</v>
      </c>
      <c r="B279" s="57" t="n"/>
      <c r="C279" s="57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58" t="n"/>
      <c r="R279" s="66">
        <f>IF(AND(tblSafety[[#This Row],[Hours_Employees]]="",tblSafety[[#This Row],[Hours_Contractors]]=""),"",N(tblSafety[[#This Row],[Hours_Employees]])+N(tblSafety[[#This Row],[Hours_Contractors]]))</f>
        <v/>
      </c>
      <c r="S279" s="64">
        <f>N(tblSafety[[#This Row],[Fatality]])+N(tblSafety[[#This Row],[LTI]])+N(tblSafety[[#This Row],[RWI]])+N(tblSafety[[#This Row],[MTI]])</f>
        <v/>
      </c>
    </row>
    <row r="280">
      <c r="A280" s="54" t="n">
        <v>46297</v>
      </c>
      <c r="B280" s="57" t="n"/>
      <c r="C280" s="57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58" t="n"/>
      <c r="R280" s="66">
        <f>IF(AND(tblSafety[[#This Row],[Hours_Employees]]="",tblSafety[[#This Row],[Hours_Contractors]]=""),"",N(tblSafety[[#This Row],[Hours_Employees]])+N(tblSafety[[#This Row],[Hours_Contractors]]))</f>
        <v/>
      </c>
      <c r="S280" s="64">
        <f>N(tblSafety[[#This Row],[Fatality]])+N(tblSafety[[#This Row],[LTI]])+N(tblSafety[[#This Row],[RWI]])+N(tblSafety[[#This Row],[MTI]])</f>
        <v/>
      </c>
    </row>
    <row r="281">
      <c r="A281" s="54" t="n">
        <v>46298</v>
      </c>
      <c r="B281" s="57" t="n"/>
      <c r="C281" s="57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58" t="n"/>
      <c r="R281" s="66">
        <f>IF(AND(tblSafety[[#This Row],[Hours_Employees]]="",tblSafety[[#This Row],[Hours_Contractors]]=""),"",N(tblSafety[[#This Row],[Hours_Employees]])+N(tblSafety[[#This Row],[Hours_Contractors]]))</f>
        <v/>
      </c>
      <c r="S281" s="64">
        <f>N(tblSafety[[#This Row],[Fatality]])+N(tblSafety[[#This Row],[LTI]])+N(tblSafety[[#This Row],[RWI]])+N(tblSafety[[#This Row],[MTI]])</f>
        <v/>
      </c>
    </row>
    <row r="282">
      <c r="A282" s="54" t="n">
        <v>46299</v>
      </c>
      <c r="B282" s="57" t="n"/>
      <c r="C282" s="57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58" t="n"/>
      <c r="R282" s="66">
        <f>IF(AND(tblSafety[[#This Row],[Hours_Employees]]="",tblSafety[[#This Row],[Hours_Contractors]]=""),"",N(tblSafety[[#This Row],[Hours_Employees]])+N(tblSafety[[#This Row],[Hours_Contractors]]))</f>
        <v/>
      </c>
      <c r="S282" s="64">
        <f>N(tblSafety[[#This Row],[Fatality]])+N(tblSafety[[#This Row],[LTI]])+N(tblSafety[[#This Row],[RWI]])+N(tblSafety[[#This Row],[MTI]])</f>
        <v/>
      </c>
    </row>
    <row r="283">
      <c r="A283" s="54" t="n">
        <v>46300</v>
      </c>
      <c r="B283" s="57" t="n"/>
      <c r="C283" s="57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58" t="n"/>
      <c r="R283" s="66">
        <f>IF(AND(tblSafety[[#This Row],[Hours_Employees]]="",tblSafety[[#This Row],[Hours_Contractors]]=""),"",N(tblSafety[[#This Row],[Hours_Employees]])+N(tblSafety[[#This Row],[Hours_Contractors]]))</f>
        <v/>
      </c>
      <c r="S283" s="64">
        <f>N(tblSafety[[#This Row],[Fatality]])+N(tblSafety[[#This Row],[LTI]])+N(tblSafety[[#This Row],[RWI]])+N(tblSafety[[#This Row],[MTI]])</f>
        <v/>
      </c>
    </row>
    <row r="284">
      <c r="A284" s="54" t="n">
        <v>46301</v>
      </c>
      <c r="B284" s="57" t="n"/>
      <c r="C284" s="57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58" t="n"/>
      <c r="R284" s="66">
        <f>IF(AND(tblSafety[[#This Row],[Hours_Employees]]="",tblSafety[[#This Row],[Hours_Contractors]]=""),"",N(tblSafety[[#This Row],[Hours_Employees]])+N(tblSafety[[#This Row],[Hours_Contractors]]))</f>
        <v/>
      </c>
      <c r="S284" s="64">
        <f>N(tblSafety[[#This Row],[Fatality]])+N(tblSafety[[#This Row],[LTI]])+N(tblSafety[[#This Row],[RWI]])+N(tblSafety[[#This Row],[MTI]])</f>
        <v/>
      </c>
    </row>
    <row r="285">
      <c r="A285" s="54" t="n">
        <v>46302</v>
      </c>
      <c r="B285" s="57" t="n"/>
      <c r="C285" s="57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58" t="n"/>
      <c r="R285" s="66">
        <f>IF(AND(tblSafety[[#This Row],[Hours_Employees]]="",tblSafety[[#This Row],[Hours_Contractors]]=""),"",N(tblSafety[[#This Row],[Hours_Employees]])+N(tblSafety[[#This Row],[Hours_Contractors]]))</f>
        <v/>
      </c>
      <c r="S285" s="64">
        <f>N(tblSafety[[#This Row],[Fatality]])+N(tblSafety[[#This Row],[LTI]])+N(tblSafety[[#This Row],[RWI]])+N(tblSafety[[#This Row],[MTI]])</f>
        <v/>
      </c>
    </row>
    <row r="286">
      <c r="A286" s="54" t="n">
        <v>46303</v>
      </c>
      <c r="B286" s="57" t="n"/>
      <c r="C286" s="57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58" t="n"/>
      <c r="R286" s="66">
        <f>IF(AND(tblSafety[[#This Row],[Hours_Employees]]="",tblSafety[[#This Row],[Hours_Contractors]]=""),"",N(tblSafety[[#This Row],[Hours_Employees]])+N(tblSafety[[#This Row],[Hours_Contractors]]))</f>
        <v/>
      </c>
      <c r="S286" s="64">
        <f>N(tblSafety[[#This Row],[Fatality]])+N(tblSafety[[#This Row],[LTI]])+N(tblSafety[[#This Row],[RWI]])+N(tblSafety[[#This Row],[MTI]])</f>
        <v/>
      </c>
    </row>
    <row r="287">
      <c r="A287" s="54" t="n">
        <v>46304</v>
      </c>
      <c r="B287" s="57" t="n"/>
      <c r="C287" s="57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58" t="n"/>
      <c r="R287" s="66">
        <f>IF(AND(tblSafety[[#This Row],[Hours_Employees]]="",tblSafety[[#This Row],[Hours_Contractors]]=""),"",N(tblSafety[[#This Row],[Hours_Employees]])+N(tblSafety[[#This Row],[Hours_Contractors]]))</f>
        <v/>
      </c>
      <c r="S287" s="64">
        <f>N(tblSafety[[#This Row],[Fatality]])+N(tblSafety[[#This Row],[LTI]])+N(tblSafety[[#This Row],[RWI]])+N(tblSafety[[#This Row],[MTI]])</f>
        <v/>
      </c>
    </row>
    <row r="288">
      <c r="A288" s="54" t="n">
        <v>46305</v>
      </c>
      <c r="B288" s="57" t="n"/>
      <c r="C288" s="57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58" t="n"/>
      <c r="R288" s="66">
        <f>IF(AND(tblSafety[[#This Row],[Hours_Employees]]="",tblSafety[[#This Row],[Hours_Contractors]]=""),"",N(tblSafety[[#This Row],[Hours_Employees]])+N(tblSafety[[#This Row],[Hours_Contractors]]))</f>
        <v/>
      </c>
      <c r="S288" s="64">
        <f>N(tblSafety[[#This Row],[Fatality]])+N(tblSafety[[#This Row],[LTI]])+N(tblSafety[[#This Row],[RWI]])+N(tblSafety[[#This Row],[MTI]])</f>
        <v/>
      </c>
    </row>
    <row r="289">
      <c r="A289" s="54" t="n">
        <v>46306</v>
      </c>
      <c r="B289" s="57" t="n"/>
      <c r="C289" s="57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58" t="n"/>
      <c r="R289" s="66">
        <f>IF(AND(tblSafety[[#This Row],[Hours_Employees]]="",tblSafety[[#This Row],[Hours_Contractors]]=""),"",N(tblSafety[[#This Row],[Hours_Employees]])+N(tblSafety[[#This Row],[Hours_Contractors]]))</f>
        <v/>
      </c>
      <c r="S289" s="64">
        <f>N(tblSafety[[#This Row],[Fatality]])+N(tblSafety[[#This Row],[LTI]])+N(tblSafety[[#This Row],[RWI]])+N(tblSafety[[#This Row],[MTI]])</f>
        <v/>
      </c>
    </row>
    <row r="290">
      <c r="A290" s="54" t="n">
        <v>46307</v>
      </c>
      <c r="B290" s="57" t="n"/>
      <c r="C290" s="57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58" t="n"/>
      <c r="R290" s="66">
        <f>IF(AND(tblSafety[[#This Row],[Hours_Employees]]="",tblSafety[[#This Row],[Hours_Contractors]]=""),"",N(tblSafety[[#This Row],[Hours_Employees]])+N(tblSafety[[#This Row],[Hours_Contractors]]))</f>
        <v/>
      </c>
      <c r="S290" s="64">
        <f>N(tblSafety[[#This Row],[Fatality]])+N(tblSafety[[#This Row],[LTI]])+N(tblSafety[[#This Row],[RWI]])+N(tblSafety[[#This Row],[MTI]])</f>
        <v/>
      </c>
    </row>
    <row r="291">
      <c r="A291" s="54" t="n">
        <v>46308</v>
      </c>
      <c r="B291" s="57" t="n"/>
      <c r="C291" s="57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58" t="n"/>
      <c r="R291" s="66">
        <f>IF(AND(tblSafety[[#This Row],[Hours_Employees]]="",tblSafety[[#This Row],[Hours_Contractors]]=""),"",N(tblSafety[[#This Row],[Hours_Employees]])+N(tblSafety[[#This Row],[Hours_Contractors]]))</f>
        <v/>
      </c>
      <c r="S291" s="64">
        <f>N(tblSafety[[#This Row],[Fatality]])+N(tblSafety[[#This Row],[LTI]])+N(tblSafety[[#This Row],[RWI]])+N(tblSafety[[#This Row],[MTI]])</f>
        <v/>
      </c>
    </row>
    <row r="292">
      <c r="A292" s="54" t="n">
        <v>46309</v>
      </c>
      <c r="B292" s="57" t="n"/>
      <c r="C292" s="57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58" t="n"/>
      <c r="R292" s="66">
        <f>IF(AND(tblSafety[[#This Row],[Hours_Employees]]="",tblSafety[[#This Row],[Hours_Contractors]]=""),"",N(tblSafety[[#This Row],[Hours_Employees]])+N(tblSafety[[#This Row],[Hours_Contractors]]))</f>
        <v/>
      </c>
      <c r="S292" s="64">
        <f>N(tblSafety[[#This Row],[Fatality]])+N(tblSafety[[#This Row],[LTI]])+N(tblSafety[[#This Row],[RWI]])+N(tblSafety[[#This Row],[MTI]])</f>
        <v/>
      </c>
    </row>
    <row r="293">
      <c r="A293" s="54" t="n">
        <v>46310</v>
      </c>
      <c r="B293" s="57" t="n"/>
      <c r="C293" s="57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58" t="n"/>
      <c r="R293" s="66">
        <f>IF(AND(tblSafety[[#This Row],[Hours_Employees]]="",tblSafety[[#This Row],[Hours_Contractors]]=""),"",N(tblSafety[[#This Row],[Hours_Employees]])+N(tblSafety[[#This Row],[Hours_Contractors]]))</f>
        <v/>
      </c>
      <c r="S293" s="64">
        <f>N(tblSafety[[#This Row],[Fatality]])+N(tblSafety[[#This Row],[LTI]])+N(tblSafety[[#This Row],[RWI]])+N(tblSafety[[#This Row],[MTI]])</f>
        <v/>
      </c>
    </row>
    <row r="294">
      <c r="A294" s="54" t="n">
        <v>46311</v>
      </c>
      <c r="B294" s="57" t="n"/>
      <c r="C294" s="57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58" t="n"/>
      <c r="R294" s="66">
        <f>IF(AND(tblSafety[[#This Row],[Hours_Employees]]="",tblSafety[[#This Row],[Hours_Contractors]]=""),"",N(tblSafety[[#This Row],[Hours_Employees]])+N(tblSafety[[#This Row],[Hours_Contractors]]))</f>
        <v/>
      </c>
      <c r="S294" s="64">
        <f>N(tblSafety[[#This Row],[Fatality]])+N(tblSafety[[#This Row],[LTI]])+N(tblSafety[[#This Row],[RWI]])+N(tblSafety[[#This Row],[MTI]])</f>
        <v/>
      </c>
    </row>
    <row r="295">
      <c r="A295" s="54" t="n">
        <v>46312</v>
      </c>
      <c r="B295" s="57" t="n"/>
      <c r="C295" s="57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58" t="n"/>
      <c r="R295" s="66">
        <f>IF(AND(tblSafety[[#This Row],[Hours_Employees]]="",tblSafety[[#This Row],[Hours_Contractors]]=""),"",N(tblSafety[[#This Row],[Hours_Employees]])+N(tblSafety[[#This Row],[Hours_Contractors]]))</f>
        <v/>
      </c>
      <c r="S295" s="64">
        <f>N(tblSafety[[#This Row],[Fatality]])+N(tblSafety[[#This Row],[LTI]])+N(tblSafety[[#This Row],[RWI]])+N(tblSafety[[#This Row],[MTI]])</f>
        <v/>
      </c>
    </row>
    <row r="296">
      <c r="A296" s="54" t="n">
        <v>46313</v>
      </c>
      <c r="B296" s="57" t="n"/>
      <c r="C296" s="57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58" t="n"/>
      <c r="R296" s="66">
        <f>IF(AND(tblSafety[[#This Row],[Hours_Employees]]="",tblSafety[[#This Row],[Hours_Contractors]]=""),"",N(tblSafety[[#This Row],[Hours_Employees]])+N(tblSafety[[#This Row],[Hours_Contractors]]))</f>
        <v/>
      </c>
      <c r="S296" s="64">
        <f>N(tblSafety[[#This Row],[Fatality]])+N(tblSafety[[#This Row],[LTI]])+N(tblSafety[[#This Row],[RWI]])+N(tblSafety[[#This Row],[MTI]])</f>
        <v/>
      </c>
    </row>
    <row r="297">
      <c r="A297" s="54" t="n">
        <v>46314</v>
      </c>
      <c r="B297" s="57" t="n"/>
      <c r="C297" s="57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58" t="n"/>
      <c r="R297" s="66">
        <f>IF(AND(tblSafety[[#This Row],[Hours_Employees]]="",tblSafety[[#This Row],[Hours_Contractors]]=""),"",N(tblSafety[[#This Row],[Hours_Employees]])+N(tblSafety[[#This Row],[Hours_Contractors]]))</f>
        <v/>
      </c>
      <c r="S297" s="64">
        <f>N(tblSafety[[#This Row],[Fatality]])+N(tblSafety[[#This Row],[LTI]])+N(tblSafety[[#This Row],[RWI]])+N(tblSafety[[#This Row],[MTI]])</f>
        <v/>
      </c>
    </row>
    <row r="298">
      <c r="A298" s="54" t="n">
        <v>46315</v>
      </c>
      <c r="B298" s="57" t="n"/>
      <c r="C298" s="57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58" t="n"/>
      <c r="R298" s="66">
        <f>IF(AND(tblSafety[[#This Row],[Hours_Employees]]="",tblSafety[[#This Row],[Hours_Contractors]]=""),"",N(tblSafety[[#This Row],[Hours_Employees]])+N(tblSafety[[#This Row],[Hours_Contractors]]))</f>
        <v/>
      </c>
      <c r="S298" s="64">
        <f>N(tblSafety[[#This Row],[Fatality]])+N(tblSafety[[#This Row],[LTI]])+N(tblSafety[[#This Row],[RWI]])+N(tblSafety[[#This Row],[MTI]])</f>
        <v/>
      </c>
    </row>
    <row r="299">
      <c r="A299" s="54" t="n">
        <v>46316</v>
      </c>
      <c r="B299" s="57" t="n"/>
      <c r="C299" s="57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58" t="n"/>
      <c r="R299" s="66">
        <f>IF(AND(tblSafety[[#This Row],[Hours_Employees]]="",tblSafety[[#This Row],[Hours_Contractors]]=""),"",N(tblSafety[[#This Row],[Hours_Employees]])+N(tblSafety[[#This Row],[Hours_Contractors]]))</f>
        <v/>
      </c>
      <c r="S299" s="64">
        <f>N(tblSafety[[#This Row],[Fatality]])+N(tblSafety[[#This Row],[LTI]])+N(tblSafety[[#This Row],[RWI]])+N(tblSafety[[#This Row],[MTI]])</f>
        <v/>
      </c>
    </row>
    <row r="300">
      <c r="A300" s="54" t="n">
        <v>46317</v>
      </c>
      <c r="B300" s="57" t="n"/>
      <c r="C300" s="57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58" t="n"/>
      <c r="R300" s="66">
        <f>IF(AND(tblSafety[[#This Row],[Hours_Employees]]="",tblSafety[[#This Row],[Hours_Contractors]]=""),"",N(tblSafety[[#This Row],[Hours_Employees]])+N(tblSafety[[#This Row],[Hours_Contractors]]))</f>
        <v/>
      </c>
      <c r="S300" s="64">
        <f>N(tblSafety[[#This Row],[Fatality]])+N(tblSafety[[#This Row],[LTI]])+N(tblSafety[[#This Row],[RWI]])+N(tblSafety[[#This Row],[MTI]])</f>
        <v/>
      </c>
    </row>
    <row r="301">
      <c r="A301" s="54" t="n">
        <v>46318</v>
      </c>
      <c r="B301" s="57" t="n"/>
      <c r="C301" s="57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58" t="n"/>
      <c r="R301" s="66">
        <f>IF(AND(tblSafety[[#This Row],[Hours_Employees]]="",tblSafety[[#This Row],[Hours_Contractors]]=""),"",N(tblSafety[[#This Row],[Hours_Employees]])+N(tblSafety[[#This Row],[Hours_Contractors]]))</f>
        <v/>
      </c>
      <c r="S301" s="64">
        <f>N(tblSafety[[#This Row],[Fatality]])+N(tblSafety[[#This Row],[LTI]])+N(tblSafety[[#This Row],[RWI]])+N(tblSafety[[#This Row],[MTI]])</f>
        <v/>
      </c>
    </row>
    <row r="302">
      <c r="A302" s="54" t="n">
        <v>46319</v>
      </c>
      <c r="B302" s="57" t="n"/>
      <c r="C302" s="57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58" t="n"/>
      <c r="R302" s="66">
        <f>IF(AND(tblSafety[[#This Row],[Hours_Employees]]="",tblSafety[[#This Row],[Hours_Contractors]]=""),"",N(tblSafety[[#This Row],[Hours_Employees]])+N(tblSafety[[#This Row],[Hours_Contractors]]))</f>
        <v/>
      </c>
      <c r="S302" s="64">
        <f>N(tblSafety[[#This Row],[Fatality]])+N(tblSafety[[#This Row],[LTI]])+N(tblSafety[[#This Row],[RWI]])+N(tblSafety[[#This Row],[MTI]])</f>
        <v/>
      </c>
    </row>
    <row r="303">
      <c r="A303" s="54" t="n">
        <v>46320</v>
      </c>
      <c r="B303" s="57" t="n"/>
      <c r="C303" s="57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58" t="n"/>
      <c r="R303" s="66">
        <f>IF(AND(tblSafety[[#This Row],[Hours_Employees]]="",tblSafety[[#This Row],[Hours_Contractors]]=""),"",N(tblSafety[[#This Row],[Hours_Employees]])+N(tblSafety[[#This Row],[Hours_Contractors]]))</f>
        <v/>
      </c>
      <c r="S303" s="64">
        <f>N(tblSafety[[#This Row],[Fatality]])+N(tblSafety[[#This Row],[LTI]])+N(tblSafety[[#This Row],[RWI]])+N(tblSafety[[#This Row],[MTI]])</f>
        <v/>
      </c>
    </row>
    <row r="304">
      <c r="A304" s="54" t="n">
        <v>46321</v>
      </c>
      <c r="B304" s="57" t="n"/>
      <c r="C304" s="57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58" t="n"/>
      <c r="R304" s="66">
        <f>IF(AND(tblSafety[[#This Row],[Hours_Employees]]="",tblSafety[[#This Row],[Hours_Contractors]]=""),"",N(tblSafety[[#This Row],[Hours_Employees]])+N(tblSafety[[#This Row],[Hours_Contractors]]))</f>
        <v/>
      </c>
      <c r="S304" s="64">
        <f>N(tblSafety[[#This Row],[Fatality]])+N(tblSafety[[#This Row],[LTI]])+N(tblSafety[[#This Row],[RWI]])+N(tblSafety[[#This Row],[MTI]])</f>
        <v/>
      </c>
    </row>
    <row r="305">
      <c r="A305" s="54" t="n">
        <v>46322</v>
      </c>
      <c r="B305" s="57" t="n"/>
      <c r="C305" s="57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58" t="n"/>
      <c r="R305" s="66">
        <f>IF(AND(tblSafety[[#This Row],[Hours_Employees]]="",tblSafety[[#This Row],[Hours_Contractors]]=""),"",N(tblSafety[[#This Row],[Hours_Employees]])+N(tblSafety[[#This Row],[Hours_Contractors]]))</f>
        <v/>
      </c>
      <c r="S305" s="64">
        <f>N(tblSafety[[#This Row],[Fatality]])+N(tblSafety[[#This Row],[LTI]])+N(tblSafety[[#This Row],[RWI]])+N(tblSafety[[#This Row],[MTI]])</f>
        <v/>
      </c>
    </row>
    <row r="306">
      <c r="A306" s="54" t="n">
        <v>46323</v>
      </c>
      <c r="B306" s="57" t="n"/>
      <c r="C306" s="57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58" t="n"/>
      <c r="R306" s="66">
        <f>IF(AND(tblSafety[[#This Row],[Hours_Employees]]="",tblSafety[[#This Row],[Hours_Contractors]]=""),"",N(tblSafety[[#This Row],[Hours_Employees]])+N(tblSafety[[#This Row],[Hours_Contractors]]))</f>
        <v/>
      </c>
      <c r="S306" s="64">
        <f>N(tblSafety[[#This Row],[Fatality]])+N(tblSafety[[#This Row],[LTI]])+N(tblSafety[[#This Row],[RWI]])+N(tblSafety[[#This Row],[MTI]])</f>
        <v/>
      </c>
    </row>
    <row r="307">
      <c r="A307" s="54" t="n">
        <v>46324</v>
      </c>
      <c r="B307" s="57" t="n"/>
      <c r="C307" s="57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58" t="n"/>
      <c r="R307" s="66">
        <f>IF(AND(tblSafety[[#This Row],[Hours_Employees]]="",tblSafety[[#This Row],[Hours_Contractors]]=""),"",N(tblSafety[[#This Row],[Hours_Employees]])+N(tblSafety[[#This Row],[Hours_Contractors]]))</f>
        <v/>
      </c>
      <c r="S307" s="64">
        <f>N(tblSafety[[#This Row],[Fatality]])+N(tblSafety[[#This Row],[LTI]])+N(tblSafety[[#This Row],[RWI]])+N(tblSafety[[#This Row],[MTI]])</f>
        <v/>
      </c>
    </row>
    <row r="308">
      <c r="A308" s="54" t="n">
        <v>46325</v>
      </c>
      <c r="B308" s="57" t="n"/>
      <c r="C308" s="57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58" t="n"/>
      <c r="R308" s="66">
        <f>IF(AND(tblSafety[[#This Row],[Hours_Employees]]="",tblSafety[[#This Row],[Hours_Contractors]]=""),"",N(tblSafety[[#This Row],[Hours_Employees]])+N(tblSafety[[#This Row],[Hours_Contractors]]))</f>
        <v/>
      </c>
      <c r="S308" s="64">
        <f>N(tblSafety[[#This Row],[Fatality]])+N(tblSafety[[#This Row],[LTI]])+N(tblSafety[[#This Row],[RWI]])+N(tblSafety[[#This Row],[MTI]])</f>
        <v/>
      </c>
    </row>
    <row r="309">
      <c r="A309" s="54" t="n">
        <v>46326</v>
      </c>
      <c r="B309" s="57" t="n"/>
      <c r="C309" s="57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58" t="n"/>
      <c r="R309" s="66">
        <f>IF(AND(tblSafety[[#This Row],[Hours_Employees]]="",tblSafety[[#This Row],[Hours_Contractors]]=""),"",N(tblSafety[[#This Row],[Hours_Employees]])+N(tblSafety[[#This Row],[Hours_Contractors]]))</f>
        <v/>
      </c>
      <c r="S309" s="64">
        <f>N(tblSafety[[#This Row],[Fatality]])+N(tblSafety[[#This Row],[LTI]])+N(tblSafety[[#This Row],[RWI]])+N(tblSafety[[#This Row],[MTI]])</f>
        <v/>
      </c>
    </row>
    <row r="310">
      <c r="A310" s="54" t="n">
        <v>46327</v>
      </c>
      <c r="B310" s="57" t="n"/>
      <c r="C310" s="57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58" t="n"/>
      <c r="R310" s="66">
        <f>IF(AND(tblSafety[[#This Row],[Hours_Employees]]="",tblSafety[[#This Row],[Hours_Contractors]]=""),"",N(tblSafety[[#This Row],[Hours_Employees]])+N(tblSafety[[#This Row],[Hours_Contractors]]))</f>
        <v/>
      </c>
      <c r="S310" s="64">
        <f>N(tblSafety[[#This Row],[Fatality]])+N(tblSafety[[#This Row],[LTI]])+N(tblSafety[[#This Row],[RWI]])+N(tblSafety[[#This Row],[MTI]])</f>
        <v/>
      </c>
    </row>
    <row r="311">
      <c r="A311" s="54" t="n">
        <v>46328</v>
      </c>
      <c r="B311" s="57" t="n"/>
      <c r="C311" s="57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58" t="n"/>
      <c r="R311" s="66">
        <f>IF(AND(tblSafety[[#This Row],[Hours_Employees]]="",tblSafety[[#This Row],[Hours_Contractors]]=""),"",N(tblSafety[[#This Row],[Hours_Employees]])+N(tblSafety[[#This Row],[Hours_Contractors]]))</f>
        <v/>
      </c>
      <c r="S311" s="64">
        <f>N(tblSafety[[#This Row],[Fatality]])+N(tblSafety[[#This Row],[LTI]])+N(tblSafety[[#This Row],[RWI]])+N(tblSafety[[#This Row],[MTI]])</f>
        <v/>
      </c>
    </row>
    <row r="312">
      <c r="A312" s="54" t="n">
        <v>46329</v>
      </c>
      <c r="B312" s="57" t="n"/>
      <c r="C312" s="57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58" t="n"/>
      <c r="R312" s="66">
        <f>IF(AND(tblSafety[[#This Row],[Hours_Employees]]="",tblSafety[[#This Row],[Hours_Contractors]]=""),"",N(tblSafety[[#This Row],[Hours_Employees]])+N(tblSafety[[#This Row],[Hours_Contractors]]))</f>
        <v/>
      </c>
      <c r="S312" s="64">
        <f>N(tblSafety[[#This Row],[Fatality]])+N(tblSafety[[#This Row],[LTI]])+N(tblSafety[[#This Row],[RWI]])+N(tblSafety[[#This Row],[MTI]])</f>
        <v/>
      </c>
    </row>
    <row r="313">
      <c r="A313" s="54" t="n">
        <v>46330</v>
      </c>
      <c r="B313" s="57" t="n"/>
      <c r="C313" s="57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58" t="n"/>
      <c r="R313" s="66">
        <f>IF(AND(tblSafety[[#This Row],[Hours_Employees]]="",tblSafety[[#This Row],[Hours_Contractors]]=""),"",N(tblSafety[[#This Row],[Hours_Employees]])+N(tblSafety[[#This Row],[Hours_Contractors]]))</f>
        <v/>
      </c>
      <c r="S313" s="64">
        <f>N(tblSafety[[#This Row],[Fatality]])+N(tblSafety[[#This Row],[LTI]])+N(tblSafety[[#This Row],[RWI]])+N(tblSafety[[#This Row],[MTI]])</f>
        <v/>
      </c>
    </row>
    <row r="314">
      <c r="A314" s="54" t="n">
        <v>46331</v>
      </c>
      <c r="B314" s="57" t="n"/>
      <c r="C314" s="57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58" t="n"/>
      <c r="R314" s="66">
        <f>IF(AND(tblSafety[[#This Row],[Hours_Employees]]="",tblSafety[[#This Row],[Hours_Contractors]]=""),"",N(tblSafety[[#This Row],[Hours_Employees]])+N(tblSafety[[#This Row],[Hours_Contractors]]))</f>
        <v/>
      </c>
      <c r="S314" s="64">
        <f>N(tblSafety[[#This Row],[Fatality]])+N(tblSafety[[#This Row],[LTI]])+N(tblSafety[[#This Row],[RWI]])+N(tblSafety[[#This Row],[MTI]])</f>
        <v/>
      </c>
    </row>
    <row r="315">
      <c r="A315" s="54" t="n">
        <v>46332</v>
      </c>
      <c r="B315" s="57" t="n"/>
      <c r="C315" s="57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58" t="n"/>
      <c r="R315" s="66">
        <f>IF(AND(tblSafety[[#This Row],[Hours_Employees]]="",tblSafety[[#This Row],[Hours_Contractors]]=""),"",N(tblSafety[[#This Row],[Hours_Employees]])+N(tblSafety[[#This Row],[Hours_Contractors]]))</f>
        <v/>
      </c>
      <c r="S315" s="64">
        <f>N(tblSafety[[#This Row],[Fatality]])+N(tblSafety[[#This Row],[LTI]])+N(tblSafety[[#This Row],[RWI]])+N(tblSafety[[#This Row],[MTI]])</f>
        <v/>
      </c>
    </row>
    <row r="316">
      <c r="A316" s="54" t="n">
        <v>46333</v>
      </c>
      <c r="B316" s="57" t="n"/>
      <c r="C316" s="57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58" t="n"/>
      <c r="R316" s="66">
        <f>IF(AND(tblSafety[[#This Row],[Hours_Employees]]="",tblSafety[[#This Row],[Hours_Contractors]]=""),"",N(tblSafety[[#This Row],[Hours_Employees]])+N(tblSafety[[#This Row],[Hours_Contractors]]))</f>
        <v/>
      </c>
      <c r="S316" s="64">
        <f>N(tblSafety[[#This Row],[Fatality]])+N(tblSafety[[#This Row],[LTI]])+N(tblSafety[[#This Row],[RWI]])+N(tblSafety[[#This Row],[MTI]])</f>
        <v/>
      </c>
    </row>
    <row r="317">
      <c r="A317" s="54" t="n">
        <v>46334</v>
      </c>
      <c r="B317" s="57" t="n"/>
      <c r="C317" s="57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58" t="n"/>
      <c r="R317" s="66">
        <f>IF(AND(tblSafety[[#This Row],[Hours_Employees]]="",tblSafety[[#This Row],[Hours_Contractors]]=""),"",N(tblSafety[[#This Row],[Hours_Employees]])+N(tblSafety[[#This Row],[Hours_Contractors]]))</f>
        <v/>
      </c>
      <c r="S317" s="64">
        <f>N(tblSafety[[#This Row],[Fatality]])+N(tblSafety[[#This Row],[LTI]])+N(tblSafety[[#This Row],[RWI]])+N(tblSafety[[#This Row],[MTI]])</f>
        <v/>
      </c>
    </row>
    <row r="318">
      <c r="A318" s="54" t="n">
        <v>46335</v>
      </c>
      <c r="B318" s="57" t="n"/>
      <c r="C318" s="57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58" t="n"/>
      <c r="R318" s="66">
        <f>IF(AND(tblSafety[[#This Row],[Hours_Employees]]="",tblSafety[[#This Row],[Hours_Contractors]]=""),"",N(tblSafety[[#This Row],[Hours_Employees]])+N(tblSafety[[#This Row],[Hours_Contractors]]))</f>
        <v/>
      </c>
      <c r="S318" s="64">
        <f>N(tblSafety[[#This Row],[Fatality]])+N(tblSafety[[#This Row],[LTI]])+N(tblSafety[[#This Row],[RWI]])+N(tblSafety[[#This Row],[MTI]])</f>
        <v/>
      </c>
    </row>
    <row r="319">
      <c r="A319" s="54" t="n">
        <v>46336</v>
      </c>
      <c r="B319" s="57" t="n"/>
      <c r="C319" s="57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58" t="n"/>
      <c r="R319" s="66">
        <f>IF(AND(tblSafety[[#This Row],[Hours_Employees]]="",tblSafety[[#This Row],[Hours_Contractors]]=""),"",N(tblSafety[[#This Row],[Hours_Employees]])+N(tblSafety[[#This Row],[Hours_Contractors]]))</f>
        <v/>
      </c>
      <c r="S319" s="64">
        <f>N(tblSafety[[#This Row],[Fatality]])+N(tblSafety[[#This Row],[LTI]])+N(tblSafety[[#This Row],[RWI]])+N(tblSafety[[#This Row],[MTI]])</f>
        <v/>
      </c>
    </row>
    <row r="320">
      <c r="A320" s="54" t="n">
        <v>46337</v>
      </c>
      <c r="B320" s="57" t="n"/>
      <c r="C320" s="57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58" t="n"/>
      <c r="R320" s="66">
        <f>IF(AND(tblSafety[[#This Row],[Hours_Employees]]="",tblSafety[[#This Row],[Hours_Contractors]]=""),"",N(tblSafety[[#This Row],[Hours_Employees]])+N(tblSafety[[#This Row],[Hours_Contractors]]))</f>
        <v/>
      </c>
      <c r="S320" s="64">
        <f>N(tblSafety[[#This Row],[Fatality]])+N(tblSafety[[#This Row],[LTI]])+N(tblSafety[[#This Row],[RWI]])+N(tblSafety[[#This Row],[MTI]])</f>
        <v/>
      </c>
    </row>
    <row r="321">
      <c r="A321" s="54" t="n">
        <v>46338</v>
      </c>
      <c r="B321" s="57" t="n"/>
      <c r="C321" s="57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58" t="n"/>
      <c r="R321" s="66">
        <f>IF(AND(tblSafety[[#This Row],[Hours_Employees]]="",tblSafety[[#This Row],[Hours_Contractors]]=""),"",N(tblSafety[[#This Row],[Hours_Employees]])+N(tblSafety[[#This Row],[Hours_Contractors]]))</f>
        <v/>
      </c>
      <c r="S321" s="64">
        <f>N(tblSafety[[#This Row],[Fatality]])+N(tblSafety[[#This Row],[LTI]])+N(tblSafety[[#This Row],[RWI]])+N(tblSafety[[#This Row],[MTI]])</f>
        <v/>
      </c>
    </row>
    <row r="322">
      <c r="A322" s="54" t="n">
        <v>46339</v>
      </c>
      <c r="B322" s="57" t="n"/>
      <c r="C322" s="57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58" t="n"/>
      <c r="R322" s="66">
        <f>IF(AND(tblSafety[[#This Row],[Hours_Employees]]="",tblSafety[[#This Row],[Hours_Contractors]]=""),"",N(tblSafety[[#This Row],[Hours_Employees]])+N(tblSafety[[#This Row],[Hours_Contractors]]))</f>
        <v/>
      </c>
      <c r="S322" s="64">
        <f>N(tblSafety[[#This Row],[Fatality]])+N(tblSafety[[#This Row],[LTI]])+N(tblSafety[[#This Row],[RWI]])+N(tblSafety[[#This Row],[MTI]])</f>
        <v/>
      </c>
    </row>
    <row r="323">
      <c r="A323" s="54" t="n">
        <v>46340</v>
      </c>
      <c r="B323" s="57" t="n"/>
      <c r="C323" s="57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58" t="n"/>
      <c r="R323" s="66">
        <f>IF(AND(tblSafety[[#This Row],[Hours_Employees]]="",tblSafety[[#This Row],[Hours_Contractors]]=""),"",N(tblSafety[[#This Row],[Hours_Employees]])+N(tblSafety[[#This Row],[Hours_Contractors]]))</f>
        <v/>
      </c>
      <c r="S323" s="64">
        <f>N(tblSafety[[#This Row],[Fatality]])+N(tblSafety[[#This Row],[LTI]])+N(tblSafety[[#This Row],[RWI]])+N(tblSafety[[#This Row],[MTI]])</f>
        <v/>
      </c>
    </row>
    <row r="324">
      <c r="A324" s="54" t="n">
        <v>46341</v>
      </c>
      <c r="B324" s="57" t="n"/>
      <c r="C324" s="57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58" t="n"/>
      <c r="R324" s="66">
        <f>IF(AND(tblSafety[[#This Row],[Hours_Employees]]="",tblSafety[[#This Row],[Hours_Contractors]]=""),"",N(tblSafety[[#This Row],[Hours_Employees]])+N(tblSafety[[#This Row],[Hours_Contractors]]))</f>
        <v/>
      </c>
      <c r="S324" s="64">
        <f>N(tblSafety[[#This Row],[Fatality]])+N(tblSafety[[#This Row],[LTI]])+N(tblSafety[[#This Row],[RWI]])+N(tblSafety[[#This Row],[MTI]])</f>
        <v/>
      </c>
    </row>
    <row r="325">
      <c r="A325" s="54" t="n">
        <v>46342</v>
      </c>
      <c r="B325" s="57" t="n"/>
      <c r="C325" s="57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58" t="n"/>
      <c r="R325" s="66">
        <f>IF(AND(tblSafety[[#This Row],[Hours_Employees]]="",tblSafety[[#This Row],[Hours_Contractors]]=""),"",N(tblSafety[[#This Row],[Hours_Employees]])+N(tblSafety[[#This Row],[Hours_Contractors]]))</f>
        <v/>
      </c>
      <c r="S325" s="64">
        <f>N(tblSafety[[#This Row],[Fatality]])+N(tblSafety[[#This Row],[LTI]])+N(tblSafety[[#This Row],[RWI]])+N(tblSafety[[#This Row],[MTI]])</f>
        <v/>
      </c>
    </row>
    <row r="326">
      <c r="A326" s="54" t="n">
        <v>46343</v>
      </c>
      <c r="B326" s="57" t="n"/>
      <c r="C326" s="57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58" t="n"/>
      <c r="R326" s="66">
        <f>IF(AND(tblSafety[[#This Row],[Hours_Employees]]="",tblSafety[[#This Row],[Hours_Contractors]]=""),"",N(tblSafety[[#This Row],[Hours_Employees]])+N(tblSafety[[#This Row],[Hours_Contractors]]))</f>
        <v/>
      </c>
      <c r="S326" s="64">
        <f>N(tblSafety[[#This Row],[Fatality]])+N(tblSafety[[#This Row],[LTI]])+N(tblSafety[[#This Row],[RWI]])+N(tblSafety[[#This Row],[MTI]])</f>
        <v/>
      </c>
    </row>
    <row r="327">
      <c r="A327" s="54" t="n">
        <v>46344</v>
      </c>
      <c r="B327" s="57" t="n"/>
      <c r="C327" s="57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58" t="n"/>
      <c r="R327" s="66">
        <f>IF(AND(tblSafety[[#This Row],[Hours_Employees]]="",tblSafety[[#This Row],[Hours_Contractors]]=""),"",N(tblSafety[[#This Row],[Hours_Employees]])+N(tblSafety[[#This Row],[Hours_Contractors]]))</f>
        <v/>
      </c>
      <c r="S327" s="64">
        <f>N(tblSafety[[#This Row],[Fatality]])+N(tblSafety[[#This Row],[LTI]])+N(tblSafety[[#This Row],[RWI]])+N(tblSafety[[#This Row],[MTI]])</f>
        <v/>
      </c>
    </row>
    <row r="328">
      <c r="A328" s="54" t="n">
        <v>46345</v>
      </c>
      <c r="B328" s="57" t="n"/>
      <c r="C328" s="57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58" t="n"/>
      <c r="R328" s="66">
        <f>IF(AND(tblSafety[[#This Row],[Hours_Employees]]="",tblSafety[[#This Row],[Hours_Contractors]]=""),"",N(tblSafety[[#This Row],[Hours_Employees]])+N(tblSafety[[#This Row],[Hours_Contractors]]))</f>
        <v/>
      </c>
      <c r="S328" s="64">
        <f>N(tblSafety[[#This Row],[Fatality]])+N(tblSafety[[#This Row],[LTI]])+N(tblSafety[[#This Row],[RWI]])+N(tblSafety[[#This Row],[MTI]])</f>
        <v/>
      </c>
    </row>
    <row r="329">
      <c r="A329" s="54" t="n">
        <v>46346</v>
      </c>
      <c r="B329" s="57" t="n"/>
      <c r="C329" s="57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58" t="n"/>
      <c r="R329" s="66">
        <f>IF(AND(tblSafety[[#This Row],[Hours_Employees]]="",tblSafety[[#This Row],[Hours_Contractors]]=""),"",N(tblSafety[[#This Row],[Hours_Employees]])+N(tblSafety[[#This Row],[Hours_Contractors]]))</f>
        <v/>
      </c>
      <c r="S329" s="64">
        <f>N(tblSafety[[#This Row],[Fatality]])+N(tblSafety[[#This Row],[LTI]])+N(tblSafety[[#This Row],[RWI]])+N(tblSafety[[#This Row],[MTI]])</f>
        <v/>
      </c>
    </row>
    <row r="330">
      <c r="A330" s="54" t="n">
        <v>46347</v>
      </c>
      <c r="B330" s="57" t="n"/>
      <c r="C330" s="57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58" t="n"/>
      <c r="R330" s="66">
        <f>IF(AND(tblSafety[[#This Row],[Hours_Employees]]="",tblSafety[[#This Row],[Hours_Contractors]]=""),"",N(tblSafety[[#This Row],[Hours_Employees]])+N(tblSafety[[#This Row],[Hours_Contractors]]))</f>
        <v/>
      </c>
      <c r="S330" s="64">
        <f>N(tblSafety[[#This Row],[Fatality]])+N(tblSafety[[#This Row],[LTI]])+N(tblSafety[[#This Row],[RWI]])+N(tblSafety[[#This Row],[MTI]])</f>
        <v/>
      </c>
    </row>
    <row r="331">
      <c r="A331" s="54" t="n">
        <v>46348</v>
      </c>
      <c r="B331" s="57" t="n"/>
      <c r="C331" s="57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58" t="n"/>
      <c r="R331" s="66">
        <f>IF(AND(tblSafety[[#This Row],[Hours_Employees]]="",tblSafety[[#This Row],[Hours_Contractors]]=""),"",N(tblSafety[[#This Row],[Hours_Employees]])+N(tblSafety[[#This Row],[Hours_Contractors]]))</f>
        <v/>
      </c>
      <c r="S331" s="64">
        <f>N(tblSafety[[#This Row],[Fatality]])+N(tblSafety[[#This Row],[LTI]])+N(tblSafety[[#This Row],[RWI]])+N(tblSafety[[#This Row],[MTI]])</f>
        <v/>
      </c>
    </row>
    <row r="332">
      <c r="A332" s="54" t="n">
        <v>46349</v>
      </c>
      <c r="B332" s="57" t="n"/>
      <c r="C332" s="57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58" t="n"/>
      <c r="R332" s="66">
        <f>IF(AND(tblSafety[[#This Row],[Hours_Employees]]="",tblSafety[[#This Row],[Hours_Contractors]]=""),"",N(tblSafety[[#This Row],[Hours_Employees]])+N(tblSafety[[#This Row],[Hours_Contractors]]))</f>
        <v/>
      </c>
      <c r="S332" s="64">
        <f>N(tblSafety[[#This Row],[Fatality]])+N(tblSafety[[#This Row],[LTI]])+N(tblSafety[[#This Row],[RWI]])+N(tblSafety[[#This Row],[MTI]])</f>
        <v/>
      </c>
    </row>
    <row r="333">
      <c r="A333" s="54" t="n">
        <v>46350</v>
      </c>
      <c r="B333" s="57" t="n"/>
      <c r="C333" s="57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58" t="n"/>
      <c r="R333" s="66">
        <f>IF(AND(tblSafety[[#This Row],[Hours_Employees]]="",tblSafety[[#This Row],[Hours_Contractors]]=""),"",N(tblSafety[[#This Row],[Hours_Employees]])+N(tblSafety[[#This Row],[Hours_Contractors]]))</f>
        <v/>
      </c>
      <c r="S333" s="64">
        <f>N(tblSafety[[#This Row],[Fatality]])+N(tblSafety[[#This Row],[LTI]])+N(tblSafety[[#This Row],[RWI]])+N(tblSafety[[#This Row],[MTI]])</f>
        <v/>
      </c>
    </row>
    <row r="334">
      <c r="A334" s="54" t="n">
        <v>46351</v>
      </c>
      <c r="B334" s="57" t="n"/>
      <c r="C334" s="57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58" t="n"/>
      <c r="R334" s="66">
        <f>IF(AND(tblSafety[[#This Row],[Hours_Employees]]="",tblSafety[[#This Row],[Hours_Contractors]]=""),"",N(tblSafety[[#This Row],[Hours_Employees]])+N(tblSafety[[#This Row],[Hours_Contractors]]))</f>
        <v/>
      </c>
      <c r="S334" s="64">
        <f>N(tblSafety[[#This Row],[Fatality]])+N(tblSafety[[#This Row],[LTI]])+N(tblSafety[[#This Row],[RWI]])+N(tblSafety[[#This Row],[MTI]])</f>
        <v/>
      </c>
    </row>
    <row r="335">
      <c r="A335" s="54" t="n">
        <v>46352</v>
      </c>
      <c r="B335" s="57" t="n"/>
      <c r="C335" s="57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58" t="n"/>
      <c r="R335" s="66">
        <f>IF(AND(tblSafety[[#This Row],[Hours_Employees]]="",tblSafety[[#This Row],[Hours_Contractors]]=""),"",N(tblSafety[[#This Row],[Hours_Employees]])+N(tblSafety[[#This Row],[Hours_Contractors]]))</f>
        <v/>
      </c>
      <c r="S335" s="64">
        <f>N(tblSafety[[#This Row],[Fatality]])+N(tblSafety[[#This Row],[LTI]])+N(tblSafety[[#This Row],[RWI]])+N(tblSafety[[#This Row],[MTI]])</f>
        <v/>
      </c>
    </row>
    <row r="336">
      <c r="A336" s="54" t="n">
        <v>46353</v>
      </c>
      <c r="B336" s="57" t="n"/>
      <c r="C336" s="57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58" t="n"/>
      <c r="R336" s="66">
        <f>IF(AND(tblSafety[[#This Row],[Hours_Employees]]="",tblSafety[[#This Row],[Hours_Contractors]]=""),"",N(tblSafety[[#This Row],[Hours_Employees]])+N(tblSafety[[#This Row],[Hours_Contractors]]))</f>
        <v/>
      </c>
      <c r="S336" s="64">
        <f>N(tblSafety[[#This Row],[Fatality]])+N(tblSafety[[#This Row],[LTI]])+N(tblSafety[[#This Row],[RWI]])+N(tblSafety[[#This Row],[MTI]])</f>
        <v/>
      </c>
    </row>
    <row r="337">
      <c r="A337" s="54" t="n">
        <v>46354</v>
      </c>
      <c r="B337" s="57" t="n"/>
      <c r="C337" s="57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58" t="n"/>
      <c r="R337" s="66">
        <f>IF(AND(tblSafety[[#This Row],[Hours_Employees]]="",tblSafety[[#This Row],[Hours_Contractors]]=""),"",N(tblSafety[[#This Row],[Hours_Employees]])+N(tblSafety[[#This Row],[Hours_Contractors]]))</f>
        <v/>
      </c>
      <c r="S337" s="64">
        <f>N(tblSafety[[#This Row],[Fatality]])+N(tblSafety[[#This Row],[LTI]])+N(tblSafety[[#This Row],[RWI]])+N(tblSafety[[#This Row],[MTI]])</f>
        <v/>
      </c>
    </row>
    <row r="338">
      <c r="A338" s="54" t="n">
        <v>46355</v>
      </c>
      <c r="B338" s="57" t="n"/>
      <c r="C338" s="57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58" t="n"/>
      <c r="R338" s="66">
        <f>IF(AND(tblSafety[[#This Row],[Hours_Employees]]="",tblSafety[[#This Row],[Hours_Contractors]]=""),"",N(tblSafety[[#This Row],[Hours_Employees]])+N(tblSafety[[#This Row],[Hours_Contractors]]))</f>
        <v/>
      </c>
      <c r="S338" s="64">
        <f>N(tblSafety[[#This Row],[Fatality]])+N(tblSafety[[#This Row],[LTI]])+N(tblSafety[[#This Row],[RWI]])+N(tblSafety[[#This Row],[MTI]])</f>
        <v/>
      </c>
    </row>
    <row r="339">
      <c r="A339" s="54" t="n">
        <v>46356</v>
      </c>
      <c r="B339" s="57" t="n"/>
      <c r="C339" s="57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58" t="n"/>
      <c r="R339" s="66">
        <f>IF(AND(tblSafety[[#This Row],[Hours_Employees]]="",tblSafety[[#This Row],[Hours_Contractors]]=""),"",N(tblSafety[[#This Row],[Hours_Employees]])+N(tblSafety[[#This Row],[Hours_Contractors]]))</f>
        <v/>
      </c>
      <c r="S339" s="64">
        <f>N(tblSafety[[#This Row],[Fatality]])+N(tblSafety[[#This Row],[LTI]])+N(tblSafety[[#This Row],[RWI]])+N(tblSafety[[#This Row],[MTI]])</f>
        <v/>
      </c>
    </row>
    <row r="340">
      <c r="A340" s="54" t="n">
        <v>46357</v>
      </c>
      <c r="B340" s="57" t="n"/>
      <c r="C340" s="57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58" t="n"/>
      <c r="R340" s="66">
        <f>IF(AND(tblSafety[[#This Row],[Hours_Employees]]="",tblSafety[[#This Row],[Hours_Contractors]]=""),"",N(tblSafety[[#This Row],[Hours_Employees]])+N(tblSafety[[#This Row],[Hours_Contractors]]))</f>
        <v/>
      </c>
      <c r="S340" s="64">
        <f>N(tblSafety[[#This Row],[Fatality]])+N(tblSafety[[#This Row],[LTI]])+N(tblSafety[[#This Row],[RWI]])+N(tblSafety[[#This Row],[MTI]])</f>
        <v/>
      </c>
    </row>
    <row r="341">
      <c r="A341" s="54" t="n">
        <v>46358</v>
      </c>
      <c r="B341" s="57" t="n"/>
      <c r="C341" s="57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58" t="n"/>
      <c r="R341" s="66">
        <f>IF(AND(tblSafety[[#This Row],[Hours_Employees]]="",tblSafety[[#This Row],[Hours_Contractors]]=""),"",N(tblSafety[[#This Row],[Hours_Employees]])+N(tblSafety[[#This Row],[Hours_Contractors]]))</f>
        <v/>
      </c>
      <c r="S341" s="64">
        <f>N(tblSafety[[#This Row],[Fatality]])+N(tblSafety[[#This Row],[LTI]])+N(tblSafety[[#This Row],[RWI]])+N(tblSafety[[#This Row],[MTI]])</f>
        <v/>
      </c>
    </row>
    <row r="342">
      <c r="A342" s="54" t="n">
        <v>46359</v>
      </c>
      <c r="B342" s="57" t="n"/>
      <c r="C342" s="57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58" t="n"/>
      <c r="R342" s="66">
        <f>IF(AND(tblSafety[[#This Row],[Hours_Employees]]="",tblSafety[[#This Row],[Hours_Contractors]]=""),"",N(tblSafety[[#This Row],[Hours_Employees]])+N(tblSafety[[#This Row],[Hours_Contractors]]))</f>
        <v/>
      </c>
      <c r="S342" s="64">
        <f>N(tblSafety[[#This Row],[Fatality]])+N(tblSafety[[#This Row],[LTI]])+N(tblSafety[[#This Row],[RWI]])+N(tblSafety[[#This Row],[MTI]])</f>
        <v/>
      </c>
    </row>
    <row r="343">
      <c r="A343" s="54" t="n">
        <v>46360</v>
      </c>
      <c r="B343" s="57" t="n"/>
      <c r="C343" s="57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58" t="n"/>
      <c r="R343" s="66">
        <f>IF(AND(tblSafety[[#This Row],[Hours_Employees]]="",tblSafety[[#This Row],[Hours_Contractors]]=""),"",N(tblSafety[[#This Row],[Hours_Employees]])+N(tblSafety[[#This Row],[Hours_Contractors]]))</f>
        <v/>
      </c>
      <c r="S343" s="64">
        <f>N(tblSafety[[#This Row],[Fatality]])+N(tblSafety[[#This Row],[LTI]])+N(tblSafety[[#This Row],[RWI]])+N(tblSafety[[#This Row],[MTI]])</f>
        <v/>
      </c>
    </row>
    <row r="344">
      <c r="A344" s="54" t="n">
        <v>46361</v>
      </c>
      <c r="B344" s="57" t="n"/>
      <c r="C344" s="57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58" t="n"/>
      <c r="R344" s="66">
        <f>IF(AND(tblSafety[[#This Row],[Hours_Employees]]="",tblSafety[[#This Row],[Hours_Contractors]]=""),"",N(tblSafety[[#This Row],[Hours_Employees]])+N(tblSafety[[#This Row],[Hours_Contractors]]))</f>
        <v/>
      </c>
      <c r="S344" s="64">
        <f>N(tblSafety[[#This Row],[Fatality]])+N(tblSafety[[#This Row],[LTI]])+N(tblSafety[[#This Row],[RWI]])+N(tblSafety[[#This Row],[MTI]])</f>
        <v/>
      </c>
    </row>
    <row r="345">
      <c r="A345" s="54" t="n">
        <v>46362</v>
      </c>
      <c r="B345" s="57" t="n"/>
      <c r="C345" s="57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58" t="n"/>
      <c r="R345" s="66">
        <f>IF(AND(tblSafety[[#This Row],[Hours_Employees]]="",tblSafety[[#This Row],[Hours_Contractors]]=""),"",N(tblSafety[[#This Row],[Hours_Employees]])+N(tblSafety[[#This Row],[Hours_Contractors]]))</f>
        <v/>
      </c>
      <c r="S345" s="64">
        <f>N(tblSafety[[#This Row],[Fatality]])+N(tblSafety[[#This Row],[LTI]])+N(tblSafety[[#This Row],[RWI]])+N(tblSafety[[#This Row],[MTI]])</f>
        <v/>
      </c>
    </row>
    <row r="346">
      <c r="A346" s="54" t="n">
        <v>46363</v>
      </c>
      <c r="B346" s="57" t="n"/>
      <c r="C346" s="57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58" t="n"/>
      <c r="R346" s="66">
        <f>IF(AND(tblSafety[[#This Row],[Hours_Employees]]="",tblSafety[[#This Row],[Hours_Contractors]]=""),"",N(tblSafety[[#This Row],[Hours_Employees]])+N(tblSafety[[#This Row],[Hours_Contractors]]))</f>
        <v/>
      </c>
      <c r="S346" s="64">
        <f>N(tblSafety[[#This Row],[Fatality]])+N(tblSafety[[#This Row],[LTI]])+N(tblSafety[[#This Row],[RWI]])+N(tblSafety[[#This Row],[MTI]])</f>
        <v/>
      </c>
    </row>
    <row r="347">
      <c r="A347" s="54" t="n">
        <v>46364</v>
      </c>
      <c r="B347" s="57" t="n"/>
      <c r="C347" s="57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58" t="n"/>
      <c r="R347" s="66">
        <f>IF(AND(tblSafety[[#This Row],[Hours_Employees]]="",tblSafety[[#This Row],[Hours_Contractors]]=""),"",N(tblSafety[[#This Row],[Hours_Employees]])+N(tblSafety[[#This Row],[Hours_Contractors]]))</f>
        <v/>
      </c>
      <c r="S347" s="64">
        <f>N(tblSafety[[#This Row],[Fatality]])+N(tblSafety[[#This Row],[LTI]])+N(tblSafety[[#This Row],[RWI]])+N(tblSafety[[#This Row],[MTI]])</f>
        <v/>
      </c>
    </row>
    <row r="348">
      <c r="A348" s="54" t="n">
        <v>46365</v>
      </c>
      <c r="B348" s="57" t="n"/>
      <c r="C348" s="57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58" t="n"/>
      <c r="R348" s="66">
        <f>IF(AND(tblSafety[[#This Row],[Hours_Employees]]="",tblSafety[[#This Row],[Hours_Contractors]]=""),"",N(tblSafety[[#This Row],[Hours_Employees]])+N(tblSafety[[#This Row],[Hours_Contractors]]))</f>
        <v/>
      </c>
      <c r="S348" s="64">
        <f>N(tblSafety[[#This Row],[Fatality]])+N(tblSafety[[#This Row],[LTI]])+N(tblSafety[[#This Row],[RWI]])+N(tblSafety[[#This Row],[MTI]])</f>
        <v/>
      </c>
    </row>
    <row r="349">
      <c r="A349" s="54" t="n">
        <v>46366</v>
      </c>
      <c r="B349" s="57" t="n"/>
      <c r="C349" s="57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58" t="n"/>
      <c r="R349" s="66">
        <f>IF(AND(tblSafety[[#This Row],[Hours_Employees]]="",tblSafety[[#This Row],[Hours_Contractors]]=""),"",N(tblSafety[[#This Row],[Hours_Employees]])+N(tblSafety[[#This Row],[Hours_Contractors]]))</f>
        <v/>
      </c>
      <c r="S349" s="64">
        <f>N(tblSafety[[#This Row],[Fatality]])+N(tblSafety[[#This Row],[LTI]])+N(tblSafety[[#This Row],[RWI]])+N(tblSafety[[#This Row],[MTI]])</f>
        <v/>
      </c>
    </row>
    <row r="350">
      <c r="A350" s="54" t="n">
        <v>46367</v>
      </c>
      <c r="B350" s="57" t="n"/>
      <c r="C350" s="57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58" t="n"/>
      <c r="R350" s="66">
        <f>IF(AND(tblSafety[[#This Row],[Hours_Employees]]="",tblSafety[[#This Row],[Hours_Contractors]]=""),"",N(tblSafety[[#This Row],[Hours_Employees]])+N(tblSafety[[#This Row],[Hours_Contractors]]))</f>
        <v/>
      </c>
      <c r="S350" s="64">
        <f>N(tblSafety[[#This Row],[Fatality]])+N(tblSafety[[#This Row],[LTI]])+N(tblSafety[[#This Row],[RWI]])+N(tblSafety[[#This Row],[MTI]])</f>
        <v/>
      </c>
    </row>
    <row r="351">
      <c r="A351" s="54" t="n">
        <v>46368</v>
      </c>
      <c r="B351" s="57" t="n"/>
      <c r="C351" s="57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58" t="n"/>
      <c r="R351" s="66">
        <f>IF(AND(tblSafety[[#This Row],[Hours_Employees]]="",tblSafety[[#This Row],[Hours_Contractors]]=""),"",N(tblSafety[[#This Row],[Hours_Employees]])+N(tblSafety[[#This Row],[Hours_Contractors]]))</f>
        <v/>
      </c>
      <c r="S351" s="64">
        <f>N(tblSafety[[#This Row],[Fatality]])+N(tblSafety[[#This Row],[LTI]])+N(tblSafety[[#This Row],[RWI]])+N(tblSafety[[#This Row],[MTI]])</f>
        <v/>
      </c>
    </row>
    <row r="352">
      <c r="A352" s="54" t="n">
        <v>46369</v>
      </c>
      <c r="B352" s="57" t="n"/>
      <c r="C352" s="57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58" t="n"/>
      <c r="R352" s="66">
        <f>IF(AND(tblSafety[[#This Row],[Hours_Employees]]="",tblSafety[[#This Row],[Hours_Contractors]]=""),"",N(tblSafety[[#This Row],[Hours_Employees]])+N(tblSafety[[#This Row],[Hours_Contractors]]))</f>
        <v/>
      </c>
      <c r="S352" s="64">
        <f>N(tblSafety[[#This Row],[Fatality]])+N(tblSafety[[#This Row],[LTI]])+N(tblSafety[[#This Row],[RWI]])+N(tblSafety[[#This Row],[MTI]])</f>
        <v/>
      </c>
    </row>
    <row r="353">
      <c r="A353" s="54" t="n">
        <v>46370</v>
      </c>
      <c r="B353" s="57" t="n"/>
      <c r="C353" s="57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58" t="n"/>
      <c r="R353" s="66">
        <f>IF(AND(tblSafety[[#This Row],[Hours_Employees]]="",tblSafety[[#This Row],[Hours_Contractors]]=""),"",N(tblSafety[[#This Row],[Hours_Employees]])+N(tblSafety[[#This Row],[Hours_Contractors]]))</f>
        <v/>
      </c>
      <c r="S353" s="64">
        <f>N(tblSafety[[#This Row],[Fatality]])+N(tblSafety[[#This Row],[LTI]])+N(tblSafety[[#This Row],[RWI]])+N(tblSafety[[#This Row],[MTI]])</f>
        <v/>
      </c>
    </row>
    <row r="354">
      <c r="A354" s="54" t="n">
        <v>46371</v>
      </c>
      <c r="B354" s="57" t="n"/>
      <c r="C354" s="57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58" t="n"/>
      <c r="R354" s="66">
        <f>IF(AND(tblSafety[[#This Row],[Hours_Employees]]="",tblSafety[[#This Row],[Hours_Contractors]]=""),"",N(tblSafety[[#This Row],[Hours_Employees]])+N(tblSafety[[#This Row],[Hours_Contractors]]))</f>
        <v/>
      </c>
      <c r="S354" s="64">
        <f>N(tblSafety[[#This Row],[Fatality]])+N(tblSafety[[#This Row],[LTI]])+N(tblSafety[[#This Row],[RWI]])+N(tblSafety[[#This Row],[MTI]])</f>
        <v/>
      </c>
    </row>
    <row r="355">
      <c r="A355" s="54" t="n">
        <v>46372</v>
      </c>
      <c r="B355" s="57" t="n"/>
      <c r="C355" s="57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58" t="n"/>
      <c r="R355" s="66">
        <f>IF(AND(tblSafety[[#This Row],[Hours_Employees]]="",tblSafety[[#This Row],[Hours_Contractors]]=""),"",N(tblSafety[[#This Row],[Hours_Employees]])+N(tblSafety[[#This Row],[Hours_Contractors]]))</f>
        <v/>
      </c>
      <c r="S355" s="64">
        <f>N(tblSafety[[#This Row],[Fatality]])+N(tblSafety[[#This Row],[LTI]])+N(tblSafety[[#This Row],[RWI]])+N(tblSafety[[#This Row],[MTI]])</f>
        <v/>
      </c>
    </row>
    <row r="356">
      <c r="A356" s="54" t="n">
        <v>46373</v>
      </c>
      <c r="B356" s="57" t="n"/>
      <c r="C356" s="57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58" t="n"/>
      <c r="R356" s="66">
        <f>IF(AND(tblSafety[[#This Row],[Hours_Employees]]="",tblSafety[[#This Row],[Hours_Contractors]]=""),"",N(tblSafety[[#This Row],[Hours_Employees]])+N(tblSafety[[#This Row],[Hours_Contractors]]))</f>
        <v/>
      </c>
      <c r="S356" s="64">
        <f>N(tblSafety[[#This Row],[Fatality]])+N(tblSafety[[#This Row],[LTI]])+N(tblSafety[[#This Row],[RWI]])+N(tblSafety[[#This Row],[MTI]])</f>
        <v/>
      </c>
    </row>
    <row r="357">
      <c r="A357" s="54" t="n">
        <v>46374</v>
      </c>
      <c r="B357" s="57" t="n"/>
      <c r="C357" s="57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58" t="n"/>
      <c r="R357" s="66">
        <f>IF(AND(tblSafety[[#This Row],[Hours_Employees]]="",tblSafety[[#This Row],[Hours_Contractors]]=""),"",N(tblSafety[[#This Row],[Hours_Employees]])+N(tblSafety[[#This Row],[Hours_Contractors]]))</f>
        <v/>
      </c>
      <c r="S357" s="64">
        <f>N(tblSafety[[#This Row],[Fatality]])+N(tblSafety[[#This Row],[LTI]])+N(tblSafety[[#This Row],[RWI]])+N(tblSafety[[#This Row],[MTI]])</f>
        <v/>
      </c>
    </row>
    <row r="358">
      <c r="A358" s="54" t="n">
        <v>46375</v>
      </c>
      <c r="B358" s="57" t="n"/>
      <c r="C358" s="57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58" t="n"/>
      <c r="R358" s="66">
        <f>IF(AND(tblSafety[[#This Row],[Hours_Employees]]="",tblSafety[[#This Row],[Hours_Contractors]]=""),"",N(tblSafety[[#This Row],[Hours_Employees]])+N(tblSafety[[#This Row],[Hours_Contractors]]))</f>
        <v/>
      </c>
      <c r="S358" s="64">
        <f>N(tblSafety[[#This Row],[Fatality]])+N(tblSafety[[#This Row],[LTI]])+N(tblSafety[[#This Row],[RWI]])+N(tblSafety[[#This Row],[MTI]])</f>
        <v/>
      </c>
    </row>
    <row r="359">
      <c r="A359" s="54" t="n">
        <v>46376</v>
      </c>
      <c r="B359" s="57" t="n"/>
      <c r="C359" s="57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58" t="n"/>
      <c r="R359" s="66">
        <f>IF(AND(tblSafety[[#This Row],[Hours_Employees]]="",tblSafety[[#This Row],[Hours_Contractors]]=""),"",N(tblSafety[[#This Row],[Hours_Employees]])+N(tblSafety[[#This Row],[Hours_Contractors]]))</f>
        <v/>
      </c>
      <c r="S359" s="64">
        <f>N(tblSafety[[#This Row],[Fatality]])+N(tblSafety[[#This Row],[LTI]])+N(tblSafety[[#This Row],[RWI]])+N(tblSafety[[#This Row],[MTI]])</f>
        <v/>
      </c>
    </row>
    <row r="360">
      <c r="A360" s="54" t="n">
        <v>46377</v>
      </c>
      <c r="B360" s="57" t="n"/>
      <c r="C360" s="57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58" t="n"/>
      <c r="R360" s="66">
        <f>IF(AND(tblSafety[[#This Row],[Hours_Employees]]="",tblSafety[[#This Row],[Hours_Contractors]]=""),"",N(tblSafety[[#This Row],[Hours_Employees]])+N(tblSafety[[#This Row],[Hours_Contractors]]))</f>
        <v/>
      </c>
      <c r="S360" s="64">
        <f>N(tblSafety[[#This Row],[Fatality]])+N(tblSafety[[#This Row],[LTI]])+N(tblSafety[[#This Row],[RWI]])+N(tblSafety[[#This Row],[MTI]])</f>
        <v/>
      </c>
    </row>
    <row r="361">
      <c r="A361" s="54" t="n">
        <v>46378</v>
      </c>
      <c r="B361" s="57" t="n"/>
      <c r="C361" s="57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58" t="n"/>
      <c r="R361" s="66">
        <f>IF(AND(tblSafety[[#This Row],[Hours_Employees]]="",tblSafety[[#This Row],[Hours_Contractors]]=""),"",N(tblSafety[[#This Row],[Hours_Employees]])+N(tblSafety[[#This Row],[Hours_Contractors]]))</f>
        <v/>
      </c>
      <c r="S361" s="64">
        <f>N(tblSafety[[#This Row],[Fatality]])+N(tblSafety[[#This Row],[LTI]])+N(tblSafety[[#This Row],[RWI]])+N(tblSafety[[#This Row],[MTI]])</f>
        <v/>
      </c>
    </row>
    <row r="362">
      <c r="A362" s="54" t="n">
        <v>46379</v>
      </c>
      <c r="B362" s="57" t="n"/>
      <c r="C362" s="57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58" t="n"/>
      <c r="R362" s="66">
        <f>IF(AND(tblSafety[[#This Row],[Hours_Employees]]="",tblSafety[[#This Row],[Hours_Contractors]]=""),"",N(tblSafety[[#This Row],[Hours_Employees]])+N(tblSafety[[#This Row],[Hours_Contractors]]))</f>
        <v/>
      </c>
      <c r="S362" s="64">
        <f>N(tblSafety[[#This Row],[Fatality]])+N(tblSafety[[#This Row],[LTI]])+N(tblSafety[[#This Row],[RWI]])+N(tblSafety[[#This Row],[MTI]])</f>
        <v/>
      </c>
    </row>
    <row r="363">
      <c r="A363" s="54" t="n">
        <v>46380</v>
      </c>
      <c r="B363" s="57" t="n"/>
      <c r="C363" s="57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58" t="n"/>
      <c r="R363" s="66">
        <f>IF(AND(tblSafety[[#This Row],[Hours_Employees]]="",tblSafety[[#This Row],[Hours_Contractors]]=""),"",N(tblSafety[[#This Row],[Hours_Employees]])+N(tblSafety[[#This Row],[Hours_Contractors]]))</f>
        <v/>
      </c>
      <c r="S363" s="64">
        <f>N(tblSafety[[#This Row],[Fatality]])+N(tblSafety[[#This Row],[LTI]])+N(tblSafety[[#This Row],[RWI]])+N(tblSafety[[#This Row],[MTI]])</f>
        <v/>
      </c>
    </row>
    <row r="364">
      <c r="A364" s="54" t="n">
        <v>46381</v>
      </c>
      <c r="B364" s="57" t="n"/>
      <c r="C364" s="57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58" t="n"/>
      <c r="R364" s="66">
        <f>IF(AND(tblSafety[[#This Row],[Hours_Employees]]="",tblSafety[[#This Row],[Hours_Contractors]]=""),"",N(tblSafety[[#This Row],[Hours_Employees]])+N(tblSafety[[#This Row],[Hours_Contractors]]))</f>
        <v/>
      </c>
      <c r="S364" s="64">
        <f>N(tblSafety[[#This Row],[Fatality]])+N(tblSafety[[#This Row],[LTI]])+N(tblSafety[[#This Row],[RWI]])+N(tblSafety[[#This Row],[MTI]])</f>
        <v/>
      </c>
    </row>
    <row r="365">
      <c r="A365" s="54" t="n">
        <v>46382</v>
      </c>
      <c r="B365" s="57" t="n"/>
      <c r="C365" s="57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58" t="n"/>
      <c r="R365" s="66">
        <f>IF(AND(tblSafety[[#This Row],[Hours_Employees]]="",tblSafety[[#This Row],[Hours_Contractors]]=""),"",N(tblSafety[[#This Row],[Hours_Employees]])+N(tblSafety[[#This Row],[Hours_Contractors]]))</f>
        <v/>
      </c>
      <c r="S365" s="64">
        <f>N(tblSafety[[#This Row],[Fatality]])+N(tblSafety[[#This Row],[LTI]])+N(tblSafety[[#This Row],[RWI]])+N(tblSafety[[#This Row],[MTI]])</f>
        <v/>
      </c>
    </row>
    <row r="366">
      <c r="A366" s="54" t="n">
        <v>46383</v>
      </c>
      <c r="B366" s="57" t="n"/>
      <c r="C366" s="57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58" t="n"/>
      <c r="R366" s="66">
        <f>IF(AND(tblSafety[[#This Row],[Hours_Employees]]="",tblSafety[[#This Row],[Hours_Contractors]]=""),"",N(tblSafety[[#This Row],[Hours_Employees]])+N(tblSafety[[#This Row],[Hours_Contractors]]))</f>
        <v/>
      </c>
      <c r="S366" s="64">
        <f>N(tblSafety[[#This Row],[Fatality]])+N(tblSafety[[#This Row],[LTI]])+N(tblSafety[[#This Row],[RWI]])+N(tblSafety[[#This Row],[MTI]])</f>
        <v/>
      </c>
    </row>
    <row r="367">
      <c r="A367" s="54" t="n">
        <v>46384</v>
      </c>
      <c r="B367" s="57" t="n"/>
      <c r="C367" s="57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58" t="n"/>
      <c r="R367" s="66">
        <f>IF(AND(tblSafety[[#This Row],[Hours_Employees]]="",tblSafety[[#This Row],[Hours_Contractors]]=""),"",N(tblSafety[[#This Row],[Hours_Employees]])+N(tblSafety[[#This Row],[Hours_Contractors]]))</f>
        <v/>
      </c>
      <c r="S367" s="64">
        <f>N(tblSafety[[#This Row],[Fatality]])+N(tblSafety[[#This Row],[LTI]])+N(tblSafety[[#This Row],[RWI]])+N(tblSafety[[#This Row],[MTI]])</f>
        <v/>
      </c>
    </row>
    <row r="368">
      <c r="A368" s="54" t="n">
        <v>46385</v>
      </c>
      <c r="B368" s="57" t="n"/>
      <c r="C368" s="57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58" t="n"/>
      <c r="R368" s="66">
        <f>IF(AND(tblSafety[[#This Row],[Hours_Employees]]="",tblSafety[[#This Row],[Hours_Contractors]]=""),"",N(tblSafety[[#This Row],[Hours_Employees]])+N(tblSafety[[#This Row],[Hours_Contractors]]))</f>
        <v/>
      </c>
      <c r="S368" s="64">
        <f>N(tblSafety[[#This Row],[Fatality]])+N(tblSafety[[#This Row],[LTI]])+N(tblSafety[[#This Row],[RWI]])+N(tblSafety[[#This Row],[MTI]])</f>
        <v/>
      </c>
    </row>
    <row r="369">
      <c r="A369" s="54" t="n">
        <v>46386</v>
      </c>
      <c r="B369" s="57" t="n"/>
      <c r="C369" s="57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58" t="n"/>
      <c r="R369" s="66">
        <f>IF(AND(tblSafety[[#This Row],[Hours_Employees]]="",tblSafety[[#This Row],[Hours_Contractors]]=""),"",N(tblSafety[[#This Row],[Hours_Employees]])+N(tblSafety[[#This Row],[Hours_Contractors]]))</f>
        <v/>
      </c>
      <c r="S369" s="64">
        <f>N(tblSafety[[#This Row],[Fatality]])+N(tblSafety[[#This Row],[LTI]])+N(tblSafety[[#This Row],[RWI]])+N(tblSafety[[#This Row],[MTI]])</f>
        <v/>
      </c>
    </row>
    <row r="370">
      <c r="A370" s="54" t="n">
        <v>46387</v>
      </c>
      <c r="B370" s="57" t="n"/>
      <c r="C370" s="57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58" t="n"/>
      <c r="R370" s="66">
        <f>IF(AND(tblSafety[[#This Row],[Hours_Employees]]="",tblSafety[[#This Row],[Hours_Contractors]]=""),"",N(tblSafety[[#This Row],[Hours_Employees]])+N(tblSafety[[#This Row],[Hours_Contractors]]))</f>
        <v/>
      </c>
      <c r="S370" s="64">
        <f>N(tblSafety[[#This Row],[Fatality]])+N(tblSafety[[#This Row],[LTI]])+N(tblSafety[[#This Row],[RWI]])+N(tblSafety[[#This Row],[MTI]])</f>
        <v/>
      </c>
    </row>
  </sheetData>
  <dataValidations count="16">
    <dataValidation sqref="A6:A370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70" showDropDown="0" showInputMessage="0" showErrorMessage="1" allowBlank="1" errorTitle="Outside expected range" error="Expected between 0 and 50000. Click Yes to keep the value if it is correct." type="decimal" errorStyle="warning" operator="between">
      <formula1>0</formula1>
      <formula2>50000</formula2>
    </dataValidation>
    <dataValidation sqref="C6:C370" showDropDown="0" showInputMessage="0" showErrorMessage="1" allowBlank="1" errorTitle="Outside expected range" error="Expected between 0 and 50000. Click Yes to keep the value if it is correct." type="decimal" errorStyle="warning" operator="between">
      <formula1>0</formula1>
      <formula2>50000</formula2>
    </dataValidation>
    <dataValidation sqref="D6:D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E6:E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F6:F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G6:G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H6:H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I6:I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  <dataValidation sqref="J6:J370" showDropDown="0" showInputMessage="0" showErrorMessage="1" allowBlank="1" errorTitle="Outside expected range" error="Expected between 0 and 5000. Click Yes to keep the value if it is correct." type="whole" errorStyle="warning" operator="between">
      <formula1>0</formula1>
      <formula2>5000</formula2>
    </dataValidation>
    <dataValidation sqref="K6:K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L6:L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M6:M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N6:N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O6:O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  <dataValidation sqref="P6:P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G4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.4" customWidth="1" min="3" max="3"/>
    <col width="11" customWidth="1" min="4" max="4"/>
    <col width="11.9" customWidth="1" min="5" max="5"/>
    <col width="32" customWidth="1" min="6" max="6"/>
    <col width="32" customWidth="1" min="7" max="7"/>
  </cols>
  <sheetData>
    <row r="1">
      <c r="A1" s="50" t="inlineStr">
        <is>
          <t>Gold shipments and sales</t>
        </is>
      </c>
    </row>
    <row r="2">
      <c r="A2" s="6" t="inlineStr">
        <is>
          <t>Owner: Finance / gold room.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Type</t>
        </is>
      </c>
      <c r="C4" s="51" t="inlineStr">
        <is>
          <t>Dore weight (kg)</t>
        </is>
      </c>
      <c r="D4" s="51" t="inlineStr">
        <is>
          <t>Gold (oz)</t>
        </is>
      </c>
      <c r="E4" s="51" t="inlineStr">
        <is>
          <t>Silver (oz)</t>
        </is>
      </c>
      <c r="F4" s="51" t="inlineStr">
        <is>
          <t>Reference</t>
        </is>
      </c>
      <c r="G4" s="51" t="inlineStr">
        <is>
          <t>Comments</t>
        </is>
      </c>
    </row>
    <row r="5">
      <c r="A5" s="52" t="inlineStr">
        <is>
          <t>Date</t>
        </is>
      </c>
      <c r="B5" s="52" t="inlineStr">
        <is>
          <t>Type</t>
        </is>
      </c>
      <c r="C5" s="52" t="inlineStr">
        <is>
          <t>Dore_kg</t>
        </is>
      </c>
      <c r="D5" s="52" t="inlineStr">
        <is>
          <t>Gold_oz</t>
        </is>
      </c>
      <c r="E5" s="52" t="inlineStr">
        <is>
          <t>Silver_oz</t>
        </is>
      </c>
      <c r="F5" s="52" t="inlineStr">
        <is>
          <t>Reference</t>
        </is>
      </c>
      <c r="G5" s="52" t="inlineStr">
        <is>
          <t>Comments</t>
        </is>
      </c>
    </row>
    <row r="6">
      <c r="A6" s="54" t="n"/>
      <c r="B6" s="61" t="n"/>
      <c r="C6" s="55" t="n"/>
      <c r="D6" s="55" t="n"/>
      <c r="E6" s="55" t="n"/>
      <c r="F6" s="58" t="n"/>
      <c r="G6" s="58" t="n"/>
    </row>
    <row r="7">
      <c r="A7" s="54" t="n"/>
      <c r="B7" s="61" t="n"/>
      <c r="C7" s="55" t="n"/>
      <c r="D7" s="55" t="n"/>
      <c r="E7" s="55" t="n"/>
      <c r="F7" s="58" t="n"/>
      <c r="G7" s="58" t="n"/>
    </row>
    <row r="8">
      <c r="A8" s="54" t="n"/>
      <c r="B8" s="61" t="n"/>
      <c r="C8" s="55" t="n"/>
      <c r="D8" s="55" t="n"/>
      <c r="E8" s="55" t="n"/>
      <c r="F8" s="58" t="n"/>
      <c r="G8" s="58" t="n"/>
    </row>
    <row r="9">
      <c r="A9" s="54" t="n"/>
      <c r="B9" s="61" t="n"/>
      <c r="C9" s="55" t="n"/>
      <c r="D9" s="55" t="n"/>
      <c r="E9" s="55" t="n"/>
      <c r="F9" s="58" t="n"/>
      <c r="G9" s="58" t="n"/>
    </row>
    <row r="10">
      <c r="A10" s="54" t="n"/>
      <c r="B10" s="61" t="n"/>
      <c r="C10" s="55" t="n"/>
      <c r="D10" s="55" t="n"/>
      <c r="E10" s="55" t="n"/>
      <c r="F10" s="58" t="n"/>
      <c r="G10" s="58" t="n"/>
    </row>
    <row r="11">
      <c r="A11" s="54" t="n"/>
      <c r="B11" s="61" t="n"/>
      <c r="C11" s="55" t="n"/>
      <c r="D11" s="55" t="n"/>
      <c r="E11" s="55" t="n"/>
      <c r="F11" s="58" t="n"/>
      <c r="G11" s="58" t="n"/>
    </row>
    <row r="12">
      <c r="A12" s="54" t="n"/>
      <c r="B12" s="61" t="n"/>
      <c r="C12" s="55" t="n"/>
      <c r="D12" s="55" t="n"/>
      <c r="E12" s="55" t="n"/>
      <c r="F12" s="58" t="n"/>
      <c r="G12" s="58" t="n"/>
    </row>
    <row r="13">
      <c r="A13" s="54" t="n"/>
      <c r="B13" s="61" t="n"/>
      <c r="C13" s="55" t="n"/>
      <c r="D13" s="55" t="n"/>
      <c r="E13" s="55" t="n"/>
      <c r="F13" s="58" t="n"/>
      <c r="G13" s="58" t="n"/>
    </row>
    <row r="14">
      <c r="A14" s="54" t="n"/>
      <c r="B14" s="61" t="n"/>
      <c r="C14" s="55" t="n"/>
      <c r="D14" s="55" t="n"/>
      <c r="E14" s="55" t="n"/>
      <c r="F14" s="58" t="n"/>
      <c r="G14" s="58" t="n"/>
    </row>
    <row r="15">
      <c r="A15" s="54" t="n"/>
      <c r="B15" s="61" t="n"/>
      <c r="C15" s="55" t="n"/>
      <c r="D15" s="55" t="n"/>
      <c r="E15" s="55" t="n"/>
      <c r="F15" s="58" t="n"/>
      <c r="G15" s="58" t="n"/>
    </row>
    <row r="16">
      <c r="A16" s="54" t="n"/>
      <c r="B16" s="61" t="n"/>
      <c r="C16" s="55" t="n"/>
      <c r="D16" s="55" t="n"/>
      <c r="E16" s="55" t="n"/>
      <c r="F16" s="58" t="n"/>
      <c r="G16" s="58" t="n"/>
    </row>
    <row r="17">
      <c r="A17" s="54" t="n"/>
      <c r="B17" s="61" t="n"/>
      <c r="C17" s="55" t="n"/>
      <c r="D17" s="55" t="n"/>
      <c r="E17" s="55" t="n"/>
      <c r="F17" s="58" t="n"/>
      <c r="G17" s="58" t="n"/>
    </row>
    <row r="18">
      <c r="A18" s="54" t="n"/>
      <c r="B18" s="61" t="n"/>
      <c r="C18" s="55" t="n"/>
      <c r="D18" s="55" t="n"/>
      <c r="E18" s="55" t="n"/>
      <c r="F18" s="58" t="n"/>
      <c r="G18" s="58" t="n"/>
    </row>
    <row r="19">
      <c r="A19" s="54" t="n"/>
      <c r="B19" s="61" t="n"/>
      <c r="C19" s="55" t="n"/>
      <c r="D19" s="55" t="n"/>
      <c r="E19" s="55" t="n"/>
      <c r="F19" s="58" t="n"/>
      <c r="G19" s="58" t="n"/>
    </row>
    <row r="20">
      <c r="A20" s="54" t="n"/>
      <c r="B20" s="61" t="n"/>
      <c r="C20" s="55" t="n"/>
      <c r="D20" s="55" t="n"/>
      <c r="E20" s="55" t="n"/>
      <c r="F20" s="58" t="n"/>
      <c r="G20" s="58" t="n"/>
    </row>
    <row r="21">
      <c r="A21" s="54" t="n"/>
      <c r="B21" s="61" t="n"/>
      <c r="C21" s="55" t="n"/>
      <c r="D21" s="55" t="n"/>
      <c r="E21" s="55" t="n"/>
      <c r="F21" s="58" t="n"/>
      <c r="G21" s="58" t="n"/>
    </row>
    <row r="22">
      <c r="A22" s="54" t="n"/>
      <c r="B22" s="61" t="n"/>
      <c r="C22" s="55" t="n"/>
      <c r="D22" s="55" t="n"/>
      <c r="E22" s="55" t="n"/>
      <c r="F22" s="58" t="n"/>
      <c r="G22" s="58" t="n"/>
    </row>
    <row r="23">
      <c r="A23" s="54" t="n"/>
      <c r="B23" s="61" t="n"/>
      <c r="C23" s="55" t="n"/>
      <c r="D23" s="55" t="n"/>
      <c r="E23" s="55" t="n"/>
      <c r="F23" s="58" t="n"/>
      <c r="G23" s="58" t="n"/>
    </row>
    <row r="24">
      <c r="A24" s="54" t="n"/>
      <c r="B24" s="61" t="n"/>
      <c r="C24" s="55" t="n"/>
      <c r="D24" s="55" t="n"/>
      <c r="E24" s="55" t="n"/>
      <c r="F24" s="58" t="n"/>
      <c r="G24" s="58" t="n"/>
    </row>
    <row r="25">
      <c r="A25" s="54" t="n"/>
      <c r="B25" s="61" t="n"/>
      <c r="C25" s="55" t="n"/>
      <c r="D25" s="55" t="n"/>
      <c r="E25" s="55" t="n"/>
      <c r="F25" s="58" t="n"/>
      <c r="G25" s="58" t="n"/>
    </row>
    <row r="26">
      <c r="A26" s="54" t="n"/>
      <c r="B26" s="61" t="n"/>
      <c r="C26" s="55" t="n"/>
      <c r="D26" s="55" t="n"/>
      <c r="E26" s="55" t="n"/>
      <c r="F26" s="58" t="n"/>
      <c r="G26" s="58" t="n"/>
    </row>
    <row r="27">
      <c r="A27" s="54" t="n"/>
      <c r="B27" s="61" t="n"/>
      <c r="C27" s="55" t="n"/>
      <c r="D27" s="55" t="n"/>
      <c r="E27" s="55" t="n"/>
      <c r="F27" s="58" t="n"/>
      <c r="G27" s="58" t="n"/>
    </row>
    <row r="28">
      <c r="A28" s="54" t="n"/>
      <c r="B28" s="61" t="n"/>
      <c r="C28" s="55" t="n"/>
      <c r="D28" s="55" t="n"/>
      <c r="E28" s="55" t="n"/>
      <c r="F28" s="58" t="n"/>
      <c r="G28" s="58" t="n"/>
    </row>
    <row r="29">
      <c r="A29" s="54" t="n"/>
      <c r="B29" s="61" t="n"/>
      <c r="C29" s="55" t="n"/>
      <c r="D29" s="55" t="n"/>
      <c r="E29" s="55" t="n"/>
      <c r="F29" s="58" t="n"/>
      <c r="G29" s="58" t="n"/>
    </row>
    <row r="30">
      <c r="A30" s="54" t="n"/>
      <c r="B30" s="61" t="n"/>
      <c r="C30" s="55" t="n"/>
      <c r="D30" s="55" t="n"/>
      <c r="E30" s="55" t="n"/>
      <c r="F30" s="58" t="n"/>
      <c r="G30" s="58" t="n"/>
    </row>
    <row r="31">
      <c r="A31" s="54" t="n"/>
      <c r="B31" s="61" t="n"/>
      <c r="C31" s="55" t="n"/>
      <c r="D31" s="55" t="n"/>
      <c r="E31" s="55" t="n"/>
      <c r="F31" s="58" t="n"/>
      <c r="G31" s="58" t="n"/>
    </row>
    <row r="32">
      <c r="A32" s="54" t="n"/>
      <c r="B32" s="61" t="n"/>
      <c r="C32" s="55" t="n"/>
      <c r="D32" s="55" t="n"/>
      <c r="E32" s="55" t="n"/>
      <c r="F32" s="58" t="n"/>
      <c r="G32" s="58" t="n"/>
    </row>
    <row r="33">
      <c r="A33" s="54" t="n"/>
      <c r="B33" s="61" t="n"/>
      <c r="C33" s="55" t="n"/>
      <c r="D33" s="55" t="n"/>
      <c r="E33" s="55" t="n"/>
      <c r="F33" s="58" t="n"/>
      <c r="G33" s="58" t="n"/>
    </row>
    <row r="34">
      <c r="A34" s="54" t="n"/>
      <c r="B34" s="61" t="n"/>
      <c r="C34" s="55" t="n"/>
      <c r="D34" s="55" t="n"/>
      <c r="E34" s="55" t="n"/>
      <c r="F34" s="58" t="n"/>
      <c r="G34" s="58" t="n"/>
    </row>
    <row r="35">
      <c r="A35" s="54" t="n"/>
      <c r="B35" s="61" t="n"/>
      <c r="C35" s="55" t="n"/>
      <c r="D35" s="55" t="n"/>
      <c r="E35" s="55" t="n"/>
      <c r="F35" s="58" t="n"/>
      <c r="G35" s="58" t="n"/>
    </row>
    <row r="36">
      <c r="A36" s="54" t="n"/>
      <c r="B36" s="61" t="n"/>
      <c r="C36" s="55" t="n"/>
      <c r="D36" s="55" t="n"/>
      <c r="E36" s="55" t="n"/>
      <c r="F36" s="58" t="n"/>
      <c r="G36" s="58" t="n"/>
    </row>
    <row r="37">
      <c r="A37" s="54" t="n"/>
      <c r="B37" s="61" t="n"/>
      <c r="C37" s="55" t="n"/>
      <c r="D37" s="55" t="n"/>
      <c r="E37" s="55" t="n"/>
      <c r="F37" s="58" t="n"/>
      <c r="G37" s="58" t="n"/>
    </row>
    <row r="38">
      <c r="A38" s="54" t="n"/>
      <c r="B38" s="61" t="n"/>
      <c r="C38" s="55" t="n"/>
      <c r="D38" s="55" t="n"/>
      <c r="E38" s="55" t="n"/>
      <c r="F38" s="58" t="n"/>
      <c r="G38" s="58" t="n"/>
    </row>
    <row r="39">
      <c r="A39" s="54" t="n"/>
      <c r="B39" s="61" t="n"/>
      <c r="C39" s="55" t="n"/>
      <c r="D39" s="55" t="n"/>
      <c r="E39" s="55" t="n"/>
      <c r="F39" s="58" t="n"/>
      <c r="G39" s="58" t="n"/>
    </row>
    <row r="40">
      <c r="A40" s="54" t="n"/>
      <c r="B40" s="61" t="n"/>
      <c r="C40" s="55" t="n"/>
      <c r="D40" s="55" t="n"/>
      <c r="E40" s="55" t="n"/>
      <c r="F40" s="58" t="n"/>
      <c r="G40" s="58" t="n"/>
    </row>
    <row r="41">
      <c r="A41" s="54" t="n"/>
      <c r="B41" s="61" t="n"/>
      <c r="C41" s="55" t="n"/>
      <c r="D41" s="55" t="n"/>
      <c r="E41" s="55" t="n"/>
      <c r="F41" s="58" t="n"/>
      <c r="G41" s="58" t="n"/>
    </row>
    <row r="42">
      <c r="A42" s="54" t="n"/>
      <c r="B42" s="61" t="n"/>
      <c r="C42" s="55" t="n"/>
      <c r="D42" s="55" t="n"/>
      <c r="E42" s="55" t="n"/>
      <c r="F42" s="58" t="n"/>
      <c r="G42" s="58" t="n"/>
    </row>
    <row r="43">
      <c r="A43" s="54" t="n"/>
      <c r="B43" s="61" t="n"/>
      <c r="C43" s="55" t="n"/>
      <c r="D43" s="55" t="n"/>
      <c r="E43" s="55" t="n"/>
      <c r="F43" s="58" t="n"/>
      <c r="G43" s="58" t="n"/>
    </row>
    <row r="44">
      <c r="A44" s="54" t="n"/>
      <c r="B44" s="61" t="n"/>
      <c r="C44" s="55" t="n"/>
      <c r="D44" s="55" t="n"/>
      <c r="E44" s="55" t="n"/>
      <c r="F44" s="58" t="n"/>
      <c r="G44" s="58" t="n"/>
    </row>
    <row r="45">
      <c r="A45" s="54" t="n"/>
      <c r="B45" s="61" t="n"/>
      <c r="C45" s="55" t="n"/>
      <c r="D45" s="55" t="n"/>
      <c r="E45" s="55" t="n"/>
      <c r="F45" s="58" t="n"/>
      <c r="G45" s="58" t="n"/>
    </row>
    <row r="46">
      <c r="A46" s="54" t="n"/>
      <c r="B46" s="61" t="n"/>
      <c r="C46" s="55" t="n"/>
      <c r="D46" s="55" t="n"/>
      <c r="E46" s="55" t="n"/>
      <c r="F46" s="58" t="n"/>
      <c r="G46" s="58" t="n"/>
    </row>
    <row r="47">
      <c r="A47" s="54" t="n"/>
      <c r="B47" s="61" t="n"/>
      <c r="C47" s="55" t="n"/>
      <c r="D47" s="55" t="n"/>
      <c r="E47" s="55" t="n"/>
      <c r="F47" s="58" t="n"/>
      <c r="G47" s="58" t="n"/>
    </row>
    <row r="48">
      <c r="A48" s="54" t="n"/>
      <c r="B48" s="61" t="n"/>
      <c r="C48" s="55" t="n"/>
      <c r="D48" s="55" t="n"/>
      <c r="E48" s="55" t="n"/>
      <c r="F48" s="58" t="n"/>
      <c r="G48" s="58" t="n"/>
    </row>
    <row r="49">
      <c r="A49" s="54" t="n"/>
      <c r="B49" s="61" t="n"/>
      <c r="C49" s="55" t="n"/>
      <c r="D49" s="55" t="n"/>
      <c r="E49" s="55" t="n"/>
      <c r="F49" s="58" t="n"/>
      <c r="G49" s="58" t="n"/>
    </row>
    <row r="50">
      <c r="A50" s="54" t="n"/>
      <c r="B50" s="61" t="n"/>
      <c r="C50" s="55" t="n"/>
      <c r="D50" s="55" t="n"/>
      <c r="E50" s="55" t="n"/>
      <c r="F50" s="58" t="n"/>
      <c r="G50" s="58" t="n"/>
    </row>
    <row r="51">
      <c r="A51" s="54" t="n"/>
      <c r="B51" s="61" t="n"/>
      <c r="C51" s="55" t="n"/>
      <c r="D51" s="55" t="n"/>
      <c r="E51" s="55" t="n"/>
      <c r="F51" s="58" t="n"/>
      <c r="G51" s="58" t="n"/>
    </row>
    <row r="52">
      <c r="A52" s="54" t="n"/>
      <c r="B52" s="61" t="n"/>
      <c r="C52" s="55" t="n"/>
      <c r="D52" s="55" t="n"/>
      <c r="E52" s="55" t="n"/>
      <c r="F52" s="58" t="n"/>
      <c r="G52" s="58" t="n"/>
    </row>
    <row r="53">
      <c r="A53" s="54" t="n"/>
      <c r="B53" s="61" t="n"/>
      <c r="C53" s="55" t="n"/>
      <c r="D53" s="55" t="n"/>
      <c r="E53" s="55" t="n"/>
      <c r="F53" s="58" t="n"/>
      <c r="G53" s="58" t="n"/>
    </row>
    <row r="54">
      <c r="A54" s="54" t="n"/>
      <c r="B54" s="61" t="n"/>
      <c r="C54" s="55" t="n"/>
      <c r="D54" s="55" t="n"/>
      <c r="E54" s="55" t="n"/>
      <c r="F54" s="58" t="n"/>
      <c r="G54" s="58" t="n"/>
    </row>
    <row r="55">
      <c r="A55" s="54" t="n"/>
      <c r="B55" s="61" t="n"/>
      <c r="C55" s="55" t="n"/>
      <c r="D55" s="55" t="n"/>
      <c r="E55" s="55" t="n"/>
      <c r="F55" s="58" t="n"/>
      <c r="G55" s="58" t="n"/>
    </row>
    <row r="56">
      <c r="A56" s="54" t="n"/>
      <c r="B56" s="61" t="n"/>
      <c r="C56" s="55" t="n"/>
      <c r="D56" s="55" t="n"/>
      <c r="E56" s="55" t="n"/>
      <c r="F56" s="58" t="n"/>
      <c r="G56" s="58" t="n"/>
    </row>
    <row r="57">
      <c r="A57" s="54" t="n"/>
      <c r="B57" s="61" t="n"/>
      <c r="C57" s="55" t="n"/>
      <c r="D57" s="55" t="n"/>
      <c r="E57" s="55" t="n"/>
      <c r="F57" s="58" t="n"/>
      <c r="G57" s="58" t="n"/>
    </row>
    <row r="58">
      <c r="A58" s="54" t="n"/>
      <c r="B58" s="61" t="n"/>
      <c r="C58" s="55" t="n"/>
      <c r="D58" s="55" t="n"/>
      <c r="E58" s="55" t="n"/>
      <c r="F58" s="58" t="n"/>
      <c r="G58" s="58" t="n"/>
    </row>
    <row r="59">
      <c r="A59" s="54" t="n"/>
      <c r="B59" s="61" t="n"/>
      <c r="C59" s="55" t="n"/>
      <c r="D59" s="55" t="n"/>
      <c r="E59" s="55" t="n"/>
      <c r="F59" s="58" t="n"/>
      <c r="G59" s="58" t="n"/>
    </row>
    <row r="60">
      <c r="A60" s="54" t="n"/>
      <c r="B60" s="61" t="n"/>
      <c r="C60" s="55" t="n"/>
      <c r="D60" s="55" t="n"/>
      <c r="E60" s="55" t="n"/>
      <c r="F60" s="58" t="n"/>
      <c r="G60" s="58" t="n"/>
    </row>
    <row r="61">
      <c r="A61" s="54" t="n"/>
      <c r="B61" s="61" t="n"/>
      <c r="C61" s="55" t="n"/>
      <c r="D61" s="55" t="n"/>
      <c r="E61" s="55" t="n"/>
      <c r="F61" s="58" t="n"/>
      <c r="G61" s="58" t="n"/>
    </row>
    <row r="62">
      <c r="A62" s="54" t="n"/>
      <c r="B62" s="61" t="n"/>
      <c r="C62" s="55" t="n"/>
      <c r="D62" s="55" t="n"/>
      <c r="E62" s="55" t="n"/>
      <c r="F62" s="58" t="n"/>
      <c r="G62" s="58" t="n"/>
    </row>
    <row r="63">
      <c r="A63" s="54" t="n"/>
      <c r="B63" s="61" t="n"/>
      <c r="C63" s="55" t="n"/>
      <c r="D63" s="55" t="n"/>
      <c r="E63" s="55" t="n"/>
      <c r="F63" s="58" t="n"/>
      <c r="G63" s="58" t="n"/>
    </row>
    <row r="64">
      <c r="A64" s="54" t="n"/>
      <c r="B64" s="61" t="n"/>
      <c r="C64" s="55" t="n"/>
      <c r="D64" s="55" t="n"/>
      <c r="E64" s="55" t="n"/>
      <c r="F64" s="58" t="n"/>
      <c r="G64" s="58" t="n"/>
    </row>
    <row r="65">
      <c r="A65" s="54" t="n"/>
      <c r="B65" s="61" t="n"/>
      <c r="C65" s="55" t="n"/>
      <c r="D65" s="55" t="n"/>
      <c r="E65" s="55" t="n"/>
      <c r="F65" s="58" t="n"/>
      <c r="G65" s="58" t="n"/>
    </row>
    <row r="66">
      <c r="A66" s="54" t="n"/>
      <c r="B66" s="61" t="n"/>
      <c r="C66" s="55" t="n"/>
      <c r="D66" s="55" t="n"/>
      <c r="E66" s="55" t="n"/>
      <c r="F66" s="58" t="n"/>
      <c r="G66" s="58" t="n"/>
    </row>
    <row r="67">
      <c r="A67" s="54" t="n"/>
      <c r="B67" s="61" t="n"/>
      <c r="C67" s="55" t="n"/>
      <c r="D67" s="55" t="n"/>
      <c r="E67" s="55" t="n"/>
      <c r="F67" s="58" t="n"/>
      <c r="G67" s="58" t="n"/>
    </row>
    <row r="68">
      <c r="A68" s="54" t="n"/>
      <c r="B68" s="61" t="n"/>
      <c r="C68" s="55" t="n"/>
      <c r="D68" s="55" t="n"/>
      <c r="E68" s="55" t="n"/>
      <c r="F68" s="58" t="n"/>
      <c r="G68" s="58" t="n"/>
    </row>
    <row r="69">
      <c r="A69" s="54" t="n"/>
      <c r="B69" s="61" t="n"/>
      <c r="C69" s="55" t="n"/>
      <c r="D69" s="55" t="n"/>
      <c r="E69" s="55" t="n"/>
      <c r="F69" s="58" t="n"/>
      <c r="G69" s="58" t="n"/>
    </row>
    <row r="70">
      <c r="A70" s="54" t="n"/>
      <c r="B70" s="61" t="n"/>
      <c r="C70" s="55" t="n"/>
      <c r="D70" s="55" t="n"/>
      <c r="E70" s="55" t="n"/>
      <c r="F70" s="58" t="n"/>
      <c r="G70" s="58" t="n"/>
    </row>
    <row r="71">
      <c r="A71" s="54" t="n"/>
      <c r="B71" s="61" t="n"/>
      <c r="C71" s="55" t="n"/>
      <c r="D71" s="55" t="n"/>
      <c r="E71" s="55" t="n"/>
      <c r="F71" s="58" t="n"/>
      <c r="G71" s="58" t="n"/>
    </row>
    <row r="72">
      <c r="A72" s="54" t="n"/>
      <c r="B72" s="61" t="n"/>
      <c r="C72" s="55" t="n"/>
      <c r="D72" s="55" t="n"/>
      <c r="E72" s="55" t="n"/>
      <c r="F72" s="58" t="n"/>
      <c r="G72" s="58" t="n"/>
    </row>
    <row r="73">
      <c r="A73" s="54" t="n"/>
      <c r="B73" s="61" t="n"/>
      <c r="C73" s="55" t="n"/>
      <c r="D73" s="55" t="n"/>
      <c r="E73" s="55" t="n"/>
      <c r="F73" s="58" t="n"/>
      <c r="G73" s="58" t="n"/>
    </row>
    <row r="74">
      <c r="A74" s="54" t="n"/>
      <c r="B74" s="61" t="n"/>
      <c r="C74" s="55" t="n"/>
      <c r="D74" s="55" t="n"/>
      <c r="E74" s="55" t="n"/>
      <c r="F74" s="58" t="n"/>
      <c r="G74" s="58" t="n"/>
    </row>
    <row r="75">
      <c r="A75" s="54" t="n"/>
      <c r="B75" s="61" t="n"/>
      <c r="C75" s="55" t="n"/>
      <c r="D75" s="55" t="n"/>
      <c r="E75" s="55" t="n"/>
      <c r="F75" s="58" t="n"/>
      <c r="G75" s="58" t="n"/>
    </row>
    <row r="76">
      <c r="A76" s="54" t="n"/>
      <c r="B76" s="61" t="n"/>
      <c r="C76" s="55" t="n"/>
      <c r="D76" s="55" t="n"/>
      <c r="E76" s="55" t="n"/>
      <c r="F76" s="58" t="n"/>
      <c r="G76" s="58" t="n"/>
    </row>
    <row r="77">
      <c r="A77" s="54" t="n"/>
      <c r="B77" s="61" t="n"/>
      <c r="C77" s="55" t="n"/>
      <c r="D77" s="55" t="n"/>
      <c r="E77" s="55" t="n"/>
      <c r="F77" s="58" t="n"/>
      <c r="G77" s="58" t="n"/>
    </row>
    <row r="78">
      <c r="A78" s="54" t="n"/>
      <c r="B78" s="61" t="n"/>
      <c r="C78" s="55" t="n"/>
      <c r="D78" s="55" t="n"/>
      <c r="E78" s="55" t="n"/>
      <c r="F78" s="58" t="n"/>
      <c r="G78" s="58" t="n"/>
    </row>
    <row r="79">
      <c r="A79" s="54" t="n"/>
      <c r="B79" s="61" t="n"/>
      <c r="C79" s="55" t="n"/>
      <c r="D79" s="55" t="n"/>
      <c r="E79" s="55" t="n"/>
      <c r="F79" s="58" t="n"/>
      <c r="G79" s="58" t="n"/>
    </row>
    <row r="80">
      <c r="A80" s="54" t="n"/>
      <c r="B80" s="61" t="n"/>
      <c r="C80" s="55" t="n"/>
      <c r="D80" s="55" t="n"/>
      <c r="E80" s="55" t="n"/>
      <c r="F80" s="58" t="n"/>
      <c r="G80" s="58" t="n"/>
    </row>
    <row r="81">
      <c r="A81" s="54" t="n"/>
      <c r="B81" s="61" t="n"/>
      <c r="C81" s="55" t="n"/>
      <c r="D81" s="55" t="n"/>
      <c r="E81" s="55" t="n"/>
      <c r="F81" s="58" t="n"/>
      <c r="G81" s="58" t="n"/>
    </row>
    <row r="82">
      <c r="A82" s="54" t="n"/>
      <c r="B82" s="61" t="n"/>
      <c r="C82" s="55" t="n"/>
      <c r="D82" s="55" t="n"/>
      <c r="E82" s="55" t="n"/>
      <c r="F82" s="58" t="n"/>
      <c r="G82" s="58" t="n"/>
    </row>
    <row r="83">
      <c r="A83" s="54" t="n"/>
      <c r="B83" s="61" t="n"/>
      <c r="C83" s="55" t="n"/>
      <c r="D83" s="55" t="n"/>
      <c r="E83" s="55" t="n"/>
      <c r="F83" s="58" t="n"/>
      <c r="G83" s="58" t="n"/>
    </row>
    <row r="84">
      <c r="A84" s="54" t="n"/>
      <c r="B84" s="61" t="n"/>
      <c r="C84" s="55" t="n"/>
      <c r="D84" s="55" t="n"/>
      <c r="E84" s="55" t="n"/>
      <c r="F84" s="58" t="n"/>
      <c r="G84" s="58" t="n"/>
    </row>
    <row r="85">
      <c r="A85" s="54" t="n"/>
      <c r="B85" s="61" t="n"/>
      <c r="C85" s="55" t="n"/>
      <c r="D85" s="55" t="n"/>
      <c r="E85" s="55" t="n"/>
      <c r="F85" s="58" t="n"/>
      <c r="G85" s="58" t="n"/>
    </row>
    <row r="86">
      <c r="A86" s="54" t="n"/>
      <c r="B86" s="61" t="n"/>
      <c r="C86" s="55" t="n"/>
      <c r="D86" s="55" t="n"/>
      <c r="E86" s="55" t="n"/>
      <c r="F86" s="58" t="n"/>
      <c r="G86" s="58" t="n"/>
    </row>
    <row r="87">
      <c r="A87" s="54" t="n"/>
      <c r="B87" s="61" t="n"/>
      <c r="C87" s="55" t="n"/>
      <c r="D87" s="55" t="n"/>
      <c r="E87" s="55" t="n"/>
      <c r="F87" s="58" t="n"/>
      <c r="G87" s="58" t="n"/>
    </row>
    <row r="88">
      <c r="A88" s="54" t="n"/>
      <c r="B88" s="61" t="n"/>
      <c r="C88" s="55" t="n"/>
      <c r="D88" s="55" t="n"/>
      <c r="E88" s="55" t="n"/>
      <c r="F88" s="58" t="n"/>
      <c r="G88" s="58" t="n"/>
    </row>
    <row r="89">
      <c r="A89" s="54" t="n"/>
      <c r="B89" s="61" t="n"/>
      <c r="C89" s="55" t="n"/>
      <c r="D89" s="55" t="n"/>
      <c r="E89" s="55" t="n"/>
      <c r="F89" s="58" t="n"/>
      <c r="G89" s="58" t="n"/>
    </row>
    <row r="90">
      <c r="A90" s="54" t="n"/>
      <c r="B90" s="61" t="n"/>
      <c r="C90" s="55" t="n"/>
      <c r="D90" s="55" t="n"/>
      <c r="E90" s="55" t="n"/>
      <c r="F90" s="58" t="n"/>
      <c r="G90" s="58" t="n"/>
    </row>
    <row r="91">
      <c r="A91" s="54" t="n"/>
      <c r="B91" s="61" t="n"/>
      <c r="C91" s="55" t="n"/>
      <c r="D91" s="55" t="n"/>
      <c r="E91" s="55" t="n"/>
      <c r="F91" s="58" t="n"/>
      <c r="G91" s="58" t="n"/>
    </row>
    <row r="92">
      <c r="A92" s="54" t="n"/>
      <c r="B92" s="61" t="n"/>
      <c r="C92" s="55" t="n"/>
      <c r="D92" s="55" t="n"/>
      <c r="E92" s="55" t="n"/>
      <c r="F92" s="58" t="n"/>
      <c r="G92" s="58" t="n"/>
    </row>
    <row r="93">
      <c r="A93" s="54" t="n"/>
      <c r="B93" s="61" t="n"/>
      <c r="C93" s="55" t="n"/>
      <c r="D93" s="55" t="n"/>
      <c r="E93" s="55" t="n"/>
      <c r="F93" s="58" t="n"/>
      <c r="G93" s="58" t="n"/>
    </row>
    <row r="94">
      <c r="A94" s="54" t="n"/>
      <c r="B94" s="61" t="n"/>
      <c r="C94" s="55" t="n"/>
      <c r="D94" s="55" t="n"/>
      <c r="E94" s="55" t="n"/>
      <c r="F94" s="58" t="n"/>
      <c r="G94" s="58" t="n"/>
    </row>
    <row r="95">
      <c r="A95" s="54" t="n"/>
      <c r="B95" s="61" t="n"/>
      <c r="C95" s="55" t="n"/>
      <c r="D95" s="55" t="n"/>
      <c r="E95" s="55" t="n"/>
      <c r="F95" s="58" t="n"/>
      <c r="G95" s="58" t="n"/>
    </row>
    <row r="96">
      <c r="A96" s="54" t="n"/>
      <c r="B96" s="61" t="n"/>
      <c r="C96" s="55" t="n"/>
      <c r="D96" s="55" t="n"/>
      <c r="E96" s="55" t="n"/>
      <c r="F96" s="58" t="n"/>
      <c r="G96" s="58" t="n"/>
    </row>
    <row r="97">
      <c r="A97" s="54" t="n"/>
      <c r="B97" s="61" t="n"/>
      <c r="C97" s="55" t="n"/>
      <c r="D97" s="55" t="n"/>
      <c r="E97" s="55" t="n"/>
      <c r="F97" s="58" t="n"/>
      <c r="G97" s="58" t="n"/>
    </row>
    <row r="98">
      <c r="A98" s="54" t="n"/>
      <c r="B98" s="61" t="n"/>
      <c r="C98" s="55" t="n"/>
      <c r="D98" s="55" t="n"/>
      <c r="E98" s="55" t="n"/>
      <c r="F98" s="58" t="n"/>
      <c r="G98" s="58" t="n"/>
    </row>
    <row r="99">
      <c r="A99" s="54" t="n"/>
      <c r="B99" s="61" t="n"/>
      <c r="C99" s="55" t="n"/>
      <c r="D99" s="55" t="n"/>
      <c r="E99" s="55" t="n"/>
      <c r="F99" s="58" t="n"/>
      <c r="G99" s="58" t="n"/>
    </row>
    <row r="100">
      <c r="A100" s="54" t="n"/>
      <c r="B100" s="61" t="n"/>
      <c r="C100" s="55" t="n"/>
      <c r="D100" s="55" t="n"/>
      <c r="E100" s="55" t="n"/>
      <c r="F100" s="58" t="n"/>
      <c r="G100" s="58" t="n"/>
    </row>
    <row r="101">
      <c r="A101" s="54" t="n"/>
      <c r="B101" s="61" t="n"/>
      <c r="C101" s="55" t="n"/>
      <c r="D101" s="55" t="n"/>
      <c r="E101" s="55" t="n"/>
      <c r="F101" s="58" t="n"/>
      <c r="G101" s="58" t="n"/>
    </row>
    <row r="102">
      <c r="A102" s="54" t="n"/>
      <c r="B102" s="61" t="n"/>
      <c r="C102" s="55" t="n"/>
      <c r="D102" s="55" t="n"/>
      <c r="E102" s="55" t="n"/>
      <c r="F102" s="58" t="n"/>
      <c r="G102" s="58" t="n"/>
    </row>
    <row r="103">
      <c r="A103" s="54" t="n"/>
      <c r="B103" s="61" t="n"/>
      <c r="C103" s="55" t="n"/>
      <c r="D103" s="55" t="n"/>
      <c r="E103" s="55" t="n"/>
      <c r="F103" s="58" t="n"/>
      <c r="G103" s="58" t="n"/>
    </row>
    <row r="104">
      <c r="A104" s="54" t="n"/>
      <c r="B104" s="61" t="n"/>
      <c r="C104" s="55" t="n"/>
      <c r="D104" s="55" t="n"/>
      <c r="E104" s="55" t="n"/>
      <c r="F104" s="58" t="n"/>
      <c r="G104" s="58" t="n"/>
    </row>
    <row r="105">
      <c r="A105" s="54" t="n"/>
      <c r="B105" s="61" t="n"/>
      <c r="C105" s="55" t="n"/>
      <c r="D105" s="55" t="n"/>
      <c r="E105" s="55" t="n"/>
      <c r="F105" s="58" t="n"/>
      <c r="G105" s="58" t="n"/>
    </row>
    <row r="106">
      <c r="A106" s="54" t="n"/>
      <c r="B106" s="61" t="n"/>
      <c r="C106" s="55" t="n"/>
      <c r="D106" s="55" t="n"/>
      <c r="E106" s="55" t="n"/>
      <c r="F106" s="58" t="n"/>
      <c r="G106" s="58" t="n"/>
    </row>
    <row r="107">
      <c r="A107" s="54" t="n"/>
      <c r="B107" s="61" t="n"/>
      <c r="C107" s="55" t="n"/>
      <c r="D107" s="55" t="n"/>
      <c r="E107" s="55" t="n"/>
      <c r="F107" s="58" t="n"/>
      <c r="G107" s="58" t="n"/>
    </row>
    <row r="108">
      <c r="A108" s="54" t="n"/>
      <c r="B108" s="61" t="n"/>
      <c r="C108" s="55" t="n"/>
      <c r="D108" s="55" t="n"/>
      <c r="E108" s="55" t="n"/>
      <c r="F108" s="58" t="n"/>
      <c r="G108" s="58" t="n"/>
    </row>
    <row r="109">
      <c r="A109" s="54" t="n"/>
      <c r="B109" s="61" t="n"/>
      <c r="C109" s="55" t="n"/>
      <c r="D109" s="55" t="n"/>
      <c r="E109" s="55" t="n"/>
      <c r="F109" s="58" t="n"/>
      <c r="G109" s="58" t="n"/>
    </row>
    <row r="110">
      <c r="A110" s="54" t="n"/>
      <c r="B110" s="61" t="n"/>
      <c r="C110" s="55" t="n"/>
      <c r="D110" s="55" t="n"/>
      <c r="E110" s="55" t="n"/>
      <c r="F110" s="58" t="n"/>
      <c r="G110" s="58" t="n"/>
    </row>
    <row r="111">
      <c r="A111" s="54" t="n"/>
      <c r="B111" s="61" t="n"/>
      <c r="C111" s="55" t="n"/>
      <c r="D111" s="55" t="n"/>
      <c r="E111" s="55" t="n"/>
      <c r="F111" s="58" t="n"/>
      <c r="G111" s="58" t="n"/>
    </row>
    <row r="112">
      <c r="A112" s="54" t="n"/>
      <c r="B112" s="61" t="n"/>
      <c r="C112" s="55" t="n"/>
      <c r="D112" s="55" t="n"/>
      <c r="E112" s="55" t="n"/>
      <c r="F112" s="58" t="n"/>
      <c r="G112" s="58" t="n"/>
    </row>
    <row r="113">
      <c r="A113" s="54" t="n"/>
      <c r="B113" s="61" t="n"/>
      <c r="C113" s="55" t="n"/>
      <c r="D113" s="55" t="n"/>
      <c r="E113" s="55" t="n"/>
      <c r="F113" s="58" t="n"/>
      <c r="G113" s="58" t="n"/>
    </row>
    <row r="114">
      <c r="A114" s="54" t="n"/>
      <c r="B114" s="61" t="n"/>
      <c r="C114" s="55" t="n"/>
      <c r="D114" s="55" t="n"/>
      <c r="E114" s="55" t="n"/>
      <c r="F114" s="58" t="n"/>
      <c r="G114" s="58" t="n"/>
    </row>
    <row r="115">
      <c r="A115" s="54" t="n"/>
      <c r="B115" s="61" t="n"/>
      <c r="C115" s="55" t="n"/>
      <c r="D115" s="55" t="n"/>
      <c r="E115" s="55" t="n"/>
      <c r="F115" s="58" t="n"/>
      <c r="G115" s="58" t="n"/>
    </row>
    <row r="116">
      <c r="A116" s="54" t="n"/>
      <c r="B116" s="61" t="n"/>
      <c r="C116" s="55" t="n"/>
      <c r="D116" s="55" t="n"/>
      <c r="E116" s="55" t="n"/>
      <c r="F116" s="58" t="n"/>
      <c r="G116" s="58" t="n"/>
    </row>
    <row r="117">
      <c r="A117" s="54" t="n"/>
      <c r="B117" s="61" t="n"/>
      <c r="C117" s="55" t="n"/>
      <c r="D117" s="55" t="n"/>
      <c r="E117" s="55" t="n"/>
      <c r="F117" s="58" t="n"/>
      <c r="G117" s="58" t="n"/>
    </row>
    <row r="118">
      <c r="A118" s="54" t="n"/>
      <c r="B118" s="61" t="n"/>
      <c r="C118" s="55" t="n"/>
      <c r="D118" s="55" t="n"/>
      <c r="E118" s="55" t="n"/>
      <c r="F118" s="58" t="n"/>
      <c r="G118" s="58" t="n"/>
    </row>
    <row r="119">
      <c r="A119" s="54" t="n"/>
      <c r="B119" s="61" t="n"/>
      <c r="C119" s="55" t="n"/>
      <c r="D119" s="55" t="n"/>
      <c r="E119" s="55" t="n"/>
      <c r="F119" s="58" t="n"/>
      <c r="G119" s="58" t="n"/>
    </row>
    <row r="120">
      <c r="A120" s="54" t="n"/>
      <c r="B120" s="61" t="n"/>
      <c r="C120" s="55" t="n"/>
      <c r="D120" s="55" t="n"/>
      <c r="E120" s="55" t="n"/>
      <c r="F120" s="58" t="n"/>
      <c r="G120" s="58" t="n"/>
    </row>
    <row r="121">
      <c r="A121" s="54" t="n"/>
      <c r="B121" s="61" t="n"/>
      <c r="C121" s="55" t="n"/>
      <c r="D121" s="55" t="n"/>
      <c r="E121" s="55" t="n"/>
      <c r="F121" s="58" t="n"/>
      <c r="G121" s="58" t="n"/>
    </row>
    <row r="122">
      <c r="A122" s="54" t="n"/>
      <c r="B122" s="61" t="n"/>
      <c r="C122" s="55" t="n"/>
      <c r="D122" s="55" t="n"/>
      <c r="E122" s="55" t="n"/>
      <c r="F122" s="58" t="n"/>
      <c r="G122" s="58" t="n"/>
    </row>
    <row r="123">
      <c r="A123" s="54" t="n"/>
      <c r="B123" s="61" t="n"/>
      <c r="C123" s="55" t="n"/>
      <c r="D123" s="55" t="n"/>
      <c r="E123" s="55" t="n"/>
      <c r="F123" s="58" t="n"/>
      <c r="G123" s="58" t="n"/>
    </row>
    <row r="124">
      <c r="A124" s="54" t="n"/>
      <c r="B124" s="61" t="n"/>
      <c r="C124" s="55" t="n"/>
      <c r="D124" s="55" t="n"/>
      <c r="E124" s="55" t="n"/>
      <c r="F124" s="58" t="n"/>
      <c r="G124" s="58" t="n"/>
    </row>
    <row r="125">
      <c r="A125" s="54" t="n"/>
      <c r="B125" s="61" t="n"/>
      <c r="C125" s="55" t="n"/>
      <c r="D125" s="55" t="n"/>
      <c r="E125" s="55" t="n"/>
      <c r="F125" s="58" t="n"/>
      <c r="G125" s="58" t="n"/>
    </row>
    <row r="126">
      <c r="A126" s="54" t="n"/>
      <c r="B126" s="61" t="n"/>
      <c r="C126" s="55" t="n"/>
      <c r="D126" s="55" t="n"/>
      <c r="E126" s="55" t="n"/>
      <c r="F126" s="58" t="n"/>
      <c r="G126" s="58" t="n"/>
    </row>
    <row r="127">
      <c r="A127" s="54" t="n"/>
      <c r="B127" s="61" t="n"/>
      <c r="C127" s="55" t="n"/>
      <c r="D127" s="55" t="n"/>
      <c r="E127" s="55" t="n"/>
      <c r="F127" s="58" t="n"/>
      <c r="G127" s="58" t="n"/>
    </row>
    <row r="128">
      <c r="A128" s="54" t="n"/>
      <c r="B128" s="61" t="n"/>
      <c r="C128" s="55" t="n"/>
      <c r="D128" s="55" t="n"/>
      <c r="E128" s="55" t="n"/>
      <c r="F128" s="58" t="n"/>
      <c r="G128" s="58" t="n"/>
    </row>
    <row r="129">
      <c r="A129" s="54" t="n"/>
      <c r="B129" s="61" t="n"/>
      <c r="C129" s="55" t="n"/>
      <c r="D129" s="55" t="n"/>
      <c r="E129" s="55" t="n"/>
      <c r="F129" s="58" t="n"/>
      <c r="G129" s="58" t="n"/>
    </row>
    <row r="130">
      <c r="A130" s="54" t="n"/>
      <c r="B130" s="61" t="n"/>
      <c r="C130" s="55" t="n"/>
      <c r="D130" s="55" t="n"/>
      <c r="E130" s="55" t="n"/>
      <c r="F130" s="58" t="n"/>
      <c r="G130" s="58" t="n"/>
    </row>
    <row r="131">
      <c r="A131" s="54" t="n"/>
      <c r="B131" s="61" t="n"/>
      <c r="C131" s="55" t="n"/>
      <c r="D131" s="55" t="n"/>
      <c r="E131" s="55" t="n"/>
      <c r="F131" s="58" t="n"/>
      <c r="G131" s="58" t="n"/>
    </row>
    <row r="132">
      <c r="A132" s="54" t="n"/>
      <c r="B132" s="61" t="n"/>
      <c r="C132" s="55" t="n"/>
      <c r="D132" s="55" t="n"/>
      <c r="E132" s="55" t="n"/>
      <c r="F132" s="58" t="n"/>
      <c r="G132" s="58" t="n"/>
    </row>
    <row r="133">
      <c r="A133" s="54" t="n"/>
      <c r="B133" s="61" t="n"/>
      <c r="C133" s="55" t="n"/>
      <c r="D133" s="55" t="n"/>
      <c r="E133" s="55" t="n"/>
      <c r="F133" s="58" t="n"/>
      <c r="G133" s="58" t="n"/>
    </row>
    <row r="134">
      <c r="A134" s="54" t="n"/>
      <c r="B134" s="61" t="n"/>
      <c r="C134" s="55" t="n"/>
      <c r="D134" s="55" t="n"/>
      <c r="E134" s="55" t="n"/>
      <c r="F134" s="58" t="n"/>
      <c r="G134" s="58" t="n"/>
    </row>
    <row r="135">
      <c r="A135" s="54" t="n"/>
      <c r="B135" s="61" t="n"/>
      <c r="C135" s="55" t="n"/>
      <c r="D135" s="55" t="n"/>
      <c r="E135" s="55" t="n"/>
      <c r="F135" s="58" t="n"/>
      <c r="G135" s="58" t="n"/>
    </row>
    <row r="136">
      <c r="A136" s="54" t="n"/>
      <c r="B136" s="61" t="n"/>
      <c r="C136" s="55" t="n"/>
      <c r="D136" s="55" t="n"/>
      <c r="E136" s="55" t="n"/>
      <c r="F136" s="58" t="n"/>
      <c r="G136" s="58" t="n"/>
    </row>
    <row r="137">
      <c r="A137" s="54" t="n"/>
      <c r="B137" s="61" t="n"/>
      <c r="C137" s="55" t="n"/>
      <c r="D137" s="55" t="n"/>
      <c r="E137" s="55" t="n"/>
      <c r="F137" s="58" t="n"/>
      <c r="G137" s="58" t="n"/>
    </row>
    <row r="138">
      <c r="A138" s="54" t="n"/>
      <c r="B138" s="61" t="n"/>
      <c r="C138" s="55" t="n"/>
      <c r="D138" s="55" t="n"/>
      <c r="E138" s="55" t="n"/>
      <c r="F138" s="58" t="n"/>
      <c r="G138" s="58" t="n"/>
    </row>
    <row r="139">
      <c r="A139" s="54" t="n"/>
      <c r="B139" s="61" t="n"/>
      <c r="C139" s="55" t="n"/>
      <c r="D139" s="55" t="n"/>
      <c r="E139" s="55" t="n"/>
      <c r="F139" s="58" t="n"/>
      <c r="G139" s="58" t="n"/>
    </row>
    <row r="140">
      <c r="A140" s="54" t="n"/>
      <c r="B140" s="61" t="n"/>
      <c r="C140" s="55" t="n"/>
      <c r="D140" s="55" t="n"/>
      <c r="E140" s="55" t="n"/>
      <c r="F140" s="58" t="n"/>
      <c r="G140" s="58" t="n"/>
    </row>
    <row r="141">
      <c r="A141" s="54" t="n"/>
      <c r="B141" s="61" t="n"/>
      <c r="C141" s="55" t="n"/>
      <c r="D141" s="55" t="n"/>
      <c r="E141" s="55" t="n"/>
      <c r="F141" s="58" t="n"/>
      <c r="G141" s="58" t="n"/>
    </row>
    <row r="142">
      <c r="A142" s="54" t="n"/>
      <c r="B142" s="61" t="n"/>
      <c r="C142" s="55" t="n"/>
      <c r="D142" s="55" t="n"/>
      <c r="E142" s="55" t="n"/>
      <c r="F142" s="58" t="n"/>
      <c r="G142" s="58" t="n"/>
    </row>
    <row r="143">
      <c r="A143" s="54" t="n"/>
      <c r="B143" s="61" t="n"/>
      <c r="C143" s="55" t="n"/>
      <c r="D143" s="55" t="n"/>
      <c r="E143" s="55" t="n"/>
      <c r="F143" s="58" t="n"/>
      <c r="G143" s="58" t="n"/>
    </row>
    <row r="144">
      <c r="A144" s="54" t="n"/>
      <c r="B144" s="61" t="n"/>
      <c r="C144" s="55" t="n"/>
      <c r="D144" s="55" t="n"/>
      <c r="E144" s="55" t="n"/>
      <c r="F144" s="58" t="n"/>
      <c r="G144" s="58" t="n"/>
    </row>
    <row r="145">
      <c r="A145" s="54" t="n"/>
      <c r="B145" s="61" t="n"/>
      <c r="C145" s="55" t="n"/>
      <c r="D145" s="55" t="n"/>
      <c r="E145" s="55" t="n"/>
      <c r="F145" s="58" t="n"/>
      <c r="G145" s="58" t="n"/>
    </row>
    <row r="146">
      <c r="A146" s="54" t="n"/>
      <c r="B146" s="61" t="n"/>
      <c r="C146" s="55" t="n"/>
      <c r="D146" s="55" t="n"/>
      <c r="E146" s="55" t="n"/>
      <c r="F146" s="58" t="n"/>
      <c r="G146" s="58" t="n"/>
    </row>
    <row r="147">
      <c r="A147" s="54" t="n"/>
      <c r="B147" s="61" t="n"/>
      <c r="C147" s="55" t="n"/>
      <c r="D147" s="55" t="n"/>
      <c r="E147" s="55" t="n"/>
      <c r="F147" s="58" t="n"/>
      <c r="G147" s="58" t="n"/>
    </row>
    <row r="148">
      <c r="A148" s="54" t="n"/>
      <c r="B148" s="61" t="n"/>
      <c r="C148" s="55" t="n"/>
      <c r="D148" s="55" t="n"/>
      <c r="E148" s="55" t="n"/>
      <c r="F148" s="58" t="n"/>
      <c r="G148" s="58" t="n"/>
    </row>
    <row r="149">
      <c r="A149" s="54" t="n"/>
      <c r="B149" s="61" t="n"/>
      <c r="C149" s="55" t="n"/>
      <c r="D149" s="55" t="n"/>
      <c r="E149" s="55" t="n"/>
      <c r="F149" s="58" t="n"/>
      <c r="G149" s="58" t="n"/>
    </row>
    <row r="150">
      <c r="A150" s="54" t="n"/>
      <c r="B150" s="61" t="n"/>
      <c r="C150" s="55" t="n"/>
      <c r="D150" s="55" t="n"/>
      <c r="E150" s="55" t="n"/>
      <c r="F150" s="58" t="n"/>
      <c r="G150" s="58" t="n"/>
    </row>
    <row r="151">
      <c r="A151" s="54" t="n"/>
      <c r="B151" s="61" t="n"/>
      <c r="C151" s="55" t="n"/>
      <c r="D151" s="55" t="n"/>
      <c r="E151" s="55" t="n"/>
      <c r="F151" s="58" t="n"/>
      <c r="G151" s="58" t="n"/>
    </row>
    <row r="152">
      <c r="A152" s="54" t="n"/>
      <c r="B152" s="61" t="n"/>
      <c r="C152" s="55" t="n"/>
      <c r="D152" s="55" t="n"/>
      <c r="E152" s="55" t="n"/>
      <c r="F152" s="58" t="n"/>
      <c r="G152" s="58" t="n"/>
    </row>
    <row r="153">
      <c r="A153" s="54" t="n"/>
      <c r="B153" s="61" t="n"/>
      <c r="C153" s="55" t="n"/>
      <c r="D153" s="55" t="n"/>
      <c r="E153" s="55" t="n"/>
      <c r="F153" s="58" t="n"/>
      <c r="G153" s="58" t="n"/>
    </row>
    <row r="154">
      <c r="A154" s="54" t="n"/>
      <c r="B154" s="61" t="n"/>
      <c r="C154" s="55" t="n"/>
      <c r="D154" s="55" t="n"/>
      <c r="E154" s="55" t="n"/>
      <c r="F154" s="58" t="n"/>
      <c r="G154" s="58" t="n"/>
    </row>
    <row r="155">
      <c r="A155" s="54" t="n"/>
      <c r="B155" s="61" t="n"/>
      <c r="C155" s="55" t="n"/>
      <c r="D155" s="55" t="n"/>
      <c r="E155" s="55" t="n"/>
      <c r="F155" s="58" t="n"/>
      <c r="G155" s="58" t="n"/>
    </row>
    <row r="156">
      <c r="A156" s="54" t="n"/>
      <c r="B156" s="61" t="n"/>
      <c r="C156" s="55" t="n"/>
      <c r="D156" s="55" t="n"/>
      <c r="E156" s="55" t="n"/>
      <c r="F156" s="58" t="n"/>
      <c r="G156" s="58" t="n"/>
    </row>
    <row r="157">
      <c r="A157" s="54" t="n"/>
      <c r="B157" s="61" t="n"/>
      <c r="C157" s="55" t="n"/>
      <c r="D157" s="55" t="n"/>
      <c r="E157" s="55" t="n"/>
      <c r="F157" s="58" t="n"/>
      <c r="G157" s="58" t="n"/>
    </row>
    <row r="158">
      <c r="A158" s="54" t="n"/>
      <c r="B158" s="61" t="n"/>
      <c r="C158" s="55" t="n"/>
      <c r="D158" s="55" t="n"/>
      <c r="E158" s="55" t="n"/>
      <c r="F158" s="58" t="n"/>
      <c r="G158" s="58" t="n"/>
    </row>
    <row r="159">
      <c r="A159" s="54" t="n"/>
      <c r="B159" s="61" t="n"/>
      <c r="C159" s="55" t="n"/>
      <c r="D159" s="55" t="n"/>
      <c r="E159" s="55" t="n"/>
      <c r="F159" s="58" t="n"/>
      <c r="G159" s="58" t="n"/>
    </row>
    <row r="160">
      <c r="A160" s="54" t="n"/>
      <c r="B160" s="61" t="n"/>
      <c r="C160" s="55" t="n"/>
      <c r="D160" s="55" t="n"/>
      <c r="E160" s="55" t="n"/>
      <c r="F160" s="58" t="n"/>
      <c r="G160" s="58" t="n"/>
    </row>
    <row r="161">
      <c r="A161" s="54" t="n"/>
      <c r="B161" s="61" t="n"/>
      <c r="C161" s="55" t="n"/>
      <c r="D161" s="55" t="n"/>
      <c r="E161" s="55" t="n"/>
      <c r="F161" s="58" t="n"/>
      <c r="G161" s="58" t="n"/>
    </row>
    <row r="162">
      <c r="A162" s="54" t="n"/>
      <c r="B162" s="61" t="n"/>
      <c r="C162" s="55" t="n"/>
      <c r="D162" s="55" t="n"/>
      <c r="E162" s="55" t="n"/>
      <c r="F162" s="58" t="n"/>
      <c r="G162" s="58" t="n"/>
    </row>
    <row r="163">
      <c r="A163" s="54" t="n"/>
      <c r="B163" s="61" t="n"/>
      <c r="C163" s="55" t="n"/>
      <c r="D163" s="55" t="n"/>
      <c r="E163" s="55" t="n"/>
      <c r="F163" s="58" t="n"/>
      <c r="G163" s="58" t="n"/>
    </row>
    <row r="164">
      <c r="A164" s="54" t="n"/>
      <c r="B164" s="61" t="n"/>
      <c r="C164" s="55" t="n"/>
      <c r="D164" s="55" t="n"/>
      <c r="E164" s="55" t="n"/>
      <c r="F164" s="58" t="n"/>
      <c r="G164" s="58" t="n"/>
    </row>
    <row r="165">
      <c r="A165" s="54" t="n"/>
      <c r="B165" s="61" t="n"/>
      <c r="C165" s="55" t="n"/>
      <c r="D165" s="55" t="n"/>
      <c r="E165" s="55" t="n"/>
      <c r="F165" s="58" t="n"/>
      <c r="G165" s="58" t="n"/>
    </row>
    <row r="166">
      <c r="A166" s="54" t="n"/>
      <c r="B166" s="61" t="n"/>
      <c r="C166" s="55" t="n"/>
      <c r="D166" s="55" t="n"/>
      <c r="E166" s="55" t="n"/>
      <c r="F166" s="58" t="n"/>
      <c r="G166" s="58" t="n"/>
    </row>
    <row r="167">
      <c r="A167" s="54" t="n"/>
      <c r="B167" s="61" t="n"/>
      <c r="C167" s="55" t="n"/>
      <c r="D167" s="55" t="n"/>
      <c r="E167" s="55" t="n"/>
      <c r="F167" s="58" t="n"/>
      <c r="G167" s="58" t="n"/>
    </row>
    <row r="168">
      <c r="A168" s="54" t="n"/>
      <c r="B168" s="61" t="n"/>
      <c r="C168" s="55" t="n"/>
      <c r="D168" s="55" t="n"/>
      <c r="E168" s="55" t="n"/>
      <c r="F168" s="58" t="n"/>
      <c r="G168" s="58" t="n"/>
    </row>
    <row r="169">
      <c r="A169" s="54" t="n"/>
      <c r="B169" s="61" t="n"/>
      <c r="C169" s="55" t="n"/>
      <c r="D169" s="55" t="n"/>
      <c r="E169" s="55" t="n"/>
      <c r="F169" s="58" t="n"/>
      <c r="G169" s="58" t="n"/>
    </row>
    <row r="170">
      <c r="A170" s="54" t="n"/>
      <c r="B170" s="61" t="n"/>
      <c r="C170" s="55" t="n"/>
      <c r="D170" s="55" t="n"/>
      <c r="E170" s="55" t="n"/>
      <c r="F170" s="58" t="n"/>
      <c r="G170" s="58" t="n"/>
    </row>
    <row r="171">
      <c r="A171" s="54" t="n"/>
      <c r="B171" s="61" t="n"/>
      <c r="C171" s="55" t="n"/>
      <c r="D171" s="55" t="n"/>
      <c r="E171" s="55" t="n"/>
      <c r="F171" s="58" t="n"/>
      <c r="G171" s="58" t="n"/>
    </row>
    <row r="172">
      <c r="A172" s="54" t="n"/>
      <c r="B172" s="61" t="n"/>
      <c r="C172" s="55" t="n"/>
      <c r="D172" s="55" t="n"/>
      <c r="E172" s="55" t="n"/>
      <c r="F172" s="58" t="n"/>
      <c r="G172" s="58" t="n"/>
    </row>
    <row r="173">
      <c r="A173" s="54" t="n"/>
      <c r="B173" s="61" t="n"/>
      <c r="C173" s="55" t="n"/>
      <c r="D173" s="55" t="n"/>
      <c r="E173" s="55" t="n"/>
      <c r="F173" s="58" t="n"/>
      <c r="G173" s="58" t="n"/>
    </row>
    <row r="174">
      <c r="A174" s="54" t="n"/>
      <c r="B174" s="61" t="n"/>
      <c r="C174" s="55" t="n"/>
      <c r="D174" s="55" t="n"/>
      <c r="E174" s="55" t="n"/>
      <c r="F174" s="58" t="n"/>
      <c r="G174" s="58" t="n"/>
    </row>
    <row r="175">
      <c r="A175" s="54" t="n"/>
      <c r="B175" s="61" t="n"/>
      <c r="C175" s="55" t="n"/>
      <c r="D175" s="55" t="n"/>
      <c r="E175" s="55" t="n"/>
      <c r="F175" s="58" t="n"/>
      <c r="G175" s="58" t="n"/>
    </row>
    <row r="176">
      <c r="A176" s="54" t="n"/>
      <c r="B176" s="61" t="n"/>
      <c r="C176" s="55" t="n"/>
      <c r="D176" s="55" t="n"/>
      <c r="E176" s="55" t="n"/>
      <c r="F176" s="58" t="n"/>
      <c r="G176" s="58" t="n"/>
    </row>
    <row r="177">
      <c r="A177" s="54" t="n"/>
      <c r="B177" s="61" t="n"/>
      <c r="C177" s="55" t="n"/>
      <c r="D177" s="55" t="n"/>
      <c r="E177" s="55" t="n"/>
      <c r="F177" s="58" t="n"/>
      <c r="G177" s="58" t="n"/>
    </row>
    <row r="178">
      <c r="A178" s="54" t="n"/>
      <c r="B178" s="61" t="n"/>
      <c r="C178" s="55" t="n"/>
      <c r="D178" s="55" t="n"/>
      <c r="E178" s="55" t="n"/>
      <c r="F178" s="58" t="n"/>
      <c r="G178" s="58" t="n"/>
    </row>
    <row r="179">
      <c r="A179" s="54" t="n"/>
      <c r="B179" s="61" t="n"/>
      <c r="C179" s="55" t="n"/>
      <c r="D179" s="55" t="n"/>
      <c r="E179" s="55" t="n"/>
      <c r="F179" s="58" t="n"/>
      <c r="G179" s="58" t="n"/>
    </row>
    <row r="180">
      <c r="A180" s="54" t="n"/>
      <c r="B180" s="61" t="n"/>
      <c r="C180" s="55" t="n"/>
      <c r="D180" s="55" t="n"/>
      <c r="E180" s="55" t="n"/>
      <c r="F180" s="58" t="n"/>
      <c r="G180" s="58" t="n"/>
    </row>
    <row r="181">
      <c r="A181" s="54" t="n"/>
      <c r="B181" s="61" t="n"/>
      <c r="C181" s="55" t="n"/>
      <c r="D181" s="55" t="n"/>
      <c r="E181" s="55" t="n"/>
      <c r="F181" s="58" t="n"/>
      <c r="G181" s="58" t="n"/>
    </row>
    <row r="182">
      <c r="A182" s="54" t="n"/>
      <c r="B182" s="61" t="n"/>
      <c r="C182" s="55" t="n"/>
      <c r="D182" s="55" t="n"/>
      <c r="E182" s="55" t="n"/>
      <c r="F182" s="58" t="n"/>
      <c r="G182" s="58" t="n"/>
    </row>
    <row r="183">
      <c r="A183" s="54" t="n"/>
      <c r="B183" s="61" t="n"/>
      <c r="C183" s="55" t="n"/>
      <c r="D183" s="55" t="n"/>
      <c r="E183" s="55" t="n"/>
      <c r="F183" s="58" t="n"/>
      <c r="G183" s="58" t="n"/>
    </row>
    <row r="184">
      <c r="A184" s="54" t="n"/>
      <c r="B184" s="61" t="n"/>
      <c r="C184" s="55" t="n"/>
      <c r="D184" s="55" t="n"/>
      <c r="E184" s="55" t="n"/>
      <c r="F184" s="58" t="n"/>
      <c r="G184" s="58" t="n"/>
    </row>
    <row r="185">
      <c r="A185" s="54" t="n"/>
      <c r="B185" s="61" t="n"/>
      <c r="C185" s="55" t="n"/>
      <c r="D185" s="55" t="n"/>
      <c r="E185" s="55" t="n"/>
      <c r="F185" s="58" t="n"/>
      <c r="G185" s="58" t="n"/>
    </row>
    <row r="186">
      <c r="A186" s="54" t="n"/>
      <c r="B186" s="61" t="n"/>
      <c r="C186" s="55" t="n"/>
      <c r="D186" s="55" t="n"/>
      <c r="E186" s="55" t="n"/>
      <c r="F186" s="58" t="n"/>
      <c r="G186" s="58" t="n"/>
    </row>
    <row r="187">
      <c r="A187" s="54" t="n"/>
      <c r="B187" s="61" t="n"/>
      <c r="C187" s="55" t="n"/>
      <c r="D187" s="55" t="n"/>
      <c r="E187" s="55" t="n"/>
      <c r="F187" s="58" t="n"/>
      <c r="G187" s="58" t="n"/>
    </row>
    <row r="188">
      <c r="A188" s="54" t="n"/>
      <c r="B188" s="61" t="n"/>
      <c r="C188" s="55" t="n"/>
      <c r="D188" s="55" t="n"/>
      <c r="E188" s="55" t="n"/>
      <c r="F188" s="58" t="n"/>
      <c r="G188" s="58" t="n"/>
    </row>
    <row r="189">
      <c r="A189" s="54" t="n"/>
      <c r="B189" s="61" t="n"/>
      <c r="C189" s="55" t="n"/>
      <c r="D189" s="55" t="n"/>
      <c r="E189" s="55" t="n"/>
      <c r="F189" s="58" t="n"/>
      <c r="G189" s="58" t="n"/>
    </row>
    <row r="190">
      <c r="A190" s="54" t="n"/>
      <c r="B190" s="61" t="n"/>
      <c r="C190" s="55" t="n"/>
      <c r="D190" s="55" t="n"/>
      <c r="E190" s="55" t="n"/>
      <c r="F190" s="58" t="n"/>
      <c r="G190" s="58" t="n"/>
    </row>
    <row r="191">
      <c r="A191" s="54" t="n"/>
      <c r="B191" s="61" t="n"/>
      <c r="C191" s="55" t="n"/>
      <c r="D191" s="55" t="n"/>
      <c r="E191" s="55" t="n"/>
      <c r="F191" s="58" t="n"/>
      <c r="G191" s="58" t="n"/>
    </row>
    <row r="192">
      <c r="A192" s="54" t="n"/>
      <c r="B192" s="61" t="n"/>
      <c r="C192" s="55" t="n"/>
      <c r="D192" s="55" t="n"/>
      <c r="E192" s="55" t="n"/>
      <c r="F192" s="58" t="n"/>
      <c r="G192" s="58" t="n"/>
    </row>
    <row r="193">
      <c r="A193" s="54" t="n"/>
      <c r="B193" s="61" t="n"/>
      <c r="C193" s="55" t="n"/>
      <c r="D193" s="55" t="n"/>
      <c r="E193" s="55" t="n"/>
      <c r="F193" s="58" t="n"/>
      <c r="G193" s="58" t="n"/>
    </row>
    <row r="194">
      <c r="A194" s="54" t="n"/>
      <c r="B194" s="61" t="n"/>
      <c r="C194" s="55" t="n"/>
      <c r="D194" s="55" t="n"/>
      <c r="E194" s="55" t="n"/>
      <c r="F194" s="58" t="n"/>
      <c r="G194" s="58" t="n"/>
    </row>
    <row r="195">
      <c r="A195" s="54" t="n"/>
      <c r="B195" s="61" t="n"/>
      <c r="C195" s="55" t="n"/>
      <c r="D195" s="55" t="n"/>
      <c r="E195" s="55" t="n"/>
      <c r="F195" s="58" t="n"/>
      <c r="G195" s="58" t="n"/>
    </row>
    <row r="196">
      <c r="A196" s="54" t="n"/>
      <c r="B196" s="61" t="n"/>
      <c r="C196" s="55" t="n"/>
      <c r="D196" s="55" t="n"/>
      <c r="E196" s="55" t="n"/>
      <c r="F196" s="58" t="n"/>
      <c r="G196" s="58" t="n"/>
    </row>
    <row r="197">
      <c r="A197" s="54" t="n"/>
      <c r="B197" s="61" t="n"/>
      <c r="C197" s="55" t="n"/>
      <c r="D197" s="55" t="n"/>
      <c r="E197" s="55" t="n"/>
      <c r="F197" s="58" t="n"/>
      <c r="G197" s="58" t="n"/>
    </row>
    <row r="198">
      <c r="A198" s="54" t="n"/>
      <c r="B198" s="61" t="n"/>
      <c r="C198" s="55" t="n"/>
      <c r="D198" s="55" t="n"/>
      <c r="E198" s="55" t="n"/>
      <c r="F198" s="58" t="n"/>
      <c r="G198" s="58" t="n"/>
    </row>
    <row r="199">
      <c r="A199" s="54" t="n"/>
      <c r="B199" s="61" t="n"/>
      <c r="C199" s="55" t="n"/>
      <c r="D199" s="55" t="n"/>
      <c r="E199" s="55" t="n"/>
      <c r="F199" s="58" t="n"/>
      <c r="G199" s="58" t="n"/>
    </row>
    <row r="200">
      <c r="A200" s="54" t="n"/>
      <c r="B200" s="61" t="n"/>
      <c r="C200" s="55" t="n"/>
      <c r="D200" s="55" t="n"/>
      <c r="E200" s="55" t="n"/>
      <c r="F200" s="58" t="n"/>
      <c r="G200" s="58" t="n"/>
    </row>
    <row r="201">
      <c r="A201" s="54" t="n"/>
      <c r="B201" s="61" t="n"/>
      <c r="C201" s="55" t="n"/>
      <c r="D201" s="55" t="n"/>
      <c r="E201" s="55" t="n"/>
      <c r="F201" s="58" t="n"/>
      <c r="G201" s="58" t="n"/>
    </row>
    <row r="202">
      <c r="A202" s="54" t="n"/>
      <c r="B202" s="61" t="n"/>
      <c r="C202" s="55" t="n"/>
      <c r="D202" s="55" t="n"/>
      <c r="E202" s="55" t="n"/>
      <c r="F202" s="58" t="n"/>
      <c r="G202" s="58" t="n"/>
    </row>
    <row r="203">
      <c r="A203" s="54" t="n"/>
      <c r="B203" s="61" t="n"/>
      <c r="C203" s="55" t="n"/>
      <c r="D203" s="55" t="n"/>
      <c r="E203" s="55" t="n"/>
      <c r="F203" s="58" t="n"/>
      <c r="G203" s="58" t="n"/>
    </row>
    <row r="204">
      <c r="A204" s="54" t="n"/>
      <c r="B204" s="61" t="n"/>
      <c r="C204" s="55" t="n"/>
      <c r="D204" s="55" t="n"/>
      <c r="E204" s="55" t="n"/>
      <c r="F204" s="58" t="n"/>
      <c r="G204" s="58" t="n"/>
    </row>
    <row r="205">
      <c r="A205" s="54" t="n"/>
      <c r="B205" s="61" t="n"/>
      <c r="C205" s="55" t="n"/>
      <c r="D205" s="55" t="n"/>
      <c r="E205" s="55" t="n"/>
      <c r="F205" s="58" t="n"/>
      <c r="G205" s="58" t="n"/>
    </row>
    <row r="206">
      <c r="A206" s="54" t="n"/>
      <c r="B206" s="61" t="n"/>
      <c r="C206" s="55" t="n"/>
      <c r="D206" s="55" t="n"/>
      <c r="E206" s="55" t="n"/>
      <c r="F206" s="58" t="n"/>
      <c r="G206" s="58" t="n"/>
    </row>
    <row r="207">
      <c r="A207" s="54" t="n"/>
      <c r="B207" s="61" t="n"/>
      <c r="C207" s="55" t="n"/>
      <c r="D207" s="55" t="n"/>
      <c r="E207" s="55" t="n"/>
      <c r="F207" s="58" t="n"/>
      <c r="G207" s="58" t="n"/>
    </row>
    <row r="208">
      <c r="A208" s="54" t="n"/>
      <c r="B208" s="61" t="n"/>
      <c r="C208" s="55" t="n"/>
      <c r="D208" s="55" t="n"/>
      <c r="E208" s="55" t="n"/>
      <c r="F208" s="58" t="n"/>
      <c r="G208" s="58" t="n"/>
    </row>
    <row r="209">
      <c r="A209" s="54" t="n"/>
      <c r="B209" s="61" t="n"/>
      <c r="C209" s="55" t="n"/>
      <c r="D209" s="55" t="n"/>
      <c r="E209" s="55" t="n"/>
      <c r="F209" s="58" t="n"/>
      <c r="G209" s="58" t="n"/>
    </row>
    <row r="210">
      <c r="A210" s="54" t="n"/>
      <c r="B210" s="61" t="n"/>
      <c r="C210" s="55" t="n"/>
      <c r="D210" s="55" t="n"/>
      <c r="E210" s="55" t="n"/>
      <c r="F210" s="58" t="n"/>
      <c r="G210" s="58" t="n"/>
    </row>
    <row r="211">
      <c r="A211" s="54" t="n"/>
      <c r="B211" s="61" t="n"/>
      <c r="C211" s="55" t="n"/>
      <c r="D211" s="55" t="n"/>
      <c r="E211" s="55" t="n"/>
      <c r="F211" s="58" t="n"/>
      <c r="G211" s="58" t="n"/>
    </row>
    <row r="212">
      <c r="A212" s="54" t="n"/>
      <c r="B212" s="61" t="n"/>
      <c r="C212" s="55" t="n"/>
      <c r="D212" s="55" t="n"/>
      <c r="E212" s="55" t="n"/>
      <c r="F212" s="58" t="n"/>
      <c r="G212" s="58" t="n"/>
    </row>
    <row r="213">
      <c r="A213" s="54" t="n"/>
      <c r="B213" s="61" t="n"/>
      <c r="C213" s="55" t="n"/>
      <c r="D213" s="55" t="n"/>
      <c r="E213" s="55" t="n"/>
      <c r="F213" s="58" t="n"/>
      <c r="G213" s="58" t="n"/>
    </row>
    <row r="214">
      <c r="A214" s="54" t="n"/>
      <c r="B214" s="61" t="n"/>
      <c r="C214" s="55" t="n"/>
      <c r="D214" s="55" t="n"/>
      <c r="E214" s="55" t="n"/>
      <c r="F214" s="58" t="n"/>
      <c r="G214" s="58" t="n"/>
    </row>
    <row r="215">
      <c r="A215" s="54" t="n"/>
      <c r="B215" s="61" t="n"/>
      <c r="C215" s="55" t="n"/>
      <c r="D215" s="55" t="n"/>
      <c r="E215" s="55" t="n"/>
      <c r="F215" s="58" t="n"/>
      <c r="G215" s="58" t="n"/>
    </row>
    <row r="216">
      <c r="A216" s="54" t="n"/>
      <c r="B216" s="61" t="n"/>
      <c r="C216" s="55" t="n"/>
      <c r="D216" s="55" t="n"/>
      <c r="E216" s="55" t="n"/>
      <c r="F216" s="58" t="n"/>
      <c r="G216" s="58" t="n"/>
    </row>
    <row r="217">
      <c r="A217" s="54" t="n"/>
      <c r="B217" s="61" t="n"/>
      <c r="C217" s="55" t="n"/>
      <c r="D217" s="55" t="n"/>
      <c r="E217" s="55" t="n"/>
      <c r="F217" s="58" t="n"/>
      <c r="G217" s="58" t="n"/>
    </row>
    <row r="218">
      <c r="A218" s="54" t="n"/>
      <c r="B218" s="61" t="n"/>
      <c r="C218" s="55" t="n"/>
      <c r="D218" s="55" t="n"/>
      <c r="E218" s="55" t="n"/>
      <c r="F218" s="58" t="n"/>
      <c r="G218" s="58" t="n"/>
    </row>
    <row r="219">
      <c r="A219" s="54" t="n"/>
      <c r="B219" s="61" t="n"/>
      <c r="C219" s="55" t="n"/>
      <c r="D219" s="55" t="n"/>
      <c r="E219" s="55" t="n"/>
      <c r="F219" s="58" t="n"/>
      <c r="G219" s="58" t="n"/>
    </row>
    <row r="220">
      <c r="A220" s="54" t="n"/>
      <c r="B220" s="61" t="n"/>
      <c r="C220" s="55" t="n"/>
      <c r="D220" s="55" t="n"/>
      <c r="E220" s="55" t="n"/>
      <c r="F220" s="58" t="n"/>
      <c r="G220" s="58" t="n"/>
    </row>
    <row r="221">
      <c r="A221" s="54" t="n"/>
      <c r="B221" s="61" t="n"/>
      <c r="C221" s="55" t="n"/>
      <c r="D221" s="55" t="n"/>
      <c r="E221" s="55" t="n"/>
      <c r="F221" s="58" t="n"/>
      <c r="G221" s="58" t="n"/>
    </row>
    <row r="222">
      <c r="A222" s="54" t="n"/>
      <c r="B222" s="61" t="n"/>
      <c r="C222" s="55" t="n"/>
      <c r="D222" s="55" t="n"/>
      <c r="E222" s="55" t="n"/>
      <c r="F222" s="58" t="n"/>
      <c r="G222" s="58" t="n"/>
    </row>
    <row r="223">
      <c r="A223" s="54" t="n"/>
      <c r="B223" s="61" t="n"/>
      <c r="C223" s="55" t="n"/>
      <c r="D223" s="55" t="n"/>
      <c r="E223" s="55" t="n"/>
      <c r="F223" s="58" t="n"/>
      <c r="G223" s="58" t="n"/>
    </row>
    <row r="224">
      <c r="A224" s="54" t="n"/>
      <c r="B224" s="61" t="n"/>
      <c r="C224" s="55" t="n"/>
      <c r="D224" s="55" t="n"/>
      <c r="E224" s="55" t="n"/>
      <c r="F224" s="58" t="n"/>
      <c r="G224" s="58" t="n"/>
    </row>
    <row r="225">
      <c r="A225" s="54" t="n"/>
      <c r="B225" s="61" t="n"/>
      <c r="C225" s="55" t="n"/>
      <c r="D225" s="55" t="n"/>
      <c r="E225" s="55" t="n"/>
      <c r="F225" s="58" t="n"/>
      <c r="G225" s="58" t="n"/>
    </row>
    <row r="226">
      <c r="A226" s="54" t="n"/>
      <c r="B226" s="61" t="n"/>
      <c r="C226" s="55" t="n"/>
      <c r="D226" s="55" t="n"/>
      <c r="E226" s="55" t="n"/>
      <c r="F226" s="58" t="n"/>
      <c r="G226" s="58" t="n"/>
    </row>
    <row r="227">
      <c r="A227" s="54" t="n"/>
      <c r="B227" s="61" t="n"/>
      <c r="C227" s="55" t="n"/>
      <c r="D227" s="55" t="n"/>
      <c r="E227" s="55" t="n"/>
      <c r="F227" s="58" t="n"/>
      <c r="G227" s="58" t="n"/>
    </row>
    <row r="228">
      <c r="A228" s="54" t="n"/>
      <c r="B228" s="61" t="n"/>
      <c r="C228" s="55" t="n"/>
      <c r="D228" s="55" t="n"/>
      <c r="E228" s="55" t="n"/>
      <c r="F228" s="58" t="n"/>
      <c r="G228" s="58" t="n"/>
    </row>
    <row r="229">
      <c r="A229" s="54" t="n"/>
      <c r="B229" s="61" t="n"/>
      <c r="C229" s="55" t="n"/>
      <c r="D229" s="55" t="n"/>
      <c r="E229" s="55" t="n"/>
      <c r="F229" s="58" t="n"/>
      <c r="G229" s="58" t="n"/>
    </row>
    <row r="230">
      <c r="A230" s="54" t="n"/>
      <c r="B230" s="61" t="n"/>
      <c r="C230" s="55" t="n"/>
      <c r="D230" s="55" t="n"/>
      <c r="E230" s="55" t="n"/>
      <c r="F230" s="58" t="n"/>
      <c r="G230" s="58" t="n"/>
    </row>
    <row r="231">
      <c r="A231" s="54" t="n"/>
      <c r="B231" s="61" t="n"/>
      <c r="C231" s="55" t="n"/>
      <c r="D231" s="55" t="n"/>
      <c r="E231" s="55" t="n"/>
      <c r="F231" s="58" t="n"/>
      <c r="G231" s="58" t="n"/>
    </row>
    <row r="232">
      <c r="A232" s="54" t="n"/>
      <c r="B232" s="61" t="n"/>
      <c r="C232" s="55" t="n"/>
      <c r="D232" s="55" t="n"/>
      <c r="E232" s="55" t="n"/>
      <c r="F232" s="58" t="n"/>
      <c r="G232" s="58" t="n"/>
    </row>
    <row r="233">
      <c r="A233" s="54" t="n"/>
      <c r="B233" s="61" t="n"/>
      <c r="C233" s="55" t="n"/>
      <c r="D233" s="55" t="n"/>
      <c r="E233" s="55" t="n"/>
      <c r="F233" s="58" t="n"/>
      <c r="G233" s="58" t="n"/>
    </row>
    <row r="234">
      <c r="A234" s="54" t="n"/>
      <c r="B234" s="61" t="n"/>
      <c r="C234" s="55" t="n"/>
      <c r="D234" s="55" t="n"/>
      <c r="E234" s="55" t="n"/>
      <c r="F234" s="58" t="n"/>
      <c r="G234" s="58" t="n"/>
    </row>
    <row r="235">
      <c r="A235" s="54" t="n"/>
      <c r="B235" s="61" t="n"/>
      <c r="C235" s="55" t="n"/>
      <c r="D235" s="55" t="n"/>
      <c r="E235" s="55" t="n"/>
      <c r="F235" s="58" t="n"/>
      <c r="G235" s="58" t="n"/>
    </row>
    <row r="236">
      <c r="A236" s="54" t="n"/>
      <c r="B236" s="61" t="n"/>
      <c r="C236" s="55" t="n"/>
      <c r="D236" s="55" t="n"/>
      <c r="E236" s="55" t="n"/>
      <c r="F236" s="58" t="n"/>
      <c r="G236" s="58" t="n"/>
    </row>
    <row r="237">
      <c r="A237" s="54" t="n"/>
      <c r="B237" s="61" t="n"/>
      <c r="C237" s="55" t="n"/>
      <c r="D237" s="55" t="n"/>
      <c r="E237" s="55" t="n"/>
      <c r="F237" s="58" t="n"/>
      <c r="G237" s="58" t="n"/>
    </row>
    <row r="238">
      <c r="A238" s="54" t="n"/>
      <c r="B238" s="61" t="n"/>
      <c r="C238" s="55" t="n"/>
      <c r="D238" s="55" t="n"/>
      <c r="E238" s="55" t="n"/>
      <c r="F238" s="58" t="n"/>
      <c r="G238" s="58" t="n"/>
    </row>
    <row r="239">
      <c r="A239" s="54" t="n"/>
      <c r="B239" s="61" t="n"/>
      <c r="C239" s="55" t="n"/>
      <c r="D239" s="55" t="n"/>
      <c r="E239" s="55" t="n"/>
      <c r="F239" s="58" t="n"/>
      <c r="G239" s="58" t="n"/>
    </row>
    <row r="240">
      <c r="A240" s="54" t="n"/>
      <c r="B240" s="61" t="n"/>
      <c r="C240" s="55" t="n"/>
      <c r="D240" s="55" t="n"/>
      <c r="E240" s="55" t="n"/>
      <c r="F240" s="58" t="n"/>
      <c r="G240" s="58" t="n"/>
    </row>
    <row r="241">
      <c r="A241" s="54" t="n"/>
      <c r="B241" s="61" t="n"/>
      <c r="C241" s="55" t="n"/>
      <c r="D241" s="55" t="n"/>
      <c r="E241" s="55" t="n"/>
      <c r="F241" s="58" t="n"/>
      <c r="G241" s="58" t="n"/>
    </row>
    <row r="242">
      <c r="A242" s="54" t="n"/>
      <c r="B242" s="61" t="n"/>
      <c r="C242" s="55" t="n"/>
      <c r="D242" s="55" t="n"/>
      <c r="E242" s="55" t="n"/>
      <c r="F242" s="58" t="n"/>
      <c r="G242" s="58" t="n"/>
    </row>
    <row r="243">
      <c r="A243" s="54" t="n"/>
      <c r="B243" s="61" t="n"/>
      <c r="C243" s="55" t="n"/>
      <c r="D243" s="55" t="n"/>
      <c r="E243" s="55" t="n"/>
      <c r="F243" s="58" t="n"/>
      <c r="G243" s="58" t="n"/>
    </row>
    <row r="244">
      <c r="A244" s="54" t="n"/>
      <c r="B244" s="61" t="n"/>
      <c r="C244" s="55" t="n"/>
      <c r="D244" s="55" t="n"/>
      <c r="E244" s="55" t="n"/>
      <c r="F244" s="58" t="n"/>
      <c r="G244" s="58" t="n"/>
    </row>
    <row r="245">
      <c r="A245" s="54" t="n"/>
      <c r="B245" s="61" t="n"/>
      <c r="C245" s="55" t="n"/>
      <c r="D245" s="55" t="n"/>
      <c r="E245" s="55" t="n"/>
      <c r="F245" s="58" t="n"/>
      <c r="G245" s="58" t="n"/>
    </row>
    <row r="246">
      <c r="A246" s="54" t="n"/>
      <c r="B246" s="61" t="n"/>
      <c r="C246" s="55" t="n"/>
      <c r="D246" s="55" t="n"/>
      <c r="E246" s="55" t="n"/>
      <c r="F246" s="58" t="n"/>
      <c r="G246" s="58" t="n"/>
    </row>
    <row r="247">
      <c r="A247" s="54" t="n"/>
      <c r="B247" s="61" t="n"/>
      <c r="C247" s="55" t="n"/>
      <c r="D247" s="55" t="n"/>
      <c r="E247" s="55" t="n"/>
      <c r="F247" s="58" t="n"/>
      <c r="G247" s="58" t="n"/>
    </row>
    <row r="248">
      <c r="A248" s="54" t="n"/>
      <c r="B248" s="61" t="n"/>
      <c r="C248" s="55" t="n"/>
      <c r="D248" s="55" t="n"/>
      <c r="E248" s="55" t="n"/>
      <c r="F248" s="58" t="n"/>
      <c r="G248" s="58" t="n"/>
    </row>
    <row r="249">
      <c r="A249" s="54" t="n"/>
      <c r="B249" s="61" t="n"/>
      <c r="C249" s="55" t="n"/>
      <c r="D249" s="55" t="n"/>
      <c r="E249" s="55" t="n"/>
      <c r="F249" s="58" t="n"/>
      <c r="G249" s="58" t="n"/>
    </row>
    <row r="250">
      <c r="A250" s="54" t="n"/>
      <c r="B250" s="61" t="n"/>
      <c r="C250" s="55" t="n"/>
      <c r="D250" s="55" t="n"/>
      <c r="E250" s="55" t="n"/>
      <c r="F250" s="58" t="n"/>
      <c r="G250" s="58" t="n"/>
    </row>
    <row r="251">
      <c r="A251" s="54" t="n"/>
      <c r="B251" s="61" t="n"/>
      <c r="C251" s="55" t="n"/>
      <c r="D251" s="55" t="n"/>
      <c r="E251" s="55" t="n"/>
      <c r="F251" s="58" t="n"/>
      <c r="G251" s="58" t="n"/>
    </row>
    <row r="252">
      <c r="A252" s="54" t="n"/>
      <c r="B252" s="61" t="n"/>
      <c r="C252" s="55" t="n"/>
      <c r="D252" s="55" t="n"/>
      <c r="E252" s="55" t="n"/>
      <c r="F252" s="58" t="n"/>
      <c r="G252" s="58" t="n"/>
    </row>
    <row r="253">
      <c r="A253" s="54" t="n"/>
      <c r="B253" s="61" t="n"/>
      <c r="C253" s="55" t="n"/>
      <c r="D253" s="55" t="n"/>
      <c r="E253" s="55" t="n"/>
      <c r="F253" s="58" t="n"/>
      <c r="G253" s="58" t="n"/>
    </row>
    <row r="254">
      <c r="A254" s="54" t="n"/>
      <c r="B254" s="61" t="n"/>
      <c r="C254" s="55" t="n"/>
      <c r="D254" s="55" t="n"/>
      <c r="E254" s="55" t="n"/>
      <c r="F254" s="58" t="n"/>
      <c r="G254" s="58" t="n"/>
    </row>
    <row r="255">
      <c r="A255" s="54" t="n"/>
      <c r="B255" s="61" t="n"/>
      <c r="C255" s="55" t="n"/>
      <c r="D255" s="55" t="n"/>
      <c r="E255" s="55" t="n"/>
      <c r="F255" s="58" t="n"/>
      <c r="G255" s="58" t="n"/>
    </row>
    <row r="256">
      <c r="A256" s="54" t="n"/>
      <c r="B256" s="61" t="n"/>
      <c r="C256" s="55" t="n"/>
      <c r="D256" s="55" t="n"/>
      <c r="E256" s="55" t="n"/>
      <c r="F256" s="58" t="n"/>
      <c r="G256" s="58" t="n"/>
    </row>
    <row r="257">
      <c r="A257" s="54" t="n"/>
      <c r="B257" s="61" t="n"/>
      <c r="C257" s="55" t="n"/>
      <c r="D257" s="55" t="n"/>
      <c r="E257" s="55" t="n"/>
      <c r="F257" s="58" t="n"/>
      <c r="G257" s="58" t="n"/>
    </row>
    <row r="258">
      <c r="A258" s="54" t="n"/>
      <c r="B258" s="61" t="n"/>
      <c r="C258" s="55" t="n"/>
      <c r="D258" s="55" t="n"/>
      <c r="E258" s="55" t="n"/>
      <c r="F258" s="58" t="n"/>
      <c r="G258" s="58" t="n"/>
    </row>
    <row r="259">
      <c r="A259" s="54" t="n"/>
      <c r="B259" s="61" t="n"/>
      <c r="C259" s="55" t="n"/>
      <c r="D259" s="55" t="n"/>
      <c r="E259" s="55" t="n"/>
      <c r="F259" s="58" t="n"/>
      <c r="G259" s="58" t="n"/>
    </row>
    <row r="260">
      <c r="A260" s="54" t="n"/>
      <c r="B260" s="61" t="n"/>
      <c r="C260" s="55" t="n"/>
      <c r="D260" s="55" t="n"/>
      <c r="E260" s="55" t="n"/>
      <c r="F260" s="58" t="n"/>
      <c r="G260" s="58" t="n"/>
    </row>
    <row r="261">
      <c r="A261" s="54" t="n"/>
      <c r="B261" s="61" t="n"/>
      <c r="C261" s="55" t="n"/>
      <c r="D261" s="55" t="n"/>
      <c r="E261" s="55" t="n"/>
      <c r="F261" s="58" t="n"/>
      <c r="G261" s="58" t="n"/>
    </row>
    <row r="262">
      <c r="A262" s="54" t="n"/>
      <c r="B262" s="61" t="n"/>
      <c r="C262" s="55" t="n"/>
      <c r="D262" s="55" t="n"/>
      <c r="E262" s="55" t="n"/>
      <c r="F262" s="58" t="n"/>
      <c r="G262" s="58" t="n"/>
    </row>
    <row r="263">
      <c r="A263" s="54" t="n"/>
      <c r="B263" s="61" t="n"/>
      <c r="C263" s="55" t="n"/>
      <c r="D263" s="55" t="n"/>
      <c r="E263" s="55" t="n"/>
      <c r="F263" s="58" t="n"/>
      <c r="G263" s="58" t="n"/>
    </row>
    <row r="264">
      <c r="A264" s="54" t="n"/>
      <c r="B264" s="61" t="n"/>
      <c r="C264" s="55" t="n"/>
      <c r="D264" s="55" t="n"/>
      <c r="E264" s="55" t="n"/>
      <c r="F264" s="58" t="n"/>
      <c r="G264" s="58" t="n"/>
    </row>
    <row r="265">
      <c r="A265" s="54" t="n"/>
      <c r="B265" s="61" t="n"/>
      <c r="C265" s="55" t="n"/>
      <c r="D265" s="55" t="n"/>
      <c r="E265" s="55" t="n"/>
      <c r="F265" s="58" t="n"/>
      <c r="G265" s="58" t="n"/>
    </row>
    <row r="266">
      <c r="A266" s="54" t="n"/>
      <c r="B266" s="61" t="n"/>
      <c r="C266" s="55" t="n"/>
      <c r="D266" s="55" t="n"/>
      <c r="E266" s="55" t="n"/>
      <c r="F266" s="58" t="n"/>
      <c r="G266" s="58" t="n"/>
    </row>
    <row r="267">
      <c r="A267" s="54" t="n"/>
      <c r="B267" s="61" t="n"/>
      <c r="C267" s="55" t="n"/>
      <c r="D267" s="55" t="n"/>
      <c r="E267" s="55" t="n"/>
      <c r="F267" s="58" t="n"/>
      <c r="G267" s="58" t="n"/>
    </row>
    <row r="268">
      <c r="A268" s="54" t="n"/>
      <c r="B268" s="61" t="n"/>
      <c r="C268" s="55" t="n"/>
      <c r="D268" s="55" t="n"/>
      <c r="E268" s="55" t="n"/>
      <c r="F268" s="58" t="n"/>
      <c r="G268" s="58" t="n"/>
    </row>
    <row r="269">
      <c r="A269" s="54" t="n"/>
      <c r="B269" s="61" t="n"/>
      <c r="C269" s="55" t="n"/>
      <c r="D269" s="55" t="n"/>
      <c r="E269" s="55" t="n"/>
      <c r="F269" s="58" t="n"/>
      <c r="G269" s="58" t="n"/>
    </row>
    <row r="270">
      <c r="A270" s="54" t="n"/>
      <c r="B270" s="61" t="n"/>
      <c r="C270" s="55" t="n"/>
      <c r="D270" s="55" t="n"/>
      <c r="E270" s="55" t="n"/>
      <c r="F270" s="58" t="n"/>
      <c r="G270" s="58" t="n"/>
    </row>
    <row r="271">
      <c r="A271" s="54" t="n"/>
      <c r="B271" s="61" t="n"/>
      <c r="C271" s="55" t="n"/>
      <c r="D271" s="55" t="n"/>
      <c r="E271" s="55" t="n"/>
      <c r="F271" s="58" t="n"/>
      <c r="G271" s="58" t="n"/>
    </row>
    <row r="272">
      <c r="A272" s="54" t="n"/>
      <c r="B272" s="61" t="n"/>
      <c r="C272" s="55" t="n"/>
      <c r="D272" s="55" t="n"/>
      <c r="E272" s="55" t="n"/>
      <c r="F272" s="58" t="n"/>
      <c r="G272" s="58" t="n"/>
    </row>
    <row r="273">
      <c r="A273" s="54" t="n"/>
      <c r="B273" s="61" t="n"/>
      <c r="C273" s="55" t="n"/>
      <c r="D273" s="55" t="n"/>
      <c r="E273" s="55" t="n"/>
      <c r="F273" s="58" t="n"/>
      <c r="G273" s="58" t="n"/>
    </row>
    <row r="274">
      <c r="A274" s="54" t="n"/>
      <c r="B274" s="61" t="n"/>
      <c r="C274" s="55" t="n"/>
      <c r="D274" s="55" t="n"/>
      <c r="E274" s="55" t="n"/>
      <c r="F274" s="58" t="n"/>
      <c r="G274" s="58" t="n"/>
    </row>
    <row r="275">
      <c r="A275" s="54" t="n"/>
      <c r="B275" s="61" t="n"/>
      <c r="C275" s="55" t="n"/>
      <c r="D275" s="55" t="n"/>
      <c r="E275" s="55" t="n"/>
      <c r="F275" s="58" t="n"/>
      <c r="G275" s="58" t="n"/>
    </row>
    <row r="276">
      <c r="A276" s="54" t="n"/>
      <c r="B276" s="61" t="n"/>
      <c r="C276" s="55" t="n"/>
      <c r="D276" s="55" t="n"/>
      <c r="E276" s="55" t="n"/>
      <c r="F276" s="58" t="n"/>
      <c r="G276" s="58" t="n"/>
    </row>
    <row r="277">
      <c r="A277" s="54" t="n"/>
      <c r="B277" s="61" t="n"/>
      <c r="C277" s="55" t="n"/>
      <c r="D277" s="55" t="n"/>
      <c r="E277" s="55" t="n"/>
      <c r="F277" s="58" t="n"/>
      <c r="G277" s="58" t="n"/>
    </row>
    <row r="278">
      <c r="A278" s="54" t="n"/>
      <c r="B278" s="61" t="n"/>
      <c r="C278" s="55" t="n"/>
      <c r="D278" s="55" t="n"/>
      <c r="E278" s="55" t="n"/>
      <c r="F278" s="58" t="n"/>
      <c r="G278" s="58" t="n"/>
    </row>
    <row r="279">
      <c r="A279" s="54" t="n"/>
      <c r="B279" s="61" t="n"/>
      <c r="C279" s="55" t="n"/>
      <c r="D279" s="55" t="n"/>
      <c r="E279" s="55" t="n"/>
      <c r="F279" s="58" t="n"/>
      <c r="G279" s="58" t="n"/>
    </row>
    <row r="280">
      <c r="A280" s="54" t="n"/>
      <c r="B280" s="61" t="n"/>
      <c r="C280" s="55" t="n"/>
      <c r="D280" s="55" t="n"/>
      <c r="E280" s="55" t="n"/>
      <c r="F280" s="58" t="n"/>
      <c r="G280" s="58" t="n"/>
    </row>
    <row r="281">
      <c r="A281" s="54" t="n"/>
      <c r="B281" s="61" t="n"/>
      <c r="C281" s="55" t="n"/>
      <c r="D281" s="55" t="n"/>
      <c r="E281" s="55" t="n"/>
      <c r="F281" s="58" t="n"/>
      <c r="G281" s="58" t="n"/>
    </row>
    <row r="282">
      <c r="A282" s="54" t="n"/>
      <c r="B282" s="61" t="n"/>
      <c r="C282" s="55" t="n"/>
      <c r="D282" s="55" t="n"/>
      <c r="E282" s="55" t="n"/>
      <c r="F282" s="58" t="n"/>
      <c r="G282" s="58" t="n"/>
    </row>
    <row r="283">
      <c r="A283" s="54" t="n"/>
      <c r="B283" s="61" t="n"/>
      <c r="C283" s="55" t="n"/>
      <c r="D283" s="55" t="n"/>
      <c r="E283" s="55" t="n"/>
      <c r="F283" s="58" t="n"/>
      <c r="G283" s="58" t="n"/>
    </row>
    <row r="284">
      <c r="A284" s="54" t="n"/>
      <c r="B284" s="61" t="n"/>
      <c r="C284" s="55" t="n"/>
      <c r="D284" s="55" t="n"/>
      <c r="E284" s="55" t="n"/>
      <c r="F284" s="58" t="n"/>
      <c r="G284" s="58" t="n"/>
    </row>
    <row r="285">
      <c r="A285" s="54" t="n"/>
      <c r="B285" s="61" t="n"/>
      <c r="C285" s="55" t="n"/>
      <c r="D285" s="55" t="n"/>
      <c r="E285" s="55" t="n"/>
      <c r="F285" s="58" t="n"/>
      <c r="G285" s="58" t="n"/>
    </row>
    <row r="286">
      <c r="A286" s="54" t="n"/>
      <c r="B286" s="61" t="n"/>
      <c r="C286" s="55" t="n"/>
      <c r="D286" s="55" t="n"/>
      <c r="E286" s="55" t="n"/>
      <c r="F286" s="58" t="n"/>
      <c r="G286" s="58" t="n"/>
    </row>
    <row r="287">
      <c r="A287" s="54" t="n"/>
      <c r="B287" s="61" t="n"/>
      <c r="C287" s="55" t="n"/>
      <c r="D287" s="55" t="n"/>
      <c r="E287" s="55" t="n"/>
      <c r="F287" s="58" t="n"/>
      <c r="G287" s="58" t="n"/>
    </row>
    <row r="288">
      <c r="A288" s="54" t="n"/>
      <c r="B288" s="61" t="n"/>
      <c r="C288" s="55" t="n"/>
      <c r="D288" s="55" t="n"/>
      <c r="E288" s="55" t="n"/>
      <c r="F288" s="58" t="n"/>
      <c r="G288" s="58" t="n"/>
    </row>
    <row r="289">
      <c r="A289" s="54" t="n"/>
      <c r="B289" s="61" t="n"/>
      <c r="C289" s="55" t="n"/>
      <c r="D289" s="55" t="n"/>
      <c r="E289" s="55" t="n"/>
      <c r="F289" s="58" t="n"/>
      <c r="G289" s="58" t="n"/>
    </row>
    <row r="290">
      <c r="A290" s="54" t="n"/>
      <c r="B290" s="61" t="n"/>
      <c r="C290" s="55" t="n"/>
      <c r="D290" s="55" t="n"/>
      <c r="E290" s="55" t="n"/>
      <c r="F290" s="58" t="n"/>
      <c r="G290" s="58" t="n"/>
    </row>
    <row r="291">
      <c r="A291" s="54" t="n"/>
      <c r="B291" s="61" t="n"/>
      <c r="C291" s="55" t="n"/>
      <c r="D291" s="55" t="n"/>
      <c r="E291" s="55" t="n"/>
      <c r="F291" s="58" t="n"/>
      <c r="G291" s="58" t="n"/>
    </row>
    <row r="292">
      <c r="A292" s="54" t="n"/>
      <c r="B292" s="61" t="n"/>
      <c r="C292" s="55" t="n"/>
      <c r="D292" s="55" t="n"/>
      <c r="E292" s="55" t="n"/>
      <c r="F292" s="58" t="n"/>
      <c r="G292" s="58" t="n"/>
    </row>
    <row r="293">
      <c r="A293" s="54" t="n"/>
      <c r="B293" s="61" t="n"/>
      <c r="C293" s="55" t="n"/>
      <c r="D293" s="55" t="n"/>
      <c r="E293" s="55" t="n"/>
      <c r="F293" s="58" t="n"/>
      <c r="G293" s="58" t="n"/>
    </row>
    <row r="294">
      <c r="A294" s="54" t="n"/>
      <c r="B294" s="61" t="n"/>
      <c r="C294" s="55" t="n"/>
      <c r="D294" s="55" t="n"/>
      <c r="E294" s="55" t="n"/>
      <c r="F294" s="58" t="n"/>
      <c r="G294" s="58" t="n"/>
    </row>
    <row r="295">
      <c r="A295" s="54" t="n"/>
      <c r="B295" s="61" t="n"/>
      <c r="C295" s="55" t="n"/>
      <c r="D295" s="55" t="n"/>
      <c r="E295" s="55" t="n"/>
      <c r="F295" s="58" t="n"/>
      <c r="G295" s="58" t="n"/>
    </row>
    <row r="296">
      <c r="A296" s="54" t="n"/>
      <c r="B296" s="61" t="n"/>
      <c r="C296" s="55" t="n"/>
      <c r="D296" s="55" t="n"/>
      <c r="E296" s="55" t="n"/>
      <c r="F296" s="58" t="n"/>
      <c r="G296" s="58" t="n"/>
    </row>
    <row r="297">
      <c r="A297" s="54" t="n"/>
      <c r="B297" s="61" t="n"/>
      <c r="C297" s="55" t="n"/>
      <c r="D297" s="55" t="n"/>
      <c r="E297" s="55" t="n"/>
      <c r="F297" s="58" t="n"/>
      <c r="G297" s="58" t="n"/>
    </row>
    <row r="298">
      <c r="A298" s="54" t="n"/>
      <c r="B298" s="61" t="n"/>
      <c r="C298" s="55" t="n"/>
      <c r="D298" s="55" t="n"/>
      <c r="E298" s="55" t="n"/>
      <c r="F298" s="58" t="n"/>
      <c r="G298" s="58" t="n"/>
    </row>
    <row r="299">
      <c r="A299" s="54" t="n"/>
      <c r="B299" s="61" t="n"/>
      <c r="C299" s="55" t="n"/>
      <c r="D299" s="55" t="n"/>
      <c r="E299" s="55" t="n"/>
      <c r="F299" s="58" t="n"/>
      <c r="G299" s="58" t="n"/>
    </row>
    <row r="300">
      <c r="A300" s="54" t="n"/>
      <c r="B300" s="61" t="n"/>
      <c r="C300" s="55" t="n"/>
      <c r="D300" s="55" t="n"/>
      <c r="E300" s="55" t="n"/>
      <c r="F300" s="58" t="n"/>
      <c r="G300" s="58" t="n"/>
    </row>
    <row r="301">
      <c r="A301" s="54" t="n"/>
      <c r="B301" s="61" t="n"/>
      <c r="C301" s="55" t="n"/>
      <c r="D301" s="55" t="n"/>
      <c r="E301" s="55" t="n"/>
      <c r="F301" s="58" t="n"/>
      <c r="G301" s="58" t="n"/>
    </row>
    <row r="302">
      <c r="A302" s="54" t="n"/>
      <c r="B302" s="61" t="n"/>
      <c r="C302" s="55" t="n"/>
      <c r="D302" s="55" t="n"/>
      <c r="E302" s="55" t="n"/>
      <c r="F302" s="58" t="n"/>
      <c r="G302" s="58" t="n"/>
    </row>
    <row r="303">
      <c r="A303" s="54" t="n"/>
      <c r="B303" s="61" t="n"/>
      <c r="C303" s="55" t="n"/>
      <c r="D303" s="55" t="n"/>
      <c r="E303" s="55" t="n"/>
      <c r="F303" s="58" t="n"/>
      <c r="G303" s="58" t="n"/>
    </row>
    <row r="304">
      <c r="A304" s="54" t="n"/>
      <c r="B304" s="61" t="n"/>
      <c r="C304" s="55" t="n"/>
      <c r="D304" s="55" t="n"/>
      <c r="E304" s="55" t="n"/>
      <c r="F304" s="58" t="n"/>
      <c r="G304" s="58" t="n"/>
    </row>
    <row r="305">
      <c r="A305" s="54" t="n"/>
      <c r="B305" s="61" t="n"/>
      <c r="C305" s="55" t="n"/>
      <c r="D305" s="55" t="n"/>
      <c r="E305" s="55" t="n"/>
      <c r="F305" s="58" t="n"/>
      <c r="G305" s="58" t="n"/>
    </row>
    <row r="306">
      <c r="A306" s="54" t="n"/>
      <c r="B306" s="61" t="n"/>
      <c r="C306" s="55" t="n"/>
      <c r="D306" s="55" t="n"/>
      <c r="E306" s="55" t="n"/>
      <c r="F306" s="58" t="n"/>
      <c r="G306" s="58" t="n"/>
    </row>
    <row r="307">
      <c r="A307" s="54" t="n"/>
      <c r="B307" s="61" t="n"/>
      <c r="C307" s="55" t="n"/>
      <c r="D307" s="55" t="n"/>
      <c r="E307" s="55" t="n"/>
      <c r="F307" s="58" t="n"/>
      <c r="G307" s="58" t="n"/>
    </row>
    <row r="308">
      <c r="A308" s="54" t="n"/>
      <c r="B308" s="61" t="n"/>
      <c r="C308" s="55" t="n"/>
      <c r="D308" s="55" t="n"/>
      <c r="E308" s="55" t="n"/>
      <c r="F308" s="58" t="n"/>
      <c r="G308" s="58" t="n"/>
    </row>
    <row r="309">
      <c r="A309" s="54" t="n"/>
      <c r="B309" s="61" t="n"/>
      <c r="C309" s="55" t="n"/>
      <c r="D309" s="55" t="n"/>
      <c r="E309" s="55" t="n"/>
      <c r="F309" s="58" t="n"/>
      <c r="G309" s="58" t="n"/>
    </row>
    <row r="310">
      <c r="A310" s="54" t="n"/>
      <c r="B310" s="61" t="n"/>
      <c r="C310" s="55" t="n"/>
      <c r="D310" s="55" t="n"/>
      <c r="E310" s="55" t="n"/>
      <c r="F310" s="58" t="n"/>
      <c r="G310" s="58" t="n"/>
    </row>
    <row r="311">
      <c r="A311" s="54" t="n"/>
      <c r="B311" s="61" t="n"/>
      <c r="C311" s="55" t="n"/>
      <c r="D311" s="55" t="n"/>
      <c r="E311" s="55" t="n"/>
      <c r="F311" s="58" t="n"/>
      <c r="G311" s="58" t="n"/>
    </row>
    <row r="312">
      <c r="A312" s="54" t="n"/>
      <c r="B312" s="61" t="n"/>
      <c r="C312" s="55" t="n"/>
      <c r="D312" s="55" t="n"/>
      <c r="E312" s="55" t="n"/>
      <c r="F312" s="58" t="n"/>
      <c r="G312" s="58" t="n"/>
    </row>
    <row r="313">
      <c r="A313" s="54" t="n"/>
      <c r="B313" s="61" t="n"/>
      <c r="C313" s="55" t="n"/>
      <c r="D313" s="55" t="n"/>
      <c r="E313" s="55" t="n"/>
      <c r="F313" s="58" t="n"/>
      <c r="G313" s="58" t="n"/>
    </row>
    <row r="314">
      <c r="A314" s="54" t="n"/>
      <c r="B314" s="61" t="n"/>
      <c r="C314" s="55" t="n"/>
      <c r="D314" s="55" t="n"/>
      <c r="E314" s="55" t="n"/>
      <c r="F314" s="58" t="n"/>
      <c r="G314" s="58" t="n"/>
    </row>
    <row r="315">
      <c r="A315" s="54" t="n"/>
      <c r="B315" s="61" t="n"/>
      <c r="C315" s="55" t="n"/>
      <c r="D315" s="55" t="n"/>
      <c r="E315" s="55" t="n"/>
      <c r="F315" s="58" t="n"/>
      <c r="G315" s="58" t="n"/>
    </row>
    <row r="316">
      <c r="A316" s="54" t="n"/>
      <c r="B316" s="61" t="n"/>
      <c r="C316" s="55" t="n"/>
      <c r="D316" s="55" t="n"/>
      <c r="E316" s="55" t="n"/>
      <c r="F316" s="58" t="n"/>
      <c r="G316" s="58" t="n"/>
    </row>
    <row r="317">
      <c r="A317" s="54" t="n"/>
      <c r="B317" s="61" t="n"/>
      <c r="C317" s="55" t="n"/>
      <c r="D317" s="55" t="n"/>
      <c r="E317" s="55" t="n"/>
      <c r="F317" s="58" t="n"/>
      <c r="G317" s="58" t="n"/>
    </row>
    <row r="318">
      <c r="A318" s="54" t="n"/>
      <c r="B318" s="61" t="n"/>
      <c r="C318" s="55" t="n"/>
      <c r="D318" s="55" t="n"/>
      <c r="E318" s="55" t="n"/>
      <c r="F318" s="58" t="n"/>
      <c r="G318" s="58" t="n"/>
    </row>
    <row r="319">
      <c r="A319" s="54" t="n"/>
      <c r="B319" s="61" t="n"/>
      <c r="C319" s="55" t="n"/>
      <c r="D319" s="55" t="n"/>
      <c r="E319" s="55" t="n"/>
      <c r="F319" s="58" t="n"/>
      <c r="G319" s="58" t="n"/>
    </row>
    <row r="320">
      <c r="A320" s="54" t="n"/>
      <c r="B320" s="61" t="n"/>
      <c r="C320" s="55" t="n"/>
      <c r="D320" s="55" t="n"/>
      <c r="E320" s="55" t="n"/>
      <c r="F320" s="58" t="n"/>
      <c r="G320" s="58" t="n"/>
    </row>
    <row r="321">
      <c r="A321" s="54" t="n"/>
      <c r="B321" s="61" t="n"/>
      <c r="C321" s="55" t="n"/>
      <c r="D321" s="55" t="n"/>
      <c r="E321" s="55" t="n"/>
      <c r="F321" s="58" t="n"/>
      <c r="G321" s="58" t="n"/>
    </row>
    <row r="322">
      <c r="A322" s="54" t="n"/>
      <c r="B322" s="61" t="n"/>
      <c r="C322" s="55" t="n"/>
      <c r="D322" s="55" t="n"/>
      <c r="E322" s="55" t="n"/>
      <c r="F322" s="58" t="n"/>
      <c r="G322" s="58" t="n"/>
    </row>
    <row r="323">
      <c r="A323" s="54" t="n"/>
      <c r="B323" s="61" t="n"/>
      <c r="C323" s="55" t="n"/>
      <c r="D323" s="55" t="n"/>
      <c r="E323" s="55" t="n"/>
      <c r="F323" s="58" t="n"/>
      <c r="G323" s="58" t="n"/>
    </row>
    <row r="324">
      <c r="A324" s="54" t="n"/>
      <c r="B324" s="61" t="n"/>
      <c r="C324" s="55" t="n"/>
      <c r="D324" s="55" t="n"/>
      <c r="E324" s="55" t="n"/>
      <c r="F324" s="58" t="n"/>
      <c r="G324" s="58" t="n"/>
    </row>
    <row r="325">
      <c r="A325" s="54" t="n"/>
      <c r="B325" s="61" t="n"/>
      <c r="C325" s="55" t="n"/>
      <c r="D325" s="55" t="n"/>
      <c r="E325" s="55" t="n"/>
      <c r="F325" s="58" t="n"/>
      <c r="G325" s="58" t="n"/>
    </row>
    <row r="326">
      <c r="A326" s="54" t="n"/>
      <c r="B326" s="61" t="n"/>
      <c r="C326" s="55" t="n"/>
      <c r="D326" s="55" t="n"/>
      <c r="E326" s="55" t="n"/>
      <c r="F326" s="58" t="n"/>
      <c r="G326" s="58" t="n"/>
    </row>
    <row r="327">
      <c r="A327" s="54" t="n"/>
      <c r="B327" s="61" t="n"/>
      <c r="C327" s="55" t="n"/>
      <c r="D327" s="55" t="n"/>
      <c r="E327" s="55" t="n"/>
      <c r="F327" s="58" t="n"/>
      <c r="G327" s="58" t="n"/>
    </row>
    <row r="328">
      <c r="A328" s="54" t="n"/>
      <c r="B328" s="61" t="n"/>
      <c r="C328" s="55" t="n"/>
      <c r="D328" s="55" t="n"/>
      <c r="E328" s="55" t="n"/>
      <c r="F328" s="58" t="n"/>
      <c r="G328" s="58" t="n"/>
    </row>
    <row r="329">
      <c r="A329" s="54" t="n"/>
      <c r="B329" s="61" t="n"/>
      <c r="C329" s="55" t="n"/>
      <c r="D329" s="55" t="n"/>
      <c r="E329" s="55" t="n"/>
      <c r="F329" s="58" t="n"/>
      <c r="G329" s="58" t="n"/>
    </row>
    <row r="330">
      <c r="A330" s="54" t="n"/>
      <c r="B330" s="61" t="n"/>
      <c r="C330" s="55" t="n"/>
      <c r="D330" s="55" t="n"/>
      <c r="E330" s="55" t="n"/>
      <c r="F330" s="58" t="n"/>
      <c r="G330" s="58" t="n"/>
    </row>
    <row r="331">
      <c r="A331" s="54" t="n"/>
      <c r="B331" s="61" t="n"/>
      <c r="C331" s="55" t="n"/>
      <c r="D331" s="55" t="n"/>
      <c r="E331" s="55" t="n"/>
      <c r="F331" s="58" t="n"/>
      <c r="G331" s="58" t="n"/>
    </row>
    <row r="332">
      <c r="A332" s="54" t="n"/>
      <c r="B332" s="61" t="n"/>
      <c r="C332" s="55" t="n"/>
      <c r="D332" s="55" t="n"/>
      <c r="E332" s="55" t="n"/>
      <c r="F332" s="58" t="n"/>
      <c r="G332" s="58" t="n"/>
    </row>
    <row r="333">
      <c r="A333" s="54" t="n"/>
      <c r="B333" s="61" t="n"/>
      <c r="C333" s="55" t="n"/>
      <c r="D333" s="55" t="n"/>
      <c r="E333" s="55" t="n"/>
      <c r="F333" s="58" t="n"/>
      <c r="G333" s="58" t="n"/>
    </row>
    <row r="334">
      <c r="A334" s="54" t="n"/>
      <c r="B334" s="61" t="n"/>
      <c r="C334" s="55" t="n"/>
      <c r="D334" s="55" t="n"/>
      <c r="E334" s="55" t="n"/>
      <c r="F334" s="58" t="n"/>
      <c r="G334" s="58" t="n"/>
    </row>
    <row r="335">
      <c r="A335" s="54" t="n"/>
      <c r="B335" s="61" t="n"/>
      <c r="C335" s="55" t="n"/>
      <c r="D335" s="55" t="n"/>
      <c r="E335" s="55" t="n"/>
      <c r="F335" s="58" t="n"/>
      <c r="G335" s="58" t="n"/>
    </row>
    <row r="336">
      <c r="A336" s="54" t="n"/>
      <c r="B336" s="61" t="n"/>
      <c r="C336" s="55" t="n"/>
      <c r="D336" s="55" t="n"/>
      <c r="E336" s="55" t="n"/>
      <c r="F336" s="58" t="n"/>
      <c r="G336" s="58" t="n"/>
    </row>
    <row r="337">
      <c r="A337" s="54" t="n"/>
      <c r="B337" s="61" t="n"/>
      <c r="C337" s="55" t="n"/>
      <c r="D337" s="55" t="n"/>
      <c r="E337" s="55" t="n"/>
      <c r="F337" s="58" t="n"/>
      <c r="G337" s="58" t="n"/>
    </row>
    <row r="338">
      <c r="A338" s="54" t="n"/>
      <c r="B338" s="61" t="n"/>
      <c r="C338" s="55" t="n"/>
      <c r="D338" s="55" t="n"/>
      <c r="E338" s="55" t="n"/>
      <c r="F338" s="58" t="n"/>
      <c r="G338" s="58" t="n"/>
    </row>
    <row r="339">
      <c r="A339" s="54" t="n"/>
      <c r="B339" s="61" t="n"/>
      <c r="C339" s="55" t="n"/>
      <c r="D339" s="55" t="n"/>
      <c r="E339" s="55" t="n"/>
      <c r="F339" s="58" t="n"/>
      <c r="G339" s="58" t="n"/>
    </row>
    <row r="340">
      <c r="A340" s="54" t="n"/>
      <c r="B340" s="61" t="n"/>
      <c r="C340" s="55" t="n"/>
      <c r="D340" s="55" t="n"/>
      <c r="E340" s="55" t="n"/>
      <c r="F340" s="58" t="n"/>
      <c r="G340" s="58" t="n"/>
    </row>
    <row r="341">
      <c r="A341" s="54" t="n"/>
      <c r="B341" s="61" t="n"/>
      <c r="C341" s="55" t="n"/>
      <c r="D341" s="55" t="n"/>
      <c r="E341" s="55" t="n"/>
      <c r="F341" s="58" t="n"/>
      <c r="G341" s="58" t="n"/>
    </row>
    <row r="342">
      <c r="A342" s="54" t="n"/>
      <c r="B342" s="61" t="n"/>
      <c r="C342" s="55" t="n"/>
      <c r="D342" s="55" t="n"/>
      <c r="E342" s="55" t="n"/>
      <c r="F342" s="58" t="n"/>
      <c r="G342" s="58" t="n"/>
    </row>
    <row r="343">
      <c r="A343" s="54" t="n"/>
      <c r="B343" s="61" t="n"/>
      <c r="C343" s="55" t="n"/>
      <c r="D343" s="55" t="n"/>
      <c r="E343" s="55" t="n"/>
      <c r="F343" s="58" t="n"/>
      <c r="G343" s="58" t="n"/>
    </row>
    <row r="344">
      <c r="A344" s="54" t="n"/>
      <c r="B344" s="61" t="n"/>
      <c r="C344" s="55" t="n"/>
      <c r="D344" s="55" t="n"/>
      <c r="E344" s="55" t="n"/>
      <c r="F344" s="58" t="n"/>
      <c r="G344" s="58" t="n"/>
    </row>
    <row r="345">
      <c r="A345" s="54" t="n"/>
      <c r="B345" s="61" t="n"/>
      <c r="C345" s="55" t="n"/>
      <c r="D345" s="55" t="n"/>
      <c r="E345" s="55" t="n"/>
      <c r="F345" s="58" t="n"/>
      <c r="G345" s="58" t="n"/>
    </row>
    <row r="346">
      <c r="A346" s="54" t="n"/>
      <c r="B346" s="61" t="n"/>
      <c r="C346" s="55" t="n"/>
      <c r="D346" s="55" t="n"/>
      <c r="E346" s="55" t="n"/>
      <c r="F346" s="58" t="n"/>
      <c r="G346" s="58" t="n"/>
    </row>
    <row r="347">
      <c r="A347" s="54" t="n"/>
      <c r="B347" s="61" t="n"/>
      <c r="C347" s="55" t="n"/>
      <c r="D347" s="55" t="n"/>
      <c r="E347" s="55" t="n"/>
      <c r="F347" s="58" t="n"/>
      <c r="G347" s="58" t="n"/>
    </row>
    <row r="348">
      <c r="A348" s="54" t="n"/>
      <c r="B348" s="61" t="n"/>
      <c r="C348" s="55" t="n"/>
      <c r="D348" s="55" t="n"/>
      <c r="E348" s="55" t="n"/>
      <c r="F348" s="58" t="n"/>
      <c r="G348" s="58" t="n"/>
    </row>
    <row r="349">
      <c r="A349" s="54" t="n"/>
      <c r="B349" s="61" t="n"/>
      <c r="C349" s="55" t="n"/>
      <c r="D349" s="55" t="n"/>
      <c r="E349" s="55" t="n"/>
      <c r="F349" s="58" t="n"/>
      <c r="G349" s="58" t="n"/>
    </row>
    <row r="350">
      <c r="A350" s="54" t="n"/>
      <c r="B350" s="61" t="n"/>
      <c r="C350" s="55" t="n"/>
      <c r="D350" s="55" t="n"/>
      <c r="E350" s="55" t="n"/>
      <c r="F350" s="58" t="n"/>
      <c r="G350" s="58" t="n"/>
    </row>
    <row r="351">
      <c r="A351" s="54" t="n"/>
      <c r="B351" s="61" t="n"/>
      <c r="C351" s="55" t="n"/>
      <c r="D351" s="55" t="n"/>
      <c r="E351" s="55" t="n"/>
      <c r="F351" s="58" t="n"/>
      <c r="G351" s="58" t="n"/>
    </row>
    <row r="352">
      <c r="A352" s="54" t="n"/>
      <c r="B352" s="61" t="n"/>
      <c r="C352" s="55" t="n"/>
      <c r="D352" s="55" t="n"/>
      <c r="E352" s="55" t="n"/>
      <c r="F352" s="58" t="n"/>
      <c r="G352" s="58" t="n"/>
    </row>
    <row r="353">
      <c r="A353" s="54" t="n"/>
      <c r="B353" s="61" t="n"/>
      <c r="C353" s="55" t="n"/>
      <c r="D353" s="55" t="n"/>
      <c r="E353" s="55" t="n"/>
      <c r="F353" s="58" t="n"/>
      <c r="G353" s="58" t="n"/>
    </row>
    <row r="354">
      <c r="A354" s="54" t="n"/>
      <c r="B354" s="61" t="n"/>
      <c r="C354" s="55" t="n"/>
      <c r="D354" s="55" t="n"/>
      <c r="E354" s="55" t="n"/>
      <c r="F354" s="58" t="n"/>
      <c r="G354" s="58" t="n"/>
    </row>
    <row r="355">
      <c r="A355" s="54" t="n"/>
      <c r="B355" s="61" t="n"/>
      <c r="C355" s="55" t="n"/>
      <c r="D355" s="55" t="n"/>
      <c r="E355" s="55" t="n"/>
      <c r="F355" s="58" t="n"/>
      <c r="G355" s="58" t="n"/>
    </row>
    <row r="356">
      <c r="A356" s="54" t="n"/>
      <c r="B356" s="61" t="n"/>
      <c r="C356" s="55" t="n"/>
      <c r="D356" s="55" t="n"/>
      <c r="E356" s="55" t="n"/>
      <c r="F356" s="58" t="n"/>
      <c r="G356" s="58" t="n"/>
    </row>
    <row r="357">
      <c r="A357" s="54" t="n"/>
      <c r="B357" s="61" t="n"/>
      <c r="C357" s="55" t="n"/>
      <c r="D357" s="55" t="n"/>
      <c r="E357" s="55" t="n"/>
      <c r="F357" s="58" t="n"/>
      <c r="G357" s="58" t="n"/>
    </row>
    <row r="358">
      <c r="A358" s="54" t="n"/>
      <c r="B358" s="61" t="n"/>
      <c r="C358" s="55" t="n"/>
      <c r="D358" s="55" t="n"/>
      <c r="E358" s="55" t="n"/>
      <c r="F358" s="58" t="n"/>
      <c r="G358" s="58" t="n"/>
    </row>
    <row r="359">
      <c r="A359" s="54" t="n"/>
      <c r="B359" s="61" t="n"/>
      <c r="C359" s="55" t="n"/>
      <c r="D359" s="55" t="n"/>
      <c r="E359" s="55" t="n"/>
      <c r="F359" s="58" t="n"/>
      <c r="G359" s="58" t="n"/>
    </row>
    <row r="360">
      <c r="A360" s="54" t="n"/>
      <c r="B360" s="61" t="n"/>
      <c r="C360" s="55" t="n"/>
      <c r="D360" s="55" t="n"/>
      <c r="E360" s="55" t="n"/>
      <c r="F360" s="58" t="n"/>
      <c r="G360" s="58" t="n"/>
    </row>
    <row r="361">
      <c r="A361" s="54" t="n"/>
      <c r="B361" s="61" t="n"/>
      <c r="C361" s="55" t="n"/>
      <c r="D361" s="55" t="n"/>
      <c r="E361" s="55" t="n"/>
      <c r="F361" s="58" t="n"/>
      <c r="G361" s="58" t="n"/>
    </row>
    <row r="362">
      <c r="A362" s="54" t="n"/>
      <c r="B362" s="61" t="n"/>
      <c r="C362" s="55" t="n"/>
      <c r="D362" s="55" t="n"/>
      <c r="E362" s="55" t="n"/>
      <c r="F362" s="58" t="n"/>
      <c r="G362" s="58" t="n"/>
    </row>
    <row r="363">
      <c r="A363" s="54" t="n"/>
      <c r="B363" s="61" t="n"/>
      <c r="C363" s="55" t="n"/>
      <c r="D363" s="55" t="n"/>
      <c r="E363" s="55" t="n"/>
      <c r="F363" s="58" t="n"/>
      <c r="G363" s="58" t="n"/>
    </row>
    <row r="364">
      <c r="A364" s="54" t="n"/>
      <c r="B364" s="61" t="n"/>
      <c r="C364" s="55" t="n"/>
      <c r="D364" s="55" t="n"/>
      <c r="E364" s="55" t="n"/>
      <c r="F364" s="58" t="n"/>
      <c r="G364" s="58" t="n"/>
    </row>
    <row r="365">
      <c r="A365" s="54" t="n"/>
      <c r="B365" s="61" t="n"/>
      <c r="C365" s="55" t="n"/>
      <c r="D365" s="55" t="n"/>
      <c r="E365" s="55" t="n"/>
      <c r="F365" s="58" t="n"/>
      <c r="G365" s="58" t="n"/>
    </row>
    <row r="366">
      <c r="A366" s="54" t="n"/>
      <c r="B366" s="61" t="n"/>
      <c r="C366" s="55" t="n"/>
      <c r="D366" s="55" t="n"/>
      <c r="E366" s="55" t="n"/>
      <c r="F366" s="58" t="n"/>
      <c r="G366" s="58" t="n"/>
    </row>
    <row r="367">
      <c r="A367" s="54" t="n"/>
      <c r="B367" s="61" t="n"/>
      <c r="C367" s="55" t="n"/>
      <c r="D367" s="55" t="n"/>
      <c r="E367" s="55" t="n"/>
      <c r="F367" s="58" t="n"/>
      <c r="G367" s="58" t="n"/>
    </row>
    <row r="368">
      <c r="A368" s="54" t="n"/>
      <c r="B368" s="61" t="n"/>
      <c r="C368" s="55" t="n"/>
      <c r="D368" s="55" t="n"/>
      <c r="E368" s="55" t="n"/>
      <c r="F368" s="58" t="n"/>
      <c r="G368" s="58" t="n"/>
    </row>
    <row r="369">
      <c r="A369" s="54" t="n"/>
      <c r="B369" s="61" t="n"/>
      <c r="C369" s="55" t="n"/>
      <c r="D369" s="55" t="n"/>
      <c r="E369" s="55" t="n"/>
      <c r="F369" s="58" t="n"/>
      <c r="G369" s="58" t="n"/>
    </row>
    <row r="370">
      <c r="A370" s="54" t="n"/>
      <c r="B370" s="61" t="n"/>
      <c r="C370" s="55" t="n"/>
      <c r="D370" s="55" t="n"/>
      <c r="E370" s="55" t="n"/>
      <c r="F370" s="58" t="n"/>
      <c r="G370" s="58" t="n"/>
    </row>
    <row r="371">
      <c r="A371" s="54" t="n"/>
      <c r="B371" s="61" t="n"/>
      <c r="C371" s="55" t="n"/>
      <c r="D371" s="55" t="n"/>
      <c r="E371" s="55" t="n"/>
      <c r="F371" s="58" t="n"/>
      <c r="G371" s="58" t="n"/>
    </row>
    <row r="372">
      <c r="A372" s="54" t="n"/>
      <c r="B372" s="61" t="n"/>
      <c r="C372" s="55" t="n"/>
      <c r="D372" s="55" t="n"/>
      <c r="E372" s="55" t="n"/>
      <c r="F372" s="58" t="n"/>
      <c r="G372" s="58" t="n"/>
    </row>
    <row r="373">
      <c r="A373" s="54" t="n"/>
      <c r="B373" s="61" t="n"/>
      <c r="C373" s="55" t="n"/>
      <c r="D373" s="55" t="n"/>
      <c r="E373" s="55" t="n"/>
      <c r="F373" s="58" t="n"/>
      <c r="G373" s="58" t="n"/>
    </row>
    <row r="374">
      <c r="A374" s="54" t="n"/>
      <c r="B374" s="61" t="n"/>
      <c r="C374" s="55" t="n"/>
      <c r="D374" s="55" t="n"/>
      <c r="E374" s="55" t="n"/>
      <c r="F374" s="58" t="n"/>
      <c r="G374" s="58" t="n"/>
    </row>
    <row r="375">
      <c r="A375" s="54" t="n"/>
      <c r="B375" s="61" t="n"/>
      <c r="C375" s="55" t="n"/>
      <c r="D375" s="55" t="n"/>
      <c r="E375" s="55" t="n"/>
      <c r="F375" s="58" t="n"/>
      <c r="G375" s="58" t="n"/>
    </row>
    <row r="376">
      <c r="A376" s="54" t="n"/>
      <c r="B376" s="61" t="n"/>
      <c r="C376" s="55" t="n"/>
      <c r="D376" s="55" t="n"/>
      <c r="E376" s="55" t="n"/>
      <c r="F376" s="58" t="n"/>
      <c r="G376" s="58" t="n"/>
    </row>
    <row r="377">
      <c r="A377" s="54" t="n"/>
      <c r="B377" s="61" t="n"/>
      <c r="C377" s="55" t="n"/>
      <c r="D377" s="55" t="n"/>
      <c r="E377" s="55" t="n"/>
      <c r="F377" s="58" t="n"/>
      <c r="G377" s="58" t="n"/>
    </row>
    <row r="378">
      <c r="A378" s="54" t="n"/>
      <c r="B378" s="61" t="n"/>
      <c r="C378" s="55" t="n"/>
      <c r="D378" s="55" t="n"/>
      <c r="E378" s="55" t="n"/>
      <c r="F378" s="58" t="n"/>
      <c r="G378" s="58" t="n"/>
    </row>
    <row r="379">
      <c r="A379" s="54" t="n"/>
      <c r="B379" s="61" t="n"/>
      <c r="C379" s="55" t="n"/>
      <c r="D379" s="55" t="n"/>
      <c r="E379" s="55" t="n"/>
      <c r="F379" s="58" t="n"/>
      <c r="G379" s="58" t="n"/>
    </row>
    <row r="380">
      <c r="A380" s="54" t="n"/>
      <c r="B380" s="61" t="n"/>
      <c r="C380" s="55" t="n"/>
      <c r="D380" s="55" t="n"/>
      <c r="E380" s="55" t="n"/>
      <c r="F380" s="58" t="n"/>
      <c r="G380" s="58" t="n"/>
    </row>
    <row r="381">
      <c r="A381" s="54" t="n"/>
      <c r="B381" s="61" t="n"/>
      <c r="C381" s="55" t="n"/>
      <c r="D381" s="55" t="n"/>
      <c r="E381" s="55" t="n"/>
      <c r="F381" s="58" t="n"/>
      <c r="G381" s="58" t="n"/>
    </row>
    <row r="382">
      <c r="A382" s="54" t="n"/>
      <c r="B382" s="61" t="n"/>
      <c r="C382" s="55" t="n"/>
      <c r="D382" s="55" t="n"/>
      <c r="E382" s="55" t="n"/>
      <c r="F382" s="58" t="n"/>
      <c r="G382" s="58" t="n"/>
    </row>
    <row r="383">
      <c r="A383" s="54" t="n"/>
      <c r="B383" s="61" t="n"/>
      <c r="C383" s="55" t="n"/>
      <c r="D383" s="55" t="n"/>
      <c r="E383" s="55" t="n"/>
      <c r="F383" s="58" t="n"/>
      <c r="G383" s="58" t="n"/>
    </row>
    <row r="384">
      <c r="A384" s="54" t="n"/>
      <c r="B384" s="61" t="n"/>
      <c r="C384" s="55" t="n"/>
      <c r="D384" s="55" t="n"/>
      <c r="E384" s="55" t="n"/>
      <c r="F384" s="58" t="n"/>
      <c r="G384" s="58" t="n"/>
    </row>
    <row r="385">
      <c r="A385" s="54" t="n"/>
      <c r="B385" s="61" t="n"/>
      <c r="C385" s="55" t="n"/>
      <c r="D385" s="55" t="n"/>
      <c r="E385" s="55" t="n"/>
      <c r="F385" s="58" t="n"/>
      <c r="G385" s="58" t="n"/>
    </row>
    <row r="386">
      <c r="A386" s="54" t="n"/>
      <c r="B386" s="61" t="n"/>
      <c r="C386" s="55" t="n"/>
      <c r="D386" s="55" t="n"/>
      <c r="E386" s="55" t="n"/>
      <c r="F386" s="58" t="n"/>
      <c r="G386" s="58" t="n"/>
    </row>
    <row r="387">
      <c r="A387" s="54" t="n"/>
      <c r="B387" s="61" t="n"/>
      <c r="C387" s="55" t="n"/>
      <c r="D387" s="55" t="n"/>
      <c r="E387" s="55" t="n"/>
      <c r="F387" s="58" t="n"/>
      <c r="G387" s="58" t="n"/>
    </row>
    <row r="388">
      <c r="A388" s="54" t="n"/>
      <c r="B388" s="61" t="n"/>
      <c r="C388" s="55" t="n"/>
      <c r="D388" s="55" t="n"/>
      <c r="E388" s="55" t="n"/>
      <c r="F388" s="58" t="n"/>
      <c r="G388" s="58" t="n"/>
    </row>
    <row r="389">
      <c r="A389" s="54" t="n"/>
      <c r="B389" s="61" t="n"/>
      <c r="C389" s="55" t="n"/>
      <c r="D389" s="55" t="n"/>
      <c r="E389" s="55" t="n"/>
      <c r="F389" s="58" t="n"/>
      <c r="G389" s="58" t="n"/>
    </row>
    <row r="390">
      <c r="A390" s="54" t="n"/>
      <c r="B390" s="61" t="n"/>
      <c r="C390" s="55" t="n"/>
      <c r="D390" s="55" t="n"/>
      <c r="E390" s="55" t="n"/>
      <c r="F390" s="58" t="n"/>
      <c r="G390" s="58" t="n"/>
    </row>
    <row r="391">
      <c r="A391" s="54" t="n"/>
      <c r="B391" s="61" t="n"/>
      <c r="C391" s="55" t="n"/>
      <c r="D391" s="55" t="n"/>
      <c r="E391" s="55" t="n"/>
      <c r="F391" s="58" t="n"/>
      <c r="G391" s="58" t="n"/>
    </row>
    <row r="392">
      <c r="A392" s="54" t="n"/>
      <c r="B392" s="61" t="n"/>
      <c r="C392" s="55" t="n"/>
      <c r="D392" s="55" t="n"/>
      <c r="E392" s="55" t="n"/>
      <c r="F392" s="58" t="n"/>
      <c r="G392" s="58" t="n"/>
    </row>
    <row r="393">
      <c r="A393" s="54" t="n"/>
      <c r="B393" s="61" t="n"/>
      <c r="C393" s="55" t="n"/>
      <c r="D393" s="55" t="n"/>
      <c r="E393" s="55" t="n"/>
      <c r="F393" s="58" t="n"/>
      <c r="G393" s="58" t="n"/>
    </row>
    <row r="394">
      <c r="A394" s="54" t="n"/>
      <c r="B394" s="61" t="n"/>
      <c r="C394" s="55" t="n"/>
      <c r="D394" s="55" t="n"/>
      <c r="E394" s="55" t="n"/>
      <c r="F394" s="58" t="n"/>
      <c r="G394" s="58" t="n"/>
    </row>
    <row r="395">
      <c r="A395" s="54" t="n"/>
      <c r="B395" s="61" t="n"/>
      <c r="C395" s="55" t="n"/>
      <c r="D395" s="55" t="n"/>
      <c r="E395" s="55" t="n"/>
      <c r="F395" s="58" t="n"/>
      <c r="G395" s="58" t="n"/>
    </row>
    <row r="396">
      <c r="A396" s="54" t="n"/>
      <c r="B396" s="61" t="n"/>
      <c r="C396" s="55" t="n"/>
      <c r="D396" s="55" t="n"/>
      <c r="E396" s="55" t="n"/>
      <c r="F396" s="58" t="n"/>
      <c r="G396" s="58" t="n"/>
    </row>
    <row r="397">
      <c r="A397" s="54" t="n"/>
      <c r="B397" s="61" t="n"/>
      <c r="C397" s="55" t="n"/>
      <c r="D397" s="55" t="n"/>
      <c r="E397" s="55" t="n"/>
      <c r="F397" s="58" t="n"/>
      <c r="G397" s="58" t="n"/>
    </row>
    <row r="398">
      <c r="A398" s="54" t="n"/>
      <c r="B398" s="61" t="n"/>
      <c r="C398" s="55" t="n"/>
      <c r="D398" s="55" t="n"/>
      <c r="E398" s="55" t="n"/>
      <c r="F398" s="58" t="n"/>
      <c r="G398" s="58" t="n"/>
    </row>
    <row r="399">
      <c r="A399" s="54" t="n"/>
      <c r="B399" s="61" t="n"/>
      <c r="C399" s="55" t="n"/>
      <c r="D399" s="55" t="n"/>
      <c r="E399" s="55" t="n"/>
      <c r="F399" s="58" t="n"/>
      <c r="G399" s="58" t="n"/>
    </row>
    <row r="400">
      <c r="A400" s="54" t="n"/>
      <c r="B400" s="61" t="n"/>
      <c r="C400" s="55" t="n"/>
      <c r="D400" s="55" t="n"/>
      <c r="E400" s="55" t="n"/>
      <c r="F400" s="58" t="n"/>
      <c r="G400" s="58" t="n"/>
    </row>
    <row r="401">
      <c r="A401" s="54" t="n"/>
      <c r="B401" s="61" t="n"/>
      <c r="C401" s="55" t="n"/>
      <c r="D401" s="55" t="n"/>
      <c r="E401" s="55" t="n"/>
      <c r="F401" s="58" t="n"/>
      <c r="G401" s="58" t="n"/>
    </row>
    <row r="402">
      <c r="A402" s="54" t="n"/>
      <c r="B402" s="61" t="n"/>
      <c r="C402" s="55" t="n"/>
      <c r="D402" s="55" t="n"/>
      <c r="E402" s="55" t="n"/>
      <c r="F402" s="58" t="n"/>
      <c r="G402" s="58" t="n"/>
    </row>
    <row r="403">
      <c r="A403" s="54" t="n"/>
      <c r="B403" s="61" t="n"/>
      <c r="C403" s="55" t="n"/>
      <c r="D403" s="55" t="n"/>
      <c r="E403" s="55" t="n"/>
      <c r="F403" s="58" t="n"/>
      <c r="G403" s="58" t="n"/>
    </row>
    <row r="404">
      <c r="A404" s="54" t="n"/>
      <c r="B404" s="61" t="n"/>
      <c r="C404" s="55" t="n"/>
      <c r="D404" s="55" t="n"/>
      <c r="E404" s="55" t="n"/>
      <c r="F404" s="58" t="n"/>
      <c r="G404" s="58" t="n"/>
    </row>
    <row r="405">
      <c r="A405" s="54" t="n"/>
      <c r="B405" s="61" t="n"/>
      <c r="C405" s="55" t="n"/>
      <c r="D405" s="55" t="n"/>
      <c r="E405" s="55" t="n"/>
      <c r="F405" s="58" t="n"/>
      <c r="G405" s="58" t="n"/>
    </row>
  </sheetData>
  <dataValidations count="5">
    <dataValidation sqref="A6:A4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405" showDropDown="0" showInputMessage="1" showErrorMessage="1" allowBlank="1" errorTitle="Not in list" error="Choose a value from the list (edit the Lists sheet to add one)." promptTitle="Type" prompt="Shipment (dore leaves site) or Sale (refinery outturn sold)" type="list">
      <formula1>=lst_Gold_Movement_Type</formula1>
    </dataValidation>
    <dataValidation sqref="C6:C405" showDropDown="0" showInputMessage="0" showErrorMessage="1" allowBlank="1" errorTitle="Outside expected range" error="Expected between 0 and 5000. Click Yes to keep the value if it is correct." type="decimal" errorStyle="warning" operator="between">
      <formula1>0</formula1>
      <formula2>5000</formula2>
    </dataValidation>
    <dataValidation sqref="D6:D405" showDropDown="0" showInputMessage="0" showErrorMessage="1" allowBlank="1" errorTitle="Outside expected range" error="Expected between 0 and 100000. Click Yes to keep the value if it is correct." type="decimal" errorStyle="warning" operator="between">
      <formula1>0</formula1>
      <formula2>100000</formula2>
    </dataValidation>
    <dataValidation sqref="E6:E405" showDropDown="0" showInputMessage="0" showErrorMessage="1" allowBlank="1" errorTitle="Outside expected range" error="Expected between 0 and 100000. Click Yes to keep the value if it is correct." type="decimal" errorStyle="warning" operator="between">
      <formula1>0</formula1>
      <formula2>100000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P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.7" customWidth="1" min="2" max="2"/>
    <col width="20.9" customWidth="1" min="3" max="3"/>
    <col width="15.5" customWidth="1" min="4" max="4"/>
    <col width="11" customWidth="1" min="5" max="5"/>
    <col width="16.4" customWidth="1" min="6" max="6"/>
    <col width="12.8" customWidth="1" min="7" max="7"/>
    <col width="16.4" customWidth="1" min="8" max="8"/>
    <col width="16.4" customWidth="1" min="9" max="9"/>
    <col width="11.9" customWidth="1" min="10" max="10"/>
    <col width="17.3" customWidth="1" min="11" max="11"/>
    <col width="13.7" customWidth="1" min="12" max="12"/>
    <col width="19.1" customWidth="1" min="13" max="13"/>
    <col width="23.6" customWidth="1" min="14" max="14"/>
    <col width="26.3" customWidth="1" min="15" max="15"/>
    <col width="19.1" customWidth="1" min="16" max="16"/>
  </cols>
  <sheetData>
    <row r="1">
      <c r="A1" s="50" t="inlineStr">
        <is>
          <t>Monthly budget (or latest forecast), one row per month</t>
        </is>
      </c>
    </row>
    <row r="2">
      <c r="A2" s="6" t="inlineStr">
        <is>
          <t>Owner: Technical services / finance. Yellow-free rule: type values only in the blue-headed columns; grey-headed columns are formulas.</t>
        </is>
      </c>
    </row>
    <row r="4" ht="30" customHeight="1">
      <c r="A4" s="51" t="inlineStr">
        <is>
          <t>Month</t>
        </is>
      </c>
      <c r="B4" s="51" t="inlineStr">
        <is>
          <t>Ore mined (t)</t>
        </is>
      </c>
      <c r="C4" s="51" t="inlineStr">
        <is>
          <t>Ore grade mined (g/t)</t>
        </is>
      </c>
      <c r="D4" s="51" t="inlineStr">
        <is>
          <t>Waste mined (t)</t>
        </is>
      </c>
      <c r="E4" s="51" t="inlineStr">
        <is>
          <t>Milled (t)</t>
        </is>
      </c>
      <c r="F4" s="51" t="inlineStr">
        <is>
          <t>Head grade (g/t)</t>
        </is>
      </c>
      <c r="G4" s="51" t="inlineStr">
        <is>
          <t>Recovery (%)</t>
        </is>
      </c>
      <c r="H4" s="51" t="inlineStr">
        <is>
          <t>Gold poured (oz)</t>
        </is>
      </c>
      <c r="I4" s="51" t="inlineStr">
        <is>
          <t>Hours worked (h)</t>
        </is>
      </c>
      <c r="J4" s="51" t="inlineStr">
        <is>
          <t>Drilled (m)</t>
        </is>
      </c>
      <c r="K4" s="51" t="inlineStr">
        <is>
          <t>Mining diesel (L)</t>
        </is>
      </c>
      <c r="L4" s="51" t="inlineStr">
        <is>
          <t>Days in month</t>
        </is>
      </c>
      <c r="M4" s="51" t="inlineStr">
        <is>
          <t>Ore gold mined (oz)</t>
        </is>
      </c>
      <c r="N4" s="51" t="inlineStr">
        <is>
          <t>Total material moved (t)</t>
        </is>
      </c>
      <c r="O4" s="51" t="inlineStr">
        <is>
          <t>Contained gold in feed (oz)</t>
        </is>
      </c>
      <c r="P4" s="51" t="inlineStr">
        <is>
          <t>Gold recovered (oz)</t>
        </is>
      </c>
    </row>
    <row r="5">
      <c r="A5" s="52" t="inlineStr">
        <is>
          <t>Month</t>
        </is>
      </c>
      <c r="B5" s="52" t="inlineStr">
        <is>
          <t>Ore_Mined_t</t>
        </is>
      </c>
      <c r="C5" s="52" t="inlineStr">
        <is>
          <t>Ore_Grade_gpt</t>
        </is>
      </c>
      <c r="D5" s="52" t="inlineStr">
        <is>
          <t>Waste_t</t>
        </is>
      </c>
      <c r="E5" s="52" t="inlineStr">
        <is>
          <t>Milled_t</t>
        </is>
      </c>
      <c r="F5" s="52" t="inlineStr">
        <is>
          <t>Head_Grade_gpt</t>
        </is>
      </c>
      <c r="G5" s="52" t="inlineStr">
        <is>
          <t>Recovery_pct</t>
        </is>
      </c>
      <c r="H5" s="52" t="inlineStr">
        <is>
          <t>Gold_Poured_oz</t>
        </is>
      </c>
      <c r="I5" s="52" t="inlineStr">
        <is>
          <t>Hours_Worked</t>
        </is>
      </c>
      <c r="J5" s="52" t="inlineStr">
        <is>
          <t>Drill_m</t>
        </is>
      </c>
      <c r="K5" s="52" t="inlineStr">
        <is>
          <t>Diesel_L</t>
        </is>
      </c>
      <c r="L5" s="53" t="inlineStr">
        <is>
          <t>Days</t>
        </is>
      </c>
      <c r="M5" s="53" t="inlineStr">
        <is>
          <t>Ore_oz</t>
        </is>
      </c>
      <c r="N5" s="53" t="inlineStr">
        <is>
          <t>TMM_t</t>
        </is>
      </c>
      <c r="O5" s="53" t="inlineStr">
        <is>
          <t>Feed_oz</t>
        </is>
      </c>
      <c r="P5" s="53" t="inlineStr">
        <is>
          <t>Recovered_oz</t>
        </is>
      </c>
    </row>
    <row r="6">
      <c r="A6" s="54" t="n">
        <v>46023</v>
      </c>
      <c r="B6" s="55" t="n"/>
      <c r="C6" s="56" t="n"/>
      <c r="D6" s="55" t="n"/>
      <c r="E6" s="55" t="n"/>
      <c r="F6" s="56" t="n"/>
      <c r="G6" s="67" t="n"/>
      <c r="H6" s="55" t="n"/>
      <c r="I6" s="57" t="n"/>
      <c r="J6" s="55" t="n"/>
      <c r="K6" s="55" t="n"/>
      <c r="L6" s="64">
        <f>DAY(EOMONTH(tblBudget[[#This Row],[Month]],0))</f>
        <v/>
      </c>
      <c r="M6" s="59">
        <f>N(tblBudget[[#This Row],[Ore_Mined_t]])*N(tblBudget[[#This Row],[Ore_Grade_gpt]])/cfg_TroyOz</f>
        <v/>
      </c>
      <c r="N6" s="59">
        <f>N(tblBudget[[#This Row],[Ore_Mined_t]])+N(tblBudget[[#This Row],[Waste_t]])</f>
        <v/>
      </c>
      <c r="O6" s="59">
        <f>N(tblBudget[[#This Row],[Milled_t]])*N(tblBudget[[#This Row],[Head_Grade_gpt]])/cfg_TroyOz</f>
        <v/>
      </c>
      <c r="P6" s="59">
        <f>tblBudget[[#This Row],[Feed_oz]]*N(tblBudget[[#This Row],[Recovery_pct]])</f>
        <v/>
      </c>
    </row>
    <row r="7">
      <c r="A7" s="54" t="n">
        <v>46054</v>
      </c>
      <c r="B7" s="55" t="n"/>
      <c r="C7" s="56" t="n"/>
      <c r="D7" s="55" t="n"/>
      <c r="E7" s="55" t="n"/>
      <c r="F7" s="56" t="n"/>
      <c r="G7" s="67" t="n"/>
      <c r="H7" s="55" t="n"/>
      <c r="I7" s="57" t="n"/>
      <c r="J7" s="55" t="n"/>
      <c r="K7" s="55" t="n"/>
      <c r="L7" s="64">
        <f>DAY(EOMONTH(tblBudget[[#This Row],[Month]],0))</f>
        <v/>
      </c>
      <c r="M7" s="59">
        <f>N(tblBudget[[#This Row],[Ore_Mined_t]])*N(tblBudget[[#This Row],[Ore_Grade_gpt]])/cfg_TroyOz</f>
        <v/>
      </c>
      <c r="N7" s="59">
        <f>N(tblBudget[[#This Row],[Ore_Mined_t]])+N(tblBudget[[#This Row],[Waste_t]])</f>
        <v/>
      </c>
      <c r="O7" s="59">
        <f>N(tblBudget[[#This Row],[Milled_t]])*N(tblBudget[[#This Row],[Head_Grade_gpt]])/cfg_TroyOz</f>
        <v/>
      </c>
      <c r="P7" s="59">
        <f>tblBudget[[#This Row],[Feed_oz]]*N(tblBudget[[#This Row],[Recovery_pct]])</f>
        <v/>
      </c>
    </row>
    <row r="8">
      <c r="A8" s="54" t="n">
        <v>46082</v>
      </c>
      <c r="B8" s="55" t="n"/>
      <c r="C8" s="56" t="n"/>
      <c r="D8" s="55" t="n"/>
      <c r="E8" s="55" t="n"/>
      <c r="F8" s="56" t="n"/>
      <c r="G8" s="67" t="n"/>
      <c r="H8" s="55" t="n"/>
      <c r="I8" s="57" t="n"/>
      <c r="J8" s="55" t="n"/>
      <c r="K8" s="55" t="n"/>
      <c r="L8" s="64">
        <f>DAY(EOMONTH(tblBudget[[#This Row],[Month]],0))</f>
        <v/>
      </c>
      <c r="M8" s="59">
        <f>N(tblBudget[[#This Row],[Ore_Mined_t]])*N(tblBudget[[#This Row],[Ore_Grade_gpt]])/cfg_TroyOz</f>
        <v/>
      </c>
      <c r="N8" s="59">
        <f>N(tblBudget[[#This Row],[Ore_Mined_t]])+N(tblBudget[[#This Row],[Waste_t]])</f>
        <v/>
      </c>
      <c r="O8" s="59">
        <f>N(tblBudget[[#This Row],[Milled_t]])*N(tblBudget[[#This Row],[Head_Grade_gpt]])/cfg_TroyOz</f>
        <v/>
      </c>
      <c r="P8" s="59">
        <f>tblBudget[[#This Row],[Feed_oz]]*N(tblBudget[[#This Row],[Recovery_pct]])</f>
        <v/>
      </c>
    </row>
    <row r="9">
      <c r="A9" s="54" t="n">
        <v>46113</v>
      </c>
      <c r="B9" s="55" t="n"/>
      <c r="C9" s="56" t="n"/>
      <c r="D9" s="55" t="n"/>
      <c r="E9" s="55" t="n"/>
      <c r="F9" s="56" t="n"/>
      <c r="G9" s="67" t="n"/>
      <c r="H9" s="55" t="n"/>
      <c r="I9" s="57" t="n"/>
      <c r="J9" s="55" t="n"/>
      <c r="K9" s="55" t="n"/>
      <c r="L9" s="64">
        <f>DAY(EOMONTH(tblBudget[[#This Row],[Month]],0))</f>
        <v/>
      </c>
      <c r="M9" s="59">
        <f>N(tblBudget[[#This Row],[Ore_Mined_t]])*N(tblBudget[[#This Row],[Ore_Grade_gpt]])/cfg_TroyOz</f>
        <v/>
      </c>
      <c r="N9" s="59">
        <f>N(tblBudget[[#This Row],[Ore_Mined_t]])+N(tblBudget[[#This Row],[Waste_t]])</f>
        <v/>
      </c>
      <c r="O9" s="59">
        <f>N(tblBudget[[#This Row],[Milled_t]])*N(tblBudget[[#This Row],[Head_Grade_gpt]])/cfg_TroyOz</f>
        <v/>
      </c>
      <c r="P9" s="59">
        <f>tblBudget[[#This Row],[Feed_oz]]*N(tblBudget[[#This Row],[Recovery_pct]])</f>
        <v/>
      </c>
    </row>
    <row r="10">
      <c r="A10" s="54" t="n">
        <v>46143</v>
      </c>
      <c r="B10" s="55" t="n"/>
      <c r="C10" s="56" t="n"/>
      <c r="D10" s="55" t="n"/>
      <c r="E10" s="55" t="n"/>
      <c r="F10" s="56" t="n"/>
      <c r="G10" s="67" t="n"/>
      <c r="H10" s="55" t="n"/>
      <c r="I10" s="57" t="n"/>
      <c r="J10" s="55" t="n"/>
      <c r="K10" s="55" t="n"/>
      <c r="L10" s="64">
        <f>DAY(EOMONTH(tblBudget[[#This Row],[Month]],0))</f>
        <v/>
      </c>
      <c r="M10" s="59">
        <f>N(tblBudget[[#This Row],[Ore_Mined_t]])*N(tblBudget[[#This Row],[Ore_Grade_gpt]])/cfg_TroyOz</f>
        <v/>
      </c>
      <c r="N10" s="59">
        <f>N(tblBudget[[#This Row],[Ore_Mined_t]])+N(tblBudget[[#This Row],[Waste_t]])</f>
        <v/>
      </c>
      <c r="O10" s="59">
        <f>N(tblBudget[[#This Row],[Milled_t]])*N(tblBudget[[#This Row],[Head_Grade_gpt]])/cfg_TroyOz</f>
        <v/>
      </c>
      <c r="P10" s="59">
        <f>tblBudget[[#This Row],[Feed_oz]]*N(tblBudget[[#This Row],[Recovery_pct]])</f>
        <v/>
      </c>
    </row>
    <row r="11">
      <c r="A11" s="54" t="n">
        <v>46174</v>
      </c>
      <c r="B11" s="55" t="n"/>
      <c r="C11" s="56" t="n"/>
      <c r="D11" s="55" t="n"/>
      <c r="E11" s="55" t="n"/>
      <c r="F11" s="56" t="n"/>
      <c r="G11" s="67" t="n"/>
      <c r="H11" s="55" t="n"/>
      <c r="I11" s="57" t="n"/>
      <c r="J11" s="55" t="n"/>
      <c r="K11" s="55" t="n"/>
      <c r="L11" s="64">
        <f>DAY(EOMONTH(tblBudget[[#This Row],[Month]],0))</f>
        <v/>
      </c>
      <c r="M11" s="59">
        <f>N(tblBudget[[#This Row],[Ore_Mined_t]])*N(tblBudget[[#This Row],[Ore_Grade_gpt]])/cfg_TroyOz</f>
        <v/>
      </c>
      <c r="N11" s="59">
        <f>N(tblBudget[[#This Row],[Ore_Mined_t]])+N(tblBudget[[#This Row],[Waste_t]])</f>
        <v/>
      </c>
      <c r="O11" s="59">
        <f>N(tblBudget[[#This Row],[Milled_t]])*N(tblBudget[[#This Row],[Head_Grade_gpt]])/cfg_TroyOz</f>
        <v/>
      </c>
      <c r="P11" s="59">
        <f>tblBudget[[#This Row],[Feed_oz]]*N(tblBudget[[#This Row],[Recovery_pct]])</f>
        <v/>
      </c>
    </row>
    <row r="12">
      <c r="A12" s="54" t="n">
        <v>46204</v>
      </c>
      <c r="B12" s="55" t="n"/>
      <c r="C12" s="56" t="n"/>
      <c r="D12" s="55" t="n"/>
      <c r="E12" s="55" t="n"/>
      <c r="F12" s="56" t="n"/>
      <c r="G12" s="67" t="n"/>
      <c r="H12" s="55" t="n"/>
      <c r="I12" s="57" t="n"/>
      <c r="J12" s="55" t="n"/>
      <c r="K12" s="55" t="n"/>
      <c r="L12" s="64">
        <f>DAY(EOMONTH(tblBudget[[#This Row],[Month]],0))</f>
        <v/>
      </c>
      <c r="M12" s="59">
        <f>N(tblBudget[[#This Row],[Ore_Mined_t]])*N(tblBudget[[#This Row],[Ore_Grade_gpt]])/cfg_TroyOz</f>
        <v/>
      </c>
      <c r="N12" s="59">
        <f>N(tblBudget[[#This Row],[Ore_Mined_t]])+N(tblBudget[[#This Row],[Waste_t]])</f>
        <v/>
      </c>
      <c r="O12" s="59">
        <f>N(tblBudget[[#This Row],[Milled_t]])*N(tblBudget[[#This Row],[Head_Grade_gpt]])/cfg_TroyOz</f>
        <v/>
      </c>
      <c r="P12" s="59">
        <f>tblBudget[[#This Row],[Feed_oz]]*N(tblBudget[[#This Row],[Recovery_pct]])</f>
        <v/>
      </c>
    </row>
    <row r="13">
      <c r="A13" s="54" t="n">
        <v>46235</v>
      </c>
      <c r="B13" s="55" t="n"/>
      <c r="C13" s="56" t="n"/>
      <c r="D13" s="55" t="n"/>
      <c r="E13" s="55" t="n"/>
      <c r="F13" s="56" t="n"/>
      <c r="G13" s="67" t="n"/>
      <c r="H13" s="55" t="n"/>
      <c r="I13" s="57" t="n"/>
      <c r="J13" s="55" t="n"/>
      <c r="K13" s="55" t="n"/>
      <c r="L13" s="64">
        <f>DAY(EOMONTH(tblBudget[[#This Row],[Month]],0))</f>
        <v/>
      </c>
      <c r="M13" s="59">
        <f>N(tblBudget[[#This Row],[Ore_Mined_t]])*N(tblBudget[[#This Row],[Ore_Grade_gpt]])/cfg_TroyOz</f>
        <v/>
      </c>
      <c r="N13" s="59">
        <f>N(tblBudget[[#This Row],[Ore_Mined_t]])+N(tblBudget[[#This Row],[Waste_t]])</f>
        <v/>
      </c>
      <c r="O13" s="59">
        <f>N(tblBudget[[#This Row],[Milled_t]])*N(tblBudget[[#This Row],[Head_Grade_gpt]])/cfg_TroyOz</f>
        <v/>
      </c>
      <c r="P13" s="59">
        <f>tblBudget[[#This Row],[Feed_oz]]*N(tblBudget[[#This Row],[Recovery_pct]])</f>
        <v/>
      </c>
    </row>
    <row r="14">
      <c r="A14" s="54" t="n">
        <v>46266</v>
      </c>
      <c r="B14" s="55" t="n"/>
      <c r="C14" s="56" t="n"/>
      <c r="D14" s="55" t="n"/>
      <c r="E14" s="55" t="n"/>
      <c r="F14" s="56" t="n"/>
      <c r="G14" s="67" t="n"/>
      <c r="H14" s="55" t="n"/>
      <c r="I14" s="57" t="n"/>
      <c r="J14" s="55" t="n"/>
      <c r="K14" s="55" t="n"/>
      <c r="L14" s="64">
        <f>DAY(EOMONTH(tblBudget[[#This Row],[Month]],0))</f>
        <v/>
      </c>
      <c r="M14" s="59">
        <f>N(tblBudget[[#This Row],[Ore_Mined_t]])*N(tblBudget[[#This Row],[Ore_Grade_gpt]])/cfg_TroyOz</f>
        <v/>
      </c>
      <c r="N14" s="59">
        <f>N(tblBudget[[#This Row],[Ore_Mined_t]])+N(tblBudget[[#This Row],[Waste_t]])</f>
        <v/>
      </c>
      <c r="O14" s="59">
        <f>N(tblBudget[[#This Row],[Milled_t]])*N(tblBudget[[#This Row],[Head_Grade_gpt]])/cfg_TroyOz</f>
        <v/>
      </c>
      <c r="P14" s="59">
        <f>tblBudget[[#This Row],[Feed_oz]]*N(tblBudget[[#This Row],[Recovery_pct]])</f>
        <v/>
      </c>
    </row>
    <row r="15">
      <c r="A15" s="54" t="n">
        <v>46296</v>
      </c>
      <c r="B15" s="55" t="n"/>
      <c r="C15" s="56" t="n"/>
      <c r="D15" s="55" t="n"/>
      <c r="E15" s="55" t="n"/>
      <c r="F15" s="56" t="n"/>
      <c r="G15" s="67" t="n"/>
      <c r="H15" s="55" t="n"/>
      <c r="I15" s="57" t="n"/>
      <c r="J15" s="55" t="n"/>
      <c r="K15" s="55" t="n"/>
      <c r="L15" s="64">
        <f>DAY(EOMONTH(tblBudget[[#This Row],[Month]],0))</f>
        <v/>
      </c>
      <c r="M15" s="59">
        <f>N(tblBudget[[#This Row],[Ore_Mined_t]])*N(tblBudget[[#This Row],[Ore_Grade_gpt]])/cfg_TroyOz</f>
        <v/>
      </c>
      <c r="N15" s="59">
        <f>N(tblBudget[[#This Row],[Ore_Mined_t]])+N(tblBudget[[#This Row],[Waste_t]])</f>
        <v/>
      </c>
      <c r="O15" s="59">
        <f>N(tblBudget[[#This Row],[Milled_t]])*N(tblBudget[[#This Row],[Head_Grade_gpt]])/cfg_TroyOz</f>
        <v/>
      </c>
      <c r="P15" s="59">
        <f>tblBudget[[#This Row],[Feed_oz]]*N(tblBudget[[#This Row],[Recovery_pct]])</f>
        <v/>
      </c>
    </row>
    <row r="16">
      <c r="A16" s="54" t="n">
        <v>46327</v>
      </c>
      <c r="B16" s="55" t="n"/>
      <c r="C16" s="56" t="n"/>
      <c r="D16" s="55" t="n"/>
      <c r="E16" s="55" t="n"/>
      <c r="F16" s="56" t="n"/>
      <c r="G16" s="67" t="n"/>
      <c r="H16" s="55" t="n"/>
      <c r="I16" s="57" t="n"/>
      <c r="J16" s="55" t="n"/>
      <c r="K16" s="55" t="n"/>
      <c r="L16" s="64">
        <f>DAY(EOMONTH(tblBudget[[#This Row],[Month]],0))</f>
        <v/>
      </c>
      <c r="M16" s="59">
        <f>N(tblBudget[[#This Row],[Ore_Mined_t]])*N(tblBudget[[#This Row],[Ore_Grade_gpt]])/cfg_TroyOz</f>
        <v/>
      </c>
      <c r="N16" s="59">
        <f>N(tblBudget[[#This Row],[Ore_Mined_t]])+N(tblBudget[[#This Row],[Waste_t]])</f>
        <v/>
      </c>
      <c r="O16" s="59">
        <f>N(tblBudget[[#This Row],[Milled_t]])*N(tblBudget[[#This Row],[Head_Grade_gpt]])/cfg_TroyOz</f>
        <v/>
      </c>
      <c r="P16" s="59">
        <f>tblBudget[[#This Row],[Feed_oz]]*N(tblBudget[[#This Row],[Recovery_pct]])</f>
        <v/>
      </c>
    </row>
    <row r="17">
      <c r="A17" s="54" t="n">
        <v>46357</v>
      </c>
      <c r="B17" s="55" t="n"/>
      <c r="C17" s="56" t="n"/>
      <c r="D17" s="55" t="n"/>
      <c r="E17" s="55" t="n"/>
      <c r="F17" s="56" t="n"/>
      <c r="G17" s="67" t="n"/>
      <c r="H17" s="55" t="n"/>
      <c r="I17" s="57" t="n"/>
      <c r="J17" s="55" t="n"/>
      <c r="K17" s="55" t="n"/>
      <c r="L17" s="64">
        <f>DAY(EOMONTH(tblBudget[[#This Row],[Month]],0))</f>
        <v/>
      </c>
      <c r="M17" s="59">
        <f>N(tblBudget[[#This Row],[Ore_Mined_t]])*N(tblBudget[[#This Row],[Ore_Grade_gpt]])/cfg_TroyOz</f>
        <v/>
      </c>
      <c r="N17" s="59">
        <f>N(tblBudget[[#This Row],[Ore_Mined_t]])+N(tblBudget[[#This Row],[Waste_t]])</f>
        <v/>
      </c>
      <c r="O17" s="59">
        <f>N(tblBudget[[#This Row],[Milled_t]])*N(tblBudget[[#This Row],[Head_Grade_gpt]])/cfg_TroyOz</f>
        <v/>
      </c>
      <c r="P17" s="59">
        <f>tblBudget[[#This Row],[Feed_oz]]*N(tblBudget[[#This Row],[Recovery_pct]])</f>
        <v/>
      </c>
    </row>
  </sheetData>
  <dataValidations count="11">
    <dataValidation sqref="A6:A17" showDropDown="0" showInputMessage="1" showErrorMessage="1" allowBlank="1" errorTitle="Date outside the reporting year" error="Dates should fall in the reporting year (December of the prior year is tolerated)." promptTitle="Month" prompt="First day of the month" type="date" errorStyle="warning" operator="between">
      <formula1>=cfg_YearStart-31</formula1>
      <formula2>=cfg_YearEnd</formula2>
    </dataValidation>
    <dataValidation sqref="B6:B17" showDropDown="0" showInputMessage="0" showErrorMessage="1" allowBlank="1" errorTitle="Outside expected range" error="Expected between 0 and 5000000. Click Yes to keep the value if it is correct." type="decimal" errorStyle="warning" operator="between">
      <formula1>0</formula1>
      <formula2>5000000</formula2>
    </dataValidation>
    <dataValidation sqref="C6:C17" showDropDown="0" showInputMessage="0" showErrorMessage="1" allowBlank="1" errorTitle="Outside expected range" error="Expected between 0 and 50. Click Yes to keep the value if it is correct." type="decimal" errorStyle="warning" operator="between">
      <formula1>0</formula1>
      <formula2>50</formula2>
    </dataValidation>
    <dataValidation sqref="D6:D17" showDropDown="0" showInputMessage="0" showErrorMessage="1" allowBlank="1" errorTitle="Outside expected range" error="Expected between 0 and 20000000. Click Yes to keep the value if it is correct." type="decimal" errorStyle="warning" operator="between">
      <formula1>0</formula1>
      <formula2>20000000</formula2>
    </dataValidation>
    <dataValidation sqref="E6:E17" showDropDown="0" showInputMessage="0" showErrorMessage="1" allowBlank="1" errorTitle="Outside expected range" error="Expected between 0 and 5000000. Click Yes to keep the value if it is correct." type="decimal" errorStyle="warning" operator="between">
      <formula1>0</formula1>
      <formula2>5000000</formula2>
    </dataValidation>
    <dataValidation sqref="F6:F17" showDropDown="0" showInputMessage="0" showErrorMessage="1" allowBlank="1" errorTitle="Outside expected range" error="Expected between 0 and 50. Click Yes to keep the value if it is correct." type="decimal" errorStyle="warning" operator="between">
      <formula1>0</formula1>
      <formula2>50</formula2>
    </dataValidation>
    <dataValidation sqref="G6:G17" showDropDown="0" showInputMessage="0" showErrorMessage="1" allowBlank="1" errorTitle="Outside expected range" error="Expected between 0 and 1. Click Yes to keep the value if it is correct." type="decimal" errorStyle="warning" operator="between">
      <formula1>0</formula1>
      <formula2>1</formula2>
    </dataValidation>
    <dataValidation sqref="H6:H17" showDropDown="0" showInputMessage="0" showErrorMessage="1" allowBlank="1" errorTitle="Outside expected range" error="Expected between 0 and 500000. Click Yes to keep the value if it is correct." type="decimal" errorStyle="warning" operator="between">
      <formula1>0</formula1>
      <formula2>500000</formula2>
    </dataValidation>
    <dataValidation sqref="I6:I17" showDropDown="0" showInputMessage="0" showErrorMessage="1" allowBlank="1" errorTitle="Outside expected range" error="Expected between 0 and 2000000. Click Yes to keep the value if it is correct." type="decimal" errorStyle="warning" operator="between">
      <formula1>0</formula1>
      <formula2>2000000</formula2>
    </dataValidation>
    <dataValidation sqref="J6:J17" showDropDown="0" showInputMessage="0" showErrorMessage="1" allowBlank="1" errorTitle="Outside expected range" error="Expected between 0 and 500000. Click Yes to keep the value if it is correct." type="decimal" errorStyle="warning" operator="between">
      <formula1>0</formula1>
      <formula2>500000</formula2>
    </dataValidation>
    <dataValidation sqref="K6:K17" showDropDown="0" showInputMessage="0" showErrorMessage="1" allowBlank="1" errorTitle="Outside expected range" error="Expected between 0 and 10000000. Click Yes to keep the value if it is correct." type="decimal" errorStyle="warning" operator="between">
      <formula1>0</formula1>
      <formula2>10000000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F3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32" customWidth="1" min="4" max="4"/>
    <col width="15.5" customWidth="1" min="5" max="5"/>
    <col width="32" customWidth="1" min="6" max="6"/>
  </cols>
  <sheetData>
    <row r="1">
      <c r="A1" s="50" t="inlineStr">
        <is>
          <t>Daily report narrative, one row per comment</t>
        </is>
      </c>
    </row>
    <row r="2">
      <c r="A2" s="6" t="inlineStr">
        <is>
          <t>Owner: All departments; compiled by the production engineer.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Area</t>
        </is>
      </c>
      <c r="C4" s="51" t="inlineStr">
        <is>
          <t>Comment</t>
        </is>
      </c>
      <c r="D4" s="51" t="inlineStr">
        <is>
          <t>Author</t>
        </is>
      </c>
      <c r="E4" s="51" t="inlineStr">
        <is>
          <t>Sequence in day</t>
        </is>
      </c>
      <c r="F4" s="51" t="inlineStr">
        <is>
          <t>Day key</t>
        </is>
      </c>
    </row>
    <row r="5">
      <c r="A5" s="52" t="inlineStr">
        <is>
          <t>Date</t>
        </is>
      </c>
      <c r="B5" s="52" t="inlineStr">
        <is>
          <t>Area</t>
        </is>
      </c>
      <c r="C5" s="52" t="inlineStr">
        <is>
          <t>Comment</t>
        </is>
      </c>
      <c r="D5" s="52" t="inlineStr">
        <is>
          <t>Author</t>
        </is>
      </c>
      <c r="E5" s="53" t="inlineStr">
        <is>
          <t>Seq_Day</t>
        </is>
      </c>
      <c r="F5" s="53" t="inlineStr">
        <is>
          <t>Key_Day</t>
        </is>
      </c>
    </row>
    <row r="6">
      <c r="A6" s="54" t="n"/>
      <c r="B6" s="61" t="n"/>
      <c r="C6" s="58" t="n"/>
      <c r="D6" s="58" t="n"/>
      <c r="E6" s="64">
        <f>IF(tblCommentary[[#This Row],[Date]]="","",COUNTIFS(INDEX(tblCommentary[Date],1):tblCommentary[[#This Row],[Date]],tblCommentary[[#This Row],[Date]]))</f>
        <v/>
      </c>
      <c r="F6" s="63">
        <f>IF(tblCommentary[[#This Row],[Date]]="","",tblCommentary[[#This Row],[Date]]&amp;"|"&amp;tblCommentary[[#This Row],[Seq_Day]])</f>
        <v/>
      </c>
    </row>
    <row r="7">
      <c r="A7" s="54" t="n"/>
      <c r="B7" s="61" t="n"/>
      <c r="C7" s="58" t="n"/>
      <c r="D7" s="58" t="n"/>
      <c r="E7" s="64">
        <f>IF(tblCommentary[[#This Row],[Date]]="","",COUNTIFS(INDEX(tblCommentary[Date],1):tblCommentary[[#This Row],[Date]],tblCommentary[[#This Row],[Date]]))</f>
        <v/>
      </c>
      <c r="F7" s="63">
        <f>IF(tblCommentary[[#This Row],[Date]]="","",tblCommentary[[#This Row],[Date]]&amp;"|"&amp;tblCommentary[[#This Row],[Seq_Day]])</f>
        <v/>
      </c>
    </row>
    <row r="8">
      <c r="A8" s="54" t="n"/>
      <c r="B8" s="61" t="n"/>
      <c r="C8" s="58" t="n"/>
      <c r="D8" s="58" t="n"/>
      <c r="E8" s="64">
        <f>IF(tblCommentary[[#This Row],[Date]]="","",COUNTIFS(INDEX(tblCommentary[Date],1):tblCommentary[[#This Row],[Date]],tblCommentary[[#This Row],[Date]]))</f>
        <v/>
      </c>
      <c r="F8" s="63">
        <f>IF(tblCommentary[[#This Row],[Date]]="","",tblCommentary[[#This Row],[Date]]&amp;"|"&amp;tblCommentary[[#This Row],[Seq_Day]])</f>
        <v/>
      </c>
    </row>
    <row r="9">
      <c r="A9" s="54" t="n"/>
      <c r="B9" s="61" t="n"/>
      <c r="C9" s="58" t="n"/>
      <c r="D9" s="58" t="n"/>
      <c r="E9" s="64">
        <f>IF(tblCommentary[[#This Row],[Date]]="","",COUNTIFS(INDEX(tblCommentary[Date],1):tblCommentary[[#This Row],[Date]],tblCommentary[[#This Row],[Date]]))</f>
        <v/>
      </c>
      <c r="F9" s="63">
        <f>IF(tblCommentary[[#This Row],[Date]]="","",tblCommentary[[#This Row],[Date]]&amp;"|"&amp;tblCommentary[[#This Row],[Seq_Day]])</f>
        <v/>
      </c>
    </row>
    <row r="10">
      <c r="A10" s="54" t="n"/>
      <c r="B10" s="61" t="n"/>
      <c r="C10" s="58" t="n"/>
      <c r="D10" s="58" t="n"/>
      <c r="E10" s="64">
        <f>IF(tblCommentary[[#This Row],[Date]]="","",COUNTIFS(INDEX(tblCommentary[Date],1):tblCommentary[[#This Row],[Date]],tblCommentary[[#This Row],[Date]]))</f>
        <v/>
      </c>
      <c r="F10" s="63">
        <f>IF(tblCommentary[[#This Row],[Date]]="","",tblCommentary[[#This Row],[Date]]&amp;"|"&amp;tblCommentary[[#This Row],[Seq_Day]])</f>
        <v/>
      </c>
    </row>
    <row r="11">
      <c r="A11" s="54" t="n"/>
      <c r="B11" s="61" t="n"/>
      <c r="C11" s="58" t="n"/>
      <c r="D11" s="58" t="n"/>
      <c r="E11" s="64">
        <f>IF(tblCommentary[[#This Row],[Date]]="","",COUNTIFS(INDEX(tblCommentary[Date],1):tblCommentary[[#This Row],[Date]],tblCommentary[[#This Row],[Date]]))</f>
        <v/>
      </c>
      <c r="F11" s="63">
        <f>IF(tblCommentary[[#This Row],[Date]]="","",tblCommentary[[#This Row],[Date]]&amp;"|"&amp;tblCommentary[[#This Row],[Seq_Day]])</f>
        <v/>
      </c>
    </row>
    <row r="12">
      <c r="A12" s="54" t="n"/>
      <c r="B12" s="61" t="n"/>
      <c r="C12" s="58" t="n"/>
      <c r="D12" s="58" t="n"/>
      <c r="E12" s="64">
        <f>IF(tblCommentary[[#This Row],[Date]]="","",COUNTIFS(INDEX(tblCommentary[Date],1):tblCommentary[[#This Row],[Date]],tblCommentary[[#This Row],[Date]]))</f>
        <v/>
      </c>
      <c r="F12" s="63">
        <f>IF(tblCommentary[[#This Row],[Date]]="","",tblCommentary[[#This Row],[Date]]&amp;"|"&amp;tblCommentary[[#This Row],[Seq_Day]])</f>
        <v/>
      </c>
    </row>
    <row r="13">
      <c r="A13" s="54" t="n"/>
      <c r="B13" s="61" t="n"/>
      <c r="C13" s="58" t="n"/>
      <c r="D13" s="58" t="n"/>
      <c r="E13" s="64">
        <f>IF(tblCommentary[[#This Row],[Date]]="","",COUNTIFS(INDEX(tblCommentary[Date],1):tblCommentary[[#This Row],[Date]],tblCommentary[[#This Row],[Date]]))</f>
        <v/>
      </c>
      <c r="F13" s="63">
        <f>IF(tblCommentary[[#This Row],[Date]]="","",tblCommentary[[#This Row],[Date]]&amp;"|"&amp;tblCommentary[[#This Row],[Seq_Day]])</f>
        <v/>
      </c>
    </row>
    <row r="14">
      <c r="A14" s="54" t="n"/>
      <c r="B14" s="61" t="n"/>
      <c r="C14" s="58" t="n"/>
      <c r="D14" s="58" t="n"/>
      <c r="E14" s="64">
        <f>IF(tblCommentary[[#This Row],[Date]]="","",COUNTIFS(INDEX(tblCommentary[Date],1):tblCommentary[[#This Row],[Date]],tblCommentary[[#This Row],[Date]]))</f>
        <v/>
      </c>
      <c r="F14" s="63">
        <f>IF(tblCommentary[[#This Row],[Date]]="","",tblCommentary[[#This Row],[Date]]&amp;"|"&amp;tblCommentary[[#This Row],[Seq_Day]])</f>
        <v/>
      </c>
    </row>
    <row r="15">
      <c r="A15" s="54" t="n"/>
      <c r="B15" s="61" t="n"/>
      <c r="C15" s="58" t="n"/>
      <c r="D15" s="58" t="n"/>
      <c r="E15" s="64">
        <f>IF(tblCommentary[[#This Row],[Date]]="","",COUNTIFS(INDEX(tblCommentary[Date],1):tblCommentary[[#This Row],[Date]],tblCommentary[[#This Row],[Date]]))</f>
        <v/>
      </c>
      <c r="F15" s="63">
        <f>IF(tblCommentary[[#This Row],[Date]]="","",tblCommentary[[#This Row],[Date]]&amp;"|"&amp;tblCommentary[[#This Row],[Seq_Day]])</f>
        <v/>
      </c>
    </row>
    <row r="16">
      <c r="A16" s="54" t="n"/>
      <c r="B16" s="61" t="n"/>
      <c r="C16" s="58" t="n"/>
      <c r="D16" s="58" t="n"/>
      <c r="E16" s="64">
        <f>IF(tblCommentary[[#This Row],[Date]]="","",COUNTIFS(INDEX(tblCommentary[Date],1):tblCommentary[[#This Row],[Date]],tblCommentary[[#This Row],[Date]]))</f>
        <v/>
      </c>
      <c r="F16" s="63">
        <f>IF(tblCommentary[[#This Row],[Date]]="","",tblCommentary[[#This Row],[Date]]&amp;"|"&amp;tblCommentary[[#This Row],[Seq_Day]])</f>
        <v/>
      </c>
    </row>
    <row r="17">
      <c r="A17" s="54" t="n"/>
      <c r="B17" s="61" t="n"/>
      <c r="C17" s="58" t="n"/>
      <c r="D17" s="58" t="n"/>
      <c r="E17" s="64">
        <f>IF(tblCommentary[[#This Row],[Date]]="","",COUNTIFS(INDEX(tblCommentary[Date],1):tblCommentary[[#This Row],[Date]],tblCommentary[[#This Row],[Date]]))</f>
        <v/>
      </c>
      <c r="F17" s="63">
        <f>IF(tblCommentary[[#This Row],[Date]]="","",tblCommentary[[#This Row],[Date]]&amp;"|"&amp;tblCommentary[[#This Row],[Seq_Day]])</f>
        <v/>
      </c>
    </row>
    <row r="18">
      <c r="A18" s="54" t="n"/>
      <c r="B18" s="61" t="n"/>
      <c r="C18" s="58" t="n"/>
      <c r="D18" s="58" t="n"/>
      <c r="E18" s="64">
        <f>IF(tblCommentary[[#This Row],[Date]]="","",COUNTIFS(INDEX(tblCommentary[Date],1):tblCommentary[[#This Row],[Date]],tblCommentary[[#This Row],[Date]]))</f>
        <v/>
      </c>
      <c r="F18" s="63">
        <f>IF(tblCommentary[[#This Row],[Date]]="","",tblCommentary[[#This Row],[Date]]&amp;"|"&amp;tblCommentary[[#This Row],[Seq_Day]])</f>
        <v/>
      </c>
    </row>
    <row r="19">
      <c r="A19" s="54" t="n"/>
      <c r="B19" s="61" t="n"/>
      <c r="C19" s="58" t="n"/>
      <c r="D19" s="58" t="n"/>
      <c r="E19" s="64">
        <f>IF(tblCommentary[[#This Row],[Date]]="","",COUNTIFS(INDEX(tblCommentary[Date],1):tblCommentary[[#This Row],[Date]],tblCommentary[[#This Row],[Date]]))</f>
        <v/>
      </c>
      <c r="F19" s="63">
        <f>IF(tblCommentary[[#This Row],[Date]]="","",tblCommentary[[#This Row],[Date]]&amp;"|"&amp;tblCommentary[[#This Row],[Seq_Day]])</f>
        <v/>
      </c>
    </row>
    <row r="20">
      <c r="A20" s="54" t="n"/>
      <c r="B20" s="61" t="n"/>
      <c r="C20" s="58" t="n"/>
      <c r="D20" s="58" t="n"/>
      <c r="E20" s="64">
        <f>IF(tblCommentary[[#This Row],[Date]]="","",COUNTIFS(INDEX(tblCommentary[Date],1):tblCommentary[[#This Row],[Date]],tblCommentary[[#This Row],[Date]]))</f>
        <v/>
      </c>
      <c r="F20" s="63">
        <f>IF(tblCommentary[[#This Row],[Date]]="","",tblCommentary[[#This Row],[Date]]&amp;"|"&amp;tblCommentary[[#This Row],[Seq_Day]])</f>
        <v/>
      </c>
    </row>
    <row r="21">
      <c r="A21" s="54" t="n"/>
      <c r="B21" s="61" t="n"/>
      <c r="C21" s="58" t="n"/>
      <c r="D21" s="58" t="n"/>
      <c r="E21" s="64">
        <f>IF(tblCommentary[[#This Row],[Date]]="","",COUNTIFS(INDEX(tblCommentary[Date],1):tblCommentary[[#This Row],[Date]],tblCommentary[[#This Row],[Date]]))</f>
        <v/>
      </c>
      <c r="F21" s="63">
        <f>IF(tblCommentary[[#This Row],[Date]]="","",tblCommentary[[#This Row],[Date]]&amp;"|"&amp;tblCommentary[[#This Row],[Seq_Day]])</f>
        <v/>
      </c>
    </row>
    <row r="22">
      <c r="A22" s="54" t="n"/>
      <c r="B22" s="61" t="n"/>
      <c r="C22" s="58" t="n"/>
      <c r="D22" s="58" t="n"/>
      <c r="E22" s="64">
        <f>IF(tblCommentary[[#This Row],[Date]]="","",COUNTIFS(INDEX(tblCommentary[Date],1):tblCommentary[[#This Row],[Date]],tblCommentary[[#This Row],[Date]]))</f>
        <v/>
      </c>
      <c r="F22" s="63">
        <f>IF(tblCommentary[[#This Row],[Date]]="","",tblCommentary[[#This Row],[Date]]&amp;"|"&amp;tblCommentary[[#This Row],[Seq_Day]])</f>
        <v/>
      </c>
    </row>
    <row r="23">
      <c r="A23" s="54" t="n"/>
      <c r="B23" s="61" t="n"/>
      <c r="C23" s="58" t="n"/>
      <c r="D23" s="58" t="n"/>
      <c r="E23" s="64">
        <f>IF(tblCommentary[[#This Row],[Date]]="","",COUNTIFS(INDEX(tblCommentary[Date],1):tblCommentary[[#This Row],[Date]],tblCommentary[[#This Row],[Date]]))</f>
        <v/>
      </c>
      <c r="F23" s="63">
        <f>IF(tblCommentary[[#This Row],[Date]]="","",tblCommentary[[#This Row],[Date]]&amp;"|"&amp;tblCommentary[[#This Row],[Seq_Day]])</f>
        <v/>
      </c>
    </row>
    <row r="24">
      <c r="A24" s="54" t="n"/>
      <c r="B24" s="61" t="n"/>
      <c r="C24" s="58" t="n"/>
      <c r="D24" s="58" t="n"/>
      <c r="E24" s="64">
        <f>IF(tblCommentary[[#This Row],[Date]]="","",COUNTIFS(INDEX(tblCommentary[Date],1):tblCommentary[[#This Row],[Date]],tblCommentary[[#This Row],[Date]]))</f>
        <v/>
      </c>
      <c r="F24" s="63">
        <f>IF(tblCommentary[[#This Row],[Date]]="","",tblCommentary[[#This Row],[Date]]&amp;"|"&amp;tblCommentary[[#This Row],[Seq_Day]])</f>
        <v/>
      </c>
    </row>
    <row r="25">
      <c r="A25" s="54" t="n"/>
      <c r="B25" s="61" t="n"/>
      <c r="C25" s="58" t="n"/>
      <c r="D25" s="58" t="n"/>
      <c r="E25" s="64">
        <f>IF(tblCommentary[[#This Row],[Date]]="","",COUNTIFS(INDEX(tblCommentary[Date],1):tblCommentary[[#This Row],[Date]],tblCommentary[[#This Row],[Date]]))</f>
        <v/>
      </c>
      <c r="F25" s="63">
        <f>IF(tblCommentary[[#This Row],[Date]]="","",tblCommentary[[#This Row],[Date]]&amp;"|"&amp;tblCommentary[[#This Row],[Seq_Day]])</f>
        <v/>
      </c>
    </row>
    <row r="26">
      <c r="A26" s="54" t="n"/>
      <c r="B26" s="61" t="n"/>
      <c r="C26" s="58" t="n"/>
      <c r="D26" s="58" t="n"/>
      <c r="E26" s="64">
        <f>IF(tblCommentary[[#This Row],[Date]]="","",COUNTIFS(INDEX(tblCommentary[Date],1):tblCommentary[[#This Row],[Date]],tblCommentary[[#This Row],[Date]]))</f>
        <v/>
      </c>
      <c r="F26" s="63">
        <f>IF(tblCommentary[[#This Row],[Date]]="","",tblCommentary[[#This Row],[Date]]&amp;"|"&amp;tblCommentary[[#This Row],[Seq_Day]])</f>
        <v/>
      </c>
    </row>
    <row r="27">
      <c r="A27" s="54" t="n"/>
      <c r="B27" s="61" t="n"/>
      <c r="C27" s="58" t="n"/>
      <c r="D27" s="58" t="n"/>
      <c r="E27" s="64">
        <f>IF(tblCommentary[[#This Row],[Date]]="","",COUNTIFS(INDEX(tblCommentary[Date],1):tblCommentary[[#This Row],[Date]],tblCommentary[[#This Row],[Date]]))</f>
        <v/>
      </c>
      <c r="F27" s="63">
        <f>IF(tblCommentary[[#This Row],[Date]]="","",tblCommentary[[#This Row],[Date]]&amp;"|"&amp;tblCommentary[[#This Row],[Seq_Day]])</f>
        <v/>
      </c>
    </row>
    <row r="28">
      <c r="A28" s="54" t="n"/>
      <c r="B28" s="61" t="n"/>
      <c r="C28" s="58" t="n"/>
      <c r="D28" s="58" t="n"/>
      <c r="E28" s="64">
        <f>IF(tblCommentary[[#This Row],[Date]]="","",COUNTIFS(INDEX(tblCommentary[Date],1):tblCommentary[[#This Row],[Date]],tblCommentary[[#This Row],[Date]]))</f>
        <v/>
      </c>
      <c r="F28" s="63">
        <f>IF(tblCommentary[[#This Row],[Date]]="","",tblCommentary[[#This Row],[Date]]&amp;"|"&amp;tblCommentary[[#This Row],[Seq_Day]])</f>
        <v/>
      </c>
    </row>
    <row r="29">
      <c r="A29" s="54" t="n"/>
      <c r="B29" s="61" t="n"/>
      <c r="C29" s="58" t="n"/>
      <c r="D29" s="58" t="n"/>
      <c r="E29" s="64">
        <f>IF(tblCommentary[[#This Row],[Date]]="","",COUNTIFS(INDEX(tblCommentary[Date],1):tblCommentary[[#This Row],[Date]],tblCommentary[[#This Row],[Date]]))</f>
        <v/>
      </c>
      <c r="F29" s="63">
        <f>IF(tblCommentary[[#This Row],[Date]]="","",tblCommentary[[#This Row],[Date]]&amp;"|"&amp;tblCommentary[[#This Row],[Seq_Day]])</f>
        <v/>
      </c>
    </row>
    <row r="30">
      <c r="A30" s="54" t="n"/>
      <c r="B30" s="61" t="n"/>
      <c r="C30" s="58" t="n"/>
      <c r="D30" s="58" t="n"/>
      <c r="E30" s="64">
        <f>IF(tblCommentary[[#This Row],[Date]]="","",COUNTIFS(INDEX(tblCommentary[Date],1):tblCommentary[[#This Row],[Date]],tblCommentary[[#This Row],[Date]]))</f>
        <v/>
      </c>
      <c r="F30" s="63">
        <f>IF(tblCommentary[[#This Row],[Date]]="","",tblCommentary[[#This Row],[Date]]&amp;"|"&amp;tblCommentary[[#This Row],[Seq_Day]])</f>
        <v/>
      </c>
    </row>
    <row r="31">
      <c r="A31" s="54" t="n"/>
      <c r="B31" s="61" t="n"/>
      <c r="C31" s="58" t="n"/>
      <c r="D31" s="58" t="n"/>
      <c r="E31" s="64">
        <f>IF(tblCommentary[[#This Row],[Date]]="","",COUNTIFS(INDEX(tblCommentary[Date],1):tblCommentary[[#This Row],[Date]],tblCommentary[[#This Row],[Date]]))</f>
        <v/>
      </c>
      <c r="F31" s="63">
        <f>IF(tblCommentary[[#This Row],[Date]]="","",tblCommentary[[#This Row],[Date]]&amp;"|"&amp;tblCommentary[[#This Row],[Seq_Day]])</f>
        <v/>
      </c>
    </row>
    <row r="32">
      <c r="A32" s="54" t="n"/>
      <c r="B32" s="61" t="n"/>
      <c r="C32" s="58" t="n"/>
      <c r="D32" s="58" t="n"/>
      <c r="E32" s="64">
        <f>IF(tblCommentary[[#This Row],[Date]]="","",COUNTIFS(INDEX(tblCommentary[Date],1):tblCommentary[[#This Row],[Date]],tblCommentary[[#This Row],[Date]]))</f>
        <v/>
      </c>
      <c r="F32" s="63">
        <f>IF(tblCommentary[[#This Row],[Date]]="","",tblCommentary[[#This Row],[Date]]&amp;"|"&amp;tblCommentary[[#This Row],[Seq_Day]])</f>
        <v/>
      </c>
    </row>
    <row r="33">
      <c r="A33" s="54" t="n"/>
      <c r="B33" s="61" t="n"/>
      <c r="C33" s="58" t="n"/>
      <c r="D33" s="58" t="n"/>
      <c r="E33" s="64">
        <f>IF(tblCommentary[[#This Row],[Date]]="","",COUNTIFS(INDEX(tblCommentary[Date],1):tblCommentary[[#This Row],[Date]],tblCommentary[[#This Row],[Date]]))</f>
        <v/>
      </c>
      <c r="F33" s="63">
        <f>IF(tblCommentary[[#This Row],[Date]]="","",tblCommentary[[#This Row],[Date]]&amp;"|"&amp;tblCommentary[[#This Row],[Seq_Day]])</f>
        <v/>
      </c>
    </row>
    <row r="34">
      <c r="A34" s="54" t="n"/>
      <c r="B34" s="61" t="n"/>
      <c r="C34" s="58" t="n"/>
      <c r="D34" s="58" t="n"/>
      <c r="E34" s="64">
        <f>IF(tblCommentary[[#This Row],[Date]]="","",COUNTIFS(INDEX(tblCommentary[Date],1):tblCommentary[[#This Row],[Date]],tblCommentary[[#This Row],[Date]]))</f>
        <v/>
      </c>
      <c r="F34" s="63">
        <f>IF(tblCommentary[[#This Row],[Date]]="","",tblCommentary[[#This Row],[Date]]&amp;"|"&amp;tblCommentary[[#This Row],[Seq_Day]])</f>
        <v/>
      </c>
    </row>
    <row r="35">
      <c r="A35" s="54" t="n"/>
      <c r="B35" s="61" t="n"/>
      <c r="C35" s="58" t="n"/>
      <c r="D35" s="58" t="n"/>
      <c r="E35" s="64">
        <f>IF(tblCommentary[[#This Row],[Date]]="","",COUNTIFS(INDEX(tblCommentary[Date],1):tblCommentary[[#This Row],[Date]],tblCommentary[[#This Row],[Date]]))</f>
        <v/>
      </c>
      <c r="F35" s="63">
        <f>IF(tblCommentary[[#This Row],[Date]]="","",tblCommentary[[#This Row],[Date]]&amp;"|"&amp;tblCommentary[[#This Row],[Seq_Day]])</f>
        <v/>
      </c>
    </row>
    <row r="36">
      <c r="A36" s="54" t="n"/>
      <c r="B36" s="61" t="n"/>
      <c r="C36" s="58" t="n"/>
      <c r="D36" s="58" t="n"/>
      <c r="E36" s="64">
        <f>IF(tblCommentary[[#This Row],[Date]]="","",COUNTIFS(INDEX(tblCommentary[Date],1):tblCommentary[[#This Row],[Date]],tblCommentary[[#This Row],[Date]]))</f>
        <v/>
      </c>
      <c r="F36" s="63">
        <f>IF(tblCommentary[[#This Row],[Date]]="","",tblCommentary[[#This Row],[Date]]&amp;"|"&amp;tblCommentary[[#This Row],[Seq_Day]])</f>
        <v/>
      </c>
    </row>
    <row r="37">
      <c r="A37" s="54" t="n"/>
      <c r="B37" s="61" t="n"/>
      <c r="C37" s="58" t="n"/>
      <c r="D37" s="58" t="n"/>
      <c r="E37" s="64">
        <f>IF(tblCommentary[[#This Row],[Date]]="","",COUNTIFS(INDEX(tblCommentary[Date],1):tblCommentary[[#This Row],[Date]],tblCommentary[[#This Row],[Date]]))</f>
        <v/>
      </c>
      <c r="F37" s="63">
        <f>IF(tblCommentary[[#This Row],[Date]]="","",tblCommentary[[#This Row],[Date]]&amp;"|"&amp;tblCommentary[[#This Row],[Seq_Day]])</f>
        <v/>
      </c>
    </row>
    <row r="38">
      <c r="A38" s="54" t="n"/>
      <c r="B38" s="61" t="n"/>
      <c r="C38" s="58" t="n"/>
      <c r="D38" s="58" t="n"/>
      <c r="E38" s="64">
        <f>IF(tblCommentary[[#This Row],[Date]]="","",COUNTIFS(INDEX(tblCommentary[Date],1):tblCommentary[[#This Row],[Date]],tblCommentary[[#This Row],[Date]]))</f>
        <v/>
      </c>
      <c r="F38" s="63">
        <f>IF(tblCommentary[[#This Row],[Date]]="","",tblCommentary[[#This Row],[Date]]&amp;"|"&amp;tblCommentary[[#This Row],[Seq_Day]])</f>
        <v/>
      </c>
    </row>
    <row r="39">
      <c r="A39" s="54" t="n"/>
      <c r="B39" s="61" t="n"/>
      <c r="C39" s="58" t="n"/>
      <c r="D39" s="58" t="n"/>
      <c r="E39" s="64">
        <f>IF(tblCommentary[[#This Row],[Date]]="","",COUNTIFS(INDEX(tblCommentary[Date],1):tblCommentary[[#This Row],[Date]],tblCommentary[[#This Row],[Date]]))</f>
        <v/>
      </c>
      <c r="F39" s="63">
        <f>IF(tblCommentary[[#This Row],[Date]]="","",tblCommentary[[#This Row],[Date]]&amp;"|"&amp;tblCommentary[[#This Row],[Seq_Day]])</f>
        <v/>
      </c>
    </row>
    <row r="40">
      <c r="A40" s="54" t="n"/>
      <c r="B40" s="61" t="n"/>
      <c r="C40" s="58" t="n"/>
      <c r="D40" s="58" t="n"/>
      <c r="E40" s="64">
        <f>IF(tblCommentary[[#This Row],[Date]]="","",COUNTIFS(INDEX(tblCommentary[Date],1):tblCommentary[[#This Row],[Date]],tblCommentary[[#This Row],[Date]]))</f>
        <v/>
      </c>
      <c r="F40" s="63">
        <f>IF(tblCommentary[[#This Row],[Date]]="","",tblCommentary[[#This Row],[Date]]&amp;"|"&amp;tblCommentary[[#This Row],[Seq_Day]])</f>
        <v/>
      </c>
    </row>
    <row r="41">
      <c r="A41" s="54" t="n"/>
      <c r="B41" s="61" t="n"/>
      <c r="C41" s="58" t="n"/>
      <c r="D41" s="58" t="n"/>
      <c r="E41" s="64">
        <f>IF(tblCommentary[[#This Row],[Date]]="","",COUNTIFS(INDEX(tblCommentary[Date],1):tblCommentary[[#This Row],[Date]],tblCommentary[[#This Row],[Date]]))</f>
        <v/>
      </c>
      <c r="F41" s="63">
        <f>IF(tblCommentary[[#This Row],[Date]]="","",tblCommentary[[#This Row],[Date]]&amp;"|"&amp;tblCommentary[[#This Row],[Seq_Day]])</f>
        <v/>
      </c>
    </row>
    <row r="42">
      <c r="A42" s="54" t="n"/>
      <c r="B42" s="61" t="n"/>
      <c r="C42" s="58" t="n"/>
      <c r="D42" s="58" t="n"/>
      <c r="E42" s="64">
        <f>IF(tblCommentary[[#This Row],[Date]]="","",COUNTIFS(INDEX(tblCommentary[Date],1):tblCommentary[[#This Row],[Date]],tblCommentary[[#This Row],[Date]]))</f>
        <v/>
      </c>
      <c r="F42" s="63">
        <f>IF(tblCommentary[[#This Row],[Date]]="","",tblCommentary[[#This Row],[Date]]&amp;"|"&amp;tblCommentary[[#This Row],[Seq_Day]])</f>
        <v/>
      </c>
    </row>
    <row r="43">
      <c r="A43" s="54" t="n"/>
      <c r="B43" s="61" t="n"/>
      <c r="C43" s="58" t="n"/>
      <c r="D43" s="58" t="n"/>
      <c r="E43" s="64">
        <f>IF(tblCommentary[[#This Row],[Date]]="","",COUNTIFS(INDEX(tblCommentary[Date],1):tblCommentary[[#This Row],[Date]],tblCommentary[[#This Row],[Date]]))</f>
        <v/>
      </c>
      <c r="F43" s="63">
        <f>IF(tblCommentary[[#This Row],[Date]]="","",tblCommentary[[#This Row],[Date]]&amp;"|"&amp;tblCommentary[[#This Row],[Seq_Day]])</f>
        <v/>
      </c>
    </row>
    <row r="44">
      <c r="A44" s="54" t="n"/>
      <c r="B44" s="61" t="n"/>
      <c r="C44" s="58" t="n"/>
      <c r="D44" s="58" t="n"/>
      <c r="E44" s="64">
        <f>IF(tblCommentary[[#This Row],[Date]]="","",COUNTIFS(INDEX(tblCommentary[Date],1):tblCommentary[[#This Row],[Date]],tblCommentary[[#This Row],[Date]]))</f>
        <v/>
      </c>
      <c r="F44" s="63">
        <f>IF(tblCommentary[[#This Row],[Date]]="","",tblCommentary[[#This Row],[Date]]&amp;"|"&amp;tblCommentary[[#This Row],[Seq_Day]])</f>
        <v/>
      </c>
    </row>
    <row r="45">
      <c r="A45" s="54" t="n"/>
      <c r="B45" s="61" t="n"/>
      <c r="C45" s="58" t="n"/>
      <c r="D45" s="58" t="n"/>
      <c r="E45" s="64">
        <f>IF(tblCommentary[[#This Row],[Date]]="","",COUNTIFS(INDEX(tblCommentary[Date],1):tblCommentary[[#This Row],[Date]],tblCommentary[[#This Row],[Date]]))</f>
        <v/>
      </c>
      <c r="F45" s="63">
        <f>IF(tblCommentary[[#This Row],[Date]]="","",tblCommentary[[#This Row],[Date]]&amp;"|"&amp;tblCommentary[[#This Row],[Seq_Day]])</f>
        <v/>
      </c>
    </row>
    <row r="46">
      <c r="A46" s="54" t="n"/>
      <c r="B46" s="61" t="n"/>
      <c r="C46" s="58" t="n"/>
      <c r="D46" s="58" t="n"/>
      <c r="E46" s="64">
        <f>IF(tblCommentary[[#This Row],[Date]]="","",COUNTIFS(INDEX(tblCommentary[Date],1):tblCommentary[[#This Row],[Date]],tblCommentary[[#This Row],[Date]]))</f>
        <v/>
      </c>
      <c r="F46" s="63">
        <f>IF(tblCommentary[[#This Row],[Date]]="","",tblCommentary[[#This Row],[Date]]&amp;"|"&amp;tblCommentary[[#This Row],[Seq_Day]])</f>
        <v/>
      </c>
    </row>
    <row r="47">
      <c r="A47" s="54" t="n"/>
      <c r="B47" s="61" t="n"/>
      <c r="C47" s="58" t="n"/>
      <c r="D47" s="58" t="n"/>
      <c r="E47" s="64">
        <f>IF(tblCommentary[[#This Row],[Date]]="","",COUNTIFS(INDEX(tblCommentary[Date],1):tblCommentary[[#This Row],[Date]],tblCommentary[[#This Row],[Date]]))</f>
        <v/>
      </c>
      <c r="F47" s="63">
        <f>IF(tblCommentary[[#This Row],[Date]]="","",tblCommentary[[#This Row],[Date]]&amp;"|"&amp;tblCommentary[[#This Row],[Seq_Day]])</f>
        <v/>
      </c>
    </row>
    <row r="48">
      <c r="A48" s="54" t="n"/>
      <c r="B48" s="61" t="n"/>
      <c r="C48" s="58" t="n"/>
      <c r="D48" s="58" t="n"/>
      <c r="E48" s="64">
        <f>IF(tblCommentary[[#This Row],[Date]]="","",COUNTIFS(INDEX(tblCommentary[Date],1):tblCommentary[[#This Row],[Date]],tblCommentary[[#This Row],[Date]]))</f>
        <v/>
      </c>
      <c r="F48" s="63">
        <f>IF(tblCommentary[[#This Row],[Date]]="","",tblCommentary[[#This Row],[Date]]&amp;"|"&amp;tblCommentary[[#This Row],[Seq_Day]])</f>
        <v/>
      </c>
    </row>
    <row r="49">
      <c r="A49" s="54" t="n"/>
      <c r="B49" s="61" t="n"/>
      <c r="C49" s="58" t="n"/>
      <c r="D49" s="58" t="n"/>
      <c r="E49" s="64">
        <f>IF(tblCommentary[[#This Row],[Date]]="","",COUNTIFS(INDEX(tblCommentary[Date],1):tblCommentary[[#This Row],[Date]],tblCommentary[[#This Row],[Date]]))</f>
        <v/>
      </c>
      <c r="F49" s="63">
        <f>IF(tblCommentary[[#This Row],[Date]]="","",tblCommentary[[#This Row],[Date]]&amp;"|"&amp;tblCommentary[[#This Row],[Seq_Day]])</f>
        <v/>
      </c>
    </row>
    <row r="50">
      <c r="A50" s="54" t="n"/>
      <c r="B50" s="61" t="n"/>
      <c r="C50" s="58" t="n"/>
      <c r="D50" s="58" t="n"/>
      <c r="E50" s="64">
        <f>IF(tblCommentary[[#This Row],[Date]]="","",COUNTIFS(INDEX(tblCommentary[Date],1):tblCommentary[[#This Row],[Date]],tblCommentary[[#This Row],[Date]]))</f>
        <v/>
      </c>
      <c r="F50" s="63">
        <f>IF(tblCommentary[[#This Row],[Date]]="","",tblCommentary[[#This Row],[Date]]&amp;"|"&amp;tblCommentary[[#This Row],[Seq_Day]])</f>
        <v/>
      </c>
    </row>
    <row r="51">
      <c r="A51" s="54" t="n"/>
      <c r="B51" s="61" t="n"/>
      <c r="C51" s="58" t="n"/>
      <c r="D51" s="58" t="n"/>
      <c r="E51" s="64">
        <f>IF(tblCommentary[[#This Row],[Date]]="","",COUNTIFS(INDEX(tblCommentary[Date],1):tblCommentary[[#This Row],[Date]],tblCommentary[[#This Row],[Date]]))</f>
        <v/>
      </c>
      <c r="F51" s="63">
        <f>IF(tblCommentary[[#This Row],[Date]]="","",tblCommentary[[#This Row],[Date]]&amp;"|"&amp;tblCommentary[[#This Row],[Seq_Day]])</f>
        <v/>
      </c>
    </row>
    <row r="52">
      <c r="A52" s="54" t="n"/>
      <c r="B52" s="61" t="n"/>
      <c r="C52" s="58" t="n"/>
      <c r="D52" s="58" t="n"/>
      <c r="E52" s="64">
        <f>IF(tblCommentary[[#This Row],[Date]]="","",COUNTIFS(INDEX(tblCommentary[Date],1):tblCommentary[[#This Row],[Date]],tblCommentary[[#This Row],[Date]]))</f>
        <v/>
      </c>
      <c r="F52" s="63">
        <f>IF(tblCommentary[[#This Row],[Date]]="","",tblCommentary[[#This Row],[Date]]&amp;"|"&amp;tblCommentary[[#This Row],[Seq_Day]])</f>
        <v/>
      </c>
    </row>
    <row r="53">
      <c r="A53" s="54" t="n"/>
      <c r="B53" s="61" t="n"/>
      <c r="C53" s="58" t="n"/>
      <c r="D53" s="58" t="n"/>
      <c r="E53" s="64">
        <f>IF(tblCommentary[[#This Row],[Date]]="","",COUNTIFS(INDEX(tblCommentary[Date],1):tblCommentary[[#This Row],[Date]],tblCommentary[[#This Row],[Date]]))</f>
        <v/>
      </c>
      <c r="F53" s="63">
        <f>IF(tblCommentary[[#This Row],[Date]]="","",tblCommentary[[#This Row],[Date]]&amp;"|"&amp;tblCommentary[[#This Row],[Seq_Day]])</f>
        <v/>
      </c>
    </row>
    <row r="54">
      <c r="A54" s="54" t="n"/>
      <c r="B54" s="61" t="n"/>
      <c r="C54" s="58" t="n"/>
      <c r="D54" s="58" t="n"/>
      <c r="E54" s="64">
        <f>IF(tblCommentary[[#This Row],[Date]]="","",COUNTIFS(INDEX(tblCommentary[Date],1):tblCommentary[[#This Row],[Date]],tblCommentary[[#This Row],[Date]]))</f>
        <v/>
      </c>
      <c r="F54" s="63">
        <f>IF(tblCommentary[[#This Row],[Date]]="","",tblCommentary[[#This Row],[Date]]&amp;"|"&amp;tblCommentary[[#This Row],[Seq_Day]])</f>
        <v/>
      </c>
    </row>
    <row r="55">
      <c r="A55" s="54" t="n"/>
      <c r="B55" s="61" t="n"/>
      <c r="C55" s="58" t="n"/>
      <c r="D55" s="58" t="n"/>
      <c r="E55" s="64">
        <f>IF(tblCommentary[[#This Row],[Date]]="","",COUNTIFS(INDEX(tblCommentary[Date],1):tblCommentary[[#This Row],[Date]],tblCommentary[[#This Row],[Date]]))</f>
        <v/>
      </c>
      <c r="F55" s="63">
        <f>IF(tblCommentary[[#This Row],[Date]]="","",tblCommentary[[#This Row],[Date]]&amp;"|"&amp;tblCommentary[[#This Row],[Seq_Day]])</f>
        <v/>
      </c>
    </row>
    <row r="56">
      <c r="A56" s="54" t="n"/>
      <c r="B56" s="61" t="n"/>
      <c r="C56" s="58" t="n"/>
      <c r="D56" s="58" t="n"/>
      <c r="E56" s="64">
        <f>IF(tblCommentary[[#This Row],[Date]]="","",COUNTIFS(INDEX(tblCommentary[Date],1):tblCommentary[[#This Row],[Date]],tblCommentary[[#This Row],[Date]]))</f>
        <v/>
      </c>
      <c r="F56" s="63">
        <f>IF(tblCommentary[[#This Row],[Date]]="","",tblCommentary[[#This Row],[Date]]&amp;"|"&amp;tblCommentary[[#This Row],[Seq_Day]])</f>
        <v/>
      </c>
    </row>
    <row r="57">
      <c r="A57" s="54" t="n"/>
      <c r="B57" s="61" t="n"/>
      <c r="C57" s="58" t="n"/>
      <c r="D57" s="58" t="n"/>
      <c r="E57" s="64">
        <f>IF(tblCommentary[[#This Row],[Date]]="","",COUNTIFS(INDEX(tblCommentary[Date],1):tblCommentary[[#This Row],[Date]],tblCommentary[[#This Row],[Date]]))</f>
        <v/>
      </c>
      <c r="F57" s="63">
        <f>IF(tblCommentary[[#This Row],[Date]]="","",tblCommentary[[#This Row],[Date]]&amp;"|"&amp;tblCommentary[[#This Row],[Seq_Day]])</f>
        <v/>
      </c>
    </row>
    <row r="58">
      <c r="A58" s="54" t="n"/>
      <c r="B58" s="61" t="n"/>
      <c r="C58" s="58" t="n"/>
      <c r="D58" s="58" t="n"/>
      <c r="E58" s="64">
        <f>IF(tblCommentary[[#This Row],[Date]]="","",COUNTIFS(INDEX(tblCommentary[Date],1):tblCommentary[[#This Row],[Date]],tblCommentary[[#This Row],[Date]]))</f>
        <v/>
      </c>
      <c r="F58" s="63">
        <f>IF(tblCommentary[[#This Row],[Date]]="","",tblCommentary[[#This Row],[Date]]&amp;"|"&amp;tblCommentary[[#This Row],[Seq_Day]])</f>
        <v/>
      </c>
    </row>
    <row r="59">
      <c r="A59" s="54" t="n"/>
      <c r="B59" s="61" t="n"/>
      <c r="C59" s="58" t="n"/>
      <c r="D59" s="58" t="n"/>
      <c r="E59" s="64">
        <f>IF(tblCommentary[[#This Row],[Date]]="","",COUNTIFS(INDEX(tblCommentary[Date],1):tblCommentary[[#This Row],[Date]],tblCommentary[[#This Row],[Date]]))</f>
        <v/>
      </c>
      <c r="F59" s="63">
        <f>IF(tblCommentary[[#This Row],[Date]]="","",tblCommentary[[#This Row],[Date]]&amp;"|"&amp;tblCommentary[[#This Row],[Seq_Day]])</f>
        <v/>
      </c>
    </row>
    <row r="60">
      <c r="A60" s="54" t="n"/>
      <c r="B60" s="61" t="n"/>
      <c r="C60" s="58" t="n"/>
      <c r="D60" s="58" t="n"/>
      <c r="E60" s="64">
        <f>IF(tblCommentary[[#This Row],[Date]]="","",COUNTIFS(INDEX(tblCommentary[Date],1):tblCommentary[[#This Row],[Date]],tblCommentary[[#This Row],[Date]]))</f>
        <v/>
      </c>
      <c r="F60" s="63">
        <f>IF(tblCommentary[[#This Row],[Date]]="","",tblCommentary[[#This Row],[Date]]&amp;"|"&amp;tblCommentary[[#This Row],[Seq_Day]])</f>
        <v/>
      </c>
    </row>
    <row r="61">
      <c r="A61" s="54" t="n"/>
      <c r="B61" s="61" t="n"/>
      <c r="C61" s="58" t="n"/>
      <c r="D61" s="58" t="n"/>
      <c r="E61" s="64">
        <f>IF(tblCommentary[[#This Row],[Date]]="","",COUNTIFS(INDEX(tblCommentary[Date],1):tblCommentary[[#This Row],[Date]],tblCommentary[[#This Row],[Date]]))</f>
        <v/>
      </c>
      <c r="F61" s="63">
        <f>IF(tblCommentary[[#This Row],[Date]]="","",tblCommentary[[#This Row],[Date]]&amp;"|"&amp;tblCommentary[[#This Row],[Seq_Day]])</f>
        <v/>
      </c>
    </row>
    <row r="62">
      <c r="A62" s="54" t="n"/>
      <c r="B62" s="61" t="n"/>
      <c r="C62" s="58" t="n"/>
      <c r="D62" s="58" t="n"/>
      <c r="E62" s="64">
        <f>IF(tblCommentary[[#This Row],[Date]]="","",COUNTIFS(INDEX(tblCommentary[Date],1):tblCommentary[[#This Row],[Date]],tblCommentary[[#This Row],[Date]]))</f>
        <v/>
      </c>
      <c r="F62" s="63">
        <f>IF(tblCommentary[[#This Row],[Date]]="","",tblCommentary[[#This Row],[Date]]&amp;"|"&amp;tblCommentary[[#This Row],[Seq_Day]])</f>
        <v/>
      </c>
    </row>
    <row r="63">
      <c r="A63" s="54" t="n"/>
      <c r="B63" s="61" t="n"/>
      <c r="C63" s="58" t="n"/>
      <c r="D63" s="58" t="n"/>
      <c r="E63" s="64">
        <f>IF(tblCommentary[[#This Row],[Date]]="","",COUNTIFS(INDEX(tblCommentary[Date],1):tblCommentary[[#This Row],[Date]],tblCommentary[[#This Row],[Date]]))</f>
        <v/>
      </c>
      <c r="F63" s="63">
        <f>IF(tblCommentary[[#This Row],[Date]]="","",tblCommentary[[#This Row],[Date]]&amp;"|"&amp;tblCommentary[[#This Row],[Seq_Day]])</f>
        <v/>
      </c>
    </row>
    <row r="64">
      <c r="A64" s="54" t="n"/>
      <c r="B64" s="61" t="n"/>
      <c r="C64" s="58" t="n"/>
      <c r="D64" s="58" t="n"/>
      <c r="E64" s="64">
        <f>IF(tblCommentary[[#This Row],[Date]]="","",COUNTIFS(INDEX(tblCommentary[Date],1):tblCommentary[[#This Row],[Date]],tblCommentary[[#This Row],[Date]]))</f>
        <v/>
      </c>
      <c r="F64" s="63">
        <f>IF(tblCommentary[[#This Row],[Date]]="","",tblCommentary[[#This Row],[Date]]&amp;"|"&amp;tblCommentary[[#This Row],[Seq_Day]])</f>
        <v/>
      </c>
    </row>
    <row r="65">
      <c r="A65" s="54" t="n"/>
      <c r="B65" s="61" t="n"/>
      <c r="C65" s="58" t="n"/>
      <c r="D65" s="58" t="n"/>
      <c r="E65" s="64">
        <f>IF(tblCommentary[[#This Row],[Date]]="","",COUNTIFS(INDEX(tblCommentary[Date],1):tblCommentary[[#This Row],[Date]],tblCommentary[[#This Row],[Date]]))</f>
        <v/>
      </c>
      <c r="F65" s="63">
        <f>IF(tblCommentary[[#This Row],[Date]]="","",tblCommentary[[#This Row],[Date]]&amp;"|"&amp;tblCommentary[[#This Row],[Seq_Day]])</f>
        <v/>
      </c>
    </row>
    <row r="66">
      <c r="A66" s="54" t="n"/>
      <c r="B66" s="61" t="n"/>
      <c r="C66" s="58" t="n"/>
      <c r="D66" s="58" t="n"/>
      <c r="E66" s="64">
        <f>IF(tblCommentary[[#This Row],[Date]]="","",COUNTIFS(INDEX(tblCommentary[Date],1):tblCommentary[[#This Row],[Date]],tblCommentary[[#This Row],[Date]]))</f>
        <v/>
      </c>
      <c r="F66" s="63">
        <f>IF(tblCommentary[[#This Row],[Date]]="","",tblCommentary[[#This Row],[Date]]&amp;"|"&amp;tblCommentary[[#This Row],[Seq_Day]])</f>
        <v/>
      </c>
    </row>
    <row r="67">
      <c r="A67" s="54" t="n"/>
      <c r="B67" s="61" t="n"/>
      <c r="C67" s="58" t="n"/>
      <c r="D67" s="58" t="n"/>
      <c r="E67" s="64">
        <f>IF(tblCommentary[[#This Row],[Date]]="","",COUNTIFS(INDEX(tblCommentary[Date],1):tblCommentary[[#This Row],[Date]],tblCommentary[[#This Row],[Date]]))</f>
        <v/>
      </c>
      <c r="F67" s="63">
        <f>IF(tblCommentary[[#This Row],[Date]]="","",tblCommentary[[#This Row],[Date]]&amp;"|"&amp;tblCommentary[[#This Row],[Seq_Day]])</f>
        <v/>
      </c>
    </row>
    <row r="68">
      <c r="A68" s="54" t="n"/>
      <c r="B68" s="61" t="n"/>
      <c r="C68" s="58" t="n"/>
      <c r="D68" s="58" t="n"/>
      <c r="E68" s="64">
        <f>IF(tblCommentary[[#This Row],[Date]]="","",COUNTIFS(INDEX(tblCommentary[Date],1):tblCommentary[[#This Row],[Date]],tblCommentary[[#This Row],[Date]]))</f>
        <v/>
      </c>
      <c r="F68" s="63">
        <f>IF(tblCommentary[[#This Row],[Date]]="","",tblCommentary[[#This Row],[Date]]&amp;"|"&amp;tblCommentary[[#This Row],[Seq_Day]])</f>
        <v/>
      </c>
    </row>
    <row r="69">
      <c r="A69" s="54" t="n"/>
      <c r="B69" s="61" t="n"/>
      <c r="C69" s="58" t="n"/>
      <c r="D69" s="58" t="n"/>
      <c r="E69" s="64">
        <f>IF(tblCommentary[[#This Row],[Date]]="","",COUNTIFS(INDEX(tblCommentary[Date],1):tblCommentary[[#This Row],[Date]],tblCommentary[[#This Row],[Date]]))</f>
        <v/>
      </c>
      <c r="F69" s="63">
        <f>IF(tblCommentary[[#This Row],[Date]]="","",tblCommentary[[#This Row],[Date]]&amp;"|"&amp;tblCommentary[[#This Row],[Seq_Day]])</f>
        <v/>
      </c>
    </row>
    <row r="70">
      <c r="A70" s="54" t="n"/>
      <c r="B70" s="61" t="n"/>
      <c r="C70" s="58" t="n"/>
      <c r="D70" s="58" t="n"/>
      <c r="E70" s="64">
        <f>IF(tblCommentary[[#This Row],[Date]]="","",COUNTIFS(INDEX(tblCommentary[Date],1):tblCommentary[[#This Row],[Date]],tblCommentary[[#This Row],[Date]]))</f>
        <v/>
      </c>
      <c r="F70" s="63">
        <f>IF(tblCommentary[[#This Row],[Date]]="","",tblCommentary[[#This Row],[Date]]&amp;"|"&amp;tblCommentary[[#This Row],[Seq_Day]])</f>
        <v/>
      </c>
    </row>
    <row r="71">
      <c r="A71" s="54" t="n"/>
      <c r="B71" s="61" t="n"/>
      <c r="C71" s="58" t="n"/>
      <c r="D71" s="58" t="n"/>
      <c r="E71" s="64">
        <f>IF(tblCommentary[[#This Row],[Date]]="","",COUNTIFS(INDEX(tblCommentary[Date],1):tblCommentary[[#This Row],[Date]],tblCommentary[[#This Row],[Date]]))</f>
        <v/>
      </c>
      <c r="F71" s="63">
        <f>IF(tblCommentary[[#This Row],[Date]]="","",tblCommentary[[#This Row],[Date]]&amp;"|"&amp;tblCommentary[[#This Row],[Seq_Day]])</f>
        <v/>
      </c>
    </row>
    <row r="72">
      <c r="A72" s="54" t="n"/>
      <c r="B72" s="61" t="n"/>
      <c r="C72" s="58" t="n"/>
      <c r="D72" s="58" t="n"/>
      <c r="E72" s="64">
        <f>IF(tblCommentary[[#This Row],[Date]]="","",COUNTIFS(INDEX(tblCommentary[Date],1):tblCommentary[[#This Row],[Date]],tblCommentary[[#This Row],[Date]]))</f>
        <v/>
      </c>
      <c r="F72" s="63">
        <f>IF(tblCommentary[[#This Row],[Date]]="","",tblCommentary[[#This Row],[Date]]&amp;"|"&amp;tblCommentary[[#This Row],[Seq_Day]])</f>
        <v/>
      </c>
    </row>
    <row r="73">
      <c r="A73" s="54" t="n"/>
      <c r="B73" s="61" t="n"/>
      <c r="C73" s="58" t="n"/>
      <c r="D73" s="58" t="n"/>
      <c r="E73" s="64">
        <f>IF(tblCommentary[[#This Row],[Date]]="","",COUNTIFS(INDEX(tblCommentary[Date],1):tblCommentary[[#This Row],[Date]],tblCommentary[[#This Row],[Date]]))</f>
        <v/>
      </c>
      <c r="F73" s="63">
        <f>IF(tblCommentary[[#This Row],[Date]]="","",tblCommentary[[#This Row],[Date]]&amp;"|"&amp;tblCommentary[[#This Row],[Seq_Day]])</f>
        <v/>
      </c>
    </row>
    <row r="74">
      <c r="A74" s="54" t="n"/>
      <c r="B74" s="61" t="n"/>
      <c r="C74" s="58" t="n"/>
      <c r="D74" s="58" t="n"/>
      <c r="E74" s="64">
        <f>IF(tblCommentary[[#This Row],[Date]]="","",COUNTIFS(INDEX(tblCommentary[Date],1):tblCommentary[[#This Row],[Date]],tblCommentary[[#This Row],[Date]]))</f>
        <v/>
      </c>
      <c r="F74" s="63">
        <f>IF(tblCommentary[[#This Row],[Date]]="","",tblCommentary[[#This Row],[Date]]&amp;"|"&amp;tblCommentary[[#This Row],[Seq_Day]])</f>
        <v/>
      </c>
    </row>
    <row r="75">
      <c r="A75" s="54" t="n"/>
      <c r="B75" s="61" t="n"/>
      <c r="C75" s="58" t="n"/>
      <c r="D75" s="58" t="n"/>
      <c r="E75" s="64">
        <f>IF(tblCommentary[[#This Row],[Date]]="","",COUNTIFS(INDEX(tblCommentary[Date],1):tblCommentary[[#This Row],[Date]],tblCommentary[[#This Row],[Date]]))</f>
        <v/>
      </c>
      <c r="F75" s="63">
        <f>IF(tblCommentary[[#This Row],[Date]]="","",tblCommentary[[#This Row],[Date]]&amp;"|"&amp;tblCommentary[[#This Row],[Seq_Day]])</f>
        <v/>
      </c>
    </row>
    <row r="76">
      <c r="A76" s="54" t="n"/>
      <c r="B76" s="61" t="n"/>
      <c r="C76" s="58" t="n"/>
      <c r="D76" s="58" t="n"/>
      <c r="E76" s="64">
        <f>IF(tblCommentary[[#This Row],[Date]]="","",COUNTIFS(INDEX(tblCommentary[Date],1):tblCommentary[[#This Row],[Date]],tblCommentary[[#This Row],[Date]]))</f>
        <v/>
      </c>
      <c r="F76" s="63">
        <f>IF(tblCommentary[[#This Row],[Date]]="","",tblCommentary[[#This Row],[Date]]&amp;"|"&amp;tblCommentary[[#This Row],[Seq_Day]])</f>
        <v/>
      </c>
    </row>
    <row r="77">
      <c r="A77" s="54" t="n"/>
      <c r="B77" s="61" t="n"/>
      <c r="C77" s="58" t="n"/>
      <c r="D77" s="58" t="n"/>
      <c r="E77" s="64">
        <f>IF(tblCommentary[[#This Row],[Date]]="","",COUNTIFS(INDEX(tblCommentary[Date],1):tblCommentary[[#This Row],[Date]],tblCommentary[[#This Row],[Date]]))</f>
        <v/>
      </c>
      <c r="F77" s="63">
        <f>IF(tblCommentary[[#This Row],[Date]]="","",tblCommentary[[#This Row],[Date]]&amp;"|"&amp;tblCommentary[[#This Row],[Seq_Day]])</f>
        <v/>
      </c>
    </row>
    <row r="78">
      <c r="A78" s="54" t="n"/>
      <c r="B78" s="61" t="n"/>
      <c r="C78" s="58" t="n"/>
      <c r="D78" s="58" t="n"/>
      <c r="E78" s="64">
        <f>IF(tblCommentary[[#This Row],[Date]]="","",COUNTIFS(INDEX(tblCommentary[Date],1):tblCommentary[[#This Row],[Date]],tblCommentary[[#This Row],[Date]]))</f>
        <v/>
      </c>
      <c r="F78" s="63">
        <f>IF(tblCommentary[[#This Row],[Date]]="","",tblCommentary[[#This Row],[Date]]&amp;"|"&amp;tblCommentary[[#This Row],[Seq_Day]])</f>
        <v/>
      </c>
    </row>
    <row r="79">
      <c r="A79" s="54" t="n"/>
      <c r="B79" s="61" t="n"/>
      <c r="C79" s="58" t="n"/>
      <c r="D79" s="58" t="n"/>
      <c r="E79" s="64">
        <f>IF(tblCommentary[[#This Row],[Date]]="","",COUNTIFS(INDEX(tblCommentary[Date],1):tblCommentary[[#This Row],[Date]],tblCommentary[[#This Row],[Date]]))</f>
        <v/>
      </c>
      <c r="F79" s="63">
        <f>IF(tblCommentary[[#This Row],[Date]]="","",tblCommentary[[#This Row],[Date]]&amp;"|"&amp;tblCommentary[[#This Row],[Seq_Day]])</f>
        <v/>
      </c>
    </row>
    <row r="80">
      <c r="A80" s="54" t="n"/>
      <c r="B80" s="61" t="n"/>
      <c r="C80" s="58" t="n"/>
      <c r="D80" s="58" t="n"/>
      <c r="E80" s="64">
        <f>IF(tblCommentary[[#This Row],[Date]]="","",COUNTIFS(INDEX(tblCommentary[Date],1):tblCommentary[[#This Row],[Date]],tblCommentary[[#This Row],[Date]]))</f>
        <v/>
      </c>
      <c r="F80" s="63">
        <f>IF(tblCommentary[[#This Row],[Date]]="","",tblCommentary[[#This Row],[Date]]&amp;"|"&amp;tblCommentary[[#This Row],[Seq_Day]])</f>
        <v/>
      </c>
    </row>
    <row r="81">
      <c r="A81" s="54" t="n"/>
      <c r="B81" s="61" t="n"/>
      <c r="C81" s="58" t="n"/>
      <c r="D81" s="58" t="n"/>
      <c r="E81" s="64">
        <f>IF(tblCommentary[[#This Row],[Date]]="","",COUNTIFS(INDEX(tblCommentary[Date],1):tblCommentary[[#This Row],[Date]],tblCommentary[[#This Row],[Date]]))</f>
        <v/>
      </c>
      <c r="F81" s="63">
        <f>IF(tblCommentary[[#This Row],[Date]]="","",tblCommentary[[#This Row],[Date]]&amp;"|"&amp;tblCommentary[[#This Row],[Seq_Day]])</f>
        <v/>
      </c>
    </row>
    <row r="82">
      <c r="A82" s="54" t="n"/>
      <c r="B82" s="61" t="n"/>
      <c r="C82" s="58" t="n"/>
      <c r="D82" s="58" t="n"/>
      <c r="E82" s="64">
        <f>IF(tblCommentary[[#This Row],[Date]]="","",COUNTIFS(INDEX(tblCommentary[Date],1):tblCommentary[[#This Row],[Date]],tblCommentary[[#This Row],[Date]]))</f>
        <v/>
      </c>
      <c r="F82" s="63">
        <f>IF(tblCommentary[[#This Row],[Date]]="","",tblCommentary[[#This Row],[Date]]&amp;"|"&amp;tblCommentary[[#This Row],[Seq_Day]])</f>
        <v/>
      </c>
    </row>
    <row r="83">
      <c r="A83" s="54" t="n"/>
      <c r="B83" s="61" t="n"/>
      <c r="C83" s="58" t="n"/>
      <c r="D83" s="58" t="n"/>
      <c r="E83" s="64">
        <f>IF(tblCommentary[[#This Row],[Date]]="","",COUNTIFS(INDEX(tblCommentary[Date],1):tblCommentary[[#This Row],[Date]],tblCommentary[[#This Row],[Date]]))</f>
        <v/>
      </c>
      <c r="F83" s="63">
        <f>IF(tblCommentary[[#This Row],[Date]]="","",tblCommentary[[#This Row],[Date]]&amp;"|"&amp;tblCommentary[[#This Row],[Seq_Day]])</f>
        <v/>
      </c>
    </row>
    <row r="84">
      <c r="A84" s="54" t="n"/>
      <c r="B84" s="61" t="n"/>
      <c r="C84" s="58" t="n"/>
      <c r="D84" s="58" t="n"/>
      <c r="E84" s="64">
        <f>IF(tblCommentary[[#This Row],[Date]]="","",COUNTIFS(INDEX(tblCommentary[Date],1):tblCommentary[[#This Row],[Date]],tblCommentary[[#This Row],[Date]]))</f>
        <v/>
      </c>
      <c r="F84" s="63">
        <f>IF(tblCommentary[[#This Row],[Date]]="","",tblCommentary[[#This Row],[Date]]&amp;"|"&amp;tblCommentary[[#This Row],[Seq_Day]])</f>
        <v/>
      </c>
    </row>
    <row r="85">
      <c r="A85" s="54" t="n"/>
      <c r="B85" s="61" t="n"/>
      <c r="C85" s="58" t="n"/>
      <c r="D85" s="58" t="n"/>
      <c r="E85" s="64">
        <f>IF(tblCommentary[[#This Row],[Date]]="","",COUNTIFS(INDEX(tblCommentary[Date],1):tblCommentary[[#This Row],[Date]],tblCommentary[[#This Row],[Date]]))</f>
        <v/>
      </c>
      <c r="F85" s="63">
        <f>IF(tblCommentary[[#This Row],[Date]]="","",tblCommentary[[#This Row],[Date]]&amp;"|"&amp;tblCommentary[[#This Row],[Seq_Day]])</f>
        <v/>
      </c>
    </row>
    <row r="86">
      <c r="A86" s="54" t="n"/>
      <c r="B86" s="61" t="n"/>
      <c r="C86" s="58" t="n"/>
      <c r="D86" s="58" t="n"/>
      <c r="E86" s="64">
        <f>IF(tblCommentary[[#This Row],[Date]]="","",COUNTIFS(INDEX(tblCommentary[Date],1):tblCommentary[[#This Row],[Date]],tblCommentary[[#This Row],[Date]]))</f>
        <v/>
      </c>
      <c r="F86" s="63">
        <f>IF(tblCommentary[[#This Row],[Date]]="","",tblCommentary[[#This Row],[Date]]&amp;"|"&amp;tblCommentary[[#This Row],[Seq_Day]])</f>
        <v/>
      </c>
    </row>
    <row r="87">
      <c r="A87" s="54" t="n"/>
      <c r="B87" s="61" t="n"/>
      <c r="C87" s="58" t="n"/>
      <c r="D87" s="58" t="n"/>
      <c r="E87" s="64">
        <f>IF(tblCommentary[[#This Row],[Date]]="","",COUNTIFS(INDEX(tblCommentary[Date],1):tblCommentary[[#This Row],[Date]],tblCommentary[[#This Row],[Date]]))</f>
        <v/>
      </c>
      <c r="F87" s="63">
        <f>IF(tblCommentary[[#This Row],[Date]]="","",tblCommentary[[#This Row],[Date]]&amp;"|"&amp;tblCommentary[[#This Row],[Seq_Day]])</f>
        <v/>
      </c>
    </row>
    <row r="88">
      <c r="A88" s="54" t="n"/>
      <c r="B88" s="61" t="n"/>
      <c r="C88" s="58" t="n"/>
      <c r="D88" s="58" t="n"/>
      <c r="E88" s="64">
        <f>IF(tblCommentary[[#This Row],[Date]]="","",COUNTIFS(INDEX(tblCommentary[Date],1):tblCommentary[[#This Row],[Date]],tblCommentary[[#This Row],[Date]]))</f>
        <v/>
      </c>
      <c r="F88" s="63">
        <f>IF(tblCommentary[[#This Row],[Date]]="","",tblCommentary[[#This Row],[Date]]&amp;"|"&amp;tblCommentary[[#This Row],[Seq_Day]])</f>
        <v/>
      </c>
    </row>
    <row r="89">
      <c r="A89" s="54" t="n"/>
      <c r="B89" s="61" t="n"/>
      <c r="C89" s="58" t="n"/>
      <c r="D89" s="58" t="n"/>
      <c r="E89" s="64">
        <f>IF(tblCommentary[[#This Row],[Date]]="","",COUNTIFS(INDEX(tblCommentary[Date],1):tblCommentary[[#This Row],[Date]],tblCommentary[[#This Row],[Date]]))</f>
        <v/>
      </c>
      <c r="F89" s="63">
        <f>IF(tblCommentary[[#This Row],[Date]]="","",tblCommentary[[#This Row],[Date]]&amp;"|"&amp;tblCommentary[[#This Row],[Seq_Day]])</f>
        <v/>
      </c>
    </row>
    <row r="90">
      <c r="A90" s="54" t="n"/>
      <c r="B90" s="61" t="n"/>
      <c r="C90" s="58" t="n"/>
      <c r="D90" s="58" t="n"/>
      <c r="E90" s="64">
        <f>IF(tblCommentary[[#This Row],[Date]]="","",COUNTIFS(INDEX(tblCommentary[Date],1):tblCommentary[[#This Row],[Date]],tblCommentary[[#This Row],[Date]]))</f>
        <v/>
      </c>
      <c r="F90" s="63">
        <f>IF(tblCommentary[[#This Row],[Date]]="","",tblCommentary[[#This Row],[Date]]&amp;"|"&amp;tblCommentary[[#This Row],[Seq_Day]])</f>
        <v/>
      </c>
    </row>
    <row r="91">
      <c r="A91" s="54" t="n"/>
      <c r="B91" s="61" t="n"/>
      <c r="C91" s="58" t="n"/>
      <c r="D91" s="58" t="n"/>
      <c r="E91" s="64">
        <f>IF(tblCommentary[[#This Row],[Date]]="","",COUNTIFS(INDEX(tblCommentary[Date],1):tblCommentary[[#This Row],[Date]],tblCommentary[[#This Row],[Date]]))</f>
        <v/>
      </c>
      <c r="F91" s="63">
        <f>IF(tblCommentary[[#This Row],[Date]]="","",tblCommentary[[#This Row],[Date]]&amp;"|"&amp;tblCommentary[[#This Row],[Seq_Day]])</f>
        <v/>
      </c>
    </row>
    <row r="92">
      <c r="A92" s="54" t="n"/>
      <c r="B92" s="61" t="n"/>
      <c r="C92" s="58" t="n"/>
      <c r="D92" s="58" t="n"/>
      <c r="E92" s="64">
        <f>IF(tblCommentary[[#This Row],[Date]]="","",COUNTIFS(INDEX(tblCommentary[Date],1):tblCommentary[[#This Row],[Date]],tblCommentary[[#This Row],[Date]]))</f>
        <v/>
      </c>
      <c r="F92" s="63">
        <f>IF(tblCommentary[[#This Row],[Date]]="","",tblCommentary[[#This Row],[Date]]&amp;"|"&amp;tblCommentary[[#This Row],[Seq_Day]])</f>
        <v/>
      </c>
    </row>
    <row r="93">
      <c r="A93" s="54" t="n"/>
      <c r="B93" s="61" t="n"/>
      <c r="C93" s="58" t="n"/>
      <c r="D93" s="58" t="n"/>
      <c r="E93" s="64">
        <f>IF(tblCommentary[[#This Row],[Date]]="","",COUNTIFS(INDEX(tblCommentary[Date],1):tblCommentary[[#This Row],[Date]],tblCommentary[[#This Row],[Date]]))</f>
        <v/>
      </c>
      <c r="F93" s="63">
        <f>IF(tblCommentary[[#This Row],[Date]]="","",tblCommentary[[#This Row],[Date]]&amp;"|"&amp;tblCommentary[[#This Row],[Seq_Day]])</f>
        <v/>
      </c>
    </row>
    <row r="94">
      <c r="A94" s="54" t="n"/>
      <c r="B94" s="61" t="n"/>
      <c r="C94" s="58" t="n"/>
      <c r="D94" s="58" t="n"/>
      <c r="E94" s="64">
        <f>IF(tblCommentary[[#This Row],[Date]]="","",COUNTIFS(INDEX(tblCommentary[Date],1):tblCommentary[[#This Row],[Date]],tblCommentary[[#This Row],[Date]]))</f>
        <v/>
      </c>
      <c r="F94" s="63">
        <f>IF(tblCommentary[[#This Row],[Date]]="","",tblCommentary[[#This Row],[Date]]&amp;"|"&amp;tblCommentary[[#This Row],[Seq_Day]])</f>
        <v/>
      </c>
    </row>
    <row r="95">
      <c r="A95" s="54" t="n"/>
      <c r="B95" s="61" t="n"/>
      <c r="C95" s="58" t="n"/>
      <c r="D95" s="58" t="n"/>
      <c r="E95" s="64">
        <f>IF(tblCommentary[[#This Row],[Date]]="","",COUNTIFS(INDEX(tblCommentary[Date],1):tblCommentary[[#This Row],[Date]],tblCommentary[[#This Row],[Date]]))</f>
        <v/>
      </c>
      <c r="F95" s="63">
        <f>IF(tblCommentary[[#This Row],[Date]]="","",tblCommentary[[#This Row],[Date]]&amp;"|"&amp;tblCommentary[[#This Row],[Seq_Day]])</f>
        <v/>
      </c>
    </row>
    <row r="96">
      <c r="A96" s="54" t="n"/>
      <c r="B96" s="61" t="n"/>
      <c r="C96" s="58" t="n"/>
      <c r="D96" s="58" t="n"/>
      <c r="E96" s="64">
        <f>IF(tblCommentary[[#This Row],[Date]]="","",COUNTIFS(INDEX(tblCommentary[Date],1):tblCommentary[[#This Row],[Date]],tblCommentary[[#This Row],[Date]]))</f>
        <v/>
      </c>
      <c r="F96" s="63">
        <f>IF(tblCommentary[[#This Row],[Date]]="","",tblCommentary[[#This Row],[Date]]&amp;"|"&amp;tblCommentary[[#This Row],[Seq_Day]])</f>
        <v/>
      </c>
    </row>
    <row r="97">
      <c r="A97" s="54" t="n"/>
      <c r="B97" s="61" t="n"/>
      <c r="C97" s="58" t="n"/>
      <c r="D97" s="58" t="n"/>
      <c r="E97" s="64">
        <f>IF(tblCommentary[[#This Row],[Date]]="","",COUNTIFS(INDEX(tblCommentary[Date],1):tblCommentary[[#This Row],[Date]],tblCommentary[[#This Row],[Date]]))</f>
        <v/>
      </c>
      <c r="F97" s="63">
        <f>IF(tblCommentary[[#This Row],[Date]]="","",tblCommentary[[#This Row],[Date]]&amp;"|"&amp;tblCommentary[[#This Row],[Seq_Day]])</f>
        <v/>
      </c>
    </row>
    <row r="98">
      <c r="A98" s="54" t="n"/>
      <c r="B98" s="61" t="n"/>
      <c r="C98" s="58" t="n"/>
      <c r="D98" s="58" t="n"/>
      <c r="E98" s="64">
        <f>IF(tblCommentary[[#This Row],[Date]]="","",COUNTIFS(INDEX(tblCommentary[Date],1):tblCommentary[[#This Row],[Date]],tblCommentary[[#This Row],[Date]]))</f>
        <v/>
      </c>
      <c r="F98" s="63">
        <f>IF(tblCommentary[[#This Row],[Date]]="","",tblCommentary[[#This Row],[Date]]&amp;"|"&amp;tblCommentary[[#This Row],[Seq_Day]])</f>
        <v/>
      </c>
    </row>
    <row r="99">
      <c r="A99" s="54" t="n"/>
      <c r="B99" s="61" t="n"/>
      <c r="C99" s="58" t="n"/>
      <c r="D99" s="58" t="n"/>
      <c r="E99" s="64">
        <f>IF(tblCommentary[[#This Row],[Date]]="","",COUNTIFS(INDEX(tblCommentary[Date],1):tblCommentary[[#This Row],[Date]],tblCommentary[[#This Row],[Date]]))</f>
        <v/>
      </c>
      <c r="F99" s="63">
        <f>IF(tblCommentary[[#This Row],[Date]]="","",tblCommentary[[#This Row],[Date]]&amp;"|"&amp;tblCommentary[[#This Row],[Seq_Day]])</f>
        <v/>
      </c>
    </row>
    <row r="100">
      <c r="A100" s="54" t="n"/>
      <c r="B100" s="61" t="n"/>
      <c r="C100" s="58" t="n"/>
      <c r="D100" s="58" t="n"/>
      <c r="E100" s="64">
        <f>IF(tblCommentary[[#This Row],[Date]]="","",COUNTIFS(INDEX(tblCommentary[Date],1):tblCommentary[[#This Row],[Date]],tblCommentary[[#This Row],[Date]]))</f>
        <v/>
      </c>
      <c r="F100" s="63">
        <f>IF(tblCommentary[[#This Row],[Date]]="","",tblCommentary[[#This Row],[Date]]&amp;"|"&amp;tblCommentary[[#This Row],[Seq_Day]])</f>
        <v/>
      </c>
    </row>
    <row r="101">
      <c r="A101" s="54" t="n"/>
      <c r="B101" s="61" t="n"/>
      <c r="C101" s="58" t="n"/>
      <c r="D101" s="58" t="n"/>
      <c r="E101" s="64">
        <f>IF(tblCommentary[[#This Row],[Date]]="","",COUNTIFS(INDEX(tblCommentary[Date],1):tblCommentary[[#This Row],[Date]],tblCommentary[[#This Row],[Date]]))</f>
        <v/>
      </c>
      <c r="F101" s="63">
        <f>IF(tblCommentary[[#This Row],[Date]]="","",tblCommentary[[#This Row],[Date]]&amp;"|"&amp;tblCommentary[[#This Row],[Seq_Day]])</f>
        <v/>
      </c>
    </row>
    <row r="102">
      <c r="A102" s="54" t="n"/>
      <c r="B102" s="61" t="n"/>
      <c r="C102" s="58" t="n"/>
      <c r="D102" s="58" t="n"/>
      <c r="E102" s="64">
        <f>IF(tblCommentary[[#This Row],[Date]]="","",COUNTIFS(INDEX(tblCommentary[Date],1):tblCommentary[[#This Row],[Date]],tblCommentary[[#This Row],[Date]]))</f>
        <v/>
      </c>
      <c r="F102" s="63">
        <f>IF(tblCommentary[[#This Row],[Date]]="","",tblCommentary[[#This Row],[Date]]&amp;"|"&amp;tblCommentary[[#This Row],[Seq_Day]])</f>
        <v/>
      </c>
    </row>
    <row r="103">
      <c r="A103" s="54" t="n"/>
      <c r="B103" s="61" t="n"/>
      <c r="C103" s="58" t="n"/>
      <c r="D103" s="58" t="n"/>
      <c r="E103" s="64">
        <f>IF(tblCommentary[[#This Row],[Date]]="","",COUNTIFS(INDEX(tblCommentary[Date],1):tblCommentary[[#This Row],[Date]],tblCommentary[[#This Row],[Date]]))</f>
        <v/>
      </c>
      <c r="F103" s="63">
        <f>IF(tblCommentary[[#This Row],[Date]]="","",tblCommentary[[#This Row],[Date]]&amp;"|"&amp;tblCommentary[[#This Row],[Seq_Day]])</f>
        <v/>
      </c>
    </row>
    <row r="104">
      <c r="A104" s="54" t="n"/>
      <c r="B104" s="61" t="n"/>
      <c r="C104" s="58" t="n"/>
      <c r="D104" s="58" t="n"/>
      <c r="E104" s="64">
        <f>IF(tblCommentary[[#This Row],[Date]]="","",COUNTIFS(INDEX(tblCommentary[Date],1):tblCommentary[[#This Row],[Date]],tblCommentary[[#This Row],[Date]]))</f>
        <v/>
      </c>
      <c r="F104" s="63">
        <f>IF(tblCommentary[[#This Row],[Date]]="","",tblCommentary[[#This Row],[Date]]&amp;"|"&amp;tblCommentary[[#This Row],[Seq_Day]])</f>
        <v/>
      </c>
    </row>
    <row r="105">
      <c r="A105" s="54" t="n"/>
      <c r="B105" s="61" t="n"/>
      <c r="C105" s="58" t="n"/>
      <c r="D105" s="58" t="n"/>
      <c r="E105" s="64">
        <f>IF(tblCommentary[[#This Row],[Date]]="","",COUNTIFS(INDEX(tblCommentary[Date],1):tblCommentary[[#This Row],[Date]],tblCommentary[[#This Row],[Date]]))</f>
        <v/>
      </c>
      <c r="F105" s="63">
        <f>IF(tblCommentary[[#This Row],[Date]]="","",tblCommentary[[#This Row],[Date]]&amp;"|"&amp;tblCommentary[[#This Row],[Seq_Day]])</f>
        <v/>
      </c>
    </row>
    <row r="106">
      <c r="A106" s="54" t="n"/>
      <c r="B106" s="61" t="n"/>
      <c r="C106" s="58" t="n"/>
      <c r="D106" s="58" t="n"/>
      <c r="E106" s="64">
        <f>IF(tblCommentary[[#This Row],[Date]]="","",COUNTIFS(INDEX(tblCommentary[Date],1):tblCommentary[[#This Row],[Date]],tblCommentary[[#This Row],[Date]]))</f>
        <v/>
      </c>
      <c r="F106" s="63">
        <f>IF(tblCommentary[[#This Row],[Date]]="","",tblCommentary[[#This Row],[Date]]&amp;"|"&amp;tblCommentary[[#This Row],[Seq_Day]])</f>
        <v/>
      </c>
    </row>
    <row r="107">
      <c r="A107" s="54" t="n"/>
      <c r="B107" s="61" t="n"/>
      <c r="C107" s="58" t="n"/>
      <c r="D107" s="58" t="n"/>
      <c r="E107" s="64">
        <f>IF(tblCommentary[[#This Row],[Date]]="","",COUNTIFS(INDEX(tblCommentary[Date],1):tblCommentary[[#This Row],[Date]],tblCommentary[[#This Row],[Date]]))</f>
        <v/>
      </c>
      <c r="F107" s="63">
        <f>IF(tblCommentary[[#This Row],[Date]]="","",tblCommentary[[#This Row],[Date]]&amp;"|"&amp;tblCommentary[[#This Row],[Seq_Day]])</f>
        <v/>
      </c>
    </row>
    <row r="108">
      <c r="A108" s="54" t="n"/>
      <c r="B108" s="61" t="n"/>
      <c r="C108" s="58" t="n"/>
      <c r="D108" s="58" t="n"/>
      <c r="E108" s="64">
        <f>IF(tblCommentary[[#This Row],[Date]]="","",COUNTIFS(INDEX(tblCommentary[Date],1):tblCommentary[[#This Row],[Date]],tblCommentary[[#This Row],[Date]]))</f>
        <v/>
      </c>
      <c r="F108" s="63">
        <f>IF(tblCommentary[[#This Row],[Date]]="","",tblCommentary[[#This Row],[Date]]&amp;"|"&amp;tblCommentary[[#This Row],[Seq_Day]])</f>
        <v/>
      </c>
    </row>
    <row r="109">
      <c r="A109" s="54" t="n"/>
      <c r="B109" s="61" t="n"/>
      <c r="C109" s="58" t="n"/>
      <c r="D109" s="58" t="n"/>
      <c r="E109" s="64">
        <f>IF(tblCommentary[[#This Row],[Date]]="","",COUNTIFS(INDEX(tblCommentary[Date],1):tblCommentary[[#This Row],[Date]],tblCommentary[[#This Row],[Date]]))</f>
        <v/>
      </c>
      <c r="F109" s="63">
        <f>IF(tblCommentary[[#This Row],[Date]]="","",tblCommentary[[#This Row],[Date]]&amp;"|"&amp;tblCommentary[[#This Row],[Seq_Day]])</f>
        <v/>
      </c>
    </row>
    <row r="110">
      <c r="A110" s="54" t="n"/>
      <c r="B110" s="61" t="n"/>
      <c r="C110" s="58" t="n"/>
      <c r="D110" s="58" t="n"/>
      <c r="E110" s="64">
        <f>IF(tblCommentary[[#This Row],[Date]]="","",COUNTIFS(INDEX(tblCommentary[Date],1):tblCommentary[[#This Row],[Date]],tblCommentary[[#This Row],[Date]]))</f>
        <v/>
      </c>
      <c r="F110" s="63">
        <f>IF(tblCommentary[[#This Row],[Date]]="","",tblCommentary[[#This Row],[Date]]&amp;"|"&amp;tblCommentary[[#This Row],[Seq_Day]])</f>
        <v/>
      </c>
    </row>
    <row r="111">
      <c r="A111" s="54" t="n"/>
      <c r="B111" s="61" t="n"/>
      <c r="C111" s="58" t="n"/>
      <c r="D111" s="58" t="n"/>
      <c r="E111" s="64">
        <f>IF(tblCommentary[[#This Row],[Date]]="","",COUNTIFS(INDEX(tblCommentary[Date],1):tblCommentary[[#This Row],[Date]],tblCommentary[[#This Row],[Date]]))</f>
        <v/>
      </c>
      <c r="F111" s="63">
        <f>IF(tblCommentary[[#This Row],[Date]]="","",tblCommentary[[#This Row],[Date]]&amp;"|"&amp;tblCommentary[[#This Row],[Seq_Day]])</f>
        <v/>
      </c>
    </row>
    <row r="112">
      <c r="A112" s="54" t="n"/>
      <c r="B112" s="61" t="n"/>
      <c r="C112" s="58" t="n"/>
      <c r="D112" s="58" t="n"/>
      <c r="E112" s="64">
        <f>IF(tblCommentary[[#This Row],[Date]]="","",COUNTIFS(INDEX(tblCommentary[Date],1):tblCommentary[[#This Row],[Date]],tblCommentary[[#This Row],[Date]]))</f>
        <v/>
      </c>
      <c r="F112" s="63">
        <f>IF(tblCommentary[[#This Row],[Date]]="","",tblCommentary[[#This Row],[Date]]&amp;"|"&amp;tblCommentary[[#This Row],[Seq_Day]])</f>
        <v/>
      </c>
    </row>
    <row r="113">
      <c r="A113" s="54" t="n"/>
      <c r="B113" s="61" t="n"/>
      <c r="C113" s="58" t="n"/>
      <c r="D113" s="58" t="n"/>
      <c r="E113" s="64">
        <f>IF(tblCommentary[[#This Row],[Date]]="","",COUNTIFS(INDEX(tblCommentary[Date],1):tblCommentary[[#This Row],[Date]],tblCommentary[[#This Row],[Date]]))</f>
        <v/>
      </c>
      <c r="F113" s="63">
        <f>IF(tblCommentary[[#This Row],[Date]]="","",tblCommentary[[#This Row],[Date]]&amp;"|"&amp;tblCommentary[[#This Row],[Seq_Day]])</f>
        <v/>
      </c>
    </row>
    <row r="114">
      <c r="A114" s="54" t="n"/>
      <c r="B114" s="61" t="n"/>
      <c r="C114" s="58" t="n"/>
      <c r="D114" s="58" t="n"/>
      <c r="E114" s="64">
        <f>IF(tblCommentary[[#This Row],[Date]]="","",COUNTIFS(INDEX(tblCommentary[Date],1):tblCommentary[[#This Row],[Date]],tblCommentary[[#This Row],[Date]]))</f>
        <v/>
      </c>
      <c r="F114" s="63">
        <f>IF(tblCommentary[[#This Row],[Date]]="","",tblCommentary[[#This Row],[Date]]&amp;"|"&amp;tblCommentary[[#This Row],[Seq_Day]])</f>
        <v/>
      </c>
    </row>
    <row r="115">
      <c r="A115" s="54" t="n"/>
      <c r="B115" s="61" t="n"/>
      <c r="C115" s="58" t="n"/>
      <c r="D115" s="58" t="n"/>
      <c r="E115" s="64">
        <f>IF(tblCommentary[[#This Row],[Date]]="","",COUNTIFS(INDEX(tblCommentary[Date],1):tblCommentary[[#This Row],[Date]],tblCommentary[[#This Row],[Date]]))</f>
        <v/>
      </c>
      <c r="F115" s="63">
        <f>IF(tblCommentary[[#This Row],[Date]]="","",tblCommentary[[#This Row],[Date]]&amp;"|"&amp;tblCommentary[[#This Row],[Seq_Day]])</f>
        <v/>
      </c>
    </row>
    <row r="116">
      <c r="A116" s="54" t="n"/>
      <c r="B116" s="61" t="n"/>
      <c r="C116" s="58" t="n"/>
      <c r="D116" s="58" t="n"/>
      <c r="E116" s="64">
        <f>IF(tblCommentary[[#This Row],[Date]]="","",COUNTIFS(INDEX(tblCommentary[Date],1):tblCommentary[[#This Row],[Date]],tblCommentary[[#This Row],[Date]]))</f>
        <v/>
      </c>
      <c r="F116" s="63">
        <f>IF(tblCommentary[[#This Row],[Date]]="","",tblCommentary[[#This Row],[Date]]&amp;"|"&amp;tblCommentary[[#This Row],[Seq_Day]])</f>
        <v/>
      </c>
    </row>
    <row r="117">
      <c r="A117" s="54" t="n"/>
      <c r="B117" s="61" t="n"/>
      <c r="C117" s="58" t="n"/>
      <c r="D117" s="58" t="n"/>
      <c r="E117" s="64">
        <f>IF(tblCommentary[[#This Row],[Date]]="","",COUNTIFS(INDEX(tblCommentary[Date],1):tblCommentary[[#This Row],[Date]],tblCommentary[[#This Row],[Date]]))</f>
        <v/>
      </c>
      <c r="F117" s="63">
        <f>IF(tblCommentary[[#This Row],[Date]]="","",tblCommentary[[#This Row],[Date]]&amp;"|"&amp;tblCommentary[[#This Row],[Seq_Day]])</f>
        <v/>
      </c>
    </row>
    <row r="118">
      <c r="A118" s="54" t="n"/>
      <c r="B118" s="61" t="n"/>
      <c r="C118" s="58" t="n"/>
      <c r="D118" s="58" t="n"/>
      <c r="E118" s="64">
        <f>IF(tblCommentary[[#This Row],[Date]]="","",COUNTIFS(INDEX(tblCommentary[Date],1):tblCommentary[[#This Row],[Date]],tblCommentary[[#This Row],[Date]]))</f>
        <v/>
      </c>
      <c r="F118" s="63">
        <f>IF(tblCommentary[[#This Row],[Date]]="","",tblCommentary[[#This Row],[Date]]&amp;"|"&amp;tblCommentary[[#This Row],[Seq_Day]])</f>
        <v/>
      </c>
    </row>
    <row r="119">
      <c r="A119" s="54" t="n"/>
      <c r="B119" s="61" t="n"/>
      <c r="C119" s="58" t="n"/>
      <c r="D119" s="58" t="n"/>
      <c r="E119" s="64">
        <f>IF(tblCommentary[[#This Row],[Date]]="","",COUNTIFS(INDEX(tblCommentary[Date],1):tblCommentary[[#This Row],[Date]],tblCommentary[[#This Row],[Date]]))</f>
        <v/>
      </c>
      <c r="F119" s="63">
        <f>IF(tblCommentary[[#This Row],[Date]]="","",tblCommentary[[#This Row],[Date]]&amp;"|"&amp;tblCommentary[[#This Row],[Seq_Day]])</f>
        <v/>
      </c>
    </row>
    <row r="120">
      <c r="A120" s="54" t="n"/>
      <c r="B120" s="61" t="n"/>
      <c r="C120" s="58" t="n"/>
      <c r="D120" s="58" t="n"/>
      <c r="E120" s="64">
        <f>IF(tblCommentary[[#This Row],[Date]]="","",COUNTIFS(INDEX(tblCommentary[Date],1):tblCommentary[[#This Row],[Date]],tblCommentary[[#This Row],[Date]]))</f>
        <v/>
      </c>
      <c r="F120" s="63">
        <f>IF(tblCommentary[[#This Row],[Date]]="","",tblCommentary[[#This Row],[Date]]&amp;"|"&amp;tblCommentary[[#This Row],[Seq_Day]])</f>
        <v/>
      </c>
    </row>
    <row r="121">
      <c r="A121" s="54" t="n"/>
      <c r="B121" s="61" t="n"/>
      <c r="C121" s="58" t="n"/>
      <c r="D121" s="58" t="n"/>
      <c r="E121" s="64">
        <f>IF(tblCommentary[[#This Row],[Date]]="","",COUNTIFS(INDEX(tblCommentary[Date],1):tblCommentary[[#This Row],[Date]],tblCommentary[[#This Row],[Date]]))</f>
        <v/>
      </c>
      <c r="F121" s="63">
        <f>IF(tblCommentary[[#This Row],[Date]]="","",tblCommentary[[#This Row],[Date]]&amp;"|"&amp;tblCommentary[[#This Row],[Seq_Day]])</f>
        <v/>
      </c>
    </row>
    <row r="122">
      <c r="A122" s="54" t="n"/>
      <c r="B122" s="61" t="n"/>
      <c r="C122" s="58" t="n"/>
      <c r="D122" s="58" t="n"/>
      <c r="E122" s="64">
        <f>IF(tblCommentary[[#This Row],[Date]]="","",COUNTIFS(INDEX(tblCommentary[Date],1):tblCommentary[[#This Row],[Date]],tblCommentary[[#This Row],[Date]]))</f>
        <v/>
      </c>
      <c r="F122" s="63">
        <f>IF(tblCommentary[[#This Row],[Date]]="","",tblCommentary[[#This Row],[Date]]&amp;"|"&amp;tblCommentary[[#This Row],[Seq_Day]])</f>
        <v/>
      </c>
    </row>
    <row r="123">
      <c r="A123" s="54" t="n"/>
      <c r="B123" s="61" t="n"/>
      <c r="C123" s="58" t="n"/>
      <c r="D123" s="58" t="n"/>
      <c r="E123" s="64">
        <f>IF(tblCommentary[[#This Row],[Date]]="","",COUNTIFS(INDEX(tblCommentary[Date],1):tblCommentary[[#This Row],[Date]],tblCommentary[[#This Row],[Date]]))</f>
        <v/>
      </c>
      <c r="F123" s="63">
        <f>IF(tblCommentary[[#This Row],[Date]]="","",tblCommentary[[#This Row],[Date]]&amp;"|"&amp;tblCommentary[[#This Row],[Seq_Day]])</f>
        <v/>
      </c>
    </row>
    <row r="124">
      <c r="A124" s="54" t="n"/>
      <c r="B124" s="61" t="n"/>
      <c r="C124" s="58" t="n"/>
      <c r="D124" s="58" t="n"/>
      <c r="E124" s="64">
        <f>IF(tblCommentary[[#This Row],[Date]]="","",COUNTIFS(INDEX(tblCommentary[Date],1):tblCommentary[[#This Row],[Date]],tblCommentary[[#This Row],[Date]]))</f>
        <v/>
      </c>
      <c r="F124" s="63">
        <f>IF(tblCommentary[[#This Row],[Date]]="","",tblCommentary[[#This Row],[Date]]&amp;"|"&amp;tblCommentary[[#This Row],[Seq_Day]])</f>
        <v/>
      </c>
    </row>
    <row r="125">
      <c r="A125" s="54" t="n"/>
      <c r="B125" s="61" t="n"/>
      <c r="C125" s="58" t="n"/>
      <c r="D125" s="58" t="n"/>
      <c r="E125" s="64">
        <f>IF(tblCommentary[[#This Row],[Date]]="","",COUNTIFS(INDEX(tblCommentary[Date],1):tblCommentary[[#This Row],[Date]],tblCommentary[[#This Row],[Date]]))</f>
        <v/>
      </c>
      <c r="F125" s="63">
        <f>IF(tblCommentary[[#This Row],[Date]]="","",tblCommentary[[#This Row],[Date]]&amp;"|"&amp;tblCommentary[[#This Row],[Seq_Day]])</f>
        <v/>
      </c>
    </row>
    <row r="126">
      <c r="A126" s="54" t="n"/>
      <c r="B126" s="61" t="n"/>
      <c r="C126" s="58" t="n"/>
      <c r="D126" s="58" t="n"/>
      <c r="E126" s="64">
        <f>IF(tblCommentary[[#This Row],[Date]]="","",COUNTIFS(INDEX(tblCommentary[Date],1):tblCommentary[[#This Row],[Date]],tblCommentary[[#This Row],[Date]]))</f>
        <v/>
      </c>
      <c r="F126" s="63">
        <f>IF(tblCommentary[[#This Row],[Date]]="","",tblCommentary[[#This Row],[Date]]&amp;"|"&amp;tblCommentary[[#This Row],[Seq_Day]])</f>
        <v/>
      </c>
    </row>
    <row r="127">
      <c r="A127" s="54" t="n"/>
      <c r="B127" s="61" t="n"/>
      <c r="C127" s="58" t="n"/>
      <c r="D127" s="58" t="n"/>
      <c r="E127" s="64">
        <f>IF(tblCommentary[[#This Row],[Date]]="","",COUNTIFS(INDEX(tblCommentary[Date],1):tblCommentary[[#This Row],[Date]],tblCommentary[[#This Row],[Date]]))</f>
        <v/>
      </c>
      <c r="F127" s="63">
        <f>IF(tblCommentary[[#This Row],[Date]]="","",tblCommentary[[#This Row],[Date]]&amp;"|"&amp;tblCommentary[[#This Row],[Seq_Day]])</f>
        <v/>
      </c>
    </row>
    <row r="128">
      <c r="A128" s="54" t="n"/>
      <c r="B128" s="61" t="n"/>
      <c r="C128" s="58" t="n"/>
      <c r="D128" s="58" t="n"/>
      <c r="E128" s="64">
        <f>IF(tblCommentary[[#This Row],[Date]]="","",COUNTIFS(INDEX(tblCommentary[Date],1):tblCommentary[[#This Row],[Date]],tblCommentary[[#This Row],[Date]]))</f>
        <v/>
      </c>
      <c r="F128" s="63">
        <f>IF(tblCommentary[[#This Row],[Date]]="","",tblCommentary[[#This Row],[Date]]&amp;"|"&amp;tblCommentary[[#This Row],[Seq_Day]])</f>
        <v/>
      </c>
    </row>
    <row r="129">
      <c r="A129" s="54" t="n"/>
      <c r="B129" s="61" t="n"/>
      <c r="C129" s="58" t="n"/>
      <c r="D129" s="58" t="n"/>
      <c r="E129" s="64">
        <f>IF(tblCommentary[[#This Row],[Date]]="","",COUNTIFS(INDEX(tblCommentary[Date],1):tblCommentary[[#This Row],[Date]],tblCommentary[[#This Row],[Date]]))</f>
        <v/>
      </c>
      <c r="F129" s="63">
        <f>IF(tblCommentary[[#This Row],[Date]]="","",tblCommentary[[#This Row],[Date]]&amp;"|"&amp;tblCommentary[[#This Row],[Seq_Day]])</f>
        <v/>
      </c>
    </row>
    <row r="130">
      <c r="A130" s="54" t="n"/>
      <c r="B130" s="61" t="n"/>
      <c r="C130" s="58" t="n"/>
      <c r="D130" s="58" t="n"/>
      <c r="E130" s="64">
        <f>IF(tblCommentary[[#This Row],[Date]]="","",COUNTIFS(INDEX(tblCommentary[Date],1):tblCommentary[[#This Row],[Date]],tblCommentary[[#This Row],[Date]]))</f>
        <v/>
      </c>
      <c r="F130" s="63">
        <f>IF(tblCommentary[[#This Row],[Date]]="","",tblCommentary[[#This Row],[Date]]&amp;"|"&amp;tblCommentary[[#This Row],[Seq_Day]])</f>
        <v/>
      </c>
    </row>
    <row r="131">
      <c r="A131" s="54" t="n"/>
      <c r="B131" s="61" t="n"/>
      <c r="C131" s="58" t="n"/>
      <c r="D131" s="58" t="n"/>
      <c r="E131" s="64">
        <f>IF(tblCommentary[[#This Row],[Date]]="","",COUNTIFS(INDEX(tblCommentary[Date],1):tblCommentary[[#This Row],[Date]],tblCommentary[[#This Row],[Date]]))</f>
        <v/>
      </c>
      <c r="F131" s="63">
        <f>IF(tblCommentary[[#This Row],[Date]]="","",tblCommentary[[#This Row],[Date]]&amp;"|"&amp;tblCommentary[[#This Row],[Seq_Day]])</f>
        <v/>
      </c>
    </row>
    <row r="132">
      <c r="A132" s="54" t="n"/>
      <c r="B132" s="61" t="n"/>
      <c r="C132" s="58" t="n"/>
      <c r="D132" s="58" t="n"/>
      <c r="E132" s="64">
        <f>IF(tblCommentary[[#This Row],[Date]]="","",COUNTIFS(INDEX(tblCommentary[Date],1):tblCommentary[[#This Row],[Date]],tblCommentary[[#This Row],[Date]]))</f>
        <v/>
      </c>
      <c r="F132" s="63">
        <f>IF(tblCommentary[[#This Row],[Date]]="","",tblCommentary[[#This Row],[Date]]&amp;"|"&amp;tblCommentary[[#This Row],[Seq_Day]])</f>
        <v/>
      </c>
    </row>
    <row r="133">
      <c r="A133" s="54" t="n"/>
      <c r="B133" s="61" t="n"/>
      <c r="C133" s="58" t="n"/>
      <c r="D133" s="58" t="n"/>
      <c r="E133" s="64">
        <f>IF(tblCommentary[[#This Row],[Date]]="","",COUNTIFS(INDEX(tblCommentary[Date],1):tblCommentary[[#This Row],[Date]],tblCommentary[[#This Row],[Date]]))</f>
        <v/>
      </c>
      <c r="F133" s="63">
        <f>IF(tblCommentary[[#This Row],[Date]]="","",tblCommentary[[#This Row],[Date]]&amp;"|"&amp;tblCommentary[[#This Row],[Seq_Day]])</f>
        <v/>
      </c>
    </row>
    <row r="134">
      <c r="A134" s="54" t="n"/>
      <c r="B134" s="61" t="n"/>
      <c r="C134" s="58" t="n"/>
      <c r="D134" s="58" t="n"/>
      <c r="E134" s="64">
        <f>IF(tblCommentary[[#This Row],[Date]]="","",COUNTIFS(INDEX(tblCommentary[Date],1):tblCommentary[[#This Row],[Date]],tblCommentary[[#This Row],[Date]]))</f>
        <v/>
      </c>
      <c r="F134" s="63">
        <f>IF(tblCommentary[[#This Row],[Date]]="","",tblCommentary[[#This Row],[Date]]&amp;"|"&amp;tblCommentary[[#This Row],[Seq_Day]])</f>
        <v/>
      </c>
    </row>
    <row r="135">
      <c r="A135" s="54" t="n"/>
      <c r="B135" s="61" t="n"/>
      <c r="C135" s="58" t="n"/>
      <c r="D135" s="58" t="n"/>
      <c r="E135" s="64">
        <f>IF(tblCommentary[[#This Row],[Date]]="","",COUNTIFS(INDEX(tblCommentary[Date],1):tblCommentary[[#This Row],[Date]],tblCommentary[[#This Row],[Date]]))</f>
        <v/>
      </c>
      <c r="F135" s="63">
        <f>IF(tblCommentary[[#This Row],[Date]]="","",tblCommentary[[#This Row],[Date]]&amp;"|"&amp;tblCommentary[[#This Row],[Seq_Day]])</f>
        <v/>
      </c>
    </row>
    <row r="136">
      <c r="A136" s="54" t="n"/>
      <c r="B136" s="61" t="n"/>
      <c r="C136" s="58" t="n"/>
      <c r="D136" s="58" t="n"/>
      <c r="E136" s="64">
        <f>IF(tblCommentary[[#This Row],[Date]]="","",COUNTIFS(INDEX(tblCommentary[Date],1):tblCommentary[[#This Row],[Date]],tblCommentary[[#This Row],[Date]]))</f>
        <v/>
      </c>
      <c r="F136" s="63">
        <f>IF(tblCommentary[[#This Row],[Date]]="","",tblCommentary[[#This Row],[Date]]&amp;"|"&amp;tblCommentary[[#This Row],[Seq_Day]])</f>
        <v/>
      </c>
    </row>
    <row r="137">
      <c r="A137" s="54" t="n"/>
      <c r="B137" s="61" t="n"/>
      <c r="C137" s="58" t="n"/>
      <c r="D137" s="58" t="n"/>
      <c r="E137" s="64">
        <f>IF(tblCommentary[[#This Row],[Date]]="","",COUNTIFS(INDEX(tblCommentary[Date],1):tblCommentary[[#This Row],[Date]],tblCommentary[[#This Row],[Date]]))</f>
        <v/>
      </c>
      <c r="F137" s="63">
        <f>IF(tblCommentary[[#This Row],[Date]]="","",tblCommentary[[#This Row],[Date]]&amp;"|"&amp;tblCommentary[[#This Row],[Seq_Day]])</f>
        <v/>
      </c>
    </row>
    <row r="138">
      <c r="A138" s="54" t="n"/>
      <c r="B138" s="61" t="n"/>
      <c r="C138" s="58" t="n"/>
      <c r="D138" s="58" t="n"/>
      <c r="E138" s="64">
        <f>IF(tblCommentary[[#This Row],[Date]]="","",COUNTIFS(INDEX(tblCommentary[Date],1):tblCommentary[[#This Row],[Date]],tblCommentary[[#This Row],[Date]]))</f>
        <v/>
      </c>
      <c r="F138" s="63">
        <f>IF(tblCommentary[[#This Row],[Date]]="","",tblCommentary[[#This Row],[Date]]&amp;"|"&amp;tblCommentary[[#This Row],[Seq_Day]])</f>
        <v/>
      </c>
    </row>
    <row r="139">
      <c r="A139" s="54" t="n"/>
      <c r="B139" s="61" t="n"/>
      <c r="C139" s="58" t="n"/>
      <c r="D139" s="58" t="n"/>
      <c r="E139" s="64">
        <f>IF(tblCommentary[[#This Row],[Date]]="","",COUNTIFS(INDEX(tblCommentary[Date],1):tblCommentary[[#This Row],[Date]],tblCommentary[[#This Row],[Date]]))</f>
        <v/>
      </c>
      <c r="F139" s="63">
        <f>IF(tblCommentary[[#This Row],[Date]]="","",tblCommentary[[#This Row],[Date]]&amp;"|"&amp;tblCommentary[[#This Row],[Seq_Day]])</f>
        <v/>
      </c>
    </row>
    <row r="140">
      <c r="A140" s="54" t="n"/>
      <c r="B140" s="61" t="n"/>
      <c r="C140" s="58" t="n"/>
      <c r="D140" s="58" t="n"/>
      <c r="E140" s="64">
        <f>IF(tblCommentary[[#This Row],[Date]]="","",COUNTIFS(INDEX(tblCommentary[Date],1):tblCommentary[[#This Row],[Date]],tblCommentary[[#This Row],[Date]]))</f>
        <v/>
      </c>
      <c r="F140" s="63">
        <f>IF(tblCommentary[[#This Row],[Date]]="","",tblCommentary[[#This Row],[Date]]&amp;"|"&amp;tblCommentary[[#This Row],[Seq_Day]])</f>
        <v/>
      </c>
    </row>
    <row r="141">
      <c r="A141" s="54" t="n"/>
      <c r="B141" s="61" t="n"/>
      <c r="C141" s="58" t="n"/>
      <c r="D141" s="58" t="n"/>
      <c r="E141" s="64">
        <f>IF(tblCommentary[[#This Row],[Date]]="","",COUNTIFS(INDEX(tblCommentary[Date],1):tblCommentary[[#This Row],[Date]],tblCommentary[[#This Row],[Date]]))</f>
        <v/>
      </c>
      <c r="F141" s="63">
        <f>IF(tblCommentary[[#This Row],[Date]]="","",tblCommentary[[#This Row],[Date]]&amp;"|"&amp;tblCommentary[[#This Row],[Seq_Day]])</f>
        <v/>
      </c>
    </row>
    <row r="142">
      <c r="A142" s="54" t="n"/>
      <c r="B142" s="61" t="n"/>
      <c r="C142" s="58" t="n"/>
      <c r="D142" s="58" t="n"/>
      <c r="E142" s="64">
        <f>IF(tblCommentary[[#This Row],[Date]]="","",COUNTIFS(INDEX(tblCommentary[Date],1):tblCommentary[[#This Row],[Date]],tblCommentary[[#This Row],[Date]]))</f>
        <v/>
      </c>
      <c r="F142" s="63">
        <f>IF(tblCommentary[[#This Row],[Date]]="","",tblCommentary[[#This Row],[Date]]&amp;"|"&amp;tblCommentary[[#This Row],[Seq_Day]])</f>
        <v/>
      </c>
    </row>
    <row r="143">
      <c r="A143" s="54" t="n"/>
      <c r="B143" s="61" t="n"/>
      <c r="C143" s="58" t="n"/>
      <c r="D143" s="58" t="n"/>
      <c r="E143" s="64">
        <f>IF(tblCommentary[[#This Row],[Date]]="","",COUNTIFS(INDEX(tblCommentary[Date],1):tblCommentary[[#This Row],[Date]],tblCommentary[[#This Row],[Date]]))</f>
        <v/>
      </c>
      <c r="F143" s="63">
        <f>IF(tblCommentary[[#This Row],[Date]]="","",tblCommentary[[#This Row],[Date]]&amp;"|"&amp;tblCommentary[[#This Row],[Seq_Day]])</f>
        <v/>
      </c>
    </row>
    <row r="144">
      <c r="A144" s="54" t="n"/>
      <c r="B144" s="61" t="n"/>
      <c r="C144" s="58" t="n"/>
      <c r="D144" s="58" t="n"/>
      <c r="E144" s="64">
        <f>IF(tblCommentary[[#This Row],[Date]]="","",COUNTIFS(INDEX(tblCommentary[Date],1):tblCommentary[[#This Row],[Date]],tblCommentary[[#This Row],[Date]]))</f>
        <v/>
      </c>
      <c r="F144" s="63">
        <f>IF(tblCommentary[[#This Row],[Date]]="","",tblCommentary[[#This Row],[Date]]&amp;"|"&amp;tblCommentary[[#This Row],[Seq_Day]])</f>
        <v/>
      </c>
    </row>
    <row r="145">
      <c r="A145" s="54" t="n"/>
      <c r="B145" s="61" t="n"/>
      <c r="C145" s="58" t="n"/>
      <c r="D145" s="58" t="n"/>
      <c r="E145" s="64">
        <f>IF(tblCommentary[[#This Row],[Date]]="","",COUNTIFS(INDEX(tblCommentary[Date],1):tblCommentary[[#This Row],[Date]],tblCommentary[[#This Row],[Date]]))</f>
        <v/>
      </c>
      <c r="F145" s="63">
        <f>IF(tblCommentary[[#This Row],[Date]]="","",tblCommentary[[#This Row],[Date]]&amp;"|"&amp;tblCommentary[[#This Row],[Seq_Day]])</f>
        <v/>
      </c>
    </row>
    <row r="146">
      <c r="A146" s="54" t="n"/>
      <c r="B146" s="61" t="n"/>
      <c r="C146" s="58" t="n"/>
      <c r="D146" s="58" t="n"/>
      <c r="E146" s="64">
        <f>IF(tblCommentary[[#This Row],[Date]]="","",COUNTIFS(INDEX(tblCommentary[Date],1):tblCommentary[[#This Row],[Date]],tblCommentary[[#This Row],[Date]]))</f>
        <v/>
      </c>
      <c r="F146" s="63">
        <f>IF(tblCommentary[[#This Row],[Date]]="","",tblCommentary[[#This Row],[Date]]&amp;"|"&amp;tblCommentary[[#This Row],[Seq_Day]])</f>
        <v/>
      </c>
    </row>
    <row r="147">
      <c r="A147" s="54" t="n"/>
      <c r="B147" s="61" t="n"/>
      <c r="C147" s="58" t="n"/>
      <c r="D147" s="58" t="n"/>
      <c r="E147" s="64">
        <f>IF(tblCommentary[[#This Row],[Date]]="","",COUNTIFS(INDEX(tblCommentary[Date],1):tblCommentary[[#This Row],[Date]],tblCommentary[[#This Row],[Date]]))</f>
        <v/>
      </c>
      <c r="F147" s="63">
        <f>IF(tblCommentary[[#This Row],[Date]]="","",tblCommentary[[#This Row],[Date]]&amp;"|"&amp;tblCommentary[[#This Row],[Seq_Day]])</f>
        <v/>
      </c>
    </row>
    <row r="148">
      <c r="A148" s="54" t="n"/>
      <c r="B148" s="61" t="n"/>
      <c r="C148" s="58" t="n"/>
      <c r="D148" s="58" t="n"/>
      <c r="E148" s="64">
        <f>IF(tblCommentary[[#This Row],[Date]]="","",COUNTIFS(INDEX(tblCommentary[Date],1):tblCommentary[[#This Row],[Date]],tblCommentary[[#This Row],[Date]]))</f>
        <v/>
      </c>
      <c r="F148" s="63">
        <f>IF(tblCommentary[[#This Row],[Date]]="","",tblCommentary[[#This Row],[Date]]&amp;"|"&amp;tblCommentary[[#This Row],[Seq_Day]])</f>
        <v/>
      </c>
    </row>
    <row r="149">
      <c r="A149" s="54" t="n"/>
      <c r="B149" s="61" t="n"/>
      <c r="C149" s="58" t="n"/>
      <c r="D149" s="58" t="n"/>
      <c r="E149" s="64">
        <f>IF(tblCommentary[[#This Row],[Date]]="","",COUNTIFS(INDEX(tblCommentary[Date],1):tblCommentary[[#This Row],[Date]],tblCommentary[[#This Row],[Date]]))</f>
        <v/>
      </c>
      <c r="F149" s="63">
        <f>IF(tblCommentary[[#This Row],[Date]]="","",tblCommentary[[#This Row],[Date]]&amp;"|"&amp;tblCommentary[[#This Row],[Seq_Day]])</f>
        <v/>
      </c>
    </row>
    <row r="150">
      <c r="A150" s="54" t="n"/>
      <c r="B150" s="61" t="n"/>
      <c r="C150" s="58" t="n"/>
      <c r="D150" s="58" t="n"/>
      <c r="E150" s="64">
        <f>IF(tblCommentary[[#This Row],[Date]]="","",COUNTIFS(INDEX(tblCommentary[Date],1):tblCommentary[[#This Row],[Date]],tblCommentary[[#This Row],[Date]]))</f>
        <v/>
      </c>
      <c r="F150" s="63">
        <f>IF(tblCommentary[[#This Row],[Date]]="","",tblCommentary[[#This Row],[Date]]&amp;"|"&amp;tblCommentary[[#This Row],[Seq_Day]])</f>
        <v/>
      </c>
    </row>
    <row r="151">
      <c r="A151" s="54" t="n"/>
      <c r="B151" s="61" t="n"/>
      <c r="C151" s="58" t="n"/>
      <c r="D151" s="58" t="n"/>
      <c r="E151" s="64">
        <f>IF(tblCommentary[[#This Row],[Date]]="","",COUNTIFS(INDEX(tblCommentary[Date],1):tblCommentary[[#This Row],[Date]],tblCommentary[[#This Row],[Date]]))</f>
        <v/>
      </c>
      <c r="F151" s="63">
        <f>IF(tblCommentary[[#This Row],[Date]]="","",tblCommentary[[#This Row],[Date]]&amp;"|"&amp;tblCommentary[[#This Row],[Seq_Day]])</f>
        <v/>
      </c>
    </row>
    <row r="152">
      <c r="A152" s="54" t="n"/>
      <c r="B152" s="61" t="n"/>
      <c r="C152" s="58" t="n"/>
      <c r="D152" s="58" t="n"/>
      <c r="E152" s="64">
        <f>IF(tblCommentary[[#This Row],[Date]]="","",COUNTIFS(INDEX(tblCommentary[Date],1):tblCommentary[[#This Row],[Date]],tblCommentary[[#This Row],[Date]]))</f>
        <v/>
      </c>
      <c r="F152" s="63">
        <f>IF(tblCommentary[[#This Row],[Date]]="","",tblCommentary[[#This Row],[Date]]&amp;"|"&amp;tblCommentary[[#This Row],[Seq_Day]])</f>
        <v/>
      </c>
    </row>
    <row r="153">
      <c r="A153" s="54" t="n"/>
      <c r="B153" s="61" t="n"/>
      <c r="C153" s="58" t="n"/>
      <c r="D153" s="58" t="n"/>
      <c r="E153" s="64">
        <f>IF(tblCommentary[[#This Row],[Date]]="","",COUNTIFS(INDEX(tblCommentary[Date],1):tblCommentary[[#This Row],[Date]],tblCommentary[[#This Row],[Date]]))</f>
        <v/>
      </c>
      <c r="F153" s="63">
        <f>IF(tblCommentary[[#This Row],[Date]]="","",tblCommentary[[#This Row],[Date]]&amp;"|"&amp;tblCommentary[[#This Row],[Seq_Day]])</f>
        <v/>
      </c>
    </row>
    <row r="154">
      <c r="A154" s="54" t="n"/>
      <c r="B154" s="61" t="n"/>
      <c r="C154" s="58" t="n"/>
      <c r="D154" s="58" t="n"/>
      <c r="E154" s="64">
        <f>IF(tblCommentary[[#This Row],[Date]]="","",COUNTIFS(INDEX(tblCommentary[Date],1):tblCommentary[[#This Row],[Date]],tblCommentary[[#This Row],[Date]]))</f>
        <v/>
      </c>
      <c r="F154" s="63">
        <f>IF(tblCommentary[[#This Row],[Date]]="","",tblCommentary[[#This Row],[Date]]&amp;"|"&amp;tblCommentary[[#This Row],[Seq_Day]])</f>
        <v/>
      </c>
    </row>
    <row r="155">
      <c r="A155" s="54" t="n"/>
      <c r="B155" s="61" t="n"/>
      <c r="C155" s="58" t="n"/>
      <c r="D155" s="58" t="n"/>
      <c r="E155" s="64">
        <f>IF(tblCommentary[[#This Row],[Date]]="","",COUNTIFS(INDEX(tblCommentary[Date],1):tblCommentary[[#This Row],[Date]],tblCommentary[[#This Row],[Date]]))</f>
        <v/>
      </c>
      <c r="F155" s="63">
        <f>IF(tblCommentary[[#This Row],[Date]]="","",tblCommentary[[#This Row],[Date]]&amp;"|"&amp;tblCommentary[[#This Row],[Seq_Day]])</f>
        <v/>
      </c>
    </row>
    <row r="156">
      <c r="A156" s="54" t="n"/>
      <c r="B156" s="61" t="n"/>
      <c r="C156" s="58" t="n"/>
      <c r="D156" s="58" t="n"/>
      <c r="E156" s="64">
        <f>IF(tblCommentary[[#This Row],[Date]]="","",COUNTIFS(INDEX(tblCommentary[Date],1):tblCommentary[[#This Row],[Date]],tblCommentary[[#This Row],[Date]]))</f>
        <v/>
      </c>
      <c r="F156" s="63">
        <f>IF(tblCommentary[[#This Row],[Date]]="","",tblCommentary[[#This Row],[Date]]&amp;"|"&amp;tblCommentary[[#This Row],[Seq_Day]])</f>
        <v/>
      </c>
    </row>
    <row r="157">
      <c r="A157" s="54" t="n"/>
      <c r="B157" s="61" t="n"/>
      <c r="C157" s="58" t="n"/>
      <c r="D157" s="58" t="n"/>
      <c r="E157" s="64">
        <f>IF(tblCommentary[[#This Row],[Date]]="","",COUNTIFS(INDEX(tblCommentary[Date],1):tblCommentary[[#This Row],[Date]],tblCommentary[[#This Row],[Date]]))</f>
        <v/>
      </c>
      <c r="F157" s="63">
        <f>IF(tblCommentary[[#This Row],[Date]]="","",tblCommentary[[#This Row],[Date]]&amp;"|"&amp;tblCommentary[[#This Row],[Seq_Day]])</f>
        <v/>
      </c>
    </row>
    <row r="158">
      <c r="A158" s="54" t="n"/>
      <c r="B158" s="61" t="n"/>
      <c r="C158" s="58" t="n"/>
      <c r="D158" s="58" t="n"/>
      <c r="E158" s="64">
        <f>IF(tblCommentary[[#This Row],[Date]]="","",COUNTIFS(INDEX(tblCommentary[Date],1):tblCommentary[[#This Row],[Date]],tblCommentary[[#This Row],[Date]]))</f>
        <v/>
      </c>
      <c r="F158" s="63">
        <f>IF(tblCommentary[[#This Row],[Date]]="","",tblCommentary[[#This Row],[Date]]&amp;"|"&amp;tblCommentary[[#This Row],[Seq_Day]])</f>
        <v/>
      </c>
    </row>
    <row r="159">
      <c r="A159" s="54" t="n"/>
      <c r="B159" s="61" t="n"/>
      <c r="C159" s="58" t="n"/>
      <c r="D159" s="58" t="n"/>
      <c r="E159" s="64">
        <f>IF(tblCommentary[[#This Row],[Date]]="","",COUNTIFS(INDEX(tblCommentary[Date],1):tblCommentary[[#This Row],[Date]],tblCommentary[[#This Row],[Date]]))</f>
        <v/>
      </c>
      <c r="F159" s="63">
        <f>IF(tblCommentary[[#This Row],[Date]]="","",tblCommentary[[#This Row],[Date]]&amp;"|"&amp;tblCommentary[[#This Row],[Seq_Day]])</f>
        <v/>
      </c>
    </row>
    <row r="160">
      <c r="A160" s="54" t="n"/>
      <c r="B160" s="61" t="n"/>
      <c r="C160" s="58" t="n"/>
      <c r="D160" s="58" t="n"/>
      <c r="E160" s="64">
        <f>IF(tblCommentary[[#This Row],[Date]]="","",COUNTIFS(INDEX(tblCommentary[Date],1):tblCommentary[[#This Row],[Date]],tblCommentary[[#This Row],[Date]]))</f>
        <v/>
      </c>
      <c r="F160" s="63">
        <f>IF(tblCommentary[[#This Row],[Date]]="","",tblCommentary[[#This Row],[Date]]&amp;"|"&amp;tblCommentary[[#This Row],[Seq_Day]])</f>
        <v/>
      </c>
    </row>
    <row r="161">
      <c r="A161" s="54" t="n"/>
      <c r="B161" s="61" t="n"/>
      <c r="C161" s="58" t="n"/>
      <c r="D161" s="58" t="n"/>
      <c r="E161" s="64">
        <f>IF(tblCommentary[[#This Row],[Date]]="","",COUNTIFS(INDEX(tblCommentary[Date],1):tblCommentary[[#This Row],[Date]],tblCommentary[[#This Row],[Date]]))</f>
        <v/>
      </c>
      <c r="F161" s="63">
        <f>IF(tblCommentary[[#This Row],[Date]]="","",tblCommentary[[#This Row],[Date]]&amp;"|"&amp;tblCommentary[[#This Row],[Seq_Day]])</f>
        <v/>
      </c>
    </row>
    <row r="162">
      <c r="A162" s="54" t="n"/>
      <c r="B162" s="61" t="n"/>
      <c r="C162" s="58" t="n"/>
      <c r="D162" s="58" t="n"/>
      <c r="E162" s="64">
        <f>IF(tblCommentary[[#This Row],[Date]]="","",COUNTIFS(INDEX(tblCommentary[Date],1):tblCommentary[[#This Row],[Date]],tblCommentary[[#This Row],[Date]]))</f>
        <v/>
      </c>
      <c r="F162" s="63">
        <f>IF(tblCommentary[[#This Row],[Date]]="","",tblCommentary[[#This Row],[Date]]&amp;"|"&amp;tblCommentary[[#This Row],[Seq_Day]])</f>
        <v/>
      </c>
    </row>
    <row r="163">
      <c r="A163" s="54" t="n"/>
      <c r="B163" s="61" t="n"/>
      <c r="C163" s="58" t="n"/>
      <c r="D163" s="58" t="n"/>
      <c r="E163" s="64">
        <f>IF(tblCommentary[[#This Row],[Date]]="","",COUNTIFS(INDEX(tblCommentary[Date],1):tblCommentary[[#This Row],[Date]],tblCommentary[[#This Row],[Date]]))</f>
        <v/>
      </c>
      <c r="F163" s="63">
        <f>IF(tblCommentary[[#This Row],[Date]]="","",tblCommentary[[#This Row],[Date]]&amp;"|"&amp;tblCommentary[[#This Row],[Seq_Day]])</f>
        <v/>
      </c>
    </row>
    <row r="164">
      <c r="A164" s="54" t="n"/>
      <c r="B164" s="61" t="n"/>
      <c r="C164" s="58" t="n"/>
      <c r="D164" s="58" t="n"/>
      <c r="E164" s="64">
        <f>IF(tblCommentary[[#This Row],[Date]]="","",COUNTIFS(INDEX(tblCommentary[Date],1):tblCommentary[[#This Row],[Date]],tblCommentary[[#This Row],[Date]]))</f>
        <v/>
      </c>
      <c r="F164" s="63">
        <f>IF(tblCommentary[[#This Row],[Date]]="","",tblCommentary[[#This Row],[Date]]&amp;"|"&amp;tblCommentary[[#This Row],[Seq_Day]])</f>
        <v/>
      </c>
    </row>
    <row r="165">
      <c r="A165" s="54" t="n"/>
      <c r="B165" s="61" t="n"/>
      <c r="C165" s="58" t="n"/>
      <c r="D165" s="58" t="n"/>
      <c r="E165" s="64">
        <f>IF(tblCommentary[[#This Row],[Date]]="","",COUNTIFS(INDEX(tblCommentary[Date],1):tblCommentary[[#This Row],[Date]],tblCommentary[[#This Row],[Date]]))</f>
        <v/>
      </c>
      <c r="F165" s="63">
        <f>IF(tblCommentary[[#This Row],[Date]]="","",tblCommentary[[#This Row],[Date]]&amp;"|"&amp;tblCommentary[[#This Row],[Seq_Day]])</f>
        <v/>
      </c>
    </row>
    <row r="166">
      <c r="A166" s="54" t="n"/>
      <c r="B166" s="61" t="n"/>
      <c r="C166" s="58" t="n"/>
      <c r="D166" s="58" t="n"/>
      <c r="E166" s="64">
        <f>IF(tblCommentary[[#This Row],[Date]]="","",COUNTIFS(INDEX(tblCommentary[Date],1):tblCommentary[[#This Row],[Date]],tblCommentary[[#This Row],[Date]]))</f>
        <v/>
      </c>
      <c r="F166" s="63">
        <f>IF(tblCommentary[[#This Row],[Date]]="","",tblCommentary[[#This Row],[Date]]&amp;"|"&amp;tblCommentary[[#This Row],[Seq_Day]])</f>
        <v/>
      </c>
    </row>
    <row r="167">
      <c r="A167" s="54" t="n"/>
      <c r="B167" s="61" t="n"/>
      <c r="C167" s="58" t="n"/>
      <c r="D167" s="58" t="n"/>
      <c r="E167" s="64">
        <f>IF(tblCommentary[[#This Row],[Date]]="","",COUNTIFS(INDEX(tblCommentary[Date],1):tblCommentary[[#This Row],[Date]],tblCommentary[[#This Row],[Date]]))</f>
        <v/>
      </c>
      <c r="F167" s="63">
        <f>IF(tblCommentary[[#This Row],[Date]]="","",tblCommentary[[#This Row],[Date]]&amp;"|"&amp;tblCommentary[[#This Row],[Seq_Day]])</f>
        <v/>
      </c>
    </row>
    <row r="168">
      <c r="A168" s="54" t="n"/>
      <c r="B168" s="61" t="n"/>
      <c r="C168" s="58" t="n"/>
      <c r="D168" s="58" t="n"/>
      <c r="E168" s="64">
        <f>IF(tblCommentary[[#This Row],[Date]]="","",COUNTIFS(INDEX(tblCommentary[Date],1):tblCommentary[[#This Row],[Date]],tblCommentary[[#This Row],[Date]]))</f>
        <v/>
      </c>
      <c r="F168" s="63">
        <f>IF(tblCommentary[[#This Row],[Date]]="","",tblCommentary[[#This Row],[Date]]&amp;"|"&amp;tblCommentary[[#This Row],[Seq_Day]])</f>
        <v/>
      </c>
    </row>
    <row r="169">
      <c r="A169" s="54" t="n"/>
      <c r="B169" s="61" t="n"/>
      <c r="C169" s="58" t="n"/>
      <c r="D169" s="58" t="n"/>
      <c r="E169" s="64">
        <f>IF(tblCommentary[[#This Row],[Date]]="","",COUNTIFS(INDEX(tblCommentary[Date],1):tblCommentary[[#This Row],[Date]],tblCommentary[[#This Row],[Date]]))</f>
        <v/>
      </c>
      <c r="F169" s="63">
        <f>IF(tblCommentary[[#This Row],[Date]]="","",tblCommentary[[#This Row],[Date]]&amp;"|"&amp;tblCommentary[[#This Row],[Seq_Day]])</f>
        <v/>
      </c>
    </row>
    <row r="170">
      <c r="A170" s="54" t="n"/>
      <c r="B170" s="61" t="n"/>
      <c r="C170" s="58" t="n"/>
      <c r="D170" s="58" t="n"/>
      <c r="E170" s="64">
        <f>IF(tblCommentary[[#This Row],[Date]]="","",COUNTIFS(INDEX(tblCommentary[Date],1):tblCommentary[[#This Row],[Date]],tblCommentary[[#This Row],[Date]]))</f>
        <v/>
      </c>
      <c r="F170" s="63">
        <f>IF(tblCommentary[[#This Row],[Date]]="","",tblCommentary[[#This Row],[Date]]&amp;"|"&amp;tblCommentary[[#This Row],[Seq_Day]])</f>
        <v/>
      </c>
    </row>
    <row r="171">
      <c r="A171" s="54" t="n"/>
      <c r="B171" s="61" t="n"/>
      <c r="C171" s="58" t="n"/>
      <c r="D171" s="58" t="n"/>
      <c r="E171" s="64">
        <f>IF(tblCommentary[[#This Row],[Date]]="","",COUNTIFS(INDEX(tblCommentary[Date],1):tblCommentary[[#This Row],[Date]],tblCommentary[[#This Row],[Date]]))</f>
        <v/>
      </c>
      <c r="F171" s="63">
        <f>IF(tblCommentary[[#This Row],[Date]]="","",tblCommentary[[#This Row],[Date]]&amp;"|"&amp;tblCommentary[[#This Row],[Seq_Day]])</f>
        <v/>
      </c>
    </row>
    <row r="172">
      <c r="A172" s="54" t="n"/>
      <c r="B172" s="61" t="n"/>
      <c r="C172" s="58" t="n"/>
      <c r="D172" s="58" t="n"/>
      <c r="E172" s="64">
        <f>IF(tblCommentary[[#This Row],[Date]]="","",COUNTIFS(INDEX(tblCommentary[Date],1):tblCommentary[[#This Row],[Date]],tblCommentary[[#This Row],[Date]]))</f>
        <v/>
      </c>
      <c r="F172" s="63">
        <f>IF(tblCommentary[[#This Row],[Date]]="","",tblCommentary[[#This Row],[Date]]&amp;"|"&amp;tblCommentary[[#This Row],[Seq_Day]])</f>
        <v/>
      </c>
    </row>
    <row r="173">
      <c r="A173" s="54" t="n"/>
      <c r="B173" s="61" t="n"/>
      <c r="C173" s="58" t="n"/>
      <c r="D173" s="58" t="n"/>
      <c r="E173" s="64">
        <f>IF(tblCommentary[[#This Row],[Date]]="","",COUNTIFS(INDEX(tblCommentary[Date],1):tblCommentary[[#This Row],[Date]],tblCommentary[[#This Row],[Date]]))</f>
        <v/>
      </c>
      <c r="F173" s="63">
        <f>IF(tblCommentary[[#This Row],[Date]]="","",tblCommentary[[#This Row],[Date]]&amp;"|"&amp;tblCommentary[[#This Row],[Seq_Day]])</f>
        <v/>
      </c>
    </row>
    <row r="174">
      <c r="A174" s="54" t="n"/>
      <c r="B174" s="61" t="n"/>
      <c r="C174" s="58" t="n"/>
      <c r="D174" s="58" t="n"/>
      <c r="E174" s="64">
        <f>IF(tblCommentary[[#This Row],[Date]]="","",COUNTIFS(INDEX(tblCommentary[Date],1):tblCommentary[[#This Row],[Date]],tblCommentary[[#This Row],[Date]]))</f>
        <v/>
      </c>
      <c r="F174" s="63">
        <f>IF(tblCommentary[[#This Row],[Date]]="","",tblCommentary[[#This Row],[Date]]&amp;"|"&amp;tblCommentary[[#This Row],[Seq_Day]])</f>
        <v/>
      </c>
    </row>
    <row r="175">
      <c r="A175" s="54" t="n"/>
      <c r="B175" s="61" t="n"/>
      <c r="C175" s="58" t="n"/>
      <c r="D175" s="58" t="n"/>
      <c r="E175" s="64">
        <f>IF(tblCommentary[[#This Row],[Date]]="","",COUNTIFS(INDEX(tblCommentary[Date],1):tblCommentary[[#This Row],[Date]],tblCommentary[[#This Row],[Date]]))</f>
        <v/>
      </c>
      <c r="F175" s="63">
        <f>IF(tblCommentary[[#This Row],[Date]]="","",tblCommentary[[#This Row],[Date]]&amp;"|"&amp;tblCommentary[[#This Row],[Seq_Day]])</f>
        <v/>
      </c>
    </row>
    <row r="176">
      <c r="A176" s="54" t="n"/>
      <c r="B176" s="61" t="n"/>
      <c r="C176" s="58" t="n"/>
      <c r="D176" s="58" t="n"/>
      <c r="E176" s="64">
        <f>IF(tblCommentary[[#This Row],[Date]]="","",COUNTIFS(INDEX(tblCommentary[Date],1):tblCommentary[[#This Row],[Date]],tblCommentary[[#This Row],[Date]]))</f>
        <v/>
      </c>
      <c r="F176" s="63">
        <f>IF(tblCommentary[[#This Row],[Date]]="","",tblCommentary[[#This Row],[Date]]&amp;"|"&amp;tblCommentary[[#This Row],[Seq_Day]])</f>
        <v/>
      </c>
    </row>
    <row r="177">
      <c r="A177" s="54" t="n"/>
      <c r="B177" s="61" t="n"/>
      <c r="C177" s="58" t="n"/>
      <c r="D177" s="58" t="n"/>
      <c r="E177" s="64">
        <f>IF(tblCommentary[[#This Row],[Date]]="","",COUNTIFS(INDEX(tblCommentary[Date],1):tblCommentary[[#This Row],[Date]],tblCommentary[[#This Row],[Date]]))</f>
        <v/>
      </c>
      <c r="F177" s="63">
        <f>IF(tblCommentary[[#This Row],[Date]]="","",tblCommentary[[#This Row],[Date]]&amp;"|"&amp;tblCommentary[[#This Row],[Seq_Day]])</f>
        <v/>
      </c>
    </row>
    <row r="178">
      <c r="A178" s="54" t="n"/>
      <c r="B178" s="61" t="n"/>
      <c r="C178" s="58" t="n"/>
      <c r="D178" s="58" t="n"/>
      <c r="E178" s="64">
        <f>IF(tblCommentary[[#This Row],[Date]]="","",COUNTIFS(INDEX(tblCommentary[Date],1):tblCommentary[[#This Row],[Date]],tblCommentary[[#This Row],[Date]]))</f>
        <v/>
      </c>
      <c r="F178" s="63">
        <f>IF(tblCommentary[[#This Row],[Date]]="","",tblCommentary[[#This Row],[Date]]&amp;"|"&amp;tblCommentary[[#This Row],[Seq_Day]])</f>
        <v/>
      </c>
    </row>
    <row r="179">
      <c r="A179" s="54" t="n"/>
      <c r="B179" s="61" t="n"/>
      <c r="C179" s="58" t="n"/>
      <c r="D179" s="58" t="n"/>
      <c r="E179" s="64">
        <f>IF(tblCommentary[[#This Row],[Date]]="","",COUNTIFS(INDEX(tblCommentary[Date],1):tblCommentary[[#This Row],[Date]],tblCommentary[[#This Row],[Date]]))</f>
        <v/>
      </c>
      <c r="F179" s="63">
        <f>IF(tblCommentary[[#This Row],[Date]]="","",tblCommentary[[#This Row],[Date]]&amp;"|"&amp;tblCommentary[[#This Row],[Seq_Day]])</f>
        <v/>
      </c>
    </row>
    <row r="180">
      <c r="A180" s="54" t="n"/>
      <c r="B180" s="61" t="n"/>
      <c r="C180" s="58" t="n"/>
      <c r="D180" s="58" t="n"/>
      <c r="E180" s="64">
        <f>IF(tblCommentary[[#This Row],[Date]]="","",COUNTIFS(INDEX(tblCommentary[Date],1):tblCommentary[[#This Row],[Date]],tblCommentary[[#This Row],[Date]]))</f>
        <v/>
      </c>
      <c r="F180" s="63">
        <f>IF(tblCommentary[[#This Row],[Date]]="","",tblCommentary[[#This Row],[Date]]&amp;"|"&amp;tblCommentary[[#This Row],[Seq_Day]])</f>
        <v/>
      </c>
    </row>
    <row r="181">
      <c r="A181" s="54" t="n"/>
      <c r="B181" s="61" t="n"/>
      <c r="C181" s="58" t="n"/>
      <c r="D181" s="58" t="n"/>
      <c r="E181" s="64">
        <f>IF(tblCommentary[[#This Row],[Date]]="","",COUNTIFS(INDEX(tblCommentary[Date],1):tblCommentary[[#This Row],[Date]],tblCommentary[[#This Row],[Date]]))</f>
        <v/>
      </c>
      <c r="F181" s="63">
        <f>IF(tblCommentary[[#This Row],[Date]]="","",tblCommentary[[#This Row],[Date]]&amp;"|"&amp;tblCommentary[[#This Row],[Seq_Day]])</f>
        <v/>
      </c>
    </row>
    <row r="182">
      <c r="A182" s="54" t="n"/>
      <c r="B182" s="61" t="n"/>
      <c r="C182" s="58" t="n"/>
      <c r="D182" s="58" t="n"/>
      <c r="E182" s="64">
        <f>IF(tblCommentary[[#This Row],[Date]]="","",COUNTIFS(INDEX(tblCommentary[Date],1):tblCommentary[[#This Row],[Date]],tblCommentary[[#This Row],[Date]]))</f>
        <v/>
      </c>
      <c r="F182" s="63">
        <f>IF(tblCommentary[[#This Row],[Date]]="","",tblCommentary[[#This Row],[Date]]&amp;"|"&amp;tblCommentary[[#This Row],[Seq_Day]])</f>
        <v/>
      </c>
    </row>
    <row r="183">
      <c r="A183" s="54" t="n"/>
      <c r="B183" s="61" t="n"/>
      <c r="C183" s="58" t="n"/>
      <c r="D183" s="58" t="n"/>
      <c r="E183" s="64">
        <f>IF(tblCommentary[[#This Row],[Date]]="","",COUNTIFS(INDEX(tblCommentary[Date],1):tblCommentary[[#This Row],[Date]],tblCommentary[[#This Row],[Date]]))</f>
        <v/>
      </c>
      <c r="F183" s="63">
        <f>IF(tblCommentary[[#This Row],[Date]]="","",tblCommentary[[#This Row],[Date]]&amp;"|"&amp;tblCommentary[[#This Row],[Seq_Day]])</f>
        <v/>
      </c>
    </row>
    <row r="184">
      <c r="A184" s="54" t="n"/>
      <c r="B184" s="61" t="n"/>
      <c r="C184" s="58" t="n"/>
      <c r="D184" s="58" t="n"/>
      <c r="E184" s="64">
        <f>IF(tblCommentary[[#This Row],[Date]]="","",COUNTIFS(INDEX(tblCommentary[Date],1):tblCommentary[[#This Row],[Date]],tblCommentary[[#This Row],[Date]]))</f>
        <v/>
      </c>
      <c r="F184" s="63">
        <f>IF(tblCommentary[[#This Row],[Date]]="","",tblCommentary[[#This Row],[Date]]&amp;"|"&amp;tblCommentary[[#This Row],[Seq_Day]])</f>
        <v/>
      </c>
    </row>
    <row r="185">
      <c r="A185" s="54" t="n"/>
      <c r="B185" s="61" t="n"/>
      <c r="C185" s="58" t="n"/>
      <c r="D185" s="58" t="n"/>
      <c r="E185" s="64">
        <f>IF(tblCommentary[[#This Row],[Date]]="","",COUNTIFS(INDEX(tblCommentary[Date],1):tblCommentary[[#This Row],[Date]],tblCommentary[[#This Row],[Date]]))</f>
        <v/>
      </c>
      <c r="F185" s="63">
        <f>IF(tblCommentary[[#This Row],[Date]]="","",tblCommentary[[#This Row],[Date]]&amp;"|"&amp;tblCommentary[[#This Row],[Seq_Day]])</f>
        <v/>
      </c>
    </row>
    <row r="186">
      <c r="A186" s="54" t="n"/>
      <c r="B186" s="61" t="n"/>
      <c r="C186" s="58" t="n"/>
      <c r="D186" s="58" t="n"/>
      <c r="E186" s="64">
        <f>IF(tblCommentary[[#This Row],[Date]]="","",COUNTIFS(INDEX(tblCommentary[Date],1):tblCommentary[[#This Row],[Date]],tblCommentary[[#This Row],[Date]]))</f>
        <v/>
      </c>
      <c r="F186" s="63">
        <f>IF(tblCommentary[[#This Row],[Date]]="","",tblCommentary[[#This Row],[Date]]&amp;"|"&amp;tblCommentary[[#This Row],[Seq_Day]])</f>
        <v/>
      </c>
    </row>
    <row r="187">
      <c r="A187" s="54" t="n"/>
      <c r="B187" s="61" t="n"/>
      <c r="C187" s="58" t="n"/>
      <c r="D187" s="58" t="n"/>
      <c r="E187" s="64">
        <f>IF(tblCommentary[[#This Row],[Date]]="","",COUNTIFS(INDEX(tblCommentary[Date],1):tblCommentary[[#This Row],[Date]],tblCommentary[[#This Row],[Date]]))</f>
        <v/>
      </c>
      <c r="F187" s="63">
        <f>IF(tblCommentary[[#This Row],[Date]]="","",tblCommentary[[#This Row],[Date]]&amp;"|"&amp;tblCommentary[[#This Row],[Seq_Day]])</f>
        <v/>
      </c>
    </row>
    <row r="188">
      <c r="A188" s="54" t="n"/>
      <c r="B188" s="61" t="n"/>
      <c r="C188" s="58" t="n"/>
      <c r="D188" s="58" t="n"/>
      <c r="E188" s="64">
        <f>IF(tblCommentary[[#This Row],[Date]]="","",COUNTIFS(INDEX(tblCommentary[Date],1):tblCommentary[[#This Row],[Date]],tblCommentary[[#This Row],[Date]]))</f>
        <v/>
      </c>
      <c r="F188" s="63">
        <f>IF(tblCommentary[[#This Row],[Date]]="","",tblCommentary[[#This Row],[Date]]&amp;"|"&amp;tblCommentary[[#This Row],[Seq_Day]])</f>
        <v/>
      </c>
    </row>
    <row r="189">
      <c r="A189" s="54" t="n"/>
      <c r="B189" s="61" t="n"/>
      <c r="C189" s="58" t="n"/>
      <c r="D189" s="58" t="n"/>
      <c r="E189" s="64">
        <f>IF(tblCommentary[[#This Row],[Date]]="","",COUNTIFS(INDEX(tblCommentary[Date],1):tblCommentary[[#This Row],[Date]],tblCommentary[[#This Row],[Date]]))</f>
        <v/>
      </c>
      <c r="F189" s="63">
        <f>IF(tblCommentary[[#This Row],[Date]]="","",tblCommentary[[#This Row],[Date]]&amp;"|"&amp;tblCommentary[[#This Row],[Seq_Day]])</f>
        <v/>
      </c>
    </row>
    <row r="190">
      <c r="A190" s="54" t="n"/>
      <c r="B190" s="61" t="n"/>
      <c r="C190" s="58" t="n"/>
      <c r="D190" s="58" t="n"/>
      <c r="E190" s="64">
        <f>IF(tblCommentary[[#This Row],[Date]]="","",COUNTIFS(INDEX(tblCommentary[Date],1):tblCommentary[[#This Row],[Date]],tblCommentary[[#This Row],[Date]]))</f>
        <v/>
      </c>
      <c r="F190" s="63">
        <f>IF(tblCommentary[[#This Row],[Date]]="","",tblCommentary[[#This Row],[Date]]&amp;"|"&amp;tblCommentary[[#This Row],[Seq_Day]])</f>
        <v/>
      </c>
    </row>
    <row r="191">
      <c r="A191" s="54" t="n"/>
      <c r="B191" s="61" t="n"/>
      <c r="C191" s="58" t="n"/>
      <c r="D191" s="58" t="n"/>
      <c r="E191" s="64">
        <f>IF(tblCommentary[[#This Row],[Date]]="","",COUNTIFS(INDEX(tblCommentary[Date],1):tblCommentary[[#This Row],[Date]],tblCommentary[[#This Row],[Date]]))</f>
        <v/>
      </c>
      <c r="F191" s="63">
        <f>IF(tblCommentary[[#This Row],[Date]]="","",tblCommentary[[#This Row],[Date]]&amp;"|"&amp;tblCommentary[[#This Row],[Seq_Day]])</f>
        <v/>
      </c>
    </row>
    <row r="192">
      <c r="A192" s="54" t="n"/>
      <c r="B192" s="61" t="n"/>
      <c r="C192" s="58" t="n"/>
      <c r="D192" s="58" t="n"/>
      <c r="E192" s="64">
        <f>IF(tblCommentary[[#This Row],[Date]]="","",COUNTIFS(INDEX(tblCommentary[Date],1):tblCommentary[[#This Row],[Date]],tblCommentary[[#This Row],[Date]]))</f>
        <v/>
      </c>
      <c r="F192" s="63">
        <f>IF(tblCommentary[[#This Row],[Date]]="","",tblCommentary[[#This Row],[Date]]&amp;"|"&amp;tblCommentary[[#This Row],[Seq_Day]])</f>
        <v/>
      </c>
    </row>
    <row r="193">
      <c r="A193" s="54" t="n"/>
      <c r="B193" s="61" t="n"/>
      <c r="C193" s="58" t="n"/>
      <c r="D193" s="58" t="n"/>
      <c r="E193" s="64">
        <f>IF(tblCommentary[[#This Row],[Date]]="","",COUNTIFS(INDEX(tblCommentary[Date],1):tblCommentary[[#This Row],[Date]],tblCommentary[[#This Row],[Date]]))</f>
        <v/>
      </c>
      <c r="F193" s="63">
        <f>IF(tblCommentary[[#This Row],[Date]]="","",tblCommentary[[#This Row],[Date]]&amp;"|"&amp;tblCommentary[[#This Row],[Seq_Day]])</f>
        <v/>
      </c>
    </row>
    <row r="194">
      <c r="A194" s="54" t="n"/>
      <c r="B194" s="61" t="n"/>
      <c r="C194" s="58" t="n"/>
      <c r="D194" s="58" t="n"/>
      <c r="E194" s="64">
        <f>IF(tblCommentary[[#This Row],[Date]]="","",COUNTIFS(INDEX(tblCommentary[Date],1):tblCommentary[[#This Row],[Date]],tblCommentary[[#This Row],[Date]]))</f>
        <v/>
      </c>
      <c r="F194" s="63">
        <f>IF(tblCommentary[[#This Row],[Date]]="","",tblCommentary[[#This Row],[Date]]&amp;"|"&amp;tblCommentary[[#This Row],[Seq_Day]])</f>
        <v/>
      </c>
    </row>
    <row r="195">
      <c r="A195" s="54" t="n"/>
      <c r="B195" s="61" t="n"/>
      <c r="C195" s="58" t="n"/>
      <c r="D195" s="58" t="n"/>
      <c r="E195" s="64">
        <f>IF(tblCommentary[[#This Row],[Date]]="","",COUNTIFS(INDEX(tblCommentary[Date],1):tblCommentary[[#This Row],[Date]],tblCommentary[[#This Row],[Date]]))</f>
        <v/>
      </c>
      <c r="F195" s="63">
        <f>IF(tblCommentary[[#This Row],[Date]]="","",tblCommentary[[#This Row],[Date]]&amp;"|"&amp;tblCommentary[[#This Row],[Seq_Day]])</f>
        <v/>
      </c>
    </row>
    <row r="196">
      <c r="A196" s="54" t="n"/>
      <c r="B196" s="61" t="n"/>
      <c r="C196" s="58" t="n"/>
      <c r="D196" s="58" t="n"/>
      <c r="E196" s="64">
        <f>IF(tblCommentary[[#This Row],[Date]]="","",COUNTIFS(INDEX(tblCommentary[Date],1):tblCommentary[[#This Row],[Date]],tblCommentary[[#This Row],[Date]]))</f>
        <v/>
      </c>
      <c r="F196" s="63">
        <f>IF(tblCommentary[[#This Row],[Date]]="","",tblCommentary[[#This Row],[Date]]&amp;"|"&amp;tblCommentary[[#This Row],[Seq_Day]])</f>
        <v/>
      </c>
    </row>
    <row r="197">
      <c r="A197" s="54" t="n"/>
      <c r="B197" s="61" t="n"/>
      <c r="C197" s="58" t="n"/>
      <c r="D197" s="58" t="n"/>
      <c r="E197" s="64">
        <f>IF(tblCommentary[[#This Row],[Date]]="","",COUNTIFS(INDEX(tblCommentary[Date],1):tblCommentary[[#This Row],[Date]],tblCommentary[[#This Row],[Date]]))</f>
        <v/>
      </c>
      <c r="F197" s="63">
        <f>IF(tblCommentary[[#This Row],[Date]]="","",tblCommentary[[#This Row],[Date]]&amp;"|"&amp;tblCommentary[[#This Row],[Seq_Day]])</f>
        <v/>
      </c>
    </row>
    <row r="198">
      <c r="A198" s="54" t="n"/>
      <c r="B198" s="61" t="n"/>
      <c r="C198" s="58" t="n"/>
      <c r="D198" s="58" t="n"/>
      <c r="E198" s="64">
        <f>IF(tblCommentary[[#This Row],[Date]]="","",COUNTIFS(INDEX(tblCommentary[Date],1):tblCommentary[[#This Row],[Date]],tblCommentary[[#This Row],[Date]]))</f>
        <v/>
      </c>
      <c r="F198" s="63">
        <f>IF(tblCommentary[[#This Row],[Date]]="","",tblCommentary[[#This Row],[Date]]&amp;"|"&amp;tblCommentary[[#This Row],[Seq_Day]])</f>
        <v/>
      </c>
    </row>
    <row r="199">
      <c r="A199" s="54" t="n"/>
      <c r="B199" s="61" t="n"/>
      <c r="C199" s="58" t="n"/>
      <c r="D199" s="58" t="n"/>
      <c r="E199" s="64">
        <f>IF(tblCommentary[[#This Row],[Date]]="","",COUNTIFS(INDEX(tblCommentary[Date],1):tblCommentary[[#This Row],[Date]],tblCommentary[[#This Row],[Date]]))</f>
        <v/>
      </c>
      <c r="F199" s="63">
        <f>IF(tblCommentary[[#This Row],[Date]]="","",tblCommentary[[#This Row],[Date]]&amp;"|"&amp;tblCommentary[[#This Row],[Seq_Day]])</f>
        <v/>
      </c>
    </row>
    <row r="200">
      <c r="A200" s="54" t="n"/>
      <c r="B200" s="61" t="n"/>
      <c r="C200" s="58" t="n"/>
      <c r="D200" s="58" t="n"/>
      <c r="E200" s="64">
        <f>IF(tblCommentary[[#This Row],[Date]]="","",COUNTIFS(INDEX(tblCommentary[Date],1):tblCommentary[[#This Row],[Date]],tblCommentary[[#This Row],[Date]]))</f>
        <v/>
      </c>
      <c r="F200" s="63">
        <f>IF(tblCommentary[[#This Row],[Date]]="","",tblCommentary[[#This Row],[Date]]&amp;"|"&amp;tblCommentary[[#This Row],[Seq_Day]])</f>
        <v/>
      </c>
    </row>
    <row r="201">
      <c r="A201" s="54" t="n"/>
      <c r="B201" s="61" t="n"/>
      <c r="C201" s="58" t="n"/>
      <c r="D201" s="58" t="n"/>
      <c r="E201" s="64">
        <f>IF(tblCommentary[[#This Row],[Date]]="","",COUNTIFS(INDEX(tblCommentary[Date],1):tblCommentary[[#This Row],[Date]],tblCommentary[[#This Row],[Date]]))</f>
        <v/>
      </c>
      <c r="F201" s="63">
        <f>IF(tblCommentary[[#This Row],[Date]]="","",tblCommentary[[#This Row],[Date]]&amp;"|"&amp;tblCommentary[[#This Row],[Seq_Day]])</f>
        <v/>
      </c>
    </row>
    <row r="202">
      <c r="A202" s="54" t="n"/>
      <c r="B202" s="61" t="n"/>
      <c r="C202" s="58" t="n"/>
      <c r="D202" s="58" t="n"/>
      <c r="E202" s="64">
        <f>IF(tblCommentary[[#This Row],[Date]]="","",COUNTIFS(INDEX(tblCommentary[Date],1):tblCommentary[[#This Row],[Date]],tblCommentary[[#This Row],[Date]]))</f>
        <v/>
      </c>
      <c r="F202" s="63">
        <f>IF(tblCommentary[[#This Row],[Date]]="","",tblCommentary[[#This Row],[Date]]&amp;"|"&amp;tblCommentary[[#This Row],[Seq_Day]])</f>
        <v/>
      </c>
    </row>
    <row r="203">
      <c r="A203" s="54" t="n"/>
      <c r="B203" s="61" t="n"/>
      <c r="C203" s="58" t="n"/>
      <c r="D203" s="58" t="n"/>
      <c r="E203" s="64">
        <f>IF(tblCommentary[[#This Row],[Date]]="","",COUNTIFS(INDEX(tblCommentary[Date],1):tblCommentary[[#This Row],[Date]],tblCommentary[[#This Row],[Date]]))</f>
        <v/>
      </c>
      <c r="F203" s="63">
        <f>IF(tblCommentary[[#This Row],[Date]]="","",tblCommentary[[#This Row],[Date]]&amp;"|"&amp;tblCommentary[[#This Row],[Seq_Day]])</f>
        <v/>
      </c>
    </row>
    <row r="204">
      <c r="A204" s="54" t="n"/>
      <c r="B204" s="61" t="n"/>
      <c r="C204" s="58" t="n"/>
      <c r="D204" s="58" t="n"/>
      <c r="E204" s="64">
        <f>IF(tblCommentary[[#This Row],[Date]]="","",COUNTIFS(INDEX(tblCommentary[Date],1):tblCommentary[[#This Row],[Date]],tblCommentary[[#This Row],[Date]]))</f>
        <v/>
      </c>
      <c r="F204" s="63">
        <f>IF(tblCommentary[[#This Row],[Date]]="","",tblCommentary[[#This Row],[Date]]&amp;"|"&amp;tblCommentary[[#This Row],[Seq_Day]])</f>
        <v/>
      </c>
    </row>
    <row r="205">
      <c r="A205" s="54" t="n"/>
      <c r="B205" s="61" t="n"/>
      <c r="C205" s="58" t="n"/>
      <c r="D205" s="58" t="n"/>
      <c r="E205" s="64">
        <f>IF(tblCommentary[[#This Row],[Date]]="","",COUNTIFS(INDEX(tblCommentary[Date],1):tblCommentary[[#This Row],[Date]],tblCommentary[[#This Row],[Date]]))</f>
        <v/>
      </c>
      <c r="F205" s="63">
        <f>IF(tblCommentary[[#This Row],[Date]]="","",tblCommentary[[#This Row],[Date]]&amp;"|"&amp;tblCommentary[[#This Row],[Seq_Day]])</f>
        <v/>
      </c>
    </row>
    <row r="206">
      <c r="A206" s="54" t="n"/>
      <c r="B206" s="61" t="n"/>
      <c r="C206" s="58" t="n"/>
      <c r="D206" s="58" t="n"/>
      <c r="E206" s="64">
        <f>IF(tblCommentary[[#This Row],[Date]]="","",COUNTIFS(INDEX(tblCommentary[Date],1):tblCommentary[[#This Row],[Date]],tblCommentary[[#This Row],[Date]]))</f>
        <v/>
      </c>
      <c r="F206" s="63">
        <f>IF(tblCommentary[[#This Row],[Date]]="","",tblCommentary[[#This Row],[Date]]&amp;"|"&amp;tblCommentary[[#This Row],[Seq_Day]])</f>
        <v/>
      </c>
    </row>
    <row r="207">
      <c r="A207" s="54" t="n"/>
      <c r="B207" s="61" t="n"/>
      <c r="C207" s="58" t="n"/>
      <c r="D207" s="58" t="n"/>
      <c r="E207" s="64">
        <f>IF(tblCommentary[[#This Row],[Date]]="","",COUNTIFS(INDEX(tblCommentary[Date],1):tblCommentary[[#This Row],[Date]],tblCommentary[[#This Row],[Date]]))</f>
        <v/>
      </c>
      <c r="F207" s="63">
        <f>IF(tblCommentary[[#This Row],[Date]]="","",tblCommentary[[#This Row],[Date]]&amp;"|"&amp;tblCommentary[[#This Row],[Seq_Day]])</f>
        <v/>
      </c>
    </row>
    <row r="208">
      <c r="A208" s="54" t="n"/>
      <c r="B208" s="61" t="n"/>
      <c r="C208" s="58" t="n"/>
      <c r="D208" s="58" t="n"/>
      <c r="E208" s="64">
        <f>IF(tblCommentary[[#This Row],[Date]]="","",COUNTIFS(INDEX(tblCommentary[Date],1):tblCommentary[[#This Row],[Date]],tblCommentary[[#This Row],[Date]]))</f>
        <v/>
      </c>
      <c r="F208" s="63">
        <f>IF(tblCommentary[[#This Row],[Date]]="","",tblCommentary[[#This Row],[Date]]&amp;"|"&amp;tblCommentary[[#This Row],[Seq_Day]])</f>
        <v/>
      </c>
    </row>
    <row r="209">
      <c r="A209" s="54" t="n"/>
      <c r="B209" s="61" t="n"/>
      <c r="C209" s="58" t="n"/>
      <c r="D209" s="58" t="n"/>
      <c r="E209" s="64">
        <f>IF(tblCommentary[[#This Row],[Date]]="","",COUNTIFS(INDEX(tblCommentary[Date],1):tblCommentary[[#This Row],[Date]],tblCommentary[[#This Row],[Date]]))</f>
        <v/>
      </c>
      <c r="F209" s="63">
        <f>IF(tblCommentary[[#This Row],[Date]]="","",tblCommentary[[#This Row],[Date]]&amp;"|"&amp;tblCommentary[[#This Row],[Seq_Day]])</f>
        <v/>
      </c>
    </row>
    <row r="210">
      <c r="A210" s="54" t="n"/>
      <c r="B210" s="61" t="n"/>
      <c r="C210" s="58" t="n"/>
      <c r="D210" s="58" t="n"/>
      <c r="E210" s="64">
        <f>IF(tblCommentary[[#This Row],[Date]]="","",COUNTIFS(INDEX(tblCommentary[Date],1):tblCommentary[[#This Row],[Date]],tblCommentary[[#This Row],[Date]]))</f>
        <v/>
      </c>
      <c r="F210" s="63">
        <f>IF(tblCommentary[[#This Row],[Date]]="","",tblCommentary[[#This Row],[Date]]&amp;"|"&amp;tblCommentary[[#This Row],[Seq_Day]])</f>
        <v/>
      </c>
    </row>
    <row r="211">
      <c r="A211" s="54" t="n"/>
      <c r="B211" s="61" t="n"/>
      <c r="C211" s="58" t="n"/>
      <c r="D211" s="58" t="n"/>
      <c r="E211" s="64">
        <f>IF(tblCommentary[[#This Row],[Date]]="","",COUNTIFS(INDEX(tblCommentary[Date],1):tblCommentary[[#This Row],[Date]],tblCommentary[[#This Row],[Date]]))</f>
        <v/>
      </c>
      <c r="F211" s="63">
        <f>IF(tblCommentary[[#This Row],[Date]]="","",tblCommentary[[#This Row],[Date]]&amp;"|"&amp;tblCommentary[[#This Row],[Seq_Day]])</f>
        <v/>
      </c>
    </row>
    <row r="212">
      <c r="A212" s="54" t="n"/>
      <c r="B212" s="61" t="n"/>
      <c r="C212" s="58" t="n"/>
      <c r="D212" s="58" t="n"/>
      <c r="E212" s="64">
        <f>IF(tblCommentary[[#This Row],[Date]]="","",COUNTIFS(INDEX(tblCommentary[Date],1):tblCommentary[[#This Row],[Date]],tblCommentary[[#This Row],[Date]]))</f>
        <v/>
      </c>
      <c r="F212" s="63">
        <f>IF(tblCommentary[[#This Row],[Date]]="","",tblCommentary[[#This Row],[Date]]&amp;"|"&amp;tblCommentary[[#This Row],[Seq_Day]])</f>
        <v/>
      </c>
    </row>
    <row r="213">
      <c r="A213" s="54" t="n"/>
      <c r="B213" s="61" t="n"/>
      <c r="C213" s="58" t="n"/>
      <c r="D213" s="58" t="n"/>
      <c r="E213" s="64">
        <f>IF(tblCommentary[[#This Row],[Date]]="","",COUNTIFS(INDEX(tblCommentary[Date],1):tblCommentary[[#This Row],[Date]],tblCommentary[[#This Row],[Date]]))</f>
        <v/>
      </c>
      <c r="F213" s="63">
        <f>IF(tblCommentary[[#This Row],[Date]]="","",tblCommentary[[#This Row],[Date]]&amp;"|"&amp;tblCommentary[[#This Row],[Seq_Day]])</f>
        <v/>
      </c>
    </row>
    <row r="214">
      <c r="A214" s="54" t="n"/>
      <c r="B214" s="61" t="n"/>
      <c r="C214" s="58" t="n"/>
      <c r="D214" s="58" t="n"/>
      <c r="E214" s="64">
        <f>IF(tblCommentary[[#This Row],[Date]]="","",COUNTIFS(INDEX(tblCommentary[Date],1):tblCommentary[[#This Row],[Date]],tblCommentary[[#This Row],[Date]]))</f>
        <v/>
      </c>
      <c r="F214" s="63">
        <f>IF(tblCommentary[[#This Row],[Date]]="","",tblCommentary[[#This Row],[Date]]&amp;"|"&amp;tblCommentary[[#This Row],[Seq_Day]])</f>
        <v/>
      </c>
    </row>
    <row r="215">
      <c r="A215" s="54" t="n"/>
      <c r="B215" s="61" t="n"/>
      <c r="C215" s="58" t="n"/>
      <c r="D215" s="58" t="n"/>
      <c r="E215" s="64">
        <f>IF(tblCommentary[[#This Row],[Date]]="","",COUNTIFS(INDEX(tblCommentary[Date],1):tblCommentary[[#This Row],[Date]],tblCommentary[[#This Row],[Date]]))</f>
        <v/>
      </c>
      <c r="F215" s="63">
        <f>IF(tblCommentary[[#This Row],[Date]]="","",tblCommentary[[#This Row],[Date]]&amp;"|"&amp;tblCommentary[[#This Row],[Seq_Day]])</f>
        <v/>
      </c>
    </row>
    <row r="216">
      <c r="A216" s="54" t="n"/>
      <c r="B216" s="61" t="n"/>
      <c r="C216" s="58" t="n"/>
      <c r="D216" s="58" t="n"/>
      <c r="E216" s="64">
        <f>IF(tblCommentary[[#This Row],[Date]]="","",COUNTIFS(INDEX(tblCommentary[Date],1):tblCommentary[[#This Row],[Date]],tblCommentary[[#This Row],[Date]]))</f>
        <v/>
      </c>
      <c r="F216" s="63">
        <f>IF(tblCommentary[[#This Row],[Date]]="","",tblCommentary[[#This Row],[Date]]&amp;"|"&amp;tblCommentary[[#This Row],[Seq_Day]])</f>
        <v/>
      </c>
    </row>
    <row r="217">
      <c r="A217" s="54" t="n"/>
      <c r="B217" s="61" t="n"/>
      <c r="C217" s="58" t="n"/>
      <c r="D217" s="58" t="n"/>
      <c r="E217" s="64">
        <f>IF(tblCommentary[[#This Row],[Date]]="","",COUNTIFS(INDEX(tblCommentary[Date],1):tblCommentary[[#This Row],[Date]],tblCommentary[[#This Row],[Date]]))</f>
        <v/>
      </c>
      <c r="F217" s="63">
        <f>IF(tblCommentary[[#This Row],[Date]]="","",tblCommentary[[#This Row],[Date]]&amp;"|"&amp;tblCommentary[[#This Row],[Seq_Day]])</f>
        <v/>
      </c>
    </row>
    <row r="218">
      <c r="A218" s="54" t="n"/>
      <c r="B218" s="61" t="n"/>
      <c r="C218" s="58" t="n"/>
      <c r="D218" s="58" t="n"/>
      <c r="E218" s="64">
        <f>IF(tblCommentary[[#This Row],[Date]]="","",COUNTIFS(INDEX(tblCommentary[Date],1):tblCommentary[[#This Row],[Date]],tblCommentary[[#This Row],[Date]]))</f>
        <v/>
      </c>
      <c r="F218" s="63">
        <f>IF(tblCommentary[[#This Row],[Date]]="","",tblCommentary[[#This Row],[Date]]&amp;"|"&amp;tblCommentary[[#This Row],[Seq_Day]])</f>
        <v/>
      </c>
    </row>
    <row r="219">
      <c r="A219" s="54" t="n"/>
      <c r="B219" s="61" t="n"/>
      <c r="C219" s="58" t="n"/>
      <c r="D219" s="58" t="n"/>
      <c r="E219" s="64">
        <f>IF(tblCommentary[[#This Row],[Date]]="","",COUNTIFS(INDEX(tblCommentary[Date],1):tblCommentary[[#This Row],[Date]],tblCommentary[[#This Row],[Date]]))</f>
        <v/>
      </c>
      <c r="F219" s="63">
        <f>IF(tblCommentary[[#This Row],[Date]]="","",tblCommentary[[#This Row],[Date]]&amp;"|"&amp;tblCommentary[[#This Row],[Seq_Day]])</f>
        <v/>
      </c>
    </row>
    <row r="220">
      <c r="A220" s="54" t="n"/>
      <c r="B220" s="61" t="n"/>
      <c r="C220" s="58" t="n"/>
      <c r="D220" s="58" t="n"/>
      <c r="E220" s="64">
        <f>IF(tblCommentary[[#This Row],[Date]]="","",COUNTIFS(INDEX(tblCommentary[Date],1):tblCommentary[[#This Row],[Date]],tblCommentary[[#This Row],[Date]]))</f>
        <v/>
      </c>
      <c r="F220" s="63">
        <f>IF(tblCommentary[[#This Row],[Date]]="","",tblCommentary[[#This Row],[Date]]&amp;"|"&amp;tblCommentary[[#This Row],[Seq_Day]])</f>
        <v/>
      </c>
    </row>
    <row r="221">
      <c r="A221" s="54" t="n"/>
      <c r="B221" s="61" t="n"/>
      <c r="C221" s="58" t="n"/>
      <c r="D221" s="58" t="n"/>
      <c r="E221" s="64">
        <f>IF(tblCommentary[[#This Row],[Date]]="","",COUNTIFS(INDEX(tblCommentary[Date],1):tblCommentary[[#This Row],[Date]],tblCommentary[[#This Row],[Date]]))</f>
        <v/>
      </c>
      <c r="F221" s="63">
        <f>IF(tblCommentary[[#This Row],[Date]]="","",tblCommentary[[#This Row],[Date]]&amp;"|"&amp;tblCommentary[[#This Row],[Seq_Day]])</f>
        <v/>
      </c>
    </row>
    <row r="222">
      <c r="A222" s="54" t="n"/>
      <c r="B222" s="61" t="n"/>
      <c r="C222" s="58" t="n"/>
      <c r="D222" s="58" t="n"/>
      <c r="E222" s="64">
        <f>IF(tblCommentary[[#This Row],[Date]]="","",COUNTIFS(INDEX(tblCommentary[Date],1):tblCommentary[[#This Row],[Date]],tblCommentary[[#This Row],[Date]]))</f>
        <v/>
      </c>
      <c r="F222" s="63">
        <f>IF(tblCommentary[[#This Row],[Date]]="","",tblCommentary[[#This Row],[Date]]&amp;"|"&amp;tblCommentary[[#This Row],[Seq_Day]])</f>
        <v/>
      </c>
    </row>
    <row r="223">
      <c r="A223" s="54" t="n"/>
      <c r="B223" s="61" t="n"/>
      <c r="C223" s="58" t="n"/>
      <c r="D223" s="58" t="n"/>
      <c r="E223" s="64">
        <f>IF(tblCommentary[[#This Row],[Date]]="","",COUNTIFS(INDEX(tblCommentary[Date],1):tblCommentary[[#This Row],[Date]],tblCommentary[[#This Row],[Date]]))</f>
        <v/>
      </c>
      <c r="F223" s="63">
        <f>IF(tblCommentary[[#This Row],[Date]]="","",tblCommentary[[#This Row],[Date]]&amp;"|"&amp;tblCommentary[[#This Row],[Seq_Day]])</f>
        <v/>
      </c>
    </row>
    <row r="224">
      <c r="A224" s="54" t="n"/>
      <c r="B224" s="61" t="n"/>
      <c r="C224" s="58" t="n"/>
      <c r="D224" s="58" t="n"/>
      <c r="E224" s="64">
        <f>IF(tblCommentary[[#This Row],[Date]]="","",COUNTIFS(INDEX(tblCommentary[Date],1):tblCommentary[[#This Row],[Date]],tblCommentary[[#This Row],[Date]]))</f>
        <v/>
      </c>
      <c r="F224" s="63">
        <f>IF(tblCommentary[[#This Row],[Date]]="","",tblCommentary[[#This Row],[Date]]&amp;"|"&amp;tblCommentary[[#This Row],[Seq_Day]])</f>
        <v/>
      </c>
    </row>
    <row r="225">
      <c r="A225" s="54" t="n"/>
      <c r="B225" s="61" t="n"/>
      <c r="C225" s="58" t="n"/>
      <c r="D225" s="58" t="n"/>
      <c r="E225" s="64">
        <f>IF(tblCommentary[[#This Row],[Date]]="","",COUNTIFS(INDEX(tblCommentary[Date],1):tblCommentary[[#This Row],[Date]],tblCommentary[[#This Row],[Date]]))</f>
        <v/>
      </c>
      <c r="F225" s="63">
        <f>IF(tblCommentary[[#This Row],[Date]]="","",tblCommentary[[#This Row],[Date]]&amp;"|"&amp;tblCommentary[[#This Row],[Seq_Day]])</f>
        <v/>
      </c>
    </row>
    <row r="226">
      <c r="A226" s="54" t="n"/>
      <c r="B226" s="61" t="n"/>
      <c r="C226" s="58" t="n"/>
      <c r="D226" s="58" t="n"/>
      <c r="E226" s="64">
        <f>IF(tblCommentary[[#This Row],[Date]]="","",COUNTIFS(INDEX(tblCommentary[Date],1):tblCommentary[[#This Row],[Date]],tblCommentary[[#This Row],[Date]]))</f>
        <v/>
      </c>
      <c r="F226" s="63">
        <f>IF(tblCommentary[[#This Row],[Date]]="","",tblCommentary[[#This Row],[Date]]&amp;"|"&amp;tblCommentary[[#This Row],[Seq_Day]])</f>
        <v/>
      </c>
    </row>
    <row r="227">
      <c r="A227" s="54" t="n"/>
      <c r="B227" s="61" t="n"/>
      <c r="C227" s="58" t="n"/>
      <c r="D227" s="58" t="n"/>
      <c r="E227" s="64">
        <f>IF(tblCommentary[[#This Row],[Date]]="","",COUNTIFS(INDEX(tblCommentary[Date],1):tblCommentary[[#This Row],[Date]],tblCommentary[[#This Row],[Date]]))</f>
        <v/>
      </c>
      <c r="F227" s="63">
        <f>IF(tblCommentary[[#This Row],[Date]]="","",tblCommentary[[#This Row],[Date]]&amp;"|"&amp;tblCommentary[[#This Row],[Seq_Day]])</f>
        <v/>
      </c>
    </row>
    <row r="228">
      <c r="A228" s="54" t="n"/>
      <c r="B228" s="61" t="n"/>
      <c r="C228" s="58" t="n"/>
      <c r="D228" s="58" t="n"/>
      <c r="E228" s="64">
        <f>IF(tblCommentary[[#This Row],[Date]]="","",COUNTIFS(INDEX(tblCommentary[Date],1):tblCommentary[[#This Row],[Date]],tblCommentary[[#This Row],[Date]]))</f>
        <v/>
      </c>
      <c r="F228" s="63">
        <f>IF(tblCommentary[[#This Row],[Date]]="","",tblCommentary[[#This Row],[Date]]&amp;"|"&amp;tblCommentary[[#This Row],[Seq_Day]])</f>
        <v/>
      </c>
    </row>
    <row r="229">
      <c r="A229" s="54" t="n"/>
      <c r="B229" s="61" t="n"/>
      <c r="C229" s="58" t="n"/>
      <c r="D229" s="58" t="n"/>
      <c r="E229" s="64">
        <f>IF(tblCommentary[[#This Row],[Date]]="","",COUNTIFS(INDEX(tblCommentary[Date],1):tblCommentary[[#This Row],[Date]],tblCommentary[[#This Row],[Date]]))</f>
        <v/>
      </c>
      <c r="F229" s="63">
        <f>IF(tblCommentary[[#This Row],[Date]]="","",tblCommentary[[#This Row],[Date]]&amp;"|"&amp;tblCommentary[[#This Row],[Seq_Day]])</f>
        <v/>
      </c>
    </row>
    <row r="230">
      <c r="A230" s="54" t="n"/>
      <c r="B230" s="61" t="n"/>
      <c r="C230" s="58" t="n"/>
      <c r="D230" s="58" t="n"/>
      <c r="E230" s="64">
        <f>IF(tblCommentary[[#This Row],[Date]]="","",COUNTIFS(INDEX(tblCommentary[Date],1):tblCommentary[[#This Row],[Date]],tblCommentary[[#This Row],[Date]]))</f>
        <v/>
      </c>
      <c r="F230" s="63">
        <f>IF(tblCommentary[[#This Row],[Date]]="","",tblCommentary[[#This Row],[Date]]&amp;"|"&amp;tblCommentary[[#This Row],[Seq_Day]])</f>
        <v/>
      </c>
    </row>
    <row r="231">
      <c r="A231" s="54" t="n"/>
      <c r="B231" s="61" t="n"/>
      <c r="C231" s="58" t="n"/>
      <c r="D231" s="58" t="n"/>
      <c r="E231" s="64">
        <f>IF(tblCommentary[[#This Row],[Date]]="","",COUNTIFS(INDEX(tblCommentary[Date],1):tblCommentary[[#This Row],[Date]],tblCommentary[[#This Row],[Date]]))</f>
        <v/>
      </c>
      <c r="F231" s="63">
        <f>IF(tblCommentary[[#This Row],[Date]]="","",tblCommentary[[#This Row],[Date]]&amp;"|"&amp;tblCommentary[[#This Row],[Seq_Day]])</f>
        <v/>
      </c>
    </row>
    <row r="232">
      <c r="A232" s="54" t="n"/>
      <c r="B232" s="61" t="n"/>
      <c r="C232" s="58" t="n"/>
      <c r="D232" s="58" t="n"/>
      <c r="E232" s="64">
        <f>IF(tblCommentary[[#This Row],[Date]]="","",COUNTIFS(INDEX(tblCommentary[Date],1):tblCommentary[[#This Row],[Date]],tblCommentary[[#This Row],[Date]]))</f>
        <v/>
      </c>
      <c r="F232" s="63">
        <f>IF(tblCommentary[[#This Row],[Date]]="","",tblCommentary[[#This Row],[Date]]&amp;"|"&amp;tblCommentary[[#This Row],[Seq_Day]])</f>
        <v/>
      </c>
    </row>
    <row r="233">
      <c r="A233" s="54" t="n"/>
      <c r="B233" s="61" t="n"/>
      <c r="C233" s="58" t="n"/>
      <c r="D233" s="58" t="n"/>
      <c r="E233" s="64">
        <f>IF(tblCommentary[[#This Row],[Date]]="","",COUNTIFS(INDEX(tblCommentary[Date],1):tblCommentary[[#This Row],[Date]],tblCommentary[[#This Row],[Date]]))</f>
        <v/>
      </c>
      <c r="F233" s="63">
        <f>IF(tblCommentary[[#This Row],[Date]]="","",tblCommentary[[#This Row],[Date]]&amp;"|"&amp;tblCommentary[[#This Row],[Seq_Day]])</f>
        <v/>
      </c>
    </row>
    <row r="234">
      <c r="A234" s="54" t="n"/>
      <c r="B234" s="61" t="n"/>
      <c r="C234" s="58" t="n"/>
      <c r="D234" s="58" t="n"/>
      <c r="E234" s="64">
        <f>IF(tblCommentary[[#This Row],[Date]]="","",COUNTIFS(INDEX(tblCommentary[Date],1):tblCommentary[[#This Row],[Date]],tblCommentary[[#This Row],[Date]]))</f>
        <v/>
      </c>
      <c r="F234" s="63">
        <f>IF(tblCommentary[[#This Row],[Date]]="","",tblCommentary[[#This Row],[Date]]&amp;"|"&amp;tblCommentary[[#This Row],[Seq_Day]])</f>
        <v/>
      </c>
    </row>
    <row r="235">
      <c r="A235" s="54" t="n"/>
      <c r="B235" s="61" t="n"/>
      <c r="C235" s="58" t="n"/>
      <c r="D235" s="58" t="n"/>
      <c r="E235" s="64">
        <f>IF(tblCommentary[[#This Row],[Date]]="","",COUNTIFS(INDEX(tblCommentary[Date],1):tblCommentary[[#This Row],[Date]],tblCommentary[[#This Row],[Date]]))</f>
        <v/>
      </c>
      <c r="F235" s="63">
        <f>IF(tblCommentary[[#This Row],[Date]]="","",tblCommentary[[#This Row],[Date]]&amp;"|"&amp;tblCommentary[[#This Row],[Seq_Day]])</f>
        <v/>
      </c>
    </row>
    <row r="236">
      <c r="A236" s="54" t="n"/>
      <c r="B236" s="61" t="n"/>
      <c r="C236" s="58" t="n"/>
      <c r="D236" s="58" t="n"/>
      <c r="E236" s="64">
        <f>IF(tblCommentary[[#This Row],[Date]]="","",COUNTIFS(INDEX(tblCommentary[Date],1):tblCommentary[[#This Row],[Date]],tblCommentary[[#This Row],[Date]]))</f>
        <v/>
      </c>
      <c r="F236" s="63">
        <f>IF(tblCommentary[[#This Row],[Date]]="","",tblCommentary[[#This Row],[Date]]&amp;"|"&amp;tblCommentary[[#This Row],[Seq_Day]])</f>
        <v/>
      </c>
    </row>
    <row r="237">
      <c r="A237" s="54" t="n"/>
      <c r="B237" s="61" t="n"/>
      <c r="C237" s="58" t="n"/>
      <c r="D237" s="58" t="n"/>
      <c r="E237" s="64">
        <f>IF(tblCommentary[[#This Row],[Date]]="","",COUNTIFS(INDEX(tblCommentary[Date],1):tblCommentary[[#This Row],[Date]],tblCommentary[[#This Row],[Date]]))</f>
        <v/>
      </c>
      <c r="F237" s="63">
        <f>IF(tblCommentary[[#This Row],[Date]]="","",tblCommentary[[#This Row],[Date]]&amp;"|"&amp;tblCommentary[[#This Row],[Seq_Day]])</f>
        <v/>
      </c>
    </row>
    <row r="238">
      <c r="A238" s="54" t="n"/>
      <c r="B238" s="61" t="n"/>
      <c r="C238" s="58" t="n"/>
      <c r="D238" s="58" t="n"/>
      <c r="E238" s="64">
        <f>IF(tblCommentary[[#This Row],[Date]]="","",COUNTIFS(INDEX(tblCommentary[Date],1):tblCommentary[[#This Row],[Date]],tblCommentary[[#This Row],[Date]]))</f>
        <v/>
      </c>
      <c r="F238" s="63">
        <f>IF(tblCommentary[[#This Row],[Date]]="","",tblCommentary[[#This Row],[Date]]&amp;"|"&amp;tblCommentary[[#This Row],[Seq_Day]])</f>
        <v/>
      </c>
    </row>
    <row r="239">
      <c r="A239" s="54" t="n"/>
      <c r="B239" s="61" t="n"/>
      <c r="C239" s="58" t="n"/>
      <c r="D239" s="58" t="n"/>
      <c r="E239" s="64">
        <f>IF(tblCommentary[[#This Row],[Date]]="","",COUNTIFS(INDEX(tblCommentary[Date],1):tblCommentary[[#This Row],[Date]],tblCommentary[[#This Row],[Date]]))</f>
        <v/>
      </c>
      <c r="F239" s="63">
        <f>IF(tblCommentary[[#This Row],[Date]]="","",tblCommentary[[#This Row],[Date]]&amp;"|"&amp;tblCommentary[[#This Row],[Seq_Day]])</f>
        <v/>
      </c>
    </row>
    <row r="240">
      <c r="A240" s="54" t="n"/>
      <c r="B240" s="61" t="n"/>
      <c r="C240" s="58" t="n"/>
      <c r="D240" s="58" t="n"/>
      <c r="E240" s="64">
        <f>IF(tblCommentary[[#This Row],[Date]]="","",COUNTIFS(INDEX(tblCommentary[Date],1):tblCommentary[[#This Row],[Date]],tblCommentary[[#This Row],[Date]]))</f>
        <v/>
      </c>
      <c r="F240" s="63">
        <f>IF(tblCommentary[[#This Row],[Date]]="","",tblCommentary[[#This Row],[Date]]&amp;"|"&amp;tblCommentary[[#This Row],[Seq_Day]])</f>
        <v/>
      </c>
    </row>
    <row r="241">
      <c r="A241" s="54" t="n"/>
      <c r="B241" s="61" t="n"/>
      <c r="C241" s="58" t="n"/>
      <c r="D241" s="58" t="n"/>
      <c r="E241" s="64">
        <f>IF(tblCommentary[[#This Row],[Date]]="","",COUNTIFS(INDEX(tblCommentary[Date],1):tblCommentary[[#This Row],[Date]],tblCommentary[[#This Row],[Date]]))</f>
        <v/>
      </c>
      <c r="F241" s="63">
        <f>IF(tblCommentary[[#This Row],[Date]]="","",tblCommentary[[#This Row],[Date]]&amp;"|"&amp;tblCommentary[[#This Row],[Seq_Day]])</f>
        <v/>
      </c>
    </row>
    <row r="242">
      <c r="A242" s="54" t="n"/>
      <c r="B242" s="61" t="n"/>
      <c r="C242" s="58" t="n"/>
      <c r="D242" s="58" t="n"/>
      <c r="E242" s="64">
        <f>IF(tblCommentary[[#This Row],[Date]]="","",COUNTIFS(INDEX(tblCommentary[Date],1):tblCommentary[[#This Row],[Date]],tblCommentary[[#This Row],[Date]]))</f>
        <v/>
      </c>
      <c r="F242" s="63">
        <f>IF(tblCommentary[[#This Row],[Date]]="","",tblCommentary[[#This Row],[Date]]&amp;"|"&amp;tblCommentary[[#This Row],[Seq_Day]])</f>
        <v/>
      </c>
    </row>
    <row r="243">
      <c r="A243" s="54" t="n"/>
      <c r="B243" s="61" t="n"/>
      <c r="C243" s="58" t="n"/>
      <c r="D243" s="58" t="n"/>
      <c r="E243" s="64">
        <f>IF(tblCommentary[[#This Row],[Date]]="","",COUNTIFS(INDEX(tblCommentary[Date],1):tblCommentary[[#This Row],[Date]],tblCommentary[[#This Row],[Date]]))</f>
        <v/>
      </c>
      <c r="F243" s="63">
        <f>IF(tblCommentary[[#This Row],[Date]]="","",tblCommentary[[#This Row],[Date]]&amp;"|"&amp;tblCommentary[[#This Row],[Seq_Day]])</f>
        <v/>
      </c>
    </row>
    <row r="244">
      <c r="A244" s="54" t="n"/>
      <c r="B244" s="61" t="n"/>
      <c r="C244" s="58" t="n"/>
      <c r="D244" s="58" t="n"/>
      <c r="E244" s="64">
        <f>IF(tblCommentary[[#This Row],[Date]]="","",COUNTIFS(INDEX(tblCommentary[Date],1):tblCommentary[[#This Row],[Date]],tblCommentary[[#This Row],[Date]]))</f>
        <v/>
      </c>
      <c r="F244" s="63">
        <f>IF(tblCommentary[[#This Row],[Date]]="","",tblCommentary[[#This Row],[Date]]&amp;"|"&amp;tblCommentary[[#This Row],[Seq_Day]])</f>
        <v/>
      </c>
    </row>
    <row r="245">
      <c r="A245" s="54" t="n"/>
      <c r="B245" s="61" t="n"/>
      <c r="C245" s="58" t="n"/>
      <c r="D245" s="58" t="n"/>
      <c r="E245" s="64">
        <f>IF(tblCommentary[[#This Row],[Date]]="","",COUNTIFS(INDEX(tblCommentary[Date],1):tblCommentary[[#This Row],[Date]],tblCommentary[[#This Row],[Date]]))</f>
        <v/>
      </c>
      <c r="F245" s="63">
        <f>IF(tblCommentary[[#This Row],[Date]]="","",tblCommentary[[#This Row],[Date]]&amp;"|"&amp;tblCommentary[[#This Row],[Seq_Day]])</f>
        <v/>
      </c>
    </row>
    <row r="246">
      <c r="A246" s="54" t="n"/>
      <c r="B246" s="61" t="n"/>
      <c r="C246" s="58" t="n"/>
      <c r="D246" s="58" t="n"/>
      <c r="E246" s="64">
        <f>IF(tblCommentary[[#This Row],[Date]]="","",COUNTIFS(INDEX(tblCommentary[Date],1):tblCommentary[[#This Row],[Date]],tblCommentary[[#This Row],[Date]]))</f>
        <v/>
      </c>
      <c r="F246" s="63">
        <f>IF(tblCommentary[[#This Row],[Date]]="","",tblCommentary[[#This Row],[Date]]&amp;"|"&amp;tblCommentary[[#This Row],[Seq_Day]])</f>
        <v/>
      </c>
    </row>
    <row r="247">
      <c r="A247" s="54" t="n"/>
      <c r="B247" s="61" t="n"/>
      <c r="C247" s="58" t="n"/>
      <c r="D247" s="58" t="n"/>
      <c r="E247" s="64">
        <f>IF(tblCommentary[[#This Row],[Date]]="","",COUNTIFS(INDEX(tblCommentary[Date],1):tblCommentary[[#This Row],[Date]],tblCommentary[[#This Row],[Date]]))</f>
        <v/>
      </c>
      <c r="F247" s="63">
        <f>IF(tblCommentary[[#This Row],[Date]]="","",tblCommentary[[#This Row],[Date]]&amp;"|"&amp;tblCommentary[[#This Row],[Seq_Day]])</f>
        <v/>
      </c>
    </row>
    <row r="248">
      <c r="A248" s="54" t="n"/>
      <c r="B248" s="61" t="n"/>
      <c r="C248" s="58" t="n"/>
      <c r="D248" s="58" t="n"/>
      <c r="E248" s="64">
        <f>IF(tblCommentary[[#This Row],[Date]]="","",COUNTIFS(INDEX(tblCommentary[Date],1):tblCommentary[[#This Row],[Date]],tblCommentary[[#This Row],[Date]]))</f>
        <v/>
      </c>
      <c r="F248" s="63">
        <f>IF(tblCommentary[[#This Row],[Date]]="","",tblCommentary[[#This Row],[Date]]&amp;"|"&amp;tblCommentary[[#This Row],[Seq_Day]])</f>
        <v/>
      </c>
    </row>
    <row r="249">
      <c r="A249" s="54" t="n"/>
      <c r="B249" s="61" t="n"/>
      <c r="C249" s="58" t="n"/>
      <c r="D249" s="58" t="n"/>
      <c r="E249" s="64">
        <f>IF(tblCommentary[[#This Row],[Date]]="","",COUNTIFS(INDEX(tblCommentary[Date],1):tblCommentary[[#This Row],[Date]],tblCommentary[[#This Row],[Date]]))</f>
        <v/>
      </c>
      <c r="F249" s="63">
        <f>IF(tblCommentary[[#This Row],[Date]]="","",tblCommentary[[#This Row],[Date]]&amp;"|"&amp;tblCommentary[[#This Row],[Seq_Day]])</f>
        <v/>
      </c>
    </row>
    <row r="250">
      <c r="A250" s="54" t="n"/>
      <c r="B250" s="61" t="n"/>
      <c r="C250" s="58" t="n"/>
      <c r="D250" s="58" t="n"/>
      <c r="E250" s="64">
        <f>IF(tblCommentary[[#This Row],[Date]]="","",COUNTIFS(INDEX(tblCommentary[Date],1):tblCommentary[[#This Row],[Date]],tblCommentary[[#This Row],[Date]]))</f>
        <v/>
      </c>
      <c r="F250" s="63">
        <f>IF(tblCommentary[[#This Row],[Date]]="","",tblCommentary[[#This Row],[Date]]&amp;"|"&amp;tblCommentary[[#This Row],[Seq_Day]])</f>
        <v/>
      </c>
    </row>
    <row r="251">
      <c r="A251" s="54" t="n"/>
      <c r="B251" s="61" t="n"/>
      <c r="C251" s="58" t="n"/>
      <c r="D251" s="58" t="n"/>
      <c r="E251" s="64">
        <f>IF(tblCommentary[[#This Row],[Date]]="","",COUNTIFS(INDEX(tblCommentary[Date],1):tblCommentary[[#This Row],[Date]],tblCommentary[[#This Row],[Date]]))</f>
        <v/>
      </c>
      <c r="F251" s="63">
        <f>IF(tblCommentary[[#This Row],[Date]]="","",tblCommentary[[#This Row],[Date]]&amp;"|"&amp;tblCommentary[[#This Row],[Seq_Day]])</f>
        <v/>
      </c>
    </row>
    <row r="252">
      <c r="A252" s="54" t="n"/>
      <c r="B252" s="61" t="n"/>
      <c r="C252" s="58" t="n"/>
      <c r="D252" s="58" t="n"/>
      <c r="E252" s="64">
        <f>IF(tblCommentary[[#This Row],[Date]]="","",COUNTIFS(INDEX(tblCommentary[Date],1):tblCommentary[[#This Row],[Date]],tblCommentary[[#This Row],[Date]]))</f>
        <v/>
      </c>
      <c r="F252" s="63">
        <f>IF(tblCommentary[[#This Row],[Date]]="","",tblCommentary[[#This Row],[Date]]&amp;"|"&amp;tblCommentary[[#This Row],[Seq_Day]])</f>
        <v/>
      </c>
    </row>
    <row r="253">
      <c r="A253" s="54" t="n"/>
      <c r="B253" s="61" t="n"/>
      <c r="C253" s="58" t="n"/>
      <c r="D253" s="58" t="n"/>
      <c r="E253" s="64">
        <f>IF(tblCommentary[[#This Row],[Date]]="","",COUNTIFS(INDEX(tblCommentary[Date],1):tblCommentary[[#This Row],[Date]],tblCommentary[[#This Row],[Date]]))</f>
        <v/>
      </c>
      <c r="F253" s="63">
        <f>IF(tblCommentary[[#This Row],[Date]]="","",tblCommentary[[#This Row],[Date]]&amp;"|"&amp;tblCommentary[[#This Row],[Seq_Day]])</f>
        <v/>
      </c>
    </row>
    <row r="254">
      <c r="A254" s="54" t="n"/>
      <c r="B254" s="61" t="n"/>
      <c r="C254" s="58" t="n"/>
      <c r="D254" s="58" t="n"/>
      <c r="E254" s="64">
        <f>IF(tblCommentary[[#This Row],[Date]]="","",COUNTIFS(INDEX(tblCommentary[Date],1):tblCommentary[[#This Row],[Date]],tblCommentary[[#This Row],[Date]]))</f>
        <v/>
      </c>
      <c r="F254" s="63">
        <f>IF(tblCommentary[[#This Row],[Date]]="","",tblCommentary[[#This Row],[Date]]&amp;"|"&amp;tblCommentary[[#This Row],[Seq_Day]])</f>
        <v/>
      </c>
    </row>
    <row r="255">
      <c r="A255" s="54" t="n"/>
      <c r="B255" s="61" t="n"/>
      <c r="C255" s="58" t="n"/>
      <c r="D255" s="58" t="n"/>
      <c r="E255" s="64">
        <f>IF(tblCommentary[[#This Row],[Date]]="","",COUNTIFS(INDEX(tblCommentary[Date],1):tblCommentary[[#This Row],[Date]],tblCommentary[[#This Row],[Date]]))</f>
        <v/>
      </c>
      <c r="F255" s="63">
        <f>IF(tblCommentary[[#This Row],[Date]]="","",tblCommentary[[#This Row],[Date]]&amp;"|"&amp;tblCommentary[[#This Row],[Seq_Day]])</f>
        <v/>
      </c>
    </row>
    <row r="256">
      <c r="A256" s="54" t="n"/>
      <c r="B256" s="61" t="n"/>
      <c r="C256" s="58" t="n"/>
      <c r="D256" s="58" t="n"/>
      <c r="E256" s="64">
        <f>IF(tblCommentary[[#This Row],[Date]]="","",COUNTIFS(INDEX(tblCommentary[Date],1):tblCommentary[[#This Row],[Date]],tblCommentary[[#This Row],[Date]]))</f>
        <v/>
      </c>
      <c r="F256" s="63">
        <f>IF(tblCommentary[[#This Row],[Date]]="","",tblCommentary[[#This Row],[Date]]&amp;"|"&amp;tblCommentary[[#This Row],[Seq_Day]])</f>
        <v/>
      </c>
    </row>
    <row r="257">
      <c r="A257" s="54" t="n"/>
      <c r="B257" s="61" t="n"/>
      <c r="C257" s="58" t="n"/>
      <c r="D257" s="58" t="n"/>
      <c r="E257" s="64">
        <f>IF(tblCommentary[[#This Row],[Date]]="","",COUNTIFS(INDEX(tblCommentary[Date],1):tblCommentary[[#This Row],[Date]],tblCommentary[[#This Row],[Date]]))</f>
        <v/>
      </c>
      <c r="F257" s="63">
        <f>IF(tblCommentary[[#This Row],[Date]]="","",tblCommentary[[#This Row],[Date]]&amp;"|"&amp;tblCommentary[[#This Row],[Seq_Day]])</f>
        <v/>
      </c>
    </row>
    <row r="258">
      <c r="A258" s="54" t="n"/>
      <c r="B258" s="61" t="n"/>
      <c r="C258" s="58" t="n"/>
      <c r="D258" s="58" t="n"/>
      <c r="E258" s="64">
        <f>IF(tblCommentary[[#This Row],[Date]]="","",COUNTIFS(INDEX(tblCommentary[Date],1):tblCommentary[[#This Row],[Date]],tblCommentary[[#This Row],[Date]]))</f>
        <v/>
      </c>
      <c r="F258" s="63">
        <f>IF(tblCommentary[[#This Row],[Date]]="","",tblCommentary[[#This Row],[Date]]&amp;"|"&amp;tblCommentary[[#This Row],[Seq_Day]])</f>
        <v/>
      </c>
    </row>
    <row r="259">
      <c r="A259" s="54" t="n"/>
      <c r="B259" s="61" t="n"/>
      <c r="C259" s="58" t="n"/>
      <c r="D259" s="58" t="n"/>
      <c r="E259" s="64">
        <f>IF(tblCommentary[[#This Row],[Date]]="","",COUNTIFS(INDEX(tblCommentary[Date],1):tblCommentary[[#This Row],[Date]],tblCommentary[[#This Row],[Date]]))</f>
        <v/>
      </c>
      <c r="F259" s="63">
        <f>IF(tblCommentary[[#This Row],[Date]]="","",tblCommentary[[#This Row],[Date]]&amp;"|"&amp;tblCommentary[[#This Row],[Seq_Day]])</f>
        <v/>
      </c>
    </row>
    <row r="260">
      <c r="A260" s="54" t="n"/>
      <c r="B260" s="61" t="n"/>
      <c r="C260" s="58" t="n"/>
      <c r="D260" s="58" t="n"/>
      <c r="E260" s="64">
        <f>IF(tblCommentary[[#This Row],[Date]]="","",COUNTIFS(INDEX(tblCommentary[Date],1):tblCommentary[[#This Row],[Date]],tblCommentary[[#This Row],[Date]]))</f>
        <v/>
      </c>
      <c r="F260" s="63">
        <f>IF(tblCommentary[[#This Row],[Date]]="","",tblCommentary[[#This Row],[Date]]&amp;"|"&amp;tblCommentary[[#This Row],[Seq_Day]])</f>
        <v/>
      </c>
    </row>
    <row r="261">
      <c r="A261" s="54" t="n"/>
      <c r="B261" s="61" t="n"/>
      <c r="C261" s="58" t="n"/>
      <c r="D261" s="58" t="n"/>
      <c r="E261" s="64">
        <f>IF(tblCommentary[[#This Row],[Date]]="","",COUNTIFS(INDEX(tblCommentary[Date],1):tblCommentary[[#This Row],[Date]],tblCommentary[[#This Row],[Date]]))</f>
        <v/>
      </c>
      <c r="F261" s="63">
        <f>IF(tblCommentary[[#This Row],[Date]]="","",tblCommentary[[#This Row],[Date]]&amp;"|"&amp;tblCommentary[[#This Row],[Seq_Day]])</f>
        <v/>
      </c>
    </row>
    <row r="262">
      <c r="A262" s="54" t="n"/>
      <c r="B262" s="61" t="n"/>
      <c r="C262" s="58" t="n"/>
      <c r="D262" s="58" t="n"/>
      <c r="E262" s="64">
        <f>IF(tblCommentary[[#This Row],[Date]]="","",COUNTIFS(INDEX(tblCommentary[Date],1):tblCommentary[[#This Row],[Date]],tblCommentary[[#This Row],[Date]]))</f>
        <v/>
      </c>
      <c r="F262" s="63">
        <f>IF(tblCommentary[[#This Row],[Date]]="","",tblCommentary[[#This Row],[Date]]&amp;"|"&amp;tblCommentary[[#This Row],[Seq_Day]])</f>
        <v/>
      </c>
    </row>
    <row r="263">
      <c r="A263" s="54" t="n"/>
      <c r="B263" s="61" t="n"/>
      <c r="C263" s="58" t="n"/>
      <c r="D263" s="58" t="n"/>
      <c r="E263" s="64">
        <f>IF(tblCommentary[[#This Row],[Date]]="","",COUNTIFS(INDEX(tblCommentary[Date],1):tblCommentary[[#This Row],[Date]],tblCommentary[[#This Row],[Date]]))</f>
        <v/>
      </c>
      <c r="F263" s="63">
        <f>IF(tblCommentary[[#This Row],[Date]]="","",tblCommentary[[#This Row],[Date]]&amp;"|"&amp;tblCommentary[[#This Row],[Seq_Day]])</f>
        <v/>
      </c>
    </row>
    <row r="264">
      <c r="A264" s="54" t="n"/>
      <c r="B264" s="61" t="n"/>
      <c r="C264" s="58" t="n"/>
      <c r="D264" s="58" t="n"/>
      <c r="E264" s="64">
        <f>IF(tblCommentary[[#This Row],[Date]]="","",COUNTIFS(INDEX(tblCommentary[Date],1):tblCommentary[[#This Row],[Date]],tblCommentary[[#This Row],[Date]]))</f>
        <v/>
      </c>
      <c r="F264" s="63">
        <f>IF(tblCommentary[[#This Row],[Date]]="","",tblCommentary[[#This Row],[Date]]&amp;"|"&amp;tblCommentary[[#This Row],[Seq_Day]])</f>
        <v/>
      </c>
    </row>
    <row r="265">
      <c r="A265" s="54" t="n"/>
      <c r="B265" s="61" t="n"/>
      <c r="C265" s="58" t="n"/>
      <c r="D265" s="58" t="n"/>
      <c r="E265" s="64">
        <f>IF(tblCommentary[[#This Row],[Date]]="","",COUNTIFS(INDEX(tblCommentary[Date],1):tblCommentary[[#This Row],[Date]],tblCommentary[[#This Row],[Date]]))</f>
        <v/>
      </c>
      <c r="F265" s="63">
        <f>IF(tblCommentary[[#This Row],[Date]]="","",tblCommentary[[#This Row],[Date]]&amp;"|"&amp;tblCommentary[[#This Row],[Seq_Day]])</f>
        <v/>
      </c>
    </row>
    <row r="266">
      <c r="A266" s="54" t="n"/>
      <c r="B266" s="61" t="n"/>
      <c r="C266" s="58" t="n"/>
      <c r="D266" s="58" t="n"/>
      <c r="E266" s="64">
        <f>IF(tblCommentary[[#This Row],[Date]]="","",COUNTIFS(INDEX(tblCommentary[Date],1):tblCommentary[[#This Row],[Date]],tblCommentary[[#This Row],[Date]]))</f>
        <v/>
      </c>
      <c r="F266" s="63">
        <f>IF(tblCommentary[[#This Row],[Date]]="","",tblCommentary[[#This Row],[Date]]&amp;"|"&amp;tblCommentary[[#This Row],[Seq_Day]])</f>
        <v/>
      </c>
    </row>
    <row r="267">
      <c r="A267" s="54" t="n"/>
      <c r="B267" s="61" t="n"/>
      <c r="C267" s="58" t="n"/>
      <c r="D267" s="58" t="n"/>
      <c r="E267" s="64">
        <f>IF(tblCommentary[[#This Row],[Date]]="","",COUNTIFS(INDEX(tblCommentary[Date],1):tblCommentary[[#This Row],[Date]],tblCommentary[[#This Row],[Date]]))</f>
        <v/>
      </c>
      <c r="F267" s="63">
        <f>IF(tblCommentary[[#This Row],[Date]]="","",tblCommentary[[#This Row],[Date]]&amp;"|"&amp;tblCommentary[[#This Row],[Seq_Day]])</f>
        <v/>
      </c>
    </row>
    <row r="268">
      <c r="A268" s="54" t="n"/>
      <c r="B268" s="61" t="n"/>
      <c r="C268" s="58" t="n"/>
      <c r="D268" s="58" t="n"/>
      <c r="E268" s="64">
        <f>IF(tblCommentary[[#This Row],[Date]]="","",COUNTIFS(INDEX(tblCommentary[Date],1):tblCommentary[[#This Row],[Date]],tblCommentary[[#This Row],[Date]]))</f>
        <v/>
      </c>
      <c r="F268" s="63">
        <f>IF(tblCommentary[[#This Row],[Date]]="","",tblCommentary[[#This Row],[Date]]&amp;"|"&amp;tblCommentary[[#This Row],[Seq_Day]])</f>
        <v/>
      </c>
    </row>
    <row r="269">
      <c r="A269" s="54" t="n"/>
      <c r="B269" s="61" t="n"/>
      <c r="C269" s="58" t="n"/>
      <c r="D269" s="58" t="n"/>
      <c r="E269" s="64">
        <f>IF(tblCommentary[[#This Row],[Date]]="","",COUNTIFS(INDEX(tblCommentary[Date],1):tblCommentary[[#This Row],[Date]],tblCommentary[[#This Row],[Date]]))</f>
        <v/>
      </c>
      <c r="F269" s="63">
        <f>IF(tblCommentary[[#This Row],[Date]]="","",tblCommentary[[#This Row],[Date]]&amp;"|"&amp;tblCommentary[[#This Row],[Seq_Day]])</f>
        <v/>
      </c>
    </row>
    <row r="270">
      <c r="A270" s="54" t="n"/>
      <c r="B270" s="61" t="n"/>
      <c r="C270" s="58" t="n"/>
      <c r="D270" s="58" t="n"/>
      <c r="E270" s="64">
        <f>IF(tblCommentary[[#This Row],[Date]]="","",COUNTIFS(INDEX(tblCommentary[Date],1):tblCommentary[[#This Row],[Date]],tblCommentary[[#This Row],[Date]]))</f>
        <v/>
      </c>
      <c r="F270" s="63">
        <f>IF(tblCommentary[[#This Row],[Date]]="","",tblCommentary[[#This Row],[Date]]&amp;"|"&amp;tblCommentary[[#This Row],[Seq_Day]])</f>
        <v/>
      </c>
    </row>
    <row r="271">
      <c r="A271" s="54" t="n"/>
      <c r="B271" s="61" t="n"/>
      <c r="C271" s="58" t="n"/>
      <c r="D271" s="58" t="n"/>
      <c r="E271" s="64">
        <f>IF(tblCommentary[[#This Row],[Date]]="","",COUNTIFS(INDEX(tblCommentary[Date],1):tblCommentary[[#This Row],[Date]],tblCommentary[[#This Row],[Date]]))</f>
        <v/>
      </c>
      <c r="F271" s="63">
        <f>IF(tblCommentary[[#This Row],[Date]]="","",tblCommentary[[#This Row],[Date]]&amp;"|"&amp;tblCommentary[[#This Row],[Seq_Day]])</f>
        <v/>
      </c>
    </row>
    <row r="272">
      <c r="A272" s="54" t="n"/>
      <c r="B272" s="61" t="n"/>
      <c r="C272" s="58" t="n"/>
      <c r="D272" s="58" t="n"/>
      <c r="E272" s="64">
        <f>IF(tblCommentary[[#This Row],[Date]]="","",COUNTIFS(INDEX(tblCommentary[Date],1):tblCommentary[[#This Row],[Date]],tblCommentary[[#This Row],[Date]]))</f>
        <v/>
      </c>
      <c r="F272" s="63">
        <f>IF(tblCommentary[[#This Row],[Date]]="","",tblCommentary[[#This Row],[Date]]&amp;"|"&amp;tblCommentary[[#This Row],[Seq_Day]])</f>
        <v/>
      </c>
    </row>
    <row r="273">
      <c r="A273" s="54" t="n"/>
      <c r="B273" s="61" t="n"/>
      <c r="C273" s="58" t="n"/>
      <c r="D273" s="58" t="n"/>
      <c r="E273" s="64">
        <f>IF(tblCommentary[[#This Row],[Date]]="","",COUNTIFS(INDEX(tblCommentary[Date],1):tblCommentary[[#This Row],[Date]],tblCommentary[[#This Row],[Date]]))</f>
        <v/>
      </c>
      <c r="F273" s="63">
        <f>IF(tblCommentary[[#This Row],[Date]]="","",tblCommentary[[#This Row],[Date]]&amp;"|"&amp;tblCommentary[[#This Row],[Seq_Day]])</f>
        <v/>
      </c>
    </row>
    <row r="274">
      <c r="A274" s="54" t="n"/>
      <c r="B274" s="61" t="n"/>
      <c r="C274" s="58" t="n"/>
      <c r="D274" s="58" t="n"/>
      <c r="E274" s="64">
        <f>IF(tblCommentary[[#This Row],[Date]]="","",COUNTIFS(INDEX(tblCommentary[Date],1):tblCommentary[[#This Row],[Date]],tblCommentary[[#This Row],[Date]]))</f>
        <v/>
      </c>
      <c r="F274" s="63">
        <f>IF(tblCommentary[[#This Row],[Date]]="","",tblCommentary[[#This Row],[Date]]&amp;"|"&amp;tblCommentary[[#This Row],[Seq_Day]])</f>
        <v/>
      </c>
    </row>
    <row r="275">
      <c r="A275" s="54" t="n"/>
      <c r="B275" s="61" t="n"/>
      <c r="C275" s="58" t="n"/>
      <c r="D275" s="58" t="n"/>
      <c r="E275" s="64">
        <f>IF(tblCommentary[[#This Row],[Date]]="","",COUNTIFS(INDEX(tblCommentary[Date],1):tblCommentary[[#This Row],[Date]],tblCommentary[[#This Row],[Date]]))</f>
        <v/>
      </c>
      <c r="F275" s="63">
        <f>IF(tblCommentary[[#This Row],[Date]]="","",tblCommentary[[#This Row],[Date]]&amp;"|"&amp;tblCommentary[[#This Row],[Seq_Day]])</f>
        <v/>
      </c>
    </row>
    <row r="276">
      <c r="A276" s="54" t="n"/>
      <c r="B276" s="61" t="n"/>
      <c r="C276" s="58" t="n"/>
      <c r="D276" s="58" t="n"/>
      <c r="E276" s="64">
        <f>IF(tblCommentary[[#This Row],[Date]]="","",COUNTIFS(INDEX(tblCommentary[Date],1):tblCommentary[[#This Row],[Date]],tblCommentary[[#This Row],[Date]]))</f>
        <v/>
      </c>
      <c r="F276" s="63">
        <f>IF(tblCommentary[[#This Row],[Date]]="","",tblCommentary[[#This Row],[Date]]&amp;"|"&amp;tblCommentary[[#This Row],[Seq_Day]])</f>
        <v/>
      </c>
    </row>
    <row r="277">
      <c r="A277" s="54" t="n"/>
      <c r="B277" s="61" t="n"/>
      <c r="C277" s="58" t="n"/>
      <c r="D277" s="58" t="n"/>
      <c r="E277" s="64">
        <f>IF(tblCommentary[[#This Row],[Date]]="","",COUNTIFS(INDEX(tblCommentary[Date],1):tblCommentary[[#This Row],[Date]],tblCommentary[[#This Row],[Date]]))</f>
        <v/>
      </c>
      <c r="F277" s="63">
        <f>IF(tblCommentary[[#This Row],[Date]]="","",tblCommentary[[#This Row],[Date]]&amp;"|"&amp;tblCommentary[[#This Row],[Seq_Day]])</f>
        <v/>
      </c>
    </row>
    <row r="278">
      <c r="A278" s="54" t="n"/>
      <c r="B278" s="61" t="n"/>
      <c r="C278" s="58" t="n"/>
      <c r="D278" s="58" t="n"/>
      <c r="E278" s="64">
        <f>IF(tblCommentary[[#This Row],[Date]]="","",COUNTIFS(INDEX(tblCommentary[Date],1):tblCommentary[[#This Row],[Date]],tblCommentary[[#This Row],[Date]]))</f>
        <v/>
      </c>
      <c r="F278" s="63">
        <f>IF(tblCommentary[[#This Row],[Date]]="","",tblCommentary[[#This Row],[Date]]&amp;"|"&amp;tblCommentary[[#This Row],[Seq_Day]])</f>
        <v/>
      </c>
    </row>
    <row r="279">
      <c r="A279" s="54" t="n"/>
      <c r="B279" s="61" t="n"/>
      <c r="C279" s="58" t="n"/>
      <c r="D279" s="58" t="n"/>
      <c r="E279" s="64">
        <f>IF(tblCommentary[[#This Row],[Date]]="","",COUNTIFS(INDEX(tblCommentary[Date],1):tblCommentary[[#This Row],[Date]],tblCommentary[[#This Row],[Date]]))</f>
        <v/>
      </c>
      <c r="F279" s="63">
        <f>IF(tblCommentary[[#This Row],[Date]]="","",tblCommentary[[#This Row],[Date]]&amp;"|"&amp;tblCommentary[[#This Row],[Seq_Day]])</f>
        <v/>
      </c>
    </row>
    <row r="280">
      <c r="A280" s="54" t="n"/>
      <c r="B280" s="61" t="n"/>
      <c r="C280" s="58" t="n"/>
      <c r="D280" s="58" t="n"/>
      <c r="E280" s="64">
        <f>IF(tblCommentary[[#This Row],[Date]]="","",COUNTIFS(INDEX(tblCommentary[Date],1):tblCommentary[[#This Row],[Date]],tblCommentary[[#This Row],[Date]]))</f>
        <v/>
      </c>
      <c r="F280" s="63">
        <f>IF(tblCommentary[[#This Row],[Date]]="","",tblCommentary[[#This Row],[Date]]&amp;"|"&amp;tblCommentary[[#This Row],[Seq_Day]])</f>
        <v/>
      </c>
    </row>
    <row r="281">
      <c r="A281" s="54" t="n"/>
      <c r="B281" s="61" t="n"/>
      <c r="C281" s="58" t="n"/>
      <c r="D281" s="58" t="n"/>
      <c r="E281" s="64">
        <f>IF(tblCommentary[[#This Row],[Date]]="","",COUNTIFS(INDEX(tblCommentary[Date],1):tblCommentary[[#This Row],[Date]],tblCommentary[[#This Row],[Date]]))</f>
        <v/>
      </c>
      <c r="F281" s="63">
        <f>IF(tblCommentary[[#This Row],[Date]]="","",tblCommentary[[#This Row],[Date]]&amp;"|"&amp;tblCommentary[[#This Row],[Seq_Day]])</f>
        <v/>
      </c>
    </row>
    <row r="282">
      <c r="A282" s="54" t="n"/>
      <c r="B282" s="61" t="n"/>
      <c r="C282" s="58" t="n"/>
      <c r="D282" s="58" t="n"/>
      <c r="E282" s="64">
        <f>IF(tblCommentary[[#This Row],[Date]]="","",COUNTIFS(INDEX(tblCommentary[Date],1):tblCommentary[[#This Row],[Date]],tblCommentary[[#This Row],[Date]]))</f>
        <v/>
      </c>
      <c r="F282" s="63">
        <f>IF(tblCommentary[[#This Row],[Date]]="","",tblCommentary[[#This Row],[Date]]&amp;"|"&amp;tblCommentary[[#This Row],[Seq_Day]])</f>
        <v/>
      </c>
    </row>
    <row r="283">
      <c r="A283" s="54" t="n"/>
      <c r="B283" s="61" t="n"/>
      <c r="C283" s="58" t="n"/>
      <c r="D283" s="58" t="n"/>
      <c r="E283" s="64">
        <f>IF(tblCommentary[[#This Row],[Date]]="","",COUNTIFS(INDEX(tblCommentary[Date],1):tblCommentary[[#This Row],[Date]],tblCommentary[[#This Row],[Date]]))</f>
        <v/>
      </c>
      <c r="F283" s="63">
        <f>IF(tblCommentary[[#This Row],[Date]]="","",tblCommentary[[#This Row],[Date]]&amp;"|"&amp;tblCommentary[[#This Row],[Seq_Day]])</f>
        <v/>
      </c>
    </row>
    <row r="284">
      <c r="A284" s="54" t="n"/>
      <c r="B284" s="61" t="n"/>
      <c r="C284" s="58" t="n"/>
      <c r="D284" s="58" t="n"/>
      <c r="E284" s="64">
        <f>IF(tblCommentary[[#This Row],[Date]]="","",COUNTIFS(INDEX(tblCommentary[Date],1):tblCommentary[[#This Row],[Date]],tblCommentary[[#This Row],[Date]]))</f>
        <v/>
      </c>
      <c r="F284" s="63">
        <f>IF(tblCommentary[[#This Row],[Date]]="","",tblCommentary[[#This Row],[Date]]&amp;"|"&amp;tblCommentary[[#This Row],[Seq_Day]])</f>
        <v/>
      </c>
    </row>
    <row r="285">
      <c r="A285" s="54" t="n"/>
      <c r="B285" s="61" t="n"/>
      <c r="C285" s="58" t="n"/>
      <c r="D285" s="58" t="n"/>
      <c r="E285" s="64">
        <f>IF(tblCommentary[[#This Row],[Date]]="","",COUNTIFS(INDEX(tblCommentary[Date],1):tblCommentary[[#This Row],[Date]],tblCommentary[[#This Row],[Date]]))</f>
        <v/>
      </c>
      <c r="F285" s="63">
        <f>IF(tblCommentary[[#This Row],[Date]]="","",tblCommentary[[#This Row],[Date]]&amp;"|"&amp;tblCommentary[[#This Row],[Seq_Day]])</f>
        <v/>
      </c>
    </row>
    <row r="286">
      <c r="A286" s="54" t="n"/>
      <c r="B286" s="61" t="n"/>
      <c r="C286" s="58" t="n"/>
      <c r="D286" s="58" t="n"/>
      <c r="E286" s="64">
        <f>IF(tblCommentary[[#This Row],[Date]]="","",COUNTIFS(INDEX(tblCommentary[Date],1):tblCommentary[[#This Row],[Date]],tblCommentary[[#This Row],[Date]]))</f>
        <v/>
      </c>
      <c r="F286" s="63">
        <f>IF(tblCommentary[[#This Row],[Date]]="","",tblCommentary[[#This Row],[Date]]&amp;"|"&amp;tblCommentary[[#This Row],[Seq_Day]])</f>
        <v/>
      </c>
    </row>
    <row r="287">
      <c r="A287" s="54" t="n"/>
      <c r="B287" s="61" t="n"/>
      <c r="C287" s="58" t="n"/>
      <c r="D287" s="58" t="n"/>
      <c r="E287" s="64">
        <f>IF(tblCommentary[[#This Row],[Date]]="","",COUNTIFS(INDEX(tblCommentary[Date],1):tblCommentary[[#This Row],[Date]],tblCommentary[[#This Row],[Date]]))</f>
        <v/>
      </c>
      <c r="F287" s="63">
        <f>IF(tblCommentary[[#This Row],[Date]]="","",tblCommentary[[#This Row],[Date]]&amp;"|"&amp;tblCommentary[[#This Row],[Seq_Day]])</f>
        <v/>
      </c>
    </row>
    <row r="288">
      <c r="A288" s="54" t="n"/>
      <c r="B288" s="61" t="n"/>
      <c r="C288" s="58" t="n"/>
      <c r="D288" s="58" t="n"/>
      <c r="E288" s="64">
        <f>IF(tblCommentary[[#This Row],[Date]]="","",COUNTIFS(INDEX(tblCommentary[Date],1):tblCommentary[[#This Row],[Date]],tblCommentary[[#This Row],[Date]]))</f>
        <v/>
      </c>
      <c r="F288" s="63">
        <f>IF(tblCommentary[[#This Row],[Date]]="","",tblCommentary[[#This Row],[Date]]&amp;"|"&amp;tblCommentary[[#This Row],[Seq_Day]])</f>
        <v/>
      </c>
    </row>
    <row r="289">
      <c r="A289" s="54" t="n"/>
      <c r="B289" s="61" t="n"/>
      <c r="C289" s="58" t="n"/>
      <c r="D289" s="58" t="n"/>
      <c r="E289" s="64">
        <f>IF(tblCommentary[[#This Row],[Date]]="","",COUNTIFS(INDEX(tblCommentary[Date],1):tblCommentary[[#This Row],[Date]],tblCommentary[[#This Row],[Date]]))</f>
        <v/>
      </c>
      <c r="F289" s="63">
        <f>IF(tblCommentary[[#This Row],[Date]]="","",tblCommentary[[#This Row],[Date]]&amp;"|"&amp;tblCommentary[[#This Row],[Seq_Day]])</f>
        <v/>
      </c>
    </row>
    <row r="290">
      <c r="A290" s="54" t="n"/>
      <c r="B290" s="61" t="n"/>
      <c r="C290" s="58" t="n"/>
      <c r="D290" s="58" t="n"/>
      <c r="E290" s="64">
        <f>IF(tblCommentary[[#This Row],[Date]]="","",COUNTIFS(INDEX(tblCommentary[Date],1):tblCommentary[[#This Row],[Date]],tblCommentary[[#This Row],[Date]]))</f>
        <v/>
      </c>
      <c r="F290" s="63">
        <f>IF(tblCommentary[[#This Row],[Date]]="","",tblCommentary[[#This Row],[Date]]&amp;"|"&amp;tblCommentary[[#This Row],[Seq_Day]])</f>
        <v/>
      </c>
    </row>
    <row r="291">
      <c r="A291" s="54" t="n"/>
      <c r="B291" s="61" t="n"/>
      <c r="C291" s="58" t="n"/>
      <c r="D291" s="58" t="n"/>
      <c r="E291" s="64">
        <f>IF(tblCommentary[[#This Row],[Date]]="","",COUNTIFS(INDEX(tblCommentary[Date],1):tblCommentary[[#This Row],[Date]],tblCommentary[[#This Row],[Date]]))</f>
        <v/>
      </c>
      <c r="F291" s="63">
        <f>IF(tblCommentary[[#This Row],[Date]]="","",tblCommentary[[#This Row],[Date]]&amp;"|"&amp;tblCommentary[[#This Row],[Seq_Day]])</f>
        <v/>
      </c>
    </row>
    <row r="292">
      <c r="A292" s="54" t="n"/>
      <c r="B292" s="61" t="n"/>
      <c r="C292" s="58" t="n"/>
      <c r="D292" s="58" t="n"/>
      <c r="E292" s="64">
        <f>IF(tblCommentary[[#This Row],[Date]]="","",COUNTIFS(INDEX(tblCommentary[Date],1):tblCommentary[[#This Row],[Date]],tblCommentary[[#This Row],[Date]]))</f>
        <v/>
      </c>
      <c r="F292" s="63">
        <f>IF(tblCommentary[[#This Row],[Date]]="","",tblCommentary[[#This Row],[Date]]&amp;"|"&amp;tblCommentary[[#This Row],[Seq_Day]])</f>
        <v/>
      </c>
    </row>
    <row r="293">
      <c r="A293" s="54" t="n"/>
      <c r="B293" s="61" t="n"/>
      <c r="C293" s="58" t="n"/>
      <c r="D293" s="58" t="n"/>
      <c r="E293" s="64">
        <f>IF(tblCommentary[[#This Row],[Date]]="","",COUNTIFS(INDEX(tblCommentary[Date],1):tblCommentary[[#This Row],[Date]],tblCommentary[[#This Row],[Date]]))</f>
        <v/>
      </c>
      <c r="F293" s="63">
        <f>IF(tblCommentary[[#This Row],[Date]]="","",tblCommentary[[#This Row],[Date]]&amp;"|"&amp;tblCommentary[[#This Row],[Seq_Day]])</f>
        <v/>
      </c>
    </row>
    <row r="294">
      <c r="A294" s="54" t="n"/>
      <c r="B294" s="61" t="n"/>
      <c r="C294" s="58" t="n"/>
      <c r="D294" s="58" t="n"/>
      <c r="E294" s="64">
        <f>IF(tblCommentary[[#This Row],[Date]]="","",COUNTIFS(INDEX(tblCommentary[Date],1):tblCommentary[[#This Row],[Date]],tblCommentary[[#This Row],[Date]]))</f>
        <v/>
      </c>
      <c r="F294" s="63">
        <f>IF(tblCommentary[[#This Row],[Date]]="","",tblCommentary[[#This Row],[Date]]&amp;"|"&amp;tblCommentary[[#This Row],[Seq_Day]])</f>
        <v/>
      </c>
    </row>
    <row r="295">
      <c r="A295" s="54" t="n"/>
      <c r="B295" s="61" t="n"/>
      <c r="C295" s="58" t="n"/>
      <c r="D295" s="58" t="n"/>
      <c r="E295" s="64">
        <f>IF(tblCommentary[[#This Row],[Date]]="","",COUNTIFS(INDEX(tblCommentary[Date],1):tblCommentary[[#This Row],[Date]],tblCommentary[[#This Row],[Date]]))</f>
        <v/>
      </c>
      <c r="F295" s="63">
        <f>IF(tblCommentary[[#This Row],[Date]]="","",tblCommentary[[#This Row],[Date]]&amp;"|"&amp;tblCommentary[[#This Row],[Seq_Day]])</f>
        <v/>
      </c>
    </row>
    <row r="296">
      <c r="A296" s="54" t="n"/>
      <c r="B296" s="61" t="n"/>
      <c r="C296" s="58" t="n"/>
      <c r="D296" s="58" t="n"/>
      <c r="E296" s="64">
        <f>IF(tblCommentary[[#This Row],[Date]]="","",COUNTIFS(INDEX(tblCommentary[Date],1):tblCommentary[[#This Row],[Date]],tblCommentary[[#This Row],[Date]]))</f>
        <v/>
      </c>
      <c r="F296" s="63">
        <f>IF(tblCommentary[[#This Row],[Date]]="","",tblCommentary[[#This Row],[Date]]&amp;"|"&amp;tblCommentary[[#This Row],[Seq_Day]])</f>
        <v/>
      </c>
    </row>
    <row r="297">
      <c r="A297" s="54" t="n"/>
      <c r="B297" s="61" t="n"/>
      <c r="C297" s="58" t="n"/>
      <c r="D297" s="58" t="n"/>
      <c r="E297" s="64">
        <f>IF(tblCommentary[[#This Row],[Date]]="","",COUNTIFS(INDEX(tblCommentary[Date],1):tblCommentary[[#This Row],[Date]],tblCommentary[[#This Row],[Date]]))</f>
        <v/>
      </c>
      <c r="F297" s="63">
        <f>IF(tblCommentary[[#This Row],[Date]]="","",tblCommentary[[#This Row],[Date]]&amp;"|"&amp;tblCommentary[[#This Row],[Seq_Day]])</f>
        <v/>
      </c>
    </row>
    <row r="298">
      <c r="A298" s="54" t="n"/>
      <c r="B298" s="61" t="n"/>
      <c r="C298" s="58" t="n"/>
      <c r="D298" s="58" t="n"/>
      <c r="E298" s="64">
        <f>IF(tblCommentary[[#This Row],[Date]]="","",COUNTIFS(INDEX(tblCommentary[Date],1):tblCommentary[[#This Row],[Date]],tblCommentary[[#This Row],[Date]]))</f>
        <v/>
      </c>
      <c r="F298" s="63">
        <f>IF(tblCommentary[[#This Row],[Date]]="","",tblCommentary[[#This Row],[Date]]&amp;"|"&amp;tblCommentary[[#This Row],[Seq_Day]])</f>
        <v/>
      </c>
    </row>
    <row r="299">
      <c r="A299" s="54" t="n"/>
      <c r="B299" s="61" t="n"/>
      <c r="C299" s="58" t="n"/>
      <c r="D299" s="58" t="n"/>
      <c r="E299" s="64">
        <f>IF(tblCommentary[[#This Row],[Date]]="","",COUNTIFS(INDEX(tblCommentary[Date],1):tblCommentary[[#This Row],[Date]],tblCommentary[[#This Row],[Date]]))</f>
        <v/>
      </c>
      <c r="F299" s="63">
        <f>IF(tblCommentary[[#This Row],[Date]]="","",tblCommentary[[#This Row],[Date]]&amp;"|"&amp;tblCommentary[[#This Row],[Seq_Day]])</f>
        <v/>
      </c>
    </row>
    <row r="300">
      <c r="A300" s="54" t="n"/>
      <c r="B300" s="61" t="n"/>
      <c r="C300" s="58" t="n"/>
      <c r="D300" s="58" t="n"/>
      <c r="E300" s="64">
        <f>IF(tblCommentary[[#This Row],[Date]]="","",COUNTIFS(INDEX(tblCommentary[Date],1):tblCommentary[[#This Row],[Date]],tblCommentary[[#This Row],[Date]]))</f>
        <v/>
      </c>
      <c r="F300" s="63">
        <f>IF(tblCommentary[[#This Row],[Date]]="","",tblCommentary[[#This Row],[Date]]&amp;"|"&amp;tblCommentary[[#This Row],[Seq_Day]])</f>
        <v/>
      </c>
    </row>
    <row r="301">
      <c r="A301" s="54" t="n"/>
      <c r="B301" s="61" t="n"/>
      <c r="C301" s="58" t="n"/>
      <c r="D301" s="58" t="n"/>
      <c r="E301" s="64">
        <f>IF(tblCommentary[[#This Row],[Date]]="","",COUNTIFS(INDEX(tblCommentary[Date],1):tblCommentary[[#This Row],[Date]],tblCommentary[[#This Row],[Date]]))</f>
        <v/>
      </c>
      <c r="F301" s="63">
        <f>IF(tblCommentary[[#This Row],[Date]]="","",tblCommentary[[#This Row],[Date]]&amp;"|"&amp;tblCommentary[[#This Row],[Seq_Day]])</f>
        <v/>
      </c>
    </row>
    <row r="302">
      <c r="A302" s="54" t="n"/>
      <c r="B302" s="61" t="n"/>
      <c r="C302" s="58" t="n"/>
      <c r="D302" s="58" t="n"/>
      <c r="E302" s="64">
        <f>IF(tblCommentary[[#This Row],[Date]]="","",COUNTIFS(INDEX(tblCommentary[Date],1):tblCommentary[[#This Row],[Date]],tblCommentary[[#This Row],[Date]]))</f>
        <v/>
      </c>
      <c r="F302" s="63">
        <f>IF(tblCommentary[[#This Row],[Date]]="","",tblCommentary[[#This Row],[Date]]&amp;"|"&amp;tblCommentary[[#This Row],[Seq_Day]])</f>
        <v/>
      </c>
    </row>
    <row r="303">
      <c r="A303" s="54" t="n"/>
      <c r="B303" s="61" t="n"/>
      <c r="C303" s="58" t="n"/>
      <c r="D303" s="58" t="n"/>
      <c r="E303" s="64">
        <f>IF(tblCommentary[[#This Row],[Date]]="","",COUNTIFS(INDEX(tblCommentary[Date],1):tblCommentary[[#This Row],[Date]],tblCommentary[[#This Row],[Date]]))</f>
        <v/>
      </c>
      <c r="F303" s="63">
        <f>IF(tblCommentary[[#This Row],[Date]]="","",tblCommentary[[#This Row],[Date]]&amp;"|"&amp;tblCommentary[[#This Row],[Seq_Day]])</f>
        <v/>
      </c>
    </row>
    <row r="304">
      <c r="A304" s="54" t="n"/>
      <c r="B304" s="61" t="n"/>
      <c r="C304" s="58" t="n"/>
      <c r="D304" s="58" t="n"/>
      <c r="E304" s="64">
        <f>IF(tblCommentary[[#This Row],[Date]]="","",COUNTIFS(INDEX(tblCommentary[Date],1):tblCommentary[[#This Row],[Date]],tblCommentary[[#This Row],[Date]]))</f>
        <v/>
      </c>
      <c r="F304" s="63">
        <f>IF(tblCommentary[[#This Row],[Date]]="","",tblCommentary[[#This Row],[Date]]&amp;"|"&amp;tblCommentary[[#This Row],[Seq_Day]])</f>
        <v/>
      </c>
    </row>
    <row r="305">
      <c r="A305" s="54" t="n"/>
      <c r="B305" s="61" t="n"/>
      <c r="C305" s="58" t="n"/>
      <c r="D305" s="58" t="n"/>
      <c r="E305" s="64">
        <f>IF(tblCommentary[[#This Row],[Date]]="","",COUNTIFS(INDEX(tblCommentary[Date],1):tblCommentary[[#This Row],[Date]],tblCommentary[[#This Row],[Date]]))</f>
        <v/>
      </c>
      <c r="F305" s="63">
        <f>IF(tblCommentary[[#This Row],[Date]]="","",tblCommentary[[#This Row],[Date]]&amp;"|"&amp;tblCommentary[[#This Row],[Seq_Day]])</f>
        <v/>
      </c>
    </row>
    <row r="306">
      <c r="A306" s="54" t="n"/>
      <c r="B306" s="61" t="n"/>
      <c r="C306" s="58" t="n"/>
      <c r="D306" s="58" t="n"/>
      <c r="E306" s="64">
        <f>IF(tblCommentary[[#This Row],[Date]]="","",COUNTIFS(INDEX(tblCommentary[Date],1):tblCommentary[[#This Row],[Date]],tblCommentary[[#This Row],[Date]]))</f>
        <v/>
      </c>
      <c r="F306" s="63">
        <f>IF(tblCommentary[[#This Row],[Date]]="","",tblCommentary[[#This Row],[Date]]&amp;"|"&amp;tblCommentary[[#This Row],[Seq_Day]])</f>
        <v/>
      </c>
    </row>
    <row r="307">
      <c r="A307" s="54" t="n"/>
      <c r="B307" s="61" t="n"/>
      <c r="C307" s="58" t="n"/>
      <c r="D307" s="58" t="n"/>
      <c r="E307" s="64">
        <f>IF(tblCommentary[[#This Row],[Date]]="","",COUNTIFS(INDEX(tblCommentary[Date],1):tblCommentary[[#This Row],[Date]],tblCommentary[[#This Row],[Date]]))</f>
        <v/>
      </c>
      <c r="F307" s="63">
        <f>IF(tblCommentary[[#This Row],[Date]]="","",tblCommentary[[#This Row],[Date]]&amp;"|"&amp;tblCommentary[[#This Row],[Seq_Day]])</f>
        <v/>
      </c>
    </row>
    <row r="308">
      <c r="A308" s="54" t="n"/>
      <c r="B308" s="61" t="n"/>
      <c r="C308" s="58" t="n"/>
      <c r="D308" s="58" t="n"/>
      <c r="E308" s="64">
        <f>IF(tblCommentary[[#This Row],[Date]]="","",COUNTIFS(INDEX(tblCommentary[Date],1):tblCommentary[[#This Row],[Date]],tblCommentary[[#This Row],[Date]]))</f>
        <v/>
      </c>
      <c r="F308" s="63">
        <f>IF(tblCommentary[[#This Row],[Date]]="","",tblCommentary[[#This Row],[Date]]&amp;"|"&amp;tblCommentary[[#This Row],[Seq_Day]])</f>
        <v/>
      </c>
    </row>
    <row r="309">
      <c r="A309" s="54" t="n"/>
      <c r="B309" s="61" t="n"/>
      <c r="C309" s="58" t="n"/>
      <c r="D309" s="58" t="n"/>
      <c r="E309" s="64">
        <f>IF(tblCommentary[[#This Row],[Date]]="","",COUNTIFS(INDEX(tblCommentary[Date],1):tblCommentary[[#This Row],[Date]],tblCommentary[[#This Row],[Date]]))</f>
        <v/>
      </c>
      <c r="F309" s="63">
        <f>IF(tblCommentary[[#This Row],[Date]]="","",tblCommentary[[#This Row],[Date]]&amp;"|"&amp;tblCommentary[[#This Row],[Seq_Day]])</f>
        <v/>
      </c>
    </row>
    <row r="310">
      <c r="A310" s="54" t="n"/>
      <c r="B310" s="61" t="n"/>
      <c r="C310" s="58" t="n"/>
      <c r="D310" s="58" t="n"/>
      <c r="E310" s="64">
        <f>IF(tblCommentary[[#This Row],[Date]]="","",COUNTIFS(INDEX(tblCommentary[Date],1):tblCommentary[[#This Row],[Date]],tblCommentary[[#This Row],[Date]]))</f>
        <v/>
      </c>
      <c r="F310" s="63">
        <f>IF(tblCommentary[[#This Row],[Date]]="","",tblCommentary[[#This Row],[Date]]&amp;"|"&amp;tblCommentary[[#This Row],[Seq_Day]])</f>
        <v/>
      </c>
    </row>
    <row r="311">
      <c r="A311" s="54" t="n"/>
      <c r="B311" s="61" t="n"/>
      <c r="C311" s="58" t="n"/>
      <c r="D311" s="58" t="n"/>
      <c r="E311" s="64">
        <f>IF(tblCommentary[[#This Row],[Date]]="","",COUNTIFS(INDEX(tblCommentary[Date],1):tblCommentary[[#This Row],[Date]],tblCommentary[[#This Row],[Date]]))</f>
        <v/>
      </c>
      <c r="F311" s="63">
        <f>IF(tblCommentary[[#This Row],[Date]]="","",tblCommentary[[#This Row],[Date]]&amp;"|"&amp;tblCommentary[[#This Row],[Seq_Day]])</f>
        <v/>
      </c>
    </row>
    <row r="312">
      <c r="A312" s="54" t="n"/>
      <c r="B312" s="61" t="n"/>
      <c r="C312" s="58" t="n"/>
      <c r="D312" s="58" t="n"/>
      <c r="E312" s="64">
        <f>IF(tblCommentary[[#This Row],[Date]]="","",COUNTIFS(INDEX(tblCommentary[Date],1):tblCommentary[[#This Row],[Date]],tblCommentary[[#This Row],[Date]]))</f>
        <v/>
      </c>
      <c r="F312" s="63">
        <f>IF(tblCommentary[[#This Row],[Date]]="","",tblCommentary[[#This Row],[Date]]&amp;"|"&amp;tblCommentary[[#This Row],[Seq_Day]])</f>
        <v/>
      </c>
    </row>
    <row r="313">
      <c r="A313" s="54" t="n"/>
      <c r="B313" s="61" t="n"/>
      <c r="C313" s="58" t="n"/>
      <c r="D313" s="58" t="n"/>
      <c r="E313" s="64">
        <f>IF(tblCommentary[[#This Row],[Date]]="","",COUNTIFS(INDEX(tblCommentary[Date],1):tblCommentary[[#This Row],[Date]],tblCommentary[[#This Row],[Date]]))</f>
        <v/>
      </c>
      <c r="F313" s="63">
        <f>IF(tblCommentary[[#This Row],[Date]]="","",tblCommentary[[#This Row],[Date]]&amp;"|"&amp;tblCommentary[[#This Row],[Seq_Day]])</f>
        <v/>
      </c>
    </row>
    <row r="314">
      <c r="A314" s="54" t="n"/>
      <c r="B314" s="61" t="n"/>
      <c r="C314" s="58" t="n"/>
      <c r="D314" s="58" t="n"/>
      <c r="E314" s="64">
        <f>IF(tblCommentary[[#This Row],[Date]]="","",COUNTIFS(INDEX(tblCommentary[Date],1):tblCommentary[[#This Row],[Date]],tblCommentary[[#This Row],[Date]]))</f>
        <v/>
      </c>
      <c r="F314" s="63">
        <f>IF(tblCommentary[[#This Row],[Date]]="","",tblCommentary[[#This Row],[Date]]&amp;"|"&amp;tblCommentary[[#This Row],[Seq_Day]])</f>
        <v/>
      </c>
    </row>
    <row r="315">
      <c r="A315" s="54" t="n"/>
      <c r="B315" s="61" t="n"/>
      <c r="C315" s="58" t="n"/>
      <c r="D315" s="58" t="n"/>
      <c r="E315" s="64">
        <f>IF(tblCommentary[[#This Row],[Date]]="","",COUNTIFS(INDEX(tblCommentary[Date],1):tblCommentary[[#This Row],[Date]],tblCommentary[[#This Row],[Date]]))</f>
        <v/>
      </c>
      <c r="F315" s="63">
        <f>IF(tblCommentary[[#This Row],[Date]]="","",tblCommentary[[#This Row],[Date]]&amp;"|"&amp;tblCommentary[[#This Row],[Seq_Day]])</f>
        <v/>
      </c>
    </row>
    <row r="316">
      <c r="A316" s="54" t="n"/>
      <c r="B316" s="61" t="n"/>
      <c r="C316" s="58" t="n"/>
      <c r="D316" s="58" t="n"/>
      <c r="E316" s="64">
        <f>IF(tblCommentary[[#This Row],[Date]]="","",COUNTIFS(INDEX(tblCommentary[Date],1):tblCommentary[[#This Row],[Date]],tblCommentary[[#This Row],[Date]]))</f>
        <v/>
      </c>
      <c r="F316" s="63">
        <f>IF(tblCommentary[[#This Row],[Date]]="","",tblCommentary[[#This Row],[Date]]&amp;"|"&amp;tblCommentary[[#This Row],[Seq_Day]])</f>
        <v/>
      </c>
    </row>
    <row r="317">
      <c r="A317" s="54" t="n"/>
      <c r="B317" s="61" t="n"/>
      <c r="C317" s="58" t="n"/>
      <c r="D317" s="58" t="n"/>
      <c r="E317" s="64">
        <f>IF(tblCommentary[[#This Row],[Date]]="","",COUNTIFS(INDEX(tblCommentary[Date],1):tblCommentary[[#This Row],[Date]],tblCommentary[[#This Row],[Date]]))</f>
        <v/>
      </c>
      <c r="F317" s="63">
        <f>IF(tblCommentary[[#This Row],[Date]]="","",tblCommentary[[#This Row],[Date]]&amp;"|"&amp;tblCommentary[[#This Row],[Seq_Day]])</f>
        <v/>
      </c>
    </row>
    <row r="318">
      <c r="A318" s="54" t="n"/>
      <c r="B318" s="61" t="n"/>
      <c r="C318" s="58" t="n"/>
      <c r="D318" s="58" t="n"/>
      <c r="E318" s="64">
        <f>IF(tblCommentary[[#This Row],[Date]]="","",COUNTIFS(INDEX(tblCommentary[Date],1):tblCommentary[[#This Row],[Date]],tblCommentary[[#This Row],[Date]]))</f>
        <v/>
      </c>
      <c r="F318" s="63">
        <f>IF(tblCommentary[[#This Row],[Date]]="","",tblCommentary[[#This Row],[Date]]&amp;"|"&amp;tblCommentary[[#This Row],[Seq_Day]])</f>
        <v/>
      </c>
    </row>
    <row r="319">
      <c r="A319" s="54" t="n"/>
      <c r="B319" s="61" t="n"/>
      <c r="C319" s="58" t="n"/>
      <c r="D319" s="58" t="n"/>
      <c r="E319" s="64">
        <f>IF(tblCommentary[[#This Row],[Date]]="","",COUNTIFS(INDEX(tblCommentary[Date],1):tblCommentary[[#This Row],[Date]],tblCommentary[[#This Row],[Date]]))</f>
        <v/>
      </c>
      <c r="F319" s="63">
        <f>IF(tblCommentary[[#This Row],[Date]]="","",tblCommentary[[#This Row],[Date]]&amp;"|"&amp;tblCommentary[[#This Row],[Seq_Day]])</f>
        <v/>
      </c>
    </row>
    <row r="320">
      <c r="A320" s="54" t="n"/>
      <c r="B320" s="61" t="n"/>
      <c r="C320" s="58" t="n"/>
      <c r="D320" s="58" t="n"/>
      <c r="E320" s="64">
        <f>IF(tblCommentary[[#This Row],[Date]]="","",COUNTIFS(INDEX(tblCommentary[Date],1):tblCommentary[[#This Row],[Date]],tblCommentary[[#This Row],[Date]]))</f>
        <v/>
      </c>
      <c r="F320" s="63">
        <f>IF(tblCommentary[[#This Row],[Date]]="","",tblCommentary[[#This Row],[Date]]&amp;"|"&amp;tblCommentary[[#This Row],[Seq_Day]])</f>
        <v/>
      </c>
    </row>
    <row r="321">
      <c r="A321" s="54" t="n"/>
      <c r="B321" s="61" t="n"/>
      <c r="C321" s="58" t="n"/>
      <c r="D321" s="58" t="n"/>
      <c r="E321" s="64">
        <f>IF(tblCommentary[[#This Row],[Date]]="","",COUNTIFS(INDEX(tblCommentary[Date],1):tblCommentary[[#This Row],[Date]],tblCommentary[[#This Row],[Date]]))</f>
        <v/>
      </c>
      <c r="F321" s="63">
        <f>IF(tblCommentary[[#This Row],[Date]]="","",tblCommentary[[#This Row],[Date]]&amp;"|"&amp;tblCommentary[[#This Row],[Seq_Day]])</f>
        <v/>
      </c>
    </row>
    <row r="322">
      <c r="A322" s="54" t="n"/>
      <c r="B322" s="61" t="n"/>
      <c r="C322" s="58" t="n"/>
      <c r="D322" s="58" t="n"/>
      <c r="E322" s="64">
        <f>IF(tblCommentary[[#This Row],[Date]]="","",COUNTIFS(INDEX(tblCommentary[Date],1):tblCommentary[[#This Row],[Date]],tblCommentary[[#This Row],[Date]]))</f>
        <v/>
      </c>
      <c r="F322" s="63">
        <f>IF(tblCommentary[[#This Row],[Date]]="","",tblCommentary[[#This Row],[Date]]&amp;"|"&amp;tblCommentary[[#This Row],[Seq_Day]])</f>
        <v/>
      </c>
    </row>
    <row r="323">
      <c r="A323" s="54" t="n"/>
      <c r="B323" s="61" t="n"/>
      <c r="C323" s="58" t="n"/>
      <c r="D323" s="58" t="n"/>
      <c r="E323" s="64">
        <f>IF(tblCommentary[[#This Row],[Date]]="","",COUNTIFS(INDEX(tblCommentary[Date],1):tblCommentary[[#This Row],[Date]],tblCommentary[[#This Row],[Date]]))</f>
        <v/>
      </c>
      <c r="F323" s="63">
        <f>IF(tblCommentary[[#This Row],[Date]]="","",tblCommentary[[#This Row],[Date]]&amp;"|"&amp;tblCommentary[[#This Row],[Seq_Day]])</f>
        <v/>
      </c>
    </row>
    <row r="324">
      <c r="A324" s="54" t="n"/>
      <c r="B324" s="61" t="n"/>
      <c r="C324" s="58" t="n"/>
      <c r="D324" s="58" t="n"/>
      <c r="E324" s="64">
        <f>IF(tblCommentary[[#This Row],[Date]]="","",COUNTIFS(INDEX(tblCommentary[Date],1):tblCommentary[[#This Row],[Date]],tblCommentary[[#This Row],[Date]]))</f>
        <v/>
      </c>
      <c r="F324" s="63">
        <f>IF(tblCommentary[[#This Row],[Date]]="","",tblCommentary[[#This Row],[Date]]&amp;"|"&amp;tblCommentary[[#This Row],[Seq_Day]])</f>
        <v/>
      </c>
    </row>
    <row r="325">
      <c r="A325" s="54" t="n"/>
      <c r="B325" s="61" t="n"/>
      <c r="C325" s="58" t="n"/>
      <c r="D325" s="58" t="n"/>
      <c r="E325" s="64">
        <f>IF(tblCommentary[[#This Row],[Date]]="","",COUNTIFS(INDEX(tblCommentary[Date],1):tblCommentary[[#This Row],[Date]],tblCommentary[[#This Row],[Date]]))</f>
        <v/>
      </c>
      <c r="F325" s="63">
        <f>IF(tblCommentary[[#This Row],[Date]]="","",tblCommentary[[#This Row],[Date]]&amp;"|"&amp;tblCommentary[[#This Row],[Seq_Day]])</f>
        <v/>
      </c>
    </row>
    <row r="326">
      <c r="A326" s="54" t="n"/>
      <c r="B326" s="61" t="n"/>
      <c r="C326" s="58" t="n"/>
      <c r="D326" s="58" t="n"/>
      <c r="E326" s="64">
        <f>IF(tblCommentary[[#This Row],[Date]]="","",COUNTIFS(INDEX(tblCommentary[Date],1):tblCommentary[[#This Row],[Date]],tblCommentary[[#This Row],[Date]]))</f>
        <v/>
      </c>
      <c r="F326" s="63">
        <f>IF(tblCommentary[[#This Row],[Date]]="","",tblCommentary[[#This Row],[Date]]&amp;"|"&amp;tblCommentary[[#This Row],[Seq_Day]])</f>
        <v/>
      </c>
    </row>
    <row r="327">
      <c r="A327" s="54" t="n"/>
      <c r="B327" s="61" t="n"/>
      <c r="C327" s="58" t="n"/>
      <c r="D327" s="58" t="n"/>
      <c r="E327" s="64">
        <f>IF(tblCommentary[[#This Row],[Date]]="","",COUNTIFS(INDEX(tblCommentary[Date],1):tblCommentary[[#This Row],[Date]],tblCommentary[[#This Row],[Date]]))</f>
        <v/>
      </c>
      <c r="F327" s="63">
        <f>IF(tblCommentary[[#This Row],[Date]]="","",tblCommentary[[#This Row],[Date]]&amp;"|"&amp;tblCommentary[[#This Row],[Seq_Day]])</f>
        <v/>
      </c>
    </row>
    <row r="328">
      <c r="A328" s="54" t="n"/>
      <c r="B328" s="61" t="n"/>
      <c r="C328" s="58" t="n"/>
      <c r="D328" s="58" t="n"/>
      <c r="E328" s="64">
        <f>IF(tblCommentary[[#This Row],[Date]]="","",COUNTIFS(INDEX(tblCommentary[Date],1):tblCommentary[[#This Row],[Date]],tblCommentary[[#This Row],[Date]]))</f>
        <v/>
      </c>
      <c r="F328" s="63">
        <f>IF(tblCommentary[[#This Row],[Date]]="","",tblCommentary[[#This Row],[Date]]&amp;"|"&amp;tblCommentary[[#This Row],[Seq_Day]])</f>
        <v/>
      </c>
    </row>
    <row r="329">
      <c r="A329" s="54" t="n"/>
      <c r="B329" s="61" t="n"/>
      <c r="C329" s="58" t="n"/>
      <c r="D329" s="58" t="n"/>
      <c r="E329" s="64">
        <f>IF(tblCommentary[[#This Row],[Date]]="","",COUNTIFS(INDEX(tblCommentary[Date],1):tblCommentary[[#This Row],[Date]],tblCommentary[[#This Row],[Date]]))</f>
        <v/>
      </c>
      <c r="F329" s="63">
        <f>IF(tblCommentary[[#This Row],[Date]]="","",tblCommentary[[#This Row],[Date]]&amp;"|"&amp;tblCommentary[[#This Row],[Seq_Day]])</f>
        <v/>
      </c>
    </row>
    <row r="330">
      <c r="A330" s="54" t="n"/>
      <c r="B330" s="61" t="n"/>
      <c r="C330" s="58" t="n"/>
      <c r="D330" s="58" t="n"/>
      <c r="E330" s="64">
        <f>IF(tblCommentary[[#This Row],[Date]]="","",COUNTIFS(INDEX(tblCommentary[Date],1):tblCommentary[[#This Row],[Date]],tblCommentary[[#This Row],[Date]]))</f>
        <v/>
      </c>
      <c r="F330" s="63">
        <f>IF(tblCommentary[[#This Row],[Date]]="","",tblCommentary[[#This Row],[Date]]&amp;"|"&amp;tblCommentary[[#This Row],[Seq_Day]])</f>
        <v/>
      </c>
    </row>
    <row r="331">
      <c r="A331" s="54" t="n"/>
      <c r="B331" s="61" t="n"/>
      <c r="C331" s="58" t="n"/>
      <c r="D331" s="58" t="n"/>
      <c r="E331" s="64">
        <f>IF(tblCommentary[[#This Row],[Date]]="","",COUNTIFS(INDEX(tblCommentary[Date],1):tblCommentary[[#This Row],[Date]],tblCommentary[[#This Row],[Date]]))</f>
        <v/>
      </c>
      <c r="F331" s="63">
        <f>IF(tblCommentary[[#This Row],[Date]]="","",tblCommentary[[#This Row],[Date]]&amp;"|"&amp;tblCommentary[[#This Row],[Seq_Day]])</f>
        <v/>
      </c>
    </row>
    <row r="332">
      <c r="A332" s="54" t="n"/>
      <c r="B332" s="61" t="n"/>
      <c r="C332" s="58" t="n"/>
      <c r="D332" s="58" t="n"/>
      <c r="E332" s="64">
        <f>IF(tblCommentary[[#This Row],[Date]]="","",COUNTIFS(INDEX(tblCommentary[Date],1):tblCommentary[[#This Row],[Date]],tblCommentary[[#This Row],[Date]]))</f>
        <v/>
      </c>
      <c r="F332" s="63">
        <f>IF(tblCommentary[[#This Row],[Date]]="","",tblCommentary[[#This Row],[Date]]&amp;"|"&amp;tblCommentary[[#This Row],[Seq_Day]])</f>
        <v/>
      </c>
    </row>
    <row r="333">
      <c r="A333" s="54" t="n"/>
      <c r="B333" s="61" t="n"/>
      <c r="C333" s="58" t="n"/>
      <c r="D333" s="58" t="n"/>
      <c r="E333" s="64">
        <f>IF(tblCommentary[[#This Row],[Date]]="","",COUNTIFS(INDEX(tblCommentary[Date],1):tblCommentary[[#This Row],[Date]],tblCommentary[[#This Row],[Date]]))</f>
        <v/>
      </c>
      <c r="F333" s="63">
        <f>IF(tblCommentary[[#This Row],[Date]]="","",tblCommentary[[#This Row],[Date]]&amp;"|"&amp;tblCommentary[[#This Row],[Seq_Day]])</f>
        <v/>
      </c>
    </row>
    <row r="334">
      <c r="A334" s="54" t="n"/>
      <c r="B334" s="61" t="n"/>
      <c r="C334" s="58" t="n"/>
      <c r="D334" s="58" t="n"/>
      <c r="E334" s="64">
        <f>IF(tblCommentary[[#This Row],[Date]]="","",COUNTIFS(INDEX(tblCommentary[Date],1):tblCommentary[[#This Row],[Date]],tblCommentary[[#This Row],[Date]]))</f>
        <v/>
      </c>
      <c r="F334" s="63">
        <f>IF(tblCommentary[[#This Row],[Date]]="","",tblCommentary[[#This Row],[Date]]&amp;"|"&amp;tblCommentary[[#This Row],[Seq_Day]])</f>
        <v/>
      </c>
    </row>
    <row r="335">
      <c r="A335" s="54" t="n"/>
      <c r="B335" s="61" t="n"/>
      <c r="C335" s="58" t="n"/>
      <c r="D335" s="58" t="n"/>
      <c r="E335" s="64">
        <f>IF(tblCommentary[[#This Row],[Date]]="","",COUNTIFS(INDEX(tblCommentary[Date],1):tblCommentary[[#This Row],[Date]],tblCommentary[[#This Row],[Date]]))</f>
        <v/>
      </c>
      <c r="F335" s="63">
        <f>IF(tblCommentary[[#This Row],[Date]]="","",tblCommentary[[#This Row],[Date]]&amp;"|"&amp;tblCommentary[[#This Row],[Seq_Day]])</f>
        <v/>
      </c>
    </row>
    <row r="336">
      <c r="A336" s="54" t="n"/>
      <c r="B336" s="61" t="n"/>
      <c r="C336" s="58" t="n"/>
      <c r="D336" s="58" t="n"/>
      <c r="E336" s="64">
        <f>IF(tblCommentary[[#This Row],[Date]]="","",COUNTIFS(INDEX(tblCommentary[Date],1):tblCommentary[[#This Row],[Date]],tblCommentary[[#This Row],[Date]]))</f>
        <v/>
      </c>
      <c r="F336" s="63">
        <f>IF(tblCommentary[[#This Row],[Date]]="","",tblCommentary[[#This Row],[Date]]&amp;"|"&amp;tblCommentary[[#This Row],[Seq_Day]])</f>
        <v/>
      </c>
    </row>
    <row r="337">
      <c r="A337" s="54" t="n"/>
      <c r="B337" s="61" t="n"/>
      <c r="C337" s="58" t="n"/>
      <c r="D337" s="58" t="n"/>
      <c r="E337" s="64">
        <f>IF(tblCommentary[[#This Row],[Date]]="","",COUNTIFS(INDEX(tblCommentary[Date],1):tblCommentary[[#This Row],[Date]],tblCommentary[[#This Row],[Date]]))</f>
        <v/>
      </c>
      <c r="F337" s="63">
        <f>IF(tblCommentary[[#This Row],[Date]]="","",tblCommentary[[#This Row],[Date]]&amp;"|"&amp;tblCommentary[[#This Row],[Seq_Day]])</f>
        <v/>
      </c>
    </row>
    <row r="338">
      <c r="A338" s="54" t="n"/>
      <c r="B338" s="61" t="n"/>
      <c r="C338" s="58" t="n"/>
      <c r="D338" s="58" t="n"/>
      <c r="E338" s="64">
        <f>IF(tblCommentary[[#This Row],[Date]]="","",COUNTIFS(INDEX(tblCommentary[Date],1):tblCommentary[[#This Row],[Date]],tblCommentary[[#This Row],[Date]]))</f>
        <v/>
      </c>
      <c r="F338" s="63">
        <f>IF(tblCommentary[[#This Row],[Date]]="","",tblCommentary[[#This Row],[Date]]&amp;"|"&amp;tblCommentary[[#This Row],[Seq_Day]])</f>
        <v/>
      </c>
    </row>
    <row r="339">
      <c r="A339" s="54" t="n"/>
      <c r="B339" s="61" t="n"/>
      <c r="C339" s="58" t="n"/>
      <c r="D339" s="58" t="n"/>
      <c r="E339" s="64">
        <f>IF(tblCommentary[[#This Row],[Date]]="","",COUNTIFS(INDEX(tblCommentary[Date],1):tblCommentary[[#This Row],[Date]],tblCommentary[[#This Row],[Date]]))</f>
        <v/>
      </c>
      <c r="F339" s="63">
        <f>IF(tblCommentary[[#This Row],[Date]]="","",tblCommentary[[#This Row],[Date]]&amp;"|"&amp;tblCommentary[[#This Row],[Seq_Day]])</f>
        <v/>
      </c>
    </row>
    <row r="340">
      <c r="A340" s="54" t="n"/>
      <c r="B340" s="61" t="n"/>
      <c r="C340" s="58" t="n"/>
      <c r="D340" s="58" t="n"/>
      <c r="E340" s="64">
        <f>IF(tblCommentary[[#This Row],[Date]]="","",COUNTIFS(INDEX(tblCommentary[Date],1):tblCommentary[[#This Row],[Date]],tblCommentary[[#This Row],[Date]]))</f>
        <v/>
      </c>
      <c r="F340" s="63">
        <f>IF(tblCommentary[[#This Row],[Date]]="","",tblCommentary[[#This Row],[Date]]&amp;"|"&amp;tblCommentary[[#This Row],[Seq_Day]])</f>
        <v/>
      </c>
    </row>
    <row r="341">
      <c r="A341" s="54" t="n"/>
      <c r="B341" s="61" t="n"/>
      <c r="C341" s="58" t="n"/>
      <c r="D341" s="58" t="n"/>
      <c r="E341" s="64">
        <f>IF(tblCommentary[[#This Row],[Date]]="","",COUNTIFS(INDEX(tblCommentary[Date],1):tblCommentary[[#This Row],[Date]],tblCommentary[[#This Row],[Date]]))</f>
        <v/>
      </c>
      <c r="F341" s="63">
        <f>IF(tblCommentary[[#This Row],[Date]]="","",tblCommentary[[#This Row],[Date]]&amp;"|"&amp;tblCommentary[[#This Row],[Seq_Day]])</f>
        <v/>
      </c>
    </row>
    <row r="342">
      <c r="A342" s="54" t="n"/>
      <c r="B342" s="61" t="n"/>
      <c r="C342" s="58" t="n"/>
      <c r="D342" s="58" t="n"/>
      <c r="E342" s="64">
        <f>IF(tblCommentary[[#This Row],[Date]]="","",COUNTIFS(INDEX(tblCommentary[Date],1):tblCommentary[[#This Row],[Date]],tblCommentary[[#This Row],[Date]]))</f>
        <v/>
      </c>
      <c r="F342" s="63">
        <f>IF(tblCommentary[[#This Row],[Date]]="","",tblCommentary[[#This Row],[Date]]&amp;"|"&amp;tblCommentary[[#This Row],[Seq_Day]])</f>
        <v/>
      </c>
    </row>
    <row r="343">
      <c r="A343" s="54" t="n"/>
      <c r="B343" s="61" t="n"/>
      <c r="C343" s="58" t="n"/>
      <c r="D343" s="58" t="n"/>
      <c r="E343" s="64">
        <f>IF(tblCommentary[[#This Row],[Date]]="","",COUNTIFS(INDEX(tblCommentary[Date],1):tblCommentary[[#This Row],[Date]],tblCommentary[[#This Row],[Date]]))</f>
        <v/>
      </c>
      <c r="F343" s="63">
        <f>IF(tblCommentary[[#This Row],[Date]]="","",tblCommentary[[#This Row],[Date]]&amp;"|"&amp;tblCommentary[[#This Row],[Seq_Day]])</f>
        <v/>
      </c>
    </row>
    <row r="344">
      <c r="A344" s="54" t="n"/>
      <c r="B344" s="61" t="n"/>
      <c r="C344" s="58" t="n"/>
      <c r="D344" s="58" t="n"/>
      <c r="E344" s="64">
        <f>IF(tblCommentary[[#This Row],[Date]]="","",COUNTIFS(INDEX(tblCommentary[Date],1):tblCommentary[[#This Row],[Date]],tblCommentary[[#This Row],[Date]]))</f>
        <v/>
      </c>
      <c r="F344" s="63">
        <f>IF(tblCommentary[[#This Row],[Date]]="","",tblCommentary[[#This Row],[Date]]&amp;"|"&amp;tblCommentary[[#This Row],[Seq_Day]])</f>
        <v/>
      </c>
    </row>
    <row r="345">
      <c r="A345" s="54" t="n"/>
      <c r="B345" s="61" t="n"/>
      <c r="C345" s="58" t="n"/>
      <c r="D345" s="58" t="n"/>
      <c r="E345" s="64">
        <f>IF(tblCommentary[[#This Row],[Date]]="","",COUNTIFS(INDEX(tblCommentary[Date],1):tblCommentary[[#This Row],[Date]],tblCommentary[[#This Row],[Date]]))</f>
        <v/>
      </c>
      <c r="F345" s="63">
        <f>IF(tblCommentary[[#This Row],[Date]]="","",tblCommentary[[#This Row],[Date]]&amp;"|"&amp;tblCommentary[[#This Row],[Seq_Day]])</f>
        <v/>
      </c>
    </row>
    <row r="346">
      <c r="A346" s="54" t="n"/>
      <c r="B346" s="61" t="n"/>
      <c r="C346" s="58" t="n"/>
      <c r="D346" s="58" t="n"/>
      <c r="E346" s="64">
        <f>IF(tblCommentary[[#This Row],[Date]]="","",COUNTIFS(INDEX(tblCommentary[Date],1):tblCommentary[[#This Row],[Date]],tblCommentary[[#This Row],[Date]]))</f>
        <v/>
      </c>
      <c r="F346" s="63">
        <f>IF(tblCommentary[[#This Row],[Date]]="","",tblCommentary[[#This Row],[Date]]&amp;"|"&amp;tblCommentary[[#This Row],[Seq_Day]])</f>
        <v/>
      </c>
    </row>
    <row r="347">
      <c r="A347" s="54" t="n"/>
      <c r="B347" s="61" t="n"/>
      <c r="C347" s="58" t="n"/>
      <c r="D347" s="58" t="n"/>
      <c r="E347" s="64">
        <f>IF(tblCommentary[[#This Row],[Date]]="","",COUNTIFS(INDEX(tblCommentary[Date],1):tblCommentary[[#This Row],[Date]],tblCommentary[[#This Row],[Date]]))</f>
        <v/>
      </c>
      <c r="F347" s="63">
        <f>IF(tblCommentary[[#This Row],[Date]]="","",tblCommentary[[#This Row],[Date]]&amp;"|"&amp;tblCommentary[[#This Row],[Seq_Day]])</f>
        <v/>
      </c>
    </row>
    <row r="348">
      <c r="A348" s="54" t="n"/>
      <c r="B348" s="61" t="n"/>
      <c r="C348" s="58" t="n"/>
      <c r="D348" s="58" t="n"/>
      <c r="E348" s="64">
        <f>IF(tblCommentary[[#This Row],[Date]]="","",COUNTIFS(INDEX(tblCommentary[Date],1):tblCommentary[[#This Row],[Date]],tblCommentary[[#This Row],[Date]]))</f>
        <v/>
      </c>
      <c r="F348" s="63">
        <f>IF(tblCommentary[[#This Row],[Date]]="","",tblCommentary[[#This Row],[Date]]&amp;"|"&amp;tblCommentary[[#This Row],[Seq_Day]])</f>
        <v/>
      </c>
    </row>
    <row r="349">
      <c r="A349" s="54" t="n"/>
      <c r="B349" s="61" t="n"/>
      <c r="C349" s="58" t="n"/>
      <c r="D349" s="58" t="n"/>
      <c r="E349" s="64">
        <f>IF(tblCommentary[[#This Row],[Date]]="","",COUNTIFS(INDEX(tblCommentary[Date],1):tblCommentary[[#This Row],[Date]],tblCommentary[[#This Row],[Date]]))</f>
        <v/>
      </c>
      <c r="F349" s="63">
        <f>IF(tblCommentary[[#This Row],[Date]]="","",tblCommentary[[#This Row],[Date]]&amp;"|"&amp;tblCommentary[[#This Row],[Seq_Day]])</f>
        <v/>
      </c>
    </row>
    <row r="350">
      <c r="A350" s="54" t="n"/>
      <c r="B350" s="61" t="n"/>
      <c r="C350" s="58" t="n"/>
      <c r="D350" s="58" t="n"/>
      <c r="E350" s="64">
        <f>IF(tblCommentary[[#This Row],[Date]]="","",COUNTIFS(INDEX(tblCommentary[Date],1):tblCommentary[[#This Row],[Date]],tblCommentary[[#This Row],[Date]]))</f>
        <v/>
      </c>
      <c r="F350" s="63">
        <f>IF(tblCommentary[[#This Row],[Date]]="","",tblCommentary[[#This Row],[Date]]&amp;"|"&amp;tblCommentary[[#This Row],[Seq_Day]])</f>
        <v/>
      </c>
    </row>
    <row r="351">
      <c r="A351" s="54" t="n"/>
      <c r="B351" s="61" t="n"/>
      <c r="C351" s="58" t="n"/>
      <c r="D351" s="58" t="n"/>
      <c r="E351" s="64">
        <f>IF(tblCommentary[[#This Row],[Date]]="","",COUNTIFS(INDEX(tblCommentary[Date],1):tblCommentary[[#This Row],[Date]],tblCommentary[[#This Row],[Date]]))</f>
        <v/>
      </c>
      <c r="F351" s="63">
        <f>IF(tblCommentary[[#This Row],[Date]]="","",tblCommentary[[#This Row],[Date]]&amp;"|"&amp;tblCommentary[[#This Row],[Seq_Day]])</f>
        <v/>
      </c>
    </row>
    <row r="352">
      <c r="A352" s="54" t="n"/>
      <c r="B352" s="61" t="n"/>
      <c r="C352" s="58" t="n"/>
      <c r="D352" s="58" t="n"/>
      <c r="E352" s="64">
        <f>IF(tblCommentary[[#This Row],[Date]]="","",COUNTIFS(INDEX(tblCommentary[Date],1):tblCommentary[[#This Row],[Date]],tblCommentary[[#This Row],[Date]]))</f>
        <v/>
      </c>
      <c r="F352" s="63">
        <f>IF(tblCommentary[[#This Row],[Date]]="","",tblCommentary[[#This Row],[Date]]&amp;"|"&amp;tblCommentary[[#This Row],[Seq_Day]])</f>
        <v/>
      </c>
    </row>
    <row r="353">
      <c r="A353" s="54" t="n"/>
      <c r="B353" s="61" t="n"/>
      <c r="C353" s="58" t="n"/>
      <c r="D353" s="58" t="n"/>
      <c r="E353" s="64">
        <f>IF(tblCommentary[[#This Row],[Date]]="","",COUNTIFS(INDEX(tblCommentary[Date],1):tblCommentary[[#This Row],[Date]],tblCommentary[[#This Row],[Date]]))</f>
        <v/>
      </c>
      <c r="F353" s="63">
        <f>IF(tblCommentary[[#This Row],[Date]]="","",tblCommentary[[#This Row],[Date]]&amp;"|"&amp;tblCommentary[[#This Row],[Seq_Day]])</f>
        <v/>
      </c>
    </row>
    <row r="354">
      <c r="A354" s="54" t="n"/>
      <c r="B354" s="61" t="n"/>
      <c r="C354" s="58" t="n"/>
      <c r="D354" s="58" t="n"/>
      <c r="E354" s="64">
        <f>IF(tblCommentary[[#This Row],[Date]]="","",COUNTIFS(INDEX(tblCommentary[Date],1):tblCommentary[[#This Row],[Date]],tblCommentary[[#This Row],[Date]]))</f>
        <v/>
      </c>
      <c r="F354" s="63">
        <f>IF(tblCommentary[[#This Row],[Date]]="","",tblCommentary[[#This Row],[Date]]&amp;"|"&amp;tblCommentary[[#This Row],[Seq_Day]])</f>
        <v/>
      </c>
    </row>
    <row r="355">
      <c r="A355" s="54" t="n"/>
      <c r="B355" s="61" t="n"/>
      <c r="C355" s="58" t="n"/>
      <c r="D355" s="58" t="n"/>
      <c r="E355" s="64">
        <f>IF(tblCommentary[[#This Row],[Date]]="","",COUNTIFS(INDEX(tblCommentary[Date],1):tblCommentary[[#This Row],[Date]],tblCommentary[[#This Row],[Date]]))</f>
        <v/>
      </c>
      <c r="F355" s="63">
        <f>IF(tblCommentary[[#This Row],[Date]]="","",tblCommentary[[#This Row],[Date]]&amp;"|"&amp;tblCommentary[[#This Row],[Seq_Day]])</f>
        <v/>
      </c>
    </row>
    <row r="356">
      <c r="A356" s="54" t="n"/>
      <c r="B356" s="61" t="n"/>
      <c r="C356" s="58" t="n"/>
      <c r="D356" s="58" t="n"/>
      <c r="E356" s="64">
        <f>IF(tblCommentary[[#This Row],[Date]]="","",COUNTIFS(INDEX(tblCommentary[Date],1):tblCommentary[[#This Row],[Date]],tblCommentary[[#This Row],[Date]]))</f>
        <v/>
      </c>
      <c r="F356" s="63">
        <f>IF(tblCommentary[[#This Row],[Date]]="","",tblCommentary[[#This Row],[Date]]&amp;"|"&amp;tblCommentary[[#This Row],[Seq_Day]])</f>
        <v/>
      </c>
    </row>
    <row r="357">
      <c r="A357" s="54" t="n"/>
      <c r="B357" s="61" t="n"/>
      <c r="C357" s="58" t="n"/>
      <c r="D357" s="58" t="n"/>
      <c r="E357" s="64">
        <f>IF(tblCommentary[[#This Row],[Date]]="","",COUNTIFS(INDEX(tblCommentary[Date],1):tblCommentary[[#This Row],[Date]],tblCommentary[[#This Row],[Date]]))</f>
        <v/>
      </c>
      <c r="F357" s="63">
        <f>IF(tblCommentary[[#This Row],[Date]]="","",tblCommentary[[#This Row],[Date]]&amp;"|"&amp;tblCommentary[[#This Row],[Seq_Day]])</f>
        <v/>
      </c>
    </row>
    <row r="358">
      <c r="A358" s="54" t="n"/>
      <c r="B358" s="61" t="n"/>
      <c r="C358" s="58" t="n"/>
      <c r="D358" s="58" t="n"/>
      <c r="E358" s="64">
        <f>IF(tblCommentary[[#This Row],[Date]]="","",COUNTIFS(INDEX(tblCommentary[Date],1):tblCommentary[[#This Row],[Date]],tblCommentary[[#This Row],[Date]]))</f>
        <v/>
      </c>
      <c r="F358" s="63">
        <f>IF(tblCommentary[[#This Row],[Date]]="","",tblCommentary[[#This Row],[Date]]&amp;"|"&amp;tblCommentary[[#This Row],[Seq_Day]])</f>
        <v/>
      </c>
    </row>
    <row r="359">
      <c r="A359" s="54" t="n"/>
      <c r="B359" s="61" t="n"/>
      <c r="C359" s="58" t="n"/>
      <c r="D359" s="58" t="n"/>
      <c r="E359" s="64">
        <f>IF(tblCommentary[[#This Row],[Date]]="","",COUNTIFS(INDEX(tblCommentary[Date],1):tblCommentary[[#This Row],[Date]],tblCommentary[[#This Row],[Date]]))</f>
        <v/>
      </c>
      <c r="F359" s="63">
        <f>IF(tblCommentary[[#This Row],[Date]]="","",tblCommentary[[#This Row],[Date]]&amp;"|"&amp;tblCommentary[[#This Row],[Seq_Day]])</f>
        <v/>
      </c>
    </row>
    <row r="360">
      <c r="A360" s="54" t="n"/>
      <c r="B360" s="61" t="n"/>
      <c r="C360" s="58" t="n"/>
      <c r="D360" s="58" t="n"/>
      <c r="E360" s="64">
        <f>IF(tblCommentary[[#This Row],[Date]]="","",COUNTIFS(INDEX(tblCommentary[Date],1):tblCommentary[[#This Row],[Date]],tblCommentary[[#This Row],[Date]]))</f>
        <v/>
      </c>
      <c r="F360" s="63">
        <f>IF(tblCommentary[[#This Row],[Date]]="","",tblCommentary[[#This Row],[Date]]&amp;"|"&amp;tblCommentary[[#This Row],[Seq_Day]])</f>
        <v/>
      </c>
    </row>
    <row r="361">
      <c r="A361" s="54" t="n"/>
      <c r="B361" s="61" t="n"/>
      <c r="C361" s="58" t="n"/>
      <c r="D361" s="58" t="n"/>
      <c r="E361" s="64">
        <f>IF(tblCommentary[[#This Row],[Date]]="","",COUNTIFS(INDEX(tblCommentary[Date],1):tblCommentary[[#This Row],[Date]],tblCommentary[[#This Row],[Date]]))</f>
        <v/>
      </c>
      <c r="F361" s="63">
        <f>IF(tblCommentary[[#This Row],[Date]]="","",tblCommentary[[#This Row],[Date]]&amp;"|"&amp;tblCommentary[[#This Row],[Seq_Day]])</f>
        <v/>
      </c>
    </row>
    <row r="362">
      <c r="A362" s="54" t="n"/>
      <c r="B362" s="61" t="n"/>
      <c r="C362" s="58" t="n"/>
      <c r="D362" s="58" t="n"/>
      <c r="E362" s="64">
        <f>IF(tblCommentary[[#This Row],[Date]]="","",COUNTIFS(INDEX(tblCommentary[Date],1):tblCommentary[[#This Row],[Date]],tblCommentary[[#This Row],[Date]]))</f>
        <v/>
      </c>
      <c r="F362" s="63">
        <f>IF(tblCommentary[[#This Row],[Date]]="","",tblCommentary[[#This Row],[Date]]&amp;"|"&amp;tblCommentary[[#This Row],[Seq_Day]])</f>
        <v/>
      </c>
    </row>
    <row r="363">
      <c r="A363" s="54" t="n"/>
      <c r="B363" s="61" t="n"/>
      <c r="C363" s="58" t="n"/>
      <c r="D363" s="58" t="n"/>
      <c r="E363" s="64">
        <f>IF(tblCommentary[[#This Row],[Date]]="","",COUNTIFS(INDEX(tblCommentary[Date],1):tblCommentary[[#This Row],[Date]],tblCommentary[[#This Row],[Date]]))</f>
        <v/>
      </c>
      <c r="F363" s="63">
        <f>IF(tblCommentary[[#This Row],[Date]]="","",tblCommentary[[#This Row],[Date]]&amp;"|"&amp;tblCommentary[[#This Row],[Seq_Day]])</f>
        <v/>
      </c>
    </row>
    <row r="364">
      <c r="A364" s="54" t="n"/>
      <c r="B364" s="61" t="n"/>
      <c r="C364" s="58" t="n"/>
      <c r="D364" s="58" t="n"/>
      <c r="E364" s="64">
        <f>IF(tblCommentary[[#This Row],[Date]]="","",COUNTIFS(INDEX(tblCommentary[Date],1):tblCommentary[[#This Row],[Date]],tblCommentary[[#This Row],[Date]]))</f>
        <v/>
      </c>
      <c r="F364" s="63">
        <f>IF(tblCommentary[[#This Row],[Date]]="","",tblCommentary[[#This Row],[Date]]&amp;"|"&amp;tblCommentary[[#This Row],[Seq_Day]])</f>
        <v/>
      </c>
    </row>
    <row r="365">
      <c r="A365" s="54" t="n"/>
      <c r="B365" s="61" t="n"/>
      <c r="C365" s="58" t="n"/>
      <c r="D365" s="58" t="n"/>
      <c r="E365" s="64">
        <f>IF(tblCommentary[[#This Row],[Date]]="","",COUNTIFS(INDEX(tblCommentary[Date],1):tblCommentary[[#This Row],[Date]],tblCommentary[[#This Row],[Date]]))</f>
        <v/>
      </c>
      <c r="F365" s="63">
        <f>IF(tblCommentary[[#This Row],[Date]]="","",tblCommentary[[#This Row],[Date]]&amp;"|"&amp;tblCommentary[[#This Row],[Seq_Day]])</f>
        <v/>
      </c>
    </row>
    <row r="366">
      <c r="A366" s="54" t="n"/>
      <c r="B366" s="61" t="n"/>
      <c r="C366" s="58" t="n"/>
      <c r="D366" s="58" t="n"/>
      <c r="E366" s="64">
        <f>IF(tblCommentary[[#This Row],[Date]]="","",COUNTIFS(INDEX(tblCommentary[Date],1):tblCommentary[[#This Row],[Date]],tblCommentary[[#This Row],[Date]]))</f>
        <v/>
      </c>
      <c r="F366" s="63">
        <f>IF(tblCommentary[[#This Row],[Date]]="","",tblCommentary[[#This Row],[Date]]&amp;"|"&amp;tblCommentary[[#This Row],[Seq_Day]])</f>
        <v/>
      </c>
    </row>
    <row r="367">
      <c r="A367" s="54" t="n"/>
      <c r="B367" s="61" t="n"/>
      <c r="C367" s="58" t="n"/>
      <c r="D367" s="58" t="n"/>
      <c r="E367" s="64">
        <f>IF(tblCommentary[[#This Row],[Date]]="","",COUNTIFS(INDEX(tblCommentary[Date],1):tblCommentary[[#This Row],[Date]],tblCommentary[[#This Row],[Date]]))</f>
        <v/>
      </c>
      <c r="F367" s="63">
        <f>IF(tblCommentary[[#This Row],[Date]]="","",tblCommentary[[#This Row],[Date]]&amp;"|"&amp;tblCommentary[[#This Row],[Seq_Day]])</f>
        <v/>
      </c>
    </row>
    <row r="368">
      <c r="A368" s="54" t="n"/>
      <c r="B368" s="61" t="n"/>
      <c r="C368" s="58" t="n"/>
      <c r="D368" s="58" t="n"/>
      <c r="E368" s="64">
        <f>IF(tblCommentary[[#This Row],[Date]]="","",COUNTIFS(INDEX(tblCommentary[Date],1):tblCommentary[[#This Row],[Date]],tblCommentary[[#This Row],[Date]]))</f>
        <v/>
      </c>
      <c r="F368" s="63">
        <f>IF(tblCommentary[[#This Row],[Date]]="","",tblCommentary[[#This Row],[Date]]&amp;"|"&amp;tblCommentary[[#This Row],[Seq_Day]])</f>
        <v/>
      </c>
    </row>
    <row r="369">
      <c r="A369" s="54" t="n"/>
      <c r="B369" s="61" t="n"/>
      <c r="C369" s="58" t="n"/>
      <c r="D369" s="58" t="n"/>
      <c r="E369" s="64">
        <f>IF(tblCommentary[[#This Row],[Date]]="","",COUNTIFS(INDEX(tblCommentary[Date],1):tblCommentary[[#This Row],[Date]],tblCommentary[[#This Row],[Date]]))</f>
        <v/>
      </c>
      <c r="F369" s="63">
        <f>IF(tblCommentary[[#This Row],[Date]]="","",tblCommentary[[#This Row],[Date]]&amp;"|"&amp;tblCommentary[[#This Row],[Seq_Day]])</f>
        <v/>
      </c>
    </row>
    <row r="370">
      <c r="A370" s="54" t="n"/>
      <c r="B370" s="61" t="n"/>
      <c r="C370" s="58" t="n"/>
      <c r="D370" s="58" t="n"/>
      <c r="E370" s="64">
        <f>IF(tblCommentary[[#This Row],[Date]]="","",COUNTIFS(INDEX(tblCommentary[Date],1):tblCommentary[[#This Row],[Date]],tblCommentary[[#This Row],[Date]]))</f>
        <v/>
      </c>
      <c r="F370" s="63">
        <f>IF(tblCommentary[[#This Row],[Date]]="","",tblCommentary[[#This Row],[Date]]&amp;"|"&amp;tblCommentary[[#This Row],[Seq_Day]])</f>
        <v/>
      </c>
    </row>
    <row r="371">
      <c r="A371" s="54" t="n"/>
      <c r="B371" s="61" t="n"/>
      <c r="C371" s="58" t="n"/>
      <c r="D371" s="58" t="n"/>
      <c r="E371" s="64">
        <f>IF(tblCommentary[[#This Row],[Date]]="","",COUNTIFS(INDEX(tblCommentary[Date],1):tblCommentary[[#This Row],[Date]],tblCommentary[[#This Row],[Date]]))</f>
        <v/>
      </c>
      <c r="F371" s="63">
        <f>IF(tblCommentary[[#This Row],[Date]]="","",tblCommentary[[#This Row],[Date]]&amp;"|"&amp;tblCommentary[[#This Row],[Seq_Day]])</f>
        <v/>
      </c>
    </row>
    <row r="372">
      <c r="A372" s="54" t="n"/>
      <c r="B372" s="61" t="n"/>
      <c r="C372" s="58" t="n"/>
      <c r="D372" s="58" t="n"/>
      <c r="E372" s="64">
        <f>IF(tblCommentary[[#This Row],[Date]]="","",COUNTIFS(INDEX(tblCommentary[Date],1):tblCommentary[[#This Row],[Date]],tblCommentary[[#This Row],[Date]]))</f>
        <v/>
      </c>
      <c r="F372" s="63">
        <f>IF(tblCommentary[[#This Row],[Date]]="","",tblCommentary[[#This Row],[Date]]&amp;"|"&amp;tblCommentary[[#This Row],[Seq_Day]])</f>
        <v/>
      </c>
    </row>
    <row r="373">
      <c r="A373" s="54" t="n"/>
      <c r="B373" s="61" t="n"/>
      <c r="C373" s="58" t="n"/>
      <c r="D373" s="58" t="n"/>
      <c r="E373" s="64">
        <f>IF(tblCommentary[[#This Row],[Date]]="","",COUNTIFS(INDEX(tblCommentary[Date],1):tblCommentary[[#This Row],[Date]],tblCommentary[[#This Row],[Date]]))</f>
        <v/>
      </c>
      <c r="F373" s="63">
        <f>IF(tblCommentary[[#This Row],[Date]]="","",tblCommentary[[#This Row],[Date]]&amp;"|"&amp;tblCommentary[[#This Row],[Seq_Day]])</f>
        <v/>
      </c>
    </row>
    <row r="374">
      <c r="A374" s="54" t="n"/>
      <c r="B374" s="61" t="n"/>
      <c r="C374" s="58" t="n"/>
      <c r="D374" s="58" t="n"/>
      <c r="E374" s="64">
        <f>IF(tblCommentary[[#This Row],[Date]]="","",COUNTIFS(INDEX(tblCommentary[Date],1):tblCommentary[[#This Row],[Date]],tblCommentary[[#This Row],[Date]]))</f>
        <v/>
      </c>
      <c r="F374" s="63">
        <f>IF(tblCommentary[[#This Row],[Date]]="","",tblCommentary[[#This Row],[Date]]&amp;"|"&amp;tblCommentary[[#This Row],[Seq_Day]])</f>
        <v/>
      </c>
    </row>
    <row r="375">
      <c r="A375" s="54" t="n"/>
      <c r="B375" s="61" t="n"/>
      <c r="C375" s="58" t="n"/>
      <c r="D375" s="58" t="n"/>
      <c r="E375" s="64">
        <f>IF(tblCommentary[[#This Row],[Date]]="","",COUNTIFS(INDEX(tblCommentary[Date],1):tblCommentary[[#This Row],[Date]],tblCommentary[[#This Row],[Date]]))</f>
        <v/>
      </c>
      <c r="F375" s="63">
        <f>IF(tblCommentary[[#This Row],[Date]]="","",tblCommentary[[#This Row],[Date]]&amp;"|"&amp;tblCommentary[[#This Row],[Seq_Day]])</f>
        <v/>
      </c>
    </row>
    <row r="376">
      <c r="A376" s="54" t="n"/>
      <c r="B376" s="61" t="n"/>
      <c r="C376" s="58" t="n"/>
      <c r="D376" s="58" t="n"/>
      <c r="E376" s="64">
        <f>IF(tblCommentary[[#This Row],[Date]]="","",COUNTIFS(INDEX(tblCommentary[Date],1):tblCommentary[[#This Row],[Date]],tblCommentary[[#This Row],[Date]]))</f>
        <v/>
      </c>
      <c r="F376" s="63">
        <f>IF(tblCommentary[[#This Row],[Date]]="","",tblCommentary[[#This Row],[Date]]&amp;"|"&amp;tblCommentary[[#This Row],[Seq_Day]])</f>
        <v/>
      </c>
    </row>
    <row r="377">
      <c r="A377" s="54" t="n"/>
      <c r="B377" s="61" t="n"/>
      <c r="C377" s="58" t="n"/>
      <c r="D377" s="58" t="n"/>
      <c r="E377" s="64">
        <f>IF(tblCommentary[[#This Row],[Date]]="","",COUNTIFS(INDEX(tblCommentary[Date],1):tblCommentary[[#This Row],[Date]],tblCommentary[[#This Row],[Date]]))</f>
        <v/>
      </c>
      <c r="F377" s="63">
        <f>IF(tblCommentary[[#This Row],[Date]]="","",tblCommentary[[#This Row],[Date]]&amp;"|"&amp;tblCommentary[[#This Row],[Seq_Day]])</f>
        <v/>
      </c>
    </row>
    <row r="378">
      <c r="A378" s="54" t="n"/>
      <c r="B378" s="61" t="n"/>
      <c r="C378" s="58" t="n"/>
      <c r="D378" s="58" t="n"/>
      <c r="E378" s="64">
        <f>IF(tblCommentary[[#This Row],[Date]]="","",COUNTIFS(INDEX(tblCommentary[Date],1):tblCommentary[[#This Row],[Date]],tblCommentary[[#This Row],[Date]]))</f>
        <v/>
      </c>
      <c r="F378" s="63">
        <f>IF(tblCommentary[[#This Row],[Date]]="","",tblCommentary[[#This Row],[Date]]&amp;"|"&amp;tblCommentary[[#This Row],[Seq_Day]])</f>
        <v/>
      </c>
    </row>
    <row r="379">
      <c r="A379" s="54" t="n"/>
      <c r="B379" s="61" t="n"/>
      <c r="C379" s="58" t="n"/>
      <c r="D379" s="58" t="n"/>
      <c r="E379" s="64">
        <f>IF(tblCommentary[[#This Row],[Date]]="","",COUNTIFS(INDEX(tblCommentary[Date],1):tblCommentary[[#This Row],[Date]],tblCommentary[[#This Row],[Date]]))</f>
        <v/>
      </c>
      <c r="F379" s="63">
        <f>IF(tblCommentary[[#This Row],[Date]]="","",tblCommentary[[#This Row],[Date]]&amp;"|"&amp;tblCommentary[[#This Row],[Seq_Day]])</f>
        <v/>
      </c>
    </row>
    <row r="380">
      <c r="A380" s="54" t="n"/>
      <c r="B380" s="61" t="n"/>
      <c r="C380" s="58" t="n"/>
      <c r="D380" s="58" t="n"/>
      <c r="E380" s="64">
        <f>IF(tblCommentary[[#This Row],[Date]]="","",COUNTIFS(INDEX(tblCommentary[Date],1):tblCommentary[[#This Row],[Date]],tblCommentary[[#This Row],[Date]]))</f>
        <v/>
      </c>
      <c r="F380" s="63">
        <f>IF(tblCommentary[[#This Row],[Date]]="","",tblCommentary[[#This Row],[Date]]&amp;"|"&amp;tblCommentary[[#This Row],[Seq_Day]])</f>
        <v/>
      </c>
    </row>
    <row r="381">
      <c r="A381" s="54" t="n"/>
      <c r="B381" s="61" t="n"/>
      <c r="C381" s="58" t="n"/>
      <c r="D381" s="58" t="n"/>
      <c r="E381" s="64">
        <f>IF(tblCommentary[[#This Row],[Date]]="","",COUNTIFS(INDEX(tblCommentary[Date],1):tblCommentary[[#This Row],[Date]],tblCommentary[[#This Row],[Date]]))</f>
        <v/>
      </c>
      <c r="F381" s="63">
        <f>IF(tblCommentary[[#This Row],[Date]]="","",tblCommentary[[#This Row],[Date]]&amp;"|"&amp;tblCommentary[[#This Row],[Seq_Day]])</f>
        <v/>
      </c>
    </row>
    <row r="382">
      <c r="A382" s="54" t="n"/>
      <c r="B382" s="61" t="n"/>
      <c r="C382" s="58" t="n"/>
      <c r="D382" s="58" t="n"/>
      <c r="E382" s="64">
        <f>IF(tblCommentary[[#This Row],[Date]]="","",COUNTIFS(INDEX(tblCommentary[Date],1):tblCommentary[[#This Row],[Date]],tblCommentary[[#This Row],[Date]]))</f>
        <v/>
      </c>
      <c r="F382" s="63">
        <f>IF(tblCommentary[[#This Row],[Date]]="","",tblCommentary[[#This Row],[Date]]&amp;"|"&amp;tblCommentary[[#This Row],[Seq_Day]])</f>
        <v/>
      </c>
    </row>
    <row r="383">
      <c r="A383" s="54" t="n"/>
      <c r="B383" s="61" t="n"/>
      <c r="C383" s="58" t="n"/>
      <c r="D383" s="58" t="n"/>
      <c r="E383" s="64">
        <f>IF(tblCommentary[[#This Row],[Date]]="","",COUNTIFS(INDEX(tblCommentary[Date],1):tblCommentary[[#This Row],[Date]],tblCommentary[[#This Row],[Date]]))</f>
        <v/>
      </c>
      <c r="F383" s="63">
        <f>IF(tblCommentary[[#This Row],[Date]]="","",tblCommentary[[#This Row],[Date]]&amp;"|"&amp;tblCommentary[[#This Row],[Seq_Day]])</f>
        <v/>
      </c>
    </row>
    <row r="384">
      <c r="A384" s="54" t="n"/>
      <c r="B384" s="61" t="n"/>
      <c r="C384" s="58" t="n"/>
      <c r="D384" s="58" t="n"/>
      <c r="E384" s="64">
        <f>IF(tblCommentary[[#This Row],[Date]]="","",COUNTIFS(INDEX(tblCommentary[Date],1):tblCommentary[[#This Row],[Date]],tblCommentary[[#This Row],[Date]]))</f>
        <v/>
      </c>
      <c r="F384" s="63">
        <f>IF(tblCommentary[[#This Row],[Date]]="","",tblCommentary[[#This Row],[Date]]&amp;"|"&amp;tblCommentary[[#This Row],[Seq_Day]])</f>
        <v/>
      </c>
    </row>
    <row r="385">
      <c r="A385" s="54" t="n"/>
      <c r="B385" s="61" t="n"/>
      <c r="C385" s="58" t="n"/>
      <c r="D385" s="58" t="n"/>
      <c r="E385" s="64">
        <f>IF(tblCommentary[[#This Row],[Date]]="","",COUNTIFS(INDEX(tblCommentary[Date],1):tblCommentary[[#This Row],[Date]],tblCommentary[[#This Row],[Date]]))</f>
        <v/>
      </c>
      <c r="F385" s="63">
        <f>IF(tblCommentary[[#This Row],[Date]]="","",tblCommentary[[#This Row],[Date]]&amp;"|"&amp;tblCommentary[[#This Row],[Seq_Day]])</f>
        <v/>
      </c>
    </row>
    <row r="386">
      <c r="A386" s="54" t="n"/>
      <c r="B386" s="61" t="n"/>
      <c r="C386" s="58" t="n"/>
      <c r="D386" s="58" t="n"/>
      <c r="E386" s="64">
        <f>IF(tblCommentary[[#This Row],[Date]]="","",COUNTIFS(INDEX(tblCommentary[Date],1):tblCommentary[[#This Row],[Date]],tblCommentary[[#This Row],[Date]]))</f>
        <v/>
      </c>
      <c r="F386" s="63">
        <f>IF(tblCommentary[[#This Row],[Date]]="","",tblCommentary[[#This Row],[Date]]&amp;"|"&amp;tblCommentary[[#This Row],[Seq_Day]])</f>
        <v/>
      </c>
    </row>
    <row r="387">
      <c r="A387" s="54" t="n"/>
      <c r="B387" s="61" t="n"/>
      <c r="C387" s="58" t="n"/>
      <c r="D387" s="58" t="n"/>
      <c r="E387" s="64">
        <f>IF(tblCommentary[[#This Row],[Date]]="","",COUNTIFS(INDEX(tblCommentary[Date],1):tblCommentary[[#This Row],[Date]],tblCommentary[[#This Row],[Date]]))</f>
        <v/>
      </c>
      <c r="F387" s="63">
        <f>IF(tblCommentary[[#This Row],[Date]]="","",tblCommentary[[#This Row],[Date]]&amp;"|"&amp;tblCommentary[[#This Row],[Seq_Day]])</f>
        <v/>
      </c>
    </row>
    <row r="388">
      <c r="A388" s="54" t="n"/>
      <c r="B388" s="61" t="n"/>
      <c r="C388" s="58" t="n"/>
      <c r="D388" s="58" t="n"/>
      <c r="E388" s="64">
        <f>IF(tblCommentary[[#This Row],[Date]]="","",COUNTIFS(INDEX(tblCommentary[Date],1):tblCommentary[[#This Row],[Date]],tblCommentary[[#This Row],[Date]]))</f>
        <v/>
      </c>
      <c r="F388" s="63">
        <f>IF(tblCommentary[[#This Row],[Date]]="","",tblCommentary[[#This Row],[Date]]&amp;"|"&amp;tblCommentary[[#This Row],[Seq_Day]])</f>
        <v/>
      </c>
    </row>
    <row r="389">
      <c r="A389" s="54" t="n"/>
      <c r="B389" s="61" t="n"/>
      <c r="C389" s="58" t="n"/>
      <c r="D389" s="58" t="n"/>
      <c r="E389" s="64">
        <f>IF(tblCommentary[[#This Row],[Date]]="","",COUNTIFS(INDEX(tblCommentary[Date],1):tblCommentary[[#This Row],[Date]],tblCommentary[[#This Row],[Date]]))</f>
        <v/>
      </c>
      <c r="F389" s="63">
        <f>IF(tblCommentary[[#This Row],[Date]]="","",tblCommentary[[#This Row],[Date]]&amp;"|"&amp;tblCommentary[[#This Row],[Seq_Day]])</f>
        <v/>
      </c>
    </row>
    <row r="390">
      <c r="A390" s="54" t="n"/>
      <c r="B390" s="61" t="n"/>
      <c r="C390" s="58" t="n"/>
      <c r="D390" s="58" t="n"/>
      <c r="E390" s="64">
        <f>IF(tblCommentary[[#This Row],[Date]]="","",COUNTIFS(INDEX(tblCommentary[Date],1):tblCommentary[[#This Row],[Date]],tblCommentary[[#This Row],[Date]]))</f>
        <v/>
      </c>
      <c r="F390" s="63">
        <f>IF(tblCommentary[[#This Row],[Date]]="","",tblCommentary[[#This Row],[Date]]&amp;"|"&amp;tblCommentary[[#This Row],[Seq_Day]])</f>
        <v/>
      </c>
    </row>
    <row r="391">
      <c r="A391" s="54" t="n"/>
      <c r="B391" s="61" t="n"/>
      <c r="C391" s="58" t="n"/>
      <c r="D391" s="58" t="n"/>
      <c r="E391" s="64">
        <f>IF(tblCommentary[[#This Row],[Date]]="","",COUNTIFS(INDEX(tblCommentary[Date],1):tblCommentary[[#This Row],[Date]],tblCommentary[[#This Row],[Date]]))</f>
        <v/>
      </c>
      <c r="F391" s="63">
        <f>IF(tblCommentary[[#This Row],[Date]]="","",tblCommentary[[#This Row],[Date]]&amp;"|"&amp;tblCommentary[[#This Row],[Seq_Day]])</f>
        <v/>
      </c>
    </row>
    <row r="392">
      <c r="A392" s="54" t="n"/>
      <c r="B392" s="61" t="n"/>
      <c r="C392" s="58" t="n"/>
      <c r="D392" s="58" t="n"/>
      <c r="E392" s="64">
        <f>IF(tblCommentary[[#This Row],[Date]]="","",COUNTIFS(INDEX(tblCommentary[Date],1):tblCommentary[[#This Row],[Date]],tblCommentary[[#This Row],[Date]]))</f>
        <v/>
      </c>
      <c r="F392" s="63">
        <f>IF(tblCommentary[[#This Row],[Date]]="","",tblCommentary[[#This Row],[Date]]&amp;"|"&amp;tblCommentary[[#This Row],[Seq_Day]])</f>
        <v/>
      </c>
    </row>
    <row r="393">
      <c r="A393" s="54" t="n"/>
      <c r="B393" s="61" t="n"/>
      <c r="C393" s="58" t="n"/>
      <c r="D393" s="58" t="n"/>
      <c r="E393" s="64">
        <f>IF(tblCommentary[[#This Row],[Date]]="","",COUNTIFS(INDEX(tblCommentary[Date],1):tblCommentary[[#This Row],[Date]],tblCommentary[[#This Row],[Date]]))</f>
        <v/>
      </c>
      <c r="F393" s="63">
        <f>IF(tblCommentary[[#This Row],[Date]]="","",tblCommentary[[#This Row],[Date]]&amp;"|"&amp;tblCommentary[[#This Row],[Seq_Day]])</f>
        <v/>
      </c>
    </row>
    <row r="394">
      <c r="A394" s="54" t="n"/>
      <c r="B394" s="61" t="n"/>
      <c r="C394" s="58" t="n"/>
      <c r="D394" s="58" t="n"/>
      <c r="E394" s="64">
        <f>IF(tblCommentary[[#This Row],[Date]]="","",COUNTIFS(INDEX(tblCommentary[Date],1):tblCommentary[[#This Row],[Date]],tblCommentary[[#This Row],[Date]]))</f>
        <v/>
      </c>
      <c r="F394" s="63">
        <f>IF(tblCommentary[[#This Row],[Date]]="","",tblCommentary[[#This Row],[Date]]&amp;"|"&amp;tblCommentary[[#This Row],[Seq_Day]])</f>
        <v/>
      </c>
    </row>
    <row r="395">
      <c r="A395" s="54" t="n"/>
      <c r="B395" s="61" t="n"/>
      <c r="C395" s="58" t="n"/>
      <c r="D395" s="58" t="n"/>
      <c r="E395" s="64">
        <f>IF(tblCommentary[[#This Row],[Date]]="","",COUNTIFS(INDEX(tblCommentary[Date],1):tblCommentary[[#This Row],[Date]],tblCommentary[[#This Row],[Date]]))</f>
        <v/>
      </c>
      <c r="F395" s="63">
        <f>IF(tblCommentary[[#This Row],[Date]]="","",tblCommentary[[#This Row],[Date]]&amp;"|"&amp;tblCommentary[[#This Row],[Seq_Day]])</f>
        <v/>
      </c>
    </row>
    <row r="396">
      <c r="A396" s="54" t="n"/>
      <c r="B396" s="61" t="n"/>
      <c r="C396" s="58" t="n"/>
      <c r="D396" s="58" t="n"/>
      <c r="E396" s="64">
        <f>IF(tblCommentary[[#This Row],[Date]]="","",COUNTIFS(INDEX(tblCommentary[Date],1):tblCommentary[[#This Row],[Date]],tblCommentary[[#This Row],[Date]]))</f>
        <v/>
      </c>
      <c r="F396" s="63">
        <f>IF(tblCommentary[[#This Row],[Date]]="","",tblCommentary[[#This Row],[Date]]&amp;"|"&amp;tblCommentary[[#This Row],[Seq_Day]])</f>
        <v/>
      </c>
    </row>
    <row r="397">
      <c r="A397" s="54" t="n"/>
      <c r="B397" s="61" t="n"/>
      <c r="C397" s="58" t="n"/>
      <c r="D397" s="58" t="n"/>
      <c r="E397" s="64">
        <f>IF(tblCommentary[[#This Row],[Date]]="","",COUNTIFS(INDEX(tblCommentary[Date],1):tblCommentary[[#This Row],[Date]],tblCommentary[[#This Row],[Date]]))</f>
        <v/>
      </c>
      <c r="F397" s="63">
        <f>IF(tblCommentary[[#This Row],[Date]]="","",tblCommentary[[#This Row],[Date]]&amp;"|"&amp;tblCommentary[[#This Row],[Seq_Day]])</f>
        <v/>
      </c>
    </row>
    <row r="398">
      <c r="A398" s="54" t="n"/>
      <c r="B398" s="61" t="n"/>
      <c r="C398" s="58" t="n"/>
      <c r="D398" s="58" t="n"/>
      <c r="E398" s="64">
        <f>IF(tblCommentary[[#This Row],[Date]]="","",COUNTIFS(INDEX(tblCommentary[Date],1):tblCommentary[[#This Row],[Date]],tblCommentary[[#This Row],[Date]]))</f>
        <v/>
      </c>
      <c r="F398" s="63">
        <f>IF(tblCommentary[[#This Row],[Date]]="","",tblCommentary[[#This Row],[Date]]&amp;"|"&amp;tblCommentary[[#This Row],[Seq_Day]])</f>
        <v/>
      </c>
    </row>
    <row r="399">
      <c r="A399" s="54" t="n"/>
      <c r="B399" s="61" t="n"/>
      <c r="C399" s="58" t="n"/>
      <c r="D399" s="58" t="n"/>
      <c r="E399" s="64">
        <f>IF(tblCommentary[[#This Row],[Date]]="","",COUNTIFS(INDEX(tblCommentary[Date],1):tblCommentary[[#This Row],[Date]],tblCommentary[[#This Row],[Date]]))</f>
        <v/>
      </c>
      <c r="F399" s="63">
        <f>IF(tblCommentary[[#This Row],[Date]]="","",tblCommentary[[#This Row],[Date]]&amp;"|"&amp;tblCommentary[[#This Row],[Seq_Day]])</f>
        <v/>
      </c>
    </row>
    <row r="400">
      <c r="A400" s="54" t="n"/>
      <c r="B400" s="61" t="n"/>
      <c r="C400" s="58" t="n"/>
      <c r="D400" s="58" t="n"/>
      <c r="E400" s="64">
        <f>IF(tblCommentary[[#This Row],[Date]]="","",COUNTIFS(INDEX(tblCommentary[Date],1):tblCommentary[[#This Row],[Date]],tblCommentary[[#This Row],[Date]]))</f>
        <v/>
      </c>
      <c r="F400" s="63">
        <f>IF(tblCommentary[[#This Row],[Date]]="","",tblCommentary[[#This Row],[Date]]&amp;"|"&amp;tblCommentary[[#This Row],[Seq_Day]])</f>
        <v/>
      </c>
    </row>
    <row r="401">
      <c r="A401" s="54" t="n"/>
      <c r="B401" s="61" t="n"/>
      <c r="C401" s="58" t="n"/>
      <c r="D401" s="58" t="n"/>
      <c r="E401" s="64">
        <f>IF(tblCommentary[[#This Row],[Date]]="","",COUNTIFS(INDEX(tblCommentary[Date],1):tblCommentary[[#This Row],[Date]],tblCommentary[[#This Row],[Date]]))</f>
        <v/>
      </c>
      <c r="F401" s="63">
        <f>IF(tblCommentary[[#This Row],[Date]]="","",tblCommentary[[#This Row],[Date]]&amp;"|"&amp;tblCommentary[[#This Row],[Seq_Day]])</f>
        <v/>
      </c>
    </row>
    <row r="402">
      <c r="A402" s="54" t="n"/>
      <c r="B402" s="61" t="n"/>
      <c r="C402" s="58" t="n"/>
      <c r="D402" s="58" t="n"/>
      <c r="E402" s="64">
        <f>IF(tblCommentary[[#This Row],[Date]]="","",COUNTIFS(INDEX(tblCommentary[Date],1):tblCommentary[[#This Row],[Date]],tblCommentary[[#This Row],[Date]]))</f>
        <v/>
      </c>
      <c r="F402" s="63">
        <f>IF(tblCommentary[[#This Row],[Date]]="","",tblCommentary[[#This Row],[Date]]&amp;"|"&amp;tblCommentary[[#This Row],[Seq_Day]])</f>
        <v/>
      </c>
    </row>
    <row r="403">
      <c r="A403" s="54" t="n"/>
      <c r="B403" s="61" t="n"/>
      <c r="C403" s="58" t="n"/>
      <c r="D403" s="58" t="n"/>
      <c r="E403" s="64">
        <f>IF(tblCommentary[[#This Row],[Date]]="","",COUNTIFS(INDEX(tblCommentary[Date],1):tblCommentary[[#This Row],[Date]],tblCommentary[[#This Row],[Date]]))</f>
        <v/>
      </c>
      <c r="F403" s="63">
        <f>IF(tblCommentary[[#This Row],[Date]]="","",tblCommentary[[#This Row],[Date]]&amp;"|"&amp;tblCommentary[[#This Row],[Seq_Day]])</f>
        <v/>
      </c>
    </row>
    <row r="404">
      <c r="A404" s="54" t="n"/>
      <c r="B404" s="61" t="n"/>
      <c r="C404" s="58" t="n"/>
      <c r="D404" s="58" t="n"/>
      <c r="E404" s="64">
        <f>IF(tblCommentary[[#This Row],[Date]]="","",COUNTIFS(INDEX(tblCommentary[Date],1):tblCommentary[[#This Row],[Date]],tblCommentary[[#This Row],[Date]]))</f>
        <v/>
      </c>
      <c r="F404" s="63">
        <f>IF(tblCommentary[[#This Row],[Date]]="","",tblCommentary[[#This Row],[Date]]&amp;"|"&amp;tblCommentary[[#This Row],[Seq_Day]])</f>
        <v/>
      </c>
    </row>
    <row r="405">
      <c r="A405" s="54" t="n"/>
      <c r="B405" s="61" t="n"/>
      <c r="C405" s="58" t="n"/>
      <c r="D405" s="58" t="n"/>
      <c r="E405" s="64">
        <f>IF(tblCommentary[[#This Row],[Date]]="","",COUNTIFS(INDEX(tblCommentary[Date],1):tblCommentary[[#This Row],[Date]],tblCommentary[[#This Row],[Date]]))</f>
        <v/>
      </c>
      <c r="F405" s="63">
        <f>IF(tblCommentary[[#This Row],[Date]]="","",tblCommentary[[#This Row],[Date]]&amp;"|"&amp;tblCommentary[[#This Row],[Seq_Day]])</f>
        <v/>
      </c>
    </row>
    <row r="406">
      <c r="A406" s="54" t="n"/>
      <c r="B406" s="61" t="n"/>
      <c r="C406" s="58" t="n"/>
      <c r="D406" s="58" t="n"/>
      <c r="E406" s="64">
        <f>IF(tblCommentary[[#This Row],[Date]]="","",COUNTIFS(INDEX(tblCommentary[Date],1):tblCommentary[[#This Row],[Date]],tblCommentary[[#This Row],[Date]]))</f>
        <v/>
      </c>
      <c r="F406" s="63">
        <f>IF(tblCommentary[[#This Row],[Date]]="","",tblCommentary[[#This Row],[Date]]&amp;"|"&amp;tblCommentary[[#This Row],[Seq_Day]])</f>
        <v/>
      </c>
    </row>
    <row r="407">
      <c r="A407" s="54" t="n"/>
      <c r="B407" s="61" t="n"/>
      <c r="C407" s="58" t="n"/>
      <c r="D407" s="58" t="n"/>
      <c r="E407" s="64">
        <f>IF(tblCommentary[[#This Row],[Date]]="","",COUNTIFS(INDEX(tblCommentary[Date],1):tblCommentary[[#This Row],[Date]],tblCommentary[[#This Row],[Date]]))</f>
        <v/>
      </c>
      <c r="F407" s="63">
        <f>IF(tblCommentary[[#This Row],[Date]]="","",tblCommentary[[#This Row],[Date]]&amp;"|"&amp;tblCommentary[[#This Row],[Seq_Day]])</f>
        <v/>
      </c>
    </row>
    <row r="408">
      <c r="A408" s="54" t="n"/>
      <c r="B408" s="61" t="n"/>
      <c r="C408" s="58" t="n"/>
      <c r="D408" s="58" t="n"/>
      <c r="E408" s="64">
        <f>IF(tblCommentary[[#This Row],[Date]]="","",COUNTIFS(INDEX(tblCommentary[Date],1):tblCommentary[[#This Row],[Date]],tblCommentary[[#This Row],[Date]]))</f>
        <v/>
      </c>
      <c r="F408" s="63">
        <f>IF(tblCommentary[[#This Row],[Date]]="","",tblCommentary[[#This Row],[Date]]&amp;"|"&amp;tblCommentary[[#This Row],[Seq_Day]])</f>
        <v/>
      </c>
    </row>
    <row r="409">
      <c r="A409" s="54" t="n"/>
      <c r="B409" s="61" t="n"/>
      <c r="C409" s="58" t="n"/>
      <c r="D409" s="58" t="n"/>
      <c r="E409" s="64">
        <f>IF(tblCommentary[[#This Row],[Date]]="","",COUNTIFS(INDEX(tblCommentary[Date],1):tblCommentary[[#This Row],[Date]],tblCommentary[[#This Row],[Date]]))</f>
        <v/>
      </c>
      <c r="F409" s="63">
        <f>IF(tblCommentary[[#This Row],[Date]]="","",tblCommentary[[#This Row],[Date]]&amp;"|"&amp;tblCommentary[[#This Row],[Seq_Day]])</f>
        <v/>
      </c>
    </row>
    <row r="410">
      <c r="A410" s="54" t="n"/>
      <c r="B410" s="61" t="n"/>
      <c r="C410" s="58" t="n"/>
      <c r="D410" s="58" t="n"/>
      <c r="E410" s="64">
        <f>IF(tblCommentary[[#This Row],[Date]]="","",COUNTIFS(INDEX(tblCommentary[Date],1):tblCommentary[[#This Row],[Date]],tblCommentary[[#This Row],[Date]]))</f>
        <v/>
      </c>
      <c r="F410" s="63">
        <f>IF(tblCommentary[[#This Row],[Date]]="","",tblCommentary[[#This Row],[Date]]&amp;"|"&amp;tblCommentary[[#This Row],[Seq_Day]])</f>
        <v/>
      </c>
    </row>
    <row r="411">
      <c r="A411" s="54" t="n"/>
      <c r="B411" s="61" t="n"/>
      <c r="C411" s="58" t="n"/>
      <c r="D411" s="58" t="n"/>
      <c r="E411" s="64">
        <f>IF(tblCommentary[[#This Row],[Date]]="","",COUNTIFS(INDEX(tblCommentary[Date],1):tblCommentary[[#This Row],[Date]],tblCommentary[[#This Row],[Date]]))</f>
        <v/>
      </c>
      <c r="F411" s="63">
        <f>IF(tblCommentary[[#This Row],[Date]]="","",tblCommentary[[#This Row],[Date]]&amp;"|"&amp;tblCommentary[[#This Row],[Seq_Day]])</f>
        <v/>
      </c>
    </row>
    <row r="412">
      <c r="A412" s="54" t="n"/>
      <c r="B412" s="61" t="n"/>
      <c r="C412" s="58" t="n"/>
      <c r="D412" s="58" t="n"/>
      <c r="E412" s="64">
        <f>IF(tblCommentary[[#This Row],[Date]]="","",COUNTIFS(INDEX(tblCommentary[Date],1):tblCommentary[[#This Row],[Date]],tblCommentary[[#This Row],[Date]]))</f>
        <v/>
      </c>
      <c r="F412" s="63">
        <f>IF(tblCommentary[[#This Row],[Date]]="","",tblCommentary[[#This Row],[Date]]&amp;"|"&amp;tblCommentary[[#This Row],[Seq_Day]])</f>
        <v/>
      </c>
    </row>
    <row r="413">
      <c r="A413" s="54" t="n"/>
      <c r="B413" s="61" t="n"/>
      <c r="C413" s="58" t="n"/>
      <c r="D413" s="58" t="n"/>
      <c r="E413" s="64">
        <f>IF(tblCommentary[[#This Row],[Date]]="","",COUNTIFS(INDEX(tblCommentary[Date],1):tblCommentary[[#This Row],[Date]],tblCommentary[[#This Row],[Date]]))</f>
        <v/>
      </c>
      <c r="F413" s="63">
        <f>IF(tblCommentary[[#This Row],[Date]]="","",tblCommentary[[#This Row],[Date]]&amp;"|"&amp;tblCommentary[[#This Row],[Seq_Day]])</f>
        <v/>
      </c>
    </row>
    <row r="414">
      <c r="A414" s="54" t="n"/>
      <c r="B414" s="61" t="n"/>
      <c r="C414" s="58" t="n"/>
      <c r="D414" s="58" t="n"/>
      <c r="E414" s="64">
        <f>IF(tblCommentary[[#This Row],[Date]]="","",COUNTIFS(INDEX(tblCommentary[Date],1):tblCommentary[[#This Row],[Date]],tblCommentary[[#This Row],[Date]]))</f>
        <v/>
      </c>
      <c r="F414" s="63">
        <f>IF(tblCommentary[[#This Row],[Date]]="","",tblCommentary[[#This Row],[Date]]&amp;"|"&amp;tblCommentary[[#This Row],[Seq_Day]])</f>
        <v/>
      </c>
    </row>
    <row r="415">
      <c r="A415" s="54" t="n"/>
      <c r="B415" s="61" t="n"/>
      <c r="C415" s="58" t="n"/>
      <c r="D415" s="58" t="n"/>
      <c r="E415" s="64">
        <f>IF(tblCommentary[[#This Row],[Date]]="","",COUNTIFS(INDEX(tblCommentary[Date],1):tblCommentary[[#This Row],[Date]],tblCommentary[[#This Row],[Date]]))</f>
        <v/>
      </c>
      <c r="F415" s="63">
        <f>IF(tblCommentary[[#This Row],[Date]]="","",tblCommentary[[#This Row],[Date]]&amp;"|"&amp;tblCommentary[[#This Row],[Seq_Day]])</f>
        <v/>
      </c>
    </row>
    <row r="416">
      <c r="A416" s="54" t="n"/>
      <c r="B416" s="61" t="n"/>
      <c r="C416" s="58" t="n"/>
      <c r="D416" s="58" t="n"/>
      <c r="E416" s="64">
        <f>IF(tblCommentary[[#This Row],[Date]]="","",COUNTIFS(INDEX(tblCommentary[Date],1):tblCommentary[[#This Row],[Date]],tblCommentary[[#This Row],[Date]]))</f>
        <v/>
      </c>
      <c r="F416" s="63">
        <f>IF(tblCommentary[[#This Row],[Date]]="","",tblCommentary[[#This Row],[Date]]&amp;"|"&amp;tblCommentary[[#This Row],[Seq_Day]])</f>
        <v/>
      </c>
    </row>
    <row r="417">
      <c r="A417" s="54" t="n"/>
      <c r="B417" s="61" t="n"/>
      <c r="C417" s="58" t="n"/>
      <c r="D417" s="58" t="n"/>
      <c r="E417" s="64">
        <f>IF(tblCommentary[[#This Row],[Date]]="","",COUNTIFS(INDEX(tblCommentary[Date],1):tblCommentary[[#This Row],[Date]],tblCommentary[[#This Row],[Date]]))</f>
        <v/>
      </c>
      <c r="F417" s="63">
        <f>IF(tblCommentary[[#This Row],[Date]]="","",tblCommentary[[#This Row],[Date]]&amp;"|"&amp;tblCommentary[[#This Row],[Seq_Day]])</f>
        <v/>
      </c>
    </row>
    <row r="418">
      <c r="A418" s="54" t="n"/>
      <c r="B418" s="61" t="n"/>
      <c r="C418" s="58" t="n"/>
      <c r="D418" s="58" t="n"/>
      <c r="E418" s="64">
        <f>IF(tblCommentary[[#This Row],[Date]]="","",COUNTIFS(INDEX(tblCommentary[Date],1):tblCommentary[[#This Row],[Date]],tblCommentary[[#This Row],[Date]]))</f>
        <v/>
      </c>
      <c r="F418" s="63">
        <f>IF(tblCommentary[[#This Row],[Date]]="","",tblCommentary[[#This Row],[Date]]&amp;"|"&amp;tblCommentary[[#This Row],[Seq_Day]])</f>
        <v/>
      </c>
    </row>
    <row r="419">
      <c r="A419" s="54" t="n"/>
      <c r="B419" s="61" t="n"/>
      <c r="C419" s="58" t="n"/>
      <c r="D419" s="58" t="n"/>
      <c r="E419" s="64">
        <f>IF(tblCommentary[[#This Row],[Date]]="","",COUNTIFS(INDEX(tblCommentary[Date],1):tblCommentary[[#This Row],[Date]],tblCommentary[[#This Row],[Date]]))</f>
        <v/>
      </c>
      <c r="F419" s="63">
        <f>IF(tblCommentary[[#This Row],[Date]]="","",tblCommentary[[#This Row],[Date]]&amp;"|"&amp;tblCommentary[[#This Row],[Seq_Day]])</f>
        <v/>
      </c>
    </row>
    <row r="420">
      <c r="A420" s="54" t="n"/>
      <c r="B420" s="61" t="n"/>
      <c r="C420" s="58" t="n"/>
      <c r="D420" s="58" t="n"/>
      <c r="E420" s="64">
        <f>IF(tblCommentary[[#This Row],[Date]]="","",COUNTIFS(INDEX(tblCommentary[Date],1):tblCommentary[[#This Row],[Date]],tblCommentary[[#This Row],[Date]]))</f>
        <v/>
      </c>
      <c r="F420" s="63">
        <f>IF(tblCommentary[[#This Row],[Date]]="","",tblCommentary[[#This Row],[Date]]&amp;"|"&amp;tblCommentary[[#This Row],[Seq_Day]])</f>
        <v/>
      </c>
    </row>
    <row r="421">
      <c r="A421" s="54" t="n"/>
      <c r="B421" s="61" t="n"/>
      <c r="C421" s="58" t="n"/>
      <c r="D421" s="58" t="n"/>
      <c r="E421" s="64">
        <f>IF(tblCommentary[[#This Row],[Date]]="","",COUNTIFS(INDEX(tblCommentary[Date],1):tblCommentary[[#This Row],[Date]],tblCommentary[[#This Row],[Date]]))</f>
        <v/>
      </c>
      <c r="F421" s="63">
        <f>IF(tblCommentary[[#This Row],[Date]]="","",tblCommentary[[#This Row],[Date]]&amp;"|"&amp;tblCommentary[[#This Row],[Seq_Day]])</f>
        <v/>
      </c>
    </row>
    <row r="422">
      <c r="A422" s="54" t="n"/>
      <c r="B422" s="61" t="n"/>
      <c r="C422" s="58" t="n"/>
      <c r="D422" s="58" t="n"/>
      <c r="E422" s="64">
        <f>IF(tblCommentary[[#This Row],[Date]]="","",COUNTIFS(INDEX(tblCommentary[Date],1):tblCommentary[[#This Row],[Date]],tblCommentary[[#This Row],[Date]]))</f>
        <v/>
      </c>
      <c r="F422" s="63">
        <f>IF(tblCommentary[[#This Row],[Date]]="","",tblCommentary[[#This Row],[Date]]&amp;"|"&amp;tblCommentary[[#This Row],[Seq_Day]])</f>
        <v/>
      </c>
    </row>
    <row r="423">
      <c r="A423" s="54" t="n"/>
      <c r="B423" s="61" t="n"/>
      <c r="C423" s="58" t="n"/>
      <c r="D423" s="58" t="n"/>
      <c r="E423" s="64">
        <f>IF(tblCommentary[[#This Row],[Date]]="","",COUNTIFS(INDEX(tblCommentary[Date],1):tblCommentary[[#This Row],[Date]],tblCommentary[[#This Row],[Date]]))</f>
        <v/>
      </c>
      <c r="F423" s="63">
        <f>IF(tblCommentary[[#This Row],[Date]]="","",tblCommentary[[#This Row],[Date]]&amp;"|"&amp;tblCommentary[[#This Row],[Seq_Day]])</f>
        <v/>
      </c>
    </row>
    <row r="424">
      <c r="A424" s="54" t="n"/>
      <c r="B424" s="61" t="n"/>
      <c r="C424" s="58" t="n"/>
      <c r="D424" s="58" t="n"/>
      <c r="E424" s="64">
        <f>IF(tblCommentary[[#This Row],[Date]]="","",COUNTIFS(INDEX(tblCommentary[Date],1):tblCommentary[[#This Row],[Date]],tblCommentary[[#This Row],[Date]]))</f>
        <v/>
      </c>
      <c r="F424" s="63">
        <f>IF(tblCommentary[[#This Row],[Date]]="","",tblCommentary[[#This Row],[Date]]&amp;"|"&amp;tblCommentary[[#This Row],[Seq_Day]])</f>
        <v/>
      </c>
    </row>
    <row r="425">
      <c r="A425" s="54" t="n"/>
      <c r="B425" s="61" t="n"/>
      <c r="C425" s="58" t="n"/>
      <c r="D425" s="58" t="n"/>
      <c r="E425" s="64">
        <f>IF(tblCommentary[[#This Row],[Date]]="","",COUNTIFS(INDEX(tblCommentary[Date],1):tblCommentary[[#This Row],[Date]],tblCommentary[[#This Row],[Date]]))</f>
        <v/>
      </c>
      <c r="F425" s="63">
        <f>IF(tblCommentary[[#This Row],[Date]]="","",tblCommentary[[#This Row],[Date]]&amp;"|"&amp;tblCommentary[[#This Row],[Seq_Day]])</f>
        <v/>
      </c>
    </row>
    <row r="426">
      <c r="A426" s="54" t="n"/>
      <c r="B426" s="61" t="n"/>
      <c r="C426" s="58" t="n"/>
      <c r="D426" s="58" t="n"/>
      <c r="E426" s="64">
        <f>IF(tblCommentary[[#This Row],[Date]]="","",COUNTIFS(INDEX(tblCommentary[Date],1):tblCommentary[[#This Row],[Date]],tblCommentary[[#This Row],[Date]]))</f>
        <v/>
      </c>
      <c r="F426" s="63">
        <f>IF(tblCommentary[[#This Row],[Date]]="","",tblCommentary[[#This Row],[Date]]&amp;"|"&amp;tblCommentary[[#This Row],[Seq_Day]])</f>
        <v/>
      </c>
    </row>
    <row r="427">
      <c r="A427" s="54" t="n"/>
      <c r="B427" s="61" t="n"/>
      <c r="C427" s="58" t="n"/>
      <c r="D427" s="58" t="n"/>
      <c r="E427" s="64">
        <f>IF(tblCommentary[[#This Row],[Date]]="","",COUNTIFS(INDEX(tblCommentary[Date],1):tblCommentary[[#This Row],[Date]],tblCommentary[[#This Row],[Date]]))</f>
        <v/>
      </c>
      <c r="F427" s="63">
        <f>IF(tblCommentary[[#This Row],[Date]]="","",tblCommentary[[#This Row],[Date]]&amp;"|"&amp;tblCommentary[[#This Row],[Seq_Day]])</f>
        <v/>
      </c>
    </row>
    <row r="428">
      <c r="A428" s="54" t="n"/>
      <c r="B428" s="61" t="n"/>
      <c r="C428" s="58" t="n"/>
      <c r="D428" s="58" t="n"/>
      <c r="E428" s="64">
        <f>IF(tblCommentary[[#This Row],[Date]]="","",COUNTIFS(INDEX(tblCommentary[Date],1):tblCommentary[[#This Row],[Date]],tblCommentary[[#This Row],[Date]]))</f>
        <v/>
      </c>
      <c r="F428" s="63">
        <f>IF(tblCommentary[[#This Row],[Date]]="","",tblCommentary[[#This Row],[Date]]&amp;"|"&amp;tblCommentary[[#This Row],[Seq_Day]])</f>
        <v/>
      </c>
    </row>
    <row r="429">
      <c r="A429" s="54" t="n"/>
      <c r="B429" s="61" t="n"/>
      <c r="C429" s="58" t="n"/>
      <c r="D429" s="58" t="n"/>
      <c r="E429" s="64">
        <f>IF(tblCommentary[[#This Row],[Date]]="","",COUNTIFS(INDEX(tblCommentary[Date],1):tblCommentary[[#This Row],[Date]],tblCommentary[[#This Row],[Date]]))</f>
        <v/>
      </c>
      <c r="F429" s="63">
        <f>IF(tblCommentary[[#This Row],[Date]]="","",tblCommentary[[#This Row],[Date]]&amp;"|"&amp;tblCommentary[[#This Row],[Seq_Day]])</f>
        <v/>
      </c>
    </row>
    <row r="430">
      <c r="A430" s="54" t="n"/>
      <c r="B430" s="61" t="n"/>
      <c r="C430" s="58" t="n"/>
      <c r="D430" s="58" t="n"/>
      <c r="E430" s="64">
        <f>IF(tblCommentary[[#This Row],[Date]]="","",COUNTIFS(INDEX(tblCommentary[Date],1):tblCommentary[[#This Row],[Date]],tblCommentary[[#This Row],[Date]]))</f>
        <v/>
      </c>
      <c r="F430" s="63">
        <f>IF(tblCommentary[[#This Row],[Date]]="","",tblCommentary[[#This Row],[Date]]&amp;"|"&amp;tblCommentary[[#This Row],[Seq_Day]])</f>
        <v/>
      </c>
    </row>
    <row r="431">
      <c r="A431" s="54" t="n"/>
      <c r="B431" s="61" t="n"/>
      <c r="C431" s="58" t="n"/>
      <c r="D431" s="58" t="n"/>
      <c r="E431" s="64">
        <f>IF(tblCommentary[[#This Row],[Date]]="","",COUNTIFS(INDEX(tblCommentary[Date],1):tblCommentary[[#This Row],[Date]],tblCommentary[[#This Row],[Date]]))</f>
        <v/>
      </c>
      <c r="F431" s="63">
        <f>IF(tblCommentary[[#This Row],[Date]]="","",tblCommentary[[#This Row],[Date]]&amp;"|"&amp;tblCommentary[[#This Row],[Seq_Day]])</f>
        <v/>
      </c>
    </row>
    <row r="432">
      <c r="A432" s="54" t="n"/>
      <c r="B432" s="61" t="n"/>
      <c r="C432" s="58" t="n"/>
      <c r="D432" s="58" t="n"/>
      <c r="E432" s="64">
        <f>IF(tblCommentary[[#This Row],[Date]]="","",COUNTIFS(INDEX(tblCommentary[Date],1):tblCommentary[[#This Row],[Date]],tblCommentary[[#This Row],[Date]]))</f>
        <v/>
      </c>
      <c r="F432" s="63">
        <f>IF(tblCommentary[[#This Row],[Date]]="","",tblCommentary[[#This Row],[Date]]&amp;"|"&amp;tblCommentary[[#This Row],[Seq_Day]])</f>
        <v/>
      </c>
    </row>
    <row r="433">
      <c r="A433" s="54" t="n"/>
      <c r="B433" s="61" t="n"/>
      <c r="C433" s="58" t="n"/>
      <c r="D433" s="58" t="n"/>
      <c r="E433" s="64">
        <f>IF(tblCommentary[[#This Row],[Date]]="","",COUNTIFS(INDEX(tblCommentary[Date],1):tblCommentary[[#This Row],[Date]],tblCommentary[[#This Row],[Date]]))</f>
        <v/>
      </c>
      <c r="F433" s="63">
        <f>IF(tblCommentary[[#This Row],[Date]]="","",tblCommentary[[#This Row],[Date]]&amp;"|"&amp;tblCommentary[[#This Row],[Seq_Day]])</f>
        <v/>
      </c>
    </row>
    <row r="434">
      <c r="A434" s="54" t="n"/>
      <c r="B434" s="61" t="n"/>
      <c r="C434" s="58" t="n"/>
      <c r="D434" s="58" t="n"/>
      <c r="E434" s="64">
        <f>IF(tblCommentary[[#This Row],[Date]]="","",COUNTIFS(INDEX(tblCommentary[Date],1):tblCommentary[[#This Row],[Date]],tblCommentary[[#This Row],[Date]]))</f>
        <v/>
      </c>
      <c r="F434" s="63">
        <f>IF(tblCommentary[[#This Row],[Date]]="","",tblCommentary[[#This Row],[Date]]&amp;"|"&amp;tblCommentary[[#This Row],[Seq_Day]])</f>
        <v/>
      </c>
    </row>
    <row r="435">
      <c r="A435" s="54" t="n"/>
      <c r="B435" s="61" t="n"/>
      <c r="C435" s="58" t="n"/>
      <c r="D435" s="58" t="n"/>
      <c r="E435" s="64">
        <f>IF(tblCommentary[[#This Row],[Date]]="","",COUNTIFS(INDEX(tblCommentary[Date],1):tblCommentary[[#This Row],[Date]],tblCommentary[[#This Row],[Date]]))</f>
        <v/>
      </c>
      <c r="F435" s="63">
        <f>IF(tblCommentary[[#This Row],[Date]]="","",tblCommentary[[#This Row],[Date]]&amp;"|"&amp;tblCommentary[[#This Row],[Seq_Day]])</f>
        <v/>
      </c>
    </row>
    <row r="436">
      <c r="A436" s="54" t="n"/>
      <c r="B436" s="61" t="n"/>
      <c r="C436" s="58" t="n"/>
      <c r="D436" s="58" t="n"/>
      <c r="E436" s="64">
        <f>IF(tblCommentary[[#This Row],[Date]]="","",COUNTIFS(INDEX(tblCommentary[Date],1):tblCommentary[[#This Row],[Date]],tblCommentary[[#This Row],[Date]]))</f>
        <v/>
      </c>
      <c r="F436" s="63">
        <f>IF(tblCommentary[[#This Row],[Date]]="","",tblCommentary[[#This Row],[Date]]&amp;"|"&amp;tblCommentary[[#This Row],[Seq_Day]])</f>
        <v/>
      </c>
    </row>
    <row r="437">
      <c r="A437" s="54" t="n"/>
      <c r="B437" s="61" t="n"/>
      <c r="C437" s="58" t="n"/>
      <c r="D437" s="58" t="n"/>
      <c r="E437" s="64">
        <f>IF(tblCommentary[[#This Row],[Date]]="","",COUNTIFS(INDEX(tblCommentary[Date],1):tblCommentary[[#This Row],[Date]],tblCommentary[[#This Row],[Date]]))</f>
        <v/>
      </c>
      <c r="F437" s="63">
        <f>IF(tblCommentary[[#This Row],[Date]]="","",tblCommentary[[#This Row],[Date]]&amp;"|"&amp;tblCommentary[[#This Row],[Seq_Day]])</f>
        <v/>
      </c>
    </row>
    <row r="438">
      <c r="A438" s="54" t="n"/>
      <c r="B438" s="61" t="n"/>
      <c r="C438" s="58" t="n"/>
      <c r="D438" s="58" t="n"/>
      <c r="E438" s="64">
        <f>IF(tblCommentary[[#This Row],[Date]]="","",COUNTIFS(INDEX(tblCommentary[Date],1):tblCommentary[[#This Row],[Date]],tblCommentary[[#This Row],[Date]]))</f>
        <v/>
      </c>
      <c r="F438" s="63">
        <f>IF(tblCommentary[[#This Row],[Date]]="","",tblCommentary[[#This Row],[Date]]&amp;"|"&amp;tblCommentary[[#This Row],[Seq_Day]])</f>
        <v/>
      </c>
    </row>
    <row r="439">
      <c r="A439" s="54" t="n"/>
      <c r="B439" s="61" t="n"/>
      <c r="C439" s="58" t="n"/>
      <c r="D439" s="58" t="n"/>
      <c r="E439" s="64">
        <f>IF(tblCommentary[[#This Row],[Date]]="","",COUNTIFS(INDEX(tblCommentary[Date],1):tblCommentary[[#This Row],[Date]],tblCommentary[[#This Row],[Date]]))</f>
        <v/>
      </c>
      <c r="F439" s="63">
        <f>IF(tblCommentary[[#This Row],[Date]]="","",tblCommentary[[#This Row],[Date]]&amp;"|"&amp;tblCommentary[[#This Row],[Seq_Day]])</f>
        <v/>
      </c>
    </row>
    <row r="440">
      <c r="A440" s="54" t="n"/>
      <c r="B440" s="61" t="n"/>
      <c r="C440" s="58" t="n"/>
      <c r="D440" s="58" t="n"/>
      <c r="E440" s="64">
        <f>IF(tblCommentary[[#This Row],[Date]]="","",COUNTIFS(INDEX(tblCommentary[Date],1):tblCommentary[[#This Row],[Date]],tblCommentary[[#This Row],[Date]]))</f>
        <v/>
      </c>
      <c r="F440" s="63">
        <f>IF(tblCommentary[[#This Row],[Date]]="","",tblCommentary[[#This Row],[Date]]&amp;"|"&amp;tblCommentary[[#This Row],[Seq_Day]])</f>
        <v/>
      </c>
    </row>
    <row r="441">
      <c r="A441" s="54" t="n"/>
      <c r="B441" s="61" t="n"/>
      <c r="C441" s="58" t="n"/>
      <c r="D441" s="58" t="n"/>
      <c r="E441" s="64">
        <f>IF(tblCommentary[[#This Row],[Date]]="","",COUNTIFS(INDEX(tblCommentary[Date],1):tblCommentary[[#This Row],[Date]],tblCommentary[[#This Row],[Date]]))</f>
        <v/>
      </c>
      <c r="F441" s="63">
        <f>IF(tblCommentary[[#This Row],[Date]]="","",tblCommentary[[#This Row],[Date]]&amp;"|"&amp;tblCommentary[[#This Row],[Seq_Day]])</f>
        <v/>
      </c>
    </row>
    <row r="442">
      <c r="A442" s="54" t="n"/>
      <c r="B442" s="61" t="n"/>
      <c r="C442" s="58" t="n"/>
      <c r="D442" s="58" t="n"/>
      <c r="E442" s="64">
        <f>IF(tblCommentary[[#This Row],[Date]]="","",COUNTIFS(INDEX(tblCommentary[Date],1):tblCommentary[[#This Row],[Date]],tblCommentary[[#This Row],[Date]]))</f>
        <v/>
      </c>
      <c r="F442" s="63">
        <f>IF(tblCommentary[[#This Row],[Date]]="","",tblCommentary[[#This Row],[Date]]&amp;"|"&amp;tblCommentary[[#This Row],[Seq_Day]])</f>
        <v/>
      </c>
    </row>
    <row r="443">
      <c r="A443" s="54" t="n"/>
      <c r="B443" s="61" t="n"/>
      <c r="C443" s="58" t="n"/>
      <c r="D443" s="58" t="n"/>
      <c r="E443" s="64">
        <f>IF(tblCommentary[[#This Row],[Date]]="","",COUNTIFS(INDEX(tblCommentary[Date],1):tblCommentary[[#This Row],[Date]],tblCommentary[[#This Row],[Date]]))</f>
        <v/>
      </c>
      <c r="F443" s="63">
        <f>IF(tblCommentary[[#This Row],[Date]]="","",tblCommentary[[#This Row],[Date]]&amp;"|"&amp;tblCommentary[[#This Row],[Seq_Day]])</f>
        <v/>
      </c>
    </row>
    <row r="444">
      <c r="A444" s="54" t="n"/>
      <c r="B444" s="61" t="n"/>
      <c r="C444" s="58" t="n"/>
      <c r="D444" s="58" t="n"/>
      <c r="E444" s="64">
        <f>IF(tblCommentary[[#This Row],[Date]]="","",COUNTIFS(INDEX(tblCommentary[Date],1):tblCommentary[[#This Row],[Date]],tblCommentary[[#This Row],[Date]]))</f>
        <v/>
      </c>
      <c r="F444" s="63">
        <f>IF(tblCommentary[[#This Row],[Date]]="","",tblCommentary[[#This Row],[Date]]&amp;"|"&amp;tblCommentary[[#This Row],[Seq_Day]])</f>
        <v/>
      </c>
    </row>
    <row r="445">
      <c r="A445" s="54" t="n"/>
      <c r="B445" s="61" t="n"/>
      <c r="C445" s="58" t="n"/>
      <c r="D445" s="58" t="n"/>
      <c r="E445" s="64">
        <f>IF(tblCommentary[[#This Row],[Date]]="","",COUNTIFS(INDEX(tblCommentary[Date],1):tblCommentary[[#This Row],[Date]],tblCommentary[[#This Row],[Date]]))</f>
        <v/>
      </c>
      <c r="F445" s="63">
        <f>IF(tblCommentary[[#This Row],[Date]]="","",tblCommentary[[#This Row],[Date]]&amp;"|"&amp;tblCommentary[[#This Row],[Seq_Day]])</f>
        <v/>
      </c>
    </row>
    <row r="446">
      <c r="A446" s="54" t="n"/>
      <c r="B446" s="61" t="n"/>
      <c r="C446" s="58" t="n"/>
      <c r="D446" s="58" t="n"/>
      <c r="E446" s="64">
        <f>IF(tblCommentary[[#This Row],[Date]]="","",COUNTIFS(INDEX(tblCommentary[Date],1):tblCommentary[[#This Row],[Date]],tblCommentary[[#This Row],[Date]]))</f>
        <v/>
      </c>
      <c r="F446" s="63">
        <f>IF(tblCommentary[[#This Row],[Date]]="","",tblCommentary[[#This Row],[Date]]&amp;"|"&amp;tblCommentary[[#This Row],[Seq_Day]])</f>
        <v/>
      </c>
    </row>
    <row r="447">
      <c r="A447" s="54" t="n"/>
      <c r="B447" s="61" t="n"/>
      <c r="C447" s="58" t="n"/>
      <c r="D447" s="58" t="n"/>
      <c r="E447" s="64">
        <f>IF(tblCommentary[[#This Row],[Date]]="","",COUNTIFS(INDEX(tblCommentary[Date],1):tblCommentary[[#This Row],[Date]],tblCommentary[[#This Row],[Date]]))</f>
        <v/>
      </c>
      <c r="F447" s="63">
        <f>IF(tblCommentary[[#This Row],[Date]]="","",tblCommentary[[#This Row],[Date]]&amp;"|"&amp;tblCommentary[[#This Row],[Seq_Day]])</f>
        <v/>
      </c>
    </row>
    <row r="448">
      <c r="A448" s="54" t="n"/>
      <c r="B448" s="61" t="n"/>
      <c r="C448" s="58" t="n"/>
      <c r="D448" s="58" t="n"/>
      <c r="E448" s="64">
        <f>IF(tblCommentary[[#This Row],[Date]]="","",COUNTIFS(INDEX(tblCommentary[Date],1):tblCommentary[[#This Row],[Date]],tblCommentary[[#This Row],[Date]]))</f>
        <v/>
      </c>
      <c r="F448" s="63">
        <f>IF(tblCommentary[[#This Row],[Date]]="","",tblCommentary[[#This Row],[Date]]&amp;"|"&amp;tblCommentary[[#This Row],[Seq_Day]])</f>
        <v/>
      </c>
    </row>
    <row r="449">
      <c r="A449" s="54" t="n"/>
      <c r="B449" s="61" t="n"/>
      <c r="C449" s="58" t="n"/>
      <c r="D449" s="58" t="n"/>
      <c r="E449" s="64">
        <f>IF(tblCommentary[[#This Row],[Date]]="","",COUNTIFS(INDEX(tblCommentary[Date],1):tblCommentary[[#This Row],[Date]],tblCommentary[[#This Row],[Date]]))</f>
        <v/>
      </c>
      <c r="F449" s="63">
        <f>IF(tblCommentary[[#This Row],[Date]]="","",tblCommentary[[#This Row],[Date]]&amp;"|"&amp;tblCommentary[[#This Row],[Seq_Day]])</f>
        <v/>
      </c>
    </row>
    <row r="450">
      <c r="A450" s="54" t="n"/>
      <c r="B450" s="61" t="n"/>
      <c r="C450" s="58" t="n"/>
      <c r="D450" s="58" t="n"/>
      <c r="E450" s="64">
        <f>IF(tblCommentary[[#This Row],[Date]]="","",COUNTIFS(INDEX(tblCommentary[Date],1):tblCommentary[[#This Row],[Date]],tblCommentary[[#This Row],[Date]]))</f>
        <v/>
      </c>
      <c r="F450" s="63">
        <f>IF(tblCommentary[[#This Row],[Date]]="","",tblCommentary[[#This Row],[Date]]&amp;"|"&amp;tblCommentary[[#This Row],[Seq_Day]])</f>
        <v/>
      </c>
    </row>
    <row r="451">
      <c r="A451" s="54" t="n"/>
      <c r="B451" s="61" t="n"/>
      <c r="C451" s="58" t="n"/>
      <c r="D451" s="58" t="n"/>
      <c r="E451" s="64">
        <f>IF(tblCommentary[[#This Row],[Date]]="","",COUNTIFS(INDEX(tblCommentary[Date],1):tblCommentary[[#This Row],[Date]],tblCommentary[[#This Row],[Date]]))</f>
        <v/>
      </c>
      <c r="F451" s="63">
        <f>IF(tblCommentary[[#This Row],[Date]]="","",tblCommentary[[#This Row],[Date]]&amp;"|"&amp;tblCommentary[[#This Row],[Seq_Day]])</f>
        <v/>
      </c>
    </row>
    <row r="452">
      <c r="A452" s="54" t="n"/>
      <c r="B452" s="61" t="n"/>
      <c r="C452" s="58" t="n"/>
      <c r="D452" s="58" t="n"/>
      <c r="E452" s="64">
        <f>IF(tblCommentary[[#This Row],[Date]]="","",COUNTIFS(INDEX(tblCommentary[Date],1):tblCommentary[[#This Row],[Date]],tblCommentary[[#This Row],[Date]]))</f>
        <v/>
      </c>
      <c r="F452" s="63">
        <f>IF(tblCommentary[[#This Row],[Date]]="","",tblCommentary[[#This Row],[Date]]&amp;"|"&amp;tblCommentary[[#This Row],[Seq_Day]])</f>
        <v/>
      </c>
    </row>
    <row r="453">
      <c r="A453" s="54" t="n"/>
      <c r="B453" s="61" t="n"/>
      <c r="C453" s="58" t="n"/>
      <c r="D453" s="58" t="n"/>
      <c r="E453" s="64">
        <f>IF(tblCommentary[[#This Row],[Date]]="","",COUNTIFS(INDEX(tblCommentary[Date],1):tblCommentary[[#This Row],[Date]],tblCommentary[[#This Row],[Date]]))</f>
        <v/>
      </c>
      <c r="F453" s="63">
        <f>IF(tblCommentary[[#This Row],[Date]]="","",tblCommentary[[#This Row],[Date]]&amp;"|"&amp;tblCommentary[[#This Row],[Seq_Day]])</f>
        <v/>
      </c>
    </row>
    <row r="454">
      <c r="A454" s="54" t="n"/>
      <c r="B454" s="61" t="n"/>
      <c r="C454" s="58" t="n"/>
      <c r="D454" s="58" t="n"/>
      <c r="E454" s="64">
        <f>IF(tblCommentary[[#This Row],[Date]]="","",COUNTIFS(INDEX(tblCommentary[Date],1):tblCommentary[[#This Row],[Date]],tblCommentary[[#This Row],[Date]]))</f>
        <v/>
      </c>
      <c r="F454" s="63">
        <f>IF(tblCommentary[[#This Row],[Date]]="","",tblCommentary[[#This Row],[Date]]&amp;"|"&amp;tblCommentary[[#This Row],[Seq_Day]])</f>
        <v/>
      </c>
    </row>
    <row r="455">
      <c r="A455" s="54" t="n"/>
      <c r="B455" s="61" t="n"/>
      <c r="C455" s="58" t="n"/>
      <c r="D455" s="58" t="n"/>
      <c r="E455" s="64">
        <f>IF(tblCommentary[[#This Row],[Date]]="","",COUNTIFS(INDEX(tblCommentary[Date],1):tblCommentary[[#This Row],[Date]],tblCommentary[[#This Row],[Date]]))</f>
        <v/>
      </c>
      <c r="F455" s="63">
        <f>IF(tblCommentary[[#This Row],[Date]]="","",tblCommentary[[#This Row],[Date]]&amp;"|"&amp;tblCommentary[[#This Row],[Seq_Day]])</f>
        <v/>
      </c>
    </row>
    <row r="456">
      <c r="A456" s="54" t="n"/>
      <c r="B456" s="61" t="n"/>
      <c r="C456" s="58" t="n"/>
      <c r="D456" s="58" t="n"/>
      <c r="E456" s="64">
        <f>IF(tblCommentary[[#This Row],[Date]]="","",COUNTIFS(INDEX(tblCommentary[Date],1):tblCommentary[[#This Row],[Date]],tblCommentary[[#This Row],[Date]]))</f>
        <v/>
      </c>
      <c r="F456" s="63">
        <f>IF(tblCommentary[[#This Row],[Date]]="","",tblCommentary[[#This Row],[Date]]&amp;"|"&amp;tblCommentary[[#This Row],[Seq_Day]])</f>
        <v/>
      </c>
    </row>
    <row r="457">
      <c r="A457" s="54" t="n"/>
      <c r="B457" s="61" t="n"/>
      <c r="C457" s="58" t="n"/>
      <c r="D457" s="58" t="n"/>
      <c r="E457" s="64">
        <f>IF(tblCommentary[[#This Row],[Date]]="","",COUNTIFS(INDEX(tblCommentary[Date],1):tblCommentary[[#This Row],[Date]],tblCommentary[[#This Row],[Date]]))</f>
        <v/>
      </c>
      <c r="F457" s="63">
        <f>IF(tblCommentary[[#This Row],[Date]]="","",tblCommentary[[#This Row],[Date]]&amp;"|"&amp;tblCommentary[[#This Row],[Seq_Day]])</f>
        <v/>
      </c>
    </row>
    <row r="458">
      <c r="A458" s="54" t="n"/>
      <c r="B458" s="61" t="n"/>
      <c r="C458" s="58" t="n"/>
      <c r="D458" s="58" t="n"/>
      <c r="E458" s="64">
        <f>IF(tblCommentary[[#This Row],[Date]]="","",COUNTIFS(INDEX(tblCommentary[Date],1):tblCommentary[[#This Row],[Date]],tblCommentary[[#This Row],[Date]]))</f>
        <v/>
      </c>
      <c r="F458" s="63">
        <f>IF(tblCommentary[[#This Row],[Date]]="","",tblCommentary[[#This Row],[Date]]&amp;"|"&amp;tblCommentary[[#This Row],[Seq_Day]])</f>
        <v/>
      </c>
    </row>
    <row r="459">
      <c r="A459" s="54" t="n"/>
      <c r="B459" s="61" t="n"/>
      <c r="C459" s="58" t="n"/>
      <c r="D459" s="58" t="n"/>
      <c r="E459" s="64">
        <f>IF(tblCommentary[[#This Row],[Date]]="","",COUNTIFS(INDEX(tblCommentary[Date],1):tblCommentary[[#This Row],[Date]],tblCommentary[[#This Row],[Date]]))</f>
        <v/>
      </c>
      <c r="F459" s="63">
        <f>IF(tblCommentary[[#This Row],[Date]]="","",tblCommentary[[#This Row],[Date]]&amp;"|"&amp;tblCommentary[[#This Row],[Seq_Day]])</f>
        <v/>
      </c>
    </row>
    <row r="460">
      <c r="A460" s="54" t="n"/>
      <c r="B460" s="61" t="n"/>
      <c r="C460" s="58" t="n"/>
      <c r="D460" s="58" t="n"/>
      <c r="E460" s="64">
        <f>IF(tblCommentary[[#This Row],[Date]]="","",COUNTIFS(INDEX(tblCommentary[Date],1):tblCommentary[[#This Row],[Date]],tblCommentary[[#This Row],[Date]]))</f>
        <v/>
      </c>
      <c r="F460" s="63">
        <f>IF(tblCommentary[[#This Row],[Date]]="","",tblCommentary[[#This Row],[Date]]&amp;"|"&amp;tblCommentary[[#This Row],[Seq_Day]])</f>
        <v/>
      </c>
    </row>
    <row r="461">
      <c r="A461" s="54" t="n"/>
      <c r="B461" s="61" t="n"/>
      <c r="C461" s="58" t="n"/>
      <c r="D461" s="58" t="n"/>
      <c r="E461" s="64">
        <f>IF(tblCommentary[[#This Row],[Date]]="","",COUNTIFS(INDEX(tblCommentary[Date],1):tblCommentary[[#This Row],[Date]],tblCommentary[[#This Row],[Date]]))</f>
        <v/>
      </c>
      <c r="F461" s="63">
        <f>IF(tblCommentary[[#This Row],[Date]]="","",tblCommentary[[#This Row],[Date]]&amp;"|"&amp;tblCommentary[[#This Row],[Seq_Day]])</f>
        <v/>
      </c>
    </row>
    <row r="462">
      <c r="A462" s="54" t="n"/>
      <c r="B462" s="61" t="n"/>
      <c r="C462" s="58" t="n"/>
      <c r="D462" s="58" t="n"/>
      <c r="E462" s="64">
        <f>IF(tblCommentary[[#This Row],[Date]]="","",COUNTIFS(INDEX(tblCommentary[Date],1):tblCommentary[[#This Row],[Date]],tblCommentary[[#This Row],[Date]]))</f>
        <v/>
      </c>
      <c r="F462" s="63">
        <f>IF(tblCommentary[[#This Row],[Date]]="","",tblCommentary[[#This Row],[Date]]&amp;"|"&amp;tblCommentary[[#This Row],[Seq_Day]])</f>
        <v/>
      </c>
    </row>
    <row r="463">
      <c r="A463" s="54" t="n"/>
      <c r="B463" s="61" t="n"/>
      <c r="C463" s="58" t="n"/>
      <c r="D463" s="58" t="n"/>
      <c r="E463" s="64">
        <f>IF(tblCommentary[[#This Row],[Date]]="","",COUNTIFS(INDEX(tblCommentary[Date],1):tblCommentary[[#This Row],[Date]],tblCommentary[[#This Row],[Date]]))</f>
        <v/>
      </c>
      <c r="F463" s="63">
        <f>IF(tblCommentary[[#This Row],[Date]]="","",tblCommentary[[#This Row],[Date]]&amp;"|"&amp;tblCommentary[[#This Row],[Seq_Day]])</f>
        <v/>
      </c>
    </row>
    <row r="464">
      <c r="A464" s="54" t="n"/>
      <c r="B464" s="61" t="n"/>
      <c r="C464" s="58" t="n"/>
      <c r="D464" s="58" t="n"/>
      <c r="E464" s="64">
        <f>IF(tblCommentary[[#This Row],[Date]]="","",COUNTIFS(INDEX(tblCommentary[Date],1):tblCommentary[[#This Row],[Date]],tblCommentary[[#This Row],[Date]]))</f>
        <v/>
      </c>
      <c r="F464" s="63">
        <f>IF(tblCommentary[[#This Row],[Date]]="","",tblCommentary[[#This Row],[Date]]&amp;"|"&amp;tblCommentary[[#This Row],[Seq_Day]])</f>
        <v/>
      </c>
    </row>
    <row r="465">
      <c r="A465" s="54" t="n"/>
      <c r="B465" s="61" t="n"/>
      <c r="C465" s="58" t="n"/>
      <c r="D465" s="58" t="n"/>
      <c r="E465" s="64">
        <f>IF(tblCommentary[[#This Row],[Date]]="","",COUNTIFS(INDEX(tblCommentary[Date],1):tblCommentary[[#This Row],[Date]],tblCommentary[[#This Row],[Date]]))</f>
        <v/>
      </c>
      <c r="F465" s="63">
        <f>IF(tblCommentary[[#This Row],[Date]]="","",tblCommentary[[#This Row],[Date]]&amp;"|"&amp;tblCommentary[[#This Row],[Seq_Day]])</f>
        <v/>
      </c>
    </row>
    <row r="466">
      <c r="A466" s="54" t="n"/>
      <c r="B466" s="61" t="n"/>
      <c r="C466" s="58" t="n"/>
      <c r="D466" s="58" t="n"/>
      <c r="E466" s="64">
        <f>IF(tblCommentary[[#This Row],[Date]]="","",COUNTIFS(INDEX(tblCommentary[Date],1):tblCommentary[[#This Row],[Date]],tblCommentary[[#This Row],[Date]]))</f>
        <v/>
      </c>
      <c r="F466" s="63">
        <f>IF(tblCommentary[[#This Row],[Date]]="","",tblCommentary[[#This Row],[Date]]&amp;"|"&amp;tblCommentary[[#This Row],[Seq_Day]])</f>
        <v/>
      </c>
    </row>
    <row r="467">
      <c r="A467" s="54" t="n"/>
      <c r="B467" s="61" t="n"/>
      <c r="C467" s="58" t="n"/>
      <c r="D467" s="58" t="n"/>
      <c r="E467" s="64">
        <f>IF(tblCommentary[[#This Row],[Date]]="","",COUNTIFS(INDEX(tblCommentary[Date],1):tblCommentary[[#This Row],[Date]],tblCommentary[[#This Row],[Date]]))</f>
        <v/>
      </c>
      <c r="F467" s="63">
        <f>IF(tblCommentary[[#This Row],[Date]]="","",tblCommentary[[#This Row],[Date]]&amp;"|"&amp;tblCommentary[[#This Row],[Seq_Day]])</f>
        <v/>
      </c>
    </row>
    <row r="468">
      <c r="A468" s="54" t="n"/>
      <c r="B468" s="61" t="n"/>
      <c r="C468" s="58" t="n"/>
      <c r="D468" s="58" t="n"/>
      <c r="E468" s="64">
        <f>IF(tblCommentary[[#This Row],[Date]]="","",COUNTIFS(INDEX(tblCommentary[Date],1):tblCommentary[[#This Row],[Date]],tblCommentary[[#This Row],[Date]]))</f>
        <v/>
      </c>
      <c r="F468" s="63">
        <f>IF(tblCommentary[[#This Row],[Date]]="","",tblCommentary[[#This Row],[Date]]&amp;"|"&amp;tblCommentary[[#This Row],[Seq_Day]])</f>
        <v/>
      </c>
    </row>
    <row r="469">
      <c r="A469" s="54" t="n"/>
      <c r="B469" s="61" t="n"/>
      <c r="C469" s="58" t="n"/>
      <c r="D469" s="58" t="n"/>
      <c r="E469" s="64">
        <f>IF(tblCommentary[[#This Row],[Date]]="","",COUNTIFS(INDEX(tblCommentary[Date],1):tblCommentary[[#This Row],[Date]],tblCommentary[[#This Row],[Date]]))</f>
        <v/>
      </c>
      <c r="F469" s="63">
        <f>IF(tblCommentary[[#This Row],[Date]]="","",tblCommentary[[#This Row],[Date]]&amp;"|"&amp;tblCommentary[[#This Row],[Seq_Day]])</f>
        <v/>
      </c>
    </row>
    <row r="470">
      <c r="A470" s="54" t="n"/>
      <c r="B470" s="61" t="n"/>
      <c r="C470" s="58" t="n"/>
      <c r="D470" s="58" t="n"/>
      <c r="E470" s="64">
        <f>IF(tblCommentary[[#This Row],[Date]]="","",COUNTIFS(INDEX(tblCommentary[Date],1):tblCommentary[[#This Row],[Date]],tblCommentary[[#This Row],[Date]]))</f>
        <v/>
      </c>
      <c r="F470" s="63">
        <f>IF(tblCommentary[[#This Row],[Date]]="","",tblCommentary[[#This Row],[Date]]&amp;"|"&amp;tblCommentary[[#This Row],[Seq_Day]])</f>
        <v/>
      </c>
    </row>
    <row r="471">
      <c r="A471" s="54" t="n"/>
      <c r="B471" s="61" t="n"/>
      <c r="C471" s="58" t="n"/>
      <c r="D471" s="58" t="n"/>
      <c r="E471" s="64">
        <f>IF(tblCommentary[[#This Row],[Date]]="","",COUNTIFS(INDEX(tblCommentary[Date],1):tblCommentary[[#This Row],[Date]],tblCommentary[[#This Row],[Date]]))</f>
        <v/>
      </c>
      <c r="F471" s="63">
        <f>IF(tblCommentary[[#This Row],[Date]]="","",tblCommentary[[#This Row],[Date]]&amp;"|"&amp;tblCommentary[[#This Row],[Seq_Day]])</f>
        <v/>
      </c>
    </row>
    <row r="472">
      <c r="A472" s="54" t="n"/>
      <c r="B472" s="61" t="n"/>
      <c r="C472" s="58" t="n"/>
      <c r="D472" s="58" t="n"/>
      <c r="E472" s="64">
        <f>IF(tblCommentary[[#This Row],[Date]]="","",COUNTIFS(INDEX(tblCommentary[Date],1):tblCommentary[[#This Row],[Date]],tblCommentary[[#This Row],[Date]]))</f>
        <v/>
      </c>
      <c r="F472" s="63">
        <f>IF(tblCommentary[[#This Row],[Date]]="","",tblCommentary[[#This Row],[Date]]&amp;"|"&amp;tblCommentary[[#This Row],[Seq_Day]])</f>
        <v/>
      </c>
    </row>
    <row r="473">
      <c r="A473" s="54" t="n"/>
      <c r="B473" s="61" t="n"/>
      <c r="C473" s="58" t="n"/>
      <c r="D473" s="58" t="n"/>
      <c r="E473" s="64">
        <f>IF(tblCommentary[[#This Row],[Date]]="","",COUNTIFS(INDEX(tblCommentary[Date],1):tblCommentary[[#This Row],[Date]],tblCommentary[[#This Row],[Date]]))</f>
        <v/>
      </c>
      <c r="F473" s="63">
        <f>IF(tblCommentary[[#This Row],[Date]]="","",tblCommentary[[#This Row],[Date]]&amp;"|"&amp;tblCommentary[[#This Row],[Seq_Day]])</f>
        <v/>
      </c>
    </row>
    <row r="474">
      <c r="A474" s="54" t="n"/>
      <c r="B474" s="61" t="n"/>
      <c r="C474" s="58" t="n"/>
      <c r="D474" s="58" t="n"/>
      <c r="E474" s="64">
        <f>IF(tblCommentary[[#This Row],[Date]]="","",COUNTIFS(INDEX(tblCommentary[Date],1):tblCommentary[[#This Row],[Date]],tblCommentary[[#This Row],[Date]]))</f>
        <v/>
      </c>
      <c r="F474" s="63">
        <f>IF(tblCommentary[[#This Row],[Date]]="","",tblCommentary[[#This Row],[Date]]&amp;"|"&amp;tblCommentary[[#This Row],[Seq_Day]])</f>
        <v/>
      </c>
    </row>
    <row r="475">
      <c r="A475" s="54" t="n"/>
      <c r="B475" s="61" t="n"/>
      <c r="C475" s="58" t="n"/>
      <c r="D475" s="58" t="n"/>
      <c r="E475" s="64">
        <f>IF(tblCommentary[[#This Row],[Date]]="","",COUNTIFS(INDEX(tblCommentary[Date],1):tblCommentary[[#This Row],[Date]],tblCommentary[[#This Row],[Date]]))</f>
        <v/>
      </c>
      <c r="F475" s="63">
        <f>IF(tblCommentary[[#This Row],[Date]]="","",tblCommentary[[#This Row],[Date]]&amp;"|"&amp;tblCommentary[[#This Row],[Seq_Day]])</f>
        <v/>
      </c>
    </row>
    <row r="476">
      <c r="A476" s="54" t="n"/>
      <c r="B476" s="61" t="n"/>
      <c r="C476" s="58" t="n"/>
      <c r="D476" s="58" t="n"/>
      <c r="E476" s="64">
        <f>IF(tblCommentary[[#This Row],[Date]]="","",COUNTIFS(INDEX(tblCommentary[Date],1):tblCommentary[[#This Row],[Date]],tblCommentary[[#This Row],[Date]]))</f>
        <v/>
      </c>
      <c r="F476" s="63">
        <f>IF(tblCommentary[[#This Row],[Date]]="","",tblCommentary[[#This Row],[Date]]&amp;"|"&amp;tblCommentary[[#This Row],[Seq_Day]])</f>
        <v/>
      </c>
    </row>
    <row r="477">
      <c r="A477" s="54" t="n"/>
      <c r="B477" s="61" t="n"/>
      <c r="C477" s="58" t="n"/>
      <c r="D477" s="58" t="n"/>
      <c r="E477" s="64">
        <f>IF(tblCommentary[[#This Row],[Date]]="","",COUNTIFS(INDEX(tblCommentary[Date],1):tblCommentary[[#This Row],[Date]],tblCommentary[[#This Row],[Date]]))</f>
        <v/>
      </c>
      <c r="F477" s="63">
        <f>IF(tblCommentary[[#This Row],[Date]]="","",tblCommentary[[#This Row],[Date]]&amp;"|"&amp;tblCommentary[[#This Row],[Seq_Day]])</f>
        <v/>
      </c>
    </row>
    <row r="478">
      <c r="A478" s="54" t="n"/>
      <c r="B478" s="61" t="n"/>
      <c r="C478" s="58" t="n"/>
      <c r="D478" s="58" t="n"/>
      <c r="E478" s="64">
        <f>IF(tblCommentary[[#This Row],[Date]]="","",COUNTIFS(INDEX(tblCommentary[Date],1):tblCommentary[[#This Row],[Date]],tblCommentary[[#This Row],[Date]]))</f>
        <v/>
      </c>
      <c r="F478" s="63">
        <f>IF(tblCommentary[[#This Row],[Date]]="","",tblCommentary[[#This Row],[Date]]&amp;"|"&amp;tblCommentary[[#This Row],[Seq_Day]])</f>
        <v/>
      </c>
    </row>
    <row r="479">
      <c r="A479" s="54" t="n"/>
      <c r="B479" s="61" t="n"/>
      <c r="C479" s="58" t="n"/>
      <c r="D479" s="58" t="n"/>
      <c r="E479" s="64">
        <f>IF(tblCommentary[[#This Row],[Date]]="","",COUNTIFS(INDEX(tblCommentary[Date],1):tblCommentary[[#This Row],[Date]],tblCommentary[[#This Row],[Date]]))</f>
        <v/>
      </c>
      <c r="F479" s="63">
        <f>IF(tblCommentary[[#This Row],[Date]]="","",tblCommentary[[#This Row],[Date]]&amp;"|"&amp;tblCommentary[[#This Row],[Seq_Day]])</f>
        <v/>
      </c>
    </row>
    <row r="480">
      <c r="A480" s="54" t="n"/>
      <c r="B480" s="61" t="n"/>
      <c r="C480" s="58" t="n"/>
      <c r="D480" s="58" t="n"/>
      <c r="E480" s="64">
        <f>IF(tblCommentary[[#This Row],[Date]]="","",COUNTIFS(INDEX(tblCommentary[Date],1):tblCommentary[[#This Row],[Date]],tblCommentary[[#This Row],[Date]]))</f>
        <v/>
      </c>
      <c r="F480" s="63">
        <f>IF(tblCommentary[[#This Row],[Date]]="","",tblCommentary[[#This Row],[Date]]&amp;"|"&amp;tblCommentary[[#This Row],[Seq_Day]])</f>
        <v/>
      </c>
    </row>
    <row r="481">
      <c r="A481" s="54" t="n"/>
      <c r="B481" s="61" t="n"/>
      <c r="C481" s="58" t="n"/>
      <c r="D481" s="58" t="n"/>
      <c r="E481" s="64">
        <f>IF(tblCommentary[[#This Row],[Date]]="","",COUNTIFS(INDEX(tblCommentary[Date],1):tblCommentary[[#This Row],[Date]],tblCommentary[[#This Row],[Date]]))</f>
        <v/>
      </c>
      <c r="F481" s="63">
        <f>IF(tblCommentary[[#This Row],[Date]]="","",tblCommentary[[#This Row],[Date]]&amp;"|"&amp;tblCommentary[[#This Row],[Seq_Day]])</f>
        <v/>
      </c>
    </row>
    <row r="482">
      <c r="A482" s="54" t="n"/>
      <c r="B482" s="61" t="n"/>
      <c r="C482" s="58" t="n"/>
      <c r="D482" s="58" t="n"/>
      <c r="E482" s="64">
        <f>IF(tblCommentary[[#This Row],[Date]]="","",COUNTIFS(INDEX(tblCommentary[Date],1):tblCommentary[[#This Row],[Date]],tblCommentary[[#This Row],[Date]]))</f>
        <v/>
      </c>
      <c r="F482" s="63">
        <f>IF(tblCommentary[[#This Row],[Date]]="","",tblCommentary[[#This Row],[Date]]&amp;"|"&amp;tblCommentary[[#This Row],[Seq_Day]])</f>
        <v/>
      </c>
    </row>
    <row r="483">
      <c r="A483" s="54" t="n"/>
      <c r="B483" s="61" t="n"/>
      <c r="C483" s="58" t="n"/>
      <c r="D483" s="58" t="n"/>
      <c r="E483" s="64">
        <f>IF(tblCommentary[[#This Row],[Date]]="","",COUNTIFS(INDEX(tblCommentary[Date],1):tblCommentary[[#This Row],[Date]],tblCommentary[[#This Row],[Date]]))</f>
        <v/>
      </c>
      <c r="F483" s="63">
        <f>IF(tblCommentary[[#This Row],[Date]]="","",tblCommentary[[#This Row],[Date]]&amp;"|"&amp;tblCommentary[[#This Row],[Seq_Day]])</f>
        <v/>
      </c>
    </row>
    <row r="484">
      <c r="A484" s="54" t="n"/>
      <c r="B484" s="61" t="n"/>
      <c r="C484" s="58" t="n"/>
      <c r="D484" s="58" t="n"/>
      <c r="E484" s="64">
        <f>IF(tblCommentary[[#This Row],[Date]]="","",COUNTIFS(INDEX(tblCommentary[Date],1):tblCommentary[[#This Row],[Date]],tblCommentary[[#This Row],[Date]]))</f>
        <v/>
      </c>
      <c r="F484" s="63">
        <f>IF(tblCommentary[[#This Row],[Date]]="","",tblCommentary[[#This Row],[Date]]&amp;"|"&amp;tblCommentary[[#This Row],[Seq_Day]])</f>
        <v/>
      </c>
    </row>
    <row r="485">
      <c r="A485" s="54" t="n"/>
      <c r="B485" s="61" t="n"/>
      <c r="C485" s="58" t="n"/>
      <c r="D485" s="58" t="n"/>
      <c r="E485" s="64">
        <f>IF(tblCommentary[[#This Row],[Date]]="","",COUNTIFS(INDEX(tblCommentary[Date],1):tblCommentary[[#This Row],[Date]],tblCommentary[[#This Row],[Date]]))</f>
        <v/>
      </c>
      <c r="F485" s="63">
        <f>IF(tblCommentary[[#This Row],[Date]]="","",tblCommentary[[#This Row],[Date]]&amp;"|"&amp;tblCommentary[[#This Row],[Seq_Day]])</f>
        <v/>
      </c>
    </row>
    <row r="486">
      <c r="A486" s="54" t="n"/>
      <c r="B486" s="61" t="n"/>
      <c r="C486" s="58" t="n"/>
      <c r="D486" s="58" t="n"/>
      <c r="E486" s="64">
        <f>IF(tblCommentary[[#This Row],[Date]]="","",COUNTIFS(INDEX(tblCommentary[Date],1):tblCommentary[[#This Row],[Date]],tblCommentary[[#This Row],[Date]]))</f>
        <v/>
      </c>
      <c r="F486" s="63">
        <f>IF(tblCommentary[[#This Row],[Date]]="","",tblCommentary[[#This Row],[Date]]&amp;"|"&amp;tblCommentary[[#This Row],[Seq_Day]])</f>
        <v/>
      </c>
    </row>
    <row r="487">
      <c r="A487" s="54" t="n"/>
      <c r="B487" s="61" t="n"/>
      <c r="C487" s="58" t="n"/>
      <c r="D487" s="58" t="n"/>
      <c r="E487" s="64">
        <f>IF(tblCommentary[[#This Row],[Date]]="","",COUNTIFS(INDEX(tblCommentary[Date],1):tblCommentary[[#This Row],[Date]],tblCommentary[[#This Row],[Date]]))</f>
        <v/>
      </c>
      <c r="F487" s="63">
        <f>IF(tblCommentary[[#This Row],[Date]]="","",tblCommentary[[#This Row],[Date]]&amp;"|"&amp;tblCommentary[[#This Row],[Seq_Day]])</f>
        <v/>
      </c>
    </row>
    <row r="488">
      <c r="A488" s="54" t="n"/>
      <c r="B488" s="61" t="n"/>
      <c r="C488" s="58" t="n"/>
      <c r="D488" s="58" t="n"/>
      <c r="E488" s="64">
        <f>IF(tblCommentary[[#This Row],[Date]]="","",COUNTIFS(INDEX(tblCommentary[Date],1):tblCommentary[[#This Row],[Date]],tblCommentary[[#This Row],[Date]]))</f>
        <v/>
      </c>
      <c r="F488" s="63">
        <f>IF(tblCommentary[[#This Row],[Date]]="","",tblCommentary[[#This Row],[Date]]&amp;"|"&amp;tblCommentary[[#This Row],[Seq_Day]])</f>
        <v/>
      </c>
    </row>
    <row r="489">
      <c r="A489" s="54" t="n"/>
      <c r="B489" s="61" t="n"/>
      <c r="C489" s="58" t="n"/>
      <c r="D489" s="58" t="n"/>
      <c r="E489" s="64">
        <f>IF(tblCommentary[[#This Row],[Date]]="","",COUNTIFS(INDEX(tblCommentary[Date],1):tblCommentary[[#This Row],[Date]],tblCommentary[[#This Row],[Date]]))</f>
        <v/>
      </c>
      <c r="F489" s="63">
        <f>IF(tblCommentary[[#This Row],[Date]]="","",tblCommentary[[#This Row],[Date]]&amp;"|"&amp;tblCommentary[[#This Row],[Seq_Day]])</f>
        <v/>
      </c>
    </row>
    <row r="490">
      <c r="A490" s="54" t="n"/>
      <c r="B490" s="61" t="n"/>
      <c r="C490" s="58" t="n"/>
      <c r="D490" s="58" t="n"/>
      <c r="E490" s="64">
        <f>IF(tblCommentary[[#This Row],[Date]]="","",COUNTIFS(INDEX(tblCommentary[Date],1):tblCommentary[[#This Row],[Date]],tblCommentary[[#This Row],[Date]]))</f>
        <v/>
      </c>
      <c r="F490" s="63">
        <f>IF(tblCommentary[[#This Row],[Date]]="","",tblCommentary[[#This Row],[Date]]&amp;"|"&amp;tblCommentary[[#This Row],[Seq_Day]])</f>
        <v/>
      </c>
    </row>
    <row r="491">
      <c r="A491" s="54" t="n"/>
      <c r="B491" s="61" t="n"/>
      <c r="C491" s="58" t="n"/>
      <c r="D491" s="58" t="n"/>
      <c r="E491" s="64">
        <f>IF(tblCommentary[[#This Row],[Date]]="","",COUNTIFS(INDEX(tblCommentary[Date],1):tblCommentary[[#This Row],[Date]],tblCommentary[[#This Row],[Date]]))</f>
        <v/>
      </c>
      <c r="F491" s="63">
        <f>IF(tblCommentary[[#This Row],[Date]]="","",tblCommentary[[#This Row],[Date]]&amp;"|"&amp;tblCommentary[[#This Row],[Seq_Day]])</f>
        <v/>
      </c>
    </row>
    <row r="492">
      <c r="A492" s="54" t="n"/>
      <c r="B492" s="61" t="n"/>
      <c r="C492" s="58" t="n"/>
      <c r="D492" s="58" t="n"/>
      <c r="E492" s="64">
        <f>IF(tblCommentary[[#This Row],[Date]]="","",COUNTIFS(INDEX(tblCommentary[Date],1):tblCommentary[[#This Row],[Date]],tblCommentary[[#This Row],[Date]]))</f>
        <v/>
      </c>
      <c r="F492" s="63">
        <f>IF(tblCommentary[[#This Row],[Date]]="","",tblCommentary[[#This Row],[Date]]&amp;"|"&amp;tblCommentary[[#This Row],[Seq_Day]])</f>
        <v/>
      </c>
    </row>
    <row r="493">
      <c r="A493" s="54" t="n"/>
      <c r="B493" s="61" t="n"/>
      <c r="C493" s="58" t="n"/>
      <c r="D493" s="58" t="n"/>
      <c r="E493" s="64">
        <f>IF(tblCommentary[[#This Row],[Date]]="","",COUNTIFS(INDEX(tblCommentary[Date],1):tblCommentary[[#This Row],[Date]],tblCommentary[[#This Row],[Date]]))</f>
        <v/>
      </c>
      <c r="F493" s="63">
        <f>IF(tblCommentary[[#This Row],[Date]]="","",tblCommentary[[#This Row],[Date]]&amp;"|"&amp;tblCommentary[[#This Row],[Seq_Day]])</f>
        <v/>
      </c>
    </row>
    <row r="494">
      <c r="A494" s="54" t="n"/>
      <c r="B494" s="61" t="n"/>
      <c r="C494" s="58" t="n"/>
      <c r="D494" s="58" t="n"/>
      <c r="E494" s="64">
        <f>IF(tblCommentary[[#This Row],[Date]]="","",COUNTIFS(INDEX(tblCommentary[Date],1):tblCommentary[[#This Row],[Date]],tblCommentary[[#This Row],[Date]]))</f>
        <v/>
      </c>
      <c r="F494" s="63">
        <f>IF(tblCommentary[[#This Row],[Date]]="","",tblCommentary[[#This Row],[Date]]&amp;"|"&amp;tblCommentary[[#This Row],[Seq_Day]])</f>
        <v/>
      </c>
    </row>
    <row r="495">
      <c r="A495" s="54" t="n"/>
      <c r="B495" s="61" t="n"/>
      <c r="C495" s="58" t="n"/>
      <c r="D495" s="58" t="n"/>
      <c r="E495" s="64">
        <f>IF(tblCommentary[[#This Row],[Date]]="","",COUNTIFS(INDEX(tblCommentary[Date],1):tblCommentary[[#This Row],[Date]],tblCommentary[[#This Row],[Date]]))</f>
        <v/>
      </c>
      <c r="F495" s="63">
        <f>IF(tblCommentary[[#This Row],[Date]]="","",tblCommentary[[#This Row],[Date]]&amp;"|"&amp;tblCommentary[[#This Row],[Seq_Day]])</f>
        <v/>
      </c>
    </row>
    <row r="496">
      <c r="A496" s="54" t="n"/>
      <c r="B496" s="61" t="n"/>
      <c r="C496" s="58" t="n"/>
      <c r="D496" s="58" t="n"/>
      <c r="E496" s="64">
        <f>IF(tblCommentary[[#This Row],[Date]]="","",COUNTIFS(INDEX(tblCommentary[Date],1):tblCommentary[[#This Row],[Date]],tblCommentary[[#This Row],[Date]]))</f>
        <v/>
      </c>
      <c r="F496" s="63">
        <f>IF(tblCommentary[[#This Row],[Date]]="","",tblCommentary[[#This Row],[Date]]&amp;"|"&amp;tblCommentary[[#This Row],[Seq_Day]])</f>
        <v/>
      </c>
    </row>
    <row r="497">
      <c r="A497" s="54" t="n"/>
      <c r="B497" s="61" t="n"/>
      <c r="C497" s="58" t="n"/>
      <c r="D497" s="58" t="n"/>
      <c r="E497" s="64">
        <f>IF(tblCommentary[[#This Row],[Date]]="","",COUNTIFS(INDEX(tblCommentary[Date],1):tblCommentary[[#This Row],[Date]],tblCommentary[[#This Row],[Date]]))</f>
        <v/>
      </c>
      <c r="F497" s="63">
        <f>IF(tblCommentary[[#This Row],[Date]]="","",tblCommentary[[#This Row],[Date]]&amp;"|"&amp;tblCommentary[[#This Row],[Seq_Day]])</f>
        <v/>
      </c>
    </row>
    <row r="498">
      <c r="A498" s="54" t="n"/>
      <c r="B498" s="61" t="n"/>
      <c r="C498" s="58" t="n"/>
      <c r="D498" s="58" t="n"/>
      <c r="E498" s="64">
        <f>IF(tblCommentary[[#This Row],[Date]]="","",COUNTIFS(INDEX(tblCommentary[Date],1):tblCommentary[[#This Row],[Date]],tblCommentary[[#This Row],[Date]]))</f>
        <v/>
      </c>
      <c r="F498" s="63">
        <f>IF(tblCommentary[[#This Row],[Date]]="","",tblCommentary[[#This Row],[Date]]&amp;"|"&amp;tblCommentary[[#This Row],[Seq_Day]])</f>
        <v/>
      </c>
    </row>
    <row r="499">
      <c r="A499" s="54" t="n"/>
      <c r="B499" s="61" t="n"/>
      <c r="C499" s="58" t="n"/>
      <c r="D499" s="58" t="n"/>
      <c r="E499" s="64">
        <f>IF(tblCommentary[[#This Row],[Date]]="","",COUNTIFS(INDEX(tblCommentary[Date],1):tblCommentary[[#This Row],[Date]],tblCommentary[[#This Row],[Date]]))</f>
        <v/>
      </c>
      <c r="F499" s="63">
        <f>IF(tblCommentary[[#This Row],[Date]]="","",tblCommentary[[#This Row],[Date]]&amp;"|"&amp;tblCommentary[[#This Row],[Seq_Day]])</f>
        <v/>
      </c>
    </row>
    <row r="500">
      <c r="A500" s="54" t="n"/>
      <c r="B500" s="61" t="n"/>
      <c r="C500" s="58" t="n"/>
      <c r="D500" s="58" t="n"/>
      <c r="E500" s="64">
        <f>IF(tblCommentary[[#This Row],[Date]]="","",COUNTIFS(INDEX(tblCommentary[Date],1):tblCommentary[[#This Row],[Date]],tblCommentary[[#This Row],[Date]]))</f>
        <v/>
      </c>
      <c r="F500" s="63">
        <f>IF(tblCommentary[[#This Row],[Date]]="","",tblCommentary[[#This Row],[Date]]&amp;"|"&amp;tblCommentary[[#This Row],[Seq_Day]])</f>
        <v/>
      </c>
    </row>
    <row r="501">
      <c r="A501" s="54" t="n"/>
      <c r="B501" s="61" t="n"/>
      <c r="C501" s="58" t="n"/>
      <c r="D501" s="58" t="n"/>
      <c r="E501" s="64">
        <f>IF(tblCommentary[[#This Row],[Date]]="","",COUNTIFS(INDEX(tblCommentary[Date],1):tblCommentary[[#This Row],[Date]],tblCommentary[[#This Row],[Date]]))</f>
        <v/>
      </c>
      <c r="F501" s="63">
        <f>IF(tblCommentary[[#This Row],[Date]]="","",tblCommentary[[#This Row],[Date]]&amp;"|"&amp;tblCommentary[[#This Row],[Seq_Day]])</f>
        <v/>
      </c>
    </row>
    <row r="502">
      <c r="A502" s="54" t="n"/>
      <c r="B502" s="61" t="n"/>
      <c r="C502" s="58" t="n"/>
      <c r="D502" s="58" t="n"/>
      <c r="E502" s="64">
        <f>IF(tblCommentary[[#This Row],[Date]]="","",COUNTIFS(INDEX(tblCommentary[Date],1):tblCommentary[[#This Row],[Date]],tblCommentary[[#This Row],[Date]]))</f>
        <v/>
      </c>
      <c r="F502" s="63">
        <f>IF(tblCommentary[[#This Row],[Date]]="","",tblCommentary[[#This Row],[Date]]&amp;"|"&amp;tblCommentary[[#This Row],[Seq_Day]])</f>
        <v/>
      </c>
    </row>
    <row r="503">
      <c r="A503" s="54" t="n"/>
      <c r="B503" s="61" t="n"/>
      <c r="C503" s="58" t="n"/>
      <c r="D503" s="58" t="n"/>
      <c r="E503" s="64">
        <f>IF(tblCommentary[[#This Row],[Date]]="","",COUNTIFS(INDEX(tblCommentary[Date],1):tblCommentary[[#This Row],[Date]],tblCommentary[[#This Row],[Date]]))</f>
        <v/>
      </c>
      <c r="F503" s="63">
        <f>IF(tblCommentary[[#This Row],[Date]]="","",tblCommentary[[#This Row],[Date]]&amp;"|"&amp;tblCommentary[[#This Row],[Seq_Day]])</f>
        <v/>
      </c>
    </row>
    <row r="504">
      <c r="A504" s="54" t="n"/>
      <c r="B504" s="61" t="n"/>
      <c r="C504" s="58" t="n"/>
      <c r="D504" s="58" t="n"/>
      <c r="E504" s="64">
        <f>IF(tblCommentary[[#This Row],[Date]]="","",COUNTIFS(INDEX(tblCommentary[Date],1):tblCommentary[[#This Row],[Date]],tblCommentary[[#This Row],[Date]]))</f>
        <v/>
      </c>
      <c r="F504" s="63">
        <f>IF(tblCommentary[[#This Row],[Date]]="","",tblCommentary[[#This Row],[Date]]&amp;"|"&amp;tblCommentary[[#This Row],[Seq_Day]])</f>
        <v/>
      </c>
    </row>
    <row r="505">
      <c r="A505" s="54" t="n"/>
      <c r="B505" s="61" t="n"/>
      <c r="C505" s="58" t="n"/>
      <c r="D505" s="58" t="n"/>
      <c r="E505" s="64">
        <f>IF(tblCommentary[[#This Row],[Date]]="","",COUNTIFS(INDEX(tblCommentary[Date],1):tblCommentary[[#This Row],[Date]],tblCommentary[[#This Row],[Date]]))</f>
        <v/>
      </c>
      <c r="F505" s="63">
        <f>IF(tblCommentary[[#This Row],[Date]]="","",tblCommentary[[#This Row],[Date]]&amp;"|"&amp;tblCommentary[[#This Row],[Seq_Day]])</f>
        <v/>
      </c>
    </row>
    <row r="506">
      <c r="A506" s="54" t="n"/>
      <c r="B506" s="61" t="n"/>
      <c r="C506" s="58" t="n"/>
      <c r="D506" s="58" t="n"/>
      <c r="E506" s="64">
        <f>IF(tblCommentary[[#This Row],[Date]]="","",COUNTIFS(INDEX(tblCommentary[Date],1):tblCommentary[[#This Row],[Date]],tblCommentary[[#This Row],[Date]]))</f>
        <v/>
      </c>
      <c r="F506" s="63">
        <f>IF(tblCommentary[[#This Row],[Date]]="","",tblCommentary[[#This Row],[Date]]&amp;"|"&amp;tblCommentary[[#This Row],[Seq_Day]])</f>
        <v/>
      </c>
    </row>
    <row r="507">
      <c r="A507" s="54" t="n"/>
      <c r="B507" s="61" t="n"/>
      <c r="C507" s="58" t="n"/>
      <c r="D507" s="58" t="n"/>
      <c r="E507" s="64">
        <f>IF(tblCommentary[[#This Row],[Date]]="","",COUNTIFS(INDEX(tblCommentary[Date],1):tblCommentary[[#This Row],[Date]],tblCommentary[[#This Row],[Date]]))</f>
        <v/>
      </c>
      <c r="F507" s="63">
        <f>IF(tblCommentary[[#This Row],[Date]]="","",tblCommentary[[#This Row],[Date]]&amp;"|"&amp;tblCommentary[[#This Row],[Seq_Day]])</f>
        <v/>
      </c>
    </row>
    <row r="508">
      <c r="A508" s="54" t="n"/>
      <c r="B508" s="61" t="n"/>
      <c r="C508" s="58" t="n"/>
      <c r="D508" s="58" t="n"/>
      <c r="E508" s="64">
        <f>IF(tblCommentary[[#This Row],[Date]]="","",COUNTIFS(INDEX(tblCommentary[Date],1):tblCommentary[[#This Row],[Date]],tblCommentary[[#This Row],[Date]]))</f>
        <v/>
      </c>
      <c r="F508" s="63">
        <f>IF(tblCommentary[[#This Row],[Date]]="","",tblCommentary[[#This Row],[Date]]&amp;"|"&amp;tblCommentary[[#This Row],[Seq_Day]])</f>
        <v/>
      </c>
    </row>
    <row r="509">
      <c r="A509" s="54" t="n"/>
      <c r="B509" s="61" t="n"/>
      <c r="C509" s="58" t="n"/>
      <c r="D509" s="58" t="n"/>
      <c r="E509" s="64">
        <f>IF(tblCommentary[[#This Row],[Date]]="","",COUNTIFS(INDEX(tblCommentary[Date],1):tblCommentary[[#This Row],[Date]],tblCommentary[[#This Row],[Date]]))</f>
        <v/>
      </c>
      <c r="F509" s="63">
        <f>IF(tblCommentary[[#This Row],[Date]]="","",tblCommentary[[#This Row],[Date]]&amp;"|"&amp;tblCommentary[[#This Row],[Seq_Day]])</f>
        <v/>
      </c>
    </row>
    <row r="510">
      <c r="A510" s="54" t="n"/>
      <c r="B510" s="61" t="n"/>
      <c r="C510" s="58" t="n"/>
      <c r="D510" s="58" t="n"/>
      <c r="E510" s="64">
        <f>IF(tblCommentary[[#This Row],[Date]]="","",COUNTIFS(INDEX(tblCommentary[Date],1):tblCommentary[[#This Row],[Date]],tblCommentary[[#This Row],[Date]]))</f>
        <v/>
      </c>
      <c r="F510" s="63">
        <f>IF(tblCommentary[[#This Row],[Date]]="","",tblCommentary[[#This Row],[Date]]&amp;"|"&amp;tblCommentary[[#This Row],[Seq_Day]])</f>
        <v/>
      </c>
    </row>
    <row r="511">
      <c r="A511" s="54" t="n"/>
      <c r="B511" s="61" t="n"/>
      <c r="C511" s="58" t="n"/>
      <c r="D511" s="58" t="n"/>
      <c r="E511" s="64">
        <f>IF(tblCommentary[[#This Row],[Date]]="","",COUNTIFS(INDEX(tblCommentary[Date],1):tblCommentary[[#This Row],[Date]],tblCommentary[[#This Row],[Date]]))</f>
        <v/>
      </c>
      <c r="F511" s="63">
        <f>IF(tblCommentary[[#This Row],[Date]]="","",tblCommentary[[#This Row],[Date]]&amp;"|"&amp;tblCommentary[[#This Row],[Seq_Day]])</f>
        <v/>
      </c>
    </row>
    <row r="512">
      <c r="A512" s="54" t="n"/>
      <c r="B512" s="61" t="n"/>
      <c r="C512" s="58" t="n"/>
      <c r="D512" s="58" t="n"/>
      <c r="E512" s="64">
        <f>IF(tblCommentary[[#This Row],[Date]]="","",COUNTIFS(INDEX(tblCommentary[Date],1):tblCommentary[[#This Row],[Date]],tblCommentary[[#This Row],[Date]]))</f>
        <v/>
      </c>
      <c r="F512" s="63">
        <f>IF(tblCommentary[[#This Row],[Date]]="","",tblCommentary[[#This Row],[Date]]&amp;"|"&amp;tblCommentary[[#This Row],[Seq_Day]])</f>
        <v/>
      </c>
    </row>
    <row r="513">
      <c r="A513" s="54" t="n"/>
      <c r="B513" s="61" t="n"/>
      <c r="C513" s="58" t="n"/>
      <c r="D513" s="58" t="n"/>
      <c r="E513" s="64">
        <f>IF(tblCommentary[[#This Row],[Date]]="","",COUNTIFS(INDEX(tblCommentary[Date],1):tblCommentary[[#This Row],[Date]],tblCommentary[[#This Row],[Date]]))</f>
        <v/>
      </c>
      <c r="F513" s="63">
        <f>IF(tblCommentary[[#This Row],[Date]]="","",tblCommentary[[#This Row],[Date]]&amp;"|"&amp;tblCommentary[[#This Row],[Seq_Day]])</f>
        <v/>
      </c>
    </row>
    <row r="514">
      <c r="A514" s="54" t="n"/>
      <c r="B514" s="61" t="n"/>
      <c r="C514" s="58" t="n"/>
      <c r="D514" s="58" t="n"/>
      <c r="E514" s="64">
        <f>IF(tblCommentary[[#This Row],[Date]]="","",COUNTIFS(INDEX(tblCommentary[Date],1):tblCommentary[[#This Row],[Date]],tblCommentary[[#This Row],[Date]]))</f>
        <v/>
      </c>
      <c r="F514" s="63">
        <f>IF(tblCommentary[[#This Row],[Date]]="","",tblCommentary[[#This Row],[Date]]&amp;"|"&amp;tblCommentary[[#This Row],[Seq_Day]])</f>
        <v/>
      </c>
    </row>
    <row r="515">
      <c r="A515" s="54" t="n"/>
      <c r="B515" s="61" t="n"/>
      <c r="C515" s="58" t="n"/>
      <c r="D515" s="58" t="n"/>
      <c r="E515" s="64">
        <f>IF(tblCommentary[[#This Row],[Date]]="","",COUNTIFS(INDEX(tblCommentary[Date],1):tblCommentary[[#This Row],[Date]],tblCommentary[[#This Row],[Date]]))</f>
        <v/>
      </c>
      <c r="F515" s="63">
        <f>IF(tblCommentary[[#This Row],[Date]]="","",tblCommentary[[#This Row],[Date]]&amp;"|"&amp;tblCommentary[[#This Row],[Seq_Day]])</f>
        <v/>
      </c>
    </row>
    <row r="516">
      <c r="A516" s="54" t="n"/>
      <c r="B516" s="61" t="n"/>
      <c r="C516" s="58" t="n"/>
      <c r="D516" s="58" t="n"/>
      <c r="E516" s="64">
        <f>IF(tblCommentary[[#This Row],[Date]]="","",COUNTIFS(INDEX(tblCommentary[Date],1):tblCommentary[[#This Row],[Date]],tblCommentary[[#This Row],[Date]]))</f>
        <v/>
      </c>
      <c r="F516" s="63">
        <f>IF(tblCommentary[[#This Row],[Date]]="","",tblCommentary[[#This Row],[Date]]&amp;"|"&amp;tblCommentary[[#This Row],[Seq_Day]])</f>
        <v/>
      </c>
    </row>
    <row r="517">
      <c r="A517" s="54" t="n"/>
      <c r="B517" s="61" t="n"/>
      <c r="C517" s="58" t="n"/>
      <c r="D517" s="58" t="n"/>
      <c r="E517" s="64">
        <f>IF(tblCommentary[[#This Row],[Date]]="","",COUNTIFS(INDEX(tblCommentary[Date],1):tblCommentary[[#This Row],[Date]],tblCommentary[[#This Row],[Date]]))</f>
        <v/>
      </c>
      <c r="F517" s="63">
        <f>IF(tblCommentary[[#This Row],[Date]]="","",tblCommentary[[#This Row],[Date]]&amp;"|"&amp;tblCommentary[[#This Row],[Seq_Day]])</f>
        <v/>
      </c>
    </row>
    <row r="518">
      <c r="A518" s="54" t="n"/>
      <c r="B518" s="61" t="n"/>
      <c r="C518" s="58" t="n"/>
      <c r="D518" s="58" t="n"/>
      <c r="E518" s="64">
        <f>IF(tblCommentary[[#This Row],[Date]]="","",COUNTIFS(INDEX(tblCommentary[Date],1):tblCommentary[[#This Row],[Date]],tblCommentary[[#This Row],[Date]]))</f>
        <v/>
      </c>
      <c r="F518" s="63">
        <f>IF(tblCommentary[[#This Row],[Date]]="","",tblCommentary[[#This Row],[Date]]&amp;"|"&amp;tblCommentary[[#This Row],[Seq_Day]])</f>
        <v/>
      </c>
    </row>
    <row r="519">
      <c r="A519" s="54" t="n"/>
      <c r="B519" s="61" t="n"/>
      <c r="C519" s="58" t="n"/>
      <c r="D519" s="58" t="n"/>
      <c r="E519" s="64">
        <f>IF(tblCommentary[[#This Row],[Date]]="","",COUNTIFS(INDEX(tblCommentary[Date],1):tblCommentary[[#This Row],[Date]],tblCommentary[[#This Row],[Date]]))</f>
        <v/>
      </c>
      <c r="F519" s="63">
        <f>IF(tblCommentary[[#This Row],[Date]]="","",tblCommentary[[#This Row],[Date]]&amp;"|"&amp;tblCommentary[[#This Row],[Seq_Day]])</f>
        <v/>
      </c>
    </row>
    <row r="520">
      <c r="A520" s="54" t="n"/>
      <c r="B520" s="61" t="n"/>
      <c r="C520" s="58" t="n"/>
      <c r="D520" s="58" t="n"/>
      <c r="E520" s="64">
        <f>IF(tblCommentary[[#This Row],[Date]]="","",COUNTIFS(INDEX(tblCommentary[Date],1):tblCommentary[[#This Row],[Date]],tblCommentary[[#This Row],[Date]]))</f>
        <v/>
      </c>
      <c r="F520" s="63">
        <f>IF(tblCommentary[[#This Row],[Date]]="","",tblCommentary[[#This Row],[Date]]&amp;"|"&amp;tblCommentary[[#This Row],[Seq_Day]])</f>
        <v/>
      </c>
    </row>
    <row r="521">
      <c r="A521" s="54" t="n"/>
      <c r="B521" s="61" t="n"/>
      <c r="C521" s="58" t="n"/>
      <c r="D521" s="58" t="n"/>
      <c r="E521" s="64">
        <f>IF(tblCommentary[[#This Row],[Date]]="","",COUNTIFS(INDEX(tblCommentary[Date],1):tblCommentary[[#This Row],[Date]],tblCommentary[[#This Row],[Date]]))</f>
        <v/>
      </c>
      <c r="F521" s="63">
        <f>IF(tblCommentary[[#This Row],[Date]]="","",tblCommentary[[#This Row],[Date]]&amp;"|"&amp;tblCommentary[[#This Row],[Seq_Day]])</f>
        <v/>
      </c>
    </row>
    <row r="522">
      <c r="A522" s="54" t="n"/>
      <c r="B522" s="61" t="n"/>
      <c r="C522" s="58" t="n"/>
      <c r="D522" s="58" t="n"/>
      <c r="E522" s="64">
        <f>IF(tblCommentary[[#This Row],[Date]]="","",COUNTIFS(INDEX(tblCommentary[Date],1):tblCommentary[[#This Row],[Date]],tblCommentary[[#This Row],[Date]]))</f>
        <v/>
      </c>
      <c r="F522" s="63">
        <f>IF(tblCommentary[[#This Row],[Date]]="","",tblCommentary[[#This Row],[Date]]&amp;"|"&amp;tblCommentary[[#This Row],[Seq_Day]])</f>
        <v/>
      </c>
    </row>
    <row r="523">
      <c r="A523" s="54" t="n"/>
      <c r="B523" s="61" t="n"/>
      <c r="C523" s="58" t="n"/>
      <c r="D523" s="58" t="n"/>
      <c r="E523" s="64">
        <f>IF(tblCommentary[[#This Row],[Date]]="","",COUNTIFS(INDEX(tblCommentary[Date],1):tblCommentary[[#This Row],[Date]],tblCommentary[[#This Row],[Date]]))</f>
        <v/>
      </c>
      <c r="F523" s="63">
        <f>IF(tblCommentary[[#This Row],[Date]]="","",tblCommentary[[#This Row],[Date]]&amp;"|"&amp;tblCommentary[[#This Row],[Seq_Day]])</f>
        <v/>
      </c>
    </row>
    <row r="524">
      <c r="A524" s="54" t="n"/>
      <c r="B524" s="61" t="n"/>
      <c r="C524" s="58" t="n"/>
      <c r="D524" s="58" t="n"/>
      <c r="E524" s="64">
        <f>IF(tblCommentary[[#This Row],[Date]]="","",COUNTIFS(INDEX(tblCommentary[Date],1):tblCommentary[[#This Row],[Date]],tblCommentary[[#This Row],[Date]]))</f>
        <v/>
      </c>
      <c r="F524" s="63">
        <f>IF(tblCommentary[[#This Row],[Date]]="","",tblCommentary[[#This Row],[Date]]&amp;"|"&amp;tblCommentary[[#This Row],[Seq_Day]])</f>
        <v/>
      </c>
    </row>
    <row r="525">
      <c r="A525" s="54" t="n"/>
      <c r="B525" s="61" t="n"/>
      <c r="C525" s="58" t="n"/>
      <c r="D525" s="58" t="n"/>
      <c r="E525" s="64">
        <f>IF(tblCommentary[[#This Row],[Date]]="","",COUNTIFS(INDEX(tblCommentary[Date],1):tblCommentary[[#This Row],[Date]],tblCommentary[[#This Row],[Date]]))</f>
        <v/>
      </c>
      <c r="F525" s="63">
        <f>IF(tblCommentary[[#This Row],[Date]]="","",tblCommentary[[#This Row],[Date]]&amp;"|"&amp;tblCommentary[[#This Row],[Seq_Day]])</f>
        <v/>
      </c>
    </row>
    <row r="526">
      <c r="A526" s="54" t="n"/>
      <c r="B526" s="61" t="n"/>
      <c r="C526" s="58" t="n"/>
      <c r="D526" s="58" t="n"/>
      <c r="E526" s="64">
        <f>IF(tblCommentary[[#This Row],[Date]]="","",COUNTIFS(INDEX(tblCommentary[Date],1):tblCommentary[[#This Row],[Date]],tblCommentary[[#This Row],[Date]]))</f>
        <v/>
      </c>
      <c r="F526" s="63">
        <f>IF(tblCommentary[[#This Row],[Date]]="","",tblCommentary[[#This Row],[Date]]&amp;"|"&amp;tblCommentary[[#This Row],[Seq_Day]])</f>
        <v/>
      </c>
    </row>
    <row r="527">
      <c r="A527" s="54" t="n"/>
      <c r="B527" s="61" t="n"/>
      <c r="C527" s="58" t="n"/>
      <c r="D527" s="58" t="n"/>
      <c r="E527" s="64">
        <f>IF(tblCommentary[[#This Row],[Date]]="","",COUNTIFS(INDEX(tblCommentary[Date],1):tblCommentary[[#This Row],[Date]],tblCommentary[[#This Row],[Date]]))</f>
        <v/>
      </c>
      <c r="F527" s="63">
        <f>IF(tblCommentary[[#This Row],[Date]]="","",tblCommentary[[#This Row],[Date]]&amp;"|"&amp;tblCommentary[[#This Row],[Seq_Day]])</f>
        <v/>
      </c>
    </row>
    <row r="528">
      <c r="A528" s="54" t="n"/>
      <c r="B528" s="61" t="n"/>
      <c r="C528" s="58" t="n"/>
      <c r="D528" s="58" t="n"/>
      <c r="E528" s="64">
        <f>IF(tblCommentary[[#This Row],[Date]]="","",COUNTIFS(INDEX(tblCommentary[Date],1):tblCommentary[[#This Row],[Date]],tblCommentary[[#This Row],[Date]]))</f>
        <v/>
      </c>
      <c r="F528" s="63">
        <f>IF(tblCommentary[[#This Row],[Date]]="","",tblCommentary[[#This Row],[Date]]&amp;"|"&amp;tblCommentary[[#This Row],[Seq_Day]])</f>
        <v/>
      </c>
    </row>
    <row r="529">
      <c r="A529" s="54" t="n"/>
      <c r="B529" s="61" t="n"/>
      <c r="C529" s="58" t="n"/>
      <c r="D529" s="58" t="n"/>
      <c r="E529" s="64">
        <f>IF(tblCommentary[[#This Row],[Date]]="","",COUNTIFS(INDEX(tblCommentary[Date],1):tblCommentary[[#This Row],[Date]],tblCommentary[[#This Row],[Date]]))</f>
        <v/>
      </c>
      <c r="F529" s="63">
        <f>IF(tblCommentary[[#This Row],[Date]]="","",tblCommentary[[#This Row],[Date]]&amp;"|"&amp;tblCommentary[[#This Row],[Seq_Day]])</f>
        <v/>
      </c>
    </row>
    <row r="530">
      <c r="A530" s="54" t="n"/>
      <c r="B530" s="61" t="n"/>
      <c r="C530" s="58" t="n"/>
      <c r="D530" s="58" t="n"/>
      <c r="E530" s="64">
        <f>IF(tblCommentary[[#This Row],[Date]]="","",COUNTIFS(INDEX(tblCommentary[Date],1):tblCommentary[[#This Row],[Date]],tblCommentary[[#This Row],[Date]]))</f>
        <v/>
      </c>
      <c r="F530" s="63">
        <f>IF(tblCommentary[[#This Row],[Date]]="","",tblCommentary[[#This Row],[Date]]&amp;"|"&amp;tblCommentary[[#This Row],[Seq_Day]])</f>
        <v/>
      </c>
    </row>
    <row r="531">
      <c r="A531" s="54" t="n"/>
      <c r="B531" s="61" t="n"/>
      <c r="C531" s="58" t="n"/>
      <c r="D531" s="58" t="n"/>
      <c r="E531" s="64">
        <f>IF(tblCommentary[[#This Row],[Date]]="","",COUNTIFS(INDEX(tblCommentary[Date],1):tblCommentary[[#This Row],[Date]],tblCommentary[[#This Row],[Date]]))</f>
        <v/>
      </c>
      <c r="F531" s="63">
        <f>IF(tblCommentary[[#This Row],[Date]]="","",tblCommentary[[#This Row],[Date]]&amp;"|"&amp;tblCommentary[[#This Row],[Seq_Day]])</f>
        <v/>
      </c>
    </row>
    <row r="532">
      <c r="A532" s="54" t="n"/>
      <c r="B532" s="61" t="n"/>
      <c r="C532" s="58" t="n"/>
      <c r="D532" s="58" t="n"/>
      <c r="E532" s="64">
        <f>IF(tblCommentary[[#This Row],[Date]]="","",COUNTIFS(INDEX(tblCommentary[Date],1):tblCommentary[[#This Row],[Date]],tblCommentary[[#This Row],[Date]]))</f>
        <v/>
      </c>
      <c r="F532" s="63">
        <f>IF(tblCommentary[[#This Row],[Date]]="","",tblCommentary[[#This Row],[Date]]&amp;"|"&amp;tblCommentary[[#This Row],[Seq_Day]])</f>
        <v/>
      </c>
    </row>
    <row r="533">
      <c r="A533" s="54" t="n"/>
      <c r="B533" s="61" t="n"/>
      <c r="C533" s="58" t="n"/>
      <c r="D533" s="58" t="n"/>
      <c r="E533" s="64">
        <f>IF(tblCommentary[[#This Row],[Date]]="","",COUNTIFS(INDEX(tblCommentary[Date],1):tblCommentary[[#This Row],[Date]],tblCommentary[[#This Row],[Date]]))</f>
        <v/>
      </c>
      <c r="F533" s="63">
        <f>IF(tblCommentary[[#This Row],[Date]]="","",tblCommentary[[#This Row],[Date]]&amp;"|"&amp;tblCommentary[[#This Row],[Seq_Day]])</f>
        <v/>
      </c>
    </row>
    <row r="534">
      <c r="A534" s="54" t="n"/>
      <c r="B534" s="61" t="n"/>
      <c r="C534" s="58" t="n"/>
      <c r="D534" s="58" t="n"/>
      <c r="E534" s="64">
        <f>IF(tblCommentary[[#This Row],[Date]]="","",COUNTIFS(INDEX(tblCommentary[Date],1):tblCommentary[[#This Row],[Date]],tblCommentary[[#This Row],[Date]]))</f>
        <v/>
      </c>
      <c r="F534" s="63">
        <f>IF(tblCommentary[[#This Row],[Date]]="","",tblCommentary[[#This Row],[Date]]&amp;"|"&amp;tblCommentary[[#This Row],[Seq_Day]])</f>
        <v/>
      </c>
    </row>
    <row r="535">
      <c r="A535" s="54" t="n"/>
      <c r="B535" s="61" t="n"/>
      <c r="C535" s="58" t="n"/>
      <c r="D535" s="58" t="n"/>
      <c r="E535" s="64">
        <f>IF(tblCommentary[[#This Row],[Date]]="","",COUNTIFS(INDEX(tblCommentary[Date],1):tblCommentary[[#This Row],[Date]],tblCommentary[[#This Row],[Date]]))</f>
        <v/>
      </c>
      <c r="F535" s="63">
        <f>IF(tblCommentary[[#This Row],[Date]]="","",tblCommentary[[#This Row],[Date]]&amp;"|"&amp;tblCommentary[[#This Row],[Seq_Day]])</f>
        <v/>
      </c>
    </row>
    <row r="536">
      <c r="A536" s="54" t="n"/>
      <c r="B536" s="61" t="n"/>
      <c r="C536" s="58" t="n"/>
      <c r="D536" s="58" t="n"/>
      <c r="E536" s="64">
        <f>IF(tblCommentary[[#This Row],[Date]]="","",COUNTIFS(INDEX(tblCommentary[Date],1):tblCommentary[[#This Row],[Date]],tblCommentary[[#This Row],[Date]]))</f>
        <v/>
      </c>
      <c r="F536" s="63">
        <f>IF(tblCommentary[[#This Row],[Date]]="","",tblCommentary[[#This Row],[Date]]&amp;"|"&amp;tblCommentary[[#This Row],[Seq_Day]])</f>
        <v/>
      </c>
    </row>
    <row r="537">
      <c r="A537" s="54" t="n"/>
      <c r="B537" s="61" t="n"/>
      <c r="C537" s="58" t="n"/>
      <c r="D537" s="58" t="n"/>
      <c r="E537" s="64">
        <f>IF(tblCommentary[[#This Row],[Date]]="","",COUNTIFS(INDEX(tblCommentary[Date],1):tblCommentary[[#This Row],[Date]],tblCommentary[[#This Row],[Date]]))</f>
        <v/>
      </c>
      <c r="F537" s="63">
        <f>IF(tblCommentary[[#This Row],[Date]]="","",tblCommentary[[#This Row],[Date]]&amp;"|"&amp;tblCommentary[[#This Row],[Seq_Day]])</f>
        <v/>
      </c>
    </row>
    <row r="538">
      <c r="A538" s="54" t="n"/>
      <c r="B538" s="61" t="n"/>
      <c r="C538" s="58" t="n"/>
      <c r="D538" s="58" t="n"/>
      <c r="E538" s="64">
        <f>IF(tblCommentary[[#This Row],[Date]]="","",COUNTIFS(INDEX(tblCommentary[Date],1):tblCommentary[[#This Row],[Date]],tblCommentary[[#This Row],[Date]]))</f>
        <v/>
      </c>
      <c r="F538" s="63">
        <f>IF(tblCommentary[[#This Row],[Date]]="","",tblCommentary[[#This Row],[Date]]&amp;"|"&amp;tblCommentary[[#This Row],[Seq_Day]])</f>
        <v/>
      </c>
    </row>
    <row r="539">
      <c r="A539" s="54" t="n"/>
      <c r="B539" s="61" t="n"/>
      <c r="C539" s="58" t="n"/>
      <c r="D539" s="58" t="n"/>
      <c r="E539" s="64">
        <f>IF(tblCommentary[[#This Row],[Date]]="","",COUNTIFS(INDEX(tblCommentary[Date],1):tblCommentary[[#This Row],[Date]],tblCommentary[[#This Row],[Date]]))</f>
        <v/>
      </c>
      <c r="F539" s="63">
        <f>IF(tblCommentary[[#This Row],[Date]]="","",tblCommentary[[#This Row],[Date]]&amp;"|"&amp;tblCommentary[[#This Row],[Seq_Day]])</f>
        <v/>
      </c>
    </row>
    <row r="540">
      <c r="A540" s="54" t="n"/>
      <c r="B540" s="61" t="n"/>
      <c r="C540" s="58" t="n"/>
      <c r="D540" s="58" t="n"/>
      <c r="E540" s="64">
        <f>IF(tblCommentary[[#This Row],[Date]]="","",COUNTIFS(INDEX(tblCommentary[Date],1):tblCommentary[[#This Row],[Date]],tblCommentary[[#This Row],[Date]]))</f>
        <v/>
      </c>
      <c r="F540" s="63">
        <f>IF(tblCommentary[[#This Row],[Date]]="","",tblCommentary[[#This Row],[Date]]&amp;"|"&amp;tblCommentary[[#This Row],[Seq_Day]])</f>
        <v/>
      </c>
    </row>
    <row r="541">
      <c r="A541" s="54" t="n"/>
      <c r="B541" s="61" t="n"/>
      <c r="C541" s="58" t="n"/>
      <c r="D541" s="58" t="n"/>
      <c r="E541" s="64">
        <f>IF(tblCommentary[[#This Row],[Date]]="","",COUNTIFS(INDEX(tblCommentary[Date],1):tblCommentary[[#This Row],[Date]],tblCommentary[[#This Row],[Date]]))</f>
        <v/>
      </c>
      <c r="F541" s="63">
        <f>IF(tblCommentary[[#This Row],[Date]]="","",tblCommentary[[#This Row],[Date]]&amp;"|"&amp;tblCommentary[[#This Row],[Seq_Day]])</f>
        <v/>
      </c>
    </row>
    <row r="542">
      <c r="A542" s="54" t="n"/>
      <c r="B542" s="61" t="n"/>
      <c r="C542" s="58" t="n"/>
      <c r="D542" s="58" t="n"/>
      <c r="E542" s="64">
        <f>IF(tblCommentary[[#This Row],[Date]]="","",COUNTIFS(INDEX(tblCommentary[Date],1):tblCommentary[[#This Row],[Date]],tblCommentary[[#This Row],[Date]]))</f>
        <v/>
      </c>
      <c r="F542" s="63">
        <f>IF(tblCommentary[[#This Row],[Date]]="","",tblCommentary[[#This Row],[Date]]&amp;"|"&amp;tblCommentary[[#This Row],[Seq_Day]])</f>
        <v/>
      </c>
    </row>
    <row r="543">
      <c r="A543" s="54" t="n"/>
      <c r="B543" s="61" t="n"/>
      <c r="C543" s="58" t="n"/>
      <c r="D543" s="58" t="n"/>
      <c r="E543" s="64">
        <f>IF(tblCommentary[[#This Row],[Date]]="","",COUNTIFS(INDEX(tblCommentary[Date],1):tblCommentary[[#This Row],[Date]],tblCommentary[[#This Row],[Date]]))</f>
        <v/>
      </c>
      <c r="F543" s="63">
        <f>IF(tblCommentary[[#This Row],[Date]]="","",tblCommentary[[#This Row],[Date]]&amp;"|"&amp;tblCommentary[[#This Row],[Seq_Day]])</f>
        <v/>
      </c>
    </row>
    <row r="544">
      <c r="A544" s="54" t="n"/>
      <c r="B544" s="61" t="n"/>
      <c r="C544" s="58" t="n"/>
      <c r="D544" s="58" t="n"/>
      <c r="E544" s="64">
        <f>IF(tblCommentary[[#This Row],[Date]]="","",COUNTIFS(INDEX(tblCommentary[Date],1):tblCommentary[[#This Row],[Date]],tblCommentary[[#This Row],[Date]]))</f>
        <v/>
      </c>
      <c r="F544" s="63">
        <f>IF(tblCommentary[[#This Row],[Date]]="","",tblCommentary[[#This Row],[Date]]&amp;"|"&amp;tblCommentary[[#This Row],[Seq_Day]])</f>
        <v/>
      </c>
    </row>
    <row r="545">
      <c r="A545" s="54" t="n"/>
      <c r="B545" s="61" t="n"/>
      <c r="C545" s="58" t="n"/>
      <c r="D545" s="58" t="n"/>
      <c r="E545" s="64">
        <f>IF(tblCommentary[[#This Row],[Date]]="","",COUNTIFS(INDEX(tblCommentary[Date],1):tblCommentary[[#This Row],[Date]],tblCommentary[[#This Row],[Date]]))</f>
        <v/>
      </c>
      <c r="F545" s="63">
        <f>IF(tblCommentary[[#This Row],[Date]]="","",tblCommentary[[#This Row],[Date]]&amp;"|"&amp;tblCommentary[[#This Row],[Seq_Day]])</f>
        <v/>
      </c>
    </row>
    <row r="546">
      <c r="A546" s="54" t="n"/>
      <c r="B546" s="61" t="n"/>
      <c r="C546" s="58" t="n"/>
      <c r="D546" s="58" t="n"/>
      <c r="E546" s="64">
        <f>IF(tblCommentary[[#This Row],[Date]]="","",COUNTIFS(INDEX(tblCommentary[Date],1):tblCommentary[[#This Row],[Date]],tblCommentary[[#This Row],[Date]]))</f>
        <v/>
      </c>
      <c r="F546" s="63">
        <f>IF(tblCommentary[[#This Row],[Date]]="","",tblCommentary[[#This Row],[Date]]&amp;"|"&amp;tblCommentary[[#This Row],[Seq_Day]])</f>
        <v/>
      </c>
    </row>
    <row r="547">
      <c r="A547" s="54" t="n"/>
      <c r="B547" s="61" t="n"/>
      <c r="C547" s="58" t="n"/>
      <c r="D547" s="58" t="n"/>
      <c r="E547" s="64">
        <f>IF(tblCommentary[[#This Row],[Date]]="","",COUNTIFS(INDEX(tblCommentary[Date],1):tblCommentary[[#This Row],[Date]],tblCommentary[[#This Row],[Date]]))</f>
        <v/>
      </c>
      <c r="F547" s="63">
        <f>IF(tblCommentary[[#This Row],[Date]]="","",tblCommentary[[#This Row],[Date]]&amp;"|"&amp;tblCommentary[[#This Row],[Seq_Day]])</f>
        <v/>
      </c>
    </row>
    <row r="548">
      <c r="A548" s="54" t="n"/>
      <c r="B548" s="61" t="n"/>
      <c r="C548" s="58" t="n"/>
      <c r="D548" s="58" t="n"/>
      <c r="E548" s="64">
        <f>IF(tblCommentary[[#This Row],[Date]]="","",COUNTIFS(INDEX(tblCommentary[Date],1):tblCommentary[[#This Row],[Date]],tblCommentary[[#This Row],[Date]]))</f>
        <v/>
      </c>
      <c r="F548" s="63">
        <f>IF(tblCommentary[[#This Row],[Date]]="","",tblCommentary[[#This Row],[Date]]&amp;"|"&amp;tblCommentary[[#This Row],[Seq_Day]])</f>
        <v/>
      </c>
    </row>
    <row r="549">
      <c r="A549" s="54" t="n"/>
      <c r="B549" s="61" t="n"/>
      <c r="C549" s="58" t="n"/>
      <c r="D549" s="58" t="n"/>
      <c r="E549" s="64">
        <f>IF(tblCommentary[[#This Row],[Date]]="","",COUNTIFS(INDEX(tblCommentary[Date],1):tblCommentary[[#This Row],[Date]],tblCommentary[[#This Row],[Date]]))</f>
        <v/>
      </c>
      <c r="F549" s="63">
        <f>IF(tblCommentary[[#This Row],[Date]]="","",tblCommentary[[#This Row],[Date]]&amp;"|"&amp;tblCommentary[[#This Row],[Seq_Day]])</f>
        <v/>
      </c>
    </row>
    <row r="550">
      <c r="A550" s="54" t="n"/>
      <c r="B550" s="61" t="n"/>
      <c r="C550" s="58" t="n"/>
      <c r="D550" s="58" t="n"/>
      <c r="E550" s="64">
        <f>IF(tblCommentary[[#This Row],[Date]]="","",COUNTIFS(INDEX(tblCommentary[Date],1):tblCommentary[[#This Row],[Date]],tblCommentary[[#This Row],[Date]]))</f>
        <v/>
      </c>
      <c r="F550" s="63">
        <f>IF(tblCommentary[[#This Row],[Date]]="","",tblCommentary[[#This Row],[Date]]&amp;"|"&amp;tblCommentary[[#This Row],[Seq_Day]])</f>
        <v/>
      </c>
    </row>
    <row r="551">
      <c r="A551" s="54" t="n"/>
      <c r="B551" s="61" t="n"/>
      <c r="C551" s="58" t="n"/>
      <c r="D551" s="58" t="n"/>
      <c r="E551" s="64">
        <f>IF(tblCommentary[[#This Row],[Date]]="","",COUNTIFS(INDEX(tblCommentary[Date],1):tblCommentary[[#This Row],[Date]],tblCommentary[[#This Row],[Date]]))</f>
        <v/>
      </c>
      <c r="F551" s="63">
        <f>IF(tblCommentary[[#This Row],[Date]]="","",tblCommentary[[#This Row],[Date]]&amp;"|"&amp;tblCommentary[[#This Row],[Seq_Day]])</f>
        <v/>
      </c>
    </row>
    <row r="552">
      <c r="A552" s="54" t="n"/>
      <c r="B552" s="61" t="n"/>
      <c r="C552" s="58" t="n"/>
      <c r="D552" s="58" t="n"/>
      <c r="E552" s="64">
        <f>IF(tblCommentary[[#This Row],[Date]]="","",COUNTIFS(INDEX(tblCommentary[Date],1):tblCommentary[[#This Row],[Date]],tblCommentary[[#This Row],[Date]]))</f>
        <v/>
      </c>
      <c r="F552" s="63">
        <f>IF(tblCommentary[[#This Row],[Date]]="","",tblCommentary[[#This Row],[Date]]&amp;"|"&amp;tblCommentary[[#This Row],[Seq_Day]])</f>
        <v/>
      </c>
    </row>
    <row r="553">
      <c r="A553" s="54" t="n"/>
      <c r="B553" s="61" t="n"/>
      <c r="C553" s="58" t="n"/>
      <c r="D553" s="58" t="n"/>
      <c r="E553" s="64">
        <f>IF(tblCommentary[[#This Row],[Date]]="","",COUNTIFS(INDEX(tblCommentary[Date],1):tblCommentary[[#This Row],[Date]],tblCommentary[[#This Row],[Date]]))</f>
        <v/>
      </c>
      <c r="F553" s="63">
        <f>IF(tblCommentary[[#This Row],[Date]]="","",tblCommentary[[#This Row],[Date]]&amp;"|"&amp;tblCommentary[[#This Row],[Seq_Day]])</f>
        <v/>
      </c>
    </row>
    <row r="554">
      <c r="A554" s="54" t="n"/>
      <c r="B554" s="61" t="n"/>
      <c r="C554" s="58" t="n"/>
      <c r="D554" s="58" t="n"/>
      <c r="E554" s="64">
        <f>IF(tblCommentary[[#This Row],[Date]]="","",COUNTIFS(INDEX(tblCommentary[Date],1):tblCommentary[[#This Row],[Date]],tblCommentary[[#This Row],[Date]]))</f>
        <v/>
      </c>
      <c r="F554" s="63">
        <f>IF(tblCommentary[[#This Row],[Date]]="","",tblCommentary[[#This Row],[Date]]&amp;"|"&amp;tblCommentary[[#This Row],[Seq_Day]])</f>
        <v/>
      </c>
    </row>
    <row r="555">
      <c r="A555" s="54" t="n"/>
      <c r="B555" s="61" t="n"/>
      <c r="C555" s="58" t="n"/>
      <c r="D555" s="58" t="n"/>
      <c r="E555" s="64">
        <f>IF(tblCommentary[[#This Row],[Date]]="","",COUNTIFS(INDEX(tblCommentary[Date],1):tblCommentary[[#This Row],[Date]],tblCommentary[[#This Row],[Date]]))</f>
        <v/>
      </c>
      <c r="F555" s="63">
        <f>IF(tblCommentary[[#This Row],[Date]]="","",tblCommentary[[#This Row],[Date]]&amp;"|"&amp;tblCommentary[[#This Row],[Seq_Day]])</f>
        <v/>
      </c>
    </row>
    <row r="556">
      <c r="A556" s="54" t="n"/>
      <c r="B556" s="61" t="n"/>
      <c r="C556" s="58" t="n"/>
      <c r="D556" s="58" t="n"/>
      <c r="E556" s="64">
        <f>IF(tblCommentary[[#This Row],[Date]]="","",COUNTIFS(INDEX(tblCommentary[Date],1):tblCommentary[[#This Row],[Date]],tblCommentary[[#This Row],[Date]]))</f>
        <v/>
      </c>
      <c r="F556" s="63">
        <f>IF(tblCommentary[[#This Row],[Date]]="","",tblCommentary[[#This Row],[Date]]&amp;"|"&amp;tblCommentary[[#This Row],[Seq_Day]])</f>
        <v/>
      </c>
    </row>
    <row r="557">
      <c r="A557" s="54" t="n"/>
      <c r="B557" s="61" t="n"/>
      <c r="C557" s="58" t="n"/>
      <c r="D557" s="58" t="n"/>
      <c r="E557" s="64">
        <f>IF(tblCommentary[[#This Row],[Date]]="","",COUNTIFS(INDEX(tblCommentary[Date],1):tblCommentary[[#This Row],[Date]],tblCommentary[[#This Row],[Date]]))</f>
        <v/>
      </c>
      <c r="F557" s="63">
        <f>IF(tblCommentary[[#This Row],[Date]]="","",tblCommentary[[#This Row],[Date]]&amp;"|"&amp;tblCommentary[[#This Row],[Seq_Day]])</f>
        <v/>
      </c>
    </row>
    <row r="558">
      <c r="A558" s="54" t="n"/>
      <c r="B558" s="61" t="n"/>
      <c r="C558" s="58" t="n"/>
      <c r="D558" s="58" t="n"/>
      <c r="E558" s="64">
        <f>IF(tblCommentary[[#This Row],[Date]]="","",COUNTIFS(INDEX(tblCommentary[Date],1):tblCommentary[[#This Row],[Date]],tblCommentary[[#This Row],[Date]]))</f>
        <v/>
      </c>
      <c r="F558" s="63">
        <f>IF(tblCommentary[[#This Row],[Date]]="","",tblCommentary[[#This Row],[Date]]&amp;"|"&amp;tblCommentary[[#This Row],[Seq_Day]])</f>
        <v/>
      </c>
    </row>
    <row r="559">
      <c r="A559" s="54" t="n"/>
      <c r="B559" s="61" t="n"/>
      <c r="C559" s="58" t="n"/>
      <c r="D559" s="58" t="n"/>
      <c r="E559" s="64">
        <f>IF(tblCommentary[[#This Row],[Date]]="","",COUNTIFS(INDEX(tblCommentary[Date],1):tblCommentary[[#This Row],[Date]],tblCommentary[[#This Row],[Date]]))</f>
        <v/>
      </c>
      <c r="F559" s="63">
        <f>IF(tblCommentary[[#This Row],[Date]]="","",tblCommentary[[#This Row],[Date]]&amp;"|"&amp;tblCommentary[[#This Row],[Seq_Day]])</f>
        <v/>
      </c>
    </row>
    <row r="560">
      <c r="A560" s="54" t="n"/>
      <c r="B560" s="61" t="n"/>
      <c r="C560" s="58" t="n"/>
      <c r="D560" s="58" t="n"/>
      <c r="E560" s="64">
        <f>IF(tblCommentary[[#This Row],[Date]]="","",COUNTIFS(INDEX(tblCommentary[Date],1):tblCommentary[[#This Row],[Date]],tblCommentary[[#This Row],[Date]]))</f>
        <v/>
      </c>
      <c r="F560" s="63">
        <f>IF(tblCommentary[[#This Row],[Date]]="","",tblCommentary[[#This Row],[Date]]&amp;"|"&amp;tblCommentary[[#This Row],[Seq_Day]])</f>
        <v/>
      </c>
    </row>
    <row r="561">
      <c r="A561" s="54" t="n"/>
      <c r="B561" s="61" t="n"/>
      <c r="C561" s="58" t="n"/>
      <c r="D561" s="58" t="n"/>
      <c r="E561" s="64">
        <f>IF(tblCommentary[[#This Row],[Date]]="","",COUNTIFS(INDEX(tblCommentary[Date],1):tblCommentary[[#This Row],[Date]],tblCommentary[[#This Row],[Date]]))</f>
        <v/>
      </c>
      <c r="F561" s="63">
        <f>IF(tblCommentary[[#This Row],[Date]]="","",tblCommentary[[#This Row],[Date]]&amp;"|"&amp;tblCommentary[[#This Row],[Seq_Day]])</f>
        <v/>
      </c>
    </row>
    <row r="562">
      <c r="A562" s="54" t="n"/>
      <c r="B562" s="61" t="n"/>
      <c r="C562" s="58" t="n"/>
      <c r="D562" s="58" t="n"/>
      <c r="E562" s="64">
        <f>IF(tblCommentary[[#This Row],[Date]]="","",COUNTIFS(INDEX(tblCommentary[Date],1):tblCommentary[[#This Row],[Date]],tblCommentary[[#This Row],[Date]]))</f>
        <v/>
      </c>
      <c r="F562" s="63">
        <f>IF(tblCommentary[[#This Row],[Date]]="","",tblCommentary[[#This Row],[Date]]&amp;"|"&amp;tblCommentary[[#This Row],[Seq_Day]])</f>
        <v/>
      </c>
    </row>
    <row r="563">
      <c r="A563" s="54" t="n"/>
      <c r="B563" s="61" t="n"/>
      <c r="C563" s="58" t="n"/>
      <c r="D563" s="58" t="n"/>
      <c r="E563" s="64">
        <f>IF(tblCommentary[[#This Row],[Date]]="","",COUNTIFS(INDEX(tblCommentary[Date],1):tblCommentary[[#This Row],[Date]],tblCommentary[[#This Row],[Date]]))</f>
        <v/>
      </c>
      <c r="F563" s="63">
        <f>IF(tblCommentary[[#This Row],[Date]]="","",tblCommentary[[#This Row],[Date]]&amp;"|"&amp;tblCommentary[[#This Row],[Seq_Day]])</f>
        <v/>
      </c>
    </row>
    <row r="564">
      <c r="A564" s="54" t="n"/>
      <c r="B564" s="61" t="n"/>
      <c r="C564" s="58" t="n"/>
      <c r="D564" s="58" t="n"/>
      <c r="E564" s="64">
        <f>IF(tblCommentary[[#This Row],[Date]]="","",COUNTIFS(INDEX(tblCommentary[Date],1):tblCommentary[[#This Row],[Date]],tblCommentary[[#This Row],[Date]]))</f>
        <v/>
      </c>
      <c r="F564" s="63">
        <f>IF(tblCommentary[[#This Row],[Date]]="","",tblCommentary[[#This Row],[Date]]&amp;"|"&amp;tblCommentary[[#This Row],[Seq_Day]])</f>
        <v/>
      </c>
    </row>
    <row r="565">
      <c r="A565" s="54" t="n"/>
      <c r="B565" s="61" t="n"/>
      <c r="C565" s="58" t="n"/>
      <c r="D565" s="58" t="n"/>
      <c r="E565" s="64">
        <f>IF(tblCommentary[[#This Row],[Date]]="","",COUNTIFS(INDEX(tblCommentary[Date],1):tblCommentary[[#This Row],[Date]],tblCommentary[[#This Row],[Date]]))</f>
        <v/>
      </c>
      <c r="F565" s="63">
        <f>IF(tblCommentary[[#This Row],[Date]]="","",tblCommentary[[#This Row],[Date]]&amp;"|"&amp;tblCommentary[[#This Row],[Seq_Day]])</f>
        <v/>
      </c>
    </row>
    <row r="566">
      <c r="A566" s="54" t="n"/>
      <c r="B566" s="61" t="n"/>
      <c r="C566" s="58" t="n"/>
      <c r="D566" s="58" t="n"/>
      <c r="E566" s="64">
        <f>IF(tblCommentary[[#This Row],[Date]]="","",COUNTIFS(INDEX(tblCommentary[Date],1):tblCommentary[[#This Row],[Date]],tblCommentary[[#This Row],[Date]]))</f>
        <v/>
      </c>
      <c r="F566" s="63">
        <f>IF(tblCommentary[[#This Row],[Date]]="","",tblCommentary[[#This Row],[Date]]&amp;"|"&amp;tblCommentary[[#This Row],[Seq_Day]])</f>
        <v/>
      </c>
    </row>
    <row r="567">
      <c r="A567" s="54" t="n"/>
      <c r="B567" s="61" t="n"/>
      <c r="C567" s="58" t="n"/>
      <c r="D567" s="58" t="n"/>
      <c r="E567" s="64">
        <f>IF(tblCommentary[[#This Row],[Date]]="","",COUNTIFS(INDEX(tblCommentary[Date],1):tblCommentary[[#This Row],[Date]],tblCommentary[[#This Row],[Date]]))</f>
        <v/>
      </c>
      <c r="F567" s="63">
        <f>IF(tblCommentary[[#This Row],[Date]]="","",tblCommentary[[#This Row],[Date]]&amp;"|"&amp;tblCommentary[[#This Row],[Seq_Day]])</f>
        <v/>
      </c>
    </row>
    <row r="568">
      <c r="A568" s="54" t="n"/>
      <c r="B568" s="61" t="n"/>
      <c r="C568" s="58" t="n"/>
      <c r="D568" s="58" t="n"/>
      <c r="E568" s="64">
        <f>IF(tblCommentary[[#This Row],[Date]]="","",COUNTIFS(INDEX(tblCommentary[Date],1):tblCommentary[[#This Row],[Date]],tblCommentary[[#This Row],[Date]]))</f>
        <v/>
      </c>
      <c r="F568" s="63">
        <f>IF(tblCommentary[[#This Row],[Date]]="","",tblCommentary[[#This Row],[Date]]&amp;"|"&amp;tblCommentary[[#This Row],[Seq_Day]])</f>
        <v/>
      </c>
    </row>
    <row r="569">
      <c r="A569" s="54" t="n"/>
      <c r="B569" s="61" t="n"/>
      <c r="C569" s="58" t="n"/>
      <c r="D569" s="58" t="n"/>
      <c r="E569" s="64">
        <f>IF(tblCommentary[[#This Row],[Date]]="","",COUNTIFS(INDEX(tblCommentary[Date],1):tblCommentary[[#This Row],[Date]],tblCommentary[[#This Row],[Date]]))</f>
        <v/>
      </c>
      <c r="F569" s="63">
        <f>IF(tblCommentary[[#This Row],[Date]]="","",tblCommentary[[#This Row],[Date]]&amp;"|"&amp;tblCommentary[[#This Row],[Seq_Day]])</f>
        <v/>
      </c>
    </row>
    <row r="570">
      <c r="A570" s="54" t="n"/>
      <c r="B570" s="61" t="n"/>
      <c r="C570" s="58" t="n"/>
      <c r="D570" s="58" t="n"/>
      <c r="E570" s="64">
        <f>IF(tblCommentary[[#This Row],[Date]]="","",COUNTIFS(INDEX(tblCommentary[Date],1):tblCommentary[[#This Row],[Date]],tblCommentary[[#This Row],[Date]]))</f>
        <v/>
      </c>
      <c r="F570" s="63">
        <f>IF(tblCommentary[[#This Row],[Date]]="","",tblCommentary[[#This Row],[Date]]&amp;"|"&amp;tblCommentary[[#This Row],[Seq_Day]])</f>
        <v/>
      </c>
    </row>
    <row r="571">
      <c r="A571" s="54" t="n"/>
      <c r="B571" s="61" t="n"/>
      <c r="C571" s="58" t="n"/>
      <c r="D571" s="58" t="n"/>
      <c r="E571" s="64">
        <f>IF(tblCommentary[[#This Row],[Date]]="","",COUNTIFS(INDEX(tblCommentary[Date],1):tblCommentary[[#This Row],[Date]],tblCommentary[[#This Row],[Date]]))</f>
        <v/>
      </c>
      <c r="F571" s="63">
        <f>IF(tblCommentary[[#This Row],[Date]]="","",tblCommentary[[#This Row],[Date]]&amp;"|"&amp;tblCommentary[[#This Row],[Seq_Day]])</f>
        <v/>
      </c>
    </row>
    <row r="572">
      <c r="A572" s="54" t="n"/>
      <c r="B572" s="61" t="n"/>
      <c r="C572" s="58" t="n"/>
      <c r="D572" s="58" t="n"/>
      <c r="E572" s="64">
        <f>IF(tblCommentary[[#This Row],[Date]]="","",COUNTIFS(INDEX(tblCommentary[Date],1):tblCommentary[[#This Row],[Date]],tblCommentary[[#This Row],[Date]]))</f>
        <v/>
      </c>
      <c r="F572" s="63">
        <f>IF(tblCommentary[[#This Row],[Date]]="","",tblCommentary[[#This Row],[Date]]&amp;"|"&amp;tblCommentary[[#This Row],[Seq_Day]])</f>
        <v/>
      </c>
    </row>
    <row r="573">
      <c r="A573" s="54" t="n"/>
      <c r="B573" s="61" t="n"/>
      <c r="C573" s="58" t="n"/>
      <c r="D573" s="58" t="n"/>
      <c r="E573" s="64">
        <f>IF(tblCommentary[[#This Row],[Date]]="","",COUNTIFS(INDEX(tblCommentary[Date],1):tblCommentary[[#This Row],[Date]],tblCommentary[[#This Row],[Date]]))</f>
        <v/>
      </c>
      <c r="F573" s="63">
        <f>IF(tblCommentary[[#This Row],[Date]]="","",tblCommentary[[#This Row],[Date]]&amp;"|"&amp;tblCommentary[[#This Row],[Seq_Day]])</f>
        <v/>
      </c>
    </row>
    <row r="574">
      <c r="A574" s="54" t="n"/>
      <c r="B574" s="61" t="n"/>
      <c r="C574" s="58" t="n"/>
      <c r="D574" s="58" t="n"/>
      <c r="E574" s="64">
        <f>IF(tblCommentary[[#This Row],[Date]]="","",COUNTIFS(INDEX(tblCommentary[Date],1):tblCommentary[[#This Row],[Date]],tblCommentary[[#This Row],[Date]]))</f>
        <v/>
      </c>
      <c r="F574" s="63">
        <f>IF(tblCommentary[[#This Row],[Date]]="","",tblCommentary[[#This Row],[Date]]&amp;"|"&amp;tblCommentary[[#This Row],[Seq_Day]])</f>
        <v/>
      </c>
    </row>
    <row r="575">
      <c r="A575" s="54" t="n"/>
      <c r="B575" s="61" t="n"/>
      <c r="C575" s="58" t="n"/>
      <c r="D575" s="58" t="n"/>
      <c r="E575" s="64">
        <f>IF(tblCommentary[[#This Row],[Date]]="","",COUNTIFS(INDEX(tblCommentary[Date],1):tblCommentary[[#This Row],[Date]],tblCommentary[[#This Row],[Date]]))</f>
        <v/>
      </c>
      <c r="F575" s="63">
        <f>IF(tblCommentary[[#This Row],[Date]]="","",tblCommentary[[#This Row],[Date]]&amp;"|"&amp;tblCommentary[[#This Row],[Seq_Day]])</f>
        <v/>
      </c>
    </row>
    <row r="576">
      <c r="A576" s="54" t="n"/>
      <c r="B576" s="61" t="n"/>
      <c r="C576" s="58" t="n"/>
      <c r="D576" s="58" t="n"/>
      <c r="E576" s="64">
        <f>IF(tblCommentary[[#This Row],[Date]]="","",COUNTIFS(INDEX(tblCommentary[Date],1):tblCommentary[[#This Row],[Date]],tblCommentary[[#This Row],[Date]]))</f>
        <v/>
      </c>
      <c r="F576" s="63">
        <f>IF(tblCommentary[[#This Row],[Date]]="","",tblCommentary[[#This Row],[Date]]&amp;"|"&amp;tblCommentary[[#This Row],[Seq_Day]])</f>
        <v/>
      </c>
    </row>
    <row r="577">
      <c r="A577" s="54" t="n"/>
      <c r="B577" s="61" t="n"/>
      <c r="C577" s="58" t="n"/>
      <c r="D577" s="58" t="n"/>
      <c r="E577" s="64">
        <f>IF(tblCommentary[[#This Row],[Date]]="","",COUNTIFS(INDEX(tblCommentary[Date],1):tblCommentary[[#This Row],[Date]],tblCommentary[[#This Row],[Date]]))</f>
        <v/>
      </c>
      <c r="F577" s="63">
        <f>IF(tblCommentary[[#This Row],[Date]]="","",tblCommentary[[#This Row],[Date]]&amp;"|"&amp;tblCommentary[[#This Row],[Seq_Day]])</f>
        <v/>
      </c>
    </row>
    <row r="578">
      <c r="A578" s="54" t="n"/>
      <c r="B578" s="61" t="n"/>
      <c r="C578" s="58" t="n"/>
      <c r="D578" s="58" t="n"/>
      <c r="E578" s="64">
        <f>IF(tblCommentary[[#This Row],[Date]]="","",COUNTIFS(INDEX(tblCommentary[Date],1):tblCommentary[[#This Row],[Date]],tblCommentary[[#This Row],[Date]]))</f>
        <v/>
      </c>
      <c r="F578" s="63">
        <f>IF(tblCommentary[[#This Row],[Date]]="","",tblCommentary[[#This Row],[Date]]&amp;"|"&amp;tblCommentary[[#This Row],[Seq_Day]])</f>
        <v/>
      </c>
    </row>
    <row r="579">
      <c r="A579" s="54" t="n"/>
      <c r="B579" s="61" t="n"/>
      <c r="C579" s="58" t="n"/>
      <c r="D579" s="58" t="n"/>
      <c r="E579" s="64">
        <f>IF(tblCommentary[[#This Row],[Date]]="","",COUNTIFS(INDEX(tblCommentary[Date],1):tblCommentary[[#This Row],[Date]],tblCommentary[[#This Row],[Date]]))</f>
        <v/>
      </c>
      <c r="F579" s="63">
        <f>IF(tblCommentary[[#This Row],[Date]]="","",tblCommentary[[#This Row],[Date]]&amp;"|"&amp;tblCommentary[[#This Row],[Seq_Day]])</f>
        <v/>
      </c>
    </row>
    <row r="580">
      <c r="A580" s="54" t="n"/>
      <c r="B580" s="61" t="n"/>
      <c r="C580" s="58" t="n"/>
      <c r="D580" s="58" t="n"/>
      <c r="E580" s="64">
        <f>IF(tblCommentary[[#This Row],[Date]]="","",COUNTIFS(INDEX(tblCommentary[Date],1):tblCommentary[[#This Row],[Date]],tblCommentary[[#This Row],[Date]]))</f>
        <v/>
      </c>
      <c r="F580" s="63">
        <f>IF(tblCommentary[[#This Row],[Date]]="","",tblCommentary[[#This Row],[Date]]&amp;"|"&amp;tblCommentary[[#This Row],[Seq_Day]])</f>
        <v/>
      </c>
    </row>
    <row r="581">
      <c r="A581" s="54" t="n"/>
      <c r="B581" s="61" t="n"/>
      <c r="C581" s="58" t="n"/>
      <c r="D581" s="58" t="n"/>
      <c r="E581" s="64">
        <f>IF(tblCommentary[[#This Row],[Date]]="","",COUNTIFS(INDEX(tblCommentary[Date],1):tblCommentary[[#This Row],[Date]],tblCommentary[[#This Row],[Date]]))</f>
        <v/>
      </c>
      <c r="F581" s="63">
        <f>IF(tblCommentary[[#This Row],[Date]]="","",tblCommentary[[#This Row],[Date]]&amp;"|"&amp;tblCommentary[[#This Row],[Seq_Day]])</f>
        <v/>
      </c>
    </row>
    <row r="582">
      <c r="A582" s="54" t="n"/>
      <c r="B582" s="61" t="n"/>
      <c r="C582" s="58" t="n"/>
      <c r="D582" s="58" t="n"/>
      <c r="E582" s="64">
        <f>IF(tblCommentary[[#This Row],[Date]]="","",COUNTIFS(INDEX(tblCommentary[Date],1):tblCommentary[[#This Row],[Date]],tblCommentary[[#This Row],[Date]]))</f>
        <v/>
      </c>
      <c r="F582" s="63">
        <f>IF(tblCommentary[[#This Row],[Date]]="","",tblCommentary[[#This Row],[Date]]&amp;"|"&amp;tblCommentary[[#This Row],[Seq_Day]])</f>
        <v/>
      </c>
    </row>
    <row r="583">
      <c r="A583" s="54" t="n"/>
      <c r="B583" s="61" t="n"/>
      <c r="C583" s="58" t="n"/>
      <c r="D583" s="58" t="n"/>
      <c r="E583" s="64">
        <f>IF(tblCommentary[[#This Row],[Date]]="","",COUNTIFS(INDEX(tblCommentary[Date],1):tblCommentary[[#This Row],[Date]],tblCommentary[[#This Row],[Date]]))</f>
        <v/>
      </c>
      <c r="F583" s="63">
        <f>IF(tblCommentary[[#This Row],[Date]]="","",tblCommentary[[#This Row],[Date]]&amp;"|"&amp;tblCommentary[[#This Row],[Seq_Day]])</f>
        <v/>
      </c>
    </row>
    <row r="584">
      <c r="A584" s="54" t="n"/>
      <c r="B584" s="61" t="n"/>
      <c r="C584" s="58" t="n"/>
      <c r="D584" s="58" t="n"/>
      <c r="E584" s="64">
        <f>IF(tblCommentary[[#This Row],[Date]]="","",COUNTIFS(INDEX(tblCommentary[Date],1):tblCommentary[[#This Row],[Date]],tblCommentary[[#This Row],[Date]]))</f>
        <v/>
      </c>
      <c r="F584" s="63">
        <f>IF(tblCommentary[[#This Row],[Date]]="","",tblCommentary[[#This Row],[Date]]&amp;"|"&amp;tblCommentary[[#This Row],[Seq_Day]])</f>
        <v/>
      </c>
    </row>
    <row r="585">
      <c r="A585" s="54" t="n"/>
      <c r="B585" s="61" t="n"/>
      <c r="C585" s="58" t="n"/>
      <c r="D585" s="58" t="n"/>
      <c r="E585" s="64">
        <f>IF(tblCommentary[[#This Row],[Date]]="","",COUNTIFS(INDEX(tblCommentary[Date],1):tblCommentary[[#This Row],[Date]],tblCommentary[[#This Row],[Date]]))</f>
        <v/>
      </c>
      <c r="F585" s="63">
        <f>IF(tblCommentary[[#This Row],[Date]]="","",tblCommentary[[#This Row],[Date]]&amp;"|"&amp;tblCommentary[[#This Row],[Seq_Day]])</f>
        <v/>
      </c>
    </row>
    <row r="586">
      <c r="A586" s="54" t="n"/>
      <c r="B586" s="61" t="n"/>
      <c r="C586" s="58" t="n"/>
      <c r="D586" s="58" t="n"/>
      <c r="E586" s="64">
        <f>IF(tblCommentary[[#This Row],[Date]]="","",COUNTIFS(INDEX(tblCommentary[Date],1):tblCommentary[[#This Row],[Date]],tblCommentary[[#This Row],[Date]]))</f>
        <v/>
      </c>
      <c r="F586" s="63">
        <f>IF(tblCommentary[[#This Row],[Date]]="","",tblCommentary[[#This Row],[Date]]&amp;"|"&amp;tblCommentary[[#This Row],[Seq_Day]])</f>
        <v/>
      </c>
    </row>
    <row r="587">
      <c r="A587" s="54" t="n"/>
      <c r="B587" s="61" t="n"/>
      <c r="C587" s="58" t="n"/>
      <c r="D587" s="58" t="n"/>
      <c r="E587" s="64">
        <f>IF(tblCommentary[[#This Row],[Date]]="","",COUNTIFS(INDEX(tblCommentary[Date],1):tblCommentary[[#This Row],[Date]],tblCommentary[[#This Row],[Date]]))</f>
        <v/>
      </c>
      <c r="F587" s="63">
        <f>IF(tblCommentary[[#This Row],[Date]]="","",tblCommentary[[#This Row],[Date]]&amp;"|"&amp;tblCommentary[[#This Row],[Seq_Day]])</f>
        <v/>
      </c>
    </row>
    <row r="588">
      <c r="A588" s="54" t="n"/>
      <c r="B588" s="61" t="n"/>
      <c r="C588" s="58" t="n"/>
      <c r="D588" s="58" t="n"/>
      <c r="E588" s="64">
        <f>IF(tblCommentary[[#This Row],[Date]]="","",COUNTIFS(INDEX(tblCommentary[Date],1):tblCommentary[[#This Row],[Date]],tblCommentary[[#This Row],[Date]]))</f>
        <v/>
      </c>
      <c r="F588" s="63">
        <f>IF(tblCommentary[[#This Row],[Date]]="","",tblCommentary[[#This Row],[Date]]&amp;"|"&amp;tblCommentary[[#This Row],[Seq_Day]])</f>
        <v/>
      </c>
    </row>
    <row r="589">
      <c r="A589" s="54" t="n"/>
      <c r="B589" s="61" t="n"/>
      <c r="C589" s="58" t="n"/>
      <c r="D589" s="58" t="n"/>
      <c r="E589" s="64">
        <f>IF(tblCommentary[[#This Row],[Date]]="","",COUNTIFS(INDEX(tblCommentary[Date],1):tblCommentary[[#This Row],[Date]],tblCommentary[[#This Row],[Date]]))</f>
        <v/>
      </c>
      <c r="F589" s="63">
        <f>IF(tblCommentary[[#This Row],[Date]]="","",tblCommentary[[#This Row],[Date]]&amp;"|"&amp;tblCommentary[[#This Row],[Seq_Day]])</f>
        <v/>
      </c>
    </row>
    <row r="590">
      <c r="A590" s="54" t="n"/>
      <c r="B590" s="61" t="n"/>
      <c r="C590" s="58" t="n"/>
      <c r="D590" s="58" t="n"/>
      <c r="E590" s="64">
        <f>IF(tblCommentary[[#This Row],[Date]]="","",COUNTIFS(INDEX(tblCommentary[Date],1):tblCommentary[[#This Row],[Date]],tblCommentary[[#This Row],[Date]]))</f>
        <v/>
      </c>
      <c r="F590" s="63">
        <f>IF(tblCommentary[[#This Row],[Date]]="","",tblCommentary[[#This Row],[Date]]&amp;"|"&amp;tblCommentary[[#This Row],[Seq_Day]])</f>
        <v/>
      </c>
    </row>
    <row r="591">
      <c r="A591" s="54" t="n"/>
      <c r="B591" s="61" t="n"/>
      <c r="C591" s="58" t="n"/>
      <c r="D591" s="58" t="n"/>
      <c r="E591" s="64">
        <f>IF(tblCommentary[[#This Row],[Date]]="","",COUNTIFS(INDEX(tblCommentary[Date],1):tblCommentary[[#This Row],[Date]],tblCommentary[[#This Row],[Date]]))</f>
        <v/>
      </c>
      <c r="F591" s="63">
        <f>IF(tblCommentary[[#This Row],[Date]]="","",tblCommentary[[#This Row],[Date]]&amp;"|"&amp;tblCommentary[[#This Row],[Seq_Day]])</f>
        <v/>
      </c>
    </row>
    <row r="592">
      <c r="A592" s="54" t="n"/>
      <c r="B592" s="61" t="n"/>
      <c r="C592" s="58" t="n"/>
      <c r="D592" s="58" t="n"/>
      <c r="E592" s="64">
        <f>IF(tblCommentary[[#This Row],[Date]]="","",COUNTIFS(INDEX(tblCommentary[Date],1):tblCommentary[[#This Row],[Date]],tblCommentary[[#This Row],[Date]]))</f>
        <v/>
      </c>
      <c r="F592" s="63">
        <f>IF(tblCommentary[[#This Row],[Date]]="","",tblCommentary[[#This Row],[Date]]&amp;"|"&amp;tblCommentary[[#This Row],[Seq_Day]])</f>
        <v/>
      </c>
    </row>
    <row r="593">
      <c r="A593" s="54" t="n"/>
      <c r="B593" s="61" t="n"/>
      <c r="C593" s="58" t="n"/>
      <c r="D593" s="58" t="n"/>
      <c r="E593" s="64">
        <f>IF(tblCommentary[[#This Row],[Date]]="","",COUNTIFS(INDEX(tblCommentary[Date],1):tblCommentary[[#This Row],[Date]],tblCommentary[[#This Row],[Date]]))</f>
        <v/>
      </c>
      <c r="F593" s="63">
        <f>IF(tblCommentary[[#This Row],[Date]]="","",tblCommentary[[#This Row],[Date]]&amp;"|"&amp;tblCommentary[[#This Row],[Seq_Day]])</f>
        <v/>
      </c>
    </row>
    <row r="594">
      <c r="A594" s="54" t="n"/>
      <c r="B594" s="61" t="n"/>
      <c r="C594" s="58" t="n"/>
      <c r="D594" s="58" t="n"/>
      <c r="E594" s="64">
        <f>IF(tblCommentary[[#This Row],[Date]]="","",COUNTIFS(INDEX(tblCommentary[Date],1):tblCommentary[[#This Row],[Date]],tblCommentary[[#This Row],[Date]]))</f>
        <v/>
      </c>
      <c r="F594" s="63">
        <f>IF(tblCommentary[[#This Row],[Date]]="","",tblCommentary[[#This Row],[Date]]&amp;"|"&amp;tblCommentary[[#This Row],[Seq_Day]])</f>
        <v/>
      </c>
    </row>
    <row r="595">
      <c r="A595" s="54" t="n"/>
      <c r="B595" s="61" t="n"/>
      <c r="C595" s="58" t="n"/>
      <c r="D595" s="58" t="n"/>
      <c r="E595" s="64">
        <f>IF(tblCommentary[[#This Row],[Date]]="","",COUNTIFS(INDEX(tblCommentary[Date],1):tblCommentary[[#This Row],[Date]],tblCommentary[[#This Row],[Date]]))</f>
        <v/>
      </c>
      <c r="F595" s="63">
        <f>IF(tblCommentary[[#This Row],[Date]]="","",tblCommentary[[#This Row],[Date]]&amp;"|"&amp;tblCommentary[[#This Row],[Seq_Day]])</f>
        <v/>
      </c>
    </row>
    <row r="596">
      <c r="A596" s="54" t="n"/>
      <c r="B596" s="61" t="n"/>
      <c r="C596" s="58" t="n"/>
      <c r="D596" s="58" t="n"/>
      <c r="E596" s="64">
        <f>IF(tblCommentary[[#This Row],[Date]]="","",COUNTIFS(INDEX(tblCommentary[Date],1):tblCommentary[[#This Row],[Date]],tblCommentary[[#This Row],[Date]]))</f>
        <v/>
      </c>
      <c r="F596" s="63">
        <f>IF(tblCommentary[[#This Row],[Date]]="","",tblCommentary[[#This Row],[Date]]&amp;"|"&amp;tblCommentary[[#This Row],[Seq_Day]])</f>
        <v/>
      </c>
    </row>
    <row r="597">
      <c r="A597" s="54" t="n"/>
      <c r="B597" s="61" t="n"/>
      <c r="C597" s="58" t="n"/>
      <c r="D597" s="58" t="n"/>
      <c r="E597" s="64">
        <f>IF(tblCommentary[[#This Row],[Date]]="","",COUNTIFS(INDEX(tblCommentary[Date],1):tblCommentary[[#This Row],[Date]],tblCommentary[[#This Row],[Date]]))</f>
        <v/>
      </c>
      <c r="F597" s="63">
        <f>IF(tblCommentary[[#This Row],[Date]]="","",tblCommentary[[#This Row],[Date]]&amp;"|"&amp;tblCommentary[[#This Row],[Seq_Day]])</f>
        <v/>
      </c>
    </row>
    <row r="598">
      <c r="A598" s="54" t="n"/>
      <c r="B598" s="61" t="n"/>
      <c r="C598" s="58" t="n"/>
      <c r="D598" s="58" t="n"/>
      <c r="E598" s="64">
        <f>IF(tblCommentary[[#This Row],[Date]]="","",COUNTIFS(INDEX(tblCommentary[Date],1):tblCommentary[[#This Row],[Date]],tblCommentary[[#This Row],[Date]]))</f>
        <v/>
      </c>
      <c r="F598" s="63">
        <f>IF(tblCommentary[[#This Row],[Date]]="","",tblCommentary[[#This Row],[Date]]&amp;"|"&amp;tblCommentary[[#This Row],[Seq_Day]])</f>
        <v/>
      </c>
    </row>
    <row r="599">
      <c r="A599" s="54" t="n"/>
      <c r="B599" s="61" t="n"/>
      <c r="C599" s="58" t="n"/>
      <c r="D599" s="58" t="n"/>
      <c r="E599" s="64">
        <f>IF(tblCommentary[[#This Row],[Date]]="","",COUNTIFS(INDEX(tblCommentary[Date],1):tblCommentary[[#This Row],[Date]],tblCommentary[[#This Row],[Date]]))</f>
        <v/>
      </c>
      <c r="F599" s="63">
        <f>IF(tblCommentary[[#This Row],[Date]]="","",tblCommentary[[#This Row],[Date]]&amp;"|"&amp;tblCommentary[[#This Row],[Seq_Day]])</f>
        <v/>
      </c>
    </row>
    <row r="600">
      <c r="A600" s="54" t="n"/>
      <c r="B600" s="61" t="n"/>
      <c r="C600" s="58" t="n"/>
      <c r="D600" s="58" t="n"/>
      <c r="E600" s="64">
        <f>IF(tblCommentary[[#This Row],[Date]]="","",COUNTIFS(INDEX(tblCommentary[Date],1):tblCommentary[[#This Row],[Date]],tblCommentary[[#This Row],[Date]]))</f>
        <v/>
      </c>
      <c r="F600" s="63">
        <f>IF(tblCommentary[[#This Row],[Date]]="","",tblCommentary[[#This Row],[Date]]&amp;"|"&amp;tblCommentary[[#This Row],[Seq_Day]])</f>
        <v/>
      </c>
    </row>
    <row r="601">
      <c r="A601" s="54" t="n"/>
      <c r="B601" s="61" t="n"/>
      <c r="C601" s="58" t="n"/>
      <c r="D601" s="58" t="n"/>
      <c r="E601" s="64">
        <f>IF(tblCommentary[[#This Row],[Date]]="","",COUNTIFS(INDEX(tblCommentary[Date],1):tblCommentary[[#This Row],[Date]],tblCommentary[[#This Row],[Date]]))</f>
        <v/>
      </c>
      <c r="F601" s="63">
        <f>IF(tblCommentary[[#This Row],[Date]]="","",tblCommentary[[#This Row],[Date]]&amp;"|"&amp;tblCommentary[[#This Row],[Seq_Day]])</f>
        <v/>
      </c>
    </row>
    <row r="602">
      <c r="A602" s="54" t="n"/>
      <c r="B602" s="61" t="n"/>
      <c r="C602" s="58" t="n"/>
      <c r="D602" s="58" t="n"/>
      <c r="E602" s="64">
        <f>IF(tblCommentary[[#This Row],[Date]]="","",COUNTIFS(INDEX(tblCommentary[Date],1):tblCommentary[[#This Row],[Date]],tblCommentary[[#This Row],[Date]]))</f>
        <v/>
      </c>
      <c r="F602" s="63">
        <f>IF(tblCommentary[[#This Row],[Date]]="","",tblCommentary[[#This Row],[Date]]&amp;"|"&amp;tblCommentary[[#This Row],[Seq_Day]])</f>
        <v/>
      </c>
    </row>
    <row r="603">
      <c r="A603" s="54" t="n"/>
      <c r="B603" s="61" t="n"/>
      <c r="C603" s="58" t="n"/>
      <c r="D603" s="58" t="n"/>
      <c r="E603" s="64">
        <f>IF(tblCommentary[[#This Row],[Date]]="","",COUNTIFS(INDEX(tblCommentary[Date],1):tblCommentary[[#This Row],[Date]],tblCommentary[[#This Row],[Date]]))</f>
        <v/>
      </c>
      <c r="F603" s="63">
        <f>IF(tblCommentary[[#This Row],[Date]]="","",tblCommentary[[#This Row],[Date]]&amp;"|"&amp;tblCommentary[[#This Row],[Seq_Day]])</f>
        <v/>
      </c>
    </row>
    <row r="604">
      <c r="A604" s="54" t="n"/>
      <c r="B604" s="61" t="n"/>
      <c r="C604" s="58" t="n"/>
      <c r="D604" s="58" t="n"/>
      <c r="E604" s="64">
        <f>IF(tblCommentary[[#This Row],[Date]]="","",COUNTIFS(INDEX(tblCommentary[Date],1):tblCommentary[[#This Row],[Date]],tblCommentary[[#This Row],[Date]]))</f>
        <v/>
      </c>
      <c r="F604" s="63">
        <f>IF(tblCommentary[[#This Row],[Date]]="","",tblCommentary[[#This Row],[Date]]&amp;"|"&amp;tblCommentary[[#This Row],[Seq_Day]])</f>
        <v/>
      </c>
    </row>
    <row r="605">
      <c r="A605" s="54" t="n"/>
      <c r="B605" s="61" t="n"/>
      <c r="C605" s="58" t="n"/>
      <c r="D605" s="58" t="n"/>
      <c r="E605" s="64">
        <f>IF(tblCommentary[[#This Row],[Date]]="","",COUNTIFS(INDEX(tblCommentary[Date],1):tblCommentary[[#This Row],[Date]],tblCommentary[[#This Row],[Date]]))</f>
        <v/>
      </c>
      <c r="F605" s="63">
        <f>IF(tblCommentary[[#This Row],[Date]]="","",tblCommentary[[#This Row],[Date]]&amp;"|"&amp;tblCommentary[[#This Row],[Seq_Day]])</f>
        <v/>
      </c>
    </row>
    <row r="606">
      <c r="A606" s="54" t="n"/>
      <c r="B606" s="61" t="n"/>
      <c r="C606" s="58" t="n"/>
      <c r="D606" s="58" t="n"/>
      <c r="E606" s="64">
        <f>IF(tblCommentary[[#This Row],[Date]]="","",COUNTIFS(INDEX(tblCommentary[Date],1):tblCommentary[[#This Row],[Date]],tblCommentary[[#This Row],[Date]]))</f>
        <v/>
      </c>
      <c r="F606" s="63">
        <f>IF(tblCommentary[[#This Row],[Date]]="","",tblCommentary[[#This Row],[Date]]&amp;"|"&amp;tblCommentary[[#This Row],[Seq_Day]])</f>
        <v/>
      </c>
    </row>
    <row r="607">
      <c r="A607" s="54" t="n"/>
      <c r="B607" s="61" t="n"/>
      <c r="C607" s="58" t="n"/>
      <c r="D607" s="58" t="n"/>
      <c r="E607" s="64">
        <f>IF(tblCommentary[[#This Row],[Date]]="","",COUNTIFS(INDEX(tblCommentary[Date],1):tblCommentary[[#This Row],[Date]],tblCommentary[[#This Row],[Date]]))</f>
        <v/>
      </c>
      <c r="F607" s="63">
        <f>IF(tblCommentary[[#This Row],[Date]]="","",tblCommentary[[#This Row],[Date]]&amp;"|"&amp;tblCommentary[[#This Row],[Seq_Day]])</f>
        <v/>
      </c>
    </row>
    <row r="608">
      <c r="A608" s="54" t="n"/>
      <c r="B608" s="61" t="n"/>
      <c r="C608" s="58" t="n"/>
      <c r="D608" s="58" t="n"/>
      <c r="E608" s="64">
        <f>IF(tblCommentary[[#This Row],[Date]]="","",COUNTIFS(INDEX(tblCommentary[Date],1):tblCommentary[[#This Row],[Date]],tblCommentary[[#This Row],[Date]]))</f>
        <v/>
      </c>
      <c r="F608" s="63">
        <f>IF(tblCommentary[[#This Row],[Date]]="","",tblCommentary[[#This Row],[Date]]&amp;"|"&amp;tblCommentary[[#This Row],[Seq_Day]])</f>
        <v/>
      </c>
    </row>
    <row r="609">
      <c r="A609" s="54" t="n"/>
      <c r="B609" s="61" t="n"/>
      <c r="C609" s="58" t="n"/>
      <c r="D609" s="58" t="n"/>
      <c r="E609" s="64">
        <f>IF(tblCommentary[[#This Row],[Date]]="","",COUNTIFS(INDEX(tblCommentary[Date],1):tblCommentary[[#This Row],[Date]],tblCommentary[[#This Row],[Date]]))</f>
        <v/>
      </c>
      <c r="F609" s="63">
        <f>IF(tblCommentary[[#This Row],[Date]]="","",tblCommentary[[#This Row],[Date]]&amp;"|"&amp;tblCommentary[[#This Row],[Seq_Day]])</f>
        <v/>
      </c>
    </row>
    <row r="610">
      <c r="A610" s="54" t="n"/>
      <c r="B610" s="61" t="n"/>
      <c r="C610" s="58" t="n"/>
      <c r="D610" s="58" t="n"/>
      <c r="E610" s="64">
        <f>IF(tblCommentary[[#This Row],[Date]]="","",COUNTIFS(INDEX(tblCommentary[Date],1):tblCommentary[[#This Row],[Date]],tblCommentary[[#This Row],[Date]]))</f>
        <v/>
      </c>
      <c r="F610" s="63">
        <f>IF(tblCommentary[[#This Row],[Date]]="","",tblCommentary[[#This Row],[Date]]&amp;"|"&amp;tblCommentary[[#This Row],[Seq_Day]])</f>
        <v/>
      </c>
    </row>
    <row r="611">
      <c r="A611" s="54" t="n"/>
      <c r="B611" s="61" t="n"/>
      <c r="C611" s="58" t="n"/>
      <c r="D611" s="58" t="n"/>
      <c r="E611" s="64">
        <f>IF(tblCommentary[[#This Row],[Date]]="","",COUNTIFS(INDEX(tblCommentary[Date],1):tblCommentary[[#This Row],[Date]],tblCommentary[[#This Row],[Date]]))</f>
        <v/>
      </c>
      <c r="F611" s="63">
        <f>IF(tblCommentary[[#This Row],[Date]]="","",tblCommentary[[#This Row],[Date]]&amp;"|"&amp;tblCommentary[[#This Row],[Seq_Day]])</f>
        <v/>
      </c>
    </row>
    <row r="612">
      <c r="A612" s="54" t="n"/>
      <c r="B612" s="61" t="n"/>
      <c r="C612" s="58" t="n"/>
      <c r="D612" s="58" t="n"/>
      <c r="E612" s="64">
        <f>IF(tblCommentary[[#This Row],[Date]]="","",COUNTIFS(INDEX(tblCommentary[Date],1):tblCommentary[[#This Row],[Date]],tblCommentary[[#This Row],[Date]]))</f>
        <v/>
      </c>
      <c r="F612" s="63">
        <f>IF(tblCommentary[[#This Row],[Date]]="","",tblCommentary[[#This Row],[Date]]&amp;"|"&amp;tblCommentary[[#This Row],[Seq_Day]])</f>
        <v/>
      </c>
    </row>
    <row r="613">
      <c r="A613" s="54" t="n"/>
      <c r="B613" s="61" t="n"/>
      <c r="C613" s="58" t="n"/>
      <c r="D613" s="58" t="n"/>
      <c r="E613" s="64">
        <f>IF(tblCommentary[[#This Row],[Date]]="","",COUNTIFS(INDEX(tblCommentary[Date],1):tblCommentary[[#This Row],[Date]],tblCommentary[[#This Row],[Date]]))</f>
        <v/>
      </c>
      <c r="F613" s="63">
        <f>IF(tblCommentary[[#This Row],[Date]]="","",tblCommentary[[#This Row],[Date]]&amp;"|"&amp;tblCommentary[[#This Row],[Seq_Day]])</f>
        <v/>
      </c>
    </row>
    <row r="614">
      <c r="A614" s="54" t="n"/>
      <c r="B614" s="61" t="n"/>
      <c r="C614" s="58" t="n"/>
      <c r="D614" s="58" t="n"/>
      <c r="E614" s="64">
        <f>IF(tblCommentary[[#This Row],[Date]]="","",COUNTIFS(INDEX(tblCommentary[Date],1):tblCommentary[[#This Row],[Date]],tblCommentary[[#This Row],[Date]]))</f>
        <v/>
      </c>
      <c r="F614" s="63">
        <f>IF(tblCommentary[[#This Row],[Date]]="","",tblCommentary[[#This Row],[Date]]&amp;"|"&amp;tblCommentary[[#This Row],[Seq_Day]])</f>
        <v/>
      </c>
    </row>
    <row r="615">
      <c r="A615" s="54" t="n"/>
      <c r="B615" s="61" t="n"/>
      <c r="C615" s="58" t="n"/>
      <c r="D615" s="58" t="n"/>
      <c r="E615" s="64">
        <f>IF(tblCommentary[[#This Row],[Date]]="","",COUNTIFS(INDEX(tblCommentary[Date],1):tblCommentary[[#This Row],[Date]],tblCommentary[[#This Row],[Date]]))</f>
        <v/>
      </c>
      <c r="F615" s="63">
        <f>IF(tblCommentary[[#This Row],[Date]]="","",tblCommentary[[#This Row],[Date]]&amp;"|"&amp;tblCommentary[[#This Row],[Seq_Day]])</f>
        <v/>
      </c>
    </row>
    <row r="616">
      <c r="A616" s="54" t="n"/>
      <c r="B616" s="61" t="n"/>
      <c r="C616" s="58" t="n"/>
      <c r="D616" s="58" t="n"/>
      <c r="E616" s="64">
        <f>IF(tblCommentary[[#This Row],[Date]]="","",COUNTIFS(INDEX(tblCommentary[Date],1):tblCommentary[[#This Row],[Date]],tblCommentary[[#This Row],[Date]]))</f>
        <v/>
      </c>
      <c r="F616" s="63">
        <f>IF(tblCommentary[[#This Row],[Date]]="","",tblCommentary[[#This Row],[Date]]&amp;"|"&amp;tblCommentary[[#This Row],[Seq_Day]])</f>
        <v/>
      </c>
    </row>
    <row r="617">
      <c r="A617" s="54" t="n"/>
      <c r="B617" s="61" t="n"/>
      <c r="C617" s="58" t="n"/>
      <c r="D617" s="58" t="n"/>
      <c r="E617" s="64">
        <f>IF(tblCommentary[[#This Row],[Date]]="","",COUNTIFS(INDEX(tblCommentary[Date],1):tblCommentary[[#This Row],[Date]],tblCommentary[[#This Row],[Date]]))</f>
        <v/>
      </c>
      <c r="F617" s="63">
        <f>IF(tblCommentary[[#This Row],[Date]]="","",tblCommentary[[#This Row],[Date]]&amp;"|"&amp;tblCommentary[[#This Row],[Seq_Day]])</f>
        <v/>
      </c>
    </row>
    <row r="618">
      <c r="A618" s="54" t="n"/>
      <c r="B618" s="61" t="n"/>
      <c r="C618" s="58" t="n"/>
      <c r="D618" s="58" t="n"/>
      <c r="E618" s="64">
        <f>IF(tblCommentary[[#This Row],[Date]]="","",COUNTIFS(INDEX(tblCommentary[Date],1):tblCommentary[[#This Row],[Date]],tblCommentary[[#This Row],[Date]]))</f>
        <v/>
      </c>
      <c r="F618" s="63">
        <f>IF(tblCommentary[[#This Row],[Date]]="","",tblCommentary[[#This Row],[Date]]&amp;"|"&amp;tblCommentary[[#This Row],[Seq_Day]])</f>
        <v/>
      </c>
    </row>
    <row r="619">
      <c r="A619" s="54" t="n"/>
      <c r="B619" s="61" t="n"/>
      <c r="C619" s="58" t="n"/>
      <c r="D619" s="58" t="n"/>
      <c r="E619" s="64">
        <f>IF(tblCommentary[[#This Row],[Date]]="","",COUNTIFS(INDEX(tblCommentary[Date],1):tblCommentary[[#This Row],[Date]],tblCommentary[[#This Row],[Date]]))</f>
        <v/>
      </c>
      <c r="F619" s="63">
        <f>IF(tblCommentary[[#This Row],[Date]]="","",tblCommentary[[#This Row],[Date]]&amp;"|"&amp;tblCommentary[[#This Row],[Seq_Day]])</f>
        <v/>
      </c>
    </row>
    <row r="620">
      <c r="A620" s="54" t="n"/>
      <c r="B620" s="61" t="n"/>
      <c r="C620" s="58" t="n"/>
      <c r="D620" s="58" t="n"/>
      <c r="E620" s="64">
        <f>IF(tblCommentary[[#This Row],[Date]]="","",COUNTIFS(INDEX(tblCommentary[Date],1):tblCommentary[[#This Row],[Date]],tblCommentary[[#This Row],[Date]]))</f>
        <v/>
      </c>
      <c r="F620" s="63">
        <f>IF(tblCommentary[[#This Row],[Date]]="","",tblCommentary[[#This Row],[Date]]&amp;"|"&amp;tblCommentary[[#This Row],[Seq_Day]])</f>
        <v/>
      </c>
    </row>
    <row r="621">
      <c r="A621" s="54" t="n"/>
      <c r="B621" s="61" t="n"/>
      <c r="C621" s="58" t="n"/>
      <c r="D621" s="58" t="n"/>
      <c r="E621" s="64">
        <f>IF(tblCommentary[[#This Row],[Date]]="","",COUNTIFS(INDEX(tblCommentary[Date],1):tblCommentary[[#This Row],[Date]],tblCommentary[[#This Row],[Date]]))</f>
        <v/>
      </c>
      <c r="F621" s="63">
        <f>IF(tblCommentary[[#This Row],[Date]]="","",tblCommentary[[#This Row],[Date]]&amp;"|"&amp;tblCommentary[[#This Row],[Seq_Day]])</f>
        <v/>
      </c>
    </row>
    <row r="622">
      <c r="A622" s="54" t="n"/>
      <c r="B622" s="61" t="n"/>
      <c r="C622" s="58" t="n"/>
      <c r="D622" s="58" t="n"/>
      <c r="E622" s="64">
        <f>IF(tblCommentary[[#This Row],[Date]]="","",COUNTIFS(INDEX(tblCommentary[Date],1):tblCommentary[[#This Row],[Date]],tblCommentary[[#This Row],[Date]]))</f>
        <v/>
      </c>
      <c r="F622" s="63">
        <f>IF(tblCommentary[[#This Row],[Date]]="","",tblCommentary[[#This Row],[Date]]&amp;"|"&amp;tblCommentary[[#This Row],[Seq_Day]])</f>
        <v/>
      </c>
    </row>
    <row r="623">
      <c r="A623" s="54" t="n"/>
      <c r="B623" s="61" t="n"/>
      <c r="C623" s="58" t="n"/>
      <c r="D623" s="58" t="n"/>
      <c r="E623" s="64">
        <f>IF(tblCommentary[[#This Row],[Date]]="","",COUNTIFS(INDEX(tblCommentary[Date],1):tblCommentary[[#This Row],[Date]],tblCommentary[[#This Row],[Date]]))</f>
        <v/>
      </c>
      <c r="F623" s="63">
        <f>IF(tblCommentary[[#This Row],[Date]]="","",tblCommentary[[#This Row],[Date]]&amp;"|"&amp;tblCommentary[[#This Row],[Seq_Day]])</f>
        <v/>
      </c>
    </row>
    <row r="624">
      <c r="A624" s="54" t="n"/>
      <c r="B624" s="61" t="n"/>
      <c r="C624" s="58" t="n"/>
      <c r="D624" s="58" t="n"/>
      <c r="E624" s="64">
        <f>IF(tblCommentary[[#This Row],[Date]]="","",COUNTIFS(INDEX(tblCommentary[Date],1):tblCommentary[[#This Row],[Date]],tblCommentary[[#This Row],[Date]]))</f>
        <v/>
      </c>
      <c r="F624" s="63">
        <f>IF(tblCommentary[[#This Row],[Date]]="","",tblCommentary[[#This Row],[Date]]&amp;"|"&amp;tblCommentary[[#This Row],[Seq_Day]])</f>
        <v/>
      </c>
    </row>
    <row r="625">
      <c r="A625" s="54" t="n"/>
      <c r="B625" s="61" t="n"/>
      <c r="C625" s="58" t="n"/>
      <c r="D625" s="58" t="n"/>
      <c r="E625" s="64">
        <f>IF(tblCommentary[[#This Row],[Date]]="","",COUNTIFS(INDEX(tblCommentary[Date],1):tblCommentary[[#This Row],[Date]],tblCommentary[[#This Row],[Date]]))</f>
        <v/>
      </c>
      <c r="F625" s="63">
        <f>IF(tblCommentary[[#This Row],[Date]]="","",tblCommentary[[#This Row],[Date]]&amp;"|"&amp;tblCommentary[[#This Row],[Seq_Day]])</f>
        <v/>
      </c>
    </row>
    <row r="626">
      <c r="A626" s="54" t="n"/>
      <c r="B626" s="61" t="n"/>
      <c r="C626" s="58" t="n"/>
      <c r="D626" s="58" t="n"/>
      <c r="E626" s="64">
        <f>IF(tblCommentary[[#This Row],[Date]]="","",COUNTIFS(INDEX(tblCommentary[Date],1):tblCommentary[[#This Row],[Date]],tblCommentary[[#This Row],[Date]]))</f>
        <v/>
      </c>
      <c r="F626" s="63">
        <f>IF(tblCommentary[[#This Row],[Date]]="","",tblCommentary[[#This Row],[Date]]&amp;"|"&amp;tblCommentary[[#This Row],[Seq_Day]])</f>
        <v/>
      </c>
    </row>
    <row r="627">
      <c r="A627" s="54" t="n"/>
      <c r="B627" s="61" t="n"/>
      <c r="C627" s="58" t="n"/>
      <c r="D627" s="58" t="n"/>
      <c r="E627" s="64">
        <f>IF(tblCommentary[[#This Row],[Date]]="","",COUNTIFS(INDEX(tblCommentary[Date],1):tblCommentary[[#This Row],[Date]],tblCommentary[[#This Row],[Date]]))</f>
        <v/>
      </c>
      <c r="F627" s="63">
        <f>IF(tblCommentary[[#This Row],[Date]]="","",tblCommentary[[#This Row],[Date]]&amp;"|"&amp;tblCommentary[[#This Row],[Seq_Day]])</f>
        <v/>
      </c>
    </row>
    <row r="628">
      <c r="A628" s="54" t="n"/>
      <c r="B628" s="61" t="n"/>
      <c r="C628" s="58" t="n"/>
      <c r="D628" s="58" t="n"/>
      <c r="E628" s="64">
        <f>IF(tblCommentary[[#This Row],[Date]]="","",COUNTIFS(INDEX(tblCommentary[Date],1):tblCommentary[[#This Row],[Date]],tblCommentary[[#This Row],[Date]]))</f>
        <v/>
      </c>
      <c r="F628" s="63">
        <f>IF(tblCommentary[[#This Row],[Date]]="","",tblCommentary[[#This Row],[Date]]&amp;"|"&amp;tblCommentary[[#This Row],[Seq_Day]])</f>
        <v/>
      </c>
    </row>
    <row r="629">
      <c r="A629" s="54" t="n"/>
      <c r="B629" s="61" t="n"/>
      <c r="C629" s="58" t="n"/>
      <c r="D629" s="58" t="n"/>
      <c r="E629" s="64">
        <f>IF(tblCommentary[[#This Row],[Date]]="","",COUNTIFS(INDEX(tblCommentary[Date],1):tblCommentary[[#This Row],[Date]],tblCommentary[[#This Row],[Date]]))</f>
        <v/>
      </c>
      <c r="F629" s="63">
        <f>IF(tblCommentary[[#This Row],[Date]]="","",tblCommentary[[#This Row],[Date]]&amp;"|"&amp;tblCommentary[[#This Row],[Seq_Day]])</f>
        <v/>
      </c>
    </row>
    <row r="630">
      <c r="A630" s="54" t="n"/>
      <c r="B630" s="61" t="n"/>
      <c r="C630" s="58" t="n"/>
      <c r="D630" s="58" t="n"/>
      <c r="E630" s="64">
        <f>IF(tblCommentary[[#This Row],[Date]]="","",COUNTIFS(INDEX(tblCommentary[Date],1):tblCommentary[[#This Row],[Date]],tblCommentary[[#This Row],[Date]]))</f>
        <v/>
      </c>
      <c r="F630" s="63">
        <f>IF(tblCommentary[[#This Row],[Date]]="","",tblCommentary[[#This Row],[Date]]&amp;"|"&amp;tblCommentary[[#This Row],[Seq_Day]])</f>
        <v/>
      </c>
    </row>
    <row r="631">
      <c r="A631" s="54" t="n"/>
      <c r="B631" s="61" t="n"/>
      <c r="C631" s="58" t="n"/>
      <c r="D631" s="58" t="n"/>
      <c r="E631" s="64">
        <f>IF(tblCommentary[[#This Row],[Date]]="","",COUNTIFS(INDEX(tblCommentary[Date],1):tblCommentary[[#This Row],[Date]],tblCommentary[[#This Row],[Date]]))</f>
        <v/>
      </c>
      <c r="F631" s="63">
        <f>IF(tblCommentary[[#This Row],[Date]]="","",tblCommentary[[#This Row],[Date]]&amp;"|"&amp;tblCommentary[[#This Row],[Seq_Day]])</f>
        <v/>
      </c>
    </row>
    <row r="632">
      <c r="A632" s="54" t="n"/>
      <c r="B632" s="61" t="n"/>
      <c r="C632" s="58" t="n"/>
      <c r="D632" s="58" t="n"/>
      <c r="E632" s="64">
        <f>IF(tblCommentary[[#This Row],[Date]]="","",COUNTIFS(INDEX(tblCommentary[Date],1):tblCommentary[[#This Row],[Date]],tblCommentary[[#This Row],[Date]]))</f>
        <v/>
      </c>
      <c r="F632" s="63">
        <f>IF(tblCommentary[[#This Row],[Date]]="","",tblCommentary[[#This Row],[Date]]&amp;"|"&amp;tblCommentary[[#This Row],[Seq_Day]])</f>
        <v/>
      </c>
    </row>
    <row r="633">
      <c r="A633" s="54" t="n"/>
      <c r="B633" s="61" t="n"/>
      <c r="C633" s="58" t="n"/>
      <c r="D633" s="58" t="n"/>
      <c r="E633" s="64">
        <f>IF(tblCommentary[[#This Row],[Date]]="","",COUNTIFS(INDEX(tblCommentary[Date],1):tblCommentary[[#This Row],[Date]],tblCommentary[[#This Row],[Date]]))</f>
        <v/>
      </c>
      <c r="F633" s="63">
        <f>IF(tblCommentary[[#This Row],[Date]]="","",tblCommentary[[#This Row],[Date]]&amp;"|"&amp;tblCommentary[[#This Row],[Seq_Day]])</f>
        <v/>
      </c>
    </row>
    <row r="634">
      <c r="A634" s="54" t="n"/>
      <c r="B634" s="61" t="n"/>
      <c r="C634" s="58" t="n"/>
      <c r="D634" s="58" t="n"/>
      <c r="E634" s="64">
        <f>IF(tblCommentary[[#This Row],[Date]]="","",COUNTIFS(INDEX(tblCommentary[Date],1):tblCommentary[[#This Row],[Date]],tblCommentary[[#This Row],[Date]]))</f>
        <v/>
      </c>
      <c r="F634" s="63">
        <f>IF(tblCommentary[[#This Row],[Date]]="","",tblCommentary[[#This Row],[Date]]&amp;"|"&amp;tblCommentary[[#This Row],[Seq_Day]])</f>
        <v/>
      </c>
    </row>
    <row r="635">
      <c r="A635" s="54" t="n"/>
      <c r="B635" s="61" t="n"/>
      <c r="C635" s="58" t="n"/>
      <c r="D635" s="58" t="n"/>
      <c r="E635" s="64">
        <f>IF(tblCommentary[[#This Row],[Date]]="","",COUNTIFS(INDEX(tblCommentary[Date],1):tblCommentary[[#This Row],[Date]],tblCommentary[[#This Row],[Date]]))</f>
        <v/>
      </c>
      <c r="F635" s="63">
        <f>IF(tblCommentary[[#This Row],[Date]]="","",tblCommentary[[#This Row],[Date]]&amp;"|"&amp;tblCommentary[[#This Row],[Seq_Day]])</f>
        <v/>
      </c>
    </row>
    <row r="636">
      <c r="A636" s="54" t="n"/>
      <c r="B636" s="61" t="n"/>
      <c r="C636" s="58" t="n"/>
      <c r="D636" s="58" t="n"/>
      <c r="E636" s="64">
        <f>IF(tblCommentary[[#This Row],[Date]]="","",COUNTIFS(INDEX(tblCommentary[Date],1):tblCommentary[[#This Row],[Date]],tblCommentary[[#This Row],[Date]]))</f>
        <v/>
      </c>
      <c r="F636" s="63">
        <f>IF(tblCommentary[[#This Row],[Date]]="","",tblCommentary[[#This Row],[Date]]&amp;"|"&amp;tblCommentary[[#This Row],[Seq_Day]])</f>
        <v/>
      </c>
    </row>
    <row r="637">
      <c r="A637" s="54" t="n"/>
      <c r="B637" s="61" t="n"/>
      <c r="C637" s="58" t="n"/>
      <c r="D637" s="58" t="n"/>
      <c r="E637" s="64">
        <f>IF(tblCommentary[[#This Row],[Date]]="","",COUNTIFS(INDEX(tblCommentary[Date],1):tblCommentary[[#This Row],[Date]],tblCommentary[[#This Row],[Date]]))</f>
        <v/>
      </c>
      <c r="F637" s="63">
        <f>IF(tblCommentary[[#This Row],[Date]]="","",tblCommentary[[#This Row],[Date]]&amp;"|"&amp;tblCommentary[[#This Row],[Seq_Day]])</f>
        <v/>
      </c>
    </row>
    <row r="638">
      <c r="A638" s="54" t="n"/>
      <c r="B638" s="61" t="n"/>
      <c r="C638" s="58" t="n"/>
      <c r="D638" s="58" t="n"/>
      <c r="E638" s="64">
        <f>IF(tblCommentary[[#This Row],[Date]]="","",COUNTIFS(INDEX(tblCommentary[Date],1):tblCommentary[[#This Row],[Date]],tblCommentary[[#This Row],[Date]]))</f>
        <v/>
      </c>
      <c r="F638" s="63">
        <f>IF(tblCommentary[[#This Row],[Date]]="","",tblCommentary[[#This Row],[Date]]&amp;"|"&amp;tblCommentary[[#This Row],[Seq_Day]])</f>
        <v/>
      </c>
    </row>
    <row r="639">
      <c r="A639" s="54" t="n"/>
      <c r="B639" s="61" t="n"/>
      <c r="C639" s="58" t="n"/>
      <c r="D639" s="58" t="n"/>
      <c r="E639" s="64">
        <f>IF(tblCommentary[[#This Row],[Date]]="","",COUNTIFS(INDEX(tblCommentary[Date],1):tblCommentary[[#This Row],[Date]],tblCommentary[[#This Row],[Date]]))</f>
        <v/>
      </c>
      <c r="F639" s="63">
        <f>IF(tblCommentary[[#This Row],[Date]]="","",tblCommentary[[#This Row],[Date]]&amp;"|"&amp;tblCommentary[[#This Row],[Seq_Day]])</f>
        <v/>
      </c>
    </row>
    <row r="640">
      <c r="A640" s="54" t="n"/>
      <c r="B640" s="61" t="n"/>
      <c r="C640" s="58" t="n"/>
      <c r="D640" s="58" t="n"/>
      <c r="E640" s="64">
        <f>IF(tblCommentary[[#This Row],[Date]]="","",COUNTIFS(INDEX(tblCommentary[Date],1):tblCommentary[[#This Row],[Date]],tblCommentary[[#This Row],[Date]]))</f>
        <v/>
      </c>
      <c r="F640" s="63">
        <f>IF(tblCommentary[[#This Row],[Date]]="","",tblCommentary[[#This Row],[Date]]&amp;"|"&amp;tblCommentary[[#This Row],[Seq_Day]])</f>
        <v/>
      </c>
    </row>
    <row r="641">
      <c r="A641" s="54" t="n"/>
      <c r="B641" s="61" t="n"/>
      <c r="C641" s="58" t="n"/>
      <c r="D641" s="58" t="n"/>
      <c r="E641" s="64">
        <f>IF(tblCommentary[[#This Row],[Date]]="","",COUNTIFS(INDEX(tblCommentary[Date],1):tblCommentary[[#This Row],[Date]],tblCommentary[[#This Row],[Date]]))</f>
        <v/>
      </c>
      <c r="F641" s="63">
        <f>IF(tblCommentary[[#This Row],[Date]]="","",tblCommentary[[#This Row],[Date]]&amp;"|"&amp;tblCommentary[[#This Row],[Seq_Day]])</f>
        <v/>
      </c>
    </row>
    <row r="642">
      <c r="A642" s="54" t="n"/>
      <c r="B642" s="61" t="n"/>
      <c r="C642" s="58" t="n"/>
      <c r="D642" s="58" t="n"/>
      <c r="E642" s="64">
        <f>IF(tblCommentary[[#This Row],[Date]]="","",COUNTIFS(INDEX(tblCommentary[Date],1):tblCommentary[[#This Row],[Date]],tblCommentary[[#This Row],[Date]]))</f>
        <v/>
      </c>
      <c r="F642" s="63">
        <f>IF(tblCommentary[[#This Row],[Date]]="","",tblCommentary[[#This Row],[Date]]&amp;"|"&amp;tblCommentary[[#This Row],[Seq_Day]])</f>
        <v/>
      </c>
    </row>
    <row r="643">
      <c r="A643" s="54" t="n"/>
      <c r="B643" s="61" t="n"/>
      <c r="C643" s="58" t="n"/>
      <c r="D643" s="58" t="n"/>
      <c r="E643" s="64">
        <f>IF(tblCommentary[[#This Row],[Date]]="","",COUNTIFS(INDEX(tblCommentary[Date],1):tblCommentary[[#This Row],[Date]],tblCommentary[[#This Row],[Date]]))</f>
        <v/>
      </c>
      <c r="F643" s="63">
        <f>IF(tblCommentary[[#This Row],[Date]]="","",tblCommentary[[#This Row],[Date]]&amp;"|"&amp;tblCommentary[[#This Row],[Seq_Day]])</f>
        <v/>
      </c>
    </row>
    <row r="644">
      <c r="A644" s="54" t="n"/>
      <c r="B644" s="61" t="n"/>
      <c r="C644" s="58" t="n"/>
      <c r="D644" s="58" t="n"/>
      <c r="E644" s="64">
        <f>IF(tblCommentary[[#This Row],[Date]]="","",COUNTIFS(INDEX(tblCommentary[Date],1):tblCommentary[[#This Row],[Date]],tblCommentary[[#This Row],[Date]]))</f>
        <v/>
      </c>
      <c r="F644" s="63">
        <f>IF(tblCommentary[[#This Row],[Date]]="","",tblCommentary[[#This Row],[Date]]&amp;"|"&amp;tblCommentary[[#This Row],[Seq_Day]])</f>
        <v/>
      </c>
    </row>
    <row r="645">
      <c r="A645" s="54" t="n"/>
      <c r="B645" s="61" t="n"/>
      <c r="C645" s="58" t="n"/>
      <c r="D645" s="58" t="n"/>
      <c r="E645" s="64">
        <f>IF(tblCommentary[[#This Row],[Date]]="","",COUNTIFS(INDEX(tblCommentary[Date],1):tblCommentary[[#This Row],[Date]],tblCommentary[[#This Row],[Date]]))</f>
        <v/>
      </c>
      <c r="F645" s="63">
        <f>IF(tblCommentary[[#This Row],[Date]]="","",tblCommentary[[#This Row],[Date]]&amp;"|"&amp;tblCommentary[[#This Row],[Seq_Day]])</f>
        <v/>
      </c>
    </row>
    <row r="646">
      <c r="A646" s="54" t="n"/>
      <c r="B646" s="61" t="n"/>
      <c r="C646" s="58" t="n"/>
      <c r="D646" s="58" t="n"/>
      <c r="E646" s="64">
        <f>IF(tblCommentary[[#This Row],[Date]]="","",COUNTIFS(INDEX(tblCommentary[Date],1):tblCommentary[[#This Row],[Date]],tblCommentary[[#This Row],[Date]]))</f>
        <v/>
      </c>
      <c r="F646" s="63">
        <f>IF(tblCommentary[[#This Row],[Date]]="","",tblCommentary[[#This Row],[Date]]&amp;"|"&amp;tblCommentary[[#This Row],[Seq_Day]])</f>
        <v/>
      </c>
    </row>
    <row r="647">
      <c r="A647" s="54" t="n"/>
      <c r="B647" s="61" t="n"/>
      <c r="C647" s="58" t="n"/>
      <c r="D647" s="58" t="n"/>
      <c r="E647" s="64">
        <f>IF(tblCommentary[[#This Row],[Date]]="","",COUNTIFS(INDEX(tblCommentary[Date],1):tblCommentary[[#This Row],[Date]],tblCommentary[[#This Row],[Date]]))</f>
        <v/>
      </c>
      <c r="F647" s="63">
        <f>IF(tblCommentary[[#This Row],[Date]]="","",tblCommentary[[#This Row],[Date]]&amp;"|"&amp;tblCommentary[[#This Row],[Seq_Day]])</f>
        <v/>
      </c>
    </row>
    <row r="648">
      <c r="A648" s="54" t="n"/>
      <c r="B648" s="61" t="n"/>
      <c r="C648" s="58" t="n"/>
      <c r="D648" s="58" t="n"/>
      <c r="E648" s="64">
        <f>IF(tblCommentary[[#This Row],[Date]]="","",COUNTIFS(INDEX(tblCommentary[Date],1):tblCommentary[[#This Row],[Date]],tblCommentary[[#This Row],[Date]]))</f>
        <v/>
      </c>
      <c r="F648" s="63">
        <f>IF(tblCommentary[[#This Row],[Date]]="","",tblCommentary[[#This Row],[Date]]&amp;"|"&amp;tblCommentary[[#This Row],[Seq_Day]])</f>
        <v/>
      </c>
    </row>
    <row r="649">
      <c r="A649" s="54" t="n"/>
      <c r="B649" s="61" t="n"/>
      <c r="C649" s="58" t="n"/>
      <c r="D649" s="58" t="n"/>
      <c r="E649" s="64">
        <f>IF(tblCommentary[[#This Row],[Date]]="","",COUNTIFS(INDEX(tblCommentary[Date],1):tblCommentary[[#This Row],[Date]],tblCommentary[[#This Row],[Date]]))</f>
        <v/>
      </c>
      <c r="F649" s="63">
        <f>IF(tblCommentary[[#This Row],[Date]]="","",tblCommentary[[#This Row],[Date]]&amp;"|"&amp;tblCommentary[[#This Row],[Seq_Day]])</f>
        <v/>
      </c>
    </row>
    <row r="650">
      <c r="A650" s="54" t="n"/>
      <c r="B650" s="61" t="n"/>
      <c r="C650" s="58" t="n"/>
      <c r="D650" s="58" t="n"/>
      <c r="E650" s="64">
        <f>IF(tblCommentary[[#This Row],[Date]]="","",COUNTIFS(INDEX(tblCommentary[Date],1):tblCommentary[[#This Row],[Date]],tblCommentary[[#This Row],[Date]]))</f>
        <v/>
      </c>
      <c r="F650" s="63">
        <f>IF(tblCommentary[[#This Row],[Date]]="","",tblCommentary[[#This Row],[Date]]&amp;"|"&amp;tblCommentary[[#This Row],[Seq_Day]])</f>
        <v/>
      </c>
    </row>
    <row r="651">
      <c r="A651" s="54" t="n"/>
      <c r="B651" s="61" t="n"/>
      <c r="C651" s="58" t="n"/>
      <c r="D651" s="58" t="n"/>
      <c r="E651" s="64">
        <f>IF(tblCommentary[[#This Row],[Date]]="","",COUNTIFS(INDEX(tblCommentary[Date],1):tblCommentary[[#This Row],[Date]],tblCommentary[[#This Row],[Date]]))</f>
        <v/>
      </c>
      <c r="F651" s="63">
        <f>IF(tblCommentary[[#This Row],[Date]]="","",tblCommentary[[#This Row],[Date]]&amp;"|"&amp;tblCommentary[[#This Row],[Seq_Day]])</f>
        <v/>
      </c>
    </row>
    <row r="652">
      <c r="A652" s="54" t="n"/>
      <c r="B652" s="61" t="n"/>
      <c r="C652" s="58" t="n"/>
      <c r="D652" s="58" t="n"/>
      <c r="E652" s="64">
        <f>IF(tblCommentary[[#This Row],[Date]]="","",COUNTIFS(INDEX(tblCommentary[Date],1):tblCommentary[[#This Row],[Date]],tblCommentary[[#This Row],[Date]]))</f>
        <v/>
      </c>
      <c r="F652" s="63">
        <f>IF(tblCommentary[[#This Row],[Date]]="","",tblCommentary[[#This Row],[Date]]&amp;"|"&amp;tblCommentary[[#This Row],[Seq_Day]])</f>
        <v/>
      </c>
    </row>
    <row r="653">
      <c r="A653" s="54" t="n"/>
      <c r="B653" s="61" t="n"/>
      <c r="C653" s="58" t="n"/>
      <c r="D653" s="58" t="n"/>
      <c r="E653" s="64">
        <f>IF(tblCommentary[[#This Row],[Date]]="","",COUNTIFS(INDEX(tblCommentary[Date],1):tblCommentary[[#This Row],[Date]],tblCommentary[[#This Row],[Date]]))</f>
        <v/>
      </c>
      <c r="F653" s="63">
        <f>IF(tblCommentary[[#This Row],[Date]]="","",tblCommentary[[#This Row],[Date]]&amp;"|"&amp;tblCommentary[[#This Row],[Seq_Day]])</f>
        <v/>
      </c>
    </row>
    <row r="654">
      <c r="A654" s="54" t="n"/>
      <c r="B654" s="61" t="n"/>
      <c r="C654" s="58" t="n"/>
      <c r="D654" s="58" t="n"/>
      <c r="E654" s="64">
        <f>IF(tblCommentary[[#This Row],[Date]]="","",COUNTIFS(INDEX(tblCommentary[Date],1):tblCommentary[[#This Row],[Date]],tblCommentary[[#This Row],[Date]]))</f>
        <v/>
      </c>
      <c r="F654" s="63">
        <f>IF(tblCommentary[[#This Row],[Date]]="","",tblCommentary[[#This Row],[Date]]&amp;"|"&amp;tblCommentary[[#This Row],[Seq_Day]])</f>
        <v/>
      </c>
    </row>
    <row r="655">
      <c r="A655" s="54" t="n"/>
      <c r="B655" s="61" t="n"/>
      <c r="C655" s="58" t="n"/>
      <c r="D655" s="58" t="n"/>
      <c r="E655" s="64">
        <f>IF(tblCommentary[[#This Row],[Date]]="","",COUNTIFS(INDEX(tblCommentary[Date],1):tblCommentary[[#This Row],[Date]],tblCommentary[[#This Row],[Date]]))</f>
        <v/>
      </c>
      <c r="F655" s="63">
        <f>IF(tblCommentary[[#This Row],[Date]]="","",tblCommentary[[#This Row],[Date]]&amp;"|"&amp;tblCommentary[[#This Row],[Seq_Day]])</f>
        <v/>
      </c>
    </row>
    <row r="656">
      <c r="A656" s="54" t="n"/>
      <c r="B656" s="61" t="n"/>
      <c r="C656" s="58" t="n"/>
      <c r="D656" s="58" t="n"/>
      <c r="E656" s="64">
        <f>IF(tblCommentary[[#This Row],[Date]]="","",COUNTIFS(INDEX(tblCommentary[Date],1):tblCommentary[[#This Row],[Date]],tblCommentary[[#This Row],[Date]]))</f>
        <v/>
      </c>
      <c r="F656" s="63">
        <f>IF(tblCommentary[[#This Row],[Date]]="","",tblCommentary[[#This Row],[Date]]&amp;"|"&amp;tblCommentary[[#This Row],[Seq_Day]])</f>
        <v/>
      </c>
    </row>
    <row r="657">
      <c r="A657" s="54" t="n"/>
      <c r="B657" s="61" t="n"/>
      <c r="C657" s="58" t="n"/>
      <c r="D657" s="58" t="n"/>
      <c r="E657" s="64">
        <f>IF(tblCommentary[[#This Row],[Date]]="","",COUNTIFS(INDEX(tblCommentary[Date],1):tblCommentary[[#This Row],[Date]],tblCommentary[[#This Row],[Date]]))</f>
        <v/>
      </c>
      <c r="F657" s="63">
        <f>IF(tblCommentary[[#This Row],[Date]]="","",tblCommentary[[#This Row],[Date]]&amp;"|"&amp;tblCommentary[[#This Row],[Seq_Day]])</f>
        <v/>
      </c>
    </row>
    <row r="658">
      <c r="A658" s="54" t="n"/>
      <c r="B658" s="61" t="n"/>
      <c r="C658" s="58" t="n"/>
      <c r="D658" s="58" t="n"/>
      <c r="E658" s="64">
        <f>IF(tblCommentary[[#This Row],[Date]]="","",COUNTIFS(INDEX(tblCommentary[Date],1):tblCommentary[[#This Row],[Date]],tblCommentary[[#This Row],[Date]]))</f>
        <v/>
      </c>
      <c r="F658" s="63">
        <f>IF(tblCommentary[[#This Row],[Date]]="","",tblCommentary[[#This Row],[Date]]&amp;"|"&amp;tblCommentary[[#This Row],[Seq_Day]])</f>
        <v/>
      </c>
    </row>
    <row r="659">
      <c r="A659" s="54" t="n"/>
      <c r="B659" s="61" t="n"/>
      <c r="C659" s="58" t="n"/>
      <c r="D659" s="58" t="n"/>
      <c r="E659" s="64">
        <f>IF(tblCommentary[[#This Row],[Date]]="","",COUNTIFS(INDEX(tblCommentary[Date],1):tblCommentary[[#This Row],[Date]],tblCommentary[[#This Row],[Date]]))</f>
        <v/>
      </c>
      <c r="F659" s="63">
        <f>IF(tblCommentary[[#This Row],[Date]]="","",tblCommentary[[#This Row],[Date]]&amp;"|"&amp;tblCommentary[[#This Row],[Seq_Day]])</f>
        <v/>
      </c>
    </row>
    <row r="660">
      <c r="A660" s="54" t="n"/>
      <c r="B660" s="61" t="n"/>
      <c r="C660" s="58" t="n"/>
      <c r="D660" s="58" t="n"/>
      <c r="E660" s="64">
        <f>IF(tblCommentary[[#This Row],[Date]]="","",COUNTIFS(INDEX(tblCommentary[Date],1):tblCommentary[[#This Row],[Date]],tblCommentary[[#This Row],[Date]]))</f>
        <v/>
      </c>
      <c r="F660" s="63">
        <f>IF(tblCommentary[[#This Row],[Date]]="","",tblCommentary[[#This Row],[Date]]&amp;"|"&amp;tblCommentary[[#This Row],[Seq_Day]])</f>
        <v/>
      </c>
    </row>
    <row r="661">
      <c r="A661" s="54" t="n"/>
      <c r="B661" s="61" t="n"/>
      <c r="C661" s="58" t="n"/>
      <c r="D661" s="58" t="n"/>
      <c r="E661" s="64">
        <f>IF(tblCommentary[[#This Row],[Date]]="","",COUNTIFS(INDEX(tblCommentary[Date],1):tblCommentary[[#This Row],[Date]],tblCommentary[[#This Row],[Date]]))</f>
        <v/>
      </c>
      <c r="F661" s="63">
        <f>IF(tblCommentary[[#This Row],[Date]]="","",tblCommentary[[#This Row],[Date]]&amp;"|"&amp;tblCommentary[[#This Row],[Seq_Day]])</f>
        <v/>
      </c>
    </row>
    <row r="662">
      <c r="A662" s="54" t="n"/>
      <c r="B662" s="61" t="n"/>
      <c r="C662" s="58" t="n"/>
      <c r="D662" s="58" t="n"/>
      <c r="E662" s="64">
        <f>IF(tblCommentary[[#This Row],[Date]]="","",COUNTIFS(INDEX(tblCommentary[Date],1):tblCommentary[[#This Row],[Date]],tblCommentary[[#This Row],[Date]]))</f>
        <v/>
      </c>
      <c r="F662" s="63">
        <f>IF(tblCommentary[[#This Row],[Date]]="","",tblCommentary[[#This Row],[Date]]&amp;"|"&amp;tblCommentary[[#This Row],[Seq_Day]])</f>
        <v/>
      </c>
    </row>
    <row r="663">
      <c r="A663" s="54" t="n"/>
      <c r="B663" s="61" t="n"/>
      <c r="C663" s="58" t="n"/>
      <c r="D663" s="58" t="n"/>
      <c r="E663" s="64">
        <f>IF(tblCommentary[[#This Row],[Date]]="","",COUNTIFS(INDEX(tblCommentary[Date],1):tblCommentary[[#This Row],[Date]],tblCommentary[[#This Row],[Date]]))</f>
        <v/>
      </c>
      <c r="F663" s="63">
        <f>IF(tblCommentary[[#This Row],[Date]]="","",tblCommentary[[#This Row],[Date]]&amp;"|"&amp;tblCommentary[[#This Row],[Seq_Day]])</f>
        <v/>
      </c>
    </row>
    <row r="664">
      <c r="A664" s="54" t="n"/>
      <c r="B664" s="61" t="n"/>
      <c r="C664" s="58" t="n"/>
      <c r="D664" s="58" t="n"/>
      <c r="E664" s="64">
        <f>IF(tblCommentary[[#This Row],[Date]]="","",COUNTIFS(INDEX(tblCommentary[Date],1):tblCommentary[[#This Row],[Date]],tblCommentary[[#This Row],[Date]]))</f>
        <v/>
      </c>
      <c r="F664" s="63">
        <f>IF(tblCommentary[[#This Row],[Date]]="","",tblCommentary[[#This Row],[Date]]&amp;"|"&amp;tblCommentary[[#This Row],[Seq_Day]])</f>
        <v/>
      </c>
    </row>
    <row r="665">
      <c r="A665" s="54" t="n"/>
      <c r="B665" s="61" t="n"/>
      <c r="C665" s="58" t="n"/>
      <c r="D665" s="58" t="n"/>
      <c r="E665" s="64">
        <f>IF(tblCommentary[[#This Row],[Date]]="","",COUNTIFS(INDEX(tblCommentary[Date],1):tblCommentary[[#This Row],[Date]],tblCommentary[[#This Row],[Date]]))</f>
        <v/>
      </c>
      <c r="F665" s="63">
        <f>IF(tblCommentary[[#This Row],[Date]]="","",tblCommentary[[#This Row],[Date]]&amp;"|"&amp;tblCommentary[[#This Row],[Seq_Day]])</f>
        <v/>
      </c>
    </row>
    <row r="666">
      <c r="A666" s="54" t="n"/>
      <c r="B666" s="61" t="n"/>
      <c r="C666" s="58" t="n"/>
      <c r="D666" s="58" t="n"/>
      <c r="E666" s="64">
        <f>IF(tblCommentary[[#This Row],[Date]]="","",COUNTIFS(INDEX(tblCommentary[Date],1):tblCommentary[[#This Row],[Date]],tblCommentary[[#This Row],[Date]]))</f>
        <v/>
      </c>
      <c r="F666" s="63">
        <f>IF(tblCommentary[[#This Row],[Date]]="","",tblCommentary[[#This Row],[Date]]&amp;"|"&amp;tblCommentary[[#This Row],[Seq_Day]])</f>
        <v/>
      </c>
    </row>
    <row r="667">
      <c r="A667" s="54" t="n"/>
      <c r="B667" s="61" t="n"/>
      <c r="C667" s="58" t="n"/>
      <c r="D667" s="58" t="n"/>
      <c r="E667" s="64">
        <f>IF(tblCommentary[[#This Row],[Date]]="","",COUNTIFS(INDEX(tblCommentary[Date],1):tblCommentary[[#This Row],[Date]],tblCommentary[[#This Row],[Date]]))</f>
        <v/>
      </c>
      <c r="F667" s="63">
        <f>IF(tblCommentary[[#This Row],[Date]]="","",tblCommentary[[#This Row],[Date]]&amp;"|"&amp;tblCommentary[[#This Row],[Seq_Day]])</f>
        <v/>
      </c>
    </row>
    <row r="668">
      <c r="A668" s="54" t="n"/>
      <c r="B668" s="61" t="n"/>
      <c r="C668" s="58" t="n"/>
      <c r="D668" s="58" t="n"/>
      <c r="E668" s="64">
        <f>IF(tblCommentary[[#This Row],[Date]]="","",COUNTIFS(INDEX(tblCommentary[Date],1):tblCommentary[[#This Row],[Date]],tblCommentary[[#This Row],[Date]]))</f>
        <v/>
      </c>
      <c r="F668" s="63">
        <f>IF(tblCommentary[[#This Row],[Date]]="","",tblCommentary[[#This Row],[Date]]&amp;"|"&amp;tblCommentary[[#This Row],[Seq_Day]])</f>
        <v/>
      </c>
    </row>
    <row r="669">
      <c r="A669" s="54" t="n"/>
      <c r="B669" s="61" t="n"/>
      <c r="C669" s="58" t="n"/>
      <c r="D669" s="58" t="n"/>
      <c r="E669" s="64">
        <f>IF(tblCommentary[[#This Row],[Date]]="","",COUNTIFS(INDEX(tblCommentary[Date],1):tblCommentary[[#This Row],[Date]],tblCommentary[[#This Row],[Date]]))</f>
        <v/>
      </c>
      <c r="F669" s="63">
        <f>IF(tblCommentary[[#This Row],[Date]]="","",tblCommentary[[#This Row],[Date]]&amp;"|"&amp;tblCommentary[[#This Row],[Seq_Day]])</f>
        <v/>
      </c>
    </row>
    <row r="670">
      <c r="A670" s="54" t="n"/>
      <c r="B670" s="61" t="n"/>
      <c r="C670" s="58" t="n"/>
      <c r="D670" s="58" t="n"/>
      <c r="E670" s="64">
        <f>IF(tblCommentary[[#This Row],[Date]]="","",COUNTIFS(INDEX(tblCommentary[Date],1):tblCommentary[[#This Row],[Date]],tblCommentary[[#This Row],[Date]]))</f>
        <v/>
      </c>
      <c r="F670" s="63">
        <f>IF(tblCommentary[[#This Row],[Date]]="","",tblCommentary[[#This Row],[Date]]&amp;"|"&amp;tblCommentary[[#This Row],[Seq_Day]])</f>
        <v/>
      </c>
    </row>
    <row r="671">
      <c r="A671" s="54" t="n"/>
      <c r="B671" s="61" t="n"/>
      <c r="C671" s="58" t="n"/>
      <c r="D671" s="58" t="n"/>
      <c r="E671" s="64">
        <f>IF(tblCommentary[[#This Row],[Date]]="","",COUNTIFS(INDEX(tblCommentary[Date],1):tblCommentary[[#This Row],[Date]],tblCommentary[[#This Row],[Date]]))</f>
        <v/>
      </c>
      <c r="F671" s="63">
        <f>IF(tblCommentary[[#This Row],[Date]]="","",tblCommentary[[#This Row],[Date]]&amp;"|"&amp;tblCommentary[[#This Row],[Seq_Day]])</f>
        <v/>
      </c>
    </row>
    <row r="672">
      <c r="A672" s="54" t="n"/>
      <c r="B672" s="61" t="n"/>
      <c r="C672" s="58" t="n"/>
      <c r="D672" s="58" t="n"/>
      <c r="E672" s="64">
        <f>IF(tblCommentary[[#This Row],[Date]]="","",COUNTIFS(INDEX(tblCommentary[Date],1):tblCommentary[[#This Row],[Date]],tblCommentary[[#This Row],[Date]]))</f>
        <v/>
      </c>
      <c r="F672" s="63">
        <f>IF(tblCommentary[[#This Row],[Date]]="","",tblCommentary[[#This Row],[Date]]&amp;"|"&amp;tblCommentary[[#This Row],[Seq_Day]])</f>
        <v/>
      </c>
    </row>
    <row r="673">
      <c r="A673" s="54" t="n"/>
      <c r="B673" s="61" t="n"/>
      <c r="C673" s="58" t="n"/>
      <c r="D673" s="58" t="n"/>
      <c r="E673" s="64">
        <f>IF(tblCommentary[[#This Row],[Date]]="","",COUNTIFS(INDEX(tblCommentary[Date],1):tblCommentary[[#This Row],[Date]],tblCommentary[[#This Row],[Date]]))</f>
        <v/>
      </c>
      <c r="F673" s="63">
        <f>IF(tblCommentary[[#This Row],[Date]]="","",tblCommentary[[#This Row],[Date]]&amp;"|"&amp;tblCommentary[[#This Row],[Seq_Day]])</f>
        <v/>
      </c>
    </row>
    <row r="674">
      <c r="A674" s="54" t="n"/>
      <c r="B674" s="61" t="n"/>
      <c r="C674" s="58" t="n"/>
      <c r="D674" s="58" t="n"/>
      <c r="E674" s="64">
        <f>IF(tblCommentary[[#This Row],[Date]]="","",COUNTIFS(INDEX(tblCommentary[Date],1):tblCommentary[[#This Row],[Date]],tblCommentary[[#This Row],[Date]]))</f>
        <v/>
      </c>
      <c r="F674" s="63">
        <f>IF(tblCommentary[[#This Row],[Date]]="","",tblCommentary[[#This Row],[Date]]&amp;"|"&amp;tblCommentary[[#This Row],[Seq_Day]])</f>
        <v/>
      </c>
    </row>
    <row r="675">
      <c r="A675" s="54" t="n"/>
      <c r="B675" s="61" t="n"/>
      <c r="C675" s="58" t="n"/>
      <c r="D675" s="58" t="n"/>
      <c r="E675" s="64">
        <f>IF(tblCommentary[[#This Row],[Date]]="","",COUNTIFS(INDEX(tblCommentary[Date],1):tblCommentary[[#This Row],[Date]],tblCommentary[[#This Row],[Date]]))</f>
        <v/>
      </c>
      <c r="F675" s="63">
        <f>IF(tblCommentary[[#This Row],[Date]]="","",tblCommentary[[#This Row],[Date]]&amp;"|"&amp;tblCommentary[[#This Row],[Seq_Day]])</f>
        <v/>
      </c>
    </row>
    <row r="676">
      <c r="A676" s="54" t="n"/>
      <c r="B676" s="61" t="n"/>
      <c r="C676" s="58" t="n"/>
      <c r="D676" s="58" t="n"/>
      <c r="E676" s="64">
        <f>IF(tblCommentary[[#This Row],[Date]]="","",COUNTIFS(INDEX(tblCommentary[Date],1):tblCommentary[[#This Row],[Date]],tblCommentary[[#This Row],[Date]]))</f>
        <v/>
      </c>
      <c r="F676" s="63">
        <f>IF(tblCommentary[[#This Row],[Date]]="","",tblCommentary[[#This Row],[Date]]&amp;"|"&amp;tblCommentary[[#This Row],[Seq_Day]])</f>
        <v/>
      </c>
    </row>
    <row r="677">
      <c r="A677" s="54" t="n"/>
      <c r="B677" s="61" t="n"/>
      <c r="C677" s="58" t="n"/>
      <c r="D677" s="58" t="n"/>
      <c r="E677" s="64">
        <f>IF(tblCommentary[[#This Row],[Date]]="","",COUNTIFS(INDEX(tblCommentary[Date],1):tblCommentary[[#This Row],[Date]],tblCommentary[[#This Row],[Date]]))</f>
        <v/>
      </c>
      <c r="F677" s="63">
        <f>IF(tblCommentary[[#This Row],[Date]]="","",tblCommentary[[#This Row],[Date]]&amp;"|"&amp;tblCommentary[[#This Row],[Seq_Day]])</f>
        <v/>
      </c>
    </row>
    <row r="678">
      <c r="A678" s="54" t="n"/>
      <c r="B678" s="61" t="n"/>
      <c r="C678" s="58" t="n"/>
      <c r="D678" s="58" t="n"/>
      <c r="E678" s="64">
        <f>IF(tblCommentary[[#This Row],[Date]]="","",COUNTIFS(INDEX(tblCommentary[Date],1):tblCommentary[[#This Row],[Date]],tblCommentary[[#This Row],[Date]]))</f>
        <v/>
      </c>
      <c r="F678" s="63">
        <f>IF(tblCommentary[[#This Row],[Date]]="","",tblCommentary[[#This Row],[Date]]&amp;"|"&amp;tblCommentary[[#This Row],[Seq_Day]])</f>
        <v/>
      </c>
    </row>
    <row r="679">
      <c r="A679" s="54" t="n"/>
      <c r="B679" s="61" t="n"/>
      <c r="C679" s="58" t="n"/>
      <c r="D679" s="58" t="n"/>
      <c r="E679" s="64">
        <f>IF(tblCommentary[[#This Row],[Date]]="","",COUNTIFS(INDEX(tblCommentary[Date],1):tblCommentary[[#This Row],[Date]],tblCommentary[[#This Row],[Date]]))</f>
        <v/>
      </c>
      <c r="F679" s="63">
        <f>IF(tblCommentary[[#This Row],[Date]]="","",tblCommentary[[#This Row],[Date]]&amp;"|"&amp;tblCommentary[[#This Row],[Seq_Day]])</f>
        <v/>
      </c>
    </row>
    <row r="680">
      <c r="A680" s="54" t="n"/>
      <c r="B680" s="61" t="n"/>
      <c r="C680" s="58" t="n"/>
      <c r="D680" s="58" t="n"/>
      <c r="E680" s="64">
        <f>IF(tblCommentary[[#This Row],[Date]]="","",COUNTIFS(INDEX(tblCommentary[Date],1):tblCommentary[[#This Row],[Date]],tblCommentary[[#This Row],[Date]]))</f>
        <v/>
      </c>
      <c r="F680" s="63">
        <f>IF(tblCommentary[[#This Row],[Date]]="","",tblCommentary[[#This Row],[Date]]&amp;"|"&amp;tblCommentary[[#This Row],[Seq_Day]])</f>
        <v/>
      </c>
    </row>
    <row r="681">
      <c r="A681" s="54" t="n"/>
      <c r="B681" s="61" t="n"/>
      <c r="C681" s="58" t="n"/>
      <c r="D681" s="58" t="n"/>
      <c r="E681" s="64">
        <f>IF(tblCommentary[[#This Row],[Date]]="","",COUNTIFS(INDEX(tblCommentary[Date],1):tblCommentary[[#This Row],[Date]],tblCommentary[[#This Row],[Date]]))</f>
        <v/>
      </c>
      <c r="F681" s="63">
        <f>IF(tblCommentary[[#This Row],[Date]]="","",tblCommentary[[#This Row],[Date]]&amp;"|"&amp;tblCommentary[[#This Row],[Seq_Day]])</f>
        <v/>
      </c>
    </row>
    <row r="682">
      <c r="A682" s="54" t="n"/>
      <c r="B682" s="61" t="n"/>
      <c r="C682" s="58" t="n"/>
      <c r="D682" s="58" t="n"/>
      <c r="E682" s="64">
        <f>IF(tblCommentary[[#This Row],[Date]]="","",COUNTIFS(INDEX(tblCommentary[Date],1):tblCommentary[[#This Row],[Date]],tblCommentary[[#This Row],[Date]]))</f>
        <v/>
      </c>
      <c r="F682" s="63">
        <f>IF(tblCommentary[[#This Row],[Date]]="","",tblCommentary[[#This Row],[Date]]&amp;"|"&amp;tblCommentary[[#This Row],[Seq_Day]])</f>
        <v/>
      </c>
    </row>
    <row r="683">
      <c r="A683" s="54" t="n"/>
      <c r="B683" s="61" t="n"/>
      <c r="C683" s="58" t="n"/>
      <c r="D683" s="58" t="n"/>
      <c r="E683" s="64">
        <f>IF(tblCommentary[[#This Row],[Date]]="","",COUNTIFS(INDEX(tblCommentary[Date],1):tblCommentary[[#This Row],[Date]],tblCommentary[[#This Row],[Date]]))</f>
        <v/>
      </c>
      <c r="F683" s="63">
        <f>IF(tblCommentary[[#This Row],[Date]]="","",tblCommentary[[#This Row],[Date]]&amp;"|"&amp;tblCommentary[[#This Row],[Seq_Day]])</f>
        <v/>
      </c>
    </row>
    <row r="684">
      <c r="A684" s="54" t="n"/>
      <c r="B684" s="61" t="n"/>
      <c r="C684" s="58" t="n"/>
      <c r="D684" s="58" t="n"/>
      <c r="E684" s="64">
        <f>IF(tblCommentary[[#This Row],[Date]]="","",COUNTIFS(INDEX(tblCommentary[Date],1):tblCommentary[[#This Row],[Date]],tblCommentary[[#This Row],[Date]]))</f>
        <v/>
      </c>
      <c r="F684" s="63">
        <f>IF(tblCommentary[[#This Row],[Date]]="","",tblCommentary[[#This Row],[Date]]&amp;"|"&amp;tblCommentary[[#This Row],[Seq_Day]])</f>
        <v/>
      </c>
    </row>
    <row r="685">
      <c r="A685" s="54" t="n"/>
      <c r="B685" s="61" t="n"/>
      <c r="C685" s="58" t="n"/>
      <c r="D685" s="58" t="n"/>
      <c r="E685" s="64">
        <f>IF(tblCommentary[[#This Row],[Date]]="","",COUNTIFS(INDEX(tblCommentary[Date],1):tblCommentary[[#This Row],[Date]],tblCommentary[[#This Row],[Date]]))</f>
        <v/>
      </c>
      <c r="F685" s="63">
        <f>IF(tblCommentary[[#This Row],[Date]]="","",tblCommentary[[#This Row],[Date]]&amp;"|"&amp;tblCommentary[[#This Row],[Seq_Day]])</f>
        <v/>
      </c>
    </row>
    <row r="686">
      <c r="A686" s="54" t="n"/>
      <c r="B686" s="61" t="n"/>
      <c r="C686" s="58" t="n"/>
      <c r="D686" s="58" t="n"/>
      <c r="E686" s="64">
        <f>IF(tblCommentary[[#This Row],[Date]]="","",COUNTIFS(INDEX(tblCommentary[Date],1):tblCommentary[[#This Row],[Date]],tblCommentary[[#This Row],[Date]]))</f>
        <v/>
      </c>
      <c r="F686" s="63">
        <f>IF(tblCommentary[[#This Row],[Date]]="","",tblCommentary[[#This Row],[Date]]&amp;"|"&amp;tblCommentary[[#This Row],[Seq_Day]])</f>
        <v/>
      </c>
    </row>
    <row r="687">
      <c r="A687" s="54" t="n"/>
      <c r="B687" s="61" t="n"/>
      <c r="C687" s="58" t="n"/>
      <c r="D687" s="58" t="n"/>
      <c r="E687" s="64">
        <f>IF(tblCommentary[[#This Row],[Date]]="","",COUNTIFS(INDEX(tblCommentary[Date],1):tblCommentary[[#This Row],[Date]],tblCommentary[[#This Row],[Date]]))</f>
        <v/>
      </c>
      <c r="F687" s="63">
        <f>IF(tblCommentary[[#This Row],[Date]]="","",tblCommentary[[#This Row],[Date]]&amp;"|"&amp;tblCommentary[[#This Row],[Seq_Day]])</f>
        <v/>
      </c>
    </row>
    <row r="688">
      <c r="A688" s="54" t="n"/>
      <c r="B688" s="61" t="n"/>
      <c r="C688" s="58" t="n"/>
      <c r="D688" s="58" t="n"/>
      <c r="E688" s="64">
        <f>IF(tblCommentary[[#This Row],[Date]]="","",COUNTIFS(INDEX(tblCommentary[Date],1):tblCommentary[[#This Row],[Date]],tblCommentary[[#This Row],[Date]]))</f>
        <v/>
      </c>
      <c r="F688" s="63">
        <f>IF(tblCommentary[[#This Row],[Date]]="","",tblCommentary[[#This Row],[Date]]&amp;"|"&amp;tblCommentary[[#This Row],[Seq_Day]])</f>
        <v/>
      </c>
    </row>
    <row r="689">
      <c r="A689" s="54" t="n"/>
      <c r="B689" s="61" t="n"/>
      <c r="C689" s="58" t="n"/>
      <c r="D689" s="58" t="n"/>
      <c r="E689" s="64">
        <f>IF(tblCommentary[[#This Row],[Date]]="","",COUNTIFS(INDEX(tblCommentary[Date],1):tblCommentary[[#This Row],[Date]],tblCommentary[[#This Row],[Date]]))</f>
        <v/>
      </c>
      <c r="F689" s="63">
        <f>IF(tblCommentary[[#This Row],[Date]]="","",tblCommentary[[#This Row],[Date]]&amp;"|"&amp;tblCommentary[[#This Row],[Seq_Day]])</f>
        <v/>
      </c>
    </row>
    <row r="690">
      <c r="A690" s="54" t="n"/>
      <c r="B690" s="61" t="n"/>
      <c r="C690" s="58" t="n"/>
      <c r="D690" s="58" t="n"/>
      <c r="E690" s="64">
        <f>IF(tblCommentary[[#This Row],[Date]]="","",COUNTIFS(INDEX(tblCommentary[Date],1):tblCommentary[[#This Row],[Date]],tblCommentary[[#This Row],[Date]]))</f>
        <v/>
      </c>
      <c r="F690" s="63">
        <f>IF(tblCommentary[[#This Row],[Date]]="","",tblCommentary[[#This Row],[Date]]&amp;"|"&amp;tblCommentary[[#This Row],[Seq_Day]])</f>
        <v/>
      </c>
    </row>
    <row r="691">
      <c r="A691" s="54" t="n"/>
      <c r="B691" s="61" t="n"/>
      <c r="C691" s="58" t="n"/>
      <c r="D691" s="58" t="n"/>
      <c r="E691" s="64">
        <f>IF(tblCommentary[[#This Row],[Date]]="","",COUNTIFS(INDEX(tblCommentary[Date],1):tblCommentary[[#This Row],[Date]],tblCommentary[[#This Row],[Date]]))</f>
        <v/>
      </c>
      <c r="F691" s="63">
        <f>IF(tblCommentary[[#This Row],[Date]]="","",tblCommentary[[#This Row],[Date]]&amp;"|"&amp;tblCommentary[[#This Row],[Seq_Day]])</f>
        <v/>
      </c>
    </row>
    <row r="692">
      <c r="A692" s="54" t="n"/>
      <c r="B692" s="61" t="n"/>
      <c r="C692" s="58" t="n"/>
      <c r="D692" s="58" t="n"/>
      <c r="E692" s="64">
        <f>IF(tblCommentary[[#This Row],[Date]]="","",COUNTIFS(INDEX(tblCommentary[Date],1):tblCommentary[[#This Row],[Date]],tblCommentary[[#This Row],[Date]]))</f>
        <v/>
      </c>
      <c r="F692" s="63">
        <f>IF(tblCommentary[[#This Row],[Date]]="","",tblCommentary[[#This Row],[Date]]&amp;"|"&amp;tblCommentary[[#This Row],[Seq_Day]])</f>
        <v/>
      </c>
    </row>
    <row r="693">
      <c r="A693" s="54" t="n"/>
      <c r="B693" s="61" t="n"/>
      <c r="C693" s="58" t="n"/>
      <c r="D693" s="58" t="n"/>
      <c r="E693" s="64">
        <f>IF(tblCommentary[[#This Row],[Date]]="","",COUNTIFS(INDEX(tblCommentary[Date],1):tblCommentary[[#This Row],[Date]],tblCommentary[[#This Row],[Date]]))</f>
        <v/>
      </c>
      <c r="F693" s="63">
        <f>IF(tblCommentary[[#This Row],[Date]]="","",tblCommentary[[#This Row],[Date]]&amp;"|"&amp;tblCommentary[[#This Row],[Seq_Day]])</f>
        <v/>
      </c>
    </row>
    <row r="694">
      <c r="A694" s="54" t="n"/>
      <c r="B694" s="61" t="n"/>
      <c r="C694" s="58" t="n"/>
      <c r="D694" s="58" t="n"/>
      <c r="E694" s="64">
        <f>IF(tblCommentary[[#This Row],[Date]]="","",COUNTIFS(INDEX(tblCommentary[Date],1):tblCommentary[[#This Row],[Date]],tblCommentary[[#This Row],[Date]]))</f>
        <v/>
      </c>
      <c r="F694" s="63">
        <f>IF(tblCommentary[[#This Row],[Date]]="","",tblCommentary[[#This Row],[Date]]&amp;"|"&amp;tblCommentary[[#This Row],[Seq_Day]])</f>
        <v/>
      </c>
    </row>
    <row r="695">
      <c r="A695" s="54" t="n"/>
      <c r="B695" s="61" t="n"/>
      <c r="C695" s="58" t="n"/>
      <c r="D695" s="58" t="n"/>
      <c r="E695" s="64">
        <f>IF(tblCommentary[[#This Row],[Date]]="","",COUNTIFS(INDEX(tblCommentary[Date],1):tblCommentary[[#This Row],[Date]],tblCommentary[[#This Row],[Date]]))</f>
        <v/>
      </c>
      <c r="F695" s="63">
        <f>IF(tblCommentary[[#This Row],[Date]]="","",tblCommentary[[#This Row],[Date]]&amp;"|"&amp;tblCommentary[[#This Row],[Seq_Day]])</f>
        <v/>
      </c>
    </row>
    <row r="696">
      <c r="A696" s="54" t="n"/>
      <c r="B696" s="61" t="n"/>
      <c r="C696" s="58" t="n"/>
      <c r="D696" s="58" t="n"/>
      <c r="E696" s="64">
        <f>IF(tblCommentary[[#This Row],[Date]]="","",COUNTIFS(INDEX(tblCommentary[Date],1):tblCommentary[[#This Row],[Date]],tblCommentary[[#This Row],[Date]]))</f>
        <v/>
      </c>
      <c r="F696" s="63">
        <f>IF(tblCommentary[[#This Row],[Date]]="","",tblCommentary[[#This Row],[Date]]&amp;"|"&amp;tblCommentary[[#This Row],[Seq_Day]])</f>
        <v/>
      </c>
    </row>
    <row r="697">
      <c r="A697" s="54" t="n"/>
      <c r="B697" s="61" t="n"/>
      <c r="C697" s="58" t="n"/>
      <c r="D697" s="58" t="n"/>
      <c r="E697" s="64">
        <f>IF(tblCommentary[[#This Row],[Date]]="","",COUNTIFS(INDEX(tblCommentary[Date],1):tblCommentary[[#This Row],[Date]],tblCommentary[[#This Row],[Date]]))</f>
        <v/>
      </c>
      <c r="F697" s="63">
        <f>IF(tblCommentary[[#This Row],[Date]]="","",tblCommentary[[#This Row],[Date]]&amp;"|"&amp;tblCommentary[[#This Row],[Seq_Day]])</f>
        <v/>
      </c>
    </row>
    <row r="698">
      <c r="A698" s="54" t="n"/>
      <c r="B698" s="61" t="n"/>
      <c r="C698" s="58" t="n"/>
      <c r="D698" s="58" t="n"/>
      <c r="E698" s="64">
        <f>IF(tblCommentary[[#This Row],[Date]]="","",COUNTIFS(INDEX(tblCommentary[Date],1):tblCommentary[[#This Row],[Date]],tblCommentary[[#This Row],[Date]]))</f>
        <v/>
      </c>
      <c r="F698" s="63">
        <f>IF(tblCommentary[[#This Row],[Date]]="","",tblCommentary[[#This Row],[Date]]&amp;"|"&amp;tblCommentary[[#This Row],[Seq_Day]])</f>
        <v/>
      </c>
    </row>
    <row r="699">
      <c r="A699" s="54" t="n"/>
      <c r="B699" s="61" t="n"/>
      <c r="C699" s="58" t="n"/>
      <c r="D699" s="58" t="n"/>
      <c r="E699" s="64">
        <f>IF(tblCommentary[[#This Row],[Date]]="","",COUNTIFS(INDEX(tblCommentary[Date],1):tblCommentary[[#This Row],[Date]],tblCommentary[[#This Row],[Date]]))</f>
        <v/>
      </c>
      <c r="F699" s="63">
        <f>IF(tblCommentary[[#This Row],[Date]]="","",tblCommentary[[#This Row],[Date]]&amp;"|"&amp;tblCommentary[[#This Row],[Seq_Day]])</f>
        <v/>
      </c>
    </row>
    <row r="700">
      <c r="A700" s="54" t="n"/>
      <c r="B700" s="61" t="n"/>
      <c r="C700" s="58" t="n"/>
      <c r="D700" s="58" t="n"/>
      <c r="E700" s="64">
        <f>IF(tblCommentary[[#This Row],[Date]]="","",COUNTIFS(INDEX(tblCommentary[Date],1):tblCommentary[[#This Row],[Date]],tblCommentary[[#This Row],[Date]]))</f>
        <v/>
      </c>
      <c r="F700" s="63">
        <f>IF(tblCommentary[[#This Row],[Date]]="","",tblCommentary[[#This Row],[Date]]&amp;"|"&amp;tblCommentary[[#This Row],[Seq_Day]])</f>
        <v/>
      </c>
    </row>
    <row r="701">
      <c r="A701" s="54" t="n"/>
      <c r="B701" s="61" t="n"/>
      <c r="C701" s="58" t="n"/>
      <c r="D701" s="58" t="n"/>
      <c r="E701" s="64">
        <f>IF(tblCommentary[[#This Row],[Date]]="","",COUNTIFS(INDEX(tblCommentary[Date],1):tblCommentary[[#This Row],[Date]],tblCommentary[[#This Row],[Date]]))</f>
        <v/>
      </c>
      <c r="F701" s="63">
        <f>IF(tblCommentary[[#This Row],[Date]]="","",tblCommentary[[#This Row],[Date]]&amp;"|"&amp;tblCommentary[[#This Row],[Seq_Day]])</f>
        <v/>
      </c>
    </row>
    <row r="702">
      <c r="A702" s="54" t="n"/>
      <c r="B702" s="61" t="n"/>
      <c r="C702" s="58" t="n"/>
      <c r="D702" s="58" t="n"/>
      <c r="E702" s="64">
        <f>IF(tblCommentary[[#This Row],[Date]]="","",COUNTIFS(INDEX(tblCommentary[Date],1):tblCommentary[[#This Row],[Date]],tblCommentary[[#This Row],[Date]]))</f>
        <v/>
      </c>
      <c r="F702" s="63">
        <f>IF(tblCommentary[[#This Row],[Date]]="","",tblCommentary[[#This Row],[Date]]&amp;"|"&amp;tblCommentary[[#This Row],[Seq_Day]])</f>
        <v/>
      </c>
    </row>
    <row r="703">
      <c r="A703" s="54" t="n"/>
      <c r="B703" s="61" t="n"/>
      <c r="C703" s="58" t="n"/>
      <c r="D703" s="58" t="n"/>
      <c r="E703" s="64">
        <f>IF(tblCommentary[[#This Row],[Date]]="","",COUNTIFS(INDEX(tblCommentary[Date],1):tblCommentary[[#This Row],[Date]],tblCommentary[[#This Row],[Date]]))</f>
        <v/>
      </c>
      <c r="F703" s="63">
        <f>IF(tblCommentary[[#This Row],[Date]]="","",tblCommentary[[#This Row],[Date]]&amp;"|"&amp;tblCommentary[[#This Row],[Seq_Day]])</f>
        <v/>
      </c>
    </row>
    <row r="704">
      <c r="A704" s="54" t="n"/>
      <c r="B704" s="61" t="n"/>
      <c r="C704" s="58" t="n"/>
      <c r="D704" s="58" t="n"/>
      <c r="E704" s="64">
        <f>IF(tblCommentary[[#This Row],[Date]]="","",COUNTIFS(INDEX(tblCommentary[Date],1):tblCommentary[[#This Row],[Date]],tblCommentary[[#This Row],[Date]]))</f>
        <v/>
      </c>
      <c r="F704" s="63">
        <f>IF(tblCommentary[[#This Row],[Date]]="","",tblCommentary[[#This Row],[Date]]&amp;"|"&amp;tblCommentary[[#This Row],[Seq_Day]])</f>
        <v/>
      </c>
    </row>
    <row r="705">
      <c r="A705" s="54" t="n"/>
      <c r="B705" s="61" t="n"/>
      <c r="C705" s="58" t="n"/>
      <c r="D705" s="58" t="n"/>
      <c r="E705" s="64">
        <f>IF(tblCommentary[[#This Row],[Date]]="","",COUNTIFS(INDEX(tblCommentary[Date],1):tblCommentary[[#This Row],[Date]],tblCommentary[[#This Row],[Date]]))</f>
        <v/>
      </c>
      <c r="F705" s="63">
        <f>IF(tblCommentary[[#This Row],[Date]]="","",tblCommentary[[#This Row],[Date]]&amp;"|"&amp;tblCommentary[[#This Row],[Seq_Day]])</f>
        <v/>
      </c>
    </row>
    <row r="706">
      <c r="A706" s="54" t="n"/>
      <c r="B706" s="61" t="n"/>
      <c r="C706" s="58" t="n"/>
      <c r="D706" s="58" t="n"/>
      <c r="E706" s="64">
        <f>IF(tblCommentary[[#This Row],[Date]]="","",COUNTIFS(INDEX(tblCommentary[Date],1):tblCommentary[[#This Row],[Date]],tblCommentary[[#This Row],[Date]]))</f>
        <v/>
      </c>
      <c r="F706" s="63">
        <f>IF(tblCommentary[[#This Row],[Date]]="","",tblCommentary[[#This Row],[Date]]&amp;"|"&amp;tblCommentary[[#This Row],[Seq_Day]])</f>
        <v/>
      </c>
    </row>
    <row r="707">
      <c r="A707" s="54" t="n"/>
      <c r="B707" s="61" t="n"/>
      <c r="C707" s="58" t="n"/>
      <c r="D707" s="58" t="n"/>
      <c r="E707" s="64">
        <f>IF(tblCommentary[[#This Row],[Date]]="","",COUNTIFS(INDEX(tblCommentary[Date],1):tblCommentary[[#This Row],[Date]],tblCommentary[[#This Row],[Date]]))</f>
        <v/>
      </c>
      <c r="F707" s="63">
        <f>IF(tblCommentary[[#This Row],[Date]]="","",tblCommentary[[#This Row],[Date]]&amp;"|"&amp;tblCommentary[[#This Row],[Seq_Day]])</f>
        <v/>
      </c>
    </row>
    <row r="708">
      <c r="A708" s="54" t="n"/>
      <c r="B708" s="61" t="n"/>
      <c r="C708" s="58" t="n"/>
      <c r="D708" s="58" t="n"/>
      <c r="E708" s="64">
        <f>IF(tblCommentary[[#This Row],[Date]]="","",COUNTIFS(INDEX(tblCommentary[Date],1):tblCommentary[[#This Row],[Date]],tblCommentary[[#This Row],[Date]]))</f>
        <v/>
      </c>
      <c r="F708" s="63">
        <f>IF(tblCommentary[[#This Row],[Date]]="","",tblCommentary[[#This Row],[Date]]&amp;"|"&amp;tblCommentary[[#This Row],[Seq_Day]])</f>
        <v/>
      </c>
    </row>
    <row r="709">
      <c r="A709" s="54" t="n"/>
      <c r="B709" s="61" t="n"/>
      <c r="C709" s="58" t="n"/>
      <c r="D709" s="58" t="n"/>
      <c r="E709" s="64">
        <f>IF(tblCommentary[[#This Row],[Date]]="","",COUNTIFS(INDEX(tblCommentary[Date],1):tblCommentary[[#This Row],[Date]],tblCommentary[[#This Row],[Date]]))</f>
        <v/>
      </c>
      <c r="F709" s="63">
        <f>IF(tblCommentary[[#This Row],[Date]]="","",tblCommentary[[#This Row],[Date]]&amp;"|"&amp;tblCommentary[[#This Row],[Seq_Day]])</f>
        <v/>
      </c>
    </row>
    <row r="710">
      <c r="A710" s="54" t="n"/>
      <c r="B710" s="61" t="n"/>
      <c r="C710" s="58" t="n"/>
      <c r="D710" s="58" t="n"/>
      <c r="E710" s="64">
        <f>IF(tblCommentary[[#This Row],[Date]]="","",COUNTIFS(INDEX(tblCommentary[Date],1):tblCommentary[[#This Row],[Date]],tblCommentary[[#This Row],[Date]]))</f>
        <v/>
      </c>
      <c r="F710" s="63">
        <f>IF(tblCommentary[[#This Row],[Date]]="","",tblCommentary[[#This Row],[Date]]&amp;"|"&amp;tblCommentary[[#This Row],[Seq_Day]])</f>
        <v/>
      </c>
    </row>
    <row r="711">
      <c r="A711" s="54" t="n"/>
      <c r="B711" s="61" t="n"/>
      <c r="C711" s="58" t="n"/>
      <c r="D711" s="58" t="n"/>
      <c r="E711" s="64">
        <f>IF(tblCommentary[[#This Row],[Date]]="","",COUNTIFS(INDEX(tblCommentary[Date],1):tblCommentary[[#This Row],[Date]],tblCommentary[[#This Row],[Date]]))</f>
        <v/>
      </c>
      <c r="F711" s="63">
        <f>IF(tblCommentary[[#This Row],[Date]]="","",tblCommentary[[#This Row],[Date]]&amp;"|"&amp;tblCommentary[[#This Row],[Seq_Day]])</f>
        <v/>
      </c>
    </row>
    <row r="712">
      <c r="A712" s="54" t="n"/>
      <c r="B712" s="61" t="n"/>
      <c r="C712" s="58" t="n"/>
      <c r="D712" s="58" t="n"/>
      <c r="E712" s="64">
        <f>IF(tblCommentary[[#This Row],[Date]]="","",COUNTIFS(INDEX(tblCommentary[Date],1):tblCommentary[[#This Row],[Date]],tblCommentary[[#This Row],[Date]]))</f>
        <v/>
      </c>
      <c r="F712" s="63">
        <f>IF(tblCommentary[[#This Row],[Date]]="","",tblCommentary[[#This Row],[Date]]&amp;"|"&amp;tblCommentary[[#This Row],[Seq_Day]])</f>
        <v/>
      </c>
    </row>
    <row r="713">
      <c r="A713" s="54" t="n"/>
      <c r="B713" s="61" t="n"/>
      <c r="C713" s="58" t="n"/>
      <c r="D713" s="58" t="n"/>
      <c r="E713" s="64">
        <f>IF(tblCommentary[[#This Row],[Date]]="","",COUNTIFS(INDEX(tblCommentary[Date],1):tblCommentary[[#This Row],[Date]],tblCommentary[[#This Row],[Date]]))</f>
        <v/>
      </c>
      <c r="F713" s="63">
        <f>IF(tblCommentary[[#This Row],[Date]]="","",tblCommentary[[#This Row],[Date]]&amp;"|"&amp;tblCommentary[[#This Row],[Seq_Day]])</f>
        <v/>
      </c>
    </row>
    <row r="714">
      <c r="A714" s="54" t="n"/>
      <c r="B714" s="61" t="n"/>
      <c r="C714" s="58" t="n"/>
      <c r="D714" s="58" t="n"/>
      <c r="E714" s="64">
        <f>IF(tblCommentary[[#This Row],[Date]]="","",COUNTIFS(INDEX(tblCommentary[Date],1):tblCommentary[[#This Row],[Date]],tblCommentary[[#This Row],[Date]]))</f>
        <v/>
      </c>
      <c r="F714" s="63">
        <f>IF(tblCommentary[[#This Row],[Date]]="","",tblCommentary[[#This Row],[Date]]&amp;"|"&amp;tblCommentary[[#This Row],[Seq_Day]])</f>
        <v/>
      </c>
    </row>
    <row r="715">
      <c r="A715" s="54" t="n"/>
      <c r="B715" s="61" t="n"/>
      <c r="C715" s="58" t="n"/>
      <c r="D715" s="58" t="n"/>
      <c r="E715" s="64">
        <f>IF(tblCommentary[[#This Row],[Date]]="","",COUNTIFS(INDEX(tblCommentary[Date],1):tblCommentary[[#This Row],[Date]],tblCommentary[[#This Row],[Date]]))</f>
        <v/>
      </c>
      <c r="F715" s="63">
        <f>IF(tblCommentary[[#This Row],[Date]]="","",tblCommentary[[#This Row],[Date]]&amp;"|"&amp;tblCommentary[[#This Row],[Seq_Day]])</f>
        <v/>
      </c>
    </row>
    <row r="716">
      <c r="A716" s="54" t="n"/>
      <c r="B716" s="61" t="n"/>
      <c r="C716" s="58" t="n"/>
      <c r="D716" s="58" t="n"/>
      <c r="E716" s="64">
        <f>IF(tblCommentary[[#This Row],[Date]]="","",COUNTIFS(INDEX(tblCommentary[Date],1):tblCommentary[[#This Row],[Date]],tblCommentary[[#This Row],[Date]]))</f>
        <v/>
      </c>
      <c r="F716" s="63">
        <f>IF(tblCommentary[[#This Row],[Date]]="","",tblCommentary[[#This Row],[Date]]&amp;"|"&amp;tblCommentary[[#This Row],[Seq_Day]])</f>
        <v/>
      </c>
    </row>
    <row r="717">
      <c r="A717" s="54" t="n"/>
      <c r="B717" s="61" t="n"/>
      <c r="C717" s="58" t="n"/>
      <c r="D717" s="58" t="n"/>
      <c r="E717" s="64">
        <f>IF(tblCommentary[[#This Row],[Date]]="","",COUNTIFS(INDEX(tblCommentary[Date],1):tblCommentary[[#This Row],[Date]],tblCommentary[[#This Row],[Date]]))</f>
        <v/>
      </c>
      <c r="F717" s="63">
        <f>IF(tblCommentary[[#This Row],[Date]]="","",tblCommentary[[#This Row],[Date]]&amp;"|"&amp;tblCommentary[[#This Row],[Seq_Day]])</f>
        <v/>
      </c>
    </row>
    <row r="718">
      <c r="A718" s="54" t="n"/>
      <c r="B718" s="61" t="n"/>
      <c r="C718" s="58" t="n"/>
      <c r="D718" s="58" t="n"/>
      <c r="E718" s="64">
        <f>IF(tblCommentary[[#This Row],[Date]]="","",COUNTIFS(INDEX(tblCommentary[Date],1):tblCommentary[[#This Row],[Date]],tblCommentary[[#This Row],[Date]]))</f>
        <v/>
      </c>
      <c r="F718" s="63">
        <f>IF(tblCommentary[[#This Row],[Date]]="","",tblCommentary[[#This Row],[Date]]&amp;"|"&amp;tblCommentary[[#This Row],[Seq_Day]])</f>
        <v/>
      </c>
    </row>
    <row r="719">
      <c r="A719" s="54" t="n"/>
      <c r="B719" s="61" t="n"/>
      <c r="C719" s="58" t="n"/>
      <c r="D719" s="58" t="n"/>
      <c r="E719" s="64">
        <f>IF(tblCommentary[[#This Row],[Date]]="","",COUNTIFS(INDEX(tblCommentary[Date],1):tblCommentary[[#This Row],[Date]],tblCommentary[[#This Row],[Date]]))</f>
        <v/>
      </c>
      <c r="F719" s="63">
        <f>IF(tblCommentary[[#This Row],[Date]]="","",tblCommentary[[#This Row],[Date]]&amp;"|"&amp;tblCommentary[[#This Row],[Seq_Day]])</f>
        <v/>
      </c>
    </row>
    <row r="720">
      <c r="A720" s="54" t="n"/>
      <c r="B720" s="61" t="n"/>
      <c r="C720" s="58" t="n"/>
      <c r="D720" s="58" t="n"/>
      <c r="E720" s="64">
        <f>IF(tblCommentary[[#This Row],[Date]]="","",COUNTIFS(INDEX(tblCommentary[Date],1):tblCommentary[[#This Row],[Date]],tblCommentary[[#This Row],[Date]]))</f>
        <v/>
      </c>
      <c r="F720" s="63">
        <f>IF(tblCommentary[[#This Row],[Date]]="","",tblCommentary[[#This Row],[Date]]&amp;"|"&amp;tblCommentary[[#This Row],[Seq_Day]])</f>
        <v/>
      </c>
    </row>
    <row r="721">
      <c r="A721" s="54" t="n"/>
      <c r="B721" s="61" t="n"/>
      <c r="C721" s="58" t="n"/>
      <c r="D721" s="58" t="n"/>
      <c r="E721" s="64">
        <f>IF(tblCommentary[[#This Row],[Date]]="","",COUNTIFS(INDEX(tblCommentary[Date],1):tblCommentary[[#This Row],[Date]],tblCommentary[[#This Row],[Date]]))</f>
        <v/>
      </c>
      <c r="F721" s="63">
        <f>IF(tblCommentary[[#This Row],[Date]]="","",tblCommentary[[#This Row],[Date]]&amp;"|"&amp;tblCommentary[[#This Row],[Seq_Day]])</f>
        <v/>
      </c>
    </row>
    <row r="722">
      <c r="A722" s="54" t="n"/>
      <c r="B722" s="61" t="n"/>
      <c r="C722" s="58" t="n"/>
      <c r="D722" s="58" t="n"/>
      <c r="E722" s="64">
        <f>IF(tblCommentary[[#This Row],[Date]]="","",COUNTIFS(INDEX(tblCommentary[Date],1):tblCommentary[[#This Row],[Date]],tblCommentary[[#This Row],[Date]]))</f>
        <v/>
      </c>
      <c r="F722" s="63">
        <f>IF(tblCommentary[[#This Row],[Date]]="","",tblCommentary[[#This Row],[Date]]&amp;"|"&amp;tblCommentary[[#This Row],[Seq_Day]])</f>
        <v/>
      </c>
    </row>
    <row r="723">
      <c r="A723" s="54" t="n"/>
      <c r="B723" s="61" t="n"/>
      <c r="C723" s="58" t="n"/>
      <c r="D723" s="58" t="n"/>
      <c r="E723" s="64">
        <f>IF(tblCommentary[[#This Row],[Date]]="","",COUNTIFS(INDEX(tblCommentary[Date],1):tblCommentary[[#This Row],[Date]],tblCommentary[[#This Row],[Date]]))</f>
        <v/>
      </c>
      <c r="F723" s="63">
        <f>IF(tblCommentary[[#This Row],[Date]]="","",tblCommentary[[#This Row],[Date]]&amp;"|"&amp;tblCommentary[[#This Row],[Seq_Day]])</f>
        <v/>
      </c>
    </row>
    <row r="724">
      <c r="A724" s="54" t="n"/>
      <c r="B724" s="61" t="n"/>
      <c r="C724" s="58" t="n"/>
      <c r="D724" s="58" t="n"/>
      <c r="E724" s="64">
        <f>IF(tblCommentary[[#This Row],[Date]]="","",COUNTIFS(INDEX(tblCommentary[Date],1):tblCommentary[[#This Row],[Date]],tblCommentary[[#This Row],[Date]]))</f>
        <v/>
      </c>
      <c r="F724" s="63">
        <f>IF(tblCommentary[[#This Row],[Date]]="","",tblCommentary[[#This Row],[Date]]&amp;"|"&amp;tblCommentary[[#This Row],[Seq_Day]])</f>
        <v/>
      </c>
    </row>
    <row r="725">
      <c r="A725" s="54" t="n"/>
      <c r="B725" s="61" t="n"/>
      <c r="C725" s="58" t="n"/>
      <c r="D725" s="58" t="n"/>
      <c r="E725" s="64">
        <f>IF(tblCommentary[[#This Row],[Date]]="","",COUNTIFS(INDEX(tblCommentary[Date],1):tblCommentary[[#This Row],[Date]],tblCommentary[[#This Row],[Date]]))</f>
        <v/>
      </c>
      <c r="F725" s="63">
        <f>IF(tblCommentary[[#This Row],[Date]]="","",tblCommentary[[#This Row],[Date]]&amp;"|"&amp;tblCommentary[[#This Row],[Seq_Day]])</f>
        <v/>
      </c>
    </row>
    <row r="726">
      <c r="A726" s="54" t="n"/>
      <c r="B726" s="61" t="n"/>
      <c r="C726" s="58" t="n"/>
      <c r="D726" s="58" t="n"/>
      <c r="E726" s="64">
        <f>IF(tblCommentary[[#This Row],[Date]]="","",COUNTIFS(INDEX(tblCommentary[Date],1):tblCommentary[[#This Row],[Date]],tblCommentary[[#This Row],[Date]]))</f>
        <v/>
      </c>
      <c r="F726" s="63">
        <f>IF(tblCommentary[[#This Row],[Date]]="","",tblCommentary[[#This Row],[Date]]&amp;"|"&amp;tblCommentary[[#This Row],[Seq_Day]])</f>
        <v/>
      </c>
    </row>
    <row r="727">
      <c r="A727" s="54" t="n"/>
      <c r="B727" s="61" t="n"/>
      <c r="C727" s="58" t="n"/>
      <c r="D727" s="58" t="n"/>
      <c r="E727" s="64">
        <f>IF(tblCommentary[[#This Row],[Date]]="","",COUNTIFS(INDEX(tblCommentary[Date],1):tblCommentary[[#This Row],[Date]],tblCommentary[[#This Row],[Date]]))</f>
        <v/>
      </c>
      <c r="F727" s="63">
        <f>IF(tblCommentary[[#This Row],[Date]]="","",tblCommentary[[#This Row],[Date]]&amp;"|"&amp;tblCommentary[[#This Row],[Seq_Day]])</f>
        <v/>
      </c>
    </row>
    <row r="728">
      <c r="A728" s="54" t="n"/>
      <c r="B728" s="61" t="n"/>
      <c r="C728" s="58" t="n"/>
      <c r="D728" s="58" t="n"/>
      <c r="E728" s="64">
        <f>IF(tblCommentary[[#This Row],[Date]]="","",COUNTIFS(INDEX(tblCommentary[Date],1):tblCommentary[[#This Row],[Date]],tblCommentary[[#This Row],[Date]]))</f>
        <v/>
      </c>
      <c r="F728" s="63">
        <f>IF(tblCommentary[[#This Row],[Date]]="","",tblCommentary[[#This Row],[Date]]&amp;"|"&amp;tblCommentary[[#This Row],[Seq_Day]])</f>
        <v/>
      </c>
    </row>
    <row r="729">
      <c r="A729" s="54" t="n"/>
      <c r="B729" s="61" t="n"/>
      <c r="C729" s="58" t="n"/>
      <c r="D729" s="58" t="n"/>
      <c r="E729" s="64">
        <f>IF(tblCommentary[[#This Row],[Date]]="","",COUNTIFS(INDEX(tblCommentary[Date],1):tblCommentary[[#This Row],[Date]],tblCommentary[[#This Row],[Date]]))</f>
        <v/>
      </c>
      <c r="F729" s="63">
        <f>IF(tblCommentary[[#This Row],[Date]]="","",tblCommentary[[#This Row],[Date]]&amp;"|"&amp;tblCommentary[[#This Row],[Seq_Day]])</f>
        <v/>
      </c>
    </row>
    <row r="730">
      <c r="A730" s="54" t="n"/>
      <c r="B730" s="61" t="n"/>
      <c r="C730" s="58" t="n"/>
      <c r="D730" s="58" t="n"/>
      <c r="E730" s="64">
        <f>IF(tblCommentary[[#This Row],[Date]]="","",COUNTIFS(INDEX(tblCommentary[Date],1):tblCommentary[[#This Row],[Date]],tblCommentary[[#This Row],[Date]]))</f>
        <v/>
      </c>
      <c r="F730" s="63">
        <f>IF(tblCommentary[[#This Row],[Date]]="","",tblCommentary[[#This Row],[Date]]&amp;"|"&amp;tblCommentary[[#This Row],[Seq_Day]])</f>
        <v/>
      </c>
    </row>
    <row r="731">
      <c r="A731" s="54" t="n"/>
      <c r="B731" s="61" t="n"/>
      <c r="C731" s="58" t="n"/>
      <c r="D731" s="58" t="n"/>
      <c r="E731" s="64">
        <f>IF(tblCommentary[[#This Row],[Date]]="","",COUNTIFS(INDEX(tblCommentary[Date],1):tblCommentary[[#This Row],[Date]],tblCommentary[[#This Row],[Date]]))</f>
        <v/>
      </c>
      <c r="F731" s="63">
        <f>IF(tblCommentary[[#This Row],[Date]]="","",tblCommentary[[#This Row],[Date]]&amp;"|"&amp;tblCommentary[[#This Row],[Seq_Day]])</f>
        <v/>
      </c>
    </row>
    <row r="732">
      <c r="A732" s="54" t="n"/>
      <c r="B732" s="61" t="n"/>
      <c r="C732" s="58" t="n"/>
      <c r="D732" s="58" t="n"/>
      <c r="E732" s="64">
        <f>IF(tblCommentary[[#This Row],[Date]]="","",COUNTIFS(INDEX(tblCommentary[Date],1):tblCommentary[[#This Row],[Date]],tblCommentary[[#This Row],[Date]]))</f>
        <v/>
      </c>
      <c r="F732" s="63">
        <f>IF(tblCommentary[[#This Row],[Date]]="","",tblCommentary[[#This Row],[Date]]&amp;"|"&amp;tblCommentary[[#This Row],[Seq_Day]])</f>
        <v/>
      </c>
    </row>
    <row r="733">
      <c r="A733" s="54" t="n"/>
      <c r="B733" s="61" t="n"/>
      <c r="C733" s="58" t="n"/>
      <c r="D733" s="58" t="n"/>
      <c r="E733" s="64">
        <f>IF(tblCommentary[[#This Row],[Date]]="","",COUNTIFS(INDEX(tblCommentary[Date],1):tblCommentary[[#This Row],[Date]],tblCommentary[[#This Row],[Date]]))</f>
        <v/>
      </c>
      <c r="F733" s="63">
        <f>IF(tblCommentary[[#This Row],[Date]]="","",tblCommentary[[#This Row],[Date]]&amp;"|"&amp;tblCommentary[[#This Row],[Seq_Day]])</f>
        <v/>
      </c>
    </row>
    <row r="734">
      <c r="A734" s="54" t="n"/>
      <c r="B734" s="61" t="n"/>
      <c r="C734" s="58" t="n"/>
      <c r="D734" s="58" t="n"/>
      <c r="E734" s="64">
        <f>IF(tblCommentary[[#This Row],[Date]]="","",COUNTIFS(INDEX(tblCommentary[Date],1):tblCommentary[[#This Row],[Date]],tblCommentary[[#This Row],[Date]]))</f>
        <v/>
      </c>
      <c r="F734" s="63">
        <f>IF(tblCommentary[[#This Row],[Date]]="","",tblCommentary[[#This Row],[Date]]&amp;"|"&amp;tblCommentary[[#This Row],[Seq_Day]])</f>
        <v/>
      </c>
    </row>
    <row r="735">
      <c r="A735" s="54" t="n"/>
      <c r="B735" s="61" t="n"/>
      <c r="C735" s="58" t="n"/>
      <c r="D735" s="58" t="n"/>
      <c r="E735" s="64">
        <f>IF(tblCommentary[[#This Row],[Date]]="","",COUNTIFS(INDEX(tblCommentary[Date],1):tblCommentary[[#This Row],[Date]],tblCommentary[[#This Row],[Date]]))</f>
        <v/>
      </c>
      <c r="F735" s="63">
        <f>IF(tblCommentary[[#This Row],[Date]]="","",tblCommentary[[#This Row],[Date]]&amp;"|"&amp;tblCommentary[[#This Row],[Seq_Day]])</f>
        <v/>
      </c>
    </row>
    <row r="736">
      <c r="A736" s="54" t="n"/>
      <c r="B736" s="61" t="n"/>
      <c r="C736" s="58" t="n"/>
      <c r="D736" s="58" t="n"/>
      <c r="E736" s="64">
        <f>IF(tblCommentary[[#This Row],[Date]]="","",COUNTIFS(INDEX(tblCommentary[Date],1):tblCommentary[[#This Row],[Date]],tblCommentary[[#This Row],[Date]]))</f>
        <v/>
      </c>
      <c r="F736" s="63">
        <f>IF(tblCommentary[[#This Row],[Date]]="","",tblCommentary[[#This Row],[Date]]&amp;"|"&amp;tblCommentary[[#This Row],[Seq_Day]])</f>
        <v/>
      </c>
    </row>
    <row r="737">
      <c r="A737" s="54" t="n"/>
      <c r="B737" s="61" t="n"/>
      <c r="C737" s="58" t="n"/>
      <c r="D737" s="58" t="n"/>
      <c r="E737" s="64">
        <f>IF(tblCommentary[[#This Row],[Date]]="","",COUNTIFS(INDEX(tblCommentary[Date],1):tblCommentary[[#This Row],[Date]],tblCommentary[[#This Row],[Date]]))</f>
        <v/>
      </c>
      <c r="F737" s="63">
        <f>IF(tblCommentary[[#This Row],[Date]]="","",tblCommentary[[#This Row],[Date]]&amp;"|"&amp;tblCommentary[[#This Row],[Seq_Day]])</f>
        <v/>
      </c>
    </row>
    <row r="738">
      <c r="A738" s="54" t="n"/>
      <c r="B738" s="61" t="n"/>
      <c r="C738" s="58" t="n"/>
      <c r="D738" s="58" t="n"/>
      <c r="E738" s="64">
        <f>IF(tblCommentary[[#This Row],[Date]]="","",COUNTIFS(INDEX(tblCommentary[Date],1):tblCommentary[[#This Row],[Date]],tblCommentary[[#This Row],[Date]]))</f>
        <v/>
      </c>
      <c r="F738" s="63">
        <f>IF(tblCommentary[[#This Row],[Date]]="","",tblCommentary[[#This Row],[Date]]&amp;"|"&amp;tblCommentary[[#This Row],[Seq_Day]])</f>
        <v/>
      </c>
    </row>
    <row r="739">
      <c r="A739" s="54" t="n"/>
      <c r="B739" s="61" t="n"/>
      <c r="C739" s="58" t="n"/>
      <c r="D739" s="58" t="n"/>
      <c r="E739" s="64">
        <f>IF(tblCommentary[[#This Row],[Date]]="","",COUNTIFS(INDEX(tblCommentary[Date],1):tblCommentary[[#This Row],[Date]],tblCommentary[[#This Row],[Date]]))</f>
        <v/>
      </c>
      <c r="F739" s="63">
        <f>IF(tblCommentary[[#This Row],[Date]]="","",tblCommentary[[#This Row],[Date]]&amp;"|"&amp;tblCommentary[[#This Row],[Seq_Day]])</f>
        <v/>
      </c>
    </row>
    <row r="740">
      <c r="A740" s="54" t="n"/>
      <c r="B740" s="61" t="n"/>
      <c r="C740" s="58" t="n"/>
      <c r="D740" s="58" t="n"/>
      <c r="E740" s="64">
        <f>IF(tblCommentary[[#This Row],[Date]]="","",COUNTIFS(INDEX(tblCommentary[Date],1):tblCommentary[[#This Row],[Date]],tblCommentary[[#This Row],[Date]]))</f>
        <v/>
      </c>
      <c r="F740" s="63">
        <f>IF(tblCommentary[[#This Row],[Date]]="","",tblCommentary[[#This Row],[Date]]&amp;"|"&amp;tblCommentary[[#This Row],[Seq_Day]])</f>
        <v/>
      </c>
    </row>
    <row r="741">
      <c r="A741" s="54" t="n"/>
      <c r="B741" s="61" t="n"/>
      <c r="C741" s="58" t="n"/>
      <c r="D741" s="58" t="n"/>
      <c r="E741" s="64">
        <f>IF(tblCommentary[[#This Row],[Date]]="","",COUNTIFS(INDEX(tblCommentary[Date],1):tblCommentary[[#This Row],[Date]],tblCommentary[[#This Row],[Date]]))</f>
        <v/>
      </c>
      <c r="F741" s="63">
        <f>IF(tblCommentary[[#This Row],[Date]]="","",tblCommentary[[#This Row],[Date]]&amp;"|"&amp;tblCommentary[[#This Row],[Seq_Day]])</f>
        <v/>
      </c>
    </row>
    <row r="742">
      <c r="A742" s="54" t="n"/>
      <c r="B742" s="61" t="n"/>
      <c r="C742" s="58" t="n"/>
      <c r="D742" s="58" t="n"/>
      <c r="E742" s="64">
        <f>IF(tblCommentary[[#This Row],[Date]]="","",COUNTIFS(INDEX(tblCommentary[Date],1):tblCommentary[[#This Row],[Date]],tblCommentary[[#This Row],[Date]]))</f>
        <v/>
      </c>
      <c r="F742" s="63">
        <f>IF(tblCommentary[[#This Row],[Date]]="","",tblCommentary[[#This Row],[Date]]&amp;"|"&amp;tblCommentary[[#This Row],[Seq_Day]])</f>
        <v/>
      </c>
    </row>
    <row r="743">
      <c r="A743" s="54" t="n"/>
      <c r="B743" s="61" t="n"/>
      <c r="C743" s="58" t="n"/>
      <c r="D743" s="58" t="n"/>
      <c r="E743" s="64">
        <f>IF(tblCommentary[[#This Row],[Date]]="","",COUNTIFS(INDEX(tblCommentary[Date],1):tblCommentary[[#This Row],[Date]],tblCommentary[[#This Row],[Date]]))</f>
        <v/>
      </c>
      <c r="F743" s="63">
        <f>IF(tblCommentary[[#This Row],[Date]]="","",tblCommentary[[#This Row],[Date]]&amp;"|"&amp;tblCommentary[[#This Row],[Seq_Day]])</f>
        <v/>
      </c>
    </row>
    <row r="744">
      <c r="A744" s="54" t="n"/>
      <c r="B744" s="61" t="n"/>
      <c r="C744" s="58" t="n"/>
      <c r="D744" s="58" t="n"/>
      <c r="E744" s="64">
        <f>IF(tblCommentary[[#This Row],[Date]]="","",COUNTIFS(INDEX(tblCommentary[Date],1):tblCommentary[[#This Row],[Date]],tblCommentary[[#This Row],[Date]]))</f>
        <v/>
      </c>
      <c r="F744" s="63">
        <f>IF(tblCommentary[[#This Row],[Date]]="","",tblCommentary[[#This Row],[Date]]&amp;"|"&amp;tblCommentary[[#This Row],[Seq_Day]])</f>
        <v/>
      </c>
    </row>
    <row r="745">
      <c r="A745" s="54" t="n"/>
      <c r="B745" s="61" t="n"/>
      <c r="C745" s="58" t="n"/>
      <c r="D745" s="58" t="n"/>
      <c r="E745" s="64">
        <f>IF(tblCommentary[[#This Row],[Date]]="","",COUNTIFS(INDEX(tblCommentary[Date],1):tblCommentary[[#This Row],[Date]],tblCommentary[[#This Row],[Date]]))</f>
        <v/>
      </c>
      <c r="F745" s="63">
        <f>IF(tblCommentary[[#This Row],[Date]]="","",tblCommentary[[#This Row],[Date]]&amp;"|"&amp;tblCommentary[[#This Row],[Seq_Day]])</f>
        <v/>
      </c>
    </row>
    <row r="746">
      <c r="A746" s="54" t="n"/>
      <c r="B746" s="61" t="n"/>
      <c r="C746" s="58" t="n"/>
      <c r="D746" s="58" t="n"/>
      <c r="E746" s="64">
        <f>IF(tblCommentary[[#This Row],[Date]]="","",COUNTIFS(INDEX(tblCommentary[Date],1):tblCommentary[[#This Row],[Date]],tblCommentary[[#This Row],[Date]]))</f>
        <v/>
      </c>
      <c r="F746" s="63">
        <f>IF(tblCommentary[[#This Row],[Date]]="","",tblCommentary[[#This Row],[Date]]&amp;"|"&amp;tblCommentary[[#This Row],[Seq_Day]])</f>
        <v/>
      </c>
    </row>
    <row r="747">
      <c r="A747" s="54" t="n"/>
      <c r="B747" s="61" t="n"/>
      <c r="C747" s="58" t="n"/>
      <c r="D747" s="58" t="n"/>
      <c r="E747" s="64">
        <f>IF(tblCommentary[[#This Row],[Date]]="","",COUNTIFS(INDEX(tblCommentary[Date],1):tblCommentary[[#This Row],[Date]],tblCommentary[[#This Row],[Date]]))</f>
        <v/>
      </c>
      <c r="F747" s="63">
        <f>IF(tblCommentary[[#This Row],[Date]]="","",tblCommentary[[#This Row],[Date]]&amp;"|"&amp;tblCommentary[[#This Row],[Seq_Day]])</f>
        <v/>
      </c>
    </row>
    <row r="748">
      <c r="A748" s="54" t="n"/>
      <c r="B748" s="61" t="n"/>
      <c r="C748" s="58" t="n"/>
      <c r="D748" s="58" t="n"/>
      <c r="E748" s="64">
        <f>IF(tblCommentary[[#This Row],[Date]]="","",COUNTIFS(INDEX(tblCommentary[Date],1):tblCommentary[[#This Row],[Date]],tblCommentary[[#This Row],[Date]]))</f>
        <v/>
      </c>
      <c r="F748" s="63">
        <f>IF(tblCommentary[[#This Row],[Date]]="","",tblCommentary[[#This Row],[Date]]&amp;"|"&amp;tblCommentary[[#This Row],[Seq_Day]])</f>
        <v/>
      </c>
    </row>
    <row r="749">
      <c r="A749" s="54" t="n"/>
      <c r="B749" s="61" t="n"/>
      <c r="C749" s="58" t="n"/>
      <c r="D749" s="58" t="n"/>
      <c r="E749" s="64">
        <f>IF(tblCommentary[[#This Row],[Date]]="","",COUNTIFS(INDEX(tblCommentary[Date],1):tblCommentary[[#This Row],[Date]],tblCommentary[[#This Row],[Date]]))</f>
        <v/>
      </c>
      <c r="F749" s="63">
        <f>IF(tblCommentary[[#This Row],[Date]]="","",tblCommentary[[#This Row],[Date]]&amp;"|"&amp;tblCommentary[[#This Row],[Seq_Day]])</f>
        <v/>
      </c>
    </row>
    <row r="750">
      <c r="A750" s="54" t="n"/>
      <c r="B750" s="61" t="n"/>
      <c r="C750" s="58" t="n"/>
      <c r="D750" s="58" t="n"/>
      <c r="E750" s="64">
        <f>IF(tblCommentary[[#This Row],[Date]]="","",COUNTIFS(INDEX(tblCommentary[Date],1):tblCommentary[[#This Row],[Date]],tblCommentary[[#This Row],[Date]]))</f>
        <v/>
      </c>
      <c r="F750" s="63">
        <f>IF(tblCommentary[[#This Row],[Date]]="","",tblCommentary[[#This Row],[Date]]&amp;"|"&amp;tblCommentary[[#This Row],[Seq_Day]])</f>
        <v/>
      </c>
    </row>
    <row r="751">
      <c r="A751" s="54" t="n"/>
      <c r="B751" s="61" t="n"/>
      <c r="C751" s="58" t="n"/>
      <c r="D751" s="58" t="n"/>
      <c r="E751" s="64">
        <f>IF(tblCommentary[[#This Row],[Date]]="","",COUNTIFS(INDEX(tblCommentary[Date],1):tblCommentary[[#This Row],[Date]],tblCommentary[[#This Row],[Date]]))</f>
        <v/>
      </c>
      <c r="F751" s="63">
        <f>IF(tblCommentary[[#This Row],[Date]]="","",tblCommentary[[#This Row],[Date]]&amp;"|"&amp;tblCommentary[[#This Row],[Seq_Day]])</f>
        <v/>
      </c>
    </row>
    <row r="752">
      <c r="A752" s="54" t="n"/>
      <c r="B752" s="61" t="n"/>
      <c r="C752" s="58" t="n"/>
      <c r="D752" s="58" t="n"/>
      <c r="E752" s="64">
        <f>IF(tblCommentary[[#This Row],[Date]]="","",COUNTIFS(INDEX(tblCommentary[Date],1):tblCommentary[[#This Row],[Date]],tblCommentary[[#This Row],[Date]]))</f>
        <v/>
      </c>
      <c r="F752" s="63">
        <f>IF(tblCommentary[[#This Row],[Date]]="","",tblCommentary[[#This Row],[Date]]&amp;"|"&amp;tblCommentary[[#This Row],[Seq_Day]])</f>
        <v/>
      </c>
    </row>
    <row r="753">
      <c r="A753" s="54" t="n"/>
      <c r="B753" s="61" t="n"/>
      <c r="C753" s="58" t="n"/>
      <c r="D753" s="58" t="n"/>
      <c r="E753" s="64">
        <f>IF(tblCommentary[[#This Row],[Date]]="","",COUNTIFS(INDEX(tblCommentary[Date],1):tblCommentary[[#This Row],[Date]],tblCommentary[[#This Row],[Date]]))</f>
        <v/>
      </c>
      <c r="F753" s="63">
        <f>IF(tblCommentary[[#This Row],[Date]]="","",tblCommentary[[#This Row],[Date]]&amp;"|"&amp;tblCommentary[[#This Row],[Seq_Day]])</f>
        <v/>
      </c>
    </row>
    <row r="754">
      <c r="A754" s="54" t="n"/>
      <c r="B754" s="61" t="n"/>
      <c r="C754" s="58" t="n"/>
      <c r="D754" s="58" t="n"/>
      <c r="E754" s="64">
        <f>IF(tblCommentary[[#This Row],[Date]]="","",COUNTIFS(INDEX(tblCommentary[Date],1):tblCommentary[[#This Row],[Date]],tblCommentary[[#This Row],[Date]]))</f>
        <v/>
      </c>
      <c r="F754" s="63">
        <f>IF(tblCommentary[[#This Row],[Date]]="","",tblCommentary[[#This Row],[Date]]&amp;"|"&amp;tblCommentary[[#This Row],[Seq_Day]])</f>
        <v/>
      </c>
    </row>
    <row r="755">
      <c r="A755" s="54" t="n"/>
      <c r="B755" s="61" t="n"/>
      <c r="C755" s="58" t="n"/>
      <c r="D755" s="58" t="n"/>
      <c r="E755" s="64">
        <f>IF(tblCommentary[[#This Row],[Date]]="","",COUNTIFS(INDEX(tblCommentary[Date],1):tblCommentary[[#This Row],[Date]],tblCommentary[[#This Row],[Date]]))</f>
        <v/>
      </c>
      <c r="F755" s="63">
        <f>IF(tblCommentary[[#This Row],[Date]]="","",tblCommentary[[#This Row],[Date]]&amp;"|"&amp;tblCommentary[[#This Row],[Seq_Day]])</f>
        <v/>
      </c>
    </row>
    <row r="756">
      <c r="A756" s="54" t="n"/>
      <c r="B756" s="61" t="n"/>
      <c r="C756" s="58" t="n"/>
      <c r="D756" s="58" t="n"/>
      <c r="E756" s="64">
        <f>IF(tblCommentary[[#This Row],[Date]]="","",COUNTIFS(INDEX(tblCommentary[Date],1):tblCommentary[[#This Row],[Date]],tblCommentary[[#This Row],[Date]]))</f>
        <v/>
      </c>
      <c r="F756" s="63">
        <f>IF(tblCommentary[[#This Row],[Date]]="","",tblCommentary[[#This Row],[Date]]&amp;"|"&amp;tblCommentary[[#This Row],[Seq_Day]])</f>
        <v/>
      </c>
    </row>
    <row r="757">
      <c r="A757" s="54" t="n"/>
      <c r="B757" s="61" t="n"/>
      <c r="C757" s="58" t="n"/>
      <c r="D757" s="58" t="n"/>
      <c r="E757" s="64">
        <f>IF(tblCommentary[[#This Row],[Date]]="","",COUNTIFS(INDEX(tblCommentary[Date],1):tblCommentary[[#This Row],[Date]],tblCommentary[[#This Row],[Date]]))</f>
        <v/>
      </c>
      <c r="F757" s="63">
        <f>IF(tblCommentary[[#This Row],[Date]]="","",tblCommentary[[#This Row],[Date]]&amp;"|"&amp;tblCommentary[[#This Row],[Seq_Day]])</f>
        <v/>
      </c>
    </row>
    <row r="758">
      <c r="A758" s="54" t="n"/>
      <c r="B758" s="61" t="n"/>
      <c r="C758" s="58" t="n"/>
      <c r="D758" s="58" t="n"/>
      <c r="E758" s="64">
        <f>IF(tblCommentary[[#This Row],[Date]]="","",COUNTIFS(INDEX(tblCommentary[Date],1):tblCommentary[[#This Row],[Date]],tblCommentary[[#This Row],[Date]]))</f>
        <v/>
      </c>
      <c r="F758" s="63">
        <f>IF(tblCommentary[[#This Row],[Date]]="","",tblCommentary[[#This Row],[Date]]&amp;"|"&amp;tblCommentary[[#This Row],[Seq_Day]])</f>
        <v/>
      </c>
    </row>
    <row r="759">
      <c r="A759" s="54" t="n"/>
      <c r="B759" s="61" t="n"/>
      <c r="C759" s="58" t="n"/>
      <c r="D759" s="58" t="n"/>
      <c r="E759" s="64">
        <f>IF(tblCommentary[[#This Row],[Date]]="","",COUNTIFS(INDEX(tblCommentary[Date],1):tblCommentary[[#This Row],[Date]],tblCommentary[[#This Row],[Date]]))</f>
        <v/>
      </c>
      <c r="F759" s="63">
        <f>IF(tblCommentary[[#This Row],[Date]]="","",tblCommentary[[#This Row],[Date]]&amp;"|"&amp;tblCommentary[[#This Row],[Seq_Day]])</f>
        <v/>
      </c>
    </row>
    <row r="760">
      <c r="A760" s="54" t="n"/>
      <c r="B760" s="61" t="n"/>
      <c r="C760" s="58" t="n"/>
      <c r="D760" s="58" t="n"/>
      <c r="E760" s="64">
        <f>IF(tblCommentary[[#This Row],[Date]]="","",COUNTIFS(INDEX(tblCommentary[Date],1):tblCommentary[[#This Row],[Date]],tblCommentary[[#This Row],[Date]]))</f>
        <v/>
      </c>
      <c r="F760" s="63">
        <f>IF(tblCommentary[[#This Row],[Date]]="","",tblCommentary[[#This Row],[Date]]&amp;"|"&amp;tblCommentary[[#This Row],[Seq_Day]])</f>
        <v/>
      </c>
    </row>
    <row r="761">
      <c r="A761" s="54" t="n"/>
      <c r="B761" s="61" t="n"/>
      <c r="C761" s="58" t="n"/>
      <c r="D761" s="58" t="n"/>
      <c r="E761" s="64">
        <f>IF(tblCommentary[[#This Row],[Date]]="","",COUNTIFS(INDEX(tblCommentary[Date],1):tblCommentary[[#This Row],[Date]],tblCommentary[[#This Row],[Date]]))</f>
        <v/>
      </c>
      <c r="F761" s="63">
        <f>IF(tblCommentary[[#This Row],[Date]]="","",tblCommentary[[#This Row],[Date]]&amp;"|"&amp;tblCommentary[[#This Row],[Seq_Day]])</f>
        <v/>
      </c>
    </row>
    <row r="762">
      <c r="A762" s="54" t="n"/>
      <c r="B762" s="61" t="n"/>
      <c r="C762" s="58" t="n"/>
      <c r="D762" s="58" t="n"/>
      <c r="E762" s="64">
        <f>IF(tblCommentary[[#This Row],[Date]]="","",COUNTIFS(INDEX(tblCommentary[Date],1):tblCommentary[[#This Row],[Date]],tblCommentary[[#This Row],[Date]]))</f>
        <v/>
      </c>
      <c r="F762" s="63">
        <f>IF(tblCommentary[[#This Row],[Date]]="","",tblCommentary[[#This Row],[Date]]&amp;"|"&amp;tblCommentary[[#This Row],[Seq_Day]])</f>
        <v/>
      </c>
    </row>
    <row r="763">
      <c r="A763" s="54" t="n"/>
      <c r="B763" s="61" t="n"/>
      <c r="C763" s="58" t="n"/>
      <c r="D763" s="58" t="n"/>
      <c r="E763" s="64">
        <f>IF(tblCommentary[[#This Row],[Date]]="","",COUNTIFS(INDEX(tblCommentary[Date],1):tblCommentary[[#This Row],[Date]],tblCommentary[[#This Row],[Date]]))</f>
        <v/>
      </c>
      <c r="F763" s="63">
        <f>IF(tblCommentary[[#This Row],[Date]]="","",tblCommentary[[#This Row],[Date]]&amp;"|"&amp;tblCommentary[[#This Row],[Seq_Day]])</f>
        <v/>
      </c>
    </row>
    <row r="764">
      <c r="A764" s="54" t="n"/>
      <c r="B764" s="61" t="n"/>
      <c r="C764" s="58" t="n"/>
      <c r="D764" s="58" t="n"/>
      <c r="E764" s="64">
        <f>IF(tblCommentary[[#This Row],[Date]]="","",COUNTIFS(INDEX(tblCommentary[Date],1):tblCommentary[[#This Row],[Date]],tblCommentary[[#This Row],[Date]]))</f>
        <v/>
      </c>
      <c r="F764" s="63">
        <f>IF(tblCommentary[[#This Row],[Date]]="","",tblCommentary[[#This Row],[Date]]&amp;"|"&amp;tblCommentary[[#This Row],[Seq_Day]])</f>
        <v/>
      </c>
    </row>
    <row r="765">
      <c r="A765" s="54" t="n"/>
      <c r="B765" s="61" t="n"/>
      <c r="C765" s="58" t="n"/>
      <c r="D765" s="58" t="n"/>
      <c r="E765" s="64">
        <f>IF(tblCommentary[[#This Row],[Date]]="","",COUNTIFS(INDEX(tblCommentary[Date],1):tblCommentary[[#This Row],[Date]],tblCommentary[[#This Row],[Date]]))</f>
        <v/>
      </c>
      <c r="F765" s="63">
        <f>IF(tblCommentary[[#This Row],[Date]]="","",tblCommentary[[#This Row],[Date]]&amp;"|"&amp;tblCommentary[[#This Row],[Seq_Day]])</f>
        <v/>
      </c>
    </row>
    <row r="766">
      <c r="A766" s="54" t="n"/>
      <c r="B766" s="61" t="n"/>
      <c r="C766" s="58" t="n"/>
      <c r="D766" s="58" t="n"/>
      <c r="E766" s="64">
        <f>IF(tblCommentary[[#This Row],[Date]]="","",COUNTIFS(INDEX(tblCommentary[Date],1):tblCommentary[[#This Row],[Date]],tblCommentary[[#This Row],[Date]]))</f>
        <v/>
      </c>
      <c r="F766" s="63">
        <f>IF(tblCommentary[[#This Row],[Date]]="","",tblCommentary[[#This Row],[Date]]&amp;"|"&amp;tblCommentary[[#This Row],[Seq_Day]])</f>
        <v/>
      </c>
    </row>
    <row r="767">
      <c r="A767" s="54" t="n"/>
      <c r="B767" s="61" t="n"/>
      <c r="C767" s="58" t="n"/>
      <c r="D767" s="58" t="n"/>
      <c r="E767" s="64">
        <f>IF(tblCommentary[[#This Row],[Date]]="","",COUNTIFS(INDEX(tblCommentary[Date],1):tblCommentary[[#This Row],[Date]],tblCommentary[[#This Row],[Date]]))</f>
        <v/>
      </c>
      <c r="F767" s="63">
        <f>IF(tblCommentary[[#This Row],[Date]]="","",tblCommentary[[#This Row],[Date]]&amp;"|"&amp;tblCommentary[[#This Row],[Seq_Day]])</f>
        <v/>
      </c>
    </row>
    <row r="768">
      <c r="A768" s="54" t="n"/>
      <c r="B768" s="61" t="n"/>
      <c r="C768" s="58" t="n"/>
      <c r="D768" s="58" t="n"/>
      <c r="E768" s="64">
        <f>IF(tblCommentary[[#This Row],[Date]]="","",COUNTIFS(INDEX(tblCommentary[Date],1):tblCommentary[[#This Row],[Date]],tblCommentary[[#This Row],[Date]]))</f>
        <v/>
      </c>
      <c r="F768" s="63">
        <f>IF(tblCommentary[[#This Row],[Date]]="","",tblCommentary[[#This Row],[Date]]&amp;"|"&amp;tblCommentary[[#This Row],[Seq_Day]])</f>
        <v/>
      </c>
    </row>
    <row r="769">
      <c r="A769" s="54" t="n"/>
      <c r="B769" s="61" t="n"/>
      <c r="C769" s="58" t="n"/>
      <c r="D769" s="58" t="n"/>
      <c r="E769" s="64">
        <f>IF(tblCommentary[[#This Row],[Date]]="","",COUNTIFS(INDEX(tblCommentary[Date],1):tblCommentary[[#This Row],[Date]],tblCommentary[[#This Row],[Date]]))</f>
        <v/>
      </c>
      <c r="F769" s="63">
        <f>IF(tblCommentary[[#This Row],[Date]]="","",tblCommentary[[#This Row],[Date]]&amp;"|"&amp;tblCommentary[[#This Row],[Seq_Day]])</f>
        <v/>
      </c>
    </row>
    <row r="770">
      <c r="A770" s="54" t="n"/>
      <c r="B770" s="61" t="n"/>
      <c r="C770" s="58" t="n"/>
      <c r="D770" s="58" t="n"/>
      <c r="E770" s="64">
        <f>IF(tblCommentary[[#This Row],[Date]]="","",COUNTIFS(INDEX(tblCommentary[Date],1):tblCommentary[[#This Row],[Date]],tblCommentary[[#This Row],[Date]]))</f>
        <v/>
      </c>
      <c r="F770" s="63">
        <f>IF(tblCommentary[[#This Row],[Date]]="","",tblCommentary[[#This Row],[Date]]&amp;"|"&amp;tblCommentary[[#This Row],[Seq_Day]])</f>
        <v/>
      </c>
    </row>
    <row r="771">
      <c r="A771" s="54" t="n"/>
      <c r="B771" s="61" t="n"/>
      <c r="C771" s="58" t="n"/>
      <c r="D771" s="58" t="n"/>
      <c r="E771" s="64">
        <f>IF(tblCommentary[[#This Row],[Date]]="","",COUNTIFS(INDEX(tblCommentary[Date],1):tblCommentary[[#This Row],[Date]],tblCommentary[[#This Row],[Date]]))</f>
        <v/>
      </c>
      <c r="F771" s="63">
        <f>IF(tblCommentary[[#This Row],[Date]]="","",tblCommentary[[#This Row],[Date]]&amp;"|"&amp;tblCommentary[[#This Row],[Seq_Day]])</f>
        <v/>
      </c>
    </row>
    <row r="772">
      <c r="A772" s="54" t="n"/>
      <c r="B772" s="61" t="n"/>
      <c r="C772" s="58" t="n"/>
      <c r="D772" s="58" t="n"/>
      <c r="E772" s="64">
        <f>IF(tblCommentary[[#This Row],[Date]]="","",COUNTIFS(INDEX(tblCommentary[Date],1):tblCommentary[[#This Row],[Date]],tblCommentary[[#This Row],[Date]]))</f>
        <v/>
      </c>
      <c r="F772" s="63">
        <f>IF(tblCommentary[[#This Row],[Date]]="","",tblCommentary[[#This Row],[Date]]&amp;"|"&amp;tblCommentary[[#This Row],[Seq_Day]])</f>
        <v/>
      </c>
    </row>
    <row r="773">
      <c r="A773" s="54" t="n"/>
      <c r="B773" s="61" t="n"/>
      <c r="C773" s="58" t="n"/>
      <c r="D773" s="58" t="n"/>
      <c r="E773" s="64">
        <f>IF(tblCommentary[[#This Row],[Date]]="","",COUNTIFS(INDEX(tblCommentary[Date],1):tblCommentary[[#This Row],[Date]],tblCommentary[[#This Row],[Date]]))</f>
        <v/>
      </c>
      <c r="F773" s="63">
        <f>IF(tblCommentary[[#This Row],[Date]]="","",tblCommentary[[#This Row],[Date]]&amp;"|"&amp;tblCommentary[[#This Row],[Seq_Day]])</f>
        <v/>
      </c>
    </row>
    <row r="774">
      <c r="A774" s="54" t="n"/>
      <c r="B774" s="61" t="n"/>
      <c r="C774" s="58" t="n"/>
      <c r="D774" s="58" t="n"/>
      <c r="E774" s="64">
        <f>IF(tblCommentary[[#This Row],[Date]]="","",COUNTIFS(INDEX(tblCommentary[Date],1):tblCommentary[[#This Row],[Date]],tblCommentary[[#This Row],[Date]]))</f>
        <v/>
      </c>
      <c r="F774" s="63">
        <f>IF(tblCommentary[[#This Row],[Date]]="","",tblCommentary[[#This Row],[Date]]&amp;"|"&amp;tblCommentary[[#This Row],[Seq_Day]])</f>
        <v/>
      </c>
    </row>
    <row r="775">
      <c r="A775" s="54" t="n"/>
      <c r="B775" s="61" t="n"/>
      <c r="C775" s="58" t="n"/>
      <c r="D775" s="58" t="n"/>
      <c r="E775" s="64">
        <f>IF(tblCommentary[[#This Row],[Date]]="","",COUNTIFS(INDEX(tblCommentary[Date],1):tblCommentary[[#This Row],[Date]],tblCommentary[[#This Row],[Date]]))</f>
        <v/>
      </c>
      <c r="F775" s="63">
        <f>IF(tblCommentary[[#This Row],[Date]]="","",tblCommentary[[#This Row],[Date]]&amp;"|"&amp;tblCommentary[[#This Row],[Seq_Day]])</f>
        <v/>
      </c>
    </row>
    <row r="776">
      <c r="A776" s="54" t="n"/>
      <c r="B776" s="61" t="n"/>
      <c r="C776" s="58" t="n"/>
      <c r="D776" s="58" t="n"/>
      <c r="E776" s="64">
        <f>IF(tblCommentary[[#This Row],[Date]]="","",COUNTIFS(INDEX(tblCommentary[Date],1):tblCommentary[[#This Row],[Date]],tblCommentary[[#This Row],[Date]]))</f>
        <v/>
      </c>
      <c r="F776" s="63">
        <f>IF(tblCommentary[[#This Row],[Date]]="","",tblCommentary[[#This Row],[Date]]&amp;"|"&amp;tblCommentary[[#This Row],[Seq_Day]])</f>
        <v/>
      </c>
    </row>
    <row r="777">
      <c r="A777" s="54" t="n"/>
      <c r="B777" s="61" t="n"/>
      <c r="C777" s="58" t="n"/>
      <c r="D777" s="58" t="n"/>
      <c r="E777" s="64">
        <f>IF(tblCommentary[[#This Row],[Date]]="","",COUNTIFS(INDEX(tblCommentary[Date],1):tblCommentary[[#This Row],[Date]],tblCommentary[[#This Row],[Date]]))</f>
        <v/>
      </c>
      <c r="F777" s="63">
        <f>IF(tblCommentary[[#This Row],[Date]]="","",tblCommentary[[#This Row],[Date]]&amp;"|"&amp;tblCommentary[[#This Row],[Seq_Day]])</f>
        <v/>
      </c>
    </row>
    <row r="778">
      <c r="A778" s="54" t="n"/>
      <c r="B778" s="61" t="n"/>
      <c r="C778" s="58" t="n"/>
      <c r="D778" s="58" t="n"/>
      <c r="E778" s="64">
        <f>IF(tblCommentary[[#This Row],[Date]]="","",COUNTIFS(INDEX(tblCommentary[Date],1):tblCommentary[[#This Row],[Date]],tblCommentary[[#This Row],[Date]]))</f>
        <v/>
      </c>
      <c r="F778" s="63">
        <f>IF(tblCommentary[[#This Row],[Date]]="","",tblCommentary[[#This Row],[Date]]&amp;"|"&amp;tblCommentary[[#This Row],[Seq_Day]])</f>
        <v/>
      </c>
    </row>
    <row r="779">
      <c r="A779" s="54" t="n"/>
      <c r="B779" s="61" t="n"/>
      <c r="C779" s="58" t="n"/>
      <c r="D779" s="58" t="n"/>
      <c r="E779" s="64">
        <f>IF(tblCommentary[[#This Row],[Date]]="","",COUNTIFS(INDEX(tblCommentary[Date],1):tblCommentary[[#This Row],[Date]],tblCommentary[[#This Row],[Date]]))</f>
        <v/>
      </c>
      <c r="F779" s="63">
        <f>IF(tblCommentary[[#This Row],[Date]]="","",tblCommentary[[#This Row],[Date]]&amp;"|"&amp;tblCommentary[[#This Row],[Seq_Day]])</f>
        <v/>
      </c>
    </row>
    <row r="780">
      <c r="A780" s="54" t="n"/>
      <c r="B780" s="61" t="n"/>
      <c r="C780" s="58" t="n"/>
      <c r="D780" s="58" t="n"/>
      <c r="E780" s="64">
        <f>IF(tblCommentary[[#This Row],[Date]]="","",COUNTIFS(INDEX(tblCommentary[Date],1):tblCommentary[[#This Row],[Date]],tblCommentary[[#This Row],[Date]]))</f>
        <v/>
      </c>
      <c r="F780" s="63">
        <f>IF(tblCommentary[[#This Row],[Date]]="","",tblCommentary[[#This Row],[Date]]&amp;"|"&amp;tblCommentary[[#This Row],[Seq_Day]])</f>
        <v/>
      </c>
    </row>
    <row r="781">
      <c r="A781" s="54" t="n"/>
      <c r="B781" s="61" t="n"/>
      <c r="C781" s="58" t="n"/>
      <c r="D781" s="58" t="n"/>
      <c r="E781" s="64">
        <f>IF(tblCommentary[[#This Row],[Date]]="","",COUNTIFS(INDEX(tblCommentary[Date],1):tblCommentary[[#This Row],[Date]],tblCommentary[[#This Row],[Date]]))</f>
        <v/>
      </c>
      <c r="F781" s="63">
        <f>IF(tblCommentary[[#This Row],[Date]]="","",tblCommentary[[#This Row],[Date]]&amp;"|"&amp;tblCommentary[[#This Row],[Seq_Day]])</f>
        <v/>
      </c>
    </row>
    <row r="782">
      <c r="A782" s="54" t="n"/>
      <c r="B782" s="61" t="n"/>
      <c r="C782" s="58" t="n"/>
      <c r="D782" s="58" t="n"/>
      <c r="E782" s="64">
        <f>IF(tblCommentary[[#This Row],[Date]]="","",COUNTIFS(INDEX(tblCommentary[Date],1):tblCommentary[[#This Row],[Date]],tblCommentary[[#This Row],[Date]]))</f>
        <v/>
      </c>
      <c r="F782" s="63">
        <f>IF(tblCommentary[[#This Row],[Date]]="","",tblCommentary[[#This Row],[Date]]&amp;"|"&amp;tblCommentary[[#This Row],[Seq_Day]])</f>
        <v/>
      </c>
    </row>
    <row r="783">
      <c r="A783" s="54" t="n"/>
      <c r="B783" s="61" t="n"/>
      <c r="C783" s="58" t="n"/>
      <c r="D783" s="58" t="n"/>
      <c r="E783" s="64">
        <f>IF(tblCommentary[[#This Row],[Date]]="","",COUNTIFS(INDEX(tblCommentary[Date],1):tblCommentary[[#This Row],[Date]],tblCommentary[[#This Row],[Date]]))</f>
        <v/>
      </c>
      <c r="F783" s="63">
        <f>IF(tblCommentary[[#This Row],[Date]]="","",tblCommentary[[#This Row],[Date]]&amp;"|"&amp;tblCommentary[[#This Row],[Seq_Day]])</f>
        <v/>
      </c>
    </row>
    <row r="784">
      <c r="A784" s="54" t="n"/>
      <c r="B784" s="61" t="n"/>
      <c r="C784" s="58" t="n"/>
      <c r="D784" s="58" t="n"/>
      <c r="E784" s="64">
        <f>IF(tblCommentary[[#This Row],[Date]]="","",COUNTIFS(INDEX(tblCommentary[Date],1):tblCommentary[[#This Row],[Date]],tblCommentary[[#This Row],[Date]]))</f>
        <v/>
      </c>
      <c r="F784" s="63">
        <f>IF(tblCommentary[[#This Row],[Date]]="","",tblCommentary[[#This Row],[Date]]&amp;"|"&amp;tblCommentary[[#This Row],[Seq_Day]])</f>
        <v/>
      </c>
    </row>
    <row r="785">
      <c r="A785" s="54" t="n"/>
      <c r="B785" s="61" t="n"/>
      <c r="C785" s="58" t="n"/>
      <c r="D785" s="58" t="n"/>
      <c r="E785" s="64">
        <f>IF(tblCommentary[[#This Row],[Date]]="","",COUNTIFS(INDEX(tblCommentary[Date],1):tblCommentary[[#This Row],[Date]],tblCommentary[[#This Row],[Date]]))</f>
        <v/>
      </c>
      <c r="F785" s="63">
        <f>IF(tblCommentary[[#This Row],[Date]]="","",tblCommentary[[#This Row],[Date]]&amp;"|"&amp;tblCommentary[[#This Row],[Seq_Day]])</f>
        <v/>
      </c>
    </row>
    <row r="786">
      <c r="A786" s="54" t="n"/>
      <c r="B786" s="61" t="n"/>
      <c r="C786" s="58" t="n"/>
      <c r="D786" s="58" t="n"/>
      <c r="E786" s="64">
        <f>IF(tblCommentary[[#This Row],[Date]]="","",COUNTIFS(INDEX(tblCommentary[Date],1):tblCommentary[[#This Row],[Date]],tblCommentary[[#This Row],[Date]]))</f>
        <v/>
      </c>
      <c r="F786" s="63">
        <f>IF(tblCommentary[[#This Row],[Date]]="","",tblCommentary[[#This Row],[Date]]&amp;"|"&amp;tblCommentary[[#This Row],[Seq_Day]])</f>
        <v/>
      </c>
    </row>
    <row r="787">
      <c r="A787" s="54" t="n"/>
      <c r="B787" s="61" t="n"/>
      <c r="C787" s="58" t="n"/>
      <c r="D787" s="58" t="n"/>
      <c r="E787" s="64">
        <f>IF(tblCommentary[[#This Row],[Date]]="","",COUNTIFS(INDEX(tblCommentary[Date],1):tblCommentary[[#This Row],[Date]],tblCommentary[[#This Row],[Date]]))</f>
        <v/>
      </c>
      <c r="F787" s="63">
        <f>IF(tblCommentary[[#This Row],[Date]]="","",tblCommentary[[#This Row],[Date]]&amp;"|"&amp;tblCommentary[[#This Row],[Seq_Day]])</f>
        <v/>
      </c>
    </row>
    <row r="788">
      <c r="A788" s="54" t="n"/>
      <c r="B788" s="61" t="n"/>
      <c r="C788" s="58" t="n"/>
      <c r="D788" s="58" t="n"/>
      <c r="E788" s="64">
        <f>IF(tblCommentary[[#This Row],[Date]]="","",COUNTIFS(INDEX(tblCommentary[Date],1):tblCommentary[[#This Row],[Date]],tblCommentary[[#This Row],[Date]]))</f>
        <v/>
      </c>
      <c r="F788" s="63">
        <f>IF(tblCommentary[[#This Row],[Date]]="","",tblCommentary[[#This Row],[Date]]&amp;"|"&amp;tblCommentary[[#This Row],[Seq_Day]])</f>
        <v/>
      </c>
    </row>
    <row r="789">
      <c r="A789" s="54" t="n"/>
      <c r="B789" s="61" t="n"/>
      <c r="C789" s="58" t="n"/>
      <c r="D789" s="58" t="n"/>
      <c r="E789" s="64">
        <f>IF(tblCommentary[[#This Row],[Date]]="","",COUNTIFS(INDEX(tblCommentary[Date],1):tblCommentary[[#This Row],[Date]],tblCommentary[[#This Row],[Date]]))</f>
        <v/>
      </c>
      <c r="F789" s="63">
        <f>IF(tblCommentary[[#This Row],[Date]]="","",tblCommentary[[#This Row],[Date]]&amp;"|"&amp;tblCommentary[[#This Row],[Seq_Day]])</f>
        <v/>
      </c>
    </row>
    <row r="790">
      <c r="A790" s="54" t="n"/>
      <c r="B790" s="61" t="n"/>
      <c r="C790" s="58" t="n"/>
      <c r="D790" s="58" t="n"/>
      <c r="E790" s="64">
        <f>IF(tblCommentary[[#This Row],[Date]]="","",COUNTIFS(INDEX(tblCommentary[Date],1):tblCommentary[[#This Row],[Date]],tblCommentary[[#This Row],[Date]]))</f>
        <v/>
      </c>
      <c r="F790" s="63">
        <f>IF(tblCommentary[[#This Row],[Date]]="","",tblCommentary[[#This Row],[Date]]&amp;"|"&amp;tblCommentary[[#This Row],[Seq_Day]])</f>
        <v/>
      </c>
    </row>
    <row r="791">
      <c r="A791" s="54" t="n"/>
      <c r="B791" s="61" t="n"/>
      <c r="C791" s="58" t="n"/>
      <c r="D791" s="58" t="n"/>
      <c r="E791" s="64">
        <f>IF(tblCommentary[[#This Row],[Date]]="","",COUNTIFS(INDEX(tblCommentary[Date],1):tblCommentary[[#This Row],[Date]],tblCommentary[[#This Row],[Date]]))</f>
        <v/>
      </c>
      <c r="F791" s="63">
        <f>IF(tblCommentary[[#This Row],[Date]]="","",tblCommentary[[#This Row],[Date]]&amp;"|"&amp;tblCommentary[[#This Row],[Seq_Day]])</f>
        <v/>
      </c>
    </row>
    <row r="792">
      <c r="A792" s="54" t="n"/>
      <c r="B792" s="61" t="n"/>
      <c r="C792" s="58" t="n"/>
      <c r="D792" s="58" t="n"/>
      <c r="E792" s="64">
        <f>IF(tblCommentary[[#This Row],[Date]]="","",COUNTIFS(INDEX(tblCommentary[Date],1):tblCommentary[[#This Row],[Date]],tblCommentary[[#This Row],[Date]]))</f>
        <v/>
      </c>
      <c r="F792" s="63">
        <f>IF(tblCommentary[[#This Row],[Date]]="","",tblCommentary[[#This Row],[Date]]&amp;"|"&amp;tblCommentary[[#This Row],[Seq_Day]])</f>
        <v/>
      </c>
    </row>
    <row r="793">
      <c r="A793" s="54" t="n"/>
      <c r="B793" s="61" t="n"/>
      <c r="C793" s="58" t="n"/>
      <c r="D793" s="58" t="n"/>
      <c r="E793" s="64">
        <f>IF(tblCommentary[[#This Row],[Date]]="","",COUNTIFS(INDEX(tblCommentary[Date],1):tblCommentary[[#This Row],[Date]],tblCommentary[[#This Row],[Date]]))</f>
        <v/>
      </c>
      <c r="F793" s="63">
        <f>IF(tblCommentary[[#This Row],[Date]]="","",tblCommentary[[#This Row],[Date]]&amp;"|"&amp;tblCommentary[[#This Row],[Seq_Day]])</f>
        <v/>
      </c>
    </row>
    <row r="794">
      <c r="A794" s="54" t="n"/>
      <c r="B794" s="61" t="n"/>
      <c r="C794" s="58" t="n"/>
      <c r="D794" s="58" t="n"/>
      <c r="E794" s="64">
        <f>IF(tblCommentary[[#This Row],[Date]]="","",COUNTIFS(INDEX(tblCommentary[Date],1):tblCommentary[[#This Row],[Date]],tblCommentary[[#This Row],[Date]]))</f>
        <v/>
      </c>
      <c r="F794" s="63">
        <f>IF(tblCommentary[[#This Row],[Date]]="","",tblCommentary[[#This Row],[Date]]&amp;"|"&amp;tblCommentary[[#This Row],[Seq_Day]])</f>
        <v/>
      </c>
    </row>
    <row r="795">
      <c r="A795" s="54" t="n"/>
      <c r="B795" s="61" t="n"/>
      <c r="C795" s="58" t="n"/>
      <c r="D795" s="58" t="n"/>
      <c r="E795" s="64">
        <f>IF(tblCommentary[[#This Row],[Date]]="","",COUNTIFS(INDEX(tblCommentary[Date],1):tblCommentary[[#This Row],[Date]],tblCommentary[[#This Row],[Date]]))</f>
        <v/>
      </c>
      <c r="F795" s="63">
        <f>IF(tblCommentary[[#This Row],[Date]]="","",tblCommentary[[#This Row],[Date]]&amp;"|"&amp;tblCommentary[[#This Row],[Seq_Day]])</f>
        <v/>
      </c>
    </row>
    <row r="796">
      <c r="A796" s="54" t="n"/>
      <c r="B796" s="61" t="n"/>
      <c r="C796" s="58" t="n"/>
      <c r="D796" s="58" t="n"/>
      <c r="E796" s="64">
        <f>IF(tblCommentary[[#This Row],[Date]]="","",COUNTIFS(INDEX(tblCommentary[Date],1):tblCommentary[[#This Row],[Date]],tblCommentary[[#This Row],[Date]]))</f>
        <v/>
      </c>
      <c r="F796" s="63">
        <f>IF(tblCommentary[[#This Row],[Date]]="","",tblCommentary[[#This Row],[Date]]&amp;"|"&amp;tblCommentary[[#This Row],[Seq_Day]])</f>
        <v/>
      </c>
    </row>
    <row r="797">
      <c r="A797" s="54" t="n"/>
      <c r="B797" s="61" t="n"/>
      <c r="C797" s="58" t="n"/>
      <c r="D797" s="58" t="n"/>
      <c r="E797" s="64">
        <f>IF(tblCommentary[[#This Row],[Date]]="","",COUNTIFS(INDEX(tblCommentary[Date],1):tblCommentary[[#This Row],[Date]],tblCommentary[[#This Row],[Date]]))</f>
        <v/>
      </c>
      <c r="F797" s="63">
        <f>IF(tblCommentary[[#This Row],[Date]]="","",tblCommentary[[#This Row],[Date]]&amp;"|"&amp;tblCommentary[[#This Row],[Seq_Day]])</f>
        <v/>
      </c>
    </row>
    <row r="798">
      <c r="A798" s="54" t="n"/>
      <c r="B798" s="61" t="n"/>
      <c r="C798" s="58" t="n"/>
      <c r="D798" s="58" t="n"/>
      <c r="E798" s="64">
        <f>IF(tblCommentary[[#This Row],[Date]]="","",COUNTIFS(INDEX(tblCommentary[Date],1):tblCommentary[[#This Row],[Date]],tblCommentary[[#This Row],[Date]]))</f>
        <v/>
      </c>
      <c r="F798" s="63">
        <f>IF(tblCommentary[[#This Row],[Date]]="","",tblCommentary[[#This Row],[Date]]&amp;"|"&amp;tblCommentary[[#This Row],[Seq_Day]])</f>
        <v/>
      </c>
    </row>
    <row r="799">
      <c r="A799" s="54" t="n"/>
      <c r="B799" s="61" t="n"/>
      <c r="C799" s="58" t="n"/>
      <c r="D799" s="58" t="n"/>
      <c r="E799" s="64">
        <f>IF(tblCommentary[[#This Row],[Date]]="","",COUNTIFS(INDEX(tblCommentary[Date],1):tblCommentary[[#This Row],[Date]],tblCommentary[[#This Row],[Date]]))</f>
        <v/>
      </c>
      <c r="F799" s="63">
        <f>IF(tblCommentary[[#This Row],[Date]]="","",tblCommentary[[#This Row],[Date]]&amp;"|"&amp;tblCommentary[[#This Row],[Seq_Day]])</f>
        <v/>
      </c>
    </row>
    <row r="800">
      <c r="A800" s="54" t="n"/>
      <c r="B800" s="61" t="n"/>
      <c r="C800" s="58" t="n"/>
      <c r="D800" s="58" t="n"/>
      <c r="E800" s="64">
        <f>IF(tblCommentary[[#This Row],[Date]]="","",COUNTIFS(INDEX(tblCommentary[Date],1):tblCommentary[[#This Row],[Date]],tblCommentary[[#This Row],[Date]]))</f>
        <v/>
      </c>
      <c r="F800" s="63">
        <f>IF(tblCommentary[[#This Row],[Date]]="","",tblCommentary[[#This Row],[Date]]&amp;"|"&amp;tblCommentary[[#This Row],[Seq_Day]])</f>
        <v/>
      </c>
    </row>
    <row r="801">
      <c r="A801" s="54" t="n"/>
      <c r="B801" s="61" t="n"/>
      <c r="C801" s="58" t="n"/>
      <c r="D801" s="58" t="n"/>
      <c r="E801" s="64">
        <f>IF(tblCommentary[[#This Row],[Date]]="","",COUNTIFS(INDEX(tblCommentary[Date],1):tblCommentary[[#This Row],[Date]],tblCommentary[[#This Row],[Date]]))</f>
        <v/>
      </c>
      <c r="F801" s="63">
        <f>IF(tblCommentary[[#This Row],[Date]]="","",tblCommentary[[#This Row],[Date]]&amp;"|"&amp;tblCommentary[[#This Row],[Seq_Day]])</f>
        <v/>
      </c>
    </row>
    <row r="802">
      <c r="A802" s="54" t="n"/>
      <c r="B802" s="61" t="n"/>
      <c r="C802" s="58" t="n"/>
      <c r="D802" s="58" t="n"/>
      <c r="E802" s="64">
        <f>IF(tblCommentary[[#This Row],[Date]]="","",COUNTIFS(INDEX(tblCommentary[Date],1):tblCommentary[[#This Row],[Date]],tblCommentary[[#This Row],[Date]]))</f>
        <v/>
      </c>
      <c r="F802" s="63">
        <f>IF(tblCommentary[[#This Row],[Date]]="","",tblCommentary[[#This Row],[Date]]&amp;"|"&amp;tblCommentary[[#This Row],[Seq_Day]])</f>
        <v/>
      </c>
    </row>
    <row r="803">
      <c r="A803" s="54" t="n"/>
      <c r="B803" s="61" t="n"/>
      <c r="C803" s="58" t="n"/>
      <c r="D803" s="58" t="n"/>
      <c r="E803" s="64">
        <f>IF(tblCommentary[[#This Row],[Date]]="","",COUNTIFS(INDEX(tblCommentary[Date],1):tblCommentary[[#This Row],[Date]],tblCommentary[[#This Row],[Date]]))</f>
        <v/>
      </c>
      <c r="F803" s="63">
        <f>IF(tblCommentary[[#This Row],[Date]]="","",tblCommentary[[#This Row],[Date]]&amp;"|"&amp;tblCommentary[[#This Row],[Seq_Day]])</f>
        <v/>
      </c>
    </row>
    <row r="804">
      <c r="A804" s="54" t="n"/>
      <c r="B804" s="61" t="n"/>
      <c r="C804" s="58" t="n"/>
      <c r="D804" s="58" t="n"/>
      <c r="E804" s="64">
        <f>IF(tblCommentary[[#This Row],[Date]]="","",COUNTIFS(INDEX(tblCommentary[Date],1):tblCommentary[[#This Row],[Date]],tblCommentary[[#This Row],[Date]]))</f>
        <v/>
      </c>
      <c r="F804" s="63">
        <f>IF(tblCommentary[[#This Row],[Date]]="","",tblCommentary[[#This Row],[Date]]&amp;"|"&amp;tblCommentary[[#This Row],[Seq_Day]])</f>
        <v/>
      </c>
    </row>
    <row r="805">
      <c r="A805" s="54" t="n"/>
      <c r="B805" s="61" t="n"/>
      <c r="C805" s="58" t="n"/>
      <c r="D805" s="58" t="n"/>
      <c r="E805" s="64">
        <f>IF(tblCommentary[[#This Row],[Date]]="","",COUNTIFS(INDEX(tblCommentary[Date],1):tblCommentary[[#This Row],[Date]],tblCommentary[[#This Row],[Date]]))</f>
        <v/>
      </c>
      <c r="F805" s="63">
        <f>IF(tblCommentary[[#This Row],[Date]]="","",tblCommentary[[#This Row],[Date]]&amp;"|"&amp;tblCommentary[[#This Row],[Seq_Day]])</f>
        <v/>
      </c>
    </row>
    <row r="806">
      <c r="A806" s="54" t="n"/>
      <c r="B806" s="61" t="n"/>
      <c r="C806" s="58" t="n"/>
      <c r="D806" s="58" t="n"/>
      <c r="E806" s="64">
        <f>IF(tblCommentary[[#This Row],[Date]]="","",COUNTIFS(INDEX(tblCommentary[Date],1):tblCommentary[[#This Row],[Date]],tblCommentary[[#This Row],[Date]]))</f>
        <v/>
      </c>
      <c r="F806" s="63">
        <f>IF(tblCommentary[[#This Row],[Date]]="","",tblCommentary[[#This Row],[Date]]&amp;"|"&amp;tblCommentary[[#This Row],[Seq_Day]])</f>
        <v/>
      </c>
    </row>
    <row r="807">
      <c r="A807" s="54" t="n"/>
      <c r="B807" s="61" t="n"/>
      <c r="C807" s="58" t="n"/>
      <c r="D807" s="58" t="n"/>
      <c r="E807" s="64">
        <f>IF(tblCommentary[[#This Row],[Date]]="","",COUNTIFS(INDEX(tblCommentary[Date],1):tblCommentary[[#This Row],[Date]],tblCommentary[[#This Row],[Date]]))</f>
        <v/>
      </c>
      <c r="F807" s="63">
        <f>IF(tblCommentary[[#This Row],[Date]]="","",tblCommentary[[#This Row],[Date]]&amp;"|"&amp;tblCommentary[[#This Row],[Seq_Day]])</f>
        <v/>
      </c>
    </row>
    <row r="808">
      <c r="A808" s="54" t="n"/>
      <c r="B808" s="61" t="n"/>
      <c r="C808" s="58" t="n"/>
      <c r="D808" s="58" t="n"/>
      <c r="E808" s="64">
        <f>IF(tblCommentary[[#This Row],[Date]]="","",COUNTIFS(INDEX(tblCommentary[Date],1):tblCommentary[[#This Row],[Date]],tblCommentary[[#This Row],[Date]]))</f>
        <v/>
      </c>
      <c r="F808" s="63">
        <f>IF(tblCommentary[[#This Row],[Date]]="","",tblCommentary[[#This Row],[Date]]&amp;"|"&amp;tblCommentary[[#This Row],[Seq_Day]])</f>
        <v/>
      </c>
    </row>
    <row r="809">
      <c r="A809" s="54" t="n"/>
      <c r="B809" s="61" t="n"/>
      <c r="C809" s="58" t="n"/>
      <c r="D809" s="58" t="n"/>
      <c r="E809" s="64">
        <f>IF(tblCommentary[[#This Row],[Date]]="","",COUNTIFS(INDEX(tblCommentary[Date],1):tblCommentary[[#This Row],[Date]],tblCommentary[[#This Row],[Date]]))</f>
        <v/>
      </c>
      <c r="F809" s="63">
        <f>IF(tblCommentary[[#This Row],[Date]]="","",tblCommentary[[#This Row],[Date]]&amp;"|"&amp;tblCommentary[[#This Row],[Seq_Day]])</f>
        <v/>
      </c>
    </row>
    <row r="810">
      <c r="A810" s="54" t="n"/>
      <c r="B810" s="61" t="n"/>
      <c r="C810" s="58" t="n"/>
      <c r="D810" s="58" t="n"/>
      <c r="E810" s="64">
        <f>IF(tblCommentary[[#This Row],[Date]]="","",COUNTIFS(INDEX(tblCommentary[Date],1):tblCommentary[[#This Row],[Date]],tblCommentary[[#This Row],[Date]]))</f>
        <v/>
      </c>
      <c r="F810" s="63">
        <f>IF(tblCommentary[[#This Row],[Date]]="","",tblCommentary[[#This Row],[Date]]&amp;"|"&amp;tblCommentary[[#This Row],[Seq_Day]])</f>
        <v/>
      </c>
    </row>
    <row r="811">
      <c r="A811" s="54" t="n"/>
      <c r="B811" s="61" t="n"/>
      <c r="C811" s="58" t="n"/>
      <c r="D811" s="58" t="n"/>
      <c r="E811" s="64">
        <f>IF(tblCommentary[[#This Row],[Date]]="","",COUNTIFS(INDEX(tblCommentary[Date],1):tblCommentary[[#This Row],[Date]],tblCommentary[[#This Row],[Date]]))</f>
        <v/>
      </c>
      <c r="F811" s="63">
        <f>IF(tblCommentary[[#This Row],[Date]]="","",tblCommentary[[#This Row],[Date]]&amp;"|"&amp;tblCommentary[[#This Row],[Seq_Day]])</f>
        <v/>
      </c>
    </row>
    <row r="812">
      <c r="A812" s="54" t="n"/>
      <c r="B812" s="61" t="n"/>
      <c r="C812" s="58" t="n"/>
      <c r="D812" s="58" t="n"/>
      <c r="E812" s="64">
        <f>IF(tblCommentary[[#This Row],[Date]]="","",COUNTIFS(INDEX(tblCommentary[Date],1):tblCommentary[[#This Row],[Date]],tblCommentary[[#This Row],[Date]]))</f>
        <v/>
      </c>
      <c r="F812" s="63">
        <f>IF(tblCommentary[[#This Row],[Date]]="","",tblCommentary[[#This Row],[Date]]&amp;"|"&amp;tblCommentary[[#This Row],[Seq_Day]])</f>
        <v/>
      </c>
    </row>
    <row r="813">
      <c r="A813" s="54" t="n"/>
      <c r="B813" s="61" t="n"/>
      <c r="C813" s="58" t="n"/>
      <c r="D813" s="58" t="n"/>
      <c r="E813" s="64">
        <f>IF(tblCommentary[[#This Row],[Date]]="","",COUNTIFS(INDEX(tblCommentary[Date],1):tblCommentary[[#This Row],[Date]],tblCommentary[[#This Row],[Date]]))</f>
        <v/>
      </c>
      <c r="F813" s="63">
        <f>IF(tblCommentary[[#This Row],[Date]]="","",tblCommentary[[#This Row],[Date]]&amp;"|"&amp;tblCommentary[[#This Row],[Seq_Day]])</f>
        <v/>
      </c>
    </row>
    <row r="814">
      <c r="A814" s="54" t="n"/>
      <c r="B814" s="61" t="n"/>
      <c r="C814" s="58" t="n"/>
      <c r="D814" s="58" t="n"/>
      <c r="E814" s="64">
        <f>IF(tblCommentary[[#This Row],[Date]]="","",COUNTIFS(INDEX(tblCommentary[Date],1):tblCommentary[[#This Row],[Date]],tblCommentary[[#This Row],[Date]]))</f>
        <v/>
      </c>
      <c r="F814" s="63">
        <f>IF(tblCommentary[[#This Row],[Date]]="","",tblCommentary[[#This Row],[Date]]&amp;"|"&amp;tblCommentary[[#This Row],[Seq_Day]])</f>
        <v/>
      </c>
    </row>
    <row r="815">
      <c r="A815" s="54" t="n"/>
      <c r="B815" s="61" t="n"/>
      <c r="C815" s="58" t="n"/>
      <c r="D815" s="58" t="n"/>
      <c r="E815" s="64">
        <f>IF(tblCommentary[[#This Row],[Date]]="","",COUNTIFS(INDEX(tblCommentary[Date],1):tblCommentary[[#This Row],[Date]],tblCommentary[[#This Row],[Date]]))</f>
        <v/>
      </c>
      <c r="F815" s="63">
        <f>IF(tblCommentary[[#This Row],[Date]]="","",tblCommentary[[#This Row],[Date]]&amp;"|"&amp;tblCommentary[[#This Row],[Seq_Day]])</f>
        <v/>
      </c>
    </row>
    <row r="816">
      <c r="A816" s="54" t="n"/>
      <c r="B816" s="61" t="n"/>
      <c r="C816" s="58" t="n"/>
      <c r="D816" s="58" t="n"/>
      <c r="E816" s="64">
        <f>IF(tblCommentary[[#This Row],[Date]]="","",COUNTIFS(INDEX(tblCommentary[Date],1):tblCommentary[[#This Row],[Date]],tblCommentary[[#This Row],[Date]]))</f>
        <v/>
      </c>
      <c r="F816" s="63">
        <f>IF(tblCommentary[[#This Row],[Date]]="","",tblCommentary[[#This Row],[Date]]&amp;"|"&amp;tblCommentary[[#This Row],[Seq_Day]])</f>
        <v/>
      </c>
    </row>
    <row r="817">
      <c r="A817" s="54" t="n"/>
      <c r="B817" s="61" t="n"/>
      <c r="C817" s="58" t="n"/>
      <c r="D817" s="58" t="n"/>
      <c r="E817" s="64">
        <f>IF(tblCommentary[[#This Row],[Date]]="","",COUNTIFS(INDEX(tblCommentary[Date],1):tblCommentary[[#This Row],[Date]],tblCommentary[[#This Row],[Date]]))</f>
        <v/>
      </c>
      <c r="F817" s="63">
        <f>IF(tblCommentary[[#This Row],[Date]]="","",tblCommentary[[#This Row],[Date]]&amp;"|"&amp;tblCommentary[[#This Row],[Seq_Day]])</f>
        <v/>
      </c>
    </row>
    <row r="818">
      <c r="A818" s="54" t="n"/>
      <c r="B818" s="61" t="n"/>
      <c r="C818" s="58" t="n"/>
      <c r="D818" s="58" t="n"/>
      <c r="E818" s="64">
        <f>IF(tblCommentary[[#This Row],[Date]]="","",COUNTIFS(INDEX(tblCommentary[Date],1):tblCommentary[[#This Row],[Date]],tblCommentary[[#This Row],[Date]]))</f>
        <v/>
      </c>
      <c r="F818" s="63">
        <f>IF(tblCommentary[[#This Row],[Date]]="","",tblCommentary[[#This Row],[Date]]&amp;"|"&amp;tblCommentary[[#This Row],[Seq_Day]])</f>
        <v/>
      </c>
    </row>
    <row r="819">
      <c r="A819" s="54" t="n"/>
      <c r="B819" s="61" t="n"/>
      <c r="C819" s="58" t="n"/>
      <c r="D819" s="58" t="n"/>
      <c r="E819" s="64">
        <f>IF(tblCommentary[[#This Row],[Date]]="","",COUNTIFS(INDEX(tblCommentary[Date],1):tblCommentary[[#This Row],[Date]],tblCommentary[[#This Row],[Date]]))</f>
        <v/>
      </c>
      <c r="F819" s="63">
        <f>IF(tblCommentary[[#This Row],[Date]]="","",tblCommentary[[#This Row],[Date]]&amp;"|"&amp;tblCommentary[[#This Row],[Seq_Day]])</f>
        <v/>
      </c>
    </row>
    <row r="820">
      <c r="A820" s="54" t="n"/>
      <c r="B820" s="61" t="n"/>
      <c r="C820" s="58" t="n"/>
      <c r="D820" s="58" t="n"/>
      <c r="E820" s="64">
        <f>IF(tblCommentary[[#This Row],[Date]]="","",COUNTIFS(INDEX(tblCommentary[Date],1):tblCommentary[[#This Row],[Date]],tblCommentary[[#This Row],[Date]]))</f>
        <v/>
      </c>
      <c r="F820" s="63">
        <f>IF(tblCommentary[[#This Row],[Date]]="","",tblCommentary[[#This Row],[Date]]&amp;"|"&amp;tblCommentary[[#This Row],[Seq_Day]])</f>
        <v/>
      </c>
    </row>
    <row r="821">
      <c r="A821" s="54" t="n"/>
      <c r="B821" s="61" t="n"/>
      <c r="C821" s="58" t="n"/>
      <c r="D821" s="58" t="n"/>
      <c r="E821" s="64">
        <f>IF(tblCommentary[[#This Row],[Date]]="","",COUNTIFS(INDEX(tblCommentary[Date],1):tblCommentary[[#This Row],[Date]],tblCommentary[[#This Row],[Date]]))</f>
        <v/>
      </c>
      <c r="F821" s="63">
        <f>IF(tblCommentary[[#This Row],[Date]]="","",tblCommentary[[#This Row],[Date]]&amp;"|"&amp;tblCommentary[[#This Row],[Seq_Day]])</f>
        <v/>
      </c>
    </row>
    <row r="822">
      <c r="A822" s="54" t="n"/>
      <c r="B822" s="61" t="n"/>
      <c r="C822" s="58" t="n"/>
      <c r="D822" s="58" t="n"/>
      <c r="E822" s="64">
        <f>IF(tblCommentary[[#This Row],[Date]]="","",COUNTIFS(INDEX(tblCommentary[Date],1):tblCommentary[[#This Row],[Date]],tblCommentary[[#This Row],[Date]]))</f>
        <v/>
      </c>
      <c r="F822" s="63">
        <f>IF(tblCommentary[[#This Row],[Date]]="","",tblCommentary[[#This Row],[Date]]&amp;"|"&amp;tblCommentary[[#This Row],[Seq_Day]])</f>
        <v/>
      </c>
    </row>
    <row r="823">
      <c r="A823" s="54" t="n"/>
      <c r="B823" s="61" t="n"/>
      <c r="C823" s="58" t="n"/>
      <c r="D823" s="58" t="n"/>
      <c r="E823" s="64">
        <f>IF(tblCommentary[[#This Row],[Date]]="","",COUNTIFS(INDEX(tblCommentary[Date],1):tblCommentary[[#This Row],[Date]],tblCommentary[[#This Row],[Date]]))</f>
        <v/>
      </c>
      <c r="F823" s="63">
        <f>IF(tblCommentary[[#This Row],[Date]]="","",tblCommentary[[#This Row],[Date]]&amp;"|"&amp;tblCommentary[[#This Row],[Seq_Day]])</f>
        <v/>
      </c>
    </row>
    <row r="824">
      <c r="A824" s="54" t="n"/>
      <c r="B824" s="61" t="n"/>
      <c r="C824" s="58" t="n"/>
      <c r="D824" s="58" t="n"/>
      <c r="E824" s="64">
        <f>IF(tblCommentary[[#This Row],[Date]]="","",COUNTIFS(INDEX(tblCommentary[Date],1):tblCommentary[[#This Row],[Date]],tblCommentary[[#This Row],[Date]]))</f>
        <v/>
      </c>
      <c r="F824" s="63">
        <f>IF(tblCommentary[[#This Row],[Date]]="","",tblCommentary[[#This Row],[Date]]&amp;"|"&amp;tblCommentary[[#This Row],[Seq_Day]])</f>
        <v/>
      </c>
    </row>
    <row r="825">
      <c r="A825" s="54" t="n"/>
      <c r="B825" s="61" t="n"/>
      <c r="C825" s="58" t="n"/>
      <c r="D825" s="58" t="n"/>
      <c r="E825" s="64">
        <f>IF(tblCommentary[[#This Row],[Date]]="","",COUNTIFS(INDEX(tblCommentary[Date],1):tblCommentary[[#This Row],[Date]],tblCommentary[[#This Row],[Date]]))</f>
        <v/>
      </c>
      <c r="F825" s="63">
        <f>IF(tblCommentary[[#This Row],[Date]]="","",tblCommentary[[#This Row],[Date]]&amp;"|"&amp;tblCommentary[[#This Row],[Seq_Day]])</f>
        <v/>
      </c>
    </row>
    <row r="826">
      <c r="A826" s="54" t="n"/>
      <c r="B826" s="61" t="n"/>
      <c r="C826" s="58" t="n"/>
      <c r="D826" s="58" t="n"/>
      <c r="E826" s="64">
        <f>IF(tblCommentary[[#This Row],[Date]]="","",COUNTIFS(INDEX(tblCommentary[Date],1):tblCommentary[[#This Row],[Date]],tblCommentary[[#This Row],[Date]]))</f>
        <v/>
      </c>
      <c r="F826" s="63">
        <f>IF(tblCommentary[[#This Row],[Date]]="","",tblCommentary[[#This Row],[Date]]&amp;"|"&amp;tblCommentary[[#This Row],[Seq_Day]])</f>
        <v/>
      </c>
    </row>
    <row r="827">
      <c r="A827" s="54" t="n"/>
      <c r="B827" s="61" t="n"/>
      <c r="C827" s="58" t="n"/>
      <c r="D827" s="58" t="n"/>
      <c r="E827" s="64">
        <f>IF(tblCommentary[[#This Row],[Date]]="","",COUNTIFS(INDEX(tblCommentary[Date],1):tblCommentary[[#This Row],[Date]],tblCommentary[[#This Row],[Date]]))</f>
        <v/>
      </c>
      <c r="F827" s="63">
        <f>IF(tblCommentary[[#This Row],[Date]]="","",tblCommentary[[#This Row],[Date]]&amp;"|"&amp;tblCommentary[[#This Row],[Seq_Day]])</f>
        <v/>
      </c>
    </row>
    <row r="828">
      <c r="A828" s="54" t="n"/>
      <c r="B828" s="61" t="n"/>
      <c r="C828" s="58" t="n"/>
      <c r="D828" s="58" t="n"/>
      <c r="E828" s="64">
        <f>IF(tblCommentary[[#This Row],[Date]]="","",COUNTIFS(INDEX(tblCommentary[Date],1):tblCommentary[[#This Row],[Date]],tblCommentary[[#This Row],[Date]]))</f>
        <v/>
      </c>
      <c r="F828" s="63">
        <f>IF(tblCommentary[[#This Row],[Date]]="","",tblCommentary[[#This Row],[Date]]&amp;"|"&amp;tblCommentary[[#This Row],[Seq_Day]])</f>
        <v/>
      </c>
    </row>
    <row r="829">
      <c r="A829" s="54" t="n"/>
      <c r="B829" s="61" t="n"/>
      <c r="C829" s="58" t="n"/>
      <c r="D829" s="58" t="n"/>
      <c r="E829" s="64">
        <f>IF(tblCommentary[[#This Row],[Date]]="","",COUNTIFS(INDEX(tblCommentary[Date],1):tblCommentary[[#This Row],[Date]],tblCommentary[[#This Row],[Date]]))</f>
        <v/>
      </c>
      <c r="F829" s="63">
        <f>IF(tblCommentary[[#This Row],[Date]]="","",tblCommentary[[#This Row],[Date]]&amp;"|"&amp;tblCommentary[[#This Row],[Seq_Day]])</f>
        <v/>
      </c>
    </row>
    <row r="830">
      <c r="A830" s="54" t="n"/>
      <c r="B830" s="61" t="n"/>
      <c r="C830" s="58" t="n"/>
      <c r="D830" s="58" t="n"/>
      <c r="E830" s="64">
        <f>IF(tblCommentary[[#This Row],[Date]]="","",COUNTIFS(INDEX(tblCommentary[Date],1):tblCommentary[[#This Row],[Date]],tblCommentary[[#This Row],[Date]]))</f>
        <v/>
      </c>
      <c r="F830" s="63">
        <f>IF(tblCommentary[[#This Row],[Date]]="","",tblCommentary[[#This Row],[Date]]&amp;"|"&amp;tblCommentary[[#This Row],[Seq_Day]])</f>
        <v/>
      </c>
    </row>
    <row r="831">
      <c r="A831" s="54" t="n"/>
      <c r="B831" s="61" t="n"/>
      <c r="C831" s="58" t="n"/>
      <c r="D831" s="58" t="n"/>
      <c r="E831" s="64">
        <f>IF(tblCommentary[[#This Row],[Date]]="","",COUNTIFS(INDEX(tblCommentary[Date],1):tblCommentary[[#This Row],[Date]],tblCommentary[[#This Row],[Date]]))</f>
        <v/>
      </c>
      <c r="F831" s="63">
        <f>IF(tblCommentary[[#This Row],[Date]]="","",tblCommentary[[#This Row],[Date]]&amp;"|"&amp;tblCommentary[[#This Row],[Seq_Day]])</f>
        <v/>
      </c>
    </row>
    <row r="832">
      <c r="A832" s="54" t="n"/>
      <c r="B832" s="61" t="n"/>
      <c r="C832" s="58" t="n"/>
      <c r="D832" s="58" t="n"/>
      <c r="E832" s="64">
        <f>IF(tblCommentary[[#This Row],[Date]]="","",COUNTIFS(INDEX(tblCommentary[Date],1):tblCommentary[[#This Row],[Date]],tblCommentary[[#This Row],[Date]]))</f>
        <v/>
      </c>
      <c r="F832" s="63">
        <f>IF(tblCommentary[[#This Row],[Date]]="","",tblCommentary[[#This Row],[Date]]&amp;"|"&amp;tblCommentary[[#This Row],[Seq_Day]])</f>
        <v/>
      </c>
    </row>
    <row r="833">
      <c r="A833" s="54" t="n"/>
      <c r="B833" s="61" t="n"/>
      <c r="C833" s="58" t="n"/>
      <c r="D833" s="58" t="n"/>
      <c r="E833" s="64">
        <f>IF(tblCommentary[[#This Row],[Date]]="","",COUNTIFS(INDEX(tblCommentary[Date],1):tblCommentary[[#This Row],[Date]],tblCommentary[[#This Row],[Date]]))</f>
        <v/>
      </c>
      <c r="F833" s="63">
        <f>IF(tblCommentary[[#This Row],[Date]]="","",tblCommentary[[#This Row],[Date]]&amp;"|"&amp;tblCommentary[[#This Row],[Seq_Day]])</f>
        <v/>
      </c>
    </row>
    <row r="834">
      <c r="A834" s="54" t="n"/>
      <c r="B834" s="61" t="n"/>
      <c r="C834" s="58" t="n"/>
      <c r="D834" s="58" t="n"/>
      <c r="E834" s="64">
        <f>IF(tblCommentary[[#This Row],[Date]]="","",COUNTIFS(INDEX(tblCommentary[Date],1):tblCommentary[[#This Row],[Date]],tblCommentary[[#This Row],[Date]]))</f>
        <v/>
      </c>
      <c r="F834" s="63">
        <f>IF(tblCommentary[[#This Row],[Date]]="","",tblCommentary[[#This Row],[Date]]&amp;"|"&amp;tblCommentary[[#This Row],[Seq_Day]])</f>
        <v/>
      </c>
    </row>
    <row r="835">
      <c r="A835" s="54" t="n"/>
      <c r="B835" s="61" t="n"/>
      <c r="C835" s="58" t="n"/>
      <c r="D835" s="58" t="n"/>
      <c r="E835" s="64">
        <f>IF(tblCommentary[[#This Row],[Date]]="","",COUNTIFS(INDEX(tblCommentary[Date],1):tblCommentary[[#This Row],[Date]],tblCommentary[[#This Row],[Date]]))</f>
        <v/>
      </c>
      <c r="F835" s="63">
        <f>IF(tblCommentary[[#This Row],[Date]]="","",tblCommentary[[#This Row],[Date]]&amp;"|"&amp;tblCommentary[[#This Row],[Seq_Day]])</f>
        <v/>
      </c>
    </row>
    <row r="836">
      <c r="A836" s="54" t="n"/>
      <c r="B836" s="61" t="n"/>
      <c r="C836" s="58" t="n"/>
      <c r="D836" s="58" t="n"/>
      <c r="E836" s="64">
        <f>IF(tblCommentary[[#This Row],[Date]]="","",COUNTIFS(INDEX(tblCommentary[Date],1):tblCommentary[[#This Row],[Date]],tblCommentary[[#This Row],[Date]]))</f>
        <v/>
      </c>
      <c r="F836" s="63">
        <f>IF(tblCommentary[[#This Row],[Date]]="","",tblCommentary[[#This Row],[Date]]&amp;"|"&amp;tblCommentary[[#This Row],[Seq_Day]])</f>
        <v/>
      </c>
    </row>
    <row r="837">
      <c r="A837" s="54" t="n"/>
      <c r="B837" s="61" t="n"/>
      <c r="C837" s="58" t="n"/>
      <c r="D837" s="58" t="n"/>
      <c r="E837" s="64">
        <f>IF(tblCommentary[[#This Row],[Date]]="","",COUNTIFS(INDEX(tblCommentary[Date],1):tblCommentary[[#This Row],[Date]],tblCommentary[[#This Row],[Date]]))</f>
        <v/>
      </c>
      <c r="F837" s="63">
        <f>IF(tblCommentary[[#This Row],[Date]]="","",tblCommentary[[#This Row],[Date]]&amp;"|"&amp;tblCommentary[[#This Row],[Seq_Day]])</f>
        <v/>
      </c>
    </row>
    <row r="838">
      <c r="A838" s="54" t="n"/>
      <c r="B838" s="61" t="n"/>
      <c r="C838" s="58" t="n"/>
      <c r="D838" s="58" t="n"/>
      <c r="E838" s="64">
        <f>IF(tblCommentary[[#This Row],[Date]]="","",COUNTIFS(INDEX(tblCommentary[Date],1):tblCommentary[[#This Row],[Date]],tblCommentary[[#This Row],[Date]]))</f>
        <v/>
      </c>
      <c r="F838" s="63">
        <f>IF(tblCommentary[[#This Row],[Date]]="","",tblCommentary[[#This Row],[Date]]&amp;"|"&amp;tblCommentary[[#This Row],[Seq_Day]])</f>
        <v/>
      </c>
    </row>
    <row r="839">
      <c r="A839" s="54" t="n"/>
      <c r="B839" s="61" t="n"/>
      <c r="C839" s="58" t="n"/>
      <c r="D839" s="58" t="n"/>
      <c r="E839" s="64">
        <f>IF(tblCommentary[[#This Row],[Date]]="","",COUNTIFS(INDEX(tblCommentary[Date],1):tblCommentary[[#This Row],[Date]],tblCommentary[[#This Row],[Date]]))</f>
        <v/>
      </c>
      <c r="F839" s="63">
        <f>IF(tblCommentary[[#This Row],[Date]]="","",tblCommentary[[#This Row],[Date]]&amp;"|"&amp;tblCommentary[[#This Row],[Seq_Day]])</f>
        <v/>
      </c>
    </row>
    <row r="840">
      <c r="A840" s="54" t="n"/>
      <c r="B840" s="61" t="n"/>
      <c r="C840" s="58" t="n"/>
      <c r="D840" s="58" t="n"/>
      <c r="E840" s="64">
        <f>IF(tblCommentary[[#This Row],[Date]]="","",COUNTIFS(INDEX(tblCommentary[Date],1):tblCommentary[[#This Row],[Date]],tblCommentary[[#This Row],[Date]]))</f>
        <v/>
      </c>
      <c r="F840" s="63">
        <f>IF(tblCommentary[[#This Row],[Date]]="","",tblCommentary[[#This Row],[Date]]&amp;"|"&amp;tblCommentary[[#This Row],[Seq_Day]])</f>
        <v/>
      </c>
    </row>
    <row r="841">
      <c r="A841" s="54" t="n"/>
      <c r="B841" s="61" t="n"/>
      <c r="C841" s="58" t="n"/>
      <c r="D841" s="58" t="n"/>
      <c r="E841" s="64">
        <f>IF(tblCommentary[[#This Row],[Date]]="","",COUNTIFS(INDEX(tblCommentary[Date],1):tblCommentary[[#This Row],[Date]],tblCommentary[[#This Row],[Date]]))</f>
        <v/>
      </c>
      <c r="F841" s="63">
        <f>IF(tblCommentary[[#This Row],[Date]]="","",tblCommentary[[#This Row],[Date]]&amp;"|"&amp;tblCommentary[[#This Row],[Seq_Day]])</f>
        <v/>
      </c>
    </row>
    <row r="842">
      <c r="A842" s="54" t="n"/>
      <c r="B842" s="61" t="n"/>
      <c r="C842" s="58" t="n"/>
      <c r="D842" s="58" t="n"/>
      <c r="E842" s="64">
        <f>IF(tblCommentary[[#This Row],[Date]]="","",COUNTIFS(INDEX(tblCommentary[Date],1):tblCommentary[[#This Row],[Date]],tblCommentary[[#This Row],[Date]]))</f>
        <v/>
      </c>
      <c r="F842" s="63">
        <f>IF(tblCommentary[[#This Row],[Date]]="","",tblCommentary[[#This Row],[Date]]&amp;"|"&amp;tblCommentary[[#This Row],[Seq_Day]])</f>
        <v/>
      </c>
    </row>
    <row r="843">
      <c r="A843" s="54" t="n"/>
      <c r="B843" s="61" t="n"/>
      <c r="C843" s="58" t="n"/>
      <c r="D843" s="58" t="n"/>
      <c r="E843" s="64">
        <f>IF(tblCommentary[[#This Row],[Date]]="","",COUNTIFS(INDEX(tblCommentary[Date],1):tblCommentary[[#This Row],[Date]],tblCommentary[[#This Row],[Date]]))</f>
        <v/>
      </c>
      <c r="F843" s="63">
        <f>IF(tblCommentary[[#This Row],[Date]]="","",tblCommentary[[#This Row],[Date]]&amp;"|"&amp;tblCommentary[[#This Row],[Seq_Day]])</f>
        <v/>
      </c>
    </row>
    <row r="844">
      <c r="A844" s="54" t="n"/>
      <c r="B844" s="61" t="n"/>
      <c r="C844" s="58" t="n"/>
      <c r="D844" s="58" t="n"/>
      <c r="E844" s="64">
        <f>IF(tblCommentary[[#This Row],[Date]]="","",COUNTIFS(INDEX(tblCommentary[Date],1):tblCommentary[[#This Row],[Date]],tblCommentary[[#This Row],[Date]]))</f>
        <v/>
      </c>
      <c r="F844" s="63">
        <f>IF(tblCommentary[[#This Row],[Date]]="","",tblCommentary[[#This Row],[Date]]&amp;"|"&amp;tblCommentary[[#This Row],[Seq_Day]])</f>
        <v/>
      </c>
    </row>
    <row r="845">
      <c r="A845" s="54" t="n"/>
      <c r="B845" s="61" t="n"/>
      <c r="C845" s="58" t="n"/>
      <c r="D845" s="58" t="n"/>
      <c r="E845" s="64">
        <f>IF(tblCommentary[[#This Row],[Date]]="","",COUNTIFS(INDEX(tblCommentary[Date],1):tblCommentary[[#This Row],[Date]],tblCommentary[[#This Row],[Date]]))</f>
        <v/>
      </c>
      <c r="F845" s="63">
        <f>IF(tblCommentary[[#This Row],[Date]]="","",tblCommentary[[#This Row],[Date]]&amp;"|"&amp;tblCommentary[[#This Row],[Seq_Day]])</f>
        <v/>
      </c>
    </row>
    <row r="846">
      <c r="A846" s="54" t="n"/>
      <c r="B846" s="61" t="n"/>
      <c r="C846" s="58" t="n"/>
      <c r="D846" s="58" t="n"/>
      <c r="E846" s="64">
        <f>IF(tblCommentary[[#This Row],[Date]]="","",COUNTIFS(INDEX(tblCommentary[Date],1):tblCommentary[[#This Row],[Date]],tblCommentary[[#This Row],[Date]]))</f>
        <v/>
      </c>
      <c r="F846" s="63">
        <f>IF(tblCommentary[[#This Row],[Date]]="","",tblCommentary[[#This Row],[Date]]&amp;"|"&amp;tblCommentary[[#This Row],[Seq_Day]])</f>
        <v/>
      </c>
    </row>
    <row r="847">
      <c r="A847" s="54" t="n"/>
      <c r="B847" s="61" t="n"/>
      <c r="C847" s="58" t="n"/>
      <c r="D847" s="58" t="n"/>
      <c r="E847" s="64">
        <f>IF(tblCommentary[[#This Row],[Date]]="","",COUNTIFS(INDEX(tblCommentary[Date],1):tblCommentary[[#This Row],[Date]],tblCommentary[[#This Row],[Date]]))</f>
        <v/>
      </c>
      <c r="F847" s="63">
        <f>IF(tblCommentary[[#This Row],[Date]]="","",tblCommentary[[#This Row],[Date]]&amp;"|"&amp;tblCommentary[[#This Row],[Seq_Day]])</f>
        <v/>
      </c>
    </row>
    <row r="848">
      <c r="A848" s="54" t="n"/>
      <c r="B848" s="61" t="n"/>
      <c r="C848" s="58" t="n"/>
      <c r="D848" s="58" t="n"/>
      <c r="E848" s="64">
        <f>IF(tblCommentary[[#This Row],[Date]]="","",COUNTIFS(INDEX(tblCommentary[Date],1):tblCommentary[[#This Row],[Date]],tblCommentary[[#This Row],[Date]]))</f>
        <v/>
      </c>
      <c r="F848" s="63">
        <f>IF(tblCommentary[[#This Row],[Date]]="","",tblCommentary[[#This Row],[Date]]&amp;"|"&amp;tblCommentary[[#This Row],[Seq_Day]])</f>
        <v/>
      </c>
    </row>
    <row r="849">
      <c r="A849" s="54" t="n"/>
      <c r="B849" s="61" t="n"/>
      <c r="C849" s="58" t="n"/>
      <c r="D849" s="58" t="n"/>
      <c r="E849" s="64">
        <f>IF(tblCommentary[[#This Row],[Date]]="","",COUNTIFS(INDEX(tblCommentary[Date],1):tblCommentary[[#This Row],[Date]],tblCommentary[[#This Row],[Date]]))</f>
        <v/>
      </c>
      <c r="F849" s="63">
        <f>IF(tblCommentary[[#This Row],[Date]]="","",tblCommentary[[#This Row],[Date]]&amp;"|"&amp;tblCommentary[[#This Row],[Seq_Day]])</f>
        <v/>
      </c>
    </row>
    <row r="850">
      <c r="A850" s="54" t="n"/>
      <c r="B850" s="61" t="n"/>
      <c r="C850" s="58" t="n"/>
      <c r="D850" s="58" t="n"/>
      <c r="E850" s="64">
        <f>IF(tblCommentary[[#This Row],[Date]]="","",COUNTIFS(INDEX(tblCommentary[Date],1):tblCommentary[[#This Row],[Date]],tblCommentary[[#This Row],[Date]]))</f>
        <v/>
      </c>
      <c r="F850" s="63">
        <f>IF(tblCommentary[[#This Row],[Date]]="","",tblCommentary[[#This Row],[Date]]&amp;"|"&amp;tblCommentary[[#This Row],[Seq_Day]])</f>
        <v/>
      </c>
    </row>
    <row r="851">
      <c r="A851" s="54" t="n"/>
      <c r="B851" s="61" t="n"/>
      <c r="C851" s="58" t="n"/>
      <c r="D851" s="58" t="n"/>
      <c r="E851" s="64">
        <f>IF(tblCommentary[[#This Row],[Date]]="","",COUNTIFS(INDEX(tblCommentary[Date],1):tblCommentary[[#This Row],[Date]],tblCommentary[[#This Row],[Date]]))</f>
        <v/>
      </c>
      <c r="F851" s="63">
        <f>IF(tblCommentary[[#This Row],[Date]]="","",tblCommentary[[#This Row],[Date]]&amp;"|"&amp;tblCommentary[[#This Row],[Seq_Day]])</f>
        <v/>
      </c>
    </row>
    <row r="852">
      <c r="A852" s="54" t="n"/>
      <c r="B852" s="61" t="n"/>
      <c r="C852" s="58" t="n"/>
      <c r="D852" s="58" t="n"/>
      <c r="E852" s="64">
        <f>IF(tblCommentary[[#This Row],[Date]]="","",COUNTIFS(INDEX(tblCommentary[Date],1):tblCommentary[[#This Row],[Date]],tblCommentary[[#This Row],[Date]]))</f>
        <v/>
      </c>
      <c r="F852" s="63">
        <f>IF(tblCommentary[[#This Row],[Date]]="","",tblCommentary[[#This Row],[Date]]&amp;"|"&amp;tblCommentary[[#This Row],[Seq_Day]])</f>
        <v/>
      </c>
    </row>
    <row r="853">
      <c r="A853" s="54" t="n"/>
      <c r="B853" s="61" t="n"/>
      <c r="C853" s="58" t="n"/>
      <c r="D853" s="58" t="n"/>
      <c r="E853" s="64">
        <f>IF(tblCommentary[[#This Row],[Date]]="","",COUNTIFS(INDEX(tblCommentary[Date],1):tblCommentary[[#This Row],[Date]],tblCommentary[[#This Row],[Date]]))</f>
        <v/>
      </c>
      <c r="F853" s="63">
        <f>IF(tblCommentary[[#This Row],[Date]]="","",tblCommentary[[#This Row],[Date]]&amp;"|"&amp;tblCommentary[[#This Row],[Seq_Day]])</f>
        <v/>
      </c>
    </row>
    <row r="854">
      <c r="A854" s="54" t="n"/>
      <c r="B854" s="61" t="n"/>
      <c r="C854" s="58" t="n"/>
      <c r="D854" s="58" t="n"/>
      <c r="E854" s="64">
        <f>IF(tblCommentary[[#This Row],[Date]]="","",COUNTIFS(INDEX(tblCommentary[Date],1):tblCommentary[[#This Row],[Date]],tblCommentary[[#This Row],[Date]]))</f>
        <v/>
      </c>
      <c r="F854" s="63">
        <f>IF(tblCommentary[[#This Row],[Date]]="","",tblCommentary[[#This Row],[Date]]&amp;"|"&amp;tblCommentary[[#This Row],[Seq_Day]])</f>
        <v/>
      </c>
    </row>
    <row r="855">
      <c r="A855" s="54" t="n"/>
      <c r="B855" s="61" t="n"/>
      <c r="C855" s="58" t="n"/>
      <c r="D855" s="58" t="n"/>
      <c r="E855" s="64">
        <f>IF(tblCommentary[[#This Row],[Date]]="","",COUNTIFS(INDEX(tblCommentary[Date],1):tblCommentary[[#This Row],[Date]],tblCommentary[[#This Row],[Date]]))</f>
        <v/>
      </c>
      <c r="F855" s="63">
        <f>IF(tblCommentary[[#This Row],[Date]]="","",tblCommentary[[#This Row],[Date]]&amp;"|"&amp;tblCommentary[[#This Row],[Seq_Day]])</f>
        <v/>
      </c>
    </row>
    <row r="856">
      <c r="A856" s="54" t="n"/>
      <c r="B856" s="61" t="n"/>
      <c r="C856" s="58" t="n"/>
      <c r="D856" s="58" t="n"/>
      <c r="E856" s="64">
        <f>IF(tblCommentary[[#This Row],[Date]]="","",COUNTIFS(INDEX(tblCommentary[Date],1):tblCommentary[[#This Row],[Date]],tblCommentary[[#This Row],[Date]]))</f>
        <v/>
      </c>
      <c r="F856" s="63">
        <f>IF(tblCommentary[[#This Row],[Date]]="","",tblCommentary[[#This Row],[Date]]&amp;"|"&amp;tblCommentary[[#This Row],[Seq_Day]])</f>
        <v/>
      </c>
    </row>
    <row r="857">
      <c r="A857" s="54" t="n"/>
      <c r="B857" s="61" t="n"/>
      <c r="C857" s="58" t="n"/>
      <c r="D857" s="58" t="n"/>
      <c r="E857" s="64">
        <f>IF(tblCommentary[[#This Row],[Date]]="","",COUNTIFS(INDEX(tblCommentary[Date],1):tblCommentary[[#This Row],[Date]],tblCommentary[[#This Row],[Date]]))</f>
        <v/>
      </c>
      <c r="F857" s="63">
        <f>IF(tblCommentary[[#This Row],[Date]]="","",tblCommentary[[#This Row],[Date]]&amp;"|"&amp;tblCommentary[[#This Row],[Seq_Day]])</f>
        <v/>
      </c>
    </row>
    <row r="858">
      <c r="A858" s="54" t="n"/>
      <c r="B858" s="61" t="n"/>
      <c r="C858" s="58" t="n"/>
      <c r="D858" s="58" t="n"/>
      <c r="E858" s="64">
        <f>IF(tblCommentary[[#This Row],[Date]]="","",COUNTIFS(INDEX(tblCommentary[Date],1):tblCommentary[[#This Row],[Date]],tblCommentary[[#This Row],[Date]]))</f>
        <v/>
      </c>
      <c r="F858" s="63">
        <f>IF(tblCommentary[[#This Row],[Date]]="","",tblCommentary[[#This Row],[Date]]&amp;"|"&amp;tblCommentary[[#This Row],[Seq_Day]])</f>
        <v/>
      </c>
    </row>
    <row r="859">
      <c r="A859" s="54" t="n"/>
      <c r="B859" s="61" t="n"/>
      <c r="C859" s="58" t="n"/>
      <c r="D859" s="58" t="n"/>
      <c r="E859" s="64">
        <f>IF(tblCommentary[[#This Row],[Date]]="","",COUNTIFS(INDEX(tblCommentary[Date],1):tblCommentary[[#This Row],[Date]],tblCommentary[[#This Row],[Date]]))</f>
        <v/>
      </c>
      <c r="F859" s="63">
        <f>IF(tblCommentary[[#This Row],[Date]]="","",tblCommentary[[#This Row],[Date]]&amp;"|"&amp;tblCommentary[[#This Row],[Seq_Day]])</f>
        <v/>
      </c>
    </row>
    <row r="860">
      <c r="A860" s="54" t="n"/>
      <c r="B860" s="61" t="n"/>
      <c r="C860" s="58" t="n"/>
      <c r="D860" s="58" t="n"/>
      <c r="E860" s="64">
        <f>IF(tblCommentary[[#This Row],[Date]]="","",COUNTIFS(INDEX(tblCommentary[Date],1):tblCommentary[[#This Row],[Date]],tblCommentary[[#This Row],[Date]]))</f>
        <v/>
      </c>
      <c r="F860" s="63">
        <f>IF(tblCommentary[[#This Row],[Date]]="","",tblCommentary[[#This Row],[Date]]&amp;"|"&amp;tblCommentary[[#This Row],[Seq_Day]])</f>
        <v/>
      </c>
    </row>
    <row r="861">
      <c r="A861" s="54" t="n"/>
      <c r="B861" s="61" t="n"/>
      <c r="C861" s="58" t="n"/>
      <c r="D861" s="58" t="n"/>
      <c r="E861" s="64">
        <f>IF(tblCommentary[[#This Row],[Date]]="","",COUNTIFS(INDEX(tblCommentary[Date],1):tblCommentary[[#This Row],[Date]],tblCommentary[[#This Row],[Date]]))</f>
        <v/>
      </c>
      <c r="F861" s="63">
        <f>IF(tblCommentary[[#This Row],[Date]]="","",tblCommentary[[#This Row],[Date]]&amp;"|"&amp;tblCommentary[[#This Row],[Seq_Day]])</f>
        <v/>
      </c>
    </row>
    <row r="862">
      <c r="A862" s="54" t="n"/>
      <c r="B862" s="61" t="n"/>
      <c r="C862" s="58" t="n"/>
      <c r="D862" s="58" t="n"/>
      <c r="E862" s="64">
        <f>IF(tblCommentary[[#This Row],[Date]]="","",COUNTIFS(INDEX(tblCommentary[Date],1):tblCommentary[[#This Row],[Date]],tblCommentary[[#This Row],[Date]]))</f>
        <v/>
      </c>
      <c r="F862" s="63">
        <f>IF(tblCommentary[[#This Row],[Date]]="","",tblCommentary[[#This Row],[Date]]&amp;"|"&amp;tblCommentary[[#This Row],[Seq_Day]])</f>
        <v/>
      </c>
    </row>
    <row r="863">
      <c r="A863" s="54" t="n"/>
      <c r="B863" s="61" t="n"/>
      <c r="C863" s="58" t="n"/>
      <c r="D863" s="58" t="n"/>
      <c r="E863" s="64">
        <f>IF(tblCommentary[[#This Row],[Date]]="","",COUNTIFS(INDEX(tblCommentary[Date],1):tblCommentary[[#This Row],[Date]],tblCommentary[[#This Row],[Date]]))</f>
        <v/>
      </c>
      <c r="F863" s="63">
        <f>IF(tblCommentary[[#This Row],[Date]]="","",tblCommentary[[#This Row],[Date]]&amp;"|"&amp;tblCommentary[[#This Row],[Seq_Day]])</f>
        <v/>
      </c>
    </row>
    <row r="864">
      <c r="A864" s="54" t="n"/>
      <c r="B864" s="61" t="n"/>
      <c r="C864" s="58" t="n"/>
      <c r="D864" s="58" t="n"/>
      <c r="E864" s="64">
        <f>IF(tblCommentary[[#This Row],[Date]]="","",COUNTIFS(INDEX(tblCommentary[Date],1):tblCommentary[[#This Row],[Date]],tblCommentary[[#This Row],[Date]]))</f>
        <v/>
      </c>
      <c r="F864" s="63">
        <f>IF(tblCommentary[[#This Row],[Date]]="","",tblCommentary[[#This Row],[Date]]&amp;"|"&amp;tblCommentary[[#This Row],[Seq_Day]])</f>
        <v/>
      </c>
    </row>
    <row r="865">
      <c r="A865" s="54" t="n"/>
      <c r="B865" s="61" t="n"/>
      <c r="C865" s="58" t="n"/>
      <c r="D865" s="58" t="n"/>
      <c r="E865" s="64">
        <f>IF(tblCommentary[[#This Row],[Date]]="","",COUNTIFS(INDEX(tblCommentary[Date],1):tblCommentary[[#This Row],[Date]],tblCommentary[[#This Row],[Date]]))</f>
        <v/>
      </c>
      <c r="F865" s="63">
        <f>IF(tblCommentary[[#This Row],[Date]]="","",tblCommentary[[#This Row],[Date]]&amp;"|"&amp;tblCommentary[[#This Row],[Seq_Day]])</f>
        <v/>
      </c>
    </row>
    <row r="866">
      <c r="A866" s="54" t="n"/>
      <c r="B866" s="61" t="n"/>
      <c r="C866" s="58" t="n"/>
      <c r="D866" s="58" t="n"/>
      <c r="E866" s="64">
        <f>IF(tblCommentary[[#This Row],[Date]]="","",COUNTIFS(INDEX(tblCommentary[Date],1):tblCommentary[[#This Row],[Date]],tblCommentary[[#This Row],[Date]]))</f>
        <v/>
      </c>
      <c r="F866" s="63">
        <f>IF(tblCommentary[[#This Row],[Date]]="","",tblCommentary[[#This Row],[Date]]&amp;"|"&amp;tblCommentary[[#This Row],[Seq_Day]])</f>
        <v/>
      </c>
    </row>
    <row r="867">
      <c r="A867" s="54" t="n"/>
      <c r="B867" s="61" t="n"/>
      <c r="C867" s="58" t="n"/>
      <c r="D867" s="58" t="n"/>
      <c r="E867" s="64">
        <f>IF(tblCommentary[[#This Row],[Date]]="","",COUNTIFS(INDEX(tblCommentary[Date],1):tblCommentary[[#This Row],[Date]],tblCommentary[[#This Row],[Date]]))</f>
        <v/>
      </c>
      <c r="F867" s="63">
        <f>IF(tblCommentary[[#This Row],[Date]]="","",tblCommentary[[#This Row],[Date]]&amp;"|"&amp;tblCommentary[[#This Row],[Seq_Day]])</f>
        <v/>
      </c>
    </row>
    <row r="868">
      <c r="A868" s="54" t="n"/>
      <c r="B868" s="61" t="n"/>
      <c r="C868" s="58" t="n"/>
      <c r="D868" s="58" t="n"/>
      <c r="E868" s="64">
        <f>IF(tblCommentary[[#This Row],[Date]]="","",COUNTIFS(INDEX(tblCommentary[Date],1):tblCommentary[[#This Row],[Date]],tblCommentary[[#This Row],[Date]]))</f>
        <v/>
      </c>
      <c r="F868" s="63">
        <f>IF(tblCommentary[[#This Row],[Date]]="","",tblCommentary[[#This Row],[Date]]&amp;"|"&amp;tblCommentary[[#This Row],[Seq_Day]])</f>
        <v/>
      </c>
    </row>
    <row r="869">
      <c r="A869" s="54" t="n"/>
      <c r="B869" s="61" t="n"/>
      <c r="C869" s="58" t="n"/>
      <c r="D869" s="58" t="n"/>
      <c r="E869" s="64">
        <f>IF(tblCommentary[[#This Row],[Date]]="","",COUNTIFS(INDEX(tblCommentary[Date],1):tblCommentary[[#This Row],[Date]],tblCommentary[[#This Row],[Date]]))</f>
        <v/>
      </c>
      <c r="F869" s="63">
        <f>IF(tblCommentary[[#This Row],[Date]]="","",tblCommentary[[#This Row],[Date]]&amp;"|"&amp;tblCommentary[[#This Row],[Seq_Day]])</f>
        <v/>
      </c>
    </row>
    <row r="870">
      <c r="A870" s="54" t="n"/>
      <c r="B870" s="61" t="n"/>
      <c r="C870" s="58" t="n"/>
      <c r="D870" s="58" t="n"/>
      <c r="E870" s="64">
        <f>IF(tblCommentary[[#This Row],[Date]]="","",COUNTIFS(INDEX(tblCommentary[Date],1):tblCommentary[[#This Row],[Date]],tblCommentary[[#This Row],[Date]]))</f>
        <v/>
      </c>
      <c r="F870" s="63">
        <f>IF(tblCommentary[[#This Row],[Date]]="","",tblCommentary[[#This Row],[Date]]&amp;"|"&amp;tblCommentary[[#This Row],[Seq_Day]])</f>
        <v/>
      </c>
    </row>
    <row r="871">
      <c r="A871" s="54" t="n"/>
      <c r="B871" s="61" t="n"/>
      <c r="C871" s="58" t="n"/>
      <c r="D871" s="58" t="n"/>
      <c r="E871" s="64">
        <f>IF(tblCommentary[[#This Row],[Date]]="","",COUNTIFS(INDEX(tblCommentary[Date],1):tblCommentary[[#This Row],[Date]],tblCommentary[[#This Row],[Date]]))</f>
        <v/>
      </c>
      <c r="F871" s="63">
        <f>IF(tblCommentary[[#This Row],[Date]]="","",tblCommentary[[#This Row],[Date]]&amp;"|"&amp;tblCommentary[[#This Row],[Seq_Day]])</f>
        <v/>
      </c>
    </row>
    <row r="872">
      <c r="A872" s="54" t="n"/>
      <c r="B872" s="61" t="n"/>
      <c r="C872" s="58" t="n"/>
      <c r="D872" s="58" t="n"/>
      <c r="E872" s="64">
        <f>IF(tblCommentary[[#This Row],[Date]]="","",COUNTIFS(INDEX(tblCommentary[Date],1):tblCommentary[[#This Row],[Date]],tblCommentary[[#This Row],[Date]]))</f>
        <v/>
      </c>
      <c r="F872" s="63">
        <f>IF(tblCommentary[[#This Row],[Date]]="","",tblCommentary[[#This Row],[Date]]&amp;"|"&amp;tblCommentary[[#This Row],[Seq_Day]])</f>
        <v/>
      </c>
    </row>
    <row r="873">
      <c r="A873" s="54" t="n"/>
      <c r="B873" s="61" t="n"/>
      <c r="C873" s="58" t="n"/>
      <c r="D873" s="58" t="n"/>
      <c r="E873" s="64">
        <f>IF(tblCommentary[[#This Row],[Date]]="","",COUNTIFS(INDEX(tblCommentary[Date],1):tblCommentary[[#This Row],[Date]],tblCommentary[[#This Row],[Date]]))</f>
        <v/>
      </c>
      <c r="F873" s="63">
        <f>IF(tblCommentary[[#This Row],[Date]]="","",tblCommentary[[#This Row],[Date]]&amp;"|"&amp;tblCommentary[[#This Row],[Seq_Day]])</f>
        <v/>
      </c>
    </row>
    <row r="874">
      <c r="A874" s="54" t="n"/>
      <c r="B874" s="61" t="n"/>
      <c r="C874" s="58" t="n"/>
      <c r="D874" s="58" t="n"/>
      <c r="E874" s="64">
        <f>IF(tblCommentary[[#This Row],[Date]]="","",COUNTIFS(INDEX(tblCommentary[Date],1):tblCommentary[[#This Row],[Date]],tblCommentary[[#This Row],[Date]]))</f>
        <v/>
      </c>
      <c r="F874" s="63">
        <f>IF(tblCommentary[[#This Row],[Date]]="","",tblCommentary[[#This Row],[Date]]&amp;"|"&amp;tblCommentary[[#This Row],[Seq_Day]])</f>
        <v/>
      </c>
    </row>
    <row r="875">
      <c r="A875" s="54" t="n"/>
      <c r="B875" s="61" t="n"/>
      <c r="C875" s="58" t="n"/>
      <c r="D875" s="58" t="n"/>
      <c r="E875" s="64">
        <f>IF(tblCommentary[[#This Row],[Date]]="","",COUNTIFS(INDEX(tblCommentary[Date],1):tblCommentary[[#This Row],[Date]],tblCommentary[[#This Row],[Date]]))</f>
        <v/>
      </c>
      <c r="F875" s="63">
        <f>IF(tblCommentary[[#This Row],[Date]]="","",tblCommentary[[#This Row],[Date]]&amp;"|"&amp;tblCommentary[[#This Row],[Seq_Day]])</f>
        <v/>
      </c>
    </row>
    <row r="876">
      <c r="A876" s="54" t="n"/>
      <c r="B876" s="61" t="n"/>
      <c r="C876" s="58" t="n"/>
      <c r="D876" s="58" t="n"/>
      <c r="E876" s="64">
        <f>IF(tblCommentary[[#This Row],[Date]]="","",COUNTIFS(INDEX(tblCommentary[Date],1):tblCommentary[[#This Row],[Date]],tblCommentary[[#This Row],[Date]]))</f>
        <v/>
      </c>
      <c r="F876" s="63">
        <f>IF(tblCommentary[[#This Row],[Date]]="","",tblCommentary[[#This Row],[Date]]&amp;"|"&amp;tblCommentary[[#This Row],[Seq_Day]])</f>
        <v/>
      </c>
    </row>
    <row r="877">
      <c r="A877" s="54" t="n"/>
      <c r="B877" s="61" t="n"/>
      <c r="C877" s="58" t="n"/>
      <c r="D877" s="58" t="n"/>
      <c r="E877" s="64">
        <f>IF(tblCommentary[[#This Row],[Date]]="","",COUNTIFS(INDEX(tblCommentary[Date],1):tblCommentary[[#This Row],[Date]],tblCommentary[[#This Row],[Date]]))</f>
        <v/>
      </c>
      <c r="F877" s="63">
        <f>IF(tblCommentary[[#This Row],[Date]]="","",tblCommentary[[#This Row],[Date]]&amp;"|"&amp;tblCommentary[[#This Row],[Seq_Day]])</f>
        <v/>
      </c>
    </row>
    <row r="878">
      <c r="A878" s="54" t="n"/>
      <c r="B878" s="61" t="n"/>
      <c r="C878" s="58" t="n"/>
      <c r="D878" s="58" t="n"/>
      <c r="E878" s="64">
        <f>IF(tblCommentary[[#This Row],[Date]]="","",COUNTIFS(INDEX(tblCommentary[Date],1):tblCommentary[[#This Row],[Date]],tblCommentary[[#This Row],[Date]]))</f>
        <v/>
      </c>
      <c r="F878" s="63">
        <f>IF(tblCommentary[[#This Row],[Date]]="","",tblCommentary[[#This Row],[Date]]&amp;"|"&amp;tblCommentary[[#This Row],[Seq_Day]])</f>
        <v/>
      </c>
    </row>
    <row r="879">
      <c r="A879" s="54" t="n"/>
      <c r="B879" s="61" t="n"/>
      <c r="C879" s="58" t="n"/>
      <c r="D879" s="58" t="n"/>
      <c r="E879" s="64">
        <f>IF(tblCommentary[[#This Row],[Date]]="","",COUNTIFS(INDEX(tblCommentary[Date],1):tblCommentary[[#This Row],[Date]],tblCommentary[[#This Row],[Date]]))</f>
        <v/>
      </c>
      <c r="F879" s="63">
        <f>IF(tblCommentary[[#This Row],[Date]]="","",tblCommentary[[#This Row],[Date]]&amp;"|"&amp;tblCommentary[[#This Row],[Seq_Day]])</f>
        <v/>
      </c>
    </row>
    <row r="880">
      <c r="A880" s="54" t="n"/>
      <c r="B880" s="61" t="n"/>
      <c r="C880" s="58" t="n"/>
      <c r="D880" s="58" t="n"/>
      <c r="E880" s="64">
        <f>IF(tblCommentary[[#This Row],[Date]]="","",COUNTIFS(INDEX(tblCommentary[Date],1):tblCommentary[[#This Row],[Date]],tblCommentary[[#This Row],[Date]]))</f>
        <v/>
      </c>
      <c r="F880" s="63">
        <f>IF(tblCommentary[[#This Row],[Date]]="","",tblCommentary[[#This Row],[Date]]&amp;"|"&amp;tblCommentary[[#This Row],[Seq_Day]])</f>
        <v/>
      </c>
    </row>
    <row r="881">
      <c r="A881" s="54" t="n"/>
      <c r="B881" s="61" t="n"/>
      <c r="C881" s="58" t="n"/>
      <c r="D881" s="58" t="n"/>
      <c r="E881" s="64">
        <f>IF(tblCommentary[[#This Row],[Date]]="","",COUNTIFS(INDEX(tblCommentary[Date],1):tblCommentary[[#This Row],[Date]],tblCommentary[[#This Row],[Date]]))</f>
        <v/>
      </c>
      <c r="F881" s="63">
        <f>IF(tblCommentary[[#This Row],[Date]]="","",tblCommentary[[#This Row],[Date]]&amp;"|"&amp;tblCommentary[[#This Row],[Seq_Day]])</f>
        <v/>
      </c>
    </row>
    <row r="882">
      <c r="A882" s="54" t="n"/>
      <c r="B882" s="61" t="n"/>
      <c r="C882" s="58" t="n"/>
      <c r="D882" s="58" t="n"/>
      <c r="E882" s="64">
        <f>IF(tblCommentary[[#This Row],[Date]]="","",COUNTIFS(INDEX(tblCommentary[Date],1):tblCommentary[[#This Row],[Date]],tblCommentary[[#This Row],[Date]]))</f>
        <v/>
      </c>
      <c r="F882" s="63">
        <f>IF(tblCommentary[[#This Row],[Date]]="","",tblCommentary[[#This Row],[Date]]&amp;"|"&amp;tblCommentary[[#This Row],[Seq_Day]])</f>
        <v/>
      </c>
    </row>
    <row r="883">
      <c r="A883" s="54" t="n"/>
      <c r="B883" s="61" t="n"/>
      <c r="C883" s="58" t="n"/>
      <c r="D883" s="58" t="n"/>
      <c r="E883" s="64">
        <f>IF(tblCommentary[[#This Row],[Date]]="","",COUNTIFS(INDEX(tblCommentary[Date],1):tblCommentary[[#This Row],[Date]],tblCommentary[[#This Row],[Date]]))</f>
        <v/>
      </c>
      <c r="F883" s="63">
        <f>IF(tblCommentary[[#This Row],[Date]]="","",tblCommentary[[#This Row],[Date]]&amp;"|"&amp;tblCommentary[[#This Row],[Seq_Day]])</f>
        <v/>
      </c>
    </row>
    <row r="884">
      <c r="A884" s="54" t="n"/>
      <c r="B884" s="61" t="n"/>
      <c r="C884" s="58" t="n"/>
      <c r="D884" s="58" t="n"/>
      <c r="E884" s="64">
        <f>IF(tblCommentary[[#This Row],[Date]]="","",COUNTIFS(INDEX(tblCommentary[Date],1):tblCommentary[[#This Row],[Date]],tblCommentary[[#This Row],[Date]]))</f>
        <v/>
      </c>
      <c r="F884" s="63">
        <f>IF(tblCommentary[[#This Row],[Date]]="","",tblCommentary[[#This Row],[Date]]&amp;"|"&amp;tblCommentary[[#This Row],[Seq_Day]])</f>
        <v/>
      </c>
    </row>
    <row r="885">
      <c r="A885" s="54" t="n"/>
      <c r="B885" s="61" t="n"/>
      <c r="C885" s="58" t="n"/>
      <c r="D885" s="58" t="n"/>
      <c r="E885" s="64">
        <f>IF(tblCommentary[[#This Row],[Date]]="","",COUNTIFS(INDEX(tblCommentary[Date],1):tblCommentary[[#This Row],[Date]],tblCommentary[[#This Row],[Date]]))</f>
        <v/>
      </c>
      <c r="F885" s="63">
        <f>IF(tblCommentary[[#This Row],[Date]]="","",tblCommentary[[#This Row],[Date]]&amp;"|"&amp;tblCommentary[[#This Row],[Seq_Day]])</f>
        <v/>
      </c>
    </row>
    <row r="886">
      <c r="A886" s="54" t="n"/>
      <c r="B886" s="61" t="n"/>
      <c r="C886" s="58" t="n"/>
      <c r="D886" s="58" t="n"/>
      <c r="E886" s="64">
        <f>IF(tblCommentary[[#This Row],[Date]]="","",COUNTIFS(INDEX(tblCommentary[Date],1):tblCommentary[[#This Row],[Date]],tblCommentary[[#This Row],[Date]]))</f>
        <v/>
      </c>
      <c r="F886" s="63">
        <f>IF(tblCommentary[[#This Row],[Date]]="","",tblCommentary[[#This Row],[Date]]&amp;"|"&amp;tblCommentary[[#This Row],[Seq_Day]])</f>
        <v/>
      </c>
    </row>
    <row r="887">
      <c r="A887" s="54" t="n"/>
      <c r="B887" s="61" t="n"/>
      <c r="C887" s="58" t="n"/>
      <c r="D887" s="58" t="n"/>
      <c r="E887" s="64">
        <f>IF(tblCommentary[[#This Row],[Date]]="","",COUNTIFS(INDEX(tblCommentary[Date],1):tblCommentary[[#This Row],[Date]],tblCommentary[[#This Row],[Date]]))</f>
        <v/>
      </c>
      <c r="F887" s="63">
        <f>IF(tblCommentary[[#This Row],[Date]]="","",tblCommentary[[#This Row],[Date]]&amp;"|"&amp;tblCommentary[[#This Row],[Seq_Day]])</f>
        <v/>
      </c>
    </row>
    <row r="888">
      <c r="A888" s="54" t="n"/>
      <c r="B888" s="61" t="n"/>
      <c r="C888" s="58" t="n"/>
      <c r="D888" s="58" t="n"/>
      <c r="E888" s="64">
        <f>IF(tblCommentary[[#This Row],[Date]]="","",COUNTIFS(INDEX(tblCommentary[Date],1):tblCommentary[[#This Row],[Date]],tblCommentary[[#This Row],[Date]]))</f>
        <v/>
      </c>
      <c r="F888" s="63">
        <f>IF(tblCommentary[[#This Row],[Date]]="","",tblCommentary[[#This Row],[Date]]&amp;"|"&amp;tblCommentary[[#This Row],[Seq_Day]])</f>
        <v/>
      </c>
    </row>
    <row r="889">
      <c r="A889" s="54" t="n"/>
      <c r="B889" s="61" t="n"/>
      <c r="C889" s="58" t="n"/>
      <c r="D889" s="58" t="n"/>
      <c r="E889" s="64">
        <f>IF(tblCommentary[[#This Row],[Date]]="","",COUNTIFS(INDEX(tblCommentary[Date],1):tblCommentary[[#This Row],[Date]],tblCommentary[[#This Row],[Date]]))</f>
        <v/>
      </c>
      <c r="F889" s="63">
        <f>IF(tblCommentary[[#This Row],[Date]]="","",tblCommentary[[#This Row],[Date]]&amp;"|"&amp;tblCommentary[[#This Row],[Seq_Day]])</f>
        <v/>
      </c>
    </row>
    <row r="890">
      <c r="A890" s="54" t="n"/>
      <c r="B890" s="61" t="n"/>
      <c r="C890" s="58" t="n"/>
      <c r="D890" s="58" t="n"/>
      <c r="E890" s="64">
        <f>IF(tblCommentary[[#This Row],[Date]]="","",COUNTIFS(INDEX(tblCommentary[Date],1):tblCommentary[[#This Row],[Date]],tblCommentary[[#This Row],[Date]]))</f>
        <v/>
      </c>
      <c r="F890" s="63">
        <f>IF(tblCommentary[[#This Row],[Date]]="","",tblCommentary[[#This Row],[Date]]&amp;"|"&amp;tblCommentary[[#This Row],[Seq_Day]])</f>
        <v/>
      </c>
    </row>
    <row r="891">
      <c r="A891" s="54" t="n"/>
      <c r="B891" s="61" t="n"/>
      <c r="C891" s="58" t="n"/>
      <c r="D891" s="58" t="n"/>
      <c r="E891" s="64">
        <f>IF(tblCommentary[[#This Row],[Date]]="","",COUNTIFS(INDEX(tblCommentary[Date],1):tblCommentary[[#This Row],[Date]],tblCommentary[[#This Row],[Date]]))</f>
        <v/>
      </c>
      <c r="F891" s="63">
        <f>IF(tblCommentary[[#This Row],[Date]]="","",tblCommentary[[#This Row],[Date]]&amp;"|"&amp;tblCommentary[[#This Row],[Seq_Day]])</f>
        <v/>
      </c>
    </row>
    <row r="892">
      <c r="A892" s="54" t="n"/>
      <c r="B892" s="61" t="n"/>
      <c r="C892" s="58" t="n"/>
      <c r="D892" s="58" t="n"/>
      <c r="E892" s="64">
        <f>IF(tblCommentary[[#This Row],[Date]]="","",COUNTIFS(INDEX(tblCommentary[Date],1):tblCommentary[[#This Row],[Date]],tblCommentary[[#This Row],[Date]]))</f>
        <v/>
      </c>
      <c r="F892" s="63">
        <f>IF(tblCommentary[[#This Row],[Date]]="","",tblCommentary[[#This Row],[Date]]&amp;"|"&amp;tblCommentary[[#This Row],[Seq_Day]])</f>
        <v/>
      </c>
    </row>
    <row r="893">
      <c r="A893" s="54" t="n"/>
      <c r="B893" s="61" t="n"/>
      <c r="C893" s="58" t="n"/>
      <c r="D893" s="58" t="n"/>
      <c r="E893" s="64">
        <f>IF(tblCommentary[[#This Row],[Date]]="","",COUNTIFS(INDEX(tblCommentary[Date],1):tblCommentary[[#This Row],[Date]],tblCommentary[[#This Row],[Date]]))</f>
        <v/>
      </c>
      <c r="F893" s="63">
        <f>IF(tblCommentary[[#This Row],[Date]]="","",tblCommentary[[#This Row],[Date]]&amp;"|"&amp;tblCommentary[[#This Row],[Seq_Day]])</f>
        <v/>
      </c>
    </row>
    <row r="894">
      <c r="A894" s="54" t="n"/>
      <c r="B894" s="61" t="n"/>
      <c r="C894" s="58" t="n"/>
      <c r="D894" s="58" t="n"/>
      <c r="E894" s="64">
        <f>IF(tblCommentary[[#This Row],[Date]]="","",COUNTIFS(INDEX(tblCommentary[Date],1):tblCommentary[[#This Row],[Date]],tblCommentary[[#This Row],[Date]]))</f>
        <v/>
      </c>
      <c r="F894" s="63">
        <f>IF(tblCommentary[[#This Row],[Date]]="","",tblCommentary[[#This Row],[Date]]&amp;"|"&amp;tblCommentary[[#This Row],[Seq_Day]])</f>
        <v/>
      </c>
    </row>
    <row r="895">
      <c r="A895" s="54" t="n"/>
      <c r="B895" s="61" t="n"/>
      <c r="C895" s="58" t="n"/>
      <c r="D895" s="58" t="n"/>
      <c r="E895" s="64">
        <f>IF(tblCommentary[[#This Row],[Date]]="","",COUNTIFS(INDEX(tblCommentary[Date],1):tblCommentary[[#This Row],[Date]],tblCommentary[[#This Row],[Date]]))</f>
        <v/>
      </c>
      <c r="F895" s="63">
        <f>IF(tblCommentary[[#This Row],[Date]]="","",tblCommentary[[#This Row],[Date]]&amp;"|"&amp;tblCommentary[[#This Row],[Seq_Day]])</f>
        <v/>
      </c>
    </row>
    <row r="896">
      <c r="A896" s="54" t="n"/>
      <c r="B896" s="61" t="n"/>
      <c r="C896" s="58" t="n"/>
      <c r="D896" s="58" t="n"/>
      <c r="E896" s="64">
        <f>IF(tblCommentary[[#This Row],[Date]]="","",COUNTIFS(INDEX(tblCommentary[Date],1):tblCommentary[[#This Row],[Date]],tblCommentary[[#This Row],[Date]]))</f>
        <v/>
      </c>
      <c r="F896" s="63">
        <f>IF(tblCommentary[[#This Row],[Date]]="","",tblCommentary[[#This Row],[Date]]&amp;"|"&amp;tblCommentary[[#This Row],[Seq_Day]])</f>
        <v/>
      </c>
    </row>
    <row r="897">
      <c r="A897" s="54" t="n"/>
      <c r="B897" s="61" t="n"/>
      <c r="C897" s="58" t="n"/>
      <c r="D897" s="58" t="n"/>
      <c r="E897" s="64">
        <f>IF(tblCommentary[[#This Row],[Date]]="","",COUNTIFS(INDEX(tblCommentary[Date],1):tblCommentary[[#This Row],[Date]],tblCommentary[[#This Row],[Date]]))</f>
        <v/>
      </c>
      <c r="F897" s="63">
        <f>IF(tblCommentary[[#This Row],[Date]]="","",tblCommentary[[#This Row],[Date]]&amp;"|"&amp;tblCommentary[[#This Row],[Seq_Day]])</f>
        <v/>
      </c>
    </row>
    <row r="898">
      <c r="A898" s="54" t="n"/>
      <c r="B898" s="61" t="n"/>
      <c r="C898" s="58" t="n"/>
      <c r="D898" s="58" t="n"/>
      <c r="E898" s="64">
        <f>IF(tblCommentary[[#This Row],[Date]]="","",COUNTIFS(INDEX(tblCommentary[Date],1):tblCommentary[[#This Row],[Date]],tblCommentary[[#This Row],[Date]]))</f>
        <v/>
      </c>
      <c r="F898" s="63">
        <f>IF(tblCommentary[[#This Row],[Date]]="","",tblCommentary[[#This Row],[Date]]&amp;"|"&amp;tblCommentary[[#This Row],[Seq_Day]])</f>
        <v/>
      </c>
    </row>
    <row r="899">
      <c r="A899" s="54" t="n"/>
      <c r="B899" s="61" t="n"/>
      <c r="C899" s="58" t="n"/>
      <c r="D899" s="58" t="n"/>
      <c r="E899" s="64">
        <f>IF(tblCommentary[[#This Row],[Date]]="","",COUNTIFS(INDEX(tblCommentary[Date],1):tblCommentary[[#This Row],[Date]],tblCommentary[[#This Row],[Date]]))</f>
        <v/>
      </c>
      <c r="F899" s="63">
        <f>IF(tblCommentary[[#This Row],[Date]]="","",tblCommentary[[#This Row],[Date]]&amp;"|"&amp;tblCommentary[[#This Row],[Seq_Day]])</f>
        <v/>
      </c>
    </row>
    <row r="900">
      <c r="A900" s="54" t="n"/>
      <c r="B900" s="61" t="n"/>
      <c r="C900" s="58" t="n"/>
      <c r="D900" s="58" t="n"/>
      <c r="E900" s="64">
        <f>IF(tblCommentary[[#This Row],[Date]]="","",COUNTIFS(INDEX(tblCommentary[Date],1):tblCommentary[[#This Row],[Date]],tblCommentary[[#This Row],[Date]]))</f>
        <v/>
      </c>
      <c r="F900" s="63">
        <f>IF(tblCommentary[[#This Row],[Date]]="","",tblCommentary[[#This Row],[Date]]&amp;"|"&amp;tblCommentary[[#This Row],[Seq_Day]])</f>
        <v/>
      </c>
    </row>
    <row r="901">
      <c r="A901" s="54" t="n"/>
      <c r="B901" s="61" t="n"/>
      <c r="C901" s="58" t="n"/>
      <c r="D901" s="58" t="n"/>
      <c r="E901" s="64">
        <f>IF(tblCommentary[[#This Row],[Date]]="","",COUNTIFS(INDEX(tblCommentary[Date],1):tblCommentary[[#This Row],[Date]],tblCommentary[[#This Row],[Date]]))</f>
        <v/>
      </c>
      <c r="F901" s="63">
        <f>IF(tblCommentary[[#This Row],[Date]]="","",tblCommentary[[#This Row],[Date]]&amp;"|"&amp;tblCommentary[[#This Row],[Seq_Day]])</f>
        <v/>
      </c>
    </row>
    <row r="902">
      <c r="A902" s="54" t="n"/>
      <c r="B902" s="61" t="n"/>
      <c r="C902" s="58" t="n"/>
      <c r="D902" s="58" t="n"/>
      <c r="E902" s="64">
        <f>IF(tblCommentary[[#This Row],[Date]]="","",COUNTIFS(INDEX(tblCommentary[Date],1):tblCommentary[[#This Row],[Date]],tblCommentary[[#This Row],[Date]]))</f>
        <v/>
      </c>
      <c r="F902" s="63">
        <f>IF(tblCommentary[[#This Row],[Date]]="","",tblCommentary[[#This Row],[Date]]&amp;"|"&amp;tblCommentary[[#This Row],[Seq_Day]])</f>
        <v/>
      </c>
    </row>
    <row r="903">
      <c r="A903" s="54" t="n"/>
      <c r="B903" s="61" t="n"/>
      <c r="C903" s="58" t="n"/>
      <c r="D903" s="58" t="n"/>
      <c r="E903" s="64">
        <f>IF(tblCommentary[[#This Row],[Date]]="","",COUNTIFS(INDEX(tblCommentary[Date],1):tblCommentary[[#This Row],[Date]],tblCommentary[[#This Row],[Date]]))</f>
        <v/>
      </c>
      <c r="F903" s="63">
        <f>IF(tblCommentary[[#This Row],[Date]]="","",tblCommentary[[#This Row],[Date]]&amp;"|"&amp;tblCommentary[[#This Row],[Seq_Day]])</f>
        <v/>
      </c>
    </row>
    <row r="904">
      <c r="A904" s="54" t="n"/>
      <c r="B904" s="61" t="n"/>
      <c r="C904" s="58" t="n"/>
      <c r="D904" s="58" t="n"/>
      <c r="E904" s="64">
        <f>IF(tblCommentary[[#This Row],[Date]]="","",COUNTIFS(INDEX(tblCommentary[Date],1):tblCommentary[[#This Row],[Date]],tblCommentary[[#This Row],[Date]]))</f>
        <v/>
      </c>
      <c r="F904" s="63">
        <f>IF(tblCommentary[[#This Row],[Date]]="","",tblCommentary[[#This Row],[Date]]&amp;"|"&amp;tblCommentary[[#This Row],[Seq_Day]])</f>
        <v/>
      </c>
    </row>
    <row r="905">
      <c r="A905" s="54" t="n"/>
      <c r="B905" s="61" t="n"/>
      <c r="C905" s="58" t="n"/>
      <c r="D905" s="58" t="n"/>
      <c r="E905" s="64">
        <f>IF(tblCommentary[[#This Row],[Date]]="","",COUNTIFS(INDEX(tblCommentary[Date],1):tblCommentary[[#This Row],[Date]],tblCommentary[[#This Row],[Date]]))</f>
        <v/>
      </c>
      <c r="F905" s="63">
        <f>IF(tblCommentary[[#This Row],[Date]]="","",tblCommentary[[#This Row],[Date]]&amp;"|"&amp;tblCommentary[[#This Row],[Seq_Day]])</f>
        <v/>
      </c>
    </row>
    <row r="906">
      <c r="A906" s="54" t="n"/>
      <c r="B906" s="61" t="n"/>
      <c r="C906" s="58" t="n"/>
      <c r="D906" s="58" t="n"/>
      <c r="E906" s="64">
        <f>IF(tblCommentary[[#This Row],[Date]]="","",COUNTIFS(INDEX(tblCommentary[Date],1):tblCommentary[[#This Row],[Date]],tblCommentary[[#This Row],[Date]]))</f>
        <v/>
      </c>
      <c r="F906" s="63">
        <f>IF(tblCommentary[[#This Row],[Date]]="","",tblCommentary[[#This Row],[Date]]&amp;"|"&amp;tblCommentary[[#This Row],[Seq_Day]])</f>
        <v/>
      </c>
    </row>
    <row r="907">
      <c r="A907" s="54" t="n"/>
      <c r="B907" s="61" t="n"/>
      <c r="C907" s="58" t="n"/>
      <c r="D907" s="58" t="n"/>
      <c r="E907" s="64">
        <f>IF(tblCommentary[[#This Row],[Date]]="","",COUNTIFS(INDEX(tblCommentary[Date],1):tblCommentary[[#This Row],[Date]],tblCommentary[[#This Row],[Date]]))</f>
        <v/>
      </c>
      <c r="F907" s="63">
        <f>IF(tblCommentary[[#This Row],[Date]]="","",tblCommentary[[#This Row],[Date]]&amp;"|"&amp;tblCommentary[[#This Row],[Seq_Day]])</f>
        <v/>
      </c>
    </row>
    <row r="908">
      <c r="A908" s="54" t="n"/>
      <c r="B908" s="61" t="n"/>
      <c r="C908" s="58" t="n"/>
      <c r="D908" s="58" t="n"/>
      <c r="E908" s="64">
        <f>IF(tblCommentary[[#This Row],[Date]]="","",COUNTIFS(INDEX(tblCommentary[Date],1):tblCommentary[[#This Row],[Date]],tblCommentary[[#This Row],[Date]]))</f>
        <v/>
      </c>
      <c r="F908" s="63">
        <f>IF(tblCommentary[[#This Row],[Date]]="","",tblCommentary[[#This Row],[Date]]&amp;"|"&amp;tblCommentary[[#This Row],[Seq_Day]])</f>
        <v/>
      </c>
    </row>
    <row r="909">
      <c r="A909" s="54" t="n"/>
      <c r="B909" s="61" t="n"/>
      <c r="C909" s="58" t="n"/>
      <c r="D909" s="58" t="n"/>
      <c r="E909" s="64">
        <f>IF(tblCommentary[[#This Row],[Date]]="","",COUNTIFS(INDEX(tblCommentary[Date],1):tblCommentary[[#This Row],[Date]],tblCommentary[[#This Row],[Date]]))</f>
        <v/>
      </c>
      <c r="F909" s="63">
        <f>IF(tblCommentary[[#This Row],[Date]]="","",tblCommentary[[#This Row],[Date]]&amp;"|"&amp;tblCommentary[[#This Row],[Seq_Day]])</f>
        <v/>
      </c>
    </row>
    <row r="910">
      <c r="A910" s="54" t="n"/>
      <c r="B910" s="61" t="n"/>
      <c r="C910" s="58" t="n"/>
      <c r="D910" s="58" t="n"/>
      <c r="E910" s="64">
        <f>IF(tblCommentary[[#This Row],[Date]]="","",COUNTIFS(INDEX(tblCommentary[Date],1):tblCommentary[[#This Row],[Date]],tblCommentary[[#This Row],[Date]]))</f>
        <v/>
      </c>
      <c r="F910" s="63">
        <f>IF(tblCommentary[[#This Row],[Date]]="","",tblCommentary[[#This Row],[Date]]&amp;"|"&amp;tblCommentary[[#This Row],[Seq_Day]])</f>
        <v/>
      </c>
    </row>
    <row r="911">
      <c r="A911" s="54" t="n"/>
      <c r="B911" s="61" t="n"/>
      <c r="C911" s="58" t="n"/>
      <c r="D911" s="58" t="n"/>
      <c r="E911" s="64">
        <f>IF(tblCommentary[[#This Row],[Date]]="","",COUNTIFS(INDEX(tblCommentary[Date],1):tblCommentary[[#This Row],[Date]],tblCommentary[[#This Row],[Date]]))</f>
        <v/>
      </c>
      <c r="F911" s="63">
        <f>IF(tblCommentary[[#This Row],[Date]]="","",tblCommentary[[#This Row],[Date]]&amp;"|"&amp;tblCommentary[[#This Row],[Seq_Day]])</f>
        <v/>
      </c>
    </row>
    <row r="912">
      <c r="A912" s="54" t="n"/>
      <c r="B912" s="61" t="n"/>
      <c r="C912" s="58" t="n"/>
      <c r="D912" s="58" t="n"/>
      <c r="E912" s="64">
        <f>IF(tblCommentary[[#This Row],[Date]]="","",COUNTIFS(INDEX(tblCommentary[Date],1):tblCommentary[[#This Row],[Date]],tblCommentary[[#This Row],[Date]]))</f>
        <v/>
      </c>
      <c r="F912" s="63">
        <f>IF(tblCommentary[[#This Row],[Date]]="","",tblCommentary[[#This Row],[Date]]&amp;"|"&amp;tblCommentary[[#This Row],[Seq_Day]])</f>
        <v/>
      </c>
    </row>
    <row r="913">
      <c r="A913" s="54" t="n"/>
      <c r="B913" s="61" t="n"/>
      <c r="C913" s="58" t="n"/>
      <c r="D913" s="58" t="n"/>
      <c r="E913" s="64">
        <f>IF(tblCommentary[[#This Row],[Date]]="","",COUNTIFS(INDEX(tblCommentary[Date],1):tblCommentary[[#This Row],[Date]],tblCommentary[[#This Row],[Date]]))</f>
        <v/>
      </c>
      <c r="F913" s="63">
        <f>IF(tblCommentary[[#This Row],[Date]]="","",tblCommentary[[#This Row],[Date]]&amp;"|"&amp;tblCommentary[[#This Row],[Seq_Day]])</f>
        <v/>
      </c>
    </row>
    <row r="914">
      <c r="A914" s="54" t="n"/>
      <c r="B914" s="61" t="n"/>
      <c r="C914" s="58" t="n"/>
      <c r="D914" s="58" t="n"/>
      <c r="E914" s="64">
        <f>IF(tblCommentary[[#This Row],[Date]]="","",COUNTIFS(INDEX(tblCommentary[Date],1):tblCommentary[[#This Row],[Date]],tblCommentary[[#This Row],[Date]]))</f>
        <v/>
      </c>
      <c r="F914" s="63">
        <f>IF(tblCommentary[[#This Row],[Date]]="","",tblCommentary[[#This Row],[Date]]&amp;"|"&amp;tblCommentary[[#This Row],[Seq_Day]])</f>
        <v/>
      </c>
    </row>
    <row r="915">
      <c r="A915" s="54" t="n"/>
      <c r="B915" s="61" t="n"/>
      <c r="C915" s="58" t="n"/>
      <c r="D915" s="58" t="n"/>
      <c r="E915" s="64">
        <f>IF(tblCommentary[[#This Row],[Date]]="","",COUNTIFS(INDEX(tblCommentary[Date],1):tblCommentary[[#This Row],[Date]],tblCommentary[[#This Row],[Date]]))</f>
        <v/>
      </c>
      <c r="F915" s="63">
        <f>IF(tblCommentary[[#This Row],[Date]]="","",tblCommentary[[#This Row],[Date]]&amp;"|"&amp;tblCommentary[[#This Row],[Seq_Day]])</f>
        <v/>
      </c>
    </row>
    <row r="916">
      <c r="A916" s="54" t="n"/>
      <c r="B916" s="61" t="n"/>
      <c r="C916" s="58" t="n"/>
      <c r="D916" s="58" t="n"/>
      <c r="E916" s="64">
        <f>IF(tblCommentary[[#This Row],[Date]]="","",COUNTIFS(INDEX(tblCommentary[Date],1):tblCommentary[[#This Row],[Date]],tblCommentary[[#This Row],[Date]]))</f>
        <v/>
      </c>
      <c r="F916" s="63">
        <f>IF(tblCommentary[[#This Row],[Date]]="","",tblCommentary[[#This Row],[Date]]&amp;"|"&amp;tblCommentary[[#This Row],[Seq_Day]])</f>
        <v/>
      </c>
    </row>
    <row r="917">
      <c r="A917" s="54" t="n"/>
      <c r="B917" s="61" t="n"/>
      <c r="C917" s="58" t="n"/>
      <c r="D917" s="58" t="n"/>
      <c r="E917" s="64">
        <f>IF(tblCommentary[[#This Row],[Date]]="","",COUNTIFS(INDEX(tblCommentary[Date],1):tblCommentary[[#This Row],[Date]],tblCommentary[[#This Row],[Date]]))</f>
        <v/>
      </c>
      <c r="F917" s="63">
        <f>IF(tblCommentary[[#This Row],[Date]]="","",tblCommentary[[#This Row],[Date]]&amp;"|"&amp;tblCommentary[[#This Row],[Seq_Day]])</f>
        <v/>
      </c>
    </row>
    <row r="918">
      <c r="A918" s="54" t="n"/>
      <c r="B918" s="61" t="n"/>
      <c r="C918" s="58" t="n"/>
      <c r="D918" s="58" t="n"/>
      <c r="E918" s="64">
        <f>IF(tblCommentary[[#This Row],[Date]]="","",COUNTIFS(INDEX(tblCommentary[Date],1):tblCommentary[[#This Row],[Date]],tblCommentary[[#This Row],[Date]]))</f>
        <v/>
      </c>
      <c r="F918" s="63">
        <f>IF(tblCommentary[[#This Row],[Date]]="","",tblCommentary[[#This Row],[Date]]&amp;"|"&amp;tblCommentary[[#This Row],[Seq_Day]])</f>
        <v/>
      </c>
    </row>
    <row r="919">
      <c r="A919" s="54" t="n"/>
      <c r="B919" s="61" t="n"/>
      <c r="C919" s="58" t="n"/>
      <c r="D919" s="58" t="n"/>
      <c r="E919" s="64">
        <f>IF(tblCommentary[[#This Row],[Date]]="","",COUNTIFS(INDEX(tblCommentary[Date],1):tblCommentary[[#This Row],[Date]],tblCommentary[[#This Row],[Date]]))</f>
        <v/>
      </c>
      <c r="F919" s="63">
        <f>IF(tblCommentary[[#This Row],[Date]]="","",tblCommentary[[#This Row],[Date]]&amp;"|"&amp;tblCommentary[[#This Row],[Seq_Day]])</f>
        <v/>
      </c>
    </row>
    <row r="920">
      <c r="A920" s="54" t="n"/>
      <c r="B920" s="61" t="n"/>
      <c r="C920" s="58" t="n"/>
      <c r="D920" s="58" t="n"/>
      <c r="E920" s="64">
        <f>IF(tblCommentary[[#This Row],[Date]]="","",COUNTIFS(INDEX(tblCommentary[Date],1):tblCommentary[[#This Row],[Date]],tblCommentary[[#This Row],[Date]]))</f>
        <v/>
      </c>
      <c r="F920" s="63">
        <f>IF(tblCommentary[[#This Row],[Date]]="","",tblCommentary[[#This Row],[Date]]&amp;"|"&amp;tblCommentary[[#This Row],[Seq_Day]])</f>
        <v/>
      </c>
    </row>
    <row r="921">
      <c r="A921" s="54" t="n"/>
      <c r="B921" s="61" t="n"/>
      <c r="C921" s="58" t="n"/>
      <c r="D921" s="58" t="n"/>
      <c r="E921" s="64">
        <f>IF(tblCommentary[[#This Row],[Date]]="","",COUNTIFS(INDEX(tblCommentary[Date],1):tblCommentary[[#This Row],[Date]],tblCommentary[[#This Row],[Date]]))</f>
        <v/>
      </c>
      <c r="F921" s="63">
        <f>IF(tblCommentary[[#This Row],[Date]]="","",tblCommentary[[#This Row],[Date]]&amp;"|"&amp;tblCommentary[[#This Row],[Seq_Day]])</f>
        <v/>
      </c>
    </row>
    <row r="922">
      <c r="A922" s="54" t="n"/>
      <c r="B922" s="61" t="n"/>
      <c r="C922" s="58" t="n"/>
      <c r="D922" s="58" t="n"/>
      <c r="E922" s="64">
        <f>IF(tblCommentary[[#This Row],[Date]]="","",COUNTIFS(INDEX(tblCommentary[Date],1):tblCommentary[[#This Row],[Date]],tblCommentary[[#This Row],[Date]]))</f>
        <v/>
      </c>
      <c r="F922" s="63">
        <f>IF(tblCommentary[[#This Row],[Date]]="","",tblCommentary[[#This Row],[Date]]&amp;"|"&amp;tblCommentary[[#This Row],[Seq_Day]])</f>
        <v/>
      </c>
    </row>
    <row r="923">
      <c r="A923" s="54" t="n"/>
      <c r="B923" s="61" t="n"/>
      <c r="C923" s="58" t="n"/>
      <c r="D923" s="58" t="n"/>
      <c r="E923" s="64">
        <f>IF(tblCommentary[[#This Row],[Date]]="","",COUNTIFS(INDEX(tblCommentary[Date],1):tblCommentary[[#This Row],[Date]],tblCommentary[[#This Row],[Date]]))</f>
        <v/>
      </c>
      <c r="F923" s="63">
        <f>IF(tblCommentary[[#This Row],[Date]]="","",tblCommentary[[#This Row],[Date]]&amp;"|"&amp;tblCommentary[[#This Row],[Seq_Day]])</f>
        <v/>
      </c>
    </row>
    <row r="924">
      <c r="A924" s="54" t="n"/>
      <c r="B924" s="61" t="n"/>
      <c r="C924" s="58" t="n"/>
      <c r="D924" s="58" t="n"/>
      <c r="E924" s="64">
        <f>IF(tblCommentary[[#This Row],[Date]]="","",COUNTIFS(INDEX(tblCommentary[Date],1):tblCommentary[[#This Row],[Date]],tblCommentary[[#This Row],[Date]]))</f>
        <v/>
      </c>
      <c r="F924" s="63">
        <f>IF(tblCommentary[[#This Row],[Date]]="","",tblCommentary[[#This Row],[Date]]&amp;"|"&amp;tblCommentary[[#This Row],[Seq_Day]])</f>
        <v/>
      </c>
    </row>
    <row r="925">
      <c r="A925" s="54" t="n"/>
      <c r="B925" s="61" t="n"/>
      <c r="C925" s="58" t="n"/>
      <c r="D925" s="58" t="n"/>
      <c r="E925" s="64">
        <f>IF(tblCommentary[[#This Row],[Date]]="","",COUNTIFS(INDEX(tblCommentary[Date],1):tblCommentary[[#This Row],[Date]],tblCommentary[[#This Row],[Date]]))</f>
        <v/>
      </c>
      <c r="F925" s="63">
        <f>IF(tblCommentary[[#This Row],[Date]]="","",tblCommentary[[#This Row],[Date]]&amp;"|"&amp;tblCommentary[[#This Row],[Seq_Day]])</f>
        <v/>
      </c>
    </row>
    <row r="926">
      <c r="A926" s="54" t="n"/>
      <c r="B926" s="61" t="n"/>
      <c r="C926" s="58" t="n"/>
      <c r="D926" s="58" t="n"/>
      <c r="E926" s="64">
        <f>IF(tblCommentary[[#This Row],[Date]]="","",COUNTIFS(INDEX(tblCommentary[Date],1):tblCommentary[[#This Row],[Date]],tblCommentary[[#This Row],[Date]]))</f>
        <v/>
      </c>
      <c r="F926" s="63">
        <f>IF(tblCommentary[[#This Row],[Date]]="","",tblCommentary[[#This Row],[Date]]&amp;"|"&amp;tblCommentary[[#This Row],[Seq_Day]])</f>
        <v/>
      </c>
    </row>
    <row r="927">
      <c r="A927" s="54" t="n"/>
      <c r="B927" s="61" t="n"/>
      <c r="C927" s="58" t="n"/>
      <c r="D927" s="58" t="n"/>
      <c r="E927" s="64">
        <f>IF(tblCommentary[[#This Row],[Date]]="","",COUNTIFS(INDEX(tblCommentary[Date],1):tblCommentary[[#This Row],[Date]],tblCommentary[[#This Row],[Date]]))</f>
        <v/>
      </c>
      <c r="F927" s="63">
        <f>IF(tblCommentary[[#This Row],[Date]]="","",tblCommentary[[#This Row],[Date]]&amp;"|"&amp;tblCommentary[[#This Row],[Seq_Day]])</f>
        <v/>
      </c>
    </row>
    <row r="928">
      <c r="A928" s="54" t="n"/>
      <c r="B928" s="61" t="n"/>
      <c r="C928" s="58" t="n"/>
      <c r="D928" s="58" t="n"/>
      <c r="E928" s="64">
        <f>IF(tblCommentary[[#This Row],[Date]]="","",COUNTIFS(INDEX(tblCommentary[Date],1):tblCommentary[[#This Row],[Date]],tblCommentary[[#This Row],[Date]]))</f>
        <v/>
      </c>
      <c r="F928" s="63">
        <f>IF(tblCommentary[[#This Row],[Date]]="","",tblCommentary[[#This Row],[Date]]&amp;"|"&amp;tblCommentary[[#This Row],[Seq_Day]])</f>
        <v/>
      </c>
    </row>
    <row r="929">
      <c r="A929" s="54" t="n"/>
      <c r="B929" s="61" t="n"/>
      <c r="C929" s="58" t="n"/>
      <c r="D929" s="58" t="n"/>
      <c r="E929" s="64">
        <f>IF(tblCommentary[[#This Row],[Date]]="","",COUNTIFS(INDEX(tblCommentary[Date],1):tblCommentary[[#This Row],[Date]],tblCommentary[[#This Row],[Date]]))</f>
        <v/>
      </c>
      <c r="F929" s="63">
        <f>IF(tblCommentary[[#This Row],[Date]]="","",tblCommentary[[#This Row],[Date]]&amp;"|"&amp;tblCommentary[[#This Row],[Seq_Day]])</f>
        <v/>
      </c>
    </row>
    <row r="930">
      <c r="A930" s="54" t="n"/>
      <c r="B930" s="61" t="n"/>
      <c r="C930" s="58" t="n"/>
      <c r="D930" s="58" t="n"/>
      <c r="E930" s="64">
        <f>IF(tblCommentary[[#This Row],[Date]]="","",COUNTIFS(INDEX(tblCommentary[Date],1):tblCommentary[[#This Row],[Date]],tblCommentary[[#This Row],[Date]]))</f>
        <v/>
      </c>
      <c r="F930" s="63">
        <f>IF(tblCommentary[[#This Row],[Date]]="","",tblCommentary[[#This Row],[Date]]&amp;"|"&amp;tblCommentary[[#This Row],[Seq_Day]])</f>
        <v/>
      </c>
    </row>
    <row r="931">
      <c r="A931" s="54" t="n"/>
      <c r="B931" s="61" t="n"/>
      <c r="C931" s="58" t="n"/>
      <c r="D931" s="58" t="n"/>
      <c r="E931" s="64">
        <f>IF(tblCommentary[[#This Row],[Date]]="","",COUNTIFS(INDEX(tblCommentary[Date],1):tblCommentary[[#This Row],[Date]],tblCommentary[[#This Row],[Date]]))</f>
        <v/>
      </c>
      <c r="F931" s="63">
        <f>IF(tblCommentary[[#This Row],[Date]]="","",tblCommentary[[#This Row],[Date]]&amp;"|"&amp;tblCommentary[[#This Row],[Seq_Day]])</f>
        <v/>
      </c>
    </row>
    <row r="932">
      <c r="A932" s="54" t="n"/>
      <c r="B932" s="61" t="n"/>
      <c r="C932" s="58" t="n"/>
      <c r="D932" s="58" t="n"/>
      <c r="E932" s="64">
        <f>IF(tblCommentary[[#This Row],[Date]]="","",COUNTIFS(INDEX(tblCommentary[Date],1):tblCommentary[[#This Row],[Date]],tblCommentary[[#This Row],[Date]]))</f>
        <v/>
      </c>
      <c r="F932" s="63">
        <f>IF(tblCommentary[[#This Row],[Date]]="","",tblCommentary[[#This Row],[Date]]&amp;"|"&amp;tblCommentary[[#This Row],[Seq_Day]])</f>
        <v/>
      </c>
    </row>
    <row r="933">
      <c r="A933" s="54" t="n"/>
      <c r="B933" s="61" t="n"/>
      <c r="C933" s="58" t="n"/>
      <c r="D933" s="58" t="n"/>
      <c r="E933" s="64">
        <f>IF(tblCommentary[[#This Row],[Date]]="","",COUNTIFS(INDEX(tblCommentary[Date],1):tblCommentary[[#This Row],[Date]],tblCommentary[[#This Row],[Date]]))</f>
        <v/>
      </c>
      <c r="F933" s="63">
        <f>IF(tblCommentary[[#This Row],[Date]]="","",tblCommentary[[#This Row],[Date]]&amp;"|"&amp;tblCommentary[[#This Row],[Seq_Day]])</f>
        <v/>
      </c>
    </row>
    <row r="934">
      <c r="A934" s="54" t="n"/>
      <c r="B934" s="61" t="n"/>
      <c r="C934" s="58" t="n"/>
      <c r="D934" s="58" t="n"/>
      <c r="E934" s="64">
        <f>IF(tblCommentary[[#This Row],[Date]]="","",COUNTIFS(INDEX(tblCommentary[Date],1):tblCommentary[[#This Row],[Date]],tblCommentary[[#This Row],[Date]]))</f>
        <v/>
      </c>
      <c r="F934" s="63">
        <f>IF(tblCommentary[[#This Row],[Date]]="","",tblCommentary[[#This Row],[Date]]&amp;"|"&amp;tblCommentary[[#This Row],[Seq_Day]])</f>
        <v/>
      </c>
    </row>
    <row r="935">
      <c r="A935" s="54" t="n"/>
      <c r="B935" s="61" t="n"/>
      <c r="C935" s="58" t="n"/>
      <c r="D935" s="58" t="n"/>
      <c r="E935" s="64">
        <f>IF(tblCommentary[[#This Row],[Date]]="","",COUNTIFS(INDEX(tblCommentary[Date],1):tblCommentary[[#This Row],[Date]],tblCommentary[[#This Row],[Date]]))</f>
        <v/>
      </c>
      <c r="F935" s="63">
        <f>IF(tblCommentary[[#This Row],[Date]]="","",tblCommentary[[#This Row],[Date]]&amp;"|"&amp;tblCommentary[[#This Row],[Seq_Day]])</f>
        <v/>
      </c>
    </row>
    <row r="936">
      <c r="A936" s="54" t="n"/>
      <c r="B936" s="61" t="n"/>
      <c r="C936" s="58" t="n"/>
      <c r="D936" s="58" t="n"/>
      <c r="E936" s="64">
        <f>IF(tblCommentary[[#This Row],[Date]]="","",COUNTIFS(INDEX(tblCommentary[Date],1):tblCommentary[[#This Row],[Date]],tblCommentary[[#This Row],[Date]]))</f>
        <v/>
      </c>
      <c r="F936" s="63">
        <f>IF(tblCommentary[[#This Row],[Date]]="","",tblCommentary[[#This Row],[Date]]&amp;"|"&amp;tblCommentary[[#This Row],[Seq_Day]])</f>
        <v/>
      </c>
    </row>
    <row r="937">
      <c r="A937" s="54" t="n"/>
      <c r="B937" s="61" t="n"/>
      <c r="C937" s="58" t="n"/>
      <c r="D937" s="58" t="n"/>
      <c r="E937" s="64">
        <f>IF(tblCommentary[[#This Row],[Date]]="","",COUNTIFS(INDEX(tblCommentary[Date],1):tblCommentary[[#This Row],[Date]],tblCommentary[[#This Row],[Date]]))</f>
        <v/>
      </c>
      <c r="F937" s="63">
        <f>IF(tblCommentary[[#This Row],[Date]]="","",tblCommentary[[#This Row],[Date]]&amp;"|"&amp;tblCommentary[[#This Row],[Seq_Day]])</f>
        <v/>
      </c>
    </row>
    <row r="938">
      <c r="A938" s="54" t="n"/>
      <c r="B938" s="61" t="n"/>
      <c r="C938" s="58" t="n"/>
      <c r="D938" s="58" t="n"/>
      <c r="E938" s="64">
        <f>IF(tblCommentary[[#This Row],[Date]]="","",COUNTIFS(INDEX(tblCommentary[Date],1):tblCommentary[[#This Row],[Date]],tblCommentary[[#This Row],[Date]]))</f>
        <v/>
      </c>
      <c r="F938" s="63">
        <f>IF(tblCommentary[[#This Row],[Date]]="","",tblCommentary[[#This Row],[Date]]&amp;"|"&amp;tblCommentary[[#This Row],[Seq_Day]])</f>
        <v/>
      </c>
    </row>
    <row r="939">
      <c r="A939" s="54" t="n"/>
      <c r="B939" s="61" t="n"/>
      <c r="C939" s="58" t="n"/>
      <c r="D939" s="58" t="n"/>
      <c r="E939" s="64">
        <f>IF(tblCommentary[[#This Row],[Date]]="","",COUNTIFS(INDEX(tblCommentary[Date],1):tblCommentary[[#This Row],[Date]],tblCommentary[[#This Row],[Date]]))</f>
        <v/>
      </c>
      <c r="F939" s="63">
        <f>IF(tblCommentary[[#This Row],[Date]]="","",tblCommentary[[#This Row],[Date]]&amp;"|"&amp;tblCommentary[[#This Row],[Seq_Day]])</f>
        <v/>
      </c>
    </row>
    <row r="940">
      <c r="A940" s="54" t="n"/>
      <c r="B940" s="61" t="n"/>
      <c r="C940" s="58" t="n"/>
      <c r="D940" s="58" t="n"/>
      <c r="E940" s="64">
        <f>IF(tblCommentary[[#This Row],[Date]]="","",COUNTIFS(INDEX(tblCommentary[Date],1):tblCommentary[[#This Row],[Date]],tblCommentary[[#This Row],[Date]]))</f>
        <v/>
      </c>
      <c r="F940" s="63">
        <f>IF(tblCommentary[[#This Row],[Date]]="","",tblCommentary[[#This Row],[Date]]&amp;"|"&amp;tblCommentary[[#This Row],[Seq_Day]])</f>
        <v/>
      </c>
    </row>
    <row r="941">
      <c r="A941" s="54" t="n"/>
      <c r="B941" s="61" t="n"/>
      <c r="C941" s="58" t="n"/>
      <c r="D941" s="58" t="n"/>
      <c r="E941" s="64">
        <f>IF(tblCommentary[[#This Row],[Date]]="","",COUNTIFS(INDEX(tblCommentary[Date],1):tblCommentary[[#This Row],[Date]],tblCommentary[[#This Row],[Date]]))</f>
        <v/>
      </c>
      <c r="F941" s="63">
        <f>IF(tblCommentary[[#This Row],[Date]]="","",tblCommentary[[#This Row],[Date]]&amp;"|"&amp;tblCommentary[[#This Row],[Seq_Day]])</f>
        <v/>
      </c>
    </row>
    <row r="942">
      <c r="A942" s="54" t="n"/>
      <c r="B942" s="61" t="n"/>
      <c r="C942" s="58" t="n"/>
      <c r="D942" s="58" t="n"/>
      <c r="E942" s="64">
        <f>IF(tblCommentary[[#This Row],[Date]]="","",COUNTIFS(INDEX(tblCommentary[Date],1):tblCommentary[[#This Row],[Date]],tblCommentary[[#This Row],[Date]]))</f>
        <v/>
      </c>
      <c r="F942" s="63">
        <f>IF(tblCommentary[[#This Row],[Date]]="","",tblCommentary[[#This Row],[Date]]&amp;"|"&amp;tblCommentary[[#This Row],[Seq_Day]])</f>
        <v/>
      </c>
    </row>
    <row r="943">
      <c r="A943" s="54" t="n"/>
      <c r="B943" s="61" t="n"/>
      <c r="C943" s="58" t="n"/>
      <c r="D943" s="58" t="n"/>
      <c r="E943" s="64">
        <f>IF(tblCommentary[[#This Row],[Date]]="","",COUNTIFS(INDEX(tblCommentary[Date],1):tblCommentary[[#This Row],[Date]],tblCommentary[[#This Row],[Date]]))</f>
        <v/>
      </c>
      <c r="F943" s="63">
        <f>IF(tblCommentary[[#This Row],[Date]]="","",tblCommentary[[#This Row],[Date]]&amp;"|"&amp;tblCommentary[[#This Row],[Seq_Day]])</f>
        <v/>
      </c>
    </row>
    <row r="944">
      <c r="A944" s="54" t="n"/>
      <c r="B944" s="61" t="n"/>
      <c r="C944" s="58" t="n"/>
      <c r="D944" s="58" t="n"/>
      <c r="E944" s="64">
        <f>IF(tblCommentary[[#This Row],[Date]]="","",COUNTIFS(INDEX(tblCommentary[Date],1):tblCommentary[[#This Row],[Date]],tblCommentary[[#This Row],[Date]]))</f>
        <v/>
      </c>
      <c r="F944" s="63">
        <f>IF(tblCommentary[[#This Row],[Date]]="","",tblCommentary[[#This Row],[Date]]&amp;"|"&amp;tblCommentary[[#This Row],[Seq_Day]])</f>
        <v/>
      </c>
    </row>
    <row r="945">
      <c r="A945" s="54" t="n"/>
      <c r="B945" s="61" t="n"/>
      <c r="C945" s="58" t="n"/>
      <c r="D945" s="58" t="n"/>
      <c r="E945" s="64">
        <f>IF(tblCommentary[[#This Row],[Date]]="","",COUNTIFS(INDEX(tblCommentary[Date],1):tblCommentary[[#This Row],[Date]],tblCommentary[[#This Row],[Date]]))</f>
        <v/>
      </c>
      <c r="F945" s="63">
        <f>IF(tblCommentary[[#This Row],[Date]]="","",tblCommentary[[#This Row],[Date]]&amp;"|"&amp;tblCommentary[[#This Row],[Seq_Day]])</f>
        <v/>
      </c>
    </row>
    <row r="946">
      <c r="A946" s="54" t="n"/>
      <c r="B946" s="61" t="n"/>
      <c r="C946" s="58" t="n"/>
      <c r="D946" s="58" t="n"/>
      <c r="E946" s="64">
        <f>IF(tblCommentary[[#This Row],[Date]]="","",COUNTIFS(INDEX(tblCommentary[Date],1):tblCommentary[[#This Row],[Date]],tblCommentary[[#This Row],[Date]]))</f>
        <v/>
      </c>
      <c r="F946" s="63">
        <f>IF(tblCommentary[[#This Row],[Date]]="","",tblCommentary[[#This Row],[Date]]&amp;"|"&amp;tblCommentary[[#This Row],[Seq_Day]])</f>
        <v/>
      </c>
    </row>
    <row r="947">
      <c r="A947" s="54" t="n"/>
      <c r="B947" s="61" t="n"/>
      <c r="C947" s="58" t="n"/>
      <c r="D947" s="58" t="n"/>
      <c r="E947" s="64">
        <f>IF(tblCommentary[[#This Row],[Date]]="","",COUNTIFS(INDEX(tblCommentary[Date],1):tblCommentary[[#This Row],[Date]],tblCommentary[[#This Row],[Date]]))</f>
        <v/>
      </c>
      <c r="F947" s="63">
        <f>IF(tblCommentary[[#This Row],[Date]]="","",tblCommentary[[#This Row],[Date]]&amp;"|"&amp;tblCommentary[[#This Row],[Seq_Day]])</f>
        <v/>
      </c>
    </row>
    <row r="948">
      <c r="A948" s="54" t="n"/>
      <c r="B948" s="61" t="n"/>
      <c r="C948" s="58" t="n"/>
      <c r="D948" s="58" t="n"/>
      <c r="E948" s="64">
        <f>IF(tblCommentary[[#This Row],[Date]]="","",COUNTIFS(INDEX(tblCommentary[Date],1):tblCommentary[[#This Row],[Date]],tblCommentary[[#This Row],[Date]]))</f>
        <v/>
      </c>
      <c r="F948" s="63">
        <f>IF(tblCommentary[[#This Row],[Date]]="","",tblCommentary[[#This Row],[Date]]&amp;"|"&amp;tblCommentary[[#This Row],[Seq_Day]])</f>
        <v/>
      </c>
    </row>
    <row r="949">
      <c r="A949" s="54" t="n"/>
      <c r="B949" s="61" t="n"/>
      <c r="C949" s="58" t="n"/>
      <c r="D949" s="58" t="n"/>
      <c r="E949" s="64">
        <f>IF(tblCommentary[[#This Row],[Date]]="","",COUNTIFS(INDEX(tblCommentary[Date],1):tblCommentary[[#This Row],[Date]],tblCommentary[[#This Row],[Date]]))</f>
        <v/>
      </c>
      <c r="F949" s="63">
        <f>IF(tblCommentary[[#This Row],[Date]]="","",tblCommentary[[#This Row],[Date]]&amp;"|"&amp;tblCommentary[[#This Row],[Seq_Day]])</f>
        <v/>
      </c>
    </row>
    <row r="950">
      <c r="A950" s="54" t="n"/>
      <c r="B950" s="61" t="n"/>
      <c r="C950" s="58" t="n"/>
      <c r="D950" s="58" t="n"/>
      <c r="E950" s="64">
        <f>IF(tblCommentary[[#This Row],[Date]]="","",COUNTIFS(INDEX(tblCommentary[Date],1):tblCommentary[[#This Row],[Date]],tblCommentary[[#This Row],[Date]]))</f>
        <v/>
      </c>
      <c r="F950" s="63">
        <f>IF(tblCommentary[[#This Row],[Date]]="","",tblCommentary[[#This Row],[Date]]&amp;"|"&amp;tblCommentary[[#This Row],[Seq_Day]])</f>
        <v/>
      </c>
    </row>
    <row r="951">
      <c r="A951" s="54" t="n"/>
      <c r="B951" s="61" t="n"/>
      <c r="C951" s="58" t="n"/>
      <c r="D951" s="58" t="n"/>
      <c r="E951" s="64">
        <f>IF(tblCommentary[[#This Row],[Date]]="","",COUNTIFS(INDEX(tblCommentary[Date],1):tblCommentary[[#This Row],[Date]],tblCommentary[[#This Row],[Date]]))</f>
        <v/>
      </c>
      <c r="F951" s="63">
        <f>IF(tblCommentary[[#This Row],[Date]]="","",tblCommentary[[#This Row],[Date]]&amp;"|"&amp;tblCommentary[[#This Row],[Seq_Day]])</f>
        <v/>
      </c>
    </row>
    <row r="952">
      <c r="A952" s="54" t="n"/>
      <c r="B952" s="61" t="n"/>
      <c r="C952" s="58" t="n"/>
      <c r="D952" s="58" t="n"/>
      <c r="E952" s="64">
        <f>IF(tblCommentary[[#This Row],[Date]]="","",COUNTIFS(INDEX(tblCommentary[Date],1):tblCommentary[[#This Row],[Date]],tblCommentary[[#This Row],[Date]]))</f>
        <v/>
      </c>
      <c r="F952" s="63">
        <f>IF(tblCommentary[[#This Row],[Date]]="","",tblCommentary[[#This Row],[Date]]&amp;"|"&amp;tblCommentary[[#This Row],[Seq_Day]])</f>
        <v/>
      </c>
    </row>
    <row r="953">
      <c r="A953" s="54" t="n"/>
      <c r="B953" s="61" t="n"/>
      <c r="C953" s="58" t="n"/>
      <c r="D953" s="58" t="n"/>
      <c r="E953" s="64">
        <f>IF(tblCommentary[[#This Row],[Date]]="","",COUNTIFS(INDEX(tblCommentary[Date],1):tblCommentary[[#This Row],[Date]],tblCommentary[[#This Row],[Date]]))</f>
        <v/>
      </c>
      <c r="F953" s="63">
        <f>IF(tblCommentary[[#This Row],[Date]]="","",tblCommentary[[#This Row],[Date]]&amp;"|"&amp;tblCommentary[[#This Row],[Seq_Day]])</f>
        <v/>
      </c>
    </row>
    <row r="954">
      <c r="A954" s="54" t="n"/>
      <c r="B954" s="61" t="n"/>
      <c r="C954" s="58" t="n"/>
      <c r="D954" s="58" t="n"/>
      <c r="E954" s="64">
        <f>IF(tblCommentary[[#This Row],[Date]]="","",COUNTIFS(INDEX(tblCommentary[Date],1):tblCommentary[[#This Row],[Date]],tblCommentary[[#This Row],[Date]]))</f>
        <v/>
      </c>
      <c r="F954" s="63">
        <f>IF(tblCommentary[[#This Row],[Date]]="","",tblCommentary[[#This Row],[Date]]&amp;"|"&amp;tblCommentary[[#This Row],[Seq_Day]])</f>
        <v/>
      </c>
    </row>
    <row r="955">
      <c r="A955" s="54" t="n"/>
      <c r="B955" s="61" t="n"/>
      <c r="C955" s="58" t="n"/>
      <c r="D955" s="58" t="n"/>
      <c r="E955" s="64">
        <f>IF(tblCommentary[[#This Row],[Date]]="","",COUNTIFS(INDEX(tblCommentary[Date],1):tblCommentary[[#This Row],[Date]],tblCommentary[[#This Row],[Date]]))</f>
        <v/>
      </c>
      <c r="F955" s="63">
        <f>IF(tblCommentary[[#This Row],[Date]]="","",tblCommentary[[#This Row],[Date]]&amp;"|"&amp;tblCommentary[[#This Row],[Seq_Day]])</f>
        <v/>
      </c>
    </row>
    <row r="956">
      <c r="A956" s="54" t="n"/>
      <c r="B956" s="61" t="n"/>
      <c r="C956" s="58" t="n"/>
      <c r="D956" s="58" t="n"/>
      <c r="E956" s="64">
        <f>IF(tblCommentary[[#This Row],[Date]]="","",COUNTIFS(INDEX(tblCommentary[Date],1):tblCommentary[[#This Row],[Date]],tblCommentary[[#This Row],[Date]]))</f>
        <v/>
      </c>
      <c r="F956" s="63">
        <f>IF(tblCommentary[[#This Row],[Date]]="","",tblCommentary[[#This Row],[Date]]&amp;"|"&amp;tblCommentary[[#This Row],[Seq_Day]])</f>
        <v/>
      </c>
    </row>
    <row r="957">
      <c r="A957" s="54" t="n"/>
      <c r="B957" s="61" t="n"/>
      <c r="C957" s="58" t="n"/>
      <c r="D957" s="58" t="n"/>
      <c r="E957" s="64">
        <f>IF(tblCommentary[[#This Row],[Date]]="","",COUNTIFS(INDEX(tblCommentary[Date],1):tblCommentary[[#This Row],[Date]],tblCommentary[[#This Row],[Date]]))</f>
        <v/>
      </c>
      <c r="F957" s="63">
        <f>IF(tblCommentary[[#This Row],[Date]]="","",tblCommentary[[#This Row],[Date]]&amp;"|"&amp;tblCommentary[[#This Row],[Seq_Day]])</f>
        <v/>
      </c>
    </row>
    <row r="958">
      <c r="A958" s="54" t="n"/>
      <c r="B958" s="61" t="n"/>
      <c r="C958" s="58" t="n"/>
      <c r="D958" s="58" t="n"/>
      <c r="E958" s="64">
        <f>IF(tblCommentary[[#This Row],[Date]]="","",COUNTIFS(INDEX(tblCommentary[Date],1):tblCommentary[[#This Row],[Date]],tblCommentary[[#This Row],[Date]]))</f>
        <v/>
      </c>
      <c r="F958" s="63">
        <f>IF(tblCommentary[[#This Row],[Date]]="","",tblCommentary[[#This Row],[Date]]&amp;"|"&amp;tblCommentary[[#This Row],[Seq_Day]])</f>
        <v/>
      </c>
    </row>
    <row r="959">
      <c r="A959" s="54" t="n"/>
      <c r="B959" s="61" t="n"/>
      <c r="C959" s="58" t="n"/>
      <c r="D959" s="58" t="n"/>
      <c r="E959" s="64">
        <f>IF(tblCommentary[[#This Row],[Date]]="","",COUNTIFS(INDEX(tblCommentary[Date],1):tblCommentary[[#This Row],[Date]],tblCommentary[[#This Row],[Date]]))</f>
        <v/>
      </c>
      <c r="F959" s="63">
        <f>IF(tblCommentary[[#This Row],[Date]]="","",tblCommentary[[#This Row],[Date]]&amp;"|"&amp;tblCommentary[[#This Row],[Seq_Day]])</f>
        <v/>
      </c>
    </row>
    <row r="960">
      <c r="A960" s="54" t="n"/>
      <c r="B960" s="61" t="n"/>
      <c r="C960" s="58" t="n"/>
      <c r="D960" s="58" t="n"/>
      <c r="E960" s="64">
        <f>IF(tblCommentary[[#This Row],[Date]]="","",COUNTIFS(INDEX(tblCommentary[Date],1):tblCommentary[[#This Row],[Date]],tblCommentary[[#This Row],[Date]]))</f>
        <v/>
      </c>
      <c r="F960" s="63">
        <f>IF(tblCommentary[[#This Row],[Date]]="","",tblCommentary[[#This Row],[Date]]&amp;"|"&amp;tblCommentary[[#This Row],[Seq_Day]])</f>
        <v/>
      </c>
    </row>
    <row r="961">
      <c r="A961" s="54" t="n"/>
      <c r="B961" s="61" t="n"/>
      <c r="C961" s="58" t="n"/>
      <c r="D961" s="58" t="n"/>
      <c r="E961" s="64">
        <f>IF(tblCommentary[[#This Row],[Date]]="","",COUNTIFS(INDEX(tblCommentary[Date],1):tblCommentary[[#This Row],[Date]],tblCommentary[[#This Row],[Date]]))</f>
        <v/>
      </c>
      <c r="F961" s="63">
        <f>IF(tblCommentary[[#This Row],[Date]]="","",tblCommentary[[#This Row],[Date]]&amp;"|"&amp;tblCommentary[[#This Row],[Seq_Day]])</f>
        <v/>
      </c>
    </row>
    <row r="962">
      <c r="A962" s="54" t="n"/>
      <c r="B962" s="61" t="n"/>
      <c r="C962" s="58" t="n"/>
      <c r="D962" s="58" t="n"/>
      <c r="E962" s="64">
        <f>IF(tblCommentary[[#This Row],[Date]]="","",COUNTIFS(INDEX(tblCommentary[Date],1):tblCommentary[[#This Row],[Date]],tblCommentary[[#This Row],[Date]]))</f>
        <v/>
      </c>
      <c r="F962" s="63">
        <f>IF(tblCommentary[[#This Row],[Date]]="","",tblCommentary[[#This Row],[Date]]&amp;"|"&amp;tblCommentary[[#This Row],[Seq_Day]])</f>
        <v/>
      </c>
    </row>
    <row r="963">
      <c r="A963" s="54" t="n"/>
      <c r="B963" s="61" t="n"/>
      <c r="C963" s="58" t="n"/>
      <c r="D963" s="58" t="n"/>
      <c r="E963" s="64">
        <f>IF(tblCommentary[[#This Row],[Date]]="","",COUNTIFS(INDEX(tblCommentary[Date],1):tblCommentary[[#This Row],[Date]],tblCommentary[[#This Row],[Date]]))</f>
        <v/>
      </c>
      <c r="F963" s="63">
        <f>IF(tblCommentary[[#This Row],[Date]]="","",tblCommentary[[#This Row],[Date]]&amp;"|"&amp;tblCommentary[[#This Row],[Seq_Day]])</f>
        <v/>
      </c>
    </row>
    <row r="964">
      <c r="A964" s="54" t="n"/>
      <c r="B964" s="61" t="n"/>
      <c r="C964" s="58" t="n"/>
      <c r="D964" s="58" t="n"/>
      <c r="E964" s="64">
        <f>IF(tblCommentary[[#This Row],[Date]]="","",COUNTIFS(INDEX(tblCommentary[Date],1):tblCommentary[[#This Row],[Date]],tblCommentary[[#This Row],[Date]]))</f>
        <v/>
      </c>
      <c r="F964" s="63">
        <f>IF(tblCommentary[[#This Row],[Date]]="","",tblCommentary[[#This Row],[Date]]&amp;"|"&amp;tblCommentary[[#This Row],[Seq_Day]])</f>
        <v/>
      </c>
    </row>
    <row r="965">
      <c r="A965" s="54" t="n"/>
      <c r="B965" s="61" t="n"/>
      <c r="C965" s="58" t="n"/>
      <c r="D965" s="58" t="n"/>
      <c r="E965" s="64">
        <f>IF(tblCommentary[[#This Row],[Date]]="","",COUNTIFS(INDEX(tblCommentary[Date],1):tblCommentary[[#This Row],[Date]],tblCommentary[[#This Row],[Date]]))</f>
        <v/>
      </c>
      <c r="F965" s="63">
        <f>IF(tblCommentary[[#This Row],[Date]]="","",tblCommentary[[#This Row],[Date]]&amp;"|"&amp;tblCommentary[[#This Row],[Seq_Day]])</f>
        <v/>
      </c>
    </row>
    <row r="966">
      <c r="A966" s="54" t="n"/>
      <c r="B966" s="61" t="n"/>
      <c r="C966" s="58" t="n"/>
      <c r="D966" s="58" t="n"/>
      <c r="E966" s="64">
        <f>IF(tblCommentary[[#This Row],[Date]]="","",COUNTIFS(INDEX(tblCommentary[Date],1):tblCommentary[[#This Row],[Date]],tblCommentary[[#This Row],[Date]]))</f>
        <v/>
      </c>
      <c r="F966" s="63">
        <f>IF(tblCommentary[[#This Row],[Date]]="","",tblCommentary[[#This Row],[Date]]&amp;"|"&amp;tblCommentary[[#This Row],[Seq_Day]])</f>
        <v/>
      </c>
    </row>
    <row r="967">
      <c r="A967" s="54" t="n"/>
      <c r="B967" s="61" t="n"/>
      <c r="C967" s="58" t="n"/>
      <c r="D967" s="58" t="n"/>
      <c r="E967" s="64">
        <f>IF(tblCommentary[[#This Row],[Date]]="","",COUNTIFS(INDEX(tblCommentary[Date],1):tblCommentary[[#This Row],[Date]],tblCommentary[[#This Row],[Date]]))</f>
        <v/>
      </c>
      <c r="F967" s="63">
        <f>IF(tblCommentary[[#This Row],[Date]]="","",tblCommentary[[#This Row],[Date]]&amp;"|"&amp;tblCommentary[[#This Row],[Seq_Day]])</f>
        <v/>
      </c>
    </row>
    <row r="968">
      <c r="A968" s="54" t="n"/>
      <c r="B968" s="61" t="n"/>
      <c r="C968" s="58" t="n"/>
      <c r="D968" s="58" t="n"/>
      <c r="E968" s="64">
        <f>IF(tblCommentary[[#This Row],[Date]]="","",COUNTIFS(INDEX(tblCommentary[Date],1):tblCommentary[[#This Row],[Date]],tblCommentary[[#This Row],[Date]]))</f>
        <v/>
      </c>
      <c r="F968" s="63">
        <f>IF(tblCommentary[[#This Row],[Date]]="","",tblCommentary[[#This Row],[Date]]&amp;"|"&amp;tblCommentary[[#This Row],[Seq_Day]])</f>
        <v/>
      </c>
    </row>
    <row r="969">
      <c r="A969" s="54" t="n"/>
      <c r="B969" s="61" t="n"/>
      <c r="C969" s="58" t="n"/>
      <c r="D969" s="58" t="n"/>
      <c r="E969" s="64">
        <f>IF(tblCommentary[[#This Row],[Date]]="","",COUNTIFS(INDEX(tblCommentary[Date],1):tblCommentary[[#This Row],[Date]],tblCommentary[[#This Row],[Date]]))</f>
        <v/>
      </c>
      <c r="F969" s="63">
        <f>IF(tblCommentary[[#This Row],[Date]]="","",tblCommentary[[#This Row],[Date]]&amp;"|"&amp;tblCommentary[[#This Row],[Seq_Day]])</f>
        <v/>
      </c>
    </row>
    <row r="970">
      <c r="A970" s="54" t="n"/>
      <c r="B970" s="61" t="n"/>
      <c r="C970" s="58" t="n"/>
      <c r="D970" s="58" t="n"/>
      <c r="E970" s="64">
        <f>IF(tblCommentary[[#This Row],[Date]]="","",COUNTIFS(INDEX(tblCommentary[Date],1):tblCommentary[[#This Row],[Date]],tblCommentary[[#This Row],[Date]]))</f>
        <v/>
      </c>
      <c r="F970" s="63">
        <f>IF(tblCommentary[[#This Row],[Date]]="","",tblCommentary[[#This Row],[Date]]&amp;"|"&amp;tblCommentary[[#This Row],[Seq_Day]])</f>
        <v/>
      </c>
    </row>
    <row r="971">
      <c r="A971" s="54" t="n"/>
      <c r="B971" s="61" t="n"/>
      <c r="C971" s="58" t="n"/>
      <c r="D971" s="58" t="n"/>
      <c r="E971" s="64">
        <f>IF(tblCommentary[[#This Row],[Date]]="","",COUNTIFS(INDEX(tblCommentary[Date],1):tblCommentary[[#This Row],[Date]],tblCommentary[[#This Row],[Date]]))</f>
        <v/>
      </c>
      <c r="F971" s="63">
        <f>IF(tblCommentary[[#This Row],[Date]]="","",tblCommentary[[#This Row],[Date]]&amp;"|"&amp;tblCommentary[[#This Row],[Seq_Day]])</f>
        <v/>
      </c>
    </row>
    <row r="972">
      <c r="A972" s="54" t="n"/>
      <c r="B972" s="61" t="n"/>
      <c r="C972" s="58" t="n"/>
      <c r="D972" s="58" t="n"/>
      <c r="E972" s="64">
        <f>IF(tblCommentary[[#This Row],[Date]]="","",COUNTIFS(INDEX(tblCommentary[Date],1):tblCommentary[[#This Row],[Date]],tblCommentary[[#This Row],[Date]]))</f>
        <v/>
      </c>
      <c r="F972" s="63">
        <f>IF(tblCommentary[[#This Row],[Date]]="","",tblCommentary[[#This Row],[Date]]&amp;"|"&amp;tblCommentary[[#This Row],[Seq_Day]])</f>
        <v/>
      </c>
    </row>
    <row r="973">
      <c r="A973" s="54" t="n"/>
      <c r="B973" s="61" t="n"/>
      <c r="C973" s="58" t="n"/>
      <c r="D973" s="58" t="n"/>
      <c r="E973" s="64">
        <f>IF(tblCommentary[[#This Row],[Date]]="","",COUNTIFS(INDEX(tblCommentary[Date],1):tblCommentary[[#This Row],[Date]],tblCommentary[[#This Row],[Date]]))</f>
        <v/>
      </c>
      <c r="F973" s="63">
        <f>IF(tblCommentary[[#This Row],[Date]]="","",tblCommentary[[#This Row],[Date]]&amp;"|"&amp;tblCommentary[[#This Row],[Seq_Day]])</f>
        <v/>
      </c>
    </row>
    <row r="974">
      <c r="A974" s="54" t="n"/>
      <c r="B974" s="61" t="n"/>
      <c r="C974" s="58" t="n"/>
      <c r="D974" s="58" t="n"/>
      <c r="E974" s="64">
        <f>IF(tblCommentary[[#This Row],[Date]]="","",COUNTIFS(INDEX(tblCommentary[Date],1):tblCommentary[[#This Row],[Date]],tblCommentary[[#This Row],[Date]]))</f>
        <v/>
      </c>
      <c r="F974" s="63">
        <f>IF(tblCommentary[[#This Row],[Date]]="","",tblCommentary[[#This Row],[Date]]&amp;"|"&amp;tblCommentary[[#This Row],[Seq_Day]])</f>
        <v/>
      </c>
    </row>
    <row r="975">
      <c r="A975" s="54" t="n"/>
      <c r="B975" s="61" t="n"/>
      <c r="C975" s="58" t="n"/>
      <c r="D975" s="58" t="n"/>
      <c r="E975" s="64">
        <f>IF(tblCommentary[[#This Row],[Date]]="","",COUNTIFS(INDEX(tblCommentary[Date],1):tblCommentary[[#This Row],[Date]],tblCommentary[[#This Row],[Date]]))</f>
        <v/>
      </c>
      <c r="F975" s="63">
        <f>IF(tblCommentary[[#This Row],[Date]]="","",tblCommentary[[#This Row],[Date]]&amp;"|"&amp;tblCommentary[[#This Row],[Seq_Day]])</f>
        <v/>
      </c>
    </row>
    <row r="976">
      <c r="A976" s="54" t="n"/>
      <c r="B976" s="61" t="n"/>
      <c r="C976" s="58" t="n"/>
      <c r="D976" s="58" t="n"/>
      <c r="E976" s="64">
        <f>IF(tblCommentary[[#This Row],[Date]]="","",COUNTIFS(INDEX(tblCommentary[Date],1):tblCommentary[[#This Row],[Date]],tblCommentary[[#This Row],[Date]]))</f>
        <v/>
      </c>
      <c r="F976" s="63">
        <f>IF(tblCommentary[[#This Row],[Date]]="","",tblCommentary[[#This Row],[Date]]&amp;"|"&amp;tblCommentary[[#This Row],[Seq_Day]])</f>
        <v/>
      </c>
    </row>
    <row r="977">
      <c r="A977" s="54" t="n"/>
      <c r="B977" s="61" t="n"/>
      <c r="C977" s="58" t="n"/>
      <c r="D977" s="58" t="n"/>
      <c r="E977" s="64">
        <f>IF(tblCommentary[[#This Row],[Date]]="","",COUNTIFS(INDEX(tblCommentary[Date],1):tblCommentary[[#This Row],[Date]],tblCommentary[[#This Row],[Date]]))</f>
        <v/>
      </c>
      <c r="F977" s="63">
        <f>IF(tblCommentary[[#This Row],[Date]]="","",tblCommentary[[#This Row],[Date]]&amp;"|"&amp;tblCommentary[[#This Row],[Seq_Day]])</f>
        <v/>
      </c>
    </row>
    <row r="978">
      <c r="A978" s="54" t="n"/>
      <c r="B978" s="61" t="n"/>
      <c r="C978" s="58" t="n"/>
      <c r="D978" s="58" t="n"/>
      <c r="E978" s="64">
        <f>IF(tblCommentary[[#This Row],[Date]]="","",COUNTIFS(INDEX(tblCommentary[Date],1):tblCommentary[[#This Row],[Date]],tblCommentary[[#This Row],[Date]]))</f>
        <v/>
      </c>
      <c r="F978" s="63">
        <f>IF(tblCommentary[[#This Row],[Date]]="","",tblCommentary[[#This Row],[Date]]&amp;"|"&amp;tblCommentary[[#This Row],[Seq_Day]])</f>
        <v/>
      </c>
    </row>
    <row r="979">
      <c r="A979" s="54" t="n"/>
      <c r="B979" s="61" t="n"/>
      <c r="C979" s="58" t="n"/>
      <c r="D979" s="58" t="n"/>
      <c r="E979" s="64">
        <f>IF(tblCommentary[[#This Row],[Date]]="","",COUNTIFS(INDEX(tblCommentary[Date],1):tblCommentary[[#This Row],[Date]],tblCommentary[[#This Row],[Date]]))</f>
        <v/>
      </c>
      <c r="F979" s="63">
        <f>IF(tblCommentary[[#This Row],[Date]]="","",tblCommentary[[#This Row],[Date]]&amp;"|"&amp;tblCommentary[[#This Row],[Seq_Day]])</f>
        <v/>
      </c>
    </row>
    <row r="980">
      <c r="A980" s="54" t="n"/>
      <c r="B980" s="61" t="n"/>
      <c r="C980" s="58" t="n"/>
      <c r="D980" s="58" t="n"/>
      <c r="E980" s="64">
        <f>IF(tblCommentary[[#This Row],[Date]]="","",COUNTIFS(INDEX(tblCommentary[Date],1):tblCommentary[[#This Row],[Date]],tblCommentary[[#This Row],[Date]]))</f>
        <v/>
      </c>
      <c r="F980" s="63">
        <f>IF(tblCommentary[[#This Row],[Date]]="","",tblCommentary[[#This Row],[Date]]&amp;"|"&amp;tblCommentary[[#This Row],[Seq_Day]])</f>
        <v/>
      </c>
    </row>
    <row r="981">
      <c r="A981" s="54" t="n"/>
      <c r="B981" s="61" t="n"/>
      <c r="C981" s="58" t="n"/>
      <c r="D981" s="58" t="n"/>
      <c r="E981" s="64">
        <f>IF(tblCommentary[[#This Row],[Date]]="","",COUNTIFS(INDEX(tblCommentary[Date],1):tblCommentary[[#This Row],[Date]],tblCommentary[[#This Row],[Date]]))</f>
        <v/>
      </c>
      <c r="F981" s="63">
        <f>IF(tblCommentary[[#This Row],[Date]]="","",tblCommentary[[#This Row],[Date]]&amp;"|"&amp;tblCommentary[[#This Row],[Seq_Day]])</f>
        <v/>
      </c>
    </row>
    <row r="982">
      <c r="A982" s="54" t="n"/>
      <c r="B982" s="61" t="n"/>
      <c r="C982" s="58" t="n"/>
      <c r="D982" s="58" t="n"/>
      <c r="E982" s="64">
        <f>IF(tblCommentary[[#This Row],[Date]]="","",COUNTIFS(INDEX(tblCommentary[Date],1):tblCommentary[[#This Row],[Date]],tblCommentary[[#This Row],[Date]]))</f>
        <v/>
      </c>
      <c r="F982" s="63">
        <f>IF(tblCommentary[[#This Row],[Date]]="","",tblCommentary[[#This Row],[Date]]&amp;"|"&amp;tblCommentary[[#This Row],[Seq_Day]])</f>
        <v/>
      </c>
    </row>
    <row r="983">
      <c r="A983" s="54" t="n"/>
      <c r="B983" s="61" t="n"/>
      <c r="C983" s="58" t="n"/>
      <c r="D983" s="58" t="n"/>
      <c r="E983" s="64">
        <f>IF(tblCommentary[[#This Row],[Date]]="","",COUNTIFS(INDEX(tblCommentary[Date],1):tblCommentary[[#This Row],[Date]],tblCommentary[[#This Row],[Date]]))</f>
        <v/>
      </c>
      <c r="F983" s="63">
        <f>IF(tblCommentary[[#This Row],[Date]]="","",tblCommentary[[#This Row],[Date]]&amp;"|"&amp;tblCommentary[[#This Row],[Seq_Day]])</f>
        <v/>
      </c>
    </row>
    <row r="984">
      <c r="A984" s="54" t="n"/>
      <c r="B984" s="61" t="n"/>
      <c r="C984" s="58" t="n"/>
      <c r="D984" s="58" t="n"/>
      <c r="E984" s="64">
        <f>IF(tblCommentary[[#This Row],[Date]]="","",COUNTIFS(INDEX(tblCommentary[Date],1):tblCommentary[[#This Row],[Date]],tblCommentary[[#This Row],[Date]]))</f>
        <v/>
      </c>
      <c r="F984" s="63">
        <f>IF(tblCommentary[[#This Row],[Date]]="","",tblCommentary[[#This Row],[Date]]&amp;"|"&amp;tblCommentary[[#This Row],[Seq_Day]])</f>
        <v/>
      </c>
    </row>
    <row r="985">
      <c r="A985" s="54" t="n"/>
      <c r="B985" s="61" t="n"/>
      <c r="C985" s="58" t="n"/>
      <c r="D985" s="58" t="n"/>
      <c r="E985" s="64">
        <f>IF(tblCommentary[[#This Row],[Date]]="","",COUNTIFS(INDEX(tblCommentary[Date],1):tblCommentary[[#This Row],[Date]],tblCommentary[[#This Row],[Date]]))</f>
        <v/>
      </c>
      <c r="F985" s="63">
        <f>IF(tblCommentary[[#This Row],[Date]]="","",tblCommentary[[#This Row],[Date]]&amp;"|"&amp;tblCommentary[[#This Row],[Seq_Day]])</f>
        <v/>
      </c>
    </row>
    <row r="986">
      <c r="A986" s="54" t="n"/>
      <c r="B986" s="61" t="n"/>
      <c r="C986" s="58" t="n"/>
      <c r="D986" s="58" t="n"/>
      <c r="E986" s="64">
        <f>IF(tblCommentary[[#This Row],[Date]]="","",COUNTIFS(INDEX(tblCommentary[Date],1):tblCommentary[[#This Row],[Date]],tblCommentary[[#This Row],[Date]]))</f>
        <v/>
      </c>
      <c r="F986" s="63">
        <f>IF(tblCommentary[[#This Row],[Date]]="","",tblCommentary[[#This Row],[Date]]&amp;"|"&amp;tblCommentary[[#This Row],[Seq_Day]])</f>
        <v/>
      </c>
    </row>
    <row r="987">
      <c r="A987" s="54" t="n"/>
      <c r="B987" s="61" t="n"/>
      <c r="C987" s="58" t="n"/>
      <c r="D987" s="58" t="n"/>
      <c r="E987" s="64">
        <f>IF(tblCommentary[[#This Row],[Date]]="","",COUNTIFS(INDEX(tblCommentary[Date],1):tblCommentary[[#This Row],[Date]],tblCommentary[[#This Row],[Date]]))</f>
        <v/>
      </c>
      <c r="F987" s="63">
        <f>IF(tblCommentary[[#This Row],[Date]]="","",tblCommentary[[#This Row],[Date]]&amp;"|"&amp;tblCommentary[[#This Row],[Seq_Day]])</f>
        <v/>
      </c>
    </row>
    <row r="988">
      <c r="A988" s="54" t="n"/>
      <c r="B988" s="61" t="n"/>
      <c r="C988" s="58" t="n"/>
      <c r="D988" s="58" t="n"/>
      <c r="E988" s="64">
        <f>IF(tblCommentary[[#This Row],[Date]]="","",COUNTIFS(INDEX(tblCommentary[Date],1):tblCommentary[[#This Row],[Date]],tblCommentary[[#This Row],[Date]]))</f>
        <v/>
      </c>
      <c r="F988" s="63">
        <f>IF(tblCommentary[[#This Row],[Date]]="","",tblCommentary[[#This Row],[Date]]&amp;"|"&amp;tblCommentary[[#This Row],[Seq_Day]])</f>
        <v/>
      </c>
    </row>
    <row r="989">
      <c r="A989" s="54" t="n"/>
      <c r="B989" s="61" t="n"/>
      <c r="C989" s="58" t="n"/>
      <c r="D989" s="58" t="n"/>
      <c r="E989" s="64">
        <f>IF(tblCommentary[[#This Row],[Date]]="","",COUNTIFS(INDEX(tblCommentary[Date],1):tblCommentary[[#This Row],[Date]],tblCommentary[[#This Row],[Date]]))</f>
        <v/>
      </c>
      <c r="F989" s="63">
        <f>IF(tblCommentary[[#This Row],[Date]]="","",tblCommentary[[#This Row],[Date]]&amp;"|"&amp;tblCommentary[[#This Row],[Seq_Day]])</f>
        <v/>
      </c>
    </row>
    <row r="990">
      <c r="A990" s="54" t="n"/>
      <c r="B990" s="61" t="n"/>
      <c r="C990" s="58" t="n"/>
      <c r="D990" s="58" t="n"/>
      <c r="E990" s="64">
        <f>IF(tblCommentary[[#This Row],[Date]]="","",COUNTIFS(INDEX(tblCommentary[Date],1):tblCommentary[[#This Row],[Date]],tblCommentary[[#This Row],[Date]]))</f>
        <v/>
      </c>
      <c r="F990" s="63">
        <f>IF(tblCommentary[[#This Row],[Date]]="","",tblCommentary[[#This Row],[Date]]&amp;"|"&amp;tblCommentary[[#This Row],[Seq_Day]])</f>
        <v/>
      </c>
    </row>
    <row r="991">
      <c r="A991" s="54" t="n"/>
      <c r="B991" s="61" t="n"/>
      <c r="C991" s="58" t="n"/>
      <c r="D991" s="58" t="n"/>
      <c r="E991" s="64">
        <f>IF(tblCommentary[[#This Row],[Date]]="","",COUNTIFS(INDEX(tblCommentary[Date],1):tblCommentary[[#This Row],[Date]],tblCommentary[[#This Row],[Date]]))</f>
        <v/>
      </c>
      <c r="F991" s="63">
        <f>IF(tblCommentary[[#This Row],[Date]]="","",tblCommentary[[#This Row],[Date]]&amp;"|"&amp;tblCommentary[[#This Row],[Seq_Day]])</f>
        <v/>
      </c>
    </row>
    <row r="992">
      <c r="A992" s="54" t="n"/>
      <c r="B992" s="61" t="n"/>
      <c r="C992" s="58" t="n"/>
      <c r="D992" s="58" t="n"/>
      <c r="E992" s="64">
        <f>IF(tblCommentary[[#This Row],[Date]]="","",COUNTIFS(INDEX(tblCommentary[Date],1):tblCommentary[[#This Row],[Date]],tblCommentary[[#This Row],[Date]]))</f>
        <v/>
      </c>
      <c r="F992" s="63">
        <f>IF(tblCommentary[[#This Row],[Date]]="","",tblCommentary[[#This Row],[Date]]&amp;"|"&amp;tblCommentary[[#This Row],[Seq_Day]])</f>
        <v/>
      </c>
    </row>
    <row r="993">
      <c r="A993" s="54" t="n"/>
      <c r="B993" s="61" t="n"/>
      <c r="C993" s="58" t="n"/>
      <c r="D993" s="58" t="n"/>
      <c r="E993" s="64">
        <f>IF(tblCommentary[[#This Row],[Date]]="","",COUNTIFS(INDEX(tblCommentary[Date],1):tblCommentary[[#This Row],[Date]],tblCommentary[[#This Row],[Date]]))</f>
        <v/>
      </c>
      <c r="F993" s="63">
        <f>IF(tblCommentary[[#This Row],[Date]]="","",tblCommentary[[#This Row],[Date]]&amp;"|"&amp;tblCommentary[[#This Row],[Seq_Day]])</f>
        <v/>
      </c>
    </row>
    <row r="994">
      <c r="A994" s="54" t="n"/>
      <c r="B994" s="61" t="n"/>
      <c r="C994" s="58" t="n"/>
      <c r="D994" s="58" t="n"/>
      <c r="E994" s="64">
        <f>IF(tblCommentary[[#This Row],[Date]]="","",COUNTIFS(INDEX(tblCommentary[Date],1):tblCommentary[[#This Row],[Date]],tblCommentary[[#This Row],[Date]]))</f>
        <v/>
      </c>
      <c r="F994" s="63">
        <f>IF(tblCommentary[[#This Row],[Date]]="","",tblCommentary[[#This Row],[Date]]&amp;"|"&amp;tblCommentary[[#This Row],[Seq_Day]])</f>
        <v/>
      </c>
    </row>
    <row r="995">
      <c r="A995" s="54" t="n"/>
      <c r="B995" s="61" t="n"/>
      <c r="C995" s="58" t="n"/>
      <c r="D995" s="58" t="n"/>
      <c r="E995" s="64">
        <f>IF(tblCommentary[[#This Row],[Date]]="","",COUNTIFS(INDEX(tblCommentary[Date],1):tblCommentary[[#This Row],[Date]],tblCommentary[[#This Row],[Date]]))</f>
        <v/>
      </c>
      <c r="F995" s="63">
        <f>IF(tblCommentary[[#This Row],[Date]]="","",tblCommentary[[#This Row],[Date]]&amp;"|"&amp;tblCommentary[[#This Row],[Seq_Day]])</f>
        <v/>
      </c>
    </row>
    <row r="996">
      <c r="A996" s="54" t="n"/>
      <c r="B996" s="61" t="n"/>
      <c r="C996" s="58" t="n"/>
      <c r="D996" s="58" t="n"/>
      <c r="E996" s="64">
        <f>IF(tblCommentary[[#This Row],[Date]]="","",COUNTIFS(INDEX(tblCommentary[Date],1):tblCommentary[[#This Row],[Date]],tblCommentary[[#This Row],[Date]]))</f>
        <v/>
      </c>
      <c r="F996" s="63">
        <f>IF(tblCommentary[[#This Row],[Date]]="","",tblCommentary[[#This Row],[Date]]&amp;"|"&amp;tblCommentary[[#This Row],[Seq_Day]])</f>
        <v/>
      </c>
    </row>
    <row r="997">
      <c r="A997" s="54" t="n"/>
      <c r="B997" s="61" t="n"/>
      <c r="C997" s="58" t="n"/>
      <c r="D997" s="58" t="n"/>
      <c r="E997" s="64">
        <f>IF(tblCommentary[[#This Row],[Date]]="","",COUNTIFS(INDEX(tblCommentary[Date],1):tblCommentary[[#This Row],[Date]],tblCommentary[[#This Row],[Date]]))</f>
        <v/>
      </c>
      <c r="F997" s="63">
        <f>IF(tblCommentary[[#This Row],[Date]]="","",tblCommentary[[#This Row],[Date]]&amp;"|"&amp;tblCommentary[[#This Row],[Seq_Day]])</f>
        <v/>
      </c>
    </row>
    <row r="998">
      <c r="A998" s="54" t="n"/>
      <c r="B998" s="61" t="n"/>
      <c r="C998" s="58" t="n"/>
      <c r="D998" s="58" t="n"/>
      <c r="E998" s="64">
        <f>IF(tblCommentary[[#This Row],[Date]]="","",COUNTIFS(INDEX(tblCommentary[Date],1):tblCommentary[[#This Row],[Date]],tblCommentary[[#This Row],[Date]]))</f>
        <v/>
      </c>
      <c r="F998" s="63">
        <f>IF(tblCommentary[[#This Row],[Date]]="","",tblCommentary[[#This Row],[Date]]&amp;"|"&amp;tblCommentary[[#This Row],[Seq_Day]])</f>
        <v/>
      </c>
    </row>
    <row r="999">
      <c r="A999" s="54" t="n"/>
      <c r="B999" s="61" t="n"/>
      <c r="C999" s="58" t="n"/>
      <c r="D999" s="58" t="n"/>
      <c r="E999" s="64">
        <f>IF(tblCommentary[[#This Row],[Date]]="","",COUNTIFS(INDEX(tblCommentary[Date],1):tblCommentary[[#This Row],[Date]],tblCommentary[[#This Row],[Date]]))</f>
        <v/>
      </c>
      <c r="F999" s="63">
        <f>IF(tblCommentary[[#This Row],[Date]]="","",tblCommentary[[#This Row],[Date]]&amp;"|"&amp;tblCommentary[[#This Row],[Seq_Day]])</f>
        <v/>
      </c>
    </row>
    <row r="1000">
      <c r="A1000" s="54" t="n"/>
      <c r="B1000" s="61" t="n"/>
      <c r="C1000" s="58" t="n"/>
      <c r="D1000" s="58" t="n"/>
      <c r="E1000" s="64">
        <f>IF(tblCommentary[[#This Row],[Date]]="","",COUNTIFS(INDEX(tblCommentary[Date],1):tblCommentary[[#This Row],[Date]],tblCommentary[[#This Row],[Date]]))</f>
        <v/>
      </c>
      <c r="F1000" s="63">
        <f>IF(tblCommentary[[#This Row],[Date]]="","",tblCommentary[[#This Row],[Date]]&amp;"|"&amp;tblCommentary[[#This Row],[Seq_Day]])</f>
        <v/>
      </c>
    </row>
    <row r="1001">
      <c r="A1001" s="54" t="n"/>
      <c r="B1001" s="61" t="n"/>
      <c r="C1001" s="58" t="n"/>
      <c r="D1001" s="58" t="n"/>
      <c r="E1001" s="64">
        <f>IF(tblCommentary[[#This Row],[Date]]="","",COUNTIFS(INDEX(tblCommentary[Date],1):tblCommentary[[#This Row],[Date]],tblCommentary[[#This Row],[Date]]))</f>
        <v/>
      </c>
      <c r="F1001" s="63">
        <f>IF(tblCommentary[[#This Row],[Date]]="","",tblCommentary[[#This Row],[Date]]&amp;"|"&amp;tblCommentary[[#This Row],[Seq_Day]])</f>
        <v/>
      </c>
    </row>
    <row r="1002">
      <c r="A1002" s="54" t="n"/>
      <c r="B1002" s="61" t="n"/>
      <c r="C1002" s="58" t="n"/>
      <c r="D1002" s="58" t="n"/>
      <c r="E1002" s="64">
        <f>IF(tblCommentary[[#This Row],[Date]]="","",COUNTIFS(INDEX(tblCommentary[Date],1):tblCommentary[[#This Row],[Date]],tblCommentary[[#This Row],[Date]]))</f>
        <v/>
      </c>
      <c r="F1002" s="63">
        <f>IF(tblCommentary[[#This Row],[Date]]="","",tblCommentary[[#This Row],[Date]]&amp;"|"&amp;tblCommentary[[#This Row],[Seq_Day]])</f>
        <v/>
      </c>
    </row>
    <row r="1003">
      <c r="A1003" s="54" t="n"/>
      <c r="B1003" s="61" t="n"/>
      <c r="C1003" s="58" t="n"/>
      <c r="D1003" s="58" t="n"/>
      <c r="E1003" s="64">
        <f>IF(tblCommentary[[#This Row],[Date]]="","",COUNTIFS(INDEX(tblCommentary[Date],1):tblCommentary[[#This Row],[Date]],tblCommentary[[#This Row],[Date]]))</f>
        <v/>
      </c>
      <c r="F1003" s="63">
        <f>IF(tblCommentary[[#This Row],[Date]]="","",tblCommentary[[#This Row],[Date]]&amp;"|"&amp;tblCommentary[[#This Row],[Seq_Day]])</f>
        <v/>
      </c>
    </row>
    <row r="1004">
      <c r="A1004" s="54" t="n"/>
      <c r="B1004" s="61" t="n"/>
      <c r="C1004" s="58" t="n"/>
      <c r="D1004" s="58" t="n"/>
      <c r="E1004" s="64">
        <f>IF(tblCommentary[[#This Row],[Date]]="","",COUNTIFS(INDEX(tblCommentary[Date],1):tblCommentary[[#This Row],[Date]],tblCommentary[[#This Row],[Date]]))</f>
        <v/>
      </c>
      <c r="F1004" s="63">
        <f>IF(tblCommentary[[#This Row],[Date]]="","",tblCommentary[[#This Row],[Date]]&amp;"|"&amp;tblCommentary[[#This Row],[Seq_Day]])</f>
        <v/>
      </c>
    </row>
    <row r="1005">
      <c r="A1005" s="54" t="n"/>
      <c r="B1005" s="61" t="n"/>
      <c r="C1005" s="58" t="n"/>
      <c r="D1005" s="58" t="n"/>
      <c r="E1005" s="64">
        <f>IF(tblCommentary[[#This Row],[Date]]="","",COUNTIFS(INDEX(tblCommentary[Date],1):tblCommentary[[#This Row],[Date]],tblCommentary[[#This Row],[Date]]))</f>
        <v/>
      </c>
      <c r="F1005" s="63">
        <f>IF(tblCommentary[[#This Row],[Date]]="","",tblCommentary[[#This Row],[Date]]&amp;"|"&amp;tblCommentary[[#This Row],[Seq_Day]])</f>
        <v/>
      </c>
    </row>
    <row r="1006">
      <c r="A1006" s="54" t="n"/>
      <c r="B1006" s="61" t="n"/>
      <c r="C1006" s="58" t="n"/>
      <c r="D1006" s="58" t="n"/>
      <c r="E1006" s="64">
        <f>IF(tblCommentary[[#This Row],[Date]]="","",COUNTIFS(INDEX(tblCommentary[Date],1):tblCommentary[[#This Row],[Date]],tblCommentary[[#This Row],[Date]]))</f>
        <v/>
      </c>
      <c r="F1006" s="63">
        <f>IF(tblCommentary[[#This Row],[Date]]="","",tblCommentary[[#This Row],[Date]]&amp;"|"&amp;tblCommentary[[#This Row],[Seq_Day]])</f>
        <v/>
      </c>
    </row>
    <row r="1007">
      <c r="A1007" s="54" t="n"/>
      <c r="B1007" s="61" t="n"/>
      <c r="C1007" s="58" t="n"/>
      <c r="D1007" s="58" t="n"/>
      <c r="E1007" s="64">
        <f>IF(tblCommentary[[#This Row],[Date]]="","",COUNTIFS(INDEX(tblCommentary[Date],1):tblCommentary[[#This Row],[Date]],tblCommentary[[#This Row],[Date]]))</f>
        <v/>
      </c>
      <c r="F1007" s="63">
        <f>IF(tblCommentary[[#This Row],[Date]]="","",tblCommentary[[#This Row],[Date]]&amp;"|"&amp;tblCommentary[[#This Row],[Seq_Day]])</f>
        <v/>
      </c>
    </row>
    <row r="1008">
      <c r="A1008" s="54" t="n"/>
      <c r="B1008" s="61" t="n"/>
      <c r="C1008" s="58" t="n"/>
      <c r="D1008" s="58" t="n"/>
      <c r="E1008" s="64">
        <f>IF(tblCommentary[[#This Row],[Date]]="","",COUNTIFS(INDEX(tblCommentary[Date],1):tblCommentary[[#This Row],[Date]],tblCommentary[[#This Row],[Date]]))</f>
        <v/>
      </c>
      <c r="F1008" s="63">
        <f>IF(tblCommentary[[#This Row],[Date]]="","",tblCommentary[[#This Row],[Date]]&amp;"|"&amp;tblCommentary[[#This Row],[Seq_Day]])</f>
        <v/>
      </c>
    </row>
    <row r="1009">
      <c r="A1009" s="54" t="n"/>
      <c r="B1009" s="61" t="n"/>
      <c r="C1009" s="58" t="n"/>
      <c r="D1009" s="58" t="n"/>
      <c r="E1009" s="64">
        <f>IF(tblCommentary[[#This Row],[Date]]="","",COUNTIFS(INDEX(tblCommentary[Date],1):tblCommentary[[#This Row],[Date]],tblCommentary[[#This Row],[Date]]))</f>
        <v/>
      </c>
      <c r="F1009" s="63">
        <f>IF(tblCommentary[[#This Row],[Date]]="","",tblCommentary[[#This Row],[Date]]&amp;"|"&amp;tblCommentary[[#This Row],[Seq_Day]])</f>
        <v/>
      </c>
    </row>
    <row r="1010">
      <c r="A1010" s="54" t="n"/>
      <c r="B1010" s="61" t="n"/>
      <c r="C1010" s="58" t="n"/>
      <c r="D1010" s="58" t="n"/>
      <c r="E1010" s="64">
        <f>IF(tblCommentary[[#This Row],[Date]]="","",COUNTIFS(INDEX(tblCommentary[Date],1):tblCommentary[[#This Row],[Date]],tblCommentary[[#This Row],[Date]]))</f>
        <v/>
      </c>
      <c r="F1010" s="63">
        <f>IF(tblCommentary[[#This Row],[Date]]="","",tblCommentary[[#This Row],[Date]]&amp;"|"&amp;tblCommentary[[#This Row],[Seq_Day]])</f>
        <v/>
      </c>
    </row>
    <row r="1011">
      <c r="A1011" s="54" t="n"/>
      <c r="B1011" s="61" t="n"/>
      <c r="C1011" s="58" t="n"/>
      <c r="D1011" s="58" t="n"/>
      <c r="E1011" s="64">
        <f>IF(tblCommentary[[#This Row],[Date]]="","",COUNTIFS(INDEX(tblCommentary[Date],1):tblCommentary[[#This Row],[Date]],tblCommentary[[#This Row],[Date]]))</f>
        <v/>
      </c>
      <c r="F1011" s="63">
        <f>IF(tblCommentary[[#This Row],[Date]]="","",tblCommentary[[#This Row],[Date]]&amp;"|"&amp;tblCommentary[[#This Row],[Seq_Day]])</f>
        <v/>
      </c>
    </row>
    <row r="1012">
      <c r="A1012" s="54" t="n"/>
      <c r="B1012" s="61" t="n"/>
      <c r="C1012" s="58" t="n"/>
      <c r="D1012" s="58" t="n"/>
      <c r="E1012" s="64">
        <f>IF(tblCommentary[[#This Row],[Date]]="","",COUNTIFS(INDEX(tblCommentary[Date],1):tblCommentary[[#This Row],[Date]],tblCommentary[[#This Row],[Date]]))</f>
        <v/>
      </c>
      <c r="F1012" s="63">
        <f>IF(tblCommentary[[#This Row],[Date]]="","",tblCommentary[[#This Row],[Date]]&amp;"|"&amp;tblCommentary[[#This Row],[Seq_Day]])</f>
        <v/>
      </c>
    </row>
    <row r="1013">
      <c r="A1013" s="54" t="n"/>
      <c r="B1013" s="61" t="n"/>
      <c r="C1013" s="58" t="n"/>
      <c r="D1013" s="58" t="n"/>
      <c r="E1013" s="64">
        <f>IF(tblCommentary[[#This Row],[Date]]="","",COUNTIFS(INDEX(tblCommentary[Date],1):tblCommentary[[#This Row],[Date]],tblCommentary[[#This Row],[Date]]))</f>
        <v/>
      </c>
      <c r="F1013" s="63">
        <f>IF(tblCommentary[[#This Row],[Date]]="","",tblCommentary[[#This Row],[Date]]&amp;"|"&amp;tblCommentary[[#This Row],[Seq_Day]])</f>
        <v/>
      </c>
    </row>
    <row r="1014">
      <c r="A1014" s="54" t="n"/>
      <c r="B1014" s="61" t="n"/>
      <c r="C1014" s="58" t="n"/>
      <c r="D1014" s="58" t="n"/>
      <c r="E1014" s="64">
        <f>IF(tblCommentary[[#This Row],[Date]]="","",COUNTIFS(INDEX(tblCommentary[Date],1):tblCommentary[[#This Row],[Date]],tblCommentary[[#This Row],[Date]]))</f>
        <v/>
      </c>
      <c r="F1014" s="63">
        <f>IF(tblCommentary[[#This Row],[Date]]="","",tblCommentary[[#This Row],[Date]]&amp;"|"&amp;tblCommentary[[#This Row],[Seq_Day]])</f>
        <v/>
      </c>
    </row>
    <row r="1015">
      <c r="A1015" s="54" t="n"/>
      <c r="B1015" s="61" t="n"/>
      <c r="C1015" s="58" t="n"/>
      <c r="D1015" s="58" t="n"/>
      <c r="E1015" s="64">
        <f>IF(tblCommentary[[#This Row],[Date]]="","",COUNTIFS(INDEX(tblCommentary[Date],1):tblCommentary[[#This Row],[Date]],tblCommentary[[#This Row],[Date]]))</f>
        <v/>
      </c>
      <c r="F1015" s="63">
        <f>IF(tblCommentary[[#This Row],[Date]]="","",tblCommentary[[#This Row],[Date]]&amp;"|"&amp;tblCommentary[[#This Row],[Seq_Day]])</f>
        <v/>
      </c>
    </row>
    <row r="1016">
      <c r="A1016" s="54" t="n"/>
      <c r="B1016" s="61" t="n"/>
      <c r="C1016" s="58" t="n"/>
      <c r="D1016" s="58" t="n"/>
      <c r="E1016" s="64">
        <f>IF(tblCommentary[[#This Row],[Date]]="","",COUNTIFS(INDEX(tblCommentary[Date],1):tblCommentary[[#This Row],[Date]],tblCommentary[[#This Row],[Date]]))</f>
        <v/>
      </c>
      <c r="F1016" s="63">
        <f>IF(tblCommentary[[#This Row],[Date]]="","",tblCommentary[[#This Row],[Date]]&amp;"|"&amp;tblCommentary[[#This Row],[Seq_Day]])</f>
        <v/>
      </c>
    </row>
    <row r="1017">
      <c r="A1017" s="54" t="n"/>
      <c r="B1017" s="61" t="n"/>
      <c r="C1017" s="58" t="n"/>
      <c r="D1017" s="58" t="n"/>
      <c r="E1017" s="64">
        <f>IF(tblCommentary[[#This Row],[Date]]="","",COUNTIFS(INDEX(tblCommentary[Date],1):tblCommentary[[#This Row],[Date]],tblCommentary[[#This Row],[Date]]))</f>
        <v/>
      </c>
      <c r="F1017" s="63">
        <f>IF(tblCommentary[[#This Row],[Date]]="","",tblCommentary[[#This Row],[Date]]&amp;"|"&amp;tblCommentary[[#This Row],[Seq_Day]])</f>
        <v/>
      </c>
    </row>
    <row r="1018">
      <c r="A1018" s="54" t="n"/>
      <c r="B1018" s="61" t="n"/>
      <c r="C1018" s="58" t="n"/>
      <c r="D1018" s="58" t="n"/>
      <c r="E1018" s="64">
        <f>IF(tblCommentary[[#This Row],[Date]]="","",COUNTIFS(INDEX(tblCommentary[Date],1):tblCommentary[[#This Row],[Date]],tblCommentary[[#This Row],[Date]]))</f>
        <v/>
      </c>
      <c r="F1018" s="63">
        <f>IF(tblCommentary[[#This Row],[Date]]="","",tblCommentary[[#This Row],[Date]]&amp;"|"&amp;tblCommentary[[#This Row],[Seq_Day]])</f>
        <v/>
      </c>
    </row>
    <row r="1019">
      <c r="A1019" s="54" t="n"/>
      <c r="B1019" s="61" t="n"/>
      <c r="C1019" s="58" t="n"/>
      <c r="D1019" s="58" t="n"/>
      <c r="E1019" s="64">
        <f>IF(tblCommentary[[#This Row],[Date]]="","",COUNTIFS(INDEX(tblCommentary[Date],1):tblCommentary[[#This Row],[Date]],tblCommentary[[#This Row],[Date]]))</f>
        <v/>
      </c>
      <c r="F1019" s="63">
        <f>IF(tblCommentary[[#This Row],[Date]]="","",tblCommentary[[#This Row],[Date]]&amp;"|"&amp;tblCommentary[[#This Row],[Seq_Day]])</f>
        <v/>
      </c>
    </row>
    <row r="1020">
      <c r="A1020" s="54" t="n"/>
      <c r="B1020" s="61" t="n"/>
      <c r="C1020" s="58" t="n"/>
      <c r="D1020" s="58" t="n"/>
      <c r="E1020" s="64">
        <f>IF(tblCommentary[[#This Row],[Date]]="","",COUNTIFS(INDEX(tblCommentary[Date],1):tblCommentary[[#This Row],[Date]],tblCommentary[[#This Row],[Date]]))</f>
        <v/>
      </c>
      <c r="F1020" s="63">
        <f>IF(tblCommentary[[#This Row],[Date]]="","",tblCommentary[[#This Row],[Date]]&amp;"|"&amp;tblCommentary[[#This Row],[Seq_Day]])</f>
        <v/>
      </c>
    </row>
    <row r="1021">
      <c r="A1021" s="54" t="n"/>
      <c r="B1021" s="61" t="n"/>
      <c r="C1021" s="58" t="n"/>
      <c r="D1021" s="58" t="n"/>
      <c r="E1021" s="64">
        <f>IF(tblCommentary[[#This Row],[Date]]="","",COUNTIFS(INDEX(tblCommentary[Date],1):tblCommentary[[#This Row],[Date]],tblCommentary[[#This Row],[Date]]))</f>
        <v/>
      </c>
      <c r="F1021" s="63">
        <f>IF(tblCommentary[[#This Row],[Date]]="","",tblCommentary[[#This Row],[Date]]&amp;"|"&amp;tblCommentary[[#This Row],[Seq_Day]])</f>
        <v/>
      </c>
    </row>
    <row r="1022">
      <c r="A1022" s="54" t="n"/>
      <c r="B1022" s="61" t="n"/>
      <c r="C1022" s="58" t="n"/>
      <c r="D1022" s="58" t="n"/>
      <c r="E1022" s="64">
        <f>IF(tblCommentary[[#This Row],[Date]]="","",COUNTIFS(INDEX(tblCommentary[Date],1):tblCommentary[[#This Row],[Date]],tblCommentary[[#This Row],[Date]]))</f>
        <v/>
      </c>
      <c r="F1022" s="63">
        <f>IF(tblCommentary[[#This Row],[Date]]="","",tblCommentary[[#This Row],[Date]]&amp;"|"&amp;tblCommentary[[#This Row],[Seq_Day]])</f>
        <v/>
      </c>
    </row>
    <row r="1023">
      <c r="A1023" s="54" t="n"/>
      <c r="B1023" s="61" t="n"/>
      <c r="C1023" s="58" t="n"/>
      <c r="D1023" s="58" t="n"/>
      <c r="E1023" s="64">
        <f>IF(tblCommentary[[#This Row],[Date]]="","",COUNTIFS(INDEX(tblCommentary[Date],1):tblCommentary[[#This Row],[Date]],tblCommentary[[#This Row],[Date]]))</f>
        <v/>
      </c>
      <c r="F1023" s="63">
        <f>IF(tblCommentary[[#This Row],[Date]]="","",tblCommentary[[#This Row],[Date]]&amp;"|"&amp;tblCommentary[[#This Row],[Seq_Day]])</f>
        <v/>
      </c>
    </row>
    <row r="1024">
      <c r="A1024" s="54" t="n"/>
      <c r="B1024" s="61" t="n"/>
      <c r="C1024" s="58" t="n"/>
      <c r="D1024" s="58" t="n"/>
      <c r="E1024" s="64">
        <f>IF(tblCommentary[[#This Row],[Date]]="","",COUNTIFS(INDEX(tblCommentary[Date],1):tblCommentary[[#This Row],[Date]],tblCommentary[[#This Row],[Date]]))</f>
        <v/>
      </c>
      <c r="F1024" s="63">
        <f>IF(tblCommentary[[#This Row],[Date]]="","",tblCommentary[[#This Row],[Date]]&amp;"|"&amp;tblCommentary[[#This Row],[Seq_Day]])</f>
        <v/>
      </c>
    </row>
    <row r="1025">
      <c r="A1025" s="54" t="n"/>
      <c r="B1025" s="61" t="n"/>
      <c r="C1025" s="58" t="n"/>
      <c r="D1025" s="58" t="n"/>
      <c r="E1025" s="64">
        <f>IF(tblCommentary[[#This Row],[Date]]="","",COUNTIFS(INDEX(tblCommentary[Date],1):tblCommentary[[#This Row],[Date]],tblCommentary[[#This Row],[Date]]))</f>
        <v/>
      </c>
      <c r="F1025" s="63">
        <f>IF(tblCommentary[[#This Row],[Date]]="","",tblCommentary[[#This Row],[Date]]&amp;"|"&amp;tblCommentary[[#This Row],[Seq_Day]])</f>
        <v/>
      </c>
    </row>
    <row r="1026">
      <c r="A1026" s="54" t="n"/>
      <c r="B1026" s="61" t="n"/>
      <c r="C1026" s="58" t="n"/>
      <c r="D1026" s="58" t="n"/>
      <c r="E1026" s="64">
        <f>IF(tblCommentary[[#This Row],[Date]]="","",COUNTIFS(INDEX(tblCommentary[Date],1):tblCommentary[[#This Row],[Date]],tblCommentary[[#This Row],[Date]]))</f>
        <v/>
      </c>
      <c r="F1026" s="63">
        <f>IF(tblCommentary[[#This Row],[Date]]="","",tblCommentary[[#This Row],[Date]]&amp;"|"&amp;tblCommentary[[#This Row],[Seq_Day]])</f>
        <v/>
      </c>
    </row>
    <row r="1027">
      <c r="A1027" s="54" t="n"/>
      <c r="B1027" s="61" t="n"/>
      <c r="C1027" s="58" t="n"/>
      <c r="D1027" s="58" t="n"/>
      <c r="E1027" s="64">
        <f>IF(tblCommentary[[#This Row],[Date]]="","",COUNTIFS(INDEX(tblCommentary[Date],1):tblCommentary[[#This Row],[Date]],tblCommentary[[#This Row],[Date]]))</f>
        <v/>
      </c>
      <c r="F1027" s="63">
        <f>IF(tblCommentary[[#This Row],[Date]]="","",tblCommentary[[#This Row],[Date]]&amp;"|"&amp;tblCommentary[[#This Row],[Seq_Day]])</f>
        <v/>
      </c>
    </row>
    <row r="1028">
      <c r="A1028" s="54" t="n"/>
      <c r="B1028" s="61" t="n"/>
      <c r="C1028" s="58" t="n"/>
      <c r="D1028" s="58" t="n"/>
      <c r="E1028" s="64">
        <f>IF(tblCommentary[[#This Row],[Date]]="","",COUNTIFS(INDEX(tblCommentary[Date],1):tblCommentary[[#This Row],[Date]],tblCommentary[[#This Row],[Date]]))</f>
        <v/>
      </c>
      <c r="F1028" s="63">
        <f>IF(tblCommentary[[#This Row],[Date]]="","",tblCommentary[[#This Row],[Date]]&amp;"|"&amp;tblCommentary[[#This Row],[Seq_Day]])</f>
        <v/>
      </c>
    </row>
    <row r="1029">
      <c r="A1029" s="54" t="n"/>
      <c r="B1029" s="61" t="n"/>
      <c r="C1029" s="58" t="n"/>
      <c r="D1029" s="58" t="n"/>
      <c r="E1029" s="64">
        <f>IF(tblCommentary[[#This Row],[Date]]="","",COUNTIFS(INDEX(tblCommentary[Date],1):tblCommentary[[#This Row],[Date]],tblCommentary[[#This Row],[Date]]))</f>
        <v/>
      </c>
      <c r="F1029" s="63">
        <f>IF(tblCommentary[[#This Row],[Date]]="","",tblCommentary[[#This Row],[Date]]&amp;"|"&amp;tblCommentary[[#This Row],[Seq_Day]])</f>
        <v/>
      </c>
    </row>
    <row r="1030">
      <c r="A1030" s="54" t="n"/>
      <c r="B1030" s="61" t="n"/>
      <c r="C1030" s="58" t="n"/>
      <c r="D1030" s="58" t="n"/>
      <c r="E1030" s="64">
        <f>IF(tblCommentary[[#This Row],[Date]]="","",COUNTIFS(INDEX(tblCommentary[Date],1):tblCommentary[[#This Row],[Date]],tblCommentary[[#This Row],[Date]]))</f>
        <v/>
      </c>
      <c r="F1030" s="63">
        <f>IF(tblCommentary[[#This Row],[Date]]="","",tblCommentary[[#This Row],[Date]]&amp;"|"&amp;tblCommentary[[#This Row],[Seq_Day]])</f>
        <v/>
      </c>
    </row>
    <row r="1031">
      <c r="A1031" s="54" t="n"/>
      <c r="B1031" s="61" t="n"/>
      <c r="C1031" s="58" t="n"/>
      <c r="D1031" s="58" t="n"/>
      <c r="E1031" s="64">
        <f>IF(tblCommentary[[#This Row],[Date]]="","",COUNTIFS(INDEX(tblCommentary[Date],1):tblCommentary[[#This Row],[Date]],tblCommentary[[#This Row],[Date]]))</f>
        <v/>
      </c>
      <c r="F1031" s="63">
        <f>IF(tblCommentary[[#This Row],[Date]]="","",tblCommentary[[#This Row],[Date]]&amp;"|"&amp;tblCommentary[[#This Row],[Seq_Day]])</f>
        <v/>
      </c>
    </row>
    <row r="1032">
      <c r="A1032" s="54" t="n"/>
      <c r="B1032" s="61" t="n"/>
      <c r="C1032" s="58" t="n"/>
      <c r="D1032" s="58" t="n"/>
      <c r="E1032" s="64">
        <f>IF(tblCommentary[[#This Row],[Date]]="","",COUNTIFS(INDEX(tblCommentary[Date],1):tblCommentary[[#This Row],[Date]],tblCommentary[[#This Row],[Date]]))</f>
        <v/>
      </c>
      <c r="F1032" s="63">
        <f>IF(tblCommentary[[#This Row],[Date]]="","",tblCommentary[[#This Row],[Date]]&amp;"|"&amp;tblCommentary[[#This Row],[Seq_Day]])</f>
        <v/>
      </c>
    </row>
    <row r="1033">
      <c r="A1033" s="54" t="n"/>
      <c r="B1033" s="61" t="n"/>
      <c r="C1033" s="58" t="n"/>
      <c r="D1033" s="58" t="n"/>
      <c r="E1033" s="64">
        <f>IF(tblCommentary[[#This Row],[Date]]="","",COUNTIFS(INDEX(tblCommentary[Date],1):tblCommentary[[#This Row],[Date]],tblCommentary[[#This Row],[Date]]))</f>
        <v/>
      </c>
      <c r="F1033" s="63">
        <f>IF(tblCommentary[[#This Row],[Date]]="","",tblCommentary[[#This Row],[Date]]&amp;"|"&amp;tblCommentary[[#This Row],[Seq_Day]])</f>
        <v/>
      </c>
    </row>
    <row r="1034">
      <c r="A1034" s="54" t="n"/>
      <c r="B1034" s="61" t="n"/>
      <c r="C1034" s="58" t="n"/>
      <c r="D1034" s="58" t="n"/>
      <c r="E1034" s="64">
        <f>IF(tblCommentary[[#This Row],[Date]]="","",COUNTIFS(INDEX(tblCommentary[Date],1):tblCommentary[[#This Row],[Date]],tblCommentary[[#This Row],[Date]]))</f>
        <v/>
      </c>
      <c r="F1034" s="63">
        <f>IF(tblCommentary[[#This Row],[Date]]="","",tblCommentary[[#This Row],[Date]]&amp;"|"&amp;tblCommentary[[#This Row],[Seq_Day]])</f>
        <v/>
      </c>
    </row>
    <row r="1035">
      <c r="A1035" s="54" t="n"/>
      <c r="B1035" s="61" t="n"/>
      <c r="C1035" s="58" t="n"/>
      <c r="D1035" s="58" t="n"/>
      <c r="E1035" s="64">
        <f>IF(tblCommentary[[#This Row],[Date]]="","",COUNTIFS(INDEX(tblCommentary[Date],1):tblCommentary[[#This Row],[Date]],tblCommentary[[#This Row],[Date]]))</f>
        <v/>
      </c>
      <c r="F1035" s="63">
        <f>IF(tblCommentary[[#This Row],[Date]]="","",tblCommentary[[#This Row],[Date]]&amp;"|"&amp;tblCommentary[[#This Row],[Seq_Day]])</f>
        <v/>
      </c>
    </row>
    <row r="1036">
      <c r="A1036" s="54" t="n"/>
      <c r="B1036" s="61" t="n"/>
      <c r="C1036" s="58" t="n"/>
      <c r="D1036" s="58" t="n"/>
      <c r="E1036" s="64">
        <f>IF(tblCommentary[[#This Row],[Date]]="","",COUNTIFS(INDEX(tblCommentary[Date],1):tblCommentary[[#This Row],[Date]],tblCommentary[[#This Row],[Date]]))</f>
        <v/>
      </c>
      <c r="F1036" s="63">
        <f>IF(tblCommentary[[#This Row],[Date]]="","",tblCommentary[[#This Row],[Date]]&amp;"|"&amp;tblCommentary[[#This Row],[Seq_Day]])</f>
        <v/>
      </c>
    </row>
    <row r="1037">
      <c r="A1037" s="54" t="n"/>
      <c r="B1037" s="61" t="n"/>
      <c r="C1037" s="58" t="n"/>
      <c r="D1037" s="58" t="n"/>
      <c r="E1037" s="64">
        <f>IF(tblCommentary[[#This Row],[Date]]="","",COUNTIFS(INDEX(tblCommentary[Date],1):tblCommentary[[#This Row],[Date]],tblCommentary[[#This Row],[Date]]))</f>
        <v/>
      </c>
      <c r="F1037" s="63">
        <f>IF(tblCommentary[[#This Row],[Date]]="","",tblCommentary[[#This Row],[Date]]&amp;"|"&amp;tblCommentary[[#This Row],[Seq_Day]])</f>
        <v/>
      </c>
    </row>
    <row r="1038">
      <c r="A1038" s="54" t="n"/>
      <c r="B1038" s="61" t="n"/>
      <c r="C1038" s="58" t="n"/>
      <c r="D1038" s="58" t="n"/>
      <c r="E1038" s="64">
        <f>IF(tblCommentary[[#This Row],[Date]]="","",COUNTIFS(INDEX(tblCommentary[Date],1):tblCommentary[[#This Row],[Date]],tblCommentary[[#This Row],[Date]]))</f>
        <v/>
      </c>
      <c r="F1038" s="63">
        <f>IF(tblCommentary[[#This Row],[Date]]="","",tblCommentary[[#This Row],[Date]]&amp;"|"&amp;tblCommentary[[#This Row],[Seq_Day]])</f>
        <v/>
      </c>
    </row>
    <row r="1039">
      <c r="A1039" s="54" t="n"/>
      <c r="B1039" s="61" t="n"/>
      <c r="C1039" s="58" t="n"/>
      <c r="D1039" s="58" t="n"/>
      <c r="E1039" s="64">
        <f>IF(tblCommentary[[#This Row],[Date]]="","",COUNTIFS(INDEX(tblCommentary[Date],1):tblCommentary[[#This Row],[Date]],tblCommentary[[#This Row],[Date]]))</f>
        <v/>
      </c>
      <c r="F1039" s="63">
        <f>IF(tblCommentary[[#This Row],[Date]]="","",tblCommentary[[#This Row],[Date]]&amp;"|"&amp;tblCommentary[[#This Row],[Seq_Day]])</f>
        <v/>
      </c>
    </row>
    <row r="1040">
      <c r="A1040" s="54" t="n"/>
      <c r="B1040" s="61" t="n"/>
      <c r="C1040" s="58" t="n"/>
      <c r="D1040" s="58" t="n"/>
      <c r="E1040" s="64">
        <f>IF(tblCommentary[[#This Row],[Date]]="","",COUNTIFS(INDEX(tblCommentary[Date],1):tblCommentary[[#This Row],[Date]],tblCommentary[[#This Row],[Date]]))</f>
        <v/>
      </c>
      <c r="F1040" s="63">
        <f>IF(tblCommentary[[#This Row],[Date]]="","",tblCommentary[[#This Row],[Date]]&amp;"|"&amp;tblCommentary[[#This Row],[Seq_Day]])</f>
        <v/>
      </c>
    </row>
    <row r="1041">
      <c r="A1041" s="54" t="n"/>
      <c r="B1041" s="61" t="n"/>
      <c r="C1041" s="58" t="n"/>
      <c r="D1041" s="58" t="n"/>
      <c r="E1041" s="64">
        <f>IF(tblCommentary[[#This Row],[Date]]="","",COUNTIFS(INDEX(tblCommentary[Date],1):tblCommentary[[#This Row],[Date]],tblCommentary[[#This Row],[Date]]))</f>
        <v/>
      </c>
      <c r="F1041" s="63">
        <f>IF(tblCommentary[[#This Row],[Date]]="","",tblCommentary[[#This Row],[Date]]&amp;"|"&amp;tblCommentary[[#This Row],[Seq_Day]])</f>
        <v/>
      </c>
    </row>
    <row r="1042">
      <c r="A1042" s="54" t="n"/>
      <c r="B1042" s="61" t="n"/>
      <c r="C1042" s="58" t="n"/>
      <c r="D1042" s="58" t="n"/>
      <c r="E1042" s="64">
        <f>IF(tblCommentary[[#This Row],[Date]]="","",COUNTIFS(INDEX(tblCommentary[Date],1):tblCommentary[[#This Row],[Date]],tblCommentary[[#This Row],[Date]]))</f>
        <v/>
      </c>
      <c r="F1042" s="63">
        <f>IF(tblCommentary[[#This Row],[Date]]="","",tblCommentary[[#This Row],[Date]]&amp;"|"&amp;tblCommentary[[#This Row],[Seq_Day]])</f>
        <v/>
      </c>
    </row>
    <row r="1043">
      <c r="A1043" s="54" t="n"/>
      <c r="B1043" s="61" t="n"/>
      <c r="C1043" s="58" t="n"/>
      <c r="D1043" s="58" t="n"/>
      <c r="E1043" s="64">
        <f>IF(tblCommentary[[#This Row],[Date]]="","",COUNTIFS(INDEX(tblCommentary[Date],1):tblCommentary[[#This Row],[Date]],tblCommentary[[#This Row],[Date]]))</f>
        <v/>
      </c>
      <c r="F1043" s="63">
        <f>IF(tblCommentary[[#This Row],[Date]]="","",tblCommentary[[#This Row],[Date]]&amp;"|"&amp;tblCommentary[[#This Row],[Seq_Day]])</f>
        <v/>
      </c>
    </row>
    <row r="1044">
      <c r="A1044" s="54" t="n"/>
      <c r="B1044" s="61" t="n"/>
      <c r="C1044" s="58" t="n"/>
      <c r="D1044" s="58" t="n"/>
      <c r="E1044" s="64">
        <f>IF(tblCommentary[[#This Row],[Date]]="","",COUNTIFS(INDEX(tblCommentary[Date],1):tblCommentary[[#This Row],[Date]],tblCommentary[[#This Row],[Date]]))</f>
        <v/>
      </c>
      <c r="F1044" s="63">
        <f>IF(tblCommentary[[#This Row],[Date]]="","",tblCommentary[[#This Row],[Date]]&amp;"|"&amp;tblCommentary[[#This Row],[Seq_Day]])</f>
        <v/>
      </c>
    </row>
    <row r="1045">
      <c r="A1045" s="54" t="n"/>
      <c r="B1045" s="61" t="n"/>
      <c r="C1045" s="58" t="n"/>
      <c r="D1045" s="58" t="n"/>
      <c r="E1045" s="64">
        <f>IF(tblCommentary[[#This Row],[Date]]="","",COUNTIFS(INDEX(tblCommentary[Date],1):tblCommentary[[#This Row],[Date]],tblCommentary[[#This Row],[Date]]))</f>
        <v/>
      </c>
      <c r="F1045" s="63">
        <f>IF(tblCommentary[[#This Row],[Date]]="","",tblCommentary[[#This Row],[Date]]&amp;"|"&amp;tblCommentary[[#This Row],[Seq_Day]])</f>
        <v/>
      </c>
    </row>
    <row r="1046">
      <c r="A1046" s="54" t="n"/>
      <c r="B1046" s="61" t="n"/>
      <c r="C1046" s="58" t="n"/>
      <c r="D1046" s="58" t="n"/>
      <c r="E1046" s="64">
        <f>IF(tblCommentary[[#This Row],[Date]]="","",COUNTIFS(INDEX(tblCommentary[Date],1):tblCommentary[[#This Row],[Date]],tblCommentary[[#This Row],[Date]]))</f>
        <v/>
      </c>
      <c r="F1046" s="63">
        <f>IF(tblCommentary[[#This Row],[Date]]="","",tblCommentary[[#This Row],[Date]]&amp;"|"&amp;tblCommentary[[#This Row],[Seq_Day]])</f>
        <v/>
      </c>
    </row>
    <row r="1047">
      <c r="A1047" s="54" t="n"/>
      <c r="B1047" s="61" t="n"/>
      <c r="C1047" s="58" t="n"/>
      <c r="D1047" s="58" t="n"/>
      <c r="E1047" s="64">
        <f>IF(tblCommentary[[#This Row],[Date]]="","",COUNTIFS(INDEX(tblCommentary[Date],1):tblCommentary[[#This Row],[Date]],tblCommentary[[#This Row],[Date]]))</f>
        <v/>
      </c>
      <c r="F1047" s="63">
        <f>IF(tblCommentary[[#This Row],[Date]]="","",tblCommentary[[#This Row],[Date]]&amp;"|"&amp;tblCommentary[[#This Row],[Seq_Day]])</f>
        <v/>
      </c>
    </row>
    <row r="1048">
      <c r="A1048" s="54" t="n"/>
      <c r="B1048" s="61" t="n"/>
      <c r="C1048" s="58" t="n"/>
      <c r="D1048" s="58" t="n"/>
      <c r="E1048" s="64">
        <f>IF(tblCommentary[[#This Row],[Date]]="","",COUNTIFS(INDEX(tblCommentary[Date],1):tblCommentary[[#This Row],[Date]],tblCommentary[[#This Row],[Date]]))</f>
        <v/>
      </c>
      <c r="F1048" s="63">
        <f>IF(tblCommentary[[#This Row],[Date]]="","",tblCommentary[[#This Row],[Date]]&amp;"|"&amp;tblCommentary[[#This Row],[Seq_Day]])</f>
        <v/>
      </c>
    </row>
    <row r="1049">
      <c r="A1049" s="54" t="n"/>
      <c r="B1049" s="61" t="n"/>
      <c r="C1049" s="58" t="n"/>
      <c r="D1049" s="58" t="n"/>
      <c r="E1049" s="64">
        <f>IF(tblCommentary[[#This Row],[Date]]="","",COUNTIFS(INDEX(tblCommentary[Date],1):tblCommentary[[#This Row],[Date]],tblCommentary[[#This Row],[Date]]))</f>
        <v/>
      </c>
      <c r="F1049" s="63">
        <f>IF(tblCommentary[[#This Row],[Date]]="","",tblCommentary[[#This Row],[Date]]&amp;"|"&amp;tblCommentary[[#This Row],[Seq_Day]])</f>
        <v/>
      </c>
    </row>
    <row r="1050">
      <c r="A1050" s="54" t="n"/>
      <c r="B1050" s="61" t="n"/>
      <c r="C1050" s="58" t="n"/>
      <c r="D1050" s="58" t="n"/>
      <c r="E1050" s="64">
        <f>IF(tblCommentary[[#This Row],[Date]]="","",COUNTIFS(INDEX(tblCommentary[Date],1):tblCommentary[[#This Row],[Date]],tblCommentary[[#This Row],[Date]]))</f>
        <v/>
      </c>
      <c r="F1050" s="63">
        <f>IF(tblCommentary[[#This Row],[Date]]="","",tblCommentary[[#This Row],[Date]]&amp;"|"&amp;tblCommentary[[#This Row],[Seq_Day]])</f>
        <v/>
      </c>
    </row>
    <row r="1051">
      <c r="A1051" s="54" t="n"/>
      <c r="B1051" s="61" t="n"/>
      <c r="C1051" s="58" t="n"/>
      <c r="D1051" s="58" t="n"/>
      <c r="E1051" s="64">
        <f>IF(tblCommentary[[#This Row],[Date]]="","",COUNTIFS(INDEX(tblCommentary[Date],1):tblCommentary[[#This Row],[Date]],tblCommentary[[#This Row],[Date]]))</f>
        <v/>
      </c>
      <c r="F1051" s="63">
        <f>IF(tblCommentary[[#This Row],[Date]]="","",tblCommentary[[#This Row],[Date]]&amp;"|"&amp;tblCommentary[[#This Row],[Seq_Day]])</f>
        <v/>
      </c>
    </row>
    <row r="1052">
      <c r="A1052" s="54" t="n"/>
      <c r="B1052" s="61" t="n"/>
      <c r="C1052" s="58" t="n"/>
      <c r="D1052" s="58" t="n"/>
      <c r="E1052" s="64">
        <f>IF(tblCommentary[[#This Row],[Date]]="","",COUNTIFS(INDEX(tblCommentary[Date],1):tblCommentary[[#This Row],[Date]],tblCommentary[[#This Row],[Date]]))</f>
        <v/>
      </c>
      <c r="F1052" s="63">
        <f>IF(tblCommentary[[#This Row],[Date]]="","",tblCommentary[[#This Row],[Date]]&amp;"|"&amp;tblCommentary[[#This Row],[Seq_Day]])</f>
        <v/>
      </c>
    </row>
    <row r="1053">
      <c r="A1053" s="54" t="n"/>
      <c r="B1053" s="61" t="n"/>
      <c r="C1053" s="58" t="n"/>
      <c r="D1053" s="58" t="n"/>
      <c r="E1053" s="64">
        <f>IF(tblCommentary[[#This Row],[Date]]="","",COUNTIFS(INDEX(tblCommentary[Date],1):tblCommentary[[#This Row],[Date]],tblCommentary[[#This Row],[Date]]))</f>
        <v/>
      </c>
      <c r="F1053" s="63">
        <f>IF(tblCommentary[[#This Row],[Date]]="","",tblCommentary[[#This Row],[Date]]&amp;"|"&amp;tblCommentary[[#This Row],[Seq_Day]])</f>
        <v/>
      </c>
    </row>
    <row r="1054">
      <c r="A1054" s="54" t="n"/>
      <c r="B1054" s="61" t="n"/>
      <c r="C1054" s="58" t="n"/>
      <c r="D1054" s="58" t="n"/>
      <c r="E1054" s="64">
        <f>IF(tblCommentary[[#This Row],[Date]]="","",COUNTIFS(INDEX(tblCommentary[Date],1):tblCommentary[[#This Row],[Date]],tblCommentary[[#This Row],[Date]]))</f>
        <v/>
      </c>
      <c r="F1054" s="63">
        <f>IF(tblCommentary[[#This Row],[Date]]="","",tblCommentary[[#This Row],[Date]]&amp;"|"&amp;tblCommentary[[#This Row],[Seq_Day]])</f>
        <v/>
      </c>
    </row>
    <row r="1055">
      <c r="A1055" s="54" t="n"/>
      <c r="B1055" s="61" t="n"/>
      <c r="C1055" s="58" t="n"/>
      <c r="D1055" s="58" t="n"/>
      <c r="E1055" s="64">
        <f>IF(tblCommentary[[#This Row],[Date]]="","",COUNTIFS(INDEX(tblCommentary[Date],1):tblCommentary[[#This Row],[Date]],tblCommentary[[#This Row],[Date]]))</f>
        <v/>
      </c>
      <c r="F1055" s="63">
        <f>IF(tblCommentary[[#This Row],[Date]]="","",tblCommentary[[#This Row],[Date]]&amp;"|"&amp;tblCommentary[[#This Row],[Seq_Day]])</f>
        <v/>
      </c>
    </row>
    <row r="1056">
      <c r="A1056" s="54" t="n"/>
      <c r="B1056" s="61" t="n"/>
      <c r="C1056" s="58" t="n"/>
      <c r="D1056" s="58" t="n"/>
      <c r="E1056" s="64">
        <f>IF(tblCommentary[[#This Row],[Date]]="","",COUNTIFS(INDEX(tblCommentary[Date],1):tblCommentary[[#This Row],[Date]],tblCommentary[[#This Row],[Date]]))</f>
        <v/>
      </c>
      <c r="F1056" s="63">
        <f>IF(tblCommentary[[#This Row],[Date]]="","",tblCommentary[[#This Row],[Date]]&amp;"|"&amp;tblCommentary[[#This Row],[Seq_Day]])</f>
        <v/>
      </c>
    </row>
    <row r="1057">
      <c r="A1057" s="54" t="n"/>
      <c r="B1057" s="61" t="n"/>
      <c r="C1057" s="58" t="n"/>
      <c r="D1057" s="58" t="n"/>
      <c r="E1057" s="64">
        <f>IF(tblCommentary[[#This Row],[Date]]="","",COUNTIFS(INDEX(tblCommentary[Date],1):tblCommentary[[#This Row],[Date]],tblCommentary[[#This Row],[Date]]))</f>
        <v/>
      </c>
      <c r="F1057" s="63">
        <f>IF(tblCommentary[[#This Row],[Date]]="","",tblCommentary[[#This Row],[Date]]&amp;"|"&amp;tblCommentary[[#This Row],[Seq_Day]])</f>
        <v/>
      </c>
    </row>
    <row r="1058">
      <c r="A1058" s="54" t="n"/>
      <c r="B1058" s="61" t="n"/>
      <c r="C1058" s="58" t="n"/>
      <c r="D1058" s="58" t="n"/>
      <c r="E1058" s="64">
        <f>IF(tblCommentary[[#This Row],[Date]]="","",COUNTIFS(INDEX(tblCommentary[Date],1):tblCommentary[[#This Row],[Date]],tblCommentary[[#This Row],[Date]]))</f>
        <v/>
      </c>
      <c r="F1058" s="63">
        <f>IF(tblCommentary[[#This Row],[Date]]="","",tblCommentary[[#This Row],[Date]]&amp;"|"&amp;tblCommentary[[#This Row],[Seq_Day]])</f>
        <v/>
      </c>
    </row>
    <row r="1059">
      <c r="A1059" s="54" t="n"/>
      <c r="B1059" s="61" t="n"/>
      <c r="C1059" s="58" t="n"/>
      <c r="D1059" s="58" t="n"/>
      <c r="E1059" s="64">
        <f>IF(tblCommentary[[#This Row],[Date]]="","",COUNTIFS(INDEX(tblCommentary[Date],1):tblCommentary[[#This Row],[Date]],tblCommentary[[#This Row],[Date]]))</f>
        <v/>
      </c>
      <c r="F1059" s="63">
        <f>IF(tblCommentary[[#This Row],[Date]]="","",tblCommentary[[#This Row],[Date]]&amp;"|"&amp;tblCommentary[[#This Row],[Seq_Day]])</f>
        <v/>
      </c>
    </row>
    <row r="1060">
      <c r="A1060" s="54" t="n"/>
      <c r="B1060" s="61" t="n"/>
      <c r="C1060" s="58" t="n"/>
      <c r="D1060" s="58" t="n"/>
      <c r="E1060" s="64">
        <f>IF(tblCommentary[[#This Row],[Date]]="","",COUNTIFS(INDEX(tblCommentary[Date],1):tblCommentary[[#This Row],[Date]],tblCommentary[[#This Row],[Date]]))</f>
        <v/>
      </c>
      <c r="F1060" s="63">
        <f>IF(tblCommentary[[#This Row],[Date]]="","",tblCommentary[[#This Row],[Date]]&amp;"|"&amp;tblCommentary[[#This Row],[Seq_Day]])</f>
        <v/>
      </c>
    </row>
    <row r="1061">
      <c r="A1061" s="54" t="n"/>
      <c r="B1061" s="61" t="n"/>
      <c r="C1061" s="58" t="n"/>
      <c r="D1061" s="58" t="n"/>
      <c r="E1061" s="64">
        <f>IF(tblCommentary[[#This Row],[Date]]="","",COUNTIFS(INDEX(tblCommentary[Date],1):tblCommentary[[#This Row],[Date]],tblCommentary[[#This Row],[Date]]))</f>
        <v/>
      </c>
      <c r="F1061" s="63">
        <f>IF(tblCommentary[[#This Row],[Date]]="","",tblCommentary[[#This Row],[Date]]&amp;"|"&amp;tblCommentary[[#This Row],[Seq_Day]])</f>
        <v/>
      </c>
    </row>
    <row r="1062">
      <c r="A1062" s="54" t="n"/>
      <c r="B1062" s="61" t="n"/>
      <c r="C1062" s="58" t="n"/>
      <c r="D1062" s="58" t="n"/>
      <c r="E1062" s="64">
        <f>IF(tblCommentary[[#This Row],[Date]]="","",COUNTIFS(INDEX(tblCommentary[Date],1):tblCommentary[[#This Row],[Date]],tblCommentary[[#This Row],[Date]]))</f>
        <v/>
      </c>
      <c r="F1062" s="63">
        <f>IF(tblCommentary[[#This Row],[Date]]="","",tblCommentary[[#This Row],[Date]]&amp;"|"&amp;tblCommentary[[#This Row],[Seq_Day]])</f>
        <v/>
      </c>
    </row>
    <row r="1063">
      <c r="A1063" s="54" t="n"/>
      <c r="B1063" s="61" t="n"/>
      <c r="C1063" s="58" t="n"/>
      <c r="D1063" s="58" t="n"/>
      <c r="E1063" s="64">
        <f>IF(tblCommentary[[#This Row],[Date]]="","",COUNTIFS(INDEX(tblCommentary[Date],1):tblCommentary[[#This Row],[Date]],tblCommentary[[#This Row],[Date]]))</f>
        <v/>
      </c>
      <c r="F1063" s="63">
        <f>IF(tblCommentary[[#This Row],[Date]]="","",tblCommentary[[#This Row],[Date]]&amp;"|"&amp;tblCommentary[[#This Row],[Seq_Day]])</f>
        <v/>
      </c>
    </row>
    <row r="1064">
      <c r="A1064" s="54" t="n"/>
      <c r="B1064" s="61" t="n"/>
      <c r="C1064" s="58" t="n"/>
      <c r="D1064" s="58" t="n"/>
      <c r="E1064" s="64">
        <f>IF(tblCommentary[[#This Row],[Date]]="","",COUNTIFS(INDEX(tblCommentary[Date],1):tblCommentary[[#This Row],[Date]],tblCommentary[[#This Row],[Date]]))</f>
        <v/>
      </c>
      <c r="F1064" s="63">
        <f>IF(tblCommentary[[#This Row],[Date]]="","",tblCommentary[[#This Row],[Date]]&amp;"|"&amp;tblCommentary[[#This Row],[Seq_Day]])</f>
        <v/>
      </c>
    </row>
    <row r="1065">
      <c r="A1065" s="54" t="n"/>
      <c r="B1065" s="61" t="n"/>
      <c r="C1065" s="58" t="n"/>
      <c r="D1065" s="58" t="n"/>
      <c r="E1065" s="64">
        <f>IF(tblCommentary[[#This Row],[Date]]="","",COUNTIFS(INDEX(tblCommentary[Date],1):tblCommentary[[#This Row],[Date]],tblCommentary[[#This Row],[Date]]))</f>
        <v/>
      </c>
      <c r="F1065" s="63">
        <f>IF(tblCommentary[[#This Row],[Date]]="","",tblCommentary[[#This Row],[Date]]&amp;"|"&amp;tblCommentary[[#This Row],[Seq_Day]])</f>
        <v/>
      </c>
    </row>
    <row r="1066">
      <c r="A1066" s="54" t="n"/>
      <c r="B1066" s="61" t="n"/>
      <c r="C1066" s="58" t="n"/>
      <c r="D1066" s="58" t="n"/>
      <c r="E1066" s="64">
        <f>IF(tblCommentary[[#This Row],[Date]]="","",COUNTIFS(INDEX(tblCommentary[Date],1):tblCommentary[[#This Row],[Date]],tblCommentary[[#This Row],[Date]]))</f>
        <v/>
      </c>
      <c r="F1066" s="63">
        <f>IF(tblCommentary[[#This Row],[Date]]="","",tblCommentary[[#This Row],[Date]]&amp;"|"&amp;tblCommentary[[#This Row],[Seq_Day]])</f>
        <v/>
      </c>
    </row>
    <row r="1067">
      <c r="A1067" s="54" t="n"/>
      <c r="B1067" s="61" t="n"/>
      <c r="C1067" s="58" t="n"/>
      <c r="D1067" s="58" t="n"/>
      <c r="E1067" s="64">
        <f>IF(tblCommentary[[#This Row],[Date]]="","",COUNTIFS(INDEX(tblCommentary[Date],1):tblCommentary[[#This Row],[Date]],tblCommentary[[#This Row],[Date]]))</f>
        <v/>
      </c>
      <c r="F1067" s="63">
        <f>IF(tblCommentary[[#This Row],[Date]]="","",tblCommentary[[#This Row],[Date]]&amp;"|"&amp;tblCommentary[[#This Row],[Seq_Day]])</f>
        <v/>
      </c>
    </row>
    <row r="1068">
      <c r="A1068" s="54" t="n"/>
      <c r="B1068" s="61" t="n"/>
      <c r="C1068" s="58" t="n"/>
      <c r="D1068" s="58" t="n"/>
      <c r="E1068" s="64">
        <f>IF(tblCommentary[[#This Row],[Date]]="","",COUNTIFS(INDEX(tblCommentary[Date],1):tblCommentary[[#This Row],[Date]],tblCommentary[[#This Row],[Date]]))</f>
        <v/>
      </c>
      <c r="F1068" s="63">
        <f>IF(tblCommentary[[#This Row],[Date]]="","",tblCommentary[[#This Row],[Date]]&amp;"|"&amp;tblCommentary[[#This Row],[Seq_Day]])</f>
        <v/>
      </c>
    </row>
    <row r="1069">
      <c r="A1069" s="54" t="n"/>
      <c r="B1069" s="61" t="n"/>
      <c r="C1069" s="58" t="n"/>
      <c r="D1069" s="58" t="n"/>
      <c r="E1069" s="64">
        <f>IF(tblCommentary[[#This Row],[Date]]="","",COUNTIFS(INDEX(tblCommentary[Date],1):tblCommentary[[#This Row],[Date]],tblCommentary[[#This Row],[Date]]))</f>
        <v/>
      </c>
      <c r="F1069" s="63">
        <f>IF(tblCommentary[[#This Row],[Date]]="","",tblCommentary[[#This Row],[Date]]&amp;"|"&amp;tblCommentary[[#This Row],[Seq_Day]])</f>
        <v/>
      </c>
    </row>
    <row r="1070">
      <c r="A1070" s="54" t="n"/>
      <c r="B1070" s="61" t="n"/>
      <c r="C1070" s="58" t="n"/>
      <c r="D1070" s="58" t="n"/>
      <c r="E1070" s="64">
        <f>IF(tblCommentary[[#This Row],[Date]]="","",COUNTIFS(INDEX(tblCommentary[Date],1):tblCommentary[[#This Row],[Date]],tblCommentary[[#This Row],[Date]]))</f>
        <v/>
      </c>
      <c r="F1070" s="63">
        <f>IF(tblCommentary[[#This Row],[Date]]="","",tblCommentary[[#This Row],[Date]]&amp;"|"&amp;tblCommentary[[#This Row],[Seq_Day]])</f>
        <v/>
      </c>
    </row>
    <row r="1071">
      <c r="A1071" s="54" t="n"/>
      <c r="B1071" s="61" t="n"/>
      <c r="C1071" s="58" t="n"/>
      <c r="D1071" s="58" t="n"/>
      <c r="E1071" s="64">
        <f>IF(tblCommentary[[#This Row],[Date]]="","",COUNTIFS(INDEX(tblCommentary[Date],1):tblCommentary[[#This Row],[Date]],tblCommentary[[#This Row],[Date]]))</f>
        <v/>
      </c>
      <c r="F1071" s="63">
        <f>IF(tblCommentary[[#This Row],[Date]]="","",tblCommentary[[#This Row],[Date]]&amp;"|"&amp;tblCommentary[[#This Row],[Seq_Day]])</f>
        <v/>
      </c>
    </row>
    <row r="1072">
      <c r="A1072" s="54" t="n"/>
      <c r="B1072" s="61" t="n"/>
      <c r="C1072" s="58" t="n"/>
      <c r="D1072" s="58" t="n"/>
      <c r="E1072" s="64">
        <f>IF(tblCommentary[[#This Row],[Date]]="","",COUNTIFS(INDEX(tblCommentary[Date],1):tblCommentary[[#This Row],[Date]],tblCommentary[[#This Row],[Date]]))</f>
        <v/>
      </c>
      <c r="F1072" s="63">
        <f>IF(tblCommentary[[#This Row],[Date]]="","",tblCommentary[[#This Row],[Date]]&amp;"|"&amp;tblCommentary[[#This Row],[Seq_Day]])</f>
        <v/>
      </c>
    </row>
    <row r="1073">
      <c r="A1073" s="54" t="n"/>
      <c r="B1073" s="61" t="n"/>
      <c r="C1073" s="58" t="n"/>
      <c r="D1073" s="58" t="n"/>
      <c r="E1073" s="64">
        <f>IF(tblCommentary[[#This Row],[Date]]="","",COUNTIFS(INDEX(tblCommentary[Date],1):tblCommentary[[#This Row],[Date]],tblCommentary[[#This Row],[Date]]))</f>
        <v/>
      </c>
      <c r="F1073" s="63">
        <f>IF(tblCommentary[[#This Row],[Date]]="","",tblCommentary[[#This Row],[Date]]&amp;"|"&amp;tblCommentary[[#This Row],[Seq_Day]])</f>
        <v/>
      </c>
    </row>
    <row r="1074">
      <c r="A1074" s="54" t="n"/>
      <c r="B1074" s="61" t="n"/>
      <c r="C1074" s="58" t="n"/>
      <c r="D1074" s="58" t="n"/>
      <c r="E1074" s="64">
        <f>IF(tblCommentary[[#This Row],[Date]]="","",COUNTIFS(INDEX(tblCommentary[Date],1):tblCommentary[[#This Row],[Date]],tblCommentary[[#This Row],[Date]]))</f>
        <v/>
      </c>
      <c r="F1074" s="63">
        <f>IF(tblCommentary[[#This Row],[Date]]="","",tblCommentary[[#This Row],[Date]]&amp;"|"&amp;tblCommentary[[#This Row],[Seq_Day]])</f>
        <v/>
      </c>
    </row>
    <row r="1075">
      <c r="A1075" s="54" t="n"/>
      <c r="B1075" s="61" t="n"/>
      <c r="C1075" s="58" t="n"/>
      <c r="D1075" s="58" t="n"/>
      <c r="E1075" s="64">
        <f>IF(tblCommentary[[#This Row],[Date]]="","",COUNTIFS(INDEX(tblCommentary[Date],1):tblCommentary[[#This Row],[Date]],tblCommentary[[#This Row],[Date]]))</f>
        <v/>
      </c>
      <c r="F1075" s="63">
        <f>IF(tblCommentary[[#This Row],[Date]]="","",tblCommentary[[#This Row],[Date]]&amp;"|"&amp;tblCommentary[[#This Row],[Seq_Day]])</f>
        <v/>
      </c>
    </row>
    <row r="1076">
      <c r="A1076" s="54" t="n"/>
      <c r="B1076" s="61" t="n"/>
      <c r="C1076" s="58" t="n"/>
      <c r="D1076" s="58" t="n"/>
      <c r="E1076" s="64">
        <f>IF(tblCommentary[[#This Row],[Date]]="","",COUNTIFS(INDEX(tblCommentary[Date],1):tblCommentary[[#This Row],[Date]],tblCommentary[[#This Row],[Date]]))</f>
        <v/>
      </c>
      <c r="F1076" s="63">
        <f>IF(tblCommentary[[#This Row],[Date]]="","",tblCommentary[[#This Row],[Date]]&amp;"|"&amp;tblCommentary[[#This Row],[Seq_Day]])</f>
        <v/>
      </c>
    </row>
    <row r="1077">
      <c r="A1077" s="54" t="n"/>
      <c r="B1077" s="61" t="n"/>
      <c r="C1077" s="58" t="n"/>
      <c r="D1077" s="58" t="n"/>
      <c r="E1077" s="64">
        <f>IF(tblCommentary[[#This Row],[Date]]="","",COUNTIFS(INDEX(tblCommentary[Date],1):tblCommentary[[#This Row],[Date]],tblCommentary[[#This Row],[Date]]))</f>
        <v/>
      </c>
      <c r="F1077" s="63">
        <f>IF(tblCommentary[[#This Row],[Date]]="","",tblCommentary[[#This Row],[Date]]&amp;"|"&amp;tblCommentary[[#This Row],[Seq_Day]])</f>
        <v/>
      </c>
    </row>
    <row r="1078">
      <c r="A1078" s="54" t="n"/>
      <c r="B1078" s="61" t="n"/>
      <c r="C1078" s="58" t="n"/>
      <c r="D1078" s="58" t="n"/>
      <c r="E1078" s="64">
        <f>IF(tblCommentary[[#This Row],[Date]]="","",COUNTIFS(INDEX(tblCommentary[Date],1):tblCommentary[[#This Row],[Date]],tblCommentary[[#This Row],[Date]]))</f>
        <v/>
      </c>
      <c r="F1078" s="63">
        <f>IF(tblCommentary[[#This Row],[Date]]="","",tblCommentary[[#This Row],[Date]]&amp;"|"&amp;tblCommentary[[#This Row],[Seq_Day]])</f>
        <v/>
      </c>
    </row>
    <row r="1079">
      <c r="A1079" s="54" t="n"/>
      <c r="B1079" s="61" t="n"/>
      <c r="C1079" s="58" t="n"/>
      <c r="D1079" s="58" t="n"/>
      <c r="E1079" s="64">
        <f>IF(tblCommentary[[#This Row],[Date]]="","",COUNTIFS(INDEX(tblCommentary[Date],1):tblCommentary[[#This Row],[Date]],tblCommentary[[#This Row],[Date]]))</f>
        <v/>
      </c>
      <c r="F1079" s="63">
        <f>IF(tblCommentary[[#This Row],[Date]]="","",tblCommentary[[#This Row],[Date]]&amp;"|"&amp;tblCommentary[[#This Row],[Seq_Day]])</f>
        <v/>
      </c>
    </row>
    <row r="1080">
      <c r="A1080" s="54" t="n"/>
      <c r="B1080" s="61" t="n"/>
      <c r="C1080" s="58" t="n"/>
      <c r="D1080" s="58" t="n"/>
      <c r="E1080" s="64">
        <f>IF(tblCommentary[[#This Row],[Date]]="","",COUNTIFS(INDEX(tblCommentary[Date],1):tblCommentary[[#This Row],[Date]],tblCommentary[[#This Row],[Date]]))</f>
        <v/>
      </c>
      <c r="F1080" s="63">
        <f>IF(tblCommentary[[#This Row],[Date]]="","",tblCommentary[[#This Row],[Date]]&amp;"|"&amp;tblCommentary[[#This Row],[Seq_Day]])</f>
        <v/>
      </c>
    </row>
    <row r="1081">
      <c r="A1081" s="54" t="n"/>
      <c r="B1081" s="61" t="n"/>
      <c r="C1081" s="58" t="n"/>
      <c r="D1081" s="58" t="n"/>
      <c r="E1081" s="64">
        <f>IF(tblCommentary[[#This Row],[Date]]="","",COUNTIFS(INDEX(tblCommentary[Date],1):tblCommentary[[#This Row],[Date]],tblCommentary[[#This Row],[Date]]))</f>
        <v/>
      </c>
      <c r="F1081" s="63">
        <f>IF(tblCommentary[[#This Row],[Date]]="","",tblCommentary[[#This Row],[Date]]&amp;"|"&amp;tblCommentary[[#This Row],[Seq_Day]])</f>
        <v/>
      </c>
    </row>
    <row r="1082">
      <c r="A1082" s="54" t="n"/>
      <c r="B1082" s="61" t="n"/>
      <c r="C1082" s="58" t="n"/>
      <c r="D1082" s="58" t="n"/>
      <c r="E1082" s="64">
        <f>IF(tblCommentary[[#This Row],[Date]]="","",COUNTIFS(INDEX(tblCommentary[Date],1):tblCommentary[[#This Row],[Date]],tblCommentary[[#This Row],[Date]]))</f>
        <v/>
      </c>
      <c r="F1082" s="63">
        <f>IF(tblCommentary[[#This Row],[Date]]="","",tblCommentary[[#This Row],[Date]]&amp;"|"&amp;tblCommentary[[#This Row],[Seq_Day]])</f>
        <v/>
      </c>
    </row>
    <row r="1083">
      <c r="A1083" s="54" t="n"/>
      <c r="B1083" s="61" t="n"/>
      <c r="C1083" s="58" t="n"/>
      <c r="D1083" s="58" t="n"/>
      <c r="E1083" s="64">
        <f>IF(tblCommentary[[#This Row],[Date]]="","",COUNTIFS(INDEX(tblCommentary[Date],1):tblCommentary[[#This Row],[Date]],tblCommentary[[#This Row],[Date]]))</f>
        <v/>
      </c>
      <c r="F1083" s="63">
        <f>IF(tblCommentary[[#This Row],[Date]]="","",tblCommentary[[#This Row],[Date]]&amp;"|"&amp;tblCommentary[[#This Row],[Seq_Day]])</f>
        <v/>
      </c>
    </row>
    <row r="1084">
      <c r="A1084" s="54" t="n"/>
      <c r="B1084" s="61" t="n"/>
      <c r="C1084" s="58" t="n"/>
      <c r="D1084" s="58" t="n"/>
      <c r="E1084" s="64">
        <f>IF(tblCommentary[[#This Row],[Date]]="","",COUNTIFS(INDEX(tblCommentary[Date],1):tblCommentary[[#This Row],[Date]],tblCommentary[[#This Row],[Date]]))</f>
        <v/>
      </c>
      <c r="F1084" s="63">
        <f>IF(tblCommentary[[#This Row],[Date]]="","",tblCommentary[[#This Row],[Date]]&amp;"|"&amp;tblCommentary[[#This Row],[Seq_Day]])</f>
        <v/>
      </c>
    </row>
    <row r="1085">
      <c r="A1085" s="54" t="n"/>
      <c r="B1085" s="61" t="n"/>
      <c r="C1085" s="58" t="n"/>
      <c r="D1085" s="58" t="n"/>
      <c r="E1085" s="64">
        <f>IF(tblCommentary[[#This Row],[Date]]="","",COUNTIFS(INDEX(tblCommentary[Date],1):tblCommentary[[#This Row],[Date]],tblCommentary[[#This Row],[Date]]))</f>
        <v/>
      </c>
      <c r="F1085" s="63">
        <f>IF(tblCommentary[[#This Row],[Date]]="","",tblCommentary[[#This Row],[Date]]&amp;"|"&amp;tblCommentary[[#This Row],[Seq_Day]])</f>
        <v/>
      </c>
    </row>
    <row r="1086">
      <c r="A1086" s="54" t="n"/>
      <c r="B1086" s="61" t="n"/>
      <c r="C1086" s="58" t="n"/>
      <c r="D1086" s="58" t="n"/>
      <c r="E1086" s="64">
        <f>IF(tblCommentary[[#This Row],[Date]]="","",COUNTIFS(INDEX(tblCommentary[Date],1):tblCommentary[[#This Row],[Date]],tblCommentary[[#This Row],[Date]]))</f>
        <v/>
      </c>
      <c r="F1086" s="63">
        <f>IF(tblCommentary[[#This Row],[Date]]="","",tblCommentary[[#This Row],[Date]]&amp;"|"&amp;tblCommentary[[#This Row],[Seq_Day]])</f>
        <v/>
      </c>
    </row>
    <row r="1087">
      <c r="A1087" s="54" t="n"/>
      <c r="B1087" s="61" t="n"/>
      <c r="C1087" s="58" t="n"/>
      <c r="D1087" s="58" t="n"/>
      <c r="E1087" s="64">
        <f>IF(tblCommentary[[#This Row],[Date]]="","",COUNTIFS(INDEX(tblCommentary[Date],1):tblCommentary[[#This Row],[Date]],tblCommentary[[#This Row],[Date]]))</f>
        <v/>
      </c>
      <c r="F1087" s="63">
        <f>IF(tblCommentary[[#This Row],[Date]]="","",tblCommentary[[#This Row],[Date]]&amp;"|"&amp;tblCommentary[[#This Row],[Seq_Day]])</f>
        <v/>
      </c>
    </row>
    <row r="1088">
      <c r="A1088" s="54" t="n"/>
      <c r="B1088" s="61" t="n"/>
      <c r="C1088" s="58" t="n"/>
      <c r="D1088" s="58" t="n"/>
      <c r="E1088" s="64">
        <f>IF(tblCommentary[[#This Row],[Date]]="","",COUNTIFS(INDEX(tblCommentary[Date],1):tblCommentary[[#This Row],[Date]],tblCommentary[[#This Row],[Date]]))</f>
        <v/>
      </c>
      <c r="F1088" s="63">
        <f>IF(tblCommentary[[#This Row],[Date]]="","",tblCommentary[[#This Row],[Date]]&amp;"|"&amp;tblCommentary[[#This Row],[Seq_Day]])</f>
        <v/>
      </c>
    </row>
    <row r="1089">
      <c r="A1089" s="54" t="n"/>
      <c r="B1089" s="61" t="n"/>
      <c r="C1089" s="58" t="n"/>
      <c r="D1089" s="58" t="n"/>
      <c r="E1089" s="64">
        <f>IF(tblCommentary[[#This Row],[Date]]="","",COUNTIFS(INDEX(tblCommentary[Date],1):tblCommentary[[#This Row],[Date]],tblCommentary[[#This Row],[Date]]))</f>
        <v/>
      </c>
      <c r="F1089" s="63">
        <f>IF(tblCommentary[[#This Row],[Date]]="","",tblCommentary[[#This Row],[Date]]&amp;"|"&amp;tblCommentary[[#This Row],[Seq_Day]])</f>
        <v/>
      </c>
    </row>
    <row r="1090">
      <c r="A1090" s="54" t="n"/>
      <c r="B1090" s="61" t="n"/>
      <c r="C1090" s="58" t="n"/>
      <c r="D1090" s="58" t="n"/>
      <c r="E1090" s="64">
        <f>IF(tblCommentary[[#This Row],[Date]]="","",COUNTIFS(INDEX(tblCommentary[Date],1):tblCommentary[[#This Row],[Date]],tblCommentary[[#This Row],[Date]]))</f>
        <v/>
      </c>
      <c r="F1090" s="63">
        <f>IF(tblCommentary[[#This Row],[Date]]="","",tblCommentary[[#This Row],[Date]]&amp;"|"&amp;tblCommentary[[#This Row],[Seq_Day]])</f>
        <v/>
      </c>
    </row>
    <row r="1091">
      <c r="A1091" s="54" t="n"/>
      <c r="B1091" s="61" t="n"/>
      <c r="C1091" s="58" t="n"/>
      <c r="D1091" s="58" t="n"/>
      <c r="E1091" s="64">
        <f>IF(tblCommentary[[#This Row],[Date]]="","",COUNTIFS(INDEX(tblCommentary[Date],1):tblCommentary[[#This Row],[Date]],tblCommentary[[#This Row],[Date]]))</f>
        <v/>
      </c>
      <c r="F1091" s="63">
        <f>IF(tblCommentary[[#This Row],[Date]]="","",tblCommentary[[#This Row],[Date]]&amp;"|"&amp;tblCommentary[[#This Row],[Seq_Day]])</f>
        <v/>
      </c>
    </row>
    <row r="1092">
      <c r="A1092" s="54" t="n"/>
      <c r="B1092" s="61" t="n"/>
      <c r="C1092" s="58" t="n"/>
      <c r="D1092" s="58" t="n"/>
      <c r="E1092" s="64">
        <f>IF(tblCommentary[[#This Row],[Date]]="","",COUNTIFS(INDEX(tblCommentary[Date],1):tblCommentary[[#This Row],[Date]],tblCommentary[[#This Row],[Date]]))</f>
        <v/>
      </c>
      <c r="F1092" s="63">
        <f>IF(tblCommentary[[#This Row],[Date]]="","",tblCommentary[[#This Row],[Date]]&amp;"|"&amp;tblCommentary[[#This Row],[Seq_Day]])</f>
        <v/>
      </c>
    </row>
    <row r="1093">
      <c r="A1093" s="54" t="n"/>
      <c r="B1093" s="61" t="n"/>
      <c r="C1093" s="58" t="n"/>
      <c r="D1093" s="58" t="n"/>
      <c r="E1093" s="64">
        <f>IF(tblCommentary[[#This Row],[Date]]="","",COUNTIFS(INDEX(tblCommentary[Date],1):tblCommentary[[#This Row],[Date]],tblCommentary[[#This Row],[Date]]))</f>
        <v/>
      </c>
      <c r="F1093" s="63">
        <f>IF(tblCommentary[[#This Row],[Date]]="","",tblCommentary[[#This Row],[Date]]&amp;"|"&amp;tblCommentary[[#This Row],[Seq_Day]])</f>
        <v/>
      </c>
    </row>
    <row r="1094">
      <c r="A1094" s="54" t="n"/>
      <c r="B1094" s="61" t="n"/>
      <c r="C1094" s="58" t="n"/>
      <c r="D1094" s="58" t="n"/>
      <c r="E1094" s="64">
        <f>IF(tblCommentary[[#This Row],[Date]]="","",COUNTIFS(INDEX(tblCommentary[Date],1):tblCommentary[[#This Row],[Date]],tblCommentary[[#This Row],[Date]]))</f>
        <v/>
      </c>
      <c r="F1094" s="63">
        <f>IF(tblCommentary[[#This Row],[Date]]="","",tblCommentary[[#This Row],[Date]]&amp;"|"&amp;tblCommentary[[#This Row],[Seq_Day]])</f>
        <v/>
      </c>
    </row>
    <row r="1095">
      <c r="A1095" s="54" t="n"/>
      <c r="B1095" s="61" t="n"/>
      <c r="C1095" s="58" t="n"/>
      <c r="D1095" s="58" t="n"/>
      <c r="E1095" s="64">
        <f>IF(tblCommentary[[#This Row],[Date]]="","",COUNTIFS(INDEX(tblCommentary[Date],1):tblCommentary[[#This Row],[Date]],tblCommentary[[#This Row],[Date]]))</f>
        <v/>
      </c>
      <c r="F1095" s="63">
        <f>IF(tblCommentary[[#This Row],[Date]]="","",tblCommentary[[#This Row],[Date]]&amp;"|"&amp;tblCommentary[[#This Row],[Seq_Day]])</f>
        <v/>
      </c>
    </row>
    <row r="1096">
      <c r="A1096" s="54" t="n"/>
      <c r="B1096" s="61" t="n"/>
      <c r="C1096" s="58" t="n"/>
      <c r="D1096" s="58" t="n"/>
      <c r="E1096" s="64">
        <f>IF(tblCommentary[[#This Row],[Date]]="","",COUNTIFS(INDEX(tblCommentary[Date],1):tblCommentary[[#This Row],[Date]],tblCommentary[[#This Row],[Date]]))</f>
        <v/>
      </c>
      <c r="F1096" s="63">
        <f>IF(tblCommentary[[#This Row],[Date]]="","",tblCommentary[[#This Row],[Date]]&amp;"|"&amp;tblCommentary[[#This Row],[Seq_Day]])</f>
        <v/>
      </c>
    </row>
    <row r="1097">
      <c r="A1097" s="54" t="n"/>
      <c r="B1097" s="61" t="n"/>
      <c r="C1097" s="58" t="n"/>
      <c r="D1097" s="58" t="n"/>
      <c r="E1097" s="64">
        <f>IF(tblCommentary[[#This Row],[Date]]="","",COUNTIFS(INDEX(tblCommentary[Date],1):tblCommentary[[#This Row],[Date]],tblCommentary[[#This Row],[Date]]))</f>
        <v/>
      </c>
      <c r="F1097" s="63">
        <f>IF(tblCommentary[[#This Row],[Date]]="","",tblCommentary[[#This Row],[Date]]&amp;"|"&amp;tblCommentary[[#This Row],[Seq_Day]])</f>
        <v/>
      </c>
    </row>
    <row r="1098">
      <c r="A1098" s="54" t="n"/>
      <c r="B1098" s="61" t="n"/>
      <c r="C1098" s="58" t="n"/>
      <c r="D1098" s="58" t="n"/>
      <c r="E1098" s="64">
        <f>IF(tblCommentary[[#This Row],[Date]]="","",COUNTIFS(INDEX(tblCommentary[Date],1):tblCommentary[[#This Row],[Date]],tblCommentary[[#This Row],[Date]]))</f>
        <v/>
      </c>
      <c r="F1098" s="63">
        <f>IF(tblCommentary[[#This Row],[Date]]="","",tblCommentary[[#This Row],[Date]]&amp;"|"&amp;tblCommentary[[#This Row],[Seq_Day]])</f>
        <v/>
      </c>
    </row>
    <row r="1099">
      <c r="A1099" s="54" t="n"/>
      <c r="B1099" s="61" t="n"/>
      <c r="C1099" s="58" t="n"/>
      <c r="D1099" s="58" t="n"/>
      <c r="E1099" s="64">
        <f>IF(tblCommentary[[#This Row],[Date]]="","",COUNTIFS(INDEX(tblCommentary[Date],1):tblCommentary[[#This Row],[Date]],tblCommentary[[#This Row],[Date]]))</f>
        <v/>
      </c>
      <c r="F1099" s="63">
        <f>IF(tblCommentary[[#This Row],[Date]]="","",tblCommentary[[#This Row],[Date]]&amp;"|"&amp;tblCommentary[[#This Row],[Seq_Day]])</f>
        <v/>
      </c>
    </row>
    <row r="1100">
      <c r="A1100" s="54" t="n"/>
      <c r="B1100" s="61" t="n"/>
      <c r="C1100" s="58" t="n"/>
      <c r="D1100" s="58" t="n"/>
      <c r="E1100" s="64">
        <f>IF(tblCommentary[[#This Row],[Date]]="","",COUNTIFS(INDEX(tblCommentary[Date],1):tblCommentary[[#This Row],[Date]],tblCommentary[[#This Row],[Date]]))</f>
        <v/>
      </c>
      <c r="F1100" s="63">
        <f>IF(tblCommentary[[#This Row],[Date]]="","",tblCommentary[[#This Row],[Date]]&amp;"|"&amp;tblCommentary[[#This Row],[Seq_Day]])</f>
        <v/>
      </c>
    </row>
    <row r="1101">
      <c r="A1101" s="54" t="n"/>
      <c r="B1101" s="61" t="n"/>
      <c r="C1101" s="58" t="n"/>
      <c r="D1101" s="58" t="n"/>
      <c r="E1101" s="64">
        <f>IF(tblCommentary[[#This Row],[Date]]="","",COUNTIFS(INDEX(tblCommentary[Date],1):tblCommentary[[#This Row],[Date]],tblCommentary[[#This Row],[Date]]))</f>
        <v/>
      </c>
      <c r="F1101" s="63">
        <f>IF(tblCommentary[[#This Row],[Date]]="","",tblCommentary[[#This Row],[Date]]&amp;"|"&amp;tblCommentary[[#This Row],[Seq_Day]])</f>
        <v/>
      </c>
    </row>
    <row r="1102">
      <c r="A1102" s="54" t="n"/>
      <c r="B1102" s="61" t="n"/>
      <c r="C1102" s="58" t="n"/>
      <c r="D1102" s="58" t="n"/>
      <c r="E1102" s="64">
        <f>IF(tblCommentary[[#This Row],[Date]]="","",COUNTIFS(INDEX(tblCommentary[Date],1):tblCommentary[[#This Row],[Date]],tblCommentary[[#This Row],[Date]]))</f>
        <v/>
      </c>
      <c r="F1102" s="63">
        <f>IF(tblCommentary[[#This Row],[Date]]="","",tblCommentary[[#This Row],[Date]]&amp;"|"&amp;tblCommentary[[#This Row],[Seq_Day]])</f>
        <v/>
      </c>
    </row>
    <row r="1103">
      <c r="A1103" s="54" t="n"/>
      <c r="B1103" s="61" t="n"/>
      <c r="C1103" s="58" t="n"/>
      <c r="D1103" s="58" t="n"/>
      <c r="E1103" s="64">
        <f>IF(tblCommentary[[#This Row],[Date]]="","",COUNTIFS(INDEX(tblCommentary[Date],1):tblCommentary[[#This Row],[Date]],tblCommentary[[#This Row],[Date]]))</f>
        <v/>
      </c>
      <c r="F1103" s="63">
        <f>IF(tblCommentary[[#This Row],[Date]]="","",tblCommentary[[#This Row],[Date]]&amp;"|"&amp;tblCommentary[[#This Row],[Seq_Day]])</f>
        <v/>
      </c>
    </row>
    <row r="1104">
      <c r="A1104" s="54" t="n"/>
      <c r="B1104" s="61" t="n"/>
      <c r="C1104" s="58" t="n"/>
      <c r="D1104" s="58" t="n"/>
      <c r="E1104" s="64">
        <f>IF(tblCommentary[[#This Row],[Date]]="","",COUNTIFS(INDEX(tblCommentary[Date],1):tblCommentary[[#This Row],[Date]],tblCommentary[[#This Row],[Date]]))</f>
        <v/>
      </c>
      <c r="F1104" s="63">
        <f>IF(tblCommentary[[#This Row],[Date]]="","",tblCommentary[[#This Row],[Date]]&amp;"|"&amp;tblCommentary[[#This Row],[Seq_Day]])</f>
        <v/>
      </c>
    </row>
    <row r="1105">
      <c r="A1105" s="54" t="n"/>
      <c r="B1105" s="61" t="n"/>
      <c r="C1105" s="58" t="n"/>
      <c r="D1105" s="58" t="n"/>
      <c r="E1105" s="64">
        <f>IF(tblCommentary[[#This Row],[Date]]="","",COUNTIFS(INDEX(tblCommentary[Date],1):tblCommentary[[#This Row],[Date]],tblCommentary[[#This Row],[Date]]))</f>
        <v/>
      </c>
      <c r="F1105" s="63">
        <f>IF(tblCommentary[[#This Row],[Date]]="","",tblCommentary[[#This Row],[Date]]&amp;"|"&amp;tblCommentary[[#This Row],[Seq_Day]])</f>
        <v/>
      </c>
    </row>
    <row r="1106">
      <c r="A1106" s="54" t="n"/>
      <c r="B1106" s="61" t="n"/>
      <c r="C1106" s="58" t="n"/>
      <c r="D1106" s="58" t="n"/>
      <c r="E1106" s="64">
        <f>IF(tblCommentary[[#This Row],[Date]]="","",COUNTIFS(INDEX(tblCommentary[Date],1):tblCommentary[[#This Row],[Date]],tblCommentary[[#This Row],[Date]]))</f>
        <v/>
      </c>
      <c r="F1106" s="63">
        <f>IF(tblCommentary[[#This Row],[Date]]="","",tblCommentary[[#This Row],[Date]]&amp;"|"&amp;tblCommentary[[#This Row],[Seq_Day]])</f>
        <v/>
      </c>
    </row>
    <row r="1107">
      <c r="A1107" s="54" t="n"/>
      <c r="B1107" s="61" t="n"/>
      <c r="C1107" s="58" t="n"/>
      <c r="D1107" s="58" t="n"/>
      <c r="E1107" s="64">
        <f>IF(tblCommentary[[#This Row],[Date]]="","",COUNTIFS(INDEX(tblCommentary[Date],1):tblCommentary[[#This Row],[Date]],tblCommentary[[#This Row],[Date]]))</f>
        <v/>
      </c>
      <c r="F1107" s="63">
        <f>IF(tblCommentary[[#This Row],[Date]]="","",tblCommentary[[#This Row],[Date]]&amp;"|"&amp;tblCommentary[[#This Row],[Seq_Day]])</f>
        <v/>
      </c>
    </row>
    <row r="1108">
      <c r="A1108" s="54" t="n"/>
      <c r="B1108" s="61" t="n"/>
      <c r="C1108" s="58" t="n"/>
      <c r="D1108" s="58" t="n"/>
      <c r="E1108" s="64">
        <f>IF(tblCommentary[[#This Row],[Date]]="","",COUNTIFS(INDEX(tblCommentary[Date],1):tblCommentary[[#This Row],[Date]],tblCommentary[[#This Row],[Date]]))</f>
        <v/>
      </c>
      <c r="F1108" s="63">
        <f>IF(tblCommentary[[#This Row],[Date]]="","",tblCommentary[[#This Row],[Date]]&amp;"|"&amp;tblCommentary[[#This Row],[Seq_Day]])</f>
        <v/>
      </c>
    </row>
    <row r="1109">
      <c r="A1109" s="54" t="n"/>
      <c r="B1109" s="61" t="n"/>
      <c r="C1109" s="58" t="n"/>
      <c r="D1109" s="58" t="n"/>
      <c r="E1109" s="64">
        <f>IF(tblCommentary[[#This Row],[Date]]="","",COUNTIFS(INDEX(tblCommentary[Date],1):tblCommentary[[#This Row],[Date]],tblCommentary[[#This Row],[Date]]))</f>
        <v/>
      </c>
      <c r="F1109" s="63">
        <f>IF(tblCommentary[[#This Row],[Date]]="","",tblCommentary[[#This Row],[Date]]&amp;"|"&amp;tblCommentary[[#This Row],[Seq_Day]])</f>
        <v/>
      </c>
    </row>
    <row r="1110">
      <c r="A1110" s="54" t="n"/>
      <c r="B1110" s="61" t="n"/>
      <c r="C1110" s="58" t="n"/>
      <c r="D1110" s="58" t="n"/>
      <c r="E1110" s="64">
        <f>IF(tblCommentary[[#This Row],[Date]]="","",COUNTIFS(INDEX(tblCommentary[Date],1):tblCommentary[[#This Row],[Date]],tblCommentary[[#This Row],[Date]]))</f>
        <v/>
      </c>
      <c r="F1110" s="63">
        <f>IF(tblCommentary[[#This Row],[Date]]="","",tblCommentary[[#This Row],[Date]]&amp;"|"&amp;tblCommentary[[#This Row],[Seq_Day]])</f>
        <v/>
      </c>
    </row>
    <row r="1111">
      <c r="A1111" s="54" t="n"/>
      <c r="B1111" s="61" t="n"/>
      <c r="C1111" s="58" t="n"/>
      <c r="D1111" s="58" t="n"/>
      <c r="E1111" s="64">
        <f>IF(tblCommentary[[#This Row],[Date]]="","",COUNTIFS(INDEX(tblCommentary[Date],1):tblCommentary[[#This Row],[Date]],tblCommentary[[#This Row],[Date]]))</f>
        <v/>
      </c>
      <c r="F1111" s="63">
        <f>IF(tblCommentary[[#This Row],[Date]]="","",tblCommentary[[#This Row],[Date]]&amp;"|"&amp;tblCommentary[[#This Row],[Seq_Day]])</f>
        <v/>
      </c>
    </row>
    <row r="1112">
      <c r="A1112" s="54" t="n"/>
      <c r="B1112" s="61" t="n"/>
      <c r="C1112" s="58" t="n"/>
      <c r="D1112" s="58" t="n"/>
      <c r="E1112" s="64">
        <f>IF(tblCommentary[[#This Row],[Date]]="","",COUNTIFS(INDEX(tblCommentary[Date],1):tblCommentary[[#This Row],[Date]],tblCommentary[[#This Row],[Date]]))</f>
        <v/>
      </c>
      <c r="F1112" s="63">
        <f>IF(tblCommentary[[#This Row],[Date]]="","",tblCommentary[[#This Row],[Date]]&amp;"|"&amp;tblCommentary[[#This Row],[Seq_Day]])</f>
        <v/>
      </c>
    </row>
    <row r="1113">
      <c r="A1113" s="54" t="n"/>
      <c r="B1113" s="61" t="n"/>
      <c r="C1113" s="58" t="n"/>
      <c r="D1113" s="58" t="n"/>
      <c r="E1113" s="64">
        <f>IF(tblCommentary[[#This Row],[Date]]="","",COUNTIFS(INDEX(tblCommentary[Date],1):tblCommentary[[#This Row],[Date]],tblCommentary[[#This Row],[Date]]))</f>
        <v/>
      </c>
      <c r="F1113" s="63">
        <f>IF(tblCommentary[[#This Row],[Date]]="","",tblCommentary[[#This Row],[Date]]&amp;"|"&amp;tblCommentary[[#This Row],[Seq_Day]])</f>
        <v/>
      </c>
    </row>
    <row r="1114">
      <c r="A1114" s="54" t="n"/>
      <c r="B1114" s="61" t="n"/>
      <c r="C1114" s="58" t="n"/>
      <c r="D1114" s="58" t="n"/>
      <c r="E1114" s="64">
        <f>IF(tblCommentary[[#This Row],[Date]]="","",COUNTIFS(INDEX(tblCommentary[Date],1):tblCommentary[[#This Row],[Date]],tblCommentary[[#This Row],[Date]]))</f>
        <v/>
      </c>
      <c r="F1114" s="63">
        <f>IF(tblCommentary[[#This Row],[Date]]="","",tblCommentary[[#This Row],[Date]]&amp;"|"&amp;tblCommentary[[#This Row],[Seq_Day]])</f>
        <v/>
      </c>
    </row>
    <row r="1115">
      <c r="A1115" s="54" t="n"/>
      <c r="B1115" s="61" t="n"/>
      <c r="C1115" s="58" t="n"/>
      <c r="D1115" s="58" t="n"/>
      <c r="E1115" s="64">
        <f>IF(tblCommentary[[#This Row],[Date]]="","",COUNTIFS(INDEX(tblCommentary[Date],1):tblCommentary[[#This Row],[Date]],tblCommentary[[#This Row],[Date]]))</f>
        <v/>
      </c>
      <c r="F1115" s="63">
        <f>IF(tblCommentary[[#This Row],[Date]]="","",tblCommentary[[#This Row],[Date]]&amp;"|"&amp;tblCommentary[[#This Row],[Seq_Day]])</f>
        <v/>
      </c>
    </row>
    <row r="1116">
      <c r="A1116" s="54" t="n"/>
      <c r="B1116" s="61" t="n"/>
      <c r="C1116" s="58" t="n"/>
      <c r="D1116" s="58" t="n"/>
      <c r="E1116" s="64">
        <f>IF(tblCommentary[[#This Row],[Date]]="","",COUNTIFS(INDEX(tblCommentary[Date],1):tblCommentary[[#This Row],[Date]],tblCommentary[[#This Row],[Date]]))</f>
        <v/>
      </c>
      <c r="F1116" s="63">
        <f>IF(tblCommentary[[#This Row],[Date]]="","",tblCommentary[[#This Row],[Date]]&amp;"|"&amp;tblCommentary[[#This Row],[Seq_Day]])</f>
        <v/>
      </c>
    </row>
    <row r="1117">
      <c r="A1117" s="54" t="n"/>
      <c r="B1117" s="61" t="n"/>
      <c r="C1117" s="58" t="n"/>
      <c r="D1117" s="58" t="n"/>
      <c r="E1117" s="64">
        <f>IF(tblCommentary[[#This Row],[Date]]="","",COUNTIFS(INDEX(tblCommentary[Date],1):tblCommentary[[#This Row],[Date]],tblCommentary[[#This Row],[Date]]))</f>
        <v/>
      </c>
      <c r="F1117" s="63">
        <f>IF(tblCommentary[[#This Row],[Date]]="","",tblCommentary[[#This Row],[Date]]&amp;"|"&amp;tblCommentary[[#This Row],[Seq_Day]])</f>
        <v/>
      </c>
    </row>
    <row r="1118">
      <c r="A1118" s="54" t="n"/>
      <c r="B1118" s="61" t="n"/>
      <c r="C1118" s="58" t="n"/>
      <c r="D1118" s="58" t="n"/>
      <c r="E1118" s="64">
        <f>IF(tblCommentary[[#This Row],[Date]]="","",COUNTIFS(INDEX(tblCommentary[Date],1):tblCommentary[[#This Row],[Date]],tblCommentary[[#This Row],[Date]]))</f>
        <v/>
      </c>
      <c r="F1118" s="63">
        <f>IF(tblCommentary[[#This Row],[Date]]="","",tblCommentary[[#This Row],[Date]]&amp;"|"&amp;tblCommentary[[#This Row],[Seq_Day]])</f>
        <v/>
      </c>
    </row>
    <row r="1119">
      <c r="A1119" s="54" t="n"/>
      <c r="B1119" s="61" t="n"/>
      <c r="C1119" s="58" t="n"/>
      <c r="D1119" s="58" t="n"/>
      <c r="E1119" s="64">
        <f>IF(tblCommentary[[#This Row],[Date]]="","",COUNTIFS(INDEX(tblCommentary[Date],1):tblCommentary[[#This Row],[Date]],tblCommentary[[#This Row],[Date]]))</f>
        <v/>
      </c>
      <c r="F1119" s="63">
        <f>IF(tblCommentary[[#This Row],[Date]]="","",tblCommentary[[#This Row],[Date]]&amp;"|"&amp;tblCommentary[[#This Row],[Seq_Day]])</f>
        <v/>
      </c>
    </row>
    <row r="1120">
      <c r="A1120" s="54" t="n"/>
      <c r="B1120" s="61" t="n"/>
      <c r="C1120" s="58" t="n"/>
      <c r="D1120" s="58" t="n"/>
      <c r="E1120" s="64">
        <f>IF(tblCommentary[[#This Row],[Date]]="","",COUNTIFS(INDEX(tblCommentary[Date],1):tblCommentary[[#This Row],[Date]],tblCommentary[[#This Row],[Date]]))</f>
        <v/>
      </c>
      <c r="F1120" s="63">
        <f>IF(tblCommentary[[#This Row],[Date]]="","",tblCommentary[[#This Row],[Date]]&amp;"|"&amp;tblCommentary[[#This Row],[Seq_Day]])</f>
        <v/>
      </c>
    </row>
    <row r="1121">
      <c r="A1121" s="54" t="n"/>
      <c r="B1121" s="61" t="n"/>
      <c r="C1121" s="58" t="n"/>
      <c r="D1121" s="58" t="n"/>
      <c r="E1121" s="64">
        <f>IF(tblCommentary[[#This Row],[Date]]="","",COUNTIFS(INDEX(tblCommentary[Date],1):tblCommentary[[#This Row],[Date]],tblCommentary[[#This Row],[Date]]))</f>
        <v/>
      </c>
      <c r="F1121" s="63">
        <f>IF(tblCommentary[[#This Row],[Date]]="","",tblCommentary[[#This Row],[Date]]&amp;"|"&amp;tblCommentary[[#This Row],[Seq_Day]])</f>
        <v/>
      </c>
    </row>
    <row r="1122">
      <c r="A1122" s="54" t="n"/>
      <c r="B1122" s="61" t="n"/>
      <c r="C1122" s="58" t="n"/>
      <c r="D1122" s="58" t="n"/>
      <c r="E1122" s="64">
        <f>IF(tblCommentary[[#This Row],[Date]]="","",COUNTIFS(INDEX(tblCommentary[Date],1):tblCommentary[[#This Row],[Date]],tblCommentary[[#This Row],[Date]]))</f>
        <v/>
      </c>
      <c r="F1122" s="63">
        <f>IF(tblCommentary[[#This Row],[Date]]="","",tblCommentary[[#This Row],[Date]]&amp;"|"&amp;tblCommentary[[#This Row],[Seq_Day]])</f>
        <v/>
      </c>
    </row>
    <row r="1123">
      <c r="A1123" s="54" t="n"/>
      <c r="B1123" s="61" t="n"/>
      <c r="C1123" s="58" t="n"/>
      <c r="D1123" s="58" t="n"/>
      <c r="E1123" s="64">
        <f>IF(tblCommentary[[#This Row],[Date]]="","",COUNTIFS(INDEX(tblCommentary[Date],1):tblCommentary[[#This Row],[Date]],tblCommentary[[#This Row],[Date]]))</f>
        <v/>
      </c>
      <c r="F1123" s="63">
        <f>IF(tblCommentary[[#This Row],[Date]]="","",tblCommentary[[#This Row],[Date]]&amp;"|"&amp;tblCommentary[[#This Row],[Seq_Day]])</f>
        <v/>
      </c>
    </row>
    <row r="1124">
      <c r="A1124" s="54" t="n"/>
      <c r="B1124" s="61" t="n"/>
      <c r="C1124" s="58" t="n"/>
      <c r="D1124" s="58" t="n"/>
      <c r="E1124" s="64">
        <f>IF(tblCommentary[[#This Row],[Date]]="","",COUNTIFS(INDEX(tblCommentary[Date],1):tblCommentary[[#This Row],[Date]],tblCommentary[[#This Row],[Date]]))</f>
        <v/>
      </c>
      <c r="F1124" s="63">
        <f>IF(tblCommentary[[#This Row],[Date]]="","",tblCommentary[[#This Row],[Date]]&amp;"|"&amp;tblCommentary[[#This Row],[Seq_Day]])</f>
        <v/>
      </c>
    </row>
    <row r="1125">
      <c r="A1125" s="54" t="n"/>
      <c r="B1125" s="61" t="n"/>
      <c r="C1125" s="58" t="n"/>
      <c r="D1125" s="58" t="n"/>
      <c r="E1125" s="64">
        <f>IF(tblCommentary[[#This Row],[Date]]="","",COUNTIFS(INDEX(tblCommentary[Date],1):tblCommentary[[#This Row],[Date]],tblCommentary[[#This Row],[Date]]))</f>
        <v/>
      </c>
      <c r="F1125" s="63">
        <f>IF(tblCommentary[[#This Row],[Date]]="","",tblCommentary[[#This Row],[Date]]&amp;"|"&amp;tblCommentary[[#This Row],[Seq_Day]])</f>
        <v/>
      </c>
    </row>
    <row r="1126">
      <c r="A1126" s="54" t="n"/>
      <c r="B1126" s="61" t="n"/>
      <c r="C1126" s="58" t="n"/>
      <c r="D1126" s="58" t="n"/>
      <c r="E1126" s="64">
        <f>IF(tblCommentary[[#This Row],[Date]]="","",COUNTIFS(INDEX(tblCommentary[Date],1):tblCommentary[[#This Row],[Date]],tblCommentary[[#This Row],[Date]]))</f>
        <v/>
      </c>
      <c r="F1126" s="63">
        <f>IF(tblCommentary[[#This Row],[Date]]="","",tblCommentary[[#This Row],[Date]]&amp;"|"&amp;tblCommentary[[#This Row],[Seq_Day]])</f>
        <v/>
      </c>
    </row>
    <row r="1127">
      <c r="A1127" s="54" t="n"/>
      <c r="B1127" s="61" t="n"/>
      <c r="C1127" s="58" t="n"/>
      <c r="D1127" s="58" t="n"/>
      <c r="E1127" s="64">
        <f>IF(tblCommentary[[#This Row],[Date]]="","",COUNTIFS(INDEX(tblCommentary[Date],1):tblCommentary[[#This Row],[Date]],tblCommentary[[#This Row],[Date]]))</f>
        <v/>
      </c>
      <c r="F1127" s="63">
        <f>IF(tblCommentary[[#This Row],[Date]]="","",tblCommentary[[#This Row],[Date]]&amp;"|"&amp;tblCommentary[[#This Row],[Seq_Day]])</f>
        <v/>
      </c>
    </row>
    <row r="1128">
      <c r="A1128" s="54" t="n"/>
      <c r="B1128" s="61" t="n"/>
      <c r="C1128" s="58" t="n"/>
      <c r="D1128" s="58" t="n"/>
      <c r="E1128" s="64">
        <f>IF(tblCommentary[[#This Row],[Date]]="","",COUNTIFS(INDEX(tblCommentary[Date],1):tblCommentary[[#This Row],[Date]],tblCommentary[[#This Row],[Date]]))</f>
        <v/>
      </c>
      <c r="F1128" s="63">
        <f>IF(tblCommentary[[#This Row],[Date]]="","",tblCommentary[[#This Row],[Date]]&amp;"|"&amp;tblCommentary[[#This Row],[Seq_Day]])</f>
        <v/>
      </c>
    </row>
    <row r="1129">
      <c r="A1129" s="54" t="n"/>
      <c r="B1129" s="61" t="n"/>
      <c r="C1129" s="58" t="n"/>
      <c r="D1129" s="58" t="n"/>
      <c r="E1129" s="64">
        <f>IF(tblCommentary[[#This Row],[Date]]="","",COUNTIFS(INDEX(tblCommentary[Date],1):tblCommentary[[#This Row],[Date]],tblCommentary[[#This Row],[Date]]))</f>
        <v/>
      </c>
      <c r="F1129" s="63">
        <f>IF(tblCommentary[[#This Row],[Date]]="","",tblCommentary[[#This Row],[Date]]&amp;"|"&amp;tblCommentary[[#This Row],[Seq_Day]])</f>
        <v/>
      </c>
    </row>
    <row r="1130">
      <c r="A1130" s="54" t="n"/>
      <c r="B1130" s="61" t="n"/>
      <c r="C1130" s="58" t="n"/>
      <c r="D1130" s="58" t="n"/>
      <c r="E1130" s="64">
        <f>IF(tblCommentary[[#This Row],[Date]]="","",COUNTIFS(INDEX(tblCommentary[Date],1):tblCommentary[[#This Row],[Date]],tblCommentary[[#This Row],[Date]]))</f>
        <v/>
      </c>
      <c r="F1130" s="63">
        <f>IF(tblCommentary[[#This Row],[Date]]="","",tblCommentary[[#This Row],[Date]]&amp;"|"&amp;tblCommentary[[#This Row],[Seq_Day]])</f>
        <v/>
      </c>
    </row>
    <row r="1131">
      <c r="A1131" s="54" t="n"/>
      <c r="B1131" s="61" t="n"/>
      <c r="C1131" s="58" t="n"/>
      <c r="D1131" s="58" t="n"/>
      <c r="E1131" s="64">
        <f>IF(tblCommentary[[#This Row],[Date]]="","",COUNTIFS(INDEX(tblCommentary[Date],1):tblCommentary[[#This Row],[Date]],tblCommentary[[#This Row],[Date]]))</f>
        <v/>
      </c>
      <c r="F1131" s="63">
        <f>IF(tblCommentary[[#This Row],[Date]]="","",tblCommentary[[#This Row],[Date]]&amp;"|"&amp;tblCommentary[[#This Row],[Seq_Day]])</f>
        <v/>
      </c>
    </row>
    <row r="1132">
      <c r="A1132" s="54" t="n"/>
      <c r="B1132" s="61" t="n"/>
      <c r="C1132" s="58" t="n"/>
      <c r="D1132" s="58" t="n"/>
      <c r="E1132" s="64">
        <f>IF(tblCommentary[[#This Row],[Date]]="","",COUNTIFS(INDEX(tblCommentary[Date],1):tblCommentary[[#This Row],[Date]],tblCommentary[[#This Row],[Date]]))</f>
        <v/>
      </c>
      <c r="F1132" s="63">
        <f>IF(tblCommentary[[#This Row],[Date]]="","",tblCommentary[[#This Row],[Date]]&amp;"|"&amp;tblCommentary[[#This Row],[Seq_Day]])</f>
        <v/>
      </c>
    </row>
    <row r="1133">
      <c r="A1133" s="54" t="n"/>
      <c r="B1133" s="61" t="n"/>
      <c r="C1133" s="58" t="n"/>
      <c r="D1133" s="58" t="n"/>
      <c r="E1133" s="64">
        <f>IF(tblCommentary[[#This Row],[Date]]="","",COUNTIFS(INDEX(tblCommentary[Date],1):tblCommentary[[#This Row],[Date]],tblCommentary[[#This Row],[Date]]))</f>
        <v/>
      </c>
      <c r="F1133" s="63">
        <f>IF(tblCommentary[[#This Row],[Date]]="","",tblCommentary[[#This Row],[Date]]&amp;"|"&amp;tblCommentary[[#This Row],[Seq_Day]])</f>
        <v/>
      </c>
    </row>
    <row r="1134">
      <c r="A1134" s="54" t="n"/>
      <c r="B1134" s="61" t="n"/>
      <c r="C1134" s="58" t="n"/>
      <c r="D1134" s="58" t="n"/>
      <c r="E1134" s="64">
        <f>IF(tblCommentary[[#This Row],[Date]]="","",COUNTIFS(INDEX(tblCommentary[Date],1):tblCommentary[[#This Row],[Date]],tblCommentary[[#This Row],[Date]]))</f>
        <v/>
      </c>
      <c r="F1134" s="63">
        <f>IF(tblCommentary[[#This Row],[Date]]="","",tblCommentary[[#This Row],[Date]]&amp;"|"&amp;tblCommentary[[#This Row],[Seq_Day]])</f>
        <v/>
      </c>
    </row>
    <row r="1135">
      <c r="A1135" s="54" t="n"/>
      <c r="B1135" s="61" t="n"/>
      <c r="C1135" s="58" t="n"/>
      <c r="D1135" s="58" t="n"/>
      <c r="E1135" s="64">
        <f>IF(tblCommentary[[#This Row],[Date]]="","",COUNTIFS(INDEX(tblCommentary[Date],1):tblCommentary[[#This Row],[Date]],tblCommentary[[#This Row],[Date]]))</f>
        <v/>
      </c>
      <c r="F1135" s="63">
        <f>IF(tblCommentary[[#This Row],[Date]]="","",tblCommentary[[#This Row],[Date]]&amp;"|"&amp;tblCommentary[[#This Row],[Seq_Day]])</f>
        <v/>
      </c>
    </row>
    <row r="1136">
      <c r="A1136" s="54" t="n"/>
      <c r="B1136" s="61" t="n"/>
      <c r="C1136" s="58" t="n"/>
      <c r="D1136" s="58" t="n"/>
      <c r="E1136" s="64">
        <f>IF(tblCommentary[[#This Row],[Date]]="","",COUNTIFS(INDEX(tblCommentary[Date],1):tblCommentary[[#This Row],[Date]],tblCommentary[[#This Row],[Date]]))</f>
        <v/>
      </c>
      <c r="F1136" s="63">
        <f>IF(tblCommentary[[#This Row],[Date]]="","",tblCommentary[[#This Row],[Date]]&amp;"|"&amp;tblCommentary[[#This Row],[Seq_Day]])</f>
        <v/>
      </c>
    </row>
    <row r="1137">
      <c r="A1137" s="54" t="n"/>
      <c r="B1137" s="61" t="n"/>
      <c r="C1137" s="58" t="n"/>
      <c r="D1137" s="58" t="n"/>
      <c r="E1137" s="64">
        <f>IF(tblCommentary[[#This Row],[Date]]="","",COUNTIFS(INDEX(tblCommentary[Date],1):tblCommentary[[#This Row],[Date]],tblCommentary[[#This Row],[Date]]))</f>
        <v/>
      </c>
      <c r="F1137" s="63">
        <f>IF(tblCommentary[[#This Row],[Date]]="","",tblCommentary[[#This Row],[Date]]&amp;"|"&amp;tblCommentary[[#This Row],[Seq_Day]])</f>
        <v/>
      </c>
    </row>
    <row r="1138">
      <c r="A1138" s="54" t="n"/>
      <c r="B1138" s="61" t="n"/>
      <c r="C1138" s="58" t="n"/>
      <c r="D1138" s="58" t="n"/>
      <c r="E1138" s="64">
        <f>IF(tblCommentary[[#This Row],[Date]]="","",COUNTIFS(INDEX(tblCommentary[Date],1):tblCommentary[[#This Row],[Date]],tblCommentary[[#This Row],[Date]]))</f>
        <v/>
      </c>
      <c r="F1138" s="63">
        <f>IF(tblCommentary[[#This Row],[Date]]="","",tblCommentary[[#This Row],[Date]]&amp;"|"&amp;tblCommentary[[#This Row],[Seq_Day]])</f>
        <v/>
      </c>
    </row>
    <row r="1139">
      <c r="A1139" s="54" t="n"/>
      <c r="B1139" s="61" t="n"/>
      <c r="C1139" s="58" t="n"/>
      <c r="D1139" s="58" t="n"/>
      <c r="E1139" s="64">
        <f>IF(tblCommentary[[#This Row],[Date]]="","",COUNTIFS(INDEX(tblCommentary[Date],1):tblCommentary[[#This Row],[Date]],tblCommentary[[#This Row],[Date]]))</f>
        <v/>
      </c>
      <c r="F1139" s="63">
        <f>IF(tblCommentary[[#This Row],[Date]]="","",tblCommentary[[#This Row],[Date]]&amp;"|"&amp;tblCommentary[[#This Row],[Seq_Day]])</f>
        <v/>
      </c>
    </row>
    <row r="1140">
      <c r="A1140" s="54" t="n"/>
      <c r="B1140" s="61" t="n"/>
      <c r="C1140" s="58" t="n"/>
      <c r="D1140" s="58" t="n"/>
      <c r="E1140" s="64">
        <f>IF(tblCommentary[[#This Row],[Date]]="","",COUNTIFS(INDEX(tblCommentary[Date],1):tblCommentary[[#This Row],[Date]],tblCommentary[[#This Row],[Date]]))</f>
        <v/>
      </c>
      <c r="F1140" s="63">
        <f>IF(tblCommentary[[#This Row],[Date]]="","",tblCommentary[[#This Row],[Date]]&amp;"|"&amp;tblCommentary[[#This Row],[Seq_Day]])</f>
        <v/>
      </c>
    </row>
    <row r="1141">
      <c r="A1141" s="54" t="n"/>
      <c r="B1141" s="61" t="n"/>
      <c r="C1141" s="58" t="n"/>
      <c r="D1141" s="58" t="n"/>
      <c r="E1141" s="64">
        <f>IF(tblCommentary[[#This Row],[Date]]="","",COUNTIFS(INDEX(tblCommentary[Date],1):tblCommentary[[#This Row],[Date]],tblCommentary[[#This Row],[Date]]))</f>
        <v/>
      </c>
      <c r="F1141" s="63">
        <f>IF(tblCommentary[[#This Row],[Date]]="","",tblCommentary[[#This Row],[Date]]&amp;"|"&amp;tblCommentary[[#This Row],[Seq_Day]])</f>
        <v/>
      </c>
    </row>
    <row r="1142">
      <c r="A1142" s="54" t="n"/>
      <c r="B1142" s="61" t="n"/>
      <c r="C1142" s="58" t="n"/>
      <c r="D1142" s="58" t="n"/>
      <c r="E1142" s="64">
        <f>IF(tblCommentary[[#This Row],[Date]]="","",COUNTIFS(INDEX(tblCommentary[Date],1):tblCommentary[[#This Row],[Date]],tblCommentary[[#This Row],[Date]]))</f>
        <v/>
      </c>
      <c r="F1142" s="63">
        <f>IF(tblCommentary[[#This Row],[Date]]="","",tblCommentary[[#This Row],[Date]]&amp;"|"&amp;tblCommentary[[#This Row],[Seq_Day]])</f>
        <v/>
      </c>
    </row>
    <row r="1143">
      <c r="A1143" s="54" t="n"/>
      <c r="B1143" s="61" t="n"/>
      <c r="C1143" s="58" t="n"/>
      <c r="D1143" s="58" t="n"/>
      <c r="E1143" s="64">
        <f>IF(tblCommentary[[#This Row],[Date]]="","",COUNTIFS(INDEX(tblCommentary[Date],1):tblCommentary[[#This Row],[Date]],tblCommentary[[#This Row],[Date]]))</f>
        <v/>
      </c>
      <c r="F1143" s="63">
        <f>IF(tblCommentary[[#This Row],[Date]]="","",tblCommentary[[#This Row],[Date]]&amp;"|"&amp;tblCommentary[[#This Row],[Seq_Day]])</f>
        <v/>
      </c>
    </row>
    <row r="1144">
      <c r="A1144" s="54" t="n"/>
      <c r="B1144" s="61" t="n"/>
      <c r="C1144" s="58" t="n"/>
      <c r="D1144" s="58" t="n"/>
      <c r="E1144" s="64">
        <f>IF(tblCommentary[[#This Row],[Date]]="","",COUNTIFS(INDEX(tblCommentary[Date],1):tblCommentary[[#This Row],[Date]],tblCommentary[[#This Row],[Date]]))</f>
        <v/>
      </c>
      <c r="F1144" s="63">
        <f>IF(tblCommentary[[#This Row],[Date]]="","",tblCommentary[[#This Row],[Date]]&amp;"|"&amp;tblCommentary[[#This Row],[Seq_Day]])</f>
        <v/>
      </c>
    </row>
    <row r="1145">
      <c r="A1145" s="54" t="n"/>
      <c r="B1145" s="61" t="n"/>
      <c r="C1145" s="58" t="n"/>
      <c r="D1145" s="58" t="n"/>
      <c r="E1145" s="64">
        <f>IF(tblCommentary[[#This Row],[Date]]="","",COUNTIFS(INDEX(tblCommentary[Date],1):tblCommentary[[#This Row],[Date]],tblCommentary[[#This Row],[Date]]))</f>
        <v/>
      </c>
      <c r="F1145" s="63">
        <f>IF(tblCommentary[[#This Row],[Date]]="","",tblCommentary[[#This Row],[Date]]&amp;"|"&amp;tblCommentary[[#This Row],[Seq_Day]])</f>
        <v/>
      </c>
    </row>
    <row r="1146">
      <c r="A1146" s="54" t="n"/>
      <c r="B1146" s="61" t="n"/>
      <c r="C1146" s="58" t="n"/>
      <c r="D1146" s="58" t="n"/>
      <c r="E1146" s="64">
        <f>IF(tblCommentary[[#This Row],[Date]]="","",COUNTIFS(INDEX(tblCommentary[Date],1):tblCommentary[[#This Row],[Date]],tblCommentary[[#This Row],[Date]]))</f>
        <v/>
      </c>
      <c r="F1146" s="63">
        <f>IF(tblCommentary[[#This Row],[Date]]="","",tblCommentary[[#This Row],[Date]]&amp;"|"&amp;tblCommentary[[#This Row],[Seq_Day]])</f>
        <v/>
      </c>
    </row>
    <row r="1147">
      <c r="A1147" s="54" t="n"/>
      <c r="B1147" s="61" t="n"/>
      <c r="C1147" s="58" t="n"/>
      <c r="D1147" s="58" t="n"/>
      <c r="E1147" s="64">
        <f>IF(tblCommentary[[#This Row],[Date]]="","",COUNTIFS(INDEX(tblCommentary[Date],1):tblCommentary[[#This Row],[Date]],tblCommentary[[#This Row],[Date]]))</f>
        <v/>
      </c>
      <c r="F1147" s="63">
        <f>IF(tblCommentary[[#This Row],[Date]]="","",tblCommentary[[#This Row],[Date]]&amp;"|"&amp;tblCommentary[[#This Row],[Seq_Day]])</f>
        <v/>
      </c>
    </row>
    <row r="1148">
      <c r="A1148" s="54" t="n"/>
      <c r="B1148" s="61" t="n"/>
      <c r="C1148" s="58" t="n"/>
      <c r="D1148" s="58" t="n"/>
      <c r="E1148" s="64">
        <f>IF(tblCommentary[[#This Row],[Date]]="","",COUNTIFS(INDEX(tblCommentary[Date],1):tblCommentary[[#This Row],[Date]],tblCommentary[[#This Row],[Date]]))</f>
        <v/>
      </c>
      <c r="F1148" s="63">
        <f>IF(tblCommentary[[#This Row],[Date]]="","",tblCommentary[[#This Row],[Date]]&amp;"|"&amp;tblCommentary[[#This Row],[Seq_Day]])</f>
        <v/>
      </c>
    </row>
    <row r="1149">
      <c r="A1149" s="54" t="n"/>
      <c r="B1149" s="61" t="n"/>
      <c r="C1149" s="58" t="n"/>
      <c r="D1149" s="58" t="n"/>
      <c r="E1149" s="64">
        <f>IF(tblCommentary[[#This Row],[Date]]="","",COUNTIFS(INDEX(tblCommentary[Date],1):tblCommentary[[#This Row],[Date]],tblCommentary[[#This Row],[Date]]))</f>
        <v/>
      </c>
      <c r="F1149" s="63">
        <f>IF(tblCommentary[[#This Row],[Date]]="","",tblCommentary[[#This Row],[Date]]&amp;"|"&amp;tblCommentary[[#This Row],[Seq_Day]])</f>
        <v/>
      </c>
    </row>
    <row r="1150">
      <c r="A1150" s="54" t="n"/>
      <c r="B1150" s="61" t="n"/>
      <c r="C1150" s="58" t="n"/>
      <c r="D1150" s="58" t="n"/>
      <c r="E1150" s="64">
        <f>IF(tblCommentary[[#This Row],[Date]]="","",COUNTIFS(INDEX(tblCommentary[Date],1):tblCommentary[[#This Row],[Date]],tblCommentary[[#This Row],[Date]]))</f>
        <v/>
      </c>
      <c r="F1150" s="63">
        <f>IF(tblCommentary[[#This Row],[Date]]="","",tblCommentary[[#This Row],[Date]]&amp;"|"&amp;tblCommentary[[#This Row],[Seq_Day]])</f>
        <v/>
      </c>
    </row>
    <row r="1151">
      <c r="A1151" s="54" t="n"/>
      <c r="B1151" s="61" t="n"/>
      <c r="C1151" s="58" t="n"/>
      <c r="D1151" s="58" t="n"/>
      <c r="E1151" s="64">
        <f>IF(tblCommentary[[#This Row],[Date]]="","",COUNTIFS(INDEX(tblCommentary[Date],1):tblCommentary[[#This Row],[Date]],tblCommentary[[#This Row],[Date]]))</f>
        <v/>
      </c>
      <c r="F1151" s="63">
        <f>IF(tblCommentary[[#This Row],[Date]]="","",tblCommentary[[#This Row],[Date]]&amp;"|"&amp;tblCommentary[[#This Row],[Seq_Day]])</f>
        <v/>
      </c>
    </row>
    <row r="1152">
      <c r="A1152" s="54" t="n"/>
      <c r="B1152" s="61" t="n"/>
      <c r="C1152" s="58" t="n"/>
      <c r="D1152" s="58" t="n"/>
      <c r="E1152" s="64">
        <f>IF(tblCommentary[[#This Row],[Date]]="","",COUNTIFS(INDEX(tblCommentary[Date],1):tblCommentary[[#This Row],[Date]],tblCommentary[[#This Row],[Date]]))</f>
        <v/>
      </c>
      <c r="F1152" s="63">
        <f>IF(tblCommentary[[#This Row],[Date]]="","",tblCommentary[[#This Row],[Date]]&amp;"|"&amp;tblCommentary[[#This Row],[Seq_Day]])</f>
        <v/>
      </c>
    </row>
    <row r="1153">
      <c r="A1153" s="54" t="n"/>
      <c r="B1153" s="61" t="n"/>
      <c r="C1153" s="58" t="n"/>
      <c r="D1153" s="58" t="n"/>
      <c r="E1153" s="64">
        <f>IF(tblCommentary[[#This Row],[Date]]="","",COUNTIFS(INDEX(tblCommentary[Date],1):tblCommentary[[#This Row],[Date]],tblCommentary[[#This Row],[Date]]))</f>
        <v/>
      </c>
      <c r="F1153" s="63">
        <f>IF(tblCommentary[[#This Row],[Date]]="","",tblCommentary[[#This Row],[Date]]&amp;"|"&amp;tblCommentary[[#This Row],[Seq_Day]])</f>
        <v/>
      </c>
    </row>
    <row r="1154">
      <c r="A1154" s="54" t="n"/>
      <c r="B1154" s="61" t="n"/>
      <c r="C1154" s="58" t="n"/>
      <c r="D1154" s="58" t="n"/>
      <c r="E1154" s="64">
        <f>IF(tblCommentary[[#This Row],[Date]]="","",COUNTIFS(INDEX(tblCommentary[Date],1):tblCommentary[[#This Row],[Date]],tblCommentary[[#This Row],[Date]]))</f>
        <v/>
      </c>
      <c r="F1154" s="63">
        <f>IF(tblCommentary[[#This Row],[Date]]="","",tblCommentary[[#This Row],[Date]]&amp;"|"&amp;tblCommentary[[#This Row],[Seq_Day]])</f>
        <v/>
      </c>
    </row>
    <row r="1155">
      <c r="A1155" s="54" t="n"/>
      <c r="B1155" s="61" t="n"/>
      <c r="C1155" s="58" t="n"/>
      <c r="D1155" s="58" t="n"/>
      <c r="E1155" s="64">
        <f>IF(tblCommentary[[#This Row],[Date]]="","",COUNTIFS(INDEX(tblCommentary[Date],1):tblCommentary[[#This Row],[Date]],tblCommentary[[#This Row],[Date]]))</f>
        <v/>
      </c>
      <c r="F1155" s="63">
        <f>IF(tblCommentary[[#This Row],[Date]]="","",tblCommentary[[#This Row],[Date]]&amp;"|"&amp;tblCommentary[[#This Row],[Seq_Day]])</f>
        <v/>
      </c>
    </row>
    <row r="1156">
      <c r="A1156" s="54" t="n"/>
      <c r="B1156" s="61" t="n"/>
      <c r="C1156" s="58" t="n"/>
      <c r="D1156" s="58" t="n"/>
      <c r="E1156" s="64">
        <f>IF(tblCommentary[[#This Row],[Date]]="","",COUNTIFS(INDEX(tblCommentary[Date],1):tblCommentary[[#This Row],[Date]],tblCommentary[[#This Row],[Date]]))</f>
        <v/>
      </c>
      <c r="F1156" s="63">
        <f>IF(tblCommentary[[#This Row],[Date]]="","",tblCommentary[[#This Row],[Date]]&amp;"|"&amp;tblCommentary[[#This Row],[Seq_Day]])</f>
        <v/>
      </c>
    </row>
    <row r="1157">
      <c r="A1157" s="54" t="n"/>
      <c r="B1157" s="61" t="n"/>
      <c r="C1157" s="58" t="n"/>
      <c r="D1157" s="58" t="n"/>
      <c r="E1157" s="64">
        <f>IF(tblCommentary[[#This Row],[Date]]="","",COUNTIFS(INDEX(tblCommentary[Date],1):tblCommentary[[#This Row],[Date]],tblCommentary[[#This Row],[Date]]))</f>
        <v/>
      </c>
      <c r="F1157" s="63">
        <f>IF(tblCommentary[[#This Row],[Date]]="","",tblCommentary[[#This Row],[Date]]&amp;"|"&amp;tblCommentary[[#This Row],[Seq_Day]])</f>
        <v/>
      </c>
    </row>
    <row r="1158">
      <c r="A1158" s="54" t="n"/>
      <c r="B1158" s="61" t="n"/>
      <c r="C1158" s="58" t="n"/>
      <c r="D1158" s="58" t="n"/>
      <c r="E1158" s="64">
        <f>IF(tblCommentary[[#This Row],[Date]]="","",COUNTIFS(INDEX(tblCommentary[Date],1):tblCommentary[[#This Row],[Date]],tblCommentary[[#This Row],[Date]]))</f>
        <v/>
      </c>
      <c r="F1158" s="63">
        <f>IF(tblCommentary[[#This Row],[Date]]="","",tblCommentary[[#This Row],[Date]]&amp;"|"&amp;tblCommentary[[#This Row],[Seq_Day]])</f>
        <v/>
      </c>
    </row>
    <row r="1159">
      <c r="A1159" s="54" t="n"/>
      <c r="B1159" s="61" t="n"/>
      <c r="C1159" s="58" t="n"/>
      <c r="D1159" s="58" t="n"/>
      <c r="E1159" s="64">
        <f>IF(tblCommentary[[#This Row],[Date]]="","",COUNTIFS(INDEX(tblCommentary[Date],1):tblCommentary[[#This Row],[Date]],tblCommentary[[#This Row],[Date]]))</f>
        <v/>
      </c>
      <c r="F1159" s="63">
        <f>IF(tblCommentary[[#This Row],[Date]]="","",tblCommentary[[#This Row],[Date]]&amp;"|"&amp;tblCommentary[[#This Row],[Seq_Day]])</f>
        <v/>
      </c>
    </row>
    <row r="1160">
      <c r="A1160" s="54" t="n"/>
      <c r="B1160" s="61" t="n"/>
      <c r="C1160" s="58" t="n"/>
      <c r="D1160" s="58" t="n"/>
      <c r="E1160" s="64">
        <f>IF(tblCommentary[[#This Row],[Date]]="","",COUNTIFS(INDEX(tblCommentary[Date],1):tblCommentary[[#This Row],[Date]],tblCommentary[[#This Row],[Date]]))</f>
        <v/>
      </c>
      <c r="F1160" s="63">
        <f>IF(tblCommentary[[#This Row],[Date]]="","",tblCommentary[[#This Row],[Date]]&amp;"|"&amp;tblCommentary[[#This Row],[Seq_Day]])</f>
        <v/>
      </c>
    </row>
    <row r="1161">
      <c r="A1161" s="54" t="n"/>
      <c r="B1161" s="61" t="n"/>
      <c r="C1161" s="58" t="n"/>
      <c r="D1161" s="58" t="n"/>
      <c r="E1161" s="64">
        <f>IF(tblCommentary[[#This Row],[Date]]="","",COUNTIFS(INDEX(tblCommentary[Date],1):tblCommentary[[#This Row],[Date]],tblCommentary[[#This Row],[Date]]))</f>
        <v/>
      </c>
      <c r="F1161" s="63">
        <f>IF(tblCommentary[[#This Row],[Date]]="","",tblCommentary[[#This Row],[Date]]&amp;"|"&amp;tblCommentary[[#This Row],[Seq_Day]])</f>
        <v/>
      </c>
    </row>
    <row r="1162">
      <c r="A1162" s="54" t="n"/>
      <c r="B1162" s="61" t="n"/>
      <c r="C1162" s="58" t="n"/>
      <c r="D1162" s="58" t="n"/>
      <c r="E1162" s="64">
        <f>IF(tblCommentary[[#This Row],[Date]]="","",COUNTIFS(INDEX(tblCommentary[Date],1):tblCommentary[[#This Row],[Date]],tblCommentary[[#This Row],[Date]]))</f>
        <v/>
      </c>
      <c r="F1162" s="63">
        <f>IF(tblCommentary[[#This Row],[Date]]="","",tblCommentary[[#This Row],[Date]]&amp;"|"&amp;tblCommentary[[#This Row],[Seq_Day]])</f>
        <v/>
      </c>
    </row>
    <row r="1163">
      <c r="A1163" s="54" t="n"/>
      <c r="B1163" s="61" t="n"/>
      <c r="C1163" s="58" t="n"/>
      <c r="D1163" s="58" t="n"/>
      <c r="E1163" s="64">
        <f>IF(tblCommentary[[#This Row],[Date]]="","",COUNTIFS(INDEX(tblCommentary[Date],1):tblCommentary[[#This Row],[Date]],tblCommentary[[#This Row],[Date]]))</f>
        <v/>
      </c>
      <c r="F1163" s="63">
        <f>IF(tblCommentary[[#This Row],[Date]]="","",tblCommentary[[#This Row],[Date]]&amp;"|"&amp;tblCommentary[[#This Row],[Seq_Day]])</f>
        <v/>
      </c>
    </row>
    <row r="1164">
      <c r="A1164" s="54" t="n"/>
      <c r="B1164" s="61" t="n"/>
      <c r="C1164" s="58" t="n"/>
      <c r="D1164" s="58" t="n"/>
      <c r="E1164" s="64">
        <f>IF(tblCommentary[[#This Row],[Date]]="","",COUNTIFS(INDEX(tblCommentary[Date],1):tblCommentary[[#This Row],[Date]],tblCommentary[[#This Row],[Date]]))</f>
        <v/>
      </c>
      <c r="F1164" s="63">
        <f>IF(tblCommentary[[#This Row],[Date]]="","",tblCommentary[[#This Row],[Date]]&amp;"|"&amp;tblCommentary[[#This Row],[Seq_Day]])</f>
        <v/>
      </c>
    </row>
    <row r="1165">
      <c r="A1165" s="54" t="n"/>
      <c r="B1165" s="61" t="n"/>
      <c r="C1165" s="58" t="n"/>
      <c r="D1165" s="58" t="n"/>
      <c r="E1165" s="64">
        <f>IF(tblCommentary[[#This Row],[Date]]="","",COUNTIFS(INDEX(tblCommentary[Date],1):tblCommentary[[#This Row],[Date]],tblCommentary[[#This Row],[Date]]))</f>
        <v/>
      </c>
      <c r="F1165" s="63">
        <f>IF(tblCommentary[[#This Row],[Date]]="","",tblCommentary[[#This Row],[Date]]&amp;"|"&amp;tblCommentary[[#This Row],[Seq_Day]])</f>
        <v/>
      </c>
    </row>
    <row r="1166">
      <c r="A1166" s="54" t="n"/>
      <c r="B1166" s="61" t="n"/>
      <c r="C1166" s="58" t="n"/>
      <c r="D1166" s="58" t="n"/>
      <c r="E1166" s="64">
        <f>IF(tblCommentary[[#This Row],[Date]]="","",COUNTIFS(INDEX(tblCommentary[Date],1):tblCommentary[[#This Row],[Date]],tblCommentary[[#This Row],[Date]]))</f>
        <v/>
      </c>
      <c r="F1166" s="63">
        <f>IF(tblCommentary[[#This Row],[Date]]="","",tblCommentary[[#This Row],[Date]]&amp;"|"&amp;tblCommentary[[#This Row],[Seq_Day]])</f>
        <v/>
      </c>
    </row>
    <row r="1167">
      <c r="A1167" s="54" t="n"/>
      <c r="B1167" s="61" t="n"/>
      <c r="C1167" s="58" t="n"/>
      <c r="D1167" s="58" t="n"/>
      <c r="E1167" s="64">
        <f>IF(tblCommentary[[#This Row],[Date]]="","",COUNTIFS(INDEX(tblCommentary[Date],1):tblCommentary[[#This Row],[Date]],tblCommentary[[#This Row],[Date]]))</f>
        <v/>
      </c>
      <c r="F1167" s="63">
        <f>IF(tblCommentary[[#This Row],[Date]]="","",tblCommentary[[#This Row],[Date]]&amp;"|"&amp;tblCommentary[[#This Row],[Seq_Day]])</f>
        <v/>
      </c>
    </row>
    <row r="1168">
      <c r="A1168" s="54" t="n"/>
      <c r="B1168" s="61" t="n"/>
      <c r="C1168" s="58" t="n"/>
      <c r="D1168" s="58" t="n"/>
      <c r="E1168" s="64">
        <f>IF(tblCommentary[[#This Row],[Date]]="","",COUNTIFS(INDEX(tblCommentary[Date],1):tblCommentary[[#This Row],[Date]],tblCommentary[[#This Row],[Date]]))</f>
        <v/>
      </c>
      <c r="F1168" s="63">
        <f>IF(tblCommentary[[#This Row],[Date]]="","",tblCommentary[[#This Row],[Date]]&amp;"|"&amp;tblCommentary[[#This Row],[Seq_Day]])</f>
        <v/>
      </c>
    </row>
    <row r="1169">
      <c r="A1169" s="54" t="n"/>
      <c r="B1169" s="61" t="n"/>
      <c r="C1169" s="58" t="n"/>
      <c r="D1169" s="58" t="n"/>
      <c r="E1169" s="64">
        <f>IF(tblCommentary[[#This Row],[Date]]="","",COUNTIFS(INDEX(tblCommentary[Date],1):tblCommentary[[#This Row],[Date]],tblCommentary[[#This Row],[Date]]))</f>
        <v/>
      </c>
      <c r="F1169" s="63">
        <f>IF(tblCommentary[[#This Row],[Date]]="","",tblCommentary[[#This Row],[Date]]&amp;"|"&amp;tblCommentary[[#This Row],[Seq_Day]])</f>
        <v/>
      </c>
    </row>
    <row r="1170">
      <c r="A1170" s="54" t="n"/>
      <c r="B1170" s="61" t="n"/>
      <c r="C1170" s="58" t="n"/>
      <c r="D1170" s="58" t="n"/>
      <c r="E1170" s="64">
        <f>IF(tblCommentary[[#This Row],[Date]]="","",COUNTIFS(INDEX(tblCommentary[Date],1):tblCommentary[[#This Row],[Date]],tblCommentary[[#This Row],[Date]]))</f>
        <v/>
      </c>
      <c r="F1170" s="63">
        <f>IF(tblCommentary[[#This Row],[Date]]="","",tblCommentary[[#This Row],[Date]]&amp;"|"&amp;tblCommentary[[#This Row],[Seq_Day]])</f>
        <v/>
      </c>
    </row>
    <row r="1171">
      <c r="A1171" s="54" t="n"/>
      <c r="B1171" s="61" t="n"/>
      <c r="C1171" s="58" t="n"/>
      <c r="D1171" s="58" t="n"/>
      <c r="E1171" s="64">
        <f>IF(tblCommentary[[#This Row],[Date]]="","",COUNTIFS(INDEX(tblCommentary[Date],1):tblCommentary[[#This Row],[Date]],tblCommentary[[#This Row],[Date]]))</f>
        <v/>
      </c>
      <c r="F1171" s="63">
        <f>IF(tblCommentary[[#This Row],[Date]]="","",tblCommentary[[#This Row],[Date]]&amp;"|"&amp;tblCommentary[[#This Row],[Seq_Day]])</f>
        <v/>
      </c>
    </row>
    <row r="1172">
      <c r="A1172" s="54" t="n"/>
      <c r="B1172" s="61" t="n"/>
      <c r="C1172" s="58" t="n"/>
      <c r="D1172" s="58" t="n"/>
      <c r="E1172" s="64">
        <f>IF(tblCommentary[[#This Row],[Date]]="","",COUNTIFS(INDEX(tblCommentary[Date],1):tblCommentary[[#This Row],[Date]],tblCommentary[[#This Row],[Date]]))</f>
        <v/>
      </c>
      <c r="F1172" s="63">
        <f>IF(tblCommentary[[#This Row],[Date]]="","",tblCommentary[[#This Row],[Date]]&amp;"|"&amp;tblCommentary[[#This Row],[Seq_Day]])</f>
        <v/>
      </c>
    </row>
    <row r="1173">
      <c r="A1173" s="54" t="n"/>
      <c r="B1173" s="61" t="n"/>
      <c r="C1173" s="58" t="n"/>
      <c r="D1173" s="58" t="n"/>
      <c r="E1173" s="64">
        <f>IF(tblCommentary[[#This Row],[Date]]="","",COUNTIFS(INDEX(tblCommentary[Date],1):tblCommentary[[#This Row],[Date]],tblCommentary[[#This Row],[Date]]))</f>
        <v/>
      </c>
      <c r="F1173" s="63">
        <f>IF(tblCommentary[[#This Row],[Date]]="","",tblCommentary[[#This Row],[Date]]&amp;"|"&amp;tblCommentary[[#This Row],[Seq_Day]])</f>
        <v/>
      </c>
    </row>
    <row r="1174">
      <c r="A1174" s="54" t="n"/>
      <c r="B1174" s="61" t="n"/>
      <c r="C1174" s="58" t="n"/>
      <c r="D1174" s="58" t="n"/>
      <c r="E1174" s="64">
        <f>IF(tblCommentary[[#This Row],[Date]]="","",COUNTIFS(INDEX(tblCommentary[Date],1):tblCommentary[[#This Row],[Date]],tblCommentary[[#This Row],[Date]]))</f>
        <v/>
      </c>
      <c r="F1174" s="63">
        <f>IF(tblCommentary[[#This Row],[Date]]="","",tblCommentary[[#This Row],[Date]]&amp;"|"&amp;tblCommentary[[#This Row],[Seq_Day]])</f>
        <v/>
      </c>
    </row>
    <row r="1175">
      <c r="A1175" s="54" t="n"/>
      <c r="B1175" s="61" t="n"/>
      <c r="C1175" s="58" t="n"/>
      <c r="D1175" s="58" t="n"/>
      <c r="E1175" s="64">
        <f>IF(tblCommentary[[#This Row],[Date]]="","",COUNTIFS(INDEX(tblCommentary[Date],1):tblCommentary[[#This Row],[Date]],tblCommentary[[#This Row],[Date]]))</f>
        <v/>
      </c>
      <c r="F1175" s="63">
        <f>IF(tblCommentary[[#This Row],[Date]]="","",tblCommentary[[#This Row],[Date]]&amp;"|"&amp;tblCommentary[[#This Row],[Seq_Day]])</f>
        <v/>
      </c>
    </row>
    <row r="1176">
      <c r="A1176" s="54" t="n"/>
      <c r="B1176" s="61" t="n"/>
      <c r="C1176" s="58" t="n"/>
      <c r="D1176" s="58" t="n"/>
      <c r="E1176" s="64">
        <f>IF(tblCommentary[[#This Row],[Date]]="","",COUNTIFS(INDEX(tblCommentary[Date],1):tblCommentary[[#This Row],[Date]],tblCommentary[[#This Row],[Date]]))</f>
        <v/>
      </c>
      <c r="F1176" s="63">
        <f>IF(tblCommentary[[#This Row],[Date]]="","",tblCommentary[[#This Row],[Date]]&amp;"|"&amp;tblCommentary[[#This Row],[Seq_Day]])</f>
        <v/>
      </c>
    </row>
    <row r="1177">
      <c r="A1177" s="54" t="n"/>
      <c r="B1177" s="61" t="n"/>
      <c r="C1177" s="58" t="n"/>
      <c r="D1177" s="58" t="n"/>
      <c r="E1177" s="64">
        <f>IF(tblCommentary[[#This Row],[Date]]="","",COUNTIFS(INDEX(tblCommentary[Date],1):tblCommentary[[#This Row],[Date]],tblCommentary[[#This Row],[Date]]))</f>
        <v/>
      </c>
      <c r="F1177" s="63">
        <f>IF(tblCommentary[[#This Row],[Date]]="","",tblCommentary[[#This Row],[Date]]&amp;"|"&amp;tblCommentary[[#This Row],[Seq_Day]])</f>
        <v/>
      </c>
    </row>
    <row r="1178">
      <c r="A1178" s="54" t="n"/>
      <c r="B1178" s="61" t="n"/>
      <c r="C1178" s="58" t="n"/>
      <c r="D1178" s="58" t="n"/>
      <c r="E1178" s="64">
        <f>IF(tblCommentary[[#This Row],[Date]]="","",COUNTIFS(INDEX(tblCommentary[Date],1):tblCommentary[[#This Row],[Date]],tblCommentary[[#This Row],[Date]]))</f>
        <v/>
      </c>
      <c r="F1178" s="63">
        <f>IF(tblCommentary[[#This Row],[Date]]="","",tblCommentary[[#This Row],[Date]]&amp;"|"&amp;tblCommentary[[#This Row],[Seq_Day]])</f>
        <v/>
      </c>
    </row>
    <row r="1179">
      <c r="A1179" s="54" t="n"/>
      <c r="B1179" s="61" t="n"/>
      <c r="C1179" s="58" t="n"/>
      <c r="D1179" s="58" t="n"/>
      <c r="E1179" s="64">
        <f>IF(tblCommentary[[#This Row],[Date]]="","",COUNTIFS(INDEX(tblCommentary[Date],1):tblCommentary[[#This Row],[Date]],tblCommentary[[#This Row],[Date]]))</f>
        <v/>
      </c>
      <c r="F1179" s="63">
        <f>IF(tblCommentary[[#This Row],[Date]]="","",tblCommentary[[#This Row],[Date]]&amp;"|"&amp;tblCommentary[[#This Row],[Seq_Day]])</f>
        <v/>
      </c>
    </row>
    <row r="1180">
      <c r="A1180" s="54" t="n"/>
      <c r="B1180" s="61" t="n"/>
      <c r="C1180" s="58" t="n"/>
      <c r="D1180" s="58" t="n"/>
      <c r="E1180" s="64">
        <f>IF(tblCommentary[[#This Row],[Date]]="","",COUNTIFS(INDEX(tblCommentary[Date],1):tblCommentary[[#This Row],[Date]],tblCommentary[[#This Row],[Date]]))</f>
        <v/>
      </c>
      <c r="F1180" s="63">
        <f>IF(tblCommentary[[#This Row],[Date]]="","",tblCommentary[[#This Row],[Date]]&amp;"|"&amp;tblCommentary[[#This Row],[Seq_Day]])</f>
        <v/>
      </c>
    </row>
    <row r="1181">
      <c r="A1181" s="54" t="n"/>
      <c r="B1181" s="61" t="n"/>
      <c r="C1181" s="58" t="n"/>
      <c r="D1181" s="58" t="n"/>
      <c r="E1181" s="64">
        <f>IF(tblCommentary[[#This Row],[Date]]="","",COUNTIFS(INDEX(tblCommentary[Date],1):tblCommentary[[#This Row],[Date]],tblCommentary[[#This Row],[Date]]))</f>
        <v/>
      </c>
      <c r="F1181" s="63">
        <f>IF(tblCommentary[[#This Row],[Date]]="","",tblCommentary[[#This Row],[Date]]&amp;"|"&amp;tblCommentary[[#This Row],[Seq_Day]])</f>
        <v/>
      </c>
    </row>
    <row r="1182">
      <c r="A1182" s="54" t="n"/>
      <c r="B1182" s="61" t="n"/>
      <c r="C1182" s="58" t="n"/>
      <c r="D1182" s="58" t="n"/>
      <c r="E1182" s="64">
        <f>IF(tblCommentary[[#This Row],[Date]]="","",COUNTIFS(INDEX(tblCommentary[Date],1):tblCommentary[[#This Row],[Date]],tblCommentary[[#This Row],[Date]]))</f>
        <v/>
      </c>
      <c r="F1182" s="63">
        <f>IF(tblCommentary[[#This Row],[Date]]="","",tblCommentary[[#This Row],[Date]]&amp;"|"&amp;tblCommentary[[#This Row],[Seq_Day]])</f>
        <v/>
      </c>
    </row>
    <row r="1183">
      <c r="A1183" s="54" t="n"/>
      <c r="B1183" s="61" t="n"/>
      <c r="C1183" s="58" t="n"/>
      <c r="D1183" s="58" t="n"/>
      <c r="E1183" s="64">
        <f>IF(tblCommentary[[#This Row],[Date]]="","",COUNTIFS(INDEX(tblCommentary[Date],1):tblCommentary[[#This Row],[Date]],tblCommentary[[#This Row],[Date]]))</f>
        <v/>
      </c>
      <c r="F1183" s="63">
        <f>IF(tblCommentary[[#This Row],[Date]]="","",tblCommentary[[#This Row],[Date]]&amp;"|"&amp;tblCommentary[[#This Row],[Seq_Day]])</f>
        <v/>
      </c>
    </row>
    <row r="1184">
      <c r="A1184" s="54" t="n"/>
      <c r="B1184" s="61" t="n"/>
      <c r="C1184" s="58" t="n"/>
      <c r="D1184" s="58" t="n"/>
      <c r="E1184" s="64">
        <f>IF(tblCommentary[[#This Row],[Date]]="","",COUNTIFS(INDEX(tblCommentary[Date],1):tblCommentary[[#This Row],[Date]],tblCommentary[[#This Row],[Date]]))</f>
        <v/>
      </c>
      <c r="F1184" s="63">
        <f>IF(tblCommentary[[#This Row],[Date]]="","",tblCommentary[[#This Row],[Date]]&amp;"|"&amp;tblCommentary[[#This Row],[Seq_Day]])</f>
        <v/>
      </c>
    </row>
    <row r="1185">
      <c r="A1185" s="54" t="n"/>
      <c r="B1185" s="61" t="n"/>
      <c r="C1185" s="58" t="n"/>
      <c r="D1185" s="58" t="n"/>
      <c r="E1185" s="64">
        <f>IF(tblCommentary[[#This Row],[Date]]="","",COUNTIFS(INDEX(tblCommentary[Date],1):tblCommentary[[#This Row],[Date]],tblCommentary[[#This Row],[Date]]))</f>
        <v/>
      </c>
      <c r="F1185" s="63">
        <f>IF(tblCommentary[[#This Row],[Date]]="","",tblCommentary[[#This Row],[Date]]&amp;"|"&amp;tblCommentary[[#This Row],[Seq_Day]])</f>
        <v/>
      </c>
    </row>
    <row r="1186">
      <c r="A1186" s="54" t="n"/>
      <c r="B1186" s="61" t="n"/>
      <c r="C1186" s="58" t="n"/>
      <c r="D1186" s="58" t="n"/>
      <c r="E1186" s="64">
        <f>IF(tblCommentary[[#This Row],[Date]]="","",COUNTIFS(INDEX(tblCommentary[Date],1):tblCommentary[[#This Row],[Date]],tblCommentary[[#This Row],[Date]]))</f>
        <v/>
      </c>
      <c r="F1186" s="63">
        <f>IF(tblCommentary[[#This Row],[Date]]="","",tblCommentary[[#This Row],[Date]]&amp;"|"&amp;tblCommentary[[#This Row],[Seq_Day]])</f>
        <v/>
      </c>
    </row>
    <row r="1187">
      <c r="A1187" s="54" t="n"/>
      <c r="B1187" s="61" t="n"/>
      <c r="C1187" s="58" t="n"/>
      <c r="D1187" s="58" t="n"/>
      <c r="E1187" s="64">
        <f>IF(tblCommentary[[#This Row],[Date]]="","",COUNTIFS(INDEX(tblCommentary[Date],1):tblCommentary[[#This Row],[Date]],tblCommentary[[#This Row],[Date]]))</f>
        <v/>
      </c>
      <c r="F1187" s="63">
        <f>IF(tblCommentary[[#This Row],[Date]]="","",tblCommentary[[#This Row],[Date]]&amp;"|"&amp;tblCommentary[[#This Row],[Seq_Day]])</f>
        <v/>
      </c>
    </row>
    <row r="1188">
      <c r="A1188" s="54" t="n"/>
      <c r="B1188" s="61" t="n"/>
      <c r="C1188" s="58" t="n"/>
      <c r="D1188" s="58" t="n"/>
      <c r="E1188" s="64">
        <f>IF(tblCommentary[[#This Row],[Date]]="","",COUNTIFS(INDEX(tblCommentary[Date],1):tblCommentary[[#This Row],[Date]],tblCommentary[[#This Row],[Date]]))</f>
        <v/>
      </c>
      <c r="F1188" s="63">
        <f>IF(tblCommentary[[#This Row],[Date]]="","",tblCommentary[[#This Row],[Date]]&amp;"|"&amp;tblCommentary[[#This Row],[Seq_Day]])</f>
        <v/>
      </c>
    </row>
    <row r="1189">
      <c r="A1189" s="54" t="n"/>
      <c r="B1189" s="61" t="n"/>
      <c r="C1189" s="58" t="n"/>
      <c r="D1189" s="58" t="n"/>
      <c r="E1189" s="64">
        <f>IF(tblCommentary[[#This Row],[Date]]="","",COUNTIFS(INDEX(tblCommentary[Date],1):tblCommentary[[#This Row],[Date]],tblCommentary[[#This Row],[Date]]))</f>
        <v/>
      </c>
      <c r="F1189" s="63">
        <f>IF(tblCommentary[[#This Row],[Date]]="","",tblCommentary[[#This Row],[Date]]&amp;"|"&amp;tblCommentary[[#This Row],[Seq_Day]])</f>
        <v/>
      </c>
    </row>
    <row r="1190">
      <c r="A1190" s="54" t="n"/>
      <c r="B1190" s="61" t="n"/>
      <c r="C1190" s="58" t="n"/>
      <c r="D1190" s="58" t="n"/>
      <c r="E1190" s="64">
        <f>IF(tblCommentary[[#This Row],[Date]]="","",COUNTIFS(INDEX(tblCommentary[Date],1):tblCommentary[[#This Row],[Date]],tblCommentary[[#This Row],[Date]]))</f>
        <v/>
      </c>
      <c r="F1190" s="63">
        <f>IF(tblCommentary[[#This Row],[Date]]="","",tblCommentary[[#This Row],[Date]]&amp;"|"&amp;tblCommentary[[#This Row],[Seq_Day]])</f>
        <v/>
      </c>
    </row>
    <row r="1191">
      <c r="A1191" s="54" t="n"/>
      <c r="B1191" s="61" t="n"/>
      <c r="C1191" s="58" t="n"/>
      <c r="D1191" s="58" t="n"/>
      <c r="E1191" s="64">
        <f>IF(tblCommentary[[#This Row],[Date]]="","",COUNTIFS(INDEX(tblCommentary[Date],1):tblCommentary[[#This Row],[Date]],tblCommentary[[#This Row],[Date]]))</f>
        <v/>
      </c>
      <c r="F1191" s="63">
        <f>IF(tblCommentary[[#This Row],[Date]]="","",tblCommentary[[#This Row],[Date]]&amp;"|"&amp;tblCommentary[[#This Row],[Seq_Day]])</f>
        <v/>
      </c>
    </row>
    <row r="1192">
      <c r="A1192" s="54" t="n"/>
      <c r="B1192" s="61" t="n"/>
      <c r="C1192" s="58" t="n"/>
      <c r="D1192" s="58" t="n"/>
      <c r="E1192" s="64">
        <f>IF(tblCommentary[[#This Row],[Date]]="","",COUNTIFS(INDEX(tblCommentary[Date],1):tblCommentary[[#This Row],[Date]],tblCommentary[[#This Row],[Date]]))</f>
        <v/>
      </c>
      <c r="F1192" s="63">
        <f>IF(tblCommentary[[#This Row],[Date]]="","",tblCommentary[[#This Row],[Date]]&amp;"|"&amp;tblCommentary[[#This Row],[Seq_Day]])</f>
        <v/>
      </c>
    </row>
    <row r="1193">
      <c r="A1193" s="54" t="n"/>
      <c r="B1193" s="61" t="n"/>
      <c r="C1193" s="58" t="n"/>
      <c r="D1193" s="58" t="n"/>
      <c r="E1193" s="64">
        <f>IF(tblCommentary[[#This Row],[Date]]="","",COUNTIFS(INDEX(tblCommentary[Date],1):tblCommentary[[#This Row],[Date]],tblCommentary[[#This Row],[Date]]))</f>
        <v/>
      </c>
      <c r="F1193" s="63">
        <f>IF(tblCommentary[[#This Row],[Date]]="","",tblCommentary[[#This Row],[Date]]&amp;"|"&amp;tblCommentary[[#This Row],[Seq_Day]])</f>
        <v/>
      </c>
    </row>
    <row r="1194">
      <c r="A1194" s="54" t="n"/>
      <c r="B1194" s="61" t="n"/>
      <c r="C1194" s="58" t="n"/>
      <c r="D1194" s="58" t="n"/>
      <c r="E1194" s="64">
        <f>IF(tblCommentary[[#This Row],[Date]]="","",COUNTIFS(INDEX(tblCommentary[Date],1):tblCommentary[[#This Row],[Date]],tblCommentary[[#This Row],[Date]]))</f>
        <v/>
      </c>
      <c r="F1194" s="63">
        <f>IF(tblCommentary[[#This Row],[Date]]="","",tblCommentary[[#This Row],[Date]]&amp;"|"&amp;tblCommentary[[#This Row],[Seq_Day]])</f>
        <v/>
      </c>
    </row>
    <row r="1195">
      <c r="A1195" s="54" t="n"/>
      <c r="B1195" s="61" t="n"/>
      <c r="C1195" s="58" t="n"/>
      <c r="D1195" s="58" t="n"/>
      <c r="E1195" s="64">
        <f>IF(tblCommentary[[#This Row],[Date]]="","",COUNTIFS(INDEX(tblCommentary[Date],1):tblCommentary[[#This Row],[Date]],tblCommentary[[#This Row],[Date]]))</f>
        <v/>
      </c>
      <c r="F1195" s="63">
        <f>IF(tblCommentary[[#This Row],[Date]]="","",tblCommentary[[#This Row],[Date]]&amp;"|"&amp;tblCommentary[[#This Row],[Seq_Day]])</f>
        <v/>
      </c>
    </row>
    <row r="1196">
      <c r="A1196" s="54" t="n"/>
      <c r="B1196" s="61" t="n"/>
      <c r="C1196" s="58" t="n"/>
      <c r="D1196" s="58" t="n"/>
      <c r="E1196" s="64">
        <f>IF(tblCommentary[[#This Row],[Date]]="","",COUNTIFS(INDEX(tblCommentary[Date],1):tblCommentary[[#This Row],[Date]],tblCommentary[[#This Row],[Date]]))</f>
        <v/>
      </c>
      <c r="F1196" s="63">
        <f>IF(tblCommentary[[#This Row],[Date]]="","",tblCommentary[[#This Row],[Date]]&amp;"|"&amp;tblCommentary[[#This Row],[Seq_Day]])</f>
        <v/>
      </c>
    </row>
    <row r="1197">
      <c r="A1197" s="54" t="n"/>
      <c r="B1197" s="61" t="n"/>
      <c r="C1197" s="58" t="n"/>
      <c r="D1197" s="58" t="n"/>
      <c r="E1197" s="64">
        <f>IF(tblCommentary[[#This Row],[Date]]="","",COUNTIFS(INDEX(tblCommentary[Date],1):tblCommentary[[#This Row],[Date]],tblCommentary[[#This Row],[Date]]))</f>
        <v/>
      </c>
      <c r="F1197" s="63">
        <f>IF(tblCommentary[[#This Row],[Date]]="","",tblCommentary[[#This Row],[Date]]&amp;"|"&amp;tblCommentary[[#This Row],[Seq_Day]])</f>
        <v/>
      </c>
    </row>
    <row r="1198">
      <c r="A1198" s="54" t="n"/>
      <c r="B1198" s="61" t="n"/>
      <c r="C1198" s="58" t="n"/>
      <c r="D1198" s="58" t="n"/>
      <c r="E1198" s="64">
        <f>IF(tblCommentary[[#This Row],[Date]]="","",COUNTIFS(INDEX(tblCommentary[Date],1):tblCommentary[[#This Row],[Date]],tblCommentary[[#This Row],[Date]]))</f>
        <v/>
      </c>
      <c r="F1198" s="63">
        <f>IF(tblCommentary[[#This Row],[Date]]="","",tblCommentary[[#This Row],[Date]]&amp;"|"&amp;tblCommentary[[#This Row],[Seq_Day]])</f>
        <v/>
      </c>
    </row>
    <row r="1199">
      <c r="A1199" s="54" t="n"/>
      <c r="B1199" s="61" t="n"/>
      <c r="C1199" s="58" t="n"/>
      <c r="D1199" s="58" t="n"/>
      <c r="E1199" s="64">
        <f>IF(tblCommentary[[#This Row],[Date]]="","",COUNTIFS(INDEX(tblCommentary[Date],1):tblCommentary[[#This Row],[Date]],tblCommentary[[#This Row],[Date]]))</f>
        <v/>
      </c>
      <c r="F1199" s="63">
        <f>IF(tblCommentary[[#This Row],[Date]]="","",tblCommentary[[#This Row],[Date]]&amp;"|"&amp;tblCommentary[[#This Row],[Seq_Day]])</f>
        <v/>
      </c>
    </row>
    <row r="1200">
      <c r="A1200" s="54" t="n"/>
      <c r="B1200" s="61" t="n"/>
      <c r="C1200" s="58" t="n"/>
      <c r="D1200" s="58" t="n"/>
      <c r="E1200" s="64">
        <f>IF(tblCommentary[[#This Row],[Date]]="","",COUNTIFS(INDEX(tblCommentary[Date],1):tblCommentary[[#This Row],[Date]],tblCommentary[[#This Row],[Date]]))</f>
        <v/>
      </c>
      <c r="F1200" s="63">
        <f>IF(tblCommentary[[#This Row],[Date]]="","",tblCommentary[[#This Row],[Date]]&amp;"|"&amp;tblCommentary[[#This Row],[Seq_Day]])</f>
        <v/>
      </c>
    </row>
    <row r="1201">
      <c r="A1201" s="54" t="n"/>
      <c r="B1201" s="61" t="n"/>
      <c r="C1201" s="58" t="n"/>
      <c r="D1201" s="58" t="n"/>
      <c r="E1201" s="64">
        <f>IF(tblCommentary[[#This Row],[Date]]="","",COUNTIFS(INDEX(tblCommentary[Date],1):tblCommentary[[#This Row],[Date]],tblCommentary[[#This Row],[Date]]))</f>
        <v/>
      </c>
      <c r="F1201" s="63">
        <f>IF(tblCommentary[[#This Row],[Date]]="","",tblCommentary[[#This Row],[Date]]&amp;"|"&amp;tblCommentary[[#This Row],[Seq_Day]])</f>
        <v/>
      </c>
    </row>
    <row r="1202">
      <c r="A1202" s="54" t="n"/>
      <c r="B1202" s="61" t="n"/>
      <c r="C1202" s="58" t="n"/>
      <c r="D1202" s="58" t="n"/>
      <c r="E1202" s="64">
        <f>IF(tblCommentary[[#This Row],[Date]]="","",COUNTIFS(INDEX(tblCommentary[Date],1):tblCommentary[[#This Row],[Date]],tblCommentary[[#This Row],[Date]]))</f>
        <v/>
      </c>
      <c r="F1202" s="63">
        <f>IF(tblCommentary[[#This Row],[Date]]="","",tblCommentary[[#This Row],[Date]]&amp;"|"&amp;tblCommentary[[#This Row],[Seq_Day]])</f>
        <v/>
      </c>
    </row>
    <row r="1203">
      <c r="A1203" s="54" t="n"/>
      <c r="B1203" s="61" t="n"/>
      <c r="C1203" s="58" t="n"/>
      <c r="D1203" s="58" t="n"/>
      <c r="E1203" s="64">
        <f>IF(tblCommentary[[#This Row],[Date]]="","",COUNTIFS(INDEX(tblCommentary[Date],1):tblCommentary[[#This Row],[Date]],tblCommentary[[#This Row],[Date]]))</f>
        <v/>
      </c>
      <c r="F1203" s="63">
        <f>IF(tblCommentary[[#This Row],[Date]]="","",tblCommentary[[#This Row],[Date]]&amp;"|"&amp;tblCommentary[[#This Row],[Seq_Day]])</f>
        <v/>
      </c>
    </row>
    <row r="1204">
      <c r="A1204" s="54" t="n"/>
      <c r="B1204" s="61" t="n"/>
      <c r="C1204" s="58" t="n"/>
      <c r="D1204" s="58" t="n"/>
      <c r="E1204" s="64">
        <f>IF(tblCommentary[[#This Row],[Date]]="","",COUNTIFS(INDEX(tblCommentary[Date],1):tblCommentary[[#This Row],[Date]],tblCommentary[[#This Row],[Date]]))</f>
        <v/>
      </c>
      <c r="F1204" s="63">
        <f>IF(tblCommentary[[#This Row],[Date]]="","",tblCommentary[[#This Row],[Date]]&amp;"|"&amp;tblCommentary[[#This Row],[Seq_Day]])</f>
        <v/>
      </c>
    </row>
    <row r="1205">
      <c r="A1205" s="54" t="n"/>
      <c r="B1205" s="61" t="n"/>
      <c r="C1205" s="58" t="n"/>
      <c r="D1205" s="58" t="n"/>
      <c r="E1205" s="64">
        <f>IF(tblCommentary[[#This Row],[Date]]="","",COUNTIFS(INDEX(tblCommentary[Date],1):tblCommentary[[#This Row],[Date]],tblCommentary[[#This Row],[Date]]))</f>
        <v/>
      </c>
      <c r="F1205" s="63">
        <f>IF(tblCommentary[[#This Row],[Date]]="","",tblCommentary[[#This Row],[Date]]&amp;"|"&amp;tblCommentary[[#This Row],[Seq_Day]])</f>
        <v/>
      </c>
    </row>
    <row r="1206">
      <c r="A1206" s="54" t="n"/>
      <c r="B1206" s="61" t="n"/>
      <c r="C1206" s="58" t="n"/>
      <c r="D1206" s="58" t="n"/>
      <c r="E1206" s="64">
        <f>IF(tblCommentary[[#This Row],[Date]]="","",COUNTIFS(INDEX(tblCommentary[Date],1):tblCommentary[[#This Row],[Date]],tblCommentary[[#This Row],[Date]]))</f>
        <v/>
      </c>
      <c r="F1206" s="63">
        <f>IF(tblCommentary[[#This Row],[Date]]="","",tblCommentary[[#This Row],[Date]]&amp;"|"&amp;tblCommentary[[#This Row],[Seq_Day]])</f>
        <v/>
      </c>
    </row>
    <row r="1207">
      <c r="A1207" s="54" t="n"/>
      <c r="B1207" s="61" t="n"/>
      <c r="C1207" s="58" t="n"/>
      <c r="D1207" s="58" t="n"/>
      <c r="E1207" s="64">
        <f>IF(tblCommentary[[#This Row],[Date]]="","",COUNTIFS(INDEX(tblCommentary[Date],1):tblCommentary[[#This Row],[Date]],tblCommentary[[#This Row],[Date]]))</f>
        <v/>
      </c>
      <c r="F1207" s="63">
        <f>IF(tblCommentary[[#This Row],[Date]]="","",tblCommentary[[#This Row],[Date]]&amp;"|"&amp;tblCommentary[[#This Row],[Seq_Day]])</f>
        <v/>
      </c>
    </row>
    <row r="1208">
      <c r="A1208" s="54" t="n"/>
      <c r="B1208" s="61" t="n"/>
      <c r="C1208" s="58" t="n"/>
      <c r="D1208" s="58" t="n"/>
      <c r="E1208" s="64">
        <f>IF(tblCommentary[[#This Row],[Date]]="","",COUNTIFS(INDEX(tblCommentary[Date],1):tblCommentary[[#This Row],[Date]],tblCommentary[[#This Row],[Date]]))</f>
        <v/>
      </c>
      <c r="F1208" s="63">
        <f>IF(tblCommentary[[#This Row],[Date]]="","",tblCommentary[[#This Row],[Date]]&amp;"|"&amp;tblCommentary[[#This Row],[Seq_Day]])</f>
        <v/>
      </c>
    </row>
    <row r="1209">
      <c r="A1209" s="54" t="n"/>
      <c r="B1209" s="61" t="n"/>
      <c r="C1209" s="58" t="n"/>
      <c r="D1209" s="58" t="n"/>
      <c r="E1209" s="64">
        <f>IF(tblCommentary[[#This Row],[Date]]="","",COUNTIFS(INDEX(tblCommentary[Date],1):tblCommentary[[#This Row],[Date]],tblCommentary[[#This Row],[Date]]))</f>
        <v/>
      </c>
      <c r="F1209" s="63">
        <f>IF(tblCommentary[[#This Row],[Date]]="","",tblCommentary[[#This Row],[Date]]&amp;"|"&amp;tblCommentary[[#This Row],[Seq_Day]])</f>
        <v/>
      </c>
    </row>
    <row r="1210">
      <c r="A1210" s="54" t="n"/>
      <c r="B1210" s="61" t="n"/>
      <c r="C1210" s="58" t="n"/>
      <c r="D1210" s="58" t="n"/>
      <c r="E1210" s="64">
        <f>IF(tblCommentary[[#This Row],[Date]]="","",COUNTIFS(INDEX(tblCommentary[Date],1):tblCommentary[[#This Row],[Date]],tblCommentary[[#This Row],[Date]]))</f>
        <v/>
      </c>
      <c r="F1210" s="63">
        <f>IF(tblCommentary[[#This Row],[Date]]="","",tblCommentary[[#This Row],[Date]]&amp;"|"&amp;tblCommentary[[#This Row],[Seq_Day]])</f>
        <v/>
      </c>
    </row>
    <row r="1211">
      <c r="A1211" s="54" t="n"/>
      <c r="B1211" s="61" t="n"/>
      <c r="C1211" s="58" t="n"/>
      <c r="D1211" s="58" t="n"/>
      <c r="E1211" s="64">
        <f>IF(tblCommentary[[#This Row],[Date]]="","",COUNTIFS(INDEX(tblCommentary[Date],1):tblCommentary[[#This Row],[Date]],tblCommentary[[#This Row],[Date]]))</f>
        <v/>
      </c>
      <c r="F1211" s="63">
        <f>IF(tblCommentary[[#This Row],[Date]]="","",tblCommentary[[#This Row],[Date]]&amp;"|"&amp;tblCommentary[[#This Row],[Seq_Day]])</f>
        <v/>
      </c>
    </row>
    <row r="1212">
      <c r="A1212" s="54" t="n"/>
      <c r="B1212" s="61" t="n"/>
      <c r="C1212" s="58" t="n"/>
      <c r="D1212" s="58" t="n"/>
      <c r="E1212" s="64">
        <f>IF(tblCommentary[[#This Row],[Date]]="","",COUNTIFS(INDEX(tblCommentary[Date],1):tblCommentary[[#This Row],[Date]],tblCommentary[[#This Row],[Date]]))</f>
        <v/>
      </c>
      <c r="F1212" s="63">
        <f>IF(tblCommentary[[#This Row],[Date]]="","",tblCommentary[[#This Row],[Date]]&amp;"|"&amp;tblCommentary[[#This Row],[Seq_Day]])</f>
        <v/>
      </c>
    </row>
    <row r="1213">
      <c r="A1213" s="54" t="n"/>
      <c r="B1213" s="61" t="n"/>
      <c r="C1213" s="58" t="n"/>
      <c r="D1213" s="58" t="n"/>
      <c r="E1213" s="64">
        <f>IF(tblCommentary[[#This Row],[Date]]="","",COUNTIFS(INDEX(tblCommentary[Date],1):tblCommentary[[#This Row],[Date]],tblCommentary[[#This Row],[Date]]))</f>
        <v/>
      </c>
      <c r="F1213" s="63">
        <f>IF(tblCommentary[[#This Row],[Date]]="","",tblCommentary[[#This Row],[Date]]&amp;"|"&amp;tblCommentary[[#This Row],[Seq_Day]])</f>
        <v/>
      </c>
    </row>
    <row r="1214">
      <c r="A1214" s="54" t="n"/>
      <c r="B1214" s="61" t="n"/>
      <c r="C1214" s="58" t="n"/>
      <c r="D1214" s="58" t="n"/>
      <c r="E1214" s="64">
        <f>IF(tblCommentary[[#This Row],[Date]]="","",COUNTIFS(INDEX(tblCommentary[Date],1):tblCommentary[[#This Row],[Date]],tblCommentary[[#This Row],[Date]]))</f>
        <v/>
      </c>
      <c r="F1214" s="63">
        <f>IF(tblCommentary[[#This Row],[Date]]="","",tblCommentary[[#This Row],[Date]]&amp;"|"&amp;tblCommentary[[#This Row],[Seq_Day]])</f>
        <v/>
      </c>
    </row>
    <row r="1215">
      <c r="A1215" s="54" t="n"/>
      <c r="B1215" s="61" t="n"/>
      <c r="C1215" s="58" t="n"/>
      <c r="D1215" s="58" t="n"/>
      <c r="E1215" s="64">
        <f>IF(tblCommentary[[#This Row],[Date]]="","",COUNTIFS(INDEX(tblCommentary[Date],1):tblCommentary[[#This Row],[Date]],tblCommentary[[#This Row],[Date]]))</f>
        <v/>
      </c>
      <c r="F1215" s="63">
        <f>IF(tblCommentary[[#This Row],[Date]]="","",tblCommentary[[#This Row],[Date]]&amp;"|"&amp;tblCommentary[[#This Row],[Seq_Day]])</f>
        <v/>
      </c>
    </row>
    <row r="1216">
      <c r="A1216" s="54" t="n"/>
      <c r="B1216" s="61" t="n"/>
      <c r="C1216" s="58" t="n"/>
      <c r="D1216" s="58" t="n"/>
      <c r="E1216" s="64">
        <f>IF(tblCommentary[[#This Row],[Date]]="","",COUNTIFS(INDEX(tblCommentary[Date],1):tblCommentary[[#This Row],[Date]],tblCommentary[[#This Row],[Date]]))</f>
        <v/>
      </c>
      <c r="F1216" s="63">
        <f>IF(tblCommentary[[#This Row],[Date]]="","",tblCommentary[[#This Row],[Date]]&amp;"|"&amp;tblCommentary[[#This Row],[Seq_Day]])</f>
        <v/>
      </c>
    </row>
    <row r="1217">
      <c r="A1217" s="54" t="n"/>
      <c r="B1217" s="61" t="n"/>
      <c r="C1217" s="58" t="n"/>
      <c r="D1217" s="58" t="n"/>
      <c r="E1217" s="64">
        <f>IF(tblCommentary[[#This Row],[Date]]="","",COUNTIFS(INDEX(tblCommentary[Date],1):tblCommentary[[#This Row],[Date]],tblCommentary[[#This Row],[Date]]))</f>
        <v/>
      </c>
      <c r="F1217" s="63">
        <f>IF(tblCommentary[[#This Row],[Date]]="","",tblCommentary[[#This Row],[Date]]&amp;"|"&amp;tblCommentary[[#This Row],[Seq_Day]])</f>
        <v/>
      </c>
    </row>
    <row r="1218">
      <c r="A1218" s="54" t="n"/>
      <c r="B1218" s="61" t="n"/>
      <c r="C1218" s="58" t="n"/>
      <c r="D1218" s="58" t="n"/>
      <c r="E1218" s="64">
        <f>IF(tblCommentary[[#This Row],[Date]]="","",COUNTIFS(INDEX(tblCommentary[Date],1):tblCommentary[[#This Row],[Date]],tblCommentary[[#This Row],[Date]]))</f>
        <v/>
      </c>
      <c r="F1218" s="63">
        <f>IF(tblCommentary[[#This Row],[Date]]="","",tblCommentary[[#This Row],[Date]]&amp;"|"&amp;tblCommentary[[#This Row],[Seq_Day]])</f>
        <v/>
      </c>
    </row>
    <row r="1219">
      <c r="A1219" s="54" t="n"/>
      <c r="B1219" s="61" t="n"/>
      <c r="C1219" s="58" t="n"/>
      <c r="D1219" s="58" t="n"/>
      <c r="E1219" s="64">
        <f>IF(tblCommentary[[#This Row],[Date]]="","",COUNTIFS(INDEX(tblCommentary[Date],1):tblCommentary[[#This Row],[Date]],tblCommentary[[#This Row],[Date]]))</f>
        <v/>
      </c>
      <c r="F1219" s="63">
        <f>IF(tblCommentary[[#This Row],[Date]]="","",tblCommentary[[#This Row],[Date]]&amp;"|"&amp;tblCommentary[[#This Row],[Seq_Day]])</f>
        <v/>
      </c>
    </row>
    <row r="1220">
      <c r="A1220" s="54" t="n"/>
      <c r="B1220" s="61" t="n"/>
      <c r="C1220" s="58" t="n"/>
      <c r="D1220" s="58" t="n"/>
      <c r="E1220" s="64">
        <f>IF(tblCommentary[[#This Row],[Date]]="","",COUNTIFS(INDEX(tblCommentary[Date],1):tblCommentary[[#This Row],[Date]],tblCommentary[[#This Row],[Date]]))</f>
        <v/>
      </c>
      <c r="F1220" s="63">
        <f>IF(tblCommentary[[#This Row],[Date]]="","",tblCommentary[[#This Row],[Date]]&amp;"|"&amp;tblCommentary[[#This Row],[Seq_Day]])</f>
        <v/>
      </c>
    </row>
    <row r="1221">
      <c r="A1221" s="54" t="n"/>
      <c r="B1221" s="61" t="n"/>
      <c r="C1221" s="58" t="n"/>
      <c r="D1221" s="58" t="n"/>
      <c r="E1221" s="64">
        <f>IF(tblCommentary[[#This Row],[Date]]="","",COUNTIFS(INDEX(tblCommentary[Date],1):tblCommentary[[#This Row],[Date]],tblCommentary[[#This Row],[Date]]))</f>
        <v/>
      </c>
      <c r="F1221" s="63">
        <f>IF(tblCommentary[[#This Row],[Date]]="","",tblCommentary[[#This Row],[Date]]&amp;"|"&amp;tblCommentary[[#This Row],[Seq_Day]])</f>
        <v/>
      </c>
    </row>
    <row r="1222">
      <c r="A1222" s="54" t="n"/>
      <c r="B1222" s="61" t="n"/>
      <c r="C1222" s="58" t="n"/>
      <c r="D1222" s="58" t="n"/>
      <c r="E1222" s="64">
        <f>IF(tblCommentary[[#This Row],[Date]]="","",COUNTIFS(INDEX(tblCommentary[Date],1):tblCommentary[[#This Row],[Date]],tblCommentary[[#This Row],[Date]]))</f>
        <v/>
      </c>
      <c r="F1222" s="63">
        <f>IF(tblCommentary[[#This Row],[Date]]="","",tblCommentary[[#This Row],[Date]]&amp;"|"&amp;tblCommentary[[#This Row],[Seq_Day]])</f>
        <v/>
      </c>
    </row>
    <row r="1223">
      <c r="A1223" s="54" t="n"/>
      <c r="B1223" s="61" t="n"/>
      <c r="C1223" s="58" t="n"/>
      <c r="D1223" s="58" t="n"/>
      <c r="E1223" s="64">
        <f>IF(tblCommentary[[#This Row],[Date]]="","",COUNTIFS(INDEX(tblCommentary[Date],1):tblCommentary[[#This Row],[Date]],tblCommentary[[#This Row],[Date]]))</f>
        <v/>
      </c>
      <c r="F1223" s="63">
        <f>IF(tblCommentary[[#This Row],[Date]]="","",tblCommentary[[#This Row],[Date]]&amp;"|"&amp;tblCommentary[[#This Row],[Seq_Day]])</f>
        <v/>
      </c>
    </row>
    <row r="1224">
      <c r="A1224" s="54" t="n"/>
      <c r="B1224" s="61" t="n"/>
      <c r="C1224" s="58" t="n"/>
      <c r="D1224" s="58" t="n"/>
      <c r="E1224" s="64">
        <f>IF(tblCommentary[[#This Row],[Date]]="","",COUNTIFS(INDEX(tblCommentary[Date],1):tblCommentary[[#This Row],[Date]],tblCommentary[[#This Row],[Date]]))</f>
        <v/>
      </c>
      <c r="F1224" s="63">
        <f>IF(tblCommentary[[#This Row],[Date]]="","",tblCommentary[[#This Row],[Date]]&amp;"|"&amp;tblCommentary[[#This Row],[Seq_Day]])</f>
        <v/>
      </c>
    </row>
    <row r="1225">
      <c r="A1225" s="54" t="n"/>
      <c r="B1225" s="61" t="n"/>
      <c r="C1225" s="58" t="n"/>
      <c r="D1225" s="58" t="n"/>
      <c r="E1225" s="64">
        <f>IF(tblCommentary[[#This Row],[Date]]="","",COUNTIFS(INDEX(tblCommentary[Date],1):tblCommentary[[#This Row],[Date]],tblCommentary[[#This Row],[Date]]))</f>
        <v/>
      </c>
      <c r="F1225" s="63">
        <f>IF(tblCommentary[[#This Row],[Date]]="","",tblCommentary[[#This Row],[Date]]&amp;"|"&amp;tblCommentary[[#This Row],[Seq_Day]])</f>
        <v/>
      </c>
    </row>
    <row r="1226">
      <c r="A1226" s="54" t="n"/>
      <c r="B1226" s="61" t="n"/>
      <c r="C1226" s="58" t="n"/>
      <c r="D1226" s="58" t="n"/>
      <c r="E1226" s="64">
        <f>IF(tblCommentary[[#This Row],[Date]]="","",COUNTIFS(INDEX(tblCommentary[Date],1):tblCommentary[[#This Row],[Date]],tblCommentary[[#This Row],[Date]]))</f>
        <v/>
      </c>
      <c r="F1226" s="63">
        <f>IF(tblCommentary[[#This Row],[Date]]="","",tblCommentary[[#This Row],[Date]]&amp;"|"&amp;tblCommentary[[#This Row],[Seq_Day]])</f>
        <v/>
      </c>
    </row>
    <row r="1227">
      <c r="A1227" s="54" t="n"/>
      <c r="B1227" s="61" t="n"/>
      <c r="C1227" s="58" t="n"/>
      <c r="D1227" s="58" t="n"/>
      <c r="E1227" s="64">
        <f>IF(tblCommentary[[#This Row],[Date]]="","",COUNTIFS(INDEX(tblCommentary[Date],1):tblCommentary[[#This Row],[Date]],tblCommentary[[#This Row],[Date]]))</f>
        <v/>
      </c>
      <c r="F1227" s="63">
        <f>IF(tblCommentary[[#This Row],[Date]]="","",tblCommentary[[#This Row],[Date]]&amp;"|"&amp;tblCommentary[[#This Row],[Seq_Day]])</f>
        <v/>
      </c>
    </row>
    <row r="1228">
      <c r="A1228" s="54" t="n"/>
      <c r="B1228" s="61" t="n"/>
      <c r="C1228" s="58" t="n"/>
      <c r="D1228" s="58" t="n"/>
      <c r="E1228" s="64">
        <f>IF(tblCommentary[[#This Row],[Date]]="","",COUNTIFS(INDEX(tblCommentary[Date],1):tblCommentary[[#This Row],[Date]],tblCommentary[[#This Row],[Date]]))</f>
        <v/>
      </c>
      <c r="F1228" s="63">
        <f>IF(tblCommentary[[#This Row],[Date]]="","",tblCommentary[[#This Row],[Date]]&amp;"|"&amp;tblCommentary[[#This Row],[Seq_Day]])</f>
        <v/>
      </c>
    </row>
    <row r="1229">
      <c r="A1229" s="54" t="n"/>
      <c r="B1229" s="61" t="n"/>
      <c r="C1229" s="58" t="n"/>
      <c r="D1229" s="58" t="n"/>
      <c r="E1229" s="64">
        <f>IF(tblCommentary[[#This Row],[Date]]="","",COUNTIFS(INDEX(tblCommentary[Date],1):tblCommentary[[#This Row],[Date]],tblCommentary[[#This Row],[Date]]))</f>
        <v/>
      </c>
      <c r="F1229" s="63">
        <f>IF(tblCommentary[[#This Row],[Date]]="","",tblCommentary[[#This Row],[Date]]&amp;"|"&amp;tblCommentary[[#This Row],[Seq_Day]])</f>
        <v/>
      </c>
    </row>
    <row r="1230">
      <c r="A1230" s="54" t="n"/>
      <c r="B1230" s="61" t="n"/>
      <c r="C1230" s="58" t="n"/>
      <c r="D1230" s="58" t="n"/>
      <c r="E1230" s="64">
        <f>IF(tblCommentary[[#This Row],[Date]]="","",COUNTIFS(INDEX(tblCommentary[Date],1):tblCommentary[[#This Row],[Date]],tblCommentary[[#This Row],[Date]]))</f>
        <v/>
      </c>
      <c r="F1230" s="63">
        <f>IF(tblCommentary[[#This Row],[Date]]="","",tblCommentary[[#This Row],[Date]]&amp;"|"&amp;tblCommentary[[#This Row],[Seq_Day]])</f>
        <v/>
      </c>
    </row>
    <row r="1231">
      <c r="A1231" s="54" t="n"/>
      <c r="B1231" s="61" t="n"/>
      <c r="C1231" s="58" t="n"/>
      <c r="D1231" s="58" t="n"/>
      <c r="E1231" s="64">
        <f>IF(tblCommentary[[#This Row],[Date]]="","",COUNTIFS(INDEX(tblCommentary[Date],1):tblCommentary[[#This Row],[Date]],tblCommentary[[#This Row],[Date]]))</f>
        <v/>
      </c>
      <c r="F1231" s="63">
        <f>IF(tblCommentary[[#This Row],[Date]]="","",tblCommentary[[#This Row],[Date]]&amp;"|"&amp;tblCommentary[[#This Row],[Seq_Day]])</f>
        <v/>
      </c>
    </row>
    <row r="1232">
      <c r="A1232" s="54" t="n"/>
      <c r="B1232" s="61" t="n"/>
      <c r="C1232" s="58" t="n"/>
      <c r="D1232" s="58" t="n"/>
      <c r="E1232" s="64">
        <f>IF(tblCommentary[[#This Row],[Date]]="","",COUNTIFS(INDEX(tblCommentary[Date],1):tblCommentary[[#This Row],[Date]],tblCommentary[[#This Row],[Date]]))</f>
        <v/>
      </c>
      <c r="F1232" s="63">
        <f>IF(tblCommentary[[#This Row],[Date]]="","",tblCommentary[[#This Row],[Date]]&amp;"|"&amp;tblCommentary[[#This Row],[Seq_Day]])</f>
        <v/>
      </c>
    </row>
    <row r="1233">
      <c r="A1233" s="54" t="n"/>
      <c r="B1233" s="61" t="n"/>
      <c r="C1233" s="58" t="n"/>
      <c r="D1233" s="58" t="n"/>
      <c r="E1233" s="64">
        <f>IF(tblCommentary[[#This Row],[Date]]="","",COUNTIFS(INDEX(tblCommentary[Date],1):tblCommentary[[#This Row],[Date]],tblCommentary[[#This Row],[Date]]))</f>
        <v/>
      </c>
      <c r="F1233" s="63">
        <f>IF(tblCommentary[[#This Row],[Date]]="","",tblCommentary[[#This Row],[Date]]&amp;"|"&amp;tblCommentary[[#This Row],[Seq_Day]])</f>
        <v/>
      </c>
    </row>
    <row r="1234">
      <c r="A1234" s="54" t="n"/>
      <c r="B1234" s="61" t="n"/>
      <c r="C1234" s="58" t="n"/>
      <c r="D1234" s="58" t="n"/>
      <c r="E1234" s="64">
        <f>IF(tblCommentary[[#This Row],[Date]]="","",COUNTIFS(INDEX(tblCommentary[Date],1):tblCommentary[[#This Row],[Date]],tblCommentary[[#This Row],[Date]]))</f>
        <v/>
      </c>
      <c r="F1234" s="63">
        <f>IF(tblCommentary[[#This Row],[Date]]="","",tblCommentary[[#This Row],[Date]]&amp;"|"&amp;tblCommentary[[#This Row],[Seq_Day]])</f>
        <v/>
      </c>
    </row>
    <row r="1235">
      <c r="A1235" s="54" t="n"/>
      <c r="B1235" s="61" t="n"/>
      <c r="C1235" s="58" t="n"/>
      <c r="D1235" s="58" t="n"/>
      <c r="E1235" s="64">
        <f>IF(tblCommentary[[#This Row],[Date]]="","",COUNTIFS(INDEX(tblCommentary[Date],1):tblCommentary[[#This Row],[Date]],tblCommentary[[#This Row],[Date]]))</f>
        <v/>
      </c>
      <c r="F1235" s="63">
        <f>IF(tblCommentary[[#This Row],[Date]]="","",tblCommentary[[#This Row],[Date]]&amp;"|"&amp;tblCommentary[[#This Row],[Seq_Day]])</f>
        <v/>
      </c>
    </row>
    <row r="1236">
      <c r="A1236" s="54" t="n"/>
      <c r="B1236" s="61" t="n"/>
      <c r="C1236" s="58" t="n"/>
      <c r="D1236" s="58" t="n"/>
      <c r="E1236" s="64">
        <f>IF(tblCommentary[[#This Row],[Date]]="","",COUNTIFS(INDEX(tblCommentary[Date],1):tblCommentary[[#This Row],[Date]],tblCommentary[[#This Row],[Date]]))</f>
        <v/>
      </c>
      <c r="F1236" s="63">
        <f>IF(tblCommentary[[#This Row],[Date]]="","",tblCommentary[[#This Row],[Date]]&amp;"|"&amp;tblCommentary[[#This Row],[Seq_Day]])</f>
        <v/>
      </c>
    </row>
    <row r="1237">
      <c r="A1237" s="54" t="n"/>
      <c r="B1237" s="61" t="n"/>
      <c r="C1237" s="58" t="n"/>
      <c r="D1237" s="58" t="n"/>
      <c r="E1237" s="64">
        <f>IF(tblCommentary[[#This Row],[Date]]="","",COUNTIFS(INDEX(tblCommentary[Date],1):tblCommentary[[#This Row],[Date]],tblCommentary[[#This Row],[Date]]))</f>
        <v/>
      </c>
      <c r="F1237" s="63">
        <f>IF(tblCommentary[[#This Row],[Date]]="","",tblCommentary[[#This Row],[Date]]&amp;"|"&amp;tblCommentary[[#This Row],[Seq_Day]])</f>
        <v/>
      </c>
    </row>
    <row r="1238">
      <c r="A1238" s="54" t="n"/>
      <c r="B1238" s="61" t="n"/>
      <c r="C1238" s="58" t="n"/>
      <c r="D1238" s="58" t="n"/>
      <c r="E1238" s="64">
        <f>IF(tblCommentary[[#This Row],[Date]]="","",COUNTIFS(INDEX(tblCommentary[Date],1):tblCommentary[[#This Row],[Date]],tblCommentary[[#This Row],[Date]]))</f>
        <v/>
      </c>
      <c r="F1238" s="63">
        <f>IF(tblCommentary[[#This Row],[Date]]="","",tblCommentary[[#This Row],[Date]]&amp;"|"&amp;tblCommentary[[#This Row],[Seq_Day]])</f>
        <v/>
      </c>
    </row>
    <row r="1239">
      <c r="A1239" s="54" t="n"/>
      <c r="B1239" s="61" t="n"/>
      <c r="C1239" s="58" t="n"/>
      <c r="D1239" s="58" t="n"/>
      <c r="E1239" s="64">
        <f>IF(tblCommentary[[#This Row],[Date]]="","",COUNTIFS(INDEX(tblCommentary[Date],1):tblCommentary[[#This Row],[Date]],tblCommentary[[#This Row],[Date]]))</f>
        <v/>
      </c>
      <c r="F1239" s="63">
        <f>IF(tblCommentary[[#This Row],[Date]]="","",tblCommentary[[#This Row],[Date]]&amp;"|"&amp;tblCommentary[[#This Row],[Seq_Day]])</f>
        <v/>
      </c>
    </row>
    <row r="1240">
      <c r="A1240" s="54" t="n"/>
      <c r="B1240" s="61" t="n"/>
      <c r="C1240" s="58" t="n"/>
      <c r="D1240" s="58" t="n"/>
      <c r="E1240" s="64">
        <f>IF(tblCommentary[[#This Row],[Date]]="","",COUNTIFS(INDEX(tblCommentary[Date],1):tblCommentary[[#This Row],[Date]],tblCommentary[[#This Row],[Date]]))</f>
        <v/>
      </c>
      <c r="F1240" s="63">
        <f>IF(tblCommentary[[#This Row],[Date]]="","",tblCommentary[[#This Row],[Date]]&amp;"|"&amp;tblCommentary[[#This Row],[Seq_Day]])</f>
        <v/>
      </c>
    </row>
    <row r="1241">
      <c r="A1241" s="54" t="n"/>
      <c r="B1241" s="61" t="n"/>
      <c r="C1241" s="58" t="n"/>
      <c r="D1241" s="58" t="n"/>
      <c r="E1241" s="64">
        <f>IF(tblCommentary[[#This Row],[Date]]="","",COUNTIFS(INDEX(tblCommentary[Date],1):tblCommentary[[#This Row],[Date]],tblCommentary[[#This Row],[Date]]))</f>
        <v/>
      </c>
      <c r="F1241" s="63">
        <f>IF(tblCommentary[[#This Row],[Date]]="","",tblCommentary[[#This Row],[Date]]&amp;"|"&amp;tblCommentary[[#This Row],[Seq_Day]])</f>
        <v/>
      </c>
    </row>
    <row r="1242">
      <c r="A1242" s="54" t="n"/>
      <c r="B1242" s="61" t="n"/>
      <c r="C1242" s="58" t="n"/>
      <c r="D1242" s="58" t="n"/>
      <c r="E1242" s="64">
        <f>IF(tblCommentary[[#This Row],[Date]]="","",COUNTIFS(INDEX(tblCommentary[Date],1):tblCommentary[[#This Row],[Date]],tblCommentary[[#This Row],[Date]]))</f>
        <v/>
      </c>
      <c r="F1242" s="63">
        <f>IF(tblCommentary[[#This Row],[Date]]="","",tblCommentary[[#This Row],[Date]]&amp;"|"&amp;tblCommentary[[#This Row],[Seq_Day]])</f>
        <v/>
      </c>
    </row>
    <row r="1243">
      <c r="A1243" s="54" t="n"/>
      <c r="B1243" s="61" t="n"/>
      <c r="C1243" s="58" t="n"/>
      <c r="D1243" s="58" t="n"/>
      <c r="E1243" s="64">
        <f>IF(tblCommentary[[#This Row],[Date]]="","",COUNTIFS(INDEX(tblCommentary[Date],1):tblCommentary[[#This Row],[Date]],tblCommentary[[#This Row],[Date]]))</f>
        <v/>
      </c>
      <c r="F1243" s="63">
        <f>IF(tblCommentary[[#This Row],[Date]]="","",tblCommentary[[#This Row],[Date]]&amp;"|"&amp;tblCommentary[[#This Row],[Seq_Day]])</f>
        <v/>
      </c>
    </row>
    <row r="1244">
      <c r="A1244" s="54" t="n"/>
      <c r="B1244" s="61" t="n"/>
      <c r="C1244" s="58" t="n"/>
      <c r="D1244" s="58" t="n"/>
      <c r="E1244" s="64">
        <f>IF(tblCommentary[[#This Row],[Date]]="","",COUNTIFS(INDEX(tblCommentary[Date],1):tblCommentary[[#This Row],[Date]],tblCommentary[[#This Row],[Date]]))</f>
        <v/>
      </c>
      <c r="F1244" s="63">
        <f>IF(tblCommentary[[#This Row],[Date]]="","",tblCommentary[[#This Row],[Date]]&amp;"|"&amp;tblCommentary[[#This Row],[Seq_Day]])</f>
        <v/>
      </c>
    </row>
    <row r="1245">
      <c r="A1245" s="54" t="n"/>
      <c r="B1245" s="61" t="n"/>
      <c r="C1245" s="58" t="n"/>
      <c r="D1245" s="58" t="n"/>
      <c r="E1245" s="64">
        <f>IF(tblCommentary[[#This Row],[Date]]="","",COUNTIFS(INDEX(tblCommentary[Date],1):tblCommentary[[#This Row],[Date]],tblCommentary[[#This Row],[Date]]))</f>
        <v/>
      </c>
      <c r="F1245" s="63">
        <f>IF(tblCommentary[[#This Row],[Date]]="","",tblCommentary[[#This Row],[Date]]&amp;"|"&amp;tblCommentary[[#This Row],[Seq_Day]])</f>
        <v/>
      </c>
    </row>
    <row r="1246">
      <c r="A1246" s="54" t="n"/>
      <c r="B1246" s="61" t="n"/>
      <c r="C1246" s="58" t="n"/>
      <c r="D1246" s="58" t="n"/>
      <c r="E1246" s="64">
        <f>IF(tblCommentary[[#This Row],[Date]]="","",COUNTIFS(INDEX(tblCommentary[Date],1):tblCommentary[[#This Row],[Date]],tblCommentary[[#This Row],[Date]]))</f>
        <v/>
      </c>
      <c r="F1246" s="63">
        <f>IF(tblCommentary[[#This Row],[Date]]="","",tblCommentary[[#This Row],[Date]]&amp;"|"&amp;tblCommentary[[#This Row],[Seq_Day]])</f>
        <v/>
      </c>
    </row>
    <row r="1247">
      <c r="A1247" s="54" t="n"/>
      <c r="B1247" s="61" t="n"/>
      <c r="C1247" s="58" t="n"/>
      <c r="D1247" s="58" t="n"/>
      <c r="E1247" s="64">
        <f>IF(tblCommentary[[#This Row],[Date]]="","",COUNTIFS(INDEX(tblCommentary[Date],1):tblCommentary[[#This Row],[Date]],tblCommentary[[#This Row],[Date]]))</f>
        <v/>
      </c>
      <c r="F1247" s="63">
        <f>IF(tblCommentary[[#This Row],[Date]]="","",tblCommentary[[#This Row],[Date]]&amp;"|"&amp;tblCommentary[[#This Row],[Seq_Day]])</f>
        <v/>
      </c>
    </row>
    <row r="1248">
      <c r="A1248" s="54" t="n"/>
      <c r="B1248" s="61" t="n"/>
      <c r="C1248" s="58" t="n"/>
      <c r="D1248" s="58" t="n"/>
      <c r="E1248" s="64">
        <f>IF(tblCommentary[[#This Row],[Date]]="","",COUNTIFS(INDEX(tblCommentary[Date],1):tblCommentary[[#This Row],[Date]],tblCommentary[[#This Row],[Date]]))</f>
        <v/>
      </c>
      <c r="F1248" s="63">
        <f>IF(tblCommentary[[#This Row],[Date]]="","",tblCommentary[[#This Row],[Date]]&amp;"|"&amp;tblCommentary[[#This Row],[Seq_Day]])</f>
        <v/>
      </c>
    </row>
    <row r="1249">
      <c r="A1249" s="54" t="n"/>
      <c r="B1249" s="61" t="n"/>
      <c r="C1249" s="58" t="n"/>
      <c r="D1249" s="58" t="n"/>
      <c r="E1249" s="64">
        <f>IF(tblCommentary[[#This Row],[Date]]="","",COUNTIFS(INDEX(tblCommentary[Date],1):tblCommentary[[#This Row],[Date]],tblCommentary[[#This Row],[Date]]))</f>
        <v/>
      </c>
      <c r="F1249" s="63">
        <f>IF(tblCommentary[[#This Row],[Date]]="","",tblCommentary[[#This Row],[Date]]&amp;"|"&amp;tblCommentary[[#This Row],[Seq_Day]])</f>
        <v/>
      </c>
    </row>
    <row r="1250">
      <c r="A1250" s="54" t="n"/>
      <c r="B1250" s="61" t="n"/>
      <c r="C1250" s="58" t="n"/>
      <c r="D1250" s="58" t="n"/>
      <c r="E1250" s="64">
        <f>IF(tblCommentary[[#This Row],[Date]]="","",COUNTIFS(INDEX(tblCommentary[Date],1):tblCommentary[[#This Row],[Date]],tblCommentary[[#This Row],[Date]]))</f>
        <v/>
      </c>
      <c r="F1250" s="63">
        <f>IF(tblCommentary[[#This Row],[Date]]="","",tblCommentary[[#This Row],[Date]]&amp;"|"&amp;tblCommentary[[#This Row],[Seq_Day]])</f>
        <v/>
      </c>
    </row>
    <row r="1251">
      <c r="A1251" s="54" t="n"/>
      <c r="B1251" s="61" t="n"/>
      <c r="C1251" s="58" t="n"/>
      <c r="D1251" s="58" t="n"/>
      <c r="E1251" s="64">
        <f>IF(tblCommentary[[#This Row],[Date]]="","",COUNTIFS(INDEX(tblCommentary[Date],1):tblCommentary[[#This Row],[Date]],tblCommentary[[#This Row],[Date]]))</f>
        <v/>
      </c>
      <c r="F1251" s="63">
        <f>IF(tblCommentary[[#This Row],[Date]]="","",tblCommentary[[#This Row],[Date]]&amp;"|"&amp;tblCommentary[[#This Row],[Seq_Day]])</f>
        <v/>
      </c>
    </row>
    <row r="1252">
      <c r="A1252" s="54" t="n"/>
      <c r="B1252" s="61" t="n"/>
      <c r="C1252" s="58" t="n"/>
      <c r="D1252" s="58" t="n"/>
      <c r="E1252" s="64">
        <f>IF(tblCommentary[[#This Row],[Date]]="","",COUNTIFS(INDEX(tblCommentary[Date],1):tblCommentary[[#This Row],[Date]],tblCommentary[[#This Row],[Date]]))</f>
        <v/>
      </c>
      <c r="F1252" s="63">
        <f>IF(tblCommentary[[#This Row],[Date]]="","",tblCommentary[[#This Row],[Date]]&amp;"|"&amp;tblCommentary[[#This Row],[Seq_Day]])</f>
        <v/>
      </c>
    </row>
    <row r="1253">
      <c r="A1253" s="54" t="n"/>
      <c r="B1253" s="61" t="n"/>
      <c r="C1253" s="58" t="n"/>
      <c r="D1253" s="58" t="n"/>
      <c r="E1253" s="64">
        <f>IF(tblCommentary[[#This Row],[Date]]="","",COUNTIFS(INDEX(tblCommentary[Date],1):tblCommentary[[#This Row],[Date]],tblCommentary[[#This Row],[Date]]))</f>
        <v/>
      </c>
      <c r="F1253" s="63">
        <f>IF(tblCommentary[[#This Row],[Date]]="","",tblCommentary[[#This Row],[Date]]&amp;"|"&amp;tblCommentary[[#This Row],[Seq_Day]])</f>
        <v/>
      </c>
    </row>
    <row r="1254">
      <c r="A1254" s="54" t="n"/>
      <c r="B1254" s="61" t="n"/>
      <c r="C1254" s="58" t="n"/>
      <c r="D1254" s="58" t="n"/>
      <c r="E1254" s="64">
        <f>IF(tblCommentary[[#This Row],[Date]]="","",COUNTIFS(INDEX(tblCommentary[Date],1):tblCommentary[[#This Row],[Date]],tblCommentary[[#This Row],[Date]]))</f>
        <v/>
      </c>
      <c r="F1254" s="63">
        <f>IF(tblCommentary[[#This Row],[Date]]="","",tblCommentary[[#This Row],[Date]]&amp;"|"&amp;tblCommentary[[#This Row],[Seq_Day]])</f>
        <v/>
      </c>
    </row>
    <row r="1255">
      <c r="A1255" s="54" t="n"/>
      <c r="B1255" s="61" t="n"/>
      <c r="C1255" s="58" t="n"/>
      <c r="D1255" s="58" t="n"/>
      <c r="E1255" s="64">
        <f>IF(tblCommentary[[#This Row],[Date]]="","",COUNTIFS(INDEX(tblCommentary[Date],1):tblCommentary[[#This Row],[Date]],tblCommentary[[#This Row],[Date]]))</f>
        <v/>
      </c>
      <c r="F1255" s="63">
        <f>IF(tblCommentary[[#This Row],[Date]]="","",tblCommentary[[#This Row],[Date]]&amp;"|"&amp;tblCommentary[[#This Row],[Seq_Day]])</f>
        <v/>
      </c>
    </row>
    <row r="1256">
      <c r="A1256" s="54" t="n"/>
      <c r="B1256" s="61" t="n"/>
      <c r="C1256" s="58" t="n"/>
      <c r="D1256" s="58" t="n"/>
      <c r="E1256" s="64">
        <f>IF(tblCommentary[[#This Row],[Date]]="","",COUNTIFS(INDEX(tblCommentary[Date],1):tblCommentary[[#This Row],[Date]],tblCommentary[[#This Row],[Date]]))</f>
        <v/>
      </c>
      <c r="F1256" s="63">
        <f>IF(tblCommentary[[#This Row],[Date]]="","",tblCommentary[[#This Row],[Date]]&amp;"|"&amp;tblCommentary[[#This Row],[Seq_Day]])</f>
        <v/>
      </c>
    </row>
    <row r="1257">
      <c r="A1257" s="54" t="n"/>
      <c r="B1257" s="61" t="n"/>
      <c r="C1257" s="58" t="n"/>
      <c r="D1257" s="58" t="n"/>
      <c r="E1257" s="64">
        <f>IF(tblCommentary[[#This Row],[Date]]="","",COUNTIFS(INDEX(tblCommentary[Date],1):tblCommentary[[#This Row],[Date]],tblCommentary[[#This Row],[Date]]))</f>
        <v/>
      </c>
      <c r="F1257" s="63">
        <f>IF(tblCommentary[[#This Row],[Date]]="","",tblCommentary[[#This Row],[Date]]&amp;"|"&amp;tblCommentary[[#This Row],[Seq_Day]])</f>
        <v/>
      </c>
    </row>
    <row r="1258">
      <c r="A1258" s="54" t="n"/>
      <c r="B1258" s="61" t="n"/>
      <c r="C1258" s="58" t="n"/>
      <c r="D1258" s="58" t="n"/>
      <c r="E1258" s="64">
        <f>IF(tblCommentary[[#This Row],[Date]]="","",COUNTIFS(INDEX(tblCommentary[Date],1):tblCommentary[[#This Row],[Date]],tblCommentary[[#This Row],[Date]]))</f>
        <v/>
      </c>
      <c r="F1258" s="63">
        <f>IF(tblCommentary[[#This Row],[Date]]="","",tblCommentary[[#This Row],[Date]]&amp;"|"&amp;tblCommentary[[#This Row],[Seq_Day]])</f>
        <v/>
      </c>
    </row>
    <row r="1259">
      <c r="A1259" s="54" t="n"/>
      <c r="B1259" s="61" t="n"/>
      <c r="C1259" s="58" t="n"/>
      <c r="D1259" s="58" t="n"/>
      <c r="E1259" s="64">
        <f>IF(tblCommentary[[#This Row],[Date]]="","",COUNTIFS(INDEX(tblCommentary[Date],1):tblCommentary[[#This Row],[Date]],tblCommentary[[#This Row],[Date]]))</f>
        <v/>
      </c>
      <c r="F1259" s="63">
        <f>IF(tblCommentary[[#This Row],[Date]]="","",tblCommentary[[#This Row],[Date]]&amp;"|"&amp;tblCommentary[[#This Row],[Seq_Day]])</f>
        <v/>
      </c>
    </row>
    <row r="1260">
      <c r="A1260" s="54" t="n"/>
      <c r="B1260" s="61" t="n"/>
      <c r="C1260" s="58" t="n"/>
      <c r="D1260" s="58" t="n"/>
      <c r="E1260" s="64">
        <f>IF(tblCommentary[[#This Row],[Date]]="","",COUNTIFS(INDEX(tblCommentary[Date],1):tblCommentary[[#This Row],[Date]],tblCommentary[[#This Row],[Date]]))</f>
        <v/>
      </c>
      <c r="F1260" s="63">
        <f>IF(tblCommentary[[#This Row],[Date]]="","",tblCommentary[[#This Row],[Date]]&amp;"|"&amp;tblCommentary[[#This Row],[Seq_Day]])</f>
        <v/>
      </c>
    </row>
    <row r="1261">
      <c r="A1261" s="54" t="n"/>
      <c r="B1261" s="61" t="n"/>
      <c r="C1261" s="58" t="n"/>
      <c r="D1261" s="58" t="n"/>
      <c r="E1261" s="64">
        <f>IF(tblCommentary[[#This Row],[Date]]="","",COUNTIFS(INDEX(tblCommentary[Date],1):tblCommentary[[#This Row],[Date]],tblCommentary[[#This Row],[Date]]))</f>
        <v/>
      </c>
      <c r="F1261" s="63">
        <f>IF(tblCommentary[[#This Row],[Date]]="","",tblCommentary[[#This Row],[Date]]&amp;"|"&amp;tblCommentary[[#This Row],[Seq_Day]])</f>
        <v/>
      </c>
    </row>
    <row r="1262">
      <c r="A1262" s="54" t="n"/>
      <c r="B1262" s="61" t="n"/>
      <c r="C1262" s="58" t="n"/>
      <c r="D1262" s="58" t="n"/>
      <c r="E1262" s="64">
        <f>IF(tblCommentary[[#This Row],[Date]]="","",COUNTIFS(INDEX(tblCommentary[Date],1):tblCommentary[[#This Row],[Date]],tblCommentary[[#This Row],[Date]]))</f>
        <v/>
      </c>
      <c r="F1262" s="63">
        <f>IF(tblCommentary[[#This Row],[Date]]="","",tblCommentary[[#This Row],[Date]]&amp;"|"&amp;tblCommentary[[#This Row],[Seq_Day]])</f>
        <v/>
      </c>
    </row>
    <row r="1263">
      <c r="A1263" s="54" t="n"/>
      <c r="B1263" s="61" t="n"/>
      <c r="C1263" s="58" t="n"/>
      <c r="D1263" s="58" t="n"/>
      <c r="E1263" s="64">
        <f>IF(tblCommentary[[#This Row],[Date]]="","",COUNTIFS(INDEX(tblCommentary[Date],1):tblCommentary[[#This Row],[Date]],tblCommentary[[#This Row],[Date]]))</f>
        <v/>
      </c>
      <c r="F1263" s="63">
        <f>IF(tblCommentary[[#This Row],[Date]]="","",tblCommentary[[#This Row],[Date]]&amp;"|"&amp;tblCommentary[[#This Row],[Seq_Day]])</f>
        <v/>
      </c>
    </row>
    <row r="1264">
      <c r="A1264" s="54" t="n"/>
      <c r="B1264" s="61" t="n"/>
      <c r="C1264" s="58" t="n"/>
      <c r="D1264" s="58" t="n"/>
      <c r="E1264" s="64">
        <f>IF(tblCommentary[[#This Row],[Date]]="","",COUNTIFS(INDEX(tblCommentary[Date],1):tblCommentary[[#This Row],[Date]],tblCommentary[[#This Row],[Date]]))</f>
        <v/>
      </c>
      <c r="F1264" s="63">
        <f>IF(tblCommentary[[#This Row],[Date]]="","",tblCommentary[[#This Row],[Date]]&amp;"|"&amp;tblCommentary[[#This Row],[Seq_Day]])</f>
        <v/>
      </c>
    </row>
    <row r="1265">
      <c r="A1265" s="54" t="n"/>
      <c r="B1265" s="61" t="n"/>
      <c r="C1265" s="58" t="n"/>
      <c r="D1265" s="58" t="n"/>
      <c r="E1265" s="64">
        <f>IF(tblCommentary[[#This Row],[Date]]="","",COUNTIFS(INDEX(tblCommentary[Date],1):tblCommentary[[#This Row],[Date]],tblCommentary[[#This Row],[Date]]))</f>
        <v/>
      </c>
      <c r="F1265" s="63">
        <f>IF(tblCommentary[[#This Row],[Date]]="","",tblCommentary[[#This Row],[Date]]&amp;"|"&amp;tblCommentary[[#This Row],[Seq_Day]])</f>
        <v/>
      </c>
    </row>
    <row r="1266">
      <c r="A1266" s="54" t="n"/>
      <c r="B1266" s="61" t="n"/>
      <c r="C1266" s="58" t="n"/>
      <c r="D1266" s="58" t="n"/>
      <c r="E1266" s="64">
        <f>IF(tblCommentary[[#This Row],[Date]]="","",COUNTIFS(INDEX(tblCommentary[Date],1):tblCommentary[[#This Row],[Date]],tblCommentary[[#This Row],[Date]]))</f>
        <v/>
      </c>
      <c r="F1266" s="63">
        <f>IF(tblCommentary[[#This Row],[Date]]="","",tblCommentary[[#This Row],[Date]]&amp;"|"&amp;tblCommentary[[#This Row],[Seq_Day]])</f>
        <v/>
      </c>
    </row>
    <row r="1267">
      <c r="A1267" s="54" t="n"/>
      <c r="B1267" s="61" t="n"/>
      <c r="C1267" s="58" t="n"/>
      <c r="D1267" s="58" t="n"/>
      <c r="E1267" s="64">
        <f>IF(tblCommentary[[#This Row],[Date]]="","",COUNTIFS(INDEX(tblCommentary[Date],1):tblCommentary[[#This Row],[Date]],tblCommentary[[#This Row],[Date]]))</f>
        <v/>
      </c>
      <c r="F1267" s="63">
        <f>IF(tblCommentary[[#This Row],[Date]]="","",tblCommentary[[#This Row],[Date]]&amp;"|"&amp;tblCommentary[[#This Row],[Seq_Day]])</f>
        <v/>
      </c>
    </row>
    <row r="1268">
      <c r="A1268" s="54" t="n"/>
      <c r="B1268" s="61" t="n"/>
      <c r="C1268" s="58" t="n"/>
      <c r="D1268" s="58" t="n"/>
      <c r="E1268" s="64">
        <f>IF(tblCommentary[[#This Row],[Date]]="","",COUNTIFS(INDEX(tblCommentary[Date],1):tblCommentary[[#This Row],[Date]],tblCommentary[[#This Row],[Date]]))</f>
        <v/>
      </c>
      <c r="F1268" s="63">
        <f>IF(tblCommentary[[#This Row],[Date]]="","",tblCommentary[[#This Row],[Date]]&amp;"|"&amp;tblCommentary[[#This Row],[Seq_Day]])</f>
        <v/>
      </c>
    </row>
    <row r="1269">
      <c r="A1269" s="54" t="n"/>
      <c r="B1269" s="61" t="n"/>
      <c r="C1269" s="58" t="n"/>
      <c r="D1269" s="58" t="n"/>
      <c r="E1269" s="64">
        <f>IF(tblCommentary[[#This Row],[Date]]="","",COUNTIFS(INDEX(tblCommentary[Date],1):tblCommentary[[#This Row],[Date]],tblCommentary[[#This Row],[Date]]))</f>
        <v/>
      </c>
      <c r="F1269" s="63">
        <f>IF(tblCommentary[[#This Row],[Date]]="","",tblCommentary[[#This Row],[Date]]&amp;"|"&amp;tblCommentary[[#This Row],[Seq_Day]])</f>
        <v/>
      </c>
    </row>
    <row r="1270">
      <c r="A1270" s="54" t="n"/>
      <c r="B1270" s="61" t="n"/>
      <c r="C1270" s="58" t="n"/>
      <c r="D1270" s="58" t="n"/>
      <c r="E1270" s="64">
        <f>IF(tblCommentary[[#This Row],[Date]]="","",COUNTIFS(INDEX(tblCommentary[Date],1):tblCommentary[[#This Row],[Date]],tblCommentary[[#This Row],[Date]]))</f>
        <v/>
      </c>
      <c r="F1270" s="63">
        <f>IF(tblCommentary[[#This Row],[Date]]="","",tblCommentary[[#This Row],[Date]]&amp;"|"&amp;tblCommentary[[#This Row],[Seq_Day]])</f>
        <v/>
      </c>
    </row>
    <row r="1271">
      <c r="A1271" s="54" t="n"/>
      <c r="B1271" s="61" t="n"/>
      <c r="C1271" s="58" t="n"/>
      <c r="D1271" s="58" t="n"/>
      <c r="E1271" s="64">
        <f>IF(tblCommentary[[#This Row],[Date]]="","",COUNTIFS(INDEX(tblCommentary[Date],1):tblCommentary[[#This Row],[Date]],tblCommentary[[#This Row],[Date]]))</f>
        <v/>
      </c>
      <c r="F1271" s="63">
        <f>IF(tblCommentary[[#This Row],[Date]]="","",tblCommentary[[#This Row],[Date]]&amp;"|"&amp;tblCommentary[[#This Row],[Seq_Day]])</f>
        <v/>
      </c>
    </row>
    <row r="1272">
      <c r="A1272" s="54" t="n"/>
      <c r="B1272" s="61" t="n"/>
      <c r="C1272" s="58" t="n"/>
      <c r="D1272" s="58" t="n"/>
      <c r="E1272" s="64">
        <f>IF(tblCommentary[[#This Row],[Date]]="","",COUNTIFS(INDEX(tblCommentary[Date],1):tblCommentary[[#This Row],[Date]],tblCommentary[[#This Row],[Date]]))</f>
        <v/>
      </c>
      <c r="F1272" s="63">
        <f>IF(tblCommentary[[#This Row],[Date]]="","",tblCommentary[[#This Row],[Date]]&amp;"|"&amp;tblCommentary[[#This Row],[Seq_Day]])</f>
        <v/>
      </c>
    </row>
    <row r="1273">
      <c r="A1273" s="54" t="n"/>
      <c r="B1273" s="61" t="n"/>
      <c r="C1273" s="58" t="n"/>
      <c r="D1273" s="58" t="n"/>
      <c r="E1273" s="64">
        <f>IF(tblCommentary[[#This Row],[Date]]="","",COUNTIFS(INDEX(tblCommentary[Date],1):tblCommentary[[#This Row],[Date]],tblCommentary[[#This Row],[Date]]))</f>
        <v/>
      </c>
      <c r="F1273" s="63">
        <f>IF(tblCommentary[[#This Row],[Date]]="","",tblCommentary[[#This Row],[Date]]&amp;"|"&amp;tblCommentary[[#This Row],[Seq_Day]])</f>
        <v/>
      </c>
    </row>
    <row r="1274">
      <c r="A1274" s="54" t="n"/>
      <c r="B1274" s="61" t="n"/>
      <c r="C1274" s="58" t="n"/>
      <c r="D1274" s="58" t="n"/>
      <c r="E1274" s="64">
        <f>IF(tblCommentary[[#This Row],[Date]]="","",COUNTIFS(INDEX(tblCommentary[Date],1):tblCommentary[[#This Row],[Date]],tblCommentary[[#This Row],[Date]]))</f>
        <v/>
      </c>
      <c r="F1274" s="63">
        <f>IF(tblCommentary[[#This Row],[Date]]="","",tblCommentary[[#This Row],[Date]]&amp;"|"&amp;tblCommentary[[#This Row],[Seq_Day]])</f>
        <v/>
      </c>
    </row>
    <row r="1275">
      <c r="A1275" s="54" t="n"/>
      <c r="B1275" s="61" t="n"/>
      <c r="C1275" s="58" t="n"/>
      <c r="D1275" s="58" t="n"/>
      <c r="E1275" s="64">
        <f>IF(tblCommentary[[#This Row],[Date]]="","",COUNTIFS(INDEX(tblCommentary[Date],1):tblCommentary[[#This Row],[Date]],tblCommentary[[#This Row],[Date]]))</f>
        <v/>
      </c>
      <c r="F1275" s="63">
        <f>IF(tblCommentary[[#This Row],[Date]]="","",tblCommentary[[#This Row],[Date]]&amp;"|"&amp;tblCommentary[[#This Row],[Seq_Day]])</f>
        <v/>
      </c>
    </row>
    <row r="1276">
      <c r="A1276" s="54" t="n"/>
      <c r="B1276" s="61" t="n"/>
      <c r="C1276" s="58" t="n"/>
      <c r="D1276" s="58" t="n"/>
      <c r="E1276" s="64">
        <f>IF(tblCommentary[[#This Row],[Date]]="","",COUNTIFS(INDEX(tblCommentary[Date],1):tblCommentary[[#This Row],[Date]],tblCommentary[[#This Row],[Date]]))</f>
        <v/>
      </c>
      <c r="F1276" s="63">
        <f>IF(tblCommentary[[#This Row],[Date]]="","",tblCommentary[[#This Row],[Date]]&amp;"|"&amp;tblCommentary[[#This Row],[Seq_Day]])</f>
        <v/>
      </c>
    </row>
    <row r="1277">
      <c r="A1277" s="54" t="n"/>
      <c r="B1277" s="61" t="n"/>
      <c r="C1277" s="58" t="n"/>
      <c r="D1277" s="58" t="n"/>
      <c r="E1277" s="64">
        <f>IF(tblCommentary[[#This Row],[Date]]="","",COUNTIFS(INDEX(tblCommentary[Date],1):tblCommentary[[#This Row],[Date]],tblCommentary[[#This Row],[Date]]))</f>
        <v/>
      </c>
      <c r="F1277" s="63">
        <f>IF(tblCommentary[[#This Row],[Date]]="","",tblCommentary[[#This Row],[Date]]&amp;"|"&amp;tblCommentary[[#This Row],[Seq_Day]])</f>
        <v/>
      </c>
    </row>
    <row r="1278">
      <c r="A1278" s="54" t="n"/>
      <c r="B1278" s="61" t="n"/>
      <c r="C1278" s="58" t="n"/>
      <c r="D1278" s="58" t="n"/>
      <c r="E1278" s="64">
        <f>IF(tblCommentary[[#This Row],[Date]]="","",COUNTIFS(INDEX(tblCommentary[Date],1):tblCommentary[[#This Row],[Date]],tblCommentary[[#This Row],[Date]]))</f>
        <v/>
      </c>
      <c r="F1278" s="63">
        <f>IF(tblCommentary[[#This Row],[Date]]="","",tblCommentary[[#This Row],[Date]]&amp;"|"&amp;tblCommentary[[#This Row],[Seq_Day]])</f>
        <v/>
      </c>
    </row>
    <row r="1279">
      <c r="A1279" s="54" t="n"/>
      <c r="B1279" s="61" t="n"/>
      <c r="C1279" s="58" t="n"/>
      <c r="D1279" s="58" t="n"/>
      <c r="E1279" s="64">
        <f>IF(tblCommentary[[#This Row],[Date]]="","",COUNTIFS(INDEX(tblCommentary[Date],1):tblCommentary[[#This Row],[Date]],tblCommentary[[#This Row],[Date]]))</f>
        <v/>
      </c>
      <c r="F1279" s="63">
        <f>IF(tblCommentary[[#This Row],[Date]]="","",tblCommentary[[#This Row],[Date]]&amp;"|"&amp;tblCommentary[[#This Row],[Seq_Day]])</f>
        <v/>
      </c>
    </row>
    <row r="1280">
      <c r="A1280" s="54" t="n"/>
      <c r="B1280" s="61" t="n"/>
      <c r="C1280" s="58" t="n"/>
      <c r="D1280" s="58" t="n"/>
      <c r="E1280" s="64">
        <f>IF(tblCommentary[[#This Row],[Date]]="","",COUNTIFS(INDEX(tblCommentary[Date],1):tblCommentary[[#This Row],[Date]],tblCommentary[[#This Row],[Date]]))</f>
        <v/>
      </c>
      <c r="F1280" s="63">
        <f>IF(tblCommentary[[#This Row],[Date]]="","",tblCommentary[[#This Row],[Date]]&amp;"|"&amp;tblCommentary[[#This Row],[Seq_Day]])</f>
        <v/>
      </c>
    </row>
    <row r="1281">
      <c r="A1281" s="54" t="n"/>
      <c r="B1281" s="61" t="n"/>
      <c r="C1281" s="58" t="n"/>
      <c r="D1281" s="58" t="n"/>
      <c r="E1281" s="64">
        <f>IF(tblCommentary[[#This Row],[Date]]="","",COUNTIFS(INDEX(tblCommentary[Date],1):tblCommentary[[#This Row],[Date]],tblCommentary[[#This Row],[Date]]))</f>
        <v/>
      </c>
      <c r="F1281" s="63">
        <f>IF(tblCommentary[[#This Row],[Date]]="","",tblCommentary[[#This Row],[Date]]&amp;"|"&amp;tblCommentary[[#This Row],[Seq_Day]])</f>
        <v/>
      </c>
    </row>
    <row r="1282">
      <c r="A1282" s="54" t="n"/>
      <c r="B1282" s="61" t="n"/>
      <c r="C1282" s="58" t="n"/>
      <c r="D1282" s="58" t="n"/>
      <c r="E1282" s="64">
        <f>IF(tblCommentary[[#This Row],[Date]]="","",COUNTIFS(INDEX(tblCommentary[Date],1):tblCommentary[[#This Row],[Date]],tblCommentary[[#This Row],[Date]]))</f>
        <v/>
      </c>
      <c r="F1282" s="63">
        <f>IF(tblCommentary[[#This Row],[Date]]="","",tblCommentary[[#This Row],[Date]]&amp;"|"&amp;tblCommentary[[#This Row],[Seq_Day]])</f>
        <v/>
      </c>
    </row>
    <row r="1283">
      <c r="A1283" s="54" t="n"/>
      <c r="B1283" s="61" t="n"/>
      <c r="C1283" s="58" t="n"/>
      <c r="D1283" s="58" t="n"/>
      <c r="E1283" s="64">
        <f>IF(tblCommentary[[#This Row],[Date]]="","",COUNTIFS(INDEX(tblCommentary[Date],1):tblCommentary[[#This Row],[Date]],tblCommentary[[#This Row],[Date]]))</f>
        <v/>
      </c>
      <c r="F1283" s="63">
        <f>IF(tblCommentary[[#This Row],[Date]]="","",tblCommentary[[#This Row],[Date]]&amp;"|"&amp;tblCommentary[[#This Row],[Seq_Day]])</f>
        <v/>
      </c>
    </row>
    <row r="1284">
      <c r="A1284" s="54" t="n"/>
      <c r="B1284" s="61" t="n"/>
      <c r="C1284" s="58" t="n"/>
      <c r="D1284" s="58" t="n"/>
      <c r="E1284" s="64">
        <f>IF(tblCommentary[[#This Row],[Date]]="","",COUNTIFS(INDEX(tblCommentary[Date],1):tblCommentary[[#This Row],[Date]],tblCommentary[[#This Row],[Date]]))</f>
        <v/>
      </c>
      <c r="F1284" s="63">
        <f>IF(tblCommentary[[#This Row],[Date]]="","",tblCommentary[[#This Row],[Date]]&amp;"|"&amp;tblCommentary[[#This Row],[Seq_Day]])</f>
        <v/>
      </c>
    </row>
    <row r="1285">
      <c r="A1285" s="54" t="n"/>
      <c r="B1285" s="61" t="n"/>
      <c r="C1285" s="58" t="n"/>
      <c r="D1285" s="58" t="n"/>
      <c r="E1285" s="64">
        <f>IF(tblCommentary[[#This Row],[Date]]="","",COUNTIFS(INDEX(tblCommentary[Date],1):tblCommentary[[#This Row],[Date]],tblCommentary[[#This Row],[Date]]))</f>
        <v/>
      </c>
      <c r="F1285" s="63">
        <f>IF(tblCommentary[[#This Row],[Date]]="","",tblCommentary[[#This Row],[Date]]&amp;"|"&amp;tblCommentary[[#This Row],[Seq_Day]])</f>
        <v/>
      </c>
    </row>
    <row r="1286">
      <c r="A1286" s="54" t="n"/>
      <c r="B1286" s="61" t="n"/>
      <c r="C1286" s="58" t="n"/>
      <c r="D1286" s="58" t="n"/>
      <c r="E1286" s="64">
        <f>IF(tblCommentary[[#This Row],[Date]]="","",COUNTIFS(INDEX(tblCommentary[Date],1):tblCommentary[[#This Row],[Date]],tblCommentary[[#This Row],[Date]]))</f>
        <v/>
      </c>
      <c r="F1286" s="63">
        <f>IF(tblCommentary[[#This Row],[Date]]="","",tblCommentary[[#This Row],[Date]]&amp;"|"&amp;tblCommentary[[#This Row],[Seq_Day]])</f>
        <v/>
      </c>
    </row>
    <row r="1287">
      <c r="A1287" s="54" t="n"/>
      <c r="B1287" s="61" t="n"/>
      <c r="C1287" s="58" t="n"/>
      <c r="D1287" s="58" t="n"/>
      <c r="E1287" s="64">
        <f>IF(tblCommentary[[#This Row],[Date]]="","",COUNTIFS(INDEX(tblCommentary[Date],1):tblCommentary[[#This Row],[Date]],tblCommentary[[#This Row],[Date]]))</f>
        <v/>
      </c>
      <c r="F1287" s="63">
        <f>IF(tblCommentary[[#This Row],[Date]]="","",tblCommentary[[#This Row],[Date]]&amp;"|"&amp;tblCommentary[[#This Row],[Seq_Day]])</f>
        <v/>
      </c>
    </row>
    <row r="1288">
      <c r="A1288" s="54" t="n"/>
      <c r="B1288" s="61" t="n"/>
      <c r="C1288" s="58" t="n"/>
      <c r="D1288" s="58" t="n"/>
      <c r="E1288" s="64">
        <f>IF(tblCommentary[[#This Row],[Date]]="","",COUNTIFS(INDEX(tblCommentary[Date],1):tblCommentary[[#This Row],[Date]],tblCommentary[[#This Row],[Date]]))</f>
        <v/>
      </c>
      <c r="F1288" s="63">
        <f>IF(tblCommentary[[#This Row],[Date]]="","",tblCommentary[[#This Row],[Date]]&amp;"|"&amp;tblCommentary[[#This Row],[Seq_Day]])</f>
        <v/>
      </c>
    </row>
    <row r="1289">
      <c r="A1289" s="54" t="n"/>
      <c r="B1289" s="61" t="n"/>
      <c r="C1289" s="58" t="n"/>
      <c r="D1289" s="58" t="n"/>
      <c r="E1289" s="64">
        <f>IF(tblCommentary[[#This Row],[Date]]="","",COUNTIFS(INDEX(tblCommentary[Date],1):tblCommentary[[#This Row],[Date]],tblCommentary[[#This Row],[Date]]))</f>
        <v/>
      </c>
      <c r="F1289" s="63">
        <f>IF(tblCommentary[[#This Row],[Date]]="","",tblCommentary[[#This Row],[Date]]&amp;"|"&amp;tblCommentary[[#This Row],[Seq_Day]])</f>
        <v/>
      </c>
    </row>
    <row r="1290">
      <c r="A1290" s="54" t="n"/>
      <c r="B1290" s="61" t="n"/>
      <c r="C1290" s="58" t="n"/>
      <c r="D1290" s="58" t="n"/>
      <c r="E1290" s="64">
        <f>IF(tblCommentary[[#This Row],[Date]]="","",COUNTIFS(INDEX(tblCommentary[Date],1):tblCommentary[[#This Row],[Date]],tblCommentary[[#This Row],[Date]]))</f>
        <v/>
      </c>
      <c r="F1290" s="63">
        <f>IF(tblCommentary[[#This Row],[Date]]="","",tblCommentary[[#This Row],[Date]]&amp;"|"&amp;tblCommentary[[#This Row],[Seq_Day]])</f>
        <v/>
      </c>
    </row>
    <row r="1291">
      <c r="A1291" s="54" t="n"/>
      <c r="B1291" s="61" t="n"/>
      <c r="C1291" s="58" t="n"/>
      <c r="D1291" s="58" t="n"/>
      <c r="E1291" s="64">
        <f>IF(tblCommentary[[#This Row],[Date]]="","",COUNTIFS(INDEX(tblCommentary[Date],1):tblCommentary[[#This Row],[Date]],tblCommentary[[#This Row],[Date]]))</f>
        <v/>
      </c>
      <c r="F1291" s="63">
        <f>IF(tblCommentary[[#This Row],[Date]]="","",tblCommentary[[#This Row],[Date]]&amp;"|"&amp;tblCommentary[[#This Row],[Seq_Day]])</f>
        <v/>
      </c>
    </row>
    <row r="1292">
      <c r="A1292" s="54" t="n"/>
      <c r="B1292" s="61" t="n"/>
      <c r="C1292" s="58" t="n"/>
      <c r="D1292" s="58" t="n"/>
      <c r="E1292" s="64">
        <f>IF(tblCommentary[[#This Row],[Date]]="","",COUNTIFS(INDEX(tblCommentary[Date],1):tblCommentary[[#This Row],[Date]],tblCommentary[[#This Row],[Date]]))</f>
        <v/>
      </c>
      <c r="F1292" s="63">
        <f>IF(tblCommentary[[#This Row],[Date]]="","",tblCommentary[[#This Row],[Date]]&amp;"|"&amp;tblCommentary[[#This Row],[Seq_Day]])</f>
        <v/>
      </c>
    </row>
    <row r="1293">
      <c r="A1293" s="54" t="n"/>
      <c r="B1293" s="61" t="n"/>
      <c r="C1293" s="58" t="n"/>
      <c r="D1293" s="58" t="n"/>
      <c r="E1293" s="64">
        <f>IF(tblCommentary[[#This Row],[Date]]="","",COUNTIFS(INDEX(tblCommentary[Date],1):tblCommentary[[#This Row],[Date]],tblCommentary[[#This Row],[Date]]))</f>
        <v/>
      </c>
      <c r="F1293" s="63">
        <f>IF(tblCommentary[[#This Row],[Date]]="","",tblCommentary[[#This Row],[Date]]&amp;"|"&amp;tblCommentary[[#This Row],[Seq_Day]])</f>
        <v/>
      </c>
    </row>
    <row r="1294">
      <c r="A1294" s="54" t="n"/>
      <c r="B1294" s="61" t="n"/>
      <c r="C1294" s="58" t="n"/>
      <c r="D1294" s="58" t="n"/>
      <c r="E1294" s="64">
        <f>IF(tblCommentary[[#This Row],[Date]]="","",COUNTIFS(INDEX(tblCommentary[Date],1):tblCommentary[[#This Row],[Date]],tblCommentary[[#This Row],[Date]]))</f>
        <v/>
      </c>
      <c r="F1294" s="63">
        <f>IF(tblCommentary[[#This Row],[Date]]="","",tblCommentary[[#This Row],[Date]]&amp;"|"&amp;tblCommentary[[#This Row],[Seq_Day]])</f>
        <v/>
      </c>
    </row>
    <row r="1295">
      <c r="A1295" s="54" t="n"/>
      <c r="B1295" s="61" t="n"/>
      <c r="C1295" s="58" t="n"/>
      <c r="D1295" s="58" t="n"/>
      <c r="E1295" s="64">
        <f>IF(tblCommentary[[#This Row],[Date]]="","",COUNTIFS(INDEX(tblCommentary[Date],1):tblCommentary[[#This Row],[Date]],tblCommentary[[#This Row],[Date]]))</f>
        <v/>
      </c>
      <c r="F1295" s="63">
        <f>IF(tblCommentary[[#This Row],[Date]]="","",tblCommentary[[#This Row],[Date]]&amp;"|"&amp;tblCommentary[[#This Row],[Seq_Day]])</f>
        <v/>
      </c>
    </row>
    <row r="1296">
      <c r="A1296" s="54" t="n"/>
      <c r="B1296" s="61" t="n"/>
      <c r="C1296" s="58" t="n"/>
      <c r="D1296" s="58" t="n"/>
      <c r="E1296" s="64">
        <f>IF(tblCommentary[[#This Row],[Date]]="","",COUNTIFS(INDEX(tblCommentary[Date],1):tblCommentary[[#This Row],[Date]],tblCommentary[[#This Row],[Date]]))</f>
        <v/>
      </c>
      <c r="F1296" s="63">
        <f>IF(tblCommentary[[#This Row],[Date]]="","",tblCommentary[[#This Row],[Date]]&amp;"|"&amp;tblCommentary[[#This Row],[Seq_Day]])</f>
        <v/>
      </c>
    </row>
    <row r="1297">
      <c r="A1297" s="54" t="n"/>
      <c r="B1297" s="61" t="n"/>
      <c r="C1297" s="58" t="n"/>
      <c r="D1297" s="58" t="n"/>
      <c r="E1297" s="64">
        <f>IF(tblCommentary[[#This Row],[Date]]="","",COUNTIFS(INDEX(tblCommentary[Date],1):tblCommentary[[#This Row],[Date]],tblCommentary[[#This Row],[Date]]))</f>
        <v/>
      </c>
      <c r="F1297" s="63">
        <f>IF(tblCommentary[[#This Row],[Date]]="","",tblCommentary[[#This Row],[Date]]&amp;"|"&amp;tblCommentary[[#This Row],[Seq_Day]])</f>
        <v/>
      </c>
    </row>
    <row r="1298">
      <c r="A1298" s="54" t="n"/>
      <c r="B1298" s="61" t="n"/>
      <c r="C1298" s="58" t="n"/>
      <c r="D1298" s="58" t="n"/>
      <c r="E1298" s="64">
        <f>IF(tblCommentary[[#This Row],[Date]]="","",COUNTIFS(INDEX(tblCommentary[Date],1):tblCommentary[[#This Row],[Date]],tblCommentary[[#This Row],[Date]]))</f>
        <v/>
      </c>
      <c r="F1298" s="63">
        <f>IF(tblCommentary[[#This Row],[Date]]="","",tblCommentary[[#This Row],[Date]]&amp;"|"&amp;tblCommentary[[#This Row],[Seq_Day]])</f>
        <v/>
      </c>
    </row>
    <row r="1299">
      <c r="A1299" s="54" t="n"/>
      <c r="B1299" s="61" t="n"/>
      <c r="C1299" s="58" t="n"/>
      <c r="D1299" s="58" t="n"/>
      <c r="E1299" s="64">
        <f>IF(tblCommentary[[#This Row],[Date]]="","",COUNTIFS(INDEX(tblCommentary[Date],1):tblCommentary[[#This Row],[Date]],tblCommentary[[#This Row],[Date]]))</f>
        <v/>
      </c>
      <c r="F1299" s="63">
        <f>IF(tblCommentary[[#This Row],[Date]]="","",tblCommentary[[#This Row],[Date]]&amp;"|"&amp;tblCommentary[[#This Row],[Seq_Day]])</f>
        <v/>
      </c>
    </row>
    <row r="1300">
      <c r="A1300" s="54" t="n"/>
      <c r="B1300" s="61" t="n"/>
      <c r="C1300" s="58" t="n"/>
      <c r="D1300" s="58" t="n"/>
      <c r="E1300" s="64">
        <f>IF(tblCommentary[[#This Row],[Date]]="","",COUNTIFS(INDEX(tblCommentary[Date],1):tblCommentary[[#This Row],[Date]],tblCommentary[[#This Row],[Date]]))</f>
        <v/>
      </c>
      <c r="F1300" s="63">
        <f>IF(tblCommentary[[#This Row],[Date]]="","",tblCommentary[[#This Row],[Date]]&amp;"|"&amp;tblCommentary[[#This Row],[Seq_Day]])</f>
        <v/>
      </c>
    </row>
    <row r="1301">
      <c r="A1301" s="54" t="n"/>
      <c r="B1301" s="61" t="n"/>
      <c r="C1301" s="58" t="n"/>
      <c r="D1301" s="58" t="n"/>
      <c r="E1301" s="64">
        <f>IF(tblCommentary[[#This Row],[Date]]="","",COUNTIFS(INDEX(tblCommentary[Date],1):tblCommentary[[#This Row],[Date]],tblCommentary[[#This Row],[Date]]))</f>
        <v/>
      </c>
      <c r="F1301" s="63">
        <f>IF(tblCommentary[[#This Row],[Date]]="","",tblCommentary[[#This Row],[Date]]&amp;"|"&amp;tblCommentary[[#This Row],[Seq_Day]])</f>
        <v/>
      </c>
    </row>
    <row r="1302">
      <c r="A1302" s="54" t="n"/>
      <c r="B1302" s="61" t="n"/>
      <c r="C1302" s="58" t="n"/>
      <c r="D1302" s="58" t="n"/>
      <c r="E1302" s="64">
        <f>IF(tblCommentary[[#This Row],[Date]]="","",COUNTIFS(INDEX(tblCommentary[Date],1):tblCommentary[[#This Row],[Date]],tblCommentary[[#This Row],[Date]]))</f>
        <v/>
      </c>
      <c r="F1302" s="63">
        <f>IF(tblCommentary[[#This Row],[Date]]="","",tblCommentary[[#This Row],[Date]]&amp;"|"&amp;tblCommentary[[#This Row],[Seq_Day]])</f>
        <v/>
      </c>
    </row>
    <row r="1303">
      <c r="A1303" s="54" t="n"/>
      <c r="B1303" s="61" t="n"/>
      <c r="C1303" s="58" t="n"/>
      <c r="D1303" s="58" t="n"/>
      <c r="E1303" s="64">
        <f>IF(tblCommentary[[#This Row],[Date]]="","",COUNTIFS(INDEX(tblCommentary[Date],1):tblCommentary[[#This Row],[Date]],tblCommentary[[#This Row],[Date]]))</f>
        <v/>
      </c>
      <c r="F1303" s="63">
        <f>IF(tblCommentary[[#This Row],[Date]]="","",tblCommentary[[#This Row],[Date]]&amp;"|"&amp;tblCommentary[[#This Row],[Seq_Day]])</f>
        <v/>
      </c>
    </row>
    <row r="1304">
      <c r="A1304" s="54" t="n"/>
      <c r="B1304" s="61" t="n"/>
      <c r="C1304" s="58" t="n"/>
      <c r="D1304" s="58" t="n"/>
      <c r="E1304" s="64">
        <f>IF(tblCommentary[[#This Row],[Date]]="","",COUNTIFS(INDEX(tblCommentary[Date],1):tblCommentary[[#This Row],[Date]],tblCommentary[[#This Row],[Date]]))</f>
        <v/>
      </c>
      <c r="F1304" s="63">
        <f>IF(tblCommentary[[#This Row],[Date]]="","",tblCommentary[[#This Row],[Date]]&amp;"|"&amp;tblCommentary[[#This Row],[Seq_Day]])</f>
        <v/>
      </c>
    </row>
    <row r="1305">
      <c r="A1305" s="54" t="n"/>
      <c r="B1305" s="61" t="n"/>
      <c r="C1305" s="58" t="n"/>
      <c r="D1305" s="58" t="n"/>
      <c r="E1305" s="64">
        <f>IF(tblCommentary[[#This Row],[Date]]="","",COUNTIFS(INDEX(tblCommentary[Date],1):tblCommentary[[#This Row],[Date]],tblCommentary[[#This Row],[Date]]))</f>
        <v/>
      </c>
      <c r="F1305" s="63">
        <f>IF(tblCommentary[[#This Row],[Date]]="","",tblCommentary[[#This Row],[Date]]&amp;"|"&amp;tblCommentary[[#This Row],[Seq_Day]])</f>
        <v/>
      </c>
    </row>
    <row r="1306">
      <c r="A1306" s="54" t="n"/>
      <c r="B1306" s="61" t="n"/>
      <c r="C1306" s="58" t="n"/>
      <c r="D1306" s="58" t="n"/>
      <c r="E1306" s="64">
        <f>IF(tblCommentary[[#This Row],[Date]]="","",COUNTIFS(INDEX(tblCommentary[Date],1):tblCommentary[[#This Row],[Date]],tblCommentary[[#This Row],[Date]]))</f>
        <v/>
      </c>
      <c r="F1306" s="63">
        <f>IF(tblCommentary[[#This Row],[Date]]="","",tblCommentary[[#This Row],[Date]]&amp;"|"&amp;tblCommentary[[#This Row],[Seq_Day]])</f>
        <v/>
      </c>
    </row>
    <row r="1307">
      <c r="A1307" s="54" t="n"/>
      <c r="B1307" s="61" t="n"/>
      <c r="C1307" s="58" t="n"/>
      <c r="D1307" s="58" t="n"/>
      <c r="E1307" s="64">
        <f>IF(tblCommentary[[#This Row],[Date]]="","",COUNTIFS(INDEX(tblCommentary[Date],1):tblCommentary[[#This Row],[Date]],tblCommentary[[#This Row],[Date]]))</f>
        <v/>
      </c>
      <c r="F1307" s="63">
        <f>IF(tblCommentary[[#This Row],[Date]]="","",tblCommentary[[#This Row],[Date]]&amp;"|"&amp;tblCommentary[[#This Row],[Seq_Day]])</f>
        <v/>
      </c>
    </row>
    <row r="1308">
      <c r="A1308" s="54" t="n"/>
      <c r="B1308" s="61" t="n"/>
      <c r="C1308" s="58" t="n"/>
      <c r="D1308" s="58" t="n"/>
      <c r="E1308" s="64">
        <f>IF(tblCommentary[[#This Row],[Date]]="","",COUNTIFS(INDEX(tblCommentary[Date],1):tblCommentary[[#This Row],[Date]],tblCommentary[[#This Row],[Date]]))</f>
        <v/>
      </c>
      <c r="F1308" s="63">
        <f>IF(tblCommentary[[#This Row],[Date]]="","",tblCommentary[[#This Row],[Date]]&amp;"|"&amp;tblCommentary[[#This Row],[Seq_Day]])</f>
        <v/>
      </c>
    </row>
    <row r="1309">
      <c r="A1309" s="54" t="n"/>
      <c r="B1309" s="61" t="n"/>
      <c r="C1309" s="58" t="n"/>
      <c r="D1309" s="58" t="n"/>
      <c r="E1309" s="64">
        <f>IF(tblCommentary[[#This Row],[Date]]="","",COUNTIFS(INDEX(tblCommentary[Date],1):tblCommentary[[#This Row],[Date]],tblCommentary[[#This Row],[Date]]))</f>
        <v/>
      </c>
      <c r="F1309" s="63">
        <f>IF(tblCommentary[[#This Row],[Date]]="","",tblCommentary[[#This Row],[Date]]&amp;"|"&amp;tblCommentary[[#This Row],[Seq_Day]])</f>
        <v/>
      </c>
    </row>
    <row r="1310">
      <c r="A1310" s="54" t="n"/>
      <c r="B1310" s="61" t="n"/>
      <c r="C1310" s="58" t="n"/>
      <c r="D1310" s="58" t="n"/>
      <c r="E1310" s="64">
        <f>IF(tblCommentary[[#This Row],[Date]]="","",COUNTIFS(INDEX(tblCommentary[Date],1):tblCommentary[[#This Row],[Date]],tblCommentary[[#This Row],[Date]]))</f>
        <v/>
      </c>
      <c r="F1310" s="63">
        <f>IF(tblCommentary[[#This Row],[Date]]="","",tblCommentary[[#This Row],[Date]]&amp;"|"&amp;tblCommentary[[#This Row],[Seq_Day]])</f>
        <v/>
      </c>
    </row>
    <row r="1311">
      <c r="A1311" s="54" t="n"/>
      <c r="B1311" s="61" t="n"/>
      <c r="C1311" s="58" t="n"/>
      <c r="D1311" s="58" t="n"/>
      <c r="E1311" s="64">
        <f>IF(tblCommentary[[#This Row],[Date]]="","",COUNTIFS(INDEX(tblCommentary[Date],1):tblCommentary[[#This Row],[Date]],tblCommentary[[#This Row],[Date]]))</f>
        <v/>
      </c>
      <c r="F1311" s="63">
        <f>IF(tblCommentary[[#This Row],[Date]]="","",tblCommentary[[#This Row],[Date]]&amp;"|"&amp;tblCommentary[[#This Row],[Seq_Day]])</f>
        <v/>
      </c>
    </row>
    <row r="1312">
      <c r="A1312" s="54" t="n"/>
      <c r="B1312" s="61" t="n"/>
      <c r="C1312" s="58" t="n"/>
      <c r="D1312" s="58" t="n"/>
      <c r="E1312" s="64">
        <f>IF(tblCommentary[[#This Row],[Date]]="","",COUNTIFS(INDEX(tblCommentary[Date],1):tblCommentary[[#This Row],[Date]],tblCommentary[[#This Row],[Date]]))</f>
        <v/>
      </c>
      <c r="F1312" s="63">
        <f>IF(tblCommentary[[#This Row],[Date]]="","",tblCommentary[[#This Row],[Date]]&amp;"|"&amp;tblCommentary[[#This Row],[Seq_Day]])</f>
        <v/>
      </c>
    </row>
    <row r="1313">
      <c r="A1313" s="54" t="n"/>
      <c r="B1313" s="61" t="n"/>
      <c r="C1313" s="58" t="n"/>
      <c r="D1313" s="58" t="n"/>
      <c r="E1313" s="64">
        <f>IF(tblCommentary[[#This Row],[Date]]="","",COUNTIFS(INDEX(tblCommentary[Date],1):tblCommentary[[#This Row],[Date]],tblCommentary[[#This Row],[Date]]))</f>
        <v/>
      </c>
      <c r="F1313" s="63">
        <f>IF(tblCommentary[[#This Row],[Date]]="","",tblCommentary[[#This Row],[Date]]&amp;"|"&amp;tblCommentary[[#This Row],[Seq_Day]])</f>
        <v/>
      </c>
    </row>
    <row r="1314">
      <c r="A1314" s="54" t="n"/>
      <c r="B1314" s="61" t="n"/>
      <c r="C1314" s="58" t="n"/>
      <c r="D1314" s="58" t="n"/>
      <c r="E1314" s="64">
        <f>IF(tblCommentary[[#This Row],[Date]]="","",COUNTIFS(INDEX(tblCommentary[Date],1):tblCommentary[[#This Row],[Date]],tblCommentary[[#This Row],[Date]]))</f>
        <v/>
      </c>
      <c r="F1314" s="63">
        <f>IF(tblCommentary[[#This Row],[Date]]="","",tblCommentary[[#This Row],[Date]]&amp;"|"&amp;tblCommentary[[#This Row],[Seq_Day]])</f>
        <v/>
      </c>
    </row>
    <row r="1315">
      <c r="A1315" s="54" t="n"/>
      <c r="B1315" s="61" t="n"/>
      <c r="C1315" s="58" t="n"/>
      <c r="D1315" s="58" t="n"/>
      <c r="E1315" s="64">
        <f>IF(tblCommentary[[#This Row],[Date]]="","",COUNTIFS(INDEX(tblCommentary[Date],1):tblCommentary[[#This Row],[Date]],tblCommentary[[#This Row],[Date]]))</f>
        <v/>
      </c>
      <c r="F1315" s="63">
        <f>IF(tblCommentary[[#This Row],[Date]]="","",tblCommentary[[#This Row],[Date]]&amp;"|"&amp;tblCommentary[[#This Row],[Seq_Day]])</f>
        <v/>
      </c>
    </row>
    <row r="1316">
      <c r="A1316" s="54" t="n"/>
      <c r="B1316" s="61" t="n"/>
      <c r="C1316" s="58" t="n"/>
      <c r="D1316" s="58" t="n"/>
      <c r="E1316" s="64">
        <f>IF(tblCommentary[[#This Row],[Date]]="","",COUNTIFS(INDEX(tblCommentary[Date],1):tblCommentary[[#This Row],[Date]],tblCommentary[[#This Row],[Date]]))</f>
        <v/>
      </c>
      <c r="F1316" s="63">
        <f>IF(tblCommentary[[#This Row],[Date]]="","",tblCommentary[[#This Row],[Date]]&amp;"|"&amp;tblCommentary[[#This Row],[Seq_Day]])</f>
        <v/>
      </c>
    </row>
    <row r="1317">
      <c r="A1317" s="54" t="n"/>
      <c r="B1317" s="61" t="n"/>
      <c r="C1317" s="58" t="n"/>
      <c r="D1317" s="58" t="n"/>
      <c r="E1317" s="64">
        <f>IF(tblCommentary[[#This Row],[Date]]="","",COUNTIFS(INDEX(tblCommentary[Date],1):tblCommentary[[#This Row],[Date]],tblCommentary[[#This Row],[Date]]))</f>
        <v/>
      </c>
      <c r="F1317" s="63">
        <f>IF(tblCommentary[[#This Row],[Date]]="","",tblCommentary[[#This Row],[Date]]&amp;"|"&amp;tblCommentary[[#This Row],[Seq_Day]])</f>
        <v/>
      </c>
    </row>
    <row r="1318">
      <c r="A1318" s="54" t="n"/>
      <c r="B1318" s="61" t="n"/>
      <c r="C1318" s="58" t="n"/>
      <c r="D1318" s="58" t="n"/>
      <c r="E1318" s="64">
        <f>IF(tblCommentary[[#This Row],[Date]]="","",COUNTIFS(INDEX(tblCommentary[Date],1):tblCommentary[[#This Row],[Date]],tblCommentary[[#This Row],[Date]]))</f>
        <v/>
      </c>
      <c r="F1318" s="63">
        <f>IF(tblCommentary[[#This Row],[Date]]="","",tblCommentary[[#This Row],[Date]]&amp;"|"&amp;tblCommentary[[#This Row],[Seq_Day]])</f>
        <v/>
      </c>
    </row>
    <row r="1319">
      <c r="A1319" s="54" t="n"/>
      <c r="B1319" s="61" t="n"/>
      <c r="C1319" s="58" t="n"/>
      <c r="D1319" s="58" t="n"/>
      <c r="E1319" s="64">
        <f>IF(tblCommentary[[#This Row],[Date]]="","",COUNTIFS(INDEX(tblCommentary[Date],1):tblCommentary[[#This Row],[Date]],tblCommentary[[#This Row],[Date]]))</f>
        <v/>
      </c>
      <c r="F1319" s="63">
        <f>IF(tblCommentary[[#This Row],[Date]]="","",tblCommentary[[#This Row],[Date]]&amp;"|"&amp;tblCommentary[[#This Row],[Seq_Day]])</f>
        <v/>
      </c>
    </row>
    <row r="1320">
      <c r="A1320" s="54" t="n"/>
      <c r="B1320" s="61" t="n"/>
      <c r="C1320" s="58" t="n"/>
      <c r="D1320" s="58" t="n"/>
      <c r="E1320" s="64">
        <f>IF(tblCommentary[[#This Row],[Date]]="","",COUNTIFS(INDEX(tblCommentary[Date],1):tblCommentary[[#This Row],[Date]],tblCommentary[[#This Row],[Date]]))</f>
        <v/>
      </c>
      <c r="F1320" s="63">
        <f>IF(tblCommentary[[#This Row],[Date]]="","",tblCommentary[[#This Row],[Date]]&amp;"|"&amp;tblCommentary[[#This Row],[Seq_Day]])</f>
        <v/>
      </c>
    </row>
    <row r="1321">
      <c r="A1321" s="54" t="n"/>
      <c r="B1321" s="61" t="n"/>
      <c r="C1321" s="58" t="n"/>
      <c r="D1321" s="58" t="n"/>
      <c r="E1321" s="64">
        <f>IF(tblCommentary[[#This Row],[Date]]="","",COUNTIFS(INDEX(tblCommentary[Date],1):tblCommentary[[#This Row],[Date]],tblCommentary[[#This Row],[Date]]))</f>
        <v/>
      </c>
      <c r="F1321" s="63">
        <f>IF(tblCommentary[[#This Row],[Date]]="","",tblCommentary[[#This Row],[Date]]&amp;"|"&amp;tblCommentary[[#This Row],[Seq_Day]])</f>
        <v/>
      </c>
    </row>
    <row r="1322">
      <c r="A1322" s="54" t="n"/>
      <c r="B1322" s="61" t="n"/>
      <c r="C1322" s="58" t="n"/>
      <c r="D1322" s="58" t="n"/>
      <c r="E1322" s="64">
        <f>IF(tblCommentary[[#This Row],[Date]]="","",COUNTIFS(INDEX(tblCommentary[Date],1):tblCommentary[[#This Row],[Date]],tblCommentary[[#This Row],[Date]]))</f>
        <v/>
      </c>
      <c r="F1322" s="63">
        <f>IF(tblCommentary[[#This Row],[Date]]="","",tblCommentary[[#This Row],[Date]]&amp;"|"&amp;tblCommentary[[#This Row],[Seq_Day]])</f>
        <v/>
      </c>
    </row>
    <row r="1323">
      <c r="A1323" s="54" t="n"/>
      <c r="B1323" s="61" t="n"/>
      <c r="C1323" s="58" t="n"/>
      <c r="D1323" s="58" t="n"/>
      <c r="E1323" s="64">
        <f>IF(tblCommentary[[#This Row],[Date]]="","",COUNTIFS(INDEX(tblCommentary[Date],1):tblCommentary[[#This Row],[Date]],tblCommentary[[#This Row],[Date]]))</f>
        <v/>
      </c>
      <c r="F1323" s="63">
        <f>IF(tblCommentary[[#This Row],[Date]]="","",tblCommentary[[#This Row],[Date]]&amp;"|"&amp;tblCommentary[[#This Row],[Seq_Day]])</f>
        <v/>
      </c>
    </row>
    <row r="1324">
      <c r="A1324" s="54" t="n"/>
      <c r="B1324" s="61" t="n"/>
      <c r="C1324" s="58" t="n"/>
      <c r="D1324" s="58" t="n"/>
      <c r="E1324" s="64">
        <f>IF(tblCommentary[[#This Row],[Date]]="","",COUNTIFS(INDEX(tblCommentary[Date],1):tblCommentary[[#This Row],[Date]],tblCommentary[[#This Row],[Date]]))</f>
        <v/>
      </c>
      <c r="F1324" s="63">
        <f>IF(tblCommentary[[#This Row],[Date]]="","",tblCommentary[[#This Row],[Date]]&amp;"|"&amp;tblCommentary[[#This Row],[Seq_Day]])</f>
        <v/>
      </c>
    </row>
    <row r="1325">
      <c r="A1325" s="54" t="n"/>
      <c r="B1325" s="61" t="n"/>
      <c r="C1325" s="58" t="n"/>
      <c r="D1325" s="58" t="n"/>
      <c r="E1325" s="64">
        <f>IF(tblCommentary[[#This Row],[Date]]="","",COUNTIFS(INDEX(tblCommentary[Date],1):tblCommentary[[#This Row],[Date]],tblCommentary[[#This Row],[Date]]))</f>
        <v/>
      </c>
      <c r="F1325" s="63">
        <f>IF(tblCommentary[[#This Row],[Date]]="","",tblCommentary[[#This Row],[Date]]&amp;"|"&amp;tblCommentary[[#This Row],[Seq_Day]])</f>
        <v/>
      </c>
    </row>
    <row r="1326">
      <c r="A1326" s="54" t="n"/>
      <c r="B1326" s="61" t="n"/>
      <c r="C1326" s="58" t="n"/>
      <c r="D1326" s="58" t="n"/>
      <c r="E1326" s="64">
        <f>IF(tblCommentary[[#This Row],[Date]]="","",COUNTIFS(INDEX(tblCommentary[Date],1):tblCommentary[[#This Row],[Date]],tblCommentary[[#This Row],[Date]]))</f>
        <v/>
      </c>
      <c r="F1326" s="63">
        <f>IF(tblCommentary[[#This Row],[Date]]="","",tblCommentary[[#This Row],[Date]]&amp;"|"&amp;tblCommentary[[#This Row],[Seq_Day]])</f>
        <v/>
      </c>
    </row>
    <row r="1327">
      <c r="A1327" s="54" t="n"/>
      <c r="B1327" s="61" t="n"/>
      <c r="C1327" s="58" t="n"/>
      <c r="D1327" s="58" t="n"/>
      <c r="E1327" s="64">
        <f>IF(tblCommentary[[#This Row],[Date]]="","",COUNTIFS(INDEX(tblCommentary[Date],1):tblCommentary[[#This Row],[Date]],tblCommentary[[#This Row],[Date]]))</f>
        <v/>
      </c>
      <c r="F1327" s="63">
        <f>IF(tblCommentary[[#This Row],[Date]]="","",tblCommentary[[#This Row],[Date]]&amp;"|"&amp;tblCommentary[[#This Row],[Seq_Day]])</f>
        <v/>
      </c>
    </row>
    <row r="1328">
      <c r="A1328" s="54" t="n"/>
      <c r="B1328" s="61" t="n"/>
      <c r="C1328" s="58" t="n"/>
      <c r="D1328" s="58" t="n"/>
      <c r="E1328" s="64">
        <f>IF(tblCommentary[[#This Row],[Date]]="","",COUNTIFS(INDEX(tblCommentary[Date],1):tblCommentary[[#This Row],[Date]],tblCommentary[[#This Row],[Date]]))</f>
        <v/>
      </c>
      <c r="F1328" s="63">
        <f>IF(tblCommentary[[#This Row],[Date]]="","",tblCommentary[[#This Row],[Date]]&amp;"|"&amp;tblCommentary[[#This Row],[Seq_Day]])</f>
        <v/>
      </c>
    </row>
    <row r="1329">
      <c r="A1329" s="54" t="n"/>
      <c r="B1329" s="61" t="n"/>
      <c r="C1329" s="58" t="n"/>
      <c r="D1329" s="58" t="n"/>
      <c r="E1329" s="64">
        <f>IF(tblCommentary[[#This Row],[Date]]="","",COUNTIFS(INDEX(tblCommentary[Date],1):tblCommentary[[#This Row],[Date]],tblCommentary[[#This Row],[Date]]))</f>
        <v/>
      </c>
      <c r="F1329" s="63">
        <f>IF(tblCommentary[[#This Row],[Date]]="","",tblCommentary[[#This Row],[Date]]&amp;"|"&amp;tblCommentary[[#This Row],[Seq_Day]])</f>
        <v/>
      </c>
    </row>
    <row r="1330">
      <c r="A1330" s="54" t="n"/>
      <c r="B1330" s="61" t="n"/>
      <c r="C1330" s="58" t="n"/>
      <c r="D1330" s="58" t="n"/>
      <c r="E1330" s="64">
        <f>IF(tblCommentary[[#This Row],[Date]]="","",COUNTIFS(INDEX(tblCommentary[Date],1):tblCommentary[[#This Row],[Date]],tblCommentary[[#This Row],[Date]]))</f>
        <v/>
      </c>
      <c r="F1330" s="63">
        <f>IF(tblCommentary[[#This Row],[Date]]="","",tblCommentary[[#This Row],[Date]]&amp;"|"&amp;tblCommentary[[#This Row],[Seq_Day]])</f>
        <v/>
      </c>
    </row>
    <row r="1331">
      <c r="A1331" s="54" t="n"/>
      <c r="B1331" s="61" t="n"/>
      <c r="C1331" s="58" t="n"/>
      <c r="D1331" s="58" t="n"/>
      <c r="E1331" s="64">
        <f>IF(tblCommentary[[#This Row],[Date]]="","",COUNTIFS(INDEX(tblCommentary[Date],1):tblCommentary[[#This Row],[Date]],tblCommentary[[#This Row],[Date]]))</f>
        <v/>
      </c>
      <c r="F1331" s="63">
        <f>IF(tblCommentary[[#This Row],[Date]]="","",tblCommentary[[#This Row],[Date]]&amp;"|"&amp;tblCommentary[[#This Row],[Seq_Day]])</f>
        <v/>
      </c>
    </row>
    <row r="1332">
      <c r="A1332" s="54" t="n"/>
      <c r="B1332" s="61" t="n"/>
      <c r="C1332" s="58" t="n"/>
      <c r="D1332" s="58" t="n"/>
      <c r="E1332" s="64">
        <f>IF(tblCommentary[[#This Row],[Date]]="","",COUNTIFS(INDEX(tblCommentary[Date],1):tblCommentary[[#This Row],[Date]],tblCommentary[[#This Row],[Date]]))</f>
        <v/>
      </c>
      <c r="F1332" s="63">
        <f>IF(tblCommentary[[#This Row],[Date]]="","",tblCommentary[[#This Row],[Date]]&amp;"|"&amp;tblCommentary[[#This Row],[Seq_Day]])</f>
        <v/>
      </c>
    </row>
    <row r="1333">
      <c r="A1333" s="54" t="n"/>
      <c r="B1333" s="61" t="n"/>
      <c r="C1333" s="58" t="n"/>
      <c r="D1333" s="58" t="n"/>
      <c r="E1333" s="64">
        <f>IF(tblCommentary[[#This Row],[Date]]="","",COUNTIFS(INDEX(tblCommentary[Date],1):tblCommentary[[#This Row],[Date]],tblCommentary[[#This Row],[Date]]))</f>
        <v/>
      </c>
      <c r="F1333" s="63">
        <f>IF(tblCommentary[[#This Row],[Date]]="","",tblCommentary[[#This Row],[Date]]&amp;"|"&amp;tblCommentary[[#This Row],[Seq_Day]])</f>
        <v/>
      </c>
    </row>
    <row r="1334">
      <c r="A1334" s="54" t="n"/>
      <c r="B1334" s="61" t="n"/>
      <c r="C1334" s="58" t="n"/>
      <c r="D1334" s="58" t="n"/>
      <c r="E1334" s="64">
        <f>IF(tblCommentary[[#This Row],[Date]]="","",COUNTIFS(INDEX(tblCommentary[Date],1):tblCommentary[[#This Row],[Date]],tblCommentary[[#This Row],[Date]]))</f>
        <v/>
      </c>
      <c r="F1334" s="63">
        <f>IF(tblCommentary[[#This Row],[Date]]="","",tblCommentary[[#This Row],[Date]]&amp;"|"&amp;tblCommentary[[#This Row],[Seq_Day]])</f>
        <v/>
      </c>
    </row>
    <row r="1335">
      <c r="A1335" s="54" t="n"/>
      <c r="B1335" s="61" t="n"/>
      <c r="C1335" s="58" t="n"/>
      <c r="D1335" s="58" t="n"/>
      <c r="E1335" s="64">
        <f>IF(tblCommentary[[#This Row],[Date]]="","",COUNTIFS(INDEX(tblCommentary[Date],1):tblCommentary[[#This Row],[Date]],tblCommentary[[#This Row],[Date]]))</f>
        <v/>
      </c>
      <c r="F1335" s="63">
        <f>IF(tblCommentary[[#This Row],[Date]]="","",tblCommentary[[#This Row],[Date]]&amp;"|"&amp;tblCommentary[[#This Row],[Seq_Day]])</f>
        <v/>
      </c>
    </row>
    <row r="1336">
      <c r="A1336" s="54" t="n"/>
      <c r="B1336" s="61" t="n"/>
      <c r="C1336" s="58" t="n"/>
      <c r="D1336" s="58" t="n"/>
      <c r="E1336" s="64">
        <f>IF(tblCommentary[[#This Row],[Date]]="","",COUNTIFS(INDEX(tblCommentary[Date],1):tblCommentary[[#This Row],[Date]],tblCommentary[[#This Row],[Date]]))</f>
        <v/>
      </c>
      <c r="F1336" s="63">
        <f>IF(tblCommentary[[#This Row],[Date]]="","",tblCommentary[[#This Row],[Date]]&amp;"|"&amp;tblCommentary[[#This Row],[Seq_Day]])</f>
        <v/>
      </c>
    </row>
    <row r="1337">
      <c r="A1337" s="54" t="n"/>
      <c r="B1337" s="61" t="n"/>
      <c r="C1337" s="58" t="n"/>
      <c r="D1337" s="58" t="n"/>
      <c r="E1337" s="64">
        <f>IF(tblCommentary[[#This Row],[Date]]="","",COUNTIFS(INDEX(tblCommentary[Date],1):tblCommentary[[#This Row],[Date]],tblCommentary[[#This Row],[Date]]))</f>
        <v/>
      </c>
      <c r="F1337" s="63">
        <f>IF(tblCommentary[[#This Row],[Date]]="","",tblCommentary[[#This Row],[Date]]&amp;"|"&amp;tblCommentary[[#This Row],[Seq_Day]])</f>
        <v/>
      </c>
    </row>
    <row r="1338">
      <c r="A1338" s="54" t="n"/>
      <c r="B1338" s="61" t="n"/>
      <c r="C1338" s="58" t="n"/>
      <c r="D1338" s="58" t="n"/>
      <c r="E1338" s="64">
        <f>IF(tblCommentary[[#This Row],[Date]]="","",COUNTIFS(INDEX(tblCommentary[Date],1):tblCommentary[[#This Row],[Date]],tblCommentary[[#This Row],[Date]]))</f>
        <v/>
      </c>
      <c r="F1338" s="63">
        <f>IF(tblCommentary[[#This Row],[Date]]="","",tblCommentary[[#This Row],[Date]]&amp;"|"&amp;tblCommentary[[#This Row],[Seq_Day]])</f>
        <v/>
      </c>
    </row>
    <row r="1339">
      <c r="A1339" s="54" t="n"/>
      <c r="B1339" s="61" t="n"/>
      <c r="C1339" s="58" t="n"/>
      <c r="D1339" s="58" t="n"/>
      <c r="E1339" s="64">
        <f>IF(tblCommentary[[#This Row],[Date]]="","",COUNTIFS(INDEX(tblCommentary[Date],1):tblCommentary[[#This Row],[Date]],tblCommentary[[#This Row],[Date]]))</f>
        <v/>
      </c>
      <c r="F1339" s="63">
        <f>IF(tblCommentary[[#This Row],[Date]]="","",tblCommentary[[#This Row],[Date]]&amp;"|"&amp;tblCommentary[[#This Row],[Seq_Day]])</f>
        <v/>
      </c>
    </row>
    <row r="1340">
      <c r="A1340" s="54" t="n"/>
      <c r="B1340" s="61" t="n"/>
      <c r="C1340" s="58" t="n"/>
      <c r="D1340" s="58" t="n"/>
      <c r="E1340" s="64">
        <f>IF(tblCommentary[[#This Row],[Date]]="","",COUNTIFS(INDEX(tblCommentary[Date],1):tblCommentary[[#This Row],[Date]],tblCommentary[[#This Row],[Date]]))</f>
        <v/>
      </c>
      <c r="F1340" s="63">
        <f>IF(tblCommentary[[#This Row],[Date]]="","",tblCommentary[[#This Row],[Date]]&amp;"|"&amp;tblCommentary[[#This Row],[Seq_Day]])</f>
        <v/>
      </c>
    </row>
    <row r="1341">
      <c r="A1341" s="54" t="n"/>
      <c r="B1341" s="61" t="n"/>
      <c r="C1341" s="58" t="n"/>
      <c r="D1341" s="58" t="n"/>
      <c r="E1341" s="64">
        <f>IF(tblCommentary[[#This Row],[Date]]="","",COUNTIFS(INDEX(tblCommentary[Date],1):tblCommentary[[#This Row],[Date]],tblCommentary[[#This Row],[Date]]))</f>
        <v/>
      </c>
      <c r="F1341" s="63">
        <f>IF(tblCommentary[[#This Row],[Date]]="","",tblCommentary[[#This Row],[Date]]&amp;"|"&amp;tblCommentary[[#This Row],[Seq_Day]])</f>
        <v/>
      </c>
    </row>
    <row r="1342">
      <c r="A1342" s="54" t="n"/>
      <c r="B1342" s="61" t="n"/>
      <c r="C1342" s="58" t="n"/>
      <c r="D1342" s="58" t="n"/>
      <c r="E1342" s="64">
        <f>IF(tblCommentary[[#This Row],[Date]]="","",COUNTIFS(INDEX(tblCommentary[Date],1):tblCommentary[[#This Row],[Date]],tblCommentary[[#This Row],[Date]]))</f>
        <v/>
      </c>
      <c r="F1342" s="63">
        <f>IF(tblCommentary[[#This Row],[Date]]="","",tblCommentary[[#This Row],[Date]]&amp;"|"&amp;tblCommentary[[#This Row],[Seq_Day]])</f>
        <v/>
      </c>
    </row>
    <row r="1343">
      <c r="A1343" s="54" t="n"/>
      <c r="B1343" s="61" t="n"/>
      <c r="C1343" s="58" t="n"/>
      <c r="D1343" s="58" t="n"/>
      <c r="E1343" s="64">
        <f>IF(tblCommentary[[#This Row],[Date]]="","",COUNTIFS(INDEX(tblCommentary[Date],1):tblCommentary[[#This Row],[Date]],tblCommentary[[#This Row],[Date]]))</f>
        <v/>
      </c>
      <c r="F1343" s="63">
        <f>IF(tblCommentary[[#This Row],[Date]]="","",tblCommentary[[#This Row],[Date]]&amp;"|"&amp;tblCommentary[[#This Row],[Seq_Day]])</f>
        <v/>
      </c>
    </row>
    <row r="1344">
      <c r="A1344" s="54" t="n"/>
      <c r="B1344" s="61" t="n"/>
      <c r="C1344" s="58" t="n"/>
      <c r="D1344" s="58" t="n"/>
      <c r="E1344" s="64">
        <f>IF(tblCommentary[[#This Row],[Date]]="","",COUNTIFS(INDEX(tblCommentary[Date],1):tblCommentary[[#This Row],[Date]],tblCommentary[[#This Row],[Date]]))</f>
        <v/>
      </c>
      <c r="F1344" s="63">
        <f>IF(tblCommentary[[#This Row],[Date]]="","",tblCommentary[[#This Row],[Date]]&amp;"|"&amp;tblCommentary[[#This Row],[Seq_Day]])</f>
        <v/>
      </c>
    </row>
    <row r="1345">
      <c r="A1345" s="54" t="n"/>
      <c r="B1345" s="61" t="n"/>
      <c r="C1345" s="58" t="n"/>
      <c r="D1345" s="58" t="n"/>
      <c r="E1345" s="64">
        <f>IF(tblCommentary[[#This Row],[Date]]="","",COUNTIFS(INDEX(tblCommentary[Date],1):tblCommentary[[#This Row],[Date]],tblCommentary[[#This Row],[Date]]))</f>
        <v/>
      </c>
      <c r="F1345" s="63">
        <f>IF(tblCommentary[[#This Row],[Date]]="","",tblCommentary[[#This Row],[Date]]&amp;"|"&amp;tblCommentary[[#This Row],[Seq_Day]])</f>
        <v/>
      </c>
    </row>
    <row r="1346">
      <c r="A1346" s="54" t="n"/>
      <c r="B1346" s="61" t="n"/>
      <c r="C1346" s="58" t="n"/>
      <c r="D1346" s="58" t="n"/>
      <c r="E1346" s="64">
        <f>IF(tblCommentary[[#This Row],[Date]]="","",COUNTIFS(INDEX(tblCommentary[Date],1):tblCommentary[[#This Row],[Date]],tblCommentary[[#This Row],[Date]]))</f>
        <v/>
      </c>
      <c r="F1346" s="63">
        <f>IF(tblCommentary[[#This Row],[Date]]="","",tblCommentary[[#This Row],[Date]]&amp;"|"&amp;tblCommentary[[#This Row],[Seq_Day]])</f>
        <v/>
      </c>
    </row>
    <row r="1347">
      <c r="A1347" s="54" t="n"/>
      <c r="B1347" s="61" t="n"/>
      <c r="C1347" s="58" t="n"/>
      <c r="D1347" s="58" t="n"/>
      <c r="E1347" s="64">
        <f>IF(tblCommentary[[#This Row],[Date]]="","",COUNTIFS(INDEX(tblCommentary[Date],1):tblCommentary[[#This Row],[Date]],tblCommentary[[#This Row],[Date]]))</f>
        <v/>
      </c>
      <c r="F1347" s="63">
        <f>IF(tblCommentary[[#This Row],[Date]]="","",tblCommentary[[#This Row],[Date]]&amp;"|"&amp;tblCommentary[[#This Row],[Seq_Day]])</f>
        <v/>
      </c>
    </row>
    <row r="1348">
      <c r="A1348" s="54" t="n"/>
      <c r="B1348" s="61" t="n"/>
      <c r="C1348" s="58" t="n"/>
      <c r="D1348" s="58" t="n"/>
      <c r="E1348" s="64">
        <f>IF(tblCommentary[[#This Row],[Date]]="","",COUNTIFS(INDEX(tblCommentary[Date],1):tblCommentary[[#This Row],[Date]],tblCommentary[[#This Row],[Date]]))</f>
        <v/>
      </c>
      <c r="F1348" s="63">
        <f>IF(tblCommentary[[#This Row],[Date]]="","",tblCommentary[[#This Row],[Date]]&amp;"|"&amp;tblCommentary[[#This Row],[Seq_Day]])</f>
        <v/>
      </c>
    </row>
    <row r="1349">
      <c r="A1349" s="54" t="n"/>
      <c r="B1349" s="61" t="n"/>
      <c r="C1349" s="58" t="n"/>
      <c r="D1349" s="58" t="n"/>
      <c r="E1349" s="64">
        <f>IF(tblCommentary[[#This Row],[Date]]="","",COUNTIFS(INDEX(tblCommentary[Date],1):tblCommentary[[#This Row],[Date]],tblCommentary[[#This Row],[Date]]))</f>
        <v/>
      </c>
      <c r="F1349" s="63">
        <f>IF(tblCommentary[[#This Row],[Date]]="","",tblCommentary[[#This Row],[Date]]&amp;"|"&amp;tblCommentary[[#This Row],[Seq_Day]])</f>
        <v/>
      </c>
    </row>
    <row r="1350">
      <c r="A1350" s="54" t="n"/>
      <c r="B1350" s="61" t="n"/>
      <c r="C1350" s="58" t="n"/>
      <c r="D1350" s="58" t="n"/>
      <c r="E1350" s="64">
        <f>IF(tblCommentary[[#This Row],[Date]]="","",COUNTIFS(INDEX(tblCommentary[Date],1):tblCommentary[[#This Row],[Date]],tblCommentary[[#This Row],[Date]]))</f>
        <v/>
      </c>
      <c r="F1350" s="63">
        <f>IF(tblCommentary[[#This Row],[Date]]="","",tblCommentary[[#This Row],[Date]]&amp;"|"&amp;tblCommentary[[#This Row],[Seq_Day]])</f>
        <v/>
      </c>
    </row>
    <row r="1351">
      <c r="A1351" s="54" t="n"/>
      <c r="B1351" s="61" t="n"/>
      <c r="C1351" s="58" t="n"/>
      <c r="D1351" s="58" t="n"/>
      <c r="E1351" s="64">
        <f>IF(tblCommentary[[#This Row],[Date]]="","",COUNTIFS(INDEX(tblCommentary[Date],1):tblCommentary[[#This Row],[Date]],tblCommentary[[#This Row],[Date]]))</f>
        <v/>
      </c>
      <c r="F1351" s="63">
        <f>IF(tblCommentary[[#This Row],[Date]]="","",tblCommentary[[#This Row],[Date]]&amp;"|"&amp;tblCommentary[[#This Row],[Seq_Day]])</f>
        <v/>
      </c>
    </row>
    <row r="1352">
      <c r="A1352" s="54" t="n"/>
      <c r="B1352" s="61" t="n"/>
      <c r="C1352" s="58" t="n"/>
      <c r="D1352" s="58" t="n"/>
      <c r="E1352" s="64">
        <f>IF(tblCommentary[[#This Row],[Date]]="","",COUNTIFS(INDEX(tblCommentary[Date],1):tblCommentary[[#This Row],[Date]],tblCommentary[[#This Row],[Date]]))</f>
        <v/>
      </c>
      <c r="F1352" s="63">
        <f>IF(tblCommentary[[#This Row],[Date]]="","",tblCommentary[[#This Row],[Date]]&amp;"|"&amp;tblCommentary[[#This Row],[Seq_Day]])</f>
        <v/>
      </c>
    </row>
    <row r="1353">
      <c r="A1353" s="54" t="n"/>
      <c r="B1353" s="61" t="n"/>
      <c r="C1353" s="58" t="n"/>
      <c r="D1353" s="58" t="n"/>
      <c r="E1353" s="64">
        <f>IF(tblCommentary[[#This Row],[Date]]="","",COUNTIFS(INDEX(tblCommentary[Date],1):tblCommentary[[#This Row],[Date]],tblCommentary[[#This Row],[Date]]))</f>
        <v/>
      </c>
      <c r="F1353" s="63">
        <f>IF(tblCommentary[[#This Row],[Date]]="","",tblCommentary[[#This Row],[Date]]&amp;"|"&amp;tblCommentary[[#This Row],[Seq_Day]])</f>
        <v/>
      </c>
    </row>
    <row r="1354">
      <c r="A1354" s="54" t="n"/>
      <c r="B1354" s="61" t="n"/>
      <c r="C1354" s="58" t="n"/>
      <c r="D1354" s="58" t="n"/>
      <c r="E1354" s="64">
        <f>IF(tblCommentary[[#This Row],[Date]]="","",COUNTIFS(INDEX(tblCommentary[Date],1):tblCommentary[[#This Row],[Date]],tblCommentary[[#This Row],[Date]]))</f>
        <v/>
      </c>
      <c r="F1354" s="63">
        <f>IF(tblCommentary[[#This Row],[Date]]="","",tblCommentary[[#This Row],[Date]]&amp;"|"&amp;tblCommentary[[#This Row],[Seq_Day]])</f>
        <v/>
      </c>
    </row>
    <row r="1355">
      <c r="A1355" s="54" t="n"/>
      <c r="B1355" s="61" t="n"/>
      <c r="C1355" s="58" t="n"/>
      <c r="D1355" s="58" t="n"/>
      <c r="E1355" s="64">
        <f>IF(tblCommentary[[#This Row],[Date]]="","",COUNTIFS(INDEX(tblCommentary[Date],1):tblCommentary[[#This Row],[Date]],tblCommentary[[#This Row],[Date]]))</f>
        <v/>
      </c>
      <c r="F1355" s="63">
        <f>IF(tblCommentary[[#This Row],[Date]]="","",tblCommentary[[#This Row],[Date]]&amp;"|"&amp;tblCommentary[[#This Row],[Seq_Day]])</f>
        <v/>
      </c>
    </row>
    <row r="1356">
      <c r="A1356" s="54" t="n"/>
      <c r="B1356" s="61" t="n"/>
      <c r="C1356" s="58" t="n"/>
      <c r="D1356" s="58" t="n"/>
      <c r="E1356" s="64">
        <f>IF(tblCommentary[[#This Row],[Date]]="","",COUNTIFS(INDEX(tblCommentary[Date],1):tblCommentary[[#This Row],[Date]],tblCommentary[[#This Row],[Date]]))</f>
        <v/>
      </c>
      <c r="F1356" s="63">
        <f>IF(tblCommentary[[#This Row],[Date]]="","",tblCommentary[[#This Row],[Date]]&amp;"|"&amp;tblCommentary[[#This Row],[Seq_Day]])</f>
        <v/>
      </c>
    </row>
    <row r="1357">
      <c r="A1357" s="54" t="n"/>
      <c r="B1357" s="61" t="n"/>
      <c r="C1357" s="58" t="n"/>
      <c r="D1357" s="58" t="n"/>
      <c r="E1357" s="64">
        <f>IF(tblCommentary[[#This Row],[Date]]="","",COUNTIFS(INDEX(tblCommentary[Date],1):tblCommentary[[#This Row],[Date]],tblCommentary[[#This Row],[Date]]))</f>
        <v/>
      </c>
      <c r="F1357" s="63">
        <f>IF(tblCommentary[[#This Row],[Date]]="","",tblCommentary[[#This Row],[Date]]&amp;"|"&amp;tblCommentary[[#This Row],[Seq_Day]])</f>
        <v/>
      </c>
    </row>
    <row r="1358">
      <c r="A1358" s="54" t="n"/>
      <c r="B1358" s="61" t="n"/>
      <c r="C1358" s="58" t="n"/>
      <c r="D1358" s="58" t="n"/>
      <c r="E1358" s="64">
        <f>IF(tblCommentary[[#This Row],[Date]]="","",COUNTIFS(INDEX(tblCommentary[Date],1):tblCommentary[[#This Row],[Date]],tblCommentary[[#This Row],[Date]]))</f>
        <v/>
      </c>
      <c r="F1358" s="63">
        <f>IF(tblCommentary[[#This Row],[Date]]="","",tblCommentary[[#This Row],[Date]]&amp;"|"&amp;tblCommentary[[#This Row],[Seq_Day]])</f>
        <v/>
      </c>
    </row>
    <row r="1359">
      <c r="A1359" s="54" t="n"/>
      <c r="B1359" s="61" t="n"/>
      <c r="C1359" s="58" t="n"/>
      <c r="D1359" s="58" t="n"/>
      <c r="E1359" s="64">
        <f>IF(tblCommentary[[#This Row],[Date]]="","",COUNTIFS(INDEX(tblCommentary[Date],1):tblCommentary[[#This Row],[Date]],tblCommentary[[#This Row],[Date]]))</f>
        <v/>
      </c>
      <c r="F1359" s="63">
        <f>IF(tblCommentary[[#This Row],[Date]]="","",tblCommentary[[#This Row],[Date]]&amp;"|"&amp;tblCommentary[[#This Row],[Seq_Day]])</f>
        <v/>
      </c>
    </row>
    <row r="1360">
      <c r="A1360" s="54" t="n"/>
      <c r="B1360" s="61" t="n"/>
      <c r="C1360" s="58" t="n"/>
      <c r="D1360" s="58" t="n"/>
      <c r="E1360" s="64">
        <f>IF(tblCommentary[[#This Row],[Date]]="","",COUNTIFS(INDEX(tblCommentary[Date],1):tblCommentary[[#This Row],[Date]],tblCommentary[[#This Row],[Date]]))</f>
        <v/>
      </c>
      <c r="F1360" s="63">
        <f>IF(tblCommentary[[#This Row],[Date]]="","",tblCommentary[[#This Row],[Date]]&amp;"|"&amp;tblCommentary[[#This Row],[Seq_Day]])</f>
        <v/>
      </c>
    </row>
    <row r="1361">
      <c r="A1361" s="54" t="n"/>
      <c r="B1361" s="61" t="n"/>
      <c r="C1361" s="58" t="n"/>
      <c r="D1361" s="58" t="n"/>
      <c r="E1361" s="64">
        <f>IF(tblCommentary[[#This Row],[Date]]="","",COUNTIFS(INDEX(tblCommentary[Date],1):tblCommentary[[#This Row],[Date]],tblCommentary[[#This Row],[Date]]))</f>
        <v/>
      </c>
      <c r="F1361" s="63">
        <f>IF(tblCommentary[[#This Row],[Date]]="","",tblCommentary[[#This Row],[Date]]&amp;"|"&amp;tblCommentary[[#This Row],[Seq_Day]])</f>
        <v/>
      </c>
    </row>
    <row r="1362">
      <c r="A1362" s="54" t="n"/>
      <c r="B1362" s="61" t="n"/>
      <c r="C1362" s="58" t="n"/>
      <c r="D1362" s="58" t="n"/>
      <c r="E1362" s="64">
        <f>IF(tblCommentary[[#This Row],[Date]]="","",COUNTIFS(INDEX(tblCommentary[Date],1):tblCommentary[[#This Row],[Date]],tblCommentary[[#This Row],[Date]]))</f>
        <v/>
      </c>
      <c r="F1362" s="63">
        <f>IF(tblCommentary[[#This Row],[Date]]="","",tblCommentary[[#This Row],[Date]]&amp;"|"&amp;tblCommentary[[#This Row],[Seq_Day]])</f>
        <v/>
      </c>
    </row>
    <row r="1363">
      <c r="A1363" s="54" t="n"/>
      <c r="B1363" s="61" t="n"/>
      <c r="C1363" s="58" t="n"/>
      <c r="D1363" s="58" t="n"/>
      <c r="E1363" s="64">
        <f>IF(tblCommentary[[#This Row],[Date]]="","",COUNTIFS(INDEX(tblCommentary[Date],1):tblCommentary[[#This Row],[Date]],tblCommentary[[#This Row],[Date]]))</f>
        <v/>
      </c>
      <c r="F1363" s="63">
        <f>IF(tblCommentary[[#This Row],[Date]]="","",tblCommentary[[#This Row],[Date]]&amp;"|"&amp;tblCommentary[[#This Row],[Seq_Day]])</f>
        <v/>
      </c>
    </row>
    <row r="1364">
      <c r="A1364" s="54" t="n"/>
      <c r="B1364" s="61" t="n"/>
      <c r="C1364" s="58" t="n"/>
      <c r="D1364" s="58" t="n"/>
      <c r="E1364" s="64">
        <f>IF(tblCommentary[[#This Row],[Date]]="","",COUNTIFS(INDEX(tblCommentary[Date],1):tblCommentary[[#This Row],[Date]],tblCommentary[[#This Row],[Date]]))</f>
        <v/>
      </c>
      <c r="F1364" s="63">
        <f>IF(tblCommentary[[#This Row],[Date]]="","",tblCommentary[[#This Row],[Date]]&amp;"|"&amp;tblCommentary[[#This Row],[Seq_Day]])</f>
        <v/>
      </c>
    </row>
    <row r="1365">
      <c r="A1365" s="54" t="n"/>
      <c r="B1365" s="61" t="n"/>
      <c r="C1365" s="58" t="n"/>
      <c r="D1365" s="58" t="n"/>
      <c r="E1365" s="64">
        <f>IF(tblCommentary[[#This Row],[Date]]="","",COUNTIFS(INDEX(tblCommentary[Date],1):tblCommentary[[#This Row],[Date]],tblCommentary[[#This Row],[Date]]))</f>
        <v/>
      </c>
      <c r="F1365" s="63">
        <f>IF(tblCommentary[[#This Row],[Date]]="","",tblCommentary[[#This Row],[Date]]&amp;"|"&amp;tblCommentary[[#This Row],[Seq_Day]])</f>
        <v/>
      </c>
    </row>
    <row r="1366">
      <c r="A1366" s="54" t="n"/>
      <c r="B1366" s="61" t="n"/>
      <c r="C1366" s="58" t="n"/>
      <c r="D1366" s="58" t="n"/>
      <c r="E1366" s="64">
        <f>IF(tblCommentary[[#This Row],[Date]]="","",COUNTIFS(INDEX(tblCommentary[Date],1):tblCommentary[[#This Row],[Date]],tblCommentary[[#This Row],[Date]]))</f>
        <v/>
      </c>
      <c r="F1366" s="63">
        <f>IF(tblCommentary[[#This Row],[Date]]="","",tblCommentary[[#This Row],[Date]]&amp;"|"&amp;tblCommentary[[#This Row],[Seq_Day]])</f>
        <v/>
      </c>
    </row>
    <row r="1367">
      <c r="A1367" s="54" t="n"/>
      <c r="B1367" s="61" t="n"/>
      <c r="C1367" s="58" t="n"/>
      <c r="D1367" s="58" t="n"/>
      <c r="E1367" s="64">
        <f>IF(tblCommentary[[#This Row],[Date]]="","",COUNTIFS(INDEX(tblCommentary[Date],1):tblCommentary[[#This Row],[Date]],tblCommentary[[#This Row],[Date]]))</f>
        <v/>
      </c>
      <c r="F1367" s="63">
        <f>IF(tblCommentary[[#This Row],[Date]]="","",tblCommentary[[#This Row],[Date]]&amp;"|"&amp;tblCommentary[[#This Row],[Seq_Day]])</f>
        <v/>
      </c>
    </row>
    <row r="1368">
      <c r="A1368" s="54" t="n"/>
      <c r="B1368" s="61" t="n"/>
      <c r="C1368" s="58" t="n"/>
      <c r="D1368" s="58" t="n"/>
      <c r="E1368" s="64">
        <f>IF(tblCommentary[[#This Row],[Date]]="","",COUNTIFS(INDEX(tblCommentary[Date],1):tblCommentary[[#This Row],[Date]],tblCommentary[[#This Row],[Date]]))</f>
        <v/>
      </c>
      <c r="F1368" s="63">
        <f>IF(tblCommentary[[#This Row],[Date]]="","",tblCommentary[[#This Row],[Date]]&amp;"|"&amp;tblCommentary[[#This Row],[Seq_Day]])</f>
        <v/>
      </c>
    </row>
    <row r="1369">
      <c r="A1369" s="54" t="n"/>
      <c r="B1369" s="61" t="n"/>
      <c r="C1369" s="58" t="n"/>
      <c r="D1369" s="58" t="n"/>
      <c r="E1369" s="64">
        <f>IF(tblCommentary[[#This Row],[Date]]="","",COUNTIFS(INDEX(tblCommentary[Date],1):tblCommentary[[#This Row],[Date]],tblCommentary[[#This Row],[Date]]))</f>
        <v/>
      </c>
      <c r="F1369" s="63">
        <f>IF(tblCommentary[[#This Row],[Date]]="","",tblCommentary[[#This Row],[Date]]&amp;"|"&amp;tblCommentary[[#This Row],[Seq_Day]])</f>
        <v/>
      </c>
    </row>
    <row r="1370">
      <c r="A1370" s="54" t="n"/>
      <c r="B1370" s="61" t="n"/>
      <c r="C1370" s="58" t="n"/>
      <c r="D1370" s="58" t="n"/>
      <c r="E1370" s="64">
        <f>IF(tblCommentary[[#This Row],[Date]]="","",COUNTIFS(INDEX(tblCommentary[Date],1):tblCommentary[[#This Row],[Date]],tblCommentary[[#This Row],[Date]]))</f>
        <v/>
      </c>
      <c r="F1370" s="63">
        <f>IF(tblCommentary[[#This Row],[Date]]="","",tblCommentary[[#This Row],[Date]]&amp;"|"&amp;tblCommentary[[#This Row],[Seq_Day]])</f>
        <v/>
      </c>
    </row>
    <row r="1371">
      <c r="A1371" s="54" t="n"/>
      <c r="B1371" s="61" t="n"/>
      <c r="C1371" s="58" t="n"/>
      <c r="D1371" s="58" t="n"/>
      <c r="E1371" s="64">
        <f>IF(tblCommentary[[#This Row],[Date]]="","",COUNTIFS(INDEX(tblCommentary[Date],1):tblCommentary[[#This Row],[Date]],tblCommentary[[#This Row],[Date]]))</f>
        <v/>
      </c>
      <c r="F1371" s="63">
        <f>IF(tblCommentary[[#This Row],[Date]]="","",tblCommentary[[#This Row],[Date]]&amp;"|"&amp;tblCommentary[[#This Row],[Seq_Day]])</f>
        <v/>
      </c>
    </row>
    <row r="1372">
      <c r="A1372" s="54" t="n"/>
      <c r="B1372" s="61" t="n"/>
      <c r="C1372" s="58" t="n"/>
      <c r="D1372" s="58" t="n"/>
      <c r="E1372" s="64">
        <f>IF(tblCommentary[[#This Row],[Date]]="","",COUNTIFS(INDEX(tblCommentary[Date],1):tblCommentary[[#This Row],[Date]],tblCommentary[[#This Row],[Date]]))</f>
        <v/>
      </c>
      <c r="F1372" s="63">
        <f>IF(tblCommentary[[#This Row],[Date]]="","",tblCommentary[[#This Row],[Date]]&amp;"|"&amp;tblCommentary[[#This Row],[Seq_Day]])</f>
        <v/>
      </c>
    </row>
    <row r="1373">
      <c r="A1373" s="54" t="n"/>
      <c r="B1373" s="61" t="n"/>
      <c r="C1373" s="58" t="n"/>
      <c r="D1373" s="58" t="n"/>
      <c r="E1373" s="64">
        <f>IF(tblCommentary[[#This Row],[Date]]="","",COUNTIFS(INDEX(tblCommentary[Date],1):tblCommentary[[#This Row],[Date]],tblCommentary[[#This Row],[Date]]))</f>
        <v/>
      </c>
      <c r="F1373" s="63">
        <f>IF(tblCommentary[[#This Row],[Date]]="","",tblCommentary[[#This Row],[Date]]&amp;"|"&amp;tblCommentary[[#This Row],[Seq_Day]])</f>
        <v/>
      </c>
    </row>
    <row r="1374">
      <c r="A1374" s="54" t="n"/>
      <c r="B1374" s="61" t="n"/>
      <c r="C1374" s="58" t="n"/>
      <c r="D1374" s="58" t="n"/>
      <c r="E1374" s="64">
        <f>IF(tblCommentary[[#This Row],[Date]]="","",COUNTIFS(INDEX(tblCommentary[Date],1):tblCommentary[[#This Row],[Date]],tblCommentary[[#This Row],[Date]]))</f>
        <v/>
      </c>
      <c r="F1374" s="63">
        <f>IF(tblCommentary[[#This Row],[Date]]="","",tblCommentary[[#This Row],[Date]]&amp;"|"&amp;tblCommentary[[#This Row],[Seq_Day]])</f>
        <v/>
      </c>
    </row>
    <row r="1375">
      <c r="A1375" s="54" t="n"/>
      <c r="B1375" s="61" t="n"/>
      <c r="C1375" s="58" t="n"/>
      <c r="D1375" s="58" t="n"/>
      <c r="E1375" s="64">
        <f>IF(tblCommentary[[#This Row],[Date]]="","",COUNTIFS(INDEX(tblCommentary[Date],1):tblCommentary[[#This Row],[Date]],tblCommentary[[#This Row],[Date]]))</f>
        <v/>
      </c>
      <c r="F1375" s="63">
        <f>IF(tblCommentary[[#This Row],[Date]]="","",tblCommentary[[#This Row],[Date]]&amp;"|"&amp;tblCommentary[[#This Row],[Seq_Day]])</f>
        <v/>
      </c>
    </row>
    <row r="1376">
      <c r="A1376" s="54" t="n"/>
      <c r="B1376" s="61" t="n"/>
      <c r="C1376" s="58" t="n"/>
      <c r="D1376" s="58" t="n"/>
      <c r="E1376" s="64">
        <f>IF(tblCommentary[[#This Row],[Date]]="","",COUNTIFS(INDEX(tblCommentary[Date],1):tblCommentary[[#This Row],[Date]],tblCommentary[[#This Row],[Date]]))</f>
        <v/>
      </c>
      <c r="F1376" s="63">
        <f>IF(tblCommentary[[#This Row],[Date]]="","",tblCommentary[[#This Row],[Date]]&amp;"|"&amp;tblCommentary[[#This Row],[Seq_Day]])</f>
        <v/>
      </c>
    </row>
    <row r="1377">
      <c r="A1377" s="54" t="n"/>
      <c r="B1377" s="61" t="n"/>
      <c r="C1377" s="58" t="n"/>
      <c r="D1377" s="58" t="n"/>
      <c r="E1377" s="64">
        <f>IF(tblCommentary[[#This Row],[Date]]="","",COUNTIFS(INDEX(tblCommentary[Date],1):tblCommentary[[#This Row],[Date]],tblCommentary[[#This Row],[Date]]))</f>
        <v/>
      </c>
      <c r="F1377" s="63">
        <f>IF(tblCommentary[[#This Row],[Date]]="","",tblCommentary[[#This Row],[Date]]&amp;"|"&amp;tblCommentary[[#This Row],[Seq_Day]])</f>
        <v/>
      </c>
    </row>
    <row r="1378">
      <c r="A1378" s="54" t="n"/>
      <c r="B1378" s="61" t="n"/>
      <c r="C1378" s="58" t="n"/>
      <c r="D1378" s="58" t="n"/>
      <c r="E1378" s="64">
        <f>IF(tblCommentary[[#This Row],[Date]]="","",COUNTIFS(INDEX(tblCommentary[Date],1):tblCommentary[[#This Row],[Date]],tblCommentary[[#This Row],[Date]]))</f>
        <v/>
      </c>
      <c r="F1378" s="63">
        <f>IF(tblCommentary[[#This Row],[Date]]="","",tblCommentary[[#This Row],[Date]]&amp;"|"&amp;tblCommentary[[#This Row],[Seq_Day]])</f>
        <v/>
      </c>
    </row>
    <row r="1379">
      <c r="A1379" s="54" t="n"/>
      <c r="B1379" s="61" t="n"/>
      <c r="C1379" s="58" t="n"/>
      <c r="D1379" s="58" t="n"/>
      <c r="E1379" s="64">
        <f>IF(tblCommentary[[#This Row],[Date]]="","",COUNTIFS(INDEX(tblCommentary[Date],1):tblCommentary[[#This Row],[Date]],tblCommentary[[#This Row],[Date]]))</f>
        <v/>
      </c>
      <c r="F1379" s="63">
        <f>IF(tblCommentary[[#This Row],[Date]]="","",tblCommentary[[#This Row],[Date]]&amp;"|"&amp;tblCommentary[[#This Row],[Seq_Day]])</f>
        <v/>
      </c>
    </row>
    <row r="1380">
      <c r="A1380" s="54" t="n"/>
      <c r="B1380" s="61" t="n"/>
      <c r="C1380" s="58" t="n"/>
      <c r="D1380" s="58" t="n"/>
      <c r="E1380" s="64">
        <f>IF(tblCommentary[[#This Row],[Date]]="","",COUNTIFS(INDEX(tblCommentary[Date],1):tblCommentary[[#This Row],[Date]],tblCommentary[[#This Row],[Date]]))</f>
        <v/>
      </c>
      <c r="F1380" s="63">
        <f>IF(tblCommentary[[#This Row],[Date]]="","",tblCommentary[[#This Row],[Date]]&amp;"|"&amp;tblCommentary[[#This Row],[Seq_Day]])</f>
        <v/>
      </c>
    </row>
    <row r="1381">
      <c r="A1381" s="54" t="n"/>
      <c r="B1381" s="61" t="n"/>
      <c r="C1381" s="58" t="n"/>
      <c r="D1381" s="58" t="n"/>
      <c r="E1381" s="64">
        <f>IF(tblCommentary[[#This Row],[Date]]="","",COUNTIFS(INDEX(tblCommentary[Date],1):tblCommentary[[#This Row],[Date]],tblCommentary[[#This Row],[Date]]))</f>
        <v/>
      </c>
      <c r="F1381" s="63">
        <f>IF(tblCommentary[[#This Row],[Date]]="","",tblCommentary[[#This Row],[Date]]&amp;"|"&amp;tblCommentary[[#This Row],[Seq_Day]])</f>
        <v/>
      </c>
    </row>
    <row r="1382">
      <c r="A1382" s="54" t="n"/>
      <c r="B1382" s="61" t="n"/>
      <c r="C1382" s="58" t="n"/>
      <c r="D1382" s="58" t="n"/>
      <c r="E1382" s="64">
        <f>IF(tblCommentary[[#This Row],[Date]]="","",COUNTIFS(INDEX(tblCommentary[Date],1):tblCommentary[[#This Row],[Date]],tblCommentary[[#This Row],[Date]]))</f>
        <v/>
      </c>
      <c r="F1382" s="63">
        <f>IF(tblCommentary[[#This Row],[Date]]="","",tblCommentary[[#This Row],[Date]]&amp;"|"&amp;tblCommentary[[#This Row],[Seq_Day]])</f>
        <v/>
      </c>
    </row>
    <row r="1383">
      <c r="A1383" s="54" t="n"/>
      <c r="B1383" s="61" t="n"/>
      <c r="C1383" s="58" t="n"/>
      <c r="D1383" s="58" t="n"/>
      <c r="E1383" s="64">
        <f>IF(tblCommentary[[#This Row],[Date]]="","",COUNTIFS(INDEX(tblCommentary[Date],1):tblCommentary[[#This Row],[Date]],tblCommentary[[#This Row],[Date]]))</f>
        <v/>
      </c>
      <c r="F1383" s="63">
        <f>IF(tblCommentary[[#This Row],[Date]]="","",tblCommentary[[#This Row],[Date]]&amp;"|"&amp;tblCommentary[[#This Row],[Seq_Day]])</f>
        <v/>
      </c>
    </row>
    <row r="1384">
      <c r="A1384" s="54" t="n"/>
      <c r="B1384" s="61" t="n"/>
      <c r="C1384" s="58" t="n"/>
      <c r="D1384" s="58" t="n"/>
      <c r="E1384" s="64">
        <f>IF(tblCommentary[[#This Row],[Date]]="","",COUNTIFS(INDEX(tblCommentary[Date],1):tblCommentary[[#This Row],[Date]],tblCommentary[[#This Row],[Date]]))</f>
        <v/>
      </c>
      <c r="F1384" s="63">
        <f>IF(tblCommentary[[#This Row],[Date]]="","",tblCommentary[[#This Row],[Date]]&amp;"|"&amp;tblCommentary[[#This Row],[Seq_Day]])</f>
        <v/>
      </c>
    </row>
    <row r="1385">
      <c r="A1385" s="54" t="n"/>
      <c r="B1385" s="61" t="n"/>
      <c r="C1385" s="58" t="n"/>
      <c r="D1385" s="58" t="n"/>
      <c r="E1385" s="64">
        <f>IF(tblCommentary[[#This Row],[Date]]="","",COUNTIFS(INDEX(tblCommentary[Date],1):tblCommentary[[#This Row],[Date]],tblCommentary[[#This Row],[Date]]))</f>
        <v/>
      </c>
      <c r="F1385" s="63">
        <f>IF(tblCommentary[[#This Row],[Date]]="","",tblCommentary[[#This Row],[Date]]&amp;"|"&amp;tblCommentary[[#This Row],[Seq_Day]])</f>
        <v/>
      </c>
    </row>
    <row r="1386">
      <c r="A1386" s="54" t="n"/>
      <c r="B1386" s="61" t="n"/>
      <c r="C1386" s="58" t="n"/>
      <c r="D1386" s="58" t="n"/>
      <c r="E1386" s="64">
        <f>IF(tblCommentary[[#This Row],[Date]]="","",COUNTIFS(INDEX(tblCommentary[Date],1):tblCommentary[[#This Row],[Date]],tblCommentary[[#This Row],[Date]]))</f>
        <v/>
      </c>
      <c r="F1386" s="63">
        <f>IF(tblCommentary[[#This Row],[Date]]="","",tblCommentary[[#This Row],[Date]]&amp;"|"&amp;tblCommentary[[#This Row],[Seq_Day]])</f>
        <v/>
      </c>
    </row>
    <row r="1387">
      <c r="A1387" s="54" t="n"/>
      <c r="B1387" s="61" t="n"/>
      <c r="C1387" s="58" t="n"/>
      <c r="D1387" s="58" t="n"/>
      <c r="E1387" s="64">
        <f>IF(tblCommentary[[#This Row],[Date]]="","",COUNTIFS(INDEX(tblCommentary[Date],1):tblCommentary[[#This Row],[Date]],tblCommentary[[#This Row],[Date]]))</f>
        <v/>
      </c>
      <c r="F1387" s="63">
        <f>IF(tblCommentary[[#This Row],[Date]]="","",tblCommentary[[#This Row],[Date]]&amp;"|"&amp;tblCommentary[[#This Row],[Seq_Day]])</f>
        <v/>
      </c>
    </row>
    <row r="1388">
      <c r="A1388" s="54" t="n"/>
      <c r="B1388" s="61" t="n"/>
      <c r="C1388" s="58" t="n"/>
      <c r="D1388" s="58" t="n"/>
      <c r="E1388" s="64">
        <f>IF(tblCommentary[[#This Row],[Date]]="","",COUNTIFS(INDEX(tblCommentary[Date],1):tblCommentary[[#This Row],[Date]],tblCommentary[[#This Row],[Date]]))</f>
        <v/>
      </c>
      <c r="F1388" s="63">
        <f>IF(tblCommentary[[#This Row],[Date]]="","",tblCommentary[[#This Row],[Date]]&amp;"|"&amp;tblCommentary[[#This Row],[Seq_Day]])</f>
        <v/>
      </c>
    </row>
    <row r="1389">
      <c r="A1389" s="54" t="n"/>
      <c r="B1389" s="61" t="n"/>
      <c r="C1389" s="58" t="n"/>
      <c r="D1389" s="58" t="n"/>
      <c r="E1389" s="64">
        <f>IF(tblCommentary[[#This Row],[Date]]="","",COUNTIFS(INDEX(tblCommentary[Date],1):tblCommentary[[#This Row],[Date]],tblCommentary[[#This Row],[Date]]))</f>
        <v/>
      </c>
      <c r="F1389" s="63">
        <f>IF(tblCommentary[[#This Row],[Date]]="","",tblCommentary[[#This Row],[Date]]&amp;"|"&amp;tblCommentary[[#This Row],[Seq_Day]])</f>
        <v/>
      </c>
    </row>
    <row r="1390">
      <c r="A1390" s="54" t="n"/>
      <c r="B1390" s="61" t="n"/>
      <c r="C1390" s="58" t="n"/>
      <c r="D1390" s="58" t="n"/>
      <c r="E1390" s="64">
        <f>IF(tblCommentary[[#This Row],[Date]]="","",COUNTIFS(INDEX(tblCommentary[Date],1):tblCommentary[[#This Row],[Date]],tblCommentary[[#This Row],[Date]]))</f>
        <v/>
      </c>
      <c r="F1390" s="63">
        <f>IF(tblCommentary[[#This Row],[Date]]="","",tblCommentary[[#This Row],[Date]]&amp;"|"&amp;tblCommentary[[#This Row],[Seq_Day]])</f>
        <v/>
      </c>
    </row>
    <row r="1391">
      <c r="A1391" s="54" t="n"/>
      <c r="B1391" s="61" t="n"/>
      <c r="C1391" s="58" t="n"/>
      <c r="D1391" s="58" t="n"/>
      <c r="E1391" s="64">
        <f>IF(tblCommentary[[#This Row],[Date]]="","",COUNTIFS(INDEX(tblCommentary[Date],1):tblCommentary[[#This Row],[Date]],tblCommentary[[#This Row],[Date]]))</f>
        <v/>
      </c>
      <c r="F1391" s="63">
        <f>IF(tblCommentary[[#This Row],[Date]]="","",tblCommentary[[#This Row],[Date]]&amp;"|"&amp;tblCommentary[[#This Row],[Seq_Day]])</f>
        <v/>
      </c>
    </row>
    <row r="1392">
      <c r="A1392" s="54" t="n"/>
      <c r="B1392" s="61" t="n"/>
      <c r="C1392" s="58" t="n"/>
      <c r="D1392" s="58" t="n"/>
      <c r="E1392" s="64">
        <f>IF(tblCommentary[[#This Row],[Date]]="","",COUNTIFS(INDEX(tblCommentary[Date],1):tblCommentary[[#This Row],[Date]],tblCommentary[[#This Row],[Date]]))</f>
        <v/>
      </c>
      <c r="F1392" s="63">
        <f>IF(tblCommentary[[#This Row],[Date]]="","",tblCommentary[[#This Row],[Date]]&amp;"|"&amp;tblCommentary[[#This Row],[Seq_Day]])</f>
        <v/>
      </c>
    </row>
    <row r="1393">
      <c r="A1393" s="54" t="n"/>
      <c r="B1393" s="61" t="n"/>
      <c r="C1393" s="58" t="n"/>
      <c r="D1393" s="58" t="n"/>
      <c r="E1393" s="64">
        <f>IF(tblCommentary[[#This Row],[Date]]="","",COUNTIFS(INDEX(tblCommentary[Date],1):tblCommentary[[#This Row],[Date]],tblCommentary[[#This Row],[Date]]))</f>
        <v/>
      </c>
      <c r="F1393" s="63">
        <f>IF(tblCommentary[[#This Row],[Date]]="","",tblCommentary[[#This Row],[Date]]&amp;"|"&amp;tblCommentary[[#This Row],[Seq_Day]])</f>
        <v/>
      </c>
    </row>
    <row r="1394">
      <c r="A1394" s="54" t="n"/>
      <c r="B1394" s="61" t="n"/>
      <c r="C1394" s="58" t="n"/>
      <c r="D1394" s="58" t="n"/>
      <c r="E1394" s="64">
        <f>IF(tblCommentary[[#This Row],[Date]]="","",COUNTIFS(INDEX(tblCommentary[Date],1):tblCommentary[[#This Row],[Date]],tblCommentary[[#This Row],[Date]]))</f>
        <v/>
      </c>
      <c r="F1394" s="63">
        <f>IF(tblCommentary[[#This Row],[Date]]="","",tblCommentary[[#This Row],[Date]]&amp;"|"&amp;tblCommentary[[#This Row],[Seq_Day]])</f>
        <v/>
      </c>
    </row>
    <row r="1395">
      <c r="A1395" s="54" t="n"/>
      <c r="B1395" s="61" t="n"/>
      <c r="C1395" s="58" t="n"/>
      <c r="D1395" s="58" t="n"/>
      <c r="E1395" s="64">
        <f>IF(tblCommentary[[#This Row],[Date]]="","",COUNTIFS(INDEX(tblCommentary[Date],1):tblCommentary[[#This Row],[Date]],tblCommentary[[#This Row],[Date]]))</f>
        <v/>
      </c>
      <c r="F1395" s="63">
        <f>IF(tblCommentary[[#This Row],[Date]]="","",tblCommentary[[#This Row],[Date]]&amp;"|"&amp;tblCommentary[[#This Row],[Seq_Day]])</f>
        <v/>
      </c>
    </row>
    <row r="1396">
      <c r="A1396" s="54" t="n"/>
      <c r="B1396" s="61" t="n"/>
      <c r="C1396" s="58" t="n"/>
      <c r="D1396" s="58" t="n"/>
      <c r="E1396" s="64">
        <f>IF(tblCommentary[[#This Row],[Date]]="","",COUNTIFS(INDEX(tblCommentary[Date],1):tblCommentary[[#This Row],[Date]],tblCommentary[[#This Row],[Date]]))</f>
        <v/>
      </c>
      <c r="F1396" s="63">
        <f>IF(tblCommentary[[#This Row],[Date]]="","",tblCommentary[[#This Row],[Date]]&amp;"|"&amp;tblCommentary[[#This Row],[Seq_Day]])</f>
        <v/>
      </c>
    </row>
    <row r="1397">
      <c r="A1397" s="54" t="n"/>
      <c r="B1397" s="61" t="n"/>
      <c r="C1397" s="58" t="n"/>
      <c r="D1397" s="58" t="n"/>
      <c r="E1397" s="64">
        <f>IF(tblCommentary[[#This Row],[Date]]="","",COUNTIFS(INDEX(tblCommentary[Date],1):tblCommentary[[#This Row],[Date]],tblCommentary[[#This Row],[Date]]))</f>
        <v/>
      </c>
      <c r="F1397" s="63">
        <f>IF(tblCommentary[[#This Row],[Date]]="","",tblCommentary[[#This Row],[Date]]&amp;"|"&amp;tblCommentary[[#This Row],[Seq_Day]])</f>
        <v/>
      </c>
    </row>
    <row r="1398">
      <c r="A1398" s="54" t="n"/>
      <c r="B1398" s="61" t="n"/>
      <c r="C1398" s="58" t="n"/>
      <c r="D1398" s="58" t="n"/>
      <c r="E1398" s="64">
        <f>IF(tblCommentary[[#This Row],[Date]]="","",COUNTIFS(INDEX(tblCommentary[Date],1):tblCommentary[[#This Row],[Date]],tblCommentary[[#This Row],[Date]]))</f>
        <v/>
      </c>
      <c r="F1398" s="63">
        <f>IF(tblCommentary[[#This Row],[Date]]="","",tblCommentary[[#This Row],[Date]]&amp;"|"&amp;tblCommentary[[#This Row],[Seq_Day]])</f>
        <v/>
      </c>
    </row>
    <row r="1399">
      <c r="A1399" s="54" t="n"/>
      <c r="B1399" s="61" t="n"/>
      <c r="C1399" s="58" t="n"/>
      <c r="D1399" s="58" t="n"/>
      <c r="E1399" s="64">
        <f>IF(tblCommentary[[#This Row],[Date]]="","",COUNTIFS(INDEX(tblCommentary[Date],1):tblCommentary[[#This Row],[Date]],tblCommentary[[#This Row],[Date]]))</f>
        <v/>
      </c>
      <c r="F1399" s="63">
        <f>IF(tblCommentary[[#This Row],[Date]]="","",tblCommentary[[#This Row],[Date]]&amp;"|"&amp;tblCommentary[[#This Row],[Seq_Day]])</f>
        <v/>
      </c>
    </row>
    <row r="1400">
      <c r="A1400" s="54" t="n"/>
      <c r="B1400" s="61" t="n"/>
      <c r="C1400" s="58" t="n"/>
      <c r="D1400" s="58" t="n"/>
      <c r="E1400" s="64">
        <f>IF(tblCommentary[[#This Row],[Date]]="","",COUNTIFS(INDEX(tblCommentary[Date],1):tblCommentary[[#This Row],[Date]],tblCommentary[[#This Row],[Date]]))</f>
        <v/>
      </c>
      <c r="F1400" s="63">
        <f>IF(tblCommentary[[#This Row],[Date]]="","",tblCommentary[[#This Row],[Date]]&amp;"|"&amp;tblCommentary[[#This Row],[Seq_Day]])</f>
        <v/>
      </c>
    </row>
    <row r="1401">
      <c r="A1401" s="54" t="n"/>
      <c r="B1401" s="61" t="n"/>
      <c r="C1401" s="58" t="n"/>
      <c r="D1401" s="58" t="n"/>
      <c r="E1401" s="64">
        <f>IF(tblCommentary[[#This Row],[Date]]="","",COUNTIFS(INDEX(tblCommentary[Date],1):tblCommentary[[#This Row],[Date]],tblCommentary[[#This Row],[Date]]))</f>
        <v/>
      </c>
      <c r="F1401" s="63">
        <f>IF(tblCommentary[[#This Row],[Date]]="","",tblCommentary[[#This Row],[Date]]&amp;"|"&amp;tblCommentary[[#This Row],[Seq_Day]])</f>
        <v/>
      </c>
    </row>
    <row r="1402">
      <c r="A1402" s="54" t="n"/>
      <c r="B1402" s="61" t="n"/>
      <c r="C1402" s="58" t="n"/>
      <c r="D1402" s="58" t="n"/>
      <c r="E1402" s="64">
        <f>IF(tblCommentary[[#This Row],[Date]]="","",COUNTIFS(INDEX(tblCommentary[Date],1):tblCommentary[[#This Row],[Date]],tblCommentary[[#This Row],[Date]]))</f>
        <v/>
      </c>
      <c r="F1402" s="63">
        <f>IF(tblCommentary[[#This Row],[Date]]="","",tblCommentary[[#This Row],[Date]]&amp;"|"&amp;tblCommentary[[#This Row],[Seq_Day]])</f>
        <v/>
      </c>
    </row>
    <row r="1403">
      <c r="A1403" s="54" t="n"/>
      <c r="B1403" s="61" t="n"/>
      <c r="C1403" s="58" t="n"/>
      <c r="D1403" s="58" t="n"/>
      <c r="E1403" s="64">
        <f>IF(tblCommentary[[#This Row],[Date]]="","",COUNTIFS(INDEX(tblCommentary[Date],1):tblCommentary[[#This Row],[Date]],tblCommentary[[#This Row],[Date]]))</f>
        <v/>
      </c>
      <c r="F1403" s="63">
        <f>IF(tblCommentary[[#This Row],[Date]]="","",tblCommentary[[#This Row],[Date]]&amp;"|"&amp;tblCommentary[[#This Row],[Seq_Day]])</f>
        <v/>
      </c>
    </row>
    <row r="1404">
      <c r="A1404" s="54" t="n"/>
      <c r="B1404" s="61" t="n"/>
      <c r="C1404" s="58" t="n"/>
      <c r="D1404" s="58" t="n"/>
      <c r="E1404" s="64">
        <f>IF(tblCommentary[[#This Row],[Date]]="","",COUNTIFS(INDEX(tblCommentary[Date],1):tblCommentary[[#This Row],[Date]],tblCommentary[[#This Row],[Date]]))</f>
        <v/>
      </c>
      <c r="F1404" s="63">
        <f>IF(tblCommentary[[#This Row],[Date]]="","",tblCommentary[[#This Row],[Date]]&amp;"|"&amp;tblCommentary[[#This Row],[Seq_Day]])</f>
        <v/>
      </c>
    </row>
    <row r="1405">
      <c r="A1405" s="54" t="n"/>
      <c r="B1405" s="61" t="n"/>
      <c r="C1405" s="58" t="n"/>
      <c r="D1405" s="58" t="n"/>
      <c r="E1405" s="64">
        <f>IF(tblCommentary[[#This Row],[Date]]="","",COUNTIFS(INDEX(tblCommentary[Date],1):tblCommentary[[#This Row],[Date]],tblCommentary[[#This Row],[Date]]))</f>
        <v/>
      </c>
      <c r="F1405" s="63">
        <f>IF(tblCommentary[[#This Row],[Date]]="","",tblCommentary[[#This Row],[Date]]&amp;"|"&amp;tblCommentary[[#This Row],[Seq_Day]])</f>
        <v/>
      </c>
    </row>
    <row r="1406">
      <c r="A1406" s="54" t="n"/>
      <c r="B1406" s="61" t="n"/>
      <c r="C1406" s="58" t="n"/>
      <c r="D1406" s="58" t="n"/>
      <c r="E1406" s="64">
        <f>IF(tblCommentary[[#This Row],[Date]]="","",COUNTIFS(INDEX(tblCommentary[Date],1):tblCommentary[[#This Row],[Date]],tblCommentary[[#This Row],[Date]]))</f>
        <v/>
      </c>
      <c r="F1406" s="63">
        <f>IF(tblCommentary[[#This Row],[Date]]="","",tblCommentary[[#This Row],[Date]]&amp;"|"&amp;tblCommentary[[#This Row],[Seq_Day]])</f>
        <v/>
      </c>
    </row>
    <row r="1407">
      <c r="A1407" s="54" t="n"/>
      <c r="B1407" s="61" t="n"/>
      <c r="C1407" s="58" t="n"/>
      <c r="D1407" s="58" t="n"/>
      <c r="E1407" s="64">
        <f>IF(tblCommentary[[#This Row],[Date]]="","",COUNTIFS(INDEX(tblCommentary[Date],1):tblCommentary[[#This Row],[Date]],tblCommentary[[#This Row],[Date]]))</f>
        <v/>
      </c>
      <c r="F1407" s="63">
        <f>IF(tblCommentary[[#This Row],[Date]]="","",tblCommentary[[#This Row],[Date]]&amp;"|"&amp;tblCommentary[[#This Row],[Seq_Day]])</f>
        <v/>
      </c>
    </row>
    <row r="1408">
      <c r="A1408" s="54" t="n"/>
      <c r="B1408" s="61" t="n"/>
      <c r="C1408" s="58" t="n"/>
      <c r="D1408" s="58" t="n"/>
      <c r="E1408" s="64">
        <f>IF(tblCommentary[[#This Row],[Date]]="","",COUNTIFS(INDEX(tblCommentary[Date],1):tblCommentary[[#This Row],[Date]],tblCommentary[[#This Row],[Date]]))</f>
        <v/>
      </c>
      <c r="F1408" s="63">
        <f>IF(tblCommentary[[#This Row],[Date]]="","",tblCommentary[[#This Row],[Date]]&amp;"|"&amp;tblCommentary[[#This Row],[Seq_Day]])</f>
        <v/>
      </c>
    </row>
    <row r="1409">
      <c r="A1409" s="54" t="n"/>
      <c r="B1409" s="61" t="n"/>
      <c r="C1409" s="58" t="n"/>
      <c r="D1409" s="58" t="n"/>
      <c r="E1409" s="64">
        <f>IF(tblCommentary[[#This Row],[Date]]="","",COUNTIFS(INDEX(tblCommentary[Date],1):tblCommentary[[#This Row],[Date]],tblCommentary[[#This Row],[Date]]))</f>
        <v/>
      </c>
      <c r="F1409" s="63">
        <f>IF(tblCommentary[[#This Row],[Date]]="","",tblCommentary[[#This Row],[Date]]&amp;"|"&amp;tblCommentary[[#This Row],[Seq_Day]])</f>
        <v/>
      </c>
    </row>
    <row r="1410">
      <c r="A1410" s="54" t="n"/>
      <c r="B1410" s="61" t="n"/>
      <c r="C1410" s="58" t="n"/>
      <c r="D1410" s="58" t="n"/>
      <c r="E1410" s="64">
        <f>IF(tblCommentary[[#This Row],[Date]]="","",COUNTIFS(INDEX(tblCommentary[Date],1):tblCommentary[[#This Row],[Date]],tblCommentary[[#This Row],[Date]]))</f>
        <v/>
      </c>
      <c r="F1410" s="63">
        <f>IF(tblCommentary[[#This Row],[Date]]="","",tblCommentary[[#This Row],[Date]]&amp;"|"&amp;tblCommentary[[#This Row],[Seq_Day]])</f>
        <v/>
      </c>
    </row>
    <row r="1411">
      <c r="A1411" s="54" t="n"/>
      <c r="B1411" s="61" t="n"/>
      <c r="C1411" s="58" t="n"/>
      <c r="D1411" s="58" t="n"/>
      <c r="E1411" s="64">
        <f>IF(tblCommentary[[#This Row],[Date]]="","",COUNTIFS(INDEX(tblCommentary[Date],1):tblCommentary[[#This Row],[Date]],tblCommentary[[#This Row],[Date]]))</f>
        <v/>
      </c>
      <c r="F1411" s="63">
        <f>IF(tblCommentary[[#This Row],[Date]]="","",tblCommentary[[#This Row],[Date]]&amp;"|"&amp;tblCommentary[[#This Row],[Seq_Day]])</f>
        <v/>
      </c>
    </row>
    <row r="1412">
      <c r="A1412" s="54" t="n"/>
      <c r="B1412" s="61" t="n"/>
      <c r="C1412" s="58" t="n"/>
      <c r="D1412" s="58" t="n"/>
      <c r="E1412" s="64">
        <f>IF(tblCommentary[[#This Row],[Date]]="","",COUNTIFS(INDEX(tblCommentary[Date],1):tblCommentary[[#This Row],[Date]],tblCommentary[[#This Row],[Date]]))</f>
        <v/>
      </c>
      <c r="F1412" s="63">
        <f>IF(tblCommentary[[#This Row],[Date]]="","",tblCommentary[[#This Row],[Date]]&amp;"|"&amp;tblCommentary[[#This Row],[Seq_Day]])</f>
        <v/>
      </c>
    </row>
    <row r="1413">
      <c r="A1413" s="54" t="n"/>
      <c r="B1413" s="61" t="n"/>
      <c r="C1413" s="58" t="n"/>
      <c r="D1413" s="58" t="n"/>
      <c r="E1413" s="64">
        <f>IF(tblCommentary[[#This Row],[Date]]="","",COUNTIFS(INDEX(tblCommentary[Date],1):tblCommentary[[#This Row],[Date]],tblCommentary[[#This Row],[Date]]))</f>
        <v/>
      </c>
      <c r="F1413" s="63">
        <f>IF(tblCommentary[[#This Row],[Date]]="","",tblCommentary[[#This Row],[Date]]&amp;"|"&amp;tblCommentary[[#This Row],[Seq_Day]])</f>
        <v/>
      </c>
    </row>
    <row r="1414">
      <c r="A1414" s="54" t="n"/>
      <c r="B1414" s="61" t="n"/>
      <c r="C1414" s="58" t="n"/>
      <c r="D1414" s="58" t="n"/>
      <c r="E1414" s="64">
        <f>IF(tblCommentary[[#This Row],[Date]]="","",COUNTIFS(INDEX(tblCommentary[Date],1):tblCommentary[[#This Row],[Date]],tblCommentary[[#This Row],[Date]]))</f>
        <v/>
      </c>
      <c r="F1414" s="63">
        <f>IF(tblCommentary[[#This Row],[Date]]="","",tblCommentary[[#This Row],[Date]]&amp;"|"&amp;tblCommentary[[#This Row],[Seq_Day]])</f>
        <v/>
      </c>
    </row>
    <row r="1415">
      <c r="A1415" s="54" t="n"/>
      <c r="B1415" s="61" t="n"/>
      <c r="C1415" s="58" t="n"/>
      <c r="D1415" s="58" t="n"/>
      <c r="E1415" s="64">
        <f>IF(tblCommentary[[#This Row],[Date]]="","",COUNTIFS(INDEX(tblCommentary[Date],1):tblCommentary[[#This Row],[Date]],tblCommentary[[#This Row],[Date]]))</f>
        <v/>
      </c>
      <c r="F1415" s="63">
        <f>IF(tblCommentary[[#This Row],[Date]]="","",tblCommentary[[#This Row],[Date]]&amp;"|"&amp;tblCommentary[[#This Row],[Seq_Day]])</f>
        <v/>
      </c>
    </row>
    <row r="1416">
      <c r="A1416" s="54" t="n"/>
      <c r="B1416" s="61" t="n"/>
      <c r="C1416" s="58" t="n"/>
      <c r="D1416" s="58" t="n"/>
      <c r="E1416" s="64">
        <f>IF(tblCommentary[[#This Row],[Date]]="","",COUNTIFS(INDEX(tblCommentary[Date],1):tblCommentary[[#This Row],[Date]],tblCommentary[[#This Row],[Date]]))</f>
        <v/>
      </c>
      <c r="F1416" s="63">
        <f>IF(tblCommentary[[#This Row],[Date]]="","",tblCommentary[[#This Row],[Date]]&amp;"|"&amp;tblCommentary[[#This Row],[Seq_Day]])</f>
        <v/>
      </c>
    </row>
    <row r="1417">
      <c r="A1417" s="54" t="n"/>
      <c r="B1417" s="61" t="n"/>
      <c r="C1417" s="58" t="n"/>
      <c r="D1417" s="58" t="n"/>
      <c r="E1417" s="64">
        <f>IF(tblCommentary[[#This Row],[Date]]="","",COUNTIFS(INDEX(tblCommentary[Date],1):tblCommentary[[#This Row],[Date]],tblCommentary[[#This Row],[Date]]))</f>
        <v/>
      </c>
      <c r="F1417" s="63">
        <f>IF(tblCommentary[[#This Row],[Date]]="","",tblCommentary[[#This Row],[Date]]&amp;"|"&amp;tblCommentary[[#This Row],[Seq_Day]])</f>
        <v/>
      </c>
    </row>
    <row r="1418">
      <c r="A1418" s="54" t="n"/>
      <c r="B1418" s="61" t="n"/>
      <c r="C1418" s="58" t="n"/>
      <c r="D1418" s="58" t="n"/>
      <c r="E1418" s="64">
        <f>IF(tblCommentary[[#This Row],[Date]]="","",COUNTIFS(INDEX(tblCommentary[Date],1):tblCommentary[[#This Row],[Date]],tblCommentary[[#This Row],[Date]]))</f>
        <v/>
      </c>
      <c r="F1418" s="63">
        <f>IF(tblCommentary[[#This Row],[Date]]="","",tblCommentary[[#This Row],[Date]]&amp;"|"&amp;tblCommentary[[#This Row],[Seq_Day]])</f>
        <v/>
      </c>
    </row>
    <row r="1419">
      <c r="A1419" s="54" t="n"/>
      <c r="B1419" s="61" t="n"/>
      <c r="C1419" s="58" t="n"/>
      <c r="D1419" s="58" t="n"/>
      <c r="E1419" s="64">
        <f>IF(tblCommentary[[#This Row],[Date]]="","",COUNTIFS(INDEX(tblCommentary[Date],1):tblCommentary[[#This Row],[Date]],tblCommentary[[#This Row],[Date]]))</f>
        <v/>
      </c>
      <c r="F1419" s="63">
        <f>IF(tblCommentary[[#This Row],[Date]]="","",tblCommentary[[#This Row],[Date]]&amp;"|"&amp;tblCommentary[[#This Row],[Seq_Day]])</f>
        <v/>
      </c>
    </row>
    <row r="1420">
      <c r="A1420" s="54" t="n"/>
      <c r="B1420" s="61" t="n"/>
      <c r="C1420" s="58" t="n"/>
      <c r="D1420" s="58" t="n"/>
      <c r="E1420" s="64">
        <f>IF(tblCommentary[[#This Row],[Date]]="","",COUNTIFS(INDEX(tblCommentary[Date],1):tblCommentary[[#This Row],[Date]],tblCommentary[[#This Row],[Date]]))</f>
        <v/>
      </c>
      <c r="F1420" s="63">
        <f>IF(tblCommentary[[#This Row],[Date]]="","",tblCommentary[[#This Row],[Date]]&amp;"|"&amp;tblCommentary[[#This Row],[Seq_Day]])</f>
        <v/>
      </c>
    </row>
    <row r="1421">
      <c r="A1421" s="54" t="n"/>
      <c r="B1421" s="61" t="n"/>
      <c r="C1421" s="58" t="n"/>
      <c r="D1421" s="58" t="n"/>
      <c r="E1421" s="64">
        <f>IF(tblCommentary[[#This Row],[Date]]="","",COUNTIFS(INDEX(tblCommentary[Date],1):tblCommentary[[#This Row],[Date]],tblCommentary[[#This Row],[Date]]))</f>
        <v/>
      </c>
      <c r="F1421" s="63">
        <f>IF(tblCommentary[[#This Row],[Date]]="","",tblCommentary[[#This Row],[Date]]&amp;"|"&amp;tblCommentary[[#This Row],[Seq_Day]])</f>
        <v/>
      </c>
    </row>
    <row r="1422">
      <c r="A1422" s="54" t="n"/>
      <c r="B1422" s="61" t="n"/>
      <c r="C1422" s="58" t="n"/>
      <c r="D1422" s="58" t="n"/>
      <c r="E1422" s="64">
        <f>IF(tblCommentary[[#This Row],[Date]]="","",COUNTIFS(INDEX(tblCommentary[Date],1):tblCommentary[[#This Row],[Date]],tblCommentary[[#This Row],[Date]]))</f>
        <v/>
      </c>
      <c r="F1422" s="63">
        <f>IF(tblCommentary[[#This Row],[Date]]="","",tblCommentary[[#This Row],[Date]]&amp;"|"&amp;tblCommentary[[#This Row],[Seq_Day]])</f>
        <v/>
      </c>
    </row>
    <row r="1423">
      <c r="A1423" s="54" t="n"/>
      <c r="B1423" s="61" t="n"/>
      <c r="C1423" s="58" t="n"/>
      <c r="D1423" s="58" t="n"/>
      <c r="E1423" s="64">
        <f>IF(tblCommentary[[#This Row],[Date]]="","",COUNTIFS(INDEX(tblCommentary[Date],1):tblCommentary[[#This Row],[Date]],tblCommentary[[#This Row],[Date]]))</f>
        <v/>
      </c>
      <c r="F1423" s="63">
        <f>IF(tblCommentary[[#This Row],[Date]]="","",tblCommentary[[#This Row],[Date]]&amp;"|"&amp;tblCommentary[[#This Row],[Seq_Day]])</f>
        <v/>
      </c>
    </row>
    <row r="1424">
      <c r="A1424" s="54" t="n"/>
      <c r="B1424" s="61" t="n"/>
      <c r="C1424" s="58" t="n"/>
      <c r="D1424" s="58" t="n"/>
      <c r="E1424" s="64">
        <f>IF(tblCommentary[[#This Row],[Date]]="","",COUNTIFS(INDEX(tblCommentary[Date],1):tblCommentary[[#This Row],[Date]],tblCommentary[[#This Row],[Date]]))</f>
        <v/>
      </c>
      <c r="F1424" s="63">
        <f>IF(tblCommentary[[#This Row],[Date]]="","",tblCommentary[[#This Row],[Date]]&amp;"|"&amp;tblCommentary[[#This Row],[Seq_Day]])</f>
        <v/>
      </c>
    </row>
    <row r="1425">
      <c r="A1425" s="54" t="n"/>
      <c r="B1425" s="61" t="n"/>
      <c r="C1425" s="58" t="n"/>
      <c r="D1425" s="58" t="n"/>
      <c r="E1425" s="64">
        <f>IF(tblCommentary[[#This Row],[Date]]="","",COUNTIFS(INDEX(tblCommentary[Date],1):tblCommentary[[#This Row],[Date]],tblCommentary[[#This Row],[Date]]))</f>
        <v/>
      </c>
      <c r="F1425" s="63">
        <f>IF(tblCommentary[[#This Row],[Date]]="","",tblCommentary[[#This Row],[Date]]&amp;"|"&amp;tblCommentary[[#This Row],[Seq_Day]])</f>
        <v/>
      </c>
    </row>
    <row r="1426">
      <c r="A1426" s="54" t="n"/>
      <c r="B1426" s="61" t="n"/>
      <c r="C1426" s="58" t="n"/>
      <c r="D1426" s="58" t="n"/>
      <c r="E1426" s="64">
        <f>IF(tblCommentary[[#This Row],[Date]]="","",COUNTIFS(INDEX(tblCommentary[Date],1):tblCommentary[[#This Row],[Date]],tblCommentary[[#This Row],[Date]]))</f>
        <v/>
      </c>
      <c r="F1426" s="63">
        <f>IF(tblCommentary[[#This Row],[Date]]="","",tblCommentary[[#This Row],[Date]]&amp;"|"&amp;tblCommentary[[#This Row],[Seq_Day]])</f>
        <v/>
      </c>
    </row>
    <row r="1427">
      <c r="A1427" s="54" t="n"/>
      <c r="B1427" s="61" t="n"/>
      <c r="C1427" s="58" t="n"/>
      <c r="D1427" s="58" t="n"/>
      <c r="E1427" s="64">
        <f>IF(tblCommentary[[#This Row],[Date]]="","",COUNTIFS(INDEX(tblCommentary[Date],1):tblCommentary[[#This Row],[Date]],tblCommentary[[#This Row],[Date]]))</f>
        <v/>
      </c>
      <c r="F1427" s="63">
        <f>IF(tblCommentary[[#This Row],[Date]]="","",tblCommentary[[#This Row],[Date]]&amp;"|"&amp;tblCommentary[[#This Row],[Seq_Day]])</f>
        <v/>
      </c>
    </row>
    <row r="1428">
      <c r="A1428" s="54" t="n"/>
      <c r="B1428" s="61" t="n"/>
      <c r="C1428" s="58" t="n"/>
      <c r="D1428" s="58" t="n"/>
      <c r="E1428" s="64">
        <f>IF(tblCommentary[[#This Row],[Date]]="","",COUNTIFS(INDEX(tblCommentary[Date],1):tblCommentary[[#This Row],[Date]],tblCommentary[[#This Row],[Date]]))</f>
        <v/>
      </c>
      <c r="F1428" s="63">
        <f>IF(tblCommentary[[#This Row],[Date]]="","",tblCommentary[[#This Row],[Date]]&amp;"|"&amp;tblCommentary[[#This Row],[Seq_Day]])</f>
        <v/>
      </c>
    </row>
    <row r="1429">
      <c r="A1429" s="54" t="n"/>
      <c r="B1429" s="61" t="n"/>
      <c r="C1429" s="58" t="n"/>
      <c r="D1429" s="58" t="n"/>
      <c r="E1429" s="64">
        <f>IF(tblCommentary[[#This Row],[Date]]="","",COUNTIFS(INDEX(tblCommentary[Date],1):tblCommentary[[#This Row],[Date]],tblCommentary[[#This Row],[Date]]))</f>
        <v/>
      </c>
      <c r="F1429" s="63">
        <f>IF(tblCommentary[[#This Row],[Date]]="","",tblCommentary[[#This Row],[Date]]&amp;"|"&amp;tblCommentary[[#This Row],[Seq_Day]])</f>
        <v/>
      </c>
    </row>
    <row r="1430">
      <c r="A1430" s="54" t="n"/>
      <c r="B1430" s="61" t="n"/>
      <c r="C1430" s="58" t="n"/>
      <c r="D1430" s="58" t="n"/>
      <c r="E1430" s="64">
        <f>IF(tblCommentary[[#This Row],[Date]]="","",COUNTIFS(INDEX(tblCommentary[Date],1):tblCommentary[[#This Row],[Date]],tblCommentary[[#This Row],[Date]]))</f>
        <v/>
      </c>
      <c r="F1430" s="63">
        <f>IF(tblCommentary[[#This Row],[Date]]="","",tblCommentary[[#This Row],[Date]]&amp;"|"&amp;tblCommentary[[#This Row],[Seq_Day]])</f>
        <v/>
      </c>
    </row>
    <row r="1431">
      <c r="A1431" s="54" t="n"/>
      <c r="B1431" s="61" t="n"/>
      <c r="C1431" s="58" t="n"/>
      <c r="D1431" s="58" t="n"/>
      <c r="E1431" s="64">
        <f>IF(tblCommentary[[#This Row],[Date]]="","",COUNTIFS(INDEX(tblCommentary[Date],1):tblCommentary[[#This Row],[Date]],tblCommentary[[#This Row],[Date]]))</f>
        <v/>
      </c>
      <c r="F1431" s="63">
        <f>IF(tblCommentary[[#This Row],[Date]]="","",tblCommentary[[#This Row],[Date]]&amp;"|"&amp;tblCommentary[[#This Row],[Seq_Day]])</f>
        <v/>
      </c>
    </row>
    <row r="1432">
      <c r="A1432" s="54" t="n"/>
      <c r="B1432" s="61" t="n"/>
      <c r="C1432" s="58" t="n"/>
      <c r="D1432" s="58" t="n"/>
      <c r="E1432" s="64">
        <f>IF(tblCommentary[[#This Row],[Date]]="","",COUNTIFS(INDEX(tblCommentary[Date],1):tblCommentary[[#This Row],[Date]],tblCommentary[[#This Row],[Date]]))</f>
        <v/>
      </c>
      <c r="F1432" s="63">
        <f>IF(tblCommentary[[#This Row],[Date]]="","",tblCommentary[[#This Row],[Date]]&amp;"|"&amp;tblCommentary[[#This Row],[Seq_Day]])</f>
        <v/>
      </c>
    </row>
    <row r="1433">
      <c r="A1433" s="54" t="n"/>
      <c r="B1433" s="61" t="n"/>
      <c r="C1433" s="58" t="n"/>
      <c r="D1433" s="58" t="n"/>
      <c r="E1433" s="64">
        <f>IF(tblCommentary[[#This Row],[Date]]="","",COUNTIFS(INDEX(tblCommentary[Date],1):tblCommentary[[#This Row],[Date]],tblCommentary[[#This Row],[Date]]))</f>
        <v/>
      </c>
      <c r="F1433" s="63">
        <f>IF(tblCommentary[[#This Row],[Date]]="","",tblCommentary[[#This Row],[Date]]&amp;"|"&amp;tblCommentary[[#This Row],[Seq_Day]])</f>
        <v/>
      </c>
    </row>
    <row r="1434">
      <c r="A1434" s="54" t="n"/>
      <c r="B1434" s="61" t="n"/>
      <c r="C1434" s="58" t="n"/>
      <c r="D1434" s="58" t="n"/>
      <c r="E1434" s="64">
        <f>IF(tblCommentary[[#This Row],[Date]]="","",COUNTIFS(INDEX(tblCommentary[Date],1):tblCommentary[[#This Row],[Date]],tblCommentary[[#This Row],[Date]]))</f>
        <v/>
      </c>
      <c r="F1434" s="63">
        <f>IF(tblCommentary[[#This Row],[Date]]="","",tblCommentary[[#This Row],[Date]]&amp;"|"&amp;tblCommentary[[#This Row],[Seq_Day]])</f>
        <v/>
      </c>
    </row>
    <row r="1435">
      <c r="A1435" s="54" t="n"/>
      <c r="B1435" s="61" t="n"/>
      <c r="C1435" s="58" t="n"/>
      <c r="D1435" s="58" t="n"/>
      <c r="E1435" s="64">
        <f>IF(tblCommentary[[#This Row],[Date]]="","",COUNTIFS(INDEX(tblCommentary[Date],1):tblCommentary[[#This Row],[Date]],tblCommentary[[#This Row],[Date]]))</f>
        <v/>
      </c>
      <c r="F1435" s="63">
        <f>IF(tblCommentary[[#This Row],[Date]]="","",tblCommentary[[#This Row],[Date]]&amp;"|"&amp;tblCommentary[[#This Row],[Seq_Day]])</f>
        <v/>
      </c>
    </row>
    <row r="1436">
      <c r="A1436" s="54" t="n"/>
      <c r="B1436" s="61" t="n"/>
      <c r="C1436" s="58" t="n"/>
      <c r="D1436" s="58" t="n"/>
      <c r="E1436" s="64">
        <f>IF(tblCommentary[[#This Row],[Date]]="","",COUNTIFS(INDEX(tblCommentary[Date],1):tblCommentary[[#This Row],[Date]],tblCommentary[[#This Row],[Date]]))</f>
        <v/>
      </c>
      <c r="F1436" s="63">
        <f>IF(tblCommentary[[#This Row],[Date]]="","",tblCommentary[[#This Row],[Date]]&amp;"|"&amp;tblCommentary[[#This Row],[Seq_Day]])</f>
        <v/>
      </c>
    </row>
    <row r="1437">
      <c r="A1437" s="54" t="n"/>
      <c r="B1437" s="61" t="n"/>
      <c r="C1437" s="58" t="n"/>
      <c r="D1437" s="58" t="n"/>
      <c r="E1437" s="64">
        <f>IF(tblCommentary[[#This Row],[Date]]="","",COUNTIFS(INDEX(tblCommentary[Date],1):tblCommentary[[#This Row],[Date]],tblCommentary[[#This Row],[Date]]))</f>
        <v/>
      </c>
      <c r="F1437" s="63">
        <f>IF(tblCommentary[[#This Row],[Date]]="","",tblCommentary[[#This Row],[Date]]&amp;"|"&amp;tblCommentary[[#This Row],[Seq_Day]])</f>
        <v/>
      </c>
    </row>
    <row r="1438">
      <c r="A1438" s="54" t="n"/>
      <c r="B1438" s="61" t="n"/>
      <c r="C1438" s="58" t="n"/>
      <c r="D1438" s="58" t="n"/>
      <c r="E1438" s="64">
        <f>IF(tblCommentary[[#This Row],[Date]]="","",COUNTIFS(INDEX(tblCommentary[Date],1):tblCommentary[[#This Row],[Date]],tblCommentary[[#This Row],[Date]]))</f>
        <v/>
      </c>
      <c r="F1438" s="63">
        <f>IF(tblCommentary[[#This Row],[Date]]="","",tblCommentary[[#This Row],[Date]]&amp;"|"&amp;tblCommentary[[#This Row],[Seq_Day]])</f>
        <v/>
      </c>
    </row>
    <row r="1439">
      <c r="A1439" s="54" t="n"/>
      <c r="B1439" s="61" t="n"/>
      <c r="C1439" s="58" t="n"/>
      <c r="D1439" s="58" t="n"/>
      <c r="E1439" s="64">
        <f>IF(tblCommentary[[#This Row],[Date]]="","",COUNTIFS(INDEX(tblCommentary[Date],1):tblCommentary[[#This Row],[Date]],tblCommentary[[#This Row],[Date]]))</f>
        <v/>
      </c>
      <c r="F1439" s="63">
        <f>IF(tblCommentary[[#This Row],[Date]]="","",tblCommentary[[#This Row],[Date]]&amp;"|"&amp;tblCommentary[[#This Row],[Seq_Day]])</f>
        <v/>
      </c>
    </row>
    <row r="1440">
      <c r="A1440" s="54" t="n"/>
      <c r="B1440" s="61" t="n"/>
      <c r="C1440" s="58" t="n"/>
      <c r="D1440" s="58" t="n"/>
      <c r="E1440" s="64">
        <f>IF(tblCommentary[[#This Row],[Date]]="","",COUNTIFS(INDEX(tblCommentary[Date],1):tblCommentary[[#This Row],[Date]],tblCommentary[[#This Row],[Date]]))</f>
        <v/>
      </c>
      <c r="F1440" s="63">
        <f>IF(tblCommentary[[#This Row],[Date]]="","",tblCommentary[[#This Row],[Date]]&amp;"|"&amp;tblCommentary[[#This Row],[Seq_Day]])</f>
        <v/>
      </c>
    </row>
    <row r="1441">
      <c r="A1441" s="54" t="n"/>
      <c r="B1441" s="61" t="n"/>
      <c r="C1441" s="58" t="n"/>
      <c r="D1441" s="58" t="n"/>
      <c r="E1441" s="64">
        <f>IF(tblCommentary[[#This Row],[Date]]="","",COUNTIFS(INDEX(tblCommentary[Date],1):tblCommentary[[#This Row],[Date]],tblCommentary[[#This Row],[Date]]))</f>
        <v/>
      </c>
      <c r="F1441" s="63">
        <f>IF(tblCommentary[[#This Row],[Date]]="","",tblCommentary[[#This Row],[Date]]&amp;"|"&amp;tblCommentary[[#This Row],[Seq_Day]])</f>
        <v/>
      </c>
    </row>
    <row r="1442">
      <c r="A1442" s="54" t="n"/>
      <c r="B1442" s="61" t="n"/>
      <c r="C1442" s="58" t="n"/>
      <c r="D1442" s="58" t="n"/>
      <c r="E1442" s="64">
        <f>IF(tblCommentary[[#This Row],[Date]]="","",COUNTIFS(INDEX(tblCommentary[Date],1):tblCommentary[[#This Row],[Date]],tblCommentary[[#This Row],[Date]]))</f>
        <v/>
      </c>
      <c r="F1442" s="63">
        <f>IF(tblCommentary[[#This Row],[Date]]="","",tblCommentary[[#This Row],[Date]]&amp;"|"&amp;tblCommentary[[#This Row],[Seq_Day]])</f>
        <v/>
      </c>
    </row>
    <row r="1443">
      <c r="A1443" s="54" t="n"/>
      <c r="B1443" s="61" t="n"/>
      <c r="C1443" s="58" t="n"/>
      <c r="D1443" s="58" t="n"/>
      <c r="E1443" s="64">
        <f>IF(tblCommentary[[#This Row],[Date]]="","",COUNTIFS(INDEX(tblCommentary[Date],1):tblCommentary[[#This Row],[Date]],tblCommentary[[#This Row],[Date]]))</f>
        <v/>
      </c>
      <c r="F1443" s="63">
        <f>IF(tblCommentary[[#This Row],[Date]]="","",tblCommentary[[#This Row],[Date]]&amp;"|"&amp;tblCommentary[[#This Row],[Seq_Day]])</f>
        <v/>
      </c>
    </row>
    <row r="1444">
      <c r="A1444" s="54" t="n"/>
      <c r="B1444" s="61" t="n"/>
      <c r="C1444" s="58" t="n"/>
      <c r="D1444" s="58" t="n"/>
      <c r="E1444" s="64">
        <f>IF(tblCommentary[[#This Row],[Date]]="","",COUNTIFS(INDEX(tblCommentary[Date],1):tblCommentary[[#This Row],[Date]],tblCommentary[[#This Row],[Date]]))</f>
        <v/>
      </c>
      <c r="F1444" s="63">
        <f>IF(tblCommentary[[#This Row],[Date]]="","",tblCommentary[[#This Row],[Date]]&amp;"|"&amp;tblCommentary[[#This Row],[Seq_Day]])</f>
        <v/>
      </c>
    </row>
    <row r="1445">
      <c r="A1445" s="54" t="n"/>
      <c r="B1445" s="61" t="n"/>
      <c r="C1445" s="58" t="n"/>
      <c r="D1445" s="58" t="n"/>
      <c r="E1445" s="64">
        <f>IF(tblCommentary[[#This Row],[Date]]="","",COUNTIFS(INDEX(tblCommentary[Date],1):tblCommentary[[#This Row],[Date]],tblCommentary[[#This Row],[Date]]))</f>
        <v/>
      </c>
      <c r="F1445" s="63">
        <f>IF(tblCommentary[[#This Row],[Date]]="","",tblCommentary[[#This Row],[Date]]&amp;"|"&amp;tblCommentary[[#This Row],[Seq_Day]])</f>
        <v/>
      </c>
    </row>
    <row r="1446">
      <c r="A1446" s="54" t="n"/>
      <c r="B1446" s="61" t="n"/>
      <c r="C1446" s="58" t="n"/>
      <c r="D1446" s="58" t="n"/>
      <c r="E1446" s="64">
        <f>IF(tblCommentary[[#This Row],[Date]]="","",COUNTIFS(INDEX(tblCommentary[Date],1):tblCommentary[[#This Row],[Date]],tblCommentary[[#This Row],[Date]]))</f>
        <v/>
      </c>
      <c r="F1446" s="63">
        <f>IF(tblCommentary[[#This Row],[Date]]="","",tblCommentary[[#This Row],[Date]]&amp;"|"&amp;tblCommentary[[#This Row],[Seq_Day]])</f>
        <v/>
      </c>
    </row>
    <row r="1447">
      <c r="A1447" s="54" t="n"/>
      <c r="B1447" s="61" t="n"/>
      <c r="C1447" s="58" t="n"/>
      <c r="D1447" s="58" t="n"/>
      <c r="E1447" s="64">
        <f>IF(tblCommentary[[#This Row],[Date]]="","",COUNTIFS(INDEX(tblCommentary[Date],1):tblCommentary[[#This Row],[Date]],tblCommentary[[#This Row],[Date]]))</f>
        <v/>
      </c>
      <c r="F1447" s="63">
        <f>IF(tblCommentary[[#This Row],[Date]]="","",tblCommentary[[#This Row],[Date]]&amp;"|"&amp;tblCommentary[[#This Row],[Seq_Day]])</f>
        <v/>
      </c>
    </row>
    <row r="1448">
      <c r="A1448" s="54" t="n"/>
      <c r="B1448" s="61" t="n"/>
      <c r="C1448" s="58" t="n"/>
      <c r="D1448" s="58" t="n"/>
      <c r="E1448" s="64">
        <f>IF(tblCommentary[[#This Row],[Date]]="","",COUNTIFS(INDEX(tblCommentary[Date],1):tblCommentary[[#This Row],[Date]],tblCommentary[[#This Row],[Date]]))</f>
        <v/>
      </c>
      <c r="F1448" s="63">
        <f>IF(tblCommentary[[#This Row],[Date]]="","",tblCommentary[[#This Row],[Date]]&amp;"|"&amp;tblCommentary[[#This Row],[Seq_Day]])</f>
        <v/>
      </c>
    </row>
    <row r="1449">
      <c r="A1449" s="54" t="n"/>
      <c r="B1449" s="61" t="n"/>
      <c r="C1449" s="58" t="n"/>
      <c r="D1449" s="58" t="n"/>
      <c r="E1449" s="64">
        <f>IF(tblCommentary[[#This Row],[Date]]="","",COUNTIFS(INDEX(tblCommentary[Date],1):tblCommentary[[#This Row],[Date]],tblCommentary[[#This Row],[Date]]))</f>
        <v/>
      </c>
      <c r="F1449" s="63">
        <f>IF(tblCommentary[[#This Row],[Date]]="","",tblCommentary[[#This Row],[Date]]&amp;"|"&amp;tblCommentary[[#This Row],[Seq_Day]])</f>
        <v/>
      </c>
    </row>
    <row r="1450">
      <c r="A1450" s="54" t="n"/>
      <c r="B1450" s="61" t="n"/>
      <c r="C1450" s="58" t="n"/>
      <c r="D1450" s="58" t="n"/>
      <c r="E1450" s="64">
        <f>IF(tblCommentary[[#This Row],[Date]]="","",COUNTIFS(INDEX(tblCommentary[Date],1):tblCommentary[[#This Row],[Date]],tblCommentary[[#This Row],[Date]]))</f>
        <v/>
      </c>
      <c r="F1450" s="63">
        <f>IF(tblCommentary[[#This Row],[Date]]="","",tblCommentary[[#This Row],[Date]]&amp;"|"&amp;tblCommentary[[#This Row],[Seq_Day]])</f>
        <v/>
      </c>
    </row>
    <row r="1451">
      <c r="A1451" s="54" t="n"/>
      <c r="B1451" s="61" t="n"/>
      <c r="C1451" s="58" t="n"/>
      <c r="D1451" s="58" t="n"/>
      <c r="E1451" s="64">
        <f>IF(tblCommentary[[#This Row],[Date]]="","",COUNTIFS(INDEX(tblCommentary[Date],1):tblCommentary[[#This Row],[Date]],tblCommentary[[#This Row],[Date]]))</f>
        <v/>
      </c>
      <c r="F1451" s="63">
        <f>IF(tblCommentary[[#This Row],[Date]]="","",tblCommentary[[#This Row],[Date]]&amp;"|"&amp;tblCommentary[[#This Row],[Seq_Day]])</f>
        <v/>
      </c>
    </row>
    <row r="1452">
      <c r="A1452" s="54" t="n"/>
      <c r="B1452" s="61" t="n"/>
      <c r="C1452" s="58" t="n"/>
      <c r="D1452" s="58" t="n"/>
      <c r="E1452" s="64">
        <f>IF(tblCommentary[[#This Row],[Date]]="","",COUNTIFS(INDEX(tblCommentary[Date],1):tblCommentary[[#This Row],[Date]],tblCommentary[[#This Row],[Date]]))</f>
        <v/>
      </c>
      <c r="F1452" s="63">
        <f>IF(tblCommentary[[#This Row],[Date]]="","",tblCommentary[[#This Row],[Date]]&amp;"|"&amp;tblCommentary[[#This Row],[Seq_Day]])</f>
        <v/>
      </c>
    </row>
    <row r="1453">
      <c r="A1453" s="54" t="n"/>
      <c r="B1453" s="61" t="n"/>
      <c r="C1453" s="58" t="n"/>
      <c r="D1453" s="58" t="n"/>
      <c r="E1453" s="64">
        <f>IF(tblCommentary[[#This Row],[Date]]="","",COUNTIFS(INDEX(tblCommentary[Date],1):tblCommentary[[#This Row],[Date]],tblCommentary[[#This Row],[Date]]))</f>
        <v/>
      </c>
      <c r="F1453" s="63">
        <f>IF(tblCommentary[[#This Row],[Date]]="","",tblCommentary[[#This Row],[Date]]&amp;"|"&amp;tblCommentary[[#This Row],[Seq_Day]])</f>
        <v/>
      </c>
    </row>
    <row r="1454">
      <c r="A1454" s="54" t="n"/>
      <c r="B1454" s="61" t="n"/>
      <c r="C1454" s="58" t="n"/>
      <c r="D1454" s="58" t="n"/>
      <c r="E1454" s="64">
        <f>IF(tblCommentary[[#This Row],[Date]]="","",COUNTIFS(INDEX(tblCommentary[Date],1):tblCommentary[[#This Row],[Date]],tblCommentary[[#This Row],[Date]]))</f>
        <v/>
      </c>
      <c r="F1454" s="63">
        <f>IF(tblCommentary[[#This Row],[Date]]="","",tblCommentary[[#This Row],[Date]]&amp;"|"&amp;tblCommentary[[#This Row],[Seq_Day]])</f>
        <v/>
      </c>
    </row>
    <row r="1455">
      <c r="A1455" s="54" t="n"/>
      <c r="B1455" s="61" t="n"/>
      <c r="C1455" s="58" t="n"/>
      <c r="D1455" s="58" t="n"/>
      <c r="E1455" s="64">
        <f>IF(tblCommentary[[#This Row],[Date]]="","",COUNTIFS(INDEX(tblCommentary[Date],1):tblCommentary[[#This Row],[Date]],tblCommentary[[#This Row],[Date]]))</f>
        <v/>
      </c>
      <c r="F1455" s="63">
        <f>IF(tblCommentary[[#This Row],[Date]]="","",tblCommentary[[#This Row],[Date]]&amp;"|"&amp;tblCommentary[[#This Row],[Seq_Day]])</f>
        <v/>
      </c>
    </row>
    <row r="1456">
      <c r="A1456" s="54" t="n"/>
      <c r="B1456" s="61" t="n"/>
      <c r="C1456" s="58" t="n"/>
      <c r="D1456" s="58" t="n"/>
      <c r="E1456" s="64">
        <f>IF(tblCommentary[[#This Row],[Date]]="","",COUNTIFS(INDEX(tblCommentary[Date],1):tblCommentary[[#This Row],[Date]],tblCommentary[[#This Row],[Date]]))</f>
        <v/>
      </c>
      <c r="F1456" s="63">
        <f>IF(tblCommentary[[#This Row],[Date]]="","",tblCommentary[[#This Row],[Date]]&amp;"|"&amp;tblCommentary[[#This Row],[Seq_Day]])</f>
        <v/>
      </c>
    </row>
    <row r="1457">
      <c r="A1457" s="54" t="n"/>
      <c r="B1457" s="61" t="n"/>
      <c r="C1457" s="58" t="n"/>
      <c r="D1457" s="58" t="n"/>
      <c r="E1457" s="64">
        <f>IF(tblCommentary[[#This Row],[Date]]="","",COUNTIFS(INDEX(tblCommentary[Date],1):tblCommentary[[#This Row],[Date]],tblCommentary[[#This Row],[Date]]))</f>
        <v/>
      </c>
      <c r="F1457" s="63">
        <f>IF(tblCommentary[[#This Row],[Date]]="","",tblCommentary[[#This Row],[Date]]&amp;"|"&amp;tblCommentary[[#This Row],[Seq_Day]])</f>
        <v/>
      </c>
    </row>
    <row r="1458">
      <c r="A1458" s="54" t="n"/>
      <c r="B1458" s="61" t="n"/>
      <c r="C1458" s="58" t="n"/>
      <c r="D1458" s="58" t="n"/>
      <c r="E1458" s="64">
        <f>IF(tblCommentary[[#This Row],[Date]]="","",COUNTIFS(INDEX(tblCommentary[Date],1):tblCommentary[[#This Row],[Date]],tblCommentary[[#This Row],[Date]]))</f>
        <v/>
      </c>
      <c r="F1458" s="63">
        <f>IF(tblCommentary[[#This Row],[Date]]="","",tblCommentary[[#This Row],[Date]]&amp;"|"&amp;tblCommentary[[#This Row],[Seq_Day]])</f>
        <v/>
      </c>
    </row>
    <row r="1459">
      <c r="A1459" s="54" t="n"/>
      <c r="B1459" s="61" t="n"/>
      <c r="C1459" s="58" t="n"/>
      <c r="D1459" s="58" t="n"/>
      <c r="E1459" s="64">
        <f>IF(tblCommentary[[#This Row],[Date]]="","",COUNTIFS(INDEX(tblCommentary[Date],1):tblCommentary[[#This Row],[Date]],tblCommentary[[#This Row],[Date]]))</f>
        <v/>
      </c>
      <c r="F1459" s="63">
        <f>IF(tblCommentary[[#This Row],[Date]]="","",tblCommentary[[#This Row],[Date]]&amp;"|"&amp;tblCommentary[[#This Row],[Seq_Day]])</f>
        <v/>
      </c>
    </row>
    <row r="1460">
      <c r="A1460" s="54" t="n"/>
      <c r="B1460" s="61" t="n"/>
      <c r="C1460" s="58" t="n"/>
      <c r="D1460" s="58" t="n"/>
      <c r="E1460" s="64">
        <f>IF(tblCommentary[[#This Row],[Date]]="","",COUNTIFS(INDEX(tblCommentary[Date],1):tblCommentary[[#This Row],[Date]],tblCommentary[[#This Row],[Date]]))</f>
        <v/>
      </c>
      <c r="F1460" s="63">
        <f>IF(tblCommentary[[#This Row],[Date]]="","",tblCommentary[[#This Row],[Date]]&amp;"|"&amp;tblCommentary[[#This Row],[Seq_Day]])</f>
        <v/>
      </c>
    </row>
    <row r="1461">
      <c r="A1461" s="54" t="n"/>
      <c r="B1461" s="61" t="n"/>
      <c r="C1461" s="58" t="n"/>
      <c r="D1461" s="58" t="n"/>
      <c r="E1461" s="64">
        <f>IF(tblCommentary[[#This Row],[Date]]="","",COUNTIFS(INDEX(tblCommentary[Date],1):tblCommentary[[#This Row],[Date]],tblCommentary[[#This Row],[Date]]))</f>
        <v/>
      </c>
      <c r="F1461" s="63">
        <f>IF(tblCommentary[[#This Row],[Date]]="","",tblCommentary[[#This Row],[Date]]&amp;"|"&amp;tblCommentary[[#This Row],[Seq_Day]])</f>
        <v/>
      </c>
    </row>
    <row r="1462">
      <c r="A1462" s="54" t="n"/>
      <c r="B1462" s="61" t="n"/>
      <c r="C1462" s="58" t="n"/>
      <c r="D1462" s="58" t="n"/>
      <c r="E1462" s="64">
        <f>IF(tblCommentary[[#This Row],[Date]]="","",COUNTIFS(INDEX(tblCommentary[Date],1):tblCommentary[[#This Row],[Date]],tblCommentary[[#This Row],[Date]]))</f>
        <v/>
      </c>
      <c r="F1462" s="63">
        <f>IF(tblCommentary[[#This Row],[Date]]="","",tblCommentary[[#This Row],[Date]]&amp;"|"&amp;tblCommentary[[#This Row],[Seq_Day]])</f>
        <v/>
      </c>
    </row>
    <row r="1463">
      <c r="A1463" s="54" t="n"/>
      <c r="B1463" s="61" t="n"/>
      <c r="C1463" s="58" t="n"/>
      <c r="D1463" s="58" t="n"/>
      <c r="E1463" s="64">
        <f>IF(tblCommentary[[#This Row],[Date]]="","",COUNTIFS(INDEX(tblCommentary[Date],1):tblCommentary[[#This Row],[Date]],tblCommentary[[#This Row],[Date]]))</f>
        <v/>
      </c>
      <c r="F1463" s="63">
        <f>IF(tblCommentary[[#This Row],[Date]]="","",tblCommentary[[#This Row],[Date]]&amp;"|"&amp;tblCommentary[[#This Row],[Seq_Day]])</f>
        <v/>
      </c>
    </row>
    <row r="1464">
      <c r="A1464" s="54" t="n"/>
      <c r="B1464" s="61" t="n"/>
      <c r="C1464" s="58" t="n"/>
      <c r="D1464" s="58" t="n"/>
      <c r="E1464" s="64">
        <f>IF(tblCommentary[[#This Row],[Date]]="","",COUNTIFS(INDEX(tblCommentary[Date],1):tblCommentary[[#This Row],[Date]],tblCommentary[[#This Row],[Date]]))</f>
        <v/>
      </c>
      <c r="F1464" s="63">
        <f>IF(tblCommentary[[#This Row],[Date]]="","",tblCommentary[[#This Row],[Date]]&amp;"|"&amp;tblCommentary[[#This Row],[Seq_Day]])</f>
        <v/>
      </c>
    </row>
    <row r="1465">
      <c r="A1465" s="54" t="n"/>
      <c r="B1465" s="61" t="n"/>
      <c r="C1465" s="58" t="n"/>
      <c r="D1465" s="58" t="n"/>
      <c r="E1465" s="64">
        <f>IF(tblCommentary[[#This Row],[Date]]="","",COUNTIFS(INDEX(tblCommentary[Date],1):tblCommentary[[#This Row],[Date]],tblCommentary[[#This Row],[Date]]))</f>
        <v/>
      </c>
      <c r="F1465" s="63">
        <f>IF(tblCommentary[[#This Row],[Date]]="","",tblCommentary[[#This Row],[Date]]&amp;"|"&amp;tblCommentary[[#This Row],[Seq_Day]])</f>
        <v/>
      </c>
    </row>
    <row r="1466">
      <c r="A1466" s="54" t="n"/>
      <c r="B1466" s="61" t="n"/>
      <c r="C1466" s="58" t="n"/>
      <c r="D1466" s="58" t="n"/>
      <c r="E1466" s="64">
        <f>IF(tblCommentary[[#This Row],[Date]]="","",COUNTIFS(INDEX(tblCommentary[Date],1):tblCommentary[[#This Row],[Date]],tblCommentary[[#This Row],[Date]]))</f>
        <v/>
      </c>
      <c r="F1466" s="63">
        <f>IF(tblCommentary[[#This Row],[Date]]="","",tblCommentary[[#This Row],[Date]]&amp;"|"&amp;tblCommentary[[#This Row],[Seq_Day]])</f>
        <v/>
      </c>
    </row>
    <row r="1467">
      <c r="A1467" s="54" t="n"/>
      <c r="B1467" s="61" t="n"/>
      <c r="C1467" s="58" t="n"/>
      <c r="D1467" s="58" t="n"/>
      <c r="E1467" s="64">
        <f>IF(tblCommentary[[#This Row],[Date]]="","",COUNTIFS(INDEX(tblCommentary[Date],1):tblCommentary[[#This Row],[Date]],tblCommentary[[#This Row],[Date]]))</f>
        <v/>
      </c>
      <c r="F1467" s="63">
        <f>IF(tblCommentary[[#This Row],[Date]]="","",tblCommentary[[#This Row],[Date]]&amp;"|"&amp;tblCommentary[[#This Row],[Seq_Day]])</f>
        <v/>
      </c>
    </row>
    <row r="1468">
      <c r="A1468" s="54" t="n"/>
      <c r="B1468" s="61" t="n"/>
      <c r="C1468" s="58" t="n"/>
      <c r="D1468" s="58" t="n"/>
      <c r="E1468" s="64">
        <f>IF(tblCommentary[[#This Row],[Date]]="","",COUNTIFS(INDEX(tblCommentary[Date],1):tblCommentary[[#This Row],[Date]],tblCommentary[[#This Row],[Date]]))</f>
        <v/>
      </c>
      <c r="F1468" s="63">
        <f>IF(tblCommentary[[#This Row],[Date]]="","",tblCommentary[[#This Row],[Date]]&amp;"|"&amp;tblCommentary[[#This Row],[Seq_Day]])</f>
        <v/>
      </c>
    </row>
    <row r="1469">
      <c r="A1469" s="54" t="n"/>
      <c r="B1469" s="61" t="n"/>
      <c r="C1469" s="58" t="n"/>
      <c r="D1469" s="58" t="n"/>
      <c r="E1469" s="64">
        <f>IF(tblCommentary[[#This Row],[Date]]="","",COUNTIFS(INDEX(tblCommentary[Date],1):tblCommentary[[#This Row],[Date]],tblCommentary[[#This Row],[Date]]))</f>
        <v/>
      </c>
      <c r="F1469" s="63">
        <f>IF(tblCommentary[[#This Row],[Date]]="","",tblCommentary[[#This Row],[Date]]&amp;"|"&amp;tblCommentary[[#This Row],[Seq_Day]])</f>
        <v/>
      </c>
    </row>
    <row r="1470">
      <c r="A1470" s="54" t="n"/>
      <c r="B1470" s="61" t="n"/>
      <c r="C1470" s="58" t="n"/>
      <c r="D1470" s="58" t="n"/>
      <c r="E1470" s="64">
        <f>IF(tblCommentary[[#This Row],[Date]]="","",COUNTIFS(INDEX(tblCommentary[Date],1):tblCommentary[[#This Row],[Date]],tblCommentary[[#This Row],[Date]]))</f>
        <v/>
      </c>
      <c r="F1470" s="63">
        <f>IF(tblCommentary[[#This Row],[Date]]="","",tblCommentary[[#This Row],[Date]]&amp;"|"&amp;tblCommentary[[#This Row],[Seq_Day]])</f>
        <v/>
      </c>
    </row>
    <row r="1471">
      <c r="A1471" s="54" t="n"/>
      <c r="B1471" s="61" t="n"/>
      <c r="C1471" s="58" t="n"/>
      <c r="D1471" s="58" t="n"/>
      <c r="E1471" s="64">
        <f>IF(tblCommentary[[#This Row],[Date]]="","",COUNTIFS(INDEX(tblCommentary[Date],1):tblCommentary[[#This Row],[Date]],tblCommentary[[#This Row],[Date]]))</f>
        <v/>
      </c>
      <c r="F1471" s="63">
        <f>IF(tblCommentary[[#This Row],[Date]]="","",tblCommentary[[#This Row],[Date]]&amp;"|"&amp;tblCommentary[[#This Row],[Seq_Day]])</f>
        <v/>
      </c>
    </row>
    <row r="1472">
      <c r="A1472" s="54" t="n"/>
      <c r="B1472" s="61" t="n"/>
      <c r="C1472" s="58" t="n"/>
      <c r="D1472" s="58" t="n"/>
      <c r="E1472" s="64">
        <f>IF(tblCommentary[[#This Row],[Date]]="","",COUNTIFS(INDEX(tblCommentary[Date],1):tblCommentary[[#This Row],[Date]],tblCommentary[[#This Row],[Date]]))</f>
        <v/>
      </c>
      <c r="F1472" s="63">
        <f>IF(tblCommentary[[#This Row],[Date]]="","",tblCommentary[[#This Row],[Date]]&amp;"|"&amp;tblCommentary[[#This Row],[Seq_Day]])</f>
        <v/>
      </c>
    </row>
    <row r="1473">
      <c r="A1473" s="54" t="n"/>
      <c r="B1473" s="61" t="n"/>
      <c r="C1473" s="58" t="n"/>
      <c r="D1473" s="58" t="n"/>
      <c r="E1473" s="64">
        <f>IF(tblCommentary[[#This Row],[Date]]="","",COUNTIFS(INDEX(tblCommentary[Date],1):tblCommentary[[#This Row],[Date]],tblCommentary[[#This Row],[Date]]))</f>
        <v/>
      </c>
      <c r="F1473" s="63">
        <f>IF(tblCommentary[[#This Row],[Date]]="","",tblCommentary[[#This Row],[Date]]&amp;"|"&amp;tblCommentary[[#This Row],[Seq_Day]])</f>
        <v/>
      </c>
    </row>
    <row r="1474">
      <c r="A1474" s="54" t="n"/>
      <c r="B1474" s="61" t="n"/>
      <c r="C1474" s="58" t="n"/>
      <c r="D1474" s="58" t="n"/>
      <c r="E1474" s="64">
        <f>IF(tblCommentary[[#This Row],[Date]]="","",COUNTIFS(INDEX(tblCommentary[Date],1):tblCommentary[[#This Row],[Date]],tblCommentary[[#This Row],[Date]]))</f>
        <v/>
      </c>
      <c r="F1474" s="63">
        <f>IF(tblCommentary[[#This Row],[Date]]="","",tblCommentary[[#This Row],[Date]]&amp;"|"&amp;tblCommentary[[#This Row],[Seq_Day]])</f>
        <v/>
      </c>
    </row>
    <row r="1475">
      <c r="A1475" s="54" t="n"/>
      <c r="B1475" s="61" t="n"/>
      <c r="C1475" s="58" t="n"/>
      <c r="D1475" s="58" t="n"/>
      <c r="E1475" s="64">
        <f>IF(tblCommentary[[#This Row],[Date]]="","",COUNTIFS(INDEX(tblCommentary[Date],1):tblCommentary[[#This Row],[Date]],tblCommentary[[#This Row],[Date]]))</f>
        <v/>
      </c>
      <c r="F1475" s="63">
        <f>IF(tblCommentary[[#This Row],[Date]]="","",tblCommentary[[#This Row],[Date]]&amp;"|"&amp;tblCommentary[[#This Row],[Seq_Day]])</f>
        <v/>
      </c>
    </row>
    <row r="1476">
      <c r="A1476" s="54" t="n"/>
      <c r="B1476" s="61" t="n"/>
      <c r="C1476" s="58" t="n"/>
      <c r="D1476" s="58" t="n"/>
      <c r="E1476" s="64">
        <f>IF(tblCommentary[[#This Row],[Date]]="","",COUNTIFS(INDEX(tblCommentary[Date],1):tblCommentary[[#This Row],[Date]],tblCommentary[[#This Row],[Date]]))</f>
        <v/>
      </c>
      <c r="F1476" s="63">
        <f>IF(tblCommentary[[#This Row],[Date]]="","",tblCommentary[[#This Row],[Date]]&amp;"|"&amp;tblCommentary[[#This Row],[Seq_Day]])</f>
        <v/>
      </c>
    </row>
    <row r="1477">
      <c r="A1477" s="54" t="n"/>
      <c r="B1477" s="61" t="n"/>
      <c r="C1477" s="58" t="n"/>
      <c r="D1477" s="58" t="n"/>
      <c r="E1477" s="64">
        <f>IF(tblCommentary[[#This Row],[Date]]="","",COUNTIFS(INDEX(tblCommentary[Date],1):tblCommentary[[#This Row],[Date]],tblCommentary[[#This Row],[Date]]))</f>
        <v/>
      </c>
      <c r="F1477" s="63">
        <f>IF(tblCommentary[[#This Row],[Date]]="","",tblCommentary[[#This Row],[Date]]&amp;"|"&amp;tblCommentary[[#This Row],[Seq_Day]])</f>
        <v/>
      </c>
    </row>
    <row r="1478">
      <c r="A1478" s="54" t="n"/>
      <c r="B1478" s="61" t="n"/>
      <c r="C1478" s="58" t="n"/>
      <c r="D1478" s="58" t="n"/>
      <c r="E1478" s="64">
        <f>IF(tblCommentary[[#This Row],[Date]]="","",COUNTIFS(INDEX(tblCommentary[Date],1):tblCommentary[[#This Row],[Date]],tblCommentary[[#This Row],[Date]]))</f>
        <v/>
      </c>
      <c r="F1478" s="63">
        <f>IF(tblCommentary[[#This Row],[Date]]="","",tblCommentary[[#This Row],[Date]]&amp;"|"&amp;tblCommentary[[#This Row],[Seq_Day]])</f>
        <v/>
      </c>
    </row>
    <row r="1479">
      <c r="A1479" s="54" t="n"/>
      <c r="B1479" s="61" t="n"/>
      <c r="C1479" s="58" t="n"/>
      <c r="D1479" s="58" t="n"/>
      <c r="E1479" s="64">
        <f>IF(tblCommentary[[#This Row],[Date]]="","",COUNTIFS(INDEX(tblCommentary[Date],1):tblCommentary[[#This Row],[Date]],tblCommentary[[#This Row],[Date]]))</f>
        <v/>
      </c>
      <c r="F1479" s="63">
        <f>IF(tblCommentary[[#This Row],[Date]]="","",tblCommentary[[#This Row],[Date]]&amp;"|"&amp;tblCommentary[[#This Row],[Seq_Day]])</f>
        <v/>
      </c>
    </row>
    <row r="1480">
      <c r="A1480" s="54" t="n"/>
      <c r="B1480" s="61" t="n"/>
      <c r="C1480" s="58" t="n"/>
      <c r="D1480" s="58" t="n"/>
      <c r="E1480" s="64">
        <f>IF(tblCommentary[[#This Row],[Date]]="","",COUNTIFS(INDEX(tblCommentary[Date],1):tblCommentary[[#This Row],[Date]],tblCommentary[[#This Row],[Date]]))</f>
        <v/>
      </c>
      <c r="F1480" s="63">
        <f>IF(tblCommentary[[#This Row],[Date]]="","",tblCommentary[[#This Row],[Date]]&amp;"|"&amp;tblCommentary[[#This Row],[Seq_Day]])</f>
        <v/>
      </c>
    </row>
    <row r="1481">
      <c r="A1481" s="54" t="n"/>
      <c r="B1481" s="61" t="n"/>
      <c r="C1481" s="58" t="n"/>
      <c r="D1481" s="58" t="n"/>
      <c r="E1481" s="64">
        <f>IF(tblCommentary[[#This Row],[Date]]="","",COUNTIFS(INDEX(tblCommentary[Date],1):tblCommentary[[#This Row],[Date]],tblCommentary[[#This Row],[Date]]))</f>
        <v/>
      </c>
      <c r="F1481" s="63">
        <f>IF(tblCommentary[[#This Row],[Date]]="","",tblCommentary[[#This Row],[Date]]&amp;"|"&amp;tblCommentary[[#This Row],[Seq_Day]])</f>
        <v/>
      </c>
    </row>
    <row r="1482">
      <c r="A1482" s="54" t="n"/>
      <c r="B1482" s="61" t="n"/>
      <c r="C1482" s="58" t="n"/>
      <c r="D1482" s="58" t="n"/>
      <c r="E1482" s="64">
        <f>IF(tblCommentary[[#This Row],[Date]]="","",COUNTIFS(INDEX(tblCommentary[Date],1):tblCommentary[[#This Row],[Date]],tblCommentary[[#This Row],[Date]]))</f>
        <v/>
      </c>
      <c r="F1482" s="63">
        <f>IF(tblCommentary[[#This Row],[Date]]="","",tblCommentary[[#This Row],[Date]]&amp;"|"&amp;tblCommentary[[#This Row],[Seq_Day]])</f>
        <v/>
      </c>
    </row>
    <row r="1483">
      <c r="A1483" s="54" t="n"/>
      <c r="B1483" s="61" t="n"/>
      <c r="C1483" s="58" t="n"/>
      <c r="D1483" s="58" t="n"/>
      <c r="E1483" s="64">
        <f>IF(tblCommentary[[#This Row],[Date]]="","",COUNTIFS(INDEX(tblCommentary[Date],1):tblCommentary[[#This Row],[Date]],tblCommentary[[#This Row],[Date]]))</f>
        <v/>
      </c>
      <c r="F1483" s="63">
        <f>IF(tblCommentary[[#This Row],[Date]]="","",tblCommentary[[#This Row],[Date]]&amp;"|"&amp;tblCommentary[[#This Row],[Seq_Day]])</f>
        <v/>
      </c>
    </row>
    <row r="1484">
      <c r="A1484" s="54" t="n"/>
      <c r="B1484" s="61" t="n"/>
      <c r="C1484" s="58" t="n"/>
      <c r="D1484" s="58" t="n"/>
      <c r="E1484" s="64">
        <f>IF(tblCommentary[[#This Row],[Date]]="","",COUNTIFS(INDEX(tblCommentary[Date],1):tblCommentary[[#This Row],[Date]],tblCommentary[[#This Row],[Date]]))</f>
        <v/>
      </c>
      <c r="F1484" s="63">
        <f>IF(tblCommentary[[#This Row],[Date]]="","",tblCommentary[[#This Row],[Date]]&amp;"|"&amp;tblCommentary[[#This Row],[Seq_Day]])</f>
        <v/>
      </c>
    </row>
    <row r="1485">
      <c r="A1485" s="54" t="n"/>
      <c r="B1485" s="61" t="n"/>
      <c r="C1485" s="58" t="n"/>
      <c r="D1485" s="58" t="n"/>
      <c r="E1485" s="64">
        <f>IF(tblCommentary[[#This Row],[Date]]="","",COUNTIFS(INDEX(tblCommentary[Date],1):tblCommentary[[#This Row],[Date]],tblCommentary[[#This Row],[Date]]))</f>
        <v/>
      </c>
      <c r="F1485" s="63">
        <f>IF(tblCommentary[[#This Row],[Date]]="","",tblCommentary[[#This Row],[Date]]&amp;"|"&amp;tblCommentary[[#This Row],[Seq_Day]])</f>
        <v/>
      </c>
    </row>
    <row r="1486">
      <c r="A1486" s="54" t="n"/>
      <c r="B1486" s="61" t="n"/>
      <c r="C1486" s="58" t="n"/>
      <c r="D1486" s="58" t="n"/>
      <c r="E1486" s="64">
        <f>IF(tblCommentary[[#This Row],[Date]]="","",COUNTIFS(INDEX(tblCommentary[Date],1):tblCommentary[[#This Row],[Date]],tblCommentary[[#This Row],[Date]]))</f>
        <v/>
      </c>
      <c r="F1486" s="63">
        <f>IF(tblCommentary[[#This Row],[Date]]="","",tblCommentary[[#This Row],[Date]]&amp;"|"&amp;tblCommentary[[#This Row],[Seq_Day]])</f>
        <v/>
      </c>
    </row>
    <row r="1487">
      <c r="A1487" s="54" t="n"/>
      <c r="B1487" s="61" t="n"/>
      <c r="C1487" s="58" t="n"/>
      <c r="D1487" s="58" t="n"/>
      <c r="E1487" s="64">
        <f>IF(tblCommentary[[#This Row],[Date]]="","",COUNTIFS(INDEX(tblCommentary[Date],1):tblCommentary[[#This Row],[Date]],tblCommentary[[#This Row],[Date]]))</f>
        <v/>
      </c>
      <c r="F1487" s="63">
        <f>IF(tblCommentary[[#This Row],[Date]]="","",tblCommentary[[#This Row],[Date]]&amp;"|"&amp;tblCommentary[[#This Row],[Seq_Day]])</f>
        <v/>
      </c>
    </row>
    <row r="1488">
      <c r="A1488" s="54" t="n"/>
      <c r="B1488" s="61" t="n"/>
      <c r="C1488" s="58" t="n"/>
      <c r="D1488" s="58" t="n"/>
      <c r="E1488" s="64">
        <f>IF(tblCommentary[[#This Row],[Date]]="","",COUNTIFS(INDEX(tblCommentary[Date],1):tblCommentary[[#This Row],[Date]],tblCommentary[[#This Row],[Date]]))</f>
        <v/>
      </c>
      <c r="F1488" s="63">
        <f>IF(tblCommentary[[#This Row],[Date]]="","",tblCommentary[[#This Row],[Date]]&amp;"|"&amp;tblCommentary[[#This Row],[Seq_Day]])</f>
        <v/>
      </c>
    </row>
    <row r="1489">
      <c r="A1489" s="54" t="n"/>
      <c r="B1489" s="61" t="n"/>
      <c r="C1489" s="58" t="n"/>
      <c r="D1489" s="58" t="n"/>
      <c r="E1489" s="64">
        <f>IF(tblCommentary[[#This Row],[Date]]="","",COUNTIFS(INDEX(tblCommentary[Date],1):tblCommentary[[#This Row],[Date]],tblCommentary[[#This Row],[Date]]))</f>
        <v/>
      </c>
      <c r="F1489" s="63">
        <f>IF(tblCommentary[[#This Row],[Date]]="","",tblCommentary[[#This Row],[Date]]&amp;"|"&amp;tblCommentary[[#This Row],[Seq_Day]])</f>
        <v/>
      </c>
    </row>
    <row r="1490">
      <c r="A1490" s="54" t="n"/>
      <c r="B1490" s="61" t="n"/>
      <c r="C1490" s="58" t="n"/>
      <c r="D1490" s="58" t="n"/>
      <c r="E1490" s="64">
        <f>IF(tblCommentary[[#This Row],[Date]]="","",COUNTIFS(INDEX(tblCommentary[Date],1):tblCommentary[[#This Row],[Date]],tblCommentary[[#This Row],[Date]]))</f>
        <v/>
      </c>
      <c r="F1490" s="63">
        <f>IF(tblCommentary[[#This Row],[Date]]="","",tblCommentary[[#This Row],[Date]]&amp;"|"&amp;tblCommentary[[#This Row],[Seq_Day]])</f>
        <v/>
      </c>
    </row>
    <row r="1491">
      <c r="A1491" s="54" t="n"/>
      <c r="B1491" s="61" t="n"/>
      <c r="C1491" s="58" t="n"/>
      <c r="D1491" s="58" t="n"/>
      <c r="E1491" s="64">
        <f>IF(tblCommentary[[#This Row],[Date]]="","",COUNTIFS(INDEX(tblCommentary[Date],1):tblCommentary[[#This Row],[Date]],tblCommentary[[#This Row],[Date]]))</f>
        <v/>
      </c>
      <c r="F1491" s="63">
        <f>IF(tblCommentary[[#This Row],[Date]]="","",tblCommentary[[#This Row],[Date]]&amp;"|"&amp;tblCommentary[[#This Row],[Seq_Day]])</f>
        <v/>
      </c>
    </row>
    <row r="1492">
      <c r="A1492" s="54" t="n"/>
      <c r="B1492" s="61" t="n"/>
      <c r="C1492" s="58" t="n"/>
      <c r="D1492" s="58" t="n"/>
      <c r="E1492" s="64">
        <f>IF(tblCommentary[[#This Row],[Date]]="","",COUNTIFS(INDEX(tblCommentary[Date],1):tblCommentary[[#This Row],[Date]],tblCommentary[[#This Row],[Date]]))</f>
        <v/>
      </c>
      <c r="F1492" s="63">
        <f>IF(tblCommentary[[#This Row],[Date]]="","",tblCommentary[[#This Row],[Date]]&amp;"|"&amp;tblCommentary[[#This Row],[Seq_Day]])</f>
        <v/>
      </c>
    </row>
    <row r="1493">
      <c r="A1493" s="54" t="n"/>
      <c r="B1493" s="61" t="n"/>
      <c r="C1493" s="58" t="n"/>
      <c r="D1493" s="58" t="n"/>
      <c r="E1493" s="64">
        <f>IF(tblCommentary[[#This Row],[Date]]="","",COUNTIFS(INDEX(tblCommentary[Date],1):tblCommentary[[#This Row],[Date]],tblCommentary[[#This Row],[Date]]))</f>
        <v/>
      </c>
      <c r="F1493" s="63">
        <f>IF(tblCommentary[[#This Row],[Date]]="","",tblCommentary[[#This Row],[Date]]&amp;"|"&amp;tblCommentary[[#This Row],[Seq_Day]])</f>
        <v/>
      </c>
    </row>
    <row r="1494">
      <c r="A1494" s="54" t="n"/>
      <c r="B1494" s="61" t="n"/>
      <c r="C1494" s="58" t="n"/>
      <c r="D1494" s="58" t="n"/>
      <c r="E1494" s="64">
        <f>IF(tblCommentary[[#This Row],[Date]]="","",COUNTIFS(INDEX(tblCommentary[Date],1):tblCommentary[[#This Row],[Date]],tblCommentary[[#This Row],[Date]]))</f>
        <v/>
      </c>
      <c r="F1494" s="63">
        <f>IF(tblCommentary[[#This Row],[Date]]="","",tblCommentary[[#This Row],[Date]]&amp;"|"&amp;tblCommentary[[#This Row],[Seq_Day]])</f>
        <v/>
      </c>
    </row>
    <row r="1495">
      <c r="A1495" s="54" t="n"/>
      <c r="B1495" s="61" t="n"/>
      <c r="C1495" s="58" t="n"/>
      <c r="D1495" s="58" t="n"/>
      <c r="E1495" s="64">
        <f>IF(tblCommentary[[#This Row],[Date]]="","",COUNTIFS(INDEX(tblCommentary[Date],1):tblCommentary[[#This Row],[Date]],tblCommentary[[#This Row],[Date]]))</f>
        <v/>
      </c>
      <c r="F1495" s="63">
        <f>IF(tblCommentary[[#This Row],[Date]]="","",tblCommentary[[#This Row],[Date]]&amp;"|"&amp;tblCommentary[[#This Row],[Seq_Day]])</f>
        <v/>
      </c>
    </row>
    <row r="1496">
      <c r="A1496" s="54" t="n"/>
      <c r="B1496" s="61" t="n"/>
      <c r="C1496" s="58" t="n"/>
      <c r="D1496" s="58" t="n"/>
      <c r="E1496" s="64">
        <f>IF(tblCommentary[[#This Row],[Date]]="","",COUNTIFS(INDEX(tblCommentary[Date],1):tblCommentary[[#This Row],[Date]],tblCommentary[[#This Row],[Date]]))</f>
        <v/>
      </c>
      <c r="F1496" s="63">
        <f>IF(tblCommentary[[#This Row],[Date]]="","",tblCommentary[[#This Row],[Date]]&amp;"|"&amp;tblCommentary[[#This Row],[Seq_Day]])</f>
        <v/>
      </c>
    </row>
    <row r="1497">
      <c r="A1497" s="54" t="n"/>
      <c r="B1497" s="61" t="n"/>
      <c r="C1497" s="58" t="n"/>
      <c r="D1497" s="58" t="n"/>
      <c r="E1497" s="64">
        <f>IF(tblCommentary[[#This Row],[Date]]="","",COUNTIFS(INDEX(tblCommentary[Date],1):tblCommentary[[#This Row],[Date]],tblCommentary[[#This Row],[Date]]))</f>
        <v/>
      </c>
      <c r="F1497" s="63">
        <f>IF(tblCommentary[[#This Row],[Date]]="","",tblCommentary[[#This Row],[Date]]&amp;"|"&amp;tblCommentary[[#This Row],[Seq_Day]])</f>
        <v/>
      </c>
    </row>
    <row r="1498">
      <c r="A1498" s="54" t="n"/>
      <c r="B1498" s="61" t="n"/>
      <c r="C1498" s="58" t="n"/>
      <c r="D1498" s="58" t="n"/>
      <c r="E1498" s="64">
        <f>IF(tblCommentary[[#This Row],[Date]]="","",COUNTIFS(INDEX(tblCommentary[Date],1):tblCommentary[[#This Row],[Date]],tblCommentary[[#This Row],[Date]]))</f>
        <v/>
      </c>
      <c r="F1498" s="63">
        <f>IF(tblCommentary[[#This Row],[Date]]="","",tblCommentary[[#This Row],[Date]]&amp;"|"&amp;tblCommentary[[#This Row],[Seq_Day]])</f>
        <v/>
      </c>
    </row>
    <row r="1499">
      <c r="A1499" s="54" t="n"/>
      <c r="B1499" s="61" t="n"/>
      <c r="C1499" s="58" t="n"/>
      <c r="D1499" s="58" t="n"/>
      <c r="E1499" s="64">
        <f>IF(tblCommentary[[#This Row],[Date]]="","",COUNTIFS(INDEX(tblCommentary[Date],1):tblCommentary[[#This Row],[Date]],tblCommentary[[#This Row],[Date]]))</f>
        <v/>
      </c>
      <c r="F1499" s="63">
        <f>IF(tblCommentary[[#This Row],[Date]]="","",tblCommentary[[#This Row],[Date]]&amp;"|"&amp;tblCommentary[[#This Row],[Seq_Day]])</f>
        <v/>
      </c>
    </row>
    <row r="1500">
      <c r="A1500" s="54" t="n"/>
      <c r="B1500" s="61" t="n"/>
      <c r="C1500" s="58" t="n"/>
      <c r="D1500" s="58" t="n"/>
      <c r="E1500" s="64">
        <f>IF(tblCommentary[[#This Row],[Date]]="","",COUNTIFS(INDEX(tblCommentary[Date],1):tblCommentary[[#This Row],[Date]],tblCommentary[[#This Row],[Date]]))</f>
        <v/>
      </c>
      <c r="F1500" s="63">
        <f>IF(tblCommentary[[#This Row],[Date]]="","",tblCommentary[[#This Row],[Date]]&amp;"|"&amp;tblCommentary[[#This Row],[Seq_Day]])</f>
        <v/>
      </c>
    </row>
    <row r="1501">
      <c r="A1501" s="54" t="n"/>
      <c r="B1501" s="61" t="n"/>
      <c r="C1501" s="58" t="n"/>
      <c r="D1501" s="58" t="n"/>
      <c r="E1501" s="64">
        <f>IF(tblCommentary[[#This Row],[Date]]="","",COUNTIFS(INDEX(tblCommentary[Date],1):tblCommentary[[#This Row],[Date]],tblCommentary[[#This Row],[Date]]))</f>
        <v/>
      </c>
      <c r="F1501" s="63">
        <f>IF(tblCommentary[[#This Row],[Date]]="","",tblCommentary[[#This Row],[Date]]&amp;"|"&amp;tblCommentary[[#This Row],[Seq_Day]])</f>
        <v/>
      </c>
    </row>
    <row r="1502">
      <c r="A1502" s="54" t="n"/>
      <c r="B1502" s="61" t="n"/>
      <c r="C1502" s="58" t="n"/>
      <c r="D1502" s="58" t="n"/>
      <c r="E1502" s="64">
        <f>IF(tblCommentary[[#This Row],[Date]]="","",COUNTIFS(INDEX(tblCommentary[Date],1):tblCommentary[[#This Row],[Date]],tblCommentary[[#This Row],[Date]]))</f>
        <v/>
      </c>
      <c r="F1502" s="63">
        <f>IF(tblCommentary[[#This Row],[Date]]="","",tblCommentary[[#This Row],[Date]]&amp;"|"&amp;tblCommentary[[#This Row],[Seq_Day]])</f>
        <v/>
      </c>
    </row>
    <row r="1503">
      <c r="A1503" s="54" t="n"/>
      <c r="B1503" s="61" t="n"/>
      <c r="C1503" s="58" t="n"/>
      <c r="D1503" s="58" t="n"/>
      <c r="E1503" s="64">
        <f>IF(tblCommentary[[#This Row],[Date]]="","",COUNTIFS(INDEX(tblCommentary[Date],1):tblCommentary[[#This Row],[Date]],tblCommentary[[#This Row],[Date]]))</f>
        <v/>
      </c>
      <c r="F1503" s="63">
        <f>IF(tblCommentary[[#This Row],[Date]]="","",tblCommentary[[#This Row],[Date]]&amp;"|"&amp;tblCommentary[[#This Row],[Seq_Day]])</f>
        <v/>
      </c>
    </row>
    <row r="1504">
      <c r="A1504" s="54" t="n"/>
      <c r="B1504" s="61" t="n"/>
      <c r="C1504" s="58" t="n"/>
      <c r="D1504" s="58" t="n"/>
      <c r="E1504" s="64">
        <f>IF(tblCommentary[[#This Row],[Date]]="","",COUNTIFS(INDEX(tblCommentary[Date],1):tblCommentary[[#This Row],[Date]],tblCommentary[[#This Row],[Date]]))</f>
        <v/>
      </c>
      <c r="F1504" s="63">
        <f>IF(tblCommentary[[#This Row],[Date]]="","",tblCommentary[[#This Row],[Date]]&amp;"|"&amp;tblCommentary[[#This Row],[Seq_Day]])</f>
        <v/>
      </c>
    </row>
    <row r="1505">
      <c r="A1505" s="54" t="n"/>
      <c r="B1505" s="61" t="n"/>
      <c r="C1505" s="58" t="n"/>
      <c r="D1505" s="58" t="n"/>
      <c r="E1505" s="64">
        <f>IF(tblCommentary[[#This Row],[Date]]="","",COUNTIFS(INDEX(tblCommentary[Date],1):tblCommentary[[#This Row],[Date]],tblCommentary[[#This Row],[Date]]))</f>
        <v/>
      </c>
      <c r="F1505" s="63">
        <f>IF(tblCommentary[[#This Row],[Date]]="","",tblCommentary[[#This Row],[Date]]&amp;"|"&amp;tblCommentary[[#This Row],[Seq_Day]])</f>
        <v/>
      </c>
    </row>
    <row r="1506">
      <c r="A1506" s="54" t="n"/>
      <c r="B1506" s="61" t="n"/>
      <c r="C1506" s="58" t="n"/>
      <c r="D1506" s="58" t="n"/>
      <c r="E1506" s="64">
        <f>IF(tblCommentary[[#This Row],[Date]]="","",COUNTIFS(INDEX(tblCommentary[Date],1):tblCommentary[[#This Row],[Date]],tblCommentary[[#This Row],[Date]]))</f>
        <v/>
      </c>
      <c r="F1506" s="63">
        <f>IF(tblCommentary[[#This Row],[Date]]="","",tblCommentary[[#This Row],[Date]]&amp;"|"&amp;tblCommentary[[#This Row],[Seq_Day]])</f>
        <v/>
      </c>
    </row>
    <row r="1507">
      <c r="A1507" s="54" t="n"/>
      <c r="B1507" s="61" t="n"/>
      <c r="C1507" s="58" t="n"/>
      <c r="D1507" s="58" t="n"/>
      <c r="E1507" s="64">
        <f>IF(tblCommentary[[#This Row],[Date]]="","",COUNTIFS(INDEX(tblCommentary[Date],1):tblCommentary[[#This Row],[Date]],tblCommentary[[#This Row],[Date]]))</f>
        <v/>
      </c>
      <c r="F1507" s="63">
        <f>IF(tblCommentary[[#This Row],[Date]]="","",tblCommentary[[#This Row],[Date]]&amp;"|"&amp;tblCommentary[[#This Row],[Seq_Day]])</f>
        <v/>
      </c>
    </row>
    <row r="1508">
      <c r="A1508" s="54" t="n"/>
      <c r="B1508" s="61" t="n"/>
      <c r="C1508" s="58" t="n"/>
      <c r="D1508" s="58" t="n"/>
      <c r="E1508" s="64">
        <f>IF(tblCommentary[[#This Row],[Date]]="","",COUNTIFS(INDEX(tblCommentary[Date],1):tblCommentary[[#This Row],[Date]],tblCommentary[[#This Row],[Date]]))</f>
        <v/>
      </c>
      <c r="F1508" s="63">
        <f>IF(tblCommentary[[#This Row],[Date]]="","",tblCommentary[[#This Row],[Date]]&amp;"|"&amp;tblCommentary[[#This Row],[Seq_Day]])</f>
        <v/>
      </c>
    </row>
    <row r="1509">
      <c r="A1509" s="54" t="n"/>
      <c r="B1509" s="61" t="n"/>
      <c r="C1509" s="58" t="n"/>
      <c r="D1509" s="58" t="n"/>
      <c r="E1509" s="64">
        <f>IF(tblCommentary[[#This Row],[Date]]="","",COUNTIFS(INDEX(tblCommentary[Date],1):tblCommentary[[#This Row],[Date]],tblCommentary[[#This Row],[Date]]))</f>
        <v/>
      </c>
      <c r="F1509" s="63">
        <f>IF(tblCommentary[[#This Row],[Date]]="","",tblCommentary[[#This Row],[Date]]&amp;"|"&amp;tblCommentary[[#This Row],[Seq_Day]])</f>
        <v/>
      </c>
    </row>
    <row r="1510">
      <c r="A1510" s="54" t="n"/>
      <c r="B1510" s="61" t="n"/>
      <c r="C1510" s="58" t="n"/>
      <c r="D1510" s="58" t="n"/>
      <c r="E1510" s="64">
        <f>IF(tblCommentary[[#This Row],[Date]]="","",COUNTIFS(INDEX(tblCommentary[Date],1):tblCommentary[[#This Row],[Date]],tblCommentary[[#This Row],[Date]]))</f>
        <v/>
      </c>
      <c r="F1510" s="63">
        <f>IF(tblCommentary[[#This Row],[Date]]="","",tblCommentary[[#This Row],[Date]]&amp;"|"&amp;tblCommentary[[#This Row],[Seq_Day]])</f>
        <v/>
      </c>
    </row>
    <row r="1511">
      <c r="A1511" s="54" t="n"/>
      <c r="B1511" s="61" t="n"/>
      <c r="C1511" s="58" t="n"/>
      <c r="D1511" s="58" t="n"/>
      <c r="E1511" s="64">
        <f>IF(tblCommentary[[#This Row],[Date]]="","",COUNTIFS(INDEX(tblCommentary[Date],1):tblCommentary[[#This Row],[Date]],tblCommentary[[#This Row],[Date]]))</f>
        <v/>
      </c>
      <c r="F1511" s="63">
        <f>IF(tblCommentary[[#This Row],[Date]]="","",tblCommentary[[#This Row],[Date]]&amp;"|"&amp;tblCommentary[[#This Row],[Seq_Day]])</f>
        <v/>
      </c>
    </row>
    <row r="1512">
      <c r="A1512" s="54" t="n"/>
      <c r="B1512" s="61" t="n"/>
      <c r="C1512" s="58" t="n"/>
      <c r="D1512" s="58" t="n"/>
      <c r="E1512" s="64">
        <f>IF(tblCommentary[[#This Row],[Date]]="","",COUNTIFS(INDEX(tblCommentary[Date],1):tblCommentary[[#This Row],[Date]],tblCommentary[[#This Row],[Date]]))</f>
        <v/>
      </c>
      <c r="F1512" s="63">
        <f>IF(tblCommentary[[#This Row],[Date]]="","",tblCommentary[[#This Row],[Date]]&amp;"|"&amp;tblCommentary[[#This Row],[Seq_Day]])</f>
        <v/>
      </c>
    </row>
    <row r="1513">
      <c r="A1513" s="54" t="n"/>
      <c r="B1513" s="61" t="n"/>
      <c r="C1513" s="58" t="n"/>
      <c r="D1513" s="58" t="n"/>
      <c r="E1513" s="64">
        <f>IF(tblCommentary[[#This Row],[Date]]="","",COUNTIFS(INDEX(tblCommentary[Date],1):tblCommentary[[#This Row],[Date]],tblCommentary[[#This Row],[Date]]))</f>
        <v/>
      </c>
      <c r="F1513" s="63">
        <f>IF(tblCommentary[[#This Row],[Date]]="","",tblCommentary[[#This Row],[Date]]&amp;"|"&amp;tblCommentary[[#This Row],[Seq_Day]])</f>
        <v/>
      </c>
    </row>
    <row r="1514">
      <c r="A1514" s="54" t="n"/>
      <c r="B1514" s="61" t="n"/>
      <c r="C1514" s="58" t="n"/>
      <c r="D1514" s="58" t="n"/>
      <c r="E1514" s="64">
        <f>IF(tblCommentary[[#This Row],[Date]]="","",COUNTIFS(INDEX(tblCommentary[Date],1):tblCommentary[[#This Row],[Date]],tblCommentary[[#This Row],[Date]]))</f>
        <v/>
      </c>
      <c r="F1514" s="63">
        <f>IF(tblCommentary[[#This Row],[Date]]="","",tblCommentary[[#This Row],[Date]]&amp;"|"&amp;tblCommentary[[#This Row],[Seq_Day]])</f>
        <v/>
      </c>
    </row>
    <row r="1515">
      <c r="A1515" s="54" t="n"/>
      <c r="B1515" s="61" t="n"/>
      <c r="C1515" s="58" t="n"/>
      <c r="D1515" s="58" t="n"/>
      <c r="E1515" s="64">
        <f>IF(tblCommentary[[#This Row],[Date]]="","",COUNTIFS(INDEX(tblCommentary[Date],1):tblCommentary[[#This Row],[Date]],tblCommentary[[#This Row],[Date]]))</f>
        <v/>
      </c>
      <c r="F1515" s="63">
        <f>IF(tblCommentary[[#This Row],[Date]]="","",tblCommentary[[#This Row],[Date]]&amp;"|"&amp;tblCommentary[[#This Row],[Seq_Day]])</f>
        <v/>
      </c>
    </row>
    <row r="1516">
      <c r="A1516" s="54" t="n"/>
      <c r="B1516" s="61" t="n"/>
      <c r="C1516" s="58" t="n"/>
      <c r="D1516" s="58" t="n"/>
      <c r="E1516" s="64">
        <f>IF(tblCommentary[[#This Row],[Date]]="","",COUNTIFS(INDEX(tblCommentary[Date],1):tblCommentary[[#This Row],[Date]],tblCommentary[[#This Row],[Date]]))</f>
        <v/>
      </c>
      <c r="F1516" s="63">
        <f>IF(tblCommentary[[#This Row],[Date]]="","",tblCommentary[[#This Row],[Date]]&amp;"|"&amp;tblCommentary[[#This Row],[Seq_Day]])</f>
        <v/>
      </c>
    </row>
    <row r="1517">
      <c r="A1517" s="54" t="n"/>
      <c r="B1517" s="61" t="n"/>
      <c r="C1517" s="58" t="n"/>
      <c r="D1517" s="58" t="n"/>
      <c r="E1517" s="64">
        <f>IF(tblCommentary[[#This Row],[Date]]="","",COUNTIFS(INDEX(tblCommentary[Date],1):tblCommentary[[#This Row],[Date]],tblCommentary[[#This Row],[Date]]))</f>
        <v/>
      </c>
      <c r="F1517" s="63">
        <f>IF(tblCommentary[[#This Row],[Date]]="","",tblCommentary[[#This Row],[Date]]&amp;"|"&amp;tblCommentary[[#This Row],[Seq_Day]])</f>
        <v/>
      </c>
    </row>
    <row r="1518">
      <c r="A1518" s="54" t="n"/>
      <c r="B1518" s="61" t="n"/>
      <c r="C1518" s="58" t="n"/>
      <c r="D1518" s="58" t="n"/>
      <c r="E1518" s="64">
        <f>IF(tblCommentary[[#This Row],[Date]]="","",COUNTIFS(INDEX(tblCommentary[Date],1):tblCommentary[[#This Row],[Date]],tblCommentary[[#This Row],[Date]]))</f>
        <v/>
      </c>
      <c r="F1518" s="63">
        <f>IF(tblCommentary[[#This Row],[Date]]="","",tblCommentary[[#This Row],[Date]]&amp;"|"&amp;tblCommentary[[#This Row],[Seq_Day]])</f>
        <v/>
      </c>
    </row>
    <row r="1519">
      <c r="A1519" s="54" t="n"/>
      <c r="B1519" s="61" t="n"/>
      <c r="C1519" s="58" t="n"/>
      <c r="D1519" s="58" t="n"/>
      <c r="E1519" s="64">
        <f>IF(tblCommentary[[#This Row],[Date]]="","",COUNTIFS(INDEX(tblCommentary[Date],1):tblCommentary[[#This Row],[Date]],tblCommentary[[#This Row],[Date]]))</f>
        <v/>
      </c>
      <c r="F1519" s="63">
        <f>IF(tblCommentary[[#This Row],[Date]]="","",tblCommentary[[#This Row],[Date]]&amp;"|"&amp;tblCommentary[[#This Row],[Seq_Day]])</f>
        <v/>
      </c>
    </row>
    <row r="1520">
      <c r="A1520" s="54" t="n"/>
      <c r="B1520" s="61" t="n"/>
      <c r="C1520" s="58" t="n"/>
      <c r="D1520" s="58" t="n"/>
      <c r="E1520" s="64">
        <f>IF(tblCommentary[[#This Row],[Date]]="","",COUNTIFS(INDEX(tblCommentary[Date],1):tblCommentary[[#This Row],[Date]],tblCommentary[[#This Row],[Date]]))</f>
        <v/>
      </c>
      <c r="F1520" s="63">
        <f>IF(tblCommentary[[#This Row],[Date]]="","",tblCommentary[[#This Row],[Date]]&amp;"|"&amp;tblCommentary[[#This Row],[Seq_Day]])</f>
        <v/>
      </c>
    </row>
    <row r="1521">
      <c r="A1521" s="54" t="n"/>
      <c r="B1521" s="61" t="n"/>
      <c r="C1521" s="58" t="n"/>
      <c r="D1521" s="58" t="n"/>
      <c r="E1521" s="64">
        <f>IF(tblCommentary[[#This Row],[Date]]="","",COUNTIFS(INDEX(tblCommentary[Date],1):tblCommentary[[#This Row],[Date]],tblCommentary[[#This Row],[Date]]))</f>
        <v/>
      </c>
      <c r="F1521" s="63">
        <f>IF(tblCommentary[[#This Row],[Date]]="","",tblCommentary[[#This Row],[Date]]&amp;"|"&amp;tblCommentary[[#This Row],[Seq_Day]])</f>
        <v/>
      </c>
    </row>
    <row r="1522">
      <c r="A1522" s="54" t="n"/>
      <c r="B1522" s="61" t="n"/>
      <c r="C1522" s="58" t="n"/>
      <c r="D1522" s="58" t="n"/>
      <c r="E1522" s="64">
        <f>IF(tblCommentary[[#This Row],[Date]]="","",COUNTIFS(INDEX(tblCommentary[Date],1):tblCommentary[[#This Row],[Date]],tblCommentary[[#This Row],[Date]]))</f>
        <v/>
      </c>
      <c r="F1522" s="63">
        <f>IF(tblCommentary[[#This Row],[Date]]="","",tblCommentary[[#This Row],[Date]]&amp;"|"&amp;tblCommentary[[#This Row],[Seq_Day]])</f>
        <v/>
      </c>
    </row>
    <row r="1523">
      <c r="A1523" s="54" t="n"/>
      <c r="B1523" s="61" t="n"/>
      <c r="C1523" s="58" t="n"/>
      <c r="D1523" s="58" t="n"/>
      <c r="E1523" s="64">
        <f>IF(tblCommentary[[#This Row],[Date]]="","",COUNTIFS(INDEX(tblCommentary[Date],1):tblCommentary[[#This Row],[Date]],tblCommentary[[#This Row],[Date]]))</f>
        <v/>
      </c>
      <c r="F1523" s="63">
        <f>IF(tblCommentary[[#This Row],[Date]]="","",tblCommentary[[#This Row],[Date]]&amp;"|"&amp;tblCommentary[[#This Row],[Seq_Day]])</f>
        <v/>
      </c>
    </row>
    <row r="1524">
      <c r="A1524" s="54" t="n"/>
      <c r="B1524" s="61" t="n"/>
      <c r="C1524" s="58" t="n"/>
      <c r="D1524" s="58" t="n"/>
      <c r="E1524" s="64">
        <f>IF(tblCommentary[[#This Row],[Date]]="","",COUNTIFS(INDEX(tblCommentary[Date],1):tblCommentary[[#This Row],[Date]],tblCommentary[[#This Row],[Date]]))</f>
        <v/>
      </c>
      <c r="F1524" s="63">
        <f>IF(tblCommentary[[#This Row],[Date]]="","",tblCommentary[[#This Row],[Date]]&amp;"|"&amp;tblCommentary[[#This Row],[Seq_Day]])</f>
        <v/>
      </c>
    </row>
    <row r="1525">
      <c r="A1525" s="54" t="n"/>
      <c r="B1525" s="61" t="n"/>
      <c r="C1525" s="58" t="n"/>
      <c r="D1525" s="58" t="n"/>
      <c r="E1525" s="64">
        <f>IF(tblCommentary[[#This Row],[Date]]="","",COUNTIFS(INDEX(tblCommentary[Date],1):tblCommentary[[#This Row],[Date]],tblCommentary[[#This Row],[Date]]))</f>
        <v/>
      </c>
      <c r="F1525" s="63">
        <f>IF(tblCommentary[[#This Row],[Date]]="","",tblCommentary[[#This Row],[Date]]&amp;"|"&amp;tblCommentary[[#This Row],[Seq_Day]])</f>
        <v/>
      </c>
    </row>
    <row r="1526">
      <c r="A1526" s="54" t="n"/>
      <c r="B1526" s="61" t="n"/>
      <c r="C1526" s="58" t="n"/>
      <c r="D1526" s="58" t="n"/>
      <c r="E1526" s="64">
        <f>IF(tblCommentary[[#This Row],[Date]]="","",COUNTIFS(INDEX(tblCommentary[Date],1):tblCommentary[[#This Row],[Date]],tblCommentary[[#This Row],[Date]]))</f>
        <v/>
      </c>
      <c r="F1526" s="63">
        <f>IF(tblCommentary[[#This Row],[Date]]="","",tblCommentary[[#This Row],[Date]]&amp;"|"&amp;tblCommentary[[#This Row],[Seq_Day]])</f>
        <v/>
      </c>
    </row>
    <row r="1527">
      <c r="A1527" s="54" t="n"/>
      <c r="B1527" s="61" t="n"/>
      <c r="C1527" s="58" t="n"/>
      <c r="D1527" s="58" t="n"/>
      <c r="E1527" s="64">
        <f>IF(tblCommentary[[#This Row],[Date]]="","",COUNTIFS(INDEX(tblCommentary[Date],1):tblCommentary[[#This Row],[Date]],tblCommentary[[#This Row],[Date]]))</f>
        <v/>
      </c>
      <c r="F1527" s="63">
        <f>IF(tblCommentary[[#This Row],[Date]]="","",tblCommentary[[#This Row],[Date]]&amp;"|"&amp;tblCommentary[[#This Row],[Seq_Day]])</f>
        <v/>
      </c>
    </row>
    <row r="1528">
      <c r="A1528" s="54" t="n"/>
      <c r="B1528" s="61" t="n"/>
      <c r="C1528" s="58" t="n"/>
      <c r="D1528" s="58" t="n"/>
      <c r="E1528" s="64">
        <f>IF(tblCommentary[[#This Row],[Date]]="","",COUNTIFS(INDEX(tblCommentary[Date],1):tblCommentary[[#This Row],[Date]],tblCommentary[[#This Row],[Date]]))</f>
        <v/>
      </c>
      <c r="F1528" s="63">
        <f>IF(tblCommentary[[#This Row],[Date]]="","",tblCommentary[[#This Row],[Date]]&amp;"|"&amp;tblCommentary[[#This Row],[Seq_Day]])</f>
        <v/>
      </c>
    </row>
    <row r="1529">
      <c r="A1529" s="54" t="n"/>
      <c r="B1529" s="61" t="n"/>
      <c r="C1529" s="58" t="n"/>
      <c r="D1529" s="58" t="n"/>
      <c r="E1529" s="64">
        <f>IF(tblCommentary[[#This Row],[Date]]="","",COUNTIFS(INDEX(tblCommentary[Date],1):tblCommentary[[#This Row],[Date]],tblCommentary[[#This Row],[Date]]))</f>
        <v/>
      </c>
      <c r="F1529" s="63">
        <f>IF(tblCommentary[[#This Row],[Date]]="","",tblCommentary[[#This Row],[Date]]&amp;"|"&amp;tblCommentary[[#This Row],[Seq_Day]])</f>
        <v/>
      </c>
    </row>
    <row r="1530">
      <c r="A1530" s="54" t="n"/>
      <c r="B1530" s="61" t="n"/>
      <c r="C1530" s="58" t="n"/>
      <c r="D1530" s="58" t="n"/>
      <c r="E1530" s="64">
        <f>IF(tblCommentary[[#This Row],[Date]]="","",COUNTIFS(INDEX(tblCommentary[Date],1):tblCommentary[[#This Row],[Date]],tblCommentary[[#This Row],[Date]]))</f>
        <v/>
      </c>
      <c r="F1530" s="63">
        <f>IF(tblCommentary[[#This Row],[Date]]="","",tblCommentary[[#This Row],[Date]]&amp;"|"&amp;tblCommentary[[#This Row],[Seq_Day]])</f>
        <v/>
      </c>
    </row>
    <row r="1531">
      <c r="A1531" s="54" t="n"/>
      <c r="B1531" s="61" t="n"/>
      <c r="C1531" s="58" t="n"/>
      <c r="D1531" s="58" t="n"/>
      <c r="E1531" s="64">
        <f>IF(tblCommentary[[#This Row],[Date]]="","",COUNTIFS(INDEX(tblCommentary[Date],1):tblCommentary[[#This Row],[Date]],tblCommentary[[#This Row],[Date]]))</f>
        <v/>
      </c>
      <c r="F1531" s="63">
        <f>IF(tblCommentary[[#This Row],[Date]]="","",tblCommentary[[#This Row],[Date]]&amp;"|"&amp;tblCommentary[[#This Row],[Seq_Day]])</f>
        <v/>
      </c>
    </row>
    <row r="1532">
      <c r="A1532" s="54" t="n"/>
      <c r="B1532" s="61" t="n"/>
      <c r="C1532" s="58" t="n"/>
      <c r="D1532" s="58" t="n"/>
      <c r="E1532" s="64">
        <f>IF(tblCommentary[[#This Row],[Date]]="","",COUNTIFS(INDEX(tblCommentary[Date],1):tblCommentary[[#This Row],[Date]],tblCommentary[[#This Row],[Date]]))</f>
        <v/>
      </c>
      <c r="F1532" s="63">
        <f>IF(tblCommentary[[#This Row],[Date]]="","",tblCommentary[[#This Row],[Date]]&amp;"|"&amp;tblCommentary[[#This Row],[Seq_Day]])</f>
        <v/>
      </c>
    </row>
    <row r="1533">
      <c r="A1533" s="54" t="n"/>
      <c r="B1533" s="61" t="n"/>
      <c r="C1533" s="58" t="n"/>
      <c r="D1533" s="58" t="n"/>
      <c r="E1533" s="64">
        <f>IF(tblCommentary[[#This Row],[Date]]="","",COUNTIFS(INDEX(tblCommentary[Date],1):tblCommentary[[#This Row],[Date]],tblCommentary[[#This Row],[Date]]))</f>
        <v/>
      </c>
      <c r="F1533" s="63">
        <f>IF(tblCommentary[[#This Row],[Date]]="","",tblCommentary[[#This Row],[Date]]&amp;"|"&amp;tblCommentary[[#This Row],[Seq_Day]])</f>
        <v/>
      </c>
    </row>
    <row r="1534">
      <c r="A1534" s="54" t="n"/>
      <c r="B1534" s="61" t="n"/>
      <c r="C1534" s="58" t="n"/>
      <c r="D1534" s="58" t="n"/>
      <c r="E1534" s="64">
        <f>IF(tblCommentary[[#This Row],[Date]]="","",COUNTIFS(INDEX(tblCommentary[Date],1):tblCommentary[[#This Row],[Date]],tblCommentary[[#This Row],[Date]]))</f>
        <v/>
      </c>
      <c r="F1534" s="63">
        <f>IF(tblCommentary[[#This Row],[Date]]="","",tblCommentary[[#This Row],[Date]]&amp;"|"&amp;tblCommentary[[#This Row],[Seq_Day]])</f>
        <v/>
      </c>
    </row>
    <row r="1535">
      <c r="A1535" s="54" t="n"/>
      <c r="B1535" s="61" t="n"/>
      <c r="C1535" s="58" t="n"/>
      <c r="D1535" s="58" t="n"/>
      <c r="E1535" s="64">
        <f>IF(tblCommentary[[#This Row],[Date]]="","",COUNTIFS(INDEX(tblCommentary[Date],1):tblCommentary[[#This Row],[Date]],tblCommentary[[#This Row],[Date]]))</f>
        <v/>
      </c>
      <c r="F1535" s="63">
        <f>IF(tblCommentary[[#This Row],[Date]]="","",tblCommentary[[#This Row],[Date]]&amp;"|"&amp;tblCommentary[[#This Row],[Seq_Day]])</f>
        <v/>
      </c>
    </row>
    <row r="1536">
      <c r="A1536" s="54" t="n"/>
      <c r="B1536" s="61" t="n"/>
      <c r="C1536" s="58" t="n"/>
      <c r="D1536" s="58" t="n"/>
      <c r="E1536" s="64">
        <f>IF(tblCommentary[[#This Row],[Date]]="","",COUNTIFS(INDEX(tblCommentary[Date],1):tblCommentary[[#This Row],[Date]],tblCommentary[[#This Row],[Date]]))</f>
        <v/>
      </c>
      <c r="F1536" s="63">
        <f>IF(tblCommentary[[#This Row],[Date]]="","",tblCommentary[[#This Row],[Date]]&amp;"|"&amp;tblCommentary[[#This Row],[Seq_Day]])</f>
        <v/>
      </c>
    </row>
    <row r="1537">
      <c r="A1537" s="54" t="n"/>
      <c r="B1537" s="61" t="n"/>
      <c r="C1537" s="58" t="n"/>
      <c r="D1537" s="58" t="n"/>
      <c r="E1537" s="64">
        <f>IF(tblCommentary[[#This Row],[Date]]="","",COUNTIFS(INDEX(tblCommentary[Date],1):tblCommentary[[#This Row],[Date]],tblCommentary[[#This Row],[Date]]))</f>
        <v/>
      </c>
      <c r="F1537" s="63">
        <f>IF(tblCommentary[[#This Row],[Date]]="","",tblCommentary[[#This Row],[Date]]&amp;"|"&amp;tblCommentary[[#This Row],[Seq_Day]])</f>
        <v/>
      </c>
    </row>
    <row r="1538">
      <c r="A1538" s="54" t="n"/>
      <c r="B1538" s="61" t="n"/>
      <c r="C1538" s="58" t="n"/>
      <c r="D1538" s="58" t="n"/>
      <c r="E1538" s="64">
        <f>IF(tblCommentary[[#This Row],[Date]]="","",COUNTIFS(INDEX(tblCommentary[Date],1):tblCommentary[[#This Row],[Date]],tblCommentary[[#This Row],[Date]]))</f>
        <v/>
      </c>
      <c r="F1538" s="63">
        <f>IF(tblCommentary[[#This Row],[Date]]="","",tblCommentary[[#This Row],[Date]]&amp;"|"&amp;tblCommentary[[#This Row],[Seq_Day]])</f>
        <v/>
      </c>
    </row>
    <row r="1539">
      <c r="A1539" s="54" t="n"/>
      <c r="B1539" s="61" t="n"/>
      <c r="C1539" s="58" t="n"/>
      <c r="D1539" s="58" t="n"/>
      <c r="E1539" s="64">
        <f>IF(tblCommentary[[#This Row],[Date]]="","",COUNTIFS(INDEX(tblCommentary[Date],1):tblCommentary[[#This Row],[Date]],tblCommentary[[#This Row],[Date]]))</f>
        <v/>
      </c>
      <c r="F1539" s="63">
        <f>IF(tblCommentary[[#This Row],[Date]]="","",tblCommentary[[#This Row],[Date]]&amp;"|"&amp;tblCommentary[[#This Row],[Seq_Day]])</f>
        <v/>
      </c>
    </row>
    <row r="1540">
      <c r="A1540" s="54" t="n"/>
      <c r="B1540" s="61" t="n"/>
      <c r="C1540" s="58" t="n"/>
      <c r="D1540" s="58" t="n"/>
      <c r="E1540" s="64">
        <f>IF(tblCommentary[[#This Row],[Date]]="","",COUNTIFS(INDEX(tblCommentary[Date],1):tblCommentary[[#This Row],[Date]],tblCommentary[[#This Row],[Date]]))</f>
        <v/>
      </c>
      <c r="F1540" s="63">
        <f>IF(tblCommentary[[#This Row],[Date]]="","",tblCommentary[[#This Row],[Date]]&amp;"|"&amp;tblCommentary[[#This Row],[Seq_Day]])</f>
        <v/>
      </c>
    </row>
    <row r="1541">
      <c r="A1541" s="54" t="n"/>
      <c r="B1541" s="61" t="n"/>
      <c r="C1541" s="58" t="n"/>
      <c r="D1541" s="58" t="n"/>
      <c r="E1541" s="64">
        <f>IF(tblCommentary[[#This Row],[Date]]="","",COUNTIFS(INDEX(tblCommentary[Date],1):tblCommentary[[#This Row],[Date]],tblCommentary[[#This Row],[Date]]))</f>
        <v/>
      </c>
      <c r="F1541" s="63">
        <f>IF(tblCommentary[[#This Row],[Date]]="","",tblCommentary[[#This Row],[Date]]&amp;"|"&amp;tblCommentary[[#This Row],[Seq_Day]])</f>
        <v/>
      </c>
    </row>
    <row r="1542">
      <c r="A1542" s="54" t="n"/>
      <c r="B1542" s="61" t="n"/>
      <c r="C1542" s="58" t="n"/>
      <c r="D1542" s="58" t="n"/>
      <c r="E1542" s="64">
        <f>IF(tblCommentary[[#This Row],[Date]]="","",COUNTIFS(INDEX(tblCommentary[Date],1):tblCommentary[[#This Row],[Date]],tblCommentary[[#This Row],[Date]]))</f>
        <v/>
      </c>
      <c r="F1542" s="63">
        <f>IF(tblCommentary[[#This Row],[Date]]="","",tblCommentary[[#This Row],[Date]]&amp;"|"&amp;tblCommentary[[#This Row],[Seq_Day]])</f>
        <v/>
      </c>
    </row>
    <row r="1543">
      <c r="A1543" s="54" t="n"/>
      <c r="B1543" s="61" t="n"/>
      <c r="C1543" s="58" t="n"/>
      <c r="D1543" s="58" t="n"/>
      <c r="E1543" s="64">
        <f>IF(tblCommentary[[#This Row],[Date]]="","",COUNTIFS(INDEX(tblCommentary[Date],1):tblCommentary[[#This Row],[Date]],tblCommentary[[#This Row],[Date]]))</f>
        <v/>
      </c>
      <c r="F1543" s="63">
        <f>IF(tblCommentary[[#This Row],[Date]]="","",tblCommentary[[#This Row],[Date]]&amp;"|"&amp;tblCommentary[[#This Row],[Seq_Day]])</f>
        <v/>
      </c>
    </row>
    <row r="1544">
      <c r="A1544" s="54" t="n"/>
      <c r="B1544" s="61" t="n"/>
      <c r="C1544" s="58" t="n"/>
      <c r="D1544" s="58" t="n"/>
      <c r="E1544" s="64">
        <f>IF(tblCommentary[[#This Row],[Date]]="","",COUNTIFS(INDEX(tblCommentary[Date],1):tblCommentary[[#This Row],[Date]],tblCommentary[[#This Row],[Date]]))</f>
        <v/>
      </c>
      <c r="F1544" s="63">
        <f>IF(tblCommentary[[#This Row],[Date]]="","",tblCommentary[[#This Row],[Date]]&amp;"|"&amp;tblCommentary[[#This Row],[Seq_Day]])</f>
        <v/>
      </c>
    </row>
    <row r="1545">
      <c r="A1545" s="54" t="n"/>
      <c r="B1545" s="61" t="n"/>
      <c r="C1545" s="58" t="n"/>
      <c r="D1545" s="58" t="n"/>
      <c r="E1545" s="64">
        <f>IF(tblCommentary[[#This Row],[Date]]="","",COUNTIFS(INDEX(tblCommentary[Date],1):tblCommentary[[#This Row],[Date]],tblCommentary[[#This Row],[Date]]))</f>
        <v/>
      </c>
      <c r="F1545" s="63">
        <f>IF(tblCommentary[[#This Row],[Date]]="","",tblCommentary[[#This Row],[Date]]&amp;"|"&amp;tblCommentary[[#This Row],[Seq_Day]])</f>
        <v/>
      </c>
    </row>
    <row r="1546">
      <c r="A1546" s="54" t="n"/>
      <c r="B1546" s="61" t="n"/>
      <c r="C1546" s="58" t="n"/>
      <c r="D1546" s="58" t="n"/>
      <c r="E1546" s="64">
        <f>IF(tblCommentary[[#This Row],[Date]]="","",COUNTIFS(INDEX(tblCommentary[Date],1):tblCommentary[[#This Row],[Date]],tblCommentary[[#This Row],[Date]]))</f>
        <v/>
      </c>
      <c r="F1546" s="63">
        <f>IF(tblCommentary[[#This Row],[Date]]="","",tblCommentary[[#This Row],[Date]]&amp;"|"&amp;tblCommentary[[#This Row],[Seq_Day]])</f>
        <v/>
      </c>
    </row>
    <row r="1547">
      <c r="A1547" s="54" t="n"/>
      <c r="B1547" s="61" t="n"/>
      <c r="C1547" s="58" t="n"/>
      <c r="D1547" s="58" t="n"/>
      <c r="E1547" s="64">
        <f>IF(tblCommentary[[#This Row],[Date]]="","",COUNTIFS(INDEX(tblCommentary[Date],1):tblCommentary[[#This Row],[Date]],tblCommentary[[#This Row],[Date]]))</f>
        <v/>
      </c>
      <c r="F1547" s="63">
        <f>IF(tblCommentary[[#This Row],[Date]]="","",tblCommentary[[#This Row],[Date]]&amp;"|"&amp;tblCommentary[[#This Row],[Seq_Day]])</f>
        <v/>
      </c>
    </row>
    <row r="1548">
      <c r="A1548" s="54" t="n"/>
      <c r="B1548" s="61" t="n"/>
      <c r="C1548" s="58" t="n"/>
      <c r="D1548" s="58" t="n"/>
      <c r="E1548" s="64">
        <f>IF(tblCommentary[[#This Row],[Date]]="","",COUNTIFS(INDEX(tblCommentary[Date],1):tblCommentary[[#This Row],[Date]],tblCommentary[[#This Row],[Date]]))</f>
        <v/>
      </c>
      <c r="F1548" s="63">
        <f>IF(tblCommentary[[#This Row],[Date]]="","",tblCommentary[[#This Row],[Date]]&amp;"|"&amp;tblCommentary[[#This Row],[Seq_Day]])</f>
        <v/>
      </c>
    </row>
    <row r="1549">
      <c r="A1549" s="54" t="n"/>
      <c r="B1549" s="61" t="n"/>
      <c r="C1549" s="58" t="n"/>
      <c r="D1549" s="58" t="n"/>
      <c r="E1549" s="64">
        <f>IF(tblCommentary[[#This Row],[Date]]="","",COUNTIFS(INDEX(tblCommentary[Date],1):tblCommentary[[#This Row],[Date]],tblCommentary[[#This Row],[Date]]))</f>
        <v/>
      </c>
      <c r="F1549" s="63">
        <f>IF(tblCommentary[[#This Row],[Date]]="","",tblCommentary[[#This Row],[Date]]&amp;"|"&amp;tblCommentary[[#This Row],[Seq_Day]])</f>
        <v/>
      </c>
    </row>
    <row r="1550">
      <c r="A1550" s="54" t="n"/>
      <c r="B1550" s="61" t="n"/>
      <c r="C1550" s="58" t="n"/>
      <c r="D1550" s="58" t="n"/>
      <c r="E1550" s="64">
        <f>IF(tblCommentary[[#This Row],[Date]]="","",COUNTIFS(INDEX(tblCommentary[Date],1):tblCommentary[[#This Row],[Date]],tblCommentary[[#This Row],[Date]]))</f>
        <v/>
      </c>
      <c r="F1550" s="63">
        <f>IF(tblCommentary[[#This Row],[Date]]="","",tblCommentary[[#This Row],[Date]]&amp;"|"&amp;tblCommentary[[#This Row],[Seq_Day]])</f>
        <v/>
      </c>
    </row>
    <row r="1551">
      <c r="A1551" s="54" t="n"/>
      <c r="B1551" s="61" t="n"/>
      <c r="C1551" s="58" t="n"/>
      <c r="D1551" s="58" t="n"/>
      <c r="E1551" s="64">
        <f>IF(tblCommentary[[#This Row],[Date]]="","",COUNTIFS(INDEX(tblCommentary[Date],1):tblCommentary[[#This Row],[Date]],tblCommentary[[#This Row],[Date]]))</f>
        <v/>
      </c>
      <c r="F1551" s="63">
        <f>IF(tblCommentary[[#This Row],[Date]]="","",tblCommentary[[#This Row],[Date]]&amp;"|"&amp;tblCommentary[[#This Row],[Seq_Day]])</f>
        <v/>
      </c>
    </row>
    <row r="1552">
      <c r="A1552" s="54" t="n"/>
      <c r="B1552" s="61" t="n"/>
      <c r="C1552" s="58" t="n"/>
      <c r="D1552" s="58" t="n"/>
      <c r="E1552" s="64">
        <f>IF(tblCommentary[[#This Row],[Date]]="","",COUNTIFS(INDEX(tblCommentary[Date],1):tblCommentary[[#This Row],[Date]],tblCommentary[[#This Row],[Date]]))</f>
        <v/>
      </c>
      <c r="F1552" s="63">
        <f>IF(tblCommentary[[#This Row],[Date]]="","",tblCommentary[[#This Row],[Date]]&amp;"|"&amp;tblCommentary[[#This Row],[Seq_Day]])</f>
        <v/>
      </c>
    </row>
    <row r="1553">
      <c r="A1553" s="54" t="n"/>
      <c r="B1553" s="61" t="n"/>
      <c r="C1553" s="58" t="n"/>
      <c r="D1553" s="58" t="n"/>
      <c r="E1553" s="64">
        <f>IF(tblCommentary[[#This Row],[Date]]="","",COUNTIFS(INDEX(tblCommentary[Date],1):tblCommentary[[#This Row],[Date]],tblCommentary[[#This Row],[Date]]))</f>
        <v/>
      </c>
      <c r="F1553" s="63">
        <f>IF(tblCommentary[[#This Row],[Date]]="","",tblCommentary[[#This Row],[Date]]&amp;"|"&amp;tblCommentary[[#This Row],[Seq_Day]])</f>
        <v/>
      </c>
    </row>
    <row r="1554">
      <c r="A1554" s="54" t="n"/>
      <c r="B1554" s="61" t="n"/>
      <c r="C1554" s="58" t="n"/>
      <c r="D1554" s="58" t="n"/>
      <c r="E1554" s="64">
        <f>IF(tblCommentary[[#This Row],[Date]]="","",COUNTIFS(INDEX(tblCommentary[Date],1):tblCommentary[[#This Row],[Date]],tblCommentary[[#This Row],[Date]]))</f>
        <v/>
      </c>
      <c r="F1554" s="63">
        <f>IF(tblCommentary[[#This Row],[Date]]="","",tblCommentary[[#This Row],[Date]]&amp;"|"&amp;tblCommentary[[#This Row],[Seq_Day]])</f>
        <v/>
      </c>
    </row>
    <row r="1555">
      <c r="A1555" s="54" t="n"/>
      <c r="B1555" s="61" t="n"/>
      <c r="C1555" s="58" t="n"/>
      <c r="D1555" s="58" t="n"/>
      <c r="E1555" s="64">
        <f>IF(tblCommentary[[#This Row],[Date]]="","",COUNTIFS(INDEX(tblCommentary[Date],1):tblCommentary[[#This Row],[Date]],tblCommentary[[#This Row],[Date]]))</f>
        <v/>
      </c>
      <c r="F1555" s="63">
        <f>IF(tblCommentary[[#This Row],[Date]]="","",tblCommentary[[#This Row],[Date]]&amp;"|"&amp;tblCommentary[[#This Row],[Seq_Day]])</f>
        <v/>
      </c>
    </row>
    <row r="1556">
      <c r="A1556" s="54" t="n"/>
      <c r="B1556" s="61" t="n"/>
      <c r="C1556" s="58" t="n"/>
      <c r="D1556" s="58" t="n"/>
      <c r="E1556" s="64">
        <f>IF(tblCommentary[[#This Row],[Date]]="","",COUNTIFS(INDEX(tblCommentary[Date],1):tblCommentary[[#This Row],[Date]],tblCommentary[[#This Row],[Date]]))</f>
        <v/>
      </c>
      <c r="F1556" s="63">
        <f>IF(tblCommentary[[#This Row],[Date]]="","",tblCommentary[[#This Row],[Date]]&amp;"|"&amp;tblCommentary[[#This Row],[Seq_Day]])</f>
        <v/>
      </c>
    </row>
    <row r="1557">
      <c r="A1557" s="54" t="n"/>
      <c r="B1557" s="61" t="n"/>
      <c r="C1557" s="58" t="n"/>
      <c r="D1557" s="58" t="n"/>
      <c r="E1557" s="64">
        <f>IF(tblCommentary[[#This Row],[Date]]="","",COUNTIFS(INDEX(tblCommentary[Date],1):tblCommentary[[#This Row],[Date]],tblCommentary[[#This Row],[Date]]))</f>
        <v/>
      </c>
      <c r="F1557" s="63">
        <f>IF(tblCommentary[[#This Row],[Date]]="","",tblCommentary[[#This Row],[Date]]&amp;"|"&amp;tblCommentary[[#This Row],[Seq_Day]])</f>
        <v/>
      </c>
    </row>
    <row r="1558">
      <c r="A1558" s="54" t="n"/>
      <c r="B1558" s="61" t="n"/>
      <c r="C1558" s="58" t="n"/>
      <c r="D1558" s="58" t="n"/>
      <c r="E1558" s="64">
        <f>IF(tblCommentary[[#This Row],[Date]]="","",COUNTIFS(INDEX(tblCommentary[Date],1):tblCommentary[[#This Row],[Date]],tblCommentary[[#This Row],[Date]]))</f>
        <v/>
      </c>
      <c r="F1558" s="63">
        <f>IF(tblCommentary[[#This Row],[Date]]="","",tblCommentary[[#This Row],[Date]]&amp;"|"&amp;tblCommentary[[#This Row],[Seq_Day]])</f>
        <v/>
      </c>
    </row>
    <row r="1559">
      <c r="A1559" s="54" t="n"/>
      <c r="B1559" s="61" t="n"/>
      <c r="C1559" s="58" t="n"/>
      <c r="D1559" s="58" t="n"/>
      <c r="E1559" s="64">
        <f>IF(tblCommentary[[#This Row],[Date]]="","",COUNTIFS(INDEX(tblCommentary[Date],1):tblCommentary[[#This Row],[Date]],tblCommentary[[#This Row],[Date]]))</f>
        <v/>
      </c>
      <c r="F1559" s="63">
        <f>IF(tblCommentary[[#This Row],[Date]]="","",tblCommentary[[#This Row],[Date]]&amp;"|"&amp;tblCommentary[[#This Row],[Seq_Day]])</f>
        <v/>
      </c>
    </row>
    <row r="1560">
      <c r="A1560" s="54" t="n"/>
      <c r="B1560" s="61" t="n"/>
      <c r="C1560" s="58" t="n"/>
      <c r="D1560" s="58" t="n"/>
      <c r="E1560" s="64">
        <f>IF(tblCommentary[[#This Row],[Date]]="","",COUNTIFS(INDEX(tblCommentary[Date],1):tblCommentary[[#This Row],[Date]],tblCommentary[[#This Row],[Date]]))</f>
        <v/>
      </c>
      <c r="F1560" s="63">
        <f>IF(tblCommentary[[#This Row],[Date]]="","",tblCommentary[[#This Row],[Date]]&amp;"|"&amp;tblCommentary[[#This Row],[Seq_Day]])</f>
        <v/>
      </c>
    </row>
    <row r="1561">
      <c r="A1561" s="54" t="n"/>
      <c r="B1561" s="61" t="n"/>
      <c r="C1561" s="58" t="n"/>
      <c r="D1561" s="58" t="n"/>
      <c r="E1561" s="64">
        <f>IF(tblCommentary[[#This Row],[Date]]="","",COUNTIFS(INDEX(tblCommentary[Date],1):tblCommentary[[#This Row],[Date]],tblCommentary[[#This Row],[Date]]))</f>
        <v/>
      </c>
      <c r="F1561" s="63">
        <f>IF(tblCommentary[[#This Row],[Date]]="","",tblCommentary[[#This Row],[Date]]&amp;"|"&amp;tblCommentary[[#This Row],[Seq_Day]])</f>
        <v/>
      </c>
    </row>
    <row r="1562">
      <c r="A1562" s="54" t="n"/>
      <c r="B1562" s="61" t="n"/>
      <c r="C1562" s="58" t="n"/>
      <c r="D1562" s="58" t="n"/>
      <c r="E1562" s="64">
        <f>IF(tblCommentary[[#This Row],[Date]]="","",COUNTIFS(INDEX(tblCommentary[Date],1):tblCommentary[[#This Row],[Date]],tblCommentary[[#This Row],[Date]]))</f>
        <v/>
      </c>
      <c r="F1562" s="63">
        <f>IF(tblCommentary[[#This Row],[Date]]="","",tblCommentary[[#This Row],[Date]]&amp;"|"&amp;tblCommentary[[#This Row],[Seq_Day]])</f>
        <v/>
      </c>
    </row>
    <row r="1563">
      <c r="A1563" s="54" t="n"/>
      <c r="B1563" s="61" t="n"/>
      <c r="C1563" s="58" t="n"/>
      <c r="D1563" s="58" t="n"/>
      <c r="E1563" s="64">
        <f>IF(tblCommentary[[#This Row],[Date]]="","",COUNTIFS(INDEX(tblCommentary[Date],1):tblCommentary[[#This Row],[Date]],tblCommentary[[#This Row],[Date]]))</f>
        <v/>
      </c>
      <c r="F1563" s="63">
        <f>IF(tblCommentary[[#This Row],[Date]]="","",tblCommentary[[#This Row],[Date]]&amp;"|"&amp;tblCommentary[[#This Row],[Seq_Day]])</f>
        <v/>
      </c>
    </row>
    <row r="1564">
      <c r="A1564" s="54" t="n"/>
      <c r="B1564" s="61" t="n"/>
      <c r="C1564" s="58" t="n"/>
      <c r="D1564" s="58" t="n"/>
      <c r="E1564" s="64">
        <f>IF(tblCommentary[[#This Row],[Date]]="","",COUNTIFS(INDEX(tblCommentary[Date],1):tblCommentary[[#This Row],[Date]],tblCommentary[[#This Row],[Date]]))</f>
        <v/>
      </c>
      <c r="F1564" s="63">
        <f>IF(tblCommentary[[#This Row],[Date]]="","",tblCommentary[[#This Row],[Date]]&amp;"|"&amp;tblCommentary[[#This Row],[Seq_Day]])</f>
        <v/>
      </c>
    </row>
    <row r="1565">
      <c r="A1565" s="54" t="n"/>
      <c r="B1565" s="61" t="n"/>
      <c r="C1565" s="58" t="n"/>
      <c r="D1565" s="58" t="n"/>
      <c r="E1565" s="64">
        <f>IF(tblCommentary[[#This Row],[Date]]="","",COUNTIFS(INDEX(tblCommentary[Date],1):tblCommentary[[#This Row],[Date]],tblCommentary[[#This Row],[Date]]))</f>
        <v/>
      </c>
      <c r="F1565" s="63">
        <f>IF(tblCommentary[[#This Row],[Date]]="","",tblCommentary[[#This Row],[Date]]&amp;"|"&amp;tblCommentary[[#This Row],[Seq_Day]])</f>
        <v/>
      </c>
    </row>
    <row r="1566">
      <c r="A1566" s="54" t="n"/>
      <c r="B1566" s="61" t="n"/>
      <c r="C1566" s="58" t="n"/>
      <c r="D1566" s="58" t="n"/>
      <c r="E1566" s="64">
        <f>IF(tblCommentary[[#This Row],[Date]]="","",COUNTIFS(INDEX(tblCommentary[Date],1):tblCommentary[[#This Row],[Date]],tblCommentary[[#This Row],[Date]]))</f>
        <v/>
      </c>
      <c r="F1566" s="63">
        <f>IF(tblCommentary[[#This Row],[Date]]="","",tblCommentary[[#This Row],[Date]]&amp;"|"&amp;tblCommentary[[#This Row],[Seq_Day]])</f>
        <v/>
      </c>
    </row>
    <row r="1567">
      <c r="A1567" s="54" t="n"/>
      <c r="B1567" s="61" t="n"/>
      <c r="C1567" s="58" t="n"/>
      <c r="D1567" s="58" t="n"/>
      <c r="E1567" s="64">
        <f>IF(tblCommentary[[#This Row],[Date]]="","",COUNTIFS(INDEX(tblCommentary[Date],1):tblCommentary[[#This Row],[Date]],tblCommentary[[#This Row],[Date]]))</f>
        <v/>
      </c>
      <c r="F1567" s="63">
        <f>IF(tblCommentary[[#This Row],[Date]]="","",tblCommentary[[#This Row],[Date]]&amp;"|"&amp;tblCommentary[[#This Row],[Seq_Day]])</f>
        <v/>
      </c>
    </row>
    <row r="1568">
      <c r="A1568" s="54" t="n"/>
      <c r="B1568" s="61" t="n"/>
      <c r="C1568" s="58" t="n"/>
      <c r="D1568" s="58" t="n"/>
      <c r="E1568" s="64">
        <f>IF(tblCommentary[[#This Row],[Date]]="","",COUNTIFS(INDEX(tblCommentary[Date],1):tblCommentary[[#This Row],[Date]],tblCommentary[[#This Row],[Date]]))</f>
        <v/>
      </c>
      <c r="F1568" s="63">
        <f>IF(tblCommentary[[#This Row],[Date]]="","",tblCommentary[[#This Row],[Date]]&amp;"|"&amp;tblCommentary[[#This Row],[Seq_Day]])</f>
        <v/>
      </c>
    </row>
    <row r="1569">
      <c r="A1569" s="54" t="n"/>
      <c r="B1569" s="61" t="n"/>
      <c r="C1569" s="58" t="n"/>
      <c r="D1569" s="58" t="n"/>
      <c r="E1569" s="64">
        <f>IF(tblCommentary[[#This Row],[Date]]="","",COUNTIFS(INDEX(tblCommentary[Date],1):tblCommentary[[#This Row],[Date]],tblCommentary[[#This Row],[Date]]))</f>
        <v/>
      </c>
      <c r="F1569" s="63">
        <f>IF(tblCommentary[[#This Row],[Date]]="","",tblCommentary[[#This Row],[Date]]&amp;"|"&amp;tblCommentary[[#This Row],[Seq_Day]])</f>
        <v/>
      </c>
    </row>
    <row r="1570">
      <c r="A1570" s="54" t="n"/>
      <c r="B1570" s="61" t="n"/>
      <c r="C1570" s="58" t="n"/>
      <c r="D1570" s="58" t="n"/>
      <c r="E1570" s="64">
        <f>IF(tblCommentary[[#This Row],[Date]]="","",COUNTIFS(INDEX(tblCommentary[Date],1):tblCommentary[[#This Row],[Date]],tblCommentary[[#This Row],[Date]]))</f>
        <v/>
      </c>
      <c r="F1570" s="63">
        <f>IF(tblCommentary[[#This Row],[Date]]="","",tblCommentary[[#This Row],[Date]]&amp;"|"&amp;tblCommentary[[#This Row],[Seq_Day]])</f>
        <v/>
      </c>
    </row>
    <row r="1571">
      <c r="A1571" s="54" t="n"/>
      <c r="B1571" s="61" t="n"/>
      <c r="C1571" s="58" t="n"/>
      <c r="D1571" s="58" t="n"/>
      <c r="E1571" s="64">
        <f>IF(tblCommentary[[#This Row],[Date]]="","",COUNTIFS(INDEX(tblCommentary[Date],1):tblCommentary[[#This Row],[Date]],tblCommentary[[#This Row],[Date]]))</f>
        <v/>
      </c>
      <c r="F1571" s="63">
        <f>IF(tblCommentary[[#This Row],[Date]]="","",tblCommentary[[#This Row],[Date]]&amp;"|"&amp;tblCommentary[[#This Row],[Seq_Day]])</f>
        <v/>
      </c>
    </row>
    <row r="1572">
      <c r="A1572" s="54" t="n"/>
      <c r="B1572" s="61" t="n"/>
      <c r="C1572" s="58" t="n"/>
      <c r="D1572" s="58" t="n"/>
      <c r="E1572" s="64">
        <f>IF(tblCommentary[[#This Row],[Date]]="","",COUNTIFS(INDEX(tblCommentary[Date],1):tblCommentary[[#This Row],[Date]],tblCommentary[[#This Row],[Date]]))</f>
        <v/>
      </c>
      <c r="F1572" s="63">
        <f>IF(tblCommentary[[#This Row],[Date]]="","",tblCommentary[[#This Row],[Date]]&amp;"|"&amp;tblCommentary[[#This Row],[Seq_Day]])</f>
        <v/>
      </c>
    </row>
    <row r="1573">
      <c r="A1573" s="54" t="n"/>
      <c r="B1573" s="61" t="n"/>
      <c r="C1573" s="58" t="n"/>
      <c r="D1573" s="58" t="n"/>
      <c r="E1573" s="64">
        <f>IF(tblCommentary[[#This Row],[Date]]="","",COUNTIFS(INDEX(tblCommentary[Date],1):tblCommentary[[#This Row],[Date]],tblCommentary[[#This Row],[Date]]))</f>
        <v/>
      </c>
      <c r="F1573" s="63">
        <f>IF(tblCommentary[[#This Row],[Date]]="","",tblCommentary[[#This Row],[Date]]&amp;"|"&amp;tblCommentary[[#This Row],[Seq_Day]])</f>
        <v/>
      </c>
    </row>
    <row r="1574">
      <c r="A1574" s="54" t="n"/>
      <c r="B1574" s="61" t="n"/>
      <c r="C1574" s="58" t="n"/>
      <c r="D1574" s="58" t="n"/>
      <c r="E1574" s="64">
        <f>IF(tblCommentary[[#This Row],[Date]]="","",COUNTIFS(INDEX(tblCommentary[Date],1):tblCommentary[[#This Row],[Date]],tblCommentary[[#This Row],[Date]]))</f>
        <v/>
      </c>
      <c r="F1574" s="63">
        <f>IF(tblCommentary[[#This Row],[Date]]="","",tblCommentary[[#This Row],[Date]]&amp;"|"&amp;tblCommentary[[#This Row],[Seq_Day]])</f>
        <v/>
      </c>
    </row>
    <row r="1575">
      <c r="A1575" s="54" t="n"/>
      <c r="B1575" s="61" t="n"/>
      <c r="C1575" s="58" t="n"/>
      <c r="D1575" s="58" t="n"/>
      <c r="E1575" s="64">
        <f>IF(tblCommentary[[#This Row],[Date]]="","",COUNTIFS(INDEX(tblCommentary[Date],1):tblCommentary[[#This Row],[Date]],tblCommentary[[#This Row],[Date]]))</f>
        <v/>
      </c>
      <c r="F1575" s="63">
        <f>IF(tblCommentary[[#This Row],[Date]]="","",tblCommentary[[#This Row],[Date]]&amp;"|"&amp;tblCommentary[[#This Row],[Seq_Day]])</f>
        <v/>
      </c>
    </row>
    <row r="1576">
      <c r="A1576" s="54" t="n"/>
      <c r="B1576" s="61" t="n"/>
      <c r="C1576" s="58" t="n"/>
      <c r="D1576" s="58" t="n"/>
      <c r="E1576" s="64">
        <f>IF(tblCommentary[[#This Row],[Date]]="","",COUNTIFS(INDEX(tblCommentary[Date],1):tblCommentary[[#This Row],[Date]],tblCommentary[[#This Row],[Date]]))</f>
        <v/>
      </c>
      <c r="F1576" s="63">
        <f>IF(tblCommentary[[#This Row],[Date]]="","",tblCommentary[[#This Row],[Date]]&amp;"|"&amp;tblCommentary[[#This Row],[Seq_Day]])</f>
        <v/>
      </c>
    </row>
    <row r="1577">
      <c r="A1577" s="54" t="n"/>
      <c r="B1577" s="61" t="n"/>
      <c r="C1577" s="58" t="n"/>
      <c r="D1577" s="58" t="n"/>
      <c r="E1577" s="64">
        <f>IF(tblCommentary[[#This Row],[Date]]="","",COUNTIFS(INDEX(tblCommentary[Date],1):tblCommentary[[#This Row],[Date]],tblCommentary[[#This Row],[Date]]))</f>
        <v/>
      </c>
      <c r="F1577" s="63">
        <f>IF(tblCommentary[[#This Row],[Date]]="","",tblCommentary[[#This Row],[Date]]&amp;"|"&amp;tblCommentary[[#This Row],[Seq_Day]])</f>
        <v/>
      </c>
    </row>
    <row r="1578">
      <c r="A1578" s="54" t="n"/>
      <c r="B1578" s="61" t="n"/>
      <c r="C1578" s="58" t="n"/>
      <c r="D1578" s="58" t="n"/>
      <c r="E1578" s="64">
        <f>IF(tblCommentary[[#This Row],[Date]]="","",COUNTIFS(INDEX(tblCommentary[Date],1):tblCommentary[[#This Row],[Date]],tblCommentary[[#This Row],[Date]]))</f>
        <v/>
      </c>
      <c r="F1578" s="63">
        <f>IF(tblCommentary[[#This Row],[Date]]="","",tblCommentary[[#This Row],[Date]]&amp;"|"&amp;tblCommentary[[#This Row],[Seq_Day]])</f>
        <v/>
      </c>
    </row>
    <row r="1579">
      <c r="A1579" s="54" t="n"/>
      <c r="B1579" s="61" t="n"/>
      <c r="C1579" s="58" t="n"/>
      <c r="D1579" s="58" t="n"/>
      <c r="E1579" s="64">
        <f>IF(tblCommentary[[#This Row],[Date]]="","",COUNTIFS(INDEX(tblCommentary[Date],1):tblCommentary[[#This Row],[Date]],tblCommentary[[#This Row],[Date]]))</f>
        <v/>
      </c>
      <c r="F1579" s="63">
        <f>IF(tblCommentary[[#This Row],[Date]]="","",tblCommentary[[#This Row],[Date]]&amp;"|"&amp;tblCommentary[[#This Row],[Seq_Day]])</f>
        <v/>
      </c>
    </row>
    <row r="1580">
      <c r="A1580" s="54" t="n"/>
      <c r="B1580" s="61" t="n"/>
      <c r="C1580" s="58" t="n"/>
      <c r="D1580" s="58" t="n"/>
      <c r="E1580" s="64">
        <f>IF(tblCommentary[[#This Row],[Date]]="","",COUNTIFS(INDEX(tblCommentary[Date],1):tblCommentary[[#This Row],[Date]],tblCommentary[[#This Row],[Date]]))</f>
        <v/>
      </c>
      <c r="F1580" s="63">
        <f>IF(tblCommentary[[#This Row],[Date]]="","",tblCommentary[[#This Row],[Date]]&amp;"|"&amp;tblCommentary[[#This Row],[Seq_Day]])</f>
        <v/>
      </c>
    </row>
    <row r="1581">
      <c r="A1581" s="54" t="n"/>
      <c r="B1581" s="61" t="n"/>
      <c r="C1581" s="58" t="n"/>
      <c r="D1581" s="58" t="n"/>
      <c r="E1581" s="64">
        <f>IF(tblCommentary[[#This Row],[Date]]="","",COUNTIFS(INDEX(tblCommentary[Date],1):tblCommentary[[#This Row],[Date]],tblCommentary[[#This Row],[Date]]))</f>
        <v/>
      </c>
      <c r="F1581" s="63">
        <f>IF(tblCommentary[[#This Row],[Date]]="","",tblCommentary[[#This Row],[Date]]&amp;"|"&amp;tblCommentary[[#This Row],[Seq_Day]])</f>
        <v/>
      </c>
    </row>
    <row r="1582">
      <c r="A1582" s="54" t="n"/>
      <c r="B1582" s="61" t="n"/>
      <c r="C1582" s="58" t="n"/>
      <c r="D1582" s="58" t="n"/>
      <c r="E1582" s="64">
        <f>IF(tblCommentary[[#This Row],[Date]]="","",COUNTIFS(INDEX(tblCommentary[Date],1):tblCommentary[[#This Row],[Date]],tblCommentary[[#This Row],[Date]]))</f>
        <v/>
      </c>
      <c r="F1582" s="63">
        <f>IF(tblCommentary[[#This Row],[Date]]="","",tblCommentary[[#This Row],[Date]]&amp;"|"&amp;tblCommentary[[#This Row],[Seq_Day]])</f>
        <v/>
      </c>
    </row>
    <row r="1583">
      <c r="A1583" s="54" t="n"/>
      <c r="B1583" s="61" t="n"/>
      <c r="C1583" s="58" t="n"/>
      <c r="D1583" s="58" t="n"/>
      <c r="E1583" s="64">
        <f>IF(tblCommentary[[#This Row],[Date]]="","",COUNTIFS(INDEX(tblCommentary[Date],1):tblCommentary[[#This Row],[Date]],tblCommentary[[#This Row],[Date]]))</f>
        <v/>
      </c>
      <c r="F1583" s="63">
        <f>IF(tblCommentary[[#This Row],[Date]]="","",tblCommentary[[#This Row],[Date]]&amp;"|"&amp;tblCommentary[[#This Row],[Seq_Day]])</f>
        <v/>
      </c>
    </row>
    <row r="1584">
      <c r="A1584" s="54" t="n"/>
      <c r="B1584" s="61" t="n"/>
      <c r="C1584" s="58" t="n"/>
      <c r="D1584" s="58" t="n"/>
      <c r="E1584" s="64">
        <f>IF(tblCommentary[[#This Row],[Date]]="","",COUNTIFS(INDEX(tblCommentary[Date],1):tblCommentary[[#This Row],[Date]],tblCommentary[[#This Row],[Date]]))</f>
        <v/>
      </c>
      <c r="F1584" s="63">
        <f>IF(tblCommentary[[#This Row],[Date]]="","",tblCommentary[[#This Row],[Date]]&amp;"|"&amp;tblCommentary[[#This Row],[Seq_Day]])</f>
        <v/>
      </c>
    </row>
    <row r="1585">
      <c r="A1585" s="54" t="n"/>
      <c r="B1585" s="61" t="n"/>
      <c r="C1585" s="58" t="n"/>
      <c r="D1585" s="58" t="n"/>
      <c r="E1585" s="64">
        <f>IF(tblCommentary[[#This Row],[Date]]="","",COUNTIFS(INDEX(tblCommentary[Date],1):tblCommentary[[#This Row],[Date]],tblCommentary[[#This Row],[Date]]))</f>
        <v/>
      </c>
      <c r="F1585" s="63">
        <f>IF(tblCommentary[[#This Row],[Date]]="","",tblCommentary[[#This Row],[Date]]&amp;"|"&amp;tblCommentary[[#This Row],[Seq_Day]])</f>
        <v/>
      </c>
    </row>
    <row r="1586">
      <c r="A1586" s="54" t="n"/>
      <c r="B1586" s="61" t="n"/>
      <c r="C1586" s="58" t="n"/>
      <c r="D1586" s="58" t="n"/>
      <c r="E1586" s="64">
        <f>IF(tblCommentary[[#This Row],[Date]]="","",COUNTIFS(INDEX(tblCommentary[Date],1):tblCommentary[[#This Row],[Date]],tblCommentary[[#This Row],[Date]]))</f>
        <v/>
      </c>
      <c r="F1586" s="63">
        <f>IF(tblCommentary[[#This Row],[Date]]="","",tblCommentary[[#This Row],[Date]]&amp;"|"&amp;tblCommentary[[#This Row],[Seq_Day]])</f>
        <v/>
      </c>
    </row>
    <row r="1587">
      <c r="A1587" s="54" t="n"/>
      <c r="B1587" s="61" t="n"/>
      <c r="C1587" s="58" t="n"/>
      <c r="D1587" s="58" t="n"/>
      <c r="E1587" s="64">
        <f>IF(tblCommentary[[#This Row],[Date]]="","",COUNTIFS(INDEX(tblCommentary[Date],1):tblCommentary[[#This Row],[Date]],tblCommentary[[#This Row],[Date]]))</f>
        <v/>
      </c>
      <c r="F1587" s="63">
        <f>IF(tblCommentary[[#This Row],[Date]]="","",tblCommentary[[#This Row],[Date]]&amp;"|"&amp;tblCommentary[[#This Row],[Seq_Day]])</f>
        <v/>
      </c>
    </row>
    <row r="1588">
      <c r="A1588" s="54" t="n"/>
      <c r="B1588" s="61" t="n"/>
      <c r="C1588" s="58" t="n"/>
      <c r="D1588" s="58" t="n"/>
      <c r="E1588" s="64">
        <f>IF(tblCommentary[[#This Row],[Date]]="","",COUNTIFS(INDEX(tblCommentary[Date],1):tblCommentary[[#This Row],[Date]],tblCommentary[[#This Row],[Date]]))</f>
        <v/>
      </c>
      <c r="F1588" s="63">
        <f>IF(tblCommentary[[#This Row],[Date]]="","",tblCommentary[[#This Row],[Date]]&amp;"|"&amp;tblCommentary[[#This Row],[Seq_Day]])</f>
        <v/>
      </c>
    </row>
    <row r="1589">
      <c r="A1589" s="54" t="n"/>
      <c r="B1589" s="61" t="n"/>
      <c r="C1589" s="58" t="n"/>
      <c r="D1589" s="58" t="n"/>
      <c r="E1589" s="64">
        <f>IF(tblCommentary[[#This Row],[Date]]="","",COUNTIFS(INDEX(tblCommentary[Date],1):tblCommentary[[#This Row],[Date]],tblCommentary[[#This Row],[Date]]))</f>
        <v/>
      </c>
      <c r="F1589" s="63">
        <f>IF(tblCommentary[[#This Row],[Date]]="","",tblCommentary[[#This Row],[Date]]&amp;"|"&amp;tblCommentary[[#This Row],[Seq_Day]])</f>
        <v/>
      </c>
    </row>
    <row r="1590">
      <c r="A1590" s="54" t="n"/>
      <c r="B1590" s="61" t="n"/>
      <c r="C1590" s="58" t="n"/>
      <c r="D1590" s="58" t="n"/>
      <c r="E1590" s="64">
        <f>IF(tblCommentary[[#This Row],[Date]]="","",COUNTIFS(INDEX(tblCommentary[Date],1):tblCommentary[[#This Row],[Date]],tblCommentary[[#This Row],[Date]]))</f>
        <v/>
      </c>
      <c r="F1590" s="63">
        <f>IF(tblCommentary[[#This Row],[Date]]="","",tblCommentary[[#This Row],[Date]]&amp;"|"&amp;tblCommentary[[#This Row],[Seq_Day]])</f>
        <v/>
      </c>
    </row>
    <row r="1591">
      <c r="A1591" s="54" t="n"/>
      <c r="B1591" s="61" t="n"/>
      <c r="C1591" s="58" t="n"/>
      <c r="D1591" s="58" t="n"/>
      <c r="E1591" s="64">
        <f>IF(tblCommentary[[#This Row],[Date]]="","",COUNTIFS(INDEX(tblCommentary[Date],1):tblCommentary[[#This Row],[Date]],tblCommentary[[#This Row],[Date]]))</f>
        <v/>
      </c>
      <c r="F1591" s="63">
        <f>IF(tblCommentary[[#This Row],[Date]]="","",tblCommentary[[#This Row],[Date]]&amp;"|"&amp;tblCommentary[[#This Row],[Seq_Day]])</f>
        <v/>
      </c>
    </row>
    <row r="1592">
      <c r="A1592" s="54" t="n"/>
      <c r="B1592" s="61" t="n"/>
      <c r="C1592" s="58" t="n"/>
      <c r="D1592" s="58" t="n"/>
      <c r="E1592" s="64">
        <f>IF(tblCommentary[[#This Row],[Date]]="","",COUNTIFS(INDEX(tblCommentary[Date],1):tblCommentary[[#This Row],[Date]],tblCommentary[[#This Row],[Date]]))</f>
        <v/>
      </c>
      <c r="F1592" s="63">
        <f>IF(tblCommentary[[#This Row],[Date]]="","",tblCommentary[[#This Row],[Date]]&amp;"|"&amp;tblCommentary[[#This Row],[Seq_Day]])</f>
        <v/>
      </c>
    </row>
    <row r="1593">
      <c r="A1593" s="54" t="n"/>
      <c r="B1593" s="61" t="n"/>
      <c r="C1593" s="58" t="n"/>
      <c r="D1593" s="58" t="n"/>
      <c r="E1593" s="64">
        <f>IF(tblCommentary[[#This Row],[Date]]="","",COUNTIFS(INDEX(tblCommentary[Date],1):tblCommentary[[#This Row],[Date]],tblCommentary[[#This Row],[Date]]))</f>
        <v/>
      </c>
      <c r="F1593" s="63">
        <f>IF(tblCommentary[[#This Row],[Date]]="","",tblCommentary[[#This Row],[Date]]&amp;"|"&amp;tblCommentary[[#This Row],[Seq_Day]])</f>
        <v/>
      </c>
    </row>
    <row r="1594">
      <c r="A1594" s="54" t="n"/>
      <c r="B1594" s="61" t="n"/>
      <c r="C1594" s="58" t="n"/>
      <c r="D1594" s="58" t="n"/>
      <c r="E1594" s="64">
        <f>IF(tblCommentary[[#This Row],[Date]]="","",COUNTIFS(INDEX(tblCommentary[Date],1):tblCommentary[[#This Row],[Date]],tblCommentary[[#This Row],[Date]]))</f>
        <v/>
      </c>
      <c r="F1594" s="63">
        <f>IF(tblCommentary[[#This Row],[Date]]="","",tblCommentary[[#This Row],[Date]]&amp;"|"&amp;tblCommentary[[#This Row],[Seq_Day]])</f>
        <v/>
      </c>
    </row>
    <row r="1595">
      <c r="A1595" s="54" t="n"/>
      <c r="B1595" s="61" t="n"/>
      <c r="C1595" s="58" t="n"/>
      <c r="D1595" s="58" t="n"/>
      <c r="E1595" s="64">
        <f>IF(tblCommentary[[#This Row],[Date]]="","",COUNTIFS(INDEX(tblCommentary[Date],1):tblCommentary[[#This Row],[Date]],tblCommentary[[#This Row],[Date]]))</f>
        <v/>
      </c>
      <c r="F1595" s="63">
        <f>IF(tblCommentary[[#This Row],[Date]]="","",tblCommentary[[#This Row],[Date]]&amp;"|"&amp;tblCommentary[[#This Row],[Seq_Day]])</f>
        <v/>
      </c>
    </row>
    <row r="1596">
      <c r="A1596" s="54" t="n"/>
      <c r="B1596" s="61" t="n"/>
      <c r="C1596" s="58" t="n"/>
      <c r="D1596" s="58" t="n"/>
      <c r="E1596" s="64">
        <f>IF(tblCommentary[[#This Row],[Date]]="","",COUNTIFS(INDEX(tblCommentary[Date],1):tblCommentary[[#This Row],[Date]],tblCommentary[[#This Row],[Date]]))</f>
        <v/>
      </c>
      <c r="F1596" s="63">
        <f>IF(tblCommentary[[#This Row],[Date]]="","",tblCommentary[[#This Row],[Date]]&amp;"|"&amp;tblCommentary[[#This Row],[Seq_Day]])</f>
        <v/>
      </c>
    </row>
    <row r="1597">
      <c r="A1597" s="54" t="n"/>
      <c r="B1597" s="61" t="n"/>
      <c r="C1597" s="58" t="n"/>
      <c r="D1597" s="58" t="n"/>
      <c r="E1597" s="64">
        <f>IF(tblCommentary[[#This Row],[Date]]="","",COUNTIFS(INDEX(tblCommentary[Date],1):tblCommentary[[#This Row],[Date]],tblCommentary[[#This Row],[Date]]))</f>
        <v/>
      </c>
      <c r="F1597" s="63">
        <f>IF(tblCommentary[[#This Row],[Date]]="","",tblCommentary[[#This Row],[Date]]&amp;"|"&amp;tblCommentary[[#This Row],[Seq_Day]])</f>
        <v/>
      </c>
    </row>
    <row r="1598">
      <c r="A1598" s="54" t="n"/>
      <c r="B1598" s="61" t="n"/>
      <c r="C1598" s="58" t="n"/>
      <c r="D1598" s="58" t="n"/>
      <c r="E1598" s="64">
        <f>IF(tblCommentary[[#This Row],[Date]]="","",COUNTIFS(INDEX(tblCommentary[Date],1):tblCommentary[[#This Row],[Date]],tblCommentary[[#This Row],[Date]]))</f>
        <v/>
      </c>
      <c r="F1598" s="63">
        <f>IF(tblCommentary[[#This Row],[Date]]="","",tblCommentary[[#This Row],[Date]]&amp;"|"&amp;tblCommentary[[#This Row],[Seq_Day]])</f>
        <v/>
      </c>
    </row>
    <row r="1599">
      <c r="A1599" s="54" t="n"/>
      <c r="B1599" s="61" t="n"/>
      <c r="C1599" s="58" t="n"/>
      <c r="D1599" s="58" t="n"/>
      <c r="E1599" s="64">
        <f>IF(tblCommentary[[#This Row],[Date]]="","",COUNTIFS(INDEX(tblCommentary[Date],1):tblCommentary[[#This Row],[Date]],tblCommentary[[#This Row],[Date]]))</f>
        <v/>
      </c>
      <c r="F1599" s="63">
        <f>IF(tblCommentary[[#This Row],[Date]]="","",tblCommentary[[#This Row],[Date]]&amp;"|"&amp;tblCommentary[[#This Row],[Seq_Day]])</f>
        <v/>
      </c>
    </row>
    <row r="1600">
      <c r="A1600" s="54" t="n"/>
      <c r="B1600" s="61" t="n"/>
      <c r="C1600" s="58" t="n"/>
      <c r="D1600" s="58" t="n"/>
      <c r="E1600" s="64">
        <f>IF(tblCommentary[[#This Row],[Date]]="","",COUNTIFS(INDEX(tblCommentary[Date],1):tblCommentary[[#This Row],[Date]],tblCommentary[[#This Row],[Date]]))</f>
        <v/>
      </c>
      <c r="F1600" s="63">
        <f>IF(tblCommentary[[#This Row],[Date]]="","",tblCommentary[[#This Row],[Date]]&amp;"|"&amp;tblCommentary[[#This Row],[Seq_Day]])</f>
        <v/>
      </c>
    </row>
    <row r="1601">
      <c r="A1601" s="54" t="n"/>
      <c r="B1601" s="61" t="n"/>
      <c r="C1601" s="58" t="n"/>
      <c r="D1601" s="58" t="n"/>
      <c r="E1601" s="64">
        <f>IF(tblCommentary[[#This Row],[Date]]="","",COUNTIFS(INDEX(tblCommentary[Date],1):tblCommentary[[#This Row],[Date]],tblCommentary[[#This Row],[Date]]))</f>
        <v/>
      </c>
      <c r="F1601" s="63">
        <f>IF(tblCommentary[[#This Row],[Date]]="","",tblCommentary[[#This Row],[Date]]&amp;"|"&amp;tblCommentary[[#This Row],[Seq_Day]])</f>
        <v/>
      </c>
    </row>
    <row r="1602">
      <c r="A1602" s="54" t="n"/>
      <c r="B1602" s="61" t="n"/>
      <c r="C1602" s="58" t="n"/>
      <c r="D1602" s="58" t="n"/>
      <c r="E1602" s="64">
        <f>IF(tblCommentary[[#This Row],[Date]]="","",COUNTIFS(INDEX(tblCommentary[Date],1):tblCommentary[[#This Row],[Date]],tblCommentary[[#This Row],[Date]]))</f>
        <v/>
      </c>
      <c r="F1602" s="63">
        <f>IF(tblCommentary[[#This Row],[Date]]="","",tblCommentary[[#This Row],[Date]]&amp;"|"&amp;tblCommentary[[#This Row],[Seq_Day]])</f>
        <v/>
      </c>
    </row>
    <row r="1603">
      <c r="A1603" s="54" t="n"/>
      <c r="B1603" s="61" t="n"/>
      <c r="C1603" s="58" t="n"/>
      <c r="D1603" s="58" t="n"/>
      <c r="E1603" s="64">
        <f>IF(tblCommentary[[#This Row],[Date]]="","",COUNTIFS(INDEX(tblCommentary[Date],1):tblCommentary[[#This Row],[Date]],tblCommentary[[#This Row],[Date]]))</f>
        <v/>
      </c>
      <c r="F1603" s="63">
        <f>IF(tblCommentary[[#This Row],[Date]]="","",tblCommentary[[#This Row],[Date]]&amp;"|"&amp;tblCommentary[[#This Row],[Seq_Day]])</f>
        <v/>
      </c>
    </row>
    <row r="1604">
      <c r="A1604" s="54" t="n"/>
      <c r="B1604" s="61" t="n"/>
      <c r="C1604" s="58" t="n"/>
      <c r="D1604" s="58" t="n"/>
      <c r="E1604" s="64">
        <f>IF(tblCommentary[[#This Row],[Date]]="","",COUNTIFS(INDEX(tblCommentary[Date],1):tblCommentary[[#This Row],[Date]],tblCommentary[[#This Row],[Date]]))</f>
        <v/>
      </c>
      <c r="F1604" s="63">
        <f>IF(tblCommentary[[#This Row],[Date]]="","",tblCommentary[[#This Row],[Date]]&amp;"|"&amp;tblCommentary[[#This Row],[Seq_Day]])</f>
        <v/>
      </c>
    </row>
    <row r="1605">
      <c r="A1605" s="54" t="n"/>
      <c r="B1605" s="61" t="n"/>
      <c r="C1605" s="58" t="n"/>
      <c r="D1605" s="58" t="n"/>
      <c r="E1605" s="64">
        <f>IF(tblCommentary[[#This Row],[Date]]="","",COUNTIFS(INDEX(tblCommentary[Date],1):tblCommentary[[#This Row],[Date]],tblCommentary[[#This Row],[Date]]))</f>
        <v/>
      </c>
      <c r="F1605" s="63">
        <f>IF(tblCommentary[[#This Row],[Date]]="","",tblCommentary[[#This Row],[Date]]&amp;"|"&amp;tblCommentary[[#This Row],[Seq_Day]])</f>
        <v/>
      </c>
    </row>
    <row r="1606">
      <c r="A1606" s="54" t="n"/>
      <c r="B1606" s="61" t="n"/>
      <c r="C1606" s="58" t="n"/>
      <c r="D1606" s="58" t="n"/>
      <c r="E1606" s="64">
        <f>IF(tblCommentary[[#This Row],[Date]]="","",COUNTIFS(INDEX(tblCommentary[Date],1):tblCommentary[[#This Row],[Date]],tblCommentary[[#This Row],[Date]]))</f>
        <v/>
      </c>
      <c r="F1606" s="63">
        <f>IF(tblCommentary[[#This Row],[Date]]="","",tblCommentary[[#This Row],[Date]]&amp;"|"&amp;tblCommentary[[#This Row],[Seq_Day]])</f>
        <v/>
      </c>
    </row>
    <row r="1607">
      <c r="A1607" s="54" t="n"/>
      <c r="B1607" s="61" t="n"/>
      <c r="C1607" s="58" t="n"/>
      <c r="D1607" s="58" t="n"/>
      <c r="E1607" s="64">
        <f>IF(tblCommentary[[#This Row],[Date]]="","",COUNTIFS(INDEX(tblCommentary[Date],1):tblCommentary[[#This Row],[Date]],tblCommentary[[#This Row],[Date]]))</f>
        <v/>
      </c>
      <c r="F1607" s="63">
        <f>IF(tblCommentary[[#This Row],[Date]]="","",tblCommentary[[#This Row],[Date]]&amp;"|"&amp;tblCommentary[[#This Row],[Seq_Day]])</f>
        <v/>
      </c>
    </row>
    <row r="1608">
      <c r="A1608" s="54" t="n"/>
      <c r="B1608" s="61" t="n"/>
      <c r="C1608" s="58" t="n"/>
      <c r="D1608" s="58" t="n"/>
      <c r="E1608" s="64">
        <f>IF(tblCommentary[[#This Row],[Date]]="","",COUNTIFS(INDEX(tblCommentary[Date],1):tblCommentary[[#This Row],[Date]],tblCommentary[[#This Row],[Date]]))</f>
        <v/>
      </c>
      <c r="F1608" s="63">
        <f>IF(tblCommentary[[#This Row],[Date]]="","",tblCommentary[[#This Row],[Date]]&amp;"|"&amp;tblCommentary[[#This Row],[Seq_Day]])</f>
        <v/>
      </c>
    </row>
    <row r="1609">
      <c r="A1609" s="54" t="n"/>
      <c r="B1609" s="61" t="n"/>
      <c r="C1609" s="58" t="n"/>
      <c r="D1609" s="58" t="n"/>
      <c r="E1609" s="64">
        <f>IF(tblCommentary[[#This Row],[Date]]="","",COUNTIFS(INDEX(tblCommentary[Date],1):tblCommentary[[#This Row],[Date]],tblCommentary[[#This Row],[Date]]))</f>
        <v/>
      </c>
      <c r="F1609" s="63">
        <f>IF(tblCommentary[[#This Row],[Date]]="","",tblCommentary[[#This Row],[Date]]&amp;"|"&amp;tblCommentary[[#This Row],[Seq_Day]])</f>
        <v/>
      </c>
    </row>
    <row r="1610">
      <c r="A1610" s="54" t="n"/>
      <c r="B1610" s="61" t="n"/>
      <c r="C1610" s="58" t="n"/>
      <c r="D1610" s="58" t="n"/>
      <c r="E1610" s="64">
        <f>IF(tblCommentary[[#This Row],[Date]]="","",COUNTIFS(INDEX(tblCommentary[Date],1):tblCommentary[[#This Row],[Date]],tblCommentary[[#This Row],[Date]]))</f>
        <v/>
      </c>
      <c r="F1610" s="63">
        <f>IF(tblCommentary[[#This Row],[Date]]="","",tblCommentary[[#This Row],[Date]]&amp;"|"&amp;tblCommentary[[#This Row],[Seq_Day]])</f>
        <v/>
      </c>
    </row>
    <row r="1611">
      <c r="A1611" s="54" t="n"/>
      <c r="B1611" s="61" t="n"/>
      <c r="C1611" s="58" t="n"/>
      <c r="D1611" s="58" t="n"/>
      <c r="E1611" s="64">
        <f>IF(tblCommentary[[#This Row],[Date]]="","",COUNTIFS(INDEX(tblCommentary[Date],1):tblCommentary[[#This Row],[Date]],tblCommentary[[#This Row],[Date]]))</f>
        <v/>
      </c>
      <c r="F1611" s="63">
        <f>IF(tblCommentary[[#This Row],[Date]]="","",tblCommentary[[#This Row],[Date]]&amp;"|"&amp;tblCommentary[[#This Row],[Seq_Day]])</f>
        <v/>
      </c>
    </row>
    <row r="1612">
      <c r="A1612" s="54" t="n"/>
      <c r="B1612" s="61" t="n"/>
      <c r="C1612" s="58" t="n"/>
      <c r="D1612" s="58" t="n"/>
      <c r="E1612" s="64">
        <f>IF(tblCommentary[[#This Row],[Date]]="","",COUNTIFS(INDEX(tblCommentary[Date],1):tblCommentary[[#This Row],[Date]],tblCommentary[[#This Row],[Date]]))</f>
        <v/>
      </c>
      <c r="F1612" s="63">
        <f>IF(tblCommentary[[#This Row],[Date]]="","",tblCommentary[[#This Row],[Date]]&amp;"|"&amp;tblCommentary[[#This Row],[Seq_Day]])</f>
        <v/>
      </c>
    </row>
    <row r="1613">
      <c r="A1613" s="54" t="n"/>
      <c r="B1613" s="61" t="n"/>
      <c r="C1613" s="58" t="n"/>
      <c r="D1613" s="58" t="n"/>
      <c r="E1613" s="64">
        <f>IF(tblCommentary[[#This Row],[Date]]="","",COUNTIFS(INDEX(tblCommentary[Date],1):tblCommentary[[#This Row],[Date]],tblCommentary[[#This Row],[Date]]))</f>
        <v/>
      </c>
      <c r="F1613" s="63">
        <f>IF(tblCommentary[[#This Row],[Date]]="","",tblCommentary[[#This Row],[Date]]&amp;"|"&amp;tblCommentary[[#This Row],[Seq_Day]])</f>
        <v/>
      </c>
    </row>
    <row r="1614">
      <c r="A1614" s="54" t="n"/>
      <c r="B1614" s="61" t="n"/>
      <c r="C1614" s="58" t="n"/>
      <c r="D1614" s="58" t="n"/>
      <c r="E1614" s="64">
        <f>IF(tblCommentary[[#This Row],[Date]]="","",COUNTIFS(INDEX(tblCommentary[Date],1):tblCommentary[[#This Row],[Date]],tblCommentary[[#This Row],[Date]]))</f>
        <v/>
      </c>
      <c r="F1614" s="63">
        <f>IF(tblCommentary[[#This Row],[Date]]="","",tblCommentary[[#This Row],[Date]]&amp;"|"&amp;tblCommentary[[#This Row],[Seq_Day]])</f>
        <v/>
      </c>
    </row>
    <row r="1615">
      <c r="A1615" s="54" t="n"/>
      <c r="B1615" s="61" t="n"/>
      <c r="C1615" s="58" t="n"/>
      <c r="D1615" s="58" t="n"/>
      <c r="E1615" s="64">
        <f>IF(tblCommentary[[#This Row],[Date]]="","",COUNTIFS(INDEX(tblCommentary[Date],1):tblCommentary[[#This Row],[Date]],tblCommentary[[#This Row],[Date]]))</f>
        <v/>
      </c>
      <c r="F1615" s="63">
        <f>IF(tblCommentary[[#This Row],[Date]]="","",tblCommentary[[#This Row],[Date]]&amp;"|"&amp;tblCommentary[[#This Row],[Seq_Day]])</f>
        <v/>
      </c>
    </row>
    <row r="1616">
      <c r="A1616" s="54" t="n"/>
      <c r="B1616" s="61" t="n"/>
      <c r="C1616" s="58" t="n"/>
      <c r="D1616" s="58" t="n"/>
      <c r="E1616" s="64">
        <f>IF(tblCommentary[[#This Row],[Date]]="","",COUNTIFS(INDEX(tblCommentary[Date],1):tblCommentary[[#This Row],[Date]],tblCommentary[[#This Row],[Date]]))</f>
        <v/>
      </c>
      <c r="F1616" s="63">
        <f>IF(tblCommentary[[#This Row],[Date]]="","",tblCommentary[[#This Row],[Date]]&amp;"|"&amp;tblCommentary[[#This Row],[Seq_Day]])</f>
        <v/>
      </c>
    </row>
    <row r="1617">
      <c r="A1617" s="54" t="n"/>
      <c r="B1617" s="61" t="n"/>
      <c r="C1617" s="58" t="n"/>
      <c r="D1617" s="58" t="n"/>
      <c r="E1617" s="64">
        <f>IF(tblCommentary[[#This Row],[Date]]="","",COUNTIFS(INDEX(tblCommentary[Date],1):tblCommentary[[#This Row],[Date]],tblCommentary[[#This Row],[Date]]))</f>
        <v/>
      </c>
      <c r="F1617" s="63">
        <f>IF(tblCommentary[[#This Row],[Date]]="","",tblCommentary[[#This Row],[Date]]&amp;"|"&amp;tblCommentary[[#This Row],[Seq_Day]])</f>
        <v/>
      </c>
    </row>
    <row r="1618">
      <c r="A1618" s="54" t="n"/>
      <c r="B1618" s="61" t="n"/>
      <c r="C1618" s="58" t="n"/>
      <c r="D1618" s="58" t="n"/>
      <c r="E1618" s="64">
        <f>IF(tblCommentary[[#This Row],[Date]]="","",COUNTIFS(INDEX(tblCommentary[Date],1):tblCommentary[[#This Row],[Date]],tblCommentary[[#This Row],[Date]]))</f>
        <v/>
      </c>
      <c r="F1618" s="63">
        <f>IF(tblCommentary[[#This Row],[Date]]="","",tblCommentary[[#This Row],[Date]]&amp;"|"&amp;tblCommentary[[#This Row],[Seq_Day]])</f>
        <v/>
      </c>
    </row>
    <row r="1619">
      <c r="A1619" s="54" t="n"/>
      <c r="B1619" s="61" t="n"/>
      <c r="C1619" s="58" t="n"/>
      <c r="D1619" s="58" t="n"/>
      <c r="E1619" s="64">
        <f>IF(tblCommentary[[#This Row],[Date]]="","",COUNTIFS(INDEX(tblCommentary[Date],1):tblCommentary[[#This Row],[Date]],tblCommentary[[#This Row],[Date]]))</f>
        <v/>
      </c>
      <c r="F1619" s="63">
        <f>IF(tblCommentary[[#This Row],[Date]]="","",tblCommentary[[#This Row],[Date]]&amp;"|"&amp;tblCommentary[[#This Row],[Seq_Day]])</f>
        <v/>
      </c>
    </row>
    <row r="1620">
      <c r="A1620" s="54" t="n"/>
      <c r="B1620" s="61" t="n"/>
      <c r="C1620" s="58" t="n"/>
      <c r="D1620" s="58" t="n"/>
      <c r="E1620" s="64">
        <f>IF(tblCommentary[[#This Row],[Date]]="","",COUNTIFS(INDEX(tblCommentary[Date],1):tblCommentary[[#This Row],[Date]],tblCommentary[[#This Row],[Date]]))</f>
        <v/>
      </c>
      <c r="F1620" s="63">
        <f>IF(tblCommentary[[#This Row],[Date]]="","",tblCommentary[[#This Row],[Date]]&amp;"|"&amp;tblCommentary[[#This Row],[Seq_Day]])</f>
        <v/>
      </c>
    </row>
    <row r="1621">
      <c r="A1621" s="54" t="n"/>
      <c r="B1621" s="61" t="n"/>
      <c r="C1621" s="58" t="n"/>
      <c r="D1621" s="58" t="n"/>
      <c r="E1621" s="64">
        <f>IF(tblCommentary[[#This Row],[Date]]="","",COUNTIFS(INDEX(tblCommentary[Date],1):tblCommentary[[#This Row],[Date]],tblCommentary[[#This Row],[Date]]))</f>
        <v/>
      </c>
      <c r="F1621" s="63">
        <f>IF(tblCommentary[[#This Row],[Date]]="","",tblCommentary[[#This Row],[Date]]&amp;"|"&amp;tblCommentary[[#This Row],[Seq_Day]])</f>
        <v/>
      </c>
    </row>
    <row r="1622">
      <c r="A1622" s="54" t="n"/>
      <c r="B1622" s="61" t="n"/>
      <c r="C1622" s="58" t="n"/>
      <c r="D1622" s="58" t="n"/>
      <c r="E1622" s="64">
        <f>IF(tblCommentary[[#This Row],[Date]]="","",COUNTIFS(INDEX(tblCommentary[Date],1):tblCommentary[[#This Row],[Date]],tblCommentary[[#This Row],[Date]]))</f>
        <v/>
      </c>
      <c r="F1622" s="63">
        <f>IF(tblCommentary[[#This Row],[Date]]="","",tblCommentary[[#This Row],[Date]]&amp;"|"&amp;tblCommentary[[#This Row],[Seq_Day]])</f>
        <v/>
      </c>
    </row>
    <row r="1623">
      <c r="A1623" s="54" t="n"/>
      <c r="B1623" s="61" t="n"/>
      <c r="C1623" s="58" t="n"/>
      <c r="D1623" s="58" t="n"/>
      <c r="E1623" s="64">
        <f>IF(tblCommentary[[#This Row],[Date]]="","",COUNTIFS(INDEX(tblCommentary[Date],1):tblCommentary[[#This Row],[Date]],tblCommentary[[#This Row],[Date]]))</f>
        <v/>
      </c>
      <c r="F1623" s="63">
        <f>IF(tblCommentary[[#This Row],[Date]]="","",tblCommentary[[#This Row],[Date]]&amp;"|"&amp;tblCommentary[[#This Row],[Seq_Day]])</f>
        <v/>
      </c>
    </row>
    <row r="1624">
      <c r="A1624" s="54" t="n"/>
      <c r="B1624" s="61" t="n"/>
      <c r="C1624" s="58" t="n"/>
      <c r="D1624" s="58" t="n"/>
      <c r="E1624" s="64">
        <f>IF(tblCommentary[[#This Row],[Date]]="","",COUNTIFS(INDEX(tblCommentary[Date],1):tblCommentary[[#This Row],[Date]],tblCommentary[[#This Row],[Date]]))</f>
        <v/>
      </c>
      <c r="F1624" s="63">
        <f>IF(tblCommentary[[#This Row],[Date]]="","",tblCommentary[[#This Row],[Date]]&amp;"|"&amp;tblCommentary[[#This Row],[Seq_Day]])</f>
        <v/>
      </c>
    </row>
    <row r="1625">
      <c r="A1625" s="54" t="n"/>
      <c r="B1625" s="61" t="n"/>
      <c r="C1625" s="58" t="n"/>
      <c r="D1625" s="58" t="n"/>
      <c r="E1625" s="64">
        <f>IF(tblCommentary[[#This Row],[Date]]="","",COUNTIFS(INDEX(tblCommentary[Date],1):tblCommentary[[#This Row],[Date]],tblCommentary[[#This Row],[Date]]))</f>
        <v/>
      </c>
      <c r="F1625" s="63">
        <f>IF(tblCommentary[[#This Row],[Date]]="","",tblCommentary[[#This Row],[Date]]&amp;"|"&amp;tblCommentary[[#This Row],[Seq_Day]])</f>
        <v/>
      </c>
    </row>
    <row r="1626">
      <c r="A1626" s="54" t="n"/>
      <c r="B1626" s="61" t="n"/>
      <c r="C1626" s="58" t="n"/>
      <c r="D1626" s="58" t="n"/>
      <c r="E1626" s="64">
        <f>IF(tblCommentary[[#This Row],[Date]]="","",COUNTIFS(INDEX(tblCommentary[Date],1):tblCommentary[[#This Row],[Date]],tblCommentary[[#This Row],[Date]]))</f>
        <v/>
      </c>
      <c r="F1626" s="63">
        <f>IF(tblCommentary[[#This Row],[Date]]="","",tblCommentary[[#This Row],[Date]]&amp;"|"&amp;tblCommentary[[#This Row],[Seq_Day]])</f>
        <v/>
      </c>
    </row>
    <row r="1627">
      <c r="A1627" s="54" t="n"/>
      <c r="B1627" s="61" t="n"/>
      <c r="C1627" s="58" t="n"/>
      <c r="D1627" s="58" t="n"/>
      <c r="E1627" s="64">
        <f>IF(tblCommentary[[#This Row],[Date]]="","",COUNTIFS(INDEX(tblCommentary[Date],1):tblCommentary[[#This Row],[Date]],tblCommentary[[#This Row],[Date]]))</f>
        <v/>
      </c>
      <c r="F1627" s="63">
        <f>IF(tblCommentary[[#This Row],[Date]]="","",tblCommentary[[#This Row],[Date]]&amp;"|"&amp;tblCommentary[[#This Row],[Seq_Day]])</f>
        <v/>
      </c>
    </row>
    <row r="1628">
      <c r="A1628" s="54" t="n"/>
      <c r="B1628" s="61" t="n"/>
      <c r="C1628" s="58" t="n"/>
      <c r="D1628" s="58" t="n"/>
      <c r="E1628" s="64">
        <f>IF(tblCommentary[[#This Row],[Date]]="","",COUNTIFS(INDEX(tblCommentary[Date],1):tblCommentary[[#This Row],[Date]],tblCommentary[[#This Row],[Date]]))</f>
        <v/>
      </c>
      <c r="F1628" s="63">
        <f>IF(tblCommentary[[#This Row],[Date]]="","",tblCommentary[[#This Row],[Date]]&amp;"|"&amp;tblCommentary[[#This Row],[Seq_Day]])</f>
        <v/>
      </c>
    </row>
    <row r="1629">
      <c r="A1629" s="54" t="n"/>
      <c r="B1629" s="61" t="n"/>
      <c r="C1629" s="58" t="n"/>
      <c r="D1629" s="58" t="n"/>
      <c r="E1629" s="64">
        <f>IF(tblCommentary[[#This Row],[Date]]="","",COUNTIFS(INDEX(tblCommentary[Date],1):tblCommentary[[#This Row],[Date]],tblCommentary[[#This Row],[Date]]))</f>
        <v/>
      </c>
      <c r="F1629" s="63">
        <f>IF(tblCommentary[[#This Row],[Date]]="","",tblCommentary[[#This Row],[Date]]&amp;"|"&amp;tblCommentary[[#This Row],[Seq_Day]])</f>
        <v/>
      </c>
    </row>
    <row r="1630">
      <c r="A1630" s="54" t="n"/>
      <c r="B1630" s="61" t="n"/>
      <c r="C1630" s="58" t="n"/>
      <c r="D1630" s="58" t="n"/>
      <c r="E1630" s="64">
        <f>IF(tblCommentary[[#This Row],[Date]]="","",COUNTIFS(INDEX(tblCommentary[Date],1):tblCommentary[[#This Row],[Date]],tblCommentary[[#This Row],[Date]]))</f>
        <v/>
      </c>
      <c r="F1630" s="63">
        <f>IF(tblCommentary[[#This Row],[Date]]="","",tblCommentary[[#This Row],[Date]]&amp;"|"&amp;tblCommentary[[#This Row],[Seq_Day]])</f>
        <v/>
      </c>
    </row>
    <row r="1631">
      <c r="A1631" s="54" t="n"/>
      <c r="B1631" s="61" t="n"/>
      <c r="C1631" s="58" t="n"/>
      <c r="D1631" s="58" t="n"/>
      <c r="E1631" s="64">
        <f>IF(tblCommentary[[#This Row],[Date]]="","",COUNTIFS(INDEX(tblCommentary[Date],1):tblCommentary[[#This Row],[Date]],tblCommentary[[#This Row],[Date]]))</f>
        <v/>
      </c>
      <c r="F1631" s="63">
        <f>IF(tblCommentary[[#This Row],[Date]]="","",tblCommentary[[#This Row],[Date]]&amp;"|"&amp;tblCommentary[[#This Row],[Seq_Day]])</f>
        <v/>
      </c>
    </row>
    <row r="1632">
      <c r="A1632" s="54" t="n"/>
      <c r="B1632" s="61" t="n"/>
      <c r="C1632" s="58" t="n"/>
      <c r="D1632" s="58" t="n"/>
      <c r="E1632" s="64">
        <f>IF(tblCommentary[[#This Row],[Date]]="","",COUNTIFS(INDEX(tblCommentary[Date],1):tblCommentary[[#This Row],[Date]],tblCommentary[[#This Row],[Date]]))</f>
        <v/>
      </c>
      <c r="F1632" s="63">
        <f>IF(tblCommentary[[#This Row],[Date]]="","",tblCommentary[[#This Row],[Date]]&amp;"|"&amp;tblCommentary[[#This Row],[Seq_Day]])</f>
        <v/>
      </c>
    </row>
    <row r="1633">
      <c r="A1633" s="54" t="n"/>
      <c r="B1633" s="61" t="n"/>
      <c r="C1633" s="58" t="n"/>
      <c r="D1633" s="58" t="n"/>
      <c r="E1633" s="64">
        <f>IF(tblCommentary[[#This Row],[Date]]="","",COUNTIFS(INDEX(tblCommentary[Date],1):tblCommentary[[#This Row],[Date]],tblCommentary[[#This Row],[Date]]))</f>
        <v/>
      </c>
      <c r="F1633" s="63">
        <f>IF(tblCommentary[[#This Row],[Date]]="","",tblCommentary[[#This Row],[Date]]&amp;"|"&amp;tblCommentary[[#This Row],[Seq_Day]])</f>
        <v/>
      </c>
    </row>
    <row r="1634">
      <c r="A1634" s="54" t="n"/>
      <c r="B1634" s="61" t="n"/>
      <c r="C1634" s="58" t="n"/>
      <c r="D1634" s="58" t="n"/>
      <c r="E1634" s="64">
        <f>IF(tblCommentary[[#This Row],[Date]]="","",COUNTIFS(INDEX(tblCommentary[Date],1):tblCommentary[[#This Row],[Date]],tblCommentary[[#This Row],[Date]]))</f>
        <v/>
      </c>
      <c r="F1634" s="63">
        <f>IF(tblCommentary[[#This Row],[Date]]="","",tblCommentary[[#This Row],[Date]]&amp;"|"&amp;tblCommentary[[#This Row],[Seq_Day]])</f>
        <v/>
      </c>
    </row>
    <row r="1635">
      <c r="A1635" s="54" t="n"/>
      <c r="B1635" s="61" t="n"/>
      <c r="C1635" s="58" t="n"/>
      <c r="D1635" s="58" t="n"/>
      <c r="E1635" s="64">
        <f>IF(tblCommentary[[#This Row],[Date]]="","",COUNTIFS(INDEX(tblCommentary[Date],1):tblCommentary[[#This Row],[Date]],tblCommentary[[#This Row],[Date]]))</f>
        <v/>
      </c>
      <c r="F1635" s="63">
        <f>IF(tblCommentary[[#This Row],[Date]]="","",tblCommentary[[#This Row],[Date]]&amp;"|"&amp;tblCommentary[[#This Row],[Seq_Day]])</f>
        <v/>
      </c>
    </row>
    <row r="1636">
      <c r="A1636" s="54" t="n"/>
      <c r="B1636" s="61" t="n"/>
      <c r="C1636" s="58" t="n"/>
      <c r="D1636" s="58" t="n"/>
      <c r="E1636" s="64">
        <f>IF(tblCommentary[[#This Row],[Date]]="","",COUNTIFS(INDEX(tblCommentary[Date],1):tblCommentary[[#This Row],[Date]],tblCommentary[[#This Row],[Date]]))</f>
        <v/>
      </c>
      <c r="F1636" s="63">
        <f>IF(tblCommentary[[#This Row],[Date]]="","",tblCommentary[[#This Row],[Date]]&amp;"|"&amp;tblCommentary[[#This Row],[Seq_Day]])</f>
        <v/>
      </c>
    </row>
    <row r="1637">
      <c r="A1637" s="54" t="n"/>
      <c r="B1637" s="61" t="n"/>
      <c r="C1637" s="58" t="n"/>
      <c r="D1637" s="58" t="n"/>
      <c r="E1637" s="64">
        <f>IF(tblCommentary[[#This Row],[Date]]="","",COUNTIFS(INDEX(tblCommentary[Date],1):tblCommentary[[#This Row],[Date]],tblCommentary[[#This Row],[Date]]))</f>
        <v/>
      </c>
      <c r="F1637" s="63">
        <f>IF(tblCommentary[[#This Row],[Date]]="","",tblCommentary[[#This Row],[Date]]&amp;"|"&amp;tblCommentary[[#This Row],[Seq_Day]])</f>
        <v/>
      </c>
    </row>
    <row r="1638">
      <c r="A1638" s="54" t="n"/>
      <c r="B1638" s="61" t="n"/>
      <c r="C1638" s="58" t="n"/>
      <c r="D1638" s="58" t="n"/>
      <c r="E1638" s="64">
        <f>IF(tblCommentary[[#This Row],[Date]]="","",COUNTIFS(INDEX(tblCommentary[Date],1):tblCommentary[[#This Row],[Date]],tblCommentary[[#This Row],[Date]]))</f>
        <v/>
      </c>
      <c r="F1638" s="63">
        <f>IF(tblCommentary[[#This Row],[Date]]="","",tblCommentary[[#This Row],[Date]]&amp;"|"&amp;tblCommentary[[#This Row],[Seq_Day]])</f>
        <v/>
      </c>
    </row>
    <row r="1639">
      <c r="A1639" s="54" t="n"/>
      <c r="B1639" s="61" t="n"/>
      <c r="C1639" s="58" t="n"/>
      <c r="D1639" s="58" t="n"/>
      <c r="E1639" s="64">
        <f>IF(tblCommentary[[#This Row],[Date]]="","",COUNTIFS(INDEX(tblCommentary[Date],1):tblCommentary[[#This Row],[Date]],tblCommentary[[#This Row],[Date]]))</f>
        <v/>
      </c>
      <c r="F1639" s="63">
        <f>IF(tblCommentary[[#This Row],[Date]]="","",tblCommentary[[#This Row],[Date]]&amp;"|"&amp;tblCommentary[[#This Row],[Seq_Day]])</f>
        <v/>
      </c>
    </row>
    <row r="1640">
      <c r="A1640" s="54" t="n"/>
      <c r="B1640" s="61" t="n"/>
      <c r="C1640" s="58" t="n"/>
      <c r="D1640" s="58" t="n"/>
      <c r="E1640" s="64">
        <f>IF(tblCommentary[[#This Row],[Date]]="","",COUNTIFS(INDEX(tblCommentary[Date],1):tblCommentary[[#This Row],[Date]],tblCommentary[[#This Row],[Date]]))</f>
        <v/>
      </c>
      <c r="F1640" s="63">
        <f>IF(tblCommentary[[#This Row],[Date]]="","",tblCommentary[[#This Row],[Date]]&amp;"|"&amp;tblCommentary[[#This Row],[Seq_Day]])</f>
        <v/>
      </c>
    </row>
    <row r="1641">
      <c r="A1641" s="54" t="n"/>
      <c r="B1641" s="61" t="n"/>
      <c r="C1641" s="58" t="n"/>
      <c r="D1641" s="58" t="n"/>
      <c r="E1641" s="64">
        <f>IF(tblCommentary[[#This Row],[Date]]="","",COUNTIFS(INDEX(tblCommentary[Date],1):tblCommentary[[#This Row],[Date]],tblCommentary[[#This Row],[Date]]))</f>
        <v/>
      </c>
      <c r="F1641" s="63">
        <f>IF(tblCommentary[[#This Row],[Date]]="","",tblCommentary[[#This Row],[Date]]&amp;"|"&amp;tblCommentary[[#This Row],[Seq_Day]])</f>
        <v/>
      </c>
    </row>
    <row r="1642">
      <c r="A1642" s="54" t="n"/>
      <c r="B1642" s="61" t="n"/>
      <c r="C1642" s="58" t="n"/>
      <c r="D1642" s="58" t="n"/>
      <c r="E1642" s="64">
        <f>IF(tblCommentary[[#This Row],[Date]]="","",COUNTIFS(INDEX(tblCommentary[Date],1):tblCommentary[[#This Row],[Date]],tblCommentary[[#This Row],[Date]]))</f>
        <v/>
      </c>
      <c r="F1642" s="63">
        <f>IF(tblCommentary[[#This Row],[Date]]="","",tblCommentary[[#This Row],[Date]]&amp;"|"&amp;tblCommentary[[#This Row],[Seq_Day]])</f>
        <v/>
      </c>
    </row>
    <row r="1643">
      <c r="A1643" s="54" t="n"/>
      <c r="B1643" s="61" t="n"/>
      <c r="C1643" s="58" t="n"/>
      <c r="D1643" s="58" t="n"/>
      <c r="E1643" s="64">
        <f>IF(tblCommentary[[#This Row],[Date]]="","",COUNTIFS(INDEX(tblCommentary[Date],1):tblCommentary[[#This Row],[Date]],tblCommentary[[#This Row],[Date]]))</f>
        <v/>
      </c>
      <c r="F1643" s="63">
        <f>IF(tblCommentary[[#This Row],[Date]]="","",tblCommentary[[#This Row],[Date]]&amp;"|"&amp;tblCommentary[[#This Row],[Seq_Day]])</f>
        <v/>
      </c>
    </row>
    <row r="1644">
      <c r="A1644" s="54" t="n"/>
      <c r="B1644" s="61" t="n"/>
      <c r="C1644" s="58" t="n"/>
      <c r="D1644" s="58" t="n"/>
      <c r="E1644" s="64">
        <f>IF(tblCommentary[[#This Row],[Date]]="","",COUNTIFS(INDEX(tblCommentary[Date],1):tblCommentary[[#This Row],[Date]],tblCommentary[[#This Row],[Date]]))</f>
        <v/>
      </c>
      <c r="F1644" s="63">
        <f>IF(tblCommentary[[#This Row],[Date]]="","",tblCommentary[[#This Row],[Date]]&amp;"|"&amp;tblCommentary[[#This Row],[Seq_Day]])</f>
        <v/>
      </c>
    </row>
    <row r="1645">
      <c r="A1645" s="54" t="n"/>
      <c r="B1645" s="61" t="n"/>
      <c r="C1645" s="58" t="n"/>
      <c r="D1645" s="58" t="n"/>
      <c r="E1645" s="64">
        <f>IF(tblCommentary[[#This Row],[Date]]="","",COUNTIFS(INDEX(tblCommentary[Date],1):tblCommentary[[#This Row],[Date]],tblCommentary[[#This Row],[Date]]))</f>
        <v/>
      </c>
      <c r="F1645" s="63">
        <f>IF(tblCommentary[[#This Row],[Date]]="","",tblCommentary[[#This Row],[Date]]&amp;"|"&amp;tblCommentary[[#This Row],[Seq_Day]])</f>
        <v/>
      </c>
    </row>
    <row r="1646">
      <c r="A1646" s="54" t="n"/>
      <c r="B1646" s="61" t="n"/>
      <c r="C1646" s="58" t="n"/>
      <c r="D1646" s="58" t="n"/>
      <c r="E1646" s="64">
        <f>IF(tblCommentary[[#This Row],[Date]]="","",COUNTIFS(INDEX(tblCommentary[Date],1):tblCommentary[[#This Row],[Date]],tblCommentary[[#This Row],[Date]]))</f>
        <v/>
      </c>
      <c r="F1646" s="63">
        <f>IF(tblCommentary[[#This Row],[Date]]="","",tblCommentary[[#This Row],[Date]]&amp;"|"&amp;tblCommentary[[#This Row],[Seq_Day]])</f>
        <v/>
      </c>
    </row>
    <row r="1647">
      <c r="A1647" s="54" t="n"/>
      <c r="B1647" s="61" t="n"/>
      <c r="C1647" s="58" t="n"/>
      <c r="D1647" s="58" t="n"/>
      <c r="E1647" s="64">
        <f>IF(tblCommentary[[#This Row],[Date]]="","",COUNTIFS(INDEX(tblCommentary[Date],1):tblCommentary[[#This Row],[Date]],tblCommentary[[#This Row],[Date]]))</f>
        <v/>
      </c>
      <c r="F1647" s="63">
        <f>IF(tblCommentary[[#This Row],[Date]]="","",tblCommentary[[#This Row],[Date]]&amp;"|"&amp;tblCommentary[[#This Row],[Seq_Day]])</f>
        <v/>
      </c>
    </row>
    <row r="1648">
      <c r="A1648" s="54" t="n"/>
      <c r="B1648" s="61" t="n"/>
      <c r="C1648" s="58" t="n"/>
      <c r="D1648" s="58" t="n"/>
      <c r="E1648" s="64">
        <f>IF(tblCommentary[[#This Row],[Date]]="","",COUNTIFS(INDEX(tblCommentary[Date],1):tblCommentary[[#This Row],[Date]],tblCommentary[[#This Row],[Date]]))</f>
        <v/>
      </c>
      <c r="F1648" s="63">
        <f>IF(tblCommentary[[#This Row],[Date]]="","",tblCommentary[[#This Row],[Date]]&amp;"|"&amp;tblCommentary[[#This Row],[Seq_Day]])</f>
        <v/>
      </c>
    </row>
    <row r="1649">
      <c r="A1649" s="54" t="n"/>
      <c r="B1649" s="61" t="n"/>
      <c r="C1649" s="58" t="n"/>
      <c r="D1649" s="58" t="n"/>
      <c r="E1649" s="64">
        <f>IF(tblCommentary[[#This Row],[Date]]="","",COUNTIFS(INDEX(tblCommentary[Date],1):tblCommentary[[#This Row],[Date]],tblCommentary[[#This Row],[Date]]))</f>
        <v/>
      </c>
      <c r="F1649" s="63">
        <f>IF(tblCommentary[[#This Row],[Date]]="","",tblCommentary[[#This Row],[Date]]&amp;"|"&amp;tblCommentary[[#This Row],[Seq_Day]])</f>
        <v/>
      </c>
    </row>
    <row r="1650">
      <c r="A1650" s="54" t="n"/>
      <c r="B1650" s="61" t="n"/>
      <c r="C1650" s="58" t="n"/>
      <c r="D1650" s="58" t="n"/>
      <c r="E1650" s="64">
        <f>IF(tblCommentary[[#This Row],[Date]]="","",COUNTIFS(INDEX(tblCommentary[Date],1):tblCommentary[[#This Row],[Date]],tblCommentary[[#This Row],[Date]]))</f>
        <v/>
      </c>
      <c r="F1650" s="63">
        <f>IF(tblCommentary[[#This Row],[Date]]="","",tblCommentary[[#This Row],[Date]]&amp;"|"&amp;tblCommentary[[#This Row],[Seq_Day]])</f>
        <v/>
      </c>
    </row>
    <row r="1651">
      <c r="A1651" s="54" t="n"/>
      <c r="B1651" s="61" t="n"/>
      <c r="C1651" s="58" t="n"/>
      <c r="D1651" s="58" t="n"/>
      <c r="E1651" s="64">
        <f>IF(tblCommentary[[#This Row],[Date]]="","",COUNTIFS(INDEX(tblCommentary[Date],1):tblCommentary[[#This Row],[Date]],tblCommentary[[#This Row],[Date]]))</f>
        <v/>
      </c>
      <c r="F1651" s="63">
        <f>IF(tblCommentary[[#This Row],[Date]]="","",tblCommentary[[#This Row],[Date]]&amp;"|"&amp;tblCommentary[[#This Row],[Seq_Day]])</f>
        <v/>
      </c>
    </row>
    <row r="1652">
      <c r="A1652" s="54" t="n"/>
      <c r="B1652" s="61" t="n"/>
      <c r="C1652" s="58" t="n"/>
      <c r="D1652" s="58" t="n"/>
      <c r="E1652" s="64">
        <f>IF(tblCommentary[[#This Row],[Date]]="","",COUNTIFS(INDEX(tblCommentary[Date],1):tblCommentary[[#This Row],[Date]],tblCommentary[[#This Row],[Date]]))</f>
        <v/>
      </c>
      <c r="F1652" s="63">
        <f>IF(tblCommentary[[#This Row],[Date]]="","",tblCommentary[[#This Row],[Date]]&amp;"|"&amp;tblCommentary[[#This Row],[Seq_Day]])</f>
        <v/>
      </c>
    </row>
    <row r="1653">
      <c r="A1653" s="54" t="n"/>
      <c r="B1653" s="61" t="n"/>
      <c r="C1653" s="58" t="n"/>
      <c r="D1653" s="58" t="n"/>
      <c r="E1653" s="64">
        <f>IF(tblCommentary[[#This Row],[Date]]="","",COUNTIFS(INDEX(tblCommentary[Date],1):tblCommentary[[#This Row],[Date]],tblCommentary[[#This Row],[Date]]))</f>
        <v/>
      </c>
      <c r="F1653" s="63">
        <f>IF(tblCommentary[[#This Row],[Date]]="","",tblCommentary[[#This Row],[Date]]&amp;"|"&amp;tblCommentary[[#This Row],[Seq_Day]])</f>
        <v/>
      </c>
    </row>
    <row r="1654">
      <c r="A1654" s="54" t="n"/>
      <c r="B1654" s="61" t="n"/>
      <c r="C1654" s="58" t="n"/>
      <c r="D1654" s="58" t="n"/>
      <c r="E1654" s="64">
        <f>IF(tblCommentary[[#This Row],[Date]]="","",COUNTIFS(INDEX(tblCommentary[Date],1):tblCommentary[[#This Row],[Date]],tblCommentary[[#This Row],[Date]]))</f>
        <v/>
      </c>
      <c r="F1654" s="63">
        <f>IF(tblCommentary[[#This Row],[Date]]="","",tblCommentary[[#This Row],[Date]]&amp;"|"&amp;tblCommentary[[#This Row],[Seq_Day]])</f>
        <v/>
      </c>
    </row>
    <row r="1655">
      <c r="A1655" s="54" t="n"/>
      <c r="B1655" s="61" t="n"/>
      <c r="C1655" s="58" t="n"/>
      <c r="D1655" s="58" t="n"/>
      <c r="E1655" s="64">
        <f>IF(tblCommentary[[#This Row],[Date]]="","",COUNTIFS(INDEX(tblCommentary[Date],1):tblCommentary[[#This Row],[Date]],tblCommentary[[#This Row],[Date]]))</f>
        <v/>
      </c>
      <c r="F1655" s="63">
        <f>IF(tblCommentary[[#This Row],[Date]]="","",tblCommentary[[#This Row],[Date]]&amp;"|"&amp;tblCommentary[[#This Row],[Seq_Day]])</f>
        <v/>
      </c>
    </row>
    <row r="1656">
      <c r="A1656" s="54" t="n"/>
      <c r="B1656" s="61" t="n"/>
      <c r="C1656" s="58" t="n"/>
      <c r="D1656" s="58" t="n"/>
      <c r="E1656" s="64">
        <f>IF(tblCommentary[[#This Row],[Date]]="","",COUNTIFS(INDEX(tblCommentary[Date],1):tblCommentary[[#This Row],[Date]],tblCommentary[[#This Row],[Date]]))</f>
        <v/>
      </c>
      <c r="F1656" s="63">
        <f>IF(tblCommentary[[#This Row],[Date]]="","",tblCommentary[[#This Row],[Date]]&amp;"|"&amp;tblCommentary[[#This Row],[Seq_Day]])</f>
        <v/>
      </c>
    </row>
    <row r="1657">
      <c r="A1657" s="54" t="n"/>
      <c r="B1657" s="61" t="n"/>
      <c r="C1657" s="58" t="n"/>
      <c r="D1657" s="58" t="n"/>
      <c r="E1657" s="64">
        <f>IF(tblCommentary[[#This Row],[Date]]="","",COUNTIFS(INDEX(tblCommentary[Date],1):tblCommentary[[#This Row],[Date]],tblCommentary[[#This Row],[Date]]))</f>
        <v/>
      </c>
      <c r="F1657" s="63">
        <f>IF(tblCommentary[[#This Row],[Date]]="","",tblCommentary[[#This Row],[Date]]&amp;"|"&amp;tblCommentary[[#This Row],[Seq_Day]])</f>
        <v/>
      </c>
    </row>
    <row r="1658">
      <c r="A1658" s="54" t="n"/>
      <c r="B1658" s="61" t="n"/>
      <c r="C1658" s="58" t="n"/>
      <c r="D1658" s="58" t="n"/>
      <c r="E1658" s="64">
        <f>IF(tblCommentary[[#This Row],[Date]]="","",COUNTIFS(INDEX(tblCommentary[Date],1):tblCommentary[[#This Row],[Date]],tblCommentary[[#This Row],[Date]]))</f>
        <v/>
      </c>
      <c r="F1658" s="63">
        <f>IF(tblCommentary[[#This Row],[Date]]="","",tblCommentary[[#This Row],[Date]]&amp;"|"&amp;tblCommentary[[#This Row],[Seq_Day]])</f>
        <v/>
      </c>
    </row>
    <row r="1659">
      <c r="A1659" s="54" t="n"/>
      <c r="B1659" s="61" t="n"/>
      <c r="C1659" s="58" t="n"/>
      <c r="D1659" s="58" t="n"/>
      <c r="E1659" s="64">
        <f>IF(tblCommentary[[#This Row],[Date]]="","",COUNTIFS(INDEX(tblCommentary[Date],1):tblCommentary[[#This Row],[Date]],tblCommentary[[#This Row],[Date]]))</f>
        <v/>
      </c>
      <c r="F1659" s="63">
        <f>IF(tblCommentary[[#This Row],[Date]]="","",tblCommentary[[#This Row],[Date]]&amp;"|"&amp;tblCommentary[[#This Row],[Seq_Day]])</f>
        <v/>
      </c>
    </row>
    <row r="1660">
      <c r="A1660" s="54" t="n"/>
      <c r="B1660" s="61" t="n"/>
      <c r="C1660" s="58" t="n"/>
      <c r="D1660" s="58" t="n"/>
      <c r="E1660" s="64">
        <f>IF(tblCommentary[[#This Row],[Date]]="","",COUNTIFS(INDEX(tblCommentary[Date],1):tblCommentary[[#This Row],[Date]],tblCommentary[[#This Row],[Date]]))</f>
        <v/>
      </c>
      <c r="F1660" s="63">
        <f>IF(tblCommentary[[#This Row],[Date]]="","",tblCommentary[[#This Row],[Date]]&amp;"|"&amp;tblCommentary[[#This Row],[Seq_Day]])</f>
        <v/>
      </c>
    </row>
    <row r="1661">
      <c r="A1661" s="54" t="n"/>
      <c r="B1661" s="61" t="n"/>
      <c r="C1661" s="58" t="n"/>
      <c r="D1661" s="58" t="n"/>
      <c r="E1661" s="64">
        <f>IF(tblCommentary[[#This Row],[Date]]="","",COUNTIFS(INDEX(tblCommentary[Date],1):tblCommentary[[#This Row],[Date]],tblCommentary[[#This Row],[Date]]))</f>
        <v/>
      </c>
      <c r="F1661" s="63">
        <f>IF(tblCommentary[[#This Row],[Date]]="","",tblCommentary[[#This Row],[Date]]&amp;"|"&amp;tblCommentary[[#This Row],[Seq_Day]])</f>
        <v/>
      </c>
    </row>
    <row r="1662">
      <c r="A1662" s="54" t="n"/>
      <c r="B1662" s="61" t="n"/>
      <c r="C1662" s="58" t="n"/>
      <c r="D1662" s="58" t="n"/>
      <c r="E1662" s="64">
        <f>IF(tblCommentary[[#This Row],[Date]]="","",COUNTIFS(INDEX(tblCommentary[Date],1):tblCommentary[[#This Row],[Date]],tblCommentary[[#This Row],[Date]]))</f>
        <v/>
      </c>
      <c r="F1662" s="63">
        <f>IF(tblCommentary[[#This Row],[Date]]="","",tblCommentary[[#This Row],[Date]]&amp;"|"&amp;tblCommentary[[#This Row],[Seq_Day]])</f>
        <v/>
      </c>
    </row>
    <row r="1663">
      <c r="A1663" s="54" t="n"/>
      <c r="B1663" s="61" t="n"/>
      <c r="C1663" s="58" t="n"/>
      <c r="D1663" s="58" t="n"/>
      <c r="E1663" s="64">
        <f>IF(tblCommentary[[#This Row],[Date]]="","",COUNTIFS(INDEX(tblCommentary[Date],1):tblCommentary[[#This Row],[Date]],tblCommentary[[#This Row],[Date]]))</f>
        <v/>
      </c>
      <c r="F1663" s="63">
        <f>IF(tblCommentary[[#This Row],[Date]]="","",tblCommentary[[#This Row],[Date]]&amp;"|"&amp;tblCommentary[[#This Row],[Seq_Day]])</f>
        <v/>
      </c>
    </row>
    <row r="1664">
      <c r="A1664" s="54" t="n"/>
      <c r="B1664" s="61" t="n"/>
      <c r="C1664" s="58" t="n"/>
      <c r="D1664" s="58" t="n"/>
      <c r="E1664" s="64">
        <f>IF(tblCommentary[[#This Row],[Date]]="","",COUNTIFS(INDEX(tblCommentary[Date],1):tblCommentary[[#This Row],[Date]],tblCommentary[[#This Row],[Date]]))</f>
        <v/>
      </c>
      <c r="F1664" s="63">
        <f>IF(tblCommentary[[#This Row],[Date]]="","",tblCommentary[[#This Row],[Date]]&amp;"|"&amp;tblCommentary[[#This Row],[Seq_Day]])</f>
        <v/>
      </c>
    </row>
    <row r="1665">
      <c r="A1665" s="54" t="n"/>
      <c r="B1665" s="61" t="n"/>
      <c r="C1665" s="58" t="n"/>
      <c r="D1665" s="58" t="n"/>
      <c r="E1665" s="64">
        <f>IF(tblCommentary[[#This Row],[Date]]="","",COUNTIFS(INDEX(tblCommentary[Date],1):tblCommentary[[#This Row],[Date]],tblCommentary[[#This Row],[Date]]))</f>
        <v/>
      </c>
      <c r="F1665" s="63">
        <f>IF(tblCommentary[[#This Row],[Date]]="","",tblCommentary[[#This Row],[Date]]&amp;"|"&amp;tblCommentary[[#This Row],[Seq_Day]])</f>
        <v/>
      </c>
    </row>
    <row r="1666">
      <c r="A1666" s="54" t="n"/>
      <c r="B1666" s="61" t="n"/>
      <c r="C1666" s="58" t="n"/>
      <c r="D1666" s="58" t="n"/>
      <c r="E1666" s="64">
        <f>IF(tblCommentary[[#This Row],[Date]]="","",COUNTIFS(INDEX(tblCommentary[Date],1):tblCommentary[[#This Row],[Date]],tblCommentary[[#This Row],[Date]]))</f>
        <v/>
      </c>
      <c r="F1666" s="63">
        <f>IF(tblCommentary[[#This Row],[Date]]="","",tblCommentary[[#This Row],[Date]]&amp;"|"&amp;tblCommentary[[#This Row],[Seq_Day]])</f>
        <v/>
      </c>
    </row>
    <row r="1667">
      <c r="A1667" s="54" t="n"/>
      <c r="B1667" s="61" t="n"/>
      <c r="C1667" s="58" t="n"/>
      <c r="D1667" s="58" t="n"/>
      <c r="E1667" s="64">
        <f>IF(tblCommentary[[#This Row],[Date]]="","",COUNTIFS(INDEX(tblCommentary[Date],1):tblCommentary[[#This Row],[Date]],tblCommentary[[#This Row],[Date]]))</f>
        <v/>
      </c>
      <c r="F1667" s="63">
        <f>IF(tblCommentary[[#This Row],[Date]]="","",tblCommentary[[#This Row],[Date]]&amp;"|"&amp;tblCommentary[[#This Row],[Seq_Day]])</f>
        <v/>
      </c>
    </row>
    <row r="1668">
      <c r="A1668" s="54" t="n"/>
      <c r="B1668" s="61" t="n"/>
      <c r="C1668" s="58" t="n"/>
      <c r="D1668" s="58" t="n"/>
      <c r="E1668" s="64">
        <f>IF(tblCommentary[[#This Row],[Date]]="","",COUNTIFS(INDEX(tblCommentary[Date],1):tblCommentary[[#This Row],[Date]],tblCommentary[[#This Row],[Date]]))</f>
        <v/>
      </c>
      <c r="F1668" s="63">
        <f>IF(tblCommentary[[#This Row],[Date]]="","",tblCommentary[[#This Row],[Date]]&amp;"|"&amp;tblCommentary[[#This Row],[Seq_Day]])</f>
        <v/>
      </c>
    </row>
    <row r="1669">
      <c r="A1669" s="54" t="n"/>
      <c r="B1669" s="61" t="n"/>
      <c r="C1669" s="58" t="n"/>
      <c r="D1669" s="58" t="n"/>
      <c r="E1669" s="64">
        <f>IF(tblCommentary[[#This Row],[Date]]="","",COUNTIFS(INDEX(tblCommentary[Date],1):tblCommentary[[#This Row],[Date]],tblCommentary[[#This Row],[Date]]))</f>
        <v/>
      </c>
      <c r="F1669" s="63">
        <f>IF(tblCommentary[[#This Row],[Date]]="","",tblCommentary[[#This Row],[Date]]&amp;"|"&amp;tblCommentary[[#This Row],[Seq_Day]])</f>
        <v/>
      </c>
    </row>
    <row r="1670">
      <c r="A1670" s="54" t="n"/>
      <c r="B1670" s="61" t="n"/>
      <c r="C1670" s="58" t="n"/>
      <c r="D1670" s="58" t="n"/>
      <c r="E1670" s="64">
        <f>IF(tblCommentary[[#This Row],[Date]]="","",COUNTIFS(INDEX(tblCommentary[Date],1):tblCommentary[[#This Row],[Date]],tblCommentary[[#This Row],[Date]]))</f>
        <v/>
      </c>
      <c r="F1670" s="63">
        <f>IF(tblCommentary[[#This Row],[Date]]="","",tblCommentary[[#This Row],[Date]]&amp;"|"&amp;tblCommentary[[#This Row],[Seq_Day]])</f>
        <v/>
      </c>
    </row>
    <row r="1671">
      <c r="A1671" s="54" t="n"/>
      <c r="B1671" s="61" t="n"/>
      <c r="C1671" s="58" t="n"/>
      <c r="D1671" s="58" t="n"/>
      <c r="E1671" s="64">
        <f>IF(tblCommentary[[#This Row],[Date]]="","",COUNTIFS(INDEX(tblCommentary[Date],1):tblCommentary[[#This Row],[Date]],tblCommentary[[#This Row],[Date]]))</f>
        <v/>
      </c>
      <c r="F1671" s="63">
        <f>IF(tblCommentary[[#This Row],[Date]]="","",tblCommentary[[#This Row],[Date]]&amp;"|"&amp;tblCommentary[[#This Row],[Seq_Day]])</f>
        <v/>
      </c>
    </row>
    <row r="1672">
      <c r="A1672" s="54" t="n"/>
      <c r="B1672" s="61" t="n"/>
      <c r="C1672" s="58" t="n"/>
      <c r="D1672" s="58" t="n"/>
      <c r="E1672" s="64">
        <f>IF(tblCommentary[[#This Row],[Date]]="","",COUNTIFS(INDEX(tblCommentary[Date],1):tblCommentary[[#This Row],[Date]],tblCommentary[[#This Row],[Date]]))</f>
        <v/>
      </c>
      <c r="F1672" s="63">
        <f>IF(tblCommentary[[#This Row],[Date]]="","",tblCommentary[[#This Row],[Date]]&amp;"|"&amp;tblCommentary[[#This Row],[Seq_Day]])</f>
        <v/>
      </c>
    </row>
    <row r="1673">
      <c r="A1673" s="54" t="n"/>
      <c r="B1673" s="61" t="n"/>
      <c r="C1673" s="58" t="n"/>
      <c r="D1673" s="58" t="n"/>
      <c r="E1673" s="64">
        <f>IF(tblCommentary[[#This Row],[Date]]="","",COUNTIFS(INDEX(tblCommentary[Date],1):tblCommentary[[#This Row],[Date]],tblCommentary[[#This Row],[Date]]))</f>
        <v/>
      </c>
      <c r="F1673" s="63">
        <f>IF(tblCommentary[[#This Row],[Date]]="","",tblCommentary[[#This Row],[Date]]&amp;"|"&amp;tblCommentary[[#This Row],[Seq_Day]])</f>
        <v/>
      </c>
    </row>
    <row r="1674">
      <c r="A1674" s="54" t="n"/>
      <c r="B1674" s="61" t="n"/>
      <c r="C1674" s="58" t="n"/>
      <c r="D1674" s="58" t="n"/>
      <c r="E1674" s="64">
        <f>IF(tblCommentary[[#This Row],[Date]]="","",COUNTIFS(INDEX(tblCommentary[Date],1):tblCommentary[[#This Row],[Date]],tblCommentary[[#This Row],[Date]]))</f>
        <v/>
      </c>
      <c r="F1674" s="63">
        <f>IF(tblCommentary[[#This Row],[Date]]="","",tblCommentary[[#This Row],[Date]]&amp;"|"&amp;tblCommentary[[#This Row],[Seq_Day]])</f>
        <v/>
      </c>
    </row>
    <row r="1675">
      <c r="A1675" s="54" t="n"/>
      <c r="B1675" s="61" t="n"/>
      <c r="C1675" s="58" t="n"/>
      <c r="D1675" s="58" t="n"/>
      <c r="E1675" s="64">
        <f>IF(tblCommentary[[#This Row],[Date]]="","",COUNTIFS(INDEX(tblCommentary[Date],1):tblCommentary[[#This Row],[Date]],tblCommentary[[#This Row],[Date]]))</f>
        <v/>
      </c>
      <c r="F1675" s="63">
        <f>IF(tblCommentary[[#This Row],[Date]]="","",tblCommentary[[#This Row],[Date]]&amp;"|"&amp;tblCommentary[[#This Row],[Seq_Day]])</f>
        <v/>
      </c>
    </row>
    <row r="1676">
      <c r="A1676" s="54" t="n"/>
      <c r="B1676" s="61" t="n"/>
      <c r="C1676" s="58" t="n"/>
      <c r="D1676" s="58" t="n"/>
      <c r="E1676" s="64">
        <f>IF(tblCommentary[[#This Row],[Date]]="","",COUNTIFS(INDEX(tblCommentary[Date],1):tblCommentary[[#This Row],[Date]],tblCommentary[[#This Row],[Date]]))</f>
        <v/>
      </c>
      <c r="F1676" s="63">
        <f>IF(tblCommentary[[#This Row],[Date]]="","",tblCommentary[[#This Row],[Date]]&amp;"|"&amp;tblCommentary[[#This Row],[Seq_Day]])</f>
        <v/>
      </c>
    </row>
    <row r="1677">
      <c r="A1677" s="54" t="n"/>
      <c r="B1677" s="61" t="n"/>
      <c r="C1677" s="58" t="n"/>
      <c r="D1677" s="58" t="n"/>
      <c r="E1677" s="64">
        <f>IF(tblCommentary[[#This Row],[Date]]="","",COUNTIFS(INDEX(tblCommentary[Date],1):tblCommentary[[#This Row],[Date]],tblCommentary[[#This Row],[Date]]))</f>
        <v/>
      </c>
      <c r="F1677" s="63">
        <f>IF(tblCommentary[[#This Row],[Date]]="","",tblCommentary[[#This Row],[Date]]&amp;"|"&amp;tblCommentary[[#This Row],[Seq_Day]])</f>
        <v/>
      </c>
    </row>
    <row r="1678">
      <c r="A1678" s="54" t="n"/>
      <c r="B1678" s="61" t="n"/>
      <c r="C1678" s="58" t="n"/>
      <c r="D1678" s="58" t="n"/>
      <c r="E1678" s="64">
        <f>IF(tblCommentary[[#This Row],[Date]]="","",COUNTIFS(INDEX(tblCommentary[Date],1):tblCommentary[[#This Row],[Date]],tblCommentary[[#This Row],[Date]]))</f>
        <v/>
      </c>
      <c r="F1678" s="63">
        <f>IF(tblCommentary[[#This Row],[Date]]="","",tblCommentary[[#This Row],[Date]]&amp;"|"&amp;tblCommentary[[#This Row],[Seq_Day]])</f>
        <v/>
      </c>
    </row>
    <row r="1679">
      <c r="A1679" s="54" t="n"/>
      <c r="B1679" s="61" t="n"/>
      <c r="C1679" s="58" t="n"/>
      <c r="D1679" s="58" t="n"/>
      <c r="E1679" s="64">
        <f>IF(tblCommentary[[#This Row],[Date]]="","",COUNTIFS(INDEX(tblCommentary[Date],1):tblCommentary[[#This Row],[Date]],tblCommentary[[#This Row],[Date]]))</f>
        <v/>
      </c>
      <c r="F1679" s="63">
        <f>IF(tblCommentary[[#This Row],[Date]]="","",tblCommentary[[#This Row],[Date]]&amp;"|"&amp;tblCommentary[[#This Row],[Seq_Day]])</f>
        <v/>
      </c>
    </row>
    <row r="1680">
      <c r="A1680" s="54" t="n"/>
      <c r="B1680" s="61" t="n"/>
      <c r="C1680" s="58" t="n"/>
      <c r="D1680" s="58" t="n"/>
      <c r="E1680" s="64">
        <f>IF(tblCommentary[[#This Row],[Date]]="","",COUNTIFS(INDEX(tblCommentary[Date],1):tblCommentary[[#This Row],[Date]],tblCommentary[[#This Row],[Date]]))</f>
        <v/>
      </c>
      <c r="F1680" s="63">
        <f>IF(tblCommentary[[#This Row],[Date]]="","",tblCommentary[[#This Row],[Date]]&amp;"|"&amp;tblCommentary[[#This Row],[Seq_Day]])</f>
        <v/>
      </c>
    </row>
    <row r="1681">
      <c r="A1681" s="54" t="n"/>
      <c r="B1681" s="61" t="n"/>
      <c r="C1681" s="58" t="n"/>
      <c r="D1681" s="58" t="n"/>
      <c r="E1681" s="64">
        <f>IF(tblCommentary[[#This Row],[Date]]="","",COUNTIFS(INDEX(tblCommentary[Date],1):tblCommentary[[#This Row],[Date]],tblCommentary[[#This Row],[Date]]))</f>
        <v/>
      </c>
      <c r="F1681" s="63">
        <f>IF(tblCommentary[[#This Row],[Date]]="","",tblCommentary[[#This Row],[Date]]&amp;"|"&amp;tblCommentary[[#This Row],[Seq_Day]])</f>
        <v/>
      </c>
    </row>
    <row r="1682">
      <c r="A1682" s="54" t="n"/>
      <c r="B1682" s="61" t="n"/>
      <c r="C1682" s="58" t="n"/>
      <c r="D1682" s="58" t="n"/>
      <c r="E1682" s="64">
        <f>IF(tblCommentary[[#This Row],[Date]]="","",COUNTIFS(INDEX(tblCommentary[Date],1):tblCommentary[[#This Row],[Date]],tblCommentary[[#This Row],[Date]]))</f>
        <v/>
      </c>
      <c r="F1682" s="63">
        <f>IF(tblCommentary[[#This Row],[Date]]="","",tblCommentary[[#This Row],[Date]]&amp;"|"&amp;tblCommentary[[#This Row],[Seq_Day]])</f>
        <v/>
      </c>
    </row>
    <row r="1683">
      <c r="A1683" s="54" t="n"/>
      <c r="B1683" s="61" t="n"/>
      <c r="C1683" s="58" t="n"/>
      <c r="D1683" s="58" t="n"/>
      <c r="E1683" s="64">
        <f>IF(tblCommentary[[#This Row],[Date]]="","",COUNTIFS(INDEX(tblCommentary[Date],1):tblCommentary[[#This Row],[Date]],tblCommentary[[#This Row],[Date]]))</f>
        <v/>
      </c>
      <c r="F1683" s="63">
        <f>IF(tblCommentary[[#This Row],[Date]]="","",tblCommentary[[#This Row],[Date]]&amp;"|"&amp;tblCommentary[[#This Row],[Seq_Day]])</f>
        <v/>
      </c>
    </row>
    <row r="1684">
      <c r="A1684" s="54" t="n"/>
      <c r="B1684" s="61" t="n"/>
      <c r="C1684" s="58" t="n"/>
      <c r="D1684" s="58" t="n"/>
      <c r="E1684" s="64">
        <f>IF(tblCommentary[[#This Row],[Date]]="","",COUNTIFS(INDEX(tblCommentary[Date],1):tblCommentary[[#This Row],[Date]],tblCommentary[[#This Row],[Date]]))</f>
        <v/>
      </c>
      <c r="F1684" s="63">
        <f>IF(tblCommentary[[#This Row],[Date]]="","",tblCommentary[[#This Row],[Date]]&amp;"|"&amp;tblCommentary[[#This Row],[Seq_Day]])</f>
        <v/>
      </c>
    </row>
    <row r="1685">
      <c r="A1685" s="54" t="n"/>
      <c r="B1685" s="61" t="n"/>
      <c r="C1685" s="58" t="n"/>
      <c r="D1685" s="58" t="n"/>
      <c r="E1685" s="64">
        <f>IF(tblCommentary[[#This Row],[Date]]="","",COUNTIFS(INDEX(tblCommentary[Date],1):tblCommentary[[#This Row],[Date]],tblCommentary[[#This Row],[Date]]))</f>
        <v/>
      </c>
      <c r="F1685" s="63">
        <f>IF(tblCommentary[[#This Row],[Date]]="","",tblCommentary[[#This Row],[Date]]&amp;"|"&amp;tblCommentary[[#This Row],[Seq_Day]])</f>
        <v/>
      </c>
    </row>
    <row r="1686">
      <c r="A1686" s="54" t="n"/>
      <c r="B1686" s="61" t="n"/>
      <c r="C1686" s="58" t="n"/>
      <c r="D1686" s="58" t="n"/>
      <c r="E1686" s="64">
        <f>IF(tblCommentary[[#This Row],[Date]]="","",COUNTIFS(INDEX(tblCommentary[Date],1):tblCommentary[[#This Row],[Date]],tblCommentary[[#This Row],[Date]]))</f>
        <v/>
      </c>
      <c r="F1686" s="63">
        <f>IF(tblCommentary[[#This Row],[Date]]="","",tblCommentary[[#This Row],[Date]]&amp;"|"&amp;tblCommentary[[#This Row],[Seq_Day]])</f>
        <v/>
      </c>
    </row>
    <row r="1687">
      <c r="A1687" s="54" t="n"/>
      <c r="B1687" s="61" t="n"/>
      <c r="C1687" s="58" t="n"/>
      <c r="D1687" s="58" t="n"/>
      <c r="E1687" s="64">
        <f>IF(tblCommentary[[#This Row],[Date]]="","",COUNTIFS(INDEX(tblCommentary[Date],1):tblCommentary[[#This Row],[Date]],tblCommentary[[#This Row],[Date]]))</f>
        <v/>
      </c>
      <c r="F1687" s="63">
        <f>IF(tblCommentary[[#This Row],[Date]]="","",tblCommentary[[#This Row],[Date]]&amp;"|"&amp;tblCommentary[[#This Row],[Seq_Day]])</f>
        <v/>
      </c>
    </row>
    <row r="1688">
      <c r="A1688" s="54" t="n"/>
      <c r="B1688" s="61" t="n"/>
      <c r="C1688" s="58" t="n"/>
      <c r="D1688" s="58" t="n"/>
      <c r="E1688" s="64">
        <f>IF(tblCommentary[[#This Row],[Date]]="","",COUNTIFS(INDEX(tblCommentary[Date],1):tblCommentary[[#This Row],[Date]],tblCommentary[[#This Row],[Date]]))</f>
        <v/>
      </c>
      <c r="F1688" s="63">
        <f>IF(tblCommentary[[#This Row],[Date]]="","",tblCommentary[[#This Row],[Date]]&amp;"|"&amp;tblCommentary[[#This Row],[Seq_Day]])</f>
        <v/>
      </c>
    </row>
    <row r="1689">
      <c r="A1689" s="54" t="n"/>
      <c r="B1689" s="61" t="n"/>
      <c r="C1689" s="58" t="n"/>
      <c r="D1689" s="58" t="n"/>
      <c r="E1689" s="64">
        <f>IF(tblCommentary[[#This Row],[Date]]="","",COUNTIFS(INDEX(tblCommentary[Date],1):tblCommentary[[#This Row],[Date]],tblCommentary[[#This Row],[Date]]))</f>
        <v/>
      </c>
      <c r="F1689" s="63">
        <f>IF(tblCommentary[[#This Row],[Date]]="","",tblCommentary[[#This Row],[Date]]&amp;"|"&amp;tblCommentary[[#This Row],[Seq_Day]])</f>
        <v/>
      </c>
    </row>
    <row r="1690">
      <c r="A1690" s="54" t="n"/>
      <c r="B1690" s="61" t="n"/>
      <c r="C1690" s="58" t="n"/>
      <c r="D1690" s="58" t="n"/>
      <c r="E1690" s="64">
        <f>IF(tblCommentary[[#This Row],[Date]]="","",COUNTIFS(INDEX(tblCommentary[Date],1):tblCommentary[[#This Row],[Date]],tblCommentary[[#This Row],[Date]]))</f>
        <v/>
      </c>
      <c r="F1690" s="63">
        <f>IF(tblCommentary[[#This Row],[Date]]="","",tblCommentary[[#This Row],[Date]]&amp;"|"&amp;tblCommentary[[#This Row],[Seq_Day]])</f>
        <v/>
      </c>
    </row>
    <row r="1691">
      <c r="A1691" s="54" t="n"/>
      <c r="B1691" s="61" t="n"/>
      <c r="C1691" s="58" t="n"/>
      <c r="D1691" s="58" t="n"/>
      <c r="E1691" s="64">
        <f>IF(tblCommentary[[#This Row],[Date]]="","",COUNTIFS(INDEX(tblCommentary[Date],1):tblCommentary[[#This Row],[Date]],tblCommentary[[#This Row],[Date]]))</f>
        <v/>
      </c>
      <c r="F1691" s="63">
        <f>IF(tblCommentary[[#This Row],[Date]]="","",tblCommentary[[#This Row],[Date]]&amp;"|"&amp;tblCommentary[[#This Row],[Seq_Day]])</f>
        <v/>
      </c>
    </row>
    <row r="1692">
      <c r="A1692" s="54" t="n"/>
      <c r="B1692" s="61" t="n"/>
      <c r="C1692" s="58" t="n"/>
      <c r="D1692" s="58" t="n"/>
      <c r="E1692" s="64">
        <f>IF(tblCommentary[[#This Row],[Date]]="","",COUNTIFS(INDEX(tblCommentary[Date],1):tblCommentary[[#This Row],[Date]],tblCommentary[[#This Row],[Date]]))</f>
        <v/>
      </c>
      <c r="F1692" s="63">
        <f>IF(tblCommentary[[#This Row],[Date]]="","",tblCommentary[[#This Row],[Date]]&amp;"|"&amp;tblCommentary[[#This Row],[Seq_Day]])</f>
        <v/>
      </c>
    </row>
    <row r="1693">
      <c r="A1693" s="54" t="n"/>
      <c r="B1693" s="61" t="n"/>
      <c r="C1693" s="58" t="n"/>
      <c r="D1693" s="58" t="n"/>
      <c r="E1693" s="64">
        <f>IF(tblCommentary[[#This Row],[Date]]="","",COUNTIFS(INDEX(tblCommentary[Date],1):tblCommentary[[#This Row],[Date]],tblCommentary[[#This Row],[Date]]))</f>
        <v/>
      </c>
      <c r="F1693" s="63">
        <f>IF(tblCommentary[[#This Row],[Date]]="","",tblCommentary[[#This Row],[Date]]&amp;"|"&amp;tblCommentary[[#This Row],[Seq_Day]])</f>
        <v/>
      </c>
    </row>
    <row r="1694">
      <c r="A1694" s="54" t="n"/>
      <c r="B1694" s="61" t="n"/>
      <c r="C1694" s="58" t="n"/>
      <c r="D1694" s="58" t="n"/>
      <c r="E1694" s="64">
        <f>IF(tblCommentary[[#This Row],[Date]]="","",COUNTIFS(INDEX(tblCommentary[Date],1):tblCommentary[[#This Row],[Date]],tblCommentary[[#This Row],[Date]]))</f>
        <v/>
      </c>
      <c r="F1694" s="63">
        <f>IF(tblCommentary[[#This Row],[Date]]="","",tblCommentary[[#This Row],[Date]]&amp;"|"&amp;tblCommentary[[#This Row],[Seq_Day]])</f>
        <v/>
      </c>
    </row>
    <row r="1695">
      <c r="A1695" s="54" t="n"/>
      <c r="B1695" s="61" t="n"/>
      <c r="C1695" s="58" t="n"/>
      <c r="D1695" s="58" t="n"/>
      <c r="E1695" s="64">
        <f>IF(tblCommentary[[#This Row],[Date]]="","",COUNTIFS(INDEX(tblCommentary[Date],1):tblCommentary[[#This Row],[Date]],tblCommentary[[#This Row],[Date]]))</f>
        <v/>
      </c>
      <c r="F1695" s="63">
        <f>IF(tblCommentary[[#This Row],[Date]]="","",tblCommentary[[#This Row],[Date]]&amp;"|"&amp;tblCommentary[[#This Row],[Seq_Day]])</f>
        <v/>
      </c>
    </row>
    <row r="1696">
      <c r="A1696" s="54" t="n"/>
      <c r="B1696" s="61" t="n"/>
      <c r="C1696" s="58" t="n"/>
      <c r="D1696" s="58" t="n"/>
      <c r="E1696" s="64">
        <f>IF(tblCommentary[[#This Row],[Date]]="","",COUNTIFS(INDEX(tblCommentary[Date],1):tblCommentary[[#This Row],[Date]],tblCommentary[[#This Row],[Date]]))</f>
        <v/>
      </c>
      <c r="F1696" s="63">
        <f>IF(tblCommentary[[#This Row],[Date]]="","",tblCommentary[[#This Row],[Date]]&amp;"|"&amp;tblCommentary[[#This Row],[Seq_Day]])</f>
        <v/>
      </c>
    </row>
    <row r="1697">
      <c r="A1697" s="54" t="n"/>
      <c r="B1697" s="61" t="n"/>
      <c r="C1697" s="58" t="n"/>
      <c r="D1697" s="58" t="n"/>
      <c r="E1697" s="64">
        <f>IF(tblCommentary[[#This Row],[Date]]="","",COUNTIFS(INDEX(tblCommentary[Date],1):tblCommentary[[#This Row],[Date]],tblCommentary[[#This Row],[Date]]))</f>
        <v/>
      </c>
      <c r="F1697" s="63">
        <f>IF(tblCommentary[[#This Row],[Date]]="","",tblCommentary[[#This Row],[Date]]&amp;"|"&amp;tblCommentary[[#This Row],[Seq_Day]])</f>
        <v/>
      </c>
    </row>
    <row r="1698">
      <c r="A1698" s="54" t="n"/>
      <c r="B1698" s="61" t="n"/>
      <c r="C1698" s="58" t="n"/>
      <c r="D1698" s="58" t="n"/>
      <c r="E1698" s="64">
        <f>IF(tblCommentary[[#This Row],[Date]]="","",COUNTIFS(INDEX(tblCommentary[Date],1):tblCommentary[[#This Row],[Date]],tblCommentary[[#This Row],[Date]]))</f>
        <v/>
      </c>
      <c r="F1698" s="63">
        <f>IF(tblCommentary[[#This Row],[Date]]="","",tblCommentary[[#This Row],[Date]]&amp;"|"&amp;tblCommentary[[#This Row],[Seq_Day]])</f>
        <v/>
      </c>
    </row>
    <row r="1699">
      <c r="A1699" s="54" t="n"/>
      <c r="B1699" s="61" t="n"/>
      <c r="C1699" s="58" t="n"/>
      <c r="D1699" s="58" t="n"/>
      <c r="E1699" s="64">
        <f>IF(tblCommentary[[#This Row],[Date]]="","",COUNTIFS(INDEX(tblCommentary[Date],1):tblCommentary[[#This Row],[Date]],tblCommentary[[#This Row],[Date]]))</f>
        <v/>
      </c>
      <c r="F1699" s="63">
        <f>IF(tblCommentary[[#This Row],[Date]]="","",tblCommentary[[#This Row],[Date]]&amp;"|"&amp;tblCommentary[[#This Row],[Seq_Day]])</f>
        <v/>
      </c>
    </row>
    <row r="1700">
      <c r="A1700" s="54" t="n"/>
      <c r="B1700" s="61" t="n"/>
      <c r="C1700" s="58" t="n"/>
      <c r="D1700" s="58" t="n"/>
      <c r="E1700" s="64">
        <f>IF(tblCommentary[[#This Row],[Date]]="","",COUNTIFS(INDEX(tblCommentary[Date],1):tblCommentary[[#This Row],[Date]],tblCommentary[[#This Row],[Date]]))</f>
        <v/>
      </c>
      <c r="F1700" s="63">
        <f>IF(tblCommentary[[#This Row],[Date]]="","",tblCommentary[[#This Row],[Date]]&amp;"|"&amp;tblCommentary[[#This Row],[Seq_Day]])</f>
        <v/>
      </c>
    </row>
    <row r="1701">
      <c r="A1701" s="54" t="n"/>
      <c r="B1701" s="61" t="n"/>
      <c r="C1701" s="58" t="n"/>
      <c r="D1701" s="58" t="n"/>
      <c r="E1701" s="64">
        <f>IF(tblCommentary[[#This Row],[Date]]="","",COUNTIFS(INDEX(tblCommentary[Date],1):tblCommentary[[#This Row],[Date]],tblCommentary[[#This Row],[Date]]))</f>
        <v/>
      </c>
      <c r="F1701" s="63">
        <f>IF(tblCommentary[[#This Row],[Date]]="","",tblCommentary[[#This Row],[Date]]&amp;"|"&amp;tblCommentary[[#This Row],[Seq_Day]])</f>
        <v/>
      </c>
    </row>
    <row r="1702">
      <c r="A1702" s="54" t="n"/>
      <c r="B1702" s="61" t="n"/>
      <c r="C1702" s="58" t="n"/>
      <c r="D1702" s="58" t="n"/>
      <c r="E1702" s="64">
        <f>IF(tblCommentary[[#This Row],[Date]]="","",COUNTIFS(INDEX(tblCommentary[Date],1):tblCommentary[[#This Row],[Date]],tblCommentary[[#This Row],[Date]]))</f>
        <v/>
      </c>
      <c r="F1702" s="63">
        <f>IF(tblCommentary[[#This Row],[Date]]="","",tblCommentary[[#This Row],[Date]]&amp;"|"&amp;tblCommentary[[#This Row],[Seq_Day]])</f>
        <v/>
      </c>
    </row>
    <row r="1703">
      <c r="A1703" s="54" t="n"/>
      <c r="B1703" s="61" t="n"/>
      <c r="C1703" s="58" t="n"/>
      <c r="D1703" s="58" t="n"/>
      <c r="E1703" s="64">
        <f>IF(tblCommentary[[#This Row],[Date]]="","",COUNTIFS(INDEX(tblCommentary[Date],1):tblCommentary[[#This Row],[Date]],tblCommentary[[#This Row],[Date]]))</f>
        <v/>
      </c>
      <c r="F1703" s="63">
        <f>IF(tblCommentary[[#This Row],[Date]]="","",tblCommentary[[#This Row],[Date]]&amp;"|"&amp;tblCommentary[[#This Row],[Seq_Day]])</f>
        <v/>
      </c>
    </row>
    <row r="1704">
      <c r="A1704" s="54" t="n"/>
      <c r="B1704" s="61" t="n"/>
      <c r="C1704" s="58" t="n"/>
      <c r="D1704" s="58" t="n"/>
      <c r="E1704" s="64">
        <f>IF(tblCommentary[[#This Row],[Date]]="","",COUNTIFS(INDEX(tblCommentary[Date],1):tblCommentary[[#This Row],[Date]],tblCommentary[[#This Row],[Date]]))</f>
        <v/>
      </c>
      <c r="F1704" s="63">
        <f>IF(tblCommentary[[#This Row],[Date]]="","",tblCommentary[[#This Row],[Date]]&amp;"|"&amp;tblCommentary[[#This Row],[Seq_Day]])</f>
        <v/>
      </c>
    </row>
    <row r="1705">
      <c r="A1705" s="54" t="n"/>
      <c r="B1705" s="61" t="n"/>
      <c r="C1705" s="58" t="n"/>
      <c r="D1705" s="58" t="n"/>
      <c r="E1705" s="64">
        <f>IF(tblCommentary[[#This Row],[Date]]="","",COUNTIFS(INDEX(tblCommentary[Date],1):tblCommentary[[#This Row],[Date]],tblCommentary[[#This Row],[Date]]))</f>
        <v/>
      </c>
      <c r="F1705" s="63">
        <f>IF(tblCommentary[[#This Row],[Date]]="","",tblCommentary[[#This Row],[Date]]&amp;"|"&amp;tblCommentary[[#This Row],[Seq_Day]])</f>
        <v/>
      </c>
    </row>
    <row r="1706">
      <c r="A1706" s="54" t="n"/>
      <c r="B1706" s="61" t="n"/>
      <c r="C1706" s="58" t="n"/>
      <c r="D1706" s="58" t="n"/>
      <c r="E1706" s="64">
        <f>IF(tblCommentary[[#This Row],[Date]]="","",COUNTIFS(INDEX(tblCommentary[Date],1):tblCommentary[[#This Row],[Date]],tblCommentary[[#This Row],[Date]]))</f>
        <v/>
      </c>
      <c r="F1706" s="63">
        <f>IF(tblCommentary[[#This Row],[Date]]="","",tblCommentary[[#This Row],[Date]]&amp;"|"&amp;tblCommentary[[#This Row],[Seq_Day]])</f>
        <v/>
      </c>
    </row>
    <row r="1707">
      <c r="A1707" s="54" t="n"/>
      <c r="B1707" s="61" t="n"/>
      <c r="C1707" s="58" t="n"/>
      <c r="D1707" s="58" t="n"/>
      <c r="E1707" s="64">
        <f>IF(tblCommentary[[#This Row],[Date]]="","",COUNTIFS(INDEX(tblCommentary[Date],1):tblCommentary[[#This Row],[Date]],tblCommentary[[#This Row],[Date]]))</f>
        <v/>
      </c>
      <c r="F1707" s="63">
        <f>IF(tblCommentary[[#This Row],[Date]]="","",tblCommentary[[#This Row],[Date]]&amp;"|"&amp;tblCommentary[[#This Row],[Seq_Day]])</f>
        <v/>
      </c>
    </row>
    <row r="1708">
      <c r="A1708" s="54" t="n"/>
      <c r="B1708" s="61" t="n"/>
      <c r="C1708" s="58" t="n"/>
      <c r="D1708" s="58" t="n"/>
      <c r="E1708" s="64">
        <f>IF(tblCommentary[[#This Row],[Date]]="","",COUNTIFS(INDEX(tblCommentary[Date],1):tblCommentary[[#This Row],[Date]],tblCommentary[[#This Row],[Date]]))</f>
        <v/>
      </c>
      <c r="F1708" s="63">
        <f>IF(tblCommentary[[#This Row],[Date]]="","",tblCommentary[[#This Row],[Date]]&amp;"|"&amp;tblCommentary[[#This Row],[Seq_Day]])</f>
        <v/>
      </c>
    </row>
    <row r="1709">
      <c r="A1709" s="54" t="n"/>
      <c r="B1709" s="61" t="n"/>
      <c r="C1709" s="58" t="n"/>
      <c r="D1709" s="58" t="n"/>
      <c r="E1709" s="64">
        <f>IF(tblCommentary[[#This Row],[Date]]="","",COUNTIFS(INDEX(tblCommentary[Date],1):tblCommentary[[#This Row],[Date]],tblCommentary[[#This Row],[Date]]))</f>
        <v/>
      </c>
      <c r="F1709" s="63">
        <f>IF(tblCommentary[[#This Row],[Date]]="","",tblCommentary[[#This Row],[Date]]&amp;"|"&amp;tblCommentary[[#This Row],[Seq_Day]])</f>
        <v/>
      </c>
    </row>
    <row r="1710">
      <c r="A1710" s="54" t="n"/>
      <c r="B1710" s="61" t="n"/>
      <c r="C1710" s="58" t="n"/>
      <c r="D1710" s="58" t="n"/>
      <c r="E1710" s="64">
        <f>IF(tblCommentary[[#This Row],[Date]]="","",COUNTIFS(INDEX(tblCommentary[Date],1):tblCommentary[[#This Row],[Date]],tblCommentary[[#This Row],[Date]]))</f>
        <v/>
      </c>
      <c r="F1710" s="63">
        <f>IF(tblCommentary[[#This Row],[Date]]="","",tblCommentary[[#This Row],[Date]]&amp;"|"&amp;tblCommentary[[#This Row],[Seq_Day]])</f>
        <v/>
      </c>
    </row>
    <row r="1711">
      <c r="A1711" s="54" t="n"/>
      <c r="B1711" s="61" t="n"/>
      <c r="C1711" s="58" t="n"/>
      <c r="D1711" s="58" t="n"/>
      <c r="E1711" s="64">
        <f>IF(tblCommentary[[#This Row],[Date]]="","",COUNTIFS(INDEX(tblCommentary[Date],1):tblCommentary[[#This Row],[Date]],tblCommentary[[#This Row],[Date]]))</f>
        <v/>
      </c>
      <c r="F1711" s="63">
        <f>IF(tblCommentary[[#This Row],[Date]]="","",tblCommentary[[#This Row],[Date]]&amp;"|"&amp;tblCommentary[[#This Row],[Seq_Day]])</f>
        <v/>
      </c>
    </row>
    <row r="1712">
      <c r="A1712" s="54" t="n"/>
      <c r="B1712" s="61" t="n"/>
      <c r="C1712" s="58" t="n"/>
      <c r="D1712" s="58" t="n"/>
      <c r="E1712" s="64">
        <f>IF(tblCommentary[[#This Row],[Date]]="","",COUNTIFS(INDEX(tblCommentary[Date],1):tblCommentary[[#This Row],[Date]],tblCommentary[[#This Row],[Date]]))</f>
        <v/>
      </c>
      <c r="F1712" s="63">
        <f>IF(tblCommentary[[#This Row],[Date]]="","",tblCommentary[[#This Row],[Date]]&amp;"|"&amp;tblCommentary[[#This Row],[Seq_Day]])</f>
        <v/>
      </c>
    </row>
    <row r="1713">
      <c r="A1713" s="54" t="n"/>
      <c r="B1713" s="61" t="n"/>
      <c r="C1713" s="58" t="n"/>
      <c r="D1713" s="58" t="n"/>
      <c r="E1713" s="64">
        <f>IF(tblCommentary[[#This Row],[Date]]="","",COUNTIFS(INDEX(tblCommentary[Date],1):tblCommentary[[#This Row],[Date]],tblCommentary[[#This Row],[Date]]))</f>
        <v/>
      </c>
      <c r="F1713" s="63">
        <f>IF(tblCommentary[[#This Row],[Date]]="","",tblCommentary[[#This Row],[Date]]&amp;"|"&amp;tblCommentary[[#This Row],[Seq_Day]])</f>
        <v/>
      </c>
    </row>
    <row r="1714">
      <c r="A1714" s="54" t="n"/>
      <c r="B1714" s="61" t="n"/>
      <c r="C1714" s="58" t="n"/>
      <c r="D1714" s="58" t="n"/>
      <c r="E1714" s="64">
        <f>IF(tblCommentary[[#This Row],[Date]]="","",COUNTIFS(INDEX(tblCommentary[Date],1):tblCommentary[[#This Row],[Date]],tblCommentary[[#This Row],[Date]]))</f>
        <v/>
      </c>
      <c r="F1714" s="63">
        <f>IF(tblCommentary[[#This Row],[Date]]="","",tblCommentary[[#This Row],[Date]]&amp;"|"&amp;tblCommentary[[#This Row],[Seq_Day]])</f>
        <v/>
      </c>
    </row>
    <row r="1715">
      <c r="A1715" s="54" t="n"/>
      <c r="B1715" s="61" t="n"/>
      <c r="C1715" s="58" t="n"/>
      <c r="D1715" s="58" t="n"/>
      <c r="E1715" s="64">
        <f>IF(tblCommentary[[#This Row],[Date]]="","",COUNTIFS(INDEX(tblCommentary[Date],1):tblCommentary[[#This Row],[Date]],tblCommentary[[#This Row],[Date]]))</f>
        <v/>
      </c>
      <c r="F1715" s="63">
        <f>IF(tblCommentary[[#This Row],[Date]]="","",tblCommentary[[#This Row],[Date]]&amp;"|"&amp;tblCommentary[[#This Row],[Seq_Day]])</f>
        <v/>
      </c>
    </row>
    <row r="1716">
      <c r="A1716" s="54" t="n"/>
      <c r="B1716" s="61" t="n"/>
      <c r="C1716" s="58" t="n"/>
      <c r="D1716" s="58" t="n"/>
      <c r="E1716" s="64">
        <f>IF(tblCommentary[[#This Row],[Date]]="","",COUNTIFS(INDEX(tblCommentary[Date],1):tblCommentary[[#This Row],[Date]],tblCommentary[[#This Row],[Date]]))</f>
        <v/>
      </c>
      <c r="F1716" s="63">
        <f>IF(tblCommentary[[#This Row],[Date]]="","",tblCommentary[[#This Row],[Date]]&amp;"|"&amp;tblCommentary[[#This Row],[Seq_Day]])</f>
        <v/>
      </c>
    </row>
    <row r="1717">
      <c r="A1717" s="54" t="n"/>
      <c r="B1717" s="61" t="n"/>
      <c r="C1717" s="58" t="n"/>
      <c r="D1717" s="58" t="n"/>
      <c r="E1717" s="64">
        <f>IF(tblCommentary[[#This Row],[Date]]="","",COUNTIFS(INDEX(tblCommentary[Date],1):tblCommentary[[#This Row],[Date]],tblCommentary[[#This Row],[Date]]))</f>
        <v/>
      </c>
      <c r="F1717" s="63">
        <f>IF(tblCommentary[[#This Row],[Date]]="","",tblCommentary[[#This Row],[Date]]&amp;"|"&amp;tblCommentary[[#This Row],[Seq_Day]])</f>
        <v/>
      </c>
    </row>
    <row r="1718">
      <c r="A1718" s="54" t="n"/>
      <c r="B1718" s="61" t="n"/>
      <c r="C1718" s="58" t="n"/>
      <c r="D1718" s="58" t="n"/>
      <c r="E1718" s="64">
        <f>IF(tblCommentary[[#This Row],[Date]]="","",COUNTIFS(INDEX(tblCommentary[Date],1):tblCommentary[[#This Row],[Date]],tblCommentary[[#This Row],[Date]]))</f>
        <v/>
      </c>
      <c r="F1718" s="63">
        <f>IF(tblCommentary[[#This Row],[Date]]="","",tblCommentary[[#This Row],[Date]]&amp;"|"&amp;tblCommentary[[#This Row],[Seq_Day]])</f>
        <v/>
      </c>
    </row>
    <row r="1719">
      <c r="A1719" s="54" t="n"/>
      <c r="B1719" s="61" t="n"/>
      <c r="C1719" s="58" t="n"/>
      <c r="D1719" s="58" t="n"/>
      <c r="E1719" s="64">
        <f>IF(tblCommentary[[#This Row],[Date]]="","",COUNTIFS(INDEX(tblCommentary[Date],1):tblCommentary[[#This Row],[Date]],tblCommentary[[#This Row],[Date]]))</f>
        <v/>
      </c>
      <c r="F1719" s="63">
        <f>IF(tblCommentary[[#This Row],[Date]]="","",tblCommentary[[#This Row],[Date]]&amp;"|"&amp;tblCommentary[[#This Row],[Seq_Day]])</f>
        <v/>
      </c>
    </row>
    <row r="1720">
      <c r="A1720" s="54" t="n"/>
      <c r="B1720" s="61" t="n"/>
      <c r="C1720" s="58" t="n"/>
      <c r="D1720" s="58" t="n"/>
      <c r="E1720" s="64">
        <f>IF(tblCommentary[[#This Row],[Date]]="","",COUNTIFS(INDEX(tblCommentary[Date],1):tblCommentary[[#This Row],[Date]],tblCommentary[[#This Row],[Date]]))</f>
        <v/>
      </c>
      <c r="F1720" s="63">
        <f>IF(tblCommentary[[#This Row],[Date]]="","",tblCommentary[[#This Row],[Date]]&amp;"|"&amp;tblCommentary[[#This Row],[Seq_Day]])</f>
        <v/>
      </c>
    </row>
    <row r="1721">
      <c r="A1721" s="54" t="n"/>
      <c r="B1721" s="61" t="n"/>
      <c r="C1721" s="58" t="n"/>
      <c r="D1721" s="58" t="n"/>
      <c r="E1721" s="64">
        <f>IF(tblCommentary[[#This Row],[Date]]="","",COUNTIFS(INDEX(tblCommentary[Date],1):tblCommentary[[#This Row],[Date]],tblCommentary[[#This Row],[Date]]))</f>
        <v/>
      </c>
      <c r="F1721" s="63">
        <f>IF(tblCommentary[[#This Row],[Date]]="","",tblCommentary[[#This Row],[Date]]&amp;"|"&amp;tblCommentary[[#This Row],[Seq_Day]])</f>
        <v/>
      </c>
    </row>
    <row r="1722">
      <c r="A1722" s="54" t="n"/>
      <c r="B1722" s="61" t="n"/>
      <c r="C1722" s="58" t="n"/>
      <c r="D1722" s="58" t="n"/>
      <c r="E1722" s="64">
        <f>IF(tblCommentary[[#This Row],[Date]]="","",COUNTIFS(INDEX(tblCommentary[Date],1):tblCommentary[[#This Row],[Date]],tblCommentary[[#This Row],[Date]]))</f>
        <v/>
      </c>
      <c r="F1722" s="63">
        <f>IF(tblCommentary[[#This Row],[Date]]="","",tblCommentary[[#This Row],[Date]]&amp;"|"&amp;tblCommentary[[#This Row],[Seq_Day]])</f>
        <v/>
      </c>
    </row>
    <row r="1723">
      <c r="A1723" s="54" t="n"/>
      <c r="B1723" s="61" t="n"/>
      <c r="C1723" s="58" t="n"/>
      <c r="D1723" s="58" t="n"/>
      <c r="E1723" s="64">
        <f>IF(tblCommentary[[#This Row],[Date]]="","",COUNTIFS(INDEX(tblCommentary[Date],1):tblCommentary[[#This Row],[Date]],tblCommentary[[#This Row],[Date]]))</f>
        <v/>
      </c>
      <c r="F1723" s="63">
        <f>IF(tblCommentary[[#This Row],[Date]]="","",tblCommentary[[#This Row],[Date]]&amp;"|"&amp;tblCommentary[[#This Row],[Seq_Day]])</f>
        <v/>
      </c>
    </row>
    <row r="1724">
      <c r="A1724" s="54" t="n"/>
      <c r="B1724" s="61" t="n"/>
      <c r="C1724" s="58" t="n"/>
      <c r="D1724" s="58" t="n"/>
      <c r="E1724" s="64">
        <f>IF(tblCommentary[[#This Row],[Date]]="","",COUNTIFS(INDEX(tblCommentary[Date],1):tblCommentary[[#This Row],[Date]],tblCommentary[[#This Row],[Date]]))</f>
        <v/>
      </c>
      <c r="F1724" s="63">
        <f>IF(tblCommentary[[#This Row],[Date]]="","",tblCommentary[[#This Row],[Date]]&amp;"|"&amp;tblCommentary[[#This Row],[Seq_Day]])</f>
        <v/>
      </c>
    </row>
    <row r="1725">
      <c r="A1725" s="54" t="n"/>
      <c r="B1725" s="61" t="n"/>
      <c r="C1725" s="58" t="n"/>
      <c r="D1725" s="58" t="n"/>
      <c r="E1725" s="64">
        <f>IF(tblCommentary[[#This Row],[Date]]="","",COUNTIFS(INDEX(tblCommentary[Date],1):tblCommentary[[#This Row],[Date]],tblCommentary[[#This Row],[Date]]))</f>
        <v/>
      </c>
      <c r="F1725" s="63">
        <f>IF(tblCommentary[[#This Row],[Date]]="","",tblCommentary[[#This Row],[Date]]&amp;"|"&amp;tblCommentary[[#This Row],[Seq_Day]])</f>
        <v/>
      </c>
    </row>
    <row r="1726">
      <c r="A1726" s="54" t="n"/>
      <c r="B1726" s="61" t="n"/>
      <c r="C1726" s="58" t="n"/>
      <c r="D1726" s="58" t="n"/>
      <c r="E1726" s="64">
        <f>IF(tblCommentary[[#This Row],[Date]]="","",COUNTIFS(INDEX(tblCommentary[Date],1):tblCommentary[[#This Row],[Date]],tblCommentary[[#This Row],[Date]]))</f>
        <v/>
      </c>
      <c r="F1726" s="63">
        <f>IF(tblCommentary[[#This Row],[Date]]="","",tblCommentary[[#This Row],[Date]]&amp;"|"&amp;tblCommentary[[#This Row],[Seq_Day]])</f>
        <v/>
      </c>
    </row>
    <row r="1727">
      <c r="A1727" s="54" t="n"/>
      <c r="B1727" s="61" t="n"/>
      <c r="C1727" s="58" t="n"/>
      <c r="D1727" s="58" t="n"/>
      <c r="E1727" s="64">
        <f>IF(tblCommentary[[#This Row],[Date]]="","",COUNTIFS(INDEX(tblCommentary[Date],1):tblCommentary[[#This Row],[Date]],tblCommentary[[#This Row],[Date]]))</f>
        <v/>
      </c>
      <c r="F1727" s="63">
        <f>IF(tblCommentary[[#This Row],[Date]]="","",tblCommentary[[#This Row],[Date]]&amp;"|"&amp;tblCommentary[[#This Row],[Seq_Day]])</f>
        <v/>
      </c>
    </row>
    <row r="1728">
      <c r="A1728" s="54" t="n"/>
      <c r="B1728" s="61" t="n"/>
      <c r="C1728" s="58" t="n"/>
      <c r="D1728" s="58" t="n"/>
      <c r="E1728" s="64">
        <f>IF(tblCommentary[[#This Row],[Date]]="","",COUNTIFS(INDEX(tblCommentary[Date],1):tblCommentary[[#This Row],[Date]],tblCommentary[[#This Row],[Date]]))</f>
        <v/>
      </c>
      <c r="F1728" s="63">
        <f>IF(tblCommentary[[#This Row],[Date]]="","",tblCommentary[[#This Row],[Date]]&amp;"|"&amp;tblCommentary[[#This Row],[Seq_Day]])</f>
        <v/>
      </c>
    </row>
    <row r="1729">
      <c r="A1729" s="54" t="n"/>
      <c r="B1729" s="61" t="n"/>
      <c r="C1729" s="58" t="n"/>
      <c r="D1729" s="58" t="n"/>
      <c r="E1729" s="64">
        <f>IF(tblCommentary[[#This Row],[Date]]="","",COUNTIFS(INDEX(tblCommentary[Date],1):tblCommentary[[#This Row],[Date]],tblCommentary[[#This Row],[Date]]))</f>
        <v/>
      </c>
      <c r="F1729" s="63">
        <f>IF(tblCommentary[[#This Row],[Date]]="","",tblCommentary[[#This Row],[Date]]&amp;"|"&amp;tblCommentary[[#This Row],[Seq_Day]])</f>
        <v/>
      </c>
    </row>
    <row r="1730">
      <c r="A1730" s="54" t="n"/>
      <c r="B1730" s="61" t="n"/>
      <c r="C1730" s="58" t="n"/>
      <c r="D1730" s="58" t="n"/>
      <c r="E1730" s="64">
        <f>IF(tblCommentary[[#This Row],[Date]]="","",COUNTIFS(INDEX(tblCommentary[Date],1):tblCommentary[[#This Row],[Date]],tblCommentary[[#This Row],[Date]]))</f>
        <v/>
      </c>
      <c r="F1730" s="63">
        <f>IF(tblCommentary[[#This Row],[Date]]="","",tblCommentary[[#This Row],[Date]]&amp;"|"&amp;tblCommentary[[#This Row],[Seq_Day]])</f>
        <v/>
      </c>
    </row>
    <row r="1731">
      <c r="A1731" s="54" t="n"/>
      <c r="B1731" s="61" t="n"/>
      <c r="C1731" s="58" t="n"/>
      <c r="D1731" s="58" t="n"/>
      <c r="E1731" s="64">
        <f>IF(tblCommentary[[#This Row],[Date]]="","",COUNTIFS(INDEX(tblCommentary[Date],1):tblCommentary[[#This Row],[Date]],tblCommentary[[#This Row],[Date]]))</f>
        <v/>
      </c>
      <c r="F1731" s="63">
        <f>IF(tblCommentary[[#This Row],[Date]]="","",tblCommentary[[#This Row],[Date]]&amp;"|"&amp;tblCommentary[[#This Row],[Seq_Day]])</f>
        <v/>
      </c>
    </row>
    <row r="1732">
      <c r="A1732" s="54" t="n"/>
      <c r="B1732" s="61" t="n"/>
      <c r="C1732" s="58" t="n"/>
      <c r="D1732" s="58" t="n"/>
      <c r="E1732" s="64">
        <f>IF(tblCommentary[[#This Row],[Date]]="","",COUNTIFS(INDEX(tblCommentary[Date],1):tblCommentary[[#This Row],[Date]],tblCommentary[[#This Row],[Date]]))</f>
        <v/>
      </c>
      <c r="F1732" s="63">
        <f>IF(tblCommentary[[#This Row],[Date]]="","",tblCommentary[[#This Row],[Date]]&amp;"|"&amp;tblCommentary[[#This Row],[Seq_Day]])</f>
        <v/>
      </c>
    </row>
    <row r="1733">
      <c r="A1733" s="54" t="n"/>
      <c r="B1733" s="61" t="n"/>
      <c r="C1733" s="58" t="n"/>
      <c r="D1733" s="58" t="n"/>
      <c r="E1733" s="64">
        <f>IF(tblCommentary[[#This Row],[Date]]="","",COUNTIFS(INDEX(tblCommentary[Date],1):tblCommentary[[#This Row],[Date]],tblCommentary[[#This Row],[Date]]))</f>
        <v/>
      </c>
      <c r="F1733" s="63">
        <f>IF(tblCommentary[[#This Row],[Date]]="","",tblCommentary[[#This Row],[Date]]&amp;"|"&amp;tblCommentary[[#This Row],[Seq_Day]])</f>
        <v/>
      </c>
    </row>
    <row r="1734">
      <c r="A1734" s="54" t="n"/>
      <c r="B1734" s="61" t="n"/>
      <c r="C1734" s="58" t="n"/>
      <c r="D1734" s="58" t="n"/>
      <c r="E1734" s="64">
        <f>IF(tblCommentary[[#This Row],[Date]]="","",COUNTIFS(INDEX(tblCommentary[Date],1):tblCommentary[[#This Row],[Date]],tblCommentary[[#This Row],[Date]]))</f>
        <v/>
      </c>
      <c r="F1734" s="63">
        <f>IF(tblCommentary[[#This Row],[Date]]="","",tblCommentary[[#This Row],[Date]]&amp;"|"&amp;tblCommentary[[#This Row],[Seq_Day]])</f>
        <v/>
      </c>
    </row>
    <row r="1735">
      <c r="A1735" s="54" t="n"/>
      <c r="B1735" s="61" t="n"/>
      <c r="C1735" s="58" t="n"/>
      <c r="D1735" s="58" t="n"/>
      <c r="E1735" s="64">
        <f>IF(tblCommentary[[#This Row],[Date]]="","",COUNTIFS(INDEX(tblCommentary[Date],1):tblCommentary[[#This Row],[Date]],tblCommentary[[#This Row],[Date]]))</f>
        <v/>
      </c>
      <c r="F1735" s="63">
        <f>IF(tblCommentary[[#This Row],[Date]]="","",tblCommentary[[#This Row],[Date]]&amp;"|"&amp;tblCommentary[[#This Row],[Seq_Day]])</f>
        <v/>
      </c>
    </row>
    <row r="1736">
      <c r="A1736" s="54" t="n"/>
      <c r="B1736" s="61" t="n"/>
      <c r="C1736" s="58" t="n"/>
      <c r="D1736" s="58" t="n"/>
      <c r="E1736" s="64">
        <f>IF(tblCommentary[[#This Row],[Date]]="","",COUNTIFS(INDEX(tblCommentary[Date],1):tblCommentary[[#This Row],[Date]],tblCommentary[[#This Row],[Date]]))</f>
        <v/>
      </c>
      <c r="F1736" s="63">
        <f>IF(tblCommentary[[#This Row],[Date]]="","",tblCommentary[[#This Row],[Date]]&amp;"|"&amp;tblCommentary[[#This Row],[Seq_Day]])</f>
        <v/>
      </c>
    </row>
    <row r="1737">
      <c r="A1737" s="54" t="n"/>
      <c r="B1737" s="61" t="n"/>
      <c r="C1737" s="58" t="n"/>
      <c r="D1737" s="58" t="n"/>
      <c r="E1737" s="64">
        <f>IF(tblCommentary[[#This Row],[Date]]="","",COUNTIFS(INDEX(tblCommentary[Date],1):tblCommentary[[#This Row],[Date]],tblCommentary[[#This Row],[Date]]))</f>
        <v/>
      </c>
      <c r="F1737" s="63">
        <f>IF(tblCommentary[[#This Row],[Date]]="","",tblCommentary[[#This Row],[Date]]&amp;"|"&amp;tblCommentary[[#This Row],[Seq_Day]])</f>
        <v/>
      </c>
    </row>
    <row r="1738">
      <c r="A1738" s="54" t="n"/>
      <c r="B1738" s="61" t="n"/>
      <c r="C1738" s="58" t="n"/>
      <c r="D1738" s="58" t="n"/>
      <c r="E1738" s="64">
        <f>IF(tblCommentary[[#This Row],[Date]]="","",COUNTIFS(INDEX(tblCommentary[Date],1):tblCommentary[[#This Row],[Date]],tblCommentary[[#This Row],[Date]]))</f>
        <v/>
      </c>
      <c r="F1738" s="63">
        <f>IF(tblCommentary[[#This Row],[Date]]="","",tblCommentary[[#This Row],[Date]]&amp;"|"&amp;tblCommentary[[#This Row],[Seq_Day]])</f>
        <v/>
      </c>
    </row>
    <row r="1739">
      <c r="A1739" s="54" t="n"/>
      <c r="B1739" s="61" t="n"/>
      <c r="C1739" s="58" t="n"/>
      <c r="D1739" s="58" t="n"/>
      <c r="E1739" s="64">
        <f>IF(tblCommentary[[#This Row],[Date]]="","",COUNTIFS(INDEX(tblCommentary[Date],1):tblCommentary[[#This Row],[Date]],tblCommentary[[#This Row],[Date]]))</f>
        <v/>
      </c>
      <c r="F1739" s="63">
        <f>IF(tblCommentary[[#This Row],[Date]]="","",tblCommentary[[#This Row],[Date]]&amp;"|"&amp;tblCommentary[[#This Row],[Seq_Day]])</f>
        <v/>
      </c>
    </row>
    <row r="1740">
      <c r="A1740" s="54" t="n"/>
      <c r="B1740" s="61" t="n"/>
      <c r="C1740" s="58" t="n"/>
      <c r="D1740" s="58" t="n"/>
      <c r="E1740" s="64">
        <f>IF(tblCommentary[[#This Row],[Date]]="","",COUNTIFS(INDEX(tblCommentary[Date],1):tblCommentary[[#This Row],[Date]],tblCommentary[[#This Row],[Date]]))</f>
        <v/>
      </c>
      <c r="F1740" s="63">
        <f>IF(tblCommentary[[#This Row],[Date]]="","",tblCommentary[[#This Row],[Date]]&amp;"|"&amp;tblCommentary[[#This Row],[Seq_Day]])</f>
        <v/>
      </c>
    </row>
    <row r="1741">
      <c r="A1741" s="54" t="n"/>
      <c r="B1741" s="61" t="n"/>
      <c r="C1741" s="58" t="n"/>
      <c r="D1741" s="58" t="n"/>
      <c r="E1741" s="64">
        <f>IF(tblCommentary[[#This Row],[Date]]="","",COUNTIFS(INDEX(tblCommentary[Date],1):tblCommentary[[#This Row],[Date]],tblCommentary[[#This Row],[Date]]))</f>
        <v/>
      </c>
      <c r="F1741" s="63">
        <f>IF(tblCommentary[[#This Row],[Date]]="","",tblCommentary[[#This Row],[Date]]&amp;"|"&amp;tblCommentary[[#This Row],[Seq_Day]])</f>
        <v/>
      </c>
    </row>
    <row r="1742">
      <c r="A1742" s="54" t="n"/>
      <c r="B1742" s="61" t="n"/>
      <c r="C1742" s="58" t="n"/>
      <c r="D1742" s="58" t="n"/>
      <c r="E1742" s="64">
        <f>IF(tblCommentary[[#This Row],[Date]]="","",COUNTIFS(INDEX(tblCommentary[Date],1):tblCommentary[[#This Row],[Date]],tblCommentary[[#This Row],[Date]]))</f>
        <v/>
      </c>
      <c r="F1742" s="63">
        <f>IF(tblCommentary[[#This Row],[Date]]="","",tblCommentary[[#This Row],[Date]]&amp;"|"&amp;tblCommentary[[#This Row],[Seq_Day]])</f>
        <v/>
      </c>
    </row>
    <row r="1743">
      <c r="A1743" s="54" t="n"/>
      <c r="B1743" s="61" t="n"/>
      <c r="C1743" s="58" t="n"/>
      <c r="D1743" s="58" t="n"/>
      <c r="E1743" s="64">
        <f>IF(tblCommentary[[#This Row],[Date]]="","",COUNTIFS(INDEX(tblCommentary[Date],1):tblCommentary[[#This Row],[Date]],tblCommentary[[#This Row],[Date]]))</f>
        <v/>
      </c>
      <c r="F1743" s="63">
        <f>IF(tblCommentary[[#This Row],[Date]]="","",tblCommentary[[#This Row],[Date]]&amp;"|"&amp;tblCommentary[[#This Row],[Seq_Day]])</f>
        <v/>
      </c>
    </row>
    <row r="1744">
      <c r="A1744" s="54" t="n"/>
      <c r="B1744" s="61" t="n"/>
      <c r="C1744" s="58" t="n"/>
      <c r="D1744" s="58" t="n"/>
      <c r="E1744" s="64">
        <f>IF(tblCommentary[[#This Row],[Date]]="","",COUNTIFS(INDEX(tblCommentary[Date],1):tblCommentary[[#This Row],[Date]],tblCommentary[[#This Row],[Date]]))</f>
        <v/>
      </c>
      <c r="F1744" s="63">
        <f>IF(tblCommentary[[#This Row],[Date]]="","",tblCommentary[[#This Row],[Date]]&amp;"|"&amp;tblCommentary[[#This Row],[Seq_Day]])</f>
        <v/>
      </c>
    </row>
    <row r="1745">
      <c r="A1745" s="54" t="n"/>
      <c r="B1745" s="61" t="n"/>
      <c r="C1745" s="58" t="n"/>
      <c r="D1745" s="58" t="n"/>
      <c r="E1745" s="64">
        <f>IF(tblCommentary[[#This Row],[Date]]="","",COUNTIFS(INDEX(tblCommentary[Date],1):tblCommentary[[#This Row],[Date]],tblCommentary[[#This Row],[Date]]))</f>
        <v/>
      </c>
      <c r="F1745" s="63">
        <f>IF(tblCommentary[[#This Row],[Date]]="","",tblCommentary[[#This Row],[Date]]&amp;"|"&amp;tblCommentary[[#This Row],[Seq_Day]])</f>
        <v/>
      </c>
    </row>
    <row r="1746">
      <c r="A1746" s="54" t="n"/>
      <c r="B1746" s="61" t="n"/>
      <c r="C1746" s="58" t="n"/>
      <c r="D1746" s="58" t="n"/>
      <c r="E1746" s="64">
        <f>IF(tblCommentary[[#This Row],[Date]]="","",COUNTIFS(INDEX(tblCommentary[Date],1):tblCommentary[[#This Row],[Date]],tblCommentary[[#This Row],[Date]]))</f>
        <v/>
      </c>
      <c r="F1746" s="63">
        <f>IF(tblCommentary[[#This Row],[Date]]="","",tblCommentary[[#This Row],[Date]]&amp;"|"&amp;tblCommentary[[#This Row],[Seq_Day]])</f>
        <v/>
      </c>
    </row>
    <row r="1747">
      <c r="A1747" s="54" t="n"/>
      <c r="B1747" s="61" t="n"/>
      <c r="C1747" s="58" t="n"/>
      <c r="D1747" s="58" t="n"/>
      <c r="E1747" s="64">
        <f>IF(tblCommentary[[#This Row],[Date]]="","",COUNTIFS(INDEX(tblCommentary[Date],1):tblCommentary[[#This Row],[Date]],tblCommentary[[#This Row],[Date]]))</f>
        <v/>
      </c>
      <c r="F1747" s="63">
        <f>IF(tblCommentary[[#This Row],[Date]]="","",tblCommentary[[#This Row],[Date]]&amp;"|"&amp;tblCommentary[[#This Row],[Seq_Day]])</f>
        <v/>
      </c>
    </row>
    <row r="1748">
      <c r="A1748" s="54" t="n"/>
      <c r="B1748" s="61" t="n"/>
      <c r="C1748" s="58" t="n"/>
      <c r="D1748" s="58" t="n"/>
      <c r="E1748" s="64">
        <f>IF(tblCommentary[[#This Row],[Date]]="","",COUNTIFS(INDEX(tblCommentary[Date],1):tblCommentary[[#This Row],[Date]],tblCommentary[[#This Row],[Date]]))</f>
        <v/>
      </c>
      <c r="F1748" s="63">
        <f>IF(tblCommentary[[#This Row],[Date]]="","",tblCommentary[[#This Row],[Date]]&amp;"|"&amp;tblCommentary[[#This Row],[Seq_Day]])</f>
        <v/>
      </c>
    </row>
    <row r="1749">
      <c r="A1749" s="54" t="n"/>
      <c r="B1749" s="61" t="n"/>
      <c r="C1749" s="58" t="n"/>
      <c r="D1749" s="58" t="n"/>
      <c r="E1749" s="64">
        <f>IF(tblCommentary[[#This Row],[Date]]="","",COUNTIFS(INDEX(tblCommentary[Date],1):tblCommentary[[#This Row],[Date]],tblCommentary[[#This Row],[Date]]))</f>
        <v/>
      </c>
      <c r="F1749" s="63">
        <f>IF(tblCommentary[[#This Row],[Date]]="","",tblCommentary[[#This Row],[Date]]&amp;"|"&amp;tblCommentary[[#This Row],[Seq_Day]])</f>
        <v/>
      </c>
    </row>
    <row r="1750">
      <c r="A1750" s="54" t="n"/>
      <c r="B1750" s="61" t="n"/>
      <c r="C1750" s="58" t="n"/>
      <c r="D1750" s="58" t="n"/>
      <c r="E1750" s="64">
        <f>IF(tblCommentary[[#This Row],[Date]]="","",COUNTIFS(INDEX(tblCommentary[Date],1):tblCommentary[[#This Row],[Date]],tblCommentary[[#This Row],[Date]]))</f>
        <v/>
      </c>
      <c r="F1750" s="63">
        <f>IF(tblCommentary[[#This Row],[Date]]="","",tblCommentary[[#This Row],[Date]]&amp;"|"&amp;tblCommentary[[#This Row],[Seq_Day]])</f>
        <v/>
      </c>
    </row>
    <row r="1751">
      <c r="A1751" s="54" t="n"/>
      <c r="B1751" s="61" t="n"/>
      <c r="C1751" s="58" t="n"/>
      <c r="D1751" s="58" t="n"/>
      <c r="E1751" s="64">
        <f>IF(tblCommentary[[#This Row],[Date]]="","",COUNTIFS(INDEX(tblCommentary[Date],1):tblCommentary[[#This Row],[Date]],tblCommentary[[#This Row],[Date]]))</f>
        <v/>
      </c>
      <c r="F1751" s="63">
        <f>IF(tblCommentary[[#This Row],[Date]]="","",tblCommentary[[#This Row],[Date]]&amp;"|"&amp;tblCommentary[[#This Row],[Seq_Day]])</f>
        <v/>
      </c>
    </row>
    <row r="1752">
      <c r="A1752" s="54" t="n"/>
      <c r="B1752" s="61" t="n"/>
      <c r="C1752" s="58" t="n"/>
      <c r="D1752" s="58" t="n"/>
      <c r="E1752" s="64">
        <f>IF(tblCommentary[[#This Row],[Date]]="","",COUNTIFS(INDEX(tblCommentary[Date],1):tblCommentary[[#This Row],[Date]],tblCommentary[[#This Row],[Date]]))</f>
        <v/>
      </c>
      <c r="F1752" s="63">
        <f>IF(tblCommentary[[#This Row],[Date]]="","",tblCommentary[[#This Row],[Date]]&amp;"|"&amp;tblCommentary[[#This Row],[Seq_Day]])</f>
        <v/>
      </c>
    </row>
    <row r="1753">
      <c r="A1753" s="54" t="n"/>
      <c r="B1753" s="61" t="n"/>
      <c r="C1753" s="58" t="n"/>
      <c r="D1753" s="58" t="n"/>
      <c r="E1753" s="64">
        <f>IF(tblCommentary[[#This Row],[Date]]="","",COUNTIFS(INDEX(tblCommentary[Date],1):tblCommentary[[#This Row],[Date]],tblCommentary[[#This Row],[Date]]))</f>
        <v/>
      </c>
      <c r="F1753" s="63">
        <f>IF(tblCommentary[[#This Row],[Date]]="","",tblCommentary[[#This Row],[Date]]&amp;"|"&amp;tblCommentary[[#This Row],[Seq_Day]])</f>
        <v/>
      </c>
    </row>
    <row r="1754">
      <c r="A1754" s="54" t="n"/>
      <c r="B1754" s="61" t="n"/>
      <c r="C1754" s="58" t="n"/>
      <c r="D1754" s="58" t="n"/>
      <c r="E1754" s="64">
        <f>IF(tblCommentary[[#This Row],[Date]]="","",COUNTIFS(INDEX(tblCommentary[Date],1):tblCommentary[[#This Row],[Date]],tblCommentary[[#This Row],[Date]]))</f>
        <v/>
      </c>
      <c r="F1754" s="63">
        <f>IF(tblCommentary[[#This Row],[Date]]="","",tblCommentary[[#This Row],[Date]]&amp;"|"&amp;tblCommentary[[#This Row],[Seq_Day]])</f>
        <v/>
      </c>
    </row>
    <row r="1755">
      <c r="A1755" s="54" t="n"/>
      <c r="B1755" s="61" t="n"/>
      <c r="C1755" s="58" t="n"/>
      <c r="D1755" s="58" t="n"/>
      <c r="E1755" s="64">
        <f>IF(tblCommentary[[#This Row],[Date]]="","",COUNTIFS(INDEX(tblCommentary[Date],1):tblCommentary[[#This Row],[Date]],tblCommentary[[#This Row],[Date]]))</f>
        <v/>
      </c>
      <c r="F1755" s="63">
        <f>IF(tblCommentary[[#This Row],[Date]]="","",tblCommentary[[#This Row],[Date]]&amp;"|"&amp;tblCommentary[[#This Row],[Seq_Day]])</f>
        <v/>
      </c>
    </row>
    <row r="1756">
      <c r="A1756" s="54" t="n"/>
      <c r="B1756" s="61" t="n"/>
      <c r="C1756" s="58" t="n"/>
      <c r="D1756" s="58" t="n"/>
      <c r="E1756" s="64">
        <f>IF(tblCommentary[[#This Row],[Date]]="","",COUNTIFS(INDEX(tblCommentary[Date],1):tblCommentary[[#This Row],[Date]],tblCommentary[[#This Row],[Date]]))</f>
        <v/>
      </c>
      <c r="F1756" s="63">
        <f>IF(tblCommentary[[#This Row],[Date]]="","",tblCommentary[[#This Row],[Date]]&amp;"|"&amp;tblCommentary[[#This Row],[Seq_Day]])</f>
        <v/>
      </c>
    </row>
    <row r="1757">
      <c r="A1757" s="54" t="n"/>
      <c r="B1757" s="61" t="n"/>
      <c r="C1757" s="58" t="n"/>
      <c r="D1757" s="58" t="n"/>
      <c r="E1757" s="64">
        <f>IF(tblCommentary[[#This Row],[Date]]="","",COUNTIFS(INDEX(tblCommentary[Date],1):tblCommentary[[#This Row],[Date]],tblCommentary[[#This Row],[Date]]))</f>
        <v/>
      </c>
      <c r="F1757" s="63">
        <f>IF(tblCommentary[[#This Row],[Date]]="","",tblCommentary[[#This Row],[Date]]&amp;"|"&amp;tblCommentary[[#This Row],[Seq_Day]])</f>
        <v/>
      </c>
    </row>
    <row r="1758">
      <c r="A1758" s="54" t="n"/>
      <c r="B1758" s="61" t="n"/>
      <c r="C1758" s="58" t="n"/>
      <c r="D1758" s="58" t="n"/>
      <c r="E1758" s="64">
        <f>IF(tblCommentary[[#This Row],[Date]]="","",COUNTIFS(INDEX(tblCommentary[Date],1):tblCommentary[[#This Row],[Date]],tblCommentary[[#This Row],[Date]]))</f>
        <v/>
      </c>
      <c r="F1758" s="63">
        <f>IF(tblCommentary[[#This Row],[Date]]="","",tblCommentary[[#This Row],[Date]]&amp;"|"&amp;tblCommentary[[#This Row],[Seq_Day]])</f>
        <v/>
      </c>
    </row>
    <row r="1759">
      <c r="A1759" s="54" t="n"/>
      <c r="B1759" s="61" t="n"/>
      <c r="C1759" s="58" t="n"/>
      <c r="D1759" s="58" t="n"/>
      <c r="E1759" s="64">
        <f>IF(tblCommentary[[#This Row],[Date]]="","",COUNTIFS(INDEX(tblCommentary[Date],1):tblCommentary[[#This Row],[Date]],tblCommentary[[#This Row],[Date]]))</f>
        <v/>
      </c>
      <c r="F1759" s="63">
        <f>IF(tblCommentary[[#This Row],[Date]]="","",tblCommentary[[#This Row],[Date]]&amp;"|"&amp;tblCommentary[[#This Row],[Seq_Day]])</f>
        <v/>
      </c>
    </row>
    <row r="1760">
      <c r="A1760" s="54" t="n"/>
      <c r="B1760" s="61" t="n"/>
      <c r="C1760" s="58" t="n"/>
      <c r="D1760" s="58" t="n"/>
      <c r="E1760" s="64">
        <f>IF(tblCommentary[[#This Row],[Date]]="","",COUNTIFS(INDEX(tblCommentary[Date],1):tblCommentary[[#This Row],[Date]],tblCommentary[[#This Row],[Date]]))</f>
        <v/>
      </c>
      <c r="F1760" s="63">
        <f>IF(tblCommentary[[#This Row],[Date]]="","",tblCommentary[[#This Row],[Date]]&amp;"|"&amp;tblCommentary[[#This Row],[Seq_Day]])</f>
        <v/>
      </c>
    </row>
    <row r="1761">
      <c r="A1761" s="54" t="n"/>
      <c r="B1761" s="61" t="n"/>
      <c r="C1761" s="58" t="n"/>
      <c r="D1761" s="58" t="n"/>
      <c r="E1761" s="64">
        <f>IF(tblCommentary[[#This Row],[Date]]="","",COUNTIFS(INDEX(tblCommentary[Date],1):tblCommentary[[#This Row],[Date]],tblCommentary[[#This Row],[Date]]))</f>
        <v/>
      </c>
      <c r="F1761" s="63">
        <f>IF(tblCommentary[[#This Row],[Date]]="","",tblCommentary[[#This Row],[Date]]&amp;"|"&amp;tblCommentary[[#This Row],[Seq_Day]])</f>
        <v/>
      </c>
    </row>
    <row r="1762">
      <c r="A1762" s="54" t="n"/>
      <c r="B1762" s="61" t="n"/>
      <c r="C1762" s="58" t="n"/>
      <c r="D1762" s="58" t="n"/>
      <c r="E1762" s="64">
        <f>IF(tblCommentary[[#This Row],[Date]]="","",COUNTIFS(INDEX(tblCommentary[Date],1):tblCommentary[[#This Row],[Date]],tblCommentary[[#This Row],[Date]]))</f>
        <v/>
      </c>
      <c r="F1762" s="63">
        <f>IF(tblCommentary[[#This Row],[Date]]="","",tblCommentary[[#This Row],[Date]]&amp;"|"&amp;tblCommentary[[#This Row],[Seq_Day]])</f>
        <v/>
      </c>
    </row>
    <row r="1763">
      <c r="A1763" s="54" t="n"/>
      <c r="B1763" s="61" t="n"/>
      <c r="C1763" s="58" t="n"/>
      <c r="D1763" s="58" t="n"/>
      <c r="E1763" s="64">
        <f>IF(tblCommentary[[#This Row],[Date]]="","",COUNTIFS(INDEX(tblCommentary[Date],1):tblCommentary[[#This Row],[Date]],tblCommentary[[#This Row],[Date]]))</f>
        <v/>
      </c>
      <c r="F1763" s="63">
        <f>IF(tblCommentary[[#This Row],[Date]]="","",tblCommentary[[#This Row],[Date]]&amp;"|"&amp;tblCommentary[[#This Row],[Seq_Day]])</f>
        <v/>
      </c>
    </row>
    <row r="1764">
      <c r="A1764" s="54" t="n"/>
      <c r="B1764" s="61" t="n"/>
      <c r="C1764" s="58" t="n"/>
      <c r="D1764" s="58" t="n"/>
      <c r="E1764" s="64">
        <f>IF(tblCommentary[[#This Row],[Date]]="","",COUNTIFS(INDEX(tblCommentary[Date],1):tblCommentary[[#This Row],[Date]],tblCommentary[[#This Row],[Date]]))</f>
        <v/>
      </c>
      <c r="F1764" s="63">
        <f>IF(tblCommentary[[#This Row],[Date]]="","",tblCommentary[[#This Row],[Date]]&amp;"|"&amp;tblCommentary[[#This Row],[Seq_Day]])</f>
        <v/>
      </c>
    </row>
    <row r="1765">
      <c r="A1765" s="54" t="n"/>
      <c r="B1765" s="61" t="n"/>
      <c r="C1765" s="58" t="n"/>
      <c r="D1765" s="58" t="n"/>
      <c r="E1765" s="64">
        <f>IF(tblCommentary[[#This Row],[Date]]="","",COUNTIFS(INDEX(tblCommentary[Date],1):tblCommentary[[#This Row],[Date]],tblCommentary[[#This Row],[Date]]))</f>
        <v/>
      </c>
      <c r="F1765" s="63">
        <f>IF(tblCommentary[[#This Row],[Date]]="","",tblCommentary[[#This Row],[Date]]&amp;"|"&amp;tblCommentary[[#This Row],[Seq_Day]])</f>
        <v/>
      </c>
    </row>
    <row r="1766">
      <c r="A1766" s="54" t="n"/>
      <c r="B1766" s="61" t="n"/>
      <c r="C1766" s="58" t="n"/>
      <c r="D1766" s="58" t="n"/>
      <c r="E1766" s="64">
        <f>IF(tblCommentary[[#This Row],[Date]]="","",COUNTIFS(INDEX(tblCommentary[Date],1):tblCommentary[[#This Row],[Date]],tblCommentary[[#This Row],[Date]]))</f>
        <v/>
      </c>
      <c r="F1766" s="63">
        <f>IF(tblCommentary[[#This Row],[Date]]="","",tblCommentary[[#This Row],[Date]]&amp;"|"&amp;tblCommentary[[#This Row],[Seq_Day]])</f>
        <v/>
      </c>
    </row>
    <row r="1767">
      <c r="A1767" s="54" t="n"/>
      <c r="B1767" s="61" t="n"/>
      <c r="C1767" s="58" t="n"/>
      <c r="D1767" s="58" t="n"/>
      <c r="E1767" s="64">
        <f>IF(tblCommentary[[#This Row],[Date]]="","",COUNTIFS(INDEX(tblCommentary[Date],1):tblCommentary[[#This Row],[Date]],tblCommentary[[#This Row],[Date]]))</f>
        <v/>
      </c>
      <c r="F1767" s="63">
        <f>IF(tblCommentary[[#This Row],[Date]]="","",tblCommentary[[#This Row],[Date]]&amp;"|"&amp;tblCommentary[[#This Row],[Seq_Day]])</f>
        <v/>
      </c>
    </row>
    <row r="1768">
      <c r="A1768" s="54" t="n"/>
      <c r="B1768" s="61" t="n"/>
      <c r="C1768" s="58" t="n"/>
      <c r="D1768" s="58" t="n"/>
      <c r="E1768" s="64">
        <f>IF(tblCommentary[[#This Row],[Date]]="","",COUNTIFS(INDEX(tblCommentary[Date],1):tblCommentary[[#This Row],[Date]],tblCommentary[[#This Row],[Date]]))</f>
        <v/>
      </c>
      <c r="F1768" s="63">
        <f>IF(tblCommentary[[#This Row],[Date]]="","",tblCommentary[[#This Row],[Date]]&amp;"|"&amp;tblCommentary[[#This Row],[Seq_Day]])</f>
        <v/>
      </c>
    </row>
    <row r="1769">
      <c r="A1769" s="54" t="n"/>
      <c r="B1769" s="61" t="n"/>
      <c r="C1769" s="58" t="n"/>
      <c r="D1769" s="58" t="n"/>
      <c r="E1769" s="64">
        <f>IF(tblCommentary[[#This Row],[Date]]="","",COUNTIFS(INDEX(tblCommentary[Date],1):tblCommentary[[#This Row],[Date]],tblCommentary[[#This Row],[Date]]))</f>
        <v/>
      </c>
      <c r="F1769" s="63">
        <f>IF(tblCommentary[[#This Row],[Date]]="","",tblCommentary[[#This Row],[Date]]&amp;"|"&amp;tblCommentary[[#This Row],[Seq_Day]])</f>
        <v/>
      </c>
    </row>
    <row r="1770">
      <c r="A1770" s="54" t="n"/>
      <c r="B1770" s="61" t="n"/>
      <c r="C1770" s="58" t="n"/>
      <c r="D1770" s="58" t="n"/>
      <c r="E1770" s="64">
        <f>IF(tblCommentary[[#This Row],[Date]]="","",COUNTIFS(INDEX(tblCommentary[Date],1):tblCommentary[[#This Row],[Date]],tblCommentary[[#This Row],[Date]]))</f>
        <v/>
      </c>
      <c r="F1770" s="63">
        <f>IF(tblCommentary[[#This Row],[Date]]="","",tblCommentary[[#This Row],[Date]]&amp;"|"&amp;tblCommentary[[#This Row],[Seq_Day]])</f>
        <v/>
      </c>
    </row>
    <row r="1771">
      <c r="A1771" s="54" t="n"/>
      <c r="B1771" s="61" t="n"/>
      <c r="C1771" s="58" t="n"/>
      <c r="D1771" s="58" t="n"/>
      <c r="E1771" s="64">
        <f>IF(tblCommentary[[#This Row],[Date]]="","",COUNTIFS(INDEX(tblCommentary[Date],1):tblCommentary[[#This Row],[Date]],tblCommentary[[#This Row],[Date]]))</f>
        <v/>
      </c>
      <c r="F1771" s="63">
        <f>IF(tblCommentary[[#This Row],[Date]]="","",tblCommentary[[#This Row],[Date]]&amp;"|"&amp;tblCommentary[[#This Row],[Seq_Day]])</f>
        <v/>
      </c>
    </row>
    <row r="1772">
      <c r="A1772" s="54" t="n"/>
      <c r="B1772" s="61" t="n"/>
      <c r="C1772" s="58" t="n"/>
      <c r="D1772" s="58" t="n"/>
      <c r="E1772" s="64">
        <f>IF(tblCommentary[[#This Row],[Date]]="","",COUNTIFS(INDEX(tblCommentary[Date],1):tblCommentary[[#This Row],[Date]],tblCommentary[[#This Row],[Date]]))</f>
        <v/>
      </c>
      <c r="F1772" s="63">
        <f>IF(tblCommentary[[#This Row],[Date]]="","",tblCommentary[[#This Row],[Date]]&amp;"|"&amp;tblCommentary[[#This Row],[Seq_Day]])</f>
        <v/>
      </c>
    </row>
    <row r="1773">
      <c r="A1773" s="54" t="n"/>
      <c r="B1773" s="61" t="n"/>
      <c r="C1773" s="58" t="n"/>
      <c r="D1773" s="58" t="n"/>
      <c r="E1773" s="64">
        <f>IF(tblCommentary[[#This Row],[Date]]="","",COUNTIFS(INDEX(tblCommentary[Date],1):tblCommentary[[#This Row],[Date]],tblCommentary[[#This Row],[Date]]))</f>
        <v/>
      </c>
      <c r="F1773" s="63">
        <f>IF(tblCommentary[[#This Row],[Date]]="","",tblCommentary[[#This Row],[Date]]&amp;"|"&amp;tblCommentary[[#This Row],[Seq_Day]])</f>
        <v/>
      </c>
    </row>
    <row r="1774">
      <c r="A1774" s="54" t="n"/>
      <c r="B1774" s="61" t="n"/>
      <c r="C1774" s="58" t="n"/>
      <c r="D1774" s="58" t="n"/>
      <c r="E1774" s="64">
        <f>IF(tblCommentary[[#This Row],[Date]]="","",COUNTIFS(INDEX(tblCommentary[Date],1):tblCommentary[[#This Row],[Date]],tblCommentary[[#This Row],[Date]]))</f>
        <v/>
      </c>
      <c r="F1774" s="63">
        <f>IF(tblCommentary[[#This Row],[Date]]="","",tblCommentary[[#This Row],[Date]]&amp;"|"&amp;tblCommentary[[#This Row],[Seq_Day]])</f>
        <v/>
      </c>
    </row>
    <row r="1775">
      <c r="A1775" s="54" t="n"/>
      <c r="B1775" s="61" t="n"/>
      <c r="C1775" s="58" t="n"/>
      <c r="D1775" s="58" t="n"/>
      <c r="E1775" s="64">
        <f>IF(tblCommentary[[#This Row],[Date]]="","",COUNTIFS(INDEX(tblCommentary[Date],1):tblCommentary[[#This Row],[Date]],tblCommentary[[#This Row],[Date]]))</f>
        <v/>
      </c>
      <c r="F1775" s="63">
        <f>IF(tblCommentary[[#This Row],[Date]]="","",tblCommentary[[#This Row],[Date]]&amp;"|"&amp;tblCommentary[[#This Row],[Seq_Day]])</f>
        <v/>
      </c>
    </row>
    <row r="1776">
      <c r="A1776" s="54" t="n"/>
      <c r="B1776" s="61" t="n"/>
      <c r="C1776" s="58" t="n"/>
      <c r="D1776" s="58" t="n"/>
      <c r="E1776" s="64">
        <f>IF(tblCommentary[[#This Row],[Date]]="","",COUNTIFS(INDEX(tblCommentary[Date],1):tblCommentary[[#This Row],[Date]],tblCommentary[[#This Row],[Date]]))</f>
        <v/>
      </c>
      <c r="F1776" s="63">
        <f>IF(tblCommentary[[#This Row],[Date]]="","",tblCommentary[[#This Row],[Date]]&amp;"|"&amp;tblCommentary[[#This Row],[Seq_Day]])</f>
        <v/>
      </c>
    </row>
    <row r="1777">
      <c r="A1777" s="54" t="n"/>
      <c r="B1777" s="61" t="n"/>
      <c r="C1777" s="58" t="n"/>
      <c r="D1777" s="58" t="n"/>
      <c r="E1777" s="64">
        <f>IF(tblCommentary[[#This Row],[Date]]="","",COUNTIFS(INDEX(tblCommentary[Date],1):tblCommentary[[#This Row],[Date]],tblCommentary[[#This Row],[Date]]))</f>
        <v/>
      </c>
      <c r="F1777" s="63">
        <f>IF(tblCommentary[[#This Row],[Date]]="","",tblCommentary[[#This Row],[Date]]&amp;"|"&amp;tblCommentary[[#This Row],[Seq_Day]])</f>
        <v/>
      </c>
    </row>
    <row r="1778">
      <c r="A1778" s="54" t="n"/>
      <c r="B1778" s="61" t="n"/>
      <c r="C1778" s="58" t="n"/>
      <c r="D1778" s="58" t="n"/>
      <c r="E1778" s="64">
        <f>IF(tblCommentary[[#This Row],[Date]]="","",COUNTIFS(INDEX(tblCommentary[Date],1):tblCommentary[[#This Row],[Date]],tblCommentary[[#This Row],[Date]]))</f>
        <v/>
      </c>
      <c r="F1778" s="63">
        <f>IF(tblCommentary[[#This Row],[Date]]="","",tblCommentary[[#This Row],[Date]]&amp;"|"&amp;tblCommentary[[#This Row],[Seq_Day]])</f>
        <v/>
      </c>
    </row>
    <row r="1779">
      <c r="A1779" s="54" t="n"/>
      <c r="B1779" s="61" t="n"/>
      <c r="C1779" s="58" t="n"/>
      <c r="D1779" s="58" t="n"/>
      <c r="E1779" s="64">
        <f>IF(tblCommentary[[#This Row],[Date]]="","",COUNTIFS(INDEX(tblCommentary[Date],1):tblCommentary[[#This Row],[Date]],tblCommentary[[#This Row],[Date]]))</f>
        <v/>
      </c>
      <c r="F1779" s="63">
        <f>IF(tblCommentary[[#This Row],[Date]]="","",tblCommentary[[#This Row],[Date]]&amp;"|"&amp;tblCommentary[[#This Row],[Seq_Day]])</f>
        <v/>
      </c>
    </row>
    <row r="1780">
      <c r="A1780" s="54" t="n"/>
      <c r="B1780" s="61" t="n"/>
      <c r="C1780" s="58" t="n"/>
      <c r="D1780" s="58" t="n"/>
      <c r="E1780" s="64">
        <f>IF(tblCommentary[[#This Row],[Date]]="","",COUNTIFS(INDEX(tblCommentary[Date],1):tblCommentary[[#This Row],[Date]],tblCommentary[[#This Row],[Date]]))</f>
        <v/>
      </c>
      <c r="F1780" s="63">
        <f>IF(tblCommentary[[#This Row],[Date]]="","",tblCommentary[[#This Row],[Date]]&amp;"|"&amp;tblCommentary[[#This Row],[Seq_Day]])</f>
        <v/>
      </c>
    </row>
    <row r="1781">
      <c r="A1781" s="54" t="n"/>
      <c r="B1781" s="61" t="n"/>
      <c r="C1781" s="58" t="n"/>
      <c r="D1781" s="58" t="n"/>
      <c r="E1781" s="64">
        <f>IF(tblCommentary[[#This Row],[Date]]="","",COUNTIFS(INDEX(tblCommentary[Date],1):tblCommentary[[#This Row],[Date]],tblCommentary[[#This Row],[Date]]))</f>
        <v/>
      </c>
      <c r="F1781" s="63">
        <f>IF(tblCommentary[[#This Row],[Date]]="","",tblCommentary[[#This Row],[Date]]&amp;"|"&amp;tblCommentary[[#This Row],[Seq_Day]])</f>
        <v/>
      </c>
    </row>
    <row r="1782">
      <c r="A1782" s="54" t="n"/>
      <c r="B1782" s="61" t="n"/>
      <c r="C1782" s="58" t="n"/>
      <c r="D1782" s="58" t="n"/>
      <c r="E1782" s="64">
        <f>IF(tblCommentary[[#This Row],[Date]]="","",COUNTIFS(INDEX(tblCommentary[Date],1):tblCommentary[[#This Row],[Date]],tblCommentary[[#This Row],[Date]]))</f>
        <v/>
      </c>
      <c r="F1782" s="63">
        <f>IF(tblCommentary[[#This Row],[Date]]="","",tblCommentary[[#This Row],[Date]]&amp;"|"&amp;tblCommentary[[#This Row],[Seq_Day]])</f>
        <v/>
      </c>
    </row>
    <row r="1783">
      <c r="A1783" s="54" t="n"/>
      <c r="B1783" s="61" t="n"/>
      <c r="C1783" s="58" t="n"/>
      <c r="D1783" s="58" t="n"/>
      <c r="E1783" s="64">
        <f>IF(tblCommentary[[#This Row],[Date]]="","",COUNTIFS(INDEX(tblCommentary[Date],1):tblCommentary[[#This Row],[Date]],tblCommentary[[#This Row],[Date]]))</f>
        <v/>
      </c>
      <c r="F1783" s="63">
        <f>IF(tblCommentary[[#This Row],[Date]]="","",tblCommentary[[#This Row],[Date]]&amp;"|"&amp;tblCommentary[[#This Row],[Seq_Day]])</f>
        <v/>
      </c>
    </row>
    <row r="1784">
      <c r="A1784" s="54" t="n"/>
      <c r="B1784" s="61" t="n"/>
      <c r="C1784" s="58" t="n"/>
      <c r="D1784" s="58" t="n"/>
      <c r="E1784" s="64">
        <f>IF(tblCommentary[[#This Row],[Date]]="","",COUNTIFS(INDEX(tblCommentary[Date],1):tblCommentary[[#This Row],[Date]],tblCommentary[[#This Row],[Date]]))</f>
        <v/>
      </c>
      <c r="F1784" s="63">
        <f>IF(tblCommentary[[#This Row],[Date]]="","",tblCommentary[[#This Row],[Date]]&amp;"|"&amp;tblCommentary[[#This Row],[Seq_Day]])</f>
        <v/>
      </c>
    </row>
    <row r="1785">
      <c r="A1785" s="54" t="n"/>
      <c r="B1785" s="61" t="n"/>
      <c r="C1785" s="58" t="n"/>
      <c r="D1785" s="58" t="n"/>
      <c r="E1785" s="64">
        <f>IF(tblCommentary[[#This Row],[Date]]="","",COUNTIFS(INDEX(tblCommentary[Date],1):tblCommentary[[#This Row],[Date]],tblCommentary[[#This Row],[Date]]))</f>
        <v/>
      </c>
      <c r="F1785" s="63">
        <f>IF(tblCommentary[[#This Row],[Date]]="","",tblCommentary[[#This Row],[Date]]&amp;"|"&amp;tblCommentary[[#This Row],[Seq_Day]])</f>
        <v/>
      </c>
    </row>
    <row r="1786">
      <c r="A1786" s="54" t="n"/>
      <c r="B1786" s="61" t="n"/>
      <c r="C1786" s="58" t="n"/>
      <c r="D1786" s="58" t="n"/>
      <c r="E1786" s="64">
        <f>IF(tblCommentary[[#This Row],[Date]]="","",COUNTIFS(INDEX(tblCommentary[Date],1):tblCommentary[[#This Row],[Date]],tblCommentary[[#This Row],[Date]]))</f>
        <v/>
      </c>
      <c r="F1786" s="63">
        <f>IF(tblCommentary[[#This Row],[Date]]="","",tblCommentary[[#This Row],[Date]]&amp;"|"&amp;tblCommentary[[#This Row],[Seq_Day]])</f>
        <v/>
      </c>
    </row>
    <row r="1787">
      <c r="A1787" s="54" t="n"/>
      <c r="B1787" s="61" t="n"/>
      <c r="C1787" s="58" t="n"/>
      <c r="D1787" s="58" t="n"/>
      <c r="E1787" s="64">
        <f>IF(tblCommentary[[#This Row],[Date]]="","",COUNTIFS(INDEX(tblCommentary[Date],1):tblCommentary[[#This Row],[Date]],tblCommentary[[#This Row],[Date]]))</f>
        <v/>
      </c>
      <c r="F1787" s="63">
        <f>IF(tblCommentary[[#This Row],[Date]]="","",tblCommentary[[#This Row],[Date]]&amp;"|"&amp;tblCommentary[[#This Row],[Seq_Day]])</f>
        <v/>
      </c>
    </row>
    <row r="1788">
      <c r="A1788" s="54" t="n"/>
      <c r="B1788" s="61" t="n"/>
      <c r="C1788" s="58" t="n"/>
      <c r="D1788" s="58" t="n"/>
      <c r="E1788" s="64">
        <f>IF(tblCommentary[[#This Row],[Date]]="","",COUNTIFS(INDEX(tblCommentary[Date],1):tblCommentary[[#This Row],[Date]],tblCommentary[[#This Row],[Date]]))</f>
        <v/>
      </c>
      <c r="F1788" s="63">
        <f>IF(tblCommentary[[#This Row],[Date]]="","",tblCommentary[[#This Row],[Date]]&amp;"|"&amp;tblCommentary[[#This Row],[Seq_Day]])</f>
        <v/>
      </c>
    </row>
    <row r="1789">
      <c r="A1789" s="54" t="n"/>
      <c r="B1789" s="61" t="n"/>
      <c r="C1789" s="58" t="n"/>
      <c r="D1789" s="58" t="n"/>
      <c r="E1789" s="64">
        <f>IF(tblCommentary[[#This Row],[Date]]="","",COUNTIFS(INDEX(tblCommentary[Date],1):tblCommentary[[#This Row],[Date]],tblCommentary[[#This Row],[Date]]))</f>
        <v/>
      </c>
      <c r="F1789" s="63">
        <f>IF(tblCommentary[[#This Row],[Date]]="","",tblCommentary[[#This Row],[Date]]&amp;"|"&amp;tblCommentary[[#This Row],[Seq_Day]])</f>
        <v/>
      </c>
    </row>
    <row r="1790">
      <c r="A1790" s="54" t="n"/>
      <c r="B1790" s="61" t="n"/>
      <c r="C1790" s="58" t="n"/>
      <c r="D1790" s="58" t="n"/>
      <c r="E1790" s="64">
        <f>IF(tblCommentary[[#This Row],[Date]]="","",COUNTIFS(INDEX(tblCommentary[Date],1):tblCommentary[[#This Row],[Date]],tblCommentary[[#This Row],[Date]]))</f>
        <v/>
      </c>
      <c r="F1790" s="63">
        <f>IF(tblCommentary[[#This Row],[Date]]="","",tblCommentary[[#This Row],[Date]]&amp;"|"&amp;tblCommentary[[#This Row],[Seq_Day]])</f>
        <v/>
      </c>
    </row>
    <row r="1791">
      <c r="A1791" s="54" t="n"/>
      <c r="B1791" s="61" t="n"/>
      <c r="C1791" s="58" t="n"/>
      <c r="D1791" s="58" t="n"/>
      <c r="E1791" s="64">
        <f>IF(tblCommentary[[#This Row],[Date]]="","",COUNTIFS(INDEX(tblCommentary[Date],1):tblCommentary[[#This Row],[Date]],tblCommentary[[#This Row],[Date]]))</f>
        <v/>
      </c>
      <c r="F1791" s="63">
        <f>IF(tblCommentary[[#This Row],[Date]]="","",tblCommentary[[#This Row],[Date]]&amp;"|"&amp;tblCommentary[[#This Row],[Seq_Day]])</f>
        <v/>
      </c>
    </row>
    <row r="1792">
      <c r="A1792" s="54" t="n"/>
      <c r="B1792" s="61" t="n"/>
      <c r="C1792" s="58" t="n"/>
      <c r="D1792" s="58" t="n"/>
      <c r="E1792" s="64">
        <f>IF(tblCommentary[[#This Row],[Date]]="","",COUNTIFS(INDEX(tblCommentary[Date],1):tblCommentary[[#This Row],[Date]],tblCommentary[[#This Row],[Date]]))</f>
        <v/>
      </c>
      <c r="F1792" s="63">
        <f>IF(tblCommentary[[#This Row],[Date]]="","",tblCommentary[[#This Row],[Date]]&amp;"|"&amp;tblCommentary[[#This Row],[Seq_Day]])</f>
        <v/>
      </c>
    </row>
    <row r="1793">
      <c r="A1793" s="54" t="n"/>
      <c r="B1793" s="61" t="n"/>
      <c r="C1793" s="58" t="n"/>
      <c r="D1793" s="58" t="n"/>
      <c r="E1793" s="64">
        <f>IF(tblCommentary[[#This Row],[Date]]="","",COUNTIFS(INDEX(tblCommentary[Date],1):tblCommentary[[#This Row],[Date]],tblCommentary[[#This Row],[Date]]))</f>
        <v/>
      </c>
      <c r="F1793" s="63">
        <f>IF(tblCommentary[[#This Row],[Date]]="","",tblCommentary[[#This Row],[Date]]&amp;"|"&amp;tblCommentary[[#This Row],[Seq_Day]])</f>
        <v/>
      </c>
    </row>
    <row r="1794">
      <c r="A1794" s="54" t="n"/>
      <c r="B1794" s="61" t="n"/>
      <c r="C1794" s="58" t="n"/>
      <c r="D1794" s="58" t="n"/>
      <c r="E1794" s="64">
        <f>IF(tblCommentary[[#This Row],[Date]]="","",COUNTIFS(INDEX(tblCommentary[Date],1):tblCommentary[[#This Row],[Date]],tblCommentary[[#This Row],[Date]]))</f>
        <v/>
      </c>
      <c r="F1794" s="63">
        <f>IF(tblCommentary[[#This Row],[Date]]="","",tblCommentary[[#This Row],[Date]]&amp;"|"&amp;tblCommentary[[#This Row],[Seq_Day]])</f>
        <v/>
      </c>
    </row>
    <row r="1795">
      <c r="A1795" s="54" t="n"/>
      <c r="B1795" s="61" t="n"/>
      <c r="C1795" s="58" t="n"/>
      <c r="D1795" s="58" t="n"/>
      <c r="E1795" s="64">
        <f>IF(tblCommentary[[#This Row],[Date]]="","",COUNTIFS(INDEX(tblCommentary[Date],1):tblCommentary[[#This Row],[Date]],tblCommentary[[#This Row],[Date]]))</f>
        <v/>
      </c>
      <c r="F1795" s="63">
        <f>IF(tblCommentary[[#This Row],[Date]]="","",tblCommentary[[#This Row],[Date]]&amp;"|"&amp;tblCommentary[[#This Row],[Seq_Day]])</f>
        <v/>
      </c>
    </row>
    <row r="1796">
      <c r="A1796" s="54" t="n"/>
      <c r="B1796" s="61" t="n"/>
      <c r="C1796" s="58" t="n"/>
      <c r="D1796" s="58" t="n"/>
      <c r="E1796" s="64">
        <f>IF(tblCommentary[[#This Row],[Date]]="","",COUNTIFS(INDEX(tblCommentary[Date],1):tblCommentary[[#This Row],[Date]],tblCommentary[[#This Row],[Date]]))</f>
        <v/>
      </c>
      <c r="F1796" s="63">
        <f>IF(tblCommentary[[#This Row],[Date]]="","",tblCommentary[[#This Row],[Date]]&amp;"|"&amp;tblCommentary[[#This Row],[Seq_Day]])</f>
        <v/>
      </c>
    </row>
    <row r="1797">
      <c r="A1797" s="54" t="n"/>
      <c r="B1797" s="61" t="n"/>
      <c r="C1797" s="58" t="n"/>
      <c r="D1797" s="58" t="n"/>
      <c r="E1797" s="64">
        <f>IF(tblCommentary[[#This Row],[Date]]="","",COUNTIFS(INDEX(tblCommentary[Date],1):tblCommentary[[#This Row],[Date]],tblCommentary[[#This Row],[Date]]))</f>
        <v/>
      </c>
      <c r="F1797" s="63">
        <f>IF(tblCommentary[[#This Row],[Date]]="","",tblCommentary[[#This Row],[Date]]&amp;"|"&amp;tblCommentary[[#This Row],[Seq_Day]])</f>
        <v/>
      </c>
    </row>
    <row r="1798">
      <c r="A1798" s="54" t="n"/>
      <c r="B1798" s="61" t="n"/>
      <c r="C1798" s="58" t="n"/>
      <c r="D1798" s="58" t="n"/>
      <c r="E1798" s="64">
        <f>IF(tblCommentary[[#This Row],[Date]]="","",COUNTIFS(INDEX(tblCommentary[Date],1):tblCommentary[[#This Row],[Date]],tblCommentary[[#This Row],[Date]]))</f>
        <v/>
      </c>
      <c r="F1798" s="63">
        <f>IF(tblCommentary[[#This Row],[Date]]="","",tblCommentary[[#This Row],[Date]]&amp;"|"&amp;tblCommentary[[#This Row],[Seq_Day]])</f>
        <v/>
      </c>
    </row>
    <row r="1799">
      <c r="A1799" s="54" t="n"/>
      <c r="B1799" s="61" t="n"/>
      <c r="C1799" s="58" t="n"/>
      <c r="D1799" s="58" t="n"/>
      <c r="E1799" s="64">
        <f>IF(tblCommentary[[#This Row],[Date]]="","",COUNTIFS(INDEX(tblCommentary[Date],1):tblCommentary[[#This Row],[Date]],tblCommentary[[#This Row],[Date]]))</f>
        <v/>
      </c>
      <c r="F1799" s="63">
        <f>IF(tblCommentary[[#This Row],[Date]]="","",tblCommentary[[#This Row],[Date]]&amp;"|"&amp;tblCommentary[[#This Row],[Seq_Day]])</f>
        <v/>
      </c>
    </row>
    <row r="1800">
      <c r="A1800" s="54" t="n"/>
      <c r="B1800" s="61" t="n"/>
      <c r="C1800" s="58" t="n"/>
      <c r="D1800" s="58" t="n"/>
      <c r="E1800" s="64">
        <f>IF(tblCommentary[[#This Row],[Date]]="","",COUNTIFS(INDEX(tblCommentary[Date],1):tblCommentary[[#This Row],[Date]],tblCommentary[[#This Row],[Date]]))</f>
        <v/>
      </c>
      <c r="F1800" s="63">
        <f>IF(tblCommentary[[#This Row],[Date]]="","",tblCommentary[[#This Row],[Date]]&amp;"|"&amp;tblCommentary[[#This Row],[Seq_Day]])</f>
        <v/>
      </c>
    </row>
    <row r="1801">
      <c r="A1801" s="54" t="n"/>
      <c r="B1801" s="61" t="n"/>
      <c r="C1801" s="58" t="n"/>
      <c r="D1801" s="58" t="n"/>
      <c r="E1801" s="64">
        <f>IF(tblCommentary[[#This Row],[Date]]="","",COUNTIFS(INDEX(tblCommentary[Date],1):tblCommentary[[#This Row],[Date]],tblCommentary[[#This Row],[Date]]))</f>
        <v/>
      </c>
      <c r="F1801" s="63">
        <f>IF(tblCommentary[[#This Row],[Date]]="","",tblCommentary[[#This Row],[Date]]&amp;"|"&amp;tblCommentary[[#This Row],[Seq_Day]])</f>
        <v/>
      </c>
    </row>
    <row r="1802">
      <c r="A1802" s="54" t="n"/>
      <c r="B1802" s="61" t="n"/>
      <c r="C1802" s="58" t="n"/>
      <c r="D1802" s="58" t="n"/>
      <c r="E1802" s="64">
        <f>IF(tblCommentary[[#This Row],[Date]]="","",COUNTIFS(INDEX(tblCommentary[Date],1):tblCommentary[[#This Row],[Date]],tblCommentary[[#This Row],[Date]]))</f>
        <v/>
      </c>
      <c r="F1802" s="63">
        <f>IF(tblCommentary[[#This Row],[Date]]="","",tblCommentary[[#This Row],[Date]]&amp;"|"&amp;tblCommentary[[#This Row],[Seq_Day]])</f>
        <v/>
      </c>
    </row>
    <row r="1803">
      <c r="A1803" s="54" t="n"/>
      <c r="B1803" s="61" t="n"/>
      <c r="C1803" s="58" t="n"/>
      <c r="D1803" s="58" t="n"/>
      <c r="E1803" s="64">
        <f>IF(tblCommentary[[#This Row],[Date]]="","",COUNTIFS(INDEX(tblCommentary[Date],1):tblCommentary[[#This Row],[Date]],tblCommentary[[#This Row],[Date]]))</f>
        <v/>
      </c>
      <c r="F1803" s="63">
        <f>IF(tblCommentary[[#This Row],[Date]]="","",tblCommentary[[#This Row],[Date]]&amp;"|"&amp;tblCommentary[[#This Row],[Seq_Day]])</f>
        <v/>
      </c>
    </row>
    <row r="1804">
      <c r="A1804" s="54" t="n"/>
      <c r="B1804" s="61" t="n"/>
      <c r="C1804" s="58" t="n"/>
      <c r="D1804" s="58" t="n"/>
      <c r="E1804" s="64">
        <f>IF(tblCommentary[[#This Row],[Date]]="","",COUNTIFS(INDEX(tblCommentary[Date],1):tblCommentary[[#This Row],[Date]],tblCommentary[[#This Row],[Date]]))</f>
        <v/>
      </c>
      <c r="F1804" s="63">
        <f>IF(tblCommentary[[#This Row],[Date]]="","",tblCommentary[[#This Row],[Date]]&amp;"|"&amp;tblCommentary[[#This Row],[Seq_Day]])</f>
        <v/>
      </c>
    </row>
    <row r="1805">
      <c r="A1805" s="54" t="n"/>
      <c r="B1805" s="61" t="n"/>
      <c r="C1805" s="58" t="n"/>
      <c r="D1805" s="58" t="n"/>
      <c r="E1805" s="64">
        <f>IF(tblCommentary[[#This Row],[Date]]="","",COUNTIFS(INDEX(tblCommentary[Date],1):tblCommentary[[#This Row],[Date]],tblCommentary[[#This Row],[Date]]))</f>
        <v/>
      </c>
      <c r="F1805" s="63">
        <f>IF(tblCommentary[[#This Row],[Date]]="","",tblCommentary[[#This Row],[Date]]&amp;"|"&amp;tblCommentary[[#This Row],[Seq_Day]])</f>
        <v/>
      </c>
    </row>
    <row r="1806">
      <c r="A1806" s="54" t="n"/>
      <c r="B1806" s="61" t="n"/>
      <c r="C1806" s="58" t="n"/>
      <c r="D1806" s="58" t="n"/>
      <c r="E1806" s="64">
        <f>IF(tblCommentary[[#This Row],[Date]]="","",COUNTIFS(INDEX(tblCommentary[Date],1):tblCommentary[[#This Row],[Date]],tblCommentary[[#This Row],[Date]]))</f>
        <v/>
      </c>
      <c r="F1806" s="63">
        <f>IF(tblCommentary[[#This Row],[Date]]="","",tblCommentary[[#This Row],[Date]]&amp;"|"&amp;tblCommentary[[#This Row],[Seq_Day]])</f>
        <v/>
      </c>
    </row>
    <row r="1807">
      <c r="A1807" s="54" t="n"/>
      <c r="B1807" s="61" t="n"/>
      <c r="C1807" s="58" t="n"/>
      <c r="D1807" s="58" t="n"/>
      <c r="E1807" s="64">
        <f>IF(tblCommentary[[#This Row],[Date]]="","",COUNTIFS(INDEX(tblCommentary[Date],1):tblCommentary[[#This Row],[Date]],tblCommentary[[#This Row],[Date]]))</f>
        <v/>
      </c>
      <c r="F1807" s="63">
        <f>IF(tblCommentary[[#This Row],[Date]]="","",tblCommentary[[#This Row],[Date]]&amp;"|"&amp;tblCommentary[[#This Row],[Seq_Day]])</f>
        <v/>
      </c>
    </row>
    <row r="1808">
      <c r="A1808" s="54" t="n"/>
      <c r="B1808" s="61" t="n"/>
      <c r="C1808" s="58" t="n"/>
      <c r="D1808" s="58" t="n"/>
      <c r="E1808" s="64">
        <f>IF(tblCommentary[[#This Row],[Date]]="","",COUNTIFS(INDEX(tblCommentary[Date],1):tblCommentary[[#This Row],[Date]],tblCommentary[[#This Row],[Date]]))</f>
        <v/>
      </c>
      <c r="F1808" s="63">
        <f>IF(tblCommentary[[#This Row],[Date]]="","",tblCommentary[[#This Row],[Date]]&amp;"|"&amp;tblCommentary[[#This Row],[Seq_Day]])</f>
        <v/>
      </c>
    </row>
    <row r="1809">
      <c r="A1809" s="54" t="n"/>
      <c r="B1809" s="61" t="n"/>
      <c r="C1809" s="58" t="n"/>
      <c r="D1809" s="58" t="n"/>
      <c r="E1809" s="64">
        <f>IF(tblCommentary[[#This Row],[Date]]="","",COUNTIFS(INDEX(tblCommentary[Date],1):tblCommentary[[#This Row],[Date]],tblCommentary[[#This Row],[Date]]))</f>
        <v/>
      </c>
      <c r="F1809" s="63">
        <f>IF(tblCommentary[[#This Row],[Date]]="","",tblCommentary[[#This Row],[Date]]&amp;"|"&amp;tblCommentary[[#This Row],[Seq_Day]])</f>
        <v/>
      </c>
    </row>
    <row r="1810">
      <c r="A1810" s="54" t="n"/>
      <c r="B1810" s="61" t="n"/>
      <c r="C1810" s="58" t="n"/>
      <c r="D1810" s="58" t="n"/>
      <c r="E1810" s="64">
        <f>IF(tblCommentary[[#This Row],[Date]]="","",COUNTIFS(INDEX(tblCommentary[Date],1):tblCommentary[[#This Row],[Date]],tblCommentary[[#This Row],[Date]]))</f>
        <v/>
      </c>
      <c r="F1810" s="63">
        <f>IF(tblCommentary[[#This Row],[Date]]="","",tblCommentary[[#This Row],[Date]]&amp;"|"&amp;tblCommentary[[#This Row],[Seq_Day]])</f>
        <v/>
      </c>
    </row>
    <row r="1811">
      <c r="A1811" s="54" t="n"/>
      <c r="B1811" s="61" t="n"/>
      <c r="C1811" s="58" t="n"/>
      <c r="D1811" s="58" t="n"/>
      <c r="E1811" s="64">
        <f>IF(tblCommentary[[#This Row],[Date]]="","",COUNTIFS(INDEX(tblCommentary[Date],1):tblCommentary[[#This Row],[Date]],tblCommentary[[#This Row],[Date]]))</f>
        <v/>
      </c>
      <c r="F1811" s="63">
        <f>IF(tblCommentary[[#This Row],[Date]]="","",tblCommentary[[#This Row],[Date]]&amp;"|"&amp;tblCommentary[[#This Row],[Seq_Day]])</f>
        <v/>
      </c>
    </row>
    <row r="1812">
      <c r="A1812" s="54" t="n"/>
      <c r="B1812" s="61" t="n"/>
      <c r="C1812" s="58" t="n"/>
      <c r="D1812" s="58" t="n"/>
      <c r="E1812" s="64">
        <f>IF(tblCommentary[[#This Row],[Date]]="","",COUNTIFS(INDEX(tblCommentary[Date],1):tblCommentary[[#This Row],[Date]],tblCommentary[[#This Row],[Date]]))</f>
        <v/>
      </c>
      <c r="F1812" s="63">
        <f>IF(tblCommentary[[#This Row],[Date]]="","",tblCommentary[[#This Row],[Date]]&amp;"|"&amp;tblCommentary[[#This Row],[Seq_Day]])</f>
        <v/>
      </c>
    </row>
    <row r="1813">
      <c r="A1813" s="54" t="n"/>
      <c r="B1813" s="61" t="n"/>
      <c r="C1813" s="58" t="n"/>
      <c r="D1813" s="58" t="n"/>
      <c r="E1813" s="64">
        <f>IF(tblCommentary[[#This Row],[Date]]="","",COUNTIFS(INDEX(tblCommentary[Date],1):tblCommentary[[#This Row],[Date]],tblCommentary[[#This Row],[Date]]))</f>
        <v/>
      </c>
      <c r="F1813" s="63">
        <f>IF(tblCommentary[[#This Row],[Date]]="","",tblCommentary[[#This Row],[Date]]&amp;"|"&amp;tblCommentary[[#This Row],[Seq_Day]])</f>
        <v/>
      </c>
    </row>
    <row r="1814">
      <c r="A1814" s="54" t="n"/>
      <c r="B1814" s="61" t="n"/>
      <c r="C1814" s="58" t="n"/>
      <c r="D1814" s="58" t="n"/>
      <c r="E1814" s="64">
        <f>IF(tblCommentary[[#This Row],[Date]]="","",COUNTIFS(INDEX(tblCommentary[Date],1):tblCommentary[[#This Row],[Date]],tblCommentary[[#This Row],[Date]]))</f>
        <v/>
      </c>
      <c r="F1814" s="63">
        <f>IF(tblCommentary[[#This Row],[Date]]="","",tblCommentary[[#This Row],[Date]]&amp;"|"&amp;tblCommentary[[#This Row],[Seq_Day]])</f>
        <v/>
      </c>
    </row>
    <row r="1815">
      <c r="A1815" s="54" t="n"/>
      <c r="B1815" s="61" t="n"/>
      <c r="C1815" s="58" t="n"/>
      <c r="D1815" s="58" t="n"/>
      <c r="E1815" s="64">
        <f>IF(tblCommentary[[#This Row],[Date]]="","",COUNTIFS(INDEX(tblCommentary[Date],1):tblCommentary[[#This Row],[Date]],tblCommentary[[#This Row],[Date]]))</f>
        <v/>
      </c>
      <c r="F1815" s="63">
        <f>IF(tblCommentary[[#This Row],[Date]]="","",tblCommentary[[#This Row],[Date]]&amp;"|"&amp;tblCommentary[[#This Row],[Seq_Day]])</f>
        <v/>
      </c>
    </row>
    <row r="1816">
      <c r="A1816" s="54" t="n"/>
      <c r="B1816" s="61" t="n"/>
      <c r="C1816" s="58" t="n"/>
      <c r="D1816" s="58" t="n"/>
      <c r="E1816" s="64">
        <f>IF(tblCommentary[[#This Row],[Date]]="","",COUNTIFS(INDEX(tblCommentary[Date],1):tblCommentary[[#This Row],[Date]],tblCommentary[[#This Row],[Date]]))</f>
        <v/>
      </c>
      <c r="F1816" s="63">
        <f>IF(tblCommentary[[#This Row],[Date]]="","",tblCommentary[[#This Row],[Date]]&amp;"|"&amp;tblCommentary[[#This Row],[Seq_Day]])</f>
        <v/>
      </c>
    </row>
    <row r="1817">
      <c r="A1817" s="54" t="n"/>
      <c r="B1817" s="61" t="n"/>
      <c r="C1817" s="58" t="n"/>
      <c r="D1817" s="58" t="n"/>
      <c r="E1817" s="64">
        <f>IF(tblCommentary[[#This Row],[Date]]="","",COUNTIFS(INDEX(tblCommentary[Date],1):tblCommentary[[#This Row],[Date]],tblCommentary[[#This Row],[Date]]))</f>
        <v/>
      </c>
      <c r="F1817" s="63">
        <f>IF(tblCommentary[[#This Row],[Date]]="","",tblCommentary[[#This Row],[Date]]&amp;"|"&amp;tblCommentary[[#This Row],[Seq_Day]])</f>
        <v/>
      </c>
    </row>
    <row r="1818">
      <c r="A1818" s="54" t="n"/>
      <c r="B1818" s="61" t="n"/>
      <c r="C1818" s="58" t="n"/>
      <c r="D1818" s="58" t="n"/>
      <c r="E1818" s="64">
        <f>IF(tblCommentary[[#This Row],[Date]]="","",COUNTIFS(INDEX(tblCommentary[Date],1):tblCommentary[[#This Row],[Date]],tblCommentary[[#This Row],[Date]]))</f>
        <v/>
      </c>
      <c r="F1818" s="63">
        <f>IF(tblCommentary[[#This Row],[Date]]="","",tblCommentary[[#This Row],[Date]]&amp;"|"&amp;tblCommentary[[#This Row],[Seq_Day]])</f>
        <v/>
      </c>
    </row>
    <row r="1819">
      <c r="A1819" s="54" t="n"/>
      <c r="B1819" s="61" t="n"/>
      <c r="C1819" s="58" t="n"/>
      <c r="D1819" s="58" t="n"/>
      <c r="E1819" s="64">
        <f>IF(tblCommentary[[#This Row],[Date]]="","",COUNTIFS(INDEX(tblCommentary[Date],1):tblCommentary[[#This Row],[Date]],tblCommentary[[#This Row],[Date]]))</f>
        <v/>
      </c>
      <c r="F1819" s="63">
        <f>IF(tblCommentary[[#This Row],[Date]]="","",tblCommentary[[#This Row],[Date]]&amp;"|"&amp;tblCommentary[[#This Row],[Seq_Day]])</f>
        <v/>
      </c>
    </row>
    <row r="1820">
      <c r="A1820" s="54" t="n"/>
      <c r="B1820" s="61" t="n"/>
      <c r="C1820" s="58" t="n"/>
      <c r="D1820" s="58" t="n"/>
      <c r="E1820" s="64">
        <f>IF(tblCommentary[[#This Row],[Date]]="","",COUNTIFS(INDEX(tblCommentary[Date],1):tblCommentary[[#This Row],[Date]],tblCommentary[[#This Row],[Date]]))</f>
        <v/>
      </c>
      <c r="F1820" s="63">
        <f>IF(tblCommentary[[#This Row],[Date]]="","",tblCommentary[[#This Row],[Date]]&amp;"|"&amp;tblCommentary[[#This Row],[Seq_Day]])</f>
        <v/>
      </c>
    </row>
    <row r="1821">
      <c r="A1821" s="54" t="n"/>
      <c r="B1821" s="61" t="n"/>
      <c r="C1821" s="58" t="n"/>
      <c r="D1821" s="58" t="n"/>
      <c r="E1821" s="64">
        <f>IF(tblCommentary[[#This Row],[Date]]="","",COUNTIFS(INDEX(tblCommentary[Date],1):tblCommentary[[#This Row],[Date]],tblCommentary[[#This Row],[Date]]))</f>
        <v/>
      </c>
      <c r="F1821" s="63">
        <f>IF(tblCommentary[[#This Row],[Date]]="","",tblCommentary[[#This Row],[Date]]&amp;"|"&amp;tblCommentary[[#This Row],[Seq_Day]])</f>
        <v/>
      </c>
    </row>
    <row r="1822">
      <c r="A1822" s="54" t="n"/>
      <c r="B1822" s="61" t="n"/>
      <c r="C1822" s="58" t="n"/>
      <c r="D1822" s="58" t="n"/>
      <c r="E1822" s="64">
        <f>IF(tblCommentary[[#This Row],[Date]]="","",COUNTIFS(INDEX(tblCommentary[Date],1):tblCommentary[[#This Row],[Date]],tblCommentary[[#This Row],[Date]]))</f>
        <v/>
      </c>
      <c r="F1822" s="63">
        <f>IF(tblCommentary[[#This Row],[Date]]="","",tblCommentary[[#This Row],[Date]]&amp;"|"&amp;tblCommentary[[#This Row],[Seq_Day]])</f>
        <v/>
      </c>
    </row>
    <row r="1823">
      <c r="A1823" s="54" t="n"/>
      <c r="B1823" s="61" t="n"/>
      <c r="C1823" s="58" t="n"/>
      <c r="D1823" s="58" t="n"/>
      <c r="E1823" s="64">
        <f>IF(tblCommentary[[#This Row],[Date]]="","",COUNTIFS(INDEX(tblCommentary[Date],1):tblCommentary[[#This Row],[Date]],tblCommentary[[#This Row],[Date]]))</f>
        <v/>
      </c>
      <c r="F1823" s="63">
        <f>IF(tblCommentary[[#This Row],[Date]]="","",tblCommentary[[#This Row],[Date]]&amp;"|"&amp;tblCommentary[[#This Row],[Seq_Day]])</f>
        <v/>
      </c>
    </row>
    <row r="1824">
      <c r="A1824" s="54" t="n"/>
      <c r="B1824" s="61" t="n"/>
      <c r="C1824" s="58" t="n"/>
      <c r="D1824" s="58" t="n"/>
      <c r="E1824" s="64">
        <f>IF(tblCommentary[[#This Row],[Date]]="","",COUNTIFS(INDEX(tblCommentary[Date],1):tblCommentary[[#This Row],[Date]],tblCommentary[[#This Row],[Date]]))</f>
        <v/>
      </c>
      <c r="F1824" s="63">
        <f>IF(tblCommentary[[#This Row],[Date]]="","",tblCommentary[[#This Row],[Date]]&amp;"|"&amp;tblCommentary[[#This Row],[Seq_Day]])</f>
        <v/>
      </c>
    </row>
    <row r="1825">
      <c r="A1825" s="54" t="n"/>
      <c r="B1825" s="61" t="n"/>
      <c r="C1825" s="58" t="n"/>
      <c r="D1825" s="58" t="n"/>
      <c r="E1825" s="64">
        <f>IF(tblCommentary[[#This Row],[Date]]="","",COUNTIFS(INDEX(tblCommentary[Date],1):tblCommentary[[#This Row],[Date]],tblCommentary[[#This Row],[Date]]))</f>
        <v/>
      </c>
      <c r="F1825" s="63">
        <f>IF(tblCommentary[[#This Row],[Date]]="","",tblCommentary[[#This Row],[Date]]&amp;"|"&amp;tblCommentary[[#This Row],[Seq_Day]])</f>
        <v/>
      </c>
    </row>
    <row r="1826">
      <c r="A1826" s="54" t="n"/>
      <c r="B1826" s="61" t="n"/>
      <c r="C1826" s="58" t="n"/>
      <c r="D1826" s="58" t="n"/>
      <c r="E1826" s="64">
        <f>IF(tblCommentary[[#This Row],[Date]]="","",COUNTIFS(INDEX(tblCommentary[Date],1):tblCommentary[[#This Row],[Date]],tblCommentary[[#This Row],[Date]]))</f>
        <v/>
      </c>
      <c r="F1826" s="63">
        <f>IF(tblCommentary[[#This Row],[Date]]="","",tblCommentary[[#This Row],[Date]]&amp;"|"&amp;tblCommentary[[#This Row],[Seq_Day]])</f>
        <v/>
      </c>
    </row>
    <row r="1827">
      <c r="A1827" s="54" t="n"/>
      <c r="B1827" s="61" t="n"/>
      <c r="C1827" s="58" t="n"/>
      <c r="D1827" s="58" t="n"/>
      <c r="E1827" s="64">
        <f>IF(tblCommentary[[#This Row],[Date]]="","",COUNTIFS(INDEX(tblCommentary[Date],1):tblCommentary[[#This Row],[Date]],tblCommentary[[#This Row],[Date]]))</f>
        <v/>
      </c>
      <c r="F1827" s="63">
        <f>IF(tblCommentary[[#This Row],[Date]]="","",tblCommentary[[#This Row],[Date]]&amp;"|"&amp;tblCommentary[[#This Row],[Seq_Day]])</f>
        <v/>
      </c>
    </row>
    <row r="1828">
      <c r="A1828" s="54" t="n"/>
      <c r="B1828" s="61" t="n"/>
      <c r="C1828" s="58" t="n"/>
      <c r="D1828" s="58" t="n"/>
      <c r="E1828" s="64">
        <f>IF(tblCommentary[[#This Row],[Date]]="","",COUNTIFS(INDEX(tblCommentary[Date],1):tblCommentary[[#This Row],[Date]],tblCommentary[[#This Row],[Date]]))</f>
        <v/>
      </c>
      <c r="F1828" s="63">
        <f>IF(tblCommentary[[#This Row],[Date]]="","",tblCommentary[[#This Row],[Date]]&amp;"|"&amp;tblCommentary[[#This Row],[Seq_Day]])</f>
        <v/>
      </c>
    </row>
    <row r="1829">
      <c r="A1829" s="54" t="n"/>
      <c r="B1829" s="61" t="n"/>
      <c r="C1829" s="58" t="n"/>
      <c r="D1829" s="58" t="n"/>
      <c r="E1829" s="64">
        <f>IF(tblCommentary[[#This Row],[Date]]="","",COUNTIFS(INDEX(tblCommentary[Date],1):tblCommentary[[#This Row],[Date]],tblCommentary[[#This Row],[Date]]))</f>
        <v/>
      </c>
      <c r="F1829" s="63">
        <f>IF(tblCommentary[[#This Row],[Date]]="","",tblCommentary[[#This Row],[Date]]&amp;"|"&amp;tblCommentary[[#This Row],[Seq_Day]])</f>
        <v/>
      </c>
    </row>
    <row r="1830">
      <c r="A1830" s="54" t="n"/>
      <c r="B1830" s="61" t="n"/>
      <c r="C1830" s="58" t="n"/>
      <c r="D1830" s="58" t="n"/>
      <c r="E1830" s="64">
        <f>IF(tblCommentary[[#This Row],[Date]]="","",COUNTIFS(INDEX(tblCommentary[Date],1):tblCommentary[[#This Row],[Date]],tblCommentary[[#This Row],[Date]]))</f>
        <v/>
      </c>
      <c r="F1830" s="63">
        <f>IF(tblCommentary[[#This Row],[Date]]="","",tblCommentary[[#This Row],[Date]]&amp;"|"&amp;tblCommentary[[#This Row],[Seq_Day]])</f>
        <v/>
      </c>
    </row>
    <row r="1831">
      <c r="A1831" s="54" t="n"/>
      <c r="B1831" s="61" t="n"/>
      <c r="C1831" s="58" t="n"/>
      <c r="D1831" s="58" t="n"/>
      <c r="E1831" s="64">
        <f>IF(tblCommentary[[#This Row],[Date]]="","",COUNTIFS(INDEX(tblCommentary[Date],1):tblCommentary[[#This Row],[Date]],tblCommentary[[#This Row],[Date]]))</f>
        <v/>
      </c>
      <c r="F1831" s="63">
        <f>IF(tblCommentary[[#This Row],[Date]]="","",tblCommentary[[#This Row],[Date]]&amp;"|"&amp;tblCommentary[[#This Row],[Seq_Day]])</f>
        <v/>
      </c>
    </row>
    <row r="1832">
      <c r="A1832" s="54" t="n"/>
      <c r="B1832" s="61" t="n"/>
      <c r="C1832" s="58" t="n"/>
      <c r="D1832" s="58" t="n"/>
      <c r="E1832" s="64">
        <f>IF(tblCommentary[[#This Row],[Date]]="","",COUNTIFS(INDEX(tblCommentary[Date],1):tblCommentary[[#This Row],[Date]],tblCommentary[[#This Row],[Date]]))</f>
        <v/>
      </c>
      <c r="F1832" s="63">
        <f>IF(tblCommentary[[#This Row],[Date]]="","",tblCommentary[[#This Row],[Date]]&amp;"|"&amp;tblCommentary[[#This Row],[Seq_Day]])</f>
        <v/>
      </c>
    </row>
    <row r="1833">
      <c r="A1833" s="54" t="n"/>
      <c r="B1833" s="61" t="n"/>
      <c r="C1833" s="58" t="n"/>
      <c r="D1833" s="58" t="n"/>
      <c r="E1833" s="64">
        <f>IF(tblCommentary[[#This Row],[Date]]="","",COUNTIFS(INDEX(tblCommentary[Date],1):tblCommentary[[#This Row],[Date]],tblCommentary[[#This Row],[Date]]))</f>
        <v/>
      </c>
      <c r="F1833" s="63">
        <f>IF(tblCommentary[[#This Row],[Date]]="","",tblCommentary[[#This Row],[Date]]&amp;"|"&amp;tblCommentary[[#This Row],[Seq_Day]])</f>
        <v/>
      </c>
    </row>
    <row r="1834">
      <c r="A1834" s="54" t="n"/>
      <c r="B1834" s="61" t="n"/>
      <c r="C1834" s="58" t="n"/>
      <c r="D1834" s="58" t="n"/>
      <c r="E1834" s="64">
        <f>IF(tblCommentary[[#This Row],[Date]]="","",COUNTIFS(INDEX(tblCommentary[Date],1):tblCommentary[[#This Row],[Date]],tblCommentary[[#This Row],[Date]]))</f>
        <v/>
      </c>
      <c r="F1834" s="63">
        <f>IF(tblCommentary[[#This Row],[Date]]="","",tblCommentary[[#This Row],[Date]]&amp;"|"&amp;tblCommentary[[#This Row],[Seq_Day]])</f>
        <v/>
      </c>
    </row>
    <row r="1835">
      <c r="A1835" s="54" t="n"/>
      <c r="B1835" s="61" t="n"/>
      <c r="C1835" s="58" t="n"/>
      <c r="D1835" s="58" t="n"/>
      <c r="E1835" s="64">
        <f>IF(tblCommentary[[#This Row],[Date]]="","",COUNTIFS(INDEX(tblCommentary[Date],1):tblCommentary[[#This Row],[Date]],tblCommentary[[#This Row],[Date]]))</f>
        <v/>
      </c>
      <c r="F1835" s="63">
        <f>IF(tblCommentary[[#This Row],[Date]]="","",tblCommentary[[#This Row],[Date]]&amp;"|"&amp;tblCommentary[[#This Row],[Seq_Day]])</f>
        <v/>
      </c>
    </row>
    <row r="1836">
      <c r="A1836" s="54" t="n"/>
      <c r="B1836" s="61" t="n"/>
      <c r="C1836" s="58" t="n"/>
      <c r="D1836" s="58" t="n"/>
      <c r="E1836" s="64">
        <f>IF(tblCommentary[[#This Row],[Date]]="","",COUNTIFS(INDEX(tblCommentary[Date],1):tblCommentary[[#This Row],[Date]],tblCommentary[[#This Row],[Date]]))</f>
        <v/>
      </c>
      <c r="F1836" s="63">
        <f>IF(tblCommentary[[#This Row],[Date]]="","",tblCommentary[[#This Row],[Date]]&amp;"|"&amp;tblCommentary[[#This Row],[Seq_Day]])</f>
        <v/>
      </c>
    </row>
    <row r="1837">
      <c r="A1837" s="54" t="n"/>
      <c r="B1837" s="61" t="n"/>
      <c r="C1837" s="58" t="n"/>
      <c r="D1837" s="58" t="n"/>
      <c r="E1837" s="64">
        <f>IF(tblCommentary[[#This Row],[Date]]="","",COUNTIFS(INDEX(tblCommentary[Date],1):tblCommentary[[#This Row],[Date]],tblCommentary[[#This Row],[Date]]))</f>
        <v/>
      </c>
      <c r="F1837" s="63">
        <f>IF(tblCommentary[[#This Row],[Date]]="","",tblCommentary[[#This Row],[Date]]&amp;"|"&amp;tblCommentary[[#This Row],[Seq_Day]])</f>
        <v/>
      </c>
    </row>
    <row r="1838">
      <c r="A1838" s="54" t="n"/>
      <c r="B1838" s="61" t="n"/>
      <c r="C1838" s="58" t="n"/>
      <c r="D1838" s="58" t="n"/>
      <c r="E1838" s="64">
        <f>IF(tblCommentary[[#This Row],[Date]]="","",COUNTIFS(INDEX(tblCommentary[Date],1):tblCommentary[[#This Row],[Date]],tblCommentary[[#This Row],[Date]]))</f>
        <v/>
      </c>
      <c r="F1838" s="63">
        <f>IF(tblCommentary[[#This Row],[Date]]="","",tblCommentary[[#This Row],[Date]]&amp;"|"&amp;tblCommentary[[#This Row],[Seq_Day]])</f>
        <v/>
      </c>
    </row>
    <row r="1839">
      <c r="A1839" s="54" t="n"/>
      <c r="B1839" s="61" t="n"/>
      <c r="C1839" s="58" t="n"/>
      <c r="D1839" s="58" t="n"/>
      <c r="E1839" s="64">
        <f>IF(tblCommentary[[#This Row],[Date]]="","",COUNTIFS(INDEX(tblCommentary[Date],1):tblCommentary[[#This Row],[Date]],tblCommentary[[#This Row],[Date]]))</f>
        <v/>
      </c>
      <c r="F1839" s="63">
        <f>IF(tblCommentary[[#This Row],[Date]]="","",tblCommentary[[#This Row],[Date]]&amp;"|"&amp;tblCommentary[[#This Row],[Seq_Day]])</f>
        <v/>
      </c>
    </row>
    <row r="1840">
      <c r="A1840" s="54" t="n"/>
      <c r="B1840" s="61" t="n"/>
      <c r="C1840" s="58" t="n"/>
      <c r="D1840" s="58" t="n"/>
      <c r="E1840" s="64">
        <f>IF(tblCommentary[[#This Row],[Date]]="","",COUNTIFS(INDEX(tblCommentary[Date],1):tblCommentary[[#This Row],[Date]],tblCommentary[[#This Row],[Date]]))</f>
        <v/>
      </c>
      <c r="F1840" s="63">
        <f>IF(tblCommentary[[#This Row],[Date]]="","",tblCommentary[[#This Row],[Date]]&amp;"|"&amp;tblCommentary[[#This Row],[Seq_Day]])</f>
        <v/>
      </c>
    </row>
    <row r="1841">
      <c r="A1841" s="54" t="n"/>
      <c r="B1841" s="61" t="n"/>
      <c r="C1841" s="58" t="n"/>
      <c r="D1841" s="58" t="n"/>
      <c r="E1841" s="64">
        <f>IF(tblCommentary[[#This Row],[Date]]="","",COUNTIFS(INDEX(tblCommentary[Date],1):tblCommentary[[#This Row],[Date]],tblCommentary[[#This Row],[Date]]))</f>
        <v/>
      </c>
      <c r="F1841" s="63">
        <f>IF(tblCommentary[[#This Row],[Date]]="","",tblCommentary[[#This Row],[Date]]&amp;"|"&amp;tblCommentary[[#This Row],[Seq_Day]])</f>
        <v/>
      </c>
    </row>
    <row r="1842">
      <c r="A1842" s="54" t="n"/>
      <c r="B1842" s="61" t="n"/>
      <c r="C1842" s="58" t="n"/>
      <c r="D1842" s="58" t="n"/>
      <c r="E1842" s="64">
        <f>IF(tblCommentary[[#This Row],[Date]]="","",COUNTIFS(INDEX(tblCommentary[Date],1):tblCommentary[[#This Row],[Date]],tblCommentary[[#This Row],[Date]]))</f>
        <v/>
      </c>
      <c r="F1842" s="63">
        <f>IF(tblCommentary[[#This Row],[Date]]="","",tblCommentary[[#This Row],[Date]]&amp;"|"&amp;tblCommentary[[#This Row],[Seq_Day]])</f>
        <v/>
      </c>
    </row>
    <row r="1843">
      <c r="A1843" s="54" t="n"/>
      <c r="B1843" s="61" t="n"/>
      <c r="C1843" s="58" t="n"/>
      <c r="D1843" s="58" t="n"/>
      <c r="E1843" s="64">
        <f>IF(tblCommentary[[#This Row],[Date]]="","",COUNTIFS(INDEX(tblCommentary[Date],1):tblCommentary[[#This Row],[Date]],tblCommentary[[#This Row],[Date]]))</f>
        <v/>
      </c>
      <c r="F1843" s="63">
        <f>IF(tblCommentary[[#This Row],[Date]]="","",tblCommentary[[#This Row],[Date]]&amp;"|"&amp;tblCommentary[[#This Row],[Seq_Day]])</f>
        <v/>
      </c>
    </row>
    <row r="1844">
      <c r="A1844" s="54" t="n"/>
      <c r="B1844" s="61" t="n"/>
      <c r="C1844" s="58" t="n"/>
      <c r="D1844" s="58" t="n"/>
      <c r="E1844" s="64">
        <f>IF(tblCommentary[[#This Row],[Date]]="","",COUNTIFS(INDEX(tblCommentary[Date],1):tblCommentary[[#This Row],[Date]],tblCommentary[[#This Row],[Date]]))</f>
        <v/>
      </c>
      <c r="F1844" s="63">
        <f>IF(tblCommentary[[#This Row],[Date]]="","",tblCommentary[[#This Row],[Date]]&amp;"|"&amp;tblCommentary[[#This Row],[Seq_Day]])</f>
        <v/>
      </c>
    </row>
    <row r="1845">
      <c r="A1845" s="54" t="n"/>
      <c r="B1845" s="61" t="n"/>
      <c r="C1845" s="58" t="n"/>
      <c r="D1845" s="58" t="n"/>
      <c r="E1845" s="64">
        <f>IF(tblCommentary[[#This Row],[Date]]="","",COUNTIFS(INDEX(tblCommentary[Date],1):tblCommentary[[#This Row],[Date]],tblCommentary[[#This Row],[Date]]))</f>
        <v/>
      </c>
      <c r="F1845" s="63">
        <f>IF(tblCommentary[[#This Row],[Date]]="","",tblCommentary[[#This Row],[Date]]&amp;"|"&amp;tblCommentary[[#This Row],[Seq_Day]])</f>
        <v/>
      </c>
    </row>
    <row r="1846">
      <c r="A1846" s="54" t="n"/>
      <c r="B1846" s="61" t="n"/>
      <c r="C1846" s="58" t="n"/>
      <c r="D1846" s="58" t="n"/>
      <c r="E1846" s="64">
        <f>IF(tblCommentary[[#This Row],[Date]]="","",COUNTIFS(INDEX(tblCommentary[Date],1):tblCommentary[[#This Row],[Date]],tblCommentary[[#This Row],[Date]]))</f>
        <v/>
      </c>
      <c r="F1846" s="63">
        <f>IF(tblCommentary[[#This Row],[Date]]="","",tblCommentary[[#This Row],[Date]]&amp;"|"&amp;tblCommentary[[#This Row],[Seq_Day]])</f>
        <v/>
      </c>
    </row>
    <row r="1847">
      <c r="A1847" s="54" t="n"/>
      <c r="B1847" s="61" t="n"/>
      <c r="C1847" s="58" t="n"/>
      <c r="D1847" s="58" t="n"/>
      <c r="E1847" s="64">
        <f>IF(tblCommentary[[#This Row],[Date]]="","",COUNTIFS(INDEX(tblCommentary[Date],1):tblCommentary[[#This Row],[Date]],tblCommentary[[#This Row],[Date]]))</f>
        <v/>
      </c>
      <c r="F1847" s="63">
        <f>IF(tblCommentary[[#This Row],[Date]]="","",tblCommentary[[#This Row],[Date]]&amp;"|"&amp;tblCommentary[[#This Row],[Seq_Day]])</f>
        <v/>
      </c>
    </row>
    <row r="1848">
      <c r="A1848" s="54" t="n"/>
      <c r="B1848" s="61" t="n"/>
      <c r="C1848" s="58" t="n"/>
      <c r="D1848" s="58" t="n"/>
      <c r="E1848" s="64">
        <f>IF(tblCommentary[[#This Row],[Date]]="","",COUNTIFS(INDEX(tblCommentary[Date],1):tblCommentary[[#This Row],[Date]],tblCommentary[[#This Row],[Date]]))</f>
        <v/>
      </c>
      <c r="F1848" s="63">
        <f>IF(tblCommentary[[#This Row],[Date]]="","",tblCommentary[[#This Row],[Date]]&amp;"|"&amp;tblCommentary[[#This Row],[Seq_Day]])</f>
        <v/>
      </c>
    </row>
    <row r="1849">
      <c r="A1849" s="54" t="n"/>
      <c r="B1849" s="61" t="n"/>
      <c r="C1849" s="58" t="n"/>
      <c r="D1849" s="58" t="n"/>
      <c r="E1849" s="64">
        <f>IF(tblCommentary[[#This Row],[Date]]="","",COUNTIFS(INDEX(tblCommentary[Date],1):tblCommentary[[#This Row],[Date]],tblCommentary[[#This Row],[Date]]))</f>
        <v/>
      </c>
      <c r="F1849" s="63">
        <f>IF(tblCommentary[[#This Row],[Date]]="","",tblCommentary[[#This Row],[Date]]&amp;"|"&amp;tblCommentary[[#This Row],[Seq_Day]])</f>
        <v/>
      </c>
    </row>
    <row r="1850">
      <c r="A1850" s="54" t="n"/>
      <c r="B1850" s="61" t="n"/>
      <c r="C1850" s="58" t="n"/>
      <c r="D1850" s="58" t="n"/>
      <c r="E1850" s="64">
        <f>IF(tblCommentary[[#This Row],[Date]]="","",COUNTIFS(INDEX(tblCommentary[Date],1):tblCommentary[[#This Row],[Date]],tblCommentary[[#This Row],[Date]]))</f>
        <v/>
      </c>
      <c r="F1850" s="63">
        <f>IF(tblCommentary[[#This Row],[Date]]="","",tblCommentary[[#This Row],[Date]]&amp;"|"&amp;tblCommentary[[#This Row],[Seq_Day]])</f>
        <v/>
      </c>
    </row>
    <row r="1851">
      <c r="A1851" s="54" t="n"/>
      <c r="B1851" s="61" t="n"/>
      <c r="C1851" s="58" t="n"/>
      <c r="D1851" s="58" t="n"/>
      <c r="E1851" s="64">
        <f>IF(tblCommentary[[#This Row],[Date]]="","",COUNTIFS(INDEX(tblCommentary[Date],1):tblCommentary[[#This Row],[Date]],tblCommentary[[#This Row],[Date]]))</f>
        <v/>
      </c>
      <c r="F1851" s="63">
        <f>IF(tblCommentary[[#This Row],[Date]]="","",tblCommentary[[#This Row],[Date]]&amp;"|"&amp;tblCommentary[[#This Row],[Seq_Day]])</f>
        <v/>
      </c>
    </row>
    <row r="1852">
      <c r="A1852" s="54" t="n"/>
      <c r="B1852" s="61" t="n"/>
      <c r="C1852" s="58" t="n"/>
      <c r="D1852" s="58" t="n"/>
      <c r="E1852" s="64">
        <f>IF(tblCommentary[[#This Row],[Date]]="","",COUNTIFS(INDEX(tblCommentary[Date],1):tblCommentary[[#This Row],[Date]],tblCommentary[[#This Row],[Date]]))</f>
        <v/>
      </c>
      <c r="F1852" s="63">
        <f>IF(tblCommentary[[#This Row],[Date]]="","",tblCommentary[[#This Row],[Date]]&amp;"|"&amp;tblCommentary[[#This Row],[Seq_Day]])</f>
        <v/>
      </c>
    </row>
    <row r="1853">
      <c r="A1853" s="54" t="n"/>
      <c r="B1853" s="61" t="n"/>
      <c r="C1853" s="58" t="n"/>
      <c r="D1853" s="58" t="n"/>
      <c r="E1853" s="64">
        <f>IF(tblCommentary[[#This Row],[Date]]="","",COUNTIFS(INDEX(tblCommentary[Date],1):tblCommentary[[#This Row],[Date]],tblCommentary[[#This Row],[Date]]))</f>
        <v/>
      </c>
      <c r="F1853" s="63">
        <f>IF(tblCommentary[[#This Row],[Date]]="","",tblCommentary[[#This Row],[Date]]&amp;"|"&amp;tblCommentary[[#This Row],[Seq_Day]])</f>
        <v/>
      </c>
    </row>
    <row r="1854">
      <c r="A1854" s="54" t="n"/>
      <c r="B1854" s="61" t="n"/>
      <c r="C1854" s="58" t="n"/>
      <c r="D1854" s="58" t="n"/>
      <c r="E1854" s="64">
        <f>IF(tblCommentary[[#This Row],[Date]]="","",COUNTIFS(INDEX(tblCommentary[Date],1):tblCommentary[[#This Row],[Date]],tblCommentary[[#This Row],[Date]]))</f>
        <v/>
      </c>
      <c r="F1854" s="63">
        <f>IF(tblCommentary[[#This Row],[Date]]="","",tblCommentary[[#This Row],[Date]]&amp;"|"&amp;tblCommentary[[#This Row],[Seq_Day]])</f>
        <v/>
      </c>
    </row>
    <row r="1855">
      <c r="A1855" s="54" t="n"/>
      <c r="B1855" s="61" t="n"/>
      <c r="C1855" s="58" t="n"/>
      <c r="D1855" s="58" t="n"/>
      <c r="E1855" s="64">
        <f>IF(tblCommentary[[#This Row],[Date]]="","",COUNTIFS(INDEX(tblCommentary[Date],1):tblCommentary[[#This Row],[Date]],tblCommentary[[#This Row],[Date]]))</f>
        <v/>
      </c>
      <c r="F1855" s="63">
        <f>IF(tblCommentary[[#This Row],[Date]]="","",tblCommentary[[#This Row],[Date]]&amp;"|"&amp;tblCommentary[[#This Row],[Seq_Day]])</f>
        <v/>
      </c>
    </row>
    <row r="1856">
      <c r="A1856" s="54" t="n"/>
      <c r="B1856" s="61" t="n"/>
      <c r="C1856" s="58" t="n"/>
      <c r="D1856" s="58" t="n"/>
      <c r="E1856" s="64">
        <f>IF(tblCommentary[[#This Row],[Date]]="","",COUNTIFS(INDEX(tblCommentary[Date],1):tblCommentary[[#This Row],[Date]],tblCommentary[[#This Row],[Date]]))</f>
        <v/>
      </c>
      <c r="F1856" s="63">
        <f>IF(tblCommentary[[#This Row],[Date]]="","",tblCommentary[[#This Row],[Date]]&amp;"|"&amp;tblCommentary[[#This Row],[Seq_Day]])</f>
        <v/>
      </c>
    </row>
    <row r="1857">
      <c r="A1857" s="54" t="n"/>
      <c r="B1857" s="61" t="n"/>
      <c r="C1857" s="58" t="n"/>
      <c r="D1857" s="58" t="n"/>
      <c r="E1857" s="64">
        <f>IF(tblCommentary[[#This Row],[Date]]="","",COUNTIFS(INDEX(tblCommentary[Date],1):tblCommentary[[#This Row],[Date]],tblCommentary[[#This Row],[Date]]))</f>
        <v/>
      </c>
      <c r="F1857" s="63">
        <f>IF(tblCommentary[[#This Row],[Date]]="","",tblCommentary[[#This Row],[Date]]&amp;"|"&amp;tblCommentary[[#This Row],[Seq_Day]])</f>
        <v/>
      </c>
    </row>
    <row r="1858">
      <c r="A1858" s="54" t="n"/>
      <c r="B1858" s="61" t="n"/>
      <c r="C1858" s="58" t="n"/>
      <c r="D1858" s="58" t="n"/>
      <c r="E1858" s="64">
        <f>IF(tblCommentary[[#This Row],[Date]]="","",COUNTIFS(INDEX(tblCommentary[Date],1):tblCommentary[[#This Row],[Date]],tblCommentary[[#This Row],[Date]]))</f>
        <v/>
      </c>
      <c r="F1858" s="63">
        <f>IF(tblCommentary[[#This Row],[Date]]="","",tblCommentary[[#This Row],[Date]]&amp;"|"&amp;tblCommentary[[#This Row],[Seq_Day]])</f>
        <v/>
      </c>
    </row>
    <row r="1859">
      <c r="A1859" s="54" t="n"/>
      <c r="B1859" s="61" t="n"/>
      <c r="C1859" s="58" t="n"/>
      <c r="D1859" s="58" t="n"/>
      <c r="E1859" s="64">
        <f>IF(tblCommentary[[#This Row],[Date]]="","",COUNTIFS(INDEX(tblCommentary[Date],1):tblCommentary[[#This Row],[Date]],tblCommentary[[#This Row],[Date]]))</f>
        <v/>
      </c>
      <c r="F1859" s="63">
        <f>IF(tblCommentary[[#This Row],[Date]]="","",tblCommentary[[#This Row],[Date]]&amp;"|"&amp;tblCommentary[[#This Row],[Seq_Day]])</f>
        <v/>
      </c>
    </row>
    <row r="1860">
      <c r="A1860" s="54" t="n"/>
      <c r="B1860" s="61" t="n"/>
      <c r="C1860" s="58" t="n"/>
      <c r="D1860" s="58" t="n"/>
      <c r="E1860" s="64">
        <f>IF(tblCommentary[[#This Row],[Date]]="","",COUNTIFS(INDEX(tblCommentary[Date],1):tblCommentary[[#This Row],[Date]],tblCommentary[[#This Row],[Date]]))</f>
        <v/>
      </c>
      <c r="F1860" s="63">
        <f>IF(tblCommentary[[#This Row],[Date]]="","",tblCommentary[[#This Row],[Date]]&amp;"|"&amp;tblCommentary[[#This Row],[Seq_Day]])</f>
        <v/>
      </c>
    </row>
    <row r="1861">
      <c r="A1861" s="54" t="n"/>
      <c r="B1861" s="61" t="n"/>
      <c r="C1861" s="58" t="n"/>
      <c r="D1861" s="58" t="n"/>
      <c r="E1861" s="64">
        <f>IF(tblCommentary[[#This Row],[Date]]="","",COUNTIFS(INDEX(tblCommentary[Date],1):tblCommentary[[#This Row],[Date]],tblCommentary[[#This Row],[Date]]))</f>
        <v/>
      </c>
      <c r="F1861" s="63">
        <f>IF(tblCommentary[[#This Row],[Date]]="","",tblCommentary[[#This Row],[Date]]&amp;"|"&amp;tblCommentary[[#This Row],[Seq_Day]])</f>
        <v/>
      </c>
    </row>
    <row r="1862">
      <c r="A1862" s="54" t="n"/>
      <c r="B1862" s="61" t="n"/>
      <c r="C1862" s="58" t="n"/>
      <c r="D1862" s="58" t="n"/>
      <c r="E1862" s="64">
        <f>IF(tblCommentary[[#This Row],[Date]]="","",COUNTIFS(INDEX(tblCommentary[Date],1):tblCommentary[[#This Row],[Date]],tblCommentary[[#This Row],[Date]]))</f>
        <v/>
      </c>
      <c r="F1862" s="63">
        <f>IF(tblCommentary[[#This Row],[Date]]="","",tblCommentary[[#This Row],[Date]]&amp;"|"&amp;tblCommentary[[#This Row],[Seq_Day]])</f>
        <v/>
      </c>
    </row>
    <row r="1863">
      <c r="A1863" s="54" t="n"/>
      <c r="B1863" s="61" t="n"/>
      <c r="C1863" s="58" t="n"/>
      <c r="D1863" s="58" t="n"/>
      <c r="E1863" s="64">
        <f>IF(tblCommentary[[#This Row],[Date]]="","",COUNTIFS(INDEX(tblCommentary[Date],1):tblCommentary[[#This Row],[Date]],tblCommentary[[#This Row],[Date]]))</f>
        <v/>
      </c>
      <c r="F1863" s="63">
        <f>IF(tblCommentary[[#This Row],[Date]]="","",tblCommentary[[#This Row],[Date]]&amp;"|"&amp;tblCommentary[[#This Row],[Seq_Day]])</f>
        <v/>
      </c>
    </row>
    <row r="1864">
      <c r="A1864" s="54" t="n"/>
      <c r="B1864" s="61" t="n"/>
      <c r="C1864" s="58" t="n"/>
      <c r="D1864" s="58" t="n"/>
      <c r="E1864" s="64">
        <f>IF(tblCommentary[[#This Row],[Date]]="","",COUNTIFS(INDEX(tblCommentary[Date],1):tblCommentary[[#This Row],[Date]],tblCommentary[[#This Row],[Date]]))</f>
        <v/>
      </c>
      <c r="F1864" s="63">
        <f>IF(tblCommentary[[#This Row],[Date]]="","",tblCommentary[[#This Row],[Date]]&amp;"|"&amp;tblCommentary[[#This Row],[Seq_Day]])</f>
        <v/>
      </c>
    </row>
    <row r="1865">
      <c r="A1865" s="54" t="n"/>
      <c r="B1865" s="61" t="n"/>
      <c r="C1865" s="58" t="n"/>
      <c r="D1865" s="58" t="n"/>
      <c r="E1865" s="64">
        <f>IF(tblCommentary[[#This Row],[Date]]="","",COUNTIFS(INDEX(tblCommentary[Date],1):tblCommentary[[#This Row],[Date]],tblCommentary[[#This Row],[Date]]))</f>
        <v/>
      </c>
      <c r="F1865" s="63">
        <f>IF(tblCommentary[[#This Row],[Date]]="","",tblCommentary[[#This Row],[Date]]&amp;"|"&amp;tblCommentary[[#This Row],[Seq_Day]])</f>
        <v/>
      </c>
    </row>
    <row r="1866">
      <c r="A1866" s="54" t="n"/>
      <c r="B1866" s="61" t="n"/>
      <c r="C1866" s="58" t="n"/>
      <c r="D1866" s="58" t="n"/>
      <c r="E1866" s="64">
        <f>IF(tblCommentary[[#This Row],[Date]]="","",COUNTIFS(INDEX(tblCommentary[Date],1):tblCommentary[[#This Row],[Date]],tblCommentary[[#This Row],[Date]]))</f>
        <v/>
      </c>
      <c r="F1866" s="63">
        <f>IF(tblCommentary[[#This Row],[Date]]="","",tblCommentary[[#This Row],[Date]]&amp;"|"&amp;tblCommentary[[#This Row],[Seq_Day]])</f>
        <v/>
      </c>
    </row>
    <row r="1867">
      <c r="A1867" s="54" t="n"/>
      <c r="B1867" s="61" t="n"/>
      <c r="C1867" s="58" t="n"/>
      <c r="D1867" s="58" t="n"/>
      <c r="E1867" s="64">
        <f>IF(tblCommentary[[#This Row],[Date]]="","",COUNTIFS(INDEX(tblCommentary[Date],1):tblCommentary[[#This Row],[Date]],tblCommentary[[#This Row],[Date]]))</f>
        <v/>
      </c>
      <c r="F1867" s="63">
        <f>IF(tblCommentary[[#This Row],[Date]]="","",tblCommentary[[#This Row],[Date]]&amp;"|"&amp;tblCommentary[[#This Row],[Seq_Day]])</f>
        <v/>
      </c>
    </row>
    <row r="1868">
      <c r="A1868" s="54" t="n"/>
      <c r="B1868" s="61" t="n"/>
      <c r="C1868" s="58" t="n"/>
      <c r="D1868" s="58" t="n"/>
      <c r="E1868" s="64">
        <f>IF(tblCommentary[[#This Row],[Date]]="","",COUNTIFS(INDEX(tblCommentary[Date],1):tblCommentary[[#This Row],[Date]],tblCommentary[[#This Row],[Date]]))</f>
        <v/>
      </c>
      <c r="F1868" s="63">
        <f>IF(tblCommentary[[#This Row],[Date]]="","",tblCommentary[[#This Row],[Date]]&amp;"|"&amp;tblCommentary[[#This Row],[Seq_Day]])</f>
        <v/>
      </c>
    </row>
    <row r="1869">
      <c r="A1869" s="54" t="n"/>
      <c r="B1869" s="61" t="n"/>
      <c r="C1869" s="58" t="n"/>
      <c r="D1869" s="58" t="n"/>
      <c r="E1869" s="64">
        <f>IF(tblCommentary[[#This Row],[Date]]="","",COUNTIFS(INDEX(tblCommentary[Date],1):tblCommentary[[#This Row],[Date]],tblCommentary[[#This Row],[Date]]))</f>
        <v/>
      </c>
      <c r="F1869" s="63">
        <f>IF(tblCommentary[[#This Row],[Date]]="","",tblCommentary[[#This Row],[Date]]&amp;"|"&amp;tblCommentary[[#This Row],[Seq_Day]])</f>
        <v/>
      </c>
    </row>
    <row r="1870">
      <c r="A1870" s="54" t="n"/>
      <c r="B1870" s="61" t="n"/>
      <c r="C1870" s="58" t="n"/>
      <c r="D1870" s="58" t="n"/>
      <c r="E1870" s="64">
        <f>IF(tblCommentary[[#This Row],[Date]]="","",COUNTIFS(INDEX(tblCommentary[Date],1):tblCommentary[[#This Row],[Date]],tblCommentary[[#This Row],[Date]]))</f>
        <v/>
      </c>
      <c r="F1870" s="63">
        <f>IF(tblCommentary[[#This Row],[Date]]="","",tblCommentary[[#This Row],[Date]]&amp;"|"&amp;tblCommentary[[#This Row],[Seq_Day]])</f>
        <v/>
      </c>
    </row>
    <row r="1871">
      <c r="A1871" s="54" t="n"/>
      <c r="B1871" s="61" t="n"/>
      <c r="C1871" s="58" t="n"/>
      <c r="D1871" s="58" t="n"/>
      <c r="E1871" s="64">
        <f>IF(tblCommentary[[#This Row],[Date]]="","",COUNTIFS(INDEX(tblCommentary[Date],1):tblCommentary[[#This Row],[Date]],tblCommentary[[#This Row],[Date]]))</f>
        <v/>
      </c>
      <c r="F1871" s="63">
        <f>IF(tblCommentary[[#This Row],[Date]]="","",tblCommentary[[#This Row],[Date]]&amp;"|"&amp;tblCommentary[[#This Row],[Seq_Day]])</f>
        <v/>
      </c>
    </row>
    <row r="1872">
      <c r="A1872" s="54" t="n"/>
      <c r="B1872" s="61" t="n"/>
      <c r="C1872" s="58" t="n"/>
      <c r="D1872" s="58" t="n"/>
      <c r="E1872" s="64">
        <f>IF(tblCommentary[[#This Row],[Date]]="","",COUNTIFS(INDEX(tblCommentary[Date],1):tblCommentary[[#This Row],[Date]],tblCommentary[[#This Row],[Date]]))</f>
        <v/>
      </c>
      <c r="F1872" s="63">
        <f>IF(tblCommentary[[#This Row],[Date]]="","",tblCommentary[[#This Row],[Date]]&amp;"|"&amp;tblCommentary[[#This Row],[Seq_Day]])</f>
        <v/>
      </c>
    </row>
    <row r="1873">
      <c r="A1873" s="54" t="n"/>
      <c r="B1873" s="61" t="n"/>
      <c r="C1873" s="58" t="n"/>
      <c r="D1873" s="58" t="n"/>
      <c r="E1873" s="64">
        <f>IF(tblCommentary[[#This Row],[Date]]="","",COUNTIFS(INDEX(tblCommentary[Date],1):tblCommentary[[#This Row],[Date]],tblCommentary[[#This Row],[Date]]))</f>
        <v/>
      </c>
      <c r="F1873" s="63">
        <f>IF(tblCommentary[[#This Row],[Date]]="","",tblCommentary[[#This Row],[Date]]&amp;"|"&amp;tblCommentary[[#This Row],[Seq_Day]])</f>
        <v/>
      </c>
    </row>
    <row r="1874">
      <c r="A1874" s="54" t="n"/>
      <c r="B1874" s="61" t="n"/>
      <c r="C1874" s="58" t="n"/>
      <c r="D1874" s="58" t="n"/>
      <c r="E1874" s="64">
        <f>IF(tblCommentary[[#This Row],[Date]]="","",COUNTIFS(INDEX(tblCommentary[Date],1):tblCommentary[[#This Row],[Date]],tblCommentary[[#This Row],[Date]]))</f>
        <v/>
      </c>
      <c r="F1874" s="63">
        <f>IF(tblCommentary[[#This Row],[Date]]="","",tblCommentary[[#This Row],[Date]]&amp;"|"&amp;tblCommentary[[#This Row],[Seq_Day]])</f>
        <v/>
      </c>
    </row>
    <row r="1875">
      <c r="A1875" s="54" t="n"/>
      <c r="B1875" s="61" t="n"/>
      <c r="C1875" s="58" t="n"/>
      <c r="D1875" s="58" t="n"/>
      <c r="E1875" s="64">
        <f>IF(tblCommentary[[#This Row],[Date]]="","",COUNTIFS(INDEX(tblCommentary[Date],1):tblCommentary[[#This Row],[Date]],tblCommentary[[#This Row],[Date]]))</f>
        <v/>
      </c>
      <c r="F1875" s="63">
        <f>IF(tblCommentary[[#This Row],[Date]]="","",tblCommentary[[#This Row],[Date]]&amp;"|"&amp;tblCommentary[[#This Row],[Seq_Day]])</f>
        <v/>
      </c>
    </row>
    <row r="1876">
      <c r="A1876" s="54" t="n"/>
      <c r="B1876" s="61" t="n"/>
      <c r="C1876" s="58" t="n"/>
      <c r="D1876" s="58" t="n"/>
      <c r="E1876" s="64">
        <f>IF(tblCommentary[[#This Row],[Date]]="","",COUNTIFS(INDEX(tblCommentary[Date],1):tblCommentary[[#This Row],[Date]],tblCommentary[[#This Row],[Date]]))</f>
        <v/>
      </c>
      <c r="F1876" s="63">
        <f>IF(tblCommentary[[#This Row],[Date]]="","",tblCommentary[[#This Row],[Date]]&amp;"|"&amp;tblCommentary[[#This Row],[Seq_Day]])</f>
        <v/>
      </c>
    </row>
    <row r="1877">
      <c r="A1877" s="54" t="n"/>
      <c r="B1877" s="61" t="n"/>
      <c r="C1877" s="58" t="n"/>
      <c r="D1877" s="58" t="n"/>
      <c r="E1877" s="64">
        <f>IF(tblCommentary[[#This Row],[Date]]="","",COUNTIFS(INDEX(tblCommentary[Date],1):tblCommentary[[#This Row],[Date]],tblCommentary[[#This Row],[Date]]))</f>
        <v/>
      </c>
      <c r="F1877" s="63">
        <f>IF(tblCommentary[[#This Row],[Date]]="","",tblCommentary[[#This Row],[Date]]&amp;"|"&amp;tblCommentary[[#This Row],[Seq_Day]])</f>
        <v/>
      </c>
    </row>
    <row r="1878">
      <c r="A1878" s="54" t="n"/>
      <c r="B1878" s="61" t="n"/>
      <c r="C1878" s="58" t="n"/>
      <c r="D1878" s="58" t="n"/>
      <c r="E1878" s="64">
        <f>IF(tblCommentary[[#This Row],[Date]]="","",COUNTIFS(INDEX(tblCommentary[Date],1):tblCommentary[[#This Row],[Date]],tblCommentary[[#This Row],[Date]]))</f>
        <v/>
      </c>
      <c r="F1878" s="63">
        <f>IF(tblCommentary[[#This Row],[Date]]="","",tblCommentary[[#This Row],[Date]]&amp;"|"&amp;tblCommentary[[#This Row],[Seq_Day]])</f>
        <v/>
      </c>
    </row>
    <row r="1879">
      <c r="A1879" s="54" t="n"/>
      <c r="B1879" s="61" t="n"/>
      <c r="C1879" s="58" t="n"/>
      <c r="D1879" s="58" t="n"/>
      <c r="E1879" s="64">
        <f>IF(tblCommentary[[#This Row],[Date]]="","",COUNTIFS(INDEX(tblCommentary[Date],1):tblCommentary[[#This Row],[Date]],tblCommentary[[#This Row],[Date]]))</f>
        <v/>
      </c>
      <c r="F1879" s="63">
        <f>IF(tblCommentary[[#This Row],[Date]]="","",tblCommentary[[#This Row],[Date]]&amp;"|"&amp;tblCommentary[[#This Row],[Seq_Day]])</f>
        <v/>
      </c>
    </row>
    <row r="1880">
      <c r="A1880" s="54" t="n"/>
      <c r="B1880" s="61" t="n"/>
      <c r="C1880" s="58" t="n"/>
      <c r="D1880" s="58" t="n"/>
      <c r="E1880" s="64">
        <f>IF(tblCommentary[[#This Row],[Date]]="","",COUNTIFS(INDEX(tblCommentary[Date],1):tblCommentary[[#This Row],[Date]],tblCommentary[[#This Row],[Date]]))</f>
        <v/>
      </c>
      <c r="F1880" s="63">
        <f>IF(tblCommentary[[#This Row],[Date]]="","",tblCommentary[[#This Row],[Date]]&amp;"|"&amp;tblCommentary[[#This Row],[Seq_Day]])</f>
        <v/>
      </c>
    </row>
    <row r="1881">
      <c r="A1881" s="54" t="n"/>
      <c r="B1881" s="61" t="n"/>
      <c r="C1881" s="58" t="n"/>
      <c r="D1881" s="58" t="n"/>
      <c r="E1881" s="64">
        <f>IF(tblCommentary[[#This Row],[Date]]="","",COUNTIFS(INDEX(tblCommentary[Date],1):tblCommentary[[#This Row],[Date]],tblCommentary[[#This Row],[Date]]))</f>
        <v/>
      </c>
      <c r="F1881" s="63">
        <f>IF(tblCommentary[[#This Row],[Date]]="","",tblCommentary[[#This Row],[Date]]&amp;"|"&amp;tblCommentary[[#This Row],[Seq_Day]])</f>
        <v/>
      </c>
    </row>
    <row r="1882">
      <c r="A1882" s="54" t="n"/>
      <c r="B1882" s="61" t="n"/>
      <c r="C1882" s="58" t="n"/>
      <c r="D1882" s="58" t="n"/>
      <c r="E1882" s="64">
        <f>IF(tblCommentary[[#This Row],[Date]]="","",COUNTIFS(INDEX(tblCommentary[Date],1):tblCommentary[[#This Row],[Date]],tblCommentary[[#This Row],[Date]]))</f>
        <v/>
      </c>
      <c r="F1882" s="63">
        <f>IF(tblCommentary[[#This Row],[Date]]="","",tblCommentary[[#This Row],[Date]]&amp;"|"&amp;tblCommentary[[#This Row],[Seq_Day]])</f>
        <v/>
      </c>
    </row>
    <row r="1883">
      <c r="A1883" s="54" t="n"/>
      <c r="B1883" s="61" t="n"/>
      <c r="C1883" s="58" t="n"/>
      <c r="D1883" s="58" t="n"/>
      <c r="E1883" s="64">
        <f>IF(tblCommentary[[#This Row],[Date]]="","",COUNTIFS(INDEX(tblCommentary[Date],1):tblCommentary[[#This Row],[Date]],tblCommentary[[#This Row],[Date]]))</f>
        <v/>
      </c>
      <c r="F1883" s="63">
        <f>IF(tblCommentary[[#This Row],[Date]]="","",tblCommentary[[#This Row],[Date]]&amp;"|"&amp;tblCommentary[[#This Row],[Seq_Day]])</f>
        <v/>
      </c>
    </row>
    <row r="1884">
      <c r="A1884" s="54" t="n"/>
      <c r="B1884" s="61" t="n"/>
      <c r="C1884" s="58" t="n"/>
      <c r="D1884" s="58" t="n"/>
      <c r="E1884" s="64">
        <f>IF(tblCommentary[[#This Row],[Date]]="","",COUNTIFS(INDEX(tblCommentary[Date],1):tblCommentary[[#This Row],[Date]],tblCommentary[[#This Row],[Date]]))</f>
        <v/>
      </c>
      <c r="F1884" s="63">
        <f>IF(tblCommentary[[#This Row],[Date]]="","",tblCommentary[[#This Row],[Date]]&amp;"|"&amp;tblCommentary[[#This Row],[Seq_Day]])</f>
        <v/>
      </c>
    </row>
    <row r="1885">
      <c r="A1885" s="54" t="n"/>
      <c r="B1885" s="61" t="n"/>
      <c r="C1885" s="58" t="n"/>
      <c r="D1885" s="58" t="n"/>
      <c r="E1885" s="64">
        <f>IF(tblCommentary[[#This Row],[Date]]="","",COUNTIFS(INDEX(tblCommentary[Date],1):tblCommentary[[#This Row],[Date]],tblCommentary[[#This Row],[Date]]))</f>
        <v/>
      </c>
      <c r="F1885" s="63">
        <f>IF(tblCommentary[[#This Row],[Date]]="","",tblCommentary[[#This Row],[Date]]&amp;"|"&amp;tblCommentary[[#This Row],[Seq_Day]])</f>
        <v/>
      </c>
    </row>
    <row r="1886">
      <c r="A1886" s="54" t="n"/>
      <c r="B1886" s="61" t="n"/>
      <c r="C1886" s="58" t="n"/>
      <c r="D1886" s="58" t="n"/>
      <c r="E1886" s="64">
        <f>IF(tblCommentary[[#This Row],[Date]]="","",COUNTIFS(INDEX(tblCommentary[Date],1):tblCommentary[[#This Row],[Date]],tblCommentary[[#This Row],[Date]]))</f>
        <v/>
      </c>
      <c r="F1886" s="63">
        <f>IF(tblCommentary[[#This Row],[Date]]="","",tblCommentary[[#This Row],[Date]]&amp;"|"&amp;tblCommentary[[#This Row],[Seq_Day]])</f>
        <v/>
      </c>
    </row>
    <row r="1887">
      <c r="A1887" s="54" t="n"/>
      <c r="B1887" s="61" t="n"/>
      <c r="C1887" s="58" t="n"/>
      <c r="D1887" s="58" t="n"/>
      <c r="E1887" s="64">
        <f>IF(tblCommentary[[#This Row],[Date]]="","",COUNTIFS(INDEX(tblCommentary[Date],1):tblCommentary[[#This Row],[Date]],tblCommentary[[#This Row],[Date]]))</f>
        <v/>
      </c>
      <c r="F1887" s="63">
        <f>IF(tblCommentary[[#This Row],[Date]]="","",tblCommentary[[#This Row],[Date]]&amp;"|"&amp;tblCommentary[[#This Row],[Seq_Day]])</f>
        <v/>
      </c>
    </row>
    <row r="1888">
      <c r="A1888" s="54" t="n"/>
      <c r="B1888" s="61" t="n"/>
      <c r="C1888" s="58" t="n"/>
      <c r="D1888" s="58" t="n"/>
      <c r="E1888" s="64">
        <f>IF(tblCommentary[[#This Row],[Date]]="","",COUNTIFS(INDEX(tblCommentary[Date],1):tblCommentary[[#This Row],[Date]],tblCommentary[[#This Row],[Date]]))</f>
        <v/>
      </c>
      <c r="F1888" s="63">
        <f>IF(tblCommentary[[#This Row],[Date]]="","",tblCommentary[[#This Row],[Date]]&amp;"|"&amp;tblCommentary[[#This Row],[Seq_Day]])</f>
        <v/>
      </c>
    </row>
    <row r="1889">
      <c r="A1889" s="54" t="n"/>
      <c r="B1889" s="61" t="n"/>
      <c r="C1889" s="58" t="n"/>
      <c r="D1889" s="58" t="n"/>
      <c r="E1889" s="64">
        <f>IF(tblCommentary[[#This Row],[Date]]="","",COUNTIFS(INDEX(tblCommentary[Date],1):tblCommentary[[#This Row],[Date]],tblCommentary[[#This Row],[Date]]))</f>
        <v/>
      </c>
      <c r="F1889" s="63">
        <f>IF(tblCommentary[[#This Row],[Date]]="","",tblCommentary[[#This Row],[Date]]&amp;"|"&amp;tblCommentary[[#This Row],[Seq_Day]])</f>
        <v/>
      </c>
    </row>
    <row r="1890">
      <c r="A1890" s="54" t="n"/>
      <c r="B1890" s="61" t="n"/>
      <c r="C1890" s="58" t="n"/>
      <c r="D1890" s="58" t="n"/>
      <c r="E1890" s="64">
        <f>IF(tblCommentary[[#This Row],[Date]]="","",COUNTIFS(INDEX(tblCommentary[Date],1):tblCommentary[[#This Row],[Date]],tblCommentary[[#This Row],[Date]]))</f>
        <v/>
      </c>
      <c r="F1890" s="63">
        <f>IF(tblCommentary[[#This Row],[Date]]="","",tblCommentary[[#This Row],[Date]]&amp;"|"&amp;tblCommentary[[#This Row],[Seq_Day]])</f>
        <v/>
      </c>
    </row>
    <row r="1891">
      <c r="A1891" s="54" t="n"/>
      <c r="B1891" s="61" t="n"/>
      <c r="C1891" s="58" t="n"/>
      <c r="D1891" s="58" t="n"/>
      <c r="E1891" s="64">
        <f>IF(tblCommentary[[#This Row],[Date]]="","",COUNTIFS(INDEX(tblCommentary[Date],1):tblCommentary[[#This Row],[Date]],tblCommentary[[#This Row],[Date]]))</f>
        <v/>
      </c>
      <c r="F1891" s="63">
        <f>IF(tblCommentary[[#This Row],[Date]]="","",tblCommentary[[#This Row],[Date]]&amp;"|"&amp;tblCommentary[[#This Row],[Seq_Day]])</f>
        <v/>
      </c>
    </row>
    <row r="1892">
      <c r="A1892" s="54" t="n"/>
      <c r="B1892" s="61" t="n"/>
      <c r="C1892" s="58" t="n"/>
      <c r="D1892" s="58" t="n"/>
      <c r="E1892" s="64">
        <f>IF(tblCommentary[[#This Row],[Date]]="","",COUNTIFS(INDEX(tblCommentary[Date],1):tblCommentary[[#This Row],[Date]],tblCommentary[[#This Row],[Date]]))</f>
        <v/>
      </c>
      <c r="F1892" s="63">
        <f>IF(tblCommentary[[#This Row],[Date]]="","",tblCommentary[[#This Row],[Date]]&amp;"|"&amp;tblCommentary[[#This Row],[Seq_Day]])</f>
        <v/>
      </c>
    </row>
    <row r="1893">
      <c r="A1893" s="54" t="n"/>
      <c r="B1893" s="61" t="n"/>
      <c r="C1893" s="58" t="n"/>
      <c r="D1893" s="58" t="n"/>
      <c r="E1893" s="64">
        <f>IF(tblCommentary[[#This Row],[Date]]="","",COUNTIFS(INDEX(tblCommentary[Date],1):tblCommentary[[#This Row],[Date]],tblCommentary[[#This Row],[Date]]))</f>
        <v/>
      </c>
      <c r="F1893" s="63">
        <f>IF(tblCommentary[[#This Row],[Date]]="","",tblCommentary[[#This Row],[Date]]&amp;"|"&amp;tblCommentary[[#This Row],[Seq_Day]])</f>
        <v/>
      </c>
    </row>
    <row r="1894">
      <c r="A1894" s="54" t="n"/>
      <c r="B1894" s="61" t="n"/>
      <c r="C1894" s="58" t="n"/>
      <c r="D1894" s="58" t="n"/>
      <c r="E1894" s="64">
        <f>IF(tblCommentary[[#This Row],[Date]]="","",COUNTIFS(INDEX(tblCommentary[Date],1):tblCommentary[[#This Row],[Date]],tblCommentary[[#This Row],[Date]]))</f>
        <v/>
      </c>
      <c r="F1894" s="63">
        <f>IF(tblCommentary[[#This Row],[Date]]="","",tblCommentary[[#This Row],[Date]]&amp;"|"&amp;tblCommentary[[#This Row],[Seq_Day]])</f>
        <v/>
      </c>
    </row>
    <row r="1895">
      <c r="A1895" s="54" t="n"/>
      <c r="B1895" s="61" t="n"/>
      <c r="C1895" s="58" t="n"/>
      <c r="D1895" s="58" t="n"/>
      <c r="E1895" s="64">
        <f>IF(tblCommentary[[#This Row],[Date]]="","",COUNTIFS(INDEX(tblCommentary[Date],1):tblCommentary[[#This Row],[Date]],tblCommentary[[#This Row],[Date]]))</f>
        <v/>
      </c>
      <c r="F1895" s="63">
        <f>IF(tblCommentary[[#This Row],[Date]]="","",tblCommentary[[#This Row],[Date]]&amp;"|"&amp;tblCommentary[[#This Row],[Seq_Day]])</f>
        <v/>
      </c>
    </row>
    <row r="1896">
      <c r="A1896" s="54" t="n"/>
      <c r="B1896" s="61" t="n"/>
      <c r="C1896" s="58" t="n"/>
      <c r="D1896" s="58" t="n"/>
      <c r="E1896" s="64">
        <f>IF(tblCommentary[[#This Row],[Date]]="","",COUNTIFS(INDEX(tblCommentary[Date],1):tblCommentary[[#This Row],[Date]],tblCommentary[[#This Row],[Date]]))</f>
        <v/>
      </c>
      <c r="F1896" s="63">
        <f>IF(tblCommentary[[#This Row],[Date]]="","",tblCommentary[[#This Row],[Date]]&amp;"|"&amp;tblCommentary[[#This Row],[Seq_Day]])</f>
        <v/>
      </c>
    </row>
    <row r="1897">
      <c r="A1897" s="54" t="n"/>
      <c r="B1897" s="61" t="n"/>
      <c r="C1897" s="58" t="n"/>
      <c r="D1897" s="58" t="n"/>
      <c r="E1897" s="64">
        <f>IF(tblCommentary[[#This Row],[Date]]="","",COUNTIFS(INDEX(tblCommentary[Date],1):tblCommentary[[#This Row],[Date]],tblCommentary[[#This Row],[Date]]))</f>
        <v/>
      </c>
      <c r="F1897" s="63">
        <f>IF(tblCommentary[[#This Row],[Date]]="","",tblCommentary[[#This Row],[Date]]&amp;"|"&amp;tblCommentary[[#This Row],[Seq_Day]])</f>
        <v/>
      </c>
    </row>
    <row r="1898">
      <c r="A1898" s="54" t="n"/>
      <c r="B1898" s="61" t="n"/>
      <c r="C1898" s="58" t="n"/>
      <c r="D1898" s="58" t="n"/>
      <c r="E1898" s="64">
        <f>IF(tblCommentary[[#This Row],[Date]]="","",COUNTIFS(INDEX(tblCommentary[Date],1):tblCommentary[[#This Row],[Date]],tblCommentary[[#This Row],[Date]]))</f>
        <v/>
      </c>
      <c r="F1898" s="63">
        <f>IF(tblCommentary[[#This Row],[Date]]="","",tblCommentary[[#This Row],[Date]]&amp;"|"&amp;tblCommentary[[#This Row],[Seq_Day]])</f>
        <v/>
      </c>
    </row>
    <row r="1899">
      <c r="A1899" s="54" t="n"/>
      <c r="B1899" s="61" t="n"/>
      <c r="C1899" s="58" t="n"/>
      <c r="D1899" s="58" t="n"/>
      <c r="E1899" s="64">
        <f>IF(tblCommentary[[#This Row],[Date]]="","",COUNTIFS(INDEX(tblCommentary[Date],1):tblCommentary[[#This Row],[Date]],tblCommentary[[#This Row],[Date]]))</f>
        <v/>
      </c>
      <c r="F1899" s="63">
        <f>IF(tblCommentary[[#This Row],[Date]]="","",tblCommentary[[#This Row],[Date]]&amp;"|"&amp;tblCommentary[[#This Row],[Seq_Day]])</f>
        <v/>
      </c>
    </row>
    <row r="1900">
      <c r="A1900" s="54" t="n"/>
      <c r="B1900" s="61" t="n"/>
      <c r="C1900" s="58" t="n"/>
      <c r="D1900" s="58" t="n"/>
      <c r="E1900" s="64">
        <f>IF(tblCommentary[[#This Row],[Date]]="","",COUNTIFS(INDEX(tblCommentary[Date],1):tblCommentary[[#This Row],[Date]],tblCommentary[[#This Row],[Date]]))</f>
        <v/>
      </c>
      <c r="F1900" s="63">
        <f>IF(tblCommentary[[#This Row],[Date]]="","",tblCommentary[[#This Row],[Date]]&amp;"|"&amp;tblCommentary[[#This Row],[Seq_Day]])</f>
        <v/>
      </c>
    </row>
    <row r="1901">
      <c r="A1901" s="54" t="n"/>
      <c r="B1901" s="61" t="n"/>
      <c r="C1901" s="58" t="n"/>
      <c r="D1901" s="58" t="n"/>
      <c r="E1901" s="64">
        <f>IF(tblCommentary[[#This Row],[Date]]="","",COUNTIFS(INDEX(tblCommentary[Date],1):tblCommentary[[#This Row],[Date]],tblCommentary[[#This Row],[Date]]))</f>
        <v/>
      </c>
      <c r="F1901" s="63">
        <f>IF(tblCommentary[[#This Row],[Date]]="","",tblCommentary[[#This Row],[Date]]&amp;"|"&amp;tblCommentary[[#This Row],[Seq_Day]])</f>
        <v/>
      </c>
    </row>
    <row r="1902">
      <c r="A1902" s="54" t="n"/>
      <c r="B1902" s="61" t="n"/>
      <c r="C1902" s="58" t="n"/>
      <c r="D1902" s="58" t="n"/>
      <c r="E1902" s="64">
        <f>IF(tblCommentary[[#This Row],[Date]]="","",COUNTIFS(INDEX(tblCommentary[Date],1):tblCommentary[[#This Row],[Date]],tblCommentary[[#This Row],[Date]]))</f>
        <v/>
      </c>
      <c r="F1902" s="63">
        <f>IF(tblCommentary[[#This Row],[Date]]="","",tblCommentary[[#This Row],[Date]]&amp;"|"&amp;tblCommentary[[#This Row],[Seq_Day]])</f>
        <v/>
      </c>
    </row>
    <row r="1903">
      <c r="A1903" s="54" t="n"/>
      <c r="B1903" s="61" t="n"/>
      <c r="C1903" s="58" t="n"/>
      <c r="D1903" s="58" t="n"/>
      <c r="E1903" s="64">
        <f>IF(tblCommentary[[#This Row],[Date]]="","",COUNTIFS(INDEX(tblCommentary[Date],1):tblCommentary[[#This Row],[Date]],tblCommentary[[#This Row],[Date]]))</f>
        <v/>
      </c>
      <c r="F1903" s="63">
        <f>IF(tblCommentary[[#This Row],[Date]]="","",tblCommentary[[#This Row],[Date]]&amp;"|"&amp;tblCommentary[[#This Row],[Seq_Day]])</f>
        <v/>
      </c>
    </row>
    <row r="1904">
      <c r="A1904" s="54" t="n"/>
      <c r="B1904" s="61" t="n"/>
      <c r="C1904" s="58" t="n"/>
      <c r="D1904" s="58" t="n"/>
      <c r="E1904" s="64">
        <f>IF(tblCommentary[[#This Row],[Date]]="","",COUNTIFS(INDEX(tblCommentary[Date],1):tblCommentary[[#This Row],[Date]],tblCommentary[[#This Row],[Date]]))</f>
        <v/>
      </c>
      <c r="F1904" s="63">
        <f>IF(tblCommentary[[#This Row],[Date]]="","",tblCommentary[[#This Row],[Date]]&amp;"|"&amp;tblCommentary[[#This Row],[Seq_Day]])</f>
        <v/>
      </c>
    </row>
    <row r="1905">
      <c r="A1905" s="54" t="n"/>
      <c r="B1905" s="61" t="n"/>
      <c r="C1905" s="58" t="n"/>
      <c r="D1905" s="58" t="n"/>
      <c r="E1905" s="64">
        <f>IF(tblCommentary[[#This Row],[Date]]="","",COUNTIFS(INDEX(tblCommentary[Date],1):tblCommentary[[#This Row],[Date]],tblCommentary[[#This Row],[Date]]))</f>
        <v/>
      </c>
      <c r="F1905" s="63">
        <f>IF(tblCommentary[[#This Row],[Date]]="","",tblCommentary[[#This Row],[Date]]&amp;"|"&amp;tblCommentary[[#This Row],[Seq_Day]])</f>
        <v/>
      </c>
    </row>
    <row r="1906">
      <c r="A1906" s="54" t="n"/>
      <c r="B1906" s="61" t="n"/>
      <c r="C1906" s="58" t="n"/>
      <c r="D1906" s="58" t="n"/>
      <c r="E1906" s="64">
        <f>IF(tblCommentary[[#This Row],[Date]]="","",COUNTIFS(INDEX(tblCommentary[Date],1):tblCommentary[[#This Row],[Date]],tblCommentary[[#This Row],[Date]]))</f>
        <v/>
      </c>
      <c r="F1906" s="63">
        <f>IF(tblCommentary[[#This Row],[Date]]="","",tblCommentary[[#This Row],[Date]]&amp;"|"&amp;tblCommentary[[#This Row],[Seq_Day]])</f>
        <v/>
      </c>
    </row>
    <row r="1907">
      <c r="A1907" s="54" t="n"/>
      <c r="B1907" s="61" t="n"/>
      <c r="C1907" s="58" t="n"/>
      <c r="D1907" s="58" t="n"/>
      <c r="E1907" s="64">
        <f>IF(tblCommentary[[#This Row],[Date]]="","",COUNTIFS(INDEX(tblCommentary[Date],1):tblCommentary[[#This Row],[Date]],tblCommentary[[#This Row],[Date]]))</f>
        <v/>
      </c>
      <c r="F1907" s="63">
        <f>IF(tblCommentary[[#This Row],[Date]]="","",tblCommentary[[#This Row],[Date]]&amp;"|"&amp;tblCommentary[[#This Row],[Seq_Day]])</f>
        <v/>
      </c>
    </row>
    <row r="1908">
      <c r="A1908" s="54" t="n"/>
      <c r="B1908" s="61" t="n"/>
      <c r="C1908" s="58" t="n"/>
      <c r="D1908" s="58" t="n"/>
      <c r="E1908" s="64">
        <f>IF(tblCommentary[[#This Row],[Date]]="","",COUNTIFS(INDEX(tblCommentary[Date],1):tblCommentary[[#This Row],[Date]],tblCommentary[[#This Row],[Date]]))</f>
        <v/>
      </c>
      <c r="F1908" s="63">
        <f>IF(tblCommentary[[#This Row],[Date]]="","",tblCommentary[[#This Row],[Date]]&amp;"|"&amp;tblCommentary[[#This Row],[Seq_Day]])</f>
        <v/>
      </c>
    </row>
    <row r="1909">
      <c r="A1909" s="54" t="n"/>
      <c r="B1909" s="61" t="n"/>
      <c r="C1909" s="58" t="n"/>
      <c r="D1909" s="58" t="n"/>
      <c r="E1909" s="64">
        <f>IF(tblCommentary[[#This Row],[Date]]="","",COUNTIFS(INDEX(tblCommentary[Date],1):tblCommentary[[#This Row],[Date]],tblCommentary[[#This Row],[Date]]))</f>
        <v/>
      </c>
      <c r="F1909" s="63">
        <f>IF(tblCommentary[[#This Row],[Date]]="","",tblCommentary[[#This Row],[Date]]&amp;"|"&amp;tblCommentary[[#This Row],[Seq_Day]])</f>
        <v/>
      </c>
    </row>
    <row r="1910">
      <c r="A1910" s="54" t="n"/>
      <c r="B1910" s="61" t="n"/>
      <c r="C1910" s="58" t="n"/>
      <c r="D1910" s="58" t="n"/>
      <c r="E1910" s="64">
        <f>IF(tblCommentary[[#This Row],[Date]]="","",COUNTIFS(INDEX(tblCommentary[Date],1):tblCommentary[[#This Row],[Date]],tblCommentary[[#This Row],[Date]]))</f>
        <v/>
      </c>
      <c r="F1910" s="63">
        <f>IF(tblCommentary[[#This Row],[Date]]="","",tblCommentary[[#This Row],[Date]]&amp;"|"&amp;tblCommentary[[#This Row],[Seq_Day]])</f>
        <v/>
      </c>
    </row>
    <row r="1911">
      <c r="A1911" s="54" t="n"/>
      <c r="B1911" s="61" t="n"/>
      <c r="C1911" s="58" t="n"/>
      <c r="D1911" s="58" t="n"/>
      <c r="E1911" s="64">
        <f>IF(tblCommentary[[#This Row],[Date]]="","",COUNTIFS(INDEX(tblCommentary[Date],1):tblCommentary[[#This Row],[Date]],tblCommentary[[#This Row],[Date]]))</f>
        <v/>
      </c>
      <c r="F1911" s="63">
        <f>IF(tblCommentary[[#This Row],[Date]]="","",tblCommentary[[#This Row],[Date]]&amp;"|"&amp;tblCommentary[[#This Row],[Seq_Day]])</f>
        <v/>
      </c>
    </row>
    <row r="1912">
      <c r="A1912" s="54" t="n"/>
      <c r="B1912" s="61" t="n"/>
      <c r="C1912" s="58" t="n"/>
      <c r="D1912" s="58" t="n"/>
      <c r="E1912" s="64">
        <f>IF(tblCommentary[[#This Row],[Date]]="","",COUNTIFS(INDEX(tblCommentary[Date],1):tblCommentary[[#This Row],[Date]],tblCommentary[[#This Row],[Date]]))</f>
        <v/>
      </c>
      <c r="F1912" s="63">
        <f>IF(tblCommentary[[#This Row],[Date]]="","",tblCommentary[[#This Row],[Date]]&amp;"|"&amp;tblCommentary[[#This Row],[Seq_Day]])</f>
        <v/>
      </c>
    </row>
    <row r="1913">
      <c r="A1913" s="54" t="n"/>
      <c r="B1913" s="61" t="n"/>
      <c r="C1913" s="58" t="n"/>
      <c r="D1913" s="58" t="n"/>
      <c r="E1913" s="64">
        <f>IF(tblCommentary[[#This Row],[Date]]="","",COUNTIFS(INDEX(tblCommentary[Date],1):tblCommentary[[#This Row],[Date]],tblCommentary[[#This Row],[Date]]))</f>
        <v/>
      </c>
      <c r="F1913" s="63">
        <f>IF(tblCommentary[[#This Row],[Date]]="","",tblCommentary[[#This Row],[Date]]&amp;"|"&amp;tblCommentary[[#This Row],[Seq_Day]])</f>
        <v/>
      </c>
    </row>
    <row r="1914">
      <c r="A1914" s="54" t="n"/>
      <c r="B1914" s="61" t="n"/>
      <c r="C1914" s="58" t="n"/>
      <c r="D1914" s="58" t="n"/>
      <c r="E1914" s="64">
        <f>IF(tblCommentary[[#This Row],[Date]]="","",COUNTIFS(INDEX(tblCommentary[Date],1):tblCommentary[[#This Row],[Date]],tblCommentary[[#This Row],[Date]]))</f>
        <v/>
      </c>
      <c r="F1914" s="63">
        <f>IF(tblCommentary[[#This Row],[Date]]="","",tblCommentary[[#This Row],[Date]]&amp;"|"&amp;tblCommentary[[#This Row],[Seq_Day]])</f>
        <v/>
      </c>
    </row>
    <row r="1915">
      <c r="A1915" s="54" t="n"/>
      <c r="B1915" s="61" t="n"/>
      <c r="C1915" s="58" t="n"/>
      <c r="D1915" s="58" t="n"/>
      <c r="E1915" s="64">
        <f>IF(tblCommentary[[#This Row],[Date]]="","",COUNTIFS(INDEX(tblCommentary[Date],1):tblCommentary[[#This Row],[Date]],tblCommentary[[#This Row],[Date]]))</f>
        <v/>
      </c>
      <c r="F1915" s="63">
        <f>IF(tblCommentary[[#This Row],[Date]]="","",tblCommentary[[#This Row],[Date]]&amp;"|"&amp;tblCommentary[[#This Row],[Seq_Day]])</f>
        <v/>
      </c>
    </row>
    <row r="1916">
      <c r="A1916" s="54" t="n"/>
      <c r="B1916" s="61" t="n"/>
      <c r="C1916" s="58" t="n"/>
      <c r="D1916" s="58" t="n"/>
      <c r="E1916" s="64">
        <f>IF(tblCommentary[[#This Row],[Date]]="","",COUNTIFS(INDEX(tblCommentary[Date],1):tblCommentary[[#This Row],[Date]],tblCommentary[[#This Row],[Date]]))</f>
        <v/>
      </c>
      <c r="F1916" s="63">
        <f>IF(tblCommentary[[#This Row],[Date]]="","",tblCommentary[[#This Row],[Date]]&amp;"|"&amp;tblCommentary[[#This Row],[Seq_Day]])</f>
        <v/>
      </c>
    </row>
    <row r="1917">
      <c r="A1917" s="54" t="n"/>
      <c r="B1917" s="61" t="n"/>
      <c r="C1917" s="58" t="n"/>
      <c r="D1917" s="58" t="n"/>
      <c r="E1917" s="64">
        <f>IF(tblCommentary[[#This Row],[Date]]="","",COUNTIFS(INDEX(tblCommentary[Date],1):tblCommentary[[#This Row],[Date]],tblCommentary[[#This Row],[Date]]))</f>
        <v/>
      </c>
      <c r="F1917" s="63">
        <f>IF(tblCommentary[[#This Row],[Date]]="","",tblCommentary[[#This Row],[Date]]&amp;"|"&amp;tblCommentary[[#This Row],[Seq_Day]])</f>
        <v/>
      </c>
    </row>
    <row r="1918">
      <c r="A1918" s="54" t="n"/>
      <c r="B1918" s="61" t="n"/>
      <c r="C1918" s="58" t="n"/>
      <c r="D1918" s="58" t="n"/>
      <c r="E1918" s="64">
        <f>IF(tblCommentary[[#This Row],[Date]]="","",COUNTIFS(INDEX(tblCommentary[Date],1):tblCommentary[[#This Row],[Date]],tblCommentary[[#This Row],[Date]]))</f>
        <v/>
      </c>
      <c r="F1918" s="63">
        <f>IF(tblCommentary[[#This Row],[Date]]="","",tblCommentary[[#This Row],[Date]]&amp;"|"&amp;tblCommentary[[#This Row],[Seq_Day]])</f>
        <v/>
      </c>
    </row>
    <row r="1919">
      <c r="A1919" s="54" t="n"/>
      <c r="B1919" s="61" t="n"/>
      <c r="C1919" s="58" t="n"/>
      <c r="D1919" s="58" t="n"/>
      <c r="E1919" s="64">
        <f>IF(tblCommentary[[#This Row],[Date]]="","",COUNTIFS(INDEX(tblCommentary[Date],1):tblCommentary[[#This Row],[Date]],tblCommentary[[#This Row],[Date]]))</f>
        <v/>
      </c>
      <c r="F1919" s="63">
        <f>IF(tblCommentary[[#This Row],[Date]]="","",tblCommentary[[#This Row],[Date]]&amp;"|"&amp;tblCommentary[[#This Row],[Seq_Day]])</f>
        <v/>
      </c>
    </row>
    <row r="1920">
      <c r="A1920" s="54" t="n"/>
      <c r="B1920" s="61" t="n"/>
      <c r="C1920" s="58" t="n"/>
      <c r="D1920" s="58" t="n"/>
      <c r="E1920" s="64">
        <f>IF(tblCommentary[[#This Row],[Date]]="","",COUNTIFS(INDEX(tblCommentary[Date],1):tblCommentary[[#This Row],[Date]],tblCommentary[[#This Row],[Date]]))</f>
        <v/>
      </c>
      <c r="F1920" s="63">
        <f>IF(tblCommentary[[#This Row],[Date]]="","",tblCommentary[[#This Row],[Date]]&amp;"|"&amp;tblCommentary[[#This Row],[Seq_Day]])</f>
        <v/>
      </c>
    </row>
    <row r="1921">
      <c r="A1921" s="54" t="n"/>
      <c r="B1921" s="61" t="n"/>
      <c r="C1921" s="58" t="n"/>
      <c r="D1921" s="58" t="n"/>
      <c r="E1921" s="64">
        <f>IF(tblCommentary[[#This Row],[Date]]="","",COUNTIFS(INDEX(tblCommentary[Date],1):tblCommentary[[#This Row],[Date]],tblCommentary[[#This Row],[Date]]))</f>
        <v/>
      </c>
      <c r="F1921" s="63">
        <f>IF(tblCommentary[[#This Row],[Date]]="","",tblCommentary[[#This Row],[Date]]&amp;"|"&amp;tblCommentary[[#This Row],[Seq_Day]])</f>
        <v/>
      </c>
    </row>
    <row r="1922">
      <c r="A1922" s="54" t="n"/>
      <c r="B1922" s="61" t="n"/>
      <c r="C1922" s="58" t="n"/>
      <c r="D1922" s="58" t="n"/>
      <c r="E1922" s="64">
        <f>IF(tblCommentary[[#This Row],[Date]]="","",COUNTIFS(INDEX(tblCommentary[Date],1):tblCommentary[[#This Row],[Date]],tblCommentary[[#This Row],[Date]]))</f>
        <v/>
      </c>
      <c r="F1922" s="63">
        <f>IF(tblCommentary[[#This Row],[Date]]="","",tblCommentary[[#This Row],[Date]]&amp;"|"&amp;tblCommentary[[#This Row],[Seq_Day]])</f>
        <v/>
      </c>
    </row>
    <row r="1923">
      <c r="A1923" s="54" t="n"/>
      <c r="B1923" s="61" t="n"/>
      <c r="C1923" s="58" t="n"/>
      <c r="D1923" s="58" t="n"/>
      <c r="E1923" s="64">
        <f>IF(tblCommentary[[#This Row],[Date]]="","",COUNTIFS(INDEX(tblCommentary[Date],1):tblCommentary[[#This Row],[Date]],tblCommentary[[#This Row],[Date]]))</f>
        <v/>
      </c>
      <c r="F1923" s="63">
        <f>IF(tblCommentary[[#This Row],[Date]]="","",tblCommentary[[#This Row],[Date]]&amp;"|"&amp;tblCommentary[[#This Row],[Seq_Day]])</f>
        <v/>
      </c>
    </row>
    <row r="1924">
      <c r="A1924" s="54" t="n"/>
      <c r="B1924" s="61" t="n"/>
      <c r="C1924" s="58" t="n"/>
      <c r="D1924" s="58" t="n"/>
      <c r="E1924" s="64">
        <f>IF(tblCommentary[[#This Row],[Date]]="","",COUNTIFS(INDEX(tblCommentary[Date],1):tblCommentary[[#This Row],[Date]],tblCommentary[[#This Row],[Date]]))</f>
        <v/>
      </c>
      <c r="F1924" s="63">
        <f>IF(tblCommentary[[#This Row],[Date]]="","",tblCommentary[[#This Row],[Date]]&amp;"|"&amp;tblCommentary[[#This Row],[Seq_Day]])</f>
        <v/>
      </c>
    </row>
    <row r="1925">
      <c r="A1925" s="54" t="n"/>
      <c r="B1925" s="61" t="n"/>
      <c r="C1925" s="58" t="n"/>
      <c r="D1925" s="58" t="n"/>
      <c r="E1925" s="64">
        <f>IF(tblCommentary[[#This Row],[Date]]="","",COUNTIFS(INDEX(tblCommentary[Date],1):tblCommentary[[#This Row],[Date]],tblCommentary[[#This Row],[Date]]))</f>
        <v/>
      </c>
      <c r="F1925" s="63">
        <f>IF(tblCommentary[[#This Row],[Date]]="","",tblCommentary[[#This Row],[Date]]&amp;"|"&amp;tblCommentary[[#This Row],[Seq_Day]])</f>
        <v/>
      </c>
    </row>
    <row r="1926">
      <c r="A1926" s="54" t="n"/>
      <c r="B1926" s="61" t="n"/>
      <c r="C1926" s="58" t="n"/>
      <c r="D1926" s="58" t="n"/>
      <c r="E1926" s="64">
        <f>IF(tblCommentary[[#This Row],[Date]]="","",COUNTIFS(INDEX(tblCommentary[Date],1):tblCommentary[[#This Row],[Date]],tblCommentary[[#This Row],[Date]]))</f>
        <v/>
      </c>
      <c r="F1926" s="63">
        <f>IF(tblCommentary[[#This Row],[Date]]="","",tblCommentary[[#This Row],[Date]]&amp;"|"&amp;tblCommentary[[#This Row],[Seq_Day]])</f>
        <v/>
      </c>
    </row>
    <row r="1927">
      <c r="A1927" s="54" t="n"/>
      <c r="B1927" s="61" t="n"/>
      <c r="C1927" s="58" t="n"/>
      <c r="D1927" s="58" t="n"/>
      <c r="E1927" s="64">
        <f>IF(tblCommentary[[#This Row],[Date]]="","",COUNTIFS(INDEX(tblCommentary[Date],1):tblCommentary[[#This Row],[Date]],tblCommentary[[#This Row],[Date]]))</f>
        <v/>
      </c>
      <c r="F1927" s="63">
        <f>IF(tblCommentary[[#This Row],[Date]]="","",tblCommentary[[#This Row],[Date]]&amp;"|"&amp;tblCommentary[[#This Row],[Seq_Day]])</f>
        <v/>
      </c>
    </row>
    <row r="1928">
      <c r="A1928" s="54" t="n"/>
      <c r="B1928" s="61" t="n"/>
      <c r="C1928" s="58" t="n"/>
      <c r="D1928" s="58" t="n"/>
      <c r="E1928" s="64">
        <f>IF(tblCommentary[[#This Row],[Date]]="","",COUNTIFS(INDEX(tblCommentary[Date],1):tblCommentary[[#This Row],[Date]],tblCommentary[[#This Row],[Date]]))</f>
        <v/>
      </c>
      <c r="F1928" s="63">
        <f>IF(tblCommentary[[#This Row],[Date]]="","",tblCommentary[[#This Row],[Date]]&amp;"|"&amp;tblCommentary[[#This Row],[Seq_Day]])</f>
        <v/>
      </c>
    </row>
    <row r="1929">
      <c r="A1929" s="54" t="n"/>
      <c r="B1929" s="61" t="n"/>
      <c r="C1929" s="58" t="n"/>
      <c r="D1929" s="58" t="n"/>
      <c r="E1929" s="64">
        <f>IF(tblCommentary[[#This Row],[Date]]="","",COUNTIFS(INDEX(tblCommentary[Date],1):tblCommentary[[#This Row],[Date]],tblCommentary[[#This Row],[Date]]))</f>
        <v/>
      </c>
      <c r="F1929" s="63">
        <f>IF(tblCommentary[[#This Row],[Date]]="","",tblCommentary[[#This Row],[Date]]&amp;"|"&amp;tblCommentary[[#This Row],[Seq_Day]])</f>
        <v/>
      </c>
    </row>
    <row r="1930">
      <c r="A1930" s="54" t="n"/>
      <c r="B1930" s="61" t="n"/>
      <c r="C1930" s="58" t="n"/>
      <c r="D1930" s="58" t="n"/>
      <c r="E1930" s="64">
        <f>IF(tblCommentary[[#This Row],[Date]]="","",COUNTIFS(INDEX(tblCommentary[Date],1):tblCommentary[[#This Row],[Date]],tblCommentary[[#This Row],[Date]]))</f>
        <v/>
      </c>
      <c r="F1930" s="63">
        <f>IF(tblCommentary[[#This Row],[Date]]="","",tblCommentary[[#This Row],[Date]]&amp;"|"&amp;tblCommentary[[#This Row],[Seq_Day]])</f>
        <v/>
      </c>
    </row>
    <row r="1931">
      <c r="A1931" s="54" t="n"/>
      <c r="B1931" s="61" t="n"/>
      <c r="C1931" s="58" t="n"/>
      <c r="D1931" s="58" t="n"/>
      <c r="E1931" s="64">
        <f>IF(tblCommentary[[#This Row],[Date]]="","",COUNTIFS(INDEX(tblCommentary[Date],1):tblCommentary[[#This Row],[Date]],tblCommentary[[#This Row],[Date]]))</f>
        <v/>
      </c>
      <c r="F1931" s="63">
        <f>IF(tblCommentary[[#This Row],[Date]]="","",tblCommentary[[#This Row],[Date]]&amp;"|"&amp;tblCommentary[[#This Row],[Seq_Day]])</f>
        <v/>
      </c>
    </row>
    <row r="1932">
      <c r="A1932" s="54" t="n"/>
      <c r="B1932" s="61" t="n"/>
      <c r="C1932" s="58" t="n"/>
      <c r="D1932" s="58" t="n"/>
      <c r="E1932" s="64">
        <f>IF(tblCommentary[[#This Row],[Date]]="","",COUNTIFS(INDEX(tblCommentary[Date],1):tblCommentary[[#This Row],[Date]],tblCommentary[[#This Row],[Date]]))</f>
        <v/>
      </c>
      <c r="F1932" s="63">
        <f>IF(tblCommentary[[#This Row],[Date]]="","",tblCommentary[[#This Row],[Date]]&amp;"|"&amp;tblCommentary[[#This Row],[Seq_Day]])</f>
        <v/>
      </c>
    </row>
    <row r="1933">
      <c r="A1933" s="54" t="n"/>
      <c r="B1933" s="61" t="n"/>
      <c r="C1933" s="58" t="n"/>
      <c r="D1933" s="58" t="n"/>
      <c r="E1933" s="64">
        <f>IF(tblCommentary[[#This Row],[Date]]="","",COUNTIFS(INDEX(tblCommentary[Date],1):tblCommentary[[#This Row],[Date]],tblCommentary[[#This Row],[Date]]))</f>
        <v/>
      </c>
      <c r="F1933" s="63">
        <f>IF(tblCommentary[[#This Row],[Date]]="","",tblCommentary[[#This Row],[Date]]&amp;"|"&amp;tblCommentary[[#This Row],[Seq_Day]])</f>
        <v/>
      </c>
    </row>
    <row r="1934">
      <c r="A1934" s="54" t="n"/>
      <c r="B1934" s="61" t="n"/>
      <c r="C1934" s="58" t="n"/>
      <c r="D1934" s="58" t="n"/>
      <c r="E1934" s="64">
        <f>IF(tblCommentary[[#This Row],[Date]]="","",COUNTIFS(INDEX(tblCommentary[Date],1):tblCommentary[[#This Row],[Date]],tblCommentary[[#This Row],[Date]]))</f>
        <v/>
      </c>
      <c r="F1934" s="63">
        <f>IF(tblCommentary[[#This Row],[Date]]="","",tblCommentary[[#This Row],[Date]]&amp;"|"&amp;tblCommentary[[#This Row],[Seq_Day]])</f>
        <v/>
      </c>
    </row>
    <row r="1935">
      <c r="A1935" s="54" t="n"/>
      <c r="B1935" s="61" t="n"/>
      <c r="C1935" s="58" t="n"/>
      <c r="D1935" s="58" t="n"/>
      <c r="E1935" s="64">
        <f>IF(tblCommentary[[#This Row],[Date]]="","",COUNTIFS(INDEX(tblCommentary[Date],1):tblCommentary[[#This Row],[Date]],tblCommentary[[#This Row],[Date]]))</f>
        <v/>
      </c>
      <c r="F1935" s="63">
        <f>IF(tblCommentary[[#This Row],[Date]]="","",tblCommentary[[#This Row],[Date]]&amp;"|"&amp;tblCommentary[[#This Row],[Seq_Day]])</f>
        <v/>
      </c>
    </row>
    <row r="1936">
      <c r="A1936" s="54" t="n"/>
      <c r="B1936" s="61" t="n"/>
      <c r="C1936" s="58" t="n"/>
      <c r="D1936" s="58" t="n"/>
      <c r="E1936" s="64">
        <f>IF(tblCommentary[[#This Row],[Date]]="","",COUNTIFS(INDEX(tblCommentary[Date],1):tblCommentary[[#This Row],[Date]],tblCommentary[[#This Row],[Date]]))</f>
        <v/>
      </c>
      <c r="F1936" s="63">
        <f>IF(tblCommentary[[#This Row],[Date]]="","",tblCommentary[[#This Row],[Date]]&amp;"|"&amp;tblCommentary[[#This Row],[Seq_Day]])</f>
        <v/>
      </c>
    </row>
    <row r="1937">
      <c r="A1937" s="54" t="n"/>
      <c r="B1937" s="61" t="n"/>
      <c r="C1937" s="58" t="n"/>
      <c r="D1937" s="58" t="n"/>
      <c r="E1937" s="64">
        <f>IF(tblCommentary[[#This Row],[Date]]="","",COUNTIFS(INDEX(tblCommentary[Date],1):tblCommentary[[#This Row],[Date]],tblCommentary[[#This Row],[Date]]))</f>
        <v/>
      </c>
      <c r="F1937" s="63">
        <f>IF(tblCommentary[[#This Row],[Date]]="","",tblCommentary[[#This Row],[Date]]&amp;"|"&amp;tblCommentary[[#This Row],[Seq_Day]])</f>
        <v/>
      </c>
    </row>
    <row r="1938">
      <c r="A1938" s="54" t="n"/>
      <c r="B1938" s="61" t="n"/>
      <c r="C1938" s="58" t="n"/>
      <c r="D1938" s="58" t="n"/>
      <c r="E1938" s="64">
        <f>IF(tblCommentary[[#This Row],[Date]]="","",COUNTIFS(INDEX(tblCommentary[Date],1):tblCommentary[[#This Row],[Date]],tblCommentary[[#This Row],[Date]]))</f>
        <v/>
      </c>
      <c r="F1938" s="63">
        <f>IF(tblCommentary[[#This Row],[Date]]="","",tblCommentary[[#This Row],[Date]]&amp;"|"&amp;tblCommentary[[#This Row],[Seq_Day]])</f>
        <v/>
      </c>
    </row>
    <row r="1939">
      <c r="A1939" s="54" t="n"/>
      <c r="B1939" s="61" t="n"/>
      <c r="C1939" s="58" t="n"/>
      <c r="D1939" s="58" t="n"/>
      <c r="E1939" s="64">
        <f>IF(tblCommentary[[#This Row],[Date]]="","",COUNTIFS(INDEX(tblCommentary[Date],1):tblCommentary[[#This Row],[Date]],tblCommentary[[#This Row],[Date]]))</f>
        <v/>
      </c>
      <c r="F1939" s="63">
        <f>IF(tblCommentary[[#This Row],[Date]]="","",tblCommentary[[#This Row],[Date]]&amp;"|"&amp;tblCommentary[[#This Row],[Seq_Day]])</f>
        <v/>
      </c>
    </row>
    <row r="1940">
      <c r="A1940" s="54" t="n"/>
      <c r="B1940" s="61" t="n"/>
      <c r="C1940" s="58" t="n"/>
      <c r="D1940" s="58" t="n"/>
      <c r="E1940" s="64">
        <f>IF(tblCommentary[[#This Row],[Date]]="","",COUNTIFS(INDEX(tblCommentary[Date],1):tblCommentary[[#This Row],[Date]],tblCommentary[[#This Row],[Date]]))</f>
        <v/>
      </c>
      <c r="F1940" s="63">
        <f>IF(tblCommentary[[#This Row],[Date]]="","",tblCommentary[[#This Row],[Date]]&amp;"|"&amp;tblCommentary[[#This Row],[Seq_Day]])</f>
        <v/>
      </c>
    </row>
    <row r="1941">
      <c r="A1941" s="54" t="n"/>
      <c r="B1941" s="61" t="n"/>
      <c r="C1941" s="58" t="n"/>
      <c r="D1941" s="58" t="n"/>
      <c r="E1941" s="64">
        <f>IF(tblCommentary[[#This Row],[Date]]="","",COUNTIFS(INDEX(tblCommentary[Date],1):tblCommentary[[#This Row],[Date]],tblCommentary[[#This Row],[Date]]))</f>
        <v/>
      </c>
      <c r="F1941" s="63">
        <f>IF(tblCommentary[[#This Row],[Date]]="","",tblCommentary[[#This Row],[Date]]&amp;"|"&amp;tblCommentary[[#This Row],[Seq_Day]])</f>
        <v/>
      </c>
    </row>
    <row r="1942">
      <c r="A1942" s="54" t="n"/>
      <c r="B1942" s="61" t="n"/>
      <c r="C1942" s="58" t="n"/>
      <c r="D1942" s="58" t="n"/>
      <c r="E1942" s="64">
        <f>IF(tblCommentary[[#This Row],[Date]]="","",COUNTIFS(INDEX(tblCommentary[Date],1):tblCommentary[[#This Row],[Date]],tblCommentary[[#This Row],[Date]]))</f>
        <v/>
      </c>
      <c r="F1942" s="63">
        <f>IF(tblCommentary[[#This Row],[Date]]="","",tblCommentary[[#This Row],[Date]]&amp;"|"&amp;tblCommentary[[#This Row],[Seq_Day]])</f>
        <v/>
      </c>
    </row>
    <row r="1943">
      <c r="A1943" s="54" t="n"/>
      <c r="B1943" s="61" t="n"/>
      <c r="C1943" s="58" t="n"/>
      <c r="D1943" s="58" t="n"/>
      <c r="E1943" s="64">
        <f>IF(tblCommentary[[#This Row],[Date]]="","",COUNTIFS(INDEX(tblCommentary[Date],1):tblCommentary[[#This Row],[Date]],tblCommentary[[#This Row],[Date]]))</f>
        <v/>
      </c>
      <c r="F1943" s="63">
        <f>IF(tblCommentary[[#This Row],[Date]]="","",tblCommentary[[#This Row],[Date]]&amp;"|"&amp;tblCommentary[[#This Row],[Seq_Day]])</f>
        <v/>
      </c>
    </row>
    <row r="1944">
      <c r="A1944" s="54" t="n"/>
      <c r="B1944" s="61" t="n"/>
      <c r="C1944" s="58" t="n"/>
      <c r="D1944" s="58" t="n"/>
      <c r="E1944" s="64">
        <f>IF(tblCommentary[[#This Row],[Date]]="","",COUNTIFS(INDEX(tblCommentary[Date],1):tblCommentary[[#This Row],[Date]],tblCommentary[[#This Row],[Date]]))</f>
        <v/>
      </c>
      <c r="F1944" s="63">
        <f>IF(tblCommentary[[#This Row],[Date]]="","",tblCommentary[[#This Row],[Date]]&amp;"|"&amp;tblCommentary[[#This Row],[Seq_Day]])</f>
        <v/>
      </c>
    </row>
    <row r="1945">
      <c r="A1945" s="54" t="n"/>
      <c r="B1945" s="61" t="n"/>
      <c r="C1945" s="58" t="n"/>
      <c r="D1945" s="58" t="n"/>
      <c r="E1945" s="64">
        <f>IF(tblCommentary[[#This Row],[Date]]="","",COUNTIFS(INDEX(tblCommentary[Date],1):tblCommentary[[#This Row],[Date]],tblCommentary[[#This Row],[Date]]))</f>
        <v/>
      </c>
      <c r="F1945" s="63">
        <f>IF(tblCommentary[[#This Row],[Date]]="","",tblCommentary[[#This Row],[Date]]&amp;"|"&amp;tblCommentary[[#This Row],[Seq_Day]])</f>
        <v/>
      </c>
    </row>
    <row r="1946">
      <c r="A1946" s="54" t="n"/>
      <c r="B1946" s="61" t="n"/>
      <c r="C1946" s="58" t="n"/>
      <c r="D1946" s="58" t="n"/>
      <c r="E1946" s="64">
        <f>IF(tblCommentary[[#This Row],[Date]]="","",COUNTIFS(INDEX(tblCommentary[Date],1):tblCommentary[[#This Row],[Date]],tblCommentary[[#This Row],[Date]]))</f>
        <v/>
      </c>
      <c r="F1946" s="63">
        <f>IF(tblCommentary[[#This Row],[Date]]="","",tblCommentary[[#This Row],[Date]]&amp;"|"&amp;tblCommentary[[#This Row],[Seq_Day]])</f>
        <v/>
      </c>
    </row>
    <row r="1947">
      <c r="A1947" s="54" t="n"/>
      <c r="B1947" s="61" t="n"/>
      <c r="C1947" s="58" t="n"/>
      <c r="D1947" s="58" t="n"/>
      <c r="E1947" s="64">
        <f>IF(tblCommentary[[#This Row],[Date]]="","",COUNTIFS(INDEX(tblCommentary[Date],1):tblCommentary[[#This Row],[Date]],tblCommentary[[#This Row],[Date]]))</f>
        <v/>
      </c>
      <c r="F1947" s="63">
        <f>IF(tblCommentary[[#This Row],[Date]]="","",tblCommentary[[#This Row],[Date]]&amp;"|"&amp;tblCommentary[[#This Row],[Seq_Day]])</f>
        <v/>
      </c>
    </row>
    <row r="1948">
      <c r="A1948" s="54" t="n"/>
      <c r="B1948" s="61" t="n"/>
      <c r="C1948" s="58" t="n"/>
      <c r="D1948" s="58" t="n"/>
      <c r="E1948" s="64">
        <f>IF(tblCommentary[[#This Row],[Date]]="","",COUNTIFS(INDEX(tblCommentary[Date],1):tblCommentary[[#This Row],[Date]],tblCommentary[[#This Row],[Date]]))</f>
        <v/>
      </c>
      <c r="F1948" s="63">
        <f>IF(tblCommentary[[#This Row],[Date]]="","",tblCommentary[[#This Row],[Date]]&amp;"|"&amp;tblCommentary[[#This Row],[Seq_Day]])</f>
        <v/>
      </c>
    </row>
    <row r="1949">
      <c r="A1949" s="54" t="n"/>
      <c r="B1949" s="61" t="n"/>
      <c r="C1949" s="58" t="n"/>
      <c r="D1949" s="58" t="n"/>
      <c r="E1949" s="64">
        <f>IF(tblCommentary[[#This Row],[Date]]="","",COUNTIFS(INDEX(tblCommentary[Date],1):tblCommentary[[#This Row],[Date]],tblCommentary[[#This Row],[Date]]))</f>
        <v/>
      </c>
      <c r="F1949" s="63">
        <f>IF(tblCommentary[[#This Row],[Date]]="","",tblCommentary[[#This Row],[Date]]&amp;"|"&amp;tblCommentary[[#This Row],[Seq_Day]])</f>
        <v/>
      </c>
    </row>
    <row r="1950">
      <c r="A1950" s="54" t="n"/>
      <c r="B1950" s="61" t="n"/>
      <c r="C1950" s="58" t="n"/>
      <c r="D1950" s="58" t="n"/>
      <c r="E1950" s="64">
        <f>IF(tblCommentary[[#This Row],[Date]]="","",COUNTIFS(INDEX(tblCommentary[Date],1):tblCommentary[[#This Row],[Date]],tblCommentary[[#This Row],[Date]]))</f>
        <v/>
      </c>
      <c r="F1950" s="63">
        <f>IF(tblCommentary[[#This Row],[Date]]="","",tblCommentary[[#This Row],[Date]]&amp;"|"&amp;tblCommentary[[#This Row],[Seq_Day]])</f>
        <v/>
      </c>
    </row>
    <row r="1951">
      <c r="A1951" s="54" t="n"/>
      <c r="B1951" s="61" t="n"/>
      <c r="C1951" s="58" t="n"/>
      <c r="D1951" s="58" t="n"/>
      <c r="E1951" s="64">
        <f>IF(tblCommentary[[#This Row],[Date]]="","",COUNTIFS(INDEX(tblCommentary[Date],1):tblCommentary[[#This Row],[Date]],tblCommentary[[#This Row],[Date]]))</f>
        <v/>
      </c>
      <c r="F1951" s="63">
        <f>IF(tblCommentary[[#This Row],[Date]]="","",tblCommentary[[#This Row],[Date]]&amp;"|"&amp;tblCommentary[[#This Row],[Seq_Day]])</f>
        <v/>
      </c>
    </row>
    <row r="1952">
      <c r="A1952" s="54" t="n"/>
      <c r="B1952" s="61" t="n"/>
      <c r="C1952" s="58" t="n"/>
      <c r="D1952" s="58" t="n"/>
      <c r="E1952" s="64">
        <f>IF(tblCommentary[[#This Row],[Date]]="","",COUNTIFS(INDEX(tblCommentary[Date],1):tblCommentary[[#This Row],[Date]],tblCommentary[[#This Row],[Date]]))</f>
        <v/>
      </c>
      <c r="F1952" s="63">
        <f>IF(tblCommentary[[#This Row],[Date]]="","",tblCommentary[[#This Row],[Date]]&amp;"|"&amp;tblCommentary[[#This Row],[Seq_Day]])</f>
        <v/>
      </c>
    </row>
    <row r="1953">
      <c r="A1953" s="54" t="n"/>
      <c r="B1953" s="61" t="n"/>
      <c r="C1953" s="58" t="n"/>
      <c r="D1953" s="58" t="n"/>
      <c r="E1953" s="64">
        <f>IF(tblCommentary[[#This Row],[Date]]="","",COUNTIFS(INDEX(tblCommentary[Date],1):tblCommentary[[#This Row],[Date]],tblCommentary[[#This Row],[Date]]))</f>
        <v/>
      </c>
      <c r="F1953" s="63">
        <f>IF(tblCommentary[[#This Row],[Date]]="","",tblCommentary[[#This Row],[Date]]&amp;"|"&amp;tblCommentary[[#This Row],[Seq_Day]])</f>
        <v/>
      </c>
    </row>
    <row r="1954">
      <c r="A1954" s="54" t="n"/>
      <c r="B1954" s="61" t="n"/>
      <c r="C1954" s="58" t="n"/>
      <c r="D1954" s="58" t="n"/>
      <c r="E1954" s="64">
        <f>IF(tblCommentary[[#This Row],[Date]]="","",COUNTIFS(INDEX(tblCommentary[Date],1):tblCommentary[[#This Row],[Date]],tblCommentary[[#This Row],[Date]]))</f>
        <v/>
      </c>
      <c r="F1954" s="63">
        <f>IF(tblCommentary[[#This Row],[Date]]="","",tblCommentary[[#This Row],[Date]]&amp;"|"&amp;tblCommentary[[#This Row],[Seq_Day]])</f>
        <v/>
      </c>
    </row>
    <row r="1955">
      <c r="A1955" s="54" t="n"/>
      <c r="B1955" s="61" t="n"/>
      <c r="C1955" s="58" t="n"/>
      <c r="D1955" s="58" t="n"/>
      <c r="E1955" s="64">
        <f>IF(tblCommentary[[#This Row],[Date]]="","",COUNTIFS(INDEX(tblCommentary[Date],1):tblCommentary[[#This Row],[Date]],tblCommentary[[#This Row],[Date]]))</f>
        <v/>
      </c>
      <c r="F1955" s="63">
        <f>IF(tblCommentary[[#This Row],[Date]]="","",tblCommentary[[#This Row],[Date]]&amp;"|"&amp;tblCommentary[[#This Row],[Seq_Day]])</f>
        <v/>
      </c>
    </row>
    <row r="1956">
      <c r="A1956" s="54" t="n"/>
      <c r="B1956" s="61" t="n"/>
      <c r="C1956" s="58" t="n"/>
      <c r="D1956" s="58" t="n"/>
      <c r="E1956" s="64">
        <f>IF(tblCommentary[[#This Row],[Date]]="","",COUNTIFS(INDEX(tblCommentary[Date],1):tblCommentary[[#This Row],[Date]],tblCommentary[[#This Row],[Date]]))</f>
        <v/>
      </c>
      <c r="F1956" s="63">
        <f>IF(tblCommentary[[#This Row],[Date]]="","",tblCommentary[[#This Row],[Date]]&amp;"|"&amp;tblCommentary[[#This Row],[Seq_Day]])</f>
        <v/>
      </c>
    </row>
    <row r="1957">
      <c r="A1957" s="54" t="n"/>
      <c r="B1957" s="61" t="n"/>
      <c r="C1957" s="58" t="n"/>
      <c r="D1957" s="58" t="n"/>
      <c r="E1957" s="64">
        <f>IF(tblCommentary[[#This Row],[Date]]="","",COUNTIFS(INDEX(tblCommentary[Date],1):tblCommentary[[#This Row],[Date]],tblCommentary[[#This Row],[Date]]))</f>
        <v/>
      </c>
      <c r="F1957" s="63">
        <f>IF(tblCommentary[[#This Row],[Date]]="","",tblCommentary[[#This Row],[Date]]&amp;"|"&amp;tblCommentary[[#This Row],[Seq_Day]])</f>
        <v/>
      </c>
    </row>
    <row r="1958">
      <c r="A1958" s="54" t="n"/>
      <c r="B1958" s="61" t="n"/>
      <c r="C1958" s="58" t="n"/>
      <c r="D1958" s="58" t="n"/>
      <c r="E1958" s="64">
        <f>IF(tblCommentary[[#This Row],[Date]]="","",COUNTIFS(INDEX(tblCommentary[Date],1):tblCommentary[[#This Row],[Date]],tblCommentary[[#This Row],[Date]]))</f>
        <v/>
      </c>
      <c r="F1958" s="63">
        <f>IF(tblCommentary[[#This Row],[Date]]="","",tblCommentary[[#This Row],[Date]]&amp;"|"&amp;tblCommentary[[#This Row],[Seq_Day]])</f>
        <v/>
      </c>
    </row>
    <row r="1959">
      <c r="A1959" s="54" t="n"/>
      <c r="B1959" s="61" t="n"/>
      <c r="C1959" s="58" t="n"/>
      <c r="D1959" s="58" t="n"/>
      <c r="E1959" s="64">
        <f>IF(tblCommentary[[#This Row],[Date]]="","",COUNTIFS(INDEX(tblCommentary[Date],1):tblCommentary[[#This Row],[Date]],tblCommentary[[#This Row],[Date]]))</f>
        <v/>
      </c>
      <c r="F1959" s="63">
        <f>IF(tblCommentary[[#This Row],[Date]]="","",tblCommentary[[#This Row],[Date]]&amp;"|"&amp;tblCommentary[[#This Row],[Seq_Day]])</f>
        <v/>
      </c>
    </row>
    <row r="1960">
      <c r="A1960" s="54" t="n"/>
      <c r="B1960" s="61" t="n"/>
      <c r="C1960" s="58" t="n"/>
      <c r="D1960" s="58" t="n"/>
      <c r="E1960" s="64">
        <f>IF(tblCommentary[[#This Row],[Date]]="","",COUNTIFS(INDEX(tblCommentary[Date],1):tblCommentary[[#This Row],[Date]],tblCommentary[[#This Row],[Date]]))</f>
        <v/>
      </c>
      <c r="F1960" s="63">
        <f>IF(tblCommentary[[#This Row],[Date]]="","",tblCommentary[[#This Row],[Date]]&amp;"|"&amp;tblCommentary[[#This Row],[Seq_Day]])</f>
        <v/>
      </c>
    </row>
    <row r="1961">
      <c r="A1961" s="54" t="n"/>
      <c r="B1961" s="61" t="n"/>
      <c r="C1961" s="58" t="n"/>
      <c r="D1961" s="58" t="n"/>
      <c r="E1961" s="64">
        <f>IF(tblCommentary[[#This Row],[Date]]="","",COUNTIFS(INDEX(tblCommentary[Date],1):tblCommentary[[#This Row],[Date]],tblCommentary[[#This Row],[Date]]))</f>
        <v/>
      </c>
      <c r="F1961" s="63">
        <f>IF(tblCommentary[[#This Row],[Date]]="","",tblCommentary[[#This Row],[Date]]&amp;"|"&amp;tblCommentary[[#This Row],[Seq_Day]])</f>
        <v/>
      </c>
    </row>
    <row r="1962">
      <c r="A1962" s="54" t="n"/>
      <c r="B1962" s="61" t="n"/>
      <c r="C1962" s="58" t="n"/>
      <c r="D1962" s="58" t="n"/>
      <c r="E1962" s="64">
        <f>IF(tblCommentary[[#This Row],[Date]]="","",COUNTIFS(INDEX(tblCommentary[Date],1):tblCommentary[[#This Row],[Date]],tblCommentary[[#This Row],[Date]]))</f>
        <v/>
      </c>
      <c r="F1962" s="63">
        <f>IF(tblCommentary[[#This Row],[Date]]="","",tblCommentary[[#This Row],[Date]]&amp;"|"&amp;tblCommentary[[#This Row],[Seq_Day]])</f>
        <v/>
      </c>
    </row>
    <row r="1963">
      <c r="A1963" s="54" t="n"/>
      <c r="B1963" s="61" t="n"/>
      <c r="C1963" s="58" t="n"/>
      <c r="D1963" s="58" t="n"/>
      <c r="E1963" s="64">
        <f>IF(tblCommentary[[#This Row],[Date]]="","",COUNTIFS(INDEX(tblCommentary[Date],1):tblCommentary[[#This Row],[Date]],tblCommentary[[#This Row],[Date]]))</f>
        <v/>
      </c>
      <c r="F1963" s="63">
        <f>IF(tblCommentary[[#This Row],[Date]]="","",tblCommentary[[#This Row],[Date]]&amp;"|"&amp;tblCommentary[[#This Row],[Seq_Day]])</f>
        <v/>
      </c>
    </row>
    <row r="1964">
      <c r="A1964" s="54" t="n"/>
      <c r="B1964" s="61" t="n"/>
      <c r="C1964" s="58" t="n"/>
      <c r="D1964" s="58" t="n"/>
      <c r="E1964" s="64">
        <f>IF(tblCommentary[[#This Row],[Date]]="","",COUNTIFS(INDEX(tblCommentary[Date],1):tblCommentary[[#This Row],[Date]],tblCommentary[[#This Row],[Date]]))</f>
        <v/>
      </c>
      <c r="F1964" s="63">
        <f>IF(tblCommentary[[#This Row],[Date]]="","",tblCommentary[[#This Row],[Date]]&amp;"|"&amp;tblCommentary[[#This Row],[Seq_Day]])</f>
        <v/>
      </c>
    </row>
    <row r="1965">
      <c r="A1965" s="54" t="n"/>
      <c r="B1965" s="61" t="n"/>
      <c r="C1965" s="58" t="n"/>
      <c r="D1965" s="58" t="n"/>
      <c r="E1965" s="64">
        <f>IF(tblCommentary[[#This Row],[Date]]="","",COUNTIFS(INDEX(tblCommentary[Date],1):tblCommentary[[#This Row],[Date]],tblCommentary[[#This Row],[Date]]))</f>
        <v/>
      </c>
      <c r="F1965" s="63">
        <f>IF(tblCommentary[[#This Row],[Date]]="","",tblCommentary[[#This Row],[Date]]&amp;"|"&amp;tblCommentary[[#This Row],[Seq_Day]])</f>
        <v/>
      </c>
    </row>
    <row r="1966">
      <c r="A1966" s="54" t="n"/>
      <c r="B1966" s="61" t="n"/>
      <c r="C1966" s="58" t="n"/>
      <c r="D1966" s="58" t="n"/>
      <c r="E1966" s="64">
        <f>IF(tblCommentary[[#This Row],[Date]]="","",COUNTIFS(INDEX(tblCommentary[Date],1):tblCommentary[[#This Row],[Date]],tblCommentary[[#This Row],[Date]]))</f>
        <v/>
      </c>
      <c r="F1966" s="63">
        <f>IF(tblCommentary[[#This Row],[Date]]="","",tblCommentary[[#This Row],[Date]]&amp;"|"&amp;tblCommentary[[#This Row],[Seq_Day]])</f>
        <v/>
      </c>
    </row>
    <row r="1967">
      <c r="A1967" s="54" t="n"/>
      <c r="B1967" s="61" t="n"/>
      <c r="C1967" s="58" t="n"/>
      <c r="D1967" s="58" t="n"/>
      <c r="E1967" s="64">
        <f>IF(tblCommentary[[#This Row],[Date]]="","",COUNTIFS(INDEX(tblCommentary[Date],1):tblCommentary[[#This Row],[Date]],tblCommentary[[#This Row],[Date]]))</f>
        <v/>
      </c>
      <c r="F1967" s="63">
        <f>IF(tblCommentary[[#This Row],[Date]]="","",tblCommentary[[#This Row],[Date]]&amp;"|"&amp;tblCommentary[[#This Row],[Seq_Day]])</f>
        <v/>
      </c>
    </row>
    <row r="1968">
      <c r="A1968" s="54" t="n"/>
      <c r="B1968" s="61" t="n"/>
      <c r="C1968" s="58" t="n"/>
      <c r="D1968" s="58" t="n"/>
      <c r="E1968" s="64">
        <f>IF(tblCommentary[[#This Row],[Date]]="","",COUNTIFS(INDEX(tblCommentary[Date],1):tblCommentary[[#This Row],[Date]],tblCommentary[[#This Row],[Date]]))</f>
        <v/>
      </c>
      <c r="F1968" s="63">
        <f>IF(tblCommentary[[#This Row],[Date]]="","",tblCommentary[[#This Row],[Date]]&amp;"|"&amp;tblCommentary[[#This Row],[Seq_Day]])</f>
        <v/>
      </c>
    </row>
    <row r="1969">
      <c r="A1969" s="54" t="n"/>
      <c r="B1969" s="61" t="n"/>
      <c r="C1969" s="58" t="n"/>
      <c r="D1969" s="58" t="n"/>
      <c r="E1969" s="64">
        <f>IF(tblCommentary[[#This Row],[Date]]="","",COUNTIFS(INDEX(tblCommentary[Date],1):tblCommentary[[#This Row],[Date]],tblCommentary[[#This Row],[Date]]))</f>
        <v/>
      </c>
      <c r="F1969" s="63">
        <f>IF(tblCommentary[[#This Row],[Date]]="","",tblCommentary[[#This Row],[Date]]&amp;"|"&amp;tblCommentary[[#This Row],[Seq_Day]])</f>
        <v/>
      </c>
    </row>
    <row r="1970">
      <c r="A1970" s="54" t="n"/>
      <c r="B1970" s="61" t="n"/>
      <c r="C1970" s="58" t="n"/>
      <c r="D1970" s="58" t="n"/>
      <c r="E1970" s="64">
        <f>IF(tblCommentary[[#This Row],[Date]]="","",COUNTIFS(INDEX(tblCommentary[Date],1):tblCommentary[[#This Row],[Date]],tblCommentary[[#This Row],[Date]]))</f>
        <v/>
      </c>
      <c r="F1970" s="63">
        <f>IF(tblCommentary[[#This Row],[Date]]="","",tblCommentary[[#This Row],[Date]]&amp;"|"&amp;tblCommentary[[#This Row],[Seq_Day]])</f>
        <v/>
      </c>
    </row>
    <row r="1971">
      <c r="A1971" s="54" t="n"/>
      <c r="B1971" s="61" t="n"/>
      <c r="C1971" s="58" t="n"/>
      <c r="D1971" s="58" t="n"/>
      <c r="E1971" s="64">
        <f>IF(tblCommentary[[#This Row],[Date]]="","",COUNTIFS(INDEX(tblCommentary[Date],1):tblCommentary[[#This Row],[Date]],tblCommentary[[#This Row],[Date]]))</f>
        <v/>
      </c>
      <c r="F1971" s="63">
        <f>IF(tblCommentary[[#This Row],[Date]]="","",tblCommentary[[#This Row],[Date]]&amp;"|"&amp;tblCommentary[[#This Row],[Seq_Day]])</f>
        <v/>
      </c>
    </row>
    <row r="1972">
      <c r="A1972" s="54" t="n"/>
      <c r="B1972" s="61" t="n"/>
      <c r="C1972" s="58" t="n"/>
      <c r="D1972" s="58" t="n"/>
      <c r="E1972" s="64">
        <f>IF(tblCommentary[[#This Row],[Date]]="","",COUNTIFS(INDEX(tblCommentary[Date],1):tblCommentary[[#This Row],[Date]],tblCommentary[[#This Row],[Date]]))</f>
        <v/>
      </c>
      <c r="F1972" s="63">
        <f>IF(tblCommentary[[#This Row],[Date]]="","",tblCommentary[[#This Row],[Date]]&amp;"|"&amp;tblCommentary[[#This Row],[Seq_Day]])</f>
        <v/>
      </c>
    </row>
    <row r="1973">
      <c r="A1973" s="54" t="n"/>
      <c r="B1973" s="61" t="n"/>
      <c r="C1973" s="58" t="n"/>
      <c r="D1973" s="58" t="n"/>
      <c r="E1973" s="64">
        <f>IF(tblCommentary[[#This Row],[Date]]="","",COUNTIFS(INDEX(tblCommentary[Date],1):tblCommentary[[#This Row],[Date]],tblCommentary[[#This Row],[Date]]))</f>
        <v/>
      </c>
      <c r="F1973" s="63">
        <f>IF(tblCommentary[[#This Row],[Date]]="","",tblCommentary[[#This Row],[Date]]&amp;"|"&amp;tblCommentary[[#This Row],[Seq_Day]])</f>
        <v/>
      </c>
    </row>
    <row r="1974">
      <c r="A1974" s="54" t="n"/>
      <c r="B1974" s="61" t="n"/>
      <c r="C1974" s="58" t="n"/>
      <c r="D1974" s="58" t="n"/>
      <c r="E1974" s="64">
        <f>IF(tblCommentary[[#This Row],[Date]]="","",COUNTIFS(INDEX(tblCommentary[Date],1):tblCommentary[[#This Row],[Date]],tblCommentary[[#This Row],[Date]]))</f>
        <v/>
      </c>
      <c r="F1974" s="63">
        <f>IF(tblCommentary[[#This Row],[Date]]="","",tblCommentary[[#This Row],[Date]]&amp;"|"&amp;tblCommentary[[#This Row],[Seq_Day]])</f>
        <v/>
      </c>
    </row>
    <row r="1975">
      <c r="A1975" s="54" t="n"/>
      <c r="B1975" s="61" t="n"/>
      <c r="C1975" s="58" t="n"/>
      <c r="D1975" s="58" t="n"/>
      <c r="E1975" s="64">
        <f>IF(tblCommentary[[#This Row],[Date]]="","",COUNTIFS(INDEX(tblCommentary[Date],1):tblCommentary[[#This Row],[Date]],tblCommentary[[#This Row],[Date]]))</f>
        <v/>
      </c>
      <c r="F1975" s="63">
        <f>IF(tblCommentary[[#This Row],[Date]]="","",tblCommentary[[#This Row],[Date]]&amp;"|"&amp;tblCommentary[[#This Row],[Seq_Day]])</f>
        <v/>
      </c>
    </row>
    <row r="1976">
      <c r="A1976" s="54" t="n"/>
      <c r="B1976" s="61" t="n"/>
      <c r="C1976" s="58" t="n"/>
      <c r="D1976" s="58" t="n"/>
      <c r="E1976" s="64">
        <f>IF(tblCommentary[[#This Row],[Date]]="","",COUNTIFS(INDEX(tblCommentary[Date],1):tblCommentary[[#This Row],[Date]],tblCommentary[[#This Row],[Date]]))</f>
        <v/>
      </c>
      <c r="F1976" s="63">
        <f>IF(tblCommentary[[#This Row],[Date]]="","",tblCommentary[[#This Row],[Date]]&amp;"|"&amp;tblCommentary[[#This Row],[Seq_Day]])</f>
        <v/>
      </c>
    </row>
    <row r="1977">
      <c r="A1977" s="54" t="n"/>
      <c r="B1977" s="61" t="n"/>
      <c r="C1977" s="58" t="n"/>
      <c r="D1977" s="58" t="n"/>
      <c r="E1977" s="64">
        <f>IF(tblCommentary[[#This Row],[Date]]="","",COUNTIFS(INDEX(tblCommentary[Date],1):tblCommentary[[#This Row],[Date]],tblCommentary[[#This Row],[Date]]))</f>
        <v/>
      </c>
      <c r="F1977" s="63">
        <f>IF(tblCommentary[[#This Row],[Date]]="","",tblCommentary[[#This Row],[Date]]&amp;"|"&amp;tblCommentary[[#This Row],[Seq_Day]])</f>
        <v/>
      </c>
    </row>
    <row r="1978">
      <c r="A1978" s="54" t="n"/>
      <c r="B1978" s="61" t="n"/>
      <c r="C1978" s="58" t="n"/>
      <c r="D1978" s="58" t="n"/>
      <c r="E1978" s="64">
        <f>IF(tblCommentary[[#This Row],[Date]]="","",COUNTIFS(INDEX(tblCommentary[Date],1):tblCommentary[[#This Row],[Date]],tblCommentary[[#This Row],[Date]]))</f>
        <v/>
      </c>
      <c r="F1978" s="63">
        <f>IF(tblCommentary[[#This Row],[Date]]="","",tblCommentary[[#This Row],[Date]]&amp;"|"&amp;tblCommentary[[#This Row],[Seq_Day]])</f>
        <v/>
      </c>
    </row>
    <row r="1979">
      <c r="A1979" s="54" t="n"/>
      <c r="B1979" s="61" t="n"/>
      <c r="C1979" s="58" t="n"/>
      <c r="D1979" s="58" t="n"/>
      <c r="E1979" s="64">
        <f>IF(tblCommentary[[#This Row],[Date]]="","",COUNTIFS(INDEX(tblCommentary[Date],1):tblCommentary[[#This Row],[Date]],tblCommentary[[#This Row],[Date]]))</f>
        <v/>
      </c>
      <c r="F1979" s="63">
        <f>IF(tblCommentary[[#This Row],[Date]]="","",tblCommentary[[#This Row],[Date]]&amp;"|"&amp;tblCommentary[[#This Row],[Seq_Day]])</f>
        <v/>
      </c>
    </row>
    <row r="1980">
      <c r="A1980" s="54" t="n"/>
      <c r="B1980" s="61" t="n"/>
      <c r="C1980" s="58" t="n"/>
      <c r="D1980" s="58" t="n"/>
      <c r="E1980" s="64">
        <f>IF(tblCommentary[[#This Row],[Date]]="","",COUNTIFS(INDEX(tblCommentary[Date],1):tblCommentary[[#This Row],[Date]],tblCommentary[[#This Row],[Date]]))</f>
        <v/>
      </c>
      <c r="F1980" s="63">
        <f>IF(tblCommentary[[#This Row],[Date]]="","",tblCommentary[[#This Row],[Date]]&amp;"|"&amp;tblCommentary[[#This Row],[Seq_Day]])</f>
        <v/>
      </c>
    </row>
    <row r="1981">
      <c r="A1981" s="54" t="n"/>
      <c r="B1981" s="61" t="n"/>
      <c r="C1981" s="58" t="n"/>
      <c r="D1981" s="58" t="n"/>
      <c r="E1981" s="64">
        <f>IF(tblCommentary[[#This Row],[Date]]="","",COUNTIFS(INDEX(tblCommentary[Date],1):tblCommentary[[#This Row],[Date]],tblCommentary[[#This Row],[Date]]))</f>
        <v/>
      </c>
      <c r="F1981" s="63">
        <f>IF(tblCommentary[[#This Row],[Date]]="","",tblCommentary[[#This Row],[Date]]&amp;"|"&amp;tblCommentary[[#This Row],[Seq_Day]])</f>
        <v/>
      </c>
    </row>
    <row r="1982">
      <c r="A1982" s="54" t="n"/>
      <c r="B1982" s="61" t="n"/>
      <c r="C1982" s="58" t="n"/>
      <c r="D1982" s="58" t="n"/>
      <c r="E1982" s="64">
        <f>IF(tblCommentary[[#This Row],[Date]]="","",COUNTIFS(INDEX(tblCommentary[Date],1):tblCommentary[[#This Row],[Date]],tblCommentary[[#This Row],[Date]]))</f>
        <v/>
      </c>
      <c r="F1982" s="63">
        <f>IF(tblCommentary[[#This Row],[Date]]="","",tblCommentary[[#This Row],[Date]]&amp;"|"&amp;tblCommentary[[#This Row],[Seq_Day]])</f>
        <v/>
      </c>
    </row>
    <row r="1983">
      <c r="A1983" s="54" t="n"/>
      <c r="B1983" s="61" t="n"/>
      <c r="C1983" s="58" t="n"/>
      <c r="D1983" s="58" t="n"/>
      <c r="E1983" s="64">
        <f>IF(tblCommentary[[#This Row],[Date]]="","",COUNTIFS(INDEX(tblCommentary[Date],1):tblCommentary[[#This Row],[Date]],tblCommentary[[#This Row],[Date]]))</f>
        <v/>
      </c>
      <c r="F1983" s="63">
        <f>IF(tblCommentary[[#This Row],[Date]]="","",tblCommentary[[#This Row],[Date]]&amp;"|"&amp;tblCommentary[[#This Row],[Seq_Day]])</f>
        <v/>
      </c>
    </row>
    <row r="1984">
      <c r="A1984" s="54" t="n"/>
      <c r="B1984" s="61" t="n"/>
      <c r="C1984" s="58" t="n"/>
      <c r="D1984" s="58" t="n"/>
      <c r="E1984" s="64">
        <f>IF(tblCommentary[[#This Row],[Date]]="","",COUNTIFS(INDEX(tblCommentary[Date],1):tblCommentary[[#This Row],[Date]],tblCommentary[[#This Row],[Date]]))</f>
        <v/>
      </c>
      <c r="F1984" s="63">
        <f>IF(tblCommentary[[#This Row],[Date]]="","",tblCommentary[[#This Row],[Date]]&amp;"|"&amp;tblCommentary[[#This Row],[Seq_Day]])</f>
        <v/>
      </c>
    </row>
    <row r="1985">
      <c r="A1985" s="54" t="n"/>
      <c r="B1985" s="61" t="n"/>
      <c r="C1985" s="58" t="n"/>
      <c r="D1985" s="58" t="n"/>
      <c r="E1985" s="64">
        <f>IF(tblCommentary[[#This Row],[Date]]="","",COUNTIFS(INDEX(tblCommentary[Date],1):tblCommentary[[#This Row],[Date]],tblCommentary[[#This Row],[Date]]))</f>
        <v/>
      </c>
      <c r="F1985" s="63">
        <f>IF(tblCommentary[[#This Row],[Date]]="","",tblCommentary[[#This Row],[Date]]&amp;"|"&amp;tblCommentary[[#This Row],[Seq_Day]])</f>
        <v/>
      </c>
    </row>
    <row r="1986">
      <c r="A1986" s="54" t="n"/>
      <c r="B1986" s="61" t="n"/>
      <c r="C1986" s="58" t="n"/>
      <c r="D1986" s="58" t="n"/>
      <c r="E1986" s="64">
        <f>IF(tblCommentary[[#This Row],[Date]]="","",COUNTIFS(INDEX(tblCommentary[Date],1):tblCommentary[[#This Row],[Date]],tblCommentary[[#This Row],[Date]]))</f>
        <v/>
      </c>
      <c r="F1986" s="63">
        <f>IF(tblCommentary[[#This Row],[Date]]="","",tblCommentary[[#This Row],[Date]]&amp;"|"&amp;tblCommentary[[#This Row],[Seq_Day]])</f>
        <v/>
      </c>
    </row>
    <row r="1987">
      <c r="A1987" s="54" t="n"/>
      <c r="B1987" s="61" t="n"/>
      <c r="C1987" s="58" t="n"/>
      <c r="D1987" s="58" t="n"/>
      <c r="E1987" s="64">
        <f>IF(tblCommentary[[#This Row],[Date]]="","",COUNTIFS(INDEX(tblCommentary[Date],1):tblCommentary[[#This Row],[Date]],tblCommentary[[#This Row],[Date]]))</f>
        <v/>
      </c>
      <c r="F1987" s="63">
        <f>IF(tblCommentary[[#This Row],[Date]]="","",tblCommentary[[#This Row],[Date]]&amp;"|"&amp;tblCommentary[[#This Row],[Seq_Day]])</f>
        <v/>
      </c>
    </row>
    <row r="1988">
      <c r="A1988" s="54" t="n"/>
      <c r="B1988" s="61" t="n"/>
      <c r="C1988" s="58" t="n"/>
      <c r="D1988" s="58" t="n"/>
      <c r="E1988" s="64">
        <f>IF(tblCommentary[[#This Row],[Date]]="","",COUNTIFS(INDEX(tblCommentary[Date],1):tblCommentary[[#This Row],[Date]],tblCommentary[[#This Row],[Date]]))</f>
        <v/>
      </c>
      <c r="F1988" s="63">
        <f>IF(tblCommentary[[#This Row],[Date]]="","",tblCommentary[[#This Row],[Date]]&amp;"|"&amp;tblCommentary[[#This Row],[Seq_Day]])</f>
        <v/>
      </c>
    </row>
    <row r="1989">
      <c r="A1989" s="54" t="n"/>
      <c r="B1989" s="61" t="n"/>
      <c r="C1989" s="58" t="n"/>
      <c r="D1989" s="58" t="n"/>
      <c r="E1989" s="64">
        <f>IF(tblCommentary[[#This Row],[Date]]="","",COUNTIFS(INDEX(tblCommentary[Date],1):tblCommentary[[#This Row],[Date]],tblCommentary[[#This Row],[Date]]))</f>
        <v/>
      </c>
      <c r="F1989" s="63">
        <f>IF(tblCommentary[[#This Row],[Date]]="","",tblCommentary[[#This Row],[Date]]&amp;"|"&amp;tblCommentary[[#This Row],[Seq_Day]])</f>
        <v/>
      </c>
    </row>
    <row r="1990">
      <c r="A1990" s="54" t="n"/>
      <c r="B1990" s="61" t="n"/>
      <c r="C1990" s="58" t="n"/>
      <c r="D1990" s="58" t="n"/>
      <c r="E1990" s="64">
        <f>IF(tblCommentary[[#This Row],[Date]]="","",COUNTIFS(INDEX(tblCommentary[Date],1):tblCommentary[[#This Row],[Date]],tblCommentary[[#This Row],[Date]]))</f>
        <v/>
      </c>
      <c r="F1990" s="63">
        <f>IF(tblCommentary[[#This Row],[Date]]="","",tblCommentary[[#This Row],[Date]]&amp;"|"&amp;tblCommentary[[#This Row],[Seq_Day]])</f>
        <v/>
      </c>
    </row>
    <row r="1991">
      <c r="A1991" s="54" t="n"/>
      <c r="B1991" s="61" t="n"/>
      <c r="C1991" s="58" t="n"/>
      <c r="D1991" s="58" t="n"/>
      <c r="E1991" s="64">
        <f>IF(tblCommentary[[#This Row],[Date]]="","",COUNTIFS(INDEX(tblCommentary[Date],1):tblCommentary[[#This Row],[Date]],tblCommentary[[#This Row],[Date]]))</f>
        <v/>
      </c>
      <c r="F1991" s="63">
        <f>IF(tblCommentary[[#This Row],[Date]]="","",tblCommentary[[#This Row],[Date]]&amp;"|"&amp;tblCommentary[[#This Row],[Seq_Day]])</f>
        <v/>
      </c>
    </row>
    <row r="1992">
      <c r="A1992" s="54" t="n"/>
      <c r="B1992" s="61" t="n"/>
      <c r="C1992" s="58" t="n"/>
      <c r="D1992" s="58" t="n"/>
      <c r="E1992" s="64">
        <f>IF(tblCommentary[[#This Row],[Date]]="","",COUNTIFS(INDEX(tblCommentary[Date],1):tblCommentary[[#This Row],[Date]],tblCommentary[[#This Row],[Date]]))</f>
        <v/>
      </c>
      <c r="F1992" s="63">
        <f>IF(tblCommentary[[#This Row],[Date]]="","",tblCommentary[[#This Row],[Date]]&amp;"|"&amp;tblCommentary[[#This Row],[Seq_Day]])</f>
        <v/>
      </c>
    </row>
    <row r="1993">
      <c r="A1993" s="54" t="n"/>
      <c r="B1993" s="61" t="n"/>
      <c r="C1993" s="58" t="n"/>
      <c r="D1993" s="58" t="n"/>
      <c r="E1993" s="64">
        <f>IF(tblCommentary[[#This Row],[Date]]="","",COUNTIFS(INDEX(tblCommentary[Date],1):tblCommentary[[#This Row],[Date]],tblCommentary[[#This Row],[Date]]))</f>
        <v/>
      </c>
      <c r="F1993" s="63">
        <f>IF(tblCommentary[[#This Row],[Date]]="","",tblCommentary[[#This Row],[Date]]&amp;"|"&amp;tblCommentary[[#This Row],[Seq_Day]])</f>
        <v/>
      </c>
    </row>
    <row r="1994">
      <c r="A1994" s="54" t="n"/>
      <c r="B1994" s="61" t="n"/>
      <c r="C1994" s="58" t="n"/>
      <c r="D1994" s="58" t="n"/>
      <c r="E1994" s="64">
        <f>IF(tblCommentary[[#This Row],[Date]]="","",COUNTIFS(INDEX(tblCommentary[Date],1):tblCommentary[[#This Row],[Date]],tblCommentary[[#This Row],[Date]]))</f>
        <v/>
      </c>
      <c r="F1994" s="63">
        <f>IF(tblCommentary[[#This Row],[Date]]="","",tblCommentary[[#This Row],[Date]]&amp;"|"&amp;tblCommentary[[#This Row],[Seq_Day]])</f>
        <v/>
      </c>
    </row>
    <row r="1995">
      <c r="A1995" s="54" t="n"/>
      <c r="B1995" s="61" t="n"/>
      <c r="C1995" s="58" t="n"/>
      <c r="D1995" s="58" t="n"/>
      <c r="E1995" s="64">
        <f>IF(tblCommentary[[#This Row],[Date]]="","",COUNTIFS(INDEX(tblCommentary[Date],1):tblCommentary[[#This Row],[Date]],tblCommentary[[#This Row],[Date]]))</f>
        <v/>
      </c>
      <c r="F1995" s="63">
        <f>IF(tblCommentary[[#This Row],[Date]]="","",tblCommentary[[#This Row],[Date]]&amp;"|"&amp;tblCommentary[[#This Row],[Seq_Day]])</f>
        <v/>
      </c>
    </row>
    <row r="1996">
      <c r="A1996" s="54" t="n"/>
      <c r="B1996" s="61" t="n"/>
      <c r="C1996" s="58" t="n"/>
      <c r="D1996" s="58" t="n"/>
      <c r="E1996" s="64">
        <f>IF(tblCommentary[[#This Row],[Date]]="","",COUNTIFS(INDEX(tblCommentary[Date],1):tblCommentary[[#This Row],[Date]],tblCommentary[[#This Row],[Date]]))</f>
        <v/>
      </c>
      <c r="F1996" s="63">
        <f>IF(tblCommentary[[#This Row],[Date]]="","",tblCommentary[[#This Row],[Date]]&amp;"|"&amp;tblCommentary[[#This Row],[Seq_Day]])</f>
        <v/>
      </c>
    </row>
    <row r="1997">
      <c r="A1997" s="54" t="n"/>
      <c r="B1997" s="61" t="n"/>
      <c r="C1997" s="58" t="n"/>
      <c r="D1997" s="58" t="n"/>
      <c r="E1997" s="64">
        <f>IF(tblCommentary[[#This Row],[Date]]="","",COUNTIFS(INDEX(tblCommentary[Date],1):tblCommentary[[#This Row],[Date]],tblCommentary[[#This Row],[Date]]))</f>
        <v/>
      </c>
      <c r="F1997" s="63">
        <f>IF(tblCommentary[[#This Row],[Date]]="","",tblCommentary[[#This Row],[Date]]&amp;"|"&amp;tblCommentary[[#This Row],[Seq_Day]])</f>
        <v/>
      </c>
    </row>
    <row r="1998">
      <c r="A1998" s="54" t="n"/>
      <c r="B1998" s="61" t="n"/>
      <c r="C1998" s="58" t="n"/>
      <c r="D1998" s="58" t="n"/>
      <c r="E1998" s="64">
        <f>IF(tblCommentary[[#This Row],[Date]]="","",COUNTIFS(INDEX(tblCommentary[Date],1):tblCommentary[[#This Row],[Date]],tblCommentary[[#This Row],[Date]]))</f>
        <v/>
      </c>
      <c r="F1998" s="63">
        <f>IF(tblCommentary[[#This Row],[Date]]="","",tblCommentary[[#This Row],[Date]]&amp;"|"&amp;tblCommentary[[#This Row],[Seq_Day]])</f>
        <v/>
      </c>
    </row>
    <row r="1999">
      <c r="A1999" s="54" t="n"/>
      <c r="B1999" s="61" t="n"/>
      <c r="C1999" s="58" t="n"/>
      <c r="D1999" s="58" t="n"/>
      <c r="E1999" s="64">
        <f>IF(tblCommentary[[#This Row],[Date]]="","",COUNTIFS(INDEX(tblCommentary[Date],1):tblCommentary[[#This Row],[Date]],tblCommentary[[#This Row],[Date]]))</f>
        <v/>
      </c>
      <c r="F1999" s="63">
        <f>IF(tblCommentary[[#This Row],[Date]]="","",tblCommentary[[#This Row],[Date]]&amp;"|"&amp;tblCommentary[[#This Row],[Seq_Day]])</f>
        <v/>
      </c>
    </row>
    <row r="2000">
      <c r="A2000" s="54" t="n"/>
      <c r="B2000" s="61" t="n"/>
      <c r="C2000" s="58" t="n"/>
      <c r="D2000" s="58" t="n"/>
      <c r="E2000" s="64">
        <f>IF(tblCommentary[[#This Row],[Date]]="","",COUNTIFS(INDEX(tblCommentary[Date],1):tblCommentary[[#This Row],[Date]],tblCommentary[[#This Row],[Date]]))</f>
        <v/>
      </c>
      <c r="F2000" s="63">
        <f>IF(tblCommentary[[#This Row],[Date]]="","",tblCommentary[[#This Row],[Date]]&amp;"|"&amp;tblCommentary[[#This Row],[Seq_Day]])</f>
        <v/>
      </c>
    </row>
    <row r="2001">
      <c r="A2001" s="54" t="n"/>
      <c r="B2001" s="61" t="n"/>
      <c r="C2001" s="58" t="n"/>
      <c r="D2001" s="58" t="n"/>
      <c r="E2001" s="64">
        <f>IF(tblCommentary[[#This Row],[Date]]="","",COUNTIFS(INDEX(tblCommentary[Date],1):tblCommentary[[#This Row],[Date]],tblCommentary[[#This Row],[Date]]))</f>
        <v/>
      </c>
      <c r="F2001" s="63">
        <f>IF(tblCommentary[[#This Row],[Date]]="","",tblCommentary[[#This Row],[Date]]&amp;"|"&amp;tblCommentary[[#This Row],[Seq_Day]])</f>
        <v/>
      </c>
    </row>
    <row r="2002">
      <c r="A2002" s="54" t="n"/>
      <c r="B2002" s="61" t="n"/>
      <c r="C2002" s="58" t="n"/>
      <c r="D2002" s="58" t="n"/>
      <c r="E2002" s="64">
        <f>IF(tblCommentary[[#This Row],[Date]]="","",COUNTIFS(INDEX(tblCommentary[Date],1):tblCommentary[[#This Row],[Date]],tblCommentary[[#This Row],[Date]]))</f>
        <v/>
      </c>
      <c r="F2002" s="63">
        <f>IF(tblCommentary[[#This Row],[Date]]="","",tblCommentary[[#This Row],[Date]]&amp;"|"&amp;tblCommentary[[#This Row],[Seq_Day]])</f>
        <v/>
      </c>
    </row>
    <row r="2003">
      <c r="A2003" s="54" t="n"/>
      <c r="B2003" s="61" t="n"/>
      <c r="C2003" s="58" t="n"/>
      <c r="D2003" s="58" t="n"/>
      <c r="E2003" s="64">
        <f>IF(tblCommentary[[#This Row],[Date]]="","",COUNTIFS(INDEX(tblCommentary[Date],1):tblCommentary[[#This Row],[Date]],tblCommentary[[#This Row],[Date]]))</f>
        <v/>
      </c>
      <c r="F2003" s="63">
        <f>IF(tblCommentary[[#This Row],[Date]]="","",tblCommentary[[#This Row],[Date]]&amp;"|"&amp;tblCommentary[[#This Row],[Seq_Day]])</f>
        <v/>
      </c>
    </row>
    <row r="2004">
      <c r="A2004" s="54" t="n"/>
      <c r="B2004" s="61" t="n"/>
      <c r="C2004" s="58" t="n"/>
      <c r="D2004" s="58" t="n"/>
      <c r="E2004" s="64">
        <f>IF(tblCommentary[[#This Row],[Date]]="","",COUNTIFS(INDEX(tblCommentary[Date],1):tblCommentary[[#This Row],[Date]],tblCommentary[[#This Row],[Date]]))</f>
        <v/>
      </c>
      <c r="F2004" s="63">
        <f>IF(tblCommentary[[#This Row],[Date]]="","",tblCommentary[[#This Row],[Date]]&amp;"|"&amp;tblCommentary[[#This Row],[Seq_Day]])</f>
        <v/>
      </c>
    </row>
    <row r="2005">
      <c r="A2005" s="54" t="n"/>
      <c r="B2005" s="61" t="n"/>
      <c r="C2005" s="58" t="n"/>
      <c r="D2005" s="58" t="n"/>
      <c r="E2005" s="64">
        <f>IF(tblCommentary[[#This Row],[Date]]="","",COUNTIFS(INDEX(tblCommentary[Date],1):tblCommentary[[#This Row],[Date]],tblCommentary[[#This Row],[Date]]))</f>
        <v/>
      </c>
      <c r="F2005" s="63">
        <f>IF(tblCommentary[[#This Row],[Date]]="","",tblCommentary[[#This Row],[Date]]&amp;"|"&amp;tblCommentary[[#This Row],[Seq_Day]])</f>
        <v/>
      </c>
    </row>
    <row r="2006">
      <c r="A2006" s="54" t="n"/>
      <c r="B2006" s="61" t="n"/>
      <c r="C2006" s="58" t="n"/>
      <c r="D2006" s="58" t="n"/>
      <c r="E2006" s="64">
        <f>IF(tblCommentary[[#This Row],[Date]]="","",COUNTIFS(INDEX(tblCommentary[Date],1):tblCommentary[[#This Row],[Date]],tblCommentary[[#This Row],[Date]]))</f>
        <v/>
      </c>
      <c r="F2006" s="63">
        <f>IF(tblCommentary[[#This Row],[Date]]="","",tblCommentary[[#This Row],[Date]]&amp;"|"&amp;tblCommentary[[#This Row],[Seq_Day]])</f>
        <v/>
      </c>
    </row>
    <row r="2007">
      <c r="A2007" s="54" t="n"/>
      <c r="B2007" s="61" t="n"/>
      <c r="C2007" s="58" t="n"/>
      <c r="D2007" s="58" t="n"/>
      <c r="E2007" s="64">
        <f>IF(tblCommentary[[#This Row],[Date]]="","",COUNTIFS(INDEX(tblCommentary[Date],1):tblCommentary[[#This Row],[Date]],tblCommentary[[#This Row],[Date]]))</f>
        <v/>
      </c>
      <c r="F2007" s="63">
        <f>IF(tblCommentary[[#This Row],[Date]]="","",tblCommentary[[#This Row],[Date]]&amp;"|"&amp;tblCommentary[[#This Row],[Seq_Day]])</f>
        <v/>
      </c>
    </row>
    <row r="2008">
      <c r="A2008" s="54" t="n"/>
      <c r="B2008" s="61" t="n"/>
      <c r="C2008" s="58" t="n"/>
      <c r="D2008" s="58" t="n"/>
      <c r="E2008" s="64">
        <f>IF(tblCommentary[[#This Row],[Date]]="","",COUNTIFS(INDEX(tblCommentary[Date],1):tblCommentary[[#This Row],[Date]],tblCommentary[[#This Row],[Date]]))</f>
        <v/>
      </c>
      <c r="F2008" s="63">
        <f>IF(tblCommentary[[#This Row],[Date]]="","",tblCommentary[[#This Row],[Date]]&amp;"|"&amp;tblCommentary[[#This Row],[Seq_Day]])</f>
        <v/>
      </c>
    </row>
    <row r="2009">
      <c r="A2009" s="54" t="n"/>
      <c r="B2009" s="61" t="n"/>
      <c r="C2009" s="58" t="n"/>
      <c r="D2009" s="58" t="n"/>
      <c r="E2009" s="64">
        <f>IF(tblCommentary[[#This Row],[Date]]="","",COUNTIFS(INDEX(tblCommentary[Date],1):tblCommentary[[#This Row],[Date]],tblCommentary[[#This Row],[Date]]))</f>
        <v/>
      </c>
      <c r="F2009" s="63">
        <f>IF(tblCommentary[[#This Row],[Date]]="","",tblCommentary[[#This Row],[Date]]&amp;"|"&amp;tblCommentary[[#This Row],[Seq_Day]])</f>
        <v/>
      </c>
    </row>
    <row r="2010">
      <c r="A2010" s="54" t="n"/>
      <c r="B2010" s="61" t="n"/>
      <c r="C2010" s="58" t="n"/>
      <c r="D2010" s="58" t="n"/>
      <c r="E2010" s="64">
        <f>IF(tblCommentary[[#This Row],[Date]]="","",COUNTIFS(INDEX(tblCommentary[Date],1):tblCommentary[[#This Row],[Date]],tblCommentary[[#This Row],[Date]]))</f>
        <v/>
      </c>
      <c r="F2010" s="63">
        <f>IF(tblCommentary[[#This Row],[Date]]="","",tblCommentary[[#This Row],[Date]]&amp;"|"&amp;tblCommentary[[#This Row],[Seq_Day]])</f>
        <v/>
      </c>
    </row>
    <row r="2011">
      <c r="A2011" s="54" t="n"/>
      <c r="B2011" s="61" t="n"/>
      <c r="C2011" s="58" t="n"/>
      <c r="D2011" s="58" t="n"/>
      <c r="E2011" s="64">
        <f>IF(tblCommentary[[#This Row],[Date]]="","",COUNTIFS(INDEX(tblCommentary[Date],1):tblCommentary[[#This Row],[Date]],tblCommentary[[#This Row],[Date]]))</f>
        <v/>
      </c>
      <c r="F2011" s="63">
        <f>IF(tblCommentary[[#This Row],[Date]]="","",tblCommentary[[#This Row],[Date]]&amp;"|"&amp;tblCommentary[[#This Row],[Seq_Day]])</f>
        <v/>
      </c>
    </row>
    <row r="2012">
      <c r="A2012" s="54" t="n"/>
      <c r="B2012" s="61" t="n"/>
      <c r="C2012" s="58" t="n"/>
      <c r="D2012" s="58" t="n"/>
      <c r="E2012" s="64">
        <f>IF(tblCommentary[[#This Row],[Date]]="","",COUNTIFS(INDEX(tblCommentary[Date],1):tblCommentary[[#This Row],[Date]],tblCommentary[[#This Row],[Date]]))</f>
        <v/>
      </c>
      <c r="F2012" s="63">
        <f>IF(tblCommentary[[#This Row],[Date]]="","",tblCommentary[[#This Row],[Date]]&amp;"|"&amp;tblCommentary[[#This Row],[Seq_Day]])</f>
        <v/>
      </c>
    </row>
    <row r="2013">
      <c r="A2013" s="54" t="n"/>
      <c r="B2013" s="61" t="n"/>
      <c r="C2013" s="58" t="n"/>
      <c r="D2013" s="58" t="n"/>
      <c r="E2013" s="64">
        <f>IF(tblCommentary[[#This Row],[Date]]="","",COUNTIFS(INDEX(tblCommentary[Date],1):tblCommentary[[#This Row],[Date]],tblCommentary[[#This Row],[Date]]))</f>
        <v/>
      </c>
      <c r="F2013" s="63">
        <f>IF(tblCommentary[[#This Row],[Date]]="","",tblCommentary[[#This Row],[Date]]&amp;"|"&amp;tblCommentary[[#This Row],[Seq_Day]])</f>
        <v/>
      </c>
    </row>
    <row r="2014">
      <c r="A2014" s="54" t="n"/>
      <c r="B2014" s="61" t="n"/>
      <c r="C2014" s="58" t="n"/>
      <c r="D2014" s="58" t="n"/>
      <c r="E2014" s="64">
        <f>IF(tblCommentary[[#This Row],[Date]]="","",COUNTIFS(INDEX(tblCommentary[Date],1):tblCommentary[[#This Row],[Date]],tblCommentary[[#This Row],[Date]]))</f>
        <v/>
      </c>
      <c r="F2014" s="63">
        <f>IF(tblCommentary[[#This Row],[Date]]="","",tblCommentary[[#This Row],[Date]]&amp;"|"&amp;tblCommentary[[#This Row],[Seq_Day]])</f>
        <v/>
      </c>
    </row>
    <row r="2015">
      <c r="A2015" s="54" t="n"/>
      <c r="B2015" s="61" t="n"/>
      <c r="C2015" s="58" t="n"/>
      <c r="D2015" s="58" t="n"/>
      <c r="E2015" s="64">
        <f>IF(tblCommentary[[#This Row],[Date]]="","",COUNTIFS(INDEX(tblCommentary[Date],1):tblCommentary[[#This Row],[Date]],tblCommentary[[#This Row],[Date]]))</f>
        <v/>
      </c>
      <c r="F2015" s="63">
        <f>IF(tblCommentary[[#This Row],[Date]]="","",tblCommentary[[#This Row],[Date]]&amp;"|"&amp;tblCommentary[[#This Row],[Seq_Day]])</f>
        <v/>
      </c>
    </row>
    <row r="2016">
      <c r="A2016" s="54" t="n"/>
      <c r="B2016" s="61" t="n"/>
      <c r="C2016" s="58" t="n"/>
      <c r="D2016" s="58" t="n"/>
      <c r="E2016" s="64">
        <f>IF(tblCommentary[[#This Row],[Date]]="","",COUNTIFS(INDEX(tblCommentary[Date],1):tblCommentary[[#This Row],[Date]],tblCommentary[[#This Row],[Date]]))</f>
        <v/>
      </c>
      <c r="F2016" s="63">
        <f>IF(tblCommentary[[#This Row],[Date]]="","",tblCommentary[[#This Row],[Date]]&amp;"|"&amp;tblCommentary[[#This Row],[Seq_Day]])</f>
        <v/>
      </c>
    </row>
    <row r="2017">
      <c r="A2017" s="54" t="n"/>
      <c r="B2017" s="61" t="n"/>
      <c r="C2017" s="58" t="n"/>
      <c r="D2017" s="58" t="n"/>
      <c r="E2017" s="64">
        <f>IF(tblCommentary[[#This Row],[Date]]="","",COUNTIFS(INDEX(tblCommentary[Date],1):tblCommentary[[#This Row],[Date]],tblCommentary[[#This Row],[Date]]))</f>
        <v/>
      </c>
      <c r="F2017" s="63">
        <f>IF(tblCommentary[[#This Row],[Date]]="","",tblCommentary[[#This Row],[Date]]&amp;"|"&amp;tblCommentary[[#This Row],[Seq_Day]])</f>
        <v/>
      </c>
    </row>
    <row r="2018">
      <c r="A2018" s="54" t="n"/>
      <c r="B2018" s="61" t="n"/>
      <c r="C2018" s="58" t="n"/>
      <c r="D2018" s="58" t="n"/>
      <c r="E2018" s="64">
        <f>IF(tblCommentary[[#This Row],[Date]]="","",COUNTIFS(INDEX(tblCommentary[Date],1):tblCommentary[[#This Row],[Date]],tblCommentary[[#This Row],[Date]]))</f>
        <v/>
      </c>
      <c r="F2018" s="63">
        <f>IF(tblCommentary[[#This Row],[Date]]="","",tblCommentary[[#This Row],[Date]]&amp;"|"&amp;tblCommentary[[#This Row],[Seq_Day]])</f>
        <v/>
      </c>
    </row>
    <row r="2019">
      <c r="A2019" s="54" t="n"/>
      <c r="B2019" s="61" t="n"/>
      <c r="C2019" s="58" t="n"/>
      <c r="D2019" s="58" t="n"/>
      <c r="E2019" s="64">
        <f>IF(tblCommentary[[#This Row],[Date]]="","",COUNTIFS(INDEX(tblCommentary[Date],1):tblCommentary[[#This Row],[Date]],tblCommentary[[#This Row],[Date]]))</f>
        <v/>
      </c>
      <c r="F2019" s="63">
        <f>IF(tblCommentary[[#This Row],[Date]]="","",tblCommentary[[#This Row],[Date]]&amp;"|"&amp;tblCommentary[[#This Row],[Seq_Day]])</f>
        <v/>
      </c>
    </row>
    <row r="2020">
      <c r="A2020" s="54" t="n"/>
      <c r="B2020" s="61" t="n"/>
      <c r="C2020" s="58" t="n"/>
      <c r="D2020" s="58" t="n"/>
      <c r="E2020" s="64">
        <f>IF(tblCommentary[[#This Row],[Date]]="","",COUNTIFS(INDEX(tblCommentary[Date],1):tblCommentary[[#This Row],[Date]],tblCommentary[[#This Row],[Date]]))</f>
        <v/>
      </c>
      <c r="F2020" s="63">
        <f>IF(tblCommentary[[#This Row],[Date]]="","",tblCommentary[[#This Row],[Date]]&amp;"|"&amp;tblCommentary[[#This Row],[Seq_Day]])</f>
        <v/>
      </c>
    </row>
    <row r="2021">
      <c r="A2021" s="54" t="n"/>
      <c r="B2021" s="61" t="n"/>
      <c r="C2021" s="58" t="n"/>
      <c r="D2021" s="58" t="n"/>
      <c r="E2021" s="64">
        <f>IF(tblCommentary[[#This Row],[Date]]="","",COUNTIFS(INDEX(tblCommentary[Date],1):tblCommentary[[#This Row],[Date]],tblCommentary[[#This Row],[Date]]))</f>
        <v/>
      </c>
      <c r="F2021" s="63">
        <f>IF(tblCommentary[[#This Row],[Date]]="","",tblCommentary[[#This Row],[Date]]&amp;"|"&amp;tblCommentary[[#This Row],[Seq_Day]])</f>
        <v/>
      </c>
    </row>
    <row r="2022">
      <c r="A2022" s="54" t="n"/>
      <c r="B2022" s="61" t="n"/>
      <c r="C2022" s="58" t="n"/>
      <c r="D2022" s="58" t="n"/>
      <c r="E2022" s="64">
        <f>IF(tblCommentary[[#This Row],[Date]]="","",COUNTIFS(INDEX(tblCommentary[Date],1):tblCommentary[[#This Row],[Date]],tblCommentary[[#This Row],[Date]]))</f>
        <v/>
      </c>
      <c r="F2022" s="63">
        <f>IF(tblCommentary[[#This Row],[Date]]="","",tblCommentary[[#This Row],[Date]]&amp;"|"&amp;tblCommentary[[#This Row],[Seq_Day]])</f>
        <v/>
      </c>
    </row>
    <row r="2023">
      <c r="A2023" s="54" t="n"/>
      <c r="B2023" s="61" t="n"/>
      <c r="C2023" s="58" t="n"/>
      <c r="D2023" s="58" t="n"/>
      <c r="E2023" s="64">
        <f>IF(tblCommentary[[#This Row],[Date]]="","",COUNTIFS(INDEX(tblCommentary[Date],1):tblCommentary[[#This Row],[Date]],tblCommentary[[#This Row],[Date]]))</f>
        <v/>
      </c>
      <c r="F2023" s="63">
        <f>IF(tblCommentary[[#This Row],[Date]]="","",tblCommentary[[#This Row],[Date]]&amp;"|"&amp;tblCommentary[[#This Row],[Seq_Day]])</f>
        <v/>
      </c>
    </row>
    <row r="2024">
      <c r="A2024" s="54" t="n"/>
      <c r="B2024" s="61" t="n"/>
      <c r="C2024" s="58" t="n"/>
      <c r="D2024" s="58" t="n"/>
      <c r="E2024" s="64">
        <f>IF(tblCommentary[[#This Row],[Date]]="","",COUNTIFS(INDEX(tblCommentary[Date],1):tblCommentary[[#This Row],[Date]],tblCommentary[[#This Row],[Date]]))</f>
        <v/>
      </c>
      <c r="F2024" s="63">
        <f>IF(tblCommentary[[#This Row],[Date]]="","",tblCommentary[[#This Row],[Date]]&amp;"|"&amp;tblCommentary[[#This Row],[Seq_Day]])</f>
        <v/>
      </c>
    </row>
    <row r="2025">
      <c r="A2025" s="54" t="n"/>
      <c r="B2025" s="61" t="n"/>
      <c r="C2025" s="58" t="n"/>
      <c r="D2025" s="58" t="n"/>
      <c r="E2025" s="64">
        <f>IF(tblCommentary[[#This Row],[Date]]="","",COUNTIFS(INDEX(tblCommentary[Date],1):tblCommentary[[#This Row],[Date]],tblCommentary[[#This Row],[Date]]))</f>
        <v/>
      </c>
      <c r="F2025" s="63">
        <f>IF(tblCommentary[[#This Row],[Date]]="","",tblCommentary[[#This Row],[Date]]&amp;"|"&amp;tblCommentary[[#This Row],[Seq_Day]])</f>
        <v/>
      </c>
    </row>
    <row r="2026">
      <c r="A2026" s="54" t="n"/>
      <c r="B2026" s="61" t="n"/>
      <c r="C2026" s="58" t="n"/>
      <c r="D2026" s="58" t="n"/>
      <c r="E2026" s="64">
        <f>IF(tblCommentary[[#This Row],[Date]]="","",COUNTIFS(INDEX(tblCommentary[Date],1):tblCommentary[[#This Row],[Date]],tblCommentary[[#This Row],[Date]]))</f>
        <v/>
      </c>
      <c r="F2026" s="63">
        <f>IF(tblCommentary[[#This Row],[Date]]="","",tblCommentary[[#This Row],[Date]]&amp;"|"&amp;tblCommentary[[#This Row],[Seq_Day]])</f>
        <v/>
      </c>
    </row>
    <row r="2027">
      <c r="A2027" s="54" t="n"/>
      <c r="B2027" s="61" t="n"/>
      <c r="C2027" s="58" t="n"/>
      <c r="D2027" s="58" t="n"/>
      <c r="E2027" s="64">
        <f>IF(tblCommentary[[#This Row],[Date]]="","",COUNTIFS(INDEX(tblCommentary[Date],1):tblCommentary[[#This Row],[Date]],tblCommentary[[#This Row],[Date]]))</f>
        <v/>
      </c>
      <c r="F2027" s="63">
        <f>IF(tblCommentary[[#This Row],[Date]]="","",tblCommentary[[#This Row],[Date]]&amp;"|"&amp;tblCommentary[[#This Row],[Seq_Day]])</f>
        <v/>
      </c>
    </row>
    <row r="2028">
      <c r="A2028" s="54" t="n"/>
      <c r="B2028" s="61" t="n"/>
      <c r="C2028" s="58" t="n"/>
      <c r="D2028" s="58" t="n"/>
      <c r="E2028" s="64">
        <f>IF(tblCommentary[[#This Row],[Date]]="","",COUNTIFS(INDEX(tblCommentary[Date],1):tblCommentary[[#This Row],[Date]],tblCommentary[[#This Row],[Date]]))</f>
        <v/>
      </c>
      <c r="F2028" s="63">
        <f>IF(tblCommentary[[#This Row],[Date]]="","",tblCommentary[[#This Row],[Date]]&amp;"|"&amp;tblCommentary[[#This Row],[Seq_Day]])</f>
        <v/>
      </c>
    </row>
    <row r="2029">
      <c r="A2029" s="54" t="n"/>
      <c r="B2029" s="61" t="n"/>
      <c r="C2029" s="58" t="n"/>
      <c r="D2029" s="58" t="n"/>
      <c r="E2029" s="64">
        <f>IF(tblCommentary[[#This Row],[Date]]="","",COUNTIFS(INDEX(tblCommentary[Date],1):tblCommentary[[#This Row],[Date]],tblCommentary[[#This Row],[Date]]))</f>
        <v/>
      </c>
      <c r="F2029" s="63">
        <f>IF(tblCommentary[[#This Row],[Date]]="","",tblCommentary[[#This Row],[Date]]&amp;"|"&amp;tblCommentary[[#This Row],[Seq_Day]])</f>
        <v/>
      </c>
    </row>
    <row r="2030">
      <c r="A2030" s="54" t="n"/>
      <c r="B2030" s="61" t="n"/>
      <c r="C2030" s="58" t="n"/>
      <c r="D2030" s="58" t="n"/>
      <c r="E2030" s="64">
        <f>IF(tblCommentary[[#This Row],[Date]]="","",COUNTIFS(INDEX(tblCommentary[Date],1):tblCommentary[[#This Row],[Date]],tblCommentary[[#This Row],[Date]]))</f>
        <v/>
      </c>
      <c r="F2030" s="63">
        <f>IF(tblCommentary[[#This Row],[Date]]="","",tblCommentary[[#This Row],[Date]]&amp;"|"&amp;tblCommentary[[#This Row],[Seq_Day]])</f>
        <v/>
      </c>
    </row>
    <row r="2031">
      <c r="A2031" s="54" t="n"/>
      <c r="B2031" s="61" t="n"/>
      <c r="C2031" s="58" t="n"/>
      <c r="D2031" s="58" t="n"/>
      <c r="E2031" s="64">
        <f>IF(tblCommentary[[#This Row],[Date]]="","",COUNTIFS(INDEX(tblCommentary[Date],1):tblCommentary[[#This Row],[Date]],tblCommentary[[#This Row],[Date]]))</f>
        <v/>
      </c>
      <c r="F2031" s="63">
        <f>IF(tblCommentary[[#This Row],[Date]]="","",tblCommentary[[#This Row],[Date]]&amp;"|"&amp;tblCommentary[[#This Row],[Seq_Day]])</f>
        <v/>
      </c>
    </row>
    <row r="2032">
      <c r="A2032" s="54" t="n"/>
      <c r="B2032" s="61" t="n"/>
      <c r="C2032" s="58" t="n"/>
      <c r="D2032" s="58" t="n"/>
      <c r="E2032" s="64">
        <f>IF(tblCommentary[[#This Row],[Date]]="","",COUNTIFS(INDEX(tblCommentary[Date],1):tblCommentary[[#This Row],[Date]],tblCommentary[[#This Row],[Date]]))</f>
        <v/>
      </c>
      <c r="F2032" s="63">
        <f>IF(tblCommentary[[#This Row],[Date]]="","",tblCommentary[[#This Row],[Date]]&amp;"|"&amp;tblCommentary[[#This Row],[Seq_Day]])</f>
        <v/>
      </c>
    </row>
    <row r="2033">
      <c r="A2033" s="54" t="n"/>
      <c r="B2033" s="61" t="n"/>
      <c r="C2033" s="58" t="n"/>
      <c r="D2033" s="58" t="n"/>
      <c r="E2033" s="64">
        <f>IF(tblCommentary[[#This Row],[Date]]="","",COUNTIFS(INDEX(tblCommentary[Date],1):tblCommentary[[#This Row],[Date]],tblCommentary[[#This Row],[Date]]))</f>
        <v/>
      </c>
      <c r="F2033" s="63">
        <f>IF(tblCommentary[[#This Row],[Date]]="","",tblCommentary[[#This Row],[Date]]&amp;"|"&amp;tblCommentary[[#This Row],[Seq_Day]])</f>
        <v/>
      </c>
    </row>
    <row r="2034">
      <c r="A2034" s="54" t="n"/>
      <c r="B2034" s="61" t="n"/>
      <c r="C2034" s="58" t="n"/>
      <c r="D2034" s="58" t="n"/>
      <c r="E2034" s="64">
        <f>IF(tblCommentary[[#This Row],[Date]]="","",COUNTIFS(INDEX(tblCommentary[Date],1):tblCommentary[[#This Row],[Date]],tblCommentary[[#This Row],[Date]]))</f>
        <v/>
      </c>
      <c r="F2034" s="63">
        <f>IF(tblCommentary[[#This Row],[Date]]="","",tblCommentary[[#This Row],[Date]]&amp;"|"&amp;tblCommentary[[#This Row],[Seq_Day]])</f>
        <v/>
      </c>
    </row>
    <row r="2035">
      <c r="A2035" s="54" t="n"/>
      <c r="B2035" s="61" t="n"/>
      <c r="C2035" s="58" t="n"/>
      <c r="D2035" s="58" t="n"/>
      <c r="E2035" s="64">
        <f>IF(tblCommentary[[#This Row],[Date]]="","",COUNTIFS(INDEX(tblCommentary[Date],1):tblCommentary[[#This Row],[Date]],tblCommentary[[#This Row],[Date]]))</f>
        <v/>
      </c>
      <c r="F2035" s="63">
        <f>IF(tblCommentary[[#This Row],[Date]]="","",tblCommentary[[#This Row],[Date]]&amp;"|"&amp;tblCommentary[[#This Row],[Seq_Day]])</f>
        <v/>
      </c>
    </row>
    <row r="2036">
      <c r="A2036" s="54" t="n"/>
      <c r="B2036" s="61" t="n"/>
      <c r="C2036" s="58" t="n"/>
      <c r="D2036" s="58" t="n"/>
      <c r="E2036" s="64">
        <f>IF(tblCommentary[[#This Row],[Date]]="","",COUNTIFS(INDEX(tblCommentary[Date],1):tblCommentary[[#This Row],[Date]],tblCommentary[[#This Row],[Date]]))</f>
        <v/>
      </c>
      <c r="F2036" s="63">
        <f>IF(tblCommentary[[#This Row],[Date]]="","",tblCommentary[[#This Row],[Date]]&amp;"|"&amp;tblCommentary[[#This Row],[Seq_Day]])</f>
        <v/>
      </c>
    </row>
    <row r="2037">
      <c r="A2037" s="54" t="n"/>
      <c r="B2037" s="61" t="n"/>
      <c r="C2037" s="58" t="n"/>
      <c r="D2037" s="58" t="n"/>
      <c r="E2037" s="64">
        <f>IF(tblCommentary[[#This Row],[Date]]="","",COUNTIFS(INDEX(tblCommentary[Date],1):tblCommentary[[#This Row],[Date]],tblCommentary[[#This Row],[Date]]))</f>
        <v/>
      </c>
      <c r="F2037" s="63">
        <f>IF(tblCommentary[[#This Row],[Date]]="","",tblCommentary[[#This Row],[Date]]&amp;"|"&amp;tblCommentary[[#This Row],[Seq_Day]])</f>
        <v/>
      </c>
    </row>
    <row r="2038">
      <c r="A2038" s="54" t="n"/>
      <c r="B2038" s="61" t="n"/>
      <c r="C2038" s="58" t="n"/>
      <c r="D2038" s="58" t="n"/>
      <c r="E2038" s="64">
        <f>IF(tblCommentary[[#This Row],[Date]]="","",COUNTIFS(INDEX(tblCommentary[Date],1):tblCommentary[[#This Row],[Date]],tblCommentary[[#This Row],[Date]]))</f>
        <v/>
      </c>
      <c r="F2038" s="63">
        <f>IF(tblCommentary[[#This Row],[Date]]="","",tblCommentary[[#This Row],[Date]]&amp;"|"&amp;tblCommentary[[#This Row],[Seq_Day]])</f>
        <v/>
      </c>
    </row>
    <row r="2039">
      <c r="A2039" s="54" t="n"/>
      <c r="B2039" s="61" t="n"/>
      <c r="C2039" s="58" t="n"/>
      <c r="D2039" s="58" t="n"/>
      <c r="E2039" s="64">
        <f>IF(tblCommentary[[#This Row],[Date]]="","",COUNTIFS(INDEX(tblCommentary[Date],1):tblCommentary[[#This Row],[Date]],tblCommentary[[#This Row],[Date]]))</f>
        <v/>
      </c>
      <c r="F2039" s="63">
        <f>IF(tblCommentary[[#This Row],[Date]]="","",tblCommentary[[#This Row],[Date]]&amp;"|"&amp;tblCommentary[[#This Row],[Seq_Day]])</f>
        <v/>
      </c>
    </row>
    <row r="2040">
      <c r="A2040" s="54" t="n"/>
      <c r="B2040" s="61" t="n"/>
      <c r="C2040" s="58" t="n"/>
      <c r="D2040" s="58" t="n"/>
      <c r="E2040" s="64">
        <f>IF(tblCommentary[[#This Row],[Date]]="","",COUNTIFS(INDEX(tblCommentary[Date],1):tblCommentary[[#This Row],[Date]],tblCommentary[[#This Row],[Date]]))</f>
        <v/>
      </c>
      <c r="F2040" s="63">
        <f>IF(tblCommentary[[#This Row],[Date]]="","",tblCommentary[[#This Row],[Date]]&amp;"|"&amp;tblCommentary[[#This Row],[Seq_Day]])</f>
        <v/>
      </c>
    </row>
    <row r="2041">
      <c r="A2041" s="54" t="n"/>
      <c r="B2041" s="61" t="n"/>
      <c r="C2041" s="58" t="n"/>
      <c r="D2041" s="58" t="n"/>
      <c r="E2041" s="64">
        <f>IF(tblCommentary[[#This Row],[Date]]="","",COUNTIFS(INDEX(tblCommentary[Date],1):tblCommentary[[#This Row],[Date]],tblCommentary[[#This Row],[Date]]))</f>
        <v/>
      </c>
      <c r="F2041" s="63">
        <f>IF(tblCommentary[[#This Row],[Date]]="","",tblCommentary[[#This Row],[Date]]&amp;"|"&amp;tblCommentary[[#This Row],[Seq_Day]])</f>
        <v/>
      </c>
    </row>
    <row r="2042">
      <c r="A2042" s="54" t="n"/>
      <c r="B2042" s="61" t="n"/>
      <c r="C2042" s="58" t="n"/>
      <c r="D2042" s="58" t="n"/>
      <c r="E2042" s="64">
        <f>IF(tblCommentary[[#This Row],[Date]]="","",COUNTIFS(INDEX(tblCommentary[Date],1):tblCommentary[[#This Row],[Date]],tblCommentary[[#This Row],[Date]]))</f>
        <v/>
      </c>
      <c r="F2042" s="63">
        <f>IF(tblCommentary[[#This Row],[Date]]="","",tblCommentary[[#This Row],[Date]]&amp;"|"&amp;tblCommentary[[#This Row],[Seq_Day]])</f>
        <v/>
      </c>
    </row>
    <row r="2043">
      <c r="A2043" s="54" t="n"/>
      <c r="B2043" s="61" t="n"/>
      <c r="C2043" s="58" t="n"/>
      <c r="D2043" s="58" t="n"/>
      <c r="E2043" s="64">
        <f>IF(tblCommentary[[#This Row],[Date]]="","",COUNTIFS(INDEX(tblCommentary[Date],1):tblCommentary[[#This Row],[Date]],tblCommentary[[#This Row],[Date]]))</f>
        <v/>
      </c>
      <c r="F2043" s="63">
        <f>IF(tblCommentary[[#This Row],[Date]]="","",tblCommentary[[#This Row],[Date]]&amp;"|"&amp;tblCommentary[[#This Row],[Seq_Day]])</f>
        <v/>
      </c>
    </row>
    <row r="2044">
      <c r="A2044" s="54" t="n"/>
      <c r="B2044" s="61" t="n"/>
      <c r="C2044" s="58" t="n"/>
      <c r="D2044" s="58" t="n"/>
      <c r="E2044" s="64">
        <f>IF(tblCommentary[[#This Row],[Date]]="","",COUNTIFS(INDEX(tblCommentary[Date],1):tblCommentary[[#This Row],[Date]],tblCommentary[[#This Row],[Date]]))</f>
        <v/>
      </c>
      <c r="F2044" s="63">
        <f>IF(tblCommentary[[#This Row],[Date]]="","",tblCommentary[[#This Row],[Date]]&amp;"|"&amp;tblCommentary[[#This Row],[Seq_Day]])</f>
        <v/>
      </c>
    </row>
    <row r="2045">
      <c r="A2045" s="54" t="n"/>
      <c r="B2045" s="61" t="n"/>
      <c r="C2045" s="58" t="n"/>
      <c r="D2045" s="58" t="n"/>
      <c r="E2045" s="64">
        <f>IF(tblCommentary[[#This Row],[Date]]="","",COUNTIFS(INDEX(tblCommentary[Date],1):tblCommentary[[#This Row],[Date]],tblCommentary[[#This Row],[Date]]))</f>
        <v/>
      </c>
      <c r="F2045" s="63">
        <f>IF(tblCommentary[[#This Row],[Date]]="","",tblCommentary[[#This Row],[Date]]&amp;"|"&amp;tblCommentary[[#This Row],[Seq_Day]])</f>
        <v/>
      </c>
    </row>
    <row r="2046">
      <c r="A2046" s="54" t="n"/>
      <c r="B2046" s="61" t="n"/>
      <c r="C2046" s="58" t="n"/>
      <c r="D2046" s="58" t="n"/>
      <c r="E2046" s="64">
        <f>IF(tblCommentary[[#This Row],[Date]]="","",COUNTIFS(INDEX(tblCommentary[Date],1):tblCommentary[[#This Row],[Date]],tblCommentary[[#This Row],[Date]]))</f>
        <v/>
      </c>
      <c r="F2046" s="63">
        <f>IF(tblCommentary[[#This Row],[Date]]="","",tblCommentary[[#This Row],[Date]]&amp;"|"&amp;tblCommentary[[#This Row],[Seq_Day]])</f>
        <v/>
      </c>
    </row>
    <row r="2047">
      <c r="A2047" s="54" t="n"/>
      <c r="B2047" s="61" t="n"/>
      <c r="C2047" s="58" t="n"/>
      <c r="D2047" s="58" t="n"/>
      <c r="E2047" s="64">
        <f>IF(tblCommentary[[#This Row],[Date]]="","",COUNTIFS(INDEX(tblCommentary[Date],1):tblCommentary[[#This Row],[Date]],tblCommentary[[#This Row],[Date]]))</f>
        <v/>
      </c>
      <c r="F2047" s="63">
        <f>IF(tblCommentary[[#This Row],[Date]]="","",tblCommentary[[#This Row],[Date]]&amp;"|"&amp;tblCommentary[[#This Row],[Seq_Day]])</f>
        <v/>
      </c>
    </row>
    <row r="2048">
      <c r="A2048" s="54" t="n"/>
      <c r="B2048" s="61" t="n"/>
      <c r="C2048" s="58" t="n"/>
      <c r="D2048" s="58" t="n"/>
      <c r="E2048" s="64">
        <f>IF(tblCommentary[[#This Row],[Date]]="","",COUNTIFS(INDEX(tblCommentary[Date],1):tblCommentary[[#This Row],[Date]],tblCommentary[[#This Row],[Date]]))</f>
        <v/>
      </c>
      <c r="F2048" s="63">
        <f>IF(tblCommentary[[#This Row],[Date]]="","",tblCommentary[[#This Row],[Date]]&amp;"|"&amp;tblCommentary[[#This Row],[Seq_Day]])</f>
        <v/>
      </c>
    </row>
    <row r="2049">
      <c r="A2049" s="54" t="n"/>
      <c r="B2049" s="61" t="n"/>
      <c r="C2049" s="58" t="n"/>
      <c r="D2049" s="58" t="n"/>
      <c r="E2049" s="64">
        <f>IF(tblCommentary[[#This Row],[Date]]="","",COUNTIFS(INDEX(tblCommentary[Date],1):tblCommentary[[#This Row],[Date]],tblCommentary[[#This Row],[Date]]))</f>
        <v/>
      </c>
      <c r="F2049" s="63">
        <f>IF(tblCommentary[[#This Row],[Date]]="","",tblCommentary[[#This Row],[Date]]&amp;"|"&amp;tblCommentary[[#This Row],[Seq_Day]])</f>
        <v/>
      </c>
    </row>
    <row r="2050">
      <c r="A2050" s="54" t="n"/>
      <c r="B2050" s="61" t="n"/>
      <c r="C2050" s="58" t="n"/>
      <c r="D2050" s="58" t="n"/>
      <c r="E2050" s="64">
        <f>IF(tblCommentary[[#This Row],[Date]]="","",COUNTIFS(INDEX(tblCommentary[Date],1):tblCommentary[[#This Row],[Date]],tblCommentary[[#This Row],[Date]]))</f>
        <v/>
      </c>
      <c r="F2050" s="63">
        <f>IF(tblCommentary[[#This Row],[Date]]="","",tblCommentary[[#This Row],[Date]]&amp;"|"&amp;tblCommentary[[#This Row],[Seq_Day]])</f>
        <v/>
      </c>
    </row>
    <row r="2051">
      <c r="A2051" s="54" t="n"/>
      <c r="B2051" s="61" t="n"/>
      <c r="C2051" s="58" t="n"/>
      <c r="D2051" s="58" t="n"/>
      <c r="E2051" s="64">
        <f>IF(tblCommentary[[#This Row],[Date]]="","",COUNTIFS(INDEX(tblCommentary[Date],1):tblCommentary[[#This Row],[Date]],tblCommentary[[#This Row],[Date]]))</f>
        <v/>
      </c>
      <c r="F2051" s="63">
        <f>IF(tblCommentary[[#This Row],[Date]]="","",tblCommentary[[#This Row],[Date]]&amp;"|"&amp;tblCommentary[[#This Row],[Seq_Day]])</f>
        <v/>
      </c>
    </row>
    <row r="2052">
      <c r="A2052" s="54" t="n"/>
      <c r="B2052" s="61" t="n"/>
      <c r="C2052" s="58" t="n"/>
      <c r="D2052" s="58" t="n"/>
      <c r="E2052" s="64">
        <f>IF(tblCommentary[[#This Row],[Date]]="","",COUNTIFS(INDEX(tblCommentary[Date],1):tblCommentary[[#This Row],[Date]],tblCommentary[[#This Row],[Date]]))</f>
        <v/>
      </c>
      <c r="F2052" s="63">
        <f>IF(tblCommentary[[#This Row],[Date]]="","",tblCommentary[[#This Row],[Date]]&amp;"|"&amp;tblCommentary[[#This Row],[Seq_Day]])</f>
        <v/>
      </c>
    </row>
    <row r="2053">
      <c r="A2053" s="54" t="n"/>
      <c r="B2053" s="61" t="n"/>
      <c r="C2053" s="58" t="n"/>
      <c r="D2053" s="58" t="n"/>
      <c r="E2053" s="64">
        <f>IF(tblCommentary[[#This Row],[Date]]="","",COUNTIFS(INDEX(tblCommentary[Date],1):tblCommentary[[#This Row],[Date]],tblCommentary[[#This Row],[Date]]))</f>
        <v/>
      </c>
      <c r="F2053" s="63">
        <f>IF(tblCommentary[[#This Row],[Date]]="","",tblCommentary[[#This Row],[Date]]&amp;"|"&amp;tblCommentary[[#This Row],[Seq_Day]])</f>
        <v/>
      </c>
    </row>
    <row r="2054">
      <c r="A2054" s="54" t="n"/>
      <c r="B2054" s="61" t="n"/>
      <c r="C2054" s="58" t="n"/>
      <c r="D2054" s="58" t="n"/>
      <c r="E2054" s="64">
        <f>IF(tblCommentary[[#This Row],[Date]]="","",COUNTIFS(INDEX(tblCommentary[Date],1):tblCommentary[[#This Row],[Date]],tblCommentary[[#This Row],[Date]]))</f>
        <v/>
      </c>
      <c r="F2054" s="63">
        <f>IF(tblCommentary[[#This Row],[Date]]="","",tblCommentary[[#This Row],[Date]]&amp;"|"&amp;tblCommentary[[#This Row],[Seq_Day]])</f>
        <v/>
      </c>
    </row>
    <row r="2055">
      <c r="A2055" s="54" t="n"/>
      <c r="B2055" s="61" t="n"/>
      <c r="C2055" s="58" t="n"/>
      <c r="D2055" s="58" t="n"/>
      <c r="E2055" s="64">
        <f>IF(tblCommentary[[#This Row],[Date]]="","",COUNTIFS(INDEX(tblCommentary[Date],1):tblCommentary[[#This Row],[Date]],tblCommentary[[#This Row],[Date]]))</f>
        <v/>
      </c>
      <c r="F2055" s="63">
        <f>IF(tblCommentary[[#This Row],[Date]]="","",tblCommentary[[#This Row],[Date]]&amp;"|"&amp;tblCommentary[[#This Row],[Seq_Day]])</f>
        <v/>
      </c>
    </row>
    <row r="2056">
      <c r="A2056" s="54" t="n"/>
      <c r="B2056" s="61" t="n"/>
      <c r="C2056" s="58" t="n"/>
      <c r="D2056" s="58" t="n"/>
      <c r="E2056" s="64">
        <f>IF(tblCommentary[[#This Row],[Date]]="","",COUNTIFS(INDEX(tblCommentary[Date],1):tblCommentary[[#This Row],[Date]],tblCommentary[[#This Row],[Date]]))</f>
        <v/>
      </c>
      <c r="F2056" s="63">
        <f>IF(tblCommentary[[#This Row],[Date]]="","",tblCommentary[[#This Row],[Date]]&amp;"|"&amp;tblCommentary[[#This Row],[Seq_Day]])</f>
        <v/>
      </c>
    </row>
    <row r="2057">
      <c r="A2057" s="54" t="n"/>
      <c r="B2057" s="61" t="n"/>
      <c r="C2057" s="58" t="n"/>
      <c r="D2057" s="58" t="n"/>
      <c r="E2057" s="64">
        <f>IF(tblCommentary[[#This Row],[Date]]="","",COUNTIFS(INDEX(tblCommentary[Date],1):tblCommentary[[#This Row],[Date]],tblCommentary[[#This Row],[Date]]))</f>
        <v/>
      </c>
      <c r="F2057" s="63">
        <f>IF(tblCommentary[[#This Row],[Date]]="","",tblCommentary[[#This Row],[Date]]&amp;"|"&amp;tblCommentary[[#This Row],[Seq_Day]])</f>
        <v/>
      </c>
    </row>
    <row r="2058">
      <c r="A2058" s="54" t="n"/>
      <c r="B2058" s="61" t="n"/>
      <c r="C2058" s="58" t="n"/>
      <c r="D2058" s="58" t="n"/>
      <c r="E2058" s="64">
        <f>IF(tblCommentary[[#This Row],[Date]]="","",COUNTIFS(INDEX(tblCommentary[Date],1):tblCommentary[[#This Row],[Date]],tblCommentary[[#This Row],[Date]]))</f>
        <v/>
      </c>
      <c r="F2058" s="63">
        <f>IF(tblCommentary[[#This Row],[Date]]="","",tblCommentary[[#This Row],[Date]]&amp;"|"&amp;tblCommentary[[#This Row],[Seq_Day]])</f>
        <v/>
      </c>
    </row>
    <row r="2059">
      <c r="A2059" s="54" t="n"/>
      <c r="B2059" s="61" t="n"/>
      <c r="C2059" s="58" t="n"/>
      <c r="D2059" s="58" t="n"/>
      <c r="E2059" s="64">
        <f>IF(tblCommentary[[#This Row],[Date]]="","",COUNTIFS(INDEX(tblCommentary[Date],1):tblCommentary[[#This Row],[Date]],tblCommentary[[#This Row],[Date]]))</f>
        <v/>
      </c>
      <c r="F2059" s="63">
        <f>IF(tblCommentary[[#This Row],[Date]]="","",tblCommentary[[#This Row],[Date]]&amp;"|"&amp;tblCommentary[[#This Row],[Seq_Day]])</f>
        <v/>
      </c>
    </row>
    <row r="2060">
      <c r="A2060" s="54" t="n"/>
      <c r="B2060" s="61" t="n"/>
      <c r="C2060" s="58" t="n"/>
      <c r="D2060" s="58" t="n"/>
      <c r="E2060" s="64">
        <f>IF(tblCommentary[[#This Row],[Date]]="","",COUNTIFS(INDEX(tblCommentary[Date],1):tblCommentary[[#This Row],[Date]],tblCommentary[[#This Row],[Date]]))</f>
        <v/>
      </c>
      <c r="F2060" s="63">
        <f>IF(tblCommentary[[#This Row],[Date]]="","",tblCommentary[[#This Row],[Date]]&amp;"|"&amp;tblCommentary[[#This Row],[Seq_Day]])</f>
        <v/>
      </c>
    </row>
    <row r="2061">
      <c r="A2061" s="54" t="n"/>
      <c r="B2061" s="61" t="n"/>
      <c r="C2061" s="58" t="n"/>
      <c r="D2061" s="58" t="n"/>
      <c r="E2061" s="64">
        <f>IF(tblCommentary[[#This Row],[Date]]="","",COUNTIFS(INDEX(tblCommentary[Date],1):tblCommentary[[#This Row],[Date]],tblCommentary[[#This Row],[Date]]))</f>
        <v/>
      </c>
      <c r="F2061" s="63">
        <f>IF(tblCommentary[[#This Row],[Date]]="","",tblCommentary[[#This Row],[Date]]&amp;"|"&amp;tblCommentary[[#This Row],[Seq_Day]])</f>
        <v/>
      </c>
    </row>
    <row r="2062">
      <c r="A2062" s="54" t="n"/>
      <c r="B2062" s="61" t="n"/>
      <c r="C2062" s="58" t="n"/>
      <c r="D2062" s="58" t="n"/>
      <c r="E2062" s="64">
        <f>IF(tblCommentary[[#This Row],[Date]]="","",COUNTIFS(INDEX(tblCommentary[Date],1):tblCommentary[[#This Row],[Date]],tblCommentary[[#This Row],[Date]]))</f>
        <v/>
      </c>
      <c r="F2062" s="63">
        <f>IF(tblCommentary[[#This Row],[Date]]="","",tblCommentary[[#This Row],[Date]]&amp;"|"&amp;tblCommentary[[#This Row],[Seq_Day]])</f>
        <v/>
      </c>
    </row>
    <row r="2063">
      <c r="A2063" s="54" t="n"/>
      <c r="B2063" s="61" t="n"/>
      <c r="C2063" s="58" t="n"/>
      <c r="D2063" s="58" t="n"/>
      <c r="E2063" s="64">
        <f>IF(tblCommentary[[#This Row],[Date]]="","",COUNTIFS(INDEX(tblCommentary[Date],1):tblCommentary[[#This Row],[Date]],tblCommentary[[#This Row],[Date]]))</f>
        <v/>
      </c>
      <c r="F2063" s="63">
        <f>IF(tblCommentary[[#This Row],[Date]]="","",tblCommentary[[#This Row],[Date]]&amp;"|"&amp;tblCommentary[[#This Row],[Seq_Day]])</f>
        <v/>
      </c>
    </row>
    <row r="2064">
      <c r="A2064" s="54" t="n"/>
      <c r="B2064" s="61" t="n"/>
      <c r="C2064" s="58" t="n"/>
      <c r="D2064" s="58" t="n"/>
      <c r="E2064" s="64">
        <f>IF(tblCommentary[[#This Row],[Date]]="","",COUNTIFS(INDEX(tblCommentary[Date],1):tblCommentary[[#This Row],[Date]],tblCommentary[[#This Row],[Date]]))</f>
        <v/>
      </c>
      <c r="F2064" s="63">
        <f>IF(tblCommentary[[#This Row],[Date]]="","",tblCommentary[[#This Row],[Date]]&amp;"|"&amp;tblCommentary[[#This Row],[Seq_Day]])</f>
        <v/>
      </c>
    </row>
    <row r="2065">
      <c r="A2065" s="54" t="n"/>
      <c r="B2065" s="61" t="n"/>
      <c r="C2065" s="58" t="n"/>
      <c r="D2065" s="58" t="n"/>
      <c r="E2065" s="64">
        <f>IF(tblCommentary[[#This Row],[Date]]="","",COUNTIFS(INDEX(tblCommentary[Date],1):tblCommentary[[#This Row],[Date]],tblCommentary[[#This Row],[Date]]))</f>
        <v/>
      </c>
      <c r="F2065" s="63">
        <f>IF(tblCommentary[[#This Row],[Date]]="","",tblCommentary[[#This Row],[Date]]&amp;"|"&amp;tblCommentary[[#This Row],[Seq_Day]])</f>
        <v/>
      </c>
    </row>
    <row r="2066">
      <c r="A2066" s="54" t="n"/>
      <c r="B2066" s="61" t="n"/>
      <c r="C2066" s="58" t="n"/>
      <c r="D2066" s="58" t="n"/>
      <c r="E2066" s="64">
        <f>IF(tblCommentary[[#This Row],[Date]]="","",COUNTIFS(INDEX(tblCommentary[Date],1):tblCommentary[[#This Row],[Date]],tblCommentary[[#This Row],[Date]]))</f>
        <v/>
      </c>
      <c r="F2066" s="63">
        <f>IF(tblCommentary[[#This Row],[Date]]="","",tblCommentary[[#This Row],[Date]]&amp;"|"&amp;tblCommentary[[#This Row],[Seq_Day]])</f>
        <v/>
      </c>
    </row>
    <row r="2067">
      <c r="A2067" s="54" t="n"/>
      <c r="B2067" s="61" t="n"/>
      <c r="C2067" s="58" t="n"/>
      <c r="D2067" s="58" t="n"/>
      <c r="E2067" s="64">
        <f>IF(tblCommentary[[#This Row],[Date]]="","",COUNTIFS(INDEX(tblCommentary[Date],1):tblCommentary[[#This Row],[Date]],tblCommentary[[#This Row],[Date]]))</f>
        <v/>
      </c>
      <c r="F2067" s="63">
        <f>IF(tblCommentary[[#This Row],[Date]]="","",tblCommentary[[#This Row],[Date]]&amp;"|"&amp;tblCommentary[[#This Row],[Seq_Day]])</f>
        <v/>
      </c>
    </row>
    <row r="2068">
      <c r="A2068" s="54" t="n"/>
      <c r="B2068" s="61" t="n"/>
      <c r="C2068" s="58" t="n"/>
      <c r="D2068" s="58" t="n"/>
      <c r="E2068" s="64">
        <f>IF(tblCommentary[[#This Row],[Date]]="","",COUNTIFS(INDEX(tblCommentary[Date],1):tblCommentary[[#This Row],[Date]],tblCommentary[[#This Row],[Date]]))</f>
        <v/>
      </c>
      <c r="F2068" s="63">
        <f>IF(tblCommentary[[#This Row],[Date]]="","",tblCommentary[[#This Row],[Date]]&amp;"|"&amp;tblCommentary[[#This Row],[Seq_Day]])</f>
        <v/>
      </c>
    </row>
    <row r="2069">
      <c r="A2069" s="54" t="n"/>
      <c r="B2069" s="61" t="n"/>
      <c r="C2069" s="58" t="n"/>
      <c r="D2069" s="58" t="n"/>
      <c r="E2069" s="64">
        <f>IF(tblCommentary[[#This Row],[Date]]="","",COUNTIFS(INDEX(tblCommentary[Date],1):tblCommentary[[#This Row],[Date]],tblCommentary[[#This Row],[Date]]))</f>
        <v/>
      </c>
      <c r="F2069" s="63">
        <f>IF(tblCommentary[[#This Row],[Date]]="","",tblCommentary[[#This Row],[Date]]&amp;"|"&amp;tblCommentary[[#This Row],[Seq_Day]])</f>
        <v/>
      </c>
    </row>
    <row r="2070">
      <c r="A2070" s="54" t="n"/>
      <c r="B2070" s="61" t="n"/>
      <c r="C2070" s="58" t="n"/>
      <c r="D2070" s="58" t="n"/>
      <c r="E2070" s="64">
        <f>IF(tblCommentary[[#This Row],[Date]]="","",COUNTIFS(INDEX(tblCommentary[Date],1):tblCommentary[[#This Row],[Date]],tblCommentary[[#This Row],[Date]]))</f>
        <v/>
      </c>
      <c r="F2070" s="63">
        <f>IF(tblCommentary[[#This Row],[Date]]="","",tblCommentary[[#This Row],[Date]]&amp;"|"&amp;tblCommentary[[#This Row],[Seq_Day]])</f>
        <v/>
      </c>
    </row>
    <row r="2071">
      <c r="A2071" s="54" t="n"/>
      <c r="B2071" s="61" t="n"/>
      <c r="C2071" s="58" t="n"/>
      <c r="D2071" s="58" t="n"/>
      <c r="E2071" s="64">
        <f>IF(tblCommentary[[#This Row],[Date]]="","",COUNTIFS(INDEX(tblCommentary[Date],1):tblCommentary[[#This Row],[Date]],tblCommentary[[#This Row],[Date]]))</f>
        <v/>
      </c>
      <c r="F2071" s="63">
        <f>IF(tblCommentary[[#This Row],[Date]]="","",tblCommentary[[#This Row],[Date]]&amp;"|"&amp;tblCommentary[[#This Row],[Seq_Day]])</f>
        <v/>
      </c>
    </row>
    <row r="2072">
      <c r="A2072" s="54" t="n"/>
      <c r="B2072" s="61" t="n"/>
      <c r="C2072" s="58" t="n"/>
      <c r="D2072" s="58" t="n"/>
      <c r="E2072" s="64">
        <f>IF(tblCommentary[[#This Row],[Date]]="","",COUNTIFS(INDEX(tblCommentary[Date],1):tblCommentary[[#This Row],[Date]],tblCommentary[[#This Row],[Date]]))</f>
        <v/>
      </c>
      <c r="F2072" s="63">
        <f>IF(tblCommentary[[#This Row],[Date]]="","",tblCommentary[[#This Row],[Date]]&amp;"|"&amp;tblCommentary[[#This Row],[Seq_Day]])</f>
        <v/>
      </c>
    </row>
    <row r="2073">
      <c r="A2073" s="54" t="n"/>
      <c r="B2073" s="61" t="n"/>
      <c r="C2073" s="58" t="n"/>
      <c r="D2073" s="58" t="n"/>
      <c r="E2073" s="64">
        <f>IF(tblCommentary[[#This Row],[Date]]="","",COUNTIFS(INDEX(tblCommentary[Date],1):tblCommentary[[#This Row],[Date]],tblCommentary[[#This Row],[Date]]))</f>
        <v/>
      </c>
      <c r="F2073" s="63">
        <f>IF(tblCommentary[[#This Row],[Date]]="","",tblCommentary[[#This Row],[Date]]&amp;"|"&amp;tblCommentary[[#This Row],[Seq_Day]])</f>
        <v/>
      </c>
    </row>
    <row r="2074">
      <c r="A2074" s="54" t="n"/>
      <c r="B2074" s="61" t="n"/>
      <c r="C2074" s="58" t="n"/>
      <c r="D2074" s="58" t="n"/>
      <c r="E2074" s="64">
        <f>IF(tblCommentary[[#This Row],[Date]]="","",COUNTIFS(INDEX(tblCommentary[Date],1):tblCommentary[[#This Row],[Date]],tblCommentary[[#This Row],[Date]]))</f>
        <v/>
      </c>
      <c r="F2074" s="63">
        <f>IF(tblCommentary[[#This Row],[Date]]="","",tblCommentary[[#This Row],[Date]]&amp;"|"&amp;tblCommentary[[#This Row],[Seq_Day]])</f>
        <v/>
      </c>
    </row>
    <row r="2075">
      <c r="A2075" s="54" t="n"/>
      <c r="B2075" s="61" t="n"/>
      <c r="C2075" s="58" t="n"/>
      <c r="D2075" s="58" t="n"/>
      <c r="E2075" s="64">
        <f>IF(tblCommentary[[#This Row],[Date]]="","",COUNTIFS(INDEX(tblCommentary[Date],1):tblCommentary[[#This Row],[Date]],tblCommentary[[#This Row],[Date]]))</f>
        <v/>
      </c>
      <c r="F2075" s="63">
        <f>IF(tblCommentary[[#This Row],[Date]]="","",tblCommentary[[#This Row],[Date]]&amp;"|"&amp;tblCommentary[[#This Row],[Seq_Day]])</f>
        <v/>
      </c>
    </row>
    <row r="2076">
      <c r="A2076" s="54" t="n"/>
      <c r="B2076" s="61" t="n"/>
      <c r="C2076" s="58" t="n"/>
      <c r="D2076" s="58" t="n"/>
      <c r="E2076" s="64">
        <f>IF(tblCommentary[[#This Row],[Date]]="","",COUNTIFS(INDEX(tblCommentary[Date],1):tblCommentary[[#This Row],[Date]],tblCommentary[[#This Row],[Date]]))</f>
        <v/>
      </c>
      <c r="F2076" s="63">
        <f>IF(tblCommentary[[#This Row],[Date]]="","",tblCommentary[[#This Row],[Date]]&amp;"|"&amp;tblCommentary[[#This Row],[Seq_Day]])</f>
        <v/>
      </c>
    </row>
    <row r="2077">
      <c r="A2077" s="54" t="n"/>
      <c r="B2077" s="61" t="n"/>
      <c r="C2077" s="58" t="n"/>
      <c r="D2077" s="58" t="n"/>
      <c r="E2077" s="64">
        <f>IF(tblCommentary[[#This Row],[Date]]="","",COUNTIFS(INDEX(tblCommentary[Date],1):tblCommentary[[#This Row],[Date]],tblCommentary[[#This Row],[Date]]))</f>
        <v/>
      </c>
      <c r="F2077" s="63">
        <f>IF(tblCommentary[[#This Row],[Date]]="","",tblCommentary[[#This Row],[Date]]&amp;"|"&amp;tblCommentary[[#This Row],[Seq_Day]])</f>
        <v/>
      </c>
    </row>
    <row r="2078">
      <c r="A2078" s="54" t="n"/>
      <c r="B2078" s="61" t="n"/>
      <c r="C2078" s="58" t="n"/>
      <c r="D2078" s="58" t="n"/>
      <c r="E2078" s="64">
        <f>IF(tblCommentary[[#This Row],[Date]]="","",COUNTIFS(INDEX(tblCommentary[Date],1):tblCommentary[[#This Row],[Date]],tblCommentary[[#This Row],[Date]]))</f>
        <v/>
      </c>
      <c r="F2078" s="63">
        <f>IF(tblCommentary[[#This Row],[Date]]="","",tblCommentary[[#This Row],[Date]]&amp;"|"&amp;tblCommentary[[#This Row],[Seq_Day]])</f>
        <v/>
      </c>
    </row>
    <row r="2079">
      <c r="A2079" s="54" t="n"/>
      <c r="B2079" s="61" t="n"/>
      <c r="C2079" s="58" t="n"/>
      <c r="D2079" s="58" t="n"/>
      <c r="E2079" s="64">
        <f>IF(tblCommentary[[#This Row],[Date]]="","",COUNTIFS(INDEX(tblCommentary[Date],1):tblCommentary[[#This Row],[Date]],tblCommentary[[#This Row],[Date]]))</f>
        <v/>
      </c>
      <c r="F2079" s="63">
        <f>IF(tblCommentary[[#This Row],[Date]]="","",tblCommentary[[#This Row],[Date]]&amp;"|"&amp;tblCommentary[[#This Row],[Seq_Day]])</f>
        <v/>
      </c>
    </row>
    <row r="2080">
      <c r="A2080" s="54" t="n"/>
      <c r="B2080" s="61" t="n"/>
      <c r="C2080" s="58" t="n"/>
      <c r="D2080" s="58" t="n"/>
      <c r="E2080" s="64">
        <f>IF(tblCommentary[[#This Row],[Date]]="","",COUNTIFS(INDEX(tblCommentary[Date],1):tblCommentary[[#This Row],[Date]],tblCommentary[[#This Row],[Date]]))</f>
        <v/>
      </c>
      <c r="F2080" s="63">
        <f>IF(tblCommentary[[#This Row],[Date]]="","",tblCommentary[[#This Row],[Date]]&amp;"|"&amp;tblCommentary[[#This Row],[Seq_Day]])</f>
        <v/>
      </c>
    </row>
    <row r="2081">
      <c r="A2081" s="54" t="n"/>
      <c r="B2081" s="61" t="n"/>
      <c r="C2081" s="58" t="n"/>
      <c r="D2081" s="58" t="n"/>
      <c r="E2081" s="64">
        <f>IF(tblCommentary[[#This Row],[Date]]="","",COUNTIFS(INDEX(tblCommentary[Date],1):tblCommentary[[#This Row],[Date]],tblCommentary[[#This Row],[Date]]))</f>
        <v/>
      </c>
      <c r="F2081" s="63">
        <f>IF(tblCommentary[[#This Row],[Date]]="","",tblCommentary[[#This Row],[Date]]&amp;"|"&amp;tblCommentary[[#This Row],[Seq_Day]])</f>
        <v/>
      </c>
    </row>
    <row r="2082">
      <c r="A2082" s="54" t="n"/>
      <c r="B2082" s="61" t="n"/>
      <c r="C2082" s="58" t="n"/>
      <c r="D2082" s="58" t="n"/>
      <c r="E2082" s="64">
        <f>IF(tblCommentary[[#This Row],[Date]]="","",COUNTIFS(INDEX(tblCommentary[Date],1):tblCommentary[[#This Row],[Date]],tblCommentary[[#This Row],[Date]]))</f>
        <v/>
      </c>
      <c r="F2082" s="63">
        <f>IF(tblCommentary[[#This Row],[Date]]="","",tblCommentary[[#This Row],[Date]]&amp;"|"&amp;tblCommentary[[#This Row],[Seq_Day]])</f>
        <v/>
      </c>
    </row>
    <row r="2083">
      <c r="A2083" s="54" t="n"/>
      <c r="B2083" s="61" t="n"/>
      <c r="C2083" s="58" t="n"/>
      <c r="D2083" s="58" t="n"/>
      <c r="E2083" s="64">
        <f>IF(tblCommentary[[#This Row],[Date]]="","",COUNTIFS(INDEX(tblCommentary[Date],1):tblCommentary[[#This Row],[Date]],tblCommentary[[#This Row],[Date]]))</f>
        <v/>
      </c>
      <c r="F2083" s="63">
        <f>IF(tblCommentary[[#This Row],[Date]]="","",tblCommentary[[#This Row],[Date]]&amp;"|"&amp;tblCommentary[[#This Row],[Seq_Day]])</f>
        <v/>
      </c>
    </row>
    <row r="2084">
      <c r="A2084" s="54" t="n"/>
      <c r="B2084" s="61" t="n"/>
      <c r="C2084" s="58" t="n"/>
      <c r="D2084" s="58" t="n"/>
      <c r="E2084" s="64">
        <f>IF(tblCommentary[[#This Row],[Date]]="","",COUNTIFS(INDEX(tblCommentary[Date],1):tblCommentary[[#This Row],[Date]],tblCommentary[[#This Row],[Date]]))</f>
        <v/>
      </c>
      <c r="F2084" s="63">
        <f>IF(tblCommentary[[#This Row],[Date]]="","",tblCommentary[[#This Row],[Date]]&amp;"|"&amp;tblCommentary[[#This Row],[Seq_Day]])</f>
        <v/>
      </c>
    </row>
    <row r="2085">
      <c r="A2085" s="54" t="n"/>
      <c r="B2085" s="61" t="n"/>
      <c r="C2085" s="58" t="n"/>
      <c r="D2085" s="58" t="n"/>
      <c r="E2085" s="64">
        <f>IF(tblCommentary[[#This Row],[Date]]="","",COUNTIFS(INDEX(tblCommentary[Date],1):tblCommentary[[#This Row],[Date]],tblCommentary[[#This Row],[Date]]))</f>
        <v/>
      </c>
      <c r="F2085" s="63">
        <f>IF(tblCommentary[[#This Row],[Date]]="","",tblCommentary[[#This Row],[Date]]&amp;"|"&amp;tblCommentary[[#This Row],[Seq_Day]])</f>
        <v/>
      </c>
    </row>
    <row r="2086">
      <c r="A2086" s="54" t="n"/>
      <c r="B2086" s="61" t="n"/>
      <c r="C2086" s="58" t="n"/>
      <c r="D2086" s="58" t="n"/>
      <c r="E2086" s="64">
        <f>IF(tblCommentary[[#This Row],[Date]]="","",COUNTIFS(INDEX(tblCommentary[Date],1):tblCommentary[[#This Row],[Date]],tblCommentary[[#This Row],[Date]]))</f>
        <v/>
      </c>
      <c r="F2086" s="63">
        <f>IF(tblCommentary[[#This Row],[Date]]="","",tblCommentary[[#This Row],[Date]]&amp;"|"&amp;tblCommentary[[#This Row],[Seq_Day]])</f>
        <v/>
      </c>
    </row>
    <row r="2087">
      <c r="A2087" s="54" t="n"/>
      <c r="B2087" s="61" t="n"/>
      <c r="C2087" s="58" t="n"/>
      <c r="D2087" s="58" t="n"/>
      <c r="E2087" s="64">
        <f>IF(tblCommentary[[#This Row],[Date]]="","",COUNTIFS(INDEX(tblCommentary[Date],1):tblCommentary[[#This Row],[Date]],tblCommentary[[#This Row],[Date]]))</f>
        <v/>
      </c>
      <c r="F2087" s="63">
        <f>IF(tblCommentary[[#This Row],[Date]]="","",tblCommentary[[#This Row],[Date]]&amp;"|"&amp;tblCommentary[[#This Row],[Seq_Day]])</f>
        <v/>
      </c>
    </row>
    <row r="2088">
      <c r="A2088" s="54" t="n"/>
      <c r="B2088" s="61" t="n"/>
      <c r="C2088" s="58" t="n"/>
      <c r="D2088" s="58" t="n"/>
      <c r="E2088" s="64">
        <f>IF(tblCommentary[[#This Row],[Date]]="","",COUNTIFS(INDEX(tblCommentary[Date],1):tblCommentary[[#This Row],[Date]],tblCommentary[[#This Row],[Date]]))</f>
        <v/>
      </c>
      <c r="F2088" s="63">
        <f>IF(tblCommentary[[#This Row],[Date]]="","",tblCommentary[[#This Row],[Date]]&amp;"|"&amp;tblCommentary[[#This Row],[Seq_Day]])</f>
        <v/>
      </c>
    </row>
    <row r="2089">
      <c r="A2089" s="54" t="n"/>
      <c r="B2089" s="61" t="n"/>
      <c r="C2089" s="58" t="n"/>
      <c r="D2089" s="58" t="n"/>
      <c r="E2089" s="64">
        <f>IF(tblCommentary[[#This Row],[Date]]="","",COUNTIFS(INDEX(tblCommentary[Date],1):tblCommentary[[#This Row],[Date]],tblCommentary[[#This Row],[Date]]))</f>
        <v/>
      </c>
      <c r="F2089" s="63">
        <f>IF(tblCommentary[[#This Row],[Date]]="","",tblCommentary[[#This Row],[Date]]&amp;"|"&amp;tblCommentary[[#This Row],[Seq_Day]])</f>
        <v/>
      </c>
    </row>
    <row r="2090">
      <c r="A2090" s="54" t="n"/>
      <c r="B2090" s="61" t="n"/>
      <c r="C2090" s="58" t="n"/>
      <c r="D2090" s="58" t="n"/>
      <c r="E2090" s="64">
        <f>IF(tblCommentary[[#This Row],[Date]]="","",COUNTIFS(INDEX(tblCommentary[Date],1):tblCommentary[[#This Row],[Date]],tblCommentary[[#This Row],[Date]]))</f>
        <v/>
      </c>
      <c r="F2090" s="63">
        <f>IF(tblCommentary[[#This Row],[Date]]="","",tblCommentary[[#This Row],[Date]]&amp;"|"&amp;tblCommentary[[#This Row],[Seq_Day]])</f>
        <v/>
      </c>
    </row>
    <row r="2091">
      <c r="A2091" s="54" t="n"/>
      <c r="B2091" s="61" t="n"/>
      <c r="C2091" s="58" t="n"/>
      <c r="D2091" s="58" t="n"/>
      <c r="E2091" s="64">
        <f>IF(tblCommentary[[#This Row],[Date]]="","",COUNTIFS(INDEX(tblCommentary[Date],1):tblCommentary[[#This Row],[Date]],tblCommentary[[#This Row],[Date]]))</f>
        <v/>
      </c>
      <c r="F2091" s="63">
        <f>IF(tblCommentary[[#This Row],[Date]]="","",tblCommentary[[#This Row],[Date]]&amp;"|"&amp;tblCommentary[[#This Row],[Seq_Day]])</f>
        <v/>
      </c>
    </row>
    <row r="2092">
      <c r="A2092" s="54" t="n"/>
      <c r="B2092" s="61" t="n"/>
      <c r="C2092" s="58" t="n"/>
      <c r="D2092" s="58" t="n"/>
      <c r="E2092" s="64">
        <f>IF(tblCommentary[[#This Row],[Date]]="","",COUNTIFS(INDEX(tblCommentary[Date],1):tblCommentary[[#This Row],[Date]],tblCommentary[[#This Row],[Date]]))</f>
        <v/>
      </c>
      <c r="F2092" s="63">
        <f>IF(tblCommentary[[#This Row],[Date]]="","",tblCommentary[[#This Row],[Date]]&amp;"|"&amp;tblCommentary[[#This Row],[Seq_Day]])</f>
        <v/>
      </c>
    </row>
    <row r="2093">
      <c r="A2093" s="54" t="n"/>
      <c r="B2093" s="61" t="n"/>
      <c r="C2093" s="58" t="n"/>
      <c r="D2093" s="58" t="n"/>
      <c r="E2093" s="64">
        <f>IF(tblCommentary[[#This Row],[Date]]="","",COUNTIFS(INDEX(tblCommentary[Date],1):tblCommentary[[#This Row],[Date]],tblCommentary[[#This Row],[Date]]))</f>
        <v/>
      </c>
      <c r="F2093" s="63">
        <f>IF(tblCommentary[[#This Row],[Date]]="","",tblCommentary[[#This Row],[Date]]&amp;"|"&amp;tblCommentary[[#This Row],[Seq_Day]])</f>
        <v/>
      </c>
    </row>
    <row r="2094">
      <c r="A2094" s="54" t="n"/>
      <c r="B2094" s="61" t="n"/>
      <c r="C2094" s="58" t="n"/>
      <c r="D2094" s="58" t="n"/>
      <c r="E2094" s="64">
        <f>IF(tblCommentary[[#This Row],[Date]]="","",COUNTIFS(INDEX(tblCommentary[Date],1):tblCommentary[[#This Row],[Date]],tblCommentary[[#This Row],[Date]]))</f>
        <v/>
      </c>
      <c r="F2094" s="63">
        <f>IF(tblCommentary[[#This Row],[Date]]="","",tblCommentary[[#This Row],[Date]]&amp;"|"&amp;tblCommentary[[#This Row],[Seq_Day]])</f>
        <v/>
      </c>
    </row>
    <row r="2095">
      <c r="A2095" s="54" t="n"/>
      <c r="B2095" s="61" t="n"/>
      <c r="C2095" s="58" t="n"/>
      <c r="D2095" s="58" t="n"/>
      <c r="E2095" s="64">
        <f>IF(tblCommentary[[#This Row],[Date]]="","",COUNTIFS(INDEX(tblCommentary[Date],1):tblCommentary[[#This Row],[Date]],tblCommentary[[#This Row],[Date]]))</f>
        <v/>
      </c>
      <c r="F2095" s="63">
        <f>IF(tblCommentary[[#This Row],[Date]]="","",tblCommentary[[#This Row],[Date]]&amp;"|"&amp;tblCommentary[[#This Row],[Seq_Day]])</f>
        <v/>
      </c>
    </row>
    <row r="2096">
      <c r="A2096" s="54" t="n"/>
      <c r="B2096" s="61" t="n"/>
      <c r="C2096" s="58" t="n"/>
      <c r="D2096" s="58" t="n"/>
      <c r="E2096" s="64">
        <f>IF(tblCommentary[[#This Row],[Date]]="","",COUNTIFS(INDEX(tblCommentary[Date],1):tblCommentary[[#This Row],[Date]],tblCommentary[[#This Row],[Date]]))</f>
        <v/>
      </c>
      <c r="F2096" s="63">
        <f>IF(tblCommentary[[#This Row],[Date]]="","",tblCommentary[[#This Row],[Date]]&amp;"|"&amp;tblCommentary[[#This Row],[Seq_Day]])</f>
        <v/>
      </c>
    </row>
    <row r="2097">
      <c r="A2097" s="54" t="n"/>
      <c r="B2097" s="61" t="n"/>
      <c r="C2097" s="58" t="n"/>
      <c r="D2097" s="58" t="n"/>
      <c r="E2097" s="64">
        <f>IF(tblCommentary[[#This Row],[Date]]="","",COUNTIFS(INDEX(tblCommentary[Date],1):tblCommentary[[#This Row],[Date]],tblCommentary[[#This Row],[Date]]))</f>
        <v/>
      </c>
      <c r="F2097" s="63">
        <f>IF(tblCommentary[[#This Row],[Date]]="","",tblCommentary[[#This Row],[Date]]&amp;"|"&amp;tblCommentary[[#This Row],[Seq_Day]])</f>
        <v/>
      </c>
    </row>
    <row r="2098">
      <c r="A2098" s="54" t="n"/>
      <c r="B2098" s="61" t="n"/>
      <c r="C2098" s="58" t="n"/>
      <c r="D2098" s="58" t="n"/>
      <c r="E2098" s="64">
        <f>IF(tblCommentary[[#This Row],[Date]]="","",COUNTIFS(INDEX(tblCommentary[Date],1):tblCommentary[[#This Row],[Date]],tblCommentary[[#This Row],[Date]]))</f>
        <v/>
      </c>
      <c r="F2098" s="63">
        <f>IF(tblCommentary[[#This Row],[Date]]="","",tblCommentary[[#This Row],[Date]]&amp;"|"&amp;tblCommentary[[#This Row],[Seq_Day]])</f>
        <v/>
      </c>
    </row>
    <row r="2099">
      <c r="A2099" s="54" t="n"/>
      <c r="B2099" s="61" t="n"/>
      <c r="C2099" s="58" t="n"/>
      <c r="D2099" s="58" t="n"/>
      <c r="E2099" s="64">
        <f>IF(tblCommentary[[#This Row],[Date]]="","",COUNTIFS(INDEX(tblCommentary[Date],1):tblCommentary[[#This Row],[Date]],tblCommentary[[#This Row],[Date]]))</f>
        <v/>
      </c>
      <c r="F2099" s="63">
        <f>IF(tblCommentary[[#This Row],[Date]]="","",tblCommentary[[#This Row],[Date]]&amp;"|"&amp;tblCommentary[[#This Row],[Seq_Day]])</f>
        <v/>
      </c>
    </row>
    <row r="2100">
      <c r="A2100" s="54" t="n"/>
      <c r="B2100" s="61" t="n"/>
      <c r="C2100" s="58" t="n"/>
      <c r="D2100" s="58" t="n"/>
      <c r="E2100" s="64">
        <f>IF(tblCommentary[[#This Row],[Date]]="","",COUNTIFS(INDEX(tblCommentary[Date],1):tblCommentary[[#This Row],[Date]],tblCommentary[[#This Row],[Date]]))</f>
        <v/>
      </c>
      <c r="F2100" s="63">
        <f>IF(tblCommentary[[#This Row],[Date]]="","",tblCommentary[[#This Row],[Date]]&amp;"|"&amp;tblCommentary[[#This Row],[Seq_Day]])</f>
        <v/>
      </c>
    </row>
    <row r="2101">
      <c r="A2101" s="54" t="n"/>
      <c r="B2101" s="61" t="n"/>
      <c r="C2101" s="58" t="n"/>
      <c r="D2101" s="58" t="n"/>
      <c r="E2101" s="64">
        <f>IF(tblCommentary[[#This Row],[Date]]="","",COUNTIFS(INDEX(tblCommentary[Date],1):tblCommentary[[#This Row],[Date]],tblCommentary[[#This Row],[Date]]))</f>
        <v/>
      </c>
      <c r="F2101" s="63">
        <f>IF(tblCommentary[[#This Row],[Date]]="","",tblCommentary[[#This Row],[Date]]&amp;"|"&amp;tblCommentary[[#This Row],[Seq_Day]])</f>
        <v/>
      </c>
    </row>
    <row r="2102">
      <c r="A2102" s="54" t="n"/>
      <c r="B2102" s="61" t="n"/>
      <c r="C2102" s="58" t="n"/>
      <c r="D2102" s="58" t="n"/>
      <c r="E2102" s="64">
        <f>IF(tblCommentary[[#This Row],[Date]]="","",COUNTIFS(INDEX(tblCommentary[Date],1):tblCommentary[[#This Row],[Date]],tblCommentary[[#This Row],[Date]]))</f>
        <v/>
      </c>
      <c r="F2102" s="63">
        <f>IF(tblCommentary[[#This Row],[Date]]="","",tblCommentary[[#This Row],[Date]]&amp;"|"&amp;tblCommentary[[#This Row],[Seq_Day]])</f>
        <v/>
      </c>
    </row>
    <row r="2103">
      <c r="A2103" s="54" t="n"/>
      <c r="B2103" s="61" t="n"/>
      <c r="C2103" s="58" t="n"/>
      <c r="D2103" s="58" t="n"/>
      <c r="E2103" s="64">
        <f>IF(tblCommentary[[#This Row],[Date]]="","",COUNTIFS(INDEX(tblCommentary[Date],1):tblCommentary[[#This Row],[Date]],tblCommentary[[#This Row],[Date]]))</f>
        <v/>
      </c>
      <c r="F2103" s="63">
        <f>IF(tblCommentary[[#This Row],[Date]]="","",tblCommentary[[#This Row],[Date]]&amp;"|"&amp;tblCommentary[[#This Row],[Seq_Day]])</f>
        <v/>
      </c>
    </row>
    <row r="2104">
      <c r="A2104" s="54" t="n"/>
      <c r="B2104" s="61" t="n"/>
      <c r="C2104" s="58" t="n"/>
      <c r="D2104" s="58" t="n"/>
      <c r="E2104" s="64">
        <f>IF(tblCommentary[[#This Row],[Date]]="","",COUNTIFS(INDEX(tblCommentary[Date],1):tblCommentary[[#This Row],[Date]],tblCommentary[[#This Row],[Date]]))</f>
        <v/>
      </c>
      <c r="F2104" s="63">
        <f>IF(tblCommentary[[#This Row],[Date]]="","",tblCommentary[[#This Row],[Date]]&amp;"|"&amp;tblCommentary[[#This Row],[Seq_Day]])</f>
        <v/>
      </c>
    </row>
    <row r="2105">
      <c r="A2105" s="54" t="n"/>
      <c r="B2105" s="61" t="n"/>
      <c r="C2105" s="58" t="n"/>
      <c r="D2105" s="58" t="n"/>
      <c r="E2105" s="64">
        <f>IF(tblCommentary[[#This Row],[Date]]="","",COUNTIFS(INDEX(tblCommentary[Date],1):tblCommentary[[#This Row],[Date]],tblCommentary[[#This Row],[Date]]))</f>
        <v/>
      </c>
      <c r="F2105" s="63">
        <f>IF(tblCommentary[[#This Row],[Date]]="","",tblCommentary[[#This Row],[Date]]&amp;"|"&amp;tblCommentary[[#This Row],[Seq_Day]])</f>
        <v/>
      </c>
    </row>
    <row r="2106">
      <c r="A2106" s="54" t="n"/>
      <c r="B2106" s="61" t="n"/>
      <c r="C2106" s="58" t="n"/>
      <c r="D2106" s="58" t="n"/>
      <c r="E2106" s="64">
        <f>IF(tblCommentary[[#This Row],[Date]]="","",COUNTIFS(INDEX(tblCommentary[Date],1):tblCommentary[[#This Row],[Date]],tblCommentary[[#This Row],[Date]]))</f>
        <v/>
      </c>
      <c r="F2106" s="63">
        <f>IF(tblCommentary[[#This Row],[Date]]="","",tblCommentary[[#This Row],[Date]]&amp;"|"&amp;tblCommentary[[#This Row],[Seq_Day]])</f>
        <v/>
      </c>
    </row>
    <row r="2107">
      <c r="A2107" s="54" t="n"/>
      <c r="B2107" s="61" t="n"/>
      <c r="C2107" s="58" t="n"/>
      <c r="D2107" s="58" t="n"/>
      <c r="E2107" s="64">
        <f>IF(tblCommentary[[#This Row],[Date]]="","",COUNTIFS(INDEX(tblCommentary[Date],1):tblCommentary[[#This Row],[Date]],tblCommentary[[#This Row],[Date]]))</f>
        <v/>
      </c>
      <c r="F2107" s="63">
        <f>IF(tblCommentary[[#This Row],[Date]]="","",tblCommentary[[#This Row],[Date]]&amp;"|"&amp;tblCommentary[[#This Row],[Seq_Day]])</f>
        <v/>
      </c>
    </row>
    <row r="2108">
      <c r="A2108" s="54" t="n"/>
      <c r="B2108" s="61" t="n"/>
      <c r="C2108" s="58" t="n"/>
      <c r="D2108" s="58" t="n"/>
      <c r="E2108" s="64">
        <f>IF(tblCommentary[[#This Row],[Date]]="","",COUNTIFS(INDEX(tblCommentary[Date],1):tblCommentary[[#This Row],[Date]],tblCommentary[[#This Row],[Date]]))</f>
        <v/>
      </c>
      <c r="F2108" s="63">
        <f>IF(tblCommentary[[#This Row],[Date]]="","",tblCommentary[[#This Row],[Date]]&amp;"|"&amp;tblCommentary[[#This Row],[Seq_Day]])</f>
        <v/>
      </c>
    </row>
    <row r="2109">
      <c r="A2109" s="54" t="n"/>
      <c r="B2109" s="61" t="n"/>
      <c r="C2109" s="58" t="n"/>
      <c r="D2109" s="58" t="n"/>
      <c r="E2109" s="64">
        <f>IF(tblCommentary[[#This Row],[Date]]="","",COUNTIFS(INDEX(tblCommentary[Date],1):tblCommentary[[#This Row],[Date]],tblCommentary[[#This Row],[Date]]))</f>
        <v/>
      </c>
      <c r="F2109" s="63">
        <f>IF(tblCommentary[[#This Row],[Date]]="","",tblCommentary[[#This Row],[Date]]&amp;"|"&amp;tblCommentary[[#This Row],[Seq_Day]])</f>
        <v/>
      </c>
    </row>
    <row r="2110">
      <c r="A2110" s="54" t="n"/>
      <c r="B2110" s="61" t="n"/>
      <c r="C2110" s="58" t="n"/>
      <c r="D2110" s="58" t="n"/>
      <c r="E2110" s="64">
        <f>IF(tblCommentary[[#This Row],[Date]]="","",COUNTIFS(INDEX(tblCommentary[Date],1):tblCommentary[[#This Row],[Date]],tblCommentary[[#This Row],[Date]]))</f>
        <v/>
      </c>
      <c r="F2110" s="63">
        <f>IF(tblCommentary[[#This Row],[Date]]="","",tblCommentary[[#This Row],[Date]]&amp;"|"&amp;tblCommentary[[#This Row],[Seq_Day]])</f>
        <v/>
      </c>
    </row>
    <row r="2111">
      <c r="A2111" s="54" t="n"/>
      <c r="B2111" s="61" t="n"/>
      <c r="C2111" s="58" t="n"/>
      <c r="D2111" s="58" t="n"/>
      <c r="E2111" s="64">
        <f>IF(tblCommentary[[#This Row],[Date]]="","",COUNTIFS(INDEX(tblCommentary[Date],1):tblCommentary[[#This Row],[Date]],tblCommentary[[#This Row],[Date]]))</f>
        <v/>
      </c>
      <c r="F2111" s="63">
        <f>IF(tblCommentary[[#This Row],[Date]]="","",tblCommentary[[#This Row],[Date]]&amp;"|"&amp;tblCommentary[[#This Row],[Seq_Day]])</f>
        <v/>
      </c>
    </row>
    <row r="2112">
      <c r="A2112" s="54" t="n"/>
      <c r="B2112" s="61" t="n"/>
      <c r="C2112" s="58" t="n"/>
      <c r="D2112" s="58" t="n"/>
      <c r="E2112" s="64">
        <f>IF(tblCommentary[[#This Row],[Date]]="","",COUNTIFS(INDEX(tblCommentary[Date],1):tblCommentary[[#This Row],[Date]],tblCommentary[[#This Row],[Date]]))</f>
        <v/>
      </c>
      <c r="F2112" s="63">
        <f>IF(tblCommentary[[#This Row],[Date]]="","",tblCommentary[[#This Row],[Date]]&amp;"|"&amp;tblCommentary[[#This Row],[Seq_Day]])</f>
        <v/>
      </c>
    </row>
    <row r="2113">
      <c r="A2113" s="54" t="n"/>
      <c r="B2113" s="61" t="n"/>
      <c r="C2113" s="58" t="n"/>
      <c r="D2113" s="58" t="n"/>
      <c r="E2113" s="64">
        <f>IF(tblCommentary[[#This Row],[Date]]="","",COUNTIFS(INDEX(tblCommentary[Date],1):tblCommentary[[#This Row],[Date]],tblCommentary[[#This Row],[Date]]))</f>
        <v/>
      </c>
      <c r="F2113" s="63">
        <f>IF(tblCommentary[[#This Row],[Date]]="","",tblCommentary[[#This Row],[Date]]&amp;"|"&amp;tblCommentary[[#This Row],[Seq_Day]])</f>
        <v/>
      </c>
    </row>
    <row r="2114">
      <c r="A2114" s="54" t="n"/>
      <c r="B2114" s="61" t="n"/>
      <c r="C2114" s="58" t="n"/>
      <c r="D2114" s="58" t="n"/>
      <c r="E2114" s="64">
        <f>IF(tblCommentary[[#This Row],[Date]]="","",COUNTIFS(INDEX(tblCommentary[Date],1):tblCommentary[[#This Row],[Date]],tblCommentary[[#This Row],[Date]]))</f>
        <v/>
      </c>
      <c r="F2114" s="63">
        <f>IF(tblCommentary[[#This Row],[Date]]="","",tblCommentary[[#This Row],[Date]]&amp;"|"&amp;tblCommentary[[#This Row],[Seq_Day]])</f>
        <v/>
      </c>
    </row>
    <row r="2115">
      <c r="A2115" s="54" t="n"/>
      <c r="B2115" s="61" t="n"/>
      <c r="C2115" s="58" t="n"/>
      <c r="D2115" s="58" t="n"/>
      <c r="E2115" s="64">
        <f>IF(tblCommentary[[#This Row],[Date]]="","",COUNTIFS(INDEX(tblCommentary[Date],1):tblCommentary[[#This Row],[Date]],tblCommentary[[#This Row],[Date]]))</f>
        <v/>
      </c>
      <c r="F2115" s="63">
        <f>IF(tblCommentary[[#This Row],[Date]]="","",tblCommentary[[#This Row],[Date]]&amp;"|"&amp;tblCommentary[[#This Row],[Seq_Day]])</f>
        <v/>
      </c>
    </row>
    <row r="2116">
      <c r="A2116" s="54" t="n"/>
      <c r="B2116" s="61" t="n"/>
      <c r="C2116" s="58" t="n"/>
      <c r="D2116" s="58" t="n"/>
      <c r="E2116" s="64">
        <f>IF(tblCommentary[[#This Row],[Date]]="","",COUNTIFS(INDEX(tblCommentary[Date],1):tblCommentary[[#This Row],[Date]],tblCommentary[[#This Row],[Date]]))</f>
        <v/>
      </c>
      <c r="F2116" s="63">
        <f>IF(tblCommentary[[#This Row],[Date]]="","",tblCommentary[[#This Row],[Date]]&amp;"|"&amp;tblCommentary[[#This Row],[Seq_Day]])</f>
        <v/>
      </c>
    </row>
    <row r="2117">
      <c r="A2117" s="54" t="n"/>
      <c r="B2117" s="61" t="n"/>
      <c r="C2117" s="58" t="n"/>
      <c r="D2117" s="58" t="n"/>
      <c r="E2117" s="64">
        <f>IF(tblCommentary[[#This Row],[Date]]="","",COUNTIFS(INDEX(tblCommentary[Date],1):tblCommentary[[#This Row],[Date]],tblCommentary[[#This Row],[Date]]))</f>
        <v/>
      </c>
      <c r="F2117" s="63">
        <f>IF(tblCommentary[[#This Row],[Date]]="","",tblCommentary[[#This Row],[Date]]&amp;"|"&amp;tblCommentary[[#This Row],[Seq_Day]])</f>
        <v/>
      </c>
    </row>
    <row r="2118">
      <c r="A2118" s="54" t="n"/>
      <c r="B2118" s="61" t="n"/>
      <c r="C2118" s="58" t="n"/>
      <c r="D2118" s="58" t="n"/>
      <c r="E2118" s="64">
        <f>IF(tblCommentary[[#This Row],[Date]]="","",COUNTIFS(INDEX(tblCommentary[Date],1):tblCommentary[[#This Row],[Date]],tblCommentary[[#This Row],[Date]]))</f>
        <v/>
      </c>
      <c r="F2118" s="63">
        <f>IF(tblCommentary[[#This Row],[Date]]="","",tblCommentary[[#This Row],[Date]]&amp;"|"&amp;tblCommentary[[#This Row],[Seq_Day]])</f>
        <v/>
      </c>
    </row>
    <row r="2119">
      <c r="A2119" s="54" t="n"/>
      <c r="B2119" s="61" t="n"/>
      <c r="C2119" s="58" t="n"/>
      <c r="D2119" s="58" t="n"/>
      <c r="E2119" s="64">
        <f>IF(tblCommentary[[#This Row],[Date]]="","",COUNTIFS(INDEX(tblCommentary[Date],1):tblCommentary[[#This Row],[Date]],tblCommentary[[#This Row],[Date]]))</f>
        <v/>
      </c>
      <c r="F2119" s="63">
        <f>IF(tblCommentary[[#This Row],[Date]]="","",tblCommentary[[#This Row],[Date]]&amp;"|"&amp;tblCommentary[[#This Row],[Seq_Day]])</f>
        <v/>
      </c>
    </row>
    <row r="2120">
      <c r="A2120" s="54" t="n"/>
      <c r="B2120" s="61" t="n"/>
      <c r="C2120" s="58" t="n"/>
      <c r="D2120" s="58" t="n"/>
      <c r="E2120" s="64">
        <f>IF(tblCommentary[[#This Row],[Date]]="","",COUNTIFS(INDEX(tblCommentary[Date],1):tblCommentary[[#This Row],[Date]],tblCommentary[[#This Row],[Date]]))</f>
        <v/>
      </c>
      <c r="F2120" s="63">
        <f>IF(tblCommentary[[#This Row],[Date]]="","",tblCommentary[[#This Row],[Date]]&amp;"|"&amp;tblCommentary[[#This Row],[Seq_Day]])</f>
        <v/>
      </c>
    </row>
    <row r="2121">
      <c r="A2121" s="54" t="n"/>
      <c r="B2121" s="61" t="n"/>
      <c r="C2121" s="58" t="n"/>
      <c r="D2121" s="58" t="n"/>
      <c r="E2121" s="64">
        <f>IF(tblCommentary[[#This Row],[Date]]="","",COUNTIFS(INDEX(tblCommentary[Date],1):tblCommentary[[#This Row],[Date]],tblCommentary[[#This Row],[Date]]))</f>
        <v/>
      </c>
      <c r="F2121" s="63">
        <f>IF(tblCommentary[[#This Row],[Date]]="","",tblCommentary[[#This Row],[Date]]&amp;"|"&amp;tblCommentary[[#This Row],[Seq_Day]])</f>
        <v/>
      </c>
    </row>
    <row r="2122">
      <c r="A2122" s="54" t="n"/>
      <c r="B2122" s="61" t="n"/>
      <c r="C2122" s="58" t="n"/>
      <c r="D2122" s="58" t="n"/>
      <c r="E2122" s="64">
        <f>IF(tblCommentary[[#This Row],[Date]]="","",COUNTIFS(INDEX(tblCommentary[Date],1):tblCommentary[[#This Row],[Date]],tblCommentary[[#This Row],[Date]]))</f>
        <v/>
      </c>
      <c r="F2122" s="63">
        <f>IF(tblCommentary[[#This Row],[Date]]="","",tblCommentary[[#This Row],[Date]]&amp;"|"&amp;tblCommentary[[#This Row],[Seq_Day]])</f>
        <v/>
      </c>
    </row>
    <row r="2123">
      <c r="A2123" s="54" t="n"/>
      <c r="B2123" s="61" t="n"/>
      <c r="C2123" s="58" t="n"/>
      <c r="D2123" s="58" t="n"/>
      <c r="E2123" s="64">
        <f>IF(tblCommentary[[#This Row],[Date]]="","",COUNTIFS(INDEX(tblCommentary[Date],1):tblCommentary[[#This Row],[Date]],tblCommentary[[#This Row],[Date]]))</f>
        <v/>
      </c>
      <c r="F2123" s="63">
        <f>IF(tblCommentary[[#This Row],[Date]]="","",tblCommentary[[#This Row],[Date]]&amp;"|"&amp;tblCommentary[[#This Row],[Seq_Day]])</f>
        <v/>
      </c>
    </row>
    <row r="2124">
      <c r="A2124" s="54" t="n"/>
      <c r="B2124" s="61" t="n"/>
      <c r="C2124" s="58" t="n"/>
      <c r="D2124" s="58" t="n"/>
      <c r="E2124" s="64">
        <f>IF(tblCommentary[[#This Row],[Date]]="","",COUNTIFS(INDEX(tblCommentary[Date],1):tblCommentary[[#This Row],[Date]],tblCommentary[[#This Row],[Date]]))</f>
        <v/>
      </c>
      <c r="F2124" s="63">
        <f>IF(tblCommentary[[#This Row],[Date]]="","",tblCommentary[[#This Row],[Date]]&amp;"|"&amp;tblCommentary[[#This Row],[Seq_Day]])</f>
        <v/>
      </c>
    </row>
    <row r="2125">
      <c r="A2125" s="54" t="n"/>
      <c r="B2125" s="61" t="n"/>
      <c r="C2125" s="58" t="n"/>
      <c r="D2125" s="58" t="n"/>
      <c r="E2125" s="64">
        <f>IF(tblCommentary[[#This Row],[Date]]="","",COUNTIFS(INDEX(tblCommentary[Date],1):tblCommentary[[#This Row],[Date]],tblCommentary[[#This Row],[Date]]))</f>
        <v/>
      </c>
      <c r="F2125" s="63">
        <f>IF(tblCommentary[[#This Row],[Date]]="","",tblCommentary[[#This Row],[Date]]&amp;"|"&amp;tblCommentary[[#This Row],[Seq_Day]])</f>
        <v/>
      </c>
    </row>
    <row r="2126">
      <c r="A2126" s="54" t="n"/>
      <c r="B2126" s="61" t="n"/>
      <c r="C2126" s="58" t="n"/>
      <c r="D2126" s="58" t="n"/>
      <c r="E2126" s="64">
        <f>IF(tblCommentary[[#This Row],[Date]]="","",COUNTIFS(INDEX(tblCommentary[Date],1):tblCommentary[[#This Row],[Date]],tblCommentary[[#This Row],[Date]]))</f>
        <v/>
      </c>
      <c r="F2126" s="63">
        <f>IF(tblCommentary[[#This Row],[Date]]="","",tblCommentary[[#This Row],[Date]]&amp;"|"&amp;tblCommentary[[#This Row],[Seq_Day]])</f>
        <v/>
      </c>
    </row>
    <row r="2127">
      <c r="A2127" s="54" t="n"/>
      <c r="B2127" s="61" t="n"/>
      <c r="C2127" s="58" t="n"/>
      <c r="D2127" s="58" t="n"/>
      <c r="E2127" s="64">
        <f>IF(tblCommentary[[#This Row],[Date]]="","",COUNTIFS(INDEX(tblCommentary[Date],1):tblCommentary[[#This Row],[Date]],tblCommentary[[#This Row],[Date]]))</f>
        <v/>
      </c>
      <c r="F2127" s="63">
        <f>IF(tblCommentary[[#This Row],[Date]]="","",tblCommentary[[#This Row],[Date]]&amp;"|"&amp;tblCommentary[[#This Row],[Seq_Day]])</f>
        <v/>
      </c>
    </row>
    <row r="2128">
      <c r="A2128" s="54" t="n"/>
      <c r="B2128" s="61" t="n"/>
      <c r="C2128" s="58" t="n"/>
      <c r="D2128" s="58" t="n"/>
      <c r="E2128" s="64">
        <f>IF(tblCommentary[[#This Row],[Date]]="","",COUNTIFS(INDEX(tblCommentary[Date],1):tblCommentary[[#This Row],[Date]],tblCommentary[[#This Row],[Date]]))</f>
        <v/>
      </c>
      <c r="F2128" s="63">
        <f>IF(tblCommentary[[#This Row],[Date]]="","",tblCommentary[[#This Row],[Date]]&amp;"|"&amp;tblCommentary[[#This Row],[Seq_Day]])</f>
        <v/>
      </c>
    </row>
    <row r="2129">
      <c r="A2129" s="54" t="n"/>
      <c r="B2129" s="61" t="n"/>
      <c r="C2129" s="58" t="n"/>
      <c r="D2129" s="58" t="n"/>
      <c r="E2129" s="64">
        <f>IF(tblCommentary[[#This Row],[Date]]="","",COUNTIFS(INDEX(tblCommentary[Date],1):tblCommentary[[#This Row],[Date]],tblCommentary[[#This Row],[Date]]))</f>
        <v/>
      </c>
      <c r="F2129" s="63">
        <f>IF(tblCommentary[[#This Row],[Date]]="","",tblCommentary[[#This Row],[Date]]&amp;"|"&amp;tblCommentary[[#This Row],[Seq_Day]])</f>
        <v/>
      </c>
    </row>
    <row r="2130">
      <c r="A2130" s="54" t="n"/>
      <c r="B2130" s="61" t="n"/>
      <c r="C2130" s="58" t="n"/>
      <c r="D2130" s="58" t="n"/>
      <c r="E2130" s="64">
        <f>IF(tblCommentary[[#This Row],[Date]]="","",COUNTIFS(INDEX(tblCommentary[Date],1):tblCommentary[[#This Row],[Date]],tblCommentary[[#This Row],[Date]]))</f>
        <v/>
      </c>
      <c r="F2130" s="63">
        <f>IF(tblCommentary[[#This Row],[Date]]="","",tblCommentary[[#This Row],[Date]]&amp;"|"&amp;tblCommentary[[#This Row],[Seq_Day]])</f>
        <v/>
      </c>
    </row>
    <row r="2131">
      <c r="A2131" s="54" t="n"/>
      <c r="B2131" s="61" t="n"/>
      <c r="C2131" s="58" t="n"/>
      <c r="D2131" s="58" t="n"/>
      <c r="E2131" s="64">
        <f>IF(tblCommentary[[#This Row],[Date]]="","",COUNTIFS(INDEX(tblCommentary[Date],1):tblCommentary[[#This Row],[Date]],tblCommentary[[#This Row],[Date]]))</f>
        <v/>
      </c>
      <c r="F2131" s="63">
        <f>IF(tblCommentary[[#This Row],[Date]]="","",tblCommentary[[#This Row],[Date]]&amp;"|"&amp;tblCommentary[[#This Row],[Seq_Day]])</f>
        <v/>
      </c>
    </row>
    <row r="2132">
      <c r="A2132" s="54" t="n"/>
      <c r="B2132" s="61" t="n"/>
      <c r="C2132" s="58" t="n"/>
      <c r="D2132" s="58" t="n"/>
      <c r="E2132" s="64">
        <f>IF(tblCommentary[[#This Row],[Date]]="","",COUNTIFS(INDEX(tblCommentary[Date],1):tblCommentary[[#This Row],[Date]],tblCommentary[[#This Row],[Date]]))</f>
        <v/>
      </c>
      <c r="F2132" s="63">
        <f>IF(tblCommentary[[#This Row],[Date]]="","",tblCommentary[[#This Row],[Date]]&amp;"|"&amp;tblCommentary[[#This Row],[Seq_Day]])</f>
        <v/>
      </c>
    </row>
    <row r="2133">
      <c r="A2133" s="54" t="n"/>
      <c r="B2133" s="61" t="n"/>
      <c r="C2133" s="58" t="n"/>
      <c r="D2133" s="58" t="n"/>
      <c r="E2133" s="64">
        <f>IF(tblCommentary[[#This Row],[Date]]="","",COUNTIFS(INDEX(tblCommentary[Date],1):tblCommentary[[#This Row],[Date]],tblCommentary[[#This Row],[Date]]))</f>
        <v/>
      </c>
      <c r="F2133" s="63">
        <f>IF(tblCommentary[[#This Row],[Date]]="","",tblCommentary[[#This Row],[Date]]&amp;"|"&amp;tblCommentary[[#This Row],[Seq_Day]])</f>
        <v/>
      </c>
    </row>
    <row r="2134">
      <c r="A2134" s="54" t="n"/>
      <c r="B2134" s="61" t="n"/>
      <c r="C2134" s="58" t="n"/>
      <c r="D2134" s="58" t="n"/>
      <c r="E2134" s="64">
        <f>IF(tblCommentary[[#This Row],[Date]]="","",COUNTIFS(INDEX(tblCommentary[Date],1):tblCommentary[[#This Row],[Date]],tblCommentary[[#This Row],[Date]]))</f>
        <v/>
      </c>
      <c r="F2134" s="63">
        <f>IF(tblCommentary[[#This Row],[Date]]="","",tblCommentary[[#This Row],[Date]]&amp;"|"&amp;tblCommentary[[#This Row],[Seq_Day]])</f>
        <v/>
      </c>
    </row>
    <row r="2135">
      <c r="A2135" s="54" t="n"/>
      <c r="B2135" s="61" t="n"/>
      <c r="C2135" s="58" t="n"/>
      <c r="D2135" s="58" t="n"/>
      <c r="E2135" s="64">
        <f>IF(tblCommentary[[#This Row],[Date]]="","",COUNTIFS(INDEX(tblCommentary[Date],1):tblCommentary[[#This Row],[Date]],tblCommentary[[#This Row],[Date]]))</f>
        <v/>
      </c>
      <c r="F2135" s="63">
        <f>IF(tblCommentary[[#This Row],[Date]]="","",tblCommentary[[#This Row],[Date]]&amp;"|"&amp;tblCommentary[[#This Row],[Seq_Day]])</f>
        <v/>
      </c>
    </row>
    <row r="2136">
      <c r="A2136" s="54" t="n"/>
      <c r="B2136" s="61" t="n"/>
      <c r="C2136" s="58" t="n"/>
      <c r="D2136" s="58" t="n"/>
      <c r="E2136" s="64">
        <f>IF(tblCommentary[[#This Row],[Date]]="","",COUNTIFS(INDEX(tblCommentary[Date],1):tblCommentary[[#This Row],[Date]],tblCommentary[[#This Row],[Date]]))</f>
        <v/>
      </c>
      <c r="F2136" s="63">
        <f>IF(tblCommentary[[#This Row],[Date]]="","",tblCommentary[[#This Row],[Date]]&amp;"|"&amp;tblCommentary[[#This Row],[Seq_Day]])</f>
        <v/>
      </c>
    </row>
    <row r="2137">
      <c r="A2137" s="54" t="n"/>
      <c r="B2137" s="61" t="n"/>
      <c r="C2137" s="58" t="n"/>
      <c r="D2137" s="58" t="n"/>
      <c r="E2137" s="64">
        <f>IF(tblCommentary[[#This Row],[Date]]="","",COUNTIFS(INDEX(tblCommentary[Date],1):tblCommentary[[#This Row],[Date]],tblCommentary[[#This Row],[Date]]))</f>
        <v/>
      </c>
      <c r="F2137" s="63">
        <f>IF(tblCommentary[[#This Row],[Date]]="","",tblCommentary[[#This Row],[Date]]&amp;"|"&amp;tblCommentary[[#This Row],[Seq_Day]])</f>
        <v/>
      </c>
    </row>
    <row r="2138">
      <c r="A2138" s="54" t="n"/>
      <c r="B2138" s="61" t="n"/>
      <c r="C2138" s="58" t="n"/>
      <c r="D2138" s="58" t="n"/>
      <c r="E2138" s="64">
        <f>IF(tblCommentary[[#This Row],[Date]]="","",COUNTIFS(INDEX(tblCommentary[Date],1):tblCommentary[[#This Row],[Date]],tblCommentary[[#This Row],[Date]]))</f>
        <v/>
      </c>
      <c r="F2138" s="63">
        <f>IF(tblCommentary[[#This Row],[Date]]="","",tblCommentary[[#This Row],[Date]]&amp;"|"&amp;tblCommentary[[#This Row],[Seq_Day]])</f>
        <v/>
      </c>
    </row>
    <row r="2139">
      <c r="A2139" s="54" t="n"/>
      <c r="B2139" s="61" t="n"/>
      <c r="C2139" s="58" t="n"/>
      <c r="D2139" s="58" t="n"/>
      <c r="E2139" s="64">
        <f>IF(tblCommentary[[#This Row],[Date]]="","",COUNTIFS(INDEX(tblCommentary[Date],1):tblCommentary[[#This Row],[Date]],tblCommentary[[#This Row],[Date]]))</f>
        <v/>
      </c>
      <c r="F2139" s="63">
        <f>IF(tblCommentary[[#This Row],[Date]]="","",tblCommentary[[#This Row],[Date]]&amp;"|"&amp;tblCommentary[[#This Row],[Seq_Day]])</f>
        <v/>
      </c>
    </row>
    <row r="2140">
      <c r="A2140" s="54" t="n"/>
      <c r="B2140" s="61" t="n"/>
      <c r="C2140" s="58" t="n"/>
      <c r="D2140" s="58" t="n"/>
      <c r="E2140" s="64">
        <f>IF(tblCommentary[[#This Row],[Date]]="","",COUNTIFS(INDEX(tblCommentary[Date],1):tblCommentary[[#This Row],[Date]],tblCommentary[[#This Row],[Date]]))</f>
        <v/>
      </c>
      <c r="F2140" s="63">
        <f>IF(tblCommentary[[#This Row],[Date]]="","",tblCommentary[[#This Row],[Date]]&amp;"|"&amp;tblCommentary[[#This Row],[Seq_Day]])</f>
        <v/>
      </c>
    </row>
    <row r="2141">
      <c r="A2141" s="54" t="n"/>
      <c r="B2141" s="61" t="n"/>
      <c r="C2141" s="58" t="n"/>
      <c r="D2141" s="58" t="n"/>
      <c r="E2141" s="64">
        <f>IF(tblCommentary[[#This Row],[Date]]="","",COUNTIFS(INDEX(tblCommentary[Date],1):tblCommentary[[#This Row],[Date]],tblCommentary[[#This Row],[Date]]))</f>
        <v/>
      </c>
      <c r="F2141" s="63">
        <f>IF(tblCommentary[[#This Row],[Date]]="","",tblCommentary[[#This Row],[Date]]&amp;"|"&amp;tblCommentary[[#This Row],[Seq_Day]])</f>
        <v/>
      </c>
    </row>
    <row r="2142">
      <c r="A2142" s="54" t="n"/>
      <c r="B2142" s="61" t="n"/>
      <c r="C2142" s="58" t="n"/>
      <c r="D2142" s="58" t="n"/>
      <c r="E2142" s="64">
        <f>IF(tblCommentary[[#This Row],[Date]]="","",COUNTIFS(INDEX(tblCommentary[Date],1):tblCommentary[[#This Row],[Date]],tblCommentary[[#This Row],[Date]]))</f>
        <v/>
      </c>
      <c r="F2142" s="63">
        <f>IF(tblCommentary[[#This Row],[Date]]="","",tblCommentary[[#This Row],[Date]]&amp;"|"&amp;tblCommentary[[#This Row],[Seq_Day]])</f>
        <v/>
      </c>
    </row>
    <row r="2143">
      <c r="A2143" s="54" t="n"/>
      <c r="B2143" s="61" t="n"/>
      <c r="C2143" s="58" t="n"/>
      <c r="D2143" s="58" t="n"/>
      <c r="E2143" s="64">
        <f>IF(tblCommentary[[#This Row],[Date]]="","",COUNTIFS(INDEX(tblCommentary[Date],1):tblCommentary[[#This Row],[Date]],tblCommentary[[#This Row],[Date]]))</f>
        <v/>
      </c>
      <c r="F2143" s="63">
        <f>IF(tblCommentary[[#This Row],[Date]]="","",tblCommentary[[#This Row],[Date]]&amp;"|"&amp;tblCommentary[[#This Row],[Seq_Day]])</f>
        <v/>
      </c>
    </row>
    <row r="2144">
      <c r="A2144" s="54" t="n"/>
      <c r="B2144" s="61" t="n"/>
      <c r="C2144" s="58" t="n"/>
      <c r="D2144" s="58" t="n"/>
      <c r="E2144" s="64">
        <f>IF(tblCommentary[[#This Row],[Date]]="","",COUNTIFS(INDEX(tblCommentary[Date],1):tblCommentary[[#This Row],[Date]],tblCommentary[[#This Row],[Date]]))</f>
        <v/>
      </c>
      <c r="F2144" s="63">
        <f>IF(tblCommentary[[#This Row],[Date]]="","",tblCommentary[[#This Row],[Date]]&amp;"|"&amp;tblCommentary[[#This Row],[Seq_Day]])</f>
        <v/>
      </c>
    </row>
    <row r="2145">
      <c r="A2145" s="54" t="n"/>
      <c r="B2145" s="61" t="n"/>
      <c r="C2145" s="58" t="n"/>
      <c r="D2145" s="58" t="n"/>
      <c r="E2145" s="64">
        <f>IF(tblCommentary[[#This Row],[Date]]="","",COUNTIFS(INDEX(tblCommentary[Date],1):tblCommentary[[#This Row],[Date]],tblCommentary[[#This Row],[Date]]))</f>
        <v/>
      </c>
      <c r="F2145" s="63">
        <f>IF(tblCommentary[[#This Row],[Date]]="","",tblCommentary[[#This Row],[Date]]&amp;"|"&amp;tblCommentary[[#This Row],[Seq_Day]])</f>
        <v/>
      </c>
    </row>
    <row r="2146">
      <c r="A2146" s="54" t="n"/>
      <c r="B2146" s="61" t="n"/>
      <c r="C2146" s="58" t="n"/>
      <c r="D2146" s="58" t="n"/>
      <c r="E2146" s="64">
        <f>IF(tblCommentary[[#This Row],[Date]]="","",COUNTIFS(INDEX(tblCommentary[Date],1):tblCommentary[[#This Row],[Date]],tblCommentary[[#This Row],[Date]]))</f>
        <v/>
      </c>
      <c r="F2146" s="63">
        <f>IF(tblCommentary[[#This Row],[Date]]="","",tblCommentary[[#This Row],[Date]]&amp;"|"&amp;tblCommentary[[#This Row],[Seq_Day]])</f>
        <v/>
      </c>
    </row>
    <row r="2147">
      <c r="A2147" s="54" t="n"/>
      <c r="B2147" s="61" t="n"/>
      <c r="C2147" s="58" t="n"/>
      <c r="D2147" s="58" t="n"/>
      <c r="E2147" s="64">
        <f>IF(tblCommentary[[#This Row],[Date]]="","",COUNTIFS(INDEX(tblCommentary[Date],1):tblCommentary[[#This Row],[Date]],tblCommentary[[#This Row],[Date]]))</f>
        <v/>
      </c>
      <c r="F2147" s="63">
        <f>IF(tblCommentary[[#This Row],[Date]]="","",tblCommentary[[#This Row],[Date]]&amp;"|"&amp;tblCommentary[[#This Row],[Seq_Day]])</f>
        <v/>
      </c>
    </row>
    <row r="2148">
      <c r="A2148" s="54" t="n"/>
      <c r="B2148" s="61" t="n"/>
      <c r="C2148" s="58" t="n"/>
      <c r="D2148" s="58" t="n"/>
      <c r="E2148" s="64">
        <f>IF(tblCommentary[[#This Row],[Date]]="","",COUNTIFS(INDEX(tblCommentary[Date],1):tblCommentary[[#This Row],[Date]],tblCommentary[[#This Row],[Date]]))</f>
        <v/>
      </c>
      <c r="F2148" s="63">
        <f>IF(tblCommentary[[#This Row],[Date]]="","",tblCommentary[[#This Row],[Date]]&amp;"|"&amp;tblCommentary[[#This Row],[Seq_Day]])</f>
        <v/>
      </c>
    </row>
    <row r="2149">
      <c r="A2149" s="54" t="n"/>
      <c r="B2149" s="61" t="n"/>
      <c r="C2149" s="58" t="n"/>
      <c r="D2149" s="58" t="n"/>
      <c r="E2149" s="64">
        <f>IF(tblCommentary[[#This Row],[Date]]="","",COUNTIFS(INDEX(tblCommentary[Date],1):tblCommentary[[#This Row],[Date]],tblCommentary[[#This Row],[Date]]))</f>
        <v/>
      </c>
      <c r="F2149" s="63">
        <f>IF(tblCommentary[[#This Row],[Date]]="","",tblCommentary[[#This Row],[Date]]&amp;"|"&amp;tblCommentary[[#This Row],[Seq_Day]])</f>
        <v/>
      </c>
    </row>
    <row r="2150">
      <c r="A2150" s="54" t="n"/>
      <c r="B2150" s="61" t="n"/>
      <c r="C2150" s="58" t="n"/>
      <c r="D2150" s="58" t="n"/>
      <c r="E2150" s="64">
        <f>IF(tblCommentary[[#This Row],[Date]]="","",COUNTIFS(INDEX(tblCommentary[Date],1):tblCommentary[[#This Row],[Date]],tblCommentary[[#This Row],[Date]]))</f>
        <v/>
      </c>
      <c r="F2150" s="63">
        <f>IF(tblCommentary[[#This Row],[Date]]="","",tblCommentary[[#This Row],[Date]]&amp;"|"&amp;tblCommentary[[#This Row],[Seq_Day]])</f>
        <v/>
      </c>
    </row>
    <row r="2151">
      <c r="A2151" s="54" t="n"/>
      <c r="B2151" s="61" t="n"/>
      <c r="C2151" s="58" t="n"/>
      <c r="D2151" s="58" t="n"/>
      <c r="E2151" s="64">
        <f>IF(tblCommentary[[#This Row],[Date]]="","",COUNTIFS(INDEX(tblCommentary[Date],1):tblCommentary[[#This Row],[Date]],tblCommentary[[#This Row],[Date]]))</f>
        <v/>
      </c>
      <c r="F2151" s="63">
        <f>IF(tblCommentary[[#This Row],[Date]]="","",tblCommentary[[#This Row],[Date]]&amp;"|"&amp;tblCommentary[[#This Row],[Seq_Day]])</f>
        <v/>
      </c>
    </row>
    <row r="2152">
      <c r="A2152" s="54" t="n"/>
      <c r="B2152" s="61" t="n"/>
      <c r="C2152" s="58" t="n"/>
      <c r="D2152" s="58" t="n"/>
      <c r="E2152" s="64">
        <f>IF(tblCommentary[[#This Row],[Date]]="","",COUNTIFS(INDEX(tblCommentary[Date],1):tblCommentary[[#This Row],[Date]],tblCommentary[[#This Row],[Date]]))</f>
        <v/>
      </c>
      <c r="F2152" s="63">
        <f>IF(tblCommentary[[#This Row],[Date]]="","",tblCommentary[[#This Row],[Date]]&amp;"|"&amp;tblCommentary[[#This Row],[Seq_Day]])</f>
        <v/>
      </c>
    </row>
    <row r="2153">
      <c r="A2153" s="54" t="n"/>
      <c r="B2153" s="61" t="n"/>
      <c r="C2153" s="58" t="n"/>
      <c r="D2153" s="58" t="n"/>
      <c r="E2153" s="64">
        <f>IF(tblCommentary[[#This Row],[Date]]="","",COUNTIFS(INDEX(tblCommentary[Date],1):tblCommentary[[#This Row],[Date]],tblCommentary[[#This Row],[Date]]))</f>
        <v/>
      </c>
      <c r="F2153" s="63">
        <f>IF(tblCommentary[[#This Row],[Date]]="","",tblCommentary[[#This Row],[Date]]&amp;"|"&amp;tblCommentary[[#This Row],[Seq_Day]])</f>
        <v/>
      </c>
    </row>
    <row r="2154">
      <c r="A2154" s="54" t="n"/>
      <c r="B2154" s="61" t="n"/>
      <c r="C2154" s="58" t="n"/>
      <c r="D2154" s="58" t="n"/>
      <c r="E2154" s="64">
        <f>IF(tblCommentary[[#This Row],[Date]]="","",COUNTIFS(INDEX(tblCommentary[Date],1):tblCommentary[[#This Row],[Date]],tblCommentary[[#This Row],[Date]]))</f>
        <v/>
      </c>
      <c r="F2154" s="63">
        <f>IF(tblCommentary[[#This Row],[Date]]="","",tblCommentary[[#This Row],[Date]]&amp;"|"&amp;tblCommentary[[#This Row],[Seq_Day]])</f>
        <v/>
      </c>
    </row>
    <row r="2155">
      <c r="A2155" s="54" t="n"/>
      <c r="B2155" s="61" t="n"/>
      <c r="C2155" s="58" t="n"/>
      <c r="D2155" s="58" t="n"/>
      <c r="E2155" s="64">
        <f>IF(tblCommentary[[#This Row],[Date]]="","",COUNTIFS(INDEX(tblCommentary[Date],1):tblCommentary[[#This Row],[Date]],tblCommentary[[#This Row],[Date]]))</f>
        <v/>
      </c>
      <c r="F2155" s="63">
        <f>IF(tblCommentary[[#This Row],[Date]]="","",tblCommentary[[#This Row],[Date]]&amp;"|"&amp;tblCommentary[[#This Row],[Seq_Day]])</f>
        <v/>
      </c>
    </row>
    <row r="2156">
      <c r="A2156" s="54" t="n"/>
      <c r="B2156" s="61" t="n"/>
      <c r="C2156" s="58" t="n"/>
      <c r="D2156" s="58" t="n"/>
      <c r="E2156" s="64">
        <f>IF(tblCommentary[[#This Row],[Date]]="","",COUNTIFS(INDEX(tblCommentary[Date],1):tblCommentary[[#This Row],[Date]],tblCommentary[[#This Row],[Date]]))</f>
        <v/>
      </c>
      <c r="F2156" s="63">
        <f>IF(tblCommentary[[#This Row],[Date]]="","",tblCommentary[[#This Row],[Date]]&amp;"|"&amp;tblCommentary[[#This Row],[Seq_Day]])</f>
        <v/>
      </c>
    </row>
    <row r="2157">
      <c r="A2157" s="54" t="n"/>
      <c r="B2157" s="61" t="n"/>
      <c r="C2157" s="58" t="n"/>
      <c r="D2157" s="58" t="n"/>
      <c r="E2157" s="64">
        <f>IF(tblCommentary[[#This Row],[Date]]="","",COUNTIFS(INDEX(tblCommentary[Date],1):tblCommentary[[#This Row],[Date]],tblCommentary[[#This Row],[Date]]))</f>
        <v/>
      </c>
      <c r="F2157" s="63">
        <f>IF(tblCommentary[[#This Row],[Date]]="","",tblCommentary[[#This Row],[Date]]&amp;"|"&amp;tblCommentary[[#This Row],[Seq_Day]])</f>
        <v/>
      </c>
    </row>
    <row r="2158">
      <c r="A2158" s="54" t="n"/>
      <c r="B2158" s="61" t="n"/>
      <c r="C2158" s="58" t="n"/>
      <c r="D2158" s="58" t="n"/>
      <c r="E2158" s="64">
        <f>IF(tblCommentary[[#This Row],[Date]]="","",COUNTIFS(INDEX(tblCommentary[Date],1):tblCommentary[[#This Row],[Date]],tblCommentary[[#This Row],[Date]]))</f>
        <v/>
      </c>
      <c r="F2158" s="63">
        <f>IF(tblCommentary[[#This Row],[Date]]="","",tblCommentary[[#This Row],[Date]]&amp;"|"&amp;tblCommentary[[#This Row],[Seq_Day]])</f>
        <v/>
      </c>
    </row>
    <row r="2159">
      <c r="A2159" s="54" t="n"/>
      <c r="B2159" s="61" t="n"/>
      <c r="C2159" s="58" t="n"/>
      <c r="D2159" s="58" t="n"/>
      <c r="E2159" s="64">
        <f>IF(tblCommentary[[#This Row],[Date]]="","",COUNTIFS(INDEX(tblCommentary[Date],1):tblCommentary[[#This Row],[Date]],tblCommentary[[#This Row],[Date]]))</f>
        <v/>
      </c>
      <c r="F2159" s="63">
        <f>IF(tblCommentary[[#This Row],[Date]]="","",tblCommentary[[#This Row],[Date]]&amp;"|"&amp;tblCommentary[[#This Row],[Seq_Day]])</f>
        <v/>
      </c>
    </row>
    <row r="2160">
      <c r="A2160" s="54" t="n"/>
      <c r="B2160" s="61" t="n"/>
      <c r="C2160" s="58" t="n"/>
      <c r="D2160" s="58" t="n"/>
      <c r="E2160" s="64">
        <f>IF(tblCommentary[[#This Row],[Date]]="","",COUNTIFS(INDEX(tblCommentary[Date],1):tblCommentary[[#This Row],[Date]],tblCommentary[[#This Row],[Date]]))</f>
        <v/>
      </c>
      <c r="F2160" s="63">
        <f>IF(tblCommentary[[#This Row],[Date]]="","",tblCommentary[[#This Row],[Date]]&amp;"|"&amp;tblCommentary[[#This Row],[Seq_Day]])</f>
        <v/>
      </c>
    </row>
    <row r="2161">
      <c r="A2161" s="54" t="n"/>
      <c r="B2161" s="61" t="n"/>
      <c r="C2161" s="58" t="n"/>
      <c r="D2161" s="58" t="n"/>
      <c r="E2161" s="64">
        <f>IF(tblCommentary[[#This Row],[Date]]="","",COUNTIFS(INDEX(tblCommentary[Date],1):tblCommentary[[#This Row],[Date]],tblCommentary[[#This Row],[Date]]))</f>
        <v/>
      </c>
      <c r="F2161" s="63">
        <f>IF(tblCommentary[[#This Row],[Date]]="","",tblCommentary[[#This Row],[Date]]&amp;"|"&amp;tblCommentary[[#This Row],[Seq_Day]])</f>
        <v/>
      </c>
    </row>
    <row r="2162">
      <c r="A2162" s="54" t="n"/>
      <c r="B2162" s="61" t="n"/>
      <c r="C2162" s="58" t="n"/>
      <c r="D2162" s="58" t="n"/>
      <c r="E2162" s="64">
        <f>IF(tblCommentary[[#This Row],[Date]]="","",COUNTIFS(INDEX(tblCommentary[Date],1):tblCommentary[[#This Row],[Date]],tblCommentary[[#This Row],[Date]]))</f>
        <v/>
      </c>
      <c r="F2162" s="63">
        <f>IF(tblCommentary[[#This Row],[Date]]="","",tblCommentary[[#This Row],[Date]]&amp;"|"&amp;tblCommentary[[#This Row],[Seq_Day]])</f>
        <v/>
      </c>
    </row>
    <row r="2163">
      <c r="A2163" s="54" t="n"/>
      <c r="B2163" s="61" t="n"/>
      <c r="C2163" s="58" t="n"/>
      <c r="D2163" s="58" t="n"/>
      <c r="E2163" s="64">
        <f>IF(tblCommentary[[#This Row],[Date]]="","",COUNTIFS(INDEX(tblCommentary[Date],1):tblCommentary[[#This Row],[Date]],tblCommentary[[#This Row],[Date]]))</f>
        <v/>
      </c>
      <c r="F2163" s="63">
        <f>IF(tblCommentary[[#This Row],[Date]]="","",tblCommentary[[#This Row],[Date]]&amp;"|"&amp;tblCommentary[[#This Row],[Seq_Day]])</f>
        <v/>
      </c>
    </row>
    <row r="2164">
      <c r="A2164" s="54" t="n"/>
      <c r="B2164" s="61" t="n"/>
      <c r="C2164" s="58" t="n"/>
      <c r="D2164" s="58" t="n"/>
      <c r="E2164" s="64">
        <f>IF(tblCommentary[[#This Row],[Date]]="","",COUNTIFS(INDEX(tblCommentary[Date],1):tblCommentary[[#This Row],[Date]],tblCommentary[[#This Row],[Date]]))</f>
        <v/>
      </c>
      <c r="F2164" s="63">
        <f>IF(tblCommentary[[#This Row],[Date]]="","",tblCommentary[[#This Row],[Date]]&amp;"|"&amp;tblCommentary[[#This Row],[Seq_Day]])</f>
        <v/>
      </c>
    </row>
    <row r="2165">
      <c r="A2165" s="54" t="n"/>
      <c r="B2165" s="61" t="n"/>
      <c r="C2165" s="58" t="n"/>
      <c r="D2165" s="58" t="n"/>
      <c r="E2165" s="64">
        <f>IF(tblCommentary[[#This Row],[Date]]="","",COUNTIFS(INDEX(tblCommentary[Date],1):tblCommentary[[#This Row],[Date]],tblCommentary[[#This Row],[Date]]))</f>
        <v/>
      </c>
      <c r="F2165" s="63">
        <f>IF(tblCommentary[[#This Row],[Date]]="","",tblCommentary[[#This Row],[Date]]&amp;"|"&amp;tblCommentary[[#This Row],[Seq_Day]])</f>
        <v/>
      </c>
    </row>
    <row r="2166">
      <c r="A2166" s="54" t="n"/>
      <c r="B2166" s="61" t="n"/>
      <c r="C2166" s="58" t="n"/>
      <c r="D2166" s="58" t="n"/>
      <c r="E2166" s="64">
        <f>IF(tblCommentary[[#This Row],[Date]]="","",COUNTIFS(INDEX(tblCommentary[Date],1):tblCommentary[[#This Row],[Date]],tblCommentary[[#This Row],[Date]]))</f>
        <v/>
      </c>
      <c r="F2166" s="63">
        <f>IF(tblCommentary[[#This Row],[Date]]="","",tblCommentary[[#This Row],[Date]]&amp;"|"&amp;tblCommentary[[#This Row],[Seq_Day]])</f>
        <v/>
      </c>
    </row>
    <row r="2167">
      <c r="A2167" s="54" t="n"/>
      <c r="B2167" s="61" t="n"/>
      <c r="C2167" s="58" t="n"/>
      <c r="D2167" s="58" t="n"/>
      <c r="E2167" s="64">
        <f>IF(tblCommentary[[#This Row],[Date]]="","",COUNTIFS(INDEX(tblCommentary[Date],1):tblCommentary[[#This Row],[Date]],tblCommentary[[#This Row],[Date]]))</f>
        <v/>
      </c>
      <c r="F2167" s="63">
        <f>IF(tblCommentary[[#This Row],[Date]]="","",tblCommentary[[#This Row],[Date]]&amp;"|"&amp;tblCommentary[[#This Row],[Seq_Day]])</f>
        <v/>
      </c>
    </row>
    <row r="2168">
      <c r="A2168" s="54" t="n"/>
      <c r="B2168" s="61" t="n"/>
      <c r="C2168" s="58" t="n"/>
      <c r="D2168" s="58" t="n"/>
      <c r="E2168" s="64">
        <f>IF(tblCommentary[[#This Row],[Date]]="","",COUNTIFS(INDEX(tblCommentary[Date],1):tblCommentary[[#This Row],[Date]],tblCommentary[[#This Row],[Date]]))</f>
        <v/>
      </c>
      <c r="F2168" s="63">
        <f>IF(tblCommentary[[#This Row],[Date]]="","",tblCommentary[[#This Row],[Date]]&amp;"|"&amp;tblCommentary[[#This Row],[Seq_Day]])</f>
        <v/>
      </c>
    </row>
    <row r="2169">
      <c r="A2169" s="54" t="n"/>
      <c r="B2169" s="61" t="n"/>
      <c r="C2169" s="58" t="n"/>
      <c r="D2169" s="58" t="n"/>
      <c r="E2169" s="64">
        <f>IF(tblCommentary[[#This Row],[Date]]="","",COUNTIFS(INDEX(tblCommentary[Date],1):tblCommentary[[#This Row],[Date]],tblCommentary[[#This Row],[Date]]))</f>
        <v/>
      </c>
      <c r="F2169" s="63">
        <f>IF(tblCommentary[[#This Row],[Date]]="","",tblCommentary[[#This Row],[Date]]&amp;"|"&amp;tblCommentary[[#This Row],[Seq_Day]])</f>
        <v/>
      </c>
    </row>
    <row r="2170">
      <c r="A2170" s="54" t="n"/>
      <c r="B2170" s="61" t="n"/>
      <c r="C2170" s="58" t="n"/>
      <c r="D2170" s="58" t="n"/>
      <c r="E2170" s="64">
        <f>IF(tblCommentary[[#This Row],[Date]]="","",COUNTIFS(INDEX(tblCommentary[Date],1):tblCommentary[[#This Row],[Date]],tblCommentary[[#This Row],[Date]]))</f>
        <v/>
      </c>
      <c r="F2170" s="63">
        <f>IF(tblCommentary[[#This Row],[Date]]="","",tblCommentary[[#This Row],[Date]]&amp;"|"&amp;tblCommentary[[#This Row],[Seq_Day]])</f>
        <v/>
      </c>
    </row>
    <row r="2171">
      <c r="A2171" s="54" t="n"/>
      <c r="B2171" s="61" t="n"/>
      <c r="C2171" s="58" t="n"/>
      <c r="D2171" s="58" t="n"/>
      <c r="E2171" s="64">
        <f>IF(tblCommentary[[#This Row],[Date]]="","",COUNTIFS(INDEX(tblCommentary[Date],1):tblCommentary[[#This Row],[Date]],tblCommentary[[#This Row],[Date]]))</f>
        <v/>
      </c>
      <c r="F2171" s="63">
        <f>IF(tblCommentary[[#This Row],[Date]]="","",tblCommentary[[#This Row],[Date]]&amp;"|"&amp;tblCommentary[[#This Row],[Seq_Day]])</f>
        <v/>
      </c>
    </row>
    <row r="2172">
      <c r="A2172" s="54" t="n"/>
      <c r="B2172" s="61" t="n"/>
      <c r="C2172" s="58" t="n"/>
      <c r="D2172" s="58" t="n"/>
      <c r="E2172" s="64">
        <f>IF(tblCommentary[[#This Row],[Date]]="","",COUNTIFS(INDEX(tblCommentary[Date],1):tblCommentary[[#This Row],[Date]],tblCommentary[[#This Row],[Date]]))</f>
        <v/>
      </c>
      <c r="F2172" s="63">
        <f>IF(tblCommentary[[#This Row],[Date]]="","",tblCommentary[[#This Row],[Date]]&amp;"|"&amp;tblCommentary[[#This Row],[Seq_Day]])</f>
        <v/>
      </c>
    </row>
    <row r="2173">
      <c r="A2173" s="54" t="n"/>
      <c r="B2173" s="61" t="n"/>
      <c r="C2173" s="58" t="n"/>
      <c r="D2173" s="58" t="n"/>
      <c r="E2173" s="64">
        <f>IF(tblCommentary[[#This Row],[Date]]="","",COUNTIFS(INDEX(tblCommentary[Date],1):tblCommentary[[#This Row],[Date]],tblCommentary[[#This Row],[Date]]))</f>
        <v/>
      </c>
      <c r="F2173" s="63">
        <f>IF(tblCommentary[[#This Row],[Date]]="","",tblCommentary[[#This Row],[Date]]&amp;"|"&amp;tblCommentary[[#This Row],[Seq_Day]])</f>
        <v/>
      </c>
    </row>
    <row r="2174">
      <c r="A2174" s="54" t="n"/>
      <c r="B2174" s="61" t="n"/>
      <c r="C2174" s="58" t="n"/>
      <c r="D2174" s="58" t="n"/>
      <c r="E2174" s="64">
        <f>IF(tblCommentary[[#This Row],[Date]]="","",COUNTIFS(INDEX(tblCommentary[Date],1):tblCommentary[[#This Row],[Date]],tblCommentary[[#This Row],[Date]]))</f>
        <v/>
      </c>
      <c r="F2174" s="63">
        <f>IF(tblCommentary[[#This Row],[Date]]="","",tblCommentary[[#This Row],[Date]]&amp;"|"&amp;tblCommentary[[#This Row],[Seq_Day]])</f>
        <v/>
      </c>
    </row>
    <row r="2175">
      <c r="A2175" s="54" t="n"/>
      <c r="B2175" s="61" t="n"/>
      <c r="C2175" s="58" t="n"/>
      <c r="D2175" s="58" t="n"/>
      <c r="E2175" s="64">
        <f>IF(tblCommentary[[#This Row],[Date]]="","",COUNTIFS(INDEX(tblCommentary[Date],1):tblCommentary[[#This Row],[Date]],tblCommentary[[#This Row],[Date]]))</f>
        <v/>
      </c>
      <c r="F2175" s="63">
        <f>IF(tblCommentary[[#This Row],[Date]]="","",tblCommentary[[#This Row],[Date]]&amp;"|"&amp;tblCommentary[[#This Row],[Seq_Day]])</f>
        <v/>
      </c>
    </row>
    <row r="2176">
      <c r="A2176" s="54" t="n"/>
      <c r="B2176" s="61" t="n"/>
      <c r="C2176" s="58" t="n"/>
      <c r="D2176" s="58" t="n"/>
      <c r="E2176" s="64">
        <f>IF(tblCommentary[[#This Row],[Date]]="","",COUNTIFS(INDEX(tblCommentary[Date],1):tblCommentary[[#This Row],[Date]],tblCommentary[[#This Row],[Date]]))</f>
        <v/>
      </c>
      <c r="F2176" s="63">
        <f>IF(tblCommentary[[#This Row],[Date]]="","",tblCommentary[[#This Row],[Date]]&amp;"|"&amp;tblCommentary[[#This Row],[Seq_Day]])</f>
        <v/>
      </c>
    </row>
    <row r="2177">
      <c r="A2177" s="54" t="n"/>
      <c r="B2177" s="61" t="n"/>
      <c r="C2177" s="58" t="n"/>
      <c r="D2177" s="58" t="n"/>
      <c r="E2177" s="64">
        <f>IF(tblCommentary[[#This Row],[Date]]="","",COUNTIFS(INDEX(tblCommentary[Date],1):tblCommentary[[#This Row],[Date]],tblCommentary[[#This Row],[Date]]))</f>
        <v/>
      </c>
      <c r="F2177" s="63">
        <f>IF(tblCommentary[[#This Row],[Date]]="","",tblCommentary[[#This Row],[Date]]&amp;"|"&amp;tblCommentary[[#This Row],[Seq_Day]])</f>
        <v/>
      </c>
    </row>
    <row r="2178">
      <c r="A2178" s="54" t="n"/>
      <c r="B2178" s="61" t="n"/>
      <c r="C2178" s="58" t="n"/>
      <c r="D2178" s="58" t="n"/>
      <c r="E2178" s="64">
        <f>IF(tblCommentary[[#This Row],[Date]]="","",COUNTIFS(INDEX(tblCommentary[Date],1):tblCommentary[[#This Row],[Date]],tblCommentary[[#This Row],[Date]]))</f>
        <v/>
      </c>
      <c r="F2178" s="63">
        <f>IF(tblCommentary[[#This Row],[Date]]="","",tblCommentary[[#This Row],[Date]]&amp;"|"&amp;tblCommentary[[#This Row],[Seq_Day]])</f>
        <v/>
      </c>
    </row>
    <row r="2179">
      <c r="A2179" s="54" t="n"/>
      <c r="B2179" s="61" t="n"/>
      <c r="C2179" s="58" t="n"/>
      <c r="D2179" s="58" t="n"/>
      <c r="E2179" s="64">
        <f>IF(tblCommentary[[#This Row],[Date]]="","",COUNTIFS(INDEX(tblCommentary[Date],1):tblCommentary[[#This Row],[Date]],tblCommentary[[#This Row],[Date]]))</f>
        <v/>
      </c>
      <c r="F2179" s="63">
        <f>IF(tblCommentary[[#This Row],[Date]]="","",tblCommentary[[#This Row],[Date]]&amp;"|"&amp;tblCommentary[[#This Row],[Seq_Day]])</f>
        <v/>
      </c>
    </row>
    <row r="2180">
      <c r="A2180" s="54" t="n"/>
      <c r="B2180" s="61" t="n"/>
      <c r="C2180" s="58" t="n"/>
      <c r="D2180" s="58" t="n"/>
      <c r="E2180" s="64">
        <f>IF(tblCommentary[[#This Row],[Date]]="","",COUNTIFS(INDEX(tblCommentary[Date],1):tblCommentary[[#This Row],[Date]],tblCommentary[[#This Row],[Date]]))</f>
        <v/>
      </c>
      <c r="F2180" s="63">
        <f>IF(tblCommentary[[#This Row],[Date]]="","",tblCommentary[[#This Row],[Date]]&amp;"|"&amp;tblCommentary[[#This Row],[Seq_Day]])</f>
        <v/>
      </c>
    </row>
    <row r="2181">
      <c r="A2181" s="54" t="n"/>
      <c r="B2181" s="61" t="n"/>
      <c r="C2181" s="58" t="n"/>
      <c r="D2181" s="58" t="n"/>
      <c r="E2181" s="64">
        <f>IF(tblCommentary[[#This Row],[Date]]="","",COUNTIFS(INDEX(tblCommentary[Date],1):tblCommentary[[#This Row],[Date]],tblCommentary[[#This Row],[Date]]))</f>
        <v/>
      </c>
      <c r="F2181" s="63">
        <f>IF(tblCommentary[[#This Row],[Date]]="","",tblCommentary[[#This Row],[Date]]&amp;"|"&amp;tblCommentary[[#This Row],[Seq_Day]])</f>
        <v/>
      </c>
    </row>
    <row r="2182">
      <c r="A2182" s="54" t="n"/>
      <c r="B2182" s="61" t="n"/>
      <c r="C2182" s="58" t="n"/>
      <c r="D2182" s="58" t="n"/>
      <c r="E2182" s="64">
        <f>IF(tblCommentary[[#This Row],[Date]]="","",COUNTIFS(INDEX(tblCommentary[Date],1):tblCommentary[[#This Row],[Date]],tblCommentary[[#This Row],[Date]]))</f>
        <v/>
      </c>
      <c r="F2182" s="63">
        <f>IF(tblCommentary[[#This Row],[Date]]="","",tblCommentary[[#This Row],[Date]]&amp;"|"&amp;tblCommentary[[#This Row],[Seq_Day]])</f>
        <v/>
      </c>
    </row>
    <row r="2183">
      <c r="A2183" s="54" t="n"/>
      <c r="B2183" s="61" t="n"/>
      <c r="C2183" s="58" t="n"/>
      <c r="D2183" s="58" t="n"/>
      <c r="E2183" s="64">
        <f>IF(tblCommentary[[#This Row],[Date]]="","",COUNTIFS(INDEX(tblCommentary[Date],1):tblCommentary[[#This Row],[Date]],tblCommentary[[#This Row],[Date]]))</f>
        <v/>
      </c>
      <c r="F2183" s="63">
        <f>IF(tblCommentary[[#This Row],[Date]]="","",tblCommentary[[#This Row],[Date]]&amp;"|"&amp;tblCommentary[[#This Row],[Seq_Day]])</f>
        <v/>
      </c>
    </row>
    <row r="2184">
      <c r="A2184" s="54" t="n"/>
      <c r="B2184" s="61" t="n"/>
      <c r="C2184" s="58" t="n"/>
      <c r="D2184" s="58" t="n"/>
      <c r="E2184" s="64">
        <f>IF(tblCommentary[[#This Row],[Date]]="","",COUNTIFS(INDEX(tblCommentary[Date],1):tblCommentary[[#This Row],[Date]],tblCommentary[[#This Row],[Date]]))</f>
        <v/>
      </c>
      <c r="F2184" s="63">
        <f>IF(tblCommentary[[#This Row],[Date]]="","",tblCommentary[[#This Row],[Date]]&amp;"|"&amp;tblCommentary[[#This Row],[Seq_Day]])</f>
        <v/>
      </c>
    </row>
    <row r="2185">
      <c r="A2185" s="54" t="n"/>
      <c r="B2185" s="61" t="n"/>
      <c r="C2185" s="58" t="n"/>
      <c r="D2185" s="58" t="n"/>
      <c r="E2185" s="64">
        <f>IF(tblCommentary[[#This Row],[Date]]="","",COUNTIFS(INDEX(tblCommentary[Date],1):tblCommentary[[#This Row],[Date]],tblCommentary[[#This Row],[Date]]))</f>
        <v/>
      </c>
      <c r="F2185" s="63">
        <f>IF(tblCommentary[[#This Row],[Date]]="","",tblCommentary[[#This Row],[Date]]&amp;"|"&amp;tblCommentary[[#This Row],[Seq_Day]])</f>
        <v/>
      </c>
    </row>
    <row r="2186">
      <c r="A2186" s="54" t="n"/>
      <c r="B2186" s="61" t="n"/>
      <c r="C2186" s="58" t="n"/>
      <c r="D2186" s="58" t="n"/>
      <c r="E2186" s="64">
        <f>IF(tblCommentary[[#This Row],[Date]]="","",COUNTIFS(INDEX(tblCommentary[Date],1):tblCommentary[[#This Row],[Date]],tblCommentary[[#This Row],[Date]]))</f>
        <v/>
      </c>
      <c r="F2186" s="63">
        <f>IF(tblCommentary[[#This Row],[Date]]="","",tblCommentary[[#This Row],[Date]]&amp;"|"&amp;tblCommentary[[#This Row],[Seq_Day]])</f>
        <v/>
      </c>
    </row>
    <row r="2187">
      <c r="A2187" s="54" t="n"/>
      <c r="B2187" s="61" t="n"/>
      <c r="C2187" s="58" t="n"/>
      <c r="D2187" s="58" t="n"/>
      <c r="E2187" s="64">
        <f>IF(tblCommentary[[#This Row],[Date]]="","",COUNTIFS(INDEX(tblCommentary[Date],1):tblCommentary[[#This Row],[Date]],tblCommentary[[#This Row],[Date]]))</f>
        <v/>
      </c>
      <c r="F2187" s="63">
        <f>IF(tblCommentary[[#This Row],[Date]]="","",tblCommentary[[#This Row],[Date]]&amp;"|"&amp;tblCommentary[[#This Row],[Seq_Day]])</f>
        <v/>
      </c>
    </row>
    <row r="2188">
      <c r="A2188" s="54" t="n"/>
      <c r="B2188" s="61" t="n"/>
      <c r="C2188" s="58" t="n"/>
      <c r="D2188" s="58" t="n"/>
      <c r="E2188" s="64">
        <f>IF(tblCommentary[[#This Row],[Date]]="","",COUNTIFS(INDEX(tblCommentary[Date],1):tblCommentary[[#This Row],[Date]],tblCommentary[[#This Row],[Date]]))</f>
        <v/>
      </c>
      <c r="F2188" s="63">
        <f>IF(tblCommentary[[#This Row],[Date]]="","",tblCommentary[[#This Row],[Date]]&amp;"|"&amp;tblCommentary[[#This Row],[Seq_Day]])</f>
        <v/>
      </c>
    </row>
    <row r="2189">
      <c r="A2189" s="54" t="n"/>
      <c r="B2189" s="61" t="n"/>
      <c r="C2189" s="58" t="n"/>
      <c r="D2189" s="58" t="n"/>
      <c r="E2189" s="64">
        <f>IF(tblCommentary[[#This Row],[Date]]="","",COUNTIFS(INDEX(tblCommentary[Date],1):tblCommentary[[#This Row],[Date]],tblCommentary[[#This Row],[Date]]))</f>
        <v/>
      </c>
      <c r="F2189" s="63">
        <f>IF(tblCommentary[[#This Row],[Date]]="","",tblCommentary[[#This Row],[Date]]&amp;"|"&amp;tblCommentary[[#This Row],[Seq_Day]])</f>
        <v/>
      </c>
    </row>
    <row r="2190">
      <c r="A2190" s="54" t="n"/>
      <c r="B2190" s="61" t="n"/>
      <c r="C2190" s="58" t="n"/>
      <c r="D2190" s="58" t="n"/>
      <c r="E2190" s="64">
        <f>IF(tblCommentary[[#This Row],[Date]]="","",COUNTIFS(INDEX(tblCommentary[Date],1):tblCommentary[[#This Row],[Date]],tblCommentary[[#This Row],[Date]]))</f>
        <v/>
      </c>
      <c r="F2190" s="63">
        <f>IF(tblCommentary[[#This Row],[Date]]="","",tblCommentary[[#This Row],[Date]]&amp;"|"&amp;tblCommentary[[#This Row],[Seq_Day]])</f>
        <v/>
      </c>
    </row>
    <row r="2191">
      <c r="A2191" s="54" t="n"/>
      <c r="B2191" s="61" t="n"/>
      <c r="C2191" s="58" t="n"/>
      <c r="D2191" s="58" t="n"/>
      <c r="E2191" s="64">
        <f>IF(tblCommentary[[#This Row],[Date]]="","",COUNTIFS(INDEX(tblCommentary[Date],1):tblCommentary[[#This Row],[Date]],tblCommentary[[#This Row],[Date]]))</f>
        <v/>
      </c>
      <c r="F2191" s="63">
        <f>IF(tblCommentary[[#This Row],[Date]]="","",tblCommentary[[#This Row],[Date]]&amp;"|"&amp;tblCommentary[[#This Row],[Seq_Day]])</f>
        <v/>
      </c>
    </row>
    <row r="2192">
      <c r="A2192" s="54" t="n"/>
      <c r="B2192" s="61" t="n"/>
      <c r="C2192" s="58" t="n"/>
      <c r="D2192" s="58" t="n"/>
      <c r="E2192" s="64">
        <f>IF(tblCommentary[[#This Row],[Date]]="","",COUNTIFS(INDEX(tblCommentary[Date],1):tblCommentary[[#This Row],[Date]],tblCommentary[[#This Row],[Date]]))</f>
        <v/>
      </c>
      <c r="F2192" s="63">
        <f>IF(tblCommentary[[#This Row],[Date]]="","",tblCommentary[[#This Row],[Date]]&amp;"|"&amp;tblCommentary[[#This Row],[Seq_Day]])</f>
        <v/>
      </c>
    </row>
    <row r="2193">
      <c r="A2193" s="54" t="n"/>
      <c r="B2193" s="61" t="n"/>
      <c r="C2193" s="58" t="n"/>
      <c r="D2193" s="58" t="n"/>
      <c r="E2193" s="64">
        <f>IF(tblCommentary[[#This Row],[Date]]="","",COUNTIFS(INDEX(tblCommentary[Date],1):tblCommentary[[#This Row],[Date]],tblCommentary[[#This Row],[Date]]))</f>
        <v/>
      </c>
      <c r="F2193" s="63">
        <f>IF(tblCommentary[[#This Row],[Date]]="","",tblCommentary[[#This Row],[Date]]&amp;"|"&amp;tblCommentary[[#This Row],[Seq_Day]])</f>
        <v/>
      </c>
    </row>
    <row r="2194">
      <c r="A2194" s="54" t="n"/>
      <c r="B2194" s="61" t="n"/>
      <c r="C2194" s="58" t="n"/>
      <c r="D2194" s="58" t="n"/>
      <c r="E2194" s="64">
        <f>IF(tblCommentary[[#This Row],[Date]]="","",COUNTIFS(INDEX(tblCommentary[Date],1):tblCommentary[[#This Row],[Date]],tblCommentary[[#This Row],[Date]]))</f>
        <v/>
      </c>
      <c r="F2194" s="63">
        <f>IF(tblCommentary[[#This Row],[Date]]="","",tblCommentary[[#This Row],[Date]]&amp;"|"&amp;tblCommentary[[#This Row],[Seq_Day]])</f>
        <v/>
      </c>
    </row>
    <row r="2195">
      <c r="A2195" s="54" t="n"/>
      <c r="B2195" s="61" t="n"/>
      <c r="C2195" s="58" t="n"/>
      <c r="D2195" s="58" t="n"/>
      <c r="E2195" s="64">
        <f>IF(tblCommentary[[#This Row],[Date]]="","",COUNTIFS(INDEX(tblCommentary[Date],1):tblCommentary[[#This Row],[Date]],tblCommentary[[#This Row],[Date]]))</f>
        <v/>
      </c>
      <c r="F2195" s="63">
        <f>IF(tblCommentary[[#This Row],[Date]]="","",tblCommentary[[#This Row],[Date]]&amp;"|"&amp;tblCommentary[[#This Row],[Seq_Day]])</f>
        <v/>
      </c>
    </row>
    <row r="2196">
      <c r="A2196" s="54" t="n"/>
      <c r="B2196" s="61" t="n"/>
      <c r="C2196" s="58" t="n"/>
      <c r="D2196" s="58" t="n"/>
      <c r="E2196" s="64">
        <f>IF(tblCommentary[[#This Row],[Date]]="","",COUNTIFS(INDEX(tblCommentary[Date],1):tblCommentary[[#This Row],[Date]],tblCommentary[[#This Row],[Date]]))</f>
        <v/>
      </c>
      <c r="F2196" s="63">
        <f>IF(tblCommentary[[#This Row],[Date]]="","",tblCommentary[[#This Row],[Date]]&amp;"|"&amp;tblCommentary[[#This Row],[Seq_Day]])</f>
        <v/>
      </c>
    </row>
    <row r="2197">
      <c r="A2197" s="54" t="n"/>
      <c r="B2197" s="61" t="n"/>
      <c r="C2197" s="58" t="n"/>
      <c r="D2197" s="58" t="n"/>
      <c r="E2197" s="64">
        <f>IF(tblCommentary[[#This Row],[Date]]="","",COUNTIFS(INDEX(tblCommentary[Date],1):tblCommentary[[#This Row],[Date]],tblCommentary[[#This Row],[Date]]))</f>
        <v/>
      </c>
      <c r="F2197" s="63">
        <f>IF(tblCommentary[[#This Row],[Date]]="","",tblCommentary[[#This Row],[Date]]&amp;"|"&amp;tblCommentary[[#This Row],[Seq_Day]])</f>
        <v/>
      </c>
    </row>
    <row r="2198">
      <c r="A2198" s="54" t="n"/>
      <c r="B2198" s="61" t="n"/>
      <c r="C2198" s="58" t="n"/>
      <c r="D2198" s="58" t="n"/>
      <c r="E2198" s="64">
        <f>IF(tblCommentary[[#This Row],[Date]]="","",COUNTIFS(INDEX(tblCommentary[Date],1):tblCommentary[[#This Row],[Date]],tblCommentary[[#This Row],[Date]]))</f>
        <v/>
      </c>
      <c r="F2198" s="63">
        <f>IF(tblCommentary[[#This Row],[Date]]="","",tblCommentary[[#This Row],[Date]]&amp;"|"&amp;tblCommentary[[#This Row],[Seq_Day]])</f>
        <v/>
      </c>
    </row>
    <row r="2199">
      <c r="A2199" s="54" t="n"/>
      <c r="B2199" s="61" t="n"/>
      <c r="C2199" s="58" t="n"/>
      <c r="D2199" s="58" t="n"/>
      <c r="E2199" s="64">
        <f>IF(tblCommentary[[#This Row],[Date]]="","",COUNTIFS(INDEX(tblCommentary[Date],1):tblCommentary[[#This Row],[Date]],tblCommentary[[#This Row],[Date]]))</f>
        <v/>
      </c>
      <c r="F2199" s="63">
        <f>IF(tblCommentary[[#This Row],[Date]]="","",tblCommentary[[#This Row],[Date]]&amp;"|"&amp;tblCommentary[[#This Row],[Seq_Day]])</f>
        <v/>
      </c>
    </row>
    <row r="2200">
      <c r="A2200" s="54" t="n"/>
      <c r="B2200" s="61" t="n"/>
      <c r="C2200" s="58" t="n"/>
      <c r="D2200" s="58" t="n"/>
      <c r="E2200" s="64">
        <f>IF(tblCommentary[[#This Row],[Date]]="","",COUNTIFS(INDEX(tblCommentary[Date],1):tblCommentary[[#This Row],[Date]],tblCommentary[[#This Row],[Date]]))</f>
        <v/>
      </c>
      <c r="F2200" s="63">
        <f>IF(tblCommentary[[#This Row],[Date]]="","",tblCommentary[[#This Row],[Date]]&amp;"|"&amp;tblCommentary[[#This Row],[Seq_Day]])</f>
        <v/>
      </c>
    </row>
    <row r="2201">
      <c r="A2201" s="54" t="n"/>
      <c r="B2201" s="61" t="n"/>
      <c r="C2201" s="58" t="n"/>
      <c r="D2201" s="58" t="n"/>
      <c r="E2201" s="64">
        <f>IF(tblCommentary[[#This Row],[Date]]="","",COUNTIFS(INDEX(tblCommentary[Date],1):tblCommentary[[#This Row],[Date]],tblCommentary[[#This Row],[Date]]))</f>
        <v/>
      </c>
      <c r="F2201" s="63">
        <f>IF(tblCommentary[[#This Row],[Date]]="","",tblCommentary[[#This Row],[Date]]&amp;"|"&amp;tblCommentary[[#This Row],[Seq_Day]])</f>
        <v/>
      </c>
    </row>
    <row r="2202">
      <c r="A2202" s="54" t="n"/>
      <c r="B2202" s="61" t="n"/>
      <c r="C2202" s="58" t="n"/>
      <c r="D2202" s="58" t="n"/>
      <c r="E2202" s="64">
        <f>IF(tblCommentary[[#This Row],[Date]]="","",COUNTIFS(INDEX(tblCommentary[Date],1):tblCommentary[[#This Row],[Date]],tblCommentary[[#This Row],[Date]]))</f>
        <v/>
      </c>
      <c r="F2202" s="63">
        <f>IF(tblCommentary[[#This Row],[Date]]="","",tblCommentary[[#This Row],[Date]]&amp;"|"&amp;tblCommentary[[#This Row],[Seq_Day]])</f>
        <v/>
      </c>
    </row>
    <row r="2203">
      <c r="A2203" s="54" t="n"/>
      <c r="B2203" s="61" t="n"/>
      <c r="C2203" s="58" t="n"/>
      <c r="D2203" s="58" t="n"/>
      <c r="E2203" s="64">
        <f>IF(tblCommentary[[#This Row],[Date]]="","",COUNTIFS(INDEX(tblCommentary[Date],1):tblCommentary[[#This Row],[Date]],tblCommentary[[#This Row],[Date]]))</f>
        <v/>
      </c>
      <c r="F2203" s="63">
        <f>IF(tblCommentary[[#This Row],[Date]]="","",tblCommentary[[#This Row],[Date]]&amp;"|"&amp;tblCommentary[[#This Row],[Seq_Day]])</f>
        <v/>
      </c>
    </row>
    <row r="2204">
      <c r="A2204" s="54" t="n"/>
      <c r="B2204" s="61" t="n"/>
      <c r="C2204" s="58" t="n"/>
      <c r="D2204" s="58" t="n"/>
      <c r="E2204" s="64">
        <f>IF(tblCommentary[[#This Row],[Date]]="","",COUNTIFS(INDEX(tblCommentary[Date],1):tblCommentary[[#This Row],[Date]],tblCommentary[[#This Row],[Date]]))</f>
        <v/>
      </c>
      <c r="F2204" s="63">
        <f>IF(tblCommentary[[#This Row],[Date]]="","",tblCommentary[[#This Row],[Date]]&amp;"|"&amp;tblCommentary[[#This Row],[Seq_Day]])</f>
        <v/>
      </c>
    </row>
    <row r="2205">
      <c r="A2205" s="54" t="n"/>
      <c r="B2205" s="61" t="n"/>
      <c r="C2205" s="58" t="n"/>
      <c r="D2205" s="58" t="n"/>
      <c r="E2205" s="64">
        <f>IF(tblCommentary[[#This Row],[Date]]="","",COUNTIFS(INDEX(tblCommentary[Date],1):tblCommentary[[#This Row],[Date]],tblCommentary[[#This Row],[Date]]))</f>
        <v/>
      </c>
      <c r="F2205" s="63">
        <f>IF(tblCommentary[[#This Row],[Date]]="","",tblCommentary[[#This Row],[Date]]&amp;"|"&amp;tblCommentary[[#This Row],[Seq_Day]])</f>
        <v/>
      </c>
    </row>
    <row r="2206">
      <c r="A2206" s="54" t="n"/>
      <c r="B2206" s="61" t="n"/>
      <c r="C2206" s="58" t="n"/>
      <c r="D2206" s="58" t="n"/>
      <c r="E2206" s="64">
        <f>IF(tblCommentary[[#This Row],[Date]]="","",COUNTIFS(INDEX(tblCommentary[Date],1):tblCommentary[[#This Row],[Date]],tblCommentary[[#This Row],[Date]]))</f>
        <v/>
      </c>
      <c r="F2206" s="63">
        <f>IF(tblCommentary[[#This Row],[Date]]="","",tblCommentary[[#This Row],[Date]]&amp;"|"&amp;tblCommentary[[#This Row],[Seq_Day]])</f>
        <v/>
      </c>
    </row>
    <row r="2207">
      <c r="A2207" s="54" t="n"/>
      <c r="B2207" s="61" t="n"/>
      <c r="C2207" s="58" t="n"/>
      <c r="D2207" s="58" t="n"/>
      <c r="E2207" s="64">
        <f>IF(tblCommentary[[#This Row],[Date]]="","",COUNTIFS(INDEX(tblCommentary[Date],1):tblCommentary[[#This Row],[Date]],tblCommentary[[#This Row],[Date]]))</f>
        <v/>
      </c>
      <c r="F2207" s="63">
        <f>IF(tblCommentary[[#This Row],[Date]]="","",tblCommentary[[#This Row],[Date]]&amp;"|"&amp;tblCommentary[[#This Row],[Seq_Day]])</f>
        <v/>
      </c>
    </row>
    <row r="2208">
      <c r="A2208" s="54" t="n"/>
      <c r="B2208" s="61" t="n"/>
      <c r="C2208" s="58" t="n"/>
      <c r="D2208" s="58" t="n"/>
      <c r="E2208" s="64">
        <f>IF(tblCommentary[[#This Row],[Date]]="","",COUNTIFS(INDEX(tblCommentary[Date],1):tblCommentary[[#This Row],[Date]],tblCommentary[[#This Row],[Date]]))</f>
        <v/>
      </c>
      <c r="F2208" s="63">
        <f>IF(tblCommentary[[#This Row],[Date]]="","",tblCommentary[[#This Row],[Date]]&amp;"|"&amp;tblCommentary[[#This Row],[Seq_Day]])</f>
        <v/>
      </c>
    </row>
    <row r="2209">
      <c r="A2209" s="54" t="n"/>
      <c r="B2209" s="61" t="n"/>
      <c r="C2209" s="58" t="n"/>
      <c r="D2209" s="58" t="n"/>
      <c r="E2209" s="64">
        <f>IF(tblCommentary[[#This Row],[Date]]="","",COUNTIFS(INDEX(tblCommentary[Date],1):tblCommentary[[#This Row],[Date]],tblCommentary[[#This Row],[Date]]))</f>
        <v/>
      </c>
      <c r="F2209" s="63">
        <f>IF(tblCommentary[[#This Row],[Date]]="","",tblCommentary[[#This Row],[Date]]&amp;"|"&amp;tblCommentary[[#This Row],[Seq_Day]])</f>
        <v/>
      </c>
    </row>
    <row r="2210">
      <c r="A2210" s="54" t="n"/>
      <c r="B2210" s="61" t="n"/>
      <c r="C2210" s="58" t="n"/>
      <c r="D2210" s="58" t="n"/>
      <c r="E2210" s="64">
        <f>IF(tblCommentary[[#This Row],[Date]]="","",COUNTIFS(INDEX(tblCommentary[Date],1):tblCommentary[[#This Row],[Date]],tblCommentary[[#This Row],[Date]]))</f>
        <v/>
      </c>
      <c r="F2210" s="63">
        <f>IF(tblCommentary[[#This Row],[Date]]="","",tblCommentary[[#This Row],[Date]]&amp;"|"&amp;tblCommentary[[#This Row],[Seq_Day]])</f>
        <v/>
      </c>
    </row>
    <row r="2211">
      <c r="A2211" s="54" t="n"/>
      <c r="B2211" s="61" t="n"/>
      <c r="C2211" s="58" t="n"/>
      <c r="D2211" s="58" t="n"/>
      <c r="E2211" s="64">
        <f>IF(tblCommentary[[#This Row],[Date]]="","",COUNTIFS(INDEX(tblCommentary[Date],1):tblCommentary[[#This Row],[Date]],tblCommentary[[#This Row],[Date]]))</f>
        <v/>
      </c>
      <c r="F2211" s="63">
        <f>IF(tblCommentary[[#This Row],[Date]]="","",tblCommentary[[#This Row],[Date]]&amp;"|"&amp;tblCommentary[[#This Row],[Seq_Day]])</f>
        <v/>
      </c>
    </row>
    <row r="2212">
      <c r="A2212" s="54" t="n"/>
      <c r="B2212" s="61" t="n"/>
      <c r="C2212" s="58" t="n"/>
      <c r="D2212" s="58" t="n"/>
      <c r="E2212" s="64">
        <f>IF(tblCommentary[[#This Row],[Date]]="","",COUNTIFS(INDEX(tblCommentary[Date],1):tblCommentary[[#This Row],[Date]],tblCommentary[[#This Row],[Date]]))</f>
        <v/>
      </c>
      <c r="F2212" s="63">
        <f>IF(tblCommentary[[#This Row],[Date]]="","",tblCommentary[[#This Row],[Date]]&amp;"|"&amp;tblCommentary[[#This Row],[Seq_Day]])</f>
        <v/>
      </c>
    </row>
    <row r="2213">
      <c r="A2213" s="54" t="n"/>
      <c r="B2213" s="61" t="n"/>
      <c r="C2213" s="58" t="n"/>
      <c r="D2213" s="58" t="n"/>
      <c r="E2213" s="64">
        <f>IF(tblCommentary[[#This Row],[Date]]="","",COUNTIFS(INDEX(tblCommentary[Date],1):tblCommentary[[#This Row],[Date]],tblCommentary[[#This Row],[Date]]))</f>
        <v/>
      </c>
      <c r="F2213" s="63">
        <f>IF(tblCommentary[[#This Row],[Date]]="","",tblCommentary[[#This Row],[Date]]&amp;"|"&amp;tblCommentary[[#This Row],[Seq_Day]])</f>
        <v/>
      </c>
    </row>
    <row r="2214">
      <c r="A2214" s="54" t="n"/>
      <c r="B2214" s="61" t="n"/>
      <c r="C2214" s="58" t="n"/>
      <c r="D2214" s="58" t="n"/>
      <c r="E2214" s="64">
        <f>IF(tblCommentary[[#This Row],[Date]]="","",COUNTIFS(INDEX(tblCommentary[Date],1):tblCommentary[[#This Row],[Date]],tblCommentary[[#This Row],[Date]]))</f>
        <v/>
      </c>
      <c r="F2214" s="63">
        <f>IF(tblCommentary[[#This Row],[Date]]="","",tblCommentary[[#This Row],[Date]]&amp;"|"&amp;tblCommentary[[#This Row],[Seq_Day]])</f>
        <v/>
      </c>
    </row>
    <row r="2215">
      <c r="A2215" s="54" t="n"/>
      <c r="B2215" s="61" t="n"/>
      <c r="C2215" s="58" t="n"/>
      <c r="D2215" s="58" t="n"/>
      <c r="E2215" s="64">
        <f>IF(tblCommentary[[#This Row],[Date]]="","",COUNTIFS(INDEX(tblCommentary[Date],1):tblCommentary[[#This Row],[Date]],tblCommentary[[#This Row],[Date]]))</f>
        <v/>
      </c>
      <c r="F2215" s="63">
        <f>IF(tblCommentary[[#This Row],[Date]]="","",tblCommentary[[#This Row],[Date]]&amp;"|"&amp;tblCommentary[[#This Row],[Seq_Day]])</f>
        <v/>
      </c>
    </row>
    <row r="2216">
      <c r="A2216" s="54" t="n"/>
      <c r="B2216" s="61" t="n"/>
      <c r="C2216" s="58" t="n"/>
      <c r="D2216" s="58" t="n"/>
      <c r="E2216" s="64">
        <f>IF(tblCommentary[[#This Row],[Date]]="","",COUNTIFS(INDEX(tblCommentary[Date],1):tblCommentary[[#This Row],[Date]],tblCommentary[[#This Row],[Date]]))</f>
        <v/>
      </c>
      <c r="F2216" s="63">
        <f>IF(tblCommentary[[#This Row],[Date]]="","",tblCommentary[[#This Row],[Date]]&amp;"|"&amp;tblCommentary[[#This Row],[Seq_Day]])</f>
        <v/>
      </c>
    </row>
    <row r="2217">
      <c r="A2217" s="54" t="n"/>
      <c r="B2217" s="61" t="n"/>
      <c r="C2217" s="58" t="n"/>
      <c r="D2217" s="58" t="n"/>
      <c r="E2217" s="64">
        <f>IF(tblCommentary[[#This Row],[Date]]="","",COUNTIFS(INDEX(tblCommentary[Date],1):tblCommentary[[#This Row],[Date]],tblCommentary[[#This Row],[Date]]))</f>
        <v/>
      </c>
      <c r="F2217" s="63">
        <f>IF(tblCommentary[[#This Row],[Date]]="","",tblCommentary[[#This Row],[Date]]&amp;"|"&amp;tblCommentary[[#This Row],[Seq_Day]])</f>
        <v/>
      </c>
    </row>
    <row r="2218">
      <c r="A2218" s="54" t="n"/>
      <c r="B2218" s="61" t="n"/>
      <c r="C2218" s="58" t="n"/>
      <c r="D2218" s="58" t="n"/>
      <c r="E2218" s="64">
        <f>IF(tblCommentary[[#This Row],[Date]]="","",COUNTIFS(INDEX(tblCommentary[Date],1):tblCommentary[[#This Row],[Date]],tblCommentary[[#This Row],[Date]]))</f>
        <v/>
      </c>
      <c r="F2218" s="63">
        <f>IF(tblCommentary[[#This Row],[Date]]="","",tblCommentary[[#This Row],[Date]]&amp;"|"&amp;tblCommentary[[#This Row],[Seq_Day]])</f>
        <v/>
      </c>
    </row>
    <row r="2219">
      <c r="A2219" s="54" t="n"/>
      <c r="B2219" s="61" t="n"/>
      <c r="C2219" s="58" t="n"/>
      <c r="D2219" s="58" t="n"/>
      <c r="E2219" s="64">
        <f>IF(tblCommentary[[#This Row],[Date]]="","",COUNTIFS(INDEX(tblCommentary[Date],1):tblCommentary[[#This Row],[Date]],tblCommentary[[#This Row],[Date]]))</f>
        <v/>
      </c>
      <c r="F2219" s="63">
        <f>IF(tblCommentary[[#This Row],[Date]]="","",tblCommentary[[#This Row],[Date]]&amp;"|"&amp;tblCommentary[[#This Row],[Seq_Day]])</f>
        <v/>
      </c>
    </row>
    <row r="2220">
      <c r="A2220" s="54" t="n"/>
      <c r="B2220" s="61" t="n"/>
      <c r="C2220" s="58" t="n"/>
      <c r="D2220" s="58" t="n"/>
      <c r="E2220" s="64">
        <f>IF(tblCommentary[[#This Row],[Date]]="","",COUNTIFS(INDEX(tblCommentary[Date],1):tblCommentary[[#This Row],[Date]],tblCommentary[[#This Row],[Date]]))</f>
        <v/>
      </c>
      <c r="F2220" s="63">
        <f>IF(tblCommentary[[#This Row],[Date]]="","",tblCommentary[[#This Row],[Date]]&amp;"|"&amp;tblCommentary[[#This Row],[Seq_Day]])</f>
        <v/>
      </c>
    </row>
    <row r="2221">
      <c r="A2221" s="54" t="n"/>
      <c r="B2221" s="61" t="n"/>
      <c r="C2221" s="58" t="n"/>
      <c r="D2221" s="58" t="n"/>
      <c r="E2221" s="64">
        <f>IF(tblCommentary[[#This Row],[Date]]="","",COUNTIFS(INDEX(tblCommentary[Date],1):tblCommentary[[#This Row],[Date]],tblCommentary[[#This Row],[Date]]))</f>
        <v/>
      </c>
      <c r="F2221" s="63">
        <f>IF(tblCommentary[[#This Row],[Date]]="","",tblCommentary[[#This Row],[Date]]&amp;"|"&amp;tblCommentary[[#This Row],[Seq_Day]])</f>
        <v/>
      </c>
    </row>
    <row r="2222">
      <c r="A2222" s="54" t="n"/>
      <c r="B2222" s="61" t="n"/>
      <c r="C2222" s="58" t="n"/>
      <c r="D2222" s="58" t="n"/>
      <c r="E2222" s="64">
        <f>IF(tblCommentary[[#This Row],[Date]]="","",COUNTIFS(INDEX(tblCommentary[Date],1):tblCommentary[[#This Row],[Date]],tblCommentary[[#This Row],[Date]]))</f>
        <v/>
      </c>
      <c r="F2222" s="63">
        <f>IF(tblCommentary[[#This Row],[Date]]="","",tblCommentary[[#This Row],[Date]]&amp;"|"&amp;tblCommentary[[#This Row],[Seq_Day]])</f>
        <v/>
      </c>
    </row>
    <row r="2223">
      <c r="A2223" s="54" t="n"/>
      <c r="B2223" s="61" t="n"/>
      <c r="C2223" s="58" t="n"/>
      <c r="D2223" s="58" t="n"/>
      <c r="E2223" s="64">
        <f>IF(tblCommentary[[#This Row],[Date]]="","",COUNTIFS(INDEX(tblCommentary[Date],1):tblCommentary[[#This Row],[Date]],tblCommentary[[#This Row],[Date]]))</f>
        <v/>
      </c>
      <c r="F2223" s="63">
        <f>IF(tblCommentary[[#This Row],[Date]]="","",tblCommentary[[#This Row],[Date]]&amp;"|"&amp;tblCommentary[[#This Row],[Seq_Day]])</f>
        <v/>
      </c>
    </row>
    <row r="2224">
      <c r="A2224" s="54" t="n"/>
      <c r="B2224" s="61" t="n"/>
      <c r="C2224" s="58" t="n"/>
      <c r="D2224" s="58" t="n"/>
      <c r="E2224" s="64">
        <f>IF(tblCommentary[[#This Row],[Date]]="","",COUNTIFS(INDEX(tblCommentary[Date],1):tblCommentary[[#This Row],[Date]],tblCommentary[[#This Row],[Date]]))</f>
        <v/>
      </c>
      <c r="F2224" s="63">
        <f>IF(tblCommentary[[#This Row],[Date]]="","",tblCommentary[[#This Row],[Date]]&amp;"|"&amp;tblCommentary[[#This Row],[Seq_Day]])</f>
        <v/>
      </c>
    </row>
    <row r="2225">
      <c r="A2225" s="54" t="n"/>
      <c r="B2225" s="61" t="n"/>
      <c r="C2225" s="58" t="n"/>
      <c r="D2225" s="58" t="n"/>
      <c r="E2225" s="64">
        <f>IF(tblCommentary[[#This Row],[Date]]="","",COUNTIFS(INDEX(tblCommentary[Date],1):tblCommentary[[#This Row],[Date]],tblCommentary[[#This Row],[Date]]))</f>
        <v/>
      </c>
      <c r="F2225" s="63">
        <f>IF(tblCommentary[[#This Row],[Date]]="","",tblCommentary[[#This Row],[Date]]&amp;"|"&amp;tblCommentary[[#This Row],[Seq_Day]])</f>
        <v/>
      </c>
    </row>
    <row r="2226">
      <c r="A2226" s="54" t="n"/>
      <c r="B2226" s="61" t="n"/>
      <c r="C2226" s="58" t="n"/>
      <c r="D2226" s="58" t="n"/>
      <c r="E2226" s="64">
        <f>IF(tblCommentary[[#This Row],[Date]]="","",COUNTIFS(INDEX(tblCommentary[Date],1):tblCommentary[[#This Row],[Date]],tblCommentary[[#This Row],[Date]]))</f>
        <v/>
      </c>
      <c r="F2226" s="63">
        <f>IF(tblCommentary[[#This Row],[Date]]="","",tblCommentary[[#This Row],[Date]]&amp;"|"&amp;tblCommentary[[#This Row],[Seq_Day]])</f>
        <v/>
      </c>
    </row>
    <row r="2227">
      <c r="A2227" s="54" t="n"/>
      <c r="B2227" s="61" t="n"/>
      <c r="C2227" s="58" t="n"/>
      <c r="D2227" s="58" t="n"/>
      <c r="E2227" s="64">
        <f>IF(tblCommentary[[#This Row],[Date]]="","",COUNTIFS(INDEX(tblCommentary[Date],1):tblCommentary[[#This Row],[Date]],tblCommentary[[#This Row],[Date]]))</f>
        <v/>
      </c>
      <c r="F2227" s="63">
        <f>IF(tblCommentary[[#This Row],[Date]]="","",tblCommentary[[#This Row],[Date]]&amp;"|"&amp;tblCommentary[[#This Row],[Seq_Day]])</f>
        <v/>
      </c>
    </row>
    <row r="2228">
      <c r="A2228" s="54" t="n"/>
      <c r="B2228" s="61" t="n"/>
      <c r="C2228" s="58" t="n"/>
      <c r="D2228" s="58" t="n"/>
      <c r="E2228" s="64">
        <f>IF(tblCommentary[[#This Row],[Date]]="","",COUNTIFS(INDEX(tblCommentary[Date],1):tblCommentary[[#This Row],[Date]],tblCommentary[[#This Row],[Date]]))</f>
        <v/>
      </c>
      <c r="F2228" s="63">
        <f>IF(tblCommentary[[#This Row],[Date]]="","",tblCommentary[[#This Row],[Date]]&amp;"|"&amp;tblCommentary[[#This Row],[Seq_Day]])</f>
        <v/>
      </c>
    </row>
    <row r="2229">
      <c r="A2229" s="54" t="n"/>
      <c r="B2229" s="61" t="n"/>
      <c r="C2229" s="58" t="n"/>
      <c r="D2229" s="58" t="n"/>
      <c r="E2229" s="64">
        <f>IF(tblCommentary[[#This Row],[Date]]="","",COUNTIFS(INDEX(tblCommentary[Date],1):tblCommentary[[#This Row],[Date]],tblCommentary[[#This Row],[Date]]))</f>
        <v/>
      </c>
      <c r="F2229" s="63">
        <f>IF(tblCommentary[[#This Row],[Date]]="","",tblCommentary[[#This Row],[Date]]&amp;"|"&amp;tblCommentary[[#This Row],[Seq_Day]])</f>
        <v/>
      </c>
    </row>
    <row r="2230">
      <c r="A2230" s="54" t="n"/>
      <c r="B2230" s="61" t="n"/>
      <c r="C2230" s="58" t="n"/>
      <c r="D2230" s="58" t="n"/>
      <c r="E2230" s="64">
        <f>IF(tblCommentary[[#This Row],[Date]]="","",COUNTIFS(INDEX(tblCommentary[Date],1):tblCommentary[[#This Row],[Date]],tblCommentary[[#This Row],[Date]]))</f>
        <v/>
      </c>
      <c r="F2230" s="63">
        <f>IF(tblCommentary[[#This Row],[Date]]="","",tblCommentary[[#This Row],[Date]]&amp;"|"&amp;tblCommentary[[#This Row],[Seq_Day]])</f>
        <v/>
      </c>
    </row>
    <row r="2231">
      <c r="A2231" s="54" t="n"/>
      <c r="B2231" s="61" t="n"/>
      <c r="C2231" s="58" t="n"/>
      <c r="D2231" s="58" t="n"/>
      <c r="E2231" s="64">
        <f>IF(tblCommentary[[#This Row],[Date]]="","",COUNTIFS(INDEX(tblCommentary[Date],1):tblCommentary[[#This Row],[Date]],tblCommentary[[#This Row],[Date]]))</f>
        <v/>
      </c>
      <c r="F2231" s="63">
        <f>IF(tblCommentary[[#This Row],[Date]]="","",tblCommentary[[#This Row],[Date]]&amp;"|"&amp;tblCommentary[[#This Row],[Seq_Day]])</f>
        <v/>
      </c>
    </row>
    <row r="2232">
      <c r="A2232" s="54" t="n"/>
      <c r="B2232" s="61" t="n"/>
      <c r="C2232" s="58" t="n"/>
      <c r="D2232" s="58" t="n"/>
      <c r="E2232" s="64">
        <f>IF(tblCommentary[[#This Row],[Date]]="","",COUNTIFS(INDEX(tblCommentary[Date],1):tblCommentary[[#This Row],[Date]],tblCommentary[[#This Row],[Date]]))</f>
        <v/>
      </c>
      <c r="F2232" s="63">
        <f>IF(tblCommentary[[#This Row],[Date]]="","",tblCommentary[[#This Row],[Date]]&amp;"|"&amp;tblCommentary[[#This Row],[Seq_Day]])</f>
        <v/>
      </c>
    </row>
    <row r="2233">
      <c r="A2233" s="54" t="n"/>
      <c r="B2233" s="61" t="n"/>
      <c r="C2233" s="58" t="n"/>
      <c r="D2233" s="58" t="n"/>
      <c r="E2233" s="64">
        <f>IF(tblCommentary[[#This Row],[Date]]="","",COUNTIFS(INDEX(tblCommentary[Date],1):tblCommentary[[#This Row],[Date]],tblCommentary[[#This Row],[Date]]))</f>
        <v/>
      </c>
      <c r="F2233" s="63">
        <f>IF(tblCommentary[[#This Row],[Date]]="","",tblCommentary[[#This Row],[Date]]&amp;"|"&amp;tblCommentary[[#This Row],[Seq_Day]])</f>
        <v/>
      </c>
    </row>
    <row r="2234">
      <c r="A2234" s="54" t="n"/>
      <c r="B2234" s="61" t="n"/>
      <c r="C2234" s="58" t="n"/>
      <c r="D2234" s="58" t="n"/>
      <c r="E2234" s="64">
        <f>IF(tblCommentary[[#This Row],[Date]]="","",COUNTIFS(INDEX(tblCommentary[Date],1):tblCommentary[[#This Row],[Date]],tblCommentary[[#This Row],[Date]]))</f>
        <v/>
      </c>
      <c r="F2234" s="63">
        <f>IF(tblCommentary[[#This Row],[Date]]="","",tblCommentary[[#This Row],[Date]]&amp;"|"&amp;tblCommentary[[#This Row],[Seq_Day]])</f>
        <v/>
      </c>
    </row>
    <row r="2235">
      <c r="A2235" s="54" t="n"/>
      <c r="B2235" s="61" t="n"/>
      <c r="C2235" s="58" t="n"/>
      <c r="D2235" s="58" t="n"/>
      <c r="E2235" s="64">
        <f>IF(tblCommentary[[#This Row],[Date]]="","",COUNTIFS(INDEX(tblCommentary[Date],1):tblCommentary[[#This Row],[Date]],tblCommentary[[#This Row],[Date]]))</f>
        <v/>
      </c>
      <c r="F2235" s="63">
        <f>IF(tblCommentary[[#This Row],[Date]]="","",tblCommentary[[#This Row],[Date]]&amp;"|"&amp;tblCommentary[[#This Row],[Seq_Day]])</f>
        <v/>
      </c>
    </row>
    <row r="2236">
      <c r="A2236" s="54" t="n"/>
      <c r="B2236" s="61" t="n"/>
      <c r="C2236" s="58" t="n"/>
      <c r="D2236" s="58" t="n"/>
      <c r="E2236" s="64">
        <f>IF(tblCommentary[[#This Row],[Date]]="","",COUNTIFS(INDEX(tblCommentary[Date],1):tblCommentary[[#This Row],[Date]],tblCommentary[[#This Row],[Date]]))</f>
        <v/>
      </c>
      <c r="F2236" s="63">
        <f>IF(tblCommentary[[#This Row],[Date]]="","",tblCommentary[[#This Row],[Date]]&amp;"|"&amp;tblCommentary[[#This Row],[Seq_Day]])</f>
        <v/>
      </c>
    </row>
    <row r="2237">
      <c r="A2237" s="54" t="n"/>
      <c r="B2237" s="61" t="n"/>
      <c r="C2237" s="58" t="n"/>
      <c r="D2237" s="58" t="n"/>
      <c r="E2237" s="64">
        <f>IF(tblCommentary[[#This Row],[Date]]="","",COUNTIFS(INDEX(tblCommentary[Date],1):tblCommentary[[#This Row],[Date]],tblCommentary[[#This Row],[Date]]))</f>
        <v/>
      </c>
      <c r="F2237" s="63">
        <f>IF(tblCommentary[[#This Row],[Date]]="","",tblCommentary[[#This Row],[Date]]&amp;"|"&amp;tblCommentary[[#This Row],[Seq_Day]])</f>
        <v/>
      </c>
    </row>
    <row r="2238">
      <c r="A2238" s="54" t="n"/>
      <c r="B2238" s="61" t="n"/>
      <c r="C2238" s="58" t="n"/>
      <c r="D2238" s="58" t="n"/>
      <c r="E2238" s="64">
        <f>IF(tblCommentary[[#This Row],[Date]]="","",COUNTIFS(INDEX(tblCommentary[Date],1):tblCommentary[[#This Row],[Date]],tblCommentary[[#This Row],[Date]]))</f>
        <v/>
      </c>
      <c r="F2238" s="63">
        <f>IF(tblCommentary[[#This Row],[Date]]="","",tblCommentary[[#This Row],[Date]]&amp;"|"&amp;tblCommentary[[#This Row],[Seq_Day]])</f>
        <v/>
      </c>
    </row>
    <row r="2239">
      <c r="A2239" s="54" t="n"/>
      <c r="B2239" s="61" t="n"/>
      <c r="C2239" s="58" t="n"/>
      <c r="D2239" s="58" t="n"/>
      <c r="E2239" s="64">
        <f>IF(tblCommentary[[#This Row],[Date]]="","",COUNTIFS(INDEX(tblCommentary[Date],1):tblCommentary[[#This Row],[Date]],tblCommentary[[#This Row],[Date]]))</f>
        <v/>
      </c>
      <c r="F2239" s="63">
        <f>IF(tblCommentary[[#This Row],[Date]]="","",tblCommentary[[#This Row],[Date]]&amp;"|"&amp;tblCommentary[[#This Row],[Seq_Day]])</f>
        <v/>
      </c>
    </row>
    <row r="2240">
      <c r="A2240" s="54" t="n"/>
      <c r="B2240" s="61" t="n"/>
      <c r="C2240" s="58" t="n"/>
      <c r="D2240" s="58" t="n"/>
      <c r="E2240" s="64">
        <f>IF(tblCommentary[[#This Row],[Date]]="","",COUNTIFS(INDEX(tblCommentary[Date],1):tblCommentary[[#This Row],[Date]],tblCommentary[[#This Row],[Date]]))</f>
        <v/>
      </c>
      <c r="F2240" s="63">
        <f>IF(tblCommentary[[#This Row],[Date]]="","",tblCommentary[[#This Row],[Date]]&amp;"|"&amp;tblCommentary[[#This Row],[Seq_Day]])</f>
        <v/>
      </c>
    </row>
    <row r="2241">
      <c r="A2241" s="54" t="n"/>
      <c r="B2241" s="61" t="n"/>
      <c r="C2241" s="58" t="n"/>
      <c r="D2241" s="58" t="n"/>
      <c r="E2241" s="64">
        <f>IF(tblCommentary[[#This Row],[Date]]="","",COUNTIFS(INDEX(tblCommentary[Date],1):tblCommentary[[#This Row],[Date]],tblCommentary[[#This Row],[Date]]))</f>
        <v/>
      </c>
      <c r="F2241" s="63">
        <f>IF(tblCommentary[[#This Row],[Date]]="","",tblCommentary[[#This Row],[Date]]&amp;"|"&amp;tblCommentary[[#This Row],[Seq_Day]])</f>
        <v/>
      </c>
    </row>
    <row r="2242">
      <c r="A2242" s="54" t="n"/>
      <c r="B2242" s="61" t="n"/>
      <c r="C2242" s="58" t="n"/>
      <c r="D2242" s="58" t="n"/>
      <c r="E2242" s="64">
        <f>IF(tblCommentary[[#This Row],[Date]]="","",COUNTIFS(INDEX(tblCommentary[Date],1):tblCommentary[[#This Row],[Date]],tblCommentary[[#This Row],[Date]]))</f>
        <v/>
      </c>
      <c r="F2242" s="63">
        <f>IF(tblCommentary[[#This Row],[Date]]="","",tblCommentary[[#This Row],[Date]]&amp;"|"&amp;tblCommentary[[#This Row],[Seq_Day]])</f>
        <v/>
      </c>
    </row>
    <row r="2243">
      <c r="A2243" s="54" t="n"/>
      <c r="B2243" s="61" t="n"/>
      <c r="C2243" s="58" t="n"/>
      <c r="D2243" s="58" t="n"/>
      <c r="E2243" s="64">
        <f>IF(tblCommentary[[#This Row],[Date]]="","",COUNTIFS(INDEX(tblCommentary[Date],1):tblCommentary[[#This Row],[Date]],tblCommentary[[#This Row],[Date]]))</f>
        <v/>
      </c>
      <c r="F2243" s="63">
        <f>IF(tblCommentary[[#This Row],[Date]]="","",tblCommentary[[#This Row],[Date]]&amp;"|"&amp;tblCommentary[[#This Row],[Seq_Day]])</f>
        <v/>
      </c>
    </row>
    <row r="2244">
      <c r="A2244" s="54" t="n"/>
      <c r="B2244" s="61" t="n"/>
      <c r="C2244" s="58" t="n"/>
      <c r="D2244" s="58" t="n"/>
      <c r="E2244" s="64">
        <f>IF(tblCommentary[[#This Row],[Date]]="","",COUNTIFS(INDEX(tblCommentary[Date],1):tblCommentary[[#This Row],[Date]],tblCommentary[[#This Row],[Date]]))</f>
        <v/>
      </c>
      <c r="F2244" s="63">
        <f>IF(tblCommentary[[#This Row],[Date]]="","",tblCommentary[[#This Row],[Date]]&amp;"|"&amp;tblCommentary[[#This Row],[Seq_Day]])</f>
        <v/>
      </c>
    </row>
    <row r="2245">
      <c r="A2245" s="54" t="n"/>
      <c r="B2245" s="61" t="n"/>
      <c r="C2245" s="58" t="n"/>
      <c r="D2245" s="58" t="n"/>
      <c r="E2245" s="64">
        <f>IF(tblCommentary[[#This Row],[Date]]="","",COUNTIFS(INDEX(tblCommentary[Date],1):tblCommentary[[#This Row],[Date]],tblCommentary[[#This Row],[Date]]))</f>
        <v/>
      </c>
      <c r="F2245" s="63">
        <f>IF(tblCommentary[[#This Row],[Date]]="","",tblCommentary[[#This Row],[Date]]&amp;"|"&amp;tblCommentary[[#This Row],[Seq_Day]])</f>
        <v/>
      </c>
    </row>
    <row r="2246">
      <c r="A2246" s="54" t="n"/>
      <c r="B2246" s="61" t="n"/>
      <c r="C2246" s="58" t="n"/>
      <c r="D2246" s="58" t="n"/>
      <c r="E2246" s="64">
        <f>IF(tblCommentary[[#This Row],[Date]]="","",COUNTIFS(INDEX(tblCommentary[Date],1):tblCommentary[[#This Row],[Date]],tblCommentary[[#This Row],[Date]]))</f>
        <v/>
      </c>
      <c r="F2246" s="63">
        <f>IF(tblCommentary[[#This Row],[Date]]="","",tblCommentary[[#This Row],[Date]]&amp;"|"&amp;tblCommentary[[#This Row],[Seq_Day]])</f>
        <v/>
      </c>
    </row>
    <row r="2247">
      <c r="A2247" s="54" t="n"/>
      <c r="B2247" s="61" t="n"/>
      <c r="C2247" s="58" t="n"/>
      <c r="D2247" s="58" t="n"/>
      <c r="E2247" s="64">
        <f>IF(tblCommentary[[#This Row],[Date]]="","",COUNTIFS(INDEX(tblCommentary[Date],1):tblCommentary[[#This Row],[Date]],tblCommentary[[#This Row],[Date]]))</f>
        <v/>
      </c>
      <c r="F2247" s="63">
        <f>IF(tblCommentary[[#This Row],[Date]]="","",tblCommentary[[#This Row],[Date]]&amp;"|"&amp;tblCommentary[[#This Row],[Seq_Day]])</f>
        <v/>
      </c>
    </row>
    <row r="2248">
      <c r="A2248" s="54" t="n"/>
      <c r="B2248" s="61" t="n"/>
      <c r="C2248" s="58" t="n"/>
      <c r="D2248" s="58" t="n"/>
      <c r="E2248" s="64">
        <f>IF(tblCommentary[[#This Row],[Date]]="","",COUNTIFS(INDEX(tblCommentary[Date],1):tblCommentary[[#This Row],[Date]],tblCommentary[[#This Row],[Date]]))</f>
        <v/>
      </c>
      <c r="F2248" s="63">
        <f>IF(tblCommentary[[#This Row],[Date]]="","",tblCommentary[[#This Row],[Date]]&amp;"|"&amp;tblCommentary[[#This Row],[Seq_Day]])</f>
        <v/>
      </c>
    </row>
    <row r="2249">
      <c r="A2249" s="54" t="n"/>
      <c r="B2249" s="61" t="n"/>
      <c r="C2249" s="58" t="n"/>
      <c r="D2249" s="58" t="n"/>
      <c r="E2249" s="64">
        <f>IF(tblCommentary[[#This Row],[Date]]="","",COUNTIFS(INDEX(tblCommentary[Date],1):tblCommentary[[#This Row],[Date]],tblCommentary[[#This Row],[Date]]))</f>
        <v/>
      </c>
      <c r="F2249" s="63">
        <f>IF(tblCommentary[[#This Row],[Date]]="","",tblCommentary[[#This Row],[Date]]&amp;"|"&amp;tblCommentary[[#This Row],[Seq_Day]])</f>
        <v/>
      </c>
    </row>
    <row r="2250">
      <c r="A2250" s="54" t="n"/>
      <c r="B2250" s="61" t="n"/>
      <c r="C2250" s="58" t="n"/>
      <c r="D2250" s="58" t="n"/>
      <c r="E2250" s="64">
        <f>IF(tblCommentary[[#This Row],[Date]]="","",COUNTIFS(INDEX(tblCommentary[Date],1):tblCommentary[[#This Row],[Date]],tblCommentary[[#This Row],[Date]]))</f>
        <v/>
      </c>
      <c r="F2250" s="63">
        <f>IF(tblCommentary[[#This Row],[Date]]="","",tblCommentary[[#This Row],[Date]]&amp;"|"&amp;tblCommentary[[#This Row],[Seq_Day]])</f>
        <v/>
      </c>
    </row>
    <row r="2251">
      <c r="A2251" s="54" t="n"/>
      <c r="B2251" s="61" t="n"/>
      <c r="C2251" s="58" t="n"/>
      <c r="D2251" s="58" t="n"/>
      <c r="E2251" s="64">
        <f>IF(tblCommentary[[#This Row],[Date]]="","",COUNTIFS(INDEX(tblCommentary[Date],1):tblCommentary[[#This Row],[Date]],tblCommentary[[#This Row],[Date]]))</f>
        <v/>
      </c>
      <c r="F2251" s="63">
        <f>IF(tblCommentary[[#This Row],[Date]]="","",tblCommentary[[#This Row],[Date]]&amp;"|"&amp;tblCommentary[[#This Row],[Seq_Day]])</f>
        <v/>
      </c>
    </row>
    <row r="2252">
      <c r="A2252" s="54" t="n"/>
      <c r="B2252" s="61" t="n"/>
      <c r="C2252" s="58" t="n"/>
      <c r="D2252" s="58" t="n"/>
      <c r="E2252" s="64">
        <f>IF(tblCommentary[[#This Row],[Date]]="","",COUNTIFS(INDEX(tblCommentary[Date],1):tblCommentary[[#This Row],[Date]],tblCommentary[[#This Row],[Date]]))</f>
        <v/>
      </c>
      <c r="F2252" s="63">
        <f>IF(tblCommentary[[#This Row],[Date]]="","",tblCommentary[[#This Row],[Date]]&amp;"|"&amp;tblCommentary[[#This Row],[Seq_Day]])</f>
        <v/>
      </c>
    </row>
    <row r="2253">
      <c r="A2253" s="54" t="n"/>
      <c r="B2253" s="61" t="n"/>
      <c r="C2253" s="58" t="n"/>
      <c r="D2253" s="58" t="n"/>
      <c r="E2253" s="64">
        <f>IF(tblCommentary[[#This Row],[Date]]="","",COUNTIFS(INDEX(tblCommentary[Date],1):tblCommentary[[#This Row],[Date]],tblCommentary[[#This Row],[Date]]))</f>
        <v/>
      </c>
      <c r="F2253" s="63">
        <f>IF(tblCommentary[[#This Row],[Date]]="","",tblCommentary[[#This Row],[Date]]&amp;"|"&amp;tblCommentary[[#This Row],[Seq_Day]])</f>
        <v/>
      </c>
    </row>
    <row r="2254">
      <c r="A2254" s="54" t="n"/>
      <c r="B2254" s="61" t="n"/>
      <c r="C2254" s="58" t="n"/>
      <c r="D2254" s="58" t="n"/>
      <c r="E2254" s="64">
        <f>IF(tblCommentary[[#This Row],[Date]]="","",COUNTIFS(INDEX(tblCommentary[Date],1):tblCommentary[[#This Row],[Date]],tblCommentary[[#This Row],[Date]]))</f>
        <v/>
      </c>
      <c r="F2254" s="63">
        <f>IF(tblCommentary[[#This Row],[Date]]="","",tblCommentary[[#This Row],[Date]]&amp;"|"&amp;tblCommentary[[#This Row],[Seq_Day]])</f>
        <v/>
      </c>
    </row>
    <row r="2255">
      <c r="A2255" s="54" t="n"/>
      <c r="B2255" s="61" t="n"/>
      <c r="C2255" s="58" t="n"/>
      <c r="D2255" s="58" t="n"/>
      <c r="E2255" s="64">
        <f>IF(tblCommentary[[#This Row],[Date]]="","",COUNTIFS(INDEX(tblCommentary[Date],1):tblCommentary[[#This Row],[Date]],tblCommentary[[#This Row],[Date]]))</f>
        <v/>
      </c>
      <c r="F2255" s="63">
        <f>IF(tblCommentary[[#This Row],[Date]]="","",tblCommentary[[#This Row],[Date]]&amp;"|"&amp;tblCommentary[[#This Row],[Seq_Day]])</f>
        <v/>
      </c>
    </row>
    <row r="2256">
      <c r="A2256" s="54" t="n"/>
      <c r="B2256" s="61" t="n"/>
      <c r="C2256" s="58" t="n"/>
      <c r="D2256" s="58" t="n"/>
      <c r="E2256" s="64">
        <f>IF(tblCommentary[[#This Row],[Date]]="","",COUNTIFS(INDEX(tblCommentary[Date],1):tblCommentary[[#This Row],[Date]],tblCommentary[[#This Row],[Date]]))</f>
        <v/>
      </c>
      <c r="F2256" s="63">
        <f>IF(tblCommentary[[#This Row],[Date]]="","",tblCommentary[[#This Row],[Date]]&amp;"|"&amp;tblCommentary[[#This Row],[Seq_Day]])</f>
        <v/>
      </c>
    </row>
    <row r="2257">
      <c r="A2257" s="54" t="n"/>
      <c r="B2257" s="61" t="n"/>
      <c r="C2257" s="58" t="n"/>
      <c r="D2257" s="58" t="n"/>
      <c r="E2257" s="64">
        <f>IF(tblCommentary[[#This Row],[Date]]="","",COUNTIFS(INDEX(tblCommentary[Date],1):tblCommentary[[#This Row],[Date]],tblCommentary[[#This Row],[Date]]))</f>
        <v/>
      </c>
      <c r="F2257" s="63">
        <f>IF(tblCommentary[[#This Row],[Date]]="","",tblCommentary[[#This Row],[Date]]&amp;"|"&amp;tblCommentary[[#This Row],[Seq_Day]])</f>
        <v/>
      </c>
    </row>
    <row r="2258">
      <c r="A2258" s="54" t="n"/>
      <c r="B2258" s="61" t="n"/>
      <c r="C2258" s="58" t="n"/>
      <c r="D2258" s="58" t="n"/>
      <c r="E2258" s="64">
        <f>IF(tblCommentary[[#This Row],[Date]]="","",COUNTIFS(INDEX(tblCommentary[Date],1):tblCommentary[[#This Row],[Date]],tblCommentary[[#This Row],[Date]]))</f>
        <v/>
      </c>
      <c r="F2258" s="63">
        <f>IF(tblCommentary[[#This Row],[Date]]="","",tblCommentary[[#This Row],[Date]]&amp;"|"&amp;tblCommentary[[#This Row],[Seq_Day]])</f>
        <v/>
      </c>
    </row>
    <row r="2259">
      <c r="A2259" s="54" t="n"/>
      <c r="B2259" s="61" t="n"/>
      <c r="C2259" s="58" t="n"/>
      <c r="D2259" s="58" t="n"/>
      <c r="E2259" s="64">
        <f>IF(tblCommentary[[#This Row],[Date]]="","",COUNTIFS(INDEX(tblCommentary[Date],1):tblCommentary[[#This Row],[Date]],tblCommentary[[#This Row],[Date]]))</f>
        <v/>
      </c>
      <c r="F2259" s="63">
        <f>IF(tblCommentary[[#This Row],[Date]]="","",tblCommentary[[#This Row],[Date]]&amp;"|"&amp;tblCommentary[[#This Row],[Seq_Day]])</f>
        <v/>
      </c>
    </row>
    <row r="2260">
      <c r="A2260" s="54" t="n"/>
      <c r="B2260" s="61" t="n"/>
      <c r="C2260" s="58" t="n"/>
      <c r="D2260" s="58" t="n"/>
      <c r="E2260" s="64">
        <f>IF(tblCommentary[[#This Row],[Date]]="","",COUNTIFS(INDEX(tblCommentary[Date],1):tblCommentary[[#This Row],[Date]],tblCommentary[[#This Row],[Date]]))</f>
        <v/>
      </c>
      <c r="F2260" s="63">
        <f>IF(tblCommentary[[#This Row],[Date]]="","",tblCommentary[[#This Row],[Date]]&amp;"|"&amp;tblCommentary[[#This Row],[Seq_Day]])</f>
        <v/>
      </c>
    </row>
    <row r="2261">
      <c r="A2261" s="54" t="n"/>
      <c r="B2261" s="61" t="n"/>
      <c r="C2261" s="58" t="n"/>
      <c r="D2261" s="58" t="n"/>
      <c r="E2261" s="64">
        <f>IF(tblCommentary[[#This Row],[Date]]="","",COUNTIFS(INDEX(tblCommentary[Date],1):tblCommentary[[#This Row],[Date]],tblCommentary[[#This Row],[Date]]))</f>
        <v/>
      </c>
      <c r="F2261" s="63">
        <f>IF(tblCommentary[[#This Row],[Date]]="","",tblCommentary[[#This Row],[Date]]&amp;"|"&amp;tblCommentary[[#This Row],[Seq_Day]])</f>
        <v/>
      </c>
    </row>
    <row r="2262">
      <c r="A2262" s="54" t="n"/>
      <c r="B2262" s="61" t="n"/>
      <c r="C2262" s="58" t="n"/>
      <c r="D2262" s="58" t="n"/>
      <c r="E2262" s="64">
        <f>IF(tblCommentary[[#This Row],[Date]]="","",COUNTIFS(INDEX(tblCommentary[Date],1):tblCommentary[[#This Row],[Date]],tblCommentary[[#This Row],[Date]]))</f>
        <v/>
      </c>
      <c r="F2262" s="63">
        <f>IF(tblCommentary[[#This Row],[Date]]="","",tblCommentary[[#This Row],[Date]]&amp;"|"&amp;tblCommentary[[#This Row],[Seq_Day]])</f>
        <v/>
      </c>
    </row>
    <row r="2263">
      <c r="A2263" s="54" t="n"/>
      <c r="B2263" s="61" t="n"/>
      <c r="C2263" s="58" t="n"/>
      <c r="D2263" s="58" t="n"/>
      <c r="E2263" s="64">
        <f>IF(tblCommentary[[#This Row],[Date]]="","",COUNTIFS(INDEX(tblCommentary[Date],1):tblCommentary[[#This Row],[Date]],tblCommentary[[#This Row],[Date]]))</f>
        <v/>
      </c>
      <c r="F2263" s="63">
        <f>IF(tblCommentary[[#This Row],[Date]]="","",tblCommentary[[#This Row],[Date]]&amp;"|"&amp;tblCommentary[[#This Row],[Seq_Day]])</f>
        <v/>
      </c>
    </row>
    <row r="2264">
      <c r="A2264" s="54" t="n"/>
      <c r="B2264" s="61" t="n"/>
      <c r="C2264" s="58" t="n"/>
      <c r="D2264" s="58" t="n"/>
      <c r="E2264" s="64">
        <f>IF(tblCommentary[[#This Row],[Date]]="","",COUNTIFS(INDEX(tblCommentary[Date],1):tblCommentary[[#This Row],[Date]],tblCommentary[[#This Row],[Date]]))</f>
        <v/>
      </c>
      <c r="F2264" s="63">
        <f>IF(tblCommentary[[#This Row],[Date]]="","",tblCommentary[[#This Row],[Date]]&amp;"|"&amp;tblCommentary[[#This Row],[Seq_Day]])</f>
        <v/>
      </c>
    </row>
    <row r="2265">
      <c r="A2265" s="54" t="n"/>
      <c r="B2265" s="61" t="n"/>
      <c r="C2265" s="58" t="n"/>
      <c r="D2265" s="58" t="n"/>
      <c r="E2265" s="64">
        <f>IF(tblCommentary[[#This Row],[Date]]="","",COUNTIFS(INDEX(tblCommentary[Date],1):tblCommentary[[#This Row],[Date]],tblCommentary[[#This Row],[Date]]))</f>
        <v/>
      </c>
      <c r="F2265" s="63">
        <f>IF(tblCommentary[[#This Row],[Date]]="","",tblCommentary[[#This Row],[Date]]&amp;"|"&amp;tblCommentary[[#This Row],[Seq_Day]])</f>
        <v/>
      </c>
    </row>
    <row r="2266">
      <c r="A2266" s="54" t="n"/>
      <c r="B2266" s="61" t="n"/>
      <c r="C2266" s="58" t="n"/>
      <c r="D2266" s="58" t="n"/>
      <c r="E2266" s="64">
        <f>IF(tblCommentary[[#This Row],[Date]]="","",COUNTIFS(INDEX(tblCommentary[Date],1):tblCommentary[[#This Row],[Date]],tblCommentary[[#This Row],[Date]]))</f>
        <v/>
      </c>
      <c r="F2266" s="63">
        <f>IF(tblCommentary[[#This Row],[Date]]="","",tblCommentary[[#This Row],[Date]]&amp;"|"&amp;tblCommentary[[#This Row],[Seq_Day]])</f>
        <v/>
      </c>
    </row>
    <row r="2267">
      <c r="A2267" s="54" t="n"/>
      <c r="B2267" s="61" t="n"/>
      <c r="C2267" s="58" t="n"/>
      <c r="D2267" s="58" t="n"/>
      <c r="E2267" s="64">
        <f>IF(tblCommentary[[#This Row],[Date]]="","",COUNTIFS(INDEX(tblCommentary[Date],1):tblCommentary[[#This Row],[Date]],tblCommentary[[#This Row],[Date]]))</f>
        <v/>
      </c>
      <c r="F2267" s="63">
        <f>IF(tblCommentary[[#This Row],[Date]]="","",tblCommentary[[#This Row],[Date]]&amp;"|"&amp;tblCommentary[[#This Row],[Seq_Day]])</f>
        <v/>
      </c>
    </row>
    <row r="2268">
      <c r="A2268" s="54" t="n"/>
      <c r="B2268" s="61" t="n"/>
      <c r="C2268" s="58" t="n"/>
      <c r="D2268" s="58" t="n"/>
      <c r="E2268" s="64">
        <f>IF(tblCommentary[[#This Row],[Date]]="","",COUNTIFS(INDEX(tblCommentary[Date],1):tblCommentary[[#This Row],[Date]],tblCommentary[[#This Row],[Date]]))</f>
        <v/>
      </c>
      <c r="F2268" s="63">
        <f>IF(tblCommentary[[#This Row],[Date]]="","",tblCommentary[[#This Row],[Date]]&amp;"|"&amp;tblCommentary[[#This Row],[Seq_Day]])</f>
        <v/>
      </c>
    </row>
    <row r="2269">
      <c r="A2269" s="54" t="n"/>
      <c r="B2269" s="61" t="n"/>
      <c r="C2269" s="58" t="n"/>
      <c r="D2269" s="58" t="n"/>
      <c r="E2269" s="64">
        <f>IF(tblCommentary[[#This Row],[Date]]="","",COUNTIFS(INDEX(tblCommentary[Date],1):tblCommentary[[#This Row],[Date]],tblCommentary[[#This Row],[Date]]))</f>
        <v/>
      </c>
      <c r="F2269" s="63">
        <f>IF(tblCommentary[[#This Row],[Date]]="","",tblCommentary[[#This Row],[Date]]&amp;"|"&amp;tblCommentary[[#This Row],[Seq_Day]])</f>
        <v/>
      </c>
    </row>
    <row r="2270">
      <c r="A2270" s="54" t="n"/>
      <c r="B2270" s="61" t="n"/>
      <c r="C2270" s="58" t="n"/>
      <c r="D2270" s="58" t="n"/>
      <c r="E2270" s="64">
        <f>IF(tblCommentary[[#This Row],[Date]]="","",COUNTIFS(INDEX(tblCommentary[Date],1):tblCommentary[[#This Row],[Date]],tblCommentary[[#This Row],[Date]]))</f>
        <v/>
      </c>
      <c r="F2270" s="63">
        <f>IF(tblCommentary[[#This Row],[Date]]="","",tblCommentary[[#This Row],[Date]]&amp;"|"&amp;tblCommentary[[#This Row],[Seq_Day]])</f>
        <v/>
      </c>
    </row>
    <row r="2271">
      <c r="A2271" s="54" t="n"/>
      <c r="B2271" s="61" t="n"/>
      <c r="C2271" s="58" t="n"/>
      <c r="D2271" s="58" t="n"/>
      <c r="E2271" s="64">
        <f>IF(tblCommentary[[#This Row],[Date]]="","",COUNTIFS(INDEX(tblCommentary[Date],1):tblCommentary[[#This Row],[Date]],tblCommentary[[#This Row],[Date]]))</f>
        <v/>
      </c>
      <c r="F2271" s="63">
        <f>IF(tblCommentary[[#This Row],[Date]]="","",tblCommentary[[#This Row],[Date]]&amp;"|"&amp;tblCommentary[[#This Row],[Seq_Day]])</f>
        <v/>
      </c>
    </row>
    <row r="2272">
      <c r="A2272" s="54" t="n"/>
      <c r="B2272" s="61" t="n"/>
      <c r="C2272" s="58" t="n"/>
      <c r="D2272" s="58" t="n"/>
      <c r="E2272" s="64">
        <f>IF(tblCommentary[[#This Row],[Date]]="","",COUNTIFS(INDEX(tblCommentary[Date],1):tblCommentary[[#This Row],[Date]],tblCommentary[[#This Row],[Date]]))</f>
        <v/>
      </c>
      <c r="F2272" s="63">
        <f>IF(tblCommentary[[#This Row],[Date]]="","",tblCommentary[[#This Row],[Date]]&amp;"|"&amp;tblCommentary[[#This Row],[Seq_Day]])</f>
        <v/>
      </c>
    </row>
    <row r="2273">
      <c r="A2273" s="54" t="n"/>
      <c r="B2273" s="61" t="n"/>
      <c r="C2273" s="58" t="n"/>
      <c r="D2273" s="58" t="n"/>
      <c r="E2273" s="64">
        <f>IF(tblCommentary[[#This Row],[Date]]="","",COUNTIFS(INDEX(tblCommentary[Date],1):tblCommentary[[#This Row],[Date]],tblCommentary[[#This Row],[Date]]))</f>
        <v/>
      </c>
      <c r="F2273" s="63">
        <f>IF(tblCommentary[[#This Row],[Date]]="","",tblCommentary[[#This Row],[Date]]&amp;"|"&amp;tblCommentary[[#This Row],[Seq_Day]])</f>
        <v/>
      </c>
    </row>
    <row r="2274">
      <c r="A2274" s="54" t="n"/>
      <c r="B2274" s="61" t="n"/>
      <c r="C2274" s="58" t="n"/>
      <c r="D2274" s="58" t="n"/>
      <c r="E2274" s="64">
        <f>IF(tblCommentary[[#This Row],[Date]]="","",COUNTIFS(INDEX(tblCommentary[Date],1):tblCommentary[[#This Row],[Date]],tblCommentary[[#This Row],[Date]]))</f>
        <v/>
      </c>
      <c r="F2274" s="63">
        <f>IF(tblCommentary[[#This Row],[Date]]="","",tblCommentary[[#This Row],[Date]]&amp;"|"&amp;tblCommentary[[#This Row],[Seq_Day]])</f>
        <v/>
      </c>
    </row>
    <row r="2275">
      <c r="A2275" s="54" t="n"/>
      <c r="B2275" s="61" t="n"/>
      <c r="C2275" s="58" t="n"/>
      <c r="D2275" s="58" t="n"/>
      <c r="E2275" s="64">
        <f>IF(tblCommentary[[#This Row],[Date]]="","",COUNTIFS(INDEX(tblCommentary[Date],1):tblCommentary[[#This Row],[Date]],tblCommentary[[#This Row],[Date]]))</f>
        <v/>
      </c>
      <c r="F2275" s="63">
        <f>IF(tblCommentary[[#This Row],[Date]]="","",tblCommentary[[#This Row],[Date]]&amp;"|"&amp;tblCommentary[[#This Row],[Seq_Day]])</f>
        <v/>
      </c>
    </row>
    <row r="2276">
      <c r="A2276" s="54" t="n"/>
      <c r="B2276" s="61" t="n"/>
      <c r="C2276" s="58" t="n"/>
      <c r="D2276" s="58" t="n"/>
      <c r="E2276" s="64">
        <f>IF(tblCommentary[[#This Row],[Date]]="","",COUNTIFS(INDEX(tblCommentary[Date],1):tblCommentary[[#This Row],[Date]],tblCommentary[[#This Row],[Date]]))</f>
        <v/>
      </c>
      <c r="F2276" s="63">
        <f>IF(tblCommentary[[#This Row],[Date]]="","",tblCommentary[[#This Row],[Date]]&amp;"|"&amp;tblCommentary[[#This Row],[Seq_Day]])</f>
        <v/>
      </c>
    </row>
    <row r="2277">
      <c r="A2277" s="54" t="n"/>
      <c r="B2277" s="61" t="n"/>
      <c r="C2277" s="58" t="n"/>
      <c r="D2277" s="58" t="n"/>
      <c r="E2277" s="64">
        <f>IF(tblCommentary[[#This Row],[Date]]="","",COUNTIFS(INDEX(tblCommentary[Date],1):tblCommentary[[#This Row],[Date]],tblCommentary[[#This Row],[Date]]))</f>
        <v/>
      </c>
      <c r="F2277" s="63">
        <f>IF(tblCommentary[[#This Row],[Date]]="","",tblCommentary[[#This Row],[Date]]&amp;"|"&amp;tblCommentary[[#This Row],[Seq_Day]])</f>
        <v/>
      </c>
    </row>
    <row r="2278">
      <c r="A2278" s="54" t="n"/>
      <c r="B2278" s="61" t="n"/>
      <c r="C2278" s="58" t="n"/>
      <c r="D2278" s="58" t="n"/>
      <c r="E2278" s="64">
        <f>IF(tblCommentary[[#This Row],[Date]]="","",COUNTIFS(INDEX(tblCommentary[Date],1):tblCommentary[[#This Row],[Date]],tblCommentary[[#This Row],[Date]]))</f>
        <v/>
      </c>
      <c r="F2278" s="63">
        <f>IF(tblCommentary[[#This Row],[Date]]="","",tblCommentary[[#This Row],[Date]]&amp;"|"&amp;tblCommentary[[#This Row],[Seq_Day]])</f>
        <v/>
      </c>
    </row>
    <row r="2279">
      <c r="A2279" s="54" t="n"/>
      <c r="B2279" s="61" t="n"/>
      <c r="C2279" s="58" t="n"/>
      <c r="D2279" s="58" t="n"/>
      <c r="E2279" s="64">
        <f>IF(tblCommentary[[#This Row],[Date]]="","",COUNTIFS(INDEX(tblCommentary[Date],1):tblCommentary[[#This Row],[Date]],tblCommentary[[#This Row],[Date]]))</f>
        <v/>
      </c>
      <c r="F2279" s="63">
        <f>IF(tblCommentary[[#This Row],[Date]]="","",tblCommentary[[#This Row],[Date]]&amp;"|"&amp;tblCommentary[[#This Row],[Seq_Day]])</f>
        <v/>
      </c>
    </row>
    <row r="2280">
      <c r="A2280" s="54" t="n"/>
      <c r="B2280" s="61" t="n"/>
      <c r="C2280" s="58" t="n"/>
      <c r="D2280" s="58" t="n"/>
      <c r="E2280" s="64">
        <f>IF(tblCommentary[[#This Row],[Date]]="","",COUNTIFS(INDEX(tblCommentary[Date],1):tblCommentary[[#This Row],[Date]],tblCommentary[[#This Row],[Date]]))</f>
        <v/>
      </c>
      <c r="F2280" s="63">
        <f>IF(tblCommentary[[#This Row],[Date]]="","",tblCommentary[[#This Row],[Date]]&amp;"|"&amp;tblCommentary[[#This Row],[Seq_Day]])</f>
        <v/>
      </c>
    </row>
    <row r="2281">
      <c r="A2281" s="54" t="n"/>
      <c r="B2281" s="61" t="n"/>
      <c r="C2281" s="58" t="n"/>
      <c r="D2281" s="58" t="n"/>
      <c r="E2281" s="64">
        <f>IF(tblCommentary[[#This Row],[Date]]="","",COUNTIFS(INDEX(tblCommentary[Date],1):tblCommentary[[#This Row],[Date]],tblCommentary[[#This Row],[Date]]))</f>
        <v/>
      </c>
      <c r="F2281" s="63">
        <f>IF(tblCommentary[[#This Row],[Date]]="","",tblCommentary[[#This Row],[Date]]&amp;"|"&amp;tblCommentary[[#This Row],[Seq_Day]])</f>
        <v/>
      </c>
    </row>
    <row r="2282">
      <c r="A2282" s="54" t="n"/>
      <c r="B2282" s="61" t="n"/>
      <c r="C2282" s="58" t="n"/>
      <c r="D2282" s="58" t="n"/>
      <c r="E2282" s="64">
        <f>IF(tblCommentary[[#This Row],[Date]]="","",COUNTIFS(INDEX(tblCommentary[Date],1):tblCommentary[[#This Row],[Date]],tblCommentary[[#This Row],[Date]]))</f>
        <v/>
      </c>
      <c r="F2282" s="63">
        <f>IF(tblCommentary[[#This Row],[Date]]="","",tblCommentary[[#This Row],[Date]]&amp;"|"&amp;tblCommentary[[#This Row],[Seq_Day]])</f>
        <v/>
      </c>
    </row>
    <row r="2283">
      <c r="A2283" s="54" t="n"/>
      <c r="B2283" s="61" t="n"/>
      <c r="C2283" s="58" t="n"/>
      <c r="D2283" s="58" t="n"/>
      <c r="E2283" s="64">
        <f>IF(tblCommentary[[#This Row],[Date]]="","",COUNTIFS(INDEX(tblCommentary[Date],1):tblCommentary[[#This Row],[Date]],tblCommentary[[#This Row],[Date]]))</f>
        <v/>
      </c>
      <c r="F2283" s="63">
        <f>IF(tblCommentary[[#This Row],[Date]]="","",tblCommentary[[#This Row],[Date]]&amp;"|"&amp;tblCommentary[[#This Row],[Seq_Day]])</f>
        <v/>
      </c>
    </row>
    <row r="2284">
      <c r="A2284" s="54" t="n"/>
      <c r="B2284" s="61" t="n"/>
      <c r="C2284" s="58" t="n"/>
      <c r="D2284" s="58" t="n"/>
      <c r="E2284" s="64">
        <f>IF(tblCommentary[[#This Row],[Date]]="","",COUNTIFS(INDEX(tblCommentary[Date],1):tblCommentary[[#This Row],[Date]],tblCommentary[[#This Row],[Date]]))</f>
        <v/>
      </c>
      <c r="F2284" s="63">
        <f>IF(tblCommentary[[#This Row],[Date]]="","",tblCommentary[[#This Row],[Date]]&amp;"|"&amp;tblCommentary[[#This Row],[Seq_Day]])</f>
        <v/>
      </c>
    </row>
    <row r="2285">
      <c r="A2285" s="54" t="n"/>
      <c r="B2285" s="61" t="n"/>
      <c r="C2285" s="58" t="n"/>
      <c r="D2285" s="58" t="n"/>
      <c r="E2285" s="64">
        <f>IF(tblCommentary[[#This Row],[Date]]="","",COUNTIFS(INDEX(tblCommentary[Date],1):tblCommentary[[#This Row],[Date]],tblCommentary[[#This Row],[Date]]))</f>
        <v/>
      </c>
      <c r="F2285" s="63">
        <f>IF(tblCommentary[[#This Row],[Date]]="","",tblCommentary[[#This Row],[Date]]&amp;"|"&amp;tblCommentary[[#This Row],[Seq_Day]])</f>
        <v/>
      </c>
    </row>
    <row r="2286">
      <c r="A2286" s="54" t="n"/>
      <c r="B2286" s="61" t="n"/>
      <c r="C2286" s="58" t="n"/>
      <c r="D2286" s="58" t="n"/>
      <c r="E2286" s="64">
        <f>IF(tblCommentary[[#This Row],[Date]]="","",COUNTIFS(INDEX(tblCommentary[Date],1):tblCommentary[[#This Row],[Date]],tblCommentary[[#This Row],[Date]]))</f>
        <v/>
      </c>
      <c r="F2286" s="63">
        <f>IF(tblCommentary[[#This Row],[Date]]="","",tblCommentary[[#This Row],[Date]]&amp;"|"&amp;tblCommentary[[#This Row],[Seq_Day]])</f>
        <v/>
      </c>
    </row>
    <row r="2287">
      <c r="A2287" s="54" t="n"/>
      <c r="B2287" s="61" t="n"/>
      <c r="C2287" s="58" t="n"/>
      <c r="D2287" s="58" t="n"/>
      <c r="E2287" s="64">
        <f>IF(tblCommentary[[#This Row],[Date]]="","",COUNTIFS(INDEX(tblCommentary[Date],1):tblCommentary[[#This Row],[Date]],tblCommentary[[#This Row],[Date]]))</f>
        <v/>
      </c>
      <c r="F2287" s="63">
        <f>IF(tblCommentary[[#This Row],[Date]]="","",tblCommentary[[#This Row],[Date]]&amp;"|"&amp;tblCommentary[[#This Row],[Seq_Day]])</f>
        <v/>
      </c>
    </row>
    <row r="2288">
      <c r="A2288" s="54" t="n"/>
      <c r="B2288" s="61" t="n"/>
      <c r="C2288" s="58" t="n"/>
      <c r="D2288" s="58" t="n"/>
      <c r="E2288" s="64">
        <f>IF(tblCommentary[[#This Row],[Date]]="","",COUNTIFS(INDEX(tblCommentary[Date],1):tblCommentary[[#This Row],[Date]],tblCommentary[[#This Row],[Date]]))</f>
        <v/>
      </c>
      <c r="F2288" s="63">
        <f>IF(tblCommentary[[#This Row],[Date]]="","",tblCommentary[[#This Row],[Date]]&amp;"|"&amp;tblCommentary[[#This Row],[Seq_Day]])</f>
        <v/>
      </c>
    </row>
    <row r="2289">
      <c r="A2289" s="54" t="n"/>
      <c r="B2289" s="61" t="n"/>
      <c r="C2289" s="58" t="n"/>
      <c r="D2289" s="58" t="n"/>
      <c r="E2289" s="64">
        <f>IF(tblCommentary[[#This Row],[Date]]="","",COUNTIFS(INDEX(tblCommentary[Date],1):tblCommentary[[#This Row],[Date]],tblCommentary[[#This Row],[Date]]))</f>
        <v/>
      </c>
      <c r="F2289" s="63">
        <f>IF(tblCommentary[[#This Row],[Date]]="","",tblCommentary[[#This Row],[Date]]&amp;"|"&amp;tblCommentary[[#This Row],[Seq_Day]])</f>
        <v/>
      </c>
    </row>
    <row r="2290">
      <c r="A2290" s="54" t="n"/>
      <c r="B2290" s="61" t="n"/>
      <c r="C2290" s="58" t="n"/>
      <c r="D2290" s="58" t="n"/>
      <c r="E2290" s="64">
        <f>IF(tblCommentary[[#This Row],[Date]]="","",COUNTIFS(INDEX(tblCommentary[Date],1):tblCommentary[[#This Row],[Date]],tblCommentary[[#This Row],[Date]]))</f>
        <v/>
      </c>
      <c r="F2290" s="63">
        <f>IF(tblCommentary[[#This Row],[Date]]="","",tblCommentary[[#This Row],[Date]]&amp;"|"&amp;tblCommentary[[#This Row],[Seq_Day]])</f>
        <v/>
      </c>
    </row>
    <row r="2291">
      <c r="A2291" s="54" t="n"/>
      <c r="B2291" s="61" t="n"/>
      <c r="C2291" s="58" t="n"/>
      <c r="D2291" s="58" t="n"/>
      <c r="E2291" s="64">
        <f>IF(tblCommentary[[#This Row],[Date]]="","",COUNTIFS(INDEX(tblCommentary[Date],1):tblCommentary[[#This Row],[Date]],tblCommentary[[#This Row],[Date]]))</f>
        <v/>
      </c>
      <c r="F2291" s="63">
        <f>IF(tblCommentary[[#This Row],[Date]]="","",tblCommentary[[#This Row],[Date]]&amp;"|"&amp;tblCommentary[[#This Row],[Seq_Day]])</f>
        <v/>
      </c>
    </row>
    <row r="2292">
      <c r="A2292" s="54" t="n"/>
      <c r="B2292" s="61" t="n"/>
      <c r="C2292" s="58" t="n"/>
      <c r="D2292" s="58" t="n"/>
      <c r="E2292" s="64">
        <f>IF(tblCommentary[[#This Row],[Date]]="","",COUNTIFS(INDEX(tblCommentary[Date],1):tblCommentary[[#This Row],[Date]],tblCommentary[[#This Row],[Date]]))</f>
        <v/>
      </c>
      <c r="F2292" s="63">
        <f>IF(tblCommentary[[#This Row],[Date]]="","",tblCommentary[[#This Row],[Date]]&amp;"|"&amp;tblCommentary[[#This Row],[Seq_Day]])</f>
        <v/>
      </c>
    </row>
    <row r="2293">
      <c r="A2293" s="54" t="n"/>
      <c r="B2293" s="61" t="n"/>
      <c r="C2293" s="58" t="n"/>
      <c r="D2293" s="58" t="n"/>
      <c r="E2293" s="64">
        <f>IF(tblCommentary[[#This Row],[Date]]="","",COUNTIFS(INDEX(tblCommentary[Date],1):tblCommentary[[#This Row],[Date]],tblCommentary[[#This Row],[Date]]))</f>
        <v/>
      </c>
      <c r="F2293" s="63">
        <f>IF(tblCommentary[[#This Row],[Date]]="","",tblCommentary[[#This Row],[Date]]&amp;"|"&amp;tblCommentary[[#This Row],[Seq_Day]])</f>
        <v/>
      </c>
    </row>
    <row r="2294">
      <c r="A2294" s="54" t="n"/>
      <c r="B2294" s="61" t="n"/>
      <c r="C2294" s="58" t="n"/>
      <c r="D2294" s="58" t="n"/>
      <c r="E2294" s="64">
        <f>IF(tblCommentary[[#This Row],[Date]]="","",COUNTIFS(INDEX(tblCommentary[Date],1):tblCommentary[[#This Row],[Date]],tblCommentary[[#This Row],[Date]]))</f>
        <v/>
      </c>
      <c r="F2294" s="63">
        <f>IF(tblCommentary[[#This Row],[Date]]="","",tblCommentary[[#This Row],[Date]]&amp;"|"&amp;tblCommentary[[#This Row],[Seq_Day]])</f>
        <v/>
      </c>
    </row>
    <row r="2295">
      <c r="A2295" s="54" t="n"/>
      <c r="B2295" s="61" t="n"/>
      <c r="C2295" s="58" t="n"/>
      <c r="D2295" s="58" t="n"/>
      <c r="E2295" s="64">
        <f>IF(tblCommentary[[#This Row],[Date]]="","",COUNTIFS(INDEX(tblCommentary[Date],1):tblCommentary[[#This Row],[Date]],tblCommentary[[#This Row],[Date]]))</f>
        <v/>
      </c>
      <c r="F2295" s="63">
        <f>IF(tblCommentary[[#This Row],[Date]]="","",tblCommentary[[#This Row],[Date]]&amp;"|"&amp;tblCommentary[[#This Row],[Seq_Day]])</f>
        <v/>
      </c>
    </row>
    <row r="2296">
      <c r="A2296" s="54" t="n"/>
      <c r="B2296" s="61" t="n"/>
      <c r="C2296" s="58" t="n"/>
      <c r="D2296" s="58" t="n"/>
      <c r="E2296" s="64">
        <f>IF(tblCommentary[[#This Row],[Date]]="","",COUNTIFS(INDEX(tblCommentary[Date],1):tblCommentary[[#This Row],[Date]],tblCommentary[[#This Row],[Date]]))</f>
        <v/>
      </c>
      <c r="F2296" s="63">
        <f>IF(tblCommentary[[#This Row],[Date]]="","",tblCommentary[[#This Row],[Date]]&amp;"|"&amp;tblCommentary[[#This Row],[Seq_Day]])</f>
        <v/>
      </c>
    </row>
    <row r="2297">
      <c r="A2297" s="54" t="n"/>
      <c r="B2297" s="61" t="n"/>
      <c r="C2297" s="58" t="n"/>
      <c r="D2297" s="58" t="n"/>
      <c r="E2297" s="64">
        <f>IF(tblCommentary[[#This Row],[Date]]="","",COUNTIFS(INDEX(tblCommentary[Date],1):tblCommentary[[#This Row],[Date]],tblCommentary[[#This Row],[Date]]))</f>
        <v/>
      </c>
      <c r="F2297" s="63">
        <f>IF(tblCommentary[[#This Row],[Date]]="","",tblCommentary[[#This Row],[Date]]&amp;"|"&amp;tblCommentary[[#This Row],[Seq_Day]])</f>
        <v/>
      </c>
    </row>
    <row r="2298">
      <c r="A2298" s="54" t="n"/>
      <c r="B2298" s="61" t="n"/>
      <c r="C2298" s="58" t="n"/>
      <c r="D2298" s="58" t="n"/>
      <c r="E2298" s="64">
        <f>IF(tblCommentary[[#This Row],[Date]]="","",COUNTIFS(INDEX(tblCommentary[Date],1):tblCommentary[[#This Row],[Date]],tblCommentary[[#This Row],[Date]]))</f>
        <v/>
      </c>
      <c r="F2298" s="63">
        <f>IF(tblCommentary[[#This Row],[Date]]="","",tblCommentary[[#This Row],[Date]]&amp;"|"&amp;tblCommentary[[#This Row],[Seq_Day]])</f>
        <v/>
      </c>
    </row>
    <row r="2299">
      <c r="A2299" s="54" t="n"/>
      <c r="B2299" s="61" t="n"/>
      <c r="C2299" s="58" t="n"/>
      <c r="D2299" s="58" t="n"/>
      <c r="E2299" s="64">
        <f>IF(tblCommentary[[#This Row],[Date]]="","",COUNTIFS(INDEX(tblCommentary[Date],1):tblCommentary[[#This Row],[Date]],tblCommentary[[#This Row],[Date]]))</f>
        <v/>
      </c>
      <c r="F2299" s="63">
        <f>IF(tblCommentary[[#This Row],[Date]]="","",tblCommentary[[#This Row],[Date]]&amp;"|"&amp;tblCommentary[[#This Row],[Seq_Day]])</f>
        <v/>
      </c>
    </row>
    <row r="2300">
      <c r="A2300" s="54" t="n"/>
      <c r="B2300" s="61" t="n"/>
      <c r="C2300" s="58" t="n"/>
      <c r="D2300" s="58" t="n"/>
      <c r="E2300" s="64">
        <f>IF(tblCommentary[[#This Row],[Date]]="","",COUNTIFS(INDEX(tblCommentary[Date],1):tblCommentary[[#This Row],[Date]],tblCommentary[[#This Row],[Date]]))</f>
        <v/>
      </c>
      <c r="F2300" s="63">
        <f>IF(tblCommentary[[#This Row],[Date]]="","",tblCommentary[[#This Row],[Date]]&amp;"|"&amp;tblCommentary[[#This Row],[Seq_Day]])</f>
        <v/>
      </c>
    </row>
    <row r="2301">
      <c r="A2301" s="54" t="n"/>
      <c r="B2301" s="61" t="n"/>
      <c r="C2301" s="58" t="n"/>
      <c r="D2301" s="58" t="n"/>
      <c r="E2301" s="64">
        <f>IF(tblCommentary[[#This Row],[Date]]="","",COUNTIFS(INDEX(tblCommentary[Date],1):tblCommentary[[#This Row],[Date]],tblCommentary[[#This Row],[Date]]))</f>
        <v/>
      </c>
      <c r="F2301" s="63">
        <f>IF(tblCommentary[[#This Row],[Date]]="","",tblCommentary[[#This Row],[Date]]&amp;"|"&amp;tblCommentary[[#This Row],[Seq_Day]])</f>
        <v/>
      </c>
    </row>
    <row r="2302">
      <c r="A2302" s="54" t="n"/>
      <c r="B2302" s="61" t="n"/>
      <c r="C2302" s="58" t="n"/>
      <c r="D2302" s="58" t="n"/>
      <c r="E2302" s="64">
        <f>IF(tblCommentary[[#This Row],[Date]]="","",COUNTIFS(INDEX(tblCommentary[Date],1):tblCommentary[[#This Row],[Date]],tblCommentary[[#This Row],[Date]]))</f>
        <v/>
      </c>
      <c r="F2302" s="63">
        <f>IF(tblCommentary[[#This Row],[Date]]="","",tblCommentary[[#This Row],[Date]]&amp;"|"&amp;tblCommentary[[#This Row],[Seq_Day]])</f>
        <v/>
      </c>
    </row>
    <row r="2303">
      <c r="A2303" s="54" t="n"/>
      <c r="B2303" s="61" t="n"/>
      <c r="C2303" s="58" t="n"/>
      <c r="D2303" s="58" t="n"/>
      <c r="E2303" s="64">
        <f>IF(tblCommentary[[#This Row],[Date]]="","",COUNTIFS(INDEX(tblCommentary[Date],1):tblCommentary[[#This Row],[Date]],tblCommentary[[#This Row],[Date]]))</f>
        <v/>
      </c>
      <c r="F2303" s="63">
        <f>IF(tblCommentary[[#This Row],[Date]]="","",tblCommentary[[#This Row],[Date]]&amp;"|"&amp;tblCommentary[[#This Row],[Seq_Day]])</f>
        <v/>
      </c>
    </row>
    <row r="2304">
      <c r="A2304" s="54" t="n"/>
      <c r="B2304" s="61" t="n"/>
      <c r="C2304" s="58" t="n"/>
      <c r="D2304" s="58" t="n"/>
      <c r="E2304" s="64">
        <f>IF(tblCommentary[[#This Row],[Date]]="","",COUNTIFS(INDEX(tblCommentary[Date],1):tblCommentary[[#This Row],[Date]],tblCommentary[[#This Row],[Date]]))</f>
        <v/>
      </c>
      <c r="F2304" s="63">
        <f>IF(tblCommentary[[#This Row],[Date]]="","",tblCommentary[[#This Row],[Date]]&amp;"|"&amp;tblCommentary[[#This Row],[Seq_Day]])</f>
        <v/>
      </c>
    </row>
    <row r="2305">
      <c r="A2305" s="54" t="n"/>
      <c r="B2305" s="61" t="n"/>
      <c r="C2305" s="58" t="n"/>
      <c r="D2305" s="58" t="n"/>
      <c r="E2305" s="64">
        <f>IF(tblCommentary[[#This Row],[Date]]="","",COUNTIFS(INDEX(tblCommentary[Date],1):tblCommentary[[#This Row],[Date]],tblCommentary[[#This Row],[Date]]))</f>
        <v/>
      </c>
      <c r="F2305" s="63">
        <f>IF(tblCommentary[[#This Row],[Date]]="","",tblCommentary[[#This Row],[Date]]&amp;"|"&amp;tblCommentary[[#This Row],[Seq_Day]])</f>
        <v/>
      </c>
    </row>
    <row r="2306">
      <c r="A2306" s="54" t="n"/>
      <c r="B2306" s="61" t="n"/>
      <c r="C2306" s="58" t="n"/>
      <c r="D2306" s="58" t="n"/>
      <c r="E2306" s="64">
        <f>IF(tblCommentary[[#This Row],[Date]]="","",COUNTIFS(INDEX(tblCommentary[Date],1):tblCommentary[[#This Row],[Date]],tblCommentary[[#This Row],[Date]]))</f>
        <v/>
      </c>
      <c r="F2306" s="63">
        <f>IF(tblCommentary[[#This Row],[Date]]="","",tblCommentary[[#This Row],[Date]]&amp;"|"&amp;tblCommentary[[#This Row],[Seq_Day]])</f>
        <v/>
      </c>
    </row>
    <row r="2307">
      <c r="A2307" s="54" t="n"/>
      <c r="B2307" s="61" t="n"/>
      <c r="C2307" s="58" t="n"/>
      <c r="D2307" s="58" t="n"/>
      <c r="E2307" s="64">
        <f>IF(tblCommentary[[#This Row],[Date]]="","",COUNTIFS(INDEX(tblCommentary[Date],1):tblCommentary[[#This Row],[Date]],tblCommentary[[#This Row],[Date]]))</f>
        <v/>
      </c>
      <c r="F2307" s="63">
        <f>IF(tblCommentary[[#This Row],[Date]]="","",tblCommentary[[#This Row],[Date]]&amp;"|"&amp;tblCommentary[[#This Row],[Seq_Day]])</f>
        <v/>
      </c>
    </row>
    <row r="2308">
      <c r="A2308" s="54" t="n"/>
      <c r="B2308" s="61" t="n"/>
      <c r="C2308" s="58" t="n"/>
      <c r="D2308" s="58" t="n"/>
      <c r="E2308" s="64">
        <f>IF(tblCommentary[[#This Row],[Date]]="","",COUNTIFS(INDEX(tblCommentary[Date],1):tblCommentary[[#This Row],[Date]],tblCommentary[[#This Row],[Date]]))</f>
        <v/>
      </c>
      <c r="F2308" s="63">
        <f>IF(tblCommentary[[#This Row],[Date]]="","",tblCommentary[[#This Row],[Date]]&amp;"|"&amp;tblCommentary[[#This Row],[Seq_Day]])</f>
        <v/>
      </c>
    </row>
    <row r="2309">
      <c r="A2309" s="54" t="n"/>
      <c r="B2309" s="61" t="n"/>
      <c r="C2309" s="58" t="n"/>
      <c r="D2309" s="58" t="n"/>
      <c r="E2309" s="64">
        <f>IF(tblCommentary[[#This Row],[Date]]="","",COUNTIFS(INDEX(tblCommentary[Date],1):tblCommentary[[#This Row],[Date]],tblCommentary[[#This Row],[Date]]))</f>
        <v/>
      </c>
      <c r="F2309" s="63">
        <f>IF(tblCommentary[[#This Row],[Date]]="","",tblCommentary[[#This Row],[Date]]&amp;"|"&amp;tblCommentary[[#This Row],[Seq_Day]])</f>
        <v/>
      </c>
    </row>
    <row r="2310">
      <c r="A2310" s="54" t="n"/>
      <c r="B2310" s="61" t="n"/>
      <c r="C2310" s="58" t="n"/>
      <c r="D2310" s="58" t="n"/>
      <c r="E2310" s="64">
        <f>IF(tblCommentary[[#This Row],[Date]]="","",COUNTIFS(INDEX(tblCommentary[Date],1):tblCommentary[[#This Row],[Date]],tblCommentary[[#This Row],[Date]]))</f>
        <v/>
      </c>
      <c r="F2310" s="63">
        <f>IF(tblCommentary[[#This Row],[Date]]="","",tblCommentary[[#This Row],[Date]]&amp;"|"&amp;tblCommentary[[#This Row],[Seq_Day]])</f>
        <v/>
      </c>
    </row>
    <row r="2311">
      <c r="A2311" s="54" t="n"/>
      <c r="B2311" s="61" t="n"/>
      <c r="C2311" s="58" t="n"/>
      <c r="D2311" s="58" t="n"/>
      <c r="E2311" s="64">
        <f>IF(tblCommentary[[#This Row],[Date]]="","",COUNTIFS(INDEX(tblCommentary[Date],1):tblCommentary[[#This Row],[Date]],tblCommentary[[#This Row],[Date]]))</f>
        <v/>
      </c>
      <c r="F2311" s="63">
        <f>IF(tblCommentary[[#This Row],[Date]]="","",tblCommentary[[#This Row],[Date]]&amp;"|"&amp;tblCommentary[[#This Row],[Seq_Day]])</f>
        <v/>
      </c>
    </row>
    <row r="2312">
      <c r="A2312" s="54" t="n"/>
      <c r="B2312" s="61" t="n"/>
      <c r="C2312" s="58" t="n"/>
      <c r="D2312" s="58" t="n"/>
      <c r="E2312" s="64">
        <f>IF(tblCommentary[[#This Row],[Date]]="","",COUNTIFS(INDEX(tblCommentary[Date],1):tblCommentary[[#This Row],[Date]],tblCommentary[[#This Row],[Date]]))</f>
        <v/>
      </c>
      <c r="F2312" s="63">
        <f>IF(tblCommentary[[#This Row],[Date]]="","",tblCommentary[[#This Row],[Date]]&amp;"|"&amp;tblCommentary[[#This Row],[Seq_Day]])</f>
        <v/>
      </c>
    </row>
    <row r="2313">
      <c r="A2313" s="54" t="n"/>
      <c r="B2313" s="61" t="n"/>
      <c r="C2313" s="58" t="n"/>
      <c r="D2313" s="58" t="n"/>
      <c r="E2313" s="64">
        <f>IF(tblCommentary[[#This Row],[Date]]="","",COUNTIFS(INDEX(tblCommentary[Date],1):tblCommentary[[#This Row],[Date]],tblCommentary[[#This Row],[Date]]))</f>
        <v/>
      </c>
      <c r="F2313" s="63">
        <f>IF(tblCommentary[[#This Row],[Date]]="","",tblCommentary[[#This Row],[Date]]&amp;"|"&amp;tblCommentary[[#This Row],[Seq_Day]])</f>
        <v/>
      </c>
    </row>
    <row r="2314">
      <c r="A2314" s="54" t="n"/>
      <c r="B2314" s="61" t="n"/>
      <c r="C2314" s="58" t="n"/>
      <c r="D2314" s="58" t="n"/>
      <c r="E2314" s="64">
        <f>IF(tblCommentary[[#This Row],[Date]]="","",COUNTIFS(INDEX(tblCommentary[Date],1):tblCommentary[[#This Row],[Date]],tblCommentary[[#This Row],[Date]]))</f>
        <v/>
      </c>
      <c r="F2314" s="63">
        <f>IF(tblCommentary[[#This Row],[Date]]="","",tblCommentary[[#This Row],[Date]]&amp;"|"&amp;tblCommentary[[#This Row],[Seq_Day]])</f>
        <v/>
      </c>
    </row>
    <row r="2315">
      <c r="A2315" s="54" t="n"/>
      <c r="B2315" s="61" t="n"/>
      <c r="C2315" s="58" t="n"/>
      <c r="D2315" s="58" t="n"/>
      <c r="E2315" s="64">
        <f>IF(tblCommentary[[#This Row],[Date]]="","",COUNTIFS(INDEX(tblCommentary[Date],1):tblCommentary[[#This Row],[Date]],tblCommentary[[#This Row],[Date]]))</f>
        <v/>
      </c>
      <c r="F2315" s="63">
        <f>IF(tblCommentary[[#This Row],[Date]]="","",tblCommentary[[#This Row],[Date]]&amp;"|"&amp;tblCommentary[[#This Row],[Seq_Day]])</f>
        <v/>
      </c>
    </row>
    <row r="2316">
      <c r="A2316" s="54" t="n"/>
      <c r="B2316" s="61" t="n"/>
      <c r="C2316" s="58" t="n"/>
      <c r="D2316" s="58" t="n"/>
      <c r="E2316" s="64">
        <f>IF(tblCommentary[[#This Row],[Date]]="","",COUNTIFS(INDEX(tblCommentary[Date],1):tblCommentary[[#This Row],[Date]],tblCommentary[[#This Row],[Date]]))</f>
        <v/>
      </c>
      <c r="F2316" s="63">
        <f>IF(tblCommentary[[#This Row],[Date]]="","",tblCommentary[[#This Row],[Date]]&amp;"|"&amp;tblCommentary[[#This Row],[Seq_Day]])</f>
        <v/>
      </c>
    </row>
    <row r="2317">
      <c r="A2317" s="54" t="n"/>
      <c r="B2317" s="61" t="n"/>
      <c r="C2317" s="58" t="n"/>
      <c r="D2317" s="58" t="n"/>
      <c r="E2317" s="64">
        <f>IF(tblCommentary[[#This Row],[Date]]="","",COUNTIFS(INDEX(tblCommentary[Date],1):tblCommentary[[#This Row],[Date]],tblCommentary[[#This Row],[Date]]))</f>
        <v/>
      </c>
      <c r="F2317" s="63">
        <f>IF(tblCommentary[[#This Row],[Date]]="","",tblCommentary[[#This Row],[Date]]&amp;"|"&amp;tblCommentary[[#This Row],[Seq_Day]])</f>
        <v/>
      </c>
    </row>
    <row r="2318">
      <c r="A2318" s="54" t="n"/>
      <c r="B2318" s="61" t="n"/>
      <c r="C2318" s="58" t="n"/>
      <c r="D2318" s="58" t="n"/>
      <c r="E2318" s="64">
        <f>IF(tblCommentary[[#This Row],[Date]]="","",COUNTIFS(INDEX(tblCommentary[Date],1):tblCommentary[[#This Row],[Date]],tblCommentary[[#This Row],[Date]]))</f>
        <v/>
      </c>
      <c r="F2318" s="63">
        <f>IF(tblCommentary[[#This Row],[Date]]="","",tblCommentary[[#This Row],[Date]]&amp;"|"&amp;tblCommentary[[#This Row],[Seq_Day]])</f>
        <v/>
      </c>
    </row>
    <row r="2319">
      <c r="A2319" s="54" t="n"/>
      <c r="B2319" s="61" t="n"/>
      <c r="C2319" s="58" t="n"/>
      <c r="D2319" s="58" t="n"/>
      <c r="E2319" s="64">
        <f>IF(tblCommentary[[#This Row],[Date]]="","",COUNTIFS(INDEX(tblCommentary[Date],1):tblCommentary[[#This Row],[Date]],tblCommentary[[#This Row],[Date]]))</f>
        <v/>
      </c>
      <c r="F2319" s="63">
        <f>IF(tblCommentary[[#This Row],[Date]]="","",tblCommentary[[#This Row],[Date]]&amp;"|"&amp;tblCommentary[[#This Row],[Seq_Day]])</f>
        <v/>
      </c>
    </row>
    <row r="2320">
      <c r="A2320" s="54" t="n"/>
      <c r="B2320" s="61" t="n"/>
      <c r="C2320" s="58" t="n"/>
      <c r="D2320" s="58" t="n"/>
      <c r="E2320" s="64">
        <f>IF(tblCommentary[[#This Row],[Date]]="","",COUNTIFS(INDEX(tblCommentary[Date],1):tblCommentary[[#This Row],[Date]],tblCommentary[[#This Row],[Date]]))</f>
        <v/>
      </c>
      <c r="F2320" s="63">
        <f>IF(tblCommentary[[#This Row],[Date]]="","",tblCommentary[[#This Row],[Date]]&amp;"|"&amp;tblCommentary[[#This Row],[Seq_Day]])</f>
        <v/>
      </c>
    </row>
    <row r="2321">
      <c r="A2321" s="54" t="n"/>
      <c r="B2321" s="61" t="n"/>
      <c r="C2321" s="58" t="n"/>
      <c r="D2321" s="58" t="n"/>
      <c r="E2321" s="64">
        <f>IF(tblCommentary[[#This Row],[Date]]="","",COUNTIFS(INDEX(tblCommentary[Date],1):tblCommentary[[#This Row],[Date]],tblCommentary[[#This Row],[Date]]))</f>
        <v/>
      </c>
      <c r="F2321" s="63">
        <f>IF(tblCommentary[[#This Row],[Date]]="","",tblCommentary[[#This Row],[Date]]&amp;"|"&amp;tblCommentary[[#This Row],[Seq_Day]])</f>
        <v/>
      </c>
    </row>
    <row r="2322">
      <c r="A2322" s="54" t="n"/>
      <c r="B2322" s="61" t="n"/>
      <c r="C2322" s="58" t="n"/>
      <c r="D2322" s="58" t="n"/>
      <c r="E2322" s="64">
        <f>IF(tblCommentary[[#This Row],[Date]]="","",COUNTIFS(INDEX(tblCommentary[Date],1):tblCommentary[[#This Row],[Date]],tblCommentary[[#This Row],[Date]]))</f>
        <v/>
      </c>
      <c r="F2322" s="63">
        <f>IF(tblCommentary[[#This Row],[Date]]="","",tblCommentary[[#This Row],[Date]]&amp;"|"&amp;tblCommentary[[#This Row],[Seq_Day]])</f>
        <v/>
      </c>
    </row>
    <row r="2323">
      <c r="A2323" s="54" t="n"/>
      <c r="B2323" s="61" t="n"/>
      <c r="C2323" s="58" t="n"/>
      <c r="D2323" s="58" t="n"/>
      <c r="E2323" s="64">
        <f>IF(tblCommentary[[#This Row],[Date]]="","",COUNTIFS(INDEX(tblCommentary[Date],1):tblCommentary[[#This Row],[Date]],tblCommentary[[#This Row],[Date]]))</f>
        <v/>
      </c>
      <c r="F2323" s="63">
        <f>IF(tblCommentary[[#This Row],[Date]]="","",tblCommentary[[#This Row],[Date]]&amp;"|"&amp;tblCommentary[[#This Row],[Seq_Day]])</f>
        <v/>
      </c>
    </row>
    <row r="2324">
      <c r="A2324" s="54" t="n"/>
      <c r="B2324" s="61" t="n"/>
      <c r="C2324" s="58" t="n"/>
      <c r="D2324" s="58" t="n"/>
      <c r="E2324" s="64">
        <f>IF(tblCommentary[[#This Row],[Date]]="","",COUNTIFS(INDEX(tblCommentary[Date],1):tblCommentary[[#This Row],[Date]],tblCommentary[[#This Row],[Date]]))</f>
        <v/>
      </c>
      <c r="F2324" s="63">
        <f>IF(tblCommentary[[#This Row],[Date]]="","",tblCommentary[[#This Row],[Date]]&amp;"|"&amp;tblCommentary[[#This Row],[Seq_Day]])</f>
        <v/>
      </c>
    </row>
    <row r="2325">
      <c r="A2325" s="54" t="n"/>
      <c r="B2325" s="61" t="n"/>
      <c r="C2325" s="58" t="n"/>
      <c r="D2325" s="58" t="n"/>
      <c r="E2325" s="64">
        <f>IF(tblCommentary[[#This Row],[Date]]="","",COUNTIFS(INDEX(tblCommentary[Date],1):tblCommentary[[#This Row],[Date]],tblCommentary[[#This Row],[Date]]))</f>
        <v/>
      </c>
      <c r="F2325" s="63">
        <f>IF(tblCommentary[[#This Row],[Date]]="","",tblCommentary[[#This Row],[Date]]&amp;"|"&amp;tblCommentary[[#This Row],[Seq_Day]])</f>
        <v/>
      </c>
    </row>
    <row r="2326">
      <c r="A2326" s="54" t="n"/>
      <c r="B2326" s="61" t="n"/>
      <c r="C2326" s="58" t="n"/>
      <c r="D2326" s="58" t="n"/>
      <c r="E2326" s="64">
        <f>IF(tblCommentary[[#This Row],[Date]]="","",COUNTIFS(INDEX(tblCommentary[Date],1):tblCommentary[[#This Row],[Date]],tblCommentary[[#This Row],[Date]]))</f>
        <v/>
      </c>
      <c r="F2326" s="63">
        <f>IF(tblCommentary[[#This Row],[Date]]="","",tblCommentary[[#This Row],[Date]]&amp;"|"&amp;tblCommentary[[#This Row],[Seq_Day]])</f>
        <v/>
      </c>
    </row>
    <row r="2327">
      <c r="A2327" s="54" t="n"/>
      <c r="B2327" s="61" t="n"/>
      <c r="C2327" s="58" t="n"/>
      <c r="D2327" s="58" t="n"/>
      <c r="E2327" s="64">
        <f>IF(tblCommentary[[#This Row],[Date]]="","",COUNTIFS(INDEX(tblCommentary[Date],1):tblCommentary[[#This Row],[Date]],tblCommentary[[#This Row],[Date]]))</f>
        <v/>
      </c>
      <c r="F2327" s="63">
        <f>IF(tblCommentary[[#This Row],[Date]]="","",tblCommentary[[#This Row],[Date]]&amp;"|"&amp;tblCommentary[[#This Row],[Seq_Day]])</f>
        <v/>
      </c>
    </row>
    <row r="2328">
      <c r="A2328" s="54" t="n"/>
      <c r="B2328" s="61" t="n"/>
      <c r="C2328" s="58" t="n"/>
      <c r="D2328" s="58" t="n"/>
      <c r="E2328" s="64">
        <f>IF(tblCommentary[[#This Row],[Date]]="","",COUNTIFS(INDEX(tblCommentary[Date],1):tblCommentary[[#This Row],[Date]],tblCommentary[[#This Row],[Date]]))</f>
        <v/>
      </c>
      <c r="F2328" s="63">
        <f>IF(tblCommentary[[#This Row],[Date]]="","",tblCommentary[[#This Row],[Date]]&amp;"|"&amp;tblCommentary[[#This Row],[Seq_Day]])</f>
        <v/>
      </c>
    </row>
    <row r="2329">
      <c r="A2329" s="54" t="n"/>
      <c r="B2329" s="61" t="n"/>
      <c r="C2329" s="58" t="n"/>
      <c r="D2329" s="58" t="n"/>
      <c r="E2329" s="64">
        <f>IF(tblCommentary[[#This Row],[Date]]="","",COUNTIFS(INDEX(tblCommentary[Date],1):tblCommentary[[#This Row],[Date]],tblCommentary[[#This Row],[Date]]))</f>
        <v/>
      </c>
      <c r="F2329" s="63">
        <f>IF(tblCommentary[[#This Row],[Date]]="","",tblCommentary[[#This Row],[Date]]&amp;"|"&amp;tblCommentary[[#This Row],[Seq_Day]])</f>
        <v/>
      </c>
    </row>
    <row r="2330">
      <c r="A2330" s="54" t="n"/>
      <c r="B2330" s="61" t="n"/>
      <c r="C2330" s="58" t="n"/>
      <c r="D2330" s="58" t="n"/>
      <c r="E2330" s="64">
        <f>IF(tblCommentary[[#This Row],[Date]]="","",COUNTIFS(INDEX(tblCommentary[Date],1):tblCommentary[[#This Row],[Date]],tblCommentary[[#This Row],[Date]]))</f>
        <v/>
      </c>
      <c r="F2330" s="63">
        <f>IF(tblCommentary[[#This Row],[Date]]="","",tblCommentary[[#This Row],[Date]]&amp;"|"&amp;tblCommentary[[#This Row],[Seq_Day]])</f>
        <v/>
      </c>
    </row>
    <row r="2331">
      <c r="A2331" s="54" t="n"/>
      <c r="B2331" s="61" t="n"/>
      <c r="C2331" s="58" t="n"/>
      <c r="D2331" s="58" t="n"/>
      <c r="E2331" s="64">
        <f>IF(tblCommentary[[#This Row],[Date]]="","",COUNTIFS(INDEX(tblCommentary[Date],1):tblCommentary[[#This Row],[Date]],tblCommentary[[#This Row],[Date]]))</f>
        <v/>
      </c>
      <c r="F2331" s="63">
        <f>IF(tblCommentary[[#This Row],[Date]]="","",tblCommentary[[#This Row],[Date]]&amp;"|"&amp;tblCommentary[[#This Row],[Seq_Day]])</f>
        <v/>
      </c>
    </row>
    <row r="2332">
      <c r="A2332" s="54" t="n"/>
      <c r="B2332" s="61" t="n"/>
      <c r="C2332" s="58" t="n"/>
      <c r="D2332" s="58" t="n"/>
      <c r="E2332" s="64">
        <f>IF(tblCommentary[[#This Row],[Date]]="","",COUNTIFS(INDEX(tblCommentary[Date],1):tblCommentary[[#This Row],[Date]],tblCommentary[[#This Row],[Date]]))</f>
        <v/>
      </c>
      <c r="F2332" s="63">
        <f>IF(tblCommentary[[#This Row],[Date]]="","",tblCommentary[[#This Row],[Date]]&amp;"|"&amp;tblCommentary[[#This Row],[Seq_Day]])</f>
        <v/>
      </c>
    </row>
    <row r="2333">
      <c r="A2333" s="54" t="n"/>
      <c r="B2333" s="61" t="n"/>
      <c r="C2333" s="58" t="n"/>
      <c r="D2333" s="58" t="n"/>
      <c r="E2333" s="64">
        <f>IF(tblCommentary[[#This Row],[Date]]="","",COUNTIFS(INDEX(tblCommentary[Date],1):tblCommentary[[#This Row],[Date]],tblCommentary[[#This Row],[Date]]))</f>
        <v/>
      </c>
      <c r="F2333" s="63">
        <f>IF(tblCommentary[[#This Row],[Date]]="","",tblCommentary[[#This Row],[Date]]&amp;"|"&amp;tblCommentary[[#This Row],[Seq_Day]])</f>
        <v/>
      </c>
    </row>
    <row r="2334">
      <c r="A2334" s="54" t="n"/>
      <c r="B2334" s="61" t="n"/>
      <c r="C2334" s="58" t="n"/>
      <c r="D2334" s="58" t="n"/>
      <c r="E2334" s="64">
        <f>IF(tblCommentary[[#This Row],[Date]]="","",COUNTIFS(INDEX(tblCommentary[Date],1):tblCommentary[[#This Row],[Date]],tblCommentary[[#This Row],[Date]]))</f>
        <v/>
      </c>
      <c r="F2334" s="63">
        <f>IF(tblCommentary[[#This Row],[Date]]="","",tblCommentary[[#This Row],[Date]]&amp;"|"&amp;tblCommentary[[#This Row],[Seq_Day]])</f>
        <v/>
      </c>
    </row>
    <row r="2335">
      <c r="A2335" s="54" t="n"/>
      <c r="B2335" s="61" t="n"/>
      <c r="C2335" s="58" t="n"/>
      <c r="D2335" s="58" t="n"/>
      <c r="E2335" s="64">
        <f>IF(tblCommentary[[#This Row],[Date]]="","",COUNTIFS(INDEX(tblCommentary[Date],1):tblCommentary[[#This Row],[Date]],tblCommentary[[#This Row],[Date]]))</f>
        <v/>
      </c>
      <c r="F2335" s="63">
        <f>IF(tblCommentary[[#This Row],[Date]]="","",tblCommentary[[#This Row],[Date]]&amp;"|"&amp;tblCommentary[[#This Row],[Seq_Day]])</f>
        <v/>
      </c>
    </row>
    <row r="2336">
      <c r="A2336" s="54" t="n"/>
      <c r="B2336" s="61" t="n"/>
      <c r="C2336" s="58" t="n"/>
      <c r="D2336" s="58" t="n"/>
      <c r="E2336" s="64">
        <f>IF(tblCommentary[[#This Row],[Date]]="","",COUNTIFS(INDEX(tblCommentary[Date],1):tblCommentary[[#This Row],[Date]],tblCommentary[[#This Row],[Date]]))</f>
        <v/>
      </c>
      <c r="F2336" s="63">
        <f>IF(tblCommentary[[#This Row],[Date]]="","",tblCommentary[[#This Row],[Date]]&amp;"|"&amp;tblCommentary[[#This Row],[Seq_Day]])</f>
        <v/>
      </c>
    </row>
    <row r="2337">
      <c r="A2337" s="54" t="n"/>
      <c r="B2337" s="61" t="n"/>
      <c r="C2337" s="58" t="n"/>
      <c r="D2337" s="58" t="n"/>
      <c r="E2337" s="64">
        <f>IF(tblCommentary[[#This Row],[Date]]="","",COUNTIFS(INDEX(tblCommentary[Date],1):tblCommentary[[#This Row],[Date]],tblCommentary[[#This Row],[Date]]))</f>
        <v/>
      </c>
      <c r="F2337" s="63">
        <f>IF(tblCommentary[[#This Row],[Date]]="","",tblCommentary[[#This Row],[Date]]&amp;"|"&amp;tblCommentary[[#This Row],[Seq_Day]])</f>
        <v/>
      </c>
    </row>
    <row r="2338">
      <c r="A2338" s="54" t="n"/>
      <c r="B2338" s="61" t="n"/>
      <c r="C2338" s="58" t="n"/>
      <c r="D2338" s="58" t="n"/>
      <c r="E2338" s="64">
        <f>IF(tblCommentary[[#This Row],[Date]]="","",COUNTIFS(INDEX(tblCommentary[Date],1):tblCommentary[[#This Row],[Date]],tblCommentary[[#This Row],[Date]]))</f>
        <v/>
      </c>
      <c r="F2338" s="63">
        <f>IF(tblCommentary[[#This Row],[Date]]="","",tblCommentary[[#This Row],[Date]]&amp;"|"&amp;tblCommentary[[#This Row],[Seq_Day]])</f>
        <v/>
      </c>
    </row>
    <row r="2339">
      <c r="A2339" s="54" t="n"/>
      <c r="B2339" s="61" t="n"/>
      <c r="C2339" s="58" t="n"/>
      <c r="D2339" s="58" t="n"/>
      <c r="E2339" s="64">
        <f>IF(tblCommentary[[#This Row],[Date]]="","",COUNTIFS(INDEX(tblCommentary[Date],1):tblCommentary[[#This Row],[Date]],tblCommentary[[#This Row],[Date]]))</f>
        <v/>
      </c>
      <c r="F2339" s="63">
        <f>IF(tblCommentary[[#This Row],[Date]]="","",tblCommentary[[#This Row],[Date]]&amp;"|"&amp;tblCommentary[[#This Row],[Seq_Day]])</f>
        <v/>
      </c>
    </row>
    <row r="2340">
      <c r="A2340" s="54" t="n"/>
      <c r="B2340" s="61" t="n"/>
      <c r="C2340" s="58" t="n"/>
      <c r="D2340" s="58" t="n"/>
      <c r="E2340" s="64">
        <f>IF(tblCommentary[[#This Row],[Date]]="","",COUNTIFS(INDEX(tblCommentary[Date],1):tblCommentary[[#This Row],[Date]],tblCommentary[[#This Row],[Date]]))</f>
        <v/>
      </c>
      <c r="F2340" s="63">
        <f>IF(tblCommentary[[#This Row],[Date]]="","",tblCommentary[[#This Row],[Date]]&amp;"|"&amp;tblCommentary[[#This Row],[Seq_Day]])</f>
        <v/>
      </c>
    </row>
    <row r="2341">
      <c r="A2341" s="54" t="n"/>
      <c r="B2341" s="61" t="n"/>
      <c r="C2341" s="58" t="n"/>
      <c r="D2341" s="58" t="n"/>
      <c r="E2341" s="64">
        <f>IF(tblCommentary[[#This Row],[Date]]="","",COUNTIFS(INDEX(tblCommentary[Date],1):tblCommentary[[#This Row],[Date]],tblCommentary[[#This Row],[Date]]))</f>
        <v/>
      </c>
      <c r="F2341" s="63">
        <f>IF(tblCommentary[[#This Row],[Date]]="","",tblCommentary[[#This Row],[Date]]&amp;"|"&amp;tblCommentary[[#This Row],[Seq_Day]])</f>
        <v/>
      </c>
    </row>
    <row r="2342">
      <c r="A2342" s="54" t="n"/>
      <c r="B2342" s="61" t="n"/>
      <c r="C2342" s="58" t="n"/>
      <c r="D2342" s="58" t="n"/>
      <c r="E2342" s="64">
        <f>IF(tblCommentary[[#This Row],[Date]]="","",COUNTIFS(INDEX(tblCommentary[Date],1):tblCommentary[[#This Row],[Date]],tblCommentary[[#This Row],[Date]]))</f>
        <v/>
      </c>
      <c r="F2342" s="63">
        <f>IF(tblCommentary[[#This Row],[Date]]="","",tblCommentary[[#This Row],[Date]]&amp;"|"&amp;tblCommentary[[#This Row],[Seq_Day]])</f>
        <v/>
      </c>
    </row>
    <row r="2343">
      <c r="A2343" s="54" t="n"/>
      <c r="B2343" s="61" t="n"/>
      <c r="C2343" s="58" t="n"/>
      <c r="D2343" s="58" t="n"/>
      <c r="E2343" s="64">
        <f>IF(tblCommentary[[#This Row],[Date]]="","",COUNTIFS(INDEX(tblCommentary[Date],1):tblCommentary[[#This Row],[Date]],tblCommentary[[#This Row],[Date]]))</f>
        <v/>
      </c>
      <c r="F2343" s="63">
        <f>IF(tblCommentary[[#This Row],[Date]]="","",tblCommentary[[#This Row],[Date]]&amp;"|"&amp;tblCommentary[[#This Row],[Seq_Day]])</f>
        <v/>
      </c>
    </row>
    <row r="2344">
      <c r="A2344" s="54" t="n"/>
      <c r="B2344" s="61" t="n"/>
      <c r="C2344" s="58" t="n"/>
      <c r="D2344" s="58" t="n"/>
      <c r="E2344" s="64">
        <f>IF(tblCommentary[[#This Row],[Date]]="","",COUNTIFS(INDEX(tblCommentary[Date],1):tblCommentary[[#This Row],[Date]],tblCommentary[[#This Row],[Date]]))</f>
        <v/>
      </c>
      <c r="F2344" s="63">
        <f>IF(tblCommentary[[#This Row],[Date]]="","",tblCommentary[[#This Row],[Date]]&amp;"|"&amp;tblCommentary[[#This Row],[Seq_Day]])</f>
        <v/>
      </c>
    </row>
    <row r="2345">
      <c r="A2345" s="54" t="n"/>
      <c r="B2345" s="61" t="n"/>
      <c r="C2345" s="58" t="n"/>
      <c r="D2345" s="58" t="n"/>
      <c r="E2345" s="64">
        <f>IF(tblCommentary[[#This Row],[Date]]="","",COUNTIFS(INDEX(tblCommentary[Date],1):tblCommentary[[#This Row],[Date]],tblCommentary[[#This Row],[Date]]))</f>
        <v/>
      </c>
      <c r="F2345" s="63">
        <f>IF(tblCommentary[[#This Row],[Date]]="","",tblCommentary[[#This Row],[Date]]&amp;"|"&amp;tblCommentary[[#This Row],[Seq_Day]])</f>
        <v/>
      </c>
    </row>
    <row r="2346">
      <c r="A2346" s="54" t="n"/>
      <c r="B2346" s="61" t="n"/>
      <c r="C2346" s="58" t="n"/>
      <c r="D2346" s="58" t="n"/>
      <c r="E2346" s="64">
        <f>IF(tblCommentary[[#This Row],[Date]]="","",COUNTIFS(INDEX(tblCommentary[Date],1):tblCommentary[[#This Row],[Date]],tblCommentary[[#This Row],[Date]]))</f>
        <v/>
      </c>
      <c r="F2346" s="63">
        <f>IF(tblCommentary[[#This Row],[Date]]="","",tblCommentary[[#This Row],[Date]]&amp;"|"&amp;tblCommentary[[#This Row],[Seq_Day]])</f>
        <v/>
      </c>
    </row>
    <row r="2347">
      <c r="A2347" s="54" t="n"/>
      <c r="B2347" s="61" t="n"/>
      <c r="C2347" s="58" t="n"/>
      <c r="D2347" s="58" t="n"/>
      <c r="E2347" s="64">
        <f>IF(tblCommentary[[#This Row],[Date]]="","",COUNTIFS(INDEX(tblCommentary[Date],1):tblCommentary[[#This Row],[Date]],tblCommentary[[#This Row],[Date]]))</f>
        <v/>
      </c>
      <c r="F2347" s="63">
        <f>IF(tblCommentary[[#This Row],[Date]]="","",tblCommentary[[#This Row],[Date]]&amp;"|"&amp;tblCommentary[[#This Row],[Seq_Day]])</f>
        <v/>
      </c>
    </row>
    <row r="2348">
      <c r="A2348" s="54" t="n"/>
      <c r="B2348" s="61" t="n"/>
      <c r="C2348" s="58" t="n"/>
      <c r="D2348" s="58" t="n"/>
      <c r="E2348" s="64">
        <f>IF(tblCommentary[[#This Row],[Date]]="","",COUNTIFS(INDEX(tblCommentary[Date],1):tblCommentary[[#This Row],[Date]],tblCommentary[[#This Row],[Date]]))</f>
        <v/>
      </c>
      <c r="F2348" s="63">
        <f>IF(tblCommentary[[#This Row],[Date]]="","",tblCommentary[[#This Row],[Date]]&amp;"|"&amp;tblCommentary[[#This Row],[Seq_Day]])</f>
        <v/>
      </c>
    </row>
    <row r="2349">
      <c r="A2349" s="54" t="n"/>
      <c r="B2349" s="61" t="n"/>
      <c r="C2349" s="58" t="n"/>
      <c r="D2349" s="58" t="n"/>
      <c r="E2349" s="64">
        <f>IF(tblCommentary[[#This Row],[Date]]="","",COUNTIFS(INDEX(tblCommentary[Date],1):tblCommentary[[#This Row],[Date]],tblCommentary[[#This Row],[Date]]))</f>
        <v/>
      </c>
      <c r="F2349" s="63">
        <f>IF(tblCommentary[[#This Row],[Date]]="","",tblCommentary[[#This Row],[Date]]&amp;"|"&amp;tblCommentary[[#This Row],[Seq_Day]])</f>
        <v/>
      </c>
    </row>
    <row r="2350">
      <c r="A2350" s="54" t="n"/>
      <c r="B2350" s="61" t="n"/>
      <c r="C2350" s="58" t="n"/>
      <c r="D2350" s="58" t="n"/>
      <c r="E2350" s="64">
        <f>IF(tblCommentary[[#This Row],[Date]]="","",COUNTIFS(INDEX(tblCommentary[Date],1):tblCommentary[[#This Row],[Date]],tblCommentary[[#This Row],[Date]]))</f>
        <v/>
      </c>
      <c r="F2350" s="63">
        <f>IF(tblCommentary[[#This Row],[Date]]="","",tblCommentary[[#This Row],[Date]]&amp;"|"&amp;tblCommentary[[#This Row],[Seq_Day]])</f>
        <v/>
      </c>
    </row>
    <row r="2351">
      <c r="A2351" s="54" t="n"/>
      <c r="B2351" s="61" t="n"/>
      <c r="C2351" s="58" t="n"/>
      <c r="D2351" s="58" t="n"/>
      <c r="E2351" s="64">
        <f>IF(tblCommentary[[#This Row],[Date]]="","",COUNTIFS(INDEX(tblCommentary[Date],1):tblCommentary[[#This Row],[Date]],tblCommentary[[#This Row],[Date]]))</f>
        <v/>
      </c>
      <c r="F2351" s="63">
        <f>IF(tblCommentary[[#This Row],[Date]]="","",tblCommentary[[#This Row],[Date]]&amp;"|"&amp;tblCommentary[[#This Row],[Seq_Day]])</f>
        <v/>
      </c>
    </row>
    <row r="2352">
      <c r="A2352" s="54" t="n"/>
      <c r="B2352" s="61" t="n"/>
      <c r="C2352" s="58" t="n"/>
      <c r="D2352" s="58" t="n"/>
      <c r="E2352" s="64">
        <f>IF(tblCommentary[[#This Row],[Date]]="","",COUNTIFS(INDEX(tblCommentary[Date],1):tblCommentary[[#This Row],[Date]],tblCommentary[[#This Row],[Date]]))</f>
        <v/>
      </c>
      <c r="F2352" s="63">
        <f>IF(tblCommentary[[#This Row],[Date]]="","",tblCommentary[[#This Row],[Date]]&amp;"|"&amp;tblCommentary[[#This Row],[Seq_Day]])</f>
        <v/>
      </c>
    </row>
    <row r="2353">
      <c r="A2353" s="54" t="n"/>
      <c r="B2353" s="61" t="n"/>
      <c r="C2353" s="58" t="n"/>
      <c r="D2353" s="58" t="n"/>
      <c r="E2353" s="64">
        <f>IF(tblCommentary[[#This Row],[Date]]="","",COUNTIFS(INDEX(tblCommentary[Date],1):tblCommentary[[#This Row],[Date]],tblCommentary[[#This Row],[Date]]))</f>
        <v/>
      </c>
      <c r="F2353" s="63">
        <f>IF(tblCommentary[[#This Row],[Date]]="","",tblCommentary[[#This Row],[Date]]&amp;"|"&amp;tblCommentary[[#This Row],[Seq_Day]])</f>
        <v/>
      </c>
    </row>
    <row r="2354">
      <c r="A2354" s="54" t="n"/>
      <c r="B2354" s="61" t="n"/>
      <c r="C2354" s="58" t="n"/>
      <c r="D2354" s="58" t="n"/>
      <c r="E2354" s="64">
        <f>IF(tblCommentary[[#This Row],[Date]]="","",COUNTIFS(INDEX(tblCommentary[Date],1):tblCommentary[[#This Row],[Date]],tblCommentary[[#This Row],[Date]]))</f>
        <v/>
      </c>
      <c r="F2354" s="63">
        <f>IF(tblCommentary[[#This Row],[Date]]="","",tblCommentary[[#This Row],[Date]]&amp;"|"&amp;tblCommentary[[#This Row],[Seq_Day]])</f>
        <v/>
      </c>
    </row>
    <row r="2355">
      <c r="A2355" s="54" t="n"/>
      <c r="B2355" s="61" t="n"/>
      <c r="C2355" s="58" t="n"/>
      <c r="D2355" s="58" t="n"/>
      <c r="E2355" s="64">
        <f>IF(tblCommentary[[#This Row],[Date]]="","",COUNTIFS(INDEX(tblCommentary[Date],1):tblCommentary[[#This Row],[Date]],tblCommentary[[#This Row],[Date]]))</f>
        <v/>
      </c>
      <c r="F2355" s="63">
        <f>IF(tblCommentary[[#This Row],[Date]]="","",tblCommentary[[#This Row],[Date]]&amp;"|"&amp;tblCommentary[[#This Row],[Seq_Day]])</f>
        <v/>
      </c>
    </row>
    <row r="2356">
      <c r="A2356" s="54" t="n"/>
      <c r="B2356" s="61" t="n"/>
      <c r="C2356" s="58" t="n"/>
      <c r="D2356" s="58" t="n"/>
      <c r="E2356" s="64">
        <f>IF(tblCommentary[[#This Row],[Date]]="","",COUNTIFS(INDEX(tblCommentary[Date],1):tblCommentary[[#This Row],[Date]],tblCommentary[[#This Row],[Date]]))</f>
        <v/>
      </c>
      <c r="F2356" s="63">
        <f>IF(tblCommentary[[#This Row],[Date]]="","",tblCommentary[[#This Row],[Date]]&amp;"|"&amp;tblCommentary[[#This Row],[Seq_Day]])</f>
        <v/>
      </c>
    </row>
    <row r="2357">
      <c r="A2357" s="54" t="n"/>
      <c r="B2357" s="61" t="n"/>
      <c r="C2357" s="58" t="n"/>
      <c r="D2357" s="58" t="n"/>
      <c r="E2357" s="64">
        <f>IF(tblCommentary[[#This Row],[Date]]="","",COUNTIFS(INDEX(tblCommentary[Date],1):tblCommentary[[#This Row],[Date]],tblCommentary[[#This Row],[Date]]))</f>
        <v/>
      </c>
      <c r="F2357" s="63">
        <f>IF(tblCommentary[[#This Row],[Date]]="","",tblCommentary[[#This Row],[Date]]&amp;"|"&amp;tblCommentary[[#This Row],[Seq_Day]])</f>
        <v/>
      </c>
    </row>
    <row r="2358">
      <c r="A2358" s="54" t="n"/>
      <c r="B2358" s="61" t="n"/>
      <c r="C2358" s="58" t="n"/>
      <c r="D2358" s="58" t="n"/>
      <c r="E2358" s="64">
        <f>IF(tblCommentary[[#This Row],[Date]]="","",COUNTIFS(INDEX(tblCommentary[Date],1):tblCommentary[[#This Row],[Date]],tblCommentary[[#This Row],[Date]]))</f>
        <v/>
      </c>
      <c r="F2358" s="63">
        <f>IF(tblCommentary[[#This Row],[Date]]="","",tblCommentary[[#This Row],[Date]]&amp;"|"&amp;tblCommentary[[#This Row],[Seq_Day]])</f>
        <v/>
      </c>
    </row>
    <row r="2359">
      <c r="A2359" s="54" t="n"/>
      <c r="B2359" s="61" t="n"/>
      <c r="C2359" s="58" t="n"/>
      <c r="D2359" s="58" t="n"/>
      <c r="E2359" s="64">
        <f>IF(tblCommentary[[#This Row],[Date]]="","",COUNTIFS(INDEX(tblCommentary[Date],1):tblCommentary[[#This Row],[Date]],tblCommentary[[#This Row],[Date]]))</f>
        <v/>
      </c>
      <c r="F2359" s="63">
        <f>IF(tblCommentary[[#This Row],[Date]]="","",tblCommentary[[#This Row],[Date]]&amp;"|"&amp;tblCommentary[[#This Row],[Seq_Day]])</f>
        <v/>
      </c>
    </row>
    <row r="2360">
      <c r="A2360" s="54" t="n"/>
      <c r="B2360" s="61" t="n"/>
      <c r="C2360" s="58" t="n"/>
      <c r="D2360" s="58" t="n"/>
      <c r="E2360" s="64">
        <f>IF(tblCommentary[[#This Row],[Date]]="","",COUNTIFS(INDEX(tblCommentary[Date],1):tblCommentary[[#This Row],[Date]],tblCommentary[[#This Row],[Date]]))</f>
        <v/>
      </c>
      <c r="F2360" s="63">
        <f>IF(tblCommentary[[#This Row],[Date]]="","",tblCommentary[[#This Row],[Date]]&amp;"|"&amp;tblCommentary[[#This Row],[Seq_Day]])</f>
        <v/>
      </c>
    </row>
    <row r="2361">
      <c r="A2361" s="54" t="n"/>
      <c r="B2361" s="61" t="n"/>
      <c r="C2361" s="58" t="n"/>
      <c r="D2361" s="58" t="n"/>
      <c r="E2361" s="64">
        <f>IF(tblCommentary[[#This Row],[Date]]="","",COUNTIFS(INDEX(tblCommentary[Date],1):tblCommentary[[#This Row],[Date]],tblCommentary[[#This Row],[Date]]))</f>
        <v/>
      </c>
      <c r="F2361" s="63">
        <f>IF(tblCommentary[[#This Row],[Date]]="","",tblCommentary[[#This Row],[Date]]&amp;"|"&amp;tblCommentary[[#This Row],[Seq_Day]])</f>
        <v/>
      </c>
    </row>
    <row r="2362">
      <c r="A2362" s="54" t="n"/>
      <c r="B2362" s="61" t="n"/>
      <c r="C2362" s="58" t="n"/>
      <c r="D2362" s="58" t="n"/>
      <c r="E2362" s="64">
        <f>IF(tblCommentary[[#This Row],[Date]]="","",COUNTIFS(INDEX(tblCommentary[Date],1):tblCommentary[[#This Row],[Date]],tblCommentary[[#This Row],[Date]]))</f>
        <v/>
      </c>
      <c r="F2362" s="63">
        <f>IF(tblCommentary[[#This Row],[Date]]="","",tblCommentary[[#This Row],[Date]]&amp;"|"&amp;tblCommentary[[#This Row],[Seq_Day]])</f>
        <v/>
      </c>
    </row>
    <row r="2363">
      <c r="A2363" s="54" t="n"/>
      <c r="B2363" s="61" t="n"/>
      <c r="C2363" s="58" t="n"/>
      <c r="D2363" s="58" t="n"/>
      <c r="E2363" s="64">
        <f>IF(tblCommentary[[#This Row],[Date]]="","",COUNTIFS(INDEX(tblCommentary[Date],1):tblCommentary[[#This Row],[Date]],tblCommentary[[#This Row],[Date]]))</f>
        <v/>
      </c>
      <c r="F2363" s="63">
        <f>IF(tblCommentary[[#This Row],[Date]]="","",tblCommentary[[#This Row],[Date]]&amp;"|"&amp;tblCommentary[[#This Row],[Seq_Day]])</f>
        <v/>
      </c>
    </row>
    <row r="2364">
      <c r="A2364" s="54" t="n"/>
      <c r="B2364" s="61" t="n"/>
      <c r="C2364" s="58" t="n"/>
      <c r="D2364" s="58" t="n"/>
      <c r="E2364" s="64">
        <f>IF(tblCommentary[[#This Row],[Date]]="","",COUNTIFS(INDEX(tblCommentary[Date],1):tblCommentary[[#This Row],[Date]],tblCommentary[[#This Row],[Date]]))</f>
        <v/>
      </c>
      <c r="F2364" s="63">
        <f>IF(tblCommentary[[#This Row],[Date]]="","",tblCommentary[[#This Row],[Date]]&amp;"|"&amp;tblCommentary[[#This Row],[Seq_Day]])</f>
        <v/>
      </c>
    </row>
    <row r="2365">
      <c r="A2365" s="54" t="n"/>
      <c r="B2365" s="61" t="n"/>
      <c r="C2365" s="58" t="n"/>
      <c r="D2365" s="58" t="n"/>
      <c r="E2365" s="64">
        <f>IF(tblCommentary[[#This Row],[Date]]="","",COUNTIFS(INDEX(tblCommentary[Date],1):tblCommentary[[#This Row],[Date]],tblCommentary[[#This Row],[Date]]))</f>
        <v/>
      </c>
      <c r="F2365" s="63">
        <f>IF(tblCommentary[[#This Row],[Date]]="","",tblCommentary[[#This Row],[Date]]&amp;"|"&amp;tblCommentary[[#This Row],[Seq_Day]])</f>
        <v/>
      </c>
    </row>
    <row r="2366">
      <c r="A2366" s="54" t="n"/>
      <c r="B2366" s="61" t="n"/>
      <c r="C2366" s="58" t="n"/>
      <c r="D2366" s="58" t="n"/>
      <c r="E2366" s="64">
        <f>IF(tblCommentary[[#This Row],[Date]]="","",COUNTIFS(INDEX(tblCommentary[Date],1):tblCommentary[[#This Row],[Date]],tblCommentary[[#This Row],[Date]]))</f>
        <v/>
      </c>
      <c r="F2366" s="63">
        <f>IF(tblCommentary[[#This Row],[Date]]="","",tblCommentary[[#This Row],[Date]]&amp;"|"&amp;tblCommentary[[#This Row],[Seq_Day]])</f>
        <v/>
      </c>
    </row>
    <row r="2367">
      <c r="A2367" s="54" t="n"/>
      <c r="B2367" s="61" t="n"/>
      <c r="C2367" s="58" t="n"/>
      <c r="D2367" s="58" t="n"/>
      <c r="E2367" s="64">
        <f>IF(tblCommentary[[#This Row],[Date]]="","",COUNTIFS(INDEX(tblCommentary[Date],1):tblCommentary[[#This Row],[Date]],tblCommentary[[#This Row],[Date]]))</f>
        <v/>
      </c>
      <c r="F2367" s="63">
        <f>IF(tblCommentary[[#This Row],[Date]]="","",tblCommentary[[#This Row],[Date]]&amp;"|"&amp;tblCommentary[[#This Row],[Seq_Day]])</f>
        <v/>
      </c>
    </row>
    <row r="2368">
      <c r="A2368" s="54" t="n"/>
      <c r="B2368" s="61" t="n"/>
      <c r="C2368" s="58" t="n"/>
      <c r="D2368" s="58" t="n"/>
      <c r="E2368" s="64">
        <f>IF(tblCommentary[[#This Row],[Date]]="","",COUNTIFS(INDEX(tblCommentary[Date],1):tblCommentary[[#This Row],[Date]],tblCommentary[[#This Row],[Date]]))</f>
        <v/>
      </c>
      <c r="F2368" s="63">
        <f>IF(tblCommentary[[#This Row],[Date]]="","",tblCommentary[[#This Row],[Date]]&amp;"|"&amp;tblCommentary[[#This Row],[Seq_Day]])</f>
        <v/>
      </c>
    </row>
    <row r="2369">
      <c r="A2369" s="54" t="n"/>
      <c r="B2369" s="61" t="n"/>
      <c r="C2369" s="58" t="n"/>
      <c r="D2369" s="58" t="n"/>
      <c r="E2369" s="64">
        <f>IF(tblCommentary[[#This Row],[Date]]="","",COUNTIFS(INDEX(tblCommentary[Date],1):tblCommentary[[#This Row],[Date]],tblCommentary[[#This Row],[Date]]))</f>
        <v/>
      </c>
      <c r="F2369" s="63">
        <f>IF(tblCommentary[[#This Row],[Date]]="","",tblCommentary[[#This Row],[Date]]&amp;"|"&amp;tblCommentary[[#This Row],[Seq_Day]])</f>
        <v/>
      </c>
    </row>
    <row r="2370">
      <c r="A2370" s="54" t="n"/>
      <c r="B2370" s="61" t="n"/>
      <c r="C2370" s="58" t="n"/>
      <c r="D2370" s="58" t="n"/>
      <c r="E2370" s="64">
        <f>IF(tblCommentary[[#This Row],[Date]]="","",COUNTIFS(INDEX(tblCommentary[Date],1):tblCommentary[[#This Row],[Date]],tblCommentary[[#This Row],[Date]]))</f>
        <v/>
      </c>
      <c r="F2370" s="63">
        <f>IF(tblCommentary[[#This Row],[Date]]="","",tblCommentary[[#This Row],[Date]]&amp;"|"&amp;tblCommentary[[#This Row],[Seq_Day]])</f>
        <v/>
      </c>
    </row>
    <row r="2371">
      <c r="A2371" s="54" t="n"/>
      <c r="B2371" s="61" t="n"/>
      <c r="C2371" s="58" t="n"/>
      <c r="D2371" s="58" t="n"/>
      <c r="E2371" s="64">
        <f>IF(tblCommentary[[#This Row],[Date]]="","",COUNTIFS(INDEX(tblCommentary[Date],1):tblCommentary[[#This Row],[Date]],tblCommentary[[#This Row],[Date]]))</f>
        <v/>
      </c>
      <c r="F2371" s="63">
        <f>IF(tblCommentary[[#This Row],[Date]]="","",tblCommentary[[#This Row],[Date]]&amp;"|"&amp;tblCommentary[[#This Row],[Seq_Day]])</f>
        <v/>
      </c>
    </row>
    <row r="2372">
      <c r="A2372" s="54" t="n"/>
      <c r="B2372" s="61" t="n"/>
      <c r="C2372" s="58" t="n"/>
      <c r="D2372" s="58" t="n"/>
      <c r="E2372" s="64">
        <f>IF(tblCommentary[[#This Row],[Date]]="","",COUNTIFS(INDEX(tblCommentary[Date],1):tblCommentary[[#This Row],[Date]],tblCommentary[[#This Row],[Date]]))</f>
        <v/>
      </c>
      <c r="F2372" s="63">
        <f>IF(tblCommentary[[#This Row],[Date]]="","",tblCommentary[[#This Row],[Date]]&amp;"|"&amp;tblCommentary[[#This Row],[Seq_Day]])</f>
        <v/>
      </c>
    </row>
    <row r="2373">
      <c r="A2373" s="54" t="n"/>
      <c r="B2373" s="61" t="n"/>
      <c r="C2373" s="58" t="n"/>
      <c r="D2373" s="58" t="n"/>
      <c r="E2373" s="64">
        <f>IF(tblCommentary[[#This Row],[Date]]="","",COUNTIFS(INDEX(tblCommentary[Date],1):tblCommentary[[#This Row],[Date]],tblCommentary[[#This Row],[Date]]))</f>
        <v/>
      </c>
      <c r="F2373" s="63">
        <f>IF(tblCommentary[[#This Row],[Date]]="","",tblCommentary[[#This Row],[Date]]&amp;"|"&amp;tblCommentary[[#This Row],[Seq_Day]])</f>
        <v/>
      </c>
    </row>
    <row r="2374">
      <c r="A2374" s="54" t="n"/>
      <c r="B2374" s="61" t="n"/>
      <c r="C2374" s="58" t="n"/>
      <c r="D2374" s="58" t="n"/>
      <c r="E2374" s="64">
        <f>IF(tblCommentary[[#This Row],[Date]]="","",COUNTIFS(INDEX(tblCommentary[Date],1):tblCommentary[[#This Row],[Date]],tblCommentary[[#This Row],[Date]]))</f>
        <v/>
      </c>
      <c r="F2374" s="63">
        <f>IF(tblCommentary[[#This Row],[Date]]="","",tblCommentary[[#This Row],[Date]]&amp;"|"&amp;tblCommentary[[#This Row],[Seq_Day]])</f>
        <v/>
      </c>
    </row>
    <row r="2375">
      <c r="A2375" s="54" t="n"/>
      <c r="B2375" s="61" t="n"/>
      <c r="C2375" s="58" t="n"/>
      <c r="D2375" s="58" t="n"/>
      <c r="E2375" s="64">
        <f>IF(tblCommentary[[#This Row],[Date]]="","",COUNTIFS(INDEX(tblCommentary[Date],1):tblCommentary[[#This Row],[Date]],tblCommentary[[#This Row],[Date]]))</f>
        <v/>
      </c>
      <c r="F2375" s="63">
        <f>IF(tblCommentary[[#This Row],[Date]]="","",tblCommentary[[#This Row],[Date]]&amp;"|"&amp;tblCommentary[[#This Row],[Seq_Day]])</f>
        <v/>
      </c>
    </row>
    <row r="2376">
      <c r="A2376" s="54" t="n"/>
      <c r="B2376" s="61" t="n"/>
      <c r="C2376" s="58" t="n"/>
      <c r="D2376" s="58" t="n"/>
      <c r="E2376" s="64">
        <f>IF(tblCommentary[[#This Row],[Date]]="","",COUNTIFS(INDEX(tblCommentary[Date],1):tblCommentary[[#This Row],[Date]],tblCommentary[[#This Row],[Date]]))</f>
        <v/>
      </c>
      <c r="F2376" s="63">
        <f>IF(tblCommentary[[#This Row],[Date]]="","",tblCommentary[[#This Row],[Date]]&amp;"|"&amp;tblCommentary[[#This Row],[Seq_Day]])</f>
        <v/>
      </c>
    </row>
    <row r="2377">
      <c r="A2377" s="54" t="n"/>
      <c r="B2377" s="61" t="n"/>
      <c r="C2377" s="58" t="n"/>
      <c r="D2377" s="58" t="n"/>
      <c r="E2377" s="64">
        <f>IF(tblCommentary[[#This Row],[Date]]="","",COUNTIFS(INDEX(tblCommentary[Date],1):tblCommentary[[#This Row],[Date]],tblCommentary[[#This Row],[Date]]))</f>
        <v/>
      </c>
      <c r="F2377" s="63">
        <f>IF(tblCommentary[[#This Row],[Date]]="","",tblCommentary[[#This Row],[Date]]&amp;"|"&amp;tblCommentary[[#This Row],[Seq_Day]])</f>
        <v/>
      </c>
    </row>
    <row r="2378">
      <c r="A2378" s="54" t="n"/>
      <c r="B2378" s="61" t="n"/>
      <c r="C2378" s="58" t="n"/>
      <c r="D2378" s="58" t="n"/>
      <c r="E2378" s="64">
        <f>IF(tblCommentary[[#This Row],[Date]]="","",COUNTIFS(INDEX(tblCommentary[Date],1):tblCommentary[[#This Row],[Date]],tblCommentary[[#This Row],[Date]]))</f>
        <v/>
      </c>
      <c r="F2378" s="63">
        <f>IF(tblCommentary[[#This Row],[Date]]="","",tblCommentary[[#This Row],[Date]]&amp;"|"&amp;tblCommentary[[#This Row],[Seq_Day]])</f>
        <v/>
      </c>
    </row>
    <row r="2379">
      <c r="A2379" s="54" t="n"/>
      <c r="B2379" s="61" t="n"/>
      <c r="C2379" s="58" t="n"/>
      <c r="D2379" s="58" t="n"/>
      <c r="E2379" s="64">
        <f>IF(tblCommentary[[#This Row],[Date]]="","",COUNTIFS(INDEX(tblCommentary[Date],1):tblCommentary[[#This Row],[Date]],tblCommentary[[#This Row],[Date]]))</f>
        <v/>
      </c>
      <c r="F2379" s="63">
        <f>IF(tblCommentary[[#This Row],[Date]]="","",tblCommentary[[#This Row],[Date]]&amp;"|"&amp;tblCommentary[[#This Row],[Seq_Day]])</f>
        <v/>
      </c>
    </row>
    <row r="2380">
      <c r="A2380" s="54" t="n"/>
      <c r="B2380" s="61" t="n"/>
      <c r="C2380" s="58" t="n"/>
      <c r="D2380" s="58" t="n"/>
      <c r="E2380" s="64">
        <f>IF(tblCommentary[[#This Row],[Date]]="","",COUNTIFS(INDEX(tblCommentary[Date],1):tblCommentary[[#This Row],[Date]],tblCommentary[[#This Row],[Date]]))</f>
        <v/>
      </c>
      <c r="F2380" s="63">
        <f>IF(tblCommentary[[#This Row],[Date]]="","",tblCommentary[[#This Row],[Date]]&amp;"|"&amp;tblCommentary[[#This Row],[Seq_Day]])</f>
        <v/>
      </c>
    </row>
    <row r="2381">
      <c r="A2381" s="54" t="n"/>
      <c r="B2381" s="61" t="n"/>
      <c r="C2381" s="58" t="n"/>
      <c r="D2381" s="58" t="n"/>
      <c r="E2381" s="64">
        <f>IF(tblCommentary[[#This Row],[Date]]="","",COUNTIFS(INDEX(tblCommentary[Date],1):tblCommentary[[#This Row],[Date]],tblCommentary[[#This Row],[Date]]))</f>
        <v/>
      </c>
      <c r="F2381" s="63">
        <f>IF(tblCommentary[[#This Row],[Date]]="","",tblCommentary[[#This Row],[Date]]&amp;"|"&amp;tblCommentary[[#This Row],[Seq_Day]])</f>
        <v/>
      </c>
    </row>
    <row r="2382">
      <c r="A2382" s="54" t="n"/>
      <c r="B2382" s="61" t="n"/>
      <c r="C2382" s="58" t="n"/>
      <c r="D2382" s="58" t="n"/>
      <c r="E2382" s="64">
        <f>IF(tblCommentary[[#This Row],[Date]]="","",COUNTIFS(INDEX(tblCommentary[Date],1):tblCommentary[[#This Row],[Date]],tblCommentary[[#This Row],[Date]]))</f>
        <v/>
      </c>
      <c r="F2382" s="63">
        <f>IF(tblCommentary[[#This Row],[Date]]="","",tblCommentary[[#This Row],[Date]]&amp;"|"&amp;tblCommentary[[#This Row],[Seq_Day]])</f>
        <v/>
      </c>
    </row>
    <row r="2383">
      <c r="A2383" s="54" t="n"/>
      <c r="B2383" s="61" t="n"/>
      <c r="C2383" s="58" t="n"/>
      <c r="D2383" s="58" t="n"/>
      <c r="E2383" s="64">
        <f>IF(tblCommentary[[#This Row],[Date]]="","",COUNTIFS(INDEX(tblCommentary[Date],1):tblCommentary[[#This Row],[Date]],tblCommentary[[#This Row],[Date]]))</f>
        <v/>
      </c>
      <c r="F2383" s="63">
        <f>IF(tblCommentary[[#This Row],[Date]]="","",tblCommentary[[#This Row],[Date]]&amp;"|"&amp;tblCommentary[[#This Row],[Seq_Day]])</f>
        <v/>
      </c>
    </row>
    <row r="2384">
      <c r="A2384" s="54" t="n"/>
      <c r="B2384" s="61" t="n"/>
      <c r="C2384" s="58" t="n"/>
      <c r="D2384" s="58" t="n"/>
      <c r="E2384" s="64">
        <f>IF(tblCommentary[[#This Row],[Date]]="","",COUNTIFS(INDEX(tblCommentary[Date],1):tblCommentary[[#This Row],[Date]],tblCommentary[[#This Row],[Date]]))</f>
        <v/>
      </c>
      <c r="F2384" s="63">
        <f>IF(tblCommentary[[#This Row],[Date]]="","",tblCommentary[[#This Row],[Date]]&amp;"|"&amp;tblCommentary[[#This Row],[Seq_Day]])</f>
        <v/>
      </c>
    </row>
    <row r="2385">
      <c r="A2385" s="54" t="n"/>
      <c r="B2385" s="61" t="n"/>
      <c r="C2385" s="58" t="n"/>
      <c r="D2385" s="58" t="n"/>
      <c r="E2385" s="64">
        <f>IF(tblCommentary[[#This Row],[Date]]="","",COUNTIFS(INDEX(tblCommentary[Date],1):tblCommentary[[#This Row],[Date]],tblCommentary[[#This Row],[Date]]))</f>
        <v/>
      </c>
      <c r="F2385" s="63">
        <f>IF(tblCommentary[[#This Row],[Date]]="","",tblCommentary[[#This Row],[Date]]&amp;"|"&amp;tblCommentary[[#This Row],[Seq_Day]])</f>
        <v/>
      </c>
    </row>
    <row r="2386">
      <c r="A2386" s="54" t="n"/>
      <c r="B2386" s="61" t="n"/>
      <c r="C2386" s="58" t="n"/>
      <c r="D2386" s="58" t="n"/>
      <c r="E2386" s="64">
        <f>IF(tblCommentary[[#This Row],[Date]]="","",COUNTIFS(INDEX(tblCommentary[Date],1):tblCommentary[[#This Row],[Date]],tblCommentary[[#This Row],[Date]]))</f>
        <v/>
      </c>
      <c r="F2386" s="63">
        <f>IF(tblCommentary[[#This Row],[Date]]="","",tblCommentary[[#This Row],[Date]]&amp;"|"&amp;tblCommentary[[#This Row],[Seq_Day]])</f>
        <v/>
      </c>
    </row>
    <row r="2387">
      <c r="A2387" s="54" t="n"/>
      <c r="B2387" s="61" t="n"/>
      <c r="C2387" s="58" t="n"/>
      <c r="D2387" s="58" t="n"/>
      <c r="E2387" s="64">
        <f>IF(tblCommentary[[#This Row],[Date]]="","",COUNTIFS(INDEX(tblCommentary[Date],1):tblCommentary[[#This Row],[Date]],tblCommentary[[#This Row],[Date]]))</f>
        <v/>
      </c>
      <c r="F2387" s="63">
        <f>IF(tblCommentary[[#This Row],[Date]]="","",tblCommentary[[#This Row],[Date]]&amp;"|"&amp;tblCommentary[[#This Row],[Seq_Day]])</f>
        <v/>
      </c>
    </row>
    <row r="2388">
      <c r="A2388" s="54" t="n"/>
      <c r="B2388" s="61" t="n"/>
      <c r="C2388" s="58" t="n"/>
      <c r="D2388" s="58" t="n"/>
      <c r="E2388" s="64">
        <f>IF(tblCommentary[[#This Row],[Date]]="","",COUNTIFS(INDEX(tblCommentary[Date],1):tblCommentary[[#This Row],[Date]],tblCommentary[[#This Row],[Date]]))</f>
        <v/>
      </c>
      <c r="F2388" s="63">
        <f>IF(tblCommentary[[#This Row],[Date]]="","",tblCommentary[[#This Row],[Date]]&amp;"|"&amp;tblCommentary[[#This Row],[Seq_Day]])</f>
        <v/>
      </c>
    </row>
    <row r="2389">
      <c r="A2389" s="54" t="n"/>
      <c r="B2389" s="61" t="n"/>
      <c r="C2389" s="58" t="n"/>
      <c r="D2389" s="58" t="n"/>
      <c r="E2389" s="64">
        <f>IF(tblCommentary[[#This Row],[Date]]="","",COUNTIFS(INDEX(tblCommentary[Date],1):tblCommentary[[#This Row],[Date]],tblCommentary[[#This Row],[Date]]))</f>
        <v/>
      </c>
      <c r="F2389" s="63">
        <f>IF(tblCommentary[[#This Row],[Date]]="","",tblCommentary[[#This Row],[Date]]&amp;"|"&amp;tblCommentary[[#This Row],[Seq_Day]])</f>
        <v/>
      </c>
    </row>
    <row r="2390">
      <c r="A2390" s="54" t="n"/>
      <c r="B2390" s="61" t="n"/>
      <c r="C2390" s="58" t="n"/>
      <c r="D2390" s="58" t="n"/>
      <c r="E2390" s="64">
        <f>IF(tblCommentary[[#This Row],[Date]]="","",COUNTIFS(INDEX(tblCommentary[Date],1):tblCommentary[[#This Row],[Date]],tblCommentary[[#This Row],[Date]]))</f>
        <v/>
      </c>
      <c r="F2390" s="63">
        <f>IF(tblCommentary[[#This Row],[Date]]="","",tblCommentary[[#This Row],[Date]]&amp;"|"&amp;tblCommentary[[#This Row],[Seq_Day]])</f>
        <v/>
      </c>
    </row>
    <row r="2391">
      <c r="A2391" s="54" t="n"/>
      <c r="B2391" s="61" t="n"/>
      <c r="C2391" s="58" t="n"/>
      <c r="D2391" s="58" t="n"/>
      <c r="E2391" s="64">
        <f>IF(tblCommentary[[#This Row],[Date]]="","",COUNTIFS(INDEX(tblCommentary[Date],1):tblCommentary[[#This Row],[Date]],tblCommentary[[#This Row],[Date]]))</f>
        <v/>
      </c>
      <c r="F2391" s="63">
        <f>IF(tblCommentary[[#This Row],[Date]]="","",tblCommentary[[#This Row],[Date]]&amp;"|"&amp;tblCommentary[[#This Row],[Seq_Day]])</f>
        <v/>
      </c>
    </row>
    <row r="2392">
      <c r="A2392" s="54" t="n"/>
      <c r="B2392" s="61" t="n"/>
      <c r="C2392" s="58" t="n"/>
      <c r="D2392" s="58" t="n"/>
      <c r="E2392" s="64">
        <f>IF(tblCommentary[[#This Row],[Date]]="","",COUNTIFS(INDEX(tblCommentary[Date],1):tblCommentary[[#This Row],[Date]],tblCommentary[[#This Row],[Date]]))</f>
        <v/>
      </c>
      <c r="F2392" s="63">
        <f>IF(tblCommentary[[#This Row],[Date]]="","",tblCommentary[[#This Row],[Date]]&amp;"|"&amp;tblCommentary[[#This Row],[Seq_Day]])</f>
        <v/>
      </c>
    </row>
    <row r="2393">
      <c r="A2393" s="54" t="n"/>
      <c r="B2393" s="61" t="n"/>
      <c r="C2393" s="58" t="n"/>
      <c r="D2393" s="58" t="n"/>
      <c r="E2393" s="64">
        <f>IF(tblCommentary[[#This Row],[Date]]="","",COUNTIFS(INDEX(tblCommentary[Date],1):tblCommentary[[#This Row],[Date]],tblCommentary[[#This Row],[Date]]))</f>
        <v/>
      </c>
      <c r="F2393" s="63">
        <f>IF(tblCommentary[[#This Row],[Date]]="","",tblCommentary[[#This Row],[Date]]&amp;"|"&amp;tblCommentary[[#This Row],[Seq_Day]])</f>
        <v/>
      </c>
    </row>
    <row r="2394">
      <c r="A2394" s="54" t="n"/>
      <c r="B2394" s="61" t="n"/>
      <c r="C2394" s="58" t="n"/>
      <c r="D2394" s="58" t="n"/>
      <c r="E2394" s="64">
        <f>IF(tblCommentary[[#This Row],[Date]]="","",COUNTIFS(INDEX(tblCommentary[Date],1):tblCommentary[[#This Row],[Date]],tblCommentary[[#This Row],[Date]]))</f>
        <v/>
      </c>
      <c r="F2394" s="63">
        <f>IF(tblCommentary[[#This Row],[Date]]="","",tblCommentary[[#This Row],[Date]]&amp;"|"&amp;tblCommentary[[#This Row],[Seq_Day]])</f>
        <v/>
      </c>
    </row>
    <row r="2395">
      <c r="A2395" s="54" t="n"/>
      <c r="B2395" s="61" t="n"/>
      <c r="C2395" s="58" t="n"/>
      <c r="D2395" s="58" t="n"/>
      <c r="E2395" s="64">
        <f>IF(tblCommentary[[#This Row],[Date]]="","",COUNTIFS(INDEX(tblCommentary[Date],1):tblCommentary[[#This Row],[Date]],tblCommentary[[#This Row],[Date]]))</f>
        <v/>
      </c>
      <c r="F2395" s="63">
        <f>IF(tblCommentary[[#This Row],[Date]]="","",tblCommentary[[#This Row],[Date]]&amp;"|"&amp;tblCommentary[[#This Row],[Seq_Day]])</f>
        <v/>
      </c>
    </row>
    <row r="2396">
      <c r="A2396" s="54" t="n"/>
      <c r="B2396" s="61" t="n"/>
      <c r="C2396" s="58" t="n"/>
      <c r="D2396" s="58" t="n"/>
      <c r="E2396" s="64">
        <f>IF(tblCommentary[[#This Row],[Date]]="","",COUNTIFS(INDEX(tblCommentary[Date],1):tblCommentary[[#This Row],[Date]],tblCommentary[[#This Row],[Date]]))</f>
        <v/>
      </c>
      <c r="F2396" s="63">
        <f>IF(tblCommentary[[#This Row],[Date]]="","",tblCommentary[[#This Row],[Date]]&amp;"|"&amp;tblCommentary[[#This Row],[Seq_Day]])</f>
        <v/>
      </c>
    </row>
    <row r="2397">
      <c r="A2397" s="54" t="n"/>
      <c r="B2397" s="61" t="n"/>
      <c r="C2397" s="58" t="n"/>
      <c r="D2397" s="58" t="n"/>
      <c r="E2397" s="64">
        <f>IF(tblCommentary[[#This Row],[Date]]="","",COUNTIFS(INDEX(tblCommentary[Date],1):tblCommentary[[#This Row],[Date]],tblCommentary[[#This Row],[Date]]))</f>
        <v/>
      </c>
      <c r="F2397" s="63">
        <f>IF(tblCommentary[[#This Row],[Date]]="","",tblCommentary[[#This Row],[Date]]&amp;"|"&amp;tblCommentary[[#This Row],[Seq_Day]])</f>
        <v/>
      </c>
    </row>
    <row r="2398">
      <c r="A2398" s="54" t="n"/>
      <c r="B2398" s="61" t="n"/>
      <c r="C2398" s="58" t="n"/>
      <c r="D2398" s="58" t="n"/>
      <c r="E2398" s="64">
        <f>IF(tblCommentary[[#This Row],[Date]]="","",COUNTIFS(INDEX(tblCommentary[Date],1):tblCommentary[[#This Row],[Date]],tblCommentary[[#This Row],[Date]]))</f>
        <v/>
      </c>
      <c r="F2398" s="63">
        <f>IF(tblCommentary[[#This Row],[Date]]="","",tblCommentary[[#This Row],[Date]]&amp;"|"&amp;tblCommentary[[#This Row],[Seq_Day]])</f>
        <v/>
      </c>
    </row>
    <row r="2399">
      <c r="A2399" s="54" t="n"/>
      <c r="B2399" s="61" t="n"/>
      <c r="C2399" s="58" t="n"/>
      <c r="D2399" s="58" t="n"/>
      <c r="E2399" s="64">
        <f>IF(tblCommentary[[#This Row],[Date]]="","",COUNTIFS(INDEX(tblCommentary[Date],1):tblCommentary[[#This Row],[Date]],tblCommentary[[#This Row],[Date]]))</f>
        <v/>
      </c>
      <c r="F2399" s="63">
        <f>IF(tblCommentary[[#This Row],[Date]]="","",tblCommentary[[#This Row],[Date]]&amp;"|"&amp;tblCommentary[[#This Row],[Seq_Day]])</f>
        <v/>
      </c>
    </row>
    <row r="2400">
      <c r="A2400" s="54" t="n"/>
      <c r="B2400" s="61" t="n"/>
      <c r="C2400" s="58" t="n"/>
      <c r="D2400" s="58" t="n"/>
      <c r="E2400" s="64">
        <f>IF(tblCommentary[[#This Row],[Date]]="","",COUNTIFS(INDEX(tblCommentary[Date],1):tblCommentary[[#This Row],[Date]],tblCommentary[[#This Row],[Date]]))</f>
        <v/>
      </c>
      <c r="F2400" s="63">
        <f>IF(tblCommentary[[#This Row],[Date]]="","",tblCommentary[[#This Row],[Date]]&amp;"|"&amp;tblCommentary[[#This Row],[Seq_Day]])</f>
        <v/>
      </c>
    </row>
    <row r="2401">
      <c r="A2401" s="54" t="n"/>
      <c r="B2401" s="61" t="n"/>
      <c r="C2401" s="58" t="n"/>
      <c r="D2401" s="58" t="n"/>
      <c r="E2401" s="64">
        <f>IF(tblCommentary[[#This Row],[Date]]="","",COUNTIFS(INDEX(tblCommentary[Date],1):tblCommentary[[#This Row],[Date]],tblCommentary[[#This Row],[Date]]))</f>
        <v/>
      </c>
      <c r="F2401" s="63">
        <f>IF(tblCommentary[[#This Row],[Date]]="","",tblCommentary[[#This Row],[Date]]&amp;"|"&amp;tblCommentary[[#This Row],[Seq_Day]])</f>
        <v/>
      </c>
    </row>
    <row r="2402">
      <c r="A2402" s="54" t="n"/>
      <c r="B2402" s="61" t="n"/>
      <c r="C2402" s="58" t="n"/>
      <c r="D2402" s="58" t="n"/>
      <c r="E2402" s="64">
        <f>IF(tblCommentary[[#This Row],[Date]]="","",COUNTIFS(INDEX(tblCommentary[Date],1):tblCommentary[[#This Row],[Date]],tblCommentary[[#This Row],[Date]]))</f>
        <v/>
      </c>
      <c r="F2402" s="63">
        <f>IF(tblCommentary[[#This Row],[Date]]="","",tblCommentary[[#This Row],[Date]]&amp;"|"&amp;tblCommentary[[#This Row],[Seq_Day]])</f>
        <v/>
      </c>
    </row>
    <row r="2403">
      <c r="A2403" s="54" t="n"/>
      <c r="B2403" s="61" t="n"/>
      <c r="C2403" s="58" t="n"/>
      <c r="D2403" s="58" t="n"/>
      <c r="E2403" s="64">
        <f>IF(tblCommentary[[#This Row],[Date]]="","",COUNTIFS(INDEX(tblCommentary[Date],1):tblCommentary[[#This Row],[Date]],tblCommentary[[#This Row],[Date]]))</f>
        <v/>
      </c>
      <c r="F2403" s="63">
        <f>IF(tblCommentary[[#This Row],[Date]]="","",tblCommentary[[#This Row],[Date]]&amp;"|"&amp;tblCommentary[[#This Row],[Seq_Day]])</f>
        <v/>
      </c>
    </row>
    <row r="2404">
      <c r="A2404" s="54" t="n"/>
      <c r="B2404" s="61" t="n"/>
      <c r="C2404" s="58" t="n"/>
      <c r="D2404" s="58" t="n"/>
      <c r="E2404" s="64">
        <f>IF(tblCommentary[[#This Row],[Date]]="","",COUNTIFS(INDEX(tblCommentary[Date],1):tblCommentary[[#This Row],[Date]],tblCommentary[[#This Row],[Date]]))</f>
        <v/>
      </c>
      <c r="F2404" s="63">
        <f>IF(tblCommentary[[#This Row],[Date]]="","",tblCommentary[[#This Row],[Date]]&amp;"|"&amp;tblCommentary[[#This Row],[Seq_Day]])</f>
        <v/>
      </c>
    </row>
    <row r="2405">
      <c r="A2405" s="54" t="n"/>
      <c r="B2405" s="61" t="n"/>
      <c r="C2405" s="58" t="n"/>
      <c r="D2405" s="58" t="n"/>
      <c r="E2405" s="64">
        <f>IF(tblCommentary[[#This Row],[Date]]="","",COUNTIFS(INDEX(tblCommentary[Date],1):tblCommentary[[#This Row],[Date]],tblCommentary[[#This Row],[Date]]))</f>
        <v/>
      </c>
      <c r="F2405" s="63">
        <f>IF(tblCommentary[[#This Row],[Date]]="","",tblCommentary[[#This Row],[Date]]&amp;"|"&amp;tblCommentary[[#This Row],[Seq_Day]])</f>
        <v/>
      </c>
    </row>
    <row r="2406">
      <c r="A2406" s="54" t="n"/>
      <c r="B2406" s="61" t="n"/>
      <c r="C2406" s="58" t="n"/>
      <c r="D2406" s="58" t="n"/>
      <c r="E2406" s="64">
        <f>IF(tblCommentary[[#This Row],[Date]]="","",COUNTIFS(INDEX(tblCommentary[Date],1):tblCommentary[[#This Row],[Date]],tblCommentary[[#This Row],[Date]]))</f>
        <v/>
      </c>
      <c r="F2406" s="63">
        <f>IF(tblCommentary[[#This Row],[Date]]="","",tblCommentary[[#This Row],[Date]]&amp;"|"&amp;tblCommentary[[#This Row],[Seq_Day]])</f>
        <v/>
      </c>
    </row>
    <row r="2407">
      <c r="A2407" s="54" t="n"/>
      <c r="B2407" s="61" t="n"/>
      <c r="C2407" s="58" t="n"/>
      <c r="D2407" s="58" t="n"/>
      <c r="E2407" s="64">
        <f>IF(tblCommentary[[#This Row],[Date]]="","",COUNTIFS(INDEX(tblCommentary[Date],1):tblCommentary[[#This Row],[Date]],tblCommentary[[#This Row],[Date]]))</f>
        <v/>
      </c>
      <c r="F2407" s="63">
        <f>IF(tblCommentary[[#This Row],[Date]]="","",tblCommentary[[#This Row],[Date]]&amp;"|"&amp;tblCommentary[[#This Row],[Seq_Day]])</f>
        <v/>
      </c>
    </row>
    <row r="2408">
      <c r="A2408" s="54" t="n"/>
      <c r="B2408" s="61" t="n"/>
      <c r="C2408" s="58" t="n"/>
      <c r="D2408" s="58" t="n"/>
      <c r="E2408" s="64">
        <f>IF(tblCommentary[[#This Row],[Date]]="","",COUNTIFS(INDEX(tblCommentary[Date],1):tblCommentary[[#This Row],[Date]],tblCommentary[[#This Row],[Date]]))</f>
        <v/>
      </c>
      <c r="F2408" s="63">
        <f>IF(tblCommentary[[#This Row],[Date]]="","",tblCommentary[[#This Row],[Date]]&amp;"|"&amp;tblCommentary[[#This Row],[Seq_Day]])</f>
        <v/>
      </c>
    </row>
    <row r="2409">
      <c r="A2409" s="54" t="n"/>
      <c r="B2409" s="61" t="n"/>
      <c r="C2409" s="58" t="n"/>
      <c r="D2409" s="58" t="n"/>
      <c r="E2409" s="64">
        <f>IF(tblCommentary[[#This Row],[Date]]="","",COUNTIFS(INDEX(tblCommentary[Date],1):tblCommentary[[#This Row],[Date]],tblCommentary[[#This Row],[Date]]))</f>
        <v/>
      </c>
      <c r="F2409" s="63">
        <f>IF(tblCommentary[[#This Row],[Date]]="","",tblCommentary[[#This Row],[Date]]&amp;"|"&amp;tblCommentary[[#This Row],[Seq_Day]])</f>
        <v/>
      </c>
    </row>
    <row r="2410">
      <c r="A2410" s="54" t="n"/>
      <c r="B2410" s="61" t="n"/>
      <c r="C2410" s="58" t="n"/>
      <c r="D2410" s="58" t="n"/>
      <c r="E2410" s="64">
        <f>IF(tblCommentary[[#This Row],[Date]]="","",COUNTIFS(INDEX(tblCommentary[Date],1):tblCommentary[[#This Row],[Date]],tblCommentary[[#This Row],[Date]]))</f>
        <v/>
      </c>
      <c r="F2410" s="63">
        <f>IF(tblCommentary[[#This Row],[Date]]="","",tblCommentary[[#This Row],[Date]]&amp;"|"&amp;tblCommentary[[#This Row],[Seq_Day]])</f>
        <v/>
      </c>
    </row>
    <row r="2411">
      <c r="A2411" s="54" t="n"/>
      <c r="B2411" s="61" t="n"/>
      <c r="C2411" s="58" t="n"/>
      <c r="D2411" s="58" t="n"/>
      <c r="E2411" s="64">
        <f>IF(tblCommentary[[#This Row],[Date]]="","",COUNTIFS(INDEX(tblCommentary[Date],1):tblCommentary[[#This Row],[Date]],tblCommentary[[#This Row],[Date]]))</f>
        <v/>
      </c>
      <c r="F2411" s="63">
        <f>IF(tblCommentary[[#This Row],[Date]]="","",tblCommentary[[#This Row],[Date]]&amp;"|"&amp;tblCommentary[[#This Row],[Seq_Day]])</f>
        <v/>
      </c>
    </row>
    <row r="2412">
      <c r="A2412" s="54" t="n"/>
      <c r="B2412" s="61" t="n"/>
      <c r="C2412" s="58" t="n"/>
      <c r="D2412" s="58" t="n"/>
      <c r="E2412" s="64">
        <f>IF(tblCommentary[[#This Row],[Date]]="","",COUNTIFS(INDEX(tblCommentary[Date],1):tblCommentary[[#This Row],[Date]],tblCommentary[[#This Row],[Date]]))</f>
        <v/>
      </c>
      <c r="F2412" s="63">
        <f>IF(tblCommentary[[#This Row],[Date]]="","",tblCommentary[[#This Row],[Date]]&amp;"|"&amp;tblCommentary[[#This Row],[Seq_Day]])</f>
        <v/>
      </c>
    </row>
    <row r="2413">
      <c r="A2413" s="54" t="n"/>
      <c r="B2413" s="61" t="n"/>
      <c r="C2413" s="58" t="n"/>
      <c r="D2413" s="58" t="n"/>
      <c r="E2413" s="64">
        <f>IF(tblCommentary[[#This Row],[Date]]="","",COUNTIFS(INDEX(tblCommentary[Date],1):tblCommentary[[#This Row],[Date]],tblCommentary[[#This Row],[Date]]))</f>
        <v/>
      </c>
      <c r="F2413" s="63">
        <f>IF(tblCommentary[[#This Row],[Date]]="","",tblCommentary[[#This Row],[Date]]&amp;"|"&amp;tblCommentary[[#This Row],[Seq_Day]])</f>
        <v/>
      </c>
    </row>
    <row r="2414">
      <c r="A2414" s="54" t="n"/>
      <c r="B2414" s="61" t="n"/>
      <c r="C2414" s="58" t="n"/>
      <c r="D2414" s="58" t="n"/>
      <c r="E2414" s="64">
        <f>IF(tblCommentary[[#This Row],[Date]]="","",COUNTIFS(INDEX(tblCommentary[Date],1):tblCommentary[[#This Row],[Date]],tblCommentary[[#This Row],[Date]]))</f>
        <v/>
      </c>
      <c r="F2414" s="63">
        <f>IF(tblCommentary[[#This Row],[Date]]="","",tblCommentary[[#This Row],[Date]]&amp;"|"&amp;tblCommentary[[#This Row],[Seq_Day]])</f>
        <v/>
      </c>
    </row>
    <row r="2415">
      <c r="A2415" s="54" t="n"/>
      <c r="B2415" s="61" t="n"/>
      <c r="C2415" s="58" t="n"/>
      <c r="D2415" s="58" t="n"/>
      <c r="E2415" s="64">
        <f>IF(tblCommentary[[#This Row],[Date]]="","",COUNTIFS(INDEX(tblCommentary[Date],1):tblCommentary[[#This Row],[Date]],tblCommentary[[#This Row],[Date]]))</f>
        <v/>
      </c>
      <c r="F2415" s="63">
        <f>IF(tblCommentary[[#This Row],[Date]]="","",tblCommentary[[#This Row],[Date]]&amp;"|"&amp;tblCommentary[[#This Row],[Seq_Day]])</f>
        <v/>
      </c>
    </row>
    <row r="2416">
      <c r="A2416" s="54" t="n"/>
      <c r="B2416" s="61" t="n"/>
      <c r="C2416" s="58" t="n"/>
      <c r="D2416" s="58" t="n"/>
      <c r="E2416" s="64">
        <f>IF(tblCommentary[[#This Row],[Date]]="","",COUNTIFS(INDEX(tblCommentary[Date],1):tblCommentary[[#This Row],[Date]],tblCommentary[[#This Row],[Date]]))</f>
        <v/>
      </c>
      <c r="F2416" s="63">
        <f>IF(tblCommentary[[#This Row],[Date]]="","",tblCommentary[[#This Row],[Date]]&amp;"|"&amp;tblCommentary[[#This Row],[Seq_Day]])</f>
        <v/>
      </c>
    </row>
    <row r="2417">
      <c r="A2417" s="54" t="n"/>
      <c r="B2417" s="61" t="n"/>
      <c r="C2417" s="58" t="n"/>
      <c r="D2417" s="58" t="n"/>
      <c r="E2417" s="64">
        <f>IF(tblCommentary[[#This Row],[Date]]="","",COUNTIFS(INDEX(tblCommentary[Date],1):tblCommentary[[#This Row],[Date]],tblCommentary[[#This Row],[Date]]))</f>
        <v/>
      </c>
      <c r="F2417" s="63">
        <f>IF(tblCommentary[[#This Row],[Date]]="","",tblCommentary[[#This Row],[Date]]&amp;"|"&amp;tblCommentary[[#This Row],[Seq_Day]])</f>
        <v/>
      </c>
    </row>
    <row r="2418">
      <c r="A2418" s="54" t="n"/>
      <c r="B2418" s="61" t="n"/>
      <c r="C2418" s="58" t="n"/>
      <c r="D2418" s="58" t="n"/>
      <c r="E2418" s="64">
        <f>IF(tblCommentary[[#This Row],[Date]]="","",COUNTIFS(INDEX(tblCommentary[Date],1):tblCommentary[[#This Row],[Date]],tblCommentary[[#This Row],[Date]]))</f>
        <v/>
      </c>
      <c r="F2418" s="63">
        <f>IF(tblCommentary[[#This Row],[Date]]="","",tblCommentary[[#This Row],[Date]]&amp;"|"&amp;tblCommentary[[#This Row],[Seq_Day]])</f>
        <v/>
      </c>
    </row>
    <row r="2419">
      <c r="A2419" s="54" t="n"/>
      <c r="B2419" s="61" t="n"/>
      <c r="C2419" s="58" t="n"/>
      <c r="D2419" s="58" t="n"/>
      <c r="E2419" s="64">
        <f>IF(tblCommentary[[#This Row],[Date]]="","",COUNTIFS(INDEX(tblCommentary[Date],1):tblCommentary[[#This Row],[Date]],tblCommentary[[#This Row],[Date]]))</f>
        <v/>
      </c>
      <c r="F2419" s="63">
        <f>IF(tblCommentary[[#This Row],[Date]]="","",tblCommentary[[#This Row],[Date]]&amp;"|"&amp;tblCommentary[[#This Row],[Seq_Day]])</f>
        <v/>
      </c>
    </row>
    <row r="2420">
      <c r="A2420" s="54" t="n"/>
      <c r="B2420" s="61" t="n"/>
      <c r="C2420" s="58" t="n"/>
      <c r="D2420" s="58" t="n"/>
      <c r="E2420" s="64">
        <f>IF(tblCommentary[[#This Row],[Date]]="","",COUNTIFS(INDEX(tblCommentary[Date],1):tblCommentary[[#This Row],[Date]],tblCommentary[[#This Row],[Date]]))</f>
        <v/>
      </c>
      <c r="F2420" s="63">
        <f>IF(tblCommentary[[#This Row],[Date]]="","",tblCommentary[[#This Row],[Date]]&amp;"|"&amp;tblCommentary[[#This Row],[Seq_Day]])</f>
        <v/>
      </c>
    </row>
    <row r="2421">
      <c r="A2421" s="54" t="n"/>
      <c r="B2421" s="61" t="n"/>
      <c r="C2421" s="58" t="n"/>
      <c r="D2421" s="58" t="n"/>
      <c r="E2421" s="64">
        <f>IF(tblCommentary[[#This Row],[Date]]="","",COUNTIFS(INDEX(tblCommentary[Date],1):tblCommentary[[#This Row],[Date]],tblCommentary[[#This Row],[Date]]))</f>
        <v/>
      </c>
      <c r="F2421" s="63">
        <f>IF(tblCommentary[[#This Row],[Date]]="","",tblCommentary[[#This Row],[Date]]&amp;"|"&amp;tblCommentary[[#This Row],[Seq_Day]])</f>
        <v/>
      </c>
    </row>
    <row r="2422">
      <c r="A2422" s="54" t="n"/>
      <c r="B2422" s="61" t="n"/>
      <c r="C2422" s="58" t="n"/>
      <c r="D2422" s="58" t="n"/>
      <c r="E2422" s="64">
        <f>IF(tblCommentary[[#This Row],[Date]]="","",COUNTIFS(INDEX(tblCommentary[Date],1):tblCommentary[[#This Row],[Date]],tblCommentary[[#This Row],[Date]]))</f>
        <v/>
      </c>
      <c r="F2422" s="63">
        <f>IF(tblCommentary[[#This Row],[Date]]="","",tblCommentary[[#This Row],[Date]]&amp;"|"&amp;tblCommentary[[#This Row],[Seq_Day]])</f>
        <v/>
      </c>
    </row>
    <row r="2423">
      <c r="A2423" s="54" t="n"/>
      <c r="B2423" s="61" t="n"/>
      <c r="C2423" s="58" t="n"/>
      <c r="D2423" s="58" t="n"/>
      <c r="E2423" s="64">
        <f>IF(tblCommentary[[#This Row],[Date]]="","",COUNTIFS(INDEX(tblCommentary[Date],1):tblCommentary[[#This Row],[Date]],tblCommentary[[#This Row],[Date]]))</f>
        <v/>
      </c>
      <c r="F2423" s="63">
        <f>IF(tblCommentary[[#This Row],[Date]]="","",tblCommentary[[#This Row],[Date]]&amp;"|"&amp;tblCommentary[[#This Row],[Seq_Day]])</f>
        <v/>
      </c>
    </row>
    <row r="2424">
      <c r="A2424" s="54" t="n"/>
      <c r="B2424" s="61" t="n"/>
      <c r="C2424" s="58" t="n"/>
      <c r="D2424" s="58" t="n"/>
      <c r="E2424" s="64">
        <f>IF(tblCommentary[[#This Row],[Date]]="","",COUNTIFS(INDEX(tblCommentary[Date],1):tblCommentary[[#This Row],[Date]],tblCommentary[[#This Row],[Date]]))</f>
        <v/>
      </c>
      <c r="F2424" s="63">
        <f>IF(tblCommentary[[#This Row],[Date]]="","",tblCommentary[[#This Row],[Date]]&amp;"|"&amp;tblCommentary[[#This Row],[Seq_Day]])</f>
        <v/>
      </c>
    </row>
    <row r="2425">
      <c r="A2425" s="54" t="n"/>
      <c r="B2425" s="61" t="n"/>
      <c r="C2425" s="58" t="n"/>
      <c r="D2425" s="58" t="n"/>
      <c r="E2425" s="64">
        <f>IF(tblCommentary[[#This Row],[Date]]="","",COUNTIFS(INDEX(tblCommentary[Date],1):tblCommentary[[#This Row],[Date]],tblCommentary[[#This Row],[Date]]))</f>
        <v/>
      </c>
      <c r="F2425" s="63">
        <f>IF(tblCommentary[[#This Row],[Date]]="","",tblCommentary[[#This Row],[Date]]&amp;"|"&amp;tblCommentary[[#This Row],[Seq_Day]])</f>
        <v/>
      </c>
    </row>
    <row r="2426">
      <c r="A2426" s="54" t="n"/>
      <c r="B2426" s="61" t="n"/>
      <c r="C2426" s="58" t="n"/>
      <c r="D2426" s="58" t="n"/>
      <c r="E2426" s="64">
        <f>IF(tblCommentary[[#This Row],[Date]]="","",COUNTIFS(INDEX(tblCommentary[Date],1):tblCommentary[[#This Row],[Date]],tblCommentary[[#This Row],[Date]]))</f>
        <v/>
      </c>
      <c r="F2426" s="63">
        <f>IF(tblCommentary[[#This Row],[Date]]="","",tblCommentary[[#This Row],[Date]]&amp;"|"&amp;tblCommentary[[#This Row],[Seq_Day]])</f>
        <v/>
      </c>
    </row>
    <row r="2427">
      <c r="A2427" s="54" t="n"/>
      <c r="B2427" s="61" t="n"/>
      <c r="C2427" s="58" t="n"/>
      <c r="D2427" s="58" t="n"/>
      <c r="E2427" s="64">
        <f>IF(tblCommentary[[#This Row],[Date]]="","",COUNTIFS(INDEX(tblCommentary[Date],1):tblCommentary[[#This Row],[Date]],tblCommentary[[#This Row],[Date]]))</f>
        <v/>
      </c>
      <c r="F2427" s="63">
        <f>IF(tblCommentary[[#This Row],[Date]]="","",tblCommentary[[#This Row],[Date]]&amp;"|"&amp;tblCommentary[[#This Row],[Seq_Day]])</f>
        <v/>
      </c>
    </row>
    <row r="2428">
      <c r="A2428" s="54" t="n"/>
      <c r="B2428" s="61" t="n"/>
      <c r="C2428" s="58" t="n"/>
      <c r="D2428" s="58" t="n"/>
      <c r="E2428" s="64">
        <f>IF(tblCommentary[[#This Row],[Date]]="","",COUNTIFS(INDEX(tblCommentary[Date],1):tblCommentary[[#This Row],[Date]],tblCommentary[[#This Row],[Date]]))</f>
        <v/>
      </c>
      <c r="F2428" s="63">
        <f>IF(tblCommentary[[#This Row],[Date]]="","",tblCommentary[[#This Row],[Date]]&amp;"|"&amp;tblCommentary[[#This Row],[Seq_Day]])</f>
        <v/>
      </c>
    </row>
    <row r="2429">
      <c r="A2429" s="54" t="n"/>
      <c r="B2429" s="61" t="n"/>
      <c r="C2429" s="58" t="n"/>
      <c r="D2429" s="58" t="n"/>
      <c r="E2429" s="64">
        <f>IF(tblCommentary[[#This Row],[Date]]="","",COUNTIFS(INDEX(tblCommentary[Date],1):tblCommentary[[#This Row],[Date]],tblCommentary[[#This Row],[Date]]))</f>
        <v/>
      </c>
      <c r="F2429" s="63">
        <f>IF(tblCommentary[[#This Row],[Date]]="","",tblCommentary[[#This Row],[Date]]&amp;"|"&amp;tblCommentary[[#This Row],[Seq_Day]])</f>
        <v/>
      </c>
    </row>
    <row r="2430">
      <c r="A2430" s="54" t="n"/>
      <c r="B2430" s="61" t="n"/>
      <c r="C2430" s="58" t="n"/>
      <c r="D2430" s="58" t="n"/>
      <c r="E2430" s="64">
        <f>IF(tblCommentary[[#This Row],[Date]]="","",COUNTIFS(INDEX(tblCommentary[Date],1):tblCommentary[[#This Row],[Date]],tblCommentary[[#This Row],[Date]]))</f>
        <v/>
      </c>
      <c r="F2430" s="63">
        <f>IF(tblCommentary[[#This Row],[Date]]="","",tblCommentary[[#This Row],[Date]]&amp;"|"&amp;tblCommentary[[#This Row],[Seq_Day]])</f>
        <v/>
      </c>
    </row>
    <row r="2431">
      <c r="A2431" s="54" t="n"/>
      <c r="B2431" s="61" t="n"/>
      <c r="C2431" s="58" t="n"/>
      <c r="D2431" s="58" t="n"/>
      <c r="E2431" s="64">
        <f>IF(tblCommentary[[#This Row],[Date]]="","",COUNTIFS(INDEX(tblCommentary[Date],1):tblCommentary[[#This Row],[Date]],tblCommentary[[#This Row],[Date]]))</f>
        <v/>
      </c>
      <c r="F2431" s="63">
        <f>IF(tblCommentary[[#This Row],[Date]]="","",tblCommentary[[#This Row],[Date]]&amp;"|"&amp;tblCommentary[[#This Row],[Seq_Day]])</f>
        <v/>
      </c>
    </row>
    <row r="2432">
      <c r="A2432" s="54" t="n"/>
      <c r="B2432" s="61" t="n"/>
      <c r="C2432" s="58" t="n"/>
      <c r="D2432" s="58" t="n"/>
      <c r="E2432" s="64">
        <f>IF(tblCommentary[[#This Row],[Date]]="","",COUNTIFS(INDEX(tblCommentary[Date],1):tblCommentary[[#This Row],[Date]],tblCommentary[[#This Row],[Date]]))</f>
        <v/>
      </c>
      <c r="F2432" s="63">
        <f>IF(tblCommentary[[#This Row],[Date]]="","",tblCommentary[[#This Row],[Date]]&amp;"|"&amp;tblCommentary[[#This Row],[Seq_Day]])</f>
        <v/>
      </c>
    </row>
    <row r="2433">
      <c r="A2433" s="54" t="n"/>
      <c r="B2433" s="61" t="n"/>
      <c r="C2433" s="58" t="n"/>
      <c r="D2433" s="58" t="n"/>
      <c r="E2433" s="64">
        <f>IF(tblCommentary[[#This Row],[Date]]="","",COUNTIFS(INDEX(tblCommentary[Date],1):tblCommentary[[#This Row],[Date]],tblCommentary[[#This Row],[Date]]))</f>
        <v/>
      </c>
      <c r="F2433" s="63">
        <f>IF(tblCommentary[[#This Row],[Date]]="","",tblCommentary[[#This Row],[Date]]&amp;"|"&amp;tblCommentary[[#This Row],[Seq_Day]])</f>
        <v/>
      </c>
    </row>
    <row r="2434">
      <c r="A2434" s="54" t="n"/>
      <c r="B2434" s="61" t="n"/>
      <c r="C2434" s="58" t="n"/>
      <c r="D2434" s="58" t="n"/>
      <c r="E2434" s="64">
        <f>IF(tblCommentary[[#This Row],[Date]]="","",COUNTIFS(INDEX(tblCommentary[Date],1):tblCommentary[[#This Row],[Date]],tblCommentary[[#This Row],[Date]]))</f>
        <v/>
      </c>
      <c r="F2434" s="63">
        <f>IF(tblCommentary[[#This Row],[Date]]="","",tblCommentary[[#This Row],[Date]]&amp;"|"&amp;tblCommentary[[#This Row],[Seq_Day]])</f>
        <v/>
      </c>
    </row>
    <row r="2435">
      <c r="A2435" s="54" t="n"/>
      <c r="B2435" s="61" t="n"/>
      <c r="C2435" s="58" t="n"/>
      <c r="D2435" s="58" t="n"/>
      <c r="E2435" s="64">
        <f>IF(tblCommentary[[#This Row],[Date]]="","",COUNTIFS(INDEX(tblCommentary[Date],1):tblCommentary[[#This Row],[Date]],tblCommentary[[#This Row],[Date]]))</f>
        <v/>
      </c>
      <c r="F2435" s="63">
        <f>IF(tblCommentary[[#This Row],[Date]]="","",tblCommentary[[#This Row],[Date]]&amp;"|"&amp;tblCommentary[[#This Row],[Seq_Day]])</f>
        <v/>
      </c>
    </row>
    <row r="2436">
      <c r="A2436" s="54" t="n"/>
      <c r="B2436" s="61" t="n"/>
      <c r="C2436" s="58" t="n"/>
      <c r="D2436" s="58" t="n"/>
      <c r="E2436" s="64">
        <f>IF(tblCommentary[[#This Row],[Date]]="","",COUNTIFS(INDEX(tblCommentary[Date],1):tblCommentary[[#This Row],[Date]],tblCommentary[[#This Row],[Date]]))</f>
        <v/>
      </c>
      <c r="F2436" s="63">
        <f>IF(tblCommentary[[#This Row],[Date]]="","",tblCommentary[[#This Row],[Date]]&amp;"|"&amp;tblCommentary[[#This Row],[Seq_Day]])</f>
        <v/>
      </c>
    </row>
    <row r="2437">
      <c r="A2437" s="54" t="n"/>
      <c r="B2437" s="61" t="n"/>
      <c r="C2437" s="58" t="n"/>
      <c r="D2437" s="58" t="n"/>
      <c r="E2437" s="64">
        <f>IF(tblCommentary[[#This Row],[Date]]="","",COUNTIFS(INDEX(tblCommentary[Date],1):tblCommentary[[#This Row],[Date]],tblCommentary[[#This Row],[Date]]))</f>
        <v/>
      </c>
      <c r="F2437" s="63">
        <f>IF(tblCommentary[[#This Row],[Date]]="","",tblCommentary[[#This Row],[Date]]&amp;"|"&amp;tblCommentary[[#This Row],[Seq_Day]])</f>
        <v/>
      </c>
    </row>
    <row r="2438">
      <c r="A2438" s="54" t="n"/>
      <c r="B2438" s="61" t="n"/>
      <c r="C2438" s="58" t="n"/>
      <c r="D2438" s="58" t="n"/>
      <c r="E2438" s="64">
        <f>IF(tblCommentary[[#This Row],[Date]]="","",COUNTIFS(INDEX(tblCommentary[Date],1):tblCommentary[[#This Row],[Date]],tblCommentary[[#This Row],[Date]]))</f>
        <v/>
      </c>
      <c r="F2438" s="63">
        <f>IF(tblCommentary[[#This Row],[Date]]="","",tblCommentary[[#This Row],[Date]]&amp;"|"&amp;tblCommentary[[#This Row],[Seq_Day]])</f>
        <v/>
      </c>
    </row>
    <row r="2439">
      <c r="A2439" s="54" t="n"/>
      <c r="B2439" s="61" t="n"/>
      <c r="C2439" s="58" t="n"/>
      <c r="D2439" s="58" t="n"/>
      <c r="E2439" s="64">
        <f>IF(tblCommentary[[#This Row],[Date]]="","",COUNTIFS(INDEX(tblCommentary[Date],1):tblCommentary[[#This Row],[Date]],tblCommentary[[#This Row],[Date]]))</f>
        <v/>
      </c>
      <c r="F2439" s="63">
        <f>IF(tblCommentary[[#This Row],[Date]]="","",tblCommentary[[#This Row],[Date]]&amp;"|"&amp;tblCommentary[[#This Row],[Seq_Day]])</f>
        <v/>
      </c>
    </row>
    <row r="2440">
      <c r="A2440" s="54" t="n"/>
      <c r="B2440" s="61" t="n"/>
      <c r="C2440" s="58" t="n"/>
      <c r="D2440" s="58" t="n"/>
      <c r="E2440" s="64">
        <f>IF(tblCommentary[[#This Row],[Date]]="","",COUNTIFS(INDEX(tblCommentary[Date],1):tblCommentary[[#This Row],[Date]],tblCommentary[[#This Row],[Date]]))</f>
        <v/>
      </c>
      <c r="F2440" s="63">
        <f>IF(tblCommentary[[#This Row],[Date]]="","",tblCommentary[[#This Row],[Date]]&amp;"|"&amp;tblCommentary[[#This Row],[Seq_Day]])</f>
        <v/>
      </c>
    </row>
    <row r="2441">
      <c r="A2441" s="54" t="n"/>
      <c r="B2441" s="61" t="n"/>
      <c r="C2441" s="58" t="n"/>
      <c r="D2441" s="58" t="n"/>
      <c r="E2441" s="64">
        <f>IF(tblCommentary[[#This Row],[Date]]="","",COUNTIFS(INDEX(tblCommentary[Date],1):tblCommentary[[#This Row],[Date]],tblCommentary[[#This Row],[Date]]))</f>
        <v/>
      </c>
      <c r="F2441" s="63">
        <f>IF(tblCommentary[[#This Row],[Date]]="","",tblCommentary[[#This Row],[Date]]&amp;"|"&amp;tblCommentary[[#This Row],[Seq_Day]])</f>
        <v/>
      </c>
    </row>
    <row r="2442">
      <c r="A2442" s="54" t="n"/>
      <c r="B2442" s="61" t="n"/>
      <c r="C2442" s="58" t="n"/>
      <c r="D2442" s="58" t="n"/>
      <c r="E2442" s="64">
        <f>IF(tblCommentary[[#This Row],[Date]]="","",COUNTIFS(INDEX(tblCommentary[Date],1):tblCommentary[[#This Row],[Date]],tblCommentary[[#This Row],[Date]]))</f>
        <v/>
      </c>
      <c r="F2442" s="63">
        <f>IF(tblCommentary[[#This Row],[Date]]="","",tblCommentary[[#This Row],[Date]]&amp;"|"&amp;tblCommentary[[#This Row],[Seq_Day]])</f>
        <v/>
      </c>
    </row>
    <row r="2443">
      <c r="A2443" s="54" t="n"/>
      <c r="B2443" s="61" t="n"/>
      <c r="C2443" s="58" t="n"/>
      <c r="D2443" s="58" t="n"/>
      <c r="E2443" s="64">
        <f>IF(tblCommentary[[#This Row],[Date]]="","",COUNTIFS(INDEX(tblCommentary[Date],1):tblCommentary[[#This Row],[Date]],tblCommentary[[#This Row],[Date]]))</f>
        <v/>
      </c>
      <c r="F2443" s="63">
        <f>IF(tblCommentary[[#This Row],[Date]]="","",tblCommentary[[#This Row],[Date]]&amp;"|"&amp;tblCommentary[[#This Row],[Seq_Day]])</f>
        <v/>
      </c>
    </row>
    <row r="2444">
      <c r="A2444" s="54" t="n"/>
      <c r="B2444" s="61" t="n"/>
      <c r="C2444" s="58" t="n"/>
      <c r="D2444" s="58" t="n"/>
      <c r="E2444" s="64">
        <f>IF(tblCommentary[[#This Row],[Date]]="","",COUNTIFS(INDEX(tblCommentary[Date],1):tblCommentary[[#This Row],[Date]],tblCommentary[[#This Row],[Date]]))</f>
        <v/>
      </c>
      <c r="F2444" s="63">
        <f>IF(tblCommentary[[#This Row],[Date]]="","",tblCommentary[[#This Row],[Date]]&amp;"|"&amp;tblCommentary[[#This Row],[Seq_Day]])</f>
        <v/>
      </c>
    </row>
    <row r="2445">
      <c r="A2445" s="54" t="n"/>
      <c r="B2445" s="61" t="n"/>
      <c r="C2445" s="58" t="n"/>
      <c r="D2445" s="58" t="n"/>
      <c r="E2445" s="64">
        <f>IF(tblCommentary[[#This Row],[Date]]="","",COUNTIFS(INDEX(tblCommentary[Date],1):tblCommentary[[#This Row],[Date]],tblCommentary[[#This Row],[Date]]))</f>
        <v/>
      </c>
      <c r="F2445" s="63">
        <f>IF(tblCommentary[[#This Row],[Date]]="","",tblCommentary[[#This Row],[Date]]&amp;"|"&amp;tblCommentary[[#This Row],[Seq_Day]])</f>
        <v/>
      </c>
    </row>
    <row r="2446">
      <c r="A2446" s="54" t="n"/>
      <c r="B2446" s="61" t="n"/>
      <c r="C2446" s="58" t="n"/>
      <c r="D2446" s="58" t="n"/>
      <c r="E2446" s="64">
        <f>IF(tblCommentary[[#This Row],[Date]]="","",COUNTIFS(INDEX(tblCommentary[Date],1):tblCommentary[[#This Row],[Date]],tblCommentary[[#This Row],[Date]]))</f>
        <v/>
      </c>
      <c r="F2446" s="63">
        <f>IF(tblCommentary[[#This Row],[Date]]="","",tblCommentary[[#This Row],[Date]]&amp;"|"&amp;tblCommentary[[#This Row],[Seq_Day]])</f>
        <v/>
      </c>
    </row>
    <row r="2447">
      <c r="A2447" s="54" t="n"/>
      <c r="B2447" s="61" t="n"/>
      <c r="C2447" s="58" t="n"/>
      <c r="D2447" s="58" t="n"/>
      <c r="E2447" s="64">
        <f>IF(tblCommentary[[#This Row],[Date]]="","",COUNTIFS(INDEX(tblCommentary[Date],1):tblCommentary[[#This Row],[Date]],tblCommentary[[#This Row],[Date]]))</f>
        <v/>
      </c>
      <c r="F2447" s="63">
        <f>IF(tblCommentary[[#This Row],[Date]]="","",tblCommentary[[#This Row],[Date]]&amp;"|"&amp;tblCommentary[[#This Row],[Seq_Day]])</f>
        <v/>
      </c>
    </row>
    <row r="2448">
      <c r="A2448" s="54" t="n"/>
      <c r="B2448" s="61" t="n"/>
      <c r="C2448" s="58" t="n"/>
      <c r="D2448" s="58" t="n"/>
      <c r="E2448" s="64">
        <f>IF(tblCommentary[[#This Row],[Date]]="","",COUNTIFS(INDEX(tblCommentary[Date],1):tblCommentary[[#This Row],[Date]],tblCommentary[[#This Row],[Date]]))</f>
        <v/>
      </c>
      <c r="F2448" s="63">
        <f>IF(tblCommentary[[#This Row],[Date]]="","",tblCommentary[[#This Row],[Date]]&amp;"|"&amp;tblCommentary[[#This Row],[Seq_Day]])</f>
        <v/>
      </c>
    </row>
    <row r="2449">
      <c r="A2449" s="54" t="n"/>
      <c r="B2449" s="61" t="n"/>
      <c r="C2449" s="58" t="n"/>
      <c r="D2449" s="58" t="n"/>
      <c r="E2449" s="64">
        <f>IF(tblCommentary[[#This Row],[Date]]="","",COUNTIFS(INDEX(tblCommentary[Date],1):tblCommentary[[#This Row],[Date]],tblCommentary[[#This Row],[Date]]))</f>
        <v/>
      </c>
      <c r="F2449" s="63">
        <f>IF(tblCommentary[[#This Row],[Date]]="","",tblCommentary[[#This Row],[Date]]&amp;"|"&amp;tblCommentary[[#This Row],[Seq_Day]])</f>
        <v/>
      </c>
    </row>
    <row r="2450">
      <c r="A2450" s="54" t="n"/>
      <c r="B2450" s="61" t="n"/>
      <c r="C2450" s="58" t="n"/>
      <c r="D2450" s="58" t="n"/>
      <c r="E2450" s="64">
        <f>IF(tblCommentary[[#This Row],[Date]]="","",COUNTIFS(INDEX(tblCommentary[Date],1):tblCommentary[[#This Row],[Date]],tblCommentary[[#This Row],[Date]]))</f>
        <v/>
      </c>
      <c r="F2450" s="63">
        <f>IF(tblCommentary[[#This Row],[Date]]="","",tblCommentary[[#This Row],[Date]]&amp;"|"&amp;tblCommentary[[#This Row],[Seq_Day]])</f>
        <v/>
      </c>
    </row>
    <row r="2451">
      <c r="A2451" s="54" t="n"/>
      <c r="B2451" s="61" t="n"/>
      <c r="C2451" s="58" t="n"/>
      <c r="D2451" s="58" t="n"/>
      <c r="E2451" s="64">
        <f>IF(tblCommentary[[#This Row],[Date]]="","",COUNTIFS(INDEX(tblCommentary[Date],1):tblCommentary[[#This Row],[Date]],tblCommentary[[#This Row],[Date]]))</f>
        <v/>
      </c>
      <c r="F2451" s="63">
        <f>IF(tblCommentary[[#This Row],[Date]]="","",tblCommentary[[#This Row],[Date]]&amp;"|"&amp;tblCommentary[[#This Row],[Seq_Day]])</f>
        <v/>
      </c>
    </row>
    <row r="2452">
      <c r="A2452" s="54" t="n"/>
      <c r="B2452" s="61" t="n"/>
      <c r="C2452" s="58" t="n"/>
      <c r="D2452" s="58" t="n"/>
      <c r="E2452" s="64">
        <f>IF(tblCommentary[[#This Row],[Date]]="","",COUNTIFS(INDEX(tblCommentary[Date],1):tblCommentary[[#This Row],[Date]],tblCommentary[[#This Row],[Date]]))</f>
        <v/>
      </c>
      <c r="F2452" s="63">
        <f>IF(tblCommentary[[#This Row],[Date]]="","",tblCommentary[[#This Row],[Date]]&amp;"|"&amp;tblCommentary[[#This Row],[Seq_Day]])</f>
        <v/>
      </c>
    </row>
    <row r="2453">
      <c r="A2453" s="54" t="n"/>
      <c r="B2453" s="61" t="n"/>
      <c r="C2453" s="58" t="n"/>
      <c r="D2453" s="58" t="n"/>
      <c r="E2453" s="64">
        <f>IF(tblCommentary[[#This Row],[Date]]="","",COUNTIFS(INDEX(tblCommentary[Date],1):tblCommentary[[#This Row],[Date]],tblCommentary[[#This Row],[Date]]))</f>
        <v/>
      </c>
      <c r="F2453" s="63">
        <f>IF(tblCommentary[[#This Row],[Date]]="","",tblCommentary[[#This Row],[Date]]&amp;"|"&amp;tblCommentary[[#This Row],[Seq_Day]])</f>
        <v/>
      </c>
    </row>
    <row r="2454">
      <c r="A2454" s="54" t="n"/>
      <c r="B2454" s="61" t="n"/>
      <c r="C2454" s="58" t="n"/>
      <c r="D2454" s="58" t="n"/>
      <c r="E2454" s="64">
        <f>IF(tblCommentary[[#This Row],[Date]]="","",COUNTIFS(INDEX(tblCommentary[Date],1):tblCommentary[[#This Row],[Date]],tblCommentary[[#This Row],[Date]]))</f>
        <v/>
      </c>
      <c r="F2454" s="63">
        <f>IF(tblCommentary[[#This Row],[Date]]="","",tblCommentary[[#This Row],[Date]]&amp;"|"&amp;tblCommentary[[#This Row],[Seq_Day]])</f>
        <v/>
      </c>
    </row>
    <row r="2455">
      <c r="A2455" s="54" t="n"/>
      <c r="B2455" s="61" t="n"/>
      <c r="C2455" s="58" t="n"/>
      <c r="D2455" s="58" t="n"/>
      <c r="E2455" s="64">
        <f>IF(tblCommentary[[#This Row],[Date]]="","",COUNTIFS(INDEX(tblCommentary[Date],1):tblCommentary[[#This Row],[Date]],tblCommentary[[#This Row],[Date]]))</f>
        <v/>
      </c>
      <c r="F2455" s="63">
        <f>IF(tblCommentary[[#This Row],[Date]]="","",tblCommentary[[#This Row],[Date]]&amp;"|"&amp;tblCommentary[[#This Row],[Seq_Day]])</f>
        <v/>
      </c>
    </row>
    <row r="2456">
      <c r="A2456" s="54" t="n"/>
      <c r="B2456" s="61" t="n"/>
      <c r="C2456" s="58" t="n"/>
      <c r="D2456" s="58" t="n"/>
      <c r="E2456" s="64">
        <f>IF(tblCommentary[[#This Row],[Date]]="","",COUNTIFS(INDEX(tblCommentary[Date],1):tblCommentary[[#This Row],[Date]],tblCommentary[[#This Row],[Date]]))</f>
        <v/>
      </c>
      <c r="F2456" s="63">
        <f>IF(tblCommentary[[#This Row],[Date]]="","",tblCommentary[[#This Row],[Date]]&amp;"|"&amp;tblCommentary[[#This Row],[Seq_Day]])</f>
        <v/>
      </c>
    </row>
    <row r="2457">
      <c r="A2457" s="54" t="n"/>
      <c r="B2457" s="61" t="n"/>
      <c r="C2457" s="58" t="n"/>
      <c r="D2457" s="58" t="n"/>
      <c r="E2457" s="64">
        <f>IF(tblCommentary[[#This Row],[Date]]="","",COUNTIFS(INDEX(tblCommentary[Date],1):tblCommentary[[#This Row],[Date]],tblCommentary[[#This Row],[Date]]))</f>
        <v/>
      </c>
      <c r="F2457" s="63">
        <f>IF(tblCommentary[[#This Row],[Date]]="","",tblCommentary[[#This Row],[Date]]&amp;"|"&amp;tblCommentary[[#This Row],[Seq_Day]])</f>
        <v/>
      </c>
    </row>
    <row r="2458">
      <c r="A2458" s="54" t="n"/>
      <c r="B2458" s="61" t="n"/>
      <c r="C2458" s="58" t="n"/>
      <c r="D2458" s="58" t="n"/>
      <c r="E2458" s="64">
        <f>IF(tblCommentary[[#This Row],[Date]]="","",COUNTIFS(INDEX(tblCommentary[Date],1):tblCommentary[[#This Row],[Date]],tblCommentary[[#This Row],[Date]]))</f>
        <v/>
      </c>
      <c r="F2458" s="63">
        <f>IF(tblCommentary[[#This Row],[Date]]="","",tblCommentary[[#This Row],[Date]]&amp;"|"&amp;tblCommentary[[#This Row],[Seq_Day]])</f>
        <v/>
      </c>
    </row>
    <row r="2459">
      <c r="A2459" s="54" t="n"/>
      <c r="B2459" s="61" t="n"/>
      <c r="C2459" s="58" t="n"/>
      <c r="D2459" s="58" t="n"/>
      <c r="E2459" s="64">
        <f>IF(tblCommentary[[#This Row],[Date]]="","",COUNTIFS(INDEX(tblCommentary[Date],1):tblCommentary[[#This Row],[Date]],tblCommentary[[#This Row],[Date]]))</f>
        <v/>
      </c>
      <c r="F2459" s="63">
        <f>IF(tblCommentary[[#This Row],[Date]]="","",tblCommentary[[#This Row],[Date]]&amp;"|"&amp;tblCommentary[[#This Row],[Seq_Day]])</f>
        <v/>
      </c>
    </row>
    <row r="2460">
      <c r="A2460" s="54" t="n"/>
      <c r="B2460" s="61" t="n"/>
      <c r="C2460" s="58" t="n"/>
      <c r="D2460" s="58" t="n"/>
      <c r="E2460" s="64">
        <f>IF(tblCommentary[[#This Row],[Date]]="","",COUNTIFS(INDEX(tblCommentary[Date],1):tblCommentary[[#This Row],[Date]],tblCommentary[[#This Row],[Date]]))</f>
        <v/>
      </c>
      <c r="F2460" s="63">
        <f>IF(tblCommentary[[#This Row],[Date]]="","",tblCommentary[[#This Row],[Date]]&amp;"|"&amp;tblCommentary[[#This Row],[Seq_Day]])</f>
        <v/>
      </c>
    </row>
    <row r="2461">
      <c r="A2461" s="54" t="n"/>
      <c r="B2461" s="61" t="n"/>
      <c r="C2461" s="58" t="n"/>
      <c r="D2461" s="58" t="n"/>
      <c r="E2461" s="64">
        <f>IF(tblCommentary[[#This Row],[Date]]="","",COUNTIFS(INDEX(tblCommentary[Date],1):tblCommentary[[#This Row],[Date]],tblCommentary[[#This Row],[Date]]))</f>
        <v/>
      </c>
      <c r="F2461" s="63">
        <f>IF(tblCommentary[[#This Row],[Date]]="","",tblCommentary[[#This Row],[Date]]&amp;"|"&amp;tblCommentary[[#This Row],[Seq_Day]])</f>
        <v/>
      </c>
    </row>
    <row r="2462">
      <c r="A2462" s="54" t="n"/>
      <c r="B2462" s="61" t="n"/>
      <c r="C2462" s="58" t="n"/>
      <c r="D2462" s="58" t="n"/>
      <c r="E2462" s="64">
        <f>IF(tblCommentary[[#This Row],[Date]]="","",COUNTIFS(INDEX(tblCommentary[Date],1):tblCommentary[[#This Row],[Date]],tblCommentary[[#This Row],[Date]]))</f>
        <v/>
      </c>
      <c r="F2462" s="63">
        <f>IF(tblCommentary[[#This Row],[Date]]="","",tblCommentary[[#This Row],[Date]]&amp;"|"&amp;tblCommentary[[#This Row],[Seq_Day]])</f>
        <v/>
      </c>
    </row>
    <row r="2463">
      <c r="A2463" s="54" t="n"/>
      <c r="B2463" s="61" t="n"/>
      <c r="C2463" s="58" t="n"/>
      <c r="D2463" s="58" t="n"/>
      <c r="E2463" s="64">
        <f>IF(tblCommentary[[#This Row],[Date]]="","",COUNTIFS(INDEX(tblCommentary[Date],1):tblCommentary[[#This Row],[Date]],tblCommentary[[#This Row],[Date]]))</f>
        <v/>
      </c>
      <c r="F2463" s="63">
        <f>IF(tblCommentary[[#This Row],[Date]]="","",tblCommentary[[#This Row],[Date]]&amp;"|"&amp;tblCommentary[[#This Row],[Seq_Day]])</f>
        <v/>
      </c>
    </row>
    <row r="2464">
      <c r="A2464" s="54" t="n"/>
      <c r="B2464" s="61" t="n"/>
      <c r="C2464" s="58" t="n"/>
      <c r="D2464" s="58" t="n"/>
      <c r="E2464" s="64">
        <f>IF(tblCommentary[[#This Row],[Date]]="","",COUNTIFS(INDEX(tblCommentary[Date],1):tblCommentary[[#This Row],[Date]],tblCommentary[[#This Row],[Date]]))</f>
        <v/>
      </c>
      <c r="F2464" s="63">
        <f>IF(tblCommentary[[#This Row],[Date]]="","",tblCommentary[[#This Row],[Date]]&amp;"|"&amp;tblCommentary[[#This Row],[Seq_Day]])</f>
        <v/>
      </c>
    </row>
    <row r="2465">
      <c r="A2465" s="54" t="n"/>
      <c r="B2465" s="61" t="n"/>
      <c r="C2465" s="58" t="n"/>
      <c r="D2465" s="58" t="n"/>
      <c r="E2465" s="64">
        <f>IF(tblCommentary[[#This Row],[Date]]="","",COUNTIFS(INDEX(tblCommentary[Date],1):tblCommentary[[#This Row],[Date]],tblCommentary[[#This Row],[Date]]))</f>
        <v/>
      </c>
      <c r="F2465" s="63">
        <f>IF(tblCommentary[[#This Row],[Date]]="","",tblCommentary[[#This Row],[Date]]&amp;"|"&amp;tblCommentary[[#This Row],[Seq_Day]])</f>
        <v/>
      </c>
    </row>
    <row r="2466">
      <c r="A2466" s="54" t="n"/>
      <c r="B2466" s="61" t="n"/>
      <c r="C2466" s="58" t="n"/>
      <c r="D2466" s="58" t="n"/>
      <c r="E2466" s="64">
        <f>IF(tblCommentary[[#This Row],[Date]]="","",COUNTIFS(INDEX(tblCommentary[Date],1):tblCommentary[[#This Row],[Date]],tblCommentary[[#This Row],[Date]]))</f>
        <v/>
      </c>
      <c r="F2466" s="63">
        <f>IF(tblCommentary[[#This Row],[Date]]="","",tblCommentary[[#This Row],[Date]]&amp;"|"&amp;tblCommentary[[#This Row],[Seq_Day]])</f>
        <v/>
      </c>
    </row>
    <row r="2467">
      <c r="A2467" s="54" t="n"/>
      <c r="B2467" s="61" t="n"/>
      <c r="C2467" s="58" t="n"/>
      <c r="D2467" s="58" t="n"/>
      <c r="E2467" s="64">
        <f>IF(tblCommentary[[#This Row],[Date]]="","",COUNTIFS(INDEX(tblCommentary[Date],1):tblCommentary[[#This Row],[Date]],tblCommentary[[#This Row],[Date]]))</f>
        <v/>
      </c>
      <c r="F2467" s="63">
        <f>IF(tblCommentary[[#This Row],[Date]]="","",tblCommentary[[#This Row],[Date]]&amp;"|"&amp;tblCommentary[[#This Row],[Seq_Day]])</f>
        <v/>
      </c>
    </row>
    <row r="2468">
      <c r="A2468" s="54" t="n"/>
      <c r="B2468" s="61" t="n"/>
      <c r="C2468" s="58" t="n"/>
      <c r="D2468" s="58" t="n"/>
      <c r="E2468" s="64">
        <f>IF(tblCommentary[[#This Row],[Date]]="","",COUNTIFS(INDEX(tblCommentary[Date],1):tblCommentary[[#This Row],[Date]],tblCommentary[[#This Row],[Date]]))</f>
        <v/>
      </c>
      <c r="F2468" s="63">
        <f>IF(tblCommentary[[#This Row],[Date]]="","",tblCommentary[[#This Row],[Date]]&amp;"|"&amp;tblCommentary[[#This Row],[Seq_Day]])</f>
        <v/>
      </c>
    </row>
    <row r="2469">
      <c r="A2469" s="54" t="n"/>
      <c r="B2469" s="61" t="n"/>
      <c r="C2469" s="58" t="n"/>
      <c r="D2469" s="58" t="n"/>
      <c r="E2469" s="64">
        <f>IF(tblCommentary[[#This Row],[Date]]="","",COUNTIFS(INDEX(tblCommentary[Date],1):tblCommentary[[#This Row],[Date]],tblCommentary[[#This Row],[Date]]))</f>
        <v/>
      </c>
      <c r="F2469" s="63">
        <f>IF(tblCommentary[[#This Row],[Date]]="","",tblCommentary[[#This Row],[Date]]&amp;"|"&amp;tblCommentary[[#This Row],[Seq_Day]])</f>
        <v/>
      </c>
    </row>
    <row r="2470">
      <c r="A2470" s="54" t="n"/>
      <c r="B2470" s="61" t="n"/>
      <c r="C2470" s="58" t="n"/>
      <c r="D2470" s="58" t="n"/>
      <c r="E2470" s="64">
        <f>IF(tblCommentary[[#This Row],[Date]]="","",COUNTIFS(INDEX(tblCommentary[Date],1):tblCommentary[[#This Row],[Date]],tblCommentary[[#This Row],[Date]]))</f>
        <v/>
      </c>
      <c r="F2470" s="63">
        <f>IF(tblCommentary[[#This Row],[Date]]="","",tblCommentary[[#This Row],[Date]]&amp;"|"&amp;tblCommentary[[#This Row],[Seq_Day]])</f>
        <v/>
      </c>
    </row>
    <row r="2471">
      <c r="A2471" s="54" t="n"/>
      <c r="B2471" s="61" t="n"/>
      <c r="C2471" s="58" t="n"/>
      <c r="D2471" s="58" t="n"/>
      <c r="E2471" s="64">
        <f>IF(tblCommentary[[#This Row],[Date]]="","",COUNTIFS(INDEX(tblCommentary[Date],1):tblCommentary[[#This Row],[Date]],tblCommentary[[#This Row],[Date]]))</f>
        <v/>
      </c>
      <c r="F2471" s="63">
        <f>IF(tblCommentary[[#This Row],[Date]]="","",tblCommentary[[#This Row],[Date]]&amp;"|"&amp;tblCommentary[[#This Row],[Seq_Day]])</f>
        <v/>
      </c>
    </row>
    <row r="2472">
      <c r="A2472" s="54" t="n"/>
      <c r="B2472" s="61" t="n"/>
      <c r="C2472" s="58" t="n"/>
      <c r="D2472" s="58" t="n"/>
      <c r="E2472" s="64">
        <f>IF(tblCommentary[[#This Row],[Date]]="","",COUNTIFS(INDEX(tblCommentary[Date],1):tblCommentary[[#This Row],[Date]],tblCommentary[[#This Row],[Date]]))</f>
        <v/>
      </c>
      <c r="F2472" s="63">
        <f>IF(tblCommentary[[#This Row],[Date]]="","",tblCommentary[[#This Row],[Date]]&amp;"|"&amp;tblCommentary[[#This Row],[Seq_Day]])</f>
        <v/>
      </c>
    </row>
    <row r="2473">
      <c r="A2473" s="54" t="n"/>
      <c r="B2473" s="61" t="n"/>
      <c r="C2473" s="58" t="n"/>
      <c r="D2473" s="58" t="n"/>
      <c r="E2473" s="64">
        <f>IF(tblCommentary[[#This Row],[Date]]="","",COUNTIFS(INDEX(tblCommentary[Date],1):tblCommentary[[#This Row],[Date]],tblCommentary[[#This Row],[Date]]))</f>
        <v/>
      </c>
      <c r="F2473" s="63">
        <f>IF(tblCommentary[[#This Row],[Date]]="","",tblCommentary[[#This Row],[Date]]&amp;"|"&amp;tblCommentary[[#This Row],[Seq_Day]])</f>
        <v/>
      </c>
    </row>
    <row r="2474">
      <c r="A2474" s="54" t="n"/>
      <c r="B2474" s="61" t="n"/>
      <c r="C2474" s="58" t="n"/>
      <c r="D2474" s="58" t="n"/>
      <c r="E2474" s="64">
        <f>IF(tblCommentary[[#This Row],[Date]]="","",COUNTIFS(INDEX(tblCommentary[Date],1):tblCommentary[[#This Row],[Date]],tblCommentary[[#This Row],[Date]]))</f>
        <v/>
      </c>
      <c r="F2474" s="63">
        <f>IF(tblCommentary[[#This Row],[Date]]="","",tblCommentary[[#This Row],[Date]]&amp;"|"&amp;tblCommentary[[#This Row],[Seq_Day]])</f>
        <v/>
      </c>
    </row>
    <row r="2475">
      <c r="A2475" s="54" t="n"/>
      <c r="B2475" s="61" t="n"/>
      <c r="C2475" s="58" t="n"/>
      <c r="D2475" s="58" t="n"/>
      <c r="E2475" s="64">
        <f>IF(tblCommentary[[#This Row],[Date]]="","",COUNTIFS(INDEX(tblCommentary[Date],1):tblCommentary[[#This Row],[Date]],tblCommentary[[#This Row],[Date]]))</f>
        <v/>
      </c>
      <c r="F2475" s="63">
        <f>IF(tblCommentary[[#This Row],[Date]]="","",tblCommentary[[#This Row],[Date]]&amp;"|"&amp;tblCommentary[[#This Row],[Seq_Day]])</f>
        <v/>
      </c>
    </row>
    <row r="2476">
      <c r="A2476" s="54" t="n"/>
      <c r="B2476" s="61" t="n"/>
      <c r="C2476" s="58" t="n"/>
      <c r="D2476" s="58" t="n"/>
      <c r="E2476" s="64">
        <f>IF(tblCommentary[[#This Row],[Date]]="","",COUNTIFS(INDEX(tblCommentary[Date],1):tblCommentary[[#This Row],[Date]],tblCommentary[[#This Row],[Date]]))</f>
        <v/>
      </c>
      <c r="F2476" s="63">
        <f>IF(tblCommentary[[#This Row],[Date]]="","",tblCommentary[[#This Row],[Date]]&amp;"|"&amp;tblCommentary[[#This Row],[Seq_Day]])</f>
        <v/>
      </c>
    </row>
    <row r="2477">
      <c r="A2477" s="54" t="n"/>
      <c r="B2477" s="61" t="n"/>
      <c r="C2477" s="58" t="n"/>
      <c r="D2477" s="58" t="n"/>
      <c r="E2477" s="64">
        <f>IF(tblCommentary[[#This Row],[Date]]="","",COUNTIFS(INDEX(tblCommentary[Date],1):tblCommentary[[#This Row],[Date]],tblCommentary[[#This Row],[Date]]))</f>
        <v/>
      </c>
      <c r="F2477" s="63">
        <f>IF(tblCommentary[[#This Row],[Date]]="","",tblCommentary[[#This Row],[Date]]&amp;"|"&amp;tblCommentary[[#This Row],[Seq_Day]])</f>
        <v/>
      </c>
    </row>
    <row r="2478">
      <c r="A2478" s="54" t="n"/>
      <c r="B2478" s="61" t="n"/>
      <c r="C2478" s="58" t="n"/>
      <c r="D2478" s="58" t="n"/>
      <c r="E2478" s="64">
        <f>IF(tblCommentary[[#This Row],[Date]]="","",COUNTIFS(INDEX(tblCommentary[Date],1):tblCommentary[[#This Row],[Date]],tblCommentary[[#This Row],[Date]]))</f>
        <v/>
      </c>
      <c r="F2478" s="63">
        <f>IF(tblCommentary[[#This Row],[Date]]="","",tblCommentary[[#This Row],[Date]]&amp;"|"&amp;tblCommentary[[#This Row],[Seq_Day]])</f>
        <v/>
      </c>
    </row>
    <row r="2479">
      <c r="A2479" s="54" t="n"/>
      <c r="B2479" s="61" t="n"/>
      <c r="C2479" s="58" t="n"/>
      <c r="D2479" s="58" t="n"/>
      <c r="E2479" s="64">
        <f>IF(tblCommentary[[#This Row],[Date]]="","",COUNTIFS(INDEX(tblCommentary[Date],1):tblCommentary[[#This Row],[Date]],tblCommentary[[#This Row],[Date]]))</f>
        <v/>
      </c>
      <c r="F2479" s="63">
        <f>IF(tblCommentary[[#This Row],[Date]]="","",tblCommentary[[#This Row],[Date]]&amp;"|"&amp;tblCommentary[[#This Row],[Seq_Day]])</f>
        <v/>
      </c>
    </row>
    <row r="2480">
      <c r="A2480" s="54" t="n"/>
      <c r="B2480" s="61" t="n"/>
      <c r="C2480" s="58" t="n"/>
      <c r="D2480" s="58" t="n"/>
      <c r="E2480" s="64">
        <f>IF(tblCommentary[[#This Row],[Date]]="","",COUNTIFS(INDEX(tblCommentary[Date],1):tblCommentary[[#This Row],[Date]],tblCommentary[[#This Row],[Date]]))</f>
        <v/>
      </c>
      <c r="F2480" s="63">
        <f>IF(tblCommentary[[#This Row],[Date]]="","",tblCommentary[[#This Row],[Date]]&amp;"|"&amp;tblCommentary[[#This Row],[Seq_Day]])</f>
        <v/>
      </c>
    </row>
    <row r="2481">
      <c r="A2481" s="54" t="n"/>
      <c r="B2481" s="61" t="n"/>
      <c r="C2481" s="58" t="n"/>
      <c r="D2481" s="58" t="n"/>
      <c r="E2481" s="64">
        <f>IF(tblCommentary[[#This Row],[Date]]="","",COUNTIFS(INDEX(tblCommentary[Date],1):tblCommentary[[#This Row],[Date]],tblCommentary[[#This Row],[Date]]))</f>
        <v/>
      </c>
      <c r="F2481" s="63">
        <f>IF(tblCommentary[[#This Row],[Date]]="","",tblCommentary[[#This Row],[Date]]&amp;"|"&amp;tblCommentary[[#This Row],[Seq_Day]])</f>
        <v/>
      </c>
    </row>
    <row r="2482">
      <c r="A2482" s="54" t="n"/>
      <c r="B2482" s="61" t="n"/>
      <c r="C2482" s="58" t="n"/>
      <c r="D2482" s="58" t="n"/>
      <c r="E2482" s="64">
        <f>IF(tblCommentary[[#This Row],[Date]]="","",COUNTIFS(INDEX(tblCommentary[Date],1):tblCommentary[[#This Row],[Date]],tblCommentary[[#This Row],[Date]]))</f>
        <v/>
      </c>
      <c r="F2482" s="63">
        <f>IF(tblCommentary[[#This Row],[Date]]="","",tblCommentary[[#This Row],[Date]]&amp;"|"&amp;tblCommentary[[#This Row],[Seq_Day]])</f>
        <v/>
      </c>
    </row>
    <row r="2483">
      <c r="A2483" s="54" t="n"/>
      <c r="B2483" s="61" t="n"/>
      <c r="C2483" s="58" t="n"/>
      <c r="D2483" s="58" t="n"/>
      <c r="E2483" s="64">
        <f>IF(tblCommentary[[#This Row],[Date]]="","",COUNTIFS(INDEX(tblCommentary[Date],1):tblCommentary[[#This Row],[Date]],tblCommentary[[#This Row],[Date]]))</f>
        <v/>
      </c>
      <c r="F2483" s="63">
        <f>IF(tblCommentary[[#This Row],[Date]]="","",tblCommentary[[#This Row],[Date]]&amp;"|"&amp;tblCommentary[[#This Row],[Seq_Day]])</f>
        <v/>
      </c>
    </row>
    <row r="2484">
      <c r="A2484" s="54" t="n"/>
      <c r="B2484" s="61" t="n"/>
      <c r="C2484" s="58" t="n"/>
      <c r="D2484" s="58" t="n"/>
      <c r="E2484" s="64">
        <f>IF(tblCommentary[[#This Row],[Date]]="","",COUNTIFS(INDEX(tblCommentary[Date],1):tblCommentary[[#This Row],[Date]],tblCommentary[[#This Row],[Date]]))</f>
        <v/>
      </c>
      <c r="F2484" s="63">
        <f>IF(tblCommentary[[#This Row],[Date]]="","",tblCommentary[[#This Row],[Date]]&amp;"|"&amp;tblCommentary[[#This Row],[Seq_Day]])</f>
        <v/>
      </c>
    </row>
    <row r="2485">
      <c r="A2485" s="54" t="n"/>
      <c r="B2485" s="61" t="n"/>
      <c r="C2485" s="58" t="n"/>
      <c r="D2485" s="58" t="n"/>
      <c r="E2485" s="64">
        <f>IF(tblCommentary[[#This Row],[Date]]="","",COUNTIFS(INDEX(tblCommentary[Date],1):tblCommentary[[#This Row],[Date]],tblCommentary[[#This Row],[Date]]))</f>
        <v/>
      </c>
      <c r="F2485" s="63">
        <f>IF(tblCommentary[[#This Row],[Date]]="","",tblCommentary[[#This Row],[Date]]&amp;"|"&amp;tblCommentary[[#This Row],[Seq_Day]])</f>
        <v/>
      </c>
    </row>
    <row r="2486">
      <c r="A2486" s="54" t="n"/>
      <c r="B2486" s="61" t="n"/>
      <c r="C2486" s="58" t="n"/>
      <c r="D2486" s="58" t="n"/>
      <c r="E2486" s="64">
        <f>IF(tblCommentary[[#This Row],[Date]]="","",COUNTIFS(INDEX(tblCommentary[Date],1):tblCommentary[[#This Row],[Date]],tblCommentary[[#This Row],[Date]]))</f>
        <v/>
      </c>
      <c r="F2486" s="63">
        <f>IF(tblCommentary[[#This Row],[Date]]="","",tblCommentary[[#This Row],[Date]]&amp;"|"&amp;tblCommentary[[#This Row],[Seq_Day]])</f>
        <v/>
      </c>
    </row>
    <row r="2487">
      <c r="A2487" s="54" t="n"/>
      <c r="B2487" s="61" t="n"/>
      <c r="C2487" s="58" t="n"/>
      <c r="D2487" s="58" t="n"/>
      <c r="E2487" s="64">
        <f>IF(tblCommentary[[#This Row],[Date]]="","",COUNTIFS(INDEX(tblCommentary[Date],1):tblCommentary[[#This Row],[Date]],tblCommentary[[#This Row],[Date]]))</f>
        <v/>
      </c>
      <c r="F2487" s="63">
        <f>IF(tblCommentary[[#This Row],[Date]]="","",tblCommentary[[#This Row],[Date]]&amp;"|"&amp;tblCommentary[[#This Row],[Seq_Day]])</f>
        <v/>
      </c>
    </row>
    <row r="2488">
      <c r="A2488" s="54" t="n"/>
      <c r="B2488" s="61" t="n"/>
      <c r="C2488" s="58" t="n"/>
      <c r="D2488" s="58" t="n"/>
      <c r="E2488" s="64">
        <f>IF(tblCommentary[[#This Row],[Date]]="","",COUNTIFS(INDEX(tblCommentary[Date],1):tblCommentary[[#This Row],[Date]],tblCommentary[[#This Row],[Date]]))</f>
        <v/>
      </c>
      <c r="F2488" s="63">
        <f>IF(tblCommentary[[#This Row],[Date]]="","",tblCommentary[[#This Row],[Date]]&amp;"|"&amp;tblCommentary[[#This Row],[Seq_Day]])</f>
        <v/>
      </c>
    </row>
    <row r="2489">
      <c r="A2489" s="54" t="n"/>
      <c r="B2489" s="61" t="n"/>
      <c r="C2489" s="58" t="n"/>
      <c r="D2489" s="58" t="n"/>
      <c r="E2489" s="64">
        <f>IF(tblCommentary[[#This Row],[Date]]="","",COUNTIFS(INDEX(tblCommentary[Date],1):tblCommentary[[#This Row],[Date]],tblCommentary[[#This Row],[Date]]))</f>
        <v/>
      </c>
      <c r="F2489" s="63">
        <f>IF(tblCommentary[[#This Row],[Date]]="","",tblCommentary[[#This Row],[Date]]&amp;"|"&amp;tblCommentary[[#This Row],[Seq_Day]])</f>
        <v/>
      </c>
    </row>
    <row r="2490">
      <c r="A2490" s="54" t="n"/>
      <c r="B2490" s="61" t="n"/>
      <c r="C2490" s="58" t="n"/>
      <c r="D2490" s="58" t="n"/>
      <c r="E2490" s="64">
        <f>IF(tblCommentary[[#This Row],[Date]]="","",COUNTIFS(INDEX(tblCommentary[Date],1):tblCommentary[[#This Row],[Date]],tblCommentary[[#This Row],[Date]]))</f>
        <v/>
      </c>
      <c r="F2490" s="63">
        <f>IF(tblCommentary[[#This Row],[Date]]="","",tblCommentary[[#This Row],[Date]]&amp;"|"&amp;tblCommentary[[#This Row],[Seq_Day]])</f>
        <v/>
      </c>
    </row>
    <row r="2491">
      <c r="A2491" s="54" t="n"/>
      <c r="B2491" s="61" t="n"/>
      <c r="C2491" s="58" t="n"/>
      <c r="D2491" s="58" t="n"/>
      <c r="E2491" s="64">
        <f>IF(tblCommentary[[#This Row],[Date]]="","",COUNTIFS(INDEX(tblCommentary[Date],1):tblCommentary[[#This Row],[Date]],tblCommentary[[#This Row],[Date]]))</f>
        <v/>
      </c>
      <c r="F2491" s="63">
        <f>IF(tblCommentary[[#This Row],[Date]]="","",tblCommentary[[#This Row],[Date]]&amp;"|"&amp;tblCommentary[[#This Row],[Seq_Day]])</f>
        <v/>
      </c>
    </row>
    <row r="2492">
      <c r="A2492" s="54" t="n"/>
      <c r="B2492" s="61" t="n"/>
      <c r="C2492" s="58" t="n"/>
      <c r="D2492" s="58" t="n"/>
      <c r="E2492" s="64">
        <f>IF(tblCommentary[[#This Row],[Date]]="","",COUNTIFS(INDEX(tblCommentary[Date],1):tblCommentary[[#This Row],[Date]],tblCommentary[[#This Row],[Date]]))</f>
        <v/>
      </c>
      <c r="F2492" s="63">
        <f>IF(tblCommentary[[#This Row],[Date]]="","",tblCommentary[[#This Row],[Date]]&amp;"|"&amp;tblCommentary[[#This Row],[Seq_Day]])</f>
        <v/>
      </c>
    </row>
    <row r="2493">
      <c r="A2493" s="54" t="n"/>
      <c r="B2493" s="61" t="n"/>
      <c r="C2493" s="58" t="n"/>
      <c r="D2493" s="58" t="n"/>
      <c r="E2493" s="64">
        <f>IF(tblCommentary[[#This Row],[Date]]="","",COUNTIFS(INDEX(tblCommentary[Date],1):tblCommentary[[#This Row],[Date]],tblCommentary[[#This Row],[Date]]))</f>
        <v/>
      </c>
      <c r="F2493" s="63">
        <f>IF(tblCommentary[[#This Row],[Date]]="","",tblCommentary[[#This Row],[Date]]&amp;"|"&amp;tblCommentary[[#This Row],[Seq_Day]])</f>
        <v/>
      </c>
    </row>
    <row r="2494">
      <c r="A2494" s="54" t="n"/>
      <c r="B2494" s="61" t="n"/>
      <c r="C2494" s="58" t="n"/>
      <c r="D2494" s="58" t="n"/>
      <c r="E2494" s="64">
        <f>IF(tblCommentary[[#This Row],[Date]]="","",COUNTIFS(INDEX(tblCommentary[Date],1):tblCommentary[[#This Row],[Date]],tblCommentary[[#This Row],[Date]]))</f>
        <v/>
      </c>
      <c r="F2494" s="63">
        <f>IF(tblCommentary[[#This Row],[Date]]="","",tblCommentary[[#This Row],[Date]]&amp;"|"&amp;tblCommentary[[#This Row],[Seq_Day]])</f>
        <v/>
      </c>
    </row>
    <row r="2495">
      <c r="A2495" s="54" t="n"/>
      <c r="B2495" s="61" t="n"/>
      <c r="C2495" s="58" t="n"/>
      <c r="D2495" s="58" t="n"/>
      <c r="E2495" s="64">
        <f>IF(tblCommentary[[#This Row],[Date]]="","",COUNTIFS(INDEX(tblCommentary[Date],1):tblCommentary[[#This Row],[Date]],tblCommentary[[#This Row],[Date]]))</f>
        <v/>
      </c>
      <c r="F2495" s="63">
        <f>IF(tblCommentary[[#This Row],[Date]]="","",tblCommentary[[#This Row],[Date]]&amp;"|"&amp;tblCommentary[[#This Row],[Seq_Day]])</f>
        <v/>
      </c>
    </row>
    <row r="2496">
      <c r="A2496" s="54" t="n"/>
      <c r="B2496" s="61" t="n"/>
      <c r="C2496" s="58" t="n"/>
      <c r="D2496" s="58" t="n"/>
      <c r="E2496" s="64">
        <f>IF(tblCommentary[[#This Row],[Date]]="","",COUNTIFS(INDEX(tblCommentary[Date],1):tblCommentary[[#This Row],[Date]],tblCommentary[[#This Row],[Date]]))</f>
        <v/>
      </c>
      <c r="F2496" s="63">
        <f>IF(tblCommentary[[#This Row],[Date]]="","",tblCommentary[[#This Row],[Date]]&amp;"|"&amp;tblCommentary[[#This Row],[Seq_Day]])</f>
        <v/>
      </c>
    </row>
    <row r="2497">
      <c r="A2497" s="54" t="n"/>
      <c r="B2497" s="61" t="n"/>
      <c r="C2497" s="58" t="n"/>
      <c r="D2497" s="58" t="n"/>
      <c r="E2497" s="64">
        <f>IF(tblCommentary[[#This Row],[Date]]="","",COUNTIFS(INDEX(tblCommentary[Date],1):tblCommentary[[#This Row],[Date]],tblCommentary[[#This Row],[Date]]))</f>
        <v/>
      </c>
      <c r="F2497" s="63">
        <f>IF(tblCommentary[[#This Row],[Date]]="","",tblCommentary[[#This Row],[Date]]&amp;"|"&amp;tblCommentary[[#This Row],[Seq_Day]])</f>
        <v/>
      </c>
    </row>
    <row r="2498">
      <c r="A2498" s="54" t="n"/>
      <c r="B2498" s="61" t="n"/>
      <c r="C2498" s="58" t="n"/>
      <c r="D2498" s="58" t="n"/>
      <c r="E2498" s="64">
        <f>IF(tblCommentary[[#This Row],[Date]]="","",COUNTIFS(INDEX(tblCommentary[Date],1):tblCommentary[[#This Row],[Date]],tblCommentary[[#This Row],[Date]]))</f>
        <v/>
      </c>
      <c r="F2498" s="63">
        <f>IF(tblCommentary[[#This Row],[Date]]="","",tblCommentary[[#This Row],[Date]]&amp;"|"&amp;tblCommentary[[#This Row],[Seq_Day]])</f>
        <v/>
      </c>
    </row>
    <row r="2499">
      <c r="A2499" s="54" t="n"/>
      <c r="B2499" s="61" t="n"/>
      <c r="C2499" s="58" t="n"/>
      <c r="D2499" s="58" t="n"/>
      <c r="E2499" s="64">
        <f>IF(tblCommentary[[#This Row],[Date]]="","",COUNTIFS(INDEX(tblCommentary[Date],1):tblCommentary[[#This Row],[Date]],tblCommentary[[#This Row],[Date]]))</f>
        <v/>
      </c>
      <c r="F2499" s="63">
        <f>IF(tblCommentary[[#This Row],[Date]]="","",tblCommentary[[#This Row],[Date]]&amp;"|"&amp;tblCommentary[[#This Row],[Seq_Day]])</f>
        <v/>
      </c>
    </row>
    <row r="2500">
      <c r="A2500" s="54" t="n"/>
      <c r="B2500" s="61" t="n"/>
      <c r="C2500" s="58" t="n"/>
      <c r="D2500" s="58" t="n"/>
      <c r="E2500" s="64">
        <f>IF(tblCommentary[[#This Row],[Date]]="","",COUNTIFS(INDEX(tblCommentary[Date],1):tblCommentary[[#This Row],[Date]],tblCommentary[[#This Row],[Date]]))</f>
        <v/>
      </c>
      <c r="F2500" s="63">
        <f>IF(tblCommentary[[#This Row],[Date]]="","",tblCommentary[[#This Row],[Date]]&amp;"|"&amp;tblCommentary[[#This Row],[Seq_Day]])</f>
        <v/>
      </c>
    </row>
    <row r="2501">
      <c r="A2501" s="54" t="n"/>
      <c r="B2501" s="61" t="n"/>
      <c r="C2501" s="58" t="n"/>
      <c r="D2501" s="58" t="n"/>
      <c r="E2501" s="64">
        <f>IF(tblCommentary[[#This Row],[Date]]="","",COUNTIFS(INDEX(tblCommentary[Date],1):tblCommentary[[#This Row],[Date]],tblCommentary[[#This Row],[Date]]))</f>
        <v/>
      </c>
      <c r="F2501" s="63">
        <f>IF(tblCommentary[[#This Row],[Date]]="","",tblCommentary[[#This Row],[Date]]&amp;"|"&amp;tblCommentary[[#This Row],[Seq_Day]])</f>
        <v/>
      </c>
    </row>
    <row r="2502">
      <c r="A2502" s="54" t="n"/>
      <c r="B2502" s="61" t="n"/>
      <c r="C2502" s="58" t="n"/>
      <c r="D2502" s="58" t="n"/>
      <c r="E2502" s="64">
        <f>IF(tblCommentary[[#This Row],[Date]]="","",COUNTIFS(INDEX(tblCommentary[Date],1):tblCommentary[[#This Row],[Date]],tblCommentary[[#This Row],[Date]]))</f>
        <v/>
      </c>
      <c r="F2502" s="63">
        <f>IF(tblCommentary[[#This Row],[Date]]="","",tblCommentary[[#This Row],[Date]]&amp;"|"&amp;tblCommentary[[#This Row],[Seq_Day]])</f>
        <v/>
      </c>
    </row>
    <row r="2503">
      <c r="A2503" s="54" t="n"/>
      <c r="B2503" s="61" t="n"/>
      <c r="C2503" s="58" t="n"/>
      <c r="D2503" s="58" t="n"/>
      <c r="E2503" s="64">
        <f>IF(tblCommentary[[#This Row],[Date]]="","",COUNTIFS(INDEX(tblCommentary[Date],1):tblCommentary[[#This Row],[Date]],tblCommentary[[#This Row],[Date]]))</f>
        <v/>
      </c>
      <c r="F2503" s="63">
        <f>IF(tblCommentary[[#This Row],[Date]]="","",tblCommentary[[#This Row],[Date]]&amp;"|"&amp;tblCommentary[[#This Row],[Seq_Day]])</f>
        <v/>
      </c>
    </row>
    <row r="2504">
      <c r="A2504" s="54" t="n"/>
      <c r="B2504" s="61" t="n"/>
      <c r="C2504" s="58" t="n"/>
      <c r="D2504" s="58" t="n"/>
      <c r="E2504" s="64">
        <f>IF(tblCommentary[[#This Row],[Date]]="","",COUNTIFS(INDEX(tblCommentary[Date],1):tblCommentary[[#This Row],[Date]],tblCommentary[[#This Row],[Date]]))</f>
        <v/>
      </c>
      <c r="F2504" s="63">
        <f>IF(tblCommentary[[#This Row],[Date]]="","",tblCommentary[[#This Row],[Date]]&amp;"|"&amp;tblCommentary[[#This Row],[Seq_Day]])</f>
        <v/>
      </c>
    </row>
    <row r="2505">
      <c r="A2505" s="54" t="n"/>
      <c r="B2505" s="61" t="n"/>
      <c r="C2505" s="58" t="n"/>
      <c r="D2505" s="58" t="n"/>
      <c r="E2505" s="64">
        <f>IF(tblCommentary[[#This Row],[Date]]="","",COUNTIFS(INDEX(tblCommentary[Date],1):tblCommentary[[#This Row],[Date]],tblCommentary[[#This Row],[Date]]))</f>
        <v/>
      </c>
      <c r="F2505" s="63">
        <f>IF(tblCommentary[[#This Row],[Date]]="","",tblCommentary[[#This Row],[Date]]&amp;"|"&amp;tblCommentary[[#This Row],[Seq_Day]])</f>
        <v/>
      </c>
    </row>
    <row r="2506">
      <c r="A2506" s="54" t="n"/>
      <c r="B2506" s="61" t="n"/>
      <c r="C2506" s="58" t="n"/>
      <c r="D2506" s="58" t="n"/>
      <c r="E2506" s="64">
        <f>IF(tblCommentary[[#This Row],[Date]]="","",COUNTIFS(INDEX(tblCommentary[Date],1):tblCommentary[[#This Row],[Date]],tblCommentary[[#This Row],[Date]]))</f>
        <v/>
      </c>
      <c r="F2506" s="63">
        <f>IF(tblCommentary[[#This Row],[Date]]="","",tblCommentary[[#This Row],[Date]]&amp;"|"&amp;tblCommentary[[#This Row],[Seq_Day]])</f>
        <v/>
      </c>
    </row>
    <row r="2507">
      <c r="A2507" s="54" t="n"/>
      <c r="B2507" s="61" t="n"/>
      <c r="C2507" s="58" t="n"/>
      <c r="D2507" s="58" t="n"/>
      <c r="E2507" s="64">
        <f>IF(tblCommentary[[#This Row],[Date]]="","",COUNTIFS(INDEX(tblCommentary[Date],1):tblCommentary[[#This Row],[Date]],tblCommentary[[#This Row],[Date]]))</f>
        <v/>
      </c>
      <c r="F2507" s="63">
        <f>IF(tblCommentary[[#This Row],[Date]]="","",tblCommentary[[#This Row],[Date]]&amp;"|"&amp;tblCommentary[[#This Row],[Seq_Day]])</f>
        <v/>
      </c>
    </row>
    <row r="2508">
      <c r="A2508" s="54" t="n"/>
      <c r="B2508" s="61" t="n"/>
      <c r="C2508" s="58" t="n"/>
      <c r="D2508" s="58" t="n"/>
      <c r="E2508" s="64">
        <f>IF(tblCommentary[[#This Row],[Date]]="","",COUNTIFS(INDEX(tblCommentary[Date],1):tblCommentary[[#This Row],[Date]],tblCommentary[[#This Row],[Date]]))</f>
        <v/>
      </c>
      <c r="F2508" s="63">
        <f>IF(tblCommentary[[#This Row],[Date]]="","",tblCommentary[[#This Row],[Date]]&amp;"|"&amp;tblCommentary[[#This Row],[Seq_Day]])</f>
        <v/>
      </c>
    </row>
    <row r="2509">
      <c r="A2509" s="54" t="n"/>
      <c r="B2509" s="61" t="n"/>
      <c r="C2509" s="58" t="n"/>
      <c r="D2509" s="58" t="n"/>
      <c r="E2509" s="64">
        <f>IF(tblCommentary[[#This Row],[Date]]="","",COUNTIFS(INDEX(tblCommentary[Date],1):tblCommentary[[#This Row],[Date]],tblCommentary[[#This Row],[Date]]))</f>
        <v/>
      </c>
      <c r="F2509" s="63">
        <f>IF(tblCommentary[[#This Row],[Date]]="","",tblCommentary[[#This Row],[Date]]&amp;"|"&amp;tblCommentary[[#This Row],[Seq_Day]])</f>
        <v/>
      </c>
    </row>
    <row r="2510">
      <c r="A2510" s="54" t="n"/>
      <c r="B2510" s="61" t="n"/>
      <c r="C2510" s="58" t="n"/>
      <c r="D2510" s="58" t="n"/>
      <c r="E2510" s="64">
        <f>IF(tblCommentary[[#This Row],[Date]]="","",COUNTIFS(INDEX(tblCommentary[Date],1):tblCommentary[[#This Row],[Date]],tblCommentary[[#This Row],[Date]]))</f>
        <v/>
      </c>
      <c r="F2510" s="63">
        <f>IF(tblCommentary[[#This Row],[Date]]="","",tblCommentary[[#This Row],[Date]]&amp;"|"&amp;tblCommentary[[#This Row],[Seq_Day]])</f>
        <v/>
      </c>
    </row>
    <row r="2511">
      <c r="A2511" s="54" t="n"/>
      <c r="B2511" s="61" t="n"/>
      <c r="C2511" s="58" t="n"/>
      <c r="D2511" s="58" t="n"/>
      <c r="E2511" s="64">
        <f>IF(tblCommentary[[#This Row],[Date]]="","",COUNTIFS(INDEX(tblCommentary[Date],1):tblCommentary[[#This Row],[Date]],tblCommentary[[#This Row],[Date]]))</f>
        <v/>
      </c>
      <c r="F2511" s="63">
        <f>IF(tblCommentary[[#This Row],[Date]]="","",tblCommentary[[#This Row],[Date]]&amp;"|"&amp;tblCommentary[[#This Row],[Seq_Day]])</f>
        <v/>
      </c>
    </row>
    <row r="2512">
      <c r="A2512" s="54" t="n"/>
      <c r="B2512" s="61" t="n"/>
      <c r="C2512" s="58" t="n"/>
      <c r="D2512" s="58" t="n"/>
      <c r="E2512" s="64">
        <f>IF(tblCommentary[[#This Row],[Date]]="","",COUNTIFS(INDEX(tblCommentary[Date],1):tblCommentary[[#This Row],[Date]],tblCommentary[[#This Row],[Date]]))</f>
        <v/>
      </c>
      <c r="F2512" s="63">
        <f>IF(tblCommentary[[#This Row],[Date]]="","",tblCommentary[[#This Row],[Date]]&amp;"|"&amp;tblCommentary[[#This Row],[Seq_Day]])</f>
        <v/>
      </c>
    </row>
    <row r="2513">
      <c r="A2513" s="54" t="n"/>
      <c r="B2513" s="61" t="n"/>
      <c r="C2513" s="58" t="n"/>
      <c r="D2513" s="58" t="n"/>
      <c r="E2513" s="64">
        <f>IF(tblCommentary[[#This Row],[Date]]="","",COUNTIFS(INDEX(tblCommentary[Date],1):tblCommentary[[#This Row],[Date]],tblCommentary[[#This Row],[Date]]))</f>
        <v/>
      </c>
      <c r="F2513" s="63">
        <f>IF(tblCommentary[[#This Row],[Date]]="","",tblCommentary[[#This Row],[Date]]&amp;"|"&amp;tblCommentary[[#This Row],[Seq_Day]])</f>
        <v/>
      </c>
    </row>
    <row r="2514">
      <c r="A2514" s="54" t="n"/>
      <c r="B2514" s="61" t="n"/>
      <c r="C2514" s="58" t="n"/>
      <c r="D2514" s="58" t="n"/>
      <c r="E2514" s="64">
        <f>IF(tblCommentary[[#This Row],[Date]]="","",COUNTIFS(INDEX(tblCommentary[Date],1):tblCommentary[[#This Row],[Date]],tblCommentary[[#This Row],[Date]]))</f>
        <v/>
      </c>
      <c r="F2514" s="63">
        <f>IF(tblCommentary[[#This Row],[Date]]="","",tblCommentary[[#This Row],[Date]]&amp;"|"&amp;tblCommentary[[#This Row],[Seq_Day]])</f>
        <v/>
      </c>
    </row>
    <row r="2515">
      <c r="A2515" s="54" t="n"/>
      <c r="B2515" s="61" t="n"/>
      <c r="C2515" s="58" t="n"/>
      <c r="D2515" s="58" t="n"/>
      <c r="E2515" s="64">
        <f>IF(tblCommentary[[#This Row],[Date]]="","",COUNTIFS(INDEX(tblCommentary[Date],1):tblCommentary[[#This Row],[Date]],tblCommentary[[#This Row],[Date]]))</f>
        <v/>
      </c>
      <c r="F2515" s="63">
        <f>IF(tblCommentary[[#This Row],[Date]]="","",tblCommentary[[#This Row],[Date]]&amp;"|"&amp;tblCommentary[[#This Row],[Seq_Day]])</f>
        <v/>
      </c>
    </row>
    <row r="2516">
      <c r="A2516" s="54" t="n"/>
      <c r="B2516" s="61" t="n"/>
      <c r="C2516" s="58" t="n"/>
      <c r="D2516" s="58" t="n"/>
      <c r="E2516" s="64">
        <f>IF(tblCommentary[[#This Row],[Date]]="","",COUNTIFS(INDEX(tblCommentary[Date],1):tblCommentary[[#This Row],[Date]],tblCommentary[[#This Row],[Date]]))</f>
        <v/>
      </c>
      <c r="F2516" s="63">
        <f>IF(tblCommentary[[#This Row],[Date]]="","",tblCommentary[[#This Row],[Date]]&amp;"|"&amp;tblCommentary[[#This Row],[Seq_Day]])</f>
        <v/>
      </c>
    </row>
    <row r="2517">
      <c r="A2517" s="54" t="n"/>
      <c r="B2517" s="61" t="n"/>
      <c r="C2517" s="58" t="n"/>
      <c r="D2517" s="58" t="n"/>
      <c r="E2517" s="64">
        <f>IF(tblCommentary[[#This Row],[Date]]="","",COUNTIFS(INDEX(tblCommentary[Date],1):tblCommentary[[#This Row],[Date]],tblCommentary[[#This Row],[Date]]))</f>
        <v/>
      </c>
      <c r="F2517" s="63">
        <f>IF(tblCommentary[[#This Row],[Date]]="","",tblCommentary[[#This Row],[Date]]&amp;"|"&amp;tblCommentary[[#This Row],[Seq_Day]])</f>
        <v/>
      </c>
    </row>
    <row r="2518">
      <c r="A2518" s="54" t="n"/>
      <c r="B2518" s="61" t="n"/>
      <c r="C2518" s="58" t="n"/>
      <c r="D2518" s="58" t="n"/>
      <c r="E2518" s="64">
        <f>IF(tblCommentary[[#This Row],[Date]]="","",COUNTIFS(INDEX(tblCommentary[Date],1):tblCommentary[[#This Row],[Date]],tblCommentary[[#This Row],[Date]]))</f>
        <v/>
      </c>
      <c r="F2518" s="63">
        <f>IF(tblCommentary[[#This Row],[Date]]="","",tblCommentary[[#This Row],[Date]]&amp;"|"&amp;tblCommentary[[#This Row],[Seq_Day]])</f>
        <v/>
      </c>
    </row>
    <row r="2519">
      <c r="A2519" s="54" t="n"/>
      <c r="B2519" s="61" t="n"/>
      <c r="C2519" s="58" t="n"/>
      <c r="D2519" s="58" t="n"/>
      <c r="E2519" s="64">
        <f>IF(tblCommentary[[#This Row],[Date]]="","",COUNTIFS(INDEX(tblCommentary[Date],1):tblCommentary[[#This Row],[Date]],tblCommentary[[#This Row],[Date]]))</f>
        <v/>
      </c>
      <c r="F2519" s="63">
        <f>IF(tblCommentary[[#This Row],[Date]]="","",tblCommentary[[#This Row],[Date]]&amp;"|"&amp;tblCommentary[[#This Row],[Seq_Day]])</f>
        <v/>
      </c>
    </row>
    <row r="2520">
      <c r="A2520" s="54" t="n"/>
      <c r="B2520" s="61" t="n"/>
      <c r="C2520" s="58" t="n"/>
      <c r="D2520" s="58" t="n"/>
      <c r="E2520" s="64">
        <f>IF(tblCommentary[[#This Row],[Date]]="","",COUNTIFS(INDEX(tblCommentary[Date],1):tblCommentary[[#This Row],[Date]],tblCommentary[[#This Row],[Date]]))</f>
        <v/>
      </c>
      <c r="F2520" s="63">
        <f>IF(tblCommentary[[#This Row],[Date]]="","",tblCommentary[[#This Row],[Date]]&amp;"|"&amp;tblCommentary[[#This Row],[Seq_Day]])</f>
        <v/>
      </c>
    </row>
    <row r="2521">
      <c r="A2521" s="54" t="n"/>
      <c r="B2521" s="61" t="n"/>
      <c r="C2521" s="58" t="n"/>
      <c r="D2521" s="58" t="n"/>
      <c r="E2521" s="64">
        <f>IF(tblCommentary[[#This Row],[Date]]="","",COUNTIFS(INDEX(tblCommentary[Date],1):tblCommentary[[#This Row],[Date]],tblCommentary[[#This Row],[Date]]))</f>
        <v/>
      </c>
      <c r="F2521" s="63">
        <f>IF(tblCommentary[[#This Row],[Date]]="","",tblCommentary[[#This Row],[Date]]&amp;"|"&amp;tblCommentary[[#This Row],[Seq_Day]])</f>
        <v/>
      </c>
    </row>
    <row r="2522">
      <c r="A2522" s="54" t="n"/>
      <c r="B2522" s="61" t="n"/>
      <c r="C2522" s="58" t="n"/>
      <c r="D2522" s="58" t="n"/>
      <c r="E2522" s="64">
        <f>IF(tblCommentary[[#This Row],[Date]]="","",COUNTIFS(INDEX(tblCommentary[Date],1):tblCommentary[[#This Row],[Date]],tblCommentary[[#This Row],[Date]]))</f>
        <v/>
      </c>
      <c r="F2522" s="63">
        <f>IF(tblCommentary[[#This Row],[Date]]="","",tblCommentary[[#This Row],[Date]]&amp;"|"&amp;tblCommentary[[#This Row],[Seq_Day]])</f>
        <v/>
      </c>
    </row>
    <row r="2523">
      <c r="A2523" s="54" t="n"/>
      <c r="B2523" s="61" t="n"/>
      <c r="C2523" s="58" t="n"/>
      <c r="D2523" s="58" t="n"/>
      <c r="E2523" s="64">
        <f>IF(tblCommentary[[#This Row],[Date]]="","",COUNTIFS(INDEX(tblCommentary[Date],1):tblCommentary[[#This Row],[Date]],tblCommentary[[#This Row],[Date]]))</f>
        <v/>
      </c>
      <c r="F2523" s="63">
        <f>IF(tblCommentary[[#This Row],[Date]]="","",tblCommentary[[#This Row],[Date]]&amp;"|"&amp;tblCommentary[[#This Row],[Seq_Day]])</f>
        <v/>
      </c>
    </row>
    <row r="2524">
      <c r="A2524" s="54" t="n"/>
      <c r="B2524" s="61" t="n"/>
      <c r="C2524" s="58" t="n"/>
      <c r="D2524" s="58" t="n"/>
      <c r="E2524" s="64">
        <f>IF(tblCommentary[[#This Row],[Date]]="","",COUNTIFS(INDEX(tblCommentary[Date],1):tblCommentary[[#This Row],[Date]],tblCommentary[[#This Row],[Date]]))</f>
        <v/>
      </c>
      <c r="F2524" s="63">
        <f>IF(tblCommentary[[#This Row],[Date]]="","",tblCommentary[[#This Row],[Date]]&amp;"|"&amp;tblCommentary[[#This Row],[Seq_Day]])</f>
        <v/>
      </c>
    </row>
    <row r="2525">
      <c r="A2525" s="54" t="n"/>
      <c r="B2525" s="61" t="n"/>
      <c r="C2525" s="58" t="n"/>
      <c r="D2525" s="58" t="n"/>
      <c r="E2525" s="64">
        <f>IF(tblCommentary[[#This Row],[Date]]="","",COUNTIFS(INDEX(tblCommentary[Date],1):tblCommentary[[#This Row],[Date]],tblCommentary[[#This Row],[Date]]))</f>
        <v/>
      </c>
      <c r="F2525" s="63">
        <f>IF(tblCommentary[[#This Row],[Date]]="","",tblCommentary[[#This Row],[Date]]&amp;"|"&amp;tblCommentary[[#This Row],[Seq_Day]])</f>
        <v/>
      </c>
    </row>
    <row r="2526">
      <c r="A2526" s="54" t="n"/>
      <c r="B2526" s="61" t="n"/>
      <c r="C2526" s="58" t="n"/>
      <c r="D2526" s="58" t="n"/>
      <c r="E2526" s="64">
        <f>IF(tblCommentary[[#This Row],[Date]]="","",COUNTIFS(INDEX(tblCommentary[Date],1):tblCommentary[[#This Row],[Date]],tblCommentary[[#This Row],[Date]]))</f>
        <v/>
      </c>
      <c r="F2526" s="63">
        <f>IF(tblCommentary[[#This Row],[Date]]="","",tblCommentary[[#This Row],[Date]]&amp;"|"&amp;tblCommentary[[#This Row],[Seq_Day]])</f>
        <v/>
      </c>
    </row>
    <row r="2527">
      <c r="A2527" s="54" t="n"/>
      <c r="B2527" s="61" t="n"/>
      <c r="C2527" s="58" t="n"/>
      <c r="D2527" s="58" t="n"/>
      <c r="E2527" s="64">
        <f>IF(tblCommentary[[#This Row],[Date]]="","",COUNTIFS(INDEX(tblCommentary[Date],1):tblCommentary[[#This Row],[Date]],tblCommentary[[#This Row],[Date]]))</f>
        <v/>
      </c>
      <c r="F2527" s="63">
        <f>IF(tblCommentary[[#This Row],[Date]]="","",tblCommentary[[#This Row],[Date]]&amp;"|"&amp;tblCommentary[[#This Row],[Seq_Day]])</f>
        <v/>
      </c>
    </row>
    <row r="2528">
      <c r="A2528" s="54" t="n"/>
      <c r="B2528" s="61" t="n"/>
      <c r="C2528" s="58" t="n"/>
      <c r="D2528" s="58" t="n"/>
      <c r="E2528" s="64">
        <f>IF(tblCommentary[[#This Row],[Date]]="","",COUNTIFS(INDEX(tblCommentary[Date],1):tblCommentary[[#This Row],[Date]],tblCommentary[[#This Row],[Date]]))</f>
        <v/>
      </c>
      <c r="F2528" s="63">
        <f>IF(tblCommentary[[#This Row],[Date]]="","",tblCommentary[[#This Row],[Date]]&amp;"|"&amp;tblCommentary[[#This Row],[Seq_Day]])</f>
        <v/>
      </c>
    </row>
    <row r="2529">
      <c r="A2529" s="54" t="n"/>
      <c r="B2529" s="61" t="n"/>
      <c r="C2529" s="58" t="n"/>
      <c r="D2529" s="58" t="n"/>
      <c r="E2529" s="64">
        <f>IF(tblCommentary[[#This Row],[Date]]="","",COUNTIFS(INDEX(tblCommentary[Date],1):tblCommentary[[#This Row],[Date]],tblCommentary[[#This Row],[Date]]))</f>
        <v/>
      </c>
      <c r="F2529" s="63">
        <f>IF(tblCommentary[[#This Row],[Date]]="","",tblCommentary[[#This Row],[Date]]&amp;"|"&amp;tblCommentary[[#This Row],[Seq_Day]])</f>
        <v/>
      </c>
    </row>
    <row r="2530">
      <c r="A2530" s="54" t="n"/>
      <c r="B2530" s="61" t="n"/>
      <c r="C2530" s="58" t="n"/>
      <c r="D2530" s="58" t="n"/>
      <c r="E2530" s="64">
        <f>IF(tblCommentary[[#This Row],[Date]]="","",COUNTIFS(INDEX(tblCommentary[Date],1):tblCommentary[[#This Row],[Date]],tblCommentary[[#This Row],[Date]]))</f>
        <v/>
      </c>
      <c r="F2530" s="63">
        <f>IF(tblCommentary[[#This Row],[Date]]="","",tblCommentary[[#This Row],[Date]]&amp;"|"&amp;tblCommentary[[#This Row],[Seq_Day]])</f>
        <v/>
      </c>
    </row>
    <row r="2531">
      <c r="A2531" s="54" t="n"/>
      <c r="B2531" s="61" t="n"/>
      <c r="C2531" s="58" t="n"/>
      <c r="D2531" s="58" t="n"/>
      <c r="E2531" s="64">
        <f>IF(tblCommentary[[#This Row],[Date]]="","",COUNTIFS(INDEX(tblCommentary[Date],1):tblCommentary[[#This Row],[Date]],tblCommentary[[#This Row],[Date]]))</f>
        <v/>
      </c>
      <c r="F2531" s="63">
        <f>IF(tblCommentary[[#This Row],[Date]]="","",tblCommentary[[#This Row],[Date]]&amp;"|"&amp;tblCommentary[[#This Row],[Seq_Day]])</f>
        <v/>
      </c>
    </row>
    <row r="2532">
      <c r="A2532" s="54" t="n"/>
      <c r="B2532" s="61" t="n"/>
      <c r="C2532" s="58" t="n"/>
      <c r="D2532" s="58" t="n"/>
      <c r="E2532" s="64">
        <f>IF(tblCommentary[[#This Row],[Date]]="","",COUNTIFS(INDEX(tblCommentary[Date],1):tblCommentary[[#This Row],[Date]],tblCommentary[[#This Row],[Date]]))</f>
        <v/>
      </c>
      <c r="F2532" s="63">
        <f>IF(tblCommentary[[#This Row],[Date]]="","",tblCommentary[[#This Row],[Date]]&amp;"|"&amp;tblCommentary[[#This Row],[Seq_Day]])</f>
        <v/>
      </c>
    </row>
    <row r="2533">
      <c r="A2533" s="54" t="n"/>
      <c r="B2533" s="61" t="n"/>
      <c r="C2533" s="58" t="n"/>
      <c r="D2533" s="58" t="n"/>
      <c r="E2533" s="64">
        <f>IF(tblCommentary[[#This Row],[Date]]="","",COUNTIFS(INDEX(tblCommentary[Date],1):tblCommentary[[#This Row],[Date]],tblCommentary[[#This Row],[Date]]))</f>
        <v/>
      </c>
      <c r="F2533" s="63">
        <f>IF(tblCommentary[[#This Row],[Date]]="","",tblCommentary[[#This Row],[Date]]&amp;"|"&amp;tblCommentary[[#This Row],[Seq_Day]])</f>
        <v/>
      </c>
    </row>
    <row r="2534">
      <c r="A2534" s="54" t="n"/>
      <c r="B2534" s="61" t="n"/>
      <c r="C2534" s="58" t="n"/>
      <c r="D2534" s="58" t="n"/>
      <c r="E2534" s="64">
        <f>IF(tblCommentary[[#This Row],[Date]]="","",COUNTIFS(INDEX(tblCommentary[Date],1):tblCommentary[[#This Row],[Date]],tblCommentary[[#This Row],[Date]]))</f>
        <v/>
      </c>
      <c r="F2534" s="63">
        <f>IF(tblCommentary[[#This Row],[Date]]="","",tblCommentary[[#This Row],[Date]]&amp;"|"&amp;tblCommentary[[#This Row],[Seq_Day]])</f>
        <v/>
      </c>
    </row>
    <row r="2535">
      <c r="A2535" s="54" t="n"/>
      <c r="B2535" s="61" t="n"/>
      <c r="C2535" s="58" t="n"/>
      <c r="D2535" s="58" t="n"/>
      <c r="E2535" s="64">
        <f>IF(tblCommentary[[#This Row],[Date]]="","",COUNTIFS(INDEX(tblCommentary[Date],1):tblCommentary[[#This Row],[Date]],tblCommentary[[#This Row],[Date]]))</f>
        <v/>
      </c>
      <c r="F2535" s="63">
        <f>IF(tblCommentary[[#This Row],[Date]]="","",tblCommentary[[#This Row],[Date]]&amp;"|"&amp;tblCommentary[[#This Row],[Seq_Day]])</f>
        <v/>
      </c>
    </row>
    <row r="2536">
      <c r="A2536" s="54" t="n"/>
      <c r="B2536" s="61" t="n"/>
      <c r="C2536" s="58" t="n"/>
      <c r="D2536" s="58" t="n"/>
      <c r="E2536" s="64">
        <f>IF(tblCommentary[[#This Row],[Date]]="","",COUNTIFS(INDEX(tblCommentary[Date],1):tblCommentary[[#This Row],[Date]],tblCommentary[[#This Row],[Date]]))</f>
        <v/>
      </c>
      <c r="F2536" s="63">
        <f>IF(tblCommentary[[#This Row],[Date]]="","",tblCommentary[[#This Row],[Date]]&amp;"|"&amp;tblCommentary[[#This Row],[Seq_Day]])</f>
        <v/>
      </c>
    </row>
    <row r="2537">
      <c r="A2537" s="54" t="n"/>
      <c r="B2537" s="61" t="n"/>
      <c r="C2537" s="58" t="n"/>
      <c r="D2537" s="58" t="n"/>
      <c r="E2537" s="64">
        <f>IF(tblCommentary[[#This Row],[Date]]="","",COUNTIFS(INDEX(tblCommentary[Date],1):tblCommentary[[#This Row],[Date]],tblCommentary[[#This Row],[Date]]))</f>
        <v/>
      </c>
      <c r="F2537" s="63">
        <f>IF(tblCommentary[[#This Row],[Date]]="","",tblCommentary[[#This Row],[Date]]&amp;"|"&amp;tblCommentary[[#This Row],[Seq_Day]])</f>
        <v/>
      </c>
    </row>
    <row r="2538">
      <c r="A2538" s="54" t="n"/>
      <c r="B2538" s="61" t="n"/>
      <c r="C2538" s="58" t="n"/>
      <c r="D2538" s="58" t="n"/>
      <c r="E2538" s="64">
        <f>IF(tblCommentary[[#This Row],[Date]]="","",COUNTIFS(INDEX(tblCommentary[Date],1):tblCommentary[[#This Row],[Date]],tblCommentary[[#This Row],[Date]]))</f>
        <v/>
      </c>
      <c r="F2538" s="63">
        <f>IF(tblCommentary[[#This Row],[Date]]="","",tblCommentary[[#This Row],[Date]]&amp;"|"&amp;tblCommentary[[#This Row],[Seq_Day]])</f>
        <v/>
      </c>
    </row>
    <row r="2539">
      <c r="A2539" s="54" t="n"/>
      <c r="B2539" s="61" t="n"/>
      <c r="C2539" s="58" t="n"/>
      <c r="D2539" s="58" t="n"/>
      <c r="E2539" s="64">
        <f>IF(tblCommentary[[#This Row],[Date]]="","",COUNTIFS(INDEX(tblCommentary[Date],1):tblCommentary[[#This Row],[Date]],tblCommentary[[#This Row],[Date]]))</f>
        <v/>
      </c>
      <c r="F2539" s="63">
        <f>IF(tblCommentary[[#This Row],[Date]]="","",tblCommentary[[#This Row],[Date]]&amp;"|"&amp;tblCommentary[[#This Row],[Seq_Day]])</f>
        <v/>
      </c>
    </row>
    <row r="2540">
      <c r="A2540" s="54" t="n"/>
      <c r="B2540" s="61" t="n"/>
      <c r="C2540" s="58" t="n"/>
      <c r="D2540" s="58" t="n"/>
      <c r="E2540" s="64">
        <f>IF(tblCommentary[[#This Row],[Date]]="","",COUNTIFS(INDEX(tblCommentary[Date],1):tblCommentary[[#This Row],[Date]],tblCommentary[[#This Row],[Date]]))</f>
        <v/>
      </c>
      <c r="F2540" s="63">
        <f>IF(tblCommentary[[#This Row],[Date]]="","",tblCommentary[[#This Row],[Date]]&amp;"|"&amp;tblCommentary[[#This Row],[Seq_Day]])</f>
        <v/>
      </c>
    </row>
    <row r="2541">
      <c r="A2541" s="54" t="n"/>
      <c r="B2541" s="61" t="n"/>
      <c r="C2541" s="58" t="n"/>
      <c r="D2541" s="58" t="n"/>
      <c r="E2541" s="64">
        <f>IF(tblCommentary[[#This Row],[Date]]="","",COUNTIFS(INDEX(tblCommentary[Date],1):tblCommentary[[#This Row],[Date]],tblCommentary[[#This Row],[Date]]))</f>
        <v/>
      </c>
      <c r="F2541" s="63">
        <f>IF(tblCommentary[[#This Row],[Date]]="","",tblCommentary[[#This Row],[Date]]&amp;"|"&amp;tblCommentary[[#This Row],[Seq_Day]])</f>
        <v/>
      </c>
    </row>
    <row r="2542">
      <c r="A2542" s="54" t="n"/>
      <c r="B2542" s="61" t="n"/>
      <c r="C2542" s="58" t="n"/>
      <c r="D2542" s="58" t="n"/>
      <c r="E2542" s="64">
        <f>IF(tblCommentary[[#This Row],[Date]]="","",COUNTIFS(INDEX(tblCommentary[Date],1):tblCommentary[[#This Row],[Date]],tblCommentary[[#This Row],[Date]]))</f>
        <v/>
      </c>
      <c r="F2542" s="63">
        <f>IF(tblCommentary[[#This Row],[Date]]="","",tblCommentary[[#This Row],[Date]]&amp;"|"&amp;tblCommentary[[#This Row],[Seq_Day]])</f>
        <v/>
      </c>
    </row>
    <row r="2543">
      <c r="A2543" s="54" t="n"/>
      <c r="B2543" s="61" t="n"/>
      <c r="C2543" s="58" t="n"/>
      <c r="D2543" s="58" t="n"/>
      <c r="E2543" s="64">
        <f>IF(tblCommentary[[#This Row],[Date]]="","",COUNTIFS(INDEX(tblCommentary[Date],1):tblCommentary[[#This Row],[Date]],tblCommentary[[#This Row],[Date]]))</f>
        <v/>
      </c>
      <c r="F2543" s="63">
        <f>IF(tblCommentary[[#This Row],[Date]]="","",tblCommentary[[#This Row],[Date]]&amp;"|"&amp;tblCommentary[[#This Row],[Seq_Day]])</f>
        <v/>
      </c>
    </row>
    <row r="2544">
      <c r="A2544" s="54" t="n"/>
      <c r="B2544" s="61" t="n"/>
      <c r="C2544" s="58" t="n"/>
      <c r="D2544" s="58" t="n"/>
      <c r="E2544" s="64">
        <f>IF(tblCommentary[[#This Row],[Date]]="","",COUNTIFS(INDEX(tblCommentary[Date],1):tblCommentary[[#This Row],[Date]],tblCommentary[[#This Row],[Date]]))</f>
        <v/>
      </c>
      <c r="F2544" s="63">
        <f>IF(tblCommentary[[#This Row],[Date]]="","",tblCommentary[[#This Row],[Date]]&amp;"|"&amp;tblCommentary[[#This Row],[Seq_Day]])</f>
        <v/>
      </c>
    </row>
    <row r="2545">
      <c r="A2545" s="54" t="n"/>
      <c r="B2545" s="61" t="n"/>
      <c r="C2545" s="58" t="n"/>
      <c r="D2545" s="58" t="n"/>
      <c r="E2545" s="64">
        <f>IF(tblCommentary[[#This Row],[Date]]="","",COUNTIFS(INDEX(tblCommentary[Date],1):tblCommentary[[#This Row],[Date]],tblCommentary[[#This Row],[Date]]))</f>
        <v/>
      </c>
      <c r="F2545" s="63">
        <f>IF(tblCommentary[[#This Row],[Date]]="","",tblCommentary[[#This Row],[Date]]&amp;"|"&amp;tblCommentary[[#This Row],[Seq_Day]])</f>
        <v/>
      </c>
    </row>
    <row r="2546">
      <c r="A2546" s="54" t="n"/>
      <c r="B2546" s="61" t="n"/>
      <c r="C2546" s="58" t="n"/>
      <c r="D2546" s="58" t="n"/>
      <c r="E2546" s="64">
        <f>IF(tblCommentary[[#This Row],[Date]]="","",COUNTIFS(INDEX(tblCommentary[Date],1):tblCommentary[[#This Row],[Date]],tblCommentary[[#This Row],[Date]]))</f>
        <v/>
      </c>
      <c r="F2546" s="63">
        <f>IF(tblCommentary[[#This Row],[Date]]="","",tblCommentary[[#This Row],[Date]]&amp;"|"&amp;tblCommentary[[#This Row],[Seq_Day]])</f>
        <v/>
      </c>
    </row>
    <row r="2547">
      <c r="A2547" s="54" t="n"/>
      <c r="B2547" s="61" t="n"/>
      <c r="C2547" s="58" t="n"/>
      <c r="D2547" s="58" t="n"/>
      <c r="E2547" s="64">
        <f>IF(tblCommentary[[#This Row],[Date]]="","",COUNTIFS(INDEX(tblCommentary[Date],1):tblCommentary[[#This Row],[Date]],tblCommentary[[#This Row],[Date]]))</f>
        <v/>
      </c>
      <c r="F2547" s="63">
        <f>IF(tblCommentary[[#This Row],[Date]]="","",tblCommentary[[#This Row],[Date]]&amp;"|"&amp;tblCommentary[[#This Row],[Seq_Day]])</f>
        <v/>
      </c>
    </row>
    <row r="2548">
      <c r="A2548" s="54" t="n"/>
      <c r="B2548" s="61" t="n"/>
      <c r="C2548" s="58" t="n"/>
      <c r="D2548" s="58" t="n"/>
      <c r="E2548" s="64">
        <f>IF(tblCommentary[[#This Row],[Date]]="","",COUNTIFS(INDEX(tblCommentary[Date],1):tblCommentary[[#This Row],[Date]],tblCommentary[[#This Row],[Date]]))</f>
        <v/>
      </c>
      <c r="F2548" s="63">
        <f>IF(tblCommentary[[#This Row],[Date]]="","",tblCommentary[[#This Row],[Date]]&amp;"|"&amp;tblCommentary[[#This Row],[Seq_Day]])</f>
        <v/>
      </c>
    </row>
    <row r="2549">
      <c r="A2549" s="54" t="n"/>
      <c r="B2549" s="61" t="n"/>
      <c r="C2549" s="58" t="n"/>
      <c r="D2549" s="58" t="n"/>
      <c r="E2549" s="64">
        <f>IF(tblCommentary[[#This Row],[Date]]="","",COUNTIFS(INDEX(tblCommentary[Date],1):tblCommentary[[#This Row],[Date]],tblCommentary[[#This Row],[Date]]))</f>
        <v/>
      </c>
      <c r="F2549" s="63">
        <f>IF(tblCommentary[[#This Row],[Date]]="","",tblCommentary[[#This Row],[Date]]&amp;"|"&amp;tblCommentary[[#This Row],[Seq_Day]])</f>
        <v/>
      </c>
    </row>
    <row r="2550">
      <c r="A2550" s="54" t="n"/>
      <c r="B2550" s="61" t="n"/>
      <c r="C2550" s="58" t="n"/>
      <c r="D2550" s="58" t="n"/>
      <c r="E2550" s="64">
        <f>IF(tblCommentary[[#This Row],[Date]]="","",COUNTIFS(INDEX(tblCommentary[Date],1):tblCommentary[[#This Row],[Date]],tblCommentary[[#This Row],[Date]]))</f>
        <v/>
      </c>
      <c r="F2550" s="63">
        <f>IF(tblCommentary[[#This Row],[Date]]="","",tblCommentary[[#This Row],[Date]]&amp;"|"&amp;tblCommentary[[#This Row],[Seq_Day]])</f>
        <v/>
      </c>
    </row>
    <row r="2551">
      <c r="A2551" s="54" t="n"/>
      <c r="B2551" s="61" t="n"/>
      <c r="C2551" s="58" t="n"/>
      <c r="D2551" s="58" t="n"/>
      <c r="E2551" s="64">
        <f>IF(tblCommentary[[#This Row],[Date]]="","",COUNTIFS(INDEX(tblCommentary[Date],1):tblCommentary[[#This Row],[Date]],tblCommentary[[#This Row],[Date]]))</f>
        <v/>
      </c>
      <c r="F2551" s="63">
        <f>IF(tblCommentary[[#This Row],[Date]]="","",tblCommentary[[#This Row],[Date]]&amp;"|"&amp;tblCommentary[[#This Row],[Seq_Day]])</f>
        <v/>
      </c>
    </row>
    <row r="2552">
      <c r="A2552" s="54" t="n"/>
      <c r="B2552" s="61" t="n"/>
      <c r="C2552" s="58" t="n"/>
      <c r="D2552" s="58" t="n"/>
      <c r="E2552" s="64">
        <f>IF(tblCommentary[[#This Row],[Date]]="","",COUNTIFS(INDEX(tblCommentary[Date],1):tblCommentary[[#This Row],[Date]],tblCommentary[[#This Row],[Date]]))</f>
        <v/>
      </c>
      <c r="F2552" s="63">
        <f>IF(tblCommentary[[#This Row],[Date]]="","",tblCommentary[[#This Row],[Date]]&amp;"|"&amp;tblCommentary[[#This Row],[Seq_Day]])</f>
        <v/>
      </c>
    </row>
    <row r="2553">
      <c r="A2553" s="54" t="n"/>
      <c r="B2553" s="61" t="n"/>
      <c r="C2553" s="58" t="n"/>
      <c r="D2553" s="58" t="n"/>
      <c r="E2553" s="64">
        <f>IF(tblCommentary[[#This Row],[Date]]="","",COUNTIFS(INDEX(tblCommentary[Date],1):tblCommentary[[#This Row],[Date]],tblCommentary[[#This Row],[Date]]))</f>
        <v/>
      </c>
      <c r="F2553" s="63">
        <f>IF(tblCommentary[[#This Row],[Date]]="","",tblCommentary[[#This Row],[Date]]&amp;"|"&amp;tblCommentary[[#This Row],[Seq_Day]])</f>
        <v/>
      </c>
    </row>
    <row r="2554">
      <c r="A2554" s="54" t="n"/>
      <c r="B2554" s="61" t="n"/>
      <c r="C2554" s="58" t="n"/>
      <c r="D2554" s="58" t="n"/>
      <c r="E2554" s="64">
        <f>IF(tblCommentary[[#This Row],[Date]]="","",COUNTIFS(INDEX(tblCommentary[Date],1):tblCommentary[[#This Row],[Date]],tblCommentary[[#This Row],[Date]]))</f>
        <v/>
      </c>
      <c r="F2554" s="63">
        <f>IF(tblCommentary[[#This Row],[Date]]="","",tblCommentary[[#This Row],[Date]]&amp;"|"&amp;tblCommentary[[#This Row],[Seq_Day]])</f>
        <v/>
      </c>
    </row>
    <row r="2555">
      <c r="A2555" s="54" t="n"/>
      <c r="B2555" s="61" t="n"/>
      <c r="C2555" s="58" t="n"/>
      <c r="D2555" s="58" t="n"/>
      <c r="E2555" s="64">
        <f>IF(tblCommentary[[#This Row],[Date]]="","",COUNTIFS(INDEX(tblCommentary[Date],1):tblCommentary[[#This Row],[Date]],tblCommentary[[#This Row],[Date]]))</f>
        <v/>
      </c>
      <c r="F2555" s="63">
        <f>IF(tblCommentary[[#This Row],[Date]]="","",tblCommentary[[#This Row],[Date]]&amp;"|"&amp;tblCommentary[[#This Row],[Seq_Day]])</f>
        <v/>
      </c>
    </row>
    <row r="2556">
      <c r="A2556" s="54" t="n"/>
      <c r="B2556" s="61" t="n"/>
      <c r="C2556" s="58" t="n"/>
      <c r="D2556" s="58" t="n"/>
      <c r="E2556" s="64">
        <f>IF(tblCommentary[[#This Row],[Date]]="","",COUNTIFS(INDEX(tblCommentary[Date],1):tblCommentary[[#This Row],[Date]],tblCommentary[[#This Row],[Date]]))</f>
        <v/>
      </c>
      <c r="F2556" s="63">
        <f>IF(tblCommentary[[#This Row],[Date]]="","",tblCommentary[[#This Row],[Date]]&amp;"|"&amp;tblCommentary[[#This Row],[Seq_Day]])</f>
        <v/>
      </c>
    </row>
    <row r="2557">
      <c r="A2557" s="54" t="n"/>
      <c r="B2557" s="61" t="n"/>
      <c r="C2557" s="58" t="n"/>
      <c r="D2557" s="58" t="n"/>
      <c r="E2557" s="64">
        <f>IF(tblCommentary[[#This Row],[Date]]="","",COUNTIFS(INDEX(tblCommentary[Date],1):tblCommentary[[#This Row],[Date]],tblCommentary[[#This Row],[Date]]))</f>
        <v/>
      </c>
      <c r="F2557" s="63">
        <f>IF(tblCommentary[[#This Row],[Date]]="","",tblCommentary[[#This Row],[Date]]&amp;"|"&amp;tblCommentary[[#This Row],[Seq_Day]])</f>
        <v/>
      </c>
    </row>
    <row r="2558">
      <c r="A2558" s="54" t="n"/>
      <c r="B2558" s="61" t="n"/>
      <c r="C2558" s="58" t="n"/>
      <c r="D2558" s="58" t="n"/>
      <c r="E2558" s="64">
        <f>IF(tblCommentary[[#This Row],[Date]]="","",COUNTIFS(INDEX(tblCommentary[Date],1):tblCommentary[[#This Row],[Date]],tblCommentary[[#This Row],[Date]]))</f>
        <v/>
      </c>
      <c r="F2558" s="63">
        <f>IF(tblCommentary[[#This Row],[Date]]="","",tblCommentary[[#This Row],[Date]]&amp;"|"&amp;tblCommentary[[#This Row],[Seq_Day]])</f>
        <v/>
      </c>
    </row>
    <row r="2559">
      <c r="A2559" s="54" t="n"/>
      <c r="B2559" s="61" t="n"/>
      <c r="C2559" s="58" t="n"/>
      <c r="D2559" s="58" t="n"/>
      <c r="E2559" s="64">
        <f>IF(tblCommentary[[#This Row],[Date]]="","",COUNTIFS(INDEX(tblCommentary[Date],1):tblCommentary[[#This Row],[Date]],tblCommentary[[#This Row],[Date]]))</f>
        <v/>
      </c>
      <c r="F2559" s="63">
        <f>IF(tblCommentary[[#This Row],[Date]]="","",tblCommentary[[#This Row],[Date]]&amp;"|"&amp;tblCommentary[[#This Row],[Seq_Day]])</f>
        <v/>
      </c>
    </row>
    <row r="2560">
      <c r="A2560" s="54" t="n"/>
      <c r="B2560" s="61" t="n"/>
      <c r="C2560" s="58" t="n"/>
      <c r="D2560" s="58" t="n"/>
      <c r="E2560" s="64">
        <f>IF(tblCommentary[[#This Row],[Date]]="","",COUNTIFS(INDEX(tblCommentary[Date],1):tblCommentary[[#This Row],[Date]],tblCommentary[[#This Row],[Date]]))</f>
        <v/>
      </c>
      <c r="F2560" s="63">
        <f>IF(tblCommentary[[#This Row],[Date]]="","",tblCommentary[[#This Row],[Date]]&amp;"|"&amp;tblCommentary[[#This Row],[Seq_Day]])</f>
        <v/>
      </c>
    </row>
    <row r="2561">
      <c r="A2561" s="54" t="n"/>
      <c r="B2561" s="61" t="n"/>
      <c r="C2561" s="58" t="n"/>
      <c r="D2561" s="58" t="n"/>
      <c r="E2561" s="64">
        <f>IF(tblCommentary[[#This Row],[Date]]="","",COUNTIFS(INDEX(tblCommentary[Date],1):tblCommentary[[#This Row],[Date]],tblCommentary[[#This Row],[Date]]))</f>
        <v/>
      </c>
      <c r="F2561" s="63">
        <f>IF(tblCommentary[[#This Row],[Date]]="","",tblCommentary[[#This Row],[Date]]&amp;"|"&amp;tblCommentary[[#This Row],[Seq_Day]])</f>
        <v/>
      </c>
    </row>
    <row r="2562">
      <c r="A2562" s="54" t="n"/>
      <c r="B2562" s="61" t="n"/>
      <c r="C2562" s="58" t="n"/>
      <c r="D2562" s="58" t="n"/>
      <c r="E2562" s="64">
        <f>IF(tblCommentary[[#This Row],[Date]]="","",COUNTIFS(INDEX(tblCommentary[Date],1):tblCommentary[[#This Row],[Date]],tblCommentary[[#This Row],[Date]]))</f>
        <v/>
      </c>
      <c r="F2562" s="63">
        <f>IF(tblCommentary[[#This Row],[Date]]="","",tblCommentary[[#This Row],[Date]]&amp;"|"&amp;tblCommentary[[#This Row],[Seq_Day]])</f>
        <v/>
      </c>
    </row>
    <row r="2563">
      <c r="A2563" s="54" t="n"/>
      <c r="B2563" s="61" t="n"/>
      <c r="C2563" s="58" t="n"/>
      <c r="D2563" s="58" t="n"/>
      <c r="E2563" s="64">
        <f>IF(tblCommentary[[#This Row],[Date]]="","",COUNTIFS(INDEX(tblCommentary[Date],1):tblCommentary[[#This Row],[Date]],tblCommentary[[#This Row],[Date]]))</f>
        <v/>
      </c>
      <c r="F2563" s="63">
        <f>IF(tblCommentary[[#This Row],[Date]]="","",tblCommentary[[#This Row],[Date]]&amp;"|"&amp;tblCommentary[[#This Row],[Seq_Day]])</f>
        <v/>
      </c>
    </row>
    <row r="2564">
      <c r="A2564" s="54" t="n"/>
      <c r="B2564" s="61" t="n"/>
      <c r="C2564" s="58" t="n"/>
      <c r="D2564" s="58" t="n"/>
      <c r="E2564" s="64">
        <f>IF(tblCommentary[[#This Row],[Date]]="","",COUNTIFS(INDEX(tblCommentary[Date],1):tblCommentary[[#This Row],[Date]],tblCommentary[[#This Row],[Date]]))</f>
        <v/>
      </c>
      <c r="F2564" s="63">
        <f>IF(tblCommentary[[#This Row],[Date]]="","",tblCommentary[[#This Row],[Date]]&amp;"|"&amp;tblCommentary[[#This Row],[Seq_Day]])</f>
        <v/>
      </c>
    </row>
    <row r="2565">
      <c r="A2565" s="54" t="n"/>
      <c r="B2565" s="61" t="n"/>
      <c r="C2565" s="58" t="n"/>
      <c r="D2565" s="58" t="n"/>
      <c r="E2565" s="64">
        <f>IF(tblCommentary[[#This Row],[Date]]="","",COUNTIFS(INDEX(tblCommentary[Date],1):tblCommentary[[#This Row],[Date]],tblCommentary[[#This Row],[Date]]))</f>
        <v/>
      </c>
      <c r="F2565" s="63">
        <f>IF(tblCommentary[[#This Row],[Date]]="","",tblCommentary[[#This Row],[Date]]&amp;"|"&amp;tblCommentary[[#This Row],[Seq_Day]])</f>
        <v/>
      </c>
    </row>
    <row r="2566">
      <c r="A2566" s="54" t="n"/>
      <c r="B2566" s="61" t="n"/>
      <c r="C2566" s="58" t="n"/>
      <c r="D2566" s="58" t="n"/>
      <c r="E2566" s="64">
        <f>IF(tblCommentary[[#This Row],[Date]]="","",COUNTIFS(INDEX(tblCommentary[Date],1):tblCommentary[[#This Row],[Date]],tblCommentary[[#This Row],[Date]]))</f>
        <v/>
      </c>
      <c r="F2566" s="63">
        <f>IF(tblCommentary[[#This Row],[Date]]="","",tblCommentary[[#This Row],[Date]]&amp;"|"&amp;tblCommentary[[#This Row],[Seq_Day]])</f>
        <v/>
      </c>
    </row>
    <row r="2567">
      <c r="A2567" s="54" t="n"/>
      <c r="B2567" s="61" t="n"/>
      <c r="C2567" s="58" t="n"/>
      <c r="D2567" s="58" t="n"/>
      <c r="E2567" s="64">
        <f>IF(tblCommentary[[#This Row],[Date]]="","",COUNTIFS(INDEX(tblCommentary[Date],1):tblCommentary[[#This Row],[Date]],tblCommentary[[#This Row],[Date]]))</f>
        <v/>
      </c>
      <c r="F2567" s="63">
        <f>IF(tblCommentary[[#This Row],[Date]]="","",tblCommentary[[#This Row],[Date]]&amp;"|"&amp;tblCommentary[[#This Row],[Seq_Day]])</f>
        <v/>
      </c>
    </row>
    <row r="2568">
      <c r="A2568" s="54" t="n"/>
      <c r="B2568" s="61" t="n"/>
      <c r="C2568" s="58" t="n"/>
      <c r="D2568" s="58" t="n"/>
      <c r="E2568" s="64">
        <f>IF(tblCommentary[[#This Row],[Date]]="","",COUNTIFS(INDEX(tblCommentary[Date],1):tblCommentary[[#This Row],[Date]],tblCommentary[[#This Row],[Date]]))</f>
        <v/>
      </c>
      <c r="F2568" s="63">
        <f>IF(tblCommentary[[#This Row],[Date]]="","",tblCommentary[[#This Row],[Date]]&amp;"|"&amp;tblCommentary[[#This Row],[Seq_Day]])</f>
        <v/>
      </c>
    </row>
    <row r="2569">
      <c r="A2569" s="54" t="n"/>
      <c r="B2569" s="61" t="n"/>
      <c r="C2569" s="58" t="n"/>
      <c r="D2569" s="58" t="n"/>
      <c r="E2569" s="64">
        <f>IF(tblCommentary[[#This Row],[Date]]="","",COUNTIFS(INDEX(tblCommentary[Date],1):tblCommentary[[#This Row],[Date]],tblCommentary[[#This Row],[Date]]))</f>
        <v/>
      </c>
      <c r="F2569" s="63">
        <f>IF(tblCommentary[[#This Row],[Date]]="","",tblCommentary[[#This Row],[Date]]&amp;"|"&amp;tblCommentary[[#This Row],[Seq_Day]])</f>
        <v/>
      </c>
    </row>
    <row r="2570">
      <c r="A2570" s="54" t="n"/>
      <c r="B2570" s="61" t="n"/>
      <c r="C2570" s="58" t="n"/>
      <c r="D2570" s="58" t="n"/>
      <c r="E2570" s="64">
        <f>IF(tblCommentary[[#This Row],[Date]]="","",COUNTIFS(INDEX(tblCommentary[Date],1):tblCommentary[[#This Row],[Date]],tblCommentary[[#This Row],[Date]]))</f>
        <v/>
      </c>
      <c r="F2570" s="63">
        <f>IF(tblCommentary[[#This Row],[Date]]="","",tblCommentary[[#This Row],[Date]]&amp;"|"&amp;tblCommentary[[#This Row],[Seq_Day]])</f>
        <v/>
      </c>
    </row>
    <row r="2571">
      <c r="A2571" s="54" t="n"/>
      <c r="B2571" s="61" t="n"/>
      <c r="C2571" s="58" t="n"/>
      <c r="D2571" s="58" t="n"/>
      <c r="E2571" s="64">
        <f>IF(tblCommentary[[#This Row],[Date]]="","",COUNTIFS(INDEX(tblCommentary[Date],1):tblCommentary[[#This Row],[Date]],tblCommentary[[#This Row],[Date]]))</f>
        <v/>
      </c>
      <c r="F2571" s="63">
        <f>IF(tblCommentary[[#This Row],[Date]]="","",tblCommentary[[#This Row],[Date]]&amp;"|"&amp;tblCommentary[[#This Row],[Seq_Day]])</f>
        <v/>
      </c>
    </row>
    <row r="2572">
      <c r="A2572" s="54" t="n"/>
      <c r="B2572" s="61" t="n"/>
      <c r="C2572" s="58" t="n"/>
      <c r="D2572" s="58" t="n"/>
      <c r="E2572" s="64">
        <f>IF(tblCommentary[[#This Row],[Date]]="","",COUNTIFS(INDEX(tblCommentary[Date],1):tblCommentary[[#This Row],[Date]],tblCommentary[[#This Row],[Date]]))</f>
        <v/>
      </c>
      <c r="F2572" s="63">
        <f>IF(tblCommentary[[#This Row],[Date]]="","",tblCommentary[[#This Row],[Date]]&amp;"|"&amp;tblCommentary[[#This Row],[Seq_Day]])</f>
        <v/>
      </c>
    </row>
    <row r="2573">
      <c r="A2573" s="54" t="n"/>
      <c r="B2573" s="61" t="n"/>
      <c r="C2573" s="58" t="n"/>
      <c r="D2573" s="58" t="n"/>
      <c r="E2573" s="64">
        <f>IF(tblCommentary[[#This Row],[Date]]="","",COUNTIFS(INDEX(tblCommentary[Date],1):tblCommentary[[#This Row],[Date]],tblCommentary[[#This Row],[Date]]))</f>
        <v/>
      </c>
      <c r="F2573" s="63">
        <f>IF(tblCommentary[[#This Row],[Date]]="","",tblCommentary[[#This Row],[Date]]&amp;"|"&amp;tblCommentary[[#This Row],[Seq_Day]])</f>
        <v/>
      </c>
    </row>
    <row r="2574">
      <c r="A2574" s="54" t="n"/>
      <c r="B2574" s="61" t="n"/>
      <c r="C2574" s="58" t="n"/>
      <c r="D2574" s="58" t="n"/>
      <c r="E2574" s="64">
        <f>IF(tblCommentary[[#This Row],[Date]]="","",COUNTIFS(INDEX(tblCommentary[Date],1):tblCommentary[[#This Row],[Date]],tblCommentary[[#This Row],[Date]]))</f>
        <v/>
      </c>
      <c r="F2574" s="63">
        <f>IF(tblCommentary[[#This Row],[Date]]="","",tblCommentary[[#This Row],[Date]]&amp;"|"&amp;tblCommentary[[#This Row],[Seq_Day]])</f>
        <v/>
      </c>
    </row>
    <row r="2575">
      <c r="A2575" s="54" t="n"/>
      <c r="B2575" s="61" t="n"/>
      <c r="C2575" s="58" t="n"/>
      <c r="D2575" s="58" t="n"/>
      <c r="E2575" s="64">
        <f>IF(tblCommentary[[#This Row],[Date]]="","",COUNTIFS(INDEX(tblCommentary[Date],1):tblCommentary[[#This Row],[Date]],tblCommentary[[#This Row],[Date]]))</f>
        <v/>
      </c>
      <c r="F2575" s="63">
        <f>IF(tblCommentary[[#This Row],[Date]]="","",tblCommentary[[#This Row],[Date]]&amp;"|"&amp;tblCommentary[[#This Row],[Seq_Day]])</f>
        <v/>
      </c>
    </row>
    <row r="2576">
      <c r="A2576" s="54" t="n"/>
      <c r="B2576" s="61" t="n"/>
      <c r="C2576" s="58" t="n"/>
      <c r="D2576" s="58" t="n"/>
      <c r="E2576" s="64">
        <f>IF(tblCommentary[[#This Row],[Date]]="","",COUNTIFS(INDEX(tblCommentary[Date],1):tblCommentary[[#This Row],[Date]],tblCommentary[[#This Row],[Date]]))</f>
        <v/>
      </c>
      <c r="F2576" s="63">
        <f>IF(tblCommentary[[#This Row],[Date]]="","",tblCommentary[[#This Row],[Date]]&amp;"|"&amp;tblCommentary[[#This Row],[Seq_Day]])</f>
        <v/>
      </c>
    </row>
    <row r="2577">
      <c r="A2577" s="54" t="n"/>
      <c r="B2577" s="61" t="n"/>
      <c r="C2577" s="58" t="n"/>
      <c r="D2577" s="58" t="n"/>
      <c r="E2577" s="64">
        <f>IF(tblCommentary[[#This Row],[Date]]="","",COUNTIFS(INDEX(tblCommentary[Date],1):tblCommentary[[#This Row],[Date]],tblCommentary[[#This Row],[Date]]))</f>
        <v/>
      </c>
      <c r="F2577" s="63">
        <f>IF(tblCommentary[[#This Row],[Date]]="","",tblCommentary[[#This Row],[Date]]&amp;"|"&amp;tblCommentary[[#This Row],[Seq_Day]])</f>
        <v/>
      </c>
    </row>
    <row r="2578">
      <c r="A2578" s="54" t="n"/>
      <c r="B2578" s="61" t="n"/>
      <c r="C2578" s="58" t="n"/>
      <c r="D2578" s="58" t="n"/>
      <c r="E2578" s="64">
        <f>IF(tblCommentary[[#This Row],[Date]]="","",COUNTIFS(INDEX(tblCommentary[Date],1):tblCommentary[[#This Row],[Date]],tblCommentary[[#This Row],[Date]]))</f>
        <v/>
      </c>
      <c r="F2578" s="63">
        <f>IF(tblCommentary[[#This Row],[Date]]="","",tblCommentary[[#This Row],[Date]]&amp;"|"&amp;tblCommentary[[#This Row],[Seq_Day]])</f>
        <v/>
      </c>
    </row>
    <row r="2579">
      <c r="A2579" s="54" t="n"/>
      <c r="B2579" s="61" t="n"/>
      <c r="C2579" s="58" t="n"/>
      <c r="D2579" s="58" t="n"/>
      <c r="E2579" s="64">
        <f>IF(tblCommentary[[#This Row],[Date]]="","",COUNTIFS(INDEX(tblCommentary[Date],1):tblCommentary[[#This Row],[Date]],tblCommentary[[#This Row],[Date]]))</f>
        <v/>
      </c>
      <c r="F2579" s="63">
        <f>IF(tblCommentary[[#This Row],[Date]]="","",tblCommentary[[#This Row],[Date]]&amp;"|"&amp;tblCommentary[[#This Row],[Seq_Day]])</f>
        <v/>
      </c>
    </row>
    <row r="2580">
      <c r="A2580" s="54" t="n"/>
      <c r="B2580" s="61" t="n"/>
      <c r="C2580" s="58" t="n"/>
      <c r="D2580" s="58" t="n"/>
      <c r="E2580" s="64">
        <f>IF(tblCommentary[[#This Row],[Date]]="","",COUNTIFS(INDEX(tblCommentary[Date],1):tblCommentary[[#This Row],[Date]],tblCommentary[[#This Row],[Date]]))</f>
        <v/>
      </c>
      <c r="F2580" s="63">
        <f>IF(tblCommentary[[#This Row],[Date]]="","",tblCommentary[[#This Row],[Date]]&amp;"|"&amp;tblCommentary[[#This Row],[Seq_Day]])</f>
        <v/>
      </c>
    </row>
    <row r="2581">
      <c r="A2581" s="54" t="n"/>
      <c r="B2581" s="61" t="n"/>
      <c r="C2581" s="58" t="n"/>
      <c r="D2581" s="58" t="n"/>
      <c r="E2581" s="64">
        <f>IF(tblCommentary[[#This Row],[Date]]="","",COUNTIFS(INDEX(tblCommentary[Date],1):tblCommentary[[#This Row],[Date]],tblCommentary[[#This Row],[Date]]))</f>
        <v/>
      </c>
      <c r="F2581" s="63">
        <f>IF(tblCommentary[[#This Row],[Date]]="","",tblCommentary[[#This Row],[Date]]&amp;"|"&amp;tblCommentary[[#This Row],[Seq_Day]])</f>
        <v/>
      </c>
    </row>
    <row r="2582">
      <c r="A2582" s="54" t="n"/>
      <c r="B2582" s="61" t="n"/>
      <c r="C2582" s="58" t="n"/>
      <c r="D2582" s="58" t="n"/>
      <c r="E2582" s="64">
        <f>IF(tblCommentary[[#This Row],[Date]]="","",COUNTIFS(INDEX(tblCommentary[Date],1):tblCommentary[[#This Row],[Date]],tblCommentary[[#This Row],[Date]]))</f>
        <v/>
      </c>
      <c r="F2582" s="63">
        <f>IF(tblCommentary[[#This Row],[Date]]="","",tblCommentary[[#This Row],[Date]]&amp;"|"&amp;tblCommentary[[#This Row],[Seq_Day]])</f>
        <v/>
      </c>
    </row>
    <row r="2583">
      <c r="A2583" s="54" t="n"/>
      <c r="B2583" s="61" t="n"/>
      <c r="C2583" s="58" t="n"/>
      <c r="D2583" s="58" t="n"/>
      <c r="E2583" s="64">
        <f>IF(tblCommentary[[#This Row],[Date]]="","",COUNTIFS(INDEX(tblCommentary[Date],1):tblCommentary[[#This Row],[Date]],tblCommentary[[#This Row],[Date]]))</f>
        <v/>
      </c>
      <c r="F2583" s="63">
        <f>IF(tblCommentary[[#This Row],[Date]]="","",tblCommentary[[#This Row],[Date]]&amp;"|"&amp;tblCommentary[[#This Row],[Seq_Day]])</f>
        <v/>
      </c>
    </row>
    <row r="2584">
      <c r="A2584" s="54" t="n"/>
      <c r="B2584" s="61" t="n"/>
      <c r="C2584" s="58" t="n"/>
      <c r="D2584" s="58" t="n"/>
      <c r="E2584" s="64">
        <f>IF(tblCommentary[[#This Row],[Date]]="","",COUNTIFS(INDEX(tblCommentary[Date],1):tblCommentary[[#This Row],[Date]],tblCommentary[[#This Row],[Date]]))</f>
        <v/>
      </c>
      <c r="F2584" s="63">
        <f>IF(tblCommentary[[#This Row],[Date]]="","",tblCommentary[[#This Row],[Date]]&amp;"|"&amp;tblCommentary[[#This Row],[Seq_Day]])</f>
        <v/>
      </c>
    </row>
    <row r="2585">
      <c r="A2585" s="54" t="n"/>
      <c r="B2585" s="61" t="n"/>
      <c r="C2585" s="58" t="n"/>
      <c r="D2585" s="58" t="n"/>
      <c r="E2585" s="64">
        <f>IF(tblCommentary[[#This Row],[Date]]="","",COUNTIFS(INDEX(tblCommentary[Date],1):tblCommentary[[#This Row],[Date]],tblCommentary[[#This Row],[Date]]))</f>
        <v/>
      </c>
      <c r="F2585" s="63">
        <f>IF(tblCommentary[[#This Row],[Date]]="","",tblCommentary[[#This Row],[Date]]&amp;"|"&amp;tblCommentary[[#This Row],[Seq_Day]])</f>
        <v/>
      </c>
    </row>
    <row r="2586">
      <c r="A2586" s="54" t="n"/>
      <c r="B2586" s="61" t="n"/>
      <c r="C2586" s="58" t="n"/>
      <c r="D2586" s="58" t="n"/>
      <c r="E2586" s="64">
        <f>IF(tblCommentary[[#This Row],[Date]]="","",COUNTIFS(INDEX(tblCommentary[Date],1):tblCommentary[[#This Row],[Date]],tblCommentary[[#This Row],[Date]]))</f>
        <v/>
      </c>
      <c r="F2586" s="63">
        <f>IF(tblCommentary[[#This Row],[Date]]="","",tblCommentary[[#This Row],[Date]]&amp;"|"&amp;tblCommentary[[#This Row],[Seq_Day]])</f>
        <v/>
      </c>
    </row>
    <row r="2587">
      <c r="A2587" s="54" t="n"/>
      <c r="B2587" s="61" t="n"/>
      <c r="C2587" s="58" t="n"/>
      <c r="D2587" s="58" t="n"/>
      <c r="E2587" s="64">
        <f>IF(tblCommentary[[#This Row],[Date]]="","",COUNTIFS(INDEX(tblCommentary[Date],1):tblCommentary[[#This Row],[Date]],tblCommentary[[#This Row],[Date]]))</f>
        <v/>
      </c>
      <c r="F2587" s="63">
        <f>IF(tblCommentary[[#This Row],[Date]]="","",tblCommentary[[#This Row],[Date]]&amp;"|"&amp;tblCommentary[[#This Row],[Seq_Day]])</f>
        <v/>
      </c>
    </row>
    <row r="2588">
      <c r="A2588" s="54" t="n"/>
      <c r="B2588" s="61" t="n"/>
      <c r="C2588" s="58" t="n"/>
      <c r="D2588" s="58" t="n"/>
      <c r="E2588" s="64">
        <f>IF(tblCommentary[[#This Row],[Date]]="","",COUNTIFS(INDEX(tblCommentary[Date],1):tblCommentary[[#This Row],[Date]],tblCommentary[[#This Row],[Date]]))</f>
        <v/>
      </c>
      <c r="F2588" s="63">
        <f>IF(tblCommentary[[#This Row],[Date]]="","",tblCommentary[[#This Row],[Date]]&amp;"|"&amp;tblCommentary[[#This Row],[Seq_Day]])</f>
        <v/>
      </c>
    </row>
    <row r="2589">
      <c r="A2589" s="54" t="n"/>
      <c r="B2589" s="61" t="n"/>
      <c r="C2589" s="58" t="n"/>
      <c r="D2589" s="58" t="n"/>
      <c r="E2589" s="64">
        <f>IF(tblCommentary[[#This Row],[Date]]="","",COUNTIFS(INDEX(tblCommentary[Date],1):tblCommentary[[#This Row],[Date]],tblCommentary[[#This Row],[Date]]))</f>
        <v/>
      </c>
      <c r="F2589" s="63">
        <f>IF(tblCommentary[[#This Row],[Date]]="","",tblCommentary[[#This Row],[Date]]&amp;"|"&amp;tblCommentary[[#This Row],[Seq_Day]])</f>
        <v/>
      </c>
    </row>
    <row r="2590">
      <c r="A2590" s="54" t="n"/>
      <c r="B2590" s="61" t="n"/>
      <c r="C2590" s="58" t="n"/>
      <c r="D2590" s="58" t="n"/>
      <c r="E2590" s="64">
        <f>IF(tblCommentary[[#This Row],[Date]]="","",COUNTIFS(INDEX(tblCommentary[Date],1):tblCommentary[[#This Row],[Date]],tblCommentary[[#This Row],[Date]]))</f>
        <v/>
      </c>
      <c r="F2590" s="63">
        <f>IF(tblCommentary[[#This Row],[Date]]="","",tblCommentary[[#This Row],[Date]]&amp;"|"&amp;tblCommentary[[#This Row],[Seq_Day]])</f>
        <v/>
      </c>
    </row>
    <row r="2591">
      <c r="A2591" s="54" t="n"/>
      <c r="B2591" s="61" t="n"/>
      <c r="C2591" s="58" t="n"/>
      <c r="D2591" s="58" t="n"/>
      <c r="E2591" s="64">
        <f>IF(tblCommentary[[#This Row],[Date]]="","",COUNTIFS(INDEX(tblCommentary[Date],1):tblCommentary[[#This Row],[Date]],tblCommentary[[#This Row],[Date]]))</f>
        <v/>
      </c>
      <c r="F2591" s="63">
        <f>IF(tblCommentary[[#This Row],[Date]]="","",tblCommentary[[#This Row],[Date]]&amp;"|"&amp;tblCommentary[[#This Row],[Seq_Day]])</f>
        <v/>
      </c>
    </row>
    <row r="2592">
      <c r="A2592" s="54" t="n"/>
      <c r="B2592" s="61" t="n"/>
      <c r="C2592" s="58" t="n"/>
      <c r="D2592" s="58" t="n"/>
      <c r="E2592" s="64">
        <f>IF(tblCommentary[[#This Row],[Date]]="","",COUNTIFS(INDEX(tblCommentary[Date],1):tblCommentary[[#This Row],[Date]],tblCommentary[[#This Row],[Date]]))</f>
        <v/>
      </c>
      <c r="F2592" s="63">
        <f>IF(tblCommentary[[#This Row],[Date]]="","",tblCommentary[[#This Row],[Date]]&amp;"|"&amp;tblCommentary[[#This Row],[Seq_Day]])</f>
        <v/>
      </c>
    </row>
    <row r="2593">
      <c r="A2593" s="54" t="n"/>
      <c r="B2593" s="61" t="n"/>
      <c r="C2593" s="58" t="n"/>
      <c r="D2593" s="58" t="n"/>
      <c r="E2593" s="64">
        <f>IF(tblCommentary[[#This Row],[Date]]="","",COUNTIFS(INDEX(tblCommentary[Date],1):tblCommentary[[#This Row],[Date]],tblCommentary[[#This Row],[Date]]))</f>
        <v/>
      </c>
      <c r="F2593" s="63">
        <f>IF(tblCommentary[[#This Row],[Date]]="","",tblCommentary[[#This Row],[Date]]&amp;"|"&amp;tblCommentary[[#This Row],[Seq_Day]])</f>
        <v/>
      </c>
    </row>
    <row r="2594">
      <c r="A2594" s="54" t="n"/>
      <c r="B2594" s="61" t="n"/>
      <c r="C2594" s="58" t="n"/>
      <c r="D2594" s="58" t="n"/>
      <c r="E2594" s="64">
        <f>IF(tblCommentary[[#This Row],[Date]]="","",COUNTIFS(INDEX(tblCommentary[Date],1):tblCommentary[[#This Row],[Date]],tblCommentary[[#This Row],[Date]]))</f>
        <v/>
      </c>
      <c r="F2594" s="63">
        <f>IF(tblCommentary[[#This Row],[Date]]="","",tblCommentary[[#This Row],[Date]]&amp;"|"&amp;tblCommentary[[#This Row],[Seq_Day]])</f>
        <v/>
      </c>
    </row>
    <row r="2595">
      <c r="A2595" s="54" t="n"/>
      <c r="B2595" s="61" t="n"/>
      <c r="C2595" s="58" t="n"/>
      <c r="D2595" s="58" t="n"/>
      <c r="E2595" s="64">
        <f>IF(tblCommentary[[#This Row],[Date]]="","",COUNTIFS(INDEX(tblCommentary[Date],1):tblCommentary[[#This Row],[Date]],tblCommentary[[#This Row],[Date]]))</f>
        <v/>
      </c>
      <c r="F2595" s="63">
        <f>IF(tblCommentary[[#This Row],[Date]]="","",tblCommentary[[#This Row],[Date]]&amp;"|"&amp;tblCommentary[[#This Row],[Seq_Day]])</f>
        <v/>
      </c>
    </row>
    <row r="2596">
      <c r="A2596" s="54" t="n"/>
      <c r="B2596" s="61" t="n"/>
      <c r="C2596" s="58" t="n"/>
      <c r="D2596" s="58" t="n"/>
      <c r="E2596" s="64">
        <f>IF(tblCommentary[[#This Row],[Date]]="","",COUNTIFS(INDEX(tblCommentary[Date],1):tblCommentary[[#This Row],[Date]],tblCommentary[[#This Row],[Date]]))</f>
        <v/>
      </c>
      <c r="F2596" s="63">
        <f>IF(tblCommentary[[#This Row],[Date]]="","",tblCommentary[[#This Row],[Date]]&amp;"|"&amp;tblCommentary[[#This Row],[Seq_Day]])</f>
        <v/>
      </c>
    </row>
    <row r="2597">
      <c r="A2597" s="54" t="n"/>
      <c r="B2597" s="61" t="n"/>
      <c r="C2597" s="58" t="n"/>
      <c r="D2597" s="58" t="n"/>
      <c r="E2597" s="64">
        <f>IF(tblCommentary[[#This Row],[Date]]="","",COUNTIFS(INDEX(tblCommentary[Date],1):tblCommentary[[#This Row],[Date]],tblCommentary[[#This Row],[Date]]))</f>
        <v/>
      </c>
      <c r="F2597" s="63">
        <f>IF(tblCommentary[[#This Row],[Date]]="","",tblCommentary[[#This Row],[Date]]&amp;"|"&amp;tblCommentary[[#This Row],[Seq_Day]])</f>
        <v/>
      </c>
    </row>
    <row r="2598">
      <c r="A2598" s="54" t="n"/>
      <c r="B2598" s="61" t="n"/>
      <c r="C2598" s="58" t="n"/>
      <c r="D2598" s="58" t="n"/>
      <c r="E2598" s="64">
        <f>IF(tblCommentary[[#This Row],[Date]]="","",COUNTIFS(INDEX(tblCommentary[Date],1):tblCommentary[[#This Row],[Date]],tblCommentary[[#This Row],[Date]]))</f>
        <v/>
      </c>
      <c r="F2598" s="63">
        <f>IF(tblCommentary[[#This Row],[Date]]="","",tblCommentary[[#This Row],[Date]]&amp;"|"&amp;tblCommentary[[#This Row],[Seq_Day]])</f>
        <v/>
      </c>
    </row>
    <row r="2599">
      <c r="A2599" s="54" t="n"/>
      <c r="B2599" s="61" t="n"/>
      <c r="C2599" s="58" t="n"/>
      <c r="D2599" s="58" t="n"/>
      <c r="E2599" s="64">
        <f>IF(tblCommentary[[#This Row],[Date]]="","",COUNTIFS(INDEX(tblCommentary[Date],1):tblCommentary[[#This Row],[Date]],tblCommentary[[#This Row],[Date]]))</f>
        <v/>
      </c>
      <c r="F2599" s="63">
        <f>IF(tblCommentary[[#This Row],[Date]]="","",tblCommentary[[#This Row],[Date]]&amp;"|"&amp;tblCommentary[[#This Row],[Seq_Day]])</f>
        <v/>
      </c>
    </row>
    <row r="2600">
      <c r="A2600" s="54" t="n"/>
      <c r="B2600" s="61" t="n"/>
      <c r="C2600" s="58" t="n"/>
      <c r="D2600" s="58" t="n"/>
      <c r="E2600" s="64">
        <f>IF(tblCommentary[[#This Row],[Date]]="","",COUNTIFS(INDEX(tblCommentary[Date],1):tblCommentary[[#This Row],[Date]],tblCommentary[[#This Row],[Date]]))</f>
        <v/>
      </c>
      <c r="F2600" s="63">
        <f>IF(tblCommentary[[#This Row],[Date]]="","",tblCommentary[[#This Row],[Date]]&amp;"|"&amp;tblCommentary[[#This Row],[Seq_Day]])</f>
        <v/>
      </c>
    </row>
    <row r="2601">
      <c r="A2601" s="54" t="n"/>
      <c r="B2601" s="61" t="n"/>
      <c r="C2601" s="58" t="n"/>
      <c r="D2601" s="58" t="n"/>
      <c r="E2601" s="64">
        <f>IF(tblCommentary[[#This Row],[Date]]="","",COUNTIFS(INDEX(tblCommentary[Date],1):tblCommentary[[#This Row],[Date]],tblCommentary[[#This Row],[Date]]))</f>
        <v/>
      </c>
      <c r="F2601" s="63">
        <f>IF(tblCommentary[[#This Row],[Date]]="","",tblCommentary[[#This Row],[Date]]&amp;"|"&amp;tblCommentary[[#This Row],[Seq_Day]])</f>
        <v/>
      </c>
    </row>
    <row r="2602">
      <c r="A2602" s="54" t="n"/>
      <c r="B2602" s="61" t="n"/>
      <c r="C2602" s="58" t="n"/>
      <c r="D2602" s="58" t="n"/>
      <c r="E2602" s="64">
        <f>IF(tblCommentary[[#This Row],[Date]]="","",COUNTIFS(INDEX(tblCommentary[Date],1):tblCommentary[[#This Row],[Date]],tblCommentary[[#This Row],[Date]]))</f>
        <v/>
      </c>
      <c r="F2602" s="63">
        <f>IF(tblCommentary[[#This Row],[Date]]="","",tblCommentary[[#This Row],[Date]]&amp;"|"&amp;tblCommentary[[#This Row],[Seq_Day]])</f>
        <v/>
      </c>
    </row>
    <row r="2603">
      <c r="A2603" s="54" t="n"/>
      <c r="B2603" s="61" t="n"/>
      <c r="C2603" s="58" t="n"/>
      <c r="D2603" s="58" t="n"/>
      <c r="E2603" s="64">
        <f>IF(tblCommentary[[#This Row],[Date]]="","",COUNTIFS(INDEX(tblCommentary[Date],1):tblCommentary[[#This Row],[Date]],tblCommentary[[#This Row],[Date]]))</f>
        <v/>
      </c>
      <c r="F2603" s="63">
        <f>IF(tblCommentary[[#This Row],[Date]]="","",tblCommentary[[#This Row],[Date]]&amp;"|"&amp;tblCommentary[[#This Row],[Seq_Day]])</f>
        <v/>
      </c>
    </row>
    <row r="2604">
      <c r="A2604" s="54" t="n"/>
      <c r="B2604" s="61" t="n"/>
      <c r="C2604" s="58" t="n"/>
      <c r="D2604" s="58" t="n"/>
      <c r="E2604" s="64">
        <f>IF(tblCommentary[[#This Row],[Date]]="","",COUNTIFS(INDEX(tblCommentary[Date],1):tblCommentary[[#This Row],[Date]],tblCommentary[[#This Row],[Date]]))</f>
        <v/>
      </c>
      <c r="F2604" s="63">
        <f>IF(tblCommentary[[#This Row],[Date]]="","",tblCommentary[[#This Row],[Date]]&amp;"|"&amp;tblCommentary[[#This Row],[Seq_Day]])</f>
        <v/>
      </c>
    </row>
    <row r="2605">
      <c r="A2605" s="54" t="n"/>
      <c r="B2605" s="61" t="n"/>
      <c r="C2605" s="58" t="n"/>
      <c r="D2605" s="58" t="n"/>
      <c r="E2605" s="64">
        <f>IF(tblCommentary[[#This Row],[Date]]="","",COUNTIFS(INDEX(tblCommentary[Date],1):tblCommentary[[#This Row],[Date]],tblCommentary[[#This Row],[Date]]))</f>
        <v/>
      </c>
      <c r="F2605" s="63">
        <f>IF(tblCommentary[[#This Row],[Date]]="","",tblCommentary[[#This Row],[Date]]&amp;"|"&amp;tblCommentary[[#This Row],[Seq_Day]])</f>
        <v/>
      </c>
    </row>
    <row r="2606">
      <c r="A2606" s="54" t="n"/>
      <c r="B2606" s="61" t="n"/>
      <c r="C2606" s="58" t="n"/>
      <c r="D2606" s="58" t="n"/>
      <c r="E2606" s="64">
        <f>IF(tblCommentary[[#This Row],[Date]]="","",COUNTIFS(INDEX(tblCommentary[Date],1):tblCommentary[[#This Row],[Date]],tblCommentary[[#This Row],[Date]]))</f>
        <v/>
      </c>
      <c r="F2606" s="63">
        <f>IF(tblCommentary[[#This Row],[Date]]="","",tblCommentary[[#This Row],[Date]]&amp;"|"&amp;tblCommentary[[#This Row],[Seq_Day]])</f>
        <v/>
      </c>
    </row>
    <row r="2607">
      <c r="A2607" s="54" t="n"/>
      <c r="B2607" s="61" t="n"/>
      <c r="C2607" s="58" t="n"/>
      <c r="D2607" s="58" t="n"/>
      <c r="E2607" s="64">
        <f>IF(tblCommentary[[#This Row],[Date]]="","",COUNTIFS(INDEX(tblCommentary[Date],1):tblCommentary[[#This Row],[Date]],tblCommentary[[#This Row],[Date]]))</f>
        <v/>
      </c>
      <c r="F2607" s="63">
        <f>IF(tblCommentary[[#This Row],[Date]]="","",tblCommentary[[#This Row],[Date]]&amp;"|"&amp;tblCommentary[[#This Row],[Seq_Day]])</f>
        <v/>
      </c>
    </row>
    <row r="2608">
      <c r="A2608" s="54" t="n"/>
      <c r="B2608" s="61" t="n"/>
      <c r="C2608" s="58" t="n"/>
      <c r="D2608" s="58" t="n"/>
      <c r="E2608" s="64">
        <f>IF(tblCommentary[[#This Row],[Date]]="","",COUNTIFS(INDEX(tblCommentary[Date],1):tblCommentary[[#This Row],[Date]],tblCommentary[[#This Row],[Date]]))</f>
        <v/>
      </c>
      <c r="F2608" s="63">
        <f>IF(tblCommentary[[#This Row],[Date]]="","",tblCommentary[[#This Row],[Date]]&amp;"|"&amp;tblCommentary[[#This Row],[Seq_Day]])</f>
        <v/>
      </c>
    </row>
    <row r="2609">
      <c r="A2609" s="54" t="n"/>
      <c r="B2609" s="61" t="n"/>
      <c r="C2609" s="58" t="n"/>
      <c r="D2609" s="58" t="n"/>
      <c r="E2609" s="64">
        <f>IF(tblCommentary[[#This Row],[Date]]="","",COUNTIFS(INDEX(tblCommentary[Date],1):tblCommentary[[#This Row],[Date]],tblCommentary[[#This Row],[Date]]))</f>
        <v/>
      </c>
      <c r="F2609" s="63">
        <f>IF(tblCommentary[[#This Row],[Date]]="","",tblCommentary[[#This Row],[Date]]&amp;"|"&amp;tblCommentary[[#This Row],[Seq_Day]])</f>
        <v/>
      </c>
    </row>
    <row r="2610">
      <c r="A2610" s="54" t="n"/>
      <c r="B2610" s="61" t="n"/>
      <c r="C2610" s="58" t="n"/>
      <c r="D2610" s="58" t="n"/>
      <c r="E2610" s="64">
        <f>IF(tblCommentary[[#This Row],[Date]]="","",COUNTIFS(INDEX(tblCommentary[Date],1):tblCommentary[[#This Row],[Date]],tblCommentary[[#This Row],[Date]]))</f>
        <v/>
      </c>
      <c r="F2610" s="63">
        <f>IF(tblCommentary[[#This Row],[Date]]="","",tblCommentary[[#This Row],[Date]]&amp;"|"&amp;tblCommentary[[#This Row],[Seq_Day]])</f>
        <v/>
      </c>
    </row>
    <row r="2611">
      <c r="A2611" s="54" t="n"/>
      <c r="B2611" s="61" t="n"/>
      <c r="C2611" s="58" t="n"/>
      <c r="D2611" s="58" t="n"/>
      <c r="E2611" s="64">
        <f>IF(tblCommentary[[#This Row],[Date]]="","",COUNTIFS(INDEX(tblCommentary[Date],1):tblCommentary[[#This Row],[Date]],tblCommentary[[#This Row],[Date]]))</f>
        <v/>
      </c>
      <c r="F2611" s="63">
        <f>IF(tblCommentary[[#This Row],[Date]]="","",tblCommentary[[#This Row],[Date]]&amp;"|"&amp;tblCommentary[[#This Row],[Seq_Day]])</f>
        <v/>
      </c>
    </row>
    <row r="2612">
      <c r="A2612" s="54" t="n"/>
      <c r="B2612" s="61" t="n"/>
      <c r="C2612" s="58" t="n"/>
      <c r="D2612" s="58" t="n"/>
      <c r="E2612" s="64">
        <f>IF(tblCommentary[[#This Row],[Date]]="","",COUNTIFS(INDEX(tblCommentary[Date],1):tblCommentary[[#This Row],[Date]],tblCommentary[[#This Row],[Date]]))</f>
        <v/>
      </c>
      <c r="F2612" s="63">
        <f>IF(tblCommentary[[#This Row],[Date]]="","",tblCommentary[[#This Row],[Date]]&amp;"|"&amp;tblCommentary[[#This Row],[Seq_Day]])</f>
        <v/>
      </c>
    </row>
    <row r="2613">
      <c r="A2613" s="54" t="n"/>
      <c r="B2613" s="61" t="n"/>
      <c r="C2613" s="58" t="n"/>
      <c r="D2613" s="58" t="n"/>
      <c r="E2613" s="64">
        <f>IF(tblCommentary[[#This Row],[Date]]="","",COUNTIFS(INDEX(tblCommentary[Date],1):tblCommentary[[#This Row],[Date]],tblCommentary[[#This Row],[Date]]))</f>
        <v/>
      </c>
      <c r="F2613" s="63">
        <f>IF(tblCommentary[[#This Row],[Date]]="","",tblCommentary[[#This Row],[Date]]&amp;"|"&amp;tblCommentary[[#This Row],[Seq_Day]])</f>
        <v/>
      </c>
    </row>
    <row r="2614">
      <c r="A2614" s="54" t="n"/>
      <c r="B2614" s="61" t="n"/>
      <c r="C2614" s="58" t="n"/>
      <c r="D2614" s="58" t="n"/>
      <c r="E2614" s="64">
        <f>IF(tblCommentary[[#This Row],[Date]]="","",COUNTIFS(INDEX(tblCommentary[Date],1):tblCommentary[[#This Row],[Date]],tblCommentary[[#This Row],[Date]]))</f>
        <v/>
      </c>
      <c r="F2614" s="63">
        <f>IF(tblCommentary[[#This Row],[Date]]="","",tblCommentary[[#This Row],[Date]]&amp;"|"&amp;tblCommentary[[#This Row],[Seq_Day]])</f>
        <v/>
      </c>
    </row>
    <row r="2615">
      <c r="A2615" s="54" t="n"/>
      <c r="B2615" s="61" t="n"/>
      <c r="C2615" s="58" t="n"/>
      <c r="D2615" s="58" t="n"/>
      <c r="E2615" s="64">
        <f>IF(tblCommentary[[#This Row],[Date]]="","",COUNTIFS(INDEX(tblCommentary[Date],1):tblCommentary[[#This Row],[Date]],tblCommentary[[#This Row],[Date]]))</f>
        <v/>
      </c>
      <c r="F2615" s="63">
        <f>IF(tblCommentary[[#This Row],[Date]]="","",tblCommentary[[#This Row],[Date]]&amp;"|"&amp;tblCommentary[[#This Row],[Seq_Day]])</f>
        <v/>
      </c>
    </row>
    <row r="2616">
      <c r="A2616" s="54" t="n"/>
      <c r="B2616" s="61" t="n"/>
      <c r="C2616" s="58" t="n"/>
      <c r="D2616" s="58" t="n"/>
      <c r="E2616" s="64">
        <f>IF(tblCommentary[[#This Row],[Date]]="","",COUNTIFS(INDEX(tblCommentary[Date],1):tblCommentary[[#This Row],[Date]],tblCommentary[[#This Row],[Date]]))</f>
        <v/>
      </c>
      <c r="F2616" s="63">
        <f>IF(tblCommentary[[#This Row],[Date]]="","",tblCommentary[[#This Row],[Date]]&amp;"|"&amp;tblCommentary[[#This Row],[Seq_Day]])</f>
        <v/>
      </c>
    </row>
    <row r="2617">
      <c r="A2617" s="54" t="n"/>
      <c r="B2617" s="61" t="n"/>
      <c r="C2617" s="58" t="n"/>
      <c r="D2617" s="58" t="n"/>
      <c r="E2617" s="64">
        <f>IF(tblCommentary[[#This Row],[Date]]="","",COUNTIFS(INDEX(tblCommentary[Date],1):tblCommentary[[#This Row],[Date]],tblCommentary[[#This Row],[Date]]))</f>
        <v/>
      </c>
      <c r="F2617" s="63">
        <f>IF(tblCommentary[[#This Row],[Date]]="","",tblCommentary[[#This Row],[Date]]&amp;"|"&amp;tblCommentary[[#This Row],[Seq_Day]])</f>
        <v/>
      </c>
    </row>
    <row r="2618">
      <c r="A2618" s="54" t="n"/>
      <c r="B2618" s="61" t="n"/>
      <c r="C2618" s="58" t="n"/>
      <c r="D2618" s="58" t="n"/>
      <c r="E2618" s="64">
        <f>IF(tblCommentary[[#This Row],[Date]]="","",COUNTIFS(INDEX(tblCommentary[Date],1):tblCommentary[[#This Row],[Date]],tblCommentary[[#This Row],[Date]]))</f>
        <v/>
      </c>
      <c r="F2618" s="63">
        <f>IF(tblCommentary[[#This Row],[Date]]="","",tblCommentary[[#This Row],[Date]]&amp;"|"&amp;tblCommentary[[#This Row],[Seq_Day]])</f>
        <v/>
      </c>
    </row>
    <row r="2619">
      <c r="A2619" s="54" t="n"/>
      <c r="B2619" s="61" t="n"/>
      <c r="C2619" s="58" t="n"/>
      <c r="D2619" s="58" t="n"/>
      <c r="E2619" s="64">
        <f>IF(tblCommentary[[#This Row],[Date]]="","",COUNTIFS(INDEX(tblCommentary[Date],1):tblCommentary[[#This Row],[Date]],tblCommentary[[#This Row],[Date]]))</f>
        <v/>
      </c>
      <c r="F2619" s="63">
        <f>IF(tblCommentary[[#This Row],[Date]]="","",tblCommentary[[#This Row],[Date]]&amp;"|"&amp;tblCommentary[[#This Row],[Seq_Day]])</f>
        <v/>
      </c>
    </row>
    <row r="2620">
      <c r="A2620" s="54" t="n"/>
      <c r="B2620" s="61" t="n"/>
      <c r="C2620" s="58" t="n"/>
      <c r="D2620" s="58" t="n"/>
      <c r="E2620" s="64">
        <f>IF(tblCommentary[[#This Row],[Date]]="","",COUNTIFS(INDEX(tblCommentary[Date],1):tblCommentary[[#This Row],[Date]],tblCommentary[[#This Row],[Date]]))</f>
        <v/>
      </c>
      <c r="F2620" s="63">
        <f>IF(tblCommentary[[#This Row],[Date]]="","",tblCommentary[[#This Row],[Date]]&amp;"|"&amp;tblCommentary[[#This Row],[Seq_Day]])</f>
        <v/>
      </c>
    </row>
    <row r="2621">
      <c r="A2621" s="54" t="n"/>
      <c r="B2621" s="61" t="n"/>
      <c r="C2621" s="58" t="n"/>
      <c r="D2621" s="58" t="n"/>
      <c r="E2621" s="64">
        <f>IF(tblCommentary[[#This Row],[Date]]="","",COUNTIFS(INDEX(tblCommentary[Date],1):tblCommentary[[#This Row],[Date]],tblCommentary[[#This Row],[Date]]))</f>
        <v/>
      </c>
      <c r="F2621" s="63">
        <f>IF(tblCommentary[[#This Row],[Date]]="","",tblCommentary[[#This Row],[Date]]&amp;"|"&amp;tblCommentary[[#This Row],[Seq_Day]])</f>
        <v/>
      </c>
    </row>
    <row r="2622">
      <c r="A2622" s="54" t="n"/>
      <c r="B2622" s="61" t="n"/>
      <c r="C2622" s="58" t="n"/>
      <c r="D2622" s="58" t="n"/>
      <c r="E2622" s="64">
        <f>IF(tblCommentary[[#This Row],[Date]]="","",COUNTIFS(INDEX(tblCommentary[Date],1):tblCommentary[[#This Row],[Date]],tblCommentary[[#This Row],[Date]]))</f>
        <v/>
      </c>
      <c r="F2622" s="63">
        <f>IF(tblCommentary[[#This Row],[Date]]="","",tblCommentary[[#This Row],[Date]]&amp;"|"&amp;tblCommentary[[#This Row],[Seq_Day]])</f>
        <v/>
      </c>
    </row>
    <row r="2623">
      <c r="A2623" s="54" t="n"/>
      <c r="B2623" s="61" t="n"/>
      <c r="C2623" s="58" t="n"/>
      <c r="D2623" s="58" t="n"/>
      <c r="E2623" s="64">
        <f>IF(tblCommentary[[#This Row],[Date]]="","",COUNTIFS(INDEX(tblCommentary[Date],1):tblCommentary[[#This Row],[Date]],tblCommentary[[#This Row],[Date]]))</f>
        <v/>
      </c>
      <c r="F2623" s="63">
        <f>IF(tblCommentary[[#This Row],[Date]]="","",tblCommentary[[#This Row],[Date]]&amp;"|"&amp;tblCommentary[[#This Row],[Seq_Day]])</f>
        <v/>
      </c>
    </row>
    <row r="2624">
      <c r="A2624" s="54" t="n"/>
      <c r="B2624" s="61" t="n"/>
      <c r="C2624" s="58" t="n"/>
      <c r="D2624" s="58" t="n"/>
      <c r="E2624" s="64">
        <f>IF(tblCommentary[[#This Row],[Date]]="","",COUNTIFS(INDEX(tblCommentary[Date],1):tblCommentary[[#This Row],[Date]],tblCommentary[[#This Row],[Date]]))</f>
        <v/>
      </c>
      <c r="F2624" s="63">
        <f>IF(tblCommentary[[#This Row],[Date]]="","",tblCommentary[[#This Row],[Date]]&amp;"|"&amp;tblCommentary[[#This Row],[Seq_Day]])</f>
        <v/>
      </c>
    </row>
    <row r="2625">
      <c r="A2625" s="54" t="n"/>
      <c r="B2625" s="61" t="n"/>
      <c r="C2625" s="58" t="n"/>
      <c r="D2625" s="58" t="n"/>
      <c r="E2625" s="64">
        <f>IF(tblCommentary[[#This Row],[Date]]="","",COUNTIFS(INDEX(tblCommentary[Date],1):tblCommentary[[#This Row],[Date]],tblCommentary[[#This Row],[Date]]))</f>
        <v/>
      </c>
      <c r="F2625" s="63">
        <f>IF(tblCommentary[[#This Row],[Date]]="","",tblCommentary[[#This Row],[Date]]&amp;"|"&amp;tblCommentary[[#This Row],[Seq_Day]])</f>
        <v/>
      </c>
    </row>
    <row r="2626">
      <c r="A2626" s="54" t="n"/>
      <c r="B2626" s="61" t="n"/>
      <c r="C2626" s="58" t="n"/>
      <c r="D2626" s="58" t="n"/>
      <c r="E2626" s="64">
        <f>IF(tblCommentary[[#This Row],[Date]]="","",COUNTIFS(INDEX(tblCommentary[Date],1):tblCommentary[[#This Row],[Date]],tblCommentary[[#This Row],[Date]]))</f>
        <v/>
      </c>
      <c r="F2626" s="63">
        <f>IF(tblCommentary[[#This Row],[Date]]="","",tblCommentary[[#This Row],[Date]]&amp;"|"&amp;tblCommentary[[#This Row],[Seq_Day]])</f>
        <v/>
      </c>
    </row>
    <row r="2627">
      <c r="A2627" s="54" t="n"/>
      <c r="B2627" s="61" t="n"/>
      <c r="C2627" s="58" t="n"/>
      <c r="D2627" s="58" t="n"/>
      <c r="E2627" s="64">
        <f>IF(tblCommentary[[#This Row],[Date]]="","",COUNTIFS(INDEX(tblCommentary[Date],1):tblCommentary[[#This Row],[Date]],tblCommentary[[#This Row],[Date]]))</f>
        <v/>
      </c>
      <c r="F2627" s="63">
        <f>IF(tblCommentary[[#This Row],[Date]]="","",tblCommentary[[#This Row],[Date]]&amp;"|"&amp;tblCommentary[[#This Row],[Seq_Day]])</f>
        <v/>
      </c>
    </row>
    <row r="2628">
      <c r="A2628" s="54" t="n"/>
      <c r="B2628" s="61" t="n"/>
      <c r="C2628" s="58" t="n"/>
      <c r="D2628" s="58" t="n"/>
      <c r="E2628" s="64">
        <f>IF(tblCommentary[[#This Row],[Date]]="","",COUNTIFS(INDEX(tblCommentary[Date],1):tblCommentary[[#This Row],[Date]],tblCommentary[[#This Row],[Date]]))</f>
        <v/>
      </c>
      <c r="F2628" s="63">
        <f>IF(tblCommentary[[#This Row],[Date]]="","",tblCommentary[[#This Row],[Date]]&amp;"|"&amp;tblCommentary[[#This Row],[Seq_Day]])</f>
        <v/>
      </c>
    </row>
    <row r="2629">
      <c r="A2629" s="54" t="n"/>
      <c r="B2629" s="61" t="n"/>
      <c r="C2629" s="58" t="n"/>
      <c r="D2629" s="58" t="n"/>
      <c r="E2629" s="64">
        <f>IF(tblCommentary[[#This Row],[Date]]="","",COUNTIFS(INDEX(tblCommentary[Date],1):tblCommentary[[#This Row],[Date]],tblCommentary[[#This Row],[Date]]))</f>
        <v/>
      </c>
      <c r="F2629" s="63">
        <f>IF(tblCommentary[[#This Row],[Date]]="","",tblCommentary[[#This Row],[Date]]&amp;"|"&amp;tblCommentary[[#This Row],[Seq_Day]])</f>
        <v/>
      </c>
    </row>
    <row r="2630">
      <c r="A2630" s="54" t="n"/>
      <c r="B2630" s="61" t="n"/>
      <c r="C2630" s="58" t="n"/>
      <c r="D2630" s="58" t="n"/>
      <c r="E2630" s="64">
        <f>IF(tblCommentary[[#This Row],[Date]]="","",COUNTIFS(INDEX(tblCommentary[Date],1):tblCommentary[[#This Row],[Date]],tblCommentary[[#This Row],[Date]]))</f>
        <v/>
      </c>
      <c r="F2630" s="63">
        <f>IF(tblCommentary[[#This Row],[Date]]="","",tblCommentary[[#This Row],[Date]]&amp;"|"&amp;tblCommentary[[#This Row],[Seq_Day]])</f>
        <v/>
      </c>
    </row>
    <row r="2631">
      <c r="A2631" s="54" t="n"/>
      <c r="B2631" s="61" t="n"/>
      <c r="C2631" s="58" t="n"/>
      <c r="D2631" s="58" t="n"/>
      <c r="E2631" s="64">
        <f>IF(tblCommentary[[#This Row],[Date]]="","",COUNTIFS(INDEX(tblCommentary[Date],1):tblCommentary[[#This Row],[Date]],tblCommentary[[#This Row],[Date]]))</f>
        <v/>
      </c>
      <c r="F2631" s="63">
        <f>IF(tblCommentary[[#This Row],[Date]]="","",tblCommentary[[#This Row],[Date]]&amp;"|"&amp;tblCommentary[[#This Row],[Seq_Day]])</f>
        <v/>
      </c>
    </row>
    <row r="2632">
      <c r="A2632" s="54" t="n"/>
      <c r="B2632" s="61" t="n"/>
      <c r="C2632" s="58" t="n"/>
      <c r="D2632" s="58" t="n"/>
      <c r="E2632" s="64">
        <f>IF(tblCommentary[[#This Row],[Date]]="","",COUNTIFS(INDEX(tblCommentary[Date],1):tblCommentary[[#This Row],[Date]],tblCommentary[[#This Row],[Date]]))</f>
        <v/>
      </c>
      <c r="F2632" s="63">
        <f>IF(tblCommentary[[#This Row],[Date]]="","",tblCommentary[[#This Row],[Date]]&amp;"|"&amp;tblCommentary[[#This Row],[Seq_Day]])</f>
        <v/>
      </c>
    </row>
    <row r="2633">
      <c r="A2633" s="54" t="n"/>
      <c r="B2633" s="61" t="n"/>
      <c r="C2633" s="58" t="n"/>
      <c r="D2633" s="58" t="n"/>
      <c r="E2633" s="64">
        <f>IF(tblCommentary[[#This Row],[Date]]="","",COUNTIFS(INDEX(tblCommentary[Date],1):tblCommentary[[#This Row],[Date]],tblCommentary[[#This Row],[Date]]))</f>
        <v/>
      </c>
      <c r="F2633" s="63">
        <f>IF(tblCommentary[[#This Row],[Date]]="","",tblCommentary[[#This Row],[Date]]&amp;"|"&amp;tblCommentary[[#This Row],[Seq_Day]])</f>
        <v/>
      </c>
    </row>
    <row r="2634">
      <c r="A2634" s="54" t="n"/>
      <c r="B2634" s="61" t="n"/>
      <c r="C2634" s="58" t="n"/>
      <c r="D2634" s="58" t="n"/>
      <c r="E2634" s="64">
        <f>IF(tblCommentary[[#This Row],[Date]]="","",COUNTIFS(INDEX(tblCommentary[Date],1):tblCommentary[[#This Row],[Date]],tblCommentary[[#This Row],[Date]]))</f>
        <v/>
      </c>
      <c r="F2634" s="63">
        <f>IF(tblCommentary[[#This Row],[Date]]="","",tblCommentary[[#This Row],[Date]]&amp;"|"&amp;tblCommentary[[#This Row],[Seq_Day]])</f>
        <v/>
      </c>
    </row>
    <row r="2635">
      <c r="A2635" s="54" t="n"/>
      <c r="B2635" s="61" t="n"/>
      <c r="C2635" s="58" t="n"/>
      <c r="D2635" s="58" t="n"/>
      <c r="E2635" s="64">
        <f>IF(tblCommentary[[#This Row],[Date]]="","",COUNTIFS(INDEX(tblCommentary[Date],1):tblCommentary[[#This Row],[Date]],tblCommentary[[#This Row],[Date]]))</f>
        <v/>
      </c>
      <c r="F2635" s="63">
        <f>IF(tblCommentary[[#This Row],[Date]]="","",tblCommentary[[#This Row],[Date]]&amp;"|"&amp;tblCommentary[[#This Row],[Seq_Day]])</f>
        <v/>
      </c>
    </row>
    <row r="2636">
      <c r="A2636" s="54" t="n"/>
      <c r="B2636" s="61" t="n"/>
      <c r="C2636" s="58" t="n"/>
      <c r="D2636" s="58" t="n"/>
      <c r="E2636" s="64">
        <f>IF(tblCommentary[[#This Row],[Date]]="","",COUNTIFS(INDEX(tblCommentary[Date],1):tblCommentary[[#This Row],[Date]],tblCommentary[[#This Row],[Date]]))</f>
        <v/>
      </c>
      <c r="F2636" s="63">
        <f>IF(tblCommentary[[#This Row],[Date]]="","",tblCommentary[[#This Row],[Date]]&amp;"|"&amp;tblCommentary[[#This Row],[Seq_Day]])</f>
        <v/>
      </c>
    </row>
    <row r="2637">
      <c r="A2637" s="54" t="n"/>
      <c r="B2637" s="61" t="n"/>
      <c r="C2637" s="58" t="n"/>
      <c r="D2637" s="58" t="n"/>
      <c r="E2637" s="64">
        <f>IF(tblCommentary[[#This Row],[Date]]="","",COUNTIFS(INDEX(tblCommentary[Date],1):tblCommentary[[#This Row],[Date]],tblCommentary[[#This Row],[Date]]))</f>
        <v/>
      </c>
      <c r="F2637" s="63">
        <f>IF(tblCommentary[[#This Row],[Date]]="","",tblCommentary[[#This Row],[Date]]&amp;"|"&amp;tblCommentary[[#This Row],[Seq_Day]])</f>
        <v/>
      </c>
    </row>
    <row r="2638">
      <c r="A2638" s="54" t="n"/>
      <c r="B2638" s="61" t="n"/>
      <c r="C2638" s="58" t="n"/>
      <c r="D2638" s="58" t="n"/>
      <c r="E2638" s="64">
        <f>IF(tblCommentary[[#This Row],[Date]]="","",COUNTIFS(INDEX(tblCommentary[Date],1):tblCommentary[[#This Row],[Date]],tblCommentary[[#This Row],[Date]]))</f>
        <v/>
      </c>
      <c r="F2638" s="63">
        <f>IF(tblCommentary[[#This Row],[Date]]="","",tblCommentary[[#This Row],[Date]]&amp;"|"&amp;tblCommentary[[#This Row],[Seq_Day]])</f>
        <v/>
      </c>
    </row>
    <row r="2639">
      <c r="A2639" s="54" t="n"/>
      <c r="B2639" s="61" t="n"/>
      <c r="C2639" s="58" t="n"/>
      <c r="D2639" s="58" t="n"/>
      <c r="E2639" s="64">
        <f>IF(tblCommentary[[#This Row],[Date]]="","",COUNTIFS(INDEX(tblCommentary[Date],1):tblCommentary[[#This Row],[Date]],tblCommentary[[#This Row],[Date]]))</f>
        <v/>
      </c>
      <c r="F2639" s="63">
        <f>IF(tblCommentary[[#This Row],[Date]]="","",tblCommentary[[#This Row],[Date]]&amp;"|"&amp;tblCommentary[[#This Row],[Seq_Day]])</f>
        <v/>
      </c>
    </row>
    <row r="2640">
      <c r="A2640" s="54" t="n"/>
      <c r="B2640" s="61" t="n"/>
      <c r="C2640" s="58" t="n"/>
      <c r="D2640" s="58" t="n"/>
      <c r="E2640" s="64">
        <f>IF(tblCommentary[[#This Row],[Date]]="","",COUNTIFS(INDEX(tblCommentary[Date],1):tblCommentary[[#This Row],[Date]],tblCommentary[[#This Row],[Date]]))</f>
        <v/>
      </c>
      <c r="F2640" s="63">
        <f>IF(tblCommentary[[#This Row],[Date]]="","",tblCommentary[[#This Row],[Date]]&amp;"|"&amp;tblCommentary[[#This Row],[Seq_Day]])</f>
        <v/>
      </c>
    </row>
    <row r="2641">
      <c r="A2641" s="54" t="n"/>
      <c r="B2641" s="61" t="n"/>
      <c r="C2641" s="58" t="n"/>
      <c r="D2641" s="58" t="n"/>
      <c r="E2641" s="64">
        <f>IF(tblCommentary[[#This Row],[Date]]="","",COUNTIFS(INDEX(tblCommentary[Date],1):tblCommentary[[#This Row],[Date]],tblCommentary[[#This Row],[Date]]))</f>
        <v/>
      </c>
      <c r="F2641" s="63">
        <f>IF(tblCommentary[[#This Row],[Date]]="","",tblCommentary[[#This Row],[Date]]&amp;"|"&amp;tblCommentary[[#This Row],[Seq_Day]])</f>
        <v/>
      </c>
    </row>
    <row r="2642">
      <c r="A2642" s="54" t="n"/>
      <c r="B2642" s="61" t="n"/>
      <c r="C2642" s="58" t="n"/>
      <c r="D2642" s="58" t="n"/>
      <c r="E2642" s="64">
        <f>IF(tblCommentary[[#This Row],[Date]]="","",COUNTIFS(INDEX(tblCommentary[Date],1):tblCommentary[[#This Row],[Date]],tblCommentary[[#This Row],[Date]]))</f>
        <v/>
      </c>
      <c r="F2642" s="63">
        <f>IF(tblCommentary[[#This Row],[Date]]="","",tblCommentary[[#This Row],[Date]]&amp;"|"&amp;tblCommentary[[#This Row],[Seq_Day]])</f>
        <v/>
      </c>
    </row>
    <row r="2643">
      <c r="A2643" s="54" t="n"/>
      <c r="B2643" s="61" t="n"/>
      <c r="C2643" s="58" t="n"/>
      <c r="D2643" s="58" t="n"/>
      <c r="E2643" s="64">
        <f>IF(tblCommentary[[#This Row],[Date]]="","",COUNTIFS(INDEX(tblCommentary[Date],1):tblCommentary[[#This Row],[Date]],tblCommentary[[#This Row],[Date]]))</f>
        <v/>
      </c>
      <c r="F2643" s="63">
        <f>IF(tblCommentary[[#This Row],[Date]]="","",tblCommentary[[#This Row],[Date]]&amp;"|"&amp;tblCommentary[[#This Row],[Seq_Day]])</f>
        <v/>
      </c>
    </row>
    <row r="2644">
      <c r="A2644" s="54" t="n"/>
      <c r="B2644" s="61" t="n"/>
      <c r="C2644" s="58" t="n"/>
      <c r="D2644" s="58" t="n"/>
      <c r="E2644" s="64">
        <f>IF(tblCommentary[[#This Row],[Date]]="","",COUNTIFS(INDEX(tblCommentary[Date],1):tblCommentary[[#This Row],[Date]],tblCommentary[[#This Row],[Date]]))</f>
        <v/>
      </c>
      <c r="F2644" s="63">
        <f>IF(tblCommentary[[#This Row],[Date]]="","",tblCommentary[[#This Row],[Date]]&amp;"|"&amp;tblCommentary[[#This Row],[Seq_Day]])</f>
        <v/>
      </c>
    </row>
    <row r="2645">
      <c r="A2645" s="54" t="n"/>
      <c r="B2645" s="61" t="n"/>
      <c r="C2645" s="58" t="n"/>
      <c r="D2645" s="58" t="n"/>
      <c r="E2645" s="64">
        <f>IF(tblCommentary[[#This Row],[Date]]="","",COUNTIFS(INDEX(tblCommentary[Date],1):tblCommentary[[#This Row],[Date]],tblCommentary[[#This Row],[Date]]))</f>
        <v/>
      </c>
      <c r="F2645" s="63">
        <f>IF(tblCommentary[[#This Row],[Date]]="","",tblCommentary[[#This Row],[Date]]&amp;"|"&amp;tblCommentary[[#This Row],[Seq_Day]])</f>
        <v/>
      </c>
    </row>
    <row r="2646">
      <c r="A2646" s="54" t="n"/>
      <c r="B2646" s="61" t="n"/>
      <c r="C2646" s="58" t="n"/>
      <c r="D2646" s="58" t="n"/>
      <c r="E2646" s="64">
        <f>IF(tblCommentary[[#This Row],[Date]]="","",COUNTIFS(INDEX(tblCommentary[Date],1):tblCommentary[[#This Row],[Date]],tblCommentary[[#This Row],[Date]]))</f>
        <v/>
      </c>
      <c r="F2646" s="63">
        <f>IF(tblCommentary[[#This Row],[Date]]="","",tblCommentary[[#This Row],[Date]]&amp;"|"&amp;tblCommentary[[#This Row],[Seq_Day]])</f>
        <v/>
      </c>
    </row>
    <row r="2647">
      <c r="A2647" s="54" t="n"/>
      <c r="B2647" s="61" t="n"/>
      <c r="C2647" s="58" t="n"/>
      <c r="D2647" s="58" t="n"/>
      <c r="E2647" s="64">
        <f>IF(tblCommentary[[#This Row],[Date]]="","",COUNTIFS(INDEX(tblCommentary[Date],1):tblCommentary[[#This Row],[Date]],tblCommentary[[#This Row],[Date]]))</f>
        <v/>
      </c>
      <c r="F2647" s="63">
        <f>IF(tblCommentary[[#This Row],[Date]]="","",tblCommentary[[#This Row],[Date]]&amp;"|"&amp;tblCommentary[[#This Row],[Seq_Day]])</f>
        <v/>
      </c>
    </row>
    <row r="2648">
      <c r="A2648" s="54" t="n"/>
      <c r="B2648" s="61" t="n"/>
      <c r="C2648" s="58" t="n"/>
      <c r="D2648" s="58" t="n"/>
      <c r="E2648" s="64">
        <f>IF(tblCommentary[[#This Row],[Date]]="","",COUNTIFS(INDEX(tblCommentary[Date],1):tblCommentary[[#This Row],[Date]],tblCommentary[[#This Row],[Date]]))</f>
        <v/>
      </c>
      <c r="F2648" s="63">
        <f>IF(tblCommentary[[#This Row],[Date]]="","",tblCommentary[[#This Row],[Date]]&amp;"|"&amp;tblCommentary[[#This Row],[Seq_Day]])</f>
        <v/>
      </c>
    </row>
    <row r="2649">
      <c r="A2649" s="54" t="n"/>
      <c r="B2649" s="61" t="n"/>
      <c r="C2649" s="58" t="n"/>
      <c r="D2649" s="58" t="n"/>
      <c r="E2649" s="64">
        <f>IF(tblCommentary[[#This Row],[Date]]="","",COUNTIFS(INDEX(tblCommentary[Date],1):tblCommentary[[#This Row],[Date]],tblCommentary[[#This Row],[Date]]))</f>
        <v/>
      </c>
      <c r="F2649" s="63">
        <f>IF(tblCommentary[[#This Row],[Date]]="","",tblCommentary[[#This Row],[Date]]&amp;"|"&amp;tblCommentary[[#This Row],[Seq_Day]])</f>
        <v/>
      </c>
    </row>
    <row r="2650">
      <c r="A2650" s="54" t="n"/>
      <c r="B2650" s="61" t="n"/>
      <c r="C2650" s="58" t="n"/>
      <c r="D2650" s="58" t="n"/>
      <c r="E2650" s="64">
        <f>IF(tblCommentary[[#This Row],[Date]]="","",COUNTIFS(INDEX(tblCommentary[Date],1):tblCommentary[[#This Row],[Date]],tblCommentary[[#This Row],[Date]]))</f>
        <v/>
      </c>
      <c r="F2650" s="63">
        <f>IF(tblCommentary[[#This Row],[Date]]="","",tblCommentary[[#This Row],[Date]]&amp;"|"&amp;tblCommentary[[#This Row],[Seq_Day]])</f>
        <v/>
      </c>
    </row>
    <row r="2651">
      <c r="A2651" s="54" t="n"/>
      <c r="B2651" s="61" t="n"/>
      <c r="C2651" s="58" t="n"/>
      <c r="D2651" s="58" t="n"/>
      <c r="E2651" s="64">
        <f>IF(tblCommentary[[#This Row],[Date]]="","",COUNTIFS(INDEX(tblCommentary[Date],1):tblCommentary[[#This Row],[Date]],tblCommentary[[#This Row],[Date]]))</f>
        <v/>
      </c>
      <c r="F2651" s="63">
        <f>IF(tblCommentary[[#This Row],[Date]]="","",tblCommentary[[#This Row],[Date]]&amp;"|"&amp;tblCommentary[[#This Row],[Seq_Day]])</f>
        <v/>
      </c>
    </row>
    <row r="2652">
      <c r="A2652" s="54" t="n"/>
      <c r="B2652" s="61" t="n"/>
      <c r="C2652" s="58" t="n"/>
      <c r="D2652" s="58" t="n"/>
      <c r="E2652" s="64">
        <f>IF(tblCommentary[[#This Row],[Date]]="","",COUNTIFS(INDEX(tblCommentary[Date],1):tblCommentary[[#This Row],[Date]],tblCommentary[[#This Row],[Date]]))</f>
        <v/>
      </c>
      <c r="F2652" s="63">
        <f>IF(tblCommentary[[#This Row],[Date]]="","",tblCommentary[[#This Row],[Date]]&amp;"|"&amp;tblCommentary[[#This Row],[Seq_Day]])</f>
        <v/>
      </c>
    </row>
    <row r="2653">
      <c r="A2653" s="54" t="n"/>
      <c r="B2653" s="61" t="n"/>
      <c r="C2653" s="58" t="n"/>
      <c r="D2653" s="58" t="n"/>
      <c r="E2653" s="64">
        <f>IF(tblCommentary[[#This Row],[Date]]="","",COUNTIFS(INDEX(tblCommentary[Date],1):tblCommentary[[#This Row],[Date]],tblCommentary[[#This Row],[Date]]))</f>
        <v/>
      </c>
      <c r="F2653" s="63">
        <f>IF(tblCommentary[[#This Row],[Date]]="","",tblCommentary[[#This Row],[Date]]&amp;"|"&amp;tblCommentary[[#This Row],[Seq_Day]])</f>
        <v/>
      </c>
    </row>
    <row r="2654">
      <c r="A2654" s="54" t="n"/>
      <c r="B2654" s="61" t="n"/>
      <c r="C2654" s="58" t="n"/>
      <c r="D2654" s="58" t="n"/>
      <c r="E2654" s="64">
        <f>IF(tblCommentary[[#This Row],[Date]]="","",COUNTIFS(INDEX(tblCommentary[Date],1):tblCommentary[[#This Row],[Date]],tblCommentary[[#This Row],[Date]]))</f>
        <v/>
      </c>
      <c r="F2654" s="63">
        <f>IF(tblCommentary[[#This Row],[Date]]="","",tblCommentary[[#This Row],[Date]]&amp;"|"&amp;tblCommentary[[#This Row],[Seq_Day]])</f>
        <v/>
      </c>
    </row>
    <row r="2655">
      <c r="A2655" s="54" t="n"/>
      <c r="B2655" s="61" t="n"/>
      <c r="C2655" s="58" t="n"/>
      <c r="D2655" s="58" t="n"/>
      <c r="E2655" s="64">
        <f>IF(tblCommentary[[#This Row],[Date]]="","",COUNTIFS(INDEX(tblCommentary[Date],1):tblCommentary[[#This Row],[Date]],tblCommentary[[#This Row],[Date]]))</f>
        <v/>
      </c>
      <c r="F2655" s="63">
        <f>IF(tblCommentary[[#This Row],[Date]]="","",tblCommentary[[#This Row],[Date]]&amp;"|"&amp;tblCommentary[[#This Row],[Seq_Day]])</f>
        <v/>
      </c>
    </row>
    <row r="2656">
      <c r="A2656" s="54" t="n"/>
      <c r="B2656" s="61" t="n"/>
      <c r="C2656" s="58" t="n"/>
      <c r="D2656" s="58" t="n"/>
      <c r="E2656" s="64">
        <f>IF(tblCommentary[[#This Row],[Date]]="","",COUNTIFS(INDEX(tblCommentary[Date],1):tblCommentary[[#This Row],[Date]],tblCommentary[[#This Row],[Date]]))</f>
        <v/>
      </c>
      <c r="F2656" s="63">
        <f>IF(tblCommentary[[#This Row],[Date]]="","",tblCommentary[[#This Row],[Date]]&amp;"|"&amp;tblCommentary[[#This Row],[Seq_Day]])</f>
        <v/>
      </c>
    </row>
    <row r="2657">
      <c r="A2657" s="54" t="n"/>
      <c r="B2657" s="61" t="n"/>
      <c r="C2657" s="58" t="n"/>
      <c r="D2657" s="58" t="n"/>
      <c r="E2657" s="64">
        <f>IF(tblCommentary[[#This Row],[Date]]="","",COUNTIFS(INDEX(tblCommentary[Date],1):tblCommentary[[#This Row],[Date]],tblCommentary[[#This Row],[Date]]))</f>
        <v/>
      </c>
      <c r="F2657" s="63">
        <f>IF(tblCommentary[[#This Row],[Date]]="","",tblCommentary[[#This Row],[Date]]&amp;"|"&amp;tblCommentary[[#This Row],[Seq_Day]])</f>
        <v/>
      </c>
    </row>
    <row r="2658">
      <c r="A2658" s="54" t="n"/>
      <c r="B2658" s="61" t="n"/>
      <c r="C2658" s="58" t="n"/>
      <c r="D2658" s="58" t="n"/>
      <c r="E2658" s="64">
        <f>IF(tblCommentary[[#This Row],[Date]]="","",COUNTIFS(INDEX(tblCommentary[Date],1):tblCommentary[[#This Row],[Date]],tblCommentary[[#This Row],[Date]]))</f>
        <v/>
      </c>
      <c r="F2658" s="63">
        <f>IF(tblCommentary[[#This Row],[Date]]="","",tblCommentary[[#This Row],[Date]]&amp;"|"&amp;tblCommentary[[#This Row],[Seq_Day]])</f>
        <v/>
      </c>
    </row>
    <row r="2659">
      <c r="A2659" s="54" t="n"/>
      <c r="B2659" s="61" t="n"/>
      <c r="C2659" s="58" t="n"/>
      <c r="D2659" s="58" t="n"/>
      <c r="E2659" s="64">
        <f>IF(tblCommentary[[#This Row],[Date]]="","",COUNTIFS(INDEX(tblCommentary[Date],1):tblCommentary[[#This Row],[Date]],tblCommentary[[#This Row],[Date]]))</f>
        <v/>
      </c>
      <c r="F2659" s="63">
        <f>IF(tblCommentary[[#This Row],[Date]]="","",tblCommentary[[#This Row],[Date]]&amp;"|"&amp;tblCommentary[[#This Row],[Seq_Day]])</f>
        <v/>
      </c>
    </row>
    <row r="2660">
      <c r="A2660" s="54" t="n"/>
      <c r="B2660" s="61" t="n"/>
      <c r="C2660" s="58" t="n"/>
      <c r="D2660" s="58" t="n"/>
      <c r="E2660" s="64">
        <f>IF(tblCommentary[[#This Row],[Date]]="","",COUNTIFS(INDEX(tblCommentary[Date],1):tblCommentary[[#This Row],[Date]],tblCommentary[[#This Row],[Date]]))</f>
        <v/>
      </c>
      <c r="F2660" s="63">
        <f>IF(tblCommentary[[#This Row],[Date]]="","",tblCommentary[[#This Row],[Date]]&amp;"|"&amp;tblCommentary[[#This Row],[Seq_Day]])</f>
        <v/>
      </c>
    </row>
    <row r="2661">
      <c r="A2661" s="54" t="n"/>
      <c r="B2661" s="61" t="n"/>
      <c r="C2661" s="58" t="n"/>
      <c r="D2661" s="58" t="n"/>
      <c r="E2661" s="64">
        <f>IF(tblCommentary[[#This Row],[Date]]="","",COUNTIFS(INDEX(tblCommentary[Date],1):tblCommentary[[#This Row],[Date]],tblCommentary[[#This Row],[Date]]))</f>
        <v/>
      </c>
      <c r="F2661" s="63">
        <f>IF(tblCommentary[[#This Row],[Date]]="","",tblCommentary[[#This Row],[Date]]&amp;"|"&amp;tblCommentary[[#This Row],[Seq_Day]])</f>
        <v/>
      </c>
    </row>
    <row r="2662">
      <c r="A2662" s="54" t="n"/>
      <c r="B2662" s="61" t="n"/>
      <c r="C2662" s="58" t="n"/>
      <c r="D2662" s="58" t="n"/>
      <c r="E2662" s="64">
        <f>IF(tblCommentary[[#This Row],[Date]]="","",COUNTIFS(INDEX(tblCommentary[Date],1):tblCommentary[[#This Row],[Date]],tblCommentary[[#This Row],[Date]]))</f>
        <v/>
      </c>
      <c r="F2662" s="63">
        <f>IF(tblCommentary[[#This Row],[Date]]="","",tblCommentary[[#This Row],[Date]]&amp;"|"&amp;tblCommentary[[#This Row],[Seq_Day]])</f>
        <v/>
      </c>
    </row>
    <row r="2663">
      <c r="A2663" s="54" t="n"/>
      <c r="B2663" s="61" t="n"/>
      <c r="C2663" s="58" t="n"/>
      <c r="D2663" s="58" t="n"/>
      <c r="E2663" s="64">
        <f>IF(tblCommentary[[#This Row],[Date]]="","",COUNTIFS(INDEX(tblCommentary[Date],1):tblCommentary[[#This Row],[Date]],tblCommentary[[#This Row],[Date]]))</f>
        <v/>
      </c>
      <c r="F2663" s="63">
        <f>IF(tblCommentary[[#This Row],[Date]]="","",tblCommentary[[#This Row],[Date]]&amp;"|"&amp;tblCommentary[[#This Row],[Seq_Day]])</f>
        <v/>
      </c>
    </row>
    <row r="2664">
      <c r="A2664" s="54" t="n"/>
      <c r="B2664" s="61" t="n"/>
      <c r="C2664" s="58" t="n"/>
      <c r="D2664" s="58" t="n"/>
      <c r="E2664" s="64">
        <f>IF(tblCommentary[[#This Row],[Date]]="","",COUNTIFS(INDEX(tblCommentary[Date],1):tblCommentary[[#This Row],[Date]],tblCommentary[[#This Row],[Date]]))</f>
        <v/>
      </c>
      <c r="F2664" s="63">
        <f>IF(tblCommentary[[#This Row],[Date]]="","",tblCommentary[[#This Row],[Date]]&amp;"|"&amp;tblCommentary[[#This Row],[Seq_Day]])</f>
        <v/>
      </c>
    </row>
    <row r="2665">
      <c r="A2665" s="54" t="n"/>
      <c r="B2665" s="61" t="n"/>
      <c r="C2665" s="58" t="n"/>
      <c r="D2665" s="58" t="n"/>
      <c r="E2665" s="64">
        <f>IF(tblCommentary[[#This Row],[Date]]="","",COUNTIFS(INDEX(tblCommentary[Date],1):tblCommentary[[#This Row],[Date]],tblCommentary[[#This Row],[Date]]))</f>
        <v/>
      </c>
      <c r="F2665" s="63">
        <f>IF(tblCommentary[[#This Row],[Date]]="","",tblCommentary[[#This Row],[Date]]&amp;"|"&amp;tblCommentary[[#This Row],[Seq_Day]])</f>
        <v/>
      </c>
    </row>
    <row r="2666">
      <c r="A2666" s="54" t="n"/>
      <c r="B2666" s="61" t="n"/>
      <c r="C2666" s="58" t="n"/>
      <c r="D2666" s="58" t="n"/>
      <c r="E2666" s="64">
        <f>IF(tblCommentary[[#This Row],[Date]]="","",COUNTIFS(INDEX(tblCommentary[Date],1):tblCommentary[[#This Row],[Date]],tblCommentary[[#This Row],[Date]]))</f>
        <v/>
      </c>
      <c r="F2666" s="63">
        <f>IF(tblCommentary[[#This Row],[Date]]="","",tblCommentary[[#This Row],[Date]]&amp;"|"&amp;tblCommentary[[#This Row],[Seq_Day]])</f>
        <v/>
      </c>
    </row>
    <row r="2667">
      <c r="A2667" s="54" t="n"/>
      <c r="B2667" s="61" t="n"/>
      <c r="C2667" s="58" t="n"/>
      <c r="D2667" s="58" t="n"/>
      <c r="E2667" s="64">
        <f>IF(tblCommentary[[#This Row],[Date]]="","",COUNTIFS(INDEX(tblCommentary[Date],1):tblCommentary[[#This Row],[Date]],tblCommentary[[#This Row],[Date]]))</f>
        <v/>
      </c>
      <c r="F2667" s="63">
        <f>IF(tblCommentary[[#This Row],[Date]]="","",tblCommentary[[#This Row],[Date]]&amp;"|"&amp;tblCommentary[[#This Row],[Seq_Day]])</f>
        <v/>
      </c>
    </row>
    <row r="2668">
      <c r="A2668" s="54" t="n"/>
      <c r="B2668" s="61" t="n"/>
      <c r="C2668" s="58" t="n"/>
      <c r="D2668" s="58" t="n"/>
      <c r="E2668" s="64">
        <f>IF(tblCommentary[[#This Row],[Date]]="","",COUNTIFS(INDEX(tblCommentary[Date],1):tblCommentary[[#This Row],[Date]],tblCommentary[[#This Row],[Date]]))</f>
        <v/>
      </c>
      <c r="F2668" s="63">
        <f>IF(tblCommentary[[#This Row],[Date]]="","",tblCommentary[[#This Row],[Date]]&amp;"|"&amp;tblCommentary[[#This Row],[Seq_Day]])</f>
        <v/>
      </c>
    </row>
    <row r="2669">
      <c r="A2669" s="54" t="n"/>
      <c r="B2669" s="61" t="n"/>
      <c r="C2669" s="58" t="n"/>
      <c r="D2669" s="58" t="n"/>
      <c r="E2669" s="64">
        <f>IF(tblCommentary[[#This Row],[Date]]="","",COUNTIFS(INDEX(tblCommentary[Date],1):tblCommentary[[#This Row],[Date]],tblCommentary[[#This Row],[Date]]))</f>
        <v/>
      </c>
      <c r="F2669" s="63">
        <f>IF(tblCommentary[[#This Row],[Date]]="","",tblCommentary[[#This Row],[Date]]&amp;"|"&amp;tblCommentary[[#This Row],[Seq_Day]])</f>
        <v/>
      </c>
    </row>
    <row r="2670">
      <c r="A2670" s="54" t="n"/>
      <c r="B2670" s="61" t="n"/>
      <c r="C2670" s="58" t="n"/>
      <c r="D2670" s="58" t="n"/>
      <c r="E2670" s="64">
        <f>IF(tblCommentary[[#This Row],[Date]]="","",COUNTIFS(INDEX(tblCommentary[Date],1):tblCommentary[[#This Row],[Date]],tblCommentary[[#This Row],[Date]]))</f>
        <v/>
      </c>
      <c r="F2670" s="63">
        <f>IF(tblCommentary[[#This Row],[Date]]="","",tblCommentary[[#This Row],[Date]]&amp;"|"&amp;tblCommentary[[#This Row],[Seq_Day]])</f>
        <v/>
      </c>
    </row>
    <row r="2671">
      <c r="A2671" s="54" t="n"/>
      <c r="B2671" s="61" t="n"/>
      <c r="C2671" s="58" t="n"/>
      <c r="D2671" s="58" t="n"/>
      <c r="E2671" s="64">
        <f>IF(tblCommentary[[#This Row],[Date]]="","",COUNTIFS(INDEX(tblCommentary[Date],1):tblCommentary[[#This Row],[Date]],tblCommentary[[#This Row],[Date]]))</f>
        <v/>
      </c>
      <c r="F2671" s="63">
        <f>IF(tblCommentary[[#This Row],[Date]]="","",tblCommentary[[#This Row],[Date]]&amp;"|"&amp;tblCommentary[[#This Row],[Seq_Day]])</f>
        <v/>
      </c>
    </row>
    <row r="2672">
      <c r="A2672" s="54" t="n"/>
      <c r="B2672" s="61" t="n"/>
      <c r="C2672" s="58" t="n"/>
      <c r="D2672" s="58" t="n"/>
      <c r="E2672" s="64">
        <f>IF(tblCommentary[[#This Row],[Date]]="","",COUNTIFS(INDEX(tblCommentary[Date],1):tblCommentary[[#This Row],[Date]],tblCommentary[[#This Row],[Date]]))</f>
        <v/>
      </c>
      <c r="F2672" s="63">
        <f>IF(tblCommentary[[#This Row],[Date]]="","",tblCommentary[[#This Row],[Date]]&amp;"|"&amp;tblCommentary[[#This Row],[Seq_Day]])</f>
        <v/>
      </c>
    </row>
    <row r="2673">
      <c r="A2673" s="54" t="n"/>
      <c r="B2673" s="61" t="n"/>
      <c r="C2673" s="58" t="n"/>
      <c r="D2673" s="58" t="n"/>
      <c r="E2673" s="64">
        <f>IF(tblCommentary[[#This Row],[Date]]="","",COUNTIFS(INDEX(tblCommentary[Date],1):tblCommentary[[#This Row],[Date]],tblCommentary[[#This Row],[Date]]))</f>
        <v/>
      </c>
      <c r="F2673" s="63">
        <f>IF(tblCommentary[[#This Row],[Date]]="","",tblCommentary[[#This Row],[Date]]&amp;"|"&amp;tblCommentary[[#This Row],[Seq_Day]])</f>
        <v/>
      </c>
    </row>
    <row r="2674">
      <c r="A2674" s="54" t="n"/>
      <c r="B2674" s="61" t="n"/>
      <c r="C2674" s="58" t="n"/>
      <c r="D2674" s="58" t="n"/>
      <c r="E2674" s="64">
        <f>IF(tblCommentary[[#This Row],[Date]]="","",COUNTIFS(INDEX(tblCommentary[Date],1):tblCommentary[[#This Row],[Date]],tblCommentary[[#This Row],[Date]]))</f>
        <v/>
      </c>
      <c r="F2674" s="63">
        <f>IF(tblCommentary[[#This Row],[Date]]="","",tblCommentary[[#This Row],[Date]]&amp;"|"&amp;tblCommentary[[#This Row],[Seq_Day]])</f>
        <v/>
      </c>
    </row>
    <row r="2675">
      <c r="A2675" s="54" t="n"/>
      <c r="B2675" s="61" t="n"/>
      <c r="C2675" s="58" t="n"/>
      <c r="D2675" s="58" t="n"/>
      <c r="E2675" s="64">
        <f>IF(tblCommentary[[#This Row],[Date]]="","",COUNTIFS(INDEX(tblCommentary[Date],1):tblCommentary[[#This Row],[Date]],tblCommentary[[#This Row],[Date]]))</f>
        <v/>
      </c>
      <c r="F2675" s="63">
        <f>IF(tblCommentary[[#This Row],[Date]]="","",tblCommentary[[#This Row],[Date]]&amp;"|"&amp;tblCommentary[[#This Row],[Seq_Day]])</f>
        <v/>
      </c>
    </row>
    <row r="2676">
      <c r="A2676" s="54" t="n"/>
      <c r="B2676" s="61" t="n"/>
      <c r="C2676" s="58" t="n"/>
      <c r="D2676" s="58" t="n"/>
      <c r="E2676" s="64">
        <f>IF(tblCommentary[[#This Row],[Date]]="","",COUNTIFS(INDEX(tblCommentary[Date],1):tblCommentary[[#This Row],[Date]],tblCommentary[[#This Row],[Date]]))</f>
        <v/>
      </c>
      <c r="F2676" s="63">
        <f>IF(tblCommentary[[#This Row],[Date]]="","",tblCommentary[[#This Row],[Date]]&amp;"|"&amp;tblCommentary[[#This Row],[Seq_Day]])</f>
        <v/>
      </c>
    </row>
    <row r="2677">
      <c r="A2677" s="54" t="n"/>
      <c r="B2677" s="61" t="n"/>
      <c r="C2677" s="58" t="n"/>
      <c r="D2677" s="58" t="n"/>
      <c r="E2677" s="64">
        <f>IF(tblCommentary[[#This Row],[Date]]="","",COUNTIFS(INDEX(tblCommentary[Date],1):tblCommentary[[#This Row],[Date]],tblCommentary[[#This Row],[Date]]))</f>
        <v/>
      </c>
      <c r="F2677" s="63">
        <f>IF(tblCommentary[[#This Row],[Date]]="","",tblCommentary[[#This Row],[Date]]&amp;"|"&amp;tblCommentary[[#This Row],[Seq_Day]])</f>
        <v/>
      </c>
    </row>
    <row r="2678">
      <c r="A2678" s="54" t="n"/>
      <c r="B2678" s="61" t="n"/>
      <c r="C2678" s="58" t="n"/>
      <c r="D2678" s="58" t="n"/>
      <c r="E2678" s="64">
        <f>IF(tblCommentary[[#This Row],[Date]]="","",COUNTIFS(INDEX(tblCommentary[Date],1):tblCommentary[[#This Row],[Date]],tblCommentary[[#This Row],[Date]]))</f>
        <v/>
      </c>
      <c r="F2678" s="63">
        <f>IF(tblCommentary[[#This Row],[Date]]="","",tblCommentary[[#This Row],[Date]]&amp;"|"&amp;tblCommentary[[#This Row],[Seq_Day]])</f>
        <v/>
      </c>
    </row>
    <row r="2679">
      <c r="A2679" s="54" t="n"/>
      <c r="B2679" s="61" t="n"/>
      <c r="C2679" s="58" t="n"/>
      <c r="D2679" s="58" t="n"/>
      <c r="E2679" s="64">
        <f>IF(tblCommentary[[#This Row],[Date]]="","",COUNTIFS(INDEX(tblCommentary[Date],1):tblCommentary[[#This Row],[Date]],tblCommentary[[#This Row],[Date]]))</f>
        <v/>
      </c>
      <c r="F2679" s="63">
        <f>IF(tblCommentary[[#This Row],[Date]]="","",tblCommentary[[#This Row],[Date]]&amp;"|"&amp;tblCommentary[[#This Row],[Seq_Day]])</f>
        <v/>
      </c>
    </row>
    <row r="2680">
      <c r="A2680" s="54" t="n"/>
      <c r="B2680" s="61" t="n"/>
      <c r="C2680" s="58" t="n"/>
      <c r="D2680" s="58" t="n"/>
      <c r="E2680" s="64">
        <f>IF(tblCommentary[[#This Row],[Date]]="","",COUNTIFS(INDEX(tblCommentary[Date],1):tblCommentary[[#This Row],[Date]],tblCommentary[[#This Row],[Date]]))</f>
        <v/>
      </c>
      <c r="F2680" s="63">
        <f>IF(tblCommentary[[#This Row],[Date]]="","",tblCommentary[[#This Row],[Date]]&amp;"|"&amp;tblCommentary[[#This Row],[Seq_Day]])</f>
        <v/>
      </c>
    </row>
    <row r="2681">
      <c r="A2681" s="54" t="n"/>
      <c r="B2681" s="61" t="n"/>
      <c r="C2681" s="58" t="n"/>
      <c r="D2681" s="58" t="n"/>
      <c r="E2681" s="64">
        <f>IF(tblCommentary[[#This Row],[Date]]="","",COUNTIFS(INDEX(tblCommentary[Date],1):tblCommentary[[#This Row],[Date]],tblCommentary[[#This Row],[Date]]))</f>
        <v/>
      </c>
      <c r="F2681" s="63">
        <f>IF(tblCommentary[[#This Row],[Date]]="","",tblCommentary[[#This Row],[Date]]&amp;"|"&amp;tblCommentary[[#This Row],[Seq_Day]])</f>
        <v/>
      </c>
    </row>
    <row r="2682">
      <c r="A2682" s="54" t="n"/>
      <c r="B2682" s="61" t="n"/>
      <c r="C2682" s="58" t="n"/>
      <c r="D2682" s="58" t="n"/>
      <c r="E2682" s="64">
        <f>IF(tblCommentary[[#This Row],[Date]]="","",COUNTIFS(INDEX(tblCommentary[Date],1):tblCommentary[[#This Row],[Date]],tblCommentary[[#This Row],[Date]]))</f>
        <v/>
      </c>
      <c r="F2682" s="63">
        <f>IF(tblCommentary[[#This Row],[Date]]="","",tblCommentary[[#This Row],[Date]]&amp;"|"&amp;tblCommentary[[#This Row],[Seq_Day]])</f>
        <v/>
      </c>
    </row>
    <row r="2683">
      <c r="A2683" s="54" t="n"/>
      <c r="B2683" s="61" t="n"/>
      <c r="C2683" s="58" t="n"/>
      <c r="D2683" s="58" t="n"/>
      <c r="E2683" s="64">
        <f>IF(tblCommentary[[#This Row],[Date]]="","",COUNTIFS(INDEX(tblCommentary[Date],1):tblCommentary[[#This Row],[Date]],tblCommentary[[#This Row],[Date]]))</f>
        <v/>
      </c>
      <c r="F2683" s="63">
        <f>IF(tblCommentary[[#This Row],[Date]]="","",tblCommentary[[#This Row],[Date]]&amp;"|"&amp;tblCommentary[[#This Row],[Seq_Day]])</f>
        <v/>
      </c>
    </row>
    <row r="2684">
      <c r="A2684" s="54" t="n"/>
      <c r="B2684" s="61" t="n"/>
      <c r="C2684" s="58" t="n"/>
      <c r="D2684" s="58" t="n"/>
      <c r="E2684" s="64">
        <f>IF(tblCommentary[[#This Row],[Date]]="","",COUNTIFS(INDEX(tblCommentary[Date],1):tblCommentary[[#This Row],[Date]],tblCommentary[[#This Row],[Date]]))</f>
        <v/>
      </c>
      <c r="F2684" s="63">
        <f>IF(tblCommentary[[#This Row],[Date]]="","",tblCommentary[[#This Row],[Date]]&amp;"|"&amp;tblCommentary[[#This Row],[Seq_Day]])</f>
        <v/>
      </c>
    </row>
    <row r="2685">
      <c r="A2685" s="54" t="n"/>
      <c r="B2685" s="61" t="n"/>
      <c r="C2685" s="58" t="n"/>
      <c r="D2685" s="58" t="n"/>
      <c r="E2685" s="64">
        <f>IF(tblCommentary[[#This Row],[Date]]="","",COUNTIFS(INDEX(tblCommentary[Date],1):tblCommentary[[#This Row],[Date]],tblCommentary[[#This Row],[Date]]))</f>
        <v/>
      </c>
      <c r="F2685" s="63">
        <f>IF(tblCommentary[[#This Row],[Date]]="","",tblCommentary[[#This Row],[Date]]&amp;"|"&amp;tblCommentary[[#This Row],[Seq_Day]])</f>
        <v/>
      </c>
    </row>
    <row r="2686">
      <c r="A2686" s="54" t="n"/>
      <c r="B2686" s="61" t="n"/>
      <c r="C2686" s="58" t="n"/>
      <c r="D2686" s="58" t="n"/>
      <c r="E2686" s="64">
        <f>IF(tblCommentary[[#This Row],[Date]]="","",COUNTIFS(INDEX(tblCommentary[Date],1):tblCommentary[[#This Row],[Date]],tblCommentary[[#This Row],[Date]]))</f>
        <v/>
      </c>
      <c r="F2686" s="63">
        <f>IF(tblCommentary[[#This Row],[Date]]="","",tblCommentary[[#This Row],[Date]]&amp;"|"&amp;tblCommentary[[#This Row],[Seq_Day]])</f>
        <v/>
      </c>
    </row>
    <row r="2687">
      <c r="A2687" s="54" t="n"/>
      <c r="B2687" s="61" t="n"/>
      <c r="C2687" s="58" t="n"/>
      <c r="D2687" s="58" t="n"/>
      <c r="E2687" s="64">
        <f>IF(tblCommentary[[#This Row],[Date]]="","",COUNTIFS(INDEX(tblCommentary[Date],1):tblCommentary[[#This Row],[Date]],tblCommentary[[#This Row],[Date]]))</f>
        <v/>
      </c>
      <c r="F2687" s="63">
        <f>IF(tblCommentary[[#This Row],[Date]]="","",tblCommentary[[#This Row],[Date]]&amp;"|"&amp;tblCommentary[[#This Row],[Seq_Day]])</f>
        <v/>
      </c>
    </row>
    <row r="2688">
      <c r="A2688" s="54" t="n"/>
      <c r="B2688" s="61" t="n"/>
      <c r="C2688" s="58" t="n"/>
      <c r="D2688" s="58" t="n"/>
      <c r="E2688" s="64">
        <f>IF(tblCommentary[[#This Row],[Date]]="","",COUNTIFS(INDEX(tblCommentary[Date],1):tblCommentary[[#This Row],[Date]],tblCommentary[[#This Row],[Date]]))</f>
        <v/>
      </c>
      <c r="F2688" s="63">
        <f>IF(tblCommentary[[#This Row],[Date]]="","",tblCommentary[[#This Row],[Date]]&amp;"|"&amp;tblCommentary[[#This Row],[Seq_Day]])</f>
        <v/>
      </c>
    </row>
    <row r="2689">
      <c r="A2689" s="54" t="n"/>
      <c r="B2689" s="61" t="n"/>
      <c r="C2689" s="58" t="n"/>
      <c r="D2689" s="58" t="n"/>
      <c r="E2689" s="64">
        <f>IF(tblCommentary[[#This Row],[Date]]="","",COUNTIFS(INDEX(tblCommentary[Date],1):tblCommentary[[#This Row],[Date]],tblCommentary[[#This Row],[Date]]))</f>
        <v/>
      </c>
      <c r="F2689" s="63">
        <f>IF(tblCommentary[[#This Row],[Date]]="","",tblCommentary[[#This Row],[Date]]&amp;"|"&amp;tblCommentary[[#This Row],[Seq_Day]])</f>
        <v/>
      </c>
    </row>
    <row r="2690">
      <c r="A2690" s="54" t="n"/>
      <c r="B2690" s="61" t="n"/>
      <c r="C2690" s="58" t="n"/>
      <c r="D2690" s="58" t="n"/>
      <c r="E2690" s="64">
        <f>IF(tblCommentary[[#This Row],[Date]]="","",COUNTIFS(INDEX(tblCommentary[Date],1):tblCommentary[[#This Row],[Date]],tblCommentary[[#This Row],[Date]]))</f>
        <v/>
      </c>
      <c r="F2690" s="63">
        <f>IF(tblCommentary[[#This Row],[Date]]="","",tblCommentary[[#This Row],[Date]]&amp;"|"&amp;tblCommentary[[#This Row],[Seq_Day]])</f>
        <v/>
      </c>
    </row>
    <row r="2691">
      <c r="A2691" s="54" t="n"/>
      <c r="B2691" s="61" t="n"/>
      <c r="C2691" s="58" t="n"/>
      <c r="D2691" s="58" t="n"/>
      <c r="E2691" s="64">
        <f>IF(tblCommentary[[#This Row],[Date]]="","",COUNTIFS(INDEX(tblCommentary[Date],1):tblCommentary[[#This Row],[Date]],tblCommentary[[#This Row],[Date]]))</f>
        <v/>
      </c>
      <c r="F2691" s="63">
        <f>IF(tblCommentary[[#This Row],[Date]]="","",tblCommentary[[#This Row],[Date]]&amp;"|"&amp;tblCommentary[[#This Row],[Seq_Day]])</f>
        <v/>
      </c>
    </row>
    <row r="2692">
      <c r="A2692" s="54" t="n"/>
      <c r="B2692" s="61" t="n"/>
      <c r="C2692" s="58" t="n"/>
      <c r="D2692" s="58" t="n"/>
      <c r="E2692" s="64">
        <f>IF(tblCommentary[[#This Row],[Date]]="","",COUNTIFS(INDEX(tblCommentary[Date],1):tblCommentary[[#This Row],[Date]],tblCommentary[[#This Row],[Date]]))</f>
        <v/>
      </c>
      <c r="F2692" s="63">
        <f>IF(tblCommentary[[#This Row],[Date]]="","",tblCommentary[[#This Row],[Date]]&amp;"|"&amp;tblCommentary[[#This Row],[Seq_Day]])</f>
        <v/>
      </c>
    </row>
    <row r="2693">
      <c r="A2693" s="54" t="n"/>
      <c r="B2693" s="61" t="n"/>
      <c r="C2693" s="58" t="n"/>
      <c r="D2693" s="58" t="n"/>
      <c r="E2693" s="64">
        <f>IF(tblCommentary[[#This Row],[Date]]="","",COUNTIFS(INDEX(tblCommentary[Date],1):tblCommentary[[#This Row],[Date]],tblCommentary[[#This Row],[Date]]))</f>
        <v/>
      </c>
      <c r="F2693" s="63">
        <f>IF(tblCommentary[[#This Row],[Date]]="","",tblCommentary[[#This Row],[Date]]&amp;"|"&amp;tblCommentary[[#This Row],[Seq_Day]])</f>
        <v/>
      </c>
    </row>
    <row r="2694">
      <c r="A2694" s="54" t="n"/>
      <c r="B2694" s="61" t="n"/>
      <c r="C2694" s="58" t="n"/>
      <c r="D2694" s="58" t="n"/>
      <c r="E2694" s="64">
        <f>IF(tblCommentary[[#This Row],[Date]]="","",COUNTIFS(INDEX(tblCommentary[Date],1):tblCommentary[[#This Row],[Date]],tblCommentary[[#This Row],[Date]]))</f>
        <v/>
      </c>
      <c r="F2694" s="63">
        <f>IF(tblCommentary[[#This Row],[Date]]="","",tblCommentary[[#This Row],[Date]]&amp;"|"&amp;tblCommentary[[#This Row],[Seq_Day]])</f>
        <v/>
      </c>
    </row>
    <row r="2695">
      <c r="A2695" s="54" t="n"/>
      <c r="B2695" s="61" t="n"/>
      <c r="C2695" s="58" t="n"/>
      <c r="D2695" s="58" t="n"/>
      <c r="E2695" s="64">
        <f>IF(tblCommentary[[#This Row],[Date]]="","",COUNTIFS(INDEX(tblCommentary[Date],1):tblCommentary[[#This Row],[Date]],tblCommentary[[#This Row],[Date]]))</f>
        <v/>
      </c>
      <c r="F2695" s="63">
        <f>IF(tblCommentary[[#This Row],[Date]]="","",tblCommentary[[#This Row],[Date]]&amp;"|"&amp;tblCommentary[[#This Row],[Seq_Day]])</f>
        <v/>
      </c>
    </row>
    <row r="2696">
      <c r="A2696" s="54" t="n"/>
      <c r="B2696" s="61" t="n"/>
      <c r="C2696" s="58" t="n"/>
      <c r="D2696" s="58" t="n"/>
      <c r="E2696" s="64">
        <f>IF(tblCommentary[[#This Row],[Date]]="","",COUNTIFS(INDEX(tblCommentary[Date],1):tblCommentary[[#This Row],[Date]],tblCommentary[[#This Row],[Date]]))</f>
        <v/>
      </c>
      <c r="F2696" s="63">
        <f>IF(tblCommentary[[#This Row],[Date]]="","",tblCommentary[[#This Row],[Date]]&amp;"|"&amp;tblCommentary[[#This Row],[Seq_Day]])</f>
        <v/>
      </c>
    </row>
    <row r="2697">
      <c r="A2697" s="54" t="n"/>
      <c r="B2697" s="61" t="n"/>
      <c r="C2697" s="58" t="n"/>
      <c r="D2697" s="58" t="n"/>
      <c r="E2697" s="64">
        <f>IF(tblCommentary[[#This Row],[Date]]="","",COUNTIFS(INDEX(tblCommentary[Date],1):tblCommentary[[#This Row],[Date]],tblCommentary[[#This Row],[Date]]))</f>
        <v/>
      </c>
      <c r="F2697" s="63">
        <f>IF(tblCommentary[[#This Row],[Date]]="","",tblCommentary[[#This Row],[Date]]&amp;"|"&amp;tblCommentary[[#This Row],[Seq_Day]])</f>
        <v/>
      </c>
    </row>
    <row r="2698">
      <c r="A2698" s="54" t="n"/>
      <c r="B2698" s="61" t="n"/>
      <c r="C2698" s="58" t="n"/>
      <c r="D2698" s="58" t="n"/>
      <c r="E2698" s="64">
        <f>IF(tblCommentary[[#This Row],[Date]]="","",COUNTIFS(INDEX(tblCommentary[Date],1):tblCommentary[[#This Row],[Date]],tblCommentary[[#This Row],[Date]]))</f>
        <v/>
      </c>
      <c r="F2698" s="63">
        <f>IF(tblCommentary[[#This Row],[Date]]="","",tblCommentary[[#This Row],[Date]]&amp;"|"&amp;tblCommentary[[#This Row],[Seq_Day]])</f>
        <v/>
      </c>
    </row>
    <row r="2699">
      <c r="A2699" s="54" t="n"/>
      <c r="B2699" s="61" t="n"/>
      <c r="C2699" s="58" t="n"/>
      <c r="D2699" s="58" t="n"/>
      <c r="E2699" s="64">
        <f>IF(tblCommentary[[#This Row],[Date]]="","",COUNTIFS(INDEX(tblCommentary[Date],1):tblCommentary[[#This Row],[Date]],tblCommentary[[#This Row],[Date]]))</f>
        <v/>
      </c>
      <c r="F2699" s="63">
        <f>IF(tblCommentary[[#This Row],[Date]]="","",tblCommentary[[#This Row],[Date]]&amp;"|"&amp;tblCommentary[[#This Row],[Seq_Day]])</f>
        <v/>
      </c>
    </row>
    <row r="2700">
      <c r="A2700" s="54" t="n"/>
      <c r="B2700" s="61" t="n"/>
      <c r="C2700" s="58" t="n"/>
      <c r="D2700" s="58" t="n"/>
      <c r="E2700" s="64">
        <f>IF(tblCommentary[[#This Row],[Date]]="","",COUNTIFS(INDEX(tblCommentary[Date],1):tblCommentary[[#This Row],[Date]],tblCommentary[[#This Row],[Date]]))</f>
        <v/>
      </c>
      <c r="F2700" s="63">
        <f>IF(tblCommentary[[#This Row],[Date]]="","",tblCommentary[[#This Row],[Date]]&amp;"|"&amp;tblCommentary[[#This Row],[Seq_Day]])</f>
        <v/>
      </c>
    </row>
    <row r="2701">
      <c r="A2701" s="54" t="n"/>
      <c r="B2701" s="61" t="n"/>
      <c r="C2701" s="58" t="n"/>
      <c r="D2701" s="58" t="n"/>
      <c r="E2701" s="64">
        <f>IF(tblCommentary[[#This Row],[Date]]="","",COUNTIFS(INDEX(tblCommentary[Date],1):tblCommentary[[#This Row],[Date]],tblCommentary[[#This Row],[Date]]))</f>
        <v/>
      </c>
      <c r="F2701" s="63">
        <f>IF(tblCommentary[[#This Row],[Date]]="","",tblCommentary[[#This Row],[Date]]&amp;"|"&amp;tblCommentary[[#This Row],[Seq_Day]])</f>
        <v/>
      </c>
    </row>
    <row r="2702">
      <c r="A2702" s="54" t="n"/>
      <c r="B2702" s="61" t="n"/>
      <c r="C2702" s="58" t="n"/>
      <c r="D2702" s="58" t="n"/>
      <c r="E2702" s="64">
        <f>IF(tblCommentary[[#This Row],[Date]]="","",COUNTIFS(INDEX(tblCommentary[Date],1):tblCommentary[[#This Row],[Date]],tblCommentary[[#This Row],[Date]]))</f>
        <v/>
      </c>
      <c r="F2702" s="63">
        <f>IF(tblCommentary[[#This Row],[Date]]="","",tblCommentary[[#This Row],[Date]]&amp;"|"&amp;tblCommentary[[#This Row],[Seq_Day]])</f>
        <v/>
      </c>
    </row>
    <row r="2703">
      <c r="A2703" s="54" t="n"/>
      <c r="B2703" s="61" t="n"/>
      <c r="C2703" s="58" t="n"/>
      <c r="D2703" s="58" t="n"/>
      <c r="E2703" s="64">
        <f>IF(tblCommentary[[#This Row],[Date]]="","",COUNTIFS(INDEX(tblCommentary[Date],1):tblCommentary[[#This Row],[Date]],tblCommentary[[#This Row],[Date]]))</f>
        <v/>
      </c>
      <c r="F2703" s="63">
        <f>IF(tblCommentary[[#This Row],[Date]]="","",tblCommentary[[#This Row],[Date]]&amp;"|"&amp;tblCommentary[[#This Row],[Seq_Day]])</f>
        <v/>
      </c>
    </row>
    <row r="2704">
      <c r="A2704" s="54" t="n"/>
      <c r="B2704" s="61" t="n"/>
      <c r="C2704" s="58" t="n"/>
      <c r="D2704" s="58" t="n"/>
      <c r="E2704" s="64">
        <f>IF(tblCommentary[[#This Row],[Date]]="","",COUNTIFS(INDEX(tblCommentary[Date],1):tblCommentary[[#This Row],[Date]],tblCommentary[[#This Row],[Date]]))</f>
        <v/>
      </c>
      <c r="F2704" s="63">
        <f>IF(tblCommentary[[#This Row],[Date]]="","",tblCommentary[[#This Row],[Date]]&amp;"|"&amp;tblCommentary[[#This Row],[Seq_Day]])</f>
        <v/>
      </c>
    </row>
    <row r="2705">
      <c r="A2705" s="54" t="n"/>
      <c r="B2705" s="61" t="n"/>
      <c r="C2705" s="58" t="n"/>
      <c r="D2705" s="58" t="n"/>
      <c r="E2705" s="64">
        <f>IF(tblCommentary[[#This Row],[Date]]="","",COUNTIFS(INDEX(tblCommentary[Date],1):tblCommentary[[#This Row],[Date]],tblCommentary[[#This Row],[Date]]))</f>
        <v/>
      </c>
      <c r="F2705" s="63">
        <f>IF(tblCommentary[[#This Row],[Date]]="","",tblCommentary[[#This Row],[Date]]&amp;"|"&amp;tblCommentary[[#This Row],[Seq_Day]])</f>
        <v/>
      </c>
    </row>
    <row r="2706">
      <c r="A2706" s="54" t="n"/>
      <c r="B2706" s="61" t="n"/>
      <c r="C2706" s="58" t="n"/>
      <c r="D2706" s="58" t="n"/>
      <c r="E2706" s="64">
        <f>IF(tblCommentary[[#This Row],[Date]]="","",COUNTIFS(INDEX(tblCommentary[Date],1):tblCommentary[[#This Row],[Date]],tblCommentary[[#This Row],[Date]]))</f>
        <v/>
      </c>
      <c r="F2706" s="63">
        <f>IF(tblCommentary[[#This Row],[Date]]="","",tblCommentary[[#This Row],[Date]]&amp;"|"&amp;tblCommentary[[#This Row],[Seq_Day]])</f>
        <v/>
      </c>
    </row>
    <row r="2707">
      <c r="A2707" s="54" t="n"/>
      <c r="B2707" s="61" t="n"/>
      <c r="C2707" s="58" t="n"/>
      <c r="D2707" s="58" t="n"/>
      <c r="E2707" s="64">
        <f>IF(tblCommentary[[#This Row],[Date]]="","",COUNTIFS(INDEX(tblCommentary[Date],1):tblCommentary[[#This Row],[Date]],tblCommentary[[#This Row],[Date]]))</f>
        <v/>
      </c>
      <c r="F2707" s="63">
        <f>IF(tblCommentary[[#This Row],[Date]]="","",tblCommentary[[#This Row],[Date]]&amp;"|"&amp;tblCommentary[[#This Row],[Seq_Day]])</f>
        <v/>
      </c>
    </row>
    <row r="2708">
      <c r="A2708" s="54" t="n"/>
      <c r="B2708" s="61" t="n"/>
      <c r="C2708" s="58" t="n"/>
      <c r="D2708" s="58" t="n"/>
      <c r="E2708" s="64">
        <f>IF(tblCommentary[[#This Row],[Date]]="","",COUNTIFS(INDEX(tblCommentary[Date],1):tblCommentary[[#This Row],[Date]],tblCommentary[[#This Row],[Date]]))</f>
        <v/>
      </c>
      <c r="F2708" s="63">
        <f>IF(tblCommentary[[#This Row],[Date]]="","",tblCommentary[[#This Row],[Date]]&amp;"|"&amp;tblCommentary[[#This Row],[Seq_Day]])</f>
        <v/>
      </c>
    </row>
    <row r="2709">
      <c r="A2709" s="54" t="n"/>
      <c r="B2709" s="61" t="n"/>
      <c r="C2709" s="58" t="n"/>
      <c r="D2709" s="58" t="n"/>
      <c r="E2709" s="64">
        <f>IF(tblCommentary[[#This Row],[Date]]="","",COUNTIFS(INDEX(tblCommentary[Date],1):tblCommentary[[#This Row],[Date]],tblCommentary[[#This Row],[Date]]))</f>
        <v/>
      </c>
      <c r="F2709" s="63">
        <f>IF(tblCommentary[[#This Row],[Date]]="","",tblCommentary[[#This Row],[Date]]&amp;"|"&amp;tblCommentary[[#This Row],[Seq_Day]])</f>
        <v/>
      </c>
    </row>
    <row r="2710">
      <c r="A2710" s="54" t="n"/>
      <c r="B2710" s="61" t="n"/>
      <c r="C2710" s="58" t="n"/>
      <c r="D2710" s="58" t="n"/>
      <c r="E2710" s="64">
        <f>IF(tblCommentary[[#This Row],[Date]]="","",COUNTIFS(INDEX(tblCommentary[Date],1):tblCommentary[[#This Row],[Date]],tblCommentary[[#This Row],[Date]]))</f>
        <v/>
      </c>
      <c r="F2710" s="63">
        <f>IF(tblCommentary[[#This Row],[Date]]="","",tblCommentary[[#This Row],[Date]]&amp;"|"&amp;tblCommentary[[#This Row],[Seq_Day]])</f>
        <v/>
      </c>
    </row>
    <row r="2711">
      <c r="A2711" s="54" t="n"/>
      <c r="B2711" s="61" t="n"/>
      <c r="C2711" s="58" t="n"/>
      <c r="D2711" s="58" t="n"/>
      <c r="E2711" s="64">
        <f>IF(tblCommentary[[#This Row],[Date]]="","",COUNTIFS(INDEX(tblCommentary[Date],1):tblCommentary[[#This Row],[Date]],tblCommentary[[#This Row],[Date]]))</f>
        <v/>
      </c>
      <c r="F2711" s="63">
        <f>IF(tblCommentary[[#This Row],[Date]]="","",tblCommentary[[#This Row],[Date]]&amp;"|"&amp;tblCommentary[[#This Row],[Seq_Day]])</f>
        <v/>
      </c>
    </row>
    <row r="2712">
      <c r="A2712" s="54" t="n"/>
      <c r="B2712" s="61" t="n"/>
      <c r="C2712" s="58" t="n"/>
      <c r="D2712" s="58" t="n"/>
      <c r="E2712" s="64">
        <f>IF(tblCommentary[[#This Row],[Date]]="","",COUNTIFS(INDEX(tblCommentary[Date],1):tblCommentary[[#This Row],[Date]],tblCommentary[[#This Row],[Date]]))</f>
        <v/>
      </c>
      <c r="F2712" s="63">
        <f>IF(tblCommentary[[#This Row],[Date]]="","",tblCommentary[[#This Row],[Date]]&amp;"|"&amp;tblCommentary[[#This Row],[Seq_Day]])</f>
        <v/>
      </c>
    </row>
    <row r="2713">
      <c r="A2713" s="54" t="n"/>
      <c r="B2713" s="61" t="n"/>
      <c r="C2713" s="58" t="n"/>
      <c r="D2713" s="58" t="n"/>
      <c r="E2713" s="64">
        <f>IF(tblCommentary[[#This Row],[Date]]="","",COUNTIFS(INDEX(tblCommentary[Date],1):tblCommentary[[#This Row],[Date]],tblCommentary[[#This Row],[Date]]))</f>
        <v/>
      </c>
      <c r="F2713" s="63">
        <f>IF(tblCommentary[[#This Row],[Date]]="","",tblCommentary[[#This Row],[Date]]&amp;"|"&amp;tblCommentary[[#This Row],[Seq_Day]])</f>
        <v/>
      </c>
    </row>
    <row r="2714">
      <c r="A2714" s="54" t="n"/>
      <c r="B2714" s="61" t="n"/>
      <c r="C2714" s="58" t="n"/>
      <c r="D2714" s="58" t="n"/>
      <c r="E2714" s="64">
        <f>IF(tblCommentary[[#This Row],[Date]]="","",COUNTIFS(INDEX(tblCommentary[Date],1):tblCommentary[[#This Row],[Date]],tblCommentary[[#This Row],[Date]]))</f>
        <v/>
      </c>
      <c r="F2714" s="63">
        <f>IF(tblCommentary[[#This Row],[Date]]="","",tblCommentary[[#This Row],[Date]]&amp;"|"&amp;tblCommentary[[#This Row],[Seq_Day]])</f>
        <v/>
      </c>
    </row>
    <row r="2715">
      <c r="A2715" s="54" t="n"/>
      <c r="B2715" s="61" t="n"/>
      <c r="C2715" s="58" t="n"/>
      <c r="D2715" s="58" t="n"/>
      <c r="E2715" s="64">
        <f>IF(tblCommentary[[#This Row],[Date]]="","",COUNTIFS(INDEX(tblCommentary[Date],1):tblCommentary[[#This Row],[Date]],tblCommentary[[#This Row],[Date]]))</f>
        <v/>
      </c>
      <c r="F2715" s="63">
        <f>IF(tblCommentary[[#This Row],[Date]]="","",tblCommentary[[#This Row],[Date]]&amp;"|"&amp;tblCommentary[[#This Row],[Seq_Day]])</f>
        <v/>
      </c>
    </row>
    <row r="2716">
      <c r="A2716" s="54" t="n"/>
      <c r="B2716" s="61" t="n"/>
      <c r="C2716" s="58" t="n"/>
      <c r="D2716" s="58" t="n"/>
      <c r="E2716" s="64">
        <f>IF(tblCommentary[[#This Row],[Date]]="","",COUNTIFS(INDEX(tblCommentary[Date],1):tblCommentary[[#This Row],[Date]],tblCommentary[[#This Row],[Date]]))</f>
        <v/>
      </c>
      <c r="F2716" s="63">
        <f>IF(tblCommentary[[#This Row],[Date]]="","",tblCommentary[[#This Row],[Date]]&amp;"|"&amp;tblCommentary[[#This Row],[Seq_Day]])</f>
        <v/>
      </c>
    </row>
    <row r="2717">
      <c r="A2717" s="54" t="n"/>
      <c r="B2717" s="61" t="n"/>
      <c r="C2717" s="58" t="n"/>
      <c r="D2717" s="58" t="n"/>
      <c r="E2717" s="64">
        <f>IF(tblCommentary[[#This Row],[Date]]="","",COUNTIFS(INDEX(tblCommentary[Date],1):tblCommentary[[#This Row],[Date]],tblCommentary[[#This Row],[Date]]))</f>
        <v/>
      </c>
      <c r="F2717" s="63">
        <f>IF(tblCommentary[[#This Row],[Date]]="","",tblCommentary[[#This Row],[Date]]&amp;"|"&amp;tblCommentary[[#This Row],[Seq_Day]])</f>
        <v/>
      </c>
    </row>
    <row r="2718">
      <c r="A2718" s="54" t="n"/>
      <c r="B2718" s="61" t="n"/>
      <c r="C2718" s="58" t="n"/>
      <c r="D2718" s="58" t="n"/>
      <c r="E2718" s="64">
        <f>IF(tblCommentary[[#This Row],[Date]]="","",COUNTIFS(INDEX(tblCommentary[Date],1):tblCommentary[[#This Row],[Date]],tblCommentary[[#This Row],[Date]]))</f>
        <v/>
      </c>
      <c r="F2718" s="63">
        <f>IF(tblCommentary[[#This Row],[Date]]="","",tblCommentary[[#This Row],[Date]]&amp;"|"&amp;tblCommentary[[#This Row],[Seq_Day]])</f>
        <v/>
      </c>
    </row>
    <row r="2719">
      <c r="A2719" s="54" t="n"/>
      <c r="B2719" s="61" t="n"/>
      <c r="C2719" s="58" t="n"/>
      <c r="D2719" s="58" t="n"/>
      <c r="E2719" s="64">
        <f>IF(tblCommentary[[#This Row],[Date]]="","",COUNTIFS(INDEX(tblCommentary[Date],1):tblCommentary[[#This Row],[Date]],tblCommentary[[#This Row],[Date]]))</f>
        <v/>
      </c>
      <c r="F2719" s="63">
        <f>IF(tblCommentary[[#This Row],[Date]]="","",tblCommentary[[#This Row],[Date]]&amp;"|"&amp;tblCommentary[[#This Row],[Seq_Day]])</f>
        <v/>
      </c>
    </row>
    <row r="2720">
      <c r="A2720" s="54" t="n"/>
      <c r="B2720" s="61" t="n"/>
      <c r="C2720" s="58" t="n"/>
      <c r="D2720" s="58" t="n"/>
      <c r="E2720" s="64">
        <f>IF(tblCommentary[[#This Row],[Date]]="","",COUNTIFS(INDEX(tblCommentary[Date],1):tblCommentary[[#This Row],[Date]],tblCommentary[[#This Row],[Date]]))</f>
        <v/>
      </c>
      <c r="F2720" s="63">
        <f>IF(tblCommentary[[#This Row],[Date]]="","",tblCommentary[[#This Row],[Date]]&amp;"|"&amp;tblCommentary[[#This Row],[Seq_Day]])</f>
        <v/>
      </c>
    </row>
    <row r="2721">
      <c r="A2721" s="54" t="n"/>
      <c r="B2721" s="61" t="n"/>
      <c r="C2721" s="58" t="n"/>
      <c r="D2721" s="58" t="n"/>
      <c r="E2721" s="64">
        <f>IF(tblCommentary[[#This Row],[Date]]="","",COUNTIFS(INDEX(tblCommentary[Date],1):tblCommentary[[#This Row],[Date]],tblCommentary[[#This Row],[Date]]))</f>
        <v/>
      </c>
      <c r="F2721" s="63">
        <f>IF(tblCommentary[[#This Row],[Date]]="","",tblCommentary[[#This Row],[Date]]&amp;"|"&amp;tblCommentary[[#This Row],[Seq_Day]])</f>
        <v/>
      </c>
    </row>
    <row r="2722">
      <c r="A2722" s="54" t="n"/>
      <c r="B2722" s="61" t="n"/>
      <c r="C2722" s="58" t="n"/>
      <c r="D2722" s="58" t="n"/>
      <c r="E2722" s="64">
        <f>IF(tblCommentary[[#This Row],[Date]]="","",COUNTIFS(INDEX(tblCommentary[Date],1):tblCommentary[[#This Row],[Date]],tblCommentary[[#This Row],[Date]]))</f>
        <v/>
      </c>
      <c r="F2722" s="63">
        <f>IF(tblCommentary[[#This Row],[Date]]="","",tblCommentary[[#This Row],[Date]]&amp;"|"&amp;tblCommentary[[#This Row],[Seq_Day]])</f>
        <v/>
      </c>
    </row>
    <row r="2723">
      <c r="A2723" s="54" t="n"/>
      <c r="B2723" s="61" t="n"/>
      <c r="C2723" s="58" t="n"/>
      <c r="D2723" s="58" t="n"/>
      <c r="E2723" s="64">
        <f>IF(tblCommentary[[#This Row],[Date]]="","",COUNTIFS(INDEX(tblCommentary[Date],1):tblCommentary[[#This Row],[Date]],tblCommentary[[#This Row],[Date]]))</f>
        <v/>
      </c>
      <c r="F2723" s="63">
        <f>IF(tblCommentary[[#This Row],[Date]]="","",tblCommentary[[#This Row],[Date]]&amp;"|"&amp;tblCommentary[[#This Row],[Seq_Day]])</f>
        <v/>
      </c>
    </row>
    <row r="2724">
      <c r="A2724" s="54" t="n"/>
      <c r="B2724" s="61" t="n"/>
      <c r="C2724" s="58" t="n"/>
      <c r="D2724" s="58" t="n"/>
      <c r="E2724" s="64">
        <f>IF(tblCommentary[[#This Row],[Date]]="","",COUNTIFS(INDEX(tblCommentary[Date],1):tblCommentary[[#This Row],[Date]],tblCommentary[[#This Row],[Date]]))</f>
        <v/>
      </c>
      <c r="F2724" s="63">
        <f>IF(tblCommentary[[#This Row],[Date]]="","",tblCommentary[[#This Row],[Date]]&amp;"|"&amp;tblCommentary[[#This Row],[Seq_Day]])</f>
        <v/>
      </c>
    </row>
    <row r="2725">
      <c r="A2725" s="54" t="n"/>
      <c r="B2725" s="61" t="n"/>
      <c r="C2725" s="58" t="n"/>
      <c r="D2725" s="58" t="n"/>
      <c r="E2725" s="64">
        <f>IF(tblCommentary[[#This Row],[Date]]="","",COUNTIFS(INDEX(tblCommentary[Date],1):tblCommentary[[#This Row],[Date]],tblCommentary[[#This Row],[Date]]))</f>
        <v/>
      </c>
      <c r="F2725" s="63">
        <f>IF(tblCommentary[[#This Row],[Date]]="","",tblCommentary[[#This Row],[Date]]&amp;"|"&amp;tblCommentary[[#This Row],[Seq_Day]])</f>
        <v/>
      </c>
    </row>
    <row r="2726">
      <c r="A2726" s="54" t="n"/>
      <c r="B2726" s="61" t="n"/>
      <c r="C2726" s="58" t="n"/>
      <c r="D2726" s="58" t="n"/>
      <c r="E2726" s="64">
        <f>IF(tblCommentary[[#This Row],[Date]]="","",COUNTIFS(INDEX(tblCommentary[Date],1):tblCommentary[[#This Row],[Date]],tblCommentary[[#This Row],[Date]]))</f>
        <v/>
      </c>
      <c r="F2726" s="63">
        <f>IF(tblCommentary[[#This Row],[Date]]="","",tblCommentary[[#This Row],[Date]]&amp;"|"&amp;tblCommentary[[#This Row],[Seq_Day]])</f>
        <v/>
      </c>
    </row>
    <row r="2727">
      <c r="A2727" s="54" t="n"/>
      <c r="B2727" s="61" t="n"/>
      <c r="C2727" s="58" t="n"/>
      <c r="D2727" s="58" t="n"/>
      <c r="E2727" s="64">
        <f>IF(tblCommentary[[#This Row],[Date]]="","",COUNTIFS(INDEX(tblCommentary[Date],1):tblCommentary[[#This Row],[Date]],tblCommentary[[#This Row],[Date]]))</f>
        <v/>
      </c>
      <c r="F2727" s="63">
        <f>IF(tblCommentary[[#This Row],[Date]]="","",tblCommentary[[#This Row],[Date]]&amp;"|"&amp;tblCommentary[[#This Row],[Seq_Day]])</f>
        <v/>
      </c>
    </row>
    <row r="2728">
      <c r="A2728" s="54" t="n"/>
      <c r="B2728" s="61" t="n"/>
      <c r="C2728" s="58" t="n"/>
      <c r="D2728" s="58" t="n"/>
      <c r="E2728" s="64">
        <f>IF(tblCommentary[[#This Row],[Date]]="","",COUNTIFS(INDEX(tblCommentary[Date],1):tblCommentary[[#This Row],[Date]],tblCommentary[[#This Row],[Date]]))</f>
        <v/>
      </c>
      <c r="F2728" s="63">
        <f>IF(tblCommentary[[#This Row],[Date]]="","",tblCommentary[[#This Row],[Date]]&amp;"|"&amp;tblCommentary[[#This Row],[Seq_Day]])</f>
        <v/>
      </c>
    </row>
    <row r="2729">
      <c r="A2729" s="54" t="n"/>
      <c r="B2729" s="61" t="n"/>
      <c r="C2729" s="58" t="n"/>
      <c r="D2729" s="58" t="n"/>
      <c r="E2729" s="64">
        <f>IF(tblCommentary[[#This Row],[Date]]="","",COUNTIFS(INDEX(tblCommentary[Date],1):tblCommentary[[#This Row],[Date]],tblCommentary[[#This Row],[Date]]))</f>
        <v/>
      </c>
      <c r="F2729" s="63">
        <f>IF(tblCommentary[[#This Row],[Date]]="","",tblCommentary[[#This Row],[Date]]&amp;"|"&amp;tblCommentary[[#This Row],[Seq_Day]])</f>
        <v/>
      </c>
    </row>
    <row r="2730">
      <c r="A2730" s="54" t="n"/>
      <c r="B2730" s="61" t="n"/>
      <c r="C2730" s="58" t="n"/>
      <c r="D2730" s="58" t="n"/>
      <c r="E2730" s="64">
        <f>IF(tblCommentary[[#This Row],[Date]]="","",COUNTIFS(INDEX(tblCommentary[Date],1):tblCommentary[[#This Row],[Date]],tblCommentary[[#This Row],[Date]]))</f>
        <v/>
      </c>
      <c r="F2730" s="63">
        <f>IF(tblCommentary[[#This Row],[Date]]="","",tblCommentary[[#This Row],[Date]]&amp;"|"&amp;tblCommentary[[#This Row],[Seq_Day]])</f>
        <v/>
      </c>
    </row>
    <row r="2731">
      <c r="A2731" s="54" t="n"/>
      <c r="B2731" s="61" t="n"/>
      <c r="C2731" s="58" t="n"/>
      <c r="D2731" s="58" t="n"/>
      <c r="E2731" s="64">
        <f>IF(tblCommentary[[#This Row],[Date]]="","",COUNTIFS(INDEX(tblCommentary[Date],1):tblCommentary[[#This Row],[Date]],tblCommentary[[#This Row],[Date]]))</f>
        <v/>
      </c>
      <c r="F2731" s="63">
        <f>IF(tblCommentary[[#This Row],[Date]]="","",tblCommentary[[#This Row],[Date]]&amp;"|"&amp;tblCommentary[[#This Row],[Seq_Day]])</f>
        <v/>
      </c>
    </row>
    <row r="2732">
      <c r="A2732" s="54" t="n"/>
      <c r="B2732" s="61" t="n"/>
      <c r="C2732" s="58" t="n"/>
      <c r="D2732" s="58" t="n"/>
      <c r="E2732" s="64">
        <f>IF(tblCommentary[[#This Row],[Date]]="","",COUNTIFS(INDEX(tblCommentary[Date],1):tblCommentary[[#This Row],[Date]],tblCommentary[[#This Row],[Date]]))</f>
        <v/>
      </c>
      <c r="F2732" s="63">
        <f>IF(tblCommentary[[#This Row],[Date]]="","",tblCommentary[[#This Row],[Date]]&amp;"|"&amp;tblCommentary[[#This Row],[Seq_Day]])</f>
        <v/>
      </c>
    </row>
    <row r="2733">
      <c r="A2733" s="54" t="n"/>
      <c r="B2733" s="61" t="n"/>
      <c r="C2733" s="58" t="n"/>
      <c r="D2733" s="58" t="n"/>
      <c r="E2733" s="64">
        <f>IF(tblCommentary[[#This Row],[Date]]="","",COUNTIFS(INDEX(tblCommentary[Date],1):tblCommentary[[#This Row],[Date]],tblCommentary[[#This Row],[Date]]))</f>
        <v/>
      </c>
      <c r="F2733" s="63">
        <f>IF(tblCommentary[[#This Row],[Date]]="","",tblCommentary[[#This Row],[Date]]&amp;"|"&amp;tblCommentary[[#This Row],[Seq_Day]])</f>
        <v/>
      </c>
    </row>
    <row r="2734">
      <c r="A2734" s="54" t="n"/>
      <c r="B2734" s="61" t="n"/>
      <c r="C2734" s="58" t="n"/>
      <c r="D2734" s="58" t="n"/>
      <c r="E2734" s="64">
        <f>IF(tblCommentary[[#This Row],[Date]]="","",COUNTIFS(INDEX(tblCommentary[Date],1):tblCommentary[[#This Row],[Date]],tblCommentary[[#This Row],[Date]]))</f>
        <v/>
      </c>
      <c r="F2734" s="63">
        <f>IF(tblCommentary[[#This Row],[Date]]="","",tblCommentary[[#This Row],[Date]]&amp;"|"&amp;tblCommentary[[#This Row],[Seq_Day]])</f>
        <v/>
      </c>
    </row>
    <row r="2735">
      <c r="A2735" s="54" t="n"/>
      <c r="B2735" s="61" t="n"/>
      <c r="C2735" s="58" t="n"/>
      <c r="D2735" s="58" t="n"/>
      <c r="E2735" s="64">
        <f>IF(tblCommentary[[#This Row],[Date]]="","",COUNTIFS(INDEX(tblCommentary[Date],1):tblCommentary[[#This Row],[Date]],tblCommentary[[#This Row],[Date]]))</f>
        <v/>
      </c>
      <c r="F2735" s="63">
        <f>IF(tblCommentary[[#This Row],[Date]]="","",tblCommentary[[#This Row],[Date]]&amp;"|"&amp;tblCommentary[[#This Row],[Seq_Day]])</f>
        <v/>
      </c>
    </row>
    <row r="2736">
      <c r="A2736" s="54" t="n"/>
      <c r="B2736" s="61" t="n"/>
      <c r="C2736" s="58" t="n"/>
      <c r="D2736" s="58" t="n"/>
      <c r="E2736" s="64">
        <f>IF(tblCommentary[[#This Row],[Date]]="","",COUNTIFS(INDEX(tblCommentary[Date],1):tblCommentary[[#This Row],[Date]],tblCommentary[[#This Row],[Date]]))</f>
        <v/>
      </c>
      <c r="F2736" s="63">
        <f>IF(tblCommentary[[#This Row],[Date]]="","",tblCommentary[[#This Row],[Date]]&amp;"|"&amp;tblCommentary[[#This Row],[Seq_Day]])</f>
        <v/>
      </c>
    </row>
    <row r="2737">
      <c r="A2737" s="54" t="n"/>
      <c r="B2737" s="61" t="n"/>
      <c r="C2737" s="58" t="n"/>
      <c r="D2737" s="58" t="n"/>
      <c r="E2737" s="64">
        <f>IF(tblCommentary[[#This Row],[Date]]="","",COUNTIFS(INDEX(tblCommentary[Date],1):tblCommentary[[#This Row],[Date]],tblCommentary[[#This Row],[Date]]))</f>
        <v/>
      </c>
      <c r="F2737" s="63">
        <f>IF(tblCommentary[[#This Row],[Date]]="","",tblCommentary[[#This Row],[Date]]&amp;"|"&amp;tblCommentary[[#This Row],[Seq_Day]])</f>
        <v/>
      </c>
    </row>
    <row r="2738">
      <c r="A2738" s="54" t="n"/>
      <c r="B2738" s="61" t="n"/>
      <c r="C2738" s="58" t="n"/>
      <c r="D2738" s="58" t="n"/>
      <c r="E2738" s="64">
        <f>IF(tblCommentary[[#This Row],[Date]]="","",COUNTIFS(INDEX(tblCommentary[Date],1):tblCommentary[[#This Row],[Date]],tblCommentary[[#This Row],[Date]]))</f>
        <v/>
      </c>
      <c r="F2738" s="63">
        <f>IF(tblCommentary[[#This Row],[Date]]="","",tblCommentary[[#This Row],[Date]]&amp;"|"&amp;tblCommentary[[#This Row],[Seq_Day]])</f>
        <v/>
      </c>
    </row>
    <row r="2739">
      <c r="A2739" s="54" t="n"/>
      <c r="B2739" s="61" t="n"/>
      <c r="C2739" s="58" t="n"/>
      <c r="D2739" s="58" t="n"/>
      <c r="E2739" s="64">
        <f>IF(tblCommentary[[#This Row],[Date]]="","",COUNTIFS(INDEX(tblCommentary[Date],1):tblCommentary[[#This Row],[Date]],tblCommentary[[#This Row],[Date]]))</f>
        <v/>
      </c>
      <c r="F2739" s="63">
        <f>IF(tblCommentary[[#This Row],[Date]]="","",tblCommentary[[#This Row],[Date]]&amp;"|"&amp;tblCommentary[[#This Row],[Seq_Day]])</f>
        <v/>
      </c>
    </row>
    <row r="2740">
      <c r="A2740" s="54" t="n"/>
      <c r="B2740" s="61" t="n"/>
      <c r="C2740" s="58" t="n"/>
      <c r="D2740" s="58" t="n"/>
      <c r="E2740" s="64">
        <f>IF(tblCommentary[[#This Row],[Date]]="","",COUNTIFS(INDEX(tblCommentary[Date],1):tblCommentary[[#This Row],[Date]],tblCommentary[[#This Row],[Date]]))</f>
        <v/>
      </c>
      <c r="F2740" s="63">
        <f>IF(tblCommentary[[#This Row],[Date]]="","",tblCommentary[[#This Row],[Date]]&amp;"|"&amp;tblCommentary[[#This Row],[Seq_Day]])</f>
        <v/>
      </c>
    </row>
    <row r="2741">
      <c r="A2741" s="54" t="n"/>
      <c r="B2741" s="61" t="n"/>
      <c r="C2741" s="58" t="n"/>
      <c r="D2741" s="58" t="n"/>
      <c r="E2741" s="64">
        <f>IF(tblCommentary[[#This Row],[Date]]="","",COUNTIFS(INDEX(tblCommentary[Date],1):tblCommentary[[#This Row],[Date]],tblCommentary[[#This Row],[Date]]))</f>
        <v/>
      </c>
      <c r="F2741" s="63">
        <f>IF(tblCommentary[[#This Row],[Date]]="","",tblCommentary[[#This Row],[Date]]&amp;"|"&amp;tblCommentary[[#This Row],[Seq_Day]])</f>
        <v/>
      </c>
    </row>
    <row r="2742">
      <c r="A2742" s="54" t="n"/>
      <c r="B2742" s="61" t="n"/>
      <c r="C2742" s="58" t="n"/>
      <c r="D2742" s="58" t="n"/>
      <c r="E2742" s="64">
        <f>IF(tblCommentary[[#This Row],[Date]]="","",COUNTIFS(INDEX(tblCommentary[Date],1):tblCommentary[[#This Row],[Date]],tblCommentary[[#This Row],[Date]]))</f>
        <v/>
      </c>
      <c r="F2742" s="63">
        <f>IF(tblCommentary[[#This Row],[Date]]="","",tblCommentary[[#This Row],[Date]]&amp;"|"&amp;tblCommentary[[#This Row],[Seq_Day]])</f>
        <v/>
      </c>
    </row>
    <row r="2743">
      <c r="A2743" s="54" t="n"/>
      <c r="B2743" s="61" t="n"/>
      <c r="C2743" s="58" t="n"/>
      <c r="D2743" s="58" t="n"/>
      <c r="E2743" s="64">
        <f>IF(tblCommentary[[#This Row],[Date]]="","",COUNTIFS(INDEX(tblCommentary[Date],1):tblCommentary[[#This Row],[Date]],tblCommentary[[#This Row],[Date]]))</f>
        <v/>
      </c>
      <c r="F2743" s="63">
        <f>IF(tblCommentary[[#This Row],[Date]]="","",tblCommentary[[#This Row],[Date]]&amp;"|"&amp;tblCommentary[[#This Row],[Seq_Day]])</f>
        <v/>
      </c>
    </row>
    <row r="2744">
      <c r="A2744" s="54" t="n"/>
      <c r="B2744" s="61" t="n"/>
      <c r="C2744" s="58" t="n"/>
      <c r="D2744" s="58" t="n"/>
      <c r="E2744" s="64">
        <f>IF(tblCommentary[[#This Row],[Date]]="","",COUNTIFS(INDEX(tblCommentary[Date],1):tblCommentary[[#This Row],[Date]],tblCommentary[[#This Row],[Date]]))</f>
        <v/>
      </c>
      <c r="F2744" s="63">
        <f>IF(tblCommentary[[#This Row],[Date]]="","",tblCommentary[[#This Row],[Date]]&amp;"|"&amp;tblCommentary[[#This Row],[Seq_Day]])</f>
        <v/>
      </c>
    </row>
    <row r="2745">
      <c r="A2745" s="54" t="n"/>
      <c r="B2745" s="61" t="n"/>
      <c r="C2745" s="58" t="n"/>
      <c r="D2745" s="58" t="n"/>
      <c r="E2745" s="64">
        <f>IF(tblCommentary[[#This Row],[Date]]="","",COUNTIFS(INDEX(tblCommentary[Date],1):tblCommentary[[#This Row],[Date]],tblCommentary[[#This Row],[Date]]))</f>
        <v/>
      </c>
      <c r="F2745" s="63">
        <f>IF(tblCommentary[[#This Row],[Date]]="","",tblCommentary[[#This Row],[Date]]&amp;"|"&amp;tblCommentary[[#This Row],[Seq_Day]])</f>
        <v/>
      </c>
    </row>
    <row r="2746">
      <c r="A2746" s="54" t="n"/>
      <c r="B2746" s="61" t="n"/>
      <c r="C2746" s="58" t="n"/>
      <c r="D2746" s="58" t="n"/>
      <c r="E2746" s="64">
        <f>IF(tblCommentary[[#This Row],[Date]]="","",COUNTIFS(INDEX(tblCommentary[Date],1):tblCommentary[[#This Row],[Date]],tblCommentary[[#This Row],[Date]]))</f>
        <v/>
      </c>
      <c r="F2746" s="63">
        <f>IF(tblCommentary[[#This Row],[Date]]="","",tblCommentary[[#This Row],[Date]]&amp;"|"&amp;tblCommentary[[#This Row],[Seq_Day]])</f>
        <v/>
      </c>
    </row>
    <row r="2747">
      <c r="A2747" s="54" t="n"/>
      <c r="B2747" s="61" t="n"/>
      <c r="C2747" s="58" t="n"/>
      <c r="D2747" s="58" t="n"/>
      <c r="E2747" s="64">
        <f>IF(tblCommentary[[#This Row],[Date]]="","",COUNTIFS(INDEX(tblCommentary[Date],1):tblCommentary[[#This Row],[Date]],tblCommentary[[#This Row],[Date]]))</f>
        <v/>
      </c>
      <c r="F2747" s="63">
        <f>IF(tblCommentary[[#This Row],[Date]]="","",tblCommentary[[#This Row],[Date]]&amp;"|"&amp;tblCommentary[[#This Row],[Seq_Day]])</f>
        <v/>
      </c>
    </row>
    <row r="2748">
      <c r="A2748" s="54" t="n"/>
      <c r="B2748" s="61" t="n"/>
      <c r="C2748" s="58" t="n"/>
      <c r="D2748" s="58" t="n"/>
      <c r="E2748" s="64">
        <f>IF(tblCommentary[[#This Row],[Date]]="","",COUNTIFS(INDEX(tblCommentary[Date],1):tblCommentary[[#This Row],[Date]],tblCommentary[[#This Row],[Date]]))</f>
        <v/>
      </c>
      <c r="F2748" s="63">
        <f>IF(tblCommentary[[#This Row],[Date]]="","",tblCommentary[[#This Row],[Date]]&amp;"|"&amp;tblCommentary[[#This Row],[Seq_Day]])</f>
        <v/>
      </c>
    </row>
    <row r="2749">
      <c r="A2749" s="54" t="n"/>
      <c r="B2749" s="61" t="n"/>
      <c r="C2749" s="58" t="n"/>
      <c r="D2749" s="58" t="n"/>
      <c r="E2749" s="64">
        <f>IF(tblCommentary[[#This Row],[Date]]="","",COUNTIFS(INDEX(tblCommentary[Date],1):tblCommentary[[#This Row],[Date]],tblCommentary[[#This Row],[Date]]))</f>
        <v/>
      </c>
      <c r="F2749" s="63">
        <f>IF(tblCommentary[[#This Row],[Date]]="","",tblCommentary[[#This Row],[Date]]&amp;"|"&amp;tblCommentary[[#This Row],[Seq_Day]])</f>
        <v/>
      </c>
    </row>
    <row r="2750">
      <c r="A2750" s="54" t="n"/>
      <c r="B2750" s="61" t="n"/>
      <c r="C2750" s="58" t="n"/>
      <c r="D2750" s="58" t="n"/>
      <c r="E2750" s="64">
        <f>IF(tblCommentary[[#This Row],[Date]]="","",COUNTIFS(INDEX(tblCommentary[Date],1):tblCommentary[[#This Row],[Date]],tblCommentary[[#This Row],[Date]]))</f>
        <v/>
      </c>
      <c r="F2750" s="63">
        <f>IF(tblCommentary[[#This Row],[Date]]="","",tblCommentary[[#This Row],[Date]]&amp;"|"&amp;tblCommentary[[#This Row],[Seq_Day]])</f>
        <v/>
      </c>
    </row>
    <row r="2751">
      <c r="A2751" s="54" t="n"/>
      <c r="B2751" s="61" t="n"/>
      <c r="C2751" s="58" t="n"/>
      <c r="D2751" s="58" t="n"/>
      <c r="E2751" s="64">
        <f>IF(tblCommentary[[#This Row],[Date]]="","",COUNTIFS(INDEX(tblCommentary[Date],1):tblCommentary[[#This Row],[Date]],tblCommentary[[#This Row],[Date]]))</f>
        <v/>
      </c>
      <c r="F2751" s="63">
        <f>IF(tblCommentary[[#This Row],[Date]]="","",tblCommentary[[#This Row],[Date]]&amp;"|"&amp;tblCommentary[[#This Row],[Seq_Day]])</f>
        <v/>
      </c>
    </row>
    <row r="2752">
      <c r="A2752" s="54" t="n"/>
      <c r="B2752" s="61" t="n"/>
      <c r="C2752" s="58" t="n"/>
      <c r="D2752" s="58" t="n"/>
      <c r="E2752" s="64">
        <f>IF(tblCommentary[[#This Row],[Date]]="","",COUNTIFS(INDEX(tblCommentary[Date],1):tblCommentary[[#This Row],[Date]],tblCommentary[[#This Row],[Date]]))</f>
        <v/>
      </c>
      <c r="F2752" s="63">
        <f>IF(tblCommentary[[#This Row],[Date]]="","",tblCommentary[[#This Row],[Date]]&amp;"|"&amp;tblCommentary[[#This Row],[Seq_Day]])</f>
        <v/>
      </c>
    </row>
    <row r="2753">
      <c r="A2753" s="54" t="n"/>
      <c r="B2753" s="61" t="n"/>
      <c r="C2753" s="58" t="n"/>
      <c r="D2753" s="58" t="n"/>
      <c r="E2753" s="64">
        <f>IF(tblCommentary[[#This Row],[Date]]="","",COUNTIFS(INDEX(tblCommentary[Date],1):tblCommentary[[#This Row],[Date]],tblCommentary[[#This Row],[Date]]))</f>
        <v/>
      </c>
      <c r="F2753" s="63">
        <f>IF(tblCommentary[[#This Row],[Date]]="","",tblCommentary[[#This Row],[Date]]&amp;"|"&amp;tblCommentary[[#This Row],[Seq_Day]])</f>
        <v/>
      </c>
    </row>
    <row r="2754">
      <c r="A2754" s="54" t="n"/>
      <c r="B2754" s="61" t="n"/>
      <c r="C2754" s="58" t="n"/>
      <c r="D2754" s="58" t="n"/>
      <c r="E2754" s="64">
        <f>IF(tblCommentary[[#This Row],[Date]]="","",COUNTIFS(INDEX(tblCommentary[Date],1):tblCommentary[[#This Row],[Date]],tblCommentary[[#This Row],[Date]]))</f>
        <v/>
      </c>
      <c r="F2754" s="63">
        <f>IF(tblCommentary[[#This Row],[Date]]="","",tblCommentary[[#This Row],[Date]]&amp;"|"&amp;tblCommentary[[#This Row],[Seq_Day]])</f>
        <v/>
      </c>
    </row>
    <row r="2755">
      <c r="A2755" s="54" t="n"/>
      <c r="B2755" s="61" t="n"/>
      <c r="C2755" s="58" t="n"/>
      <c r="D2755" s="58" t="n"/>
      <c r="E2755" s="64">
        <f>IF(tblCommentary[[#This Row],[Date]]="","",COUNTIFS(INDEX(tblCommentary[Date],1):tblCommentary[[#This Row],[Date]],tblCommentary[[#This Row],[Date]]))</f>
        <v/>
      </c>
      <c r="F2755" s="63">
        <f>IF(tblCommentary[[#This Row],[Date]]="","",tblCommentary[[#This Row],[Date]]&amp;"|"&amp;tblCommentary[[#This Row],[Seq_Day]])</f>
        <v/>
      </c>
    </row>
    <row r="2756">
      <c r="A2756" s="54" t="n"/>
      <c r="B2756" s="61" t="n"/>
      <c r="C2756" s="58" t="n"/>
      <c r="D2756" s="58" t="n"/>
      <c r="E2756" s="64">
        <f>IF(tblCommentary[[#This Row],[Date]]="","",COUNTIFS(INDEX(tblCommentary[Date],1):tblCommentary[[#This Row],[Date]],tblCommentary[[#This Row],[Date]]))</f>
        <v/>
      </c>
      <c r="F2756" s="63">
        <f>IF(tblCommentary[[#This Row],[Date]]="","",tblCommentary[[#This Row],[Date]]&amp;"|"&amp;tblCommentary[[#This Row],[Seq_Day]])</f>
        <v/>
      </c>
    </row>
    <row r="2757">
      <c r="A2757" s="54" t="n"/>
      <c r="B2757" s="61" t="n"/>
      <c r="C2757" s="58" t="n"/>
      <c r="D2757" s="58" t="n"/>
      <c r="E2757" s="64">
        <f>IF(tblCommentary[[#This Row],[Date]]="","",COUNTIFS(INDEX(tblCommentary[Date],1):tblCommentary[[#This Row],[Date]],tblCommentary[[#This Row],[Date]]))</f>
        <v/>
      </c>
      <c r="F2757" s="63">
        <f>IF(tblCommentary[[#This Row],[Date]]="","",tblCommentary[[#This Row],[Date]]&amp;"|"&amp;tblCommentary[[#This Row],[Seq_Day]])</f>
        <v/>
      </c>
    </row>
    <row r="2758">
      <c r="A2758" s="54" t="n"/>
      <c r="B2758" s="61" t="n"/>
      <c r="C2758" s="58" t="n"/>
      <c r="D2758" s="58" t="n"/>
      <c r="E2758" s="64">
        <f>IF(tblCommentary[[#This Row],[Date]]="","",COUNTIFS(INDEX(tblCommentary[Date],1):tblCommentary[[#This Row],[Date]],tblCommentary[[#This Row],[Date]]))</f>
        <v/>
      </c>
      <c r="F2758" s="63">
        <f>IF(tblCommentary[[#This Row],[Date]]="","",tblCommentary[[#This Row],[Date]]&amp;"|"&amp;tblCommentary[[#This Row],[Seq_Day]])</f>
        <v/>
      </c>
    </row>
    <row r="2759">
      <c r="A2759" s="54" t="n"/>
      <c r="B2759" s="61" t="n"/>
      <c r="C2759" s="58" t="n"/>
      <c r="D2759" s="58" t="n"/>
      <c r="E2759" s="64">
        <f>IF(tblCommentary[[#This Row],[Date]]="","",COUNTIFS(INDEX(tblCommentary[Date],1):tblCommentary[[#This Row],[Date]],tblCommentary[[#This Row],[Date]]))</f>
        <v/>
      </c>
      <c r="F2759" s="63">
        <f>IF(tblCommentary[[#This Row],[Date]]="","",tblCommentary[[#This Row],[Date]]&amp;"|"&amp;tblCommentary[[#This Row],[Seq_Day]])</f>
        <v/>
      </c>
    </row>
    <row r="2760">
      <c r="A2760" s="54" t="n"/>
      <c r="B2760" s="61" t="n"/>
      <c r="C2760" s="58" t="n"/>
      <c r="D2760" s="58" t="n"/>
      <c r="E2760" s="64">
        <f>IF(tblCommentary[[#This Row],[Date]]="","",COUNTIFS(INDEX(tblCommentary[Date],1):tblCommentary[[#This Row],[Date]],tblCommentary[[#This Row],[Date]]))</f>
        <v/>
      </c>
      <c r="F2760" s="63">
        <f>IF(tblCommentary[[#This Row],[Date]]="","",tblCommentary[[#This Row],[Date]]&amp;"|"&amp;tblCommentary[[#This Row],[Seq_Day]])</f>
        <v/>
      </c>
    </row>
    <row r="2761">
      <c r="A2761" s="54" t="n"/>
      <c r="B2761" s="61" t="n"/>
      <c r="C2761" s="58" t="n"/>
      <c r="D2761" s="58" t="n"/>
      <c r="E2761" s="64">
        <f>IF(tblCommentary[[#This Row],[Date]]="","",COUNTIFS(INDEX(tblCommentary[Date],1):tblCommentary[[#This Row],[Date]],tblCommentary[[#This Row],[Date]]))</f>
        <v/>
      </c>
      <c r="F2761" s="63">
        <f>IF(tblCommentary[[#This Row],[Date]]="","",tblCommentary[[#This Row],[Date]]&amp;"|"&amp;tblCommentary[[#This Row],[Seq_Day]])</f>
        <v/>
      </c>
    </row>
    <row r="2762">
      <c r="A2762" s="54" t="n"/>
      <c r="B2762" s="61" t="n"/>
      <c r="C2762" s="58" t="n"/>
      <c r="D2762" s="58" t="n"/>
      <c r="E2762" s="64">
        <f>IF(tblCommentary[[#This Row],[Date]]="","",COUNTIFS(INDEX(tblCommentary[Date],1):tblCommentary[[#This Row],[Date]],tblCommentary[[#This Row],[Date]]))</f>
        <v/>
      </c>
      <c r="F2762" s="63">
        <f>IF(tblCommentary[[#This Row],[Date]]="","",tblCommentary[[#This Row],[Date]]&amp;"|"&amp;tblCommentary[[#This Row],[Seq_Day]])</f>
        <v/>
      </c>
    </row>
    <row r="2763">
      <c r="A2763" s="54" t="n"/>
      <c r="B2763" s="61" t="n"/>
      <c r="C2763" s="58" t="n"/>
      <c r="D2763" s="58" t="n"/>
      <c r="E2763" s="64">
        <f>IF(tblCommentary[[#This Row],[Date]]="","",COUNTIFS(INDEX(tblCommentary[Date],1):tblCommentary[[#This Row],[Date]],tblCommentary[[#This Row],[Date]]))</f>
        <v/>
      </c>
      <c r="F2763" s="63">
        <f>IF(tblCommentary[[#This Row],[Date]]="","",tblCommentary[[#This Row],[Date]]&amp;"|"&amp;tblCommentary[[#This Row],[Seq_Day]])</f>
        <v/>
      </c>
    </row>
    <row r="2764">
      <c r="A2764" s="54" t="n"/>
      <c r="B2764" s="61" t="n"/>
      <c r="C2764" s="58" t="n"/>
      <c r="D2764" s="58" t="n"/>
      <c r="E2764" s="64">
        <f>IF(tblCommentary[[#This Row],[Date]]="","",COUNTIFS(INDEX(tblCommentary[Date],1):tblCommentary[[#This Row],[Date]],tblCommentary[[#This Row],[Date]]))</f>
        <v/>
      </c>
      <c r="F2764" s="63">
        <f>IF(tblCommentary[[#This Row],[Date]]="","",tblCommentary[[#This Row],[Date]]&amp;"|"&amp;tblCommentary[[#This Row],[Seq_Day]])</f>
        <v/>
      </c>
    </row>
    <row r="2765">
      <c r="A2765" s="54" t="n"/>
      <c r="B2765" s="61" t="n"/>
      <c r="C2765" s="58" t="n"/>
      <c r="D2765" s="58" t="n"/>
      <c r="E2765" s="64">
        <f>IF(tblCommentary[[#This Row],[Date]]="","",COUNTIFS(INDEX(tblCommentary[Date],1):tblCommentary[[#This Row],[Date]],tblCommentary[[#This Row],[Date]]))</f>
        <v/>
      </c>
      <c r="F2765" s="63">
        <f>IF(tblCommentary[[#This Row],[Date]]="","",tblCommentary[[#This Row],[Date]]&amp;"|"&amp;tblCommentary[[#This Row],[Seq_Day]])</f>
        <v/>
      </c>
    </row>
    <row r="2766">
      <c r="A2766" s="54" t="n"/>
      <c r="B2766" s="61" t="n"/>
      <c r="C2766" s="58" t="n"/>
      <c r="D2766" s="58" t="n"/>
      <c r="E2766" s="64">
        <f>IF(tblCommentary[[#This Row],[Date]]="","",COUNTIFS(INDEX(tblCommentary[Date],1):tblCommentary[[#This Row],[Date]],tblCommentary[[#This Row],[Date]]))</f>
        <v/>
      </c>
      <c r="F2766" s="63">
        <f>IF(tblCommentary[[#This Row],[Date]]="","",tblCommentary[[#This Row],[Date]]&amp;"|"&amp;tblCommentary[[#This Row],[Seq_Day]])</f>
        <v/>
      </c>
    </row>
    <row r="2767">
      <c r="A2767" s="54" t="n"/>
      <c r="B2767" s="61" t="n"/>
      <c r="C2767" s="58" t="n"/>
      <c r="D2767" s="58" t="n"/>
      <c r="E2767" s="64">
        <f>IF(tblCommentary[[#This Row],[Date]]="","",COUNTIFS(INDEX(tblCommentary[Date],1):tblCommentary[[#This Row],[Date]],tblCommentary[[#This Row],[Date]]))</f>
        <v/>
      </c>
      <c r="F2767" s="63">
        <f>IF(tblCommentary[[#This Row],[Date]]="","",tblCommentary[[#This Row],[Date]]&amp;"|"&amp;tblCommentary[[#This Row],[Seq_Day]])</f>
        <v/>
      </c>
    </row>
    <row r="2768">
      <c r="A2768" s="54" t="n"/>
      <c r="B2768" s="61" t="n"/>
      <c r="C2768" s="58" t="n"/>
      <c r="D2768" s="58" t="n"/>
      <c r="E2768" s="64">
        <f>IF(tblCommentary[[#This Row],[Date]]="","",COUNTIFS(INDEX(tblCommentary[Date],1):tblCommentary[[#This Row],[Date]],tblCommentary[[#This Row],[Date]]))</f>
        <v/>
      </c>
      <c r="F2768" s="63">
        <f>IF(tblCommentary[[#This Row],[Date]]="","",tblCommentary[[#This Row],[Date]]&amp;"|"&amp;tblCommentary[[#This Row],[Seq_Day]])</f>
        <v/>
      </c>
    </row>
    <row r="2769">
      <c r="A2769" s="54" t="n"/>
      <c r="B2769" s="61" t="n"/>
      <c r="C2769" s="58" t="n"/>
      <c r="D2769" s="58" t="n"/>
      <c r="E2769" s="64">
        <f>IF(tblCommentary[[#This Row],[Date]]="","",COUNTIFS(INDEX(tblCommentary[Date],1):tblCommentary[[#This Row],[Date]],tblCommentary[[#This Row],[Date]]))</f>
        <v/>
      </c>
      <c r="F2769" s="63">
        <f>IF(tblCommentary[[#This Row],[Date]]="","",tblCommentary[[#This Row],[Date]]&amp;"|"&amp;tblCommentary[[#This Row],[Seq_Day]])</f>
        <v/>
      </c>
    </row>
    <row r="2770">
      <c r="A2770" s="54" t="n"/>
      <c r="B2770" s="61" t="n"/>
      <c r="C2770" s="58" t="n"/>
      <c r="D2770" s="58" t="n"/>
      <c r="E2770" s="64">
        <f>IF(tblCommentary[[#This Row],[Date]]="","",COUNTIFS(INDEX(tblCommentary[Date],1):tblCommentary[[#This Row],[Date]],tblCommentary[[#This Row],[Date]]))</f>
        <v/>
      </c>
      <c r="F2770" s="63">
        <f>IF(tblCommentary[[#This Row],[Date]]="","",tblCommentary[[#This Row],[Date]]&amp;"|"&amp;tblCommentary[[#This Row],[Seq_Day]])</f>
        <v/>
      </c>
    </row>
    <row r="2771">
      <c r="A2771" s="54" t="n"/>
      <c r="B2771" s="61" t="n"/>
      <c r="C2771" s="58" t="n"/>
      <c r="D2771" s="58" t="n"/>
      <c r="E2771" s="64">
        <f>IF(tblCommentary[[#This Row],[Date]]="","",COUNTIFS(INDEX(tblCommentary[Date],1):tblCommentary[[#This Row],[Date]],tblCommentary[[#This Row],[Date]]))</f>
        <v/>
      </c>
      <c r="F2771" s="63">
        <f>IF(tblCommentary[[#This Row],[Date]]="","",tblCommentary[[#This Row],[Date]]&amp;"|"&amp;tblCommentary[[#This Row],[Seq_Day]])</f>
        <v/>
      </c>
    </row>
    <row r="2772">
      <c r="A2772" s="54" t="n"/>
      <c r="B2772" s="61" t="n"/>
      <c r="C2772" s="58" t="n"/>
      <c r="D2772" s="58" t="n"/>
      <c r="E2772" s="64">
        <f>IF(tblCommentary[[#This Row],[Date]]="","",COUNTIFS(INDEX(tblCommentary[Date],1):tblCommentary[[#This Row],[Date]],tblCommentary[[#This Row],[Date]]))</f>
        <v/>
      </c>
      <c r="F2772" s="63">
        <f>IF(tblCommentary[[#This Row],[Date]]="","",tblCommentary[[#This Row],[Date]]&amp;"|"&amp;tblCommentary[[#This Row],[Seq_Day]])</f>
        <v/>
      </c>
    </row>
    <row r="2773">
      <c r="A2773" s="54" t="n"/>
      <c r="B2773" s="61" t="n"/>
      <c r="C2773" s="58" t="n"/>
      <c r="D2773" s="58" t="n"/>
      <c r="E2773" s="64">
        <f>IF(tblCommentary[[#This Row],[Date]]="","",COUNTIFS(INDEX(tblCommentary[Date],1):tblCommentary[[#This Row],[Date]],tblCommentary[[#This Row],[Date]]))</f>
        <v/>
      </c>
      <c r="F2773" s="63">
        <f>IF(tblCommentary[[#This Row],[Date]]="","",tblCommentary[[#This Row],[Date]]&amp;"|"&amp;tblCommentary[[#This Row],[Seq_Day]])</f>
        <v/>
      </c>
    </row>
    <row r="2774">
      <c r="A2774" s="54" t="n"/>
      <c r="B2774" s="61" t="n"/>
      <c r="C2774" s="58" t="n"/>
      <c r="D2774" s="58" t="n"/>
      <c r="E2774" s="64">
        <f>IF(tblCommentary[[#This Row],[Date]]="","",COUNTIFS(INDEX(tblCommentary[Date],1):tblCommentary[[#This Row],[Date]],tblCommentary[[#This Row],[Date]]))</f>
        <v/>
      </c>
      <c r="F2774" s="63">
        <f>IF(tblCommentary[[#This Row],[Date]]="","",tblCommentary[[#This Row],[Date]]&amp;"|"&amp;tblCommentary[[#This Row],[Seq_Day]])</f>
        <v/>
      </c>
    </row>
    <row r="2775">
      <c r="A2775" s="54" t="n"/>
      <c r="B2775" s="61" t="n"/>
      <c r="C2775" s="58" t="n"/>
      <c r="D2775" s="58" t="n"/>
      <c r="E2775" s="64">
        <f>IF(tblCommentary[[#This Row],[Date]]="","",COUNTIFS(INDEX(tblCommentary[Date],1):tblCommentary[[#This Row],[Date]],tblCommentary[[#This Row],[Date]]))</f>
        <v/>
      </c>
      <c r="F2775" s="63">
        <f>IF(tblCommentary[[#This Row],[Date]]="","",tblCommentary[[#This Row],[Date]]&amp;"|"&amp;tblCommentary[[#This Row],[Seq_Day]])</f>
        <v/>
      </c>
    </row>
    <row r="2776">
      <c r="A2776" s="54" t="n"/>
      <c r="B2776" s="61" t="n"/>
      <c r="C2776" s="58" t="n"/>
      <c r="D2776" s="58" t="n"/>
      <c r="E2776" s="64">
        <f>IF(tblCommentary[[#This Row],[Date]]="","",COUNTIFS(INDEX(tblCommentary[Date],1):tblCommentary[[#This Row],[Date]],tblCommentary[[#This Row],[Date]]))</f>
        <v/>
      </c>
      <c r="F2776" s="63">
        <f>IF(tblCommentary[[#This Row],[Date]]="","",tblCommentary[[#This Row],[Date]]&amp;"|"&amp;tblCommentary[[#This Row],[Seq_Day]])</f>
        <v/>
      </c>
    </row>
    <row r="2777">
      <c r="A2777" s="54" t="n"/>
      <c r="B2777" s="61" t="n"/>
      <c r="C2777" s="58" t="n"/>
      <c r="D2777" s="58" t="n"/>
      <c r="E2777" s="64">
        <f>IF(tblCommentary[[#This Row],[Date]]="","",COUNTIFS(INDEX(tblCommentary[Date],1):tblCommentary[[#This Row],[Date]],tblCommentary[[#This Row],[Date]]))</f>
        <v/>
      </c>
      <c r="F2777" s="63">
        <f>IF(tblCommentary[[#This Row],[Date]]="","",tblCommentary[[#This Row],[Date]]&amp;"|"&amp;tblCommentary[[#This Row],[Seq_Day]])</f>
        <v/>
      </c>
    </row>
    <row r="2778">
      <c r="A2778" s="54" t="n"/>
      <c r="B2778" s="61" t="n"/>
      <c r="C2778" s="58" t="n"/>
      <c r="D2778" s="58" t="n"/>
      <c r="E2778" s="64">
        <f>IF(tblCommentary[[#This Row],[Date]]="","",COUNTIFS(INDEX(tblCommentary[Date],1):tblCommentary[[#This Row],[Date]],tblCommentary[[#This Row],[Date]]))</f>
        <v/>
      </c>
      <c r="F2778" s="63">
        <f>IF(tblCommentary[[#This Row],[Date]]="","",tblCommentary[[#This Row],[Date]]&amp;"|"&amp;tblCommentary[[#This Row],[Seq_Day]])</f>
        <v/>
      </c>
    </row>
    <row r="2779">
      <c r="A2779" s="54" t="n"/>
      <c r="B2779" s="61" t="n"/>
      <c r="C2779" s="58" t="n"/>
      <c r="D2779" s="58" t="n"/>
      <c r="E2779" s="64">
        <f>IF(tblCommentary[[#This Row],[Date]]="","",COUNTIFS(INDEX(tblCommentary[Date],1):tblCommentary[[#This Row],[Date]],tblCommentary[[#This Row],[Date]]))</f>
        <v/>
      </c>
      <c r="F2779" s="63">
        <f>IF(tblCommentary[[#This Row],[Date]]="","",tblCommentary[[#This Row],[Date]]&amp;"|"&amp;tblCommentary[[#This Row],[Seq_Day]])</f>
        <v/>
      </c>
    </row>
    <row r="2780">
      <c r="A2780" s="54" t="n"/>
      <c r="B2780" s="61" t="n"/>
      <c r="C2780" s="58" t="n"/>
      <c r="D2780" s="58" t="n"/>
      <c r="E2780" s="64">
        <f>IF(tblCommentary[[#This Row],[Date]]="","",COUNTIFS(INDEX(tblCommentary[Date],1):tblCommentary[[#This Row],[Date]],tblCommentary[[#This Row],[Date]]))</f>
        <v/>
      </c>
      <c r="F2780" s="63">
        <f>IF(tblCommentary[[#This Row],[Date]]="","",tblCommentary[[#This Row],[Date]]&amp;"|"&amp;tblCommentary[[#This Row],[Seq_Day]])</f>
        <v/>
      </c>
    </row>
    <row r="2781">
      <c r="A2781" s="54" t="n"/>
      <c r="B2781" s="61" t="n"/>
      <c r="C2781" s="58" t="n"/>
      <c r="D2781" s="58" t="n"/>
      <c r="E2781" s="64">
        <f>IF(tblCommentary[[#This Row],[Date]]="","",COUNTIFS(INDEX(tblCommentary[Date],1):tblCommentary[[#This Row],[Date]],tblCommentary[[#This Row],[Date]]))</f>
        <v/>
      </c>
      <c r="F2781" s="63">
        <f>IF(tblCommentary[[#This Row],[Date]]="","",tblCommentary[[#This Row],[Date]]&amp;"|"&amp;tblCommentary[[#This Row],[Seq_Day]])</f>
        <v/>
      </c>
    </row>
    <row r="2782">
      <c r="A2782" s="54" t="n"/>
      <c r="B2782" s="61" t="n"/>
      <c r="C2782" s="58" t="n"/>
      <c r="D2782" s="58" t="n"/>
      <c r="E2782" s="64">
        <f>IF(tblCommentary[[#This Row],[Date]]="","",COUNTIFS(INDEX(tblCommentary[Date],1):tblCommentary[[#This Row],[Date]],tblCommentary[[#This Row],[Date]]))</f>
        <v/>
      </c>
      <c r="F2782" s="63">
        <f>IF(tblCommentary[[#This Row],[Date]]="","",tblCommentary[[#This Row],[Date]]&amp;"|"&amp;tblCommentary[[#This Row],[Seq_Day]])</f>
        <v/>
      </c>
    </row>
    <row r="2783">
      <c r="A2783" s="54" t="n"/>
      <c r="B2783" s="61" t="n"/>
      <c r="C2783" s="58" t="n"/>
      <c r="D2783" s="58" t="n"/>
      <c r="E2783" s="64">
        <f>IF(tblCommentary[[#This Row],[Date]]="","",COUNTIFS(INDEX(tblCommentary[Date],1):tblCommentary[[#This Row],[Date]],tblCommentary[[#This Row],[Date]]))</f>
        <v/>
      </c>
      <c r="F2783" s="63">
        <f>IF(tblCommentary[[#This Row],[Date]]="","",tblCommentary[[#This Row],[Date]]&amp;"|"&amp;tblCommentary[[#This Row],[Seq_Day]])</f>
        <v/>
      </c>
    </row>
    <row r="2784">
      <c r="A2784" s="54" t="n"/>
      <c r="B2784" s="61" t="n"/>
      <c r="C2784" s="58" t="n"/>
      <c r="D2784" s="58" t="n"/>
      <c r="E2784" s="64">
        <f>IF(tblCommentary[[#This Row],[Date]]="","",COUNTIFS(INDEX(tblCommentary[Date],1):tblCommentary[[#This Row],[Date]],tblCommentary[[#This Row],[Date]]))</f>
        <v/>
      </c>
      <c r="F2784" s="63">
        <f>IF(tblCommentary[[#This Row],[Date]]="","",tblCommentary[[#This Row],[Date]]&amp;"|"&amp;tblCommentary[[#This Row],[Seq_Day]])</f>
        <v/>
      </c>
    </row>
    <row r="2785">
      <c r="A2785" s="54" t="n"/>
      <c r="B2785" s="61" t="n"/>
      <c r="C2785" s="58" t="n"/>
      <c r="D2785" s="58" t="n"/>
      <c r="E2785" s="64">
        <f>IF(tblCommentary[[#This Row],[Date]]="","",COUNTIFS(INDEX(tblCommentary[Date],1):tblCommentary[[#This Row],[Date]],tblCommentary[[#This Row],[Date]]))</f>
        <v/>
      </c>
      <c r="F2785" s="63">
        <f>IF(tblCommentary[[#This Row],[Date]]="","",tblCommentary[[#This Row],[Date]]&amp;"|"&amp;tblCommentary[[#This Row],[Seq_Day]])</f>
        <v/>
      </c>
    </row>
    <row r="2786">
      <c r="A2786" s="54" t="n"/>
      <c r="B2786" s="61" t="n"/>
      <c r="C2786" s="58" t="n"/>
      <c r="D2786" s="58" t="n"/>
      <c r="E2786" s="64">
        <f>IF(tblCommentary[[#This Row],[Date]]="","",COUNTIFS(INDEX(tblCommentary[Date],1):tblCommentary[[#This Row],[Date]],tblCommentary[[#This Row],[Date]]))</f>
        <v/>
      </c>
      <c r="F2786" s="63">
        <f>IF(tblCommentary[[#This Row],[Date]]="","",tblCommentary[[#This Row],[Date]]&amp;"|"&amp;tblCommentary[[#This Row],[Seq_Day]])</f>
        <v/>
      </c>
    </row>
    <row r="2787">
      <c r="A2787" s="54" t="n"/>
      <c r="B2787" s="61" t="n"/>
      <c r="C2787" s="58" t="n"/>
      <c r="D2787" s="58" t="n"/>
      <c r="E2787" s="64">
        <f>IF(tblCommentary[[#This Row],[Date]]="","",COUNTIFS(INDEX(tblCommentary[Date],1):tblCommentary[[#This Row],[Date]],tblCommentary[[#This Row],[Date]]))</f>
        <v/>
      </c>
      <c r="F2787" s="63">
        <f>IF(tblCommentary[[#This Row],[Date]]="","",tblCommentary[[#This Row],[Date]]&amp;"|"&amp;tblCommentary[[#This Row],[Seq_Day]])</f>
        <v/>
      </c>
    </row>
    <row r="2788">
      <c r="A2788" s="54" t="n"/>
      <c r="B2788" s="61" t="n"/>
      <c r="C2788" s="58" t="n"/>
      <c r="D2788" s="58" t="n"/>
      <c r="E2788" s="64">
        <f>IF(tblCommentary[[#This Row],[Date]]="","",COUNTIFS(INDEX(tblCommentary[Date],1):tblCommentary[[#This Row],[Date]],tblCommentary[[#This Row],[Date]]))</f>
        <v/>
      </c>
      <c r="F2788" s="63">
        <f>IF(tblCommentary[[#This Row],[Date]]="","",tblCommentary[[#This Row],[Date]]&amp;"|"&amp;tblCommentary[[#This Row],[Seq_Day]])</f>
        <v/>
      </c>
    </row>
    <row r="2789">
      <c r="A2789" s="54" t="n"/>
      <c r="B2789" s="61" t="n"/>
      <c r="C2789" s="58" t="n"/>
      <c r="D2789" s="58" t="n"/>
      <c r="E2789" s="64">
        <f>IF(tblCommentary[[#This Row],[Date]]="","",COUNTIFS(INDEX(tblCommentary[Date],1):tblCommentary[[#This Row],[Date]],tblCommentary[[#This Row],[Date]]))</f>
        <v/>
      </c>
      <c r="F2789" s="63">
        <f>IF(tblCommentary[[#This Row],[Date]]="","",tblCommentary[[#This Row],[Date]]&amp;"|"&amp;tblCommentary[[#This Row],[Seq_Day]])</f>
        <v/>
      </c>
    </row>
    <row r="2790">
      <c r="A2790" s="54" t="n"/>
      <c r="B2790" s="61" t="n"/>
      <c r="C2790" s="58" t="n"/>
      <c r="D2790" s="58" t="n"/>
      <c r="E2790" s="64">
        <f>IF(tblCommentary[[#This Row],[Date]]="","",COUNTIFS(INDEX(tblCommentary[Date],1):tblCommentary[[#This Row],[Date]],tblCommentary[[#This Row],[Date]]))</f>
        <v/>
      </c>
      <c r="F2790" s="63">
        <f>IF(tblCommentary[[#This Row],[Date]]="","",tblCommentary[[#This Row],[Date]]&amp;"|"&amp;tblCommentary[[#This Row],[Seq_Day]])</f>
        <v/>
      </c>
    </row>
    <row r="2791">
      <c r="A2791" s="54" t="n"/>
      <c r="B2791" s="61" t="n"/>
      <c r="C2791" s="58" t="n"/>
      <c r="D2791" s="58" t="n"/>
      <c r="E2791" s="64">
        <f>IF(tblCommentary[[#This Row],[Date]]="","",COUNTIFS(INDEX(tblCommentary[Date],1):tblCommentary[[#This Row],[Date]],tblCommentary[[#This Row],[Date]]))</f>
        <v/>
      </c>
      <c r="F2791" s="63">
        <f>IF(tblCommentary[[#This Row],[Date]]="","",tblCommentary[[#This Row],[Date]]&amp;"|"&amp;tblCommentary[[#This Row],[Seq_Day]])</f>
        <v/>
      </c>
    </row>
    <row r="2792">
      <c r="A2792" s="54" t="n"/>
      <c r="B2792" s="61" t="n"/>
      <c r="C2792" s="58" t="n"/>
      <c r="D2792" s="58" t="n"/>
      <c r="E2792" s="64">
        <f>IF(tblCommentary[[#This Row],[Date]]="","",COUNTIFS(INDEX(tblCommentary[Date],1):tblCommentary[[#This Row],[Date]],tblCommentary[[#This Row],[Date]]))</f>
        <v/>
      </c>
      <c r="F2792" s="63">
        <f>IF(tblCommentary[[#This Row],[Date]]="","",tblCommentary[[#This Row],[Date]]&amp;"|"&amp;tblCommentary[[#This Row],[Seq_Day]])</f>
        <v/>
      </c>
    </row>
    <row r="2793">
      <c r="A2793" s="54" t="n"/>
      <c r="B2793" s="61" t="n"/>
      <c r="C2793" s="58" t="n"/>
      <c r="D2793" s="58" t="n"/>
      <c r="E2793" s="64">
        <f>IF(tblCommentary[[#This Row],[Date]]="","",COUNTIFS(INDEX(tblCommentary[Date],1):tblCommentary[[#This Row],[Date]],tblCommentary[[#This Row],[Date]]))</f>
        <v/>
      </c>
      <c r="F2793" s="63">
        <f>IF(tblCommentary[[#This Row],[Date]]="","",tblCommentary[[#This Row],[Date]]&amp;"|"&amp;tblCommentary[[#This Row],[Seq_Day]])</f>
        <v/>
      </c>
    </row>
    <row r="2794">
      <c r="A2794" s="54" t="n"/>
      <c r="B2794" s="61" t="n"/>
      <c r="C2794" s="58" t="n"/>
      <c r="D2794" s="58" t="n"/>
      <c r="E2794" s="64">
        <f>IF(tblCommentary[[#This Row],[Date]]="","",COUNTIFS(INDEX(tblCommentary[Date],1):tblCommentary[[#This Row],[Date]],tblCommentary[[#This Row],[Date]]))</f>
        <v/>
      </c>
      <c r="F2794" s="63">
        <f>IF(tblCommentary[[#This Row],[Date]]="","",tblCommentary[[#This Row],[Date]]&amp;"|"&amp;tblCommentary[[#This Row],[Seq_Day]])</f>
        <v/>
      </c>
    </row>
    <row r="2795">
      <c r="A2795" s="54" t="n"/>
      <c r="B2795" s="61" t="n"/>
      <c r="C2795" s="58" t="n"/>
      <c r="D2795" s="58" t="n"/>
      <c r="E2795" s="64">
        <f>IF(tblCommentary[[#This Row],[Date]]="","",COUNTIFS(INDEX(tblCommentary[Date],1):tblCommentary[[#This Row],[Date]],tblCommentary[[#This Row],[Date]]))</f>
        <v/>
      </c>
      <c r="F2795" s="63">
        <f>IF(tblCommentary[[#This Row],[Date]]="","",tblCommentary[[#This Row],[Date]]&amp;"|"&amp;tblCommentary[[#This Row],[Seq_Day]])</f>
        <v/>
      </c>
    </row>
    <row r="2796">
      <c r="A2796" s="54" t="n"/>
      <c r="B2796" s="61" t="n"/>
      <c r="C2796" s="58" t="n"/>
      <c r="D2796" s="58" t="n"/>
      <c r="E2796" s="64">
        <f>IF(tblCommentary[[#This Row],[Date]]="","",COUNTIFS(INDEX(tblCommentary[Date],1):tblCommentary[[#This Row],[Date]],tblCommentary[[#This Row],[Date]]))</f>
        <v/>
      </c>
      <c r="F2796" s="63">
        <f>IF(tblCommentary[[#This Row],[Date]]="","",tblCommentary[[#This Row],[Date]]&amp;"|"&amp;tblCommentary[[#This Row],[Seq_Day]])</f>
        <v/>
      </c>
    </row>
    <row r="2797">
      <c r="A2797" s="54" t="n"/>
      <c r="B2797" s="61" t="n"/>
      <c r="C2797" s="58" t="n"/>
      <c r="D2797" s="58" t="n"/>
      <c r="E2797" s="64">
        <f>IF(tblCommentary[[#This Row],[Date]]="","",COUNTIFS(INDEX(tblCommentary[Date],1):tblCommentary[[#This Row],[Date]],tblCommentary[[#This Row],[Date]]))</f>
        <v/>
      </c>
      <c r="F2797" s="63">
        <f>IF(tblCommentary[[#This Row],[Date]]="","",tblCommentary[[#This Row],[Date]]&amp;"|"&amp;tblCommentary[[#This Row],[Seq_Day]])</f>
        <v/>
      </c>
    </row>
    <row r="2798">
      <c r="A2798" s="54" t="n"/>
      <c r="B2798" s="61" t="n"/>
      <c r="C2798" s="58" t="n"/>
      <c r="D2798" s="58" t="n"/>
      <c r="E2798" s="64">
        <f>IF(tblCommentary[[#This Row],[Date]]="","",COUNTIFS(INDEX(tblCommentary[Date],1):tblCommentary[[#This Row],[Date]],tblCommentary[[#This Row],[Date]]))</f>
        <v/>
      </c>
      <c r="F2798" s="63">
        <f>IF(tblCommentary[[#This Row],[Date]]="","",tblCommentary[[#This Row],[Date]]&amp;"|"&amp;tblCommentary[[#This Row],[Seq_Day]])</f>
        <v/>
      </c>
    </row>
    <row r="2799">
      <c r="A2799" s="54" t="n"/>
      <c r="B2799" s="61" t="n"/>
      <c r="C2799" s="58" t="n"/>
      <c r="D2799" s="58" t="n"/>
      <c r="E2799" s="64">
        <f>IF(tblCommentary[[#This Row],[Date]]="","",COUNTIFS(INDEX(tblCommentary[Date],1):tblCommentary[[#This Row],[Date]],tblCommentary[[#This Row],[Date]]))</f>
        <v/>
      </c>
      <c r="F2799" s="63">
        <f>IF(tblCommentary[[#This Row],[Date]]="","",tblCommentary[[#This Row],[Date]]&amp;"|"&amp;tblCommentary[[#This Row],[Seq_Day]])</f>
        <v/>
      </c>
    </row>
    <row r="2800">
      <c r="A2800" s="54" t="n"/>
      <c r="B2800" s="61" t="n"/>
      <c r="C2800" s="58" t="n"/>
      <c r="D2800" s="58" t="n"/>
      <c r="E2800" s="64">
        <f>IF(tblCommentary[[#This Row],[Date]]="","",COUNTIFS(INDEX(tblCommentary[Date],1):tblCommentary[[#This Row],[Date]],tblCommentary[[#This Row],[Date]]))</f>
        <v/>
      </c>
      <c r="F2800" s="63">
        <f>IF(tblCommentary[[#This Row],[Date]]="","",tblCommentary[[#This Row],[Date]]&amp;"|"&amp;tblCommentary[[#This Row],[Seq_Day]])</f>
        <v/>
      </c>
    </row>
    <row r="2801">
      <c r="A2801" s="54" t="n"/>
      <c r="B2801" s="61" t="n"/>
      <c r="C2801" s="58" t="n"/>
      <c r="D2801" s="58" t="n"/>
      <c r="E2801" s="64">
        <f>IF(tblCommentary[[#This Row],[Date]]="","",COUNTIFS(INDEX(tblCommentary[Date],1):tblCommentary[[#This Row],[Date]],tblCommentary[[#This Row],[Date]]))</f>
        <v/>
      </c>
      <c r="F2801" s="63">
        <f>IF(tblCommentary[[#This Row],[Date]]="","",tblCommentary[[#This Row],[Date]]&amp;"|"&amp;tblCommentary[[#This Row],[Seq_Day]])</f>
        <v/>
      </c>
    </row>
    <row r="2802">
      <c r="A2802" s="54" t="n"/>
      <c r="B2802" s="61" t="n"/>
      <c r="C2802" s="58" t="n"/>
      <c r="D2802" s="58" t="n"/>
      <c r="E2802" s="64">
        <f>IF(tblCommentary[[#This Row],[Date]]="","",COUNTIFS(INDEX(tblCommentary[Date],1):tblCommentary[[#This Row],[Date]],tblCommentary[[#This Row],[Date]]))</f>
        <v/>
      </c>
      <c r="F2802" s="63">
        <f>IF(tblCommentary[[#This Row],[Date]]="","",tblCommentary[[#This Row],[Date]]&amp;"|"&amp;tblCommentary[[#This Row],[Seq_Day]])</f>
        <v/>
      </c>
    </row>
    <row r="2803">
      <c r="A2803" s="54" t="n"/>
      <c r="B2803" s="61" t="n"/>
      <c r="C2803" s="58" t="n"/>
      <c r="D2803" s="58" t="n"/>
      <c r="E2803" s="64">
        <f>IF(tblCommentary[[#This Row],[Date]]="","",COUNTIFS(INDEX(tblCommentary[Date],1):tblCommentary[[#This Row],[Date]],tblCommentary[[#This Row],[Date]]))</f>
        <v/>
      </c>
      <c r="F2803" s="63">
        <f>IF(tblCommentary[[#This Row],[Date]]="","",tblCommentary[[#This Row],[Date]]&amp;"|"&amp;tblCommentary[[#This Row],[Seq_Day]])</f>
        <v/>
      </c>
    </row>
    <row r="2804">
      <c r="A2804" s="54" t="n"/>
      <c r="B2804" s="61" t="n"/>
      <c r="C2804" s="58" t="n"/>
      <c r="D2804" s="58" t="n"/>
      <c r="E2804" s="64">
        <f>IF(tblCommentary[[#This Row],[Date]]="","",COUNTIFS(INDEX(tblCommentary[Date],1):tblCommentary[[#This Row],[Date]],tblCommentary[[#This Row],[Date]]))</f>
        <v/>
      </c>
      <c r="F2804" s="63">
        <f>IF(tblCommentary[[#This Row],[Date]]="","",tblCommentary[[#This Row],[Date]]&amp;"|"&amp;tblCommentary[[#This Row],[Seq_Day]])</f>
        <v/>
      </c>
    </row>
    <row r="2805">
      <c r="A2805" s="54" t="n"/>
      <c r="B2805" s="61" t="n"/>
      <c r="C2805" s="58" t="n"/>
      <c r="D2805" s="58" t="n"/>
      <c r="E2805" s="64">
        <f>IF(tblCommentary[[#This Row],[Date]]="","",COUNTIFS(INDEX(tblCommentary[Date],1):tblCommentary[[#This Row],[Date]],tblCommentary[[#This Row],[Date]]))</f>
        <v/>
      </c>
      <c r="F2805" s="63">
        <f>IF(tblCommentary[[#This Row],[Date]]="","",tblCommentary[[#This Row],[Date]]&amp;"|"&amp;tblCommentary[[#This Row],[Seq_Day]])</f>
        <v/>
      </c>
    </row>
    <row r="2806">
      <c r="A2806" s="54" t="n"/>
      <c r="B2806" s="61" t="n"/>
      <c r="C2806" s="58" t="n"/>
      <c r="D2806" s="58" t="n"/>
      <c r="E2806" s="64">
        <f>IF(tblCommentary[[#This Row],[Date]]="","",COUNTIFS(INDEX(tblCommentary[Date],1):tblCommentary[[#This Row],[Date]],tblCommentary[[#This Row],[Date]]))</f>
        <v/>
      </c>
      <c r="F2806" s="63">
        <f>IF(tblCommentary[[#This Row],[Date]]="","",tblCommentary[[#This Row],[Date]]&amp;"|"&amp;tblCommentary[[#This Row],[Seq_Day]])</f>
        <v/>
      </c>
    </row>
    <row r="2807">
      <c r="A2807" s="54" t="n"/>
      <c r="B2807" s="61" t="n"/>
      <c r="C2807" s="58" t="n"/>
      <c r="D2807" s="58" t="n"/>
      <c r="E2807" s="64">
        <f>IF(tblCommentary[[#This Row],[Date]]="","",COUNTIFS(INDEX(tblCommentary[Date],1):tblCommentary[[#This Row],[Date]],tblCommentary[[#This Row],[Date]]))</f>
        <v/>
      </c>
      <c r="F2807" s="63">
        <f>IF(tblCommentary[[#This Row],[Date]]="","",tblCommentary[[#This Row],[Date]]&amp;"|"&amp;tblCommentary[[#This Row],[Seq_Day]])</f>
        <v/>
      </c>
    </row>
    <row r="2808">
      <c r="A2808" s="54" t="n"/>
      <c r="B2808" s="61" t="n"/>
      <c r="C2808" s="58" t="n"/>
      <c r="D2808" s="58" t="n"/>
      <c r="E2808" s="64">
        <f>IF(tblCommentary[[#This Row],[Date]]="","",COUNTIFS(INDEX(tblCommentary[Date],1):tblCommentary[[#This Row],[Date]],tblCommentary[[#This Row],[Date]]))</f>
        <v/>
      </c>
      <c r="F2808" s="63">
        <f>IF(tblCommentary[[#This Row],[Date]]="","",tblCommentary[[#This Row],[Date]]&amp;"|"&amp;tblCommentary[[#This Row],[Seq_Day]])</f>
        <v/>
      </c>
    </row>
    <row r="2809">
      <c r="A2809" s="54" t="n"/>
      <c r="B2809" s="61" t="n"/>
      <c r="C2809" s="58" t="n"/>
      <c r="D2809" s="58" t="n"/>
      <c r="E2809" s="64">
        <f>IF(tblCommentary[[#This Row],[Date]]="","",COUNTIFS(INDEX(tblCommentary[Date],1):tblCommentary[[#This Row],[Date]],tblCommentary[[#This Row],[Date]]))</f>
        <v/>
      </c>
      <c r="F2809" s="63">
        <f>IF(tblCommentary[[#This Row],[Date]]="","",tblCommentary[[#This Row],[Date]]&amp;"|"&amp;tblCommentary[[#This Row],[Seq_Day]])</f>
        <v/>
      </c>
    </row>
    <row r="2810">
      <c r="A2810" s="54" t="n"/>
      <c r="B2810" s="61" t="n"/>
      <c r="C2810" s="58" t="n"/>
      <c r="D2810" s="58" t="n"/>
      <c r="E2810" s="64">
        <f>IF(tblCommentary[[#This Row],[Date]]="","",COUNTIFS(INDEX(tblCommentary[Date],1):tblCommentary[[#This Row],[Date]],tblCommentary[[#This Row],[Date]]))</f>
        <v/>
      </c>
      <c r="F2810" s="63">
        <f>IF(tblCommentary[[#This Row],[Date]]="","",tblCommentary[[#This Row],[Date]]&amp;"|"&amp;tblCommentary[[#This Row],[Seq_Day]])</f>
        <v/>
      </c>
    </row>
    <row r="2811">
      <c r="A2811" s="54" t="n"/>
      <c r="B2811" s="61" t="n"/>
      <c r="C2811" s="58" t="n"/>
      <c r="D2811" s="58" t="n"/>
      <c r="E2811" s="64">
        <f>IF(tblCommentary[[#This Row],[Date]]="","",COUNTIFS(INDEX(tblCommentary[Date],1):tblCommentary[[#This Row],[Date]],tblCommentary[[#This Row],[Date]]))</f>
        <v/>
      </c>
      <c r="F2811" s="63">
        <f>IF(tblCommentary[[#This Row],[Date]]="","",tblCommentary[[#This Row],[Date]]&amp;"|"&amp;tblCommentary[[#This Row],[Seq_Day]])</f>
        <v/>
      </c>
    </row>
    <row r="2812">
      <c r="A2812" s="54" t="n"/>
      <c r="B2812" s="61" t="n"/>
      <c r="C2812" s="58" t="n"/>
      <c r="D2812" s="58" t="n"/>
      <c r="E2812" s="64">
        <f>IF(tblCommentary[[#This Row],[Date]]="","",COUNTIFS(INDEX(tblCommentary[Date],1):tblCommentary[[#This Row],[Date]],tblCommentary[[#This Row],[Date]]))</f>
        <v/>
      </c>
      <c r="F2812" s="63">
        <f>IF(tblCommentary[[#This Row],[Date]]="","",tblCommentary[[#This Row],[Date]]&amp;"|"&amp;tblCommentary[[#This Row],[Seq_Day]])</f>
        <v/>
      </c>
    </row>
    <row r="2813">
      <c r="A2813" s="54" t="n"/>
      <c r="B2813" s="61" t="n"/>
      <c r="C2813" s="58" t="n"/>
      <c r="D2813" s="58" t="n"/>
      <c r="E2813" s="64">
        <f>IF(tblCommentary[[#This Row],[Date]]="","",COUNTIFS(INDEX(tblCommentary[Date],1):tblCommentary[[#This Row],[Date]],tblCommentary[[#This Row],[Date]]))</f>
        <v/>
      </c>
      <c r="F2813" s="63">
        <f>IF(tblCommentary[[#This Row],[Date]]="","",tblCommentary[[#This Row],[Date]]&amp;"|"&amp;tblCommentary[[#This Row],[Seq_Day]])</f>
        <v/>
      </c>
    </row>
    <row r="2814">
      <c r="A2814" s="54" t="n"/>
      <c r="B2814" s="61" t="n"/>
      <c r="C2814" s="58" t="n"/>
      <c r="D2814" s="58" t="n"/>
      <c r="E2814" s="64">
        <f>IF(tblCommentary[[#This Row],[Date]]="","",COUNTIFS(INDEX(tblCommentary[Date],1):tblCommentary[[#This Row],[Date]],tblCommentary[[#This Row],[Date]]))</f>
        <v/>
      </c>
      <c r="F2814" s="63">
        <f>IF(tblCommentary[[#This Row],[Date]]="","",tblCommentary[[#This Row],[Date]]&amp;"|"&amp;tblCommentary[[#This Row],[Seq_Day]])</f>
        <v/>
      </c>
    </row>
    <row r="2815">
      <c r="A2815" s="54" t="n"/>
      <c r="B2815" s="61" t="n"/>
      <c r="C2815" s="58" t="n"/>
      <c r="D2815" s="58" t="n"/>
      <c r="E2815" s="64">
        <f>IF(tblCommentary[[#This Row],[Date]]="","",COUNTIFS(INDEX(tblCommentary[Date],1):tblCommentary[[#This Row],[Date]],tblCommentary[[#This Row],[Date]]))</f>
        <v/>
      </c>
      <c r="F2815" s="63">
        <f>IF(tblCommentary[[#This Row],[Date]]="","",tblCommentary[[#This Row],[Date]]&amp;"|"&amp;tblCommentary[[#This Row],[Seq_Day]])</f>
        <v/>
      </c>
    </row>
    <row r="2816">
      <c r="A2816" s="54" t="n"/>
      <c r="B2816" s="61" t="n"/>
      <c r="C2816" s="58" t="n"/>
      <c r="D2816" s="58" t="n"/>
      <c r="E2816" s="64">
        <f>IF(tblCommentary[[#This Row],[Date]]="","",COUNTIFS(INDEX(tblCommentary[Date],1):tblCommentary[[#This Row],[Date]],tblCommentary[[#This Row],[Date]]))</f>
        <v/>
      </c>
      <c r="F2816" s="63">
        <f>IF(tblCommentary[[#This Row],[Date]]="","",tblCommentary[[#This Row],[Date]]&amp;"|"&amp;tblCommentary[[#This Row],[Seq_Day]])</f>
        <v/>
      </c>
    </row>
    <row r="2817">
      <c r="A2817" s="54" t="n"/>
      <c r="B2817" s="61" t="n"/>
      <c r="C2817" s="58" t="n"/>
      <c r="D2817" s="58" t="n"/>
      <c r="E2817" s="64">
        <f>IF(tblCommentary[[#This Row],[Date]]="","",COUNTIFS(INDEX(tblCommentary[Date],1):tblCommentary[[#This Row],[Date]],tblCommentary[[#This Row],[Date]]))</f>
        <v/>
      </c>
      <c r="F2817" s="63">
        <f>IF(tblCommentary[[#This Row],[Date]]="","",tblCommentary[[#This Row],[Date]]&amp;"|"&amp;tblCommentary[[#This Row],[Seq_Day]])</f>
        <v/>
      </c>
    </row>
    <row r="2818">
      <c r="A2818" s="54" t="n"/>
      <c r="B2818" s="61" t="n"/>
      <c r="C2818" s="58" t="n"/>
      <c r="D2818" s="58" t="n"/>
      <c r="E2818" s="64">
        <f>IF(tblCommentary[[#This Row],[Date]]="","",COUNTIFS(INDEX(tblCommentary[Date],1):tblCommentary[[#This Row],[Date]],tblCommentary[[#This Row],[Date]]))</f>
        <v/>
      </c>
      <c r="F2818" s="63">
        <f>IF(tblCommentary[[#This Row],[Date]]="","",tblCommentary[[#This Row],[Date]]&amp;"|"&amp;tblCommentary[[#This Row],[Seq_Day]])</f>
        <v/>
      </c>
    </row>
    <row r="2819">
      <c r="A2819" s="54" t="n"/>
      <c r="B2819" s="61" t="n"/>
      <c r="C2819" s="58" t="n"/>
      <c r="D2819" s="58" t="n"/>
      <c r="E2819" s="64">
        <f>IF(tblCommentary[[#This Row],[Date]]="","",COUNTIFS(INDEX(tblCommentary[Date],1):tblCommentary[[#This Row],[Date]],tblCommentary[[#This Row],[Date]]))</f>
        <v/>
      </c>
      <c r="F2819" s="63">
        <f>IF(tblCommentary[[#This Row],[Date]]="","",tblCommentary[[#This Row],[Date]]&amp;"|"&amp;tblCommentary[[#This Row],[Seq_Day]])</f>
        <v/>
      </c>
    </row>
    <row r="2820">
      <c r="A2820" s="54" t="n"/>
      <c r="B2820" s="61" t="n"/>
      <c r="C2820" s="58" t="n"/>
      <c r="D2820" s="58" t="n"/>
      <c r="E2820" s="64">
        <f>IF(tblCommentary[[#This Row],[Date]]="","",COUNTIFS(INDEX(tblCommentary[Date],1):tblCommentary[[#This Row],[Date]],tblCommentary[[#This Row],[Date]]))</f>
        <v/>
      </c>
      <c r="F2820" s="63">
        <f>IF(tblCommentary[[#This Row],[Date]]="","",tblCommentary[[#This Row],[Date]]&amp;"|"&amp;tblCommentary[[#This Row],[Seq_Day]])</f>
        <v/>
      </c>
    </row>
    <row r="2821">
      <c r="A2821" s="54" t="n"/>
      <c r="B2821" s="61" t="n"/>
      <c r="C2821" s="58" t="n"/>
      <c r="D2821" s="58" t="n"/>
      <c r="E2821" s="64">
        <f>IF(tblCommentary[[#This Row],[Date]]="","",COUNTIFS(INDEX(tblCommentary[Date],1):tblCommentary[[#This Row],[Date]],tblCommentary[[#This Row],[Date]]))</f>
        <v/>
      </c>
      <c r="F2821" s="63">
        <f>IF(tblCommentary[[#This Row],[Date]]="","",tblCommentary[[#This Row],[Date]]&amp;"|"&amp;tblCommentary[[#This Row],[Seq_Day]])</f>
        <v/>
      </c>
    </row>
    <row r="2822">
      <c r="A2822" s="54" t="n"/>
      <c r="B2822" s="61" t="n"/>
      <c r="C2822" s="58" t="n"/>
      <c r="D2822" s="58" t="n"/>
      <c r="E2822" s="64">
        <f>IF(tblCommentary[[#This Row],[Date]]="","",COUNTIFS(INDEX(tblCommentary[Date],1):tblCommentary[[#This Row],[Date]],tblCommentary[[#This Row],[Date]]))</f>
        <v/>
      </c>
      <c r="F2822" s="63">
        <f>IF(tblCommentary[[#This Row],[Date]]="","",tblCommentary[[#This Row],[Date]]&amp;"|"&amp;tblCommentary[[#This Row],[Seq_Day]])</f>
        <v/>
      </c>
    </row>
    <row r="2823">
      <c r="A2823" s="54" t="n"/>
      <c r="B2823" s="61" t="n"/>
      <c r="C2823" s="58" t="n"/>
      <c r="D2823" s="58" t="n"/>
      <c r="E2823" s="64">
        <f>IF(tblCommentary[[#This Row],[Date]]="","",COUNTIFS(INDEX(tblCommentary[Date],1):tblCommentary[[#This Row],[Date]],tblCommentary[[#This Row],[Date]]))</f>
        <v/>
      </c>
      <c r="F2823" s="63">
        <f>IF(tblCommentary[[#This Row],[Date]]="","",tblCommentary[[#This Row],[Date]]&amp;"|"&amp;tblCommentary[[#This Row],[Seq_Day]])</f>
        <v/>
      </c>
    </row>
    <row r="2824">
      <c r="A2824" s="54" t="n"/>
      <c r="B2824" s="61" t="n"/>
      <c r="C2824" s="58" t="n"/>
      <c r="D2824" s="58" t="n"/>
      <c r="E2824" s="64">
        <f>IF(tblCommentary[[#This Row],[Date]]="","",COUNTIFS(INDEX(tblCommentary[Date],1):tblCommentary[[#This Row],[Date]],tblCommentary[[#This Row],[Date]]))</f>
        <v/>
      </c>
      <c r="F2824" s="63">
        <f>IF(tblCommentary[[#This Row],[Date]]="","",tblCommentary[[#This Row],[Date]]&amp;"|"&amp;tblCommentary[[#This Row],[Seq_Day]])</f>
        <v/>
      </c>
    </row>
    <row r="2825">
      <c r="A2825" s="54" t="n"/>
      <c r="B2825" s="61" t="n"/>
      <c r="C2825" s="58" t="n"/>
      <c r="D2825" s="58" t="n"/>
      <c r="E2825" s="64">
        <f>IF(tblCommentary[[#This Row],[Date]]="","",COUNTIFS(INDEX(tblCommentary[Date],1):tblCommentary[[#This Row],[Date]],tblCommentary[[#This Row],[Date]]))</f>
        <v/>
      </c>
      <c r="F2825" s="63">
        <f>IF(tblCommentary[[#This Row],[Date]]="","",tblCommentary[[#This Row],[Date]]&amp;"|"&amp;tblCommentary[[#This Row],[Seq_Day]])</f>
        <v/>
      </c>
    </row>
    <row r="2826">
      <c r="A2826" s="54" t="n"/>
      <c r="B2826" s="61" t="n"/>
      <c r="C2826" s="58" t="n"/>
      <c r="D2826" s="58" t="n"/>
      <c r="E2826" s="64">
        <f>IF(tblCommentary[[#This Row],[Date]]="","",COUNTIFS(INDEX(tblCommentary[Date],1):tblCommentary[[#This Row],[Date]],tblCommentary[[#This Row],[Date]]))</f>
        <v/>
      </c>
      <c r="F2826" s="63">
        <f>IF(tblCommentary[[#This Row],[Date]]="","",tblCommentary[[#This Row],[Date]]&amp;"|"&amp;tblCommentary[[#This Row],[Seq_Day]])</f>
        <v/>
      </c>
    </row>
    <row r="2827">
      <c r="A2827" s="54" t="n"/>
      <c r="B2827" s="61" t="n"/>
      <c r="C2827" s="58" t="n"/>
      <c r="D2827" s="58" t="n"/>
      <c r="E2827" s="64">
        <f>IF(tblCommentary[[#This Row],[Date]]="","",COUNTIFS(INDEX(tblCommentary[Date],1):tblCommentary[[#This Row],[Date]],tblCommentary[[#This Row],[Date]]))</f>
        <v/>
      </c>
      <c r="F2827" s="63">
        <f>IF(tblCommentary[[#This Row],[Date]]="","",tblCommentary[[#This Row],[Date]]&amp;"|"&amp;tblCommentary[[#This Row],[Seq_Day]])</f>
        <v/>
      </c>
    </row>
    <row r="2828">
      <c r="A2828" s="54" t="n"/>
      <c r="B2828" s="61" t="n"/>
      <c r="C2828" s="58" t="n"/>
      <c r="D2828" s="58" t="n"/>
      <c r="E2828" s="64">
        <f>IF(tblCommentary[[#This Row],[Date]]="","",COUNTIFS(INDEX(tblCommentary[Date],1):tblCommentary[[#This Row],[Date]],tblCommentary[[#This Row],[Date]]))</f>
        <v/>
      </c>
      <c r="F2828" s="63">
        <f>IF(tblCommentary[[#This Row],[Date]]="","",tblCommentary[[#This Row],[Date]]&amp;"|"&amp;tblCommentary[[#This Row],[Seq_Day]])</f>
        <v/>
      </c>
    </row>
    <row r="2829">
      <c r="A2829" s="54" t="n"/>
      <c r="B2829" s="61" t="n"/>
      <c r="C2829" s="58" t="n"/>
      <c r="D2829" s="58" t="n"/>
      <c r="E2829" s="64">
        <f>IF(tblCommentary[[#This Row],[Date]]="","",COUNTIFS(INDEX(tblCommentary[Date],1):tblCommentary[[#This Row],[Date]],tblCommentary[[#This Row],[Date]]))</f>
        <v/>
      </c>
      <c r="F2829" s="63">
        <f>IF(tblCommentary[[#This Row],[Date]]="","",tblCommentary[[#This Row],[Date]]&amp;"|"&amp;tblCommentary[[#This Row],[Seq_Day]])</f>
        <v/>
      </c>
    </row>
    <row r="2830">
      <c r="A2830" s="54" t="n"/>
      <c r="B2830" s="61" t="n"/>
      <c r="C2830" s="58" t="n"/>
      <c r="D2830" s="58" t="n"/>
      <c r="E2830" s="64">
        <f>IF(tblCommentary[[#This Row],[Date]]="","",COUNTIFS(INDEX(tblCommentary[Date],1):tblCommentary[[#This Row],[Date]],tblCommentary[[#This Row],[Date]]))</f>
        <v/>
      </c>
      <c r="F2830" s="63">
        <f>IF(tblCommentary[[#This Row],[Date]]="","",tblCommentary[[#This Row],[Date]]&amp;"|"&amp;tblCommentary[[#This Row],[Seq_Day]])</f>
        <v/>
      </c>
    </row>
    <row r="2831">
      <c r="A2831" s="54" t="n"/>
      <c r="B2831" s="61" t="n"/>
      <c r="C2831" s="58" t="n"/>
      <c r="D2831" s="58" t="n"/>
      <c r="E2831" s="64">
        <f>IF(tblCommentary[[#This Row],[Date]]="","",COUNTIFS(INDEX(tblCommentary[Date],1):tblCommentary[[#This Row],[Date]],tblCommentary[[#This Row],[Date]]))</f>
        <v/>
      </c>
      <c r="F2831" s="63">
        <f>IF(tblCommentary[[#This Row],[Date]]="","",tblCommentary[[#This Row],[Date]]&amp;"|"&amp;tblCommentary[[#This Row],[Seq_Day]])</f>
        <v/>
      </c>
    </row>
    <row r="2832">
      <c r="A2832" s="54" t="n"/>
      <c r="B2832" s="61" t="n"/>
      <c r="C2832" s="58" t="n"/>
      <c r="D2832" s="58" t="n"/>
      <c r="E2832" s="64">
        <f>IF(tblCommentary[[#This Row],[Date]]="","",COUNTIFS(INDEX(tblCommentary[Date],1):tblCommentary[[#This Row],[Date]],tblCommentary[[#This Row],[Date]]))</f>
        <v/>
      </c>
      <c r="F2832" s="63">
        <f>IF(tblCommentary[[#This Row],[Date]]="","",tblCommentary[[#This Row],[Date]]&amp;"|"&amp;tblCommentary[[#This Row],[Seq_Day]])</f>
        <v/>
      </c>
    </row>
    <row r="2833">
      <c r="A2833" s="54" t="n"/>
      <c r="B2833" s="61" t="n"/>
      <c r="C2833" s="58" t="n"/>
      <c r="D2833" s="58" t="n"/>
      <c r="E2833" s="64">
        <f>IF(tblCommentary[[#This Row],[Date]]="","",COUNTIFS(INDEX(tblCommentary[Date],1):tblCommentary[[#This Row],[Date]],tblCommentary[[#This Row],[Date]]))</f>
        <v/>
      </c>
      <c r="F2833" s="63">
        <f>IF(tblCommentary[[#This Row],[Date]]="","",tblCommentary[[#This Row],[Date]]&amp;"|"&amp;tblCommentary[[#This Row],[Seq_Day]])</f>
        <v/>
      </c>
    </row>
    <row r="2834">
      <c r="A2834" s="54" t="n"/>
      <c r="B2834" s="61" t="n"/>
      <c r="C2834" s="58" t="n"/>
      <c r="D2834" s="58" t="n"/>
      <c r="E2834" s="64">
        <f>IF(tblCommentary[[#This Row],[Date]]="","",COUNTIFS(INDEX(tblCommentary[Date],1):tblCommentary[[#This Row],[Date]],tblCommentary[[#This Row],[Date]]))</f>
        <v/>
      </c>
      <c r="F2834" s="63">
        <f>IF(tblCommentary[[#This Row],[Date]]="","",tblCommentary[[#This Row],[Date]]&amp;"|"&amp;tblCommentary[[#This Row],[Seq_Day]])</f>
        <v/>
      </c>
    </row>
    <row r="2835">
      <c r="A2835" s="54" t="n"/>
      <c r="B2835" s="61" t="n"/>
      <c r="C2835" s="58" t="n"/>
      <c r="D2835" s="58" t="n"/>
      <c r="E2835" s="64">
        <f>IF(tblCommentary[[#This Row],[Date]]="","",COUNTIFS(INDEX(tblCommentary[Date],1):tblCommentary[[#This Row],[Date]],tblCommentary[[#This Row],[Date]]))</f>
        <v/>
      </c>
      <c r="F2835" s="63">
        <f>IF(tblCommentary[[#This Row],[Date]]="","",tblCommentary[[#This Row],[Date]]&amp;"|"&amp;tblCommentary[[#This Row],[Seq_Day]])</f>
        <v/>
      </c>
    </row>
    <row r="2836">
      <c r="A2836" s="54" t="n"/>
      <c r="B2836" s="61" t="n"/>
      <c r="C2836" s="58" t="n"/>
      <c r="D2836" s="58" t="n"/>
      <c r="E2836" s="64">
        <f>IF(tblCommentary[[#This Row],[Date]]="","",COUNTIFS(INDEX(tblCommentary[Date],1):tblCommentary[[#This Row],[Date]],tblCommentary[[#This Row],[Date]]))</f>
        <v/>
      </c>
      <c r="F2836" s="63">
        <f>IF(tblCommentary[[#This Row],[Date]]="","",tblCommentary[[#This Row],[Date]]&amp;"|"&amp;tblCommentary[[#This Row],[Seq_Day]])</f>
        <v/>
      </c>
    </row>
    <row r="2837">
      <c r="A2837" s="54" t="n"/>
      <c r="B2837" s="61" t="n"/>
      <c r="C2837" s="58" t="n"/>
      <c r="D2837" s="58" t="n"/>
      <c r="E2837" s="64">
        <f>IF(tblCommentary[[#This Row],[Date]]="","",COUNTIFS(INDEX(tblCommentary[Date],1):tblCommentary[[#This Row],[Date]],tblCommentary[[#This Row],[Date]]))</f>
        <v/>
      </c>
      <c r="F2837" s="63">
        <f>IF(tblCommentary[[#This Row],[Date]]="","",tblCommentary[[#This Row],[Date]]&amp;"|"&amp;tblCommentary[[#This Row],[Seq_Day]])</f>
        <v/>
      </c>
    </row>
    <row r="2838">
      <c r="A2838" s="54" t="n"/>
      <c r="B2838" s="61" t="n"/>
      <c r="C2838" s="58" t="n"/>
      <c r="D2838" s="58" t="n"/>
      <c r="E2838" s="64">
        <f>IF(tblCommentary[[#This Row],[Date]]="","",COUNTIFS(INDEX(tblCommentary[Date],1):tblCommentary[[#This Row],[Date]],tblCommentary[[#This Row],[Date]]))</f>
        <v/>
      </c>
      <c r="F2838" s="63">
        <f>IF(tblCommentary[[#This Row],[Date]]="","",tblCommentary[[#This Row],[Date]]&amp;"|"&amp;tblCommentary[[#This Row],[Seq_Day]])</f>
        <v/>
      </c>
    </row>
    <row r="2839">
      <c r="A2839" s="54" t="n"/>
      <c r="B2839" s="61" t="n"/>
      <c r="C2839" s="58" t="n"/>
      <c r="D2839" s="58" t="n"/>
      <c r="E2839" s="64">
        <f>IF(tblCommentary[[#This Row],[Date]]="","",COUNTIFS(INDEX(tblCommentary[Date],1):tblCommentary[[#This Row],[Date]],tblCommentary[[#This Row],[Date]]))</f>
        <v/>
      </c>
      <c r="F2839" s="63">
        <f>IF(tblCommentary[[#This Row],[Date]]="","",tblCommentary[[#This Row],[Date]]&amp;"|"&amp;tblCommentary[[#This Row],[Seq_Day]])</f>
        <v/>
      </c>
    </row>
    <row r="2840">
      <c r="A2840" s="54" t="n"/>
      <c r="B2840" s="61" t="n"/>
      <c r="C2840" s="58" t="n"/>
      <c r="D2840" s="58" t="n"/>
      <c r="E2840" s="64">
        <f>IF(tblCommentary[[#This Row],[Date]]="","",COUNTIFS(INDEX(tblCommentary[Date],1):tblCommentary[[#This Row],[Date]],tblCommentary[[#This Row],[Date]]))</f>
        <v/>
      </c>
      <c r="F2840" s="63">
        <f>IF(tblCommentary[[#This Row],[Date]]="","",tblCommentary[[#This Row],[Date]]&amp;"|"&amp;tblCommentary[[#This Row],[Seq_Day]])</f>
        <v/>
      </c>
    </row>
    <row r="2841">
      <c r="A2841" s="54" t="n"/>
      <c r="B2841" s="61" t="n"/>
      <c r="C2841" s="58" t="n"/>
      <c r="D2841" s="58" t="n"/>
      <c r="E2841" s="64">
        <f>IF(tblCommentary[[#This Row],[Date]]="","",COUNTIFS(INDEX(tblCommentary[Date],1):tblCommentary[[#This Row],[Date]],tblCommentary[[#This Row],[Date]]))</f>
        <v/>
      </c>
      <c r="F2841" s="63">
        <f>IF(tblCommentary[[#This Row],[Date]]="","",tblCommentary[[#This Row],[Date]]&amp;"|"&amp;tblCommentary[[#This Row],[Seq_Day]])</f>
        <v/>
      </c>
    </row>
    <row r="2842">
      <c r="A2842" s="54" t="n"/>
      <c r="B2842" s="61" t="n"/>
      <c r="C2842" s="58" t="n"/>
      <c r="D2842" s="58" t="n"/>
      <c r="E2842" s="64">
        <f>IF(tblCommentary[[#This Row],[Date]]="","",COUNTIFS(INDEX(tblCommentary[Date],1):tblCommentary[[#This Row],[Date]],tblCommentary[[#This Row],[Date]]))</f>
        <v/>
      </c>
      <c r="F2842" s="63">
        <f>IF(tblCommentary[[#This Row],[Date]]="","",tblCommentary[[#This Row],[Date]]&amp;"|"&amp;tblCommentary[[#This Row],[Seq_Day]])</f>
        <v/>
      </c>
    </row>
    <row r="2843">
      <c r="A2843" s="54" t="n"/>
      <c r="B2843" s="61" t="n"/>
      <c r="C2843" s="58" t="n"/>
      <c r="D2843" s="58" t="n"/>
      <c r="E2843" s="64">
        <f>IF(tblCommentary[[#This Row],[Date]]="","",COUNTIFS(INDEX(tblCommentary[Date],1):tblCommentary[[#This Row],[Date]],tblCommentary[[#This Row],[Date]]))</f>
        <v/>
      </c>
      <c r="F2843" s="63">
        <f>IF(tblCommentary[[#This Row],[Date]]="","",tblCommentary[[#This Row],[Date]]&amp;"|"&amp;tblCommentary[[#This Row],[Seq_Day]])</f>
        <v/>
      </c>
    </row>
    <row r="2844">
      <c r="A2844" s="54" t="n"/>
      <c r="B2844" s="61" t="n"/>
      <c r="C2844" s="58" t="n"/>
      <c r="D2844" s="58" t="n"/>
      <c r="E2844" s="64">
        <f>IF(tblCommentary[[#This Row],[Date]]="","",COUNTIFS(INDEX(tblCommentary[Date],1):tblCommentary[[#This Row],[Date]],tblCommentary[[#This Row],[Date]]))</f>
        <v/>
      </c>
      <c r="F2844" s="63">
        <f>IF(tblCommentary[[#This Row],[Date]]="","",tblCommentary[[#This Row],[Date]]&amp;"|"&amp;tblCommentary[[#This Row],[Seq_Day]])</f>
        <v/>
      </c>
    </row>
    <row r="2845">
      <c r="A2845" s="54" t="n"/>
      <c r="B2845" s="61" t="n"/>
      <c r="C2845" s="58" t="n"/>
      <c r="D2845" s="58" t="n"/>
      <c r="E2845" s="64">
        <f>IF(tblCommentary[[#This Row],[Date]]="","",COUNTIFS(INDEX(tblCommentary[Date],1):tblCommentary[[#This Row],[Date]],tblCommentary[[#This Row],[Date]]))</f>
        <v/>
      </c>
      <c r="F2845" s="63">
        <f>IF(tblCommentary[[#This Row],[Date]]="","",tblCommentary[[#This Row],[Date]]&amp;"|"&amp;tblCommentary[[#This Row],[Seq_Day]])</f>
        <v/>
      </c>
    </row>
    <row r="2846">
      <c r="A2846" s="54" t="n"/>
      <c r="B2846" s="61" t="n"/>
      <c r="C2846" s="58" t="n"/>
      <c r="D2846" s="58" t="n"/>
      <c r="E2846" s="64">
        <f>IF(tblCommentary[[#This Row],[Date]]="","",COUNTIFS(INDEX(tblCommentary[Date],1):tblCommentary[[#This Row],[Date]],tblCommentary[[#This Row],[Date]]))</f>
        <v/>
      </c>
      <c r="F2846" s="63">
        <f>IF(tblCommentary[[#This Row],[Date]]="","",tblCommentary[[#This Row],[Date]]&amp;"|"&amp;tblCommentary[[#This Row],[Seq_Day]])</f>
        <v/>
      </c>
    </row>
    <row r="2847">
      <c r="A2847" s="54" t="n"/>
      <c r="B2847" s="61" t="n"/>
      <c r="C2847" s="58" t="n"/>
      <c r="D2847" s="58" t="n"/>
      <c r="E2847" s="64">
        <f>IF(tblCommentary[[#This Row],[Date]]="","",COUNTIFS(INDEX(tblCommentary[Date],1):tblCommentary[[#This Row],[Date]],tblCommentary[[#This Row],[Date]]))</f>
        <v/>
      </c>
      <c r="F2847" s="63">
        <f>IF(tblCommentary[[#This Row],[Date]]="","",tblCommentary[[#This Row],[Date]]&amp;"|"&amp;tblCommentary[[#This Row],[Seq_Day]])</f>
        <v/>
      </c>
    </row>
    <row r="2848">
      <c r="A2848" s="54" t="n"/>
      <c r="B2848" s="61" t="n"/>
      <c r="C2848" s="58" t="n"/>
      <c r="D2848" s="58" t="n"/>
      <c r="E2848" s="64">
        <f>IF(tblCommentary[[#This Row],[Date]]="","",COUNTIFS(INDEX(tblCommentary[Date],1):tblCommentary[[#This Row],[Date]],tblCommentary[[#This Row],[Date]]))</f>
        <v/>
      </c>
      <c r="F2848" s="63">
        <f>IF(tblCommentary[[#This Row],[Date]]="","",tblCommentary[[#This Row],[Date]]&amp;"|"&amp;tblCommentary[[#This Row],[Seq_Day]])</f>
        <v/>
      </c>
    </row>
    <row r="2849">
      <c r="A2849" s="54" t="n"/>
      <c r="B2849" s="61" t="n"/>
      <c r="C2849" s="58" t="n"/>
      <c r="D2849" s="58" t="n"/>
      <c r="E2849" s="64">
        <f>IF(tblCommentary[[#This Row],[Date]]="","",COUNTIFS(INDEX(tblCommentary[Date],1):tblCommentary[[#This Row],[Date]],tblCommentary[[#This Row],[Date]]))</f>
        <v/>
      </c>
      <c r="F2849" s="63">
        <f>IF(tblCommentary[[#This Row],[Date]]="","",tblCommentary[[#This Row],[Date]]&amp;"|"&amp;tblCommentary[[#This Row],[Seq_Day]])</f>
        <v/>
      </c>
    </row>
    <row r="2850">
      <c r="A2850" s="54" t="n"/>
      <c r="B2850" s="61" t="n"/>
      <c r="C2850" s="58" t="n"/>
      <c r="D2850" s="58" t="n"/>
      <c r="E2850" s="64">
        <f>IF(tblCommentary[[#This Row],[Date]]="","",COUNTIFS(INDEX(tblCommentary[Date],1):tblCommentary[[#This Row],[Date]],tblCommentary[[#This Row],[Date]]))</f>
        <v/>
      </c>
      <c r="F2850" s="63">
        <f>IF(tblCommentary[[#This Row],[Date]]="","",tblCommentary[[#This Row],[Date]]&amp;"|"&amp;tblCommentary[[#This Row],[Seq_Day]])</f>
        <v/>
      </c>
    </row>
    <row r="2851">
      <c r="A2851" s="54" t="n"/>
      <c r="B2851" s="61" t="n"/>
      <c r="C2851" s="58" t="n"/>
      <c r="D2851" s="58" t="n"/>
      <c r="E2851" s="64">
        <f>IF(tblCommentary[[#This Row],[Date]]="","",COUNTIFS(INDEX(tblCommentary[Date],1):tblCommentary[[#This Row],[Date]],tblCommentary[[#This Row],[Date]]))</f>
        <v/>
      </c>
      <c r="F2851" s="63">
        <f>IF(tblCommentary[[#This Row],[Date]]="","",tblCommentary[[#This Row],[Date]]&amp;"|"&amp;tblCommentary[[#This Row],[Seq_Day]])</f>
        <v/>
      </c>
    </row>
    <row r="2852">
      <c r="A2852" s="54" t="n"/>
      <c r="B2852" s="61" t="n"/>
      <c r="C2852" s="58" t="n"/>
      <c r="D2852" s="58" t="n"/>
      <c r="E2852" s="64">
        <f>IF(tblCommentary[[#This Row],[Date]]="","",COUNTIFS(INDEX(tblCommentary[Date],1):tblCommentary[[#This Row],[Date]],tblCommentary[[#This Row],[Date]]))</f>
        <v/>
      </c>
      <c r="F2852" s="63">
        <f>IF(tblCommentary[[#This Row],[Date]]="","",tblCommentary[[#This Row],[Date]]&amp;"|"&amp;tblCommentary[[#This Row],[Seq_Day]])</f>
        <v/>
      </c>
    </row>
    <row r="2853">
      <c r="A2853" s="54" t="n"/>
      <c r="B2853" s="61" t="n"/>
      <c r="C2853" s="58" t="n"/>
      <c r="D2853" s="58" t="n"/>
      <c r="E2853" s="64">
        <f>IF(tblCommentary[[#This Row],[Date]]="","",COUNTIFS(INDEX(tblCommentary[Date],1):tblCommentary[[#This Row],[Date]],tblCommentary[[#This Row],[Date]]))</f>
        <v/>
      </c>
      <c r="F2853" s="63">
        <f>IF(tblCommentary[[#This Row],[Date]]="","",tblCommentary[[#This Row],[Date]]&amp;"|"&amp;tblCommentary[[#This Row],[Seq_Day]])</f>
        <v/>
      </c>
    </row>
    <row r="2854">
      <c r="A2854" s="54" t="n"/>
      <c r="B2854" s="61" t="n"/>
      <c r="C2854" s="58" t="n"/>
      <c r="D2854" s="58" t="n"/>
      <c r="E2854" s="64">
        <f>IF(tblCommentary[[#This Row],[Date]]="","",COUNTIFS(INDEX(tblCommentary[Date],1):tblCommentary[[#This Row],[Date]],tblCommentary[[#This Row],[Date]]))</f>
        <v/>
      </c>
      <c r="F2854" s="63">
        <f>IF(tblCommentary[[#This Row],[Date]]="","",tblCommentary[[#This Row],[Date]]&amp;"|"&amp;tblCommentary[[#This Row],[Seq_Day]])</f>
        <v/>
      </c>
    </row>
    <row r="2855">
      <c r="A2855" s="54" t="n"/>
      <c r="B2855" s="61" t="n"/>
      <c r="C2855" s="58" t="n"/>
      <c r="D2855" s="58" t="n"/>
      <c r="E2855" s="64">
        <f>IF(tblCommentary[[#This Row],[Date]]="","",COUNTIFS(INDEX(tblCommentary[Date],1):tblCommentary[[#This Row],[Date]],tblCommentary[[#This Row],[Date]]))</f>
        <v/>
      </c>
      <c r="F2855" s="63">
        <f>IF(tblCommentary[[#This Row],[Date]]="","",tblCommentary[[#This Row],[Date]]&amp;"|"&amp;tblCommentary[[#This Row],[Seq_Day]])</f>
        <v/>
      </c>
    </row>
    <row r="2856">
      <c r="A2856" s="54" t="n"/>
      <c r="B2856" s="61" t="n"/>
      <c r="C2856" s="58" t="n"/>
      <c r="D2856" s="58" t="n"/>
      <c r="E2856" s="64">
        <f>IF(tblCommentary[[#This Row],[Date]]="","",COUNTIFS(INDEX(tblCommentary[Date],1):tblCommentary[[#This Row],[Date]],tblCommentary[[#This Row],[Date]]))</f>
        <v/>
      </c>
      <c r="F2856" s="63">
        <f>IF(tblCommentary[[#This Row],[Date]]="","",tblCommentary[[#This Row],[Date]]&amp;"|"&amp;tblCommentary[[#This Row],[Seq_Day]])</f>
        <v/>
      </c>
    </row>
    <row r="2857">
      <c r="A2857" s="54" t="n"/>
      <c r="B2857" s="61" t="n"/>
      <c r="C2857" s="58" t="n"/>
      <c r="D2857" s="58" t="n"/>
      <c r="E2857" s="64">
        <f>IF(tblCommentary[[#This Row],[Date]]="","",COUNTIFS(INDEX(tblCommentary[Date],1):tblCommentary[[#This Row],[Date]],tblCommentary[[#This Row],[Date]]))</f>
        <v/>
      </c>
      <c r="F2857" s="63">
        <f>IF(tblCommentary[[#This Row],[Date]]="","",tblCommentary[[#This Row],[Date]]&amp;"|"&amp;tblCommentary[[#This Row],[Seq_Day]])</f>
        <v/>
      </c>
    </row>
    <row r="2858">
      <c r="A2858" s="54" t="n"/>
      <c r="B2858" s="61" t="n"/>
      <c r="C2858" s="58" t="n"/>
      <c r="D2858" s="58" t="n"/>
      <c r="E2858" s="64">
        <f>IF(tblCommentary[[#This Row],[Date]]="","",COUNTIFS(INDEX(tblCommentary[Date],1):tblCommentary[[#This Row],[Date]],tblCommentary[[#This Row],[Date]]))</f>
        <v/>
      </c>
      <c r="F2858" s="63">
        <f>IF(tblCommentary[[#This Row],[Date]]="","",tblCommentary[[#This Row],[Date]]&amp;"|"&amp;tblCommentary[[#This Row],[Seq_Day]])</f>
        <v/>
      </c>
    </row>
    <row r="2859">
      <c r="A2859" s="54" t="n"/>
      <c r="B2859" s="61" t="n"/>
      <c r="C2859" s="58" t="n"/>
      <c r="D2859" s="58" t="n"/>
      <c r="E2859" s="64">
        <f>IF(tblCommentary[[#This Row],[Date]]="","",COUNTIFS(INDEX(tblCommentary[Date],1):tblCommentary[[#This Row],[Date]],tblCommentary[[#This Row],[Date]]))</f>
        <v/>
      </c>
      <c r="F2859" s="63">
        <f>IF(tblCommentary[[#This Row],[Date]]="","",tblCommentary[[#This Row],[Date]]&amp;"|"&amp;tblCommentary[[#This Row],[Seq_Day]])</f>
        <v/>
      </c>
    </row>
    <row r="2860">
      <c r="A2860" s="54" t="n"/>
      <c r="B2860" s="61" t="n"/>
      <c r="C2860" s="58" t="n"/>
      <c r="D2860" s="58" t="n"/>
      <c r="E2860" s="64">
        <f>IF(tblCommentary[[#This Row],[Date]]="","",COUNTIFS(INDEX(tblCommentary[Date],1):tblCommentary[[#This Row],[Date]],tblCommentary[[#This Row],[Date]]))</f>
        <v/>
      </c>
      <c r="F2860" s="63">
        <f>IF(tblCommentary[[#This Row],[Date]]="","",tblCommentary[[#This Row],[Date]]&amp;"|"&amp;tblCommentary[[#This Row],[Seq_Day]])</f>
        <v/>
      </c>
    </row>
    <row r="2861">
      <c r="A2861" s="54" t="n"/>
      <c r="B2861" s="61" t="n"/>
      <c r="C2861" s="58" t="n"/>
      <c r="D2861" s="58" t="n"/>
      <c r="E2861" s="64">
        <f>IF(tblCommentary[[#This Row],[Date]]="","",COUNTIFS(INDEX(tblCommentary[Date],1):tblCommentary[[#This Row],[Date]],tblCommentary[[#This Row],[Date]]))</f>
        <v/>
      </c>
      <c r="F2861" s="63">
        <f>IF(tblCommentary[[#This Row],[Date]]="","",tblCommentary[[#This Row],[Date]]&amp;"|"&amp;tblCommentary[[#This Row],[Seq_Day]])</f>
        <v/>
      </c>
    </row>
    <row r="2862">
      <c r="A2862" s="54" t="n"/>
      <c r="B2862" s="61" t="n"/>
      <c r="C2862" s="58" t="n"/>
      <c r="D2862" s="58" t="n"/>
      <c r="E2862" s="64">
        <f>IF(tblCommentary[[#This Row],[Date]]="","",COUNTIFS(INDEX(tblCommentary[Date],1):tblCommentary[[#This Row],[Date]],tblCommentary[[#This Row],[Date]]))</f>
        <v/>
      </c>
      <c r="F2862" s="63">
        <f>IF(tblCommentary[[#This Row],[Date]]="","",tblCommentary[[#This Row],[Date]]&amp;"|"&amp;tblCommentary[[#This Row],[Seq_Day]])</f>
        <v/>
      </c>
    </row>
    <row r="2863">
      <c r="A2863" s="54" t="n"/>
      <c r="B2863" s="61" t="n"/>
      <c r="C2863" s="58" t="n"/>
      <c r="D2863" s="58" t="n"/>
      <c r="E2863" s="64">
        <f>IF(tblCommentary[[#This Row],[Date]]="","",COUNTIFS(INDEX(tblCommentary[Date],1):tblCommentary[[#This Row],[Date]],tblCommentary[[#This Row],[Date]]))</f>
        <v/>
      </c>
      <c r="F2863" s="63">
        <f>IF(tblCommentary[[#This Row],[Date]]="","",tblCommentary[[#This Row],[Date]]&amp;"|"&amp;tblCommentary[[#This Row],[Seq_Day]])</f>
        <v/>
      </c>
    </row>
    <row r="2864">
      <c r="A2864" s="54" t="n"/>
      <c r="B2864" s="61" t="n"/>
      <c r="C2864" s="58" t="n"/>
      <c r="D2864" s="58" t="n"/>
      <c r="E2864" s="64">
        <f>IF(tblCommentary[[#This Row],[Date]]="","",COUNTIFS(INDEX(tblCommentary[Date],1):tblCommentary[[#This Row],[Date]],tblCommentary[[#This Row],[Date]]))</f>
        <v/>
      </c>
      <c r="F2864" s="63">
        <f>IF(tblCommentary[[#This Row],[Date]]="","",tblCommentary[[#This Row],[Date]]&amp;"|"&amp;tblCommentary[[#This Row],[Seq_Day]])</f>
        <v/>
      </c>
    </row>
    <row r="2865">
      <c r="A2865" s="54" t="n"/>
      <c r="B2865" s="61" t="n"/>
      <c r="C2865" s="58" t="n"/>
      <c r="D2865" s="58" t="n"/>
      <c r="E2865" s="64">
        <f>IF(tblCommentary[[#This Row],[Date]]="","",COUNTIFS(INDEX(tblCommentary[Date],1):tblCommentary[[#This Row],[Date]],tblCommentary[[#This Row],[Date]]))</f>
        <v/>
      </c>
      <c r="F2865" s="63">
        <f>IF(tblCommentary[[#This Row],[Date]]="","",tblCommentary[[#This Row],[Date]]&amp;"|"&amp;tblCommentary[[#This Row],[Seq_Day]])</f>
        <v/>
      </c>
    </row>
    <row r="2866">
      <c r="A2866" s="54" t="n"/>
      <c r="B2866" s="61" t="n"/>
      <c r="C2866" s="58" t="n"/>
      <c r="D2866" s="58" t="n"/>
      <c r="E2866" s="64">
        <f>IF(tblCommentary[[#This Row],[Date]]="","",COUNTIFS(INDEX(tblCommentary[Date],1):tblCommentary[[#This Row],[Date]],tblCommentary[[#This Row],[Date]]))</f>
        <v/>
      </c>
      <c r="F2866" s="63">
        <f>IF(tblCommentary[[#This Row],[Date]]="","",tblCommentary[[#This Row],[Date]]&amp;"|"&amp;tblCommentary[[#This Row],[Seq_Day]])</f>
        <v/>
      </c>
    </row>
    <row r="2867">
      <c r="A2867" s="54" t="n"/>
      <c r="B2867" s="61" t="n"/>
      <c r="C2867" s="58" t="n"/>
      <c r="D2867" s="58" t="n"/>
      <c r="E2867" s="64">
        <f>IF(tblCommentary[[#This Row],[Date]]="","",COUNTIFS(INDEX(tblCommentary[Date],1):tblCommentary[[#This Row],[Date]],tblCommentary[[#This Row],[Date]]))</f>
        <v/>
      </c>
      <c r="F2867" s="63">
        <f>IF(tblCommentary[[#This Row],[Date]]="","",tblCommentary[[#This Row],[Date]]&amp;"|"&amp;tblCommentary[[#This Row],[Seq_Day]])</f>
        <v/>
      </c>
    </row>
    <row r="2868">
      <c r="A2868" s="54" t="n"/>
      <c r="B2868" s="61" t="n"/>
      <c r="C2868" s="58" t="n"/>
      <c r="D2868" s="58" t="n"/>
      <c r="E2868" s="64">
        <f>IF(tblCommentary[[#This Row],[Date]]="","",COUNTIFS(INDEX(tblCommentary[Date],1):tblCommentary[[#This Row],[Date]],tblCommentary[[#This Row],[Date]]))</f>
        <v/>
      </c>
      <c r="F2868" s="63">
        <f>IF(tblCommentary[[#This Row],[Date]]="","",tblCommentary[[#This Row],[Date]]&amp;"|"&amp;tblCommentary[[#This Row],[Seq_Day]])</f>
        <v/>
      </c>
    </row>
    <row r="2869">
      <c r="A2869" s="54" t="n"/>
      <c r="B2869" s="61" t="n"/>
      <c r="C2869" s="58" t="n"/>
      <c r="D2869" s="58" t="n"/>
      <c r="E2869" s="64">
        <f>IF(tblCommentary[[#This Row],[Date]]="","",COUNTIFS(INDEX(tblCommentary[Date],1):tblCommentary[[#This Row],[Date]],tblCommentary[[#This Row],[Date]]))</f>
        <v/>
      </c>
      <c r="F2869" s="63">
        <f>IF(tblCommentary[[#This Row],[Date]]="","",tblCommentary[[#This Row],[Date]]&amp;"|"&amp;tblCommentary[[#This Row],[Seq_Day]])</f>
        <v/>
      </c>
    </row>
    <row r="2870">
      <c r="A2870" s="54" t="n"/>
      <c r="B2870" s="61" t="n"/>
      <c r="C2870" s="58" t="n"/>
      <c r="D2870" s="58" t="n"/>
      <c r="E2870" s="64">
        <f>IF(tblCommentary[[#This Row],[Date]]="","",COUNTIFS(INDEX(tblCommentary[Date],1):tblCommentary[[#This Row],[Date]],tblCommentary[[#This Row],[Date]]))</f>
        <v/>
      </c>
      <c r="F2870" s="63">
        <f>IF(tblCommentary[[#This Row],[Date]]="","",tblCommentary[[#This Row],[Date]]&amp;"|"&amp;tblCommentary[[#This Row],[Seq_Day]])</f>
        <v/>
      </c>
    </row>
    <row r="2871">
      <c r="A2871" s="54" t="n"/>
      <c r="B2871" s="61" t="n"/>
      <c r="C2871" s="58" t="n"/>
      <c r="D2871" s="58" t="n"/>
      <c r="E2871" s="64">
        <f>IF(tblCommentary[[#This Row],[Date]]="","",COUNTIFS(INDEX(tblCommentary[Date],1):tblCommentary[[#This Row],[Date]],tblCommentary[[#This Row],[Date]]))</f>
        <v/>
      </c>
      <c r="F2871" s="63">
        <f>IF(tblCommentary[[#This Row],[Date]]="","",tblCommentary[[#This Row],[Date]]&amp;"|"&amp;tblCommentary[[#This Row],[Seq_Day]])</f>
        <v/>
      </c>
    </row>
    <row r="2872">
      <c r="A2872" s="54" t="n"/>
      <c r="B2872" s="61" t="n"/>
      <c r="C2872" s="58" t="n"/>
      <c r="D2872" s="58" t="n"/>
      <c r="E2872" s="64">
        <f>IF(tblCommentary[[#This Row],[Date]]="","",COUNTIFS(INDEX(tblCommentary[Date],1):tblCommentary[[#This Row],[Date]],tblCommentary[[#This Row],[Date]]))</f>
        <v/>
      </c>
      <c r="F2872" s="63">
        <f>IF(tblCommentary[[#This Row],[Date]]="","",tblCommentary[[#This Row],[Date]]&amp;"|"&amp;tblCommentary[[#This Row],[Seq_Day]])</f>
        <v/>
      </c>
    </row>
    <row r="2873">
      <c r="A2873" s="54" t="n"/>
      <c r="B2873" s="61" t="n"/>
      <c r="C2873" s="58" t="n"/>
      <c r="D2873" s="58" t="n"/>
      <c r="E2873" s="64">
        <f>IF(tblCommentary[[#This Row],[Date]]="","",COUNTIFS(INDEX(tblCommentary[Date],1):tblCommentary[[#This Row],[Date]],tblCommentary[[#This Row],[Date]]))</f>
        <v/>
      </c>
      <c r="F2873" s="63">
        <f>IF(tblCommentary[[#This Row],[Date]]="","",tblCommentary[[#This Row],[Date]]&amp;"|"&amp;tblCommentary[[#This Row],[Seq_Day]])</f>
        <v/>
      </c>
    </row>
    <row r="2874">
      <c r="A2874" s="54" t="n"/>
      <c r="B2874" s="61" t="n"/>
      <c r="C2874" s="58" t="n"/>
      <c r="D2874" s="58" t="n"/>
      <c r="E2874" s="64">
        <f>IF(tblCommentary[[#This Row],[Date]]="","",COUNTIFS(INDEX(tblCommentary[Date],1):tblCommentary[[#This Row],[Date]],tblCommentary[[#This Row],[Date]]))</f>
        <v/>
      </c>
      <c r="F2874" s="63">
        <f>IF(tblCommentary[[#This Row],[Date]]="","",tblCommentary[[#This Row],[Date]]&amp;"|"&amp;tblCommentary[[#This Row],[Seq_Day]])</f>
        <v/>
      </c>
    </row>
    <row r="2875">
      <c r="A2875" s="54" t="n"/>
      <c r="B2875" s="61" t="n"/>
      <c r="C2875" s="58" t="n"/>
      <c r="D2875" s="58" t="n"/>
      <c r="E2875" s="64">
        <f>IF(tblCommentary[[#This Row],[Date]]="","",COUNTIFS(INDEX(tblCommentary[Date],1):tblCommentary[[#This Row],[Date]],tblCommentary[[#This Row],[Date]]))</f>
        <v/>
      </c>
      <c r="F2875" s="63">
        <f>IF(tblCommentary[[#This Row],[Date]]="","",tblCommentary[[#This Row],[Date]]&amp;"|"&amp;tblCommentary[[#This Row],[Seq_Day]])</f>
        <v/>
      </c>
    </row>
    <row r="2876">
      <c r="A2876" s="54" t="n"/>
      <c r="B2876" s="61" t="n"/>
      <c r="C2876" s="58" t="n"/>
      <c r="D2876" s="58" t="n"/>
      <c r="E2876" s="64">
        <f>IF(tblCommentary[[#This Row],[Date]]="","",COUNTIFS(INDEX(tblCommentary[Date],1):tblCommentary[[#This Row],[Date]],tblCommentary[[#This Row],[Date]]))</f>
        <v/>
      </c>
      <c r="F2876" s="63">
        <f>IF(tblCommentary[[#This Row],[Date]]="","",tblCommentary[[#This Row],[Date]]&amp;"|"&amp;tblCommentary[[#This Row],[Seq_Day]])</f>
        <v/>
      </c>
    </row>
    <row r="2877">
      <c r="A2877" s="54" t="n"/>
      <c r="B2877" s="61" t="n"/>
      <c r="C2877" s="58" t="n"/>
      <c r="D2877" s="58" t="n"/>
      <c r="E2877" s="64">
        <f>IF(tblCommentary[[#This Row],[Date]]="","",COUNTIFS(INDEX(tblCommentary[Date],1):tblCommentary[[#This Row],[Date]],tblCommentary[[#This Row],[Date]]))</f>
        <v/>
      </c>
      <c r="F2877" s="63">
        <f>IF(tblCommentary[[#This Row],[Date]]="","",tblCommentary[[#This Row],[Date]]&amp;"|"&amp;tblCommentary[[#This Row],[Seq_Day]])</f>
        <v/>
      </c>
    </row>
    <row r="2878">
      <c r="A2878" s="54" t="n"/>
      <c r="B2878" s="61" t="n"/>
      <c r="C2878" s="58" t="n"/>
      <c r="D2878" s="58" t="n"/>
      <c r="E2878" s="64">
        <f>IF(tblCommentary[[#This Row],[Date]]="","",COUNTIFS(INDEX(tblCommentary[Date],1):tblCommentary[[#This Row],[Date]],tblCommentary[[#This Row],[Date]]))</f>
        <v/>
      </c>
      <c r="F2878" s="63">
        <f>IF(tblCommentary[[#This Row],[Date]]="","",tblCommentary[[#This Row],[Date]]&amp;"|"&amp;tblCommentary[[#This Row],[Seq_Day]])</f>
        <v/>
      </c>
    </row>
    <row r="2879">
      <c r="A2879" s="54" t="n"/>
      <c r="B2879" s="61" t="n"/>
      <c r="C2879" s="58" t="n"/>
      <c r="D2879" s="58" t="n"/>
      <c r="E2879" s="64">
        <f>IF(tblCommentary[[#This Row],[Date]]="","",COUNTIFS(INDEX(tblCommentary[Date],1):tblCommentary[[#This Row],[Date]],tblCommentary[[#This Row],[Date]]))</f>
        <v/>
      </c>
      <c r="F2879" s="63">
        <f>IF(tblCommentary[[#This Row],[Date]]="","",tblCommentary[[#This Row],[Date]]&amp;"|"&amp;tblCommentary[[#This Row],[Seq_Day]])</f>
        <v/>
      </c>
    </row>
    <row r="2880">
      <c r="A2880" s="54" t="n"/>
      <c r="B2880" s="61" t="n"/>
      <c r="C2880" s="58" t="n"/>
      <c r="D2880" s="58" t="n"/>
      <c r="E2880" s="64">
        <f>IF(tblCommentary[[#This Row],[Date]]="","",COUNTIFS(INDEX(tblCommentary[Date],1):tblCommentary[[#This Row],[Date]],tblCommentary[[#This Row],[Date]]))</f>
        <v/>
      </c>
      <c r="F2880" s="63">
        <f>IF(tblCommentary[[#This Row],[Date]]="","",tblCommentary[[#This Row],[Date]]&amp;"|"&amp;tblCommentary[[#This Row],[Seq_Day]])</f>
        <v/>
      </c>
    </row>
    <row r="2881">
      <c r="A2881" s="54" t="n"/>
      <c r="B2881" s="61" t="n"/>
      <c r="C2881" s="58" t="n"/>
      <c r="D2881" s="58" t="n"/>
      <c r="E2881" s="64">
        <f>IF(tblCommentary[[#This Row],[Date]]="","",COUNTIFS(INDEX(tblCommentary[Date],1):tblCommentary[[#This Row],[Date]],tblCommentary[[#This Row],[Date]]))</f>
        <v/>
      </c>
      <c r="F2881" s="63">
        <f>IF(tblCommentary[[#This Row],[Date]]="","",tblCommentary[[#This Row],[Date]]&amp;"|"&amp;tblCommentary[[#This Row],[Seq_Day]])</f>
        <v/>
      </c>
    </row>
    <row r="2882">
      <c r="A2882" s="54" t="n"/>
      <c r="B2882" s="61" t="n"/>
      <c r="C2882" s="58" t="n"/>
      <c r="D2882" s="58" t="n"/>
      <c r="E2882" s="64">
        <f>IF(tblCommentary[[#This Row],[Date]]="","",COUNTIFS(INDEX(tblCommentary[Date],1):tblCommentary[[#This Row],[Date]],tblCommentary[[#This Row],[Date]]))</f>
        <v/>
      </c>
      <c r="F2882" s="63">
        <f>IF(tblCommentary[[#This Row],[Date]]="","",tblCommentary[[#This Row],[Date]]&amp;"|"&amp;tblCommentary[[#This Row],[Seq_Day]])</f>
        <v/>
      </c>
    </row>
    <row r="2883">
      <c r="A2883" s="54" t="n"/>
      <c r="B2883" s="61" t="n"/>
      <c r="C2883" s="58" t="n"/>
      <c r="D2883" s="58" t="n"/>
      <c r="E2883" s="64">
        <f>IF(tblCommentary[[#This Row],[Date]]="","",COUNTIFS(INDEX(tblCommentary[Date],1):tblCommentary[[#This Row],[Date]],tblCommentary[[#This Row],[Date]]))</f>
        <v/>
      </c>
      <c r="F2883" s="63">
        <f>IF(tblCommentary[[#This Row],[Date]]="","",tblCommentary[[#This Row],[Date]]&amp;"|"&amp;tblCommentary[[#This Row],[Seq_Day]])</f>
        <v/>
      </c>
    </row>
    <row r="2884">
      <c r="A2884" s="54" t="n"/>
      <c r="B2884" s="61" t="n"/>
      <c r="C2884" s="58" t="n"/>
      <c r="D2884" s="58" t="n"/>
      <c r="E2884" s="64">
        <f>IF(tblCommentary[[#This Row],[Date]]="","",COUNTIFS(INDEX(tblCommentary[Date],1):tblCommentary[[#This Row],[Date]],tblCommentary[[#This Row],[Date]]))</f>
        <v/>
      </c>
      <c r="F2884" s="63">
        <f>IF(tblCommentary[[#This Row],[Date]]="","",tblCommentary[[#This Row],[Date]]&amp;"|"&amp;tblCommentary[[#This Row],[Seq_Day]])</f>
        <v/>
      </c>
    </row>
    <row r="2885">
      <c r="A2885" s="54" t="n"/>
      <c r="B2885" s="61" t="n"/>
      <c r="C2885" s="58" t="n"/>
      <c r="D2885" s="58" t="n"/>
      <c r="E2885" s="64">
        <f>IF(tblCommentary[[#This Row],[Date]]="","",COUNTIFS(INDEX(tblCommentary[Date],1):tblCommentary[[#This Row],[Date]],tblCommentary[[#This Row],[Date]]))</f>
        <v/>
      </c>
      <c r="F2885" s="63">
        <f>IF(tblCommentary[[#This Row],[Date]]="","",tblCommentary[[#This Row],[Date]]&amp;"|"&amp;tblCommentary[[#This Row],[Seq_Day]])</f>
        <v/>
      </c>
    </row>
    <row r="2886">
      <c r="A2886" s="54" t="n"/>
      <c r="B2886" s="61" t="n"/>
      <c r="C2886" s="58" t="n"/>
      <c r="D2886" s="58" t="n"/>
      <c r="E2886" s="64">
        <f>IF(tblCommentary[[#This Row],[Date]]="","",COUNTIFS(INDEX(tblCommentary[Date],1):tblCommentary[[#This Row],[Date]],tblCommentary[[#This Row],[Date]]))</f>
        <v/>
      </c>
      <c r="F2886" s="63">
        <f>IF(tblCommentary[[#This Row],[Date]]="","",tblCommentary[[#This Row],[Date]]&amp;"|"&amp;tblCommentary[[#This Row],[Seq_Day]])</f>
        <v/>
      </c>
    </row>
    <row r="2887">
      <c r="A2887" s="54" t="n"/>
      <c r="B2887" s="61" t="n"/>
      <c r="C2887" s="58" t="n"/>
      <c r="D2887" s="58" t="n"/>
      <c r="E2887" s="64">
        <f>IF(tblCommentary[[#This Row],[Date]]="","",COUNTIFS(INDEX(tblCommentary[Date],1):tblCommentary[[#This Row],[Date]],tblCommentary[[#This Row],[Date]]))</f>
        <v/>
      </c>
      <c r="F2887" s="63">
        <f>IF(tblCommentary[[#This Row],[Date]]="","",tblCommentary[[#This Row],[Date]]&amp;"|"&amp;tblCommentary[[#This Row],[Seq_Day]])</f>
        <v/>
      </c>
    </row>
    <row r="2888">
      <c r="A2888" s="54" t="n"/>
      <c r="B2888" s="61" t="n"/>
      <c r="C2888" s="58" t="n"/>
      <c r="D2888" s="58" t="n"/>
      <c r="E2888" s="64">
        <f>IF(tblCommentary[[#This Row],[Date]]="","",COUNTIFS(INDEX(tblCommentary[Date],1):tblCommentary[[#This Row],[Date]],tblCommentary[[#This Row],[Date]]))</f>
        <v/>
      </c>
      <c r="F2888" s="63">
        <f>IF(tblCommentary[[#This Row],[Date]]="","",tblCommentary[[#This Row],[Date]]&amp;"|"&amp;tblCommentary[[#This Row],[Seq_Day]])</f>
        <v/>
      </c>
    </row>
    <row r="2889">
      <c r="A2889" s="54" t="n"/>
      <c r="B2889" s="61" t="n"/>
      <c r="C2889" s="58" t="n"/>
      <c r="D2889" s="58" t="n"/>
      <c r="E2889" s="64">
        <f>IF(tblCommentary[[#This Row],[Date]]="","",COUNTIFS(INDEX(tblCommentary[Date],1):tblCommentary[[#This Row],[Date]],tblCommentary[[#This Row],[Date]]))</f>
        <v/>
      </c>
      <c r="F2889" s="63">
        <f>IF(tblCommentary[[#This Row],[Date]]="","",tblCommentary[[#This Row],[Date]]&amp;"|"&amp;tblCommentary[[#This Row],[Seq_Day]])</f>
        <v/>
      </c>
    </row>
    <row r="2890">
      <c r="A2890" s="54" t="n"/>
      <c r="B2890" s="61" t="n"/>
      <c r="C2890" s="58" t="n"/>
      <c r="D2890" s="58" t="n"/>
      <c r="E2890" s="64">
        <f>IF(tblCommentary[[#This Row],[Date]]="","",COUNTIFS(INDEX(tblCommentary[Date],1):tblCommentary[[#This Row],[Date]],tblCommentary[[#This Row],[Date]]))</f>
        <v/>
      </c>
      <c r="F2890" s="63">
        <f>IF(tblCommentary[[#This Row],[Date]]="","",tblCommentary[[#This Row],[Date]]&amp;"|"&amp;tblCommentary[[#This Row],[Seq_Day]])</f>
        <v/>
      </c>
    </row>
    <row r="2891">
      <c r="A2891" s="54" t="n"/>
      <c r="B2891" s="61" t="n"/>
      <c r="C2891" s="58" t="n"/>
      <c r="D2891" s="58" t="n"/>
      <c r="E2891" s="64">
        <f>IF(tblCommentary[[#This Row],[Date]]="","",COUNTIFS(INDEX(tblCommentary[Date],1):tblCommentary[[#This Row],[Date]],tblCommentary[[#This Row],[Date]]))</f>
        <v/>
      </c>
      <c r="F2891" s="63">
        <f>IF(tblCommentary[[#This Row],[Date]]="","",tblCommentary[[#This Row],[Date]]&amp;"|"&amp;tblCommentary[[#This Row],[Seq_Day]])</f>
        <v/>
      </c>
    </row>
    <row r="2892">
      <c r="A2892" s="54" t="n"/>
      <c r="B2892" s="61" t="n"/>
      <c r="C2892" s="58" t="n"/>
      <c r="D2892" s="58" t="n"/>
      <c r="E2892" s="64">
        <f>IF(tblCommentary[[#This Row],[Date]]="","",COUNTIFS(INDEX(tblCommentary[Date],1):tblCommentary[[#This Row],[Date]],tblCommentary[[#This Row],[Date]]))</f>
        <v/>
      </c>
      <c r="F2892" s="63">
        <f>IF(tblCommentary[[#This Row],[Date]]="","",tblCommentary[[#This Row],[Date]]&amp;"|"&amp;tblCommentary[[#This Row],[Seq_Day]])</f>
        <v/>
      </c>
    </row>
    <row r="2893">
      <c r="A2893" s="54" t="n"/>
      <c r="B2893" s="61" t="n"/>
      <c r="C2893" s="58" t="n"/>
      <c r="D2893" s="58" t="n"/>
      <c r="E2893" s="64">
        <f>IF(tblCommentary[[#This Row],[Date]]="","",COUNTIFS(INDEX(tblCommentary[Date],1):tblCommentary[[#This Row],[Date]],tblCommentary[[#This Row],[Date]]))</f>
        <v/>
      </c>
      <c r="F2893" s="63">
        <f>IF(tblCommentary[[#This Row],[Date]]="","",tblCommentary[[#This Row],[Date]]&amp;"|"&amp;tblCommentary[[#This Row],[Seq_Day]])</f>
        <v/>
      </c>
    </row>
    <row r="2894">
      <c r="A2894" s="54" t="n"/>
      <c r="B2894" s="61" t="n"/>
      <c r="C2894" s="58" t="n"/>
      <c r="D2894" s="58" t="n"/>
      <c r="E2894" s="64">
        <f>IF(tblCommentary[[#This Row],[Date]]="","",COUNTIFS(INDEX(tblCommentary[Date],1):tblCommentary[[#This Row],[Date]],tblCommentary[[#This Row],[Date]]))</f>
        <v/>
      </c>
      <c r="F2894" s="63">
        <f>IF(tblCommentary[[#This Row],[Date]]="","",tblCommentary[[#This Row],[Date]]&amp;"|"&amp;tblCommentary[[#This Row],[Seq_Day]])</f>
        <v/>
      </c>
    </row>
    <row r="2895">
      <c r="A2895" s="54" t="n"/>
      <c r="B2895" s="61" t="n"/>
      <c r="C2895" s="58" t="n"/>
      <c r="D2895" s="58" t="n"/>
      <c r="E2895" s="64">
        <f>IF(tblCommentary[[#This Row],[Date]]="","",COUNTIFS(INDEX(tblCommentary[Date],1):tblCommentary[[#This Row],[Date]],tblCommentary[[#This Row],[Date]]))</f>
        <v/>
      </c>
      <c r="F2895" s="63">
        <f>IF(tblCommentary[[#This Row],[Date]]="","",tblCommentary[[#This Row],[Date]]&amp;"|"&amp;tblCommentary[[#This Row],[Seq_Day]])</f>
        <v/>
      </c>
    </row>
    <row r="2896">
      <c r="A2896" s="54" t="n"/>
      <c r="B2896" s="61" t="n"/>
      <c r="C2896" s="58" t="n"/>
      <c r="D2896" s="58" t="n"/>
      <c r="E2896" s="64">
        <f>IF(tblCommentary[[#This Row],[Date]]="","",COUNTIFS(INDEX(tblCommentary[Date],1):tblCommentary[[#This Row],[Date]],tblCommentary[[#This Row],[Date]]))</f>
        <v/>
      </c>
      <c r="F2896" s="63">
        <f>IF(tblCommentary[[#This Row],[Date]]="","",tblCommentary[[#This Row],[Date]]&amp;"|"&amp;tblCommentary[[#This Row],[Seq_Day]])</f>
        <v/>
      </c>
    </row>
    <row r="2897">
      <c r="A2897" s="54" t="n"/>
      <c r="B2897" s="61" t="n"/>
      <c r="C2897" s="58" t="n"/>
      <c r="D2897" s="58" t="n"/>
      <c r="E2897" s="64">
        <f>IF(tblCommentary[[#This Row],[Date]]="","",COUNTIFS(INDEX(tblCommentary[Date],1):tblCommentary[[#This Row],[Date]],tblCommentary[[#This Row],[Date]]))</f>
        <v/>
      </c>
      <c r="F2897" s="63">
        <f>IF(tblCommentary[[#This Row],[Date]]="","",tblCommentary[[#This Row],[Date]]&amp;"|"&amp;tblCommentary[[#This Row],[Seq_Day]])</f>
        <v/>
      </c>
    </row>
    <row r="2898">
      <c r="A2898" s="54" t="n"/>
      <c r="B2898" s="61" t="n"/>
      <c r="C2898" s="58" t="n"/>
      <c r="D2898" s="58" t="n"/>
      <c r="E2898" s="64">
        <f>IF(tblCommentary[[#This Row],[Date]]="","",COUNTIFS(INDEX(tblCommentary[Date],1):tblCommentary[[#This Row],[Date]],tblCommentary[[#This Row],[Date]]))</f>
        <v/>
      </c>
      <c r="F2898" s="63">
        <f>IF(tblCommentary[[#This Row],[Date]]="","",tblCommentary[[#This Row],[Date]]&amp;"|"&amp;tblCommentary[[#This Row],[Seq_Day]])</f>
        <v/>
      </c>
    </row>
    <row r="2899">
      <c r="A2899" s="54" t="n"/>
      <c r="B2899" s="61" t="n"/>
      <c r="C2899" s="58" t="n"/>
      <c r="D2899" s="58" t="n"/>
      <c r="E2899" s="64">
        <f>IF(tblCommentary[[#This Row],[Date]]="","",COUNTIFS(INDEX(tblCommentary[Date],1):tblCommentary[[#This Row],[Date]],tblCommentary[[#This Row],[Date]]))</f>
        <v/>
      </c>
      <c r="F2899" s="63">
        <f>IF(tblCommentary[[#This Row],[Date]]="","",tblCommentary[[#This Row],[Date]]&amp;"|"&amp;tblCommentary[[#This Row],[Seq_Day]])</f>
        <v/>
      </c>
    </row>
    <row r="2900">
      <c r="A2900" s="54" t="n"/>
      <c r="B2900" s="61" t="n"/>
      <c r="C2900" s="58" t="n"/>
      <c r="D2900" s="58" t="n"/>
      <c r="E2900" s="64">
        <f>IF(tblCommentary[[#This Row],[Date]]="","",COUNTIFS(INDEX(tblCommentary[Date],1):tblCommentary[[#This Row],[Date]],tblCommentary[[#This Row],[Date]]))</f>
        <v/>
      </c>
      <c r="F2900" s="63">
        <f>IF(tblCommentary[[#This Row],[Date]]="","",tblCommentary[[#This Row],[Date]]&amp;"|"&amp;tblCommentary[[#This Row],[Seq_Day]])</f>
        <v/>
      </c>
    </row>
    <row r="2901">
      <c r="A2901" s="54" t="n"/>
      <c r="B2901" s="61" t="n"/>
      <c r="C2901" s="58" t="n"/>
      <c r="D2901" s="58" t="n"/>
      <c r="E2901" s="64">
        <f>IF(tblCommentary[[#This Row],[Date]]="","",COUNTIFS(INDEX(tblCommentary[Date],1):tblCommentary[[#This Row],[Date]],tblCommentary[[#This Row],[Date]]))</f>
        <v/>
      </c>
      <c r="F2901" s="63">
        <f>IF(tblCommentary[[#This Row],[Date]]="","",tblCommentary[[#This Row],[Date]]&amp;"|"&amp;tblCommentary[[#This Row],[Seq_Day]])</f>
        <v/>
      </c>
    </row>
    <row r="2902">
      <c r="A2902" s="54" t="n"/>
      <c r="B2902" s="61" t="n"/>
      <c r="C2902" s="58" t="n"/>
      <c r="D2902" s="58" t="n"/>
      <c r="E2902" s="64">
        <f>IF(tblCommentary[[#This Row],[Date]]="","",COUNTIFS(INDEX(tblCommentary[Date],1):tblCommentary[[#This Row],[Date]],tblCommentary[[#This Row],[Date]]))</f>
        <v/>
      </c>
      <c r="F2902" s="63">
        <f>IF(tblCommentary[[#This Row],[Date]]="","",tblCommentary[[#This Row],[Date]]&amp;"|"&amp;tblCommentary[[#This Row],[Seq_Day]])</f>
        <v/>
      </c>
    </row>
    <row r="2903">
      <c r="A2903" s="54" t="n"/>
      <c r="B2903" s="61" t="n"/>
      <c r="C2903" s="58" t="n"/>
      <c r="D2903" s="58" t="n"/>
      <c r="E2903" s="64">
        <f>IF(tblCommentary[[#This Row],[Date]]="","",COUNTIFS(INDEX(tblCommentary[Date],1):tblCommentary[[#This Row],[Date]],tblCommentary[[#This Row],[Date]]))</f>
        <v/>
      </c>
      <c r="F2903" s="63">
        <f>IF(tblCommentary[[#This Row],[Date]]="","",tblCommentary[[#This Row],[Date]]&amp;"|"&amp;tblCommentary[[#This Row],[Seq_Day]])</f>
        <v/>
      </c>
    </row>
    <row r="2904">
      <c r="A2904" s="54" t="n"/>
      <c r="B2904" s="61" t="n"/>
      <c r="C2904" s="58" t="n"/>
      <c r="D2904" s="58" t="n"/>
      <c r="E2904" s="64">
        <f>IF(tblCommentary[[#This Row],[Date]]="","",COUNTIFS(INDEX(tblCommentary[Date],1):tblCommentary[[#This Row],[Date]],tblCommentary[[#This Row],[Date]]))</f>
        <v/>
      </c>
      <c r="F2904" s="63">
        <f>IF(tblCommentary[[#This Row],[Date]]="","",tblCommentary[[#This Row],[Date]]&amp;"|"&amp;tblCommentary[[#This Row],[Seq_Day]])</f>
        <v/>
      </c>
    </row>
    <row r="2905">
      <c r="A2905" s="54" t="n"/>
      <c r="B2905" s="61" t="n"/>
      <c r="C2905" s="58" t="n"/>
      <c r="D2905" s="58" t="n"/>
      <c r="E2905" s="64">
        <f>IF(tblCommentary[[#This Row],[Date]]="","",COUNTIFS(INDEX(tblCommentary[Date],1):tblCommentary[[#This Row],[Date]],tblCommentary[[#This Row],[Date]]))</f>
        <v/>
      </c>
      <c r="F2905" s="63">
        <f>IF(tblCommentary[[#This Row],[Date]]="","",tblCommentary[[#This Row],[Date]]&amp;"|"&amp;tblCommentary[[#This Row],[Seq_Day]])</f>
        <v/>
      </c>
    </row>
    <row r="2906">
      <c r="A2906" s="54" t="n"/>
      <c r="B2906" s="61" t="n"/>
      <c r="C2906" s="58" t="n"/>
      <c r="D2906" s="58" t="n"/>
      <c r="E2906" s="64">
        <f>IF(tblCommentary[[#This Row],[Date]]="","",COUNTIFS(INDEX(tblCommentary[Date],1):tblCommentary[[#This Row],[Date]],tblCommentary[[#This Row],[Date]]))</f>
        <v/>
      </c>
      <c r="F2906" s="63">
        <f>IF(tblCommentary[[#This Row],[Date]]="","",tblCommentary[[#This Row],[Date]]&amp;"|"&amp;tblCommentary[[#This Row],[Seq_Day]])</f>
        <v/>
      </c>
    </row>
    <row r="2907">
      <c r="A2907" s="54" t="n"/>
      <c r="B2907" s="61" t="n"/>
      <c r="C2907" s="58" t="n"/>
      <c r="D2907" s="58" t="n"/>
      <c r="E2907" s="64">
        <f>IF(tblCommentary[[#This Row],[Date]]="","",COUNTIFS(INDEX(tblCommentary[Date],1):tblCommentary[[#This Row],[Date]],tblCommentary[[#This Row],[Date]]))</f>
        <v/>
      </c>
      <c r="F2907" s="63">
        <f>IF(tblCommentary[[#This Row],[Date]]="","",tblCommentary[[#This Row],[Date]]&amp;"|"&amp;tblCommentary[[#This Row],[Seq_Day]])</f>
        <v/>
      </c>
    </row>
    <row r="2908">
      <c r="A2908" s="54" t="n"/>
      <c r="B2908" s="61" t="n"/>
      <c r="C2908" s="58" t="n"/>
      <c r="D2908" s="58" t="n"/>
      <c r="E2908" s="64">
        <f>IF(tblCommentary[[#This Row],[Date]]="","",COUNTIFS(INDEX(tblCommentary[Date],1):tblCommentary[[#This Row],[Date]],tblCommentary[[#This Row],[Date]]))</f>
        <v/>
      </c>
      <c r="F2908" s="63">
        <f>IF(tblCommentary[[#This Row],[Date]]="","",tblCommentary[[#This Row],[Date]]&amp;"|"&amp;tblCommentary[[#This Row],[Seq_Day]])</f>
        <v/>
      </c>
    </row>
    <row r="2909">
      <c r="A2909" s="54" t="n"/>
      <c r="B2909" s="61" t="n"/>
      <c r="C2909" s="58" t="n"/>
      <c r="D2909" s="58" t="n"/>
      <c r="E2909" s="64">
        <f>IF(tblCommentary[[#This Row],[Date]]="","",COUNTIFS(INDEX(tblCommentary[Date],1):tblCommentary[[#This Row],[Date]],tblCommentary[[#This Row],[Date]]))</f>
        <v/>
      </c>
      <c r="F2909" s="63">
        <f>IF(tblCommentary[[#This Row],[Date]]="","",tblCommentary[[#This Row],[Date]]&amp;"|"&amp;tblCommentary[[#This Row],[Seq_Day]])</f>
        <v/>
      </c>
    </row>
    <row r="2910">
      <c r="A2910" s="54" t="n"/>
      <c r="B2910" s="61" t="n"/>
      <c r="C2910" s="58" t="n"/>
      <c r="D2910" s="58" t="n"/>
      <c r="E2910" s="64">
        <f>IF(tblCommentary[[#This Row],[Date]]="","",COUNTIFS(INDEX(tblCommentary[Date],1):tblCommentary[[#This Row],[Date]],tblCommentary[[#This Row],[Date]]))</f>
        <v/>
      </c>
      <c r="F2910" s="63">
        <f>IF(tblCommentary[[#This Row],[Date]]="","",tblCommentary[[#This Row],[Date]]&amp;"|"&amp;tblCommentary[[#This Row],[Seq_Day]])</f>
        <v/>
      </c>
    </row>
    <row r="2911">
      <c r="A2911" s="54" t="n"/>
      <c r="B2911" s="61" t="n"/>
      <c r="C2911" s="58" t="n"/>
      <c r="D2911" s="58" t="n"/>
      <c r="E2911" s="64">
        <f>IF(tblCommentary[[#This Row],[Date]]="","",COUNTIFS(INDEX(tblCommentary[Date],1):tblCommentary[[#This Row],[Date]],tblCommentary[[#This Row],[Date]]))</f>
        <v/>
      </c>
      <c r="F2911" s="63">
        <f>IF(tblCommentary[[#This Row],[Date]]="","",tblCommentary[[#This Row],[Date]]&amp;"|"&amp;tblCommentary[[#This Row],[Seq_Day]])</f>
        <v/>
      </c>
    </row>
    <row r="2912">
      <c r="A2912" s="54" t="n"/>
      <c r="B2912" s="61" t="n"/>
      <c r="C2912" s="58" t="n"/>
      <c r="D2912" s="58" t="n"/>
      <c r="E2912" s="64">
        <f>IF(tblCommentary[[#This Row],[Date]]="","",COUNTIFS(INDEX(tblCommentary[Date],1):tblCommentary[[#This Row],[Date]],tblCommentary[[#This Row],[Date]]))</f>
        <v/>
      </c>
      <c r="F2912" s="63">
        <f>IF(tblCommentary[[#This Row],[Date]]="","",tblCommentary[[#This Row],[Date]]&amp;"|"&amp;tblCommentary[[#This Row],[Seq_Day]])</f>
        <v/>
      </c>
    </row>
    <row r="2913">
      <c r="A2913" s="54" t="n"/>
      <c r="B2913" s="61" t="n"/>
      <c r="C2913" s="58" t="n"/>
      <c r="D2913" s="58" t="n"/>
      <c r="E2913" s="64">
        <f>IF(tblCommentary[[#This Row],[Date]]="","",COUNTIFS(INDEX(tblCommentary[Date],1):tblCommentary[[#This Row],[Date]],tblCommentary[[#This Row],[Date]]))</f>
        <v/>
      </c>
      <c r="F2913" s="63">
        <f>IF(tblCommentary[[#This Row],[Date]]="","",tblCommentary[[#This Row],[Date]]&amp;"|"&amp;tblCommentary[[#This Row],[Seq_Day]])</f>
        <v/>
      </c>
    </row>
    <row r="2914">
      <c r="A2914" s="54" t="n"/>
      <c r="B2914" s="61" t="n"/>
      <c r="C2914" s="58" t="n"/>
      <c r="D2914" s="58" t="n"/>
      <c r="E2914" s="64">
        <f>IF(tblCommentary[[#This Row],[Date]]="","",COUNTIFS(INDEX(tblCommentary[Date],1):tblCommentary[[#This Row],[Date]],tblCommentary[[#This Row],[Date]]))</f>
        <v/>
      </c>
      <c r="F2914" s="63">
        <f>IF(tblCommentary[[#This Row],[Date]]="","",tblCommentary[[#This Row],[Date]]&amp;"|"&amp;tblCommentary[[#This Row],[Seq_Day]])</f>
        <v/>
      </c>
    </row>
    <row r="2915">
      <c r="A2915" s="54" t="n"/>
      <c r="B2915" s="61" t="n"/>
      <c r="C2915" s="58" t="n"/>
      <c r="D2915" s="58" t="n"/>
      <c r="E2915" s="64">
        <f>IF(tblCommentary[[#This Row],[Date]]="","",COUNTIFS(INDEX(tblCommentary[Date],1):tblCommentary[[#This Row],[Date]],tblCommentary[[#This Row],[Date]]))</f>
        <v/>
      </c>
      <c r="F2915" s="63">
        <f>IF(tblCommentary[[#This Row],[Date]]="","",tblCommentary[[#This Row],[Date]]&amp;"|"&amp;tblCommentary[[#This Row],[Seq_Day]])</f>
        <v/>
      </c>
    </row>
    <row r="2916">
      <c r="A2916" s="54" t="n"/>
      <c r="B2916" s="61" t="n"/>
      <c r="C2916" s="58" t="n"/>
      <c r="D2916" s="58" t="n"/>
      <c r="E2916" s="64">
        <f>IF(tblCommentary[[#This Row],[Date]]="","",COUNTIFS(INDEX(tblCommentary[Date],1):tblCommentary[[#This Row],[Date]],tblCommentary[[#This Row],[Date]]))</f>
        <v/>
      </c>
      <c r="F2916" s="63">
        <f>IF(tblCommentary[[#This Row],[Date]]="","",tblCommentary[[#This Row],[Date]]&amp;"|"&amp;tblCommentary[[#This Row],[Seq_Day]])</f>
        <v/>
      </c>
    </row>
    <row r="2917">
      <c r="A2917" s="54" t="n"/>
      <c r="B2917" s="61" t="n"/>
      <c r="C2917" s="58" t="n"/>
      <c r="D2917" s="58" t="n"/>
      <c r="E2917" s="64">
        <f>IF(tblCommentary[[#This Row],[Date]]="","",COUNTIFS(INDEX(tblCommentary[Date],1):tblCommentary[[#This Row],[Date]],tblCommentary[[#This Row],[Date]]))</f>
        <v/>
      </c>
      <c r="F2917" s="63">
        <f>IF(tblCommentary[[#This Row],[Date]]="","",tblCommentary[[#This Row],[Date]]&amp;"|"&amp;tblCommentary[[#This Row],[Seq_Day]])</f>
        <v/>
      </c>
    </row>
    <row r="2918">
      <c r="A2918" s="54" t="n"/>
      <c r="B2918" s="61" t="n"/>
      <c r="C2918" s="58" t="n"/>
      <c r="D2918" s="58" t="n"/>
      <c r="E2918" s="64">
        <f>IF(tblCommentary[[#This Row],[Date]]="","",COUNTIFS(INDEX(tblCommentary[Date],1):tblCommentary[[#This Row],[Date]],tblCommentary[[#This Row],[Date]]))</f>
        <v/>
      </c>
      <c r="F2918" s="63">
        <f>IF(tblCommentary[[#This Row],[Date]]="","",tblCommentary[[#This Row],[Date]]&amp;"|"&amp;tblCommentary[[#This Row],[Seq_Day]])</f>
        <v/>
      </c>
    </row>
    <row r="2919">
      <c r="A2919" s="54" t="n"/>
      <c r="B2919" s="61" t="n"/>
      <c r="C2919" s="58" t="n"/>
      <c r="D2919" s="58" t="n"/>
      <c r="E2919" s="64">
        <f>IF(tblCommentary[[#This Row],[Date]]="","",COUNTIFS(INDEX(tblCommentary[Date],1):tblCommentary[[#This Row],[Date]],tblCommentary[[#This Row],[Date]]))</f>
        <v/>
      </c>
      <c r="F2919" s="63">
        <f>IF(tblCommentary[[#This Row],[Date]]="","",tblCommentary[[#This Row],[Date]]&amp;"|"&amp;tblCommentary[[#This Row],[Seq_Day]])</f>
        <v/>
      </c>
    </row>
    <row r="2920">
      <c r="A2920" s="54" t="n"/>
      <c r="B2920" s="61" t="n"/>
      <c r="C2920" s="58" t="n"/>
      <c r="D2920" s="58" t="n"/>
      <c r="E2920" s="64">
        <f>IF(tblCommentary[[#This Row],[Date]]="","",COUNTIFS(INDEX(tblCommentary[Date],1):tblCommentary[[#This Row],[Date]],tblCommentary[[#This Row],[Date]]))</f>
        <v/>
      </c>
      <c r="F2920" s="63">
        <f>IF(tblCommentary[[#This Row],[Date]]="","",tblCommentary[[#This Row],[Date]]&amp;"|"&amp;tblCommentary[[#This Row],[Seq_Day]])</f>
        <v/>
      </c>
    </row>
    <row r="2921">
      <c r="A2921" s="54" t="n"/>
      <c r="B2921" s="61" t="n"/>
      <c r="C2921" s="58" t="n"/>
      <c r="D2921" s="58" t="n"/>
      <c r="E2921" s="64">
        <f>IF(tblCommentary[[#This Row],[Date]]="","",COUNTIFS(INDEX(tblCommentary[Date],1):tblCommentary[[#This Row],[Date]],tblCommentary[[#This Row],[Date]]))</f>
        <v/>
      </c>
      <c r="F2921" s="63">
        <f>IF(tblCommentary[[#This Row],[Date]]="","",tblCommentary[[#This Row],[Date]]&amp;"|"&amp;tblCommentary[[#This Row],[Seq_Day]])</f>
        <v/>
      </c>
    </row>
    <row r="2922">
      <c r="A2922" s="54" t="n"/>
      <c r="B2922" s="61" t="n"/>
      <c r="C2922" s="58" t="n"/>
      <c r="D2922" s="58" t="n"/>
      <c r="E2922" s="64">
        <f>IF(tblCommentary[[#This Row],[Date]]="","",COUNTIFS(INDEX(tblCommentary[Date],1):tblCommentary[[#This Row],[Date]],tblCommentary[[#This Row],[Date]]))</f>
        <v/>
      </c>
      <c r="F2922" s="63">
        <f>IF(tblCommentary[[#This Row],[Date]]="","",tblCommentary[[#This Row],[Date]]&amp;"|"&amp;tblCommentary[[#This Row],[Seq_Day]])</f>
        <v/>
      </c>
    </row>
    <row r="2923">
      <c r="A2923" s="54" t="n"/>
      <c r="B2923" s="61" t="n"/>
      <c r="C2923" s="58" t="n"/>
      <c r="D2923" s="58" t="n"/>
      <c r="E2923" s="64">
        <f>IF(tblCommentary[[#This Row],[Date]]="","",COUNTIFS(INDEX(tblCommentary[Date],1):tblCommentary[[#This Row],[Date]],tblCommentary[[#This Row],[Date]]))</f>
        <v/>
      </c>
      <c r="F2923" s="63">
        <f>IF(tblCommentary[[#This Row],[Date]]="","",tblCommentary[[#This Row],[Date]]&amp;"|"&amp;tblCommentary[[#This Row],[Seq_Day]])</f>
        <v/>
      </c>
    </row>
    <row r="2924">
      <c r="A2924" s="54" t="n"/>
      <c r="B2924" s="61" t="n"/>
      <c r="C2924" s="58" t="n"/>
      <c r="D2924" s="58" t="n"/>
      <c r="E2924" s="64">
        <f>IF(tblCommentary[[#This Row],[Date]]="","",COUNTIFS(INDEX(tblCommentary[Date],1):tblCommentary[[#This Row],[Date]],tblCommentary[[#This Row],[Date]]))</f>
        <v/>
      </c>
      <c r="F2924" s="63">
        <f>IF(tblCommentary[[#This Row],[Date]]="","",tblCommentary[[#This Row],[Date]]&amp;"|"&amp;tblCommentary[[#This Row],[Seq_Day]])</f>
        <v/>
      </c>
    </row>
    <row r="2925">
      <c r="A2925" s="54" t="n"/>
      <c r="B2925" s="61" t="n"/>
      <c r="C2925" s="58" t="n"/>
      <c r="D2925" s="58" t="n"/>
      <c r="E2925" s="64">
        <f>IF(tblCommentary[[#This Row],[Date]]="","",COUNTIFS(INDEX(tblCommentary[Date],1):tblCommentary[[#This Row],[Date]],tblCommentary[[#This Row],[Date]]))</f>
        <v/>
      </c>
      <c r="F2925" s="63">
        <f>IF(tblCommentary[[#This Row],[Date]]="","",tblCommentary[[#This Row],[Date]]&amp;"|"&amp;tblCommentary[[#This Row],[Seq_Day]])</f>
        <v/>
      </c>
    </row>
    <row r="2926">
      <c r="A2926" s="54" t="n"/>
      <c r="B2926" s="61" t="n"/>
      <c r="C2926" s="58" t="n"/>
      <c r="D2926" s="58" t="n"/>
      <c r="E2926" s="64">
        <f>IF(tblCommentary[[#This Row],[Date]]="","",COUNTIFS(INDEX(tblCommentary[Date],1):tblCommentary[[#This Row],[Date]],tblCommentary[[#This Row],[Date]]))</f>
        <v/>
      </c>
      <c r="F2926" s="63">
        <f>IF(tblCommentary[[#This Row],[Date]]="","",tblCommentary[[#This Row],[Date]]&amp;"|"&amp;tblCommentary[[#This Row],[Seq_Day]])</f>
        <v/>
      </c>
    </row>
    <row r="2927">
      <c r="A2927" s="54" t="n"/>
      <c r="B2927" s="61" t="n"/>
      <c r="C2927" s="58" t="n"/>
      <c r="D2927" s="58" t="n"/>
      <c r="E2927" s="64">
        <f>IF(tblCommentary[[#This Row],[Date]]="","",COUNTIFS(INDEX(tblCommentary[Date],1):tblCommentary[[#This Row],[Date]],tblCommentary[[#This Row],[Date]]))</f>
        <v/>
      </c>
      <c r="F2927" s="63">
        <f>IF(tblCommentary[[#This Row],[Date]]="","",tblCommentary[[#This Row],[Date]]&amp;"|"&amp;tblCommentary[[#This Row],[Seq_Day]])</f>
        <v/>
      </c>
    </row>
    <row r="2928">
      <c r="A2928" s="54" t="n"/>
      <c r="B2928" s="61" t="n"/>
      <c r="C2928" s="58" t="n"/>
      <c r="D2928" s="58" t="n"/>
      <c r="E2928" s="64">
        <f>IF(tblCommentary[[#This Row],[Date]]="","",COUNTIFS(INDEX(tblCommentary[Date],1):tblCommentary[[#This Row],[Date]],tblCommentary[[#This Row],[Date]]))</f>
        <v/>
      </c>
      <c r="F2928" s="63">
        <f>IF(tblCommentary[[#This Row],[Date]]="","",tblCommentary[[#This Row],[Date]]&amp;"|"&amp;tblCommentary[[#This Row],[Seq_Day]])</f>
        <v/>
      </c>
    </row>
    <row r="2929">
      <c r="A2929" s="54" t="n"/>
      <c r="B2929" s="61" t="n"/>
      <c r="C2929" s="58" t="n"/>
      <c r="D2929" s="58" t="n"/>
      <c r="E2929" s="64">
        <f>IF(tblCommentary[[#This Row],[Date]]="","",COUNTIFS(INDEX(tblCommentary[Date],1):tblCommentary[[#This Row],[Date]],tblCommentary[[#This Row],[Date]]))</f>
        <v/>
      </c>
      <c r="F2929" s="63">
        <f>IF(tblCommentary[[#This Row],[Date]]="","",tblCommentary[[#This Row],[Date]]&amp;"|"&amp;tblCommentary[[#This Row],[Seq_Day]])</f>
        <v/>
      </c>
    </row>
    <row r="2930">
      <c r="A2930" s="54" t="n"/>
      <c r="B2930" s="61" t="n"/>
      <c r="C2930" s="58" t="n"/>
      <c r="D2930" s="58" t="n"/>
      <c r="E2930" s="64">
        <f>IF(tblCommentary[[#This Row],[Date]]="","",COUNTIFS(INDEX(tblCommentary[Date],1):tblCommentary[[#This Row],[Date]],tblCommentary[[#This Row],[Date]]))</f>
        <v/>
      </c>
      <c r="F2930" s="63">
        <f>IF(tblCommentary[[#This Row],[Date]]="","",tblCommentary[[#This Row],[Date]]&amp;"|"&amp;tblCommentary[[#This Row],[Seq_Day]])</f>
        <v/>
      </c>
    </row>
    <row r="2931">
      <c r="A2931" s="54" t="n"/>
      <c r="B2931" s="61" t="n"/>
      <c r="C2931" s="58" t="n"/>
      <c r="D2931" s="58" t="n"/>
      <c r="E2931" s="64">
        <f>IF(tblCommentary[[#This Row],[Date]]="","",COUNTIFS(INDEX(tblCommentary[Date],1):tblCommentary[[#This Row],[Date]],tblCommentary[[#This Row],[Date]]))</f>
        <v/>
      </c>
      <c r="F2931" s="63">
        <f>IF(tblCommentary[[#This Row],[Date]]="","",tblCommentary[[#This Row],[Date]]&amp;"|"&amp;tblCommentary[[#This Row],[Seq_Day]])</f>
        <v/>
      </c>
    </row>
    <row r="2932">
      <c r="A2932" s="54" t="n"/>
      <c r="B2932" s="61" t="n"/>
      <c r="C2932" s="58" t="n"/>
      <c r="D2932" s="58" t="n"/>
      <c r="E2932" s="64">
        <f>IF(tblCommentary[[#This Row],[Date]]="","",COUNTIFS(INDEX(tblCommentary[Date],1):tblCommentary[[#This Row],[Date]],tblCommentary[[#This Row],[Date]]))</f>
        <v/>
      </c>
      <c r="F2932" s="63">
        <f>IF(tblCommentary[[#This Row],[Date]]="","",tblCommentary[[#This Row],[Date]]&amp;"|"&amp;tblCommentary[[#This Row],[Seq_Day]])</f>
        <v/>
      </c>
    </row>
    <row r="2933">
      <c r="A2933" s="54" t="n"/>
      <c r="B2933" s="61" t="n"/>
      <c r="C2933" s="58" t="n"/>
      <c r="D2933" s="58" t="n"/>
      <c r="E2933" s="64">
        <f>IF(tblCommentary[[#This Row],[Date]]="","",COUNTIFS(INDEX(tblCommentary[Date],1):tblCommentary[[#This Row],[Date]],tblCommentary[[#This Row],[Date]]))</f>
        <v/>
      </c>
      <c r="F2933" s="63">
        <f>IF(tblCommentary[[#This Row],[Date]]="","",tblCommentary[[#This Row],[Date]]&amp;"|"&amp;tblCommentary[[#This Row],[Seq_Day]])</f>
        <v/>
      </c>
    </row>
    <row r="2934">
      <c r="A2934" s="54" t="n"/>
      <c r="B2934" s="61" t="n"/>
      <c r="C2934" s="58" t="n"/>
      <c r="D2934" s="58" t="n"/>
      <c r="E2934" s="64">
        <f>IF(tblCommentary[[#This Row],[Date]]="","",COUNTIFS(INDEX(tblCommentary[Date],1):tblCommentary[[#This Row],[Date]],tblCommentary[[#This Row],[Date]]))</f>
        <v/>
      </c>
      <c r="F2934" s="63">
        <f>IF(tblCommentary[[#This Row],[Date]]="","",tblCommentary[[#This Row],[Date]]&amp;"|"&amp;tblCommentary[[#This Row],[Seq_Day]])</f>
        <v/>
      </c>
    </row>
    <row r="2935">
      <c r="A2935" s="54" t="n"/>
      <c r="B2935" s="61" t="n"/>
      <c r="C2935" s="58" t="n"/>
      <c r="D2935" s="58" t="n"/>
      <c r="E2935" s="64">
        <f>IF(tblCommentary[[#This Row],[Date]]="","",COUNTIFS(INDEX(tblCommentary[Date],1):tblCommentary[[#This Row],[Date]],tblCommentary[[#This Row],[Date]]))</f>
        <v/>
      </c>
      <c r="F2935" s="63">
        <f>IF(tblCommentary[[#This Row],[Date]]="","",tblCommentary[[#This Row],[Date]]&amp;"|"&amp;tblCommentary[[#This Row],[Seq_Day]])</f>
        <v/>
      </c>
    </row>
    <row r="2936">
      <c r="A2936" s="54" t="n"/>
      <c r="B2936" s="61" t="n"/>
      <c r="C2936" s="58" t="n"/>
      <c r="D2936" s="58" t="n"/>
      <c r="E2936" s="64">
        <f>IF(tblCommentary[[#This Row],[Date]]="","",COUNTIFS(INDEX(tblCommentary[Date],1):tblCommentary[[#This Row],[Date]],tblCommentary[[#This Row],[Date]]))</f>
        <v/>
      </c>
      <c r="F2936" s="63">
        <f>IF(tblCommentary[[#This Row],[Date]]="","",tblCommentary[[#This Row],[Date]]&amp;"|"&amp;tblCommentary[[#This Row],[Seq_Day]])</f>
        <v/>
      </c>
    </row>
    <row r="2937">
      <c r="A2937" s="54" t="n"/>
      <c r="B2937" s="61" t="n"/>
      <c r="C2937" s="58" t="n"/>
      <c r="D2937" s="58" t="n"/>
      <c r="E2937" s="64">
        <f>IF(tblCommentary[[#This Row],[Date]]="","",COUNTIFS(INDEX(tblCommentary[Date],1):tblCommentary[[#This Row],[Date]],tblCommentary[[#This Row],[Date]]))</f>
        <v/>
      </c>
      <c r="F2937" s="63">
        <f>IF(tblCommentary[[#This Row],[Date]]="","",tblCommentary[[#This Row],[Date]]&amp;"|"&amp;tblCommentary[[#This Row],[Seq_Day]])</f>
        <v/>
      </c>
    </row>
    <row r="2938">
      <c r="A2938" s="54" t="n"/>
      <c r="B2938" s="61" t="n"/>
      <c r="C2938" s="58" t="n"/>
      <c r="D2938" s="58" t="n"/>
      <c r="E2938" s="64">
        <f>IF(tblCommentary[[#This Row],[Date]]="","",COUNTIFS(INDEX(tblCommentary[Date],1):tblCommentary[[#This Row],[Date]],tblCommentary[[#This Row],[Date]]))</f>
        <v/>
      </c>
      <c r="F2938" s="63">
        <f>IF(tblCommentary[[#This Row],[Date]]="","",tblCommentary[[#This Row],[Date]]&amp;"|"&amp;tblCommentary[[#This Row],[Seq_Day]])</f>
        <v/>
      </c>
    </row>
    <row r="2939">
      <c r="A2939" s="54" t="n"/>
      <c r="B2939" s="61" t="n"/>
      <c r="C2939" s="58" t="n"/>
      <c r="D2939" s="58" t="n"/>
      <c r="E2939" s="64">
        <f>IF(tblCommentary[[#This Row],[Date]]="","",COUNTIFS(INDEX(tblCommentary[Date],1):tblCommentary[[#This Row],[Date]],tblCommentary[[#This Row],[Date]]))</f>
        <v/>
      </c>
      <c r="F2939" s="63">
        <f>IF(tblCommentary[[#This Row],[Date]]="","",tblCommentary[[#This Row],[Date]]&amp;"|"&amp;tblCommentary[[#This Row],[Seq_Day]])</f>
        <v/>
      </c>
    </row>
    <row r="2940">
      <c r="A2940" s="54" t="n"/>
      <c r="B2940" s="61" t="n"/>
      <c r="C2940" s="58" t="n"/>
      <c r="D2940" s="58" t="n"/>
      <c r="E2940" s="64">
        <f>IF(tblCommentary[[#This Row],[Date]]="","",COUNTIFS(INDEX(tblCommentary[Date],1):tblCommentary[[#This Row],[Date]],tblCommentary[[#This Row],[Date]]))</f>
        <v/>
      </c>
      <c r="F2940" s="63">
        <f>IF(tblCommentary[[#This Row],[Date]]="","",tblCommentary[[#This Row],[Date]]&amp;"|"&amp;tblCommentary[[#This Row],[Seq_Day]])</f>
        <v/>
      </c>
    </row>
    <row r="2941">
      <c r="A2941" s="54" t="n"/>
      <c r="B2941" s="61" t="n"/>
      <c r="C2941" s="58" t="n"/>
      <c r="D2941" s="58" t="n"/>
      <c r="E2941" s="64">
        <f>IF(tblCommentary[[#This Row],[Date]]="","",COUNTIFS(INDEX(tblCommentary[Date],1):tblCommentary[[#This Row],[Date]],tblCommentary[[#This Row],[Date]]))</f>
        <v/>
      </c>
      <c r="F2941" s="63">
        <f>IF(tblCommentary[[#This Row],[Date]]="","",tblCommentary[[#This Row],[Date]]&amp;"|"&amp;tblCommentary[[#This Row],[Seq_Day]])</f>
        <v/>
      </c>
    </row>
    <row r="2942">
      <c r="A2942" s="54" t="n"/>
      <c r="B2942" s="61" t="n"/>
      <c r="C2942" s="58" t="n"/>
      <c r="D2942" s="58" t="n"/>
      <c r="E2942" s="64">
        <f>IF(tblCommentary[[#This Row],[Date]]="","",COUNTIFS(INDEX(tblCommentary[Date],1):tblCommentary[[#This Row],[Date]],tblCommentary[[#This Row],[Date]]))</f>
        <v/>
      </c>
      <c r="F2942" s="63">
        <f>IF(tblCommentary[[#This Row],[Date]]="","",tblCommentary[[#This Row],[Date]]&amp;"|"&amp;tblCommentary[[#This Row],[Seq_Day]])</f>
        <v/>
      </c>
    </row>
    <row r="2943">
      <c r="A2943" s="54" t="n"/>
      <c r="B2943" s="61" t="n"/>
      <c r="C2943" s="58" t="n"/>
      <c r="D2943" s="58" t="n"/>
      <c r="E2943" s="64">
        <f>IF(tblCommentary[[#This Row],[Date]]="","",COUNTIFS(INDEX(tblCommentary[Date],1):tblCommentary[[#This Row],[Date]],tblCommentary[[#This Row],[Date]]))</f>
        <v/>
      </c>
      <c r="F2943" s="63">
        <f>IF(tblCommentary[[#This Row],[Date]]="","",tblCommentary[[#This Row],[Date]]&amp;"|"&amp;tblCommentary[[#This Row],[Seq_Day]])</f>
        <v/>
      </c>
    </row>
    <row r="2944">
      <c r="A2944" s="54" t="n"/>
      <c r="B2944" s="61" t="n"/>
      <c r="C2944" s="58" t="n"/>
      <c r="D2944" s="58" t="n"/>
      <c r="E2944" s="64">
        <f>IF(tblCommentary[[#This Row],[Date]]="","",COUNTIFS(INDEX(tblCommentary[Date],1):tblCommentary[[#This Row],[Date]],tblCommentary[[#This Row],[Date]]))</f>
        <v/>
      </c>
      <c r="F2944" s="63">
        <f>IF(tblCommentary[[#This Row],[Date]]="","",tblCommentary[[#This Row],[Date]]&amp;"|"&amp;tblCommentary[[#This Row],[Seq_Day]])</f>
        <v/>
      </c>
    </row>
    <row r="2945">
      <c r="A2945" s="54" t="n"/>
      <c r="B2945" s="61" t="n"/>
      <c r="C2945" s="58" t="n"/>
      <c r="D2945" s="58" t="n"/>
      <c r="E2945" s="64">
        <f>IF(tblCommentary[[#This Row],[Date]]="","",COUNTIFS(INDEX(tblCommentary[Date],1):tblCommentary[[#This Row],[Date]],tblCommentary[[#This Row],[Date]]))</f>
        <v/>
      </c>
      <c r="F2945" s="63">
        <f>IF(tblCommentary[[#This Row],[Date]]="","",tblCommentary[[#This Row],[Date]]&amp;"|"&amp;tblCommentary[[#This Row],[Seq_Day]])</f>
        <v/>
      </c>
    </row>
    <row r="2946">
      <c r="A2946" s="54" t="n"/>
      <c r="B2946" s="61" t="n"/>
      <c r="C2946" s="58" t="n"/>
      <c r="D2946" s="58" t="n"/>
      <c r="E2946" s="64">
        <f>IF(tblCommentary[[#This Row],[Date]]="","",COUNTIFS(INDEX(tblCommentary[Date],1):tblCommentary[[#This Row],[Date]],tblCommentary[[#This Row],[Date]]))</f>
        <v/>
      </c>
      <c r="F2946" s="63">
        <f>IF(tblCommentary[[#This Row],[Date]]="","",tblCommentary[[#This Row],[Date]]&amp;"|"&amp;tblCommentary[[#This Row],[Seq_Day]])</f>
        <v/>
      </c>
    </row>
    <row r="2947">
      <c r="A2947" s="54" t="n"/>
      <c r="B2947" s="61" t="n"/>
      <c r="C2947" s="58" t="n"/>
      <c r="D2947" s="58" t="n"/>
      <c r="E2947" s="64">
        <f>IF(tblCommentary[[#This Row],[Date]]="","",COUNTIFS(INDEX(tblCommentary[Date],1):tblCommentary[[#This Row],[Date]],tblCommentary[[#This Row],[Date]]))</f>
        <v/>
      </c>
      <c r="F2947" s="63">
        <f>IF(tblCommentary[[#This Row],[Date]]="","",tblCommentary[[#This Row],[Date]]&amp;"|"&amp;tblCommentary[[#This Row],[Seq_Day]])</f>
        <v/>
      </c>
    </row>
    <row r="2948">
      <c r="A2948" s="54" t="n"/>
      <c r="B2948" s="61" t="n"/>
      <c r="C2948" s="58" t="n"/>
      <c r="D2948" s="58" t="n"/>
      <c r="E2948" s="64">
        <f>IF(tblCommentary[[#This Row],[Date]]="","",COUNTIFS(INDEX(tblCommentary[Date],1):tblCommentary[[#This Row],[Date]],tblCommentary[[#This Row],[Date]]))</f>
        <v/>
      </c>
      <c r="F2948" s="63">
        <f>IF(tblCommentary[[#This Row],[Date]]="","",tblCommentary[[#This Row],[Date]]&amp;"|"&amp;tblCommentary[[#This Row],[Seq_Day]])</f>
        <v/>
      </c>
    </row>
    <row r="2949">
      <c r="A2949" s="54" t="n"/>
      <c r="B2949" s="61" t="n"/>
      <c r="C2949" s="58" t="n"/>
      <c r="D2949" s="58" t="n"/>
      <c r="E2949" s="64">
        <f>IF(tblCommentary[[#This Row],[Date]]="","",COUNTIFS(INDEX(tblCommentary[Date],1):tblCommentary[[#This Row],[Date]],tblCommentary[[#This Row],[Date]]))</f>
        <v/>
      </c>
      <c r="F2949" s="63">
        <f>IF(tblCommentary[[#This Row],[Date]]="","",tblCommentary[[#This Row],[Date]]&amp;"|"&amp;tblCommentary[[#This Row],[Seq_Day]])</f>
        <v/>
      </c>
    </row>
    <row r="2950">
      <c r="A2950" s="54" t="n"/>
      <c r="B2950" s="61" t="n"/>
      <c r="C2950" s="58" t="n"/>
      <c r="D2950" s="58" t="n"/>
      <c r="E2950" s="64">
        <f>IF(tblCommentary[[#This Row],[Date]]="","",COUNTIFS(INDEX(tblCommentary[Date],1):tblCommentary[[#This Row],[Date]],tblCommentary[[#This Row],[Date]]))</f>
        <v/>
      </c>
      <c r="F2950" s="63">
        <f>IF(tblCommentary[[#This Row],[Date]]="","",tblCommentary[[#This Row],[Date]]&amp;"|"&amp;tblCommentary[[#This Row],[Seq_Day]])</f>
        <v/>
      </c>
    </row>
    <row r="2951">
      <c r="A2951" s="54" t="n"/>
      <c r="B2951" s="61" t="n"/>
      <c r="C2951" s="58" t="n"/>
      <c r="D2951" s="58" t="n"/>
      <c r="E2951" s="64">
        <f>IF(tblCommentary[[#This Row],[Date]]="","",COUNTIFS(INDEX(tblCommentary[Date],1):tblCommentary[[#This Row],[Date]],tblCommentary[[#This Row],[Date]]))</f>
        <v/>
      </c>
      <c r="F2951" s="63">
        <f>IF(tblCommentary[[#This Row],[Date]]="","",tblCommentary[[#This Row],[Date]]&amp;"|"&amp;tblCommentary[[#This Row],[Seq_Day]])</f>
        <v/>
      </c>
    </row>
    <row r="2952">
      <c r="A2952" s="54" t="n"/>
      <c r="B2952" s="61" t="n"/>
      <c r="C2952" s="58" t="n"/>
      <c r="D2952" s="58" t="n"/>
      <c r="E2952" s="64">
        <f>IF(tblCommentary[[#This Row],[Date]]="","",COUNTIFS(INDEX(tblCommentary[Date],1):tblCommentary[[#This Row],[Date]],tblCommentary[[#This Row],[Date]]))</f>
        <v/>
      </c>
      <c r="F2952" s="63">
        <f>IF(tblCommentary[[#This Row],[Date]]="","",tblCommentary[[#This Row],[Date]]&amp;"|"&amp;tblCommentary[[#This Row],[Seq_Day]])</f>
        <v/>
      </c>
    </row>
    <row r="2953">
      <c r="A2953" s="54" t="n"/>
      <c r="B2953" s="61" t="n"/>
      <c r="C2953" s="58" t="n"/>
      <c r="D2953" s="58" t="n"/>
      <c r="E2953" s="64">
        <f>IF(tblCommentary[[#This Row],[Date]]="","",COUNTIFS(INDEX(tblCommentary[Date],1):tblCommentary[[#This Row],[Date]],tblCommentary[[#This Row],[Date]]))</f>
        <v/>
      </c>
      <c r="F2953" s="63">
        <f>IF(tblCommentary[[#This Row],[Date]]="","",tblCommentary[[#This Row],[Date]]&amp;"|"&amp;tblCommentary[[#This Row],[Seq_Day]])</f>
        <v/>
      </c>
    </row>
    <row r="2954">
      <c r="A2954" s="54" t="n"/>
      <c r="B2954" s="61" t="n"/>
      <c r="C2954" s="58" t="n"/>
      <c r="D2954" s="58" t="n"/>
      <c r="E2954" s="64">
        <f>IF(tblCommentary[[#This Row],[Date]]="","",COUNTIFS(INDEX(tblCommentary[Date],1):tblCommentary[[#This Row],[Date]],tblCommentary[[#This Row],[Date]]))</f>
        <v/>
      </c>
      <c r="F2954" s="63">
        <f>IF(tblCommentary[[#This Row],[Date]]="","",tblCommentary[[#This Row],[Date]]&amp;"|"&amp;tblCommentary[[#This Row],[Seq_Day]])</f>
        <v/>
      </c>
    </row>
    <row r="2955">
      <c r="A2955" s="54" t="n"/>
      <c r="B2955" s="61" t="n"/>
      <c r="C2955" s="58" t="n"/>
      <c r="D2955" s="58" t="n"/>
      <c r="E2955" s="64">
        <f>IF(tblCommentary[[#This Row],[Date]]="","",COUNTIFS(INDEX(tblCommentary[Date],1):tblCommentary[[#This Row],[Date]],tblCommentary[[#This Row],[Date]]))</f>
        <v/>
      </c>
      <c r="F2955" s="63">
        <f>IF(tblCommentary[[#This Row],[Date]]="","",tblCommentary[[#This Row],[Date]]&amp;"|"&amp;tblCommentary[[#This Row],[Seq_Day]])</f>
        <v/>
      </c>
    </row>
    <row r="2956">
      <c r="A2956" s="54" t="n"/>
      <c r="B2956" s="61" t="n"/>
      <c r="C2956" s="58" t="n"/>
      <c r="D2956" s="58" t="n"/>
      <c r="E2956" s="64">
        <f>IF(tblCommentary[[#This Row],[Date]]="","",COUNTIFS(INDEX(tblCommentary[Date],1):tblCommentary[[#This Row],[Date]],tblCommentary[[#This Row],[Date]]))</f>
        <v/>
      </c>
      <c r="F2956" s="63">
        <f>IF(tblCommentary[[#This Row],[Date]]="","",tblCommentary[[#This Row],[Date]]&amp;"|"&amp;tblCommentary[[#This Row],[Seq_Day]])</f>
        <v/>
      </c>
    </row>
    <row r="2957">
      <c r="A2957" s="54" t="n"/>
      <c r="B2957" s="61" t="n"/>
      <c r="C2957" s="58" t="n"/>
      <c r="D2957" s="58" t="n"/>
      <c r="E2957" s="64">
        <f>IF(tblCommentary[[#This Row],[Date]]="","",COUNTIFS(INDEX(tblCommentary[Date],1):tblCommentary[[#This Row],[Date]],tblCommentary[[#This Row],[Date]]))</f>
        <v/>
      </c>
      <c r="F2957" s="63">
        <f>IF(tblCommentary[[#This Row],[Date]]="","",tblCommentary[[#This Row],[Date]]&amp;"|"&amp;tblCommentary[[#This Row],[Seq_Day]])</f>
        <v/>
      </c>
    </row>
    <row r="2958">
      <c r="A2958" s="54" t="n"/>
      <c r="B2958" s="61" t="n"/>
      <c r="C2958" s="58" t="n"/>
      <c r="D2958" s="58" t="n"/>
      <c r="E2958" s="64">
        <f>IF(tblCommentary[[#This Row],[Date]]="","",COUNTIFS(INDEX(tblCommentary[Date],1):tblCommentary[[#This Row],[Date]],tblCommentary[[#This Row],[Date]]))</f>
        <v/>
      </c>
      <c r="F2958" s="63">
        <f>IF(tblCommentary[[#This Row],[Date]]="","",tblCommentary[[#This Row],[Date]]&amp;"|"&amp;tblCommentary[[#This Row],[Seq_Day]])</f>
        <v/>
      </c>
    </row>
    <row r="2959">
      <c r="A2959" s="54" t="n"/>
      <c r="B2959" s="61" t="n"/>
      <c r="C2959" s="58" t="n"/>
      <c r="D2959" s="58" t="n"/>
      <c r="E2959" s="64">
        <f>IF(tblCommentary[[#This Row],[Date]]="","",COUNTIFS(INDEX(tblCommentary[Date],1):tblCommentary[[#This Row],[Date]],tblCommentary[[#This Row],[Date]]))</f>
        <v/>
      </c>
      <c r="F2959" s="63">
        <f>IF(tblCommentary[[#This Row],[Date]]="","",tblCommentary[[#This Row],[Date]]&amp;"|"&amp;tblCommentary[[#This Row],[Seq_Day]])</f>
        <v/>
      </c>
    </row>
    <row r="2960">
      <c r="A2960" s="54" t="n"/>
      <c r="B2960" s="61" t="n"/>
      <c r="C2960" s="58" t="n"/>
      <c r="D2960" s="58" t="n"/>
      <c r="E2960" s="64">
        <f>IF(tblCommentary[[#This Row],[Date]]="","",COUNTIFS(INDEX(tblCommentary[Date],1):tblCommentary[[#This Row],[Date]],tblCommentary[[#This Row],[Date]]))</f>
        <v/>
      </c>
      <c r="F2960" s="63">
        <f>IF(tblCommentary[[#This Row],[Date]]="","",tblCommentary[[#This Row],[Date]]&amp;"|"&amp;tblCommentary[[#This Row],[Seq_Day]])</f>
        <v/>
      </c>
    </row>
    <row r="2961">
      <c r="A2961" s="54" t="n"/>
      <c r="B2961" s="61" t="n"/>
      <c r="C2961" s="58" t="n"/>
      <c r="D2961" s="58" t="n"/>
      <c r="E2961" s="64">
        <f>IF(tblCommentary[[#This Row],[Date]]="","",COUNTIFS(INDEX(tblCommentary[Date],1):tblCommentary[[#This Row],[Date]],tblCommentary[[#This Row],[Date]]))</f>
        <v/>
      </c>
      <c r="F2961" s="63">
        <f>IF(tblCommentary[[#This Row],[Date]]="","",tblCommentary[[#This Row],[Date]]&amp;"|"&amp;tblCommentary[[#This Row],[Seq_Day]])</f>
        <v/>
      </c>
    </row>
    <row r="2962">
      <c r="A2962" s="54" t="n"/>
      <c r="B2962" s="61" t="n"/>
      <c r="C2962" s="58" t="n"/>
      <c r="D2962" s="58" t="n"/>
      <c r="E2962" s="64">
        <f>IF(tblCommentary[[#This Row],[Date]]="","",COUNTIFS(INDEX(tblCommentary[Date],1):tblCommentary[[#This Row],[Date]],tblCommentary[[#This Row],[Date]]))</f>
        <v/>
      </c>
      <c r="F2962" s="63">
        <f>IF(tblCommentary[[#This Row],[Date]]="","",tblCommentary[[#This Row],[Date]]&amp;"|"&amp;tblCommentary[[#This Row],[Seq_Day]])</f>
        <v/>
      </c>
    </row>
    <row r="2963">
      <c r="A2963" s="54" t="n"/>
      <c r="B2963" s="61" t="n"/>
      <c r="C2963" s="58" t="n"/>
      <c r="D2963" s="58" t="n"/>
      <c r="E2963" s="64">
        <f>IF(tblCommentary[[#This Row],[Date]]="","",COUNTIFS(INDEX(tblCommentary[Date],1):tblCommentary[[#This Row],[Date]],tblCommentary[[#This Row],[Date]]))</f>
        <v/>
      </c>
      <c r="F2963" s="63">
        <f>IF(tblCommentary[[#This Row],[Date]]="","",tblCommentary[[#This Row],[Date]]&amp;"|"&amp;tblCommentary[[#This Row],[Seq_Day]])</f>
        <v/>
      </c>
    </row>
    <row r="2964">
      <c r="A2964" s="54" t="n"/>
      <c r="B2964" s="61" t="n"/>
      <c r="C2964" s="58" t="n"/>
      <c r="D2964" s="58" t="n"/>
      <c r="E2964" s="64">
        <f>IF(tblCommentary[[#This Row],[Date]]="","",COUNTIFS(INDEX(tblCommentary[Date],1):tblCommentary[[#This Row],[Date]],tblCommentary[[#This Row],[Date]]))</f>
        <v/>
      </c>
      <c r="F2964" s="63">
        <f>IF(tblCommentary[[#This Row],[Date]]="","",tblCommentary[[#This Row],[Date]]&amp;"|"&amp;tblCommentary[[#This Row],[Seq_Day]])</f>
        <v/>
      </c>
    </row>
    <row r="2965">
      <c r="A2965" s="54" t="n"/>
      <c r="B2965" s="61" t="n"/>
      <c r="C2965" s="58" t="n"/>
      <c r="D2965" s="58" t="n"/>
      <c r="E2965" s="64">
        <f>IF(tblCommentary[[#This Row],[Date]]="","",COUNTIFS(INDEX(tblCommentary[Date],1):tblCommentary[[#This Row],[Date]],tblCommentary[[#This Row],[Date]]))</f>
        <v/>
      </c>
      <c r="F2965" s="63">
        <f>IF(tblCommentary[[#This Row],[Date]]="","",tblCommentary[[#This Row],[Date]]&amp;"|"&amp;tblCommentary[[#This Row],[Seq_Day]])</f>
        <v/>
      </c>
    </row>
    <row r="2966">
      <c r="A2966" s="54" t="n"/>
      <c r="B2966" s="61" t="n"/>
      <c r="C2966" s="58" t="n"/>
      <c r="D2966" s="58" t="n"/>
      <c r="E2966" s="64">
        <f>IF(tblCommentary[[#This Row],[Date]]="","",COUNTIFS(INDEX(tblCommentary[Date],1):tblCommentary[[#This Row],[Date]],tblCommentary[[#This Row],[Date]]))</f>
        <v/>
      </c>
      <c r="F2966" s="63">
        <f>IF(tblCommentary[[#This Row],[Date]]="","",tblCommentary[[#This Row],[Date]]&amp;"|"&amp;tblCommentary[[#This Row],[Seq_Day]])</f>
        <v/>
      </c>
    </row>
    <row r="2967">
      <c r="A2967" s="54" t="n"/>
      <c r="B2967" s="61" t="n"/>
      <c r="C2967" s="58" t="n"/>
      <c r="D2967" s="58" t="n"/>
      <c r="E2967" s="64">
        <f>IF(tblCommentary[[#This Row],[Date]]="","",COUNTIFS(INDEX(tblCommentary[Date],1):tblCommentary[[#This Row],[Date]],tblCommentary[[#This Row],[Date]]))</f>
        <v/>
      </c>
      <c r="F2967" s="63">
        <f>IF(tblCommentary[[#This Row],[Date]]="","",tblCommentary[[#This Row],[Date]]&amp;"|"&amp;tblCommentary[[#This Row],[Seq_Day]])</f>
        <v/>
      </c>
    </row>
    <row r="2968">
      <c r="A2968" s="54" t="n"/>
      <c r="B2968" s="61" t="n"/>
      <c r="C2968" s="58" t="n"/>
      <c r="D2968" s="58" t="n"/>
      <c r="E2968" s="64">
        <f>IF(tblCommentary[[#This Row],[Date]]="","",COUNTIFS(INDEX(tblCommentary[Date],1):tblCommentary[[#This Row],[Date]],tblCommentary[[#This Row],[Date]]))</f>
        <v/>
      </c>
      <c r="F2968" s="63">
        <f>IF(tblCommentary[[#This Row],[Date]]="","",tblCommentary[[#This Row],[Date]]&amp;"|"&amp;tblCommentary[[#This Row],[Seq_Day]])</f>
        <v/>
      </c>
    </row>
    <row r="2969">
      <c r="A2969" s="54" t="n"/>
      <c r="B2969" s="61" t="n"/>
      <c r="C2969" s="58" t="n"/>
      <c r="D2969" s="58" t="n"/>
      <c r="E2969" s="64">
        <f>IF(tblCommentary[[#This Row],[Date]]="","",COUNTIFS(INDEX(tblCommentary[Date],1):tblCommentary[[#This Row],[Date]],tblCommentary[[#This Row],[Date]]))</f>
        <v/>
      </c>
      <c r="F2969" s="63">
        <f>IF(tblCommentary[[#This Row],[Date]]="","",tblCommentary[[#This Row],[Date]]&amp;"|"&amp;tblCommentary[[#This Row],[Seq_Day]])</f>
        <v/>
      </c>
    </row>
    <row r="2970">
      <c r="A2970" s="54" t="n"/>
      <c r="B2970" s="61" t="n"/>
      <c r="C2970" s="58" t="n"/>
      <c r="D2970" s="58" t="n"/>
      <c r="E2970" s="64">
        <f>IF(tblCommentary[[#This Row],[Date]]="","",COUNTIFS(INDEX(tblCommentary[Date],1):tblCommentary[[#This Row],[Date]],tblCommentary[[#This Row],[Date]]))</f>
        <v/>
      </c>
      <c r="F2970" s="63">
        <f>IF(tblCommentary[[#This Row],[Date]]="","",tblCommentary[[#This Row],[Date]]&amp;"|"&amp;tblCommentary[[#This Row],[Seq_Day]])</f>
        <v/>
      </c>
    </row>
    <row r="2971">
      <c r="A2971" s="54" t="n"/>
      <c r="B2971" s="61" t="n"/>
      <c r="C2971" s="58" t="n"/>
      <c r="D2971" s="58" t="n"/>
      <c r="E2971" s="64">
        <f>IF(tblCommentary[[#This Row],[Date]]="","",COUNTIFS(INDEX(tblCommentary[Date],1):tblCommentary[[#This Row],[Date]],tblCommentary[[#This Row],[Date]]))</f>
        <v/>
      </c>
      <c r="F2971" s="63">
        <f>IF(tblCommentary[[#This Row],[Date]]="","",tblCommentary[[#This Row],[Date]]&amp;"|"&amp;tblCommentary[[#This Row],[Seq_Day]])</f>
        <v/>
      </c>
    </row>
    <row r="2972">
      <c r="A2972" s="54" t="n"/>
      <c r="B2972" s="61" t="n"/>
      <c r="C2972" s="58" t="n"/>
      <c r="D2972" s="58" t="n"/>
      <c r="E2972" s="64">
        <f>IF(tblCommentary[[#This Row],[Date]]="","",COUNTIFS(INDEX(tblCommentary[Date],1):tblCommentary[[#This Row],[Date]],tblCommentary[[#This Row],[Date]]))</f>
        <v/>
      </c>
      <c r="F2972" s="63">
        <f>IF(tblCommentary[[#This Row],[Date]]="","",tblCommentary[[#This Row],[Date]]&amp;"|"&amp;tblCommentary[[#This Row],[Seq_Day]])</f>
        <v/>
      </c>
    </row>
    <row r="2973">
      <c r="A2973" s="54" t="n"/>
      <c r="B2973" s="61" t="n"/>
      <c r="C2973" s="58" t="n"/>
      <c r="D2973" s="58" t="n"/>
      <c r="E2973" s="64">
        <f>IF(tblCommentary[[#This Row],[Date]]="","",COUNTIFS(INDEX(tblCommentary[Date],1):tblCommentary[[#This Row],[Date]],tblCommentary[[#This Row],[Date]]))</f>
        <v/>
      </c>
      <c r="F2973" s="63">
        <f>IF(tblCommentary[[#This Row],[Date]]="","",tblCommentary[[#This Row],[Date]]&amp;"|"&amp;tblCommentary[[#This Row],[Seq_Day]])</f>
        <v/>
      </c>
    </row>
    <row r="2974">
      <c r="A2974" s="54" t="n"/>
      <c r="B2974" s="61" t="n"/>
      <c r="C2974" s="58" t="n"/>
      <c r="D2974" s="58" t="n"/>
      <c r="E2974" s="64">
        <f>IF(tblCommentary[[#This Row],[Date]]="","",COUNTIFS(INDEX(tblCommentary[Date],1):tblCommentary[[#This Row],[Date]],tblCommentary[[#This Row],[Date]]))</f>
        <v/>
      </c>
      <c r="F2974" s="63">
        <f>IF(tblCommentary[[#This Row],[Date]]="","",tblCommentary[[#This Row],[Date]]&amp;"|"&amp;tblCommentary[[#This Row],[Seq_Day]])</f>
        <v/>
      </c>
    </row>
    <row r="2975">
      <c r="A2975" s="54" t="n"/>
      <c r="B2975" s="61" t="n"/>
      <c r="C2975" s="58" t="n"/>
      <c r="D2975" s="58" t="n"/>
      <c r="E2975" s="64">
        <f>IF(tblCommentary[[#This Row],[Date]]="","",COUNTIFS(INDEX(tblCommentary[Date],1):tblCommentary[[#This Row],[Date]],tblCommentary[[#This Row],[Date]]))</f>
        <v/>
      </c>
      <c r="F2975" s="63">
        <f>IF(tblCommentary[[#This Row],[Date]]="","",tblCommentary[[#This Row],[Date]]&amp;"|"&amp;tblCommentary[[#This Row],[Seq_Day]])</f>
        <v/>
      </c>
    </row>
    <row r="2976">
      <c r="A2976" s="54" t="n"/>
      <c r="B2976" s="61" t="n"/>
      <c r="C2976" s="58" t="n"/>
      <c r="D2976" s="58" t="n"/>
      <c r="E2976" s="64">
        <f>IF(tblCommentary[[#This Row],[Date]]="","",COUNTIFS(INDEX(tblCommentary[Date],1):tblCommentary[[#This Row],[Date]],tblCommentary[[#This Row],[Date]]))</f>
        <v/>
      </c>
      <c r="F2976" s="63">
        <f>IF(tblCommentary[[#This Row],[Date]]="","",tblCommentary[[#This Row],[Date]]&amp;"|"&amp;tblCommentary[[#This Row],[Seq_Day]])</f>
        <v/>
      </c>
    </row>
    <row r="2977">
      <c r="A2977" s="54" t="n"/>
      <c r="B2977" s="61" t="n"/>
      <c r="C2977" s="58" t="n"/>
      <c r="D2977" s="58" t="n"/>
      <c r="E2977" s="64">
        <f>IF(tblCommentary[[#This Row],[Date]]="","",COUNTIFS(INDEX(tblCommentary[Date],1):tblCommentary[[#This Row],[Date]],tblCommentary[[#This Row],[Date]]))</f>
        <v/>
      </c>
      <c r="F2977" s="63">
        <f>IF(tblCommentary[[#This Row],[Date]]="","",tblCommentary[[#This Row],[Date]]&amp;"|"&amp;tblCommentary[[#This Row],[Seq_Day]])</f>
        <v/>
      </c>
    </row>
    <row r="2978">
      <c r="A2978" s="54" t="n"/>
      <c r="B2978" s="61" t="n"/>
      <c r="C2978" s="58" t="n"/>
      <c r="D2978" s="58" t="n"/>
      <c r="E2978" s="64">
        <f>IF(tblCommentary[[#This Row],[Date]]="","",COUNTIFS(INDEX(tblCommentary[Date],1):tblCommentary[[#This Row],[Date]],tblCommentary[[#This Row],[Date]]))</f>
        <v/>
      </c>
      <c r="F2978" s="63">
        <f>IF(tblCommentary[[#This Row],[Date]]="","",tblCommentary[[#This Row],[Date]]&amp;"|"&amp;tblCommentary[[#This Row],[Seq_Day]])</f>
        <v/>
      </c>
    </row>
    <row r="2979">
      <c r="A2979" s="54" t="n"/>
      <c r="B2979" s="61" t="n"/>
      <c r="C2979" s="58" t="n"/>
      <c r="D2979" s="58" t="n"/>
      <c r="E2979" s="64">
        <f>IF(tblCommentary[[#This Row],[Date]]="","",COUNTIFS(INDEX(tblCommentary[Date],1):tblCommentary[[#This Row],[Date]],tblCommentary[[#This Row],[Date]]))</f>
        <v/>
      </c>
      <c r="F2979" s="63">
        <f>IF(tblCommentary[[#This Row],[Date]]="","",tblCommentary[[#This Row],[Date]]&amp;"|"&amp;tblCommentary[[#This Row],[Seq_Day]])</f>
        <v/>
      </c>
    </row>
    <row r="2980">
      <c r="A2980" s="54" t="n"/>
      <c r="B2980" s="61" t="n"/>
      <c r="C2980" s="58" t="n"/>
      <c r="D2980" s="58" t="n"/>
      <c r="E2980" s="64">
        <f>IF(tblCommentary[[#This Row],[Date]]="","",COUNTIFS(INDEX(tblCommentary[Date],1):tblCommentary[[#This Row],[Date]],tblCommentary[[#This Row],[Date]]))</f>
        <v/>
      </c>
      <c r="F2980" s="63">
        <f>IF(tblCommentary[[#This Row],[Date]]="","",tblCommentary[[#This Row],[Date]]&amp;"|"&amp;tblCommentary[[#This Row],[Seq_Day]])</f>
        <v/>
      </c>
    </row>
    <row r="2981">
      <c r="A2981" s="54" t="n"/>
      <c r="B2981" s="61" t="n"/>
      <c r="C2981" s="58" t="n"/>
      <c r="D2981" s="58" t="n"/>
      <c r="E2981" s="64">
        <f>IF(tblCommentary[[#This Row],[Date]]="","",COUNTIFS(INDEX(tblCommentary[Date],1):tblCommentary[[#This Row],[Date]],tblCommentary[[#This Row],[Date]]))</f>
        <v/>
      </c>
      <c r="F2981" s="63">
        <f>IF(tblCommentary[[#This Row],[Date]]="","",tblCommentary[[#This Row],[Date]]&amp;"|"&amp;tblCommentary[[#This Row],[Seq_Day]])</f>
        <v/>
      </c>
    </row>
    <row r="2982">
      <c r="A2982" s="54" t="n"/>
      <c r="B2982" s="61" t="n"/>
      <c r="C2982" s="58" t="n"/>
      <c r="D2982" s="58" t="n"/>
      <c r="E2982" s="64">
        <f>IF(tblCommentary[[#This Row],[Date]]="","",COUNTIFS(INDEX(tblCommentary[Date],1):tblCommentary[[#This Row],[Date]],tblCommentary[[#This Row],[Date]]))</f>
        <v/>
      </c>
      <c r="F2982" s="63">
        <f>IF(tblCommentary[[#This Row],[Date]]="","",tblCommentary[[#This Row],[Date]]&amp;"|"&amp;tblCommentary[[#This Row],[Seq_Day]])</f>
        <v/>
      </c>
    </row>
    <row r="2983">
      <c r="A2983" s="54" t="n"/>
      <c r="B2983" s="61" t="n"/>
      <c r="C2983" s="58" t="n"/>
      <c r="D2983" s="58" t="n"/>
      <c r="E2983" s="64">
        <f>IF(tblCommentary[[#This Row],[Date]]="","",COUNTIFS(INDEX(tblCommentary[Date],1):tblCommentary[[#This Row],[Date]],tblCommentary[[#This Row],[Date]]))</f>
        <v/>
      </c>
      <c r="F2983" s="63">
        <f>IF(tblCommentary[[#This Row],[Date]]="","",tblCommentary[[#This Row],[Date]]&amp;"|"&amp;tblCommentary[[#This Row],[Seq_Day]])</f>
        <v/>
      </c>
    </row>
    <row r="2984">
      <c r="A2984" s="54" t="n"/>
      <c r="B2984" s="61" t="n"/>
      <c r="C2984" s="58" t="n"/>
      <c r="D2984" s="58" t="n"/>
      <c r="E2984" s="64">
        <f>IF(tblCommentary[[#This Row],[Date]]="","",COUNTIFS(INDEX(tblCommentary[Date],1):tblCommentary[[#This Row],[Date]],tblCommentary[[#This Row],[Date]]))</f>
        <v/>
      </c>
      <c r="F2984" s="63">
        <f>IF(tblCommentary[[#This Row],[Date]]="","",tblCommentary[[#This Row],[Date]]&amp;"|"&amp;tblCommentary[[#This Row],[Seq_Day]])</f>
        <v/>
      </c>
    </row>
    <row r="2985">
      <c r="A2985" s="54" t="n"/>
      <c r="B2985" s="61" t="n"/>
      <c r="C2985" s="58" t="n"/>
      <c r="D2985" s="58" t="n"/>
      <c r="E2985" s="64">
        <f>IF(tblCommentary[[#This Row],[Date]]="","",COUNTIFS(INDEX(tblCommentary[Date],1):tblCommentary[[#This Row],[Date]],tblCommentary[[#This Row],[Date]]))</f>
        <v/>
      </c>
      <c r="F2985" s="63">
        <f>IF(tblCommentary[[#This Row],[Date]]="","",tblCommentary[[#This Row],[Date]]&amp;"|"&amp;tblCommentary[[#This Row],[Seq_Day]])</f>
        <v/>
      </c>
    </row>
    <row r="2986">
      <c r="A2986" s="54" t="n"/>
      <c r="B2986" s="61" t="n"/>
      <c r="C2986" s="58" t="n"/>
      <c r="D2986" s="58" t="n"/>
      <c r="E2986" s="64">
        <f>IF(tblCommentary[[#This Row],[Date]]="","",COUNTIFS(INDEX(tblCommentary[Date],1):tblCommentary[[#This Row],[Date]],tblCommentary[[#This Row],[Date]]))</f>
        <v/>
      </c>
      <c r="F2986" s="63">
        <f>IF(tblCommentary[[#This Row],[Date]]="","",tblCommentary[[#This Row],[Date]]&amp;"|"&amp;tblCommentary[[#This Row],[Seq_Day]])</f>
        <v/>
      </c>
    </row>
    <row r="2987">
      <c r="A2987" s="54" t="n"/>
      <c r="B2987" s="61" t="n"/>
      <c r="C2987" s="58" t="n"/>
      <c r="D2987" s="58" t="n"/>
      <c r="E2987" s="64">
        <f>IF(tblCommentary[[#This Row],[Date]]="","",COUNTIFS(INDEX(tblCommentary[Date],1):tblCommentary[[#This Row],[Date]],tblCommentary[[#This Row],[Date]]))</f>
        <v/>
      </c>
      <c r="F2987" s="63">
        <f>IF(tblCommentary[[#This Row],[Date]]="","",tblCommentary[[#This Row],[Date]]&amp;"|"&amp;tblCommentary[[#This Row],[Seq_Day]])</f>
        <v/>
      </c>
    </row>
    <row r="2988">
      <c r="A2988" s="54" t="n"/>
      <c r="B2988" s="61" t="n"/>
      <c r="C2988" s="58" t="n"/>
      <c r="D2988" s="58" t="n"/>
      <c r="E2988" s="64">
        <f>IF(tblCommentary[[#This Row],[Date]]="","",COUNTIFS(INDEX(tblCommentary[Date],1):tblCommentary[[#This Row],[Date]],tblCommentary[[#This Row],[Date]]))</f>
        <v/>
      </c>
      <c r="F2988" s="63">
        <f>IF(tblCommentary[[#This Row],[Date]]="","",tblCommentary[[#This Row],[Date]]&amp;"|"&amp;tblCommentary[[#This Row],[Seq_Day]])</f>
        <v/>
      </c>
    </row>
    <row r="2989">
      <c r="A2989" s="54" t="n"/>
      <c r="B2989" s="61" t="n"/>
      <c r="C2989" s="58" t="n"/>
      <c r="D2989" s="58" t="n"/>
      <c r="E2989" s="64">
        <f>IF(tblCommentary[[#This Row],[Date]]="","",COUNTIFS(INDEX(tblCommentary[Date],1):tblCommentary[[#This Row],[Date]],tblCommentary[[#This Row],[Date]]))</f>
        <v/>
      </c>
      <c r="F2989" s="63">
        <f>IF(tblCommentary[[#This Row],[Date]]="","",tblCommentary[[#This Row],[Date]]&amp;"|"&amp;tblCommentary[[#This Row],[Seq_Day]])</f>
        <v/>
      </c>
    </row>
    <row r="2990">
      <c r="A2990" s="54" t="n"/>
      <c r="B2990" s="61" t="n"/>
      <c r="C2990" s="58" t="n"/>
      <c r="D2990" s="58" t="n"/>
      <c r="E2990" s="64">
        <f>IF(tblCommentary[[#This Row],[Date]]="","",COUNTIFS(INDEX(tblCommentary[Date],1):tblCommentary[[#This Row],[Date]],tblCommentary[[#This Row],[Date]]))</f>
        <v/>
      </c>
      <c r="F2990" s="63">
        <f>IF(tblCommentary[[#This Row],[Date]]="","",tblCommentary[[#This Row],[Date]]&amp;"|"&amp;tblCommentary[[#This Row],[Seq_Day]])</f>
        <v/>
      </c>
    </row>
    <row r="2991">
      <c r="A2991" s="54" t="n"/>
      <c r="B2991" s="61" t="n"/>
      <c r="C2991" s="58" t="n"/>
      <c r="D2991" s="58" t="n"/>
      <c r="E2991" s="64">
        <f>IF(tblCommentary[[#This Row],[Date]]="","",COUNTIFS(INDEX(tblCommentary[Date],1):tblCommentary[[#This Row],[Date]],tblCommentary[[#This Row],[Date]]))</f>
        <v/>
      </c>
      <c r="F2991" s="63">
        <f>IF(tblCommentary[[#This Row],[Date]]="","",tblCommentary[[#This Row],[Date]]&amp;"|"&amp;tblCommentary[[#This Row],[Seq_Day]])</f>
        <v/>
      </c>
    </row>
    <row r="2992">
      <c r="A2992" s="54" t="n"/>
      <c r="B2992" s="61" t="n"/>
      <c r="C2992" s="58" t="n"/>
      <c r="D2992" s="58" t="n"/>
      <c r="E2992" s="64">
        <f>IF(tblCommentary[[#This Row],[Date]]="","",COUNTIFS(INDEX(tblCommentary[Date],1):tblCommentary[[#This Row],[Date]],tblCommentary[[#This Row],[Date]]))</f>
        <v/>
      </c>
      <c r="F2992" s="63">
        <f>IF(tblCommentary[[#This Row],[Date]]="","",tblCommentary[[#This Row],[Date]]&amp;"|"&amp;tblCommentary[[#This Row],[Seq_Day]])</f>
        <v/>
      </c>
    </row>
    <row r="2993">
      <c r="A2993" s="54" t="n"/>
      <c r="B2993" s="61" t="n"/>
      <c r="C2993" s="58" t="n"/>
      <c r="D2993" s="58" t="n"/>
      <c r="E2993" s="64">
        <f>IF(tblCommentary[[#This Row],[Date]]="","",COUNTIFS(INDEX(tblCommentary[Date],1):tblCommentary[[#This Row],[Date]],tblCommentary[[#This Row],[Date]]))</f>
        <v/>
      </c>
      <c r="F2993" s="63">
        <f>IF(tblCommentary[[#This Row],[Date]]="","",tblCommentary[[#This Row],[Date]]&amp;"|"&amp;tblCommentary[[#This Row],[Seq_Day]])</f>
        <v/>
      </c>
    </row>
    <row r="2994">
      <c r="A2994" s="54" t="n"/>
      <c r="B2994" s="61" t="n"/>
      <c r="C2994" s="58" t="n"/>
      <c r="D2994" s="58" t="n"/>
      <c r="E2994" s="64">
        <f>IF(tblCommentary[[#This Row],[Date]]="","",COUNTIFS(INDEX(tblCommentary[Date],1):tblCommentary[[#This Row],[Date]],tblCommentary[[#This Row],[Date]]))</f>
        <v/>
      </c>
      <c r="F2994" s="63">
        <f>IF(tblCommentary[[#This Row],[Date]]="","",tblCommentary[[#This Row],[Date]]&amp;"|"&amp;tblCommentary[[#This Row],[Seq_Day]])</f>
        <v/>
      </c>
    </row>
    <row r="2995">
      <c r="A2995" s="54" t="n"/>
      <c r="B2995" s="61" t="n"/>
      <c r="C2995" s="58" t="n"/>
      <c r="D2995" s="58" t="n"/>
      <c r="E2995" s="64">
        <f>IF(tblCommentary[[#This Row],[Date]]="","",COUNTIFS(INDEX(tblCommentary[Date],1):tblCommentary[[#This Row],[Date]],tblCommentary[[#This Row],[Date]]))</f>
        <v/>
      </c>
      <c r="F2995" s="63">
        <f>IF(tblCommentary[[#This Row],[Date]]="","",tblCommentary[[#This Row],[Date]]&amp;"|"&amp;tblCommentary[[#This Row],[Seq_Day]])</f>
        <v/>
      </c>
    </row>
    <row r="2996">
      <c r="A2996" s="54" t="n"/>
      <c r="B2996" s="61" t="n"/>
      <c r="C2996" s="58" t="n"/>
      <c r="D2996" s="58" t="n"/>
      <c r="E2996" s="64">
        <f>IF(tblCommentary[[#This Row],[Date]]="","",COUNTIFS(INDEX(tblCommentary[Date],1):tblCommentary[[#This Row],[Date]],tblCommentary[[#This Row],[Date]]))</f>
        <v/>
      </c>
      <c r="F2996" s="63">
        <f>IF(tblCommentary[[#This Row],[Date]]="","",tblCommentary[[#This Row],[Date]]&amp;"|"&amp;tblCommentary[[#This Row],[Seq_Day]])</f>
        <v/>
      </c>
    </row>
    <row r="2997">
      <c r="A2997" s="54" t="n"/>
      <c r="B2997" s="61" t="n"/>
      <c r="C2997" s="58" t="n"/>
      <c r="D2997" s="58" t="n"/>
      <c r="E2997" s="64">
        <f>IF(tblCommentary[[#This Row],[Date]]="","",COUNTIFS(INDEX(tblCommentary[Date],1):tblCommentary[[#This Row],[Date]],tblCommentary[[#This Row],[Date]]))</f>
        <v/>
      </c>
      <c r="F2997" s="63">
        <f>IF(tblCommentary[[#This Row],[Date]]="","",tblCommentary[[#This Row],[Date]]&amp;"|"&amp;tblCommentary[[#This Row],[Seq_Day]])</f>
        <v/>
      </c>
    </row>
    <row r="2998">
      <c r="A2998" s="54" t="n"/>
      <c r="B2998" s="61" t="n"/>
      <c r="C2998" s="58" t="n"/>
      <c r="D2998" s="58" t="n"/>
      <c r="E2998" s="64">
        <f>IF(tblCommentary[[#This Row],[Date]]="","",COUNTIFS(INDEX(tblCommentary[Date],1):tblCommentary[[#This Row],[Date]],tblCommentary[[#This Row],[Date]]))</f>
        <v/>
      </c>
      <c r="F2998" s="63">
        <f>IF(tblCommentary[[#This Row],[Date]]="","",tblCommentary[[#This Row],[Date]]&amp;"|"&amp;tblCommentary[[#This Row],[Seq_Day]])</f>
        <v/>
      </c>
    </row>
    <row r="2999">
      <c r="A2999" s="54" t="n"/>
      <c r="B2999" s="61" t="n"/>
      <c r="C2999" s="58" t="n"/>
      <c r="D2999" s="58" t="n"/>
      <c r="E2999" s="64">
        <f>IF(tblCommentary[[#This Row],[Date]]="","",COUNTIFS(INDEX(tblCommentary[Date],1):tblCommentary[[#This Row],[Date]],tblCommentary[[#This Row],[Date]]))</f>
        <v/>
      </c>
      <c r="F2999" s="63">
        <f>IF(tblCommentary[[#This Row],[Date]]="","",tblCommentary[[#This Row],[Date]]&amp;"|"&amp;tblCommentary[[#This Row],[Seq_Day]])</f>
        <v/>
      </c>
    </row>
    <row r="3000">
      <c r="A3000" s="54" t="n"/>
      <c r="B3000" s="61" t="n"/>
      <c r="C3000" s="58" t="n"/>
      <c r="D3000" s="58" t="n"/>
      <c r="E3000" s="64">
        <f>IF(tblCommentary[[#This Row],[Date]]="","",COUNTIFS(INDEX(tblCommentary[Date],1):tblCommentary[[#This Row],[Date]],tblCommentary[[#This Row],[Date]]))</f>
        <v/>
      </c>
      <c r="F3000" s="63">
        <f>IF(tblCommentary[[#This Row],[Date]]="","",tblCommentary[[#This Row],[Date]]&amp;"|"&amp;tblCommentary[[#This Row],[Seq_Day]])</f>
        <v/>
      </c>
    </row>
    <row r="3001">
      <c r="A3001" s="54" t="n"/>
      <c r="B3001" s="61" t="n"/>
      <c r="C3001" s="58" t="n"/>
      <c r="D3001" s="58" t="n"/>
      <c r="E3001" s="64">
        <f>IF(tblCommentary[[#This Row],[Date]]="","",COUNTIFS(INDEX(tblCommentary[Date],1):tblCommentary[[#This Row],[Date]],tblCommentary[[#This Row],[Date]]))</f>
        <v/>
      </c>
      <c r="F3001" s="63">
        <f>IF(tblCommentary[[#This Row],[Date]]="","",tblCommentary[[#This Row],[Date]]&amp;"|"&amp;tblCommentary[[#This Row],[Seq_Day]])</f>
        <v/>
      </c>
    </row>
    <row r="3002">
      <c r="A3002" s="54" t="n"/>
      <c r="B3002" s="61" t="n"/>
      <c r="C3002" s="58" t="n"/>
      <c r="D3002" s="58" t="n"/>
      <c r="E3002" s="64">
        <f>IF(tblCommentary[[#This Row],[Date]]="","",COUNTIFS(INDEX(tblCommentary[Date],1):tblCommentary[[#This Row],[Date]],tblCommentary[[#This Row],[Date]]))</f>
        <v/>
      </c>
      <c r="F3002" s="63">
        <f>IF(tblCommentary[[#This Row],[Date]]="","",tblCommentary[[#This Row],[Date]]&amp;"|"&amp;tblCommentary[[#This Row],[Seq_Day]])</f>
        <v/>
      </c>
    </row>
    <row r="3003">
      <c r="A3003" s="54" t="n"/>
      <c r="B3003" s="61" t="n"/>
      <c r="C3003" s="58" t="n"/>
      <c r="D3003" s="58" t="n"/>
      <c r="E3003" s="64">
        <f>IF(tblCommentary[[#This Row],[Date]]="","",COUNTIFS(INDEX(tblCommentary[Date],1):tblCommentary[[#This Row],[Date]],tblCommentary[[#This Row],[Date]]))</f>
        <v/>
      </c>
      <c r="F3003" s="63">
        <f>IF(tblCommentary[[#This Row],[Date]]="","",tblCommentary[[#This Row],[Date]]&amp;"|"&amp;tblCommentary[[#This Row],[Seq_Day]])</f>
        <v/>
      </c>
    </row>
    <row r="3004">
      <c r="A3004" s="54" t="n"/>
      <c r="B3004" s="61" t="n"/>
      <c r="C3004" s="58" t="n"/>
      <c r="D3004" s="58" t="n"/>
      <c r="E3004" s="64">
        <f>IF(tblCommentary[[#This Row],[Date]]="","",COUNTIFS(INDEX(tblCommentary[Date],1):tblCommentary[[#This Row],[Date]],tblCommentary[[#This Row],[Date]]))</f>
        <v/>
      </c>
      <c r="F3004" s="63">
        <f>IF(tblCommentary[[#This Row],[Date]]="","",tblCommentary[[#This Row],[Date]]&amp;"|"&amp;tblCommentary[[#This Row],[Seq_Day]])</f>
        <v/>
      </c>
    </row>
    <row r="3005">
      <c r="A3005" s="54" t="n"/>
      <c r="B3005" s="61" t="n"/>
      <c r="C3005" s="58" t="n"/>
      <c r="D3005" s="58" t="n"/>
      <c r="E3005" s="64">
        <f>IF(tblCommentary[[#This Row],[Date]]="","",COUNTIFS(INDEX(tblCommentary[Date],1):tblCommentary[[#This Row],[Date]],tblCommentary[[#This Row],[Date]]))</f>
        <v/>
      </c>
      <c r="F3005" s="63">
        <f>IF(tblCommentary[[#This Row],[Date]]="","",tblCommentary[[#This Row],[Date]]&amp;"|"&amp;tblCommentary[[#This Row],[Seq_Day]])</f>
        <v/>
      </c>
    </row>
  </sheetData>
  <dataValidations count="2">
    <dataValidation sqref="A6:A30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005" showDropDown="0" showInputMessage="0" showErrorMessage="1" allowBlank="1" errorTitle="Not in list" error="Choose a value from the list (edit the Lists sheet to add one)." type="list">
      <formula1>=lst_Area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8" customWidth="1" min="3" max="3"/>
    <col width="32" customWidth="1" min="5" max="5"/>
    <col width="13.7" customWidth="1" min="6" max="6"/>
    <col width="17.3" customWidth="1" min="7" max="7"/>
    <col width="11" customWidth="1" min="8" max="8"/>
    <col width="11.9" customWidth="1" min="9" max="9"/>
    <col width="11" customWidth="1" min="11" max="11"/>
    <col width="16.4" customWidth="1" min="12" max="12"/>
    <col width="19.1" customWidth="1" min="13" max="13"/>
    <col width="18.2" customWidth="1" min="14" max="14"/>
  </cols>
  <sheetData>
    <row r="1">
      <c r="A1" s="50" t="inlineStr">
        <is>
          <t>Config</t>
        </is>
      </c>
    </row>
    <row r="2">
      <c r="A2" s="6" t="inlineStr">
        <is>
          <t>Site settings and opening balances. Names in column C are used by the formulas.</t>
        </is>
      </c>
    </row>
    <row r="3">
      <c r="E3" s="68" t="inlineStr">
        <is>
          <t>Stockpile opening balances (survey at start of year)</t>
        </is>
      </c>
      <c r="K3" s="68" t="inlineStr">
        <is>
          <t>Prior-year safety history by month, for rolling 12-month rates</t>
        </is>
      </c>
    </row>
    <row r="4" ht="30" customHeight="1">
      <c r="A4" s="8" t="inlineStr">
        <is>
          <t>Setting</t>
        </is>
      </c>
      <c r="B4" s="8" t="inlineStr">
        <is>
          <t>Value</t>
        </is>
      </c>
      <c r="C4" s="8" t="inlineStr">
        <is>
          <t>Name</t>
        </is>
      </c>
      <c r="E4" s="51" t="inlineStr">
        <is>
          <t>Stockpile</t>
        </is>
      </c>
      <c r="F4" s="51" t="inlineStr">
        <is>
          <t>Opening_t (t)</t>
        </is>
      </c>
      <c r="G4" s="51" t="inlineStr">
        <is>
          <t>Opening_gpt (g/t)</t>
        </is>
      </c>
      <c r="H4" s="51" t="inlineStr">
        <is>
          <t>Plant_Feed</t>
        </is>
      </c>
      <c r="I4" s="51" t="inlineStr">
        <is>
          <t>Survey_Date</t>
        </is>
      </c>
      <c r="K4" s="51" t="inlineStr">
        <is>
          <t>Month</t>
        </is>
      </c>
      <c r="L4" s="51" t="inlineStr">
        <is>
          <t>Hours worked (h)</t>
        </is>
      </c>
      <c r="M4" s="51" t="inlineStr">
        <is>
          <t>Recordable injuries</t>
        </is>
      </c>
      <c r="N4" s="51" t="inlineStr">
        <is>
          <t>Lost time injuries</t>
        </is>
      </c>
    </row>
    <row r="5">
      <c r="A5" t="inlineStr">
        <is>
          <t>Site</t>
        </is>
      </c>
      <c r="B5" s="69" t="inlineStr">
        <is>
          <t>Mako Gold Mine</t>
        </is>
      </c>
      <c r="C5" s="36" t="inlineStr">
        <is>
          <t>cfg_Site</t>
        </is>
      </c>
      <c r="E5" s="52" t="inlineStr">
        <is>
          <t>Stockpile</t>
        </is>
      </c>
      <c r="F5" s="52" t="inlineStr">
        <is>
          <t>Opening_t</t>
        </is>
      </c>
      <c r="G5" s="52" t="inlineStr">
        <is>
          <t>Opening_gpt</t>
        </is>
      </c>
      <c r="H5" s="52" t="inlineStr">
        <is>
          <t>Plant_Feed</t>
        </is>
      </c>
      <c r="I5" s="52" t="inlineStr">
        <is>
          <t>Survey_Date</t>
        </is>
      </c>
      <c r="K5" s="52" t="inlineStr">
        <is>
          <t>Month</t>
        </is>
      </c>
      <c r="L5" s="52" t="inlineStr">
        <is>
          <t>Hours_Total</t>
        </is>
      </c>
      <c r="M5" s="52" t="inlineStr">
        <is>
          <t>Recordables</t>
        </is>
      </c>
      <c r="N5" s="52" t="inlineStr">
        <is>
          <t>LTI</t>
        </is>
      </c>
    </row>
    <row r="6">
      <c r="A6" t="inlineStr">
        <is>
          <t>Company</t>
        </is>
      </c>
      <c r="B6" s="69" t="inlineStr">
        <is>
          <t>Petowal Mining Company S.A.</t>
        </is>
      </c>
      <c r="C6" s="36" t="inlineStr">
        <is>
          <t>cfg_Company</t>
        </is>
      </c>
      <c r="E6" s="58" t="inlineStr">
        <is>
          <t>ROM Pad</t>
        </is>
      </c>
      <c r="F6" s="55" t="n">
        <v>0</v>
      </c>
      <c r="G6" s="56" t="n">
        <v>0</v>
      </c>
      <c r="H6" s="61" t="inlineStr">
        <is>
          <t>Y</t>
        </is>
      </c>
      <c r="I6" s="54" t="n"/>
      <c r="K6" s="54" t="n">
        <v>45658</v>
      </c>
      <c r="L6" s="57" t="n"/>
      <c r="M6" s="62" t="n"/>
      <c r="N6" s="62" t="n"/>
    </row>
    <row r="7">
      <c r="A7" t="inlineStr">
        <is>
          <t>Reporting year</t>
        </is>
      </c>
      <c r="B7" s="70" t="n">
        <v>2026</v>
      </c>
      <c r="C7" s="36" t="inlineStr">
        <is>
          <t>cfg_Year</t>
        </is>
      </c>
      <c r="E7" s="58" t="inlineStr">
        <is>
          <t>Stockpile HG</t>
        </is>
      </c>
      <c r="F7" s="55" t="n">
        <v>0</v>
      </c>
      <c r="G7" s="56" t="n">
        <v>0</v>
      </c>
      <c r="H7" s="61" t="inlineStr">
        <is>
          <t>N</t>
        </is>
      </c>
      <c r="I7" s="54" t="n"/>
      <c r="K7" s="54" t="n">
        <v>45689</v>
      </c>
      <c r="L7" s="57" t="n"/>
      <c r="M7" s="62" t="n"/>
      <c r="N7" s="62" t="n"/>
    </row>
    <row r="8">
      <c r="A8" t="inlineStr">
        <is>
          <t>Year start</t>
        </is>
      </c>
      <c r="B8" s="71">
        <f>DATE(cfg_Year,1,1)</f>
        <v/>
      </c>
      <c r="C8" s="36" t="inlineStr">
        <is>
          <t>cfg_YearStart</t>
        </is>
      </c>
      <c r="E8" s="58" t="inlineStr">
        <is>
          <t>Stockpile MG</t>
        </is>
      </c>
      <c r="F8" s="55" t="n">
        <v>0</v>
      </c>
      <c r="G8" s="56" t="n">
        <v>0</v>
      </c>
      <c r="H8" s="61" t="inlineStr">
        <is>
          <t>N</t>
        </is>
      </c>
      <c r="I8" s="54" t="n"/>
      <c r="K8" s="54" t="n">
        <v>45717</v>
      </c>
      <c r="L8" s="57" t="n"/>
      <c r="M8" s="62" t="n"/>
      <c r="N8" s="62" t="n"/>
    </row>
    <row r="9">
      <c r="A9" t="inlineStr">
        <is>
          <t>Year end</t>
        </is>
      </c>
      <c r="B9" s="71">
        <f>DATE(cfg_Year,12,31)</f>
        <v/>
      </c>
      <c r="C9" s="36" t="inlineStr">
        <is>
          <t>cfg_YearEnd</t>
        </is>
      </c>
      <c r="E9" s="58" t="inlineStr">
        <is>
          <t>Stockpile LG</t>
        </is>
      </c>
      <c r="F9" s="55" t="n">
        <v>0</v>
      </c>
      <c r="G9" s="56" t="n">
        <v>0</v>
      </c>
      <c r="H9" s="61" t="inlineStr">
        <is>
          <t>N</t>
        </is>
      </c>
      <c r="I9" s="54" t="n"/>
      <c r="K9" s="54" t="n">
        <v>45748</v>
      </c>
      <c r="L9" s="57" t="n"/>
      <c r="M9" s="62" t="n"/>
      <c r="N9" s="62" t="n"/>
    </row>
    <row r="10">
      <c r="A10" t="inlineStr">
        <is>
          <t>Troy ounce (g)</t>
        </is>
      </c>
      <c r="B10" s="72" t="n">
        <v>31.1035</v>
      </c>
      <c r="C10" s="36" t="inlineStr">
        <is>
          <t>cfg_TroyOz</t>
        </is>
      </c>
      <c r="E10" s="58" t="inlineStr">
        <is>
          <t>Mineralised Waste Dump</t>
        </is>
      </c>
      <c r="F10" s="55" t="n">
        <v>0</v>
      </c>
      <c r="G10" s="56" t="n">
        <v>0</v>
      </c>
      <c r="H10" s="61" t="inlineStr">
        <is>
          <t>N</t>
        </is>
      </c>
      <c r="I10" s="54" t="n"/>
      <c r="K10" s="54" t="n">
        <v>45778</v>
      </c>
      <c r="L10" s="57" t="n"/>
      <c r="M10" s="62" t="n"/>
      <c r="N10" s="62" t="n"/>
    </row>
    <row r="11">
      <c r="A11" t="inlineStr">
        <is>
          <t>Date of last LTI before this year</t>
        </is>
      </c>
      <c r="B11" s="73" t="n"/>
      <c r="C11" s="36" t="inlineStr">
        <is>
          <t>cfg_PriorLTIDate</t>
        </is>
      </c>
      <c r="K11" s="54" t="n">
        <v>45809</v>
      </c>
      <c r="L11" s="57" t="n"/>
      <c r="M11" s="62" t="n"/>
      <c r="N11" s="62" t="n"/>
    </row>
    <row r="12">
      <c r="A12" t="inlineStr">
        <is>
          <t>Last date with plant data (calculated)</t>
        </is>
      </c>
      <c r="B12" s="71">
        <f>SUMPRODUCT(MAX((tblPlant[Milled_t]&lt;&gt;"")*tblPlant[Date]))</f>
        <v/>
      </c>
      <c r="C12" s="36" t="inlineStr">
        <is>
          <t>cfg_LastDataDate</t>
        </is>
      </c>
      <c r="K12" s="54" t="n">
        <v>45839</v>
      </c>
      <c r="L12" s="57" t="n"/>
      <c r="M12" s="62" t="n"/>
      <c r="N12" s="62" t="n"/>
    </row>
    <row r="13">
      <c r="A13" t="inlineStr">
        <is>
          <t>Report title</t>
        </is>
      </c>
      <c r="B13" s="69" t="inlineStr">
        <is>
          <t>Mako Gold Mine daily production report</t>
        </is>
      </c>
      <c r="C13" s="36" t="inlineStr">
        <is>
          <t>cfg_ReportTitle</t>
        </is>
      </c>
      <c r="K13" s="54" t="n">
        <v>45870</v>
      </c>
      <c r="L13" s="57" t="n"/>
      <c r="M13" s="62" t="n"/>
      <c r="N13" s="62" t="n"/>
    </row>
    <row r="14">
      <c r="K14" s="54" t="n">
        <v>45901</v>
      </c>
      <c r="L14" s="57" t="n"/>
      <c r="M14" s="62" t="n"/>
      <c r="N14" s="62" t="n"/>
    </row>
    <row r="15">
      <c r="K15" s="54" t="n">
        <v>45931</v>
      </c>
      <c r="L15" s="57" t="n"/>
      <c r="M15" s="62" t="n"/>
      <c r="N15" s="62" t="n"/>
    </row>
    <row r="16">
      <c r="K16" s="54" t="n">
        <v>45962</v>
      </c>
      <c r="L16" s="57" t="n"/>
      <c r="M16" s="62" t="n"/>
      <c r="N16" s="62" t="n"/>
    </row>
    <row r="17">
      <c r="K17" s="54" t="n">
        <v>45992</v>
      </c>
      <c r="L17" s="57" t="n"/>
      <c r="M17" s="62" t="n"/>
      <c r="N17" s="62" t="n"/>
    </row>
  </sheetData>
  <dataValidations count="8">
    <dataValidation sqref="F6:F10" showDropDown="0" showInputMessage="1" showErrorMessage="1" allowBlank="1" errorTitle="Outside expected range" error="Expected between 0 and 1000000000000.0. Click Yes to keep the value if it is correct." promptTitle="Opening_t" prompt="Surveyed tonnes at the start of the year" type="decimal" errorStyle="warning" operator="between">
      <formula1>0</formula1>
      <formula2>1000000000000.0</formula2>
    </dataValidation>
    <dataValidation sqref="G6:G10" showDropDown="0" showInputMessage="1" showErrorMessage="1" allowBlank="1" errorTitle="Outside expected range" error="Expected between 0 and 1000000000000.0. Click Yes to keep the value if it is correct." promptTitle="Opening_gpt" prompt="Grade of the opening balance" type="decimal" errorStyle="warning" operator="between">
      <formula1>0</formula1>
      <formula2>1000000000000.0</formula2>
    </dataValidation>
    <dataValidation sqref="H6:H10" showDropDown="0" showInputMessage="1" showErrorMessage="1" allowBlank="1" errorTitle="Not in list" error="Choose a value from the list (edit the Lists sheet to add one)." promptTitle="Plant_Feed" prompt="Y if the plant draws its feed from this stockpile (milled tonnes are deducted)" type="list">
      <formula1>=lst_Yes_No</formula1>
    </dataValidation>
    <dataValidation sqref="I6:I10" showDropDown="0" showInputMessage="1" showErrorMessage="1" allowBlank="1" errorTitle="Date outside the reporting year" error="Dates should fall in the reporting year (December of the prior year is tolerated)." promptTitle="Survey_Date" prompt="Date of the opening survey" type="date" errorStyle="warning" operator="between">
      <formula1>=cfg_YearStart-31</formula1>
      <formula2>=cfg_YearEnd</formula2>
    </dataValidation>
    <dataValidation sqref="K6:K17" showDropDown="0" showInputMessage="1" showErrorMessage="1" allowBlank="1" errorTitle="Date outside the reporting year" error="Dates should fall in the reporting year (December of the prior year is tolerated)." promptTitle="Month" prompt="First day of the month" type="date" errorStyle="warning" operator="between">
      <formula1>=cfg_YearStart-31</formula1>
      <formula2>=cfg_YearEnd</formula2>
    </dataValidation>
    <dataValidation sqref="L6:L17" showDropDown="0" showInputMessage="0" showErrorMessage="1" allowBlank="1" errorTitle="Outside expected range" error="Expected between 0 and 2000000. Click Yes to keep the value if it is correct." type="decimal" errorStyle="warning" operator="between">
      <formula1>0</formula1>
      <formula2>2000000</formula2>
    </dataValidation>
    <dataValidation sqref="M6:M17" showDropDown="0" showInputMessage="0" showErrorMessage="1" allowBlank="1" errorTitle="Outside expected range" error="Expected between 0 and 100. Click Yes to keep the value if it is correct." type="whole" errorStyle="warning" operator="between">
      <formula1>0</formula1>
      <formula2>100</formula2>
    </dataValidation>
    <dataValidation sqref="N6:N17" showDropDown="0" showInputMessage="0" showErrorMessage="1" allowBlank="1" errorTitle="Outside expected range" error="Expected between 0 and 100. Click Yes to keep the value if it is correct." type="whole" errorStyle="warning" operator="between">
      <formula1>0</formula1>
      <formula2>100</formula2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A1:V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3" max="3"/>
    <col width="16" customWidth="1" min="5" max="5"/>
    <col width="16" customWidth="1" min="7" max="7"/>
    <col width="16" customWidth="1" min="9" max="9"/>
    <col width="16" customWidth="1" min="11" max="11"/>
    <col width="16" customWidth="1" min="13" max="13"/>
    <col width="16" customWidth="1" min="15" max="15"/>
    <col width="26" customWidth="1" min="18" max="18"/>
    <col width="11" customWidth="1" min="19" max="19"/>
    <col width="26" customWidth="1" min="21" max="21"/>
    <col width="11" customWidth="1" min="22" max="22"/>
  </cols>
  <sheetData>
    <row r="1">
      <c r="A1" s="50" t="inlineStr">
        <is>
          <t>Lists</t>
        </is>
      </c>
    </row>
    <row r="2">
      <c r="A2" s="6" t="inlineStr">
        <is>
          <t>Drop-down values. Add rows at the bottom of a list; do not rename headers. Every list is referenced by name (lst_...) in data validation.</t>
        </is>
      </c>
    </row>
    <row r="4" ht="30" customHeight="1">
      <c r="A4" s="51" t="inlineStr">
        <is>
          <t>Shift</t>
        </is>
      </c>
      <c r="C4" s="51" t="inlineStr">
        <is>
          <t>Material</t>
        </is>
      </c>
      <c r="E4" s="51" t="inlineStr">
        <is>
          <t>Area</t>
        </is>
      </c>
      <c r="G4" s="51" t="inlineStr">
        <is>
          <t>Equipment Class</t>
        </is>
      </c>
      <c r="I4" s="51" t="inlineStr">
        <is>
          <t>Gold Movement Type</t>
        </is>
      </c>
      <c r="K4" s="51" t="inlineStr">
        <is>
          <t>Yes No</t>
        </is>
      </c>
      <c r="M4" s="51" t="inlineStr">
        <is>
          <t>Source Type</t>
        </is>
      </c>
      <c r="O4" s="51" t="inlineStr">
        <is>
          <t>Destination Type</t>
        </is>
      </c>
      <c r="R4" s="51" t="inlineStr">
        <is>
          <t>Source</t>
        </is>
      </c>
      <c r="S4" s="51" t="inlineStr">
        <is>
          <t>Type</t>
        </is>
      </c>
      <c r="U4" s="51" t="inlineStr">
        <is>
          <t>Destination</t>
        </is>
      </c>
      <c r="V4" s="51" t="inlineStr">
        <is>
          <t>Type</t>
        </is>
      </c>
    </row>
    <row r="5">
      <c r="A5" s="52" t="inlineStr">
        <is>
          <t>Shift</t>
        </is>
      </c>
      <c r="C5" s="52" t="inlineStr">
        <is>
          <t>Material</t>
        </is>
      </c>
      <c r="E5" s="52" t="inlineStr">
        <is>
          <t>Area</t>
        </is>
      </c>
      <c r="G5" s="52" t="inlineStr">
        <is>
          <t>Equipment_Class</t>
        </is>
      </c>
      <c r="I5" s="52" t="inlineStr">
        <is>
          <t>Gold_Movement_Type</t>
        </is>
      </c>
      <c r="K5" s="52" t="inlineStr">
        <is>
          <t>Yes_No</t>
        </is>
      </c>
      <c r="M5" s="52" t="inlineStr">
        <is>
          <t>Source_Type</t>
        </is>
      </c>
      <c r="O5" s="52" t="inlineStr">
        <is>
          <t>Destination_Type</t>
        </is>
      </c>
      <c r="R5" s="52" t="inlineStr">
        <is>
          <t>Source</t>
        </is>
      </c>
      <c r="S5" s="52" t="inlineStr">
        <is>
          <t>Type</t>
        </is>
      </c>
      <c r="U5" s="52" t="inlineStr">
        <is>
          <t>Destination</t>
        </is>
      </c>
      <c r="V5" s="52" t="inlineStr">
        <is>
          <t>Type</t>
        </is>
      </c>
    </row>
    <row r="6">
      <c r="A6" s="58" t="inlineStr">
        <is>
          <t>Day</t>
        </is>
      </c>
      <c r="C6" s="58" t="inlineStr">
        <is>
          <t>Ore HG</t>
        </is>
      </c>
      <c r="E6" s="58" t="inlineStr">
        <is>
          <t>Safety</t>
        </is>
      </c>
      <c r="G6" s="58" t="inlineStr">
        <is>
          <t>Excavator</t>
        </is>
      </c>
      <c r="I6" s="58" t="inlineStr">
        <is>
          <t>Shipment</t>
        </is>
      </c>
      <c r="K6" s="58" t="inlineStr">
        <is>
          <t>Y</t>
        </is>
      </c>
      <c r="M6" s="58" t="inlineStr">
        <is>
          <t>Pit</t>
        </is>
      </c>
      <c r="O6" s="58" t="inlineStr">
        <is>
          <t>Stockpile</t>
        </is>
      </c>
      <c r="R6" s="58" t="inlineStr">
        <is>
          <t>Petowal Pit</t>
        </is>
      </c>
      <c r="S6" s="61" t="inlineStr">
        <is>
          <t>Pit</t>
        </is>
      </c>
      <c r="U6" s="58" t="inlineStr">
        <is>
          <t>ROM Pad</t>
        </is>
      </c>
      <c r="V6" s="61" t="inlineStr">
        <is>
          <t>Stockpile</t>
        </is>
      </c>
    </row>
    <row r="7">
      <c r="A7" s="58" t="inlineStr">
        <is>
          <t>Night</t>
        </is>
      </c>
      <c r="C7" s="58" t="inlineStr">
        <is>
          <t>Ore MG</t>
        </is>
      </c>
      <c r="E7" s="58" t="inlineStr">
        <is>
          <t>Mining</t>
        </is>
      </c>
      <c r="G7" s="58" t="inlineStr">
        <is>
          <t>Haul Truck</t>
        </is>
      </c>
      <c r="I7" s="58" t="inlineStr">
        <is>
          <t>Sale</t>
        </is>
      </c>
      <c r="K7" s="58" t="inlineStr">
        <is>
          <t>N</t>
        </is>
      </c>
      <c r="M7" s="58" t="inlineStr">
        <is>
          <t>Stockpile</t>
        </is>
      </c>
      <c r="O7" s="58" t="inlineStr">
        <is>
          <t>Plant</t>
        </is>
      </c>
      <c r="R7" s="58" t="inlineStr">
        <is>
          <t>Satellite Pit</t>
        </is>
      </c>
      <c r="S7" s="61" t="inlineStr">
        <is>
          <t>Pit</t>
        </is>
      </c>
      <c r="U7" s="58" t="inlineStr">
        <is>
          <t>Crusher Direct Tip</t>
        </is>
      </c>
      <c r="V7" s="61" t="inlineStr">
        <is>
          <t>Plant</t>
        </is>
      </c>
    </row>
    <row r="8">
      <c r="C8" s="58" t="inlineStr">
        <is>
          <t>Ore LG</t>
        </is>
      </c>
      <c r="E8" s="58" t="inlineStr">
        <is>
          <t>Geology</t>
        </is>
      </c>
      <c r="G8" s="58" t="inlineStr">
        <is>
          <t>Drill</t>
        </is>
      </c>
      <c r="O8" s="58" t="inlineStr">
        <is>
          <t>Waste</t>
        </is>
      </c>
      <c r="R8" s="58" t="inlineStr">
        <is>
          <t>ROM Pad</t>
        </is>
      </c>
      <c r="S8" s="61" t="inlineStr">
        <is>
          <t>Stockpile</t>
        </is>
      </c>
      <c r="U8" s="58" t="inlineStr">
        <is>
          <t>Stockpile HG</t>
        </is>
      </c>
      <c r="V8" s="61" t="inlineStr">
        <is>
          <t>Stockpile</t>
        </is>
      </c>
    </row>
    <row r="9">
      <c r="C9" s="58" t="inlineStr">
        <is>
          <t>Mineralised Waste</t>
        </is>
      </c>
      <c r="E9" s="58" t="inlineStr">
        <is>
          <t>Processing</t>
        </is>
      </c>
      <c r="G9" s="58" t="inlineStr">
        <is>
          <t>Dozer</t>
        </is>
      </c>
      <c r="R9" s="58" t="inlineStr">
        <is>
          <t>Stockpile HG</t>
        </is>
      </c>
      <c r="S9" s="61" t="inlineStr">
        <is>
          <t>Stockpile</t>
        </is>
      </c>
      <c r="U9" s="58" t="inlineStr">
        <is>
          <t>Stockpile MG</t>
        </is>
      </c>
      <c r="V9" s="61" t="inlineStr">
        <is>
          <t>Stockpile</t>
        </is>
      </c>
    </row>
    <row r="10">
      <c r="C10" s="58" t="inlineStr">
        <is>
          <t>Waste</t>
        </is>
      </c>
      <c r="E10" s="58" t="inlineStr">
        <is>
          <t>Maintenance</t>
        </is>
      </c>
      <c r="G10" s="58" t="inlineStr">
        <is>
          <t>Grader</t>
        </is>
      </c>
      <c r="R10" s="58" t="inlineStr">
        <is>
          <t>Stockpile MG</t>
        </is>
      </c>
      <c r="S10" s="61" t="inlineStr">
        <is>
          <t>Stockpile</t>
        </is>
      </c>
      <c r="U10" s="58" t="inlineStr">
        <is>
          <t>Stockpile LG</t>
        </is>
      </c>
      <c r="V10" s="61" t="inlineStr">
        <is>
          <t>Stockpile</t>
        </is>
      </c>
    </row>
    <row r="11">
      <c r="C11" s="58" t="inlineStr">
        <is>
          <t>Topsoil</t>
        </is>
      </c>
      <c r="E11" s="58" t="inlineStr">
        <is>
          <t>Environment</t>
        </is>
      </c>
      <c r="G11" s="58" t="inlineStr">
        <is>
          <t>Water Cart</t>
        </is>
      </c>
      <c r="R11" s="58" t="inlineStr">
        <is>
          <t>Stockpile LG</t>
        </is>
      </c>
      <c r="S11" s="61" t="inlineStr">
        <is>
          <t>Stockpile</t>
        </is>
      </c>
      <c r="U11" s="58" t="inlineStr">
        <is>
          <t>Mineralised Waste Dump</t>
        </is>
      </c>
      <c r="V11" s="61" t="inlineStr">
        <is>
          <t>Stockpile</t>
        </is>
      </c>
    </row>
    <row r="12">
      <c r="E12" s="58" t="inlineStr">
        <is>
          <t>Community</t>
        </is>
      </c>
      <c r="G12" s="58" t="inlineStr">
        <is>
          <t>Wheel Loader</t>
        </is>
      </c>
      <c r="R12" s="58" t="inlineStr">
        <is>
          <t>Mineralised Waste Dump</t>
        </is>
      </c>
      <c r="S12" s="61" t="inlineStr">
        <is>
          <t>Stockpile</t>
        </is>
      </c>
      <c r="U12" s="58" t="inlineStr">
        <is>
          <t>Waste Dump</t>
        </is>
      </c>
      <c r="V12" s="61" t="inlineStr">
        <is>
          <t>Waste</t>
        </is>
      </c>
    </row>
    <row r="13">
      <c r="E13" s="58" t="inlineStr">
        <is>
          <t>Supply</t>
        </is>
      </c>
      <c r="G13" s="58" t="inlineStr">
        <is>
          <t>Ancillary</t>
        </is>
      </c>
      <c r="U13" s="58" t="inlineStr">
        <is>
          <t>TSF Wall</t>
        </is>
      </c>
      <c r="V13" s="61" t="inlineStr">
        <is>
          <t>Waste</t>
        </is>
      </c>
    </row>
    <row r="14">
      <c r="E14" s="58" t="inlineStr">
        <is>
          <t>People</t>
        </is>
      </c>
      <c r="U14" s="58" t="inlineStr">
        <is>
          <t>Topsoil Stockpile</t>
        </is>
      </c>
      <c r="V14" s="61" t="inlineStr">
        <is>
          <t>Waste</t>
        </is>
      </c>
    </row>
    <row r="15">
      <c r="E15" s="58" t="inlineStr">
        <is>
          <t>Projects</t>
        </is>
      </c>
    </row>
    <row r="16">
      <c r="E16" s="58" t="inlineStr">
        <is>
          <t>General</t>
        </is>
      </c>
    </row>
  </sheetData>
  <dataValidations count="2">
    <dataValidation sqref="S6:S12" showDropDown="0" showInputMessage="1" showErrorMessage="1" allowBlank="1" errorTitle="Not in list" error="Choose a value from the list (edit the Lists sheet to add one)." promptTitle="Type" prompt="Pit = ex-pit (counts to TMM and strip ratio); Stockpile = rehandle" type="list">
      <formula1>=lst_Source_Type</formula1>
    </dataValidation>
    <dataValidation sqref="V6:V14" showDropDown="0" showInputMessage="1" showErrorMessage="1" allowBlank="1" errorTitle="Not in list" error="Choose a value from the list (edit the Lists sheet to add one)." promptTitle="Type" prompt="Stockpile = enters a stockpile balance; Plant = direct tip to crusher; Waste = dump" type="list">
      <formula1>=lst_Destination_Type</formula1>
    </dataValidation>
  </dataValidations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15.xml><?xml version="1.0" encoding="utf-8"?>
<worksheet xmlns="http://schemas.openxmlformats.org/spreadsheetml/2006/main">
  <sheetPr>
    <tabColor rgb="003A3A3A"/>
    <outlinePr summaryBelow="1" summaryRight="1"/>
    <pageSetUpPr/>
  </sheetPr>
  <dimension ref="A1:JA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 ht="42" customHeight="1">
      <c r="A1" s="74" t="inlineStr">
        <is>
          <t>Date</t>
        </is>
      </c>
      <c r="B1" s="74" t="inlineStr">
        <is>
          <t>Month</t>
        </is>
      </c>
      <c r="C1" s="74" t="inlineStr">
        <is>
          <t>Day</t>
        </is>
      </c>
      <c r="D1" s="74" t="inlineStr">
        <is>
          <t>Days_In_Month</t>
        </is>
      </c>
      <c r="E1" s="74" t="inlineStr">
        <is>
          <t>Month_Start</t>
        </is>
      </c>
      <c r="F1" s="74" t="inlineStr">
        <is>
          <t>Ore_Mined_t</t>
        </is>
      </c>
      <c r="G1" s="74" t="inlineStr">
        <is>
          <t>Ore_Mined_t_MTD</t>
        </is>
      </c>
      <c r="H1" s="74" t="inlineStr">
        <is>
          <t>Ore_Mined_t_YTD</t>
        </is>
      </c>
      <c r="I1" s="74" t="inlineStr">
        <is>
          <t>Ore_Mined_oz</t>
        </is>
      </c>
      <c r="J1" s="74" t="inlineStr">
        <is>
          <t>Ore_Mined_oz_MTD</t>
        </is>
      </c>
      <c r="K1" s="74" t="inlineStr">
        <is>
          <t>Ore_Mined_oz_YTD</t>
        </is>
      </c>
      <c r="L1" s="74" t="inlineStr">
        <is>
          <t>Ore_Grade_gpt</t>
        </is>
      </c>
      <c r="M1" s="74" t="inlineStr">
        <is>
          <t>Ore_Grade_gpt_MTD</t>
        </is>
      </c>
      <c r="N1" s="74" t="inlineStr">
        <is>
          <t>Ore_Grade_gpt_YTD</t>
        </is>
      </c>
      <c r="O1" s="74" t="inlineStr">
        <is>
          <t>Waste_t</t>
        </is>
      </c>
      <c r="P1" s="74" t="inlineStr">
        <is>
          <t>Waste_t_MTD</t>
        </is>
      </c>
      <c r="Q1" s="74" t="inlineStr">
        <is>
          <t>Waste_t_YTD</t>
        </is>
      </c>
      <c r="R1" s="74" t="inlineStr">
        <is>
          <t>TMM_t</t>
        </is>
      </c>
      <c r="S1" s="74" t="inlineStr">
        <is>
          <t>TMM_t_MTD</t>
        </is>
      </c>
      <c r="T1" s="74" t="inlineStr">
        <is>
          <t>TMM_t_YTD</t>
        </is>
      </c>
      <c r="U1" s="74" t="inlineStr">
        <is>
          <t>Strip_Ratio</t>
        </is>
      </c>
      <c r="V1" s="74" t="inlineStr">
        <is>
          <t>Strip_Ratio_MTD</t>
        </is>
      </c>
      <c r="W1" s="74" t="inlineStr">
        <is>
          <t>Strip_Ratio_YTD</t>
        </is>
      </c>
      <c r="X1" s="74" t="inlineStr">
        <is>
          <t>Rehandle_t</t>
        </is>
      </c>
      <c r="Y1" s="74" t="inlineStr">
        <is>
          <t>Rehandle_t_MTD</t>
        </is>
      </c>
      <c r="Z1" s="74" t="inlineStr">
        <is>
          <t>Rehandle_t_YTD</t>
        </is>
      </c>
      <c r="AA1" s="74" t="inlineStr">
        <is>
          <t>Drill_m</t>
        </is>
      </c>
      <c r="AB1" s="74" t="inlineStr">
        <is>
          <t>Drill_m_MTD</t>
        </is>
      </c>
      <c r="AC1" s="74" t="inlineStr">
        <is>
          <t>Drill_m_YTD</t>
        </is>
      </c>
      <c r="AD1" s="74" t="inlineStr">
        <is>
          <t>Blast_t</t>
        </is>
      </c>
      <c r="AE1" s="74" t="inlineStr">
        <is>
          <t>Blast_t_MTD</t>
        </is>
      </c>
      <c r="AF1" s="74" t="inlineStr">
        <is>
          <t>Blast_t_YTD</t>
        </is>
      </c>
      <c r="AG1" s="74" t="inlineStr">
        <is>
          <t>Explosives_kg</t>
        </is>
      </c>
      <c r="AH1" s="74" t="inlineStr">
        <is>
          <t>Explosives_kg_MTD</t>
        </is>
      </c>
      <c r="AI1" s="74" t="inlineStr">
        <is>
          <t>Explosives_kg_YTD</t>
        </is>
      </c>
      <c r="AJ1" s="74" t="inlineStr">
        <is>
          <t>Powder_Factor_kgpt</t>
        </is>
      </c>
      <c r="AK1" s="74" t="inlineStr">
        <is>
          <t>Powder_Factor_kgpt_MTD</t>
        </is>
      </c>
      <c r="AL1" s="74" t="inlineStr">
        <is>
          <t>Powder_Factor_kgpt_YTD</t>
        </is>
      </c>
      <c r="AM1" s="74" t="inlineStr">
        <is>
          <t>Diesel_Mining_L</t>
        </is>
      </c>
      <c r="AN1" s="74" t="inlineStr">
        <is>
          <t>Diesel_Mining_L_MTD</t>
        </is>
      </c>
      <c r="AO1" s="74" t="inlineStr">
        <is>
          <t>Diesel_Mining_L_YTD</t>
        </is>
      </c>
      <c r="AP1" s="74" t="inlineStr">
        <is>
          <t>Dewatering_m3</t>
        </is>
      </c>
      <c r="AQ1" s="74" t="inlineStr">
        <is>
          <t>Dewatering_m3_MTD</t>
        </is>
      </c>
      <c r="AR1" s="74" t="inlineStr">
        <is>
          <t>Dewatering_m3_YTD</t>
        </is>
      </c>
      <c r="AS1" s="74" t="inlineStr">
        <is>
          <t>Exc_Calendar_h</t>
        </is>
      </c>
      <c r="AT1" s="74" t="inlineStr">
        <is>
          <t>Exc_Calendar_h_MTD</t>
        </is>
      </c>
      <c r="AU1" s="74" t="inlineStr">
        <is>
          <t>Exc_Calendar_h_YTD</t>
        </is>
      </c>
      <c r="AV1" s="74" t="inlineStr">
        <is>
          <t>Exc_Available_h</t>
        </is>
      </c>
      <c r="AW1" s="74" t="inlineStr">
        <is>
          <t>Exc_Available_h_MTD</t>
        </is>
      </c>
      <c r="AX1" s="74" t="inlineStr">
        <is>
          <t>Exc_Available_h_YTD</t>
        </is>
      </c>
      <c r="AY1" s="74" t="inlineStr">
        <is>
          <t>Exc_Operating_h</t>
        </is>
      </c>
      <c r="AZ1" s="74" t="inlineStr">
        <is>
          <t>Exc_Operating_h_MTD</t>
        </is>
      </c>
      <c r="BA1" s="74" t="inlineStr">
        <is>
          <t>Exc_Operating_h_YTD</t>
        </is>
      </c>
      <c r="BB1" s="74" t="inlineStr">
        <is>
          <t>Exc_Availability_pct</t>
        </is>
      </c>
      <c r="BC1" s="74" t="inlineStr">
        <is>
          <t>Exc_Availability_pct_MTD</t>
        </is>
      </c>
      <c r="BD1" s="74" t="inlineStr">
        <is>
          <t>Exc_Availability_pct_YTD</t>
        </is>
      </c>
      <c r="BE1" s="74" t="inlineStr">
        <is>
          <t>Exc_Utilisation_pct</t>
        </is>
      </c>
      <c r="BF1" s="74" t="inlineStr">
        <is>
          <t>Exc_Utilisation_pct_MTD</t>
        </is>
      </c>
      <c r="BG1" s="74" t="inlineStr">
        <is>
          <t>Exc_Utilisation_pct_YTD</t>
        </is>
      </c>
      <c r="BH1" s="74" t="inlineStr">
        <is>
          <t>Trk_Calendar_h</t>
        </is>
      </c>
      <c r="BI1" s="74" t="inlineStr">
        <is>
          <t>Trk_Calendar_h_MTD</t>
        </is>
      </c>
      <c r="BJ1" s="74" t="inlineStr">
        <is>
          <t>Trk_Calendar_h_YTD</t>
        </is>
      </c>
      <c r="BK1" s="74" t="inlineStr">
        <is>
          <t>Trk_Available_h</t>
        </is>
      </c>
      <c r="BL1" s="74" t="inlineStr">
        <is>
          <t>Trk_Available_h_MTD</t>
        </is>
      </c>
      <c r="BM1" s="74" t="inlineStr">
        <is>
          <t>Trk_Available_h_YTD</t>
        </is>
      </c>
      <c r="BN1" s="74" t="inlineStr">
        <is>
          <t>Trk_Operating_h</t>
        </is>
      </c>
      <c r="BO1" s="74" t="inlineStr">
        <is>
          <t>Trk_Operating_h_MTD</t>
        </is>
      </c>
      <c r="BP1" s="74" t="inlineStr">
        <is>
          <t>Trk_Operating_h_YTD</t>
        </is>
      </c>
      <c r="BQ1" s="74" t="inlineStr">
        <is>
          <t>Trk_Availability_pct</t>
        </is>
      </c>
      <c r="BR1" s="74" t="inlineStr">
        <is>
          <t>Trk_Availability_pct_MTD</t>
        </is>
      </c>
      <c r="BS1" s="74" t="inlineStr">
        <is>
          <t>Trk_Availability_pct_YTD</t>
        </is>
      </c>
      <c r="BT1" s="74" t="inlineStr">
        <is>
          <t>Trk_Utilisation_pct</t>
        </is>
      </c>
      <c r="BU1" s="74" t="inlineStr">
        <is>
          <t>Trk_Utilisation_pct_MTD</t>
        </is>
      </c>
      <c r="BV1" s="74" t="inlineStr">
        <is>
          <t>Trk_Utilisation_pct_YTD</t>
        </is>
      </c>
      <c r="BW1" s="74" t="inlineStr">
        <is>
          <t>Crushed_t</t>
        </is>
      </c>
      <c r="BX1" s="74" t="inlineStr">
        <is>
          <t>Crushed_t_MTD</t>
        </is>
      </c>
      <c r="BY1" s="74" t="inlineStr">
        <is>
          <t>Crushed_t_YTD</t>
        </is>
      </c>
      <c r="BZ1" s="74" t="inlineStr">
        <is>
          <t>Milled_t</t>
        </is>
      </c>
      <c r="CA1" s="74" t="inlineStr">
        <is>
          <t>Milled_t_MTD</t>
        </is>
      </c>
      <c r="CB1" s="74" t="inlineStr">
        <is>
          <t>Milled_t_YTD</t>
        </is>
      </c>
      <c r="CC1" s="74" t="inlineStr">
        <is>
          <t>Feed_oz</t>
        </is>
      </c>
      <c r="CD1" s="74" t="inlineStr">
        <is>
          <t>Feed_oz_MTD</t>
        </is>
      </c>
      <c r="CE1" s="74" t="inlineStr">
        <is>
          <t>Feed_oz_YTD</t>
        </is>
      </c>
      <c r="CF1" s="74" t="inlineStr">
        <is>
          <t>Tails_oz</t>
        </is>
      </c>
      <c r="CG1" s="74" t="inlineStr">
        <is>
          <t>Tails_oz_MTD</t>
        </is>
      </c>
      <c r="CH1" s="74" t="inlineStr">
        <is>
          <t>Tails_oz_YTD</t>
        </is>
      </c>
      <c r="CI1" s="74" t="inlineStr">
        <is>
          <t>Recovered_oz</t>
        </is>
      </c>
      <c r="CJ1" s="74" t="inlineStr">
        <is>
          <t>Recovered_oz_MTD</t>
        </is>
      </c>
      <c r="CK1" s="74" t="inlineStr">
        <is>
          <t>Recovered_oz_YTD</t>
        </is>
      </c>
      <c r="CL1" s="74" t="inlineStr">
        <is>
          <t>Head_Grade_gpt</t>
        </is>
      </c>
      <c r="CM1" s="74" t="inlineStr">
        <is>
          <t>Head_Grade_gpt_MTD</t>
        </is>
      </c>
      <c r="CN1" s="74" t="inlineStr">
        <is>
          <t>Head_Grade_gpt_YTD</t>
        </is>
      </c>
      <c r="CO1" s="74" t="inlineStr">
        <is>
          <t>Tails_Grade_gpt</t>
        </is>
      </c>
      <c r="CP1" s="74" t="inlineStr">
        <is>
          <t>Tails_Grade_gpt_MTD</t>
        </is>
      </c>
      <c r="CQ1" s="74" t="inlineStr">
        <is>
          <t>Tails_Grade_gpt_YTD</t>
        </is>
      </c>
      <c r="CR1" s="74" t="inlineStr">
        <is>
          <t>Recovery_pct</t>
        </is>
      </c>
      <c r="CS1" s="74" t="inlineStr">
        <is>
          <t>Recovery_pct_MTD</t>
        </is>
      </c>
      <c r="CT1" s="74" t="inlineStr">
        <is>
          <t>Recovery_pct_YTD</t>
        </is>
      </c>
      <c r="CU1" s="74" t="inlineStr">
        <is>
          <t>Gravity_Gold_oz</t>
        </is>
      </c>
      <c r="CV1" s="74" t="inlineStr">
        <is>
          <t>Gravity_Gold_oz_MTD</t>
        </is>
      </c>
      <c r="CW1" s="74" t="inlineStr">
        <is>
          <t>Gravity_Gold_oz_YTD</t>
        </is>
      </c>
      <c r="CX1" s="74" t="inlineStr">
        <is>
          <t>Gold_Poured_oz</t>
        </is>
      </c>
      <c r="CY1" s="74" t="inlineStr">
        <is>
          <t>Gold_Poured_oz_MTD</t>
        </is>
      </c>
      <c r="CZ1" s="74" t="inlineStr">
        <is>
          <t>Gold_Poured_oz_YTD</t>
        </is>
      </c>
      <c r="DA1" s="74" t="inlineStr">
        <is>
          <t>Mill_Run_h</t>
        </is>
      </c>
      <c r="DB1" s="74" t="inlineStr">
        <is>
          <t>Mill_Run_h_MTD</t>
        </is>
      </c>
      <c r="DC1" s="74" t="inlineStr">
        <is>
          <t>Mill_Run_h_YTD</t>
        </is>
      </c>
      <c r="DD1" s="74" t="inlineStr">
        <is>
          <t>Mill_Planned_Maint_h</t>
        </is>
      </c>
      <c r="DE1" s="74" t="inlineStr">
        <is>
          <t>Mill_Planned_Maint_h_MTD</t>
        </is>
      </c>
      <c r="DF1" s="74" t="inlineStr">
        <is>
          <t>Mill_Planned_Maint_h_YTD</t>
        </is>
      </c>
      <c r="DG1" s="74" t="inlineStr">
        <is>
          <t>Mill_Unplanned_Down_h</t>
        </is>
      </c>
      <c r="DH1" s="74" t="inlineStr">
        <is>
          <t>Mill_Unplanned_Down_h_MTD</t>
        </is>
      </c>
      <c r="DI1" s="74" t="inlineStr">
        <is>
          <t>Mill_Unplanned_Down_h_YTD</t>
        </is>
      </c>
      <c r="DJ1" s="74" t="inlineStr">
        <is>
          <t>Mill_Calendar_h</t>
        </is>
      </c>
      <c r="DK1" s="74" t="inlineStr">
        <is>
          <t>Mill_Calendar_h_MTD</t>
        </is>
      </c>
      <c r="DL1" s="74" t="inlineStr">
        <is>
          <t>Mill_Calendar_h_YTD</t>
        </is>
      </c>
      <c r="DM1" s="74" t="inlineStr">
        <is>
          <t>Crusher_Run_h</t>
        </is>
      </c>
      <c r="DN1" s="74" t="inlineStr">
        <is>
          <t>Crusher_Run_h_MTD</t>
        </is>
      </c>
      <c r="DO1" s="74" t="inlineStr">
        <is>
          <t>Crusher_Run_h_YTD</t>
        </is>
      </c>
      <c r="DP1" s="74" t="inlineStr">
        <is>
          <t>Throughput_tph</t>
        </is>
      </c>
      <c r="DQ1" s="74" t="inlineStr">
        <is>
          <t>Throughput_tph_MTD</t>
        </is>
      </c>
      <c r="DR1" s="74" t="inlineStr">
        <is>
          <t>Throughput_tph_YTD</t>
        </is>
      </c>
      <c r="DS1" s="74" t="inlineStr">
        <is>
          <t>Mill_Availability_pct</t>
        </is>
      </c>
      <c r="DT1" s="74" t="inlineStr">
        <is>
          <t>Mill_Availability_pct_MTD</t>
        </is>
      </c>
      <c r="DU1" s="74" t="inlineStr">
        <is>
          <t>Mill_Availability_pct_YTD</t>
        </is>
      </c>
      <c r="DV1" s="74" t="inlineStr">
        <is>
          <t>Mill_Utilisation_pct</t>
        </is>
      </c>
      <c r="DW1" s="74" t="inlineStr">
        <is>
          <t>Mill_Utilisation_pct_MTD</t>
        </is>
      </c>
      <c r="DX1" s="74" t="inlineStr">
        <is>
          <t>Mill_Utilisation_pct_YTD</t>
        </is>
      </c>
      <c r="DY1" s="74" t="inlineStr">
        <is>
          <t>Cyanide_kg</t>
        </is>
      </c>
      <c r="DZ1" s="74" t="inlineStr">
        <is>
          <t>Cyanide_kg_MTD</t>
        </is>
      </c>
      <c r="EA1" s="74" t="inlineStr">
        <is>
          <t>Cyanide_kg_YTD</t>
        </is>
      </c>
      <c r="EB1" s="74" t="inlineStr">
        <is>
          <t>Lime_kg</t>
        </is>
      </c>
      <c r="EC1" s="74" t="inlineStr">
        <is>
          <t>Lime_kg_MTD</t>
        </is>
      </c>
      <c r="ED1" s="74" t="inlineStr">
        <is>
          <t>Lime_kg_YTD</t>
        </is>
      </c>
      <c r="EE1" s="74" t="inlineStr">
        <is>
          <t>Grinding_Media_kg</t>
        </is>
      </c>
      <c r="EF1" s="74" t="inlineStr">
        <is>
          <t>Grinding_Media_kg_MTD</t>
        </is>
      </c>
      <c r="EG1" s="74" t="inlineStr">
        <is>
          <t>Grinding_Media_kg_YTD</t>
        </is>
      </c>
      <c r="EH1" s="74" t="inlineStr">
        <is>
          <t>Power_kWh</t>
        </is>
      </c>
      <c r="EI1" s="74" t="inlineStr">
        <is>
          <t>Power_kWh_MTD</t>
        </is>
      </c>
      <c r="EJ1" s="74" t="inlineStr">
        <is>
          <t>Power_kWh_YTD</t>
        </is>
      </c>
      <c r="EK1" s="74" t="inlineStr">
        <is>
          <t>Raw_Water_m3</t>
        </is>
      </c>
      <c r="EL1" s="74" t="inlineStr">
        <is>
          <t>Raw_Water_m3_MTD</t>
        </is>
      </c>
      <c r="EM1" s="74" t="inlineStr">
        <is>
          <t>Raw_Water_m3_YTD</t>
        </is>
      </c>
      <c r="EN1" s="74" t="inlineStr">
        <is>
          <t>Cyanide_kgpt</t>
        </is>
      </c>
      <c r="EO1" s="74" t="inlineStr">
        <is>
          <t>Cyanide_kgpt_MTD</t>
        </is>
      </c>
      <c r="EP1" s="74" t="inlineStr">
        <is>
          <t>Cyanide_kgpt_YTD</t>
        </is>
      </c>
      <c r="EQ1" s="74" t="inlineStr">
        <is>
          <t>Lime_kgpt</t>
        </is>
      </c>
      <c r="ER1" s="74" t="inlineStr">
        <is>
          <t>Lime_kgpt_MTD</t>
        </is>
      </c>
      <c r="ES1" s="74" t="inlineStr">
        <is>
          <t>Lime_kgpt_YTD</t>
        </is>
      </c>
      <c r="ET1" s="74" t="inlineStr">
        <is>
          <t>Media_kgpt</t>
        </is>
      </c>
      <c r="EU1" s="74" t="inlineStr">
        <is>
          <t>Media_kgpt_MTD</t>
        </is>
      </c>
      <c r="EV1" s="74" t="inlineStr">
        <is>
          <t>Media_kgpt_YTD</t>
        </is>
      </c>
      <c r="EW1" s="74" t="inlineStr">
        <is>
          <t>Power_kWhpt</t>
        </is>
      </c>
      <c r="EX1" s="74" t="inlineStr">
        <is>
          <t>Power_kWhpt_MTD</t>
        </is>
      </c>
      <c r="EY1" s="74" t="inlineStr">
        <is>
          <t>Power_kWhpt_YTD</t>
        </is>
      </c>
      <c r="EZ1" s="74" t="inlineStr">
        <is>
          <t>Water_m3pt</t>
        </is>
      </c>
      <c r="FA1" s="74" t="inlineStr">
        <is>
          <t>Water_m3pt_MTD</t>
        </is>
      </c>
      <c r="FB1" s="74" t="inlineStr">
        <is>
          <t>Water_m3pt_YTD</t>
        </is>
      </c>
      <c r="FC1" s="74" t="inlineStr">
        <is>
          <t>GIC_oz</t>
        </is>
      </c>
      <c r="FD1" s="74" t="inlineStr">
        <is>
          <t>Gold_Shipped_oz</t>
        </is>
      </c>
      <c r="FE1" s="74" t="inlineStr">
        <is>
          <t>Gold_Shipped_oz_MTD</t>
        </is>
      </c>
      <c r="FF1" s="74" t="inlineStr">
        <is>
          <t>Gold_Shipped_oz_YTD</t>
        </is>
      </c>
      <c r="FG1" s="74" t="inlineStr">
        <is>
          <t>Gold_Sold_oz</t>
        </is>
      </c>
      <c r="FH1" s="74" t="inlineStr">
        <is>
          <t>Gold_Sold_oz_MTD</t>
        </is>
      </c>
      <c r="FI1" s="74" t="inlineStr">
        <is>
          <t>Gold_Sold_oz_YTD</t>
        </is>
      </c>
      <c r="FJ1" s="74" t="inlineStr">
        <is>
          <t>Dore_Shipped_kg</t>
        </is>
      </c>
      <c r="FK1" s="74" t="inlineStr">
        <is>
          <t>Dore_Shipped_kg_MTD</t>
        </is>
      </c>
      <c r="FL1" s="74" t="inlineStr">
        <is>
          <t>Dore_Shipped_kg_YTD</t>
        </is>
      </c>
      <c r="FM1" s="74" t="inlineStr">
        <is>
          <t>Hours_Worked</t>
        </is>
      </c>
      <c r="FN1" s="74" t="inlineStr">
        <is>
          <t>Hours_Worked_MTD</t>
        </is>
      </c>
      <c r="FO1" s="74" t="inlineStr">
        <is>
          <t>Hours_Worked_YTD</t>
        </is>
      </c>
      <c r="FP1" s="74" t="inlineStr">
        <is>
          <t>Fatality</t>
        </is>
      </c>
      <c r="FQ1" s="74" t="inlineStr">
        <is>
          <t>Fatality_MTD</t>
        </is>
      </c>
      <c r="FR1" s="74" t="inlineStr">
        <is>
          <t>Fatality_YTD</t>
        </is>
      </c>
      <c r="FS1" s="74" t="inlineStr">
        <is>
          <t>LTI</t>
        </is>
      </c>
      <c r="FT1" s="74" t="inlineStr">
        <is>
          <t>LTI_MTD</t>
        </is>
      </c>
      <c r="FU1" s="74" t="inlineStr">
        <is>
          <t>LTI_YTD</t>
        </is>
      </c>
      <c r="FV1" s="74" t="inlineStr">
        <is>
          <t>RWI</t>
        </is>
      </c>
      <c r="FW1" s="74" t="inlineStr">
        <is>
          <t>RWI_MTD</t>
        </is>
      </c>
      <c r="FX1" s="74" t="inlineStr">
        <is>
          <t>RWI_YTD</t>
        </is>
      </c>
      <c r="FY1" s="74" t="inlineStr">
        <is>
          <t>MTI</t>
        </is>
      </c>
      <c r="FZ1" s="74" t="inlineStr">
        <is>
          <t>MTI_MTD</t>
        </is>
      </c>
      <c r="GA1" s="74" t="inlineStr">
        <is>
          <t>MTI_YTD</t>
        </is>
      </c>
      <c r="GB1" s="74" t="inlineStr">
        <is>
          <t>FAI</t>
        </is>
      </c>
      <c r="GC1" s="74" t="inlineStr">
        <is>
          <t>FAI_MTD</t>
        </is>
      </c>
      <c r="GD1" s="74" t="inlineStr">
        <is>
          <t>FAI_YTD</t>
        </is>
      </c>
      <c r="GE1" s="74" t="inlineStr">
        <is>
          <t>Recordables</t>
        </is>
      </c>
      <c r="GF1" s="74" t="inlineStr">
        <is>
          <t>Recordables_MTD</t>
        </is>
      </c>
      <c r="GG1" s="74" t="inlineStr">
        <is>
          <t>Recordables_YTD</t>
        </is>
      </c>
      <c r="GH1" s="74" t="inlineStr">
        <is>
          <t>Near_Miss</t>
        </is>
      </c>
      <c r="GI1" s="74" t="inlineStr">
        <is>
          <t>Near_Miss_MTD</t>
        </is>
      </c>
      <c r="GJ1" s="74" t="inlineStr">
        <is>
          <t>Near_Miss_YTD</t>
        </is>
      </c>
      <c r="GK1" s="74" t="inlineStr">
        <is>
          <t>Hazard_Reports</t>
        </is>
      </c>
      <c r="GL1" s="74" t="inlineStr">
        <is>
          <t>Hazard_Reports_MTD</t>
        </is>
      </c>
      <c r="GM1" s="74" t="inlineStr">
        <is>
          <t>Hazard_Reports_YTD</t>
        </is>
      </c>
      <c r="GN1" s="74" t="inlineStr">
        <is>
          <t>HPI</t>
        </is>
      </c>
      <c r="GO1" s="74" t="inlineStr">
        <is>
          <t>HPI_MTD</t>
        </is>
      </c>
      <c r="GP1" s="74" t="inlineStr">
        <is>
          <t>HPI_YTD</t>
        </is>
      </c>
      <c r="GQ1" s="74" t="inlineStr">
        <is>
          <t>Env_Incidents</t>
        </is>
      </c>
      <c r="GR1" s="74" t="inlineStr">
        <is>
          <t>Env_Incidents_MTD</t>
        </is>
      </c>
      <c r="GS1" s="74" t="inlineStr">
        <is>
          <t>Env_Incidents_YTD</t>
        </is>
      </c>
      <c r="GT1" s="74" t="inlineStr">
        <is>
          <t>Community_Incidents</t>
        </is>
      </c>
      <c r="GU1" s="74" t="inlineStr">
        <is>
          <t>Community_Incidents_MTD</t>
        </is>
      </c>
      <c r="GV1" s="74" t="inlineStr">
        <is>
          <t>Community_Incidents_YTD</t>
        </is>
      </c>
      <c r="GW1" s="74" t="inlineStr">
        <is>
          <t>Vehicle_Incidents</t>
        </is>
      </c>
      <c r="GX1" s="74" t="inlineStr">
        <is>
          <t>Vehicle_Incidents_MTD</t>
        </is>
      </c>
      <c r="GY1" s="74" t="inlineStr">
        <is>
          <t>Vehicle_Incidents_YTD</t>
        </is>
      </c>
      <c r="GZ1" s="74" t="inlineStr">
        <is>
          <t>Toolbox_Talks</t>
        </is>
      </c>
      <c r="HA1" s="74" t="inlineStr">
        <is>
          <t>Toolbox_Talks_MTD</t>
        </is>
      </c>
      <c r="HB1" s="74" t="inlineStr">
        <is>
          <t>Toolbox_Talks_YTD</t>
        </is>
      </c>
      <c r="HC1" s="74" t="inlineStr">
        <is>
          <t>Inspections</t>
        </is>
      </c>
      <c r="HD1" s="74" t="inlineStr">
        <is>
          <t>Inspections_MTD</t>
        </is>
      </c>
      <c r="HE1" s="74" t="inlineStr">
        <is>
          <t>Inspections_YTD</t>
        </is>
      </c>
      <c r="HF1" s="74" t="inlineStr">
        <is>
          <t>TRIFR_12m</t>
        </is>
      </c>
      <c r="HG1" s="74" t="inlineStr">
        <is>
          <t>LTIFR_12m</t>
        </is>
      </c>
      <c r="HH1" s="74" t="inlineStr">
        <is>
          <t>Days_Since_LTI</t>
        </is>
      </c>
      <c r="HI1" s="75" t="inlineStr">
        <is>
          <t>Bud_Ore_Mined_t_Month</t>
        </is>
      </c>
      <c r="HJ1" s="75" t="inlineStr">
        <is>
          <t>Bud_Ore_Mined_t_MTD</t>
        </is>
      </c>
      <c r="HK1" s="75" t="inlineStr">
        <is>
          <t>Bud_Ore_Mined_t_YTD</t>
        </is>
      </c>
      <c r="HL1" s="75" t="inlineStr">
        <is>
          <t>Bud_Ore_Mined_oz_Month</t>
        </is>
      </c>
      <c r="HM1" s="75" t="inlineStr">
        <is>
          <t>Bud_Ore_Mined_oz_MTD</t>
        </is>
      </c>
      <c r="HN1" s="75" t="inlineStr">
        <is>
          <t>Bud_Ore_Mined_oz_YTD</t>
        </is>
      </c>
      <c r="HO1" s="75" t="inlineStr">
        <is>
          <t>Bud_Ore_Grade_gpt_Month</t>
        </is>
      </c>
      <c r="HP1" s="75" t="inlineStr">
        <is>
          <t>Bud_Ore_Grade_gpt_MTD</t>
        </is>
      </c>
      <c r="HQ1" s="75" t="inlineStr">
        <is>
          <t>Bud_Ore_Grade_gpt_YTD</t>
        </is>
      </c>
      <c r="HR1" s="75" t="inlineStr">
        <is>
          <t>Bud_Waste_t_Month</t>
        </is>
      </c>
      <c r="HS1" s="75" t="inlineStr">
        <is>
          <t>Bud_Waste_t_MTD</t>
        </is>
      </c>
      <c r="HT1" s="75" t="inlineStr">
        <is>
          <t>Bud_Waste_t_YTD</t>
        </is>
      </c>
      <c r="HU1" s="75" t="inlineStr">
        <is>
          <t>Bud_TMM_t_Month</t>
        </is>
      </c>
      <c r="HV1" s="75" t="inlineStr">
        <is>
          <t>Bud_TMM_t_MTD</t>
        </is>
      </c>
      <c r="HW1" s="75" t="inlineStr">
        <is>
          <t>Bud_TMM_t_YTD</t>
        </is>
      </c>
      <c r="HX1" s="75" t="inlineStr">
        <is>
          <t>Bud_Strip_Ratio_Month</t>
        </is>
      </c>
      <c r="HY1" s="75" t="inlineStr">
        <is>
          <t>Bud_Strip_Ratio_MTD</t>
        </is>
      </c>
      <c r="HZ1" s="75" t="inlineStr">
        <is>
          <t>Bud_Strip_Ratio_YTD</t>
        </is>
      </c>
      <c r="IA1" s="75" t="inlineStr">
        <is>
          <t>Bud_Drill_m_Month</t>
        </is>
      </c>
      <c r="IB1" s="75" t="inlineStr">
        <is>
          <t>Bud_Drill_m_MTD</t>
        </is>
      </c>
      <c r="IC1" s="75" t="inlineStr">
        <is>
          <t>Bud_Drill_m_YTD</t>
        </is>
      </c>
      <c r="ID1" s="75" t="inlineStr">
        <is>
          <t>Bud_Diesel_Mining_L_Month</t>
        </is>
      </c>
      <c r="IE1" s="75" t="inlineStr">
        <is>
          <t>Bud_Diesel_Mining_L_MTD</t>
        </is>
      </c>
      <c r="IF1" s="75" t="inlineStr">
        <is>
          <t>Bud_Diesel_Mining_L_YTD</t>
        </is>
      </c>
      <c r="IG1" s="75" t="inlineStr">
        <is>
          <t>Bud_Milled_t_Month</t>
        </is>
      </c>
      <c r="IH1" s="75" t="inlineStr">
        <is>
          <t>Bud_Milled_t_MTD</t>
        </is>
      </c>
      <c r="II1" s="75" t="inlineStr">
        <is>
          <t>Bud_Milled_t_YTD</t>
        </is>
      </c>
      <c r="IJ1" s="75" t="inlineStr">
        <is>
          <t>Bud_Feed_oz_Month</t>
        </is>
      </c>
      <c r="IK1" s="75" t="inlineStr">
        <is>
          <t>Bud_Feed_oz_MTD</t>
        </is>
      </c>
      <c r="IL1" s="75" t="inlineStr">
        <is>
          <t>Bud_Feed_oz_YTD</t>
        </is>
      </c>
      <c r="IM1" s="75" t="inlineStr">
        <is>
          <t>Bud_Recovered_oz_Month</t>
        </is>
      </c>
      <c r="IN1" s="75" t="inlineStr">
        <is>
          <t>Bud_Recovered_oz_MTD</t>
        </is>
      </c>
      <c r="IO1" s="75" t="inlineStr">
        <is>
          <t>Bud_Recovered_oz_YTD</t>
        </is>
      </c>
      <c r="IP1" s="75" t="inlineStr">
        <is>
          <t>Bud_Head_Grade_gpt_Month</t>
        </is>
      </c>
      <c r="IQ1" s="75" t="inlineStr">
        <is>
          <t>Bud_Head_Grade_gpt_MTD</t>
        </is>
      </c>
      <c r="IR1" s="75" t="inlineStr">
        <is>
          <t>Bud_Head_Grade_gpt_YTD</t>
        </is>
      </c>
      <c r="IS1" s="75" t="inlineStr">
        <is>
          <t>Bud_Recovery_pct_Month</t>
        </is>
      </c>
      <c r="IT1" s="75" t="inlineStr">
        <is>
          <t>Bud_Recovery_pct_MTD</t>
        </is>
      </c>
      <c r="IU1" s="75" t="inlineStr">
        <is>
          <t>Bud_Recovery_pct_YTD</t>
        </is>
      </c>
      <c r="IV1" s="75" t="inlineStr">
        <is>
          <t>Bud_Gold_Poured_oz_Month</t>
        </is>
      </c>
      <c r="IW1" s="75" t="inlineStr">
        <is>
          <t>Bud_Gold_Poured_oz_MTD</t>
        </is>
      </c>
      <c r="IX1" s="75" t="inlineStr">
        <is>
          <t>Bud_Gold_Poured_oz_YTD</t>
        </is>
      </c>
      <c r="IY1" s="75" t="inlineStr">
        <is>
          <t>Bud_Hours_Worked_Month</t>
        </is>
      </c>
      <c r="IZ1" s="75" t="inlineStr">
        <is>
          <t>Bud_Hours_Worked_MTD</t>
        </is>
      </c>
      <c r="JA1" s="75" t="inlineStr">
        <is>
          <t>Bud_Hours_Worked_YTD</t>
        </is>
      </c>
    </row>
    <row r="2">
      <c r="A2" s="54" t="n">
        <v>46023</v>
      </c>
      <c r="B2">
        <f>MONTH($A2)</f>
        <v/>
      </c>
      <c r="C2">
        <f>DAY($A2)</f>
        <v/>
      </c>
      <c r="D2">
        <f>DAY(EOMONTH($A2,0))</f>
        <v/>
      </c>
      <c r="E2" s="54">
        <f>DATE(YEAR($A2),MONTH($A2),1)</f>
        <v/>
      </c>
      <c r="F2" s="55">
        <f>SUMIFS(tblMovement[Tonnes_t],tblMovement[Date],$A2,tblMovement[Is_Ore],1,tblMovement[Source_Type],"Pit")</f>
        <v/>
      </c>
      <c r="G2" s="55">
        <f>$F2</f>
        <v/>
      </c>
      <c r="H2" s="55">
        <f>$F2</f>
        <v/>
      </c>
      <c r="I2" s="55">
        <f>SUMIFS(tblMovement[Ore_oz],tblMovement[Date],$A2,tblMovement[Source_Type],"Pit")</f>
        <v/>
      </c>
      <c r="J2" s="55">
        <f>$I2</f>
        <v/>
      </c>
      <c r="K2" s="55">
        <f>$I2</f>
        <v/>
      </c>
      <c r="L2" s="56">
        <f>IFERROR(IF(($F2)&gt;0,($I2*cfg_TroyOz)/($F2),""),"")</f>
        <v/>
      </c>
      <c r="M2" s="56">
        <f>IFERROR(IF(($G2)&gt;0,($J2*cfg_TroyOz)/($G2),""),"")</f>
        <v/>
      </c>
      <c r="N2" s="56">
        <f>IFERROR(IF(($H2)&gt;0,($K2*cfg_TroyOz)/($H2),""),"")</f>
        <v/>
      </c>
      <c r="O2" s="55">
        <f>SUMIFS(tblMovement[Tonnes_t],tblMovement[Date],$A2,tblMovement[Is_Ore],0,tblMovement[Source_Type],"Pit")</f>
        <v/>
      </c>
      <c r="P2" s="55">
        <f>$O2</f>
        <v/>
      </c>
      <c r="Q2" s="55">
        <f>$O2</f>
        <v/>
      </c>
      <c r="R2" s="55">
        <f>$F2+$O2</f>
        <v/>
      </c>
      <c r="S2" s="55">
        <f>$R2</f>
        <v/>
      </c>
      <c r="T2" s="55">
        <f>$R2</f>
        <v/>
      </c>
      <c r="U2" s="56">
        <f>IFERROR(IF(($F2)&gt;0,($O2)/($F2),""),"")</f>
        <v/>
      </c>
      <c r="V2" s="56">
        <f>IFERROR(IF(($G2)&gt;0,($P2)/($G2),""),"")</f>
        <v/>
      </c>
      <c r="W2" s="56">
        <f>IFERROR(IF(($H2)&gt;0,($Q2)/($H2),""),"")</f>
        <v/>
      </c>
      <c r="X2" s="55">
        <f>SUMIFS(tblMovement[Tonnes_t],tblMovement[Date],$A2,tblMovement[Source_Type],"Stockpile")</f>
        <v/>
      </c>
      <c r="Y2" s="55">
        <f>$X2</f>
        <v/>
      </c>
      <c r="Z2" s="55">
        <f>$X2</f>
        <v/>
      </c>
      <c r="AA2" s="55">
        <f>SUMIFS(tblMiningDaily[Drill_m],tblMiningDaily[Date],$A2)</f>
        <v/>
      </c>
      <c r="AB2" s="55">
        <f>$AA2</f>
        <v/>
      </c>
      <c r="AC2" s="55">
        <f>$AA2</f>
        <v/>
      </c>
      <c r="AD2" s="55">
        <f>SUMIFS(tblMiningDaily[Blast_t],tblMiningDaily[Date],$A2)</f>
        <v/>
      </c>
      <c r="AE2" s="55">
        <f>$AD2</f>
        <v/>
      </c>
      <c r="AF2" s="55">
        <f>$AD2</f>
        <v/>
      </c>
      <c r="AG2" s="55">
        <f>SUMIFS(tblMiningDaily[Explosives_kg],tblMiningDaily[Date],$A2)</f>
        <v/>
      </c>
      <c r="AH2" s="55">
        <f>$AG2</f>
        <v/>
      </c>
      <c r="AI2" s="55">
        <f>$AG2</f>
        <v/>
      </c>
      <c r="AJ2" s="56">
        <f>IFERROR(IF(($AD2)&gt;0,($AG2)/($AD2),""),"")</f>
        <v/>
      </c>
      <c r="AK2" s="56">
        <f>IFERROR(IF(($AE2)&gt;0,($AH2)/($AE2),""),"")</f>
        <v/>
      </c>
      <c r="AL2" s="56">
        <f>IFERROR(IF(($AF2)&gt;0,($AI2)/($AF2),""),"")</f>
        <v/>
      </c>
      <c r="AM2" s="55">
        <f>SUMIFS(tblMiningDaily[Diesel_L],tblMiningDaily[Date],$A2)</f>
        <v/>
      </c>
      <c r="AN2" s="55">
        <f>$AM2</f>
        <v/>
      </c>
      <c r="AO2" s="55">
        <f>$AM2</f>
        <v/>
      </c>
      <c r="AP2" s="55">
        <f>SUMIFS(tblMiningDaily[Dewatering_m3],tblMiningDaily[Date],$A2)</f>
        <v/>
      </c>
      <c r="AQ2" s="55">
        <f>$AP2</f>
        <v/>
      </c>
      <c r="AR2" s="55">
        <f>$AP2</f>
        <v/>
      </c>
      <c r="AS2" s="57">
        <f>SUMIFS(tblFleet[Calendar_h],tblFleet[Date],$A2,tblFleet[Equipment_Class],"Excavator")</f>
        <v/>
      </c>
      <c r="AT2" s="57">
        <f>$AS2</f>
        <v/>
      </c>
      <c r="AU2" s="57">
        <f>$AS2</f>
        <v/>
      </c>
      <c r="AV2" s="57">
        <f>SUMIFS(tblFleet[Available_h],tblFleet[Date],$A2,tblFleet[Equipment_Class],"Excavator")</f>
        <v/>
      </c>
      <c r="AW2" s="57">
        <f>$AV2</f>
        <v/>
      </c>
      <c r="AX2" s="57">
        <f>$AV2</f>
        <v/>
      </c>
      <c r="AY2" s="57">
        <f>SUMIFS(tblFleet[Operating_h],tblFleet[Date],$A2,tblFleet[Equipment_Class],"Excavator")</f>
        <v/>
      </c>
      <c r="AZ2" s="57">
        <f>$AY2</f>
        <v/>
      </c>
      <c r="BA2" s="57">
        <f>$AY2</f>
        <v/>
      </c>
      <c r="BB2" s="67">
        <f>IFERROR(IF(($AS2)&gt;0,($AV2)/($AS2),""),"")</f>
        <v/>
      </c>
      <c r="BC2" s="67">
        <f>IFERROR(IF(($AT2)&gt;0,($AW2)/($AT2),""),"")</f>
        <v/>
      </c>
      <c r="BD2" s="67">
        <f>IFERROR(IF(($AU2)&gt;0,($AX2)/($AU2),""),"")</f>
        <v/>
      </c>
      <c r="BE2" s="67">
        <f>IFERROR(IF(($AV2)&gt;0,($AY2)/($AV2),""),"")</f>
        <v/>
      </c>
      <c r="BF2" s="67">
        <f>IFERROR(IF(($AW2)&gt;0,($AZ2)/($AW2),""),"")</f>
        <v/>
      </c>
      <c r="BG2" s="67">
        <f>IFERROR(IF(($AX2)&gt;0,($BA2)/($AX2),""),"")</f>
        <v/>
      </c>
      <c r="BH2" s="57">
        <f>SUMIFS(tblFleet[Calendar_h],tblFleet[Date],$A2,tblFleet[Equipment_Class],"Haul Truck")</f>
        <v/>
      </c>
      <c r="BI2" s="57">
        <f>$BH2</f>
        <v/>
      </c>
      <c r="BJ2" s="57">
        <f>$BH2</f>
        <v/>
      </c>
      <c r="BK2" s="57">
        <f>SUMIFS(tblFleet[Available_h],tblFleet[Date],$A2,tblFleet[Equipment_Class],"Haul Truck")</f>
        <v/>
      </c>
      <c r="BL2" s="57">
        <f>$BK2</f>
        <v/>
      </c>
      <c r="BM2" s="57">
        <f>$BK2</f>
        <v/>
      </c>
      <c r="BN2" s="57">
        <f>SUMIFS(tblFleet[Operating_h],tblFleet[Date],$A2,tblFleet[Equipment_Class],"Haul Truck")</f>
        <v/>
      </c>
      <c r="BO2" s="57">
        <f>$BN2</f>
        <v/>
      </c>
      <c r="BP2" s="57">
        <f>$BN2</f>
        <v/>
      </c>
      <c r="BQ2" s="67">
        <f>IFERROR(IF(($BH2)&gt;0,($BK2)/($BH2),""),"")</f>
        <v/>
      </c>
      <c r="BR2" s="67">
        <f>IFERROR(IF(($BI2)&gt;0,($BL2)/($BI2),""),"")</f>
        <v/>
      </c>
      <c r="BS2" s="67">
        <f>IFERROR(IF(($BJ2)&gt;0,($BM2)/($BJ2),""),"")</f>
        <v/>
      </c>
      <c r="BT2" s="67">
        <f>IFERROR(IF(($BK2)&gt;0,($BN2)/($BK2),""),"")</f>
        <v/>
      </c>
      <c r="BU2" s="67">
        <f>IFERROR(IF(($BL2)&gt;0,($BO2)/($BL2),""),"")</f>
        <v/>
      </c>
      <c r="BV2" s="67">
        <f>IFERROR(IF(($BM2)&gt;0,($BP2)/($BM2),""),"")</f>
        <v/>
      </c>
      <c r="BW2" s="55">
        <f>SUMIFS(tblPlant[Crushed_t],tblPlant[Date],$A2)</f>
        <v/>
      </c>
      <c r="BX2" s="55">
        <f>$BW2</f>
        <v/>
      </c>
      <c r="BY2" s="55">
        <f>$BW2</f>
        <v/>
      </c>
      <c r="BZ2" s="55">
        <f>SUMIFS(tblPlant[Milled_t],tblPlant[Date],$A2)</f>
        <v/>
      </c>
      <c r="CA2" s="55">
        <f>$BZ2</f>
        <v/>
      </c>
      <c r="CB2" s="55">
        <f>$BZ2</f>
        <v/>
      </c>
      <c r="CC2" s="55">
        <f>SUMIFS(tblPlant[Feed_oz],tblPlant[Date],$A2)</f>
        <v/>
      </c>
      <c r="CD2" s="55">
        <f>$CC2</f>
        <v/>
      </c>
      <c r="CE2" s="55">
        <f>$CC2</f>
        <v/>
      </c>
      <c r="CF2" s="55">
        <f>SUMIFS(tblPlant[Tails_oz],tblPlant[Date],$A2)</f>
        <v/>
      </c>
      <c r="CG2" s="55">
        <f>$CF2</f>
        <v/>
      </c>
      <c r="CH2" s="55">
        <f>$CF2</f>
        <v/>
      </c>
      <c r="CI2" s="55">
        <f>SUMIFS(tblPlant[Recovered_oz],tblPlant[Date],$A2)</f>
        <v/>
      </c>
      <c r="CJ2" s="55">
        <f>$CI2</f>
        <v/>
      </c>
      <c r="CK2" s="55">
        <f>$CI2</f>
        <v/>
      </c>
      <c r="CL2" s="56">
        <f>IFERROR(IF(($BZ2)&gt;0,($CC2*cfg_TroyOz)/($BZ2),""),"")</f>
        <v/>
      </c>
      <c r="CM2" s="56">
        <f>IFERROR(IF(($CA2)&gt;0,($CD2*cfg_TroyOz)/($CA2),""),"")</f>
        <v/>
      </c>
      <c r="CN2" s="56">
        <f>IFERROR(IF(($CB2)&gt;0,($CE2*cfg_TroyOz)/($CB2),""),"")</f>
        <v/>
      </c>
      <c r="CO2" s="56">
        <f>IFERROR(IF(($BZ2)&gt;0,($CF2*cfg_TroyOz)/($BZ2),""),"")</f>
        <v/>
      </c>
      <c r="CP2" s="56">
        <f>IFERROR(IF(($CA2)&gt;0,($CG2*cfg_TroyOz)/($CA2),""),"")</f>
        <v/>
      </c>
      <c r="CQ2" s="56">
        <f>IFERROR(IF(($CB2)&gt;0,($CH2*cfg_TroyOz)/($CB2),""),"")</f>
        <v/>
      </c>
      <c r="CR2" s="67">
        <f>IFERROR(IF(($CC2)&gt;0,($CI2)/($CC2),""),"")</f>
        <v/>
      </c>
      <c r="CS2" s="67">
        <f>IFERROR(IF(($CD2)&gt;0,($CJ2)/($CD2),""),"")</f>
        <v/>
      </c>
      <c r="CT2" s="67">
        <f>IFERROR(IF(($CE2)&gt;0,($CK2)/($CE2),""),"")</f>
        <v/>
      </c>
      <c r="CU2" s="55">
        <f>SUMIFS(tblPlant[Gravity_Gold_oz],tblPlant[Date],$A2)</f>
        <v/>
      </c>
      <c r="CV2" s="55">
        <f>$CU2</f>
        <v/>
      </c>
      <c r="CW2" s="55">
        <f>$CU2</f>
        <v/>
      </c>
      <c r="CX2" s="55">
        <f>SUMIFS(tblPlant[Gold_Poured_oz],tblPlant[Date],$A2)</f>
        <v/>
      </c>
      <c r="CY2" s="55">
        <f>$CX2</f>
        <v/>
      </c>
      <c r="CZ2" s="55">
        <f>$CX2</f>
        <v/>
      </c>
      <c r="DA2" s="57">
        <f>SUMIFS(tblPlant[Mill_Run_h],tblPlant[Date],$A2)</f>
        <v/>
      </c>
      <c r="DB2" s="57">
        <f>$DA2</f>
        <v/>
      </c>
      <c r="DC2" s="57">
        <f>$DA2</f>
        <v/>
      </c>
      <c r="DD2" s="57">
        <f>SUMIFS(tblPlant[Mill_Planned_Maint_h],tblPlant[Date],$A2)</f>
        <v/>
      </c>
      <c r="DE2" s="57">
        <f>$DD2</f>
        <v/>
      </c>
      <c r="DF2" s="57">
        <f>$DD2</f>
        <v/>
      </c>
      <c r="DG2" s="57">
        <f>SUMIFS(tblPlant[Mill_Unplanned_Down_h],tblPlant[Date],$A2)</f>
        <v/>
      </c>
      <c r="DH2" s="57">
        <f>$DG2</f>
        <v/>
      </c>
      <c r="DI2" s="57">
        <f>$DG2</f>
        <v/>
      </c>
      <c r="DJ2" s="57">
        <f>COUNTIFS(tblPlant[Date],$A2,tblPlant[Mill_Run_h],"&lt;&gt;")*24</f>
        <v/>
      </c>
      <c r="DK2" s="57">
        <f>$DJ2</f>
        <v/>
      </c>
      <c r="DL2" s="57">
        <f>$DJ2</f>
        <v/>
      </c>
      <c r="DM2" s="57">
        <f>SUMIFS(tblPlant[Crusher_Run_h],tblPlant[Date],$A2)</f>
        <v/>
      </c>
      <c r="DN2" s="57">
        <f>$DM2</f>
        <v/>
      </c>
      <c r="DO2" s="57">
        <f>$DM2</f>
        <v/>
      </c>
      <c r="DP2" s="55">
        <f>IFERROR(IF(($DA2)&gt;0,($BZ2)/($DA2),""),"")</f>
        <v/>
      </c>
      <c r="DQ2" s="55">
        <f>IFERROR(IF(($DB2)&gt;0,($CA2)/($DB2),""),"")</f>
        <v/>
      </c>
      <c r="DR2" s="55">
        <f>IFERROR(IF(($DC2)&gt;0,($CB2)/($DC2),""),"")</f>
        <v/>
      </c>
      <c r="DS2" s="67">
        <f>IFERROR(IF(($DJ2)&gt;0,($DJ2-$DD2-$DG2)/($DJ2),""),"")</f>
        <v/>
      </c>
      <c r="DT2" s="67">
        <f>IFERROR(IF(($DK2)&gt;0,($DK2-$DE2-$DH2)/($DK2),""),"")</f>
        <v/>
      </c>
      <c r="DU2" s="67">
        <f>IFERROR(IF(($DL2)&gt;0,($DL2-$DF2-$DI2)/($DL2),""),"")</f>
        <v/>
      </c>
      <c r="DV2" s="67">
        <f>IFERROR(IF(($DJ2-$DD2-$DG2)&gt;0,($DA2)/($DJ2-$DD2-$DG2),""),"")</f>
        <v/>
      </c>
      <c r="DW2" s="67">
        <f>IFERROR(IF(($DK2-$DE2-$DH2)&gt;0,($DB2)/($DK2-$DE2-$DH2),""),"")</f>
        <v/>
      </c>
      <c r="DX2" s="67">
        <f>IFERROR(IF(($DL2-$DF2-$DI2)&gt;0,($DC2)/($DL2-$DF2-$DI2),""),"")</f>
        <v/>
      </c>
      <c r="DY2" s="55">
        <f>SUMIFS(tblPlant[Cyanide_kg],tblPlant[Date],$A2)</f>
        <v/>
      </c>
      <c r="DZ2" s="55">
        <f>$DY2</f>
        <v/>
      </c>
      <c r="EA2" s="55">
        <f>$DY2</f>
        <v/>
      </c>
      <c r="EB2" s="55">
        <f>SUMIFS(tblPlant[Lime_kg],tblPlant[Date],$A2)</f>
        <v/>
      </c>
      <c r="EC2" s="55">
        <f>$EB2</f>
        <v/>
      </c>
      <c r="ED2" s="55">
        <f>$EB2</f>
        <v/>
      </c>
      <c r="EE2" s="55">
        <f>SUMIFS(tblPlant[Grinding_Media_kg],tblPlant[Date],$A2)</f>
        <v/>
      </c>
      <c r="EF2" s="55">
        <f>$EE2</f>
        <v/>
      </c>
      <c r="EG2" s="55">
        <f>$EE2</f>
        <v/>
      </c>
      <c r="EH2" s="55">
        <f>SUMIFS(tblPlant[Power_kWh],tblPlant[Date],$A2)</f>
        <v/>
      </c>
      <c r="EI2" s="55">
        <f>$EH2</f>
        <v/>
      </c>
      <c r="EJ2" s="55">
        <f>$EH2</f>
        <v/>
      </c>
      <c r="EK2" s="55">
        <f>SUMIFS(tblPlant[Raw_Water_m3],tblPlant[Date],$A2)</f>
        <v/>
      </c>
      <c r="EL2" s="55">
        <f>$EK2</f>
        <v/>
      </c>
      <c r="EM2" s="55">
        <f>$EK2</f>
        <v/>
      </c>
      <c r="EN2" s="56">
        <f>IFERROR(IF(($BZ2)&gt;0,($DY2)/($BZ2),""),"")</f>
        <v/>
      </c>
      <c r="EO2" s="56">
        <f>IFERROR(IF(($CA2)&gt;0,($DZ2)/($CA2),""),"")</f>
        <v/>
      </c>
      <c r="EP2" s="56">
        <f>IFERROR(IF(($CB2)&gt;0,($EA2)/($CB2),""),"")</f>
        <v/>
      </c>
      <c r="EQ2" s="56">
        <f>IFERROR(IF(($BZ2)&gt;0,($EB2)/($BZ2),""),"")</f>
        <v/>
      </c>
      <c r="ER2" s="56">
        <f>IFERROR(IF(($CA2)&gt;0,($EC2)/($CA2),""),"")</f>
        <v/>
      </c>
      <c r="ES2" s="56">
        <f>IFERROR(IF(($CB2)&gt;0,($ED2)/($CB2),""),"")</f>
        <v/>
      </c>
      <c r="ET2" s="56">
        <f>IFERROR(IF(($BZ2)&gt;0,($EE2)/($BZ2),""),"")</f>
        <v/>
      </c>
      <c r="EU2" s="56">
        <f>IFERROR(IF(($CA2)&gt;0,($EF2)/($CA2),""),"")</f>
        <v/>
      </c>
      <c r="EV2" s="56">
        <f>IFERROR(IF(($CB2)&gt;0,($EG2)/($CB2),""),"")</f>
        <v/>
      </c>
      <c r="EW2" s="76">
        <f>IFERROR(IF(($BZ2)&gt;0,($EH2)/($BZ2),""),"")</f>
        <v/>
      </c>
      <c r="EX2" s="76">
        <f>IFERROR(IF(($CA2)&gt;0,($EI2)/($CA2),""),"")</f>
        <v/>
      </c>
      <c r="EY2" s="76">
        <f>IFERROR(IF(($CB2)&gt;0,($EJ2)/($CB2),""),"")</f>
        <v/>
      </c>
      <c r="EZ2" s="56">
        <f>IFERROR(IF(($BZ2)&gt;0,($EK2)/($BZ2),""),"")</f>
        <v/>
      </c>
      <c r="FA2" s="56">
        <f>IFERROR(IF(($CA2)&gt;0,($EL2)/($CA2),""),"")</f>
        <v/>
      </c>
      <c r="FB2" s="56">
        <f>IFERROR(IF(($CB2)&gt;0,($EM2)/($CB2),""),"")</f>
        <v/>
      </c>
      <c r="FC2" s="55">
        <f>IF(SUMIFS(tblPlant[GIC_oz],tblPlant[Date],$A2)&gt;0,SUMIFS(tblPlant[GIC_oz],tblPlant[Date],$A2),"")</f>
        <v/>
      </c>
      <c r="FD2" s="55">
        <f>SUMIFS(tblGold[Gold_oz],tblGold[Date],$A2,tblGold[Type],"Shipment")</f>
        <v/>
      </c>
      <c r="FE2" s="55">
        <f>$FD2</f>
        <v/>
      </c>
      <c r="FF2" s="55">
        <f>$FD2</f>
        <v/>
      </c>
      <c r="FG2" s="55">
        <f>SUMIFS(tblGold[Gold_oz],tblGold[Date],$A2,tblGold[Type],"Sale")</f>
        <v/>
      </c>
      <c r="FH2" s="55">
        <f>$FG2</f>
        <v/>
      </c>
      <c r="FI2" s="55">
        <f>$FG2</f>
        <v/>
      </c>
      <c r="FJ2" s="55">
        <f>SUMIFS(tblGold[Dore_kg],tblGold[Date],$A2,tblGold[Type],"Shipment")</f>
        <v/>
      </c>
      <c r="FK2" s="55">
        <f>$FJ2</f>
        <v/>
      </c>
      <c r="FL2" s="55">
        <f>$FJ2</f>
        <v/>
      </c>
      <c r="FM2" s="57">
        <f>SUMIFS(tblSafety[Hours_Total],tblSafety[Date],$A2)</f>
        <v/>
      </c>
      <c r="FN2" s="57">
        <f>$FM2</f>
        <v/>
      </c>
      <c r="FO2" s="57">
        <f>$FM2</f>
        <v/>
      </c>
      <c r="FP2" s="62">
        <f>SUMIFS(tblSafety[Fatality],tblSafety[Date],$A2)</f>
        <v/>
      </c>
      <c r="FQ2" s="62">
        <f>$FP2</f>
        <v/>
      </c>
      <c r="FR2" s="62">
        <f>$FP2</f>
        <v/>
      </c>
      <c r="FS2" s="62">
        <f>SUMIFS(tblSafety[LTI],tblSafety[Date],$A2)</f>
        <v/>
      </c>
      <c r="FT2" s="62">
        <f>$FS2</f>
        <v/>
      </c>
      <c r="FU2" s="62">
        <f>$FS2</f>
        <v/>
      </c>
      <c r="FV2" s="62">
        <f>SUMIFS(tblSafety[RWI],tblSafety[Date],$A2)</f>
        <v/>
      </c>
      <c r="FW2" s="62">
        <f>$FV2</f>
        <v/>
      </c>
      <c r="FX2" s="62">
        <f>$FV2</f>
        <v/>
      </c>
      <c r="FY2" s="62">
        <f>SUMIFS(tblSafety[MTI],tblSafety[Date],$A2)</f>
        <v/>
      </c>
      <c r="FZ2" s="62">
        <f>$FY2</f>
        <v/>
      </c>
      <c r="GA2" s="62">
        <f>$FY2</f>
        <v/>
      </c>
      <c r="GB2" s="62">
        <f>SUMIFS(tblSafety[FAI],tblSafety[Date],$A2)</f>
        <v/>
      </c>
      <c r="GC2" s="62">
        <f>$GB2</f>
        <v/>
      </c>
      <c r="GD2" s="62">
        <f>$GB2</f>
        <v/>
      </c>
      <c r="GE2" s="62">
        <f>SUMIFS(tblSafety[Recordables],tblSafety[Date],$A2)</f>
        <v/>
      </c>
      <c r="GF2" s="62">
        <f>$GE2</f>
        <v/>
      </c>
      <c r="GG2" s="62">
        <f>$GE2</f>
        <v/>
      </c>
      <c r="GH2" s="62">
        <f>SUMIFS(tblSafety[Near_Miss],tblSafety[Date],$A2)</f>
        <v/>
      </c>
      <c r="GI2" s="62">
        <f>$GH2</f>
        <v/>
      </c>
      <c r="GJ2" s="62">
        <f>$GH2</f>
        <v/>
      </c>
      <c r="GK2" s="62">
        <f>SUMIFS(tblSafety[Hazard_Reports],tblSafety[Date],$A2)</f>
        <v/>
      </c>
      <c r="GL2" s="62">
        <f>$GK2</f>
        <v/>
      </c>
      <c r="GM2" s="62">
        <f>$GK2</f>
        <v/>
      </c>
      <c r="GN2" s="62">
        <f>SUMIFS(tblSafety[HPI],tblSafety[Date],$A2)</f>
        <v/>
      </c>
      <c r="GO2" s="62">
        <f>$GN2</f>
        <v/>
      </c>
      <c r="GP2" s="62">
        <f>$GN2</f>
        <v/>
      </c>
      <c r="GQ2" s="62">
        <f>SUMIFS(tblSafety[Env_Incidents],tblSafety[Date],$A2)</f>
        <v/>
      </c>
      <c r="GR2" s="62">
        <f>$GQ2</f>
        <v/>
      </c>
      <c r="GS2" s="62">
        <f>$GQ2</f>
        <v/>
      </c>
      <c r="GT2" s="62">
        <f>SUMIFS(tblSafety[Community_Incidents],tblSafety[Date],$A2)</f>
        <v/>
      </c>
      <c r="GU2" s="62">
        <f>$GT2</f>
        <v/>
      </c>
      <c r="GV2" s="62">
        <f>$GT2</f>
        <v/>
      </c>
      <c r="GW2" s="62">
        <f>SUMIFS(tblSafety[Vehicle_Incidents],tblSafety[Date],$A2)</f>
        <v/>
      </c>
      <c r="GX2" s="62">
        <f>$GW2</f>
        <v/>
      </c>
      <c r="GY2" s="62">
        <f>$GW2</f>
        <v/>
      </c>
      <c r="GZ2" s="62">
        <f>SUMIFS(tblSafety[Toolbox_Talks],tblSafety[Date],$A2)</f>
        <v/>
      </c>
      <c r="HA2" s="62">
        <f>$GZ2</f>
        <v/>
      </c>
      <c r="HB2" s="62">
        <f>$GZ2</f>
        <v/>
      </c>
      <c r="HC2" s="62">
        <f>SUMIFS(tblSafety[Inspections],tblSafety[Date],$A2)</f>
        <v/>
      </c>
      <c r="HD2" s="62">
        <f>$HC2</f>
        <v/>
      </c>
      <c r="HE2" s="62">
        <f>$HC2</f>
        <v/>
      </c>
      <c r="HF2" s="56">
        <f>IFERROR((SUMIFS(tblSafety[Recordables],tblSafety[Date],"&gt;="&amp;EDATE($E2,-12),tblSafety[Date],"&lt;="&amp;$A2)+SUMIFS(tblSafetyHistory[Recordables],tblSafetyHistory[Month],"&gt;="&amp;EDATE($E2,-12),tblSafetyHistory[Month],"&lt;"&amp;cfg_YearStart))/(SUMIFS(tblSafety[Hours_Total],tblSafety[Date],"&gt;="&amp;EDATE($E2,-12),tblSafety[Date],"&lt;="&amp;$A2)+SUMIFS(tblSafetyHistory[Hours_Total],tblSafetyHistory[Month],"&gt;="&amp;EDATE($E2,-12),tblSafetyHistory[Month],"&lt;"&amp;cfg_YearStart))*1000000,"")</f>
        <v/>
      </c>
      <c r="HG2" s="56">
        <f>IFERROR((SUMIFS(tblSafety[LTI],tblSafety[Date],"&gt;="&amp;EDATE($E2,-12),tblSafety[Date],"&lt;="&amp;$A2)+SUMIFS(tblSafetyHistory[LTI],tblSafetyHistory[Month],"&gt;="&amp;EDATE($E2,-12),tblSafetyHistory[Month],"&lt;"&amp;cfg_YearStart))/(SUMIFS(tblSafety[Hours_Total],tblSafety[Date],"&gt;="&amp;EDATE($E2,-12),tblSafety[Date],"&lt;="&amp;$A2)+SUMIFS(tblSafetyHistory[Hours_Total],tblSafetyHistory[Month],"&gt;="&amp;EDATE($E2,-12),tblSafetyHistory[Month],"&lt;"&amp;cfg_YearStart))*1000000,"")</f>
        <v/>
      </c>
      <c r="HH2" s="62">
        <f>IF(MAX(N(cfg_PriorLTIDate),_xlfn.MAXIFS(tblSafety[Date],tblSafety[LTI],"&gt;0",tblSafety[Date],"&lt;="&amp;$A2))=0,"",$A2-MAX(N(cfg_PriorLTIDate),_xlfn.MAXIFS(tblSafety[Date],tblSafety[LTI],"&gt;0",tblSafety[Date],"&lt;="&amp;$A2)))</f>
        <v/>
      </c>
      <c r="HI2" s="55">
        <f>SUMIFS(tblBudget[Ore_Mined_t],tblBudget[Month],$E2)</f>
        <v/>
      </c>
      <c r="HJ2" s="55">
        <f>$HI2*$C2/$D2</f>
        <v/>
      </c>
      <c r="HK2" s="55">
        <f>SUMIFS(tblBudget[Ore_Mined_t],tblBudget[Month],"&lt;"&amp;$E2)+$HJ2</f>
        <v/>
      </c>
      <c r="HL2" s="55">
        <f>SUMIFS(tblBudget[Ore_oz],tblBudget[Month],$E2)</f>
        <v/>
      </c>
      <c r="HM2" s="55">
        <f>$HL2*$C2/$D2</f>
        <v/>
      </c>
      <c r="HN2" s="55">
        <f>SUMIFS(tblBudget[Ore_oz],tblBudget[Month],"&lt;"&amp;$E2)+$HM2</f>
        <v/>
      </c>
      <c r="HO2" s="56">
        <f>IFERROR(IF(($HI2)&gt;0,($HL2*cfg_TroyOz)/($HI2),""),"")</f>
        <v/>
      </c>
      <c r="HP2" s="56">
        <f>IFERROR(IF(($HJ2)&gt;0,($HM2*cfg_TroyOz)/($HJ2),""),"")</f>
        <v/>
      </c>
      <c r="HQ2" s="56">
        <f>IFERROR(IF(($HK2)&gt;0,($HN2*cfg_TroyOz)/($HK2),""),"")</f>
        <v/>
      </c>
      <c r="HR2" s="55">
        <f>SUMIFS(tblBudget[Waste_t],tblBudget[Month],$E2)</f>
        <v/>
      </c>
      <c r="HS2" s="55">
        <f>$HR2*$C2/$D2</f>
        <v/>
      </c>
      <c r="HT2" s="55">
        <f>SUMIFS(tblBudget[Waste_t],tblBudget[Month],"&lt;"&amp;$E2)+$HS2</f>
        <v/>
      </c>
      <c r="HU2" s="55">
        <f>SUMIFS(tblBudget[TMM_t],tblBudget[Month],$E2)</f>
        <v/>
      </c>
      <c r="HV2" s="55">
        <f>$HU2*$C2/$D2</f>
        <v/>
      </c>
      <c r="HW2" s="55">
        <f>SUMIFS(tblBudget[TMM_t],tblBudget[Month],"&lt;"&amp;$E2)+$HV2</f>
        <v/>
      </c>
      <c r="HX2" s="56">
        <f>IFERROR(IF(($HI2)&gt;0,($HR2)/($HI2),""),"")</f>
        <v/>
      </c>
      <c r="HY2" s="56">
        <f>IFERROR(IF(($HJ2)&gt;0,($HS2)/($HJ2),""),"")</f>
        <v/>
      </c>
      <c r="HZ2" s="56">
        <f>IFERROR(IF(($HK2)&gt;0,($HT2)/($HK2),""),"")</f>
        <v/>
      </c>
      <c r="IA2" s="55">
        <f>SUMIFS(tblBudget[Drill_m],tblBudget[Month],$E2)</f>
        <v/>
      </c>
      <c r="IB2" s="55">
        <f>$IA2*$C2/$D2</f>
        <v/>
      </c>
      <c r="IC2" s="55">
        <f>SUMIFS(tblBudget[Drill_m],tblBudget[Month],"&lt;"&amp;$E2)+$IB2</f>
        <v/>
      </c>
      <c r="ID2" s="55">
        <f>SUMIFS(tblBudget[Diesel_L],tblBudget[Month],$E2)</f>
        <v/>
      </c>
      <c r="IE2" s="55">
        <f>$ID2*$C2/$D2</f>
        <v/>
      </c>
      <c r="IF2" s="55">
        <f>SUMIFS(tblBudget[Diesel_L],tblBudget[Month],"&lt;"&amp;$E2)+$IE2</f>
        <v/>
      </c>
      <c r="IG2" s="55">
        <f>SUMIFS(tblBudget[Milled_t],tblBudget[Month],$E2)</f>
        <v/>
      </c>
      <c r="IH2" s="55">
        <f>$IG2*$C2/$D2</f>
        <v/>
      </c>
      <c r="II2" s="55">
        <f>SUMIFS(tblBudget[Milled_t],tblBudget[Month],"&lt;"&amp;$E2)+$IH2</f>
        <v/>
      </c>
      <c r="IJ2" s="55">
        <f>SUMIFS(tblBudget[Feed_oz],tblBudget[Month],$E2)</f>
        <v/>
      </c>
      <c r="IK2" s="55">
        <f>$IJ2*$C2/$D2</f>
        <v/>
      </c>
      <c r="IL2" s="55">
        <f>SUMIFS(tblBudget[Feed_oz],tblBudget[Month],"&lt;"&amp;$E2)+$IK2</f>
        <v/>
      </c>
      <c r="IM2" s="55">
        <f>SUMIFS(tblBudget[Recovered_oz],tblBudget[Month],$E2)</f>
        <v/>
      </c>
      <c r="IN2" s="55">
        <f>$IM2*$C2/$D2</f>
        <v/>
      </c>
      <c r="IO2" s="55">
        <f>SUMIFS(tblBudget[Recovered_oz],tblBudget[Month],"&lt;"&amp;$E2)+$IN2</f>
        <v/>
      </c>
      <c r="IP2" s="56">
        <f>IFERROR(IF(($IG2)&gt;0,($IJ2*cfg_TroyOz)/($IG2),""),"")</f>
        <v/>
      </c>
      <c r="IQ2" s="56">
        <f>IFERROR(IF(($IH2)&gt;0,($IK2*cfg_TroyOz)/($IH2),""),"")</f>
        <v/>
      </c>
      <c r="IR2" s="56">
        <f>IFERROR(IF(($II2)&gt;0,($IL2*cfg_TroyOz)/($II2),""),"")</f>
        <v/>
      </c>
      <c r="IS2" s="67">
        <f>IFERROR(IF(($IJ2)&gt;0,($IM2)/($IJ2),""),"")</f>
        <v/>
      </c>
      <c r="IT2" s="67">
        <f>IFERROR(IF(($IK2)&gt;0,($IN2)/($IK2),""),"")</f>
        <v/>
      </c>
      <c r="IU2" s="67">
        <f>IFERROR(IF(($IL2)&gt;0,($IO2)/($IL2),""),"")</f>
        <v/>
      </c>
      <c r="IV2" s="55">
        <f>SUMIFS(tblBudget[Gold_Poured_oz],tblBudget[Month],$E2)</f>
        <v/>
      </c>
      <c r="IW2" s="55">
        <f>$IV2*$C2/$D2</f>
        <v/>
      </c>
      <c r="IX2" s="55">
        <f>SUMIFS(tblBudget[Gold_Poured_oz],tblBudget[Month],"&lt;"&amp;$E2)+$IW2</f>
        <v/>
      </c>
      <c r="IY2" s="57">
        <f>SUMIFS(tblBudget[Hours_Worked],tblBudget[Month],$E2)</f>
        <v/>
      </c>
      <c r="IZ2" s="57">
        <f>$IY2*$C2/$D2</f>
        <v/>
      </c>
      <c r="JA2" s="57">
        <f>SUMIFS(tblBudget[Hours_Worked],tblBudget[Month],"&lt;"&amp;$E2)+$IZ2</f>
        <v/>
      </c>
    </row>
    <row r="3">
      <c r="A3" s="54" t="n">
        <v>46024</v>
      </c>
      <c r="B3">
        <f>MONTH($A3)</f>
        <v/>
      </c>
      <c r="C3">
        <f>DAY($A3)</f>
        <v/>
      </c>
      <c r="D3">
        <f>DAY(EOMONTH($A3,0))</f>
        <v/>
      </c>
      <c r="E3" s="54">
        <f>DATE(YEAR($A3),MONTH($A3),1)</f>
        <v/>
      </c>
      <c r="F3" s="55">
        <f>SUMIFS(tblMovement[Tonnes_t],tblMovement[Date],$A3,tblMovement[Is_Ore],1,tblMovement[Source_Type],"Pit")</f>
        <v/>
      </c>
      <c r="G3" s="55">
        <f>IF($B3=$B2,$G2,0)+$F3</f>
        <v/>
      </c>
      <c r="H3" s="55">
        <f>$H2+$F3</f>
        <v/>
      </c>
      <c r="I3" s="55">
        <f>SUMIFS(tblMovement[Ore_oz],tblMovement[Date],$A3,tblMovement[Source_Type],"Pit")</f>
        <v/>
      </c>
      <c r="J3" s="55">
        <f>IF($B3=$B2,$J2,0)+$I3</f>
        <v/>
      </c>
      <c r="K3" s="55">
        <f>$K2+$I3</f>
        <v/>
      </c>
      <c r="L3" s="56">
        <f>IFERROR(IF(($F3)&gt;0,($I3*cfg_TroyOz)/($F3),""),"")</f>
        <v/>
      </c>
      <c r="M3" s="56">
        <f>IFERROR(IF(($G3)&gt;0,($J3*cfg_TroyOz)/($G3),""),"")</f>
        <v/>
      </c>
      <c r="N3" s="56">
        <f>IFERROR(IF(($H3)&gt;0,($K3*cfg_TroyOz)/($H3),""),"")</f>
        <v/>
      </c>
      <c r="O3" s="55">
        <f>SUMIFS(tblMovement[Tonnes_t],tblMovement[Date],$A3,tblMovement[Is_Ore],0,tblMovement[Source_Type],"Pit")</f>
        <v/>
      </c>
      <c r="P3" s="55">
        <f>IF($B3=$B2,$P2,0)+$O3</f>
        <v/>
      </c>
      <c r="Q3" s="55">
        <f>$Q2+$O3</f>
        <v/>
      </c>
      <c r="R3" s="55">
        <f>$F3+$O3</f>
        <v/>
      </c>
      <c r="S3" s="55">
        <f>IF($B3=$B2,$S2,0)+$R3</f>
        <v/>
      </c>
      <c r="T3" s="55">
        <f>$T2+$R3</f>
        <v/>
      </c>
      <c r="U3" s="56">
        <f>IFERROR(IF(($F3)&gt;0,($O3)/($F3),""),"")</f>
        <v/>
      </c>
      <c r="V3" s="56">
        <f>IFERROR(IF(($G3)&gt;0,($P3)/($G3),""),"")</f>
        <v/>
      </c>
      <c r="W3" s="56">
        <f>IFERROR(IF(($H3)&gt;0,($Q3)/($H3),""),"")</f>
        <v/>
      </c>
      <c r="X3" s="55">
        <f>SUMIFS(tblMovement[Tonnes_t],tblMovement[Date],$A3,tblMovement[Source_Type],"Stockpile")</f>
        <v/>
      </c>
      <c r="Y3" s="55">
        <f>IF($B3=$B2,$Y2,0)+$X3</f>
        <v/>
      </c>
      <c r="Z3" s="55">
        <f>$Z2+$X3</f>
        <v/>
      </c>
      <c r="AA3" s="55">
        <f>SUMIFS(tblMiningDaily[Drill_m],tblMiningDaily[Date],$A3)</f>
        <v/>
      </c>
      <c r="AB3" s="55">
        <f>IF($B3=$B2,$AB2,0)+$AA3</f>
        <v/>
      </c>
      <c r="AC3" s="55">
        <f>$AC2+$AA3</f>
        <v/>
      </c>
      <c r="AD3" s="55">
        <f>SUMIFS(tblMiningDaily[Blast_t],tblMiningDaily[Date],$A3)</f>
        <v/>
      </c>
      <c r="AE3" s="55">
        <f>IF($B3=$B2,$AE2,0)+$AD3</f>
        <v/>
      </c>
      <c r="AF3" s="55">
        <f>$AF2+$AD3</f>
        <v/>
      </c>
      <c r="AG3" s="55">
        <f>SUMIFS(tblMiningDaily[Explosives_kg],tblMiningDaily[Date],$A3)</f>
        <v/>
      </c>
      <c r="AH3" s="55">
        <f>IF($B3=$B2,$AH2,0)+$AG3</f>
        <v/>
      </c>
      <c r="AI3" s="55">
        <f>$AI2+$AG3</f>
        <v/>
      </c>
      <c r="AJ3" s="56">
        <f>IFERROR(IF(($AD3)&gt;0,($AG3)/($AD3),""),"")</f>
        <v/>
      </c>
      <c r="AK3" s="56">
        <f>IFERROR(IF(($AE3)&gt;0,($AH3)/($AE3),""),"")</f>
        <v/>
      </c>
      <c r="AL3" s="56">
        <f>IFERROR(IF(($AF3)&gt;0,($AI3)/($AF3),""),"")</f>
        <v/>
      </c>
      <c r="AM3" s="55">
        <f>SUMIFS(tblMiningDaily[Diesel_L],tblMiningDaily[Date],$A3)</f>
        <v/>
      </c>
      <c r="AN3" s="55">
        <f>IF($B3=$B2,$AN2,0)+$AM3</f>
        <v/>
      </c>
      <c r="AO3" s="55">
        <f>$AO2+$AM3</f>
        <v/>
      </c>
      <c r="AP3" s="55">
        <f>SUMIFS(tblMiningDaily[Dewatering_m3],tblMiningDaily[Date],$A3)</f>
        <v/>
      </c>
      <c r="AQ3" s="55">
        <f>IF($B3=$B2,$AQ2,0)+$AP3</f>
        <v/>
      </c>
      <c r="AR3" s="55">
        <f>$AR2+$AP3</f>
        <v/>
      </c>
      <c r="AS3" s="57">
        <f>SUMIFS(tblFleet[Calendar_h],tblFleet[Date],$A3,tblFleet[Equipment_Class],"Excavator")</f>
        <v/>
      </c>
      <c r="AT3" s="57">
        <f>IF($B3=$B2,$AT2,0)+$AS3</f>
        <v/>
      </c>
      <c r="AU3" s="57">
        <f>$AU2+$AS3</f>
        <v/>
      </c>
      <c r="AV3" s="57">
        <f>SUMIFS(tblFleet[Available_h],tblFleet[Date],$A3,tblFleet[Equipment_Class],"Excavator")</f>
        <v/>
      </c>
      <c r="AW3" s="57">
        <f>IF($B3=$B2,$AW2,0)+$AV3</f>
        <v/>
      </c>
      <c r="AX3" s="57">
        <f>$AX2+$AV3</f>
        <v/>
      </c>
      <c r="AY3" s="57">
        <f>SUMIFS(tblFleet[Operating_h],tblFleet[Date],$A3,tblFleet[Equipment_Class],"Excavator")</f>
        <v/>
      </c>
      <c r="AZ3" s="57">
        <f>IF($B3=$B2,$AZ2,0)+$AY3</f>
        <v/>
      </c>
      <c r="BA3" s="57">
        <f>$BA2+$AY3</f>
        <v/>
      </c>
      <c r="BB3" s="67">
        <f>IFERROR(IF(($AS3)&gt;0,($AV3)/($AS3),""),"")</f>
        <v/>
      </c>
      <c r="BC3" s="67">
        <f>IFERROR(IF(($AT3)&gt;0,($AW3)/($AT3),""),"")</f>
        <v/>
      </c>
      <c r="BD3" s="67">
        <f>IFERROR(IF(($AU3)&gt;0,($AX3)/($AU3),""),"")</f>
        <v/>
      </c>
      <c r="BE3" s="67">
        <f>IFERROR(IF(($AV3)&gt;0,($AY3)/($AV3),""),"")</f>
        <v/>
      </c>
      <c r="BF3" s="67">
        <f>IFERROR(IF(($AW3)&gt;0,($AZ3)/($AW3),""),"")</f>
        <v/>
      </c>
      <c r="BG3" s="67">
        <f>IFERROR(IF(($AX3)&gt;0,($BA3)/($AX3),""),"")</f>
        <v/>
      </c>
      <c r="BH3" s="57">
        <f>SUMIFS(tblFleet[Calendar_h],tblFleet[Date],$A3,tblFleet[Equipment_Class],"Haul Truck")</f>
        <v/>
      </c>
      <c r="BI3" s="57">
        <f>IF($B3=$B2,$BI2,0)+$BH3</f>
        <v/>
      </c>
      <c r="BJ3" s="57">
        <f>$BJ2+$BH3</f>
        <v/>
      </c>
      <c r="BK3" s="57">
        <f>SUMIFS(tblFleet[Available_h],tblFleet[Date],$A3,tblFleet[Equipment_Class],"Haul Truck")</f>
        <v/>
      </c>
      <c r="BL3" s="57">
        <f>IF($B3=$B2,$BL2,0)+$BK3</f>
        <v/>
      </c>
      <c r="BM3" s="57">
        <f>$BM2+$BK3</f>
        <v/>
      </c>
      <c r="BN3" s="57">
        <f>SUMIFS(tblFleet[Operating_h],tblFleet[Date],$A3,tblFleet[Equipment_Class],"Haul Truck")</f>
        <v/>
      </c>
      <c r="BO3" s="57">
        <f>IF($B3=$B2,$BO2,0)+$BN3</f>
        <v/>
      </c>
      <c r="BP3" s="57">
        <f>$BP2+$BN3</f>
        <v/>
      </c>
      <c r="BQ3" s="67">
        <f>IFERROR(IF(($BH3)&gt;0,($BK3)/($BH3),""),"")</f>
        <v/>
      </c>
      <c r="BR3" s="67">
        <f>IFERROR(IF(($BI3)&gt;0,($BL3)/($BI3),""),"")</f>
        <v/>
      </c>
      <c r="BS3" s="67">
        <f>IFERROR(IF(($BJ3)&gt;0,($BM3)/($BJ3),""),"")</f>
        <v/>
      </c>
      <c r="BT3" s="67">
        <f>IFERROR(IF(($BK3)&gt;0,($BN3)/($BK3),""),"")</f>
        <v/>
      </c>
      <c r="BU3" s="67">
        <f>IFERROR(IF(($BL3)&gt;0,($BO3)/($BL3),""),"")</f>
        <v/>
      </c>
      <c r="BV3" s="67">
        <f>IFERROR(IF(($BM3)&gt;0,($BP3)/($BM3),""),"")</f>
        <v/>
      </c>
      <c r="BW3" s="55">
        <f>SUMIFS(tblPlant[Crushed_t],tblPlant[Date],$A3)</f>
        <v/>
      </c>
      <c r="BX3" s="55">
        <f>IF($B3=$B2,$BX2,0)+$BW3</f>
        <v/>
      </c>
      <c r="BY3" s="55">
        <f>$BY2+$BW3</f>
        <v/>
      </c>
      <c r="BZ3" s="55">
        <f>SUMIFS(tblPlant[Milled_t],tblPlant[Date],$A3)</f>
        <v/>
      </c>
      <c r="CA3" s="55">
        <f>IF($B3=$B2,$CA2,0)+$BZ3</f>
        <v/>
      </c>
      <c r="CB3" s="55">
        <f>$CB2+$BZ3</f>
        <v/>
      </c>
      <c r="CC3" s="55">
        <f>SUMIFS(tblPlant[Feed_oz],tblPlant[Date],$A3)</f>
        <v/>
      </c>
      <c r="CD3" s="55">
        <f>IF($B3=$B2,$CD2,0)+$CC3</f>
        <v/>
      </c>
      <c r="CE3" s="55">
        <f>$CE2+$CC3</f>
        <v/>
      </c>
      <c r="CF3" s="55">
        <f>SUMIFS(tblPlant[Tails_oz],tblPlant[Date],$A3)</f>
        <v/>
      </c>
      <c r="CG3" s="55">
        <f>IF($B3=$B2,$CG2,0)+$CF3</f>
        <v/>
      </c>
      <c r="CH3" s="55">
        <f>$CH2+$CF3</f>
        <v/>
      </c>
      <c r="CI3" s="55">
        <f>SUMIFS(tblPlant[Recovered_oz],tblPlant[Date],$A3)</f>
        <v/>
      </c>
      <c r="CJ3" s="55">
        <f>IF($B3=$B2,$CJ2,0)+$CI3</f>
        <v/>
      </c>
      <c r="CK3" s="55">
        <f>$CK2+$CI3</f>
        <v/>
      </c>
      <c r="CL3" s="56">
        <f>IFERROR(IF(($BZ3)&gt;0,($CC3*cfg_TroyOz)/($BZ3),""),"")</f>
        <v/>
      </c>
      <c r="CM3" s="56">
        <f>IFERROR(IF(($CA3)&gt;0,($CD3*cfg_TroyOz)/($CA3),""),"")</f>
        <v/>
      </c>
      <c r="CN3" s="56">
        <f>IFERROR(IF(($CB3)&gt;0,($CE3*cfg_TroyOz)/($CB3),""),"")</f>
        <v/>
      </c>
      <c r="CO3" s="56">
        <f>IFERROR(IF(($BZ3)&gt;0,($CF3*cfg_TroyOz)/($BZ3),""),"")</f>
        <v/>
      </c>
      <c r="CP3" s="56">
        <f>IFERROR(IF(($CA3)&gt;0,($CG3*cfg_TroyOz)/($CA3),""),"")</f>
        <v/>
      </c>
      <c r="CQ3" s="56">
        <f>IFERROR(IF(($CB3)&gt;0,($CH3*cfg_TroyOz)/($CB3),""),"")</f>
        <v/>
      </c>
      <c r="CR3" s="67">
        <f>IFERROR(IF(($CC3)&gt;0,($CI3)/($CC3),""),"")</f>
        <v/>
      </c>
      <c r="CS3" s="67">
        <f>IFERROR(IF(($CD3)&gt;0,($CJ3)/($CD3),""),"")</f>
        <v/>
      </c>
      <c r="CT3" s="67">
        <f>IFERROR(IF(($CE3)&gt;0,($CK3)/($CE3),""),"")</f>
        <v/>
      </c>
      <c r="CU3" s="55">
        <f>SUMIFS(tblPlant[Gravity_Gold_oz],tblPlant[Date],$A3)</f>
        <v/>
      </c>
      <c r="CV3" s="55">
        <f>IF($B3=$B2,$CV2,0)+$CU3</f>
        <v/>
      </c>
      <c r="CW3" s="55">
        <f>$CW2+$CU3</f>
        <v/>
      </c>
      <c r="CX3" s="55">
        <f>SUMIFS(tblPlant[Gold_Poured_oz],tblPlant[Date],$A3)</f>
        <v/>
      </c>
      <c r="CY3" s="55">
        <f>IF($B3=$B2,$CY2,0)+$CX3</f>
        <v/>
      </c>
      <c r="CZ3" s="55">
        <f>$CZ2+$CX3</f>
        <v/>
      </c>
      <c r="DA3" s="57">
        <f>SUMIFS(tblPlant[Mill_Run_h],tblPlant[Date],$A3)</f>
        <v/>
      </c>
      <c r="DB3" s="57">
        <f>IF($B3=$B2,$DB2,0)+$DA3</f>
        <v/>
      </c>
      <c r="DC3" s="57">
        <f>$DC2+$DA3</f>
        <v/>
      </c>
      <c r="DD3" s="57">
        <f>SUMIFS(tblPlant[Mill_Planned_Maint_h],tblPlant[Date],$A3)</f>
        <v/>
      </c>
      <c r="DE3" s="57">
        <f>IF($B3=$B2,$DE2,0)+$DD3</f>
        <v/>
      </c>
      <c r="DF3" s="57">
        <f>$DF2+$DD3</f>
        <v/>
      </c>
      <c r="DG3" s="57">
        <f>SUMIFS(tblPlant[Mill_Unplanned_Down_h],tblPlant[Date],$A3)</f>
        <v/>
      </c>
      <c r="DH3" s="57">
        <f>IF($B3=$B2,$DH2,0)+$DG3</f>
        <v/>
      </c>
      <c r="DI3" s="57">
        <f>$DI2+$DG3</f>
        <v/>
      </c>
      <c r="DJ3" s="57">
        <f>COUNTIFS(tblPlant[Date],$A3,tblPlant[Mill_Run_h],"&lt;&gt;")*24</f>
        <v/>
      </c>
      <c r="DK3" s="57">
        <f>IF($B3=$B2,$DK2,0)+$DJ3</f>
        <v/>
      </c>
      <c r="DL3" s="57">
        <f>$DL2+$DJ3</f>
        <v/>
      </c>
      <c r="DM3" s="57">
        <f>SUMIFS(tblPlant[Crusher_Run_h],tblPlant[Date],$A3)</f>
        <v/>
      </c>
      <c r="DN3" s="57">
        <f>IF($B3=$B2,$DN2,0)+$DM3</f>
        <v/>
      </c>
      <c r="DO3" s="57">
        <f>$DO2+$DM3</f>
        <v/>
      </c>
      <c r="DP3" s="55">
        <f>IFERROR(IF(($DA3)&gt;0,($BZ3)/($DA3),""),"")</f>
        <v/>
      </c>
      <c r="DQ3" s="55">
        <f>IFERROR(IF(($DB3)&gt;0,($CA3)/($DB3),""),"")</f>
        <v/>
      </c>
      <c r="DR3" s="55">
        <f>IFERROR(IF(($DC3)&gt;0,($CB3)/($DC3),""),"")</f>
        <v/>
      </c>
      <c r="DS3" s="67">
        <f>IFERROR(IF(($DJ3)&gt;0,($DJ3-$DD3-$DG3)/($DJ3),""),"")</f>
        <v/>
      </c>
      <c r="DT3" s="67">
        <f>IFERROR(IF(($DK3)&gt;0,($DK3-$DE3-$DH3)/($DK3),""),"")</f>
        <v/>
      </c>
      <c r="DU3" s="67">
        <f>IFERROR(IF(($DL3)&gt;0,($DL3-$DF3-$DI3)/($DL3),""),"")</f>
        <v/>
      </c>
      <c r="DV3" s="67">
        <f>IFERROR(IF(($DJ3-$DD3-$DG3)&gt;0,($DA3)/($DJ3-$DD3-$DG3),""),"")</f>
        <v/>
      </c>
      <c r="DW3" s="67">
        <f>IFERROR(IF(($DK3-$DE3-$DH3)&gt;0,($DB3)/($DK3-$DE3-$DH3),""),"")</f>
        <v/>
      </c>
      <c r="DX3" s="67">
        <f>IFERROR(IF(($DL3-$DF3-$DI3)&gt;0,($DC3)/($DL3-$DF3-$DI3),""),"")</f>
        <v/>
      </c>
      <c r="DY3" s="55">
        <f>SUMIFS(tblPlant[Cyanide_kg],tblPlant[Date],$A3)</f>
        <v/>
      </c>
      <c r="DZ3" s="55">
        <f>IF($B3=$B2,$DZ2,0)+$DY3</f>
        <v/>
      </c>
      <c r="EA3" s="55">
        <f>$EA2+$DY3</f>
        <v/>
      </c>
      <c r="EB3" s="55">
        <f>SUMIFS(tblPlant[Lime_kg],tblPlant[Date],$A3)</f>
        <v/>
      </c>
      <c r="EC3" s="55">
        <f>IF($B3=$B2,$EC2,0)+$EB3</f>
        <v/>
      </c>
      <c r="ED3" s="55">
        <f>$ED2+$EB3</f>
        <v/>
      </c>
      <c r="EE3" s="55">
        <f>SUMIFS(tblPlant[Grinding_Media_kg],tblPlant[Date],$A3)</f>
        <v/>
      </c>
      <c r="EF3" s="55">
        <f>IF($B3=$B2,$EF2,0)+$EE3</f>
        <v/>
      </c>
      <c r="EG3" s="55">
        <f>$EG2+$EE3</f>
        <v/>
      </c>
      <c r="EH3" s="55">
        <f>SUMIFS(tblPlant[Power_kWh],tblPlant[Date],$A3)</f>
        <v/>
      </c>
      <c r="EI3" s="55">
        <f>IF($B3=$B2,$EI2,0)+$EH3</f>
        <v/>
      </c>
      <c r="EJ3" s="55">
        <f>$EJ2+$EH3</f>
        <v/>
      </c>
      <c r="EK3" s="55">
        <f>SUMIFS(tblPlant[Raw_Water_m3],tblPlant[Date],$A3)</f>
        <v/>
      </c>
      <c r="EL3" s="55">
        <f>IF($B3=$B2,$EL2,0)+$EK3</f>
        <v/>
      </c>
      <c r="EM3" s="55">
        <f>$EM2+$EK3</f>
        <v/>
      </c>
      <c r="EN3" s="56">
        <f>IFERROR(IF(($BZ3)&gt;0,($DY3)/($BZ3),""),"")</f>
        <v/>
      </c>
      <c r="EO3" s="56">
        <f>IFERROR(IF(($CA3)&gt;0,($DZ3)/($CA3),""),"")</f>
        <v/>
      </c>
      <c r="EP3" s="56">
        <f>IFERROR(IF(($CB3)&gt;0,($EA3)/($CB3),""),"")</f>
        <v/>
      </c>
      <c r="EQ3" s="56">
        <f>IFERROR(IF(($BZ3)&gt;0,($EB3)/($BZ3),""),"")</f>
        <v/>
      </c>
      <c r="ER3" s="56">
        <f>IFERROR(IF(($CA3)&gt;0,($EC3)/($CA3),""),"")</f>
        <v/>
      </c>
      <c r="ES3" s="56">
        <f>IFERROR(IF(($CB3)&gt;0,($ED3)/($CB3),""),"")</f>
        <v/>
      </c>
      <c r="ET3" s="56">
        <f>IFERROR(IF(($BZ3)&gt;0,($EE3)/($BZ3),""),"")</f>
        <v/>
      </c>
      <c r="EU3" s="56">
        <f>IFERROR(IF(($CA3)&gt;0,($EF3)/($CA3),""),"")</f>
        <v/>
      </c>
      <c r="EV3" s="56">
        <f>IFERROR(IF(($CB3)&gt;0,($EG3)/($CB3),""),"")</f>
        <v/>
      </c>
      <c r="EW3" s="76">
        <f>IFERROR(IF(($BZ3)&gt;0,($EH3)/($BZ3),""),"")</f>
        <v/>
      </c>
      <c r="EX3" s="76">
        <f>IFERROR(IF(($CA3)&gt;0,($EI3)/($CA3),""),"")</f>
        <v/>
      </c>
      <c r="EY3" s="76">
        <f>IFERROR(IF(($CB3)&gt;0,($EJ3)/($CB3),""),"")</f>
        <v/>
      </c>
      <c r="EZ3" s="56">
        <f>IFERROR(IF(($BZ3)&gt;0,($EK3)/($BZ3),""),"")</f>
        <v/>
      </c>
      <c r="FA3" s="56">
        <f>IFERROR(IF(($CA3)&gt;0,($EL3)/($CA3),""),"")</f>
        <v/>
      </c>
      <c r="FB3" s="56">
        <f>IFERROR(IF(($CB3)&gt;0,($EM3)/($CB3),""),"")</f>
        <v/>
      </c>
      <c r="FC3" s="55">
        <f>IF(SUMIFS(tblPlant[GIC_oz],tblPlant[Date],$A3)&gt;0,SUMIFS(tblPlant[GIC_oz],tblPlant[Date],$A3),"")</f>
        <v/>
      </c>
      <c r="FD3" s="55">
        <f>SUMIFS(tblGold[Gold_oz],tblGold[Date],$A3,tblGold[Type],"Shipment")</f>
        <v/>
      </c>
      <c r="FE3" s="55">
        <f>IF($B3=$B2,$FE2,0)+$FD3</f>
        <v/>
      </c>
      <c r="FF3" s="55">
        <f>$FF2+$FD3</f>
        <v/>
      </c>
      <c r="FG3" s="55">
        <f>SUMIFS(tblGold[Gold_oz],tblGold[Date],$A3,tblGold[Type],"Sale")</f>
        <v/>
      </c>
      <c r="FH3" s="55">
        <f>IF($B3=$B2,$FH2,0)+$FG3</f>
        <v/>
      </c>
      <c r="FI3" s="55">
        <f>$FI2+$FG3</f>
        <v/>
      </c>
      <c r="FJ3" s="55">
        <f>SUMIFS(tblGold[Dore_kg],tblGold[Date],$A3,tblGold[Type],"Shipment")</f>
        <v/>
      </c>
      <c r="FK3" s="55">
        <f>IF($B3=$B2,$FK2,0)+$FJ3</f>
        <v/>
      </c>
      <c r="FL3" s="55">
        <f>$FL2+$FJ3</f>
        <v/>
      </c>
      <c r="FM3" s="57">
        <f>SUMIFS(tblSafety[Hours_Total],tblSafety[Date],$A3)</f>
        <v/>
      </c>
      <c r="FN3" s="57">
        <f>IF($B3=$B2,$FN2,0)+$FM3</f>
        <v/>
      </c>
      <c r="FO3" s="57">
        <f>$FO2+$FM3</f>
        <v/>
      </c>
      <c r="FP3" s="62">
        <f>SUMIFS(tblSafety[Fatality],tblSafety[Date],$A3)</f>
        <v/>
      </c>
      <c r="FQ3" s="62">
        <f>IF($B3=$B2,$FQ2,0)+$FP3</f>
        <v/>
      </c>
      <c r="FR3" s="62">
        <f>$FR2+$FP3</f>
        <v/>
      </c>
      <c r="FS3" s="62">
        <f>SUMIFS(tblSafety[LTI],tblSafety[Date],$A3)</f>
        <v/>
      </c>
      <c r="FT3" s="62">
        <f>IF($B3=$B2,$FT2,0)+$FS3</f>
        <v/>
      </c>
      <c r="FU3" s="62">
        <f>$FU2+$FS3</f>
        <v/>
      </c>
      <c r="FV3" s="62">
        <f>SUMIFS(tblSafety[RWI],tblSafety[Date],$A3)</f>
        <v/>
      </c>
      <c r="FW3" s="62">
        <f>IF($B3=$B2,$FW2,0)+$FV3</f>
        <v/>
      </c>
      <c r="FX3" s="62">
        <f>$FX2+$FV3</f>
        <v/>
      </c>
      <c r="FY3" s="62">
        <f>SUMIFS(tblSafety[MTI],tblSafety[Date],$A3)</f>
        <v/>
      </c>
      <c r="FZ3" s="62">
        <f>IF($B3=$B2,$FZ2,0)+$FY3</f>
        <v/>
      </c>
      <c r="GA3" s="62">
        <f>$GA2+$FY3</f>
        <v/>
      </c>
      <c r="GB3" s="62">
        <f>SUMIFS(tblSafety[FAI],tblSafety[Date],$A3)</f>
        <v/>
      </c>
      <c r="GC3" s="62">
        <f>IF($B3=$B2,$GC2,0)+$GB3</f>
        <v/>
      </c>
      <c r="GD3" s="62">
        <f>$GD2+$GB3</f>
        <v/>
      </c>
      <c r="GE3" s="62">
        <f>SUMIFS(tblSafety[Recordables],tblSafety[Date],$A3)</f>
        <v/>
      </c>
      <c r="GF3" s="62">
        <f>IF($B3=$B2,$GF2,0)+$GE3</f>
        <v/>
      </c>
      <c r="GG3" s="62">
        <f>$GG2+$GE3</f>
        <v/>
      </c>
      <c r="GH3" s="62">
        <f>SUMIFS(tblSafety[Near_Miss],tblSafety[Date],$A3)</f>
        <v/>
      </c>
      <c r="GI3" s="62">
        <f>IF($B3=$B2,$GI2,0)+$GH3</f>
        <v/>
      </c>
      <c r="GJ3" s="62">
        <f>$GJ2+$GH3</f>
        <v/>
      </c>
      <c r="GK3" s="62">
        <f>SUMIFS(tblSafety[Hazard_Reports],tblSafety[Date],$A3)</f>
        <v/>
      </c>
      <c r="GL3" s="62">
        <f>IF($B3=$B2,$GL2,0)+$GK3</f>
        <v/>
      </c>
      <c r="GM3" s="62">
        <f>$GM2+$GK3</f>
        <v/>
      </c>
      <c r="GN3" s="62">
        <f>SUMIFS(tblSafety[HPI],tblSafety[Date],$A3)</f>
        <v/>
      </c>
      <c r="GO3" s="62">
        <f>IF($B3=$B2,$GO2,0)+$GN3</f>
        <v/>
      </c>
      <c r="GP3" s="62">
        <f>$GP2+$GN3</f>
        <v/>
      </c>
      <c r="GQ3" s="62">
        <f>SUMIFS(tblSafety[Env_Incidents],tblSafety[Date],$A3)</f>
        <v/>
      </c>
      <c r="GR3" s="62">
        <f>IF($B3=$B2,$GR2,0)+$GQ3</f>
        <v/>
      </c>
      <c r="GS3" s="62">
        <f>$GS2+$GQ3</f>
        <v/>
      </c>
      <c r="GT3" s="62">
        <f>SUMIFS(tblSafety[Community_Incidents],tblSafety[Date],$A3)</f>
        <v/>
      </c>
      <c r="GU3" s="62">
        <f>IF($B3=$B2,$GU2,0)+$GT3</f>
        <v/>
      </c>
      <c r="GV3" s="62">
        <f>$GV2+$GT3</f>
        <v/>
      </c>
      <c r="GW3" s="62">
        <f>SUMIFS(tblSafety[Vehicle_Incidents],tblSafety[Date],$A3)</f>
        <v/>
      </c>
      <c r="GX3" s="62">
        <f>IF($B3=$B2,$GX2,0)+$GW3</f>
        <v/>
      </c>
      <c r="GY3" s="62">
        <f>$GY2+$GW3</f>
        <v/>
      </c>
      <c r="GZ3" s="62">
        <f>SUMIFS(tblSafety[Toolbox_Talks],tblSafety[Date],$A3)</f>
        <v/>
      </c>
      <c r="HA3" s="62">
        <f>IF($B3=$B2,$HA2,0)+$GZ3</f>
        <v/>
      </c>
      <c r="HB3" s="62">
        <f>$HB2+$GZ3</f>
        <v/>
      </c>
      <c r="HC3" s="62">
        <f>SUMIFS(tblSafety[Inspections],tblSafety[Date],$A3)</f>
        <v/>
      </c>
      <c r="HD3" s="62">
        <f>IF($B3=$B2,$HD2,0)+$HC3</f>
        <v/>
      </c>
      <c r="HE3" s="62">
        <f>$HE2+$HC3</f>
        <v/>
      </c>
      <c r="HF3" s="56">
        <f>IFERROR((SUMIFS(tblSafety[Recordables],tblSafety[Date],"&gt;="&amp;EDATE($E3,-12),tblSafety[Date],"&lt;="&amp;$A3)+SUMIFS(tblSafetyHistory[Recordables],tblSafetyHistory[Month],"&gt;="&amp;EDATE($E3,-12),tblSafetyHistory[Month],"&lt;"&amp;cfg_YearStart))/(SUMIFS(tblSafety[Hours_Total],tblSafety[Date],"&gt;="&amp;EDATE($E3,-12),tblSafety[Date],"&lt;="&amp;$A3)+SUMIFS(tblSafetyHistory[Hours_Total],tblSafetyHistory[Month],"&gt;="&amp;EDATE($E3,-12),tblSafetyHistory[Month],"&lt;"&amp;cfg_YearStart))*1000000,"")</f>
        <v/>
      </c>
      <c r="HG3" s="56">
        <f>IFERROR((SUMIFS(tblSafety[LTI],tblSafety[Date],"&gt;="&amp;EDATE($E3,-12),tblSafety[Date],"&lt;="&amp;$A3)+SUMIFS(tblSafetyHistory[LTI],tblSafetyHistory[Month],"&gt;="&amp;EDATE($E3,-12),tblSafetyHistory[Month],"&lt;"&amp;cfg_YearStart))/(SUMIFS(tblSafety[Hours_Total],tblSafety[Date],"&gt;="&amp;EDATE($E3,-12),tblSafety[Date],"&lt;="&amp;$A3)+SUMIFS(tblSafetyHistory[Hours_Total],tblSafetyHistory[Month],"&gt;="&amp;EDATE($E3,-12),tblSafetyHistory[Month],"&lt;"&amp;cfg_YearStart))*1000000,"")</f>
        <v/>
      </c>
      <c r="HH3" s="62">
        <f>IF(MAX(N(cfg_PriorLTIDate),_xlfn.MAXIFS(tblSafety[Date],tblSafety[LTI],"&gt;0",tblSafety[Date],"&lt;="&amp;$A3))=0,"",$A3-MAX(N(cfg_PriorLTIDate),_xlfn.MAXIFS(tblSafety[Date],tblSafety[LTI],"&gt;0",tblSafety[Date],"&lt;="&amp;$A3)))</f>
        <v/>
      </c>
      <c r="HI3" s="55">
        <f>SUMIFS(tblBudget[Ore_Mined_t],tblBudget[Month],$E3)</f>
        <v/>
      </c>
      <c r="HJ3" s="55">
        <f>$HI3*$C3/$D3</f>
        <v/>
      </c>
      <c r="HK3" s="55">
        <f>SUMIFS(tblBudget[Ore_Mined_t],tblBudget[Month],"&lt;"&amp;$E3)+$HJ3</f>
        <v/>
      </c>
      <c r="HL3" s="55">
        <f>SUMIFS(tblBudget[Ore_oz],tblBudget[Month],$E3)</f>
        <v/>
      </c>
      <c r="HM3" s="55">
        <f>$HL3*$C3/$D3</f>
        <v/>
      </c>
      <c r="HN3" s="55">
        <f>SUMIFS(tblBudget[Ore_oz],tblBudget[Month],"&lt;"&amp;$E3)+$HM3</f>
        <v/>
      </c>
      <c r="HO3" s="56">
        <f>IFERROR(IF(($HI3)&gt;0,($HL3*cfg_TroyOz)/($HI3),""),"")</f>
        <v/>
      </c>
      <c r="HP3" s="56">
        <f>IFERROR(IF(($HJ3)&gt;0,($HM3*cfg_TroyOz)/($HJ3),""),"")</f>
        <v/>
      </c>
      <c r="HQ3" s="56">
        <f>IFERROR(IF(($HK3)&gt;0,($HN3*cfg_TroyOz)/($HK3),""),"")</f>
        <v/>
      </c>
      <c r="HR3" s="55">
        <f>SUMIFS(tblBudget[Waste_t],tblBudget[Month],$E3)</f>
        <v/>
      </c>
      <c r="HS3" s="55">
        <f>$HR3*$C3/$D3</f>
        <v/>
      </c>
      <c r="HT3" s="55">
        <f>SUMIFS(tblBudget[Waste_t],tblBudget[Month],"&lt;"&amp;$E3)+$HS3</f>
        <v/>
      </c>
      <c r="HU3" s="55">
        <f>SUMIFS(tblBudget[TMM_t],tblBudget[Month],$E3)</f>
        <v/>
      </c>
      <c r="HV3" s="55">
        <f>$HU3*$C3/$D3</f>
        <v/>
      </c>
      <c r="HW3" s="55">
        <f>SUMIFS(tblBudget[TMM_t],tblBudget[Month],"&lt;"&amp;$E3)+$HV3</f>
        <v/>
      </c>
      <c r="HX3" s="56">
        <f>IFERROR(IF(($HI3)&gt;0,($HR3)/($HI3),""),"")</f>
        <v/>
      </c>
      <c r="HY3" s="56">
        <f>IFERROR(IF(($HJ3)&gt;0,($HS3)/($HJ3),""),"")</f>
        <v/>
      </c>
      <c r="HZ3" s="56">
        <f>IFERROR(IF(($HK3)&gt;0,($HT3)/($HK3),""),"")</f>
        <v/>
      </c>
      <c r="IA3" s="55">
        <f>SUMIFS(tblBudget[Drill_m],tblBudget[Month],$E3)</f>
        <v/>
      </c>
      <c r="IB3" s="55">
        <f>$IA3*$C3/$D3</f>
        <v/>
      </c>
      <c r="IC3" s="55">
        <f>SUMIFS(tblBudget[Drill_m],tblBudget[Month],"&lt;"&amp;$E3)+$IB3</f>
        <v/>
      </c>
      <c r="ID3" s="55">
        <f>SUMIFS(tblBudget[Diesel_L],tblBudget[Month],$E3)</f>
        <v/>
      </c>
      <c r="IE3" s="55">
        <f>$ID3*$C3/$D3</f>
        <v/>
      </c>
      <c r="IF3" s="55">
        <f>SUMIFS(tblBudget[Diesel_L],tblBudget[Month],"&lt;"&amp;$E3)+$IE3</f>
        <v/>
      </c>
      <c r="IG3" s="55">
        <f>SUMIFS(tblBudget[Milled_t],tblBudget[Month],$E3)</f>
        <v/>
      </c>
      <c r="IH3" s="55">
        <f>$IG3*$C3/$D3</f>
        <v/>
      </c>
      <c r="II3" s="55">
        <f>SUMIFS(tblBudget[Milled_t],tblBudget[Month],"&lt;"&amp;$E3)+$IH3</f>
        <v/>
      </c>
      <c r="IJ3" s="55">
        <f>SUMIFS(tblBudget[Feed_oz],tblBudget[Month],$E3)</f>
        <v/>
      </c>
      <c r="IK3" s="55">
        <f>$IJ3*$C3/$D3</f>
        <v/>
      </c>
      <c r="IL3" s="55">
        <f>SUMIFS(tblBudget[Feed_oz],tblBudget[Month],"&lt;"&amp;$E3)+$IK3</f>
        <v/>
      </c>
      <c r="IM3" s="55">
        <f>SUMIFS(tblBudget[Recovered_oz],tblBudget[Month],$E3)</f>
        <v/>
      </c>
      <c r="IN3" s="55">
        <f>$IM3*$C3/$D3</f>
        <v/>
      </c>
      <c r="IO3" s="55">
        <f>SUMIFS(tblBudget[Recovered_oz],tblBudget[Month],"&lt;"&amp;$E3)+$IN3</f>
        <v/>
      </c>
      <c r="IP3" s="56">
        <f>IFERROR(IF(($IG3)&gt;0,($IJ3*cfg_TroyOz)/($IG3),""),"")</f>
        <v/>
      </c>
      <c r="IQ3" s="56">
        <f>IFERROR(IF(($IH3)&gt;0,($IK3*cfg_TroyOz)/($IH3),""),"")</f>
        <v/>
      </c>
      <c r="IR3" s="56">
        <f>IFERROR(IF(($II3)&gt;0,($IL3*cfg_TroyOz)/($II3),""),"")</f>
        <v/>
      </c>
      <c r="IS3" s="67">
        <f>IFERROR(IF(($IJ3)&gt;0,($IM3)/($IJ3),""),"")</f>
        <v/>
      </c>
      <c r="IT3" s="67">
        <f>IFERROR(IF(($IK3)&gt;0,($IN3)/($IK3),""),"")</f>
        <v/>
      </c>
      <c r="IU3" s="67">
        <f>IFERROR(IF(($IL3)&gt;0,($IO3)/($IL3),""),"")</f>
        <v/>
      </c>
      <c r="IV3" s="55">
        <f>SUMIFS(tblBudget[Gold_Poured_oz],tblBudget[Month],$E3)</f>
        <v/>
      </c>
      <c r="IW3" s="55">
        <f>$IV3*$C3/$D3</f>
        <v/>
      </c>
      <c r="IX3" s="55">
        <f>SUMIFS(tblBudget[Gold_Poured_oz],tblBudget[Month],"&lt;"&amp;$E3)+$IW3</f>
        <v/>
      </c>
      <c r="IY3" s="57">
        <f>SUMIFS(tblBudget[Hours_Worked],tblBudget[Month],$E3)</f>
        <v/>
      </c>
      <c r="IZ3" s="57">
        <f>$IY3*$C3/$D3</f>
        <v/>
      </c>
      <c r="JA3" s="57">
        <f>SUMIFS(tblBudget[Hours_Worked],tblBudget[Month],"&lt;"&amp;$E3)+$IZ3</f>
        <v/>
      </c>
    </row>
    <row r="4">
      <c r="A4" s="54" t="n">
        <v>46025</v>
      </c>
      <c r="B4">
        <f>MONTH($A4)</f>
        <v/>
      </c>
      <c r="C4">
        <f>DAY($A4)</f>
        <v/>
      </c>
      <c r="D4">
        <f>DAY(EOMONTH($A4,0))</f>
        <v/>
      </c>
      <c r="E4" s="54">
        <f>DATE(YEAR($A4),MONTH($A4),1)</f>
        <v/>
      </c>
      <c r="F4" s="55">
        <f>SUMIFS(tblMovement[Tonnes_t],tblMovement[Date],$A4,tblMovement[Is_Ore],1,tblMovement[Source_Type],"Pit")</f>
        <v/>
      </c>
      <c r="G4" s="55">
        <f>IF($B4=$B3,$G3,0)+$F4</f>
        <v/>
      </c>
      <c r="H4" s="55">
        <f>$H3+$F4</f>
        <v/>
      </c>
      <c r="I4" s="55">
        <f>SUMIFS(tblMovement[Ore_oz],tblMovement[Date],$A4,tblMovement[Source_Type],"Pit")</f>
        <v/>
      </c>
      <c r="J4" s="55">
        <f>IF($B4=$B3,$J3,0)+$I4</f>
        <v/>
      </c>
      <c r="K4" s="55">
        <f>$K3+$I4</f>
        <v/>
      </c>
      <c r="L4" s="56">
        <f>IFERROR(IF(($F4)&gt;0,($I4*cfg_TroyOz)/($F4),""),"")</f>
        <v/>
      </c>
      <c r="M4" s="56">
        <f>IFERROR(IF(($G4)&gt;0,($J4*cfg_TroyOz)/($G4),""),"")</f>
        <v/>
      </c>
      <c r="N4" s="56">
        <f>IFERROR(IF(($H4)&gt;0,($K4*cfg_TroyOz)/($H4),""),"")</f>
        <v/>
      </c>
      <c r="O4" s="55">
        <f>SUMIFS(tblMovement[Tonnes_t],tblMovement[Date],$A4,tblMovement[Is_Ore],0,tblMovement[Source_Type],"Pit")</f>
        <v/>
      </c>
      <c r="P4" s="55">
        <f>IF($B4=$B3,$P3,0)+$O4</f>
        <v/>
      </c>
      <c r="Q4" s="55">
        <f>$Q3+$O4</f>
        <v/>
      </c>
      <c r="R4" s="55">
        <f>$F4+$O4</f>
        <v/>
      </c>
      <c r="S4" s="55">
        <f>IF($B4=$B3,$S3,0)+$R4</f>
        <v/>
      </c>
      <c r="T4" s="55">
        <f>$T3+$R4</f>
        <v/>
      </c>
      <c r="U4" s="56">
        <f>IFERROR(IF(($F4)&gt;0,($O4)/($F4),""),"")</f>
        <v/>
      </c>
      <c r="V4" s="56">
        <f>IFERROR(IF(($G4)&gt;0,($P4)/($G4),""),"")</f>
        <v/>
      </c>
      <c r="W4" s="56">
        <f>IFERROR(IF(($H4)&gt;0,($Q4)/($H4),""),"")</f>
        <v/>
      </c>
      <c r="X4" s="55">
        <f>SUMIFS(tblMovement[Tonnes_t],tblMovement[Date],$A4,tblMovement[Source_Type],"Stockpile")</f>
        <v/>
      </c>
      <c r="Y4" s="55">
        <f>IF($B4=$B3,$Y3,0)+$X4</f>
        <v/>
      </c>
      <c r="Z4" s="55">
        <f>$Z3+$X4</f>
        <v/>
      </c>
      <c r="AA4" s="55">
        <f>SUMIFS(tblMiningDaily[Drill_m],tblMiningDaily[Date],$A4)</f>
        <v/>
      </c>
      <c r="AB4" s="55">
        <f>IF($B4=$B3,$AB3,0)+$AA4</f>
        <v/>
      </c>
      <c r="AC4" s="55">
        <f>$AC3+$AA4</f>
        <v/>
      </c>
      <c r="AD4" s="55">
        <f>SUMIFS(tblMiningDaily[Blast_t],tblMiningDaily[Date],$A4)</f>
        <v/>
      </c>
      <c r="AE4" s="55">
        <f>IF($B4=$B3,$AE3,0)+$AD4</f>
        <v/>
      </c>
      <c r="AF4" s="55">
        <f>$AF3+$AD4</f>
        <v/>
      </c>
      <c r="AG4" s="55">
        <f>SUMIFS(tblMiningDaily[Explosives_kg],tblMiningDaily[Date],$A4)</f>
        <v/>
      </c>
      <c r="AH4" s="55">
        <f>IF($B4=$B3,$AH3,0)+$AG4</f>
        <v/>
      </c>
      <c r="AI4" s="55">
        <f>$AI3+$AG4</f>
        <v/>
      </c>
      <c r="AJ4" s="56">
        <f>IFERROR(IF(($AD4)&gt;0,($AG4)/($AD4),""),"")</f>
        <v/>
      </c>
      <c r="AK4" s="56">
        <f>IFERROR(IF(($AE4)&gt;0,($AH4)/($AE4),""),"")</f>
        <v/>
      </c>
      <c r="AL4" s="56">
        <f>IFERROR(IF(($AF4)&gt;0,($AI4)/($AF4),""),"")</f>
        <v/>
      </c>
      <c r="AM4" s="55">
        <f>SUMIFS(tblMiningDaily[Diesel_L],tblMiningDaily[Date],$A4)</f>
        <v/>
      </c>
      <c r="AN4" s="55">
        <f>IF($B4=$B3,$AN3,0)+$AM4</f>
        <v/>
      </c>
      <c r="AO4" s="55">
        <f>$AO3+$AM4</f>
        <v/>
      </c>
      <c r="AP4" s="55">
        <f>SUMIFS(tblMiningDaily[Dewatering_m3],tblMiningDaily[Date],$A4)</f>
        <v/>
      </c>
      <c r="AQ4" s="55">
        <f>IF($B4=$B3,$AQ3,0)+$AP4</f>
        <v/>
      </c>
      <c r="AR4" s="55">
        <f>$AR3+$AP4</f>
        <v/>
      </c>
      <c r="AS4" s="57">
        <f>SUMIFS(tblFleet[Calendar_h],tblFleet[Date],$A4,tblFleet[Equipment_Class],"Excavator")</f>
        <v/>
      </c>
      <c r="AT4" s="57">
        <f>IF($B4=$B3,$AT3,0)+$AS4</f>
        <v/>
      </c>
      <c r="AU4" s="57">
        <f>$AU3+$AS4</f>
        <v/>
      </c>
      <c r="AV4" s="57">
        <f>SUMIFS(tblFleet[Available_h],tblFleet[Date],$A4,tblFleet[Equipment_Class],"Excavator")</f>
        <v/>
      </c>
      <c r="AW4" s="57">
        <f>IF($B4=$B3,$AW3,0)+$AV4</f>
        <v/>
      </c>
      <c r="AX4" s="57">
        <f>$AX3+$AV4</f>
        <v/>
      </c>
      <c r="AY4" s="57">
        <f>SUMIFS(tblFleet[Operating_h],tblFleet[Date],$A4,tblFleet[Equipment_Class],"Excavator")</f>
        <v/>
      </c>
      <c r="AZ4" s="57">
        <f>IF($B4=$B3,$AZ3,0)+$AY4</f>
        <v/>
      </c>
      <c r="BA4" s="57">
        <f>$BA3+$AY4</f>
        <v/>
      </c>
      <c r="BB4" s="67">
        <f>IFERROR(IF(($AS4)&gt;0,($AV4)/($AS4),""),"")</f>
        <v/>
      </c>
      <c r="BC4" s="67">
        <f>IFERROR(IF(($AT4)&gt;0,($AW4)/($AT4),""),"")</f>
        <v/>
      </c>
      <c r="BD4" s="67">
        <f>IFERROR(IF(($AU4)&gt;0,($AX4)/($AU4),""),"")</f>
        <v/>
      </c>
      <c r="BE4" s="67">
        <f>IFERROR(IF(($AV4)&gt;0,($AY4)/($AV4),""),"")</f>
        <v/>
      </c>
      <c r="BF4" s="67">
        <f>IFERROR(IF(($AW4)&gt;0,($AZ4)/($AW4),""),"")</f>
        <v/>
      </c>
      <c r="BG4" s="67">
        <f>IFERROR(IF(($AX4)&gt;0,($BA4)/($AX4),""),"")</f>
        <v/>
      </c>
      <c r="BH4" s="57">
        <f>SUMIFS(tblFleet[Calendar_h],tblFleet[Date],$A4,tblFleet[Equipment_Class],"Haul Truck")</f>
        <v/>
      </c>
      <c r="BI4" s="57">
        <f>IF($B4=$B3,$BI3,0)+$BH4</f>
        <v/>
      </c>
      <c r="BJ4" s="57">
        <f>$BJ3+$BH4</f>
        <v/>
      </c>
      <c r="BK4" s="57">
        <f>SUMIFS(tblFleet[Available_h],tblFleet[Date],$A4,tblFleet[Equipment_Class],"Haul Truck")</f>
        <v/>
      </c>
      <c r="BL4" s="57">
        <f>IF($B4=$B3,$BL3,0)+$BK4</f>
        <v/>
      </c>
      <c r="BM4" s="57">
        <f>$BM3+$BK4</f>
        <v/>
      </c>
      <c r="BN4" s="57">
        <f>SUMIFS(tblFleet[Operating_h],tblFleet[Date],$A4,tblFleet[Equipment_Class],"Haul Truck")</f>
        <v/>
      </c>
      <c r="BO4" s="57">
        <f>IF($B4=$B3,$BO3,0)+$BN4</f>
        <v/>
      </c>
      <c r="BP4" s="57">
        <f>$BP3+$BN4</f>
        <v/>
      </c>
      <c r="BQ4" s="67">
        <f>IFERROR(IF(($BH4)&gt;0,($BK4)/($BH4),""),"")</f>
        <v/>
      </c>
      <c r="BR4" s="67">
        <f>IFERROR(IF(($BI4)&gt;0,($BL4)/($BI4),""),"")</f>
        <v/>
      </c>
      <c r="BS4" s="67">
        <f>IFERROR(IF(($BJ4)&gt;0,($BM4)/($BJ4),""),"")</f>
        <v/>
      </c>
      <c r="BT4" s="67">
        <f>IFERROR(IF(($BK4)&gt;0,($BN4)/($BK4),""),"")</f>
        <v/>
      </c>
      <c r="BU4" s="67">
        <f>IFERROR(IF(($BL4)&gt;0,($BO4)/($BL4),""),"")</f>
        <v/>
      </c>
      <c r="BV4" s="67">
        <f>IFERROR(IF(($BM4)&gt;0,($BP4)/($BM4),""),"")</f>
        <v/>
      </c>
      <c r="BW4" s="55">
        <f>SUMIFS(tblPlant[Crushed_t],tblPlant[Date],$A4)</f>
        <v/>
      </c>
      <c r="BX4" s="55">
        <f>IF($B4=$B3,$BX3,0)+$BW4</f>
        <v/>
      </c>
      <c r="BY4" s="55">
        <f>$BY3+$BW4</f>
        <v/>
      </c>
      <c r="BZ4" s="55">
        <f>SUMIFS(tblPlant[Milled_t],tblPlant[Date],$A4)</f>
        <v/>
      </c>
      <c r="CA4" s="55">
        <f>IF($B4=$B3,$CA3,0)+$BZ4</f>
        <v/>
      </c>
      <c r="CB4" s="55">
        <f>$CB3+$BZ4</f>
        <v/>
      </c>
      <c r="CC4" s="55">
        <f>SUMIFS(tblPlant[Feed_oz],tblPlant[Date],$A4)</f>
        <v/>
      </c>
      <c r="CD4" s="55">
        <f>IF($B4=$B3,$CD3,0)+$CC4</f>
        <v/>
      </c>
      <c r="CE4" s="55">
        <f>$CE3+$CC4</f>
        <v/>
      </c>
      <c r="CF4" s="55">
        <f>SUMIFS(tblPlant[Tails_oz],tblPlant[Date],$A4)</f>
        <v/>
      </c>
      <c r="CG4" s="55">
        <f>IF($B4=$B3,$CG3,0)+$CF4</f>
        <v/>
      </c>
      <c r="CH4" s="55">
        <f>$CH3+$CF4</f>
        <v/>
      </c>
      <c r="CI4" s="55">
        <f>SUMIFS(tblPlant[Recovered_oz],tblPlant[Date],$A4)</f>
        <v/>
      </c>
      <c r="CJ4" s="55">
        <f>IF($B4=$B3,$CJ3,0)+$CI4</f>
        <v/>
      </c>
      <c r="CK4" s="55">
        <f>$CK3+$CI4</f>
        <v/>
      </c>
      <c r="CL4" s="56">
        <f>IFERROR(IF(($BZ4)&gt;0,($CC4*cfg_TroyOz)/($BZ4),""),"")</f>
        <v/>
      </c>
      <c r="CM4" s="56">
        <f>IFERROR(IF(($CA4)&gt;0,($CD4*cfg_TroyOz)/($CA4),""),"")</f>
        <v/>
      </c>
      <c r="CN4" s="56">
        <f>IFERROR(IF(($CB4)&gt;0,($CE4*cfg_TroyOz)/($CB4),""),"")</f>
        <v/>
      </c>
      <c r="CO4" s="56">
        <f>IFERROR(IF(($BZ4)&gt;0,($CF4*cfg_TroyOz)/($BZ4),""),"")</f>
        <v/>
      </c>
      <c r="CP4" s="56">
        <f>IFERROR(IF(($CA4)&gt;0,($CG4*cfg_TroyOz)/($CA4),""),"")</f>
        <v/>
      </c>
      <c r="CQ4" s="56">
        <f>IFERROR(IF(($CB4)&gt;0,($CH4*cfg_TroyOz)/($CB4),""),"")</f>
        <v/>
      </c>
      <c r="CR4" s="67">
        <f>IFERROR(IF(($CC4)&gt;0,($CI4)/($CC4),""),"")</f>
        <v/>
      </c>
      <c r="CS4" s="67">
        <f>IFERROR(IF(($CD4)&gt;0,($CJ4)/($CD4),""),"")</f>
        <v/>
      </c>
      <c r="CT4" s="67">
        <f>IFERROR(IF(($CE4)&gt;0,($CK4)/($CE4),""),"")</f>
        <v/>
      </c>
      <c r="CU4" s="55">
        <f>SUMIFS(tblPlant[Gravity_Gold_oz],tblPlant[Date],$A4)</f>
        <v/>
      </c>
      <c r="CV4" s="55">
        <f>IF($B4=$B3,$CV3,0)+$CU4</f>
        <v/>
      </c>
      <c r="CW4" s="55">
        <f>$CW3+$CU4</f>
        <v/>
      </c>
      <c r="CX4" s="55">
        <f>SUMIFS(tblPlant[Gold_Poured_oz],tblPlant[Date],$A4)</f>
        <v/>
      </c>
      <c r="CY4" s="55">
        <f>IF($B4=$B3,$CY3,0)+$CX4</f>
        <v/>
      </c>
      <c r="CZ4" s="55">
        <f>$CZ3+$CX4</f>
        <v/>
      </c>
      <c r="DA4" s="57">
        <f>SUMIFS(tblPlant[Mill_Run_h],tblPlant[Date],$A4)</f>
        <v/>
      </c>
      <c r="DB4" s="57">
        <f>IF($B4=$B3,$DB3,0)+$DA4</f>
        <v/>
      </c>
      <c r="DC4" s="57">
        <f>$DC3+$DA4</f>
        <v/>
      </c>
      <c r="DD4" s="57">
        <f>SUMIFS(tblPlant[Mill_Planned_Maint_h],tblPlant[Date],$A4)</f>
        <v/>
      </c>
      <c r="DE4" s="57">
        <f>IF($B4=$B3,$DE3,0)+$DD4</f>
        <v/>
      </c>
      <c r="DF4" s="57">
        <f>$DF3+$DD4</f>
        <v/>
      </c>
      <c r="DG4" s="57">
        <f>SUMIFS(tblPlant[Mill_Unplanned_Down_h],tblPlant[Date],$A4)</f>
        <v/>
      </c>
      <c r="DH4" s="57">
        <f>IF($B4=$B3,$DH3,0)+$DG4</f>
        <v/>
      </c>
      <c r="DI4" s="57">
        <f>$DI3+$DG4</f>
        <v/>
      </c>
      <c r="DJ4" s="57">
        <f>COUNTIFS(tblPlant[Date],$A4,tblPlant[Mill_Run_h],"&lt;&gt;")*24</f>
        <v/>
      </c>
      <c r="DK4" s="57">
        <f>IF($B4=$B3,$DK3,0)+$DJ4</f>
        <v/>
      </c>
      <c r="DL4" s="57">
        <f>$DL3+$DJ4</f>
        <v/>
      </c>
      <c r="DM4" s="57">
        <f>SUMIFS(tblPlant[Crusher_Run_h],tblPlant[Date],$A4)</f>
        <v/>
      </c>
      <c r="DN4" s="57">
        <f>IF($B4=$B3,$DN3,0)+$DM4</f>
        <v/>
      </c>
      <c r="DO4" s="57">
        <f>$DO3+$DM4</f>
        <v/>
      </c>
      <c r="DP4" s="55">
        <f>IFERROR(IF(($DA4)&gt;0,($BZ4)/($DA4),""),"")</f>
        <v/>
      </c>
      <c r="DQ4" s="55">
        <f>IFERROR(IF(($DB4)&gt;0,($CA4)/($DB4),""),"")</f>
        <v/>
      </c>
      <c r="DR4" s="55">
        <f>IFERROR(IF(($DC4)&gt;0,($CB4)/($DC4),""),"")</f>
        <v/>
      </c>
      <c r="DS4" s="67">
        <f>IFERROR(IF(($DJ4)&gt;0,($DJ4-$DD4-$DG4)/($DJ4),""),"")</f>
        <v/>
      </c>
      <c r="DT4" s="67">
        <f>IFERROR(IF(($DK4)&gt;0,($DK4-$DE4-$DH4)/($DK4),""),"")</f>
        <v/>
      </c>
      <c r="DU4" s="67">
        <f>IFERROR(IF(($DL4)&gt;0,($DL4-$DF4-$DI4)/($DL4),""),"")</f>
        <v/>
      </c>
      <c r="DV4" s="67">
        <f>IFERROR(IF(($DJ4-$DD4-$DG4)&gt;0,($DA4)/($DJ4-$DD4-$DG4),""),"")</f>
        <v/>
      </c>
      <c r="DW4" s="67">
        <f>IFERROR(IF(($DK4-$DE4-$DH4)&gt;0,($DB4)/($DK4-$DE4-$DH4),""),"")</f>
        <v/>
      </c>
      <c r="DX4" s="67">
        <f>IFERROR(IF(($DL4-$DF4-$DI4)&gt;0,($DC4)/($DL4-$DF4-$DI4),""),"")</f>
        <v/>
      </c>
      <c r="DY4" s="55">
        <f>SUMIFS(tblPlant[Cyanide_kg],tblPlant[Date],$A4)</f>
        <v/>
      </c>
      <c r="DZ4" s="55">
        <f>IF($B4=$B3,$DZ3,0)+$DY4</f>
        <v/>
      </c>
      <c r="EA4" s="55">
        <f>$EA3+$DY4</f>
        <v/>
      </c>
      <c r="EB4" s="55">
        <f>SUMIFS(tblPlant[Lime_kg],tblPlant[Date],$A4)</f>
        <v/>
      </c>
      <c r="EC4" s="55">
        <f>IF($B4=$B3,$EC3,0)+$EB4</f>
        <v/>
      </c>
      <c r="ED4" s="55">
        <f>$ED3+$EB4</f>
        <v/>
      </c>
      <c r="EE4" s="55">
        <f>SUMIFS(tblPlant[Grinding_Media_kg],tblPlant[Date],$A4)</f>
        <v/>
      </c>
      <c r="EF4" s="55">
        <f>IF($B4=$B3,$EF3,0)+$EE4</f>
        <v/>
      </c>
      <c r="EG4" s="55">
        <f>$EG3+$EE4</f>
        <v/>
      </c>
      <c r="EH4" s="55">
        <f>SUMIFS(tblPlant[Power_kWh],tblPlant[Date],$A4)</f>
        <v/>
      </c>
      <c r="EI4" s="55">
        <f>IF($B4=$B3,$EI3,0)+$EH4</f>
        <v/>
      </c>
      <c r="EJ4" s="55">
        <f>$EJ3+$EH4</f>
        <v/>
      </c>
      <c r="EK4" s="55">
        <f>SUMIFS(tblPlant[Raw_Water_m3],tblPlant[Date],$A4)</f>
        <v/>
      </c>
      <c r="EL4" s="55">
        <f>IF($B4=$B3,$EL3,0)+$EK4</f>
        <v/>
      </c>
      <c r="EM4" s="55">
        <f>$EM3+$EK4</f>
        <v/>
      </c>
      <c r="EN4" s="56">
        <f>IFERROR(IF(($BZ4)&gt;0,($DY4)/($BZ4),""),"")</f>
        <v/>
      </c>
      <c r="EO4" s="56">
        <f>IFERROR(IF(($CA4)&gt;0,($DZ4)/($CA4),""),"")</f>
        <v/>
      </c>
      <c r="EP4" s="56">
        <f>IFERROR(IF(($CB4)&gt;0,($EA4)/($CB4),""),"")</f>
        <v/>
      </c>
      <c r="EQ4" s="56">
        <f>IFERROR(IF(($BZ4)&gt;0,($EB4)/($BZ4),""),"")</f>
        <v/>
      </c>
      <c r="ER4" s="56">
        <f>IFERROR(IF(($CA4)&gt;0,($EC4)/($CA4),""),"")</f>
        <v/>
      </c>
      <c r="ES4" s="56">
        <f>IFERROR(IF(($CB4)&gt;0,($ED4)/($CB4),""),"")</f>
        <v/>
      </c>
      <c r="ET4" s="56">
        <f>IFERROR(IF(($BZ4)&gt;0,($EE4)/($BZ4),""),"")</f>
        <v/>
      </c>
      <c r="EU4" s="56">
        <f>IFERROR(IF(($CA4)&gt;0,($EF4)/($CA4),""),"")</f>
        <v/>
      </c>
      <c r="EV4" s="56">
        <f>IFERROR(IF(($CB4)&gt;0,($EG4)/($CB4),""),"")</f>
        <v/>
      </c>
      <c r="EW4" s="76">
        <f>IFERROR(IF(($BZ4)&gt;0,($EH4)/($BZ4),""),"")</f>
        <v/>
      </c>
      <c r="EX4" s="76">
        <f>IFERROR(IF(($CA4)&gt;0,($EI4)/($CA4),""),"")</f>
        <v/>
      </c>
      <c r="EY4" s="76">
        <f>IFERROR(IF(($CB4)&gt;0,($EJ4)/($CB4),""),"")</f>
        <v/>
      </c>
      <c r="EZ4" s="56">
        <f>IFERROR(IF(($BZ4)&gt;0,($EK4)/($BZ4),""),"")</f>
        <v/>
      </c>
      <c r="FA4" s="56">
        <f>IFERROR(IF(($CA4)&gt;0,($EL4)/($CA4),""),"")</f>
        <v/>
      </c>
      <c r="FB4" s="56">
        <f>IFERROR(IF(($CB4)&gt;0,($EM4)/($CB4),""),"")</f>
        <v/>
      </c>
      <c r="FC4" s="55">
        <f>IF(SUMIFS(tblPlant[GIC_oz],tblPlant[Date],$A4)&gt;0,SUMIFS(tblPlant[GIC_oz],tblPlant[Date],$A4),"")</f>
        <v/>
      </c>
      <c r="FD4" s="55">
        <f>SUMIFS(tblGold[Gold_oz],tblGold[Date],$A4,tblGold[Type],"Shipment")</f>
        <v/>
      </c>
      <c r="FE4" s="55">
        <f>IF($B4=$B3,$FE3,0)+$FD4</f>
        <v/>
      </c>
      <c r="FF4" s="55">
        <f>$FF3+$FD4</f>
        <v/>
      </c>
      <c r="FG4" s="55">
        <f>SUMIFS(tblGold[Gold_oz],tblGold[Date],$A4,tblGold[Type],"Sale")</f>
        <v/>
      </c>
      <c r="FH4" s="55">
        <f>IF($B4=$B3,$FH3,0)+$FG4</f>
        <v/>
      </c>
      <c r="FI4" s="55">
        <f>$FI3+$FG4</f>
        <v/>
      </c>
      <c r="FJ4" s="55">
        <f>SUMIFS(tblGold[Dore_kg],tblGold[Date],$A4,tblGold[Type],"Shipment")</f>
        <v/>
      </c>
      <c r="FK4" s="55">
        <f>IF($B4=$B3,$FK3,0)+$FJ4</f>
        <v/>
      </c>
      <c r="FL4" s="55">
        <f>$FL3+$FJ4</f>
        <v/>
      </c>
      <c r="FM4" s="57">
        <f>SUMIFS(tblSafety[Hours_Total],tblSafety[Date],$A4)</f>
        <v/>
      </c>
      <c r="FN4" s="57">
        <f>IF($B4=$B3,$FN3,0)+$FM4</f>
        <v/>
      </c>
      <c r="FO4" s="57">
        <f>$FO3+$FM4</f>
        <v/>
      </c>
      <c r="FP4" s="62">
        <f>SUMIFS(tblSafety[Fatality],tblSafety[Date],$A4)</f>
        <v/>
      </c>
      <c r="FQ4" s="62">
        <f>IF($B4=$B3,$FQ3,0)+$FP4</f>
        <v/>
      </c>
      <c r="FR4" s="62">
        <f>$FR3+$FP4</f>
        <v/>
      </c>
      <c r="FS4" s="62">
        <f>SUMIFS(tblSafety[LTI],tblSafety[Date],$A4)</f>
        <v/>
      </c>
      <c r="FT4" s="62">
        <f>IF($B4=$B3,$FT3,0)+$FS4</f>
        <v/>
      </c>
      <c r="FU4" s="62">
        <f>$FU3+$FS4</f>
        <v/>
      </c>
      <c r="FV4" s="62">
        <f>SUMIFS(tblSafety[RWI],tblSafety[Date],$A4)</f>
        <v/>
      </c>
      <c r="FW4" s="62">
        <f>IF($B4=$B3,$FW3,0)+$FV4</f>
        <v/>
      </c>
      <c r="FX4" s="62">
        <f>$FX3+$FV4</f>
        <v/>
      </c>
      <c r="FY4" s="62">
        <f>SUMIFS(tblSafety[MTI],tblSafety[Date],$A4)</f>
        <v/>
      </c>
      <c r="FZ4" s="62">
        <f>IF($B4=$B3,$FZ3,0)+$FY4</f>
        <v/>
      </c>
      <c r="GA4" s="62">
        <f>$GA3+$FY4</f>
        <v/>
      </c>
      <c r="GB4" s="62">
        <f>SUMIFS(tblSafety[FAI],tblSafety[Date],$A4)</f>
        <v/>
      </c>
      <c r="GC4" s="62">
        <f>IF($B4=$B3,$GC3,0)+$GB4</f>
        <v/>
      </c>
      <c r="GD4" s="62">
        <f>$GD3+$GB4</f>
        <v/>
      </c>
      <c r="GE4" s="62">
        <f>SUMIFS(tblSafety[Recordables],tblSafety[Date],$A4)</f>
        <v/>
      </c>
      <c r="GF4" s="62">
        <f>IF($B4=$B3,$GF3,0)+$GE4</f>
        <v/>
      </c>
      <c r="GG4" s="62">
        <f>$GG3+$GE4</f>
        <v/>
      </c>
      <c r="GH4" s="62">
        <f>SUMIFS(tblSafety[Near_Miss],tblSafety[Date],$A4)</f>
        <v/>
      </c>
      <c r="GI4" s="62">
        <f>IF($B4=$B3,$GI3,0)+$GH4</f>
        <v/>
      </c>
      <c r="GJ4" s="62">
        <f>$GJ3+$GH4</f>
        <v/>
      </c>
      <c r="GK4" s="62">
        <f>SUMIFS(tblSafety[Hazard_Reports],tblSafety[Date],$A4)</f>
        <v/>
      </c>
      <c r="GL4" s="62">
        <f>IF($B4=$B3,$GL3,0)+$GK4</f>
        <v/>
      </c>
      <c r="GM4" s="62">
        <f>$GM3+$GK4</f>
        <v/>
      </c>
      <c r="GN4" s="62">
        <f>SUMIFS(tblSafety[HPI],tblSafety[Date],$A4)</f>
        <v/>
      </c>
      <c r="GO4" s="62">
        <f>IF($B4=$B3,$GO3,0)+$GN4</f>
        <v/>
      </c>
      <c r="GP4" s="62">
        <f>$GP3+$GN4</f>
        <v/>
      </c>
      <c r="GQ4" s="62">
        <f>SUMIFS(tblSafety[Env_Incidents],tblSafety[Date],$A4)</f>
        <v/>
      </c>
      <c r="GR4" s="62">
        <f>IF($B4=$B3,$GR3,0)+$GQ4</f>
        <v/>
      </c>
      <c r="GS4" s="62">
        <f>$GS3+$GQ4</f>
        <v/>
      </c>
      <c r="GT4" s="62">
        <f>SUMIFS(tblSafety[Community_Incidents],tblSafety[Date],$A4)</f>
        <v/>
      </c>
      <c r="GU4" s="62">
        <f>IF($B4=$B3,$GU3,0)+$GT4</f>
        <v/>
      </c>
      <c r="GV4" s="62">
        <f>$GV3+$GT4</f>
        <v/>
      </c>
      <c r="GW4" s="62">
        <f>SUMIFS(tblSafety[Vehicle_Incidents],tblSafety[Date],$A4)</f>
        <v/>
      </c>
      <c r="GX4" s="62">
        <f>IF($B4=$B3,$GX3,0)+$GW4</f>
        <v/>
      </c>
      <c r="GY4" s="62">
        <f>$GY3+$GW4</f>
        <v/>
      </c>
      <c r="GZ4" s="62">
        <f>SUMIFS(tblSafety[Toolbox_Talks],tblSafety[Date],$A4)</f>
        <v/>
      </c>
      <c r="HA4" s="62">
        <f>IF($B4=$B3,$HA3,0)+$GZ4</f>
        <v/>
      </c>
      <c r="HB4" s="62">
        <f>$HB3+$GZ4</f>
        <v/>
      </c>
      <c r="HC4" s="62">
        <f>SUMIFS(tblSafety[Inspections],tblSafety[Date],$A4)</f>
        <v/>
      </c>
      <c r="HD4" s="62">
        <f>IF($B4=$B3,$HD3,0)+$HC4</f>
        <v/>
      </c>
      <c r="HE4" s="62">
        <f>$HE3+$HC4</f>
        <v/>
      </c>
      <c r="HF4" s="56">
        <f>IFERROR((SUMIFS(tblSafety[Recordables],tblSafety[Date],"&gt;="&amp;EDATE($E4,-12),tblSafety[Date],"&lt;="&amp;$A4)+SUMIFS(tblSafetyHistory[Recordables],tblSafetyHistory[Month],"&gt;="&amp;EDATE($E4,-12),tblSafetyHistory[Month],"&lt;"&amp;cfg_YearStart))/(SUMIFS(tblSafety[Hours_Total],tblSafety[Date],"&gt;="&amp;EDATE($E4,-12),tblSafety[Date],"&lt;="&amp;$A4)+SUMIFS(tblSafetyHistory[Hours_Total],tblSafetyHistory[Month],"&gt;="&amp;EDATE($E4,-12),tblSafetyHistory[Month],"&lt;"&amp;cfg_YearStart))*1000000,"")</f>
        <v/>
      </c>
      <c r="HG4" s="56">
        <f>IFERROR((SUMIFS(tblSafety[LTI],tblSafety[Date],"&gt;="&amp;EDATE($E4,-12),tblSafety[Date],"&lt;="&amp;$A4)+SUMIFS(tblSafetyHistory[LTI],tblSafetyHistory[Month],"&gt;="&amp;EDATE($E4,-12),tblSafetyHistory[Month],"&lt;"&amp;cfg_YearStart))/(SUMIFS(tblSafety[Hours_Total],tblSafety[Date],"&gt;="&amp;EDATE($E4,-12),tblSafety[Date],"&lt;="&amp;$A4)+SUMIFS(tblSafetyHistory[Hours_Total],tblSafetyHistory[Month],"&gt;="&amp;EDATE($E4,-12),tblSafetyHistory[Month],"&lt;"&amp;cfg_YearStart))*1000000,"")</f>
        <v/>
      </c>
      <c r="HH4" s="62">
        <f>IF(MAX(N(cfg_PriorLTIDate),_xlfn.MAXIFS(tblSafety[Date],tblSafety[LTI],"&gt;0",tblSafety[Date],"&lt;="&amp;$A4))=0,"",$A4-MAX(N(cfg_PriorLTIDate),_xlfn.MAXIFS(tblSafety[Date],tblSafety[LTI],"&gt;0",tblSafety[Date],"&lt;="&amp;$A4)))</f>
        <v/>
      </c>
      <c r="HI4" s="55">
        <f>SUMIFS(tblBudget[Ore_Mined_t],tblBudget[Month],$E4)</f>
        <v/>
      </c>
      <c r="HJ4" s="55">
        <f>$HI4*$C4/$D4</f>
        <v/>
      </c>
      <c r="HK4" s="55">
        <f>SUMIFS(tblBudget[Ore_Mined_t],tblBudget[Month],"&lt;"&amp;$E4)+$HJ4</f>
        <v/>
      </c>
      <c r="HL4" s="55">
        <f>SUMIFS(tblBudget[Ore_oz],tblBudget[Month],$E4)</f>
        <v/>
      </c>
      <c r="HM4" s="55">
        <f>$HL4*$C4/$D4</f>
        <v/>
      </c>
      <c r="HN4" s="55">
        <f>SUMIFS(tblBudget[Ore_oz],tblBudget[Month],"&lt;"&amp;$E4)+$HM4</f>
        <v/>
      </c>
      <c r="HO4" s="56">
        <f>IFERROR(IF(($HI4)&gt;0,($HL4*cfg_TroyOz)/($HI4),""),"")</f>
        <v/>
      </c>
      <c r="HP4" s="56">
        <f>IFERROR(IF(($HJ4)&gt;0,($HM4*cfg_TroyOz)/($HJ4),""),"")</f>
        <v/>
      </c>
      <c r="HQ4" s="56">
        <f>IFERROR(IF(($HK4)&gt;0,($HN4*cfg_TroyOz)/($HK4),""),"")</f>
        <v/>
      </c>
      <c r="HR4" s="55">
        <f>SUMIFS(tblBudget[Waste_t],tblBudget[Month],$E4)</f>
        <v/>
      </c>
      <c r="HS4" s="55">
        <f>$HR4*$C4/$D4</f>
        <v/>
      </c>
      <c r="HT4" s="55">
        <f>SUMIFS(tblBudget[Waste_t],tblBudget[Month],"&lt;"&amp;$E4)+$HS4</f>
        <v/>
      </c>
      <c r="HU4" s="55">
        <f>SUMIFS(tblBudget[TMM_t],tblBudget[Month],$E4)</f>
        <v/>
      </c>
      <c r="HV4" s="55">
        <f>$HU4*$C4/$D4</f>
        <v/>
      </c>
      <c r="HW4" s="55">
        <f>SUMIFS(tblBudget[TMM_t],tblBudget[Month],"&lt;"&amp;$E4)+$HV4</f>
        <v/>
      </c>
      <c r="HX4" s="56">
        <f>IFERROR(IF(($HI4)&gt;0,($HR4)/($HI4),""),"")</f>
        <v/>
      </c>
      <c r="HY4" s="56">
        <f>IFERROR(IF(($HJ4)&gt;0,($HS4)/($HJ4),""),"")</f>
        <v/>
      </c>
      <c r="HZ4" s="56">
        <f>IFERROR(IF(($HK4)&gt;0,($HT4)/($HK4),""),"")</f>
        <v/>
      </c>
      <c r="IA4" s="55">
        <f>SUMIFS(tblBudget[Drill_m],tblBudget[Month],$E4)</f>
        <v/>
      </c>
      <c r="IB4" s="55">
        <f>$IA4*$C4/$D4</f>
        <v/>
      </c>
      <c r="IC4" s="55">
        <f>SUMIFS(tblBudget[Drill_m],tblBudget[Month],"&lt;"&amp;$E4)+$IB4</f>
        <v/>
      </c>
      <c r="ID4" s="55">
        <f>SUMIFS(tblBudget[Diesel_L],tblBudget[Month],$E4)</f>
        <v/>
      </c>
      <c r="IE4" s="55">
        <f>$ID4*$C4/$D4</f>
        <v/>
      </c>
      <c r="IF4" s="55">
        <f>SUMIFS(tblBudget[Diesel_L],tblBudget[Month],"&lt;"&amp;$E4)+$IE4</f>
        <v/>
      </c>
      <c r="IG4" s="55">
        <f>SUMIFS(tblBudget[Milled_t],tblBudget[Month],$E4)</f>
        <v/>
      </c>
      <c r="IH4" s="55">
        <f>$IG4*$C4/$D4</f>
        <v/>
      </c>
      <c r="II4" s="55">
        <f>SUMIFS(tblBudget[Milled_t],tblBudget[Month],"&lt;"&amp;$E4)+$IH4</f>
        <v/>
      </c>
      <c r="IJ4" s="55">
        <f>SUMIFS(tblBudget[Feed_oz],tblBudget[Month],$E4)</f>
        <v/>
      </c>
      <c r="IK4" s="55">
        <f>$IJ4*$C4/$D4</f>
        <v/>
      </c>
      <c r="IL4" s="55">
        <f>SUMIFS(tblBudget[Feed_oz],tblBudget[Month],"&lt;"&amp;$E4)+$IK4</f>
        <v/>
      </c>
      <c r="IM4" s="55">
        <f>SUMIFS(tblBudget[Recovered_oz],tblBudget[Month],$E4)</f>
        <v/>
      </c>
      <c r="IN4" s="55">
        <f>$IM4*$C4/$D4</f>
        <v/>
      </c>
      <c r="IO4" s="55">
        <f>SUMIFS(tblBudget[Recovered_oz],tblBudget[Month],"&lt;"&amp;$E4)+$IN4</f>
        <v/>
      </c>
      <c r="IP4" s="56">
        <f>IFERROR(IF(($IG4)&gt;0,($IJ4*cfg_TroyOz)/($IG4),""),"")</f>
        <v/>
      </c>
      <c r="IQ4" s="56">
        <f>IFERROR(IF(($IH4)&gt;0,($IK4*cfg_TroyOz)/($IH4),""),"")</f>
        <v/>
      </c>
      <c r="IR4" s="56">
        <f>IFERROR(IF(($II4)&gt;0,($IL4*cfg_TroyOz)/($II4),""),"")</f>
        <v/>
      </c>
      <c r="IS4" s="67">
        <f>IFERROR(IF(($IJ4)&gt;0,($IM4)/($IJ4),""),"")</f>
        <v/>
      </c>
      <c r="IT4" s="67">
        <f>IFERROR(IF(($IK4)&gt;0,($IN4)/($IK4),""),"")</f>
        <v/>
      </c>
      <c r="IU4" s="67">
        <f>IFERROR(IF(($IL4)&gt;0,($IO4)/($IL4),""),"")</f>
        <v/>
      </c>
      <c r="IV4" s="55">
        <f>SUMIFS(tblBudget[Gold_Poured_oz],tblBudget[Month],$E4)</f>
        <v/>
      </c>
      <c r="IW4" s="55">
        <f>$IV4*$C4/$D4</f>
        <v/>
      </c>
      <c r="IX4" s="55">
        <f>SUMIFS(tblBudget[Gold_Poured_oz],tblBudget[Month],"&lt;"&amp;$E4)+$IW4</f>
        <v/>
      </c>
      <c r="IY4" s="57">
        <f>SUMIFS(tblBudget[Hours_Worked],tblBudget[Month],$E4)</f>
        <v/>
      </c>
      <c r="IZ4" s="57">
        <f>$IY4*$C4/$D4</f>
        <v/>
      </c>
      <c r="JA4" s="57">
        <f>SUMIFS(tblBudget[Hours_Worked],tblBudget[Month],"&lt;"&amp;$E4)+$IZ4</f>
        <v/>
      </c>
    </row>
    <row r="5">
      <c r="A5" s="54" t="n">
        <v>46026</v>
      </c>
      <c r="B5">
        <f>MONTH($A5)</f>
        <v/>
      </c>
      <c r="C5">
        <f>DAY($A5)</f>
        <v/>
      </c>
      <c r="D5">
        <f>DAY(EOMONTH($A5,0))</f>
        <v/>
      </c>
      <c r="E5" s="54">
        <f>DATE(YEAR($A5),MONTH($A5),1)</f>
        <v/>
      </c>
      <c r="F5" s="55">
        <f>SUMIFS(tblMovement[Tonnes_t],tblMovement[Date],$A5,tblMovement[Is_Ore],1,tblMovement[Source_Type],"Pit")</f>
        <v/>
      </c>
      <c r="G5" s="55">
        <f>IF($B5=$B4,$G4,0)+$F5</f>
        <v/>
      </c>
      <c r="H5" s="55">
        <f>$H4+$F5</f>
        <v/>
      </c>
      <c r="I5" s="55">
        <f>SUMIFS(tblMovement[Ore_oz],tblMovement[Date],$A5,tblMovement[Source_Type],"Pit")</f>
        <v/>
      </c>
      <c r="J5" s="55">
        <f>IF($B5=$B4,$J4,0)+$I5</f>
        <v/>
      </c>
      <c r="K5" s="55">
        <f>$K4+$I5</f>
        <v/>
      </c>
      <c r="L5" s="56">
        <f>IFERROR(IF(($F5)&gt;0,($I5*cfg_TroyOz)/($F5),""),"")</f>
        <v/>
      </c>
      <c r="M5" s="56">
        <f>IFERROR(IF(($G5)&gt;0,($J5*cfg_TroyOz)/($G5),""),"")</f>
        <v/>
      </c>
      <c r="N5" s="56">
        <f>IFERROR(IF(($H5)&gt;0,($K5*cfg_TroyOz)/($H5),""),"")</f>
        <v/>
      </c>
      <c r="O5" s="55">
        <f>SUMIFS(tblMovement[Tonnes_t],tblMovement[Date],$A5,tblMovement[Is_Ore],0,tblMovement[Source_Type],"Pit")</f>
        <v/>
      </c>
      <c r="P5" s="55">
        <f>IF($B5=$B4,$P4,0)+$O5</f>
        <v/>
      </c>
      <c r="Q5" s="55">
        <f>$Q4+$O5</f>
        <v/>
      </c>
      <c r="R5" s="55">
        <f>$F5+$O5</f>
        <v/>
      </c>
      <c r="S5" s="55">
        <f>IF($B5=$B4,$S4,0)+$R5</f>
        <v/>
      </c>
      <c r="T5" s="55">
        <f>$T4+$R5</f>
        <v/>
      </c>
      <c r="U5" s="56">
        <f>IFERROR(IF(($F5)&gt;0,($O5)/($F5),""),"")</f>
        <v/>
      </c>
      <c r="V5" s="56">
        <f>IFERROR(IF(($G5)&gt;0,($P5)/($G5),""),"")</f>
        <v/>
      </c>
      <c r="W5" s="56">
        <f>IFERROR(IF(($H5)&gt;0,($Q5)/($H5),""),"")</f>
        <v/>
      </c>
      <c r="X5" s="55">
        <f>SUMIFS(tblMovement[Tonnes_t],tblMovement[Date],$A5,tblMovement[Source_Type],"Stockpile")</f>
        <v/>
      </c>
      <c r="Y5" s="55">
        <f>IF($B5=$B4,$Y4,0)+$X5</f>
        <v/>
      </c>
      <c r="Z5" s="55">
        <f>$Z4+$X5</f>
        <v/>
      </c>
      <c r="AA5" s="55">
        <f>SUMIFS(tblMiningDaily[Drill_m],tblMiningDaily[Date],$A5)</f>
        <v/>
      </c>
      <c r="AB5" s="55">
        <f>IF($B5=$B4,$AB4,0)+$AA5</f>
        <v/>
      </c>
      <c r="AC5" s="55">
        <f>$AC4+$AA5</f>
        <v/>
      </c>
      <c r="AD5" s="55">
        <f>SUMIFS(tblMiningDaily[Blast_t],tblMiningDaily[Date],$A5)</f>
        <v/>
      </c>
      <c r="AE5" s="55">
        <f>IF($B5=$B4,$AE4,0)+$AD5</f>
        <v/>
      </c>
      <c r="AF5" s="55">
        <f>$AF4+$AD5</f>
        <v/>
      </c>
      <c r="AG5" s="55">
        <f>SUMIFS(tblMiningDaily[Explosives_kg],tblMiningDaily[Date],$A5)</f>
        <v/>
      </c>
      <c r="AH5" s="55">
        <f>IF($B5=$B4,$AH4,0)+$AG5</f>
        <v/>
      </c>
      <c r="AI5" s="55">
        <f>$AI4+$AG5</f>
        <v/>
      </c>
      <c r="AJ5" s="56">
        <f>IFERROR(IF(($AD5)&gt;0,($AG5)/($AD5),""),"")</f>
        <v/>
      </c>
      <c r="AK5" s="56">
        <f>IFERROR(IF(($AE5)&gt;0,($AH5)/($AE5),""),"")</f>
        <v/>
      </c>
      <c r="AL5" s="56">
        <f>IFERROR(IF(($AF5)&gt;0,($AI5)/($AF5),""),"")</f>
        <v/>
      </c>
      <c r="AM5" s="55">
        <f>SUMIFS(tblMiningDaily[Diesel_L],tblMiningDaily[Date],$A5)</f>
        <v/>
      </c>
      <c r="AN5" s="55">
        <f>IF($B5=$B4,$AN4,0)+$AM5</f>
        <v/>
      </c>
      <c r="AO5" s="55">
        <f>$AO4+$AM5</f>
        <v/>
      </c>
      <c r="AP5" s="55">
        <f>SUMIFS(tblMiningDaily[Dewatering_m3],tblMiningDaily[Date],$A5)</f>
        <v/>
      </c>
      <c r="AQ5" s="55">
        <f>IF($B5=$B4,$AQ4,0)+$AP5</f>
        <v/>
      </c>
      <c r="AR5" s="55">
        <f>$AR4+$AP5</f>
        <v/>
      </c>
      <c r="AS5" s="57">
        <f>SUMIFS(tblFleet[Calendar_h],tblFleet[Date],$A5,tblFleet[Equipment_Class],"Excavator")</f>
        <v/>
      </c>
      <c r="AT5" s="57">
        <f>IF($B5=$B4,$AT4,0)+$AS5</f>
        <v/>
      </c>
      <c r="AU5" s="57">
        <f>$AU4+$AS5</f>
        <v/>
      </c>
      <c r="AV5" s="57">
        <f>SUMIFS(tblFleet[Available_h],tblFleet[Date],$A5,tblFleet[Equipment_Class],"Excavator")</f>
        <v/>
      </c>
      <c r="AW5" s="57">
        <f>IF($B5=$B4,$AW4,0)+$AV5</f>
        <v/>
      </c>
      <c r="AX5" s="57">
        <f>$AX4+$AV5</f>
        <v/>
      </c>
      <c r="AY5" s="57">
        <f>SUMIFS(tblFleet[Operating_h],tblFleet[Date],$A5,tblFleet[Equipment_Class],"Excavator")</f>
        <v/>
      </c>
      <c r="AZ5" s="57">
        <f>IF($B5=$B4,$AZ4,0)+$AY5</f>
        <v/>
      </c>
      <c r="BA5" s="57">
        <f>$BA4+$AY5</f>
        <v/>
      </c>
      <c r="BB5" s="67">
        <f>IFERROR(IF(($AS5)&gt;0,($AV5)/($AS5),""),"")</f>
        <v/>
      </c>
      <c r="BC5" s="67">
        <f>IFERROR(IF(($AT5)&gt;0,($AW5)/($AT5),""),"")</f>
        <v/>
      </c>
      <c r="BD5" s="67">
        <f>IFERROR(IF(($AU5)&gt;0,($AX5)/($AU5),""),"")</f>
        <v/>
      </c>
      <c r="BE5" s="67">
        <f>IFERROR(IF(($AV5)&gt;0,($AY5)/($AV5),""),"")</f>
        <v/>
      </c>
      <c r="BF5" s="67">
        <f>IFERROR(IF(($AW5)&gt;0,($AZ5)/($AW5),""),"")</f>
        <v/>
      </c>
      <c r="BG5" s="67">
        <f>IFERROR(IF(($AX5)&gt;0,($BA5)/($AX5),""),"")</f>
        <v/>
      </c>
      <c r="BH5" s="57">
        <f>SUMIFS(tblFleet[Calendar_h],tblFleet[Date],$A5,tblFleet[Equipment_Class],"Haul Truck")</f>
        <v/>
      </c>
      <c r="BI5" s="57">
        <f>IF($B5=$B4,$BI4,0)+$BH5</f>
        <v/>
      </c>
      <c r="BJ5" s="57">
        <f>$BJ4+$BH5</f>
        <v/>
      </c>
      <c r="BK5" s="57">
        <f>SUMIFS(tblFleet[Available_h],tblFleet[Date],$A5,tblFleet[Equipment_Class],"Haul Truck")</f>
        <v/>
      </c>
      <c r="BL5" s="57">
        <f>IF($B5=$B4,$BL4,0)+$BK5</f>
        <v/>
      </c>
      <c r="BM5" s="57">
        <f>$BM4+$BK5</f>
        <v/>
      </c>
      <c r="BN5" s="57">
        <f>SUMIFS(tblFleet[Operating_h],tblFleet[Date],$A5,tblFleet[Equipment_Class],"Haul Truck")</f>
        <v/>
      </c>
      <c r="BO5" s="57">
        <f>IF($B5=$B4,$BO4,0)+$BN5</f>
        <v/>
      </c>
      <c r="BP5" s="57">
        <f>$BP4+$BN5</f>
        <v/>
      </c>
      <c r="BQ5" s="67">
        <f>IFERROR(IF(($BH5)&gt;0,($BK5)/($BH5),""),"")</f>
        <v/>
      </c>
      <c r="BR5" s="67">
        <f>IFERROR(IF(($BI5)&gt;0,($BL5)/($BI5),""),"")</f>
        <v/>
      </c>
      <c r="BS5" s="67">
        <f>IFERROR(IF(($BJ5)&gt;0,($BM5)/($BJ5),""),"")</f>
        <v/>
      </c>
      <c r="BT5" s="67">
        <f>IFERROR(IF(($BK5)&gt;0,($BN5)/($BK5),""),"")</f>
        <v/>
      </c>
      <c r="BU5" s="67">
        <f>IFERROR(IF(($BL5)&gt;0,($BO5)/($BL5),""),"")</f>
        <v/>
      </c>
      <c r="BV5" s="67">
        <f>IFERROR(IF(($BM5)&gt;0,($BP5)/($BM5),""),"")</f>
        <v/>
      </c>
      <c r="BW5" s="55">
        <f>SUMIFS(tblPlant[Crushed_t],tblPlant[Date],$A5)</f>
        <v/>
      </c>
      <c r="BX5" s="55">
        <f>IF($B5=$B4,$BX4,0)+$BW5</f>
        <v/>
      </c>
      <c r="BY5" s="55">
        <f>$BY4+$BW5</f>
        <v/>
      </c>
      <c r="BZ5" s="55">
        <f>SUMIFS(tblPlant[Milled_t],tblPlant[Date],$A5)</f>
        <v/>
      </c>
      <c r="CA5" s="55">
        <f>IF($B5=$B4,$CA4,0)+$BZ5</f>
        <v/>
      </c>
      <c r="CB5" s="55">
        <f>$CB4+$BZ5</f>
        <v/>
      </c>
      <c r="CC5" s="55">
        <f>SUMIFS(tblPlant[Feed_oz],tblPlant[Date],$A5)</f>
        <v/>
      </c>
      <c r="CD5" s="55">
        <f>IF($B5=$B4,$CD4,0)+$CC5</f>
        <v/>
      </c>
      <c r="CE5" s="55">
        <f>$CE4+$CC5</f>
        <v/>
      </c>
      <c r="CF5" s="55">
        <f>SUMIFS(tblPlant[Tails_oz],tblPlant[Date],$A5)</f>
        <v/>
      </c>
      <c r="CG5" s="55">
        <f>IF($B5=$B4,$CG4,0)+$CF5</f>
        <v/>
      </c>
      <c r="CH5" s="55">
        <f>$CH4+$CF5</f>
        <v/>
      </c>
      <c r="CI5" s="55">
        <f>SUMIFS(tblPlant[Recovered_oz],tblPlant[Date],$A5)</f>
        <v/>
      </c>
      <c r="CJ5" s="55">
        <f>IF($B5=$B4,$CJ4,0)+$CI5</f>
        <v/>
      </c>
      <c r="CK5" s="55">
        <f>$CK4+$CI5</f>
        <v/>
      </c>
      <c r="CL5" s="56">
        <f>IFERROR(IF(($BZ5)&gt;0,($CC5*cfg_TroyOz)/($BZ5),""),"")</f>
        <v/>
      </c>
      <c r="CM5" s="56">
        <f>IFERROR(IF(($CA5)&gt;0,($CD5*cfg_TroyOz)/($CA5),""),"")</f>
        <v/>
      </c>
      <c r="CN5" s="56">
        <f>IFERROR(IF(($CB5)&gt;0,($CE5*cfg_TroyOz)/($CB5),""),"")</f>
        <v/>
      </c>
      <c r="CO5" s="56">
        <f>IFERROR(IF(($BZ5)&gt;0,($CF5*cfg_TroyOz)/($BZ5),""),"")</f>
        <v/>
      </c>
      <c r="CP5" s="56">
        <f>IFERROR(IF(($CA5)&gt;0,($CG5*cfg_TroyOz)/($CA5),""),"")</f>
        <v/>
      </c>
      <c r="CQ5" s="56">
        <f>IFERROR(IF(($CB5)&gt;0,($CH5*cfg_TroyOz)/($CB5),""),"")</f>
        <v/>
      </c>
      <c r="CR5" s="67">
        <f>IFERROR(IF(($CC5)&gt;0,($CI5)/($CC5),""),"")</f>
        <v/>
      </c>
      <c r="CS5" s="67">
        <f>IFERROR(IF(($CD5)&gt;0,($CJ5)/($CD5),""),"")</f>
        <v/>
      </c>
      <c r="CT5" s="67">
        <f>IFERROR(IF(($CE5)&gt;0,($CK5)/($CE5),""),"")</f>
        <v/>
      </c>
      <c r="CU5" s="55">
        <f>SUMIFS(tblPlant[Gravity_Gold_oz],tblPlant[Date],$A5)</f>
        <v/>
      </c>
      <c r="CV5" s="55">
        <f>IF($B5=$B4,$CV4,0)+$CU5</f>
        <v/>
      </c>
      <c r="CW5" s="55">
        <f>$CW4+$CU5</f>
        <v/>
      </c>
      <c r="CX5" s="55">
        <f>SUMIFS(tblPlant[Gold_Poured_oz],tblPlant[Date],$A5)</f>
        <v/>
      </c>
      <c r="CY5" s="55">
        <f>IF($B5=$B4,$CY4,0)+$CX5</f>
        <v/>
      </c>
      <c r="CZ5" s="55">
        <f>$CZ4+$CX5</f>
        <v/>
      </c>
      <c r="DA5" s="57">
        <f>SUMIFS(tblPlant[Mill_Run_h],tblPlant[Date],$A5)</f>
        <v/>
      </c>
      <c r="DB5" s="57">
        <f>IF($B5=$B4,$DB4,0)+$DA5</f>
        <v/>
      </c>
      <c r="DC5" s="57">
        <f>$DC4+$DA5</f>
        <v/>
      </c>
      <c r="DD5" s="57">
        <f>SUMIFS(tblPlant[Mill_Planned_Maint_h],tblPlant[Date],$A5)</f>
        <v/>
      </c>
      <c r="DE5" s="57">
        <f>IF($B5=$B4,$DE4,0)+$DD5</f>
        <v/>
      </c>
      <c r="DF5" s="57">
        <f>$DF4+$DD5</f>
        <v/>
      </c>
      <c r="DG5" s="57">
        <f>SUMIFS(tblPlant[Mill_Unplanned_Down_h],tblPlant[Date],$A5)</f>
        <v/>
      </c>
      <c r="DH5" s="57">
        <f>IF($B5=$B4,$DH4,0)+$DG5</f>
        <v/>
      </c>
      <c r="DI5" s="57">
        <f>$DI4+$DG5</f>
        <v/>
      </c>
      <c r="DJ5" s="57">
        <f>COUNTIFS(tblPlant[Date],$A5,tblPlant[Mill_Run_h],"&lt;&gt;")*24</f>
        <v/>
      </c>
      <c r="DK5" s="57">
        <f>IF($B5=$B4,$DK4,0)+$DJ5</f>
        <v/>
      </c>
      <c r="DL5" s="57">
        <f>$DL4+$DJ5</f>
        <v/>
      </c>
      <c r="DM5" s="57">
        <f>SUMIFS(tblPlant[Crusher_Run_h],tblPlant[Date],$A5)</f>
        <v/>
      </c>
      <c r="DN5" s="57">
        <f>IF($B5=$B4,$DN4,0)+$DM5</f>
        <v/>
      </c>
      <c r="DO5" s="57">
        <f>$DO4+$DM5</f>
        <v/>
      </c>
      <c r="DP5" s="55">
        <f>IFERROR(IF(($DA5)&gt;0,($BZ5)/($DA5),""),"")</f>
        <v/>
      </c>
      <c r="DQ5" s="55">
        <f>IFERROR(IF(($DB5)&gt;0,($CA5)/($DB5),""),"")</f>
        <v/>
      </c>
      <c r="DR5" s="55">
        <f>IFERROR(IF(($DC5)&gt;0,($CB5)/($DC5),""),"")</f>
        <v/>
      </c>
      <c r="DS5" s="67">
        <f>IFERROR(IF(($DJ5)&gt;0,($DJ5-$DD5-$DG5)/($DJ5),""),"")</f>
        <v/>
      </c>
      <c r="DT5" s="67">
        <f>IFERROR(IF(($DK5)&gt;0,($DK5-$DE5-$DH5)/($DK5),""),"")</f>
        <v/>
      </c>
      <c r="DU5" s="67">
        <f>IFERROR(IF(($DL5)&gt;0,($DL5-$DF5-$DI5)/($DL5),""),"")</f>
        <v/>
      </c>
      <c r="DV5" s="67">
        <f>IFERROR(IF(($DJ5-$DD5-$DG5)&gt;0,($DA5)/($DJ5-$DD5-$DG5),""),"")</f>
        <v/>
      </c>
      <c r="DW5" s="67">
        <f>IFERROR(IF(($DK5-$DE5-$DH5)&gt;0,($DB5)/($DK5-$DE5-$DH5),""),"")</f>
        <v/>
      </c>
      <c r="DX5" s="67">
        <f>IFERROR(IF(($DL5-$DF5-$DI5)&gt;0,($DC5)/($DL5-$DF5-$DI5),""),"")</f>
        <v/>
      </c>
      <c r="DY5" s="55">
        <f>SUMIFS(tblPlant[Cyanide_kg],tblPlant[Date],$A5)</f>
        <v/>
      </c>
      <c r="DZ5" s="55">
        <f>IF($B5=$B4,$DZ4,0)+$DY5</f>
        <v/>
      </c>
      <c r="EA5" s="55">
        <f>$EA4+$DY5</f>
        <v/>
      </c>
      <c r="EB5" s="55">
        <f>SUMIFS(tblPlant[Lime_kg],tblPlant[Date],$A5)</f>
        <v/>
      </c>
      <c r="EC5" s="55">
        <f>IF($B5=$B4,$EC4,0)+$EB5</f>
        <v/>
      </c>
      <c r="ED5" s="55">
        <f>$ED4+$EB5</f>
        <v/>
      </c>
      <c r="EE5" s="55">
        <f>SUMIFS(tblPlant[Grinding_Media_kg],tblPlant[Date],$A5)</f>
        <v/>
      </c>
      <c r="EF5" s="55">
        <f>IF($B5=$B4,$EF4,0)+$EE5</f>
        <v/>
      </c>
      <c r="EG5" s="55">
        <f>$EG4+$EE5</f>
        <v/>
      </c>
      <c r="EH5" s="55">
        <f>SUMIFS(tblPlant[Power_kWh],tblPlant[Date],$A5)</f>
        <v/>
      </c>
      <c r="EI5" s="55">
        <f>IF($B5=$B4,$EI4,0)+$EH5</f>
        <v/>
      </c>
      <c r="EJ5" s="55">
        <f>$EJ4+$EH5</f>
        <v/>
      </c>
      <c r="EK5" s="55">
        <f>SUMIFS(tblPlant[Raw_Water_m3],tblPlant[Date],$A5)</f>
        <v/>
      </c>
      <c r="EL5" s="55">
        <f>IF($B5=$B4,$EL4,0)+$EK5</f>
        <v/>
      </c>
      <c r="EM5" s="55">
        <f>$EM4+$EK5</f>
        <v/>
      </c>
      <c r="EN5" s="56">
        <f>IFERROR(IF(($BZ5)&gt;0,($DY5)/($BZ5),""),"")</f>
        <v/>
      </c>
      <c r="EO5" s="56">
        <f>IFERROR(IF(($CA5)&gt;0,($DZ5)/($CA5),""),"")</f>
        <v/>
      </c>
      <c r="EP5" s="56">
        <f>IFERROR(IF(($CB5)&gt;0,($EA5)/($CB5),""),"")</f>
        <v/>
      </c>
      <c r="EQ5" s="56">
        <f>IFERROR(IF(($BZ5)&gt;0,($EB5)/($BZ5),""),"")</f>
        <v/>
      </c>
      <c r="ER5" s="56">
        <f>IFERROR(IF(($CA5)&gt;0,($EC5)/($CA5),""),"")</f>
        <v/>
      </c>
      <c r="ES5" s="56">
        <f>IFERROR(IF(($CB5)&gt;0,($ED5)/($CB5),""),"")</f>
        <v/>
      </c>
      <c r="ET5" s="56">
        <f>IFERROR(IF(($BZ5)&gt;0,($EE5)/($BZ5),""),"")</f>
        <v/>
      </c>
      <c r="EU5" s="56">
        <f>IFERROR(IF(($CA5)&gt;0,($EF5)/($CA5),""),"")</f>
        <v/>
      </c>
      <c r="EV5" s="56">
        <f>IFERROR(IF(($CB5)&gt;0,($EG5)/($CB5),""),"")</f>
        <v/>
      </c>
      <c r="EW5" s="76">
        <f>IFERROR(IF(($BZ5)&gt;0,($EH5)/($BZ5),""),"")</f>
        <v/>
      </c>
      <c r="EX5" s="76">
        <f>IFERROR(IF(($CA5)&gt;0,($EI5)/($CA5),""),"")</f>
        <v/>
      </c>
      <c r="EY5" s="76">
        <f>IFERROR(IF(($CB5)&gt;0,($EJ5)/($CB5),""),"")</f>
        <v/>
      </c>
      <c r="EZ5" s="56">
        <f>IFERROR(IF(($BZ5)&gt;0,($EK5)/($BZ5),""),"")</f>
        <v/>
      </c>
      <c r="FA5" s="56">
        <f>IFERROR(IF(($CA5)&gt;0,($EL5)/($CA5),""),"")</f>
        <v/>
      </c>
      <c r="FB5" s="56">
        <f>IFERROR(IF(($CB5)&gt;0,($EM5)/($CB5),""),"")</f>
        <v/>
      </c>
      <c r="FC5" s="55">
        <f>IF(SUMIFS(tblPlant[GIC_oz],tblPlant[Date],$A5)&gt;0,SUMIFS(tblPlant[GIC_oz],tblPlant[Date],$A5),"")</f>
        <v/>
      </c>
      <c r="FD5" s="55">
        <f>SUMIFS(tblGold[Gold_oz],tblGold[Date],$A5,tblGold[Type],"Shipment")</f>
        <v/>
      </c>
      <c r="FE5" s="55">
        <f>IF($B5=$B4,$FE4,0)+$FD5</f>
        <v/>
      </c>
      <c r="FF5" s="55">
        <f>$FF4+$FD5</f>
        <v/>
      </c>
      <c r="FG5" s="55">
        <f>SUMIFS(tblGold[Gold_oz],tblGold[Date],$A5,tblGold[Type],"Sale")</f>
        <v/>
      </c>
      <c r="FH5" s="55">
        <f>IF($B5=$B4,$FH4,0)+$FG5</f>
        <v/>
      </c>
      <c r="FI5" s="55">
        <f>$FI4+$FG5</f>
        <v/>
      </c>
      <c r="FJ5" s="55">
        <f>SUMIFS(tblGold[Dore_kg],tblGold[Date],$A5,tblGold[Type],"Shipment")</f>
        <v/>
      </c>
      <c r="FK5" s="55">
        <f>IF($B5=$B4,$FK4,0)+$FJ5</f>
        <v/>
      </c>
      <c r="FL5" s="55">
        <f>$FL4+$FJ5</f>
        <v/>
      </c>
      <c r="FM5" s="57">
        <f>SUMIFS(tblSafety[Hours_Total],tblSafety[Date],$A5)</f>
        <v/>
      </c>
      <c r="FN5" s="57">
        <f>IF($B5=$B4,$FN4,0)+$FM5</f>
        <v/>
      </c>
      <c r="FO5" s="57">
        <f>$FO4+$FM5</f>
        <v/>
      </c>
      <c r="FP5" s="62">
        <f>SUMIFS(tblSafety[Fatality],tblSafety[Date],$A5)</f>
        <v/>
      </c>
      <c r="FQ5" s="62">
        <f>IF($B5=$B4,$FQ4,0)+$FP5</f>
        <v/>
      </c>
      <c r="FR5" s="62">
        <f>$FR4+$FP5</f>
        <v/>
      </c>
      <c r="FS5" s="62">
        <f>SUMIFS(tblSafety[LTI],tblSafety[Date],$A5)</f>
        <v/>
      </c>
      <c r="FT5" s="62">
        <f>IF($B5=$B4,$FT4,0)+$FS5</f>
        <v/>
      </c>
      <c r="FU5" s="62">
        <f>$FU4+$FS5</f>
        <v/>
      </c>
      <c r="FV5" s="62">
        <f>SUMIFS(tblSafety[RWI],tblSafety[Date],$A5)</f>
        <v/>
      </c>
      <c r="FW5" s="62">
        <f>IF($B5=$B4,$FW4,0)+$FV5</f>
        <v/>
      </c>
      <c r="FX5" s="62">
        <f>$FX4+$FV5</f>
        <v/>
      </c>
      <c r="FY5" s="62">
        <f>SUMIFS(tblSafety[MTI],tblSafety[Date],$A5)</f>
        <v/>
      </c>
      <c r="FZ5" s="62">
        <f>IF($B5=$B4,$FZ4,0)+$FY5</f>
        <v/>
      </c>
      <c r="GA5" s="62">
        <f>$GA4+$FY5</f>
        <v/>
      </c>
      <c r="GB5" s="62">
        <f>SUMIFS(tblSafety[FAI],tblSafety[Date],$A5)</f>
        <v/>
      </c>
      <c r="GC5" s="62">
        <f>IF($B5=$B4,$GC4,0)+$GB5</f>
        <v/>
      </c>
      <c r="GD5" s="62">
        <f>$GD4+$GB5</f>
        <v/>
      </c>
      <c r="GE5" s="62">
        <f>SUMIFS(tblSafety[Recordables],tblSafety[Date],$A5)</f>
        <v/>
      </c>
      <c r="GF5" s="62">
        <f>IF($B5=$B4,$GF4,0)+$GE5</f>
        <v/>
      </c>
      <c r="GG5" s="62">
        <f>$GG4+$GE5</f>
        <v/>
      </c>
      <c r="GH5" s="62">
        <f>SUMIFS(tblSafety[Near_Miss],tblSafety[Date],$A5)</f>
        <v/>
      </c>
      <c r="GI5" s="62">
        <f>IF($B5=$B4,$GI4,0)+$GH5</f>
        <v/>
      </c>
      <c r="GJ5" s="62">
        <f>$GJ4+$GH5</f>
        <v/>
      </c>
      <c r="GK5" s="62">
        <f>SUMIFS(tblSafety[Hazard_Reports],tblSafety[Date],$A5)</f>
        <v/>
      </c>
      <c r="GL5" s="62">
        <f>IF($B5=$B4,$GL4,0)+$GK5</f>
        <v/>
      </c>
      <c r="GM5" s="62">
        <f>$GM4+$GK5</f>
        <v/>
      </c>
      <c r="GN5" s="62">
        <f>SUMIFS(tblSafety[HPI],tblSafety[Date],$A5)</f>
        <v/>
      </c>
      <c r="GO5" s="62">
        <f>IF($B5=$B4,$GO4,0)+$GN5</f>
        <v/>
      </c>
      <c r="GP5" s="62">
        <f>$GP4+$GN5</f>
        <v/>
      </c>
      <c r="GQ5" s="62">
        <f>SUMIFS(tblSafety[Env_Incidents],tblSafety[Date],$A5)</f>
        <v/>
      </c>
      <c r="GR5" s="62">
        <f>IF($B5=$B4,$GR4,0)+$GQ5</f>
        <v/>
      </c>
      <c r="GS5" s="62">
        <f>$GS4+$GQ5</f>
        <v/>
      </c>
      <c r="GT5" s="62">
        <f>SUMIFS(tblSafety[Community_Incidents],tblSafety[Date],$A5)</f>
        <v/>
      </c>
      <c r="GU5" s="62">
        <f>IF($B5=$B4,$GU4,0)+$GT5</f>
        <v/>
      </c>
      <c r="GV5" s="62">
        <f>$GV4+$GT5</f>
        <v/>
      </c>
      <c r="GW5" s="62">
        <f>SUMIFS(tblSafety[Vehicle_Incidents],tblSafety[Date],$A5)</f>
        <v/>
      </c>
      <c r="GX5" s="62">
        <f>IF($B5=$B4,$GX4,0)+$GW5</f>
        <v/>
      </c>
      <c r="GY5" s="62">
        <f>$GY4+$GW5</f>
        <v/>
      </c>
      <c r="GZ5" s="62">
        <f>SUMIFS(tblSafety[Toolbox_Talks],tblSafety[Date],$A5)</f>
        <v/>
      </c>
      <c r="HA5" s="62">
        <f>IF($B5=$B4,$HA4,0)+$GZ5</f>
        <v/>
      </c>
      <c r="HB5" s="62">
        <f>$HB4+$GZ5</f>
        <v/>
      </c>
      <c r="HC5" s="62">
        <f>SUMIFS(tblSafety[Inspections],tblSafety[Date],$A5)</f>
        <v/>
      </c>
      <c r="HD5" s="62">
        <f>IF($B5=$B4,$HD4,0)+$HC5</f>
        <v/>
      </c>
      <c r="HE5" s="62">
        <f>$HE4+$HC5</f>
        <v/>
      </c>
      <c r="HF5" s="56">
        <f>IFERROR((SUMIFS(tblSafety[Recordables],tblSafety[Date],"&gt;="&amp;EDATE($E5,-12),tblSafety[Date],"&lt;="&amp;$A5)+SUMIFS(tblSafetyHistory[Recordables],tblSafetyHistory[Month],"&gt;="&amp;EDATE($E5,-12),tblSafetyHistory[Month],"&lt;"&amp;cfg_YearStart))/(SUMIFS(tblSafety[Hours_Total],tblSafety[Date],"&gt;="&amp;EDATE($E5,-12),tblSafety[Date],"&lt;="&amp;$A5)+SUMIFS(tblSafetyHistory[Hours_Total],tblSafetyHistory[Month],"&gt;="&amp;EDATE($E5,-12),tblSafetyHistory[Month],"&lt;"&amp;cfg_YearStart))*1000000,"")</f>
        <v/>
      </c>
      <c r="HG5" s="56">
        <f>IFERROR((SUMIFS(tblSafety[LTI],tblSafety[Date],"&gt;="&amp;EDATE($E5,-12),tblSafety[Date],"&lt;="&amp;$A5)+SUMIFS(tblSafetyHistory[LTI],tblSafetyHistory[Month],"&gt;="&amp;EDATE($E5,-12),tblSafetyHistory[Month],"&lt;"&amp;cfg_YearStart))/(SUMIFS(tblSafety[Hours_Total],tblSafety[Date],"&gt;="&amp;EDATE($E5,-12),tblSafety[Date],"&lt;="&amp;$A5)+SUMIFS(tblSafetyHistory[Hours_Total],tblSafetyHistory[Month],"&gt;="&amp;EDATE($E5,-12),tblSafetyHistory[Month],"&lt;"&amp;cfg_YearStart))*1000000,"")</f>
        <v/>
      </c>
      <c r="HH5" s="62">
        <f>IF(MAX(N(cfg_PriorLTIDate),_xlfn.MAXIFS(tblSafety[Date],tblSafety[LTI],"&gt;0",tblSafety[Date],"&lt;="&amp;$A5))=0,"",$A5-MAX(N(cfg_PriorLTIDate),_xlfn.MAXIFS(tblSafety[Date],tblSafety[LTI],"&gt;0",tblSafety[Date],"&lt;="&amp;$A5)))</f>
        <v/>
      </c>
      <c r="HI5" s="55">
        <f>SUMIFS(tblBudget[Ore_Mined_t],tblBudget[Month],$E5)</f>
        <v/>
      </c>
      <c r="HJ5" s="55">
        <f>$HI5*$C5/$D5</f>
        <v/>
      </c>
      <c r="HK5" s="55">
        <f>SUMIFS(tblBudget[Ore_Mined_t],tblBudget[Month],"&lt;"&amp;$E5)+$HJ5</f>
        <v/>
      </c>
      <c r="HL5" s="55">
        <f>SUMIFS(tblBudget[Ore_oz],tblBudget[Month],$E5)</f>
        <v/>
      </c>
      <c r="HM5" s="55">
        <f>$HL5*$C5/$D5</f>
        <v/>
      </c>
      <c r="HN5" s="55">
        <f>SUMIFS(tblBudget[Ore_oz],tblBudget[Month],"&lt;"&amp;$E5)+$HM5</f>
        <v/>
      </c>
      <c r="HO5" s="56">
        <f>IFERROR(IF(($HI5)&gt;0,($HL5*cfg_TroyOz)/($HI5),""),"")</f>
        <v/>
      </c>
      <c r="HP5" s="56">
        <f>IFERROR(IF(($HJ5)&gt;0,($HM5*cfg_TroyOz)/($HJ5),""),"")</f>
        <v/>
      </c>
      <c r="HQ5" s="56">
        <f>IFERROR(IF(($HK5)&gt;0,($HN5*cfg_TroyOz)/($HK5),""),"")</f>
        <v/>
      </c>
      <c r="HR5" s="55">
        <f>SUMIFS(tblBudget[Waste_t],tblBudget[Month],$E5)</f>
        <v/>
      </c>
      <c r="HS5" s="55">
        <f>$HR5*$C5/$D5</f>
        <v/>
      </c>
      <c r="HT5" s="55">
        <f>SUMIFS(tblBudget[Waste_t],tblBudget[Month],"&lt;"&amp;$E5)+$HS5</f>
        <v/>
      </c>
      <c r="HU5" s="55">
        <f>SUMIFS(tblBudget[TMM_t],tblBudget[Month],$E5)</f>
        <v/>
      </c>
      <c r="HV5" s="55">
        <f>$HU5*$C5/$D5</f>
        <v/>
      </c>
      <c r="HW5" s="55">
        <f>SUMIFS(tblBudget[TMM_t],tblBudget[Month],"&lt;"&amp;$E5)+$HV5</f>
        <v/>
      </c>
      <c r="HX5" s="56">
        <f>IFERROR(IF(($HI5)&gt;0,($HR5)/($HI5),""),"")</f>
        <v/>
      </c>
      <c r="HY5" s="56">
        <f>IFERROR(IF(($HJ5)&gt;0,($HS5)/($HJ5),""),"")</f>
        <v/>
      </c>
      <c r="HZ5" s="56">
        <f>IFERROR(IF(($HK5)&gt;0,($HT5)/($HK5),""),"")</f>
        <v/>
      </c>
      <c r="IA5" s="55">
        <f>SUMIFS(tblBudget[Drill_m],tblBudget[Month],$E5)</f>
        <v/>
      </c>
      <c r="IB5" s="55">
        <f>$IA5*$C5/$D5</f>
        <v/>
      </c>
      <c r="IC5" s="55">
        <f>SUMIFS(tblBudget[Drill_m],tblBudget[Month],"&lt;"&amp;$E5)+$IB5</f>
        <v/>
      </c>
      <c r="ID5" s="55">
        <f>SUMIFS(tblBudget[Diesel_L],tblBudget[Month],$E5)</f>
        <v/>
      </c>
      <c r="IE5" s="55">
        <f>$ID5*$C5/$D5</f>
        <v/>
      </c>
      <c r="IF5" s="55">
        <f>SUMIFS(tblBudget[Diesel_L],tblBudget[Month],"&lt;"&amp;$E5)+$IE5</f>
        <v/>
      </c>
      <c r="IG5" s="55">
        <f>SUMIFS(tblBudget[Milled_t],tblBudget[Month],$E5)</f>
        <v/>
      </c>
      <c r="IH5" s="55">
        <f>$IG5*$C5/$D5</f>
        <v/>
      </c>
      <c r="II5" s="55">
        <f>SUMIFS(tblBudget[Milled_t],tblBudget[Month],"&lt;"&amp;$E5)+$IH5</f>
        <v/>
      </c>
      <c r="IJ5" s="55">
        <f>SUMIFS(tblBudget[Feed_oz],tblBudget[Month],$E5)</f>
        <v/>
      </c>
      <c r="IK5" s="55">
        <f>$IJ5*$C5/$D5</f>
        <v/>
      </c>
      <c r="IL5" s="55">
        <f>SUMIFS(tblBudget[Feed_oz],tblBudget[Month],"&lt;"&amp;$E5)+$IK5</f>
        <v/>
      </c>
      <c r="IM5" s="55">
        <f>SUMIFS(tblBudget[Recovered_oz],tblBudget[Month],$E5)</f>
        <v/>
      </c>
      <c r="IN5" s="55">
        <f>$IM5*$C5/$D5</f>
        <v/>
      </c>
      <c r="IO5" s="55">
        <f>SUMIFS(tblBudget[Recovered_oz],tblBudget[Month],"&lt;"&amp;$E5)+$IN5</f>
        <v/>
      </c>
      <c r="IP5" s="56">
        <f>IFERROR(IF(($IG5)&gt;0,($IJ5*cfg_TroyOz)/($IG5),""),"")</f>
        <v/>
      </c>
      <c r="IQ5" s="56">
        <f>IFERROR(IF(($IH5)&gt;0,($IK5*cfg_TroyOz)/($IH5),""),"")</f>
        <v/>
      </c>
      <c r="IR5" s="56">
        <f>IFERROR(IF(($II5)&gt;0,($IL5*cfg_TroyOz)/($II5),""),"")</f>
        <v/>
      </c>
      <c r="IS5" s="67">
        <f>IFERROR(IF(($IJ5)&gt;0,($IM5)/($IJ5),""),"")</f>
        <v/>
      </c>
      <c r="IT5" s="67">
        <f>IFERROR(IF(($IK5)&gt;0,($IN5)/($IK5),""),"")</f>
        <v/>
      </c>
      <c r="IU5" s="67">
        <f>IFERROR(IF(($IL5)&gt;0,($IO5)/($IL5),""),"")</f>
        <v/>
      </c>
      <c r="IV5" s="55">
        <f>SUMIFS(tblBudget[Gold_Poured_oz],tblBudget[Month],$E5)</f>
        <v/>
      </c>
      <c r="IW5" s="55">
        <f>$IV5*$C5/$D5</f>
        <v/>
      </c>
      <c r="IX5" s="55">
        <f>SUMIFS(tblBudget[Gold_Poured_oz],tblBudget[Month],"&lt;"&amp;$E5)+$IW5</f>
        <v/>
      </c>
      <c r="IY5" s="57">
        <f>SUMIFS(tblBudget[Hours_Worked],tblBudget[Month],$E5)</f>
        <v/>
      </c>
      <c r="IZ5" s="57">
        <f>$IY5*$C5/$D5</f>
        <v/>
      </c>
      <c r="JA5" s="57">
        <f>SUMIFS(tblBudget[Hours_Worked],tblBudget[Month],"&lt;"&amp;$E5)+$IZ5</f>
        <v/>
      </c>
    </row>
    <row r="6">
      <c r="A6" s="54" t="n">
        <v>46027</v>
      </c>
      <c r="B6">
        <f>MONTH($A6)</f>
        <v/>
      </c>
      <c r="C6">
        <f>DAY($A6)</f>
        <v/>
      </c>
      <c r="D6">
        <f>DAY(EOMONTH($A6,0))</f>
        <v/>
      </c>
      <c r="E6" s="54">
        <f>DATE(YEAR($A6),MONTH($A6),1)</f>
        <v/>
      </c>
      <c r="F6" s="55">
        <f>SUMIFS(tblMovement[Tonnes_t],tblMovement[Date],$A6,tblMovement[Is_Ore],1,tblMovement[Source_Type],"Pit")</f>
        <v/>
      </c>
      <c r="G6" s="55">
        <f>IF($B6=$B5,$G5,0)+$F6</f>
        <v/>
      </c>
      <c r="H6" s="55">
        <f>$H5+$F6</f>
        <v/>
      </c>
      <c r="I6" s="55">
        <f>SUMIFS(tblMovement[Ore_oz],tblMovement[Date],$A6,tblMovement[Source_Type],"Pit")</f>
        <v/>
      </c>
      <c r="J6" s="55">
        <f>IF($B6=$B5,$J5,0)+$I6</f>
        <v/>
      </c>
      <c r="K6" s="55">
        <f>$K5+$I6</f>
        <v/>
      </c>
      <c r="L6" s="56">
        <f>IFERROR(IF(($F6)&gt;0,($I6*cfg_TroyOz)/($F6),""),"")</f>
        <v/>
      </c>
      <c r="M6" s="56">
        <f>IFERROR(IF(($G6)&gt;0,($J6*cfg_TroyOz)/($G6),""),"")</f>
        <v/>
      </c>
      <c r="N6" s="56">
        <f>IFERROR(IF(($H6)&gt;0,($K6*cfg_TroyOz)/($H6),""),"")</f>
        <v/>
      </c>
      <c r="O6" s="55">
        <f>SUMIFS(tblMovement[Tonnes_t],tblMovement[Date],$A6,tblMovement[Is_Ore],0,tblMovement[Source_Type],"Pit")</f>
        <v/>
      </c>
      <c r="P6" s="55">
        <f>IF($B6=$B5,$P5,0)+$O6</f>
        <v/>
      </c>
      <c r="Q6" s="55">
        <f>$Q5+$O6</f>
        <v/>
      </c>
      <c r="R6" s="55">
        <f>$F6+$O6</f>
        <v/>
      </c>
      <c r="S6" s="55">
        <f>IF($B6=$B5,$S5,0)+$R6</f>
        <v/>
      </c>
      <c r="T6" s="55">
        <f>$T5+$R6</f>
        <v/>
      </c>
      <c r="U6" s="56">
        <f>IFERROR(IF(($F6)&gt;0,($O6)/($F6),""),"")</f>
        <v/>
      </c>
      <c r="V6" s="56">
        <f>IFERROR(IF(($G6)&gt;0,($P6)/($G6),""),"")</f>
        <v/>
      </c>
      <c r="W6" s="56">
        <f>IFERROR(IF(($H6)&gt;0,($Q6)/($H6),""),"")</f>
        <v/>
      </c>
      <c r="X6" s="55">
        <f>SUMIFS(tblMovement[Tonnes_t],tblMovement[Date],$A6,tblMovement[Source_Type],"Stockpile")</f>
        <v/>
      </c>
      <c r="Y6" s="55">
        <f>IF($B6=$B5,$Y5,0)+$X6</f>
        <v/>
      </c>
      <c r="Z6" s="55">
        <f>$Z5+$X6</f>
        <v/>
      </c>
      <c r="AA6" s="55">
        <f>SUMIFS(tblMiningDaily[Drill_m],tblMiningDaily[Date],$A6)</f>
        <v/>
      </c>
      <c r="AB6" s="55">
        <f>IF($B6=$B5,$AB5,0)+$AA6</f>
        <v/>
      </c>
      <c r="AC6" s="55">
        <f>$AC5+$AA6</f>
        <v/>
      </c>
      <c r="AD6" s="55">
        <f>SUMIFS(tblMiningDaily[Blast_t],tblMiningDaily[Date],$A6)</f>
        <v/>
      </c>
      <c r="AE6" s="55">
        <f>IF($B6=$B5,$AE5,0)+$AD6</f>
        <v/>
      </c>
      <c r="AF6" s="55">
        <f>$AF5+$AD6</f>
        <v/>
      </c>
      <c r="AG6" s="55">
        <f>SUMIFS(tblMiningDaily[Explosives_kg],tblMiningDaily[Date],$A6)</f>
        <v/>
      </c>
      <c r="AH6" s="55">
        <f>IF($B6=$B5,$AH5,0)+$AG6</f>
        <v/>
      </c>
      <c r="AI6" s="55">
        <f>$AI5+$AG6</f>
        <v/>
      </c>
      <c r="AJ6" s="56">
        <f>IFERROR(IF(($AD6)&gt;0,($AG6)/($AD6),""),"")</f>
        <v/>
      </c>
      <c r="AK6" s="56">
        <f>IFERROR(IF(($AE6)&gt;0,($AH6)/($AE6),""),"")</f>
        <v/>
      </c>
      <c r="AL6" s="56">
        <f>IFERROR(IF(($AF6)&gt;0,($AI6)/($AF6),""),"")</f>
        <v/>
      </c>
      <c r="AM6" s="55">
        <f>SUMIFS(tblMiningDaily[Diesel_L],tblMiningDaily[Date],$A6)</f>
        <v/>
      </c>
      <c r="AN6" s="55">
        <f>IF($B6=$B5,$AN5,0)+$AM6</f>
        <v/>
      </c>
      <c r="AO6" s="55">
        <f>$AO5+$AM6</f>
        <v/>
      </c>
      <c r="AP6" s="55">
        <f>SUMIFS(tblMiningDaily[Dewatering_m3],tblMiningDaily[Date],$A6)</f>
        <v/>
      </c>
      <c r="AQ6" s="55">
        <f>IF($B6=$B5,$AQ5,0)+$AP6</f>
        <v/>
      </c>
      <c r="AR6" s="55">
        <f>$AR5+$AP6</f>
        <v/>
      </c>
      <c r="AS6" s="57">
        <f>SUMIFS(tblFleet[Calendar_h],tblFleet[Date],$A6,tblFleet[Equipment_Class],"Excavator")</f>
        <v/>
      </c>
      <c r="AT6" s="57">
        <f>IF($B6=$B5,$AT5,0)+$AS6</f>
        <v/>
      </c>
      <c r="AU6" s="57">
        <f>$AU5+$AS6</f>
        <v/>
      </c>
      <c r="AV6" s="57">
        <f>SUMIFS(tblFleet[Available_h],tblFleet[Date],$A6,tblFleet[Equipment_Class],"Excavator")</f>
        <v/>
      </c>
      <c r="AW6" s="57">
        <f>IF($B6=$B5,$AW5,0)+$AV6</f>
        <v/>
      </c>
      <c r="AX6" s="57">
        <f>$AX5+$AV6</f>
        <v/>
      </c>
      <c r="AY6" s="57">
        <f>SUMIFS(tblFleet[Operating_h],tblFleet[Date],$A6,tblFleet[Equipment_Class],"Excavator")</f>
        <v/>
      </c>
      <c r="AZ6" s="57">
        <f>IF($B6=$B5,$AZ5,0)+$AY6</f>
        <v/>
      </c>
      <c r="BA6" s="57">
        <f>$BA5+$AY6</f>
        <v/>
      </c>
      <c r="BB6" s="67">
        <f>IFERROR(IF(($AS6)&gt;0,($AV6)/($AS6),""),"")</f>
        <v/>
      </c>
      <c r="BC6" s="67">
        <f>IFERROR(IF(($AT6)&gt;0,($AW6)/($AT6),""),"")</f>
        <v/>
      </c>
      <c r="BD6" s="67">
        <f>IFERROR(IF(($AU6)&gt;0,($AX6)/($AU6),""),"")</f>
        <v/>
      </c>
      <c r="BE6" s="67">
        <f>IFERROR(IF(($AV6)&gt;0,($AY6)/($AV6),""),"")</f>
        <v/>
      </c>
      <c r="BF6" s="67">
        <f>IFERROR(IF(($AW6)&gt;0,($AZ6)/($AW6),""),"")</f>
        <v/>
      </c>
      <c r="BG6" s="67">
        <f>IFERROR(IF(($AX6)&gt;0,($BA6)/($AX6),""),"")</f>
        <v/>
      </c>
      <c r="BH6" s="57">
        <f>SUMIFS(tblFleet[Calendar_h],tblFleet[Date],$A6,tblFleet[Equipment_Class],"Haul Truck")</f>
        <v/>
      </c>
      <c r="BI6" s="57">
        <f>IF($B6=$B5,$BI5,0)+$BH6</f>
        <v/>
      </c>
      <c r="BJ6" s="57">
        <f>$BJ5+$BH6</f>
        <v/>
      </c>
      <c r="BK6" s="57">
        <f>SUMIFS(tblFleet[Available_h],tblFleet[Date],$A6,tblFleet[Equipment_Class],"Haul Truck")</f>
        <v/>
      </c>
      <c r="BL6" s="57">
        <f>IF($B6=$B5,$BL5,0)+$BK6</f>
        <v/>
      </c>
      <c r="BM6" s="57">
        <f>$BM5+$BK6</f>
        <v/>
      </c>
      <c r="BN6" s="57">
        <f>SUMIFS(tblFleet[Operating_h],tblFleet[Date],$A6,tblFleet[Equipment_Class],"Haul Truck")</f>
        <v/>
      </c>
      <c r="BO6" s="57">
        <f>IF($B6=$B5,$BO5,0)+$BN6</f>
        <v/>
      </c>
      <c r="BP6" s="57">
        <f>$BP5+$BN6</f>
        <v/>
      </c>
      <c r="BQ6" s="67">
        <f>IFERROR(IF(($BH6)&gt;0,($BK6)/($BH6),""),"")</f>
        <v/>
      </c>
      <c r="BR6" s="67">
        <f>IFERROR(IF(($BI6)&gt;0,($BL6)/($BI6),""),"")</f>
        <v/>
      </c>
      <c r="BS6" s="67">
        <f>IFERROR(IF(($BJ6)&gt;0,($BM6)/($BJ6),""),"")</f>
        <v/>
      </c>
      <c r="BT6" s="67">
        <f>IFERROR(IF(($BK6)&gt;0,($BN6)/($BK6),""),"")</f>
        <v/>
      </c>
      <c r="BU6" s="67">
        <f>IFERROR(IF(($BL6)&gt;0,($BO6)/($BL6),""),"")</f>
        <v/>
      </c>
      <c r="BV6" s="67">
        <f>IFERROR(IF(($BM6)&gt;0,($BP6)/($BM6),""),"")</f>
        <v/>
      </c>
      <c r="BW6" s="55">
        <f>SUMIFS(tblPlant[Crushed_t],tblPlant[Date],$A6)</f>
        <v/>
      </c>
      <c r="BX6" s="55">
        <f>IF($B6=$B5,$BX5,0)+$BW6</f>
        <v/>
      </c>
      <c r="BY6" s="55">
        <f>$BY5+$BW6</f>
        <v/>
      </c>
      <c r="BZ6" s="55">
        <f>SUMIFS(tblPlant[Milled_t],tblPlant[Date],$A6)</f>
        <v/>
      </c>
      <c r="CA6" s="55">
        <f>IF($B6=$B5,$CA5,0)+$BZ6</f>
        <v/>
      </c>
      <c r="CB6" s="55">
        <f>$CB5+$BZ6</f>
        <v/>
      </c>
      <c r="CC6" s="55">
        <f>SUMIFS(tblPlant[Feed_oz],tblPlant[Date],$A6)</f>
        <v/>
      </c>
      <c r="CD6" s="55">
        <f>IF($B6=$B5,$CD5,0)+$CC6</f>
        <v/>
      </c>
      <c r="CE6" s="55">
        <f>$CE5+$CC6</f>
        <v/>
      </c>
      <c r="CF6" s="55">
        <f>SUMIFS(tblPlant[Tails_oz],tblPlant[Date],$A6)</f>
        <v/>
      </c>
      <c r="CG6" s="55">
        <f>IF($B6=$B5,$CG5,0)+$CF6</f>
        <v/>
      </c>
      <c r="CH6" s="55">
        <f>$CH5+$CF6</f>
        <v/>
      </c>
      <c r="CI6" s="55">
        <f>SUMIFS(tblPlant[Recovered_oz],tblPlant[Date],$A6)</f>
        <v/>
      </c>
      <c r="CJ6" s="55">
        <f>IF($B6=$B5,$CJ5,0)+$CI6</f>
        <v/>
      </c>
      <c r="CK6" s="55">
        <f>$CK5+$CI6</f>
        <v/>
      </c>
      <c r="CL6" s="56">
        <f>IFERROR(IF(($BZ6)&gt;0,($CC6*cfg_TroyOz)/($BZ6),""),"")</f>
        <v/>
      </c>
      <c r="CM6" s="56">
        <f>IFERROR(IF(($CA6)&gt;0,($CD6*cfg_TroyOz)/($CA6),""),"")</f>
        <v/>
      </c>
      <c r="CN6" s="56">
        <f>IFERROR(IF(($CB6)&gt;0,($CE6*cfg_TroyOz)/($CB6),""),"")</f>
        <v/>
      </c>
      <c r="CO6" s="56">
        <f>IFERROR(IF(($BZ6)&gt;0,($CF6*cfg_TroyOz)/($BZ6),""),"")</f>
        <v/>
      </c>
      <c r="CP6" s="56">
        <f>IFERROR(IF(($CA6)&gt;0,($CG6*cfg_TroyOz)/($CA6),""),"")</f>
        <v/>
      </c>
      <c r="CQ6" s="56">
        <f>IFERROR(IF(($CB6)&gt;0,($CH6*cfg_TroyOz)/($CB6),""),"")</f>
        <v/>
      </c>
      <c r="CR6" s="67">
        <f>IFERROR(IF(($CC6)&gt;0,($CI6)/($CC6),""),"")</f>
        <v/>
      </c>
      <c r="CS6" s="67">
        <f>IFERROR(IF(($CD6)&gt;0,($CJ6)/($CD6),""),"")</f>
        <v/>
      </c>
      <c r="CT6" s="67">
        <f>IFERROR(IF(($CE6)&gt;0,($CK6)/($CE6),""),"")</f>
        <v/>
      </c>
      <c r="CU6" s="55">
        <f>SUMIFS(tblPlant[Gravity_Gold_oz],tblPlant[Date],$A6)</f>
        <v/>
      </c>
      <c r="CV6" s="55">
        <f>IF($B6=$B5,$CV5,0)+$CU6</f>
        <v/>
      </c>
      <c r="CW6" s="55">
        <f>$CW5+$CU6</f>
        <v/>
      </c>
      <c r="CX6" s="55">
        <f>SUMIFS(tblPlant[Gold_Poured_oz],tblPlant[Date],$A6)</f>
        <v/>
      </c>
      <c r="CY6" s="55">
        <f>IF($B6=$B5,$CY5,0)+$CX6</f>
        <v/>
      </c>
      <c r="CZ6" s="55">
        <f>$CZ5+$CX6</f>
        <v/>
      </c>
      <c r="DA6" s="57">
        <f>SUMIFS(tblPlant[Mill_Run_h],tblPlant[Date],$A6)</f>
        <v/>
      </c>
      <c r="DB6" s="57">
        <f>IF($B6=$B5,$DB5,0)+$DA6</f>
        <v/>
      </c>
      <c r="DC6" s="57">
        <f>$DC5+$DA6</f>
        <v/>
      </c>
      <c r="DD6" s="57">
        <f>SUMIFS(tblPlant[Mill_Planned_Maint_h],tblPlant[Date],$A6)</f>
        <v/>
      </c>
      <c r="DE6" s="57">
        <f>IF($B6=$B5,$DE5,0)+$DD6</f>
        <v/>
      </c>
      <c r="DF6" s="57">
        <f>$DF5+$DD6</f>
        <v/>
      </c>
      <c r="DG6" s="57">
        <f>SUMIFS(tblPlant[Mill_Unplanned_Down_h],tblPlant[Date],$A6)</f>
        <v/>
      </c>
      <c r="DH6" s="57">
        <f>IF($B6=$B5,$DH5,0)+$DG6</f>
        <v/>
      </c>
      <c r="DI6" s="57">
        <f>$DI5+$DG6</f>
        <v/>
      </c>
      <c r="DJ6" s="57">
        <f>COUNTIFS(tblPlant[Date],$A6,tblPlant[Mill_Run_h],"&lt;&gt;")*24</f>
        <v/>
      </c>
      <c r="DK6" s="57">
        <f>IF($B6=$B5,$DK5,0)+$DJ6</f>
        <v/>
      </c>
      <c r="DL6" s="57">
        <f>$DL5+$DJ6</f>
        <v/>
      </c>
      <c r="DM6" s="57">
        <f>SUMIFS(tblPlant[Crusher_Run_h],tblPlant[Date],$A6)</f>
        <v/>
      </c>
      <c r="DN6" s="57">
        <f>IF($B6=$B5,$DN5,0)+$DM6</f>
        <v/>
      </c>
      <c r="DO6" s="57">
        <f>$DO5+$DM6</f>
        <v/>
      </c>
      <c r="DP6" s="55">
        <f>IFERROR(IF(($DA6)&gt;0,($BZ6)/($DA6),""),"")</f>
        <v/>
      </c>
      <c r="DQ6" s="55">
        <f>IFERROR(IF(($DB6)&gt;0,($CA6)/($DB6),""),"")</f>
        <v/>
      </c>
      <c r="DR6" s="55">
        <f>IFERROR(IF(($DC6)&gt;0,($CB6)/($DC6),""),"")</f>
        <v/>
      </c>
      <c r="DS6" s="67">
        <f>IFERROR(IF(($DJ6)&gt;0,($DJ6-$DD6-$DG6)/($DJ6),""),"")</f>
        <v/>
      </c>
      <c r="DT6" s="67">
        <f>IFERROR(IF(($DK6)&gt;0,($DK6-$DE6-$DH6)/($DK6),""),"")</f>
        <v/>
      </c>
      <c r="DU6" s="67">
        <f>IFERROR(IF(($DL6)&gt;0,($DL6-$DF6-$DI6)/($DL6),""),"")</f>
        <v/>
      </c>
      <c r="DV6" s="67">
        <f>IFERROR(IF(($DJ6-$DD6-$DG6)&gt;0,($DA6)/($DJ6-$DD6-$DG6),""),"")</f>
        <v/>
      </c>
      <c r="DW6" s="67">
        <f>IFERROR(IF(($DK6-$DE6-$DH6)&gt;0,($DB6)/($DK6-$DE6-$DH6),""),"")</f>
        <v/>
      </c>
      <c r="DX6" s="67">
        <f>IFERROR(IF(($DL6-$DF6-$DI6)&gt;0,($DC6)/($DL6-$DF6-$DI6),""),"")</f>
        <v/>
      </c>
      <c r="DY6" s="55">
        <f>SUMIFS(tblPlant[Cyanide_kg],tblPlant[Date],$A6)</f>
        <v/>
      </c>
      <c r="DZ6" s="55">
        <f>IF($B6=$B5,$DZ5,0)+$DY6</f>
        <v/>
      </c>
      <c r="EA6" s="55">
        <f>$EA5+$DY6</f>
        <v/>
      </c>
      <c r="EB6" s="55">
        <f>SUMIFS(tblPlant[Lime_kg],tblPlant[Date],$A6)</f>
        <v/>
      </c>
      <c r="EC6" s="55">
        <f>IF($B6=$B5,$EC5,0)+$EB6</f>
        <v/>
      </c>
      <c r="ED6" s="55">
        <f>$ED5+$EB6</f>
        <v/>
      </c>
      <c r="EE6" s="55">
        <f>SUMIFS(tblPlant[Grinding_Media_kg],tblPlant[Date],$A6)</f>
        <v/>
      </c>
      <c r="EF6" s="55">
        <f>IF($B6=$B5,$EF5,0)+$EE6</f>
        <v/>
      </c>
      <c r="EG6" s="55">
        <f>$EG5+$EE6</f>
        <v/>
      </c>
      <c r="EH6" s="55">
        <f>SUMIFS(tblPlant[Power_kWh],tblPlant[Date],$A6)</f>
        <v/>
      </c>
      <c r="EI6" s="55">
        <f>IF($B6=$B5,$EI5,0)+$EH6</f>
        <v/>
      </c>
      <c r="EJ6" s="55">
        <f>$EJ5+$EH6</f>
        <v/>
      </c>
      <c r="EK6" s="55">
        <f>SUMIFS(tblPlant[Raw_Water_m3],tblPlant[Date],$A6)</f>
        <v/>
      </c>
      <c r="EL6" s="55">
        <f>IF($B6=$B5,$EL5,0)+$EK6</f>
        <v/>
      </c>
      <c r="EM6" s="55">
        <f>$EM5+$EK6</f>
        <v/>
      </c>
      <c r="EN6" s="56">
        <f>IFERROR(IF(($BZ6)&gt;0,($DY6)/($BZ6),""),"")</f>
        <v/>
      </c>
      <c r="EO6" s="56">
        <f>IFERROR(IF(($CA6)&gt;0,($DZ6)/($CA6),""),"")</f>
        <v/>
      </c>
      <c r="EP6" s="56">
        <f>IFERROR(IF(($CB6)&gt;0,($EA6)/($CB6),""),"")</f>
        <v/>
      </c>
      <c r="EQ6" s="56">
        <f>IFERROR(IF(($BZ6)&gt;0,($EB6)/($BZ6),""),"")</f>
        <v/>
      </c>
      <c r="ER6" s="56">
        <f>IFERROR(IF(($CA6)&gt;0,($EC6)/($CA6),""),"")</f>
        <v/>
      </c>
      <c r="ES6" s="56">
        <f>IFERROR(IF(($CB6)&gt;0,($ED6)/($CB6),""),"")</f>
        <v/>
      </c>
      <c r="ET6" s="56">
        <f>IFERROR(IF(($BZ6)&gt;0,($EE6)/($BZ6),""),"")</f>
        <v/>
      </c>
      <c r="EU6" s="56">
        <f>IFERROR(IF(($CA6)&gt;0,($EF6)/($CA6),""),"")</f>
        <v/>
      </c>
      <c r="EV6" s="56">
        <f>IFERROR(IF(($CB6)&gt;0,($EG6)/($CB6),""),"")</f>
        <v/>
      </c>
      <c r="EW6" s="76">
        <f>IFERROR(IF(($BZ6)&gt;0,($EH6)/($BZ6),""),"")</f>
        <v/>
      </c>
      <c r="EX6" s="76">
        <f>IFERROR(IF(($CA6)&gt;0,($EI6)/($CA6),""),"")</f>
        <v/>
      </c>
      <c r="EY6" s="76">
        <f>IFERROR(IF(($CB6)&gt;0,($EJ6)/($CB6),""),"")</f>
        <v/>
      </c>
      <c r="EZ6" s="56">
        <f>IFERROR(IF(($BZ6)&gt;0,($EK6)/($BZ6),""),"")</f>
        <v/>
      </c>
      <c r="FA6" s="56">
        <f>IFERROR(IF(($CA6)&gt;0,($EL6)/($CA6),""),"")</f>
        <v/>
      </c>
      <c r="FB6" s="56">
        <f>IFERROR(IF(($CB6)&gt;0,($EM6)/($CB6),""),"")</f>
        <v/>
      </c>
      <c r="FC6" s="55">
        <f>IF(SUMIFS(tblPlant[GIC_oz],tblPlant[Date],$A6)&gt;0,SUMIFS(tblPlant[GIC_oz],tblPlant[Date],$A6),"")</f>
        <v/>
      </c>
      <c r="FD6" s="55">
        <f>SUMIFS(tblGold[Gold_oz],tblGold[Date],$A6,tblGold[Type],"Shipment")</f>
        <v/>
      </c>
      <c r="FE6" s="55">
        <f>IF($B6=$B5,$FE5,0)+$FD6</f>
        <v/>
      </c>
      <c r="FF6" s="55">
        <f>$FF5+$FD6</f>
        <v/>
      </c>
      <c r="FG6" s="55">
        <f>SUMIFS(tblGold[Gold_oz],tblGold[Date],$A6,tblGold[Type],"Sale")</f>
        <v/>
      </c>
      <c r="FH6" s="55">
        <f>IF($B6=$B5,$FH5,0)+$FG6</f>
        <v/>
      </c>
      <c r="FI6" s="55">
        <f>$FI5+$FG6</f>
        <v/>
      </c>
      <c r="FJ6" s="55">
        <f>SUMIFS(tblGold[Dore_kg],tblGold[Date],$A6,tblGold[Type],"Shipment")</f>
        <v/>
      </c>
      <c r="FK6" s="55">
        <f>IF($B6=$B5,$FK5,0)+$FJ6</f>
        <v/>
      </c>
      <c r="FL6" s="55">
        <f>$FL5+$FJ6</f>
        <v/>
      </c>
      <c r="FM6" s="57">
        <f>SUMIFS(tblSafety[Hours_Total],tblSafety[Date],$A6)</f>
        <v/>
      </c>
      <c r="FN6" s="57">
        <f>IF($B6=$B5,$FN5,0)+$FM6</f>
        <v/>
      </c>
      <c r="FO6" s="57">
        <f>$FO5+$FM6</f>
        <v/>
      </c>
      <c r="FP6" s="62">
        <f>SUMIFS(tblSafety[Fatality],tblSafety[Date],$A6)</f>
        <v/>
      </c>
      <c r="FQ6" s="62">
        <f>IF($B6=$B5,$FQ5,0)+$FP6</f>
        <v/>
      </c>
      <c r="FR6" s="62">
        <f>$FR5+$FP6</f>
        <v/>
      </c>
      <c r="FS6" s="62">
        <f>SUMIFS(tblSafety[LTI],tblSafety[Date],$A6)</f>
        <v/>
      </c>
      <c r="FT6" s="62">
        <f>IF($B6=$B5,$FT5,0)+$FS6</f>
        <v/>
      </c>
      <c r="FU6" s="62">
        <f>$FU5+$FS6</f>
        <v/>
      </c>
      <c r="FV6" s="62">
        <f>SUMIFS(tblSafety[RWI],tblSafety[Date],$A6)</f>
        <v/>
      </c>
      <c r="FW6" s="62">
        <f>IF($B6=$B5,$FW5,0)+$FV6</f>
        <v/>
      </c>
      <c r="FX6" s="62">
        <f>$FX5+$FV6</f>
        <v/>
      </c>
      <c r="FY6" s="62">
        <f>SUMIFS(tblSafety[MTI],tblSafety[Date],$A6)</f>
        <v/>
      </c>
      <c r="FZ6" s="62">
        <f>IF($B6=$B5,$FZ5,0)+$FY6</f>
        <v/>
      </c>
      <c r="GA6" s="62">
        <f>$GA5+$FY6</f>
        <v/>
      </c>
      <c r="GB6" s="62">
        <f>SUMIFS(tblSafety[FAI],tblSafety[Date],$A6)</f>
        <v/>
      </c>
      <c r="GC6" s="62">
        <f>IF($B6=$B5,$GC5,0)+$GB6</f>
        <v/>
      </c>
      <c r="GD6" s="62">
        <f>$GD5+$GB6</f>
        <v/>
      </c>
      <c r="GE6" s="62">
        <f>SUMIFS(tblSafety[Recordables],tblSafety[Date],$A6)</f>
        <v/>
      </c>
      <c r="GF6" s="62">
        <f>IF($B6=$B5,$GF5,0)+$GE6</f>
        <v/>
      </c>
      <c r="GG6" s="62">
        <f>$GG5+$GE6</f>
        <v/>
      </c>
      <c r="GH6" s="62">
        <f>SUMIFS(tblSafety[Near_Miss],tblSafety[Date],$A6)</f>
        <v/>
      </c>
      <c r="GI6" s="62">
        <f>IF($B6=$B5,$GI5,0)+$GH6</f>
        <v/>
      </c>
      <c r="GJ6" s="62">
        <f>$GJ5+$GH6</f>
        <v/>
      </c>
      <c r="GK6" s="62">
        <f>SUMIFS(tblSafety[Hazard_Reports],tblSafety[Date],$A6)</f>
        <v/>
      </c>
      <c r="GL6" s="62">
        <f>IF($B6=$B5,$GL5,0)+$GK6</f>
        <v/>
      </c>
      <c r="GM6" s="62">
        <f>$GM5+$GK6</f>
        <v/>
      </c>
      <c r="GN6" s="62">
        <f>SUMIFS(tblSafety[HPI],tblSafety[Date],$A6)</f>
        <v/>
      </c>
      <c r="GO6" s="62">
        <f>IF($B6=$B5,$GO5,0)+$GN6</f>
        <v/>
      </c>
      <c r="GP6" s="62">
        <f>$GP5+$GN6</f>
        <v/>
      </c>
      <c r="GQ6" s="62">
        <f>SUMIFS(tblSafety[Env_Incidents],tblSafety[Date],$A6)</f>
        <v/>
      </c>
      <c r="GR6" s="62">
        <f>IF($B6=$B5,$GR5,0)+$GQ6</f>
        <v/>
      </c>
      <c r="GS6" s="62">
        <f>$GS5+$GQ6</f>
        <v/>
      </c>
      <c r="GT6" s="62">
        <f>SUMIFS(tblSafety[Community_Incidents],tblSafety[Date],$A6)</f>
        <v/>
      </c>
      <c r="GU6" s="62">
        <f>IF($B6=$B5,$GU5,0)+$GT6</f>
        <v/>
      </c>
      <c r="GV6" s="62">
        <f>$GV5+$GT6</f>
        <v/>
      </c>
      <c r="GW6" s="62">
        <f>SUMIFS(tblSafety[Vehicle_Incidents],tblSafety[Date],$A6)</f>
        <v/>
      </c>
      <c r="GX6" s="62">
        <f>IF($B6=$B5,$GX5,0)+$GW6</f>
        <v/>
      </c>
      <c r="GY6" s="62">
        <f>$GY5+$GW6</f>
        <v/>
      </c>
      <c r="GZ6" s="62">
        <f>SUMIFS(tblSafety[Toolbox_Talks],tblSafety[Date],$A6)</f>
        <v/>
      </c>
      <c r="HA6" s="62">
        <f>IF($B6=$B5,$HA5,0)+$GZ6</f>
        <v/>
      </c>
      <c r="HB6" s="62">
        <f>$HB5+$GZ6</f>
        <v/>
      </c>
      <c r="HC6" s="62">
        <f>SUMIFS(tblSafety[Inspections],tblSafety[Date],$A6)</f>
        <v/>
      </c>
      <c r="HD6" s="62">
        <f>IF($B6=$B5,$HD5,0)+$HC6</f>
        <v/>
      </c>
      <c r="HE6" s="62">
        <f>$HE5+$HC6</f>
        <v/>
      </c>
      <c r="HF6" s="56">
        <f>IFERROR((SUMIFS(tblSafety[Recordables],tblSafety[Date],"&gt;="&amp;EDATE($E6,-12),tblSafety[Date],"&lt;="&amp;$A6)+SUMIFS(tblSafetyHistory[Recordables],tblSafetyHistory[Month],"&gt;="&amp;EDATE($E6,-12),tblSafetyHistory[Month],"&lt;"&amp;cfg_YearStart))/(SUMIFS(tblSafety[Hours_Total],tblSafety[Date],"&gt;="&amp;EDATE($E6,-12),tblSafety[Date],"&lt;="&amp;$A6)+SUMIFS(tblSafetyHistory[Hours_Total],tblSafetyHistory[Month],"&gt;="&amp;EDATE($E6,-12),tblSafetyHistory[Month],"&lt;"&amp;cfg_YearStart))*1000000,"")</f>
        <v/>
      </c>
      <c r="HG6" s="56">
        <f>IFERROR((SUMIFS(tblSafety[LTI],tblSafety[Date],"&gt;="&amp;EDATE($E6,-12),tblSafety[Date],"&lt;="&amp;$A6)+SUMIFS(tblSafetyHistory[LTI],tblSafetyHistory[Month],"&gt;="&amp;EDATE($E6,-12),tblSafetyHistory[Month],"&lt;"&amp;cfg_YearStart))/(SUMIFS(tblSafety[Hours_Total],tblSafety[Date],"&gt;="&amp;EDATE($E6,-12),tblSafety[Date],"&lt;="&amp;$A6)+SUMIFS(tblSafetyHistory[Hours_Total],tblSafetyHistory[Month],"&gt;="&amp;EDATE($E6,-12),tblSafetyHistory[Month],"&lt;"&amp;cfg_YearStart))*1000000,"")</f>
        <v/>
      </c>
      <c r="HH6" s="62">
        <f>IF(MAX(N(cfg_PriorLTIDate),_xlfn.MAXIFS(tblSafety[Date],tblSafety[LTI],"&gt;0",tblSafety[Date],"&lt;="&amp;$A6))=0,"",$A6-MAX(N(cfg_PriorLTIDate),_xlfn.MAXIFS(tblSafety[Date],tblSafety[LTI],"&gt;0",tblSafety[Date],"&lt;="&amp;$A6)))</f>
        <v/>
      </c>
      <c r="HI6" s="55">
        <f>SUMIFS(tblBudget[Ore_Mined_t],tblBudget[Month],$E6)</f>
        <v/>
      </c>
      <c r="HJ6" s="55">
        <f>$HI6*$C6/$D6</f>
        <v/>
      </c>
      <c r="HK6" s="55">
        <f>SUMIFS(tblBudget[Ore_Mined_t],tblBudget[Month],"&lt;"&amp;$E6)+$HJ6</f>
        <v/>
      </c>
      <c r="HL6" s="55">
        <f>SUMIFS(tblBudget[Ore_oz],tblBudget[Month],$E6)</f>
        <v/>
      </c>
      <c r="HM6" s="55">
        <f>$HL6*$C6/$D6</f>
        <v/>
      </c>
      <c r="HN6" s="55">
        <f>SUMIFS(tblBudget[Ore_oz],tblBudget[Month],"&lt;"&amp;$E6)+$HM6</f>
        <v/>
      </c>
      <c r="HO6" s="56">
        <f>IFERROR(IF(($HI6)&gt;0,($HL6*cfg_TroyOz)/($HI6),""),"")</f>
        <v/>
      </c>
      <c r="HP6" s="56">
        <f>IFERROR(IF(($HJ6)&gt;0,($HM6*cfg_TroyOz)/($HJ6),""),"")</f>
        <v/>
      </c>
      <c r="HQ6" s="56">
        <f>IFERROR(IF(($HK6)&gt;0,($HN6*cfg_TroyOz)/($HK6),""),"")</f>
        <v/>
      </c>
      <c r="HR6" s="55">
        <f>SUMIFS(tblBudget[Waste_t],tblBudget[Month],$E6)</f>
        <v/>
      </c>
      <c r="HS6" s="55">
        <f>$HR6*$C6/$D6</f>
        <v/>
      </c>
      <c r="HT6" s="55">
        <f>SUMIFS(tblBudget[Waste_t],tblBudget[Month],"&lt;"&amp;$E6)+$HS6</f>
        <v/>
      </c>
      <c r="HU6" s="55">
        <f>SUMIFS(tblBudget[TMM_t],tblBudget[Month],$E6)</f>
        <v/>
      </c>
      <c r="HV6" s="55">
        <f>$HU6*$C6/$D6</f>
        <v/>
      </c>
      <c r="HW6" s="55">
        <f>SUMIFS(tblBudget[TMM_t],tblBudget[Month],"&lt;"&amp;$E6)+$HV6</f>
        <v/>
      </c>
      <c r="HX6" s="56">
        <f>IFERROR(IF(($HI6)&gt;0,($HR6)/($HI6),""),"")</f>
        <v/>
      </c>
      <c r="HY6" s="56">
        <f>IFERROR(IF(($HJ6)&gt;0,($HS6)/($HJ6),""),"")</f>
        <v/>
      </c>
      <c r="HZ6" s="56">
        <f>IFERROR(IF(($HK6)&gt;0,($HT6)/($HK6),""),"")</f>
        <v/>
      </c>
      <c r="IA6" s="55">
        <f>SUMIFS(tblBudget[Drill_m],tblBudget[Month],$E6)</f>
        <v/>
      </c>
      <c r="IB6" s="55">
        <f>$IA6*$C6/$D6</f>
        <v/>
      </c>
      <c r="IC6" s="55">
        <f>SUMIFS(tblBudget[Drill_m],tblBudget[Month],"&lt;"&amp;$E6)+$IB6</f>
        <v/>
      </c>
      <c r="ID6" s="55">
        <f>SUMIFS(tblBudget[Diesel_L],tblBudget[Month],$E6)</f>
        <v/>
      </c>
      <c r="IE6" s="55">
        <f>$ID6*$C6/$D6</f>
        <v/>
      </c>
      <c r="IF6" s="55">
        <f>SUMIFS(tblBudget[Diesel_L],tblBudget[Month],"&lt;"&amp;$E6)+$IE6</f>
        <v/>
      </c>
      <c r="IG6" s="55">
        <f>SUMIFS(tblBudget[Milled_t],tblBudget[Month],$E6)</f>
        <v/>
      </c>
      <c r="IH6" s="55">
        <f>$IG6*$C6/$D6</f>
        <v/>
      </c>
      <c r="II6" s="55">
        <f>SUMIFS(tblBudget[Milled_t],tblBudget[Month],"&lt;"&amp;$E6)+$IH6</f>
        <v/>
      </c>
      <c r="IJ6" s="55">
        <f>SUMIFS(tblBudget[Feed_oz],tblBudget[Month],$E6)</f>
        <v/>
      </c>
      <c r="IK6" s="55">
        <f>$IJ6*$C6/$D6</f>
        <v/>
      </c>
      <c r="IL6" s="55">
        <f>SUMIFS(tblBudget[Feed_oz],tblBudget[Month],"&lt;"&amp;$E6)+$IK6</f>
        <v/>
      </c>
      <c r="IM6" s="55">
        <f>SUMIFS(tblBudget[Recovered_oz],tblBudget[Month],$E6)</f>
        <v/>
      </c>
      <c r="IN6" s="55">
        <f>$IM6*$C6/$D6</f>
        <v/>
      </c>
      <c r="IO6" s="55">
        <f>SUMIFS(tblBudget[Recovered_oz],tblBudget[Month],"&lt;"&amp;$E6)+$IN6</f>
        <v/>
      </c>
      <c r="IP6" s="56">
        <f>IFERROR(IF(($IG6)&gt;0,($IJ6*cfg_TroyOz)/($IG6),""),"")</f>
        <v/>
      </c>
      <c r="IQ6" s="56">
        <f>IFERROR(IF(($IH6)&gt;0,($IK6*cfg_TroyOz)/($IH6),""),"")</f>
        <v/>
      </c>
      <c r="IR6" s="56">
        <f>IFERROR(IF(($II6)&gt;0,($IL6*cfg_TroyOz)/($II6),""),"")</f>
        <v/>
      </c>
      <c r="IS6" s="67">
        <f>IFERROR(IF(($IJ6)&gt;0,($IM6)/($IJ6),""),"")</f>
        <v/>
      </c>
      <c r="IT6" s="67">
        <f>IFERROR(IF(($IK6)&gt;0,($IN6)/($IK6),""),"")</f>
        <v/>
      </c>
      <c r="IU6" s="67">
        <f>IFERROR(IF(($IL6)&gt;0,($IO6)/($IL6),""),"")</f>
        <v/>
      </c>
      <c r="IV6" s="55">
        <f>SUMIFS(tblBudget[Gold_Poured_oz],tblBudget[Month],$E6)</f>
        <v/>
      </c>
      <c r="IW6" s="55">
        <f>$IV6*$C6/$D6</f>
        <v/>
      </c>
      <c r="IX6" s="55">
        <f>SUMIFS(tblBudget[Gold_Poured_oz],tblBudget[Month],"&lt;"&amp;$E6)+$IW6</f>
        <v/>
      </c>
      <c r="IY6" s="57">
        <f>SUMIFS(tblBudget[Hours_Worked],tblBudget[Month],$E6)</f>
        <v/>
      </c>
      <c r="IZ6" s="57">
        <f>$IY6*$C6/$D6</f>
        <v/>
      </c>
      <c r="JA6" s="57">
        <f>SUMIFS(tblBudget[Hours_Worked],tblBudget[Month],"&lt;"&amp;$E6)+$IZ6</f>
        <v/>
      </c>
    </row>
    <row r="7">
      <c r="A7" s="54" t="n">
        <v>46028</v>
      </c>
      <c r="B7">
        <f>MONTH($A7)</f>
        <v/>
      </c>
      <c r="C7">
        <f>DAY($A7)</f>
        <v/>
      </c>
      <c r="D7">
        <f>DAY(EOMONTH($A7,0))</f>
        <v/>
      </c>
      <c r="E7" s="54">
        <f>DATE(YEAR($A7),MONTH($A7),1)</f>
        <v/>
      </c>
      <c r="F7" s="55">
        <f>SUMIFS(tblMovement[Tonnes_t],tblMovement[Date],$A7,tblMovement[Is_Ore],1,tblMovement[Source_Type],"Pit")</f>
        <v/>
      </c>
      <c r="G7" s="55">
        <f>IF($B7=$B6,$G6,0)+$F7</f>
        <v/>
      </c>
      <c r="H7" s="55">
        <f>$H6+$F7</f>
        <v/>
      </c>
      <c r="I7" s="55">
        <f>SUMIFS(tblMovement[Ore_oz],tblMovement[Date],$A7,tblMovement[Source_Type],"Pit")</f>
        <v/>
      </c>
      <c r="J7" s="55">
        <f>IF($B7=$B6,$J6,0)+$I7</f>
        <v/>
      </c>
      <c r="K7" s="55">
        <f>$K6+$I7</f>
        <v/>
      </c>
      <c r="L7" s="56">
        <f>IFERROR(IF(($F7)&gt;0,($I7*cfg_TroyOz)/($F7),""),"")</f>
        <v/>
      </c>
      <c r="M7" s="56">
        <f>IFERROR(IF(($G7)&gt;0,($J7*cfg_TroyOz)/($G7),""),"")</f>
        <v/>
      </c>
      <c r="N7" s="56">
        <f>IFERROR(IF(($H7)&gt;0,($K7*cfg_TroyOz)/($H7),""),"")</f>
        <v/>
      </c>
      <c r="O7" s="55">
        <f>SUMIFS(tblMovement[Tonnes_t],tblMovement[Date],$A7,tblMovement[Is_Ore],0,tblMovement[Source_Type],"Pit")</f>
        <v/>
      </c>
      <c r="P7" s="55">
        <f>IF($B7=$B6,$P6,0)+$O7</f>
        <v/>
      </c>
      <c r="Q7" s="55">
        <f>$Q6+$O7</f>
        <v/>
      </c>
      <c r="R7" s="55">
        <f>$F7+$O7</f>
        <v/>
      </c>
      <c r="S7" s="55">
        <f>IF($B7=$B6,$S6,0)+$R7</f>
        <v/>
      </c>
      <c r="T7" s="55">
        <f>$T6+$R7</f>
        <v/>
      </c>
      <c r="U7" s="56">
        <f>IFERROR(IF(($F7)&gt;0,($O7)/($F7),""),"")</f>
        <v/>
      </c>
      <c r="V7" s="56">
        <f>IFERROR(IF(($G7)&gt;0,($P7)/($G7),""),"")</f>
        <v/>
      </c>
      <c r="W7" s="56">
        <f>IFERROR(IF(($H7)&gt;0,($Q7)/($H7),""),"")</f>
        <v/>
      </c>
      <c r="X7" s="55">
        <f>SUMIFS(tblMovement[Tonnes_t],tblMovement[Date],$A7,tblMovement[Source_Type],"Stockpile")</f>
        <v/>
      </c>
      <c r="Y7" s="55">
        <f>IF($B7=$B6,$Y6,0)+$X7</f>
        <v/>
      </c>
      <c r="Z7" s="55">
        <f>$Z6+$X7</f>
        <v/>
      </c>
      <c r="AA7" s="55">
        <f>SUMIFS(tblMiningDaily[Drill_m],tblMiningDaily[Date],$A7)</f>
        <v/>
      </c>
      <c r="AB7" s="55">
        <f>IF($B7=$B6,$AB6,0)+$AA7</f>
        <v/>
      </c>
      <c r="AC7" s="55">
        <f>$AC6+$AA7</f>
        <v/>
      </c>
      <c r="AD7" s="55">
        <f>SUMIFS(tblMiningDaily[Blast_t],tblMiningDaily[Date],$A7)</f>
        <v/>
      </c>
      <c r="AE7" s="55">
        <f>IF($B7=$B6,$AE6,0)+$AD7</f>
        <v/>
      </c>
      <c r="AF7" s="55">
        <f>$AF6+$AD7</f>
        <v/>
      </c>
      <c r="AG7" s="55">
        <f>SUMIFS(tblMiningDaily[Explosives_kg],tblMiningDaily[Date],$A7)</f>
        <v/>
      </c>
      <c r="AH7" s="55">
        <f>IF($B7=$B6,$AH6,0)+$AG7</f>
        <v/>
      </c>
      <c r="AI7" s="55">
        <f>$AI6+$AG7</f>
        <v/>
      </c>
      <c r="AJ7" s="56">
        <f>IFERROR(IF(($AD7)&gt;0,($AG7)/($AD7),""),"")</f>
        <v/>
      </c>
      <c r="AK7" s="56">
        <f>IFERROR(IF(($AE7)&gt;0,($AH7)/($AE7),""),"")</f>
        <v/>
      </c>
      <c r="AL7" s="56">
        <f>IFERROR(IF(($AF7)&gt;0,($AI7)/($AF7),""),"")</f>
        <v/>
      </c>
      <c r="AM7" s="55">
        <f>SUMIFS(tblMiningDaily[Diesel_L],tblMiningDaily[Date],$A7)</f>
        <v/>
      </c>
      <c r="AN7" s="55">
        <f>IF($B7=$B6,$AN6,0)+$AM7</f>
        <v/>
      </c>
      <c r="AO7" s="55">
        <f>$AO6+$AM7</f>
        <v/>
      </c>
      <c r="AP7" s="55">
        <f>SUMIFS(tblMiningDaily[Dewatering_m3],tblMiningDaily[Date],$A7)</f>
        <v/>
      </c>
      <c r="AQ7" s="55">
        <f>IF($B7=$B6,$AQ6,0)+$AP7</f>
        <v/>
      </c>
      <c r="AR7" s="55">
        <f>$AR6+$AP7</f>
        <v/>
      </c>
      <c r="AS7" s="57">
        <f>SUMIFS(tblFleet[Calendar_h],tblFleet[Date],$A7,tblFleet[Equipment_Class],"Excavator")</f>
        <v/>
      </c>
      <c r="AT7" s="57">
        <f>IF($B7=$B6,$AT6,0)+$AS7</f>
        <v/>
      </c>
      <c r="AU7" s="57">
        <f>$AU6+$AS7</f>
        <v/>
      </c>
      <c r="AV7" s="57">
        <f>SUMIFS(tblFleet[Available_h],tblFleet[Date],$A7,tblFleet[Equipment_Class],"Excavator")</f>
        <v/>
      </c>
      <c r="AW7" s="57">
        <f>IF($B7=$B6,$AW6,0)+$AV7</f>
        <v/>
      </c>
      <c r="AX7" s="57">
        <f>$AX6+$AV7</f>
        <v/>
      </c>
      <c r="AY7" s="57">
        <f>SUMIFS(tblFleet[Operating_h],tblFleet[Date],$A7,tblFleet[Equipment_Class],"Excavator")</f>
        <v/>
      </c>
      <c r="AZ7" s="57">
        <f>IF($B7=$B6,$AZ6,0)+$AY7</f>
        <v/>
      </c>
      <c r="BA7" s="57">
        <f>$BA6+$AY7</f>
        <v/>
      </c>
      <c r="BB7" s="67">
        <f>IFERROR(IF(($AS7)&gt;0,($AV7)/($AS7),""),"")</f>
        <v/>
      </c>
      <c r="BC7" s="67">
        <f>IFERROR(IF(($AT7)&gt;0,($AW7)/($AT7),""),"")</f>
        <v/>
      </c>
      <c r="BD7" s="67">
        <f>IFERROR(IF(($AU7)&gt;0,($AX7)/($AU7),""),"")</f>
        <v/>
      </c>
      <c r="BE7" s="67">
        <f>IFERROR(IF(($AV7)&gt;0,($AY7)/($AV7),""),"")</f>
        <v/>
      </c>
      <c r="BF7" s="67">
        <f>IFERROR(IF(($AW7)&gt;0,($AZ7)/($AW7),""),"")</f>
        <v/>
      </c>
      <c r="BG7" s="67">
        <f>IFERROR(IF(($AX7)&gt;0,($BA7)/($AX7),""),"")</f>
        <v/>
      </c>
      <c r="BH7" s="57">
        <f>SUMIFS(tblFleet[Calendar_h],tblFleet[Date],$A7,tblFleet[Equipment_Class],"Haul Truck")</f>
        <v/>
      </c>
      <c r="BI7" s="57">
        <f>IF($B7=$B6,$BI6,0)+$BH7</f>
        <v/>
      </c>
      <c r="BJ7" s="57">
        <f>$BJ6+$BH7</f>
        <v/>
      </c>
      <c r="BK7" s="57">
        <f>SUMIFS(tblFleet[Available_h],tblFleet[Date],$A7,tblFleet[Equipment_Class],"Haul Truck")</f>
        <v/>
      </c>
      <c r="BL7" s="57">
        <f>IF($B7=$B6,$BL6,0)+$BK7</f>
        <v/>
      </c>
      <c r="BM7" s="57">
        <f>$BM6+$BK7</f>
        <v/>
      </c>
      <c r="BN7" s="57">
        <f>SUMIFS(tblFleet[Operating_h],tblFleet[Date],$A7,tblFleet[Equipment_Class],"Haul Truck")</f>
        <v/>
      </c>
      <c r="BO7" s="57">
        <f>IF($B7=$B6,$BO6,0)+$BN7</f>
        <v/>
      </c>
      <c r="BP7" s="57">
        <f>$BP6+$BN7</f>
        <v/>
      </c>
      <c r="BQ7" s="67">
        <f>IFERROR(IF(($BH7)&gt;0,($BK7)/($BH7),""),"")</f>
        <v/>
      </c>
      <c r="BR7" s="67">
        <f>IFERROR(IF(($BI7)&gt;0,($BL7)/($BI7),""),"")</f>
        <v/>
      </c>
      <c r="BS7" s="67">
        <f>IFERROR(IF(($BJ7)&gt;0,($BM7)/($BJ7),""),"")</f>
        <v/>
      </c>
      <c r="BT7" s="67">
        <f>IFERROR(IF(($BK7)&gt;0,($BN7)/($BK7),""),"")</f>
        <v/>
      </c>
      <c r="BU7" s="67">
        <f>IFERROR(IF(($BL7)&gt;0,($BO7)/($BL7),""),"")</f>
        <v/>
      </c>
      <c r="BV7" s="67">
        <f>IFERROR(IF(($BM7)&gt;0,($BP7)/($BM7),""),"")</f>
        <v/>
      </c>
      <c r="BW7" s="55">
        <f>SUMIFS(tblPlant[Crushed_t],tblPlant[Date],$A7)</f>
        <v/>
      </c>
      <c r="BX7" s="55">
        <f>IF($B7=$B6,$BX6,0)+$BW7</f>
        <v/>
      </c>
      <c r="BY7" s="55">
        <f>$BY6+$BW7</f>
        <v/>
      </c>
      <c r="BZ7" s="55">
        <f>SUMIFS(tblPlant[Milled_t],tblPlant[Date],$A7)</f>
        <v/>
      </c>
      <c r="CA7" s="55">
        <f>IF($B7=$B6,$CA6,0)+$BZ7</f>
        <v/>
      </c>
      <c r="CB7" s="55">
        <f>$CB6+$BZ7</f>
        <v/>
      </c>
      <c r="CC7" s="55">
        <f>SUMIFS(tblPlant[Feed_oz],tblPlant[Date],$A7)</f>
        <v/>
      </c>
      <c r="CD7" s="55">
        <f>IF($B7=$B6,$CD6,0)+$CC7</f>
        <v/>
      </c>
      <c r="CE7" s="55">
        <f>$CE6+$CC7</f>
        <v/>
      </c>
      <c r="CF7" s="55">
        <f>SUMIFS(tblPlant[Tails_oz],tblPlant[Date],$A7)</f>
        <v/>
      </c>
      <c r="CG7" s="55">
        <f>IF($B7=$B6,$CG6,0)+$CF7</f>
        <v/>
      </c>
      <c r="CH7" s="55">
        <f>$CH6+$CF7</f>
        <v/>
      </c>
      <c r="CI7" s="55">
        <f>SUMIFS(tblPlant[Recovered_oz],tblPlant[Date],$A7)</f>
        <v/>
      </c>
      <c r="CJ7" s="55">
        <f>IF($B7=$B6,$CJ6,0)+$CI7</f>
        <v/>
      </c>
      <c r="CK7" s="55">
        <f>$CK6+$CI7</f>
        <v/>
      </c>
      <c r="CL7" s="56">
        <f>IFERROR(IF(($BZ7)&gt;0,($CC7*cfg_TroyOz)/($BZ7),""),"")</f>
        <v/>
      </c>
      <c r="CM7" s="56">
        <f>IFERROR(IF(($CA7)&gt;0,($CD7*cfg_TroyOz)/($CA7),""),"")</f>
        <v/>
      </c>
      <c r="CN7" s="56">
        <f>IFERROR(IF(($CB7)&gt;0,($CE7*cfg_TroyOz)/($CB7),""),"")</f>
        <v/>
      </c>
      <c r="CO7" s="56">
        <f>IFERROR(IF(($BZ7)&gt;0,($CF7*cfg_TroyOz)/($BZ7),""),"")</f>
        <v/>
      </c>
      <c r="CP7" s="56">
        <f>IFERROR(IF(($CA7)&gt;0,($CG7*cfg_TroyOz)/($CA7),""),"")</f>
        <v/>
      </c>
      <c r="CQ7" s="56">
        <f>IFERROR(IF(($CB7)&gt;0,($CH7*cfg_TroyOz)/($CB7),""),"")</f>
        <v/>
      </c>
      <c r="CR7" s="67">
        <f>IFERROR(IF(($CC7)&gt;0,($CI7)/($CC7),""),"")</f>
        <v/>
      </c>
      <c r="CS7" s="67">
        <f>IFERROR(IF(($CD7)&gt;0,($CJ7)/($CD7),""),"")</f>
        <v/>
      </c>
      <c r="CT7" s="67">
        <f>IFERROR(IF(($CE7)&gt;0,($CK7)/($CE7),""),"")</f>
        <v/>
      </c>
      <c r="CU7" s="55">
        <f>SUMIFS(tblPlant[Gravity_Gold_oz],tblPlant[Date],$A7)</f>
        <v/>
      </c>
      <c r="CV7" s="55">
        <f>IF($B7=$B6,$CV6,0)+$CU7</f>
        <v/>
      </c>
      <c r="CW7" s="55">
        <f>$CW6+$CU7</f>
        <v/>
      </c>
      <c r="CX7" s="55">
        <f>SUMIFS(tblPlant[Gold_Poured_oz],tblPlant[Date],$A7)</f>
        <v/>
      </c>
      <c r="CY7" s="55">
        <f>IF($B7=$B6,$CY6,0)+$CX7</f>
        <v/>
      </c>
      <c r="CZ7" s="55">
        <f>$CZ6+$CX7</f>
        <v/>
      </c>
      <c r="DA7" s="57">
        <f>SUMIFS(tblPlant[Mill_Run_h],tblPlant[Date],$A7)</f>
        <v/>
      </c>
      <c r="DB7" s="57">
        <f>IF($B7=$B6,$DB6,0)+$DA7</f>
        <v/>
      </c>
      <c r="DC7" s="57">
        <f>$DC6+$DA7</f>
        <v/>
      </c>
      <c r="DD7" s="57">
        <f>SUMIFS(tblPlant[Mill_Planned_Maint_h],tblPlant[Date],$A7)</f>
        <v/>
      </c>
      <c r="DE7" s="57">
        <f>IF($B7=$B6,$DE6,0)+$DD7</f>
        <v/>
      </c>
      <c r="DF7" s="57">
        <f>$DF6+$DD7</f>
        <v/>
      </c>
      <c r="DG7" s="57">
        <f>SUMIFS(tblPlant[Mill_Unplanned_Down_h],tblPlant[Date],$A7)</f>
        <v/>
      </c>
      <c r="DH7" s="57">
        <f>IF($B7=$B6,$DH6,0)+$DG7</f>
        <v/>
      </c>
      <c r="DI7" s="57">
        <f>$DI6+$DG7</f>
        <v/>
      </c>
      <c r="DJ7" s="57">
        <f>COUNTIFS(tblPlant[Date],$A7,tblPlant[Mill_Run_h],"&lt;&gt;")*24</f>
        <v/>
      </c>
      <c r="DK7" s="57">
        <f>IF($B7=$B6,$DK6,0)+$DJ7</f>
        <v/>
      </c>
      <c r="DL7" s="57">
        <f>$DL6+$DJ7</f>
        <v/>
      </c>
      <c r="DM7" s="57">
        <f>SUMIFS(tblPlant[Crusher_Run_h],tblPlant[Date],$A7)</f>
        <v/>
      </c>
      <c r="DN7" s="57">
        <f>IF($B7=$B6,$DN6,0)+$DM7</f>
        <v/>
      </c>
      <c r="DO7" s="57">
        <f>$DO6+$DM7</f>
        <v/>
      </c>
      <c r="DP7" s="55">
        <f>IFERROR(IF(($DA7)&gt;0,($BZ7)/($DA7),""),"")</f>
        <v/>
      </c>
      <c r="DQ7" s="55">
        <f>IFERROR(IF(($DB7)&gt;0,($CA7)/($DB7),""),"")</f>
        <v/>
      </c>
      <c r="DR7" s="55">
        <f>IFERROR(IF(($DC7)&gt;0,($CB7)/($DC7),""),"")</f>
        <v/>
      </c>
      <c r="DS7" s="67">
        <f>IFERROR(IF(($DJ7)&gt;0,($DJ7-$DD7-$DG7)/($DJ7),""),"")</f>
        <v/>
      </c>
      <c r="DT7" s="67">
        <f>IFERROR(IF(($DK7)&gt;0,($DK7-$DE7-$DH7)/($DK7),""),"")</f>
        <v/>
      </c>
      <c r="DU7" s="67">
        <f>IFERROR(IF(($DL7)&gt;0,($DL7-$DF7-$DI7)/($DL7),""),"")</f>
        <v/>
      </c>
      <c r="DV7" s="67">
        <f>IFERROR(IF(($DJ7-$DD7-$DG7)&gt;0,($DA7)/($DJ7-$DD7-$DG7),""),"")</f>
        <v/>
      </c>
      <c r="DW7" s="67">
        <f>IFERROR(IF(($DK7-$DE7-$DH7)&gt;0,($DB7)/($DK7-$DE7-$DH7),""),"")</f>
        <v/>
      </c>
      <c r="DX7" s="67">
        <f>IFERROR(IF(($DL7-$DF7-$DI7)&gt;0,($DC7)/($DL7-$DF7-$DI7),""),"")</f>
        <v/>
      </c>
      <c r="DY7" s="55">
        <f>SUMIFS(tblPlant[Cyanide_kg],tblPlant[Date],$A7)</f>
        <v/>
      </c>
      <c r="DZ7" s="55">
        <f>IF($B7=$B6,$DZ6,0)+$DY7</f>
        <v/>
      </c>
      <c r="EA7" s="55">
        <f>$EA6+$DY7</f>
        <v/>
      </c>
      <c r="EB7" s="55">
        <f>SUMIFS(tblPlant[Lime_kg],tblPlant[Date],$A7)</f>
        <v/>
      </c>
      <c r="EC7" s="55">
        <f>IF($B7=$B6,$EC6,0)+$EB7</f>
        <v/>
      </c>
      <c r="ED7" s="55">
        <f>$ED6+$EB7</f>
        <v/>
      </c>
      <c r="EE7" s="55">
        <f>SUMIFS(tblPlant[Grinding_Media_kg],tblPlant[Date],$A7)</f>
        <v/>
      </c>
      <c r="EF7" s="55">
        <f>IF($B7=$B6,$EF6,0)+$EE7</f>
        <v/>
      </c>
      <c r="EG7" s="55">
        <f>$EG6+$EE7</f>
        <v/>
      </c>
      <c r="EH7" s="55">
        <f>SUMIFS(tblPlant[Power_kWh],tblPlant[Date],$A7)</f>
        <v/>
      </c>
      <c r="EI7" s="55">
        <f>IF($B7=$B6,$EI6,0)+$EH7</f>
        <v/>
      </c>
      <c r="EJ7" s="55">
        <f>$EJ6+$EH7</f>
        <v/>
      </c>
      <c r="EK7" s="55">
        <f>SUMIFS(tblPlant[Raw_Water_m3],tblPlant[Date],$A7)</f>
        <v/>
      </c>
      <c r="EL7" s="55">
        <f>IF($B7=$B6,$EL6,0)+$EK7</f>
        <v/>
      </c>
      <c r="EM7" s="55">
        <f>$EM6+$EK7</f>
        <v/>
      </c>
      <c r="EN7" s="56">
        <f>IFERROR(IF(($BZ7)&gt;0,($DY7)/($BZ7),""),"")</f>
        <v/>
      </c>
      <c r="EO7" s="56">
        <f>IFERROR(IF(($CA7)&gt;0,($DZ7)/($CA7),""),"")</f>
        <v/>
      </c>
      <c r="EP7" s="56">
        <f>IFERROR(IF(($CB7)&gt;0,($EA7)/($CB7),""),"")</f>
        <v/>
      </c>
      <c r="EQ7" s="56">
        <f>IFERROR(IF(($BZ7)&gt;0,($EB7)/($BZ7),""),"")</f>
        <v/>
      </c>
      <c r="ER7" s="56">
        <f>IFERROR(IF(($CA7)&gt;0,($EC7)/($CA7),""),"")</f>
        <v/>
      </c>
      <c r="ES7" s="56">
        <f>IFERROR(IF(($CB7)&gt;0,($ED7)/($CB7),""),"")</f>
        <v/>
      </c>
      <c r="ET7" s="56">
        <f>IFERROR(IF(($BZ7)&gt;0,($EE7)/($BZ7),""),"")</f>
        <v/>
      </c>
      <c r="EU7" s="56">
        <f>IFERROR(IF(($CA7)&gt;0,($EF7)/($CA7),""),"")</f>
        <v/>
      </c>
      <c r="EV7" s="56">
        <f>IFERROR(IF(($CB7)&gt;0,($EG7)/($CB7),""),"")</f>
        <v/>
      </c>
      <c r="EW7" s="76">
        <f>IFERROR(IF(($BZ7)&gt;0,($EH7)/($BZ7),""),"")</f>
        <v/>
      </c>
      <c r="EX7" s="76">
        <f>IFERROR(IF(($CA7)&gt;0,($EI7)/($CA7),""),"")</f>
        <v/>
      </c>
      <c r="EY7" s="76">
        <f>IFERROR(IF(($CB7)&gt;0,($EJ7)/($CB7),""),"")</f>
        <v/>
      </c>
      <c r="EZ7" s="56">
        <f>IFERROR(IF(($BZ7)&gt;0,($EK7)/($BZ7),""),"")</f>
        <v/>
      </c>
      <c r="FA7" s="56">
        <f>IFERROR(IF(($CA7)&gt;0,($EL7)/($CA7),""),"")</f>
        <v/>
      </c>
      <c r="FB7" s="56">
        <f>IFERROR(IF(($CB7)&gt;0,($EM7)/($CB7),""),"")</f>
        <v/>
      </c>
      <c r="FC7" s="55">
        <f>IF(SUMIFS(tblPlant[GIC_oz],tblPlant[Date],$A7)&gt;0,SUMIFS(tblPlant[GIC_oz],tblPlant[Date],$A7),"")</f>
        <v/>
      </c>
      <c r="FD7" s="55">
        <f>SUMIFS(tblGold[Gold_oz],tblGold[Date],$A7,tblGold[Type],"Shipment")</f>
        <v/>
      </c>
      <c r="FE7" s="55">
        <f>IF($B7=$B6,$FE6,0)+$FD7</f>
        <v/>
      </c>
      <c r="FF7" s="55">
        <f>$FF6+$FD7</f>
        <v/>
      </c>
      <c r="FG7" s="55">
        <f>SUMIFS(tblGold[Gold_oz],tblGold[Date],$A7,tblGold[Type],"Sale")</f>
        <v/>
      </c>
      <c r="FH7" s="55">
        <f>IF($B7=$B6,$FH6,0)+$FG7</f>
        <v/>
      </c>
      <c r="FI7" s="55">
        <f>$FI6+$FG7</f>
        <v/>
      </c>
      <c r="FJ7" s="55">
        <f>SUMIFS(tblGold[Dore_kg],tblGold[Date],$A7,tblGold[Type],"Shipment")</f>
        <v/>
      </c>
      <c r="FK7" s="55">
        <f>IF($B7=$B6,$FK6,0)+$FJ7</f>
        <v/>
      </c>
      <c r="FL7" s="55">
        <f>$FL6+$FJ7</f>
        <v/>
      </c>
      <c r="FM7" s="57">
        <f>SUMIFS(tblSafety[Hours_Total],tblSafety[Date],$A7)</f>
        <v/>
      </c>
      <c r="FN7" s="57">
        <f>IF($B7=$B6,$FN6,0)+$FM7</f>
        <v/>
      </c>
      <c r="FO7" s="57">
        <f>$FO6+$FM7</f>
        <v/>
      </c>
      <c r="FP7" s="62">
        <f>SUMIFS(tblSafety[Fatality],tblSafety[Date],$A7)</f>
        <v/>
      </c>
      <c r="FQ7" s="62">
        <f>IF($B7=$B6,$FQ6,0)+$FP7</f>
        <v/>
      </c>
      <c r="FR7" s="62">
        <f>$FR6+$FP7</f>
        <v/>
      </c>
      <c r="FS7" s="62">
        <f>SUMIFS(tblSafety[LTI],tblSafety[Date],$A7)</f>
        <v/>
      </c>
      <c r="FT7" s="62">
        <f>IF($B7=$B6,$FT6,0)+$FS7</f>
        <v/>
      </c>
      <c r="FU7" s="62">
        <f>$FU6+$FS7</f>
        <v/>
      </c>
      <c r="FV7" s="62">
        <f>SUMIFS(tblSafety[RWI],tblSafety[Date],$A7)</f>
        <v/>
      </c>
      <c r="FW7" s="62">
        <f>IF($B7=$B6,$FW6,0)+$FV7</f>
        <v/>
      </c>
      <c r="FX7" s="62">
        <f>$FX6+$FV7</f>
        <v/>
      </c>
      <c r="FY7" s="62">
        <f>SUMIFS(tblSafety[MTI],tblSafety[Date],$A7)</f>
        <v/>
      </c>
      <c r="FZ7" s="62">
        <f>IF($B7=$B6,$FZ6,0)+$FY7</f>
        <v/>
      </c>
      <c r="GA7" s="62">
        <f>$GA6+$FY7</f>
        <v/>
      </c>
      <c r="GB7" s="62">
        <f>SUMIFS(tblSafety[FAI],tblSafety[Date],$A7)</f>
        <v/>
      </c>
      <c r="GC7" s="62">
        <f>IF($B7=$B6,$GC6,0)+$GB7</f>
        <v/>
      </c>
      <c r="GD7" s="62">
        <f>$GD6+$GB7</f>
        <v/>
      </c>
      <c r="GE7" s="62">
        <f>SUMIFS(tblSafety[Recordables],tblSafety[Date],$A7)</f>
        <v/>
      </c>
      <c r="GF7" s="62">
        <f>IF($B7=$B6,$GF6,0)+$GE7</f>
        <v/>
      </c>
      <c r="GG7" s="62">
        <f>$GG6+$GE7</f>
        <v/>
      </c>
      <c r="GH7" s="62">
        <f>SUMIFS(tblSafety[Near_Miss],tblSafety[Date],$A7)</f>
        <v/>
      </c>
      <c r="GI7" s="62">
        <f>IF($B7=$B6,$GI6,0)+$GH7</f>
        <v/>
      </c>
      <c r="GJ7" s="62">
        <f>$GJ6+$GH7</f>
        <v/>
      </c>
      <c r="GK7" s="62">
        <f>SUMIFS(tblSafety[Hazard_Reports],tblSafety[Date],$A7)</f>
        <v/>
      </c>
      <c r="GL7" s="62">
        <f>IF($B7=$B6,$GL6,0)+$GK7</f>
        <v/>
      </c>
      <c r="GM7" s="62">
        <f>$GM6+$GK7</f>
        <v/>
      </c>
      <c r="GN7" s="62">
        <f>SUMIFS(tblSafety[HPI],tblSafety[Date],$A7)</f>
        <v/>
      </c>
      <c r="GO7" s="62">
        <f>IF($B7=$B6,$GO6,0)+$GN7</f>
        <v/>
      </c>
      <c r="GP7" s="62">
        <f>$GP6+$GN7</f>
        <v/>
      </c>
      <c r="GQ7" s="62">
        <f>SUMIFS(tblSafety[Env_Incidents],tblSafety[Date],$A7)</f>
        <v/>
      </c>
      <c r="GR7" s="62">
        <f>IF($B7=$B6,$GR6,0)+$GQ7</f>
        <v/>
      </c>
      <c r="GS7" s="62">
        <f>$GS6+$GQ7</f>
        <v/>
      </c>
      <c r="GT7" s="62">
        <f>SUMIFS(tblSafety[Community_Incidents],tblSafety[Date],$A7)</f>
        <v/>
      </c>
      <c r="GU7" s="62">
        <f>IF($B7=$B6,$GU6,0)+$GT7</f>
        <v/>
      </c>
      <c r="GV7" s="62">
        <f>$GV6+$GT7</f>
        <v/>
      </c>
      <c r="GW7" s="62">
        <f>SUMIFS(tblSafety[Vehicle_Incidents],tblSafety[Date],$A7)</f>
        <v/>
      </c>
      <c r="GX7" s="62">
        <f>IF($B7=$B6,$GX6,0)+$GW7</f>
        <v/>
      </c>
      <c r="GY7" s="62">
        <f>$GY6+$GW7</f>
        <v/>
      </c>
      <c r="GZ7" s="62">
        <f>SUMIFS(tblSafety[Toolbox_Talks],tblSafety[Date],$A7)</f>
        <v/>
      </c>
      <c r="HA7" s="62">
        <f>IF($B7=$B6,$HA6,0)+$GZ7</f>
        <v/>
      </c>
      <c r="HB7" s="62">
        <f>$HB6+$GZ7</f>
        <v/>
      </c>
      <c r="HC7" s="62">
        <f>SUMIFS(tblSafety[Inspections],tblSafety[Date],$A7)</f>
        <v/>
      </c>
      <c r="HD7" s="62">
        <f>IF($B7=$B6,$HD6,0)+$HC7</f>
        <v/>
      </c>
      <c r="HE7" s="62">
        <f>$HE6+$HC7</f>
        <v/>
      </c>
      <c r="HF7" s="56">
        <f>IFERROR((SUMIFS(tblSafety[Recordables],tblSafety[Date],"&gt;="&amp;EDATE($E7,-12),tblSafety[Date],"&lt;="&amp;$A7)+SUMIFS(tblSafetyHistory[Recordables],tblSafetyHistory[Month],"&gt;="&amp;EDATE($E7,-12),tblSafetyHistory[Month],"&lt;"&amp;cfg_YearStart))/(SUMIFS(tblSafety[Hours_Total],tblSafety[Date],"&gt;="&amp;EDATE($E7,-12),tblSafety[Date],"&lt;="&amp;$A7)+SUMIFS(tblSafetyHistory[Hours_Total],tblSafetyHistory[Month],"&gt;="&amp;EDATE($E7,-12),tblSafetyHistory[Month],"&lt;"&amp;cfg_YearStart))*1000000,"")</f>
        <v/>
      </c>
      <c r="HG7" s="56">
        <f>IFERROR((SUMIFS(tblSafety[LTI],tblSafety[Date],"&gt;="&amp;EDATE($E7,-12),tblSafety[Date],"&lt;="&amp;$A7)+SUMIFS(tblSafetyHistory[LTI],tblSafetyHistory[Month],"&gt;="&amp;EDATE($E7,-12),tblSafetyHistory[Month],"&lt;"&amp;cfg_YearStart))/(SUMIFS(tblSafety[Hours_Total],tblSafety[Date],"&gt;="&amp;EDATE($E7,-12),tblSafety[Date],"&lt;="&amp;$A7)+SUMIFS(tblSafetyHistory[Hours_Total],tblSafetyHistory[Month],"&gt;="&amp;EDATE($E7,-12),tblSafetyHistory[Month],"&lt;"&amp;cfg_YearStart))*1000000,"")</f>
        <v/>
      </c>
      <c r="HH7" s="62">
        <f>IF(MAX(N(cfg_PriorLTIDate),_xlfn.MAXIFS(tblSafety[Date],tblSafety[LTI],"&gt;0",tblSafety[Date],"&lt;="&amp;$A7))=0,"",$A7-MAX(N(cfg_PriorLTIDate),_xlfn.MAXIFS(tblSafety[Date],tblSafety[LTI],"&gt;0",tblSafety[Date],"&lt;="&amp;$A7)))</f>
        <v/>
      </c>
      <c r="HI7" s="55">
        <f>SUMIFS(tblBudget[Ore_Mined_t],tblBudget[Month],$E7)</f>
        <v/>
      </c>
      <c r="HJ7" s="55">
        <f>$HI7*$C7/$D7</f>
        <v/>
      </c>
      <c r="HK7" s="55">
        <f>SUMIFS(tblBudget[Ore_Mined_t],tblBudget[Month],"&lt;"&amp;$E7)+$HJ7</f>
        <v/>
      </c>
      <c r="HL7" s="55">
        <f>SUMIFS(tblBudget[Ore_oz],tblBudget[Month],$E7)</f>
        <v/>
      </c>
      <c r="HM7" s="55">
        <f>$HL7*$C7/$D7</f>
        <v/>
      </c>
      <c r="HN7" s="55">
        <f>SUMIFS(tblBudget[Ore_oz],tblBudget[Month],"&lt;"&amp;$E7)+$HM7</f>
        <v/>
      </c>
      <c r="HO7" s="56">
        <f>IFERROR(IF(($HI7)&gt;0,($HL7*cfg_TroyOz)/($HI7),""),"")</f>
        <v/>
      </c>
      <c r="HP7" s="56">
        <f>IFERROR(IF(($HJ7)&gt;0,($HM7*cfg_TroyOz)/($HJ7),""),"")</f>
        <v/>
      </c>
      <c r="HQ7" s="56">
        <f>IFERROR(IF(($HK7)&gt;0,($HN7*cfg_TroyOz)/($HK7),""),"")</f>
        <v/>
      </c>
      <c r="HR7" s="55">
        <f>SUMIFS(tblBudget[Waste_t],tblBudget[Month],$E7)</f>
        <v/>
      </c>
      <c r="HS7" s="55">
        <f>$HR7*$C7/$D7</f>
        <v/>
      </c>
      <c r="HT7" s="55">
        <f>SUMIFS(tblBudget[Waste_t],tblBudget[Month],"&lt;"&amp;$E7)+$HS7</f>
        <v/>
      </c>
      <c r="HU7" s="55">
        <f>SUMIFS(tblBudget[TMM_t],tblBudget[Month],$E7)</f>
        <v/>
      </c>
      <c r="HV7" s="55">
        <f>$HU7*$C7/$D7</f>
        <v/>
      </c>
      <c r="HW7" s="55">
        <f>SUMIFS(tblBudget[TMM_t],tblBudget[Month],"&lt;"&amp;$E7)+$HV7</f>
        <v/>
      </c>
      <c r="HX7" s="56">
        <f>IFERROR(IF(($HI7)&gt;0,($HR7)/($HI7),""),"")</f>
        <v/>
      </c>
      <c r="HY7" s="56">
        <f>IFERROR(IF(($HJ7)&gt;0,($HS7)/($HJ7),""),"")</f>
        <v/>
      </c>
      <c r="HZ7" s="56">
        <f>IFERROR(IF(($HK7)&gt;0,($HT7)/($HK7),""),"")</f>
        <v/>
      </c>
      <c r="IA7" s="55">
        <f>SUMIFS(tblBudget[Drill_m],tblBudget[Month],$E7)</f>
        <v/>
      </c>
      <c r="IB7" s="55">
        <f>$IA7*$C7/$D7</f>
        <v/>
      </c>
      <c r="IC7" s="55">
        <f>SUMIFS(tblBudget[Drill_m],tblBudget[Month],"&lt;"&amp;$E7)+$IB7</f>
        <v/>
      </c>
      <c r="ID7" s="55">
        <f>SUMIFS(tblBudget[Diesel_L],tblBudget[Month],$E7)</f>
        <v/>
      </c>
      <c r="IE7" s="55">
        <f>$ID7*$C7/$D7</f>
        <v/>
      </c>
      <c r="IF7" s="55">
        <f>SUMIFS(tblBudget[Diesel_L],tblBudget[Month],"&lt;"&amp;$E7)+$IE7</f>
        <v/>
      </c>
      <c r="IG7" s="55">
        <f>SUMIFS(tblBudget[Milled_t],tblBudget[Month],$E7)</f>
        <v/>
      </c>
      <c r="IH7" s="55">
        <f>$IG7*$C7/$D7</f>
        <v/>
      </c>
      <c r="II7" s="55">
        <f>SUMIFS(tblBudget[Milled_t],tblBudget[Month],"&lt;"&amp;$E7)+$IH7</f>
        <v/>
      </c>
      <c r="IJ7" s="55">
        <f>SUMIFS(tblBudget[Feed_oz],tblBudget[Month],$E7)</f>
        <v/>
      </c>
      <c r="IK7" s="55">
        <f>$IJ7*$C7/$D7</f>
        <v/>
      </c>
      <c r="IL7" s="55">
        <f>SUMIFS(tblBudget[Feed_oz],tblBudget[Month],"&lt;"&amp;$E7)+$IK7</f>
        <v/>
      </c>
      <c r="IM7" s="55">
        <f>SUMIFS(tblBudget[Recovered_oz],tblBudget[Month],$E7)</f>
        <v/>
      </c>
      <c r="IN7" s="55">
        <f>$IM7*$C7/$D7</f>
        <v/>
      </c>
      <c r="IO7" s="55">
        <f>SUMIFS(tblBudget[Recovered_oz],tblBudget[Month],"&lt;"&amp;$E7)+$IN7</f>
        <v/>
      </c>
      <c r="IP7" s="56">
        <f>IFERROR(IF(($IG7)&gt;0,($IJ7*cfg_TroyOz)/($IG7),""),"")</f>
        <v/>
      </c>
      <c r="IQ7" s="56">
        <f>IFERROR(IF(($IH7)&gt;0,($IK7*cfg_TroyOz)/($IH7),""),"")</f>
        <v/>
      </c>
      <c r="IR7" s="56">
        <f>IFERROR(IF(($II7)&gt;0,($IL7*cfg_TroyOz)/($II7),""),"")</f>
        <v/>
      </c>
      <c r="IS7" s="67">
        <f>IFERROR(IF(($IJ7)&gt;0,($IM7)/($IJ7),""),"")</f>
        <v/>
      </c>
      <c r="IT7" s="67">
        <f>IFERROR(IF(($IK7)&gt;0,($IN7)/($IK7),""),"")</f>
        <v/>
      </c>
      <c r="IU7" s="67">
        <f>IFERROR(IF(($IL7)&gt;0,($IO7)/($IL7),""),"")</f>
        <v/>
      </c>
      <c r="IV7" s="55">
        <f>SUMIFS(tblBudget[Gold_Poured_oz],tblBudget[Month],$E7)</f>
        <v/>
      </c>
      <c r="IW7" s="55">
        <f>$IV7*$C7/$D7</f>
        <v/>
      </c>
      <c r="IX7" s="55">
        <f>SUMIFS(tblBudget[Gold_Poured_oz],tblBudget[Month],"&lt;"&amp;$E7)+$IW7</f>
        <v/>
      </c>
      <c r="IY7" s="57">
        <f>SUMIFS(tblBudget[Hours_Worked],tblBudget[Month],$E7)</f>
        <v/>
      </c>
      <c r="IZ7" s="57">
        <f>$IY7*$C7/$D7</f>
        <v/>
      </c>
      <c r="JA7" s="57">
        <f>SUMIFS(tblBudget[Hours_Worked],tblBudget[Month],"&lt;"&amp;$E7)+$IZ7</f>
        <v/>
      </c>
    </row>
    <row r="8">
      <c r="A8" s="54" t="n">
        <v>46029</v>
      </c>
      <c r="B8">
        <f>MONTH($A8)</f>
        <v/>
      </c>
      <c r="C8">
        <f>DAY($A8)</f>
        <v/>
      </c>
      <c r="D8">
        <f>DAY(EOMONTH($A8,0))</f>
        <v/>
      </c>
      <c r="E8" s="54">
        <f>DATE(YEAR($A8),MONTH($A8),1)</f>
        <v/>
      </c>
      <c r="F8" s="55">
        <f>SUMIFS(tblMovement[Tonnes_t],tblMovement[Date],$A8,tblMovement[Is_Ore],1,tblMovement[Source_Type],"Pit")</f>
        <v/>
      </c>
      <c r="G8" s="55">
        <f>IF($B8=$B7,$G7,0)+$F8</f>
        <v/>
      </c>
      <c r="H8" s="55">
        <f>$H7+$F8</f>
        <v/>
      </c>
      <c r="I8" s="55">
        <f>SUMIFS(tblMovement[Ore_oz],tblMovement[Date],$A8,tblMovement[Source_Type],"Pit")</f>
        <v/>
      </c>
      <c r="J8" s="55">
        <f>IF($B8=$B7,$J7,0)+$I8</f>
        <v/>
      </c>
      <c r="K8" s="55">
        <f>$K7+$I8</f>
        <v/>
      </c>
      <c r="L8" s="56">
        <f>IFERROR(IF(($F8)&gt;0,($I8*cfg_TroyOz)/($F8),""),"")</f>
        <v/>
      </c>
      <c r="M8" s="56">
        <f>IFERROR(IF(($G8)&gt;0,($J8*cfg_TroyOz)/($G8),""),"")</f>
        <v/>
      </c>
      <c r="N8" s="56">
        <f>IFERROR(IF(($H8)&gt;0,($K8*cfg_TroyOz)/($H8),""),"")</f>
        <v/>
      </c>
      <c r="O8" s="55">
        <f>SUMIFS(tblMovement[Tonnes_t],tblMovement[Date],$A8,tblMovement[Is_Ore],0,tblMovement[Source_Type],"Pit")</f>
        <v/>
      </c>
      <c r="P8" s="55">
        <f>IF($B8=$B7,$P7,0)+$O8</f>
        <v/>
      </c>
      <c r="Q8" s="55">
        <f>$Q7+$O8</f>
        <v/>
      </c>
      <c r="R8" s="55">
        <f>$F8+$O8</f>
        <v/>
      </c>
      <c r="S8" s="55">
        <f>IF($B8=$B7,$S7,0)+$R8</f>
        <v/>
      </c>
      <c r="T8" s="55">
        <f>$T7+$R8</f>
        <v/>
      </c>
      <c r="U8" s="56">
        <f>IFERROR(IF(($F8)&gt;0,($O8)/($F8),""),"")</f>
        <v/>
      </c>
      <c r="V8" s="56">
        <f>IFERROR(IF(($G8)&gt;0,($P8)/($G8),""),"")</f>
        <v/>
      </c>
      <c r="W8" s="56">
        <f>IFERROR(IF(($H8)&gt;0,($Q8)/($H8),""),"")</f>
        <v/>
      </c>
      <c r="X8" s="55">
        <f>SUMIFS(tblMovement[Tonnes_t],tblMovement[Date],$A8,tblMovement[Source_Type],"Stockpile")</f>
        <v/>
      </c>
      <c r="Y8" s="55">
        <f>IF($B8=$B7,$Y7,0)+$X8</f>
        <v/>
      </c>
      <c r="Z8" s="55">
        <f>$Z7+$X8</f>
        <v/>
      </c>
      <c r="AA8" s="55">
        <f>SUMIFS(tblMiningDaily[Drill_m],tblMiningDaily[Date],$A8)</f>
        <v/>
      </c>
      <c r="AB8" s="55">
        <f>IF($B8=$B7,$AB7,0)+$AA8</f>
        <v/>
      </c>
      <c r="AC8" s="55">
        <f>$AC7+$AA8</f>
        <v/>
      </c>
      <c r="AD8" s="55">
        <f>SUMIFS(tblMiningDaily[Blast_t],tblMiningDaily[Date],$A8)</f>
        <v/>
      </c>
      <c r="AE8" s="55">
        <f>IF($B8=$B7,$AE7,0)+$AD8</f>
        <v/>
      </c>
      <c r="AF8" s="55">
        <f>$AF7+$AD8</f>
        <v/>
      </c>
      <c r="AG8" s="55">
        <f>SUMIFS(tblMiningDaily[Explosives_kg],tblMiningDaily[Date],$A8)</f>
        <v/>
      </c>
      <c r="AH8" s="55">
        <f>IF($B8=$B7,$AH7,0)+$AG8</f>
        <v/>
      </c>
      <c r="AI8" s="55">
        <f>$AI7+$AG8</f>
        <v/>
      </c>
      <c r="AJ8" s="56">
        <f>IFERROR(IF(($AD8)&gt;0,($AG8)/($AD8),""),"")</f>
        <v/>
      </c>
      <c r="AK8" s="56">
        <f>IFERROR(IF(($AE8)&gt;0,($AH8)/($AE8),""),"")</f>
        <v/>
      </c>
      <c r="AL8" s="56">
        <f>IFERROR(IF(($AF8)&gt;0,($AI8)/($AF8),""),"")</f>
        <v/>
      </c>
      <c r="AM8" s="55">
        <f>SUMIFS(tblMiningDaily[Diesel_L],tblMiningDaily[Date],$A8)</f>
        <v/>
      </c>
      <c r="AN8" s="55">
        <f>IF($B8=$B7,$AN7,0)+$AM8</f>
        <v/>
      </c>
      <c r="AO8" s="55">
        <f>$AO7+$AM8</f>
        <v/>
      </c>
      <c r="AP8" s="55">
        <f>SUMIFS(tblMiningDaily[Dewatering_m3],tblMiningDaily[Date],$A8)</f>
        <v/>
      </c>
      <c r="AQ8" s="55">
        <f>IF($B8=$B7,$AQ7,0)+$AP8</f>
        <v/>
      </c>
      <c r="AR8" s="55">
        <f>$AR7+$AP8</f>
        <v/>
      </c>
      <c r="AS8" s="57">
        <f>SUMIFS(tblFleet[Calendar_h],tblFleet[Date],$A8,tblFleet[Equipment_Class],"Excavator")</f>
        <v/>
      </c>
      <c r="AT8" s="57">
        <f>IF($B8=$B7,$AT7,0)+$AS8</f>
        <v/>
      </c>
      <c r="AU8" s="57">
        <f>$AU7+$AS8</f>
        <v/>
      </c>
      <c r="AV8" s="57">
        <f>SUMIFS(tblFleet[Available_h],tblFleet[Date],$A8,tblFleet[Equipment_Class],"Excavator")</f>
        <v/>
      </c>
      <c r="AW8" s="57">
        <f>IF($B8=$B7,$AW7,0)+$AV8</f>
        <v/>
      </c>
      <c r="AX8" s="57">
        <f>$AX7+$AV8</f>
        <v/>
      </c>
      <c r="AY8" s="57">
        <f>SUMIFS(tblFleet[Operating_h],tblFleet[Date],$A8,tblFleet[Equipment_Class],"Excavator")</f>
        <v/>
      </c>
      <c r="AZ8" s="57">
        <f>IF($B8=$B7,$AZ7,0)+$AY8</f>
        <v/>
      </c>
      <c r="BA8" s="57">
        <f>$BA7+$AY8</f>
        <v/>
      </c>
      <c r="BB8" s="67">
        <f>IFERROR(IF(($AS8)&gt;0,($AV8)/($AS8),""),"")</f>
        <v/>
      </c>
      <c r="BC8" s="67">
        <f>IFERROR(IF(($AT8)&gt;0,($AW8)/($AT8),""),"")</f>
        <v/>
      </c>
      <c r="BD8" s="67">
        <f>IFERROR(IF(($AU8)&gt;0,($AX8)/($AU8),""),"")</f>
        <v/>
      </c>
      <c r="BE8" s="67">
        <f>IFERROR(IF(($AV8)&gt;0,($AY8)/($AV8),""),"")</f>
        <v/>
      </c>
      <c r="BF8" s="67">
        <f>IFERROR(IF(($AW8)&gt;0,($AZ8)/($AW8),""),"")</f>
        <v/>
      </c>
      <c r="BG8" s="67">
        <f>IFERROR(IF(($AX8)&gt;0,($BA8)/($AX8),""),"")</f>
        <v/>
      </c>
      <c r="BH8" s="57">
        <f>SUMIFS(tblFleet[Calendar_h],tblFleet[Date],$A8,tblFleet[Equipment_Class],"Haul Truck")</f>
        <v/>
      </c>
      <c r="BI8" s="57">
        <f>IF($B8=$B7,$BI7,0)+$BH8</f>
        <v/>
      </c>
      <c r="BJ8" s="57">
        <f>$BJ7+$BH8</f>
        <v/>
      </c>
      <c r="BK8" s="57">
        <f>SUMIFS(tblFleet[Available_h],tblFleet[Date],$A8,tblFleet[Equipment_Class],"Haul Truck")</f>
        <v/>
      </c>
      <c r="BL8" s="57">
        <f>IF($B8=$B7,$BL7,0)+$BK8</f>
        <v/>
      </c>
      <c r="BM8" s="57">
        <f>$BM7+$BK8</f>
        <v/>
      </c>
      <c r="BN8" s="57">
        <f>SUMIFS(tblFleet[Operating_h],tblFleet[Date],$A8,tblFleet[Equipment_Class],"Haul Truck")</f>
        <v/>
      </c>
      <c r="BO8" s="57">
        <f>IF($B8=$B7,$BO7,0)+$BN8</f>
        <v/>
      </c>
      <c r="BP8" s="57">
        <f>$BP7+$BN8</f>
        <v/>
      </c>
      <c r="BQ8" s="67">
        <f>IFERROR(IF(($BH8)&gt;0,($BK8)/($BH8),""),"")</f>
        <v/>
      </c>
      <c r="BR8" s="67">
        <f>IFERROR(IF(($BI8)&gt;0,($BL8)/($BI8),""),"")</f>
        <v/>
      </c>
      <c r="BS8" s="67">
        <f>IFERROR(IF(($BJ8)&gt;0,($BM8)/($BJ8),""),"")</f>
        <v/>
      </c>
      <c r="BT8" s="67">
        <f>IFERROR(IF(($BK8)&gt;0,($BN8)/($BK8),""),"")</f>
        <v/>
      </c>
      <c r="BU8" s="67">
        <f>IFERROR(IF(($BL8)&gt;0,($BO8)/($BL8),""),"")</f>
        <v/>
      </c>
      <c r="BV8" s="67">
        <f>IFERROR(IF(($BM8)&gt;0,($BP8)/($BM8),""),"")</f>
        <v/>
      </c>
      <c r="BW8" s="55">
        <f>SUMIFS(tblPlant[Crushed_t],tblPlant[Date],$A8)</f>
        <v/>
      </c>
      <c r="BX8" s="55">
        <f>IF($B8=$B7,$BX7,0)+$BW8</f>
        <v/>
      </c>
      <c r="BY8" s="55">
        <f>$BY7+$BW8</f>
        <v/>
      </c>
      <c r="BZ8" s="55">
        <f>SUMIFS(tblPlant[Milled_t],tblPlant[Date],$A8)</f>
        <v/>
      </c>
      <c r="CA8" s="55">
        <f>IF($B8=$B7,$CA7,0)+$BZ8</f>
        <v/>
      </c>
      <c r="CB8" s="55">
        <f>$CB7+$BZ8</f>
        <v/>
      </c>
      <c r="CC8" s="55">
        <f>SUMIFS(tblPlant[Feed_oz],tblPlant[Date],$A8)</f>
        <v/>
      </c>
      <c r="CD8" s="55">
        <f>IF($B8=$B7,$CD7,0)+$CC8</f>
        <v/>
      </c>
      <c r="CE8" s="55">
        <f>$CE7+$CC8</f>
        <v/>
      </c>
      <c r="CF8" s="55">
        <f>SUMIFS(tblPlant[Tails_oz],tblPlant[Date],$A8)</f>
        <v/>
      </c>
      <c r="CG8" s="55">
        <f>IF($B8=$B7,$CG7,0)+$CF8</f>
        <v/>
      </c>
      <c r="CH8" s="55">
        <f>$CH7+$CF8</f>
        <v/>
      </c>
      <c r="CI8" s="55">
        <f>SUMIFS(tblPlant[Recovered_oz],tblPlant[Date],$A8)</f>
        <v/>
      </c>
      <c r="CJ8" s="55">
        <f>IF($B8=$B7,$CJ7,0)+$CI8</f>
        <v/>
      </c>
      <c r="CK8" s="55">
        <f>$CK7+$CI8</f>
        <v/>
      </c>
      <c r="CL8" s="56">
        <f>IFERROR(IF(($BZ8)&gt;0,($CC8*cfg_TroyOz)/($BZ8),""),"")</f>
        <v/>
      </c>
      <c r="CM8" s="56">
        <f>IFERROR(IF(($CA8)&gt;0,($CD8*cfg_TroyOz)/($CA8),""),"")</f>
        <v/>
      </c>
      <c r="CN8" s="56">
        <f>IFERROR(IF(($CB8)&gt;0,($CE8*cfg_TroyOz)/($CB8),""),"")</f>
        <v/>
      </c>
      <c r="CO8" s="56">
        <f>IFERROR(IF(($BZ8)&gt;0,($CF8*cfg_TroyOz)/($BZ8),""),"")</f>
        <v/>
      </c>
      <c r="CP8" s="56">
        <f>IFERROR(IF(($CA8)&gt;0,($CG8*cfg_TroyOz)/($CA8),""),"")</f>
        <v/>
      </c>
      <c r="CQ8" s="56">
        <f>IFERROR(IF(($CB8)&gt;0,($CH8*cfg_TroyOz)/($CB8),""),"")</f>
        <v/>
      </c>
      <c r="CR8" s="67">
        <f>IFERROR(IF(($CC8)&gt;0,($CI8)/($CC8),""),"")</f>
        <v/>
      </c>
      <c r="CS8" s="67">
        <f>IFERROR(IF(($CD8)&gt;0,($CJ8)/($CD8),""),"")</f>
        <v/>
      </c>
      <c r="CT8" s="67">
        <f>IFERROR(IF(($CE8)&gt;0,($CK8)/($CE8),""),"")</f>
        <v/>
      </c>
      <c r="CU8" s="55">
        <f>SUMIFS(tblPlant[Gravity_Gold_oz],tblPlant[Date],$A8)</f>
        <v/>
      </c>
      <c r="CV8" s="55">
        <f>IF($B8=$B7,$CV7,0)+$CU8</f>
        <v/>
      </c>
      <c r="CW8" s="55">
        <f>$CW7+$CU8</f>
        <v/>
      </c>
      <c r="CX8" s="55">
        <f>SUMIFS(tblPlant[Gold_Poured_oz],tblPlant[Date],$A8)</f>
        <v/>
      </c>
      <c r="CY8" s="55">
        <f>IF($B8=$B7,$CY7,0)+$CX8</f>
        <v/>
      </c>
      <c r="CZ8" s="55">
        <f>$CZ7+$CX8</f>
        <v/>
      </c>
      <c r="DA8" s="57">
        <f>SUMIFS(tblPlant[Mill_Run_h],tblPlant[Date],$A8)</f>
        <v/>
      </c>
      <c r="DB8" s="57">
        <f>IF($B8=$B7,$DB7,0)+$DA8</f>
        <v/>
      </c>
      <c r="DC8" s="57">
        <f>$DC7+$DA8</f>
        <v/>
      </c>
      <c r="DD8" s="57">
        <f>SUMIFS(tblPlant[Mill_Planned_Maint_h],tblPlant[Date],$A8)</f>
        <v/>
      </c>
      <c r="DE8" s="57">
        <f>IF($B8=$B7,$DE7,0)+$DD8</f>
        <v/>
      </c>
      <c r="DF8" s="57">
        <f>$DF7+$DD8</f>
        <v/>
      </c>
      <c r="DG8" s="57">
        <f>SUMIFS(tblPlant[Mill_Unplanned_Down_h],tblPlant[Date],$A8)</f>
        <v/>
      </c>
      <c r="DH8" s="57">
        <f>IF($B8=$B7,$DH7,0)+$DG8</f>
        <v/>
      </c>
      <c r="DI8" s="57">
        <f>$DI7+$DG8</f>
        <v/>
      </c>
      <c r="DJ8" s="57">
        <f>COUNTIFS(tblPlant[Date],$A8,tblPlant[Mill_Run_h],"&lt;&gt;")*24</f>
        <v/>
      </c>
      <c r="DK8" s="57">
        <f>IF($B8=$B7,$DK7,0)+$DJ8</f>
        <v/>
      </c>
      <c r="DL8" s="57">
        <f>$DL7+$DJ8</f>
        <v/>
      </c>
      <c r="DM8" s="57">
        <f>SUMIFS(tblPlant[Crusher_Run_h],tblPlant[Date],$A8)</f>
        <v/>
      </c>
      <c r="DN8" s="57">
        <f>IF($B8=$B7,$DN7,0)+$DM8</f>
        <v/>
      </c>
      <c r="DO8" s="57">
        <f>$DO7+$DM8</f>
        <v/>
      </c>
      <c r="DP8" s="55">
        <f>IFERROR(IF(($DA8)&gt;0,($BZ8)/($DA8),""),"")</f>
        <v/>
      </c>
      <c r="DQ8" s="55">
        <f>IFERROR(IF(($DB8)&gt;0,($CA8)/($DB8),""),"")</f>
        <v/>
      </c>
      <c r="DR8" s="55">
        <f>IFERROR(IF(($DC8)&gt;0,($CB8)/($DC8),""),"")</f>
        <v/>
      </c>
      <c r="DS8" s="67">
        <f>IFERROR(IF(($DJ8)&gt;0,($DJ8-$DD8-$DG8)/($DJ8),""),"")</f>
        <v/>
      </c>
      <c r="DT8" s="67">
        <f>IFERROR(IF(($DK8)&gt;0,($DK8-$DE8-$DH8)/($DK8),""),"")</f>
        <v/>
      </c>
      <c r="DU8" s="67">
        <f>IFERROR(IF(($DL8)&gt;0,($DL8-$DF8-$DI8)/($DL8),""),"")</f>
        <v/>
      </c>
      <c r="DV8" s="67">
        <f>IFERROR(IF(($DJ8-$DD8-$DG8)&gt;0,($DA8)/($DJ8-$DD8-$DG8),""),"")</f>
        <v/>
      </c>
      <c r="DW8" s="67">
        <f>IFERROR(IF(($DK8-$DE8-$DH8)&gt;0,($DB8)/($DK8-$DE8-$DH8),""),"")</f>
        <v/>
      </c>
      <c r="DX8" s="67">
        <f>IFERROR(IF(($DL8-$DF8-$DI8)&gt;0,($DC8)/($DL8-$DF8-$DI8),""),"")</f>
        <v/>
      </c>
      <c r="DY8" s="55">
        <f>SUMIFS(tblPlant[Cyanide_kg],tblPlant[Date],$A8)</f>
        <v/>
      </c>
      <c r="DZ8" s="55">
        <f>IF($B8=$B7,$DZ7,0)+$DY8</f>
        <v/>
      </c>
      <c r="EA8" s="55">
        <f>$EA7+$DY8</f>
        <v/>
      </c>
      <c r="EB8" s="55">
        <f>SUMIFS(tblPlant[Lime_kg],tblPlant[Date],$A8)</f>
        <v/>
      </c>
      <c r="EC8" s="55">
        <f>IF($B8=$B7,$EC7,0)+$EB8</f>
        <v/>
      </c>
      <c r="ED8" s="55">
        <f>$ED7+$EB8</f>
        <v/>
      </c>
      <c r="EE8" s="55">
        <f>SUMIFS(tblPlant[Grinding_Media_kg],tblPlant[Date],$A8)</f>
        <v/>
      </c>
      <c r="EF8" s="55">
        <f>IF($B8=$B7,$EF7,0)+$EE8</f>
        <v/>
      </c>
      <c r="EG8" s="55">
        <f>$EG7+$EE8</f>
        <v/>
      </c>
      <c r="EH8" s="55">
        <f>SUMIFS(tblPlant[Power_kWh],tblPlant[Date],$A8)</f>
        <v/>
      </c>
      <c r="EI8" s="55">
        <f>IF($B8=$B7,$EI7,0)+$EH8</f>
        <v/>
      </c>
      <c r="EJ8" s="55">
        <f>$EJ7+$EH8</f>
        <v/>
      </c>
      <c r="EK8" s="55">
        <f>SUMIFS(tblPlant[Raw_Water_m3],tblPlant[Date],$A8)</f>
        <v/>
      </c>
      <c r="EL8" s="55">
        <f>IF($B8=$B7,$EL7,0)+$EK8</f>
        <v/>
      </c>
      <c r="EM8" s="55">
        <f>$EM7+$EK8</f>
        <v/>
      </c>
      <c r="EN8" s="56">
        <f>IFERROR(IF(($BZ8)&gt;0,($DY8)/($BZ8),""),"")</f>
        <v/>
      </c>
      <c r="EO8" s="56">
        <f>IFERROR(IF(($CA8)&gt;0,($DZ8)/($CA8),""),"")</f>
        <v/>
      </c>
      <c r="EP8" s="56">
        <f>IFERROR(IF(($CB8)&gt;0,($EA8)/($CB8),""),"")</f>
        <v/>
      </c>
      <c r="EQ8" s="56">
        <f>IFERROR(IF(($BZ8)&gt;0,($EB8)/($BZ8),""),"")</f>
        <v/>
      </c>
      <c r="ER8" s="56">
        <f>IFERROR(IF(($CA8)&gt;0,($EC8)/($CA8),""),"")</f>
        <v/>
      </c>
      <c r="ES8" s="56">
        <f>IFERROR(IF(($CB8)&gt;0,($ED8)/($CB8),""),"")</f>
        <v/>
      </c>
      <c r="ET8" s="56">
        <f>IFERROR(IF(($BZ8)&gt;0,($EE8)/($BZ8),""),"")</f>
        <v/>
      </c>
      <c r="EU8" s="56">
        <f>IFERROR(IF(($CA8)&gt;0,($EF8)/($CA8),""),"")</f>
        <v/>
      </c>
      <c r="EV8" s="56">
        <f>IFERROR(IF(($CB8)&gt;0,($EG8)/($CB8),""),"")</f>
        <v/>
      </c>
      <c r="EW8" s="76">
        <f>IFERROR(IF(($BZ8)&gt;0,($EH8)/($BZ8),""),"")</f>
        <v/>
      </c>
      <c r="EX8" s="76">
        <f>IFERROR(IF(($CA8)&gt;0,($EI8)/($CA8),""),"")</f>
        <v/>
      </c>
      <c r="EY8" s="76">
        <f>IFERROR(IF(($CB8)&gt;0,($EJ8)/($CB8),""),"")</f>
        <v/>
      </c>
      <c r="EZ8" s="56">
        <f>IFERROR(IF(($BZ8)&gt;0,($EK8)/($BZ8),""),"")</f>
        <v/>
      </c>
      <c r="FA8" s="56">
        <f>IFERROR(IF(($CA8)&gt;0,($EL8)/($CA8),""),"")</f>
        <v/>
      </c>
      <c r="FB8" s="56">
        <f>IFERROR(IF(($CB8)&gt;0,($EM8)/($CB8),""),"")</f>
        <v/>
      </c>
      <c r="FC8" s="55">
        <f>IF(SUMIFS(tblPlant[GIC_oz],tblPlant[Date],$A8)&gt;0,SUMIFS(tblPlant[GIC_oz],tblPlant[Date],$A8),"")</f>
        <v/>
      </c>
      <c r="FD8" s="55">
        <f>SUMIFS(tblGold[Gold_oz],tblGold[Date],$A8,tblGold[Type],"Shipment")</f>
        <v/>
      </c>
      <c r="FE8" s="55">
        <f>IF($B8=$B7,$FE7,0)+$FD8</f>
        <v/>
      </c>
      <c r="FF8" s="55">
        <f>$FF7+$FD8</f>
        <v/>
      </c>
      <c r="FG8" s="55">
        <f>SUMIFS(tblGold[Gold_oz],tblGold[Date],$A8,tblGold[Type],"Sale")</f>
        <v/>
      </c>
      <c r="FH8" s="55">
        <f>IF($B8=$B7,$FH7,0)+$FG8</f>
        <v/>
      </c>
      <c r="FI8" s="55">
        <f>$FI7+$FG8</f>
        <v/>
      </c>
      <c r="FJ8" s="55">
        <f>SUMIFS(tblGold[Dore_kg],tblGold[Date],$A8,tblGold[Type],"Shipment")</f>
        <v/>
      </c>
      <c r="FK8" s="55">
        <f>IF($B8=$B7,$FK7,0)+$FJ8</f>
        <v/>
      </c>
      <c r="FL8" s="55">
        <f>$FL7+$FJ8</f>
        <v/>
      </c>
      <c r="FM8" s="57">
        <f>SUMIFS(tblSafety[Hours_Total],tblSafety[Date],$A8)</f>
        <v/>
      </c>
      <c r="FN8" s="57">
        <f>IF($B8=$B7,$FN7,0)+$FM8</f>
        <v/>
      </c>
      <c r="FO8" s="57">
        <f>$FO7+$FM8</f>
        <v/>
      </c>
      <c r="FP8" s="62">
        <f>SUMIFS(tblSafety[Fatality],tblSafety[Date],$A8)</f>
        <v/>
      </c>
      <c r="FQ8" s="62">
        <f>IF($B8=$B7,$FQ7,0)+$FP8</f>
        <v/>
      </c>
      <c r="FR8" s="62">
        <f>$FR7+$FP8</f>
        <v/>
      </c>
      <c r="FS8" s="62">
        <f>SUMIFS(tblSafety[LTI],tblSafety[Date],$A8)</f>
        <v/>
      </c>
      <c r="FT8" s="62">
        <f>IF($B8=$B7,$FT7,0)+$FS8</f>
        <v/>
      </c>
      <c r="FU8" s="62">
        <f>$FU7+$FS8</f>
        <v/>
      </c>
      <c r="FV8" s="62">
        <f>SUMIFS(tblSafety[RWI],tblSafety[Date],$A8)</f>
        <v/>
      </c>
      <c r="FW8" s="62">
        <f>IF($B8=$B7,$FW7,0)+$FV8</f>
        <v/>
      </c>
      <c r="FX8" s="62">
        <f>$FX7+$FV8</f>
        <v/>
      </c>
      <c r="FY8" s="62">
        <f>SUMIFS(tblSafety[MTI],tblSafety[Date],$A8)</f>
        <v/>
      </c>
      <c r="FZ8" s="62">
        <f>IF($B8=$B7,$FZ7,0)+$FY8</f>
        <v/>
      </c>
      <c r="GA8" s="62">
        <f>$GA7+$FY8</f>
        <v/>
      </c>
      <c r="GB8" s="62">
        <f>SUMIFS(tblSafety[FAI],tblSafety[Date],$A8)</f>
        <v/>
      </c>
      <c r="GC8" s="62">
        <f>IF($B8=$B7,$GC7,0)+$GB8</f>
        <v/>
      </c>
      <c r="GD8" s="62">
        <f>$GD7+$GB8</f>
        <v/>
      </c>
      <c r="GE8" s="62">
        <f>SUMIFS(tblSafety[Recordables],tblSafety[Date],$A8)</f>
        <v/>
      </c>
      <c r="GF8" s="62">
        <f>IF($B8=$B7,$GF7,0)+$GE8</f>
        <v/>
      </c>
      <c r="GG8" s="62">
        <f>$GG7+$GE8</f>
        <v/>
      </c>
      <c r="GH8" s="62">
        <f>SUMIFS(tblSafety[Near_Miss],tblSafety[Date],$A8)</f>
        <v/>
      </c>
      <c r="GI8" s="62">
        <f>IF($B8=$B7,$GI7,0)+$GH8</f>
        <v/>
      </c>
      <c r="GJ8" s="62">
        <f>$GJ7+$GH8</f>
        <v/>
      </c>
      <c r="GK8" s="62">
        <f>SUMIFS(tblSafety[Hazard_Reports],tblSafety[Date],$A8)</f>
        <v/>
      </c>
      <c r="GL8" s="62">
        <f>IF($B8=$B7,$GL7,0)+$GK8</f>
        <v/>
      </c>
      <c r="GM8" s="62">
        <f>$GM7+$GK8</f>
        <v/>
      </c>
      <c r="GN8" s="62">
        <f>SUMIFS(tblSafety[HPI],tblSafety[Date],$A8)</f>
        <v/>
      </c>
      <c r="GO8" s="62">
        <f>IF($B8=$B7,$GO7,0)+$GN8</f>
        <v/>
      </c>
      <c r="GP8" s="62">
        <f>$GP7+$GN8</f>
        <v/>
      </c>
      <c r="GQ8" s="62">
        <f>SUMIFS(tblSafety[Env_Incidents],tblSafety[Date],$A8)</f>
        <v/>
      </c>
      <c r="GR8" s="62">
        <f>IF($B8=$B7,$GR7,0)+$GQ8</f>
        <v/>
      </c>
      <c r="GS8" s="62">
        <f>$GS7+$GQ8</f>
        <v/>
      </c>
      <c r="GT8" s="62">
        <f>SUMIFS(tblSafety[Community_Incidents],tblSafety[Date],$A8)</f>
        <v/>
      </c>
      <c r="GU8" s="62">
        <f>IF($B8=$B7,$GU7,0)+$GT8</f>
        <v/>
      </c>
      <c r="GV8" s="62">
        <f>$GV7+$GT8</f>
        <v/>
      </c>
      <c r="GW8" s="62">
        <f>SUMIFS(tblSafety[Vehicle_Incidents],tblSafety[Date],$A8)</f>
        <v/>
      </c>
      <c r="GX8" s="62">
        <f>IF($B8=$B7,$GX7,0)+$GW8</f>
        <v/>
      </c>
      <c r="GY8" s="62">
        <f>$GY7+$GW8</f>
        <v/>
      </c>
      <c r="GZ8" s="62">
        <f>SUMIFS(tblSafety[Toolbox_Talks],tblSafety[Date],$A8)</f>
        <v/>
      </c>
      <c r="HA8" s="62">
        <f>IF($B8=$B7,$HA7,0)+$GZ8</f>
        <v/>
      </c>
      <c r="HB8" s="62">
        <f>$HB7+$GZ8</f>
        <v/>
      </c>
      <c r="HC8" s="62">
        <f>SUMIFS(tblSafety[Inspections],tblSafety[Date],$A8)</f>
        <v/>
      </c>
      <c r="HD8" s="62">
        <f>IF($B8=$B7,$HD7,0)+$HC8</f>
        <v/>
      </c>
      <c r="HE8" s="62">
        <f>$HE7+$HC8</f>
        <v/>
      </c>
      <c r="HF8" s="56">
        <f>IFERROR((SUMIFS(tblSafety[Recordables],tblSafety[Date],"&gt;="&amp;EDATE($E8,-12),tblSafety[Date],"&lt;="&amp;$A8)+SUMIFS(tblSafetyHistory[Recordables],tblSafetyHistory[Month],"&gt;="&amp;EDATE($E8,-12),tblSafetyHistory[Month],"&lt;"&amp;cfg_YearStart))/(SUMIFS(tblSafety[Hours_Total],tblSafety[Date],"&gt;="&amp;EDATE($E8,-12),tblSafety[Date],"&lt;="&amp;$A8)+SUMIFS(tblSafetyHistory[Hours_Total],tblSafetyHistory[Month],"&gt;="&amp;EDATE($E8,-12),tblSafetyHistory[Month],"&lt;"&amp;cfg_YearStart))*1000000,"")</f>
        <v/>
      </c>
      <c r="HG8" s="56">
        <f>IFERROR((SUMIFS(tblSafety[LTI],tblSafety[Date],"&gt;="&amp;EDATE($E8,-12),tblSafety[Date],"&lt;="&amp;$A8)+SUMIFS(tblSafetyHistory[LTI],tblSafetyHistory[Month],"&gt;="&amp;EDATE($E8,-12),tblSafetyHistory[Month],"&lt;"&amp;cfg_YearStart))/(SUMIFS(tblSafety[Hours_Total],tblSafety[Date],"&gt;="&amp;EDATE($E8,-12),tblSafety[Date],"&lt;="&amp;$A8)+SUMIFS(tblSafetyHistory[Hours_Total],tblSafetyHistory[Month],"&gt;="&amp;EDATE($E8,-12),tblSafetyHistory[Month],"&lt;"&amp;cfg_YearStart))*1000000,"")</f>
        <v/>
      </c>
      <c r="HH8" s="62">
        <f>IF(MAX(N(cfg_PriorLTIDate),_xlfn.MAXIFS(tblSafety[Date],tblSafety[LTI],"&gt;0",tblSafety[Date],"&lt;="&amp;$A8))=0,"",$A8-MAX(N(cfg_PriorLTIDate),_xlfn.MAXIFS(tblSafety[Date],tblSafety[LTI],"&gt;0",tblSafety[Date],"&lt;="&amp;$A8)))</f>
        <v/>
      </c>
      <c r="HI8" s="55">
        <f>SUMIFS(tblBudget[Ore_Mined_t],tblBudget[Month],$E8)</f>
        <v/>
      </c>
      <c r="HJ8" s="55">
        <f>$HI8*$C8/$D8</f>
        <v/>
      </c>
      <c r="HK8" s="55">
        <f>SUMIFS(tblBudget[Ore_Mined_t],tblBudget[Month],"&lt;"&amp;$E8)+$HJ8</f>
        <v/>
      </c>
      <c r="HL8" s="55">
        <f>SUMIFS(tblBudget[Ore_oz],tblBudget[Month],$E8)</f>
        <v/>
      </c>
      <c r="HM8" s="55">
        <f>$HL8*$C8/$D8</f>
        <v/>
      </c>
      <c r="HN8" s="55">
        <f>SUMIFS(tblBudget[Ore_oz],tblBudget[Month],"&lt;"&amp;$E8)+$HM8</f>
        <v/>
      </c>
      <c r="HO8" s="56">
        <f>IFERROR(IF(($HI8)&gt;0,($HL8*cfg_TroyOz)/($HI8),""),"")</f>
        <v/>
      </c>
      <c r="HP8" s="56">
        <f>IFERROR(IF(($HJ8)&gt;0,($HM8*cfg_TroyOz)/($HJ8),""),"")</f>
        <v/>
      </c>
      <c r="HQ8" s="56">
        <f>IFERROR(IF(($HK8)&gt;0,($HN8*cfg_TroyOz)/($HK8),""),"")</f>
        <v/>
      </c>
      <c r="HR8" s="55">
        <f>SUMIFS(tblBudget[Waste_t],tblBudget[Month],$E8)</f>
        <v/>
      </c>
      <c r="HS8" s="55">
        <f>$HR8*$C8/$D8</f>
        <v/>
      </c>
      <c r="HT8" s="55">
        <f>SUMIFS(tblBudget[Waste_t],tblBudget[Month],"&lt;"&amp;$E8)+$HS8</f>
        <v/>
      </c>
      <c r="HU8" s="55">
        <f>SUMIFS(tblBudget[TMM_t],tblBudget[Month],$E8)</f>
        <v/>
      </c>
      <c r="HV8" s="55">
        <f>$HU8*$C8/$D8</f>
        <v/>
      </c>
      <c r="HW8" s="55">
        <f>SUMIFS(tblBudget[TMM_t],tblBudget[Month],"&lt;"&amp;$E8)+$HV8</f>
        <v/>
      </c>
      <c r="HX8" s="56">
        <f>IFERROR(IF(($HI8)&gt;0,($HR8)/($HI8),""),"")</f>
        <v/>
      </c>
      <c r="HY8" s="56">
        <f>IFERROR(IF(($HJ8)&gt;0,($HS8)/($HJ8),""),"")</f>
        <v/>
      </c>
      <c r="HZ8" s="56">
        <f>IFERROR(IF(($HK8)&gt;0,($HT8)/($HK8),""),"")</f>
        <v/>
      </c>
      <c r="IA8" s="55">
        <f>SUMIFS(tblBudget[Drill_m],tblBudget[Month],$E8)</f>
        <v/>
      </c>
      <c r="IB8" s="55">
        <f>$IA8*$C8/$D8</f>
        <v/>
      </c>
      <c r="IC8" s="55">
        <f>SUMIFS(tblBudget[Drill_m],tblBudget[Month],"&lt;"&amp;$E8)+$IB8</f>
        <v/>
      </c>
      <c r="ID8" s="55">
        <f>SUMIFS(tblBudget[Diesel_L],tblBudget[Month],$E8)</f>
        <v/>
      </c>
      <c r="IE8" s="55">
        <f>$ID8*$C8/$D8</f>
        <v/>
      </c>
      <c r="IF8" s="55">
        <f>SUMIFS(tblBudget[Diesel_L],tblBudget[Month],"&lt;"&amp;$E8)+$IE8</f>
        <v/>
      </c>
      <c r="IG8" s="55">
        <f>SUMIFS(tblBudget[Milled_t],tblBudget[Month],$E8)</f>
        <v/>
      </c>
      <c r="IH8" s="55">
        <f>$IG8*$C8/$D8</f>
        <v/>
      </c>
      <c r="II8" s="55">
        <f>SUMIFS(tblBudget[Milled_t],tblBudget[Month],"&lt;"&amp;$E8)+$IH8</f>
        <v/>
      </c>
      <c r="IJ8" s="55">
        <f>SUMIFS(tblBudget[Feed_oz],tblBudget[Month],$E8)</f>
        <v/>
      </c>
      <c r="IK8" s="55">
        <f>$IJ8*$C8/$D8</f>
        <v/>
      </c>
      <c r="IL8" s="55">
        <f>SUMIFS(tblBudget[Feed_oz],tblBudget[Month],"&lt;"&amp;$E8)+$IK8</f>
        <v/>
      </c>
      <c r="IM8" s="55">
        <f>SUMIFS(tblBudget[Recovered_oz],tblBudget[Month],$E8)</f>
        <v/>
      </c>
      <c r="IN8" s="55">
        <f>$IM8*$C8/$D8</f>
        <v/>
      </c>
      <c r="IO8" s="55">
        <f>SUMIFS(tblBudget[Recovered_oz],tblBudget[Month],"&lt;"&amp;$E8)+$IN8</f>
        <v/>
      </c>
      <c r="IP8" s="56">
        <f>IFERROR(IF(($IG8)&gt;0,($IJ8*cfg_TroyOz)/($IG8),""),"")</f>
        <v/>
      </c>
      <c r="IQ8" s="56">
        <f>IFERROR(IF(($IH8)&gt;0,($IK8*cfg_TroyOz)/($IH8),""),"")</f>
        <v/>
      </c>
      <c r="IR8" s="56">
        <f>IFERROR(IF(($II8)&gt;0,($IL8*cfg_TroyOz)/($II8),""),"")</f>
        <v/>
      </c>
      <c r="IS8" s="67">
        <f>IFERROR(IF(($IJ8)&gt;0,($IM8)/($IJ8),""),"")</f>
        <v/>
      </c>
      <c r="IT8" s="67">
        <f>IFERROR(IF(($IK8)&gt;0,($IN8)/($IK8),""),"")</f>
        <v/>
      </c>
      <c r="IU8" s="67">
        <f>IFERROR(IF(($IL8)&gt;0,($IO8)/($IL8),""),"")</f>
        <v/>
      </c>
      <c r="IV8" s="55">
        <f>SUMIFS(tblBudget[Gold_Poured_oz],tblBudget[Month],$E8)</f>
        <v/>
      </c>
      <c r="IW8" s="55">
        <f>$IV8*$C8/$D8</f>
        <v/>
      </c>
      <c r="IX8" s="55">
        <f>SUMIFS(tblBudget[Gold_Poured_oz],tblBudget[Month],"&lt;"&amp;$E8)+$IW8</f>
        <v/>
      </c>
      <c r="IY8" s="57">
        <f>SUMIFS(tblBudget[Hours_Worked],tblBudget[Month],$E8)</f>
        <v/>
      </c>
      <c r="IZ8" s="57">
        <f>$IY8*$C8/$D8</f>
        <v/>
      </c>
      <c r="JA8" s="57">
        <f>SUMIFS(tblBudget[Hours_Worked],tblBudget[Month],"&lt;"&amp;$E8)+$IZ8</f>
        <v/>
      </c>
    </row>
    <row r="9">
      <c r="A9" s="54" t="n">
        <v>46030</v>
      </c>
      <c r="B9">
        <f>MONTH($A9)</f>
        <v/>
      </c>
      <c r="C9">
        <f>DAY($A9)</f>
        <v/>
      </c>
      <c r="D9">
        <f>DAY(EOMONTH($A9,0))</f>
        <v/>
      </c>
      <c r="E9" s="54">
        <f>DATE(YEAR($A9),MONTH($A9),1)</f>
        <v/>
      </c>
      <c r="F9" s="55">
        <f>SUMIFS(tblMovement[Tonnes_t],tblMovement[Date],$A9,tblMovement[Is_Ore],1,tblMovement[Source_Type],"Pit")</f>
        <v/>
      </c>
      <c r="G9" s="55">
        <f>IF($B9=$B8,$G8,0)+$F9</f>
        <v/>
      </c>
      <c r="H9" s="55">
        <f>$H8+$F9</f>
        <v/>
      </c>
      <c r="I9" s="55">
        <f>SUMIFS(tblMovement[Ore_oz],tblMovement[Date],$A9,tblMovement[Source_Type],"Pit")</f>
        <v/>
      </c>
      <c r="J9" s="55">
        <f>IF($B9=$B8,$J8,0)+$I9</f>
        <v/>
      </c>
      <c r="K9" s="55">
        <f>$K8+$I9</f>
        <v/>
      </c>
      <c r="L9" s="56">
        <f>IFERROR(IF(($F9)&gt;0,($I9*cfg_TroyOz)/($F9),""),"")</f>
        <v/>
      </c>
      <c r="M9" s="56">
        <f>IFERROR(IF(($G9)&gt;0,($J9*cfg_TroyOz)/($G9),""),"")</f>
        <v/>
      </c>
      <c r="N9" s="56">
        <f>IFERROR(IF(($H9)&gt;0,($K9*cfg_TroyOz)/($H9),""),"")</f>
        <v/>
      </c>
      <c r="O9" s="55">
        <f>SUMIFS(tblMovement[Tonnes_t],tblMovement[Date],$A9,tblMovement[Is_Ore],0,tblMovement[Source_Type],"Pit")</f>
        <v/>
      </c>
      <c r="P9" s="55">
        <f>IF($B9=$B8,$P8,0)+$O9</f>
        <v/>
      </c>
      <c r="Q9" s="55">
        <f>$Q8+$O9</f>
        <v/>
      </c>
      <c r="R9" s="55">
        <f>$F9+$O9</f>
        <v/>
      </c>
      <c r="S9" s="55">
        <f>IF($B9=$B8,$S8,0)+$R9</f>
        <v/>
      </c>
      <c r="T9" s="55">
        <f>$T8+$R9</f>
        <v/>
      </c>
      <c r="U9" s="56">
        <f>IFERROR(IF(($F9)&gt;0,($O9)/($F9),""),"")</f>
        <v/>
      </c>
      <c r="V9" s="56">
        <f>IFERROR(IF(($G9)&gt;0,($P9)/($G9),""),"")</f>
        <v/>
      </c>
      <c r="W9" s="56">
        <f>IFERROR(IF(($H9)&gt;0,($Q9)/($H9),""),"")</f>
        <v/>
      </c>
      <c r="X9" s="55">
        <f>SUMIFS(tblMovement[Tonnes_t],tblMovement[Date],$A9,tblMovement[Source_Type],"Stockpile")</f>
        <v/>
      </c>
      <c r="Y9" s="55">
        <f>IF($B9=$B8,$Y8,0)+$X9</f>
        <v/>
      </c>
      <c r="Z9" s="55">
        <f>$Z8+$X9</f>
        <v/>
      </c>
      <c r="AA9" s="55">
        <f>SUMIFS(tblMiningDaily[Drill_m],tblMiningDaily[Date],$A9)</f>
        <v/>
      </c>
      <c r="AB9" s="55">
        <f>IF($B9=$B8,$AB8,0)+$AA9</f>
        <v/>
      </c>
      <c r="AC9" s="55">
        <f>$AC8+$AA9</f>
        <v/>
      </c>
      <c r="AD9" s="55">
        <f>SUMIFS(tblMiningDaily[Blast_t],tblMiningDaily[Date],$A9)</f>
        <v/>
      </c>
      <c r="AE9" s="55">
        <f>IF($B9=$B8,$AE8,0)+$AD9</f>
        <v/>
      </c>
      <c r="AF9" s="55">
        <f>$AF8+$AD9</f>
        <v/>
      </c>
      <c r="AG9" s="55">
        <f>SUMIFS(tblMiningDaily[Explosives_kg],tblMiningDaily[Date],$A9)</f>
        <v/>
      </c>
      <c r="AH9" s="55">
        <f>IF($B9=$B8,$AH8,0)+$AG9</f>
        <v/>
      </c>
      <c r="AI9" s="55">
        <f>$AI8+$AG9</f>
        <v/>
      </c>
      <c r="AJ9" s="56">
        <f>IFERROR(IF(($AD9)&gt;0,($AG9)/($AD9),""),"")</f>
        <v/>
      </c>
      <c r="AK9" s="56">
        <f>IFERROR(IF(($AE9)&gt;0,($AH9)/($AE9),""),"")</f>
        <v/>
      </c>
      <c r="AL9" s="56">
        <f>IFERROR(IF(($AF9)&gt;0,($AI9)/($AF9),""),"")</f>
        <v/>
      </c>
      <c r="AM9" s="55">
        <f>SUMIFS(tblMiningDaily[Diesel_L],tblMiningDaily[Date],$A9)</f>
        <v/>
      </c>
      <c r="AN9" s="55">
        <f>IF($B9=$B8,$AN8,0)+$AM9</f>
        <v/>
      </c>
      <c r="AO9" s="55">
        <f>$AO8+$AM9</f>
        <v/>
      </c>
      <c r="AP9" s="55">
        <f>SUMIFS(tblMiningDaily[Dewatering_m3],tblMiningDaily[Date],$A9)</f>
        <v/>
      </c>
      <c r="AQ9" s="55">
        <f>IF($B9=$B8,$AQ8,0)+$AP9</f>
        <v/>
      </c>
      <c r="AR9" s="55">
        <f>$AR8+$AP9</f>
        <v/>
      </c>
      <c r="AS9" s="57">
        <f>SUMIFS(tblFleet[Calendar_h],tblFleet[Date],$A9,tblFleet[Equipment_Class],"Excavator")</f>
        <v/>
      </c>
      <c r="AT9" s="57">
        <f>IF($B9=$B8,$AT8,0)+$AS9</f>
        <v/>
      </c>
      <c r="AU9" s="57">
        <f>$AU8+$AS9</f>
        <v/>
      </c>
      <c r="AV9" s="57">
        <f>SUMIFS(tblFleet[Available_h],tblFleet[Date],$A9,tblFleet[Equipment_Class],"Excavator")</f>
        <v/>
      </c>
      <c r="AW9" s="57">
        <f>IF($B9=$B8,$AW8,0)+$AV9</f>
        <v/>
      </c>
      <c r="AX9" s="57">
        <f>$AX8+$AV9</f>
        <v/>
      </c>
      <c r="AY9" s="57">
        <f>SUMIFS(tblFleet[Operating_h],tblFleet[Date],$A9,tblFleet[Equipment_Class],"Excavator")</f>
        <v/>
      </c>
      <c r="AZ9" s="57">
        <f>IF($B9=$B8,$AZ8,0)+$AY9</f>
        <v/>
      </c>
      <c r="BA9" s="57">
        <f>$BA8+$AY9</f>
        <v/>
      </c>
      <c r="BB9" s="67">
        <f>IFERROR(IF(($AS9)&gt;0,($AV9)/($AS9),""),"")</f>
        <v/>
      </c>
      <c r="BC9" s="67">
        <f>IFERROR(IF(($AT9)&gt;0,($AW9)/($AT9),""),"")</f>
        <v/>
      </c>
      <c r="BD9" s="67">
        <f>IFERROR(IF(($AU9)&gt;0,($AX9)/($AU9),""),"")</f>
        <v/>
      </c>
      <c r="BE9" s="67">
        <f>IFERROR(IF(($AV9)&gt;0,($AY9)/($AV9),""),"")</f>
        <v/>
      </c>
      <c r="BF9" s="67">
        <f>IFERROR(IF(($AW9)&gt;0,($AZ9)/($AW9),""),"")</f>
        <v/>
      </c>
      <c r="BG9" s="67">
        <f>IFERROR(IF(($AX9)&gt;0,($BA9)/($AX9),""),"")</f>
        <v/>
      </c>
      <c r="BH9" s="57">
        <f>SUMIFS(tblFleet[Calendar_h],tblFleet[Date],$A9,tblFleet[Equipment_Class],"Haul Truck")</f>
        <v/>
      </c>
      <c r="BI9" s="57">
        <f>IF($B9=$B8,$BI8,0)+$BH9</f>
        <v/>
      </c>
      <c r="BJ9" s="57">
        <f>$BJ8+$BH9</f>
        <v/>
      </c>
      <c r="BK9" s="57">
        <f>SUMIFS(tblFleet[Available_h],tblFleet[Date],$A9,tblFleet[Equipment_Class],"Haul Truck")</f>
        <v/>
      </c>
      <c r="BL9" s="57">
        <f>IF($B9=$B8,$BL8,0)+$BK9</f>
        <v/>
      </c>
      <c r="BM9" s="57">
        <f>$BM8+$BK9</f>
        <v/>
      </c>
      <c r="BN9" s="57">
        <f>SUMIFS(tblFleet[Operating_h],tblFleet[Date],$A9,tblFleet[Equipment_Class],"Haul Truck")</f>
        <v/>
      </c>
      <c r="BO9" s="57">
        <f>IF($B9=$B8,$BO8,0)+$BN9</f>
        <v/>
      </c>
      <c r="BP9" s="57">
        <f>$BP8+$BN9</f>
        <v/>
      </c>
      <c r="BQ9" s="67">
        <f>IFERROR(IF(($BH9)&gt;0,($BK9)/($BH9),""),"")</f>
        <v/>
      </c>
      <c r="BR9" s="67">
        <f>IFERROR(IF(($BI9)&gt;0,($BL9)/($BI9),""),"")</f>
        <v/>
      </c>
      <c r="BS9" s="67">
        <f>IFERROR(IF(($BJ9)&gt;0,($BM9)/($BJ9),""),"")</f>
        <v/>
      </c>
      <c r="BT9" s="67">
        <f>IFERROR(IF(($BK9)&gt;0,($BN9)/($BK9),""),"")</f>
        <v/>
      </c>
      <c r="BU9" s="67">
        <f>IFERROR(IF(($BL9)&gt;0,($BO9)/($BL9),""),"")</f>
        <v/>
      </c>
      <c r="BV9" s="67">
        <f>IFERROR(IF(($BM9)&gt;0,($BP9)/($BM9),""),"")</f>
        <v/>
      </c>
      <c r="BW9" s="55">
        <f>SUMIFS(tblPlant[Crushed_t],tblPlant[Date],$A9)</f>
        <v/>
      </c>
      <c r="BX9" s="55">
        <f>IF($B9=$B8,$BX8,0)+$BW9</f>
        <v/>
      </c>
      <c r="BY9" s="55">
        <f>$BY8+$BW9</f>
        <v/>
      </c>
      <c r="BZ9" s="55">
        <f>SUMIFS(tblPlant[Milled_t],tblPlant[Date],$A9)</f>
        <v/>
      </c>
      <c r="CA9" s="55">
        <f>IF($B9=$B8,$CA8,0)+$BZ9</f>
        <v/>
      </c>
      <c r="CB9" s="55">
        <f>$CB8+$BZ9</f>
        <v/>
      </c>
      <c r="CC9" s="55">
        <f>SUMIFS(tblPlant[Feed_oz],tblPlant[Date],$A9)</f>
        <v/>
      </c>
      <c r="CD9" s="55">
        <f>IF($B9=$B8,$CD8,0)+$CC9</f>
        <v/>
      </c>
      <c r="CE9" s="55">
        <f>$CE8+$CC9</f>
        <v/>
      </c>
      <c r="CF9" s="55">
        <f>SUMIFS(tblPlant[Tails_oz],tblPlant[Date],$A9)</f>
        <v/>
      </c>
      <c r="CG9" s="55">
        <f>IF($B9=$B8,$CG8,0)+$CF9</f>
        <v/>
      </c>
      <c r="CH9" s="55">
        <f>$CH8+$CF9</f>
        <v/>
      </c>
      <c r="CI9" s="55">
        <f>SUMIFS(tblPlant[Recovered_oz],tblPlant[Date],$A9)</f>
        <v/>
      </c>
      <c r="CJ9" s="55">
        <f>IF($B9=$B8,$CJ8,0)+$CI9</f>
        <v/>
      </c>
      <c r="CK9" s="55">
        <f>$CK8+$CI9</f>
        <v/>
      </c>
      <c r="CL9" s="56">
        <f>IFERROR(IF(($BZ9)&gt;0,($CC9*cfg_TroyOz)/($BZ9),""),"")</f>
        <v/>
      </c>
      <c r="CM9" s="56">
        <f>IFERROR(IF(($CA9)&gt;0,($CD9*cfg_TroyOz)/($CA9),""),"")</f>
        <v/>
      </c>
      <c r="CN9" s="56">
        <f>IFERROR(IF(($CB9)&gt;0,($CE9*cfg_TroyOz)/($CB9),""),"")</f>
        <v/>
      </c>
      <c r="CO9" s="56">
        <f>IFERROR(IF(($BZ9)&gt;0,($CF9*cfg_TroyOz)/($BZ9),""),"")</f>
        <v/>
      </c>
      <c r="CP9" s="56">
        <f>IFERROR(IF(($CA9)&gt;0,($CG9*cfg_TroyOz)/($CA9),""),"")</f>
        <v/>
      </c>
      <c r="CQ9" s="56">
        <f>IFERROR(IF(($CB9)&gt;0,($CH9*cfg_TroyOz)/($CB9),""),"")</f>
        <v/>
      </c>
      <c r="CR9" s="67">
        <f>IFERROR(IF(($CC9)&gt;0,($CI9)/($CC9),""),"")</f>
        <v/>
      </c>
      <c r="CS9" s="67">
        <f>IFERROR(IF(($CD9)&gt;0,($CJ9)/($CD9),""),"")</f>
        <v/>
      </c>
      <c r="CT9" s="67">
        <f>IFERROR(IF(($CE9)&gt;0,($CK9)/($CE9),""),"")</f>
        <v/>
      </c>
      <c r="CU9" s="55">
        <f>SUMIFS(tblPlant[Gravity_Gold_oz],tblPlant[Date],$A9)</f>
        <v/>
      </c>
      <c r="CV9" s="55">
        <f>IF($B9=$B8,$CV8,0)+$CU9</f>
        <v/>
      </c>
      <c r="CW9" s="55">
        <f>$CW8+$CU9</f>
        <v/>
      </c>
      <c r="CX9" s="55">
        <f>SUMIFS(tblPlant[Gold_Poured_oz],tblPlant[Date],$A9)</f>
        <v/>
      </c>
      <c r="CY9" s="55">
        <f>IF($B9=$B8,$CY8,0)+$CX9</f>
        <v/>
      </c>
      <c r="CZ9" s="55">
        <f>$CZ8+$CX9</f>
        <v/>
      </c>
      <c r="DA9" s="57">
        <f>SUMIFS(tblPlant[Mill_Run_h],tblPlant[Date],$A9)</f>
        <v/>
      </c>
      <c r="DB9" s="57">
        <f>IF($B9=$B8,$DB8,0)+$DA9</f>
        <v/>
      </c>
      <c r="DC9" s="57">
        <f>$DC8+$DA9</f>
        <v/>
      </c>
      <c r="DD9" s="57">
        <f>SUMIFS(tblPlant[Mill_Planned_Maint_h],tblPlant[Date],$A9)</f>
        <v/>
      </c>
      <c r="DE9" s="57">
        <f>IF($B9=$B8,$DE8,0)+$DD9</f>
        <v/>
      </c>
      <c r="DF9" s="57">
        <f>$DF8+$DD9</f>
        <v/>
      </c>
      <c r="DG9" s="57">
        <f>SUMIFS(tblPlant[Mill_Unplanned_Down_h],tblPlant[Date],$A9)</f>
        <v/>
      </c>
      <c r="DH9" s="57">
        <f>IF($B9=$B8,$DH8,0)+$DG9</f>
        <v/>
      </c>
      <c r="DI9" s="57">
        <f>$DI8+$DG9</f>
        <v/>
      </c>
      <c r="DJ9" s="57">
        <f>COUNTIFS(tblPlant[Date],$A9,tblPlant[Mill_Run_h],"&lt;&gt;")*24</f>
        <v/>
      </c>
      <c r="DK9" s="57">
        <f>IF($B9=$B8,$DK8,0)+$DJ9</f>
        <v/>
      </c>
      <c r="DL9" s="57">
        <f>$DL8+$DJ9</f>
        <v/>
      </c>
      <c r="DM9" s="57">
        <f>SUMIFS(tblPlant[Crusher_Run_h],tblPlant[Date],$A9)</f>
        <v/>
      </c>
      <c r="DN9" s="57">
        <f>IF($B9=$B8,$DN8,0)+$DM9</f>
        <v/>
      </c>
      <c r="DO9" s="57">
        <f>$DO8+$DM9</f>
        <v/>
      </c>
      <c r="DP9" s="55">
        <f>IFERROR(IF(($DA9)&gt;0,($BZ9)/($DA9),""),"")</f>
        <v/>
      </c>
      <c r="DQ9" s="55">
        <f>IFERROR(IF(($DB9)&gt;0,($CA9)/($DB9),""),"")</f>
        <v/>
      </c>
      <c r="DR9" s="55">
        <f>IFERROR(IF(($DC9)&gt;0,($CB9)/($DC9),""),"")</f>
        <v/>
      </c>
      <c r="DS9" s="67">
        <f>IFERROR(IF(($DJ9)&gt;0,($DJ9-$DD9-$DG9)/($DJ9),""),"")</f>
        <v/>
      </c>
      <c r="DT9" s="67">
        <f>IFERROR(IF(($DK9)&gt;0,($DK9-$DE9-$DH9)/($DK9),""),"")</f>
        <v/>
      </c>
      <c r="DU9" s="67">
        <f>IFERROR(IF(($DL9)&gt;0,($DL9-$DF9-$DI9)/($DL9),""),"")</f>
        <v/>
      </c>
      <c r="DV9" s="67">
        <f>IFERROR(IF(($DJ9-$DD9-$DG9)&gt;0,($DA9)/($DJ9-$DD9-$DG9),""),"")</f>
        <v/>
      </c>
      <c r="DW9" s="67">
        <f>IFERROR(IF(($DK9-$DE9-$DH9)&gt;0,($DB9)/($DK9-$DE9-$DH9),""),"")</f>
        <v/>
      </c>
      <c r="DX9" s="67">
        <f>IFERROR(IF(($DL9-$DF9-$DI9)&gt;0,($DC9)/($DL9-$DF9-$DI9),""),"")</f>
        <v/>
      </c>
      <c r="DY9" s="55">
        <f>SUMIFS(tblPlant[Cyanide_kg],tblPlant[Date],$A9)</f>
        <v/>
      </c>
      <c r="DZ9" s="55">
        <f>IF($B9=$B8,$DZ8,0)+$DY9</f>
        <v/>
      </c>
      <c r="EA9" s="55">
        <f>$EA8+$DY9</f>
        <v/>
      </c>
      <c r="EB9" s="55">
        <f>SUMIFS(tblPlant[Lime_kg],tblPlant[Date],$A9)</f>
        <v/>
      </c>
      <c r="EC9" s="55">
        <f>IF($B9=$B8,$EC8,0)+$EB9</f>
        <v/>
      </c>
      <c r="ED9" s="55">
        <f>$ED8+$EB9</f>
        <v/>
      </c>
      <c r="EE9" s="55">
        <f>SUMIFS(tblPlant[Grinding_Media_kg],tblPlant[Date],$A9)</f>
        <v/>
      </c>
      <c r="EF9" s="55">
        <f>IF($B9=$B8,$EF8,0)+$EE9</f>
        <v/>
      </c>
      <c r="EG9" s="55">
        <f>$EG8+$EE9</f>
        <v/>
      </c>
      <c r="EH9" s="55">
        <f>SUMIFS(tblPlant[Power_kWh],tblPlant[Date],$A9)</f>
        <v/>
      </c>
      <c r="EI9" s="55">
        <f>IF($B9=$B8,$EI8,0)+$EH9</f>
        <v/>
      </c>
      <c r="EJ9" s="55">
        <f>$EJ8+$EH9</f>
        <v/>
      </c>
      <c r="EK9" s="55">
        <f>SUMIFS(tblPlant[Raw_Water_m3],tblPlant[Date],$A9)</f>
        <v/>
      </c>
      <c r="EL9" s="55">
        <f>IF($B9=$B8,$EL8,0)+$EK9</f>
        <v/>
      </c>
      <c r="EM9" s="55">
        <f>$EM8+$EK9</f>
        <v/>
      </c>
      <c r="EN9" s="56">
        <f>IFERROR(IF(($BZ9)&gt;0,($DY9)/($BZ9),""),"")</f>
        <v/>
      </c>
      <c r="EO9" s="56">
        <f>IFERROR(IF(($CA9)&gt;0,($DZ9)/($CA9),""),"")</f>
        <v/>
      </c>
      <c r="EP9" s="56">
        <f>IFERROR(IF(($CB9)&gt;0,($EA9)/($CB9),""),"")</f>
        <v/>
      </c>
      <c r="EQ9" s="56">
        <f>IFERROR(IF(($BZ9)&gt;0,($EB9)/($BZ9),""),"")</f>
        <v/>
      </c>
      <c r="ER9" s="56">
        <f>IFERROR(IF(($CA9)&gt;0,($EC9)/($CA9),""),"")</f>
        <v/>
      </c>
      <c r="ES9" s="56">
        <f>IFERROR(IF(($CB9)&gt;0,($ED9)/($CB9),""),"")</f>
        <v/>
      </c>
      <c r="ET9" s="56">
        <f>IFERROR(IF(($BZ9)&gt;0,($EE9)/($BZ9),""),"")</f>
        <v/>
      </c>
      <c r="EU9" s="56">
        <f>IFERROR(IF(($CA9)&gt;0,($EF9)/($CA9),""),"")</f>
        <v/>
      </c>
      <c r="EV9" s="56">
        <f>IFERROR(IF(($CB9)&gt;0,($EG9)/($CB9),""),"")</f>
        <v/>
      </c>
      <c r="EW9" s="76">
        <f>IFERROR(IF(($BZ9)&gt;0,($EH9)/($BZ9),""),"")</f>
        <v/>
      </c>
      <c r="EX9" s="76">
        <f>IFERROR(IF(($CA9)&gt;0,($EI9)/($CA9),""),"")</f>
        <v/>
      </c>
      <c r="EY9" s="76">
        <f>IFERROR(IF(($CB9)&gt;0,($EJ9)/($CB9),""),"")</f>
        <v/>
      </c>
      <c r="EZ9" s="56">
        <f>IFERROR(IF(($BZ9)&gt;0,($EK9)/($BZ9),""),"")</f>
        <v/>
      </c>
      <c r="FA9" s="56">
        <f>IFERROR(IF(($CA9)&gt;0,($EL9)/($CA9),""),"")</f>
        <v/>
      </c>
      <c r="FB9" s="56">
        <f>IFERROR(IF(($CB9)&gt;0,($EM9)/($CB9),""),"")</f>
        <v/>
      </c>
      <c r="FC9" s="55">
        <f>IF(SUMIFS(tblPlant[GIC_oz],tblPlant[Date],$A9)&gt;0,SUMIFS(tblPlant[GIC_oz],tblPlant[Date],$A9),"")</f>
        <v/>
      </c>
      <c r="FD9" s="55">
        <f>SUMIFS(tblGold[Gold_oz],tblGold[Date],$A9,tblGold[Type],"Shipment")</f>
        <v/>
      </c>
      <c r="FE9" s="55">
        <f>IF($B9=$B8,$FE8,0)+$FD9</f>
        <v/>
      </c>
      <c r="FF9" s="55">
        <f>$FF8+$FD9</f>
        <v/>
      </c>
      <c r="FG9" s="55">
        <f>SUMIFS(tblGold[Gold_oz],tblGold[Date],$A9,tblGold[Type],"Sale")</f>
        <v/>
      </c>
      <c r="FH9" s="55">
        <f>IF($B9=$B8,$FH8,0)+$FG9</f>
        <v/>
      </c>
      <c r="FI9" s="55">
        <f>$FI8+$FG9</f>
        <v/>
      </c>
      <c r="FJ9" s="55">
        <f>SUMIFS(tblGold[Dore_kg],tblGold[Date],$A9,tblGold[Type],"Shipment")</f>
        <v/>
      </c>
      <c r="FK9" s="55">
        <f>IF($B9=$B8,$FK8,0)+$FJ9</f>
        <v/>
      </c>
      <c r="FL9" s="55">
        <f>$FL8+$FJ9</f>
        <v/>
      </c>
      <c r="FM9" s="57">
        <f>SUMIFS(tblSafety[Hours_Total],tblSafety[Date],$A9)</f>
        <v/>
      </c>
      <c r="FN9" s="57">
        <f>IF($B9=$B8,$FN8,0)+$FM9</f>
        <v/>
      </c>
      <c r="FO9" s="57">
        <f>$FO8+$FM9</f>
        <v/>
      </c>
      <c r="FP9" s="62">
        <f>SUMIFS(tblSafety[Fatality],tblSafety[Date],$A9)</f>
        <v/>
      </c>
      <c r="FQ9" s="62">
        <f>IF($B9=$B8,$FQ8,0)+$FP9</f>
        <v/>
      </c>
      <c r="FR9" s="62">
        <f>$FR8+$FP9</f>
        <v/>
      </c>
      <c r="FS9" s="62">
        <f>SUMIFS(tblSafety[LTI],tblSafety[Date],$A9)</f>
        <v/>
      </c>
      <c r="FT9" s="62">
        <f>IF($B9=$B8,$FT8,0)+$FS9</f>
        <v/>
      </c>
      <c r="FU9" s="62">
        <f>$FU8+$FS9</f>
        <v/>
      </c>
      <c r="FV9" s="62">
        <f>SUMIFS(tblSafety[RWI],tblSafety[Date],$A9)</f>
        <v/>
      </c>
      <c r="FW9" s="62">
        <f>IF($B9=$B8,$FW8,0)+$FV9</f>
        <v/>
      </c>
      <c r="FX9" s="62">
        <f>$FX8+$FV9</f>
        <v/>
      </c>
      <c r="FY9" s="62">
        <f>SUMIFS(tblSafety[MTI],tblSafety[Date],$A9)</f>
        <v/>
      </c>
      <c r="FZ9" s="62">
        <f>IF($B9=$B8,$FZ8,0)+$FY9</f>
        <v/>
      </c>
      <c r="GA9" s="62">
        <f>$GA8+$FY9</f>
        <v/>
      </c>
      <c r="GB9" s="62">
        <f>SUMIFS(tblSafety[FAI],tblSafety[Date],$A9)</f>
        <v/>
      </c>
      <c r="GC9" s="62">
        <f>IF($B9=$B8,$GC8,0)+$GB9</f>
        <v/>
      </c>
      <c r="GD9" s="62">
        <f>$GD8+$GB9</f>
        <v/>
      </c>
      <c r="GE9" s="62">
        <f>SUMIFS(tblSafety[Recordables],tblSafety[Date],$A9)</f>
        <v/>
      </c>
      <c r="GF9" s="62">
        <f>IF($B9=$B8,$GF8,0)+$GE9</f>
        <v/>
      </c>
      <c r="GG9" s="62">
        <f>$GG8+$GE9</f>
        <v/>
      </c>
      <c r="GH9" s="62">
        <f>SUMIFS(tblSafety[Near_Miss],tblSafety[Date],$A9)</f>
        <v/>
      </c>
      <c r="GI9" s="62">
        <f>IF($B9=$B8,$GI8,0)+$GH9</f>
        <v/>
      </c>
      <c r="GJ9" s="62">
        <f>$GJ8+$GH9</f>
        <v/>
      </c>
      <c r="GK9" s="62">
        <f>SUMIFS(tblSafety[Hazard_Reports],tblSafety[Date],$A9)</f>
        <v/>
      </c>
      <c r="GL9" s="62">
        <f>IF($B9=$B8,$GL8,0)+$GK9</f>
        <v/>
      </c>
      <c r="GM9" s="62">
        <f>$GM8+$GK9</f>
        <v/>
      </c>
      <c r="GN9" s="62">
        <f>SUMIFS(tblSafety[HPI],tblSafety[Date],$A9)</f>
        <v/>
      </c>
      <c r="GO9" s="62">
        <f>IF($B9=$B8,$GO8,0)+$GN9</f>
        <v/>
      </c>
      <c r="GP9" s="62">
        <f>$GP8+$GN9</f>
        <v/>
      </c>
      <c r="GQ9" s="62">
        <f>SUMIFS(tblSafety[Env_Incidents],tblSafety[Date],$A9)</f>
        <v/>
      </c>
      <c r="GR9" s="62">
        <f>IF($B9=$B8,$GR8,0)+$GQ9</f>
        <v/>
      </c>
      <c r="GS9" s="62">
        <f>$GS8+$GQ9</f>
        <v/>
      </c>
      <c r="GT9" s="62">
        <f>SUMIFS(tblSafety[Community_Incidents],tblSafety[Date],$A9)</f>
        <v/>
      </c>
      <c r="GU9" s="62">
        <f>IF($B9=$B8,$GU8,0)+$GT9</f>
        <v/>
      </c>
      <c r="GV9" s="62">
        <f>$GV8+$GT9</f>
        <v/>
      </c>
      <c r="GW9" s="62">
        <f>SUMIFS(tblSafety[Vehicle_Incidents],tblSafety[Date],$A9)</f>
        <v/>
      </c>
      <c r="GX9" s="62">
        <f>IF($B9=$B8,$GX8,0)+$GW9</f>
        <v/>
      </c>
      <c r="GY9" s="62">
        <f>$GY8+$GW9</f>
        <v/>
      </c>
      <c r="GZ9" s="62">
        <f>SUMIFS(tblSafety[Toolbox_Talks],tblSafety[Date],$A9)</f>
        <v/>
      </c>
      <c r="HA9" s="62">
        <f>IF($B9=$B8,$HA8,0)+$GZ9</f>
        <v/>
      </c>
      <c r="HB9" s="62">
        <f>$HB8+$GZ9</f>
        <v/>
      </c>
      <c r="HC9" s="62">
        <f>SUMIFS(tblSafety[Inspections],tblSafety[Date],$A9)</f>
        <v/>
      </c>
      <c r="HD9" s="62">
        <f>IF($B9=$B8,$HD8,0)+$HC9</f>
        <v/>
      </c>
      <c r="HE9" s="62">
        <f>$HE8+$HC9</f>
        <v/>
      </c>
      <c r="HF9" s="56">
        <f>IFERROR((SUMIFS(tblSafety[Recordables],tblSafety[Date],"&gt;="&amp;EDATE($E9,-12),tblSafety[Date],"&lt;="&amp;$A9)+SUMIFS(tblSafetyHistory[Recordables],tblSafetyHistory[Month],"&gt;="&amp;EDATE($E9,-12),tblSafetyHistory[Month],"&lt;"&amp;cfg_YearStart))/(SUMIFS(tblSafety[Hours_Total],tblSafety[Date],"&gt;="&amp;EDATE($E9,-12),tblSafety[Date],"&lt;="&amp;$A9)+SUMIFS(tblSafetyHistory[Hours_Total],tblSafetyHistory[Month],"&gt;="&amp;EDATE($E9,-12),tblSafetyHistory[Month],"&lt;"&amp;cfg_YearStart))*1000000,"")</f>
        <v/>
      </c>
      <c r="HG9" s="56">
        <f>IFERROR((SUMIFS(tblSafety[LTI],tblSafety[Date],"&gt;="&amp;EDATE($E9,-12),tblSafety[Date],"&lt;="&amp;$A9)+SUMIFS(tblSafetyHistory[LTI],tblSafetyHistory[Month],"&gt;="&amp;EDATE($E9,-12),tblSafetyHistory[Month],"&lt;"&amp;cfg_YearStart))/(SUMIFS(tblSafety[Hours_Total],tblSafety[Date],"&gt;="&amp;EDATE($E9,-12),tblSafety[Date],"&lt;="&amp;$A9)+SUMIFS(tblSafetyHistory[Hours_Total],tblSafetyHistory[Month],"&gt;="&amp;EDATE($E9,-12),tblSafetyHistory[Month],"&lt;"&amp;cfg_YearStart))*1000000,"")</f>
        <v/>
      </c>
      <c r="HH9" s="62">
        <f>IF(MAX(N(cfg_PriorLTIDate),_xlfn.MAXIFS(tblSafety[Date],tblSafety[LTI],"&gt;0",tblSafety[Date],"&lt;="&amp;$A9))=0,"",$A9-MAX(N(cfg_PriorLTIDate),_xlfn.MAXIFS(tblSafety[Date],tblSafety[LTI],"&gt;0",tblSafety[Date],"&lt;="&amp;$A9)))</f>
        <v/>
      </c>
      <c r="HI9" s="55">
        <f>SUMIFS(tblBudget[Ore_Mined_t],tblBudget[Month],$E9)</f>
        <v/>
      </c>
      <c r="HJ9" s="55">
        <f>$HI9*$C9/$D9</f>
        <v/>
      </c>
      <c r="HK9" s="55">
        <f>SUMIFS(tblBudget[Ore_Mined_t],tblBudget[Month],"&lt;"&amp;$E9)+$HJ9</f>
        <v/>
      </c>
      <c r="HL9" s="55">
        <f>SUMIFS(tblBudget[Ore_oz],tblBudget[Month],$E9)</f>
        <v/>
      </c>
      <c r="HM9" s="55">
        <f>$HL9*$C9/$D9</f>
        <v/>
      </c>
      <c r="HN9" s="55">
        <f>SUMIFS(tblBudget[Ore_oz],tblBudget[Month],"&lt;"&amp;$E9)+$HM9</f>
        <v/>
      </c>
      <c r="HO9" s="56">
        <f>IFERROR(IF(($HI9)&gt;0,($HL9*cfg_TroyOz)/($HI9),""),"")</f>
        <v/>
      </c>
      <c r="HP9" s="56">
        <f>IFERROR(IF(($HJ9)&gt;0,($HM9*cfg_TroyOz)/($HJ9),""),"")</f>
        <v/>
      </c>
      <c r="HQ9" s="56">
        <f>IFERROR(IF(($HK9)&gt;0,($HN9*cfg_TroyOz)/($HK9),""),"")</f>
        <v/>
      </c>
      <c r="HR9" s="55">
        <f>SUMIFS(tblBudget[Waste_t],tblBudget[Month],$E9)</f>
        <v/>
      </c>
      <c r="HS9" s="55">
        <f>$HR9*$C9/$D9</f>
        <v/>
      </c>
      <c r="HT9" s="55">
        <f>SUMIFS(tblBudget[Waste_t],tblBudget[Month],"&lt;"&amp;$E9)+$HS9</f>
        <v/>
      </c>
      <c r="HU9" s="55">
        <f>SUMIFS(tblBudget[TMM_t],tblBudget[Month],$E9)</f>
        <v/>
      </c>
      <c r="HV9" s="55">
        <f>$HU9*$C9/$D9</f>
        <v/>
      </c>
      <c r="HW9" s="55">
        <f>SUMIFS(tblBudget[TMM_t],tblBudget[Month],"&lt;"&amp;$E9)+$HV9</f>
        <v/>
      </c>
      <c r="HX9" s="56">
        <f>IFERROR(IF(($HI9)&gt;0,($HR9)/($HI9),""),"")</f>
        <v/>
      </c>
      <c r="HY9" s="56">
        <f>IFERROR(IF(($HJ9)&gt;0,($HS9)/($HJ9),""),"")</f>
        <v/>
      </c>
      <c r="HZ9" s="56">
        <f>IFERROR(IF(($HK9)&gt;0,($HT9)/($HK9),""),"")</f>
        <v/>
      </c>
      <c r="IA9" s="55">
        <f>SUMIFS(tblBudget[Drill_m],tblBudget[Month],$E9)</f>
        <v/>
      </c>
      <c r="IB9" s="55">
        <f>$IA9*$C9/$D9</f>
        <v/>
      </c>
      <c r="IC9" s="55">
        <f>SUMIFS(tblBudget[Drill_m],tblBudget[Month],"&lt;"&amp;$E9)+$IB9</f>
        <v/>
      </c>
      <c r="ID9" s="55">
        <f>SUMIFS(tblBudget[Diesel_L],tblBudget[Month],$E9)</f>
        <v/>
      </c>
      <c r="IE9" s="55">
        <f>$ID9*$C9/$D9</f>
        <v/>
      </c>
      <c r="IF9" s="55">
        <f>SUMIFS(tblBudget[Diesel_L],tblBudget[Month],"&lt;"&amp;$E9)+$IE9</f>
        <v/>
      </c>
      <c r="IG9" s="55">
        <f>SUMIFS(tblBudget[Milled_t],tblBudget[Month],$E9)</f>
        <v/>
      </c>
      <c r="IH9" s="55">
        <f>$IG9*$C9/$D9</f>
        <v/>
      </c>
      <c r="II9" s="55">
        <f>SUMIFS(tblBudget[Milled_t],tblBudget[Month],"&lt;"&amp;$E9)+$IH9</f>
        <v/>
      </c>
      <c r="IJ9" s="55">
        <f>SUMIFS(tblBudget[Feed_oz],tblBudget[Month],$E9)</f>
        <v/>
      </c>
      <c r="IK9" s="55">
        <f>$IJ9*$C9/$D9</f>
        <v/>
      </c>
      <c r="IL9" s="55">
        <f>SUMIFS(tblBudget[Feed_oz],tblBudget[Month],"&lt;"&amp;$E9)+$IK9</f>
        <v/>
      </c>
      <c r="IM9" s="55">
        <f>SUMIFS(tblBudget[Recovered_oz],tblBudget[Month],$E9)</f>
        <v/>
      </c>
      <c r="IN9" s="55">
        <f>$IM9*$C9/$D9</f>
        <v/>
      </c>
      <c r="IO9" s="55">
        <f>SUMIFS(tblBudget[Recovered_oz],tblBudget[Month],"&lt;"&amp;$E9)+$IN9</f>
        <v/>
      </c>
      <c r="IP9" s="56">
        <f>IFERROR(IF(($IG9)&gt;0,($IJ9*cfg_TroyOz)/($IG9),""),"")</f>
        <v/>
      </c>
      <c r="IQ9" s="56">
        <f>IFERROR(IF(($IH9)&gt;0,($IK9*cfg_TroyOz)/($IH9),""),"")</f>
        <v/>
      </c>
      <c r="IR9" s="56">
        <f>IFERROR(IF(($II9)&gt;0,($IL9*cfg_TroyOz)/($II9),""),"")</f>
        <v/>
      </c>
      <c r="IS9" s="67">
        <f>IFERROR(IF(($IJ9)&gt;0,($IM9)/($IJ9),""),"")</f>
        <v/>
      </c>
      <c r="IT9" s="67">
        <f>IFERROR(IF(($IK9)&gt;0,($IN9)/($IK9),""),"")</f>
        <v/>
      </c>
      <c r="IU9" s="67">
        <f>IFERROR(IF(($IL9)&gt;0,($IO9)/($IL9),""),"")</f>
        <v/>
      </c>
      <c r="IV9" s="55">
        <f>SUMIFS(tblBudget[Gold_Poured_oz],tblBudget[Month],$E9)</f>
        <v/>
      </c>
      <c r="IW9" s="55">
        <f>$IV9*$C9/$D9</f>
        <v/>
      </c>
      <c r="IX9" s="55">
        <f>SUMIFS(tblBudget[Gold_Poured_oz],tblBudget[Month],"&lt;"&amp;$E9)+$IW9</f>
        <v/>
      </c>
      <c r="IY9" s="57">
        <f>SUMIFS(tblBudget[Hours_Worked],tblBudget[Month],$E9)</f>
        <v/>
      </c>
      <c r="IZ9" s="57">
        <f>$IY9*$C9/$D9</f>
        <v/>
      </c>
      <c r="JA9" s="57">
        <f>SUMIFS(tblBudget[Hours_Worked],tblBudget[Month],"&lt;"&amp;$E9)+$IZ9</f>
        <v/>
      </c>
    </row>
    <row r="10">
      <c r="A10" s="54" t="n">
        <v>46031</v>
      </c>
      <c r="B10">
        <f>MONTH($A10)</f>
        <v/>
      </c>
      <c r="C10">
        <f>DAY($A10)</f>
        <v/>
      </c>
      <c r="D10">
        <f>DAY(EOMONTH($A10,0))</f>
        <v/>
      </c>
      <c r="E10" s="54">
        <f>DATE(YEAR($A10),MONTH($A10),1)</f>
        <v/>
      </c>
      <c r="F10" s="55">
        <f>SUMIFS(tblMovement[Tonnes_t],tblMovement[Date],$A10,tblMovement[Is_Ore],1,tblMovement[Source_Type],"Pit")</f>
        <v/>
      </c>
      <c r="G10" s="55">
        <f>IF($B10=$B9,$G9,0)+$F10</f>
        <v/>
      </c>
      <c r="H10" s="55">
        <f>$H9+$F10</f>
        <v/>
      </c>
      <c r="I10" s="55">
        <f>SUMIFS(tblMovement[Ore_oz],tblMovement[Date],$A10,tblMovement[Source_Type],"Pit")</f>
        <v/>
      </c>
      <c r="J10" s="55">
        <f>IF($B10=$B9,$J9,0)+$I10</f>
        <v/>
      </c>
      <c r="K10" s="55">
        <f>$K9+$I10</f>
        <v/>
      </c>
      <c r="L10" s="56">
        <f>IFERROR(IF(($F10)&gt;0,($I10*cfg_TroyOz)/($F10),""),"")</f>
        <v/>
      </c>
      <c r="M10" s="56">
        <f>IFERROR(IF(($G10)&gt;0,($J10*cfg_TroyOz)/($G10),""),"")</f>
        <v/>
      </c>
      <c r="N10" s="56">
        <f>IFERROR(IF(($H10)&gt;0,($K10*cfg_TroyOz)/($H10),""),"")</f>
        <v/>
      </c>
      <c r="O10" s="55">
        <f>SUMIFS(tblMovement[Tonnes_t],tblMovement[Date],$A10,tblMovement[Is_Ore],0,tblMovement[Source_Type],"Pit")</f>
        <v/>
      </c>
      <c r="P10" s="55">
        <f>IF($B10=$B9,$P9,0)+$O10</f>
        <v/>
      </c>
      <c r="Q10" s="55">
        <f>$Q9+$O10</f>
        <v/>
      </c>
      <c r="R10" s="55">
        <f>$F10+$O10</f>
        <v/>
      </c>
      <c r="S10" s="55">
        <f>IF($B10=$B9,$S9,0)+$R10</f>
        <v/>
      </c>
      <c r="T10" s="55">
        <f>$T9+$R10</f>
        <v/>
      </c>
      <c r="U10" s="56">
        <f>IFERROR(IF(($F10)&gt;0,($O10)/($F10),""),"")</f>
        <v/>
      </c>
      <c r="V10" s="56">
        <f>IFERROR(IF(($G10)&gt;0,($P10)/($G10),""),"")</f>
        <v/>
      </c>
      <c r="W10" s="56">
        <f>IFERROR(IF(($H10)&gt;0,($Q10)/($H10),""),"")</f>
        <v/>
      </c>
      <c r="X10" s="55">
        <f>SUMIFS(tblMovement[Tonnes_t],tblMovement[Date],$A10,tblMovement[Source_Type],"Stockpile")</f>
        <v/>
      </c>
      <c r="Y10" s="55">
        <f>IF($B10=$B9,$Y9,0)+$X10</f>
        <v/>
      </c>
      <c r="Z10" s="55">
        <f>$Z9+$X10</f>
        <v/>
      </c>
      <c r="AA10" s="55">
        <f>SUMIFS(tblMiningDaily[Drill_m],tblMiningDaily[Date],$A10)</f>
        <v/>
      </c>
      <c r="AB10" s="55">
        <f>IF($B10=$B9,$AB9,0)+$AA10</f>
        <v/>
      </c>
      <c r="AC10" s="55">
        <f>$AC9+$AA10</f>
        <v/>
      </c>
      <c r="AD10" s="55">
        <f>SUMIFS(tblMiningDaily[Blast_t],tblMiningDaily[Date],$A10)</f>
        <v/>
      </c>
      <c r="AE10" s="55">
        <f>IF($B10=$B9,$AE9,0)+$AD10</f>
        <v/>
      </c>
      <c r="AF10" s="55">
        <f>$AF9+$AD10</f>
        <v/>
      </c>
      <c r="AG10" s="55">
        <f>SUMIFS(tblMiningDaily[Explosives_kg],tblMiningDaily[Date],$A10)</f>
        <v/>
      </c>
      <c r="AH10" s="55">
        <f>IF($B10=$B9,$AH9,0)+$AG10</f>
        <v/>
      </c>
      <c r="AI10" s="55">
        <f>$AI9+$AG10</f>
        <v/>
      </c>
      <c r="AJ10" s="56">
        <f>IFERROR(IF(($AD10)&gt;0,($AG10)/($AD10),""),"")</f>
        <v/>
      </c>
      <c r="AK10" s="56">
        <f>IFERROR(IF(($AE10)&gt;0,($AH10)/($AE10),""),"")</f>
        <v/>
      </c>
      <c r="AL10" s="56">
        <f>IFERROR(IF(($AF10)&gt;0,($AI10)/($AF10),""),"")</f>
        <v/>
      </c>
      <c r="AM10" s="55">
        <f>SUMIFS(tblMiningDaily[Diesel_L],tblMiningDaily[Date],$A10)</f>
        <v/>
      </c>
      <c r="AN10" s="55">
        <f>IF($B10=$B9,$AN9,0)+$AM10</f>
        <v/>
      </c>
      <c r="AO10" s="55">
        <f>$AO9+$AM10</f>
        <v/>
      </c>
      <c r="AP10" s="55">
        <f>SUMIFS(tblMiningDaily[Dewatering_m3],tblMiningDaily[Date],$A10)</f>
        <v/>
      </c>
      <c r="AQ10" s="55">
        <f>IF($B10=$B9,$AQ9,0)+$AP10</f>
        <v/>
      </c>
      <c r="AR10" s="55">
        <f>$AR9+$AP10</f>
        <v/>
      </c>
      <c r="AS10" s="57">
        <f>SUMIFS(tblFleet[Calendar_h],tblFleet[Date],$A10,tblFleet[Equipment_Class],"Excavator")</f>
        <v/>
      </c>
      <c r="AT10" s="57">
        <f>IF($B10=$B9,$AT9,0)+$AS10</f>
        <v/>
      </c>
      <c r="AU10" s="57">
        <f>$AU9+$AS10</f>
        <v/>
      </c>
      <c r="AV10" s="57">
        <f>SUMIFS(tblFleet[Available_h],tblFleet[Date],$A10,tblFleet[Equipment_Class],"Excavator")</f>
        <v/>
      </c>
      <c r="AW10" s="57">
        <f>IF($B10=$B9,$AW9,0)+$AV10</f>
        <v/>
      </c>
      <c r="AX10" s="57">
        <f>$AX9+$AV10</f>
        <v/>
      </c>
      <c r="AY10" s="57">
        <f>SUMIFS(tblFleet[Operating_h],tblFleet[Date],$A10,tblFleet[Equipment_Class],"Excavator")</f>
        <v/>
      </c>
      <c r="AZ10" s="57">
        <f>IF($B10=$B9,$AZ9,0)+$AY10</f>
        <v/>
      </c>
      <c r="BA10" s="57">
        <f>$BA9+$AY10</f>
        <v/>
      </c>
      <c r="BB10" s="67">
        <f>IFERROR(IF(($AS10)&gt;0,($AV10)/($AS10),""),"")</f>
        <v/>
      </c>
      <c r="BC10" s="67">
        <f>IFERROR(IF(($AT10)&gt;0,($AW10)/($AT10),""),"")</f>
        <v/>
      </c>
      <c r="BD10" s="67">
        <f>IFERROR(IF(($AU10)&gt;0,($AX10)/($AU10),""),"")</f>
        <v/>
      </c>
      <c r="BE10" s="67">
        <f>IFERROR(IF(($AV10)&gt;0,($AY10)/($AV10),""),"")</f>
        <v/>
      </c>
      <c r="BF10" s="67">
        <f>IFERROR(IF(($AW10)&gt;0,($AZ10)/($AW10),""),"")</f>
        <v/>
      </c>
      <c r="BG10" s="67">
        <f>IFERROR(IF(($AX10)&gt;0,($BA10)/($AX10),""),"")</f>
        <v/>
      </c>
      <c r="BH10" s="57">
        <f>SUMIFS(tblFleet[Calendar_h],tblFleet[Date],$A10,tblFleet[Equipment_Class],"Haul Truck")</f>
        <v/>
      </c>
      <c r="BI10" s="57">
        <f>IF($B10=$B9,$BI9,0)+$BH10</f>
        <v/>
      </c>
      <c r="BJ10" s="57">
        <f>$BJ9+$BH10</f>
        <v/>
      </c>
      <c r="BK10" s="57">
        <f>SUMIFS(tblFleet[Available_h],tblFleet[Date],$A10,tblFleet[Equipment_Class],"Haul Truck")</f>
        <v/>
      </c>
      <c r="BL10" s="57">
        <f>IF($B10=$B9,$BL9,0)+$BK10</f>
        <v/>
      </c>
      <c r="BM10" s="57">
        <f>$BM9+$BK10</f>
        <v/>
      </c>
      <c r="BN10" s="57">
        <f>SUMIFS(tblFleet[Operating_h],tblFleet[Date],$A10,tblFleet[Equipment_Class],"Haul Truck")</f>
        <v/>
      </c>
      <c r="BO10" s="57">
        <f>IF($B10=$B9,$BO9,0)+$BN10</f>
        <v/>
      </c>
      <c r="BP10" s="57">
        <f>$BP9+$BN10</f>
        <v/>
      </c>
      <c r="BQ10" s="67">
        <f>IFERROR(IF(($BH10)&gt;0,($BK10)/($BH10),""),"")</f>
        <v/>
      </c>
      <c r="BR10" s="67">
        <f>IFERROR(IF(($BI10)&gt;0,($BL10)/($BI10),""),"")</f>
        <v/>
      </c>
      <c r="BS10" s="67">
        <f>IFERROR(IF(($BJ10)&gt;0,($BM10)/($BJ10),""),"")</f>
        <v/>
      </c>
      <c r="BT10" s="67">
        <f>IFERROR(IF(($BK10)&gt;0,($BN10)/($BK10),""),"")</f>
        <v/>
      </c>
      <c r="BU10" s="67">
        <f>IFERROR(IF(($BL10)&gt;0,($BO10)/($BL10),""),"")</f>
        <v/>
      </c>
      <c r="BV10" s="67">
        <f>IFERROR(IF(($BM10)&gt;0,($BP10)/($BM10),""),"")</f>
        <v/>
      </c>
      <c r="BW10" s="55">
        <f>SUMIFS(tblPlant[Crushed_t],tblPlant[Date],$A10)</f>
        <v/>
      </c>
      <c r="BX10" s="55">
        <f>IF($B10=$B9,$BX9,0)+$BW10</f>
        <v/>
      </c>
      <c r="BY10" s="55">
        <f>$BY9+$BW10</f>
        <v/>
      </c>
      <c r="BZ10" s="55">
        <f>SUMIFS(tblPlant[Milled_t],tblPlant[Date],$A10)</f>
        <v/>
      </c>
      <c r="CA10" s="55">
        <f>IF($B10=$B9,$CA9,0)+$BZ10</f>
        <v/>
      </c>
      <c r="CB10" s="55">
        <f>$CB9+$BZ10</f>
        <v/>
      </c>
      <c r="CC10" s="55">
        <f>SUMIFS(tblPlant[Feed_oz],tblPlant[Date],$A10)</f>
        <v/>
      </c>
      <c r="CD10" s="55">
        <f>IF($B10=$B9,$CD9,0)+$CC10</f>
        <v/>
      </c>
      <c r="CE10" s="55">
        <f>$CE9+$CC10</f>
        <v/>
      </c>
      <c r="CF10" s="55">
        <f>SUMIFS(tblPlant[Tails_oz],tblPlant[Date],$A10)</f>
        <v/>
      </c>
      <c r="CG10" s="55">
        <f>IF($B10=$B9,$CG9,0)+$CF10</f>
        <v/>
      </c>
      <c r="CH10" s="55">
        <f>$CH9+$CF10</f>
        <v/>
      </c>
      <c r="CI10" s="55">
        <f>SUMIFS(tblPlant[Recovered_oz],tblPlant[Date],$A10)</f>
        <v/>
      </c>
      <c r="CJ10" s="55">
        <f>IF($B10=$B9,$CJ9,0)+$CI10</f>
        <v/>
      </c>
      <c r="CK10" s="55">
        <f>$CK9+$CI10</f>
        <v/>
      </c>
      <c r="CL10" s="56">
        <f>IFERROR(IF(($BZ10)&gt;0,($CC10*cfg_TroyOz)/($BZ10),""),"")</f>
        <v/>
      </c>
      <c r="CM10" s="56">
        <f>IFERROR(IF(($CA10)&gt;0,($CD10*cfg_TroyOz)/($CA10),""),"")</f>
        <v/>
      </c>
      <c r="CN10" s="56">
        <f>IFERROR(IF(($CB10)&gt;0,($CE10*cfg_TroyOz)/($CB10),""),"")</f>
        <v/>
      </c>
      <c r="CO10" s="56">
        <f>IFERROR(IF(($BZ10)&gt;0,($CF10*cfg_TroyOz)/($BZ10),""),"")</f>
        <v/>
      </c>
      <c r="CP10" s="56">
        <f>IFERROR(IF(($CA10)&gt;0,($CG10*cfg_TroyOz)/($CA10),""),"")</f>
        <v/>
      </c>
      <c r="CQ10" s="56">
        <f>IFERROR(IF(($CB10)&gt;0,($CH10*cfg_TroyOz)/($CB10),""),"")</f>
        <v/>
      </c>
      <c r="CR10" s="67">
        <f>IFERROR(IF(($CC10)&gt;0,($CI10)/($CC10),""),"")</f>
        <v/>
      </c>
      <c r="CS10" s="67">
        <f>IFERROR(IF(($CD10)&gt;0,($CJ10)/($CD10),""),"")</f>
        <v/>
      </c>
      <c r="CT10" s="67">
        <f>IFERROR(IF(($CE10)&gt;0,($CK10)/($CE10),""),"")</f>
        <v/>
      </c>
      <c r="CU10" s="55">
        <f>SUMIFS(tblPlant[Gravity_Gold_oz],tblPlant[Date],$A10)</f>
        <v/>
      </c>
      <c r="CV10" s="55">
        <f>IF($B10=$B9,$CV9,0)+$CU10</f>
        <v/>
      </c>
      <c r="CW10" s="55">
        <f>$CW9+$CU10</f>
        <v/>
      </c>
      <c r="CX10" s="55">
        <f>SUMIFS(tblPlant[Gold_Poured_oz],tblPlant[Date],$A10)</f>
        <v/>
      </c>
      <c r="CY10" s="55">
        <f>IF($B10=$B9,$CY9,0)+$CX10</f>
        <v/>
      </c>
      <c r="CZ10" s="55">
        <f>$CZ9+$CX10</f>
        <v/>
      </c>
      <c r="DA10" s="57">
        <f>SUMIFS(tblPlant[Mill_Run_h],tblPlant[Date],$A10)</f>
        <v/>
      </c>
      <c r="DB10" s="57">
        <f>IF($B10=$B9,$DB9,0)+$DA10</f>
        <v/>
      </c>
      <c r="DC10" s="57">
        <f>$DC9+$DA10</f>
        <v/>
      </c>
      <c r="DD10" s="57">
        <f>SUMIFS(tblPlant[Mill_Planned_Maint_h],tblPlant[Date],$A10)</f>
        <v/>
      </c>
      <c r="DE10" s="57">
        <f>IF($B10=$B9,$DE9,0)+$DD10</f>
        <v/>
      </c>
      <c r="DF10" s="57">
        <f>$DF9+$DD10</f>
        <v/>
      </c>
      <c r="DG10" s="57">
        <f>SUMIFS(tblPlant[Mill_Unplanned_Down_h],tblPlant[Date],$A10)</f>
        <v/>
      </c>
      <c r="DH10" s="57">
        <f>IF($B10=$B9,$DH9,0)+$DG10</f>
        <v/>
      </c>
      <c r="DI10" s="57">
        <f>$DI9+$DG10</f>
        <v/>
      </c>
      <c r="DJ10" s="57">
        <f>COUNTIFS(tblPlant[Date],$A10,tblPlant[Mill_Run_h],"&lt;&gt;")*24</f>
        <v/>
      </c>
      <c r="DK10" s="57">
        <f>IF($B10=$B9,$DK9,0)+$DJ10</f>
        <v/>
      </c>
      <c r="DL10" s="57">
        <f>$DL9+$DJ10</f>
        <v/>
      </c>
      <c r="DM10" s="57">
        <f>SUMIFS(tblPlant[Crusher_Run_h],tblPlant[Date],$A10)</f>
        <v/>
      </c>
      <c r="DN10" s="57">
        <f>IF($B10=$B9,$DN9,0)+$DM10</f>
        <v/>
      </c>
      <c r="DO10" s="57">
        <f>$DO9+$DM10</f>
        <v/>
      </c>
      <c r="DP10" s="55">
        <f>IFERROR(IF(($DA10)&gt;0,($BZ10)/($DA10),""),"")</f>
        <v/>
      </c>
      <c r="DQ10" s="55">
        <f>IFERROR(IF(($DB10)&gt;0,($CA10)/($DB10),""),"")</f>
        <v/>
      </c>
      <c r="DR10" s="55">
        <f>IFERROR(IF(($DC10)&gt;0,($CB10)/($DC10),""),"")</f>
        <v/>
      </c>
      <c r="DS10" s="67">
        <f>IFERROR(IF(($DJ10)&gt;0,($DJ10-$DD10-$DG10)/($DJ10),""),"")</f>
        <v/>
      </c>
      <c r="DT10" s="67">
        <f>IFERROR(IF(($DK10)&gt;0,($DK10-$DE10-$DH10)/($DK10),""),"")</f>
        <v/>
      </c>
      <c r="DU10" s="67">
        <f>IFERROR(IF(($DL10)&gt;0,($DL10-$DF10-$DI10)/($DL10),""),"")</f>
        <v/>
      </c>
      <c r="DV10" s="67">
        <f>IFERROR(IF(($DJ10-$DD10-$DG10)&gt;0,($DA10)/($DJ10-$DD10-$DG10),""),"")</f>
        <v/>
      </c>
      <c r="DW10" s="67">
        <f>IFERROR(IF(($DK10-$DE10-$DH10)&gt;0,($DB10)/($DK10-$DE10-$DH10),""),"")</f>
        <v/>
      </c>
      <c r="DX10" s="67">
        <f>IFERROR(IF(($DL10-$DF10-$DI10)&gt;0,($DC10)/($DL10-$DF10-$DI10),""),"")</f>
        <v/>
      </c>
      <c r="DY10" s="55">
        <f>SUMIFS(tblPlant[Cyanide_kg],tblPlant[Date],$A10)</f>
        <v/>
      </c>
      <c r="DZ10" s="55">
        <f>IF($B10=$B9,$DZ9,0)+$DY10</f>
        <v/>
      </c>
      <c r="EA10" s="55">
        <f>$EA9+$DY10</f>
        <v/>
      </c>
      <c r="EB10" s="55">
        <f>SUMIFS(tblPlant[Lime_kg],tblPlant[Date],$A10)</f>
        <v/>
      </c>
      <c r="EC10" s="55">
        <f>IF($B10=$B9,$EC9,0)+$EB10</f>
        <v/>
      </c>
      <c r="ED10" s="55">
        <f>$ED9+$EB10</f>
        <v/>
      </c>
      <c r="EE10" s="55">
        <f>SUMIFS(tblPlant[Grinding_Media_kg],tblPlant[Date],$A10)</f>
        <v/>
      </c>
      <c r="EF10" s="55">
        <f>IF($B10=$B9,$EF9,0)+$EE10</f>
        <v/>
      </c>
      <c r="EG10" s="55">
        <f>$EG9+$EE10</f>
        <v/>
      </c>
      <c r="EH10" s="55">
        <f>SUMIFS(tblPlant[Power_kWh],tblPlant[Date],$A10)</f>
        <v/>
      </c>
      <c r="EI10" s="55">
        <f>IF($B10=$B9,$EI9,0)+$EH10</f>
        <v/>
      </c>
      <c r="EJ10" s="55">
        <f>$EJ9+$EH10</f>
        <v/>
      </c>
      <c r="EK10" s="55">
        <f>SUMIFS(tblPlant[Raw_Water_m3],tblPlant[Date],$A10)</f>
        <v/>
      </c>
      <c r="EL10" s="55">
        <f>IF($B10=$B9,$EL9,0)+$EK10</f>
        <v/>
      </c>
      <c r="EM10" s="55">
        <f>$EM9+$EK10</f>
        <v/>
      </c>
      <c r="EN10" s="56">
        <f>IFERROR(IF(($BZ10)&gt;0,($DY10)/($BZ10),""),"")</f>
        <v/>
      </c>
      <c r="EO10" s="56">
        <f>IFERROR(IF(($CA10)&gt;0,($DZ10)/($CA10),""),"")</f>
        <v/>
      </c>
      <c r="EP10" s="56">
        <f>IFERROR(IF(($CB10)&gt;0,($EA10)/($CB10),""),"")</f>
        <v/>
      </c>
      <c r="EQ10" s="56">
        <f>IFERROR(IF(($BZ10)&gt;0,($EB10)/($BZ10),""),"")</f>
        <v/>
      </c>
      <c r="ER10" s="56">
        <f>IFERROR(IF(($CA10)&gt;0,($EC10)/($CA10),""),"")</f>
        <v/>
      </c>
      <c r="ES10" s="56">
        <f>IFERROR(IF(($CB10)&gt;0,($ED10)/($CB10),""),"")</f>
        <v/>
      </c>
      <c r="ET10" s="56">
        <f>IFERROR(IF(($BZ10)&gt;0,($EE10)/($BZ10),""),"")</f>
        <v/>
      </c>
      <c r="EU10" s="56">
        <f>IFERROR(IF(($CA10)&gt;0,($EF10)/($CA10),""),"")</f>
        <v/>
      </c>
      <c r="EV10" s="56">
        <f>IFERROR(IF(($CB10)&gt;0,($EG10)/($CB10),""),"")</f>
        <v/>
      </c>
      <c r="EW10" s="76">
        <f>IFERROR(IF(($BZ10)&gt;0,($EH10)/($BZ10),""),"")</f>
        <v/>
      </c>
      <c r="EX10" s="76">
        <f>IFERROR(IF(($CA10)&gt;0,($EI10)/($CA10),""),"")</f>
        <v/>
      </c>
      <c r="EY10" s="76">
        <f>IFERROR(IF(($CB10)&gt;0,($EJ10)/($CB10),""),"")</f>
        <v/>
      </c>
      <c r="EZ10" s="56">
        <f>IFERROR(IF(($BZ10)&gt;0,($EK10)/($BZ10),""),"")</f>
        <v/>
      </c>
      <c r="FA10" s="56">
        <f>IFERROR(IF(($CA10)&gt;0,($EL10)/($CA10),""),"")</f>
        <v/>
      </c>
      <c r="FB10" s="56">
        <f>IFERROR(IF(($CB10)&gt;0,($EM10)/($CB10),""),"")</f>
        <v/>
      </c>
      <c r="FC10" s="55">
        <f>IF(SUMIFS(tblPlant[GIC_oz],tblPlant[Date],$A10)&gt;0,SUMIFS(tblPlant[GIC_oz],tblPlant[Date],$A10),"")</f>
        <v/>
      </c>
      <c r="FD10" s="55">
        <f>SUMIFS(tblGold[Gold_oz],tblGold[Date],$A10,tblGold[Type],"Shipment")</f>
        <v/>
      </c>
      <c r="FE10" s="55">
        <f>IF($B10=$B9,$FE9,0)+$FD10</f>
        <v/>
      </c>
      <c r="FF10" s="55">
        <f>$FF9+$FD10</f>
        <v/>
      </c>
      <c r="FG10" s="55">
        <f>SUMIFS(tblGold[Gold_oz],tblGold[Date],$A10,tblGold[Type],"Sale")</f>
        <v/>
      </c>
      <c r="FH10" s="55">
        <f>IF($B10=$B9,$FH9,0)+$FG10</f>
        <v/>
      </c>
      <c r="FI10" s="55">
        <f>$FI9+$FG10</f>
        <v/>
      </c>
      <c r="FJ10" s="55">
        <f>SUMIFS(tblGold[Dore_kg],tblGold[Date],$A10,tblGold[Type],"Shipment")</f>
        <v/>
      </c>
      <c r="FK10" s="55">
        <f>IF($B10=$B9,$FK9,0)+$FJ10</f>
        <v/>
      </c>
      <c r="FL10" s="55">
        <f>$FL9+$FJ10</f>
        <v/>
      </c>
      <c r="FM10" s="57">
        <f>SUMIFS(tblSafety[Hours_Total],tblSafety[Date],$A10)</f>
        <v/>
      </c>
      <c r="FN10" s="57">
        <f>IF($B10=$B9,$FN9,0)+$FM10</f>
        <v/>
      </c>
      <c r="FO10" s="57">
        <f>$FO9+$FM10</f>
        <v/>
      </c>
      <c r="FP10" s="62">
        <f>SUMIFS(tblSafety[Fatality],tblSafety[Date],$A10)</f>
        <v/>
      </c>
      <c r="FQ10" s="62">
        <f>IF($B10=$B9,$FQ9,0)+$FP10</f>
        <v/>
      </c>
      <c r="FR10" s="62">
        <f>$FR9+$FP10</f>
        <v/>
      </c>
      <c r="FS10" s="62">
        <f>SUMIFS(tblSafety[LTI],tblSafety[Date],$A10)</f>
        <v/>
      </c>
      <c r="FT10" s="62">
        <f>IF($B10=$B9,$FT9,0)+$FS10</f>
        <v/>
      </c>
      <c r="FU10" s="62">
        <f>$FU9+$FS10</f>
        <v/>
      </c>
      <c r="FV10" s="62">
        <f>SUMIFS(tblSafety[RWI],tblSafety[Date],$A10)</f>
        <v/>
      </c>
      <c r="FW10" s="62">
        <f>IF($B10=$B9,$FW9,0)+$FV10</f>
        <v/>
      </c>
      <c r="FX10" s="62">
        <f>$FX9+$FV10</f>
        <v/>
      </c>
      <c r="FY10" s="62">
        <f>SUMIFS(tblSafety[MTI],tblSafety[Date],$A10)</f>
        <v/>
      </c>
      <c r="FZ10" s="62">
        <f>IF($B10=$B9,$FZ9,0)+$FY10</f>
        <v/>
      </c>
      <c r="GA10" s="62">
        <f>$GA9+$FY10</f>
        <v/>
      </c>
      <c r="GB10" s="62">
        <f>SUMIFS(tblSafety[FAI],tblSafety[Date],$A10)</f>
        <v/>
      </c>
      <c r="GC10" s="62">
        <f>IF($B10=$B9,$GC9,0)+$GB10</f>
        <v/>
      </c>
      <c r="GD10" s="62">
        <f>$GD9+$GB10</f>
        <v/>
      </c>
      <c r="GE10" s="62">
        <f>SUMIFS(tblSafety[Recordables],tblSafety[Date],$A10)</f>
        <v/>
      </c>
      <c r="GF10" s="62">
        <f>IF($B10=$B9,$GF9,0)+$GE10</f>
        <v/>
      </c>
      <c r="GG10" s="62">
        <f>$GG9+$GE10</f>
        <v/>
      </c>
      <c r="GH10" s="62">
        <f>SUMIFS(tblSafety[Near_Miss],tblSafety[Date],$A10)</f>
        <v/>
      </c>
      <c r="GI10" s="62">
        <f>IF($B10=$B9,$GI9,0)+$GH10</f>
        <v/>
      </c>
      <c r="GJ10" s="62">
        <f>$GJ9+$GH10</f>
        <v/>
      </c>
      <c r="GK10" s="62">
        <f>SUMIFS(tblSafety[Hazard_Reports],tblSafety[Date],$A10)</f>
        <v/>
      </c>
      <c r="GL10" s="62">
        <f>IF($B10=$B9,$GL9,0)+$GK10</f>
        <v/>
      </c>
      <c r="GM10" s="62">
        <f>$GM9+$GK10</f>
        <v/>
      </c>
      <c r="GN10" s="62">
        <f>SUMIFS(tblSafety[HPI],tblSafety[Date],$A10)</f>
        <v/>
      </c>
      <c r="GO10" s="62">
        <f>IF($B10=$B9,$GO9,0)+$GN10</f>
        <v/>
      </c>
      <c r="GP10" s="62">
        <f>$GP9+$GN10</f>
        <v/>
      </c>
      <c r="GQ10" s="62">
        <f>SUMIFS(tblSafety[Env_Incidents],tblSafety[Date],$A10)</f>
        <v/>
      </c>
      <c r="GR10" s="62">
        <f>IF($B10=$B9,$GR9,0)+$GQ10</f>
        <v/>
      </c>
      <c r="GS10" s="62">
        <f>$GS9+$GQ10</f>
        <v/>
      </c>
      <c r="GT10" s="62">
        <f>SUMIFS(tblSafety[Community_Incidents],tblSafety[Date],$A10)</f>
        <v/>
      </c>
      <c r="GU10" s="62">
        <f>IF($B10=$B9,$GU9,0)+$GT10</f>
        <v/>
      </c>
      <c r="GV10" s="62">
        <f>$GV9+$GT10</f>
        <v/>
      </c>
      <c r="GW10" s="62">
        <f>SUMIFS(tblSafety[Vehicle_Incidents],tblSafety[Date],$A10)</f>
        <v/>
      </c>
      <c r="GX10" s="62">
        <f>IF($B10=$B9,$GX9,0)+$GW10</f>
        <v/>
      </c>
      <c r="GY10" s="62">
        <f>$GY9+$GW10</f>
        <v/>
      </c>
      <c r="GZ10" s="62">
        <f>SUMIFS(tblSafety[Toolbox_Talks],tblSafety[Date],$A10)</f>
        <v/>
      </c>
      <c r="HA10" s="62">
        <f>IF($B10=$B9,$HA9,0)+$GZ10</f>
        <v/>
      </c>
      <c r="HB10" s="62">
        <f>$HB9+$GZ10</f>
        <v/>
      </c>
      <c r="HC10" s="62">
        <f>SUMIFS(tblSafety[Inspections],tblSafety[Date],$A10)</f>
        <v/>
      </c>
      <c r="HD10" s="62">
        <f>IF($B10=$B9,$HD9,0)+$HC10</f>
        <v/>
      </c>
      <c r="HE10" s="62">
        <f>$HE9+$HC10</f>
        <v/>
      </c>
      <c r="HF10" s="56">
        <f>IFERROR((SUMIFS(tblSafety[Recordables],tblSafety[Date],"&gt;="&amp;EDATE($E10,-12),tblSafety[Date],"&lt;="&amp;$A10)+SUMIFS(tblSafetyHistory[Recordables],tblSafetyHistory[Month],"&gt;="&amp;EDATE($E10,-12),tblSafetyHistory[Month],"&lt;"&amp;cfg_YearStart))/(SUMIFS(tblSafety[Hours_Total],tblSafety[Date],"&gt;="&amp;EDATE($E10,-12),tblSafety[Date],"&lt;="&amp;$A10)+SUMIFS(tblSafetyHistory[Hours_Total],tblSafetyHistory[Month],"&gt;="&amp;EDATE($E10,-12),tblSafetyHistory[Month],"&lt;"&amp;cfg_YearStart))*1000000,"")</f>
        <v/>
      </c>
      <c r="HG10" s="56">
        <f>IFERROR((SUMIFS(tblSafety[LTI],tblSafety[Date],"&gt;="&amp;EDATE($E10,-12),tblSafety[Date],"&lt;="&amp;$A10)+SUMIFS(tblSafetyHistory[LTI],tblSafetyHistory[Month],"&gt;="&amp;EDATE($E10,-12),tblSafetyHistory[Month],"&lt;"&amp;cfg_YearStart))/(SUMIFS(tblSafety[Hours_Total],tblSafety[Date],"&gt;="&amp;EDATE($E10,-12),tblSafety[Date],"&lt;="&amp;$A10)+SUMIFS(tblSafetyHistory[Hours_Total],tblSafetyHistory[Month],"&gt;="&amp;EDATE($E10,-12),tblSafetyHistory[Month],"&lt;"&amp;cfg_YearStart))*1000000,"")</f>
        <v/>
      </c>
      <c r="HH10" s="62">
        <f>IF(MAX(N(cfg_PriorLTIDate),_xlfn.MAXIFS(tblSafety[Date],tblSafety[LTI],"&gt;0",tblSafety[Date],"&lt;="&amp;$A10))=0,"",$A10-MAX(N(cfg_PriorLTIDate),_xlfn.MAXIFS(tblSafety[Date],tblSafety[LTI],"&gt;0",tblSafety[Date],"&lt;="&amp;$A10)))</f>
        <v/>
      </c>
      <c r="HI10" s="55">
        <f>SUMIFS(tblBudget[Ore_Mined_t],tblBudget[Month],$E10)</f>
        <v/>
      </c>
      <c r="HJ10" s="55">
        <f>$HI10*$C10/$D10</f>
        <v/>
      </c>
      <c r="HK10" s="55">
        <f>SUMIFS(tblBudget[Ore_Mined_t],tblBudget[Month],"&lt;"&amp;$E10)+$HJ10</f>
        <v/>
      </c>
      <c r="HL10" s="55">
        <f>SUMIFS(tblBudget[Ore_oz],tblBudget[Month],$E10)</f>
        <v/>
      </c>
      <c r="HM10" s="55">
        <f>$HL10*$C10/$D10</f>
        <v/>
      </c>
      <c r="HN10" s="55">
        <f>SUMIFS(tblBudget[Ore_oz],tblBudget[Month],"&lt;"&amp;$E10)+$HM10</f>
        <v/>
      </c>
      <c r="HO10" s="56">
        <f>IFERROR(IF(($HI10)&gt;0,($HL10*cfg_TroyOz)/($HI10),""),"")</f>
        <v/>
      </c>
      <c r="HP10" s="56">
        <f>IFERROR(IF(($HJ10)&gt;0,($HM10*cfg_TroyOz)/($HJ10),""),"")</f>
        <v/>
      </c>
      <c r="HQ10" s="56">
        <f>IFERROR(IF(($HK10)&gt;0,($HN10*cfg_TroyOz)/($HK10),""),"")</f>
        <v/>
      </c>
      <c r="HR10" s="55">
        <f>SUMIFS(tblBudget[Waste_t],tblBudget[Month],$E10)</f>
        <v/>
      </c>
      <c r="HS10" s="55">
        <f>$HR10*$C10/$D10</f>
        <v/>
      </c>
      <c r="HT10" s="55">
        <f>SUMIFS(tblBudget[Waste_t],tblBudget[Month],"&lt;"&amp;$E10)+$HS10</f>
        <v/>
      </c>
      <c r="HU10" s="55">
        <f>SUMIFS(tblBudget[TMM_t],tblBudget[Month],$E10)</f>
        <v/>
      </c>
      <c r="HV10" s="55">
        <f>$HU10*$C10/$D10</f>
        <v/>
      </c>
      <c r="HW10" s="55">
        <f>SUMIFS(tblBudget[TMM_t],tblBudget[Month],"&lt;"&amp;$E10)+$HV10</f>
        <v/>
      </c>
      <c r="HX10" s="56">
        <f>IFERROR(IF(($HI10)&gt;0,($HR10)/($HI10),""),"")</f>
        <v/>
      </c>
      <c r="HY10" s="56">
        <f>IFERROR(IF(($HJ10)&gt;0,($HS10)/($HJ10),""),"")</f>
        <v/>
      </c>
      <c r="HZ10" s="56">
        <f>IFERROR(IF(($HK10)&gt;0,($HT10)/($HK10),""),"")</f>
        <v/>
      </c>
      <c r="IA10" s="55">
        <f>SUMIFS(tblBudget[Drill_m],tblBudget[Month],$E10)</f>
        <v/>
      </c>
      <c r="IB10" s="55">
        <f>$IA10*$C10/$D10</f>
        <v/>
      </c>
      <c r="IC10" s="55">
        <f>SUMIFS(tblBudget[Drill_m],tblBudget[Month],"&lt;"&amp;$E10)+$IB10</f>
        <v/>
      </c>
      <c r="ID10" s="55">
        <f>SUMIFS(tblBudget[Diesel_L],tblBudget[Month],$E10)</f>
        <v/>
      </c>
      <c r="IE10" s="55">
        <f>$ID10*$C10/$D10</f>
        <v/>
      </c>
      <c r="IF10" s="55">
        <f>SUMIFS(tblBudget[Diesel_L],tblBudget[Month],"&lt;"&amp;$E10)+$IE10</f>
        <v/>
      </c>
      <c r="IG10" s="55">
        <f>SUMIFS(tblBudget[Milled_t],tblBudget[Month],$E10)</f>
        <v/>
      </c>
      <c r="IH10" s="55">
        <f>$IG10*$C10/$D10</f>
        <v/>
      </c>
      <c r="II10" s="55">
        <f>SUMIFS(tblBudget[Milled_t],tblBudget[Month],"&lt;"&amp;$E10)+$IH10</f>
        <v/>
      </c>
      <c r="IJ10" s="55">
        <f>SUMIFS(tblBudget[Feed_oz],tblBudget[Month],$E10)</f>
        <v/>
      </c>
      <c r="IK10" s="55">
        <f>$IJ10*$C10/$D10</f>
        <v/>
      </c>
      <c r="IL10" s="55">
        <f>SUMIFS(tblBudget[Feed_oz],tblBudget[Month],"&lt;"&amp;$E10)+$IK10</f>
        <v/>
      </c>
      <c r="IM10" s="55">
        <f>SUMIFS(tblBudget[Recovered_oz],tblBudget[Month],$E10)</f>
        <v/>
      </c>
      <c r="IN10" s="55">
        <f>$IM10*$C10/$D10</f>
        <v/>
      </c>
      <c r="IO10" s="55">
        <f>SUMIFS(tblBudget[Recovered_oz],tblBudget[Month],"&lt;"&amp;$E10)+$IN10</f>
        <v/>
      </c>
      <c r="IP10" s="56">
        <f>IFERROR(IF(($IG10)&gt;0,($IJ10*cfg_TroyOz)/($IG10),""),"")</f>
        <v/>
      </c>
      <c r="IQ10" s="56">
        <f>IFERROR(IF(($IH10)&gt;0,($IK10*cfg_TroyOz)/($IH10),""),"")</f>
        <v/>
      </c>
      <c r="IR10" s="56">
        <f>IFERROR(IF(($II10)&gt;0,($IL10*cfg_TroyOz)/($II10),""),"")</f>
        <v/>
      </c>
      <c r="IS10" s="67">
        <f>IFERROR(IF(($IJ10)&gt;0,($IM10)/($IJ10),""),"")</f>
        <v/>
      </c>
      <c r="IT10" s="67">
        <f>IFERROR(IF(($IK10)&gt;0,($IN10)/($IK10),""),"")</f>
        <v/>
      </c>
      <c r="IU10" s="67">
        <f>IFERROR(IF(($IL10)&gt;0,($IO10)/($IL10),""),"")</f>
        <v/>
      </c>
      <c r="IV10" s="55">
        <f>SUMIFS(tblBudget[Gold_Poured_oz],tblBudget[Month],$E10)</f>
        <v/>
      </c>
      <c r="IW10" s="55">
        <f>$IV10*$C10/$D10</f>
        <v/>
      </c>
      <c r="IX10" s="55">
        <f>SUMIFS(tblBudget[Gold_Poured_oz],tblBudget[Month],"&lt;"&amp;$E10)+$IW10</f>
        <v/>
      </c>
      <c r="IY10" s="57">
        <f>SUMIFS(tblBudget[Hours_Worked],tblBudget[Month],$E10)</f>
        <v/>
      </c>
      <c r="IZ10" s="57">
        <f>$IY10*$C10/$D10</f>
        <v/>
      </c>
      <c r="JA10" s="57">
        <f>SUMIFS(tblBudget[Hours_Worked],tblBudget[Month],"&lt;"&amp;$E10)+$IZ10</f>
        <v/>
      </c>
    </row>
    <row r="11">
      <c r="A11" s="54" t="n">
        <v>46032</v>
      </c>
      <c r="B11">
        <f>MONTH($A11)</f>
        <v/>
      </c>
      <c r="C11">
        <f>DAY($A11)</f>
        <v/>
      </c>
      <c r="D11">
        <f>DAY(EOMONTH($A11,0))</f>
        <v/>
      </c>
      <c r="E11" s="54">
        <f>DATE(YEAR($A11),MONTH($A11),1)</f>
        <v/>
      </c>
      <c r="F11" s="55">
        <f>SUMIFS(tblMovement[Tonnes_t],tblMovement[Date],$A11,tblMovement[Is_Ore],1,tblMovement[Source_Type],"Pit")</f>
        <v/>
      </c>
      <c r="G11" s="55">
        <f>IF($B11=$B10,$G10,0)+$F11</f>
        <v/>
      </c>
      <c r="H11" s="55">
        <f>$H10+$F11</f>
        <v/>
      </c>
      <c r="I11" s="55">
        <f>SUMIFS(tblMovement[Ore_oz],tblMovement[Date],$A11,tblMovement[Source_Type],"Pit")</f>
        <v/>
      </c>
      <c r="J11" s="55">
        <f>IF($B11=$B10,$J10,0)+$I11</f>
        <v/>
      </c>
      <c r="K11" s="55">
        <f>$K10+$I11</f>
        <v/>
      </c>
      <c r="L11" s="56">
        <f>IFERROR(IF(($F11)&gt;0,($I11*cfg_TroyOz)/($F11),""),"")</f>
        <v/>
      </c>
      <c r="M11" s="56">
        <f>IFERROR(IF(($G11)&gt;0,($J11*cfg_TroyOz)/($G11),""),"")</f>
        <v/>
      </c>
      <c r="N11" s="56">
        <f>IFERROR(IF(($H11)&gt;0,($K11*cfg_TroyOz)/($H11),""),"")</f>
        <v/>
      </c>
      <c r="O11" s="55">
        <f>SUMIFS(tblMovement[Tonnes_t],tblMovement[Date],$A11,tblMovement[Is_Ore],0,tblMovement[Source_Type],"Pit")</f>
        <v/>
      </c>
      <c r="P11" s="55">
        <f>IF($B11=$B10,$P10,0)+$O11</f>
        <v/>
      </c>
      <c r="Q11" s="55">
        <f>$Q10+$O11</f>
        <v/>
      </c>
      <c r="R11" s="55">
        <f>$F11+$O11</f>
        <v/>
      </c>
      <c r="S11" s="55">
        <f>IF($B11=$B10,$S10,0)+$R11</f>
        <v/>
      </c>
      <c r="T11" s="55">
        <f>$T10+$R11</f>
        <v/>
      </c>
      <c r="U11" s="56">
        <f>IFERROR(IF(($F11)&gt;0,($O11)/($F11),""),"")</f>
        <v/>
      </c>
      <c r="V11" s="56">
        <f>IFERROR(IF(($G11)&gt;0,($P11)/($G11),""),"")</f>
        <v/>
      </c>
      <c r="W11" s="56">
        <f>IFERROR(IF(($H11)&gt;0,($Q11)/($H11),""),"")</f>
        <v/>
      </c>
      <c r="X11" s="55">
        <f>SUMIFS(tblMovement[Tonnes_t],tblMovement[Date],$A11,tblMovement[Source_Type],"Stockpile")</f>
        <v/>
      </c>
      <c r="Y11" s="55">
        <f>IF($B11=$B10,$Y10,0)+$X11</f>
        <v/>
      </c>
      <c r="Z11" s="55">
        <f>$Z10+$X11</f>
        <v/>
      </c>
      <c r="AA11" s="55">
        <f>SUMIFS(tblMiningDaily[Drill_m],tblMiningDaily[Date],$A11)</f>
        <v/>
      </c>
      <c r="AB11" s="55">
        <f>IF($B11=$B10,$AB10,0)+$AA11</f>
        <v/>
      </c>
      <c r="AC11" s="55">
        <f>$AC10+$AA11</f>
        <v/>
      </c>
      <c r="AD11" s="55">
        <f>SUMIFS(tblMiningDaily[Blast_t],tblMiningDaily[Date],$A11)</f>
        <v/>
      </c>
      <c r="AE11" s="55">
        <f>IF($B11=$B10,$AE10,0)+$AD11</f>
        <v/>
      </c>
      <c r="AF11" s="55">
        <f>$AF10+$AD11</f>
        <v/>
      </c>
      <c r="AG11" s="55">
        <f>SUMIFS(tblMiningDaily[Explosives_kg],tblMiningDaily[Date],$A11)</f>
        <v/>
      </c>
      <c r="AH11" s="55">
        <f>IF($B11=$B10,$AH10,0)+$AG11</f>
        <v/>
      </c>
      <c r="AI11" s="55">
        <f>$AI10+$AG11</f>
        <v/>
      </c>
      <c r="AJ11" s="56">
        <f>IFERROR(IF(($AD11)&gt;0,($AG11)/($AD11),""),"")</f>
        <v/>
      </c>
      <c r="AK11" s="56">
        <f>IFERROR(IF(($AE11)&gt;0,($AH11)/($AE11),""),"")</f>
        <v/>
      </c>
      <c r="AL11" s="56">
        <f>IFERROR(IF(($AF11)&gt;0,($AI11)/($AF11),""),"")</f>
        <v/>
      </c>
      <c r="AM11" s="55">
        <f>SUMIFS(tblMiningDaily[Diesel_L],tblMiningDaily[Date],$A11)</f>
        <v/>
      </c>
      <c r="AN11" s="55">
        <f>IF($B11=$B10,$AN10,0)+$AM11</f>
        <v/>
      </c>
      <c r="AO11" s="55">
        <f>$AO10+$AM11</f>
        <v/>
      </c>
      <c r="AP11" s="55">
        <f>SUMIFS(tblMiningDaily[Dewatering_m3],tblMiningDaily[Date],$A11)</f>
        <v/>
      </c>
      <c r="AQ11" s="55">
        <f>IF($B11=$B10,$AQ10,0)+$AP11</f>
        <v/>
      </c>
      <c r="AR11" s="55">
        <f>$AR10+$AP11</f>
        <v/>
      </c>
      <c r="AS11" s="57">
        <f>SUMIFS(tblFleet[Calendar_h],tblFleet[Date],$A11,tblFleet[Equipment_Class],"Excavator")</f>
        <v/>
      </c>
      <c r="AT11" s="57">
        <f>IF($B11=$B10,$AT10,0)+$AS11</f>
        <v/>
      </c>
      <c r="AU11" s="57">
        <f>$AU10+$AS11</f>
        <v/>
      </c>
      <c r="AV11" s="57">
        <f>SUMIFS(tblFleet[Available_h],tblFleet[Date],$A11,tblFleet[Equipment_Class],"Excavator")</f>
        <v/>
      </c>
      <c r="AW11" s="57">
        <f>IF($B11=$B10,$AW10,0)+$AV11</f>
        <v/>
      </c>
      <c r="AX11" s="57">
        <f>$AX10+$AV11</f>
        <v/>
      </c>
      <c r="AY11" s="57">
        <f>SUMIFS(tblFleet[Operating_h],tblFleet[Date],$A11,tblFleet[Equipment_Class],"Excavator")</f>
        <v/>
      </c>
      <c r="AZ11" s="57">
        <f>IF($B11=$B10,$AZ10,0)+$AY11</f>
        <v/>
      </c>
      <c r="BA11" s="57">
        <f>$BA10+$AY11</f>
        <v/>
      </c>
      <c r="BB11" s="67">
        <f>IFERROR(IF(($AS11)&gt;0,($AV11)/($AS11),""),"")</f>
        <v/>
      </c>
      <c r="BC11" s="67">
        <f>IFERROR(IF(($AT11)&gt;0,($AW11)/($AT11),""),"")</f>
        <v/>
      </c>
      <c r="BD11" s="67">
        <f>IFERROR(IF(($AU11)&gt;0,($AX11)/($AU11),""),"")</f>
        <v/>
      </c>
      <c r="BE11" s="67">
        <f>IFERROR(IF(($AV11)&gt;0,($AY11)/($AV11),""),"")</f>
        <v/>
      </c>
      <c r="BF11" s="67">
        <f>IFERROR(IF(($AW11)&gt;0,($AZ11)/($AW11),""),"")</f>
        <v/>
      </c>
      <c r="BG11" s="67">
        <f>IFERROR(IF(($AX11)&gt;0,($BA11)/($AX11),""),"")</f>
        <v/>
      </c>
      <c r="BH11" s="57">
        <f>SUMIFS(tblFleet[Calendar_h],tblFleet[Date],$A11,tblFleet[Equipment_Class],"Haul Truck")</f>
        <v/>
      </c>
      <c r="BI11" s="57">
        <f>IF($B11=$B10,$BI10,0)+$BH11</f>
        <v/>
      </c>
      <c r="BJ11" s="57">
        <f>$BJ10+$BH11</f>
        <v/>
      </c>
      <c r="BK11" s="57">
        <f>SUMIFS(tblFleet[Available_h],tblFleet[Date],$A11,tblFleet[Equipment_Class],"Haul Truck")</f>
        <v/>
      </c>
      <c r="BL11" s="57">
        <f>IF($B11=$B10,$BL10,0)+$BK11</f>
        <v/>
      </c>
      <c r="BM11" s="57">
        <f>$BM10+$BK11</f>
        <v/>
      </c>
      <c r="BN11" s="57">
        <f>SUMIFS(tblFleet[Operating_h],tblFleet[Date],$A11,tblFleet[Equipment_Class],"Haul Truck")</f>
        <v/>
      </c>
      <c r="BO11" s="57">
        <f>IF($B11=$B10,$BO10,0)+$BN11</f>
        <v/>
      </c>
      <c r="BP11" s="57">
        <f>$BP10+$BN11</f>
        <v/>
      </c>
      <c r="BQ11" s="67">
        <f>IFERROR(IF(($BH11)&gt;0,($BK11)/($BH11),""),"")</f>
        <v/>
      </c>
      <c r="BR11" s="67">
        <f>IFERROR(IF(($BI11)&gt;0,($BL11)/($BI11),""),"")</f>
        <v/>
      </c>
      <c r="BS11" s="67">
        <f>IFERROR(IF(($BJ11)&gt;0,($BM11)/($BJ11),""),"")</f>
        <v/>
      </c>
      <c r="BT11" s="67">
        <f>IFERROR(IF(($BK11)&gt;0,($BN11)/($BK11),""),"")</f>
        <v/>
      </c>
      <c r="BU11" s="67">
        <f>IFERROR(IF(($BL11)&gt;0,($BO11)/($BL11),""),"")</f>
        <v/>
      </c>
      <c r="BV11" s="67">
        <f>IFERROR(IF(($BM11)&gt;0,($BP11)/($BM11),""),"")</f>
        <v/>
      </c>
      <c r="BW11" s="55">
        <f>SUMIFS(tblPlant[Crushed_t],tblPlant[Date],$A11)</f>
        <v/>
      </c>
      <c r="BX11" s="55">
        <f>IF($B11=$B10,$BX10,0)+$BW11</f>
        <v/>
      </c>
      <c r="BY11" s="55">
        <f>$BY10+$BW11</f>
        <v/>
      </c>
      <c r="BZ11" s="55">
        <f>SUMIFS(tblPlant[Milled_t],tblPlant[Date],$A11)</f>
        <v/>
      </c>
      <c r="CA11" s="55">
        <f>IF($B11=$B10,$CA10,0)+$BZ11</f>
        <v/>
      </c>
      <c r="CB11" s="55">
        <f>$CB10+$BZ11</f>
        <v/>
      </c>
      <c r="CC11" s="55">
        <f>SUMIFS(tblPlant[Feed_oz],tblPlant[Date],$A11)</f>
        <v/>
      </c>
      <c r="CD11" s="55">
        <f>IF($B11=$B10,$CD10,0)+$CC11</f>
        <v/>
      </c>
      <c r="CE11" s="55">
        <f>$CE10+$CC11</f>
        <v/>
      </c>
      <c r="CF11" s="55">
        <f>SUMIFS(tblPlant[Tails_oz],tblPlant[Date],$A11)</f>
        <v/>
      </c>
      <c r="CG11" s="55">
        <f>IF($B11=$B10,$CG10,0)+$CF11</f>
        <v/>
      </c>
      <c r="CH11" s="55">
        <f>$CH10+$CF11</f>
        <v/>
      </c>
      <c r="CI11" s="55">
        <f>SUMIFS(tblPlant[Recovered_oz],tblPlant[Date],$A11)</f>
        <v/>
      </c>
      <c r="CJ11" s="55">
        <f>IF($B11=$B10,$CJ10,0)+$CI11</f>
        <v/>
      </c>
      <c r="CK11" s="55">
        <f>$CK10+$CI11</f>
        <v/>
      </c>
      <c r="CL11" s="56">
        <f>IFERROR(IF(($BZ11)&gt;0,($CC11*cfg_TroyOz)/($BZ11),""),"")</f>
        <v/>
      </c>
      <c r="CM11" s="56">
        <f>IFERROR(IF(($CA11)&gt;0,($CD11*cfg_TroyOz)/($CA11),""),"")</f>
        <v/>
      </c>
      <c r="CN11" s="56">
        <f>IFERROR(IF(($CB11)&gt;0,($CE11*cfg_TroyOz)/($CB11),""),"")</f>
        <v/>
      </c>
      <c r="CO11" s="56">
        <f>IFERROR(IF(($BZ11)&gt;0,($CF11*cfg_TroyOz)/($BZ11),""),"")</f>
        <v/>
      </c>
      <c r="CP11" s="56">
        <f>IFERROR(IF(($CA11)&gt;0,($CG11*cfg_TroyOz)/($CA11),""),"")</f>
        <v/>
      </c>
      <c r="CQ11" s="56">
        <f>IFERROR(IF(($CB11)&gt;0,($CH11*cfg_TroyOz)/($CB11),""),"")</f>
        <v/>
      </c>
      <c r="CR11" s="67">
        <f>IFERROR(IF(($CC11)&gt;0,($CI11)/($CC11),""),"")</f>
        <v/>
      </c>
      <c r="CS11" s="67">
        <f>IFERROR(IF(($CD11)&gt;0,($CJ11)/($CD11),""),"")</f>
        <v/>
      </c>
      <c r="CT11" s="67">
        <f>IFERROR(IF(($CE11)&gt;0,($CK11)/($CE11),""),"")</f>
        <v/>
      </c>
      <c r="CU11" s="55">
        <f>SUMIFS(tblPlant[Gravity_Gold_oz],tblPlant[Date],$A11)</f>
        <v/>
      </c>
      <c r="CV11" s="55">
        <f>IF($B11=$B10,$CV10,0)+$CU11</f>
        <v/>
      </c>
      <c r="CW11" s="55">
        <f>$CW10+$CU11</f>
        <v/>
      </c>
      <c r="CX11" s="55">
        <f>SUMIFS(tblPlant[Gold_Poured_oz],tblPlant[Date],$A11)</f>
        <v/>
      </c>
      <c r="CY11" s="55">
        <f>IF($B11=$B10,$CY10,0)+$CX11</f>
        <v/>
      </c>
      <c r="CZ11" s="55">
        <f>$CZ10+$CX11</f>
        <v/>
      </c>
      <c r="DA11" s="57">
        <f>SUMIFS(tblPlant[Mill_Run_h],tblPlant[Date],$A11)</f>
        <v/>
      </c>
      <c r="DB11" s="57">
        <f>IF($B11=$B10,$DB10,0)+$DA11</f>
        <v/>
      </c>
      <c r="DC11" s="57">
        <f>$DC10+$DA11</f>
        <v/>
      </c>
      <c r="DD11" s="57">
        <f>SUMIFS(tblPlant[Mill_Planned_Maint_h],tblPlant[Date],$A11)</f>
        <v/>
      </c>
      <c r="DE11" s="57">
        <f>IF($B11=$B10,$DE10,0)+$DD11</f>
        <v/>
      </c>
      <c r="DF11" s="57">
        <f>$DF10+$DD11</f>
        <v/>
      </c>
      <c r="DG11" s="57">
        <f>SUMIFS(tblPlant[Mill_Unplanned_Down_h],tblPlant[Date],$A11)</f>
        <v/>
      </c>
      <c r="DH11" s="57">
        <f>IF($B11=$B10,$DH10,0)+$DG11</f>
        <v/>
      </c>
      <c r="DI11" s="57">
        <f>$DI10+$DG11</f>
        <v/>
      </c>
      <c r="DJ11" s="57">
        <f>COUNTIFS(tblPlant[Date],$A11,tblPlant[Mill_Run_h],"&lt;&gt;")*24</f>
        <v/>
      </c>
      <c r="DK11" s="57">
        <f>IF($B11=$B10,$DK10,0)+$DJ11</f>
        <v/>
      </c>
      <c r="DL11" s="57">
        <f>$DL10+$DJ11</f>
        <v/>
      </c>
      <c r="DM11" s="57">
        <f>SUMIFS(tblPlant[Crusher_Run_h],tblPlant[Date],$A11)</f>
        <v/>
      </c>
      <c r="DN11" s="57">
        <f>IF($B11=$B10,$DN10,0)+$DM11</f>
        <v/>
      </c>
      <c r="DO11" s="57">
        <f>$DO10+$DM11</f>
        <v/>
      </c>
      <c r="DP11" s="55">
        <f>IFERROR(IF(($DA11)&gt;0,($BZ11)/($DA11),""),"")</f>
        <v/>
      </c>
      <c r="DQ11" s="55">
        <f>IFERROR(IF(($DB11)&gt;0,($CA11)/($DB11),""),"")</f>
        <v/>
      </c>
      <c r="DR11" s="55">
        <f>IFERROR(IF(($DC11)&gt;0,($CB11)/($DC11),""),"")</f>
        <v/>
      </c>
      <c r="DS11" s="67">
        <f>IFERROR(IF(($DJ11)&gt;0,($DJ11-$DD11-$DG11)/($DJ11),""),"")</f>
        <v/>
      </c>
      <c r="DT11" s="67">
        <f>IFERROR(IF(($DK11)&gt;0,($DK11-$DE11-$DH11)/($DK11),""),"")</f>
        <v/>
      </c>
      <c r="DU11" s="67">
        <f>IFERROR(IF(($DL11)&gt;0,($DL11-$DF11-$DI11)/($DL11),""),"")</f>
        <v/>
      </c>
      <c r="DV11" s="67">
        <f>IFERROR(IF(($DJ11-$DD11-$DG11)&gt;0,($DA11)/($DJ11-$DD11-$DG11),""),"")</f>
        <v/>
      </c>
      <c r="DW11" s="67">
        <f>IFERROR(IF(($DK11-$DE11-$DH11)&gt;0,($DB11)/($DK11-$DE11-$DH11),""),"")</f>
        <v/>
      </c>
      <c r="DX11" s="67">
        <f>IFERROR(IF(($DL11-$DF11-$DI11)&gt;0,($DC11)/($DL11-$DF11-$DI11),""),"")</f>
        <v/>
      </c>
      <c r="DY11" s="55">
        <f>SUMIFS(tblPlant[Cyanide_kg],tblPlant[Date],$A11)</f>
        <v/>
      </c>
      <c r="DZ11" s="55">
        <f>IF($B11=$B10,$DZ10,0)+$DY11</f>
        <v/>
      </c>
      <c r="EA11" s="55">
        <f>$EA10+$DY11</f>
        <v/>
      </c>
      <c r="EB11" s="55">
        <f>SUMIFS(tblPlant[Lime_kg],tblPlant[Date],$A11)</f>
        <v/>
      </c>
      <c r="EC11" s="55">
        <f>IF($B11=$B10,$EC10,0)+$EB11</f>
        <v/>
      </c>
      <c r="ED11" s="55">
        <f>$ED10+$EB11</f>
        <v/>
      </c>
      <c r="EE11" s="55">
        <f>SUMIFS(tblPlant[Grinding_Media_kg],tblPlant[Date],$A11)</f>
        <v/>
      </c>
      <c r="EF11" s="55">
        <f>IF($B11=$B10,$EF10,0)+$EE11</f>
        <v/>
      </c>
      <c r="EG11" s="55">
        <f>$EG10+$EE11</f>
        <v/>
      </c>
      <c r="EH11" s="55">
        <f>SUMIFS(tblPlant[Power_kWh],tblPlant[Date],$A11)</f>
        <v/>
      </c>
      <c r="EI11" s="55">
        <f>IF($B11=$B10,$EI10,0)+$EH11</f>
        <v/>
      </c>
      <c r="EJ11" s="55">
        <f>$EJ10+$EH11</f>
        <v/>
      </c>
      <c r="EK11" s="55">
        <f>SUMIFS(tblPlant[Raw_Water_m3],tblPlant[Date],$A11)</f>
        <v/>
      </c>
      <c r="EL11" s="55">
        <f>IF($B11=$B10,$EL10,0)+$EK11</f>
        <v/>
      </c>
      <c r="EM11" s="55">
        <f>$EM10+$EK11</f>
        <v/>
      </c>
      <c r="EN11" s="56">
        <f>IFERROR(IF(($BZ11)&gt;0,($DY11)/($BZ11),""),"")</f>
        <v/>
      </c>
      <c r="EO11" s="56">
        <f>IFERROR(IF(($CA11)&gt;0,($DZ11)/($CA11),""),"")</f>
        <v/>
      </c>
      <c r="EP11" s="56">
        <f>IFERROR(IF(($CB11)&gt;0,($EA11)/($CB11),""),"")</f>
        <v/>
      </c>
      <c r="EQ11" s="56">
        <f>IFERROR(IF(($BZ11)&gt;0,($EB11)/($BZ11),""),"")</f>
        <v/>
      </c>
      <c r="ER11" s="56">
        <f>IFERROR(IF(($CA11)&gt;0,($EC11)/($CA11),""),"")</f>
        <v/>
      </c>
      <c r="ES11" s="56">
        <f>IFERROR(IF(($CB11)&gt;0,($ED11)/($CB11),""),"")</f>
        <v/>
      </c>
      <c r="ET11" s="56">
        <f>IFERROR(IF(($BZ11)&gt;0,($EE11)/($BZ11),""),"")</f>
        <v/>
      </c>
      <c r="EU11" s="56">
        <f>IFERROR(IF(($CA11)&gt;0,($EF11)/($CA11),""),"")</f>
        <v/>
      </c>
      <c r="EV11" s="56">
        <f>IFERROR(IF(($CB11)&gt;0,($EG11)/($CB11),""),"")</f>
        <v/>
      </c>
      <c r="EW11" s="76">
        <f>IFERROR(IF(($BZ11)&gt;0,($EH11)/($BZ11),""),"")</f>
        <v/>
      </c>
      <c r="EX11" s="76">
        <f>IFERROR(IF(($CA11)&gt;0,($EI11)/($CA11),""),"")</f>
        <v/>
      </c>
      <c r="EY11" s="76">
        <f>IFERROR(IF(($CB11)&gt;0,($EJ11)/($CB11),""),"")</f>
        <v/>
      </c>
      <c r="EZ11" s="56">
        <f>IFERROR(IF(($BZ11)&gt;0,($EK11)/($BZ11),""),"")</f>
        <v/>
      </c>
      <c r="FA11" s="56">
        <f>IFERROR(IF(($CA11)&gt;0,($EL11)/($CA11),""),"")</f>
        <v/>
      </c>
      <c r="FB11" s="56">
        <f>IFERROR(IF(($CB11)&gt;0,($EM11)/($CB11),""),"")</f>
        <v/>
      </c>
      <c r="FC11" s="55">
        <f>IF(SUMIFS(tblPlant[GIC_oz],tblPlant[Date],$A11)&gt;0,SUMIFS(tblPlant[GIC_oz],tblPlant[Date],$A11),"")</f>
        <v/>
      </c>
      <c r="FD11" s="55">
        <f>SUMIFS(tblGold[Gold_oz],tblGold[Date],$A11,tblGold[Type],"Shipment")</f>
        <v/>
      </c>
      <c r="FE11" s="55">
        <f>IF($B11=$B10,$FE10,0)+$FD11</f>
        <v/>
      </c>
      <c r="FF11" s="55">
        <f>$FF10+$FD11</f>
        <v/>
      </c>
      <c r="FG11" s="55">
        <f>SUMIFS(tblGold[Gold_oz],tblGold[Date],$A11,tblGold[Type],"Sale")</f>
        <v/>
      </c>
      <c r="FH11" s="55">
        <f>IF($B11=$B10,$FH10,0)+$FG11</f>
        <v/>
      </c>
      <c r="FI11" s="55">
        <f>$FI10+$FG11</f>
        <v/>
      </c>
      <c r="FJ11" s="55">
        <f>SUMIFS(tblGold[Dore_kg],tblGold[Date],$A11,tblGold[Type],"Shipment")</f>
        <v/>
      </c>
      <c r="FK11" s="55">
        <f>IF($B11=$B10,$FK10,0)+$FJ11</f>
        <v/>
      </c>
      <c r="FL11" s="55">
        <f>$FL10+$FJ11</f>
        <v/>
      </c>
      <c r="FM11" s="57">
        <f>SUMIFS(tblSafety[Hours_Total],tblSafety[Date],$A11)</f>
        <v/>
      </c>
      <c r="FN11" s="57">
        <f>IF($B11=$B10,$FN10,0)+$FM11</f>
        <v/>
      </c>
      <c r="FO11" s="57">
        <f>$FO10+$FM11</f>
        <v/>
      </c>
      <c r="FP11" s="62">
        <f>SUMIFS(tblSafety[Fatality],tblSafety[Date],$A11)</f>
        <v/>
      </c>
      <c r="FQ11" s="62">
        <f>IF($B11=$B10,$FQ10,0)+$FP11</f>
        <v/>
      </c>
      <c r="FR11" s="62">
        <f>$FR10+$FP11</f>
        <v/>
      </c>
      <c r="FS11" s="62">
        <f>SUMIFS(tblSafety[LTI],tblSafety[Date],$A11)</f>
        <v/>
      </c>
      <c r="FT11" s="62">
        <f>IF($B11=$B10,$FT10,0)+$FS11</f>
        <v/>
      </c>
      <c r="FU11" s="62">
        <f>$FU10+$FS11</f>
        <v/>
      </c>
      <c r="FV11" s="62">
        <f>SUMIFS(tblSafety[RWI],tblSafety[Date],$A11)</f>
        <v/>
      </c>
      <c r="FW11" s="62">
        <f>IF($B11=$B10,$FW10,0)+$FV11</f>
        <v/>
      </c>
      <c r="FX11" s="62">
        <f>$FX10+$FV11</f>
        <v/>
      </c>
      <c r="FY11" s="62">
        <f>SUMIFS(tblSafety[MTI],tblSafety[Date],$A11)</f>
        <v/>
      </c>
      <c r="FZ11" s="62">
        <f>IF($B11=$B10,$FZ10,0)+$FY11</f>
        <v/>
      </c>
      <c r="GA11" s="62">
        <f>$GA10+$FY11</f>
        <v/>
      </c>
      <c r="GB11" s="62">
        <f>SUMIFS(tblSafety[FAI],tblSafety[Date],$A11)</f>
        <v/>
      </c>
      <c r="GC11" s="62">
        <f>IF($B11=$B10,$GC10,0)+$GB11</f>
        <v/>
      </c>
      <c r="GD11" s="62">
        <f>$GD10+$GB11</f>
        <v/>
      </c>
      <c r="GE11" s="62">
        <f>SUMIFS(tblSafety[Recordables],tblSafety[Date],$A11)</f>
        <v/>
      </c>
      <c r="GF11" s="62">
        <f>IF($B11=$B10,$GF10,0)+$GE11</f>
        <v/>
      </c>
      <c r="GG11" s="62">
        <f>$GG10+$GE11</f>
        <v/>
      </c>
      <c r="GH11" s="62">
        <f>SUMIFS(tblSafety[Near_Miss],tblSafety[Date],$A11)</f>
        <v/>
      </c>
      <c r="GI11" s="62">
        <f>IF($B11=$B10,$GI10,0)+$GH11</f>
        <v/>
      </c>
      <c r="GJ11" s="62">
        <f>$GJ10+$GH11</f>
        <v/>
      </c>
      <c r="GK11" s="62">
        <f>SUMIFS(tblSafety[Hazard_Reports],tblSafety[Date],$A11)</f>
        <v/>
      </c>
      <c r="GL11" s="62">
        <f>IF($B11=$B10,$GL10,0)+$GK11</f>
        <v/>
      </c>
      <c r="GM11" s="62">
        <f>$GM10+$GK11</f>
        <v/>
      </c>
      <c r="GN11" s="62">
        <f>SUMIFS(tblSafety[HPI],tblSafety[Date],$A11)</f>
        <v/>
      </c>
      <c r="GO11" s="62">
        <f>IF($B11=$B10,$GO10,0)+$GN11</f>
        <v/>
      </c>
      <c r="GP11" s="62">
        <f>$GP10+$GN11</f>
        <v/>
      </c>
      <c r="GQ11" s="62">
        <f>SUMIFS(tblSafety[Env_Incidents],tblSafety[Date],$A11)</f>
        <v/>
      </c>
      <c r="GR11" s="62">
        <f>IF($B11=$B10,$GR10,0)+$GQ11</f>
        <v/>
      </c>
      <c r="GS11" s="62">
        <f>$GS10+$GQ11</f>
        <v/>
      </c>
      <c r="GT11" s="62">
        <f>SUMIFS(tblSafety[Community_Incidents],tblSafety[Date],$A11)</f>
        <v/>
      </c>
      <c r="GU11" s="62">
        <f>IF($B11=$B10,$GU10,0)+$GT11</f>
        <v/>
      </c>
      <c r="GV11" s="62">
        <f>$GV10+$GT11</f>
        <v/>
      </c>
      <c r="GW11" s="62">
        <f>SUMIFS(tblSafety[Vehicle_Incidents],tblSafety[Date],$A11)</f>
        <v/>
      </c>
      <c r="GX11" s="62">
        <f>IF($B11=$B10,$GX10,0)+$GW11</f>
        <v/>
      </c>
      <c r="GY11" s="62">
        <f>$GY10+$GW11</f>
        <v/>
      </c>
      <c r="GZ11" s="62">
        <f>SUMIFS(tblSafety[Toolbox_Talks],tblSafety[Date],$A11)</f>
        <v/>
      </c>
      <c r="HA11" s="62">
        <f>IF($B11=$B10,$HA10,0)+$GZ11</f>
        <v/>
      </c>
      <c r="HB11" s="62">
        <f>$HB10+$GZ11</f>
        <v/>
      </c>
      <c r="HC11" s="62">
        <f>SUMIFS(tblSafety[Inspections],tblSafety[Date],$A11)</f>
        <v/>
      </c>
      <c r="HD11" s="62">
        <f>IF($B11=$B10,$HD10,0)+$HC11</f>
        <v/>
      </c>
      <c r="HE11" s="62">
        <f>$HE10+$HC11</f>
        <v/>
      </c>
      <c r="HF11" s="56">
        <f>IFERROR((SUMIFS(tblSafety[Recordables],tblSafety[Date],"&gt;="&amp;EDATE($E11,-12),tblSafety[Date],"&lt;="&amp;$A11)+SUMIFS(tblSafetyHistory[Recordables],tblSafetyHistory[Month],"&gt;="&amp;EDATE($E11,-12),tblSafetyHistory[Month],"&lt;"&amp;cfg_YearStart))/(SUMIFS(tblSafety[Hours_Total],tblSafety[Date],"&gt;="&amp;EDATE($E11,-12),tblSafety[Date],"&lt;="&amp;$A11)+SUMIFS(tblSafetyHistory[Hours_Total],tblSafetyHistory[Month],"&gt;="&amp;EDATE($E11,-12),tblSafetyHistory[Month],"&lt;"&amp;cfg_YearStart))*1000000,"")</f>
        <v/>
      </c>
      <c r="HG11" s="56">
        <f>IFERROR((SUMIFS(tblSafety[LTI],tblSafety[Date],"&gt;="&amp;EDATE($E11,-12),tblSafety[Date],"&lt;="&amp;$A11)+SUMIFS(tblSafetyHistory[LTI],tblSafetyHistory[Month],"&gt;="&amp;EDATE($E11,-12),tblSafetyHistory[Month],"&lt;"&amp;cfg_YearStart))/(SUMIFS(tblSafety[Hours_Total],tblSafety[Date],"&gt;="&amp;EDATE($E11,-12),tblSafety[Date],"&lt;="&amp;$A11)+SUMIFS(tblSafetyHistory[Hours_Total],tblSafetyHistory[Month],"&gt;="&amp;EDATE($E11,-12),tblSafetyHistory[Month],"&lt;"&amp;cfg_YearStart))*1000000,"")</f>
        <v/>
      </c>
      <c r="HH11" s="62">
        <f>IF(MAX(N(cfg_PriorLTIDate),_xlfn.MAXIFS(tblSafety[Date],tblSafety[LTI],"&gt;0",tblSafety[Date],"&lt;="&amp;$A11))=0,"",$A11-MAX(N(cfg_PriorLTIDate),_xlfn.MAXIFS(tblSafety[Date],tblSafety[LTI],"&gt;0",tblSafety[Date],"&lt;="&amp;$A11)))</f>
        <v/>
      </c>
      <c r="HI11" s="55">
        <f>SUMIFS(tblBudget[Ore_Mined_t],tblBudget[Month],$E11)</f>
        <v/>
      </c>
      <c r="HJ11" s="55">
        <f>$HI11*$C11/$D11</f>
        <v/>
      </c>
      <c r="HK11" s="55">
        <f>SUMIFS(tblBudget[Ore_Mined_t],tblBudget[Month],"&lt;"&amp;$E11)+$HJ11</f>
        <v/>
      </c>
      <c r="HL11" s="55">
        <f>SUMIFS(tblBudget[Ore_oz],tblBudget[Month],$E11)</f>
        <v/>
      </c>
      <c r="HM11" s="55">
        <f>$HL11*$C11/$D11</f>
        <v/>
      </c>
      <c r="HN11" s="55">
        <f>SUMIFS(tblBudget[Ore_oz],tblBudget[Month],"&lt;"&amp;$E11)+$HM11</f>
        <v/>
      </c>
      <c r="HO11" s="56">
        <f>IFERROR(IF(($HI11)&gt;0,($HL11*cfg_TroyOz)/($HI11),""),"")</f>
        <v/>
      </c>
      <c r="HP11" s="56">
        <f>IFERROR(IF(($HJ11)&gt;0,($HM11*cfg_TroyOz)/($HJ11),""),"")</f>
        <v/>
      </c>
      <c r="HQ11" s="56">
        <f>IFERROR(IF(($HK11)&gt;0,($HN11*cfg_TroyOz)/($HK11),""),"")</f>
        <v/>
      </c>
      <c r="HR11" s="55">
        <f>SUMIFS(tblBudget[Waste_t],tblBudget[Month],$E11)</f>
        <v/>
      </c>
      <c r="HS11" s="55">
        <f>$HR11*$C11/$D11</f>
        <v/>
      </c>
      <c r="HT11" s="55">
        <f>SUMIFS(tblBudget[Waste_t],tblBudget[Month],"&lt;"&amp;$E11)+$HS11</f>
        <v/>
      </c>
      <c r="HU11" s="55">
        <f>SUMIFS(tblBudget[TMM_t],tblBudget[Month],$E11)</f>
        <v/>
      </c>
      <c r="HV11" s="55">
        <f>$HU11*$C11/$D11</f>
        <v/>
      </c>
      <c r="HW11" s="55">
        <f>SUMIFS(tblBudget[TMM_t],tblBudget[Month],"&lt;"&amp;$E11)+$HV11</f>
        <v/>
      </c>
      <c r="HX11" s="56">
        <f>IFERROR(IF(($HI11)&gt;0,($HR11)/($HI11),""),"")</f>
        <v/>
      </c>
      <c r="HY11" s="56">
        <f>IFERROR(IF(($HJ11)&gt;0,($HS11)/($HJ11),""),"")</f>
        <v/>
      </c>
      <c r="HZ11" s="56">
        <f>IFERROR(IF(($HK11)&gt;0,($HT11)/($HK11),""),"")</f>
        <v/>
      </c>
      <c r="IA11" s="55">
        <f>SUMIFS(tblBudget[Drill_m],tblBudget[Month],$E11)</f>
        <v/>
      </c>
      <c r="IB11" s="55">
        <f>$IA11*$C11/$D11</f>
        <v/>
      </c>
      <c r="IC11" s="55">
        <f>SUMIFS(tblBudget[Drill_m],tblBudget[Month],"&lt;"&amp;$E11)+$IB11</f>
        <v/>
      </c>
      <c r="ID11" s="55">
        <f>SUMIFS(tblBudget[Diesel_L],tblBudget[Month],$E11)</f>
        <v/>
      </c>
      <c r="IE11" s="55">
        <f>$ID11*$C11/$D11</f>
        <v/>
      </c>
      <c r="IF11" s="55">
        <f>SUMIFS(tblBudget[Diesel_L],tblBudget[Month],"&lt;"&amp;$E11)+$IE11</f>
        <v/>
      </c>
      <c r="IG11" s="55">
        <f>SUMIFS(tblBudget[Milled_t],tblBudget[Month],$E11)</f>
        <v/>
      </c>
      <c r="IH11" s="55">
        <f>$IG11*$C11/$D11</f>
        <v/>
      </c>
      <c r="II11" s="55">
        <f>SUMIFS(tblBudget[Milled_t],tblBudget[Month],"&lt;"&amp;$E11)+$IH11</f>
        <v/>
      </c>
      <c r="IJ11" s="55">
        <f>SUMIFS(tblBudget[Feed_oz],tblBudget[Month],$E11)</f>
        <v/>
      </c>
      <c r="IK11" s="55">
        <f>$IJ11*$C11/$D11</f>
        <v/>
      </c>
      <c r="IL11" s="55">
        <f>SUMIFS(tblBudget[Feed_oz],tblBudget[Month],"&lt;"&amp;$E11)+$IK11</f>
        <v/>
      </c>
      <c r="IM11" s="55">
        <f>SUMIFS(tblBudget[Recovered_oz],tblBudget[Month],$E11)</f>
        <v/>
      </c>
      <c r="IN11" s="55">
        <f>$IM11*$C11/$D11</f>
        <v/>
      </c>
      <c r="IO11" s="55">
        <f>SUMIFS(tblBudget[Recovered_oz],tblBudget[Month],"&lt;"&amp;$E11)+$IN11</f>
        <v/>
      </c>
      <c r="IP11" s="56">
        <f>IFERROR(IF(($IG11)&gt;0,($IJ11*cfg_TroyOz)/($IG11),""),"")</f>
        <v/>
      </c>
      <c r="IQ11" s="56">
        <f>IFERROR(IF(($IH11)&gt;0,($IK11*cfg_TroyOz)/($IH11),""),"")</f>
        <v/>
      </c>
      <c r="IR11" s="56">
        <f>IFERROR(IF(($II11)&gt;0,($IL11*cfg_TroyOz)/($II11),""),"")</f>
        <v/>
      </c>
      <c r="IS11" s="67">
        <f>IFERROR(IF(($IJ11)&gt;0,($IM11)/($IJ11),""),"")</f>
        <v/>
      </c>
      <c r="IT11" s="67">
        <f>IFERROR(IF(($IK11)&gt;0,($IN11)/($IK11),""),"")</f>
        <v/>
      </c>
      <c r="IU11" s="67">
        <f>IFERROR(IF(($IL11)&gt;0,($IO11)/($IL11),""),"")</f>
        <v/>
      </c>
      <c r="IV11" s="55">
        <f>SUMIFS(tblBudget[Gold_Poured_oz],tblBudget[Month],$E11)</f>
        <v/>
      </c>
      <c r="IW11" s="55">
        <f>$IV11*$C11/$D11</f>
        <v/>
      </c>
      <c r="IX11" s="55">
        <f>SUMIFS(tblBudget[Gold_Poured_oz],tblBudget[Month],"&lt;"&amp;$E11)+$IW11</f>
        <v/>
      </c>
      <c r="IY11" s="57">
        <f>SUMIFS(tblBudget[Hours_Worked],tblBudget[Month],$E11)</f>
        <v/>
      </c>
      <c r="IZ11" s="57">
        <f>$IY11*$C11/$D11</f>
        <v/>
      </c>
      <c r="JA11" s="57">
        <f>SUMIFS(tblBudget[Hours_Worked],tblBudget[Month],"&lt;"&amp;$E11)+$IZ11</f>
        <v/>
      </c>
    </row>
    <row r="12">
      <c r="A12" s="54" t="n">
        <v>46033</v>
      </c>
      <c r="B12">
        <f>MONTH($A12)</f>
        <v/>
      </c>
      <c r="C12">
        <f>DAY($A12)</f>
        <v/>
      </c>
      <c r="D12">
        <f>DAY(EOMONTH($A12,0))</f>
        <v/>
      </c>
      <c r="E12" s="54">
        <f>DATE(YEAR($A12),MONTH($A12),1)</f>
        <v/>
      </c>
      <c r="F12" s="55">
        <f>SUMIFS(tblMovement[Tonnes_t],tblMovement[Date],$A12,tblMovement[Is_Ore],1,tblMovement[Source_Type],"Pit")</f>
        <v/>
      </c>
      <c r="G12" s="55">
        <f>IF($B12=$B11,$G11,0)+$F12</f>
        <v/>
      </c>
      <c r="H12" s="55">
        <f>$H11+$F12</f>
        <v/>
      </c>
      <c r="I12" s="55">
        <f>SUMIFS(tblMovement[Ore_oz],tblMovement[Date],$A12,tblMovement[Source_Type],"Pit")</f>
        <v/>
      </c>
      <c r="J12" s="55">
        <f>IF($B12=$B11,$J11,0)+$I12</f>
        <v/>
      </c>
      <c r="K12" s="55">
        <f>$K11+$I12</f>
        <v/>
      </c>
      <c r="L12" s="56">
        <f>IFERROR(IF(($F12)&gt;0,($I12*cfg_TroyOz)/($F12),""),"")</f>
        <v/>
      </c>
      <c r="M12" s="56">
        <f>IFERROR(IF(($G12)&gt;0,($J12*cfg_TroyOz)/($G12),""),"")</f>
        <v/>
      </c>
      <c r="N12" s="56">
        <f>IFERROR(IF(($H12)&gt;0,($K12*cfg_TroyOz)/($H12),""),"")</f>
        <v/>
      </c>
      <c r="O12" s="55">
        <f>SUMIFS(tblMovement[Tonnes_t],tblMovement[Date],$A12,tblMovement[Is_Ore],0,tblMovement[Source_Type],"Pit")</f>
        <v/>
      </c>
      <c r="P12" s="55">
        <f>IF($B12=$B11,$P11,0)+$O12</f>
        <v/>
      </c>
      <c r="Q12" s="55">
        <f>$Q11+$O12</f>
        <v/>
      </c>
      <c r="R12" s="55">
        <f>$F12+$O12</f>
        <v/>
      </c>
      <c r="S12" s="55">
        <f>IF($B12=$B11,$S11,0)+$R12</f>
        <v/>
      </c>
      <c r="T12" s="55">
        <f>$T11+$R12</f>
        <v/>
      </c>
      <c r="U12" s="56">
        <f>IFERROR(IF(($F12)&gt;0,($O12)/($F12),""),"")</f>
        <v/>
      </c>
      <c r="V12" s="56">
        <f>IFERROR(IF(($G12)&gt;0,($P12)/($G12),""),"")</f>
        <v/>
      </c>
      <c r="W12" s="56">
        <f>IFERROR(IF(($H12)&gt;0,($Q12)/($H12),""),"")</f>
        <v/>
      </c>
      <c r="X12" s="55">
        <f>SUMIFS(tblMovement[Tonnes_t],tblMovement[Date],$A12,tblMovement[Source_Type],"Stockpile")</f>
        <v/>
      </c>
      <c r="Y12" s="55">
        <f>IF($B12=$B11,$Y11,0)+$X12</f>
        <v/>
      </c>
      <c r="Z12" s="55">
        <f>$Z11+$X12</f>
        <v/>
      </c>
      <c r="AA12" s="55">
        <f>SUMIFS(tblMiningDaily[Drill_m],tblMiningDaily[Date],$A12)</f>
        <v/>
      </c>
      <c r="AB12" s="55">
        <f>IF($B12=$B11,$AB11,0)+$AA12</f>
        <v/>
      </c>
      <c r="AC12" s="55">
        <f>$AC11+$AA12</f>
        <v/>
      </c>
      <c r="AD12" s="55">
        <f>SUMIFS(tblMiningDaily[Blast_t],tblMiningDaily[Date],$A12)</f>
        <v/>
      </c>
      <c r="AE12" s="55">
        <f>IF($B12=$B11,$AE11,0)+$AD12</f>
        <v/>
      </c>
      <c r="AF12" s="55">
        <f>$AF11+$AD12</f>
        <v/>
      </c>
      <c r="AG12" s="55">
        <f>SUMIFS(tblMiningDaily[Explosives_kg],tblMiningDaily[Date],$A12)</f>
        <v/>
      </c>
      <c r="AH12" s="55">
        <f>IF($B12=$B11,$AH11,0)+$AG12</f>
        <v/>
      </c>
      <c r="AI12" s="55">
        <f>$AI11+$AG12</f>
        <v/>
      </c>
      <c r="AJ12" s="56">
        <f>IFERROR(IF(($AD12)&gt;0,($AG12)/($AD12),""),"")</f>
        <v/>
      </c>
      <c r="AK12" s="56">
        <f>IFERROR(IF(($AE12)&gt;0,($AH12)/($AE12),""),"")</f>
        <v/>
      </c>
      <c r="AL12" s="56">
        <f>IFERROR(IF(($AF12)&gt;0,($AI12)/($AF12),""),"")</f>
        <v/>
      </c>
      <c r="AM12" s="55">
        <f>SUMIFS(tblMiningDaily[Diesel_L],tblMiningDaily[Date],$A12)</f>
        <v/>
      </c>
      <c r="AN12" s="55">
        <f>IF($B12=$B11,$AN11,0)+$AM12</f>
        <v/>
      </c>
      <c r="AO12" s="55">
        <f>$AO11+$AM12</f>
        <v/>
      </c>
      <c r="AP12" s="55">
        <f>SUMIFS(tblMiningDaily[Dewatering_m3],tblMiningDaily[Date],$A12)</f>
        <v/>
      </c>
      <c r="AQ12" s="55">
        <f>IF($B12=$B11,$AQ11,0)+$AP12</f>
        <v/>
      </c>
      <c r="AR12" s="55">
        <f>$AR11+$AP12</f>
        <v/>
      </c>
      <c r="AS12" s="57">
        <f>SUMIFS(tblFleet[Calendar_h],tblFleet[Date],$A12,tblFleet[Equipment_Class],"Excavator")</f>
        <v/>
      </c>
      <c r="AT12" s="57">
        <f>IF($B12=$B11,$AT11,0)+$AS12</f>
        <v/>
      </c>
      <c r="AU12" s="57">
        <f>$AU11+$AS12</f>
        <v/>
      </c>
      <c r="AV12" s="57">
        <f>SUMIFS(tblFleet[Available_h],tblFleet[Date],$A12,tblFleet[Equipment_Class],"Excavator")</f>
        <v/>
      </c>
      <c r="AW12" s="57">
        <f>IF($B12=$B11,$AW11,0)+$AV12</f>
        <v/>
      </c>
      <c r="AX12" s="57">
        <f>$AX11+$AV12</f>
        <v/>
      </c>
      <c r="AY12" s="57">
        <f>SUMIFS(tblFleet[Operating_h],tblFleet[Date],$A12,tblFleet[Equipment_Class],"Excavator")</f>
        <v/>
      </c>
      <c r="AZ12" s="57">
        <f>IF($B12=$B11,$AZ11,0)+$AY12</f>
        <v/>
      </c>
      <c r="BA12" s="57">
        <f>$BA11+$AY12</f>
        <v/>
      </c>
      <c r="BB12" s="67">
        <f>IFERROR(IF(($AS12)&gt;0,($AV12)/($AS12),""),"")</f>
        <v/>
      </c>
      <c r="BC12" s="67">
        <f>IFERROR(IF(($AT12)&gt;0,($AW12)/($AT12),""),"")</f>
        <v/>
      </c>
      <c r="BD12" s="67">
        <f>IFERROR(IF(($AU12)&gt;0,($AX12)/($AU12),""),"")</f>
        <v/>
      </c>
      <c r="BE12" s="67">
        <f>IFERROR(IF(($AV12)&gt;0,($AY12)/($AV12),""),"")</f>
        <v/>
      </c>
      <c r="BF12" s="67">
        <f>IFERROR(IF(($AW12)&gt;0,($AZ12)/($AW12),""),"")</f>
        <v/>
      </c>
      <c r="BG12" s="67">
        <f>IFERROR(IF(($AX12)&gt;0,($BA12)/($AX12),""),"")</f>
        <v/>
      </c>
      <c r="BH12" s="57">
        <f>SUMIFS(tblFleet[Calendar_h],tblFleet[Date],$A12,tblFleet[Equipment_Class],"Haul Truck")</f>
        <v/>
      </c>
      <c r="BI12" s="57">
        <f>IF($B12=$B11,$BI11,0)+$BH12</f>
        <v/>
      </c>
      <c r="BJ12" s="57">
        <f>$BJ11+$BH12</f>
        <v/>
      </c>
      <c r="BK12" s="57">
        <f>SUMIFS(tblFleet[Available_h],tblFleet[Date],$A12,tblFleet[Equipment_Class],"Haul Truck")</f>
        <v/>
      </c>
      <c r="BL12" s="57">
        <f>IF($B12=$B11,$BL11,0)+$BK12</f>
        <v/>
      </c>
      <c r="BM12" s="57">
        <f>$BM11+$BK12</f>
        <v/>
      </c>
      <c r="BN12" s="57">
        <f>SUMIFS(tblFleet[Operating_h],tblFleet[Date],$A12,tblFleet[Equipment_Class],"Haul Truck")</f>
        <v/>
      </c>
      <c r="BO12" s="57">
        <f>IF($B12=$B11,$BO11,0)+$BN12</f>
        <v/>
      </c>
      <c r="BP12" s="57">
        <f>$BP11+$BN12</f>
        <v/>
      </c>
      <c r="BQ12" s="67">
        <f>IFERROR(IF(($BH12)&gt;0,($BK12)/($BH12),""),"")</f>
        <v/>
      </c>
      <c r="BR12" s="67">
        <f>IFERROR(IF(($BI12)&gt;0,($BL12)/($BI12),""),"")</f>
        <v/>
      </c>
      <c r="BS12" s="67">
        <f>IFERROR(IF(($BJ12)&gt;0,($BM12)/($BJ12),""),"")</f>
        <v/>
      </c>
      <c r="BT12" s="67">
        <f>IFERROR(IF(($BK12)&gt;0,($BN12)/($BK12),""),"")</f>
        <v/>
      </c>
      <c r="BU12" s="67">
        <f>IFERROR(IF(($BL12)&gt;0,($BO12)/($BL12),""),"")</f>
        <v/>
      </c>
      <c r="BV12" s="67">
        <f>IFERROR(IF(($BM12)&gt;0,($BP12)/($BM12),""),"")</f>
        <v/>
      </c>
      <c r="BW12" s="55">
        <f>SUMIFS(tblPlant[Crushed_t],tblPlant[Date],$A12)</f>
        <v/>
      </c>
      <c r="BX12" s="55">
        <f>IF($B12=$B11,$BX11,0)+$BW12</f>
        <v/>
      </c>
      <c r="BY12" s="55">
        <f>$BY11+$BW12</f>
        <v/>
      </c>
      <c r="BZ12" s="55">
        <f>SUMIFS(tblPlant[Milled_t],tblPlant[Date],$A12)</f>
        <v/>
      </c>
      <c r="CA12" s="55">
        <f>IF($B12=$B11,$CA11,0)+$BZ12</f>
        <v/>
      </c>
      <c r="CB12" s="55">
        <f>$CB11+$BZ12</f>
        <v/>
      </c>
      <c r="CC12" s="55">
        <f>SUMIFS(tblPlant[Feed_oz],tblPlant[Date],$A12)</f>
        <v/>
      </c>
      <c r="CD12" s="55">
        <f>IF($B12=$B11,$CD11,0)+$CC12</f>
        <v/>
      </c>
      <c r="CE12" s="55">
        <f>$CE11+$CC12</f>
        <v/>
      </c>
      <c r="CF12" s="55">
        <f>SUMIFS(tblPlant[Tails_oz],tblPlant[Date],$A12)</f>
        <v/>
      </c>
      <c r="CG12" s="55">
        <f>IF($B12=$B11,$CG11,0)+$CF12</f>
        <v/>
      </c>
      <c r="CH12" s="55">
        <f>$CH11+$CF12</f>
        <v/>
      </c>
      <c r="CI12" s="55">
        <f>SUMIFS(tblPlant[Recovered_oz],tblPlant[Date],$A12)</f>
        <v/>
      </c>
      <c r="CJ12" s="55">
        <f>IF($B12=$B11,$CJ11,0)+$CI12</f>
        <v/>
      </c>
      <c r="CK12" s="55">
        <f>$CK11+$CI12</f>
        <v/>
      </c>
      <c r="CL12" s="56">
        <f>IFERROR(IF(($BZ12)&gt;0,($CC12*cfg_TroyOz)/($BZ12),""),"")</f>
        <v/>
      </c>
      <c r="CM12" s="56">
        <f>IFERROR(IF(($CA12)&gt;0,($CD12*cfg_TroyOz)/($CA12),""),"")</f>
        <v/>
      </c>
      <c r="CN12" s="56">
        <f>IFERROR(IF(($CB12)&gt;0,($CE12*cfg_TroyOz)/($CB12),""),"")</f>
        <v/>
      </c>
      <c r="CO12" s="56">
        <f>IFERROR(IF(($BZ12)&gt;0,($CF12*cfg_TroyOz)/($BZ12),""),"")</f>
        <v/>
      </c>
      <c r="CP12" s="56">
        <f>IFERROR(IF(($CA12)&gt;0,($CG12*cfg_TroyOz)/($CA12),""),"")</f>
        <v/>
      </c>
      <c r="CQ12" s="56">
        <f>IFERROR(IF(($CB12)&gt;0,($CH12*cfg_TroyOz)/($CB12),""),"")</f>
        <v/>
      </c>
      <c r="CR12" s="67">
        <f>IFERROR(IF(($CC12)&gt;0,($CI12)/($CC12),""),"")</f>
        <v/>
      </c>
      <c r="CS12" s="67">
        <f>IFERROR(IF(($CD12)&gt;0,($CJ12)/($CD12),""),"")</f>
        <v/>
      </c>
      <c r="CT12" s="67">
        <f>IFERROR(IF(($CE12)&gt;0,($CK12)/($CE12),""),"")</f>
        <v/>
      </c>
      <c r="CU12" s="55">
        <f>SUMIFS(tblPlant[Gravity_Gold_oz],tblPlant[Date],$A12)</f>
        <v/>
      </c>
      <c r="CV12" s="55">
        <f>IF($B12=$B11,$CV11,0)+$CU12</f>
        <v/>
      </c>
      <c r="CW12" s="55">
        <f>$CW11+$CU12</f>
        <v/>
      </c>
      <c r="CX12" s="55">
        <f>SUMIFS(tblPlant[Gold_Poured_oz],tblPlant[Date],$A12)</f>
        <v/>
      </c>
      <c r="CY12" s="55">
        <f>IF($B12=$B11,$CY11,0)+$CX12</f>
        <v/>
      </c>
      <c r="CZ12" s="55">
        <f>$CZ11+$CX12</f>
        <v/>
      </c>
      <c r="DA12" s="57">
        <f>SUMIFS(tblPlant[Mill_Run_h],tblPlant[Date],$A12)</f>
        <v/>
      </c>
      <c r="DB12" s="57">
        <f>IF($B12=$B11,$DB11,0)+$DA12</f>
        <v/>
      </c>
      <c r="DC12" s="57">
        <f>$DC11+$DA12</f>
        <v/>
      </c>
      <c r="DD12" s="57">
        <f>SUMIFS(tblPlant[Mill_Planned_Maint_h],tblPlant[Date],$A12)</f>
        <v/>
      </c>
      <c r="DE12" s="57">
        <f>IF($B12=$B11,$DE11,0)+$DD12</f>
        <v/>
      </c>
      <c r="DF12" s="57">
        <f>$DF11+$DD12</f>
        <v/>
      </c>
      <c r="DG12" s="57">
        <f>SUMIFS(tblPlant[Mill_Unplanned_Down_h],tblPlant[Date],$A12)</f>
        <v/>
      </c>
      <c r="DH12" s="57">
        <f>IF($B12=$B11,$DH11,0)+$DG12</f>
        <v/>
      </c>
      <c r="DI12" s="57">
        <f>$DI11+$DG12</f>
        <v/>
      </c>
      <c r="DJ12" s="57">
        <f>COUNTIFS(tblPlant[Date],$A12,tblPlant[Mill_Run_h],"&lt;&gt;")*24</f>
        <v/>
      </c>
      <c r="DK12" s="57">
        <f>IF($B12=$B11,$DK11,0)+$DJ12</f>
        <v/>
      </c>
      <c r="DL12" s="57">
        <f>$DL11+$DJ12</f>
        <v/>
      </c>
      <c r="DM12" s="57">
        <f>SUMIFS(tblPlant[Crusher_Run_h],tblPlant[Date],$A12)</f>
        <v/>
      </c>
      <c r="DN12" s="57">
        <f>IF($B12=$B11,$DN11,0)+$DM12</f>
        <v/>
      </c>
      <c r="DO12" s="57">
        <f>$DO11+$DM12</f>
        <v/>
      </c>
      <c r="DP12" s="55">
        <f>IFERROR(IF(($DA12)&gt;0,($BZ12)/($DA12),""),"")</f>
        <v/>
      </c>
      <c r="DQ12" s="55">
        <f>IFERROR(IF(($DB12)&gt;0,($CA12)/($DB12),""),"")</f>
        <v/>
      </c>
      <c r="DR12" s="55">
        <f>IFERROR(IF(($DC12)&gt;0,($CB12)/($DC12),""),"")</f>
        <v/>
      </c>
      <c r="DS12" s="67">
        <f>IFERROR(IF(($DJ12)&gt;0,($DJ12-$DD12-$DG12)/($DJ12),""),"")</f>
        <v/>
      </c>
      <c r="DT12" s="67">
        <f>IFERROR(IF(($DK12)&gt;0,($DK12-$DE12-$DH12)/($DK12),""),"")</f>
        <v/>
      </c>
      <c r="DU12" s="67">
        <f>IFERROR(IF(($DL12)&gt;0,($DL12-$DF12-$DI12)/($DL12),""),"")</f>
        <v/>
      </c>
      <c r="DV12" s="67">
        <f>IFERROR(IF(($DJ12-$DD12-$DG12)&gt;0,($DA12)/($DJ12-$DD12-$DG12),""),"")</f>
        <v/>
      </c>
      <c r="DW12" s="67">
        <f>IFERROR(IF(($DK12-$DE12-$DH12)&gt;0,($DB12)/($DK12-$DE12-$DH12),""),"")</f>
        <v/>
      </c>
      <c r="DX12" s="67">
        <f>IFERROR(IF(($DL12-$DF12-$DI12)&gt;0,($DC12)/($DL12-$DF12-$DI12),""),"")</f>
        <v/>
      </c>
      <c r="DY12" s="55">
        <f>SUMIFS(tblPlant[Cyanide_kg],tblPlant[Date],$A12)</f>
        <v/>
      </c>
      <c r="DZ12" s="55">
        <f>IF($B12=$B11,$DZ11,0)+$DY12</f>
        <v/>
      </c>
      <c r="EA12" s="55">
        <f>$EA11+$DY12</f>
        <v/>
      </c>
      <c r="EB12" s="55">
        <f>SUMIFS(tblPlant[Lime_kg],tblPlant[Date],$A12)</f>
        <v/>
      </c>
      <c r="EC12" s="55">
        <f>IF($B12=$B11,$EC11,0)+$EB12</f>
        <v/>
      </c>
      <c r="ED12" s="55">
        <f>$ED11+$EB12</f>
        <v/>
      </c>
      <c r="EE12" s="55">
        <f>SUMIFS(tblPlant[Grinding_Media_kg],tblPlant[Date],$A12)</f>
        <v/>
      </c>
      <c r="EF12" s="55">
        <f>IF($B12=$B11,$EF11,0)+$EE12</f>
        <v/>
      </c>
      <c r="EG12" s="55">
        <f>$EG11+$EE12</f>
        <v/>
      </c>
      <c r="EH12" s="55">
        <f>SUMIFS(tblPlant[Power_kWh],tblPlant[Date],$A12)</f>
        <v/>
      </c>
      <c r="EI12" s="55">
        <f>IF($B12=$B11,$EI11,0)+$EH12</f>
        <v/>
      </c>
      <c r="EJ12" s="55">
        <f>$EJ11+$EH12</f>
        <v/>
      </c>
      <c r="EK12" s="55">
        <f>SUMIFS(tblPlant[Raw_Water_m3],tblPlant[Date],$A12)</f>
        <v/>
      </c>
      <c r="EL12" s="55">
        <f>IF($B12=$B11,$EL11,0)+$EK12</f>
        <v/>
      </c>
      <c r="EM12" s="55">
        <f>$EM11+$EK12</f>
        <v/>
      </c>
      <c r="EN12" s="56">
        <f>IFERROR(IF(($BZ12)&gt;0,($DY12)/($BZ12),""),"")</f>
        <v/>
      </c>
      <c r="EO12" s="56">
        <f>IFERROR(IF(($CA12)&gt;0,($DZ12)/($CA12),""),"")</f>
        <v/>
      </c>
      <c r="EP12" s="56">
        <f>IFERROR(IF(($CB12)&gt;0,($EA12)/($CB12),""),"")</f>
        <v/>
      </c>
      <c r="EQ12" s="56">
        <f>IFERROR(IF(($BZ12)&gt;0,($EB12)/($BZ12),""),"")</f>
        <v/>
      </c>
      <c r="ER12" s="56">
        <f>IFERROR(IF(($CA12)&gt;0,($EC12)/($CA12),""),"")</f>
        <v/>
      </c>
      <c r="ES12" s="56">
        <f>IFERROR(IF(($CB12)&gt;0,($ED12)/($CB12),""),"")</f>
        <v/>
      </c>
      <c r="ET12" s="56">
        <f>IFERROR(IF(($BZ12)&gt;0,($EE12)/($BZ12),""),"")</f>
        <v/>
      </c>
      <c r="EU12" s="56">
        <f>IFERROR(IF(($CA12)&gt;0,($EF12)/($CA12),""),"")</f>
        <v/>
      </c>
      <c r="EV12" s="56">
        <f>IFERROR(IF(($CB12)&gt;0,($EG12)/($CB12),""),"")</f>
        <v/>
      </c>
      <c r="EW12" s="76">
        <f>IFERROR(IF(($BZ12)&gt;0,($EH12)/($BZ12),""),"")</f>
        <v/>
      </c>
      <c r="EX12" s="76">
        <f>IFERROR(IF(($CA12)&gt;0,($EI12)/($CA12),""),"")</f>
        <v/>
      </c>
      <c r="EY12" s="76">
        <f>IFERROR(IF(($CB12)&gt;0,($EJ12)/($CB12),""),"")</f>
        <v/>
      </c>
      <c r="EZ12" s="56">
        <f>IFERROR(IF(($BZ12)&gt;0,($EK12)/($BZ12),""),"")</f>
        <v/>
      </c>
      <c r="FA12" s="56">
        <f>IFERROR(IF(($CA12)&gt;0,($EL12)/($CA12),""),"")</f>
        <v/>
      </c>
      <c r="FB12" s="56">
        <f>IFERROR(IF(($CB12)&gt;0,($EM12)/($CB12),""),"")</f>
        <v/>
      </c>
      <c r="FC12" s="55">
        <f>IF(SUMIFS(tblPlant[GIC_oz],tblPlant[Date],$A12)&gt;0,SUMIFS(tblPlant[GIC_oz],tblPlant[Date],$A12),"")</f>
        <v/>
      </c>
      <c r="FD12" s="55">
        <f>SUMIFS(tblGold[Gold_oz],tblGold[Date],$A12,tblGold[Type],"Shipment")</f>
        <v/>
      </c>
      <c r="FE12" s="55">
        <f>IF($B12=$B11,$FE11,0)+$FD12</f>
        <v/>
      </c>
      <c r="FF12" s="55">
        <f>$FF11+$FD12</f>
        <v/>
      </c>
      <c r="FG12" s="55">
        <f>SUMIFS(tblGold[Gold_oz],tblGold[Date],$A12,tblGold[Type],"Sale")</f>
        <v/>
      </c>
      <c r="FH12" s="55">
        <f>IF($B12=$B11,$FH11,0)+$FG12</f>
        <v/>
      </c>
      <c r="FI12" s="55">
        <f>$FI11+$FG12</f>
        <v/>
      </c>
      <c r="FJ12" s="55">
        <f>SUMIFS(tblGold[Dore_kg],tblGold[Date],$A12,tblGold[Type],"Shipment")</f>
        <v/>
      </c>
      <c r="FK12" s="55">
        <f>IF($B12=$B11,$FK11,0)+$FJ12</f>
        <v/>
      </c>
      <c r="FL12" s="55">
        <f>$FL11+$FJ12</f>
        <v/>
      </c>
      <c r="FM12" s="57">
        <f>SUMIFS(tblSafety[Hours_Total],tblSafety[Date],$A12)</f>
        <v/>
      </c>
      <c r="FN12" s="57">
        <f>IF($B12=$B11,$FN11,0)+$FM12</f>
        <v/>
      </c>
      <c r="FO12" s="57">
        <f>$FO11+$FM12</f>
        <v/>
      </c>
      <c r="FP12" s="62">
        <f>SUMIFS(tblSafety[Fatality],tblSafety[Date],$A12)</f>
        <v/>
      </c>
      <c r="FQ12" s="62">
        <f>IF($B12=$B11,$FQ11,0)+$FP12</f>
        <v/>
      </c>
      <c r="FR12" s="62">
        <f>$FR11+$FP12</f>
        <v/>
      </c>
      <c r="FS12" s="62">
        <f>SUMIFS(tblSafety[LTI],tblSafety[Date],$A12)</f>
        <v/>
      </c>
      <c r="FT12" s="62">
        <f>IF($B12=$B11,$FT11,0)+$FS12</f>
        <v/>
      </c>
      <c r="FU12" s="62">
        <f>$FU11+$FS12</f>
        <v/>
      </c>
      <c r="FV12" s="62">
        <f>SUMIFS(tblSafety[RWI],tblSafety[Date],$A12)</f>
        <v/>
      </c>
      <c r="FW12" s="62">
        <f>IF($B12=$B11,$FW11,0)+$FV12</f>
        <v/>
      </c>
      <c r="FX12" s="62">
        <f>$FX11+$FV12</f>
        <v/>
      </c>
      <c r="FY12" s="62">
        <f>SUMIFS(tblSafety[MTI],tblSafety[Date],$A12)</f>
        <v/>
      </c>
      <c r="FZ12" s="62">
        <f>IF($B12=$B11,$FZ11,0)+$FY12</f>
        <v/>
      </c>
      <c r="GA12" s="62">
        <f>$GA11+$FY12</f>
        <v/>
      </c>
      <c r="GB12" s="62">
        <f>SUMIFS(tblSafety[FAI],tblSafety[Date],$A12)</f>
        <v/>
      </c>
      <c r="GC12" s="62">
        <f>IF($B12=$B11,$GC11,0)+$GB12</f>
        <v/>
      </c>
      <c r="GD12" s="62">
        <f>$GD11+$GB12</f>
        <v/>
      </c>
      <c r="GE12" s="62">
        <f>SUMIFS(tblSafety[Recordables],tblSafety[Date],$A12)</f>
        <v/>
      </c>
      <c r="GF12" s="62">
        <f>IF($B12=$B11,$GF11,0)+$GE12</f>
        <v/>
      </c>
      <c r="GG12" s="62">
        <f>$GG11+$GE12</f>
        <v/>
      </c>
      <c r="GH12" s="62">
        <f>SUMIFS(tblSafety[Near_Miss],tblSafety[Date],$A12)</f>
        <v/>
      </c>
      <c r="GI12" s="62">
        <f>IF($B12=$B11,$GI11,0)+$GH12</f>
        <v/>
      </c>
      <c r="GJ12" s="62">
        <f>$GJ11+$GH12</f>
        <v/>
      </c>
      <c r="GK12" s="62">
        <f>SUMIFS(tblSafety[Hazard_Reports],tblSafety[Date],$A12)</f>
        <v/>
      </c>
      <c r="GL12" s="62">
        <f>IF($B12=$B11,$GL11,0)+$GK12</f>
        <v/>
      </c>
      <c r="GM12" s="62">
        <f>$GM11+$GK12</f>
        <v/>
      </c>
      <c r="GN12" s="62">
        <f>SUMIFS(tblSafety[HPI],tblSafety[Date],$A12)</f>
        <v/>
      </c>
      <c r="GO12" s="62">
        <f>IF($B12=$B11,$GO11,0)+$GN12</f>
        <v/>
      </c>
      <c r="GP12" s="62">
        <f>$GP11+$GN12</f>
        <v/>
      </c>
      <c r="GQ12" s="62">
        <f>SUMIFS(tblSafety[Env_Incidents],tblSafety[Date],$A12)</f>
        <v/>
      </c>
      <c r="GR12" s="62">
        <f>IF($B12=$B11,$GR11,0)+$GQ12</f>
        <v/>
      </c>
      <c r="GS12" s="62">
        <f>$GS11+$GQ12</f>
        <v/>
      </c>
      <c r="GT12" s="62">
        <f>SUMIFS(tblSafety[Community_Incidents],tblSafety[Date],$A12)</f>
        <v/>
      </c>
      <c r="GU12" s="62">
        <f>IF($B12=$B11,$GU11,0)+$GT12</f>
        <v/>
      </c>
      <c r="GV12" s="62">
        <f>$GV11+$GT12</f>
        <v/>
      </c>
      <c r="GW12" s="62">
        <f>SUMIFS(tblSafety[Vehicle_Incidents],tblSafety[Date],$A12)</f>
        <v/>
      </c>
      <c r="GX12" s="62">
        <f>IF($B12=$B11,$GX11,0)+$GW12</f>
        <v/>
      </c>
      <c r="GY12" s="62">
        <f>$GY11+$GW12</f>
        <v/>
      </c>
      <c r="GZ12" s="62">
        <f>SUMIFS(tblSafety[Toolbox_Talks],tblSafety[Date],$A12)</f>
        <v/>
      </c>
      <c r="HA12" s="62">
        <f>IF($B12=$B11,$HA11,0)+$GZ12</f>
        <v/>
      </c>
      <c r="HB12" s="62">
        <f>$HB11+$GZ12</f>
        <v/>
      </c>
      <c r="HC12" s="62">
        <f>SUMIFS(tblSafety[Inspections],tblSafety[Date],$A12)</f>
        <v/>
      </c>
      <c r="HD12" s="62">
        <f>IF($B12=$B11,$HD11,0)+$HC12</f>
        <v/>
      </c>
      <c r="HE12" s="62">
        <f>$HE11+$HC12</f>
        <v/>
      </c>
      <c r="HF12" s="56">
        <f>IFERROR((SUMIFS(tblSafety[Recordables],tblSafety[Date],"&gt;="&amp;EDATE($E12,-12),tblSafety[Date],"&lt;="&amp;$A12)+SUMIFS(tblSafetyHistory[Recordables],tblSafetyHistory[Month],"&gt;="&amp;EDATE($E12,-12),tblSafetyHistory[Month],"&lt;"&amp;cfg_YearStart))/(SUMIFS(tblSafety[Hours_Total],tblSafety[Date],"&gt;="&amp;EDATE($E12,-12),tblSafety[Date],"&lt;="&amp;$A12)+SUMIFS(tblSafetyHistory[Hours_Total],tblSafetyHistory[Month],"&gt;="&amp;EDATE($E12,-12),tblSafetyHistory[Month],"&lt;"&amp;cfg_YearStart))*1000000,"")</f>
        <v/>
      </c>
      <c r="HG12" s="56">
        <f>IFERROR((SUMIFS(tblSafety[LTI],tblSafety[Date],"&gt;="&amp;EDATE($E12,-12),tblSafety[Date],"&lt;="&amp;$A12)+SUMIFS(tblSafetyHistory[LTI],tblSafetyHistory[Month],"&gt;="&amp;EDATE($E12,-12),tblSafetyHistory[Month],"&lt;"&amp;cfg_YearStart))/(SUMIFS(tblSafety[Hours_Total],tblSafety[Date],"&gt;="&amp;EDATE($E12,-12),tblSafety[Date],"&lt;="&amp;$A12)+SUMIFS(tblSafetyHistory[Hours_Total],tblSafetyHistory[Month],"&gt;="&amp;EDATE($E12,-12),tblSafetyHistory[Month],"&lt;"&amp;cfg_YearStart))*1000000,"")</f>
        <v/>
      </c>
      <c r="HH12" s="62">
        <f>IF(MAX(N(cfg_PriorLTIDate),_xlfn.MAXIFS(tblSafety[Date],tblSafety[LTI],"&gt;0",tblSafety[Date],"&lt;="&amp;$A12))=0,"",$A12-MAX(N(cfg_PriorLTIDate),_xlfn.MAXIFS(tblSafety[Date],tblSafety[LTI],"&gt;0",tblSafety[Date],"&lt;="&amp;$A12)))</f>
        <v/>
      </c>
      <c r="HI12" s="55">
        <f>SUMIFS(tblBudget[Ore_Mined_t],tblBudget[Month],$E12)</f>
        <v/>
      </c>
      <c r="HJ12" s="55">
        <f>$HI12*$C12/$D12</f>
        <v/>
      </c>
      <c r="HK12" s="55">
        <f>SUMIFS(tblBudget[Ore_Mined_t],tblBudget[Month],"&lt;"&amp;$E12)+$HJ12</f>
        <v/>
      </c>
      <c r="HL12" s="55">
        <f>SUMIFS(tblBudget[Ore_oz],tblBudget[Month],$E12)</f>
        <v/>
      </c>
      <c r="HM12" s="55">
        <f>$HL12*$C12/$D12</f>
        <v/>
      </c>
      <c r="HN12" s="55">
        <f>SUMIFS(tblBudget[Ore_oz],tblBudget[Month],"&lt;"&amp;$E12)+$HM12</f>
        <v/>
      </c>
      <c r="HO12" s="56">
        <f>IFERROR(IF(($HI12)&gt;0,($HL12*cfg_TroyOz)/($HI12),""),"")</f>
        <v/>
      </c>
      <c r="HP12" s="56">
        <f>IFERROR(IF(($HJ12)&gt;0,($HM12*cfg_TroyOz)/($HJ12),""),"")</f>
        <v/>
      </c>
      <c r="HQ12" s="56">
        <f>IFERROR(IF(($HK12)&gt;0,($HN12*cfg_TroyOz)/($HK12),""),"")</f>
        <v/>
      </c>
      <c r="HR12" s="55">
        <f>SUMIFS(tblBudget[Waste_t],tblBudget[Month],$E12)</f>
        <v/>
      </c>
      <c r="HS12" s="55">
        <f>$HR12*$C12/$D12</f>
        <v/>
      </c>
      <c r="HT12" s="55">
        <f>SUMIFS(tblBudget[Waste_t],tblBudget[Month],"&lt;"&amp;$E12)+$HS12</f>
        <v/>
      </c>
      <c r="HU12" s="55">
        <f>SUMIFS(tblBudget[TMM_t],tblBudget[Month],$E12)</f>
        <v/>
      </c>
      <c r="HV12" s="55">
        <f>$HU12*$C12/$D12</f>
        <v/>
      </c>
      <c r="HW12" s="55">
        <f>SUMIFS(tblBudget[TMM_t],tblBudget[Month],"&lt;"&amp;$E12)+$HV12</f>
        <v/>
      </c>
      <c r="HX12" s="56">
        <f>IFERROR(IF(($HI12)&gt;0,($HR12)/($HI12),""),"")</f>
        <v/>
      </c>
      <c r="HY12" s="56">
        <f>IFERROR(IF(($HJ12)&gt;0,($HS12)/($HJ12),""),"")</f>
        <v/>
      </c>
      <c r="HZ12" s="56">
        <f>IFERROR(IF(($HK12)&gt;0,($HT12)/($HK12),""),"")</f>
        <v/>
      </c>
      <c r="IA12" s="55">
        <f>SUMIFS(tblBudget[Drill_m],tblBudget[Month],$E12)</f>
        <v/>
      </c>
      <c r="IB12" s="55">
        <f>$IA12*$C12/$D12</f>
        <v/>
      </c>
      <c r="IC12" s="55">
        <f>SUMIFS(tblBudget[Drill_m],tblBudget[Month],"&lt;"&amp;$E12)+$IB12</f>
        <v/>
      </c>
      <c r="ID12" s="55">
        <f>SUMIFS(tblBudget[Diesel_L],tblBudget[Month],$E12)</f>
        <v/>
      </c>
      <c r="IE12" s="55">
        <f>$ID12*$C12/$D12</f>
        <v/>
      </c>
      <c r="IF12" s="55">
        <f>SUMIFS(tblBudget[Diesel_L],tblBudget[Month],"&lt;"&amp;$E12)+$IE12</f>
        <v/>
      </c>
      <c r="IG12" s="55">
        <f>SUMIFS(tblBudget[Milled_t],tblBudget[Month],$E12)</f>
        <v/>
      </c>
      <c r="IH12" s="55">
        <f>$IG12*$C12/$D12</f>
        <v/>
      </c>
      <c r="II12" s="55">
        <f>SUMIFS(tblBudget[Milled_t],tblBudget[Month],"&lt;"&amp;$E12)+$IH12</f>
        <v/>
      </c>
      <c r="IJ12" s="55">
        <f>SUMIFS(tblBudget[Feed_oz],tblBudget[Month],$E12)</f>
        <v/>
      </c>
      <c r="IK12" s="55">
        <f>$IJ12*$C12/$D12</f>
        <v/>
      </c>
      <c r="IL12" s="55">
        <f>SUMIFS(tblBudget[Feed_oz],tblBudget[Month],"&lt;"&amp;$E12)+$IK12</f>
        <v/>
      </c>
      <c r="IM12" s="55">
        <f>SUMIFS(tblBudget[Recovered_oz],tblBudget[Month],$E12)</f>
        <v/>
      </c>
      <c r="IN12" s="55">
        <f>$IM12*$C12/$D12</f>
        <v/>
      </c>
      <c r="IO12" s="55">
        <f>SUMIFS(tblBudget[Recovered_oz],tblBudget[Month],"&lt;"&amp;$E12)+$IN12</f>
        <v/>
      </c>
      <c r="IP12" s="56">
        <f>IFERROR(IF(($IG12)&gt;0,($IJ12*cfg_TroyOz)/($IG12),""),"")</f>
        <v/>
      </c>
      <c r="IQ12" s="56">
        <f>IFERROR(IF(($IH12)&gt;0,($IK12*cfg_TroyOz)/($IH12),""),"")</f>
        <v/>
      </c>
      <c r="IR12" s="56">
        <f>IFERROR(IF(($II12)&gt;0,($IL12*cfg_TroyOz)/($II12),""),"")</f>
        <v/>
      </c>
      <c r="IS12" s="67">
        <f>IFERROR(IF(($IJ12)&gt;0,($IM12)/($IJ12),""),"")</f>
        <v/>
      </c>
      <c r="IT12" s="67">
        <f>IFERROR(IF(($IK12)&gt;0,($IN12)/($IK12),""),"")</f>
        <v/>
      </c>
      <c r="IU12" s="67">
        <f>IFERROR(IF(($IL12)&gt;0,($IO12)/($IL12),""),"")</f>
        <v/>
      </c>
      <c r="IV12" s="55">
        <f>SUMIFS(tblBudget[Gold_Poured_oz],tblBudget[Month],$E12)</f>
        <v/>
      </c>
      <c r="IW12" s="55">
        <f>$IV12*$C12/$D12</f>
        <v/>
      </c>
      <c r="IX12" s="55">
        <f>SUMIFS(tblBudget[Gold_Poured_oz],tblBudget[Month],"&lt;"&amp;$E12)+$IW12</f>
        <v/>
      </c>
      <c r="IY12" s="57">
        <f>SUMIFS(tblBudget[Hours_Worked],tblBudget[Month],$E12)</f>
        <v/>
      </c>
      <c r="IZ12" s="57">
        <f>$IY12*$C12/$D12</f>
        <v/>
      </c>
      <c r="JA12" s="57">
        <f>SUMIFS(tblBudget[Hours_Worked],tblBudget[Month],"&lt;"&amp;$E12)+$IZ12</f>
        <v/>
      </c>
    </row>
    <row r="13">
      <c r="A13" s="54" t="n">
        <v>46034</v>
      </c>
      <c r="B13">
        <f>MONTH($A13)</f>
        <v/>
      </c>
      <c r="C13">
        <f>DAY($A13)</f>
        <v/>
      </c>
      <c r="D13">
        <f>DAY(EOMONTH($A13,0))</f>
        <v/>
      </c>
      <c r="E13" s="54">
        <f>DATE(YEAR($A13),MONTH($A13),1)</f>
        <v/>
      </c>
      <c r="F13" s="55">
        <f>SUMIFS(tblMovement[Tonnes_t],tblMovement[Date],$A13,tblMovement[Is_Ore],1,tblMovement[Source_Type],"Pit")</f>
        <v/>
      </c>
      <c r="G13" s="55">
        <f>IF($B13=$B12,$G12,0)+$F13</f>
        <v/>
      </c>
      <c r="H13" s="55">
        <f>$H12+$F13</f>
        <v/>
      </c>
      <c r="I13" s="55">
        <f>SUMIFS(tblMovement[Ore_oz],tblMovement[Date],$A13,tblMovement[Source_Type],"Pit")</f>
        <v/>
      </c>
      <c r="J13" s="55">
        <f>IF($B13=$B12,$J12,0)+$I13</f>
        <v/>
      </c>
      <c r="K13" s="55">
        <f>$K12+$I13</f>
        <v/>
      </c>
      <c r="L13" s="56">
        <f>IFERROR(IF(($F13)&gt;0,($I13*cfg_TroyOz)/($F13),""),"")</f>
        <v/>
      </c>
      <c r="M13" s="56">
        <f>IFERROR(IF(($G13)&gt;0,($J13*cfg_TroyOz)/($G13),""),"")</f>
        <v/>
      </c>
      <c r="N13" s="56">
        <f>IFERROR(IF(($H13)&gt;0,($K13*cfg_TroyOz)/($H13),""),"")</f>
        <v/>
      </c>
      <c r="O13" s="55">
        <f>SUMIFS(tblMovement[Tonnes_t],tblMovement[Date],$A13,tblMovement[Is_Ore],0,tblMovement[Source_Type],"Pit")</f>
        <v/>
      </c>
      <c r="P13" s="55">
        <f>IF($B13=$B12,$P12,0)+$O13</f>
        <v/>
      </c>
      <c r="Q13" s="55">
        <f>$Q12+$O13</f>
        <v/>
      </c>
      <c r="R13" s="55">
        <f>$F13+$O13</f>
        <v/>
      </c>
      <c r="S13" s="55">
        <f>IF($B13=$B12,$S12,0)+$R13</f>
        <v/>
      </c>
      <c r="T13" s="55">
        <f>$T12+$R13</f>
        <v/>
      </c>
      <c r="U13" s="56">
        <f>IFERROR(IF(($F13)&gt;0,($O13)/($F13),""),"")</f>
        <v/>
      </c>
      <c r="V13" s="56">
        <f>IFERROR(IF(($G13)&gt;0,($P13)/($G13),""),"")</f>
        <v/>
      </c>
      <c r="W13" s="56">
        <f>IFERROR(IF(($H13)&gt;0,($Q13)/($H13),""),"")</f>
        <v/>
      </c>
      <c r="X13" s="55">
        <f>SUMIFS(tblMovement[Tonnes_t],tblMovement[Date],$A13,tblMovement[Source_Type],"Stockpile")</f>
        <v/>
      </c>
      <c r="Y13" s="55">
        <f>IF($B13=$B12,$Y12,0)+$X13</f>
        <v/>
      </c>
      <c r="Z13" s="55">
        <f>$Z12+$X13</f>
        <v/>
      </c>
      <c r="AA13" s="55">
        <f>SUMIFS(tblMiningDaily[Drill_m],tblMiningDaily[Date],$A13)</f>
        <v/>
      </c>
      <c r="AB13" s="55">
        <f>IF($B13=$B12,$AB12,0)+$AA13</f>
        <v/>
      </c>
      <c r="AC13" s="55">
        <f>$AC12+$AA13</f>
        <v/>
      </c>
      <c r="AD13" s="55">
        <f>SUMIFS(tblMiningDaily[Blast_t],tblMiningDaily[Date],$A13)</f>
        <v/>
      </c>
      <c r="AE13" s="55">
        <f>IF($B13=$B12,$AE12,0)+$AD13</f>
        <v/>
      </c>
      <c r="AF13" s="55">
        <f>$AF12+$AD13</f>
        <v/>
      </c>
      <c r="AG13" s="55">
        <f>SUMIFS(tblMiningDaily[Explosives_kg],tblMiningDaily[Date],$A13)</f>
        <v/>
      </c>
      <c r="AH13" s="55">
        <f>IF($B13=$B12,$AH12,0)+$AG13</f>
        <v/>
      </c>
      <c r="AI13" s="55">
        <f>$AI12+$AG13</f>
        <v/>
      </c>
      <c r="AJ13" s="56">
        <f>IFERROR(IF(($AD13)&gt;0,($AG13)/($AD13),""),"")</f>
        <v/>
      </c>
      <c r="AK13" s="56">
        <f>IFERROR(IF(($AE13)&gt;0,($AH13)/($AE13),""),"")</f>
        <v/>
      </c>
      <c r="AL13" s="56">
        <f>IFERROR(IF(($AF13)&gt;0,($AI13)/($AF13),""),"")</f>
        <v/>
      </c>
      <c r="AM13" s="55">
        <f>SUMIFS(tblMiningDaily[Diesel_L],tblMiningDaily[Date],$A13)</f>
        <v/>
      </c>
      <c r="AN13" s="55">
        <f>IF($B13=$B12,$AN12,0)+$AM13</f>
        <v/>
      </c>
      <c r="AO13" s="55">
        <f>$AO12+$AM13</f>
        <v/>
      </c>
      <c r="AP13" s="55">
        <f>SUMIFS(tblMiningDaily[Dewatering_m3],tblMiningDaily[Date],$A13)</f>
        <v/>
      </c>
      <c r="AQ13" s="55">
        <f>IF($B13=$B12,$AQ12,0)+$AP13</f>
        <v/>
      </c>
      <c r="AR13" s="55">
        <f>$AR12+$AP13</f>
        <v/>
      </c>
      <c r="AS13" s="57">
        <f>SUMIFS(tblFleet[Calendar_h],tblFleet[Date],$A13,tblFleet[Equipment_Class],"Excavator")</f>
        <v/>
      </c>
      <c r="AT13" s="57">
        <f>IF($B13=$B12,$AT12,0)+$AS13</f>
        <v/>
      </c>
      <c r="AU13" s="57">
        <f>$AU12+$AS13</f>
        <v/>
      </c>
      <c r="AV13" s="57">
        <f>SUMIFS(tblFleet[Available_h],tblFleet[Date],$A13,tblFleet[Equipment_Class],"Excavator")</f>
        <v/>
      </c>
      <c r="AW13" s="57">
        <f>IF($B13=$B12,$AW12,0)+$AV13</f>
        <v/>
      </c>
      <c r="AX13" s="57">
        <f>$AX12+$AV13</f>
        <v/>
      </c>
      <c r="AY13" s="57">
        <f>SUMIFS(tblFleet[Operating_h],tblFleet[Date],$A13,tblFleet[Equipment_Class],"Excavator")</f>
        <v/>
      </c>
      <c r="AZ13" s="57">
        <f>IF($B13=$B12,$AZ12,0)+$AY13</f>
        <v/>
      </c>
      <c r="BA13" s="57">
        <f>$BA12+$AY13</f>
        <v/>
      </c>
      <c r="BB13" s="67">
        <f>IFERROR(IF(($AS13)&gt;0,($AV13)/($AS13),""),"")</f>
        <v/>
      </c>
      <c r="BC13" s="67">
        <f>IFERROR(IF(($AT13)&gt;0,($AW13)/($AT13),""),"")</f>
        <v/>
      </c>
      <c r="BD13" s="67">
        <f>IFERROR(IF(($AU13)&gt;0,($AX13)/($AU13),""),"")</f>
        <v/>
      </c>
      <c r="BE13" s="67">
        <f>IFERROR(IF(($AV13)&gt;0,($AY13)/($AV13),""),"")</f>
        <v/>
      </c>
      <c r="BF13" s="67">
        <f>IFERROR(IF(($AW13)&gt;0,($AZ13)/($AW13),""),"")</f>
        <v/>
      </c>
      <c r="BG13" s="67">
        <f>IFERROR(IF(($AX13)&gt;0,($BA13)/($AX13),""),"")</f>
        <v/>
      </c>
      <c r="BH13" s="57">
        <f>SUMIFS(tblFleet[Calendar_h],tblFleet[Date],$A13,tblFleet[Equipment_Class],"Haul Truck")</f>
        <v/>
      </c>
      <c r="BI13" s="57">
        <f>IF($B13=$B12,$BI12,0)+$BH13</f>
        <v/>
      </c>
      <c r="BJ13" s="57">
        <f>$BJ12+$BH13</f>
        <v/>
      </c>
      <c r="BK13" s="57">
        <f>SUMIFS(tblFleet[Available_h],tblFleet[Date],$A13,tblFleet[Equipment_Class],"Haul Truck")</f>
        <v/>
      </c>
      <c r="BL13" s="57">
        <f>IF($B13=$B12,$BL12,0)+$BK13</f>
        <v/>
      </c>
      <c r="BM13" s="57">
        <f>$BM12+$BK13</f>
        <v/>
      </c>
      <c r="BN13" s="57">
        <f>SUMIFS(tblFleet[Operating_h],tblFleet[Date],$A13,tblFleet[Equipment_Class],"Haul Truck")</f>
        <v/>
      </c>
      <c r="BO13" s="57">
        <f>IF($B13=$B12,$BO12,0)+$BN13</f>
        <v/>
      </c>
      <c r="BP13" s="57">
        <f>$BP12+$BN13</f>
        <v/>
      </c>
      <c r="BQ13" s="67">
        <f>IFERROR(IF(($BH13)&gt;0,($BK13)/($BH13),""),"")</f>
        <v/>
      </c>
      <c r="BR13" s="67">
        <f>IFERROR(IF(($BI13)&gt;0,($BL13)/($BI13),""),"")</f>
        <v/>
      </c>
      <c r="BS13" s="67">
        <f>IFERROR(IF(($BJ13)&gt;0,($BM13)/($BJ13),""),"")</f>
        <v/>
      </c>
      <c r="BT13" s="67">
        <f>IFERROR(IF(($BK13)&gt;0,($BN13)/($BK13),""),"")</f>
        <v/>
      </c>
      <c r="BU13" s="67">
        <f>IFERROR(IF(($BL13)&gt;0,($BO13)/($BL13),""),"")</f>
        <v/>
      </c>
      <c r="BV13" s="67">
        <f>IFERROR(IF(($BM13)&gt;0,($BP13)/($BM13),""),"")</f>
        <v/>
      </c>
      <c r="BW13" s="55">
        <f>SUMIFS(tblPlant[Crushed_t],tblPlant[Date],$A13)</f>
        <v/>
      </c>
      <c r="BX13" s="55">
        <f>IF($B13=$B12,$BX12,0)+$BW13</f>
        <v/>
      </c>
      <c r="BY13" s="55">
        <f>$BY12+$BW13</f>
        <v/>
      </c>
      <c r="BZ13" s="55">
        <f>SUMIFS(tblPlant[Milled_t],tblPlant[Date],$A13)</f>
        <v/>
      </c>
      <c r="CA13" s="55">
        <f>IF($B13=$B12,$CA12,0)+$BZ13</f>
        <v/>
      </c>
      <c r="CB13" s="55">
        <f>$CB12+$BZ13</f>
        <v/>
      </c>
      <c r="CC13" s="55">
        <f>SUMIFS(tblPlant[Feed_oz],tblPlant[Date],$A13)</f>
        <v/>
      </c>
      <c r="CD13" s="55">
        <f>IF($B13=$B12,$CD12,0)+$CC13</f>
        <v/>
      </c>
      <c r="CE13" s="55">
        <f>$CE12+$CC13</f>
        <v/>
      </c>
      <c r="CF13" s="55">
        <f>SUMIFS(tblPlant[Tails_oz],tblPlant[Date],$A13)</f>
        <v/>
      </c>
      <c r="CG13" s="55">
        <f>IF($B13=$B12,$CG12,0)+$CF13</f>
        <v/>
      </c>
      <c r="CH13" s="55">
        <f>$CH12+$CF13</f>
        <v/>
      </c>
      <c r="CI13" s="55">
        <f>SUMIFS(tblPlant[Recovered_oz],tblPlant[Date],$A13)</f>
        <v/>
      </c>
      <c r="CJ13" s="55">
        <f>IF($B13=$B12,$CJ12,0)+$CI13</f>
        <v/>
      </c>
      <c r="CK13" s="55">
        <f>$CK12+$CI13</f>
        <v/>
      </c>
      <c r="CL13" s="56">
        <f>IFERROR(IF(($BZ13)&gt;0,($CC13*cfg_TroyOz)/($BZ13),""),"")</f>
        <v/>
      </c>
      <c r="CM13" s="56">
        <f>IFERROR(IF(($CA13)&gt;0,($CD13*cfg_TroyOz)/($CA13),""),"")</f>
        <v/>
      </c>
      <c r="CN13" s="56">
        <f>IFERROR(IF(($CB13)&gt;0,($CE13*cfg_TroyOz)/($CB13),""),"")</f>
        <v/>
      </c>
      <c r="CO13" s="56">
        <f>IFERROR(IF(($BZ13)&gt;0,($CF13*cfg_TroyOz)/($BZ13),""),"")</f>
        <v/>
      </c>
      <c r="CP13" s="56">
        <f>IFERROR(IF(($CA13)&gt;0,($CG13*cfg_TroyOz)/($CA13),""),"")</f>
        <v/>
      </c>
      <c r="CQ13" s="56">
        <f>IFERROR(IF(($CB13)&gt;0,($CH13*cfg_TroyOz)/($CB13),""),"")</f>
        <v/>
      </c>
      <c r="CR13" s="67">
        <f>IFERROR(IF(($CC13)&gt;0,($CI13)/($CC13),""),"")</f>
        <v/>
      </c>
      <c r="CS13" s="67">
        <f>IFERROR(IF(($CD13)&gt;0,($CJ13)/($CD13),""),"")</f>
        <v/>
      </c>
      <c r="CT13" s="67">
        <f>IFERROR(IF(($CE13)&gt;0,($CK13)/($CE13),""),"")</f>
        <v/>
      </c>
      <c r="CU13" s="55">
        <f>SUMIFS(tblPlant[Gravity_Gold_oz],tblPlant[Date],$A13)</f>
        <v/>
      </c>
      <c r="CV13" s="55">
        <f>IF($B13=$B12,$CV12,0)+$CU13</f>
        <v/>
      </c>
      <c r="CW13" s="55">
        <f>$CW12+$CU13</f>
        <v/>
      </c>
      <c r="CX13" s="55">
        <f>SUMIFS(tblPlant[Gold_Poured_oz],tblPlant[Date],$A13)</f>
        <v/>
      </c>
      <c r="CY13" s="55">
        <f>IF($B13=$B12,$CY12,0)+$CX13</f>
        <v/>
      </c>
      <c r="CZ13" s="55">
        <f>$CZ12+$CX13</f>
        <v/>
      </c>
      <c r="DA13" s="57">
        <f>SUMIFS(tblPlant[Mill_Run_h],tblPlant[Date],$A13)</f>
        <v/>
      </c>
      <c r="DB13" s="57">
        <f>IF($B13=$B12,$DB12,0)+$DA13</f>
        <v/>
      </c>
      <c r="DC13" s="57">
        <f>$DC12+$DA13</f>
        <v/>
      </c>
      <c r="DD13" s="57">
        <f>SUMIFS(tblPlant[Mill_Planned_Maint_h],tblPlant[Date],$A13)</f>
        <v/>
      </c>
      <c r="DE13" s="57">
        <f>IF($B13=$B12,$DE12,0)+$DD13</f>
        <v/>
      </c>
      <c r="DF13" s="57">
        <f>$DF12+$DD13</f>
        <v/>
      </c>
      <c r="DG13" s="57">
        <f>SUMIFS(tblPlant[Mill_Unplanned_Down_h],tblPlant[Date],$A13)</f>
        <v/>
      </c>
      <c r="DH13" s="57">
        <f>IF($B13=$B12,$DH12,0)+$DG13</f>
        <v/>
      </c>
      <c r="DI13" s="57">
        <f>$DI12+$DG13</f>
        <v/>
      </c>
      <c r="DJ13" s="57">
        <f>COUNTIFS(tblPlant[Date],$A13,tblPlant[Mill_Run_h],"&lt;&gt;")*24</f>
        <v/>
      </c>
      <c r="DK13" s="57">
        <f>IF($B13=$B12,$DK12,0)+$DJ13</f>
        <v/>
      </c>
      <c r="DL13" s="57">
        <f>$DL12+$DJ13</f>
        <v/>
      </c>
      <c r="DM13" s="57">
        <f>SUMIFS(tblPlant[Crusher_Run_h],tblPlant[Date],$A13)</f>
        <v/>
      </c>
      <c r="DN13" s="57">
        <f>IF($B13=$B12,$DN12,0)+$DM13</f>
        <v/>
      </c>
      <c r="DO13" s="57">
        <f>$DO12+$DM13</f>
        <v/>
      </c>
      <c r="DP13" s="55">
        <f>IFERROR(IF(($DA13)&gt;0,($BZ13)/($DA13),""),"")</f>
        <v/>
      </c>
      <c r="DQ13" s="55">
        <f>IFERROR(IF(($DB13)&gt;0,($CA13)/($DB13),""),"")</f>
        <v/>
      </c>
      <c r="DR13" s="55">
        <f>IFERROR(IF(($DC13)&gt;0,($CB13)/($DC13),""),"")</f>
        <v/>
      </c>
      <c r="DS13" s="67">
        <f>IFERROR(IF(($DJ13)&gt;0,($DJ13-$DD13-$DG13)/($DJ13),""),"")</f>
        <v/>
      </c>
      <c r="DT13" s="67">
        <f>IFERROR(IF(($DK13)&gt;0,($DK13-$DE13-$DH13)/($DK13),""),"")</f>
        <v/>
      </c>
      <c r="DU13" s="67">
        <f>IFERROR(IF(($DL13)&gt;0,($DL13-$DF13-$DI13)/($DL13),""),"")</f>
        <v/>
      </c>
      <c r="DV13" s="67">
        <f>IFERROR(IF(($DJ13-$DD13-$DG13)&gt;0,($DA13)/($DJ13-$DD13-$DG13),""),"")</f>
        <v/>
      </c>
      <c r="DW13" s="67">
        <f>IFERROR(IF(($DK13-$DE13-$DH13)&gt;0,($DB13)/($DK13-$DE13-$DH13),""),"")</f>
        <v/>
      </c>
      <c r="DX13" s="67">
        <f>IFERROR(IF(($DL13-$DF13-$DI13)&gt;0,($DC13)/($DL13-$DF13-$DI13),""),"")</f>
        <v/>
      </c>
      <c r="DY13" s="55">
        <f>SUMIFS(tblPlant[Cyanide_kg],tblPlant[Date],$A13)</f>
        <v/>
      </c>
      <c r="DZ13" s="55">
        <f>IF($B13=$B12,$DZ12,0)+$DY13</f>
        <v/>
      </c>
      <c r="EA13" s="55">
        <f>$EA12+$DY13</f>
        <v/>
      </c>
      <c r="EB13" s="55">
        <f>SUMIFS(tblPlant[Lime_kg],tblPlant[Date],$A13)</f>
        <v/>
      </c>
      <c r="EC13" s="55">
        <f>IF($B13=$B12,$EC12,0)+$EB13</f>
        <v/>
      </c>
      <c r="ED13" s="55">
        <f>$ED12+$EB13</f>
        <v/>
      </c>
      <c r="EE13" s="55">
        <f>SUMIFS(tblPlant[Grinding_Media_kg],tblPlant[Date],$A13)</f>
        <v/>
      </c>
      <c r="EF13" s="55">
        <f>IF($B13=$B12,$EF12,0)+$EE13</f>
        <v/>
      </c>
      <c r="EG13" s="55">
        <f>$EG12+$EE13</f>
        <v/>
      </c>
      <c r="EH13" s="55">
        <f>SUMIFS(tblPlant[Power_kWh],tblPlant[Date],$A13)</f>
        <v/>
      </c>
      <c r="EI13" s="55">
        <f>IF($B13=$B12,$EI12,0)+$EH13</f>
        <v/>
      </c>
      <c r="EJ13" s="55">
        <f>$EJ12+$EH13</f>
        <v/>
      </c>
      <c r="EK13" s="55">
        <f>SUMIFS(tblPlant[Raw_Water_m3],tblPlant[Date],$A13)</f>
        <v/>
      </c>
      <c r="EL13" s="55">
        <f>IF($B13=$B12,$EL12,0)+$EK13</f>
        <v/>
      </c>
      <c r="EM13" s="55">
        <f>$EM12+$EK13</f>
        <v/>
      </c>
      <c r="EN13" s="56">
        <f>IFERROR(IF(($BZ13)&gt;0,($DY13)/($BZ13),""),"")</f>
        <v/>
      </c>
      <c r="EO13" s="56">
        <f>IFERROR(IF(($CA13)&gt;0,($DZ13)/($CA13),""),"")</f>
        <v/>
      </c>
      <c r="EP13" s="56">
        <f>IFERROR(IF(($CB13)&gt;0,($EA13)/($CB13),""),"")</f>
        <v/>
      </c>
      <c r="EQ13" s="56">
        <f>IFERROR(IF(($BZ13)&gt;0,($EB13)/($BZ13),""),"")</f>
        <v/>
      </c>
      <c r="ER13" s="56">
        <f>IFERROR(IF(($CA13)&gt;0,($EC13)/($CA13),""),"")</f>
        <v/>
      </c>
      <c r="ES13" s="56">
        <f>IFERROR(IF(($CB13)&gt;0,($ED13)/($CB13),""),"")</f>
        <v/>
      </c>
      <c r="ET13" s="56">
        <f>IFERROR(IF(($BZ13)&gt;0,($EE13)/($BZ13),""),"")</f>
        <v/>
      </c>
      <c r="EU13" s="56">
        <f>IFERROR(IF(($CA13)&gt;0,($EF13)/($CA13),""),"")</f>
        <v/>
      </c>
      <c r="EV13" s="56">
        <f>IFERROR(IF(($CB13)&gt;0,($EG13)/($CB13),""),"")</f>
        <v/>
      </c>
      <c r="EW13" s="76">
        <f>IFERROR(IF(($BZ13)&gt;0,($EH13)/($BZ13),""),"")</f>
        <v/>
      </c>
      <c r="EX13" s="76">
        <f>IFERROR(IF(($CA13)&gt;0,($EI13)/($CA13),""),"")</f>
        <v/>
      </c>
      <c r="EY13" s="76">
        <f>IFERROR(IF(($CB13)&gt;0,($EJ13)/($CB13),""),"")</f>
        <v/>
      </c>
      <c r="EZ13" s="56">
        <f>IFERROR(IF(($BZ13)&gt;0,($EK13)/($BZ13),""),"")</f>
        <v/>
      </c>
      <c r="FA13" s="56">
        <f>IFERROR(IF(($CA13)&gt;0,($EL13)/($CA13),""),"")</f>
        <v/>
      </c>
      <c r="FB13" s="56">
        <f>IFERROR(IF(($CB13)&gt;0,($EM13)/($CB13),""),"")</f>
        <v/>
      </c>
      <c r="FC13" s="55">
        <f>IF(SUMIFS(tblPlant[GIC_oz],tblPlant[Date],$A13)&gt;0,SUMIFS(tblPlant[GIC_oz],tblPlant[Date],$A13),"")</f>
        <v/>
      </c>
      <c r="FD13" s="55">
        <f>SUMIFS(tblGold[Gold_oz],tblGold[Date],$A13,tblGold[Type],"Shipment")</f>
        <v/>
      </c>
      <c r="FE13" s="55">
        <f>IF($B13=$B12,$FE12,0)+$FD13</f>
        <v/>
      </c>
      <c r="FF13" s="55">
        <f>$FF12+$FD13</f>
        <v/>
      </c>
      <c r="FG13" s="55">
        <f>SUMIFS(tblGold[Gold_oz],tblGold[Date],$A13,tblGold[Type],"Sale")</f>
        <v/>
      </c>
      <c r="FH13" s="55">
        <f>IF($B13=$B12,$FH12,0)+$FG13</f>
        <v/>
      </c>
      <c r="FI13" s="55">
        <f>$FI12+$FG13</f>
        <v/>
      </c>
      <c r="FJ13" s="55">
        <f>SUMIFS(tblGold[Dore_kg],tblGold[Date],$A13,tblGold[Type],"Shipment")</f>
        <v/>
      </c>
      <c r="FK13" s="55">
        <f>IF($B13=$B12,$FK12,0)+$FJ13</f>
        <v/>
      </c>
      <c r="FL13" s="55">
        <f>$FL12+$FJ13</f>
        <v/>
      </c>
      <c r="FM13" s="57">
        <f>SUMIFS(tblSafety[Hours_Total],tblSafety[Date],$A13)</f>
        <v/>
      </c>
      <c r="FN13" s="57">
        <f>IF($B13=$B12,$FN12,0)+$FM13</f>
        <v/>
      </c>
      <c r="FO13" s="57">
        <f>$FO12+$FM13</f>
        <v/>
      </c>
      <c r="FP13" s="62">
        <f>SUMIFS(tblSafety[Fatality],tblSafety[Date],$A13)</f>
        <v/>
      </c>
      <c r="FQ13" s="62">
        <f>IF($B13=$B12,$FQ12,0)+$FP13</f>
        <v/>
      </c>
      <c r="FR13" s="62">
        <f>$FR12+$FP13</f>
        <v/>
      </c>
      <c r="FS13" s="62">
        <f>SUMIFS(tblSafety[LTI],tblSafety[Date],$A13)</f>
        <v/>
      </c>
      <c r="FT13" s="62">
        <f>IF($B13=$B12,$FT12,0)+$FS13</f>
        <v/>
      </c>
      <c r="FU13" s="62">
        <f>$FU12+$FS13</f>
        <v/>
      </c>
      <c r="FV13" s="62">
        <f>SUMIFS(tblSafety[RWI],tblSafety[Date],$A13)</f>
        <v/>
      </c>
      <c r="FW13" s="62">
        <f>IF($B13=$B12,$FW12,0)+$FV13</f>
        <v/>
      </c>
      <c r="FX13" s="62">
        <f>$FX12+$FV13</f>
        <v/>
      </c>
      <c r="FY13" s="62">
        <f>SUMIFS(tblSafety[MTI],tblSafety[Date],$A13)</f>
        <v/>
      </c>
      <c r="FZ13" s="62">
        <f>IF($B13=$B12,$FZ12,0)+$FY13</f>
        <v/>
      </c>
      <c r="GA13" s="62">
        <f>$GA12+$FY13</f>
        <v/>
      </c>
      <c r="GB13" s="62">
        <f>SUMIFS(tblSafety[FAI],tblSafety[Date],$A13)</f>
        <v/>
      </c>
      <c r="GC13" s="62">
        <f>IF($B13=$B12,$GC12,0)+$GB13</f>
        <v/>
      </c>
      <c r="GD13" s="62">
        <f>$GD12+$GB13</f>
        <v/>
      </c>
      <c r="GE13" s="62">
        <f>SUMIFS(tblSafety[Recordables],tblSafety[Date],$A13)</f>
        <v/>
      </c>
      <c r="GF13" s="62">
        <f>IF($B13=$B12,$GF12,0)+$GE13</f>
        <v/>
      </c>
      <c r="GG13" s="62">
        <f>$GG12+$GE13</f>
        <v/>
      </c>
      <c r="GH13" s="62">
        <f>SUMIFS(tblSafety[Near_Miss],tblSafety[Date],$A13)</f>
        <v/>
      </c>
      <c r="GI13" s="62">
        <f>IF($B13=$B12,$GI12,0)+$GH13</f>
        <v/>
      </c>
      <c r="GJ13" s="62">
        <f>$GJ12+$GH13</f>
        <v/>
      </c>
      <c r="GK13" s="62">
        <f>SUMIFS(tblSafety[Hazard_Reports],tblSafety[Date],$A13)</f>
        <v/>
      </c>
      <c r="GL13" s="62">
        <f>IF($B13=$B12,$GL12,0)+$GK13</f>
        <v/>
      </c>
      <c r="GM13" s="62">
        <f>$GM12+$GK13</f>
        <v/>
      </c>
      <c r="GN13" s="62">
        <f>SUMIFS(tblSafety[HPI],tblSafety[Date],$A13)</f>
        <v/>
      </c>
      <c r="GO13" s="62">
        <f>IF($B13=$B12,$GO12,0)+$GN13</f>
        <v/>
      </c>
      <c r="GP13" s="62">
        <f>$GP12+$GN13</f>
        <v/>
      </c>
      <c r="GQ13" s="62">
        <f>SUMIFS(tblSafety[Env_Incidents],tblSafety[Date],$A13)</f>
        <v/>
      </c>
      <c r="GR13" s="62">
        <f>IF($B13=$B12,$GR12,0)+$GQ13</f>
        <v/>
      </c>
      <c r="GS13" s="62">
        <f>$GS12+$GQ13</f>
        <v/>
      </c>
      <c r="GT13" s="62">
        <f>SUMIFS(tblSafety[Community_Incidents],tblSafety[Date],$A13)</f>
        <v/>
      </c>
      <c r="GU13" s="62">
        <f>IF($B13=$B12,$GU12,0)+$GT13</f>
        <v/>
      </c>
      <c r="GV13" s="62">
        <f>$GV12+$GT13</f>
        <v/>
      </c>
      <c r="GW13" s="62">
        <f>SUMIFS(tblSafety[Vehicle_Incidents],tblSafety[Date],$A13)</f>
        <v/>
      </c>
      <c r="GX13" s="62">
        <f>IF($B13=$B12,$GX12,0)+$GW13</f>
        <v/>
      </c>
      <c r="GY13" s="62">
        <f>$GY12+$GW13</f>
        <v/>
      </c>
      <c r="GZ13" s="62">
        <f>SUMIFS(tblSafety[Toolbox_Talks],tblSafety[Date],$A13)</f>
        <v/>
      </c>
      <c r="HA13" s="62">
        <f>IF($B13=$B12,$HA12,0)+$GZ13</f>
        <v/>
      </c>
      <c r="HB13" s="62">
        <f>$HB12+$GZ13</f>
        <v/>
      </c>
      <c r="HC13" s="62">
        <f>SUMIFS(tblSafety[Inspections],tblSafety[Date],$A13)</f>
        <v/>
      </c>
      <c r="HD13" s="62">
        <f>IF($B13=$B12,$HD12,0)+$HC13</f>
        <v/>
      </c>
      <c r="HE13" s="62">
        <f>$HE12+$HC13</f>
        <v/>
      </c>
      <c r="HF13" s="56">
        <f>IFERROR((SUMIFS(tblSafety[Recordables],tblSafety[Date],"&gt;="&amp;EDATE($E13,-12),tblSafety[Date],"&lt;="&amp;$A13)+SUMIFS(tblSafetyHistory[Recordables],tblSafetyHistory[Month],"&gt;="&amp;EDATE($E13,-12),tblSafetyHistory[Month],"&lt;"&amp;cfg_YearStart))/(SUMIFS(tblSafety[Hours_Total],tblSafety[Date],"&gt;="&amp;EDATE($E13,-12),tblSafety[Date],"&lt;="&amp;$A13)+SUMIFS(tblSafetyHistory[Hours_Total],tblSafetyHistory[Month],"&gt;="&amp;EDATE($E13,-12),tblSafetyHistory[Month],"&lt;"&amp;cfg_YearStart))*1000000,"")</f>
        <v/>
      </c>
      <c r="HG13" s="56">
        <f>IFERROR((SUMIFS(tblSafety[LTI],tblSafety[Date],"&gt;="&amp;EDATE($E13,-12),tblSafety[Date],"&lt;="&amp;$A13)+SUMIFS(tblSafetyHistory[LTI],tblSafetyHistory[Month],"&gt;="&amp;EDATE($E13,-12),tblSafetyHistory[Month],"&lt;"&amp;cfg_YearStart))/(SUMIFS(tblSafety[Hours_Total],tblSafety[Date],"&gt;="&amp;EDATE($E13,-12),tblSafety[Date],"&lt;="&amp;$A13)+SUMIFS(tblSafetyHistory[Hours_Total],tblSafetyHistory[Month],"&gt;="&amp;EDATE($E13,-12),tblSafetyHistory[Month],"&lt;"&amp;cfg_YearStart))*1000000,"")</f>
        <v/>
      </c>
      <c r="HH13" s="62">
        <f>IF(MAX(N(cfg_PriorLTIDate),_xlfn.MAXIFS(tblSafety[Date],tblSafety[LTI],"&gt;0",tblSafety[Date],"&lt;="&amp;$A13))=0,"",$A13-MAX(N(cfg_PriorLTIDate),_xlfn.MAXIFS(tblSafety[Date],tblSafety[LTI],"&gt;0",tblSafety[Date],"&lt;="&amp;$A13)))</f>
        <v/>
      </c>
      <c r="HI13" s="55">
        <f>SUMIFS(tblBudget[Ore_Mined_t],tblBudget[Month],$E13)</f>
        <v/>
      </c>
      <c r="HJ13" s="55">
        <f>$HI13*$C13/$D13</f>
        <v/>
      </c>
      <c r="HK13" s="55">
        <f>SUMIFS(tblBudget[Ore_Mined_t],tblBudget[Month],"&lt;"&amp;$E13)+$HJ13</f>
        <v/>
      </c>
      <c r="HL13" s="55">
        <f>SUMIFS(tblBudget[Ore_oz],tblBudget[Month],$E13)</f>
        <v/>
      </c>
      <c r="HM13" s="55">
        <f>$HL13*$C13/$D13</f>
        <v/>
      </c>
      <c r="HN13" s="55">
        <f>SUMIFS(tblBudget[Ore_oz],tblBudget[Month],"&lt;"&amp;$E13)+$HM13</f>
        <v/>
      </c>
      <c r="HO13" s="56">
        <f>IFERROR(IF(($HI13)&gt;0,($HL13*cfg_TroyOz)/($HI13),""),"")</f>
        <v/>
      </c>
      <c r="HP13" s="56">
        <f>IFERROR(IF(($HJ13)&gt;0,($HM13*cfg_TroyOz)/($HJ13),""),"")</f>
        <v/>
      </c>
      <c r="HQ13" s="56">
        <f>IFERROR(IF(($HK13)&gt;0,($HN13*cfg_TroyOz)/($HK13),""),"")</f>
        <v/>
      </c>
      <c r="HR13" s="55">
        <f>SUMIFS(tblBudget[Waste_t],tblBudget[Month],$E13)</f>
        <v/>
      </c>
      <c r="HS13" s="55">
        <f>$HR13*$C13/$D13</f>
        <v/>
      </c>
      <c r="HT13" s="55">
        <f>SUMIFS(tblBudget[Waste_t],tblBudget[Month],"&lt;"&amp;$E13)+$HS13</f>
        <v/>
      </c>
      <c r="HU13" s="55">
        <f>SUMIFS(tblBudget[TMM_t],tblBudget[Month],$E13)</f>
        <v/>
      </c>
      <c r="HV13" s="55">
        <f>$HU13*$C13/$D13</f>
        <v/>
      </c>
      <c r="HW13" s="55">
        <f>SUMIFS(tblBudget[TMM_t],tblBudget[Month],"&lt;"&amp;$E13)+$HV13</f>
        <v/>
      </c>
      <c r="HX13" s="56">
        <f>IFERROR(IF(($HI13)&gt;0,($HR13)/($HI13),""),"")</f>
        <v/>
      </c>
      <c r="HY13" s="56">
        <f>IFERROR(IF(($HJ13)&gt;0,($HS13)/($HJ13),""),"")</f>
        <v/>
      </c>
      <c r="HZ13" s="56">
        <f>IFERROR(IF(($HK13)&gt;0,($HT13)/($HK13),""),"")</f>
        <v/>
      </c>
      <c r="IA13" s="55">
        <f>SUMIFS(tblBudget[Drill_m],tblBudget[Month],$E13)</f>
        <v/>
      </c>
      <c r="IB13" s="55">
        <f>$IA13*$C13/$D13</f>
        <v/>
      </c>
      <c r="IC13" s="55">
        <f>SUMIFS(tblBudget[Drill_m],tblBudget[Month],"&lt;"&amp;$E13)+$IB13</f>
        <v/>
      </c>
      <c r="ID13" s="55">
        <f>SUMIFS(tblBudget[Diesel_L],tblBudget[Month],$E13)</f>
        <v/>
      </c>
      <c r="IE13" s="55">
        <f>$ID13*$C13/$D13</f>
        <v/>
      </c>
      <c r="IF13" s="55">
        <f>SUMIFS(tblBudget[Diesel_L],tblBudget[Month],"&lt;"&amp;$E13)+$IE13</f>
        <v/>
      </c>
      <c r="IG13" s="55">
        <f>SUMIFS(tblBudget[Milled_t],tblBudget[Month],$E13)</f>
        <v/>
      </c>
      <c r="IH13" s="55">
        <f>$IG13*$C13/$D13</f>
        <v/>
      </c>
      <c r="II13" s="55">
        <f>SUMIFS(tblBudget[Milled_t],tblBudget[Month],"&lt;"&amp;$E13)+$IH13</f>
        <v/>
      </c>
      <c r="IJ13" s="55">
        <f>SUMIFS(tblBudget[Feed_oz],tblBudget[Month],$E13)</f>
        <v/>
      </c>
      <c r="IK13" s="55">
        <f>$IJ13*$C13/$D13</f>
        <v/>
      </c>
      <c r="IL13" s="55">
        <f>SUMIFS(tblBudget[Feed_oz],tblBudget[Month],"&lt;"&amp;$E13)+$IK13</f>
        <v/>
      </c>
      <c r="IM13" s="55">
        <f>SUMIFS(tblBudget[Recovered_oz],tblBudget[Month],$E13)</f>
        <v/>
      </c>
      <c r="IN13" s="55">
        <f>$IM13*$C13/$D13</f>
        <v/>
      </c>
      <c r="IO13" s="55">
        <f>SUMIFS(tblBudget[Recovered_oz],tblBudget[Month],"&lt;"&amp;$E13)+$IN13</f>
        <v/>
      </c>
      <c r="IP13" s="56">
        <f>IFERROR(IF(($IG13)&gt;0,($IJ13*cfg_TroyOz)/($IG13),""),"")</f>
        <v/>
      </c>
      <c r="IQ13" s="56">
        <f>IFERROR(IF(($IH13)&gt;0,($IK13*cfg_TroyOz)/($IH13),""),"")</f>
        <v/>
      </c>
      <c r="IR13" s="56">
        <f>IFERROR(IF(($II13)&gt;0,($IL13*cfg_TroyOz)/($II13),""),"")</f>
        <v/>
      </c>
      <c r="IS13" s="67">
        <f>IFERROR(IF(($IJ13)&gt;0,($IM13)/($IJ13),""),"")</f>
        <v/>
      </c>
      <c r="IT13" s="67">
        <f>IFERROR(IF(($IK13)&gt;0,($IN13)/($IK13),""),"")</f>
        <v/>
      </c>
      <c r="IU13" s="67">
        <f>IFERROR(IF(($IL13)&gt;0,($IO13)/($IL13),""),"")</f>
        <v/>
      </c>
      <c r="IV13" s="55">
        <f>SUMIFS(tblBudget[Gold_Poured_oz],tblBudget[Month],$E13)</f>
        <v/>
      </c>
      <c r="IW13" s="55">
        <f>$IV13*$C13/$D13</f>
        <v/>
      </c>
      <c r="IX13" s="55">
        <f>SUMIFS(tblBudget[Gold_Poured_oz],tblBudget[Month],"&lt;"&amp;$E13)+$IW13</f>
        <v/>
      </c>
      <c r="IY13" s="57">
        <f>SUMIFS(tblBudget[Hours_Worked],tblBudget[Month],$E13)</f>
        <v/>
      </c>
      <c r="IZ13" s="57">
        <f>$IY13*$C13/$D13</f>
        <v/>
      </c>
      <c r="JA13" s="57">
        <f>SUMIFS(tblBudget[Hours_Worked],tblBudget[Month],"&lt;"&amp;$E13)+$IZ13</f>
        <v/>
      </c>
    </row>
    <row r="14">
      <c r="A14" s="54" t="n">
        <v>46035</v>
      </c>
      <c r="B14">
        <f>MONTH($A14)</f>
        <v/>
      </c>
      <c r="C14">
        <f>DAY($A14)</f>
        <v/>
      </c>
      <c r="D14">
        <f>DAY(EOMONTH($A14,0))</f>
        <v/>
      </c>
      <c r="E14" s="54">
        <f>DATE(YEAR($A14),MONTH($A14),1)</f>
        <v/>
      </c>
      <c r="F14" s="55">
        <f>SUMIFS(tblMovement[Tonnes_t],tblMovement[Date],$A14,tblMovement[Is_Ore],1,tblMovement[Source_Type],"Pit")</f>
        <v/>
      </c>
      <c r="G14" s="55">
        <f>IF($B14=$B13,$G13,0)+$F14</f>
        <v/>
      </c>
      <c r="H14" s="55">
        <f>$H13+$F14</f>
        <v/>
      </c>
      <c r="I14" s="55">
        <f>SUMIFS(tblMovement[Ore_oz],tblMovement[Date],$A14,tblMovement[Source_Type],"Pit")</f>
        <v/>
      </c>
      <c r="J14" s="55">
        <f>IF($B14=$B13,$J13,0)+$I14</f>
        <v/>
      </c>
      <c r="K14" s="55">
        <f>$K13+$I14</f>
        <v/>
      </c>
      <c r="L14" s="56">
        <f>IFERROR(IF(($F14)&gt;0,($I14*cfg_TroyOz)/($F14),""),"")</f>
        <v/>
      </c>
      <c r="M14" s="56">
        <f>IFERROR(IF(($G14)&gt;0,($J14*cfg_TroyOz)/($G14),""),"")</f>
        <v/>
      </c>
      <c r="N14" s="56">
        <f>IFERROR(IF(($H14)&gt;0,($K14*cfg_TroyOz)/($H14),""),"")</f>
        <v/>
      </c>
      <c r="O14" s="55">
        <f>SUMIFS(tblMovement[Tonnes_t],tblMovement[Date],$A14,tblMovement[Is_Ore],0,tblMovement[Source_Type],"Pit")</f>
        <v/>
      </c>
      <c r="P14" s="55">
        <f>IF($B14=$B13,$P13,0)+$O14</f>
        <v/>
      </c>
      <c r="Q14" s="55">
        <f>$Q13+$O14</f>
        <v/>
      </c>
      <c r="R14" s="55">
        <f>$F14+$O14</f>
        <v/>
      </c>
      <c r="S14" s="55">
        <f>IF($B14=$B13,$S13,0)+$R14</f>
        <v/>
      </c>
      <c r="T14" s="55">
        <f>$T13+$R14</f>
        <v/>
      </c>
      <c r="U14" s="56">
        <f>IFERROR(IF(($F14)&gt;0,($O14)/($F14),""),"")</f>
        <v/>
      </c>
      <c r="V14" s="56">
        <f>IFERROR(IF(($G14)&gt;0,($P14)/($G14),""),"")</f>
        <v/>
      </c>
      <c r="W14" s="56">
        <f>IFERROR(IF(($H14)&gt;0,($Q14)/($H14),""),"")</f>
        <v/>
      </c>
      <c r="X14" s="55">
        <f>SUMIFS(tblMovement[Tonnes_t],tblMovement[Date],$A14,tblMovement[Source_Type],"Stockpile")</f>
        <v/>
      </c>
      <c r="Y14" s="55">
        <f>IF($B14=$B13,$Y13,0)+$X14</f>
        <v/>
      </c>
      <c r="Z14" s="55">
        <f>$Z13+$X14</f>
        <v/>
      </c>
      <c r="AA14" s="55">
        <f>SUMIFS(tblMiningDaily[Drill_m],tblMiningDaily[Date],$A14)</f>
        <v/>
      </c>
      <c r="AB14" s="55">
        <f>IF($B14=$B13,$AB13,0)+$AA14</f>
        <v/>
      </c>
      <c r="AC14" s="55">
        <f>$AC13+$AA14</f>
        <v/>
      </c>
      <c r="AD14" s="55">
        <f>SUMIFS(tblMiningDaily[Blast_t],tblMiningDaily[Date],$A14)</f>
        <v/>
      </c>
      <c r="AE14" s="55">
        <f>IF($B14=$B13,$AE13,0)+$AD14</f>
        <v/>
      </c>
      <c r="AF14" s="55">
        <f>$AF13+$AD14</f>
        <v/>
      </c>
      <c r="AG14" s="55">
        <f>SUMIFS(tblMiningDaily[Explosives_kg],tblMiningDaily[Date],$A14)</f>
        <v/>
      </c>
      <c r="AH14" s="55">
        <f>IF($B14=$B13,$AH13,0)+$AG14</f>
        <v/>
      </c>
      <c r="AI14" s="55">
        <f>$AI13+$AG14</f>
        <v/>
      </c>
      <c r="AJ14" s="56">
        <f>IFERROR(IF(($AD14)&gt;0,($AG14)/($AD14),""),"")</f>
        <v/>
      </c>
      <c r="AK14" s="56">
        <f>IFERROR(IF(($AE14)&gt;0,($AH14)/($AE14),""),"")</f>
        <v/>
      </c>
      <c r="AL14" s="56">
        <f>IFERROR(IF(($AF14)&gt;0,($AI14)/($AF14),""),"")</f>
        <v/>
      </c>
      <c r="AM14" s="55">
        <f>SUMIFS(tblMiningDaily[Diesel_L],tblMiningDaily[Date],$A14)</f>
        <v/>
      </c>
      <c r="AN14" s="55">
        <f>IF($B14=$B13,$AN13,0)+$AM14</f>
        <v/>
      </c>
      <c r="AO14" s="55">
        <f>$AO13+$AM14</f>
        <v/>
      </c>
      <c r="AP14" s="55">
        <f>SUMIFS(tblMiningDaily[Dewatering_m3],tblMiningDaily[Date],$A14)</f>
        <v/>
      </c>
      <c r="AQ14" s="55">
        <f>IF($B14=$B13,$AQ13,0)+$AP14</f>
        <v/>
      </c>
      <c r="AR14" s="55">
        <f>$AR13+$AP14</f>
        <v/>
      </c>
      <c r="AS14" s="57">
        <f>SUMIFS(tblFleet[Calendar_h],tblFleet[Date],$A14,tblFleet[Equipment_Class],"Excavator")</f>
        <v/>
      </c>
      <c r="AT14" s="57">
        <f>IF($B14=$B13,$AT13,0)+$AS14</f>
        <v/>
      </c>
      <c r="AU14" s="57">
        <f>$AU13+$AS14</f>
        <v/>
      </c>
      <c r="AV14" s="57">
        <f>SUMIFS(tblFleet[Available_h],tblFleet[Date],$A14,tblFleet[Equipment_Class],"Excavator")</f>
        <v/>
      </c>
      <c r="AW14" s="57">
        <f>IF($B14=$B13,$AW13,0)+$AV14</f>
        <v/>
      </c>
      <c r="AX14" s="57">
        <f>$AX13+$AV14</f>
        <v/>
      </c>
      <c r="AY14" s="57">
        <f>SUMIFS(tblFleet[Operating_h],tblFleet[Date],$A14,tblFleet[Equipment_Class],"Excavator")</f>
        <v/>
      </c>
      <c r="AZ14" s="57">
        <f>IF($B14=$B13,$AZ13,0)+$AY14</f>
        <v/>
      </c>
      <c r="BA14" s="57">
        <f>$BA13+$AY14</f>
        <v/>
      </c>
      <c r="BB14" s="67">
        <f>IFERROR(IF(($AS14)&gt;0,($AV14)/($AS14),""),"")</f>
        <v/>
      </c>
      <c r="BC14" s="67">
        <f>IFERROR(IF(($AT14)&gt;0,($AW14)/($AT14),""),"")</f>
        <v/>
      </c>
      <c r="BD14" s="67">
        <f>IFERROR(IF(($AU14)&gt;0,($AX14)/($AU14),""),"")</f>
        <v/>
      </c>
      <c r="BE14" s="67">
        <f>IFERROR(IF(($AV14)&gt;0,($AY14)/($AV14),""),"")</f>
        <v/>
      </c>
      <c r="BF14" s="67">
        <f>IFERROR(IF(($AW14)&gt;0,($AZ14)/($AW14),""),"")</f>
        <v/>
      </c>
      <c r="BG14" s="67">
        <f>IFERROR(IF(($AX14)&gt;0,($BA14)/($AX14),""),"")</f>
        <v/>
      </c>
      <c r="BH14" s="57">
        <f>SUMIFS(tblFleet[Calendar_h],tblFleet[Date],$A14,tblFleet[Equipment_Class],"Haul Truck")</f>
        <v/>
      </c>
      <c r="BI14" s="57">
        <f>IF($B14=$B13,$BI13,0)+$BH14</f>
        <v/>
      </c>
      <c r="BJ14" s="57">
        <f>$BJ13+$BH14</f>
        <v/>
      </c>
      <c r="BK14" s="57">
        <f>SUMIFS(tblFleet[Available_h],tblFleet[Date],$A14,tblFleet[Equipment_Class],"Haul Truck")</f>
        <v/>
      </c>
      <c r="BL14" s="57">
        <f>IF($B14=$B13,$BL13,0)+$BK14</f>
        <v/>
      </c>
      <c r="BM14" s="57">
        <f>$BM13+$BK14</f>
        <v/>
      </c>
      <c r="BN14" s="57">
        <f>SUMIFS(tblFleet[Operating_h],tblFleet[Date],$A14,tblFleet[Equipment_Class],"Haul Truck")</f>
        <v/>
      </c>
      <c r="BO14" s="57">
        <f>IF($B14=$B13,$BO13,0)+$BN14</f>
        <v/>
      </c>
      <c r="BP14" s="57">
        <f>$BP13+$BN14</f>
        <v/>
      </c>
      <c r="BQ14" s="67">
        <f>IFERROR(IF(($BH14)&gt;0,($BK14)/($BH14),""),"")</f>
        <v/>
      </c>
      <c r="BR14" s="67">
        <f>IFERROR(IF(($BI14)&gt;0,($BL14)/($BI14),""),"")</f>
        <v/>
      </c>
      <c r="BS14" s="67">
        <f>IFERROR(IF(($BJ14)&gt;0,($BM14)/($BJ14),""),"")</f>
        <v/>
      </c>
      <c r="BT14" s="67">
        <f>IFERROR(IF(($BK14)&gt;0,($BN14)/($BK14),""),"")</f>
        <v/>
      </c>
      <c r="BU14" s="67">
        <f>IFERROR(IF(($BL14)&gt;0,($BO14)/($BL14),""),"")</f>
        <v/>
      </c>
      <c r="BV14" s="67">
        <f>IFERROR(IF(($BM14)&gt;0,($BP14)/($BM14),""),"")</f>
        <v/>
      </c>
      <c r="BW14" s="55">
        <f>SUMIFS(tblPlant[Crushed_t],tblPlant[Date],$A14)</f>
        <v/>
      </c>
      <c r="BX14" s="55">
        <f>IF($B14=$B13,$BX13,0)+$BW14</f>
        <v/>
      </c>
      <c r="BY14" s="55">
        <f>$BY13+$BW14</f>
        <v/>
      </c>
      <c r="BZ14" s="55">
        <f>SUMIFS(tblPlant[Milled_t],tblPlant[Date],$A14)</f>
        <v/>
      </c>
      <c r="CA14" s="55">
        <f>IF($B14=$B13,$CA13,0)+$BZ14</f>
        <v/>
      </c>
      <c r="CB14" s="55">
        <f>$CB13+$BZ14</f>
        <v/>
      </c>
      <c r="CC14" s="55">
        <f>SUMIFS(tblPlant[Feed_oz],tblPlant[Date],$A14)</f>
        <v/>
      </c>
      <c r="CD14" s="55">
        <f>IF($B14=$B13,$CD13,0)+$CC14</f>
        <v/>
      </c>
      <c r="CE14" s="55">
        <f>$CE13+$CC14</f>
        <v/>
      </c>
      <c r="CF14" s="55">
        <f>SUMIFS(tblPlant[Tails_oz],tblPlant[Date],$A14)</f>
        <v/>
      </c>
      <c r="CG14" s="55">
        <f>IF($B14=$B13,$CG13,0)+$CF14</f>
        <v/>
      </c>
      <c r="CH14" s="55">
        <f>$CH13+$CF14</f>
        <v/>
      </c>
      <c r="CI14" s="55">
        <f>SUMIFS(tblPlant[Recovered_oz],tblPlant[Date],$A14)</f>
        <v/>
      </c>
      <c r="CJ14" s="55">
        <f>IF($B14=$B13,$CJ13,0)+$CI14</f>
        <v/>
      </c>
      <c r="CK14" s="55">
        <f>$CK13+$CI14</f>
        <v/>
      </c>
      <c r="CL14" s="56">
        <f>IFERROR(IF(($BZ14)&gt;0,($CC14*cfg_TroyOz)/($BZ14),""),"")</f>
        <v/>
      </c>
      <c r="CM14" s="56">
        <f>IFERROR(IF(($CA14)&gt;0,($CD14*cfg_TroyOz)/($CA14),""),"")</f>
        <v/>
      </c>
      <c r="CN14" s="56">
        <f>IFERROR(IF(($CB14)&gt;0,($CE14*cfg_TroyOz)/($CB14),""),"")</f>
        <v/>
      </c>
      <c r="CO14" s="56">
        <f>IFERROR(IF(($BZ14)&gt;0,($CF14*cfg_TroyOz)/($BZ14),""),"")</f>
        <v/>
      </c>
      <c r="CP14" s="56">
        <f>IFERROR(IF(($CA14)&gt;0,($CG14*cfg_TroyOz)/($CA14),""),"")</f>
        <v/>
      </c>
      <c r="CQ14" s="56">
        <f>IFERROR(IF(($CB14)&gt;0,($CH14*cfg_TroyOz)/($CB14),""),"")</f>
        <v/>
      </c>
      <c r="CR14" s="67">
        <f>IFERROR(IF(($CC14)&gt;0,($CI14)/($CC14),""),"")</f>
        <v/>
      </c>
      <c r="CS14" s="67">
        <f>IFERROR(IF(($CD14)&gt;0,($CJ14)/($CD14),""),"")</f>
        <v/>
      </c>
      <c r="CT14" s="67">
        <f>IFERROR(IF(($CE14)&gt;0,($CK14)/($CE14),""),"")</f>
        <v/>
      </c>
      <c r="CU14" s="55">
        <f>SUMIFS(tblPlant[Gravity_Gold_oz],tblPlant[Date],$A14)</f>
        <v/>
      </c>
      <c r="CV14" s="55">
        <f>IF($B14=$B13,$CV13,0)+$CU14</f>
        <v/>
      </c>
      <c r="CW14" s="55">
        <f>$CW13+$CU14</f>
        <v/>
      </c>
      <c r="CX14" s="55">
        <f>SUMIFS(tblPlant[Gold_Poured_oz],tblPlant[Date],$A14)</f>
        <v/>
      </c>
      <c r="CY14" s="55">
        <f>IF($B14=$B13,$CY13,0)+$CX14</f>
        <v/>
      </c>
      <c r="CZ14" s="55">
        <f>$CZ13+$CX14</f>
        <v/>
      </c>
      <c r="DA14" s="57">
        <f>SUMIFS(tblPlant[Mill_Run_h],tblPlant[Date],$A14)</f>
        <v/>
      </c>
      <c r="DB14" s="57">
        <f>IF($B14=$B13,$DB13,0)+$DA14</f>
        <v/>
      </c>
      <c r="DC14" s="57">
        <f>$DC13+$DA14</f>
        <v/>
      </c>
      <c r="DD14" s="57">
        <f>SUMIFS(tblPlant[Mill_Planned_Maint_h],tblPlant[Date],$A14)</f>
        <v/>
      </c>
      <c r="DE14" s="57">
        <f>IF($B14=$B13,$DE13,0)+$DD14</f>
        <v/>
      </c>
      <c r="DF14" s="57">
        <f>$DF13+$DD14</f>
        <v/>
      </c>
      <c r="DG14" s="57">
        <f>SUMIFS(tblPlant[Mill_Unplanned_Down_h],tblPlant[Date],$A14)</f>
        <v/>
      </c>
      <c r="DH14" s="57">
        <f>IF($B14=$B13,$DH13,0)+$DG14</f>
        <v/>
      </c>
      <c r="DI14" s="57">
        <f>$DI13+$DG14</f>
        <v/>
      </c>
      <c r="DJ14" s="57">
        <f>COUNTIFS(tblPlant[Date],$A14,tblPlant[Mill_Run_h],"&lt;&gt;")*24</f>
        <v/>
      </c>
      <c r="DK14" s="57">
        <f>IF($B14=$B13,$DK13,0)+$DJ14</f>
        <v/>
      </c>
      <c r="DL14" s="57">
        <f>$DL13+$DJ14</f>
        <v/>
      </c>
      <c r="DM14" s="57">
        <f>SUMIFS(tblPlant[Crusher_Run_h],tblPlant[Date],$A14)</f>
        <v/>
      </c>
      <c r="DN14" s="57">
        <f>IF($B14=$B13,$DN13,0)+$DM14</f>
        <v/>
      </c>
      <c r="DO14" s="57">
        <f>$DO13+$DM14</f>
        <v/>
      </c>
      <c r="DP14" s="55">
        <f>IFERROR(IF(($DA14)&gt;0,($BZ14)/($DA14),""),"")</f>
        <v/>
      </c>
      <c r="DQ14" s="55">
        <f>IFERROR(IF(($DB14)&gt;0,($CA14)/($DB14),""),"")</f>
        <v/>
      </c>
      <c r="DR14" s="55">
        <f>IFERROR(IF(($DC14)&gt;0,($CB14)/($DC14),""),"")</f>
        <v/>
      </c>
      <c r="DS14" s="67">
        <f>IFERROR(IF(($DJ14)&gt;0,($DJ14-$DD14-$DG14)/($DJ14),""),"")</f>
        <v/>
      </c>
      <c r="DT14" s="67">
        <f>IFERROR(IF(($DK14)&gt;0,($DK14-$DE14-$DH14)/($DK14),""),"")</f>
        <v/>
      </c>
      <c r="DU14" s="67">
        <f>IFERROR(IF(($DL14)&gt;0,($DL14-$DF14-$DI14)/($DL14),""),"")</f>
        <v/>
      </c>
      <c r="DV14" s="67">
        <f>IFERROR(IF(($DJ14-$DD14-$DG14)&gt;0,($DA14)/($DJ14-$DD14-$DG14),""),"")</f>
        <v/>
      </c>
      <c r="DW14" s="67">
        <f>IFERROR(IF(($DK14-$DE14-$DH14)&gt;0,($DB14)/($DK14-$DE14-$DH14),""),"")</f>
        <v/>
      </c>
      <c r="DX14" s="67">
        <f>IFERROR(IF(($DL14-$DF14-$DI14)&gt;0,($DC14)/($DL14-$DF14-$DI14),""),"")</f>
        <v/>
      </c>
      <c r="DY14" s="55">
        <f>SUMIFS(tblPlant[Cyanide_kg],tblPlant[Date],$A14)</f>
        <v/>
      </c>
      <c r="DZ14" s="55">
        <f>IF($B14=$B13,$DZ13,0)+$DY14</f>
        <v/>
      </c>
      <c r="EA14" s="55">
        <f>$EA13+$DY14</f>
        <v/>
      </c>
      <c r="EB14" s="55">
        <f>SUMIFS(tblPlant[Lime_kg],tblPlant[Date],$A14)</f>
        <v/>
      </c>
      <c r="EC14" s="55">
        <f>IF($B14=$B13,$EC13,0)+$EB14</f>
        <v/>
      </c>
      <c r="ED14" s="55">
        <f>$ED13+$EB14</f>
        <v/>
      </c>
      <c r="EE14" s="55">
        <f>SUMIFS(tblPlant[Grinding_Media_kg],tblPlant[Date],$A14)</f>
        <v/>
      </c>
      <c r="EF14" s="55">
        <f>IF($B14=$B13,$EF13,0)+$EE14</f>
        <v/>
      </c>
      <c r="EG14" s="55">
        <f>$EG13+$EE14</f>
        <v/>
      </c>
      <c r="EH14" s="55">
        <f>SUMIFS(tblPlant[Power_kWh],tblPlant[Date],$A14)</f>
        <v/>
      </c>
      <c r="EI14" s="55">
        <f>IF($B14=$B13,$EI13,0)+$EH14</f>
        <v/>
      </c>
      <c r="EJ14" s="55">
        <f>$EJ13+$EH14</f>
        <v/>
      </c>
      <c r="EK14" s="55">
        <f>SUMIFS(tblPlant[Raw_Water_m3],tblPlant[Date],$A14)</f>
        <v/>
      </c>
      <c r="EL14" s="55">
        <f>IF($B14=$B13,$EL13,0)+$EK14</f>
        <v/>
      </c>
      <c r="EM14" s="55">
        <f>$EM13+$EK14</f>
        <v/>
      </c>
      <c r="EN14" s="56">
        <f>IFERROR(IF(($BZ14)&gt;0,($DY14)/($BZ14),""),"")</f>
        <v/>
      </c>
      <c r="EO14" s="56">
        <f>IFERROR(IF(($CA14)&gt;0,($DZ14)/($CA14),""),"")</f>
        <v/>
      </c>
      <c r="EP14" s="56">
        <f>IFERROR(IF(($CB14)&gt;0,($EA14)/($CB14),""),"")</f>
        <v/>
      </c>
      <c r="EQ14" s="56">
        <f>IFERROR(IF(($BZ14)&gt;0,($EB14)/($BZ14),""),"")</f>
        <v/>
      </c>
      <c r="ER14" s="56">
        <f>IFERROR(IF(($CA14)&gt;0,($EC14)/($CA14),""),"")</f>
        <v/>
      </c>
      <c r="ES14" s="56">
        <f>IFERROR(IF(($CB14)&gt;0,($ED14)/($CB14),""),"")</f>
        <v/>
      </c>
      <c r="ET14" s="56">
        <f>IFERROR(IF(($BZ14)&gt;0,($EE14)/($BZ14),""),"")</f>
        <v/>
      </c>
      <c r="EU14" s="56">
        <f>IFERROR(IF(($CA14)&gt;0,($EF14)/($CA14),""),"")</f>
        <v/>
      </c>
      <c r="EV14" s="56">
        <f>IFERROR(IF(($CB14)&gt;0,($EG14)/($CB14),""),"")</f>
        <v/>
      </c>
      <c r="EW14" s="76">
        <f>IFERROR(IF(($BZ14)&gt;0,($EH14)/($BZ14),""),"")</f>
        <v/>
      </c>
      <c r="EX14" s="76">
        <f>IFERROR(IF(($CA14)&gt;0,($EI14)/($CA14),""),"")</f>
        <v/>
      </c>
      <c r="EY14" s="76">
        <f>IFERROR(IF(($CB14)&gt;0,($EJ14)/($CB14),""),"")</f>
        <v/>
      </c>
      <c r="EZ14" s="56">
        <f>IFERROR(IF(($BZ14)&gt;0,($EK14)/($BZ14),""),"")</f>
        <v/>
      </c>
      <c r="FA14" s="56">
        <f>IFERROR(IF(($CA14)&gt;0,($EL14)/($CA14),""),"")</f>
        <v/>
      </c>
      <c r="FB14" s="56">
        <f>IFERROR(IF(($CB14)&gt;0,($EM14)/($CB14),""),"")</f>
        <v/>
      </c>
      <c r="FC14" s="55">
        <f>IF(SUMIFS(tblPlant[GIC_oz],tblPlant[Date],$A14)&gt;0,SUMIFS(tblPlant[GIC_oz],tblPlant[Date],$A14),"")</f>
        <v/>
      </c>
      <c r="FD14" s="55">
        <f>SUMIFS(tblGold[Gold_oz],tblGold[Date],$A14,tblGold[Type],"Shipment")</f>
        <v/>
      </c>
      <c r="FE14" s="55">
        <f>IF($B14=$B13,$FE13,0)+$FD14</f>
        <v/>
      </c>
      <c r="FF14" s="55">
        <f>$FF13+$FD14</f>
        <v/>
      </c>
      <c r="FG14" s="55">
        <f>SUMIFS(tblGold[Gold_oz],tblGold[Date],$A14,tblGold[Type],"Sale")</f>
        <v/>
      </c>
      <c r="FH14" s="55">
        <f>IF($B14=$B13,$FH13,0)+$FG14</f>
        <v/>
      </c>
      <c r="FI14" s="55">
        <f>$FI13+$FG14</f>
        <v/>
      </c>
      <c r="FJ14" s="55">
        <f>SUMIFS(tblGold[Dore_kg],tblGold[Date],$A14,tblGold[Type],"Shipment")</f>
        <v/>
      </c>
      <c r="FK14" s="55">
        <f>IF($B14=$B13,$FK13,0)+$FJ14</f>
        <v/>
      </c>
      <c r="FL14" s="55">
        <f>$FL13+$FJ14</f>
        <v/>
      </c>
      <c r="FM14" s="57">
        <f>SUMIFS(tblSafety[Hours_Total],tblSafety[Date],$A14)</f>
        <v/>
      </c>
      <c r="FN14" s="57">
        <f>IF($B14=$B13,$FN13,0)+$FM14</f>
        <v/>
      </c>
      <c r="FO14" s="57">
        <f>$FO13+$FM14</f>
        <v/>
      </c>
      <c r="FP14" s="62">
        <f>SUMIFS(tblSafety[Fatality],tblSafety[Date],$A14)</f>
        <v/>
      </c>
      <c r="FQ14" s="62">
        <f>IF($B14=$B13,$FQ13,0)+$FP14</f>
        <v/>
      </c>
      <c r="FR14" s="62">
        <f>$FR13+$FP14</f>
        <v/>
      </c>
      <c r="FS14" s="62">
        <f>SUMIFS(tblSafety[LTI],tblSafety[Date],$A14)</f>
        <v/>
      </c>
      <c r="FT14" s="62">
        <f>IF($B14=$B13,$FT13,0)+$FS14</f>
        <v/>
      </c>
      <c r="FU14" s="62">
        <f>$FU13+$FS14</f>
        <v/>
      </c>
      <c r="FV14" s="62">
        <f>SUMIFS(tblSafety[RWI],tblSafety[Date],$A14)</f>
        <v/>
      </c>
      <c r="FW14" s="62">
        <f>IF($B14=$B13,$FW13,0)+$FV14</f>
        <v/>
      </c>
      <c r="FX14" s="62">
        <f>$FX13+$FV14</f>
        <v/>
      </c>
      <c r="FY14" s="62">
        <f>SUMIFS(tblSafety[MTI],tblSafety[Date],$A14)</f>
        <v/>
      </c>
      <c r="FZ14" s="62">
        <f>IF($B14=$B13,$FZ13,0)+$FY14</f>
        <v/>
      </c>
      <c r="GA14" s="62">
        <f>$GA13+$FY14</f>
        <v/>
      </c>
      <c r="GB14" s="62">
        <f>SUMIFS(tblSafety[FAI],tblSafety[Date],$A14)</f>
        <v/>
      </c>
      <c r="GC14" s="62">
        <f>IF($B14=$B13,$GC13,0)+$GB14</f>
        <v/>
      </c>
      <c r="GD14" s="62">
        <f>$GD13+$GB14</f>
        <v/>
      </c>
      <c r="GE14" s="62">
        <f>SUMIFS(tblSafety[Recordables],tblSafety[Date],$A14)</f>
        <v/>
      </c>
      <c r="GF14" s="62">
        <f>IF($B14=$B13,$GF13,0)+$GE14</f>
        <v/>
      </c>
      <c r="GG14" s="62">
        <f>$GG13+$GE14</f>
        <v/>
      </c>
      <c r="GH14" s="62">
        <f>SUMIFS(tblSafety[Near_Miss],tblSafety[Date],$A14)</f>
        <v/>
      </c>
      <c r="GI14" s="62">
        <f>IF($B14=$B13,$GI13,0)+$GH14</f>
        <v/>
      </c>
      <c r="GJ14" s="62">
        <f>$GJ13+$GH14</f>
        <v/>
      </c>
      <c r="GK14" s="62">
        <f>SUMIFS(tblSafety[Hazard_Reports],tblSafety[Date],$A14)</f>
        <v/>
      </c>
      <c r="GL14" s="62">
        <f>IF($B14=$B13,$GL13,0)+$GK14</f>
        <v/>
      </c>
      <c r="GM14" s="62">
        <f>$GM13+$GK14</f>
        <v/>
      </c>
      <c r="GN14" s="62">
        <f>SUMIFS(tblSafety[HPI],tblSafety[Date],$A14)</f>
        <v/>
      </c>
      <c r="GO14" s="62">
        <f>IF($B14=$B13,$GO13,0)+$GN14</f>
        <v/>
      </c>
      <c r="GP14" s="62">
        <f>$GP13+$GN14</f>
        <v/>
      </c>
      <c r="GQ14" s="62">
        <f>SUMIFS(tblSafety[Env_Incidents],tblSafety[Date],$A14)</f>
        <v/>
      </c>
      <c r="GR14" s="62">
        <f>IF($B14=$B13,$GR13,0)+$GQ14</f>
        <v/>
      </c>
      <c r="GS14" s="62">
        <f>$GS13+$GQ14</f>
        <v/>
      </c>
      <c r="GT14" s="62">
        <f>SUMIFS(tblSafety[Community_Incidents],tblSafety[Date],$A14)</f>
        <v/>
      </c>
      <c r="GU14" s="62">
        <f>IF($B14=$B13,$GU13,0)+$GT14</f>
        <v/>
      </c>
      <c r="GV14" s="62">
        <f>$GV13+$GT14</f>
        <v/>
      </c>
      <c r="GW14" s="62">
        <f>SUMIFS(tblSafety[Vehicle_Incidents],tblSafety[Date],$A14)</f>
        <v/>
      </c>
      <c r="GX14" s="62">
        <f>IF($B14=$B13,$GX13,0)+$GW14</f>
        <v/>
      </c>
      <c r="GY14" s="62">
        <f>$GY13+$GW14</f>
        <v/>
      </c>
      <c r="GZ14" s="62">
        <f>SUMIFS(tblSafety[Toolbox_Talks],tblSafety[Date],$A14)</f>
        <v/>
      </c>
      <c r="HA14" s="62">
        <f>IF($B14=$B13,$HA13,0)+$GZ14</f>
        <v/>
      </c>
      <c r="HB14" s="62">
        <f>$HB13+$GZ14</f>
        <v/>
      </c>
      <c r="HC14" s="62">
        <f>SUMIFS(tblSafety[Inspections],tblSafety[Date],$A14)</f>
        <v/>
      </c>
      <c r="HD14" s="62">
        <f>IF($B14=$B13,$HD13,0)+$HC14</f>
        <v/>
      </c>
      <c r="HE14" s="62">
        <f>$HE13+$HC14</f>
        <v/>
      </c>
      <c r="HF14" s="56">
        <f>IFERROR((SUMIFS(tblSafety[Recordables],tblSafety[Date],"&gt;="&amp;EDATE($E14,-12),tblSafety[Date],"&lt;="&amp;$A14)+SUMIFS(tblSafetyHistory[Recordables],tblSafetyHistory[Month],"&gt;="&amp;EDATE($E14,-12),tblSafetyHistory[Month],"&lt;"&amp;cfg_YearStart))/(SUMIFS(tblSafety[Hours_Total],tblSafety[Date],"&gt;="&amp;EDATE($E14,-12),tblSafety[Date],"&lt;="&amp;$A14)+SUMIFS(tblSafetyHistory[Hours_Total],tblSafetyHistory[Month],"&gt;="&amp;EDATE($E14,-12),tblSafetyHistory[Month],"&lt;"&amp;cfg_YearStart))*1000000,"")</f>
        <v/>
      </c>
      <c r="HG14" s="56">
        <f>IFERROR((SUMIFS(tblSafety[LTI],tblSafety[Date],"&gt;="&amp;EDATE($E14,-12),tblSafety[Date],"&lt;="&amp;$A14)+SUMIFS(tblSafetyHistory[LTI],tblSafetyHistory[Month],"&gt;="&amp;EDATE($E14,-12),tblSafetyHistory[Month],"&lt;"&amp;cfg_YearStart))/(SUMIFS(tblSafety[Hours_Total],tblSafety[Date],"&gt;="&amp;EDATE($E14,-12),tblSafety[Date],"&lt;="&amp;$A14)+SUMIFS(tblSafetyHistory[Hours_Total],tblSafetyHistory[Month],"&gt;="&amp;EDATE($E14,-12),tblSafetyHistory[Month],"&lt;"&amp;cfg_YearStart))*1000000,"")</f>
        <v/>
      </c>
      <c r="HH14" s="62">
        <f>IF(MAX(N(cfg_PriorLTIDate),_xlfn.MAXIFS(tblSafety[Date],tblSafety[LTI],"&gt;0",tblSafety[Date],"&lt;="&amp;$A14))=0,"",$A14-MAX(N(cfg_PriorLTIDate),_xlfn.MAXIFS(tblSafety[Date],tblSafety[LTI],"&gt;0",tblSafety[Date],"&lt;="&amp;$A14)))</f>
        <v/>
      </c>
      <c r="HI14" s="55">
        <f>SUMIFS(tblBudget[Ore_Mined_t],tblBudget[Month],$E14)</f>
        <v/>
      </c>
      <c r="HJ14" s="55">
        <f>$HI14*$C14/$D14</f>
        <v/>
      </c>
      <c r="HK14" s="55">
        <f>SUMIFS(tblBudget[Ore_Mined_t],tblBudget[Month],"&lt;"&amp;$E14)+$HJ14</f>
        <v/>
      </c>
      <c r="HL14" s="55">
        <f>SUMIFS(tblBudget[Ore_oz],tblBudget[Month],$E14)</f>
        <v/>
      </c>
      <c r="HM14" s="55">
        <f>$HL14*$C14/$D14</f>
        <v/>
      </c>
      <c r="HN14" s="55">
        <f>SUMIFS(tblBudget[Ore_oz],tblBudget[Month],"&lt;"&amp;$E14)+$HM14</f>
        <v/>
      </c>
      <c r="HO14" s="56">
        <f>IFERROR(IF(($HI14)&gt;0,($HL14*cfg_TroyOz)/($HI14),""),"")</f>
        <v/>
      </c>
      <c r="HP14" s="56">
        <f>IFERROR(IF(($HJ14)&gt;0,($HM14*cfg_TroyOz)/($HJ14),""),"")</f>
        <v/>
      </c>
      <c r="HQ14" s="56">
        <f>IFERROR(IF(($HK14)&gt;0,($HN14*cfg_TroyOz)/($HK14),""),"")</f>
        <v/>
      </c>
      <c r="HR14" s="55">
        <f>SUMIFS(tblBudget[Waste_t],tblBudget[Month],$E14)</f>
        <v/>
      </c>
      <c r="HS14" s="55">
        <f>$HR14*$C14/$D14</f>
        <v/>
      </c>
      <c r="HT14" s="55">
        <f>SUMIFS(tblBudget[Waste_t],tblBudget[Month],"&lt;"&amp;$E14)+$HS14</f>
        <v/>
      </c>
      <c r="HU14" s="55">
        <f>SUMIFS(tblBudget[TMM_t],tblBudget[Month],$E14)</f>
        <v/>
      </c>
      <c r="HV14" s="55">
        <f>$HU14*$C14/$D14</f>
        <v/>
      </c>
      <c r="HW14" s="55">
        <f>SUMIFS(tblBudget[TMM_t],tblBudget[Month],"&lt;"&amp;$E14)+$HV14</f>
        <v/>
      </c>
      <c r="HX14" s="56">
        <f>IFERROR(IF(($HI14)&gt;0,($HR14)/($HI14),""),"")</f>
        <v/>
      </c>
      <c r="HY14" s="56">
        <f>IFERROR(IF(($HJ14)&gt;0,($HS14)/($HJ14),""),"")</f>
        <v/>
      </c>
      <c r="HZ14" s="56">
        <f>IFERROR(IF(($HK14)&gt;0,($HT14)/($HK14),""),"")</f>
        <v/>
      </c>
      <c r="IA14" s="55">
        <f>SUMIFS(tblBudget[Drill_m],tblBudget[Month],$E14)</f>
        <v/>
      </c>
      <c r="IB14" s="55">
        <f>$IA14*$C14/$D14</f>
        <v/>
      </c>
      <c r="IC14" s="55">
        <f>SUMIFS(tblBudget[Drill_m],tblBudget[Month],"&lt;"&amp;$E14)+$IB14</f>
        <v/>
      </c>
      <c r="ID14" s="55">
        <f>SUMIFS(tblBudget[Diesel_L],tblBudget[Month],$E14)</f>
        <v/>
      </c>
      <c r="IE14" s="55">
        <f>$ID14*$C14/$D14</f>
        <v/>
      </c>
      <c r="IF14" s="55">
        <f>SUMIFS(tblBudget[Diesel_L],tblBudget[Month],"&lt;"&amp;$E14)+$IE14</f>
        <v/>
      </c>
      <c r="IG14" s="55">
        <f>SUMIFS(tblBudget[Milled_t],tblBudget[Month],$E14)</f>
        <v/>
      </c>
      <c r="IH14" s="55">
        <f>$IG14*$C14/$D14</f>
        <v/>
      </c>
      <c r="II14" s="55">
        <f>SUMIFS(tblBudget[Milled_t],tblBudget[Month],"&lt;"&amp;$E14)+$IH14</f>
        <v/>
      </c>
      <c r="IJ14" s="55">
        <f>SUMIFS(tblBudget[Feed_oz],tblBudget[Month],$E14)</f>
        <v/>
      </c>
      <c r="IK14" s="55">
        <f>$IJ14*$C14/$D14</f>
        <v/>
      </c>
      <c r="IL14" s="55">
        <f>SUMIFS(tblBudget[Feed_oz],tblBudget[Month],"&lt;"&amp;$E14)+$IK14</f>
        <v/>
      </c>
      <c r="IM14" s="55">
        <f>SUMIFS(tblBudget[Recovered_oz],tblBudget[Month],$E14)</f>
        <v/>
      </c>
      <c r="IN14" s="55">
        <f>$IM14*$C14/$D14</f>
        <v/>
      </c>
      <c r="IO14" s="55">
        <f>SUMIFS(tblBudget[Recovered_oz],tblBudget[Month],"&lt;"&amp;$E14)+$IN14</f>
        <v/>
      </c>
      <c r="IP14" s="56">
        <f>IFERROR(IF(($IG14)&gt;0,($IJ14*cfg_TroyOz)/($IG14),""),"")</f>
        <v/>
      </c>
      <c r="IQ14" s="56">
        <f>IFERROR(IF(($IH14)&gt;0,($IK14*cfg_TroyOz)/($IH14),""),"")</f>
        <v/>
      </c>
      <c r="IR14" s="56">
        <f>IFERROR(IF(($II14)&gt;0,($IL14*cfg_TroyOz)/($II14),""),"")</f>
        <v/>
      </c>
      <c r="IS14" s="67">
        <f>IFERROR(IF(($IJ14)&gt;0,($IM14)/($IJ14),""),"")</f>
        <v/>
      </c>
      <c r="IT14" s="67">
        <f>IFERROR(IF(($IK14)&gt;0,($IN14)/($IK14),""),"")</f>
        <v/>
      </c>
      <c r="IU14" s="67">
        <f>IFERROR(IF(($IL14)&gt;0,($IO14)/($IL14),""),"")</f>
        <v/>
      </c>
      <c r="IV14" s="55">
        <f>SUMIFS(tblBudget[Gold_Poured_oz],tblBudget[Month],$E14)</f>
        <v/>
      </c>
      <c r="IW14" s="55">
        <f>$IV14*$C14/$D14</f>
        <v/>
      </c>
      <c r="IX14" s="55">
        <f>SUMIFS(tblBudget[Gold_Poured_oz],tblBudget[Month],"&lt;"&amp;$E14)+$IW14</f>
        <v/>
      </c>
      <c r="IY14" s="57">
        <f>SUMIFS(tblBudget[Hours_Worked],tblBudget[Month],$E14)</f>
        <v/>
      </c>
      <c r="IZ14" s="57">
        <f>$IY14*$C14/$D14</f>
        <v/>
      </c>
      <c r="JA14" s="57">
        <f>SUMIFS(tblBudget[Hours_Worked],tblBudget[Month],"&lt;"&amp;$E14)+$IZ14</f>
        <v/>
      </c>
    </row>
    <row r="15">
      <c r="A15" s="54" t="n">
        <v>46036</v>
      </c>
      <c r="B15">
        <f>MONTH($A15)</f>
        <v/>
      </c>
      <c r="C15">
        <f>DAY($A15)</f>
        <v/>
      </c>
      <c r="D15">
        <f>DAY(EOMONTH($A15,0))</f>
        <v/>
      </c>
      <c r="E15" s="54">
        <f>DATE(YEAR($A15),MONTH($A15),1)</f>
        <v/>
      </c>
      <c r="F15" s="55">
        <f>SUMIFS(tblMovement[Tonnes_t],tblMovement[Date],$A15,tblMovement[Is_Ore],1,tblMovement[Source_Type],"Pit")</f>
        <v/>
      </c>
      <c r="G15" s="55">
        <f>IF($B15=$B14,$G14,0)+$F15</f>
        <v/>
      </c>
      <c r="H15" s="55">
        <f>$H14+$F15</f>
        <v/>
      </c>
      <c r="I15" s="55">
        <f>SUMIFS(tblMovement[Ore_oz],tblMovement[Date],$A15,tblMovement[Source_Type],"Pit")</f>
        <v/>
      </c>
      <c r="J15" s="55">
        <f>IF($B15=$B14,$J14,0)+$I15</f>
        <v/>
      </c>
      <c r="K15" s="55">
        <f>$K14+$I15</f>
        <v/>
      </c>
      <c r="L15" s="56">
        <f>IFERROR(IF(($F15)&gt;0,($I15*cfg_TroyOz)/($F15),""),"")</f>
        <v/>
      </c>
      <c r="M15" s="56">
        <f>IFERROR(IF(($G15)&gt;0,($J15*cfg_TroyOz)/($G15),""),"")</f>
        <v/>
      </c>
      <c r="N15" s="56">
        <f>IFERROR(IF(($H15)&gt;0,($K15*cfg_TroyOz)/($H15),""),"")</f>
        <v/>
      </c>
      <c r="O15" s="55">
        <f>SUMIFS(tblMovement[Tonnes_t],tblMovement[Date],$A15,tblMovement[Is_Ore],0,tblMovement[Source_Type],"Pit")</f>
        <v/>
      </c>
      <c r="P15" s="55">
        <f>IF($B15=$B14,$P14,0)+$O15</f>
        <v/>
      </c>
      <c r="Q15" s="55">
        <f>$Q14+$O15</f>
        <v/>
      </c>
      <c r="R15" s="55">
        <f>$F15+$O15</f>
        <v/>
      </c>
      <c r="S15" s="55">
        <f>IF($B15=$B14,$S14,0)+$R15</f>
        <v/>
      </c>
      <c r="T15" s="55">
        <f>$T14+$R15</f>
        <v/>
      </c>
      <c r="U15" s="56">
        <f>IFERROR(IF(($F15)&gt;0,($O15)/($F15),""),"")</f>
        <v/>
      </c>
      <c r="V15" s="56">
        <f>IFERROR(IF(($G15)&gt;0,($P15)/($G15),""),"")</f>
        <v/>
      </c>
      <c r="W15" s="56">
        <f>IFERROR(IF(($H15)&gt;0,($Q15)/($H15),""),"")</f>
        <v/>
      </c>
      <c r="X15" s="55">
        <f>SUMIFS(tblMovement[Tonnes_t],tblMovement[Date],$A15,tblMovement[Source_Type],"Stockpile")</f>
        <v/>
      </c>
      <c r="Y15" s="55">
        <f>IF($B15=$B14,$Y14,0)+$X15</f>
        <v/>
      </c>
      <c r="Z15" s="55">
        <f>$Z14+$X15</f>
        <v/>
      </c>
      <c r="AA15" s="55">
        <f>SUMIFS(tblMiningDaily[Drill_m],tblMiningDaily[Date],$A15)</f>
        <v/>
      </c>
      <c r="AB15" s="55">
        <f>IF($B15=$B14,$AB14,0)+$AA15</f>
        <v/>
      </c>
      <c r="AC15" s="55">
        <f>$AC14+$AA15</f>
        <v/>
      </c>
      <c r="AD15" s="55">
        <f>SUMIFS(tblMiningDaily[Blast_t],tblMiningDaily[Date],$A15)</f>
        <v/>
      </c>
      <c r="AE15" s="55">
        <f>IF($B15=$B14,$AE14,0)+$AD15</f>
        <v/>
      </c>
      <c r="AF15" s="55">
        <f>$AF14+$AD15</f>
        <v/>
      </c>
      <c r="AG15" s="55">
        <f>SUMIFS(tblMiningDaily[Explosives_kg],tblMiningDaily[Date],$A15)</f>
        <v/>
      </c>
      <c r="AH15" s="55">
        <f>IF($B15=$B14,$AH14,0)+$AG15</f>
        <v/>
      </c>
      <c r="AI15" s="55">
        <f>$AI14+$AG15</f>
        <v/>
      </c>
      <c r="AJ15" s="56">
        <f>IFERROR(IF(($AD15)&gt;0,($AG15)/($AD15),""),"")</f>
        <v/>
      </c>
      <c r="AK15" s="56">
        <f>IFERROR(IF(($AE15)&gt;0,($AH15)/($AE15),""),"")</f>
        <v/>
      </c>
      <c r="AL15" s="56">
        <f>IFERROR(IF(($AF15)&gt;0,($AI15)/($AF15),""),"")</f>
        <v/>
      </c>
      <c r="AM15" s="55">
        <f>SUMIFS(tblMiningDaily[Diesel_L],tblMiningDaily[Date],$A15)</f>
        <v/>
      </c>
      <c r="AN15" s="55">
        <f>IF($B15=$B14,$AN14,0)+$AM15</f>
        <v/>
      </c>
      <c r="AO15" s="55">
        <f>$AO14+$AM15</f>
        <v/>
      </c>
      <c r="AP15" s="55">
        <f>SUMIFS(tblMiningDaily[Dewatering_m3],tblMiningDaily[Date],$A15)</f>
        <v/>
      </c>
      <c r="AQ15" s="55">
        <f>IF($B15=$B14,$AQ14,0)+$AP15</f>
        <v/>
      </c>
      <c r="AR15" s="55">
        <f>$AR14+$AP15</f>
        <v/>
      </c>
      <c r="AS15" s="57">
        <f>SUMIFS(tblFleet[Calendar_h],tblFleet[Date],$A15,tblFleet[Equipment_Class],"Excavator")</f>
        <v/>
      </c>
      <c r="AT15" s="57">
        <f>IF($B15=$B14,$AT14,0)+$AS15</f>
        <v/>
      </c>
      <c r="AU15" s="57">
        <f>$AU14+$AS15</f>
        <v/>
      </c>
      <c r="AV15" s="57">
        <f>SUMIFS(tblFleet[Available_h],tblFleet[Date],$A15,tblFleet[Equipment_Class],"Excavator")</f>
        <v/>
      </c>
      <c r="AW15" s="57">
        <f>IF($B15=$B14,$AW14,0)+$AV15</f>
        <v/>
      </c>
      <c r="AX15" s="57">
        <f>$AX14+$AV15</f>
        <v/>
      </c>
      <c r="AY15" s="57">
        <f>SUMIFS(tblFleet[Operating_h],tblFleet[Date],$A15,tblFleet[Equipment_Class],"Excavator")</f>
        <v/>
      </c>
      <c r="AZ15" s="57">
        <f>IF($B15=$B14,$AZ14,0)+$AY15</f>
        <v/>
      </c>
      <c r="BA15" s="57">
        <f>$BA14+$AY15</f>
        <v/>
      </c>
      <c r="BB15" s="67">
        <f>IFERROR(IF(($AS15)&gt;0,($AV15)/($AS15),""),"")</f>
        <v/>
      </c>
      <c r="BC15" s="67">
        <f>IFERROR(IF(($AT15)&gt;0,($AW15)/($AT15),""),"")</f>
        <v/>
      </c>
      <c r="BD15" s="67">
        <f>IFERROR(IF(($AU15)&gt;0,($AX15)/($AU15),""),"")</f>
        <v/>
      </c>
      <c r="BE15" s="67">
        <f>IFERROR(IF(($AV15)&gt;0,($AY15)/($AV15),""),"")</f>
        <v/>
      </c>
      <c r="BF15" s="67">
        <f>IFERROR(IF(($AW15)&gt;0,($AZ15)/($AW15),""),"")</f>
        <v/>
      </c>
      <c r="BG15" s="67">
        <f>IFERROR(IF(($AX15)&gt;0,($BA15)/($AX15),""),"")</f>
        <v/>
      </c>
      <c r="BH15" s="57">
        <f>SUMIFS(tblFleet[Calendar_h],tblFleet[Date],$A15,tblFleet[Equipment_Class],"Haul Truck")</f>
        <v/>
      </c>
      <c r="BI15" s="57">
        <f>IF($B15=$B14,$BI14,0)+$BH15</f>
        <v/>
      </c>
      <c r="BJ15" s="57">
        <f>$BJ14+$BH15</f>
        <v/>
      </c>
      <c r="BK15" s="57">
        <f>SUMIFS(tblFleet[Available_h],tblFleet[Date],$A15,tblFleet[Equipment_Class],"Haul Truck")</f>
        <v/>
      </c>
      <c r="BL15" s="57">
        <f>IF($B15=$B14,$BL14,0)+$BK15</f>
        <v/>
      </c>
      <c r="BM15" s="57">
        <f>$BM14+$BK15</f>
        <v/>
      </c>
      <c r="BN15" s="57">
        <f>SUMIFS(tblFleet[Operating_h],tblFleet[Date],$A15,tblFleet[Equipment_Class],"Haul Truck")</f>
        <v/>
      </c>
      <c r="BO15" s="57">
        <f>IF($B15=$B14,$BO14,0)+$BN15</f>
        <v/>
      </c>
      <c r="BP15" s="57">
        <f>$BP14+$BN15</f>
        <v/>
      </c>
      <c r="BQ15" s="67">
        <f>IFERROR(IF(($BH15)&gt;0,($BK15)/($BH15),""),"")</f>
        <v/>
      </c>
      <c r="BR15" s="67">
        <f>IFERROR(IF(($BI15)&gt;0,($BL15)/($BI15),""),"")</f>
        <v/>
      </c>
      <c r="BS15" s="67">
        <f>IFERROR(IF(($BJ15)&gt;0,($BM15)/($BJ15),""),"")</f>
        <v/>
      </c>
      <c r="BT15" s="67">
        <f>IFERROR(IF(($BK15)&gt;0,($BN15)/($BK15),""),"")</f>
        <v/>
      </c>
      <c r="BU15" s="67">
        <f>IFERROR(IF(($BL15)&gt;0,($BO15)/($BL15),""),"")</f>
        <v/>
      </c>
      <c r="BV15" s="67">
        <f>IFERROR(IF(($BM15)&gt;0,($BP15)/($BM15),""),"")</f>
        <v/>
      </c>
      <c r="BW15" s="55">
        <f>SUMIFS(tblPlant[Crushed_t],tblPlant[Date],$A15)</f>
        <v/>
      </c>
      <c r="BX15" s="55">
        <f>IF($B15=$B14,$BX14,0)+$BW15</f>
        <v/>
      </c>
      <c r="BY15" s="55">
        <f>$BY14+$BW15</f>
        <v/>
      </c>
      <c r="BZ15" s="55">
        <f>SUMIFS(tblPlant[Milled_t],tblPlant[Date],$A15)</f>
        <v/>
      </c>
      <c r="CA15" s="55">
        <f>IF($B15=$B14,$CA14,0)+$BZ15</f>
        <v/>
      </c>
      <c r="CB15" s="55">
        <f>$CB14+$BZ15</f>
        <v/>
      </c>
      <c r="CC15" s="55">
        <f>SUMIFS(tblPlant[Feed_oz],tblPlant[Date],$A15)</f>
        <v/>
      </c>
      <c r="CD15" s="55">
        <f>IF($B15=$B14,$CD14,0)+$CC15</f>
        <v/>
      </c>
      <c r="CE15" s="55">
        <f>$CE14+$CC15</f>
        <v/>
      </c>
      <c r="CF15" s="55">
        <f>SUMIFS(tblPlant[Tails_oz],tblPlant[Date],$A15)</f>
        <v/>
      </c>
      <c r="CG15" s="55">
        <f>IF($B15=$B14,$CG14,0)+$CF15</f>
        <v/>
      </c>
      <c r="CH15" s="55">
        <f>$CH14+$CF15</f>
        <v/>
      </c>
      <c r="CI15" s="55">
        <f>SUMIFS(tblPlant[Recovered_oz],tblPlant[Date],$A15)</f>
        <v/>
      </c>
      <c r="CJ15" s="55">
        <f>IF($B15=$B14,$CJ14,0)+$CI15</f>
        <v/>
      </c>
      <c r="CK15" s="55">
        <f>$CK14+$CI15</f>
        <v/>
      </c>
      <c r="CL15" s="56">
        <f>IFERROR(IF(($BZ15)&gt;0,($CC15*cfg_TroyOz)/($BZ15),""),"")</f>
        <v/>
      </c>
      <c r="CM15" s="56">
        <f>IFERROR(IF(($CA15)&gt;0,($CD15*cfg_TroyOz)/($CA15),""),"")</f>
        <v/>
      </c>
      <c r="CN15" s="56">
        <f>IFERROR(IF(($CB15)&gt;0,($CE15*cfg_TroyOz)/($CB15),""),"")</f>
        <v/>
      </c>
      <c r="CO15" s="56">
        <f>IFERROR(IF(($BZ15)&gt;0,($CF15*cfg_TroyOz)/($BZ15),""),"")</f>
        <v/>
      </c>
      <c r="CP15" s="56">
        <f>IFERROR(IF(($CA15)&gt;0,($CG15*cfg_TroyOz)/($CA15),""),"")</f>
        <v/>
      </c>
      <c r="CQ15" s="56">
        <f>IFERROR(IF(($CB15)&gt;0,($CH15*cfg_TroyOz)/($CB15),""),"")</f>
        <v/>
      </c>
      <c r="CR15" s="67">
        <f>IFERROR(IF(($CC15)&gt;0,($CI15)/($CC15),""),"")</f>
        <v/>
      </c>
      <c r="CS15" s="67">
        <f>IFERROR(IF(($CD15)&gt;0,($CJ15)/($CD15),""),"")</f>
        <v/>
      </c>
      <c r="CT15" s="67">
        <f>IFERROR(IF(($CE15)&gt;0,($CK15)/($CE15),""),"")</f>
        <v/>
      </c>
      <c r="CU15" s="55">
        <f>SUMIFS(tblPlant[Gravity_Gold_oz],tblPlant[Date],$A15)</f>
        <v/>
      </c>
      <c r="CV15" s="55">
        <f>IF($B15=$B14,$CV14,0)+$CU15</f>
        <v/>
      </c>
      <c r="CW15" s="55">
        <f>$CW14+$CU15</f>
        <v/>
      </c>
      <c r="CX15" s="55">
        <f>SUMIFS(tblPlant[Gold_Poured_oz],tblPlant[Date],$A15)</f>
        <v/>
      </c>
      <c r="CY15" s="55">
        <f>IF($B15=$B14,$CY14,0)+$CX15</f>
        <v/>
      </c>
      <c r="CZ15" s="55">
        <f>$CZ14+$CX15</f>
        <v/>
      </c>
      <c r="DA15" s="57">
        <f>SUMIFS(tblPlant[Mill_Run_h],tblPlant[Date],$A15)</f>
        <v/>
      </c>
      <c r="DB15" s="57">
        <f>IF($B15=$B14,$DB14,0)+$DA15</f>
        <v/>
      </c>
      <c r="DC15" s="57">
        <f>$DC14+$DA15</f>
        <v/>
      </c>
      <c r="DD15" s="57">
        <f>SUMIFS(tblPlant[Mill_Planned_Maint_h],tblPlant[Date],$A15)</f>
        <v/>
      </c>
      <c r="DE15" s="57">
        <f>IF($B15=$B14,$DE14,0)+$DD15</f>
        <v/>
      </c>
      <c r="DF15" s="57">
        <f>$DF14+$DD15</f>
        <v/>
      </c>
      <c r="DG15" s="57">
        <f>SUMIFS(tblPlant[Mill_Unplanned_Down_h],tblPlant[Date],$A15)</f>
        <v/>
      </c>
      <c r="DH15" s="57">
        <f>IF($B15=$B14,$DH14,0)+$DG15</f>
        <v/>
      </c>
      <c r="DI15" s="57">
        <f>$DI14+$DG15</f>
        <v/>
      </c>
      <c r="DJ15" s="57">
        <f>COUNTIFS(tblPlant[Date],$A15,tblPlant[Mill_Run_h],"&lt;&gt;")*24</f>
        <v/>
      </c>
      <c r="DK15" s="57">
        <f>IF($B15=$B14,$DK14,0)+$DJ15</f>
        <v/>
      </c>
      <c r="DL15" s="57">
        <f>$DL14+$DJ15</f>
        <v/>
      </c>
      <c r="DM15" s="57">
        <f>SUMIFS(tblPlant[Crusher_Run_h],tblPlant[Date],$A15)</f>
        <v/>
      </c>
      <c r="DN15" s="57">
        <f>IF($B15=$B14,$DN14,0)+$DM15</f>
        <v/>
      </c>
      <c r="DO15" s="57">
        <f>$DO14+$DM15</f>
        <v/>
      </c>
      <c r="DP15" s="55">
        <f>IFERROR(IF(($DA15)&gt;0,($BZ15)/($DA15),""),"")</f>
        <v/>
      </c>
      <c r="DQ15" s="55">
        <f>IFERROR(IF(($DB15)&gt;0,($CA15)/($DB15),""),"")</f>
        <v/>
      </c>
      <c r="DR15" s="55">
        <f>IFERROR(IF(($DC15)&gt;0,($CB15)/($DC15),""),"")</f>
        <v/>
      </c>
      <c r="DS15" s="67">
        <f>IFERROR(IF(($DJ15)&gt;0,($DJ15-$DD15-$DG15)/($DJ15),""),"")</f>
        <v/>
      </c>
      <c r="DT15" s="67">
        <f>IFERROR(IF(($DK15)&gt;0,($DK15-$DE15-$DH15)/($DK15),""),"")</f>
        <v/>
      </c>
      <c r="DU15" s="67">
        <f>IFERROR(IF(($DL15)&gt;0,($DL15-$DF15-$DI15)/($DL15),""),"")</f>
        <v/>
      </c>
      <c r="DV15" s="67">
        <f>IFERROR(IF(($DJ15-$DD15-$DG15)&gt;0,($DA15)/($DJ15-$DD15-$DG15),""),"")</f>
        <v/>
      </c>
      <c r="DW15" s="67">
        <f>IFERROR(IF(($DK15-$DE15-$DH15)&gt;0,($DB15)/($DK15-$DE15-$DH15),""),"")</f>
        <v/>
      </c>
      <c r="DX15" s="67">
        <f>IFERROR(IF(($DL15-$DF15-$DI15)&gt;0,($DC15)/($DL15-$DF15-$DI15),""),"")</f>
        <v/>
      </c>
      <c r="DY15" s="55">
        <f>SUMIFS(tblPlant[Cyanide_kg],tblPlant[Date],$A15)</f>
        <v/>
      </c>
      <c r="DZ15" s="55">
        <f>IF($B15=$B14,$DZ14,0)+$DY15</f>
        <v/>
      </c>
      <c r="EA15" s="55">
        <f>$EA14+$DY15</f>
        <v/>
      </c>
      <c r="EB15" s="55">
        <f>SUMIFS(tblPlant[Lime_kg],tblPlant[Date],$A15)</f>
        <v/>
      </c>
      <c r="EC15" s="55">
        <f>IF($B15=$B14,$EC14,0)+$EB15</f>
        <v/>
      </c>
      <c r="ED15" s="55">
        <f>$ED14+$EB15</f>
        <v/>
      </c>
      <c r="EE15" s="55">
        <f>SUMIFS(tblPlant[Grinding_Media_kg],tblPlant[Date],$A15)</f>
        <v/>
      </c>
      <c r="EF15" s="55">
        <f>IF($B15=$B14,$EF14,0)+$EE15</f>
        <v/>
      </c>
      <c r="EG15" s="55">
        <f>$EG14+$EE15</f>
        <v/>
      </c>
      <c r="EH15" s="55">
        <f>SUMIFS(tblPlant[Power_kWh],tblPlant[Date],$A15)</f>
        <v/>
      </c>
      <c r="EI15" s="55">
        <f>IF($B15=$B14,$EI14,0)+$EH15</f>
        <v/>
      </c>
      <c r="EJ15" s="55">
        <f>$EJ14+$EH15</f>
        <v/>
      </c>
      <c r="EK15" s="55">
        <f>SUMIFS(tblPlant[Raw_Water_m3],tblPlant[Date],$A15)</f>
        <v/>
      </c>
      <c r="EL15" s="55">
        <f>IF($B15=$B14,$EL14,0)+$EK15</f>
        <v/>
      </c>
      <c r="EM15" s="55">
        <f>$EM14+$EK15</f>
        <v/>
      </c>
      <c r="EN15" s="56">
        <f>IFERROR(IF(($BZ15)&gt;0,($DY15)/($BZ15),""),"")</f>
        <v/>
      </c>
      <c r="EO15" s="56">
        <f>IFERROR(IF(($CA15)&gt;0,($DZ15)/($CA15),""),"")</f>
        <v/>
      </c>
      <c r="EP15" s="56">
        <f>IFERROR(IF(($CB15)&gt;0,($EA15)/($CB15),""),"")</f>
        <v/>
      </c>
      <c r="EQ15" s="56">
        <f>IFERROR(IF(($BZ15)&gt;0,($EB15)/($BZ15),""),"")</f>
        <v/>
      </c>
      <c r="ER15" s="56">
        <f>IFERROR(IF(($CA15)&gt;0,($EC15)/($CA15),""),"")</f>
        <v/>
      </c>
      <c r="ES15" s="56">
        <f>IFERROR(IF(($CB15)&gt;0,($ED15)/($CB15),""),"")</f>
        <v/>
      </c>
      <c r="ET15" s="56">
        <f>IFERROR(IF(($BZ15)&gt;0,($EE15)/($BZ15),""),"")</f>
        <v/>
      </c>
      <c r="EU15" s="56">
        <f>IFERROR(IF(($CA15)&gt;0,($EF15)/($CA15),""),"")</f>
        <v/>
      </c>
      <c r="EV15" s="56">
        <f>IFERROR(IF(($CB15)&gt;0,($EG15)/($CB15),""),"")</f>
        <v/>
      </c>
      <c r="EW15" s="76">
        <f>IFERROR(IF(($BZ15)&gt;0,($EH15)/($BZ15),""),"")</f>
        <v/>
      </c>
      <c r="EX15" s="76">
        <f>IFERROR(IF(($CA15)&gt;0,($EI15)/($CA15),""),"")</f>
        <v/>
      </c>
      <c r="EY15" s="76">
        <f>IFERROR(IF(($CB15)&gt;0,($EJ15)/($CB15),""),"")</f>
        <v/>
      </c>
      <c r="EZ15" s="56">
        <f>IFERROR(IF(($BZ15)&gt;0,($EK15)/($BZ15),""),"")</f>
        <v/>
      </c>
      <c r="FA15" s="56">
        <f>IFERROR(IF(($CA15)&gt;0,($EL15)/($CA15),""),"")</f>
        <v/>
      </c>
      <c r="FB15" s="56">
        <f>IFERROR(IF(($CB15)&gt;0,($EM15)/($CB15),""),"")</f>
        <v/>
      </c>
      <c r="FC15" s="55">
        <f>IF(SUMIFS(tblPlant[GIC_oz],tblPlant[Date],$A15)&gt;0,SUMIFS(tblPlant[GIC_oz],tblPlant[Date],$A15),"")</f>
        <v/>
      </c>
      <c r="FD15" s="55">
        <f>SUMIFS(tblGold[Gold_oz],tblGold[Date],$A15,tblGold[Type],"Shipment")</f>
        <v/>
      </c>
      <c r="FE15" s="55">
        <f>IF($B15=$B14,$FE14,0)+$FD15</f>
        <v/>
      </c>
      <c r="FF15" s="55">
        <f>$FF14+$FD15</f>
        <v/>
      </c>
      <c r="FG15" s="55">
        <f>SUMIFS(tblGold[Gold_oz],tblGold[Date],$A15,tblGold[Type],"Sale")</f>
        <v/>
      </c>
      <c r="FH15" s="55">
        <f>IF($B15=$B14,$FH14,0)+$FG15</f>
        <v/>
      </c>
      <c r="FI15" s="55">
        <f>$FI14+$FG15</f>
        <v/>
      </c>
      <c r="FJ15" s="55">
        <f>SUMIFS(tblGold[Dore_kg],tblGold[Date],$A15,tblGold[Type],"Shipment")</f>
        <v/>
      </c>
      <c r="FK15" s="55">
        <f>IF($B15=$B14,$FK14,0)+$FJ15</f>
        <v/>
      </c>
      <c r="FL15" s="55">
        <f>$FL14+$FJ15</f>
        <v/>
      </c>
      <c r="FM15" s="57">
        <f>SUMIFS(tblSafety[Hours_Total],tblSafety[Date],$A15)</f>
        <v/>
      </c>
      <c r="FN15" s="57">
        <f>IF($B15=$B14,$FN14,0)+$FM15</f>
        <v/>
      </c>
      <c r="FO15" s="57">
        <f>$FO14+$FM15</f>
        <v/>
      </c>
      <c r="FP15" s="62">
        <f>SUMIFS(tblSafety[Fatality],tblSafety[Date],$A15)</f>
        <v/>
      </c>
      <c r="FQ15" s="62">
        <f>IF($B15=$B14,$FQ14,0)+$FP15</f>
        <v/>
      </c>
      <c r="FR15" s="62">
        <f>$FR14+$FP15</f>
        <v/>
      </c>
      <c r="FS15" s="62">
        <f>SUMIFS(tblSafety[LTI],tblSafety[Date],$A15)</f>
        <v/>
      </c>
      <c r="FT15" s="62">
        <f>IF($B15=$B14,$FT14,0)+$FS15</f>
        <v/>
      </c>
      <c r="FU15" s="62">
        <f>$FU14+$FS15</f>
        <v/>
      </c>
      <c r="FV15" s="62">
        <f>SUMIFS(tblSafety[RWI],tblSafety[Date],$A15)</f>
        <v/>
      </c>
      <c r="FW15" s="62">
        <f>IF($B15=$B14,$FW14,0)+$FV15</f>
        <v/>
      </c>
      <c r="FX15" s="62">
        <f>$FX14+$FV15</f>
        <v/>
      </c>
      <c r="FY15" s="62">
        <f>SUMIFS(tblSafety[MTI],tblSafety[Date],$A15)</f>
        <v/>
      </c>
      <c r="FZ15" s="62">
        <f>IF($B15=$B14,$FZ14,0)+$FY15</f>
        <v/>
      </c>
      <c r="GA15" s="62">
        <f>$GA14+$FY15</f>
        <v/>
      </c>
      <c r="GB15" s="62">
        <f>SUMIFS(tblSafety[FAI],tblSafety[Date],$A15)</f>
        <v/>
      </c>
      <c r="GC15" s="62">
        <f>IF($B15=$B14,$GC14,0)+$GB15</f>
        <v/>
      </c>
      <c r="GD15" s="62">
        <f>$GD14+$GB15</f>
        <v/>
      </c>
      <c r="GE15" s="62">
        <f>SUMIFS(tblSafety[Recordables],tblSafety[Date],$A15)</f>
        <v/>
      </c>
      <c r="GF15" s="62">
        <f>IF($B15=$B14,$GF14,0)+$GE15</f>
        <v/>
      </c>
      <c r="GG15" s="62">
        <f>$GG14+$GE15</f>
        <v/>
      </c>
      <c r="GH15" s="62">
        <f>SUMIFS(tblSafety[Near_Miss],tblSafety[Date],$A15)</f>
        <v/>
      </c>
      <c r="GI15" s="62">
        <f>IF($B15=$B14,$GI14,0)+$GH15</f>
        <v/>
      </c>
      <c r="GJ15" s="62">
        <f>$GJ14+$GH15</f>
        <v/>
      </c>
      <c r="GK15" s="62">
        <f>SUMIFS(tblSafety[Hazard_Reports],tblSafety[Date],$A15)</f>
        <v/>
      </c>
      <c r="GL15" s="62">
        <f>IF($B15=$B14,$GL14,0)+$GK15</f>
        <v/>
      </c>
      <c r="GM15" s="62">
        <f>$GM14+$GK15</f>
        <v/>
      </c>
      <c r="GN15" s="62">
        <f>SUMIFS(tblSafety[HPI],tblSafety[Date],$A15)</f>
        <v/>
      </c>
      <c r="GO15" s="62">
        <f>IF($B15=$B14,$GO14,0)+$GN15</f>
        <v/>
      </c>
      <c r="GP15" s="62">
        <f>$GP14+$GN15</f>
        <v/>
      </c>
      <c r="GQ15" s="62">
        <f>SUMIFS(tblSafety[Env_Incidents],tblSafety[Date],$A15)</f>
        <v/>
      </c>
      <c r="GR15" s="62">
        <f>IF($B15=$B14,$GR14,0)+$GQ15</f>
        <v/>
      </c>
      <c r="GS15" s="62">
        <f>$GS14+$GQ15</f>
        <v/>
      </c>
      <c r="GT15" s="62">
        <f>SUMIFS(tblSafety[Community_Incidents],tblSafety[Date],$A15)</f>
        <v/>
      </c>
      <c r="GU15" s="62">
        <f>IF($B15=$B14,$GU14,0)+$GT15</f>
        <v/>
      </c>
      <c r="GV15" s="62">
        <f>$GV14+$GT15</f>
        <v/>
      </c>
      <c r="GW15" s="62">
        <f>SUMIFS(tblSafety[Vehicle_Incidents],tblSafety[Date],$A15)</f>
        <v/>
      </c>
      <c r="GX15" s="62">
        <f>IF($B15=$B14,$GX14,0)+$GW15</f>
        <v/>
      </c>
      <c r="GY15" s="62">
        <f>$GY14+$GW15</f>
        <v/>
      </c>
      <c r="GZ15" s="62">
        <f>SUMIFS(tblSafety[Toolbox_Talks],tblSafety[Date],$A15)</f>
        <v/>
      </c>
      <c r="HA15" s="62">
        <f>IF($B15=$B14,$HA14,0)+$GZ15</f>
        <v/>
      </c>
      <c r="HB15" s="62">
        <f>$HB14+$GZ15</f>
        <v/>
      </c>
      <c r="HC15" s="62">
        <f>SUMIFS(tblSafety[Inspections],tblSafety[Date],$A15)</f>
        <v/>
      </c>
      <c r="HD15" s="62">
        <f>IF($B15=$B14,$HD14,0)+$HC15</f>
        <v/>
      </c>
      <c r="HE15" s="62">
        <f>$HE14+$HC15</f>
        <v/>
      </c>
      <c r="HF15" s="56">
        <f>IFERROR((SUMIFS(tblSafety[Recordables],tblSafety[Date],"&gt;="&amp;EDATE($E15,-12),tblSafety[Date],"&lt;="&amp;$A15)+SUMIFS(tblSafetyHistory[Recordables],tblSafetyHistory[Month],"&gt;="&amp;EDATE($E15,-12),tblSafetyHistory[Month],"&lt;"&amp;cfg_YearStart))/(SUMIFS(tblSafety[Hours_Total],tblSafety[Date],"&gt;="&amp;EDATE($E15,-12),tblSafety[Date],"&lt;="&amp;$A15)+SUMIFS(tblSafetyHistory[Hours_Total],tblSafetyHistory[Month],"&gt;="&amp;EDATE($E15,-12),tblSafetyHistory[Month],"&lt;"&amp;cfg_YearStart))*1000000,"")</f>
        <v/>
      </c>
      <c r="HG15" s="56">
        <f>IFERROR((SUMIFS(tblSafety[LTI],tblSafety[Date],"&gt;="&amp;EDATE($E15,-12),tblSafety[Date],"&lt;="&amp;$A15)+SUMIFS(tblSafetyHistory[LTI],tblSafetyHistory[Month],"&gt;="&amp;EDATE($E15,-12),tblSafetyHistory[Month],"&lt;"&amp;cfg_YearStart))/(SUMIFS(tblSafety[Hours_Total],tblSafety[Date],"&gt;="&amp;EDATE($E15,-12),tblSafety[Date],"&lt;="&amp;$A15)+SUMIFS(tblSafetyHistory[Hours_Total],tblSafetyHistory[Month],"&gt;="&amp;EDATE($E15,-12),tblSafetyHistory[Month],"&lt;"&amp;cfg_YearStart))*1000000,"")</f>
        <v/>
      </c>
      <c r="HH15" s="62">
        <f>IF(MAX(N(cfg_PriorLTIDate),_xlfn.MAXIFS(tblSafety[Date],tblSafety[LTI],"&gt;0",tblSafety[Date],"&lt;="&amp;$A15))=0,"",$A15-MAX(N(cfg_PriorLTIDate),_xlfn.MAXIFS(tblSafety[Date],tblSafety[LTI],"&gt;0",tblSafety[Date],"&lt;="&amp;$A15)))</f>
        <v/>
      </c>
      <c r="HI15" s="55">
        <f>SUMIFS(tblBudget[Ore_Mined_t],tblBudget[Month],$E15)</f>
        <v/>
      </c>
      <c r="HJ15" s="55">
        <f>$HI15*$C15/$D15</f>
        <v/>
      </c>
      <c r="HK15" s="55">
        <f>SUMIFS(tblBudget[Ore_Mined_t],tblBudget[Month],"&lt;"&amp;$E15)+$HJ15</f>
        <v/>
      </c>
      <c r="HL15" s="55">
        <f>SUMIFS(tblBudget[Ore_oz],tblBudget[Month],$E15)</f>
        <v/>
      </c>
      <c r="HM15" s="55">
        <f>$HL15*$C15/$D15</f>
        <v/>
      </c>
      <c r="HN15" s="55">
        <f>SUMIFS(tblBudget[Ore_oz],tblBudget[Month],"&lt;"&amp;$E15)+$HM15</f>
        <v/>
      </c>
      <c r="HO15" s="56">
        <f>IFERROR(IF(($HI15)&gt;0,($HL15*cfg_TroyOz)/($HI15),""),"")</f>
        <v/>
      </c>
      <c r="HP15" s="56">
        <f>IFERROR(IF(($HJ15)&gt;0,($HM15*cfg_TroyOz)/($HJ15),""),"")</f>
        <v/>
      </c>
      <c r="HQ15" s="56">
        <f>IFERROR(IF(($HK15)&gt;0,($HN15*cfg_TroyOz)/($HK15),""),"")</f>
        <v/>
      </c>
      <c r="HR15" s="55">
        <f>SUMIFS(tblBudget[Waste_t],tblBudget[Month],$E15)</f>
        <v/>
      </c>
      <c r="HS15" s="55">
        <f>$HR15*$C15/$D15</f>
        <v/>
      </c>
      <c r="HT15" s="55">
        <f>SUMIFS(tblBudget[Waste_t],tblBudget[Month],"&lt;"&amp;$E15)+$HS15</f>
        <v/>
      </c>
      <c r="HU15" s="55">
        <f>SUMIFS(tblBudget[TMM_t],tblBudget[Month],$E15)</f>
        <v/>
      </c>
      <c r="HV15" s="55">
        <f>$HU15*$C15/$D15</f>
        <v/>
      </c>
      <c r="HW15" s="55">
        <f>SUMIFS(tblBudget[TMM_t],tblBudget[Month],"&lt;"&amp;$E15)+$HV15</f>
        <v/>
      </c>
      <c r="HX15" s="56">
        <f>IFERROR(IF(($HI15)&gt;0,($HR15)/($HI15),""),"")</f>
        <v/>
      </c>
      <c r="HY15" s="56">
        <f>IFERROR(IF(($HJ15)&gt;0,($HS15)/($HJ15),""),"")</f>
        <v/>
      </c>
      <c r="HZ15" s="56">
        <f>IFERROR(IF(($HK15)&gt;0,($HT15)/($HK15),""),"")</f>
        <v/>
      </c>
      <c r="IA15" s="55">
        <f>SUMIFS(tblBudget[Drill_m],tblBudget[Month],$E15)</f>
        <v/>
      </c>
      <c r="IB15" s="55">
        <f>$IA15*$C15/$D15</f>
        <v/>
      </c>
      <c r="IC15" s="55">
        <f>SUMIFS(tblBudget[Drill_m],tblBudget[Month],"&lt;"&amp;$E15)+$IB15</f>
        <v/>
      </c>
      <c r="ID15" s="55">
        <f>SUMIFS(tblBudget[Diesel_L],tblBudget[Month],$E15)</f>
        <v/>
      </c>
      <c r="IE15" s="55">
        <f>$ID15*$C15/$D15</f>
        <v/>
      </c>
      <c r="IF15" s="55">
        <f>SUMIFS(tblBudget[Diesel_L],tblBudget[Month],"&lt;"&amp;$E15)+$IE15</f>
        <v/>
      </c>
      <c r="IG15" s="55">
        <f>SUMIFS(tblBudget[Milled_t],tblBudget[Month],$E15)</f>
        <v/>
      </c>
      <c r="IH15" s="55">
        <f>$IG15*$C15/$D15</f>
        <v/>
      </c>
      <c r="II15" s="55">
        <f>SUMIFS(tblBudget[Milled_t],tblBudget[Month],"&lt;"&amp;$E15)+$IH15</f>
        <v/>
      </c>
      <c r="IJ15" s="55">
        <f>SUMIFS(tblBudget[Feed_oz],tblBudget[Month],$E15)</f>
        <v/>
      </c>
      <c r="IK15" s="55">
        <f>$IJ15*$C15/$D15</f>
        <v/>
      </c>
      <c r="IL15" s="55">
        <f>SUMIFS(tblBudget[Feed_oz],tblBudget[Month],"&lt;"&amp;$E15)+$IK15</f>
        <v/>
      </c>
      <c r="IM15" s="55">
        <f>SUMIFS(tblBudget[Recovered_oz],tblBudget[Month],$E15)</f>
        <v/>
      </c>
      <c r="IN15" s="55">
        <f>$IM15*$C15/$D15</f>
        <v/>
      </c>
      <c r="IO15" s="55">
        <f>SUMIFS(tblBudget[Recovered_oz],tblBudget[Month],"&lt;"&amp;$E15)+$IN15</f>
        <v/>
      </c>
      <c r="IP15" s="56">
        <f>IFERROR(IF(($IG15)&gt;0,($IJ15*cfg_TroyOz)/($IG15),""),"")</f>
        <v/>
      </c>
      <c r="IQ15" s="56">
        <f>IFERROR(IF(($IH15)&gt;0,($IK15*cfg_TroyOz)/($IH15),""),"")</f>
        <v/>
      </c>
      <c r="IR15" s="56">
        <f>IFERROR(IF(($II15)&gt;0,($IL15*cfg_TroyOz)/($II15),""),"")</f>
        <v/>
      </c>
      <c r="IS15" s="67">
        <f>IFERROR(IF(($IJ15)&gt;0,($IM15)/($IJ15),""),"")</f>
        <v/>
      </c>
      <c r="IT15" s="67">
        <f>IFERROR(IF(($IK15)&gt;0,($IN15)/($IK15),""),"")</f>
        <v/>
      </c>
      <c r="IU15" s="67">
        <f>IFERROR(IF(($IL15)&gt;0,($IO15)/($IL15),""),"")</f>
        <v/>
      </c>
      <c r="IV15" s="55">
        <f>SUMIFS(tblBudget[Gold_Poured_oz],tblBudget[Month],$E15)</f>
        <v/>
      </c>
      <c r="IW15" s="55">
        <f>$IV15*$C15/$D15</f>
        <v/>
      </c>
      <c r="IX15" s="55">
        <f>SUMIFS(tblBudget[Gold_Poured_oz],tblBudget[Month],"&lt;"&amp;$E15)+$IW15</f>
        <v/>
      </c>
      <c r="IY15" s="57">
        <f>SUMIFS(tblBudget[Hours_Worked],tblBudget[Month],$E15)</f>
        <v/>
      </c>
      <c r="IZ15" s="57">
        <f>$IY15*$C15/$D15</f>
        <v/>
      </c>
      <c r="JA15" s="57">
        <f>SUMIFS(tblBudget[Hours_Worked],tblBudget[Month],"&lt;"&amp;$E15)+$IZ15</f>
        <v/>
      </c>
    </row>
    <row r="16">
      <c r="A16" s="54" t="n">
        <v>46037</v>
      </c>
      <c r="B16">
        <f>MONTH($A16)</f>
        <v/>
      </c>
      <c r="C16">
        <f>DAY($A16)</f>
        <v/>
      </c>
      <c r="D16">
        <f>DAY(EOMONTH($A16,0))</f>
        <v/>
      </c>
      <c r="E16" s="54">
        <f>DATE(YEAR($A16),MONTH($A16),1)</f>
        <v/>
      </c>
      <c r="F16" s="55">
        <f>SUMIFS(tblMovement[Tonnes_t],tblMovement[Date],$A16,tblMovement[Is_Ore],1,tblMovement[Source_Type],"Pit")</f>
        <v/>
      </c>
      <c r="G16" s="55">
        <f>IF($B16=$B15,$G15,0)+$F16</f>
        <v/>
      </c>
      <c r="H16" s="55">
        <f>$H15+$F16</f>
        <v/>
      </c>
      <c r="I16" s="55">
        <f>SUMIFS(tblMovement[Ore_oz],tblMovement[Date],$A16,tblMovement[Source_Type],"Pit")</f>
        <v/>
      </c>
      <c r="J16" s="55">
        <f>IF($B16=$B15,$J15,0)+$I16</f>
        <v/>
      </c>
      <c r="K16" s="55">
        <f>$K15+$I16</f>
        <v/>
      </c>
      <c r="L16" s="56">
        <f>IFERROR(IF(($F16)&gt;0,($I16*cfg_TroyOz)/($F16),""),"")</f>
        <v/>
      </c>
      <c r="M16" s="56">
        <f>IFERROR(IF(($G16)&gt;0,($J16*cfg_TroyOz)/($G16),""),"")</f>
        <v/>
      </c>
      <c r="N16" s="56">
        <f>IFERROR(IF(($H16)&gt;0,($K16*cfg_TroyOz)/($H16),""),"")</f>
        <v/>
      </c>
      <c r="O16" s="55">
        <f>SUMIFS(tblMovement[Tonnes_t],tblMovement[Date],$A16,tblMovement[Is_Ore],0,tblMovement[Source_Type],"Pit")</f>
        <v/>
      </c>
      <c r="P16" s="55">
        <f>IF($B16=$B15,$P15,0)+$O16</f>
        <v/>
      </c>
      <c r="Q16" s="55">
        <f>$Q15+$O16</f>
        <v/>
      </c>
      <c r="R16" s="55">
        <f>$F16+$O16</f>
        <v/>
      </c>
      <c r="S16" s="55">
        <f>IF($B16=$B15,$S15,0)+$R16</f>
        <v/>
      </c>
      <c r="T16" s="55">
        <f>$T15+$R16</f>
        <v/>
      </c>
      <c r="U16" s="56">
        <f>IFERROR(IF(($F16)&gt;0,($O16)/($F16),""),"")</f>
        <v/>
      </c>
      <c r="V16" s="56">
        <f>IFERROR(IF(($G16)&gt;0,($P16)/($G16),""),"")</f>
        <v/>
      </c>
      <c r="W16" s="56">
        <f>IFERROR(IF(($H16)&gt;0,($Q16)/($H16),""),"")</f>
        <v/>
      </c>
      <c r="X16" s="55">
        <f>SUMIFS(tblMovement[Tonnes_t],tblMovement[Date],$A16,tblMovement[Source_Type],"Stockpile")</f>
        <v/>
      </c>
      <c r="Y16" s="55">
        <f>IF($B16=$B15,$Y15,0)+$X16</f>
        <v/>
      </c>
      <c r="Z16" s="55">
        <f>$Z15+$X16</f>
        <v/>
      </c>
      <c r="AA16" s="55">
        <f>SUMIFS(tblMiningDaily[Drill_m],tblMiningDaily[Date],$A16)</f>
        <v/>
      </c>
      <c r="AB16" s="55">
        <f>IF($B16=$B15,$AB15,0)+$AA16</f>
        <v/>
      </c>
      <c r="AC16" s="55">
        <f>$AC15+$AA16</f>
        <v/>
      </c>
      <c r="AD16" s="55">
        <f>SUMIFS(tblMiningDaily[Blast_t],tblMiningDaily[Date],$A16)</f>
        <v/>
      </c>
      <c r="AE16" s="55">
        <f>IF($B16=$B15,$AE15,0)+$AD16</f>
        <v/>
      </c>
      <c r="AF16" s="55">
        <f>$AF15+$AD16</f>
        <v/>
      </c>
      <c r="AG16" s="55">
        <f>SUMIFS(tblMiningDaily[Explosives_kg],tblMiningDaily[Date],$A16)</f>
        <v/>
      </c>
      <c r="AH16" s="55">
        <f>IF($B16=$B15,$AH15,0)+$AG16</f>
        <v/>
      </c>
      <c r="AI16" s="55">
        <f>$AI15+$AG16</f>
        <v/>
      </c>
      <c r="AJ16" s="56">
        <f>IFERROR(IF(($AD16)&gt;0,($AG16)/($AD16),""),"")</f>
        <v/>
      </c>
      <c r="AK16" s="56">
        <f>IFERROR(IF(($AE16)&gt;0,($AH16)/($AE16),""),"")</f>
        <v/>
      </c>
      <c r="AL16" s="56">
        <f>IFERROR(IF(($AF16)&gt;0,($AI16)/($AF16),""),"")</f>
        <v/>
      </c>
      <c r="AM16" s="55">
        <f>SUMIFS(tblMiningDaily[Diesel_L],tblMiningDaily[Date],$A16)</f>
        <v/>
      </c>
      <c r="AN16" s="55">
        <f>IF($B16=$B15,$AN15,0)+$AM16</f>
        <v/>
      </c>
      <c r="AO16" s="55">
        <f>$AO15+$AM16</f>
        <v/>
      </c>
      <c r="AP16" s="55">
        <f>SUMIFS(tblMiningDaily[Dewatering_m3],tblMiningDaily[Date],$A16)</f>
        <v/>
      </c>
      <c r="AQ16" s="55">
        <f>IF($B16=$B15,$AQ15,0)+$AP16</f>
        <v/>
      </c>
      <c r="AR16" s="55">
        <f>$AR15+$AP16</f>
        <v/>
      </c>
      <c r="AS16" s="57">
        <f>SUMIFS(tblFleet[Calendar_h],tblFleet[Date],$A16,tblFleet[Equipment_Class],"Excavator")</f>
        <v/>
      </c>
      <c r="AT16" s="57">
        <f>IF($B16=$B15,$AT15,0)+$AS16</f>
        <v/>
      </c>
      <c r="AU16" s="57">
        <f>$AU15+$AS16</f>
        <v/>
      </c>
      <c r="AV16" s="57">
        <f>SUMIFS(tblFleet[Available_h],tblFleet[Date],$A16,tblFleet[Equipment_Class],"Excavator")</f>
        <v/>
      </c>
      <c r="AW16" s="57">
        <f>IF($B16=$B15,$AW15,0)+$AV16</f>
        <v/>
      </c>
      <c r="AX16" s="57">
        <f>$AX15+$AV16</f>
        <v/>
      </c>
      <c r="AY16" s="57">
        <f>SUMIFS(tblFleet[Operating_h],tblFleet[Date],$A16,tblFleet[Equipment_Class],"Excavator")</f>
        <v/>
      </c>
      <c r="AZ16" s="57">
        <f>IF($B16=$B15,$AZ15,0)+$AY16</f>
        <v/>
      </c>
      <c r="BA16" s="57">
        <f>$BA15+$AY16</f>
        <v/>
      </c>
      <c r="BB16" s="67">
        <f>IFERROR(IF(($AS16)&gt;0,($AV16)/($AS16),""),"")</f>
        <v/>
      </c>
      <c r="BC16" s="67">
        <f>IFERROR(IF(($AT16)&gt;0,($AW16)/($AT16),""),"")</f>
        <v/>
      </c>
      <c r="BD16" s="67">
        <f>IFERROR(IF(($AU16)&gt;0,($AX16)/($AU16),""),"")</f>
        <v/>
      </c>
      <c r="BE16" s="67">
        <f>IFERROR(IF(($AV16)&gt;0,($AY16)/($AV16),""),"")</f>
        <v/>
      </c>
      <c r="BF16" s="67">
        <f>IFERROR(IF(($AW16)&gt;0,($AZ16)/($AW16),""),"")</f>
        <v/>
      </c>
      <c r="BG16" s="67">
        <f>IFERROR(IF(($AX16)&gt;0,($BA16)/($AX16),""),"")</f>
        <v/>
      </c>
      <c r="BH16" s="57">
        <f>SUMIFS(tblFleet[Calendar_h],tblFleet[Date],$A16,tblFleet[Equipment_Class],"Haul Truck")</f>
        <v/>
      </c>
      <c r="BI16" s="57">
        <f>IF($B16=$B15,$BI15,0)+$BH16</f>
        <v/>
      </c>
      <c r="BJ16" s="57">
        <f>$BJ15+$BH16</f>
        <v/>
      </c>
      <c r="BK16" s="57">
        <f>SUMIFS(tblFleet[Available_h],tblFleet[Date],$A16,tblFleet[Equipment_Class],"Haul Truck")</f>
        <v/>
      </c>
      <c r="BL16" s="57">
        <f>IF($B16=$B15,$BL15,0)+$BK16</f>
        <v/>
      </c>
      <c r="BM16" s="57">
        <f>$BM15+$BK16</f>
        <v/>
      </c>
      <c r="BN16" s="57">
        <f>SUMIFS(tblFleet[Operating_h],tblFleet[Date],$A16,tblFleet[Equipment_Class],"Haul Truck")</f>
        <v/>
      </c>
      <c r="BO16" s="57">
        <f>IF($B16=$B15,$BO15,0)+$BN16</f>
        <v/>
      </c>
      <c r="BP16" s="57">
        <f>$BP15+$BN16</f>
        <v/>
      </c>
      <c r="BQ16" s="67">
        <f>IFERROR(IF(($BH16)&gt;0,($BK16)/($BH16),""),"")</f>
        <v/>
      </c>
      <c r="BR16" s="67">
        <f>IFERROR(IF(($BI16)&gt;0,($BL16)/($BI16),""),"")</f>
        <v/>
      </c>
      <c r="BS16" s="67">
        <f>IFERROR(IF(($BJ16)&gt;0,($BM16)/($BJ16),""),"")</f>
        <v/>
      </c>
      <c r="BT16" s="67">
        <f>IFERROR(IF(($BK16)&gt;0,($BN16)/($BK16),""),"")</f>
        <v/>
      </c>
      <c r="BU16" s="67">
        <f>IFERROR(IF(($BL16)&gt;0,($BO16)/($BL16),""),"")</f>
        <v/>
      </c>
      <c r="BV16" s="67">
        <f>IFERROR(IF(($BM16)&gt;0,($BP16)/($BM16),""),"")</f>
        <v/>
      </c>
      <c r="BW16" s="55">
        <f>SUMIFS(tblPlant[Crushed_t],tblPlant[Date],$A16)</f>
        <v/>
      </c>
      <c r="BX16" s="55">
        <f>IF($B16=$B15,$BX15,0)+$BW16</f>
        <v/>
      </c>
      <c r="BY16" s="55">
        <f>$BY15+$BW16</f>
        <v/>
      </c>
      <c r="BZ16" s="55">
        <f>SUMIFS(tblPlant[Milled_t],tblPlant[Date],$A16)</f>
        <v/>
      </c>
      <c r="CA16" s="55">
        <f>IF($B16=$B15,$CA15,0)+$BZ16</f>
        <v/>
      </c>
      <c r="CB16" s="55">
        <f>$CB15+$BZ16</f>
        <v/>
      </c>
      <c r="CC16" s="55">
        <f>SUMIFS(tblPlant[Feed_oz],tblPlant[Date],$A16)</f>
        <v/>
      </c>
      <c r="CD16" s="55">
        <f>IF($B16=$B15,$CD15,0)+$CC16</f>
        <v/>
      </c>
      <c r="CE16" s="55">
        <f>$CE15+$CC16</f>
        <v/>
      </c>
      <c r="CF16" s="55">
        <f>SUMIFS(tblPlant[Tails_oz],tblPlant[Date],$A16)</f>
        <v/>
      </c>
      <c r="CG16" s="55">
        <f>IF($B16=$B15,$CG15,0)+$CF16</f>
        <v/>
      </c>
      <c r="CH16" s="55">
        <f>$CH15+$CF16</f>
        <v/>
      </c>
      <c r="CI16" s="55">
        <f>SUMIFS(tblPlant[Recovered_oz],tblPlant[Date],$A16)</f>
        <v/>
      </c>
      <c r="CJ16" s="55">
        <f>IF($B16=$B15,$CJ15,0)+$CI16</f>
        <v/>
      </c>
      <c r="CK16" s="55">
        <f>$CK15+$CI16</f>
        <v/>
      </c>
      <c r="CL16" s="56">
        <f>IFERROR(IF(($BZ16)&gt;0,($CC16*cfg_TroyOz)/($BZ16),""),"")</f>
        <v/>
      </c>
      <c r="CM16" s="56">
        <f>IFERROR(IF(($CA16)&gt;0,($CD16*cfg_TroyOz)/($CA16),""),"")</f>
        <v/>
      </c>
      <c r="CN16" s="56">
        <f>IFERROR(IF(($CB16)&gt;0,($CE16*cfg_TroyOz)/($CB16),""),"")</f>
        <v/>
      </c>
      <c r="CO16" s="56">
        <f>IFERROR(IF(($BZ16)&gt;0,($CF16*cfg_TroyOz)/($BZ16),""),"")</f>
        <v/>
      </c>
      <c r="CP16" s="56">
        <f>IFERROR(IF(($CA16)&gt;0,($CG16*cfg_TroyOz)/($CA16),""),"")</f>
        <v/>
      </c>
      <c r="CQ16" s="56">
        <f>IFERROR(IF(($CB16)&gt;0,($CH16*cfg_TroyOz)/($CB16),""),"")</f>
        <v/>
      </c>
      <c r="CR16" s="67">
        <f>IFERROR(IF(($CC16)&gt;0,($CI16)/($CC16),""),"")</f>
        <v/>
      </c>
      <c r="CS16" s="67">
        <f>IFERROR(IF(($CD16)&gt;0,($CJ16)/($CD16),""),"")</f>
        <v/>
      </c>
      <c r="CT16" s="67">
        <f>IFERROR(IF(($CE16)&gt;0,($CK16)/($CE16),""),"")</f>
        <v/>
      </c>
      <c r="CU16" s="55">
        <f>SUMIFS(tblPlant[Gravity_Gold_oz],tblPlant[Date],$A16)</f>
        <v/>
      </c>
      <c r="CV16" s="55">
        <f>IF($B16=$B15,$CV15,0)+$CU16</f>
        <v/>
      </c>
      <c r="CW16" s="55">
        <f>$CW15+$CU16</f>
        <v/>
      </c>
      <c r="CX16" s="55">
        <f>SUMIFS(tblPlant[Gold_Poured_oz],tblPlant[Date],$A16)</f>
        <v/>
      </c>
      <c r="CY16" s="55">
        <f>IF($B16=$B15,$CY15,0)+$CX16</f>
        <v/>
      </c>
      <c r="CZ16" s="55">
        <f>$CZ15+$CX16</f>
        <v/>
      </c>
      <c r="DA16" s="57">
        <f>SUMIFS(tblPlant[Mill_Run_h],tblPlant[Date],$A16)</f>
        <v/>
      </c>
      <c r="DB16" s="57">
        <f>IF($B16=$B15,$DB15,0)+$DA16</f>
        <v/>
      </c>
      <c r="DC16" s="57">
        <f>$DC15+$DA16</f>
        <v/>
      </c>
      <c r="DD16" s="57">
        <f>SUMIFS(tblPlant[Mill_Planned_Maint_h],tblPlant[Date],$A16)</f>
        <v/>
      </c>
      <c r="DE16" s="57">
        <f>IF($B16=$B15,$DE15,0)+$DD16</f>
        <v/>
      </c>
      <c r="DF16" s="57">
        <f>$DF15+$DD16</f>
        <v/>
      </c>
      <c r="DG16" s="57">
        <f>SUMIFS(tblPlant[Mill_Unplanned_Down_h],tblPlant[Date],$A16)</f>
        <v/>
      </c>
      <c r="DH16" s="57">
        <f>IF($B16=$B15,$DH15,0)+$DG16</f>
        <v/>
      </c>
      <c r="DI16" s="57">
        <f>$DI15+$DG16</f>
        <v/>
      </c>
      <c r="DJ16" s="57">
        <f>COUNTIFS(tblPlant[Date],$A16,tblPlant[Mill_Run_h],"&lt;&gt;")*24</f>
        <v/>
      </c>
      <c r="DK16" s="57">
        <f>IF($B16=$B15,$DK15,0)+$DJ16</f>
        <v/>
      </c>
      <c r="DL16" s="57">
        <f>$DL15+$DJ16</f>
        <v/>
      </c>
      <c r="DM16" s="57">
        <f>SUMIFS(tblPlant[Crusher_Run_h],tblPlant[Date],$A16)</f>
        <v/>
      </c>
      <c r="DN16" s="57">
        <f>IF($B16=$B15,$DN15,0)+$DM16</f>
        <v/>
      </c>
      <c r="DO16" s="57">
        <f>$DO15+$DM16</f>
        <v/>
      </c>
      <c r="DP16" s="55">
        <f>IFERROR(IF(($DA16)&gt;0,($BZ16)/($DA16),""),"")</f>
        <v/>
      </c>
      <c r="DQ16" s="55">
        <f>IFERROR(IF(($DB16)&gt;0,($CA16)/($DB16),""),"")</f>
        <v/>
      </c>
      <c r="DR16" s="55">
        <f>IFERROR(IF(($DC16)&gt;0,($CB16)/($DC16),""),"")</f>
        <v/>
      </c>
      <c r="DS16" s="67">
        <f>IFERROR(IF(($DJ16)&gt;0,($DJ16-$DD16-$DG16)/($DJ16),""),"")</f>
        <v/>
      </c>
      <c r="DT16" s="67">
        <f>IFERROR(IF(($DK16)&gt;0,($DK16-$DE16-$DH16)/($DK16),""),"")</f>
        <v/>
      </c>
      <c r="DU16" s="67">
        <f>IFERROR(IF(($DL16)&gt;0,($DL16-$DF16-$DI16)/($DL16),""),"")</f>
        <v/>
      </c>
      <c r="DV16" s="67">
        <f>IFERROR(IF(($DJ16-$DD16-$DG16)&gt;0,($DA16)/($DJ16-$DD16-$DG16),""),"")</f>
        <v/>
      </c>
      <c r="DW16" s="67">
        <f>IFERROR(IF(($DK16-$DE16-$DH16)&gt;0,($DB16)/($DK16-$DE16-$DH16),""),"")</f>
        <v/>
      </c>
      <c r="DX16" s="67">
        <f>IFERROR(IF(($DL16-$DF16-$DI16)&gt;0,($DC16)/($DL16-$DF16-$DI16),""),"")</f>
        <v/>
      </c>
      <c r="DY16" s="55">
        <f>SUMIFS(tblPlant[Cyanide_kg],tblPlant[Date],$A16)</f>
        <v/>
      </c>
      <c r="DZ16" s="55">
        <f>IF($B16=$B15,$DZ15,0)+$DY16</f>
        <v/>
      </c>
      <c r="EA16" s="55">
        <f>$EA15+$DY16</f>
        <v/>
      </c>
      <c r="EB16" s="55">
        <f>SUMIFS(tblPlant[Lime_kg],tblPlant[Date],$A16)</f>
        <v/>
      </c>
      <c r="EC16" s="55">
        <f>IF($B16=$B15,$EC15,0)+$EB16</f>
        <v/>
      </c>
      <c r="ED16" s="55">
        <f>$ED15+$EB16</f>
        <v/>
      </c>
      <c r="EE16" s="55">
        <f>SUMIFS(tblPlant[Grinding_Media_kg],tblPlant[Date],$A16)</f>
        <v/>
      </c>
      <c r="EF16" s="55">
        <f>IF($B16=$B15,$EF15,0)+$EE16</f>
        <v/>
      </c>
      <c r="EG16" s="55">
        <f>$EG15+$EE16</f>
        <v/>
      </c>
      <c r="EH16" s="55">
        <f>SUMIFS(tblPlant[Power_kWh],tblPlant[Date],$A16)</f>
        <v/>
      </c>
      <c r="EI16" s="55">
        <f>IF($B16=$B15,$EI15,0)+$EH16</f>
        <v/>
      </c>
      <c r="EJ16" s="55">
        <f>$EJ15+$EH16</f>
        <v/>
      </c>
      <c r="EK16" s="55">
        <f>SUMIFS(tblPlant[Raw_Water_m3],tblPlant[Date],$A16)</f>
        <v/>
      </c>
      <c r="EL16" s="55">
        <f>IF($B16=$B15,$EL15,0)+$EK16</f>
        <v/>
      </c>
      <c r="EM16" s="55">
        <f>$EM15+$EK16</f>
        <v/>
      </c>
      <c r="EN16" s="56">
        <f>IFERROR(IF(($BZ16)&gt;0,($DY16)/($BZ16),""),"")</f>
        <v/>
      </c>
      <c r="EO16" s="56">
        <f>IFERROR(IF(($CA16)&gt;0,($DZ16)/($CA16),""),"")</f>
        <v/>
      </c>
      <c r="EP16" s="56">
        <f>IFERROR(IF(($CB16)&gt;0,($EA16)/($CB16),""),"")</f>
        <v/>
      </c>
      <c r="EQ16" s="56">
        <f>IFERROR(IF(($BZ16)&gt;0,($EB16)/($BZ16),""),"")</f>
        <v/>
      </c>
      <c r="ER16" s="56">
        <f>IFERROR(IF(($CA16)&gt;0,($EC16)/($CA16),""),"")</f>
        <v/>
      </c>
      <c r="ES16" s="56">
        <f>IFERROR(IF(($CB16)&gt;0,($ED16)/($CB16),""),"")</f>
        <v/>
      </c>
      <c r="ET16" s="56">
        <f>IFERROR(IF(($BZ16)&gt;0,($EE16)/($BZ16),""),"")</f>
        <v/>
      </c>
      <c r="EU16" s="56">
        <f>IFERROR(IF(($CA16)&gt;0,($EF16)/($CA16),""),"")</f>
        <v/>
      </c>
      <c r="EV16" s="56">
        <f>IFERROR(IF(($CB16)&gt;0,($EG16)/($CB16),""),"")</f>
        <v/>
      </c>
      <c r="EW16" s="76">
        <f>IFERROR(IF(($BZ16)&gt;0,($EH16)/($BZ16),""),"")</f>
        <v/>
      </c>
      <c r="EX16" s="76">
        <f>IFERROR(IF(($CA16)&gt;0,($EI16)/($CA16),""),"")</f>
        <v/>
      </c>
      <c r="EY16" s="76">
        <f>IFERROR(IF(($CB16)&gt;0,($EJ16)/($CB16),""),"")</f>
        <v/>
      </c>
      <c r="EZ16" s="56">
        <f>IFERROR(IF(($BZ16)&gt;0,($EK16)/($BZ16),""),"")</f>
        <v/>
      </c>
      <c r="FA16" s="56">
        <f>IFERROR(IF(($CA16)&gt;0,($EL16)/($CA16),""),"")</f>
        <v/>
      </c>
      <c r="FB16" s="56">
        <f>IFERROR(IF(($CB16)&gt;0,($EM16)/($CB16),""),"")</f>
        <v/>
      </c>
      <c r="FC16" s="55">
        <f>IF(SUMIFS(tblPlant[GIC_oz],tblPlant[Date],$A16)&gt;0,SUMIFS(tblPlant[GIC_oz],tblPlant[Date],$A16),"")</f>
        <v/>
      </c>
      <c r="FD16" s="55">
        <f>SUMIFS(tblGold[Gold_oz],tblGold[Date],$A16,tblGold[Type],"Shipment")</f>
        <v/>
      </c>
      <c r="FE16" s="55">
        <f>IF($B16=$B15,$FE15,0)+$FD16</f>
        <v/>
      </c>
      <c r="FF16" s="55">
        <f>$FF15+$FD16</f>
        <v/>
      </c>
      <c r="FG16" s="55">
        <f>SUMIFS(tblGold[Gold_oz],tblGold[Date],$A16,tblGold[Type],"Sale")</f>
        <v/>
      </c>
      <c r="FH16" s="55">
        <f>IF($B16=$B15,$FH15,0)+$FG16</f>
        <v/>
      </c>
      <c r="FI16" s="55">
        <f>$FI15+$FG16</f>
        <v/>
      </c>
      <c r="FJ16" s="55">
        <f>SUMIFS(tblGold[Dore_kg],tblGold[Date],$A16,tblGold[Type],"Shipment")</f>
        <v/>
      </c>
      <c r="FK16" s="55">
        <f>IF($B16=$B15,$FK15,0)+$FJ16</f>
        <v/>
      </c>
      <c r="FL16" s="55">
        <f>$FL15+$FJ16</f>
        <v/>
      </c>
      <c r="FM16" s="57">
        <f>SUMIFS(tblSafety[Hours_Total],tblSafety[Date],$A16)</f>
        <v/>
      </c>
      <c r="FN16" s="57">
        <f>IF($B16=$B15,$FN15,0)+$FM16</f>
        <v/>
      </c>
      <c r="FO16" s="57">
        <f>$FO15+$FM16</f>
        <v/>
      </c>
      <c r="FP16" s="62">
        <f>SUMIFS(tblSafety[Fatality],tblSafety[Date],$A16)</f>
        <v/>
      </c>
      <c r="FQ16" s="62">
        <f>IF($B16=$B15,$FQ15,0)+$FP16</f>
        <v/>
      </c>
      <c r="FR16" s="62">
        <f>$FR15+$FP16</f>
        <v/>
      </c>
      <c r="FS16" s="62">
        <f>SUMIFS(tblSafety[LTI],tblSafety[Date],$A16)</f>
        <v/>
      </c>
      <c r="FT16" s="62">
        <f>IF($B16=$B15,$FT15,0)+$FS16</f>
        <v/>
      </c>
      <c r="FU16" s="62">
        <f>$FU15+$FS16</f>
        <v/>
      </c>
      <c r="FV16" s="62">
        <f>SUMIFS(tblSafety[RWI],tblSafety[Date],$A16)</f>
        <v/>
      </c>
      <c r="FW16" s="62">
        <f>IF($B16=$B15,$FW15,0)+$FV16</f>
        <v/>
      </c>
      <c r="FX16" s="62">
        <f>$FX15+$FV16</f>
        <v/>
      </c>
      <c r="FY16" s="62">
        <f>SUMIFS(tblSafety[MTI],tblSafety[Date],$A16)</f>
        <v/>
      </c>
      <c r="FZ16" s="62">
        <f>IF($B16=$B15,$FZ15,0)+$FY16</f>
        <v/>
      </c>
      <c r="GA16" s="62">
        <f>$GA15+$FY16</f>
        <v/>
      </c>
      <c r="GB16" s="62">
        <f>SUMIFS(tblSafety[FAI],tblSafety[Date],$A16)</f>
        <v/>
      </c>
      <c r="GC16" s="62">
        <f>IF($B16=$B15,$GC15,0)+$GB16</f>
        <v/>
      </c>
      <c r="GD16" s="62">
        <f>$GD15+$GB16</f>
        <v/>
      </c>
      <c r="GE16" s="62">
        <f>SUMIFS(tblSafety[Recordables],tblSafety[Date],$A16)</f>
        <v/>
      </c>
      <c r="GF16" s="62">
        <f>IF($B16=$B15,$GF15,0)+$GE16</f>
        <v/>
      </c>
      <c r="GG16" s="62">
        <f>$GG15+$GE16</f>
        <v/>
      </c>
      <c r="GH16" s="62">
        <f>SUMIFS(tblSafety[Near_Miss],tblSafety[Date],$A16)</f>
        <v/>
      </c>
      <c r="GI16" s="62">
        <f>IF($B16=$B15,$GI15,0)+$GH16</f>
        <v/>
      </c>
      <c r="GJ16" s="62">
        <f>$GJ15+$GH16</f>
        <v/>
      </c>
      <c r="GK16" s="62">
        <f>SUMIFS(tblSafety[Hazard_Reports],tblSafety[Date],$A16)</f>
        <v/>
      </c>
      <c r="GL16" s="62">
        <f>IF($B16=$B15,$GL15,0)+$GK16</f>
        <v/>
      </c>
      <c r="GM16" s="62">
        <f>$GM15+$GK16</f>
        <v/>
      </c>
      <c r="GN16" s="62">
        <f>SUMIFS(tblSafety[HPI],tblSafety[Date],$A16)</f>
        <v/>
      </c>
      <c r="GO16" s="62">
        <f>IF($B16=$B15,$GO15,0)+$GN16</f>
        <v/>
      </c>
      <c r="GP16" s="62">
        <f>$GP15+$GN16</f>
        <v/>
      </c>
      <c r="GQ16" s="62">
        <f>SUMIFS(tblSafety[Env_Incidents],tblSafety[Date],$A16)</f>
        <v/>
      </c>
      <c r="GR16" s="62">
        <f>IF($B16=$B15,$GR15,0)+$GQ16</f>
        <v/>
      </c>
      <c r="GS16" s="62">
        <f>$GS15+$GQ16</f>
        <v/>
      </c>
      <c r="GT16" s="62">
        <f>SUMIFS(tblSafety[Community_Incidents],tblSafety[Date],$A16)</f>
        <v/>
      </c>
      <c r="GU16" s="62">
        <f>IF($B16=$B15,$GU15,0)+$GT16</f>
        <v/>
      </c>
      <c r="GV16" s="62">
        <f>$GV15+$GT16</f>
        <v/>
      </c>
      <c r="GW16" s="62">
        <f>SUMIFS(tblSafety[Vehicle_Incidents],tblSafety[Date],$A16)</f>
        <v/>
      </c>
      <c r="GX16" s="62">
        <f>IF($B16=$B15,$GX15,0)+$GW16</f>
        <v/>
      </c>
      <c r="GY16" s="62">
        <f>$GY15+$GW16</f>
        <v/>
      </c>
      <c r="GZ16" s="62">
        <f>SUMIFS(tblSafety[Toolbox_Talks],tblSafety[Date],$A16)</f>
        <v/>
      </c>
      <c r="HA16" s="62">
        <f>IF($B16=$B15,$HA15,0)+$GZ16</f>
        <v/>
      </c>
      <c r="HB16" s="62">
        <f>$HB15+$GZ16</f>
        <v/>
      </c>
      <c r="HC16" s="62">
        <f>SUMIFS(tblSafety[Inspections],tblSafety[Date],$A16)</f>
        <v/>
      </c>
      <c r="HD16" s="62">
        <f>IF($B16=$B15,$HD15,0)+$HC16</f>
        <v/>
      </c>
      <c r="HE16" s="62">
        <f>$HE15+$HC16</f>
        <v/>
      </c>
      <c r="HF16" s="56">
        <f>IFERROR((SUMIFS(tblSafety[Recordables],tblSafety[Date],"&gt;="&amp;EDATE($E16,-12),tblSafety[Date],"&lt;="&amp;$A16)+SUMIFS(tblSafetyHistory[Recordables],tblSafetyHistory[Month],"&gt;="&amp;EDATE($E16,-12),tblSafetyHistory[Month],"&lt;"&amp;cfg_YearStart))/(SUMIFS(tblSafety[Hours_Total],tblSafety[Date],"&gt;="&amp;EDATE($E16,-12),tblSafety[Date],"&lt;="&amp;$A16)+SUMIFS(tblSafetyHistory[Hours_Total],tblSafetyHistory[Month],"&gt;="&amp;EDATE($E16,-12),tblSafetyHistory[Month],"&lt;"&amp;cfg_YearStart))*1000000,"")</f>
        <v/>
      </c>
      <c r="HG16" s="56">
        <f>IFERROR((SUMIFS(tblSafety[LTI],tblSafety[Date],"&gt;="&amp;EDATE($E16,-12),tblSafety[Date],"&lt;="&amp;$A16)+SUMIFS(tblSafetyHistory[LTI],tblSafetyHistory[Month],"&gt;="&amp;EDATE($E16,-12),tblSafetyHistory[Month],"&lt;"&amp;cfg_YearStart))/(SUMIFS(tblSafety[Hours_Total],tblSafety[Date],"&gt;="&amp;EDATE($E16,-12),tblSafety[Date],"&lt;="&amp;$A16)+SUMIFS(tblSafetyHistory[Hours_Total],tblSafetyHistory[Month],"&gt;="&amp;EDATE($E16,-12),tblSafetyHistory[Month],"&lt;"&amp;cfg_YearStart))*1000000,"")</f>
        <v/>
      </c>
      <c r="HH16" s="62">
        <f>IF(MAX(N(cfg_PriorLTIDate),_xlfn.MAXIFS(tblSafety[Date],tblSafety[LTI],"&gt;0",tblSafety[Date],"&lt;="&amp;$A16))=0,"",$A16-MAX(N(cfg_PriorLTIDate),_xlfn.MAXIFS(tblSafety[Date],tblSafety[LTI],"&gt;0",tblSafety[Date],"&lt;="&amp;$A16)))</f>
        <v/>
      </c>
      <c r="HI16" s="55">
        <f>SUMIFS(tblBudget[Ore_Mined_t],tblBudget[Month],$E16)</f>
        <v/>
      </c>
      <c r="HJ16" s="55">
        <f>$HI16*$C16/$D16</f>
        <v/>
      </c>
      <c r="HK16" s="55">
        <f>SUMIFS(tblBudget[Ore_Mined_t],tblBudget[Month],"&lt;"&amp;$E16)+$HJ16</f>
        <v/>
      </c>
      <c r="HL16" s="55">
        <f>SUMIFS(tblBudget[Ore_oz],tblBudget[Month],$E16)</f>
        <v/>
      </c>
      <c r="HM16" s="55">
        <f>$HL16*$C16/$D16</f>
        <v/>
      </c>
      <c r="HN16" s="55">
        <f>SUMIFS(tblBudget[Ore_oz],tblBudget[Month],"&lt;"&amp;$E16)+$HM16</f>
        <v/>
      </c>
      <c r="HO16" s="56">
        <f>IFERROR(IF(($HI16)&gt;0,($HL16*cfg_TroyOz)/($HI16),""),"")</f>
        <v/>
      </c>
      <c r="HP16" s="56">
        <f>IFERROR(IF(($HJ16)&gt;0,($HM16*cfg_TroyOz)/($HJ16),""),"")</f>
        <v/>
      </c>
      <c r="HQ16" s="56">
        <f>IFERROR(IF(($HK16)&gt;0,($HN16*cfg_TroyOz)/($HK16),""),"")</f>
        <v/>
      </c>
      <c r="HR16" s="55">
        <f>SUMIFS(tblBudget[Waste_t],tblBudget[Month],$E16)</f>
        <v/>
      </c>
      <c r="HS16" s="55">
        <f>$HR16*$C16/$D16</f>
        <v/>
      </c>
      <c r="HT16" s="55">
        <f>SUMIFS(tblBudget[Waste_t],tblBudget[Month],"&lt;"&amp;$E16)+$HS16</f>
        <v/>
      </c>
      <c r="HU16" s="55">
        <f>SUMIFS(tblBudget[TMM_t],tblBudget[Month],$E16)</f>
        <v/>
      </c>
      <c r="HV16" s="55">
        <f>$HU16*$C16/$D16</f>
        <v/>
      </c>
      <c r="HW16" s="55">
        <f>SUMIFS(tblBudget[TMM_t],tblBudget[Month],"&lt;"&amp;$E16)+$HV16</f>
        <v/>
      </c>
      <c r="HX16" s="56">
        <f>IFERROR(IF(($HI16)&gt;0,($HR16)/($HI16),""),"")</f>
        <v/>
      </c>
      <c r="HY16" s="56">
        <f>IFERROR(IF(($HJ16)&gt;0,($HS16)/($HJ16),""),"")</f>
        <v/>
      </c>
      <c r="HZ16" s="56">
        <f>IFERROR(IF(($HK16)&gt;0,($HT16)/($HK16),""),"")</f>
        <v/>
      </c>
      <c r="IA16" s="55">
        <f>SUMIFS(tblBudget[Drill_m],tblBudget[Month],$E16)</f>
        <v/>
      </c>
      <c r="IB16" s="55">
        <f>$IA16*$C16/$D16</f>
        <v/>
      </c>
      <c r="IC16" s="55">
        <f>SUMIFS(tblBudget[Drill_m],tblBudget[Month],"&lt;"&amp;$E16)+$IB16</f>
        <v/>
      </c>
      <c r="ID16" s="55">
        <f>SUMIFS(tblBudget[Diesel_L],tblBudget[Month],$E16)</f>
        <v/>
      </c>
      <c r="IE16" s="55">
        <f>$ID16*$C16/$D16</f>
        <v/>
      </c>
      <c r="IF16" s="55">
        <f>SUMIFS(tblBudget[Diesel_L],tblBudget[Month],"&lt;"&amp;$E16)+$IE16</f>
        <v/>
      </c>
      <c r="IG16" s="55">
        <f>SUMIFS(tblBudget[Milled_t],tblBudget[Month],$E16)</f>
        <v/>
      </c>
      <c r="IH16" s="55">
        <f>$IG16*$C16/$D16</f>
        <v/>
      </c>
      <c r="II16" s="55">
        <f>SUMIFS(tblBudget[Milled_t],tblBudget[Month],"&lt;"&amp;$E16)+$IH16</f>
        <v/>
      </c>
      <c r="IJ16" s="55">
        <f>SUMIFS(tblBudget[Feed_oz],tblBudget[Month],$E16)</f>
        <v/>
      </c>
      <c r="IK16" s="55">
        <f>$IJ16*$C16/$D16</f>
        <v/>
      </c>
      <c r="IL16" s="55">
        <f>SUMIFS(tblBudget[Feed_oz],tblBudget[Month],"&lt;"&amp;$E16)+$IK16</f>
        <v/>
      </c>
      <c r="IM16" s="55">
        <f>SUMIFS(tblBudget[Recovered_oz],tblBudget[Month],$E16)</f>
        <v/>
      </c>
      <c r="IN16" s="55">
        <f>$IM16*$C16/$D16</f>
        <v/>
      </c>
      <c r="IO16" s="55">
        <f>SUMIFS(tblBudget[Recovered_oz],tblBudget[Month],"&lt;"&amp;$E16)+$IN16</f>
        <v/>
      </c>
      <c r="IP16" s="56">
        <f>IFERROR(IF(($IG16)&gt;0,($IJ16*cfg_TroyOz)/($IG16),""),"")</f>
        <v/>
      </c>
      <c r="IQ16" s="56">
        <f>IFERROR(IF(($IH16)&gt;0,($IK16*cfg_TroyOz)/($IH16),""),"")</f>
        <v/>
      </c>
      <c r="IR16" s="56">
        <f>IFERROR(IF(($II16)&gt;0,($IL16*cfg_TroyOz)/($II16),""),"")</f>
        <v/>
      </c>
      <c r="IS16" s="67">
        <f>IFERROR(IF(($IJ16)&gt;0,($IM16)/($IJ16),""),"")</f>
        <v/>
      </c>
      <c r="IT16" s="67">
        <f>IFERROR(IF(($IK16)&gt;0,($IN16)/($IK16),""),"")</f>
        <v/>
      </c>
      <c r="IU16" s="67">
        <f>IFERROR(IF(($IL16)&gt;0,($IO16)/($IL16),""),"")</f>
        <v/>
      </c>
      <c r="IV16" s="55">
        <f>SUMIFS(tblBudget[Gold_Poured_oz],tblBudget[Month],$E16)</f>
        <v/>
      </c>
      <c r="IW16" s="55">
        <f>$IV16*$C16/$D16</f>
        <v/>
      </c>
      <c r="IX16" s="55">
        <f>SUMIFS(tblBudget[Gold_Poured_oz],tblBudget[Month],"&lt;"&amp;$E16)+$IW16</f>
        <v/>
      </c>
      <c r="IY16" s="57">
        <f>SUMIFS(tblBudget[Hours_Worked],tblBudget[Month],$E16)</f>
        <v/>
      </c>
      <c r="IZ16" s="57">
        <f>$IY16*$C16/$D16</f>
        <v/>
      </c>
      <c r="JA16" s="57">
        <f>SUMIFS(tblBudget[Hours_Worked],tblBudget[Month],"&lt;"&amp;$E16)+$IZ16</f>
        <v/>
      </c>
    </row>
    <row r="17">
      <c r="A17" s="54" t="n">
        <v>46038</v>
      </c>
      <c r="B17">
        <f>MONTH($A17)</f>
        <v/>
      </c>
      <c r="C17">
        <f>DAY($A17)</f>
        <v/>
      </c>
      <c r="D17">
        <f>DAY(EOMONTH($A17,0))</f>
        <v/>
      </c>
      <c r="E17" s="54">
        <f>DATE(YEAR($A17),MONTH($A17),1)</f>
        <v/>
      </c>
      <c r="F17" s="55">
        <f>SUMIFS(tblMovement[Tonnes_t],tblMovement[Date],$A17,tblMovement[Is_Ore],1,tblMovement[Source_Type],"Pit")</f>
        <v/>
      </c>
      <c r="G17" s="55">
        <f>IF($B17=$B16,$G16,0)+$F17</f>
        <v/>
      </c>
      <c r="H17" s="55">
        <f>$H16+$F17</f>
        <v/>
      </c>
      <c r="I17" s="55">
        <f>SUMIFS(tblMovement[Ore_oz],tblMovement[Date],$A17,tblMovement[Source_Type],"Pit")</f>
        <v/>
      </c>
      <c r="J17" s="55">
        <f>IF($B17=$B16,$J16,0)+$I17</f>
        <v/>
      </c>
      <c r="K17" s="55">
        <f>$K16+$I17</f>
        <v/>
      </c>
      <c r="L17" s="56">
        <f>IFERROR(IF(($F17)&gt;0,($I17*cfg_TroyOz)/($F17),""),"")</f>
        <v/>
      </c>
      <c r="M17" s="56">
        <f>IFERROR(IF(($G17)&gt;0,($J17*cfg_TroyOz)/($G17),""),"")</f>
        <v/>
      </c>
      <c r="N17" s="56">
        <f>IFERROR(IF(($H17)&gt;0,($K17*cfg_TroyOz)/($H17),""),"")</f>
        <v/>
      </c>
      <c r="O17" s="55">
        <f>SUMIFS(tblMovement[Tonnes_t],tblMovement[Date],$A17,tblMovement[Is_Ore],0,tblMovement[Source_Type],"Pit")</f>
        <v/>
      </c>
      <c r="P17" s="55">
        <f>IF($B17=$B16,$P16,0)+$O17</f>
        <v/>
      </c>
      <c r="Q17" s="55">
        <f>$Q16+$O17</f>
        <v/>
      </c>
      <c r="R17" s="55">
        <f>$F17+$O17</f>
        <v/>
      </c>
      <c r="S17" s="55">
        <f>IF($B17=$B16,$S16,0)+$R17</f>
        <v/>
      </c>
      <c r="T17" s="55">
        <f>$T16+$R17</f>
        <v/>
      </c>
      <c r="U17" s="56">
        <f>IFERROR(IF(($F17)&gt;0,($O17)/($F17),""),"")</f>
        <v/>
      </c>
      <c r="V17" s="56">
        <f>IFERROR(IF(($G17)&gt;0,($P17)/($G17),""),"")</f>
        <v/>
      </c>
      <c r="W17" s="56">
        <f>IFERROR(IF(($H17)&gt;0,($Q17)/($H17),""),"")</f>
        <v/>
      </c>
      <c r="X17" s="55">
        <f>SUMIFS(tblMovement[Tonnes_t],tblMovement[Date],$A17,tblMovement[Source_Type],"Stockpile")</f>
        <v/>
      </c>
      <c r="Y17" s="55">
        <f>IF($B17=$B16,$Y16,0)+$X17</f>
        <v/>
      </c>
      <c r="Z17" s="55">
        <f>$Z16+$X17</f>
        <v/>
      </c>
      <c r="AA17" s="55">
        <f>SUMIFS(tblMiningDaily[Drill_m],tblMiningDaily[Date],$A17)</f>
        <v/>
      </c>
      <c r="AB17" s="55">
        <f>IF($B17=$B16,$AB16,0)+$AA17</f>
        <v/>
      </c>
      <c r="AC17" s="55">
        <f>$AC16+$AA17</f>
        <v/>
      </c>
      <c r="AD17" s="55">
        <f>SUMIFS(tblMiningDaily[Blast_t],tblMiningDaily[Date],$A17)</f>
        <v/>
      </c>
      <c r="AE17" s="55">
        <f>IF($B17=$B16,$AE16,0)+$AD17</f>
        <v/>
      </c>
      <c r="AF17" s="55">
        <f>$AF16+$AD17</f>
        <v/>
      </c>
      <c r="AG17" s="55">
        <f>SUMIFS(tblMiningDaily[Explosives_kg],tblMiningDaily[Date],$A17)</f>
        <v/>
      </c>
      <c r="AH17" s="55">
        <f>IF($B17=$B16,$AH16,0)+$AG17</f>
        <v/>
      </c>
      <c r="AI17" s="55">
        <f>$AI16+$AG17</f>
        <v/>
      </c>
      <c r="AJ17" s="56">
        <f>IFERROR(IF(($AD17)&gt;0,($AG17)/($AD17),""),"")</f>
        <v/>
      </c>
      <c r="AK17" s="56">
        <f>IFERROR(IF(($AE17)&gt;0,($AH17)/($AE17),""),"")</f>
        <v/>
      </c>
      <c r="AL17" s="56">
        <f>IFERROR(IF(($AF17)&gt;0,($AI17)/($AF17),""),"")</f>
        <v/>
      </c>
      <c r="AM17" s="55">
        <f>SUMIFS(tblMiningDaily[Diesel_L],tblMiningDaily[Date],$A17)</f>
        <v/>
      </c>
      <c r="AN17" s="55">
        <f>IF($B17=$B16,$AN16,0)+$AM17</f>
        <v/>
      </c>
      <c r="AO17" s="55">
        <f>$AO16+$AM17</f>
        <v/>
      </c>
      <c r="AP17" s="55">
        <f>SUMIFS(tblMiningDaily[Dewatering_m3],tblMiningDaily[Date],$A17)</f>
        <v/>
      </c>
      <c r="AQ17" s="55">
        <f>IF($B17=$B16,$AQ16,0)+$AP17</f>
        <v/>
      </c>
      <c r="AR17" s="55">
        <f>$AR16+$AP17</f>
        <v/>
      </c>
      <c r="AS17" s="57">
        <f>SUMIFS(tblFleet[Calendar_h],tblFleet[Date],$A17,tblFleet[Equipment_Class],"Excavator")</f>
        <v/>
      </c>
      <c r="AT17" s="57">
        <f>IF($B17=$B16,$AT16,0)+$AS17</f>
        <v/>
      </c>
      <c r="AU17" s="57">
        <f>$AU16+$AS17</f>
        <v/>
      </c>
      <c r="AV17" s="57">
        <f>SUMIFS(tblFleet[Available_h],tblFleet[Date],$A17,tblFleet[Equipment_Class],"Excavator")</f>
        <v/>
      </c>
      <c r="AW17" s="57">
        <f>IF($B17=$B16,$AW16,0)+$AV17</f>
        <v/>
      </c>
      <c r="AX17" s="57">
        <f>$AX16+$AV17</f>
        <v/>
      </c>
      <c r="AY17" s="57">
        <f>SUMIFS(tblFleet[Operating_h],tblFleet[Date],$A17,tblFleet[Equipment_Class],"Excavator")</f>
        <v/>
      </c>
      <c r="AZ17" s="57">
        <f>IF($B17=$B16,$AZ16,0)+$AY17</f>
        <v/>
      </c>
      <c r="BA17" s="57">
        <f>$BA16+$AY17</f>
        <v/>
      </c>
      <c r="BB17" s="67">
        <f>IFERROR(IF(($AS17)&gt;0,($AV17)/($AS17),""),"")</f>
        <v/>
      </c>
      <c r="BC17" s="67">
        <f>IFERROR(IF(($AT17)&gt;0,($AW17)/($AT17),""),"")</f>
        <v/>
      </c>
      <c r="BD17" s="67">
        <f>IFERROR(IF(($AU17)&gt;0,($AX17)/($AU17),""),"")</f>
        <v/>
      </c>
      <c r="BE17" s="67">
        <f>IFERROR(IF(($AV17)&gt;0,($AY17)/($AV17),""),"")</f>
        <v/>
      </c>
      <c r="BF17" s="67">
        <f>IFERROR(IF(($AW17)&gt;0,($AZ17)/($AW17),""),"")</f>
        <v/>
      </c>
      <c r="BG17" s="67">
        <f>IFERROR(IF(($AX17)&gt;0,($BA17)/($AX17),""),"")</f>
        <v/>
      </c>
      <c r="BH17" s="57">
        <f>SUMIFS(tblFleet[Calendar_h],tblFleet[Date],$A17,tblFleet[Equipment_Class],"Haul Truck")</f>
        <v/>
      </c>
      <c r="BI17" s="57">
        <f>IF($B17=$B16,$BI16,0)+$BH17</f>
        <v/>
      </c>
      <c r="BJ17" s="57">
        <f>$BJ16+$BH17</f>
        <v/>
      </c>
      <c r="BK17" s="57">
        <f>SUMIFS(tblFleet[Available_h],tblFleet[Date],$A17,tblFleet[Equipment_Class],"Haul Truck")</f>
        <v/>
      </c>
      <c r="BL17" s="57">
        <f>IF($B17=$B16,$BL16,0)+$BK17</f>
        <v/>
      </c>
      <c r="BM17" s="57">
        <f>$BM16+$BK17</f>
        <v/>
      </c>
      <c r="BN17" s="57">
        <f>SUMIFS(tblFleet[Operating_h],tblFleet[Date],$A17,tblFleet[Equipment_Class],"Haul Truck")</f>
        <v/>
      </c>
      <c r="BO17" s="57">
        <f>IF($B17=$B16,$BO16,0)+$BN17</f>
        <v/>
      </c>
      <c r="BP17" s="57">
        <f>$BP16+$BN17</f>
        <v/>
      </c>
      <c r="BQ17" s="67">
        <f>IFERROR(IF(($BH17)&gt;0,($BK17)/($BH17),""),"")</f>
        <v/>
      </c>
      <c r="BR17" s="67">
        <f>IFERROR(IF(($BI17)&gt;0,($BL17)/($BI17),""),"")</f>
        <v/>
      </c>
      <c r="BS17" s="67">
        <f>IFERROR(IF(($BJ17)&gt;0,($BM17)/($BJ17),""),"")</f>
        <v/>
      </c>
      <c r="BT17" s="67">
        <f>IFERROR(IF(($BK17)&gt;0,($BN17)/($BK17),""),"")</f>
        <v/>
      </c>
      <c r="BU17" s="67">
        <f>IFERROR(IF(($BL17)&gt;0,($BO17)/($BL17),""),"")</f>
        <v/>
      </c>
      <c r="BV17" s="67">
        <f>IFERROR(IF(($BM17)&gt;0,($BP17)/($BM17),""),"")</f>
        <v/>
      </c>
      <c r="BW17" s="55">
        <f>SUMIFS(tblPlant[Crushed_t],tblPlant[Date],$A17)</f>
        <v/>
      </c>
      <c r="BX17" s="55">
        <f>IF($B17=$B16,$BX16,0)+$BW17</f>
        <v/>
      </c>
      <c r="BY17" s="55">
        <f>$BY16+$BW17</f>
        <v/>
      </c>
      <c r="BZ17" s="55">
        <f>SUMIFS(tblPlant[Milled_t],tblPlant[Date],$A17)</f>
        <v/>
      </c>
      <c r="CA17" s="55">
        <f>IF($B17=$B16,$CA16,0)+$BZ17</f>
        <v/>
      </c>
      <c r="CB17" s="55">
        <f>$CB16+$BZ17</f>
        <v/>
      </c>
      <c r="CC17" s="55">
        <f>SUMIFS(tblPlant[Feed_oz],tblPlant[Date],$A17)</f>
        <v/>
      </c>
      <c r="CD17" s="55">
        <f>IF($B17=$B16,$CD16,0)+$CC17</f>
        <v/>
      </c>
      <c r="CE17" s="55">
        <f>$CE16+$CC17</f>
        <v/>
      </c>
      <c r="CF17" s="55">
        <f>SUMIFS(tblPlant[Tails_oz],tblPlant[Date],$A17)</f>
        <v/>
      </c>
      <c r="CG17" s="55">
        <f>IF($B17=$B16,$CG16,0)+$CF17</f>
        <v/>
      </c>
      <c r="CH17" s="55">
        <f>$CH16+$CF17</f>
        <v/>
      </c>
      <c r="CI17" s="55">
        <f>SUMIFS(tblPlant[Recovered_oz],tblPlant[Date],$A17)</f>
        <v/>
      </c>
      <c r="CJ17" s="55">
        <f>IF($B17=$B16,$CJ16,0)+$CI17</f>
        <v/>
      </c>
      <c r="CK17" s="55">
        <f>$CK16+$CI17</f>
        <v/>
      </c>
      <c r="CL17" s="56">
        <f>IFERROR(IF(($BZ17)&gt;0,($CC17*cfg_TroyOz)/($BZ17),""),"")</f>
        <v/>
      </c>
      <c r="CM17" s="56">
        <f>IFERROR(IF(($CA17)&gt;0,($CD17*cfg_TroyOz)/($CA17),""),"")</f>
        <v/>
      </c>
      <c r="CN17" s="56">
        <f>IFERROR(IF(($CB17)&gt;0,($CE17*cfg_TroyOz)/($CB17),""),"")</f>
        <v/>
      </c>
      <c r="CO17" s="56">
        <f>IFERROR(IF(($BZ17)&gt;0,($CF17*cfg_TroyOz)/($BZ17),""),"")</f>
        <v/>
      </c>
      <c r="CP17" s="56">
        <f>IFERROR(IF(($CA17)&gt;0,($CG17*cfg_TroyOz)/($CA17),""),"")</f>
        <v/>
      </c>
      <c r="CQ17" s="56">
        <f>IFERROR(IF(($CB17)&gt;0,($CH17*cfg_TroyOz)/($CB17),""),"")</f>
        <v/>
      </c>
      <c r="CR17" s="67">
        <f>IFERROR(IF(($CC17)&gt;0,($CI17)/($CC17),""),"")</f>
        <v/>
      </c>
      <c r="CS17" s="67">
        <f>IFERROR(IF(($CD17)&gt;0,($CJ17)/($CD17),""),"")</f>
        <v/>
      </c>
      <c r="CT17" s="67">
        <f>IFERROR(IF(($CE17)&gt;0,($CK17)/($CE17),""),"")</f>
        <v/>
      </c>
      <c r="CU17" s="55">
        <f>SUMIFS(tblPlant[Gravity_Gold_oz],tblPlant[Date],$A17)</f>
        <v/>
      </c>
      <c r="CV17" s="55">
        <f>IF($B17=$B16,$CV16,0)+$CU17</f>
        <v/>
      </c>
      <c r="CW17" s="55">
        <f>$CW16+$CU17</f>
        <v/>
      </c>
      <c r="CX17" s="55">
        <f>SUMIFS(tblPlant[Gold_Poured_oz],tblPlant[Date],$A17)</f>
        <v/>
      </c>
      <c r="CY17" s="55">
        <f>IF($B17=$B16,$CY16,0)+$CX17</f>
        <v/>
      </c>
      <c r="CZ17" s="55">
        <f>$CZ16+$CX17</f>
        <v/>
      </c>
      <c r="DA17" s="57">
        <f>SUMIFS(tblPlant[Mill_Run_h],tblPlant[Date],$A17)</f>
        <v/>
      </c>
      <c r="DB17" s="57">
        <f>IF($B17=$B16,$DB16,0)+$DA17</f>
        <v/>
      </c>
      <c r="DC17" s="57">
        <f>$DC16+$DA17</f>
        <v/>
      </c>
      <c r="DD17" s="57">
        <f>SUMIFS(tblPlant[Mill_Planned_Maint_h],tblPlant[Date],$A17)</f>
        <v/>
      </c>
      <c r="DE17" s="57">
        <f>IF($B17=$B16,$DE16,0)+$DD17</f>
        <v/>
      </c>
      <c r="DF17" s="57">
        <f>$DF16+$DD17</f>
        <v/>
      </c>
      <c r="DG17" s="57">
        <f>SUMIFS(tblPlant[Mill_Unplanned_Down_h],tblPlant[Date],$A17)</f>
        <v/>
      </c>
      <c r="DH17" s="57">
        <f>IF($B17=$B16,$DH16,0)+$DG17</f>
        <v/>
      </c>
      <c r="DI17" s="57">
        <f>$DI16+$DG17</f>
        <v/>
      </c>
      <c r="DJ17" s="57">
        <f>COUNTIFS(tblPlant[Date],$A17,tblPlant[Mill_Run_h],"&lt;&gt;")*24</f>
        <v/>
      </c>
      <c r="DK17" s="57">
        <f>IF($B17=$B16,$DK16,0)+$DJ17</f>
        <v/>
      </c>
      <c r="DL17" s="57">
        <f>$DL16+$DJ17</f>
        <v/>
      </c>
      <c r="DM17" s="57">
        <f>SUMIFS(tblPlant[Crusher_Run_h],tblPlant[Date],$A17)</f>
        <v/>
      </c>
      <c r="DN17" s="57">
        <f>IF($B17=$B16,$DN16,0)+$DM17</f>
        <v/>
      </c>
      <c r="DO17" s="57">
        <f>$DO16+$DM17</f>
        <v/>
      </c>
      <c r="DP17" s="55">
        <f>IFERROR(IF(($DA17)&gt;0,($BZ17)/($DA17),""),"")</f>
        <v/>
      </c>
      <c r="DQ17" s="55">
        <f>IFERROR(IF(($DB17)&gt;0,($CA17)/($DB17),""),"")</f>
        <v/>
      </c>
      <c r="DR17" s="55">
        <f>IFERROR(IF(($DC17)&gt;0,($CB17)/($DC17),""),"")</f>
        <v/>
      </c>
      <c r="DS17" s="67">
        <f>IFERROR(IF(($DJ17)&gt;0,($DJ17-$DD17-$DG17)/($DJ17),""),"")</f>
        <v/>
      </c>
      <c r="DT17" s="67">
        <f>IFERROR(IF(($DK17)&gt;0,($DK17-$DE17-$DH17)/($DK17),""),"")</f>
        <v/>
      </c>
      <c r="DU17" s="67">
        <f>IFERROR(IF(($DL17)&gt;0,($DL17-$DF17-$DI17)/($DL17),""),"")</f>
        <v/>
      </c>
      <c r="DV17" s="67">
        <f>IFERROR(IF(($DJ17-$DD17-$DG17)&gt;0,($DA17)/($DJ17-$DD17-$DG17),""),"")</f>
        <v/>
      </c>
      <c r="DW17" s="67">
        <f>IFERROR(IF(($DK17-$DE17-$DH17)&gt;0,($DB17)/($DK17-$DE17-$DH17),""),"")</f>
        <v/>
      </c>
      <c r="DX17" s="67">
        <f>IFERROR(IF(($DL17-$DF17-$DI17)&gt;0,($DC17)/($DL17-$DF17-$DI17),""),"")</f>
        <v/>
      </c>
      <c r="DY17" s="55">
        <f>SUMIFS(tblPlant[Cyanide_kg],tblPlant[Date],$A17)</f>
        <v/>
      </c>
      <c r="DZ17" s="55">
        <f>IF($B17=$B16,$DZ16,0)+$DY17</f>
        <v/>
      </c>
      <c r="EA17" s="55">
        <f>$EA16+$DY17</f>
        <v/>
      </c>
      <c r="EB17" s="55">
        <f>SUMIFS(tblPlant[Lime_kg],tblPlant[Date],$A17)</f>
        <v/>
      </c>
      <c r="EC17" s="55">
        <f>IF($B17=$B16,$EC16,0)+$EB17</f>
        <v/>
      </c>
      <c r="ED17" s="55">
        <f>$ED16+$EB17</f>
        <v/>
      </c>
      <c r="EE17" s="55">
        <f>SUMIFS(tblPlant[Grinding_Media_kg],tblPlant[Date],$A17)</f>
        <v/>
      </c>
      <c r="EF17" s="55">
        <f>IF($B17=$B16,$EF16,0)+$EE17</f>
        <v/>
      </c>
      <c r="EG17" s="55">
        <f>$EG16+$EE17</f>
        <v/>
      </c>
      <c r="EH17" s="55">
        <f>SUMIFS(tblPlant[Power_kWh],tblPlant[Date],$A17)</f>
        <v/>
      </c>
      <c r="EI17" s="55">
        <f>IF($B17=$B16,$EI16,0)+$EH17</f>
        <v/>
      </c>
      <c r="EJ17" s="55">
        <f>$EJ16+$EH17</f>
        <v/>
      </c>
      <c r="EK17" s="55">
        <f>SUMIFS(tblPlant[Raw_Water_m3],tblPlant[Date],$A17)</f>
        <v/>
      </c>
      <c r="EL17" s="55">
        <f>IF($B17=$B16,$EL16,0)+$EK17</f>
        <v/>
      </c>
      <c r="EM17" s="55">
        <f>$EM16+$EK17</f>
        <v/>
      </c>
      <c r="EN17" s="56">
        <f>IFERROR(IF(($BZ17)&gt;0,($DY17)/($BZ17),""),"")</f>
        <v/>
      </c>
      <c r="EO17" s="56">
        <f>IFERROR(IF(($CA17)&gt;0,($DZ17)/($CA17),""),"")</f>
        <v/>
      </c>
      <c r="EP17" s="56">
        <f>IFERROR(IF(($CB17)&gt;0,($EA17)/($CB17),""),"")</f>
        <v/>
      </c>
      <c r="EQ17" s="56">
        <f>IFERROR(IF(($BZ17)&gt;0,($EB17)/($BZ17),""),"")</f>
        <v/>
      </c>
      <c r="ER17" s="56">
        <f>IFERROR(IF(($CA17)&gt;0,($EC17)/($CA17),""),"")</f>
        <v/>
      </c>
      <c r="ES17" s="56">
        <f>IFERROR(IF(($CB17)&gt;0,($ED17)/($CB17),""),"")</f>
        <v/>
      </c>
      <c r="ET17" s="56">
        <f>IFERROR(IF(($BZ17)&gt;0,($EE17)/($BZ17),""),"")</f>
        <v/>
      </c>
      <c r="EU17" s="56">
        <f>IFERROR(IF(($CA17)&gt;0,($EF17)/($CA17),""),"")</f>
        <v/>
      </c>
      <c r="EV17" s="56">
        <f>IFERROR(IF(($CB17)&gt;0,($EG17)/($CB17),""),"")</f>
        <v/>
      </c>
      <c r="EW17" s="76">
        <f>IFERROR(IF(($BZ17)&gt;0,($EH17)/($BZ17),""),"")</f>
        <v/>
      </c>
      <c r="EX17" s="76">
        <f>IFERROR(IF(($CA17)&gt;0,($EI17)/($CA17),""),"")</f>
        <v/>
      </c>
      <c r="EY17" s="76">
        <f>IFERROR(IF(($CB17)&gt;0,($EJ17)/($CB17),""),"")</f>
        <v/>
      </c>
      <c r="EZ17" s="56">
        <f>IFERROR(IF(($BZ17)&gt;0,($EK17)/($BZ17),""),"")</f>
        <v/>
      </c>
      <c r="FA17" s="56">
        <f>IFERROR(IF(($CA17)&gt;0,($EL17)/($CA17),""),"")</f>
        <v/>
      </c>
      <c r="FB17" s="56">
        <f>IFERROR(IF(($CB17)&gt;0,($EM17)/($CB17),""),"")</f>
        <v/>
      </c>
      <c r="FC17" s="55">
        <f>IF(SUMIFS(tblPlant[GIC_oz],tblPlant[Date],$A17)&gt;0,SUMIFS(tblPlant[GIC_oz],tblPlant[Date],$A17),"")</f>
        <v/>
      </c>
      <c r="FD17" s="55">
        <f>SUMIFS(tblGold[Gold_oz],tblGold[Date],$A17,tblGold[Type],"Shipment")</f>
        <v/>
      </c>
      <c r="FE17" s="55">
        <f>IF($B17=$B16,$FE16,0)+$FD17</f>
        <v/>
      </c>
      <c r="FF17" s="55">
        <f>$FF16+$FD17</f>
        <v/>
      </c>
      <c r="FG17" s="55">
        <f>SUMIFS(tblGold[Gold_oz],tblGold[Date],$A17,tblGold[Type],"Sale")</f>
        <v/>
      </c>
      <c r="FH17" s="55">
        <f>IF($B17=$B16,$FH16,0)+$FG17</f>
        <v/>
      </c>
      <c r="FI17" s="55">
        <f>$FI16+$FG17</f>
        <v/>
      </c>
      <c r="FJ17" s="55">
        <f>SUMIFS(tblGold[Dore_kg],tblGold[Date],$A17,tblGold[Type],"Shipment")</f>
        <v/>
      </c>
      <c r="FK17" s="55">
        <f>IF($B17=$B16,$FK16,0)+$FJ17</f>
        <v/>
      </c>
      <c r="FL17" s="55">
        <f>$FL16+$FJ17</f>
        <v/>
      </c>
      <c r="FM17" s="57">
        <f>SUMIFS(tblSafety[Hours_Total],tblSafety[Date],$A17)</f>
        <v/>
      </c>
      <c r="FN17" s="57">
        <f>IF($B17=$B16,$FN16,0)+$FM17</f>
        <v/>
      </c>
      <c r="FO17" s="57">
        <f>$FO16+$FM17</f>
        <v/>
      </c>
      <c r="FP17" s="62">
        <f>SUMIFS(tblSafety[Fatality],tblSafety[Date],$A17)</f>
        <v/>
      </c>
      <c r="FQ17" s="62">
        <f>IF($B17=$B16,$FQ16,0)+$FP17</f>
        <v/>
      </c>
      <c r="FR17" s="62">
        <f>$FR16+$FP17</f>
        <v/>
      </c>
      <c r="FS17" s="62">
        <f>SUMIFS(tblSafety[LTI],tblSafety[Date],$A17)</f>
        <v/>
      </c>
      <c r="FT17" s="62">
        <f>IF($B17=$B16,$FT16,0)+$FS17</f>
        <v/>
      </c>
      <c r="FU17" s="62">
        <f>$FU16+$FS17</f>
        <v/>
      </c>
      <c r="FV17" s="62">
        <f>SUMIFS(tblSafety[RWI],tblSafety[Date],$A17)</f>
        <v/>
      </c>
      <c r="FW17" s="62">
        <f>IF($B17=$B16,$FW16,0)+$FV17</f>
        <v/>
      </c>
      <c r="FX17" s="62">
        <f>$FX16+$FV17</f>
        <v/>
      </c>
      <c r="FY17" s="62">
        <f>SUMIFS(tblSafety[MTI],tblSafety[Date],$A17)</f>
        <v/>
      </c>
      <c r="FZ17" s="62">
        <f>IF($B17=$B16,$FZ16,0)+$FY17</f>
        <v/>
      </c>
      <c r="GA17" s="62">
        <f>$GA16+$FY17</f>
        <v/>
      </c>
      <c r="GB17" s="62">
        <f>SUMIFS(tblSafety[FAI],tblSafety[Date],$A17)</f>
        <v/>
      </c>
      <c r="GC17" s="62">
        <f>IF($B17=$B16,$GC16,0)+$GB17</f>
        <v/>
      </c>
      <c r="GD17" s="62">
        <f>$GD16+$GB17</f>
        <v/>
      </c>
      <c r="GE17" s="62">
        <f>SUMIFS(tblSafety[Recordables],tblSafety[Date],$A17)</f>
        <v/>
      </c>
      <c r="GF17" s="62">
        <f>IF($B17=$B16,$GF16,0)+$GE17</f>
        <v/>
      </c>
      <c r="GG17" s="62">
        <f>$GG16+$GE17</f>
        <v/>
      </c>
      <c r="GH17" s="62">
        <f>SUMIFS(tblSafety[Near_Miss],tblSafety[Date],$A17)</f>
        <v/>
      </c>
      <c r="GI17" s="62">
        <f>IF($B17=$B16,$GI16,0)+$GH17</f>
        <v/>
      </c>
      <c r="GJ17" s="62">
        <f>$GJ16+$GH17</f>
        <v/>
      </c>
      <c r="GK17" s="62">
        <f>SUMIFS(tblSafety[Hazard_Reports],tblSafety[Date],$A17)</f>
        <v/>
      </c>
      <c r="GL17" s="62">
        <f>IF($B17=$B16,$GL16,0)+$GK17</f>
        <v/>
      </c>
      <c r="GM17" s="62">
        <f>$GM16+$GK17</f>
        <v/>
      </c>
      <c r="GN17" s="62">
        <f>SUMIFS(tblSafety[HPI],tblSafety[Date],$A17)</f>
        <v/>
      </c>
      <c r="GO17" s="62">
        <f>IF($B17=$B16,$GO16,0)+$GN17</f>
        <v/>
      </c>
      <c r="GP17" s="62">
        <f>$GP16+$GN17</f>
        <v/>
      </c>
      <c r="GQ17" s="62">
        <f>SUMIFS(tblSafety[Env_Incidents],tblSafety[Date],$A17)</f>
        <v/>
      </c>
      <c r="GR17" s="62">
        <f>IF($B17=$B16,$GR16,0)+$GQ17</f>
        <v/>
      </c>
      <c r="GS17" s="62">
        <f>$GS16+$GQ17</f>
        <v/>
      </c>
      <c r="GT17" s="62">
        <f>SUMIFS(tblSafety[Community_Incidents],tblSafety[Date],$A17)</f>
        <v/>
      </c>
      <c r="GU17" s="62">
        <f>IF($B17=$B16,$GU16,0)+$GT17</f>
        <v/>
      </c>
      <c r="GV17" s="62">
        <f>$GV16+$GT17</f>
        <v/>
      </c>
      <c r="GW17" s="62">
        <f>SUMIFS(tblSafety[Vehicle_Incidents],tblSafety[Date],$A17)</f>
        <v/>
      </c>
      <c r="GX17" s="62">
        <f>IF($B17=$B16,$GX16,0)+$GW17</f>
        <v/>
      </c>
      <c r="GY17" s="62">
        <f>$GY16+$GW17</f>
        <v/>
      </c>
      <c r="GZ17" s="62">
        <f>SUMIFS(tblSafety[Toolbox_Talks],tblSafety[Date],$A17)</f>
        <v/>
      </c>
      <c r="HA17" s="62">
        <f>IF($B17=$B16,$HA16,0)+$GZ17</f>
        <v/>
      </c>
      <c r="HB17" s="62">
        <f>$HB16+$GZ17</f>
        <v/>
      </c>
      <c r="HC17" s="62">
        <f>SUMIFS(tblSafety[Inspections],tblSafety[Date],$A17)</f>
        <v/>
      </c>
      <c r="HD17" s="62">
        <f>IF($B17=$B16,$HD16,0)+$HC17</f>
        <v/>
      </c>
      <c r="HE17" s="62">
        <f>$HE16+$HC17</f>
        <v/>
      </c>
      <c r="HF17" s="56">
        <f>IFERROR((SUMIFS(tblSafety[Recordables],tblSafety[Date],"&gt;="&amp;EDATE($E17,-12),tblSafety[Date],"&lt;="&amp;$A17)+SUMIFS(tblSafetyHistory[Recordables],tblSafetyHistory[Month],"&gt;="&amp;EDATE($E17,-12),tblSafetyHistory[Month],"&lt;"&amp;cfg_YearStart))/(SUMIFS(tblSafety[Hours_Total],tblSafety[Date],"&gt;="&amp;EDATE($E17,-12),tblSafety[Date],"&lt;="&amp;$A17)+SUMIFS(tblSafetyHistory[Hours_Total],tblSafetyHistory[Month],"&gt;="&amp;EDATE($E17,-12),tblSafetyHistory[Month],"&lt;"&amp;cfg_YearStart))*1000000,"")</f>
        <v/>
      </c>
      <c r="HG17" s="56">
        <f>IFERROR((SUMIFS(tblSafety[LTI],tblSafety[Date],"&gt;="&amp;EDATE($E17,-12),tblSafety[Date],"&lt;="&amp;$A17)+SUMIFS(tblSafetyHistory[LTI],tblSafetyHistory[Month],"&gt;="&amp;EDATE($E17,-12),tblSafetyHistory[Month],"&lt;"&amp;cfg_YearStart))/(SUMIFS(tblSafety[Hours_Total],tblSafety[Date],"&gt;="&amp;EDATE($E17,-12),tblSafety[Date],"&lt;="&amp;$A17)+SUMIFS(tblSafetyHistory[Hours_Total],tblSafetyHistory[Month],"&gt;="&amp;EDATE($E17,-12),tblSafetyHistory[Month],"&lt;"&amp;cfg_YearStart))*1000000,"")</f>
        <v/>
      </c>
      <c r="HH17" s="62">
        <f>IF(MAX(N(cfg_PriorLTIDate),_xlfn.MAXIFS(tblSafety[Date],tblSafety[LTI],"&gt;0",tblSafety[Date],"&lt;="&amp;$A17))=0,"",$A17-MAX(N(cfg_PriorLTIDate),_xlfn.MAXIFS(tblSafety[Date],tblSafety[LTI],"&gt;0",tblSafety[Date],"&lt;="&amp;$A17)))</f>
        <v/>
      </c>
      <c r="HI17" s="55">
        <f>SUMIFS(tblBudget[Ore_Mined_t],tblBudget[Month],$E17)</f>
        <v/>
      </c>
      <c r="HJ17" s="55">
        <f>$HI17*$C17/$D17</f>
        <v/>
      </c>
      <c r="HK17" s="55">
        <f>SUMIFS(tblBudget[Ore_Mined_t],tblBudget[Month],"&lt;"&amp;$E17)+$HJ17</f>
        <v/>
      </c>
      <c r="HL17" s="55">
        <f>SUMIFS(tblBudget[Ore_oz],tblBudget[Month],$E17)</f>
        <v/>
      </c>
      <c r="HM17" s="55">
        <f>$HL17*$C17/$D17</f>
        <v/>
      </c>
      <c r="HN17" s="55">
        <f>SUMIFS(tblBudget[Ore_oz],tblBudget[Month],"&lt;"&amp;$E17)+$HM17</f>
        <v/>
      </c>
      <c r="HO17" s="56">
        <f>IFERROR(IF(($HI17)&gt;0,($HL17*cfg_TroyOz)/($HI17),""),"")</f>
        <v/>
      </c>
      <c r="HP17" s="56">
        <f>IFERROR(IF(($HJ17)&gt;0,($HM17*cfg_TroyOz)/($HJ17),""),"")</f>
        <v/>
      </c>
      <c r="HQ17" s="56">
        <f>IFERROR(IF(($HK17)&gt;0,($HN17*cfg_TroyOz)/($HK17),""),"")</f>
        <v/>
      </c>
      <c r="HR17" s="55">
        <f>SUMIFS(tblBudget[Waste_t],tblBudget[Month],$E17)</f>
        <v/>
      </c>
      <c r="HS17" s="55">
        <f>$HR17*$C17/$D17</f>
        <v/>
      </c>
      <c r="HT17" s="55">
        <f>SUMIFS(tblBudget[Waste_t],tblBudget[Month],"&lt;"&amp;$E17)+$HS17</f>
        <v/>
      </c>
      <c r="HU17" s="55">
        <f>SUMIFS(tblBudget[TMM_t],tblBudget[Month],$E17)</f>
        <v/>
      </c>
      <c r="HV17" s="55">
        <f>$HU17*$C17/$D17</f>
        <v/>
      </c>
      <c r="HW17" s="55">
        <f>SUMIFS(tblBudget[TMM_t],tblBudget[Month],"&lt;"&amp;$E17)+$HV17</f>
        <v/>
      </c>
      <c r="HX17" s="56">
        <f>IFERROR(IF(($HI17)&gt;0,($HR17)/($HI17),""),"")</f>
        <v/>
      </c>
      <c r="HY17" s="56">
        <f>IFERROR(IF(($HJ17)&gt;0,($HS17)/($HJ17),""),"")</f>
        <v/>
      </c>
      <c r="HZ17" s="56">
        <f>IFERROR(IF(($HK17)&gt;0,($HT17)/($HK17),""),"")</f>
        <v/>
      </c>
      <c r="IA17" s="55">
        <f>SUMIFS(tblBudget[Drill_m],tblBudget[Month],$E17)</f>
        <v/>
      </c>
      <c r="IB17" s="55">
        <f>$IA17*$C17/$D17</f>
        <v/>
      </c>
      <c r="IC17" s="55">
        <f>SUMIFS(tblBudget[Drill_m],tblBudget[Month],"&lt;"&amp;$E17)+$IB17</f>
        <v/>
      </c>
      <c r="ID17" s="55">
        <f>SUMIFS(tblBudget[Diesel_L],tblBudget[Month],$E17)</f>
        <v/>
      </c>
      <c r="IE17" s="55">
        <f>$ID17*$C17/$D17</f>
        <v/>
      </c>
      <c r="IF17" s="55">
        <f>SUMIFS(tblBudget[Diesel_L],tblBudget[Month],"&lt;"&amp;$E17)+$IE17</f>
        <v/>
      </c>
      <c r="IG17" s="55">
        <f>SUMIFS(tblBudget[Milled_t],tblBudget[Month],$E17)</f>
        <v/>
      </c>
      <c r="IH17" s="55">
        <f>$IG17*$C17/$D17</f>
        <v/>
      </c>
      <c r="II17" s="55">
        <f>SUMIFS(tblBudget[Milled_t],tblBudget[Month],"&lt;"&amp;$E17)+$IH17</f>
        <v/>
      </c>
      <c r="IJ17" s="55">
        <f>SUMIFS(tblBudget[Feed_oz],tblBudget[Month],$E17)</f>
        <v/>
      </c>
      <c r="IK17" s="55">
        <f>$IJ17*$C17/$D17</f>
        <v/>
      </c>
      <c r="IL17" s="55">
        <f>SUMIFS(tblBudget[Feed_oz],tblBudget[Month],"&lt;"&amp;$E17)+$IK17</f>
        <v/>
      </c>
      <c r="IM17" s="55">
        <f>SUMIFS(tblBudget[Recovered_oz],tblBudget[Month],$E17)</f>
        <v/>
      </c>
      <c r="IN17" s="55">
        <f>$IM17*$C17/$D17</f>
        <v/>
      </c>
      <c r="IO17" s="55">
        <f>SUMIFS(tblBudget[Recovered_oz],tblBudget[Month],"&lt;"&amp;$E17)+$IN17</f>
        <v/>
      </c>
      <c r="IP17" s="56">
        <f>IFERROR(IF(($IG17)&gt;0,($IJ17*cfg_TroyOz)/($IG17),""),"")</f>
        <v/>
      </c>
      <c r="IQ17" s="56">
        <f>IFERROR(IF(($IH17)&gt;0,($IK17*cfg_TroyOz)/($IH17),""),"")</f>
        <v/>
      </c>
      <c r="IR17" s="56">
        <f>IFERROR(IF(($II17)&gt;0,($IL17*cfg_TroyOz)/($II17),""),"")</f>
        <v/>
      </c>
      <c r="IS17" s="67">
        <f>IFERROR(IF(($IJ17)&gt;0,($IM17)/($IJ17),""),"")</f>
        <v/>
      </c>
      <c r="IT17" s="67">
        <f>IFERROR(IF(($IK17)&gt;0,($IN17)/($IK17),""),"")</f>
        <v/>
      </c>
      <c r="IU17" s="67">
        <f>IFERROR(IF(($IL17)&gt;0,($IO17)/($IL17),""),"")</f>
        <v/>
      </c>
      <c r="IV17" s="55">
        <f>SUMIFS(tblBudget[Gold_Poured_oz],tblBudget[Month],$E17)</f>
        <v/>
      </c>
      <c r="IW17" s="55">
        <f>$IV17*$C17/$D17</f>
        <v/>
      </c>
      <c r="IX17" s="55">
        <f>SUMIFS(tblBudget[Gold_Poured_oz],tblBudget[Month],"&lt;"&amp;$E17)+$IW17</f>
        <v/>
      </c>
      <c r="IY17" s="57">
        <f>SUMIFS(tblBudget[Hours_Worked],tblBudget[Month],$E17)</f>
        <v/>
      </c>
      <c r="IZ17" s="57">
        <f>$IY17*$C17/$D17</f>
        <v/>
      </c>
      <c r="JA17" s="57">
        <f>SUMIFS(tblBudget[Hours_Worked],tblBudget[Month],"&lt;"&amp;$E17)+$IZ17</f>
        <v/>
      </c>
    </row>
    <row r="18">
      <c r="A18" s="54" t="n">
        <v>46039</v>
      </c>
      <c r="B18">
        <f>MONTH($A18)</f>
        <v/>
      </c>
      <c r="C18">
        <f>DAY($A18)</f>
        <v/>
      </c>
      <c r="D18">
        <f>DAY(EOMONTH($A18,0))</f>
        <v/>
      </c>
      <c r="E18" s="54">
        <f>DATE(YEAR($A18),MONTH($A18),1)</f>
        <v/>
      </c>
      <c r="F18" s="55">
        <f>SUMIFS(tblMovement[Tonnes_t],tblMovement[Date],$A18,tblMovement[Is_Ore],1,tblMovement[Source_Type],"Pit")</f>
        <v/>
      </c>
      <c r="G18" s="55">
        <f>IF($B18=$B17,$G17,0)+$F18</f>
        <v/>
      </c>
      <c r="H18" s="55">
        <f>$H17+$F18</f>
        <v/>
      </c>
      <c r="I18" s="55">
        <f>SUMIFS(tblMovement[Ore_oz],tblMovement[Date],$A18,tblMovement[Source_Type],"Pit")</f>
        <v/>
      </c>
      <c r="J18" s="55">
        <f>IF($B18=$B17,$J17,0)+$I18</f>
        <v/>
      </c>
      <c r="K18" s="55">
        <f>$K17+$I18</f>
        <v/>
      </c>
      <c r="L18" s="56">
        <f>IFERROR(IF(($F18)&gt;0,($I18*cfg_TroyOz)/($F18),""),"")</f>
        <v/>
      </c>
      <c r="M18" s="56">
        <f>IFERROR(IF(($G18)&gt;0,($J18*cfg_TroyOz)/($G18),""),"")</f>
        <v/>
      </c>
      <c r="N18" s="56">
        <f>IFERROR(IF(($H18)&gt;0,($K18*cfg_TroyOz)/($H18),""),"")</f>
        <v/>
      </c>
      <c r="O18" s="55">
        <f>SUMIFS(tblMovement[Tonnes_t],tblMovement[Date],$A18,tblMovement[Is_Ore],0,tblMovement[Source_Type],"Pit")</f>
        <v/>
      </c>
      <c r="P18" s="55">
        <f>IF($B18=$B17,$P17,0)+$O18</f>
        <v/>
      </c>
      <c r="Q18" s="55">
        <f>$Q17+$O18</f>
        <v/>
      </c>
      <c r="R18" s="55">
        <f>$F18+$O18</f>
        <v/>
      </c>
      <c r="S18" s="55">
        <f>IF($B18=$B17,$S17,0)+$R18</f>
        <v/>
      </c>
      <c r="T18" s="55">
        <f>$T17+$R18</f>
        <v/>
      </c>
      <c r="U18" s="56">
        <f>IFERROR(IF(($F18)&gt;0,($O18)/($F18),""),"")</f>
        <v/>
      </c>
      <c r="V18" s="56">
        <f>IFERROR(IF(($G18)&gt;0,($P18)/($G18),""),"")</f>
        <v/>
      </c>
      <c r="W18" s="56">
        <f>IFERROR(IF(($H18)&gt;0,($Q18)/($H18),""),"")</f>
        <v/>
      </c>
      <c r="X18" s="55">
        <f>SUMIFS(tblMovement[Tonnes_t],tblMovement[Date],$A18,tblMovement[Source_Type],"Stockpile")</f>
        <v/>
      </c>
      <c r="Y18" s="55">
        <f>IF($B18=$B17,$Y17,0)+$X18</f>
        <v/>
      </c>
      <c r="Z18" s="55">
        <f>$Z17+$X18</f>
        <v/>
      </c>
      <c r="AA18" s="55">
        <f>SUMIFS(tblMiningDaily[Drill_m],tblMiningDaily[Date],$A18)</f>
        <v/>
      </c>
      <c r="AB18" s="55">
        <f>IF($B18=$B17,$AB17,0)+$AA18</f>
        <v/>
      </c>
      <c r="AC18" s="55">
        <f>$AC17+$AA18</f>
        <v/>
      </c>
      <c r="AD18" s="55">
        <f>SUMIFS(tblMiningDaily[Blast_t],tblMiningDaily[Date],$A18)</f>
        <v/>
      </c>
      <c r="AE18" s="55">
        <f>IF($B18=$B17,$AE17,0)+$AD18</f>
        <v/>
      </c>
      <c r="AF18" s="55">
        <f>$AF17+$AD18</f>
        <v/>
      </c>
      <c r="AG18" s="55">
        <f>SUMIFS(tblMiningDaily[Explosives_kg],tblMiningDaily[Date],$A18)</f>
        <v/>
      </c>
      <c r="AH18" s="55">
        <f>IF($B18=$B17,$AH17,0)+$AG18</f>
        <v/>
      </c>
      <c r="AI18" s="55">
        <f>$AI17+$AG18</f>
        <v/>
      </c>
      <c r="AJ18" s="56">
        <f>IFERROR(IF(($AD18)&gt;0,($AG18)/($AD18),""),"")</f>
        <v/>
      </c>
      <c r="AK18" s="56">
        <f>IFERROR(IF(($AE18)&gt;0,($AH18)/($AE18),""),"")</f>
        <v/>
      </c>
      <c r="AL18" s="56">
        <f>IFERROR(IF(($AF18)&gt;0,($AI18)/($AF18),""),"")</f>
        <v/>
      </c>
      <c r="AM18" s="55">
        <f>SUMIFS(tblMiningDaily[Diesel_L],tblMiningDaily[Date],$A18)</f>
        <v/>
      </c>
      <c r="AN18" s="55">
        <f>IF($B18=$B17,$AN17,0)+$AM18</f>
        <v/>
      </c>
      <c r="AO18" s="55">
        <f>$AO17+$AM18</f>
        <v/>
      </c>
      <c r="AP18" s="55">
        <f>SUMIFS(tblMiningDaily[Dewatering_m3],tblMiningDaily[Date],$A18)</f>
        <v/>
      </c>
      <c r="AQ18" s="55">
        <f>IF($B18=$B17,$AQ17,0)+$AP18</f>
        <v/>
      </c>
      <c r="AR18" s="55">
        <f>$AR17+$AP18</f>
        <v/>
      </c>
      <c r="AS18" s="57">
        <f>SUMIFS(tblFleet[Calendar_h],tblFleet[Date],$A18,tblFleet[Equipment_Class],"Excavator")</f>
        <v/>
      </c>
      <c r="AT18" s="57">
        <f>IF($B18=$B17,$AT17,0)+$AS18</f>
        <v/>
      </c>
      <c r="AU18" s="57">
        <f>$AU17+$AS18</f>
        <v/>
      </c>
      <c r="AV18" s="57">
        <f>SUMIFS(tblFleet[Available_h],tblFleet[Date],$A18,tblFleet[Equipment_Class],"Excavator")</f>
        <v/>
      </c>
      <c r="AW18" s="57">
        <f>IF($B18=$B17,$AW17,0)+$AV18</f>
        <v/>
      </c>
      <c r="AX18" s="57">
        <f>$AX17+$AV18</f>
        <v/>
      </c>
      <c r="AY18" s="57">
        <f>SUMIFS(tblFleet[Operating_h],tblFleet[Date],$A18,tblFleet[Equipment_Class],"Excavator")</f>
        <v/>
      </c>
      <c r="AZ18" s="57">
        <f>IF($B18=$B17,$AZ17,0)+$AY18</f>
        <v/>
      </c>
      <c r="BA18" s="57">
        <f>$BA17+$AY18</f>
        <v/>
      </c>
      <c r="BB18" s="67">
        <f>IFERROR(IF(($AS18)&gt;0,($AV18)/($AS18),""),"")</f>
        <v/>
      </c>
      <c r="BC18" s="67">
        <f>IFERROR(IF(($AT18)&gt;0,($AW18)/($AT18),""),"")</f>
        <v/>
      </c>
      <c r="BD18" s="67">
        <f>IFERROR(IF(($AU18)&gt;0,($AX18)/($AU18),""),"")</f>
        <v/>
      </c>
      <c r="BE18" s="67">
        <f>IFERROR(IF(($AV18)&gt;0,($AY18)/($AV18),""),"")</f>
        <v/>
      </c>
      <c r="BF18" s="67">
        <f>IFERROR(IF(($AW18)&gt;0,($AZ18)/($AW18),""),"")</f>
        <v/>
      </c>
      <c r="BG18" s="67">
        <f>IFERROR(IF(($AX18)&gt;0,($BA18)/($AX18),""),"")</f>
        <v/>
      </c>
      <c r="BH18" s="57">
        <f>SUMIFS(tblFleet[Calendar_h],tblFleet[Date],$A18,tblFleet[Equipment_Class],"Haul Truck")</f>
        <v/>
      </c>
      <c r="BI18" s="57">
        <f>IF($B18=$B17,$BI17,0)+$BH18</f>
        <v/>
      </c>
      <c r="BJ18" s="57">
        <f>$BJ17+$BH18</f>
        <v/>
      </c>
      <c r="BK18" s="57">
        <f>SUMIFS(tblFleet[Available_h],tblFleet[Date],$A18,tblFleet[Equipment_Class],"Haul Truck")</f>
        <v/>
      </c>
      <c r="BL18" s="57">
        <f>IF($B18=$B17,$BL17,0)+$BK18</f>
        <v/>
      </c>
      <c r="BM18" s="57">
        <f>$BM17+$BK18</f>
        <v/>
      </c>
      <c r="BN18" s="57">
        <f>SUMIFS(tblFleet[Operating_h],tblFleet[Date],$A18,tblFleet[Equipment_Class],"Haul Truck")</f>
        <v/>
      </c>
      <c r="BO18" s="57">
        <f>IF($B18=$B17,$BO17,0)+$BN18</f>
        <v/>
      </c>
      <c r="BP18" s="57">
        <f>$BP17+$BN18</f>
        <v/>
      </c>
      <c r="BQ18" s="67">
        <f>IFERROR(IF(($BH18)&gt;0,($BK18)/($BH18),""),"")</f>
        <v/>
      </c>
      <c r="BR18" s="67">
        <f>IFERROR(IF(($BI18)&gt;0,($BL18)/($BI18),""),"")</f>
        <v/>
      </c>
      <c r="BS18" s="67">
        <f>IFERROR(IF(($BJ18)&gt;0,($BM18)/($BJ18),""),"")</f>
        <v/>
      </c>
      <c r="BT18" s="67">
        <f>IFERROR(IF(($BK18)&gt;0,($BN18)/($BK18),""),"")</f>
        <v/>
      </c>
      <c r="BU18" s="67">
        <f>IFERROR(IF(($BL18)&gt;0,($BO18)/($BL18),""),"")</f>
        <v/>
      </c>
      <c r="BV18" s="67">
        <f>IFERROR(IF(($BM18)&gt;0,($BP18)/($BM18),""),"")</f>
        <v/>
      </c>
      <c r="BW18" s="55">
        <f>SUMIFS(tblPlant[Crushed_t],tblPlant[Date],$A18)</f>
        <v/>
      </c>
      <c r="BX18" s="55">
        <f>IF($B18=$B17,$BX17,0)+$BW18</f>
        <v/>
      </c>
      <c r="BY18" s="55">
        <f>$BY17+$BW18</f>
        <v/>
      </c>
      <c r="BZ18" s="55">
        <f>SUMIFS(tblPlant[Milled_t],tblPlant[Date],$A18)</f>
        <v/>
      </c>
      <c r="CA18" s="55">
        <f>IF($B18=$B17,$CA17,0)+$BZ18</f>
        <v/>
      </c>
      <c r="CB18" s="55">
        <f>$CB17+$BZ18</f>
        <v/>
      </c>
      <c r="CC18" s="55">
        <f>SUMIFS(tblPlant[Feed_oz],tblPlant[Date],$A18)</f>
        <v/>
      </c>
      <c r="CD18" s="55">
        <f>IF($B18=$B17,$CD17,0)+$CC18</f>
        <v/>
      </c>
      <c r="CE18" s="55">
        <f>$CE17+$CC18</f>
        <v/>
      </c>
      <c r="CF18" s="55">
        <f>SUMIFS(tblPlant[Tails_oz],tblPlant[Date],$A18)</f>
        <v/>
      </c>
      <c r="CG18" s="55">
        <f>IF($B18=$B17,$CG17,0)+$CF18</f>
        <v/>
      </c>
      <c r="CH18" s="55">
        <f>$CH17+$CF18</f>
        <v/>
      </c>
      <c r="CI18" s="55">
        <f>SUMIFS(tblPlant[Recovered_oz],tblPlant[Date],$A18)</f>
        <v/>
      </c>
      <c r="CJ18" s="55">
        <f>IF($B18=$B17,$CJ17,0)+$CI18</f>
        <v/>
      </c>
      <c r="CK18" s="55">
        <f>$CK17+$CI18</f>
        <v/>
      </c>
      <c r="CL18" s="56">
        <f>IFERROR(IF(($BZ18)&gt;0,($CC18*cfg_TroyOz)/($BZ18),""),"")</f>
        <v/>
      </c>
      <c r="CM18" s="56">
        <f>IFERROR(IF(($CA18)&gt;0,($CD18*cfg_TroyOz)/($CA18),""),"")</f>
        <v/>
      </c>
      <c r="CN18" s="56">
        <f>IFERROR(IF(($CB18)&gt;0,($CE18*cfg_TroyOz)/($CB18),""),"")</f>
        <v/>
      </c>
      <c r="CO18" s="56">
        <f>IFERROR(IF(($BZ18)&gt;0,($CF18*cfg_TroyOz)/($BZ18),""),"")</f>
        <v/>
      </c>
      <c r="CP18" s="56">
        <f>IFERROR(IF(($CA18)&gt;0,($CG18*cfg_TroyOz)/($CA18),""),"")</f>
        <v/>
      </c>
      <c r="CQ18" s="56">
        <f>IFERROR(IF(($CB18)&gt;0,($CH18*cfg_TroyOz)/($CB18),""),"")</f>
        <v/>
      </c>
      <c r="CR18" s="67">
        <f>IFERROR(IF(($CC18)&gt;0,($CI18)/($CC18),""),"")</f>
        <v/>
      </c>
      <c r="CS18" s="67">
        <f>IFERROR(IF(($CD18)&gt;0,($CJ18)/($CD18),""),"")</f>
        <v/>
      </c>
      <c r="CT18" s="67">
        <f>IFERROR(IF(($CE18)&gt;0,($CK18)/($CE18),""),"")</f>
        <v/>
      </c>
      <c r="CU18" s="55">
        <f>SUMIFS(tblPlant[Gravity_Gold_oz],tblPlant[Date],$A18)</f>
        <v/>
      </c>
      <c r="CV18" s="55">
        <f>IF($B18=$B17,$CV17,0)+$CU18</f>
        <v/>
      </c>
      <c r="CW18" s="55">
        <f>$CW17+$CU18</f>
        <v/>
      </c>
      <c r="CX18" s="55">
        <f>SUMIFS(tblPlant[Gold_Poured_oz],tblPlant[Date],$A18)</f>
        <v/>
      </c>
      <c r="CY18" s="55">
        <f>IF($B18=$B17,$CY17,0)+$CX18</f>
        <v/>
      </c>
      <c r="CZ18" s="55">
        <f>$CZ17+$CX18</f>
        <v/>
      </c>
      <c r="DA18" s="57">
        <f>SUMIFS(tblPlant[Mill_Run_h],tblPlant[Date],$A18)</f>
        <v/>
      </c>
      <c r="DB18" s="57">
        <f>IF($B18=$B17,$DB17,0)+$DA18</f>
        <v/>
      </c>
      <c r="DC18" s="57">
        <f>$DC17+$DA18</f>
        <v/>
      </c>
      <c r="DD18" s="57">
        <f>SUMIFS(tblPlant[Mill_Planned_Maint_h],tblPlant[Date],$A18)</f>
        <v/>
      </c>
      <c r="DE18" s="57">
        <f>IF($B18=$B17,$DE17,0)+$DD18</f>
        <v/>
      </c>
      <c r="DF18" s="57">
        <f>$DF17+$DD18</f>
        <v/>
      </c>
      <c r="DG18" s="57">
        <f>SUMIFS(tblPlant[Mill_Unplanned_Down_h],tblPlant[Date],$A18)</f>
        <v/>
      </c>
      <c r="DH18" s="57">
        <f>IF($B18=$B17,$DH17,0)+$DG18</f>
        <v/>
      </c>
      <c r="DI18" s="57">
        <f>$DI17+$DG18</f>
        <v/>
      </c>
      <c r="DJ18" s="57">
        <f>COUNTIFS(tblPlant[Date],$A18,tblPlant[Mill_Run_h],"&lt;&gt;")*24</f>
        <v/>
      </c>
      <c r="DK18" s="57">
        <f>IF($B18=$B17,$DK17,0)+$DJ18</f>
        <v/>
      </c>
      <c r="DL18" s="57">
        <f>$DL17+$DJ18</f>
        <v/>
      </c>
      <c r="DM18" s="57">
        <f>SUMIFS(tblPlant[Crusher_Run_h],tblPlant[Date],$A18)</f>
        <v/>
      </c>
      <c r="DN18" s="57">
        <f>IF($B18=$B17,$DN17,0)+$DM18</f>
        <v/>
      </c>
      <c r="DO18" s="57">
        <f>$DO17+$DM18</f>
        <v/>
      </c>
      <c r="DP18" s="55">
        <f>IFERROR(IF(($DA18)&gt;0,($BZ18)/($DA18),""),"")</f>
        <v/>
      </c>
      <c r="DQ18" s="55">
        <f>IFERROR(IF(($DB18)&gt;0,($CA18)/($DB18),""),"")</f>
        <v/>
      </c>
      <c r="DR18" s="55">
        <f>IFERROR(IF(($DC18)&gt;0,($CB18)/($DC18),""),"")</f>
        <v/>
      </c>
      <c r="DS18" s="67">
        <f>IFERROR(IF(($DJ18)&gt;0,($DJ18-$DD18-$DG18)/($DJ18),""),"")</f>
        <v/>
      </c>
      <c r="DT18" s="67">
        <f>IFERROR(IF(($DK18)&gt;0,($DK18-$DE18-$DH18)/($DK18),""),"")</f>
        <v/>
      </c>
      <c r="DU18" s="67">
        <f>IFERROR(IF(($DL18)&gt;0,($DL18-$DF18-$DI18)/($DL18),""),"")</f>
        <v/>
      </c>
      <c r="DV18" s="67">
        <f>IFERROR(IF(($DJ18-$DD18-$DG18)&gt;0,($DA18)/($DJ18-$DD18-$DG18),""),"")</f>
        <v/>
      </c>
      <c r="DW18" s="67">
        <f>IFERROR(IF(($DK18-$DE18-$DH18)&gt;0,($DB18)/($DK18-$DE18-$DH18),""),"")</f>
        <v/>
      </c>
      <c r="DX18" s="67">
        <f>IFERROR(IF(($DL18-$DF18-$DI18)&gt;0,($DC18)/($DL18-$DF18-$DI18),""),"")</f>
        <v/>
      </c>
      <c r="DY18" s="55">
        <f>SUMIFS(tblPlant[Cyanide_kg],tblPlant[Date],$A18)</f>
        <v/>
      </c>
      <c r="DZ18" s="55">
        <f>IF($B18=$B17,$DZ17,0)+$DY18</f>
        <v/>
      </c>
      <c r="EA18" s="55">
        <f>$EA17+$DY18</f>
        <v/>
      </c>
      <c r="EB18" s="55">
        <f>SUMIFS(tblPlant[Lime_kg],tblPlant[Date],$A18)</f>
        <v/>
      </c>
      <c r="EC18" s="55">
        <f>IF($B18=$B17,$EC17,0)+$EB18</f>
        <v/>
      </c>
      <c r="ED18" s="55">
        <f>$ED17+$EB18</f>
        <v/>
      </c>
      <c r="EE18" s="55">
        <f>SUMIFS(tblPlant[Grinding_Media_kg],tblPlant[Date],$A18)</f>
        <v/>
      </c>
      <c r="EF18" s="55">
        <f>IF($B18=$B17,$EF17,0)+$EE18</f>
        <v/>
      </c>
      <c r="EG18" s="55">
        <f>$EG17+$EE18</f>
        <v/>
      </c>
      <c r="EH18" s="55">
        <f>SUMIFS(tblPlant[Power_kWh],tblPlant[Date],$A18)</f>
        <v/>
      </c>
      <c r="EI18" s="55">
        <f>IF($B18=$B17,$EI17,0)+$EH18</f>
        <v/>
      </c>
      <c r="EJ18" s="55">
        <f>$EJ17+$EH18</f>
        <v/>
      </c>
      <c r="EK18" s="55">
        <f>SUMIFS(tblPlant[Raw_Water_m3],tblPlant[Date],$A18)</f>
        <v/>
      </c>
      <c r="EL18" s="55">
        <f>IF($B18=$B17,$EL17,0)+$EK18</f>
        <v/>
      </c>
      <c r="EM18" s="55">
        <f>$EM17+$EK18</f>
        <v/>
      </c>
      <c r="EN18" s="56">
        <f>IFERROR(IF(($BZ18)&gt;0,($DY18)/($BZ18),""),"")</f>
        <v/>
      </c>
      <c r="EO18" s="56">
        <f>IFERROR(IF(($CA18)&gt;0,($DZ18)/($CA18),""),"")</f>
        <v/>
      </c>
      <c r="EP18" s="56">
        <f>IFERROR(IF(($CB18)&gt;0,($EA18)/($CB18),""),"")</f>
        <v/>
      </c>
      <c r="EQ18" s="56">
        <f>IFERROR(IF(($BZ18)&gt;0,($EB18)/($BZ18),""),"")</f>
        <v/>
      </c>
      <c r="ER18" s="56">
        <f>IFERROR(IF(($CA18)&gt;0,($EC18)/($CA18),""),"")</f>
        <v/>
      </c>
      <c r="ES18" s="56">
        <f>IFERROR(IF(($CB18)&gt;0,($ED18)/($CB18),""),"")</f>
        <v/>
      </c>
      <c r="ET18" s="56">
        <f>IFERROR(IF(($BZ18)&gt;0,($EE18)/($BZ18),""),"")</f>
        <v/>
      </c>
      <c r="EU18" s="56">
        <f>IFERROR(IF(($CA18)&gt;0,($EF18)/($CA18),""),"")</f>
        <v/>
      </c>
      <c r="EV18" s="56">
        <f>IFERROR(IF(($CB18)&gt;0,($EG18)/($CB18),""),"")</f>
        <v/>
      </c>
      <c r="EW18" s="76">
        <f>IFERROR(IF(($BZ18)&gt;0,($EH18)/($BZ18),""),"")</f>
        <v/>
      </c>
      <c r="EX18" s="76">
        <f>IFERROR(IF(($CA18)&gt;0,($EI18)/($CA18),""),"")</f>
        <v/>
      </c>
      <c r="EY18" s="76">
        <f>IFERROR(IF(($CB18)&gt;0,($EJ18)/($CB18),""),"")</f>
        <v/>
      </c>
      <c r="EZ18" s="56">
        <f>IFERROR(IF(($BZ18)&gt;0,($EK18)/($BZ18),""),"")</f>
        <v/>
      </c>
      <c r="FA18" s="56">
        <f>IFERROR(IF(($CA18)&gt;0,($EL18)/($CA18),""),"")</f>
        <v/>
      </c>
      <c r="FB18" s="56">
        <f>IFERROR(IF(($CB18)&gt;0,($EM18)/($CB18),""),"")</f>
        <v/>
      </c>
      <c r="FC18" s="55">
        <f>IF(SUMIFS(tblPlant[GIC_oz],tblPlant[Date],$A18)&gt;0,SUMIFS(tblPlant[GIC_oz],tblPlant[Date],$A18),"")</f>
        <v/>
      </c>
      <c r="FD18" s="55">
        <f>SUMIFS(tblGold[Gold_oz],tblGold[Date],$A18,tblGold[Type],"Shipment")</f>
        <v/>
      </c>
      <c r="FE18" s="55">
        <f>IF($B18=$B17,$FE17,0)+$FD18</f>
        <v/>
      </c>
      <c r="FF18" s="55">
        <f>$FF17+$FD18</f>
        <v/>
      </c>
      <c r="FG18" s="55">
        <f>SUMIFS(tblGold[Gold_oz],tblGold[Date],$A18,tblGold[Type],"Sale")</f>
        <v/>
      </c>
      <c r="FH18" s="55">
        <f>IF($B18=$B17,$FH17,0)+$FG18</f>
        <v/>
      </c>
      <c r="FI18" s="55">
        <f>$FI17+$FG18</f>
        <v/>
      </c>
      <c r="FJ18" s="55">
        <f>SUMIFS(tblGold[Dore_kg],tblGold[Date],$A18,tblGold[Type],"Shipment")</f>
        <v/>
      </c>
      <c r="FK18" s="55">
        <f>IF($B18=$B17,$FK17,0)+$FJ18</f>
        <v/>
      </c>
      <c r="FL18" s="55">
        <f>$FL17+$FJ18</f>
        <v/>
      </c>
      <c r="FM18" s="57">
        <f>SUMIFS(tblSafety[Hours_Total],tblSafety[Date],$A18)</f>
        <v/>
      </c>
      <c r="FN18" s="57">
        <f>IF($B18=$B17,$FN17,0)+$FM18</f>
        <v/>
      </c>
      <c r="FO18" s="57">
        <f>$FO17+$FM18</f>
        <v/>
      </c>
      <c r="FP18" s="62">
        <f>SUMIFS(tblSafety[Fatality],tblSafety[Date],$A18)</f>
        <v/>
      </c>
      <c r="FQ18" s="62">
        <f>IF($B18=$B17,$FQ17,0)+$FP18</f>
        <v/>
      </c>
      <c r="FR18" s="62">
        <f>$FR17+$FP18</f>
        <v/>
      </c>
      <c r="FS18" s="62">
        <f>SUMIFS(tblSafety[LTI],tblSafety[Date],$A18)</f>
        <v/>
      </c>
      <c r="FT18" s="62">
        <f>IF($B18=$B17,$FT17,0)+$FS18</f>
        <v/>
      </c>
      <c r="FU18" s="62">
        <f>$FU17+$FS18</f>
        <v/>
      </c>
      <c r="FV18" s="62">
        <f>SUMIFS(tblSafety[RWI],tblSafety[Date],$A18)</f>
        <v/>
      </c>
      <c r="FW18" s="62">
        <f>IF($B18=$B17,$FW17,0)+$FV18</f>
        <v/>
      </c>
      <c r="FX18" s="62">
        <f>$FX17+$FV18</f>
        <v/>
      </c>
      <c r="FY18" s="62">
        <f>SUMIFS(tblSafety[MTI],tblSafety[Date],$A18)</f>
        <v/>
      </c>
      <c r="FZ18" s="62">
        <f>IF($B18=$B17,$FZ17,0)+$FY18</f>
        <v/>
      </c>
      <c r="GA18" s="62">
        <f>$GA17+$FY18</f>
        <v/>
      </c>
      <c r="GB18" s="62">
        <f>SUMIFS(tblSafety[FAI],tblSafety[Date],$A18)</f>
        <v/>
      </c>
      <c r="GC18" s="62">
        <f>IF($B18=$B17,$GC17,0)+$GB18</f>
        <v/>
      </c>
      <c r="GD18" s="62">
        <f>$GD17+$GB18</f>
        <v/>
      </c>
      <c r="GE18" s="62">
        <f>SUMIFS(tblSafety[Recordables],tblSafety[Date],$A18)</f>
        <v/>
      </c>
      <c r="GF18" s="62">
        <f>IF($B18=$B17,$GF17,0)+$GE18</f>
        <v/>
      </c>
      <c r="GG18" s="62">
        <f>$GG17+$GE18</f>
        <v/>
      </c>
      <c r="GH18" s="62">
        <f>SUMIFS(tblSafety[Near_Miss],tblSafety[Date],$A18)</f>
        <v/>
      </c>
      <c r="GI18" s="62">
        <f>IF($B18=$B17,$GI17,0)+$GH18</f>
        <v/>
      </c>
      <c r="GJ18" s="62">
        <f>$GJ17+$GH18</f>
        <v/>
      </c>
      <c r="GK18" s="62">
        <f>SUMIFS(tblSafety[Hazard_Reports],tblSafety[Date],$A18)</f>
        <v/>
      </c>
      <c r="GL18" s="62">
        <f>IF($B18=$B17,$GL17,0)+$GK18</f>
        <v/>
      </c>
      <c r="GM18" s="62">
        <f>$GM17+$GK18</f>
        <v/>
      </c>
      <c r="GN18" s="62">
        <f>SUMIFS(tblSafety[HPI],tblSafety[Date],$A18)</f>
        <v/>
      </c>
      <c r="GO18" s="62">
        <f>IF($B18=$B17,$GO17,0)+$GN18</f>
        <v/>
      </c>
      <c r="GP18" s="62">
        <f>$GP17+$GN18</f>
        <v/>
      </c>
      <c r="GQ18" s="62">
        <f>SUMIFS(tblSafety[Env_Incidents],tblSafety[Date],$A18)</f>
        <v/>
      </c>
      <c r="GR18" s="62">
        <f>IF($B18=$B17,$GR17,0)+$GQ18</f>
        <v/>
      </c>
      <c r="GS18" s="62">
        <f>$GS17+$GQ18</f>
        <v/>
      </c>
      <c r="GT18" s="62">
        <f>SUMIFS(tblSafety[Community_Incidents],tblSafety[Date],$A18)</f>
        <v/>
      </c>
      <c r="GU18" s="62">
        <f>IF($B18=$B17,$GU17,0)+$GT18</f>
        <v/>
      </c>
      <c r="GV18" s="62">
        <f>$GV17+$GT18</f>
        <v/>
      </c>
      <c r="GW18" s="62">
        <f>SUMIFS(tblSafety[Vehicle_Incidents],tblSafety[Date],$A18)</f>
        <v/>
      </c>
      <c r="GX18" s="62">
        <f>IF($B18=$B17,$GX17,0)+$GW18</f>
        <v/>
      </c>
      <c r="GY18" s="62">
        <f>$GY17+$GW18</f>
        <v/>
      </c>
      <c r="GZ18" s="62">
        <f>SUMIFS(tblSafety[Toolbox_Talks],tblSafety[Date],$A18)</f>
        <v/>
      </c>
      <c r="HA18" s="62">
        <f>IF($B18=$B17,$HA17,0)+$GZ18</f>
        <v/>
      </c>
      <c r="HB18" s="62">
        <f>$HB17+$GZ18</f>
        <v/>
      </c>
      <c r="HC18" s="62">
        <f>SUMIFS(tblSafety[Inspections],tblSafety[Date],$A18)</f>
        <v/>
      </c>
      <c r="HD18" s="62">
        <f>IF($B18=$B17,$HD17,0)+$HC18</f>
        <v/>
      </c>
      <c r="HE18" s="62">
        <f>$HE17+$HC18</f>
        <v/>
      </c>
      <c r="HF18" s="56">
        <f>IFERROR((SUMIFS(tblSafety[Recordables],tblSafety[Date],"&gt;="&amp;EDATE($E18,-12),tblSafety[Date],"&lt;="&amp;$A18)+SUMIFS(tblSafetyHistory[Recordables],tblSafetyHistory[Month],"&gt;="&amp;EDATE($E18,-12),tblSafetyHistory[Month],"&lt;"&amp;cfg_YearStart))/(SUMIFS(tblSafety[Hours_Total],tblSafety[Date],"&gt;="&amp;EDATE($E18,-12),tblSafety[Date],"&lt;="&amp;$A18)+SUMIFS(tblSafetyHistory[Hours_Total],tblSafetyHistory[Month],"&gt;="&amp;EDATE($E18,-12),tblSafetyHistory[Month],"&lt;"&amp;cfg_YearStart))*1000000,"")</f>
        <v/>
      </c>
      <c r="HG18" s="56">
        <f>IFERROR((SUMIFS(tblSafety[LTI],tblSafety[Date],"&gt;="&amp;EDATE($E18,-12),tblSafety[Date],"&lt;="&amp;$A18)+SUMIFS(tblSafetyHistory[LTI],tblSafetyHistory[Month],"&gt;="&amp;EDATE($E18,-12),tblSafetyHistory[Month],"&lt;"&amp;cfg_YearStart))/(SUMIFS(tblSafety[Hours_Total],tblSafety[Date],"&gt;="&amp;EDATE($E18,-12),tblSafety[Date],"&lt;="&amp;$A18)+SUMIFS(tblSafetyHistory[Hours_Total],tblSafetyHistory[Month],"&gt;="&amp;EDATE($E18,-12),tblSafetyHistory[Month],"&lt;"&amp;cfg_YearStart))*1000000,"")</f>
        <v/>
      </c>
      <c r="HH18" s="62">
        <f>IF(MAX(N(cfg_PriorLTIDate),_xlfn.MAXIFS(tblSafety[Date],tblSafety[LTI],"&gt;0",tblSafety[Date],"&lt;="&amp;$A18))=0,"",$A18-MAX(N(cfg_PriorLTIDate),_xlfn.MAXIFS(tblSafety[Date],tblSafety[LTI],"&gt;0",tblSafety[Date],"&lt;="&amp;$A18)))</f>
        <v/>
      </c>
      <c r="HI18" s="55">
        <f>SUMIFS(tblBudget[Ore_Mined_t],tblBudget[Month],$E18)</f>
        <v/>
      </c>
      <c r="HJ18" s="55">
        <f>$HI18*$C18/$D18</f>
        <v/>
      </c>
      <c r="HK18" s="55">
        <f>SUMIFS(tblBudget[Ore_Mined_t],tblBudget[Month],"&lt;"&amp;$E18)+$HJ18</f>
        <v/>
      </c>
      <c r="HL18" s="55">
        <f>SUMIFS(tblBudget[Ore_oz],tblBudget[Month],$E18)</f>
        <v/>
      </c>
      <c r="HM18" s="55">
        <f>$HL18*$C18/$D18</f>
        <v/>
      </c>
      <c r="HN18" s="55">
        <f>SUMIFS(tblBudget[Ore_oz],tblBudget[Month],"&lt;"&amp;$E18)+$HM18</f>
        <v/>
      </c>
      <c r="HO18" s="56">
        <f>IFERROR(IF(($HI18)&gt;0,($HL18*cfg_TroyOz)/($HI18),""),"")</f>
        <v/>
      </c>
      <c r="HP18" s="56">
        <f>IFERROR(IF(($HJ18)&gt;0,($HM18*cfg_TroyOz)/($HJ18),""),"")</f>
        <v/>
      </c>
      <c r="HQ18" s="56">
        <f>IFERROR(IF(($HK18)&gt;0,($HN18*cfg_TroyOz)/($HK18),""),"")</f>
        <v/>
      </c>
      <c r="HR18" s="55">
        <f>SUMIFS(tblBudget[Waste_t],tblBudget[Month],$E18)</f>
        <v/>
      </c>
      <c r="HS18" s="55">
        <f>$HR18*$C18/$D18</f>
        <v/>
      </c>
      <c r="HT18" s="55">
        <f>SUMIFS(tblBudget[Waste_t],tblBudget[Month],"&lt;"&amp;$E18)+$HS18</f>
        <v/>
      </c>
      <c r="HU18" s="55">
        <f>SUMIFS(tblBudget[TMM_t],tblBudget[Month],$E18)</f>
        <v/>
      </c>
      <c r="HV18" s="55">
        <f>$HU18*$C18/$D18</f>
        <v/>
      </c>
      <c r="HW18" s="55">
        <f>SUMIFS(tblBudget[TMM_t],tblBudget[Month],"&lt;"&amp;$E18)+$HV18</f>
        <v/>
      </c>
      <c r="HX18" s="56">
        <f>IFERROR(IF(($HI18)&gt;0,($HR18)/($HI18),""),"")</f>
        <v/>
      </c>
      <c r="HY18" s="56">
        <f>IFERROR(IF(($HJ18)&gt;0,($HS18)/($HJ18),""),"")</f>
        <v/>
      </c>
      <c r="HZ18" s="56">
        <f>IFERROR(IF(($HK18)&gt;0,($HT18)/($HK18),""),"")</f>
        <v/>
      </c>
      <c r="IA18" s="55">
        <f>SUMIFS(tblBudget[Drill_m],tblBudget[Month],$E18)</f>
        <v/>
      </c>
      <c r="IB18" s="55">
        <f>$IA18*$C18/$D18</f>
        <v/>
      </c>
      <c r="IC18" s="55">
        <f>SUMIFS(tblBudget[Drill_m],tblBudget[Month],"&lt;"&amp;$E18)+$IB18</f>
        <v/>
      </c>
      <c r="ID18" s="55">
        <f>SUMIFS(tblBudget[Diesel_L],tblBudget[Month],$E18)</f>
        <v/>
      </c>
      <c r="IE18" s="55">
        <f>$ID18*$C18/$D18</f>
        <v/>
      </c>
      <c r="IF18" s="55">
        <f>SUMIFS(tblBudget[Diesel_L],tblBudget[Month],"&lt;"&amp;$E18)+$IE18</f>
        <v/>
      </c>
      <c r="IG18" s="55">
        <f>SUMIFS(tblBudget[Milled_t],tblBudget[Month],$E18)</f>
        <v/>
      </c>
      <c r="IH18" s="55">
        <f>$IG18*$C18/$D18</f>
        <v/>
      </c>
      <c r="II18" s="55">
        <f>SUMIFS(tblBudget[Milled_t],tblBudget[Month],"&lt;"&amp;$E18)+$IH18</f>
        <v/>
      </c>
      <c r="IJ18" s="55">
        <f>SUMIFS(tblBudget[Feed_oz],tblBudget[Month],$E18)</f>
        <v/>
      </c>
      <c r="IK18" s="55">
        <f>$IJ18*$C18/$D18</f>
        <v/>
      </c>
      <c r="IL18" s="55">
        <f>SUMIFS(tblBudget[Feed_oz],tblBudget[Month],"&lt;"&amp;$E18)+$IK18</f>
        <v/>
      </c>
      <c r="IM18" s="55">
        <f>SUMIFS(tblBudget[Recovered_oz],tblBudget[Month],$E18)</f>
        <v/>
      </c>
      <c r="IN18" s="55">
        <f>$IM18*$C18/$D18</f>
        <v/>
      </c>
      <c r="IO18" s="55">
        <f>SUMIFS(tblBudget[Recovered_oz],tblBudget[Month],"&lt;"&amp;$E18)+$IN18</f>
        <v/>
      </c>
      <c r="IP18" s="56">
        <f>IFERROR(IF(($IG18)&gt;0,($IJ18*cfg_TroyOz)/($IG18),""),"")</f>
        <v/>
      </c>
      <c r="IQ18" s="56">
        <f>IFERROR(IF(($IH18)&gt;0,($IK18*cfg_TroyOz)/($IH18),""),"")</f>
        <v/>
      </c>
      <c r="IR18" s="56">
        <f>IFERROR(IF(($II18)&gt;0,($IL18*cfg_TroyOz)/($II18),""),"")</f>
        <v/>
      </c>
      <c r="IS18" s="67">
        <f>IFERROR(IF(($IJ18)&gt;0,($IM18)/($IJ18),""),"")</f>
        <v/>
      </c>
      <c r="IT18" s="67">
        <f>IFERROR(IF(($IK18)&gt;0,($IN18)/($IK18),""),"")</f>
        <v/>
      </c>
      <c r="IU18" s="67">
        <f>IFERROR(IF(($IL18)&gt;0,($IO18)/($IL18),""),"")</f>
        <v/>
      </c>
      <c r="IV18" s="55">
        <f>SUMIFS(tblBudget[Gold_Poured_oz],tblBudget[Month],$E18)</f>
        <v/>
      </c>
      <c r="IW18" s="55">
        <f>$IV18*$C18/$D18</f>
        <v/>
      </c>
      <c r="IX18" s="55">
        <f>SUMIFS(tblBudget[Gold_Poured_oz],tblBudget[Month],"&lt;"&amp;$E18)+$IW18</f>
        <v/>
      </c>
      <c r="IY18" s="57">
        <f>SUMIFS(tblBudget[Hours_Worked],tblBudget[Month],$E18)</f>
        <v/>
      </c>
      <c r="IZ18" s="57">
        <f>$IY18*$C18/$D18</f>
        <v/>
      </c>
      <c r="JA18" s="57">
        <f>SUMIFS(tblBudget[Hours_Worked],tblBudget[Month],"&lt;"&amp;$E18)+$IZ18</f>
        <v/>
      </c>
    </row>
    <row r="19">
      <c r="A19" s="54" t="n">
        <v>46040</v>
      </c>
      <c r="B19">
        <f>MONTH($A19)</f>
        <v/>
      </c>
      <c r="C19">
        <f>DAY($A19)</f>
        <v/>
      </c>
      <c r="D19">
        <f>DAY(EOMONTH($A19,0))</f>
        <v/>
      </c>
      <c r="E19" s="54">
        <f>DATE(YEAR($A19),MONTH($A19),1)</f>
        <v/>
      </c>
      <c r="F19" s="55">
        <f>SUMIFS(tblMovement[Tonnes_t],tblMovement[Date],$A19,tblMovement[Is_Ore],1,tblMovement[Source_Type],"Pit")</f>
        <v/>
      </c>
      <c r="G19" s="55">
        <f>IF($B19=$B18,$G18,0)+$F19</f>
        <v/>
      </c>
      <c r="H19" s="55">
        <f>$H18+$F19</f>
        <v/>
      </c>
      <c r="I19" s="55">
        <f>SUMIFS(tblMovement[Ore_oz],tblMovement[Date],$A19,tblMovement[Source_Type],"Pit")</f>
        <v/>
      </c>
      <c r="J19" s="55">
        <f>IF($B19=$B18,$J18,0)+$I19</f>
        <v/>
      </c>
      <c r="K19" s="55">
        <f>$K18+$I19</f>
        <v/>
      </c>
      <c r="L19" s="56">
        <f>IFERROR(IF(($F19)&gt;0,($I19*cfg_TroyOz)/($F19),""),"")</f>
        <v/>
      </c>
      <c r="M19" s="56">
        <f>IFERROR(IF(($G19)&gt;0,($J19*cfg_TroyOz)/($G19),""),"")</f>
        <v/>
      </c>
      <c r="N19" s="56">
        <f>IFERROR(IF(($H19)&gt;0,($K19*cfg_TroyOz)/($H19),""),"")</f>
        <v/>
      </c>
      <c r="O19" s="55">
        <f>SUMIFS(tblMovement[Tonnes_t],tblMovement[Date],$A19,tblMovement[Is_Ore],0,tblMovement[Source_Type],"Pit")</f>
        <v/>
      </c>
      <c r="P19" s="55">
        <f>IF($B19=$B18,$P18,0)+$O19</f>
        <v/>
      </c>
      <c r="Q19" s="55">
        <f>$Q18+$O19</f>
        <v/>
      </c>
      <c r="R19" s="55">
        <f>$F19+$O19</f>
        <v/>
      </c>
      <c r="S19" s="55">
        <f>IF($B19=$B18,$S18,0)+$R19</f>
        <v/>
      </c>
      <c r="T19" s="55">
        <f>$T18+$R19</f>
        <v/>
      </c>
      <c r="U19" s="56">
        <f>IFERROR(IF(($F19)&gt;0,($O19)/($F19),""),"")</f>
        <v/>
      </c>
      <c r="V19" s="56">
        <f>IFERROR(IF(($G19)&gt;0,($P19)/($G19),""),"")</f>
        <v/>
      </c>
      <c r="W19" s="56">
        <f>IFERROR(IF(($H19)&gt;0,($Q19)/($H19),""),"")</f>
        <v/>
      </c>
      <c r="X19" s="55">
        <f>SUMIFS(tblMovement[Tonnes_t],tblMovement[Date],$A19,tblMovement[Source_Type],"Stockpile")</f>
        <v/>
      </c>
      <c r="Y19" s="55">
        <f>IF($B19=$B18,$Y18,0)+$X19</f>
        <v/>
      </c>
      <c r="Z19" s="55">
        <f>$Z18+$X19</f>
        <v/>
      </c>
      <c r="AA19" s="55">
        <f>SUMIFS(tblMiningDaily[Drill_m],tblMiningDaily[Date],$A19)</f>
        <v/>
      </c>
      <c r="AB19" s="55">
        <f>IF($B19=$B18,$AB18,0)+$AA19</f>
        <v/>
      </c>
      <c r="AC19" s="55">
        <f>$AC18+$AA19</f>
        <v/>
      </c>
      <c r="AD19" s="55">
        <f>SUMIFS(tblMiningDaily[Blast_t],tblMiningDaily[Date],$A19)</f>
        <v/>
      </c>
      <c r="AE19" s="55">
        <f>IF($B19=$B18,$AE18,0)+$AD19</f>
        <v/>
      </c>
      <c r="AF19" s="55">
        <f>$AF18+$AD19</f>
        <v/>
      </c>
      <c r="AG19" s="55">
        <f>SUMIFS(tblMiningDaily[Explosives_kg],tblMiningDaily[Date],$A19)</f>
        <v/>
      </c>
      <c r="AH19" s="55">
        <f>IF($B19=$B18,$AH18,0)+$AG19</f>
        <v/>
      </c>
      <c r="AI19" s="55">
        <f>$AI18+$AG19</f>
        <v/>
      </c>
      <c r="AJ19" s="56">
        <f>IFERROR(IF(($AD19)&gt;0,($AG19)/($AD19),""),"")</f>
        <v/>
      </c>
      <c r="AK19" s="56">
        <f>IFERROR(IF(($AE19)&gt;0,($AH19)/($AE19),""),"")</f>
        <v/>
      </c>
      <c r="AL19" s="56">
        <f>IFERROR(IF(($AF19)&gt;0,($AI19)/($AF19),""),"")</f>
        <v/>
      </c>
      <c r="AM19" s="55">
        <f>SUMIFS(tblMiningDaily[Diesel_L],tblMiningDaily[Date],$A19)</f>
        <v/>
      </c>
      <c r="AN19" s="55">
        <f>IF($B19=$B18,$AN18,0)+$AM19</f>
        <v/>
      </c>
      <c r="AO19" s="55">
        <f>$AO18+$AM19</f>
        <v/>
      </c>
      <c r="AP19" s="55">
        <f>SUMIFS(tblMiningDaily[Dewatering_m3],tblMiningDaily[Date],$A19)</f>
        <v/>
      </c>
      <c r="AQ19" s="55">
        <f>IF($B19=$B18,$AQ18,0)+$AP19</f>
        <v/>
      </c>
      <c r="AR19" s="55">
        <f>$AR18+$AP19</f>
        <v/>
      </c>
      <c r="AS19" s="57">
        <f>SUMIFS(tblFleet[Calendar_h],tblFleet[Date],$A19,tblFleet[Equipment_Class],"Excavator")</f>
        <v/>
      </c>
      <c r="AT19" s="57">
        <f>IF($B19=$B18,$AT18,0)+$AS19</f>
        <v/>
      </c>
      <c r="AU19" s="57">
        <f>$AU18+$AS19</f>
        <v/>
      </c>
      <c r="AV19" s="57">
        <f>SUMIFS(tblFleet[Available_h],tblFleet[Date],$A19,tblFleet[Equipment_Class],"Excavator")</f>
        <v/>
      </c>
      <c r="AW19" s="57">
        <f>IF($B19=$B18,$AW18,0)+$AV19</f>
        <v/>
      </c>
      <c r="AX19" s="57">
        <f>$AX18+$AV19</f>
        <v/>
      </c>
      <c r="AY19" s="57">
        <f>SUMIFS(tblFleet[Operating_h],tblFleet[Date],$A19,tblFleet[Equipment_Class],"Excavator")</f>
        <v/>
      </c>
      <c r="AZ19" s="57">
        <f>IF($B19=$B18,$AZ18,0)+$AY19</f>
        <v/>
      </c>
      <c r="BA19" s="57">
        <f>$BA18+$AY19</f>
        <v/>
      </c>
      <c r="BB19" s="67">
        <f>IFERROR(IF(($AS19)&gt;0,($AV19)/($AS19),""),"")</f>
        <v/>
      </c>
      <c r="BC19" s="67">
        <f>IFERROR(IF(($AT19)&gt;0,($AW19)/($AT19),""),"")</f>
        <v/>
      </c>
      <c r="BD19" s="67">
        <f>IFERROR(IF(($AU19)&gt;0,($AX19)/($AU19),""),"")</f>
        <v/>
      </c>
      <c r="BE19" s="67">
        <f>IFERROR(IF(($AV19)&gt;0,($AY19)/($AV19),""),"")</f>
        <v/>
      </c>
      <c r="BF19" s="67">
        <f>IFERROR(IF(($AW19)&gt;0,($AZ19)/($AW19),""),"")</f>
        <v/>
      </c>
      <c r="BG19" s="67">
        <f>IFERROR(IF(($AX19)&gt;0,($BA19)/($AX19),""),"")</f>
        <v/>
      </c>
      <c r="BH19" s="57">
        <f>SUMIFS(tblFleet[Calendar_h],tblFleet[Date],$A19,tblFleet[Equipment_Class],"Haul Truck")</f>
        <v/>
      </c>
      <c r="BI19" s="57">
        <f>IF($B19=$B18,$BI18,0)+$BH19</f>
        <v/>
      </c>
      <c r="BJ19" s="57">
        <f>$BJ18+$BH19</f>
        <v/>
      </c>
      <c r="BK19" s="57">
        <f>SUMIFS(tblFleet[Available_h],tblFleet[Date],$A19,tblFleet[Equipment_Class],"Haul Truck")</f>
        <v/>
      </c>
      <c r="BL19" s="57">
        <f>IF($B19=$B18,$BL18,0)+$BK19</f>
        <v/>
      </c>
      <c r="BM19" s="57">
        <f>$BM18+$BK19</f>
        <v/>
      </c>
      <c r="BN19" s="57">
        <f>SUMIFS(tblFleet[Operating_h],tblFleet[Date],$A19,tblFleet[Equipment_Class],"Haul Truck")</f>
        <v/>
      </c>
      <c r="BO19" s="57">
        <f>IF($B19=$B18,$BO18,0)+$BN19</f>
        <v/>
      </c>
      <c r="BP19" s="57">
        <f>$BP18+$BN19</f>
        <v/>
      </c>
      <c r="BQ19" s="67">
        <f>IFERROR(IF(($BH19)&gt;0,($BK19)/($BH19),""),"")</f>
        <v/>
      </c>
      <c r="BR19" s="67">
        <f>IFERROR(IF(($BI19)&gt;0,($BL19)/($BI19),""),"")</f>
        <v/>
      </c>
      <c r="BS19" s="67">
        <f>IFERROR(IF(($BJ19)&gt;0,($BM19)/($BJ19),""),"")</f>
        <v/>
      </c>
      <c r="BT19" s="67">
        <f>IFERROR(IF(($BK19)&gt;0,($BN19)/($BK19),""),"")</f>
        <v/>
      </c>
      <c r="BU19" s="67">
        <f>IFERROR(IF(($BL19)&gt;0,($BO19)/($BL19),""),"")</f>
        <v/>
      </c>
      <c r="BV19" s="67">
        <f>IFERROR(IF(($BM19)&gt;0,($BP19)/($BM19),""),"")</f>
        <v/>
      </c>
      <c r="BW19" s="55">
        <f>SUMIFS(tblPlant[Crushed_t],tblPlant[Date],$A19)</f>
        <v/>
      </c>
      <c r="BX19" s="55">
        <f>IF($B19=$B18,$BX18,0)+$BW19</f>
        <v/>
      </c>
      <c r="BY19" s="55">
        <f>$BY18+$BW19</f>
        <v/>
      </c>
      <c r="BZ19" s="55">
        <f>SUMIFS(tblPlant[Milled_t],tblPlant[Date],$A19)</f>
        <v/>
      </c>
      <c r="CA19" s="55">
        <f>IF($B19=$B18,$CA18,0)+$BZ19</f>
        <v/>
      </c>
      <c r="CB19" s="55">
        <f>$CB18+$BZ19</f>
        <v/>
      </c>
      <c r="CC19" s="55">
        <f>SUMIFS(tblPlant[Feed_oz],tblPlant[Date],$A19)</f>
        <v/>
      </c>
      <c r="CD19" s="55">
        <f>IF($B19=$B18,$CD18,0)+$CC19</f>
        <v/>
      </c>
      <c r="CE19" s="55">
        <f>$CE18+$CC19</f>
        <v/>
      </c>
      <c r="CF19" s="55">
        <f>SUMIFS(tblPlant[Tails_oz],tblPlant[Date],$A19)</f>
        <v/>
      </c>
      <c r="CG19" s="55">
        <f>IF($B19=$B18,$CG18,0)+$CF19</f>
        <v/>
      </c>
      <c r="CH19" s="55">
        <f>$CH18+$CF19</f>
        <v/>
      </c>
      <c r="CI19" s="55">
        <f>SUMIFS(tblPlant[Recovered_oz],tblPlant[Date],$A19)</f>
        <v/>
      </c>
      <c r="CJ19" s="55">
        <f>IF($B19=$B18,$CJ18,0)+$CI19</f>
        <v/>
      </c>
      <c r="CK19" s="55">
        <f>$CK18+$CI19</f>
        <v/>
      </c>
      <c r="CL19" s="56">
        <f>IFERROR(IF(($BZ19)&gt;0,($CC19*cfg_TroyOz)/($BZ19),""),"")</f>
        <v/>
      </c>
      <c r="CM19" s="56">
        <f>IFERROR(IF(($CA19)&gt;0,($CD19*cfg_TroyOz)/($CA19),""),"")</f>
        <v/>
      </c>
      <c r="CN19" s="56">
        <f>IFERROR(IF(($CB19)&gt;0,($CE19*cfg_TroyOz)/($CB19),""),"")</f>
        <v/>
      </c>
      <c r="CO19" s="56">
        <f>IFERROR(IF(($BZ19)&gt;0,($CF19*cfg_TroyOz)/($BZ19),""),"")</f>
        <v/>
      </c>
      <c r="CP19" s="56">
        <f>IFERROR(IF(($CA19)&gt;0,($CG19*cfg_TroyOz)/($CA19),""),"")</f>
        <v/>
      </c>
      <c r="CQ19" s="56">
        <f>IFERROR(IF(($CB19)&gt;0,($CH19*cfg_TroyOz)/($CB19),""),"")</f>
        <v/>
      </c>
      <c r="CR19" s="67">
        <f>IFERROR(IF(($CC19)&gt;0,($CI19)/($CC19),""),"")</f>
        <v/>
      </c>
      <c r="CS19" s="67">
        <f>IFERROR(IF(($CD19)&gt;0,($CJ19)/($CD19),""),"")</f>
        <v/>
      </c>
      <c r="CT19" s="67">
        <f>IFERROR(IF(($CE19)&gt;0,($CK19)/($CE19),""),"")</f>
        <v/>
      </c>
      <c r="CU19" s="55">
        <f>SUMIFS(tblPlant[Gravity_Gold_oz],tblPlant[Date],$A19)</f>
        <v/>
      </c>
      <c r="CV19" s="55">
        <f>IF($B19=$B18,$CV18,0)+$CU19</f>
        <v/>
      </c>
      <c r="CW19" s="55">
        <f>$CW18+$CU19</f>
        <v/>
      </c>
      <c r="CX19" s="55">
        <f>SUMIFS(tblPlant[Gold_Poured_oz],tblPlant[Date],$A19)</f>
        <v/>
      </c>
      <c r="CY19" s="55">
        <f>IF($B19=$B18,$CY18,0)+$CX19</f>
        <v/>
      </c>
      <c r="CZ19" s="55">
        <f>$CZ18+$CX19</f>
        <v/>
      </c>
      <c r="DA19" s="57">
        <f>SUMIFS(tblPlant[Mill_Run_h],tblPlant[Date],$A19)</f>
        <v/>
      </c>
      <c r="DB19" s="57">
        <f>IF($B19=$B18,$DB18,0)+$DA19</f>
        <v/>
      </c>
      <c r="DC19" s="57">
        <f>$DC18+$DA19</f>
        <v/>
      </c>
      <c r="DD19" s="57">
        <f>SUMIFS(tblPlant[Mill_Planned_Maint_h],tblPlant[Date],$A19)</f>
        <v/>
      </c>
      <c r="DE19" s="57">
        <f>IF($B19=$B18,$DE18,0)+$DD19</f>
        <v/>
      </c>
      <c r="DF19" s="57">
        <f>$DF18+$DD19</f>
        <v/>
      </c>
      <c r="DG19" s="57">
        <f>SUMIFS(tblPlant[Mill_Unplanned_Down_h],tblPlant[Date],$A19)</f>
        <v/>
      </c>
      <c r="DH19" s="57">
        <f>IF($B19=$B18,$DH18,0)+$DG19</f>
        <v/>
      </c>
      <c r="DI19" s="57">
        <f>$DI18+$DG19</f>
        <v/>
      </c>
      <c r="DJ19" s="57">
        <f>COUNTIFS(tblPlant[Date],$A19,tblPlant[Mill_Run_h],"&lt;&gt;")*24</f>
        <v/>
      </c>
      <c r="DK19" s="57">
        <f>IF($B19=$B18,$DK18,0)+$DJ19</f>
        <v/>
      </c>
      <c r="DL19" s="57">
        <f>$DL18+$DJ19</f>
        <v/>
      </c>
      <c r="DM19" s="57">
        <f>SUMIFS(tblPlant[Crusher_Run_h],tblPlant[Date],$A19)</f>
        <v/>
      </c>
      <c r="DN19" s="57">
        <f>IF($B19=$B18,$DN18,0)+$DM19</f>
        <v/>
      </c>
      <c r="DO19" s="57">
        <f>$DO18+$DM19</f>
        <v/>
      </c>
      <c r="DP19" s="55">
        <f>IFERROR(IF(($DA19)&gt;0,($BZ19)/($DA19),""),"")</f>
        <v/>
      </c>
      <c r="DQ19" s="55">
        <f>IFERROR(IF(($DB19)&gt;0,($CA19)/($DB19),""),"")</f>
        <v/>
      </c>
      <c r="DR19" s="55">
        <f>IFERROR(IF(($DC19)&gt;0,($CB19)/($DC19),""),"")</f>
        <v/>
      </c>
      <c r="DS19" s="67">
        <f>IFERROR(IF(($DJ19)&gt;0,($DJ19-$DD19-$DG19)/($DJ19),""),"")</f>
        <v/>
      </c>
      <c r="DT19" s="67">
        <f>IFERROR(IF(($DK19)&gt;0,($DK19-$DE19-$DH19)/($DK19),""),"")</f>
        <v/>
      </c>
      <c r="DU19" s="67">
        <f>IFERROR(IF(($DL19)&gt;0,($DL19-$DF19-$DI19)/($DL19),""),"")</f>
        <v/>
      </c>
      <c r="DV19" s="67">
        <f>IFERROR(IF(($DJ19-$DD19-$DG19)&gt;0,($DA19)/($DJ19-$DD19-$DG19),""),"")</f>
        <v/>
      </c>
      <c r="DW19" s="67">
        <f>IFERROR(IF(($DK19-$DE19-$DH19)&gt;0,($DB19)/($DK19-$DE19-$DH19),""),"")</f>
        <v/>
      </c>
      <c r="DX19" s="67">
        <f>IFERROR(IF(($DL19-$DF19-$DI19)&gt;0,($DC19)/($DL19-$DF19-$DI19),""),"")</f>
        <v/>
      </c>
      <c r="DY19" s="55">
        <f>SUMIFS(tblPlant[Cyanide_kg],tblPlant[Date],$A19)</f>
        <v/>
      </c>
      <c r="DZ19" s="55">
        <f>IF($B19=$B18,$DZ18,0)+$DY19</f>
        <v/>
      </c>
      <c r="EA19" s="55">
        <f>$EA18+$DY19</f>
        <v/>
      </c>
      <c r="EB19" s="55">
        <f>SUMIFS(tblPlant[Lime_kg],tblPlant[Date],$A19)</f>
        <v/>
      </c>
      <c r="EC19" s="55">
        <f>IF($B19=$B18,$EC18,0)+$EB19</f>
        <v/>
      </c>
      <c r="ED19" s="55">
        <f>$ED18+$EB19</f>
        <v/>
      </c>
      <c r="EE19" s="55">
        <f>SUMIFS(tblPlant[Grinding_Media_kg],tblPlant[Date],$A19)</f>
        <v/>
      </c>
      <c r="EF19" s="55">
        <f>IF($B19=$B18,$EF18,0)+$EE19</f>
        <v/>
      </c>
      <c r="EG19" s="55">
        <f>$EG18+$EE19</f>
        <v/>
      </c>
      <c r="EH19" s="55">
        <f>SUMIFS(tblPlant[Power_kWh],tblPlant[Date],$A19)</f>
        <v/>
      </c>
      <c r="EI19" s="55">
        <f>IF($B19=$B18,$EI18,0)+$EH19</f>
        <v/>
      </c>
      <c r="EJ19" s="55">
        <f>$EJ18+$EH19</f>
        <v/>
      </c>
      <c r="EK19" s="55">
        <f>SUMIFS(tblPlant[Raw_Water_m3],tblPlant[Date],$A19)</f>
        <v/>
      </c>
      <c r="EL19" s="55">
        <f>IF($B19=$B18,$EL18,0)+$EK19</f>
        <v/>
      </c>
      <c r="EM19" s="55">
        <f>$EM18+$EK19</f>
        <v/>
      </c>
      <c r="EN19" s="56">
        <f>IFERROR(IF(($BZ19)&gt;0,($DY19)/($BZ19),""),"")</f>
        <v/>
      </c>
      <c r="EO19" s="56">
        <f>IFERROR(IF(($CA19)&gt;0,($DZ19)/($CA19),""),"")</f>
        <v/>
      </c>
      <c r="EP19" s="56">
        <f>IFERROR(IF(($CB19)&gt;0,($EA19)/($CB19),""),"")</f>
        <v/>
      </c>
      <c r="EQ19" s="56">
        <f>IFERROR(IF(($BZ19)&gt;0,($EB19)/($BZ19),""),"")</f>
        <v/>
      </c>
      <c r="ER19" s="56">
        <f>IFERROR(IF(($CA19)&gt;0,($EC19)/($CA19),""),"")</f>
        <v/>
      </c>
      <c r="ES19" s="56">
        <f>IFERROR(IF(($CB19)&gt;0,($ED19)/($CB19),""),"")</f>
        <v/>
      </c>
      <c r="ET19" s="56">
        <f>IFERROR(IF(($BZ19)&gt;0,($EE19)/($BZ19),""),"")</f>
        <v/>
      </c>
      <c r="EU19" s="56">
        <f>IFERROR(IF(($CA19)&gt;0,($EF19)/($CA19),""),"")</f>
        <v/>
      </c>
      <c r="EV19" s="56">
        <f>IFERROR(IF(($CB19)&gt;0,($EG19)/($CB19),""),"")</f>
        <v/>
      </c>
      <c r="EW19" s="76">
        <f>IFERROR(IF(($BZ19)&gt;0,($EH19)/($BZ19),""),"")</f>
        <v/>
      </c>
      <c r="EX19" s="76">
        <f>IFERROR(IF(($CA19)&gt;0,($EI19)/($CA19),""),"")</f>
        <v/>
      </c>
      <c r="EY19" s="76">
        <f>IFERROR(IF(($CB19)&gt;0,($EJ19)/($CB19),""),"")</f>
        <v/>
      </c>
      <c r="EZ19" s="56">
        <f>IFERROR(IF(($BZ19)&gt;0,($EK19)/($BZ19),""),"")</f>
        <v/>
      </c>
      <c r="FA19" s="56">
        <f>IFERROR(IF(($CA19)&gt;0,($EL19)/($CA19),""),"")</f>
        <v/>
      </c>
      <c r="FB19" s="56">
        <f>IFERROR(IF(($CB19)&gt;0,($EM19)/($CB19),""),"")</f>
        <v/>
      </c>
      <c r="FC19" s="55">
        <f>IF(SUMIFS(tblPlant[GIC_oz],tblPlant[Date],$A19)&gt;0,SUMIFS(tblPlant[GIC_oz],tblPlant[Date],$A19),"")</f>
        <v/>
      </c>
      <c r="FD19" s="55">
        <f>SUMIFS(tblGold[Gold_oz],tblGold[Date],$A19,tblGold[Type],"Shipment")</f>
        <v/>
      </c>
      <c r="FE19" s="55">
        <f>IF($B19=$B18,$FE18,0)+$FD19</f>
        <v/>
      </c>
      <c r="FF19" s="55">
        <f>$FF18+$FD19</f>
        <v/>
      </c>
      <c r="FG19" s="55">
        <f>SUMIFS(tblGold[Gold_oz],tblGold[Date],$A19,tblGold[Type],"Sale")</f>
        <v/>
      </c>
      <c r="FH19" s="55">
        <f>IF($B19=$B18,$FH18,0)+$FG19</f>
        <v/>
      </c>
      <c r="FI19" s="55">
        <f>$FI18+$FG19</f>
        <v/>
      </c>
      <c r="FJ19" s="55">
        <f>SUMIFS(tblGold[Dore_kg],tblGold[Date],$A19,tblGold[Type],"Shipment")</f>
        <v/>
      </c>
      <c r="FK19" s="55">
        <f>IF($B19=$B18,$FK18,0)+$FJ19</f>
        <v/>
      </c>
      <c r="FL19" s="55">
        <f>$FL18+$FJ19</f>
        <v/>
      </c>
      <c r="FM19" s="57">
        <f>SUMIFS(tblSafety[Hours_Total],tblSafety[Date],$A19)</f>
        <v/>
      </c>
      <c r="FN19" s="57">
        <f>IF($B19=$B18,$FN18,0)+$FM19</f>
        <v/>
      </c>
      <c r="FO19" s="57">
        <f>$FO18+$FM19</f>
        <v/>
      </c>
      <c r="FP19" s="62">
        <f>SUMIFS(tblSafety[Fatality],tblSafety[Date],$A19)</f>
        <v/>
      </c>
      <c r="FQ19" s="62">
        <f>IF($B19=$B18,$FQ18,0)+$FP19</f>
        <v/>
      </c>
      <c r="FR19" s="62">
        <f>$FR18+$FP19</f>
        <v/>
      </c>
      <c r="FS19" s="62">
        <f>SUMIFS(tblSafety[LTI],tblSafety[Date],$A19)</f>
        <v/>
      </c>
      <c r="FT19" s="62">
        <f>IF($B19=$B18,$FT18,0)+$FS19</f>
        <v/>
      </c>
      <c r="FU19" s="62">
        <f>$FU18+$FS19</f>
        <v/>
      </c>
      <c r="FV19" s="62">
        <f>SUMIFS(tblSafety[RWI],tblSafety[Date],$A19)</f>
        <v/>
      </c>
      <c r="FW19" s="62">
        <f>IF($B19=$B18,$FW18,0)+$FV19</f>
        <v/>
      </c>
      <c r="FX19" s="62">
        <f>$FX18+$FV19</f>
        <v/>
      </c>
      <c r="FY19" s="62">
        <f>SUMIFS(tblSafety[MTI],tblSafety[Date],$A19)</f>
        <v/>
      </c>
      <c r="FZ19" s="62">
        <f>IF($B19=$B18,$FZ18,0)+$FY19</f>
        <v/>
      </c>
      <c r="GA19" s="62">
        <f>$GA18+$FY19</f>
        <v/>
      </c>
      <c r="GB19" s="62">
        <f>SUMIFS(tblSafety[FAI],tblSafety[Date],$A19)</f>
        <v/>
      </c>
      <c r="GC19" s="62">
        <f>IF($B19=$B18,$GC18,0)+$GB19</f>
        <v/>
      </c>
      <c r="GD19" s="62">
        <f>$GD18+$GB19</f>
        <v/>
      </c>
      <c r="GE19" s="62">
        <f>SUMIFS(tblSafety[Recordables],tblSafety[Date],$A19)</f>
        <v/>
      </c>
      <c r="GF19" s="62">
        <f>IF($B19=$B18,$GF18,0)+$GE19</f>
        <v/>
      </c>
      <c r="GG19" s="62">
        <f>$GG18+$GE19</f>
        <v/>
      </c>
      <c r="GH19" s="62">
        <f>SUMIFS(tblSafety[Near_Miss],tblSafety[Date],$A19)</f>
        <v/>
      </c>
      <c r="GI19" s="62">
        <f>IF($B19=$B18,$GI18,0)+$GH19</f>
        <v/>
      </c>
      <c r="GJ19" s="62">
        <f>$GJ18+$GH19</f>
        <v/>
      </c>
      <c r="GK19" s="62">
        <f>SUMIFS(tblSafety[Hazard_Reports],tblSafety[Date],$A19)</f>
        <v/>
      </c>
      <c r="GL19" s="62">
        <f>IF($B19=$B18,$GL18,0)+$GK19</f>
        <v/>
      </c>
      <c r="GM19" s="62">
        <f>$GM18+$GK19</f>
        <v/>
      </c>
      <c r="GN19" s="62">
        <f>SUMIFS(tblSafety[HPI],tblSafety[Date],$A19)</f>
        <v/>
      </c>
      <c r="GO19" s="62">
        <f>IF($B19=$B18,$GO18,0)+$GN19</f>
        <v/>
      </c>
      <c r="GP19" s="62">
        <f>$GP18+$GN19</f>
        <v/>
      </c>
      <c r="GQ19" s="62">
        <f>SUMIFS(tblSafety[Env_Incidents],tblSafety[Date],$A19)</f>
        <v/>
      </c>
      <c r="GR19" s="62">
        <f>IF($B19=$B18,$GR18,0)+$GQ19</f>
        <v/>
      </c>
      <c r="GS19" s="62">
        <f>$GS18+$GQ19</f>
        <v/>
      </c>
      <c r="GT19" s="62">
        <f>SUMIFS(tblSafety[Community_Incidents],tblSafety[Date],$A19)</f>
        <v/>
      </c>
      <c r="GU19" s="62">
        <f>IF($B19=$B18,$GU18,0)+$GT19</f>
        <v/>
      </c>
      <c r="GV19" s="62">
        <f>$GV18+$GT19</f>
        <v/>
      </c>
      <c r="GW19" s="62">
        <f>SUMIFS(tblSafety[Vehicle_Incidents],tblSafety[Date],$A19)</f>
        <v/>
      </c>
      <c r="GX19" s="62">
        <f>IF($B19=$B18,$GX18,0)+$GW19</f>
        <v/>
      </c>
      <c r="GY19" s="62">
        <f>$GY18+$GW19</f>
        <v/>
      </c>
      <c r="GZ19" s="62">
        <f>SUMIFS(tblSafety[Toolbox_Talks],tblSafety[Date],$A19)</f>
        <v/>
      </c>
      <c r="HA19" s="62">
        <f>IF($B19=$B18,$HA18,0)+$GZ19</f>
        <v/>
      </c>
      <c r="HB19" s="62">
        <f>$HB18+$GZ19</f>
        <v/>
      </c>
      <c r="HC19" s="62">
        <f>SUMIFS(tblSafety[Inspections],tblSafety[Date],$A19)</f>
        <v/>
      </c>
      <c r="HD19" s="62">
        <f>IF($B19=$B18,$HD18,0)+$HC19</f>
        <v/>
      </c>
      <c r="HE19" s="62">
        <f>$HE18+$HC19</f>
        <v/>
      </c>
      <c r="HF19" s="56">
        <f>IFERROR((SUMIFS(tblSafety[Recordables],tblSafety[Date],"&gt;="&amp;EDATE($E19,-12),tblSafety[Date],"&lt;="&amp;$A19)+SUMIFS(tblSafetyHistory[Recordables],tblSafetyHistory[Month],"&gt;="&amp;EDATE($E19,-12),tblSafetyHistory[Month],"&lt;"&amp;cfg_YearStart))/(SUMIFS(tblSafety[Hours_Total],tblSafety[Date],"&gt;="&amp;EDATE($E19,-12),tblSafety[Date],"&lt;="&amp;$A19)+SUMIFS(tblSafetyHistory[Hours_Total],tblSafetyHistory[Month],"&gt;="&amp;EDATE($E19,-12),tblSafetyHistory[Month],"&lt;"&amp;cfg_YearStart))*1000000,"")</f>
        <v/>
      </c>
      <c r="HG19" s="56">
        <f>IFERROR((SUMIFS(tblSafety[LTI],tblSafety[Date],"&gt;="&amp;EDATE($E19,-12),tblSafety[Date],"&lt;="&amp;$A19)+SUMIFS(tblSafetyHistory[LTI],tblSafetyHistory[Month],"&gt;="&amp;EDATE($E19,-12),tblSafetyHistory[Month],"&lt;"&amp;cfg_YearStart))/(SUMIFS(tblSafety[Hours_Total],tblSafety[Date],"&gt;="&amp;EDATE($E19,-12),tblSafety[Date],"&lt;="&amp;$A19)+SUMIFS(tblSafetyHistory[Hours_Total],tblSafetyHistory[Month],"&gt;="&amp;EDATE($E19,-12),tblSafetyHistory[Month],"&lt;"&amp;cfg_YearStart))*1000000,"")</f>
        <v/>
      </c>
      <c r="HH19" s="62">
        <f>IF(MAX(N(cfg_PriorLTIDate),_xlfn.MAXIFS(tblSafety[Date],tblSafety[LTI],"&gt;0",tblSafety[Date],"&lt;="&amp;$A19))=0,"",$A19-MAX(N(cfg_PriorLTIDate),_xlfn.MAXIFS(tblSafety[Date],tblSafety[LTI],"&gt;0",tblSafety[Date],"&lt;="&amp;$A19)))</f>
        <v/>
      </c>
      <c r="HI19" s="55">
        <f>SUMIFS(tblBudget[Ore_Mined_t],tblBudget[Month],$E19)</f>
        <v/>
      </c>
      <c r="HJ19" s="55">
        <f>$HI19*$C19/$D19</f>
        <v/>
      </c>
      <c r="HK19" s="55">
        <f>SUMIFS(tblBudget[Ore_Mined_t],tblBudget[Month],"&lt;"&amp;$E19)+$HJ19</f>
        <v/>
      </c>
      <c r="HL19" s="55">
        <f>SUMIFS(tblBudget[Ore_oz],tblBudget[Month],$E19)</f>
        <v/>
      </c>
      <c r="HM19" s="55">
        <f>$HL19*$C19/$D19</f>
        <v/>
      </c>
      <c r="HN19" s="55">
        <f>SUMIFS(tblBudget[Ore_oz],tblBudget[Month],"&lt;"&amp;$E19)+$HM19</f>
        <v/>
      </c>
      <c r="HO19" s="56">
        <f>IFERROR(IF(($HI19)&gt;0,($HL19*cfg_TroyOz)/($HI19),""),"")</f>
        <v/>
      </c>
      <c r="HP19" s="56">
        <f>IFERROR(IF(($HJ19)&gt;0,($HM19*cfg_TroyOz)/($HJ19),""),"")</f>
        <v/>
      </c>
      <c r="HQ19" s="56">
        <f>IFERROR(IF(($HK19)&gt;0,($HN19*cfg_TroyOz)/($HK19),""),"")</f>
        <v/>
      </c>
      <c r="HR19" s="55">
        <f>SUMIFS(tblBudget[Waste_t],tblBudget[Month],$E19)</f>
        <v/>
      </c>
      <c r="HS19" s="55">
        <f>$HR19*$C19/$D19</f>
        <v/>
      </c>
      <c r="HT19" s="55">
        <f>SUMIFS(tblBudget[Waste_t],tblBudget[Month],"&lt;"&amp;$E19)+$HS19</f>
        <v/>
      </c>
      <c r="HU19" s="55">
        <f>SUMIFS(tblBudget[TMM_t],tblBudget[Month],$E19)</f>
        <v/>
      </c>
      <c r="HV19" s="55">
        <f>$HU19*$C19/$D19</f>
        <v/>
      </c>
      <c r="HW19" s="55">
        <f>SUMIFS(tblBudget[TMM_t],tblBudget[Month],"&lt;"&amp;$E19)+$HV19</f>
        <v/>
      </c>
      <c r="HX19" s="56">
        <f>IFERROR(IF(($HI19)&gt;0,($HR19)/($HI19),""),"")</f>
        <v/>
      </c>
      <c r="HY19" s="56">
        <f>IFERROR(IF(($HJ19)&gt;0,($HS19)/($HJ19),""),"")</f>
        <v/>
      </c>
      <c r="HZ19" s="56">
        <f>IFERROR(IF(($HK19)&gt;0,($HT19)/($HK19),""),"")</f>
        <v/>
      </c>
      <c r="IA19" s="55">
        <f>SUMIFS(tblBudget[Drill_m],tblBudget[Month],$E19)</f>
        <v/>
      </c>
      <c r="IB19" s="55">
        <f>$IA19*$C19/$D19</f>
        <v/>
      </c>
      <c r="IC19" s="55">
        <f>SUMIFS(tblBudget[Drill_m],tblBudget[Month],"&lt;"&amp;$E19)+$IB19</f>
        <v/>
      </c>
      <c r="ID19" s="55">
        <f>SUMIFS(tblBudget[Diesel_L],tblBudget[Month],$E19)</f>
        <v/>
      </c>
      <c r="IE19" s="55">
        <f>$ID19*$C19/$D19</f>
        <v/>
      </c>
      <c r="IF19" s="55">
        <f>SUMIFS(tblBudget[Diesel_L],tblBudget[Month],"&lt;"&amp;$E19)+$IE19</f>
        <v/>
      </c>
      <c r="IG19" s="55">
        <f>SUMIFS(tblBudget[Milled_t],tblBudget[Month],$E19)</f>
        <v/>
      </c>
      <c r="IH19" s="55">
        <f>$IG19*$C19/$D19</f>
        <v/>
      </c>
      <c r="II19" s="55">
        <f>SUMIFS(tblBudget[Milled_t],tblBudget[Month],"&lt;"&amp;$E19)+$IH19</f>
        <v/>
      </c>
      <c r="IJ19" s="55">
        <f>SUMIFS(tblBudget[Feed_oz],tblBudget[Month],$E19)</f>
        <v/>
      </c>
      <c r="IK19" s="55">
        <f>$IJ19*$C19/$D19</f>
        <v/>
      </c>
      <c r="IL19" s="55">
        <f>SUMIFS(tblBudget[Feed_oz],tblBudget[Month],"&lt;"&amp;$E19)+$IK19</f>
        <v/>
      </c>
      <c r="IM19" s="55">
        <f>SUMIFS(tblBudget[Recovered_oz],tblBudget[Month],$E19)</f>
        <v/>
      </c>
      <c r="IN19" s="55">
        <f>$IM19*$C19/$D19</f>
        <v/>
      </c>
      <c r="IO19" s="55">
        <f>SUMIFS(tblBudget[Recovered_oz],tblBudget[Month],"&lt;"&amp;$E19)+$IN19</f>
        <v/>
      </c>
      <c r="IP19" s="56">
        <f>IFERROR(IF(($IG19)&gt;0,($IJ19*cfg_TroyOz)/($IG19),""),"")</f>
        <v/>
      </c>
      <c r="IQ19" s="56">
        <f>IFERROR(IF(($IH19)&gt;0,($IK19*cfg_TroyOz)/($IH19),""),"")</f>
        <v/>
      </c>
      <c r="IR19" s="56">
        <f>IFERROR(IF(($II19)&gt;0,($IL19*cfg_TroyOz)/($II19),""),"")</f>
        <v/>
      </c>
      <c r="IS19" s="67">
        <f>IFERROR(IF(($IJ19)&gt;0,($IM19)/($IJ19),""),"")</f>
        <v/>
      </c>
      <c r="IT19" s="67">
        <f>IFERROR(IF(($IK19)&gt;0,($IN19)/($IK19),""),"")</f>
        <v/>
      </c>
      <c r="IU19" s="67">
        <f>IFERROR(IF(($IL19)&gt;0,($IO19)/($IL19),""),"")</f>
        <v/>
      </c>
      <c r="IV19" s="55">
        <f>SUMIFS(tblBudget[Gold_Poured_oz],tblBudget[Month],$E19)</f>
        <v/>
      </c>
      <c r="IW19" s="55">
        <f>$IV19*$C19/$D19</f>
        <v/>
      </c>
      <c r="IX19" s="55">
        <f>SUMIFS(tblBudget[Gold_Poured_oz],tblBudget[Month],"&lt;"&amp;$E19)+$IW19</f>
        <v/>
      </c>
      <c r="IY19" s="57">
        <f>SUMIFS(tblBudget[Hours_Worked],tblBudget[Month],$E19)</f>
        <v/>
      </c>
      <c r="IZ19" s="57">
        <f>$IY19*$C19/$D19</f>
        <v/>
      </c>
      <c r="JA19" s="57">
        <f>SUMIFS(tblBudget[Hours_Worked],tblBudget[Month],"&lt;"&amp;$E19)+$IZ19</f>
        <v/>
      </c>
    </row>
    <row r="20">
      <c r="A20" s="54" t="n">
        <v>46041</v>
      </c>
      <c r="B20">
        <f>MONTH($A20)</f>
        <v/>
      </c>
      <c r="C20">
        <f>DAY($A20)</f>
        <v/>
      </c>
      <c r="D20">
        <f>DAY(EOMONTH($A20,0))</f>
        <v/>
      </c>
      <c r="E20" s="54">
        <f>DATE(YEAR($A20),MONTH($A20),1)</f>
        <v/>
      </c>
      <c r="F20" s="55">
        <f>SUMIFS(tblMovement[Tonnes_t],tblMovement[Date],$A20,tblMovement[Is_Ore],1,tblMovement[Source_Type],"Pit")</f>
        <v/>
      </c>
      <c r="G20" s="55">
        <f>IF($B20=$B19,$G19,0)+$F20</f>
        <v/>
      </c>
      <c r="H20" s="55">
        <f>$H19+$F20</f>
        <v/>
      </c>
      <c r="I20" s="55">
        <f>SUMIFS(tblMovement[Ore_oz],tblMovement[Date],$A20,tblMovement[Source_Type],"Pit")</f>
        <v/>
      </c>
      <c r="J20" s="55">
        <f>IF($B20=$B19,$J19,0)+$I20</f>
        <v/>
      </c>
      <c r="K20" s="55">
        <f>$K19+$I20</f>
        <v/>
      </c>
      <c r="L20" s="56">
        <f>IFERROR(IF(($F20)&gt;0,($I20*cfg_TroyOz)/($F20),""),"")</f>
        <v/>
      </c>
      <c r="M20" s="56">
        <f>IFERROR(IF(($G20)&gt;0,($J20*cfg_TroyOz)/($G20),""),"")</f>
        <v/>
      </c>
      <c r="N20" s="56">
        <f>IFERROR(IF(($H20)&gt;0,($K20*cfg_TroyOz)/($H20),""),"")</f>
        <v/>
      </c>
      <c r="O20" s="55">
        <f>SUMIFS(tblMovement[Tonnes_t],tblMovement[Date],$A20,tblMovement[Is_Ore],0,tblMovement[Source_Type],"Pit")</f>
        <v/>
      </c>
      <c r="P20" s="55">
        <f>IF($B20=$B19,$P19,0)+$O20</f>
        <v/>
      </c>
      <c r="Q20" s="55">
        <f>$Q19+$O20</f>
        <v/>
      </c>
      <c r="R20" s="55">
        <f>$F20+$O20</f>
        <v/>
      </c>
      <c r="S20" s="55">
        <f>IF($B20=$B19,$S19,0)+$R20</f>
        <v/>
      </c>
      <c r="T20" s="55">
        <f>$T19+$R20</f>
        <v/>
      </c>
      <c r="U20" s="56">
        <f>IFERROR(IF(($F20)&gt;0,($O20)/($F20),""),"")</f>
        <v/>
      </c>
      <c r="V20" s="56">
        <f>IFERROR(IF(($G20)&gt;0,($P20)/($G20),""),"")</f>
        <v/>
      </c>
      <c r="W20" s="56">
        <f>IFERROR(IF(($H20)&gt;0,($Q20)/($H20),""),"")</f>
        <v/>
      </c>
      <c r="X20" s="55">
        <f>SUMIFS(tblMovement[Tonnes_t],tblMovement[Date],$A20,tblMovement[Source_Type],"Stockpile")</f>
        <v/>
      </c>
      <c r="Y20" s="55">
        <f>IF($B20=$B19,$Y19,0)+$X20</f>
        <v/>
      </c>
      <c r="Z20" s="55">
        <f>$Z19+$X20</f>
        <v/>
      </c>
      <c r="AA20" s="55">
        <f>SUMIFS(tblMiningDaily[Drill_m],tblMiningDaily[Date],$A20)</f>
        <v/>
      </c>
      <c r="AB20" s="55">
        <f>IF($B20=$B19,$AB19,0)+$AA20</f>
        <v/>
      </c>
      <c r="AC20" s="55">
        <f>$AC19+$AA20</f>
        <v/>
      </c>
      <c r="AD20" s="55">
        <f>SUMIFS(tblMiningDaily[Blast_t],tblMiningDaily[Date],$A20)</f>
        <v/>
      </c>
      <c r="AE20" s="55">
        <f>IF($B20=$B19,$AE19,0)+$AD20</f>
        <v/>
      </c>
      <c r="AF20" s="55">
        <f>$AF19+$AD20</f>
        <v/>
      </c>
      <c r="AG20" s="55">
        <f>SUMIFS(tblMiningDaily[Explosives_kg],tblMiningDaily[Date],$A20)</f>
        <v/>
      </c>
      <c r="AH20" s="55">
        <f>IF($B20=$B19,$AH19,0)+$AG20</f>
        <v/>
      </c>
      <c r="AI20" s="55">
        <f>$AI19+$AG20</f>
        <v/>
      </c>
      <c r="AJ20" s="56">
        <f>IFERROR(IF(($AD20)&gt;0,($AG20)/($AD20),""),"")</f>
        <v/>
      </c>
      <c r="AK20" s="56">
        <f>IFERROR(IF(($AE20)&gt;0,($AH20)/($AE20),""),"")</f>
        <v/>
      </c>
      <c r="AL20" s="56">
        <f>IFERROR(IF(($AF20)&gt;0,($AI20)/($AF20),""),"")</f>
        <v/>
      </c>
      <c r="AM20" s="55">
        <f>SUMIFS(tblMiningDaily[Diesel_L],tblMiningDaily[Date],$A20)</f>
        <v/>
      </c>
      <c r="AN20" s="55">
        <f>IF($B20=$B19,$AN19,0)+$AM20</f>
        <v/>
      </c>
      <c r="AO20" s="55">
        <f>$AO19+$AM20</f>
        <v/>
      </c>
      <c r="AP20" s="55">
        <f>SUMIFS(tblMiningDaily[Dewatering_m3],tblMiningDaily[Date],$A20)</f>
        <v/>
      </c>
      <c r="AQ20" s="55">
        <f>IF($B20=$B19,$AQ19,0)+$AP20</f>
        <v/>
      </c>
      <c r="AR20" s="55">
        <f>$AR19+$AP20</f>
        <v/>
      </c>
      <c r="AS20" s="57">
        <f>SUMIFS(tblFleet[Calendar_h],tblFleet[Date],$A20,tblFleet[Equipment_Class],"Excavator")</f>
        <v/>
      </c>
      <c r="AT20" s="57">
        <f>IF($B20=$B19,$AT19,0)+$AS20</f>
        <v/>
      </c>
      <c r="AU20" s="57">
        <f>$AU19+$AS20</f>
        <v/>
      </c>
      <c r="AV20" s="57">
        <f>SUMIFS(tblFleet[Available_h],tblFleet[Date],$A20,tblFleet[Equipment_Class],"Excavator")</f>
        <v/>
      </c>
      <c r="AW20" s="57">
        <f>IF($B20=$B19,$AW19,0)+$AV20</f>
        <v/>
      </c>
      <c r="AX20" s="57">
        <f>$AX19+$AV20</f>
        <v/>
      </c>
      <c r="AY20" s="57">
        <f>SUMIFS(tblFleet[Operating_h],tblFleet[Date],$A20,tblFleet[Equipment_Class],"Excavator")</f>
        <v/>
      </c>
      <c r="AZ20" s="57">
        <f>IF($B20=$B19,$AZ19,0)+$AY20</f>
        <v/>
      </c>
      <c r="BA20" s="57">
        <f>$BA19+$AY20</f>
        <v/>
      </c>
      <c r="BB20" s="67">
        <f>IFERROR(IF(($AS20)&gt;0,($AV20)/($AS20),""),"")</f>
        <v/>
      </c>
      <c r="BC20" s="67">
        <f>IFERROR(IF(($AT20)&gt;0,($AW20)/($AT20),""),"")</f>
        <v/>
      </c>
      <c r="BD20" s="67">
        <f>IFERROR(IF(($AU20)&gt;0,($AX20)/($AU20),""),"")</f>
        <v/>
      </c>
      <c r="BE20" s="67">
        <f>IFERROR(IF(($AV20)&gt;0,($AY20)/($AV20),""),"")</f>
        <v/>
      </c>
      <c r="BF20" s="67">
        <f>IFERROR(IF(($AW20)&gt;0,($AZ20)/($AW20),""),"")</f>
        <v/>
      </c>
      <c r="BG20" s="67">
        <f>IFERROR(IF(($AX20)&gt;0,($BA20)/($AX20),""),"")</f>
        <v/>
      </c>
      <c r="BH20" s="57">
        <f>SUMIFS(tblFleet[Calendar_h],tblFleet[Date],$A20,tblFleet[Equipment_Class],"Haul Truck")</f>
        <v/>
      </c>
      <c r="BI20" s="57">
        <f>IF($B20=$B19,$BI19,0)+$BH20</f>
        <v/>
      </c>
      <c r="BJ20" s="57">
        <f>$BJ19+$BH20</f>
        <v/>
      </c>
      <c r="BK20" s="57">
        <f>SUMIFS(tblFleet[Available_h],tblFleet[Date],$A20,tblFleet[Equipment_Class],"Haul Truck")</f>
        <v/>
      </c>
      <c r="BL20" s="57">
        <f>IF($B20=$B19,$BL19,0)+$BK20</f>
        <v/>
      </c>
      <c r="BM20" s="57">
        <f>$BM19+$BK20</f>
        <v/>
      </c>
      <c r="BN20" s="57">
        <f>SUMIFS(tblFleet[Operating_h],tblFleet[Date],$A20,tblFleet[Equipment_Class],"Haul Truck")</f>
        <v/>
      </c>
      <c r="BO20" s="57">
        <f>IF($B20=$B19,$BO19,0)+$BN20</f>
        <v/>
      </c>
      <c r="BP20" s="57">
        <f>$BP19+$BN20</f>
        <v/>
      </c>
      <c r="BQ20" s="67">
        <f>IFERROR(IF(($BH20)&gt;0,($BK20)/($BH20),""),"")</f>
        <v/>
      </c>
      <c r="BR20" s="67">
        <f>IFERROR(IF(($BI20)&gt;0,($BL20)/($BI20),""),"")</f>
        <v/>
      </c>
      <c r="BS20" s="67">
        <f>IFERROR(IF(($BJ20)&gt;0,($BM20)/($BJ20),""),"")</f>
        <v/>
      </c>
      <c r="BT20" s="67">
        <f>IFERROR(IF(($BK20)&gt;0,($BN20)/($BK20),""),"")</f>
        <v/>
      </c>
      <c r="BU20" s="67">
        <f>IFERROR(IF(($BL20)&gt;0,($BO20)/($BL20),""),"")</f>
        <v/>
      </c>
      <c r="BV20" s="67">
        <f>IFERROR(IF(($BM20)&gt;0,($BP20)/($BM20),""),"")</f>
        <v/>
      </c>
      <c r="BW20" s="55">
        <f>SUMIFS(tblPlant[Crushed_t],tblPlant[Date],$A20)</f>
        <v/>
      </c>
      <c r="BX20" s="55">
        <f>IF($B20=$B19,$BX19,0)+$BW20</f>
        <v/>
      </c>
      <c r="BY20" s="55">
        <f>$BY19+$BW20</f>
        <v/>
      </c>
      <c r="BZ20" s="55">
        <f>SUMIFS(tblPlant[Milled_t],tblPlant[Date],$A20)</f>
        <v/>
      </c>
      <c r="CA20" s="55">
        <f>IF($B20=$B19,$CA19,0)+$BZ20</f>
        <v/>
      </c>
      <c r="CB20" s="55">
        <f>$CB19+$BZ20</f>
        <v/>
      </c>
      <c r="CC20" s="55">
        <f>SUMIFS(tblPlant[Feed_oz],tblPlant[Date],$A20)</f>
        <v/>
      </c>
      <c r="CD20" s="55">
        <f>IF($B20=$B19,$CD19,0)+$CC20</f>
        <v/>
      </c>
      <c r="CE20" s="55">
        <f>$CE19+$CC20</f>
        <v/>
      </c>
      <c r="CF20" s="55">
        <f>SUMIFS(tblPlant[Tails_oz],tblPlant[Date],$A20)</f>
        <v/>
      </c>
      <c r="CG20" s="55">
        <f>IF($B20=$B19,$CG19,0)+$CF20</f>
        <v/>
      </c>
      <c r="CH20" s="55">
        <f>$CH19+$CF20</f>
        <v/>
      </c>
      <c r="CI20" s="55">
        <f>SUMIFS(tblPlant[Recovered_oz],tblPlant[Date],$A20)</f>
        <v/>
      </c>
      <c r="CJ20" s="55">
        <f>IF($B20=$B19,$CJ19,0)+$CI20</f>
        <v/>
      </c>
      <c r="CK20" s="55">
        <f>$CK19+$CI20</f>
        <v/>
      </c>
      <c r="CL20" s="56">
        <f>IFERROR(IF(($BZ20)&gt;0,($CC20*cfg_TroyOz)/($BZ20),""),"")</f>
        <v/>
      </c>
      <c r="CM20" s="56">
        <f>IFERROR(IF(($CA20)&gt;0,($CD20*cfg_TroyOz)/($CA20),""),"")</f>
        <v/>
      </c>
      <c r="CN20" s="56">
        <f>IFERROR(IF(($CB20)&gt;0,($CE20*cfg_TroyOz)/($CB20),""),"")</f>
        <v/>
      </c>
      <c r="CO20" s="56">
        <f>IFERROR(IF(($BZ20)&gt;0,($CF20*cfg_TroyOz)/($BZ20),""),"")</f>
        <v/>
      </c>
      <c r="CP20" s="56">
        <f>IFERROR(IF(($CA20)&gt;0,($CG20*cfg_TroyOz)/($CA20),""),"")</f>
        <v/>
      </c>
      <c r="CQ20" s="56">
        <f>IFERROR(IF(($CB20)&gt;0,($CH20*cfg_TroyOz)/($CB20),""),"")</f>
        <v/>
      </c>
      <c r="CR20" s="67">
        <f>IFERROR(IF(($CC20)&gt;0,($CI20)/($CC20),""),"")</f>
        <v/>
      </c>
      <c r="CS20" s="67">
        <f>IFERROR(IF(($CD20)&gt;0,($CJ20)/($CD20),""),"")</f>
        <v/>
      </c>
      <c r="CT20" s="67">
        <f>IFERROR(IF(($CE20)&gt;0,($CK20)/($CE20),""),"")</f>
        <v/>
      </c>
      <c r="CU20" s="55">
        <f>SUMIFS(tblPlant[Gravity_Gold_oz],tblPlant[Date],$A20)</f>
        <v/>
      </c>
      <c r="CV20" s="55">
        <f>IF($B20=$B19,$CV19,0)+$CU20</f>
        <v/>
      </c>
      <c r="CW20" s="55">
        <f>$CW19+$CU20</f>
        <v/>
      </c>
      <c r="CX20" s="55">
        <f>SUMIFS(tblPlant[Gold_Poured_oz],tblPlant[Date],$A20)</f>
        <v/>
      </c>
      <c r="CY20" s="55">
        <f>IF($B20=$B19,$CY19,0)+$CX20</f>
        <v/>
      </c>
      <c r="CZ20" s="55">
        <f>$CZ19+$CX20</f>
        <v/>
      </c>
      <c r="DA20" s="57">
        <f>SUMIFS(tblPlant[Mill_Run_h],tblPlant[Date],$A20)</f>
        <v/>
      </c>
      <c r="DB20" s="57">
        <f>IF($B20=$B19,$DB19,0)+$DA20</f>
        <v/>
      </c>
      <c r="DC20" s="57">
        <f>$DC19+$DA20</f>
        <v/>
      </c>
      <c r="DD20" s="57">
        <f>SUMIFS(tblPlant[Mill_Planned_Maint_h],tblPlant[Date],$A20)</f>
        <v/>
      </c>
      <c r="DE20" s="57">
        <f>IF($B20=$B19,$DE19,0)+$DD20</f>
        <v/>
      </c>
      <c r="DF20" s="57">
        <f>$DF19+$DD20</f>
        <v/>
      </c>
      <c r="DG20" s="57">
        <f>SUMIFS(tblPlant[Mill_Unplanned_Down_h],tblPlant[Date],$A20)</f>
        <v/>
      </c>
      <c r="DH20" s="57">
        <f>IF($B20=$B19,$DH19,0)+$DG20</f>
        <v/>
      </c>
      <c r="DI20" s="57">
        <f>$DI19+$DG20</f>
        <v/>
      </c>
      <c r="DJ20" s="57">
        <f>COUNTIFS(tblPlant[Date],$A20,tblPlant[Mill_Run_h],"&lt;&gt;")*24</f>
        <v/>
      </c>
      <c r="DK20" s="57">
        <f>IF($B20=$B19,$DK19,0)+$DJ20</f>
        <v/>
      </c>
      <c r="DL20" s="57">
        <f>$DL19+$DJ20</f>
        <v/>
      </c>
      <c r="DM20" s="57">
        <f>SUMIFS(tblPlant[Crusher_Run_h],tblPlant[Date],$A20)</f>
        <v/>
      </c>
      <c r="DN20" s="57">
        <f>IF($B20=$B19,$DN19,0)+$DM20</f>
        <v/>
      </c>
      <c r="DO20" s="57">
        <f>$DO19+$DM20</f>
        <v/>
      </c>
      <c r="DP20" s="55">
        <f>IFERROR(IF(($DA20)&gt;0,($BZ20)/($DA20),""),"")</f>
        <v/>
      </c>
      <c r="DQ20" s="55">
        <f>IFERROR(IF(($DB20)&gt;0,($CA20)/($DB20),""),"")</f>
        <v/>
      </c>
      <c r="DR20" s="55">
        <f>IFERROR(IF(($DC20)&gt;0,($CB20)/($DC20),""),"")</f>
        <v/>
      </c>
      <c r="DS20" s="67">
        <f>IFERROR(IF(($DJ20)&gt;0,($DJ20-$DD20-$DG20)/($DJ20),""),"")</f>
        <v/>
      </c>
      <c r="DT20" s="67">
        <f>IFERROR(IF(($DK20)&gt;0,($DK20-$DE20-$DH20)/($DK20),""),"")</f>
        <v/>
      </c>
      <c r="DU20" s="67">
        <f>IFERROR(IF(($DL20)&gt;0,($DL20-$DF20-$DI20)/($DL20),""),"")</f>
        <v/>
      </c>
      <c r="DV20" s="67">
        <f>IFERROR(IF(($DJ20-$DD20-$DG20)&gt;0,($DA20)/($DJ20-$DD20-$DG20),""),"")</f>
        <v/>
      </c>
      <c r="DW20" s="67">
        <f>IFERROR(IF(($DK20-$DE20-$DH20)&gt;0,($DB20)/($DK20-$DE20-$DH20),""),"")</f>
        <v/>
      </c>
      <c r="DX20" s="67">
        <f>IFERROR(IF(($DL20-$DF20-$DI20)&gt;0,($DC20)/($DL20-$DF20-$DI20),""),"")</f>
        <v/>
      </c>
      <c r="DY20" s="55">
        <f>SUMIFS(tblPlant[Cyanide_kg],tblPlant[Date],$A20)</f>
        <v/>
      </c>
      <c r="DZ20" s="55">
        <f>IF($B20=$B19,$DZ19,0)+$DY20</f>
        <v/>
      </c>
      <c r="EA20" s="55">
        <f>$EA19+$DY20</f>
        <v/>
      </c>
      <c r="EB20" s="55">
        <f>SUMIFS(tblPlant[Lime_kg],tblPlant[Date],$A20)</f>
        <v/>
      </c>
      <c r="EC20" s="55">
        <f>IF($B20=$B19,$EC19,0)+$EB20</f>
        <v/>
      </c>
      <c r="ED20" s="55">
        <f>$ED19+$EB20</f>
        <v/>
      </c>
      <c r="EE20" s="55">
        <f>SUMIFS(tblPlant[Grinding_Media_kg],tblPlant[Date],$A20)</f>
        <v/>
      </c>
      <c r="EF20" s="55">
        <f>IF($B20=$B19,$EF19,0)+$EE20</f>
        <v/>
      </c>
      <c r="EG20" s="55">
        <f>$EG19+$EE20</f>
        <v/>
      </c>
      <c r="EH20" s="55">
        <f>SUMIFS(tblPlant[Power_kWh],tblPlant[Date],$A20)</f>
        <v/>
      </c>
      <c r="EI20" s="55">
        <f>IF($B20=$B19,$EI19,0)+$EH20</f>
        <v/>
      </c>
      <c r="EJ20" s="55">
        <f>$EJ19+$EH20</f>
        <v/>
      </c>
      <c r="EK20" s="55">
        <f>SUMIFS(tblPlant[Raw_Water_m3],tblPlant[Date],$A20)</f>
        <v/>
      </c>
      <c r="EL20" s="55">
        <f>IF($B20=$B19,$EL19,0)+$EK20</f>
        <v/>
      </c>
      <c r="EM20" s="55">
        <f>$EM19+$EK20</f>
        <v/>
      </c>
      <c r="EN20" s="56">
        <f>IFERROR(IF(($BZ20)&gt;0,($DY20)/($BZ20),""),"")</f>
        <v/>
      </c>
      <c r="EO20" s="56">
        <f>IFERROR(IF(($CA20)&gt;0,($DZ20)/($CA20),""),"")</f>
        <v/>
      </c>
      <c r="EP20" s="56">
        <f>IFERROR(IF(($CB20)&gt;0,($EA20)/($CB20),""),"")</f>
        <v/>
      </c>
      <c r="EQ20" s="56">
        <f>IFERROR(IF(($BZ20)&gt;0,($EB20)/($BZ20),""),"")</f>
        <v/>
      </c>
      <c r="ER20" s="56">
        <f>IFERROR(IF(($CA20)&gt;0,($EC20)/($CA20),""),"")</f>
        <v/>
      </c>
      <c r="ES20" s="56">
        <f>IFERROR(IF(($CB20)&gt;0,($ED20)/($CB20),""),"")</f>
        <v/>
      </c>
      <c r="ET20" s="56">
        <f>IFERROR(IF(($BZ20)&gt;0,($EE20)/($BZ20),""),"")</f>
        <v/>
      </c>
      <c r="EU20" s="56">
        <f>IFERROR(IF(($CA20)&gt;0,($EF20)/($CA20),""),"")</f>
        <v/>
      </c>
      <c r="EV20" s="56">
        <f>IFERROR(IF(($CB20)&gt;0,($EG20)/($CB20),""),"")</f>
        <v/>
      </c>
      <c r="EW20" s="76">
        <f>IFERROR(IF(($BZ20)&gt;0,($EH20)/($BZ20),""),"")</f>
        <v/>
      </c>
      <c r="EX20" s="76">
        <f>IFERROR(IF(($CA20)&gt;0,($EI20)/($CA20),""),"")</f>
        <v/>
      </c>
      <c r="EY20" s="76">
        <f>IFERROR(IF(($CB20)&gt;0,($EJ20)/($CB20),""),"")</f>
        <v/>
      </c>
      <c r="EZ20" s="56">
        <f>IFERROR(IF(($BZ20)&gt;0,($EK20)/($BZ20),""),"")</f>
        <v/>
      </c>
      <c r="FA20" s="56">
        <f>IFERROR(IF(($CA20)&gt;0,($EL20)/($CA20),""),"")</f>
        <v/>
      </c>
      <c r="FB20" s="56">
        <f>IFERROR(IF(($CB20)&gt;0,($EM20)/($CB20),""),"")</f>
        <v/>
      </c>
      <c r="FC20" s="55">
        <f>IF(SUMIFS(tblPlant[GIC_oz],tblPlant[Date],$A20)&gt;0,SUMIFS(tblPlant[GIC_oz],tblPlant[Date],$A20),"")</f>
        <v/>
      </c>
      <c r="FD20" s="55">
        <f>SUMIFS(tblGold[Gold_oz],tblGold[Date],$A20,tblGold[Type],"Shipment")</f>
        <v/>
      </c>
      <c r="FE20" s="55">
        <f>IF($B20=$B19,$FE19,0)+$FD20</f>
        <v/>
      </c>
      <c r="FF20" s="55">
        <f>$FF19+$FD20</f>
        <v/>
      </c>
      <c r="FG20" s="55">
        <f>SUMIFS(tblGold[Gold_oz],tblGold[Date],$A20,tblGold[Type],"Sale")</f>
        <v/>
      </c>
      <c r="FH20" s="55">
        <f>IF($B20=$B19,$FH19,0)+$FG20</f>
        <v/>
      </c>
      <c r="FI20" s="55">
        <f>$FI19+$FG20</f>
        <v/>
      </c>
      <c r="FJ20" s="55">
        <f>SUMIFS(tblGold[Dore_kg],tblGold[Date],$A20,tblGold[Type],"Shipment")</f>
        <v/>
      </c>
      <c r="FK20" s="55">
        <f>IF($B20=$B19,$FK19,0)+$FJ20</f>
        <v/>
      </c>
      <c r="FL20" s="55">
        <f>$FL19+$FJ20</f>
        <v/>
      </c>
      <c r="FM20" s="57">
        <f>SUMIFS(tblSafety[Hours_Total],tblSafety[Date],$A20)</f>
        <v/>
      </c>
      <c r="FN20" s="57">
        <f>IF($B20=$B19,$FN19,0)+$FM20</f>
        <v/>
      </c>
      <c r="FO20" s="57">
        <f>$FO19+$FM20</f>
        <v/>
      </c>
      <c r="FP20" s="62">
        <f>SUMIFS(tblSafety[Fatality],tblSafety[Date],$A20)</f>
        <v/>
      </c>
      <c r="FQ20" s="62">
        <f>IF($B20=$B19,$FQ19,0)+$FP20</f>
        <v/>
      </c>
      <c r="FR20" s="62">
        <f>$FR19+$FP20</f>
        <v/>
      </c>
      <c r="FS20" s="62">
        <f>SUMIFS(tblSafety[LTI],tblSafety[Date],$A20)</f>
        <v/>
      </c>
      <c r="FT20" s="62">
        <f>IF($B20=$B19,$FT19,0)+$FS20</f>
        <v/>
      </c>
      <c r="FU20" s="62">
        <f>$FU19+$FS20</f>
        <v/>
      </c>
      <c r="FV20" s="62">
        <f>SUMIFS(tblSafety[RWI],tblSafety[Date],$A20)</f>
        <v/>
      </c>
      <c r="FW20" s="62">
        <f>IF($B20=$B19,$FW19,0)+$FV20</f>
        <v/>
      </c>
      <c r="FX20" s="62">
        <f>$FX19+$FV20</f>
        <v/>
      </c>
      <c r="FY20" s="62">
        <f>SUMIFS(tblSafety[MTI],tblSafety[Date],$A20)</f>
        <v/>
      </c>
      <c r="FZ20" s="62">
        <f>IF($B20=$B19,$FZ19,0)+$FY20</f>
        <v/>
      </c>
      <c r="GA20" s="62">
        <f>$GA19+$FY20</f>
        <v/>
      </c>
      <c r="GB20" s="62">
        <f>SUMIFS(tblSafety[FAI],tblSafety[Date],$A20)</f>
        <v/>
      </c>
      <c r="GC20" s="62">
        <f>IF($B20=$B19,$GC19,0)+$GB20</f>
        <v/>
      </c>
      <c r="GD20" s="62">
        <f>$GD19+$GB20</f>
        <v/>
      </c>
      <c r="GE20" s="62">
        <f>SUMIFS(tblSafety[Recordables],tblSafety[Date],$A20)</f>
        <v/>
      </c>
      <c r="GF20" s="62">
        <f>IF($B20=$B19,$GF19,0)+$GE20</f>
        <v/>
      </c>
      <c r="GG20" s="62">
        <f>$GG19+$GE20</f>
        <v/>
      </c>
      <c r="GH20" s="62">
        <f>SUMIFS(tblSafety[Near_Miss],tblSafety[Date],$A20)</f>
        <v/>
      </c>
      <c r="GI20" s="62">
        <f>IF($B20=$B19,$GI19,0)+$GH20</f>
        <v/>
      </c>
      <c r="GJ20" s="62">
        <f>$GJ19+$GH20</f>
        <v/>
      </c>
      <c r="GK20" s="62">
        <f>SUMIFS(tblSafety[Hazard_Reports],tblSafety[Date],$A20)</f>
        <v/>
      </c>
      <c r="GL20" s="62">
        <f>IF($B20=$B19,$GL19,0)+$GK20</f>
        <v/>
      </c>
      <c r="GM20" s="62">
        <f>$GM19+$GK20</f>
        <v/>
      </c>
      <c r="GN20" s="62">
        <f>SUMIFS(tblSafety[HPI],tblSafety[Date],$A20)</f>
        <v/>
      </c>
      <c r="GO20" s="62">
        <f>IF($B20=$B19,$GO19,0)+$GN20</f>
        <v/>
      </c>
      <c r="GP20" s="62">
        <f>$GP19+$GN20</f>
        <v/>
      </c>
      <c r="GQ20" s="62">
        <f>SUMIFS(tblSafety[Env_Incidents],tblSafety[Date],$A20)</f>
        <v/>
      </c>
      <c r="GR20" s="62">
        <f>IF($B20=$B19,$GR19,0)+$GQ20</f>
        <v/>
      </c>
      <c r="GS20" s="62">
        <f>$GS19+$GQ20</f>
        <v/>
      </c>
      <c r="GT20" s="62">
        <f>SUMIFS(tblSafety[Community_Incidents],tblSafety[Date],$A20)</f>
        <v/>
      </c>
      <c r="GU20" s="62">
        <f>IF($B20=$B19,$GU19,0)+$GT20</f>
        <v/>
      </c>
      <c r="GV20" s="62">
        <f>$GV19+$GT20</f>
        <v/>
      </c>
      <c r="GW20" s="62">
        <f>SUMIFS(tblSafety[Vehicle_Incidents],tblSafety[Date],$A20)</f>
        <v/>
      </c>
      <c r="GX20" s="62">
        <f>IF($B20=$B19,$GX19,0)+$GW20</f>
        <v/>
      </c>
      <c r="GY20" s="62">
        <f>$GY19+$GW20</f>
        <v/>
      </c>
      <c r="GZ20" s="62">
        <f>SUMIFS(tblSafety[Toolbox_Talks],tblSafety[Date],$A20)</f>
        <v/>
      </c>
      <c r="HA20" s="62">
        <f>IF($B20=$B19,$HA19,0)+$GZ20</f>
        <v/>
      </c>
      <c r="HB20" s="62">
        <f>$HB19+$GZ20</f>
        <v/>
      </c>
      <c r="HC20" s="62">
        <f>SUMIFS(tblSafety[Inspections],tblSafety[Date],$A20)</f>
        <v/>
      </c>
      <c r="HD20" s="62">
        <f>IF($B20=$B19,$HD19,0)+$HC20</f>
        <v/>
      </c>
      <c r="HE20" s="62">
        <f>$HE19+$HC20</f>
        <v/>
      </c>
      <c r="HF20" s="56">
        <f>IFERROR((SUMIFS(tblSafety[Recordables],tblSafety[Date],"&gt;="&amp;EDATE($E20,-12),tblSafety[Date],"&lt;="&amp;$A20)+SUMIFS(tblSafetyHistory[Recordables],tblSafetyHistory[Month],"&gt;="&amp;EDATE($E20,-12),tblSafetyHistory[Month],"&lt;"&amp;cfg_YearStart))/(SUMIFS(tblSafety[Hours_Total],tblSafety[Date],"&gt;="&amp;EDATE($E20,-12),tblSafety[Date],"&lt;="&amp;$A20)+SUMIFS(tblSafetyHistory[Hours_Total],tblSafetyHistory[Month],"&gt;="&amp;EDATE($E20,-12),tblSafetyHistory[Month],"&lt;"&amp;cfg_YearStart))*1000000,"")</f>
        <v/>
      </c>
      <c r="HG20" s="56">
        <f>IFERROR((SUMIFS(tblSafety[LTI],tblSafety[Date],"&gt;="&amp;EDATE($E20,-12),tblSafety[Date],"&lt;="&amp;$A20)+SUMIFS(tblSafetyHistory[LTI],tblSafetyHistory[Month],"&gt;="&amp;EDATE($E20,-12),tblSafetyHistory[Month],"&lt;"&amp;cfg_YearStart))/(SUMIFS(tblSafety[Hours_Total],tblSafety[Date],"&gt;="&amp;EDATE($E20,-12),tblSafety[Date],"&lt;="&amp;$A20)+SUMIFS(tblSafetyHistory[Hours_Total],tblSafetyHistory[Month],"&gt;="&amp;EDATE($E20,-12),tblSafetyHistory[Month],"&lt;"&amp;cfg_YearStart))*1000000,"")</f>
        <v/>
      </c>
      <c r="HH20" s="62">
        <f>IF(MAX(N(cfg_PriorLTIDate),_xlfn.MAXIFS(tblSafety[Date],tblSafety[LTI],"&gt;0",tblSafety[Date],"&lt;="&amp;$A20))=0,"",$A20-MAX(N(cfg_PriorLTIDate),_xlfn.MAXIFS(tblSafety[Date],tblSafety[LTI],"&gt;0",tblSafety[Date],"&lt;="&amp;$A20)))</f>
        <v/>
      </c>
      <c r="HI20" s="55">
        <f>SUMIFS(tblBudget[Ore_Mined_t],tblBudget[Month],$E20)</f>
        <v/>
      </c>
      <c r="HJ20" s="55">
        <f>$HI20*$C20/$D20</f>
        <v/>
      </c>
      <c r="HK20" s="55">
        <f>SUMIFS(tblBudget[Ore_Mined_t],tblBudget[Month],"&lt;"&amp;$E20)+$HJ20</f>
        <v/>
      </c>
      <c r="HL20" s="55">
        <f>SUMIFS(tblBudget[Ore_oz],tblBudget[Month],$E20)</f>
        <v/>
      </c>
      <c r="HM20" s="55">
        <f>$HL20*$C20/$D20</f>
        <v/>
      </c>
      <c r="HN20" s="55">
        <f>SUMIFS(tblBudget[Ore_oz],tblBudget[Month],"&lt;"&amp;$E20)+$HM20</f>
        <v/>
      </c>
      <c r="HO20" s="56">
        <f>IFERROR(IF(($HI20)&gt;0,($HL20*cfg_TroyOz)/($HI20),""),"")</f>
        <v/>
      </c>
      <c r="HP20" s="56">
        <f>IFERROR(IF(($HJ20)&gt;0,($HM20*cfg_TroyOz)/($HJ20),""),"")</f>
        <v/>
      </c>
      <c r="HQ20" s="56">
        <f>IFERROR(IF(($HK20)&gt;0,($HN20*cfg_TroyOz)/($HK20),""),"")</f>
        <v/>
      </c>
      <c r="HR20" s="55">
        <f>SUMIFS(tblBudget[Waste_t],tblBudget[Month],$E20)</f>
        <v/>
      </c>
      <c r="HS20" s="55">
        <f>$HR20*$C20/$D20</f>
        <v/>
      </c>
      <c r="HT20" s="55">
        <f>SUMIFS(tblBudget[Waste_t],tblBudget[Month],"&lt;"&amp;$E20)+$HS20</f>
        <v/>
      </c>
      <c r="HU20" s="55">
        <f>SUMIFS(tblBudget[TMM_t],tblBudget[Month],$E20)</f>
        <v/>
      </c>
      <c r="HV20" s="55">
        <f>$HU20*$C20/$D20</f>
        <v/>
      </c>
      <c r="HW20" s="55">
        <f>SUMIFS(tblBudget[TMM_t],tblBudget[Month],"&lt;"&amp;$E20)+$HV20</f>
        <v/>
      </c>
      <c r="HX20" s="56">
        <f>IFERROR(IF(($HI20)&gt;0,($HR20)/($HI20),""),"")</f>
        <v/>
      </c>
      <c r="HY20" s="56">
        <f>IFERROR(IF(($HJ20)&gt;0,($HS20)/($HJ20),""),"")</f>
        <v/>
      </c>
      <c r="HZ20" s="56">
        <f>IFERROR(IF(($HK20)&gt;0,($HT20)/($HK20),""),"")</f>
        <v/>
      </c>
      <c r="IA20" s="55">
        <f>SUMIFS(tblBudget[Drill_m],tblBudget[Month],$E20)</f>
        <v/>
      </c>
      <c r="IB20" s="55">
        <f>$IA20*$C20/$D20</f>
        <v/>
      </c>
      <c r="IC20" s="55">
        <f>SUMIFS(tblBudget[Drill_m],tblBudget[Month],"&lt;"&amp;$E20)+$IB20</f>
        <v/>
      </c>
      <c r="ID20" s="55">
        <f>SUMIFS(tblBudget[Diesel_L],tblBudget[Month],$E20)</f>
        <v/>
      </c>
      <c r="IE20" s="55">
        <f>$ID20*$C20/$D20</f>
        <v/>
      </c>
      <c r="IF20" s="55">
        <f>SUMIFS(tblBudget[Diesel_L],tblBudget[Month],"&lt;"&amp;$E20)+$IE20</f>
        <v/>
      </c>
      <c r="IG20" s="55">
        <f>SUMIFS(tblBudget[Milled_t],tblBudget[Month],$E20)</f>
        <v/>
      </c>
      <c r="IH20" s="55">
        <f>$IG20*$C20/$D20</f>
        <v/>
      </c>
      <c r="II20" s="55">
        <f>SUMIFS(tblBudget[Milled_t],tblBudget[Month],"&lt;"&amp;$E20)+$IH20</f>
        <v/>
      </c>
      <c r="IJ20" s="55">
        <f>SUMIFS(tblBudget[Feed_oz],tblBudget[Month],$E20)</f>
        <v/>
      </c>
      <c r="IK20" s="55">
        <f>$IJ20*$C20/$D20</f>
        <v/>
      </c>
      <c r="IL20" s="55">
        <f>SUMIFS(tblBudget[Feed_oz],tblBudget[Month],"&lt;"&amp;$E20)+$IK20</f>
        <v/>
      </c>
      <c r="IM20" s="55">
        <f>SUMIFS(tblBudget[Recovered_oz],tblBudget[Month],$E20)</f>
        <v/>
      </c>
      <c r="IN20" s="55">
        <f>$IM20*$C20/$D20</f>
        <v/>
      </c>
      <c r="IO20" s="55">
        <f>SUMIFS(tblBudget[Recovered_oz],tblBudget[Month],"&lt;"&amp;$E20)+$IN20</f>
        <v/>
      </c>
      <c r="IP20" s="56">
        <f>IFERROR(IF(($IG20)&gt;0,($IJ20*cfg_TroyOz)/($IG20),""),"")</f>
        <v/>
      </c>
      <c r="IQ20" s="56">
        <f>IFERROR(IF(($IH20)&gt;0,($IK20*cfg_TroyOz)/($IH20),""),"")</f>
        <v/>
      </c>
      <c r="IR20" s="56">
        <f>IFERROR(IF(($II20)&gt;0,($IL20*cfg_TroyOz)/($II20),""),"")</f>
        <v/>
      </c>
      <c r="IS20" s="67">
        <f>IFERROR(IF(($IJ20)&gt;0,($IM20)/($IJ20),""),"")</f>
        <v/>
      </c>
      <c r="IT20" s="67">
        <f>IFERROR(IF(($IK20)&gt;0,($IN20)/($IK20),""),"")</f>
        <v/>
      </c>
      <c r="IU20" s="67">
        <f>IFERROR(IF(($IL20)&gt;0,($IO20)/($IL20),""),"")</f>
        <v/>
      </c>
      <c r="IV20" s="55">
        <f>SUMIFS(tblBudget[Gold_Poured_oz],tblBudget[Month],$E20)</f>
        <v/>
      </c>
      <c r="IW20" s="55">
        <f>$IV20*$C20/$D20</f>
        <v/>
      </c>
      <c r="IX20" s="55">
        <f>SUMIFS(tblBudget[Gold_Poured_oz],tblBudget[Month],"&lt;"&amp;$E20)+$IW20</f>
        <v/>
      </c>
      <c r="IY20" s="57">
        <f>SUMIFS(tblBudget[Hours_Worked],tblBudget[Month],$E20)</f>
        <v/>
      </c>
      <c r="IZ20" s="57">
        <f>$IY20*$C20/$D20</f>
        <v/>
      </c>
      <c r="JA20" s="57">
        <f>SUMIFS(tblBudget[Hours_Worked],tblBudget[Month],"&lt;"&amp;$E20)+$IZ20</f>
        <v/>
      </c>
    </row>
    <row r="21">
      <c r="A21" s="54" t="n">
        <v>46042</v>
      </c>
      <c r="B21">
        <f>MONTH($A21)</f>
        <v/>
      </c>
      <c r="C21">
        <f>DAY($A21)</f>
        <v/>
      </c>
      <c r="D21">
        <f>DAY(EOMONTH($A21,0))</f>
        <v/>
      </c>
      <c r="E21" s="54">
        <f>DATE(YEAR($A21),MONTH($A21),1)</f>
        <v/>
      </c>
      <c r="F21" s="55">
        <f>SUMIFS(tblMovement[Tonnes_t],tblMovement[Date],$A21,tblMovement[Is_Ore],1,tblMovement[Source_Type],"Pit")</f>
        <v/>
      </c>
      <c r="G21" s="55">
        <f>IF($B21=$B20,$G20,0)+$F21</f>
        <v/>
      </c>
      <c r="H21" s="55">
        <f>$H20+$F21</f>
        <v/>
      </c>
      <c r="I21" s="55">
        <f>SUMIFS(tblMovement[Ore_oz],tblMovement[Date],$A21,tblMovement[Source_Type],"Pit")</f>
        <v/>
      </c>
      <c r="J21" s="55">
        <f>IF($B21=$B20,$J20,0)+$I21</f>
        <v/>
      </c>
      <c r="K21" s="55">
        <f>$K20+$I21</f>
        <v/>
      </c>
      <c r="L21" s="56">
        <f>IFERROR(IF(($F21)&gt;0,($I21*cfg_TroyOz)/($F21),""),"")</f>
        <v/>
      </c>
      <c r="M21" s="56">
        <f>IFERROR(IF(($G21)&gt;0,($J21*cfg_TroyOz)/($G21),""),"")</f>
        <v/>
      </c>
      <c r="N21" s="56">
        <f>IFERROR(IF(($H21)&gt;0,($K21*cfg_TroyOz)/($H21),""),"")</f>
        <v/>
      </c>
      <c r="O21" s="55">
        <f>SUMIFS(tblMovement[Tonnes_t],tblMovement[Date],$A21,tblMovement[Is_Ore],0,tblMovement[Source_Type],"Pit")</f>
        <v/>
      </c>
      <c r="P21" s="55">
        <f>IF($B21=$B20,$P20,0)+$O21</f>
        <v/>
      </c>
      <c r="Q21" s="55">
        <f>$Q20+$O21</f>
        <v/>
      </c>
      <c r="R21" s="55">
        <f>$F21+$O21</f>
        <v/>
      </c>
      <c r="S21" s="55">
        <f>IF($B21=$B20,$S20,0)+$R21</f>
        <v/>
      </c>
      <c r="T21" s="55">
        <f>$T20+$R21</f>
        <v/>
      </c>
      <c r="U21" s="56">
        <f>IFERROR(IF(($F21)&gt;0,($O21)/($F21),""),"")</f>
        <v/>
      </c>
      <c r="V21" s="56">
        <f>IFERROR(IF(($G21)&gt;0,($P21)/($G21),""),"")</f>
        <v/>
      </c>
      <c r="W21" s="56">
        <f>IFERROR(IF(($H21)&gt;0,($Q21)/($H21),""),"")</f>
        <v/>
      </c>
      <c r="X21" s="55">
        <f>SUMIFS(tblMovement[Tonnes_t],tblMovement[Date],$A21,tblMovement[Source_Type],"Stockpile")</f>
        <v/>
      </c>
      <c r="Y21" s="55">
        <f>IF($B21=$B20,$Y20,0)+$X21</f>
        <v/>
      </c>
      <c r="Z21" s="55">
        <f>$Z20+$X21</f>
        <v/>
      </c>
      <c r="AA21" s="55">
        <f>SUMIFS(tblMiningDaily[Drill_m],tblMiningDaily[Date],$A21)</f>
        <v/>
      </c>
      <c r="AB21" s="55">
        <f>IF($B21=$B20,$AB20,0)+$AA21</f>
        <v/>
      </c>
      <c r="AC21" s="55">
        <f>$AC20+$AA21</f>
        <v/>
      </c>
      <c r="AD21" s="55">
        <f>SUMIFS(tblMiningDaily[Blast_t],tblMiningDaily[Date],$A21)</f>
        <v/>
      </c>
      <c r="AE21" s="55">
        <f>IF($B21=$B20,$AE20,0)+$AD21</f>
        <v/>
      </c>
      <c r="AF21" s="55">
        <f>$AF20+$AD21</f>
        <v/>
      </c>
      <c r="AG21" s="55">
        <f>SUMIFS(tblMiningDaily[Explosives_kg],tblMiningDaily[Date],$A21)</f>
        <v/>
      </c>
      <c r="AH21" s="55">
        <f>IF($B21=$B20,$AH20,0)+$AG21</f>
        <v/>
      </c>
      <c r="AI21" s="55">
        <f>$AI20+$AG21</f>
        <v/>
      </c>
      <c r="AJ21" s="56">
        <f>IFERROR(IF(($AD21)&gt;0,($AG21)/($AD21),""),"")</f>
        <v/>
      </c>
      <c r="AK21" s="56">
        <f>IFERROR(IF(($AE21)&gt;0,($AH21)/($AE21),""),"")</f>
        <v/>
      </c>
      <c r="AL21" s="56">
        <f>IFERROR(IF(($AF21)&gt;0,($AI21)/($AF21),""),"")</f>
        <v/>
      </c>
      <c r="AM21" s="55">
        <f>SUMIFS(tblMiningDaily[Diesel_L],tblMiningDaily[Date],$A21)</f>
        <v/>
      </c>
      <c r="AN21" s="55">
        <f>IF($B21=$B20,$AN20,0)+$AM21</f>
        <v/>
      </c>
      <c r="AO21" s="55">
        <f>$AO20+$AM21</f>
        <v/>
      </c>
      <c r="AP21" s="55">
        <f>SUMIFS(tblMiningDaily[Dewatering_m3],tblMiningDaily[Date],$A21)</f>
        <v/>
      </c>
      <c r="AQ21" s="55">
        <f>IF($B21=$B20,$AQ20,0)+$AP21</f>
        <v/>
      </c>
      <c r="AR21" s="55">
        <f>$AR20+$AP21</f>
        <v/>
      </c>
      <c r="AS21" s="57">
        <f>SUMIFS(tblFleet[Calendar_h],tblFleet[Date],$A21,tblFleet[Equipment_Class],"Excavator")</f>
        <v/>
      </c>
      <c r="AT21" s="57">
        <f>IF($B21=$B20,$AT20,0)+$AS21</f>
        <v/>
      </c>
      <c r="AU21" s="57">
        <f>$AU20+$AS21</f>
        <v/>
      </c>
      <c r="AV21" s="57">
        <f>SUMIFS(tblFleet[Available_h],tblFleet[Date],$A21,tblFleet[Equipment_Class],"Excavator")</f>
        <v/>
      </c>
      <c r="AW21" s="57">
        <f>IF($B21=$B20,$AW20,0)+$AV21</f>
        <v/>
      </c>
      <c r="AX21" s="57">
        <f>$AX20+$AV21</f>
        <v/>
      </c>
      <c r="AY21" s="57">
        <f>SUMIFS(tblFleet[Operating_h],tblFleet[Date],$A21,tblFleet[Equipment_Class],"Excavator")</f>
        <v/>
      </c>
      <c r="AZ21" s="57">
        <f>IF($B21=$B20,$AZ20,0)+$AY21</f>
        <v/>
      </c>
      <c r="BA21" s="57">
        <f>$BA20+$AY21</f>
        <v/>
      </c>
      <c r="BB21" s="67">
        <f>IFERROR(IF(($AS21)&gt;0,($AV21)/($AS21),""),"")</f>
        <v/>
      </c>
      <c r="BC21" s="67">
        <f>IFERROR(IF(($AT21)&gt;0,($AW21)/($AT21),""),"")</f>
        <v/>
      </c>
      <c r="BD21" s="67">
        <f>IFERROR(IF(($AU21)&gt;0,($AX21)/($AU21),""),"")</f>
        <v/>
      </c>
      <c r="BE21" s="67">
        <f>IFERROR(IF(($AV21)&gt;0,($AY21)/($AV21),""),"")</f>
        <v/>
      </c>
      <c r="BF21" s="67">
        <f>IFERROR(IF(($AW21)&gt;0,($AZ21)/($AW21),""),"")</f>
        <v/>
      </c>
      <c r="BG21" s="67">
        <f>IFERROR(IF(($AX21)&gt;0,($BA21)/($AX21),""),"")</f>
        <v/>
      </c>
      <c r="BH21" s="57">
        <f>SUMIFS(tblFleet[Calendar_h],tblFleet[Date],$A21,tblFleet[Equipment_Class],"Haul Truck")</f>
        <v/>
      </c>
      <c r="BI21" s="57">
        <f>IF($B21=$B20,$BI20,0)+$BH21</f>
        <v/>
      </c>
      <c r="BJ21" s="57">
        <f>$BJ20+$BH21</f>
        <v/>
      </c>
      <c r="BK21" s="57">
        <f>SUMIFS(tblFleet[Available_h],tblFleet[Date],$A21,tblFleet[Equipment_Class],"Haul Truck")</f>
        <v/>
      </c>
      <c r="BL21" s="57">
        <f>IF($B21=$B20,$BL20,0)+$BK21</f>
        <v/>
      </c>
      <c r="BM21" s="57">
        <f>$BM20+$BK21</f>
        <v/>
      </c>
      <c r="BN21" s="57">
        <f>SUMIFS(tblFleet[Operating_h],tblFleet[Date],$A21,tblFleet[Equipment_Class],"Haul Truck")</f>
        <v/>
      </c>
      <c r="BO21" s="57">
        <f>IF($B21=$B20,$BO20,0)+$BN21</f>
        <v/>
      </c>
      <c r="BP21" s="57">
        <f>$BP20+$BN21</f>
        <v/>
      </c>
      <c r="BQ21" s="67">
        <f>IFERROR(IF(($BH21)&gt;0,($BK21)/($BH21),""),"")</f>
        <v/>
      </c>
      <c r="BR21" s="67">
        <f>IFERROR(IF(($BI21)&gt;0,($BL21)/($BI21),""),"")</f>
        <v/>
      </c>
      <c r="BS21" s="67">
        <f>IFERROR(IF(($BJ21)&gt;0,($BM21)/($BJ21),""),"")</f>
        <v/>
      </c>
      <c r="BT21" s="67">
        <f>IFERROR(IF(($BK21)&gt;0,($BN21)/($BK21),""),"")</f>
        <v/>
      </c>
      <c r="BU21" s="67">
        <f>IFERROR(IF(($BL21)&gt;0,($BO21)/($BL21),""),"")</f>
        <v/>
      </c>
      <c r="BV21" s="67">
        <f>IFERROR(IF(($BM21)&gt;0,($BP21)/($BM21),""),"")</f>
        <v/>
      </c>
      <c r="BW21" s="55">
        <f>SUMIFS(tblPlant[Crushed_t],tblPlant[Date],$A21)</f>
        <v/>
      </c>
      <c r="BX21" s="55">
        <f>IF($B21=$B20,$BX20,0)+$BW21</f>
        <v/>
      </c>
      <c r="BY21" s="55">
        <f>$BY20+$BW21</f>
        <v/>
      </c>
      <c r="BZ21" s="55">
        <f>SUMIFS(tblPlant[Milled_t],tblPlant[Date],$A21)</f>
        <v/>
      </c>
      <c r="CA21" s="55">
        <f>IF($B21=$B20,$CA20,0)+$BZ21</f>
        <v/>
      </c>
      <c r="CB21" s="55">
        <f>$CB20+$BZ21</f>
        <v/>
      </c>
      <c r="CC21" s="55">
        <f>SUMIFS(tblPlant[Feed_oz],tblPlant[Date],$A21)</f>
        <v/>
      </c>
      <c r="CD21" s="55">
        <f>IF($B21=$B20,$CD20,0)+$CC21</f>
        <v/>
      </c>
      <c r="CE21" s="55">
        <f>$CE20+$CC21</f>
        <v/>
      </c>
      <c r="CF21" s="55">
        <f>SUMIFS(tblPlant[Tails_oz],tblPlant[Date],$A21)</f>
        <v/>
      </c>
      <c r="CG21" s="55">
        <f>IF($B21=$B20,$CG20,0)+$CF21</f>
        <v/>
      </c>
      <c r="CH21" s="55">
        <f>$CH20+$CF21</f>
        <v/>
      </c>
      <c r="CI21" s="55">
        <f>SUMIFS(tblPlant[Recovered_oz],tblPlant[Date],$A21)</f>
        <v/>
      </c>
      <c r="CJ21" s="55">
        <f>IF($B21=$B20,$CJ20,0)+$CI21</f>
        <v/>
      </c>
      <c r="CK21" s="55">
        <f>$CK20+$CI21</f>
        <v/>
      </c>
      <c r="CL21" s="56">
        <f>IFERROR(IF(($BZ21)&gt;0,($CC21*cfg_TroyOz)/($BZ21),""),"")</f>
        <v/>
      </c>
      <c r="CM21" s="56">
        <f>IFERROR(IF(($CA21)&gt;0,($CD21*cfg_TroyOz)/($CA21),""),"")</f>
        <v/>
      </c>
      <c r="CN21" s="56">
        <f>IFERROR(IF(($CB21)&gt;0,($CE21*cfg_TroyOz)/($CB21),""),"")</f>
        <v/>
      </c>
      <c r="CO21" s="56">
        <f>IFERROR(IF(($BZ21)&gt;0,($CF21*cfg_TroyOz)/($BZ21),""),"")</f>
        <v/>
      </c>
      <c r="CP21" s="56">
        <f>IFERROR(IF(($CA21)&gt;0,($CG21*cfg_TroyOz)/($CA21),""),"")</f>
        <v/>
      </c>
      <c r="CQ21" s="56">
        <f>IFERROR(IF(($CB21)&gt;0,($CH21*cfg_TroyOz)/($CB21),""),"")</f>
        <v/>
      </c>
      <c r="CR21" s="67">
        <f>IFERROR(IF(($CC21)&gt;0,($CI21)/($CC21),""),"")</f>
        <v/>
      </c>
      <c r="CS21" s="67">
        <f>IFERROR(IF(($CD21)&gt;0,($CJ21)/($CD21),""),"")</f>
        <v/>
      </c>
      <c r="CT21" s="67">
        <f>IFERROR(IF(($CE21)&gt;0,($CK21)/($CE21),""),"")</f>
        <v/>
      </c>
      <c r="CU21" s="55">
        <f>SUMIFS(tblPlant[Gravity_Gold_oz],tblPlant[Date],$A21)</f>
        <v/>
      </c>
      <c r="CV21" s="55">
        <f>IF($B21=$B20,$CV20,0)+$CU21</f>
        <v/>
      </c>
      <c r="CW21" s="55">
        <f>$CW20+$CU21</f>
        <v/>
      </c>
      <c r="CX21" s="55">
        <f>SUMIFS(tblPlant[Gold_Poured_oz],tblPlant[Date],$A21)</f>
        <v/>
      </c>
      <c r="CY21" s="55">
        <f>IF($B21=$B20,$CY20,0)+$CX21</f>
        <v/>
      </c>
      <c r="CZ21" s="55">
        <f>$CZ20+$CX21</f>
        <v/>
      </c>
      <c r="DA21" s="57">
        <f>SUMIFS(tblPlant[Mill_Run_h],tblPlant[Date],$A21)</f>
        <v/>
      </c>
      <c r="DB21" s="57">
        <f>IF($B21=$B20,$DB20,0)+$DA21</f>
        <v/>
      </c>
      <c r="DC21" s="57">
        <f>$DC20+$DA21</f>
        <v/>
      </c>
      <c r="DD21" s="57">
        <f>SUMIFS(tblPlant[Mill_Planned_Maint_h],tblPlant[Date],$A21)</f>
        <v/>
      </c>
      <c r="DE21" s="57">
        <f>IF($B21=$B20,$DE20,0)+$DD21</f>
        <v/>
      </c>
      <c r="DF21" s="57">
        <f>$DF20+$DD21</f>
        <v/>
      </c>
      <c r="DG21" s="57">
        <f>SUMIFS(tblPlant[Mill_Unplanned_Down_h],tblPlant[Date],$A21)</f>
        <v/>
      </c>
      <c r="DH21" s="57">
        <f>IF($B21=$B20,$DH20,0)+$DG21</f>
        <v/>
      </c>
      <c r="DI21" s="57">
        <f>$DI20+$DG21</f>
        <v/>
      </c>
      <c r="DJ21" s="57">
        <f>COUNTIFS(tblPlant[Date],$A21,tblPlant[Mill_Run_h],"&lt;&gt;")*24</f>
        <v/>
      </c>
      <c r="DK21" s="57">
        <f>IF($B21=$B20,$DK20,0)+$DJ21</f>
        <v/>
      </c>
      <c r="DL21" s="57">
        <f>$DL20+$DJ21</f>
        <v/>
      </c>
      <c r="DM21" s="57">
        <f>SUMIFS(tblPlant[Crusher_Run_h],tblPlant[Date],$A21)</f>
        <v/>
      </c>
      <c r="DN21" s="57">
        <f>IF($B21=$B20,$DN20,0)+$DM21</f>
        <v/>
      </c>
      <c r="DO21" s="57">
        <f>$DO20+$DM21</f>
        <v/>
      </c>
      <c r="DP21" s="55">
        <f>IFERROR(IF(($DA21)&gt;0,($BZ21)/($DA21),""),"")</f>
        <v/>
      </c>
      <c r="DQ21" s="55">
        <f>IFERROR(IF(($DB21)&gt;0,($CA21)/($DB21),""),"")</f>
        <v/>
      </c>
      <c r="DR21" s="55">
        <f>IFERROR(IF(($DC21)&gt;0,($CB21)/($DC21),""),"")</f>
        <v/>
      </c>
      <c r="DS21" s="67">
        <f>IFERROR(IF(($DJ21)&gt;0,($DJ21-$DD21-$DG21)/($DJ21),""),"")</f>
        <v/>
      </c>
      <c r="DT21" s="67">
        <f>IFERROR(IF(($DK21)&gt;0,($DK21-$DE21-$DH21)/($DK21),""),"")</f>
        <v/>
      </c>
      <c r="DU21" s="67">
        <f>IFERROR(IF(($DL21)&gt;0,($DL21-$DF21-$DI21)/($DL21),""),"")</f>
        <v/>
      </c>
      <c r="DV21" s="67">
        <f>IFERROR(IF(($DJ21-$DD21-$DG21)&gt;0,($DA21)/($DJ21-$DD21-$DG21),""),"")</f>
        <v/>
      </c>
      <c r="DW21" s="67">
        <f>IFERROR(IF(($DK21-$DE21-$DH21)&gt;0,($DB21)/($DK21-$DE21-$DH21),""),"")</f>
        <v/>
      </c>
      <c r="DX21" s="67">
        <f>IFERROR(IF(($DL21-$DF21-$DI21)&gt;0,($DC21)/($DL21-$DF21-$DI21),""),"")</f>
        <v/>
      </c>
      <c r="DY21" s="55">
        <f>SUMIFS(tblPlant[Cyanide_kg],tblPlant[Date],$A21)</f>
        <v/>
      </c>
      <c r="DZ21" s="55">
        <f>IF($B21=$B20,$DZ20,0)+$DY21</f>
        <v/>
      </c>
      <c r="EA21" s="55">
        <f>$EA20+$DY21</f>
        <v/>
      </c>
      <c r="EB21" s="55">
        <f>SUMIFS(tblPlant[Lime_kg],tblPlant[Date],$A21)</f>
        <v/>
      </c>
      <c r="EC21" s="55">
        <f>IF($B21=$B20,$EC20,0)+$EB21</f>
        <v/>
      </c>
      <c r="ED21" s="55">
        <f>$ED20+$EB21</f>
        <v/>
      </c>
      <c r="EE21" s="55">
        <f>SUMIFS(tblPlant[Grinding_Media_kg],tblPlant[Date],$A21)</f>
        <v/>
      </c>
      <c r="EF21" s="55">
        <f>IF($B21=$B20,$EF20,0)+$EE21</f>
        <v/>
      </c>
      <c r="EG21" s="55">
        <f>$EG20+$EE21</f>
        <v/>
      </c>
      <c r="EH21" s="55">
        <f>SUMIFS(tblPlant[Power_kWh],tblPlant[Date],$A21)</f>
        <v/>
      </c>
      <c r="EI21" s="55">
        <f>IF($B21=$B20,$EI20,0)+$EH21</f>
        <v/>
      </c>
      <c r="EJ21" s="55">
        <f>$EJ20+$EH21</f>
        <v/>
      </c>
      <c r="EK21" s="55">
        <f>SUMIFS(tblPlant[Raw_Water_m3],tblPlant[Date],$A21)</f>
        <v/>
      </c>
      <c r="EL21" s="55">
        <f>IF($B21=$B20,$EL20,0)+$EK21</f>
        <v/>
      </c>
      <c r="EM21" s="55">
        <f>$EM20+$EK21</f>
        <v/>
      </c>
      <c r="EN21" s="56">
        <f>IFERROR(IF(($BZ21)&gt;0,($DY21)/($BZ21),""),"")</f>
        <v/>
      </c>
      <c r="EO21" s="56">
        <f>IFERROR(IF(($CA21)&gt;0,($DZ21)/($CA21),""),"")</f>
        <v/>
      </c>
      <c r="EP21" s="56">
        <f>IFERROR(IF(($CB21)&gt;0,($EA21)/($CB21),""),"")</f>
        <v/>
      </c>
      <c r="EQ21" s="56">
        <f>IFERROR(IF(($BZ21)&gt;0,($EB21)/($BZ21),""),"")</f>
        <v/>
      </c>
      <c r="ER21" s="56">
        <f>IFERROR(IF(($CA21)&gt;0,($EC21)/($CA21),""),"")</f>
        <v/>
      </c>
      <c r="ES21" s="56">
        <f>IFERROR(IF(($CB21)&gt;0,($ED21)/($CB21),""),"")</f>
        <v/>
      </c>
      <c r="ET21" s="56">
        <f>IFERROR(IF(($BZ21)&gt;0,($EE21)/($BZ21),""),"")</f>
        <v/>
      </c>
      <c r="EU21" s="56">
        <f>IFERROR(IF(($CA21)&gt;0,($EF21)/($CA21),""),"")</f>
        <v/>
      </c>
      <c r="EV21" s="56">
        <f>IFERROR(IF(($CB21)&gt;0,($EG21)/($CB21),""),"")</f>
        <v/>
      </c>
      <c r="EW21" s="76">
        <f>IFERROR(IF(($BZ21)&gt;0,($EH21)/($BZ21),""),"")</f>
        <v/>
      </c>
      <c r="EX21" s="76">
        <f>IFERROR(IF(($CA21)&gt;0,($EI21)/($CA21),""),"")</f>
        <v/>
      </c>
      <c r="EY21" s="76">
        <f>IFERROR(IF(($CB21)&gt;0,($EJ21)/($CB21),""),"")</f>
        <v/>
      </c>
      <c r="EZ21" s="56">
        <f>IFERROR(IF(($BZ21)&gt;0,($EK21)/($BZ21),""),"")</f>
        <v/>
      </c>
      <c r="FA21" s="56">
        <f>IFERROR(IF(($CA21)&gt;0,($EL21)/($CA21),""),"")</f>
        <v/>
      </c>
      <c r="FB21" s="56">
        <f>IFERROR(IF(($CB21)&gt;0,($EM21)/($CB21),""),"")</f>
        <v/>
      </c>
      <c r="FC21" s="55">
        <f>IF(SUMIFS(tblPlant[GIC_oz],tblPlant[Date],$A21)&gt;0,SUMIFS(tblPlant[GIC_oz],tblPlant[Date],$A21),"")</f>
        <v/>
      </c>
      <c r="FD21" s="55">
        <f>SUMIFS(tblGold[Gold_oz],tblGold[Date],$A21,tblGold[Type],"Shipment")</f>
        <v/>
      </c>
      <c r="FE21" s="55">
        <f>IF($B21=$B20,$FE20,0)+$FD21</f>
        <v/>
      </c>
      <c r="FF21" s="55">
        <f>$FF20+$FD21</f>
        <v/>
      </c>
      <c r="FG21" s="55">
        <f>SUMIFS(tblGold[Gold_oz],tblGold[Date],$A21,tblGold[Type],"Sale")</f>
        <v/>
      </c>
      <c r="FH21" s="55">
        <f>IF($B21=$B20,$FH20,0)+$FG21</f>
        <v/>
      </c>
      <c r="FI21" s="55">
        <f>$FI20+$FG21</f>
        <v/>
      </c>
      <c r="FJ21" s="55">
        <f>SUMIFS(tblGold[Dore_kg],tblGold[Date],$A21,tblGold[Type],"Shipment")</f>
        <v/>
      </c>
      <c r="FK21" s="55">
        <f>IF($B21=$B20,$FK20,0)+$FJ21</f>
        <v/>
      </c>
      <c r="FL21" s="55">
        <f>$FL20+$FJ21</f>
        <v/>
      </c>
      <c r="FM21" s="57">
        <f>SUMIFS(tblSafety[Hours_Total],tblSafety[Date],$A21)</f>
        <v/>
      </c>
      <c r="FN21" s="57">
        <f>IF($B21=$B20,$FN20,0)+$FM21</f>
        <v/>
      </c>
      <c r="FO21" s="57">
        <f>$FO20+$FM21</f>
        <v/>
      </c>
      <c r="FP21" s="62">
        <f>SUMIFS(tblSafety[Fatality],tblSafety[Date],$A21)</f>
        <v/>
      </c>
      <c r="FQ21" s="62">
        <f>IF($B21=$B20,$FQ20,0)+$FP21</f>
        <v/>
      </c>
      <c r="FR21" s="62">
        <f>$FR20+$FP21</f>
        <v/>
      </c>
      <c r="FS21" s="62">
        <f>SUMIFS(tblSafety[LTI],tblSafety[Date],$A21)</f>
        <v/>
      </c>
      <c r="FT21" s="62">
        <f>IF($B21=$B20,$FT20,0)+$FS21</f>
        <v/>
      </c>
      <c r="FU21" s="62">
        <f>$FU20+$FS21</f>
        <v/>
      </c>
      <c r="FV21" s="62">
        <f>SUMIFS(tblSafety[RWI],tblSafety[Date],$A21)</f>
        <v/>
      </c>
      <c r="FW21" s="62">
        <f>IF($B21=$B20,$FW20,0)+$FV21</f>
        <v/>
      </c>
      <c r="FX21" s="62">
        <f>$FX20+$FV21</f>
        <v/>
      </c>
      <c r="FY21" s="62">
        <f>SUMIFS(tblSafety[MTI],tblSafety[Date],$A21)</f>
        <v/>
      </c>
      <c r="FZ21" s="62">
        <f>IF($B21=$B20,$FZ20,0)+$FY21</f>
        <v/>
      </c>
      <c r="GA21" s="62">
        <f>$GA20+$FY21</f>
        <v/>
      </c>
      <c r="GB21" s="62">
        <f>SUMIFS(tblSafety[FAI],tblSafety[Date],$A21)</f>
        <v/>
      </c>
      <c r="GC21" s="62">
        <f>IF($B21=$B20,$GC20,0)+$GB21</f>
        <v/>
      </c>
      <c r="GD21" s="62">
        <f>$GD20+$GB21</f>
        <v/>
      </c>
      <c r="GE21" s="62">
        <f>SUMIFS(tblSafety[Recordables],tblSafety[Date],$A21)</f>
        <v/>
      </c>
      <c r="GF21" s="62">
        <f>IF($B21=$B20,$GF20,0)+$GE21</f>
        <v/>
      </c>
      <c r="GG21" s="62">
        <f>$GG20+$GE21</f>
        <v/>
      </c>
      <c r="GH21" s="62">
        <f>SUMIFS(tblSafety[Near_Miss],tblSafety[Date],$A21)</f>
        <v/>
      </c>
      <c r="GI21" s="62">
        <f>IF($B21=$B20,$GI20,0)+$GH21</f>
        <v/>
      </c>
      <c r="GJ21" s="62">
        <f>$GJ20+$GH21</f>
        <v/>
      </c>
      <c r="GK21" s="62">
        <f>SUMIFS(tblSafety[Hazard_Reports],tblSafety[Date],$A21)</f>
        <v/>
      </c>
      <c r="GL21" s="62">
        <f>IF($B21=$B20,$GL20,0)+$GK21</f>
        <v/>
      </c>
      <c r="GM21" s="62">
        <f>$GM20+$GK21</f>
        <v/>
      </c>
      <c r="GN21" s="62">
        <f>SUMIFS(tblSafety[HPI],tblSafety[Date],$A21)</f>
        <v/>
      </c>
      <c r="GO21" s="62">
        <f>IF($B21=$B20,$GO20,0)+$GN21</f>
        <v/>
      </c>
      <c r="GP21" s="62">
        <f>$GP20+$GN21</f>
        <v/>
      </c>
      <c r="GQ21" s="62">
        <f>SUMIFS(tblSafety[Env_Incidents],tblSafety[Date],$A21)</f>
        <v/>
      </c>
      <c r="GR21" s="62">
        <f>IF($B21=$B20,$GR20,0)+$GQ21</f>
        <v/>
      </c>
      <c r="GS21" s="62">
        <f>$GS20+$GQ21</f>
        <v/>
      </c>
      <c r="GT21" s="62">
        <f>SUMIFS(tblSafety[Community_Incidents],tblSafety[Date],$A21)</f>
        <v/>
      </c>
      <c r="GU21" s="62">
        <f>IF($B21=$B20,$GU20,0)+$GT21</f>
        <v/>
      </c>
      <c r="GV21" s="62">
        <f>$GV20+$GT21</f>
        <v/>
      </c>
      <c r="GW21" s="62">
        <f>SUMIFS(tblSafety[Vehicle_Incidents],tblSafety[Date],$A21)</f>
        <v/>
      </c>
      <c r="GX21" s="62">
        <f>IF($B21=$B20,$GX20,0)+$GW21</f>
        <v/>
      </c>
      <c r="GY21" s="62">
        <f>$GY20+$GW21</f>
        <v/>
      </c>
      <c r="GZ21" s="62">
        <f>SUMIFS(tblSafety[Toolbox_Talks],tblSafety[Date],$A21)</f>
        <v/>
      </c>
      <c r="HA21" s="62">
        <f>IF($B21=$B20,$HA20,0)+$GZ21</f>
        <v/>
      </c>
      <c r="HB21" s="62">
        <f>$HB20+$GZ21</f>
        <v/>
      </c>
      <c r="HC21" s="62">
        <f>SUMIFS(tblSafety[Inspections],tblSafety[Date],$A21)</f>
        <v/>
      </c>
      <c r="HD21" s="62">
        <f>IF($B21=$B20,$HD20,0)+$HC21</f>
        <v/>
      </c>
      <c r="HE21" s="62">
        <f>$HE20+$HC21</f>
        <v/>
      </c>
      <c r="HF21" s="56">
        <f>IFERROR((SUMIFS(tblSafety[Recordables],tblSafety[Date],"&gt;="&amp;EDATE($E21,-12),tblSafety[Date],"&lt;="&amp;$A21)+SUMIFS(tblSafetyHistory[Recordables],tblSafetyHistory[Month],"&gt;="&amp;EDATE($E21,-12),tblSafetyHistory[Month],"&lt;"&amp;cfg_YearStart))/(SUMIFS(tblSafety[Hours_Total],tblSafety[Date],"&gt;="&amp;EDATE($E21,-12),tblSafety[Date],"&lt;="&amp;$A21)+SUMIFS(tblSafetyHistory[Hours_Total],tblSafetyHistory[Month],"&gt;="&amp;EDATE($E21,-12),tblSafetyHistory[Month],"&lt;"&amp;cfg_YearStart))*1000000,"")</f>
        <v/>
      </c>
      <c r="HG21" s="56">
        <f>IFERROR((SUMIFS(tblSafety[LTI],tblSafety[Date],"&gt;="&amp;EDATE($E21,-12),tblSafety[Date],"&lt;="&amp;$A21)+SUMIFS(tblSafetyHistory[LTI],tblSafetyHistory[Month],"&gt;="&amp;EDATE($E21,-12),tblSafetyHistory[Month],"&lt;"&amp;cfg_YearStart))/(SUMIFS(tblSafety[Hours_Total],tblSafety[Date],"&gt;="&amp;EDATE($E21,-12),tblSafety[Date],"&lt;="&amp;$A21)+SUMIFS(tblSafetyHistory[Hours_Total],tblSafetyHistory[Month],"&gt;="&amp;EDATE($E21,-12),tblSafetyHistory[Month],"&lt;"&amp;cfg_YearStart))*1000000,"")</f>
        <v/>
      </c>
      <c r="HH21" s="62">
        <f>IF(MAX(N(cfg_PriorLTIDate),_xlfn.MAXIFS(tblSafety[Date],tblSafety[LTI],"&gt;0",tblSafety[Date],"&lt;="&amp;$A21))=0,"",$A21-MAX(N(cfg_PriorLTIDate),_xlfn.MAXIFS(tblSafety[Date],tblSafety[LTI],"&gt;0",tblSafety[Date],"&lt;="&amp;$A21)))</f>
        <v/>
      </c>
      <c r="HI21" s="55">
        <f>SUMIFS(tblBudget[Ore_Mined_t],tblBudget[Month],$E21)</f>
        <v/>
      </c>
      <c r="HJ21" s="55">
        <f>$HI21*$C21/$D21</f>
        <v/>
      </c>
      <c r="HK21" s="55">
        <f>SUMIFS(tblBudget[Ore_Mined_t],tblBudget[Month],"&lt;"&amp;$E21)+$HJ21</f>
        <v/>
      </c>
      <c r="HL21" s="55">
        <f>SUMIFS(tblBudget[Ore_oz],tblBudget[Month],$E21)</f>
        <v/>
      </c>
      <c r="HM21" s="55">
        <f>$HL21*$C21/$D21</f>
        <v/>
      </c>
      <c r="HN21" s="55">
        <f>SUMIFS(tblBudget[Ore_oz],tblBudget[Month],"&lt;"&amp;$E21)+$HM21</f>
        <v/>
      </c>
      <c r="HO21" s="56">
        <f>IFERROR(IF(($HI21)&gt;0,($HL21*cfg_TroyOz)/($HI21),""),"")</f>
        <v/>
      </c>
      <c r="HP21" s="56">
        <f>IFERROR(IF(($HJ21)&gt;0,($HM21*cfg_TroyOz)/($HJ21),""),"")</f>
        <v/>
      </c>
      <c r="HQ21" s="56">
        <f>IFERROR(IF(($HK21)&gt;0,($HN21*cfg_TroyOz)/($HK21),""),"")</f>
        <v/>
      </c>
      <c r="HR21" s="55">
        <f>SUMIFS(tblBudget[Waste_t],tblBudget[Month],$E21)</f>
        <v/>
      </c>
      <c r="HS21" s="55">
        <f>$HR21*$C21/$D21</f>
        <v/>
      </c>
      <c r="HT21" s="55">
        <f>SUMIFS(tblBudget[Waste_t],tblBudget[Month],"&lt;"&amp;$E21)+$HS21</f>
        <v/>
      </c>
      <c r="HU21" s="55">
        <f>SUMIFS(tblBudget[TMM_t],tblBudget[Month],$E21)</f>
        <v/>
      </c>
      <c r="HV21" s="55">
        <f>$HU21*$C21/$D21</f>
        <v/>
      </c>
      <c r="HW21" s="55">
        <f>SUMIFS(tblBudget[TMM_t],tblBudget[Month],"&lt;"&amp;$E21)+$HV21</f>
        <v/>
      </c>
      <c r="HX21" s="56">
        <f>IFERROR(IF(($HI21)&gt;0,($HR21)/($HI21),""),"")</f>
        <v/>
      </c>
      <c r="HY21" s="56">
        <f>IFERROR(IF(($HJ21)&gt;0,($HS21)/($HJ21),""),"")</f>
        <v/>
      </c>
      <c r="HZ21" s="56">
        <f>IFERROR(IF(($HK21)&gt;0,($HT21)/($HK21),""),"")</f>
        <v/>
      </c>
      <c r="IA21" s="55">
        <f>SUMIFS(tblBudget[Drill_m],tblBudget[Month],$E21)</f>
        <v/>
      </c>
      <c r="IB21" s="55">
        <f>$IA21*$C21/$D21</f>
        <v/>
      </c>
      <c r="IC21" s="55">
        <f>SUMIFS(tblBudget[Drill_m],tblBudget[Month],"&lt;"&amp;$E21)+$IB21</f>
        <v/>
      </c>
      <c r="ID21" s="55">
        <f>SUMIFS(tblBudget[Diesel_L],tblBudget[Month],$E21)</f>
        <v/>
      </c>
      <c r="IE21" s="55">
        <f>$ID21*$C21/$D21</f>
        <v/>
      </c>
      <c r="IF21" s="55">
        <f>SUMIFS(tblBudget[Diesel_L],tblBudget[Month],"&lt;"&amp;$E21)+$IE21</f>
        <v/>
      </c>
      <c r="IG21" s="55">
        <f>SUMIFS(tblBudget[Milled_t],tblBudget[Month],$E21)</f>
        <v/>
      </c>
      <c r="IH21" s="55">
        <f>$IG21*$C21/$D21</f>
        <v/>
      </c>
      <c r="II21" s="55">
        <f>SUMIFS(tblBudget[Milled_t],tblBudget[Month],"&lt;"&amp;$E21)+$IH21</f>
        <v/>
      </c>
      <c r="IJ21" s="55">
        <f>SUMIFS(tblBudget[Feed_oz],tblBudget[Month],$E21)</f>
        <v/>
      </c>
      <c r="IK21" s="55">
        <f>$IJ21*$C21/$D21</f>
        <v/>
      </c>
      <c r="IL21" s="55">
        <f>SUMIFS(tblBudget[Feed_oz],tblBudget[Month],"&lt;"&amp;$E21)+$IK21</f>
        <v/>
      </c>
      <c r="IM21" s="55">
        <f>SUMIFS(tblBudget[Recovered_oz],tblBudget[Month],$E21)</f>
        <v/>
      </c>
      <c r="IN21" s="55">
        <f>$IM21*$C21/$D21</f>
        <v/>
      </c>
      <c r="IO21" s="55">
        <f>SUMIFS(tblBudget[Recovered_oz],tblBudget[Month],"&lt;"&amp;$E21)+$IN21</f>
        <v/>
      </c>
      <c r="IP21" s="56">
        <f>IFERROR(IF(($IG21)&gt;0,($IJ21*cfg_TroyOz)/($IG21),""),"")</f>
        <v/>
      </c>
      <c r="IQ21" s="56">
        <f>IFERROR(IF(($IH21)&gt;0,($IK21*cfg_TroyOz)/($IH21),""),"")</f>
        <v/>
      </c>
      <c r="IR21" s="56">
        <f>IFERROR(IF(($II21)&gt;0,($IL21*cfg_TroyOz)/($II21),""),"")</f>
        <v/>
      </c>
      <c r="IS21" s="67">
        <f>IFERROR(IF(($IJ21)&gt;0,($IM21)/($IJ21),""),"")</f>
        <v/>
      </c>
      <c r="IT21" s="67">
        <f>IFERROR(IF(($IK21)&gt;0,($IN21)/($IK21),""),"")</f>
        <v/>
      </c>
      <c r="IU21" s="67">
        <f>IFERROR(IF(($IL21)&gt;0,($IO21)/($IL21),""),"")</f>
        <v/>
      </c>
      <c r="IV21" s="55">
        <f>SUMIFS(tblBudget[Gold_Poured_oz],tblBudget[Month],$E21)</f>
        <v/>
      </c>
      <c r="IW21" s="55">
        <f>$IV21*$C21/$D21</f>
        <v/>
      </c>
      <c r="IX21" s="55">
        <f>SUMIFS(tblBudget[Gold_Poured_oz],tblBudget[Month],"&lt;"&amp;$E21)+$IW21</f>
        <v/>
      </c>
      <c r="IY21" s="57">
        <f>SUMIFS(tblBudget[Hours_Worked],tblBudget[Month],$E21)</f>
        <v/>
      </c>
      <c r="IZ21" s="57">
        <f>$IY21*$C21/$D21</f>
        <v/>
      </c>
      <c r="JA21" s="57">
        <f>SUMIFS(tblBudget[Hours_Worked],tblBudget[Month],"&lt;"&amp;$E21)+$IZ21</f>
        <v/>
      </c>
    </row>
    <row r="22">
      <c r="A22" s="54" t="n">
        <v>46043</v>
      </c>
      <c r="B22">
        <f>MONTH($A22)</f>
        <v/>
      </c>
      <c r="C22">
        <f>DAY($A22)</f>
        <v/>
      </c>
      <c r="D22">
        <f>DAY(EOMONTH($A22,0))</f>
        <v/>
      </c>
      <c r="E22" s="54">
        <f>DATE(YEAR($A22),MONTH($A22),1)</f>
        <v/>
      </c>
      <c r="F22" s="55">
        <f>SUMIFS(tblMovement[Tonnes_t],tblMovement[Date],$A22,tblMovement[Is_Ore],1,tblMovement[Source_Type],"Pit")</f>
        <v/>
      </c>
      <c r="G22" s="55">
        <f>IF($B22=$B21,$G21,0)+$F22</f>
        <v/>
      </c>
      <c r="H22" s="55">
        <f>$H21+$F22</f>
        <v/>
      </c>
      <c r="I22" s="55">
        <f>SUMIFS(tblMovement[Ore_oz],tblMovement[Date],$A22,tblMovement[Source_Type],"Pit")</f>
        <v/>
      </c>
      <c r="J22" s="55">
        <f>IF($B22=$B21,$J21,0)+$I22</f>
        <v/>
      </c>
      <c r="K22" s="55">
        <f>$K21+$I22</f>
        <v/>
      </c>
      <c r="L22" s="56">
        <f>IFERROR(IF(($F22)&gt;0,($I22*cfg_TroyOz)/($F22),""),"")</f>
        <v/>
      </c>
      <c r="M22" s="56">
        <f>IFERROR(IF(($G22)&gt;0,($J22*cfg_TroyOz)/($G22),""),"")</f>
        <v/>
      </c>
      <c r="N22" s="56">
        <f>IFERROR(IF(($H22)&gt;0,($K22*cfg_TroyOz)/($H22),""),"")</f>
        <v/>
      </c>
      <c r="O22" s="55">
        <f>SUMIFS(tblMovement[Tonnes_t],tblMovement[Date],$A22,tblMovement[Is_Ore],0,tblMovement[Source_Type],"Pit")</f>
        <v/>
      </c>
      <c r="P22" s="55">
        <f>IF($B22=$B21,$P21,0)+$O22</f>
        <v/>
      </c>
      <c r="Q22" s="55">
        <f>$Q21+$O22</f>
        <v/>
      </c>
      <c r="R22" s="55">
        <f>$F22+$O22</f>
        <v/>
      </c>
      <c r="S22" s="55">
        <f>IF($B22=$B21,$S21,0)+$R22</f>
        <v/>
      </c>
      <c r="T22" s="55">
        <f>$T21+$R22</f>
        <v/>
      </c>
      <c r="U22" s="56">
        <f>IFERROR(IF(($F22)&gt;0,($O22)/($F22),""),"")</f>
        <v/>
      </c>
      <c r="V22" s="56">
        <f>IFERROR(IF(($G22)&gt;0,($P22)/($G22),""),"")</f>
        <v/>
      </c>
      <c r="W22" s="56">
        <f>IFERROR(IF(($H22)&gt;0,($Q22)/($H22),""),"")</f>
        <v/>
      </c>
      <c r="X22" s="55">
        <f>SUMIFS(tblMovement[Tonnes_t],tblMovement[Date],$A22,tblMovement[Source_Type],"Stockpile")</f>
        <v/>
      </c>
      <c r="Y22" s="55">
        <f>IF($B22=$B21,$Y21,0)+$X22</f>
        <v/>
      </c>
      <c r="Z22" s="55">
        <f>$Z21+$X22</f>
        <v/>
      </c>
      <c r="AA22" s="55">
        <f>SUMIFS(tblMiningDaily[Drill_m],tblMiningDaily[Date],$A22)</f>
        <v/>
      </c>
      <c r="AB22" s="55">
        <f>IF($B22=$B21,$AB21,0)+$AA22</f>
        <v/>
      </c>
      <c r="AC22" s="55">
        <f>$AC21+$AA22</f>
        <v/>
      </c>
      <c r="AD22" s="55">
        <f>SUMIFS(tblMiningDaily[Blast_t],tblMiningDaily[Date],$A22)</f>
        <v/>
      </c>
      <c r="AE22" s="55">
        <f>IF($B22=$B21,$AE21,0)+$AD22</f>
        <v/>
      </c>
      <c r="AF22" s="55">
        <f>$AF21+$AD22</f>
        <v/>
      </c>
      <c r="AG22" s="55">
        <f>SUMIFS(tblMiningDaily[Explosives_kg],tblMiningDaily[Date],$A22)</f>
        <v/>
      </c>
      <c r="AH22" s="55">
        <f>IF($B22=$B21,$AH21,0)+$AG22</f>
        <v/>
      </c>
      <c r="AI22" s="55">
        <f>$AI21+$AG22</f>
        <v/>
      </c>
      <c r="AJ22" s="56">
        <f>IFERROR(IF(($AD22)&gt;0,($AG22)/($AD22),""),"")</f>
        <v/>
      </c>
      <c r="AK22" s="56">
        <f>IFERROR(IF(($AE22)&gt;0,($AH22)/($AE22),""),"")</f>
        <v/>
      </c>
      <c r="AL22" s="56">
        <f>IFERROR(IF(($AF22)&gt;0,($AI22)/($AF22),""),"")</f>
        <v/>
      </c>
      <c r="AM22" s="55">
        <f>SUMIFS(tblMiningDaily[Diesel_L],tblMiningDaily[Date],$A22)</f>
        <v/>
      </c>
      <c r="AN22" s="55">
        <f>IF($B22=$B21,$AN21,0)+$AM22</f>
        <v/>
      </c>
      <c r="AO22" s="55">
        <f>$AO21+$AM22</f>
        <v/>
      </c>
      <c r="AP22" s="55">
        <f>SUMIFS(tblMiningDaily[Dewatering_m3],tblMiningDaily[Date],$A22)</f>
        <v/>
      </c>
      <c r="AQ22" s="55">
        <f>IF($B22=$B21,$AQ21,0)+$AP22</f>
        <v/>
      </c>
      <c r="AR22" s="55">
        <f>$AR21+$AP22</f>
        <v/>
      </c>
      <c r="AS22" s="57">
        <f>SUMIFS(tblFleet[Calendar_h],tblFleet[Date],$A22,tblFleet[Equipment_Class],"Excavator")</f>
        <v/>
      </c>
      <c r="AT22" s="57">
        <f>IF($B22=$B21,$AT21,0)+$AS22</f>
        <v/>
      </c>
      <c r="AU22" s="57">
        <f>$AU21+$AS22</f>
        <v/>
      </c>
      <c r="AV22" s="57">
        <f>SUMIFS(tblFleet[Available_h],tblFleet[Date],$A22,tblFleet[Equipment_Class],"Excavator")</f>
        <v/>
      </c>
      <c r="AW22" s="57">
        <f>IF($B22=$B21,$AW21,0)+$AV22</f>
        <v/>
      </c>
      <c r="AX22" s="57">
        <f>$AX21+$AV22</f>
        <v/>
      </c>
      <c r="AY22" s="57">
        <f>SUMIFS(tblFleet[Operating_h],tblFleet[Date],$A22,tblFleet[Equipment_Class],"Excavator")</f>
        <v/>
      </c>
      <c r="AZ22" s="57">
        <f>IF($B22=$B21,$AZ21,0)+$AY22</f>
        <v/>
      </c>
      <c r="BA22" s="57">
        <f>$BA21+$AY22</f>
        <v/>
      </c>
      <c r="BB22" s="67">
        <f>IFERROR(IF(($AS22)&gt;0,($AV22)/($AS22),""),"")</f>
        <v/>
      </c>
      <c r="BC22" s="67">
        <f>IFERROR(IF(($AT22)&gt;0,($AW22)/($AT22),""),"")</f>
        <v/>
      </c>
      <c r="BD22" s="67">
        <f>IFERROR(IF(($AU22)&gt;0,($AX22)/($AU22),""),"")</f>
        <v/>
      </c>
      <c r="BE22" s="67">
        <f>IFERROR(IF(($AV22)&gt;0,($AY22)/($AV22),""),"")</f>
        <v/>
      </c>
      <c r="BF22" s="67">
        <f>IFERROR(IF(($AW22)&gt;0,($AZ22)/($AW22),""),"")</f>
        <v/>
      </c>
      <c r="BG22" s="67">
        <f>IFERROR(IF(($AX22)&gt;0,($BA22)/($AX22),""),"")</f>
        <v/>
      </c>
      <c r="BH22" s="57">
        <f>SUMIFS(tblFleet[Calendar_h],tblFleet[Date],$A22,tblFleet[Equipment_Class],"Haul Truck")</f>
        <v/>
      </c>
      <c r="BI22" s="57">
        <f>IF($B22=$B21,$BI21,0)+$BH22</f>
        <v/>
      </c>
      <c r="BJ22" s="57">
        <f>$BJ21+$BH22</f>
        <v/>
      </c>
      <c r="BK22" s="57">
        <f>SUMIFS(tblFleet[Available_h],tblFleet[Date],$A22,tblFleet[Equipment_Class],"Haul Truck")</f>
        <v/>
      </c>
      <c r="BL22" s="57">
        <f>IF($B22=$B21,$BL21,0)+$BK22</f>
        <v/>
      </c>
      <c r="BM22" s="57">
        <f>$BM21+$BK22</f>
        <v/>
      </c>
      <c r="BN22" s="57">
        <f>SUMIFS(tblFleet[Operating_h],tblFleet[Date],$A22,tblFleet[Equipment_Class],"Haul Truck")</f>
        <v/>
      </c>
      <c r="BO22" s="57">
        <f>IF($B22=$B21,$BO21,0)+$BN22</f>
        <v/>
      </c>
      <c r="BP22" s="57">
        <f>$BP21+$BN22</f>
        <v/>
      </c>
      <c r="BQ22" s="67">
        <f>IFERROR(IF(($BH22)&gt;0,($BK22)/($BH22),""),"")</f>
        <v/>
      </c>
      <c r="BR22" s="67">
        <f>IFERROR(IF(($BI22)&gt;0,($BL22)/($BI22),""),"")</f>
        <v/>
      </c>
      <c r="BS22" s="67">
        <f>IFERROR(IF(($BJ22)&gt;0,($BM22)/($BJ22),""),"")</f>
        <v/>
      </c>
      <c r="BT22" s="67">
        <f>IFERROR(IF(($BK22)&gt;0,($BN22)/($BK22),""),"")</f>
        <v/>
      </c>
      <c r="BU22" s="67">
        <f>IFERROR(IF(($BL22)&gt;0,($BO22)/($BL22),""),"")</f>
        <v/>
      </c>
      <c r="BV22" s="67">
        <f>IFERROR(IF(($BM22)&gt;0,($BP22)/($BM22),""),"")</f>
        <v/>
      </c>
      <c r="BW22" s="55">
        <f>SUMIFS(tblPlant[Crushed_t],tblPlant[Date],$A22)</f>
        <v/>
      </c>
      <c r="BX22" s="55">
        <f>IF($B22=$B21,$BX21,0)+$BW22</f>
        <v/>
      </c>
      <c r="BY22" s="55">
        <f>$BY21+$BW22</f>
        <v/>
      </c>
      <c r="BZ22" s="55">
        <f>SUMIFS(tblPlant[Milled_t],tblPlant[Date],$A22)</f>
        <v/>
      </c>
      <c r="CA22" s="55">
        <f>IF($B22=$B21,$CA21,0)+$BZ22</f>
        <v/>
      </c>
      <c r="CB22" s="55">
        <f>$CB21+$BZ22</f>
        <v/>
      </c>
      <c r="CC22" s="55">
        <f>SUMIFS(tblPlant[Feed_oz],tblPlant[Date],$A22)</f>
        <v/>
      </c>
      <c r="CD22" s="55">
        <f>IF($B22=$B21,$CD21,0)+$CC22</f>
        <v/>
      </c>
      <c r="CE22" s="55">
        <f>$CE21+$CC22</f>
        <v/>
      </c>
      <c r="CF22" s="55">
        <f>SUMIFS(tblPlant[Tails_oz],tblPlant[Date],$A22)</f>
        <v/>
      </c>
      <c r="CG22" s="55">
        <f>IF($B22=$B21,$CG21,0)+$CF22</f>
        <v/>
      </c>
      <c r="CH22" s="55">
        <f>$CH21+$CF22</f>
        <v/>
      </c>
      <c r="CI22" s="55">
        <f>SUMIFS(tblPlant[Recovered_oz],tblPlant[Date],$A22)</f>
        <v/>
      </c>
      <c r="CJ22" s="55">
        <f>IF($B22=$B21,$CJ21,0)+$CI22</f>
        <v/>
      </c>
      <c r="CK22" s="55">
        <f>$CK21+$CI22</f>
        <v/>
      </c>
      <c r="CL22" s="56">
        <f>IFERROR(IF(($BZ22)&gt;0,($CC22*cfg_TroyOz)/($BZ22),""),"")</f>
        <v/>
      </c>
      <c r="CM22" s="56">
        <f>IFERROR(IF(($CA22)&gt;0,($CD22*cfg_TroyOz)/($CA22),""),"")</f>
        <v/>
      </c>
      <c r="CN22" s="56">
        <f>IFERROR(IF(($CB22)&gt;0,($CE22*cfg_TroyOz)/($CB22),""),"")</f>
        <v/>
      </c>
      <c r="CO22" s="56">
        <f>IFERROR(IF(($BZ22)&gt;0,($CF22*cfg_TroyOz)/($BZ22),""),"")</f>
        <v/>
      </c>
      <c r="CP22" s="56">
        <f>IFERROR(IF(($CA22)&gt;0,($CG22*cfg_TroyOz)/($CA22),""),"")</f>
        <v/>
      </c>
      <c r="CQ22" s="56">
        <f>IFERROR(IF(($CB22)&gt;0,($CH22*cfg_TroyOz)/($CB22),""),"")</f>
        <v/>
      </c>
      <c r="CR22" s="67">
        <f>IFERROR(IF(($CC22)&gt;0,($CI22)/($CC22),""),"")</f>
        <v/>
      </c>
      <c r="CS22" s="67">
        <f>IFERROR(IF(($CD22)&gt;0,($CJ22)/($CD22),""),"")</f>
        <v/>
      </c>
      <c r="CT22" s="67">
        <f>IFERROR(IF(($CE22)&gt;0,($CK22)/($CE22),""),"")</f>
        <v/>
      </c>
      <c r="CU22" s="55">
        <f>SUMIFS(tblPlant[Gravity_Gold_oz],tblPlant[Date],$A22)</f>
        <v/>
      </c>
      <c r="CV22" s="55">
        <f>IF($B22=$B21,$CV21,0)+$CU22</f>
        <v/>
      </c>
      <c r="CW22" s="55">
        <f>$CW21+$CU22</f>
        <v/>
      </c>
      <c r="CX22" s="55">
        <f>SUMIFS(tblPlant[Gold_Poured_oz],tblPlant[Date],$A22)</f>
        <v/>
      </c>
      <c r="CY22" s="55">
        <f>IF($B22=$B21,$CY21,0)+$CX22</f>
        <v/>
      </c>
      <c r="CZ22" s="55">
        <f>$CZ21+$CX22</f>
        <v/>
      </c>
      <c r="DA22" s="57">
        <f>SUMIFS(tblPlant[Mill_Run_h],tblPlant[Date],$A22)</f>
        <v/>
      </c>
      <c r="DB22" s="57">
        <f>IF($B22=$B21,$DB21,0)+$DA22</f>
        <v/>
      </c>
      <c r="DC22" s="57">
        <f>$DC21+$DA22</f>
        <v/>
      </c>
      <c r="DD22" s="57">
        <f>SUMIFS(tblPlant[Mill_Planned_Maint_h],tblPlant[Date],$A22)</f>
        <v/>
      </c>
      <c r="DE22" s="57">
        <f>IF($B22=$B21,$DE21,0)+$DD22</f>
        <v/>
      </c>
      <c r="DF22" s="57">
        <f>$DF21+$DD22</f>
        <v/>
      </c>
      <c r="DG22" s="57">
        <f>SUMIFS(tblPlant[Mill_Unplanned_Down_h],tblPlant[Date],$A22)</f>
        <v/>
      </c>
      <c r="DH22" s="57">
        <f>IF($B22=$B21,$DH21,0)+$DG22</f>
        <v/>
      </c>
      <c r="DI22" s="57">
        <f>$DI21+$DG22</f>
        <v/>
      </c>
      <c r="DJ22" s="57">
        <f>COUNTIFS(tblPlant[Date],$A22,tblPlant[Mill_Run_h],"&lt;&gt;")*24</f>
        <v/>
      </c>
      <c r="DK22" s="57">
        <f>IF($B22=$B21,$DK21,0)+$DJ22</f>
        <v/>
      </c>
      <c r="DL22" s="57">
        <f>$DL21+$DJ22</f>
        <v/>
      </c>
      <c r="DM22" s="57">
        <f>SUMIFS(tblPlant[Crusher_Run_h],tblPlant[Date],$A22)</f>
        <v/>
      </c>
      <c r="DN22" s="57">
        <f>IF($B22=$B21,$DN21,0)+$DM22</f>
        <v/>
      </c>
      <c r="DO22" s="57">
        <f>$DO21+$DM22</f>
        <v/>
      </c>
      <c r="DP22" s="55">
        <f>IFERROR(IF(($DA22)&gt;0,($BZ22)/($DA22),""),"")</f>
        <v/>
      </c>
      <c r="DQ22" s="55">
        <f>IFERROR(IF(($DB22)&gt;0,($CA22)/($DB22),""),"")</f>
        <v/>
      </c>
      <c r="DR22" s="55">
        <f>IFERROR(IF(($DC22)&gt;0,($CB22)/($DC22),""),"")</f>
        <v/>
      </c>
      <c r="DS22" s="67">
        <f>IFERROR(IF(($DJ22)&gt;0,($DJ22-$DD22-$DG22)/($DJ22),""),"")</f>
        <v/>
      </c>
      <c r="DT22" s="67">
        <f>IFERROR(IF(($DK22)&gt;0,($DK22-$DE22-$DH22)/($DK22),""),"")</f>
        <v/>
      </c>
      <c r="DU22" s="67">
        <f>IFERROR(IF(($DL22)&gt;0,($DL22-$DF22-$DI22)/($DL22),""),"")</f>
        <v/>
      </c>
      <c r="DV22" s="67">
        <f>IFERROR(IF(($DJ22-$DD22-$DG22)&gt;0,($DA22)/($DJ22-$DD22-$DG22),""),"")</f>
        <v/>
      </c>
      <c r="DW22" s="67">
        <f>IFERROR(IF(($DK22-$DE22-$DH22)&gt;0,($DB22)/($DK22-$DE22-$DH22),""),"")</f>
        <v/>
      </c>
      <c r="DX22" s="67">
        <f>IFERROR(IF(($DL22-$DF22-$DI22)&gt;0,($DC22)/($DL22-$DF22-$DI22),""),"")</f>
        <v/>
      </c>
      <c r="DY22" s="55">
        <f>SUMIFS(tblPlant[Cyanide_kg],tblPlant[Date],$A22)</f>
        <v/>
      </c>
      <c r="DZ22" s="55">
        <f>IF($B22=$B21,$DZ21,0)+$DY22</f>
        <v/>
      </c>
      <c r="EA22" s="55">
        <f>$EA21+$DY22</f>
        <v/>
      </c>
      <c r="EB22" s="55">
        <f>SUMIFS(tblPlant[Lime_kg],tblPlant[Date],$A22)</f>
        <v/>
      </c>
      <c r="EC22" s="55">
        <f>IF($B22=$B21,$EC21,0)+$EB22</f>
        <v/>
      </c>
      <c r="ED22" s="55">
        <f>$ED21+$EB22</f>
        <v/>
      </c>
      <c r="EE22" s="55">
        <f>SUMIFS(tblPlant[Grinding_Media_kg],tblPlant[Date],$A22)</f>
        <v/>
      </c>
      <c r="EF22" s="55">
        <f>IF($B22=$B21,$EF21,0)+$EE22</f>
        <v/>
      </c>
      <c r="EG22" s="55">
        <f>$EG21+$EE22</f>
        <v/>
      </c>
      <c r="EH22" s="55">
        <f>SUMIFS(tblPlant[Power_kWh],tblPlant[Date],$A22)</f>
        <v/>
      </c>
      <c r="EI22" s="55">
        <f>IF($B22=$B21,$EI21,0)+$EH22</f>
        <v/>
      </c>
      <c r="EJ22" s="55">
        <f>$EJ21+$EH22</f>
        <v/>
      </c>
      <c r="EK22" s="55">
        <f>SUMIFS(tblPlant[Raw_Water_m3],tblPlant[Date],$A22)</f>
        <v/>
      </c>
      <c r="EL22" s="55">
        <f>IF($B22=$B21,$EL21,0)+$EK22</f>
        <v/>
      </c>
      <c r="EM22" s="55">
        <f>$EM21+$EK22</f>
        <v/>
      </c>
      <c r="EN22" s="56">
        <f>IFERROR(IF(($BZ22)&gt;0,($DY22)/($BZ22),""),"")</f>
        <v/>
      </c>
      <c r="EO22" s="56">
        <f>IFERROR(IF(($CA22)&gt;0,($DZ22)/($CA22),""),"")</f>
        <v/>
      </c>
      <c r="EP22" s="56">
        <f>IFERROR(IF(($CB22)&gt;0,($EA22)/($CB22),""),"")</f>
        <v/>
      </c>
      <c r="EQ22" s="56">
        <f>IFERROR(IF(($BZ22)&gt;0,($EB22)/($BZ22),""),"")</f>
        <v/>
      </c>
      <c r="ER22" s="56">
        <f>IFERROR(IF(($CA22)&gt;0,($EC22)/($CA22),""),"")</f>
        <v/>
      </c>
      <c r="ES22" s="56">
        <f>IFERROR(IF(($CB22)&gt;0,($ED22)/($CB22),""),"")</f>
        <v/>
      </c>
      <c r="ET22" s="56">
        <f>IFERROR(IF(($BZ22)&gt;0,($EE22)/($BZ22),""),"")</f>
        <v/>
      </c>
      <c r="EU22" s="56">
        <f>IFERROR(IF(($CA22)&gt;0,($EF22)/($CA22),""),"")</f>
        <v/>
      </c>
      <c r="EV22" s="56">
        <f>IFERROR(IF(($CB22)&gt;0,($EG22)/($CB22),""),"")</f>
        <v/>
      </c>
      <c r="EW22" s="76">
        <f>IFERROR(IF(($BZ22)&gt;0,($EH22)/($BZ22),""),"")</f>
        <v/>
      </c>
      <c r="EX22" s="76">
        <f>IFERROR(IF(($CA22)&gt;0,($EI22)/($CA22),""),"")</f>
        <v/>
      </c>
      <c r="EY22" s="76">
        <f>IFERROR(IF(($CB22)&gt;0,($EJ22)/($CB22),""),"")</f>
        <v/>
      </c>
      <c r="EZ22" s="56">
        <f>IFERROR(IF(($BZ22)&gt;0,($EK22)/($BZ22),""),"")</f>
        <v/>
      </c>
      <c r="FA22" s="56">
        <f>IFERROR(IF(($CA22)&gt;0,($EL22)/($CA22),""),"")</f>
        <v/>
      </c>
      <c r="FB22" s="56">
        <f>IFERROR(IF(($CB22)&gt;0,($EM22)/($CB22),""),"")</f>
        <v/>
      </c>
      <c r="FC22" s="55">
        <f>IF(SUMIFS(tblPlant[GIC_oz],tblPlant[Date],$A22)&gt;0,SUMIFS(tblPlant[GIC_oz],tblPlant[Date],$A22),"")</f>
        <v/>
      </c>
      <c r="FD22" s="55">
        <f>SUMIFS(tblGold[Gold_oz],tblGold[Date],$A22,tblGold[Type],"Shipment")</f>
        <v/>
      </c>
      <c r="FE22" s="55">
        <f>IF($B22=$B21,$FE21,0)+$FD22</f>
        <v/>
      </c>
      <c r="FF22" s="55">
        <f>$FF21+$FD22</f>
        <v/>
      </c>
      <c r="FG22" s="55">
        <f>SUMIFS(tblGold[Gold_oz],tblGold[Date],$A22,tblGold[Type],"Sale")</f>
        <v/>
      </c>
      <c r="FH22" s="55">
        <f>IF($B22=$B21,$FH21,0)+$FG22</f>
        <v/>
      </c>
      <c r="FI22" s="55">
        <f>$FI21+$FG22</f>
        <v/>
      </c>
      <c r="FJ22" s="55">
        <f>SUMIFS(tblGold[Dore_kg],tblGold[Date],$A22,tblGold[Type],"Shipment")</f>
        <v/>
      </c>
      <c r="FK22" s="55">
        <f>IF($B22=$B21,$FK21,0)+$FJ22</f>
        <v/>
      </c>
      <c r="FL22" s="55">
        <f>$FL21+$FJ22</f>
        <v/>
      </c>
      <c r="FM22" s="57">
        <f>SUMIFS(tblSafety[Hours_Total],tblSafety[Date],$A22)</f>
        <v/>
      </c>
      <c r="FN22" s="57">
        <f>IF($B22=$B21,$FN21,0)+$FM22</f>
        <v/>
      </c>
      <c r="FO22" s="57">
        <f>$FO21+$FM22</f>
        <v/>
      </c>
      <c r="FP22" s="62">
        <f>SUMIFS(tblSafety[Fatality],tblSafety[Date],$A22)</f>
        <v/>
      </c>
      <c r="FQ22" s="62">
        <f>IF($B22=$B21,$FQ21,0)+$FP22</f>
        <v/>
      </c>
      <c r="FR22" s="62">
        <f>$FR21+$FP22</f>
        <v/>
      </c>
      <c r="FS22" s="62">
        <f>SUMIFS(tblSafety[LTI],tblSafety[Date],$A22)</f>
        <v/>
      </c>
      <c r="FT22" s="62">
        <f>IF($B22=$B21,$FT21,0)+$FS22</f>
        <v/>
      </c>
      <c r="FU22" s="62">
        <f>$FU21+$FS22</f>
        <v/>
      </c>
      <c r="FV22" s="62">
        <f>SUMIFS(tblSafety[RWI],tblSafety[Date],$A22)</f>
        <v/>
      </c>
      <c r="FW22" s="62">
        <f>IF($B22=$B21,$FW21,0)+$FV22</f>
        <v/>
      </c>
      <c r="FX22" s="62">
        <f>$FX21+$FV22</f>
        <v/>
      </c>
      <c r="FY22" s="62">
        <f>SUMIFS(tblSafety[MTI],tblSafety[Date],$A22)</f>
        <v/>
      </c>
      <c r="FZ22" s="62">
        <f>IF($B22=$B21,$FZ21,0)+$FY22</f>
        <v/>
      </c>
      <c r="GA22" s="62">
        <f>$GA21+$FY22</f>
        <v/>
      </c>
      <c r="GB22" s="62">
        <f>SUMIFS(tblSafety[FAI],tblSafety[Date],$A22)</f>
        <v/>
      </c>
      <c r="GC22" s="62">
        <f>IF($B22=$B21,$GC21,0)+$GB22</f>
        <v/>
      </c>
      <c r="GD22" s="62">
        <f>$GD21+$GB22</f>
        <v/>
      </c>
      <c r="GE22" s="62">
        <f>SUMIFS(tblSafety[Recordables],tblSafety[Date],$A22)</f>
        <v/>
      </c>
      <c r="GF22" s="62">
        <f>IF($B22=$B21,$GF21,0)+$GE22</f>
        <v/>
      </c>
      <c r="GG22" s="62">
        <f>$GG21+$GE22</f>
        <v/>
      </c>
      <c r="GH22" s="62">
        <f>SUMIFS(tblSafety[Near_Miss],tblSafety[Date],$A22)</f>
        <v/>
      </c>
      <c r="GI22" s="62">
        <f>IF($B22=$B21,$GI21,0)+$GH22</f>
        <v/>
      </c>
      <c r="GJ22" s="62">
        <f>$GJ21+$GH22</f>
        <v/>
      </c>
      <c r="GK22" s="62">
        <f>SUMIFS(tblSafety[Hazard_Reports],tblSafety[Date],$A22)</f>
        <v/>
      </c>
      <c r="GL22" s="62">
        <f>IF($B22=$B21,$GL21,0)+$GK22</f>
        <v/>
      </c>
      <c r="GM22" s="62">
        <f>$GM21+$GK22</f>
        <v/>
      </c>
      <c r="GN22" s="62">
        <f>SUMIFS(tblSafety[HPI],tblSafety[Date],$A22)</f>
        <v/>
      </c>
      <c r="GO22" s="62">
        <f>IF($B22=$B21,$GO21,0)+$GN22</f>
        <v/>
      </c>
      <c r="GP22" s="62">
        <f>$GP21+$GN22</f>
        <v/>
      </c>
      <c r="GQ22" s="62">
        <f>SUMIFS(tblSafety[Env_Incidents],tblSafety[Date],$A22)</f>
        <v/>
      </c>
      <c r="GR22" s="62">
        <f>IF($B22=$B21,$GR21,0)+$GQ22</f>
        <v/>
      </c>
      <c r="GS22" s="62">
        <f>$GS21+$GQ22</f>
        <v/>
      </c>
      <c r="GT22" s="62">
        <f>SUMIFS(tblSafety[Community_Incidents],tblSafety[Date],$A22)</f>
        <v/>
      </c>
      <c r="GU22" s="62">
        <f>IF($B22=$B21,$GU21,0)+$GT22</f>
        <v/>
      </c>
      <c r="GV22" s="62">
        <f>$GV21+$GT22</f>
        <v/>
      </c>
      <c r="GW22" s="62">
        <f>SUMIFS(tblSafety[Vehicle_Incidents],tblSafety[Date],$A22)</f>
        <v/>
      </c>
      <c r="GX22" s="62">
        <f>IF($B22=$B21,$GX21,0)+$GW22</f>
        <v/>
      </c>
      <c r="GY22" s="62">
        <f>$GY21+$GW22</f>
        <v/>
      </c>
      <c r="GZ22" s="62">
        <f>SUMIFS(tblSafety[Toolbox_Talks],tblSafety[Date],$A22)</f>
        <v/>
      </c>
      <c r="HA22" s="62">
        <f>IF($B22=$B21,$HA21,0)+$GZ22</f>
        <v/>
      </c>
      <c r="HB22" s="62">
        <f>$HB21+$GZ22</f>
        <v/>
      </c>
      <c r="HC22" s="62">
        <f>SUMIFS(tblSafety[Inspections],tblSafety[Date],$A22)</f>
        <v/>
      </c>
      <c r="HD22" s="62">
        <f>IF($B22=$B21,$HD21,0)+$HC22</f>
        <v/>
      </c>
      <c r="HE22" s="62">
        <f>$HE21+$HC22</f>
        <v/>
      </c>
      <c r="HF22" s="56">
        <f>IFERROR((SUMIFS(tblSafety[Recordables],tblSafety[Date],"&gt;="&amp;EDATE($E22,-12),tblSafety[Date],"&lt;="&amp;$A22)+SUMIFS(tblSafetyHistory[Recordables],tblSafetyHistory[Month],"&gt;="&amp;EDATE($E22,-12),tblSafetyHistory[Month],"&lt;"&amp;cfg_YearStart))/(SUMIFS(tblSafety[Hours_Total],tblSafety[Date],"&gt;="&amp;EDATE($E22,-12),tblSafety[Date],"&lt;="&amp;$A22)+SUMIFS(tblSafetyHistory[Hours_Total],tblSafetyHistory[Month],"&gt;="&amp;EDATE($E22,-12),tblSafetyHistory[Month],"&lt;"&amp;cfg_YearStart))*1000000,"")</f>
        <v/>
      </c>
      <c r="HG22" s="56">
        <f>IFERROR((SUMIFS(tblSafety[LTI],tblSafety[Date],"&gt;="&amp;EDATE($E22,-12),tblSafety[Date],"&lt;="&amp;$A22)+SUMIFS(tblSafetyHistory[LTI],tblSafetyHistory[Month],"&gt;="&amp;EDATE($E22,-12),tblSafetyHistory[Month],"&lt;"&amp;cfg_YearStart))/(SUMIFS(tblSafety[Hours_Total],tblSafety[Date],"&gt;="&amp;EDATE($E22,-12),tblSafety[Date],"&lt;="&amp;$A22)+SUMIFS(tblSafetyHistory[Hours_Total],tblSafetyHistory[Month],"&gt;="&amp;EDATE($E22,-12),tblSafetyHistory[Month],"&lt;"&amp;cfg_YearStart))*1000000,"")</f>
        <v/>
      </c>
      <c r="HH22" s="62">
        <f>IF(MAX(N(cfg_PriorLTIDate),_xlfn.MAXIFS(tblSafety[Date],tblSafety[LTI],"&gt;0",tblSafety[Date],"&lt;="&amp;$A22))=0,"",$A22-MAX(N(cfg_PriorLTIDate),_xlfn.MAXIFS(tblSafety[Date],tblSafety[LTI],"&gt;0",tblSafety[Date],"&lt;="&amp;$A22)))</f>
        <v/>
      </c>
      <c r="HI22" s="55">
        <f>SUMIFS(tblBudget[Ore_Mined_t],tblBudget[Month],$E22)</f>
        <v/>
      </c>
      <c r="HJ22" s="55">
        <f>$HI22*$C22/$D22</f>
        <v/>
      </c>
      <c r="HK22" s="55">
        <f>SUMIFS(tblBudget[Ore_Mined_t],tblBudget[Month],"&lt;"&amp;$E22)+$HJ22</f>
        <v/>
      </c>
      <c r="HL22" s="55">
        <f>SUMIFS(tblBudget[Ore_oz],tblBudget[Month],$E22)</f>
        <v/>
      </c>
      <c r="HM22" s="55">
        <f>$HL22*$C22/$D22</f>
        <v/>
      </c>
      <c r="HN22" s="55">
        <f>SUMIFS(tblBudget[Ore_oz],tblBudget[Month],"&lt;"&amp;$E22)+$HM22</f>
        <v/>
      </c>
      <c r="HO22" s="56">
        <f>IFERROR(IF(($HI22)&gt;0,($HL22*cfg_TroyOz)/($HI22),""),"")</f>
        <v/>
      </c>
      <c r="HP22" s="56">
        <f>IFERROR(IF(($HJ22)&gt;0,($HM22*cfg_TroyOz)/($HJ22),""),"")</f>
        <v/>
      </c>
      <c r="HQ22" s="56">
        <f>IFERROR(IF(($HK22)&gt;0,($HN22*cfg_TroyOz)/($HK22),""),"")</f>
        <v/>
      </c>
      <c r="HR22" s="55">
        <f>SUMIFS(tblBudget[Waste_t],tblBudget[Month],$E22)</f>
        <v/>
      </c>
      <c r="HS22" s="55">
        <f>$HR22*$C22/$D22</f>
        <v/>
      </c>
      <c r="HT22" s="55">
        <f>SUMIFS(tblBudget[Waste_t],tblBudget[Month],"&lt;"&amp;$E22)+$HS22</f>
        <v/>
      </c>
      <c r="HU22" s="55">
        <f>SUMIFS(tblBudget[TMM_t],tblBudget[Month],$E22)</f>
        <v/>
      </c>
      <c r="HV22" s="55">
        <f>$HU22*$C22/$D22</f>
        <v/>
      </c>
      <c r="HW22" s="55">
        <f>SUMIFS(tblBudget[TMM_t],tblBudget[Month],"&lt;"&amp;$E22)+$HV22</f>
        <v/>
      </c>
      <c r="HX22" s="56">
        <f>IFERROR(IF(($HI22)&gt;0,($HR22)/($HI22),""),"")</f>
        <v/>
      </c>
      <c r="HY22" s="56">
        <f>IFERROR(IF(($HJ22)&gt;0,($HS22)/($HJ22),""),"")</f>
        <v/>
      </c>
      <c r="HZ22" s="56">
        <f>IFERROR(IF(($HK22)&gt;0,($HT22)/($HK22),""),"")</f>
        <v/>
      </c>
      <c r="IA22" s="55">
        <f>SUMIFS(tblBudget[Drill_m],tblBudget[Month],$E22)</f>
        <v/>
      </c>
      <c r="IB22" s="55">
        <f>$IA22*$C22/$D22</f>
        <v/>
      </c>
      <c r="IC22" s="55">
        <f>SUMIFS(tblBudget[Drill_m],tblBudget[Month],"&lt;"&amp;$E22)+$IB22</f>
        <v/>
      </c>
      <c r="ID22" s="55">
        <f>SUMIFS(tblBudget[Diesel_L],tblBudget[Month],$E22)</f>
        <v/>
      </c>
      <c r="IE22" s="55">
        <f>$ID22*$C22/$D22</f>
        <v/>
      </c>
      <c r="IF22" s="55">
        <f>SUMIFS(tblBudget[Diesel_L],tblBudget[Month],"&lt;"&amp;$E22)+$IE22</f>
        <v/>
      </c>
      <c r="IG22" s="55">
        <f>SUMIFS(tblBudget[Milled_t],tblBudget[Month],$E22)</f>
        <v/>
      </c>
      <c r="IH22" s="55">
        <f>$IG22*$C22/$D22</f>
        <v/>
      </c>
      <c r="II22" s="55">
        <f>SUMIFS(tblBudget[Milled_t],tblBudget[Month],"&lt;"&amp;$E22)+$IH22</f>
        <v/>
      </c>
      <c r="IJ22" s="55">
        <f>SUMIFS(tblBudget[Feed_oz],tblBudget[Month],$E22)</f>
        <v/>
      </c>
      <c r="IK22" s="55">
        <f>$IJ22*$C22/$D22</f>
        <v/>
      </c>
      <c r="IL22" s="55">
        <f>SUMIFS(tblBudget[Feed_oz],tblBudget[Month],"&lt;"&amp;$E22)+$IK22</f>
        <v/>
      </c>
      <c r="IM22" s="55">
        <f>SUMIFS(tblBudget[Recovered_oz],tblBudget[Month],$E22)</f>
        <v/>
      </c>
      <c r="IN22" s="55">
        <f>$IM22*$C22/$D22</f>
        <v/>
      </c>
      <c r="IO22" s="55">
        <f>SUMIFS(tblBudget[Recovered_oz],tblBudget[Month],"&lt;"&amp;$E22)+$IN22</f>
        <v/>
      </c>
      <c r="IP22" s="56">
        <f>IFERROR(IF(($IG22)&gt;0,($IJ22*cfg_TroyOz)/($IG22),""),"")</f>
        <v/>
      </c>
      <c r="IQ22" s="56">
        <f>IFERROR(IF(($IH22)&gt;0,($IK22*cfg_TroyOz)/($IH22),""),"")</f>
        <v/>
      </c>
      <c r="IR22" s="56">
        <f>IFERROR(IF(($II22)&gt;0,($IL22*cfg_TroyOz)/($II22),""),"")</f>
        <v/>
      </c>
      <c r="IS22" s="67">
        <f>IFERROR(IF(($IJ22)&gt;0,($IM22)/($IJ22),""),"")</f>
        <v/>
      </c>
      <c r="IT22" s="67">
        <f>IFERROR(IF(($IK22)&gt;0,($IN22)/($IK22),""),"")</f>
        <v/>
      </c>
      <c r="IU22" s="67">
        <f>IFERROR(IF(($IL22)&gt;0,($IO22)/($IL22),""),"")</f>
        <v/>
      </c>
      <c r="IV22" s="55">
        <f>SUMIFS(tblBudget[Gold_Poured_oz],tblBudget[Month],$E22)</f>
        <v/>
      </c>
      <c r="IW22" s="55">
        <f>$IV22*$C22/$D22</f>
        <v/>
      </c>
      <c r="IX22" s="55">
        <f>SUMIFS(tblBudget[Gold_Poured_oz],tblBudget[Month],"&lt;"&amp;$E22)+$IW22</f>
        <v/>
      </c>
      <c r="IY22" s="57">
        <f>SUMIFS(tblBudget[Hours_Worked],tblBudget[Month],$E22)</f>
        <v/>
      </c>
      <c r="IZ22" s="57">
        <f>$IY22*$C22/$D22</f>
        <v/>
      </c>
      <c r="JA22" s="57">
        <f>SUMIFS(tblBudget[Hours_Worked],tblBudget[Month],"&lt;"&amp;$E22)+$IZ22</f>
        <v/>
      </c>
    </row>
    <row r="23">
      <c r="A23" s="54" t="n">
        <v>46044</v>
      </c>
      <c r="B23">
        <f>MONTH($A23)</f>
        <v/>
      </c>
      <c r="C23">
        <f>DAY($A23)</f>
        <v/>
      </c>
      <c r="D23">
        <f>DAY(EOMONTH($A23,0))</f>
        <v/>
      </c>
      <c r="E23" s="54">
        <f>DATE(YEAR($A23),MONTH($A23),1)</f>
        <v/>
      </c>
      <c r="F23" s="55">
        <f>SUMIFS(tblMovement[Tonnes_t],tblMovement[Date],$A23,tblMovement[Is_Ore],1,tblMovement[Source_Type],"Pit")</f>
        <v/>
      </c>
      <c r="G23" s="55">
        <f>IF($B23=$B22,$G22,0)+$F23</f>
        <v/>
      </c>
      <c r="H23" s="55">
        <f>$H22+$F23</f>
        <v/>
      </c>
      <c r="I23" s="55">
        <f>SUMIFS(tblMovement[Ore_oz],tblMovement[Date],$A23,tblMovement[Source_Type],"Pit")</f>
        <v/>
      </c>
      <c r="J23" s="55">
        <f>IF($B23=$B22,$J22,0)+$I23</f>
        <v/>
      </c>
      <c r="K23" s="55">
        <f>$K22+$I23</f>
        <v/>
      </c>
      <c r="L23" s="56">
        <f>IFERROR(IF(($F23)&gt;0,($I23*cfg_TroyOz)/($F23),""),"")</f>
        <v/>
      </c>
      <c r="M23" s="56">
        <f>IFERROR(IF(($G23)&gt;0,($J23*cfg_TroyOz)/($G23),""),"")</f>
        <v/>
      </c>
      <c r="N23" s="56">
        <f>IFERROR(IF(($H23)&gt;0,($K23*cfg_TroyOz)/($H23),""),"")</f>
        <v/>
      </c>
      <c r="O23" s="55">
        <f>SUMIFS(tblMovement[Tonnes_t],tblMovement[Date],$A23,tblMovement[Is_Ore],0,tblMovement[Source_Type],"Pit")</f>
        <v/>
      </c>
      <c r="P23" s="55">
        <f>IF($B23=$B22,$P22,0)+$O23</f>
        <v/>
      </c>
      <c r="Q23" s="55">
        <f>$Q22+$O23</f>
        <v/>
      </c>
      <c r="R23" s="55">
        <f>$F23+$O23</f>
        <v/>
      </c>
      <c r="S23" s="55">
        <f>IF($B23=$B22,$S22,0)+$R23</f>
        <v/>
      </c>
      <c r="T23" s="55">
        <f>$T22+$R23</f>
        <v/>
      </c>
      <c r="U23" s="56">
        <f>IFERROR(IF(($F23)&gt;0,($O23)/($F23),""),"")</f>
        <v/>
      </c>
      <c r="V23" s="56">
        <f>IFERROR(IF(($G23)&gt;0,($P23)/($G23),""),"")</f>
        <v/>
      </c>
      <c r="W23" s="56">
        <f>IFERROR(IF(($H23)&gt;0,($Q23)/($H23),""),"")</f>
        <v/>
      </c>
      <c r="X23" s="55">
        <f>SUMIFS(tblMovement[Tonnes_t],tblMovement[Date],$A23,tblMovement[Source_Type],"Stockpile")</f>
        <v/>
      </c>
      <c r="Y23" s="55">
        <f>IF($B23=$B22,$Y22,0)+$X23</f>
        <v/>
      </c>
      <c r="Z23" s="55">
        <f>$Z22+$X23</f>
        <v/>
      </c>
      <c r="AA23" s="55">
        <f>SUMIFS(tblMiningDaily[Drill_m],tblMiningDaily[Date],$A23)</f>
        <v/>
      </c>
      <c r="AB23" s="55">
        <f>IF($B23=$B22,$AB22,0)+$AA23</f>
        <v/>
      </c>
      <c r="AC23" s="55">
        <f>$AC22+$AA23</f>
        <v/>
      </c>
      <c r="AD23" s="55">
        <f>SUMIFS(tblMiningDaily[Blast_t],tblMiningDaily[Date],$A23)</f>
        <v/>
      </c>
      <c r="AE23" s="55">
        <f>IF($B23=$B22,$AE22,0)+$AD23</f>
        <v/>
      </c>
      <c r="AF23" s="55">
        <f>$AF22+$AD23</f>
        <v/>
      </c>
      <c r="AG23" s="55">
        <f>SUMIFS(tblMiningDaily[Explosives_kg],tblMiningDaily[Date],$A23)</f>
        <v/>
      </c>
      <c r="AH23" s="55">
        <f>IF($B23=$B22,$AH22,0)+$AG23</f>
        <v/>
      </c>
      <c r="AI23" s="55">
        <f>$AI22+$AG23</f>
        <v/>
      </c>
      <c r="AJ23" s="56">
        <f>IFERROR(IF(($AD23)&gt;0,($AG23)/($AD23),""),"")</f>
        <v/>
      </c>
      <c r="AK23" s="56">
        <f>IFERROR(IF(($AE23)&gt;0,($AH23)/($AE23),""),"")</f>
        <v/>
      </c>
      <c r="AL23" s="56">
        <f>IFERROR(IF(($AF23)&gt;0,($AI23)/($AF23),""),"")</f>
        <v/>
      </c>
      <c r="AM23" s="55">
        <f>SUMIFS(tblMiningDaily[Diesel_L],tblMiningDaily[Date],$A23)</f>
        <v/>
      </c>
      <c r="AN23" s="55">
        <f>IF($B23=$B22,$AN22,0)+$AM23</f>
        <v/>
      </c>
      <c r="AO23" s="55">
        <f>$AO22+$AM23</f>
        <v/>
      </c>
      <c r="AP23" s="55">
        <f>SUMIFS(tblMiningDaily[Dewatering_m3],tblMiningDaily[Date],$A23)</f>
        <v/>
      </c>
      <c r="AQ23" s="55">
        <f>IF($B23=$B22,$AQ22,0)+$AP23</f>
        <v/>
      </c>
      <c r="AR23" s="55">
        <f>$AR22+$AP23</f>
        <v/>
      </c>
      <c r="AS23" s="57">
        <f>SUMIFS(tblFleet[Calendar_h],tblFleet[Date],$A23,tblFleet[Equipment_Class],"Excavator")</f>
        <v/>
      </c>
      <c r="AT23" s="57">
        <f>IF($B23=$B22,$AT22,0)+$AS23</f>
        <v/>
      </c>
      <c r="AU23" s="57">
        <f>$AU22+$AS23</f>
        <v/>
      </c>
      <c r="AV23" s="57">
        <f>SUMIFS(tblFleet[Available_h],tblFleet[Date],$A23,tblFleet[Equipment_Class],"Excavator")</f>
        <v/>
      </c>
      <c r="AW23" s="57">
        <f>IF($B23=$B22,$AW22,0)+$AV23</f>
        <v/>
      </c>
      <c r="AX23" s="57">
        <f>$AX22+$AV23</f>
        <v/>
      </c>
      <c r="AY23" s="57">
        <f>SUMIFS(tblFleet[Operating_h],tblFleet[Date],$A23,tblFleet[Equipment_Class],"Excavator")</f>
        <v/>
      </c>
      <c r="AZ23" s="57">
        <f>IF($B23=$B22,$AZ22,0)+$AY23</f>
        <v/>
      </c>
      <c r="BA23" s="57">
        <f>$BA22+$AY23</f>
        <v/>
      </c>
      <c r="BB23" s="67">
        <f>IFERROR(IF(($AS23)&gt;0,($AV23)/($AS23),""),"")</f>
        <v/>
      </c>
      <c r="BC23" s="67">
        <f>IFERROR(IF(($AT23)&gt;0,($AW23)/($AT23),""),"")</f>
        <v/>
      </c>
      <c r="BD23" s="67">
        <f>IFERROR(IF(($AU23)&gt;0,($AX23)/($AU23),""),"")</f>
        <v/>
      </c>
      <c r="BE23" s="67">
        <f>IFERROR(IF(($AV23)&gt;0,($AY23)/($AV23),""),"")</f>
        <v/>
      </c>
      <c r="BF23" s="67">
        <f>IFERROR(IF(($AW23)&gt;0,($AZ23)/($AW23),""),"")</f>
        <v/>
      </c>
      <c r="BG23" s="67">
        <f>IFERROR(IF(($AX23)&gt;0,($BA23)/($AX23),""),"")</f>
        <v/>
      </c>
      <c r="BH23" s="57">
        <f>SUMIFS(tblFleet[Calendar_h],tblFleet[Date],$A23,tblFleet[Equipment_Class],"Haul Truck")</f>
        <v/>
      </c>
      <c r="BI23" s="57">
        <f>IF($B23=$B22,$BI22,0)+$BH23</f>
        <v/>
      </c>
      <c r="BJ23" s="57">
        <f>$BJ22+$BH23</f>
        <v/>
      </c>
      <c r="BK23" s="57">
        <f>SUMIFS(tblFleet[Available_h],tblFleet[Date],$A23,tblFleet[Equipment_Class],"Haul Truck")</f>
        <v/>
      </c>
      <c r="BL23" s="57">
        <f>IF($B23=$B22,$BL22,0)+$BK23</f>
        <v/>
      </c>
      <c r="BM23" s="57">
        <f>$BM22+$BK23</f>
        <v/>
      </c>
      <c r="BN23" s="57">
        <f>SUMIFS(tblFleet[Operating_h],tblFleet[Date],$A23,tblFleet[Equipment_Class],"Haul Truck")</f>
        <v/>
      </c>
      <c r="BO23" s="57">
        <f>IF($B23=$B22,$BO22,0)+$BN23</f>
        <v/>
      </c>
      <c r="BP23" s="57">
        <f>$BP22+$BN23</f>
        <v/>
      </c>
      <c r="BQ23" s="67">
        <f>IFERROR(IF(($BH23)&gt;0,($BK23)/($BH23),""),"")</f>
        <v/>
      </c>
      <c r="BR23" s="67">
        <f>IFERROR(IF(($BI23)&gt;0,($BL23)/($BI23),""),"")</f>
        <v/>
      </c>
      <c r="BS23" s="67">
        <f>IFERROR(IF(($BJ23)&gt;0,($BM23)/($BJ23),""),"")</f>
        <v/>
      </c>
      <c r="BT23" s="67">
        <f>IFERROR(IF(($BK23)&gt;0,($BN23)/($BK23),""),"")</f>
        <v/>
      </c>
      <c r="BU23" s="67">
        <f>IFERROR(IF(($BL23)&gt;0,($BO23)/($BL23),""),"")</f>
        <v/>
      </c>
      <c r="BV23" s="67">
        <f>IFERROR(IF(($BM23)&gt;0,($BP23)/($BM23),""),"")</f>
        <v/>
      </c>
      <c r="BW23" s="55">
        <f>SUMIFS(tblPlant[Crushed_t],tblPlant[Date],$A23)</f>
        <v/>
      </c>
      <c r="BX23" s="55">
        <f>IF($B23=$B22,$BX22,0)+$BW23</f>
        <v/>
      </c>
      <c r="BY23" s="55">
        <f>$BY22+$BW23</f>
        <v/>
      </c>
      <c r="BZ23" s="55">
        <f>SUMIFS(tblPlant[Milled_t],tblPlant[Date],$A23)</f>
        <v/>
      </c>
      <c r="CA23" s="55">
        <f>IF($B23=$B22,$CA22,0)+$BZ23</f>
        <v/>
      </c>
      <c r="CB23" s="55">
        <f>$CB22+$BZ23</f>
        <v/>
      </c>
      <c r="CC23" s="55">
        <f>SUMIFS(tblPlant[Feed_oz],tblPlant[Date],$A23)</f>
        <v/>
      </c>
      <c r="CD23" s="55">
        <f>IF($B23=$B22,$CD22,0)+$CC23</f>
        <v/>
      </c>
      <c r="CE23" s="55">
        <f>$CE22+$CC23</f>
        <v/>
      </c>
      <c r="CF23" s="55">
        <f>SUMIFS(tblPlant[Tails_oz],tblPlant[Date],$A23)</f>
        <v/>
      </c>
      <c r="CG23" s="55">
        <f>IF($B23=$B22,$CG22,0)+$CF23</f>
        <v/>
      </c>
      <c r="CH23" s="55">
        <f>$CH22+$CF23</f>
        <v/>
      </c>
      <c r="CI23" s="55">
        <f>SUMIFS(tblPlant[Recovered_oz],tblPlant[Date],$A23)</f>
        <v/>
      </c>
      <c r="CJ23" s="55">
        <f>IF($B23=$B22,$CJ22,0)+$CI23</f>
        <v/>
      </c>
      <c r="CK23" s="55">
        <f>$CK22+$CI23</f>
        <v/>
      </c>
      <c r="CL23" s="56">
        <f>IFERROR(IF(($BZ23)&gt;0,($CC23*cfg_TroyOz)/($BZ23),""),"")</f>
        <v/>
      </c>
      <c r="CM23" s="56">
        <f>IFERROR(IF(($CA23)&gt;0,($CD23*cfg_TroyOz)/($CA23),""),"")</f>
        <v/>
      </c>
      <c r="CN23" s="56">
        <f>IFERROR(IF(($CB23)&gt;0,($CE23*cfg_TroyOz)/($CB23),""),"")</f>
        <v/>
      </c>
      <c r="CO23" s="56">
        <f>IFERROR(IF(($BZ23)&gt;0,($CF23*cfg_TroyOz)/($BZ23),""),"")</f>
        <v/>
      </c>
      <c r="CP23" s="56">
        <f>IFERROR(IF(($CA23)&gt;0,($CG23*cfg_TroyOz)/($CA23),""),"")</f>
        <v/>
      </c>
      <c r="CQ23" s="56">
        <f>IFERROR(IF(($CB23)&gt;0,($CH23*cfg_TroyOz)/($CB23),""),"")</f>
        <v/>
      </c>
      <c r="CR23" s="67">
        <f>IFERROR(IF(($CC23)&gt;0,($CI23)/($CC23),""),"")</f>
        <v/>
      </c>
      <c r="CS23" s="67">
        <f>IFERROR(IF(($CD23)&gt;0,($CJ23)/($CD23),""),"")</f>
        <v/>
      </c>
      <c r="CT23" s="67">
        <f>IFERROR(IF(($CE23)&gt;0,($CK23)/($CE23),""),"")</f>
        <v/>
      </c>
      <c r="CU23" s="55">
        <f>SUMIFS(tblPlant[Gravity_Gold_oz],tblPlant[Date],$A23)</f>
        <v/>
      </c>
      <c r="CV23" s="55">
        <f>IF($B23=$B22,$CV22,0)+$CU23</f>
        <v/>
      </c>
      <c r="CW23" s="55">
        <f>$CW22+$CU23</f>
        <v/>
      </c>
      <c r="CX23" s="55">
        <f>SUMIFS(tblPlant[Gold_Poured_oz],tblPlant[Date],$A23)</f>
        <v/>
      </c>
      <c r="CY23" s="55">
        <f>IF($B23=$B22,$CY22,0)+$CX23</f>
        <v/>
      </c>
      <c r="CZ23" s="55">
        <f>$CZ22+$CX23</f>
        <v/>
      </c>
      <c r="DA23" s="57">
        <f>SUMIFS(tblPlant[Mill_Run_h],tblPlant[Date],$A23)</f>
        <v/>
      </c>
      <c r="DB23" s="57">
        <f>IF($B23=$B22,$DB22,0)+$DA23</f>
        <v/>
      </c>
      <c r="DC23" s="57">
        <f>$DC22+$DA23</f>
        <v/>
      </c>
      <c r="DD23" s="57">
        <f>SUMIFS(tblPlant[Mill_Planned_Maint_h],tblPlant[Date],$A23)</f>
        <v/>
      </c>
      <c r="DE23" s="57">
        <f>IF($B23=$B22,$DE22,0)+$DD23</f>
        <v/>
      </c>
      <c r="DF23" s="57">
        <f>$DF22+$DD23</f>
        <v/>
      </c>
      <c r="DG23" s="57">
        <f>SUMIFS(tblPlant[Mill_Unplanned_Down_h],tblPlant[Date],$A23)</f>
        <v/>
      </c>
      <c r="DH23" s="57">
        <f>IF($B23=$B22,$DH22,0)+$DG23</f>
        <v/>
      </c>
      <c r="DI23" s="57">
        <f>$DI22+$DG23</f>
        <v/>
      </c>
      <c r="DJ23" s="57">
        <f>COUNTIFS(tblPlant[Date],$A23,tblPlant[Mill_Run_h],"&lt;&gt;")*24</f>
        <v/>
      </c>
      <c r="DK23" s="57">
        <f>IF($B23=$B22,$DK22,0)+$DJ23</f>
        <v/>
      </c>
      <c r="DL23" s="57">
        <f>$DL22+$DJ23</f>
        <v/>
      </c>
      <c r="DM23" s="57">
        <f>SUMIFS(tblPlant[Crusher_Run_h],tblPlant[Date],$A23)</f>
        <v/>
      </c>
      <c r="DN23" s="57">
        <f>IF($B23=$B22,$DN22,0)+$DM23</f>
        <v/>
      </c>
      <c r="DO23" s="57">
        <f>$DO22+$DM23</f>
        <v/>
      </c>
      <c r="DP23" s="55">
        <f>IFERROR(IF(($DA23)&gt;0,($BZ23)/($DA23),""),"")</f>
        <v/>
      </c>
      <c r="DQ23" s="55">
        <f>IFERROR(IF(($DB23)&gt;0,($CA23)/($DB23),""),"")</f>
        <v/>
      </c>
      <c r="DR23" s="55">
        <f>IFERROR(IF(($DC23)&gt;0,($CB23)/($DC23),""),"")</f>
        <v/>
      </c>
      <c r="DS23" s="67">
        <f>IFERROR(IF(($DJ23)&gt;0,($DJ23-$DD23-$DG23)/($DJ23),""),"")</f>
        <v/>
      </c>
      <c r="DT23" s="67">
        <f>IFERROR(IF(($DK23)&gt;0,($DK23-$DE23-$DH23)/($DK23),""),"")</f>
        <v/>
      </c>
      <c r="DU23" s="67">
        <f>IFERROR(IF(($DL23)&gt;0,($DL23-$DF23-$DI23)/($DL23),""),"")</f>
        <v/>
      </c>
      <c r="DV23" s="67">
        <f>IFERROR(IF(($DJ23-$DD23-$DG23)&gt;0,($DA23)/($DJ23-$DD23-$DG23),""),"")</f>
        <v/>
      </c>
      <c r="DW23" s="67">
        <f>IFERROR(IF(($DK23-$DE23-$DH23)&gt;0,($DB23)/($DK23-$DE23-$DH23),""),"")</f>
        <v/>
      </c>
      <c r="DX23" s="67">
        <f>IFERROR(IF(($DL23-$DF23-$DI23)&gt;0,($DC23)/($DL23-$DF23-$DI23),""),"")</f>
        <v/>
      </c>
      <c r="DY23" s="55">
        <f>SUMIFS(tblPlant[Cyanide_kg],tblPlant[Date],$A23)</f>
        <v/>
      </c>
      <c r="DZ23" s="55">
        <f>IF($B23=$B22,$DZ22,0)+$DY23</f>
        <v/>
      </c>
      <c r="EA23" s="55">
        <f>$EA22+$DY23</f>
        <v/>
      </c>
      <c r="EB23" s="55">
        <f>SUMIFS(tblPlant[Lime_kg],tblPlant[Date],$A23)</f>
        <v/>
      </c>
      <c r="EC23" s="55">
        <f>IF($B23=$B22,$EC22,0)+$EB23</f>
        <v/>
      </c>
      <c r="ED23" s="55">
        <f>$ED22+$EB23</f>
        <v/>
      </c>
      <c r="EE23" s="55">
        <f>SUMIFS(tblPlant[Grinding_Media_kg],tblPlant[Date],$A23)</f>
        <v/>
      </c>
      <c r="EF23" s="55">
        <f>IF($B23=$B22,$EF22,0)+$EE23</f>
        <v/>
      </c>
      <c r="EG23" s="55">
        <f>$EG22+$EE23</f>
        <v/>
      </c>
      <c r="EH23" s="55">
        <f>SUMIFS(tblPlant[Power_kWh],tblPlant[Date],$A23)</f>
        <v/>
      </c>
      <c r="EI23" s="55">
        <f>IF($B23=$B22,$EI22,0)+$EH23</f>
        <v/>
      </c>
      <c r="EJ23" s="55">
        <f>$EJ22+$EH23</f>
        <v/>
      </c>
      <c r="EK23" s="55">
        <f>SUMIFS(tblPlant[Raw_Water_m3],tblPlant[Date],$A23)</f>
        <v/>
      </c>
      <c r="EL23" s="55">
        <f>IF($B23=$B22,$EL22,0)+$EK23</f>
        <v/>
      </c>
      <c r="EM23" s="55">
        <f>$EM22+$EK23</f>
        <v/>
      </c>
      <c r="EN23" s="56">
        <f>IFERROR(IF(($BZ23)&gt;0,($DY23)/($BZ23),""),"")</f>
        <v/>
      </c>
      <c r="EO23" s="56">
        <f>IFERROR(IF(($CA23)&gt;0,($DZ23)/($CA23),""),"")</f>
        <v/>
      </c>
      <c r="EP23" s="56">
        <f>IFERROR(IF(($CB23)&gt;0,($EA23)/($CB23),""),"")</f>
        <v/>
      </c>
      <c r="EQ23" s="56">
        <f>IFERROR(IF(($BZ23)&gt;0,($EB23)/($BZ23),""),"")</f>
        <v/>
      </c>
      <c r="ER23" s="56">
        <f>IFERROR(IF(($CA23)&gt;0,($EC23)/($CA23),""),"")</f>
        <v/>
      </c>
      <c r="ES23" s="56">
        <f>IFERROR(IF(($CB23)&gt;0,($ED23)/($CB23),""),"")</f>
        <v/>
      </c>
      <c r="ET23" s="56">
        <f>IFERROR(IF(($BZ23)&gt;0,($EE23)/($BZ23),""),"")</f>
        <v/>
      </c>
      <c r="EU23" s="56">
        <f>IFERROR(IF(($CA23)&gt;0,($EF23)/($CA23),""),"")</f>
        <v/>
      </c>
      <c r="EV23" s="56">
        <f>IFERROR(IF(($CB23)&gt;0,($EG23)/($CB23),""),"")</f>
        <v/>
      </c>
      <c r="EW23" s="76">
        <f>IFERROR(IF(($BZ23)&gt;0,($EH23)/($BZ23),""),"")</f>
        <v/>
      </c>
      <c r="EX23" s="76">
        <f>IFERROR(IF(($CA23)&gt;0,($EI23)/($CA23),""),"")</f>
        <v/>
      </c>
      <c r="EY23" s="76">
        <f>IFERROR(IF(($CB23)&gt;0,($EJ23)/($CB23),""),"")</f>
        <v/>
      </c>
      <c r="EZ23" s="56">
        <f>IFERROR(IF(($BZ23)&gt;0,($EK23)/($BZ23),""),"")</f>
        <v/>
      </c>
      <c r="FA23" s="56">
        <f>IFERROR(IF(($CA23)&gt;0,($EL23)/($CA23),""),"")</f>
        <v/>
      </c>
      <c r="FB23" s="56">
        <f>IFERROR(IF(($CB23)&gt;0,($EM23)/($CB23),""),"")</f>
        <v/>
      </c>
      <c r="FC23" s="55">
        <f>IF(SUMIFS(tblPlant[GIC_oz],tblPlant[Date],$A23)&gt;0,SUMIFS(tblPlant[GIC_oz],tblPlant[Date],$A23),"")</f>
        <v/>
      </c>
      <c r="FD23" s="55">
        <f>SUMIFS(tblGold[Gold_oz],tblGold[Date],$A23,tblGold[Type],"Shipment")</f>
        <v/>
      </c>
      <c r="FE23" s="55">
        <f>IF($B23=$B22,$FE22,0)+$FD23</f>
        <v/>
      </c>
      <c r="FF23" s="55">
        <f>$FF22+$FD23</f>
        <v/>
      </c>
      <c r="FG23" s="55">
        <f>SUMIFS(tblGold[Gold_oz],tblGold[Date],$A23,tblGold[Type],"Sale")</f>
        <v/>
      </c>
      <c r="FH23" s="55">
        <f>IF($B23=$B22,$FH22,0)+$FG23</f>
        <v/>
      </c>
      <c r="FI23" s="55">
        <f>$FI22+$FG23</f>
        <v/>
      </c>
      <c r="FJ23" s="55">
        <f>SUMIFS(tblGold[Dore_kg],tblGold[Date],$A23,tblGold[Type],"Shipment")</f>
        <v/>
      </c>
      <c r="FK23" s="55">
        <f>IF($B23=$B22,$FK22,0)+$FJ23</f>
        <v/>
      </c>
      <c r="FL23" s="55">
        <f>$FL22+$FJ23</f>
        <v/>
      </c>
      <c r="FM23" s="57">
        <f>SUMIFS(tblSafety[Hours_Total],tblSafety[Date],$A23)</f>
        <v/>
      </c>
      <c r="FN23" s="57">
        <f>IF($B23=$B22,$FN22,0)+$FM23</f>
        <v/>
      </c>
      <c r="FO23" s="57">
        <f>$FO22+$FM23</f>
        <v/>
      </c>
      <c r="FP23" s="62">
        <f>SUMIFS(tblSafety[Fatality],tblSafety[Date],$A23)</f>
        <v/>
      </c>
      <c r="FQ23" s="62">
        <f>IF($B23=$B22,$FQ22,0)+$FP23</f>
        <v/>
      </c>
      <c r="FR23" s="62">
        <f>$FR22+$FP23</f>
        <v/>
      </c>
      <c r="FS23" s="62">
        <f>SUMIFS(tblSafety[LTI],tblSafety[Date],$A23)</f>
        <v/>
      </c>
      <c r="FT23" s="62">
        <f>IF($B23=$B22,$FT22,0)+$FS23</f>
        <v/>
      </c>
      <c r="FU23" s="62">
        <f>$FU22+$FS23</f>
        <v/>
      </c>
      <c r="FV23" s="62">
        <f>SUMIFS(tblSafety[RWI],tblSafety[Date],$A23)</f>
        <v/>
      </c>
      <c r="FW23" s="62">
        <f>IF($B23=$B22,$FW22,0)+$FV23</f>
        <v/>
      </c>
      <c r="FX23" s="62">
        <f>$FX22+$FV23</f>
        <v/>
      </c>
      <c r="FY23" s="62">
        <f>SUMIFS(tblSafety[MTI],tblSafety[Date],$A23)</f>
        <v/>
      </c>
      <c r="FZ23" s="62">
        <f>IF($B23=$B22,$FZ22,0)+$FY23</f>
        <v/>
      </c>
      <c r="GA23" s="62">
        <f>$GA22+$FY23</f>
        <v/>
      </c>
      <c r="GB23" s="62">
        <f>SUMIFS(tblSafety[FAI],tblSafety[Date],$A23)</f>
        <v/>
      </c>
      <c r="GC23" s="62">
        <f>IF($B23=$B22,$GC22,0)+$GB23</f>
        <v/>
      </c>
      <c r="GD23" s="62">
        <f>$GD22+$GB23</f>
        <v/>
      </c>
      <c r="GE23" s="62">
        <f>SUMIFS(tblSafety[Recordables],tblSafety[Date],$A23)</f>
        <v/>
      </c>
      <c r="GF23" s="62">
        <f>IF($B23=$B22,$GF22,0)+$GE23</f>
        <v/>
      </c>
      <c r="GG23" s="62">
        <f>$GG22+$GE23</f>
        <v/>
      </c>
      <c r="GH23" s="62">
        <f>SUMIFS(tblSafety[Near_Miss],tblSafety[Date],$A23)</f>
        <v/>
      </c>
      <c r="GI23" s="62">
        <f>IF($B23=$B22,$GI22,0)+$GH23</f>
        <v/>
      </c>
      <c r="GJ23" s="62">
        <f>$GJ22+$GH23</f>
        <v/>
      </c>
      <c r="GK23" s="62">
        <f>SUMIFS(tblSafety[Hazard_Reports],tblSafety[Date],$A23)</f>
        <v/>
      </c>
      <c r="GL23" s="62">
        <f>IF($B23=$B22,$GL22,0)+$GK23</f>
        <v/>
      </c>
      <c r="GM23" s="62">
        <f>$GM22+$GK23</f>
        <v/>
      </c>
      <c r="GN23" s="62">
        <f>SUMIFS(tblSafety[HPI],tblSafety[Date],$A23)</f>
        <v/>
      </c>
      <c r="GO23" s="62">
        <f>IF($B23=$B22,$GO22,0)+$GN23</f>
        <v/>
      </c>
      <c r="GP23" s="62">
        <f>$GP22+$GN23</f>
        <v/>
      </c>
      <c r="GQ23" s="62">
        <f>SUMIFS(tblSafety[Env_Incidents],tblSafety[Date],$A23)</f>
        <v/>
      </c>
      <c r="GR23" s="62">
        <f>IF($B23=$B22,$GR22,0)+$GQ23</f>
        <v/>
      </c>
      <c r="GS23" s="62">
        <f>$GS22+$GQ23</f>
        <v/>
      </c>
      <c r="GT23" s="62">
        <f>SUMIFS(tblSafety[Community_Incidents],tblSafety[Date],$A23)</f>
        <v/>
      </c>
      <c r="GU23" s="62">
        <f>IF($B23=$B22,$GU22,0)+$GT23</f>
        <v/>
      </c>
      <c r="GV23" s="62">
        <f>$GV22+$GT23</f>
        <v/>
      </c>
      <c r="GW23" s="62">
        <f>SUMIFS(tblSafety[Vehicle_Incidents],tblSafety[Date],$A23)</f>
        <v/>
      </c>
      <c r="GX23" s="62">
        <f>IF($B23=$B22,$GX22,0)+$GW23</f>
        <v/>
      </c>
      <c r="GY23" s="62">
        <f>$GY22+$GW23</f>
        <v/>
      </c>
      <c r="GZ23" s="62">
        <f>SUMIFS(tblSafety[Toolbox_Talks],tblSafety[Date],$A23)</f>
        <v/>
      </c>
      <c r="HA23" s="62">
        <f>IF($B23=$B22,$HA22,0)+$GZ23</f>
        <v/>
      </c>
      <c r="HB23" s="62">
        <f>$HB22+$GZ23</f>
        <v/>
      </c>
      <c r="HC23" s="62">
        <f>SUMIFS(tblSafety[Inspections],tblSafety[Date],$A23)</f>
        <v/>
      </c>
      <c r="HD23" s="62">
        <f>IF($B23=$B22,$HD22,0)+$HC23</f>
        <v/>
      </c>
      <c r="HE23" s="62">
        <f>$HE22+$HC23</f>
        <v/>
      </c>
      <c r="HF23" s="56">
        <f>IFERROR((SUMIFS(tblSafety[Recordables],tblSafety[Date],"&gt;="&amp;EDATE($E23,-12),tblSafety[Date],"&lt;="&amp;$A23)+SUMIFS(tblSafetyHistory[Recordables],tblSafetyHistory[Month],"&gt;="&amp;EDATE($E23,-12),tblSafetyHistory[Month],"&lt;"&amp;cfg_YearStart))/(SUMIFS(tblSafety[Hours_Total],tblSafety[Date],"&gt;="&amp;EDATE($E23,-12),tblSafety[Date],"&lt;="&amp;$A23)+SUMIFS(tblSafetyHistory[Hours_Total],tblSafetyHistory[Month],"&gt;="&amp;EDATE($E23,-12),tblSafetyHistory[Month],"&lt;"&amp;cfg_YearStart))*1000000,"")</f>
        <v/>
      </c>
      <c r="HG23" s="56">
        <f>IFERROR((SUMIFS(tblSafety[LTI],tblSafety[Date],"&gt;="&amp;EDATE($E23,-12),tblSafety[Date],"&lt;="&amp;$A23)+SUMIFS(tblSafetyHistory[LTI],tblSafetyHistory[Month],"&gt;="&amp;EDATE($E23,-12),tblSafetyHistory[Month],"&lt;"&amp;cfg_YearStart))/(SUMIFS(tblSafety[Hours_Total],tblSafety[Date],"&gt;="&amp;EDATE($E23,-12),tblSafety[Date],"&lt;="&amp;$A23)+SUMIFS(tblSafetyHistory[Hours_Total],tblSafetyHistory[Month],"&gt;="&amp;EDATE($E23,-12),tblSafetyHistory[Month],"&lt;"&amp;cfg_YearStart))*1000000,"")</f>
        <v/>
      </c>
      <c r="HH23" s="62">
        <f>IF(MAX(N(cfg_PriorLTIDate),_xlfn.MAXIFS(tblSafety[Date],tblSafety[LTI],"&gt;0",tblSafety[Date],"&lt;="&amp;$A23))=0,"",$A23-MAX(N(cfg_PriorLTIDate),_xlfn.MAXIFS(tblSafety[Date],tblSafety[LTI],"&gt;0",tblSafety[Date],"&lt;="&amp;$A23)))</f>
        <v/>
      </c>
      <c r="HI23" s="55">
        <f>SUMIFS(tblBudget[Ore_Mined_t],tblBudget[Month],$E23)</f>
        <v/>
      </c>
      <c r="HJ23" s="55">
        <f>$HI23*$C23/$D23</f>
        <v/>
      </c>
      <c r="HK23" s="55">
        <f>SUMIFS(tblBudget[Ore_Mined_t],tblBudget[Month],"&lt;"&amp;$E23)+$HJ23</f>
        <v/>
      </c>
      <c r="HL23" s="55">
        <f>SUMIFS(tblBudget[Ore_oz],tblBudget[Month],$E23)</f>
        <v/>
      </c>
      <c r="HM23" s="55">
        <f>$HL23*$C23/$D23</f>
        <v/>
      </c>
      <c r="HN23" s="55">
        <f>SUMIFS(tblBudget[Ore_oz],tblBudget[Month],"&lt;"&amp;$E23)+$HM23</f>
        <v/>
      </c>
      <c r="HO23" s="56">
        <f>IFERROR(IF(($HI23)&gt;0,($HL23*cfg_TroyOz)/($HI23),""),"")</f>
        <v/>
      </c>
      <c r="HP23" s="56">
        <f>IFERROR(IF(($HJ23)&gt;0,($HM23*cfg_TroyOz)/($HJ23),""),"")</f>
        <v/>
      </c>
      <c r="HQ23" s="56">
        <f>IFERROR(IF(($HK23)&gt;0,($HN23*cfg_TroyOz)/($HK23),""),"")</f>
        <v/>
      </c>
      <c r="HR23" s="55">
        <f>SUMIFS(tblBudget[Waste_t],tblBudget[Month],$E23)</f>
        <v/>
      </c>
      <c r="HS23" s="55">
        <f>$HR23*$C23/$D23</f>
        <v/>
      </c>
      <c r="HT23" s="55">
        <f>SUMIFS(tblBudget[Waste_t],tblBudget[Month],"&lt;"&amp;$E23)+$HS23</f>
        <v/>
      </c>
      <c r="HU23" s="55">
        <f>SUMIFS(tblBudget[TMM_t],tblBudget[Month],$E23)</f>
        <v/>
      </c>
      <c r="HV23" s="55">
        <f>$HU23*$C23/$D23</f>
        <v/>
      </c>
      <c r="HW23" s="55">
        <f>SUMIFS(tblBudget[TMM_t],tblBudget[Month],"&lt;"&amp;$E23)+$HV23</f>
        <v/>
      </c>
      <c r="HX23" s="56">
        <f>IFERROR(IF(($HI23)&gt;0,($HR23)/($HI23),""),"")</f>
        <v/>
      </c>
      <c r="HY23" s="56">
        <f>IFERROR(IF(($HJ23)&gt;0,($HS23)/($HJ23),""),"")</f>
        <v/>
      </c>
      <c r="HZ23" s="56">
        <f>IFERROR(IF(($HK23)&gt;0,($HT23)/($HK23),""),"")</f>
        <v/>
      </c>
      <c r="IA23" s="55">
        <f>SUMIFS(tblBudget[Drill_m],tblBudget[Month],$E23)</f>
        <v/>
      </c>
      <c r="IB23" s="55">
        <f>$IA23*$C23/$D23</f>
        <v/>
      </c>
      <c r="IC23" s="55">
        <f>SUMIFS(tblBudget[Drill_m],tblBudget[Month],"&lt;"&amp;$E23)+$IB23</f>
        <v/>
      </c>
      <c r="ID23" s="55">
        <f>SUMIFS(tblBudget[Diesel_L],tblBudget[Month],$E23)</f>
        <v/>
      </c>
      <c r="IE23" s="55">
        <f>$ID23*$C23/$D23</f>
        <v/>
      </c>
      <c r="IF23" s="55">
        <f>SUMIFS(tblBudget[Diesel_L],tblBudget[Month],"&lt;"&amp;$E23)+$IE23</f>
        <v/>
      </c>
      <c r="IG23" s="55">
        <f>SUMIFS(tblBudget[Milled_t],tblBudget[Month],$E23)</f>
        <v/>
      </c>
      <c r="IH23" s="55">
        <f>$IG23*$C23/$D23</f>
        <v/>
      </c>
      <c r="II23" s="55">
        <f>SUMIFS(tblBudget[Milled_t],tblBudget[Month],"&lt;"&amp;$E23)+$IH23</f>
        <v/>
      </c>
      <c r="IJ23" s="55">
        <f>SUMIFS(tblBudget[Feed_oz],tblBudget[Month],$E23)</f>
        <v/>
      </c>
      <c r="IK23" s="55">
        <f>$IJ23*$C23/$D23</f>
        <v/>
      </c>
      <c r="IL23" s="55">
        <f>SUMIFS(tblBudget[Feed_oz],tblBudget[Month],"&lt;"&amp;$E23)+$IK23</f>
        <v/>
      </c>
      <c r="IM23" s="55">
        <f>SUMIFS(tblBudget[Recovered_oz],tblBudget[Month],$E23)</f>
        <v/>
      </c>
      <c r="IN23" s="55">
        <f>$IM23*$C23/$D23</f>
        <v/>
      </c>
      <c r="IO23" s="55">
        <f>SUMIFS(tblBudget[Recovered_oz],tblBudget[Month],"&lt;"&amp;$E23)+$IN23</f>
        <v/>
      </c>
      <c r="IP23" s="56">
        <f>IFERROR(IF(($IG23)&gt;0,($IJ23*cfg_TroyOz)/($IG23),""),"")</f>
        <v/>
      </c>
      <c r="IQ23" s="56">
        <f>IFERROR(IF(($IH23)&gt;0,($IK23*cfg_TroyOz)/($IH23),""),"")</f>
        <v/>
      </c>
      <c r="IR23" s="56">
        <f>IFERROR(IF(($II23)&gt;0,($IL23*cfg_TroyOz)/($II23),""),"")</f>
        <v/>
      </c>
      <c r="IS23" s="67">
        <f>IFERROR(IF(($IJ23)&gt;0,($IM23)/($IJ23),""),"")</f>
        <v/>
      </c>
      <c r="IT23" s="67">
        <f>IFERROR(IF(($IK23)&gt;0,($IN23)/($IK23),""),"")</f>
        <v/>
      </c>
      <c r="IU23" s="67">
        <f>IFERROR(IF(($IL23)&gt;0,($IO23)/($IL23),""),"")</f>
        <v/>
      </c>
      <c r="IV23" s="55">
        <f>SUMIFS(tblBudget[Gold_Poured_oz],tblBudget[Month],$E23)</f>
        <v/>
      </c>
      <c r="IW23" s="55">
        <f>$IV23*$C23/$D23</f>
        <v/>
      </c>
      <c r="IX23" s="55">
        <f>SUMIFS(tblBudget[Gold_Poured_oz],tblBudget[Month],"&lt;"&amp;$E23)+$IW23</f>
        <v/>
      </c>
      <c r="IY23" s="57">
        <f>SUMIFS(tblBudget[Hours_Worked],tblBudget[Month],$E23)</f>
        <v/>
      </c>
      <c r="IZ23" s="57">
        <f>$IY23*$C23/$D23</f>
        <v/>
      </c>
      <c r="JA23" s="57">
        <f>SUMIFS(tblBudget[Hours_Worked],tblBudget[Month],"&lt;"&amp;$E23)+$IZ23</f>
        <v/>
      </c>
    </row>
    <row r="24">
      <c r="A24" s="54" t="n">
        <v>46045</v>
      </c>
      <c r="B24">
        <f>MONTH($A24)</f>
        <v/>
      </c>
      <c r="C24">
        <f>DAY($A24)</f>
        <v/>
      </c>
      <c r="D24">
        <f>DAY(EOMONTH($A24,0))</f>
        <v/>
      </c>
      <c r="E24" s="54">
        <f>DATE(YEAR($A24),MONTH($A24),1)</f>
        <v/>
      </c>
      <c r="F24" s="55">
        <f>SUMIFS(tblMovement[Tonnes_t],tblMovement[Date],$A24,tblMovement[Is_Ore],1,tblMovement[Source_Type],"Pit")</f>
        <v/>
      </c>
      <c r="G24" s="55">
        <f>IF($B24=$B23,$G23,0)+$F24</f>
        <v/>
      </c>
      <c r="H24" s="55">
        <f>$H23+$F24</f>
        <v/>
      </c>
      <c r="I24" s="55">
        <f>SUMIFS(tblMovement[Ore_oz],tblMovement[Date],$A24,tblMovement[Source_Type],"Pit")</f>
        <v/>
      </c>
      <c r="J24" s="55">
        <f>IF($B24=$B23,$J23,0)+$I24</f>
        <v/>
      </c>
      <c r="K24" s="55">
        <f>$K23+$I24</f>
        <v/>
      </c>
      <c r="L24" s="56">
        <f>IFERROR(IF(($F24)&gt;0,($I24*cfg_TroyOz)/($F24),""),"")</f>
        <v/>
      </c>
      <c r="M24" s="56">
        <f>IFERROR(IF(($G24)&gt;0,($J24*cfg_TroyOz)/($G24),""),"")</f>
        <v/>
      </c>
      <c r="N24" s="56">
        <f>IFERROR(IF(($H24)&gt;0,($K24*cfg_TroyOz)/($H24),""),"")</f>
        <v/>
      </c>
      <c r="O24" s="55">
        <f>SUMIFS(tblMovement[Tonnes_t],tblMovement[Date],$A24,tblMovement[Is_Ore],0,tblMovement[Source_Type],"Pit")</f>
        <v/>
      </c>
      <c r="P24" s="55">
        <f>IF($B24=$B23,$P23,0)+$O24</f>
        <v/>
      </c>
      <c r="Q24" s="55">
        <f>$Q23+$O24</f>
        <v/>
      </c>
      <c r="R24" s="55">
        <f>$F24+$O24</f>
        <v/>
      </c>
      <c r="S24" s="55">
        <f>IF($B24=$B23,$S23,0)+$R24</f>
        <v/>
      </c>
      <c r="T24" s="55">
        <f>$T23+$R24</f>
        <v/>
      </c>
      <c r="U24" s="56">
        <f>IFERROR(IF(($F24)&gt;0,($O24)/($F24),""),"")</f>
        <v/>
      </c>
      <c r="V24" s="56">
        <f>IFERROR(IF(($G24)&gt;0,($P24)/($G24),""),"")</f>
        <v/>
      </c>
      <c r="W24" s="56">
        <f>IFERROR(IF(($H24)&gt;0,($Q24)/($H24),""),"")</f>
        <v/>
      </c>
      <c r="X24" s="55">
        <f>SUMIFS(tblMovement[Tonnes_t],tblMovement[Date],$A24,tblMovement[Source_Type],"Stockpile")</f>
        <v/>
      </c>
      <c r="Y24" s="55">
        <f>IF($B24=$B23,$Y23,0)+$X24</f>
        <v/>
      </c>
      <c r="Z24" s="55">
        <f>$Z23+$X24</f>
        <v/>
      </c>
      <c r="AA24" s="55">
        <f>SUMIFS(tblMiningDaily[Drill_m],tblMiningDaily[Date],$A24)</f>
        <v/>
      </c>
      <c r="AB24" s="55">
        <f>IF($B24=$B23,$AB23,0)+$AA24</f>
        <v/>
      </c>
      <c r="AC24" s="55">
        <f>$AC23+$AA24</f>
        <v/>
      </c>
      <c r="AD24" s="55">
        <f>SUMIFS(tblMiningDaily[Blast_t],tblMiningDaily[Date],$A24)</f>
        <v/>
      </c>
      <c r="AE24" s="55">
        <f>IF($B24=$B23,$AE23,0)+$AD24</f>
        <v/>
      </c>
      <c r="AF24" s="55">
        <f>$AF23+$AD24</f>
        <v/>
      </c>
      <c r="AG24" s="55">
        <f>SUMIFS(tblMiningDaily[Explosives_kg],tblMiningDaily[Date],$A24)</f>
        <v/>
      </c>
      <c r="AH24" s="55">
        <f>IF($B24=$B23,$AH23,0)+$AG24</f>
        <v/>
      </c>
      <c r="AI24" s="55">
        <f>$AI23+$AG24</f>
        <v/>
      </c>
      <c r="AJ24" s="56">
        <f>IFERROR(IF(($AD24)&gt;0,($AG24)/($AD24),""),"")</f>
        <v/>
      </c>
      <c r="AK24" s="56">
        <f>IFERROR(IF(($AE24)&gt;0,($AH24)/($AE24),""),"")</f>
        <v/>
      </c>
      <c r="AL24" s="56">
        <f>IFERROR(IF(($AF24)&gt;0,($AI24)/($AF24),""),"")</f>
        <v/>
      </c>
      <c r="AM24" s="55">
        <f>SUMIFS(tblMiningDaily[Diesel_L],tblMiningDaily[Date],$A24)</f>
        <v/>
      </c>
      <c r="AN24" s="55">
        <f>IF($B24=$B23,$AN23,0)+$AM24</f>
        <v/>
      </c>
      <c r="AO24" s="55">
        <f>$AO23+$AM24</f>
        <v/>
      </c>
      <c r="AP24" s="55">
        <f>SUMIFS(tblMiningDaily[Dewatering_m3],tblMiningDaily[Date],$A24)</f>
        <v/>
      </c>
      <c r="AQ24" s="55">
        <f>IF($B24=$B23,$AQ23,0)+$AP24</f>
        <v/>
      </c>
      <c r="AR24" s="55">
        <f>$AR23+$AP24</f>
        <v/>
      </c>
      <c r="AS24" s="57">
        <f>SUMIFS(tblFleet[Calendar_h],tblFleet[Date],$A24,tblFleet[Equipment_Class],"Excavator")</f>
        <v/>
      </c>
      <c r="AT24" s="57">
        <f>IF($B24=$B23,$AT23,0)+$AS24</f>
        <v/>
      </c>
      <c r="AU24" s="57">
        <f>$AU23+$AS24</f>
        <v/>
      </c>
      <c r="AV24" s="57">
        <f>SUMIFS(tblFleet[Available_h],tblFleet[Date],$A24,tblFleet[Equipment_Class],"Excavator")</f>
        <v/>
      </c>
      <c r="AW24" s="57">
        <f>IF($B24=$B23,$AW23,0)+$AV24</f>
        <v/>
      </c>
      <c r="AX24" s="57">
        <f>$AX23+$AV24</f>
        <v/>
      </c>
      <c r="AY24" s="57">
        <f>SUMIFS(tblFleet[Operating_h],tblFleet[Date],$A24,tblFleet[Equipment_Class],"Excavator")</f>
        <v/>
      </c>
      <c r="AZ24" s="57">
        <f>IF($B24=$B23,$AZ23,0)+$AY24</f>
        <v/>
      </c>
      <c r="BA24" s="57">
        <f>$BA23+$AY24</f>
        <v/>
      </c>
      <c r="BB24" s="67">
        <f>IFERROR(IF(($AS24)&gt;0,($AV24)/($AS24),""),"")</f>
        <v/>
      </c>
      <c r="BC24" s="67">
        <f>IFERROR(IF(($AT24)&gt;0,($AW24)/($AT24),""),"")</f>
        <v/>
      </c>
      <c r="BD24" s="67">
        <f>IFERROR(IF(($AU24)&gt;0,($AX24)/($AU24),""),"")</f>
        <v/>
      </c>
      <c r="BE24" s="67">
        <f>IFERROR(IF(($AV24)&gt;0,($AY24)/($AV24),""),"")</f>
        <v/>
      </c>
      <c r="BF24" s="67">
        <f>IFERROR(IF(($AW24)&gt;0,($AZ24)/($AW24),""),"")</f>
        <v/>
      </c>
      <c r="BG24" s="67">
        <f>IFERROR(IF(($AX24)&gt;0,($BA24)/($AX24),""),"")</f>
        <v/>
      </c>
      <c r="BH24" s="57">
        <f>SUMIFS(tblFleet[Calendar_h],tblFleet[Date],$A24,tblFleet[Equipment_Class],"Haul Truck")</f>
        <v/>
      </c>
      <c r="BI24" s="57">
        <f>IF($B24=$B23,$BI23,0)+$BH24</f>
        <v/>
      </c>
      <c r="BJ24" s="57">
        <f>$BJ23+$BH24</f>
        <v/>
      </c>
      <c r="BK24" s="57">
        <f>SUMIFS(tblFleet[Available_h],tblFleet[Date],$A24,tblFleet[Equipment_Class],"Haul Truck")</f>
        <v/>
      </c>
      <c r="BL24" s="57">
        <f>IF($B24=$B23,$BL23,0)+$BK24</f>
        <v/>
      </c>
      <c r="BM24" s="57">
        <f>$BM23+$BK24</f>
        <v/>
      </c>
      <c r="BN24" s="57">
        <f>SUMIFS(tblFleet[Operating_h],tblFleet[Date],$A24,tblFleet[Equipment_Class],"Haul Truck")</f>
        <v/>
      </c>
      <c r="BO24" s="57">
        <f>IF($B24=$B23,$BO23,0)+$BN24</f>
        <v/>
      </c>
      <c r="BP24" s="57">
        <f>$BP23+$BN24</f>
        <v/>
      </c>
      <c r="BQ24" s="67">
        <f>IFERROR(IF(($BH24)&gt;0,($BK24)/($BH24),""),"")</f>
        <v/>
      </c>
      <c r="BR24" s="67">
        <f>IFERROR(IF(($BI24)&gt;0,($BL24)/($BI24),""),"")</f>
        <v/>
      </c>
      <c r="BS24" s="67">
        <f>IFERROR(IF(($BJ24)&gt;0,($BM24)/($BJ24),""),"")</f>
        <v/>
      </c>
      <c r="BT24" s="67">
        <f>IFERROR(IF(($BK24)&gt;0,($BN24)/($BK24),""),"")</f>
        <v/>
      </c>
      <c r="BU24" s="67">
        <f>IFERROR(IF(($BL24)&gt;0,($BO24)/($BL24),""),"")</f>
        <v/>
      </c>
      <c r="BV24" s="67">
        <f>IFERROR(IF(($BM24)&gt;0,($BP24)/($BM24),""),"")</f>
        <v/>
      </c>
      <c r="BW24" s="55">
        <f>SUMIFS(tblPlant[Crushed_t],tblPlant[Date],$A24)</f>
        <v/>
      </c>
      <c r="BX24" s="55">
        <f>IF($B24=$B23,$BX23,0)+$BW24</f>
        <v/>
      </c>
      <c r="BY24" s="55">
        <f>$BY23+$BW24</f>
        <v/>
      </c>
      <c r="BZ24" s="55">
        <f>SUMIFS(tblPlant[Milled_t],tblPlant[Date],$A24)</f>
        <v/>
      </c>
      <c r="CA24" s="55">
        <f>IF($B24=$B23,$CA23,0)+$BZ24</f>
        <v/>
      </c>
      <c r="CB24" s="55">
        <f>$CB23+$BZ24</f>
        <v/>
      </c>
      <c r="CC24" s="55">
        <f>SUMIFS(tblPlant[Feed_oz],tblPlant[Date],$A24)</f>
        <v/>
      </c>
      <c r="CD24" s="55">
        <f>IF($B24=$B23,$CD23,0)+$CC24</f>
        <v/>
      </c>
      <c r="CE24" s="55">
        <f>$CE23+$CC24</f>
        <v/>
      </c>
      <c r="CF24" s="55">
        <f>SUMIFS(tblPlant[Tails_oz],tblPlant[Date],$A24)</f>
        <v/>
      </c>
      <c r="CG24" s="55">
        <f>IF($B24=$B23,$CG23,0)+$CF24</f>
        <v/>
      </c>
      <c r="CH24" s="55">
        <f>$CH23+$CF24</f>
        <v/>
      </c>
      <c r="CI24" s="55">
        <f>SUMIFS(tblPlant[Recovered_oz],tblPlant[Date],$A24)</f>
        <v/>
      </c>
      <c r="CJ24" s="55">
        <f>IF($B24=$B23,$CJ23,0)+$CI24</f>
        <v/>
      </c>
      <c r="CK24" s="55">
        <f>$CK23+$CI24</f>
        <v/>
      </c>
      <c r="CL24" s="56">
        <f>IFERROR(IF(($BZ24)&gt;0,($CC24*cfg_TroyOz)/($BZ24),""),"")</f>
        <v/>
      </c>
      <c r="CM24" s="56">
        <f>IFERROR(IF(($CA24)&gt;0,($CD24*cfg_TroyOz)/($CA24),""),"")</f>
        <v/>
      </c>
      <c r="CN24" s="56">
        <f>IFERROR(IF(($CB24)&gt;0,($CE24*cfg_TroyOz)/($CB24),""),"")</f>
        <v/>
      </c>
      <c r="CO24" s="56">
        <f>IFERROR(IF(($BZ24)&gt;0,($CF24*cfg_TroyOz)/($BZ24),""),"")</f>
        <v/>
      </c>
      <c r="CP24" s="56">
        <f>IFERROR(IF(($CA24)&gt;0,($CG24*cfg_TroyOz)/($CA24),""),"")</f>
        <v/>
      </c>
      <c r="CQ24" s="56">
        <f>IFERROR(IF(($CB24)&gt;0,($CH24*cfg_TroyOz)/($CB24),""),"")</f>
        <v/>
      </c>
      <c r="CR24" s="67">
        <f>IFERROR(IF(($CC24)&gt;0,($CI24)/($CC24),""),"")</f>
        <v/>
      </c>
      <c r="CS24" s="67">
        <f>IFERROR(IF(($CD24)&gt;0,($CJ24)/($CD24),""),"")</f>
        <v/>
      </c>
      <c r="CT24" s="67">
        <f>IFERROR(IF(($CE24)&gt;0,($CK24)/($CE24),""),"")</f>
        <v/>
      </c>
      <c r="CU24" s="55">
        <f>SUMIFS(tblPlant[Gravity_Gold_oz],tblPlant[Date],$A24)</f>
        <v/>
      </c>
      <c r="CV24" s="55">
        <f>IF($B24=$B23,$CV23,0)+$CU24</f>
        <v/>
      </c>
      <c r="CW24" s="55">
        <f>$CW23+$CU24</f>
        <v/>
      </c>
      <c r="CX24" s="55">
        <f>SUMIFS(tblPlant[Gold_Poured_oz],tblPlant[Date],$A24)</f>
        <v/>
      </c>
      <c r="CY24" s="55">
        <f>IF($B24=$B23,$CY23,0)+$CX24</f>
        <v/>
      </c>
      <c r="CZ24" s="55">
        <f>$CZ23+$CX24</f>
        <v/>
      </c>
      <c r="DA24" s="57">
        <f>SUMIFS(tblPlant[Mill_Run_h],tblPlant[Date],$A24)</f>
        <v/>
      </c>
      <c r="DB24" s="57">
        <f>IF($B24=$B23,$DB23,0)+$DA24</f>
        <v/>
      </c>
      <c r="DC24" s="57">
        <f>$DC23+$DA24</f>
        <v/>
      </c>
      <c r="DD24" s="57">
        <f>SUMIFS(tblPlant[Mill_Planned_Maint_h],tblPlant[Date],$A24)</f>
        <v/>
      </c>
      <c r="DE24" s="57">
        <f>IF($B24=$B23,$DE23,0)+$DD24</f>
        <v/>
      </c>
      <c r="DF24" s="57">
        <f>$DF23+$DD24</f>
        <v/>
      </c>
      <c r="DG24" s="57">
        <f>SUMIFS(tblPlant[Mill_Unplanned_Down_h],tblPlant[Date],$A24)</f>
        <v/>
      </c>
      <c r="DH24" s="57">
        <f>IF($B24=$B23,$DH23,0)+$DG24</f>
        <v/>
      </c>
      <c r="DI24" s="57">
        <f>$DI23+$DG24</f>
        <v/>
      </c>
      <c r="DJ24" s="57">
        <f>COUNTIFS(tblPlant[Date],$A24,tblPlant[Mill_Run_h],"&lt;&gt;")*24</f>
        <v/>
      </c>
      <c r="DK24" s="57">
        <f>IF($B24=$B23,$DK23,0)+$DJ24</f>
        <v/>
      </c>
      <c r="DL24" s="57">
        <f>$DL23+$DJ24</f>
        <v/>
      </c>
      <c r="DM24" s="57">
        <f>SUMIFS(tblPlant[Crusher_Run_h],tblPlant[Date],$A24)</f>
        <v/>
      </c>
      <c r="DN24" s="57">
        <f>IF($B24=$B23,$DN23,0)+$DM24</f>
        <v/>
      </c>
      <c r="DO24" s="57">
        <f>$DO23+$DM24</f>
        <v/>
      </c>
      <c r="DP24" s="55">
        <f>IFERROR(IF(($DA24)&gt;0,($BZ24)/($DA24),""),"")</f>
        <v/>
      </c>
      <c r="DQ24" s="55">
        <f>IFERROR(IF(($DB24)&gt;0,($CA24)/($DB24),""),"")</f>
        <v/>
      </c>
      <c r="DR24" s="55">
        <f>IFERROR(IF(($DC24)&gt;0,($CB24)/($DC24),""),"")</f>
        <v/>
      </c>
      <c r="DS24" s="67">
        <f>IFERROR(IF(($DJ24)&gt;0,($DJ24-$DD24-$DG24)/($DJ24),""),"")</f>
        <v/>
      </c>
      <c r="DT24" s="67">
        <f>IFERROR(IF(($DK24)&gt;0,($DK24-$DE24-$DH24)/($DK24),""),"")</f>
        <v/>
      </c>
      <c r="DU24" s="67">
        <f>IFERROR(IF(($DL24)&gt;0,($DL24-$DF24-$DI24)/($DL24),""),"")</f>
        <v/>
      </c>
      <c r="DV24" s="67">
        <f>IFERROR(IF(($DJ24-$DD24-$DG24)&gt;0,($DA24)/($DJ24-$DD24-$DG24),""),"")</f>
        <v/>
      </c>
      <c r="DW24" s="67">
        <f>IFERROR(IF(($DK24-$DE24-$DH24)&gt;0,($DB24)/($DK24-$DE24-$DH24),""),"")</f>
        <v/>
      </c>
      <c r="DX24" s="67">
        <f>IFERROR(IF(($DL24-$DF24-$DI24)&gt;0,($DC24)/($DL24-$DF24-$DI24),""),"")</f>
        <v/>
      </c>
      <c r="DY24" s="55">
        <f>SUMIFS(tblPlant[Cyanide_kg],tblPlant[Date],$A24)</f>
        <v/>
      </c>
      <c r="DZ24" s="55">
        <f>IF($B24=$B23,$DZ23,0)+$DY24</f>
        <v/>
      </c>
      <c r="EA24" s="55">
        <f>$EA23+$DY24</f>
        <v/>
      </c>
      <c r="EB24" s="55">
        <f>SUMIFS(tblPlant[Lime_kg],tblPlant[Date],$A24)</f>
        <v/>
      </c>
      <c r="EC24" s="55">
        <f>IF($B24=$B23,$EC23,0)+$EB24</f>
        <v/>
      </c>
      <c r="ED24" s="55">
        <f>$ED23+$EB24</f>
        <v/>
      </c>
      <c r="EE24" s="55">
        <f>SUMIFS(tblPlant[Grinding_Media_kg],tblPlant[Date],$A24)</f>
        <v/>
      </c>
      <c r="EF24" s="55">
        <f>IF($B24=$B23,$EF23,0)+$EE24</f>
        <v/>
      </c>
      <c r="EG24" s="55">
        <f>$EG23+$EE24</f>
        <v/>
      </c>
      <c r="EH24" s="55">
        <f>SUMIFS(tblPlant[Power_kWh],tblPlant[Date],$A24)</f>
        <v/>
      </c>
      <c r="EI24" s="55">
        <f>IF($B24=$B23,$EI23,0)+$EH24</f>
        <v/>
      </c>
      <c r="EJ24" s="55">
        <f>$EJ23+$EH24</f>
        <v/>
      </c>
      <c r="EK24" s="55">
        <f>SUMIFS(tblPlant[Raw_Water_m3],tblPlant[Date],$A24)</f>
        <v/>
      </c>
      <c r="EL24" s="55">
        <f>IF($B24=$B23,$EL23,0)+$EK24</f>
        <v/>
      </c>
      <c r="EM24" s="55">
        <f>$EM23+$EK24</f>
        <v/>
      </c>
      <c r="EN24" s="56">
        <f>IFERROR(IF(($BZ24)&gt;0,($DY24)/($BZ24),""),"")</f>
        <v/>
      </c>
      <c r="EO24" s="56">
        <f>IFERROR(IF(($CA24)&gt;0,($DZ24)/($CA24),""),"")</f>
        <v/>
      </c>
      <c r="EP24" s="56">
        <f>IFERROR(IF(($CB24)&gt;0,($EA24)/($CB24),""),"")</f>
        <v/>
      </c>
      <c r="EQ24" s="56">
        <f>IFERROR(IF(($BZ24)&gt;0,($EB24)/($BZ24),""),"")</f>
        <v/>
      </c>
      <c r="ER24" s="56">
        <f>IFERROR(IF(($CA24)&gt;0,($EC24)/($CA24),""),"")</f>
        <v/>
      </c>
      <c r="ES24" s="56">
        <f>IFERROR(IF(($CB24)&gt;0,($ED24)/($CB24),""),"")</f>
        <v/>
      </c>
      <c r="ET24" s="56">
        <f>IFERROR(IF(($BZ24)&gt;0,($EE24)/($BZ24),""),"")</f>
        <v/>
      </c>
      <c r="EU24" s="56">
        <f>IFERROR(IF(($CA24)&gt;0,($EF24)/($CA24),""),"")</f>
        <v/>
      </c>
      <c r="EV24" s="56">
        <f>IFERROR(IF(($CB24)&gt;0,($EG24)/($CB24),""),"")</f>
        <v/>
      </c>
      <c r="EW24" s="76">
        <f>IFERROR(IF(($BZ24)&gt;0,($EH24)/($BZ24),""),"")</f>
        <v/>
      </c>
      <c r="EX24" s="76">
        <f>IFERROR(IF(($CA24)&gt;0,($EI24)/($CA24),""),"")</f>
        <v/>
      </c>
      <c r="EY24" s="76">
        <f>IFERROR(IF(($CB24)&gt;0,($EJ24)/($CB24),""),"")</f>
        <v/>
      </c>
      <c r="EZ24" s="56">
        <f>IFERROR(IF(($BZ24)&gt;0,($EK24)/($BZ24),""),"")</f>
        <v/>
      </c>
      <c r="FA24" s="56">
        <f>IFERROR(IF(($CA24)&gt;0,($EL24)/($CA24),""),"")</f>
        <v/>
      </c>
      <c r="FB24" s="56">
        <f>IFERROR(IF(($CB24)&gt;0,($EM24)/($CB24),""),"")</f>
        <v/>
      </c>
      <c r="FC24" s="55">
        <f>IF(SUMIFS(tblPlant[GIC_oz],tblPlant[Date],$A24)&gt;0,SUMIFS(tblPlant[GIC_oz],tblPlant[Date],$A24),"")</f>
        <v/>
      </c>
      <c r="FD24" s="55">
        <f>SUMIFS(tblGold[Gold_oz],tblGold[Date],$A24,tblGold[Type],"Shipment")</f>
        <v/>
      </c>
      <c r="FE24" s="55">
        <f>IF($B24=$B23,$FE23,0)+$FD24</f>
        <v/>
      </c>
      <c r="FF24" s="55">
        <f>$FF23+$FD24</f>
        <v/>
      </c>
      <c r="FG24" s="55">
        <f>SUMIFS(tblGold[Gold_oz],tblGold[Date],$A24,tblGold[Type],"Sale")</f>
        <v/>
      </c>
      <c r="FH24" s="55">
        <f>IF($B24=$B23,$FH23,0)+$FG24</f>
        <v/>
      </c>
      <c r="FI24" s="55">
        <f>$FI23+$FG24</f>
        <v/>
      </c>
      <c r="FJ24" s="55">
        <f>SUMIFS(tblGold[Dore_kg],tblGold[Date],$A24,tblGold[Type],"Shipment")</f>
        <v/>
      </c>
      <c r="FK24" s="55">
        <f>IF($B24=$B23,$FK23,0)+$FJ24</f>
        <v/>
      </c>
      <c r="FL24" s="55">
        <f>$FL23+$FJ24</f>
        <v/>
      </c>
      <c r="FM24" s="57">
        <f>SUMIFS(tblSafety[Hours_Total],tblSafety[Date],$A24)</f>
        <v/>
      </c>
      <c r="FN24" s="57">
        <f>IF($B24=$B23,$FN23,0)+$FM24</f>
        <v/>
      </c>
      <c r="FO24" s="57">
        <f>$FO23+$FM24</f>
        <v/>
      </c>
      <c r="FP24" s="62">
        <f>SUMIFS(tblSafety[Fatality],tblSafety[Date],$A24)</f>
        <v/>
      </c>
      <c r="FQ24" s="62">
        <f>IF($B24=$B23,$FQ23,0)+$FP24</f>
        <v/>
      </c>
      <c r="FR24" s="62">
        <f>$FR23+$FP24</f>
        <v/>
      </c>
      <c r="FS24" s="62">
        <f>SUMIFS(tblSafety[LTI],tblSafety[Date],$A24)</f>
        <v/>
      </c>
      <c r="FT24" s="62">
        <f>IF($B24=$B23,$FT23,0)+$FS24</f>
        <v/>
      </c>
      <c r="FU24" s="62">
        <f>$FU23+$FS24</f>
        <v/>
      </c>
      <c r="FV24" s="62">
        <f>SUMIFS(tblSafety[RWI],tblSafety[Date],$A24)</f>
        <v/>
      </c>
      <c r="FW24" s="62">
        <f>IF($B24=$B23,$FW23,0)+$FV24</f>
        <v/>
      </c>
      <c r="FX24" s="62">
        <f>$FX23+$FV24</f>
        <v/>
      </c>
      <c r="FY24" s="62">
        <f>SUMIFS(tblSafety[MTI],tblSafety[Date],$A24)</f>
        <v/>
      </c>
      <c r="FZ24" s="62">
        <f>IF($B24=$B23,$FZ23,0)+$FY24</f>
        <v/>
      </c>
      <c r="GA24" s="62">
        <f>$GA23+$FY24</f>
        <v/>
      </c>
      <c r="GB24" s="62">
        <f>SUMIFS(tblSafety[FAI],tblSafety[Date],$A24)</f>
        <v/>
      </c>
      <c r="GC24" s="62">
        <f>IF($B24=$B23,$GC23,0)+$GB24</f>
        <v/>
      </c>
      <c r="GD24" s="62">
        <f>$GD23+$GB24</f>
        <v/>
      </c>
      <c r="GE24" s="62">
        <f>SUMIFS(tblSafety[Recordables],tblSafety[Date],$A24)</f>
        <v/>
      </c>
      <c r="GF24" s="62">
        <f>IF($B24=$B23,$GF23,0)+$GE24</f>
        <v/>
      </c>
      <c r="GG24" s="62">
        <f>$GG23+$GE24</f>
        <v/>
      </c>
      <c r="GH24" s="62">
        <f>SUMIFS(tblSafety[Near_Miss],tblSafety[Date],$A24)</f>
        <v/>
      </c>
      <c r="GI24" s="62">
        <f>IF($B24=$B23,$GI23,0)+$GH24</f>
        <v/>
      </c>
      <c r="GJ24" s="62">
        <f>$GJ23+$GH24</f>
        <v/>
      </c>
      <c r="GK24" s="62">
        <f>SUMIFS(tblSafety[Hazard_Reports],tblSafety[Date],$A24)</f>
        <v/>
      </c>
      <c r="GL24" s="62">
        <f>IF($B24=$B23,$GL23,0)+$GK24</f>
        <v/>
      </c>
      <c r="GM24" s="62">
        <f>$GM23+$GK24</f>
        <v/>
      </c>
      <c r="GN24" s="62">
        <f>SUMIFS(tblSafety[HPI],tblSafety[Date],$A24)</f>
        <v/>
      </c>
      <c r="GO24" s="62">
        <f>IF($B24=$B23,$GO23,0)+$GN24</f>
        <v/>
      </c>
      <c r="GP24" s="62">
        <f>$GP23+$GN24</f>
        <v/>
      </c>
      <c r="GQ24" s="62">
        <f>SUMIFS(tblSafety[Env_Incidents],tblSafety[Date],$A24)</f>
        <v/>
      </c>
      <c r="GR24" s="62">
        <f>IF($B24=$B23,$GR23,0)+$GQ24</f>
        <v/>
      </c>
      <c r="GS24" s="62">
        <f>$GS23+$GQ24</f>
        <v/>
      </c>
      <c r="GT24" s="62">
        <f>SUMIFS(tblSafety[Community_Incidents],tblSafety[Date],$A24)</f>
        <v/>
      </c>
      <c r="GU24" s="62">
        <f>IF($B24=$B23,$GU23,0)+$GT24</f>
        <v/>
      </c>
      <c r="GV24" s="62">
        <f>$GV23+$GT24</f>
        <v/>
      </c>
      <c r="GW24" s="62">
        <f>SUMIFS(tblSafety[Vehicle_Incidents],tblSafety[Date],$A24)</f>
        <v/>
      </c>
      <c r="GX24" s="62">
        <f>IF($B24=$B23,$GX23,0)+$GW24</f>
        <v/>
      </c>
      <c r="GY24" s="62">
        <f>$GY23+$GW24</f>
        <v/>
      </c>
      <c r="GZ24" s="62">
        <f>SUMIFS(tblSafety[Toolbox_Talks],tblSafety[Date],$A24)</f>
        <v/>
      </c>
      <c r="HA24" s="62">
        <f>IF($B24=$B23,$HA23,0)+$GZ24</f>
        <v/>
      </c>
      <c r="HB24" s="62">
        <f>$HB23+$GZ24</f>
        <v/>
      </c>
      <c r="HC24" s="62">
        <f>SUMIFS(tblSafety[Inspections],tblSafety[Date],$A24)</f>
        <v/>
      </c>
      <c r="HD24" s="62">
        <f>IF($B24=$B23,$HD23,0)+$HC24</f>
        <v/>
      </c>
      <c r="HE24" s="62">
        <f>$HE23+$HC24</f>
        <v/>
      </c>
      <c r="HF24" s="56">
        <f>IFERROR((SUMIFS(tblSafety[Recordables],tblSafety[Date],"&gt;="&amp;EDATE($E24,-12),tblSafety[Date],"&lt;="&amp;$A24)+SUMIFS(tblSafetyHistory[Recordables],tblSafetyHistory[Month],"&gt;="&amp;EDATE($E24,-12),tblSafetyHistory[Month],"&lt;"&amp;cfg_YearStart))/(SUMIFS(tblSafety[Hours_Total],tblSafety[Date],"&gt;="&amp;EDATE($E24,-12),tblSafety[Date],"&lt;="&amp;$A24)+SUMIFS(tblSafetyHistory[Hours_Total],tblSafetyHistory[Month],"&gt;="&amp;EDATE($E24,-12),tblSafetyHistory[Month],"&lt;"&amp;cfg_YearStart))*1000000,"")</f>
        <v/>
      </c>
      <c r="HG24" s="56">
        <f>IFERROR((SUMIFS(tblSafety[LTI],tblSafety[Date],"&gt;="&amp;EDATE($E24,-12),tblSafety[Date],"&lt;="&amp;$A24)+SUMIFS(tblSafetyHistory[LTI],tblSafetyHistory[Month],"&gt;="&amp;EDATE($E24,-12),tblSafetyHistory[Month],"&lt;"&amp;cfg_YearStart))/(SUMIFS(tblSafety[Hours_Total],tblSafety[Date],"&gt;="&amp;EDATE($E24,-12),tblSafety[Date],"&lt;="&amp;$A24)+SUMIFS(tblSafetyHistory[Hours_Total],tblSafetyHistory[Month],"&gt;="&amp;EDATE($E24,-12),tblSafetyHistory[Month],"&lt;"&amp;cfg_YearStart))*1000000,"")</f>
        <v/>
      </c>
      <c r="HH24" s="62">
        <f>IF(MAX(N(cfg_PriorLTIDate),_xlfn.MAXIFS(tblSafety[Date],tblSafety[LTI],"&gt;0",tblSafety[Date],"&lt;="&amp;$A24))=0,"",$A24-MAX(N(cfg_PriorLTIDate),_xlfn.MAXIFS(tblSafety[Date],tblSafety[LTI],"&gt;0",tblSafety[Date],"&lt;="&amp;$A24)))</f>
        <v/>
      </c>
      <c r="HI24" s="55">
        <f>SUMIFS(tblBudget[Ore_Mined_t],tblBudget[Month],$E24)</f>
        <v/>
      </c>
      <c r="HJ24" s="55">
        <f>$HI24*$C24/$D24</f>
        <v/>
      </c>
      <c r="HK24" s="55">
        <f>SUMIFS(tblBudget[Ore_Mined_t],tblBudget[Month],"&lt;"&amp;$E24)+$HJ24</f>
        <v/>
      </c>
      <c r="HL24" s="55">
        <f>SUMIFS(tblBudget[Ore_oz],tblBudget[Month],$E24)</f>
        <v/>
      </c>
      <c r="HM24" s="55">
        <f>$HL24*$C24/$D24</f>
        <v/>
      </c>
      <c r="HN24" s="55">
        <f>SUMIFS(tblBudget[Ore_oz],tblBudget[Month],"&lt;"&amp;$E24)+$HM24</f>
        <v/>
      </c>
      <c r="HO24" s="56">
        <f>IFERROR(IF(($HI24)&gt;0,($HL24*cfg_TroyOz)/($HI24),""),"")</f>
        <v/>
      </c>
      <c r="HP24" s="56">
        <f>IFERROR(IF(($HJ24)&gt;0,($HM24*cfg_TroyOz)/($HJ24),""),"")</f>
        <v/>
      </c>
      <c r="HQ24" s="56">
        <f>IFERROR(IF(($HK24)&gt;0,($HN24*cfg_TroyOz)/($HK24),""),"")</f>
        <v/>
      </c>
      <c r="HR24" s="55">
        <f>SUMIFS(tblBudget[Waste_t],tblBudget[Month],$E24)</f>
        <v/>
      </c>
      <c r="HS24" s="55">
        <f>$HR24*$C24/$D24</f>
        <v/>
      </c>
      <c r="HT24" s="55">
        <f>SUMIFS(tblBudget[Waste_t],tblBudget[Month],"&lt;"&amp;$E24)+$HS24</f>
        <v/>
      </c>
      <c r="HU24" s="55">
        <f>SUMIFS(tblBudget[TMM_t],tblBudget[Month],$E24)</f>
        <v/>
      </c>
      <c r="HV24" s="55">
        <f>$HU24*$C24/$D24</f>
        <v/>
      </c>
      <c r="HW24" s="55">
        <f>SUMIFS(tblBudget[TMM_t],tblBudget[Month],"&lt;"&amp;$E24)+$HV24</f>
        <v/>
      </c>
      <c r="HX24" s="56">
        <f>IFERROR(IF(($HI24)&gt;0,($HR24)/($HI24),""),"")</f>
        <v/>
      </c>
      <c r="HY24" s="56">
        <f>IFERROR(IF(($HJ24)&gt;0,($HS24)/($HJ24),""),"")</f>
        <v/>
      </c>
      <c r="HZ24" s="56">
        <f>IFERROR(IF(($HK24)&gt;0,($HT24)/($HK24),""),"")</f>
        <v/>
      </c>
      <c r="IA24" s="55">
        <f>SUMIFS(tblBudget[Drill_m],tblBudget[Month],$E24)</f>
        <v/>
      </c>
      <c r="IB24" s="55">
        <f>$IA24*$C24/$D24</f>
        <v/>
      </c>
      <c r="IC24" s="55">
        <f>SUMIFS(tblBudget[Drill_m],tblBudget[Month],"&lt;"&amp;$E24)+$IB24</f>
        <v/>
      </c>
      <c r="ID24" s="55">
        <f>SUMIFS(tblBudget[Diesel_L],tblBudget[Month],$E24)</f>
        <v/>
      </c>
      <c r="IE24" s="55">
        <f>$ID24*$C24/$D24</f>
        <v/>
      </c>
      <c r="IF24" s="55">
        <f>SUMIFS(tblBudget[Diesel_L],tblBudget[Month],"&lt;"&amp;$E24)+$IE24</f>
        <v/>
      </c>
      <c r="IG24" s="55">
        <f>SUMIFS(tblBudget[Milled_t],tblBudget[Month],$E24)</f>
        <v/>
      </c>
      <c r="IH24" s="55">
        <f>$IG24*$C24/$D24</f>
        <v/>
      </c>
      <c r="II24" s="55">
        <f>SUMIFS(tblBudget[Milled_t],tblBudget[Month],"&lt;"&amp;$E24)+$IH24</f>
        <v/>
      </c>
      <c r="IJ24" s="55">
        <f>SUMIFS(tblBudget[Feed_oz],tblBudget[Month],$E24)</f>
        <v/>
      </c>
      <c r="IK24" s="55">
        <f>$IJ24*$C24/$D24</f>
        <v/>
      </c>
      <c r="IL24" s="55">
        <f>SUMIFS(tblBudget[Feed_oz],tblBudget[Month],"&lt;"&amp;$E24)+$IK24</f>
        <v/>
      </c>
      <c r="IM24" s="55">
        <f>SUMIFS(tblBudget[Recovered_oz],tblBudget[Month],$E24)</f>
        <v/>
      </c>
      <c r="IN24" s="55">
        <f>$IM24*$C24/$D24</f>
        <v/>
      </c>
      <c r="IO24" s="55">
        <f>SUMIFS(tblBudget[Recovered_oz],tblBudget[Month],"&lt;"&amp;$E24)+$IN24</f>
        <v/>
      </c>
      <c r="IP24" s="56">
        <f>IFERROR(IF(($IG24)&gt;0,($IJ24*cfg_TroyOz)/($IG24),""),"")</f>
        <v/>
      </c>
      <c r="IQ24" s="56">
        <f>IFERROR(IF(($IH24)&gt;0,($IK24*cfg_TroyOz)/($IH24),""),"")</f>
        <v/>
      </c>
      <c r="IR24" s="56">
        <f>IFERROR(IF(($II24)&gt;0,($IL24*cfg_TroyOz)/($II24),""),"")</f>
        <v/>
      </c>
      <c r="IS24" s="67">
        <f>IFERROR(IF(($IJ24)&gt;0,($IM24)/($IJ24),""),"")</f>
        <v/>
      </c>
      <c r="IT24" s="67">
        <f>IFERROR(IF(($IK24)&gt;0,($IN24)/($IK24),""),"")</f>
        <v/>
      </c>
      <c r="IU24" s="67">
        <f>IFERROR(IF(($IL24)&gt;0,($IO24)/($IL24),""),"")</f>
        <v/>
      </c>
      <c r="IV24" s="55">
        <f>SUMIFS(tblBudget[Gold_Poured_oz],tblBudget[Month],$E24)</f>
        <v/>
      </c>
      <c r="IW24" s="55">
        <f>$IV24*$C24/$D24</f>
        <v/>
      </c>
      <c r="IX24" s="55">
        <f>SUMIFS(tblBudget[Gold_Poured_oz],tblBudget[Month],"&lt;"&amp;$E24)+$IW24</f>
        <v/>
      </c>
      <c r="IY24" s="57">
        <f>SUMIFS(tblBudget[Hours_Worked],tblBudget[Month],$E24)</f>
        <v/>
      </c>
      <c r="IZ24" s="57">
        <f>$IY24*$C24/$D24</f>
        <v/>
      </c>
      <c r="JA24" s="57">
        <f>SUMIFS(tblBudget[Hours_Worked],tblBudget[Month],"&lt;"&amp;$E24)+$IZ24</f>
        <v/>
      </c>
    </row>
    <row r="25">
      <c r="A25" s="54" t="n">
        <v>46046</v>
      </c>
      <c r="B25">
        <f>MONTH($A25)</f>
        <v/>
      </c>
      <c r="C25">
        <f>DAY($A25)</f>
        <v/>
      </c>
      <c r="D25">
        <f>DAY(EOMONTH($A25,0))</f>
        <v/>
      </c>
      <c r="E25" s="54">
        <f>DATE(YEAR($A25),MONTH($A25),1)</f>
        <v/>
      </c>
      <c r="F25" s="55">
        <f>SUMIFS(tblMovement[Tonnes_t],tblMovement[Date],$A25,tblMovement[Is_Ore],1,tblMovement[Source_Type],"Pit")</f>
        <v/>
      </c>
      <c r="G25" s="55">
        <f>IF($B25=$B24,$G24,0)+$F25</f>
        <v/>
      </c>
      <c r="H25" s="55">
        <f>$H24+$F25</f>
        <v/>
      </c>
      <c r="I25" s="55">
        <f>SUMIFS(tblMovement[Ore_oz],tblMovement[Date],$A25,tblMovement[Source_Type],"Pit")</f>
        <v/>
      </c>
      <c r="J25" s="55">
        <f>IF($B25=$B24,$J24,0)+$I25</f>
        <v/>
      </c>
      <c r="K25" s="55">
        <f>$K24+$I25</f>
        <v/>
      </c>
      <c r="L25" s="56">
        <f>IFERROR(IF(($F25)&gt;0,($I25*cfg_TroyOz)/($F25),""),"")</f>
        <v/>
      </c>
      <c r="M25" s="56">
        <f>IFERROR(IF(($G25)&gt;0,($J25*cfg_TroyOz)/($G25),""),"")</f>
        <v/>
      </c>
      <c r="N25" s="56">
        <f>IFERROR(IF(($H25)&gt;0,($K25*cfg_TroyOz)/($H25),""),"")</f>
        <v/>
      </c>
      <c r="O25" s="55">
        <f>SUMIFS(tblMovement[Tonnes_t],tblMovement[Date],$A25,tblMovement[Is_Ore],0,tblMovement[Source_Type],"Pit")</f>
        <v/>
      </c>
      <c r="P25" s="55">
        <f>IF($B25=$B24,$P24,0)+$O25</f>
        <v/>
      </c>
      <c r="Q25" s="55">
        <f>$Q24+$O25</f>
        <v/>
      </c>
      <c r="R25" s="55">
        <f>$F25+$O25</f>
        <v/>
      </c>
      <c r="S25" s="55">
        <f>IF($B25=$B24,$S24,0)+$R25</f>
        <v/>
      </c>
      <c r="T25" s="55">
        <f>$T24+$R25</f>
        <v/>
      </c>
      <c r="U25" s="56">
        <f>IFERROR(IF(($F25)&gt;0,($O25)/($F25),""),"")</f>
        <v/>
      </c>
      <c r="V25" s="56">
        <f>IFERROR(IF(($G25)&gt;0,($P25)/($G25),""),"")</f>
        <v/>
      </c>
      <c r="W25" s="56">
        <f>IFERROR(IF(($H25)&gt;0,($Q25)/($H25),""),"")</f>
        <v/>
      </c>
      <c r="X25" s="55">
        <f>SUMIFS(tblMovement[Tonnes_t],tblMovement[Date],$A25,tblMovement[Source_Type],"Stockpile")</f>
        <v/>
      </c>
      <c r="Y25" s="55">
        <f>IF($B25=$B24,$Y24,0)+$X25</f>
        <v/>
      </c>
      <c r="Z25" s="55">
        <f>$Z24+$X25</f>
        <v/>
      </c>
      <c r="AA25" s="55">
        <f>SUMIFS(tblMiningDaily[Drill_m],tblMiningDaily[Date],$A25)</f>
        <v/>
      </c>
      <c r="AB25" s="55">
        <f>IF($B25=$B24,$AB24,0)+$AA25</f>
        <v/>
      </c>
      <c r="AC25" s="55">
        <f>$AC24+$AA25</f>
        <v/>
      </c>
      <c r="AD25" s="55">
        <f>SUMIFS(tblMiningDaily[Blast_t],tblMiningDaily[Date],$A25)</f>
        <v/>
      </c>
      <c r="AE25" s="55">
        <f>IF($B25=$B24,$AE24,0)+$AD25</f>
        <v/>
      </c>
      <c r="AF25" s="55">
        <f>$AF24+$AD25</f>
        <v/>
      </c>
      <c r="AG25" s="55">
        <f>SUMIFS(tblMiningDaily[Explosives_kg],tblMiningDaily[Date],$A25)</f>
        <v/>
      </c>
      <c r="AH25" s="55">
        <f>IF($B25=$B24,$AH24,0)+$AG25</f>
        <v/>
      </c>
      <c r="AI25" s="55">
        <f>$AI24+$AG25</f>
        <v/>
      </c>
      <c r="AJ25" s="56">
        <f>IFERROR(IF(($AD25)&gt;0,($AG25)/($AD25),""),"")</f>
        <v/>
      </c>
      <c r="AK25" s="56">
        <f>IFERROR(IF(($AE25)&gt;0,($AH25)/($AE25),""),"")</f>
        <v/>
      </c>
      <c r="AL25" s="56">
        <f>IFERROR(IF(($AF25)&gt;0,($AI25)/($AF25),""),"")</f>
        <v/>
      </c>
      <c r="AM25" s="55">
        <f>SUMIFS(tblMiningDaily[Diesel_L],tblMiningDaily[Date],$A25)</f>
        <v/>
      </c>
      <c r="AN25" s="55">
        <f>IF($B25=$B24,$AN24,0)+$AM25</f>
        <v/>
      </c>
      <c r="AO25" s="55">
        <f>$AO24+$AM25</f>
        <v/>
      </c>
      <c r="AP25" s="55">
        <f>SUMIFS(tblMiningDaily[Dewatering_m3],tblMiningDaily[Date],$A25)</f>
        <v/>
      </c>
      <c r="AQ25" s="55">
        <f>IF($B25=$B24,$AQ24,0)+$AP25</f>
        <v/>
      </c>
      <c r="AR25" s="55">
        <f>$AR24+$AP25</f>
        <v/>
      </c>
      <c r="AS25" s="57">
        <f>SUMIFS(tblFleet[Calendar_h],tblFleet[Date],$A25,tblFleet[Equipment_Class],"Excavator")</f>
        <v/>
      </c>
      <c r="AT25" s="57">
        <f>IF($B25=$B24,$AT24,0)+$AS25</f>
        <v/>
      </c>
      <c r="AU25" s="57">
        <f>$AU24+$AS25</f>
        <v/>
      </c>
      <c r="AV25" s="57">
        <f>SUMIFS(tblFleet[Available_h],tblFleet[Date],$A25,tblFleet[Equipment_Class],"Excavator")</f>
        <v/>
      </c>
      <c r="AW25" s="57">
        <f>IF($B25=$B24,$AW24,0)+$AV25</f>
        <v/>
      </c>
      <c r="AX25" s="57">
        <f>$AX24+$AV25</f>
        <v/>
      </c>
      <c r="AY25" s="57">
        <f>SUMIFS(tblFleet[Operating_h],tblFleet[Date],$A25,tblFleet[Equipment_Class],"Excavator")</f>
        <v/>
      </c>
      <c r="AZ25" s="57">
        <f>IF($B25=$B24,$AZ24,0)+$AY25</f>
        <v/>
      </c>
      <c r="BA25" s="57">
        <f>$BA24+$AY25</f>
        <v/>
      </c>
      <c r="BB25" s="67">
        <f>IFERROR(IF(($AS25)&gt;0,($AV25)/($AS25),""),"")</f>
        <v/>
      </c>
      <c r="BC25" s="67">
        <f>IFERROR(IF(($AT25)&gt;0,($AW25)/($AT25),""),"")</f>
        <v/>
      </c>
      <c r="BD25" s="67">
        <f>IFERROR(IF(($AU25)&gt;0,($AX25)/($AU25),""),"")</f>
        <v/>
      </c>
      <c r="BE25" s="67">
        <f>IFERROR(IF(($AV25)&gt;0,($AY25)/($AV25),""),"")</f>
        <v/>
      </c>
      <c r="BF25" s="67">
        <f>IFERROR(IF(($AW25)&gt;0,($AZ25)/($AW25),""),"")</f>
        <v/>
      </c>
      <c r="BG25" s="67">
        <f>IFERROR(IF(($AX25)&gt;0,($BA25)/($AX25),""),"")</f>
        <v/>
      </c>
      <c r="BH25" s="57">
        <f>SUMIFS(tblFleet[Calendar_h],tblFleet[Date],$A25,tblFleet[Equipment_Class],"Haul Truck")</f>
        <v/>
      </c>
      <c r="BI25" s="57">
        <f>IF($B25=$B24,$BI24,0)+$BH25</f>
        <v/>
      </c>
      <c r="BJ25" s="57">
        <f>$BJ24+$BH25</f>
        <v/>
      </c>
      <c r="BK25" s="57">
        <f>SUMIFS(tblFleet[Available_h],tblFleet[Date],$A25,tblFleet[Equipment_Class],"Haul Truck")</f>
        <v/>
      </c>
      <c r="BL25" s="57">
        <f>IF($B25=$B24,$BL24,0)+$BK25</f>
        <v/>
      </c>
      <c r="BM25" s="57">
        <f>$BM24+$BK25</f>
        <v/>
      </c>
      <c r="BN25" s="57">
        <f>SUMIFS(tblFleet[Operating_h],tblFleet[Date],$A25,tblFleet[Equipment_Class],"Haul Truck")</f>
        <v/>
      </c>
      <c r="BO25" s="57">
        <f>IF($B25=$B24,$BO24,0)+$BN25</f>
        <v/>
      </c>
      <c r="BP25" s="57">
        <f>$BP24+$BN25</f>
        <v/>
      </c>
      <c r="BQ25" s="67">
        <f>IFERROR(IF(($BH25)&gt;0,($BK25)/($BH25),""),"")</f>
        <v/>
      </c>
      <c r="BR25" s="67">
        <f>IFERROR(IF(($BI25)&gt;0,($BL25)/($BI25),""),"")</f>
        <v/>
      </c>
      <c r="BS25" s="67">
        <f>IFERROR(IF(($BJ25)&gt;0,($BM25)/($BJ25),""),"")</f>
        <v/>
      </c>
      <c r="BT25" s="67">
        <f>IFERROR(IF(($BK25)&gt;0,($BN25)/($BK25),""),"")</f>
        <v/>
      </c>
      <c r="BU25" s="67">
        <f>IFERROR(IF(($BL25)&gt;0,($BO25)/($BL25),""),"")</f>
        <v/>
      </c>
      <c r="BV25" s="67">
        <f>IFERROR(IF(($BM25)&gt;0,($BP25)/($BM25),""),"")</f>
        <v/>
      </c>
      <c r="BW25" s="55">
        <f>SUMIFS(tblPlant[Crushed_t],tblPlant[Date],$A25)</f>
        <v/>
      </c>
      <c r="BX25" s="55">
        <f>IF($B25=$B24,$BX24,0)+$BW25</f>
        <v/>
      </c>
      <c r="BY25" s="55">
        <f>$BY24+$BW25</f>
        <v/>
      </c>
      <c r="BZ25" s="55">
        <f>SUMIFS(tblPlant[Milled_t],tblPlant[Date],$A25)</f>
        <v/>
      </c>
      <c r="CA25" s="55">
        <f>IF($B25=$B24,$CA24,0)+$BZ25</f>
        <v/>
      </c>
      <c r="CB25" s="55">
        <f>$CB24+$BZ25</f>
        <v/>
      </c>
      <c r="CC25" s="55">
        <f>SUMIFS(tblPlant[Feed_oz],tblPlant[Date],$A25)</f>
        <v/>
      </c>
      <c r="CD25" s="55">
        <f>IF($B25=$B24,$CD24,0)+$CC25</f>
        <v/>
      </c>
      <c r="CE25" s="55">
        <f>$CE24+$CC25</f>
        <v/>
      </c>
      <c r="CF25" s="55">
        <f>SUMIFS(tblPlant[Tails_oz],tblPlant[Date],$A25)</f>
        <v/>
      </c>
      <c r="CG25" s="55">
        <f>IF($B25=$B24,$CG24,0)+$CF25</f>
        <v/>
      </c>
      <c r="CH25" s="55">
        <f>$CH24+$CF25</f>
        <v/>
      </c>
      <c r="CI25" s="55">
        <f>SUMIFS(tblPlant[Recovered_oz],tblPlant[Date],$A25)</f>
        <v/>
      </c>
      <c r="CJ25" s="55">
        <f>IF($B25=$B24,$CJ24,0)+$CI25</f>
        <v/>
      </c>
      <c r="CK25" s="55">
        <f>$CK24+$CI25</f>
        <v/>
      </c>
      <c r="CL25" s="56">
        <f>IFERROR(IF(($BZ25)&gt;0,($CC25*cfg_TroyOz)/($BZ25),""),"")</f>
        <v/>
      </c>
      <c r="CM25" s="56">
        <f>IFERROR(IF(($CA25)&gt;0,($CD25*cfg_TroyOz)/($CA25),""),"")</f>
        <v/>
      </c>
      <c r="CN25" s="56">
        <f>IFERROR(IF(($CB25)&gt;0,($CE25*cfg_TroyOz)/($CB25),""),"")</f>
        <v/>
      </c>
      <c r="CO25" s="56">
        <f>IFERROR(IF(($BZ25)&gt;0,($CF25*cfg_TroyOz)/($BZ25),""),"")</f>
        <v/>
      </c>
      <c r="CP25" s="56">
        <f>IFERROR(IF(($CA25)&gt;0,($CG25*cfg_TroyOz)/($CA25),""),"")</f>
        <v/>
      </c>
      <c r="CQ25" s="56">
        <f>IFERROR(IF(($CB25)&gt;0,($CH25*cfg_TroyOz)/($CB25),""),"")</f>
        <v/>
      </c>
      <c r="CR25" s="67">
        <f>IFERROR(IF(($CC25)&gt;0,($CI25)/($CC25),""),"")</f>
        <v/>
      </c>
      <c r="CS25" s="67">
        <f>IFERROR(IF(($CD25)&gt;0,($CJ25)/($CD25),""),"")</f>
        <v/>
      </c>
      <c r="CT25" s="67">
        <f>IFERROR(IF(($CE25)&gt;0,($CK25)/($CE25),""),"")</f>
        <v/>
      </c>
      <c r="CU25" s="55">
        <f>SUMIFS(tblPlant[Gravity_Gold_oz],tblPlant[Date],$A25)</f>
        <v/>
      </c>
      <c r="CV25" s="55">
        <f>IF($B25=$B24,$CV24,0)+$CU25</f>
        <v/>
      </c>
      <c r="CW25" s="55">
        <f>$CW24+$CU25</f>
        <v/>
      </c>
      <c r="CX25" s="55">
        <f>SUMIFS(tblPlant[Gold_Poured_oz],tblPlant[Date],$A25)</f>
        <v/>
      </c>
      <c r="CY25" s="55">
        <f>IF($B25=$B24,$CY24,0)+$CX25</f>
        <v/>
      </c>
      <c r="CZ25" s="55">
        <f>$CZ24+$CX25</f>
        <v/>
      </c>
      <c r="DA25" s="57">
        <f>SUMIFS(tblPlant[Mill_Run_h],tblPlant[Date],$A25)</f>
        <v/>
      </c>
      <c r="DB25" s="57">
        <f>IF($B25=$B24,$DB24,0)+$DA25</f>
        <v/>
      </c>
      <c r="DC25" s="57">
        <f>$DC24+$DA25</f>
        <v/>
      </c>
      <c r="DD25" s="57">
        <f>SUMIFS(tblPlant[Mill_Planned_Maint_h],tblPlant[Date],$A25)</f>
        <v/>
      </c>
      <c r="DE25" s="57">
        <f>IF($B25=$B24,$DE24,0)+$DD25</f>
        <v/>
      </c>
      <c r="DF25" s="57">
        <f>$DF24+$DD25</f>
        <v/>
      </c>
      <c r="DG25" s="57">
        <f>SUMIFS(tblPlant[Mill_Unplanned_Down_h],tblPlant[Date],$A25)</f>
        <v/>
      </c>
      <c r="DH25" s="57">
        <f>IF($B25=$B24,$DH24,0)+$DG25</f>
        <v/>
      </c>
      <c r="DI25" s="57">
        <f>$DI24+$DG25</f>
        <v/>
      </c>
      <c r="DJ25" s="57">
        <f>COUNTIFS(tblPlant[Date],$A25,tblPlant[Mill_Run_h],"&lt;&gt;")*24</f>
        <v/>
      </c>
      <c r="DK25" s="57">
        <f>IF($B25=$B24,$DK24,0)+$DJ25</f>
        <v/>
      </c>
      <c r="DL25" s="57">
        <f>$DL24+$DJ25</f>
        <v/>
      </c>
      <c r="DM25" s="57">
        <f>SUMIFS(tblPlant[Crusher_Run_h],tblPlant[Date],$A25)</f>
        <v/>
      </c>
      <c r="DN25" s="57">
        <f>IF($B25=$B24,$DN24,0)+$DM25</f>
        <v/>
      </c>
      <c r="DO25" s="57">
        <f>$DO24+$DM25</f>
        <v/>
      </c>
      <c r="DP25" s="55">
        <f>IFERROR(IF(($DA25)&gt;0,($BZ25)/($DA25),""),"")</f>
        <v/>
      </c>
      <c r="DQ25" s="55">
        <f>IFERROR(IF(($DB25)&gt;0,($CA25)/($DB25),""),"")</f>
        <v/>
      </c>
      <c r="DR25" s="55">
        <f>IFERROR(IF(($DC25)&gt;0,($CB25)/($DC25),""),"")</f>
        <v/>
      </c>
      <c r="DS25" s="67">
        <f>IFERROR(IF(($DJ25)&gt;0,($DJ25-$DD25-$DG25)/($DJ25),""),"")</f>
        <v/>
      </c>
      <c r="DT25" s="67">
        <f>IFERROR(IF(($DK25)&gt;0,($DK25-$DE25-$DH25)/($DK25),""),"")</f>
        <v/>
      </c>
      <c r="DU25" s="67">
        <f>IFERROR(IF(($DL25)&gt;0,($DL25-$DF25-$DI25)/($DL25),""),"")</f>
        <v/>
      </c>
      <c r="DV25" s="67">
        <f>IFERROR(IF(($DJ25-$DD25-$DG25)&gt;0,($DA25)/($DJ25-$DD25-$DG25),""),"")</f>
        <v/>
      </c>
      <c r="DW25" s="67">
        <f>IFERROR(IF(($DK25-$DE25-$DH25)&gt;0,($DB25)/($DK25-$DE25-$DH25),""),"")</f>
        <v/>
      </c>
      <c r="DX25" s="67">
        <f>IFERROR(IF(($DL25-$DF25-$DI25)&gt;0,($DC25)/($DL25-$DF25-$DI25),""),"")</f>
        <v/>
      </c>
      <c r="DY25" s="55">
        <f>SUMIFS(tblPlant[Cyanide_kg],tblPlant[Date],$A25)</f>
        <v/>
      </c>
      <c r="DZ25" s="55">
        <f>IF($B25=$B24,$DZ24,0)+$DY25</f>
        <v/>
      </c>
      <c r="EA25" s="55">
        <f>$EA24+$DY25</f>
        <v/>
      </c>
      <c r="EB25" s="55">
        <f>SUMIFS(tblPlant[Lime_kg],tblPlant[Date],$A25)</f>
        <v/>
      </c>
      <c r="EC25" s="55">
        <f>IF($B25=$B24,$EC24,0)+$EB25</f>
        <v/>
      </c>
      <c r="ED25" s="55">
        <f>$ED24+$EB25</f>
        <v/>
      </c>
      <c r="EE25" s="55">
        <f>SUMIFS(tblPlant[Grinding_Media_kg],tblPlant[Date],$A25)</f>
        <v/>
      </c>
      <c r="EF25" s="55">
        <f>IF($B25=$B24,$EF24,0)+$EE25</f>
        <v/>
      </c>
      <c r="EG25" s="55">
        <f>$EG24+$EE25</f>
        <v/>
      </c>
      <c r="EH25" s="55">
        <f>SUMIFS(tblPlant[Power_kWh],tblPlant[Date],$A25)</f>
        <v/>
      </c>
      <c r="EI25" s="55">
        <f>IF($B25=$B24,$EI24,0)+$EH25</f>
        <v/>
      </c>
      <c r="EJ25" s="55">
        <f>$EJ24+$EH25</f>
        <v/>
      </c>
      <c r="EK25" s="55">
        <f>SUMIFS(tblPlant[Raw_Water_m3],tblPlant[Date],$A25)</f>
        <v/>
      </c>
      <c r="EL25" s="55">
        <f>IF($B25=$B24,$EL24,0)+$EK25</f>
        <v/>
      </c>
      <c r="EM25" s="55">
        <f>$EM24+$EK25</f>
        <v/>
      </c>
      <c r="EN25" s="56">
        <f>IFERROR(IF(($BZ25)&gt;0,($DY25)/($BZ25),""),"")</f>
        <v/>
      </c>
      <c r="EO25" s="56">
        <f>IFERROR(IF(($CA25)&gt;0,($DZ25)/($CA25),""),"")</f>
        <v/>
      </c>
      <c r="EP25" s="56">
        <f>IFERROR(IF(($CB25)&gt;0,($EA25)/($CB25),""),"")</f>
        <v/>
      </c>
      <c r="EQ25" s="56">
        <f>IFERROR(IF(($BZ25)&gt;0,($EB25)/($BZ25),""),"")</f>
        <v/>
      </c>
      <c r="ER25" s="56">
        <f>IFERROR(IF(($CA25)&gt;0,($EC25)/($CA25),""),"")</f>
        <v/>
      </c>
      <c r="ES25" s="56">
        <f>IFERROR(IF(($CB25)&gt;0,($ED25)/($CB25),""),"")</f>
        <v/>
      </c>
      <c r="ET25" s="56">
        <f>IFERROR(IF(($BZ25)&gt;0,($EE25)/($BZ25),""),"")</f>
        <v/>
      </c>
      <c r="EU25" s="56">
        <f>IFERROR(IF(($CA25)&gt;0,($EF25)/($CA25),""),"")</f>
        <v/>
      </c>
      <c r="EV25" s="56">
        <f>IFERROR(IF(($CB25)&gt;0,($EG25)/($CB25),""),"")</f>
        <v/>
      </c>
      <c r="EW25" s="76">
        <f>IFERROR(IF(($BZ25)&gt;0,($EH25)/($BZ25),""),"")</f>
        <v/>
      </c>
      <c r="EX25" s="76">
        <f>IFERROR(IF(($CA25)&gt;0,($EI25)/($CA25),""),"")</f>
        <v/>
      </c>
      <c r="EY25" s="76">
        <f>IFERROR(IF(($CB25)&gt;0,($EJ25)/($CB25),""),"")</f>
        <v/>
      </c>
      <c r="EZ25" s="56">
        <f>IFERROR(IF(($BZ25)&gt;0,($EK25)/($BZ25),""),"")</f>
        <v/>
      </c>
      <c r="FA25" s="56">
        <f>IFERROR(IF(($CA25)&gt;0,($EL25)/($CA25),""),"")</f>
        <v/>
      </c>
      <c r="FB25" s="56">
        <f>IFERROR(IF(($CB25)&gt;0,($EM25)/($CB25),""),"")</f>
        <v/>
      </c>
      <c r="FC25" s="55">
        <f>IF(SUMIFS(tblPlant[GIC_oz],tblPlant[Date],$A25)&gt;0,SUMIFS(tblPlant[GIC_oz],tblPlant[Date],$A25),"")</f>
        <v/>
      </c>
      <c r="FD25" s="55">
        <f>SUMIFS(tblGold[Gold_oz],tblGold[Date],$A25,tblGold[Type],"Shipment")</f>
        <v/>
      </c>
      <c r="FE25" s="55">
        <f>IF($B25=$B24,$FE24,0)+$FD25</f>
        <v/>
      </c>
      <c r="FF25" s="55">
        <f>$FF24+$FD25</f>
        <v/>
      </c>
      <c r="FG25" s="55">
        <f>SUMIFS(tblGold[Gold_oz],tblGold[Date],$A25,tblGold[Type],"Sale")</f>
        <v/>
      </c>
      <c r="FH25" s="55">
        <f>IF($B25=$B24,$FH24,0)+$FG25</f>
        <v/>
      </c>
      <c r="FI25" s="55">
        <f>$FI24+$FG25</f>
        <v/>
      </c>
      <c r="FJ25" s="55">
        <f>SUMIFS(tblGold[Dore_kg],tblGold[Date],$A25,tblGold[Type],"Shipment")</f>
        <v/>
      </c>
      <c r="FK25" s="55">
        <f>IF($B25=$B24,$FK24,0)+$FJ25</f>
        <v/>
      </c>
      <c r="FL25" s="55">
        <f>$FL24+$FJ25</f>
        <v/>
      </c>
      <c r="FM25" s="57">
        <f>SUMIFS(tblSafety[Hours_Total],tblSafety[Date],$A25)</f>
        <v/>
      </c>
      <c r="FN25" s="57">
        <f>IF($B25=$B24,$FN24,0)+$FM25</f>
        <v/>
      </c>
      <c r="FO25" s="57">
        <f>$FO24+$FM25</f>
        <v/>
      </c>
      <c r="FP25" s="62">
        <f>SUMIFS(tblSafety[Fatality],tblSafety[Date],$A25)</f>
        <v/>
      </c>
      <c r="FQ25" s="62">
        <f>IF($B25=$B24,$FQ24,0)+$FP25</f>
        <v/>
      </c>
      <c r="FR25" s="62">
        <f>$FR24+$FP25</f>
        <v/>
      </c>
      <c r="FS25" s="62">
        <f>SUMIFS(tblSafety[LTI],tblSafety[Date],$A25)</f>
        <v/>
      </c>
      <c r="FT25" s="62">
        <f>IF($B25=$B24,$FT24,0)+$FS25</f>
        <v/>
      </c>
      <c r="FU25" s="62">
        <f>$FU24+$FS25</f>
        <v/>
      </c>
      <c r="FV25" s="62">
        <f>SUMIFS(tblSafety[RWI],tblSafety[Date],$A25)</f>
        <v/>
      </c>
      <c r="FW25" s="62">
        <f>IF($B25=$B24,$FW24,0)+$FV25</f>
        <v/>
      </c>
      <c r="FX25" s="62">
        <f>$FX24+$FV25</f>
        <v/>
      </c>
      <c r="FY25" s="62">
        <f>SUMIFS(tblSafety[MTI],tblSafety[Date],$A25)</f>
        <v/>
      </c>
      <c r="FZ25" s="62">
        <f>IF($B25=$B24,$FZ24,0)+$FY25</f>
        <v/>
      </c>
      <c r="GA25" s="62">
        <f>$GA24+$FY25</f>
        <v/>
      </c>
      <c r="GB25" s="62">
        <f>SUMIFS(tblSafety[FAI],tblSafety[Date],$A25)</f>
        <v/>
      </c>
      <c r="GC25" s="62">
        <f>IF($B25=$B24,$GC24,0)+$GB25</f>
        <v/>
      </c>
      <c r="GD25" s="62">
        <f>$GD24+$GB25</f>
        <v/>
      </c>
      <c r="GE25" s="62">
        <f>SUMIFS(tblSafety[Recordables],tblSafety[Date],$A25)</f>
        <v/>
      </c>
      <c r="GF25" s="62">
        <f>IF($B25=$B24,$GF24,0)+$GE25</f>
        <v/>
      </c>
      <c r="GG25" s="62">
        <f>$GG24+$GE25</f>
        <v/>
      </c>
      <c r="GH25" s="62">
        <f>SUMIFS(tblSafety[Near_Miss],tblSafety[Date],$A25)</f>
        <v/>
      </c>
      <c r="GI25" s="62">
        <f>IF($B25=$B24,$GI24,0)+$GH25</f>
        <v/>
      </c>
      <c r="GJ25" s="62">
        <f>$GJ24+$GH25</f>
        <v/>
      </c>
      <c r="GK25" s="62">
        <f>SUMIFS(tblSafety[Hazard_Reports],tblSafety[Date],$A25)</f>
        <v/>
      </c>
      <c r="GL25" s="62">
        <f>IF($B25=$B24,$GL24,0)+$GK25</f>
        <v/>
      </c>
      <c r="GM25" s="62">
        <f>$GM24+$GK25</f>
        <v/>
      </c>
      <c r="GN25" s="62">
        <f>SUMIFS(tblSafety[HPI],tblSafety[Date],$A25)</f>
        <v/>
      </c>
      <c r="GO25" s="62">
        <f>IF($B25=$B24,$GO24,0)+$GN25</f>
        <v/>
      </c>
      <c r="GP25" s="62">
        <f>$GP24+$GN25</f>
        <v/>
      </c>
      <c r="GQ25" s="62">
        <f>SUMIFS(tblSafety[Env_Incidents],tblSafety[Date],$A25)</f>
        <v/>
      </c>
      <c r="GR25" s="62">
        <f>IF($B25=$B24,$GR24,0)+$GQ25</f>
        <v/>
      </c>
      <c r="GS25" s="62">
        <f>$GS24+$GQ25</f>
        <v/>
      </c>
      <c r="GT25" s="62">
        <f>SUMIFS(tblSafety[Community_Incidents],tblSafety[Date],$A25)</f>
        <v/>
      </c>
      <c r="GU25" s="62">
        <f>IF($B25=$B24,$GU24,0)+$GT25</f>
        <v/>
      </c>
      <c r="GV25" s="62">
        <f>$GV24+$GT25</f>
        <v/>
      </c>
      <c r="GW25" s="62">
        <f>SUMIFS(tblSafety[Vehicle_Incidents],tblSafety[Date],$A25)</f>
        <v/>
      </c>
      <c r="GX25" s="62">
        <f>IF($B25=$B24,$GX24,0)+$GW25</f>
        <v/>
      </c>
      <c r="GY25" s="62">
        <f>$GY24+$GW25</f>
        <v/>
      </c>
      <c r="GZ25" s="62">
        <f>SUMIFS(tblSafety[Toolbox_Talks],tblSafety[Date],$A25)</f>
        <v/>
      </c>
      <c r="HA25" s="62">
        <f>IF($B25=$B24,$HA24,0)+$GZ25</f>
        <v/>
      </c>
      <c r="HB25" s="62">
        <f>$HB24+$GZ25</f>
        <v/>
      </c>
      <c r="HC25" s="62">
        <f>SUMIFS(tblSafety[Inspections],tblSafety[Date],$A25)</f>
        <v/>
      </c>
      <c r="HD25" s="62">
        <f>IF($B25=$B24,$HD24,0)+$HC25</f>
        <v/>
      </c>
      <c r="HE25" s="62">
        <f>$HE24+$HC25</f>
        <v/>
      </c>
      <c r="HF25" s="56">
        <f>IFERROR((SUMIFS(tblSafety[Recordables],tblSafety[Date],"&gt;="&amp;EDATE($E25,-12),tblSafety[Date],"&lt;="&amp;$A25)+SUMIFS(tblSafetyHistory[Recordables],tblSafetyHistory[Month],"&gt;="&amp;EDATE($E25,-12),tblSafetyHistory[Month],"&lt;"&amp;cfg_YearStart))/(SUMIFS(tblSafety[Hours_Total],tblSafety[Date],"&gt;="&amp;EDATE($E25,-12),tblSafety[Date],"&lt;="&amp;$A25)+SUMIFS(tblSafetyHistory[Hours_Total],tblSafetyHistory[Month],"&gt;="&amp;EDATE($E25,-12),tblSafetyHistory[Month],"&lt;"&amp;cfg_YearStart))*1000000,"")</f>
        <v/>
      </c>
      <c r="HG25" s="56">
        <f>IFERROR((SUMIFS(tblSafety[LTI],tblSafety[Date],"&gt;="&amp;EDATE($E25,-12),tblSafety[Date],"&lt;="&amp;$A25)+SUMIFS(tblSafetyHistory[LTI],tblSafetyHistory[Month],"&gt;="&amp;EDATE($E25,-12),tblSafetyHistory[Month],"&lt;"&amp;cfg_YearStart))/(SUMIFS(tblSafety[Hours_Total],tblSafety[Date],"&gt;="&amp;EDATE($E25,-12),tblSafety[Date],"&lt;="&amp;$A25)+SUMIFS(tblSafetyHistory[Hours_Total],tblSafetyHistory[Month],"&gt;="&amp;EDATE($E25,-12),tblSafetyHistory[Month],"&lt;"&amp;cfg_YearStart))*1000000,"")</f>
        <v/>
      </c>
      <c r="HH25" s="62">
        <f>IF(MAX(N(cfg_PriorLTIDate),_xlfn.MAXIFS(tblSafety[Date],tblSafety[LTI],"&gt;0",tblSafety[Date],"&lt;="&amp;$A25))=0,"",$A25-MAX(N(cfg_PriorLTIDate),_xlfn.MAXIFS(tblSafety[Date],tblSafety[LTI],"&gt;0",tblSafety[Date],"&lt;="&amp;$A25)))</f>
        <v/>
      </c>
      <c r="HI25" s="55">
        <f>SUMIFS(tblBudget[Ore_Mined_t],tblBudget[Month],$E25)</f>
        <v/>
      </c>
      <c r="HJ25" s="55">
        <f>$HI25*$C25/$D25</f>
        <v/>
      </c>
      <c r="HK25" s="55">
        <f>SUMIFS(tblBudget[Ore_Mined_t],tblBudget[Month],"&lt;"&amp;$E25)+$HJ25</f>
        <v/>
      </c>
      <c r="HL25" s="55">
        <f>SUMIFS(tblBudget[Ore_oz],tblBudget[Month],$E25)</f>
        <v/>
      </c>
      <c r="HM25" s="55">
        <f>$HL25*$C25/$D25</f>
        <v/>
      </c>
      <c r="HN25" s="55">
        <f>SUMIFS(tblBudget[Ore_oz],tblBudget[Month],"&lt;"&amp;$E25)+$HM25</f>
        <v/>
      </c>
      <c r="HO25" s="56">
        <f>IFERROR(IF(($HI25)&gt;0,($HL25*cfg_TroyOz)/($HI25),""),"")</f>
        <v/>
      </c>
      <c r="HP25" s="56">
        <f>IFERROR(IF(($HJ25)&gt;0,($HM25*cfg_TroyOz)/($HJ25),""),"")</f>
        <v/>
      </c>
      <c r="HQ25" s="56">
        <f>IFERROR(IF(($HK25)&gt;0,($HN25*cfg_TroyOz)/($HK25),""),"")</f>
        <v/>
      </c>
      <c r="HR25" s="55">
        <f>SUMIFS(tblBudget[Waste_t],tblBudget[Month],$E25)</f>
        <v/>
      </c>
      <c r="HS25" s="55">
        <f>$HR25*$C25/$D25</f>
        <v/>
      </c>
      <c r="HT25" s="55">
        <f>SUMIFS(tblBudget[Waste_t],tblBudget[Month],"&lt;"&amp;$E25)+$HS25</f>
        <v/>
      </c>
      <c r="HU25" s="55">
        <f>SUMIFS(tblBudget[TMM_t],tblBudget[Month],$E25)</f>
        <v/>
      </c>
      <c r="HV25" s="55">
        <f>$HU25*$C25/$D25</f>
        <v/>
      </c>
      <c r="HW25" s="55">
        <f>SUMIFS(tblBudget[TMM_t],tblBudget[Month],"&lt;"&amp;$E25)+$HV25</f>
        <v/>
      </c>
      <c r="HX25" s="56">
        <f>IFERROR(IF(($HI25)&gt;0,($HR25)/($HI25),""),"")</f>
        <v/>
      </c>
      <c r="HY25" s="56">
        <f>IFERROR(IF(($HJ25)&gt;0,($HS25)/($HJ25),""),"")</f>
        <v/>
      </c>
      <c r="HZ25" s="56">
        <f>IFERROR(IF(($HK25)&gt;0,($HT25)/($HK25),""),"")</f>
        <v/>
      </c>
      <c r="IA25" s="55">
        <f>SUMIFS(tblBudget[Drill_m],tblBudget[Month],$E25)</f>
        <v/>
      </c>
      <c r="IB25" s="55">
        <f>$IA25*$C25/$D25</f>
        <v/>
      </c>
      <c r="IC25" s="55">
        <f>SUMIFS(tblBudget[Drill_m],tblBudget[Month],"&lt;"&amp;$E25)+$IB25</f>
        <v/>
      </c>
      <c r="ID25" s="55">
        <f>SUMIFS(tblBudget[Diesel_L],tblBudget[Month],$E25)</f>
        <v/>
      </c>
      <c r="IE25" s="55">
        <f>$ID25*$C25/$D25</f>
        <v/>
      </c>
      <c r="IF25" s="55">
        <f>SUMIFS(tblBudget[Diesel_L],tblBudget[Month],"&lt;"&amp;$E25)+$IE25</f>
        <v/>
      </c>
      <c r="IG25" s="55">
        <f>SUMIFS(tblBudget[Milled_t],tblBudget[Month],$E25)</f>
        <v/>
      </c>
      <c r="IH25" s="55">
        <f>$IG25*$C25/$D25</f>
        <v/>
      </c>
      <c r="II25" s="55">
        <f>SUMIFS(tblBudget[Milled_t],tblBudget[Month],"&lt;"&amp;$E25)+$IH25</f>
        <v/>
      </c>
      <c r="IJ25" s="55">
        <f>SUMIFS(tblBudget[Feed_oz],tblBudget[Month],$E25)</f>
        <v/>
      </c>
      <c r="IK25" s="55">
        <f>$IJ25*$C25/$D25</f>
        <v/>
      </c>
      <c r="IL25" s="55">
        <f>SUMIFS(tblBudget[Feed_oz],tblBudget[Month],"&lt;"&amp;$E25)+$IK25</f>
        <v/>
      </c>
      <c r="IM25" s="55">
        <f>SUMIFS(tblBudget[Recovered_oz],tblBudget[Month],$E25)</f>
        <v/>
      </c>
      <c r="IN25" s="55">
        <f>$IM25*$C25/$D25</f>
        <v/>
      </c>
      <c r="IO25" s="55">
        <f>SUMIFS(tblBudget[Recovered_oz],tblBudget[Month],"&lt;"&amp;$E25)+$IN25</f>
        <v/>
      </c>
      <c r="IP25" s="56">
        <f>IFERROR(IF(($IG25)&gt;0,($IJ25*cfg_TroyOz)/($IG25),""),"")</f>
        <v/>
      </c>
      <c r="IQ25" s="56">
        <f>IFERROR(IF(($IH25)&gt;0,($IK25*cfg_TroyOz)/($IH25),""),"")</f>
        <v/>
      </c>
      <c r="IR25" s="56">
        <f>IFERROR(IF(($II25)&gt;0,($IL25*cfg_TroyOz)/($II25),""),"")</f>
        <v/>
      </c>
      <c r="IS25" s="67">
        <f>IFERROR(IF(($IJ25)&gt;0,($IM25)/($IJ25),""),"")</f>
        <v/>
      </c>
      <c r="IT25" s="67">
        <f>IFERROR(IF(($IK25)&gt;0,($IN25)/($IK25),""),"")</f>
        <v/>
      </c>
      <c r="IU25" s="67">
        <f>IFERROR(IF(($IL25)&gt;0,($IO25)/($IL25),""),"")</f>
        <v/>
      </c>
      <c r="IV25" s="55">
        <f>SUMIFS(tblBudget[Gold_Poured_oz],tblBudget[Month],$E25)</f>
        <v/>
      </c>
      <c r="IW25" s="55">
        <f>$IV25*$C25/$D25</f>
        <v/>
      </c>
      <c r="IX25" s="55">
        <f>SUMIFS(tblBudget[Gold_Poured_oz],tblBudget[Month],"&lt;"&amp;$E25)+$IW25</f>
        <v/>
      </c>
      <c r="IY25" s="57">
        <f>SUMIFS(tblBudget[Hours_Worked],tblBudget[Month],$E25)</f>
        <v/>
      </c>
      <c r="IZ25" s="57">
        <f>$IY25*$C25/$D25</f>
        <v/>
      </c>
      <c r="JA25" s="57">
        <f>SUMIFS(tblBudget[Hours_Worked],tblBudget[Month],"&lt;"&amp;$E25)+$IZ25</f>
        <v/>
      </c>
    </row>
    <row r="26">
      <c r="A26" s="54" t="n">
        <v>46047</v>
      </c>
      <c r="B26">
        <f>MONTH($A26)</f>
        <v/>
      </c>
      <c r="C26">
        <f>DAY($A26)</f>
        <v/>
      </c>
      <c r="D26">
        <f>DAY(EOMONTH($A26,0))</f>
        <v/>
      </c>
      <c r="E26" s="54">
        <f>DATE(YEAR($A26),MONTH($A26),1)</f>
        <v/>
      </c>
      <c r="F26" s="55">
        <f>SUMIFS(tblMovement[Tonnes_t],tblMovement[Date],$A26,tblMovement[Is_Ore],1,tblMovement[Source_Type],"Pit")</f>
        <v/>
      </c>
      <c r="G26" s="55">
        <f>IF($B26=$B25,$G25,0)+$F26</f>
        <v/>
      </c>
      <c r="H26" s="55">
        <f>$H25+$F26</f>
        <v/>
      </c>
      <c r="I26" s="55">
        <f>SUMIFS(tblMovement[Ore_oz],tblMovement[Date],$A26,tblMovement[Source_Type],"Pit")</f>
        <v/>
      </c>
      <c r="J26" s="55">
        <f>IF($B26=$B25,$J25,0)+$I26</f>
        <v/>
      </c>
      <c r="K26" s="55">
        <f>$K25+$I26</f>
        <v/>
      </c>
      <c r="L26" s="56">
        <f>IFERROR(IF(($F26)&gt;0,($I26*cfg_TroyOz)/($F26),""),"")</f>
        <v/>
      </c>
      <c r="M26" s="56">
        <f>IFERROR(IF(($G26)&gt;0,($J26*cfg_TroyOz)/($G26),""),"")</f>
        <v/>
      </c>
      <c r="N26" s="56">
        <f>IFERROR(IF(($H26)&gt;0,($K26*cfg_TroyOz)/($H26),""),"")</f>
        <v/>
      </c>
      <c r="O26" s="55">
        <f>SUMIFS(tblMovement[Tonnes_t],tblMovement[Date],$A26,tblMovement[Is_Ore],0,tblMovement[Source_Type],"Pit")</f>
        <v/>
      </c>
      <c r="P26" s="55">
        <f>IF($B26=$B25,$P25,0)+$O26</f>
        <v/>
      </c>
      <c r="Q26" s="55">
        <f>$Q25+$O26</f>
        <v/>
      </c>
      <c r="R26" s="55">
        <f>$F26+$O26</f>
        <v/>
      </c>
      <c r="S26" s="55">
        <f>IF($B26=$B25,$S25,0)+$R26</f>
        <v/>
      </c>
      <c r="T26" s="55">
        <f>$T25+$R26</f>
        <v/>
      </c>
      <c r="U26" s="56">
        <f>IFERROR(IF(($F26)&gt;0,($O26)/($F26),""),"")</f>
        <v/>
      </c>
      <c r="V26" s="56">
        <f>IFERROR(IF(($G26)&gt;0,($P26)/($G26),""),"")</f>
        <v/>
      </c>
      <c r="W26" s="56">
        <f>IFERROR(IF(($H26)&gt;0,($Q26)/($H26),""),"")</f>
        <v/>
      </c>
      <c r="X26" s="55">
        <f>SUMIFS(tblMovement[Tonnes_t],tblMovement[Date],$A26,tblMovement[Source_Type],"Stockpile")</f>
        <v/>
      </c>
      <c r="Y26" s="55">
        <f>IF($B26=$B25,$Y25,0)+$X26</f>
        <v/>
      </c>
      <c r="Z26" s="55">
        <f>$Z25+$X26</f>
        <v/>
      </c>
      <c r="AA26" s="55">
        <f>SUMIFS(tblMiningDaily[Drill_m],tblMiningDaily[Date],$A26)</f>
        <v/>
      </c>
      <c r="AB26" s="55">
        <f>IF($B26=$B25,$AB25,0)+$AA26</f>
        <v/>
      </c>
      <c r="AC26" s="55">
        <f>$AC25+$AA26</f>
        <v/>
      </c>
      <c r="AD26" s="55">
        <f>SUMIFS(tblMiningDaily[Blast_t],tblMiningDaily[Date],$A26)</f>
        <v/>
      </c>
      <c r="AE26" s="55">
        <f>IF($B26=$B25,$AE25,0)+$AD26</f>
        <v/>
      </c>
      <c r="AF26" s="55">
        <f>$AF25+$AD26</f>
        <v/>
      </c>
      <c r="AG26" s="55">
        <f>SUMIFS(tblMiningDaily[Explosives_kg],tblMiningDaily[Date],$A26)</f>
        <v/>
      </c>
      <c r="AH26" s="55">
        <f>IF($B26=$B25,$AH25,0)+$AG26</f>
        <v/>
      </c>
      <c r="AI26" s="55">
        <f>$AI25+$AG26</f>
        <v/>
      </c>
      <c r="AJ26" s="56">
        <f>IFERROR(IF(($AD26)&gt;0,($AG26)/($AD26),""),"")</f>
        <v/>
      </c>
      <c r="AK26" s="56">
        <f>IFERROR(IF(($AE26)&gt;0,($AH26)/($AE26),""),"")</f>
        <v/>
      </c>
      <c r="AL26" s="56">
        <f>IFERROR(IF(($AF26)&gt;0,($AI26)/($AF26),""),"")</f>
        <v/>
      </c>
      <c r="AM26" s="55">
        <f>SUMIFS(tblMiningDaily[Diesel_L],tblMiningDaily[Date],$A26)</f>
        <v/>
      </c>
      <c r="AN26" s="55">
        <f>IF($B26=$B25,$AN25,0)+$AM26</f>
        <v/>
      </c>
      <c r="AO26" s="55">
        <f>$AO25+$AM26</f>
        <v/>
      </c>
      <c r="AP26" s="55">
        <f>SUMIFS(tblMiningDaily[Dewatering_m3],tblMiningDaily[Date],$A26)</f>
        <v/>
      </c>
      <c r="AQ26" s="55">
        <f>IF($B26=$B25,$AQ25,0)+$AP26</f>
        <v/>
      </c>
      <c r="AR26" s="55">
        <f>$AR25+$AP26</f>
        <v/>
      </c>
      <c r="AS26" s="57">
        <f>SUMIFS(tblFleet[Calendar_h],tblFleet[Date],$A26,tblFleet[Equipment_Class],"Excavator")</f>
        <v/>
      </c>
      <c r="AT26" s="57">
        <f>IF($B26=$B25,$AT25,0)+$AS26</f>
        <v/>
      </c>
      <c r="AU26" s="57">
        <f>$AU25+$AS26</f>
        <v/>
      </c>
      <c r="AV26" s="57">
        <f>SUMIFS(tblFleet[Available_h],tblFleet[Date],$A26,tblFleet[Equipment_Class],"Excavator")</f>
        <v/>
      </c>
      <c r="AW26" s="57">
        <f>IF($B26=$B25,$AW25,0)+$AV26</f>
        <v/>
      </c>
      <c r="AX26" s="57">
        <f>$AX25+$AV26</f>
        <v/>
      </c>
      <c r="AY26" s="57">
        <f>SUMIFS(tblFleet[Operating_h],tblFleet[Date],$A26,tblFleet[Equipment_Class],"Excavator")</f>
        <v/>
      </c>
      <c r="AZ26" s="57">
        <f>IF($B26=$B25,$AZ25,0)+$AY26</f>
        <v/>
      </c>
      <c r="BA26" s="57">
        <f>$BA25+$AY26</f>
        <v/>
      </c>
      <c r="BB26" s="67">
        <f>IFERROR(IF(($AS26)&gt;0,($AV26)/($AS26),""),"")</f>
        <v/>
      </c>
      <c r="BC26" s="67">
        <f>IFERROR(IF(($AT26)&gt;0,($AW26)/($AT26),""),"")</f>
        <v/>
      </c>
      <c r="BD26" s="67">
        <f>IFERROR(IF(($AU26)&gt;0,($AX26)/($AU26),""),"")</f>
        <v/>
      </c>
      <c r="BE26" s="67">
        <f>IFERROR(IF(($AV26)&gt;0,($AY26)/($AV26),""),"")</f>
        <v/>
      </c>
      <c r="BF26" s="67">
        <f>IFERROR(IF(($AW26)&gt;0,($AZ26)/($AW26),""),"")</f>
        <v/>
      </c>
      <c r="BG26" s="67">
        <f>IFERROR(IF(($AX26)&gt;0,($BA26)/($AX26),""),"")</f>
        <v/>
      </c>
      <c r="BH26" s="57">
        <f>SUMIFS(tblFleet[Calendar_h],tblFleet[Date],$A26,tblFleet[Equipment_Class],"Haul Truck")</f>
        <v/>
      </c>
      <c r="BI26" s="57">
        <f>IF($B26=$B25,$BI25,0)+$BH26</f>
        <v/>
      </c>
      <c r="BJ26" s="57">
        <f>$BJ25+$BH26</f>
        <v/>
      </c>
      <c r="BK26" s="57">
        <f>SUMIFS(tblFleet[Available_h],tblFleet[Date],$A26,tblFleet[Equipment_Class],"Haul Truck")</f>
        <v/>
      </c>
      <c r="BL26" s="57">
        <f>IF($B26=$B25,$BL25,0)+$BK26</f>
        <v/>
      </c>
      <c r="BM26" s="57">
        <f>$BM25+$BK26</f>
        <v/>
      </c>
      <c r="BN26" s="57">
        <f>SUMIFS(tblFleet[Operating_h],tblFleet[Date],$A26,tblFleet[Equipment_Class],"Haul Truck")</f>
        <v/>
      </c>
      <c r="BO26" s="57">
        <f>IF($B26=$B25,$BO25,0)+$BN26</f>
        <v/>
      </c>
      <c r="BP26" s="57">
        <f>$BP25+$BN26</f>
        <v/>
      </c>
      <c r="BQ26" s="67">
        <f>IFERROR(IF(($BH26)&gt;0,($BK26)/($BH26),""),"")</f>
        <v/>
      </c>
      <c r="BR26" s="67">
        <f>IFERROR(IF(($BI26)&gt;0,($BL26)/($BI26),""),"")</f>
        <v/>
      </c>
      <c r="BS26" s="67">
        <f>IFERROR(IF(($BJ26)&gt;0,($BM26)/($BJ26),""),"")</f>
        <v/>
      </c>
      <c r="BT26" s="67">
        <f>IFERROR(IF(($BK26)&gt;0,($BN26)/($BK26),""),"")</f>
        <v/>
      </c>
      <c r="BU26" s="67">
        <f>IFERROR(IF(($BL26)&gt;0,($BO26)/($BL26),""),"")</f>
        <v/>
      </c>
      <c r="BV26" s="67">
        <f>IFERROR(IF(($BM26)&gt;0,($BP26)/($BM26),""),"")</f>
        <v/>
      </c>
      <c r="BW26" s="55">
        <f>SUMIFS(tblPlant[Crushed_t],tblPlant[Date],$A26)</f>
        <v/>
      </c>
      <c r="BX26" s="55">
        <f>IF($B26=$B25,$BX25,0)+$BW26</f>
        <v/>
      </c>
      <c r="BY26" s="55">
        <f>$BY25+$BW26</f>
        <v/>
      </c>
      <c r="BZ26" s="55">
        <f>SUMIFS(tblPlant[Milled_t],tblPlant[Date],$A26)</f>
        <v/>
      </c>
      <c r="CA26" s="55">
        <f>IF($B26=$B25,$CA25,0)+$BZ26</f>
        <v/>
      </c>
      <c r="CB26" s="55">
        <f>$CB25+$BZ26</f>
        <v/>
      </c>
      <c r="CC26" s="55">
        <f>SUMIFS(tblPlant[Feed_oz],tblPlant[Date],$A26)</f>
        <v/>
      </c>
      <c r="CD26" s="55">
        <f>IF($B26=$B25,$CD25,0)+$CC26</f>
        <v/>
      </c>
      <c r="CE26" s="55">
        <f>$CE25+$CC26</f>
        <v/>
      </c>
      <c r="CF26" s="55">
        <f>SUMIFS(tblPlant[Tails_oz],tblPlant[Date],$A26)</f>
        <v/>
      </c>
      <c r="CG26" s="55">
        <f>IF($B26=$B25,$CG25,0)+$CF26</f>
        <v/>
      </c>
      <c r="CH26" s="55">
        <f>$CH25+$CF26</f>
        <v/>
      </c>
      <c r="CI26" s="55">
        <f>SUMIFS(tblPlant[Recovered_oz],tblPlant[Date],$A26)</f>
        <v/>
      </c>
      <c r="CJ26" s="55">
        <f>IF($B26=$B25,$CJ25,0)+$CI26</f>
        <v/>
      </c>
      <c r="CK26" s="55">
        <f>$CK25+$CI26</f>
        <v/>
      </c>
      <c r="CL26" s="56">
        <f>IFERROR(IF(($BZ26)&gt;0,($CC26*cfg_TroyOz)/($BZ26),""),"")</f>
        <v/>
      </c>
      <c r="CM26" s="56">
        <f>IFERROR(IF(($CA26)&gt;0,($CD26*cfg_TroyOz)/($CA26),""),"")</f>
        <v/>
      </c>
      <c r="CN26" s="56">
        <f>IFERROR(IF(($CB26)&gt;0,($CE26*cfg_TroyOz)/($CB26),""),"")</f>
        <v/>
      </c>
      <c r="CO26" s="56">
        <f>IFERROR(IF(($BZ26)&gt;0,($CF26*cfg_TroyOz)/($BZ26),""),"")</f>
        <v/>
      </c>
      <c r="CP26" s="56">
        <f>IFERROR(IF(($CA26)&gt;0,($CG26*cfg_TroyOz)/($CA26),""),"")</f>
        <v/>
      </c>
      <c r="CQ26" s="56">
        <f>IFERROR(IF(($CB26)&gt;0,($CH26*cfg_TroyOz)/($CB26),""),"")</f>
        <v/>
      </c>
      <c r="CR26" s="67">
        <f>IFERROR(IF(($CC26)&gt;0,($CI26)/($CC26),""),"")</f>
        <v/>
      </c>
      <c r="CS26" s="67">
        <f>IFERROR(IF(($CD26)&gt;0,($CJ26)/($CD26),""),"")</f>
        <v/>
      </c>
      <c r="CT26" s="67">
        <f>IFERROR(IF(($CE26)&gt;0,($CK26)/($CE26),""),"")</f>
        <v/>
      </c>
      <c r="CU26" s="55">
        <f>SUMIFS(tblPlant[Gravity_Gold_oz],tblPlant[Date],$A26)</f>
        <v/>
      </c>
      <c r="CV26" s="55">
        <f>IF($B26=$B25,$CV25,0)+$CU26</f>
        <v/>
      </c>
      <c r="CW26" s="55">
        <f>$CW25+$CU26</f>
        <v/>
      </c>
      <c r="CX26" s="55">
        <f>SUMIFS(tblPlant[Gold_Poured_oz],tblPlant[Date],$A26)</f>
        <v/>
      </c>
      <c r="CY26" s="55">
        <f>IF($B26=$B25,$CY25,0)+$CX26</f>
        <v/>
      </c>
      <c r="CZ26" s="55">
        <f>$CZ25+$CX26</f>
        <v/>
      </c>
      <c r="DA26" s="57">
        <f>SUMIFS(tblPlant[Mill_Run_h],tblPlant[Date],$A26)</f>
        <v/>
      </c>
      <c r="DB26" s="57">
        <f>IF($B26=$B25,$DB25,0)+$DA26</f>
        <v/>
      </c>
      <c r="DC26" s="57">
        <f>$DC25+$DA26</f>
        <v/>
      </c>
      <c r="DD26" s="57">
        <f>SUMIFS(tblPlant[Mill_Planned_Maint_h],tblPlant[Date],$A26)</f>
        <v/>
      </c>
      <c r="DE26" s="57">
        <f>IF($B26=$B25,$DE25,0)+$DD26</f>
        <v/>
      </c>
      <c r="DF26" s="57">
        <f>$DF25+$DD26</f>
        <v/>
      </c>
      <c r="DG26" s="57">
        <f>SUMIFS(tblPlant[Mill_Unplanned_Down_h],tblPlant[Date],$A26)</f>
        <v/>
      </c>
      <c r="DH26" s="57">
        <f>IF($B26=$B25,$DH25,0)+$DG26</f>
        <v/>
      </c>
      <c r="DI26" s="57">
        <f>$DI25+$DG26</f>
        <v/>
      </c>
      <c r="DJ26" s="57">
        <f>COUNTIFS(tblPlant[Date],$A26,tblPlant[Mill_Run_h],"&lt;&gt;")*24</f>
        <v/>
      </c>
      <c r="DK26" s="57">
        <f>IF($B26=$B25,$DK25,0)+$DJ26</f>
        <v/>
      </c>
      <c r="DL26" s="57">
        <f>$DL25+$DJ26</f>
        <v/>
      </c>
      <c r="DM26" s="57">
        <f>SUMIFS(tblPlant[Crusher_Run_h],tblPlant[Date],$A26)</f>
        <v/>
      </c>
      <c r="DN26" s="57">
        <f>IF($B26=$B25,$DN25,0)+$DM26</f>
        <v/>
      </c>
      <c r="DO26" s="57">
        <f>$DO25+$DM26</f>
        <v/>
      </c>
      <c r="DP26" s="55">
        <f>IFERROR(IF(($DA26)&gt;0,($BZ26)/($DA26),""),"")</f>
        <v/>
      </c>
      <c r="DQ26" s="55">
        <f>IFERROR(IF(($DB26)&gt;0,($CA26)/($DB26),""),"")</f>
        <v/>
      </c>
      <c r="DR26" s="55">
        <f>IFERROR(IF(($DC26)&gt;0,($CB26)/($DC26),""),"")</f>
        <v/>
      </c>
      <c r="DS26" s="67">
        <f>IFERROR(IF(($DJ26)&gt;0,($DJ26-$DD26-$DG26)/($DJ26),""),"")</f>
        <v/>
      </c>
      <c r="DT26" s="67">
        <f>IFERROR(IF(($DK26)&gt;0,($DK26-$DE26-$DH26)/($DK26),""),"")</f>
        <v/>
      </c>
      <c r="DU26" s="67">
        <f>IFERROR(IF(($DL26)&gt;0,($DL26-$DF26-$DI26)/($DL26),""),"")</f>
        <v/>
      </c>
      <c r="DV26" s="67">
        <f>IFERROR(IF(($DJ26-$DD26-$DG26)&gt;0,($DA26)/($DJ26-$DD26-$DG26),""),"")</f>
        <v/>
      </c>
      <c r="DW26" s="67">
        <f>IFERROR(IF(($DK26-$DE26-$DH26)&gt;0,($DB26)/($DK26-$DE26-$DH26),""),"")</f>
        <v/>
      </c>
      <c r="DX26" s="67">
        <f>IFERROR(IF(($DL26-$DF26-$DI26)&gt;0,($DC26)/($DL26-$DF26-$DI26),""),"")</f>
        <v/>
      </c>
      <c r="DY26" s="55">
        <f>SUMIFS(tblPlant[Cyanide_kg],tblPlant[Date],$A26)</f>
        <v/>
      </c>
      <c r="DZ26" s="55">
        <f>IF($B26=$B25,$DZ25,0)+$DY26</f>
        <v/>
      </c>
      <c r="EA26" s="55">
        <f>$EA25+$DY26</f>
        <v/>
      </c>
      <c r="EB26" s="55">
        <f>SUMIFS(tblPlant[Lime_kg],tblPlant[Date],$A26)</f>
        <v/>
      </c>
      <c r="EC26" s="55">
        <f>IF($B26=$B25,$EC25,0)+$EB26</f>
        <v/>
      </c>
      <c r="ED26" s="55">
        <f>$ED25+$EB26</f>
        <v/>
      </c>
      <c r="EE26" s="55">
        <f>SUMIFS(tblPlant[Grinding_Media_kg],tblPlant[Date],$A26)</f>
        <v/>
      </c>
      <c r="EF26" s="55">
        <f>IF($B26=$B25,$EF25,0)+$EE26</f>
        <v/>
      </c>
      <c r="EG26" s="55">
        <f>$EG25+$EE26</f>
        <v/>
      </c>
      <c r="EH26" s="55">
        <f>SUMIFS(tblPlant[Power_kWh],tblPlant[Date],$A26)</f>
        <v/>
      </c>
      <c r="EI26" s="55">
        <f>IF($B26=$B25,$EI25,0)+$EH26</f>
        <v/>
      </c>
      <c r="EJ26" s="55">
        <f>$EJ25+$EH26</f>
        <v/>
      </c>
      <c r="EK26" s="55">
        <f>SUMIFS(tblPlant[Raw_Water_m3],tblPlant[Date],$A26)</f>
        <v/>
      </c>
      <c r="EL26" s="55">
        <f>IF($B26=$B25,$EL25,0)+$EK26</f>
        <v/>
      </c>
      <c r="EM26" s="55">
        <f>$EM25+$EK26</f>
        <v/>
      </c>
      <c r="EN26" s="56">
        <f>IFERROR(IF(($BZ26)&gt;0,($DY26)/($BZ26),""),"")</f>
        <v/>
      </c>
      <c r="EO26" s="56">
        <f>IFERROR(IF(($CA26)&gt;0,($DZ26)/($CA26),""),"")</f>
        <v/>
      </c>
      <c r="EP26" s="56">
        <f>IFERROR(IF(($CB26)&gt;0,($EA26)/($CB26),""),"")</f>
        <v/>
      </c>
      <c r="EQ26" s="56">
        <f>IFERROR(IF(($BZ26)&gt;0,($EB26)/($BZ26),""),"")</f>
        <v/>
      </c>
      <c r="ER26" s="56">
        <f>IFERROR(IF(($CA26)&gt;0,($EC26)/($CA26),""),"")</f>
        <v/>
      </c>
      <c r="ES26" s="56">
        <f>IFERROR(IF(($CB26)&gt;0,($ED26)/($CB26),""),"")</f>
        <v/>
      </c>
      <c r="ET26" s="56">
        <f>IFERROR(IF(($BZ26)&gt;0,($EE26)/($BZ26),""),"")</f>
        <v/>
      </c>
      <c r="EU26" s="56">
        <f>IFERROR(IF(($CA26)&gt;0,($EF26)/($CA26),""),"")</f>
        <v/>
      </c>
      <c r="EV26" s="56">
        <f>IFERROR(IF(($CB26)&gt;0,($EG26)/($CB26),""),"")</f>
        <v/>
      </c>
      <c r="EW26" s="76">
        <f>IFERROR(IF(($BZ26)&gt;0,($EH26)/($BZ26),""),"")</f>
        <v/>
      </c>
      <c r="EX26" s="76">
        <f>IFERROR(IF(($CA26)&gt;0,($EI26)/($CA26),""),"")</f>
        <v/>
      </c>
      <c r="EY26" s="76">
        <f>IFERROR(IF(($CB26)&gt;0,($EJ26)/($CB26),""),"")</f>
        <v/>
      </c>
      <c r="EZ26" s="56">
        <f>IFERROR(IF(($BZ26)&gt;0,($EK26)/($BZ26),""),"")</f>
        <v/>
      </c>
      <c r="FA26" s="56">
        <f>IFERROR(IF(($CA26)&gt;0,($EL26)/($CA26),""),"")</f>
        <v/>
      </c>
      <c r="FB26" s="56">
        <f>IFERROR(IF(($CB26)&gt;0,($EM26)/($CB26),""),"")</f>
        <v/>
      </c>
      <c r="FC26" s="55">
        <f>IF(SUMIFS(tblPlant[GIC_oz],tblPlant[Date],$A26)&gt;0,SUMIFS(tblPlant[GIC_oz],tblPlant[Date],$A26),"")</f>
        <v/>
      </c>
      <c r="FD26" s="55">
        <f>SUMIFS(tblGold[Gold_oz],tblGold[Date],$A26,tblGold[Type],"Shipment")</f>
        <v/>
      </c>
      <c r="FE26" s="55">
        <f>IF($B26=$B25,$FE25,0)+$FD26</f>
        <v/>
      </c>
      <c r="FF26" s="55">
        <f>$FF25+$FD26</f>
        <v/>
      </c>
      <c r="FG26" s="55">
        <f>SUMIFS(tblGold[Gold_oz],tblGold[Date],$A26,tblGold[Type],"Sale")</f>
        <v/>
      </c>
      <c r="FH26" s="55">
        <f>IF($B26=$B25,$FH25,0)+$FG26</f>
        <v/>
      </c>
      <c r="FI26" s="55">
        <f>$FI25+$FG26</f>
        <v/>
      </c>
      <c r="FJ26" s="55">
        <f>SUMIFS(tblGold[Dore_kg],tblGold[Date],$A26,tblGold[Type],"Shipment")</f>
        <v/>
      </c>
      <c r="FK26" s="55">
        <f>IF($B26=$B25,$FK25,0)+$FJ26</f>
        <v/>
      </c>
      <c r="FL26" s="55">
        <f>$FL25+$FJ26</f>
        <v/>
      </c>
      <c r="FM26" s="57">
        <f>SUMIFS(tblSafety[Hours_Total],tblSafety[Date],$A26)</f>
        <v/>
      </c>
      <c r="FN26" s="57">
        <f>IF($B26=$B25,$FN25,0)+$FM26</f>
        <v/>
      </c>
      <c r="FO26" s="57">
        <f>$FO25+$FM26</f>
        <v/>
      </c>
      <c r="FP26" s="62">
        <f>SUMIFS(tblSafety[Fatality],tblSafety[Date],$A26)</f>
        <v/>
      </c>
      <c r="FQ26" s="62">
        <f>IF($B26=$B25,$FQ25,0)+$FP26</f>
        <v/>
      </c>
      <c r="FR26" s="62">
        <f>$FR25+$FP26</f>
        <v/>
      </c>
      <c r="FS26" s="62">
        <f>SUMIFS(tblSafety[LTI],tblSafety[Date],$A26)</f>
        <v/>
      </c>
      <c r="FT26" s="62">
        <f>IF($B26=$B25,$FT25,0)+$FS26</f>
        <v/>
      </c>
      <c r="FU26" s="62">
        <f>$FU25+$FS26</f>
        <v/>
      </c>
      <c r="FV26" s="62">
        <f>SUMIFS(tblSafety[RWI],tblSafety[Date],$A26)</f>
        <v/>
      </c>
      <c r="FW26" s="62">
        <f>IF($B26=$B25,$FW25,0)+$FV26</f>
        <v/>
      </c>
      <c r="FX26" s="62">
        <f>$FX25+$FV26</f>
        <v/>
      </c>
      <c r="FY26" s="62">
        <f>SUMIFS(tblSafety[MTI],tblSafety[Date],$A26)</f>
        <v/>
      </c>
      <c r="FZ26" s="62">
        <f>IF($B26=$B25,$FZ25,0)+$FY26</f>
        <v/>
      </c>
      <c r="GA26" s="62">
        <f>$GA25+$FY26</f>
        <v/>
      </c>
      <c r="GB26" s="62">
        <f>SUMIFS(tblSafety[FAI],tblSafety[Date],$A26)</f>
        <v/>
      </c>
      <c r="GC26" s="62">
        <f>IF($B26=$B25,$GC25,0)+$GB26</f>
        <v/>
      </c>
      <c r="GD26" s="62">
        <f>$GD25+$GB26</f>
        <v/>
      </c>
      <c r="GE26" s="62">
        <f>SUMIFS(tblSafety[Recordables],tblSafety[Date],$A26)</f>
        <v/>
      </c>
      <c r="GF26" s="62">
        <f>IF($B26=$B25,$GF25,0)+$GE26</f>
        <v/>
      </c>
      <c r="GG26" s="62">
        <f>$GG25+$GE26</f>
        <v/>
      </c>
      <c r="GH26" s="62">
        <f>SUMIFS(tblSafety[Near_Miss],tblSafety[Date],$A26)</f>
        <v/>
      </c>
      <c r="GI26" s="62">
        <f>IF($B26=$B25,$GI25,0)+$GH26</f>
        <v/>
      </c>
      <c r="GJ26" s="62">
        <f>$GJ25+$GH26</f>
        <v/>
      </c>
      <c r="GK26" s="62">
        <f>SUMIFS(tblSafety[Hazard_Reports],tblSafety[Date],$A26)</f>
        <v/>
      </c>
      <c r="GL26" s="62">
        <f>IF($B26=$B25,$GL25,0)+$GK26</f>
        <v/>
      </c>
      <c r="GM26" s="62">
        <f>$GM25+$GK26</f>
        <v/>
      </c>
      <c r="GN26" s="62">
        <f>SUMIFS(tblSafety[HPI],tblSafety[Date],$A26)</f>
        <v/>
      </c>
      <c r="GO26" s="62">
        <f>IF($B26=$B25,$GO25,0)+$GN26</f>
        <v/>
      </c>
      <c r="GP26" s="62">
        <f>$GP25+$GN26</f>
        <v/>
      </c>
      <c r="GQ26" s="62">
        <f>SUMIFS(tblSafety[Env_Incidents],tblSafety[Date],$A26)</f>
        <v/>
      </c>
      <c r="GR26" s="62">
        <f>IF($B26=$B25,$GR25,0)+$GQ26</f>
        <v/>
      </c>
      <c r="GS26" s="62">
        <f>$GS25+$GQ26</f>
        <v/>
      </c>
      <c r="GT26" s="62">
        <f>SUMIFS(tblSafety[Community_Incidents],tblSafety[Date],$A26)</f>
        <v/>
      </c>
      <c r="GU26" s="62">
        <f>IF($B26=$B25,$GU25,0)+$GT26</f>
        <v/>
      </c>
      <c r="GV26" s="62">
        <f>$GV25+$GT26</f>
        <v/>
      </c>
      <c r="GW26" s="62">
        <f>SUMIFS(tblSafety[Vehicle_Incidents],tblSafety[Date],$A26)</f>
        <v/>
      </c>
      <c r="GX26" s="62">
        <f>IF($B26=$B25,$GX25,0)+$GW26</f>
        <v/>
      </c>
      <c r="GY26" s="62">
        <f>$GY25+$GW26</f>
        <v/>
      </c>
      <c r="GZ26" s="62">
        <f>SUMIFS(tblSafety[Toolbox_Talks],tblSafety[Date],$A26)</f>
        <v/>
      </c>
      <c r="HA26" s="62">
        <f>IF($B26=$B25,$HA25,0)+$GZ26</f>
        <v/>
      </c>
      <c r="HB26" s="62">
        <f>$HB25+$GZ26</f>
        <v/>
      </c>
      <c r="HC26" s="62">
        <f>SUMIFS(tblSafety[Inspections],tblSafety[Date],$A26)</f>
        <v/>
      </c>
      <c r="HD26" s="62">
        <f>IF($B26=$B25,$HD25,0)+$HC26</f>
        <v/>
      </c>
      <c r="HE26" s="62">
        <f>$HE25+$HC26</f>
        <v/>
      </c>
      <c r="HF26" s="56">
        <f>IFERROR((SUMIFS(tblSafety[Recordables],tblSafety[Date],"&gt;="&amp;EDATE($E26,-12),tblSafety[Date],"&lt;="&amp;$A26)+SUMIFS(tblSafetyHistory[Recordables],tblSafetyHistory[Month],"&gt;="&amp;EDATE($E26,-12),tblSafetyHistory[Month],"&lt;"&amp;cfg_YearStart))/(SUMIFS(tblSafety[Hours_Total],tblSafety[Date],"&gt;="&amp;EDATE($E26,-12),tblSafety[Date],"&lt;="&amp;$A26)+SUMIFS(tblSafetyHistory[Hours_Total],tblSafetyHistory[Month],"&gt;="&amp;EDATE($E26,-12),tblSafetyHistory[Month],"&lt;"&amp;cfg_YearStart))*1000000,"")</f>
        <v/>
      </c>
      <c r="HG26" s="56">
        <f>IFERROR((SUMIFS(tblSafety[LTI],tblSafety[Date],"&gt;="&amp;EDATE($E26,-12),tblSafety[Date],"&lt;="&amp;$A26)+SUMIFS(tblSafetyHistory[LTI],tblSafetyHistory[Month],"&gt;="&amp;EDATE($E26,-12),tblSafetyHistory[Month],"&lt;"&amp;cfg_YearStart))/(SUMIFS(tblSafety[Hours_Total],tblSafety[Date],"&gt;="&amp;EDATE($E26,-12),tblSafety[Date],"&lt;="&amp;$A26)+SUMIFS(tblSafetyHistory[Hours_Total],tblSafetyHistory[Month],"&gt;="&amp;EDATE($E26,-12),tblSafetyHistory[Month],"&lt;"&amp;cfg_YearStart))*1000000,"")</f>
        <v/>
      </c>
      <c r="HH26" s="62">
        <f>IF(MAX(N(cfg_PriorLTIDate),_xlfn.MAXIFS(tblSafety[Date],tblSafety[LTI],"&gt;0",tblSafety[Date],"&lt;="&amp;$A26))=0,"",$A26-MAX(N(cfg_PriorLTIDate),_xlfn.MAXIFS(tblSafety[Date],tblSafety[LTI],"&gt;0",tblSafety[Date],"&lt;="&amp;$A26)))</f>
        <v/>
      </c>
      <c r="HI26" s="55">
        <f>SUMIFS(tblBudget[Ore_Mined_t],tblBudget[Month],$E26)</f>
        <v/>
      </c>
      <c r="HJ26" s="55">
        <f>$HI26*$C26/$D26</f>
        <v/>
      </c>
      <c r="HK26" s="55">
        <f>SUMIFS(tblBudget[Ore_Mined_t],tblBudget[Month],"&lt;"&amp;$E26)+$HJ26</f>
        <v/>
      </c>
      <c r="HL26" s="55">
        <f>SUMIFS(tblBudget[Ore_oz],tblBudget[Month],$E26)</f>
        <v/>
      </c>
      <c r="HM26" s="55">
        <f>$HL26*$C26/$D26</f>
        <v/>
      </c>
      <c r="HN26" s="55">
        <f>SUMIFS(tblBudget[Ore_oz],tblBudget[Month],"&lt;"&amp;$E26)+$HM26</f>
        <v/>
      </c>
      <c r="HO26" s="56">
        <f>IFERROR(IF(($HI26)&gt;0,($HL26*cfg_TroyOz)/($HI26),""),"")</f>
        <v/>
      </c>
      <c r="HP26" s="56">
        <f>IFERROR(IF(($HJ26)&gt;0,($HM26*cfg_TroyOz)/($HJ26),""),"")</f>
        <v/>
      </c>
      <c r="HQ26" s="56">
        <f>IFERROR(IF(($HK26)&gt;0,($HN26*cfg_TroyOz)/($HK26),""),"")</f>
        <v/>
      </c>
      <c r="HR26" s="55">
        <f>SUMIFS(tblBudget[Waste_t],tblBudget[Month],$E26)</f>
        <v/>
      </c>
      <c r="HS26" s="55">
        <f>$HR26*$C26/$D26</f>
        <v/>
      </c>
      <c r="HT26" s="55">
        <f>SUMIFS(tblBudget[Waste_t],tblBudget[Month],"&lt;"&amp;$E26)+$HS26</f>
        <v/>
      </c>
      <c r="HU26" s="55">
        <f>SUMIFS(tblBudget[TMM_t],tblBudget[Month],$E26)</f>
        <v/>
      </c>
      <c r="HV26" s="55">
        <f>$HU26*$C26/$D26</f>
        <v/>
      </c>
      <c r="HW26" s="55">
        <f>SUMIFS(tblBudget[TMM_t],tblBudget[Month],"&lt;"&amp;$E26)+$HV26</f>
        <v/>
      </c>
      <c r="HX26" s="56">
        <f>IFERROR(IF(($HI26)&gt;0,($HR26)/($HI26),""),"")</f>
        <v/>
      </c>
      <c r="HY26" s="56">
        <f>IFERROR(IF(($HJ26)&gt;0,($HS26)/($HJ26),""),"")</f>
        <v/>
      </c>
      <c r="HZ26" s="56">
        <f>IFERROR(IF(($HK26)&gt;0,($HT26)/($HK26),""),"")</f>
        <v/>
      </c>
      <c r="IA26" s="55">
        <f>SUMIFS(tblBudget[Drill_m],tblBudget[Month],$E26)</f>
        <v/>
      </c>
      <c r="IB26" s="55">
        <f>$IA26*$C26/$D26</f>
        <v/>
      </c>
      <c r="IC26" s="55">
        <f>SUMIFS(tblBudget[Drill_m],tblBudget[Month],"&lt;"&amp;$E26)+$IB26</f>
        <v/>
      </c>
      <c r="ID26" s="55">
        <f>SUMIFS(tblBudget[Diesel_L],tblBudget[Month],$E26)</f>
        <v/>
      </c>
      <c r="IE26" s="55">
        <f>$ID26*$C26/$D26</f>
        <v/>
      </c>
      <c r="IF26" s="55">
        <f>SUMIFS(tblBudget[Diesel_L],tblBudget[Month],"&lt;"&amp;$E26)+$IE26</f>
        <v/>
      </c>
      <c r="IG26" s="55">
        <f>SUMIFS(tblBudget[Milled_t],tblBudget[Month],$E26)</f>
        <v/>
      </c>
      <c r="IH26" s="55">
        <f>$IG26*$C26/$D26</f>
        <v/>
      </c>
      <c r="II26" s="55">
        <f>SUMIFS(tblBudget[Milled_t],tblBudget[Month],"&lt;"&amp;$E26)+$IH26</f>
        <v/>
      </c>
      <c r="IJ26" s="55">
        <f>SUMIFS(tblBudget[Feed_oz],tblBudget[Month],$E26)</f>
        <v/>
      </c>
      <c r="IK26" s="55">
        <f>$IJ26*$C26/$D26</f>
        <v/>
      </c>
      <c r="IL26" s="55">
        <f>SUMIFS(tblBudget[Feed_oz],tblBudget[Month],"&lt;"&amp;$E26)+$IK26</f>
        <v/>
      </c>
      <c r="IM26" s="55">
        <f>SUMIFS(tblBudget[Recovered_oz],tblBudget[Month],$E26)</f>
        <v/>
      </c>
      <c r="IN26" s="55">
        <f>$IM26*$C26/$D26</f>
        <v/>
      </c>
      <c r="IO26" s="55">
        <f>SUMIFS(tblBudget[Recovered_oz],tblBudget[Month],"&lt;"&amp;$E26)+$IN26</f>
        <v/>
      </c>
      <c r="IP26" s="56">
        <f>IFERROR(IF(($IG26)&gt;0,($IJ26*cfg_TroyOz)/($IG26),""),"")</f>
        <v/>
      </c>
      <c r="IQ26" s="56">
        <f>IFERROR(IF(($IH26)&gt;0,($IK26*cfg_TroyOz)/($IH26),""),"")</f>
        <v/>
      </c>
      <c r="IR26" s="56">
        <f>IFERROR(IF(($II26)&gt;0,($IL26*cfg_TroyOz)/($II26),""),"")</f>
        <v/>
      </c>
      <c r="IS26" s="67">
        <f>IFERROR(IF(($IJ26)&gt;0,($IM26)/($IJ26),""),"")</f>
        <v/>
      </c>
      <c r="IT26" s="67">
        <f>IFERROR(IF(($IK26)&gt;0,($IN26)/($IK26),""),"")</f>
        <v/>
      </c>
      <c r="IU26" s="67">
        <f>IFERROR(IF(($IL26)&gt;0,($IO26)/($IL26),""),"")</f>
        <v/>
      </c>
      <c r="IV26" s="55">
        <f>SUMIFS(tblBudget[Gold_Poured_oz],tblBudget[Month],$E26)</f>
        <v/>
      </c>
      <c r="IW26" s="55">
        <f>$IV26*$C26/$D26</f>
        <v/>
      </c>
      <c r="IX26" s="55">
        <f>SUMIFS(tblBudget[Gold_Poured_oz],tblBudget[Month],"&lt;"&amp;$E26)+$IW26</f>
        <v/>
      </c>
      <c r="IY26" s="57">
        <f>SUMIFS(tblBudget[Hours_Worked],tblBudget[Month],$E26)</f>
        <v/>
      </c>
      <c r="IZ26" s="57">
        <f>$IY26*$C26/$D26</f>
        <v/>
      </c>
      <c r="JA26" s="57">
        <f>SUMIFS(tblBudget[Hours_Worked],tblBudget[Month],"&lt;"&amp;$E26)+$IZ26</f>
        <v/>
      </c>
    </row>
    <row r="27">
      <c r="A27" s="54" t="n">
        <v>46048</v>
      </c>
      <c r="B27">
        <f>MONTH($A27)</f>
        <v/>
      </c>
      <c r="C27">
        <f>DAY($A27)</f>
        <v/>
      </c>
      <c r="D27">
        <f>DAY(EOMONTH($A27,0))</f>
        <v/>
      </c>
      <c r="E27" s="54">
        <f>DATE(YEAR($A27),MONTH($A27),1)</f>
        <v/>
      </c>
      <c r="F27" s="55">
        <f>SUMIFS(tblMovement[Tonnes_t],tblMovement[Date],$A27,tblMovement[Is_Ore],1,tblMovement[Source_Type],"Pit")</f>
        <v/>
      </c>
      <c r="G27" s="55">
        <f>IF($B27=$B26,$G26,0)+$F27</f>
        <v/>
      </c>
      <c r="H27" s="55">
        <f>$H26+$F27</f>
        <v/>
      </c>
      <c r="I27" s="55">
        <f>SUMIFS(tblMovement[Ore_oz],tblMovement[Date],$A27,tblMovement[Source_Type],"Pit")</f>
        <v/>
      </c>
      <c r="J27" s="55">
        <f>IF($B27=$B26,$J26,0)+$I27</f>
        <v/>
      </c>
      <c r="K27" s="55">
        <f>$K26+$I27</f>
        <v/>
      </c>
      <c r="L27" s="56">
        <f>IFERROR(IF(($F27)&gt;0,($I27*cfg_TroyOz)/($F27),""),"")</f>
        <v/>
      </c>
      <c r="M27" s="56">
        <f>IFERROR(IF(($G27)&gt;0,($J27*cfg_TroyOz)/($G27),""),"")</f>
        <v/>
      </c>
      <c r="N27" s="56">
        <f>IFERROR(IF(($H27)&gt;0,($K27*cfg_TroyOz)/($H27),""),"")</f>
        <v/>
      </c>
      <c r="O27" s="55">
        <f>SUMIFS(tblMovement[Tonnes_t],tblMovement[Date],$A27,tblMovement[Is_Ore],0,tblMovement[Source_Type],"Pit")</f>
        <v/>
      </c>
      <c r="P27" s="55">
        <f>IF($B27=$B26,$P26,0)+$O27</f>
        <v/>
      </c>
      <c r="Q27" s="55">
        <f>$Q26+$O27</f>
        <v/>
      </c>
      <c r="R27" s="55">
        <f>$F27+$O27</f>
        <v/>
      </c>
      <c r="S27" s="55">
        <f>IF($B27=$B26,$S26,0)+$R27</f>
        <v/>
      </c>
      <c r="T27" s="55">
        <f>$T26+$R27</f>
        <v/>
      </c>
      <c r="U27" s="56">
        <f>IFERROR(IF(($F27)&gt;0,($O27)/($F27),""),"")</f>
        <v/>
      </c>
      <c r="V27" s="56">
        <f>IFERROR(IF(($G27)&gt;0,($P27)/($G27),""),"")</f>
        <v/>
      </c>
      <c r="W27" s="56">
        <f>IFERROR(IF(($H27)&gt;0,($Q27)/($H27),""),"")</f>
        <v/>
      </c>
      <c r="X27" s="55">
        <f>SUMIFS(tblMovement[Tonnes_t],tblMovement[Date],$A27,tblMovement[Source_Type],"Stockpile")</f>
        <v/>
      </c>
      <c r="Y27" s="55">
        <f>IF($B27=$B26,$Y26,0)+$X27</f>
        <v/>
      </c>
      <c r="Z27" s="55">
        <f>$Z26+$X27</f>
        <v/>
      </c>
      <c r="AA27" s="55">
        <f>SUMIFS(tblMiningDaily[Drill_m],tblMiningDaily[Date],$A27)</f>
        <v/>
      </c>
      <c r="AB27" s="55">
        <f>IF($B27=$B26,$AB26,0)+$AA27</f>
        <v/>
      </c>
      <c r="AC27" s="55">
        <f>$AC26+$AA27</f>
        <v/>
      </c>
      <c r="AD27" s="55">
        <f>SUMIFS(tblMiningDaily[Blast_t],tblMiningDaily[Date],$A27)</f>
        <v/>
      </c>
      <c r="AE27" s="55">
        <f>IF($B27=$B26,$AE26,0)+$AD27</f>
        <v/>
      </c>
      <c r="AF27" s="55">
        <f>$AF26+$AD27</f>
        <v/>
      </c>
      <c r="AG27" s="55">
        <f>SUMIFS(tblMiningDaily[Explosives_kg],tblMiningDaily[Date],$A27)</f>
        <v/>
      </c>
      <c r="AH27" s="55">
        <f>IF($B27=$B26,$AH26,0)+$AG27</f>
        <v/>
      </c>
      <c r="AI27" s="55">
        <f>$AI26+$AG27</f>
        <v/>
      </c>
      <c r="AJ27" s="56">
        <f>IFERROR(IF(($AD27)&gt;0,($AG27)/($AD27),""),"")</f>
        <v/>
      </c>
      <c r="AK27" s="56">
        <f>IFERROR(IF(($AE27)&gt;0,($AH27)/($AE27),""),"")</f>
        <v/>
      </c>
      <c r="AL27" s="56">
        <f>IFERROR(IF(($AF27)&gt;0,($AI27)/($AF27),""),"")</f>
        <v/>
      </c>
      <c r="AM27" s="55">
        <f>SUMIFS(tblMiningDaily[Diesel_L],tblMiningDaily[Date],$A27)</f>
        <v/>
      </c>
      <c r="AN27" s="55">
        <f>IF($B27=$B26,$AN26,0)+$AM27</f>
        <v/>
      </c>
      <c r="AO27" s="55">
        <f>$AO26+$AM27</f>
        <v/>
      </c>
      <c r="AP27" s="55">
        <f>SUMIFS(tblMiningDaily[Dewatering_m3],tblMiningDaily[Date],$A27)</f>
        <v/>
      </c>
      <c r="AQ27" s="55">
        <f>IF($B27=$B26,$AQ26,0)+$AP27</f>
        <v/>
      </c>
      <c r="AR27" s="55">
        <f>$AR26+$AP27</f>
        <v/>
      </c>
      <c r="AS27" s="57">
        <f>SUMIFS(tblFleet[Calendar_h],tblFleet[Date],$A27,tblFleet[Equipment_Class],"Excavator")</f>
        <v/>
      </c>
      <c r="AT27" s="57">
        <f>IF($B27=$B26,$AT26,0)+$AS27</f>
        <v/>
      </c>
      <c r="AU27" s="57">
        <f>$AU26+$AS27</f>
        <v/>
      </c>
      <c r="AV27" s="57">
        <f>SUMIFS(tblFleet[Available_h],tblFleet[Date],$A27,tblFleet[Equipment_Class],"Excavator")</f>
        <v/>
      </c>
      <c r="AW27" s="57">
        <f>IF($B27=$B26,$AW26,0)+$AV27</f>
        <v/>
      </c>
      <c r="AX27" s="57">
        <f>$AX26+$AV27</f>
        <v/>
      </c>
      <c r="AY27" s="57">
        <f>SUMIFS(tblFleet[Operating_h],tblFleet[Date],$A27,tblFleet[Equipment_Class],"Excavator")</f>
        <v/>
      </c>
      <c r="AZ27" s="57">
        <f>IF($B27=$B26,$AZ26,0)+$AY27</f>
        <v/>
      </c>
      <c r="BA27" s="57">
        <f>$BA26+$AY27</f>
        <v/>
      </c>
      <c r="BB27" s="67">
        <f>IFERROR(IF(($AS27)&gt;0,($AV27)/($AS27),""),"")</f>
        <v/>
      </c>
      <c r="BC27" s="67">
        <f>IFERROR(IF(($AT27)&gt;0,($AW27)/($AT27),""),"")</f>
        <v/>
      </c>
      <c r="BD27" s="67">
        <f>IFERROR(IF(($AU27)&gt;0,($AX27)/($AU27),""),"")</f>
        <v/>
      </c>
      <c r="BE27" s="67">
        <f>IFERROR(IF(($AV27)&gt;0,($AY27)/($AV27),""),"")</f>
        <v/>
      </c>
      <c r="BF27" s="67">
        <f>IFERROR(IF(($AW27)&gt;0,($AZ27)/($AW27),""),"")</f>
        <v/>
      </c>
      <c r="BG27" s="67">
        <f>IFERROR(IF(($AX27)&gt;0,($BA27)/($AX27),""),"")</f>
        <v/>
      </c>
      <c r="BH27" s="57">
        <f>SUMIFS(tblFleet[Calendar_h],tblFleet[Date],$A27,tblFleet[Equipment_Class],"Haul Truck")</f>
        <v/>
      </c>
      <c r="BI27" s="57">
        <f>IF($B27=$B26,$BI26,0)+$BH27</f>
        <v/>
      </c>
      <c r="BJ27" s="57">
        <f>$BJ26+$BH27</f>
        <v/>
      </c>
      <c r="BK27" s="57">
        <f>SUMIFS(tblFleet[Available_h],tblFleet[Date],$A27,tblFleet[Equipment_Class],"Haul Truck")</f>
        <v/>
      </c>
      <c r="BL27" s="57">
        <f>IF($B27=$B26,$BL26,0)+$BK27</f>
        <v/>
      </c>
      <c r="BM27" s="57">
        <f>$BM26+$BK27</f>
        <v/>
      </c>
      <c r="BN27" s="57">
        <f>SUMIFS(tblFleet[Operating_h],tblFleet[Date],$A27,tblFleet[Equipment_Class],"Haul Truck")</f>
        <v/>
      </c>
      <c r="BO27" s="57">
        <f>IF($B27=$B26,$BO26,0)+$BN27</f>
        <v/>
      </c>
      <c r="BP27" s="57">
        <f>$BP26+$BN27</f>
        <v/>
      </c>
      <c r="BQ27" s="67">
        <f>IFERROR(IF(($BH27)&gt;0,($BK27)/($BH27),""),"")</f>
        <v/>
      </c>
      <c r="BR27" s="67">
        <f>IFERROR(IF(($BI27)&gt;0,($BL27)/($BI27),""),"")</f>
        <v/>
      </c>
      <c r="BS27" s="67">
        <f>IFERROR(IF(($BJ27)&gt;0,($BM27)/($BJ27),""),"")</f>
        <v/>
      </c>
      <c r="BT27" s="67">
        <f>IFERROR(IF(($BK27)&gt;0,($BN27)/($BK27),""),"")</f>
        <v/>
      </c>
      <c r="BU27" s="67">
        <f>IFERROR(IF(($BL27)&gt;0,($BO27)/($BL27),""),"")</f>
        <v/>
      </c>
      <c r="BV27" s="67">
        <f>IFERROR(IF(($BM27)&gt;0,($BP27)/($BM27),""),"")</f>
        <v/>
      </c>
      <c r="BW27" s="55">
        <f>SUMIFS(tblPlant[Crushed_t],tblPlant[Date],$A27)</f>
        <v/>
      </c>
      <c r="BX27" s="55">
        <f>IF($B27=$B26,$BX26,0)+$BW27</f>
        <v/>
      </c>
      <c r="BY27" s="55">
        <f>$BY26+$BW27</f>
        <v/>
      </c>
      <c r="BZ27" s="55">
        <f>SUMIFS(tblPlant[Milled_t],tblPlant[Date],$A27)</f>
        <v/>
      </c>
      <c r="CA27" s="55">
        <f>IF($B27=$B26,$CA26,0)+$BZ27</f>
        <v/>
      </c>
      <c r="CB27" s="55">
        <f>$CB26+$BZ27</f>
        <v/>
      </c>
      <c r="CC27" s="55">
        <f>SUMIFS(tblPlant[Feed_oz],tblPlant[Date],$A27)</f>
        <v/>
      </c>
      <c r="CD27" s="55">
        <f>IF($B27=$B26,$CD26,0)+$CC27</f>
        <v/>
      </c>
      <c r="CE27" s="55">
        <f>$CE26+$CC27</f>
        <v/>
      </c>
      <c r="CF27" s="55">
        <f>SUMIFS(tblPlant[Tails_oz],tblPlant[Date],$A27)</f>
        <v/>
      </c>
      <c r="CG27" s="55">
        <f>IF($B27=$B26,$CG26,0)+$CF27</f>
        <v/>
      </c>
      <c r="CH27" s="55">
        <f>$CH26+$CF27</f>
        <v/>
      </c>
      <c r="CI27" s="55">
        <f>SUMIFS(tblPlant[Recovered_oz],tblPlant[Date],$A27)</f>
        <v/>
      </c>
      <c r="CJ27" s="55">
        <f>IF($B27=$B26,$CJ26,0)+$CI27</f>
        <v/>
      </c>
      <c r="CK27" s="55">
        <f>$CK26+$CI27</f>
        <v/>
      </c>
      <c r="CL27" s="56">
        <f>IFERROR(IF(($BZ27)&gt;0,($CC27*cfg_TroyOz)/($BZ27),""),"")</f>
        <v/>
      </c>
      <c r="CM27" s="56">
        <f>IFERROR(IF(($CA27)&gt;0,($CD27*cfg_TroyOz)/($CA27),""),"")</f>
        <v/>
      </c>
      <c r="CN27" s="56">
        <f>IFERROR(IF(($CB27)&gt;0,($CE27*cfg_TroyOz)/($CB27),""),"")</f>
        <v/>
      </c>
      <c r="CO27" s="56">
        <f>IFERROR(IF(($BZ27)&gt;0,($CF27*cfg_TroyOz)/($BZ27),""),"")</f>
        <v/>
      </c>
      <c r="CP27" s="56">
        <f>IFERROR(IF(($CA27)&gt;0,($CG27*cfg_TroyOz)/($CA27),""),"")</f>
        <v/>
      </c>
      <c r="CQ27" s="56">
        <f>IFERROR(IF(($CB27)&gt;0,($CH27*cfg_TroyOz)/($CB27),""),"")</f>
        <v/>
      </c>
      <c r="CR27" s="67">
        <f>IFERROR(IF(($CC27)&gt;0,($CI27)/($CC27),""),"")</f>
        <v/>
      </c>
      <c r="CS27" s="67">
        <f>IFERROR(IF(($CD27)&gt;0,($CJ27)/($CD27),""),"")</f>
        <v/>
      </c>
      <c r="CT27" s="67">
        <f>IFERROR(IF(($CE27)&gt;0,($CK27)/($CE27),""),"")</f>
        <v/>
      </c>
      <c r="CU27" s="55">
        <f>SUMIFS(tblPlant[Gravity_Gold_oz],tblPlant[Date],$A27)</f>
        <v/>
      </c>
      <c r="CV27" s="55">
        <f>IF($B27=$B26,$CV26,0)+$CU27</f>
        <v/>
      </c>
      <c r="CW27" s="55">
        <f>$CW26+$CU27</f>
        <v/>
      </c>
      <c r="CX27" s="55">
        <f>SUMIFS(tblPlant[Gold_Poured_oz],tblPlant[Date],$A27)</f>
        <v/>
      </c>
      <c r="CY27" s="55">
        <f>IF($B27=$B26,$CY26,0)+$CX27</f>
        <v/>
      </c>
      <c r="CZ27" s="55">
        <f>$CZ26+$CX27</f>
        <v/>
      </c>
      <c r="DA27" s="57">
        <f>SUMIFS(tblPlant[Mill_Run_h],tblPlant[Date],$A27)</f>
        <v/>
      </c>
      <c r="DB27" s="57">
        <f>IF($B27=$B26,$DB26,0)+$DA27</f>
        <v/>
      </c>
      <c r="DC27" s="57">
        <f>$DC26+$DA27</f>
        <v/>
      </c>
      <c r="DD27" s="57">
        <f>SUMIFS(tblPlant[Mill_Planned_Maint_h],tblPlant[Date],$A27)</f>
        <v/>
      </c>
      <c r="DE27" s="57">
        <f>IF($B27=$B26,$DE26,0)+$DD27</f>
        <v/>
      </c>
      <c r="DF27" s="57">
        <f>$DF26+$DD27</f>
        <v/>
      </c>
      <c r="DG27" s="57">
        <f>SUMIFS(tblPlant[Mill_Unplanned_Down_h],tblPlant[Date],$A27)</f>
        <v/>
      </c>
      <c r="DH27" s="57">
        <f>IF($B27=$B26,$DH26,0)+$DG27</f>
        <v/>
      </c>
      <c r="DI27" s="57">
        <f>$DI26+$DG27</f>
        <v/>
      </c>
      <c r="DJ27" s="57">
        <f>COUNTIFS(tblPlant[Date],$A27,tblPlant[Mill_Run_h],"&lt;&gt;")*24</f>
        <v/>
      </c>
      <c r="DK27" s="57">
        <f>IF($B27=$B26,$DK26,0)+$DJ27</f>
        <v/>
      </c>
      <c r="DL27" s="57">
        <f>$DL26+$DJ27</f>
        <v/>
      </c>
      <c r="DM27" s="57">
        <f>SUMIFS(tblPlant[Crusher_Run_h],tblPlant[Date],$A27)</f>
        <v/>
      </c>
      <c r="DN27" s="57">
        <f>IF($B27=$B26,$DN26,0)+$DM27</f>
        <v/>
      </c>
      <c r="DO27" s="57">
        <f>$DO26+$DM27</f>
        <v/>
      </c>
      <c r="DP27" s="55">
        <f>IFERROR(IF(($DA27)&gt;0,($BZ27)/($DA27),""),"")</f>
        <v/>
      </c>
      <c r="DQ27" s="55">
        <f>IFERROR(IF(($DB27)&gt;0,($CA27)/($DB27),""),"")</f>
        <v/>
      </c>
      <c r="DR27" s="55">
        <f>IFERROR(IF(($DC27)&gt;0,($CB27)/($DC27),""),"")</f>
        <v/>
      </c>
      <c r="DS27" s="67">
        <f>IFERROR(IF(($DJ27)&gt;0,($DJ27-$DD27-$DG27)/($DJ27),""),"")</f>
        <v/>
      </c>
      <c r="DT27" s="67">
        <f>IFERROR(IF(($DK27)&gt;0,($DK27-$DE27-$DH27)/($DK27),""),"")</f>
        <v/>
      </c>
      <c r="DU27" s="67">
        <f>IFERROR(IF(($DL27)&gt;0,($DL27-$DF27-$DI27)/($DL27),""),"")</f>
        <v/>
      </c>
      <c r="DV27" s="67">
        <f>IFERROR(IF(($DJ27-$DD27-$DG27)&gt;0,($DA27)/($DJ27-$DD27-$DG27),""),"")</f>
        <v/>
      </c>
      <c r="DW27" s="67">
        <f>IFERROR(IF(($DK27-$DE27-$DH27)&gt;0,($DB27)/($DK27-$DE27-$DH27),""),"")</f>
        <v/>
      </c>
      <c r="DX27" s="67">
        <f>IFERROR(IF(($DL27-$DF27-$DI27)&gt;0,($DC27)/($DL27-$DF27-$DI27),""),"")</f>
        <v/>
      </c>
      <c r="DY27" s="55">
        <f>SUMIFS(tblPlant[Cyanide_kg],tblPlant[Date],$A27)</f>
        <v/>
      </c>
      <c r="DZ27" s="55">
        <f>IF($B27=$B26,$DZ26,0)+$DY27</f>
        <v/>
      </c>
      <c r="EA27" s="55">
        <f>$EA26+$DY27</f>
        <v/>
      </c>
      <c r="EB27" s="55">
        <f>SUMIFS(tblPlant[Lime_kg],tblPlant[Date],$A27)</f>
        <v/>
      </c>
      <c r="EC27" s="55">
        <f>IF($B27=$B26,$EC26,0)+$EB27</f>
        <v/>
      </c>
      <c r="ED27" s="55">
        <f>$ED26+$EB27</f>
        <v/>
      </c>
      <c r="EE27" s="55">
        <f>SUMIFS(tblPlant[Grinding_Media_kg],tblPlant[Date],$A27)</f>
        <v/>
      </c>
      <c r="EF27" s="55">
        <f>IF($B27=$B26,$EF26,0)+$EE27</f>
        <v/>
      </c>
      <c r="EG27" s="55">
        <f>$EG26+$EE27</f>
        <v/>
      </c>
      <c r="EH27" s="55">
        <f>SUMIFS(tblPlant[Power_kWh],tblPlant[Date],$A27)</f>
        <v/>
      </c>
      <c r="EI27" s="55">
        <f>IF($B27=$B26,$EI26,0)+$EH27</f>
        <v/>
      </c>
      <c r="EJ27" s="55">
        <f>$EJ26+$EH27</f>
        <v/>
      </c>
      <c r="EK27" s="55">
        <f>SUMIFS(tblPlant[Raw_Water_m3],tblPlant[Date],$A27)</f>
        <v/>
      </c>
      <c r="EL27" s="55">
        <f>IF($B27=$B26,$EL26,0)+$EK27</f>
        <v/>
      </c>
      <c r="EM27" s="55">
        <f>$EM26+$EK27</f>
        <v/>
      </c>
      <c r="EN27" s="56">
        <f>IFERROR(IF(($BZ27)&gt;0,($DY27)/($BZ27),""),"")</f>
        <v/>
      </c>
      <c r="EO27" s="56">
        <f>IFERROR(IF(($CA27)&gt;0,($DZ27)/($CA27),""),"")</f>
        <v/>
      </c>
      <c r="EP27" s="56">
        <f>IFERROR(IF(($CB27)&gt;0,($EA27)/($CB27),""),"")</f>
        <v/>
      </c>
      <c r="EQ27" s="56">
        <f>IFERROR(IF(($BZ27)&gt;0,($EB27)/($BZ27),""),"")</f>
        <v/>
      </c>
      <c r="ER27" s="56">
        <f>IFERROR(IF(($CA27)&gt;0,($EC27)/($CA27),""),"")</f>
        <v/>
      </c>
      <c r="ES27" s="56">
        <f>IFERROR(IF(($CB27)&gt;0,($ED27)/($CB27),""),"")</f>
        <v/>
      </c>
      <c r="ET27" s="56">
        <f>IFERROR(IF(($BZ27)&gt;0,($EE27)/($BZ27),""),"")</f>
        <v/>
      </c>
      <c r="EU27" s="56">
        <f>IFERROR(IF(($CA27)&gt;0,($EF27)/($CA27),""),"")</f>
        <v/>
      </c>
      <c r="EV27" s="56">
        <f>IFERROR(IF(($CB27)&gt;0,($EG27)/($CB27),""),"")</f>
        <v/>
      </c>
      <c r="EW27" s="76">
        <f>IFERROR(IF(($BZ27)&gt;0,($EH27)/($BZ27),""),"")</f>
        <v/>
      </c>
      <c r="EX27" s="76">
        <f>IFERROR(IF(($CA27)&gt;0,($EI27)/($CA27),""),"")</f>
        <v/>
      </c>
      <c r="EY27" s="76">
        <f>IFERROR(IF(($CB27)&gt;0,($EJ27)/($CB27),""),"")</f>
        <v/>
      </c>
      <c r="EZ27" s="56">
        <f>IFERROR(IF(($BZ27)&gt;0,($EK27)/($BZ27),""),"")</f>
        <v/>
      </c>
      <c r="FA27" s="56">
        <f>IFERROR(IF(($CA27)&gt;0,($EL27)/($CA27),""),"")</f>
        <v/>
      </c>
      <c r="FB27" s="56">
        <f>IFERROR(IF(($CB27)&gt;0,($EM27)/($CB27),""),"")</f>
        <v/>
      </c>
      <c r="FC27" s="55">
        <f>IF(SUMIFS(tblPlant[GIC_oz],tblPlant[Date],$A27)&gt;0,SUMIFS(tblPlant[GIC_oz],tblPlant[Date],$A27),"")</f>
        <v/>
      </c>
      <c r="FD27" s="55">
        <f>SUMIFS(tblGold[Gold_oz],tblGold[Date],$A27,tblGold[Type],"Shipment")</f>
        <v/>
      </c>
      <c r="FE27" s="55">
        <f>IF($B27=$B26,$FE26,0)+$FD27</f>
        <v/>
      </c>
      <c r="FF27" s="55">
        <f>$FF26+$FD27</f>
        <v/>
      </c>
      <c r="FG27" s="55">
        <f>SUMIFS(tblGold[Gold_oz],tblGold[Date],$A27,tblGold[Type],"Sale")</f>
        <v/>
      </c>
      <c r="FH27" s="55">
        <f>IF($B27=$B26,$FH26,0)+$FG27</f>
        <v/>
      </c>
      <c r="FI27" s="55">
        <f>$FI26+$FG27</f>
        <v/>
      </c>
      <c r="FJ27" s="55">
        <f>SUMIFS(tblGold[Dore_kg],tblGold[Date],$A27,tblGold[Type],"Shipment")</f>
        <v/>
      </c>
      <c r="FK27" s="55">
        <f>IF($B27=$B26,$FK26,0)+$FJ27</f>
        <v/>
      </c>
      <c r="FL27" s="55">
        <f>$FL26+$FJ27</f>
        <v/>
      </c>
      <c r="FM27" s="57">
        <f>SUMIFS(tblSafety[Hours_Total],tblSafety[Date],$A27)</f>
        <v/>
      </c>
      <c r="FN27" s="57">
        <f>IF($B27=$B26,$FN26,0)+$FM27</f>
        <v/>
      </c>
      <c r="FO27" s="57">
        <f>$FO26+$FM27</f>
        <v/>
      </c>
      <c r="FP27" s="62">
        <f>SUMIFS(tblSafety[Fatality],tblSafety[Date],$A27)</f>
        <v/>
      </c>
      <c r="FQ27" s="62">
        <f>IF($B27=$B26,$FQ26,0)+$FP27</f>
        <v/>
      </c>
      <c r="FR27" s="62">
        <f>$FR26+$FP27</f>
        <v/>
      </c>
      <c r="FS27" s="62">
        <f>SUMIFS(tblSafety[LTI],tblSafety[Date],$A27)</f>
        <v/>
      </c>
      <c r="FT27" s="62">
        <f>IF($B27=$B26,$FT26,0)+$FS27</f>
        <v/>
      </c>
      <c r="FU27" s="62">
        <f>$FU26+$FS27</f>
        <v/>
      </c>
      <c r="FV27" s="62">
        <f>SUMIFS(tblSafety[RWI],tblSafety[Date],$A27)</f>
        <v/>
      </c>
      <c r="FW27" s="62">
        <f>IF($B27=$B26,$FW26,0)+$FV27</f>
        <v/>
      </c>
      <c r="FX27" s="62">
        <f>$FX26+$FV27</f>
        <v/>
      </c>
      <c r="FY27" s="62">
        <f>SUMIFS(tblSafety[MTI],tblSafety[Date],$A27)</f>
        <v/>
      </c>
      <c r="FZ27" s="62">
        <f>IF($B27=$B26,$FZ26,0)+$FY27</f>
        <v/>
      </c>
      <c r="GA27" s="62">
        <f>$GA26+$FY27</f>
        <v/>
      </c>
      <c r="GB27" s="62">
        <f>SUMIFS(tblSafety[FAI],tblSafety[Date],$A27)</f>
        <v/>
      </c>
      <c r="GC27" s="62">
        <f>IF($B27=$B26,$GC26,0)+$GB27</f>
        <v/>
      </c>
      <c r="GD27" s="62">
        <f>$GD26+$GB27</f>
        <v/>
      </c>
      <c r="GE27" s="62">
        <f>SUMIFS(tblSafety[Recordables],tblSafety[Date],$A27)</f>
        <v/>
      </c>
      <c r="GF27" s="62">
        <f>IF($B27=$B26,$GF26,0)+$GE27</f>
        <v/>
      </c>
      <c r="GG27" s="62">
        <f>$GG26+$GE27</f>
        <v/>
      </c>
      <c r="GH27" s="62">
        <f>SUMIFS(tblSafety[Near_Miss],tblSafety[Date],$A27)</f>
        <v/>
      </c>
      <c r="GI27" s="62">
        <f>IF($B27=$B26,$GI26,0)+$GH27</f>
        <v/>
      </c>
      <c r="GJ27" s="62">
        <f>$GJ26+$GH27</f>
        <v/>
      </c>
      <c r="GK27" s="62">
        <f>SUMIFS(tblSafety[Hazard_Reports],tblSafety[Date],$A27)</f>
        <v/>
      </c>
      <c r="GL27" s="62">
        <f>IF($B27=$B26,$GL26,0)+$GK27</f>
        <v/>
      </c>
      <c r="GM27" s="62">
        <f>$GM26+$GK27</f>
        <v/>
      </c>
      <c r="GN27" s="62">
        <f>SUMIFS(tblSafety[HPI],tblSafety[Date],$A27)</f>
        <v/>
      </c>
      <c r="GO27" s="62">
        <f>IF($B27=$B26,$GO26,0)+$GN27</f>
        <v/>
      </c>
      <c r="GP27" s="62">
        <f>$GP26+$GN27</f>
        <v/>
      </c>
      <c r="GQ27" s="62">
        <f>SUMIFS(tblSafety[Env_Incidents],tblSafety[Date],$A27)</f>
        <v/>
      </c>
      <c r="GR27" s="62">
        <f>IF($B27=$B26,$GR26,0)+$GQ27</f>
        <v/>
      </c>
      <c r="GS27" s="62">
        <f>$GS26+$GQ27</f>
        <v/>
      </c>
      <c r="GT27" s="62">
        <f>SUMIFS(tblSafety[Community_Incidents],tblSafety[Date],$A27)</f>
        <v/>
      </c>
      <c r="GU27" s="62">
        <f>IF($B27=$B26,$GU26,0)+$GT27</f>
        <v/>
      </c>
      <c r="GV27" s="62">
        <f>$GV26+$GT27</f>
        <v/>
      </c>
      <c r="GW27" s="62">
        <f>SUMIFS(tblSafety[Vehicle_Incidents],tblSafety[Date],$A27)</f>
        <v/>
      </c>
      <c r="GX27" s="62">
        <f>IF($B27=$B26,$GX26,0)+$GW27</f>
        <v/>
      </c>
      <c r="GY27" s="62">
        <f>$GY26+$GW27</f>
        <v/>
      </c>
      <c r="GZ27" s="62">
        <f>SUMIFS(tblSafety[Toolbox_Talks],tblSafety[Date],$A27)</f>
        <v/>
      </c>
      <c r="HA27" s="62">
        <f>IF($B27=$B26,$HA26,0)+$GZ27</f>
        <v/>
      </c>
      <c r="HB27" s="62">
        <f>$HB26+$GZ27</f>
        <v/>
      </c>
      <c r="HC27" s="62">
        <f>SUMIFS(tblSafety[Inspections],tblSafety[Date],$A27)</f>
        <v/>
      </c>
      <c r="HD27" s="62">
        <f>IF($B27=$B26,$HD26,0)+$HC27</f>
        <v/>
      </c>
      <c r="HE27" s="62">
        <f>$HE26+$HC27</f>
        <v/>
      </c>
      <c r="HF27" s="56">
        <f>IFERROR((SUMIFS(tblSafety[Recordables],tblSafety[Date],"&gt;="&amp;EDATE($E27,-12),tblSafety[Date],"&lt;="&amp;$A27)+SUMIFS(tblSafetyHistory[Recordables],tblSafetyHistory[Month],"&gt;="&amp;EDATE($E27,-12),tblSafetyHistory[Month],"&lt;"&amp;cfg_YearStart))/(SUMIFS(tblSafety[Hours_Total],tblSafety[Date],"&gt;="&amp;EDATE($E27,-12),tblSafety[Date],"&lt;="&amp;$A27)+SUMIFS(tblSafetyHistory[Hours_Total],tblSafetyHistory[Month],"&gt;="&amp;EDATE($E27,-12),tblSafetyHistory[Month],"&lt;"&amp;cfg_YearStart))*1000000,"")</f>
        <v/>
      </c>
      <c r="HG27" s="56">
        <f>IFERROR((SUMIFS(tblSafety[LTI],tblSafety[Date],"&gt;="&amp;EDATE($E27,-12),tblSafety[Date],"&lt;="&amp;$A27)+SUMIFS(tblSafetyHistory[LTI],tblSafetyHistory[Month],"&gt;="&amp;EDATE($E27,-12),tblSafetyHistory[Month],"&lt;"&amp;cfg_YearStart))/(SUMIFS(tblSafety[Hours_Total],tblSafety[Date],"&gt;="&amp;EDATE($E27,-12),tblSafety[Date],"&lt;="&amp;$A27)+SUMIFS(tblSafetyHistory[Hours_Total],tblSafetyHistory[Month],"&gt;="&amp;EDATE($E27,-12),tblSafetyHistory[Month],"&lt;"&amp;cfg_YearStart))*1000000,"")</f>
        <v/>
      </c>
      <c r="HH27" s="62">
        <f>IF(MAX(N(cfg_PriorLTIDate),_xlfn.MAXIFS(tblSafety[Date],tblSafety[LTI],"&gt;0",tblSafety[Date],"&lt;="&amp;$A27))=0,"",$A27-MAX(N(cfg_PriorLTIDate),_xlfn.MAXIFS(tblSafety[Date],tblSafety[LTI],"&gt;0",tblSafety[Date],"&lt;="&amp;$A27)))</f>
        <v/>
      </c>
      <c r="HI27" s="55">
        <f>SUMIFS(tblBudget[Ore_Mined_t],tblBudget[Month],$E27)</f>
        <v/>
      </c>
      <c r="HJ27" s="55">
        <f>$HI27*$C27/$D27</f>
        <v/>
      </c>
      <c r="HK27" s="55">
        <f>SUMIFS(tblBudget[Ore_Mined_t],tblBudget[Month],"&lt;"&amp;$E27)+$HJ27</f>
        <v/>
      </c>
      <c r="HL27" s="55">
        <f>SUMIFS(tblBudget[Ore_oz],tblBudget[Month],$E27)</f>
        <v/>
      </c>
      <c r="HM27" s="55">
        <f>$HL27*$C27/$D27</f>
        <v/>
      </c>
      <c r="HN27" s="55">
        <f>SUMIFS(tblBudget[Ore_oz],tblBudget[Month],"&lt;"&amp;$E27)+$HM27</f>
        <v/>
      </c>
      <c r="HO27" s="56">
        <f>IFERROR(IF(($HI27)&gt;0,($HL27*cfg_TroyOz)/($HI27),""),"")</f>
        <v/>
      </c>
      <c r="HP27" s="56">
        <f>IFERROR(IF(($HJ27)&gt;0,($HM27*cfg_TroyOz)/($HJ27),""),"")</f>
        <v/>
      </c>
      <c r="HQ27" s="56">
        <f>IFERROR(IF(($HK27)&gt;0,($HN27*cfg_TroyOz)/($HK27),""),"")</f>
        <v/>
      </c>
      <c r="HR27" s="55">
        <f>SUMIFS(tblBudget[Waste_t],tblBudget[Month],$E27)</f>
        <v/>
      </c>
      <c r="HS27" s="55">
        <f>$HR27*$C27/$D27</f>
        <v/>
      </c>
      <c r="HT27" s="55">
        <f>SUMIFS(tblBudget[Waste_t],tblBudget[Month],"&lt;"&amp;$E27)+$HS27</f>
        <v/>
      </c>
      <c r="HU27" s="55">
        <f>SUMIFS(tblBudget[TMM_t],tblBudget[Month],$E27)</f>
        <v/>
      </c>
      <c r="HV27" s="55">
        <f>$HU27*$C27/$D27</f>
        <v/>
      </c>
      <c r="HW27" s="55">
        <f>SUMIFS(tblBudget[TMM_t],tblBudget[Month],"&lt;"&amp;$E27)+$HV27</f>
        <v/>
      </c>
      <c r="HX27" s="56">
        <f>IFERROR(IF(($HI27)&gt;0,($HR27)/($HI27),""),"")</f>
        <v/>
      </c>
      <c r="HY27" s="56">
        <f>IFERROR(IF(($HJ27)&gt;0,($HS27)/($HJ27),""),"")</f>
        <v/>
      </c>
      <c r="HZ27" s="56">
        <f>IFERROR(IF(($HK27)&gt;0,($HT27)/($HK27),""),"")</f>
        <v/>
      </c>
      <c r="IA27" s="55">
        <f>SUMIFS(tblBudget[Drill_m],tblBudget[Month],$E27)</f>
        <v/>
      </c>
      <c r="IB27" s="55">
        <f>$IA27*$C27/$D27</f>
        <v/>
      </c>
      <c r="IC27" s="55">
        <f>SUMIFS(tblBudget[Drill_m],tblBudget[Month],"&lt;"&amp;$E27)+$IB27</f>
        <v/>
      </c>
      <c r="ID27" s="55">
        <f>SUMIFS(tblBudget[Diesel_L],tblBudget[Month],$E27)</f>
        <v/>
      </c>
      <c r="IE27" s="55">
        <f>$ID27*$C27/$D27</f>
        <v/>
      </c>
      <c r="IF27" s="55">
        <f>SUMIFS(tblBudget[Diesel_L],tblBudget[Month],"&lt;"&amp;$E27)+$IE27</f>
        <v/>
      </c>
      <c r="IG27" s="55">
        <f>SUMIFS(tblBudget[Milled_t],tblBudget[Month],$E27)</f>
        <v/>
      </c>
      <c r="IH27" s="55">
        <f>$IG27*$C27/$D27</f>
        <v/>
      </c>
      <c r="II27" s="55">
        <f>SUMIFS(tblBudget[Milled_t],tblBudget[Month],"&lt;"&amp;$E27)+$IH27</f>
        <v/>
      </c>
      <c r="IJ27" s="55">
        <f>SUMIFS(tblBudget[Feed_oz],tblBudget[Month],$E27)</f>
        <v/>
      </c>
      <c r="IK27" s="55">
        <f>$IJ27*$C27/$D27</f>
        <v/>
      </c>
      <c r="IL27" s="55">
        <f>SUMIFS(tblBudget[Feed_oz],tblBudget[Month],"&lt;"&amp;$E27)+$IK27</f>
        <v/>
      </c>
      <c r="IM27" s="55">
        <f>SUMIFS(tblBudget[Recovered_oz],tblBudget[Month],$E27)</f>
        <v/>
      </c>
      <c r="IN27" s="55">
        <f>$IM27*$C27/$D27</f>
        <v/>
      </c>
      <c r="IO27" s="55">
        <f>SUMIFS(tblBudget[Recovered_oz],tblBudget[Month],"&lt;"&amp;$E27)+$IN27</f>
        <v/>
      </c>
      <c r="IP27" s="56">
        <f>IFERROR(IF(($IG27)&gt;0,($IJ27*cfg_TroyOz)/($IG27),""),"")</f>
        <v/>
      </c>
      <c r="IQ27" s="56">
        <f>IFERROR(IF(($IH27)&gt;0,($IK27*cfg_TroyOz)/($IH27),""),"")</f>
        <v/>
      </c>
      <c r="IR27" s="56">
        <f>IFERROR(IF(($II27)&gt;0,($IL27*cfg_TroyOz)/($II27),""),"")</f>
        <v/>
      </c>
      <c r="IS27" s="67">
        <f>IFERROR(IF(($IJ27)&gt;0,($IM27)/($IJ27),""),"")</f>
        <v/>
      </c>
      <c r="IT27" s="67">
        <f>IFERROR(IF(($IK27)&gt;0,($IN27)/($IK27),""),"")</f>
        <v/>
      </c>
      <c r="IU27" s="67">
        <f>IFERROR(IF(($IL27)&gt;0,($IO27)/($IL27),""),"")</f>
        <v/>
      </c>
      <c r="IV27" s="55">
        <f>SUMIFS(tblBudget[Gold_Poured_oz],tblBudget[Month],$E27)</f>
        <v/>
      </c>
      <c r="IW27" s="55">
        <f>$IV27*$C27/$D27</f>
        <v/>
      </c>
      <c r="IX27" s="55">
        <f>SUMIFS(tblBudget[Gold_Poured_oz],tblBudget[Month],"&lt;"&amp;$E27)+$IW27</f>
        <v/>
      </c>
      <c r="IY27" s="57">
        <f>SUMIFS(tblBudget[Hours_Worked],tblBudget[Month],$E27)</f>
        <v/>
      </c>
      <c r="IZ27" s="57">
        <f>$IY27*$C27/$D27</f>
        <v/>
      </c>
      <c r="JA27" s="57">
        <f>SUMIFS(tblBudget[Hours_Worked],tblBudget[Month],"&lt;"&amp;$E27)+$IZ27</f>
        <v/>
      </c>
    </row>
    <row r="28">
      <c r="A28" s="54" t="n">
        <v>46049</v>
      </c>
      <c r="B28">
        <f>MONTH($A28)</f>
        <v/>
      </c>
      <c r="C28">
        <f>DAY($A28)</f>
        <v/>
      </c>
      <c r="D28">
        <f>DAY(EOMONTH($A28,0))</f>
        <v/>
      </c>
      <c r="E28" s="54">
        <f>DATE(YEAR($A28),MONTH($A28),1)</f>
        <v/>
      </c>
      <c r="F28" s="55">
        <f>SUMIFS(tblMovement[Tonnes_t],tblMovement[Date],$A28,tblMovement[Is_Ore],1,tblMovement[Source_Type],"Pit")</f>
        <v/>
      </c>
      <c r="G28" s="55">
        <f>IF($B28=$B27,$G27,0)+$F28</f>
        <v/>
      </c>
      <c r="H28" s="55">
        <f>$H27+$F28</f>
        <v/>
      </c>
      <c r="I28" s="55">
        <f>SUMIFS(tblMovement[Ore_oz],tblMovement[Date],$A28,tblMovement[Source_Type],"Pit")</f>
        <v/>
      </c>
      <c r="J28" s="55">
        <f>IF($B28=$B27,$J27,0)+$I28</f>
        <v/>
      </c>
      <c r="K28" s="55">
        <f>$K27+$I28</f>
        <v/>
      </c>
      <c r="L28" s="56">
        <f>IFERROR(IF(($F28)&gt;0,($I28*cfg_TroyOz)/($F28),""),"")</f>
        <v/>
      </c>
      <c r="M28" s="56">
        <f>IFERROR(IF(($G28)&gt;0,($J28*cfg_TroyOz)/($G28),""),"")</f>
        <v/>
      </c>
      <c r="N28" s="56">
        <f>IFERROR(IF(($H28)&gt;0,($K28*cfg_TroyOz)/($H28),""),"")</f>
        <v/>
      </c>
      <c r="O28" s="55">
        <f>SUMIFS(tblMovement[Tonnes_t],tblMovement[Date],$A28,tblMovement[Is_Ore],0,tblMovement[Source_Type],"Pit")</f>
        <v/>
      </c>
      <c r="P28" s="55">
        <f>IF($B28=$B27,$P27,0)+$O28</f>
        <v/>
      </c>
      <c r="Q28" s="55">
        <f>$Q27+$O28</f>
        <v/>
      </c>
      <c r="R28" s="55">
        <f>$F28+$O28</f>
        <v/>
      </c>
      <c r="S28" s="55">
        <f>IF($B28=$B27,$S27,0)+$R28</f>
        <v/>
      </c>
      <c r="T28" s="55">
        <f>$T27+$R28</f>
        <v/>
      </c>
      <c r="U28" s="56">
        <f>IFERROR(IF(($F28)&gt;0,($O28)/($F28),""),"")</f>
        <v/>
      </c>
      <c r="V28" s="56">
        <f>IFERROR(IF(($G28)&gt;0,($P28)/($G28),""),"")</f>
        <v/>
      </c>
      <c r="W28" s="56">
        <f>IFERROR(IF(($H28)&gt;0,($Q28)/($H28),""),"")</f>
        <v/>
      </c>
      <c r="X28" s="55">
        <f>SUMIFS(tblMovement[Tonnes_t],tblMovement[Date],$A28,tblMovement[Source_Type],"Stockpile")</f>
        <v/>
      </c>
      <c r="Y28" s="55">
        <f>IF($B28=$B27,$Y27,0)+$X28</f>
        <v/>
      </c>
      <c r="Z28" s="55">
        <f>$Z27+$X28</f>
        <v/>
      </c>
      <c r="AA28" s="55">
        <f>SUMIFS(tblMiningDaily[Drill_m],tblMiningDaily[Date],$A28)</f>
        <v/>
      </c>
      <c r="AB28" s="55">
        <f>IF($B28=$B27,$AB27,0)+$AA28</f>
        <v/>
      </c>
      <c r="AC28" s="55">
        <f>$AC27+$AA28</f>
        <v/>
      </c>
      <c r="AD28" s="55">
        <f>SUMIFS(tblMiningDaily[Blast_t],tblMiningDaily[Date],$A28)</f>
        <v/>
      </c>
      <c r="AE28" s="55">
        <f>IF($B28=$B27,$AE27,0)+$AD28</f>
        <v/>
      </c>
      <c r="AF28" s="55">
        <f>$AF27+$AD28</f>
        <v/>
      </c>
      <c r="AG28" s="55">
        <f>SUMIFS(tblMiningDaily[Explosives_kg],tblMiningDaily[Date],$A28)</f>
        <v/>
      </c>
      <c r="AH28" s="55">
        <f>IF($B28=$B27,$AH27,0)+$AG28</f>
        <v/>
      </c>
      <c r="AI28" s="55">
        <f>$AI27+$AG28</f>
        <v/>
      </c>
      <c r="AJ28" s="56">
        <f>IFERROR(IF(($AD28)&gt;0,($AG28)/($AD28),""),"")</f>
        <v/>
      </c>
      <c r="AK28" s="56">
        <f>IFERROR(IF(($AE28)&gt;0,($AH28)/($AE28),""),"")</f>
        <v/>
      </c>
      <c r="AL28" s="56">
        <f>IFERROR(IF(($AF28)&gt;0,($AI28)/($AF28),""),"")</f>
        <v/>
      </c>
      <c r="AM28" s="55">
        <f>SUMIFS(tblMiningDaily[Diesel_L],tblMiningDaily[Date],$A28)</f>
        <v/>
      </c>
      <c r="AN28" s="55">
        <f>IF($B28=$B27,$AN27,0)+$AM28</f>
        <v/>
      </c>
      <c r="AO28" s="55">
        <f>$AO27+$AM28</f>
        <v/>
      </c>
      <c r="AP28" s="55">
        <f>SUMIFS(tblMiningDaily[Dewatering_m3],tblMiningDaily[Date],$A28)</f>
        <v/>
      </c>
      <c r="AQ28" s="55">
        <f>IF($B28=$B27,$AQ27,0)+$AP28</f>
        <v/>
      </c>
      <c r="AR28" s="55">
        <f>$AR27+$AP28</f>
        <v/>
      </c>
      <c r="AS28" s="57">
        <f>SUMIFS(tblFleet[Calendar_h],tblFleet[Date],$A28,tblFleet[Equipment_Class],"Excavator")</f>
        <v/>
      </c>
      <c r="AT28" s="57">
        <f>IF($B28=$B27,$AT27,0)+$AS28</f>
        <v/>
      </c>
      <c r="AU28" s="57">
        <f>$AU27+$AS28</f>
        <v/>
      </c>
      <c r="AV28" s="57">
        <f>SUMIFS(tblFleet[Available_h],tblFleet[Date],$A28,tblFleet[Equipment_Class],"Excavator")</f>
        <v/>
      </c>
      <c r="AW28" s="57">
        <f>IF($B28=$B27,$AW27,0)+$AV28</f>
        <v/>
      </c>
      <c r="AX28" s="57">
        <f>$AX27+$AV28</f>
        <v/>
      </c>
      <c r="AY28" s="57">
        <f>SUMIFS(tblFleet[Operating_h],tblFleet[Date],$A28,tblFleet[Equipment_Class],"Excavator")</f>
        <v/>
      </c>
      <c r="AZ28" s="57">
        <f>IF($B28=$B27,$AZ27,0)+$AY28</f>
        <v/>
      </c>
      <c r="BA28" s="57">
        <f>$BA27+$AY28</f>
        <v/>
      </c>
      <c r="BB28" s="67">
        <f>IFERROR(IF(($AS28)&gt;0,($AV28)/($AS28),""),"")</f>
        <v/>
      </c>
      <c r="BC28" s="67">
        <f>IFERROR(IF(($AT28)&gt;0,($AW28)/($AT28),""),"")</f>
        <v/>
      </c>
      <c r="BD28" s="67">
        <f>IFERROR(IF(($AU28)&gt;0,($AX28)/($AU28),""),"")</f>
        <v/>
      </c>
      <c r="BE28" s="67">
        <f>IFERROR(IF(($AV28)&gt;0,($AY28)/($AV28),""),"")</f>
        <v/>
      </c>
      <c r="BF28" s="67">
        <f>IFERROR(IF(($AW28)&gt;0,($AZ28)/($AW28),""),"")</f>
        <v/>
      </c>
      <c r="BG28" s="67">
        <f>IFERROR(IF(($AX28)&gt;0,($BA28)/($AX28),""),"")</f>
        <v/>
      </c>
      <c r="BH28" s="57">
        <f>SUMIFS(tblFleet[Calendar_h],tblFleet[Date],$A28,tblFleet[Equipment_Class],"Haul Truck")</f>
        <v/>
      </c>
      <c r="BI28" s="57">
        <f>IF($B28=$B27,$BI27,0)+$BH28</f>
        <v/>
      </c>
      <c r="BJ28" s="57">
        <f>$BJ27+$BH28</f>
        <v/>
      </c>
      <c r="BK28" s="57">
        <f>SUMIFS(tblFleet[Available_h],tblFleet[Date],$A28,tblFleet[Equipment_Class],"Haul Truck")</f>
        <v/>
      </c>
      <c r="BL28" s="57">
        <f>IF($B28=$B27,$BL27,0)+$BK28</f>
        <v/>
      </c>
      <c r="BM28" s="57">
        <f>$BM27+$BK28</f>
        <v/>
      </c>
      <c r="BN28" s="57">
        <f>SUMIFS(tblFleet[Operating_h],tblFleet[Date],$A28,tblFleet[Equipment_Class],"Haul Truck")</f>
        <v/>
      </c>
      <c r="BO28" s="57">
        <f>IF($B28=$B27,$BO27,0)+$BN28</f>
        <v/>
      </c>
      <c r="BP28" s="57">
        <f>$BP27+$BN28</f>
        <v/>
      </c>
      <c r="BQ28" s="67">
        <f>IFERROR(IF(($BH28)&gt;0,($BK28)/($BH28),""),"")</f>
        <v/>
      </c>
      <c r="BR28" s="67">
        <f>IFERROR(IF(($BI28)&gt;0,($BL28)/($BI28),""),"")</f>
        <v/>
      </c>
      <c r="BS28" s="67">
        <f>IFERROR(IF(($BJ28)&gt;0,($BM28)/($BJ28),""),"")</f>
        <v/>
      </c>
      <c r="BT28" s="67">
        <f>IFERROR(IF(($BK28)&gt;0,($BN28)/($BK28),""),"")</f>
        <v/>
      </c>
      <c r="BU28" s="67">
        <f>IFERROR(IF(($BL28)&gt;0,($BO28)/($BL28),""),"")</f>
        <v/>
      </c>
      <c r="BV28" s="67">
        <f>IFERROR(IF(($BM28)&gt;0,($BP28)/($BM28),""),"")</f>
        <v/>
      </c>
      <c r="BW28" s="55">
        <f>SUMIFS(tblPlant[Crushed_t],tblPlant[Date],$A28)</f>
        <v/>
      </c>
      <c r="BX28" s="55">
        <f>IF($B28=$B27,$BX27,0)+$BW28</f>
        <v/>
      </c>
      <c r="BY28" s="55">
        <f>$BY27+$BW28</f>
        <v/>
      </c>
      <c r="BZ28" s="55">
        <f>SUMIFS(tblPlant[Milled_t],tblPlant[Date],$A28)</f>
        <v/>
      </c>
      <c r="CA28" s="55">
        <f>IF($B28=$B27,$CA27,0)+$BZ28</f>
        <v/>
      </c>
      <c r="CB28" s="55">
        <f>$CB27+$BZ28</f>
        <v/>
      </c>
      <c r="CC28" s="55">
        <f>SUMIFS(tblPlant[Feed_oz],tblPlant[Date],$A28)</f>
        <v/>
      </c>
      <c r="CD28" s="55">
        <f>IF($B28=$B27,$CD27,0)+$CC28</f>
        <v/>
      </c>
      <c r="CE28" s="55">
        <f>$CE27+$CC28</f>
        <v/>
      </c>
      <c r="CF28" s="55">
        <f>SUMIFS(tblPlant[Tails_oz],tblPlant[Date],$A28)</f>
        <v/>
      </c>
      <c r="CG28" s="55">
        <f>IF($B28=$B27,$CG27,0)+$CF28</f>
        <v/>
      </c>
      <c r="CH28" s="55">
        <f>$CH27+$CF28</f>
        <v/>
      </c>
      <c r="CI28" s="55">
        <f>SUMIFS(tblPlant[Recovered_oz],tblPlant[Date],$A28)</f>
        <v/>
      </c>
      <c r="CJ28" s="55">
        <f>IF($B28=$B27,$CJ27,0)+$CI28</f>
        <v/>
      </c>
      <c r="CK28" s="55">
        <f>$CK27+$CI28</f>
        <v/>
      </c>
      <c r="CL28" s="56">
        <f>IFERROR(IF(($BZ28)&gt;0,($CC28*cfg_TroyOz)/($BZ28),""),"")</f>
        <v/>
      </c>
      <c r="CM28" s="56">
        <f>IFERROR(IF(($CA28)&gt;0,($CD28*cfg_TroyOz)/($CA28),""),"")</f>
        <v/>
      </c>
      <c r="CN28" s="56">
        <f>IFERROR(IF(($CB28)&gt;0,($CE28*cfg_TroyOz)/($CB28),""),"")</f>
        <v/>
      </c>
      <c r="CO28" s="56">
        <f>IFERROR(IF(($BZ28)&gt;0,($CF28*cfg_TroyOz)/($BZ28),""),"")</f>
        <v/>
      </c>
      <c r="CP28" s="56">
        <f>IFERROR(IF(($CA28)&gt;0,($CG28*cfg_TroyOz)/($CA28),""),"")</f>
        <v/>
      </c>
      <c r="CQ28" s="56">
        <f>IFERROR(IF(($CB28)&gt;0,($CH28*cfg_TroyOz)/($CB28),""),"")</f>
        <v/>
      </c>
      <c r="CR28" s="67">
        <f>IFERROR(IF(($CC28)&gt;0,($CI28)/($CC28),""),"")</f>
        <v/>
      </c>
      <c r="CS28" s="67">
        <f>IFERROR(IF(($CD28)&gt;0,($CJ28)/($CD28),""),"")</f>
        <v/>
      </c>
      <c r="CT28" s="67">
        <f>IFERROR(IF(($CE28)&gt;0,($CK28)/($CE28),""),"")</f>
        <v/>
      </c>
      <c r="CU28" s="55">
        <f>SUMIFS(tblPlant[Gravity_Gold_oz],tblPlant[Date],$A28)</f>
        <v/>
      </c>
      <c r="CV28" s="55">
        <f>IF($B28=$B27,$CV27,0)+$CU28</f>
        <v/>
      </c>
      <c r="CW28" s="55">
        <f>$CW27+$CU28</f>
        <v/>
      </c>
      <c r="CX28" s="55">
        <f>SUMIFS(tblPlant[Gold_Poured_oz],tblPlant[Date],$A28)</f>
        <v/>
      </c>
      <c r="CY28" s="55">
        <f>IF($B28=$B27,$CY27,0)+$CX28</f>
        <v/>
      </c>
      <c r="CZ28" s="55">
        <f>$CZ27+$CX28</f>
        <v/>
      </c>
      <c r="DA28" s="57">
        <f>SUMIFS(tblPlant[Mill_Run_h],tblPlant[Date],$A28)</f>
        <v/>
      </c>
      <c r="DB28" s="57">
        <f>IF($B28=$B27,$DB27,0)+$DA28</f>
        <v/>
      </c>
      <c r="DC28" s="57">
        <f>$DC27+$DA28</f>
        <v/>
      </c>
      <c r="DD28" s="57">
        <f>SUMIFS(tblPlant[Mill_Planned_Maint_h],tblPlant[Date],$A28)</f>
        <v/>
      </c>
      <c r="DE28" s="57">
        <f>IF($B28=$B27,$DE27,0)+$DD28</f>
        <v/>
      </c>
      <c r="DF28" s="57">
        <f>$DF27+$DD28</f>
        <v/>
      </c>
      <c r="DG28" s="57">
        <f>SUMIFS(tblPlant[Mill_Unplanned_Down_h],tblPlant[Date],$A28)</f>
        <v/>
      </c>
      <c r="DH28" s="57">
        <f>IF($B28=$B27,$DH27,0)+$DG28</f>
        <v/>
      </c>
      <c r="DI28" s="57">
        <f>$DI27+$DG28</f>
        <v/>
      </c>
      <c r="DJ28" s="57">
        <f>COUNTIFS(tblPlant[Date],$A28,tblPlant[Mill_Run_h],"&lt;&gt;")*24</f>
        <v/>
      </c>
      <c r="DK28" s="57">
        <f>IF($B28=$B27,$DK27,0)+$DJ28</f>
        <v/>
      </c>
      <c r="DL28" s="57">
        <f>$DL27+$DJ28</f>
        <v/>
      </c>
      <c r="DM28" s="57">
        <f>SUMIFS(tblPlant[Crusher_Run_h],tblPlant[Date],$A28)</f>
        <v/>
      </c>
      <c r="DN28" s="57">
        <f>IF($B28=$B27,$DN27,0)+$DM28</f>
        <v/>
      </c>
      <c r="DO28" s="57">
        <f>$DO27+$DM28</f>
        <v/>
      </c>
      <c r="DP28" s="55">
        <f>IFERROR(IF(($DA28)&gt;0,($BZ28)/($DA28),""),"")</f>
        <v/>
      </c>
      <c r="DQ28" s="55">
        <f>IFERROR(IF(($DB28)&gt;0,($CA28)/($DB28),""),"")</f>
        <v/>
      </c>
      <c r="DR28" s="55">
        <f>IFERROR(IF(($DC28)&gt;0,($CB28)/($DC28),""),"")</f>
        <v/>
      </c>
      <c r="DS28" s="67">
        <f>IFERROR(IF(($DJ28)&gt;0,($DJ28-$DD28-$DG28)/($DJ28),""),"")</f>
        <v/>
      </c>
      <c r="DT28" s="67">
        <f>IFERROR(IF(($DK28)&gt;0,($DK28-$DE28-$DH28)/($DK28),""),"")</f>
        <v/>
      </c>
      <c r="DU28" s="67">
        <f>IFERROR(IF(($DL28)&gt;0,($DL28-$DF28-$DI28)/($DL28),""),"")</f>
        <v/>
      </c>
      <c r="DV28" s="67">
        <f>IFERROR(IF(($DJ28-$DD28-$DG28)&gt;0,($DA28)/($DJ28-$DD28-$DG28),""),"")</f>
        <v/>
      </c>
      <c r="DW28" s="67">
        <f>IFERROR(IF(($DK28-$DE28-$DH28)&gt;0,($DB28)/($DK28-$DE28-$DH28),""),"")</f>
        <v/>
      </c>
      <c r="DX28" s="67">
        <f>IFERROR(IF(($DL28-$DF28-$DI28)&gt;0,($DC28)/($DL28-$DF28-$DI28),""),"")</f>
        <v/>
      </c>
      <c r="DY28" s="55">
        <f>SUMIFS(tblPlant[Cyanide_kg],tblPlant[Date],$A28)</f>
        <v/>
      </c>
      <c r="DZ28" s="55">
        <f>IF($B28=$B27,$DZ27,0)+$DY28</f>
        <v/>
      </c>
      <c r="EA28" s="55">
        <f>$EA27+$DY28</f>
        <v/>
      </c>
      <c r="EB28" s="55">
        <f>SUMIFS(tblPlant[Lime_kg],tblPlant[Date],$A28)</f>
        <v/>
      </c>
      <c r="EC28" s="55">
        <f>IF($B28=$B27,$EC27,0)+$EB28</f>
        <v/>
      </c>
      <c r="ED28" s="55">
        <f>$ED27+$EB28</f>
        <v/>
      </c>
      <c r="EE28" s="55">
        <f>SUMIFS(tblPlant[Grinding_Media_kg],tblPlant[Date],$A28)</f>
        <v/>
      </c>
      <c r="EF28" s="55">
        <f>IF($B28=$B27,$EF27,0)+$EE28</f>
        <v/>
      </c>
      <c r="EG28" s="55">
        <f>$EG27+$EE28</f>
        <v/>
      </c>
      <c r="EH28" s="55">
        <f>SUMIFS(tblPlant[Power_kWh],tblPlant[Date],$A28)</f>
        <v/>
      </c>
      <c r="EI28" s="55">
        <f>IF($B28=$B27,$EI27,0)+$EH28</f>
        <v/>
      </c>
      <c r="EJ28" s="55">
        <f>$EJ27+$EH28</f>
        <v/>
      </c>
      <c r="EK28" s="55">
        <f>SUMIFS(tblPlant[Raw_Water_m3],tblPlant[Date],$A28)</f>
        <v/>
      </c>
      <c r="EL28" s="55">
        <f>IF($B28=$B27,$EL27,0)+$EK28</f>
        <v/>
      </c>
      <c r="EM28" s="55">
        <f>$EM27+$EK28</f>
        <v/>
      </c>
      <c r="EN28" s="56">
        <f>IFERROR(IF(($BZ28)&gt;0,($DY28)/($BZ28),""),"")</f>
        <v/>
      </c>
      <c r="EO28" s="56">
        <f>IFERROR(IF(($CA28)&gt;0,($DZ28)/($CA28),""),"")</f>
        <v/>
      </c>
      <c r="EP28" s="56">
        <f>IFERROR(IF(($CB28)&gt;0,($EA28)/($CB28),""),"")</f>
        <v/>
      </c>
      <c r="EQ28" s="56">
        <f>IFERROR(IF(($BZ28)&gt;0,($EB28)/($BZ28),""),"")</f>
        <v/>
      </c>
      <c r="ER28" s="56">
        <f>IFERROR(IF(($CA28)&gt;0,($EC28)/($CA28),""),"")</f>
        <v/>
      </c>
      <c r="ES28" s="56">
        <f>IFERROR(IF(($CB28)&gt;0,($ED28)/($CB28),""),"")</f>
        <v/>
      </c>
      <c r="ET28" s="56">
        <f>IFERROR(IF(($BZ28)&gt;0,($EE28)/($BZ28),""),"")</f>
        <v/>
      </c>
      <c r="EU28" s="56">
        <f>IFERROR(IF(($CA28)&gt;0,($EF28)/($CA28),""),"")</f>
        <v/>
      </c>
      <c r="EV28" s="56">
        <f>IFERROR(IF(($CB28)&gt;0,($EG28)/($CB28),""),"")</f>
        <v/>
      </c>
      <c r="EW28" s="76">
        <f>IFERROR(IF(($BZ28)&gt;0,($EH28)/($BZ28),""),"")</f>
        <v/>
      </c>
      <c r="EX28" s="76">
        <f>IFERROR(IF(($CA28)&gt;0,($EI28)/($CA28),""),"")</f>
        <v/>
      </c>
      <c r="EY28" s="76">
        <f>IFERROR(IF(($CB28)&gt;0,($EJ28)/($CB28),""),"")</f>
        <v/>
      </c>
      <c r="EZ28" s="56">
        <f>IFERROR(IF(($BZ28)&gt;0,($EK28)/($BZ28),""),"")</f>
        <v/>
      </c>
      <c r="FA28" s="56">
        <f>IFERROR(IF(($CA28)&gt;0,($EL28)/($CA28),""),"")</f>
        <v/>
      </c>
      <c r="FB28" s="56">
        <f>IFERROR(IF(($CB28)&gt;0,($EM28)/($CB28),""),"")</f>
        <v/>
      </c>
      <c r="FC28" s="55">
        <f>IF(SUMIFS(tblPlant[GIC_oz],tblPlant[Date],$A28)&gt;0,SUMIFS(tblPlant[GIC_oz],tblPlant[Date],$A28),"")</f>
        <v/>
      </c>
      <c r="FD28" s="55">
        <f>SUMIFS(tblGold[Gold_oz],tblGold[Date],$A28,tblGold[Type],"Shipment")</f>
        <v/>
      </c>
      <c r="FE28" s="55">
        <f>IF($B28=$B27,$FE27,0)+$FD28</f>
        <v/>
      </c>
      <c r="FF28" s="55">
        <f>$FF27+$FD28</f>
        <v/>
      </c>
      <c r="FG28" s="55">
        <f>SUMIFS(tblGold[Gold_oz],tblGold[Date],$A28,tblGold[Type],"Sale")</f>
        <v/>
      </c>
      <c r="FH28" s="55">
        <f>IF($B28=$B27,$FH27,0)+$FG28</f>
        <v/>
      </c>
      <c r="FI28" s="55">
        <f>$FI27+$FG28</f>
        <v/>
      </c>
      <c r="FJ28" s="55">
        <f>SUMIFS(tblGold[Dore_kg],tblGold[Date],$A28,tblGold[Type],"Shipment")</f>
        <v/>
      </c>
      <c r="FK28" s="55">
        <f>IF($B28=$B27,$FK27,0)+$FJ28</f>
        <v/>
      </c>
      <c r="FL28" s="55">
        <f>$FL27+$FJ28</f>
        <v/>
      </c>
      <c r="FM28" s="57">
        <f>SUMIFS(tblSafety[Hours_Total],tblSafety[Date],$A28)</f>
        <v/>
      </c>
      <c r="FN28" s="57">
        <f>IF($B28=$B27,$FN27,0)+$FM28</f>
        <v/>
      </c>
      <c r="FO28" s="57">
        <f>$FO27+$FM28</f>
        <v/>
      </c>
      <c r="FP28" s="62">
        <f>SUMIFS(tblSafety[Fatality],tblSafety[Date],$A28)</f>
        <v/>
      </c>
      <c r="FQ28" s="62">
        <f>IF($B28=$B27,$FQ27,0)+$FP28</f>
        <v/>
      </c>
      <c r="FR28" s="62">
        <f>$FR27+$FP28</f>
        <v/>
      </c>
      <c r="FS28" s="62">
        <f>SUMIFS(tblSafety[LTI],tblSafety[Date],$A28)</f>
        <v/>
      </c>
      <c r="FT28" s="62">
        <f>IF($B28=$B27,$FT27,0)+$FS28</f>
        <v/>
      </c>
      <c r="FU28" s="62">
        <f>$FU27+$FS28</f>
        <v/>
      </c>
      <c r="FV28" s="62">
        <f>SUMIFS(tblSafety[RWI],tblSafety[Date],$A28)</f>
        <v/>
      </c>
      <c r="FW28" s="62">
        <f>IF($B28=$B27,$FW27,0)+$FV28</f>
        <v/>
      </c>
      <c r="FX28" s="62">
        <f>$FX27+$FV28</f>
        <v/>
      </c>
      <c r="FY28" s="62">
        <f>SUMIFS(tblSafety[MTI],tblSafety[Date],$A28)</f>
        <v/>
      </c>
      <c r="FZ28" s="62">
        <f>IF($B28=$B27,$FZ27,0)+$FY28</f>
        <v/>
      </c>
      <c r="GA28" s="62">
        <f>$GA27+$FY28</f>
        <v/>
      </c>
      <c r="GB28" s="62">
        <f>SUMIFS(tblSafety[FAI],tblSafety[Date],$A28)</f>
        <v/>
      </c>
      <c r="GC28" s="62">
        <f>IF($B28=$B27,$GC27,0)+$GB28</f>
        <v/>
      </c>
      <c r="GD28" s="62">
        <f>$GD27+$GB28</f>
        <v/>
      </c>
      <c r="GE28" s="62">
        <f>SUMIFS(tblSafety[Recordables],tblSafety[Date],$A28)</f>
        <v/>
      </c>
      <c r="GF28" s="62">
        <f>IF($B28=$B27,$GF27,0)+$GE28</f>
        <v/>
      </c>
      <c r="GG28" s="62">
        <f>$GG27+$GE28</f>
        <v/>
      </c>
      <c r="GH28" s="62">
        <f>SUMIFS(tblSafety[Near_Miss],tblSafety[Date],$A28)</f>
        <v/>
      </c>
      <c r="GI28" s="62">
        <f>IF($B28=$B27,$GI27,0)+$GH28</f>
        <v/>
      </c>
      <c r="GJ28" s="62">
        <f>$GJ27+$GH28</f>
        <v/>
      </c>
      <c r="GK28" s="62">
        <f>SUMIFS(tblSafety[Hazard_Reports],tblSafety[Date],$A28)</f>
        <v/>
      </c>
      <c r="GL28" s="62">
        <f>IF($B28=$B27,$GL27,0)+$GK28</f>
        <v/>
      </c>
      <c r="GM28" s="62">
        <f>$GM27+$GK28</f>
        <v/>
      </c>
      <c r="GN28" s="62">
        <f>SUMIFS(tblSafety[HPI],tblSafety[Date],$A28)</f>
        <v/>
      </c>
      <c r="GO28" s="62">
        <f>IF($B28=$B27,$GO27,0)+$GN28</f>
        <v/>
      </c>
      <c r="GP28" s="62">
        <f>$GP27+$GN28</f>
        <v/>
      </c>
      <c r="GQ28" s="62">
        <f>SUMIFS(tblSafety[Env_Incidents],tblSafety[Date],$A28)</f>
        <v/>
      </c>
      <c r="GR28" s="62">
        <f>IF($B28=$B27,$GR27,0)+$GQ28</f>
        <v/>
      </c>
      <c r="GS28" s="62">
        <f>$GS27+$GQ28</f>
        <v/>
      </c>
      <c r="GT28" s="62">
        <f>SUMIFS(tblSafety[Community_Incidents],tblSafety[Date],$A28)</f>
        <v/>
      </c>
      <c r="GU28" s="62">
        <f>IF($B28=$B27,$GU27,0)+$GT28</f>
        <v/>
      </c>
      <c r="GV28" s="62">
        <f>$GV27+$GT28</f>
        <v/>
      </c>
      <c r="GW28" s="62">
        <f>SUMIFS(tblSafety[Vehicle_Incidents],tblSafety[Date],$A28)</f>
        <v/>
      </c>
      <c r="GX28" s="62">
        <f>IF($B28=$B27,$GX27,0)+$GW28</f>
        <v/>
      </c>
      <c r="GY28" s="62">
        <f>$GY27+$GW28</f>
        <v/>
      </c>
      <c r="GZ28" s="62">
        <f>SUMIFS(tblSafety[Toolbox_Talks],tblSafety[Date],$A28)</f>
        <v/>
      </c>
      <c r="HA28" s="62">
        <f>IF($B28=$B27,$HA27,0)+$GZ28</f>
        <v/>
      </c>
      <c r="HB28" s="62">
        <f>$HB27+$GZ28</f>
        <v/>
      </c>
      <c r="HC28" s="62">
        <f>SUMIFS(tblSafety[Inspections],tblSafety[Date],$A28)</f>
        <v/>
      </c>
      <c r="HD28" s="62">
        <f>IF($B28=$B27,$HD27,0)+$HC28</f>
        <v/>
      </c>
      <c r="HE28" s="62">
        <f>$HE27+$HC28</f>
        <v/>
      </c>
      <c r="HF28" s="56">
        <f>IFERROR((SUMIFS(tblSafety[Recordables],tblSafety[Date],"&gt;="&amp;EDATE($E28,-12),tblSafety[Date],"&lt;="&amp;$A28)+SUMIFS(tblSafetyHistory[Recordables],tblSafetyHistory[Month],"&gt;="&amp;EDATE($E28,-12),tblSafetyHistory[Month],"&lt;"&amp;cfg_YearStart))/(SUMIFS(tblSafety[Hours_Total],tblSafety[Date],"&gt;="&amp;EDATE($E28,-12),tblSafety[Date],"&lt;="&amp;$A28)+SUMIFS(tblSafetyHistory[Hours_Total],tblSafetyHistory[Month],"&gt;="&amp;EDATE($E28,-12),tblSafetyHistory[Month],"&lt;"&amp;cfg_YearStart))*1000000,"")</f>
        <v/>
      </c>
      <c r="HG28" s="56">
        <f>IFERROR((SUMIFS(tblSafety[LTI],tblSafety[Date],"&gt;="&amp;EDATE($E28,-12),tblSafety[Date],"&lt;="&amp;$A28)+SUMIFS(tblSafetyHistory[LTI],tblSafetyHistory[Month],"&gt;="&amp;EDATE($E28,-12),tblSafetyHistory[Month],"&lt;"&amp;cfg_YearStart))/(SUMIFS(tblSafety[Hours_Total],tblSafety[Date],"&gt;="&amp;EDATE($E28,-12),tblSafety[Date],"&lt;="&amp;$A28)+SUMIFS(tblSafetyHistory[Hours_Total],tblSafetyHistory[Month],"&gt;="&amp;EDATE($E28,-12),tblSafetyHistory[Month],"&lt;"&amp;cfg_YearStart))*1000000,"")</f>
        <v/>
      </c>
      <c r="HH28" s="62">
        <f>IF(MAX(N(cfg_PriorLTIDate),_xlfn.MAXIFS(tblSafety[Date],tblSafety[LTI],"&gt;0",tblSafety[Date],"&lt;="&amp;$A28))=0,"",$A28-MAX(N(cfg_PriorLTIDate),_xlfn.MAXIFS(tblSafety[Date],tblSafety[LTI],"&gt;0",tblSafety[Date],"&lt;="&amp;$A28)))</f>
        <v/>
      </c>
      <c r="HI28" s="55">
        <f>SUMIFS(tblBudget[Ore_Mined_t],tblBudget[Month],$E28)</f>
        <v/>
      </c>
      <c r="HJ28" s="55">
        <f>$HI28*$C28/$D28</f>
        <v/>
      </c>
      <c r="HK28" s="55">
        <f>SUMIFS(tblBudget[Ore_Mined_t],tblBudget[Month],"&lt;"&amp;$E28)+$HJ28</f>
        <v/>
      </c>
      <c r="HL28" s="55">
        <f>SUMIFS(tblBudget[Ore_oz],tblBudget[Month],$E28)</f>
        <v/>
      </c>
      <c r="HM28" s="55">
        <f>$HL28*$C28/$D28</f>
        <v/>
      </c>
      <c r="HN28" s="55">
        <f>SUMIFS(tblBudget[Ore_oz],tblBudget[Month],"&lt;"&amp;$E28)+$HM28</f>
        <v/>
      </c>
      <c r="HO28" s="56">
        <f>IFERROR(IF(($HI28)&gt;0,($HL28*cfg_TroyOz)/($HI28),""),"")</f>
        <v/>
      </c>
      <c r="HP28" s="56">
        <f>IFERROR(IF(($HJ28)&gt;0,($HM28*cfg_TroyOz)/($HJ28),""),"")</f>
        <v/>
      </c>
      <c r="HQ28" s="56">
        <f>IFERROR(IF(($HK28)&gt;0,($HN28*cfg_TroyOz)/($HK28),""),"")</f>
        <v/>
      </c>
      <c r="HR28" s="55">
        <f>SUMIFS(tblBudget[Waste_t],tblBudget[Month],$E28)</f>
        <v/>
      </c>
      <c r="HS28" s="55">
        <f>$HR28*$C28/$D28</f>
        <v/>
      </c>
      <c r="HT28" s="55">
        <f>SUMIFS(tblBudget[Waste_t],tblBudget[Month],"&lt;"&amp;$E28)+$HS28</f>
        <v/>
      </c>
      <c r="HU28" s="55">
        <f>SUMIFS(tblBudget[TMM_t],tblBudget[Month],$E28)</f>
        <v/>
      </c>
      <c r="HV28" s="55">
        <f>$HU28*$C28/$D28</f>
        <v/>
      </c>
      <c r="HW28" s="55">
        <f>SUMIFS(tblBudget[TMM_t],tblBudget[Month],"&lt;"&amp;$E28)+$HV28</f>
        <v/>
      </c>
      <c r="HX28" s="56">
        <f>IFERROR(IF(($HI28)&gt;0,($HR28)/($HI28),""),"")</f>
        <v/>
      </c>
      <c r="HY28" s="56">
        <f>IFERROR(IF(($HJ28)&gt;0,($HS28)/($HJ28),""),"")</f>
        <v/>
      </c>
      <c r="HZ28" s="56">
        <f>IFERROR(IF(($HK28)&gt;0,($HT28)/($HK28),""),"")</f>
        <v/>
      </c>
      <c r="IA28" s="55">
        <f>SUMIFS(tblBudget[Drill_m],tblBudget[Month],$E28)</f>
        <v/>
      </c>
      <c r="IB28" s="55">
        <f>$IA28*$C28/$D28</f>
        <v/>
      </c>
      <c r="IC28" s="55">
        <f>SUMIFS(tblBudget[Drill_m],tblBudget[Month],"&lt;"&amp;$E28)+$IB28</f>
        <v/>
      </c>
      <c r="ID28" s="55">
        <f>SUMIFS(tblBudget[Diesel_L],tblBudget[Month],$E28)</f>
        <v/>
      </c>
      <c r="IE28" s="55">
        <f>$ID28*$C28/$D28</f>
        <v/>
      </c>
      <c r="IF28" s="55">
        <f>SUMIFS(tblBudget[Diesel_L],tblBudget[Month],"&lt;"&amp;$E28)+$IE28</f>
        <v/>
      </c>
      <c r="IG28" s="55">
        <f>SUMIFS(tblBudget[Milled_t],tblBudget[Month],$E28)</f>
        <v/>
      </c>
      <c r="IH28" s="55">
        <f>$IG28*$C28/$D28</f>
        <v/>
      </c>
      <c r="II28" s="55">
        <f>SUMIFS(tblBudget[Milled_t],tblBudget[Month],"&lt;"&amp;$E28)+$IH28</f>
        <v/>
      </c>
      <c r="IJ28" s="55">
        <f>SUMIFS(tblBudget[Feed_oz],tblBudget[Month],$E28)</f>
        <v/>
      </c>
      <c r="IK28" s="55">
        <f>$IJ28*$C28/$D28</f>
        <v/>
      </c>
      <c r="IL28" s="55">
        <f>SUMIFS(tblBudget[Feed_oz],tblBudget[Month],"&lt;"&amp;$E28)+$IK28</f>
        <v/>
      </c>
      <c r="IM28" s="55">
        <f>SUMIFS(tblBudget[Recovered_oz],tblBudget[Month],$E28)</f>
        <v/>
      </c>
      <c r="IN28" s="55">
        <f>$IM28*$C28/$D28</f>
        <v/>
      </c>
      <c r="IO28" s="55">
        <f>SUMIFS(tblBudget[Recovered_oz],tblBudget[Month],"&lt;"&amp;$E28)+$IN28</f>
        <v/>
      </c>
      <c r="IP28" s="56">
        <f>IFERROR(IF(($IG28)&gt;0,($IJ28*cfg_TroyOz)/($IG28),""),"")</f>
        <v/>
      </c>
      <c r="IQ28" s="56">
        <f>IFERROR(IF(($IH28)&gt;0,($IK28*cfg_TroyOz)/($IH28),""),"")</f>
        <v/>
      </c>
      <c r="IR28" s="56">
        <f>IFERROR(IF(($II28)&gt;0,($IL28*cfg_TroyOz)/($II28),""),"")</f>
        <v/>
      </c>
      <c r="IS28" s="67">
        <f>IFERROR(IF(($IJ28)&gt;0,($IM28)/($IJ28),""),"")</f>
        <v/>
      </c>
      <c r="IT28" s="67">
        <f>IFERROR(IF(($IK28)&gt;0,($IN28)/($IK28),""),"")</f>
        <v/>
      </c>
      <c r="IU28" s="67">
        <f>IFERROR(IF(($IL28)&gt;0,($IO28)/($IL28),""),"")</f>
        <v/>
      </c>
      <c r="IV28" s="55">
        <f>SUMIFS(tblBudget[Gold_Poured_oz],tblBudget[Month],$E28)</f>
        <v/>
      </c>
      <c r="IW28" s="55">
        <f>$IV28*$C28/$D28</f>
        <v/>
      </c>
      <c r="IX28" s="55">
        <f>SUMIFS(tblBudget[Gold_Poured_oz],tblBudget[Month],"&lt;"&amp;$E28)+$IW28</f>
        <v/>
      </c>
      <c r="IY28" s="57">
        <f>SUMIFS(tblBudget[Hours_Worked],tblBudget[Month],$E28)</f>
        <v/>
      </c>
      <c r="IZ28" s="57">
        <f>$IY28*$C28/$D28</f>
        <v/>
      </c>
      <c r="JA28" s="57">
        <f>SUMIFS(tblBudget[Hours_Worked],tblBudget[Month],"&lt;"&amp;$E28)+$IZ28</f>
        <v/>
      </c>
    </row>
    <row r="29">
      <c r="A29" s="54" t="n">
        <v>46050</v>
      </c>
      <c r="B29">
        <f>MONTH($A29)</f>
        <v/>
      </c>
      <c r="C29">
        <f>DAY($A29)</f>
        <v/>
      </c>
      <c r="D29">
        <f>DAY(EOMONTH($A29,0))</f>
        <v/>
      </c>
      <c r="E29" s="54">
        <f>DATE(YEAR($A29),MONTH($A29),1)</f>
        <v/>
      </c>
      <c r="F29" s="55">
        <f>SUMIFS(tblMovement[Tonnes_t],tblMovement[Date],$A29,tblMovement[Is_Ore],1,tblMovement[Source_Type],"Pit")</f>
        <v/>
      </c>
      <c r="G29" s="55">
        <f>IF($B29=$B28,$G28,0)+$F29</f>
        <v/>
      </c>
      <c r="H29" s="55">
        <f>$H28+$F29</f>
        <v/>
      </c>
      <c r="I29" s="55">
        <f>SUMIFS(tblMovement[Ore_oz],tblMovement[Date],$A29,tblMovement[Source_Type],"Pit")</f>
        <v/>
      </c>
      <c r="J29" s="55">
        <f>IF($B29=$B28,$J28,0)+$I29</f>
        <v/>
      </c>
      <c r="K29" s="55">
        <f>$K28+$I29</f>
        <v/>
      </c>
      <c r="L29" s="56">
        <f>IFERROR(IF(($F29)&gt;0,($I29*cfg_TroyOz)/($F29),""),"")</f>
        <v/>
      </c>
      <c r="M29" s="56">
        <f>IFERROR(IF(($G29)&gt;0,($J29*cfg_TroyOz)/($G29),""),"")</f>
        <v/>
      </c>
      <c r="N29" s="56">
        <f>IFERROR(IF(($H29)&gt;0,($K29*cfg_TroyOz)/($H29),""),"")</f>
        <v/>
      </c>
      <c r="O29" s="55">
        <f>SUMIFS(tblMovement[Tonnes_t],tblMovement[Date],$A29,tblMovement[Is_Ore],0,tblMovement[Source_Type],"Pit")</f>
        <v/>
      </c>
      <c r="P29" s="55">
        <f>IF($B29=$B28,$P28,0)+$O29</f>
        <v/>
      </c>
      <c r="Q29" s="55">
        <f>$Q28+$O29</f>
        <v/>
      </c>
      <c r="R29" s="55">
        <f>$F29+$O29</f>
        <v/>
      </c>
      <c r="S29" s="55">
        <f>IF($B29=$B28,$S28,0)+$R29</f>
        <v/>
      </c>
      <c r="T29" s="55">
        <f>$T28+$R29</f>
        <v/>
      </c>
      <c r="U29" s="56">
        <f>IFERROR(IF(($F29)&gt;0,($O29)/($F29),""),"")</f>
        <v/>
      </c>
      <c r="V29" s="56">
        <f>IFERROR(IF(($G29)&gt;0,($P29)/($G29),""),"")</f>
        <v/>
      </c>
      <c r="W29" s="56">
        <f>IFERROR(IF(($H29)&gt;0,($Q29)/($H29),""),"")</f>
        <v/>
      </c>
      <c r="X29" s="55">
        <f>SUMIFS(tblMovement[Tonnes_t],tblMovement[Date],$A29,tblMovement[Source_Type],"Stockpile")</f>
        <v/>
      </c>
      <c r="Y29" s="55">
        <f>IF($B29=$B28,$Y28,0)+$X29</f>
        <v/>
      </c>
      <c r="Z29" s="55">
        <f>$Z28+$X29</f>
        <v/>
      </c>
      <c r="AA29" s="55">
        <f>SUMIFS(tblMiningDaily[Drill_m],tblMiningDaily[Date],$A29)</f>
        <v/>
      </c>
      <c r="AB29" s="55">
        <f>IF($B29=$B28,$AB28,0)+$AA29</f>
        <v/>
      </c>
      <c r="AC29" s="55">
        <f>$AC28+$AA29</f>
        <v/>
      </c>
      <c r="AD29" s="55">
        <f>SUMIFS(tblMiningDaily[Blast_t],tblMiningDaily[Date],$A29)</f>
        <v/>
      </c>
      <c r="AE29" s="55">
        <f>IF($B29=$B28,$AE28,0)+$AD29</f>
        <v/>
      </c>
      <c r="AF29" s="55">
        <f>$AF28+$AD29</f>
        <v/>
      </c>
      <c r="AG29" s="55">
        <f>SUMIFS(tblMiningDaily[Explosives_kg],tblMiningDaily[Date],$A29)</f>
        <v/>
      </c>
      <c r="AH29" s="55">
        <f>IF($B29=$B28,$AH28,0)+$AG29</f>
        <v/>
      </c>
      <c r="AI29" s="55">
        <f>$AI28+$AG29</f>
        <v/>
      </c>
      <c r="AJ29" s="56">
        <f>IFERROR(IF(($AD29)&gt;0,($AG29)/($AD29),""),"")</f>
        <v/>
      </c>
      <c r="AK29" s="56">
        <f>IFERROR(IF(($AE29)&gt;0,($AH29)/($AE29),""),"")</f>
        <v/>
      </c>
      <c r="AL29" s="56">
        <f>IFERROR(IF(($AF29)&gt;0,($AI29)/($AF29),""),"")</f>
        <v/>
      </c>
      <c r="AM29" s="55">
        <f>SUMIFS(tblMiningDaily[Diesel_L],tblMiningDaily[Date],$A29)</f>
        <v/>
      </c>
      <c r="AN29" s="55">
        <f>IF($B29=$B28,$AN28,0)+$AM29</f>
        <v/>
      </c>
      <c r="AO29" s="55">
        <f>$AO28+$AM29</f>
        <v/>
      </c>
      <c r="AP29" s="55">
        <f>SUMIFS(tblMiningDaily[Dewatering_m3],tblMiningDaily[Date],$A29)</f>
        <v/>
      </c>
      <c r="AQ29" s="55">
        <f>IF($B29=$B28,$AQ28,0)+$AP29</f>
        <v/>
      </c>
      <c r="AR29" s="55">
        <f>$AR28+$AP29</f>
        <v/>
      </c>
      <c r="AS29" s="57">
        <f>SUMIFS(tblFleet[Calendar_h],tblFleet[Date],$A29,tblFleet[Equipment_Class],"Excavator")</f>
        <v/>
      </c>
      <c r="AT29" s="57">
        <f>IF($B29=$B28,$AT28,0)+$AS29</f>
        <v/>
      </c>
      <c r="AU29" s="57">
        <f>$AU28+$AS29</f>
        <v/>
      </c>
      <c r="AV29" s="57">
        <f>SUMIFS(tblFleet[Available_h],tblFleet[Date],$A29,tblFleet[Equipment_Class],"Excavator")</f>
        <v/>
      </c>
      <c r="AW29" s="57">
        <f>IF($B29=$B28,$AW28,0)+$AV29</f>
        <v/>
      </c>
      <c r="AX29" s="57">
        <f>$AX28+$AV29</f>
        <v/>
      </c>
      <c r="AY29" s="57">
        <f>SUMIFS(tblFleet[Operating_h],tblFleet[Date],$A29,tblFleet[Equipment_Class],"Excavator")</f>
        <v/>
      </c>
      <c r="AZ29" s="57">
        <f>IF($B29=$B28,$AZ28,0)+$AY29</f>
        <v/>
      </c>
      <c r="BA29" s="57">
        <f>$BA28+$AY29</f>
        <v/>
      </c>
      <c r="BB29" s="67">
        <f>IFERROR(IF(($AS29)&gt;0,($AV29)/($AS29),""),"")</f>
        <v/>
      </c>
      <c r="BC29" s="67">
        <f>IFERROR(IF(($AT29)&gt;0,($AW29)/($AT29),""),"")</f>
        <v/>
      </c>
      <c r="BD29" s="67">
        <f>IFERROR(IF(($AU29)&gt;0,($AX29)/($AU29),""),"")</f>
        <v/>
      </c>
      <c r="BE29" s="67">
        <f>IFERROR(IF(($AV29)&gt;0,($AY29)/($AV29),""),"")</f>
        <v/>
      </c>
      <c r="BF29" s="67">
        <f>IFERROR(IF(($AW29)&gt;0,($AZ29)/($AW29),""),"")</f>
        <v/>
      </c>
      <c r="BG29" s="67">
        <f>IFERROR(IF(($AX29)&gt;0,($BA29)/($AX29),""),"")</f>
        <v/>
      </c>
      <c r="BH29" s="57">
        <f>SUMIFS(tblFleet[Calendar_h],tblFleet[Date],$A29,tblFleet[Equipment_Class],"Haul Truck")</f>
        <v/>
      </c>
      <c r="BI29" s="57">
        <f>IF($B29=$B28,$BI28,0)+$BH29</f>
        <v/>
      </c>
      <c r="BJ29" s="57">
        <f>$BJ28+$BH29</f>
        <v/>
      </c>
      <c r="BK29" s="57">
        <f>SUMIFS(tblFleet[Available_h],tblFleet[Date],$A29,tblFleet[Equipment_Class],"Haul Truck")</f>
        <v/>
      </c>
      <c r="BL29" s="57">
        <f>IF($B29=$B28,$BL28,0)+$BK29</f>
        <v/>
      </c>
      <c r="BM29" s="57">
        <f>$BM28+$BK29</f>
        <v/>
      </c>
      <c r="BN29" s="57">
        <f>SUMIFS(tblFleet[Operating_h],tblFleet[Date],$A29,tblFleet[Equipment_Class],"Haul Truck")</f>
        <v/>
      </c>
      <c r="BO29" s="57">
        <f>IF($B29=$B28,$BO28,0)+$BN29</f>
        <v/>
      </c>
      <c r="BP29" s="57">
        <f>$BP28+$BN29</f>
        <v/>
      </c>
      <c r="BQ29" s="67">
        <f>IFERROR(IF(($BH29)&gt;0,($BK29)/($BH29),""),"")</f>
        <v/>
      </c>
      <c r="BR29" s="67">
        <f>IFERROR(IF(($BI29)&gt;0,($BL29)/($BI29),""),"")</f>
        <v/>
      </c>
      <c r="BS29" s="67">
        <f>IFERROR(IF(($BJ29)&gt;0,($BM29)/($BJ29),""),"")</f>
        <v/>
      </c>
      <c r="BT29" s="67">
        <f>IFERROR(IF(($BK29)&gt;0,($BN29)/($BK29),""),"")</f>
        <v/>
      </c>
      <c r="BU29" s="67">
        <f>IFERROR(IF(($BL29)&gt;0,($BO29)/($BL29),""),"")</f>
        <v/>
      </c>
      <c r="BV29" s="67">
        <f>IFERROR(IF(($BM29)&gt;0,($BP29)/($BM29),""),"")</f>
        <v/>
      </c>
      <c r="BW29" s="55">
        <f>SUMIFS(tblPlant[Crushed_t],tblPlant[Date],$A29)</f>
        <v/>
      </c>
      <c r="BX29" s="55">
        <f>IF($B29=$B28,$BX28,0)+$BW29</f>
        <v/>
      </c>
      <c r="BY29" s="55">
        <f>$BY28+$BW29</f>
        <v/>
      </c>
      <c r="BZ29" s="55">
        <f>SUMIFS(tblPlant[Milled_t],tblPlant[Date],$A29)</f>
        <v/>
      </c>
      <c r="CA29" s="55">
        <f>IF($B29=$B28,$CA28,0)+$BZ29</f>
        <v/>
      </c>
      <c r="CB29" s="55">
        <f>$CB28+$BZ29</f>
        <v/>
      </c>
      <c r="CC29" s="55">
        <f>SUMIFS(tblPlant[Feed_oz],tblPlant[Date],$A29)</f>
        <v/>
      </c>
      <c r="CD29" s="55">
        <f>IF($B29=$B28,$CD28,0)+$CC29</f>
        <v/>
      </c>
      <c r="CE29" s="55">
        <f>$CE28+$CC29</f>
        <v/>
      </c>
      <c r="CF29" s="55">
        <f>SUMIFS(tblPlant[Tails_oz],tblPlant[Date],$A29)</f>
        <v/>
      </c>
      <c r="CG29" s="55">
        <f>IF($B29=$B28,$CG28,0)+$CF29</f>
        <v/>
      </c>
      <c r="CH29" s="55">
        <f>$CH28+$CF29</f>
        <v/>
      </c>
      <c r="CI29" s="55">
        <f>SUMIFS(tblPlant[Recovered_oz],tblPlant[Date],$A29)</f>
        <v/>
      </c>
      <c r="CJ29" s="55">
        <f>IF($B29=$B28,$CJ28,0)+$CI29</f>
        <v/>
      </c>
      <c r="CK29" s="55">
        <f>$CK28+$CI29</f>
        <v/>
      </c>
      <c r="CL29" s="56">
        <f>IFERROR(IF(($BZ29)&gt;0,($CC29*cfg_TroyOz)/($BZ29),""),"")</f>
        <v/>
      </c>
      <c r="CM29" s="56">
        <f>IFERROR(IF(($CA29)&gt;0,($CD29*cfg_TroyOz)/($CA29),""),"")</f>
        <v/>
      </c>
      <c r="CN29" s="56">
        <f>IFERROR(IF(($CB29)&gt;0,($CE29*cfg_TroyOz)/($CB29),""),"")</f>
        <v/>
      </c>
      <c r="CO29" s="56">
        <f>IFERROR(IF(($BZ29)&gt;0,($CF29*cfg_TroyOz)/($BZ29),""),"")</f>
        <v/>
      </c>
      <c r="CP29" s="56">
        <f>IFERROR(IF(($CA29)&gt;0,($CG29*cfg_TroyOz)/($CA29),""),"")</f>
        <v/>
      </c>
      <c r="CQ29" s="56">
        <f>IFERROR(IF(($CB29)&gt;0,($CH29*cfg_TroyOz)/($CB29),""),"")</f>
        <v/>
      </c>
      <c r="CR29" s="67">
        <f>IFERROR(IF(($CC29)&gt;0,($CI29)/($CC29),""),"")</f>
        <v/>
      </c>
      <c r="CS29" s="67">
        <f>IFERROR(IF(($CD29)&gt;0,($CJ29)/($CD29),""),"")</f>
        <v/>
      </c>
      <c r="CT29" s="67">
        <f>IFERROR(IF(($CE29)&gt;0,($CK29)/($CE29),""),"")</f>
        <v/>
      </c>
      <c r="CU29" s="55">
        <f>SUMIFS(tblPlant[Gravity_Gold_oz],tblPlant[Date],$A29)</f>
        <v/>
      </c>
      <c r="CV29" s="55">
        <f>IF($B29=$B28,$CV28,0)+$CU29</f>
        <v/>
      </c>
      <c r="CW29" s="55">
        <f>$CW28+$CU29</f>
        <v/>
      </c>
      <c r="CX29" s="55">
        <f>SUMIFS(tblPlant[Gold_Poured_oz],tblPlant[Date],$A29)</f>
        <v/>
      </c>
      <c r="CY29" s="55">
        <f>IF($B29=$B28,$CY28,0)+$CX29</f>
        <v/>
      </c>
      <c r="CZ29" s="55">
        <f>$CZ28+$CX29</f>
        <v/>
      </c>
      <c r="DA29" s="57">
        <f>SUMIFS(tblPlant[Mill_Run_h],tblPlant[Date],$A29)</f>
        <v/>
      </c>
      <c r="DB29" s="57">
        <f>IF($B29=$B28,$DB28,0)+$DA29</f>
        <v/>
      </c>
      <c r="DC29" s="57">
        <f>$DC28+$DA29</f>
        <v/>
      </c>
      <c r="DD29" s="57">
        <f>SUMIFS(tblPlant[Mill_Planned_Maint_h],tblPlant[Date],$A29)</f>
        <v/>
      </c>
      <c r="DE29" s="57">
        <f>IF($B29=$B28,$DE28,0)+$DD29</f>
        <v/>
      </c>
      <c r="DF29" s="57">
        <f>$DF28+$DD29</f>
        <v/>
      </c>
      <c r="DG29" s="57">
        <f>SUMIFS(tblPlant[Mill_Unplanned_Down_h],tblPlant[Date],$A29)</f>
        <v/>
      </c>
      <c r="DH29" s="57">
        <f>IF($B29=$B28,$DH28,0)+$DG29</f>
        <v/>
      </c>
      <c r="DI29" s="57">
        <f>$DI28+$DG29</f>
        <v/>
      </c>
      <c r="DJ29" s="57">
        <f>COUNTIFS(tblPlant[Date],$A29,tblPlant[Mill_Run_h],"&lt;&gt;")*24</f>
        <v/>
      </c>
      <c r="DK29" s="57">
        <f>IF($B29=$B28,$DK28,0)+$DJ29</f>
        <v/>
      </c>
      <c r="DL29" s="57">
        <f>$DL28+$DJ29</f>
        <v/>
      </c>
      <c r="DM29" s="57">
        <f>SUMIFS(tblPlant[Crusher_Run_h],tblPlant[Date],$A29)</f>
        <v/>
      </c>
      <c r="DN29" s="57">
        <f>IF($B29=$B28,$DN28,0)+$DM29</f>
        <v/>
      </c>
      <c r="DO29" s="57">
        <f>$DO28+$DM29</f>
        <v/>
      </c>
      <c r="DP29" s="55">
        <f>IFERROR(IF(($DA29)&gt;0,($BZ29)/($DA29),""),"")</f>
        <v/>
      </c>
      <c r="DQ29" s="55">
        <f>IFERROR(IF(($DB29)&gt;0,($CA29)/($DB29),""),"")</f>
        <v/>
      </c>
      <c r="DR29" s="55">
        <f>IFERROR(IF(($DC29)&gt;0,($CB29)/($DC29),""),"")</f>
        <v/>
      </c>
      <c r="DS29" s="67">
        <f>IFERROR(IF(($DJ29)&gt;0,($DJ29-$DD29-$DG29)/($DJ29),""),"")</f>
        <v/>
      </c>
      <c r="DT29" s="67">
        <f>IFERROR(IF(($DK29)&gt;0,($DK29-$DE29-$DH29)/($DK29),""),"")</f>
        <v/>
      </c>
      <c r="DU29" s="67">
        <f>IFERROR(IF(($DL29)&gt;0,($DL29-$DF29-$DI29)/($DL29),""),"")</f>
        <v/>
      </c>
      <c r="DV29" s="67">
        <f>IFERROR(IF(($DJ29-$DD29-$DG29)&gt;0,($DA29)/($DJ29-$DD29-$DG29),""),"")</f>
        <v/>
      </c>
      <c r="DW29" s="67">
        <f>IFERROR(IF(($DK29-$DE29-$DH29)&gt;0,($DB29)/($DK29-$DE29-$DH29),""),"")</f>
        <v/>
      </c>
      <c r="DX29" s="67">
        <f>IFERROR(IF(($DL29-$DF29-$DI29)&gt;0,($DC29)/($DL29-$DF29-$DI29),""),"")</f>
        <v/>
      </c>
      <c r="DY29" s="55">
        <f>SUMIFS(tblPlant[Cyanide_kg],tblPlant[Date],$A29)</f>
        <v/>
      </c>
      <c r="DZ29" s="55">
        <f>IF($B29=$B28,$DZ28,0)+$DY29</f>
        <v/>
      </c>
      <c r="EA29" s="55">
        <f>$EA28+$DY29</f>
        <v/>
      </c>
      <c r="EB29" s="55">
        <f>SUMIFS(tblPlant[Lime_kg],tblPlant[Date],$A29)</f>
        <v/>
      </c>
      <c r="EC29" s="55">
        <f>IF($B29=$B28,$EC28,0)+$EB29</f>
        <v/>
      </c>
      <c r="ED29" s="55">
        <f>$ED28+$EB29</f>
        <v/>
      </c>
      <c r="EE29" s="55">
        <f>SUMIFS(tblPlant[Grinding_Media_kg],tblPlant[Date],$A29)</f>
        <v/>
      </c>
      <c r="EF29" s="55">
        <f>IF($B29=$B28,$EF28,0)+$EE29</f>
        <v/>
      </c>
      <c r="EG29" s="55">
        <f>$EG28+$EE29</f>
        <v/>
      </c>
      <c r="EH29" s="55">
        <f>SUMIFS(tblPlant[Power_kWh],tblPlant[Date],$A29)</f>
        <v/>
      </c>
      <c r="EI29" s="55">
        <f>IF($B29=$B28,$EI28,0)+$EH29</f>
        <v/>
      </c>
      <c r="EJ29" s="55">
        <f>$EJ28+$EH29</f>
        <v/>
      </c>
      <c r="EK29" s="55">
        <f>SUMIFS(tblPlant[Raw_Water_m3],tblPlant[Date],$A29)</f>
        <v/>
      </c>
      <c r="EL29" s="55">
        <f>IF($B29=$B28,$EL28,0)+$EK29</f>
        <v/>
      </c>
      <c r="EM29" s="55">
        <f>$EM28+$EK29</f>
        <v/>
      </c>
      <c r="EN29" s="56">
        <f>IFERROR(IF(($BZ29)&gt;0,($DY29)/($BZ29),""),"")</f>
        <v/>
      </c>
      <c r="EO29" s="56">
        <f>IFERROR(IF(($CA29)&gt;0,($DZ29)/($CA29),""),"")</f>
        <v/>
      </c>
      <c r="EP29" s="56">
        <f>IFERROR(IF(($CB29)&gt;0,($EA29)/($CB29),""),"")</f>
        <v/>
      </c>
      <c r="EQ29" s="56">
        <f>IFERROR(IF(($BZ29)&gt;0,($EB29)/($BZ29),""),"")</f>
        <v/>
      </c>
      <c r="ER29" s="56">
        <f>IFERROR(IF(($CA29)&gt;0,($EC29)/($CA29),""),"")</f>
        <v/>
      </c>
      <c r="ES29" s="56">
        <f>IFERROR(IF(($CB29)&gt;0,($ED29)/($CB29),""),"")</f>
        <v/>
      </c>
      <c r="ET29" s="56">
        <f>IFERROR(IF(($BZ29)&gt;0,($EE29)/($BZ29),""),"")</f>
        <v/>
      </c>
      <c r="EU29" s="56">
        <f>IFERROR(IF(($CA29)&gt;0,($EF29)/($CA29),""),"")</f>
        <v/>
      </c>
      <c r="EV29" s="56">
        <f>IFERROR(IF(($CB29)&gt;0,($EG29)/($CB29),""),"")</f>
        <v/>
      </c>
      <c r="EW29" s="76">
        <f>IFERROR(IF(($BZ29)&gt;0,($EH29)/($BZ29),""),"")</f>
        <v/>
      </c>
      <c r="EX29" s="76">
        <f>IFERROR(IF(($CA29)&gt;0,($EI29)/($CA29),""),"")</f>
        <v/>
      </c>
      <c r="EY29" s="76">
        <f>IFERROR(IF(($CB29)&gt;0,($EJ29)/($CB29),""),"")</f>
        <v/>
      </c>
      <c r="EZ29" s="56">
        <f>IFERROR(IF(($BZ29)&gt;0,($EK29)/($BZ29),""),"")</f>
        <v/>
      </c>
      <c r="FA29" s="56">
        <f>IFERROR(IF(($CA29)&gt;0,($EL29)/($CA29),""),"")</f>
        <v/>
      </c>
      <c r="FB29" s="56">
        <f>IFERROR(IF(($CB29)&gt;0,($EM29)/($CB29),""),"")</f>
        <v/>
      </c>
      <c r="FC29" s="55">
        <f>IF(SUMIFS(tblPlant[GIC_oz],tblPlant[Date],$A29)&gt;0,SUMIFS(tblPlant[GIC_oz],tblPlant[Date],$A29),"")</f>
        <v/>
      </c>
      <c r="FD29" s="55">
        <f>SUMIFS(tblGold[Gold_oz],tblGold[Date],$A29,tblGold[Type],"Shipment")</f>
        <v/>
      </c>
      <c r="FE29" s="55">
        <f>IF($B29=$B28,$FE28,0)+$FD29</f>
        <v/>
      </c>
      <c r="FF29" s="55">
        <f>$FF28+$FD29</f>
        <v/>
      </c>
      <c r="FG29" s="55">
        <f>SUMIFS(tblGold[Gold_oz],tblGold[Date],$A29,tblGold[Type],"Sale")</f>
        <v/>
      </c>
      <c r="FH29" s="55">
        <f>IF($B29=$B28,$FH28,0)+$FG29</f>
        <v/>
      </c>
      <c r="FI29" s="55">
        <f>$FI28+$FG29</f>
        <v/>
      </c>
      <c r="FJ29" s="55">
        <f>SUMIFS(tblGold[Dore_kg],tblGold[Date],$A29,tblGold[Type],"Shipment")</f>
        <v/>
      </c>
      <c r="FK29" s="55">
        <f>IF($B29=$B28,$FK28,0)+$FJ29</f>
        <v/>
      </c>
      <c r="FL29" s="55">
        <f>$FL28+$FJ29</f>
        <v/>
      </c>
      <c r="FM29" s="57">
        <f>SUMIFS(tblSafety[Hours_Total],tblSafety[Date],$A29)</f>
        <v/>
      </c>
      <c r="FN29" s="57">
        <f>IF($B29=$B28,$FN28,0)+$FM29</f>
        <v/>
      </c>
      <c r="FO29" s="57">
        <f>$FO28+$FM29</f>
        <v/>
      </c>
      <c r="FP29" s="62">
        <f>SUMIFS(tblSafety[Fatality],tblSafety[Date],$A29)</f>
        <v/>
      </c>
      <c r="FQ29" s="62">
        <f>IF($B29=$B28,$FQ28,0)+$FP29</f>
        <v/>
      </c>
      <c r="FR29" s="62">
        <f>$FR28+$FP29</f>
        <v/>
      </c>
      <c r="FS29" s="62">
        <f>SUMIFS(tblSafety[LTI],tblSafety[Date],$A29)</f>
        <v/>
      </c>
      <c r="FT29" s="62">
        <f>IF($B29=$B28,$FT28,0)+$FS29</f>
        <v/>
      </c>
      <c r="FU29" s="62">
        <f>$FU28+$FS29</f>
        <v/>
      </c>
      <c r="FV29" s="62">
        <f>SUMIFS(tblSafety[RWI],tblSafety[Date],$A29)</f>
        <v/>
      </c>
      <c r="FW29" s="62">
        <f>IF($B29=$B28,$FW28,0)+$FV29</f>
        <v/>
      </c>
      <c r="FX29" s="62">
        <f>$FX28+$FV29</f>
        <v/>
      </c>
      <c r="FY29" s="62">
        <f>SUMIFS(tblSafety[MTI],tblSafety[Date],$A29)</f>
        <v/>
      </c>
      <c r="FZ29" s="62">
        <f>IF($B29=$B28,$FZ28,0)+$FY29</f>
        <v/>
      </c>
      <c r="GA29" s="62">
        <f>$GA28+$FY29</f>
        <v/>
      </c>
      <c r="GB29" s="62">
        <f>SUMIFS(tblSafety[FAI],tblSafety[Date],$A29)</f>
        <v/>
      </c>
      <c r="GC29" s="62">
        <f>IF($B29=$B28,$GC28,0)+$GB29</f>
        <v/>
      </c>
      <c r="GD29" s="62">
        <f>$GD28+$GB29</f>
        <v/>
      </c>
      <c r="GE29" s="62">
        <f>SUMIFS(tblSafety[Recordables],tblSafety[Date],$A29)</f>
        <v/>
      </c>
      <c r="GF29" s="62">
        <f>IF($B29=$B28,$GF28,0)+$GE29</f>
        <v/>
      </c>
      <c r="GG29" s="62">
        <f>$GG28+$GE29</f>
        <v/>
      </c>
      <c r="GH29" s="62">
        <f>SUMIFS(tblSafety[Near_Miss],tblSafety[Date],$A29)</f>
        <v/>
      </c>
      <c r="GI29" s="62">
        <f>IF($B29=$B28,$GI28,0)+$GH29</f>
        <v/>
      </c>
      <c r="GJ29" s="62">
        <f>$GJ28+$GH29</f>
        <v/>
      </c>
      <c r="GK29" s="62">
        <f>SUMIFS(tblSafety[Hazard_Reports],tblSafety[Date],$A29)</f>
        <v/>
      </c>
      <c r="GL29" s="62">
        <f>IF($B29=$B28,$GL28,0)+$GK29</f>
        <v/>
      </c>
      <c r="GM29" s="62">
        <f>$GM28+$GK29</f>
        <v/>
      </c>
      <c r="GN29" s="62">
        <f>SUMIFS(tblSafety[HPI],tblSafety[Date],$A29)</f>
        <v/>
      </c>
      <c r="GO29" s="62">
        <f>IF($B29=$B28,$GO28,0)+$GN29</f>
        <v/>
      </c>
      <c r="GP29" s="62">
        <f>$GP28+$GN29</f>
        <v/>
      </c>
      <c r="GQ29" s="62">
        <f>SUMIFS(tblSafety[Env_Incidents],tblSafety[Date],$A29)</f>
        <v/>
      </c>
      <c r="GR29" s="62">
        <f>IF($B29=$B28,$GR28,0)+$GQ29</f>
        <v/>
      </c>
      <c r="GS29" s="62">
        <f>$GS28+$GQ29</f>
        <v/>
      </c>
      <c r="GT29" s="62">
        <f>SUMIFS(tblSafety[Community_Incidents],tblSafety[Date],$A29)</f>
        <v/>
      </c>
      <c r="GU29" s="62">
        <f>IF($B29=$B28,$GU28,0)+$GT29</f>
        <v/>
      </c>
      <c r="GV29" s="62">
        <f>$GV28+$GT29</f>
        <v/>
      </c>
      <c r="GW29" s="62">
        <f>SUMIFS(tblSafety[Vehicle_Incidents],tblSafety[Date],$A29)</f>
        <v/>
      </c>
      <c r="GX29" s="62">
        <f>IF($B29=$B28,$GX28,0)+$GW29</f>
        <v/>
      </c>
      <c r="GY29" s="62">
        <f>$GY28+$GW29</f>
        <v/>
      </c>
      <c r="GZ29" s="62">
        <f>SUMIFS(tblSafety[Toolbox_Talks],tblSafety[Date],$A29)</f>
        <v/>
      </c>
      <c r="HA29" s="62">
        <f>IF($B29=$B28,$HA28,0)+$GZ29</f>
        <v/>
      </c>
      <c r="HB29" s="62">
        <f>$HB28+$GZ29</f>
        <v/>
      </c>
      <c r="HC29" s="62">
        <f>SUMIFS(tblSafety[Inspections],tblSafety[Date],$A29)</f>
        <v/>
      </c>
      <c r="HD29" s="62">
        <f>IF($B29=$B28,$HD28,0)+$HC29</f>
        <v/>
      </c>
      <c r="HE29" s="62">
        <f>$HE28+$HC29</f>
        <v/>
      </c>
      <c r="HF29" s="56">
        <f>IFERROR((SUMIFS(tblSafety[Recordables],tblSafety[Date],"&gt;="&amp;EDATE($E29,-12),tblSafety[Date],"&lt;="&amp;$A29)+SUMIFS(tblSafetyHistory[Recordables],tblSafetyHistory[Month],"&gt;="&amp;EDATE($E29,-12),tblSafetyHistory[Month],"&lt;"&amp;cfg_YearStart))/(SUMIFS(tblSafety[Hours_Total],tblSafety[Date],"&gt;="&amp;EDATE($E29,-12),tblSafety[Date],"&lt;="&amp;$A29)+SUMIFS(tblSafetyHistory[Hours_Total],tblSafetyHistory[Month],"&gt;="&amp;EDATE($E29,-12),tblSafetyHistory[Month],"&lt;"&amp;cfg_YearStart))*1000000,"")</f>
        <v/>
      </c>
      <c r="HG29" s="56">
        <f>IFERROR((SUMIFS(tblSafety[LTI],tblSafety[Date],"&gt;="&amp;EDATE($E29,-12),tblSafety[Date],"&lt;="&amp;$A29)+SUMIFS(tblSafetyHistory[LTI],tblSafetyHistory[Month],"&gt;="&amp;EDATE($E29,-12),tblSafetyHistory[Month],"&lt;"&amp;cfg_YearStart))/(SUMIFS(tblSafety[Hours_Total],tblSafety[Date],"&gt;="&amp;EDATE($E29,-12),tblSafety[Date],"&lt;="&amp;$A29)+SUMIFS(tblSafetyHistory[Hours_Total],tblSafetyHistory[Month],"&gt;="&amp;EDATE($E29,-12),tblSafetyHistory[Month],"&lt;"&amp;cfg_YearStart))*1000000,"")</f>
        <v/>
      </c>
      <c r="HH29" s="62">
        <f>IF(MAX(N(cfg_PriorLTIDate),_xlfn.MAXIFS(tblSafety[Date],tblSafety[LTI],"&gt;0",tblSafety[Date],"&lt;="&amp;$A29))=0,"",$A29-MAX(N(cfg_PriorLTIDate),_xlfn.MAXIFS(tblSafety[Date],tblSafety[LTI],"&gt;0",tblSafety[Date],"&lt;="&amp;$A29)))</f>
        <v/>
      </c>
      <c r="HI29" s="55">
        <f>SUMIFS(tblBudget[Ore_Mined_t],tblBudget[Month],$E29)</f>
        <v/>
      </c>
      <c r="HJ29" s="55">
        <f>$HI29*$C29/$D29</f>
        <v/>
      </c>
      <c r="HK29" s="55">
        <f>SUMIFS(tblBudget[Ore_Mined_t],tblBudget[Month],"&lt;"&amp;$E29)+$HJ29</f>
        <v/>
      </c>
      <c r="HL29" s="55">
        <f>SUMIFS(tblBudget[Ore_oz],tblBudget[Month],$E29)</f>
        <v/>
      </c>
      <c r="HM29" s="55">
        <f>$HL29*$C29/$D29</f>
        <v/>
      </c>
      <c r="HN29" s="55">
        <f>SUMIFS(tblBudget[Ore_oz],tblBudget[Month],"&lt;"&amp;$E29)+$HM29</f>
        <v/>
      </c>
      <c r="HO29" s="56">
        <f>IFERROR(IF(($HI29)&gt;0,($HL29*cfg_TroyOz)/($HI29),""),"")</f>
        <v/>
      </c>
      <c r="HP29" s="56">
        <f>IFERROR(IF(($HJ29)&gt;0,($HM29*cfg_TroyOz)/($HJ29),""),"")</f>
        <v/>
      </c>
      <c r="HQ29" s="56">
        <f>IFERROR(IF(($HK29)&gt;0,($HN29*cfg_TroyOz)/($HK29),""),"")</f>
        <v/>
      </c>
      <c r="HR29" s="55">
        <f>SUMIFS(tblBudget[Waste_t],tblBudget[Month],$E29)</f>
        <v/>
      </c>
      <c r="HS29" s="55">
        <f>$HR29*$C29/$D29</f>
        <v/>
      </c>
      <c r="HT29" s="55">
        <f>SUMIFS(tblBudget[Waste_t],tblBudget[Month],"&lt;"&amp;$E29)+$HS29</f>
        <v/>
      </c>
      <c r="HU29" s="55">
        <f>SUMIFS(tblBudget[TMM_t],tblBudget[Month],$E29)</f>
        <v/>
      </c>
      <c r="HV29" s="55">
        <f>$HU29*$C29/$D29</f>
        <v/>
      </c>
      <c r="HW29" s="55">
        <f>SUMIFS(tblBudget[TMM_t],tblBudget[Month],"&lt;"&amp;$E29)+$HV29</f>
        <v/>
      </c>
      <c r="HX29" s="56">
        <f>IFERROR(IF(($HI29)&gt;0,($HR29)/($HI29),""),"")</f>
        <v/>
      </c>
      <c r="HY29" s="56">
        <f>IFERROR(IF(($HJ29)&gt;0,($HS29)/($HJ29),""),"")</f>
        <v/>
      </c>
      <c r="HZ29" s="56">
        <f>IFERROR(IF(($HK29)&gt;0,($HT29)/($HK29),""),"")</f>
        <v/>
      </c>
      <c r="IA29" s="55">
        <f>SUMIFS(tblBudget[Drill_m],tblBudget[Month],$E29)</f>
        <v/>
      </c>
      <c r="IB29" s="55">
        <f>$IA29*$C29/$D29</f>
        <v/>
      </c>
      <c r="IC29" s="55">
        <f>SUMIFS(tblBudget[Drill_m],tblBudget[Month],"&lt;"&amp;$E29)+$IB29</f>
        <v/>
      </c>
      <c r="ID29" s="55">
        <f>SUMIFS(tblBudget[Diesel_L],tblBudget[Month],$E29)</f>
        <v/>
      </c>
      <c r="IE29" s="55">
        <f>$ID29*$C29/$D29</f>
        <v/>
      </c>
      <c r="IF29" s="55">
        <f>SUMIFS(tblBudget[Diesel_L],tblBudget[Month],"&lt;"&amp;$E29)+$IE29</f>
        <v/>
      </c>
      <c r="IG29" s="55">
        <f>SUMIFS(tblBudget[Milled_t],tblBudget[Month],$E29)</f>
        <v/>
      </c>
      <c r="IH29" s="55">
        <f>$IG29*$C29/$D29</f>
        <v/>
      </c>
      <c r="II29" s="55">
        <f>SUMIFS(tblBudget[Milled_t],tblBudget[Month],"&lt;"&amp;$E29)+$IH29</f>
        <v/>
      </c>
      <c r="IJ29" s="55">
        <f>SUMIFS(tblBudget[Feed_oz],tblBudget[Month],$E29)</f>
        <v/>
      </c>
      <c r="IK29" s="55">
        <f>$IJ29*$C29/$D29</f>
        <v/>
      </c>
      <c r="IL29" s="55">
        <f>SUMIFS(tblBudget[Feed_oz],tblBudget[Month],"&lt;"&amp;$E29)+$IK29</f>
        <v/>
      </c>
      <c r="IM29" s="55">
        <f>SUMIFS(tblBudget[Recovered_oz],tblBudget[Month],$E29)</f>
        <v/>
      </c>
      <c r="IN29" s="55">
        <f>$IM29*$C29/$D29</f>
        <v/>
      </c>
      <c r="IO29" s="55">
        <f>SUMIFS(tblBudget[Recovered_oz],tblBudget[Month],"&lt;"&amp;$E29)+$IN29</f>
        <v/>
      </c>
      <c r="IP29" s="56">
        <f>IFERROR(IF(($IG29)&gt;0,($IJ29*cfg_TroyOz)/($IG29),""),"")</f>
        <v/>
      </c>
      <c r="IQ29" s="56">
        <f>IFERROR(IF(($IH29)&gt;0,($IK29*cfg_TroyOz)/($IH29),""),"")</f>
        <v/>
      </c>
      <c r="IR29" s="56">
        <f>IFERROR(IF(($II29)&gt;0,($IL29*cfg_TroyOz)/($II29),""),"")</f>
        <v/>
      </c>
      <c r="IS29" s="67">
        <f>IFERROR(IF(($IJ29)&gt;0,($IM29)/($IJ29),""),"")</f>
        <v/>
      </c>
      <c r="IT29" s="67">
        <f>IFERROR(IF(($IK29)&gt;0,($IN29)/($IK29),""),"")</f>
        <v/>
      </c>
      <c r="IU29" s="67">
        <f>IFERROR(IF(($IL29)&gt;0,($IO29)/($IL29),""),"")</f>
        <v/>
      </c>
      <c r="IV29" s="55">
        <f>SUMIFS(tblBudget[Gold_Poured_oz],tblBudget[Month],$E29)</f>
        <v/>
      </c>
      <c r="IW29" s="55">
        <f>$IV29*$C29/$D29</f>
        <v/>
      </c>
      <c r="IX29" s="55">
        <f>SUMIFS(tblBudget[Gold_Poured_oz],tblBudget[Month],"&lt;"&amp;$E29)+$IW29</f>
        <v/>
      </c>
      <c r="IY29" s="57">
        <f>SUMIFS(tblBudget[Hours_Worked],tblBudget[Month],$E29)</f>
        <v/>
      </c>
      <c r="IZ29" s="57">
        <f>$IY29*$C29/$D29</f>
        <v/>
      </c>
      <c r="JA29" s="57">
        <f>SUMIFS(tblBudget[Hours_Worked],tblBudget[Month],"&lt;"&amp;$E29)+$IZ29</f>
        <v/>
      </c>
    </row>
    <row r="30">
      <c r="A30" s="54" t="n">
        <v>46051</v>
      </c>
      <c r="B30">
        <f>MONTH($A30)</f>
        <v/>
      </c>
      <c r="C30">
        <f>DAY($A30)</f>
        <v/>
      </c>
      <c r="D30">
        <f>DAY(EOMONTH($A30,0))</f>
        <v/>
      </c>
      <c r="E30" s="54">
        <f>DATE(YEAR($A30),MONTH($A30),1)</f>
        <v/>
      </c>
      <c r="F30" s="55">
        <f>SUMIFS(tblMovement[Tonnes_t],tblMovement[Date],$A30,tblMovement[Is_Ore],1,tblMovement[Source_Type],"Pit")</f>
        <v/>
      </c>
      <c r="G30" s="55">
        <f>IF($B30=$B29,$G29,0)+$F30</f>
        <v/>
      </c>
      <c r="H30" s="55">
        <f>$H29+$F30</f>
        <v/>
      </c>
      <c r="I30" s="55">
        <f>SUMIFS(tblMovement[Ore_oz],tblMovement[Date],$A30,tblMovement[Source_Type],"Pit")</f>
        <v/>
      </c>
      <c r="J30" s="55">
        <f>IF($B30=$B29,$J29,0)+$I30</f>
        <v/>
      </c>
      <c r="K30" s="55">
        <f>$K29+$I30</f>
        <v/>
      </c>
      <c r="L30" s="56">
        <f>IFERROR(IF(($F30)&gt;0,($I30*cfg_TroyOz)/($F30),""),"")</f>
        <v/>
      </c>
      <c r="M30" s="56">
        <f>IFERROR(IF(($G30)&gt;0,($J30*cfg_TroyOz)/($G30),""),"")</f>
        <v/>
      </c>
      <c r="N30" s="56">
        <f>IFERROR(IF(($H30)&gt;0,($K30*cfg_TroyOz)/($H30),""),"")</f>
        <v/>
      </c>
      <c r="O30" s="55">
        <f>SUMIFS(tblMovement[Tonnes_t],tblMovement[Date],$A30,tblMovement[Is_Ore],0,tblMovement[Source_Type],"Pit")</f>
        <v/>
      </c>
      <c r="P30" s="55">
        <f>IF($B30=$B29,$P29,0)+$O30</f>
        <v/>
      </c>
      <c r="Q30" s="55">
        <f>$Q29+$O30</f>
        <v/>
      </c>
      <c r="R30" s="55">
        <f>$F30+$O30</f>
        <v/>
      </c>
      <c r="S30" s="55">
        <f>IF($B30=$B29,$S29,0)+$R30</f>
        <v/>
      </c>
      <c r="T30" s="55">
        <f>$T29+$R30</f>
        <v/>
      </c>
      <c r="U30" s="56">
        <f>IFERROR(IF(($F30)&gt;0,($O30)/($F30),""),"")</f>
        <v/>
      </c>
      <c r="V30" s="56">
        <f>IFERROR(IF(($G30)&gt;0,($P30)/($G30),""),"")</f>
        <v/>
      </c>
      <c r="W30" s="56">
        <f>IFERROR(IF(($H30)&gt;0,($Q30)/($H30),""),"")</f>
        <v/>
      </c>
      <c r="X30" s="55">
        <f>SUMIFS(tblMovement[Tonnes_t],tblMovement[Date],$A30,tblMovement[Source_Type],"Stockpile")</f>
        <v/>
      </c>
      <c r="Y30" s="55">
        <f>IF($B30=$B29,$Y29,0)+$X30</f>
        <v/>
      </c>
      <c r="Z30" s="55">
        <f>$Z29+$X30</f>
        <v/>
      </c>
      <c r="AA30" s="55">
        <f>SUMIFS(tblMiningDaily[Drill_m],tblMiningDaily[Date],$A30)</f>
        <v/>
      </c>
      <c r="AB30" s="55">
        <f>IF($B30=$B29,$AB29,0)+$AA30</f>
        <v/>
      </c>
      <c r="AC30" s="55">
        <f>$AC29+$AA30</f>
        <v/>
      </c>
      <c r="AD30" s="55">
        <f>SUMIFS(tblMiningDaily[Blast_t],tblMiningDaily[Date],$A30)</f>
        <v/>
      </c>
      <c r="AE30" s="55">
        <f>IF($B30=$B29,$AE29,0)+$AD30</f>
        <v/>
      </c>
      <c r="AF30" s="55">
        <f>$AF29+$AD30</f>
        <v/>
      </c>
      <c r="AG30" s="55">
        <f>SUMIFS(tblMiningDaily[Explosives_kg],tblMiningDaily[Date],$A30)</f>
        <v/>
      </c>
      <c r="AH30" s="55">
        <f>IF($B30=$B29,$AH29,0)+$AG30</f>
        <v/>
      </c>
      <c r="AI30" s="55">
        <f>$AI29+$AG30</f>
        <v/>
      </c>
      <c r="AJ30" s="56">
        <f>IFERROR(IF(($AD30)&gt;0,($AG30)/($AD30),""),"")</f>
        <v/>
      </c>
      <c r="AK30" s="56">
        <f>IFERROR(IF(($AE30)&gt;0,($AH30)/($AE30),""),"")</f>
        <v/>
      </c>
      <c r="AL30" s="56">
        <f>IFERROR(IF(($AF30)&gt;0,($AI30)/($AF30),""),"")</f>
        <v/>
      </c>
      <c r="AM30" s="55">
        <f>SUMIFS(tblMiningDaily[Diesel_L],tblMiningDaily[Date],$A30)</f>
        <v/>
      </c>
      <c r="AN30" s="55">
        <f>IF($B30=$B29,$AN29,0)+$AM30</f>
        <v/>
      </c>
      <c r="AO30" s="55">
        <f>$AO29+$AM30</f>
        <v/>
      </c>
      <c r="AP30" s="55">
        <f>SUMIFS(tblMiningDaily[Dewatering_m3],tblMiningDaily[Date],$A30)</f>
        <v/>
      </c>
      <c r="AQ30" s="55">
        <f>IF($B30=$B29,$AQ29,0)+$AP30</f>
        <v/>
      </c>
      <c r="AR30" s="55">
        <f>$AR29+$AP30</f>
        <v/>
      </c>
      <c r="AS30" s="57">
        <f>SUMIFS(tblFleet[Calendar_h],tblFleet[Date],$A30,tblFleet[Equipment_Class],"Excavator")</f>
        <v/>
      </c>
      <c r="AT30" s="57">
        <f>IF($B30=$B29,$AT29,0)+$AS30</f>
        <v/>
      </c>
      <c r="AU30" s="57">
        <f>$AU29+$AS30</f>
        <v/>
      </c>
      <c r="AV30" s="57">
        <f>SUMIFS(tblFleet[Available_h],tblFleet[Date],$A30,tblFleet[Equipment_Class],"Excavator")</f>
        <v/>
      </c>
      <c r="AW30" s="57">
        <f>IF($B30=$B29,$AW29,0)+$AV30</f>
        <v/>
      </c>
      <c r="AX30" s="57">
        <f>$AX29+$AV30</f>
        <v/>
      </c>
      <c r="AY30" s="57">
        <f>SUMIFS(tblFleet[Operating_h],tblFleet[Date],$A30,tblFleet[Equipment_Class],"Excavator")</f>
        <v/>
      </c>
      <c r="AZ30" s="57">
        <f>IF($B30=$B29,$AZ29,0)+$AY30</f>
        <v/>
      </c>
      <c r="BA30" s="57">
        <f>$BA29+$AY30</f>
        <v/>
      </c>
      <c r="BB30" s="67">
        <f>IFERROR(IF(($AS30)&gt;0,($AV30)/($AS30),""),"")</f>
        <v/>
      </c>
      <c r="BC30" s="67">
        <f>IFERROR(IF(($AT30)&gt;0,($AW30)/($AT30),""),"")</f>
        <v/>
      </c>
      <c r="BD30" s="67">
        <f>IFERROR(IF(($AU30)&gt;0,($AX30)/($AU30),""),"")</f>
        <v/>
      </c>
      <c r="BE30" s="67">
        <f>IFERROR(IF(($AV30)&gt;0,($AY30)/($AV30),""),"")</f>
        <v/>
      </c>
      <c r="BF30" s="67">
        <f>IFERROR(IF(($AW30)&gt;0,($AZ30)/($AW30),""),"")</f>
        <v/>
      </c>
      <c r="BG30" s="67">
        <f>IFERROR(IF(($AX30)&gt;0,($BA30)/($AX30),""),"")</f>
        <v/>
      </c>
      <c r="BH30" s="57">
        <f>SUMIFS(tblFleet[Calendar_h],tblFleet[Date],$A30,tblFleet[Equipment_Class],"Haul Truck")</f>
        <v/>
      </c>
      <c r="BI30" s="57">
        <f>IF($B30=$B29,$BI29,0)+$BH30</f>
        <v/>
      </c>
      <c r="BJ30" s="57">
        <f>$BJ29+$BH30</f>
        <v/>
      </c>
      <c r="BK30" s="57">
        <f>SUMIFS(tblFleet[Available_h],tblFleet[Date],$A30,tblFleet[Equipment_Class],"Haul Truck")</f>
        <v/>
      </c>
      <c r="BL30" s="57">
        <f>IF($B30=$B29,$BL29,0)+$BK30</f>
        <v/>
      </c>
      <c r="BM30" s="57">
        <f>$BM29+$BK30</f>
        <v/>
      </c>
      <c r="BN30" s="57">
        <f>SUMIFS(tblFleet[Operating_h],tblFleet[Date],$A30,tblFleet[Equipment_Class],"Haul Truck")</f>
        <v/>
      </c>
      <c r="BO30" s="57">
        <f>IF($B30=$B29,$BO29,0)+$BN30</f>
        <v/>
      </c>
      <c r="BP30" s="57">
        <f>$BP29+$BN30</f>
        <v/>
      </c>
      <c r="BQ30" s="67">
        <f>IFERROR(IF(($BH30)&gt;0,($BK30)/($BH30),""),"")</f>
        <v/>
      </c>
      <c r="BR30" s="67">
        <f>IFERROR(IF(($BI30)&gt;0,($BL30)/($BI30),""),"")</f>
        <v/>
      </c>
      <c r="BS30" s="67">
        <f>IFERROR(IF(($BJ30)&gt;0,($BM30)/($BJ30),""),"")</f>
        <v/>
      </c>
      <c r="BT30" s="67">
        <f>IFERROR(IF(($BK30)&gt;0,($BN30)/($BK30),""),"")</f>
        <v/>
      </c>
      <c r="BU30" s="67">
        <f>IFERROR(IF(($BL30)&gt;0,($BO30)/($BL30),""),"")</f>
        <v/>
      </c>
      <c r="BV30" s="67">
        <f>IFERROR(IF(($BM30)&gt;0,($BP30)/($BM30),""),"")</f>
        <v/>
      </c>
      <c r="BW30" s="55">
        <f>SUMIFS(tblPlant[Crushed_t],tblPlant[Date],$A30)</f>
        <v/>
      </c>
      <c r="BX30" s="55">
        <f>IF($B30=$B29,$BX29,0)+$BW30</f>
        <v/>
      </c>
      <c r="BY30" s="55">
        <f>$BY29+$BW30</f>
        <v/>
      </c>
      <c r="BZ30" s="55">
        <f>SUMIFS(tblPlant[Milled_t],tblPlant[Date],$A30)</f>
        <v/>
      </c>
      <c r="CA30" s="55">
        <f>IF($B30=$B29,$CA29,0)+$BZ30</f>
        <v/>
      </c>
      <c r="CB30" s="55">
        <f>$CB29+$BZ30</f>
        <v/>
      </c>
      <c r="CC30" s="55">
        <f>SUMIFS(tblPlant[Feed_oz],tblPlant[Date],$A30)</f>
        <v/>
      </c>
      <c r="CD30" s="55">
        <f>IF($B30=$B29,$CD29,0)+$CC30</f>
        <v/>
      </c>
      <c r="CE30" s="55">
        <f>$CE29+$CC30</f>
        <v/>
      </c>
      <c r="CF30" s="55">
        <f>SUMIFS(tblPlant[Tails_oz],tblPlant[Date],$A30)</f>
        <v/>
      </c>
      <c r="CG30" s="55">
        <f>IF($B30=$B29,$CG29,0)+$CF30</f>
        <v/>
      </c>
      <c r="CH30" s="55">
        <f>$CH29+$CF30</f>
        <v/>
      </c>
      <c r="CI30" s="55">
        <f>SUMIFS(tblPlant[Recovered_oz],tblPlant[Date],$A30)</f>
        <v/>
      </c>
      <c r="CJ30" s="55">
        <f>IF($B30=$B29,$CJ29,0)+$CI30</f>
        <v/>
      </c>
      <c r="CK30" s="55">
        <f>$CK29+$CI30</f>
        <v/>
      </c>
      <c r="CL30" s="56">
        <f>IFERROR(IF(($BZ30)&gt;0,($CC30*cfg_TroyOz)/($BZ30),""),"")</f>
        <v/>
      </c>
      <c r="CM30" s="56">
        <f>IFERROR(IF(($CA30)&gt;0,($CD30*cfg_TroyOz)/($CA30),""),"")</f>
        <v/>
      </c>
      <c r="CN30" s="56">
        <f>IFERROR(IF(($CB30)&gt;0,($CE30*cfg_TroyOz)/($CB30),""),"")</f>
        <v/>
      </c>
      <c r="CO30" s="56">
        <f>IFERROR(IF(($BZ30)&gt;0,($CF30*cfg_TroyOz)/($BZ30),""),"")</f>
        <v/>
      </c>
      <c r="CP30" s="56">
        <f>IFERROR(IF(($CA30)&gt;0,($CG30*cfg_TroyOz)/($CA30),""),"")</f>
        <v/>
      </c>
      <c r="CQ30" s="56">
        <f>IFERROR(IF(($CB30)&gt;0,($CH30*cfg_TroyOz)/($CB30),""),"")</f>
        <v/>
      </c>
      <c r="CR30" s="67">
        <f>IFERROR(IF(($CC30)&gt;0,($CI30)/($CC30),""),"")</f>
        <v/>
      </c>
      <c r="CS30" s="67">
        <f>IFERROR(IF(($CD30)&gt;0,($CJ30)/($CD30),""),"")</f>
        <v/>
      </c>
      <c r="CT30" s="67">
        <f>IFERROR(IF(($CE30)&gt;0,($CK30)/($CE30),""),"")</f>
        <v/>
      </c>
      <c r="CU30" s="55">
        <f>SUMIFS(tblPlant[Gravity_Gold_oz],tblPlant[Date],$A30)</f>
        <v/>
      </c>
      <c r="CV30" s="55">
        <f>IF($B30=$B29,$CV29,0)+$CU30</f>
        <v/>
      </c>
      <c r="CW30" s="55">
        <f>$CW29+$CU30</f>
        <v/>
      </c>
      <c r="CX30" s="55">
        <f>SUMIFS(tblPlant[Gold_Poured_oz],tblPlant[Date],$A30)</f>
        <v/>
      </c>
      <c r="CY30" s="55">
        <f>IF($B30=$B29,$CY29,0)+$CX30</f>
        <v/>
      </c>
      <c r="CZ30" s="55">
        <f>$CZ29+$CX30</f>
        <v/>
      </c>
      <c r="DA30" s="57">
        <f>SUMIFS(tblPlant[Mill_Run_h],tblPlant[Date],$A30)</f>
        <v/>
      </c>
      <c r="DB30" s="57">
        <f>IF($B30=$B29,$DB29,0)+$DA30</f>
        <v/>
      </c>
      <c r="DC30" s="57">
        <f>$DC29+$DA30</f>
        <v/>
      </c>
      <c r="DD30" s="57">
        <f>SUMIFS(tblPlant[Mill_Planned_Maint_h],tblPlant[Date],$A30)</f>
        <v/>
      </c>
      <c r="DE30" s="57">
        <f>IF($B30=$B29,$DE29,0)+$DD30</f>
        <v/>
      </c>
      <c r="DF30" s="57">
        <f>$DF29+$DD30</f>
        <v/>
      </c>
      <c r="DG30" s="57">
        <f>SUMIFS(tblPlant[Mill_Unplanned_Down_h],tblPlant[Date],$A30)</f>
        <v/>
      </c>
      <c r="DH30" s="57">
        <f>IF($B30=$B29,$DH29,0)+$DG30</f>
        <v/>
      </c>
      <c r="DI30" s="57">
        <f>$DI29+$DG30</f>
        <v/>
      </c>
      <c r="DJ30" s="57">
        <f>COUNTIFS(tblPlant[Date],$A30,tblPlant[Mill_Run_h],"&lt;&gt;")*24</f>
        <v/>
      </c>
      <c r="DK30" s="57">
        <f>IF($B30=$B29,$DK29,0)+$DJ30</f>
        <v/>
      </c>
      <c r="DL30" s="57">
        <f>$DL29+$DJ30</f>
        <v/>
      </c>
      <c r="DM30" s="57">
        <f>SUMIFS(tblPlant[Crusher_Run_h],tblPlant[Date],$A30)</f>
        <v/>
      </c>
      <c r="DN30" s="57">
        <f>IF($B30=$B29,$DN29,0)+$DM30</f>
        <v/>
      </c>
      <c r="DO30" s="57">
        <f>$DO29+$DM30</f>
        <v/>
      </c>
      <c r="DP30" s="55">
        <f>IFERROR(IF(($DA30)&gt;0,($BZ30)/($DA30),""),"")</f>
        <v/>
      </c>
      <c r="DQ30" s="55">
        <f>IFERROR(IF(($DB30)&gt;0,($CA30)/($DB30),""),"")</f>
        <v/>
      </c>
      <c r="DR30" s="55">
        <f>IFERROR(IF(($DC30)&gt;0,($CB30)/($DC30),""),"")</f>
        <v/>
      </c>
      <c r="DS30" s="67">
        <f>IFERROR(IF(($DJ30)&gt;0,($DJ30-$DD30-$DG30)/($DJ30),""),"")</f>
        <v/>
      </c>
      <c r="DT30" s="67">
        <f>IFERROR(IF(($DK30)&gt;0,($DK30-$DE30-$DH30)/($DK30),""),"")</f>
        <v/>
      </c>
      <c r="DU30" s="67">
        <f>IFERROR(IF(($DL30)&gt;0,($DL30-$DF30-$DI30)/($DL30),""),"")</f>
        <v/>
      </c>
      <c r="DV30" s="67">
        <f>IFERROR(IF(($DJ30-$DD30-$DG30)&gt;0,($DA30)/($DJ30-$DD30-$DG30),""),"")</f>
        <v/>
      </c>
      <c r="DW30" s="67">
        <f>IFERROR(IF(($DK30-$DE30-$DH30)&gt;0,($DB30)/($DK30-$DE30-$DH30),""),"")</f>
        <v/>
      </c>
      <c r="DX30" s="67">
        <f>IFERROR(IF(($DL30-$DF30-$DI30)&gt;0,($DC30)/($DL30-$DF30-$DI30),""),"")</f>
        <v/>
      </c>
      <c r="DY30" s="55">
        <f>SUMIFS(tblPlant[Cyanide_kg],tblPlant[Date],$A30)</f>
        <v/>
      </c>
      <c r="DZ30" s="55">
        <f>IF($B30=$B29,$DZ29,0)+$DY30</f>
        <v/>
      </c>
      <c r="EA30" s="55">
        <f>$EA29+$DY30</f>
        <v/>
      </c>
      <c r="EB30" s="55">
        <f>SUMIFS(tblPlant[Lime_kg],tblPlant[Date],$A30)</f>
        <v/>
      </c>
      <c r="EC30" s="55">
        <f>IF($B30=$B29,$EC29,0)+$EB30</f>
        <v/>
      </c>
      <c r="ED30" s="55">
        <f>$ED29+$EB30</f>
        <v/>
      </c>
      <c r="EE30" s="55">
        <f>SUMIFS(tblPlant[Grinding_Media_kg],tblPlant[Date],$A30)</f>
        <v/>
      </c>
      <c r="EF30" s="55">
        <f>IF($B30=$B29,$EF29,0)+$EE30</f>
        <v/>
      </c>
      <c r="EG30" s="55">
        <f>$EG29+$EE30</f>
        <v/>
      </c>
      <c r="EH30" s="55">
        <f>SUMIFS(tblPlant[Power_kWh],tblPlant[Date],$A30)</f>
        <v/>
      </c>
      <c r="EI30" s="55">
        <f>IF($B30=$B29,$EI29,0)+$EH30</f>
        <v/>
      </c>
      <c r="EJ30" s="55">
        <f>$EJ29+$EH30</f>
        <v/>
      </c>
      <c r="EK30" s="55">
        <f>SUMIFS(tblPlant[Raw_Water_m3],tblPlant[Date],$A30)</f>
        <v/>
      </c>
      <c r="EL30" s="55">
        <f>IF($B30=$B29,$EL29,0)+$EK30</f>
        <v/>
      </c>
      <c r="EM30" s="55">
        <f>$EM29+$EK30</f>
        <v/>
      </c>
      <c r="EN30" s="56">
        <f>IFERROR(IF(($BZ30)&gt;0,($DY30)/($BZ30),""),"")</f>
        <v/>
      </c>
      <c r="EO30" s="56">
        <f>IFERROR(IF(($CA30)&gt;0,($DZ30)/($CA30),""),"")</f>
        <v/>
      </c>
      <c r="EP30" s="56">
        <f>IFERROR(IF(($CB30)&gt;0,($EA30)/($CB30),""),"")</f>
        <v/>
      </c>
      <c r="EQ30" s="56">
        <f>IFERROR(IF(($BZ30)&gt;0,($EB30)/($BZ30),""),"")</f>
        <v/>
      </c>
      <c r="ER30" s="56">
        <f>IFERROR(IF(($CA30)&gt;0,($EC30)/($CA30),""),"")</f>
        <v/>
      </c>
      <c r="ES30" s="56">
        <f>IFERROR(IF(($CB30)&gt;0,($ED30)/($CB30),""),"")</f>
        <v/>
      </c>
      <c r="ET30" s="56">
        <f>IFERROR(IF(($BZ30)&gt;0,($EE30)/($BZ30),""),"")</f>
        <v/>
      </c>
      <c r="EU30" s="56">
        <f>IFERROR(IF(($CA30)&gt;0,($EF30)/($CA30),""),"")</f>
        <v/>
      </c>
      <c r="EV30" s="56">
        <f>IFERROR(IF(($CB30)&gt;0,($EG30)/($CB30),""),"")</f>
        <v/>
      </c>
      <c r="EW30" s="76">
        <f>IFERROR(IF(($BZ30)&gt;0,($EH30)/($BZ30),""),"")</f>
        <v/>
      </c>
      <c r="EX30" s="76">
        <f>IFERROR(IF(($CA30)&gt;0,($EI30)/($CA30),""),"")</f>
        <v/>
      </c>
      <c r="EY30" s="76">
        <f>IFERROR(IF(($CB30)&gt;0,($EJ30)/($CB30),""),"")</f>
        <v/>
      </c>
      <c r="EZ30" s="56">
        <f>IFERROR(IF(($BZ30)&gt;0,($EK30)/($BZ30),""),"")</f>
        <v/>
      </c>
      <c r="FA30" s="56">
        <f>IFERROR(IF(($CA30)&gt;0,($EL30)/($CA30),""),"")</f>
        <v/>
      </c>
      <c r="FB30" s="56">
        <f>IFERROR(IF(($CB30)&gt;0,($EM30)/($CB30),""),"")</f>
        <v/>
      </c>
      <c r="FC30" s="55">
        <f>IF(SUMIFS(tblPlant[GIC_oz],tblPlant[Date],$A30)&gt;0,SUMIFS(tblPlant[GIC_oz],tblPlant[Date],$A30),"")</f>
        <v/>
      </c>
      <c r="FD30" s="55">
        <f>SUMIFS(tblGold[Gold_oz],tblGold[Date],$A30,tblGold[Type],"Shipment")</f>
        <v/>
      </c>
      <c r="FE30" s="55">
        <f>IF($B30=$B29,$FE29,0)+$FD30</f>
        <v/>
      </c>
      <c r="FF30" s="55">
        <f>$FF29+$FD30</f>
        <v/>
      </c>
      <c r="FG30" s="55">
        <f>SUMIFS(tblGold[Gold_oz],tblGold[Date],$A30,tblGold[Type],"Sale")</f>
        <v/>
      </c>
      <c r="FH30" s="55">
        <f>IF($B30=$B29,$FH29,0)+$FG30</f>
        <v/>
      </c>
      <c r="FI30" s="55">
        <f>$FI29+$FG30</f>
        <v/>
      </c>
      <c r="FJ30" s="55">
        <f>SUMIFS(tblGold[Dore_kg],tblGold[Date],$A30,tblGold[Type],"Shipment")</f>
        <v/>
      </c>
      <c r="FK30" s="55">
        <f>IF($B30=$B29,$FK29,0)+$FJ30</f>
        <v/>
      </c>
      <c r="FL30" s="55">
        <f>$FL29+$FJ30</f>
        <v/>
      </c>
      <c r="FM30" s="57">
        <f>SUMIFS(tblSafety[Hours_Total],tblSafety[Date],$A30)</f>
        <v/>
      </c>
      <c r="FN30" s="57">
        <f>IF($B30=$B29,$FN29,0)+$FM30</f>
        <v/>
      </c>
      <c r="FO30" s="57">
        <f>$FO29+$FM30</f>
        <v/>
      </c>
      <c r="FP30" s="62">
        <f>SUMIFS(tblSafety[Fatality],tblSafety[Date],$A30)</f>
        <v/>
      </c>
      <c r="FQ30" s="62">
        <f>IF($B30=$B29,$FQ29,0)+$FP30</f>
        <v/>
      </c>
      <c r="FR30" s="62">
        <f>$FR29+$FP30</f>
        <v/>
      </c>
      <c r="FS30" s="62">
        <f>SUMIFS(tblSafety[LTI],tblSafety[Date],$A30)</f>
        <v/>
      </c>
      <c r="FT30" s="62">
        <f>IF($B30=$B29,$FT29,0)+$FS30</f>
        <v/>
      </c>
      <c r="FU30" s="62">
        <f>$FU29+$FS30</f>
        <v/>
      </c>
      <c r="FV30" s="62">
        <f>SUMIFS(tblSafety[RWI],tblSafety[Date],$A30)</f>
        <v/>
      </c>
      <c r="FW30" s="62">
        <f>IF($B30=$B29,$FW29,0)+$FV30</f>
        <v/>
      </c>
      <c r="FX30" s="62">
        <f>$FX29+$FV30</f>
        <v/>
      </c>
      <c r="FY30" s="62">
        <f>SUMIFS(tblSafety[MTI],tblSafety[Date],$A30)</f>
        <v/>
      </c>
      <c r="FZ30" s="62">
        <f>IF($B30=$B29,$FZ29,0)+$FY30</f>
        <v/>
      </c>
      <c r="GA30" s="62">
        <f>$GA29+$FY30</f>
        <v/>
      </c>
      <c r="GB30" s="62">
        <f>SUMIFS(tblSafety[FAI],tblSafety[Date],$A30)</f>
        <v/>
      </c>
      <c r="GC30" s="62">
        <f>IF($B30=$B29,$GC29,0)+$GB30</f>
        <v/>
      </c>
      <c r="GD30" s="62">
        <f>$GD29+$GB30</f>
        <v/>
      </c>
      <c r="GE30" s="62">
        <f>SUMIFS(tblSafety[Recordables],tblSafety[Date],$A30)</f>
        <v/>
      </c>
      <c r="GF30" s="62">
        <f>IF($B30=$B29,$GF29,0)+$GE30</f>
        <v/>
      </c>
      <c r="GG30" s="62">
        <f>$GG29+$GE30</f>
        <v/>
      </c>
      <c r="GH30" s="62">
        <f>SUMIFS(tblSafety[Near_Miss],tblSafety[Date],$A30)</f>
        <v/>
      </c>
      <c r="GI30" s="62">
        <f>IF($B30=$B29,$GI29,0)+$GH30</f>
        <v/>
      </c>
      <c r="GJ30" s="62">
        <f>$GJ29+$GH30</f>
        <v/>
      </c>
      <c r="GK30" s="62">
        <f>SUMIFS(tblSafety[Hazard_Reports],tblSafety[Date],$A30)</f>
        <v/>
      </c>
      <c r="GL30" s="62">
        <f>IF($B30=$B29,$GL29,0)+$GK30</f>
        <v/>
      </c>
      <c r="GM30" s="62">
        <f>$GM29+$GK30</f>
        <v/>
      </c>
      <c r="GN30" s="62">
        <f>SUMIFS(tblSafety[HPI],tblSafety[Date],$A30)</f>
        <v/>
      </c>
      <c r="GO30" s="62">
        <f>IF($B30=$B29,$GO29,0)+$GN30</f>
        <v/>
      </c>
      <c r="GP30" s="62">
        <f>$GP29+$GN30</f>
        <v/>
      </c>
      <c r="GQ30" s="62">
        <f>SUMIFS(tblSafety[Env_Incidents],tblSafety[Date],$A30)</f>
        <v/>
      </c>
      <c r="GR30" s="62">
        <f>IF($B30=$B29,$GR29,0)+$GQ30</f>
        <v/>
      </c>
      <c r="GS30" s="62">
        <f>$GS29+$GQ30</f>
        <v/>
      </c>
      <c r="GT30" s="62">
        <f>SUMIFS(tblSafety[Community_Incidents],tblSafety[Date],$A30)</f>
        <v/>
      </c>
      <c r="GU30" s="62">
        <f>IF($B30=$B29,$GU29,0)+$GT30</f>
        <v/>
      </c>
      <c r="GV30" s="62">
        <f>$GV29+$GT30</f>
        <v/>
      </c>
      <c r="GW30" s="62">
        <f>SUMIFS(tblSafety[Vehicle_Incidents],tblSafety[Date],$A30)</f>
        <v/>
      </c>
      <c r="GX30" s="62">
        <f>IF($B30=$B29,$GX29,0)+$GW30</f>
        <v/>
      </c>
      <c r="GY30" s="62">
        <f>$GY29+$GW30</f>
        <v/>
      </c>
      <c r="GZ30" s="62">
        <f>SUMIFS(tblSafety[Toolbox_Talks],tblSafety[Date],$A30)</f>
        <v/>
      </c>
      <c r="HA30" s="62">
        <f>IF($B30=$B29,$HA29,0)+$GZ30</f>
        <v/>
      </c>
      <c r="HB30" s="62">
        <f>$HB29+$GZ30</f>
        <v/>
      </c>
      <c r="HC30" s="62">
        <f>SUMIFS(tblSafety[Inspections],tblSafety[Date],$A30)</f>
        <v/>
      </c>
      <c r="HD30" s="62">
        <f>IF($B30=$B29,$HD29,0)+$HC30</f>
        <v/>
      </c>
      <c r="HE30" s="62">
        <f>$HE29+$HC30</f>
        <v/>
      </c>
      <c r="HF30" s="56">
        <f>IFERROR((SUMIFS(tblSafety[Recordables],tblSafety[Date],"&gt;="&amp;EDATE($E30,-12),tblSafety[Date],"&lt;="&amp;$A30)+SUMIFS(tblSafetyHistory[Recordables],tblSafetyHistory[Month],"&gt;="&amp;EDATE($E30,-12),tblSafetyHistory[Month],"&lt;"&amp;cfg_YearStart))/(SUMIFS(tblSafety[Hours_Total],tblSafety[Date],"&gt;="&amp;EDATE($E30,-12),tblSafety[Date],"&lt;="&amp;$A30)+SUMIFS(tblSafetyHistory[Hours_Total],tblSafetyHistory[Month],"&gt;="&amp;EDATE($E30,-12),tblSafetyHistory[Month],"&lt;"&amp;cfg_YearStart))*1000000,"")</f>
        <v/>
      </c>
      <c r="HG30" s="56">
        <f>IFERROR((SUMIFS(tblSafety[LTI],tblSafety[Date],"&gt;="&amp;EDATE($E30,-12),tblSafety[Date],"&lt;="&amp;$A30)+SUMIFS(tblSafetyHistory[LTI],tblSafetyHistory[Month],"&gt;="&amp;EDATE($E30,-12),tblSafetyHistory[Month],"&lt;"&amp;cfg_YearStart))/(SUMIFS(tblSafety[Hours_Total],tblSafety[Date],"&gt;="&amp;EDATE($E30,-12),tblSafety[Date],"&lt;="&amp;$A30)+SUMIFS(tblSafetyHistory[Hours_Total],tblSafetyHistory[Month],"&gt;="&amp;EDATE($E30,-12),tblSafetyHistory[Month],"&lt;"&amp;cfg_YearStart))*1000000,"")</f>
        <v/>
      </c>
      <c r="HH30" s="62">
        <f>IF(MAX(N(cfg_PriorLTIDate),_xlfn.MAXIFS(tblSafety[Date],tblSafety[LTI],"&gt;0",tblSafety[Date],"&lt;="&amp;$A30))=0,"",$A30-MAX(N(cfg_PriorLTIDate),_xlfn.MAXIFS(tblSafety[Date],tblSafety[LTI],"&gt;0",tblSafety[Date],"&lt;="&amp;$A30)))</f>
        <v/>
      </c>
      <c r="HI30" s="55">
        <f>SUMIFS(tblBudget[Ore_Mined_t],tblBudget[Month],$E30)</f>
        <v/>
      </c>
      <c r="HJ30" s="55">
        <f>$HI30*$C30/$D30</f>
        <v/>
      </c>
      <c r="HK30" s="55">
        <f>SUMIFS(tblBudget[Ore_Mined_t],tblBudget[Month],"&lt;"&amp;$E30)+$HJ30</f>
        <v/>
      </c>
      <c r="HL30" s="55">
        <f>SUMIFS(tblBudget[Ore_oz],tblBudget[Month],$E30)</f>
        <v/>
      </c>
      <c r="HM30" s="55">
        <f>$HL30*$C30/$D30</f>
        <v/>
      </c>
      <c r="HN30" s="55">
        <f>SUMIFS(tblBudget[Ore_oz],tblBudget[Month],"&lt;"&amp;$E30)+$HM30</f>
        <v/>
      </c>
      <c r="HO30" s="56">
        <f>IFERROR(IF(($HI30)&gt;0,($HL30*cfg_TroyOz)/($HI30),""),"")</f>
        <v/>
      </c>
      <c r="HP30" s="56">
        <f>IFERROR(IF(($HJ30)&gt;0,($HM30*cfg_TroyOz)/($HJ30),""),"")</f>
        <v/>
      </c>
      <c r="HQ30" s="56">
        <f>IFERROR(IF(($HK30)&gt;0,($HN30*cfg_TroyOz)/($HK30),""),"")</f>
        <v/>
      </c>
      <c r="HR30" s="55">
        <f>SUMIFS(tblBudget[Waste_t],tblBudget[Month],$E30)</f>
        <v/>
      </c>
      <c r="HS30" s="55">
        <f>$HR30*$C30/$D30</f>
        <v/>
      </c>
      <c r="HT30" s="55">
        <f>SUMIFS(tblBudget[Waste_t],tblBudget[Month],"&lt;"&amp;$E30)+$HS30</f>
        <v/>
      </c>
      <c r="HU30" s="55">
        <f>SUMIFS(tblBudget[TMM_t],tblBudget[Month],$E30)</f>
        <v/>
      </c>
      <c r="HV30" s="55">
        <f>$HU30*$C30/$D30</f>
        <v/>
      </c>
      <c r="HW30" s="55">
        <f>SUMIFS(tblBudget[TMM_t],tblBudget[Month],"&lt;"&amp;$E30)+$HV30</f>
        <v/>
      </c>
      <c r="HX30" s="56">
        <f>IFERROR(IF(($HI30)&gt;0,($HR30)/($HI30),""),"")</f>
        <v/>
      </c>
      <c r="HY30" s="56">
        <f>IFERROR(IF(($HJ30)&gt;0,($HS30)/($HJ30),""),"")</f>
        <v/>
      </c>
      <c r="HZ30" s="56">
        <f>IFERROR(IF(($HK30)&gt;0,($HT30)/($HK30),""),"")</f>
        <v/>
      </c>
      <c r="IA30" s="55">
        <f>SUMIFS(tblBudget[Drill_m],tblBudget[Month],$E30)</f>
        <v/>
      </c>
      <c r="IB30" s="55">
        <f>$IA30*$C30/$D30</f>
        <v/>
      </c>
      <c r="IC30" s="55">
        <f>SUMIFS(tblBudget[Drill_m],tblBudget[Month],"&lt;"&amp;$E30)+$IB30</f>
        <v/>
      </c>
      <c r="ID30" s="55">
        <f>SUMIFS(tblBudget[Diesel_L],tblBudget[Month],$E30)</f>
        <v/>
      </c>
      <c r="IE30" s="55">
        <f>$ID30*$C30/$D30</f>
        <v/>
      </c>
      <c r="IF30" s="55">
        <f>SUMIFS(tblBudget[Diesel_L],tblBudget[Month],"&lt;"&amp;$E30)+$IE30</f>
        <v/>
      </c>
      <c r="IG30" s="55">
        <f>SUMIFS(tblBudget[Milled_t],tblBudget[Month],$E30)</f>
        <v/>
      </c>
      <c r="IH30" s="55">
        <f>$IG30*$C30/$D30</f>
        <v/>
      </c>
      <c r="II30" s="55">
        <f>SUMIFS(tblBudget[Milled_t],tblBudget[Month],"&lt;"&amp;$E30)+$IH30</f>
        <v/>
      </c>
      <c r="IJ30" s="55">
        <f>SUMIFS(tblBudget[Feed_oz],tblBudget[Month],$E30)</f>
        <v/>
      </c>
      <c r="IK30" s="55">
        <f>$IJ30*$C30/$D30</f>
        <v/>
      </c>
      <c r="IL30" s="55">
        <f>SUMIFS(tblBudget[Feed_oz],tblBudget[Month],"&lt;"&amp;$E30)+$IK30</f>
        <v/>
      </c>
      <c r="IM30" s="55">
        <f>SUMIFS(tblBudget[Recovered_oz],tblBudget[Month],$E30)</f>
        <v/>
      </c>
      <c r="IN30" s="55">
        <f>$IM30*$C30/$D30</f>
        <v/>
      </c>
      <c r="IO30" s="55">
        <f>SUMIFS(tblBudget[Recovered_oz],tblBudget[Month],"&lt;"&amp;$E30)+$IN30</f>
        <v/>
      </c>
      <c r="IP30" s="56">
        <f>IFERROR(IF(($IG30)&gt;0,($IJ30*cfg_TroyOz)/($IG30),""),"")</f>
        <v/>
      </c>
      <c r="IQ30" s="56">
        <f>IFERROR(IF(($IH30)&gt;0,($IK30*cfg_TroyOz)/($IH30),""),"")</f>
        <v/>
      </c>
      <c r="IR30" s="56">
        <f>IFERROR(IF(($II30)&gt;0,($IL30*cfg_TroyOz)/($II30),""),"")</f>
        <v/>
      </c>
      <c r="IS30" s="67">
        <f>IFERROR(IF(($IJ30)&gt;0,($IM30)/($IJ30),""),"")</f>
        <v/>
      </c>
      <c r="IT30" s="67">
        <f>IFERROR(IF(($IK30)&gt;0,($IN30)/($IK30),""),"")</f>
        <v/>
      </c>
      <c r="IU30" s="67">
        <f>IFERROR(IF(($IL30)&gt;0,($IO30)/($IL30),""),"")</f>
        <v/>
      </c>
      <c r="IV30" s="55">
        <f>SUMIFS(tblBudget[Gold_Poured_oz],tblBudget[Month],$E30)</f>
        <v/>
      </c>
      <c r="IW30" s="55">
        <f>$IV30*$C30/$D30</f>
        <v/>
      </c>
      <c r="IX30" s="55">
        <f>SUMIFS(tblBudget[Gold_Poured_oz],tblBudget[Month],"&lt;"&amp;$E30)+$IW30</f>
        <v/>
      </c>
      <c r="IY30" s="57">
        <f>SUMIFS(tblBudget[Hours_Worked],tblBudget[Month],$E30)</f>
        <v/>
      </c>
      <c r="IZ30" s="57">
        <f>$IY30*$C30/$D30</f>
        <v/>
      </c>
      <c r="JA30" s="57">
        <f>SUMIFS(tblBudget[Hours_Worked],tblBudget[Month],"&lt;"&amp;$E30)+$IZ30</f>
        <v/>
      </c>
    </row>
    <row r="31">
      <c r="A31" s="54" t="n">
        <v>46052</v>
      </c>
      <c r="B31">
        <f>MONTH($A31)</f>
        <v/>
      </c>
      <c r="C31">
        <f>DAY($A31)</f>
        <v/>
      </c>
      <c r="D31">
        <f>DAY(EOMONTH($A31,0))</f>
        <v/>
      </c>
      <c r="E31" s="54">
        <f>DATE(YEAR($A31),MONTH($A31),1)</f>
        <v/>
      </c>
      <c r="F31" s="55">
        <f>SUMIFS(tblMovement[Tonnes_t],tblMovement[Date],$A31,tblMovement[Is_Ore],1,tblMovement[Source_Type],"Pit")</f>
        <v/>
      </c>
      <c r="G31" s="55">
        <f>IF($B31=$B30,$G30,0)+$F31</f>
        <v/>
      </c>
      <c r="H31" s="55">
        <f>$H30+$F31</f>
        <v/>
      </c>
      <c r="I31" s="55">
        <f>SUMIFS(tblMovement[Ore_oz],tblMovement[Date],$A31,tblMovement[Source_Type],"Pit")</f>
        <v/>
      </c>
      <c r="J31" s="55">
        <f>IF($B31=$B30,$J30,0)+$I31</f>
        <v/>
      </c>
      <c r="K31" s="55">
        <f>$K30+$I31</f>
        <v/>
      </c>
      <c r="L31" s="56">
        <f>IFERROR(IF(($F31)&gt;0,($I31*cfg_TroyOz)/($F31),""),"")</f>
        <v/>
      </c>
      <c r="M31" s="56">
        <f>IFERROR(IF(($G31)&gt;0,($J31*cfg_TroyOz)/($G31),""),"")</f>
        <v/>
      </c>
      <c r="N31" s="56">
        <f>IFERROR(IF(($H31)&gt;0,($K31*cfg_TroyOz)/($H31),""),"")</f>
        <v/>
      </c>
      <c r="O31" s="55">
        <f>SUMIFS(tblMovement[Tonnes_t],tblMovement[Date],$A31,tblMovement[Is_Ore],0,tblMovement[Source_Type],"Pit")</f>
        <v/>
      </c>
      <c r="P31" s="55">
        <f>IF($B31=$B30,$P30,0)+$O31</f>
        <v/>
      </c>
      <c r="Q31" s="55">
        <f>$Q30+$O31</f>
        <v/>
      </c>
      <c r="R31" s="55">
        <f>$F31+$O31</f>
        <v/>
      </c>
      <c r="S31" s="55">
        <f>IF($B31=$B30,$S30,0)+$R31</f>
        <v/>
      </c>
      <c r="T31" s="55">
        <f>$T30+$R31</f>
        <v/>
      </c>
      <c r="U31" s="56">
        <f>IFERROR(IF(($F31)&gt;0,($O31)/($F31),""),"")</f>
        <v/>
      </c>
      <c r="V31" s="56">
        <f>IFERROR(IF(($G31)&gt;0,($P31)/($G31),""),"")</f>
        <v/>
      </c>
      <c r="W31" s="56">
        <f>IFERROR(IF(($H31)&gt;0,($Q31)/($H31),""),"")</f>
        <v/>
      </c>
      <c r="X31" s="55">
        <f>SUMIFS(tblMovement[Tonnes_t],tblMovement[Date],$A31,tblMovement[Source_Type],"Stockpile")</f>
        <v/>
      </c>
      <c r="Y31" s="55">
        <f>IF($B31=$B30,$Y30,0)+$X31</f>
        <v/>
      </c>
      <c r="Z31" s="55">
        <f>$Z30+$X31</f>
        <v/>
      </c>
      <c r="AA31" s="55">
        <f>SUMIFS(tblMiningDaily[Drill_m],tblMiningDaily[Date],$A31)</f>
        <v/>
      </c>
      <c r="AB31" s="55">
        <f>IF($B31=$B30,$AB30,0)+$AA31</f>
        <v/>
      </c>
      <c r="AC31" s="55">
        <f>$AC30+$AA31</f>
        <v/>
      </c>
      <c r="AD31" s="55">
        <f>SUMIFS(tblMiningDaily[Blast_t],tblMiningDaily[Date],$A31)</f>
        <v/>
      </c>
      <c r="AE31" s="55">
        <f>IF($B31=$B30,$AE30,0)+$AD31</f>
        <v/>
      </c>
      <c r="AF31" s="55">
        <f>$AF30+$AD31</f>
        <v/>
      </c>
      <c r="AG31" s="55">
        <f>SUMIFS(tblMiningDaily[Explosives_kg],tblMiningDaily[Date],$A31)</f>
        <v/>
      </c>
      <c r="AH31" s="55">
        <f>IF($B31=$B30,$AH30,0)+$AG31</f>
        <v/>
      </c>
      <c r="AI31" s="55">
        <f>$AI30+$AG31</f>
        <v/>
      </c>
      <c r="AJ31" s="56">
        <f>IFERROR(IF(($AD31)&gt;0,($AG31)/($AD31),""),"")</f>
        <v/>
      </c>
      <c r="AK31" s="56">
        <f>IFERROR(IF(($AE31)&gt;0,($AH31)/($AE31),""),"")</f>
        <v/>
      </c>
      <c r="AL31" s="56">
        <f>IFERROR(IF(($AF31)&gt;0,($AI31)/($AF31),""),"")</f>
        <v/>
      </c>
      <c r="AM31" s="55">
        <f>SUMIFS(tblMiningDaily[Diesel_L],tblMiningDaily[Date],$A31)</f>
        <v/>
      </c>
      <c r="AN31" s="55">
        <f>IF($B31=$B30,$AN30,0)+$AM31</f>
        <v/>
      </c>
      <c r="AO31" s="55">
        <f>$AO30+$AM31</f>
        <v/>
      </c>
      <c r="AP31" s="55">
        <f>SUMIFS(tblMiningDaily[Dewatering_m3],tblMiningDaily[Date],$A31)</f>
        <v/>
      </c>
      <c r="AQ31" s="55">
        <f>IF($B31=$B30,$AQ30,0)+$AP31</f>
        <v/>
      </c>
      <c r="AR31" s="55">
        <f>$AR30+$AP31</f>
        <v/>
      </c>
      <c r="AS31" s="57">
        <f>SUMIFS(tblFleet[Calendar_h],tblFleet[Date],$A31,tblFleet[Equipment_Class],"Excavator")</f>
        <v/>
      </c>
      <c r="AT31" s="57">
        <f>IF($B31=$B30,$AT30,0)+$AS31</f>
        <v/>
      </c>
      <c r="AU31" s="57">
        <f>$AU30+$AS31</f>
        <v/>
      </c>
      <c r="AV31" s="57">
        <f>SUMIFS(tblFleet[Available_h],tblFleet[Date],$A31,tblFleet[Equipment_Class],"Excavator")</f>
        <v/>
      </c>
      <c r="AW31" s="57">
        <f>IF($B31=$B30,$AW30,0)+$AV31</f>
        <v/>
      </c>
      <c r="AX31" s="57">
        <f>$AX30+$AV31</f>
        <v/>
      </c>
      <c r="AY31" s="57">
        <f>SUMIFS(tblFleet[Operating_h],tblFleet[Date],$A31,tblFleet[Equipment_Class],"Excavator")</f>
        <v/>
      </c>
      <c r="AZ31" s="57">
        <f>IF($B31=$B30,$AZ30,0)+$AY31</f>
        <v/>
      </c>
      <c r="BA31" s="57">
        <f>$BA30+$AY31</f>
        <v/>
      </c>
      <c r="BB31" s="67">
        <f>IFERROR(IF(($AS31)&gt;0,($AV31)/($AS31),""),"")</f>
        <v/>
      </c>
      <c r="BC31" s="67">
        <f>IFERROR(IF(($AT31)&gt;0,($AW31)/($AT31),""),"")</f>
        <v/>
      </c>
      <c r="BD31" s="67">
        <f>IFERROR(IF(($AU31)&gt;0,($AX31)/($AU31),""),"")</f>
        <v/>
      </c>
      <c r="BE31" s="67">
        <f>IFERROR(IF(($AV31)&gt;0,($AY31)/($AV31),""),"")</f>
        <v/>
      </c>
      <c r="BF31" s="67">
        <f>IFERROR(IF(($AW31)&gt;0,($AZ31)/($AW31),""),"")</f>
        <v/>
      </c>
      <c r="BG31" s="67">
        <f>IFERROR(IF(($AX31)&gt;0,($BA31)/($AX31),""),"")</f>
        <v/>
      </c>
      <c r="BH31" s="57">
        <f>SUMIFS(tblFleet[Calendar_h],tblFleet[Date],$A31,tblFleet[Equipment_Class],"Haul Truck")</f>
        <v/>
      </c>
      <c r="BI31" s="57">
        <f>IF($B31=$B30,$BI30,0)+$BH31</f>
        <v/>
      </c>
      <c r="BJ31" s="57">
        <f>$BJ30+$BH31</f>
        <v/>
      </c>
      <c r="BK31" s="57">
        <f>SUMIFS(tblFleet[Available_h],tblFleet[Date],$A31,tblFleet[Equipment_Class],"Haul Truck")</f>
        <v/>
      </c>
      <c r="BL31" s="57">
        <f>IF($B31=$B30,$BL30,0)+$BK31</f>
        <v/>
      </c>
      <c r="BM31" s="57">
        <f>$BM30+$BK31</f>
        <v/>
      </c>
      <c r="BN31" s="57">
        <f>SUMIFS(tblFleet[Operating_h],tblFleet[Date],$A31,tblFleet[Equipment_Class],"Haul Truck")</f>
        <v/>
      </c>
      <c r="BO31" s="57">
        <f>IF($B31=$B30,$BO30,0)+$BN31</f>
        <v/>
      </c>
      <c r="BP31" s="57">
        <f>$BP30+$BN31</f>
        <v/>
      </c>
      <c r="BQ31" s="67">
        <f>IFERROR(IF(($BH31)&gt;0,($BK31)/($BH31),""),"")</f>
        <v/>
      </c>
      <c r="BR31" s="67">
        <f>IFERROR(IF(($BI31)&gt;0,($BL31)/($BI31),""),"")</f>
        <v/>
      </c>
      <c r="BS31" s="67">
        <f>IFERROR(IF(($BJ31)&gt;0,($BM31)/($BJ31),""),"")</f>
        <v/>
      </c>
      <c r="BT31" s="67">
        <f>IFERROR(IF(($BK31)&gt;0,($BN31)/($BK31),""),"")</f>
        <v/>
      </c>
      <c r="BU31" s="67">
        <f>IFERROR(IF(($BL31)&gt;0,($BO31)/($BL31),""),"")</f>
        <v/>
      </c>
      <c r="BV31" s="67">
        <f>IFERROR(IF(($BM31)&gt;0,($BP31)/($BM31),""),"")</f>
        <v/>
      </c>
      <c r="BW31" s="55">
        <f>SUMIFS(tblPlant[Crushed_t],tblPlant[Date],$A31)</f>
        <v/>
      </c>
      <c r="BX31" s="55">
        <f>IF($B31=$B30,$BX30,0)+$BW31</f>
        <v/>
      </c>
      <c r="BY31" s="55">
        <f>$BY30+$BW31</f>
        <v/>
      </c>
      <c r="BZ31" s="55">
        <f>SUMIFS(tblPlant[Milled_t],tblPlant[Date],$A31)</f>
        <v/>
      </c>
      <c r="CA31" s="55">
        <f>IF($B31=$B30,$CA30,0)+$BZ31</f>
        <v/>
      </c>
      <c r="CB31" s="55">
        <f>$CB30+$BZ31</f>
        <v/>
      </c>
      <c r="CC31" s="55">
        <f>SUMIFS(tblPlant[Feed_oz],tblPlant[Date],$A31)</f>
        <v/>
      </c>
      <c r="CD31" s="55">
        <f>IF($B31=$B30,$CD30,0)+$CC31</f>
        <v/>
      </c>
      <c r="CE31" s="55">
        <f>$CE30+$CC31</f>
        <v/>
      </c>
      <c r="CF31" s="55">
        <f>SUMIFS(tblPlant[Tails_oz],tblPlant[Date],$A31)</f>
        <v/>
      </c>
      <c r="CG31" s="55">
        <f>IF($B31=$B30,$CG30,0)+$CF31</f>
        <v/>
      </c>
      <c r="CH31" s="55">
        <f>$CH30+$CF31</f>
        <v/>
      </c>
      <c r="CI31" s="55">
        <f>SUMIFS(tblPlant[Recovered_oz],tblPlant[Date],$A31)</f>
        <v/>
      </c>
      <c r="CJ31" s="55">
        <f>IF($B31=$B30,$CJ30,0)+$CI31</f>
        <v/>
      </c>
      <c r="CK31" s="55">
        <f>$CK30+$CI31</f>
        <v/>
      </c>
      <c r="CL31" s="56">
        <f>IFERROR(IF(($BZ31)&gt;0,($CC31*cfg_TroyOz)/($BZ31),""),"")</f>
        <v/>
      </c>
      <c r="CM31" s="56">
        <f>IFERROR(IF(($CA31)&gt;0,($CD31*cfg_TroyOz)/($CA31),""),"")</f>
        <v/>
      </c>
      <c r="CN31" s="56">
        <f>IFERROR(IF(($CB31)&gt;0,($CE31*cfg_TroyOz)/($CB31),""),"")</f>
        <v/>
      </c>
      <c r="CO31" s="56">
        <f>IFERROR(IF(($BZ31)&gt;0,($CF31*cfg_TroyOz)/($BZ31),""),"")</f>
        <v/>
      </c>
      <c r="CP31" s="56">
        <f>IFERROR(IF(($CA31)&gt;0,($CG31*cfg_TroyOz)/($CA31),""),"")</f>
        <v/>
      </c>
      <c r="CQ31" s="56">
        <f>IFERROR(IF(($CB31)&gt;0,($CH31*cfg_TroyOz)/($CB31),""),"")</f>
        <v/>
      </c>
      <c r="CR31" s="67">
        <f>IFERROR(IF(($CC31)&gt;0,($CI31)/($CC31),""),"")</f>
        <v/>
      </c>
      <c r="CS31" s="67">
        <f>IFERROR(IF(($CD31)&gt;0,($CJ31)/($CD31),""),"")</f>
        <v/>
      </c>
      <c r="CT31" s="67">
        <f>IFERROR(IF(($CE31)&gt;0,($CK31)/($CE31),""),"")</f>
        <v/>
      </c>
      <c r="CU31" s="55">
        <f>SUMIFS(tblPlant[Gravity_Gold_oz],tblPlant[Date],$A31)</f>
        <v/>
      </c>
      <c r="CV31" s="55">
        <f>IF($B31=$B30,$CV30,0)+$CU31</f>
        <v/>
      </c>
      <c r="CW31" s="55">
        <f>$CW30+$CU31</f>
        <v/>
      </c>
      <c r="CX31" s="55">
        <f>SUMIFS(tblPlant[Gold_Poured_oz],tblPlant[Date],$A31)</f>
        <v/>
      </c>
      <c r="CY31" s="55">
        <f>IF($B31=$B30,$CY30,0)+$CX31</f>
        <v/>
      </c>
      <c r="CZ31" s="55">
        <f>$CZ30+$CX31</f>
        <v/>
      </c>
      <c r="DA31" s="57">
        <f>SUMIFS(tblPlant[Mill_Run_h],tblPlant[Date],$A31)</f>
        <v/>
      </c>
      <c r="DB31" s="57">
        <f>IF($B31=$B30,$DB30,0)+$DA31</f>
        <v/>
      </c>
      <c r="DC31" s="57">
        <f>$DC30+$DA31</f>
        <v/>
      </c>
      <c r="DD31" s="57">
        <f>SUMIFS(tblPlant[Mill_Planned_Maint_h],tblPlant[Date],$A31)</f>
        <v/>
      </c>
      <c r="DE31" s="57">
        <f>IF($B31=$B30,$DE30,0)+$DD31</f>
        <v/>
      </c>
      <c r="DF31" s="57">
        <f>$DF30+$DD31</f>
        <v/>
      </c>
      <c r="DG31" s="57">
        <f>SUMIFS(tblPlant[Mill_Unplanned_Down_h],tblPlant[Date],$A31)</f>
        <v/>
      </c>
      <c r="DH31" s="57">
        <f>IF($B31=$B30,$DH30,0)+$DG31</f>
        <v/>
      </c>
      <c r="DI31" s="57">
        <f>$DI30+$DG31</f>
        <v/>
      </c>
      <c r="DJ31" s="57">
        <f>COUNTIFS(tblPlant[Date],$A31,tblPlant[Mill_Run_h],"&lt;&gt;")*24</f>
        <v/>
      </c>
      <c r="DK31" s="57">
        <f>IF($B31=$B30,$DK30,0)+$DJ31</f>
        <v/>
      </c>
      <c r="DL31" s="57">
        <f>$DL30+$DJ31</f>
        <v/>
      </c>
      <c r="DM31" s="57">
        <f>SUMIFS(tblPlant[Crusher_Run_h],tblPlant[Date],$A31)</f>
        <v/>
      </c>
      <c r="DN31" s="57">
        <f>IF($B31=$B30,$DN30,0)+$DM31</f>
        <v/>
      </c>
      <c r="DO31" s="57">
        <f>$DO30+$DM31</f>
        <v/>
      </c>
      <c r="DP31" s="55">
        <f>IFERROR(IF(($DA31)&gt;0,($BZ31)/($DA31),""),"")</f>
        <v/>
      </c>
      <c r="DQ31" s="55">
        <f>IFERROR(IF(($DB31)&gt;0,($CA31)/($DB31),""),"")</f>
        <v/>
      </c>
      <c r="DR31" s="55">
        <f>IFERROR(IF(($DC31)&gt;0,($CB31)/($DC31),""),"")</f>
        <v/>
      </c>
      <c r="DS31" s="67">
        <f>IFERROR(IF(($DJ31)&gt;0,($DJ31-$DD31-$DG31)/($DJ31),""),"")</f>
        <v/>
      </c>
      <c r="DT31" s="67">
        <f>IFERROR(IF(($DK31)&gt;0,($DK31-$DE31-$DH31)/($DK31),""),"")</f>
        <v/>
      </c>
      <c r="DU31" s="67">
        <f>IFERROR(IF(($DL31)&gt;0,($DL31-$DF31-$DI31)/($DL31),""),"")</f>
        <v/>
      </c>
      <c r="DV31" s="67">
        <f>IFERROR(IF(($DJ31-$DD31-$DG31)&gt;0,($DA31)/($DJ31-$DD31-$DG31),""),"")</f>
        <v/>
      </c>
      <c r="DW31" s="67">
        <f>IFERROR(IF(($DK31-$DE31-$DH31)&gt;0,($DB31)/($DK31-$DE31-$DH31),""),"")</f>
        <v/>
      </c>
      <c r="DX31" s="67">
        <f>IFERROR(IF(($DL31-$DF31-$DI31)&gt;0,($DC31)/($DL31-$DF31-$DI31),""),"")</f>
        <v/>
      </c>
      <c r="DY31" s="55">
        <f>SUMIFS(tblPlant[Cyanide_kg],tblPlant[Date],$A31)</f>
        <v/>
      </c>
      <c r="DZ31" s="55">
        <f>IF($B31=$B30,$DZ30,0)+$DY31</f>
        <v/>
      </c>
      <c r="EA31" s="55">
        <f>$EA30+$DY31</f>
        <v/>
      </c>
      <c r="EB31" s="55">
        <f>SUMIFS(tblPlant[Lime_kg],tblPlant[Date],$A31)</f>
        <v/>
      </c>
      <c r="EC31" s="55">
        <f>IF($B31=$B30,$EC30,0)+$EB31</f>
        <v/>
      </c>
      <c r="ED31" s="55">
        <f>$ED30+$EB31</f>
        <v/>
      </c>
      <c r="EE31" s="55">
        <f>SUMIFS(tblPlant[Grinding_Media_kg],tblPlant[Date],$A31)</f>
        <v/>
      </c>
      <c r="EF31" s="55">
        <f>IF($B31=$B30,$EF30,0)+$EE31</f>
        <v/>
      </c>
      <c r="EG31" s="55">
        <f>$EG30+$EE31</f>
        <v/>
      </c>
      <c r="EH31" s="55">
        <f>SUMIFS(tblPlant[Power_kWh],tblPlant[Date],$A31)</f>
        <v/>
      </c>
      <c r="EI31" s="55">
        <f>IF($B31=$B30,$EI30,0)+$EH31</f>
        <v/>
      </c>
      <c r="EJ31" s="55">
        <f>$EJ30+$EH31</f>
        <v/>
      </c>
      <c r="EK31" s="55">
        <f>SUMIFS(tblPlant[Raw_Water_m3],tblPlant[Date],$A31)</f>
        <v/>
      </c>
      <c r="EL31" s="55">
        <f>IF($B31=$B30,$EL30,0)+$EK31</f>
        <v/>
      </c>
      <c r="EM31" s="55">
        <f>$EM30+$EK31</f>
        <v/>
      </c>
      <c r="EN31" s="56">
        <f>IFERROR(IF(($BZ31)&gt;0,($DY31)/($BZ31),""),"")</f>
        <v/>
      </c>
      <c r="EO31" s="56">
        <f>IFERROR(IF(($CA31)&gt;0,($DZ31)/($CA31),""),"")</f>
        <v/>
      </c>
      <c r="EP31" s="56">
        <f>IFERROR(IF(($CB31)&gt;0,($EA31)/($CB31),""),"")</f>
        <v/>
      </c>
      <c r="EQ31" s="56">
        <f>IFERROR(IF(($BZ31)&gt;0,($EB31)/($BZ31),""),"")</f>
        <v/>
      </c>
      <c r="ER31" s="56">
        <f>IFERROR(IF(($CA31)&gt;0,($EC31)/($CA31),""),"")</f>
        <v/>
      </c>
      <c r="ES31" s="56">
        <f>IFERROR(IF(($CB31)&gt;0,($ED31)/($CB31),""),"")</f>
        <v/>
      </c>
      <c r="ET31" s="56">
        <f>IFERROR(IF(($BZ31)&gt;0,($EE31)/($BZ31),""),"")</f>
        <v/>
      </c>
      <c r="EU31" s="56">
        <f>IFERROR(IF(($CA31)&gt;0,($EF31)/($CA31),""),"")</f>
        <v/>
      </c>
      <c r="EV31" s="56">
        <f>IFERROR(IF(($CB31)&gt;0,($EG31)/($CB31),""),"")</f>
        <v/>
      </c>
      <c r="EW31" s="76">
        <f>IFERROR(IF(($BZ31)&gt;0,($EH31)/($BZ31),""),"")</f>
        <v/>
      </c>
      <c r="EX31" s="76">
        <f>IFERROR(IF(($CA31)&gt;0,($EI31)/($CA31),""),"")</f>
        <v/>
      </c>
      <c r="EY31" s="76">
        <f>IFERROR(IF(($CB31)&gt;0,($EJ31)/($CB31),""),"")</f>
        <v/>
      </c>
      <c r="EZ31" s="56">
        <f>IFERROR(IF(($BZ31)&gt;0,($EK31)/($BZ31),""),"")</f>
        <v/>
      </c>
      <c r="FA31" s="56">
        <f>IFERROR(IF(($CA31)&gt;0,($EL31)/($CA31),""),"")</f>
        <v/>
      </c>
      <c r="FB31" s="56">
        <f>IFERROR(IF(($CB31)&gt;0,($EM31)/($CB31),""),"")</f>
        <v/>
      </c>
      <c r="FC31" s="55">
        <f>IF(SUMIFS(tblPlant[GIC_oz],tblPlant[Date],$A31)&gt;0,SUMIFS(tblPlant[GIC_oz],tblPlant[Date],$A31),"")</f>
        <v/>
      </c>
      <c r="FD31" s="55">
        <f>SUMIFS(tblGold[Gold_oz],tblGold[Date],$A31,tblGold[Type],"Shipment")</f>
        <v/>
      </c>
      <c r="FE31" s="55">
        <f>IF($B31=$B30,$FE30,0)+$FD31</f>
        <v/>
      </c>
      <c r="FF31" s="55">
        <f>$FF30+$FD31</f>
        <v/>
      </c>
      <c r="FG31" s="55">
        <f>SUMIFS(tblGold[Gold_oz],tblGold[Date],$A31,tblGold[Type],"Sale")</f>
        <v/>
      </c>
      <c r="FH31" s="55">
        <f>IF($B31=$B30,$FH30,0)+$FG31</f>
        <v/>
      </c>
      <c r="FI31" s="55">
        <f>$FI30+$FG31</f>
        <v/>
      </c>
      <c r="FJ31" s="55">
        <f>SUMIFS(tblGold[Dore_kg],tblGold[Date],$A31,tblGold[Type],"Shipment")</f>
        <v/>
      </c>
      <c r="FK31" s="55">
        <f>IF($B31=$B30,$FK30,0)+$FJ31</f>
        <v/>
      </c>
      <c r="FL31" s="55">
        <f>$FL30+$FJ31</f>
        <v/>
      </c>
      <c r="FM31" s="57">
        <f>SUMIFS(tblSafety[Hours_Total],tblSafety[Date],$A31)</f>
        <v/>
      </c>
      <c r="FN31" s="57">
        <f>IF($B31=$B30,$FN30,0)+$FM31</f>
        <v/>
      </c>
      <c r="FO31" s="57">
        <f>$FO30+$FM31</f>
        <v/>
      </c>
      <c r="FP31" s="62">
        <f>SUMIFS(tblSafety[Fatality],tblSafety[Date],$A31)</f>
        <v/>
      </c>
      <c r="FQ31" s="62">
        <f>IF($B31=$B30,$FQ30,0)+$FP31</f>
        <v/>
      </c>
      <c r="FR31" s="62">
        <f>$FR30+$FP31</f>
        <v/>
      </c>
      <c r="FS31" s="62">
        <f>SUMIFS(tblSafety[LTI],tblSafety[Date],$A31)</f>
        <v/>
      </c>
      <c r="FT31" s="62">
        <f>IF($B31=$B30,$FT30,0)+$FS31</f>
        <v/>
      </c>
      <c r="FU31" s="62">
        <f>$FU30+$FS31</f>
        <v/>
      </c>
      <c r="FV31" s="62">
        <f>SUMIFS(tblSafety[RWI],tblSafety[Date],$A31)</f>
        <v/>
      </c>
      <c r="FW31" s="62">
        <f>IF($B31=$B30,$FW30,0)+$FV31</f>
        <v/>
      </c>
      <c r="FX31" s="62">
        <f>$FX30+$FV31</f>
        <v/>
      </c>
      <c r="FY31" s="62">
        <f>SUMIFS(tblSafety[MTI],tblSafety[Date],$A31)</f>
        <v/>
      </c>
      <c r="FZ31" s="62">
        <f>IF($B31=$B30,$FZ30,0)+$FY31</f>
        <v/>
      </c>
      <c r="GA31" s="62">
        <f>$GA30+$FY31</f>
        <v/>
      </c>
      <c r="GB31" s="62">
        <f>SUMIFS(tblSafety[FAI],tblSafety[Date],$A31)</f>
        <v/>
      </c>
      <c r="GC31" s="62">
        <f>IF($B31=$B30,$GC30,0)+$GB31</f>
        <v/>
      </c>
      <c r="GD31" s="62">
        <f>$GD30+$GB31</f>
        <v/>
      </c>
      <c r="GE31" s="62">
        <f>SUMIFS(tblSafety[Recordables],tblSafety[Date],$A31)</f>
        <v/>
      </c>
      <c r="GF31" s="62">
        <f>IF($B31=$B30,$GF30,0)+$GE31</f>
        <v/>
      </c>
      <c r="GG31" s="62">
        <f>$GG30+$GE31</f>
        <v/>
      </c>
      <c r="GH31" s="62">
        <f>SUMIFS(tblSafety[Near_Miss],tblSafety[Date],$A31)</f>
        <v/>
      </c>
      <c r="GI31" s="62">
        <f>IF($B31=$B30,$GI30,0)+$GH31</f>
        <v/>
      </c>
      <c r="GJ31" s="62">
        <f>$GJ30+$GH31</f>
        <v/>
      </c>
      <c r="GK31" s="62">
        <f>SUMIFS(tblSafety[Hazard_Reports],tblSafety[Date],$A31)</f>
        <v/>
      </c>
      <c r="GL31" s="62">
        <f>IF($B31=$B30,$GL30,0)+$GK31</f>
        <v/>
      </c>
      <c r="GM31" s="62">
        <f>$GM30+$GK31</f>
        <v/>
      </c>
      <c r="GN31" s="62">
        <f>SUMIFS(tblSafety[HPI],tblSafety[Date],$A31)</f>
        <v/>
      </c>
      <c r="GO31" s="62">
        <f>IF($B31=$B30,$GO30,0)+$GN31</f>
        <v/>
      </c>
      <c r="GP31" s="62">
        <f>$GP30+$GN31</f>
        <v/>
      </c>
      <c r="GQ31" s="62">
        <f>SUMIFS(tblSafety[Env_Incidents],tblSafety[Date],$A31)</f>
        <v/>
      </c>
      <c r="GR31" s="62">
        <f>IF($B31=$B30,$GR30,0)+$GQ31</f>
        <v/>
      </c>
      <c r="GS31" s="62">
        <f>$GS30+$GQ31</f>
        <v/>
      </c>
      <c r="GT31" s="62">
        <f>SUMIFS(tblSafety[Community_Incidents],tblSafety[Date],$A31)</f>
        <v/>
      </c>
      <c r="GU31" s="62">
        <f>IF($B31=$B30,$GU30,0)+$GT31</f>
        <v/>
      </c>
      <c r="GV31" s="62">
        <f>$GV30+$GT31</f>
        <v/>
      </c>
      <c r="GW31" s="62">
        <f>SUMIFS(tblSafety[Vehicle_Incidents],tblSafety[Date],$A31)</f>
        <v/>
      </c>
      <c r="GX31" s="62">
        <f>IF($B31=$B30,$GX30,0)+$GW31</f>
        <v/>
      </c>
      <c r="GY31" s="62">
        <f>$GY30+$GW31</f>
        <v/>
      </c>
      <c r="GZ31" s="62">
        <f>SUMIFS(tblSafety[Toolbox_Talks],tblSafety[Date],$A31)</f>
        <v/>
      </c>
      <c r="HA31" s="62">
        <f>IF($B31=$B30,$HA30,0)+$GZ31</f>
        <v/>
      </c>
      <c r="HB31" s="62">
        <f>$HB30+$GZ31</f>
        <v/>
      </c>
      <c r="HC31" s="62">
        <f>SUMIFS(tblSafety[Inspections],tblSafety[Date],$A31)</f>
        <v/>
      </c>
      <c r="HD31" s="62">
        <f>IF($B31=$B30,$HD30,0)+$HC31</f>
        <v/>
      </c>
      <c r="HE31" s="62">
        <f>$HE30+$HC31</f>
        <v/>
      </c>
      <c r="HF31" s="56">
        <f>IFERROR((SUMIFS(tblSafety[Recordables],tblSafety[Date],"&gt;="&amp;EDATE($E31,-12),tblSafety[Date],"&lt;="&amp;$A31)+SUMIFS(tblSafetyHistory[Recordables],tblSafetyHistory[Month],"&gt;="&amp;EDATE($E31,-12),tblSafetyHistory[Month],"&lt;"&amp;cfg_YearStart))/(SUMIFS(tblSafety[Hours_Total],tblSafety[Date],"&gt;="&amp;EDATE($E31,-12),tblSafety[Date],"&lt;="&amp;$A31)+SUMIFS(tblSafetyHistory[Hours_Total],tblSafetyHistory[Month],"&gt;="&amp;EDATE($E31,-12),tblSafetyHistory[Month],"&lt;"&amp;cfg_YearStart))*1000000,"")</f>
        <v/>
      </c>
      <c r="HG31" s="56">
        <f>IFERROR((SUMIFS(tblSafety[LTI],tblSafety[Date],"&gt;="&amp;EDATE($E31,-12),tblSafety[Date],"&lt;="&amp;$A31)+SUMIFS(tblSafetyHistory[LTI],tblSafetyHistory[Month],"&gt;="&amp;EDATE($E31,-12),tblSafetyHistory[Month],"&lt;"&amp;cfg_YearStart))/(SUMIFS(tblSafety[Hours_Total],tblSafety[Date],"&gt;="&amp;EDATE($E31,-12),tblSafety[Date],"&lt;="&amp;$A31)+SUMIFS(tblSafetyHistory[Hours_Total],tblSafetyHistory[Month],"&gt;="&amp;EDATE($E31,-12),tblSafetyHistory[Month],"&lt;"&amp;cfg_YearStart))*1000000,"")</f>
        <v/>
      </c>
      <c r="HH31" s="62">
        <f>IF(MAX(N(cfg_PriorLTIDate),_xlfn.MAXIFS(tblSafety[Date],tblSafety[LTI],"&gt;0",tblSafety[Date],"&lt;="&amp;$A31))=0,"",$A31-MAX(N(cfg_PriorLTIDate),_xlfn.MAXIFS(tblSafety[Date],tblSafety[LTI],"&gt;0",tblSafety[Date],"&lt;="&amp;$A31)))</f>
        <v/>
      </c>
      <c r="HI31" s="55">
        <f>SUMIFS(tblBudget[Ore_Mined_t],tblBudget[Month],$E31)</f>
        <v/>
      </c>
      <c r="HJ31" s="55">
        <f>$HI31*$C31/$D31</f>
        <v/>
      </c>
      <c r="HK31" s="55">
        <f>SUMIFS(tblBudget[Ore_Mined_t],tblBudget[Month],"&lt;"&amp;$E31)+$HJ31</f>
        <v/>
      </c>
      <c r="HL31" s="55">
        <f>SUMIFS(tblBudget[Ore_oz],tblBudget[Month],$E31)</f>
        <v/>
      </c>
      <c r="HM31" s="55">
        <f>$HL31*$C31/$D31</f>
        <v/>
      </c>
      <c r="HN31" s="55">
        <f>SUMIFS(tblBudget[Ore_oz],tblBudget[Month],"&lt;"&amp;$E31)+$HM31</f>
        <v/>
      </c>
      <c r="HO31" s="56">
        <f>IFERROR(IF(($HI31)&gt;0,($HL31*cfg_TroyOz)/($HI31),""),"")</f>
        <v/>
      </c>
      <c r="HP31" s="56">
        <f>IFERROR(IF(($HJ31)&gt;0,($HM31*cfg_TroyOz)/($HJ31),""),"")</f>
        <v/>
      </c>
      <c r="HQ31" s="56">
        <f>IFERROR(IF(($HK31)&gt;0,($HN31*cfg_TroyOz)/($HK31),""),"")</f>
        <v/>
      </c>
      <c r="HR31" s="55">
        <f>SUMIFS(tblBudget[Waste_t],tblBudget[Month],$E31)</f>
        <v/>
      </c>
      <c r="HS31" s="55">
        <f>$HR31*$C31/$D31</f>
        <v/>
      </c>
      <c r="HT31" s="55">
        <f>SUMIFS(tblBudget[Waste_t],tblBudget[Month],"&lt;"&amp;$E31)+$HS31</f>
        <v/>
      </c>
      <c r="HU31" s="55">
        <f>SUMIFS(tblBudget[TMM_t],tblBudget[Month],$E31)</f>
        <v/>
      </c>
      <c r="HV31" s="55">
        <f>$HU31*$C31/$D31</f>
        <v/>
      </c>
      <c r="HW31" s="55">
        <f>SUMIFS(tblBudget[TMM_t],tblBudget[Month],"&lt;"&amp;$E31)+$HV31</f>
        <v/>
      </c>
      <c r="HX31" s="56">
        <f>IFERROR(IF(($HI31)&gt;0,($HR31)/($HI31),""),"")</f>
        <v/>
      </c>
      <c r="HY31" s="56">
        <f>IFERROR(IF(($HJ31)&gt;0,($HS31)/($HJ31),""),"")</f>
        <v/>
      </c>
      <c r="HZ31" s="56">
        <f>IFERROR(IF(($HK31)&gt;0,($HT31)/($HK31),""),"")</f>
        <v/>
      </c>
      <c r="IA31" s="55">
        <f>SUMIFS(tblBudget[Drill_m],tblBudget[Month],$E31)</f>
        <v/>
      </c>
      <c r="IB31" s="55">
        <f>$IA31*$C31/$D31</f>
        <v/>
      </c>
      <c r="IC31" s="55">
        <f>SUMIFS(tblBudget[Drill_m],tblBudget[Month],"&lt;"&amp;$E31)+$IB31</f>
        <v/>
      </c>
      <c r="ID31" s="55">
        <f>SUMIFS(tblBudget[Diesel_L],tblBudget[Month],$E31)</f>
        <v/>
      </c>
      <c r="IE31" s="55">
        <f>$ID31*$C31/$D31</f>
        <v/>
      </c>
      <c r="IF31" s="55">
        <f>SUMIFS(tblBudget[Diesel_L],tblBudget[Month],"&lt;"&amp;$E31)+$IE31</f>
        <v/>
      </c>
      <c r="IG31" s="55">
        <f>SUMIFS(tblBudget[Milled_t],tblBudget[Month],$E31)</f>
        <v/>
      </c>
      <c r="IH31" s="55">
        <f>$IG31*$C31/$D31</f>
        <v/>
      </c>
      <c r="II31" s="55">
        <f>SUMIFS(tblBudget[Milled_t],tblBudget[Month],"&lt;"&amp;$E31)+$IH31</f>
        <v/>
      </c>
      <c r="IJ31" s="55">
        <f>SUMIFS(tblBudget[Feed_oz],tblBudget[Month],$E31)</f>
        <v/>
      </c>
      <c r="IK31" s="55">
        <f>$IJ31*$C31/$D31</f>
        <v/>
      </c>
      <c r="IL31" s="55">
        <f>SUMIFS(tblBudget[Feed_oz],tblBudget[Month],"&lt;"&amp;$E31)+$IK31</f>
        <v/>
      </c>
      <c r="IM31" s="55">
        <f>SUMIFS(tblBudget[Recovered_oz],tblBudget[Month],$E31)</f>
        <v/>
      </c>
      <c r="IN31" s="55">
        <f>$IM31*$C31/$D31</f>
        <v/>
      </c>
      <c r="IO31" s="55">
        <f>SUMIFS(tblBudget[Recovered_oz],tblBudget[Month],"&lt;"&amp;$E31)+$IN31</f>
        <v/>
      </c>
      <c r="IP31" s="56">
        <f>IFERROR(IF(($IG31)&gt;0,($IJ31*cfg_TroyOz)/($IG31),""),"")</f>
        <v/>
      </c>
      <c r="IQ31" s="56">
        <f>IFERROR(IF(($IH31)&gt;0,($IK31*cfg_TroyOz)/($IH31),""),"")</f>
        <v/>
      </c>
      <c r="IR31" s="56">
        <f>IFERROR(IF(($II31)&gt;0,($IL31*cfg_TroyOz)/($II31),""),"")</f>
        <v/>
      </c>
      <c r="IS31" s="67">
        <f>IFERROR(IF(($IJ31)&gt;0,($IM31)/($IJ31),""),"")</f>
        <v/>
      </c>
      <c r="IT31" s="67">
        <f>IFERROR(IF(($IK31)&gt;0,($IN31)/($IK31),""),"")</f>
        <v/>
      </c>
      <c r="IU31" s="67">
        <f>IFERROR(IF(($IL31)&gt;0,($IO31)/($IL31),""),"")</f>
        <v/>
      </c>
      <c r="IV31" s="55">
        <f>SUMIFS(tblBudget[Gold_Poured_oz],tblBudget[Month],$E31)</f>
        <v/>
      </c>
      <c r="IW31" s="55">
        <f>$IV31*$C31/$D31</f>
        <v/>
      </c>
      <c r="IX31" s="55">
        <f>SUMIFS(tblBudget[Gold_Poured_oz],tblBudget[Month],"&lt;"&amp;$E31)+$IW31</f>
        <v/>
      </c>
      <c r="IY31" s="57">
        <f>SUMIFS(tblBudget[Hours_Worked],tblBudget[Month],$E31)</f>
        <v/>
      </c>
      <c r="IZ31" s="57">
        <f>$IY31*$C31/$D31</f>
        <v/>
      </c>
      <c r="JA31" s="57">
        <f>SUMIFS(tblBudget[Hours_Worked],tblBudget[Month],"&lt;"&amp;$E31)+$IZ31</f>
        <v/>
      </c>
    </row>
    <row r="32">
      <c r="A32" s="54" t="n">
        <v>46053</v>
      </c>
      <c r="B32">
        <f>MONTH($A32)</f>
        <v/>
      </c>
      <c r="C32">
        <f>DAY($A32)</f>
        <v/>
      </c>
      <c r="D32">
        <f>DAY(EOMONTH($A32,0))</f>
        <v/>
      </c>
      <c r="E32" s="54">
        <f>DATE(YEAR($A32),MONTH($A32),1)</f>
        <v/>
      </c>
      <c r="F32" s="55">
        <f>SUMIFS(tblMovement[Tonnes_t],tblMovement[Date],$A32,tblMovement[Is_Ore],1,tblMovement[Source_Type],"Pit")</f>
        <v/>
      </c>
      <c r="G32" s="55">
        <f>IF($B32=$B31,$G31,0)+$F32</f>
        <v/>
      </c>
      <c r="H32" s="55">
        <f>$H31+$F32</f>
        <v/>
      </c>
      <c r="I32" s="55">
        <f>SUMIFS(tblMovement[Ore_oz],tblMovement[Date],$A32,tblMovement[Source_Type],"Pit")</f>
        <v/>
      </c>
      <c r="J32" s="55">
        <f>IF($B32=$B31,$J31,0)+$I32</f>
        <v/>
      </c>
      <c r="K32" s="55">
        <f>$K31+$I32</f>
        <v/>
      </c>
      <c r="L32" s="56">
        <f>IFERROR(IF(($F32)&gt;0,($I32*cfg_TroyOz)/($F32),""),"")</f>
        <v/>
      </c>
      <c r="M32" s="56">
        <f>IFERROR(IF(($G32)&gt;0,($J32*cfg_TroyOz)/($G32),""),"")</f>
        <v/>
      </c>
      <c r="N32" s="56">
        <f>IFERROR(IF(($H32)&gt;0,($K32*cfg_TroyOz)/($H32),""),"")</f>
        <v/>
      </c>
      <c r="O32" s="55">
        <f>SUMIFS(tblMovement[Tonnes_t],tblMovement[Date],$A32,tblMovement[Is_Ore],0,tblMovement[Source_Type],"Pit")</f>
        <v/>
      </c>
      <c r="P32" s="55">
        <f>IF($B32=$B31,$P31,0)+$O32</f>
        <v/>
      </c>
      <c r="Q32" s="55">
        <f>$Q31+$O32</f>
        <v/>
      </c>
      <c r="R32" s="55">
        <f>$F32+$O32</f>
        <v/>
      </c>
      <c r="S32" s="55">
        <f>IF($B32=$B31,$S31,0)+$R32</f>
        <v/>
      </c>
      <c r="T32" s="55">
        <f>$T31+$R32</f>
        <v/>
      </c>
      <c r="U32" s="56">
        <f>IFERROR(IF(($F32)&gt;0,($O32)/($F32),""),"")</f>
        <v/>
      </c>
      <c r="V32" s="56">
        <f>IFERROR(IF(($G32)&gt;0,($P32)/($G32),""),"")</f>
        <v/>
      </c>
      <c r="W32" s="56">
        <f>IFERROR(IF(($H32)&gt;0,($Q32)/($H32),""),"")</f>
        <v/>
      </c>
      <c r="X32" s="55">
        <f>SUMIFS(tblMovement[Tonnes_t],tblMovement[Date],$A32,tblMovement[Source_Type],"Stockpile")</f>
        <v/>
      </c>
      <c r="Y32" s="55">
        <f>IF($B32=$B31,$Y31,0)+$X32</f>
        <v/>
      </c>
      <c r="Z32" s="55">
        <f>$Z31+$X32</f>
        <v/>
      </c>
      <c r="AA32" s="55">
        <f>SUMIFS(tblMiningDaily[Drill_m],tblMiningDaily[Date],$A32)</f>
        <v/>
      </c>
      <c r="AB32" s="55">
        <f>IF($B32=$B31,$AB31,0)+$AA32</f>
        <v/>
      </c>
      <c r="AC32" s="55">
        <f>$AC31+$AA32</f>
        <v/>
      </c>
      <c r="AD32" s="55">
        <f>SUMIFS(tblMiningDaily[Blast_t],tblMiningDaily[Date],$A32)</f>
        <v/>
      </c>
      <c r="AE32" s="55">
        <f>IF($B32=$B31,$AE31,0)+$AD32</f>
        <v/>
      </c>
      <c r="AF32" s="55">
        <f>$AF31+$AD32</f>
        <v/>
      </c>
      <c r="AG32" s="55">
        <f>SUMIFS(tblMiningDaily[Explosives_kg],tblMiningDaily[Date],$A32)</f>
        <v/>
      </c>
      <c r="AH32" s="55">
        <f>IF($B32=$B31,$AH31,0)+$AG32</f>
        <v/>
      </c>
      <c r="AI32" s="55">
        <f>$AI31+$AG32</f>
        <v/>
      </c>
      <c r="AJ32" s="56">
        <f>IFERROR(IF(($AD32)&gt;0,($AG32)/($AD32),""),"")</f>
        <v/>
      </c>
      <c r="AK32" s="56">
        <f>IFERROR(IF(($AE32)&gt;0,($AH32)/($AE32),""),"")</f>
        <v/>
      </c>
      <c r="AL32" s="56">
        <f>IFERROR(IF(($AF32)&gt;0,($AI32)/($AF32),""),"")</f>
        <v/>
      </c>
      <c r="AM32" s="55">
        <f>SUMIFS(tblMiningDaily[Diesel_L],tblMiningDaily[Date],$A32)</f>
        <v/>
      </c>
      <c r="AN32" s="55">
        <f>IF($B32=$B31,$AN31,0)+$AM32</f>
        <v/>
      </c>
      <c r="AO32" s="55">
        <f>$AO31+$AM32</f>
        <v/>
      </c>
      <c r="AP32" s="55">
        <f>SUMIFS(tblMiningDaily[Dewatering_m3],tblMiningDaily[Date],$A32)</f>
        <v/>
      </c>
      <c r="AQ32" s="55">
        <f>IF($B32=$B31,$AQ31,0)+$AP32</f>
        <v/>
      </c>
      <c r="AR32" s="55">
        <f>$AR31+$AP32</f>
        <v/>
      </c>
      <c r="AS32" s="57">
        <f>SUMIFS(tblFleet[Calendar_h],tblFleet[Date],$A32,tblFleet[Equipment_Class],"Excavator")</f>
        <v/>
      </c>
      <c r="AT32" s="57">
        <f>IF($B32=$B31,$AT31,0)+$AS32</f>
        <v/>
      </c>
      <c r="AU32" s="57">
        <f>$AU31+$AS32</f>
        <v/>
      </c>
      <c r="AV32" s="57">
        <f>SUMIFS(tblFleet[Available_h],tblFleet[Date],$A32,tblFleet[Equipment_Class],"Excavator")</f>
        <v/>
      </c>
      <c r="AW32" s="57">
        <f>IF($B32=$B31,$AW31,0)+$AV32</f>
        <v/>
      </c>
      <c r="AX32" s="57">
        <f>$AX31+$AV32</f>
        <v/>
      </c>
      <c r="AY32" s="57">
        <f>SUMIFS(tblFleet[Operating_h],tblFleet[Date],$A32,tblFleet[Equipment_Class],"Excavator")</f>
        <v/>
      </c>
      <c r="AZ32" s="57">
        <f>IF($B32=$B31,$AZ31,0)+$AY32</f>
        <v/>
      </c>
      <c r="BA32" s="57">
        <f>$BA31+$AY32</f>
        <v/>
      </c>
      <c r="BB32" s="67">
        <f>IFERROR(IF(($AS32)&gt;0,($AV32)/($AS32),""),"")</f>
        <v/>
      </c>
      <c r="BC32" s="67">
        <f>IFERROR(IF(($AT32)&gt;0,($AW32)/($AT32),""),"")</f>
        <v/>
      </c>
      <c r="BD32" s="67">
        <f>IFERROR(IF(($AU32)&gt;0,($AX32)/($AU32),""),"")</f>
        <v/>
      </c>
      <c r="BE32" s="67">
        <f>IFERROR(IF(($AV32)&gt;0,($AY32)/($AV32),""),"")</f>
        <v/>
      </c>
      <c r="BF32" s="67">
        <f>IFERROR(IF(($AW32)&gt;0,($AZ32)/($AW32),""),"")</f>
        <v/>
      </c>
      <c r="BG32" s="67">
        <f>IFERROR(IF(($AX32)&gt;0,($BA32)/($AX32),""),"")</f>
        <v/>
      </c>
      <c r="BH32" s="57">
        <f>SUMIFS(tblFleet[Calendar_h],tblFleet[Date],$A32,tblFleet[Equipment_Class],"Haul Truck")</f>
        <v/>
      </c>
      <c r="BI32" s="57">
        <f>IF($B32=$B31,$BI31,0)+$BH32</f>
        <v/>
      </c>
      <c r="BJ32" s="57">
        <f>$BJ31+$BH32</f>
        <v/>
      </c>
      <c r="BK32" s="57">
        <f>SUMIFS(tblFleet[Available_h],tblFleet[Date],$A32,tblFleet[Equipment_Class],"Haul Truck")</f>
        <v/>
      </c>
      <c r="BL32" s="57">
        <f>IF($B32=$B31,$BL31,0)+$BK32</f>
        <v/>
      </c>
      <c r="BM32" s="57">
        <f>$BM31+$BK32</f>
        <v/>
      </c>
      <c r="BN32" s="57">
        <f>SUMIFS(tblFleet[Operating_h],tblFleet[Date],$A32,tblFleet[Equipment_Class],"Haul Truck")</f>
        <v/>
      </c>
      <c r="BO32" s="57">
        <f>IF($B32=$B31,$BO31,0)+$BN32</f>
        <v/>
      </c>
      <c r="BP32" s="57">
        <f>$BP31+$BN32</f>
        <v/>
      </c>
      <c r="BQ32" s="67">
        <f>IFERROR(IF(($BH32)&gt;0,($BK32)/($BH32),""),"")</f>
        <v/>
      </c>
      <c r="BR32" s="67">
        <f>IFERROR(IF(($BI32)&gt;0,($BL32)/($BI32),""),"")</f>
        <v/>
      </c>
      <c r="BS32" s="67">
        <f>IFERROR(IF(($BJ32)&gt;0,($BM32)/($BJ32),""),"")</f>
        <v/>
      </c>
      <c r="BT32" s="67">
        <f>IFERROR(IF(($BK32)&gt;0,($BN32)/($BK32),""),"")</f>
        <v/>
      </c>
      <c r="BU32" s="67">
        <f>IFERROR(IF(($BL32)&gt;0,($BO32)/($BL32),""),"")</f>
        <v/>
      </c>
      <c r="BV32" s="67">
        <f>IFERROR(IF(($BM32)&gt;0,($BP32)/($BM32),""),"")</f>
        <v/>
      </c>
      <c r="BW32" s="55">
        <f>SUMIFS(tblPlant[Crushed_t],tblPlant[Date],$A32)</f>
        <v/>
      </c>
      <c r="BX32" s="55">
        <f>IF($B32=$B31,$BX31,0)+$BW32</f>
        <v/>
      </c>
      <c r="BY32" s="55">
        <f>$BY31+$BW32</f>
        <v/>
      </c>
      <c r="BZ32" s="55">
        <f>SUMIFS(tblPlant[Milled_t],tblPlant[Date],$A32)</f>
        <v/>
      </c>
      <c r="CA32" s="55">
        <f>IF($B32=$B31,$CA31,0)+$BZ32</f>
        <v/>
      </c>
      <c r="CB32" s="55">
        <f>$CB31+$BZ32</f>
        <v/>
      </c>
      <c r="CC32" s="55">
        <f>SUMIFS(tblPlant[Feed_oz],tblPlant[Date],$A32)</f>
        <v/>
      </c>
      <c r="CD32" s="55">
        <f>IF($B32=$B31,$CD31,0)+$CC32</f>
        <v/>
      </c>
      <c r="CE32" s="55">
        <f>$CE31+$CC32</f>
        <v/>
      </c>
      <c r="CF32" s="55">
        <f>SUMIFS(tblPlant[Tails_oz],tblPlant[Date],$A32)</f>
        <v/>
      </c>
      <c r="CG32" s="55">
        <f>IF($B32=$B31,$CG31,0)+$CF32</f>
        <v/>
      </c>
      <c r="CH32" s="55">
        <f>$CH31+$CF32</f>
        <v/>
      </c>
      <c r="CI32" s="55">
        <f>SUMIFS(tblPlant[Recovered_oz],tblPlant[Date],$A32)</f>
        <v/>
      </c>
      <c r="CJ32" s="55">
        <f>IF($B32=$B31,$CJ31,0)+$CI32</f>
        <v/>
      </c>
      <c r="CK32" s="55">
        <f>$CK31+$CI32</f>
        <v/>
      </c>
      <c r="CL32" s="56">
        <f>IFERROR(IF(($BZ32)&gt;0,($CC32*cfg_TroyOz)/($BZ32),""),"")</f>
        <v/>
      </c>
      <c r="CM32" s="56">
        <f>IFERROR(IF(($CA32)&gt;0,($CD32*cfg_TroyOz)/($CA32),""),"")</f>
        <v/>
      </c>
      <c r="CN32" s="56">
        <f>IFERROR(IF(($CB32)&gt;0,($CE32*cfg_TroyOz)/($CB32),""),"")</f>
        <v/>
      </c>
      <c r="CO32" s="56">
        <f>IFERROR(IF(($BZ32)&gt;0,($CF32*cfg_TroyOz)/($BZ32),""),"")</f>
        <v/>
      </c>
      <c r="CP32" s="56">
        <f>IFERROR(IF(($CA32)&gt;0,($CG32*cfg_TroyOz)/($CA32),""),"")</f>
        <v/>
      </c>
      <c r="CQ32" s="56">
        <f>IFERROR(IF(($CB32)&gt;0,($CH32*cfg_TroyOz)/($CB32),""),"")</f>
        <v/>
      </c>
      <c r="CR32" s="67">
        <f>IFERROR(IF(($CC32)&gt;0,($CI32)/($CC32),""),"")</f>
        <v/>
      </c>
      <c r="CS32" s="67">
        <f>IFERROR(IF(($CD32)&gt;0,($CJ32)/($CD32),""),"")</f>
        <v/>
      </c>
      <c r="CT32" s="67">
        <f>IFERROR(IF(($CE32)&gt;0,($CK32)/($CE32),""),"")</f>
        <v/>
      </c>
      <c r="CU32" s="55">
        <f>SUMIFS(tblPlant[Gravity_Gold_oz],tblPlant[Date],$A32)</f>
        <v/>
      </c>
      <c r="CV32" s="55">
        <f>IF($B32=$B31,$CV31,0)+$CU32</f>
        <v/>
      </c>
      <c r="CW32" s="55">
        <f>$CW31+$CU32</f>
        <v/>
      </c>
      <c r="CX32" s="55">
        <f>SUMIFS(tblPlant[Gold_Poured_oz],tblPlant[Date],$A32)</f>
        <v/>
      </c>
      <c r="CY32" s="55">
        <f>IF($B32=$B31,$CY31,0)+$CX32</f>
        <v/>
      </c>
      <c r="CZ32" s="55">
        <f>$CZ31+$CX32</f>
        <v/>
      </c>
      <c r="DA32" s="57">
        <f>SUMIFS(tblPlant[Mill_Run_h],tblPlant[Date],$A32)</f>
        <v/>
      </c>
      <c r="DB32" s="57">
        <f>IF($B32=$B31,$DB31,0)+$DA32</f>
        <v/>
      </c>
      <c r="DC32" s="57">
        <f>$DC31+$DA32</f>
        <v/>
      </c>
      <c r="DD32" s="57">
        <f>SUMIFS(tblPlant[Mill_Planned_Maint_h],tblPlant[Date],$A32)</f>
        <v/>
      </c>
      <c r="DE32" s="57">
        <f>IF($B32=$B31,$DE31,0)+$DD32</f>
        <v/>
      </c>
      <c r="DF32" s="57">
        <f>$DF31+$DD32</f>
        <v/>
      </c>
      <c r="DG32" s="57">
        <f>SUMIFS(tblPlant[Mill_Unplanned_Down_h],tblPlant[Date],$A32)</f>
        <v/>
      </c>
      <c r="DH32" s="57">
        <f>IF($B32=$B31,$DH31,0)+$DG32</f>
        <v/>
      </c>
      <c r="DI32" s="57">
        <f>$DI31+$DG32</f>
        <v/>
      </c>
      <c r="DJ32" s="57">
        <f>COUNTIFS(tblPlant[Date],$A32,tblPlant[Mill_Run_h],"&lt;&gt;")*24</f>
        <v/>
      </c>
      <c r="DK32" s="57">
        <f>IF($B32=$B31,$DK31,0)+$DJ32</f>
        <v/>
      </c>
      <c r="DL32" s="57">
        <f>$DL31+$DJ32</f>
        <v/>
      </c>
      <c r="DM32" s="57">
        <f>SUMIFS(tblPlant[Crusher_Run_h],tblPlant[Date],$A32)</f>
        <v/>
      </c>
      <c r="DN32" s="57">
        <f>IF($B32=$B31,$DN31,0)+$DM32</f>
        <v/>
      </c>
      <c r="DO32" s="57">
        <f>$DO31+$DM32</f>
        <v/>
      </c>
      <c r="DP32" s="55">
        <f>IFERROR(IF(($DA32)&gt;0,($BZ32)/($DA32),""),"")</f>
        <v/>
      </c>
      <c r="DQ32" s="55">
        <f>IFERROR(IF(($DB32)&gt;0,($CA32)/($DB32),""),"")</f>
        <v/>
      </c>
      <c r="DR32" s="55">
        <f>IFERROR(IF(($DC32)&gt;0,($CB32)/($DC32),""),"")</f>
        <v/>
      </c>
      <c r="DS32" s="67">
        <f>IFERROR(IF(($DJ32)&gt;0,($DJ32-$DD32-$DG32)/($DJ32),""),"")</f>
        <v/>
      </c>
      <c r="DT32" s="67">
        <f>IFERROR(IF(($DK32)&gt;0,($DK32-$DE32-$DH32)/($DK32),""),"")</f>
        <v/>
      </c>
      <c r="DU32" s="67">
        <f>IFERROR(IF(($DL32)&gt;0,($DL32-$DF32-$DI32)/($DL32),""),"")</f>
        <v/>
      </c>
      <c r="DV32" s="67">
        <f>IFERROR(IF(($DJ32-$DD32-$DG32)&gt;0,($DA32)/($DJ32-$DD32-$DG32),""),"")</f>
        <v/>
      </c>
      <c r="DW32" s="67">
        <f>IFERROR(IF(($DK32-$DE32-$DH32)&gt;0,($DB32)/($DK32-$DE32-$DH32),""),"")</f>
        <v/>
      </c>
      <c r="DX32" s="67">
        <f>IFERROR(IF(($DL32-$DF32-$DI32)&gt;0,($DC32)/($DL32-$DF32-$DI32),""),"")</f>
        <v/>
      </c>
      <c r="DY32" s="55">
        <f>SUMIFS(tblPlant[Cyanide_kg],tblPlant[Date],$A32)</f>
        <v/>
      </c>
      <c r="DZ32" s="55">
        <f>IF($B32=$B31,$DZ31,0)+$DY32</f>
        <v/>
      </c>
      <c r="EA32" s="55">
        <f>$EA31+$DY32</f>
        <v/>
      </c>
      <c r="EB32" s="55">
        <f>SUMIFS(tblPlant[Lime_kg],tblPlant[Date],$A32)</f>
        <v/>
      </c>
      <c r="EC32" s="55">
        <f>IF($B32=$B31,$EC31,0)+$EB32</f>
        <v/>
      </c>
      <c r="ED32" s="55">
        <f>$ED31+$EB32</f>
        <v/>
      </c>
      <c r="EE32" s="55">
        <f>SUMIFS(tblPlant[Grinding_Media_kg],tblPlant[Date],$A32)</f>
        <v/>
      </c>
      <c r="EF32" s="55">
        <f>IF($B32=$B31,$EF31,0)+$EE32</f>
        <v/>
      </c>
      <c r="EG32" s="55">
        <f>$EG31+$EE32</f>
        <v/>
      </c>
      <c r="EH32" s="55">
        <f>SUMIFS(tblPlant[Power_kWh],tblPlant[Date],$A32)</f>
        <v/>
      </c>
      <c r="EI32" s="55">
        <f>IF($B32=$B31,$EI31,0)+$EH32</f>
        <v/>
      </c>
      <c r="EJ32" s="55">
        <f>$EJ31+$EH32</f>
        <v/>
      </c>
      <c r="EK32" s="55">
        <f>SUMIFS(tblPlant[Raw_Water_m3],tblPlant[Date],$A32)</f>
        <v/>
      </c>
      <c r="EL32" s="55">
        <f>IF($B32=$B31,$EL31,0)+$EK32</f>
        <v/>
      </c>
      <c r="EM32" s="55">
        <f>$EM31+$EK32</f>
        <v/>
      </c>
      <c r="EN32" s="56">
        <f>IFERROR(IF(($BZ32)&gt;0,($DY32)/($BZ32),""),"")</f>
        <v/>
      </c>
      <c r="EO32" s="56">
        <f>IFERROR(IF(($CA32)&gt;0,($DZ32)/($CA32),""),"")</f>
        <v/>
      </c>
      <c r="EP32" s="56">
        <f>IFERROR(IF(($CB32)&gt;0,($EA32)/($CB32),""),"")</f>
        <v/>
      </c>
      <c r="EQ32" s="56">
        <f>IFERROR(IF(($BZ32)&gt;0,($EB32)/($BZ32),""),"")</f>
        <v/>
      </c>
      <c r="ER32" s="56">
        <f>IFERROR(IF(($CA32)&gt;0,($EC32)/($CA32),""),"")</f>
        <v/>
      </c>
      <c r="ES32" s="56">
        <f>IFERROR(IF(($CB32)&gt;0,($ED32)/($CB32),""),"")</f>
        <v/>
      </c>
      <c r="ET32" s="56">
        <f>IFERROR(IF(($BZ32)&gt;0,($EE32)/($BZ32),""),"")</f>
        <v/>
      </c>
      <c r="EU32" s="56">
        <f>IFERROR(IF(($CA32)&gt;0,($EF32)/($CA32),""),"")</f>
        <v/>
      </c>
      <c r="EV32" s="56">
        <f>IFERROR(IF(($CB32)&gt;0,($EG32)/($CB32),""),"")</f>
        <v/>
      </c>
      <c r="EW32" s="76">
        <f>IFERROR(IF(($BZ32)&gt;0,($EH32)/($BZ32),""),"")</f>
        <v/>
      </c>
      <c r="EX32" s="76">
        <f>IFERROR(IF(($CA32)&gt;0,($EI32)/($CA32),""),"")</f>
        <v/>
      </c>
      <c r="EY32" s="76">
        <f>IFERROR(IF(($CB32)&gt;0,($EJ32)/($CB32),""),"")</f>
        <v/>
      </c>
      <c r="EZ32" s="56">
        <f>IFERROR(IF(($BZ32)&gt;0,($EK32)/($BZ32),""),"")</f>
        <v/>
      </c>
      <c r="FA32" s="56">
        <f>IFERROR(IF(($CA32)&gt;0,($EL32)/($CA32),""),"")</f>
        <v/>
      </c>
      <c r="FB32" s="56">
        <f>IFERROR(IF(($CB32)&gt;0,($EM32)/($CB32),""),"")</f>
        <v/>
      </c>
      <c r="FC32" s="55">
        <f>IF(SUMIFS(tblPlant[GIC_oz],tblPlant[Date],$A32)&gt;0,SUMIFS(tblPlant[GIC_oz],tblPlant[Date],$A32),"")</f>
        <v/>
      </c>
      <c r="FD32" s="55">
        <f>SUMIFS(tblGold[Gold_oz],tblGold[Date],$A32,tblGold[Type],"Shipment")</f>
        <v/>
      </c>
      <c r="FE32" s="55">
        <f>IF($B32=$B31,$FE31,0)+$FD32</f>
        <v/>
      </c>
      <c r="FF32" s="55">
        <f>$FF31+$FD32</f>
        <v/>
      </c>
      <c r="FG32" s="55">
        <f>SUMIFS(tblGold[Gold_oz],tblGold[Date],$A32,tblGold[Type],"Sale")</f>
        <v/>
      </c>
      <c r="FH32" s="55">
        <f>IF($B32=$B31,$FH31,0)+$FG32</f>
        <v/>
      </c>
      <c r="FI32" s="55">
        <f>$FI31+$FG32</f>
        <v/>
      </c>
      <c r="FJ32" s="55">
        <f>SUMIFS(tblGold[Dore_kg],tblGold[Date],$A32,tblGold[Type],"Shipment")</f>
        <v/>
      </c>
      <c r="FK32" s="55">
        <f>IF($B32=$B31,$FK31,0)+$FJ32</f>
        <v/>
      </c>
      <c r="FL32" s="55">
        <f>$FL31+$FJ32</f>
        <v/>
      </c>
      <c r="FM32" s="57">
        <f>SUMIFS(tblSafety[Hours_Total],tblSafety[Date],$A32)</f>
        <v/>
      </c>
      <c r="FN32" s="57">
        <f>IF($B32=$B31,$FN31,0)+$FM32</f>
        <v/>
      </c>
      <c r="FO32" s="57">
        <f>$FO31+$FM32</f>
        <v/>
      </c>
      <c r="FP32" s="62">
        <f>SUMIFS(tblSafety[Fatality],tblSafety[Date],$A32)</f>
        <v/>
      </c>
      <c r="FQ32" s="62">
        <f>IF($B32=$B31,$FQ31,0)+$FP32</f>
        <v/>
      </c>
      <c r="FR32" s="62">
        <f>$FR31+$FP32</f>
        <v/>
      </c>
      <c r="FS32" s="62">
        <f>SUMIFS(tblSafety[LTI],tblSafety[Date],$A32)</f>
        <v/>
      </c>
      <c r="FT32" s="62">
        <f>IF($B32=$B31,$FT31,0)+$FS32</f>
        <v/>
      </c>
      <c r="FU32" s="62">
        <f>$FU31+$FS32</f>
        <v/>
      </c>
      <c r="FV32" s="62">
        <f>SUMIFS(tblSafety[RWI],tblSafety[Date],$A32)</f>
        <v/>
      </c>
      <c r="FW32" s="62">
        <f>IF($B32=$B31,$FW31,0)+$FV32</f>
        <v/>
      </c>
      <c r="FX32" s="62">
        <f>$FX31+$FV32</f>
        <v/>
      </c>
      <c r="FY32" s="62">
        <f>SUMIFS(tblSafety[MTI],tblSafety[Date],$A32)</f>
        <v/>
      </c>
      <c r="FZ32" s="62">
        <f>IF($B32=$B31,$FZ31,0)+$FY32</f>
        <v/>
      </c>
      <c r="GA32" s="62">
        <f>$GA31+$FY32</f>
        <v/>
      </c>
      <c r="GB32" s="62">
        <f>SUMIFS(tblSafety[FAI],tblSafety[Date],$A32)</f>
        <v/>
      </c>
      <c r="GC32" s="62">
        <f>IF($B32=$B31,$GC31,0)+$GB32</f>
        <v/>
      </c>
      <c r="GD32" s="62">
        <f>$GD31+$GB32</f>
        <v/>
      </c>
      <c r="GE32" s="62">
        <f>SUMIFS(tblSafety[Recordables],tblSafety[Date],$A32)</f>
        <v/>
      </c>
      <c r="GF32" s="62">
        <f>IF($B32=$B31,$GF31,0)+$GE32</f>
        <v/>
      </c>
      <c r="GG32" s="62">
        <f>$GG31+$GE32</f>
        <v/>
      </c>
      <c r="GH32" s="62">
        <f>SUMIFS(tblSafety[Near_Miss],tblSafety[Date],$A32)</f>
        <v/>
      </c>
      <c r="GI32" s="62">
        <f>IF($B32=$B31,$GI31,0)+$GH32</f>
        <v/>
      </c>
      <c r="GJ32" s="62">
        <f>$GJ31+$GH32</f>
        <v/>
      </c>
      <c r="GK32" s="62">
        <f>SUMIFS(tblSafety[Hazard_Reports],tblSafety[Date],$A32)</f>
        <v/>
      </c>
      <c r="GL32" s="62">
        <f>IF($B32=$B31,$GL31,0)+$GK32</f>
        <v/>
      </c>
      <c r="GM32" s="62">
        <f>$GM31+$GK32</f>
        <v/>
      </c>
      <c r="GN32" s="62">
        <f>SUMIFS(tblSafety[HPI],tblSafety[Date],$A32)</f>
        <v/>
      </c>
      <c r="GO32" s="62">
        <f>IF($B32=$B31,$GO31,0)+$GN32</f>
        <v/>
      </c>
      <c r="GP32" s="62">
        <f>$GP31+$GN32</f>
        <v/>
      </c>
      <c r="GQ32" s="62">
        <f>SUMIFS(tblSafety[Env_Incidents],tblSafety[Date],$A32)</f>
        <v/>
      </c>
      <c r="GR32" s="62">
        <f>IF($B32=$B31,$GR31,0)+$GQ32</f>
        <v/>
      </c>
      <c r="GS32" s="62">
        <f>$GS31+$GQ32</f>
        <v/>
      </c>
      <c r="GT32" s="62">
        <f>SUMIFS(tblSafety[Community_Incidents],tblSafety[Date],$A32)</f>
        <v/>
      </c>
      <c r="GU32" s="62">
        <f>IF($B32=$B31,$GU31,0)+$GT32</f>
        <v/>
      </c>
      <c r="GV32" s="62">
        <f>$GV31+$GT32</f>
        <v/>
      </c>
      <c r="GW32" s="62">
        <f>SUMIFS(tblSafety[Vehicle_Incidents],tblSafety[Date],$A32)</f>
        <v/>
      </c>
      <c r="GX32" s="62">
        <f>IF($B32=$B31,$GX31,0)+$GW32</f>
        <v/>
      </c>
      <c r="GY32" s="62">
        <f>$GY31+$GW32</f>
        <v/>
      </c>
      <c r="GZ32" s="62">
        <f>SUMIFS(tblSafety[Toolbox_Talks],tblSafety[Date],$A32)</f>
        <v/>
      </c>
      <c r="HA32" s="62">
        <f>IF($B32=$B31,$HA31,0)+$GZ32</f>
        <v/>
      </c>
      <c r="HB32" s="62">
        <f>$HB31+$GZ32</f>
        <v/>
      </c>
      <c r="HC32" s="62">
        <f>SUMIFS(tblSafety[Inspections],tblSafety[Date],$A32)</f>
        <v/>
      </c>
      <c r="HD32" s="62">
        <f>IF($B32=$B31,$HD31,0)+$HC32</f>
        <v/>
      </c>
      <c r="HE32" s="62">
        <f>$HE31+$HC32</f>
        <v/>
      </c>
      <c r="HF32" s="56">
        <f>IFERROR((SUMIFS(tblSafety[Recordables],tblSafety[Date],"&gt;="&amp;EDATE($E32,-12),tblSafety[Date],"&lt;="&amp;$A32)+SUMIFS(tblSafetyHistory[Recordables],tblSafetyHistory[Month],"&gt;="&amp;EDATE($E32,-12),tblSafetyHistory[Month],"&lt;"&amp;cfg_YearStart))/(SUMIFS(tblSafety[Hours_Total],tblSafety[Date],"&gt;="&amp;EDATE($E32,-12),tblSafety[Date],"&lt;="&amp;$A32)+SUMIFS(tblSafetyHistory[Hours_Total],tblSafetyHistory[Month],"&gt;="&amp;EDATE($E32,-12),tblSafetyHistory[Month],"&lt;"&amp;cfg_YearStart))*1000000,"")</f>
        <v/>
      </c>
      <c r="HG32" s="56">
        <f>IFERROR((SUMIFS(tblSafety[LTI],tblSafety[Date],"&gt;="&amp;EDATE($E32,-12),tblSafety[Date],"&lt;="&amp;$A32)+SUMIFS(tblSafetyHistory[LTI],tblSafetyHistory[Month],"&gt;="&amp;EDATE($E32,-12),tblSafetyHistory[Month],"&lt;"&amp;cfg_YearStart))/(SUMIFS(tblSafety[Hours_Total],tblSafety[Date],"&gt;="&amp;EDATE($E32,-12),tblSafety[Date],"&lt;="&amp;$A32)+SUMIFS(tblSafetyHistory[Hours_Total],tblSafetyHistory[Month],"&gt;="&amp;EDATE($E32,-12),tblSafetyHistory[Month],"&lt;"&amp;cfg_YearStart))*1000000,"")</f>
        <v/>
      </c>
      <c r="HH32" s="62">
        <f>IF(MAX(N(cfg_PriorLTIDate),_xlfn.MAXIFS(tblSafety[Date],tblSafety[LTI],"&gt;0",tblSafety[Date],"&lt;="&amp;$A32))=0,"",$A32-MAX(N(cfg_PriorLTIDate),_xlfn.MAXIFS(tblSafety[Date],tblSafety[LTI],"&gt;0",tblSafety[Date],"&lt;="&amp;$A32)))</f>
        <v/>
      </c>
      <c r="HI32" s="55">
        <f>SUMIFS(tblBudget[Ore_Mined_t],tblBudget[Month],$E32)</f>
        <v/>
      </c>
      <c r="HJ32" s="55">
        <f>$HI32*$C32/$D32</f>
        <v/>
      </c>
      <c r="HK32" s="55">
        <f>SUMIFS(tblBudget[Ore_Mined_t],tblBudget[Month],"&lt;"&amp;$E32)+$HJ32</f>
        <v/>
      </c>
      <c r="HL32" s="55">
        <f>SUMIFS(tblBudget[Ore_oz],tblBudget[Month],$E32)</f>
        <v/>
      </c>
      <c r="HM32" s="55">
        <f>$HL32*$C32/$D32</f>
        <v/>
      </c>
      <c r="HN32" s="55">
        <f>SUMIFS(tblBudget[Ore_oz],tblBudget[Month],"&lt;"&amp;$E32)+$HM32</f>
        <v/>
      </c>
      <c r="HO32" s="56">
        <f>IFERROR(IF(($HI32)&gt;0,($HL32*cfg_TroyOz)/($HI32),""),"")</f>
        <v/>
      </c>
      <c r="HP32" s="56">
        <f>IFERROR(IF(($HJ32)&gt;0,($HM32*cfg_TroyOz)/($HJ32),""),"")</f>
        <v/>
      </c>
      <c r="HQ32" s="56">
        <f>IFERROR(IF(($HK32)&gt;0,($HN32*cfg_TroyOz)/($HK32),""),"")</f>
        <v/>
      </c>
      <c r="HR32" s="55">
        <f>SUMIFS(tblBudget[Waste_t],tblBudget[Month],$E32)</f>
        <v/>
      </c>
      <c r="HS32" s="55">
        <f>$HR32*$C32/$D32</f>
        <v/>
      </c>
      <c r="HT32" s="55">
        <f>SUMIFS(tblBudget[Waste_t],tblBudget[Month],"&lt;"&amp;$E32)+$HS32</f>
        <v/>
      </c>
      <c r="HU32" s="55">
        <f>SUMIFS(tblBudget[TMM_t],tblBudget[Month],$E32)</f>
        <v/>
      </c>
      <c r="HV32" s="55">
        <f>$HU32*$C32/$D32</f>
        <v/>
      </c>
      <c r="HW32" s="55">
        <f>SUMIFS(tblBudget[TMM_t],tblBudget[Month],"&lt;"&amp;$E32)+$HV32</f>
        <v/>
      </c>
      <c r="HX32" s="56">
        <f>IFERROR(IF(($HI32)&gt;0,($HR32)/($HI32),""),"")</f>
        <v/>
      </c>
      <c r="HY32" s="56">
        <f>IFERROR(IF(($HJ32)&gt;0,($HS32)/($HJ32),""),"")</f>
        <v/>
      </c>
      <c r="HZ32" s="56">
        <f>IFERROR(IF(($HK32)&gt;0,($HT32)/($HK32),""),"")</f>
        <v/>
      </c>
      <c r="IA32" s="55">
        <f>SUMIFS(tblBudget[Drill_m],tblBudget[Month],$E32)</f>
        <v/>
      </c>
      <c r="IB32" s="55">
        <f>$IA32*$C32/$D32</f>
        <v/>
      </c>
      <c r="IC32" s="55">
        <f>SUMIFS(tblBudget[Drill_m],tblBudget[Month],"&lt;"&amp;$E32)+$IB32</f>
        <v/>
      </c>
      <c r="ID32" s="55">
        <f>SUMIFS(tblBudget[Diesel_L],tblBudget[Month],$E32)</f>
        <v/>
      </c>
      <c r="IE32" s="55">
        <f>$ID32*$C32/$D32</f>
        <v/>
      </c>
      <c r="IF32" s="55">
        <f>SUMIFS(tblBudget[Diesel_L],tblBudget[Month],"&lt;"&amp;$E32)+$IE32</f>
        <v/>
      </c>
      <c r="IG32" s="55">
        <f>SUMIFS(tblBudget[Milled_t],tblBudget[Month],$E32)</f>
        <v/>
      </c>
      <c r="IH32" s="55">
        <f>$IG32*$C32/$D32</f>
        <v/>
      </c>
      <c r="II32" s="55">
        <f>SUMIFS(tblBudget[Milled_t],tblBudget[Month],"&lt;"&amp;$E32)+$IH32</f>
        <v/>
      </c>
      <c r="IJ32" s="55">
        <f>SUMIFS(tblBudget[Feed_oz],tblBudget[Month],$E32)</f>
        <v/>
      </c>
      <c r="IK32" s="55">
        <f>$IJ32*$C32/$D32</f>
        <v/>
      </c>
      <c r="IL32" s="55">
        <f>SUMIFS(tblBudget[Feed_oz],tblBudget[Month],"&lt;"&amp;$E32)+$IK32</f>
        <v/>
      </c>
      <c r="IM32" s="55">
        <f>SUMIFS(tblBudget[Recovered_oz],tblBudget[Month],$E32)</f>
        <v/>
      </c>
      <c r="IN32" s="55">
        <f>$IM32*$C32/$D32</f>
        <v/>
      </c>
      <c r="IO32" s="55">
        <f>SUMIFS(tblBudget[Recovered_oz],tblBudget[Month],"&lt;"&amp;$E32)+$IN32</f>
        <v/>
      </c>
      <c r="IP32" s="56">
        <f>IFERROR(IF(($IG32)&gt;0,($IJ32*cfg_TroyOz)/($IG32),""),"")</f>
        <v/>
      </c>
      <c r="IQ32" s="56">
        <f>IFERROR(IF(($IH32)&gt;0,($IK32*cfg_TroyOz)/($IH32),""),"")</f>
        <v/>
      </c>
      <c r="IR32" s="56">
        <f>IFERROR(IF(($II32)&gt;0,($IL32*cfg_TroyOz)/($II32),""),"")</f>
        <v/>
      </c>
      <c r="IS32" s="67">
        <f>IFERROR(IF(($IJ32)&gt;0,($IM32)/($IJ32),""),"")</f>
        <v/>
      </c>
      <c r="IT32" s="67">
        <f>IFERROR(IF(($IK32)&gt;0,($IN32)/($IK32),""),"")</f>
        <v/>
      </c>
      <c r="IU32" s="67">
        <f>IFERROR(IF(($IL32)&gt;0,($IO32)/($IL32),""),"")</f>
        <v/>
      </c>
      <c r="IV32" s="55">
        <f>SUMIFS(tblBudget[Gold_Poured_oz],tblBudget[Month],$E32)</f>
        <v/>
      </c>
      <c r="IW32" s="55">
        <f>$IV32*$C32/$D32</f>
        <v/>
      </c>
      <c r="IX32" s="55">
        <f>SUMIFS(tblBudget[Gold_Poured_oz],tblBudget[Month],"&lt;"&amp;$E32)+$IW32</f>
        <v/>
      </c>
      <c r="IY32" s="57">
        <f>SUMIFS(tblBudget[Hours_Worked],tblBudget[Month],$E32)</f>
        <v/>
      </c>
      <c r="IZ32" s="57">
        <f>$IY32*$C32/$D32</f>
        <v/>
      </c>
      <c r="JA32" s="57">
        <f>SUMIFS(tblBudget[Hours_Worked],tblBudget[Month],"&lt;"&amp;$E32)+$IZ32</f>
        <v/>
      </c>
    </row>
    <row r="33">
      <c r="A33" s="54" t="n">
        <v>46054</v>
      </c>
      <c r="B33">
        <f>MONTH($A33)</f>
        <v/>
      </c>
      <c r="C33">
        <f>DAY($A33)</f>
        <v/>
      </c>
      <c r="D33">
        <f>DAY(EOMONTH($A33,0))</f>
        <v/>
      </c>
      <c r="E33" s="54">
        <f>DATE(YEAR($A33),MONTH($A33),1)</f>
        <v/>
      </c>
      <c r="F33" s="55">
        <f>SUMIFS(tblMovement[Tonnes_t],tblMovement[Date],$A33,tblMovement[Is_Ore],1,tblMovement[Source_Type],"Pit")</f>
        <v/>
      </c>
      <c r="G33" s="55">
        <f>IF($B33=$B32,$G32,0)+$F33</f>
        <v/>
      </c>
      <c r="H33" s="55">
        <f>$H32+$F33</f>
        <v/>
      </c>
      <c r="I33" s="55">
        <f>SUMIFS(tblMovement[Ore_oz],tblMovement[Date],$A33,tblMovement[Source_Type],"Pit")</f>
        <v/>
      </c>
      <c r="J33" s="55">
        <f>IF($B33=$B32,$J32,0)+$I33</f>
        <v/>
      </c>
      <c r="K33" s="55">
        <f>$K32+$I33</f>
        <v/>
      </c>
      <c r="L33" s="56">
        <f>IFERROR(IF(($F33)&gt;0,($I33*cfg_TroyOz)/($F33),""),"")</f>
        <v/>
      </c>
      <c r="M33" s="56">
        <f>IFERROR(IF(($G33)&gt;0,($J33*cfg_TroyOz)/($G33),""),"")</f>
        <v/>
      </c>
      <c r="N33" s="56">
        <f>IFERROR(IF(($H33)&gt;0,($K33*cfg_TroyOz)/($H33),""),"")</f>
        <v/>
      </c>
      <c r="O33" s="55">
        <f>SUMIFS(tblMovement[Tonnes_t],tblMovement[Date],$A33,tblMovement[Is_Ore],0,tblMovement[Source_Type],"Pit")</f>
        <v/>
      </c>
      <c r="P33" s="55">
        <f>IF($B33=$B32,$P32,0)+$O33</f>
        <v/>
      </c>
      <c r="Q33" s="55">
        <f>$Q32+$O33</f>
        <v/>
      </c>
      <c r="R33" s="55">
        <f>$F33+$O33</f>
        <v/>
      </c>
      <c r="S33" s="55">
        <f>IF($B33=$B32,$S32,0)+$R33</f>
        <v/>
      </c>
      <c r="T33" s="55">
        <f>$T32+$R33</f>
        <v/>
      </c>
      <c r="U33" s="56">
        <f>IFERROR(IF(($F33)&gt;0,($O33)/($F33),""),"")</f>
        <v/>
      </c>
      <c r="V33" s="56">
        <f>IFERROR(IF(($G33)&gt;0,($P33)/($G33),""),"")</f>
        <v/>
      </c>
      <c r="W33" s="56">
        <f>IFERROR(IF(($H33)&gt;0,($Q33)/($H33),""),"")</f>
        <v/>
      </c>
      <c r="X33" s="55">
        <f>SUMIFS(tblMovement[Tonnes_t],tblMovement[Date],$A33,tblMovement[Source_Type],"Stockpile")</f>
        <v/>
      </c>
      <c r="Y33" s="55">
        <f>IF($B33=$B32,$Y32,0)+$X33</f>
        <v/>
      </c>
      <c r="Z33" s="55">
        <f>$Z32+$X33</f>
        <v/>
      </c>
      <c r="AA33" s="55">
        <f>SUMIFS(tblMiningDaily[Drill_m],tblMiningDaily[Date],$A33)</f>
        <v/>
      </c>
      <c r="AB33" s="55">
        <f>IF($B33=$B32,$AB32,0)+$AA33</f>
        <v/>
      </c>
      <c r="AC33" s="55">
        <f>$AC32+$AA33</f>
        <v/>
      </c>
      <c r="AD33" s="55">
        <f>SUMIFS(tblMiningDaily[Blast_t],tblMiningDaily[Date],$A33)</f>
        <v/>
      </c>
      <c r="AE33" s="55">
        <f>IF($B33=$B32,$AE32,0)+$AD33</f>
        <v/>
      </c>
      <c r="AF33" s="55">
        <f>$AF32+$AD33</f>
        <v/>
      </c>
      <c r="AG33" s="55">
        <f>SUMIFS(tblMiningDaily[Explosives_kg],tblMiningDaily[Date],$A33)</f>
        <v/>
      </c>
      <c r="AH33" s="55">
        <f>IF($B33=$B32,$AH32,0)+$AG33</f>
        <v/>
      </c>
      <c r="AI33" s="55">
        <f>$AI32+$AG33</f>
        <v/>
      </c>
      <c r="AJ33" s="56">
        <f>IFERROR(IF(($AD33)&gt;0,($AG33)/($AD33),""),"")</f>
        <v/>
      </c>
      <c r="AK33" s="56">
        <f>IFERROR(IF(($AE33)&gt;0,($AH33)/($AE33),""),"")</f>
        <v/>
      </c>
      <c r="AL33" s="56">
        <f>IFERROR(IF(($AF33)&gt;0,($AI33)/($AF33),""),"")</f>
        <v/>
      </c>
      <c r="AM33" s="55">
        <f>SUMIFS(tblMiningDaily[Diesel_L],tblMiningDaily[Date],$A33)</f>
        <v/>
      </c>
      <c r="AN33" s="55">
        <f>IF($B33=$B32,$AN32,0)+$AM33</f>
        <v/>
      </c>
      <c r="AO33" s="55">
        <f>$AO32+$AM33</f>
        <v/>
      </c>
      <c r="AP33" s="55">
        <f>SUMIFS(tblMiningDaily[Dewatering_m3],tblMiningDaily[Date],$A33)</f>
        <v/>
      </c>
      <c r="AQ33" s="55">
        <f>IF($B33=$B32,$AQ32,0)+$AP33</f>
        <v/>
      </c>
      <c r="AR33" s="55">
        <f>$AR32+$AP33</f>
        <v/>
      </c>
      <c r="AS33" s="57">
        <f>SUMIFS(tblFleet[Calendar_h],tblFleet[Date],$A33,tblFleet[Equipment_Class],"Excavator")</f>
        <v/>
      </c>
      <c r="AT33" s="57">
        <f>IF($B33=$B32,$AT32,0)+$AS33</f>
        <v/>
      </c>
      <c r="AU33" s="57">
        <f>$AU32+$AS33</f>
        <v/>
      </c>
      <c r="AV33" s="57">
        <f>SUMIFS(tblFleet[Available_h],tblFleet[Date],$A33,tblFleet[Equipment_Class],"Excavator")</f>
        <v/>
      </c>
      <c r="AW33" s="57">
        <f>IF($B33=$B32,$AW32,0)+$AV33</f>
        <v/>
      </c>
      <c r="AX33" s="57">
        <f>$AX32+$AV33</f>
        <v/>
      </c>
      <c r="AY33" s="57">
        <f>SUMIFS(tblFleet[Operating_h],tblFleet[Date],$A33,tblFleet[Equipment_Class],"Excavator")</f>
        <v/>
      </c>
      <c r="AZ33" s="57">
        <f>IF($B33=$B32,$AZ32,0)+$AY33</f>
        <v/>
      </c>
      <c r="BA33" s="57">
        <f>$BA32+$AY33</f>
        <v/>
      </c>
      <c r="BB33" s="67">
        <f>IFERROR(IF(($AS33)&gt;0,($AV33)/($AS33),""),"")</f>
        <v/>
      </c>
      <c r="BC33" s="67">
        <f>IFERROR(IF(($AT33)&gt;0,($AW33)/($AT33),""),"")</f>
        <v/>
      </c>
      <c r="BD33" s="67">
        <f>IFERROR(IF(($AU33)&gt;0,($AX33)/($AU33),""),"")</f>
        <v/>
      </c>
      <c r="BE33" s="67">
        <f>IFERROR(IF(($AV33)&gt;0,($AY33)/($AV33),""),"")</f>
        <v/>
      </c>
      <c r="BF33" s="67">
        <f>IFERROR(IF(($AW33)&gt;0,($AZ33)/($AW33),""),"")</f>
        <v/>
      </c>
      <c r="BG33" s="67">
        <f>IFERROR(IF(($AX33)&gt;0,($BA33)/($AX33),""),"")</f>
        <v/>
      </c>
      <c r="BH33" s="57">
        <f>SUMIFS(tblFleet[Calendar_h],tblFleet[Date],$A33,tblFleet[Equipment_Class],"Haul Truck")</f>
        <v/>
      </c>
      <c r="BI33" s="57">
        <f>IF($B33=$B32,$BI32,0)+$BH33</f>
        <v/>
      </c>
      <c r="BJ33" s="57">
        <f>$BJ32+$BH33</f>
        <v/>
      </c>
      <c r="BK33" s="57">
        <f>SUMIFS(tblFleet[Available_h],tblFleet[Date],$A33,tblFleet[Equipment_Class],"Haul Truck")</f>
        <v/>
      </c>
      <c r="BL33" s="57">
        <f>IF($B33=$B32,$BL32,0)+$BK33</f>
        <v/>
      </c>
      <c r="BM33" s="57">
        <f>$BM32+$BK33</f>
        <v/>
      </c>
      <c r="BN33" s="57">
        <f>SUMIFS(tblFleet[Operating_h],tblFleet[Date],$A33,tblFleet[Equipment_Class],"Haul Truck")</f>
        <v/>
      </c>
      <c r="BO33" s="57">
        <f>IF($B33=$B32,$BO32,0)+$BN33</f>
        <v/>
      </c>
      <c r="BP33" s="57">
        <f>$BP32+$BN33</f>
        <v/>
      </c>
      <c r="BQ33" s="67">
        <f>IFERROR(IF(($BH33)&gt;0,($BK33)/($BH33),""),"")</f>
        <v/>
      </c>
      <c r="BR33" s="67">
        <f>IFERROR(IF(($BI33)&gt;0,($BL33)/($BI33),""),"")</f>
        <v/>
      </c>
      <c r="BS33" s="67">
        <f>IFERROR(IF(($BJ33)&gt;0,($BM33)/($BJ33),""),"")</f>
        <v/>
      </c>
      <c r="BT33" s="67">
        <f>IFERROR(IF(($BK33)&gt;0,($BN33)/($BK33),""),"")</f>
        <v/>
      </c>
      <c r="BU33" s="67">
        <f>IFERROR(IF(($BL33)&gt;0,($BO33)/($BL33),""),"")</f>
        <v/>
      </c>
      <c r="BV33" s="67">
        <f>IFERROR(IF(($BM33)&gt;0,($BP33)/($BM33),""),"")</f>
        <v/>
      </c>
      <c r="BW33" s="55">
        <f>SUMIFS(tblPlant[Crushed_t],tblPlant[Date],$A33)</f>
        <v/>
      </c>
      <c r="BX33" s="55">
        <f>IF($B33=$B32,$BX32,0)+$BW33</f>
        <v/>
      </c>
      <c r="BY33" s="55">
        <f>$BY32+$BW33</f>
        <v/>
      </c>
      <c r="BZ33" s="55">
        <f>SUMIFS(tblPlant[Milled_t],tblPlant[Date],$A33)</f>
        <v/>
      </c>
      <c r="CA33" s="55">
        <f>IF($B33=$B32,$CA32,0)+$BZ33</f>
        <v/>
      </c>
      <c r="CB33" s="55">
        <f>$CB32+$BZ33</f>
        <v/>
      </c>
      <c r="CC33" s="55">
        <f>SUMIFS(tblPlant[Feed_oz],tblPlant[Date],$A33)</f>
        <v/>
      </c>
      <c r="CD33" s="55">
        <f>IF($B33=$B32,$CD32,0)+$CC33</f>
        <v/>
      </c>
      <c r="CE33" s="55">
        <f>$CE32+$CC33</f>
        <v/>
      </c>
      <c r="CF33" s="55">
        <f>SUMIFS(tblPlant[Tails_oz],tblPlant[Date],$A33)</f>
        <v/>
      </c>
      <c r="CG33" s="55">
        <f>IF($B33=$B32,$CG32,0)+$CF33</f>
        <v/>
      </c>
      <c r="CH33" s="55">
        <f>$CH32+$CF33</f>
        <v/>
      </c>
      <c r="CI33" s="55">
        <f>SUMIFS(tblPlant[Recovered_oz],tblPlant[Date],$A33)</f>
        <v/>
      </c>
      <c r="CJ33" s="55">
        <f>IF($B33=$B32,$CJ32,0)+$CI33</f>
        <v/>
      </c>
      <c r="CK33" s="55">
        <f>$CK32+$CI33</f>
        <v/>
      </c>
      <c r="CL33" s="56">
        <f>IFERROR(IF(($BZ33)&gt;0,($CC33*cfg_TroyOz)/($BZ33),""),"")</f>
        <v/>
      </c>
      <c r="CM33" s="56">
        <f>IFERROR(IF(($CA33)&gt;0,($CD33*cfg_TroyOz)/($CA33),""),"")</f>
        <v/>
      </c>
      <c r="CN33" s="56">
        <f>IFERROR(IF(($CB33)&gt;0,($CE33*cfg_TroyOz)/($CB33),""),"")</f>
        <v/>
      </c>
      <c r="CO33" s="56">
        <f>IFERROR(IF(($BZ33)&gt;0,($CF33*cfg_TroyOz)/($BZ33),""),"")</f>
        <v/>
      </c>
      <c r="CP33" s="56">
        <f>IFERROR(IF(($CA33)&gt;0,($CG33*cfg_TroyOz)/($CA33),""),"")</f>
        <v/>
      </c>
      <c r="CQ33" s="56">
        <f>IFERROR(IF(($CB33)&gt;0,($CH33*cfg_TroyOz)/($CB33),""),"")</f>
        <v/>
      </c>
      <c r="CR33" s="67">
        <f>IFERROR(IF(($CC33)&gt;0,($CI33)/($CC33),""),"")</f>
        <v/>
      </c>
      <c r="CS33" s="67">
        <f>IFERROR(IF(($CD33)&gt;0,($CJ33)/($CD33),""),"")</f>
        <v/>
      </c>
      <c r="CT33" s="67">
        <f>IFERROR(IF(($CE33)&gt;0,($CK33)/($CE33),""),"")</f>
        <v/>
      </c>
      <c r="CU33" s="55">
        <f>SUMIFS(tblPlant[Gravity_Gold_oz],tblPlant[Date],$A33)</f>
        <v/>
      </c>
      <c r="CV33" s="55">
        <f>IF($B33=$B32,$CV32,0)+$CU33</f>
        <v/>
      </c>
      <c r="CW33" s="55">
        <f>$CW32+$CU33</f>
        <v/>
      </c>
      <c r="CX33" s="55">
        <f>SUMIFS(tblPlant[Gold_Poured_oz],tblPlant[Date],$A33)</f>
        <v/>
      </c>
      <c r="CY33" s="55">
        <f>IF($B33=$B32,$CY32,0)+$CX33</f>
        <v/>
      </c>
      <c r="CZ33" s="55">
        <f>$CZ32+$CX33</f>
        <v/>
      </c>
      <c r="DA33" s="57">
        <f>SUMIFS(tblPlant[Mill_Run_h],tblPlant[Date],$A33)</f>
        <v/>
      </c>
      <c r="DB33" s="57">
        <f>IF($B33=$B32,$DB32,0)+$DA33</f>
        <v/>
      </c>
      <c r="DC33" s="57">
        <f>$DC32+$DA33</f>
        <v/>
      </c>
      <c r="DD33" s="57">
        <f>SUMIFS(tblPlant[Mill_Planned_Maint_h],tblPlant[Date],$A33)</f>
        <v/>
      </c>
      <c r="DE33" s="57">
        <f>IF($B33=$B32,$DE32,0)+$DD33</f>
        <v/>
      </c>
      <c r="DF33" s="57">
        <f>$DF32+$DD33</f>
        <v/>
      </c>
      <c r="DG33" s="57">
        <f>SUMIFS(tblPlant[Mill_Unplanned_Down_h],tblPlant[Date],$A33)</f>
        <v/>
      </c>
      <c r="DH33" s="57">
        <f>IF($B33=$B32,$DH32,0)+$DG33</f>
        <v/>
      </c>
      <c r="DI33" s="57">
        <f>$DI32+$DG33</f>
        <v/>
      </c>
      <c r="DJ33" s="57">
        <f>COUNTIFS(tblPlant[Date],$A33,tblPlant[Mill_Run_h],"&lt;&gt;")*24</f>
        <v/>
      </c>
      <c r="DK33" s="57">
        <f>IF($B33=$B32,$DK32,0)+$DJ33</f>
        <v/>
      </c>
      <c r="DL33" s="57">
        <f>$DL32+$DJ33</f>
        <v/>
      </c>
      <c r="DM33" s="57">
        <f>SUMIFS(tblPlant[Crusher_Run_h],tblPlant[Date],$A33)</f>
        <v/>
      </c>
      <c r="DN33" s="57">
        <f>IF($B33=$B32,$DN32,0)+$DM33</f>
        <v/>
      </c>
      <c r="DO33" s="57">
        <f>$DO32+$DM33</f>
        <v/>
      </c>
      <c r="DP33" s="55">
        <f>IFERROR(IF(($DA33)&gt;0,($BZ33)/($DA33),""),"")</f>
        <v/>
      </c>
      <c r="DQ33" s="55">
        <f>IFERROR(IF(($DB33)&gt;0,($CA33)/($DB33),""),"")</f>
        <v/>
      </c>
      <c r="DR33" s="55">
        <f>IFERROR(IF(($DC33)&gt;0,($CB33)/($DC33),""),"")</f>
        <v/>
      </c>
      <c r="DS33" s="67">
        <f>IFERROR(IF(($DJ33)&gt;0,($DJ33-$DD33-$DG33)/($DJ33),""),"")</f>
        <v/>
      </c>
      <c r="DT33" s="67">
        <f>IFERROR(IF(($DK33)&gt;0,($DK33-$DE33-$DH33)/($DK33),""),"")</f>
        <v/>
      </c>
      <c r="DU33" s="67">
        <f>IFERROR(IF(($DL33)&gt;0,($DL33-$DF33-$DI33)/($DL33),""),"")</f>
        <v/>
      </c>
      <c r="DV33" s="67">
        <f>IFERROR(IF(($DJ33-$DD33-$DG33)&gt;0,($DA33)/($DJ33-$DD33-$DG33),""),"")</f>
        <v/>
      </c>
      <c r="DW33" s="67">
        <f>IFERROR(IF(($DK33-$DE33-$DH33)&gt;0,($DB33)/($DK33-$DE33-$DH33),""),"")</f>
        <v/>
      </c>
      <c r="DX33" s="67">
        <f>IFERROR(IF(($DL33-$DF33-$DI33)&gt;0,($DC33)/($DL33-$DF33-$DI33),""),"")</f>
        <v/>
      </c>
      <c r="DY33" s="55">
        <f>SUMIFS(tblPlant[Cyanide_kg],tblPlant[Date],$A33)</f>
        <v/>
      </c>
      <c r="DZ33" s="55">
        <f>IF($B33=$B32,$DZ32,0)+$DY33</f>
        <v/>
      </c>
      <c r="EA33" s="55">
        <f>$EA32+$DY33</f>
        <v/>
      </c>
      <c r="EB33" s="55">
        <f>SUMIFS(tblPlant[Lime_kg],tblPlant[Date],$A33)</f>
        <v/>
      </c>
      <c r="EC33" s="55">
        <f>IF($B33=$B32,$EC32,0)+$EB33</f>
        <v/>
      </c>
      <c r="ED33" s="55">
        <f>$ED32+$EB33</f>
        <v/>
      </c>
      <c r="EE33" s="55">
        <f>SUMIFS(tblPlant[Grinding_Media_kg],tblPlant[Date],$A33)</f>
        <v/>
      </c>
      <c r="EF33" s="55">
        <f>IF($B33=$B32,$EF32,0)+$EE33</f>
        <v/>
      </c>
      <c r="EG33" s="55">
        <f>$EG32+$EE33</f>
        <v/>
      </c>
      <c r="EH33" s="55">
        <f>SUMIFS(tblPlant[Power_kWh],tblPlant[Date],$A33)</f>
        <v/>
      </c>
      <c r="EI33" s="55">
        <f>IF($B33=$B32,$EI32,0)+$EH33</f>
        <v/>
      </c>
      <c r="EJ33" s="55">
        <f>$EJ32+$EH33</f>
        <v/>
      </c>
      <c r="EK33" s="55">
        <f>SUMIFS(tblPlant[Raw_Water_m3],tblPlant[Date],$A33)</f>
        <v/>
      </c>
      <c r="EL33" s="55">
        <f>IF($B33=$B32,$EL32,0)+$EK33</f>
        <v/>
      </c>
      <c r="EM33" s="55">
        <f>$EM32+$EK33</f>
        <v/>
      </c>
      <c r="EN33" s="56">
        <f>IFERROR(IF(($BZ33)&gt;0,($DY33)/($BZ33),""),"")</f>
        <v/>
      </c>
      <c r="EO33" s="56">
        <f>IFERROR(IF(($CA33)&gt;0,($DZ33)/($CA33),""),"")</f>
        <v/>
      </c>
      <c r="EP33" s="56">
        <f>IFERROR(IF(($CB33)&gt;0,($EA33)/($CB33),""),"")</f>
        <v/>
      </c>
      <c r="EQ33" s="56">
        <f>IFERROR(IF(($BZ33)&gt;0,($EB33)/($BZ33),""),"")</f>
        <v/>
      </c>
      <c r="ER33" s="56">
        <f>IFERROR(IF(($CA33)&gt;0,($EC33)/($CA33),""),"")</f>
        <v/>
      </c>
      <c r="ES33" s="56">
        <f>IFERROR(IF(($CB33)&gt;0,($ED33)/($CB33),""),"")</f>
        <v/>
      </c>
      <c r="ET33" s="56">
        <f>IFERROR(IF(($BZ33)&gt;0,($EE33)/($BZ33),""),"")</f>
        <v/>
      </c>
      <c r="EU33" s="56">
        <f>IFERROR(IF(($CA33)&gt;0,($EF33)/($CA33),""),"")</f>
        <v/>
      </c>
      <c r="EV33" s="56">
        <f>IFERROR(IF(($CB33)&gt;0,($EG33)/($CB33),""),"")</f>
        <v/>
      </c>
      <c r="EW33" s="76">
        <f>IFERROR(IF(($BZ33)&gt;0,($EH33)/($BZ33),""),"")</f>
        <v/>
      </c>
      <c r="EX33" s="76">
        <f>IFERROR(IF(($CA33)&gt;0,($EI33)/($CA33),""),"")</f>
        <v/>
      </c>
      <c r="EY33" s="76">
        <f>IFERROR(IF(($CB33)&gt;0,($EJ33)/($CB33),""),"")</f>
        <v/>
      </c>
      <c r="EZ33" s="56">
        <f>IFERROR(IF(($BZ33)&gt;0,($EK33)/($BZ33),""),"")</f>
        <v/>
      </c>
      <c r="FA33" s="56">
        <f>IFERROR(IF(($CA33)&gt;0,($EL33)/($CA33),""),"")</f>
        <v/>
      </c>
      <c r="FB33" s="56">
        <f>IFERROR(IF(($CB33)&gt;0,($EM33)/($CB33),""),"")</f>
        <v/>
      </c>
      <c r="FC33" s="55">
        <f>IF(SUMIFS(tblPlant[GIC_oz],tblPlant[Date],$A33)&gt;0,SUMIFS(tblPlant[GIC_oz],tblPlant[Date],$A33),"")</f>
        <v/>
      </c>
      <c r="FD33" s="55">
        <f>SUMIFS(tblGold[Gold_oz],tblGold[Date],$A33,tblGold[Type],"Shipment")</f>
        <v/>
      </c>
      <c r="FE33" s="55">
        <f>IF($B33=$B32,$FE32,0)+$FD33</f>
        <v/>
      </c>
      <c r="FF33" s="55">
        <f>$FF32+$FD33</f>
        <v/>
      </c>
      <c r="FG33" s="55">
        <f>SUMIFS(tblGold[Gold_oz],tblGold[Date],$A33,tblGold[Type],"Sale")</f>
        <v/>
      </c>
      <c r="FH33" s="55">
        <f>IF($B33=$B32,$FH32,0)+$FG33</f>
        <v/>
      </c>
      <c r="FI33" s="55">
        <f>$FI32+$FG33</f>
        <v/>
      </c>
      <c r="FJ33" s="55">
        <f>SUMIFS(tblGold[Dore_kg],tblGold[Date],$A33,tblGold[Type],"Shipment")</f>
        <v/>
      </c>
      <c r="FK33" s="55">
        <f>IF($B33=$B32,$FK32,0)+$FJ33</f>
        <v/>
      </c>
      <c r="FL33" s="55">
        <f>$FL32+$FJ33</f>
        <v/>
      </c>
      <c r="FM33" s="57">
        <f>SUMIFS(tblSafety[Hours_Total],tblSafety[Date],$A33)</f>
        <v/>
      </c>
      <c r="FN33" s="57">
        <f>IF($B33=$B32,$FN32,0)+$FM33</f>
        <v/>
      </c>
      <c r="FO33" s="57">
        <f>$FO32+$FM33</f>
        <v/>
      </c>
      <c r="FP33" s="62">
        <f>SUMIFS(tblSafety[Fatality],tblSafety[Date],$A33)</f>
        <v/>
      </c>
      <c r="FQ33" s="62">
        <f>IF($B33=$B32,$FQ32,0)+$FP33</f>
        <v/>
      </c>
      <c r="FR33" s="62">
        <f>$FR32+$FP33</f>
        <v/>
      </c>
      <c r="FS33" s="62">
        <f>SUMIFS(tblSafety[LTI],tblSafety[Date],$A33)</f>
        <v/>
      </c>
      <c r="FT33" s="62">
        <f>IF($B33=$B32,$FT32,0)+$FS33</f>
        <v/>
      </c>
      <c r="FU33" s="62">
        <f>$FU32+$FS33</f>
        <v/>
      </c>
      <c r="FV33" s="62">
        <f>SUMIFS(tblSafety[RWI],tblSafety[Date],$A33)</f>
        <v/>
      </c>
      <c r="FW33" s="62">
        <f>IF($B33=$B32,$FW32,0)+$FV33</f>
        <v/>
      </c>
      <c r="FX33" s="62">
        <f>$FX32+$FV33</f>
        <v/>
      </c>
      <c r="FY33" s="62">
        <f>SUMIFS(tblSafety[MTI],tblSafety[Date],$A33)</f>
        <v/>
      </c>
      <c r="FZ33" s="62">
        <f>IF($B33=$B32,$FZ32,0)+$FY33</f>
        <v/>
      </c>
      <c r="GA33" s="62">
        <f>$GA32+$FY33</f>
        <v/>
      </c>
      <c r="GB33" s="62">
        <f>SUMIFS(tblSafety[FAI],tblSafety[Date],$A33)</f>
        <v/>
      </c>
      <c r="GC33" s="62">
        <f>IF($B33=$B32,$GC32,0)+$GB33</f>
        <v/>
      </c>
      <c r="GD33" s="62">
        <f>$GD32+$GB33</f>
        <v/>
      </c>
      <c r="GE33" s="62">
        <f>SUMIFS(tblSafety[Recordables],tblSafety[Date],$A33)</f>
        <v/>
      </c>
      <c r="GF33" s="62">
        <f>IF($B33=$B32,$GF32,0)+$GE33</f>
        <v/>
      </c>
      <c r="GG33" s="62">
        <f>$GG32+$GE33</f>
        <v/>
      </c>
      <c r="GH33" s="62">
        <f>SUMIFS(tblSafety[Near_Miss],tblSafety[Date],$A33)</f>
        <v/>
      </c>
      <c r="GI33" s="62">
        <f>IF($B33=$B32,$GI32,0)+$GH33</f>
        <v/>
      </c>
      <c r="GJ33" s="62">
        <f>$GJ32+$GH33</f>
        <v/>
      </c>
      <c r="GK33" s="62">
        <f>SUMIFS(tblSafety[Hazard_Reports],tblSafety[Date],$A33)</f>
        <v/>
      </c>
      <c r="GL33" s="62">
        <f>IF($B33=$B32,$GL32,0)+$GK33</f>
        <v/>
      </c>
      <c r="GM33" s="62">
        <f>$GM32+$GK33</f>
        <v/>
      </c>
      <c r="GN33" s="62">
        <f>SUMIFS(tblSafety[HPI],tblSafety[Date],$A33)</f>
        <v/>
      </c>
      <c r="GO33" s="62">
        <f>IF($B33=$B32,$GO32,0)+$GN33</f>
        <v/>
      </c>
      <c r="GP33" s="62">
        <f>$GP32+$GN33</f>
        <v/>
      </c>
      <c r="GQ33" s="62">
        <f>SUMIFS(tblSafety[Env_Incidents],tblSafety[Date],$A33)</f>
        <v/>
      </c>
      <c r="GR33" s="62">
        <f>IF($B33=$B32,$GR32,0)+$GQ33</f>
        <v/>
      </c>
      <c r="GS33" s="62">
        <f>$GS32+$GQ33</f>
        <v/>
      </c>
      <c r="GT33" s="62">
        <f>SUMIFS(tblSafety[Community_Incidents],tblSafety[Date],$A33)</f>
        <v/>
      </c>
      <c r="GU33" s="62">
        <f>IF($B33=$B32,$GU32,0)+$GT33</f>
        <v/>
      </c>
      <c r="GV33" s="62">
        <f>$GV32+$GT33</f>
        <v/>
      </c>
      <c r="GW33" s="62">
        <f>SUMIFS(tblSafety[Vehicle_Incidents],tblSafety[Date],$A33)</f>
        <v/>
      </c>
      <c r="GX33" s="62">
        <f>IF($B33=$B32,$GX32,0)+$GW33</f>
        <v/>
      </c>
      <c r="GY33" s="62">
        <f>$GY32+$GW33</f>
        <v/>
      </c>
      <c r="GZ33" s="62">
        <f>SUMIFS(tblSafety[Toolbox_Talks],tblSafety[Date],$A33)</f>
        <v/>
      </c>
      <c r="HA33" s="62">
        <f>IF($B33=$B32,$HA32,0)+$GZ33</f>
        <v/>
      </c>
      <c r="HB33" s="62">
        <f>$HB32+$GZ33</f>
        <v/>
      </c>
      <c r="HC33" s="62">
        <f>SUMIFS(tblSafety[Inspections],tblSafety[Date],$A33)</f>
        <v/>
      </c>
      <c r="HD33" s="62">
        <f>IF($B33=$B32,$HD32,0)+$HC33</f>
        <v/>
      </c>
      <c r="HE33" s="62">
        <f>$HE32+$HC33</f>
        <v/>
      </c>
      <c r="HF33" s="56">
        <f>IFERROR((SUMIFS(tblSafety[Recordables],tblSafety[Date],"&gt;="&amp;EDATE($E33,-12),tblSafety[Date],"&lt;="&amp;$A33)+SUMIFS(tblSafetyHistory[Recordables],tblSafetyHistory[Month],"&gt;="&amp;EDATE($E33,-12),tblSafetyHistory[Month],"&lt;"&amp;cfg_YearStart))/(SUMIFS(tblSafety[Hours_Total],tblSafety[Date],"&gt;="&amp;EDATE($E33,-12),tblSafety[Date],"&lt;="&amp;$A33)+SUMIFS(tblSafetyHistory[Hours_Total],tblSafetyHistory[Month],"&gt;="&amp;EDATE($E33,-12),tblSafetyHistory[Month],"&lt;"&amp;cfg_YearStart))*1000000,"")</f>
        <v/>
      </c>
      <c r="HG33" s="56">
        <f>IFERROR((SUMIFS(tblSafety[LTI],tblSafety[Date],"&gt;="&amp;EDATE($E33,-12),tblSafety[Date],"&lt;="&amp;$A33)+SUMIFS(tblSafetyHistory[LTI],tblSafetyHistory[Month],"&gt;="&amp;EDATE($E33,-12),tblSafetyHistory[Month],"&lt;"&amp;cfg_YearStart))/(SUMIFS(tblSafety[Hours_Total],tblSafety[Date],"&gt;="&amp;EDATE($E33,-12),tblSafety[Date],"&lt;="&amp;$A33)+SUMIFS(tblSafetyHistory[Hours_Total],tblSafetyHistory[Month],"&gt;="&amp;EDATE($E33,-12),tblSafetyHistory[Month],"&lt;"&amp;cfg_YearStart))*1000000,"")</f>
        <v/>
      </c>
      <c r="HH33" s="62">
        <f>IF(MAX(N(cfg_PriorLTIDate),_xlfn.MAXIFS(tblSafety[Date],tblSafety[LTI],"&gt;0",tblSafety[Date],"&lt;="&amp;$A33))=0,"",$A33-MAX(N(cfg_PriorLTIDate),_xlfn.MAXIFS(tblSafety[Date],tblSafety[LTI],"&gt;0",tblSafety[Date],"&lt;="&amp;$A33)))</f>
        <v/>
      </c>
      <c r="HI33" s="55">
        <f>SUMIFS(tblBudget[Ore_Mined_t],tblBudget[Month],$E33)</f>
        <v/>
      </c>
      <c r="HJ33" s="55">
        <f>$HI33*$C33/$D33</f>
        <v/>
      </c>
      <c r="HK33" s="55">
        <f>SUMIFS(tblBudget[Ore_Mined_t],tblBudget[Month],"&lt;"&amp;$E33)+$HJ33</f>
        <v/>
      </c>
      <c r="HL33" s="55">
        <f>SUMIFS(tblBudget[Ore_oz],tblBudget[Month],$E33)</f>
        <v/>
      </c>
      <c r="HM33" s="55">
        <f>$HL33*$C33/$D33</f>
        <v/>
      </c>
      <c r="HN33" s="55">
        <f>SUMIFS(tblBudget[Ore_oz],tblBudget[Month],"&lt;"&amp;$E33)+$HM33</f>
        <v/>
      </c>
      <c r="HO33" s="56">
        <f>IFERROR(IF(($HI33)&gt;0,($HL33*cfg_TroyOz)/($HI33),""),"")</f>
        <v/>
      </c>
      <c r="HP33" s="56">
        <f>IFERROR(IF(($HJ33)&gt;0,($HM33*cfg_TroyOz)/($HJ33),""),"")</f>
        <v/>
      </c>
      <c r="HQ33" s="56">
        <f>IFERROR(IF(($HK33)&gt;0,($HN33*cfg_TroyOz)/($HK33),""),"")</f>
        <v/>
      </c>
      <c r="HR33" s="55">
        <f>SUMIFS(tblBudget[Waste_t],tblBudget[Month],$E33)</f>
        <v/>
      </c>
      <c r="HS33" s="55">
        <f>$HR33*$C33/$D33</f>
        <v/>
      </c>
      <c r="HT33" s="55">
        <f>SUMIFS(tblBudget[Waste_t],tblBudget[Month],"&lt;"&amp;$E33)+$HS33</f>
        <v/>
      </c>
      <c r="HU33" s="55">
        <f>SUMIFS(tblBudget[TMM_t],tblBudget[Month],$E33)</f>
        <v/>
      </c>
      <c r="HV33" s="55">
        <f>$HU33*$C33/$D33</f>
        <v/>
      </c>
      <c r="HW33" s="55">
        <f>SUMIFS(tblBudget[TMM_t],tblBudget[Month],"&lt;"&amp;$E33)+$HV33</f>
        <v/>
      </c>
      <c r="HX33" s="56">
        <f>IFERROR(IF(($HI33)&gt;0,($HR33)/($HI33),""),"")</f>
        <v/>
      </c>
      <c r="HY33" s="56">
        <f>IFERROR(IF(($HJ33)&gt;0,($HS33)/($HJ33),""),"")</f>
        <v/>
      </c>
      <c r="HZ33" s="56">
        <f>IFERROR(IF(($HK33)&gt;0,($HT33)/($HK33),""),"")</f>
        <v/>
      </c>
      <c r="IA33" s="55">
        <f>SUMIFS(tblBudget[Drill_m],tblBudget[Month],$E33)</f>
        <v/>
      </c>
      <c r="IB33" s="55">
        <f>$IA33*$C33/$D33</f>
        <v/>
      </c>
      <c r="IC33" s="55">
        <f>SUMIFS(tblBudget[Drill_m],tblBudget[Month],"&lt;"&amp;$E33)+$IB33</f>
        <v/>
      </c>
      <c r="ID33" s="55">
        <f>SUMIFS(tblBudget[Diesel_L],tblBudget[Month],$E33)</f>
        <v/>
      </c>
      <c r="IE33" s="55">
        <f>$ID33*$C33/$D33</f>
        <v/>
      </c>
      <c r="IF33" s="55">
        <f>SUMIFS(tblBudget[Diesel_L],tblBudget[Month],"&lt;"&amp;$E33)+$IE33</f>
        <v/>
      </c>
      <c r="IG33" s="55">
        <f>SUMIFS(tblBudget[Milled_t],tblBudget[Month],$E33)</f>
        <v/>
      </c>
      <c r="IH33" s="55">
        <f>$IG33*$C33/$D33</f>
        <v/>
      </c>
      <c r="II33" s="55">
        <f>SUMIFS(tblBudget[Milled_t],tblBudget[Month],"&lt;"&amp;$E33)+$IH33</f>
        <v/>
      </c>
      <c r="IJ33" s="55">
        <f>SUMIFS(tblBudget[Feed_oz],tblBudget[Month],$E33)</f>
        <v/>
      </c>
      <c r="IK33" s="55">
        <f>$IJ33*$C33/$D33</f>
        <v/>
      </c>
      <c r="IL33" s="55">
        <f>SUMIFS(tblBudget[Feed_oz],tblBudget[Month],"&lt;"&amp;$E33)+$IK33</f>
        <v/>
      </c>
      <c r="IM33" s="55">
        <f>SUMIFS(tblBudget[Recovered_oz],tblBudget[Month],$E33)</f>
        <v/>
      </c>
      <c r="IN33" s="55">
        <f>$IM33*$C33/$D33</f>
        <v/>
      </c>
      <c r="IO33" s="55">
        <f>SUMIFS(tblBudget[Recovered_oz],tblBudget[Month],"&lt;"&amp;$E33)+$IN33</f>
        <v/>
      </c>
      <c r="IP33" s="56">
        <f>IFERROR(IF(($IG33)&gt;0,($IJ33*cfg_TroyOz)/($IG33),""),"")</f>
        <v/>
      </c>
      <c r="IQ33" s="56">
        <f>IFERROR(IF(($IH33)&gt;0,($IK33*cfg_TroyOz)/($IH33),""),"")</f>
        <v/>
      </c>
      <c r="IR33" s="56">
        <f>IFERROR(IF(($II33)&gt;0,($IL33*cfg_TroyOz)/($II33),""),"")</f>
        <v/>
      </c>
      <c r="IS33" s="67">
        <f>IFERROR(IF(($IJ33)&gt;0,($IM33)/($IJ33),""),"")</f>
        <v/>
      </c>
      <c r="IT33" s="67">
        <f>IFERROR(IF(($IK33)&gt;0,($IN33)/($IK33),""),"")</f>
        <v/>
      </c>
      <c r="IU33" s="67">
        <f>IFERROR(IF(($IL33)&gt;0,($IO33)/($IL33),""),"")</f>
        <v/>
      </c>
      <c r="IV33" s="55">
        <f>SUMIFS(tblBudget[Gold_Poured_oz],tblBudget[Month],$E33)</f>
        <v/>
      </c>
      <c r="IW33" s="55">
        <f>$IV33*$C33/$D33</f>
        <v/>
      </c>
      <c r="IX33" s="55">
        <f>SUMIFS(tblBudget[Gold_Poured_oz],tblBudget[Month],"&lt;"&amp;$E33)+$IW33</f>
        <v/>
      </c>
      <c r="IY33" s="57">
        <f>SUMIFS(tblBudget[Hours_Worked],tblBudget[Month],$E33)</f>
        <v/>
      </c>
      <c r="IZ33" s="57">
        <f>$IY33*$C33/$D33</f>
        <v/>
      </c>
      <c r="JA33" s="57">
        <f>SUMIFS(tblBudget[Hours_Worked],tblBudget[Month],"&lt;"&amp;$E33)+$IZ33</f>
        <v/>
      </c>
    </row>
    <row r="34">
      <c r="A34" s="54" t="n">
        <v>46055</v>
      </c>
      <c r="B34">
        <f>MONTH($A34)</f>
        <v/>
      </c>
      <c r="C34">
        <f>DAY($A34)</f>
        <v/>
      </c>
      <c r="D34">
        <f>DAY(EOMONTH($A34,0))</f>
        <v/>
      </c>
      <c r="E34" s="54">
        <f>DATE(YEAR($A34),MONTH($A34),1)</f>
        <v/>
      </c>
      <c r="F34" s="55">
        <f>SUMIFS(tblMovement[Tonnes_t],tblMovement[Date],$A34,tblMovement[Is_Ore],1,tblMovement[Source_Type],"Pit")</f>
        <v/>
      </c>
      <c r="G34" s="55">
        <f>IF($B34=$B33,$G33,0)+$F34</f>
        <v/>
      </c>
      <c r="H34" s="55">
        <f>$H33+$F34</f>
        <v/>
      </c>
      <c r="I34" s="55">
        <f>SUMIFS(tblMovement[Ore_oz],tblMovement[Date],$A34,tblMovement[Source_Type],"Pit")</f>
        <v/>
      </c>
      <c r="J34" s="55">
        <f>IF($B34=$B33,$J33,0)+$I34</f>
        <v/>
      </c>
      <c r="K34" s="55">
        <f>$K33+$I34</f>
        <v/>
      </c>
      <c r="L34" s="56">
        <f>IFERROR(IF(($F34)&gt;0,($I34*cfg_TroyOz)/($F34),""),"")</f>
        <v/>
      </c>
      <c r="M34" s="56">
        <f>IFERROR(IF(($G34)&gt;0,($J34*cfg_TroyOz)/($G34),""),"")</f>
        <v/>
      </c>
      <c r="N34" s="56">
        <f>IFERROR(IF(($H34)&gt;0,($K34*cfg_TroyOz)/($H34),""),"")</f>
        <v/>
      </c>
      <c r="O34" s="55">
        <f>SUMIFS(tblMovement[Tonnes_t],tblMovement[Date],$A34,tblMovement[Is_Ore],0,tblMovement[Source_Type],"Pit")</f>
        <v/>
      </c>
      <c r="P34" s="55">
        <f>IF($B34=$B33,$P33,0)+$O34</f>
        <v/>
      </c>
      <c r="Q34" s="55">
        <f>$Q33+$O34</f>
        <v/>
      </c>
      <c r="R34" s="55">
        <f>$F34+$O34</f>
        <v/>
      </c>
      <c r="S34" s="55">
        <f>IF($B34=$B33,$S33,0)+$R34</f>
        <v/>
      </c>
      <c r="T34" s="55">
        <f>$T33+$R34</f>
        <v/>
      </c>
      <c r="U34" s="56">
        <f>IFERROR(IF(($F34)&gt;0,($O34)/($F34),""),"")</f>
        <v/>
      </c>
      <c r="V34" s="56">
        <f>IFERROR(IF(($G34)&gt;0,($P34)/($G34),""),"")</f>
        <v/>
      </c>
      <c r="W34" s="56">
        <f>IFERROR(IF(($H34)&gt;0,($Q34)/($H34),""),"")</f>
        <v/>
      </c>
      <c r="X34" s="55">
        <f>SUMIFS(tblMovement[Tonnes_t],tblMovement[Date],$A34,tblMovement[Source_Type],"Stockpile")</f>
        <v/>
      </c>
      <c r="Y34" s="55">
        <f>IF($B34=$B33,$Y33,0)+$X34</f>
        <v/>
      </c>
      <c r="Z34" s="55">
        <f>$Z33+$X34</f>
        <v/>
      </c>
      <c r="AA34" s="55">
        <f>SUMIFS(tblMiningDaily[Drill_m],tblMiningDaily[Date],$A34)</f>
        <v/>
      </c>
      <c r="AB34" s="55">
        <f>IF($B34=$B33,$AB33,0)+$AA34</f>
        <v/>
      </c>
      <c r="AC34" s="55">
        <f>$AC33+$AA34</f>
        <v/>
      </c>
      <c r="AD34" s="55">
        <f>SUMIFS(tblMiningDaily[Blast_t],tblMiningDaily[Date],$A34)</f>
        <v/>
      </c>
      <c r="AE34" s="55">
        <f>IF($B34=$B33,$AE33,0)+$AD34</f>
        <v/>
      </c>
      <c r="AF34" s="55">
        <f>$AF33+$AD34</f>
        <v/>
      </c>
      <c r="AG34" s="55">
        <f>SUMIFS(tblMiningDaily[Explosives_kg],tblMiningDaily[Date],$A34)</f>
        <v/>
      </c>
      <c r="AH34" s="55">
        <f>IF($B34=$B33,$AH33,0)+$AG34</f>
        <v/>
      </c>
      <c r="AI34" s="55">
        <f>$AI33+$AG34</f>
        <v/>
      </c>
      <c r="AJ34" s="56">
        <f>IFERROR(IF(($AD34)&gt;0,($AG34)/($AD34),""),"")</f>
        <v/>
      </c>
      <c r="AK34" s="56">
        <f>IFERROR(IF(($AE34)&gt;0,($AH34)/($AE34),""),"")</f>
        <v/>
      </c>
      <c r="AL34" s="56">
        <f>IFERROR(IF(($AF34)&gt;0,($AI34)/($AF34),""),"")</f>
        <v/>
      </c>
      <c r="AM34" s="55">
        <f>SUMIFS(tblMiningDaily[Diesel_L],tblMiningDaily[Date],$A34)</f>
        <v/>
      </c>
      <c r="AN34" s="55">
        <f>IF($B34=$B33,$AN33,0)+$AM34</f>
        <v/>
      </c>
      <c r="AO34" s="55">
        <f>$AO33+$AM34</f>
        <v/>
      </c>
      <c r="AP34" s="55">
        <f>SUMIFS(tblMiningDaily[Dewatering_m3],tblMiningDaily[Date],$A34)</f>
        <v/>
      </c>
      <c r="AQ34" s="55">
        <f>IF($B34=$B33,$AQ33,0)+$AP34</f>
        <v/>
      </c>
      <c r="AR34" s="55">
        <f>$AR33+$AP34</f>
        <v/>
      </c>
      <c r="AS34" s="57">
        <f>SUMIFS(tblFleet[Calendar_h],tblFleet[Date],$A34,tblFleet[Equipment_Class],"Excavator")</f>
        <v/>
      </c>
      <c r="AT34" s="57">
        <f>IF($B34=$B33,$AT33,0)+$AS34</f>
        <v/>
      </c>
      <c r="AU34" s="57">
        <f>$AU33+$AS34</f>
        <v/>
      </c>
      <c r="AV34" s="57">
        <f>SUMIFS(tblFleet[Available_h],tblFleet[Date],$A34,tblFleet[Equipment_Class],"Excavator")</f>
        <v/>
      </c>
      <c r="AW34" s="57">
        <f>IF($B34=$B33,$AW33,0)+$AV34</f>
        <v/>
      </c>
      <c r="AX34" s="57">
        <f>$AX33+$AV34</f>
        <v/>
      </c>
      <c r="AY34" s="57">
        <f>SUMIFS(tblFleet[Operating_h],tblFleet[Date],$A34,tblFleet[Equipment_Class],"Excavator")</f>
        <v/>
      </c>
      <c r="AZ34" s="57">
        <f>IF($B34=$B33,$AZ33,0)+$AY34</f>
        <v/>
      </c>
      <c r="BA34" s="57">
        <f>$BA33+$AY34</f>
        <v/>
      </c>
      <c r="BB34" s="67">
        <f>IFERROR(IF(($AS34)&gt;0,($AV34)/($AS34),""),"")</f>
        <v/>
      </c>
      <c r="BC34" s="67">
        <f>IFERROR(IF(($AT34)&gt;0,($AW34)/($AT34),""),"")</f>
        <v/>
      </c>
      <c r="BD34" s="67">
        <f>IFERROR(IF(($AU34)&gt;0,($AX34)/($AU34),""),"")</f>
        <v/>
      </c>
      <c r="BE34" s="67">
        <f>IFERROR(IF(($AV34)&gt;0,($AY34)/($AV34),""),"")</f>
        <v/>
      </c>
      <c r="BF34" s="67">
        <f>IFERROR(IF(($AW34)&gt;0,($AZ34)/($AW34),""),"")</f>
        <v/>
      </c>
      <c r="BG34" s="67">
        <f>IFERROR(IF(($AX34)&gt;0,($BA34)/($AX34),""),"")</f>
        <v/>
      </c>
      <c r="BH34" s="57">
        <f>SUMIFS(tblFleet[Calendar_h],tblFleet[Date],$A34,tblFleet[Equipment_Class],"Haul Truck")</f>
        <v/>
      </c>
      <c r="BI34" s="57">
        <f>IF($B34=$B33,$BI33,0)+$BH34</f>
        <v/>
      </c>
      <c r="BJ34" s="57">
        <f>$BJ33+$BH34</f>
        <v/>
      </c>
      <c r="BK34" s="57">
        <f>SUMIFS(tblFleet[Available_h],tblFleet[Date],$A34,tblFleet[Equipment_Class],"Haul Truck")</f>
        <v/>
      </c>
      <c r="BL34" s="57">
        <f>IF($B34=$B33,$BL33,0)+$BK34</f>
        <v/>
      </c>
      <c r="BM34" s="57">
        <f>$BM33+$BK34</f>
        <v/>
      </c>
      <c r="BN34" s="57">
        <f>SUMIFS(tblFleet[Operating_h],tblFleet[Date],$A34,tblFleet[Equipment_Class],"Haul Truck")</f>
        <v/>
      </c>
      <c r="BO34" s="57">
        <f>IF($B34=$B33,$BO33,0)+$BN34</f>
        <v/>
      </c>
      <c r="BP34" s="57">
        <f>$BP33+$BN34</f>
        <v/>
      </c>
      <c r="BQ34" s="67">
        <f>IFERROR(IF(($BH34)&gt;0,($BK34)/($BH34),""),"")</f>
        <v/>
      </c>
      <c r="BR34" s="67">
        <f>IFERROR(IF(($BI34)&gt;0,($BL34)/($BI34),""),"")</f>
        <v/>
      </c>
      <c r="BS34" s="67">
        <f>IFERROR(IF(($BJ34)&gt;0,($BM34)/($BJ34),""),"")</f>
        <v/>
      </c>
      <c r="BT34" s="67">
        <f>IFERROR(IF(($BK34)&gt;0,($BN34)/($BK34),""),"")</f>
        <v/>
      </c>
      <c r="BU34" s="67">
        <f>IFERROR(IF(($BL34)&gt;0,($BO34)/($BL34),""),"")</f>
        <v/>
      </c>
      <c r="BV34" s="67">
        <f>IFERROR(IF(($BM34)&gt;0,($BP34)/($BM34),""),"")</f>
        <v/>
      </c>
      <c r="BW34" s="55">
        <f>SUMIFS(tblPlant[Crushed_t],tblPlant[Date],$A34)</f>
        <v/>
      </c>
      <c r="BX34" s="55">
        <f>IF($B34=$B33,$BX33,0)+$BW34</f>
        <v/>
      </c>
      <c r="BY34" s="55">
        <f>$BY33+$BW34</f>
        <v/>
      </c>
      <c r="BZ34" s="55">
        <f>SUMIFS(tblPlant[Milled_t],tblPlant[Date],$A34)</f>
        <v/>
      </c>
      <c r="CA34" s="55">
        <f>IF($B34=$B33,$CA33,0)+$BZ34</f>
        <v/>
      </c>
      <c r="CB34" s="55">
        <f>$CB33+$BZ34</f>
        <v/>
      </c>
      <c r="CC34" s="55">
        <f>SUMIFS(tblPlant[Feed_oz],tblPlant[Date],$A34)</f>
        <v/>
      </c>
      <c r="CD34" s="55">
        <f>IF($B34=$B33,$CD33,0)+$CC34</f>
        <v/>
      </c>
      <c r="CE34" s="55">
        <f>$CE33+$CC34</f>
        <v/>
      </c>
      <c r="CF34" s="55">
        <f>SUMIFS(tblPlant[Tails_oz],tblPlant[Date],$A34)</f>
        <v/>
      </c>
      <c r="CG34" s="55">
        <f>IF($B34=$B33,$CG33,0)+$CF34</f>
        <v/>
      </c>
      <c r="CH34" s="55">
        <f>$CH33+$CF34</f>
        <v/>
      </c>
      <c r="CI34" s="55">
        <f>SUMIFS(tblPlant[Recovered_oz],tblPlant[Date],$A34)</f>
        <v/>
      </c>
      <c r="CJ34" s="55">
        <f>IF($B34=$B33,$CJ33,0)+$CI34</f>
        <v/>
      </c>
      <c r="CK34" s="55">
        <f>$CK33+$CI34</f>
        <v/>
      </c>
      <c r="CL34" s="56">
        <f>IFERROR(IF(($BZ34)&gt;0,($CC34*cfg_TroyOz)/($BZ34),""),"")</f>
        <v/>
      </c>
      <c r="CM34" s="56">
        <f>IFERROR(IF(($CA34)&gt;0,($CD34*cfg_TroyOz)/($CA34),""),"")</f>
        <v/>
      </c>
      <c r="CN34" s="56">
        <f>IFERROR(IF(($CB34)&gt;0,($CE34*cfg_TroyOz)/($CB34),""),"")</f>
        <v/>
      </c>
      <c r="CO34" s="56">
        <f>IFERROR(IF(($BZ34)&gt;0,($CF34*cfg_TroyOz)/($BZ34),""),"")</f>
        <v/>
      </c>
      <c r="CP34" s="56">
        <f>IFERROR(IF(($CA34)&gt;0,($CG34*cfg_TroyOz)/($CA34),""),"")</f>
        <v/>
      </c>
      <c r="CQ34" s="56">
        <f>IFERROR(IF(($CB34)&gt;0,($CH34*cfg_TroyOz)/($CB34),""),"")</f>
        <v/>
      </c>
      <c r="CR34" s="67">
        <f>IFERROR(IF(($CC34)&gt;0,($CI34)/($CC34),""),"")</f>
        <v/>
      </c>
      <c r="CS34" s="67">
        <f>IFERROR(IF(($CD34)&gt;0,($CJ34)/($CD34),""),"")</f>
        <v/>
      </c>
      <c r="CT34" s="67">
        <f>IFERROR(IF(($CE34)&gt;0,($CK34)/($CE34),""),"")</f>
        <v/>
      </c>
      <c r="CU34" s="55">
        <f>SUMIFS(tblPlant[Gravity_Gold_oz],tblPlant[Date],$A34)</f>
        <v/>
      </c>
      <c r="CV34" s="55">
        <f>IF($B34=$B33,$CV33,0)+$CU34</f>
        <v/>
      </c>
      <c r="CW34" s="55">
        <f>$CW33+$CU34</f>
        <v/>
      </c>
      <c r="CX34" s="55">
        <f>SUMIFS(tblPlant[Gold_Poured_oz],tblPlant[Date],$A34)</f>
        <v/>
      </c>
      <c r="CY34" s="55">
        <f>IF($B34=$B33,$CY33,0)+$CX34</f>
        <v/>
      </c>
      <c r="CZ34" s="55">
        <f>$CZ33+$CX34</f>
        <v/>
      </c>
      <c r="DA34" s="57">
        <f>SUMIFS(tblPlant[Mill_Run_h],tblPlant[Date],$A34)</f>
        <v/>
      </c>
      <c r="DB34" s="57">
        <f>IF($B34=$B33,$DB33,0)+$DA34</f>
        <v/>
      </c>
      <c r="DC34" s="57">
        <f>$DC33+$DA34</f>
        <v/>
      </c>
      <c r="DD34" s="57">
        <f>SUMIFS(tblPlant[Mill_Planned_Maint_h],tblPlant[Date],$A34)</f>
        <v/>
      </c>
      <c r="DE34" s="57">
        <f>IF($B34=$B33,$DE33,0)+$DD34</f>
        <v/>
      </c>
      <c r="DF34" s="57">
        <f>$DF33+$DD34</f>
        <v/>
      </c>
      <c r="DG34" s="57">
        <f>SUMIFS(tblPlant[Mill_Unplanned_Down_h],tblPlant[Date],$A34)</f>
        <v/>
      </c>
      <c r="DH34" s="57">
        <f>IF($B34=$B33,$DH33,0)+$DG34</f>
        <v/>
      </c>
      <c r="DI34" s="57">
        <f>$DI33+$DG34</f>
        <v/>
      </c>
      <c r="DJ34" s="57">
        <f>COUNTIFS(tblPlant[Date],$A34,tblPlant[Mill_Run_h],"&lt;&gt;")*24</f>
        <v/>
      </c>
      <c r="DK34" s="57">
        <f>IF($B34=$B33,$DK33,0)+$DJ34</f>
        <v/>
      </c>
      <c r="DL34" s="57">
        <f>$DL33+$DJ34</f>
        <v/>
      </c>
      <c r="DM34" s="57">
        <f>SUMIFS(tblPlant[Crusher_Run_h],tblPlant[Date],$A34)</f>
        <v/>
      </c>
      <c r="DN34" s="57">
        <f>IF($B34=$B33,$DN33,0)+$DM34</f>
        <v/>
      </c>
      <c r="DO34" s="57">
        <f>$DO33+$DM34</f>
        <v/>
      </c>
      <c r="DP34" s="55">
        <f>IFERROR(IF(($DA34)&gt;0,($BZ34)/($DA34),""),"")</f>
        <v/>
      </c>
      <c r="DQ34" s="55">
        <f>IFERROR(IF(($DB34)&gt;0,($CA34)/($DB34),""),"")</f>
        <v/>
      </c>
      <c r="DR34" s="55">
        <f>IFERROR(IF(($DC34)&gt;0,($CB34)/($DC34),""),"")</f>
        <v/>
      </c>
      <c r="DS34" s="67">
        <f>IFERROR(IF(($DJ34)&gt;0,($DJ34-$DD34-$DG34)/($DJ34),""),"")</f>
        <v/>
      </c>
      <c r="DT34" s="67">
        <f>IFERROR(IF(($DK34)&gt;0,($DK34-$DE34-$DH34)/($DK34),""),"")</f>
        <v/>
      </c>
      <c r="DU34" s="67">
        <f>IFERROR(IF(($DL34)&gt;0,($DL34-$DF34-$DI34)/($DL34),""),"")</f>
        <v/>
      </c>
      <c r="DV34" s="67">
        <f>IFERROR(IF(($DJ34-$DD34-$DG34)&gt;0,($DA34)/($DJ34-$DD34-$DG34),""),"")</f>
        <v/>
      </c>
      <c r="DW34" s="67">
        <f>IFERROR(IF(($DK34-$DE34-$DH34)&gt;0,($DB34)/($DK34-$DE34-$DH34),""),"")</f>
        <v/>
      </c>
      <c r="DX34" s="67">
        <f>IFERROR(IF(($DL34-$DF34-$DI34)&gt;0,($DC34)/($DL34-$DF34-$DI34),""),"")</f>
        <v/>
      </c>
      <c r="DY34" s="55">
        <f>SUMIFS(tblPlant[Cyanide_kg],tblPlant[Date],$A34)</f>
        <v/>
      </c>
      <c r="DZ34" s="55">
        <f>IF($B34=$B33,$DZ33,0)+$DY34</f>
        <v/>
      </c>
      <c r="EA34" s="55">
        <f>$EA33+$DY34</f>
        <v/>
      </c>
      <c r="EB34" s="55">
        <f>SUMIFS(tblPlant[Lime_kg],tblPlant[Date],$A34)</f>
        <v/>
      </c>
      <c r="EC34" s="55">
        <f>IF($B34=$B33,$EC33,0)+$EB34</f>
        <v/>
      </c>
      <c r="ED34" s="55">
        <f>$ED33+$EB34</f>
        <v/>
      </c>
      <c r="EE34" s="55">
        <f>SUMIFS(tblPlant[Grinding_Media_kg],tblPlant[Date],$A34)</f>
        <v/>
      </c>
      <c r="EF34" s="55">
        <f>IF($B34=$B33,$EF33,0)+$EE34</f>
        <v/>
      </c>
      <c r="EG34" s="55">
        <f>$EG33+$EE34</f>
        <v/>
      </c>
      <c r="EH34" s="55">
        <f>SUMIFS(tblPlant[Power_kWh],tblPlant[Date],$A34)</f>
        <v/>
      </c>
      <c r="EI34" s="55">
        <f>IF($B34=$B33,$EI33,0)+$EH34</f>
        <v/>
      </c>
      <c r="EJ34" s="55">
        <f>$EJ33+$EH34</f>
        <v/>
      </c>
      <c r="EK34" s="55">
        <f>SUMIFS(tblPlant[Raw_Water_m3],tblPlant[Date],$A34)</f>
        <v/>
      </c>
      <c r="EL34" s="55">
        <f>IF($B34=$B33,$EL33,0)+$EK34</f>
        <v/>
      </c>
      <c r="EM34" s="55">
        <f>$EM33+$EK34</f>
        <v/>
      </c>
      <c r="EN34" s="56">
        <f>IFERROR(IF(($BZ34)&gt;0,($DY34)/($BZ34),""),"")</f>
        <v/>
      </c>
      <c r="EO34" s="56">
        <f>IFERROR(IF(($CA34)&gt;0,($DZ34)/($CA34),""),"")</f>
        <v/>
      </c>
      <c r="EP34" s="56">
        <f>IFERROR(IF(($CB34)&gt;0,($EA34)/($CB34),""),"")</f>
        <v/>
      </c>
      <c r="EQ34" s="56">
        <f>IFERROR(IF(($BZ34)&gt;0,($EB34)/($BZ34),""),"")</f>
        <v/>
      </c>
      <c r="ER34" s="56">
        <f>IFERROR(IF(($CA34)&gt;0,($EC34)/($CA34),""),"")</f>
        <v/>
      </c>
      <c r="ES34" s="56">
        <f>IFERROR(IF(($CB34)&gt;0,($ED34)/($CB34),""),"")</f>
        <v/>
      </c>
      <c r="ET34" s="56">
        <f>IFERROR(IF(($BZ34)&gt;0,($EE34)/($BZ34),""),"")</f>
        <v/>
      </c>
      <c r="EU34" s="56">
        <f>IFERROR(IF(($CA34)&gt;0,($EF34)/($CA34),""),"")</f>
        <v/>
      </c>
      <c r="EV34" s="56">
        <f>IFERROR(IF(($CB34)&gt;0,($EG34)/($CB34),""),"")</f>
        <v/>
      </c>
      <c r="EW34" s="76">
        <f>IFERROR(IF(($BZ34)&gt;0,($EH34)/($BZ34),""),"")</f>
        <v/>
      </c>
      <c r="EX34" s="76">
        <f>IFERROR(IF(($CA34)&gt;0,($EI34)/($CA34),""),"")</f>
        <v/>
      </c>
      <c r="EY34" s="76">
        <f>IFERROR(IF(($CB34)&gt;0,($EJ34)/($CB34),""),"")</f>
        <v/>
      </c>
      <c r="EZ34" s="56">
        <f>IFERROR(IF(($BZ34)&gt;0,($EK34)/($BZ34),""),"")</f>
        <v/>
      </c>
      <c r="FA34" s="56">
        <f>IFERROR(IF(($CA34)&gt;0,($EL34)/($CA34),""),"")</f>
        <v/>
      </c>
      <c r="FB34" s="56">
        <f>IFERROR(IF(($CB34)&gt;0,($EM34)/($CB34),""),"")</f>
        <v/>
      </c>
      <c r="FC34" s="55">
        <f>IF(SUMIFS(tblPlant[GIC_oz],tblPlant[Date],$A34)&gt;0,SUMIFS(tblPlant[GIC_oz],tblPlant[Date],$A34),"")</f>
        <v/>
      </c>
      <c r="FD34" s="55">
        <f>SUMIFS(tblGold[Gold_oz],tblGold[Date],$A34,tblGold[Type],"Shipment")</f>
        <v/>
      </c>
      <c r="FE34" s="55">
        <f>IF($B34=$B33,$FE33,0)+$FD34</f>
        <v/>
      </c>
      <c r="FF34" s="55">
        <f>$FF33+$FD34</f>
        <v/>
      </c>
      <c r="FG34" s="55">
        <f>SUMIFS(tblGold[Gold_oz],tblGold[Date],$A34,tblGold[Type],"Sale")</f>
        <v/>
      </c>
      <c r="FH34" s="55">
        <f>IF($B34=$B33,$FH33,0)+$FG34</f>
        <v/>
      </c>
      <c r="FI34" s="55">
        <f>$FI33+$FG34</f>
        <v/>
      </c>
      <c r="FJ34" s="55">
        <f>SUMIFS(tblGold[Dore_kg],tblGold[Date],$A34,tblGold[Type],"Shipment")</f>
        <v/>
      </c>
      <c r="FK34" s="55">
        <f>IF($B34=$B33,$FK33,0)+$FJ34</f>
        <v/>
      </c>
      <c r="FL34" s="55">
        <f>$FL33+$FJ34</f>
        <v/>
      </c>
      <c r="FM34" s="57">
        <f>SUMIFS(tblSafety[Hours_Total],tblSafety[Date],$A34)</f>
        <v/>
      </c>
      <c r="FN34" s="57">
        <f>IF($B34=$B33,$FN33,0)+$FM34</f>
        <v/>
      </c>
      <c r="FO34" s="57">
        <f>$FO33+$FM34</f>
        <v/>
      </c>
      <c r="FP34" s="62">
        <f>SUMIFS(tblSafety[Fatality],tblSafety[Date],$A34)</f>
        <v/>
      </c>
      <c r="FQ34" s="62">
        <f>IF($B34=$B33,$FQ33,0)+$FP34</f>
        <v/>
      </c>
      <c r="FR34" s="62">
        <f>$FR33+$FP34</f>
        <v/>
      </c>
      <c r="FS34" s="62">
        <f>SUMIFS(tblSafety[LTI],tblSafety[Date],$A34)</f>
        <v/>
      </c>
      <c r="FT34" s="62">
        <f>IF($B34=$B33,$FT33,0)+$FS34</f>
        <v/>
      </c>
      <c r="FU34" s="62">
        <f>$FU33+$FS34</f>
        <v/>
      </c>
      <c r="FV34" s="62">
        <f>SUMIFS(tblSafety[RWI],tblSafety[Date],$A34)</f>
        <v/>
      </c>
      <c r="FW34" s="62">
        <f>IF($B34=$B33,$FW33,0)+$FV34</f>
        <v/>
      </c>
      <c r="FX34" s="62">
        <f>$FX33+$FV34</f>
        <v/>
      </c>
      <c r="FY34" s="62">
        <f>SUMIFS(tblSafety[MTI],tblSafety[Date],$A34)</f>
        <v/>
      </c>
      <c r="FZ34" s="62">
        <f>IF($B34=$B33,$FZ33,0)+$FY34</f>
        <v/>
      </c>
      <c r="GA34" s="62">
        <f>$GA33+$FY34</f>
        <v/>
      </c>
      <c r="GB34" s="62">
        <f>SUMIFS(tblSafety[FAI],tblSafety[Date],$A34)</f>
        <v/>
      </c>
      <c r="GC34" s="62">
        <f>IF($B34=$B33,$GC33,0)+$GB34</f>
        <v/>
      </c>
      <c r="GD34" s="62">
        <f>$GD33+$GB34</f>
        <v/>
      </c>
      <c r="GE34" s="62">
        <f>SUMIFS(tblSafety[Recordables],tblSafety[Date],$A34)</f>
        <v/>
      </c>
      <c r="GF34" s="62">
        <f>IF($B34=$B33,$GF33,0)+$GE34</f>
        <v/>
      </c>
      <c r="GG34" s="62">
        <f>$GG33+$GE34</f>
        <v/>
      </c>
      <c r="GH34" s="62">
        <f>SUMIFS(tblSafety[Near_Miss],tblSafety[Date],$A34)</f>
        <v/>
      </c>
      <c r="GI34" s="62">
        <f>IF($B34=$B33,$GI33,0)+$GH34</f>
        <v/>
      </c>
      <c r="GJ34" s="62">
        <f>$GJ33+$GH34</f>
        <v/>
      </c>
      <c r="GK34" s="62">
        <f>SUMIFS(tblSafety[Hazard_Reports],tblSafety[Date],$A34)</f>
        <v/>
      </c>
      <c r="GL34" s="62">
        <f>IF($B34=$B33,$GL33,0)+$GK34</f>
        <v/>
      </c>
      <c r="GM34" s="62">
        <f>$GM33+$GK34</f>
        <v/>
      </c>
      <c r="GN34" s="62">
        <f>SUMIFS(tblSafety[HPI],tblSafety[Date],$A34)</f>
        <v/>
      </c>
      <c r="GO34" s="62">
        <f>IF($B34=$B33,$GO33,0)+$GN34</f>
        <v/>
      </c>
      <c r="GP34" s="62">
        <f>$GP33+$GN34</f>
        <v/>
      </c>
      <c r="GQ34" s="62">
        <f>SUMIFS(tblSafety[Env_Incidents],tblSafety[Date],$A34)</f>
        <v/>
      </c>
      <c r="GR34" s="62">
        <f>IF($B34=$B33,$GR33,0)+$GQ34</f>
        <v/>
      </c>
      <c r="GS34" s="62">
        <f>$GS33+$GQ34</f>
        <v/>
      </c>
      <c r="GT34" s="62">
        <f>SUMIFS(tblSafety[Community_Incidents],tblSafety[Date],$A34)</f>
        <v/>
      </c>
      <c r="GU34" s="62">
        <f>IF($B34=$B33,$GU33,0)+$GT34</f>
        <v/>
      </c>
      <c r="GV34" s="62">
        <f>$GV33+$GT34</f>
        <v/>
      </c>
      <c r="GW34" s="62">
        <f>SUMIFS(tblSafety[Vehicle_Incidents],tblSafety[Date],$A34)</f>
        <v/>
      </c>
      <c r="GX34" s="62">
        <f>IF($B34=$B33,$GX33,0)+$GW34</f>
        <v/>
      </c>
      <c r="GY34" s="62">
        <f>$GY33+$GW34</f>
        <v/>
      </c>
      <c r="GZ34" s="62">
        <f>SUMIFS(tblSafety[Toolbox_Talks],tblSafety[Date],$A34)</f>
        <v/>
      </c>
      <c r="HA34" s="62">
        <f>IF($B34=$B33,$HA33,0)+$GZ34</f>
        <v/>
      </c>
      <c r="HB34" s="62">
        <f>$HB33+$GZ34</f>
        <v/>
      </c>
      <c r="HC34" s="62">
        <f>SUMIFS(tblSafety[Inspections],tblSafety[Date],$A34)</f>
        <v/>
      </c>
      <c r="HD34" s="62">
        <f>IF($B34=$B33,$HD33,0)+$HC34</f>
        <v/>
      </c>
      <c r="HE34" s="62">
        <f>$HE33+$HC34</f>
        <v/>
      </c>
      <c r="HF34" s="56">
        <f>IFERROR((SUMIFS(tblSafety[Recordables],tblSafety[Date],"&gt;="&amp;EDATE($E34,-12),tblSafety[Date],"&lt;="&amp;$A34)+SUMIFS(tblSafetyHistory[Recordables],tblSafetyHistory[Month],"&gt;="&amp;EDATE($E34,-12),tblSafetyHistory[Month],"&lt;"&amp;cfg_YearStart))/(SUMIFS(tblSafety[Hours_Total],tblSafety[Date],"&gt;="&amp;EDATE($E34,-12),tblSafety[Date],"&lt;="&amp;$A34)+SUMIFS(tblSafetyHistory[Hours_Total],tblSafetyHistory[Month],"&gt;="&amp;EDATE($E34,-12),tblSafetyHistory[Month],"&lt;"&amp;cfg_YearStart))*1000000,"")</f>
        <v/>
      </c>
      <c r="HG34" s="56">
        <f>IFERROR((SUMIFS(tblSafety[LTI],tblSafety[Date],"&gt;="&amp;EDATE($E34,-12),tblSafety[Date],"&lt;="&amp;$A34)+SUMIFS(tblSafetyHistory[LTI],tblSafetyHistory[Month],"&gt;="&amp;EDATE($E34,-12),tblSafetyHistory[Month],"&lt;"&amp;cfg_YearStart))/(SUMIFS(tblSafety[Hours_Total],tblSafety[Date],"&gt;="&amp;EDATE($E34,-12),tblSafety[Date],"&lt;="&amp;$A34)+SUMIFS(tblSafetyHistory[Hours_Total],tblSafetyHistory[Month],"&gt;="&amp;EDATE($E34,-12),tblSafetyHistory[Month],"&lt;"&amp;cfg_YearStart))*1000000,"")</f>
        <v/>
      </c>
      <c r="HH34" s="62">
        <f>IF(MAX(N(cfg_PriorLTIDate),_xlfn.MAXIFS(tblSafety[Date],tblSafety[LTI],"&gt;0",tblSafety[Date],"&lt;="&amp;$A34))=0,"",$A34-MAX(N(cfg_PriorLTIDate),_xlfn.MAXIFS(tblSafety[Date],tblSafety[LTI],"&gt;0",tblSafety[Date],"&lt;="&amp;$A34)))</f>
        <v/>
      </c>
      <c r="HI34" s="55">
        <f>SUMIFS(tblBudget[Ore_Mined_t],tblBudget[Month],$E34)</f>
        <v/>
      </c>
      <c r="HJ34" s="55">
        <f>$HI34*$C34/$D34</f>
        <v/>
      </c>
      <c r="HK34" s="55">
        <f>SUMIFS(tblBudget[Ore_Mined_t],tblBudget[Month],"&lt;"&amp;$E34)+$HJ34</f>
        <v/>
      </c>
      <c r="HL34" s="55">
        <f>SUMIFS(tblBudget[Ore_oz],tblBudget[Month],$E34)</f>
        <v/>
      </c>
      <c r="HM34" s="55">
        <f>$HL34*$C34/$D34</f>
        <v/>
      </c>
      <c r="HN34" s="55">
        <f>SUMIFS(tblBudget[Ore_oz],tblBudget[Month],"&lt;"&amp;$E34)+$HM34</f>
        <v/>
      </c>
      <c r="HO34" s="56">
        <f>IFERROR(IF(($HI34)&gt;0,($HL34*cfg_TroyOz)/($HI34),""),"")</f>
        <v/>
      </c>
      <c r="HP34" s="56">
        <f>IFERROR(IF(($HJ34)&gt;0,($HM34*cfg_TroyOz)/($HJ34),""),"")</f>
        <v/>
      </c>
      <c r="HQ34" s="56">
        <f>IFERROR(IF(($HK34)&gt;0,($HN34*cfg_TroyOz)/($HK34),""),"")</f>
        <v/>
      </c>
      <c r="HR34" s="55">
        <f>SUMIFS(tblBudget[Waste_t],tblBudget[Month],$E34)</f>
        <v/>
      </c>
      <c r="HS34" s="55">
        <f>$HR34*$C34/$D34</f>
        <v/>
      </c>
      <c r="HT34" s="55">
        <f>SUMIFS(tblBudget[Waste_t],tblBudget[Month],"&lt;"&amp;$E34)+$HS34</f>
        <v/>
      </c>
      <c r="HU34" s="55">
        <f>SUMIFS(tblBudget[TMM_t],tblBudget[Month],$E34)</f>
        <v/>
      </c>
      <c r="HV34" s="55">
        <f>$HU34*$C34/$D34</f>
        <v/>
      </c>
      <c r="HW34" s="55">
        <f>SUMIFS(tblBudget[TMM_t],tblBudget[Month],"&lt;"&amp;$E34)+$HV34</f>
        <v/>
      </c>
      <c r="HX34" s="56">
        <f>IFERROR(IF(($HI34)&gt;0,($HR34)/($HI34),""),"")</f>
        <v/>
      </c>
      <c r="HY34" s="56">
        <f>IFERROR(IF(($HJ34)&gt;0,($HS34)/($HJ34),""),"")</f>
        <v/>
      </c>
      <c r="HZ34" s="56">
        <f>IFERROR(IF(($HK34)&gt;0,($HT34)/($HK34),""),"")</f>
        <v/>
      </c>
      <c r="IA34" s="55">
        <f>SUMIFS(tblBudget[Drill_m],tblBudget[Month],$E34)</f>
        <v/>
      </c>
      <c r="IB34" s="55">
        <f>$IA34*$C34/$D34</f>
        <v/>
      </c>
      <c r="IC34" s="55">
        <f>SUMIFS(tblBudget[Drill_m],tblBudget[Month],"&lt;"&amp;$E34)+$IB34</f>
        <v/>
      </c>
      <c r="ID34" s="55">
        <f>SUMIFS(tblBudget[Diesel_L],tblBudget[Month],$E34)</f>
        <v/>
      </c>
      <c r="IE34" s="55">
        <f>$ID34*$C34/$D34</f>
        <v/>
      </c>
      <c r="IF34" s="55">
        <f>SUMIFS(tblBudget[Diesel_L],tblBudget[Month],"&lt;"&amp;$E34)+$IE34</f>
        <v/>
      </c>
      <c r="IG34" s="55">
        <f>SUMIFS(tblBudget[Milled_t],tblBudget[Month],$E34)</f>
        <v/>
      </c>
      <c r="IH34" s="55">
        <f>$IG34*$C34/$D34</f>
        <v/>
      </c>
      <c r="II34" s="55">
        <f>SUMIFS(tblBudget[Milled_t],tblBudget[Month],"&lt;"&amp;$E34)+$IH34</f>
        <v/>
      </c>
      <c r="IJ34" s="55">
        <f>SUMIFS(tblBudget[Feed_oz],tblBudget[Month],$E34)</f>
        <v/>
      </c>
      <c r="IK34" s="55">
        <f>$IJ34*$C34/$D34</f>
        <v/>
      </c>
      <c r="IL34" s="55">
        <f>SUMIFS(tblBudget[Feed_oz],tblBudget[Month],"&lt;"&amp;$E34)+$IK34</f>
        <v/>
      </c>
      <c r="IM34" s="55">
        <f>SUMIFS(tblBudget[Recovered_oz],tblBudget[Month],$E34)</f>
        <v/>
      </c>
      <c r="IN34" s="55">
        <f>$IM34*$C34/$D34</f>
        <v/>
      </c>
      <c r="IO34" s="55">
        <f>SUMIFS(tblBudget[Recovered_oz],tblBudget[Month],"&lt;"&amp;$E34)+$IN34</f>
        <v/>
      </c>
      <c r="IP34" s="56">
        <f>IFERROR(IF(($IG34)&gt;0,($IJ34*cfg_TroyOz)/($IG34),""),"")</f>
        <v/>
      </c>
      <c r="IQ34" s="56">
        <f>IFERROR(IF(($IH34)&gt;0,($IK34*cfg_TroyOz)/($IH34),""),"")</f>
        <v/>
      </c>
      <c r="IR34" s="56">
        <f>IFERROR(IF(($II34)&gt;0,($IL34*cfg_TroyOz)/($II34),""),"")</f>
        <v/>
      </c>
      <c r="IS34" s="67">
        <f>IFERROR(IF(($IJ34)&gt;0,($IM34)/($IJ34),""),"")</f>
        <v/>
      </c>
      <c r="IT34" s="67">
        <f>IFERROR(IF(($IK34)&gt;0,($IN34)/($IK34),""),"")</f>
        <v/>
      </c>
      <c r="IU34" s="67">
        <f>IFERROR(IF(($IL34)&gt;0,($IO34)/($IL34),""),"")</f>
        <v/>
      </c>
      <c r="IV34" s="55">
        <f>SUMIFS(tblBudget[Gold_Poured_oz],tblBudget[Month],$E34)</f>
        <v/>
      </c>
      <c r="IW34" s="55">
        <f>$IV34*$C34/$D34</f>
        <v/>
      </c>
      <c r="IX34" s="55">
        <f>SUMIFS(tblBudget[Gold_Poured_oz],tblBudget[Month],"&lt;"&amp;$E34)+$IW34</f>
        <v/>
      </c>
      <c r="IY34" s="57">
        <f>SUMIFS(tblBudget[Hours_Worked],tblBudget[Month],$E34)</f>
        <v/>
      </c>
      <c r="IZ34" s="57">
        <f>$IY34*$C34/$D34</f>
        <v/>
      </c>
      <c r="JA34" s="57">
        <f>SUMIFS(tblBudget[Hours_Worked],tblBudget[Month],"&lt;"&amp;$E34)+$IZ34</f>
        <v/>
      </c>
    </row>
    <row r="35">
      <c r="A35" s="54" t="n">
        <v>46056</v>
      </c>
      <c r="B35">
        <f>MONTH($A35)</f>
        <v/>
      </c>
      <c r="C35">
        <f>DAY($A35)</f>
        <v/>
      </c>
      <c r="D35">
        <f>DAY(EOMONTH($A35,0))</f>
        <v/>
      </c>
      <c r="E35" s="54">
        <f>DATE(YEAR($A35),MONTH($A35),1)</f>
        <v/>
      </c>
      <c r="F35" s="55">
        <f>SUMIFS(tblMovement[Tonnes_t],tblMovement[Date],$A35,tblMovement[Is_Ore],1,tblMovement[Source_Type],"Pit")</f>
        <v/>
      </c>
      <c r="G35" s="55">
        <f>IF($B35=$B34,$G34,0)+$F35</f>
        <v/>
      </c>
      <c r="H35" s="55">
        <f>$H34+$F35</f>
        <v/>
      </c>
      <c r="I35" s="55">
        <f>SUMIFS(tblMovement[Ore_oz],tblMovement[Date],$A35,tblMovement[Source_Type],"Pit")</f>
        <v/>
      </c>
      <c r="J35" s="55">
        <f>IF($B35=$B34,$J34,0)+$I35</f>
        <v/>
      </c>
      <c r="K35" s="55">
        <f>$K34+$I35</f>
        <v/>
      </c>
      <c r="L35" s="56">
        <f>IFERROR(IF(($F35)&gt;0,($I35*cfg_TroyOz)/($F35),""),"")</f>
        <v/>
      </c>
      <c r="M35" s="56">
        <f>IFERROR(IF(($G35)&gt;0,($J35*cfg_TroyOz)/($G35),""),"")</f>
        <v/>
      </c>
      <c r="N35" s="56">
        <f>IFERROR(IF(($H35)&gt;0,($K35*cfg_TroyOz)/($H35),""),"")</f>
        <v/>
      </c>
      <c r="O35" s="55">
        <f>SUMIFS(tblMovement[Tonnes_t],tblMovement[Date],$A35,tblMovement[Is_Ore],0,tblMovement[Source_Type],"Pit")</f>
        <v/>
      </c>
      <c r="P35" s="55">
        <f>IF($B35=$B34,$P34,0)+$O35</f>
        <v/>
      </c>
      <c r="Q35" s="55">
        <f>$Q34+$O35</f>
        <v/>
      </c>
      <c r="R35" s="55">
        <f>$F35+$O35</f>
        <v/>
      </c>
      <c r="S35" s="55">
        <f>IF($B35=$B34,$S34,0)+$R35</f>
        <v/>
      </c>
      <c r="T35" s="55">
        <f>$T34+$R35</f>
        <v/>
      </c>
      <c r="U35" s="56">
        <f>IFERROR(IF(($F35)&gt;0,($O35)/($F35),""),"")</f>
        <v/>
      </c>
      <c r="V35" s="56">
        <f>IFERROR(IF(($G35)&gt;0,($P35)/($G35),""),"")</f>
        <v/>
      </c>
      <c r="W35" s="56">
        <f>IFERROR(IF(($H35)&gt;0,($Q35)/($H35),""),"")</f>
        <v/>
      </c>
      <c r="X35" s="55">
        <f>SUMIFS(tblMovement[Tonnes_t],tblMovement[Date],$A35,tblMovement[Source_Type],"Stockpile")</f>
        <v/>
      </c>
      <c r="Y35" s="55">
        <f>IF($B35=$B34,$Y34,0)+$X35</f>
        <v/>
      </c>
      <c r="Z35" s="55">
        <f>$Z34+$X35</f>
        <v/>
      </c>
      <c r="AA35" s="55">
        <f>SUMIFS(tblMiningDaily[Drill_m],tblMiningDaily[Date],$A35)</f>
        <v/>
      </c>
      <c r="AB35" s="55">
        <f>IF($B35=$B34,$AB34,0)+$AA35</f>
        <v/>
      </c>
      <c r="AC35" s="55">
        <f>$AC34+$AA35</f>
        <v/>
      </c>
      <c r="AD35" s="55">
        <f>SUMIFS(tblMiningDaily[Blast_t],tblMiningDaily[Date],$A35)</f>
        <v/>
      </c>
      <c r="AE35" s="55">
        <f>IF($B35=$B34,$AE34,0)+$AD35</f>
        <v/>
      </c>
      <c r="AF35" s="55">
        <f>$AF34+$AD35</f>
        <v/>
      </c>
      <c r="AG35" s="55">
        <f>SUMIFS(tblMiningDaily[Explosives_kg],tblMiningDaily[Date],$A35)</f>
        <v/>
      </c>
      <c r="AH35" s="55">
        <f>IF($B35=$B34,$AH34,0)+$AG35</f>
        <v/>
      </c>
      <c r="AI35" s="55">
        <f>$AI34+$AG35</f>
        <v/>
      </c>
      <c r="AJ35" s="56">
        <f>IFERROR(IF(($AD35)&gt;0,($AG35)/($AD35),""),"")</f>
        <v/>
      </c>
      <c r="AK35" s="56">
        <f>IFERROR(IF(($AE35)&gt;0,($AH35)/($AE35),""),"")</f>
        <v/>
      </c>
      <c r="AL35" s="56">
        <f>IFERROR(IF(($AF35)&gt;0,($AI35)/($AF35),""),"")</f>
        <v/>
      </c>
      <c r="AM35" s="55">
        <f>SUMIFS(tblMiningDaily[Diesel_L],tblMiningDaily[Date],$A35)</f>
        <v/>
      </c>
      <c r="AN35" s="55">
        <f>IF($B35=$B34,$AN34,0)+$AM35</f>
        <v/>
      </c>
      <c r="AO35" s="55">
        <f>$AO34+$AM35</f>
        <v/>
      </c>
      <c r="AP35" s="55">
        <f>SUMIFS(tblMiningDaily[Dewatering_m3],tblMiningDaily[Date],$A35)</f>
        <v/>
      </c>
      <c r="AQ35" s="55">
        <f>IF($B35=$B34,$AQ34,0)+$AP35</f>
        <v/>
      </c>
      <c r="AR35" s="55">
        <f>$AR34+$AP35</f>
        <v/>
      </c>
      <c r="AS35" s="57">
        <f>SUMIFS(tblFleet[Calendar_h],tblFleet[Date],$A35,tblFleet[Equipment_Class],"Excavator")</f>
        <v/>
      </c>
      <c r="AT35" s="57">
        <f>IF($B35=$B34,$AT34,0)+$AS35</f>
        <v/>
      </c>
      <c r="AU35" s="57">
        <f>$AU34+$AS35</f>
        <v/>
      </c>
      <c r="AV35" s="57">
        <f>SUMIFS(tblFleet[Available_h],tblFleet[Date],$A35,tblFleet[Equipment_Class],"Excavator")</f>
        <v/>
      </c>
      <c r="AW35" s="57">
        <f>IF($B35=$B34,$AW34,0)+$AV35</f>
        <v/>
      </c>
      <c r="AX35" s="57">
        <f>$AX34+$AV35</f>
        <v/>
      </c>
      <c r="AY35" s="57">
        <f>SUMIFS(tblFleet[Operating_h],tblFleet[Date],$A35,tblFleet[Equipment_Class],"Excavator")</f>
        <v/>
      </c>
      <c r="AZ35" s="57">
        <f>IF($B35=$B34,$AZ34,0)+$AY35</f>
        <v/>
      </c>
      <c r="BA35" s="57">
        <f>$BA34+$AY35</f>
        <v/>
      </c>
      <c r="BB35" s="67">
        <f>IFERROR(IF(($AS35)&gt;0,($AV35)/($AS35),""),"")</f>
        <v/>
      </c>
      <c r="BC35" s="67">
        <f>IFERROR(IF(($AT35)&gt;0,($AW35)/($AT35),""),"")</f>
        <v/>
      </c>
      <c r="BD35" s="67">
        <f>IFERROR(IF(($AU35)&gt;0,($AX35)/($AU35),""),"")</f>
        <v/>
      </c>
      <c r="BE35" s="67">
        <f>IFERROR(IF(($AV35)&gt;0,($AY35)/($AV35),""),"")</f>
        <v/>
      </c>
      <c r="BF35" s="67">
        <f>IFERROR(IF(($AW35)&gt;0,($AZ35)/($AW35),""),"")</f>
        <v/>
      </c>
      <c r="BG35" s="67">
        <f>IFERROR(IF(($AX35)&gt;0,($BA35)/($AX35),""),"")</f>
        <v/>
      </c>
      <c r="BH35" s="57">
        <f>SUMIFS(tblFleet[Calendar_h],tblFleet[Date],$A35,tblFleet[Equipment_Class],"Haul Truck")</f>
        <v/>
      </c>
      <c r="BI35" s="57">
        <f>IF($B35=$B34,$BI34,0)+$BH35</f>
        <v/>
      </c>
      <c r="BJ35" s="57">
        <f>$BJ34+$BH35</f>
        <v/>
      </c>
      <c r="BK35" s="57">
        <f>SUMIFS(tblFleet[Available_h],tblFleet[Date],$A35,tblFleet[Equipment_Class],"Haul Truck")</f>
        <v/>
      </c>
      <c r="BL35" s="57">
        <f>IF($B35=$B34,$BL34,0)+$BK35</f>
        <v/>
      </c>
      <c r="BM35" s="57">
        <f>$BM34+$BK35</f>
        <v/>
      </c>
      <c r="BN35" s="57">
        <f>SUMIFS(tblFleet[Operating_h],tblFleet[Date],$A35,tblFleet[Equipment_Class],"Haul Truck")</f>
        <v/>
      </c>
      <c r="BO35" s="57">
        <f>IF($B35=$B34,$BO34,0)+$BN35</f>
        <v/>
      </c>
      <c r="BP35" s="57">
        <f>$BP34+$BN35</f>
        <v/>
      </c>
      <c r="BQ35" s="67">
        <f>IFERROR(IF(($BH35)&gt;0,($BK35)/($BH35),""),"")</f>
        <v/>
      </c>
      <c r="BR35" s="67">
        <f>IFERROR(IF(($BI35)&gt;0,($BL35)/($BI35),""),"")</f>
        <v/>
      </c>
      <c r="BS35" s="67">
        <f>IFERROR(IF(($BJ35)&gt;0,($BM35)/($BJ35),""),"")</f>
        <v/>
      </c>
      <c r="BT35" s="67">
        <f>IFERROR(IF(($BK35)&gt;0,($BN35)/($BK35),""),"")</f>
        <v/>
      </c>
      <c r="BU35" s="67">
        <f>IFERROR(IF(($BL35)&gt;0,($BO35)/($BL35),""),"")</f>
        <v/>
      </c>
      <c r="BV35" s="67">
        <f>IFERROR(IF(($BM35)&gt;0,($BP35)/($BM35),""),"")</f>
        <v/>
      </c>
      <c r="BW35" s="55">
        <f>SUMIFS(tblPlant[Crushed_t],tblPlant[Date],$A35)</f>
        <v/>
      </c>
      <c r="BX35" s="55">
        <f>IF($B35=$B34,$BX34,0)+$BW35</f>
        <v/>
      </c>
      <c r="BY35" s="55">
        <f>$BY34+$BW35</f>
        <v/>
      </c>
      <c r="BZ35" s="55">
        <f>SUMIFS(tblPlant[Milled_t],tblPlant[Date],$A35)</f>
        <v/>
      </c>
      <c r="CA35" s="55">
        <f>IF($B35=$B34,$CA34,0)+$BZ35</f>
        <v/>
      </c>
      <c r="CB35" s="55">
        <f>$CB34+$BZ35</f>
        <v/>
      </c>
      <c r="CC35" s="55">
        <f>SUMIFS(tblPlant[Feed_oz],tblPlant[Date],$A35)</f>
        <v/>
      </c>
      <c r="CD35" s="55">
        <f>IF($B35=$B34,$CD34,0)+$CC35</f>
        <v/>
      </c>
      <c r="CE35" s="55">
        <f>$CE34+$CC35</f>
        <v/>
      </c>
      <c r="CF35" s="55">
        <f>SUMIFS(tblPlant[Tails_oz],tblPlant[Date],$A35)</f>
        <v/>
      </c>
      <c r="CG35" s="55">
        <f>IF($B35=$B34,$CG34,0)+$CF35</f>
        <v/>
      </c>
      <c r="CH35" s="55">
        <f>$CH34+$CF35</f>
        <v/>
      </c>
      <c r="CI35" s="55">
        <f>SUMIFS(tblPlant[Recovered_oz],tblPlant[Date],$A35)</f>
        <v/>
      </c>
      <c r="CJ35" s="55">
        <f>IF($B35=$B34,$CJ34,0)+$CI35</f>
        <v/>
      </c>
      <c r="CK35" s="55">
        <f>$CK34+$CI35</f>
        <v/>
      </c>
      <c r="CL35" s="56">
        <f>IFERROR(IF(($BZ35)&gt;0,($CC35*cfg_TroyOz)/($BZ35),""),"")</f>
        <v/>
      </c>
      <c r="CM35" s="56">
        <f>IFERROR(IF(($CA35)&gt;0,($CD35*cfg_TroyOz)/($CA35),""),"")</f>
        <v/>
      </c>
      <c r="CN35" s="56">
        <f>IFERROR(IF(($CB35)&gt;0,($CE35*cfg_TroyOz)/($CB35),""),"")</f>
        <v/>
      </c>
      <c r="CO35" s="56">
        <f>IFERROR(IF(($BZ35)&gt;0,($CF35*cfg_TroyOz)/($BZ35),""),"")</f>
        <v/>
      </c>
      <c r="CP35" s="56">
        <f>IFERROR(IF(($CA35)&gt;0,($CG35*cfg_TroyOz)/($CA35),""),"")</f>
        <v/>
      </c>
      <c r="CQ35" s="56">
        <f>IFERROR(IF(($CB35)&gt;0,($CH35*cfg_TroyOz)/($CB35),""),"")</f>
        <v/>
      </c>
      <c r="CR35" s="67">
        <f>IFERROR(IF(($CC35)&gt;0,($CI35)/($CC35),""),"")</f>
        <v/>
      </c>
      <c r="CS35" s="67">
        <f>IFERROR(IF(($CD35)&gt;0,($CJ35)/($CD35),""),"")</f>
        <v/>
      </c>
      <c r="CT35" s="67">
        <f>IFERROR(IF(($CE35)&gt;0,($CK35)/($CE35),""),"")</f>
        <v/>
      </c>
      <c r="CU35" s="55">
        <f>SUMIFS(tblPlant[Gravity_Gold_oz],tblPlant[Date],$A35)</f>
        <v/>
      </c>
      <c r="CV35" s="55">
        <f>IF($B35=$B34,$CV34,0)+$CU35</f>
        <v/>
      </c>
      <c r="CW35" s="55">
        <f>$CW34+$CU35</f>
        <v/>
      </c>
      <c r="CX35" s="55">
        <f>SUMIFS(tblPlant[Gold_Poured_oz],tblPlant[Date],$A35)</f>
        <v/>
      </c>
      <c r="CY35" s="55">
        <f>IF($B35=$B34,$CY34,0)+$CX35</f>
        <v/>
      </c>
      <c r="CZ35" s="55">
        <f>$CZ34+$CX35</f>
        <v/>
      </c>
      <c r="DA35" s="57">
        <f>SUMIFS(tblPlant[Mill_Run_h],tblPlant[Date],$A35)</f>
        <v/>
      </c>
      <c r="DB35" s="57">
        <f>IF($B35=$B34,$DB34,0)+$DA35</f>
        <v/>
      </c>
      <c r="DC35" s="57">
        <f>$DC34+$DA35</f>
        <v/>
      </c>
      <c r="DD35" s="57">
        <f>SUMIFS(tblPlant[Mill_Planned_Maint_h],tblPlant[Date],$A35)</f>
        <v/>
      </c>
      <c r="DE35" s="57">
        <f>IF($B35=$B34,$DE34,0)+$DD35</f>
        <v/>
      </c>
      <c r="DF35" s="57">
        <f>$DF34+$DD35</f>
        <v/>
      </c>
      <c r="DG35" s="57">
        <f>SUMIFS(tblPlant[Mill_Unplanned_Down_h],tblPlant[Date],$A35)</f>
        <v/>
      </c>
      <c r="DH35" s="57">
        <f>IF($B35=$B34,$DH34,0)+$DG35</f>
        <v/>
      </c>
      <c r="DI35" s="57">
        <f>$DI34+$DG35</f>
        <v/>
      </c>
      <c r="DJ35" s="57">
        <f>COUNTIFS(tblPlant[Date],$A35,tblPlant[Mill_Run_h],"&lt;&gt;")*24</f>
        <v/>
      </c>
      <c r="DK35" s="57">
        <f>IF($B35=$B34,$DK34,0)+$DJ35</f>
        <v/>
      </c>
      <c r="DL35" s="57">
        <f>$DL34+$DJ35</f>
        <v/>
      </c>
      <c r="DM35" s="57">
        <f>SUMIFS(tblPlant[Crusher_Run_h],tblPlant[Date],$A35)</f>
        <v/>
      </c>
      <c r="DN35" s="57">
        <f>IF($B35=$B34,$DN34,0)+$DM35</f>
        <v/>
      </c>
      <c r="DO35" s="57">
        <f>$DO34+$DM35</f>
        <v/>
      </c>
      <c r="DP35" s="55">
        <f>IFERROR(IF(($DA35)&gt;0,($BZ35)/($DA35),""),"")</f>
        <v/>
      </c>
      <c r="DQ35" s="55">
        <f>IFERROR(IF(($DB35)&gt;0,($CA35)/($DB35),""),"")</f>
        <v/>
      </c>
      <c r="DR35" s="55">
        <f>IFERROR(IF(($DC35)&gt;0,($CB35)/($DC35),""),"")</f>
        <v/>
      </c>
      <c r="DS35" s="67">
        <f>IFERROR(IF(($DJ35)&gt;0,($DJ35-$DD35-$DG35)/($DJ35),""),"")</f>
        <v/>
      </c>
      <c r="DT35" s="67">
        <f>IFERROR(IF(($DK35)&gt;0,($DK35-$DE35-$DH35)/($DK35),""),"")</f>
        <v/>
      </c>
      <c r="DU35" s="67">
        <f>IFERROR(IF(($DL35)&gt;0,($DL35-$DF35-$DI35)/($DL35),""),"")</f>
        <v/>
      </c>
      <c r="DV35" s="67">
        <f>IFERROR(IF(($DJ35-$DD35-$DG35)&gt;0,($DA35)/($DJ35-$DD35-$DG35),""),"")</f>
        <v/>
      </c>
      <c r="DW35" s="67">
        <f>IFERROR(IF(($DK35-$DE35-$DH35)&gt;0,($DB35)/($DK35-$DE35-$DH35),""),"")</f>
        <v/>
      </c>
      <c r="DX35" s="67">
        <f>IFERROR(IF(($DL35-$DF35-$DI35)&gt;0,($DC35)/($DL35-$DF35-$DI35),""),"")</f>
        <v/>
      </c>
      <c r="DY35" s="55">
        <f>SUMIFS(tblPlant[Cyanide_kg],tblPlant[Date],$A35)</f>
        <v/>
      </c>
      <c r="DZ35" s="55">
        <f>IF($B35=$B34,$DZ34,0)+$DY35</f>
        <v/>
      </c>
      <c r="EA35" s="55">
        <f>$EA34+$DY35</f>
        <v/>
      </c>
      <c r="EB35" s="55">
        <f>SUMIFS(tblPlant[Lime_kg],tblPlant[Date],$A35)</f>
        <v/>
      </c>
      <c r="EC35" s="55">
        <f>IF($B35=$B34,$EC34,0)+$EB35</f>
        <v/>
      </c>
      <c r="ED35" s="55">
        <f>$ED34+$EB35</f>
        <v/>
      </c>
      <c r="EE35" s="55">
        <f>SUMIFS(tblPlant[Grinding_Media_kg],tblPlant[Date],$A35)</f>
        <v/>
      </c>
      <c r="EF35" s="55">
        <f>IF($B35=$B34,$EF34,0)+$EE35</f>
        <v/>
      </c>
      <c r="EG35" s="55">
        <f>$EG34+$EE35</f>
        <v/>
      </c>
      <c r="EH35" s="55">
        <f>SUMIFS(tblPlant[Power_kWh],tblPlant[Date],$A35)</f>
        <v/>
      </c>
      <c r="EI35" s="55">
        <f>IF($B35=$B34,$EI34,0)+$EH35</f>
        <v/>
      </c>
      <c r="EJ35" s="55">
        <f>$EJ34+$EH35</f>
        <v/>
      </c>
      <c r="EK35" s="55">
        <f>SUMIFS(tblPlant[Raw_Water_m3],tblPlant[Date],$A35)</f>
        <v/>
      </c>
      <c r="EL35" s="55">
        <f>IF($B35=$B34,$EL34,0)+$EK35</f>
        <v/>
      </c>
      <c r="EM35" s="55">
        <f>$EM34+$EK35</f>
        <v/>
      </c>
      <c r="EN35" s="56">
        <f>IFERROR(IF(($BZ35)&gt;0,($DY35)/($BZ35),""),"")</f>
        <v/>
      </c>
      <c r="EO35" s="56">
        <f>IFERROR(IF(($CA35)&gt;0,($DZ35)/($CA35),""),"")</f>
        <v/>
      </c>
      <c r="EP35" s="56">
        <f>IFERROR(IF(($CB35)&gt;0,($EA35)/($CB35),""),"")</f>
        <v/>
      </c>
      <c r="EQ35" s="56">
        <f>IFERROR(IF(($BZ35)&gt;0,($EB35)/($BZ35),""),"")</f>
        <v/>
      </c>
      <c r="ER35" s="56">
        <f>IFERROR(IF(($CA35)&gt;0,($EC35)/($CA35),""),"")</f>
        <v/>
      </c>
      <c r="ES35" s="56">
        <f>IFERROR(IF(($CB35)&gt;0,($ED35)/($CB35),""),"")</f>
        <v/>
      </c>
      <c r="ET35" s="56">
        <f>IFERROR(IF(($BZ35)&gt;0,($EE35)/($BZ35),""),"")</f>
        <v/>
      </c>
      <c r="EU35" s="56">
        <f>IFERROR(IF(($CA35)&gt;0,($EF35)/($CA35),""),"")</f>
        <v/>
      </c>
      <c r="EV35" s="56">
        <f>IFERROR(IF(($CB35)&gt;0,($EG35)/($CB35),""),"")</f>
        <v/>
      </c>
      <c r="EW35" s="76">
        <f>IFERROR(IF(($BZ35)&gt;0,($EH35)/($BZ35),""),"")</f>
        <v/>
      </c>
      <c r="EX35" s="76">
        <f>IFERROR(IF(($CA35)&gt;0,($EI35)/($CA35),""),"")</f>
        <v/>
      </c>
      <c r="EY35" s="76">
        <f>IFERROR(IF(($CB35)&gt;0,($EJ35)/($CB35),""),"")</f>
        <v/>
      </c>
      <c r="EZ35" s="56">
        <f>IFERROR(IF(($BZ35)&gt;0,($EK35)/($BZ35),""),"")</f>
        <v/>
      </c>
      <c r="FA35" s="56">
        <f>IFERROR(IF(($CA35)&gt;0,($EL35)/($CA35),""),"")</f>
        <v/>
      </c>
      <c r="FB35" s="56">
        <f>IFERROR(IF(($CB35)&gt;0,($EM35)/($CB35),""),"")</f>
        <v/>
      </c>
      <c r="FC35" s="55">
        <f>IF(SUMIFS(tblPlant[GIC_oz],tblPlant[Date],$A35)&gt;0,SUMIFS(tblPlant[GIC_oz],tblPlant[Date],$A35),"")</f>
        <v/>
      </c>
      <c r="FD35" s="55">
        <f>SUMIFS(tblGold[Gold_oz],tblGold[Date],$A35,tblGold[Type],"Shipment")</f>
        <v/>
      </c>
      <c r="FE35" s="55">
        <f>IF($B35=$B34,$FE34,0)+$FD35</f>
        <v/>
      </c>
      <c r="FF35" s="55">
        <f>$FF34+$FD35</f>
        <v/>
      </c>
      <c r="FG35" s="55">
        <f>SUMIFS(tblGold[Gold_oz],tblGold[Date],$A35,tblGold[Type],"Sale")</f>
        <v/>
      </c>
      <c r="FH35" s="55">
        <f>IF($B35=$B34,$FH34,0)+$FG35</f>
        <v/>
      </c>
      <c r="FI35" s="55">
        <f>$FI34+$FG35</f>
        <v/>
      </c>
      <c r="FJ35" s="55">
        <f>SUMIFS(tblGold[Dore_kg],tblGold[Date],$A35,tblGold[Type],"Shipment")</f>
        <v/>
      </c>
      <c r="FK35" s="55">
        <f>IF($B35=$B34,$FK34,0)+$FJ35</f>
        <v/>
      </c>
      <c r="FL35" s="55">
        <f>$FL34+$FJ35</f>
        <v/>
      </c>
      <c r="FM35" s="57">
        <f>SUMIFS(tblSafety[Hours_Total],tblSafety[Date],$A35)</f>
        <v/>
      </c>
      <c r="FN35" s="57">
        <f>IF($B35=$B34,$FN34,0)+$FM35</f>
        <v/>
      </c>
      <c r="FO35" s="57">
        <f>$FO34+$FM35</f>
        <v/>
      </c>
      <c r="FP35" s="62">
        <f>SUMIFS(tblSafety[Fatality],tblSafety[Date],$A35)</f>
        <v/>
      </c>
      <c r="FQ35" s="62">
        <f>IF($B35=$B34,$FQ34,0)+$FP35</f>
        <v/>
      </c>
      <c r="FR35" s="62">
        <f>$FR34+$FP35</f>
        <v/>
      </c>
      <c r="FS35" s="62">
        <f>SUMIFS(tblSafety[LTI],tblSafety[Date],$A35)</f>
        <v/>
      </c>
      <c r="FT35" s="62">
        <f>IF($B35=$B34,$FT34,0)+$FS35</f>
        <v/>
      </c>
      <c r="FU35" s="62">
        <f>$FU34+$FS35</f>
        <v/>
      </c>
      <c r="FV35" s="62">
        <f>SUMIFS(tblSafety[RWI],tblSafety[Date],$A35)</f>
        <v/>
      </c>
      <c r="FW35" s="62">
        <f>IF($B35=$B34,$FW34,0)+$FV35</f>
        <v/>
      </c>
      <c r="FX35" s="62">
        <f>$FX34+$FV35</f>
        <v/>
      </c>
      <c r="FY35" s="62">
        <f>SUMIFS(tblSafety[MTI],tblSafety[Date],$A35)</f>
        <v/>
      </c>
      <c r="FZ35" s="62">
        <f>IF($B35=$B34,$FZ34,0)+$FY35</f>
        <v/>
      </c>
      <c r="GA35" s="62">
        <f>$GA34+$FY35</f>
        <v/>
      </c>
      <c r="GB35" s="62">
        <f>SUMIFS(tblSafety[FAI],tblSafety[Date],$A35)</f>
        <v/>
      </c>
      <c r="GC35" s="62">
        <f>IF($B35=$B34,$GC34,0)+$GB35</f>
        <v/>
      </c>
      <c r="GD35" s="62">
        <f>$GD34+$GB35</f>
        <v/>
      </c>
      <c r="GE35" s="62">
        <f>SUMIFS(tblSafety[Recordables],tblSafety[Date],$A35)</f>
        <v/>
      </c>
      <c r="GF35" s="62">
        <f>IF($B35=$B34,$GF34,0)+$GE35</f>
        <v/>
      </c>
      <c r="GG35" s="62">
        <f>$GG34+$GE35</f>
        <v/>
      </c>
      <c r="GH35" s="62">
        <f>SUMIFS(tblSafety[Near_Miss],tblSafety[Date],$A35)</f>
        <v/>
      </c>
      <c r="GI35" s="62">
        <f>IF($B35=$B34,$GI34,0)+$GH35</f>
        <v/>
      </c>
      <c r="GJ35" s="62">
        <f>$GJ34+$GH35</f>
        <v/>
      </c>
      <c r="GK35" s="62">
        <f>SUMIFS(tblSafety[Hazard_Reports],tblSafety[Date],$A35)</f>
        <v/>
      </c>
      <c r="GL35" s="62">
        <f>IF($B35=$B34,$GL34,0)+$GK35</f>
        <v/>
      </c>
      <c r="GM35" s="62">
        <f>$GM34+$GK35</f>
        <v/>
      </c>
      <c r="GN35" s="62">
        <f>SUMIFS(tblSafety[HPI],tblSafety[Date],$A35)</f>
        <v/>
      </c>
      <c r="GO35" s="62">
        <f>IF($B35=$B34,$GO34,0)+$GN35</f>
        <v/>
      </c>
      <c r="GP35" s="62">
        <f>$GP34+$GN35</f>
        <v/>
      </c>
      <c r="GQ35" s="62">
        <f>SUMIFS(tblSafety[Env_Incidents],tblSafety[Date],$A35)</f>
        <v/>
      </c>
      <c r="GR35" s="62">
        <f>IF($B35=$B34,$GR34,0)+$GQ35</f>
        <v/>
      </c>
      <c r="GS35" s="62">
        <f>$GS34+$GQ35</f>
        <v/>
      </c>
      <c r="GT35" s="62">
        <f>SUMIFS(tblSafety[Community_Incidents],tblSafety[Date],$A35)</f>
        <v/>
      </c>
      <c r="GU35" s="62">
        <f>IF($B35=$B34,$GU34,0)+$GT35</f>
        <v/>
      </c>
      <c r="GV35" s="62">
        <f>$GV34+$GT35</f>
        <v/>
      </c>
      <c r="GW35" s="62">
        <f>SUMIFS(tblSafety[Vehicle_Incidents],tblSafety[Date],$A35)</f>
        <v/>
      </c>
      <c r="GX35" s="62">
        <f>IF($B35=$B34,$GX34,0)+$GW35</f>
        <v/>
      </c>
      <c r="GY35" s="62">
        <f>$GY34+$GW35</f>
        <v/>
      </c>
      <c r="GZ35" s="62">
        <f>SUMIFS(tblSafety[Toolbox_Talks],tblSafety[Date],$A35)</f>
        <v/>
      </c>
      <c r="HA35" s="62">
        <f>IF($B35=$B34,$HA34,0)+$GZ35</f>
        <v/>
      </c>
      <c r="HB35" s="62">
        <f>$HB34+$GZ35</f>
        <v/>
      </c>
      <c r="HC35" s="62">
        <f>SUMIFS(tblSafety[Inspections],tblSafety[Date],$A35)</f>
        <v/>
      </c>
      <c r="HD35" s="62">
        <f>IF($B35=$B34,$HD34,0)+$HC35</f>
        <v/>
      </c>
      <c r="HE35" s="62">
        <f>$HE34+$HC35</f>
        <v/>
      </c>
      <c r="HF35" s="56">
        <f>IFERROR((SUMIFS(tblSafety[Recordables],tblSafety[Date],"&gt;="&amp;EDATE($E35,-12),tblSafety[Date],"&lt;="&amp;$A35)+SUMIFS(tblSafetyHistory[Recordables],tblSafetyHistory[Month],"&gt;="&amp;EDATE($E35,-12),tblSafetyHistory[Month],"&lt;"&amp;cfg_YearStart))/(SUMIFS(tblSafety[Hours_Total],tblSafety[Date],"&gt;="&amp;EDATE($E35,-12),tblSafety[Date],"&lt;="&amp;$A35)+SUMIFS(tblSafetyHistory[Hours_Total],tblSafetyHistory[Month],"&gt;="&amp;EDATE($E35,-12),tblSafetyHistory[Month],"&lt;"&amp;cfg_YearStart))*1000000,"")</f>
        <v/>
      </c>
      <c r="HG35" s="56">
        <f>IFERROR((SUMIFS(tblSafety[LTI],tblSafety[Date],"&gt;="&amp;EDATE($E35,-12),tblSafety[Date],"&lt;="&amp;$A35)+SUMIFS(tblSafetyHistory[LTI],tblSafetyHistory[Month],"&gt;="&amp;EDATE($E35,-12),tblSafetyHistory[Month],"&lt;"&amp;cfg_YearStart))/(SUMIFS(tblSafety[Hours_Total],tblSafety[Date],"&gt;="&amp;EDATE($E35,-12),tblSafety[Date],"&lt;="&amp;$A35)+SUMIFS(tblSafetyHistory[Hours_Total],tblSafetyHistory[Month],"&gt;="&amp;EDATE($E35,-12),tblSafetyHistory[Month],"&lt;"&amp;cfg_YearStart))*1000000,"")</f>
        <v/>
      </c>
      <c r="HH35" s="62">
        <f>IF(MAX(N(cfg_PriorLTIDate),_xlfn.MAXIFS(tblSafety[Date],tblSafety[LTI],"&gt;0",tblSafety[Date],"&lt;="&amp;$A35))=0,"",$A35-MAX(N(cfg_PriorLTIDate),_xlfn.MAXIFS(tblSafety[Date],tblSafety[LTI],"&gt;0",tblSafety[Date],"&lt;="&amp;$A35)))</f>
        <v/>
      </c>
      <c r="HI35" s="55">
        <f>SUMIFS(tblBudget[Ore_Mined_t],tblBudget[Month],$E35)</f>
        <v/>
      </c>
      <c r="HJ35" s="55">
        <f>$HI35*$C35/$D35</f>
        <v/>
      </c>
      <c r="HK35" s="55">
        <f>SUMIFS(tblBudget[Ore_Mined_t],tblBudget[Month],"&lt;"&amp;$E35)+$HJ35</f>
        <v/>
      </c>
      <c r="HL35" s="55">
        <f>SUMIFS(tblBudget[Ore_oz],tblBudget[Month],$E35)</f>
        <v/>
      </c>
      <c r="HM35" s="55">
        <f>$HL35*$C35/$D35</f>
        <v/>
      </c>
      <c r="HN35" s="55">
        <f>SUMIFS(tblBudget[Ore_oz],tblBudget[Month],"&lt;"&amp;$E35)+$HM35</f>
        <v/>
      </c>
      <c r="HO35" s="56">
        <f>IFERROR(IF(($HI35)&gt;0,($HL35*cfg_TroyOz)/($HI35),""),"")</f>
        <v/>
      </c>
      <c r="HP35" s="56">
        <f>IFERROR(IF(($HJ35)&gt;0,($HM35*cfg_TroyOz)/($HJ35),""),"")</f>
        <v/>
      </c>
      <c r="HQ35" s="56">
        <f>IFERROR(IF(($HK35)&gt;0,($HN35*cfg_TroyOz)/($HK35),""),"")</f>
        <v/>
      </c>
      <c r="HR35" s="55">
        <f>SUMIFS(tblBudget[Waste_t],tblBudget[Month],$E35)</f>
        <v/>
      </c>
      <c r="HS35" s="55">
        <f>$HR35*$C35/$D35</f>
        <v/>
      </c>
      <c r="HT35" s="55">
        <f>SUMIFS(tblBudget[Waste_t],tblBudget[Month],"&lt;"&amp;$E35)+$HS35</f>
        <v/>
      </c>
      <c r="HU35" s="55">
        <f>SUMIFS(tblBudget[TMM_t],tblBudget[Month],$E35)</f>
        <v/>
      </c>
      <c r="HV35" s="55">
        <f>$HU35*$C35/$D35</f>
        <v/>
      </c>
      <c r="HW35" s="55">
        <f>SUMIFS(tblBudget[TMM_t],tblBudget[Month],"&lt;"&amp;$E35)+$HV35</f>
        <v/>
      </c>
      <c r="HX35" s="56">
        <f>IFERROR(IF(($HI35)&gt;0,($HR35)/($HI35),""),"")</f>
        <v/>
      </c>
      <c r="HY35" s="56">
        <f>IFERROR(IF(($HJ35)&gt;0,($HS35)/($HJ35),""),"")</f>
        <v/>
      </c>
      <c r="HZ35" s="56">
        <f>IFERROR(IF(($HK35)&gt;0,($HT35)/($HK35),""),"")</f>
        <v/>
      </c>
      <c r="IA35" s="55">
        <f>SUMIFS(tblBudget[Drill_m],tblBudget[Month],$E35)</f>
        <v/>
      </c>
      <c r="IB35" s="55">
        <f>$IA35*$C35/$D35</f>
        <v/>
      </c>
      <c r="IC35" s="55">
        <f>SUMIFS(tblBudget[Drill_m],tblBudget[Month],"&lt;"&amp;$E35)+$IB35</f>
        <v/>
      </c>
      <c r="ID35" s="55">
        <f>SUMIFS(tblBudget[Diesel_L],tblBudget[Month],$E35)</f>
        <v/>
      </c>
      <c r="IE35" s="55">
        <f>$ID35*$C35/$D35</f>
        <v/>
      </c>
      <c r="IF35" s="55">
        <f>SUMIFS(tblBudget[Diesel_L],tblBudget[Month],"&lt;"&amp;$E35)+$IE35</f>
        <v/>
      </c>
      <c r="IG35" s="55">
        <f>SUMIFS(tblBudget[Milled_t],tblBudget[Month],$E35)</f>
        <v/>
      </c>
      <c r="IH35" s="55">
        <f>$IG35*$C35/$D35</f>
        <v/>
      </c>
      <c r="II35" s="55">
        <f>SUMIFS(tblBudget[Milled_t],tblBudget[Month],"&lt;"&amp;$E35)+$IH35</f>
        <v/>
      </c>
      <c r="IJ35" s="55">
        <f>SUMIFS(tblBudget[Feed_oz],tblBudget[Month],$E35)</f>
        <v/>
      </c>
      <c r="IK35" s="55">
        <f>$IJ35*$C35/$D35</f>
        <v/>
      </c>
      <c r="IL35" s="55">
        <f>SUMIFS(tblBudget[Feed_oz],tblBudget[Month],"&lt;"&amp;$E35)+$IK35</f>
        <v/>
      </c>
      <c r="IM35" s="55">
        <f>SUMIFS(tblBudget[Recovered_oz],tblBudget[Month],$E35)</f>
        <v/>
      </c>
      <c r="IN35" s="55">
        <f>$IM35*$C35/$D35</f>
        <v/>
      </c>
      <c r="IO35" s="55">
        <f>SUMIFS(tblBudget[Recovered_oz],tblBudget[Month],"&lt;"&amp;$E35)+$IN35</f>
        <v/>
      </c>
      <c r="IP35" s="56">
        <f>IFERROR(IF(($IG35)&gt;0,($IJ35*cfg_TroyOz)/($IG35),""),"")</f>
        <v/>
      </c>
      <c r="IQ35" s="56">
        <f>IFERROR(IF(($IH35)&gt;0,($IK35*cfg_TroyOz)/($IH35),""),"")</f>
        <v/>
      </c>
      <c r="IR35" s="56">
        <f>IFERROR(IF(($II35)&gt;0,($IL35*cfg_TroyOz)/($II35),""),"")</f>
        <v/>
      </c>
      <c r="IS35" s="67">
        <f>IFERROR(IF(($IJ35)&gt;0,($IM35)/($IJ35),""),"")</f>
        <v/>
      </c>
      <c r="IT35" s="67">
        <f>IFERROR(IF(($IK35)&gt;0,($IN35)/($IK35),""),"")</f>
        <v/>
      </c>
      <c r="IU35" s="67">
        <f>IFERROR(IF(($IL35)&gt;0,($IO35)/($IL35),""),"")</f>
        <v/>
      </c>
      <c r="IV35" s="55">
        <f>SUMIFS(tblBudget[Gold_Poured_oz],tblBudget[Month],$E35)</f>
        <v/>
      </c>
      <c r="IW35" s="55">
        <f>$IV35*$C35/$D35</f>
        <v/>
      </c>
      <c r="IX35" s="55">
        <f>SUMIFS(tblBudget[Gold_Poured_oz],tblBudget[Month],"&lt;"&amp;$E35)+$IW35</f>
        <v/>
      </c>
      <c r="IY35" s="57">
        <f>SUMIFS(tblBudget[Hours_Worked],tblBudget[Month],$E35)</f>
        <v/>
      </c>
      <c r="IZ35" s="57">
        <f>$IY35*$C35/$D35</f>
        <v/>
      </c>
      <c r="JA35" s="57">
        <f>SUMIFS(tblBudget[Hours_Worked],tblBudget[Month],"&lt;"&amp;$E35)+$IZ35</f>
        <v/>
      </c>
    </row>
    <row r="36">
      <c r="A36" s="54" t="n">
        <v>46057</v>
      </c>
      <c r="B36">
        <f>MONTH($A36)</f>
        <v/>
      </c>
      <c r="C36">
        <f>DAY($A36)</f>
        <v/>
      </c>
      <c r="D36">
        <f>DAY(EOMONTH($A36,0))</f>
        <v/>
      </c>
      <c r="E36" s="54">
        <f>DATE(YEAR($A36),MONTH($A36),1)</f>
        <v/>
      </c>
      <c r="F36" s="55">
        <f>SUMIFS(tblMovement[Tonnes_t],tblMovement[Date],$A36,tblMovement[Is_Ore],1,tblMovement[Source_Type],"Pit")</f>
        <v/>
      </c>
      <c r="G36" s="55">
        <f>IF($B36=$B35,$G35,0)+$F36</f>
        <v/>
      </c>
      <c r="H36" s="55">
        <f>$H35+$F36</f>
        <v/>
      </c>
      <c r="I36" s="55">
        <f>SUMIFS(tblMovement[Ore_oz],tblMovement[Date],$A36,tblMovement[Source_Type],"Pit")</f>
        <v/>
      </c>
      <c r="J36" s="55">
        <f>IF($B36=$B35,$J35,0)+$I36</f>
        <v/>
      </c>
      <c r="K36" s="55">
        <f>$K35+$I36</f>
        <v/>
      </c>
      <c r="L36" s="56">
        <f>IFERROR(IF(($F36)&gt;0,($I36*cfg_TroyOz)/($F36),""),"")</f>
        <v/>
      </c>
      <c r="M36" s="56">
        <f>IFERROR(IF(($G36)&gt;0,($J36*cfg_TroyOz)/($G36),""),"")</f>
        <v/>
      </c>
      <c r="N36" s="56">
        <f>IFERROR(IF(($H36)&gt;0,($K36*cfg_TroyOz)/($H36),""),"")</f>
        <v/>
      </c>
      <c r="O36" s="55">
        <f>SUMIFS(tblMovement[Tonnes_t],tblMovement[Date],$A36,tblMovement[Is_Ore],0,tblMovement[Source_Type],"Pit")</f>
        <v/>
      </c>
      <c r="P36" s="55">
        <f>IF($B36=$B35,$P35,0)+$O36</f>
        <v/>
      </c>
      <c r="Q36" s="55">
        <f>$Q35+$O36</f>
        <v/>
      </c>
      <c r="R36" s="55">
        <f>$F36+$O36</f>
        <v/>
      </c>
      <c r="S36" s="55">
        <f>IF($B36=$B35,$S35,0)+$R36</f>
        <v/>
      </c>
      <c r="T36" s="55">
        <f>$T35+$R36</f>
        <v/>
      </c>
      <c r="U36" s="56">
        <f>IFERROR(IF(($F36)&gt;0,($O36)/($F36),""),"")</f>
        <v/>
      </c>
      <c r="V36" s="56">
        <f>IFERROR(IF(($G36)&gt;0,($P36)/($G36),""),"")</f>
        <v/>
      </c>
      <c r="W36" s="56">
        <f>IFERROR(IF(($H36)&gt;0,($Q36)/($H36),""),"")</f>
        <v/>
      </c>
      <c r="X36" s="55">
        <f>SUMIFS(tblMovement[Tonnes_t],tblMovement[Date],$A36,tblMovement[Source_Type],"Stockpile")</f>
        <v/>
      </c>
      <c r="Y36" s="55">
        <f>IF($B36=$B35,$Y35,0)+$X36</f>
        <v/>
      </c>
      <c r="Z36" s="55">
        <f>$Z35+$X36</f>
        <v/>
      </c>
      <c r="AA36" s="55">
        <f>SUMIFS(tblMiningDaily[Drill_m],tblMiningDaily[Date],$A36)</f>
        <v/>
      </c>
      <c r="AB36" s="55">
        <f>IF($B36=$B35,$AB35,0)+$AA36</f>
        <v/>
      </c>
      <c r="AC36" s="55">
        <f>$AC35+$AA36</f>
        <v/>
      </c>
      <c r="AD36" s="55">
        <f>SUMIFS(tblMiningDaily[Blast_t],tblMiningDaily[Date],$A36)</f>
        <v/>
      </c>
      <c r="AE36" s="55">
        <f>IF($B36=$B35,$AE35,0)+$AD36</f>
        <v/>
      </c>
      <c r="AF36" s="55">
        <f>$AF35+$AD36</f>
        <v/>
      </c>
      <c r="AG36" s="55">
        <f>SUMIFS(tblMiningDaily[Explosives_kg],tblMiningDaily[Date],$A36)</f>
        <v/>
      </c>
      <c r="AH36" s="55">
        <f>IF($B36=$B35,$AH35,0)+$AG36</f>
        <v/>
      </c>
      <c r="AI36" s="55">
        <f>$AI35+$AG36</f>
        <v/>
      </c>
      <c r="AJ36" s="56">
        <f>IFERROR(IF(($AD36)&gt;0,($AG36)/($AD36),""),"")</f>
        <v/>
      </c>
      <c r="AK36" s="56">
        <f>IFERROR(IF(($AE36)&gt;0,($AH36)/($AE36),""),"")</f>
        <v/>
      </c>
      <c r="AL36" s="56">
        <f>IFERROR(IF(($AF36)&gt;0,($AI36)/($AF36),""),"")</f>
        <v/>
      </c>
      <c r="AM36" s="55">
        <f>SUMIFS(tblMiningDaily[Diesel_L],tblMiningDaily[Date],$A36)</f>
        <v/>
      </c>
      <c r="AN36" s="55">
        <f>IF($B36=$B35,$AN35,0)+$AM36</f>
        <v/>
      </c>
      <c r="AO36" s="55">
        <f>$AO35+$AM36</f>
        <v/>
      </c>
      <c r="AP36" s="55">
        <f>SUMIFS(tblMiningDaily[Dewatering_m3],tblMiningDaily[Date],$A36)</f>
        <v/>
      </c>
      <c r="AQ36" s="55">
        <f>IF($B36=$B35,$AQ35,0)+$AP36</f>
        <v/>
      </c>
      <c r="AR36" s="55">
        <f>$AR35+$AP36</f>
        <v/>
      </c>
      <c r="AS36" s="57">
        <f>SUMIFS(tblFleet[Calendar_h],tblFleet[Date],$A36,tblFleet[Equipment_Class],"Excavator")</f>
        <v/>
      </c>
      <c r="AT36" s="57">
        <f>IF($B36=$B35,$AT35,0)+$AS36</f>
        <v/>
      </c>
      <c r="AU36" s="57">
        <f>$AU35+$AS36</f>
        <v/>
      </c>
      <c r="AV36" s="57">
        <f>SUMIFS(tblFleet[Available_h],tblFleet[Date],$A36,tblFleet[Equipment_Class],"Excavator")</f>
        <v/>
      </c>
      <c r="AW36" s="57">
        <f>IF($B36=$B35,$AW35,0)+$AV36</f>
        <v/>
      </c>
      <c r="AX36" s="57">
        <f>$AX35+$AV36</f>
        <v/>
      </c>
      <c r="AY36" s="57">
        <f>SUMIFS(tblFleet[Operating_h],tblFleet[Date],$A36,tblFleet[Equipment_Class],"Excavator")</f>
        <v/>
      </c>
      <c r="AZ36" s="57">
        <f>IF($B36=$B35,$AZ35,0)+$AY36</f>
        <v/>
      </c>
      <c r="BA36" s="57">
        <f>$BA35+$AY36</f>
        <v/>
      </c>
      <c r="BB36" s="67">
        <f>IFERROR(IF(($AS36)&gt;0,($AV36)/($AS36),""),"")</f>
        <v/>
      </c>
      <c r="BC36" s="67">
        <f>IFERROR(IF(($AT36)&gt;0,($AW36)/($AT36),""),"")</f>
        <v/>
      </c>
      <c r="BD36" s="67">
        <f>IFERROR(IF(($AU36)&gt;0,($AX36)/($AU36),""),"")</f>
        <v/>
      </c>
      <c r="BE36" s="67">
        <f>IFERROR(IF(($AV36)&gt;0,($AY36)/($AV36),""),"")</f>
        <v/>
      </c>
      <c r="BF36" s="67">
        <f>IFERROR(IF(($AW36)&gt;0,($AZ36)/($AW36),""),"")</f>
        <v/>
      </c>
      <c r="BG36" s="67">
        <f>IFERROR(IF(($AX36)&gt;0,($BA36)/($AX36),""),"")</f>
        <v/>
      </c>
      <c r="BH36" s="57">
        <f>SUMIFS(tblFleet[Calendar_h],tblFleet[Date],$A36,tblFleet[Equipment_Class],"Haul Truck")</f>
        <v/>
      </c>
      <c r="BI36" s="57">
        <f>IF($B36=$B35,$BI35,0)+$BH36</f>
        <v/>
      </c>
      <c r="BJ36" s="57">
        <f>$BJ35+$BH36</f>
        <v/>
      </c>
      <c r="BK36" s="57">
        <f>SUMIFS(tblFleet[Available_h],tblFleet[Date],$A36,tblFleet[Equipment_Class],"Haul Truck")</f>
        <v/>
      </c>
      <c r="BL36" s="57">
        <f>IF($B36=$B35,$BL35,0)+$BK36</f>
        <v/>
      </c>
      <c r="BM36" s="57">
        <f>$BM35+$BK36</f>
        <v/>
      </c>
      <c r="BN36" s="57">
        <f>SUMIFS(tblFleet[Operating_h],tblFleet[Date],$A36,tblFleet[Equipment_Class],"Haul Truck")</f>
        <v/>
      </c>
      <c r="BO36" s="57">
        <f>IF($B36=$B35,$BO35,0)+$BN36</f>
        <v/>
      </c>
      <c r="BP36" s="57">
        <f>$BP35+$BN36</f>
        <v/>
      </c>
      <c r="BQ36" s="67">
        <f>IFERROR(IF(($BH36)&gt;0,($BK36)/($BH36),""),"")</f>
        <v/>
      </c>
      <c r="BR36" s="67">
        <f>IFERROR(IF(($BI36)&gt;0,($BL36)/($BI36),""),"")</f>
        <v/>
      </c>
      <c r="BS36" s="67">
        <f>IFERROR(IF(($BJ36)&gt;0,($BM36)/($BJ36),""),"")</f>
        <v/>
      </c>
      <c r="BT36" s="67">
        <f>IFERROR(IF(($BK36)&gt;0,($BN36)/($BK36),""),"")</f>
        <v/>
      </c>
      <c r="BU36" s="67">
        <f>IFERROR(IF(($BL36)&gt;0,($BO36)/($BL36),""),"")</f>
        <v/>
      </c>
      <c r="BV36" s="67">
        <f>IFERROR(IF(($BM36)&gt;0,($BP36)/($BM36),""),"")</f>
        <v/>
      </c>
      <c r="BW36" s="55">
        <f>SUMIFS(tblPlant[Crushed_t],tblPlant[Date],$A36)</f>
        <v/>
      </c>
      <c r="BX36" s="55">
        <f>IF($B36=$B35,$BX35,0)+$BW36</f>
        <v/>
      </c>
      <c r="BY36" s="55">
        <f>$BY35+$BW36</f>
        <v/>
      </c>
      <c r="BZ36" s="55">
        <f>SUMIFS(tblPlant[Milled_t],tblPlant[Date],$A36)</f>
        <v/>
      </c>
      <c r="CA36" s="55">
        <f>IF($B36=$B35,$CA35,0)+$BZ36</f>
        <v/>
      </c>
      <c r="CB36" s="55">
        <f>$CB35+$BZ36</f>
        <v/>
      </c>
      <c r="CC36" s="55">
        <f>SUMIFS(tblPlant[Feed_oz],tblPlant[Date],$A36)</f>
        <v/>
      </c>
      <c r="CD36" s="55">
        <f>IF($B36=$B35,$CD35,0)+$CC36</f>
        <v/>
      </c>
      <c r="CE36" s="55">
        <f>$CE35+$CC36</f>
        <v/>
      </c>
      <c r="CF36" s="55">
        <f>SUMIFS(tblPlant[Tails_oz],tblPlant[Date],$A36)</f>
        <v/>
      </c>
      <c r="CG36" s="55">
        <f>IF($B36=$B35,$CG35,0)+$CF36</f>
        <v/>
      </c>
      <c r="CH36" s="55">
        <f>$CH35+$CF36</f>
        <v/>
      </c>
      <c r="CI36" s="55">
        <f>SUMIFS(tblPlant[Recovered_oz],tblPlant[Date],$A36)</f>
        <v/>
      </c>
      <c r="CJ36" s="55">
        <f>IF($B36=$B35,$CJ35,0)+$CI36</f>
        <v/>
      </c>
      <c r="CK36" s="55">
        <f>$CK35+$CI36</f>
        <v/>
      </c>
      <c r="CL36" s="56">
        <f>IFERROR(IF(($BZ36)&gt;0,($CC36*cfg_TroyOz)/($BZ36),""),"")</f>
        <v/>
      </c>
      <c r="CM36" s="56">
        <f>IFERROR(IF(($CA36)&gt;0,($CD36*cfg_TroyOz)/($CA36),""),"")</f>
        <v/>
      </c>
      <c r="CN36" s="56">
        <f>IFERROR(IF(($CB36)&gt;0,($CE36*cfg_TroyOz)/($CB36),""),"")</f>
        <v/>
      </c>
      <c r="CO36" s="56">
        <f>IFERROR(IF(($BZ36)&gt;0,($CF36*cfg_TroyOz)/($BZ36),""),"")</f>
        <v/>
      </c>
      <c r="CP36" s="56">
        <f>IFERROR(IF(($CA36)&gt;0,($CG36*cfg_TroyOz)/($CA36),""),"")</f>
        <v/>
      </c>
      <c r="CQ36" s="56">
        <f>IFERROR(IF(($CB36)&gt;0,($CH36*cfg_TroyOz)/($CB36),""),"")</f>
        <v/>
      </c>
      <c r="CR36" s="67">
        <f>IFERROR(IF(($CC36)&gt;0,($CI36)/($CC36),""),"")</f>
        <v/>
      </c>
      <c r="CS36" s="67">
        <f>IFERROR(IF(($CD36)&gt;0,($CJ36)/($CD36),""),"")</f>
        <v/>
      </c>
      <c r="CT36" s="67">
        <f>IFERROR(IF(($CE36)&gt;0,($CK36)/($CE36),""),"")</f>
        <v/>
      </c>
      <c r="CU36" s="55">
        <f>SUMIFS(tblPlant[Gravity_Gold_oz],tblPlant[Date],$A36)</f>
        <v/>
      </c>
      <c r="CV36" s="55">
        <f>IF($B36=$B35,$CV35,0)+$CU36</f>
        <v/>
      </c>
      <c r="CW36" s="55">
        <f>$CW35+$CU36</f>
        <v/>
      </c>
      <c r="CX36" s="55">
        <f>SUMIFS(tblPlant[Gold_Poured_oz],tblPlant[Date],$A36)</f>
        <v/>
      </c>
      <c r="CY36" s="55">
        <f>IF($B36=$B35,$CY35,0)+$CX36</f>
        <v/>
      </c>
      <c r="CZ36" s="55">
        <f>$CZ35+$CX36</f>
        <v/>
      </c>
      <c r="DA36" s="57">
        <f>SUMIFS(tblPlant[Mill_Run_h],tblPlant[Date],$A36)</f>
        <v/>
      </c>
      <c r="DB36" s="57">
        <f>IF($B36=$B35,$DB35,0)+$DA36</f>
        <v/>
      </c>
      <c r="DC36" s="57">
        <f>$DC35+$DA36</f>
        <v/>
      </c>
      <c r="DD36" s="57">
        <f>SUMIFS(tblPlant[Mill_Planned_Maint_h],tblPlant[Date],$A36)</f>
        <v/>
      </c>
      <c r="DE36" s="57">
        <f>IF($B36=$B35,$DE35,0)+$DD36</f>
        <v/>
      </c>
      <c r="DF36" s="57">
        <f>$DF35+$DD36</f>
        <v/>
      </c>
      <c r="DG36" s="57">
        <f>SUMIFS(tblPlant[Mill_Unplanned_Down_h],tblPlant[Date],$A36)</f>
        <v/>
      </c>
      <c r="DH36" s="57">
        <f>IF($B36=$B35,$DH35,0)+$DG36</f>
        <v/>
      </c>
      <c r="DI36" s="57">
        <f>$DI35+$DG36</f>
        <v/>
      </c>
      <c r="DJ36" s="57">
        <f>COUNTIFS(tblPlant[Date],$A36,tblPlant[Mill_Run_h],"&lt;&gt;")*24</f>
        <v/>
      </c>
      <c r="DK36" s="57">
        <f>IF($B36=$B35,$DK35,0)+$DJ36</f>
        <v/>
      </c>
      <c r="DL36" s="57">
        <f>$DL35+$DJ36</f>
        <v/>
      </c>
      <c r="DM36" s="57">
        <f>SUMIFS(tblPlant[Crusher_Run_h],tblPlant[Date],$A36)</f>
        <v/>
      </c>
      <c r="DN36" s="57">
        <f>IF($B36=$B35,$DN35,0)+$DM36</f>
        <v/>
      </c>
      <c r="DO36" s="57">
        <f>$DO35+$DM36</f>
        <v/>
      </c>
      <c r="DP36" s="55">
        <f>IFERROR(IF(($DA36)&gt;0,($BZ36)/($DA36),""),"")</f>
        <v/>
      </c>
      <c r="DQ36" s="55">
        <f>IFERROR(IF(($DB36)&gt;0,($CA36)/($DB36),""),"")</f>
        <v/>
      </c>
      <c r="DR36" s="55">
        <f>IFERROR(IF(($DC36)&gt;0,($CB36)/($DC36),""),"")</f>
        <v/>
      </c>
      <c r="DS36" s="67">
        <f>IFERROR(IF(($DJ36)&gt;0,($DJ36-$DD36-$DG36)/($DJ36),""),"")</f>
        <v/>
      </c>
      <c r="DT36" s="67">
        <f>IFERROR(IF(($DK36)&gt;0,($DK36-$DE36-$DH36)/($DK36),""),"")</f>
        <v/>
      </c>
      <c r="DU36" s="67">
        <f>IFERROR(IF(($DL36)&gt;0,($DL36-$DF36-$DI36)/($DL36),""),"")</f>
        <v/>
      </c>
      <c r="DV36" s="67">
        <f>IFERROR(IF(($DJ36-$DD36-$DG36)&gt;0,($DA36)/($DJ36-$DD36-$DG36),""),"")</f>
        <v/>
      </c>
      <c r="DW36" s="67">
        <f>IFERROR(IF(($DK36-$DE36-$DH36)&gt;0,($DB36)/($DK36-$DE36-$DH36),""),"")</f>
        <v/>
      </c>
      <c r="DX36" s="67">
        <f>IFERROR(IF(($DL36-$DF36-$DI36)&gt;0,($DC36)/($DL36-$DF36-$DI36),""),"")</f>
        <v/>
      </c>
      <c r="DY36" s="55">
        <f>SUMIFS(tblPlant[Cyanide_kg],tblPlant[Date],$A36)</f>
        <v/>
      </c>
      <c r="DZ36" s="55">
        <f>IF($B36=$B35,$DZ35,0)+$DY36</f>
        <v/>
      </c>
      <c r="EA36" s="55">
        <f>$EA35+$DY36</f>
        <v/>
      </c>
      <c r="EB36" s="55">
        <f>SUMIFS(tblPlant[Lime_kg],tblPlant[Date],$A36)</f>
        <v/>
      </c>
      <c r="EC36" s="55">
        <f>IF($B36=$B35,$EC35,0)+$EB36</f>
        <v/>
      </c>
      <c r="ED36" s="55">
        <f>$ED35+$EB36</f>
        <v/>
      </c>
      <c r="EE36" s="55">
        <f>SUMIFS(tblPlant[Grinding_Media_kg],tblPlant[Date],$A36)</f>
        <v/>
      </c>
      <c r="EF36" s="55">
        <f>IF($B36=$B35,$EF35,0)+$EE36</f>
        <v/>
      </c>
      <c r="EG36" s="55">
        <f>$EG35+$EE36</f>
        <v/>
      </c>
      <c r="EH36" s="55">
        <f>SUMIFS(tblPlant[Power_kWh],tblPlant[Date],$A36)</f>
        <v/>
      </c>
      <c r="EI36" s="55">
        <f>IF($B36=$B35,$EI35,0)+$EH36</f>
        <v/>
      </c>
      <c r="EJ36" s="55">
        <f>$EJ35+$EH36</f>
        <v/>
      </c>
      <c r="EK36" s="55">
        <f>SUMIFS(tblPlant[Raw_Water_m3],tblPlant[Date],$A36)</f>
        <v/>
      </c>
      <c r="EL36" s="55">
        <f>IF($B36=$B35,$EL35,0)+$EK36</f>
        <v/>
      </c>
      <c r="EM36" s="55">
        <f>$EM35+$EK36</f>
        <v/>
      </c>
      <c r="EN36" s="56">
        <f>IFERROR(IF(($BZ36)&gt;0,($DY36)/($BZ36),""),"")</f>
        <v/>
      </c>
      <c r="EO36" s="56">
        <f>IFERROR(IF(($CA36)&gt;0,($DZ36)/($CA36),""),"")</f>
        <v/>
      </c>
      <c r="EP36" s="56">
        <f>IFERROR(IF(($CB36)&gt;0,($EA36)/($CB36),""),"")</f>
        <v/>
      </c>
      <c r="EQ36" s="56">
        <f>IFERROR(IF(($BZ36)&gt;0,($EB36)/($BZ36),""),"")</f>
        <v/>
      </c>
      <c r="ER36" s="56">
        <f>IFERROR(IF(($CA36)&gt;0,($EC36)/($CA36),""),"")</f>
        <v/>
      </c>
      <c r="ES36" s="56">
        <f>IFERROR(IF(($CB36)&gt;0,($ED36)/($CB36),""),"")</f>
        <v/>
      </c>
      <c r="ET36" s="56">
        <f>IFERROR(IF(($BZ36)&gt;0,($EE36)/($BZ36),""),"")</f>
        <v/>
      </c>
      <c r="EU36" s="56">
        <f>IFERROR(IF(($CA36)&gt;0,($EF36)/($CA36),""),"")</f>
        <v/>
      </c>
      <c r="EV36" s="56">
        <f>IFERROR(IF(($CB36)&gt;0,($EG36)/($CB36),""),"")</f>
        <v/>
      </c>
      <c r="EW36" s="76">
        <f>IFERROR(IF(($BZ36)&gt;0,($EH36)/($BZ36),""),"")</f>
        <v/>
      </c>
      <c r="EX36" s="76">
        <f>IFERROR(IF(($CA36)&gt;0,($EI36)/($CA36),""),"")</f>
        <v/>
      </c>
      <c r="EY36" s="76">
        <f>IFERROR(IF(($CB36)&gt;0,($EJ36)/($CB36),""),"")</f>
        <v/>
      </c>
      <c r="EZ36" s="56">
        <f>IFERROR(IF(($BZ36)&gt;0,($EK36)/($BZ36),""),"")</f>
        <v/>
      </c>
      <c r="FA36" s="56">
        <f>IFERROR(IF(($CA36)&gt;0,($EL36)/($CA36),""),"")</f>
        <v/>
      </c>
      <c r="FB36" s="56">
        <f>IFERROR(IF(($CB36)&gt;0,($EM36)/($CB36),""),"")</f>
        <v/>
      </c>
      <c r="FC36" s="55">
        <f>IF(SUMIFS(tblPlant[GIC_oz],tblPlant[Date],$A36)&gt;0,SUMIFS(tblPlant[GIC_oz],tblPlant[Date],$A36),"")</f>
        <v/>
      </c>
      <c r="FD36" s="55">
        <f>SUMIFS(tblGold[Gold_oz],tblGold[Date],$A36,tblGold[Type],"Shipment")</f>
        <v/>
      </c>
      <c r="FE36" s="55">
        <f>IF($B36=$B35,$FE35,0)+$FD36</f>
        <v/>
      </c>
      <c r="FF36" s="55">
        <f>$FF35+$FD36</f>
        <v/>
      </c>
      <c r="FG36" s="55">
        <f>SUMIFS(tblGold[Gold_oz],tblGold[Date],$A36,tblGold[Type],"Sale")</f>
        <v/>
      </c>
      <c r="FH36" s="55">
        <f>IF($B36=$B35,$FH35,0)+$FG36</f>
        <v/>
      </c>
      <c r="FI36" s="55">
        <f>$FI35+$FG36</f>
        <v/>
      </c>
      <c r="FJ36" s="55">
        <f>SUMIFS(tblGold[Dore_kg],tblGold[Date],$A36,tblGold[Type],"Shipment")</f>
        <v/>
      </c>
      <c r="FK36" s="55">
        <f>IF($B36=$B35,$FK35,0)+$FJ36</f>
        <v/>
      </c>
      <c r="FL36" s="55">
        <f>$FL35+$FJ36</f>
        <v/>
      </c>
      <c r="FM36" s="57">
        <f>SUMIFS(tblSafety[Hours_Total],tblSafety[Date],$A36)</f>
        <v/>
      </c>
      <c r="FN36" s="57">
        <f>IF($B36=$B35,$FN35,0)+$FM36</f>
        <v/>
      </c>
      <c r="FO36" s="57">
        <f>$FO35+$FM36</f>
        <v/>
      </c>
      <c r="FP36" s="62">
        <f>SUMIFS(tblSafety[Fatality],tblSafety[Date],$A36)</f>
        <v/>
      </c>
      <c r="FQ36" s="62">
        <f>IF($B36=$B35,$FQ35,0)+$FP36</f>
        <v/>
      </c>
      <c r="FR36" s="62">
        <f>$FR35+$FP36</f>
        <v/>
      </c>
      <c r="FS36" s="62">
        <f>SUMIFS(tblSafety[LTI],tblSafety[Date],$A36)</f>
        <v/>
      </c>
      <c r="FT36" s="62">
        <f>IF($B36=$B35,$FT35,0)+$FS36</f>
        <v/>
      </c>
      <c r="FU36" s="62">
        <f>$FU35+$FS36</f>
        <v/>
      </c>
      <c r="FV36" s="62">
        <f>SUMIFS(tblSafety[RWI],tblSafety[Date],$A36)</f>
        <v/>
      </c>
      <c r="FW36" s="62">
        <f>IF($B36=$B35,$FW35,0)+$FV36</f>
        <v/>
      </c>
      <c r="FX36" s="62">
        <f>$FX35+$FV36</f>
        <v/>
      </c>
      <c r="FY36" s="62">
        <f>SUMIFS(tblSafety[MTI],tblSafety[Date],$A36)</f>
        <v/>
      </c>
      <c r="FZ36" s="62">
        <f>IF($B36=$B35,$FZ35,0)+$FY36</f>
        <v/>
      </c>
      <c r="GA36" s="62">
        <f>$GA35+$FY36</f>
        <v/>
      </c>
      <c r="GB36" s="62">
        <f>SUMIFS(tblSafety[FAI],tblSafety[Date],$A36)</f>
        <v/>
      </c>
      <c r="GC36" s="62">
        <f>IF($B36=$B35,$GC35,0)+$GB36</f>
        <v/>
      </c>
      <c r="GD36" s="62">
        <f>$GD35+$GB36</f>
        <v/>
      </c>
      <c r="GE36" s="62">
        <f>SUMIFS(tblSafety[Recordables],tblSafety[Date],$A36)</f>
        <v/>
      </c>
      <c r="GF36" s="62">
        <f>IF($B36=$B35,$GF35,0)+$GE36</f>
        <v/>
      </c>
      <c r="GG36" s="62">
        <f>$GG35+$GE36</f>
        <v/>
      </c>
      <c r="GH36" s="62">
        <f>SUMIFS(tblSafety[Near_Miss],tblSafety[Date],$A36)</f>
        <v/>
      </c>
      <c r="GI36" s="62">
        <f>IF($B36=$B35,$GI35,0)+$GH36</f>
        <v/>
      </c>
      <c r="GJ36" s="62">
        <f>$GJ35+$GH36</f>
        <v/>
      </c>
      <c r="GK36" s="62">
        <f>SUMIFS(tblSafety[Hazard_Reports],tblSafety[Date],$A36)</f>
        <v/>
      </c>
      <c r="GL36" s="62">
        <f>IF($B36=$B35,$GL35,0)+$GK36</f>
        <v/>
      </c>
      <c r="GM36" s="62">
        <f>$GM35+$GK36</f>
        <v/>
      </c>
      <c r="GN36" s="62">
        <f>SUMIFS(tblSafety[HPI],tblSafety[Date],$A36)</f>
        <v/>
      </c>
      <c r="GO36" s="62">
        <f>IF($B36=$B35,$GO35,0)+$GN36</f>
        <v/>
      </c>
      <c r="GP36" s="62">
        <f>$GP35+$GN36</f>
        <v/>
      </c>
      <c r="GQ36" s="62">
        <f>SUMIFS(tblSafety[Env_Incidents],tblSafety[Date],$A36)</f>
        <v/>
      </c>
      <c r="GR36" s="62">
        <f>IF($B36=$B35,$GR35,0)+$GQ36</f>
        <v/>
      </c>
      <c r="GS36" s="62">
        <f>$GS35+$GQ36</f>
        <v/>
      </c>
      <c r="GT36" s="62">
        <f>SUMIFS(tblSafety[Community_Incidents],tblSafety[Date],$A36)</f>
        <v/>
      </c>
      <c r="GU36" s="62">
        <f>IF($B36=$B35,$GU35,0)+$GT36</f>
        <v/>
      </c>
      <c r="GV36" s="62">
        <f>$GV35+$GT36</f>
        <v/>
      </c>
      <c r="GW36" s="62">
        <f>SUMIFS(tblSafety[Vehicle_Incidents],tblSafety[Date],$A36)</f>
        <v/>
      </c>
      <c r="GX36" s="62">
        <f>IF($B36=$B35,$GX35,0)+$GW36</f>
        <v/>
      </c>
      <c r="GY36" s="62">
        <f>$GY35+$GW36</f>
        <v/>
      </c>
      <c r="GZ36" s="62">
        <f>SUMIFS(tblSafety[Toolbox_Talks],tblSafety[Date],$A36)</f>
        <v/>
      </c>
      <c r="HA36" s="62">
        <f>IF($B36=$B35,$HA35,0)+$GZ36</f>
        <v/>
      </c>
      <c r="HB36" s="62">
        <f>$HB35+$GZ36</f>
        <v/>
      </c>
      <c r="HC36" s="62">
        <f>SUMIFS(tblSafety[Inspections],tblSafety[Date],$A36)</f>
        <v/>
      </c>
      <c r="HD36" s="62">
        <f>IF($B36=$B35,$HD35,0)+$HC36</f>
        <v/>
      </c>
      <c r="HE36" s="62">
        <f>$HE35+$HC36</f>
        <v/>
      </c>
      <c r="HF36" s="56">
        <f>IFERROR((SUMIFS(tblSafety[Recordables],tblSafety[Date],"&gt;="&amp;EDATE($E36,-12),tblSafety[Date],"&lt;="&amp;$A36)+SUMIFS(tblSafetyHistory[Recordables],tblSafetyHistory[Month],"&gt;="&amp;EDATE($E36,-12),tblSafetyHistory[Month],"&lt;"&amp;cfg_YearStart))/(SUMIFS(tblSafety[Hours_Total],tblSafety[Date],"&gt;="&amp;EDATE($E36,-12),tblSafety[Date],"&lt;="&amp;$A36)+SUMIFS(tblSafetyHistory[Hours_Total],tblSafetyHistory[Month],"&gt;="&amp;EDATE($E36,-12),tblSafetyHistory[Month],"&lt;"&amp;cfg_YearStart))*1000000,"")</f>
        <v/>
      </c>
      <c r="HG36" s="56">
        <f>IFERROR((SUMIFS(tblSafety[LTI],tblSafety[Date],"&gt;="&amp;EDATE($E36,-12),tblSafety[Date],"&lt;="&amp;$A36)+SUMIFS(tblSafetyHistory[LTI],tblSafetyHistory[Month],"&gt;="&amp;EDATE($E36,-12),tblSafetyHistory[Month],"&lt;"&amp;cfg_YearStart))/(SUMIFS(tblSafety[Hours_Total],tblSafety[Date],"&gt;="&amp;EDATE($E36,-12),tblSafety[Date],"&lt;="&amp;$A36)+SUMIFS(tblSafetyHistory[Hours_Total],tblSafetyHistory[Month],"&gt;="&amp;EDATE($E36,-12),tblSafetyHistory[Month],"&lt;"&amp;cfg_YearStart))*1000000,"")</f>
        <v/>
      </c>
      <c r="HH36" s="62">
        <f>IF(MAX(N(cfg_PriorLTIDate),_xlfn.MAXIFS(tblSafety[Date],tblSafety[LTI],"&gt;0",tblSafety[Date],"&lt;="&amp;$A36))=0,"",$A36-MAX(N(cfg_PriorLTIDate),_xlfn.MAXIFS(tblSafety[Date],tblSafety[LTI],"&gt;0",tblSafety[Date],"&lt;="&amp;$A36)))</f>
        <v/>
      </c>
      <c r="HI36" s="55">
        <f>SUMIFS(tblBudget[Ore_Mined_t],tblBudget[Month],$E36)</f>
        <v/>
      </c>
      <c r="HJ36" s="55">
        <f>$HI36*$C36/$D36</f>
        <v/>
      </c>
      <c r="HK36" s="55">
        <f>SUMIFS(tblBudget[Ore_Mined_t],tblBudget[Month],"&lt;"&amp;$E36)+$HJ36</f>
        <v/>
      </c>
      <c r="HL36" s="55">
        <f>SUMIFS(tblBudget[Ore_oz],tblBudget[Month],$E36)</f>
        <v/>
      </c>
      <c r="HM36" s="55">
        <f>$HL36*$C36/$D36</f>
        <v/>
      </c>
      <c r="HN36" s="55">
        <f>SUMIFS(tblBudget[Ore_oz],tblBudget[Month],"&lt;"&amp;$E36)+$HM36</f>
        <v/>
      </c>
      <c r="HO36" s="56">
        <f>IFERROR(IF(($HI36)&gt;0,($HL36*cfg_TroyOz)/($HI36),""),"")</f>
        <v/>
      </c>
      <c r="HP36" s="56">
        <f>IFERROR(IF(($HJ36)&gt;0,($HM36*cfg_TroyOz)/($HJ36),""),"")</f>
        <v/>
      </c>
      <c r="HQ36" s="56">
        <f>IFERROR(IF(($HK36)&gt;0,($HN36*cfg_TroyOz)/($HK36),""),"")</f>
        <v/>
      </c>
      <c r="HR36" s="55">
        <f>SUMIFS(tblBudget[Waste_t],tblBudget[Month],$E36)</f>
        <v/>
      </c>
      <c r="HS36" s="55">
        <f>$HR36*$C36/$D36</f>
        <v/>
      </c>
      <c r="HT36" s="55">
        <f>SUMIFS(tblBudget[Waste_t],tblBudget[Month],"&lt;"&amp;$E36)+$HS36</f>
        <v/>
      </c>
      <c r="HU36" s="55">
        <f>SUMIFS(tblBudget[TMM_t],tblBudget[Month],$E36)</f>
        <v/>
      </c>
      <c r="HV36" s="55">
        <f>$HU36*$C36/$D36</f>
        <v/>
      </c>
      <c r="HW36" s="55">
        <f>SUMIFS(tblBudget[TMM_t],tblBudget[Month],"&lt;"&amp;$E36)+$HV36</f>
        <v/>
      </c>
      <c r="HX36" s="56">
        <f>IFERROR(IF(($HI36)&gt;0,($HR36)/($HI36),""),"")</f>
        <v/>
      </c>
      <c r="HY36" s="56">
        <f>IFERROR(IF(($HJ36)&gt;0,($HS36)/($HJ36),""),"")</f>
        <v/>
      </c>
      <c r="HZ36" s="56">
        <f>IFERROR(IF(($HK36)&gt;0,($HT36)/($HK36),""),"")</f>
        <v/>
      </c>
      <c r="IA36" s="55">
        <f>SUMIFS(tblBudget[Drill_m],tblBudget[Month],$E36)</f>
        <v/>
      </c>
      <c r="IB36" s="55">
        <f>$IA36*$C36/$D36</f>
        <v/>
      </c>
      <c r="IC36" s="55">
        <f>SUMIFS(tblBudget[Drill_m],tblBudget[Month],"&lt;"&amp;$E36)+$IB36</f>
        <v/>
      </c>
      <c r="ID36" s="55">
        <f>SUMIFS(tblBudget[Diesel_L],tblBudget[Month],$E36)</f>
        <v/>
      </c>
      <c r="IE36" s="55">
        <f>$ID36*$C36/$D36</f>
        <v/>
      </c>
      <c r="IF36" s="55">
        <f>SUMIFS(tblBudget[Diesel_L],tblBudget[Month],"&lt;"&amp;$E36)+$IE36</f>
        <v/>
      </c>
      <c r="IG36" s="55">
        <f>SUMIFS(tblBudget[Milled_t],tblBudget[Month],$E36)</f>
        <v/>
      </c>
      <c r="IH36" s="55">
        <f>$IG36*$C36/$D36</f>
        <v/>
      </c>
      <c r="II36" s="55">
        <f>SUMIFS(tblBudget[Milled_t],tblBudget[Month],"&lt;"&amp;$E36)+$IH36</f>
        <v/>
      </c>
      <c r="IJ36" s="55">
        <f>SUMIFS(tblBudget[Feed_oz],tblBudget[Month],$E36)</f>
        <v/>
      </c>
      <c r="IK36" s="55">
        <f>$IJ36*$C36/$D36</f>
        <v/>
      </c>
      <c r="IL36" s="55">
        <f>SUMIFS(tblBudget[Feed_oz],tblBudget[Month],"&lt;"&amp;$E36)+$IK36</f>
        <v/>
      </c>
      <c r="IM36" s="55">
        <f>SUMIFS(tblBudget[Recovered_oz],tblBudget[Month],$E36)</f>
        <v/>
      </c>
      <c r="IN36" s="55">
        <f>$IM36*$C36/$D36</f>
        <v/>
      </c>
      <c r="IO36" s="55">
        <f>SUMIFS(tblBudget[Recovered_oz],tblBudget[Month],"&lt;"&amp;$E36)+$IN36</f>
        <v/>
      </c>
      <c r="IP36" s="56">
        <f>IFERROR(IF(($IG36)&gt;0,($IJ36*cfg_TroyOz)/($IG36),""),"")</f>
        <v/>
      </c>
      <c r="IQ36" s="56">
        <f>IFERROR(IF(($IH36)&gt;0,($IK36*cfg_TroyOz)/($IH36),""),"")</f>
        <v/>
      </c>
      <c r="IR36" s="56">
        <f>IFERROR(IF(($II36)&gt;0,($IL36*cfg_TroyOz)/($II36),""),"")</f>
        <v/>
      </c>
      <c r="IS36" s="67">
        <f>IFERROR(IF(($IJ36)&gt;0,($IM36)/($IJ36),""),"")</f>
        <v/>
      </c>
      <c r="IT36" s="67">
        <f>IFERROR(IF(($IK36)&gt;0,($IN36)/($IK36),""),"")</f>
        <v/>
      </c>
      <c r="IU36" s="67">
        <f>IFERROR(IF(($IL36)&gt;0,($IO36)/($IL36),""),"")</f>
        <v/>
      </c>
      <c r="IV36" s="55">
        <f>SUMIFS(tblBudget[Gold_Poured_oz],tblBudget[Month],$E36)</f>
        <v/>
      </c>
      <c r="IW36" s="55">
        <f>$IV36*$C36/$D36</f>
        <v/>
      </c>
      <c r="IX36" s="55">
        <f>SUMIFS(tblBudget[Gold_Poured_oz],tblBudget[Month],"&lt;"&amp;$E36)+$IW36</f>
        <v/>
      </c>
      <c r="IY36" s="57">
        <f>SUMIFS(tblBudget[Hours_Worked],tblBudget[Month],$E36)</f>
        <v/>
      </c>
      <c r="IZ36" s="57">
        <f>$IY36*$C36/$D36</f>
        <v/>
      </c>
      <c r="JA36" s="57">
        <f>SUMIFS(tblBudget[Hours_Worked],tblBudget[Month],"&lt;"&amp;$E36)+$IZ36</f>
        <v/>
      </c>
    </row>
    <row r="37">
      <c r="A37" s="54" t="n">
        <v>46058</v>
      </c>
      <c r="B37">
        <f>MONTH($A37)</f>
        <v/>
      </c>
      <c r="C37">
        <f>DAY($A37)</f>
        <v/>
      </c>
      <c r="D37">
        <f>DAY(EOMONTH($A37,0))</f>
        <v/>
      </c>
      <c r="E37" s="54">
        <f>DATE(YEAR($A37),MONTH($A37),1)</f>
        <v/>
      </c>
      <c r="F37" s="55">
        <f>SUMIFS(tblMovement[Tonnes_t],tblMovement[Date],$A37,tblMovement[Is_Ore],1,tblMovement[Source_Type],"Pit")</f>
        <v/>
      </c>
      <c r="G37" s="55">
        <f>IF($B37=$B36,$G36,0)+$F37</f>
        <v/>
      </c>
      <c r="H37" s="55">
        <f>$H36+$F37</f>
        <v/>
      </c>
      <c r="I37" s="55">
        <f>SUMIFS(tblMovement[Ore_oz],tblMovement[Date],$A37,tblMovement[Source_Type],"Pit")</f>
        <v/>
      </c>
      <c r="J37" s="55">
        <f>IF($B37=$B36,$J36,0)+$I37</f>
        <v/>
      </c>
      <c r="K37" s="55">
        <f>$K36+$I37</f>
        <v/>
      </c>
      <c r="L37" s="56">
        <f>IFERROR(IF(($F37)&gt;0,($I37*cfg_TroyOz)/($F37),""),"")</f>
        <v/>
      </c>
      <c r="M37" s="56">
        <f>IFERROR(IF(($G37)&gt;0,($J37*cfg_TroyOz)/($G37),""),"")</f>
        <v/>
      </c>
      <c r="N37" s="56">
        <f>IFERROR(IF(($H37)&gt;0,($K37*cfg_TroyOz)/($H37),""),"")</f>
        <v/>
      </c>
      <c r="O37" s="55">
        <f>SUMIFS(tblMovement[Tonnes_t],tblMovement[Date],$A37,tblMovement[Is_Ore],0,tblMovement[Source_Type],"Pit")</f>
        <v/>
      </c>
      <c r="P37" s="55">
        <f>IF($B37=$B36,$P36,0)+$O37</f>
        <v/>
      </c>
      <c r="Q37" s="55">
        <f>$Q36+$O37</f>
        <v/>
      </c>
      <c r="R37" s="55">
        <f>$F37+$O37</f>
        <v/>
      </c>
      <c r="S37" s="55">
        <f>IF($B37=$B36,$S36,0)+$R37</f>
        <v/>
      </c>
      <c r="T37" s="55">
        <f>$T36+$R37</f>
        <v/>
      </c>
      <c r="U37" s="56">
        <f>IFERROR(IF(($F37)&gt;0,($O37)/($F37),""),"")</f>
        <v/>
      </c>
      <c r="V37" s="56">
        <f>IFERROR(IF(($G37)&gt;0,($P37)/($G37),""),"")</f>
        <v/>
      </c>
      <c r="W37" s="56">
        <f>IFERROR(IF(($H37)&gt;0,($Q37)/($H37),""),"")</f>
        <v/>
      </c>
      <c r="X37" s="55">
        <f>SUMIFS(tblMovement[Tonnes_t],tblMovement[Date],$A37,tblMovement[Source_Type],"Stockpile")</f>
        <v/>
      </c>
      <c r="Y37" s="55">
        <f>IF($B37=$B36,$Y36,0)+$X37</f>
        <v/>
      </c>
      <c r="Z37" s="55">
        <f>$Z36+$X37</f>
        <v/>
      </c>
      <c r="AA37" s="55">
        <f>SUMIFS(tblMiningDaily[Drill_m],tblMiningDaily[Date],$A37)</f>
        <v/>
      </c>
      <c r="AB37" s="55">
        <f>IF($B37=$B36,$AB36,0)+$AA37</f>
        <v/>
      </c>
      <c r="AC37" s="55">
        <f>$AC36+$AA37</f>
        <v/>
      </c>
      <c r="AD37" s="55">
        <f>SUMIFS(tblMiningDaily[Blast_t],tblMiningDaily[Date],$A37)</f>
        <v/>
      </c>
      <c r="AE37" s="55">
        <f>IF($B37=$B36,$AE36,0)+$AD37</f>
        <v/>
      </c>
      <c r="AF37" s="55">
        <f>$AF36+$AD37</f>
        <v/>
      </c>
      <c r="AG37" s="55">
        <f>SUMIFS(tblMiningDaily[Explosives_kg],tblMiningDaily[Date],$A37)</f>
        <v/>
      </c>
      <c r="AH37" s="55">
        <f>IF($B37=$B36,$AH36,0)+$AG37</f>
        <v/>
      </c>
      <c r="AI37" s="55">
        <f>$AI36+$AG37</f>
        <v/>
      </c>
      <c r="AJ37" s="56">
        <f>IFERROR(IF(($AD37)&gt;0,($AG37)/($AD37),""),"")</f>
        <v/>
      </c>
      <c r="AK37" s="56">
        <f>IFERROR(IF(($AE37)&gt;0,($AH37)/($AE37),""),"")</f>
        <v/>
      </c>
      <c r="AL37" s="56">
        <f>IFERROR(IF(($AF37)&gt;0,($AI37)/($AF37),""),"")</f>
        <v/>
      </c>
      <c r="AM37" s="55">
        <f>SUMIFS(tblMiningDaily[Diesel_L],tblMiningDaily[Date],$A37)</f>
        <v/>
      </c>
      <c r="AN37" s="55">
        <f>IF($B37=$B36,$AN36,0)+$AM37</f>
        <v/>
      </c>
      <c r="AO37" s="55">
        <f>$AO36+$AM37</f>
        <v/>
      </c>
      <c r="AP37" s="55">
        <f>SUMIFS(tblMiningDaily[Dewatering_m3],tblMiningDaily[Date],$A37)</f>
        <v/>
      </c>
      <c r="AQ37" s="55">
        <f>IF($B37=$B36,$AQ36,0)+$AP37</f>
        <v/>
      </c>
      <c r="AR37" s="55">
        <f>$AR36+$AP37</f>
        <v/>
      </c>
      <c r="AS37" s="57">
        <f>SUMIFS(tblFleet[Calendar_h],tblFleet[Date],$A37,tblFleet[Equipment_Class],"Excavator")</f>
        <v/>
      </c>
      <c r="AT37" s="57">
        <f>IF($B37=$B36,$AT36,0)+$AS37</f>
        <v/>
      </c>
      <c r="AU37" s="57">
        <f>$AU36+$AS37</f>
        <v/>
      </c>
      <c r="AV37" s="57">
        <f>SUMIFS(tblFleet[Available_h],tblFleet[Date],$A37,tblFleet[Equipment_Class],"Excavator")</f>
        <v/>
      </c>
      <c r="AW37" s="57">
        <f>IF($B37=$B36,$AW36,0)+$AV37</f>
        <v/>
      </c>
      <c r="AX37" s="57">
        <f>$AX36+$AV37</f>
        <v/>
      </c>
      <c r="AY37" s="57">
        <f>SUMIFS(tblFleet[Operating_h],tblFleet[Date],$A37,tblFleet[Equipment_Class],"Excavator")</f>
        <v/>
      </c>
      <c r="AZ37" s="57">
        <f>IF($B37=$B36,$AZ36,0)+$AY37</f>
        <v/>
      </c>
      <c r="BA37" s="57">
        <f>$BA36+$AY37</f>
        <v/>
      </c>
      <c r="BB37" s="67">
        <f>IFERROR(IF(($AS37)&gt;0,($AV37)/($AS37),""),"")</f>
        <v/>
      </c>
      <c r="BC37" s="67">
        <f>IFERROR(IF(($AT37)&gt;0,($AW37)/($AT37),""),"")</f>
        <v/>
      </c>
      <c r="BD37" s="67">
        <f>IFERROR(IF(($AU37)&gt;0,($AX37)/($AU37),""),"")</f>
        <v/>
      </c>
      <c r="BE37" s="67">
        <f>IFERROR(IF(($AV37)&gt;0,($AY37)/($AV37),""),"")</f>
        <v/>
      </c>
      <c r="BF37" s="67">
        <f>IFERROR(IF(($AW37)&gt;0,($AZ37)/($AW37),""),"")</f>
        <v/>
      </c>
      <c r="BG37" s="67">
        <f>IFERROR(IF(($AX37)&gt;0,($BA37)/($AX37),""),"")</f>
        <v/>
      </c>
      <c r="BH37" s="57">
        <f>SUMIFS(tblFleet[Calendar_h],tblFleet[Date],$A37,tblFleet[Equipment_Class],"Haul Truck")</f>
        <v/>
      </c>
      <c r="BI37" s="57">
        <f>IF($B37=$B36,$BI36,0)+$BH37</f>
        <v/>
      </c>
      <c r="BJ37" s="57">
        <f>$BJ36+$BH37</f>
        <v/>
      </c>
      <c r="BK37" s="57">
        <f>SUMIFS(tblFleet[Available_h],tblFleet[Date],$A37,tblFleet[Equipment_Class],"Haul Truck")</f>
        <v/>
      </c>
      <c r="BL37" s="57">
        <f>IF($B37=$B36,$BL36,0)+$BK37</f>
        <v/>
      </c>
      <c r="BM37" s="57">
        <f>$BM36+$BK37</f>
        <v/>
      </c>
      <c r="BN37" s="57">
        <f>SUMIFS(tblFleet[Operating_h],tblFleet[Date],$A37,tblFleet[Equipment_Class],"Haul Truck")</f>
        <v/>
      </c>
      <c r="BO37" s="57">
        <f>IF($B37=$B36,$BO36,0)+$BN37</f>
        <v/>
      </c>
      <c r="BP37" s="57">
        <f>$BP36+$BN37</f>
        <v/>
      </c>
      <c r="BQ37" s="67">
        <f>IFERROR(IF(($BH37)&gt;0,($BK37)/($BH37),""),"")</f>
        <v/>
      </c>
      <c r="BR37" s="67">
        <f>IFERROR(IF(($BI37)&gt;0,($BL37)/($BI37),""),"")</f>
        <v/>
      </c>
      <c r="BS37" s="67">
        <f>IFERROR(IF(($BJ37)&gt;0,($BM37)/($BJ37),""),"")</f>
        <v/>
      </c>
      <c r="BT37" s="67">
        <f>IFERROR(IF(($BK37)&gt;0,($BN37)/($BK37),""),"")</f>
        <v/>
      </c>
      <c r="BU37" s="67">
        <f>IFERROR(IF(($BL37)&gt;0,($BO37)/($BL37),""),"")</f>
        <v/>
      </c>
      <c r="BV37" s="67">
        <f>IFERROR(IF(($BM37)&gt;0,($BP37)/($BM37),""),"")</f>
        <v/>
      </c>
      <c r="BW37" s="55">
        <f>SUMIFS(tblPlant[Crushed_t],tblPlant[Date],$A37)</f>
        <v/>
      </c>
      <c r="BX37" s="55">
        <f>IF($B37=$B36,$BX36,0)+$BW37</f>
        <v/>
      </c>
      <c r="BY37" s="55">
        <f>$BY36+$BW37</f>
        <v/>
      </c>
      <c r="BZ37" s="55">
        <f>SUMIFS(tblPlant[Milled_t],tblPlant[Date],$A37)</f>
        <v/>
      </c>
      <c r="CA37" s="55">
        <f>IF($B37=$B36,$CA36,0)+$BZ37</f>
        <v/>
      </c>
      <c r="CB37" s="55">
        <f>$CB36+$BZ37</f>
        <v/>
      </c>
      <c r="CC37" s="55">
        <f>SUMIFS(tblPlant[Feed_oz],tblPlant[Date],$A37)</f>
        <v/>
      </c>
      <c r="CD37" s="55">
        <f>IF($B37=$B36,$CD36,0)+$CC37</f>
        <v/>
      </c>
      <c r="CE37" s="55">
        <f>$CE36+$CC37</f>
        <v/>
      </c>
      <c r="CF37" s="55">
        <f>SUMIFS(tblPlant[Tails_oz],tblPlant[Date],$A37)</f>
        <v/>
      </c>
      <c r="CG37" s="55">
        <f>IF($B37=$B36,$CG36,0)+$CF37</f>
        <v/>
      </c>
      <c r="CH37" s="55">
        <f>$CH36+$CF37</f>
        <v/>
      </c>
      <c r="CI37" s="55">
        <f>SUMIFS(tblPlant[Recovered_oz],tblPlant[Date],$A37)</f>
        <v/>
      </c>
      <c r="CJ37" s="55">
        <f>IF($B37=$B36,$CJ36,0)+$CI37</f>
        <v/>
      </c>
      <c r="CK37" s="55">
        <f>$CK36+$CI37</f>
        <v/>
      </c>
      <c r="CL37" s="56">
        <f>IFERROR(IF(($BZ37)&gt;0,($CC37*cfg_TroyOz)/($BZ37),""),"")</f>
        <v/>
      </c>
      <c r="CM37" s="56">
        <f>IFERROR(IF(($CA37)&gt;0,($CD37*cfg_TroyOz)/($CA37),""),"")</f>
        <v/>
      </c>
      <c r="CN37" s="56">
        <f>IFERROR(IF(($CB37)&gt;0,($CE37*cfg_TroyOz)/($CB37),""),"")</f>
        <v/>
      </c>
      <c r="CO37" s="56">
        <f>IFERROR(IF(($BZ37)&gt;0,($CF37*cfg_TroyOz)/($BZ37),""),"")</f>
        <v/>
      </c>
      <c r="CP37" s="56">
        <f>IFERROR(IF(($CA37)&gt;0,($CG37*cfg_TroyOz)/($CA37),""),"")</f>
        <v/>
      </c>
      <c r="CQ37" s="56">
        <f>IFERROR(IF(($CB37)&gt;0,($CH37*cfg_TroyOz)/($CB37),""),"")</f>
        <v/>
      </c>
      <c r="CR37" s="67">
        <f>IFERROR(IF(($CC37)&gt;0,($CI37)/($CC37),""),"")</f>
        <v/>
      </c>
      <c r="CS37" s="67">
        <f>IFERROR(IF(($CD37)&gt;0,($CJ37)/($CD37),""),"")</f>
        <v/>
      </c>
      <c r="CT37" s="67">
        <f>IFERROR(IF(($CE37)&gt;0,($CK37)/($CE37),""),"")</f>
        <v/>
      </c>
      <c r="CU37" s="55">
        <f>SUMIFS(tblPlant[Gravity_Gold_oz],tblPlant[Date],$A37)</f>
        <v/>
      </c>
      <c r="CV37" s="55">
        <f>IF($B37=$B36,$CV36,0)+$CU37</f>
        <v/>
      </c>
      <c r="CW37" s="55">
        <f>$CW36+$CU37</f>
        <v/>
      </c>
      <c r="CX37" s="55">
        <f>SUMIFS(tblPlant[Gold_Poured_oz],tblPlant[Date],$A37)</f>
        <v/>
      </c>
      <c r="CY37" s="55">
        <f>IF($B37=$B36,$CY36,0)+$CX37</f>
        <v/>
      </c>
      <c r="CZ37" s="55">
        <f>$CZ36+$CX37</f>
        <v/>
      </c>
      <c r="DA37" s="57">
        <f>SUMIFS(tblPlant[Mill_Run_h],tblPlant[Date],$A37)</f>
        <v/>
      </c>
      <c r="DB37" s="57">
        <f>IF($B37=$B36,$DB36,0)+$DA37</f>
        <v/>
      </c>
      <c r="DC37" s="57">
        <f>$DC36+$DA37</f>
        <v/>
      </c>
      <c r="DD37" s="57">
        <f>SUMIFS(tblPlant[Mill_Planned_Maint_h],tblPlant[Date],$A37)</f>
        <v/>
      </c>
      <c r="DE37" s="57">
        <f>IF($B37=$B36,$DE36,0)+$DD37</f>
        <v/>
      </c>
      <c r="DF37" s="57">
        <f>$DF36+$DD37</f>
        <v/>
      </c>
      <c r="DG37" s="57">
        <f>SUMIFS(tblPlant[Mill_Unplanned_Down_h],tblPlant[Date],$A37)</f>
        <v/>
      </c>
      <c r="DH37" s="57">
        <f>IF($B37=$B36,$DH36,0)+$DG37</f>
        <v/>
      </c>
      <c r="DI37" s="57">
        <f>$DI36+$DG37</f>
        <v/>
      </c>
      <c r="DJ37" s="57">
        <f>COUNTIFS(tblPlant[Date],$A37,tblPlant[Mill_Run_h],"&lt;&gt;")*24</f>
        <v/>
      </c>
      <c r="DK37" s="57">
        <f>IF($B37=$B36,$DK36,0)+$DJ37</f>
        <v/>
      </c>
      <c r="DL37" s="57">
        <f>$DL36+$DJ37</f>
        <v/>
      </c>
      <c r="DM37" s="57">
        <f>SUMIFS(tblPlant[Crusher_Run_h],tblPlant[Date],$A37)</f>
        <v/>
      </c>
      <c r="DN37" s="57">
        <f>IF($B37=$B36,$DN36,0)+$DM37</f>
        <v/>
      </c>
      <c r="DO37" s="57">
        <f>$DO36+$DM37</f>
        <v/>
      </c>
      <c r="DP37" s="55">
        <f>IFERROR(IF(($DA37)&gt;0,($BZ37)/($DA37),""),"")</f>
        <v/>
      </c>
      <c r="DQ37" s="55">
        <f>IFERROR(IF(($DB37)&gt;0,($CA37)/($DB37),""),"")</f>
        <v/>
      </c>
      <c r="DR37" s="55">
        <f>IFERROR(IF(($DC37)&gt;0,($CB37)/($DC37),""),"")</f>
        <v/>
      </c>
      <c r="DS37" s="67">
        <f>IFERROR(IF(($DJ37)&gt;0,($DJ37-$DD37-$DG37)/($DJ37),""),"")</f>
        <v/>
      </c>
      <c r="DT37" s="67">
        <f>IFERROR(IF(($DK37)&gt;0,($DK37-$DE37-$DH37)/($DK37),""),"")</f>
        <v/>
      </c>
      <c r="DU37" s="67">
        <f>IFERROR(IF(($DL37)&gt;0,($DL37-$DF37-$DI37)/($DL37),""),"")</f>
        <v/>
      </c>
      <c r="DV37" s="67">
        <f>IFERROR(IF(($DJ37-$DD37-$DG37)&gt;0,($DA37)/($DJ37-$DD37-$DG37),""),"")</f>
        <v/>
      </c>
      <c r="DW37" s="67">
        <f>IFERROR(IF(($DK37-$DE37-$DH37)&gt;0,($DB37)/($DK37-$DE37-$DH37),""),"")</f>
        <v/>
      </c>
      <c r="DX37" s="67">
        <f>IFERROR(IF(($DL37-$DF37-$DI37)&gt;0,($DC37)/($DL37-$DF37-$DI37),""),"")</f>
        <v/>
      </c>
      <c r="DY37" s="55">
        <f>SUMIFS(tblPlant[Cyanide_kg],tblPlant[Date],$A37)</f>
        <v/>
      </c>
      <c r="DZ37" s="55">
        <f>IF($B37=$B36,$DZ36,0)+$DY37</f>
        <v/>
      </c>
      <c r="EA37" s="55">
        <f>$EA36+$DY37</f>
        <v/>
      </c>
      <c r="EB37" s="55">
        <f>SUMIFS(tblPlant[Lime_kg],tblPlant[Date],$A37)</f>
        <v/>
      </c>
      <c r="EC37" s="55">
        <f>IF($B37=$B36,$EC36,0)+$EB37</f>
        <v/>
      </c>
      <c r="ED37" s="55">
        <f>$ED36+$EB37</f>
        <v/>
      </c>
      <c r="EE37" s="55">
        <f>SUMIFS(tblPlant[Grinding_Media_kg],tblPlant[Date],$A37)</f>
        <v/>
      </c>
      <c r="EF37" s="55">
        <f>IF($B37=$B36,$EF36,0)+$EE37</f>
        <v/>
      </c>
      <c r="EG37" s="55">
        <f>$EG36+$EE37</f>
        <v/>
      </c>
      <c r="EH37" s="55">
        <f>SUMIFS(tblPlant[Power_kWh],tblPlant[Date],$A37)</f>
        <v/>
      </c>
      <c r="EI37" s="55">
        <f>IF($B37=$B36,$EI36,0)+$EH37</f>
        <v/>
      </c>
      <c r="EJ37" s="55">
        <f>$EJ36+$EH37</f>
        <v/>
      </c>
      <c r="EK37" s="55">
        <f>SUMIFS(tblPlant[Raw_Water_m3],tblPlant[Date],$A37)</f>
        <v/>
      </c>
      <c r="EL37" s="55">
        <f>IF($B37=$B36,$EL36,0)+$EK37</f>
        <v/>
      </c>
      <c r="EM37" s="55">
        <f>$EM36+$EK37</f>
        <v/>
      </c>
      <c r="EN37" s="56">
        <f>IFERROR(IF(($BZ37)&gt;0,($DY37)/($BZ37),""),"")</f>
        <v/>
      </c>
      <c r="EO37" s="56">
        <f>IFERROR(IF(($CA37)&gt;0,($DZ37)/($CA37),""),"")</f>
        <v/>
      </c>
      <c r="EP37" s="56">
        <f>IFERROR(IF(($CB37)&gt;0,($EA37)/($CB37),""),"")</f>
        <v/>
      </c>
      <c r="EQ37" s="56">
        <f>IFERROR(IF(($BZ37)&gt;0,($EB37)/($BZ37),""),"")</f>
        <v/>
      </c>
      <c r="ER37" s="56">
        <f>IFERROR(IF(($CA37)&gt;0,($EC37)/($CA37),""),"")</f>
        <v/>
      </c>
      <c r="ES37" s="56">
        <f>IFERROR(IF(($CB37)&gt;0,($ED37)/($CB37),""),"")</f>
        <v/>
      </c>
      <c r="ET37" s="56">
        <f>IFERROR(IF(($BZ37)&gt;0,($EE37)/($BZ37),""),"")</f>
        <v/>
      </c>
      <c r="EU37" s="56">
        <f>IFERROR(IF(($CA37)&gt;0,($EF37)/($CA37),""),"")</f>
        <v/>
      </c>
      <c r="EV37" s="56">
        <f>IFERROR(IF(($CB37)&gt;0,($EG37)/($CB37),""),"")</f>
        <v/>
      </c>
      <c r="EW37" s="76">
        <f>IFERROR(IF(($BZ37)&gt;0,($EH37)/($BZ37),""),"")</f>
        <v/>
      </c>
      <c r="EX37" s="76">
        <f>IFERROR(IF(($CA37)&gt;0,($EI37)/($CA37),""),"")</f>
        <v/>
      </c>
      <c r="EY37" s="76">
        <f>IFERROR(IF(($CB37)&gt;0,($EJ37)/($CB37),""),"")</f>
        <v/>
      </c>
      <c r="EZ37" s="56">
        <f>IFERROR(IF(($BZ37)&gt;0,($EK37)/($BZ37),""),"")</f>
        <v/>
      </c>
      <c r="FA37" s="56">
        <f>IFERROR(IF(($CA37)&gt;0,($EL37)/($CA37),""),"")</f>
        <v/>
      </c>
      <c r="FB37" s="56">
        <f>IFERROR(IF(($CB37)&gt;0,($EM37)/($CB37),""),"")</f>
        <v/>
      </c>
      <c r="FC37" s="55">
        <f>IF(SUMIFS(tblPlant[GIC_oz],tblPlant[Date],$A37)&gt;0,SUMIFS(tblPlant[GIC_oz],tblPlant[Date],$A37),"")</f>
        <v/>
      </c>
      <c r="FD37" s="55">
        <f>SUMIFS(tblGold[Gold_oz],tblGold[Date],$A37,tblGold[Type],"Shipment")</f>
        <v/>
      </c>
      <c r="FE37" s="55">
        <f>IF($B37=$B36,$FE36,0)+$FD37</f>
        <v/>
      </c>
      <c r="FF37" s="55">
        <f>$FF36+$FD37</f>
        <v/>
      </c>
      <c r="FG37" s="55">
        <f>SUMIFS(tblGold[Gold_oz],tblGold[Date],$A37,tblGold[Type],"Sale")</f>
        <v/>
      </c>
      <c r="FH37" s="55">
        <f>IF($B37=$B36,$FH36,0)+$FG37</f>
        <v/>
      </c>
      <c r="FI37" s="55">
        <f>$FI36+$FG37</f>
        <v/>
      </c>
      <c r="FJ37" s="55">
        <f>SUMIFS(tblGold[Dore_kg],tblGold[Date],$A37,tblGold[Type],"Shipment")</f>
        <v/>
      </c>
      <c r="FK37" s="55">
        <f>IF($B37=$B36,$FK36,0)+$FJ37</f>
        <v/>
      </c>
      <c r="FL37" s="55">
        <f>$FL36+$FJ37</f>
        <v/>
      </c>
      <c r="FM37" s="57">
        <f>SUMIFS(tblSafety[Hours_Total],tblSafety[Date],$A37)</f>
        <v/>
      </c>
      <c r="FN37" s="57">
        <f>IF($B37=$B36,$FN36,0)+$FM37</f>
        <v/>
      </c>
      <c r="FO37" s="57">
        <f>$FO36+$FM37</f>
        <v/>
      </c>
      <c r="FP37" s="62">
        <f>SUMIFS(tblSafety[Fatality],tblSafety[Date],$A37)</f>
        <v/>
      </c>
      <c r="FQ37" s="62">
        <f>IF($B37=$B36,$FQ36,0)+$FP37</f>
        <v/>
      </c>
      <c r="FR37" s="62">
        <f>$FR36+$FP37</f>
        <v/>
      </c>
      <c r="FS37" s="62">
        <f>SUMIFS(tblSafety[LTI],tblSafety[Date],$A37)</f>
        <v/>
      </c>
      <c r="FT37" s="62">
        <f>IF($B37=$B36,$FT36,0)+$FS37</f>
        <v/>
      </c>
      <c r="FU37" s="62">
        <f>$FU36+$FS37</f>
        <v/>
      </c>
      <c r="FV37" s="62">
        <f>SUMIFS(tblSafety[RWI],tblSafety[Date],$A37)</f>
        <v/>
      </c>
      <c r="FW37" s="62">
        <f>IF($B37=$B36,$FW36,0)+$FV37</f>
        <v/>
      </c>
      <c r="FX37" s="62">
        <f>$FX36+$FV37</f>
        <v/>
      </c>
      <c r="FY37" s="62">
        <f>SUMIFS(tblSafety[MTI],tblSafety[Date],$A37)</f>
        <v/>
      </c>
      <c r="FZ37" s="62">
        <f>IF($B37=$B36,$FZ36,0)+$FY37</f>
        <v/>
      </c>
      <c r="GA37" s="62">
        <f>$GA36+$FY37</f>
        <v/>
      </c>
      <c r="GB37" s="62">
        <f>SUMIFS(tblSafety[FAI],tblSafety[Date],$A37)</f>
        <v/>
      </c>
      <c r="GC37" s="62">
        <f>IF($B37=$B36,$GC36,0)+$GB37</f>
        <v/>
      </c>
      <c r="GD37" s="62">
        <f>$GD36+$GB37</f>
        <v/>
      </c>
      <c r="GE37" s="62">
        <f>SUMIFS(tblSafety[Recordables],tblSafety[Date],$A37)</f>
        <v/>
      </c>
      <c r="GF37" s="62">
        <f>IF($B37=$B36,$GF36,0)+$GE37</f>
        <v/>
      </c>
      <c r="GG37" s="62">
        <f>$GG36+$GE37</f>
        <v/>
      </c>
      <c r="GH37" s="62">
        <f>SUMIFS(tblSafety[Near_Miss],tblSafety[Date],$A37)</f>
        <v/>
      </c>
      <c r="GI37" s="62">
        <f>IF($B37=$B36,$GI36,0)+$GH37</f>
        <v/>
      </c>
      <c r="GJ37" s="62">
        <f>$GJ36+$GH37</f>
        <v/>
      </c>
      <c r="GK37" s="62">
        <f>SUMIFS(tblSafety[Hazard_Reports],tblSafety[Date],$A37)</f>
        <v/>
      </c>
      <c r="GL37" s="62">
        <f>IF($B37=$B36,$GL36,0)+$GK37</f>
        <v/>
      </c>
      <c r="GM37" s="62">
        <f>$GM36+$GK37</f>
        <v/>
      </c>
      <c r="GN37" s="62">
        <f>SUMIFS(tblSafety[HPI],tblSafety[Date],$A37)</f>
        <v/>
      </c>
      <c r="GO37" s="62">
        <f>IF($B37=$B36,$GO36,0)+$GN37</f>
        <v/>
      </c>
      <c r="GP37" s="62">
        <f>$GP36+$GN37</f>
        <v/>
      </c>
      <c r="GQ37" s="62">
        <f>SUMIFS(tblSafety[Env_Incidents],tblSafety[Date],$A37)</f>
        <v/>
      </c>
      <c r="GR37" s="62">
        <f>IF($B37=$B36,$GR36,0)+$GQ37</f>
        <v/>
      </c>
      <c r="GS37" s="62">
        <f>$GS36+$GQ37</f>
        <v/>
      </c>
      <c r="GT37" s="62">
        <f>SUMIFS(tblSafety[Community_Incidents],tblSafety[Date],$A37)</f>
        <v/>
      </c>
      <c r="GU37" s="62">
        <f>IF($B37=$B36,$GU36,0)+$GT37</f>
        <v/>
      </c>
      <c r="GV37" s="62">
        <f>$GV36+$GT37</f>
        <v/>
      </c>
      <c r="GW37" s="62">
        <f>SUMIFS(tblSafety[Vehicle_Incidents],tblSafety[Date],$A37)</f>
        <v/>
      </c>
      <c r="GX37" s="62">
        <f>IF($B37=$B36,$GX36,0)+$GW37</f>
        <v/>
      </c>
      <c r="GY37" s="62">
        <f>$GY36+$GW37</f>
        <v/>
      </c>
      <c r="GZ37" s="62">
        <f>SUMIFS(tblSafety[Toolbox_Talks],tblSafety[Date],$A37)</f>
        <v/>
      </c>
      <c r="HA37" s="62">
        <f>IF($B37=$B36,$HA36,0)+$GZ37</f>
        <v/>
      </c>
      <c r="HB37" s="62">
        <f>$HB36+$GZ37</f>
        <v/>
      </c>
      <c r="HC37" s="62">
        <f>SUMIFS(tblSafety[Inspections],tblSafety[Date],$A37)</f>
        <v/>
      </c>
      <c r="HD37" s="62">
        <f>IF($B37=$B36,$HD36,0)+$HC37</f>
        <v/>
      </c>
      <c r="HE37" s="62">
        <f>$HE36+$HC37</f>
        <v/>
      </c>
      <c r="HF37" s="56">
        <f>IFERROR((SUMIFS(tblSafety[Recordables],tblSafety[Date],"&gt;="&amp;EDATE($E37,-12),tblSafety[Date],"&lt;="&amp;$A37)+SUMIFS(tblSafetyHistory[Recordables],tblSafetyHistory[Month],"&gt;="&amp;EDATE($E37,-12),tblSafetyHistory[Month],"&lt;"&amp;cfg_YearStart))/(SUMIFS(tblSafety[Hours_Total],tblSafety[Date],"&gt;="&amp;EDATE($E37,-12),tblSafety[Date],"&lt;="&amp;$A37)+SUMIFS(tblSafetyHistory[Hours_Total],tblSafetyHistory[Month],"&gt;="&amp;EDATE($E37,-12),tblSafetyHistory[Month],"&lt;"&amp;cfg_YearStart))*1000000,"")</f>
        <v/>
      </c>
      <c r="HG37" s="56">
        <f>IFERROR((SUMIFS(tblSafety[LTI],tblSafety[Date],"&gt;="&amp;EDATE($E37,-12),tblSafety[Date],"&lt;="&amp;$A37)+SUMIFS(tblSafetyHistory[LTI],tblSafetyHistory[Month],"&gt;="&amp;EDATE($E37,-12),tblSafetyHistory[Month],"&lt;"&amp;cfg_YearStart))/(SUMIFS(tblSafety[Hours_Total],tblSafety[Date],"&gt;="&amp;EDATE($E37,-12),tblSafety[Date],"&lt;="&amp;$A37)+SUMIFS(tblSafetyHistory[Hours_Total],tblSafetyHistory[Month],"&gt;="&amp;EDATE($E37,-12),tblSafetyHistory[Month],"&lt;"&amp;cfg_YearStart))*1000000,"")</f>
        <v/>
      </c>
      <c r="HH37" s="62">
        <f>IF(MAX(N(cfg_PriorLTIDate),_xlfn.MAXIFS(tblSafety[Date],tblSafety[LTI],"&gt;0",tblSafety[Date],"&lt;="&amp;$A37))=0,"",$A37-MAX(N(cfg_PriorLTIDate),_xlfn.MAXIFS(tblSafety[Date],tblSafety[LTI],"&gt;0",tblSafety[Date],"&lt;="&amp;$A37)))</f>
        <v/>
      </c>
      <c r="HI37" s="55">
        <f>SUMIFS(tblBudget[Ore_Mined_t],tblBudget[Month],$E37)</f>
        <v/>
      </c>
      <c r="HJ37" s="55">
        <f>$HI37*$C37/$D37</f>
        <v/>
      </c>
      <c r="HK37" s="55">
        <f>SUMIFS(tblBudget[Ore_Mined_t],tblBudget[Month],"&lt;"&amp;$E37)+$HJ37</f>
        <v/>
      </c>
      <c r="HL37" s="55">
        <f>SUMIFS(tblBudget[Ore_oz],tblBudget[Month],$E37)</f>
        <v/>
      </c>
      <c r="HM37" s="55">
        <f>$HL37*$C37/$D37</f>
        <v/>
      </c>
      <c r="HN37" s="55">
        <f>SUMIFS(tblBudget[Ore_oz],tblBudget[Month],"&lt;"&amp;$E37)+$HM37</f>
        <v/>
      </c>
      <c r="HO37" s="56">
        <f>IFERROR(IF(($HI37)&gt;0,($HL37*cfg_TroyOz)/($HI37),""),"")</f>
        <v/>
      </c>
      <c r="HP37" s="56">
        <f>IFERROR(IF(($HJ37)&gt;0,($HM37*cfg_TroyOz)/($HJ37),""),"")</f>
        <v/>
      </c>
      <c r="HQ37" s="56">
        <f>IFERROR(IF(($HK37)&gt;0,($HN37*cfg_TroyOz)/($HK37),""),"")</f>
        <v/>
      </c>
      <c r="HR37" s="55">
        <f>SUMIFS(tblBudget[Waste_t],tblBudget[Month],$E37)</f>
        <v/>
      </c>
      <c r="HS37" s="55">
        <f>$HR37*$C37/$D37</f>
        <v/>
      </c>
      <c r="HT37" s="55">
        <f>SUMIFS(tblBudget[Waste_t],tblBudget[Month],"&lt;"&amp;$E37)+$HS37</f>
        <v/>
      </c>
      <c r="HU37" s="55">
        <f>SUMIFS(tblBudget[TMM_t],tblBudget[Month],$E37)</f>
        <v/>
      </c>
      <c r="HV37" s="55">
        <f>$HU37*$C37/$D37</f>
        <v/>
      </c>
      <c r="HW37" s="55">
        <f>SUMIFS(tblBudget[TMM_t],tblBudget[Month],"&lt;"&amp;$E37)+$HV37</f>
        <v/>
      </c>
      <c r="HX37" s="56">
        <f>IFERROR(IF(($HI37)&gt;0,($HR37)/($HI37),""),"")</f>
        <v/>
      </c>
      <c r="HY37" s="56">
        <f>IFERROR(IF(($HJ37)&gt;0,($HS37)/($HJ37),""),"")</f>
        <v/>
      </c>
      <c r="HZ37" s="56">
        <f>IFERROR(IF(($HK37)&gt;0,($HT37)/($HK37),""),"")</f>
        <v/>
      </c>
      <c r="IA37" s="55">
        <f>SUMIFS(tblBudget[Drill_m],tblBudget[Month],$E37)</f>
        <v/>
      </c>
      <c r="IB37" s="55">
        <f>$IA37*$C37/$D37</f>
        <v/>
      </c>
      <c r="IC37" s="55">
        <f>SUMIFS(tblBudget[Drill_m],tblBudget[Month],"&lt;"&amp;$E37)+$IB37</f>
        <v/>
      </c>
      <c r="ID37" s="55">
        <f>SUMIFS(tblBudget[Diesel_L],tblBudget[Month],$E37)</f>
        <v/>
      </c>
      <c r="IE37" s="55">
        <f>$ID37*$C37/$D37</f>
        <v/>
      </c>
      <c r="IF37" s="55">
        <f>SUMIFS(tblBudget[Diesel_L],tblBudget[Month],"&lt;"&amp;$E37)+$IE37</f>
        <v/>
      </c>
      <c r="IG37" s="55">
        <f>SUMIFS(tblBudget[Milled_t],tblBudget[Month],$E37)</f>
        <v/>
      </c>
      <c r="IH37" s="55">
        <f>$IG37*$C37/$D37</f>
        <v/>
      </c>
      <c r="II37" s="55">
        <f>SUMIFS(tblBudget[Milled_t],tblBudget[Month],"&lt;"&amp;$E37)+$IH37</f>
        <v/>
      </c>
      <c r="IJ37" s="55">
        <f>SUMIFS(tblBudget[Feed_oz],tblBudget[Month],$E37)</f>
        <v/>
      </c>
      <c r="IK37" s="55">
        <f>$IJ37*$C37/$D37</f>
        <v/>
      </c>
      <c r="IL37" s="55">
        <f>SUMIFS(tblBudget[Feed_oz],tblBudget[Month],"&lt;"&amp;$E37)+$IK37</f>
        <v/>
      </c>
      <c r="IM37" s="55">
        <f>SUMIFS(tblBudget[Recovered_oz],tblBudget[Month],$E37)</f>
        <v/>
      </c>
      <c r="IN37" s="55">
        <f>$IM37*$C37/$D37</f>
        <v/>
      </c>
      <c r="IO37" s="55">
        <f>SUMIFS(tblBudget[Recovered_oz],tblBudget[Month],"&lt;"&amp;$E37)+$IN37</f>
        <v/>
      </c>
      <c r="IP37" s="56">
        <f>IFERROR(IF(($IG37)&gt;0,($IJ37*cfg_TroyOz)/($IG37),""),"")</f>
        <v/>
      </c>
      <c r="IQ37" s="56">
        <f>IFERROR(IF(($IH37)&gt;0,($IK37*cfg_TroyOz)/($IH37),""),"")</f>
        <v/>
      </c>
      <c r="IR37" s="56">
        <f>IFERROR(IF(($II37)&gt;0,($IL37*cfg_TroyOz)/($II37),""),"")</f>
        <v/>
      </c>
      <c r="IS37" s="67">
        <f>IFERROR(IF(($IJ37)&gt;0,($IM37)/($IJ37),""),"")</f>
        <v/>
      </c>
      <c r="IT37" s="67">
        <f>IFERROR(IF(($IK37)&gt;0,($IN37)/($IK37),""),"")</f>
        <v/>
      </c>
      <c r="IU37" s="67">
        <f>IFERROR(IF(($IL37)&gt;0,($IO37)/($IL37),""),"")</f>
        <v/>
      </c>
      <c r="IV37" s="55">
        <f>SUMIFS(tblBudget[Gold_Poured_oz],tblBudget[Month],$E37)</f>
        <v/>
      </c>
      <c r="IW37" s="55">
        <f>$IV37*$C37/$D37</f>
        <v/>
      </c>
      <c r="IX37" s="55">
        <f>SUMIFS(tblBudget[Gold_Poured_oz],tblBudget[Month],"&lt;"&amp;$E37)+$IW37</f>
        <v/>
      </c>
      <c r="IY37" s="57">
        <f>SUMIFS(tblBudget[Hours_Worked],tblBudget[Month],$E37)</f>
        <v/>
      </c>
      <c r="IZ37" s="57">
        <f>$IY37*$C37/$D37</f>
        <v/>
      </c>
      <c r="JA37" s="57">
        <f>SUMIFS(tblBudget[Hours_Worked],tblBudget[Month],"&lt;"&amp;$E37)+$IZ37</f>
        <v/>
      </c>
    </row>
    <row r="38">
      <c r="A38" s="54" t="n">
        <v>46059</v>
      </c>
      <c r="B38">
        <f>MONTH($A38)</f>
        <v/>
      </c>
      <c r="C38">
        <f>DAY($A38)</f>
        <v/>
      </c>
      <c r="D38">
        <f>DAY(EOMONTH($A38,0))</f>
        <v/>
      </c>
      <c r="E38" s="54">
        <f>DATE(YEAR($A38),MONTH($A38),1)</f>
        <v/>
      </c>
      <c r="F38" s="55">
        <f>SUMIFS(tblMovement[Tonnes_t],tblMovement[Date],$A38,tblMovement[Is_Ore],1,tblMovement[Source_Type],"Pit")</f>
        <v/>
      </c>
      <c r="G38" s="55">
        <f>IF($B38=$B37,$G37,0)+$F38</f>
        <v/>
      </c>
      <c r="H38" s="55">
        <f>$H37+$F38</f>
        <v/>
      </c>
      <c r="I38" s="55">
        <f>SUMIFS(tblMovement[Ore_oz],tblMovement[Date],$A38,tblMovement[Source_Type],"Pit")</f>
        <v/>
      </c>
      <c r="J38" s="55">
        <f>IF($B38=$B37,$J37,0)+$I38</f>
        <v/>
      </c>
      <c r="K38" s="55">
        <f>$K37+$I38</f>
        <v/>
      </c>
      <c r="L38" s="56">
        <f>IFERROR(IF(($F38)&gt;0,($I38*cfg_TroyOz)/($F38),""),"")</f>
        <v/>
      </c>
      <c r="M38" s="56">
        <f>IFERROR(IF(($G38)&gt;0,($J38*cfg_TroyOz)/($G38),""),"")</f>
        <v/>
      </c>
      <c r="N38" s="56">
        <f>IFERROR(IF(($H38)&gt;0,($K38*cfg_TroyOz)/($H38),""),"")</f>
        <v/>
      </c>
      <c r="O38" s="55">
        <f>SUMIFS(tblMovement[Tonnes_t],tblMovement[Date],$A38,tblMovement[Is_Ore],0,tblMovement[Source_Type],"Pit")</f>
        <v/>
      </c>
      <c r="P38" s="55">
        <f>IF($B38=$B37,$P37,0)+$O38</f>
        <v/>
      </c>
      <c r="Q38" s="55">
        <f>$Q37+$O38</f>
        <v/>
      </c>
      <c r="R38" s="55">
        <f>$F38+$O38</f>
        <v/>
      </c>
      <c r="S38" s="55">
        <f>IF($B38=$B37,$S37,0)+$R38</f>
        <v/>
      </c>
      <c r="T38" s="55">
        <f>$T37+$R38</f>
        <v/>
      </c>
      <c r="U38" s="56">
        <f>IFERROR(IF(($F38)&gt;0,($O38)/($F38),""),"")</f>
        <v/>
      </c>
      <c r="V38" s="56">
        <f>IFERROR(IF(($G38)&gt;0,($P38)/($G38),""),"")</f>
        <v/>
      </c>
      <c r="W38" s="56">
        <f>IFERROR(IF(($H38)&gt;0,($Q38)/($H38),""),"")</f>
        <v/>
      </c>
      <c r="X38" s="55">
        <f>SUMIFS(tblMovement[Tonnes_t],tblMovement[Date],$A38,tblMovement[Source_Type],"Stockpile")</f>
        <v/>
      </c>
      <c r="Y38" s="55">
        <f>IF($B38=$B37,$Y37,0)+$X38</f>
        <v/>
      </c>
      <c r="Z38" s="55">
        <f>$Z37+$X38</f>
        <v/>
      </c>
      <c r="AA38" s="55">
        <f>SUMIFS(tblMiningDaily[Drill_m],tblMiningDaily[Date],$A38)</f>
        <v/>
      </c>
      <c r="AB38" s="55">
        <f>IF($B38=$B37,$AB37,0)+$AA38</f>
        <v/>
      </c>
      <c r="AC38" s="55">
        <f>$AC37+$AA38</f>
        <v/>
      </c>
      <c r="AD38" s="55">
        <f>SUMIFS(tblMiningDaily[Blast_t],tblMiningDaily[Date],$A38)</f>
        <v/>
      </c>
      <c r="AE38" s="55">
        <f>IF($B38=$B37,$AE37,0)+$AD38</f>
        <v/>
      </c>
      <c r="AF38" s="55">
        <f>$AF37+$AD38</f>
        <v/>
      </c>
      <c r="AG38" s="55">
        <f>SUMIFS(tblMiningDaily[Explosives_kg],tblMiningDaily[Date],$A38)</f>
        <v/>
      </c>
      <c r="AH38" s="55">
        <f>IF($B38=$B37,$AH37,0)+$AG38</f>
        <v/>
      </c>
      <c r="AI38" s="55">
        <f>$AI37+$AG38</f>
        <v/>
      </c>
      <c r="AJ38" s="56">
        <f>IFERROR(IF(($AD38)&gt;0,($AG38)/($AD38),""),"")</f>
        <v/>
      </c>
      <c r="AK38" s="56">
        <f>IFERROR(IF(($AE38)&gt;0,($AH38)/($AE38),""),"")</f>
        <v/>
      </c>
      <c r="AL38" s="56">
        <f>IFERROR(IF(($AF38)&gt;0,($AI38)/($AF38),""),"")</f>
        <v/>
      </c>
      <c r="AM38" s="55">
        <f>SUMIFS(tblMiningDaily[Diesel_L],tblMiningDaily[Date],$A38)</f>
        <v/>
      </c>
      <c r="AN38" s="55">
        <f>IF($B38=$B37,$AN37,0)+$AM38</f>
        <v/>
      </c>
      <c r="AO38" s="55">
        <f>$AO37+$AM38</f>
        <v/>
      </c>
      <c r="AP38" s="55">
        <f>SUMIFS(tblMiningDaily[Dewatering_m3],tblMiningDaily[Date],$A38)</f>
        <v/>
      </c>
      <c r="AQ38" s="55">
        <f>IF($B38=$B37,$AQ37,0)+$AP38</f>
        <v/>
      </c>
      <c r="AR38" s="55">
        <f>$AR37+$AP38</f>
        <v/>
      </c>
      <c r="AS38" s="57">
        <f>SUMIFS(tblFleet[Calendar_h],tblFleet[Date],$A38,tblFleet[Equipment_Class],"Excavator")</f>
        <v/>
      </c>
      <c r="AT38" s="57">
        <f>IF($B38=$B37,$AT37,0)+$AS38</f>
        <v/>
      </c>
      <c r="AU38" s="57">
        <f>$AU37+$AS38</f>
        <v/>
      </c>
      <c r="AV38" s="57">
        <f>SUMIFS(tblFleet[Available_h],tblFleet[Date],$A38,tblFleet[Equipment_Class],"Excavator")</f>
        <v/>
      </c>
      <c r="AW38" s="57">
        <f>IF($B38=$B37,$AW37,0)+$AV38</f>
        <v/>
      </c>
      <c r="AX38" s="57">
        <f>$AX37+$AV38</f>
        <v/>
      </c>
      <c r="AY38" s="57">
        <f>SUMIFS(tblFleet[Operating_h],tblFleet[Date],$A38,tblFleet[Equipment_Class],"Excavator")</f>
        <v/>
      </c>
      <c r="AZ38" s="57">
        <f>IF($B38=$B37,$AZ37,0)+$AY38</f>
        <v/>
      </c>
      <c r="BA38" s="57">
        <f>$BA37+$AY38</f>
        <v/>
      </c>
      <c r="BB38" s="67">
        <f>IFERROR(IF(($AS38)&gt;0,($AV38)/($AS38),""),"")</f>
        <v/>
      </c>
      <c r="BC38" s="67">
        <f>IFERROR(IF(($AT38)&gt;0,($AW38)/($AT38),""),"")</f>
        <v/>
      </c>
      <c r="BD38" s="67">
        <f>IFERROR(IF(($AU38)&gt;0,($AX38)/($AU38),""),"")</f>
        <v/>
      </c>
      <c r="BE38" s="67">
        <f>IFERROR(IF(($AV38)&gt;0,($AY38)/($AV38),""),"")</f>
        <v/>
      </c>
      <c r="BF38" s="67">
        <f>IFERROR(IF(($AW38)&gt;0,($AZ38)/($AW38),""),"")</f>
        <v/>
      </c>
      <c r="BG38" s="67">
        <f>IFERROR(IF(($AX38)&gt;0,($BA38)/($AX38),""),"")</f>
        <v/>
      </c>
      <c r="BH38" s="57">
        <f>SUMIFS(tblFleet[Calendar_h],tblFleet[Date],$A38,tblFleet[Equipment_Class],"Haul Truck")</f>
        <v/>
      </c>
      <c r="BI38" s="57">
        <f>IF($B38=$B37,$BI37,0)+$BH38</f>
        <v/>
      </c>
      <c r="BJ38" s="57">
        <f>$BJ37+$BH38</f>
        <v/>
      </c>
      <c r="BK38" s="57">
        <f>SUMIFS(tblFleet[Available_h],tblFleet[Date],$A38,tblFleet[Equipment_Class],"Haul Truck")</f>
        <v/>
      </c>
      <c r="BL38" s="57">
        <f>IF($B38=$B37,$BL37,0)+$BK38</f>
        <v/>
      </c>
      <c r="BM38" s="57">
        <f>$BM37+$BK38</f>
        <v/>
      </c>
      <c r="BN38" s="57">
        <f>SUMIFS(tblFleet[Operating_h],tblFleet[Date],$A38,tblFleet[Equipment_Class],"Haul Truck")</f>
        <v/>
      </c>
      <c r="BO38" s="57">
        <f>IF($B38=$B37,$BO37,0)+$BN38</f>
        <v/>
      </c>
      <c r="BP38" s="57">
        <f>$BP37+$BN38</f>
        <v/>
      </c>
      <c r="BQ38" s="67">
        <f>IFERROR(IF(($BH38)&gt;0,($BK38)/($BH38),""),"")</f>
        <v/>
      </c>
      <c r="BR38" s="67">
        <f>IFERROR(IF(($BI38)&gt;0,($BL38)/($BI38),""),"")</f>
        <v/>
      </c>
      <c r="BS38" s="67">
        <f>IFERROR(IF(($BJ38)&gt;0,($BM38)/($BJ38),""),"")</f>
        <v/>
      </c>
      <c r="BT38" s="67">
        <f>IFERROR(IF(($BK38)&gt;0,($BN38)/($BK38),""),"")</f>
        <v/>
      </c>
      <c r="BU38" s="67">
        <f>IFERROR(IF(($BL38)&gt;0,($BO38)/($BL38),""),"")</f>
        <v/>
      </c>
      <c r="BV38" s="67">
        <f>IFERROR(IF(($BM38)&gt;0,($BP38)/($BM38),""),"")</f>
        <v/>
      </c>
      <c r="BW38" s="55">
        <f>SUMIFS(tblPlant[Crushed_t],tblPlant[Date],$A38)</f>
        <v/>
      </c>
      <c r="BX38" s="55">
        <f>IF($B38=$B37,$BX37,0)+$BW38</f>
        <v/>
      </c>
      <c r="BY38" s="55">
        <f>$BY37+$BW38</f>
        <v/>
      </c>
      <c r="BZ38" s="55">
        <f>SUMIFS(tblPlant[Milled_t],tblPlant[Date],$A38)</f>
        <v/>
      </c>
      <c r="CA38" s="55">
        <f>IF($B38=$B37,$CA37,0)+$BZ38</f>
        <v/>
      </c>
      <c r="CB38" s="55">
        <f>$CB37+$BZ38</f>
        <v/>
      </c>
      <c r="CC38" s="55">
        <f>SUMIFS(tblPlant[Feed_oz],tblPlant[Date],$A38)</f>
        <v/>
      </c>
      <c r="CD38" s="55">
        <f>IF($B38=$B37,$CD37,0)+$CC38</f>
        <v/>
      </c>
      <c r="CE38" s="55">
        <f>$CE37+$CC38</f>
        <v/>
      </c>
      <c r="CF38" s="55">
        <f>SUMIFS(tblPlant[Tails_oz],tblPlant[Date],$A38)</f>
        <v/>
      </c>
      <c r="CG38" s="55">
        <f>IF($B38=$B37,$CG37,0)+$CF38</f>
        <v/>
      </c>
      <c r="CH38" s="55">
        <f>$CH37+$CF38</f>
        <v/>
      </c>
      <c r="CI38" s="55">
        <f>SUMIFS(tblPlant[Recovered_oz],tblPlant[Date],$A38)</f>
        <v/>
      </c>
      <c r="CJ38" s="55">
        <f>IF($B38=$B37,$CJ37,0)+$CI38</f>
        <v/>
      </c>
      <c r="CK38" s="55">
        <f>$CK37+$CI38</f>
        <v/>
      </c>
      <c r="CL38" s="56">
        <f>IFERROR(IF(($BZ38)&gt;0,($CC38*cfg_TroyOz)/($BZ38),""),"")</f>
        <v/>
      </c>
      <c r="CM38" s="56">
        <f>IFERROR(IF(($CA38)&gt;0,($CD38*cfg_TroyOz)/($CA38),""),"")</f>
        <v/>
      </c>
      <c r="CN38" s="56">
        <f>IFERROR(IF(($CB38)&gt;0,($CE38*cfg_TroyOz)/($CB38),""),"")</f>
        <v/>
      </c>
      <c r="CO38" s="56">
        <f>IFERROR(IF(($BZ38)&gt;0,($CF38*cfg_TroyOz)/($BZ38),""),"")</f>
        <v/>
      </c>
      <c r="CP38" s="56">
        <f>IFERROR(IF(($CA38)&gt;0,($CG38*cfg_TroyOz)/($CA38),""),"")</f>
        <v/>
      </c>
      <c r="CQ38" s="56">
        <f>IFERROR(IF(($CB38)&gt;0,($CH38*cfg_TroyOz)/($CB38),""),"")</f>
        <v/>
      </c>
      <c r="CR38" s="67">
        <f>IFERROR(IF(($CC38)&gt;0,($CI38)/($CC38),""),"")</f>
        <v/>
      </c>
      <c r="CS38" s="67">
        <f>IFERROR(IF(($CD38)&gt;0,($CJ38)/($CD38),""),"")</f>
        <v/>
      </c>
      <c r="CT38" s="67">
        <f>IFERROR(IF(($CE38)&gt;0,($CK38)/($CE38),""),"")</f>
        <v/>
      </c>
      <c r="CU38" s="55">
        <f>SUMIFS(tblPlant[Gravity_Gold_oz],tblPlant[Date],$A38)</f>
        <v/>
      </c>
      <c r="CV38" s="55">
        <f>IF($B38=$B37,$CV37,0)+$CU38</f>
        <v/>
      </c>
      <c r="CW38" s="55">
        <f>$CW37+$CU38</f>
        <v/>
      </c>
      <c r="CX38" s="55">
        <f>SUMIFS(tblPlant[Gold_Poured_oz],tblPlant[Date],$A38)</f>
        <v/>
      </c>
      <c r="CY38" s="55">
        <f>IF($B38=$B37,$CY37,0)+$CX38</f>
        <v/>
      </c>
      <c r="CZ38" s="55">
        <f>$CZ37+$CX38</f>
        <v/>
      </c>
      <c r="DA38" s="57">
        <f>SUMIFS(tblPlant[Mill_Run_h],tblPlant[Date],$A38)</f>
        <v/>
      </c>
      <c r="DB38" s="57">
        <f>IF($B38=$B37,$DB37,0)+$DA38</f>
        <v/>
      </c>
      <c r="DC38" s="57">
        <f>$DC37+$DA38</f>
        <v/>
      </c>
      <c r="DD38" s="57">
        <f>SUMIFS(tblPlant[Mill_Planned_Maint_h],tblPlant[Date],$A38)</f>
        <v/>
      </c>
      <c r="DE38" s="57">
        <f>IF($B38=$B37,$DE37,0)+$DD38</f>
        <v/>
      </c>
      <c r="DF38" s="57">
        <f>$DF37+$DD38</f>
        <v/>
      </c>
      <c r="DG38" s="57">
        <f>SUMIFS(tblPlant[Mill_Unplanned_Down_h],tblPlant[Date],$A38)</f>
        <v/>
      </c>
      <c r="DH38" s="57">
        <f>IF($B38=$B37,$DH37,0)+$DG38</f>
        <v/>
      </c>
      <c r="DI38" s="57">
        <f>$DI37+$DG38</f>
        <v/>
      </c>
      <c r="DJ38" s="57">
        <f>COUNTIFS(tblPlant[Date],$A38,tblPlant[Mill_Run_h],"&lt;&gt;")*24</f>
        <v/>
      </c>
      <c r="DK38" s="57">
        <f>IF($B38=$B37,$DK37,0)+$DJ38</f>
        <v/>
      </c>
      <c r="DL38" s="57">
        <f>$DL37+$DJ38</f>
        <v/>
      </c>
      <c r="DM38" s="57">
        <f>SUMIFS(tblPlant[Crusher_Run_h],tblPlant[Date],$A38)</f>
        <v/>
      </c>
      <c r="DN38" s="57">
        <f>IF($B38=$B37,$DN37,0)+$DM38</f>
        <v/>
      </c>
      <c r="DO38" s="57">
        <f>$DO37+$DM38</f>
        <v/>
      </c>
      <c r="DP38" s="55">
        <f>IFERROR(IF(($DA38)&gt;0,($BZ38)/($DA38),""),"")</f>
        <v/>
      </c>
      <c r="DQ38" s="55">
        <f>IFERROR(IF(($DB38)&gt;0,($CA38)/($DB38),""),"")</f>
        <v/>
      </c>
      <c r="DR38" s="55">
        <f>IFERROR(IF(($DC38)&gt;0,($CB38)/($DC38),""),"")</f>
        <v/>
      </c>
      <c r="DS38" s="67">
        <f>IFERROR(IF(($DJ38)&gt;0,($DJ38-$DD38-$DG38)/($DJ38),""),"")</f>
        <v/>
      </c>
      <c r="DT38" s="67">
        <f>IFERROR(IF(($DK38)&gt;0,($DK38-$DE38-$DH38)/($DK38),""),"")</f>
        <v/>
      </c>
      <c r="DU38" s="67">
        <f>IFERROR(IF(($DL38)&gt;0,($DL38-$DF38-$DI38)/($DL38),""),"")</f>
        <v/>
      </c>
      <c r="DV38" s="67">
        <f>IFERROR(IF(($DJ38-$DD38-$DG38)&gt;0,($DA38)/($DJ38-$DD38-$DG38),""),"")</f>
        <v/>
      </c>
      <c r="DW38" s="67">
        <f>IFERROR(IF(($DK38-$DE38-$DH38)&gt;0,($DB38)/($DK38-$DE38-$DH38),""),"")</f>
        <v/>
      </c>
      <c r="DX38" s="67">
        <f>IFERROR(IF(($DL38-$DF38-$DI38)&gt;0,($DC38)/($DL38-$DF38-$DI38),""),"")</f>
        <v/>
      </c>
      <c r="DY38" s="55">
        <f>SUMIFS(tblPlant[Cyanide_kg],tblPlant[Date],$A38)</f>
        <v/>
      </c>
      <c r="DZ38" s="55">
        <f>IF($B38=$B37,$DZ37,0)+$DY38</f>
        <v/>
      </c>
      <c r="EA38" s="55">
        <f>$EA37+$DY38</f>
        <v/>
      </c>
      <c r="EB38" s="55">
        <f>SUMIFS(tblPlant[Lime_kg],tblPlant[Date],$A38)</f>
        <v/>
      </c>
      <c r="EC38" s="55">
        <f>IF($B38=$B37,$EC37,0)+$EB38</f>
        <v/>
      </c>
      <c r="ED38" s="55">
        <f>$ED37+$EB38</f>
        <v/>
      </c>
      <c r="EE38" s="55">
        <f>SUMIFS(tblPlant[Grinding_Media_kg],tblPlant[Date],$A38)</f>
        <v/>
      </c>
      <c r="EF38" s="55">
        <f>IF($B38=$B37,$EF37,0)+$EE38</f>
        <v/>
      </c>
      <c r="EG38" s="55">
        <f>$EG37+$EE38</f>
        <v/>
      </c>
      <c r="EH38" s="55">
        <f>SUMIFS(tblPlant[Power_kWh],tblPlant[Date],$A38)</f>
        <v/>
      </c>
      <c r="EI38" s="55">
        <f>IF($B38=$B37,$EI37,0)+$EH38</f>
        <v/>
      </c>
      <c r="EJ38" s="55">
        <f>$EJ37+$EH38</f>
        <v/>
      </c>
      <c r="EK38" s="55">
        <f>SUMIFS(tblPlant[Raw_Water_m3],tblPlant[Date],$A38)</f>
        <v/>
      </c>
      <c r="EL38" s="55">
        <f>IF($B38=$B37,$EL37,0)+$EK38</f>
        <v/>
      </c>
      <c r="EM38" s="55">
        <f>$EM37+$EK38</f>
        <v/>
      </c>
      <c r="EN38" s="56">
        <f>IFERROR(IF(($BZ38)&gt;0,($DY38)/($BZ38),""),"")</f>
        <v/>
      </c>
      <c r="EO38" s="56">
        <f>IFERROR(IF(($CA38)&gt;0,($DZ38)/($CA38),""),"")</f>
        <v/>
      </c>
      <c r="EP38" s="56">
        <f>IFERROR(IF(($CB38)&gt;0,($EA38)/($CB38),""),"")</f>
        <v/>
      </c>
      <c r="EQ38" s="56">
        <f>IFERROR(IF(($BZ38)&gt;0,($EB38)/($BZ38),""),"")</f>
        <v/>
      </c>
      <c r="ER38" s="56">
        <f>IFERROR(IF(($CA38)&gt;0,($EC38)/($CA38),""),"")</f>
        <v/>
      </c>
      <c r="ES38" s="56">
        <f>IFERROR(IF(($CB38)&gt;0,($ED38)/($CB38),""),"")</f>
        <v/>
      </c>
      <c r="ET38" s="56">
        <f>IFERROR(IF(($BZ38)&gt;0,($EE38)/($BZ38),""),"")</f>
        <v/>
      </c>
      <c r="EU38" s="56">
        <f>IFERROR(IF(($CA38)&gt;0,($EF38)/($CA38),""),"")</f>
        <v/>
      </c>
      <c r="EV38" s="56">
        <f>IFERROR(IF(($CB38)&gt;0,($EG38)/($CB38),""),"")</f>
        <v/>
      </c>
      <c r="EW38" s="76">
        <f>IFERROR(IF(($BZ38)&gt;0,($EH38)/($BZ38),""),"")</f>
        <v/>
      </c>
      <c r="EX38" s="76">
        <f>IFERROR(IF(($CA38)&gt;0,($EI38)/($CA38),""),"")</f>
        <v/>
      </c>
      <c r="EY38" s="76">
        <f>IFERROR(IF(($CB38)&gt;0,($EJ38)/($CB38),""),"")</f>
        <v/>
      </c>
      <c r="EZ38" s="56">
        <f>IFERROR(IF(($BZ38)&gt;0,($EK38)/($BZ38),""),"")</f>
        <v/>
      </c>
      <c r="FA38" s="56">
        <f>IFERROR(IF(($CA38)&gt;0,($EL38)/($CA38),""),"")</f>
        <v/>
      </c>
      <c r="FB38" s="56">
        <f>IFERROR(IF(($CB38)&gt;0,($EM38)/($CB38),""),"")</f>
        <v/>
      </c>
      <c r="FC38" s="55">
        <f>IF(SUMIFS(tblPlant[GIC_oz],tblPlant[Date],$A38)&gt;0,SUMIFS(tblPlant[GIC_oz],tblPlant[Date],$A38),"")</f>
        <v/>
      </c>
      <c r="FD38" s="55">
        <f>SUMIFS(tblGold[Gold_oz],tblGold[Date],$A38,tblGold[Type],"Shipment")</f>
        <v/>
      </c>
      <c r="FE38" s="55">
        <f>IF($B38=$B37,$FE37,0)+$FD38</f>
        <v/>
      </c>
      <c r="FF38" s="55">
        <f>$FF37+$FD38</f>
        <v/>
      </c>
      <c r="FG38" s="55">
        <f>SUMIFS(tblGold[Gold_oz],tblGold[Date],$A38,tblGold[Type],"Sale")</f>
        <v/>
      </c>
      <c r="FH38" s="55">
        <f>IF($B38=$B37,$FH37,0)+$FG38</f>
        <v/>
      </c>
      <c r="FI38" s="55">
        <f>$FI37+$FG38</f>
        <v/>
      </c>
      <c r="FJ38" s="55">
        <f>SUMIFS(tblGold[Dore_kg],tblGold[Date],$A38,tblGold[Type],"Shipment")</f>
        <v/>
      </c>
      <c r="FK38" s="55">
        <f>IF($B38=$B37,$FK37,0)+$FJ38</f>
        <v/>
      </c>
      <c r="FL38" s="55">
        <f>$FL37+$FJ38</f>
        <v/>
      </c>
      <c r="FM38" s="57">
        <f>SUMIFS(tblSafety[Hours_Total],tblSafety[Date],$A38)</f>
        <v/>
      </c>
      <c r="FN38" s="57">
        <f>IF($B38=$B37,$FN37,0)+$FM38</f>
        <v/>
      </c>
      <c r="FO38" s="57">
        <f>$FO37+$FM38</f>
        <v/>
      </c>
      <c r="FP38" s="62">
        <f>SUMIFS(tblSafety[Fatality],tblSafety[Date],$A38)</f>
        <v/>
      </c>
      <c r="FQ38" s="62">
        <f>IF($B38=$B37,$FQ37,0)+$FP38</f>
        <v/>
      </c>
      <c r="FR38" s="62">
        <f>$FR37+$FP38</f>
        <v/>
      </c>
      <c r="FS38" s="62">
        <f>SUMIFS(tblSafety[LTI],tblSafety[Date],$A38)</f>
        <v/>
      </c>
      <c r="FT38" s="62">
        <f>IF($B38=$B37,$FT37,0)+$FS38</f>
        <v/>
      </c>
      <c r="FU38" s="62">
        <f>$FU37+$FS38</f>
        <v/>
      </c>
      <c r="FV38" s="62">
        <f>SUMIFS(tblSafety[RWI],tblSafety[Date],$A38)</f>
        <v/>
      </c>
      <c r="FW38" s="62">
        <f>IF($B38=$B37,$FW37,0)+$FV38</f>
        <v/>
      </c>
      <c r="FX38" s="62">
        <f>$FX37+$FV38</f>
        <v/>
      </c>
      <c r="FY38" s="62">
        <f>SUMIFS(tblSafety[MTI],tblSafety[Date],$A38)</f>
        <v/>
      </c>
      <c r="FZ38" s="62">
        <f>IF($B38=$B37,$FZ37,0)+$FY38</f>
        <v/>
      </c>
      <c r="GA38" s="62">
        <f>$GA37+$FY38</f>
        <v/>
      </c>
      <c r="GB38" s="62">
        <f>SUMIFS(tblSafety[FAI],tblSafety[Date],$A38)</f>
        <v/>
      </c>
      <c r="GC38" s="62">
        <f>IF($B38=$B37,$GC37,0)+$GB38</f>
        <v/>
      </c>
      <c r="GD38" s="62">
        <f>$GD37+$GB38</f>
        <v/>
      </c>
      <c r="GE38" s="62">
        <f>SUMIFS(tblSafety[Recordables],tblSafety[Date],$A38)</f>
        <v/>
      </c>
      <c r="GF38" s="62">
        <f>IF($B38=$B37,$GF37,0)+$GE38</f>
        <v/>
      </c>
      <c r="GG38" s="62">
        <f>$GG37+$GE38</f>
        <v/>
      </c>
      <c r="GH38" s="62">
        <f>SUMIFS(tblSafety[Near_Miss],tblSafety[Date],$A38)</f>
        <v/>
      </c>
      <c r="GI38" s="62">
        <f>IF($B38=$B37,$GI37,0)+$GH38</f>
        <v/>
      </c>
      <c r="GJ38" s="62">
        <f>$GJ37+$GH38</f>
        <v/>
      </c>
      <c r="GK38" s="62">
        <f>SUMIFS(tblSafety[Hazard_Reports],tblSafety[Date],$A38)</f>
        <v/>
      </c>
      <c r="GL38" s="62">
        <f>IF($B38=$B37,$GL37,0)+$GK38</f>
        <v/>
      </c>
      <c r="GM38" s="62">
        <f>$GM37+$GK38</f>
        <v/>
      </c>
      <c r="GN38" s="62">
        <f>SUMIFS(tblSafety[HPI],tblSafety[Date],$A38)</f>
        <v/>
      </c>
      <c r="GO38" s="62">
        <f>IF($B38=$B37,$GO37,0)+$GN38</f>
        <v/>
      </c>
      <c r="GP38" s="62">
        <f>$GP37+$GN38</f>
        <v/>
      </c>
      <c r="GQ38" s="62">
        <f>SUMIFS(tblSafety[Env_Incidents],tblSafety[Date],$A38)</f>
        <v/>
      </c>
      <c r="GR38" s="62">
        <f>IF($B38=$B37,$GR37,0)+$GQ38</f>
        <v/>
      </c>
      <c r="GS38" s="62">
        <f>$GS37+$GQ38</f>
        <v/>
      </c>
      <c r="GT38" s="62">
        <f>SUMIFS(tblSafety[Community_Incidents],tblSafety[Date],$A38)</f>
        <v/>
      </c>
      <c r="GU38" s="62">
        <f>IF($B38=$B37,$GU37,0)+$GT38</f>
        <v/>
      </c>
      <c r="GV38" s="62">
        <f>$GV37+$GT38</f>
        <v/>
      </c>
      <c r="GW38" s="62">
        <f>SUMIFS(tblSafety[Vehicle_Incidents],tblSafety[Date],$A38)</f>
        <v/>
      </c>
      <c r="GX38" s="62">
        <f>IF($B38=$B37,$GX37,0)+$GW38</f>
        <v/>
      </c>
      <c r="GY38" s="62">
        <f>$GY37+$GW38</f>
        <v/>
      </c>
      <c r="GZ38" s="62">
        <f>SUMIFS(tblSafety[Toolbox_Talks],tblSafety[Date],$A38)</f>
        <v/>
      </c>
      <c r="HA38" s="62">
        <f>IF($B38=$B37,$HA37,0)+$GZ38</f>
        <v/>
      </c>
      <c r="HB38" s="62">
        <f>$HB37+$GZ38</f>
        <v/>
      </c>
      <c r="HC38" s="62">
        <f>SUMIFS(tblSafety[Inspections],tblSafety[Date],$A38)</f>
        <v/>
      </c>
      <c r="HD38" s="62">
        <f>IF($B38=$B37,$HD37,0)+$HC38</f>
        <v/>
      </c>
      <c r="HE38" s="62">
        <f>$HE37+$HC38</f>
        <v/>
      </c>
      <c r="HF38" s="56">
        <f>IFERROR((SUMIFS(tblSafety[Recordables],tblSafety[Date],"&gt;="&amp;EDATE($E38,-12),tblSafety[Date],"&lt;="&amp;$A38)+SUMIFS(tblSafetyHistory[Recordables],tblSafetyHistory[Month],"&gt;="&amp;EDATE($E38,-12),tblSafetyHistory[Month],"&lt;"&amp;cfg_YearStart))/(SUMIFS(tblSafety[Hours_Total],tblSafety[Date],"&gt;="&amp;EDATE($E38,-12),tblSafety[Date],"&lt;="&amp;$A38)+SUMIFS(tblSafetyHistory[Hours_Total],tblSafetyHistory[Month],"&gt;="&amp;EDATE($E38,-12),tblSafetyHistory[Month],"&lt;"&amp;cfg_YearStart))*1000000,"")</f>
        <v/>
      </c>
      <c r="HG38" s="56">
        <f>IFERROR((SUMIFS(tblSafety[LTI],tblSafety[Date],"&gt;="&amp;EDATE($E38,-12),tblSafety[Date],"&lt;="&amp;$A38)+SUMIFS(tblSafetyHistory[LTI],tblSafetyHistory[Month],"&gt;="&amp;EDATE($E38,-12),tblSafetyHistory[Month],"&lt;"&amp;cfg_YearStart))/(SUMIFS(tblSafety[Hours_Total],tblSafety[Date],"&gt;="&amp;EDATE($E38,-12),tblSafety[Date],"&lt;="&amp;$A38)+SUMIFS(tblSafetyHistory[Hours_Total],tblSafetyHistory[Month],"&gt;="&amp;EDATE($E38,-12),tblSafetyHistory[Month],"&lt;"&amp;cfg_YearStart))*1000000,"")</f>
        <v/>
      </c>
      <c r="HH38" s="62">
        <f>IF(MAX(N(cfg_PriorLTIDate),_xlfn.MAXIFS(tblSafety[Date],tblSafety[LTI],"&gt;0",tblSafety[Date],"&lt;="&amp;$A38))=0,"",$A38-MAX(N(cfg_PriorLTIDate),_xlfn.MAXIFS(tblSafety[Date],tblSafety[LTI],"&gt;0",tblSafety[Date],"&lt;="&amp;$A38)))</f>
        <v/>
      </c>
      <c r="HI38" s="55">
        <f>SUMIFS(tblBudget[Ore_Mined_t],tblBudget[Month],$E38)</f>
        <v/>
      </c>
      <c r="HJ38" s="55">
        <f>$HI38*$C38/$D38</f>
        <v/>
      </c>
      <c r="HK38" s="55">
        <f>SUMIFS(tblBudget[Ore_Mined_t],tblBudget[Month],"&lt;"&amp;$E38)+$HJ38</f>
        <v/>
      </c>
      <c r="HL38" s="55">
        <f>SUMIFS(tblBudget[Ore_oz],tblBudget[Month],$E38)</f>
        <v/>
      </c>
      <c r="HM38" s="55">
        <f>$HL38*$C38/$D38</f>
        <v/>
      </c>
      <c r="HN38" s="55">
        <f>SUMIFS(tblBudget[Ore_oz],tblBudget[Month],"&lt;"&amp;$E38)+$HM38</f>
        <v/>
      </c>
      <c r="HO38" s="56">
        <f>IFERROR(IF(($HI38)&gt;0,($HL38*cfg_TroyOz)/($HI38),""),"")</f>
        <v/>
      </c>
      <c r="HP38" s="56">
        <f>IFERROR(IF(($HJ38)&gt;0,($HM38*cfg_TroyOz)/($HJ38),""),"")</f>
        <v/>
      </c>
      <c r="HQ38" s="56">
        <f>IFERROR(IF(($HK38)&gt;0,($HN38*cfg_TroyOz)/($HK38),""),"")</f>
        <v/>
      </c>
      <c r="HR38" s="55">
        <f>SUMIFS(tblBudget[Waste_t],tblBudget[Month],$E38)</f>
        <v/>
      </c>
      <c r="HS38" s="55">
        <f>$HR38*$C38/$D38</f>
        <v/>
      </c>
      <c r="HT38" s="55">
        <f>SUMIFS(tblBudget[Waste_t],tblBudget[Month],"&lt;"&amp;$E38)+$HS38</f>
        <v/>
      </c>
      <c r="HU38" s="55">
        <f>SUMIFS(tblBudget[TMM_t],tblBudget[Month],$E38)</f>
        <v/>
      </c>
      <c r="HV38" s="55">
        <f>$HU38*$C38/$D38</f>
        <v/>
      </c>
      <c r="HW38" s="55">
        <f>SUMIFS(tblBudget[TMM_t],tblBudget[Month],"&lt;"&amp;$E38)+$HV38</f>
        <v/>
      </c>
      <c r="HX38" s="56">
        <f>IFERROR(IF(($HI38)&gt;0,($HR38)/($HI38),""),"")</f>
        <v/>
      </c>
      <c r="HY38" s="56">
        <f>IFERROR(IF(($HJ38)&gt;0,($HS38)/($HJ38),""),"")</f>
        <v/>
      </c>
      <c r="HZ38" s="56">
        <f>IFERROR(IF(($HK38)&gt;0,($HT38)/($HK38),""),"")</f>
        <v/>
      </c>
      <c r="IA38" s="55">
        <f>SUMIFS(tblBudget[Drill_m],tblBudget[Month],$E38)</f>
        <v/>
      </c>
      <c r="IB38" s="55">
        <f>$IA38*$C38/$D38</f>
        <v/>
      </c>
      <c r="IC38" s="55">
        <f>SUMIFS(tblBudget[Drill_m],tblBudget[Month],"&lt;"&amp;$E38)+$IB38</f>
        <v/>
      </c>
      <c r="ID38" s="55">
        <f>SUMIFS(tblBudget[Diesel_L],tblBudget[Month],$E38)</f>
        <v/>
      </c>
      <c r="IE38" s="55">
        <f>$ID38*$C38/$D38</f>
        <v/>
      </c>
      <c r="IF38" s="55">
        <f>SUMIFS(tblBudget[Diesel_L],tblBudget[Month],"&lt;"&amp;$E38)+$IE38</f>
        <v/>
      </c>
      <c r="IG38" s="55">
        <f>SUMIFS(tblBudget[Milled_t],tblBudget[Month],$E38)</f>
        <v/>
      </c>
      <c r="IH38" s="55">
        <f>$IG38*$C38/$D38</f>
        <v/>
      </c>
      <c r="II38" s="55">
        <f>SUMIFS(tblBudget[Milled_t],tblBudget[Month],"&lt;"&amp;$E38)+$IH38</f>
        <v/>
      </c>
      <c r="IJ38" s="55">
        <f>SUMIFS(tblBudget[Feed_oz],tblBudget[Month],$E38)</f>
        <v/>
      </c>
      <c r="IK38" s="55">
        <f>$IJ38*$C38/$D38</f>
        <v/>
      </c>
      <c r="IL38" s="55">
        <f>SUMIFS(tblBudget[Feed_oz],tblBudget[Month],"&lt;"&amp;$E38)+$IK38</f>
        <v/>
      </c>
      <c r="IM38" s="55">
        <f>SUMIFS(tblBudget[Recovered_oz],tblBudget[Month],$E38)</f>
        <v/>
      </c>
      <c r="IN38" s="55">
        <f>$IM38*$C38/$D38</f>
        <v/>
      </c>
      <c r="IO38" s="55">
        <f>SUMIFS(tblBudget[Recovered_oz],tblBudget[Month],"&lt;"&amp;$E38)+$IN38</f>
        <v/>
      </c>
      <c r="IP38" s="56">
        <f>IFERROR(IF(($IG38)&gt;0,($IJ38*cfg_TroyOz)/($IG38),""),"")</f>
        <v/>
      </c>
      <c r="IQ38" s="56">
        <f>IFERROR(IF(($IH38)&gt;0,($IK38*cfg_TroyOz)/($IH38),""),"")</f>
        <v/>
      </c>
      <c r="IR38" s="56">
        <f>IFERROR(IF(($II38)&gt;0,($IL38*cfg_TroyOz)/($II38),""),"")</f>
        <v/>
      </c>
      <c r="IS38" s="67">
        <f>IFERROR(IF(($IJ38)&gt;0,($IM38)/($IJ38),""),"")</f>
        <v/>
      </c>
      <c r="IT38" s="67">
        <f>IFERROR(IF(($IK38)&gt;0,($IN38)/($IK38),""),"")</f>
        <v/>
      </c>
      <c r="IU38" s="67">
        <f>IFERROR(IF(($IL38)&gt;0,($IO38)/($IL38),""),"")</f>
        <v/>
      </c>
      <c r="IV38" s="55">
        <f>SUMIFS(tblBudget[Gold_Poured_oz],tblBudget[Month],$E38)</f>
        <v/>
      </c>
      <c r="IW38" s="55">
        <f>$IV38*$C38/$D38</f>
        <v/>
      </c>
      <c r="IX38" s="55">
        <f>SUMIFS(tblBudget[Gold_Poured_oz],tblBudget[Month],"&lt;"&amp;$E38)+$IW38</f>
        <v/>
      </c>
      <c r="IY38" s="57">
        <f>SUMIFS(tblBudget[Hours_Worked],tblBudget[Month],$E38)</f>
        <v/>
      </c>
      <c r="IZ38" s="57">
        <f>$IY38*$C38/$D38</f>
        <v/>
      </c>
      <c r="JA38" s="57">
        <f>SUMIFS(tblBudget[Hours_Worked],tblBudget[Month],"&lt;"&amp;$E38)+$IZ38</f>
        <v/>
      </c>
    </row>
    <row r="39">
      <c r="A39" s="54" t="n">
        <v>46060</v>
      </c>
      <c r="B39">
        <f>MONTH($A39)</f>
        <v/>
      </c>
      <c r="C39">
        <f>DAY($A39)</f>
        <v/>
      </c>
      <c r="D39">
        <f>DAY(EOMONTH($A39,0))</f>
        <v/>
      </c>
      <c r="E39" s="54">
        <f>DATE(YEAR($A39),MONTH($A39),1)</f>
        <v/>
      </c>
      <c r="F39" s="55">
        <f>SUMIFS(tblMovement[Tonnes_t],tblMovement[Date],$A39,tblMovement[Is_Ore],1,tblMovement[Source_Type],"Pit")</f>
        <v/>
      </c>
      <c r="G39" s="55">
        <f>IF($B39=$B38,$G38,0)+$F39</f>
        <v/>
      </c>
      <c r="H39" s="55">
        <f>$H38+$F39</f>
        <v/>
      </c>
      <c r="I39" s="55">
        <f>SUMIFS(tblMovement[Ore_oz],tblMovement[Date],$A39,tblMovement[Source_Type],"Pit")</f>
        <v/>
      </c>
      <c r="J39" s="55">
        <f>IF($B39=$B38,$J38,0)+$I39</f>
        <v/>
      </c>
      <c r="K39" s="55">
        <f>$K38+$I39</f>
        <v/>
      </c>
      <c r="L39" s="56">
        <f>IFERROR(IF(($F39)&gt;0,($I39*cfg_TroyOz)/($F39),""),"")</f>
        <v/>
      </c>
      <c r="M39" s="56">
        <f>IFERROR(IF(($G39)&gt;0,($J39*cfg_TroyOz)/($G39),""),"")</f>
        <v/>
      </c>
      <c r="N39" s="56">
        <f>IFERROR(IF(($H39)&gt;0,($K39*cfg_TroyOz)/($H39),""),"")</f>
        <v/>
      </c>
      <c r="O39" s="55">
        <f>SUMIFS(tblMovement[Tonnes_t],tblMovement[Date],$A39,tblMovement[Is_Ore],0,tblMovement[Source_Type],"Pit")</f>
        <v/>
      </c>
      <c r="P39" s="55">
        <f>IF($B39=$B38,$P38,0)+$O39</f>
        <v/>
      </c>
      <c r="Q39" s="55">
        <f>$Q38+$O39</f>
        <v/>
      </c>
      <c r="R39" s="55">
        <f>$F39+$O39</f>
        <v/>
      </c>
      <c r="S39" s="55">
        <f>IF($B39=$B38,$S38,0)+$R39</f>
        <v/>
      </c>
      <c r="T39" s="55">
        <f>$T38+$R39</f>
        <v/>
      </c>
      <c r="U39" s="56">
        <f>IFERROR(IF(($F39)&gt;0,($O39)/($F39),""),"")</f>
        <v/>
      </c>
      <c r="V39" s="56">
        <f>IFERROR(IF(($G39)&gt;0,($P39)/($G39),""),"")</f>
        <v/>
      </c>
      <c r="W39" s="56">
        <f>IFERROR(IF(($H39)&gt;0,($Q39)/($H39),""),"")</f>
        <v/>
      </c>
      <c r="X39" s="55">
        <f>SUMIFS(tblMovement[Tonnes_t],tblMovement[Date],$A39,tblMovement[Source_Type],"Stockpile")</f>
        <v/>
      </c>
      <c r="Y39" s="55">
        <f>IF($B39=$B38,$Y38,0)+$X39</f>
        <v/>
      </c>
      <c r="Z39" s="55">
        <f>$Z38+$X39</f>
        <v/>
      </c>
      <c r="AA39" s="55">
        <f>SUMIFS(tblMiningDaily[Drill_m],tblMiningDaily[Date],$A39)</f>
        <v/>
      </c>
      <c r="AB39" s="55">
        <f>IF($B39=$B38,$AB38,0)+$AA39</f>
        <v/>
      </c>
      <c r="AC39" s="55">
        <f>$AC38+$AA39</f>
        <v/>
      </c>
      <c r="AD39" s="55">
        <f>SUMIFS(tblMiningDaily[Blast_t],tblMiningDaily[Date],$A39)</f>
        <v/>
      </c>
      <c r="AE39" s="55">
        <f>IF($B39=$B38,$AE38,0)+$AD39</f>
        <v/>
      </c>
      <c r="AF39" s="55">
        <f>$AF38+$AD39</f>
        <v/>
      </c>
      <c r="AG39" s="55">
        <f>SUMIFS(tblMiningDaily[Explosives_kg],tblMiningDaily[Date],$A39)</f>
        <v/>
      </c>
      <c r="AH39" s="55">
        <f>IF($B39=$B38,$AH38,0)+$AG39</f>
        <v/>
      </c>
      <c r="AI39" s="55">
        <f>$AI38+$AG39</f>
        <v/>
      </c>
      <c r="AJ39" s="56">
        <f>IFERROR(IF(($AD39)&gt;0,($AG39)/($AD39),""),"")</f>
        <v/>
      </c>
      <c r="AK39" s="56">
        <f>IFERROR(IF(($AE39)&gt;0,($AH39)/($AE39),""),"")</f>
        <v/>
      </c>
      <c r="AL39" s="56">
        <f>IFERROR(IF(($AF39)&gt;0,($AI39)/($AF39),""),"")</f>
        <v/>
      </c>
      <c r="AM39" s="55">
        <f>SUMIFS(tblMiningDaily[Diesel_L],tblMiningDaily[Date],$A39)</f>
        <v/>
      </c>
      <c r="AN39" s="55">
        <f>IF($B39=$B38,$AN38,0)+$AM39</f>
        <v/>
      </c>
      <c r="AO39" s="55">
        <f>$AO38+$AM39</f>
        <v/>
      </c>
      <c r="AP39" s="55">
        <f>SUMIFS(tblMiningDaily[Dewatering_m3],tblMiningDaily[Date],$A39)</f>
        <v/>
      </c>
      <c r="AQ39" s="55">
        <f>IF($B39=$B38,$AQ38,0)+$AP39</f>
        <v/>
      </c>
      <c r="AR39" s="55">
        <f>$AR38+$AP39</f>
        <v/>
      </c>
      <c r="AS39" s="57">
        <f>SUMIFS(tblFleet[Calendar_h],tblFleet[Date],$A39,tblFleet[Equipment_Class],"Excavator")</f>
        <v/>
      </c>
      <c r="AT39" s="57">
        <f>IF($B39=$B38,$AT38,0)+$AS39</f>
        <v/>
      </c>
      <c r="AU39" s="57">
        <f>$AU38+$AS39</f>
        <v/>
      </c>
      <c r="AV39" s="57">
        <f>SUMIFS(tblFleet[Available_h],tblFleet[Date],$A39,tblFleet[Equipment_Class],"Excavator")</f>
        <v/>
      </c>
      <c r="AW39" s="57">
        <f>IF($B39=$B38,$AW38,0)+$AV39</f>
        <v/>
      </c>
      <c r="AX39" s="57">
        <f>$AX38+$AV39</f>
        <v/>
      </c>
      <c r="AY39" s="57">
        <f>SUMIFS(tblFleet[Operating_h],tblFleet[Date],$A39,tblFleet[Equipment_Class],"Excavator")</f>
        <v/>
      </c>
      <c r="AZ39" s="57">
        <f>IF($B39=$B38,$AZ38,0)+$AY39</f>
        <v/>
      </c>
      <c r="BA39" s="57">
        <f>$BA38+$AY39</f>
        <v/>
      </c>
      <c r="BB39" s="67">
        <f>IFERROR(IF(($AS39)&gt;0,($AV39)/($AS39),""),"")</f>
        <v/>
      </c>
      <c r="BC39" s="67">
        <f>IFERROR(IF(($AT39)&gt;0,($AW39)/($AT39),""),"")</f>
        <v/>
      </c>
      <c r="BD39" s="67">
        <f>IFERROR(IF(($AU39)&gt;0,($AX39)/($AU39),""),"")</f>
        <v/>
      </c>
      <c r="BE39" s="67">
        <f>IFERROR(IF(($AV39)&gt;0,($AY39)/($AV39),""),"")</f>
        <v/>
      </c>
      <c r="BF39" s="67">
        <f>IFERROR(IF(($AW39)&gt;0,($AZ39)/($AW39),""),"")</f>
        <v/>
      </c>
      <c r="BG39" s="67">
        <f>IFERROR(IF(($AX39)&gt;0,($BA39)/($AX39),""),"")</f>
        <v/>
      </c>
      <c r="BH39" s="57">
        <f>SUMIFS(tblFleet[Calendar_h],tblFleet[Date],$A39,tblFleet[Equipment_Class],"Haul Truck")</f>
        <v/>
      </c>
      <c r="BI39" s="57">
        <f>IF($B39=$B38,$BI38,0)+$BH39</f>
        <v/>
      </c>
      <c r="BJ39" s="57">
        <f>$BJ38+$BH39</f>
        <v/>
      </c>
      <c r="BK39" s="57">
        <f>SUMIFS(tblFleet[Available_h],tblFleet[Date],$A39,tblFleet[Equipment_Class],"Haul Truck")</f>
        <v/>
      </c>
      <c r="BL39" s="57">
        <f>IF($B39=$B38,$BL38,0)+$BK39</f>
        <v/>
      </c>
      <c r="BM39" s="57">
        <f>$BM38+$BK39</f>
        <v/>
      </c>
      <c r="BN39" s="57">
        <f>SUMIFS(tblFleet[Operating_h],tblFleet[Date],$A39,tblFleet[Equipment_Class],"Haul Truck")</f>
        <v/>
      </c>
      <c r="BO39" s="57">
        <f>IF($B39=$B38,$BO38,0)+$BN39</f>
        <v/>
      </c>
      <c r="BP39" s="57">
        <f>$BP38+$BN39</f>
        <v/>
      </c>
      <c r="BQ39" s="67">
        <f>IFERROR(IF(($BH39)&gt;0,($BK39)/($BH39),""),"")</f>
        <v/>
      </c>
      <c r="BR39" s="67">
        <f>IFERROR(IF(($BI39)&gt;0,($BL39)/($BI39),""),"")</f>
        <v/>
      </c>
      <c r="BS39" s="67">
        <f>IFERROR(IF(($BJ39)&gt;0,($BM39)/($BJ39),""),"")</f>
        <v/>
      </c>
      <c r="BT39" s="67">
        <f>IFERROR(IF(($BK39)&gt;0,($BN39)/($BK39),""),"")</f>
        <v/>
      </c>
      <c r="BU39" s="67">
        <f>IFERROR(IF(($BL39)&gt;0,($BO39)/($BL39),""),"")</f>
        <v/>
      </c>
      <c r="BV39" s="67">
        <f>IFERROR(IF(($BM39)&gt;0,($BP39)/($BM39),""),"")</f>
        <v/>
      </c>
      <c r="BW39" s="55">
        <f>SUMIFS(tblPlant[Crushed_t],tblPlant[Date],$A39)</f>
        <v/>
      </c>
      <c r="BX39" s="55">
        <f>IF($B39=$B38,$BX38,0)+$BW39</f>
        <v/>
      </c>
      <c r="BY39" s="55">
        <f>$BY38+$BW39</f>
        <v/>
      </c>
      <c r="BZ39" s="55">
        <f>SUMIFS(tblPlant[Milled_t],tblPlant[Date],$A39)</f>
        <v/>
      </c>
      <c r="CA39" s="55">
        <f>IF($B39=$B38,$CA38,0)+$BZ39</f>
        <v/>
      </c>
      <c r="CB39" s="55">
        <f>$CB38+$BZ39</f>
        <v/>
      </c>
      <c r="CC39" s="55">
        <f>SUMIFS(tblPlant[Feed_oz],tblPlant[Date],$A39)</f>
        <v/>
      </c>
      <c r="CD39" s="55">
        <f>IF($B39=$B38,$CD38,0)+$CC39</f>
        <v/>
      </c>
      <c r="CE39" s="55">
        <f>$CE38+$CC39</f>
        <v/>
      </c>
      <c r="CF39" s="55">
        <f>SUMIFS(tblPlant[Tails_oz],tblPlant[Date],$A39)</f>
        <v/>
      </c>
      <c r="CG39" s="55">
        <f>IF($B39=$B38,$CG38,0)+$CF39</f>
        <v/>
      </c>
      <c r="CH39" s="55">
        <f>$CH38+$CF39</f>
        <v/>
      </c>
      <c r="CI39" s="55">
        <f>SUMIFS(tblPlant[Recovered_oz],tblPlant[Date],$A39)</f>
        <v/>
      </c>
      <c r="CJ39" s="55">
        <f>IF($B39=$B38,$CJ38,0)+$CI39</f>
        <v/>
      </c>
      <c r="CK39" s="55">
        <f>$CK38+$CI39</f>
        <v/>
      </c>
      <c r="CL39" s="56">
        <f>IFERROR(IF(($BZ39)&gt;0,($CC39*cfg_TroyOz)/($BZ39),""),"")</f>
        <v/>
      </c>
      <c r="CM39" s="56">
        <f>IFERROR(IF(($CA39)&gt;0,($CD39*cfg_TroyOz)/($CA39),""),"")</f>
        <v/>
      </c>
      <c r="CN39" s="56">
        <f>IFERROR(IF(($CB39)&gt;0,($CE39*cfg_TroyOz)/($CB39),""),"")</f>
        <v/>
      </c>
      <c r="CO39" s="56">
        <f>IFERROR(IF(($BZ39)&gt;0,($CF39*cfg_TroyOz)/($BZ39),""),"")</f>
        <v/>
      </c>
      <c r="CP39" s="56">
        <f>IFERROR(IF(($CA39)&gt;0,($CG39*cfg_TroyOz)/($CA39),""),"")</f>
        <v/>
      </c>
      <c r="CQ39" s="56">
        <f>IFERROR(IF(($CB39)&gt;0,($CH39*cfg_TroyOz)/($CB39),""),"")</f>
        <v/>
      </c>
      <c r="CR39" s="67">
        <f>IFERROR(IF(($CC39)&gt;0,($CI39)/($CC39),""),"")</f>
        <v/>
      </c>
      <c r="CS39" s="67">
        <f>IFERROR(IF(($CD39)&gt;0,($CJ39)/($CD39),""),"")</f>
        <v/>
      </c>
      <c r="CT39" s="67">
        <f>IFERROR(IF(($CE39)&gt;0,($CK39)/($CE39),""),"")</f>
        <v/>
      </c>
      <c r="CU39" s="55">
        <f>SUMIFS(tblPlant[Gravity_Gold_oz],tblPlant[Date],$A39)</f>
        <v/>
      </c>
      <c r="CV39" s="55">
        <f>IF($B39=$B38,$CV38,0)+$CU39</f>
        <v/>
      </c>
      <c r="CW39" s="55">
        <f>$CW38+$CU39</f>
        <v/>
      </c>
      <c r="CX39" s="55">
        <f>SUMIFS(tblPlant[Gold_Poured_oz],tblPlant[Date],$A39)</f>
        <v/>
      </c>
      <c r="CY39" s="55">
        <f>IF($B39=$B38,$CY38,0)+$CX39</f>
        <v/>
      </c>
      <c r="CZ39" s="55">
        <f>$CZ38+$CX39</f>
        <v/>
      </c>
      <c r="DA39" s="57">
        <f>SUMIFS(tblPlant[Mill_Run_h],tblPlant[Date],$A39)</f>
        <v/>
      </c>
      <c r="DB39" s="57">
        <f>IF($B39=$B38,$DB38,0)+$DA39</f>
        <v/>
      </c>
      <c r="DC39" s="57">
        <f>$DC38+$DA39</f>
        <v/>
      </c>
      <c r="DD39" s="57">
        <f>SUMIFS(tblPlant[Mill_Planned_Maint_h],tblPlant[Date],$A39)</f>
        <v/>
      </c>
      <c r="DE39" s="57">
        <f>IF($B39=$B38,$DE38,0)+$DD39</f>
        <v/>
      </c>
      <c r="DF39" s="57">
        <f>$DF38+$DD39</f>
        <v/>
      </c>
      <c r="DG39" s="57">
        <f>SUMIFS(tblPlant[Mill_Unplanned_Down_h],tblPlant[Date],$A39)</f>
        <v/>
      </c>
      <c r="DH39" s="57">
        <f>IF($B39=$B38,$DH38,0)+$DG39</f>
        <v/>
      </c>
      <c r="DI39" s="57">
        <f>$DI38+$DG39</f>
        <v/>
      </c>
      <c r="DJ39" s="57">
        <f>COUNTIFS(tblPlant[Date],$A39,tblPlant[Mill_Run_h],"&lt;&gt;")*24</f>
        <v/>
      </c>
      <c r="DK39" s="57">
        <f>IF($B39=$B38,$DK38,0)+$DJ39</f>
        <v/>
      </c>
      <c r="DL39" s="57">
        <f>$DL38+$DJ39</f>
        <v/>
      </c>
      <c r="DM39" s="57">
        <f>SUMIFS(tblPlant[Crusher_Run_h],tblPlant[Date],$A39)</f>
        <v/>
      </c>
      <c r="DN39" s="57">
        <f>IF($B39=$B38,$DN38,0)+$DM39</f>
        <v/>
      </c>
      <c r="DO39" s="57">
        <f>$DO38+$DM39</f>
        <v/>
      </c>
      <c r="DP39" s="55">
        <f>IFERROR(IF(($DA39)&gt;0,($BZ39)/($DA39),""),"")</f>
        <v/>
      </c>
      <c r="DQ39" s="55">
        <f>IFERROR(IF(($DB39)&gt;0,($CA39)/($DB39),""),"")</f>
        <v/>
      </c>
      <c r="DR39" s="55">
        <f>IFERROR(IF(($DC39)&gt;0,($CB39)/($DC39),""),"")</f>
        <v/>
      </c>
      <c r="DS39" s="67">
        <f>IFERROR(IF(($DJ39)&gt;0,($DJ39-$DD39-$DG39)/($DJ39),""),"")</f>
        <v/>
      </c>
      <c r="DT39" s="67">
        <f>IFERROR(IF(($DK39)&gt;0,($DK39-$DE39-$DH39)/($DK39),""),"")</f>
        <v/>
      </c>
      <c r="DU39" s="67">
        <f>IFERROR(IF(($DL39)&gt;0,($DL39-$DF39-$DI39)/($DL39),""),"")</f>
        <v/>
      </c>
      <c r="DV39" s="67">
        <f>IFERROR(IF(($DJ39-$DD39-$DG39)&gt;0,($DA39)/($DJ39-$DD39-$DG39),""),"")</f>
        <v/>
      </c>
      <c r="DW39" s="67">
        <f>IFERROR(IF(($DK39-$DE39-$DH39)&gt;0,($DB39)/($DK39-$DE39-$DH39),""),"")</f>
        <v/>
      </c>
      <c r="DX39" s="67">
        <f>IFERROR(IF(($DL39-$DF39-$DI39)&gt;0,($DC39)/($DL39-$DF39-$DI39),""),"")</f>
        <v/>
      </c>
      <c r="DY39" s="55">
        <f>SUMIFS(tblPlant[Cyanide_kg],tblPlant[Date],$A39)</f>
        <v/>
      </c>
      <c r="DZ39" s="55">
        <f>IF($B39=$B38,$DZ38,0)+$DY39</f>
        <v/>
      </c>
      <c r="EA39" s="55">
        <f>$EA38+$DY39</f>
        <v/>
      </c>
      <c r="EB39" s="55">
        <f>SUMIFS(tblPlant[Lime_kg],tblPlant[Date],$A39)</f>
        <v/>
      </c>
      <c r="EC39" s="55">
        <f>IF($B39=$B38,$EC38,0)+$EB39</f>
        <v/>
      </c>
      <c r="ED39" s="55">
        <f>$ED38+$EB39</f>
        <v/>
      </c>
      <c r="EE39" s="55">
        <f>SUMIFS(tblPlant[Grinding_Media_kg],tblPlant[Date],$A39)</f>
        <v/>
      </c>
      <c r="EF39" s="55">
        <f>IF($B39=$B38,$EF38,0)+$EE39</f>
        <v/>
      </c>
      <c r="EG39" s="55">
        <f>$EG38+$EE39</f>
        <v/>
      </c>
      <c r="EH39" s="55">
        <f>SUMIFS(tblPlant[Power_kWh],tblPlant[Date],$A39)</f>
        <v/>
      </c>
      <c r="EI39" s="55">
        <f>IF($B39=$B38,$EI38,0)+$EH39</f>
        <v/>
      </c>
      <c r="EJ39" s="55">
        <f>$EJ38+$EH39</f>
        <v/>
      </c>
      <c r="EK39" s="55">
        <f>SUMIFS(tblPlant[Raw_Water_m3],tblPlant[Date],$A39)</f>
        <v/>
      </c>
      <c r="EL39" s="55">
        <f>IF($B39=$B38,$EL38,0)+$EK39</f>
        <v/>
      </c>
      <c r="EM39" s="55">
        <f>$EM38+$EK39</f>
        <v/>
      </c>
      <c r="EN39" s="56">
        <f>IFERROR(IF(($BZ39)&gt;0,($DY39)/($BZ39),""),"")</f>
        <v/>
      </c>
      <c r="EO39" s="56">
        <f>IFERROR(IF(($CA39)&gt;0,($DZ39)/($CA39),""),"")</f>
        <v/>
      </c>
      <c r="EP39" s="56">
        <f>IFERROR(IF(($CB39)&gt;0,($EA39)/($CB39),""),"")</f>
        <v/>
      </c>
      <c r="EQ39" s="56">
        <f>IFERROR(IF(($BZ39)&gt;0,($EB39)/($BZ39),""),"")</f>
        <v/>
      </c>
      <c r="ER39" s="56">
        <f>IFERROR(IF(($CA39)&gt;0,($EC39)/($CA39),""),"")</f>
        <v/>
      </c>
      <c r="ES39" s="56">
        <f>IFERROR(IF(($CB39)&gt;0,($ED39)/($CB39),""),"")</f>
        <v/>
      </c>
      <c r="ET39" s="56">
        <f>IFERROR(IF(($BZ39)&gt;0,($EE39)/($BZ39),""),"")</f>
        <v/>
      </c>
      <c r="EU39" s="56">
        <f>IFERROR(IF(($CA39)&gt;0,($EF39)/($CA39),""),"")</f>
        <v/>
      </c>
      <c r="EV39" s="56">
        <f>IFERROR(IF(($CB39)&gt;0,($EG39)/($CB39),""),"")</f>
        <v/>
      </c>
      <c r="EW39" s="76">
        <f>IFERROR(IF(($BZ39)&gt;0,($EH39)/($BZ39),""),"")</f>
        <v/>
      </c>
      <c r="EX39" s="76">
        <f>IFERROR(IF(($CA39)&gt;0,($EI39)/($CA39),""),"")</f>
        <v/>
      </c>
      <c r="EY39" s="76">
        <f>IFERROR(IF(($CB39)&gt;0,($EJ39)/($CB39),""),"")</f>
        <v/>
      </c>
      <c r="EZ39" s="56">
        <f>IFERROR(IF(($BZ39)&gt;0,($EK39)/($BZ39),""),"")</f>
        <v/>
      </c>
      <c r="FA39" s="56">
        <f>IFERROR(IF(($CA39)&gt;0,($EL39)/($CA39),""),"")</f>
        <v/>
      </c>
      <c r="FB39" s="56">
        <f>IFERROR(IF(($CB39)&gt;0,($EM39)/($CB39),""),"")</f>
        <v/>
      </c>
      <c r="FC39" s="55">
        <f>IF(SUMIFS(tblPlant[GIC_oz],tblPlant[Date],$A39)&gt;0,SUMIFS(tblPlant[GIC_oz],tblPlant[Date],$A39),"")</f>
        <v/>
      </c>
      <c r="FD39" s="55">
        <f>SUMIFS(tblGold[Gold_oz],tblGold[Date],$A39,tblGold[Type],"Shipment")</f>
        <v/>
      </c>
      <c r="FE39" s="55">
        <f>IF($B39=$B38,$FE38,0)+$FD39</f>
        <v/>
      </c>
      <c r="FF39" s="55">
        <f>$FF38+$FD39</f>
        <v/>
      </c>
      <c r="FG39" s="55">
        <f>SUMIFS(tblGold[Gold_oz],tblGold[Date],$A39,tblGold[Type],"Sale")</f>
        <v/>
      </c>
      <c r="FH39" s="55">
        <f>IF($B39=$B38,$FH38,0)+$FG39</f>
        <v/>
      </c>
      <c r="FI39" s="55">
        <f>$FI38+$FG39</f>
        <v/>
      </c>
      <c r="FJ39" s="55">
        <f>SUMIFS(tblGold[Dore_kg],tblGold[Date],$A39,tblGold[Type],"Shipment")</f>
        <v/>
      </c>
      <c r="FK39" s="55">
        <f>IF($B39=$B38,$FK38,0)+$FJ39</f>
        <v/>
      </c>
      <c r="FL39" s="55">
        <f>$FL38+$FJ39</f>
        <v/>
      </c>
      <c r="FM39" s="57">
        <f>SUMIFS(tblSafety[Hours_Total],tblSafety[Date],$A39)</f>
        <v/>
      </c>
      <c r="FN39" s="57">
        <f>IF($B39=$B38,$FN38,0)+$FM39</f>
        <v/>
      </c>
      <c r="FO39" s="57">
        <f>$FO38+$FM39</f>
        <v/>
      </c>
      <c r="FP39" s="62">
        <f>SUMIFS(tblSafety[Fatality],tblSafety[Date],$A39)</f>
        <v/>
      </c>
      <c r="FQ39" s="62">
        <f>IF($B39=$B38,$FQ38,0)+$FP39</f>
        <v/>
      </c>
      <c r="FR39" s="62">
        <f>$FR38+$FP39</f>
        <v/>
      </c>
      <c r="FS39" s="62">
        <f>SUMIFS(tblSafety[LTI],tblSafety[Date],$A39)</f>
        <v/>
      </c>
      <c r="FT39" s="62">
        <f>IF($B39=$B38,$FT38,0)+$FS39</f>
        <v/>
      </c>
      <c r="FU39" s="62">
        <f>$FU38+$FS39</f>
        <v/>
      </c>
      <c r="FV39" s="62">
        <f>SUMIFS(tblSafety[RWI],tblSafety[Date],$A39)</f>
        <v/>
      </c>
      <c r="FW39" s="62">
        <f>IF($B39=$B38,$FW38,0)+$FV39</f>
        <v/>
      </c>
      <c r="FX39" s="62">
        <f>$FX38+$FV39</f>
        <v/>
      </c>
      <c r="FY39" s="62">
        <f>SUMIFS(tblSafety[MTI],tblSafety[Date],$A39)</f>
        <v/>
      </c>
      <c r="FZ39" s="62">
        <f>IF($B39=$B38,$FZ38,0)+$FY39</f>
        <v/>
      </c>
      <c r="GA39" s="62">
        <f>$GA38+$FY39</f>
        <v/>
      </c>
      <c r="GB39" s="62">
        <f>SUMIFS(tblSafety[FAI],tblSafety[Date],$A39)</f>
        <v/>
      </c>
      <c r="GC39" s="62">
        <f>IF($B39=$B38,$GC38,0)+$GB39</f>
        <v/>
      </c>
      <c r="GD39" s="62">
        <f>$GD38+$GB39</f>
        <v/>
      </c>
      <c r="GE39" s="62">
        <f>SUMIFS(tblSafety[Recordables],tblSafety[Date],$A39)</f>
        <v/>
      </c>
      <c r="GF39" s="62">
        <f>IF($B39=$B38,$GF38,0)+$GE39</f>
        <v/>
      </c>
      <c r="GG39" s="62">
        <f>$GG38+$GE39</f>
        <v/>
      </c>
      <c r="GH39" s="62">
        <f>SUMIFS(tblSafety[Near_Miss],tblSafety[Date],$A39)</f>
        <v/>
      </c>
      <c r="GI39" s="62">
        <f>IF($B39=$B38,$GI38,0)+$GH39</f>
        <v/>
      </c>
      <c r="GJ39" s="62">
        <f>$GJ38+$GH39</f>
        <v/>
      </c>
      <c r="GK39" s="62">
        <f>SUMIFS(tblSafety[Hazard_Reports],tblSafety[Date],$A39)</f>
        <v/>
      </c>
      <c r="GL39" s="62">
        <f>IF($B39=$B38,$GL38,0)+$GK39</f>
        <v/>
      </c>
      <c r="GM39" s="62">
        <f>$GM38+$GK39</f>
        <v/>
      </c>
      <c r="GN39" s="62">
        <f>SUMIFS(tblSafety[HPI],tblSafety[Date],$A39)</f>
        <v/>
      </c>
      <c r="GO39" s="62">
        <f>IF($B39=$B38,$GO38,0)+$GN39</f>
        <v/>
      </c>
      <c r="GP39" s="62">
        <f>$GP38+$GN39</f>
        <v/>
      </c>
      <c r="GQ39" s="62">
        <f>SUMIFS(tblSafety[Env_Incidents],tblSafety[Date],$A39)</f>
        <v/>
      </c>
      <c r="GR39" s="62">
        <f>IF($B39=$B38,$GR38,0)+$GQ39</f>
        <v/>
      </c>
      <c r="GS39" s="62">
        <f>$GS38+$GQ39</f>
        <v/>
      </c>
      <c r="GT39" s="62">
        <f>SUMIFS(tblSafety[Community_Incidents],tblSafety[Date],$A39)</f>
        <v/>
      </c>
      <c r="GU39" s="62">
        <f>IF($B39=$B38,$GU38,0)+$GT39</f>
        <v/>
      </c>
      <c r="GV39" s="62">
        <f>$GV38+$GT39</f>
        <v/>
      </c>
      <c r="GW39" s="62">
        <f>SUMIFS(tblSafety[Vehicle_Incidents],tblSafety[Date],$A39)</f>
        <v/>
      </c>
      <c r="GX39" s="62">
        <f>IF($B39=$B38,$GX38,0)+$GW39</f>
        <v/>
      </c>
      <c r="GY39" s="62">
        <f>$GY38+$GW39</f>
        <v/>
      </c>
      <c r="GZ39" s="62">
        <f>SUMIFS(tblSafety[Toolbox_Talks],tblSafety[Date],$A39)</f>
        <v/>
      </c>
      <c r="HA39" s="62">
        <f>IF($B39=$B38,$HA38,0)+$GZ39</f>
        <v/>
      </c>
      <c r="HB39" s="62">
        <f>$HB38+$GZ39</f>
        <v/>
      </c>
      <c r="HC39" s="62">
        <f>SUMIFS(tblSafety[Inspections],tblSafety[Date],$A39)</f>
        <v/>
      </c>
      <c r="HD39" s="62">
        <f>IF($B39=$B38,$HD38,0)+$HC39</f>
        <v/>
      </c>
      <c r="HE39" s="62">
        <f>$HE38+$HC39</f>
        <v/>
      </c>
      <c r="HF39" s="56">
        <f>IFERROR((SUMIFS(tblSafety[Recordables],tblSafety[Date],"&gt;="&amp;EDATE($E39,-12),tblSafety[Date],"&lt;="&amp;$A39)+SUMIFS(tblSafetyHistory[Recordables],tblSafetyHistory[Month],"&gt;="&amp;EDATE($E39,-12),tblSafetyHistory[Month],"&lt;"&amp;cfg_YearStart))/(SUMIFS(tblSafety[Hours_Total],tblSafety[Date],"&gt;="&amp;EDATE($E39,-12),tblSafety[Date],"&lt;="&amp;$A39)+SUMIFS(tblSafetyHistory[Hours_Total],tblSafetyHistory[Month],"&gt;="&amp;EDATE($E39,-12),tblSafetyHistory[Month],"&lt;"&amp;cfg_YearStart))*1000000,"")</f>
        <v/>
      </c>
      <c r="HG39" s="56">
        <f>IFERROR((SUMIFS(tblSafety[LTI],tblSafety[Date],"&gt;="&amp;EDATE($E39,-12),tblSafety[Date],"&lt;="&amp;$A39)+SUMIFS(tblSafetyHistory[LTI],tblSafetyHistory[Month],"&gt;="&amp;EDATE($E39,-12),tblSafetyHistory[Month],"&lt;"&amp;cfg_YearStart))/(SUMIFS(tblSafety[Hours_Total],tblSafety[Date],"&gt;="&amp;EDATE($E39,-12),tblSafety[Date],"&lt;="&amp;$A39)+SUMIFS(tblSafetyHistory[Hours_Total],tblSafetyHistory[Month],"&gt;="&amp;EDATE($E39,-12),tblSafetyHistory[Month],"&lt;"&amp;cfg_YearStart))*1000000,"")</f>
        <v/>
      </c>
      <c r="HH39" s="62">
        <f>IF(MAX(N(cfg_PriorLTIDate),_xlfn.MAXIFS(tblSafety[Date],tblSafety[LTI],"&gt;0",tblSafety[Date],"&lt;="&amp;$A39))=0,"",$A39-MAX(N(cfg_PriorLTIDate),_xlfn.MAXIFS(tblSafety[Date],tblSafety[LTI],"&gt;0",tblSafety[Date],"&lt;="&amp;$A39)))</f>
        <v/>
      </c>
      <c r="HI39" s="55">
        <f>SUMIFS(tblBudget[Ore_Mined_t],tblBudget[Month],$E39)</f>
        <v/>
      </c>
      <c r="HJ39" s="55">
        <f>$HI39*$C39/$D39</f>
        <v/>
      </c>
      <c r="HK39" s="55">
        <f>SUMIFS(tblBudget[Ore_Mined_t],tblBudget[Month],"&lt;"&amp;$E39)+$HJ39</f>
        <v/>
      </c>
      <c r="HL39" s="55">
        <f>SUMIFS(tblBudget[Ore_oz],tblBudget[Month],$E39)</f>
        <v/>
      </c>
      <c r="HM39" s="55">
        <f>$HL39*$C39/$D39</f>
        <v/>
      </c>
      <c r="HN39" s="55">
        <f>SUMIFS(tblBudget[Ore_oz],tblBudget[Month],"&lt;"&amp;$E39)+$HM39</f>
        <v/>
      </c>
      <c r="HO39" s="56">
        <f>IFERROR(IF(($HI39)&gt;0,($HL39*cfg_TroyOz)/($HI39),""),"")</f>
        <v/>
      </c>
      <c r="HP39" s="56">
        <f>IFERROR(IF(($HJ39)&gt;0,($HM39*cfg_TroyOz)/($HJ39),""),"")</f>
        <v/>
      </c>
      <c r="HQ39" s="56">
        <f>IFERROR(IF(($HK39)&gt;0,($HN39*cfg_TroyOz)/($HK39),""),"")</f>
        <v/>
      </c>
      <c r="HR39" s="55">
        <f>SUMIFS(tblBudget[Waste_t],tblBudget[Month],$E39)</f>
        <v/>
      </c>
      <c r="HS39" s="55">
        <f>$HR39*$C39/$D39</f>
        <v/>
      </c>
      <c r="HT39" s="55">
        <f>SUMIFS(tblBudget[Waste_t],tblBudget[Month],"&lt;"&amp;$E39)+$HS39</f>
        <v/>
      </c>
      <c r="HU39" s="55">
        <f>SUMIFS(tblBudget[TMM_t],tblBudget[Month],$E39)</f>
        <v/>
      </c>
      <c r="HV39" s="55">
        <f>$HU39*$C39/$D39</f>
        <v/>
      </c>
      <c r="HW39" s="55">
        <f>SUMIFS(tblBudget[TMM_t],tblBudget[Month],"&lt;"&amp;$E39)+$HV39</f>
        <v/>
      </c>
      <c r="HX39" s="56">
        <f>IFERROR(IF(($HI39)&gt;0,($HR39)/($HI39),""),"")</f>
        <v/>
      </c>
      <c r="HY39" s="56">
        <f>IFERROR(IF(($HJ39)&gt;0,($HS39)/($HJ39),""),"")</f>
        <v/>
      </c>
      <c r="HZ39" s="56">
        <f>IFERROR(IF(($HK39)&gt;0,($HT39)/($HK39),""),"")</f>
        <v/>
      </c>
      <c r="IA39" s="55">
        <f>SUMIFS(tblBudget[Drill_m],tblBudget[Month],$E39)</f>
        <v/>
      </c>
      <c r="IB39" s="55">
        <f>$IA39*$C39/$D39</f>
        <v/>
      </c>
      <c r="IC39" s="55">
        <f>SUMIFS(tblBudget[Drill_m],tblBudget[Month],"&lt;"&amp;$E39)+$IB39</f>
        <v/>
      </c>
      <c r="ID39" s="55">
        <f>SUMIFS(tblBudget[Diesel_L],tblBudget[Month],$E39)</f>
        <v/>
      </c>
      <c r="IE39" s="55">
        <f>$ID39*$C39/$D39</f>
        <v/>
      </c>
      <c r="IF39" s="55">
        <f>SUMIFS(tblBudget[Diesel_L],tblBudget[Month],"&lt;"&amp;$E39)+$IE39</f>
        <v/>
      </c>
      <c r="IG39" s="55">
        <f>SUMIFS(tblBudget[Milled_t],tblBudget[Month],$E39)</f>
        <v/>
      </c>
      <c r="IH39" s="55">
        <f>$IG39*$C39/$D39</f>
        <v/>
      </c>
      <c r="II39" s="55">
        <f>SUMIFS(tblBudget[Milled_t],tblBudget[Month],"&lt;"&amp;$E39)+$IH39</f>
        <v/>
      </c>
      <c r="IJ39" s="55">
        <f>SUMIFS(tblBudget[Feed_oz],tblBudget[Month],$E39)</f>
        <v/>
      </c>
      <c r="IK39" s="55">
        <f>$IJ39*$C39/$D39</f>
        <v/>
      </c>
      <c r="IL39" s="55">
        <f>SUMIFS(tblBudget[Feed_oz],tblBudget[Month],"&lt;"&amp;$E39)+$IK39</f>
        <v/>
      </c>
      <c r="IM39" s="55">
        <f>SUMIFS(tblBudget[Recovered_oz],tblBudget[Month],$E39)</f>
        <v/>
      </c>
      <c r="IN39" s="55">
        <f>$IM39*$C39/$D39</f>
        <v/>
      </c>
      <c r="IO39" s="55">
        <f>SUMIFS(tblBudget[Recovered_oz],tblBudget[Month],"&lt;"&amp;$E39)+$IN39</f>
        <v/>
      </c>
      <c r="IP39" s="56">
        <f>IFERROR(IF(($IG39)&gt;0,($IJ39*cfg_TroyOz)/($IG39),""),"")</f>
        <v/>
      </c>
      <c r="IQ39" s="56">
        <f>IFERROR(IF(($IH39)&gt;0,($IK39*cfg_TroyOz)/($IH39),""),"")</f>
        <v/>
      </c>
      <c r="IR39" s="56">
        <f>IFERROR(IF(($II39)&gt;0,($IL39*cfg_TroyOz)/($II39),""),"")</f>
        <v/>
      </c>
      <c r="IS39" s="67">
        <f>IFERROR(IF(($IJ39)&gt;0,($IM39)/($IJ39),""),"")</f>
        <v/>
      </c>
      <c r="IT39" s="67">
        <f>IFERROR(IF(($IK39)&gt;0,($IN39)/($IK39),""),"")</f>
        <v/>
      </c>
      <c r="IU39" s="67">
        <f>IFERROR(IF(($IL39)&gt;0,($IO39)/($IL39),""),"")</f>
        <v/>
      </c>
      <c r="IV39" s="55">
        <f>SUMIFS(tblBudget[Gold_Poured_oz],tblBudget[Month],$E39)</f>
        <v/>
      </c>
      <c r="IW39" s="55">
        <f>$IV39*$C39/$D39</f>
        <v/>
      </c>
      <c r="IX39" s="55">
        <f>SUMIFS(tblBudget[Gold_Poured_oz],tblBudget[Month],"&lt;"&amp;$E39)+$IW39</f>
        <v/>
      </c>
      <c r="IY39" s="57">
        <f>SUMIFS(tblBudget[Hours_Worked],tblBudget[Month],$E39)</f>
        <v/>
      </c>
      <c r="IZ39" s="57">
        <f>$IY39*$C39/$D39</f>
        <v/>
      </c>
      <c r="JA39" s="57">
        <f>SUMIFS(tblBudget[Hours_Worked],tblBudget[Month],"&lt;"&amp;$E39)+$IZ39</f>
        <v/>
      </c>
    </row>
    <row r="40">
      <c r="A40" s="54" t="n">
        <v>46061</v>
      </c>
      <c r="B40">
        <f>MONTH($A40)</f>
        <v/>
      </c>
      <c r="C40">
        <f>DAY($A40)</f>
        <v/>
      </c>
      <c r="D40">
        <f>DAY(EOMONTH($A40,0))</f>
        <v/>
      </c>
      <c r="E40" s="54">
        <f>DATE(YEAR($A40),MONTH($A40),1)</f>
        <v/>
      </c>
      <c r="F40" s="55">
        <f>SUMIFS(tblMovement[Tonnes_t],tblMovement[Date],$A40,tblMovement[Is_Ore],1,tblMovement[Source_Type],"Pit")</f>
        <v/>
      </c>
      <c r="G40" s="55">
        <f>IF($B40=$B39,$G39,0)+$F40</f>
        <v/>
      </c>
      <c r="H40" s="55">
        <f>$H39+$F40</f>
        <v/>
      </c>
      <c r="I40" s="55">
        <f>SUMIFS(tblMovement[Ore_oz],tblMovement[Date],$A40,tblMovement[Source_Type],"Pit")</f>
        <v/>
      </c>
      <c r="J40" s="55">
        <f>IF($B40=$B39,$J39,0)+$I40</f>
        <v/>
      </c>
      <c r="K40" s="55">
        <f>$K39+$I40</f>
        <v/>
      </c>
      <c r="L40" s="56">
        <f>IFERROR(IF(($F40)&gt;0,($I40*cfg_TroyOz)/($F40),""),"")</f>
        <v/>
      </c>
      <c r="M40" s="56">
        <f>IFERROR(IF(($G40)&gt;0,($J40*cfg_TroyOz)/($G40),""),"")</f>
        <v/>
      </c>
      <c r="N40" s="56">
        <f>IFERROR(IF(($H40)&gt;0,($K40*cfg_TroyOz)/($H40),""),"")</f>
        <v/>
      </c>
      <c r="O40" s="55">
        <f>SUMIFS(tblMovement[Tonnes_t],tblMovement[Date],$A40,tblMovement[Is_Ore],0,tblMovement[Source_Type],"Pit")</f>
        <v/>
      </c>
      <c r="P40" s="55">
        <f>IF($B40=$B39,$P39,0)+$O40</f>
        <v/>
      </c>
      <c r="Q40" s="55">
        <f>$Q39+$O40</f>
        <v/>
      </c>
      <c r="R40" s="55">
        <f>$F40+$O40</f>
        <v/>
      </c>
      <c r="S40" s="55">
        <f>IF($B40=$B39,$S39,0)+$R40</f>
        <v/>
      </c>
      <c r="T40" s="55">
        <f>$T39+$R40</f>
        <v/>
      </c>
      <c r="U40" s="56">
        <f>IFERROR(IF(($F40)&gt;0,($O40)/($F40),""),"")</f>
        <v/>
      </c>
      <c r="V40" s="56">
        <f>IFERROR(IF(($G40)&gt;0,($P40)/($G40),""),"")</f>
        <v/>
      </c>
      <c r="W40" s="56">
        <f>IFERROR(IF(($H40)&gt;0,($Q40)/($H40),""),"")</f>
        <v/>
      </c>
      <c r="X40" s="55">
        <f>SUMIFS(tblMovement[Tonnes_t],tblMovement[Date],$A40,tblMovement[Source_Type],"Stockpile")</f>
        <v/>
      </c>
      <c r="Y40" s="55">
        <f>IF($B40=$B39,$Y39,0)+$X40</f>
        <v/>
      </c>
      <c r="Z40" s="55">
        <f>$Z39+$X40</f>
        <v/>
      </c>
      <c r="AA40" s="55">
        <f>SUMIFS(tblMiningDaily[Drill_m],tblMiningDaily[Date],$A40)</f>
        <v/>
      </c>
      <c r="AB40" s="55">
        <f>IF($B40=$B39,$AB39,0)+$AA40</f>
        <v/>
      </c>
      <c r="AC40" s="55">
        <f>$AC39+$AA40</f>
        <v/>
      </c>
      <c r="AD40" s="55">
        <f>SUMIFS(tblMiningDaily[Blast_t],tblMiningDaily[Date],$A40)</f>
        <v/>
      </c>
      <c r="AE40" s="55">
        <f>IF($B40=$B39,$AE39,0)+$AD40</f>
        <v/>
      </c>
      <c r="AF40" s="55">
        <f>$AF39+$AD40</f>
        <v/>
      </c>
      <c r="AG40" s="55">
        <f>SUMIFS(tblMiningDaily[Explosives_kg],tblMiningDaily[Date],$A40)</f>
        <v/>
      </c>
      <c r="AH40" s="55">
        <f>IF($B40=$B39,$AH39,0)+$AG40</f>
        <v/>
      </c>
      <c r="AI40" s="55">
        <f>$AI39+$AG40</f>
        <v/>
      </c>
      <c r="AJ40" s="56">
        <f>IFERROR(IF(($AD40)&gt;0,($AG40)/($AD40),""),"")</f>
        <v/>
      </c>
      <c r="AK40" s="56">
        <f>IFERROR(IF(($AE40)&gt;0,($AH40)/($AE40),""),"")</f>
        <v/>
      </c>
      <c r="AL40" s="56">
        <f>IFERROR(IF(($AF40)&gt;0,($AI40)/($AF40),""),"")</f>
        <v/>
      </c>
      <c r="AM40" s="55">
        <f>SUMIFS(tblMiningDaily[Diesel_L],tblMiningDaily[Date],$A40)</f>
        <v/>
      </c>
      <c r="AN40" s="55">
        <f>IF($B40=$B39,$AN39,0)+$AM40</f>
        <v/>
      </c>
      <c r="AO40" s="55">
        <f>$AO39+$AM40</f>
        <v/>
      </c>
      <c r="AP40" s="55">
        <f>SUMIFS(tblMiningDaily[Dewatering_m3],tblMiningDaily[Date],$A40)</f>
        <v/>
      </c>
      <c r="AQ40" s="55">
        <f>IF($B40=$B39,$AQ39,0)+$AP40</f>
        <v/>
      </c>
      <c r="AR40" s="55">
        <f>$AR39+$AP40</f>
        <v/>
      </c>
      <c r="AS40" s="57">
        <f>SUMIFS(tblFleet[Calendar_h],tblFleet[Date],$A40,tblFleet[Equipment_Class],"Excavator")</f>
        <v/>
      </c>
      <c r="AT40" s="57">
        <f>IF($B40=$B39,$AT39,0)+$AS40</f>
        <v/>
      </c>
      <c r="AU40" s="57">
        <f>$AU39+$AS40</f>
        <v/>
      </c>
      <c r="AV40" s="57">
        <f>SUMIFS(tblFleet[Available_h],tblFleet[Date],$A40,tblFleet[Equipment_Class],"Excavator")</f>
        <v/>
      </c>
      <c r="AW40" s="57">
        <f>IF($B40=$B39,$AW39,0)+$AV40</f>
        <v/>
      </c>
      <c r="AX40" s="57">
        <f>$AX39+$AV40</f>
        <v/>
      </c>
      <c r="AY40" s="57">
        <f>SUMIFS(tblFleet[Operating_h],tblFleet[Date],$A40,tblFleet[Equipment_Class],"Excavator")</f>
        <v/>
      </c>
      <c r="AZ40" s="57">
        <f>IF($B40=$B39,$AZ39,0)+$AY40</f>
        <v/>
      </c>
      <c r="BA40" s="57">
        <f>$BA39+$AY40</f>
        <v/>
      </c>
      <c r="BB40" s="67">
        <f>IFERROR(IF(($AS40)&gt;0,($AV40)/($AS40),""),"")</f>
        <v/>
      </c>
      <c r="BC40" s="67">
        <f>IFERROR(IF(($AT40)&gt;0,($AW40)/($AT40),""),"")</f>
        <v/>
      </c>
      <c r="BD40" s="67">
        <f>IFERROR(IF(($AU40)&gt;0,($AX40)/($AU40),""),"")</f>
        <v/>
      </c>
      <c r="BE40" s="67">
        <f>IFERROR(IF(($AV40)&gt;0,($AY40)/($AV40),""),"")</f>
        <v/>
      </c>
      <c r="BF40" s="67">
        <f>IFERROR(IF(($AW40)&gt;0,($AZ40)/($AW40),""),"")</f>
        <v/>
      </c>
      <c r="BG40" s="67">
        <f>IFERROR(IF(($AX40)&gt;0,($BA40)/($AX40),""),"")</f>
        <v/>
      </c>
      <c r="BH40" s="57">
        <f>SUMIFS(tblFleet[Calendar_h],tblFleet[Date],$A40,tblFleet[Equipment_Class],"Haul Truck")</f>
        <v/>
      </c>
      <c r="BI40" s="57">
        <f>IF($B40=$B39,$BI39,0)+$BH40</f>
        <v/>
      </c>
      <c r="BJ40" s="57">
        <f>$BJ39+$BH40</f>
        <v/>
      </c>
      <c r="BK40" s="57">
        <f>SUMIFS(tblFleet[Available_h],tblFleet[Date],$A40,tblFleet[Equipment_Class],"Haul Truck")</f>
        <v/>
      </c>
      <c r="BL40" s="57">
        <f>IF($B40=$B39,$BL39,0)+$BK40</f>
        <v/>
      </c>
      <c r="BM40" s="57">
        <f>$BM39+$BK40</f>
        <v/>
      </c>
      <c r="BN40" s="57">
        <f>SUMIFS(tblFleet[Operating_h],tblFleet[Date],$A40,tblFleet[Equipment_Class],"Haul Truck")</f>
        <v/>
      </c>
      <c r="BO40" s="57">
        <f>IF($B40=$B39,$BO39,0)+$BN40</f>
        <v/>
      </c>
      <c r="BP40" s="57">
        <f>$BP39+$BN40</f>
        <v/>
      </c>
      <c r="BQ40" s="67">
        <f>IFERROR(IF(($BH40)&gt;0,($BK40)/($BH40),""),"")</f>
        <v/>
      </c>
      <c r="BR40" s="67">
        <f>IFERROR(IF(($BI40)&gt;0,($BL40)/($BI40),""),"")</f>
        <v/>
      </c>
      <c r="BS40" s="67">
        <f>IFERROR(IF(($BJ40)&gt;0,($BM40)/($BJ40),""),"")</f>
        <v/>
      </c>
      <c r="BT40" s="67">
        <f>IFERROR(IF(($BK40)&gt;0,($BN40)/($BK40),""),"")</f>
        <v/>
      </c>
      <c r="BU40" s="67">
        <f>IFERROR(IF(($BL40)&gt;0,($BO40)/($BL40),""),"")</f>
        <v/>
      </c>
      <c r="BV40" s="67">
        <f>IFERROR(IF(($BM40)&gt;0,($BP40)/($BM40),""),"")</f>
        <v/>
      </c>
      <c r="BW40" s="55">
        <f>SUMIFS(tblPlant[Crushed_t],tblPlant[Date],$A40)</f>
        <v/>
      </c>
      <c r="BX40" s="55">
        <f>IF($B40=$B39,$BX39,0)+$BW40</f>
        <v/>
      </c>
      <c r="BY40" s="55">
        <f>$BY39+$BW40</f>
        <v/>
      </c>
      <c r="BZ40" s="55">
        <f>SUMIFS(tblPlant[Milled_t],tblPlant[Date],$A40)</f>
        <v/>
      </c>
      <c r="CA40" s="55">
        <f>IF($B40=$B39,$CA39,0)+$BZ40</f>
        <v/>
      </c>
      <c r="CB40" s="55">
        <f>$CB39+$BZ40</f>
        <v/>
      </c>
      <c r="CC40" s="55">
        <f>SUMIFS(tblPlant[Feed_oz],tblPlant[Date],$A40)</f>
        <v/>
      </c>
      <c r="CD40" s="55">
        <f>IF($B40=$B39,$CD39,0)+$CC40</f>
        <v/>
      </c>
      <c r="CE40" s="55">
        <f>$CE39+$CC40</f>
        <v/>
      </c>
      <c r="CF40" s="55">
        <f>SUMIFS(tblPlant[Tails_oz],tblPlant[Date],$A40)</f>
        <v/>
      </c>
      <c r="CG40" s="55">
        <f>IF($B40=$B39,$CG39,0)+$CF40</f>
        <v/>
      </c>
      <c r="CH40" s="55">
        <f>$CH39+$CF40</f>
        <v/>
      </c>
      <c r="CI40" s="55">
        <f>SUMIFS(tblPlant[Recovered_oz],tblPlant[Date],$A40)</f>
        <v/>
      </c>
      <c r="CJ40" s="55">
        <f>IF($B40=$B39,$CJ39,0)+$CI40</f>
        <v/>
      </c>
      <c r="CK40" s="55">
        <f>$CK39+$CI40</f>
        <v/>
      </c>
      <c r="CL40" s="56">
        <f>IFERROR(IF(($BZ40)&gt;0,($CC40*cfg_TroyOz)/($BZ40),""),"")</f>
        <v/>
      </c>
      <c r="CM40" s="56">
        <f>IFERROR(IF(($CA40)&gt;0,($CD40*cfg_TroyOz)/($CA40),""),"")</f>
        <v/>
      </c>
      <c r="CN40" s="56">
        <f>IFERROR(IF(($CB40)&gt;0,($CE40*cfg_TroyOz)/($CB40),""),"")</f>
        <v/>
      </c>
      <c r="CO40" s="56">
        <f>IFERROR(IF(($BZ40)&gt;0,($CF40*cfg_TroyOz)/($BZ40),""),"")</f>
        <v/>
      </c>
      <c r="CP40" s="56">
        <f>IFERROR(IF(($CA40)&gt;0,($CG40*cfg_TroyOz)/($CA40),""),"")</f>
        <v/>
      </c>
      <c r="CQ40" s="56">
        <f>IFERROR(IF(($CB40)&gt;0,($CH40*cfg_TroyOz)/($CB40),""),"")</f>
        <v/>
      </c>
      <c r="CR40" s="67">
        <f>IFERROR(IF(($CC40)&gt;0,($CI40)/($CC40),""),"")</f>
        <v/>
      </c>
      <c r="CS40" s="67">
        <f>IFERROR(IF(($CD40)&gt;0,($CJ40)/($CD40),""),"")</f>
        <v/>
      </c>
      <c r="CT40" s="67">
        <f>IFERROR(IF(($CE40)&gt;0,($CK40)/($CE40),""),"")</f>
        <v/>
      </c>
      <c r="CU40" s="55">
        <f>SUMIFS(tblPlant[Gravity_Gold_oz],tblPlant[Date],$A40)</f>
        <v/>
      </c>
      <c r="CV40" s="55">
        <f>IF($B40=$B39,$CV39,0)+$CU40</f>
        <v/>
      </c>
      <c r="CW40" s="55">
        <f>$CW39+$CU40</f>
        <v/>
      </c>
      <c r="CX40" s="55">
        <f>SUMIFS(tblPlant[Gold_Poured_oz],tblPlant[Date],$A40)</f>
        <v/>
      </c>
      <c r="CY40" s="55">
        <f>IF($B40=$B39,$CY39,0)+$CX40</f>
        <v/>
      </c>
      <c r="CZ40" s="55">
        <f>$CZ39+$CX40</f>
        <v/>
      </c>
      <c r="DA40" s="57">
        <f>SUMIFS(tblPlant[Mill_Run_h],tblPlant[Date],$A40)</f>
        <v/>
      </c>
      <c r="DB40" s="57">
        <f>IF($B40=$B39,$DB39,0)+$DA40</f>
        <v/>
      </c>
      <c r="DC40" s="57">
        <f>$DC39+$DA40</f>
        <v/>
      </c>
      <c r="DD40" s="57">
        <f>SUMIFS(tblPlant[Mill_Planned_Maint_h],tblPlant[Date],$A40)</f>
        <v/>
      </c>
      <c r="DE40" s="57">
        <f>IF($B40=$B39,$DE39,0)+$DD40</f>
        <v/>
      </c>
      <c r="DF40" s="57">
        <f>$DF39+$DD40</f>
        <v/>
      </c>
      <c r="DG40" s="57">
        <f>SUMIFS(tblPlant[Mill_Unplanned_Down_h],tblPlant[Date],$A40)</f>
        <v/>
      </c>
      <c r="DH40" s="57">
        <f>IF($B40=$B39,$DH39,0)+$DG40</f>
        <v/>
      </c>
      <c r="DI40" s="57">
        <f>$DI39+$DG40</f>
        <v/>
      </c>
      <c r="DJ40" s="57">
        <f>COUNTIFS(tblPlant[Date],$A40,tblPlant[Mill_Run_h],"&lt;&gt;")*24</f>
        <v/>
      </c>
      <c r="DK40" s="57">
        <f>IF($B40=$B39,$DK39,0)+$DJ40</f>
        <v/>
      </c>
      <c r="DL40" s="57">
        <f>$DL39+$DJ40</f>
        <v/>
      </c>
      <c r="DM40" s="57">
        <f>SUMIFS(tblPlant[Crusher_Run_h],tblPlant[Date],$A40)</f>
        <v/>
      </c>
      <c r="DN40" s="57">
        <f>IF($B40=$B39,$DN39,0)+$DM40</f>
        <v/>
      </c>
      <c r="DO40" s="57">
        <f>$DO39+$DM40</f>
        <v/>
      </c>
      <c r="DP40" s="55">
        <f>IFERROR(IF(($DA40)&gt;0,($BZ40)/($DA40),""),"")</f>
        <v/>
      </c>
      <c r="DQ40" s="55">
        <f>IFERROR(IF(($DB40)&gt;0,($CA40)/($DB40),""),"")</f>
        <v/>
      </c>
      <c r="DR40" s="55">
        <f>IFERROR(IF(($DC40)&gt;0,($CB40)/($DC40),""),"")</f>
        <v/>
      </c>
      <c r="DS40" s="67">
        <f>IFERROR(IF(($DJ40)&gt;0,($DJ40-$DD40-$DG40)/($DJ40),""),"")</f>
        <v/>
      </c>
      <c r="DT40" s="67">
        <f>IFERROR(IF(($DK40)&gt;0,($DK40-$DE40-$DH40)/($DK40),""),"")</f>
        <v/>
      </c>
      <c r="DU40" s="67">
        <f>IFERROR(IF(($DL40)&gt;0,($DL40-$DF40-$DI40)/($DL40),""),"")</f>
        <v/>
      </c>
      <c r="DV40" s="67">
        <f>IFERROR(IF(($DJ40-$DD40-$DG40)&gt;0,($DA40)/($DJ40-$DD40-$DG40),""),"")</f>
        <v/>
      </c>
      <c r="DW40" s="67">
        <f>IFERROR(IF(($DK40-$DE40-$DH40)&gt;0,($DB40)/($DK40-$DE40-$DH40),""),"")</f>
        <v/>
      </c>
      <c r="DX40" s="67">
        <f>IFERROR(IF(($DL40-$DF40-$DI40)&gt;0,($DC40)/($DL40-$DF40-$DI40),""),"")</f>
        <v/>
      </c>
      <c r="DY40" s="55">
        <f>SUMIFS(tblPlant[Cyanide_kg],tblPlant[Date],$A40)</f>
        <v/>
      </c>
      <c r="DZ40" s="55">
        <f>IF($B40=$B39,$DZ39,0)+$DY40</f>
        <v/>
      </c>
      <c r="EA40" s="55">
        <f>$EA39+$DY40</f>
        <v/>
      </c>
      <c r="EB40" s="55">
        <f>SUMIFS(tblPlant[Lime_kg],tblPlant[Date],$A40)</f>
        <v/>
      </c>
      <c r="EC40" s="55">
        <f>IF($B40=$B39,$EC39,0)+$EB40</f>
        <v/>
      </c>
      <c r="ED40" s="55">
        <f>$ED39+$EB40</f>
        <v/>
      </c>
      <c r="EE40" s="55">
        <f>SUMIFS(tblPlant[Grinding_Media_kg],tblPlant[Date],$A40)</f>
        <v/>
      </c>
      <c r="EF40" s="55">
        <f>IF($B40=$B39,$EF39,0)+$EE40</f>
        <v/>
      </c>
      <c r="EG40" s="55">
        <f>$EG39+$EE40</f>
        <v/>
      </c>
      <c r="EH40" s="55">
        <f>SUMIFS(tblPlant[Power_kWh],tblPlant[Date],$A40)</f>
        <v/>
      </c>
      <c r="EI40" s="55">
        <f>IF($B40=$B39,$EI39,0)+$EH40</f>
        <v/>
      </c>
      <c r="EJ40" s="55">
        <f>$EJ39+$EH40</f>
        <v/>
      </c>
      <c r="EK40" s="55">
        <f>SUMIFS(tblPlant[Raw_Water_m3],tblPlant[Date],$A40)</f>
        <v/>
      </c>
      <c r="EL40" s="55">
        <f>IF($B40=$B39,$EL39,0)+$EK40</f>
        <v/>
      </c>
      <c r="EM40" s="55">
        <f>$EM39+$EK40</f>
        <v/>
      </c>
      <c r="EN40" s="56">
        <f>IFERROR(IF(($BZ40)&gt;0,($DY40)/($BZ40),""),"")</f>
        <v/>
      </c>
      <c r="EO40" s="56">
        <f>IFERROR(IF(($CA40)&gt;0,($DZ40)/($CA40),""),"")</f>
        <v/>
      </c>
      <c r="EP40" s="56">
        <f>IFERROR(IF(($CB40)&gt;0,($EA40)/($CB40),""),"")</f>
        <v/>
      </c>
      <c r="EQ40" s="56">
        <f>IFERROR(IF(($BZ40)&gt;0,($EB40)/($BZ40),""),"")</f>
        <v/>
      </c>
      <c r="ER40" s="56">
        <f>IFERROR(IF(($CA40)&gt;0,($EC40)/($CA40),""),"")</f>
        <v/>
      </c>
      <c r="ES40" s="56">
        <f>IFERROR(IF(($CB40)&gt;0,($ED40)/($CB40),""),"")</f>
        <v/>
      </c>
      <c r="ET40" s="56">
        <f>IFERROR(IF(($BZ40)&gt;0,($EE40)/($BZ40),""),"")</f>
        <v/>
      </c>
      <c r="EU40" s="56">
        <f>IFERROR(IF(($CA40)&gt;0,($EF40)/($CA40),""),"")</f>
        <v/>
      </c>
      <c r="EV40" s="56">
        <f>IFERROR(IF(($CB40)&gt;0,($EG40)/($CB40),""),"")</f>
        <v/>
      </c>
      <c r="EW40" s="76">
        <f>IFERROR(IF(($BZ40)&gt;0,($EH40)/($BZ40),""),"")</f>
        <v/>
      </c>
      <c r="EX40" s="76">
        <f>IFERROR(IF(($CA40)&gt;0,($EI40)/($CA40),""),"")</f>
        <v/>
      </c>
      <c r="EY40" s="76">
        <f>IFERROR(IF(($CB40)&gt;0,($EJ40)/($CB40),""),"")</f>
        <v/>
      </c>
      <c r="EZ40" s="56">
        <f>IFERROR(IF(($BZ40)&gt;0,($EK40)/($BZ40),""),"")</f>
        <v/>
      </c>
      <c r="FA40" s="56">
        <f>IFERROR(IF(($CA40)&gt;0,($EL40)/($CA40),""),"")</f>
        <v/>
      </c>
      <c r="FB40" s="56">
        <f>IFERROR(IF(($CB40)&gt;0,($EM40)/($CB40),""),"")</f>
        <v/>
      </c>
      <c r="FC40" s="55">
        <f>IF(SUMIFS(tblPlant[GIC_oz],tblPlant[Date],$A40)&gt;0,SUMIFS(tblPlant[GIC_oz],tblPlant[Date],$A40),"")</f>
        <v/>
      </c>
      <c r="FD40" s="55">
        <f>SUMIFS(tblGold[Gold_oz],tblGold[Date],$A40,tblGold[Type],"Shipment")</f>
        <v/>
      </c>
      <c r="FE40" s="55">
        <f>IF($B40=$B39,$FE39,0)+$FD40</f>
        <v/>
      </c>
      <c r="FF40" s="55">
        <f>$FF39+$FD40</f>
        <v/>
      </c>
      <c r="FG40" s="55">
        <f>SUMIFS(tblGold[Gold_oz],tblGold[Date],$A40,tblGold[Type],"Sale")</f>
        <v/>
      </c>
      <c r="FH40" s="55">
        <f>IF($B40=$B39,$FH39,0)+$FG40</f>
        <v/>
      </c>
      <c r="FI40" s="55">
        <f>$FI39+$FG40</f>
        <v/>
      </c>
      <c r="FJ40" s="55">
        <f>SUMIFS(tblGold[Dore_kg],tblGold[Date],$A40,tblGold[Type],"Shipment")</f>
        <v/>
      </c>
      <c r="FK40" s="55">
        <f>IF($B40=$B39,$FK39,0)+$FJ40</f>
        <v/>
      </c>
      <c r="FL40" s="55">
        <f>$FL39+$FJ40</f>
        <v/>
      </c>
      <c r="FM40" s="57">
        <f>SUMIFS(tblSafety[Hours_Total],tblSafety[Date],$A40)</f>
        <v/>
      </c>
      <c r="FN40" s="57">
        <f>IF($B40=$B39,$FN39,0)+$FM40</f>
        <v/>
      </c>
      <c r="FO40" s="57">
        <f>$FO39+$FM40</f>
        <v/>
      </c>
      <c r="FP40" s="62">
        <f>SUMIFS(tblSafety[Fatality],tblSafety[Date],$A40)</f>
        <v/>
      </c>
      <c r="FQ40" s="62">
        <f>IF($B40=$B39,$FQ39,0)+$FP40</f>
        <v/>
      </c>
      <c r="FR40" s="62">
        <f>$FR39+$FP40</f>
        <v/>
      </c>
      <c r="FS40" s="62">
        <f>SUMIFS(tblSafety[LTI],tblSafety[Date],$A40)</f>
        <v/>
      </c>
      <c r="FT40" s="62">
        <f>IF($B40=$B39,$FT39,0)+$FS40</f>
        <v/>
      </c>
      <c r="FU40" s="62">
        <f>$FU39+$FS40</f>
        <v/>
      </c>
      <c r="FV40" s="62">
        <f>SUMIFS(tblSafety[RWI],tblSafety[Date],$A40)</f>
        <v/>
      </c>
      <c r="FW40" s="62">
        <f>IF($B40=$B39,$FW39,0)+$FV40</f>
        <v/>
      </c>
      <c r="FX40" s="62">
        <f>$FX39+$FV40</f>
        <v/>
      </c>
      <c r="FY40" s="62">
        <f>SUMIFS(tblSafety[MTI],tblSafety[Date],$A40)</f>
        <v/>
      </c>
      <c r="FZ40" s="62">
        <f>IF($B40=$B39,$FZ39,0)+$FY40</f>
        <v/>
      </c>
      <c r="GA40" s="62">
        <f>$GA39+$FY40</f>
        <v/>
      </c>
      <c r="GB40" s="62">
        <f>SUMIFS(tblSafety[FAI],tblSafety[Date],$A40)</f>
        <v/>
      </c>
      <c r="GC40" s="62">
        <f>IF($B40=$B39,$GC39,0)+$GB40</f>
        <v/>
      </c>
      <c r="GD40" s="62">
        <f>$GD39+$GB40</f>
        <v/>
      </c>
      <c r="GE40" s="62">
        <f>SUMIFS(tblSafety[Recordables],tblSafety[Date],$A40)</f>
        <v/>
      </c>
      <c r="GF40" s="62">
        <f>IF($B40=$B39,$GF39,0)+$GE40</f>
        <v/>
      </c>
      <c r="GG40" s="62">
        <f>$GG39+$GE40</f>
        <v/>
      </c>
      <c r="GH40" s="62">
        <f>SUMIFS(tblSafety[Near_Miss],tblSafety[Date],$A40)</f>
        <v/>
      </c>
      <c r="GI40" s="62">
        <f>IF($B40=$B39,$GI39,0)+$GH40</f>
        <v/>
      </c>
      <c r="GJ40" s="62">
        <f>$GJ39+$GH40</f>
        <v/>
      </c>
      <c r="GK40" s="62">
        <f>SUMIFS(tblSafety[Hazard_Reports],tblSafety[Date],$A40)</f>
        <v/>
      </c>
      <c r="GL40" s="62">
        <f>IF($B40=$B39,$GL39,0)+$GK40</f>
        <v/>
      </c>
      <c r="GM40" s="62">
        <f>$GM39+$GK40</f>
        <v/>
      </c>
      <c r="GN40" s="62">
        <f>SUMIFS(tblSafety[HPI],tblSafety[Date],$A40)</f>
        <v/>
      </c>
      <c r="GO40" s="62">
        <f>IF($B40=$B39,$GO39,0)+$GN40</f>
        <v/>
      </c>
      <c r="GP40" s="62">
        <f>$GP39+$GN40</f>
        <v/>
      </c>
      <c r="GQ40" s="62">
        <f>SUMIFS(tblSafety[Env_Incidents],tblSafety[Date],$A40)</f>
        <v/>
      </c>
      <c r="GR40" s="62">
        <f>IF($B40=$B39,$GR39,0)+$GQ40</f>
        <v/>
      </c>
      <c r="GS40" s="62">
        <f>$GS39+$GQ40</f>
        <v/>
      </c>
      <c r="GT40" s="62">
        <f>SUMIFS(tblSafety[Community_Incidents],tblSafety[Date],$A40)</f>
        <v/>
      </c>
      <c r="GU40" s="62">
        <f>IF($B40=$B39,$GU39,0)+$GT40</f>
        <v/>
      </c>
      <c r="GV40" s="62">
        <f>$GV39+$GT40</f>
        <v/>
      </c>
      <c r="GW40" s="62">
        <f>SUMIFS(tblSafety[Vehicle_Incidents],tblSafety[Date],$A40)</f>
        <v/>
      </c>
      <c r="GX40" s="62">
        <f>IF($B40=$B39,$GX39,0)+$GW40</f>
        <v/>
      </c>
      <c r="GY40" s="62">
        <f>$GY39+$GW40</f>
        <v/>
      </c>
      <c r="GZ40" s="62">
        <f>SUMIFS(tblSafety[Toolbox_Talks],tblSafety[Date],$A40)</f>
        <v/>
      </c>
      <c r="HA40" s="62">
        <f>IF($B40=$B39,$HA39,0)+$GZ40</f>
        <v/>
      </c>
      <c r="HB40" s="62">
        <f>$HB39+$GZ40</f>
        <v/>
      </c>
      <c r="HC40" s="62">
        <f>SUMIFS(tblSafety[Inspections],tblSafety[Date],$A40)</f>
        <v/>
      </c>
      <c r="HD40" s="62">
        <f>IF($B40=$B39,$HD39,0)+$HC40</f>
        <v/>
      </c>
      <c r="HE40" s="62">
        <f>$HE39+$HC40</f>
        <v/>
      </c>
      <c r="HF40" s="56">
        <f>IFERROR((SUMIFS(tblSafety[Recordables],tblSafety[Date],"&gt;="&amp;EDATE($E40,-12),tblSafety[Date],"&lt;="&amp;$A40)+SUMIFS(tblSafetyHistory[Recordables],tblSafetyHistory[Month],"&gt;="&amp;EDATE($E40,-12),tblSafetyHistory[Month],"&lt;"&amp;cfg_YearStart))/(SUMIFS(tblSafety[Hours_Total],tblSafety[Date],"&gt;="&amp;EDATE($E40,-12),tblSafety[Date],"&lt;="&amp;$A40)+SUMIFS(tblSafetyHistory[Hours_Total],tblSafetyHistory[Month],"&gt;="&amp;EDATE($E40,-12),tblSafetyHistory[Month],"&lt;"&amp;cfg_YearStart))*1000000,"")</f>
        <v/>
      </c>
      <c r="HG40" s="56">
        <f>IFERROR((SUMIFS(tblSafety[LTI],tblSafety[Date],"&gt;="&amp;EDATE($E40,-12),tblSafety[Date],"&lt;="&amp;$A40)+SUMIFS(tblSafetyHistory[LTI],tblSafetyHistory[Month],"&gt;="&amp;EDATE($E40,-12),tblSafetyHistory[Month],"&lt;"&amp;cfg_YearStart))/(SUMIFS(tblSafety[Hours_Total],tblSafety[Date],"&gt;="&amp;EDATE($E40,-12),tblSafety[Date],"&lt;="&amp;$A40)+SUMIFS(tblSafetyHistory[Hours_Total],tblSafetyHistory[Month],"&gt;="&amp;EDATE($E40,-12),tblSafetyHistory[Month],"&lt;"&amp;cfg_YearStart))*1000000,"")</f>
        <v/>
      </c>
      <c r="HH40" s="62">
        <f>IF(MAX(N(cfg_PriorLTIDate),_xlfn.MAXIFS(tblSafety[Date],tblSafety[LTI],"&gt;0",tblSafety[Date],"&lt;="&amp;$A40))=0,"",$A40-MAX(N(cfg_PriorLTIDate),_xlfn.MAXIFS(tblSafety[Date],tblSafety[LTI],"&gt;0",tblSafety[Date],"&lt;="&amp;$A40)))</f>
        <v/>
      </c>
      <c r="HI40" s="55">
        <f>SUMIFS(tblBudget[Ore_Mined_t],tblBudget[Month],$E40)</f>
        <v/>
      </c>
      <c r="HJ40" s="55">
        <f>$HI40*$C40/$D40</f>
        <v/>
      </c>
      <c r="HK40" s="55">
        <f>SUMIFS(tblBudget[Ore_Mined_t],tblBudget[Month],"&lt;"&amp;$E40)+$HJ40</f>
        <v/>
      </c>
      <c r="HL40" s="55">
        <f>SUMIFS(tblBudget[Ore_oz],tblBudget[Month],$E40)</f>
        <v/>
      </c>
      <c r="HM40" s="55">
        <f>$HL40*$C40/$D40</f>
        <v/>
      </c>
      <c r="HN40" s="55">
        <f>SUMIFS(tblBudget[Ore_oz],tblBudget[Month],"&lt;"&amp;$E40)+$HM40</f>
        <v/>
      </c>
      <c r="HO40" s="56">
        <f>IFERROR(IF(($HI40)&gt;0,($HL40*cfg_TroyOz)/($HI40),""),"")</f>
        <v/>
      </c>
      <c r="HP40" s="56">
        <f>IFERROR(IF(($HJ40)&gt;0,($HM40*cfg_TroyOz)/($HJ40),""),"")</f>
        <v/>
      </c>
      <c r="HQ40" s="56">
        <f>IFERROR(IF(($HK40)&gt;0,($HN40*cfg_TroyOz)/($HK40),""),"")</f>
        <v/>
      </c>
      <c r="HR40" s="55">
        <f>SUMIFS(tblBudget[Waste_t],tblBudget[Month],$E40)</f>
        <v/>
      </c>
      <c r="HS40" s="55">
        <f>$HR40*$C40/$D40</f>
        <v/>
      </c>
      <c r="HT40" s="55">
        <f>SUMIFS(tblBudget[Waste_t],tblBudget[Month],"&lt;"&amp;$E40)+$HS40</f>
        <v/>
      </c>
      <c r="HU40" s="55">
        <f>SUMIFS(tblBudget[TMM_t],tblBudget[Month],$E40)</f>
        <v/>
      </c>
      <c r="HV40" s="55">
        <f>$HU40*$C40/$D40</f>
        <v/>
      </c>
      <c r="HW40" s="55">
        <f>SUMIFS(tblBudget[TMM_t],tblBudget[Month],"&lt;"&amp;$E40)+$HV40</f>
        <v/>
      </c>
      <c r="HX40" s="56">
        <f>IFERROR(IF(($HI40)&gt;0,($HR40)/($HI40),""),"")</f>
        <v/>
      </c>
      <c r="HY40" s="56">
        <f>IFERROR(IF(($HJ40)&gt;0,($HS40)/($HJ40),""),"")</f>
        <v/>
      </c>
      <c r="HZ40" s="56">
        <f>IFERROR(IF(($HK40)&gt;0,($HT40)/($HK40),""),"")</f>
        <v/>
      </c>
      <c r="IA40" s="55">
        <f>SUMIFS(tblBudget[Drill_m],tblBudget[Month],$E40)</f>
        <v/>
      </c>
      <c r="IB40" s="55">
        <f>$IA40*$C40/$D40</f>
        <v/>
      </c>
      <c r="IC40" s="55">
        <f>SUMIFS(tblBudget[Drill_m],tblBudget[Month],"&lt;"&amp;$E40)+$IB40</f>
        <v/>
      </c>
      <c r="ID40" s="55">
        <f>SUMIFS(tblBudget[Diesel_L],tblBudget[Month],$E40)</f>
        <v/>
      </c>
      <c r="IE40" s="55">
        <f>$ID40*$C40/$D40</f>
        <v/>
      </c>
      <c r="IF40" s="55">
        <f>SUMIFS(tblBudget[Diesel_L],tblBudget[Month],"&lt;"&amp;$E40)+$IE40</f>
        <v/>
      </c>
      <c r="IG40" s="55">
        <f>SUMIFS(tblBudget[Milled_t],tblBudget[Month],$E40)</f>
        <v/>
      </c>
      <c r="IH40" s="55">
        <f>$IG40*$C40/$D40</f>
        <v/>
      </c>
      <c r="II40" s="55">
        <f>SUMIFS(tblBudget[Milled_t],tblBudget[Month],"&lt;"&amp;$E40)+$IH40</f>
        <v/>
      </c>
      <c r="IJ40" s="55">
        <f>SUMIFS(tblBudget[Feed_oz],tblBudget[Month],$E40)</f>
        <v/>
      </c>
      <c r="IK40" s="55">
        <f>$IJ40*$C40/$D40</f>
        <v/>
      </c>
      <c r="IL40" s="55">
        <f>SUMIFS(tblBudget[Feed_oz],tblBudget[Month],"&lt;"&amp;$E40)+$IK40</f>
        <v/>
      </c>
      <c r="IM40" s="55">
        <f>SUMIFS(tblBudget[Recovered_oz],tblBudget[Month],$E40)</f>
        <v/>
      </c>
      <c r="IN40" s="55">
        <f>$IM40*$C40/$D40</f>
        <v/>
      </c>
      <c r="IO40" s="55">
        <f>SUMIFS(tblBudget[Recovered_oz],tblBudget[Month],"&lt;"&amp;$E40)+$IN40</f>
        <v/>
      </c>
      <c r="IP40" s="56">
        <f>IFERROR(IF(($IG40)&gt;0,($IJ40*cfg_TroyOz)/($IG40),""),"")</f>
        <v/>
      </c>
      <c r="IQ40" s="56">
        <f>IFERROR(IF(($IH40)&gt;0,($IK40*cfg_TroyOz)/($IH40),""),"")</f>
        <v/>
      </c>
      <c r="IR40" s="56">
        <f>IFERROR(IF(($II40)&gt;0,($IL40*cfg_TroyOz)/($II40),""),"")</f>
        <v/>
      </c>
      <c r="IS40" s="67">
        <f>IFERROR(IF(($IJ40)&gt;0,($IM40)/($IJ40),""),"")</f>
        <v/>
      </c>
      <c r="IT40" s="67">
        <f>IFERROR(IF(($IK40)&gt;0,($IN40)/($IK40),""),"")</f>
        <v/>
      </c>
      <c r="IU40" s="67">
        <f>IFERROR(IF(($IL40)&gt;0,($IO40)/($IL40),""),"")</f>
        <v/>
      </c>
      <c r="IV40" s="55">
        <f>SUMIFS(tblBudget[Gold_Poured_oz],tblBudget[Month],$E40)</f>
        <v/>
      </c>
      <c r="IW40" s="55">
        <f>$IV40*$C40/$D40</f>
        <v/>
      </c>
      <c r="IX40" s="55">
        <f>SUMIFS(tblBudget[Gold_Poured_oz],tblBudget[Month],"&lt;"&amp;$E40)+$IW40</f>
        <v/>
      </c>
      <c r="IY40" s="57">
        <f>SUMIFS(tblBudget[Hours_Worked],tblBudget[Month],$E40)</f>
        <v/>
      </c>
      <c r="IZ40" s="57">
        <f>$IY40*$C40/$D40</f>
        <v/>
      </c>
      <c r="JA40" s="57">
        <f>SUMIFS(tblBudget[Hours_Worked],tblBudget[Month],"&lt;"&amp;$E40)+$IZ40</f>
        <v/>
      </c>
    </row>
    <row r="41">
      <c r="A41" s="54" t="n">
        <v>46062</v>
      </c>
      <c r="B41">
        <f>MONTH($A41)</f>
        <v/>
      </c>
      <c r="C41">
        <f>DAY($A41)</f>
        <v/>
      </c>
      <c r="D41">
        <f>DAY(EOMONTH($A41,0))</f>
        <v/>
      </c>
      <c r="E41" s="54">
        <f>DATE(YEAR($A41),MONTH($A41),1)</f>
        <v/>
      </c>
      <c r="F41" s="55">
        <f>SUMIFS(tblMovement[Tonnes_t],tblMovement[Date],$A41,tblMovement[Is_Ore],1,tblMovement[Source_Type],"Pit")</f>
        <v/>
      </c>
      <c r="G41" s="55">
        <f>IF($B41=$B40,$G40,0)+$F41</f>
        <v/>
      </c>
      <c r="H41" s="55">
        <f>$H40+$F41</f>
        <v/>
      </c>
      <c r="I41" s="55">
        <f>SUMIFS(tblMovement[Ore_oz],tblMovement[Date],$A41,tblMovement[Source_Type],"Pit")</f>
        <v/>
      </c>
      <c r="J41" s="55">
        <f>IF($B41=$B40,$J40,0)+$I41</f>
        <v/>
      </c>
      <c r="K41" s="55">
        <f>$K40+$I41</f>
        <v/>
      </c>
      <c r="L41" s="56">
        <f>IFERROR(IF(($F41)&gt;0,($I41*cfg_TroyOz)/($F41),""),"")</f>
        <v/>
      </c>
      <c r="M41" s="56">
        <f>IFERROR(IF(($G41)&gt;0,($J41*cfg_TroyOz)/($G41),""),"")</f>
        <v/>
      </c>
      <c r="N41" s="56">
        <f>IFERROR(IF(($H41)&gt;0,($K41*cfg_TroyOz)/($H41),""),"")</f>
        <v/>
      </c>
      <c r="O41" s="55">
        <f>SUMIFS(tblMovement[Tonnes_t],tblMovement[Date],$A41,tblMovement[Is_Ore],0,tblMovement[Source_Type],"Pit")</f>
        <v/>
      </c>
      <c r="P41" s="55">
        <f>IF($B41=$B40,$P40,0)+$O41</f>
        <v/>
      </c>
      <c r="Q41" s="55">
        <f>$Q40+$O41</f>
        <v/>
      </c>
      <c r="R41" s="55">
        <f>$F41+$O41</f>
        <v/>
      </c>
      <c r="S41" s="55">
        <f>IF($B41=$B40,$S40,0)+$R41</f>
        <v/>
      </c>
      <c r="T41" s="55">
        <f>$T40+$R41</f>
        <v/>
      </c>
      <c r="U41" s="56">
        <f>IFERROR(IF(($F41)&gt;0,($O41)/($F41),""),"")</f>
        <v/>
      </c>
      <c r="V41" s="56">
        <f>IFERROR(IF(($G41)&gt;0,($P41)/($G41),""),"")</f>
        <v/>
      </c>
      <c r="W41" s="56">
        <f>IFERROR(IF(($H41)&gt;0,($Q41)/($H41),""),"")</f>
        <v/>
      </c>
      <c r="X41" s="55">
        <f>SUMIFS(tblMovement[Tonnes_t],tblMovement[Date],$A41,tblMovement[Source_Type],"Stockpile")</f>
        <v/>
      </c>
      <c r="Y41" s="55">
        <f>IF($B41=$B40,$Y40,0)+$X41</f>
        <v/>
      </c>
      <c r="Z41" s="55">
        <f>$Z40+$X41</f>
        <v/>
      </c>
      <c r="AA41" s="55">
        <f>SUMIFS(tblMiningDaily[Drill_m],tblMiningDaily[Date],$A41)</f>
        <v/>
      </c>
      <c r="AB41" s="55">
        <f>IF($B41=$B40,$AB40,0)+$AA41</f>
        <v/>
      </c>
      <c r="AC41" s="55">
        <f>$AC40+$AA41</f>
        <v/>
      </c>
      <c r="AD41" s="55">
        <f>SUMIFS(tblMiningDaily[Blast_t],tblMiningDaily[Date],$A41)</f>
        <v/>
      </c>
      <c r="AE41" s="55">
        <f>IF($B41=$B40,$AE40,0)+$AD41</f>
        <v/>
      </c>
      <c r="AF41" s="55">
        <f>$AF40+$AD41</f>
        <v/>
      </c>
      <c r="AG41" s="55">
        <f>SUMIFS(tblMiningDaily[Explosives_kg],tblMiningDaily[Date],$A41)</f>
        <v/>
      </c>
      <c r="AH41" s="55">
        <f>IF($B41=$B40,$AH40,0)+$AG41</f>
        <v/>
      </c>
      <c r="AI41" s="55">
        <f>$AI40+$AG41</f>
        <v/>
      </c>
      <c r="AJ41" s="56">
        <f>IFERROR(IF(($AD41)&gt;0,($AG41)/($AD41),""),"")</f>
        <v/>
      </c>
      <c r="AK41" s="56">
        <f>IFERROR(IF(($AE41)&gt;0,($AH41)/($AE41),""),"")</f>
        <v/>
      </c>
      <c r="AL41" s="56">
        <f>IFERROR(IF(($AF41)&gt;0,($AI41)/($AF41),""),"")</f>
        <v/>
      </c>
      <c r="AM41" s="55">
        <f>SUMIFS(tblMiningDaily[Diesel_L],tblMiningDaily[Date],$A41)</f>
        <v/>
      </c>
      <c r="AN41" s="55">
        <f>IF($B41=$B40,$AN40,0)+$AM41</f>
        <v/>
      </c>
      <c r="AO41" s="55">
        <f>$AO40+$AM41</f>
        <v/>
      </c>
      <c r="AP41" s="55">
        <f>SUMIFS(tblMiningDaily[Dewatering_m3],tblMiningDaily[Date],$A41)</f>
        <v/>
      </c>
      <c r="AQ41" s="55">
        <f>IF($B41=$B40,$AQ40,0)+$AP41</f>
        <v/>
      </c>
      <c r="AR41" s="55">
        <f>$AR40+$AP41</f>
        <v/>
      </c>
      <c r="AS41" s="57">
        <f>SUMIFS(tblFleet[Calendar_h],tblFleet[Date],$A41,tblFleet[Equipment_Class],"Excavator")</f>
        <v/>
      </c>
      <c r="AT41" s="57">
        <f>IF($B41=$B40,$AT40,0)+$AS41</f>
        <v/>
      </c>
      <c r="AU41" s="57">
        <f>$AU40+$AS41</f>
        <v/>
      </c>
      <c r="AV41" s="57">
        <f>SUMIFS(tblFleet[Available_h],tblFleet[Date],$A41,tblFleet[Equipment_Class],"Excavator")</f>
        <v/>
      </c>
      <c r="AW41" s="57">
        <f>IF($B41=$B40,$AW40,0)+$AV41</f>
        <v/>
      </c>
      <c r="AX41" s="57">
        <f>$AX40+$AV41</f>
        <v/>
      </c>
      <c r="AY41" s="57">
        <f>SUMIFS(tblFleet[Operating_h],tblFleet[Date],$A41,tblFleet[Equipment_Class],"Excavator")</f>
        <v/>
      </c>
      <c r="AZ41" s="57">
        <f>IF($B41=$B40,$AZ40,0)+$AY41</f>
        <v/>
      </c>
      <c r="BA41" s="57">
        <f>$BA40+$AY41</f>
        <v/>
      </c>
      <c r="BB41" s="67">
        <f>IFERROR(IF(($AS41)&gt;0,($AV41)/($AS41),""),"")</f>
        <v/>
      </c>
      <c r="BC41" s="67">
        <f>IFERROR(IF(($AT41)&gt;0,($AW41)/($AT41),""),"")</f>
        <v/>
      </c>
      <c r="BD41" s="67">
        <f>IFERROR(IF(($AU41)&gt;0,($AX41)/($AU41),""),"")</f>
        <v/>
      </c>
      <c r="BE41" s="67">
        <f>IFERROR(IF(($AV41)&gt;0,($AY41)/($AV41),""),"")</f>
        <v/>
      </c>
      <c r="BF41" s="67">
        <f>IFERROR(IF(($AW41)&gt;0,($AZ41)/($AW41),""),"")</f>
        <v/>
      </c>
      <c r="BG41" s="67">
        <f>IFERROR(IF(($AX41)&gt;0,($BA41)/($AX41),""),"")</f>
        <v/>
      </c>
      <c r="BH41" s="57">
        <f>SUMIFS(tblFleet[Calendar_h],tblFleet[Date],$A41,tblFleet[Equipment_Class],"Haul Truck")</f>
        <v/>
      </c>
      <c r="BI41" s="57">
        <f>IF($B41=$B40,$BI40,0)+$BH41</f>
        <v/>
      </c>
      <c r="BJ41" s="57">
        <f>$BJ40+$BH41</f>
        <v/>
      </c>
      <c r="BK41" s="57">
        <f>SUMIFS(tblFleet[Available_h],tblFleet[Date],$A41,tblFleet[Equipment_Class],"Haul Truck")</f>
        <v/>
      </c>
      <c r="BL41" s="57">
        <f>IF($B41=$B40,$BL40,0)+$BK41</f>
        <v/>
      </c>
      <c r="BM41" s="57">
        <f>$BM40+$BK41</f>
        <v/>
      </c>
      <c r="BN41" s="57">
        <f>SUMIFS(tblFleet[Operating_h],tblFleet[Date],$A41,tblFleet[Equipment_Class],"Haul Truck")</f>
        <v/>
      </c>
      <c r="BO41" s="57">
        <f>IF($B41=$B40,$BO40,0)+$BN41</f>
        <v/>
      </c>
      <c r="BP41" s="57">
        <f>$BP40+$BN41</f>
        <v/>
      </c>
      <c r="BQ41" s="67">
        <f>IFERROR(IF(($BH41)&gt;0,($BK41)/($BH41),""),"")</f>
        <v/>
      </c>
      <c r="BR41" s="67">
        <f>IFERROR(IF(($BI41)&gt;0,($BL41)/($BI41),""),"")</f>
        <v/>
      </c>
      <c r="BS41" s="67">
        <f>IFERROR(IF(($BJ41)&gt;0,($BM41)/($BJ41),""),"")</f>
        <v/>
      </c>
      <c r="BT41" s="67">
        <f>IFERROR(IF(($BK41)&gt;0,($BN41)/($BK41),""),"")</f>
        <v/>
      </c>
      <c r="BU41" s="67">
        <f>IFERROR(IF(($BL41)&gt;0,($BO41)/($BL41),""),"")</f>
        <v/>
      </c>
      <c r="BV41" s="67">
        <f>IFERROR(IF(($BM41)&gt;0,($BP41)/($BM41),""),"")</f>
        <v/>
      </c>
      <c r="BW41" s="55">
        <f>SUMIFS(tblPlant[Crushed_t],tblPlant[Date],$A41)</f>
        <v/>
      </c>
      <c r="BX41" s="55">
        <f>IF($B41=$B40,$BX40,0)+$BW41</f>
        <v/>
      </c>
      <c r="BY41" s="55">
        <f>$BY40+$BW41</f>
        <v/>
      </c>
      <c r="BZ41" s="55">
        <f>SUMIFS(tblPlant[Milled_t],tblPlant[Date],$A41)</f>
        <v/>
      </c>
      <c r="CA41" s="55">
        <f>IF($B41=$B40,$CA40,0)+$BZ41</f>
        <v/>
      </c>
      <c r="CB41" s="55">
        <f>$CB40+$BZ41</f>
        <v/>
      </c>
      <c r="CC41" s="55">
        <f>SUMIFS(tblPlant[Feed_oz],tblPlant[Date],$A41)</f>
        <v/>
      </c>
      <c r="CD41" s="55">
        <f>IF($B41=$B40,$CD40,0)+$CC41</f>
        <v/>
      </c>
      <c r="CE41" s="55">
        <f>$CE40+$CC41</f>
        <v/>
      </c>
      <c r="CF41" s="55">
        <f>SUMIFS(tblPlant[Tails_oz],tblPlant[Date],$A41)</f>
        <v/>
      </c>
      <c r="CG41" s="55">
        <f>IF($B41=$B40,$CG40,0)+$CF41</f>
        <v/>
      </c>
      <c r="CH41" s="55">
        <f>$CH40+$CF41</f>
        <v/>
      </c>
      <c r="CI41" s="55">
        <f>SUMIFS(tblPlant[Recovered_oz],tblPlant[Date],$A41)</f>
        <v/>
      </c>
      <c r="CJ41" s="55">
        <f>IF($B41=$B40,$CJ40,0)+$CI41</f>
        <v/>
      </c>
      <c r="CK41" s="55">
        <f>$CK40+$CI41</f>
        <v/>
      </c>
      <c r="CL41" s="56">
        <f>IFERROR(IF(($BZ41)&gt;0,($CC41*cfg_TroyOz)/($BZ41),""),"")</f>
        <v/>
      </c>
      <c r="CM41" s="56">
        <f>IFERROR(IF(($CA41)&gt;0,($CD41*cfg_TroyOz)/($CA41),""),"")</f>
        <v/>
      </c>
      <c r="CN41" s="56">
        <f>IFERROR(IF(($CB41)&gt;0,($CE41*cfg_TroyOz)/($CB41),""),"")</f>
        <v/>
      </c>
      <c r="CO41" s="56">
        <f>IFERROR(IF(($BZ41)&gt;0,($CF41*cfg_TroyOz)/($BZ41),""),"")</f>
        <v/>
      </c>
      <c r="CP41" s="56">
        <f>IFERROR(IF(($CA41)&gt;0,($CG41*cfg_TroyOz)/($CA41),""),"")</f>
        <v/>
      </c>
      <c r="CQ41" s="56">
        <f>IFERROR(IF(($CB41)&gt;0,($CH41*cfg_TroyOz)/($CB41),""),"")</f>
        <v/>
      </c>
      <c r="CR41" s="67">
        <f>IFERROR(IF(($CC41)&gt;0,($CI41)/($CC41),""),"")</f>
        <v/>
      </c>
      <c r="CS41" s="67">
        <f>IFERROR(IF(($CD41)&gt;0,($CJ41)/($CD41),""),"")</f>
        <v/>
      </c>
      <c r="CT41" s="67">
        <f>IFERROR(IF(($CE41)&gt;0,($CK41)/($CE41),""),"")</f>
        <v/>
      </c>
      <c r="CU41" s="55">
        <f>SUMIFS(tblPlant[Gravity_Gold_oz],tblPlant[Date],$A41)</f>
        <v/>
      </c>
      <c r="CV41" s="55">
        <f>IF($B41=$B40,$CV40,0)+$CU41</f>
        <v/>
      </c>
      <c r="CW41" s="55">
        <f>$CW40+$CU41</f>
        <v/>
      </c>
      <c r="CX41" s="55">
        <f>SUMIFS(tblPlant[Gold_Poured_oz],tblPlant[Date],$A41)</f>
        <v/>
      </c>
      <c r="CY41" s="55">
        <f>IF($B41=$B40,$CY40,0)+$CX41</f>
        <v/>
      </c>
      <c r="CZ41" s="55">
        <f>$CZ40+$CX41</f>
        <v/>
      </c>
      <c r="DA41" s="57">
        <f>SUMIFS(tblPlant[Mill_Run_h],tblPlant[Date],$A41)</f>
        <v/>
      </c>
      <c r="DB41" s="57">
        <f>IF($B41=$B40,$DB40,0)+$DA41</f>
        <v/>
      </c>
      <c r="DC41" s="57">
        <f>$DC40+$DA41</f>
        <v/>
      </c>
      <c r="DD41" s="57">
        <f>SUMIFS(tblPlant[Mill_Planned_Maint_h],tblPlant[Date],$A41)</f>
        <v/>
      </c>
      <c r="DE41" s="57">
        <f>IF($B41=$B40,$DE40,0)+$DD41</f>
        <v/>
      </c>
      <c r="DF41" s="57">
        <f>$DF40+$DD41</f>
        <v/>
      </c>
      <c r="DG41" s="57">
        <f>SUMIFS(tblPlant[Mill_Unplanned_Down_h],tblPlant[Date],$A41)</f>
        <v/>
      </c>
      <c r="DH41" s="57">
        <f>IF($B41=$B40,$DH40,0)+$DG41</f>
        <v/>
      </c>
      <c r="DI41" s="57">
        <f>$DI40+$DG41</f>
        <v/>
      </c>
      <c r="DJ41" s="57">
        <f>COUNTIFS(tblPlant[Date],$A41,tblPlant[Mill_Run_h],"&lt;&gt;")*24</f>
        <v/>
      </c>
      <c r="DK41" s="57">
        <f>IF($B41=$B40,$DK40,0)+$DJ41</f>
        <v/>
      </c>
      <c r="DL41" s="57">
        <f>$DL40+$DJ41</f>
        <v/>
      </c>
      <c r="DM41" s="57">
        <f>SUMIFS(tblPlant[Crusher_Run_h],tblPlant[Date],$A41)</f>
        <v/>
      </c>
      <c r="DN41" s="57">
        <f>IF($B41=$B40,$DN40,0)+$DM41</f>
        <v/>
      </c>
      <c r="DO41" s="57">
        <f>$DO40+$DM41</f>
        <v/>
      </c>
      <c r="DP41" s="55">
        <f>IFERROR(IF(($DA41)&gt;0,($BZ41)/($DA41),""),"")</f>
        <v/>
      </c>
      <c r="DQ41" s="55">
        <f>IFERROR(IF(($DB41)&gt;0,($CA41)/($DB41),""),"")</f>
        <v/>
      </c>
      <c r="DR41" s="55">
        <f>IFERROR(IF(($DC41)&gt;0,($CB41)/($DC41),""),"")</f>
        <v/>
      </c>
      <c r="DS41" s="67">
        <f>IFERROR(IF(($DJ41)&gt;0,($DJ41-$DD41-$DG41)/($DJ41),""),"")</f>
        <v/>
      </c>
      <c r="DT41" s="67">
        <f>IFERROR(IF(($DK41)&gt;0,($DK41-$DE41-$DH41)/($DK41),""),"")</f>
        <v/>
      </c>
      <c r="DU41" s="67">
        <f>IFERROR(IF(($DL41)&gt;0,($DL41-$DF41-$DI41)/($DL41),""),"")</f>
        <v/>
      </c>
      <c r="DV41" s="67">
        <f>IFERROR(IF(($DJ41-$DD41-$DG41)&gt;0,($DA41)/($DJ41-$DD41-$DG41),""),"")</f>
        <v/>
      </c>
      <c r="DW41" s="67">
        <f>IFERROR(IF(($DK41-$DE41-$DH41)&gt;0,($DB41)/($DK41-$DE41-$DH41),""),"")</f>
        <v/>
      </c>
      <c r="DX41" s="67">
        <f>IFERROR(IF(($DL41-$DF41-$DI41)&gt;0,($DC41)/($DL41-$DF41-$DI41),""),"")</f>
        <v/>
      </c>
      <c r="DY41" s="55">
        <f>SUMIFS(tblPlant[Cyanide_kg],tblPlant[Date],$A41)</f>
        <v/>
      </c>
      <c r="DZ41" s="55">
        <f>IF($B41=$B40,$DZ40,0)+$DY41</f>
        <v/>
      </c>
      <c r="EA41" s="55">
        <f>$EA40+$DY41</f>
        <v/>
      </c>
      <c r="EB41" s="55">
        <f>SUMIFS(tblPlant[Lime_kg],tblPlant[Date],$A41)</f>
        <v/>
      </c>
      <c r="EC41" s="55">
        <f>IF($B41=$B40,$EC40,0)+$EB41</f>
        <v/>
      </c>
      <c r="ED41" s="55">
        <f>$ED40+$EB41</f>
        <v/>
      </c>
      <c r="EE41" s="55">
        <f>SUMIFS(tblPlant[Grinding_Media_kg],tblPlant[Date],$A41)</f>
        <v/>
      </c>
      <c r="EF41" s="55">
        <f>IF($B41=$B40,$EF40,0)+$EE41</f>
        <v/>
      </c>
      <c r="EG41" s="55">
        <f>$EG40+$EE41</f>
        <v/>
      </c>
      <c r="EH41" s="55">
        <f>SUMIFS(tblPlant[Power_kWh],tblPlant[Date],$A41)</f>
        <v/>
      </c>
      <c r="EI41" s="55">
        <f>IF($B41=$B40,$EI40,0)+$EH41</f>
        <v/>
      </c>
      <c r="EJ41" s="55">
        <f>$EJ40+$EH41</f>
        <v/>
      </c>
      <c r="EK41" s="55">
        <f>SUMIFS(tblPlant[Raw_Water_m3],tblPlant[Date],$A41)</f>
        <v/>
      </c>
      <c r="EL41" s="55">
        <f>IF($B41=$B40,$EL40,0)+$EK41</f>
        <v/>
      </c>
      <c r="EM41" s="55">
        <f>$EM40+$EK41</f>
        <v/>
      </c>
      <c r="EN41" s="56">
        <f>IFERROR(IF(($BZ41)&gt;0,($DY41)/($BZ41),""),"")</f>
        <v/>
      </c>
      <c r="EO41" s="56">
        <f>IFERROR(IF(($CA41)&gt;0,($DZ41)/($CA41),""),"")</f>
        <v/>
      </c>
      <c r="EP41" s="56">
        <f>IFERROR(IF(($CB41)&gt;0,($EA41)/($CB41),""),"")</f>
        <v/>
      </c>
      <c r="EQ41" s="56">
        <f>IFERROR(IF(($BZ41)&gt;0,($EB41)/($BZ41),""),"")</f>
        <v/>
      </c>
      <c r="ER41" s="56">
        <f>IFERROR(IF(($CA41)&gt;0,($EC41)/($CA41),""),"")</f>
        <v/>
      </c>
      <c r="ES41" s="56">
        <f>IFERROR(IF(($CB41)&gt;0,($ED41)/($CB41),""),"")</f>
        <v/>
      </c>
      <c r="ET41" s="56">
        <f>IFERROR(IF(($BZ41)&gt;0,($EE41)/($BZ41),""),"")</f>
        <v/>
      </c>
      <c r="EU41" s="56">
        <f>IFERROR(IF(($CA41)&gt;0,($EF41)/($CA41),""),"")</f>
        <v/>
      </c>
      <c r="EV41" s="56">
        <f>IFERROR(IF(($CB41)&gt;0,($EG41)/($CB41),""),"")</f>
        <v/>
      </c>
      <c r="EW41" s="76">
        <f>IFERROR(IF(($BZ41)&gt;0,($EH41)/($BZ41),""),"")</f>
        <v/>
      </c>
      <c r="EX41" s="76">
        <f>IFERROR(IF(($CA41)&gt;0,($EI41)/($CA41),""),"")</f>
        <v/>
      </c>
      <c r="EY41" s="76">
        <f>IFERROR(IF(($CB41)&gt;0,($EJ41)/($CB41),""),"")</f>
        <v/>
      </c>
      <c r="EZ41" s="56">
        <f>IFERROR(IF(($BZ41)&gt;0,($EK41)/($BZ41),""),"")</f>
        <v/>
      </c>
      <c r="FA41" s="56">
        <f>IFERROR(IF(($CA41)&gt;0,($EL41)/($CA41),""),"")</f>
        <v/>
      </c>
      <c r="FB41" s="56">
        <f>IFERROR(IF(($CB41)&gt;0,($EM41)/($CB41),""),"")</f>
        <v/>
      </c>
      <c r="FC41" s="55">
        <f>IF(SUMIFS(tblPlant[GIC_oz],tblPlant[Date],$A41)&gt;0,SUMIFS(tblPlant[GIC_oz],tblPlant[Date],$A41),"")</f>
        <v/>
      </c>
      <c r="FD41" s="55">
        <f>SUMIFS(tblGold[Gold_oz],tblGold[Date],$A41,tblGold[Type],"Shipment")</f>
        <v/>
      </c>
      <c r="FE41" s="55">
        <f>IF($B41=$B40,$FE40,0)+$FD41</f>
        <v/>
      </c>
      <c r="FF41" s="55">
        <f>$FF40+$FD41</f>
        <v/>
      </c>
      <c r="FG41" s="55">
        <f>SUMIFS(tblGold[Gold_oz],tblGold[Date],$A41,tblGold[Type],"Sale")</f>
        <v/>
      </c>
      <c r="FH41" s="55">
        <f>IF($B41=$B40,$FH40,0)+$FG41</f>
        <v/>
      </c>
      <c r="FI41" s="55">
        <f>$FI40+$FG41</f>
        <v/>
      </c>
      <c r="FJ41" s="55">
        <f>SUMIFS(tblGold[Dore_kg],tblGold[Date],$A41,tblGold[Type],"Shipment")</f>
        <v/>
      </c>
      <c r="FK41" s="55">
        <f>IF($B41=$B40,$FK40,0)+$FJ41</f>
        <v/>
      </c>
      <c r="FL41" s="55">
        <f>$FL40+$FJ41</f>
        <v/>
      </c>
      <c r="FM41" s="57">
        <f>SUMIFS(tblSafety[Hours_Total],tblSafety[Date],$A41)</f>
        <v/>
      </c>
      <c r="FN41" s="57">
        <f>IF($B41=$B40,$FN40,0)+$FM41</f>
        <v/>
      </c>
      <c r="FO41" s="57">
        <f>$FO40+$FM41</f>
        <v/>
      </c>
      <c r="FP41" s="62">
        <f>SUMIFS(tblSafety[Fatality],tblSafety[Date],$A41)</f>
        <v/>
      </c>
      <c r="FQ41" s="62">
        <f>IF($B41=$B40,$FQ40,0)+$FP41</f>
        <v/>
      </c>
      <c r="FR41" s="62">
        <f>$FR40+$FP41</f>
        <v/>
      </c>
      <c r="FS41" s="62">
        <f>SUMIFS(tblSafety[LTI],tblSafety[Date],$A41)</f>
        <v/>
      </c>
      <c r="FT41" s="62">
        <f>IF($B41=$B40,$FT40,0)+$FS41</f>
        <v/>
      </c>
      <c r="FU41" s="62">
        <f>$FU40+$FS41</f>
        <v/>
      </c>
      <c r="FV41" s="62">
        <f>SUMIFS(tblSafety[RWI],tblSafety[Date],$A41)</f>
        <v/>
      </c>
      <c r="FW41" s="62">
        <f>IF($B41=$B40,$FW40,0)+$FV41</f>
        <v/>
      </c>
      <c r="FX41" s="62">
        <f>$FX40+$FV41</f>
        <v/>
      </c>
      <c r="FY41" s="62">
        <f>SUMIFS(tblSafety[MTI],tblSafety[Date],$A41)</f>
        <v/>
      </c>
      <c r="FZ41" s="62">
        <f>IF($B41=$B40,$FZ40,0)+$FY41</f>
        <v/>
      </c>
      <c r="GA41" s="62">
        <f>$GA40+$FY41</f>
        <v/>
      </c>
      <c r="GB41" s="62">
        <f>SUMIFS(tblSafety[FAI],tblSafety[Date],$A41)</f>
        <v/>
      </c>
      <c r="GC41" s="62">
        <f>IF($B41=$B40,$GC40,0)+$GB41</f>
        <v/>
      </c>
      <c r="GD41" s="62">
        <f>$GD40+$GB41</f>
        <v/>
      </c>
      <c r="GE41" s="62">
        <f>SUMIFS(tblSafety[Recordables],tblSafety[Date],$A41)</f>
        <v/>
      </c>
      <c r="GF41" s="62">
        <f>IF($B41=$B40,$GF40,0)+$GE41</f>
        <v/>
      </c>
      <c r="GG41" s="62">
        <f>$GG40+$GE41</f>
        <v/>
      </c>
      <c r="GH41" s="62">
        <f>SUMIFS(tblSafety[Near_Miss],tblSafety[Date],$A41)</f>
        <v/>
      </c>
      <c r="GI41" s="62">
        <f>IF($B41=$B40,$GI40,0)+$GH41</f>
        <v/>
      </c>
      <c r="GJ41" s="62">
        <f>$GJ40+$GH41</f>
        <v/>
      </c>
      <c r="GK41" s="62">
        <f>SUMIFS(tblSafety[Hazard_Reports],tblSafety[Date],$A41)</f>
        <v/>
      </c>
      <c r="GL41" s="62">
        <f>IF($B41=$B40,$GL40,0)+$GK41</f>
        <v/>
      </c>
      <c r="GM41" s="62">
        <f>$GM40+$GK41</f>
        <v/>
      </c>
      <c r="GN41" s="62">
        <f>SUMIFS(tblSafety[HPI],tblSafety[Date],$A41)</f>
        <v/>
      </c>
      <c r="GO41" s="62">
        <f>IF($B41=$B40,$GO40,0)+$GN41</f>
        <v/>
      </c>
      <c r="GP41" s="62">
        <f>$GP40+$GN41</f>
        <v/>
      </c>
      <c r="GQ41" s="62">
        <f>SUMIFS(tblSafety[Env_Incidents],tblSafety[Date],$A41)</f>
        <v/>
      </c>
      <c r="GR41" s="62">
        <f>IF($B41=$B40,$GR40,0)+$GQ41</f>
        <v/>
      </c>
      <c r="GS41" s="62">
        <f>$GS40+$GQ41</f>
        <v/>
      </c>
      <c r="GT41" s="62">
        <f>SUMIFS(tblSafety[Community_Incidents],tblSafety[Date],$A41)</f>
        <v/>
      </c>
      <c r="GU41" s="62">
        <f>IF($B41=$B40,$GU40,0)+$GT41</f>
        <v/>
      </c>
      <c r="GV41" s="62">
        <f>$GV40+$GT41</f>
        <v/>
      </c>
      <c r="GW41" s="62">
        <f>SUMIFS(tblSafety[Vehicle_Incidents],tblSafety[Date],$A41)</f>
        <v/>
      </c>
      <c r="GX41" s="62">
        <f>IF($B41=$B40,$GX40,0)+$GW41</f>
        <v/>
      </c>
      <c r="GY41" s="62">
        <f>$GY40+$GW41</f>
        <v/>
      </c>
      <c r="GZ41" s="62">
        <f>SUMIFS(tblSafety[Toolbox_Talks],tblSafety[Date],$A41)</f>
        <v/>
      </c>
      <c r="HA41" s="62">
        <f>IF($B41=$B40,$HA40,0)+$GZ41</f>
        <v/>
      </c>
      <c r="HB41" s="62">
        <f>$HB40+$GZ41</f>
        <v/>
      </c>
      <c r="HC41" s="62">
        <f>SUMIFS(tblSafety[Inspections],tblSafety[Date],$A41)</f>
        <v/>
      </c>
      <c r="HD41" s="62">
        <f>IF($B41=$B40,$HD40,0)+$HC41</f>
        <v/>
      </c>
      <c r="HE41" s="62">
        <f>$HE40+$HC41</f>
        <v/>
      </c>
      <c r="HF41" s="56">
        <f>IFERROR((SUMIFS(tblSafety[Recordables],tblSafety[Date],"&gt;="&amp;EDATE($E41,-12),tblSafety[Date],"&lt;="&amp;$A41)+SUMIFS(tblSafetyHistory[Recordables],tblSafetyHistory[Month],"&gt;="&amp;EDATE($E41,-12),tblSafetyHistory[Month],"&lt;"&amp;cfg_YearStart))/(SUMIFS(tblSafety[Hours_Total],tblSafety[Date],"&gt;="&amp;EDATE($E41,-12),tblSafety[Date],"&lt;="&amp;$A41)+SUMIFS(tblSafetyHistory[Hours_Total],tblSafetyHistory[Month],"&gt;="&amp;EDATE($E41,-12),tblSafetyHistory[Month],"&lt;"&amp;cfg_YearStart))*1000000,"")</f>
        <v/>
      </c>
      <c r="HG41" s="56">
        <f>IFERROR((SUMIFS(tblSafety[LTI],tblSafety[Date],"&gt;="&amp;EDATE($E41,-12),tblSafety[Date],"&lt;="&amp;$A41)+SUMIFS(tblSafetyHistory[LTI],tblSafetyHistory[Month],"&gt;="&amp;EDATE($E41,-12),tblSafetyHistory[Month],"&lt;"&amp;cfg_YearStart))/(SUMIFS(tblSafety[Hours_Total],tblSafety[Date],"&gt;="&amp;EDATE($E41,-12),tblSafety[Date],"&lt;="&amp;$A41)+SUMIFS(tblSafetyHistory[Hours_Total],tblSafetyHistory[Month],"&gt;="&amp;EDATE($E41,-12),tblSafetyHistory[Month],"&lt;"&amp;cfg_YearStart))*1000000,"")</f>
        <v/>
      </c>
      <c r="HH41" s="62">
        <f>IF(MAX(N(cfg_PriorLTIDate),_xlfn.MAXIFS(tblSafety[Date],tblSafety[LTI],"&gt;0",tblSafety[Date],"&lt;="&amp;$A41))=0,"",$A41-MAX(N(cfg_PriorLTIDate),_xlfn.MAXIFS(tblSafety[Date],tblSafety[LTI],"&gt;0",tblSafety[Date],"&lt;="&amp;$A41)))</f>
        <v/>
      </c>
      <c r="HI41" s="55">
        <f>SUMIFS(tblBudget[Ore_Mined_t],tblBudget[Month],$E41)</f>
        <v/>
      </c>
      <c r="HJ41" s="55">
        <f>$HI41*$C41/$D41</f>
        <v/>
      </c>
      <c r="HK41" s="55">
        <f>SUMIFS(tblBudget[Ore_Mined_t],tblBudget[Month],"&lt;"&amp;$E41)+$HJ41</f>
        <v/>
      </c>
      <c r="HL41" s="55">
        <f>SUMIFS(tblBudget[Ore_oz],tblBudget[Month],$E41)</f>
        <v/>
      </c>
      <c r="HM41" s="55">
        <f>$HL41*$C41/$D41</f>
        <v/>
      </c>
      <c r="HN41" s="55">
        <f>SUMIFS(tblBudget[Ore_oz],tblBudget[Month],"&lt;"&amp;$E41)+$HM41</f>
        <v/>
      </c>
      <c r="HO41" s="56">
        <f>IFERROR(IF(($HI41)&gt;0,($HL41*cfg_TroyOz)/($HI41),""),"")</f>
        <v/>
      </c>
      <c r="HP41" s="56">
        <f>IFERROR(IF(($HJ41)&gt;0,($HM41*cfg_TroyOz)/($HJ41),""),"")</f>
        <v/>
      </c>
      <c r="HQ41" s="56">
        <f>IFERROR(IF(($HK41)&gt;0,($HN41*cfg_TroyOz)/($HK41),""),"")</f>
        <v/>
      </c>
      <c r="HR41" s="55">
        <f>SUMIFS(tblBudget[Waste_t],tblBudget[Month],$E41)</f>
        <v/>
      </c>
      <c r="HS41" s="55">
        <f>$HR41*$C41/$D41</f>
        <v/>
      </c>
      <c r="HT41" s="55">
        <f>SUMIFS(tblBudget[Waste_t],tblBudget[Month],"&lt;"&amp;$E41)+$HS41</f>
        <v/>
      </c>
      <c r="HU41" s="55">
        <f>SUMIFS(tblBudget[TMM_t],tblBudget[Month],$E41)</f>
        <v/>
      </c>
      <c r="HV41" s="55">
        <f>$HU41*$C41/$D41</f>
        <v/>
      </c>
      <c r="HW41" s="55">
        <f>SUMIFS(tblBudget[TMM_t],tblBudget[Month],"&lt;"&amp;$E41)+$HV41</f>
        <v/>
      </c>
      <c r="HX41" s="56">
        <f>IFERROR(IF(($HI41)&gt;0,($HR41)/($HI41),""),"")</f>
        <v/>
      </c>
      <c r="HY41" s="56">
        <f>IFERROR(IF(($HJ41)&gt;0,($HS41)/($HJ41),""),"")</f>
        <v/>
      </c>
      <c r="HZ41" s="56">
        <f>IFERROR(IF(($HK41)&gt;0,($HT41)/($HK41),""),"")</f>
        <v/>
      </c>
      <c r="IA41" s="55">
        <f>SUMIFS(tblBudget[Drill_m],tblBudget[Month],$E41)</f>
        <v/>
      </c>
      <c r="IB41" s="55">
        <f>$IA41*$C41/$D41</f>
        <v/>
      </c>
      <c r="IC41" s="55">
        <f>SUMIFS(tblBudget[Drill_m],tblBudget[Month],"&lt;"&amp;$E41)+$IB41</f>
        <v/>
      </c>
      <c r="ID41" s="55">
        <f>SUMIFS(tblBudget[Diesel_L],tblBudget[Month],$E41)</f>
        <v/>
      </c>
      <c r="IE41" s="55">
        <f>$ID41*$C41/$D41</f>
        <v/>
      </c>
      <c r="IF41" s="55">
        <f>SUMIFS(tblBudget[Diesel_L],tblBudget[Month],"&lt;"&amp;$E41)+$IE41</f>
        <v/>
      </c>
      <c r="IG41" s="55">
        <f>SUMIFS(tblBudget[Milled_t],tblBudget[Month],$E41)</f>
        <v/>
      </c>
      <c r="IH41" s="55">
        <f>$IG41*$C41/$D41</f>
        <v/>
      </c>
      <c r="II41" s="55">
        <f>SUMIFS(tblBudget[Milled_t],tblBudget[Month],"&lt;"&amp;$E41)+$IH41</f>
        <v/>
      </c>
      <c r="IJ41" s="55">
        <f>SUMIFS(tblBudget[Feed_oz],tblBudget[Month],$E41)</f>
        <v/>
      </c>
      <c r="IK41" s="55">
        <f>$IJ41*$C41/$D41</f>
        <v/>
      </c>
      <c r="IL41" s="55">
        <f>SUMIFS(tblBudget[Feed_oz],tblBudget[Month],"&lt;"&amp;$E41)+$IK41</f>
        <v/>
      </c>
      <c r="IM41" s="55">
        <f>SUMIFS(tblBudget[Recovered_oz],tblBudget[Month],$E41)</f>
        <v/>
      </c>
      <c r="IN41" s="55">
        <f>$IM41*$C41/$D41</f>
        <v/>
      </c>
      <c r="IO41" s="55">
        <f>SUMIFS(tblBudget[Recovered_oz],tblBudget[Month],"&lt;"&amp;$E41)+$IN41</f>
        <v/>
      </c>
      <c r="IP41" s="56">
        <f>IFERROR(IF(($IG41)&gt;0,($IJ41*cfg_TroyOz)/($IG41),""),"")</f>
        <v/>
      </c>
      <c r="IQ41" s="56">
        <f>IFERROR(IF(($IH41)&gt;0,($IK41*cfg_TroyOz)/($IH41),""),"")</f>
        <v/>
      </c>
      <c r="IR41" s="56">
        <f>IFERROR(IF(($II41)&gt;0,($IL41*cfg_TroyOz)/($II41),""),"")</f>
        <v/>
      </c>
      <c r="IS41" s="67">
        <f>IFERROR(IF(($IJ41)&gt;0,($IM41)/($IJ41),""),"")</f>
        <v/>
      </c>
      <c r="IT41" s="67">
        <f>IFERROR(IF(($IK41)&gt;0,($IN41)/($IK41),""),"")</f>
        <v/>
      </c>
      <c r="IU41" s="67">
        <f>IFERROR(IF(($IL41)&gt;0,($IO41)/($IL41),""),"")</f>
        <v/>
      </c>
      <c r="IV41" s="55">
        <f>SUMIFS(tblBudget[Gold_Poured_oz],tblBudget[Month],$E41)</f>
        <v/>
      </c>
      <c r="IW41" s="55">
        <f>$IV41*$C41/$D41</f>
        <v/>
      </c>
      <c r="IX41" s="55">
        <f>SUMIFS(tblBudget[Gold_Poured_oz],tblBudget[Month],"&lt;"&amp;$E41)+$IW41</f>
        <v/>
      </c>
      <c r="IY41" s="57">
        <f>SUMIFS(tblBudget[Hours_Worked],tblBudget[Month],$E41)</f>
        <v/>
      </c>
      <c r="IZ41" s="57">
        <f>$IY41*$C41/$D41</f>
        <v/>
      </c>
      <c r="JA41" s="57">
        <f>SUMIFS(tblBudget[Hours_Worked],tblBudget[Month],"&lt;"&amp;$E41)+$IZ41</f>
        <v/>
      </c>
    </row>
    <row r="42">
      <c r="A42" s="54" t="n">
        <v>46063</v>
      </c>
      <c r="B42">
        <f>MONTH($A42)</f>
        <v/>
      </c>
      <c r="C42">
        <f>DAY($A42)</f>
        <v/>
      </c>
      <c r="D42">
        <f>DAY(EOMONTH($A42,0))</f>
        <v/>
      </c>
      <c r="E42" s="54">
        <f>DATE(YEAR($A42),MONTH($A42),1)</f>
        <v/>
      </c>
      <c r="F42" s="55">
        <f>SUMIFS(tblMovement[Tonnes_t],tblMovement[Date],$A42,tblMovement[Is_Ore],1,tblMovement[Source_Type],"Pit")</f>
        <v/>
      </c>
      <c r="G42" s="55">
        <f>IF($B42=$B41,$G41,0)+$F42</f>
        <v/>
      </c>
      <c r="H42" s="55">
        <f>$H41+$F42</f>
        <v/>
      </c>
      <c r="I42" s="55">
        <f>SUMIFS(tblMovement[Ore_oz],tblMovement[Date],$A42,tblMovement[Source_Type],"Pit")</f>
        <v/>
      </c>
      <c r="J42" s="55">
        <f>IF($B42=$B41,$J41,0)+$I42</f>
        <v/>
      </c>
      <c r="K42" s="55">
        <f>$K41+$I42</f>
        <v/>
      </c>
      <c r="L42" s="56">
        <f>IFERROR(IF(($F42)&gt;0,($I42*cfg_TroyOz)/($F42),""),"")</f>
        <v/>
      </c>
      <c r="M42" s="56">
        <f>IFERROR(IF(($G42)&gt;0,($J42*cfg_TroyOz)/($G42),""),"")</f>
        <v/>
      </c>
      <c r="N42" s="56">
        <f>IFERROR(IF(($H42)&gt;0,($K42*cfg_TroyOz)/($H42),""),"")</f>
        <v/>
      </c>
      <c r="O42" s="55">
        <f>SUMIFS(tblMovement[Tonnes_t],tblMovement[Date],$A42,tblMovement[Is_Ore],0,tblMovement[Source_Type],"Pit")</f>
        <v/>
      </c>
      <c r="P42" s="55">
        <f>IF($B42=$B41,$P41,0)+$O42</f>
        <v/>
      </c>
      <c r="Q42" s="55">
        <f>$Q41+$O42</f>
        <v/>
      </c>
      <c r="R42" s="55">
        <f>$F42+$O42</f>
        <v/>
      </c>
      <c r="S42" s="55">
        <f>IF($B42=$B41,$S41,0)+$R42</f>
        <v/>
      </c>
      <c r="T42" s="55">
        <f>$T41+$R42</f>
        <v/>
      </c>
      <c r="U42" s="56">
        <f>IFERROR(IF(($F42)&gt;0,($O42)/($F42),""),"")</f>
        <v/>
      </c>
      <c r="V42" s="56">
        <f>IFERROR(IF(($G42)&gt;0,($P42)/($G42),""),"")</f>
        <v/>
      </c>
      <c r="W42" s="56">
        <f>IFERROR(IF(($H42)&gt;0,($Q42)/($H42),""),"")</f>
        <v/>
      </c>
      <c r="X42" s="55">
        <f>SUMIFS(tblMovement[Tonnes_t],tblMovement[Date],$A42,tblMovement[Source_Type],"Stockpile")</f>
        <v/>
      </c>
      <c r="Y42" s="55">
        <f>IF($B42=$B41,$Y41,0)+$X42</f>
        <v/>
      </c>
      <c r="Z42" s="55">
        <f>$Z41+$X42</f>
        <v/>
      </c>
      <c r="AA42" s="55">
        <f>SUMIFS(tblMiningDaily[Drill_m],tblMiningDaily[Date],$A42)</f>
        <v/>
      </c>
      <c r="AB42" s="55">
        <f>IF($B42=$B41,$AB41,0)+$AA42</f>
        <v/>
      </c>
      <c r="AC42" s="55">
        <f>$AC41+$AA42</f>
        <v/>
      </c>
      <c r="AD42" s="55">
        <f>SUMIFS(tblMiningDaily[Blast_t],tblMiningDaily[Date],$A42)</f>
        <v/>
      </c>
      <c r="AE42" s="55">
        <f>IF($B42=$B41,$AE41,0)+$AD42</f>
        <v/>
      </c>
      <c r="AF42" s="55">
        <f>$AF41+$AD42</f>
        <v/>
      </c>
      <c r="AG42" s="55">
        <f>SUMIFS(tblMiningDaily[Explosives_kg],tblMiningDaily[Date],$A42)</f>
        <v/>
      </c>
      <c r="AH42" s="55">
        <f>IF($B42=$B41,$AH41,0)+$AG42</f>
        <v/>
      </c>
      <c r="AI42" s="55">
        <f>$AI41+$AG42</f>
        <v/>
      </c>
      <c r="AJ42" s="56">
        <f>IFERROR(IF(($AD42)&gt;0,($AG42)/($AD42),""),"")</f>
        <v/>
      </c>
      <c r="AK42" s="56">
        <f>IFERROR(IF(($AE42)&gt;0,($AH42)/($AE42),""),"")</f>
        <v/>
      </c>
      <c r="AL42" s="56">
        <f>IFERROR(IF(($AF42)&gt;0,($AI42)/($AF42),""),"")</f>
        <v/>
      </c>
      <c r="AM42" s="55">
        <f>SUMIFS(tblMiningDaily[Diesel_L],tblMiningDaily[Date],$A42)</f>
        <v/>
      </c>
      <c r="AN42" s="55">
        <f>IF($B42=$B41,$AN41,0)+$AM42</f>
        <v/>
      </c>
      <c r="AO42" s="55">
        <f>$AO41+$AM42</f>
        <v/>
      </c>
      <c r="AP42" s="55">
        <f>SUMIFS(tblMiningDaily[Dewatering_m3],tblMiningDaily[Date],$A42)</f>
        <v/>
      </c>
      <c r="AQ42" s="55">
        <f>IF($B42=$B41,$AQ41,0)+$AP42</f>
        <v/>
      </c>
      <c r="AR42" s="55">
        <f>$AR41+$AP42</f>
        <v/>
      </c>
      <c r="AS42" s="57">
        <f>SUMIFS(tblFleet[Calendar_h],tblFleet[Date],$A42,tblFleet[Equipment_Class],"Excavator")</f>
        <v/>
      </c>
      <c r="AT42" s="57">
        <f>IF($B42=$B41,$AT41,0)+$AS42</f>
        <v/>
      </c>
      <c r="AU42" s="57">
        <f>$AU41+$AS42</f>
        <v/>
      </c>
      <c r="AV42" s="57">
        <f>SUMIFS(tblFleet[Available_h],tblFleet[Date],$A42,tblFleet[Equipment_Class],"Excavator")</f>
        <v/>
      </c>
      <c r="AW42" s="57">
        <f>IF($B42=$B41,$AW41,0)+$AV42</f>
        <v/>
      </c>
      <c r="AX42" s="57">
        <f>$AX41+$AV42</f>
        <v/>
      </c>
      <c r="AY42" s="57">
        <f>SUMIFS(tblFleet[Operating_h],tblFleet[Date],$A42,tblFleet[Equipment_Class],"Excavator")</f>
        <v/>
      </c>
      <c r="AZ42" s="57">
        <f>IF($B42=$B41,$AZ41,0)+$AY42</f>
        <v/>
      </c>
      <c r="BA42" s="57">
        <f>$BA41+$AY42</f>
        <v/>
      </c>
      <c r="BB42" s="67">
        <f>IFERROR(IF(($AS42)&gt;0,($AV42)/($AS42),""),"")</f>
        <v/>
      </c>
      <c r="BC42" s="67">
        <f>IFERROR(IF(($AT42)&gt;0,($AW42)/($AT42),""),"")</f>
        <v/>
      </c>
      <c r="BD42" s="67">
        <f>IFERROR(IF(($AU42)&gt;0,($AX42)/($AU42),""),"")</f>
        <v/>
      </c>
      <c r="BE42" s="67">
        <f>IFERROR(IF(($AV42)&gt;0,($AY42)/($AV42),""),"")</f>
        <v/>
      </c>
      <c r="BF42" s="67">
        <f>IFERROR(IF(($AW42)&gt;0,($AZ42)/($AW42),""),"")</f>
        <v/>
      </c>
      <c r="BG42" s="67">
        <f>IFERROR(IF(($AX42)&gt;0,($BA42)/($AX42),""),"")</f>
        <v/>
      </c>
      <c r="BH42" s="57">
        <f>SUMIFS(tblFleet[Calendar_h],tblFleet[Date],$A42,tblFleet[Equipment_Class],"Haul Truck")</f>
        <v/>
      </c>
      <c r="BI42" s="57">
        <f>IF($B42=$B41,$BI41,0)+$BH42</f>
        <v/>
      </c>
      <c r="BJ42" s="57">
        <f>$BJ41+$BH42</f>
        <v/>
      </c>
      <c r="BK42" s="57">
        <f>SUMIFS(tblFleet[Available_h],tblFleet[Date],$A42,tblFleet[Equipment_Class],"Haul Truck")</f>
        <v/>
      </c>
      <c r="BL42" s="57">
        <f>IF($B42=$B41,$BL41,0)+$BK42</f>
        <v/>
      </c>
      <c r="BM42" s="57">
        <f>$BM41+$BK42</f>
        <v/>
      </c>
      <c r="BN42" s="57">
        <f>SUMIFS(tblFleet[Operating_h],tblFleet[Date],$A42,tblFleet[Equipment_Class],"Haul Truck")</f>
        <v/>
      </c>
      <c r="BO42" s="57">
        <f>IF($B42=$B41,$BO41,0)+$BN42</f>
        <v/>
      </c>
      <c r="BP42" s="57">
        <f>$BP41+$BN42</f>
        <v/>
      </c>
      <c r="BQ42" s="67">
        <f>IFERROR(IF(($BH42)&gt;0,($BK42)/($BH42),""),"")</f>
        <v/>
      </c>
      <c r="BR42" s="67">
        <f>IFERROR(IF(($BI42)&gt;0,($BL42)/($BI42),""),"")</f>
        <v/>
      </c>
      <c r="BS42" s="67">
        <f>IFERROR(IF(($BJ42)&gt;0,($BM42)/($BJ42),""),"")</f>
        <v/>
      </c>
      <c r="BT42" s="67">
        <f>IFERROR(IF(($BK42)&gt;0,($BN42)/($BK42),""),"")</f>
        <v/>
      </c>
      <c r="BU42" s="67">
        <f>IFERROR(IF(($BL42)&gt;0,($BO42)/($BL42),""),"")</f>
        <v/>
      </c>
      <c r="BV42" s="67">
        <f>IFERROR(IF(($BM42)&gt;0,($BP42)/($BM42),""),"")</f>
        <v/>
      </c>
      <c r="BW42" s="55">
        <f>SUMIFS(tblPlant[Crushed_t],tblPlant[Date],$A42)</f>
        <v/>
      </c>
      <c r="BX42" s="55">
        <f>IF($B42=$B41,$BX41,0)+$BW42</f>
        <v/>
      </c>
      <c r="BY42" s="55">
        <f>$BY41+$BW42</f>
        <v/>
      </c>
      <c r="BZ42" s="55">
        <f>SUMIFS(tblPlant[Milled_t],tblPlant[Date],$A42)</f>
        <v/>
      </c>
      <c r="CA42" s="55">
        <f>IF($B42=$B41,$CA41,0)+$BZ42</f>
        <v/>
      </c>
      <c r="CB42" s="55">
        <f>$CB41+$BZ42</f>
        <v/>
      </c>
      <c r="CC42" s="55">
        <f>SUMIFS(tblPlant[Feed_oz],tblPlant[Date],$A42)</f>
        <v/>
      </c>
      <c r="CD42" s="55">
        <f>IF($B42=$B41,$CD41,0)+$CC42</f>
        <v/>
      </c>
      <c r="CE42" s="55">
        <f>$CE41+$CC42</f>
        <v/>
      </c>
      <c r="CF42" s="55">
        <f>SUMIFS(tblPlant[Tails_oz],tblPlant[Date],$A42)</f>
        <v/>
      </c>
      <c r="CG42" s="55">
        <f>IF($B42=$B41,$CG41,0)+$CF42</f>
        <v/>
      </c>
      <c r="CH42" s="55">
        <f>$CH41+$CF42</f>
        <v/>
      </c>
      <c r="CI42" s="55">
        <f>SUMIFS(tblPlant[Recovered_oz],tblPlant[Date],$A42)</f>
        <v/>
      </c>
      <c r="CJ42" s="55">
        <f>IF($B42=$B41,$CJ41,0)+$CI42</f>
        <v/>
      </c>
      <c r="CK42" s="55">
        <f>$CK41+$CI42</f>
        <v/>
      </c>
      <c r="CL42" s="56">
        <f>IFERROR(IF(($BZ42)&gt;0,($CC42*cfg_TroyOz)/($BZ42),""),"")</f>
        <v/>
      </c>
      <c r="CM42" s="56">
        <f>IFERROR(IF(($CA42)&gt;0,($CD42*cfg_TroyOz)/($CA42),""),"")</f>
        <v/>
      </c>
      <c r="CN42" s="56">
        <f>IFERROR(IF(($CB42)&gt;0,($CE42*cfg_TroyOz)/($CB42),""),"")</f>
        <v/>
      </c>
      <c r="CO42" s="56">
        <f>IFERROR(IF(($BZ42)&gt;0,($CF42*cfg_TroyOz)/($BZ42),""),"")</f>
        <v/>
      </c>
      <c r="CP42" s="56">
        <f>IFERROR(IF(($CA42)&gt;0,($CG42*cfg_TroyOz)/($CA42),""),"")</f>
        <v/>
      </c>
      <c r="CQ42" s="56">
        <f>IFERROR(IF(($CB42)&gt;0,($CH42*cfg_TroyOz)/($CB42),""),"")</f>
        <v/>
      </c>
      <c r="CR42" s="67">
        <f>IFERROR(IF(($CC42)&gt;0,($CI42)/($CC42),""),"")</f>
        <v/>
      </c>
      <c r="CS42" s="67">
        <f>IFERROR(IF(($CD42)&gt;0,($CJ42)/($CD42),""),"")</f>
        <v/>
      </c>
      <c r="CT42" s="67">
        <f>IFERROR(IF(($CE42)&gt;0,($CK42)/($CE42),""),"")</f>
        <v/>
      </c>
      <c r="CU42" s="55">
        <f>SUMIFS(tblPlant[Gravity_Gold_oz],tblPlant[Date],$A42)</f>
        <v/>
      </c>
      <c r="CV42" s="55">
        <f>IF($B42=$B41,$CV41,0)+$CU42</f>
        <v/>
      </c>
      <c r="CW42" s="55">
        <f>$CW41+$CU42</f>
        <v/>
      </c>
      <c r="CX42" s="55">
        <f>SUMIFS(tblPlant[Gold_Poured_oz],tblPlant[Date],$A42)</f>
        <v/>
      </c>
      <c r="CY42" s="55">
        <f>IF($B42=$B41,$CY41,0)+$CX42</f>
        <v/>
      </c>
      <c r="CZ42" s="55">
        <f>$CZ41+$CX42</f>
        <v/>
      </c>
      <c r="DA42" s="57">
        <f>SUMIFS(tblPlant[Mill_Run_h],tblPlant[Date],$A42)</f>
        <v/>
      </c>
      <c r="DB42" s="57">
        <f>IF($B42=$B41,$DB41,0)+$DA42</f>
        <v/>
      </c>
      <c r="DC42" s="57">
        <f>$DC41+$DA42</f>
        <v/>
      </c>
      <c r="DD42" s="57">
        <f>SUMIFS(tblPlant[Mill_Planned_Maint_h],tblPlant[Date],$A42)</f>
        <v/>
      </c>
      <c r="DE42" s="57">
        <f>IF($B42=$B41,$DE41,0)+$DD42</f>
        <v/>
      </c>
      <c r="DF42" s="57">
        <f>$DF41+$DD42</f>
        <v/>
      </c>
      <c r="DG42" s="57">
        <f>SUMIFS(tblPlant[Mill_Unplanned_Down_h],tblPlant[Date],$A42)</f>
        <v/>
      </c>
      <c r="DH42" s="57">
        <f>IF($B42=$B41,$DH41,0)+$DG42</f>
        <v/>
      </c>
      <c r="DI42" s="57">
        <f>$DI41+$DG42</f>
        <v/>
      </c>
      <c r="DJ42" s="57">
        <f>COUNTIFS(tblPlant[Date],$A42,tblPlant[Mill_Run_h],"&lt;&gt;")*24</f>
        <v/>
      </c>
      <c r="DK42" s="57">
        <f>IF($B42=$B41,$DK41,0)+$DJ42</f>
        <v/>
      </c>
      <c r="DL42" s="57">
        <f>$DL41+$DJ42</f>
        <v/>
      </c>
      <c r="DM42" s="57">
        <f>SUMIFS(tblPlant[Crusher_Run_h],tblPlant[Date],$A42)</f>
        <v/>
      </c>
      <c r="DN42" s="57">
        <f>IF($B42=$B41,$DN41,0)+$DM42</f>
        <v/>
      </c>
      <c r="DO42" s="57">
        <f>$DO41+$DM42</f>
        <v/>
      </c>
      <c r="DP42" s="55">
        <f>IFERROR(IF(($DA42)&gt;0,($BZ42)/($DA42),""),"")</f>
        <v/>
      </c>
      <c r="DQ42" s="55">
        <f>IFERROR(IF(($DB42)&gt;0,($CA42)/($DB42),""),"")</f>
        <v/>
      </c>
      <c r="DR42" s="55">
        <f>IFERROR(IF(($DC42)&gt;0,($CB42)/($DC42),""),"")</f>
        <v/>
      </c>
      <c r="DS42" s="67">
        <f>IFERROR(IF(($DJ42)&gt;0,($DJ42-$DD42-$DG42)/($DJ42),""),"")</f>
        <v/>
      </c>
      <c r="DT42" s="67">
        <f>IFERROR(IF(($DK42)&gt;0,($DK42-$DE42-$DH42)/($DK42),""),"")</f>
        <v/>
      </c>
      <c r="DU42" s="67">
        <f>IFERROR(IF(($DL42)&gt;0,($DL42-$DF42-$DI42)/($DL42),""),"")</f>
        <v/>
      </c>
      <c r="DV42" s="67">
        <f>IFERROR(IF(($DJ42-$DD42-$DG42)&gt;0,($DA42)/($DJ42-$DD42-$DG42),""),"")</f>
        <v/>
      </c>
      <c r="DW42" s="67">
        <f>IFERROR(IF(($DK42-$DE42-$DH42)&gt;0,($DB42)/($DK42-$DE42-$DH42),""),"")</f>
        <v/>
      </c>
      <c r="DX42" s="67">
        <f>IFERROR(IF(($DL42-$DF42-$DI42)&gt;0,($DC42)/($DL42-$DF42-$DI42),""),"")</f>
        <v/>
      </c>
      <c r="DY42" s="55">
        <f>SUMIFS(tblPlant[Cyanide_kg],tblPlant[Date],$A42)</f>
        <v/>
      </c>
      <c r="DZ42" s="55">
        <f>IF($B42=$B41,$DZ41,0)+$DY42</f>
        <v/>
      </c>
      <c r="EA42" s="55">
        <f>$EA41+$DY42</f>
        <v/>
      </c>
      <c r="EB42" s="55">
        <f>SUMIFS(tblPlant[Lime_kg],tblPlant[Date],$A42)</f>
        <v/>
      </c>
      <c r="EC42" s="55">
        <f>IF($B42=$B41,$EC41,0)+$EB42</f>
        <v/>
      </c>
      <c r="ED42" s="55">
        <f>$ED41+$EB42</f>
        <v/>
      </c>
      <c r="EE42" s="55">
        <f>SUMIFS(tblPlant[Grinding_Media_kg],tblPlant[Date],$A42)</f>
        <v/>
      </c>
      <c r="EF42" s="55">
        <f>IF($B42=$B41,$EF41,0)+$EE42</f>
        <v/>
      </c>
      <c r="EG42" s="55">
        <f>$EG41+$EE42</f>
        <v/>
      </c>
      <c r="EH42" s="55">
        <f>SUMIFS(tblPlant[Power_kWh],tblPlant[Date],$A42)</f>
        <v/>
      </c>
      <c r="EI42" s="55">
        <f>IF($B42=$B41,$EI41,0)+$EH42</f>
        <v/>
      </c>
      <c r="EJ42" s="55">
        <f>$EJ41+$EH42</f>
        <v/>
      </c>
      <c r="EK42" s="55">
        <f>SUMIFS(tblPlant[Raw_Water_m3],tblPlant[Date],$A42)</f>
        <v/>
      </c>
      <c r="EL42" s="55">
        <f>IF($B42=$B41,$EL41,0)+$EK42</f>
        <v/>
      </c>
      <c r="EM42" s="55">
        <f>$EM41+$EK42</f>
        <v/>
      </c>
      <c r="EN42" s="56">
        <f>IFERROR(IF(($BZ42)&gt;0,($DY42)/($BZ42),""),"")</f>
        <v/>
      </c>
      <c r="EO42" s="56">
        <f>IFERROR(IF(($CA42)&gt;0,($DZ42)/($CA42),""),"")</f>
        <v/>
      </c>
      <c r="EP42" s="56">
        <f>IFERROR(IF(($CB42)&gt;0,($EA42)/($CB42),""),"")</f>
        <v/>
      </c>
      <c r="EQ42" s="56">
        <f>IFERROR(IF(($BZ42)&gt;0,($EB42)/($BZ42),""),"")</f>
        <v/>
      </c>
      <c r="ER42" s="56">
        <f>IFERROR(IF(($CA42)&gt;0,($EC42)/($CA42),""),"")</f>
        <v/>
      </c>
      <c r="ES42" s="56">
        <f>IFERROR(IF(($CB42)&gt;0,($ED42)/($CB42),""),"")</f>
        <v/>
      </c>
      <c r="ET42" s="56">
        <f>IFERROR(IF(($BZ42)&gt;0,($EE42)/($BZ42),""),"")</f>
        <v/>
      </c>
      <c r="EU42" s="56">
        <f>IFERROR(IF(($CA42)&gt;0,($EF42)/($CA42),""),"")</f>
        <v/>
      </c>
      <c r="EV42" s="56">
        <f>IFERROR(IF(($CB42)&gt;0,($EG42)/($CB42),""),"")</f>
        <v/>
      </c>
      <c r="EW42" s="76">
        <f>IFERROR(IF(($BZ42)&gt;0,($EH42)/($BZ42),""),"")</f>
        <v/>
      </c>
      <c r="EX42" s="76">
        <f>IFERROR(IF(($CA42)&gt;0,($EI42)/($CA42),""),"")</f>
        <v/>
      </c>
      <c r="EY42" s="76">
        <f>IFERROR(IF(($CB42)&gt;0,($EJ42)/($CB42),""),"")</f>
        <v/>
      </c>
      <c r="EZ42" s="56">
        <f>IFERROR(IF(($BZ42)&gt;0,($EK42)/($BZ42),""),"")</f>
        <v/>
      </c>
      <c r="FA42" s="56">
        <f>IFERROR(IF(($CA42)&gt;0,($EL42)/($CA42),""),"")</f>
        <v/>
      </c>
      <c r="FB42" s="56">
        <f>IFERROR(IF(($CB42)&gt;0,($EM42)/($CB42),""),"")</f>
        <v/>
      </c>
      <c r="FC42" s="55">
        <f>IF(SUMIFS(tblPlant[GIC_oz],tblPlant[Date],$A42)&gt;0,SUMIFS(tblPlant[GIC_oz],tblPlant[Date],$A42),"")</f>
        <v/>
      </c>
      <c r="FD42" s="55">
        <f>SUMIFS(tblGold[Gold_oz],tblGold[Date],$A42,tblGold[Type],"Shipment")</f>
        <v/>
      </c>
      <c r="FE42" s="55">
        <f>IF($B42=$B41,$FE41,0)+$FD42</f>
        <v/>
      </c>
      <c r="FF42" s="55">
        <f>$FF41+$FD42</f>
        <v/>
      </c>
      <c r="FG42" s="55">
        <f>SUMIFS(tblGold[Gold_oz],tblGold[Date],$A42,tblGold[Type],"Sale")</f>
        <v/>
      </c>
      <c r="FH42" s="55">
        <f>IF($B42=$B41,$FH41,0)+$FG42</f>
        <v/>
      </c>
      <c r="FI42" s="55">
        <f>$FI41+$FG42</f>
        <v/>
      </c>
      <c r="FJ42" s="55">
        <f>SUMIFS(tblGold[Dore_kg],tblGold[Date],$A42,tblGold[Type],"Shipment")</f>
        <v/>
      </c>
      <c r="FK42" s="55">
        <f>IF($B42=$B41,$FK41,0)+$FJ42</f>
        <v/>
      </c>
      <c r="FL42" s="55">
        <f>$FL41+$FJ42</f>
        <v/>
      </c>
      <c r="FM42" s="57">
        <f>SUMIFS(tblSafety[Hours_Total],tblSafety[Date],$A42)</f>
        <v/>
      </c>
      <c r="FN42" s="57">
        <f>IF($B42=$B41,$FN41,0)+$FM42</f>
        <v/>
      </c>
      <c r="FO42" s="57">
        <f>$FO41+$FM42</f>
        <v/>
      </c>
      <c r="FP42" s="62">
        <f>SUMIFS(tblSafety[Fatality],tblSafety[Date],$A42)</f>
        <v/>
      </c>
      <c r="FQ42" s="62">
        <f>IF($B42=$B41,$FQ41,0)+$FP42</f>
        <v/>
      </c>
      <c r="FR42" s="62">
        <f>$FR41+$FP42</f>
        <v/>
      </c>
      <c r="FS42" s="62">
        <f>SUMIFS(tblSafety[LTI],tblSafety[Date],$A42)</f>
        <v/>
      </c>
      <c r="FT42" s="62">
        <f>IF($B42=$B41,$FT41,0)+$FS42</f>
        <v/>
      </c>
      <c r="FU42" s="62">
        <f>$FU41+$FS42</f>
        <v/>
      </c>
      <c r="FV42" s="62">
        <f>SUMIFS(tblSafety[RWI],tblSafety[Date],$A42)</f>
        <v/>
      </c>
      <c r="FW42" s="62">
        <f>IF($B42=$B41,$FW41,0)+$FV42</f>
        <v/>
      </c>
      <c r="FX42" s="62">
        <f>$FX41+$FV42</f>
        <v/>
      </c>
      <c r="FY42" s="62">
        <f>SUMIFS(tblSafety[MTI],tblSafety[Date],$A42)</f>
        <v/>
      </c>
      <c r="FZ42" s="62">
        <f>IF($B42=$B41,$FZ41,0)+$FY42</f>
        <v/>
      </c>
      <c r="GA42" s="62">
        <f>$GA41+$FY42</f>
        <v/>
      </c>
      <c r="GB42" s="62">
        <f>SUMIFS(tblSafety[FAI],tblSafety[Date],$A42)</f>
        <v/>
      </c>
      <c r="GC42" s="62">
        <f>IF($B42=$B41,$GC41,0)+$GB42</f>
        <v/>
      </c>
      <c r="GD42" s="62">
        <f>$GD41+$GB42</f>
        <v/>
      </c>
      <c r="GE42" s="62">
        <f>SUMIFS(tblSafety[Recordables],tblSafety[Date],$A42)</f>
        <v/>
      </c>
      <c r="GF42" s="62">
        <f>IF($B42=$B41,$GF41,0)+$GE42</f>
        <v/>
      </c>
      <c r="GG42" s="62">
        <f>$GG41+$GE42</f>
        <v/>
      </c>
      <c r="GH42" s="62">
        <f>SUMIFS(tblSafety[Near_Miss],tblSafety[Date],$A42)</f>
        <v/>
      </c>
      <c r="GI42" s="62">
        <f>IF($B42=$B41,$GI41,0)+$GH42</f>
        <v/>
      </c>
      <c r="GJ42" s="62">
        <f>$GJ41+$GH42</f>
        <v/>
      </c>
      <c r="GK42" s="62">
        <f>SUMIFS(tblSafety[Hazard_Reports],tblSafety[Date],$A42)</f>
        <v/>
      </c>
      <c r="GL42" s="62">
        <f>IF($B42=$B41,$GL41,0)+$GK42</f>
        <v/>
      </c>
      <c r="GM42" s="62">
        <f>$GM41+$GK42</f>
        <v/>
      </c>
      <c r="GN42" s="62">
        <f>SUMIFS(tblSafety[HPI],tblSafety[Date],$A42)</f>
        <v/>
      </c>
      <c r="GO42" s="62">
        <f>IF($B42=$B41,$GO41,0)+$GN42</f>
        <v/>
      </c>
      <c r="GP42" s="62">
        <f>$GP41+$GN42</f>
        <v/>
      </c>
      <c r="GQ42" s="62">
        <f>SUMIFS(tblSafety[Env_Incidents],tblSafety[Date],$A42)</f>
        <v/>
      </c>
      <c r="GR42" s="62">
        <f>IF($B42=$B41,$GR41,0)+$GQ42</f>
        <v/>
      </c>
      <c r="GS42" s="62">
        <f>$GS41+$GQ42</f>
        <v/>
      </c>
      <c r="GT42" s="62">
        <f>SUMIFS(tblSafety[Community_Incidents],tblSafety[Date],$A42)</f>
        <v/>
      </c>
      <c r="GU42" s="62">
        <f>IF($B42=$B41,$GU41,0)+$GT42</f>
        <v/>
      </c>
      <c r="GV42" s="62">
        <f>$GV41+$GT42</f>
        <v/>
      </c>
      <c r="GW42" s="62">
        <f>SUMIFS(tblSafety[Vehicle_Incidents],tblSafety[Date],$A42)</f>
        <v/>
      </c>
      <c r="GX42" s="62">
        <f>IF($B42=$B41,$GX41,0)+$GW42</f>
        <v/>
      </c>
      <c r="GY42" s="62">
        <f>$GY41+$GW42</f>
        <v/>
      </c>
      <c r="GZ42" s="62">
        <f>SUMIFS(tblSafety[Toolbox_Talks],tblSafety[Date],$A42)</f>
        <v/>
      </c>
      <c r="HA42" s="62">
        <f>IF($B42=$B41,$HA41,0)+$GZ42</f>
        <v/>
      </c>
      <c r="HB42" s="62">
        <f>$HB41+$GZ42</f>
        <v/>
      </c>
      <c r="HC42" s="62">
        <f>SUMIFS(tblSafety[Inspections],tblSafety[Date],$A42)</f>
        <v/>
      </c>
      <c r="HD42" s="62">
        <f>IF($B42=$B41,$HD41,0)+$HC42</f>
        <v/>
      </c>
      <c r="HE42" s="62">
        <f>$HE41+$HC42</f>
        <v/>
      </c>
      <c r="HF42" s="56">
        <f>IFERROR((SUMIFS(tblSafety[Recordables],tblSafety[Date],"&gt;="&amp;EDATE($E42,-12),tblSafety[Date],"&lt;="&amp;$A42)+SUMIFS(tblSafetyHistory[Recordables],tblSafetyHistory[Month],"&gt;="&amp;EDATE($E42,-12),tblSafetyHistory[Month],"&lt;"&amp;cfg_YearStart))/(SUMIFS(tblSafety[Hours_Total],tblSafety[Date],"&gt;="&amp;EDATE($E42,-12),tblSafety[Date],"&lt;="&amp;$A42)+SUMIFS(tblSafetyHistory[Hours_Total],tblSafetyHistory[Month],"&gt;="&amp;EDATE($E42,-12),tblSafetyHistory[Month],"&lt;"&amp;cfg_YearStart))*1000000,"")</f>
        <v/>
      </c>
      <c r="HG42" s="56">
        <f>IFERROR((SUMIFS(tblSafety[LTI],tblSafety[Date],"&gt;="&amp;EDATE($E42,-12),tblSafety[Date],"&lt;="&amp;$A42)+SUMIFS(tblSafetyHistory[LTI],tblSafetyHistory[Month],"&gt;="&amp;EDATE($E42,-12),tblSafetyHistory[Month],"&lt;"&amp;cfg_YearStart))/(SUMIFS(tblSafety[Hours_Total],tblSafety[Date],"&gt;="&amp;EDATE($E42,-12),tblSafety[Date],"&lt;="&amp;$A42)+SUMIFS(tblSafetyHistory[Hours_Total],tblSafetyHistory[Month],"&gt;="&amp;EDATE($E42,-12),tblSafetyHistory[Month],"&lt;"&amp;cfg_YearStart))*1000000,"")</f>
        <v/>
      </c>
      <c r="HH42" s="62">
        <f>IF(MAX(N(cfg_PriorLTIDate),_xlfn.MAXIFS(tblSafety[Date],tblSafety[LTI],"&gt;0",tblSafety[Date],"&lt;="&amp;$A42))=0,"",$A42-MAX(N(cfg_PriorLTIDate),_xlfn.MAXIFS(tblSafety[Date],tblSafety[LTI],"&gt;0",tblSafety[Date],"&lt;="&amp;$A42)))</f>
        <v/>
      </c>
      <c r="HI42" s="55">
        <f>SUMIFS(tblBudget[Ore_Mined_t],tblBudget[Month],$E42)</f>
        <v/>
      </c>
      <c r="HJ42" s="55">
        <f>$HI42*$C42/$D42</f>
        <v/>
      </c>
      <c r="HK42" s="55">
        <f>SUMIFS(tblBudget[Ore_Mined_t],tblBudget[Month],"&lt;"&amp;$E42)+$HJ42</f>
        <v/>
      </c>
      <c r="HL42" s="55">
        <f>SUMIFS(tblBudget[Ore_oz],tblBudget[Month],$E42)</f>
        <v/>
      </c>
      <c r="HM42" s="55">
        <f>$HL42*$C42/$D42</f>
        <v/>
      </c>
      <c r="HN42" s="55">
        <f>SUMIFS(tblBudget[Ore_oz],tblBudget[Month],"&lt;"&amp;$E42)+$HM42</f>
        <v/>
      </c>
      <c r="HO42" s="56">
        <f>IFERROR(IF(($HI42)&gt;0,($HL42*cfg_TroyOz)/($HI42),""),"")</f>
        <v/>
      </c>
      <c r="HP42" s="56">
        <f>IFERROR(IF(($HJ42)&gt;0,($HM42*cfg_TroyOz)/($HJ42),""),"")</f>
        <v/>
      </c>
      <c r="HQ42" s="56">
        <f>IFERROR(IF(($HK42)&gt;0,($HN42*cfg_TroyOz)/($HK42),""),"")</f>
        <v/>
      </c>
      <c r="HR42" s="55">
        <f>SUMIFS(tblBudget[Waste_t],tblBudget[Month],$E42)</f>
        <v/>
      </c>
      <c r="HS42" s="55">
        <f>$HR42*$C42/$D42</f>
        <v/>
      </c>
      <c r="HT42" s="55">
        <f>SUMIFS(tblBudget[Waste_t],tblBudget[Month],"&lt;"&amp;$E42)+$HS42</f>
        <v/>
      </c>
      <c r="HU42" s="55">
        <f>SUMIFS(tblBudget[TMM_t],tblBudget[Month],$E42)</f>
        <v/>
      </c>
      <c r="HV42" s="55">
        <f>$HU42*$C42/$D42</f>
        <v/>
      </c>
      <c r="HW42" s="55">
        <f>SUMIFS(tblBudget[TMM_t],tblBudget[Month],"&lt;"&amp;$E42)+$HV42</f>
        <v/>
      </c>
      <c r="HX42" s="56">
        <f>IFERROR(IF(($HI42)&gt;0,($HR42)/($HI42),""),"")</f>
        <v/>
      </c>
      <c r="HY42" s="56">
        <f>IFERROR(IF(($HJ42)&gt;0,($HS42)/($HJ42),""),"")</f>
        <v/>
      </c>
      <c r="HZ42" s="56">
        <f>IFERROR(IF(($HK42)&gt;0,($HT42)/($HK42),""),"")</f>
        <v/>
      </c>
      <c r="IA42" s="55">
        <f>SUMIFS(tblBudget[Drill_m],tblBudget[Month],$E42)</f>
        <v/>
      </c>
      <c r="IB42" s="55">
        <f>$IA42*$C42/$D42</f>
        <v/>
      </c>
      <c r="IC42" s="55">
        <f>SUMIFS(tblBudget[Drill_m],tblBudget[Month],"&lt;"&amp;$E42)+$IB42</f>
        <v/>
      </c>
      <c r="ID42" s="55">
        <f>SUMIFS(tblBudget[Diesel_L],tblBudget[Month],$E42)</f>
        <v/>
      </c>
      <c r="IE42" s="55">
        <f>$ID42*$C42/$D42</f>
        <v/>
      </c>
      <c r="IF42" s="55">
        <f>SUMIFS(tblBudget[Diesel_L],tblBudget[Month],"&lt;"&amp;$E42)+$IE42</f>
        <v/>
      </c>
      <c r="IG42" s="55">
        <f>SUMIFS(tblBudget[Milled_t],tblBudget[Month],$E42)</f>
        <v/>
      </c>
      <c r="IH42" s="55">
        <f>$IG42*$C42/$D42</f>
        <v/>
      </c>
      <c r="II42" s="55">
        <f>SUMIFS(tblBudget[Milled_t],tblBudget[Month],"&lt;"&amp;$E42)+$IH42</f>
        <v/>
      </c>
      <c r="IJ42" s="55">
        <f>SUMIFS(tblBudget[Feed_oz],tblBudget[Month],$E42)</f>
        <v/>
      </c>
      <c r="IK42" s="55">
        <f>$IJ42*$C42/$D42</f>
        <v/>
      </c>
      <c r="IL42" s="55">
        <f>SUMIFS(tblBudget[Feed_oz],tblBudget[Month],"&lt;"&amp;$E42)+$IK42</f>
        <v/>
      </c>
      <c r="IM42" s="55">
        <f>SUMIFS(tblBudget[Recovered_oz],tblBudget[Month],$E42)</f>
        <v/>
      </c>
      <c r="IN42" s="55">
        <f>$IM42*$C42/$D42</f>
        <v/>
      </c>
      <c r="IO42" s="55">
        <f>SUMIFS(tblBudget[Recovered_oz],tblBudget[Month],"&lt;"&amp;$E42)+$IN42</f>
        <v/>
      </c>
      <c r="IP42" s="56">
        <f>IFERROR(IF(($IG42)&gt;0,($IJ42*cfg_TroyOz)/($IG42),""),"")</f>
        <v/>
      </c>
      <c r="IQ42" s="56">
        <f>IFERROR(IF(($IH42)&gt;0,($IK42*cfg_TroyOz)/($IH42),""),"")</f>
        <v/>
      </c>
      <c r="IR42" s="56">
        <f>IFERROR(IF(($II42)&gt;0,($IL42*cfg_TroyOz)/($II42),""),"")</f>
        <v/>
      </c>
      <c r="IS42" s="67">
        <f>IFERROR(IF(($IJ42)&gt;0,($IM42)/($IJ42),""),"")</f>
        <v/>
      </c>
      <c r="IT42" s="67">
        <f>IFERROR(IF(($IK42)&gt;0,($IN42)/($IK42),""),"")</f>
        <v/>
      </c>
      <c r="IU42" s="67">
        <f>IFERROR(IF(($IL42)&gt;0,($IO42)/($IL42),""),"")</f>
        <v/>
      </c>
      <c r="IV42" s="55">
        <f>SUMIFS(tblBudget[Gold_Poured_oz],tblBudget[Month],$E42)</f>
        <v/>
      </c>
      <c r="IW42" s="55">
        <f>$IV42*$C42/$D42</f>
        <v/>
      </c>
      <c r="IX42" s="55">
        <f>SUMIFS(tblBudget[Gold_Poured_oz],tblBudget[Month],"&lt;"&amp;$E42)+$IW42</f>
        <v/>
      </c>
      <c r="IY42" s="57">
        <f>SUMIFS(tblBudget[Hours_Worked],tblBudget[Month],$E42)</f>
        <v/>
      </c>
      <c r="IZ42" s="57">
        <f>$IY42*$C42/$D42</f>
        <v/>
      </c>
      <c r="JA42" s="57">
        <f>SUMIFS(tblBudget[Hours_Worked],tblBudget[Month],"&lt;"&amp;$E42)+$IZ42</f>
        <v/>
      </c>
    </row>
    <row r="43">
      <c r="A43" s="54" t="n">
        <v>46064</v>
      </c>
      <c r="B43">
        <f>MONTH($A43)</f>
        <v/>
      </c>
      <c r="C43">
        <f>DAY($A43)</f>
        <v/>
      </c>
      <c r="D43">
        <f>DAY(EOMONTH($A43,0))</f>
        <v/>
      </c>
      <c r="E43" s="54">
        <f>DATE(YEAR($A43),MONTH($A43),1)</f>
        <v/>
      </c>
      <c r="F43" s="55">
        <f>SUMIFS(tblMovement[Tonnes_t],tblMovement[Date],$A43,tblMovement[Is_Ore],1,tblMovement[Source_Type],"Pit")</f>
        <v/>
      </c>
      <c r="G43" s="55">
        <f>IF($B43=$B42,$G42,0)+$F43</f>
        <v/>
      </c>
      <c r="H43" s="55">
        <f>$H42+$F43</f>
        <v/>
      </c>
      <c r="I43" s="55">
        <f>SUMIFS(tblMovement[Ore_oz],tblMovement[Date],$A43,tblMovement[Source_Type],"Pit")</f>
        <v/>
      </c>
      <c r="J43" s="55">
        <f>IF($B43=$B42,$J42,0)+$I43</f>
        <v/>
      </c>
      <c r="K43" s="55">
        <f>$K42+$I43</f>
        <v/>
      </c>
      <c r="L43" s="56">
        <f>IFERROR(IF(($F43)&gt;0,($I43*cfg_TroyOz)/($F43),""),"")</f>
        <v/>
      </c>
      <c r="M43" s="56">
        <f>IFERROR(IF(($G43)&gt;0,($J43*cfg_TroyOz)/($G43),""),"")</f>
        <v/>
      </c>
      <c r="N43" s="56">
        <f>IFERROR(IF(($H43)&gt;0,($K43*cfg_TroyOz)/($H43),""),"")</f>
        <v/>
      </c>
      <c r="O43" s="55">
        <f>SUMIFS(tblMovement[Tonnes_t],tblMovement[Date],$A43,tblMovement[Is_Ore],0,tblMovement[Source_Type],"Pit")</f>
        <v/>
      </c>
      <c r="P43" s="55">
        <f>IF($B43=$B42,$P42,0)+$O43</f>
        <v/>
      </c>
      <c r="Q43" s="55">
        <f>$Q42+$O43</f>
        <v/>
      </c>
      <c r="R43" s="55">
        <f>$F43+$O43</f>
        <v/>
      </c>
      <c r="S43" s="55">
        <f>IF($B43=$B42,$S42,0)+$R43</f>
        <v/>
      </c>
      <c r="T43" s="55">
        <f>$T42+$R43</f>
        <v/>
      </c>
      <c r="U43" s="56">
        <f>IFERROR(IF(($F43)&gt;0,($O43)/($F43),""),"")</f>
        <v/>
      </c>
      <c r="V43" s="56">
        <f>IFERROR(IF(($G43)&gt;0,($P43)/($G43),""),"")</f>
        <v/>
      </c>
      <c r="W43" s="56">
        <f>IFERROR(IF(($H43)&gt;0,($Q43)/($H43),""),"")</f>
        <v/>
      </c>
      <c r="X43" s="55">
        <f>SUMIFS(tblMovement[Tonnes_t],tblMovement[Date],$A43,tblMovement[Source_Type],"Stockpile")</f>
        <v/>
      </c>
      <c r="Y43" s="55">
        <f>IF($B43=$B42,$Y42,0)+$X43</f>
        <v/>
      </c>
      <c r="Z43" s="55">
        <f>$Z42+$X43</f>
        <v/>
      </c>
      <c r="AA43" s="55">
        <f>SUMIFS(tblMiningDaily[Drill_m],tblMiningDaily[Date],$A43)</f>
        <v/>
      </c>
      <c r="AB43" s="55">
        <f>IF($B43=$B42,$AB42,0)+$AA43</f>
        <v/>
      </c>
      <c r="AC43" s="55">
        <f>$AC42+$AA43</f>
        <v/>
      </c>
      <c r="AD43" s="55">
        <f>SUMIFS(tblMiningDaily[Blast_t],tblMiningDaily[Date],$A43)</f>
        <v/>
      </c>
      <c r="AE43" s="55">
        <f>IF($B43=$B42,$AE42,0)+$AD43</f>
        <v/>
      </c>
      <c r="AF43" s="55">
        <f>$AF42+$AD43</f>
        <v/>
      </c>
      <c r="AG43" s="55">
        <f>SUMIFS(tblMiningDaily[Explosives_kg],tblMiningDaily[Date],$A43)</f>
        <v/>
      </c>
      <c r="AH43" s="55">
        <f>IF($B43=$B42,$AH42,0)+$AG43</f>
        <v/>
      </c>
      <c r="AI43" s="55">
        <f>$AI42+$AG43</f>
        <v/>
      </c>
      <c r="AJ43" s="56">
        <f>IFERROR(IF(($AD43)&gt;0,($AG43)/($AD43),""),"")</f>
        <v/>
      </c>
      <c r="AK43" s="56">
        <f>IFERROR(IF(($AE43)&gt;0,($AH43)/($AE43),""),"")</f>
        <v/>
      </c>
      <c r="AL43" s="56">
        <f>IFERROR(IF(($AF43)&gt;0,($AI43)/($AF43),""),"")</f>
        <v/>
      </c>
      <c r="AM43" s="55">
        <f>SUMIFS(tblMiningDaily[Diesel_L],tblMiningDaily[Date],$A43)</f>
        <v/>
      </c>
      <c r="AN43" s="55">
        <f>IF($B43=$B42,$AN42,0)+$AM43</f>
        <v/>
      </c>
      <c r="AO43" s="55">
        <f>$AO42+$AM43</f>
        <v/>
      </c>
      <c r="AP43" s="55">
        <f>SUMIFS(tblMiningDaily[Dewatering_m3],tblMiningDaily[Date],$A43)</f>
        <v/>
      </c>
      <c r="AQ43" s="55">
        <f>IF($B43=$B42,$AQ42,0)+$AP43</f>
        <v/>
      </c>
      <c r="AR43" s="55">
        <f>$AR42+$AP43</f>
        <v/>
      </c>
      <c r="AS43" s="57">
        <f>SUMIFS(tblFleet[Calendar_h],tblFleet[Date],$A43,tblFleet[Equipment_Class],"Excavator")</f>
        <v/>
      </c>
      <c r="AT43" s="57">
        <f>IF($B43=$B42,$AT42,0)+$AS43</f>
        <v/>
      </c>
      <c r="AU43" s="57">
        <f>$AU42+$AS43</f>
        <v/>
      </c>
      <c r="AV43" s="57">
        <f>SUMIFS(tblFleet[Available_h],tblFleet[Date],$A43,tblFleet[Equipment_Class],"Excavator")</f>
        <v/>
      </c>
      <c r="AW43" s="57">
        <f>IF($B43=$B42,$AW42,0)+$AV43</f>
        <v/>
      </c>
      <c r="AX43" s="57">
        <f>$AX42+$AV43</f>
        <v/>
      </c>
      <c r="AY43" s="57">
        <f>SUMIFS(tblFleet[Operating_h],tblFleet[Date],$A43,tblFleet[Equipment_Class],"Excavator")</f>
        <v/>
      </c>
      <c r="AZ43" s="57">
        <f>IF($B43=$B42,$AZ42,0)+$AY43</f>
        <v/>
      </c>
      <c r="BA43" s="57">
        <f>$BA42+$AY43</f>
        <v/>
      </c>
      <c r="BB43" s="67">
        <f>IFERROR(IF(($AS43)&gt;0,($AV43)/($AS43),""),"")</f>
        <v/>
      </c>
      <c r="BC43" s="67">
        <f>IFERROR(IF(($AT43)&gt;0,($AW43)/($AT43),""),"")</f>
        <v/>
      </c>
      <c r="BD43" s="67">
        <f>IFERROR(IF(($AU43)&gt;0,($AX43)/($AU43),""),"")</f>
        <v/>
      </c>
      <c r="BE43" s="67">
        <f>IFERROR(IF(($AV43)&gt;0,($AY43)/($AV43),""),"")</f>
        <v/>
      </c>
      <c r="BF43" s="67">
        <f>IFERROR(IF(($AW43)&gt;0,($AZ43)/($AW43),""),"")</f>
        <v/>
      </c>
      <c r="BG43" s="67">
        <f>IFERROR(IF(($AX43)&gt;0,($BA43)/($AX43),""),"")</f>
        <v/>
      </c>
      <c r="BH43" s="57">
        <f>SUMIFS(tblFleet[Calendar_h],tblFleet[Date],$A43,tblFleet[Equipment_Class],"Haul Truck")</f>
        <v/>
      </c>
      <c r="BI43" s="57">
        <f>IF($B43=$B42,$BI42,0)+$BH43</f>
        <v/>
      </c>
      <c r="BJ43" s="57">
        <f>$BJ42+$BH43</f>
        <v/>
      </c>
      <c r="BK43" s="57">
        <f>SUMIFS(tblFleet[Available_h],tblFleet[Date],$A43,tblFleet[Equipment_Class],"Haul Truck")</f>
        <v/>
      </c>
      <c r="BL43" s="57">
        <f>IF($B43=$B42,$BL42,0)+$BK43</f>
        <v/>
      </c>
      <c r="BM43" s="57">
        <f>$BM42+$BK43</f>
        <v/>
      </c>
      <c r="BN43" s="57">
        <f>SUMIFS(tblFleet[Operating_h],tblFleet[Date],$A43,tblFleet[Equipment_Class],"Haul Truck")</f>
        <v/>
      </c>
      <c r="BO43" s="57">
        <f>IF($B43=$B42,$BO42,0)+$BN43</f>
        <v/>
      </c>
      <c r="BP43" s="57">
        <f>$BP42+$BN43</f>
        <v/>
      </c>
      <c r="BQ43" s="67">
        <f>IFERROR(IF(($BH43)&gt;0,($BK43)/($BH43),""),"")</f>
        <v/>
      </c>
      <c r="BR43" s="67">
        <f>IFERROR(IF(($BI43)&gt;0,($BL43)/($BI43),""),"")</f>
        <v/>
      </c>
      <c r="BS43" s="67">
        <f>IFERROR(IF(($BJ43)&gt;0,($BM43)/($BJ43),""),"")</f>
        <v/>
      </c>
      <c r="BT43" s="67">
        <f>IFERROR(IF(($BK43)&gt;0,($BN43)/($BK43),""),"")</f>
        <v/>
      </c>
      <c r="BU43" s="67">
        <f>IFERROR(IF(($BL43)&gt;0,($BO43)/($BL43),""),"")</f>
        <v/>
      </c>
      <c r="BV43" s="67">
        <f>IFERROR(IF(($BM43)&gt;0,($BP43)/($BM43),""),"")</f>
        <v/>
      </c>
      <c r="BW43" s="55">
        <f>SUMIFS(tblPlant[Crushed_t],tblPlant[Date],$A43)</f>
        <v/>
      </c>
      <c r="BX43" s="55">
        <f>IF($B43=$B42,$BX42,0)+$BW43</f>
        <v/>
      </c>
      <c r="BY43" s="55">
        <f>$BY42+$BW43</f>
        <v/>
      </c>
      <c r="BZ43" s="55">
        <f>SUMIFS(tblPlant[Milled_t],tblPlant[Date],$A43)</f>
        <v/>
      </c>
      <c r="CA43" s="55">
        <f>IF($B43=$B42,$CA42,0)+$BZ43</f>
        <v/>
      </c>
      <c r="CB43" s="55">
        <f>$CB42+$BZ43</f>
        <v/>
      </c>
      <c r="CC43" s="55">
        <f>SUMIFS(tblPlant[Feed_oz],tblPlant[Date],$A43)</f>
        <v/>
      </c>
      <c r="CD43" s="55">
        <f>IF($B43=$B42,$CD42,0)+$CC43</f>
        <v/>
      </c>
      <c r="CE43" s="55">
        <f>$CE42+$CC43</f>
        <v/>
      </c>
      <c r="CF43" s="55">
        <f>SUMIFS(tblPlant[Tails_oz],tblPlant[Date],$A43)</f>
        <v/>
      </c>
      <c r="CG43" s="55">
        <f>IF($B43=$B42,$CG42,0)+$CF43</f>
        <v/>
      </c>
      <c r="CH43" s="55">
        <f>$CH42+$CF43</f>
        <v/>
      </c>
      <c r="CI43" s="55">
        <f>SUMIFS(tblPlant[Recovered_oz],tblPlant[Date],$A43)</f>
        <v/>
      </c>
      <c r="CJ43" s="55">
        <f>IF($B43=$B42,$CJ42,0)+$CI43</f>
        <v/>
      </c>
      <c r="CK43" s="55">
        <f>$CK42+$CI43</f>
        <v/>
      </c>
      <c r="CL43" s="56">
        <f>IFERROR(IF(($BZ43)&gt;0,($CC43*cfg_TroyOz)/($BZ43),""),"")</f>
        <v/>
      </c>
      <c r="CM43" s="56">
        <f>IFERROR(IF(($CA43)&gt;0,($CD43*cfg_TroyOz)/($CA43),""),"")</f>
        <v/>
      </c>
      <c r="CN43" s="56">
        <f>IFERROR(IF(($CB43)&gt;0,($CE43*cfg_TroyOz)/($CB43),""),"")</f>
        <v/>
      </c>
      <c r="CO43" s="56">
        <f>IFERROR(IF(($BZ43)&gt;0,($CF43*cfg_TroyOz)/($BZ43),""),"")</f>
        <v/>
      </c>
      <c r="CP43" s="56">
        <f>IFERROR(IF(($CA43)&gt;0,($CG43*cfg_TroyOz)/($CA43),""),"")</f>
        <v/>
      </c>
      <c r="CQ43" s="56">
        <f>IFERROR(IF(($CB43)&gt;0,($CH43*cfg_TroyOz)/($CB43),""),"")</f>
        <v/>
      </c>
      <c r="CR43" s="67">
        <f>IFERROR(IF(($CC43)&gt;0,($CI43)/($CC43),""),"")</f>
        <v/>
      </c>
      <c r="CS43" s="67">
        <f>IFERROR(IF(($CD43)&gt;0,($CJ43)/($CD43),""),"")</f>
        <v/>
      </c>
      <c r="CT43" s="67">
        <f>IFERROR(IF(($CE43)&gt;0,($CK43)/($CE43),""),"")</f>
        <v/>
      </c>
      <c r="CU43" s="55">
        <f>SUMIFS(tblPlant[Gravity_Gold_oz],tblPlant[Date],$A43)</f>
        <v/>
      </c>
      <c r="CV43" s="55">
        <f>IF($B43=$B42,$CV42,0)+$CU43</f>
        <v/>
      </c>
      <c r="CW43" s="55">
        <f>$CW42+$CU43</f>
        <v/>
      </c>
      <c r="CX43" s="55">
        <f>SUMIFS(tblPlant[Gold_Poured_oz],tblPlant[Date],$A43)</f>
        <v/>
      </c>
      <c r="CY43" s="55">
        <f>IF($B43=$B42,$CY42,0)+$CX43</f>
        <v/>
      </c>
      <c r="CZ43" s="55">
        <f>$CZ42+$CX43</f>
        <v/>
      </c>
      <c r="DA43" s="57">
        <f>SUMIFS(tblPlant[Mill_Run_h],tblPlant[Date],$A43)</f>
        <v/>
      </c>
      <c r="DB43" s="57">
        <f>IF($B43=$B42,$DB42,0)+$DA43</f>
        <v/>
      </c>
      <c r="DC43" s="57">
        <f>$DC42+$DA43</f>
        <v/>
      </c>
      <c r="DD43" s="57">
        <f>SUMIFS(tblPlant[Mill_Planned_Maint_h],tblPlant[Date],$A43)</f>
        <v/>
      </c>
      <c r="DE43" s="57">
        <f>IF($B43=$B42,$DE42,0)+$DD43</f>
        <v/>
      </c>
      <c r="DF43" s="57">
        <f>$DF42+$DD43</f>
        <v/>
      </c>
      <c r="DG43" s="57">
        <f>SUMIFS(tblPlant[Mill_Unplanned_Down_h],tblPlant[Date],$A43)</f>
        <v/>
      </c>
      <c r="DH43" s="57">
        <f>IF($B43=$B42,$DH42,0)+$DG43</f>
        <v/>
      </c>
      <c r="DI43" s="57">
        <f>$DI42+$DG43</f>
        <v/>
      </c>
      <c r="DJ43" s="57">
        <f>COUNTIFS(tblPlant[Date],$A43,tblPlant[Mill_Run_h],"&lt;&gt;")*24</f>
        <v/>
      </c>
      <c r="DK43" s="57">
        <f>IF($B43=$B42,$DK42,0)+$DJ43</f>
        <v/>
      </c>
      <c r="DL43" s="57">
        <f>$DL42+$DJ43</f>
        <v/>
      </c>
      <c r="DM43" s="57">
        <f>SUMIFS(tblPlant[Crusher_Run_h],tblPlant[Date],$A43)</f>
        <v/>
      </c>
      <c r="DN43" s="57">
        <f>IF($B43=$B42,$DN42,0)+$DM43</f>
        <v/>
      </c>
      <c r="DO43" s="57">
        <f>$DO42+$DM43</f>
        <v/>
      </c>
      <c r="DP43" s="55">
        <f>IFERROR(IF(($DA43)&gt;0,($BZ43)/($DA43),""),"")</f>
        <v/>
      </c>
      <c r="DQ43" s="55">
        <f>IFERROR(IF(($DB43)&gt;0,($CA43)/($DB43),""),"")</f>
        <v/>
      </c>
      <c r="DR43" s="55">
        <f>IFERROR(IF(($DC43)&gt;0,($CB43)/($DC43),""),"")</f>
        <v/>
      </c>
      <c r="DS43" s="67">
        <f>IFERROR(IF(($DJ43)&gt;0,($DJ43-$DD43-$DG43)/($DJ43),""),"")</f>
        <v/>
      </c>
      <c r="DT43" s="67">
        <f>IFERROR(IF(($DK43)&gt;0,($DK43-$DE43-$DH43)/($DK43),""),"")</f>
        <v/>
      </c>
      <c r="DU43" s="67">
        <f>IFERROR(IF(($DL43)&gt;0,($DL43-$DF43-$DI43)/($DL43),""),"")</f>
        <v/>
      </c>
      <c r="DV43" s="67">
        <f>IFERROR(IF(($DJ43-$DD43-$DG43)&gt;0,($DA43)/($DJ43-$DD43-$DG43),""),"")</f>
        <v/>
      </c>
      <c r="DW43" s="67">
        <f>IFERROR(IF(($DK43-$DE43-$DH43)&gt;0,($DB43)/($DK43-$DE43-$DH43),""),"")</f>
        <v/>
      </c>
      <c r="DX43" s="67">
        <f>IFERROR(IF(($DL43-$DF43-$DI43)&gt;0,($DC43)/($DL43-$DF43-$DI43),""),"")</f>
        <v/>
      </c>
      <c r="DY43" s="55">
        <f>SUMIFS(tblPlant[Cyanide_kg],tblPlant[Date],$A43)</f>
        <v/>
      </c>
      <c r="DZ43" s="55">
        <f>IF($B43=$B42,$DZ42,0)+$DY43</f>
        <v/>
      </c>
      <c r="EA43" s="55">
        <f>$EA42+$DY43</f>
        <v/>
      </c>
      <c r="EB43" s="55">
        <f>SUMIFS(tblPlant[Lime_kg],tblPlant[Date],$A43)</f>
        <v/>
      </c>
      <c r="EC43" s="55">
        <f>IF($B43=$B42,$EC42,0)+$EB43</f>
        <v/>
      </c>
      <c r="ED43" s="55">
        <f>$ED42+$EB43</f>
        <v/>
      </c>
      <c r="EE43" s="55">
        <f>SUMIFS(tblPlant[Grinding_Media_kg],tblPlant[Date],$A43)</f>
        <v/>
      </c>
      <c r="EF43" s="55">
        <f>IF($B43=$B42,$EF42,0)+$EE43</f>
        <v/>
      </c>
      <c r="EG43" s="55">
        <f>$EG42+$EE43</f>
        <v/>
      </c>
      <c r="EH43" s="55">
        <f>SUMIFS(tblPlant[Power_kWh],tblPlant[Date],$A43)</f>
        <v/>
      </c>
      <c r="EI43" s="55">
        <f>IF($B43=$B42,$EI42,0)+$EH43</f>
        <v/>
      </c>
      <c r="EJ43" s="55">
        <f>$EJ42+$EH43</f>
        <v/>
      </c>
      <c r="EK43" s="55">
        <f>SUMIFS(tblPlant[Raw_Water_m3],tblPlant[Date],$A43)</f>
        <v/>
      </c>
      <c r="EL43" s="55">
        <f>IF($B43=$B42,$EL42,0)+$EK43</f>
        <v/>
      </c>
      <c r="EM43" s="55">
        <f>$EM42+$EK43</f>
        <v/>
      </c>
      <c r="EN43" s="56">
        <f>IFERROR(IF(($BZ43)&gt;0,($DY43)/($BZ43),""),"")</f>
        <v/>
      </c>
      <c r="EO43" s="56">
        <f>IFERROR(IF(($CA43)&gt;0,($DZ43)/($CA43),""),"")</f>
        <v/>
      </c>
      <c r="EP43" s="56">
        <f>IFERROR(IF(($CB43)&gt;0,($EA43)/($CB43),""),"")</f>
        <v/>
      </c>
      <c r="EQ43" s="56">
        <f>IFERROR(IF(($BZ43)&gt;0,($EB43)/($BZ43),""),"")</f>
        <v/>
      </c>
      <c r="ER43" s="56">
        <f>IFERROR(IF(($CA43)&gt;0,($EC43)/($CA43),""),"")</f>
        <v/>
      </c>
      <c r="ES43" s="56">
        <f>IFERROR(IF(($CB43)&gt;0,($ED43)/($CB43),""),"")</f>
        <v/>
      </c>
      <c r="ET43" s="56">
        <f>IFERROR(IF(($BZ43)&gt;0,($EE43)/($BZ43),""),"")</f>
        <v/>
      </c>
      <c r="EU43" s="56">
        <f>IFERROR(IF(($CA43)&gt;0,($EF43)/($CA43),""),"")</f>
        <v/>
      </c>
      <c r="EV43" s="56">
        <f>IFERROR(IF(($CB43)&gt;0,($EG43)/($CB43),""),"")</f>
        <v/>
      </c>
      <c r="EW43" s="76">
        <f>IFERROR(IF(($BZ43)&gt;0,($EH43)/($BZ43),""),"")</f>
        <v/>
      </c>
      <c r="EX43" s="76">
        <f>IFERROR(IF(($CA43)&gt;0,($EI43)/($CA43),""),"")</f>
        <v/>
      </c>
      <c r="EY43" s="76">
        <f>IFERROR(IF(($CB43)&gt;0,($EJ43)/($CB43),""),"")</f>
        <v/>
      </c>
      <c r="EZ43" s="56">
        <f>IFERROR(IF(($BZ43)&gt;0,($EK43)/($BZ43),""),"")</f>
        <v/>
      </c>
      <c r="FA43" s="56">
        <f>IFERROR(IF(($CA43)&gt;0,($EL43)/($CA43),""),"")</f>
        <v/>
      </c>
      <c r="FB43" s="56">
        <f>IFERROR(IF(($CB43)&gt;0,($EM43)/($CB43),""),"")</f>
        <v/>
      </c>
      <c r="FC43" s="55">
        <f>IF(SUMIFS(tblPlant[GIC_oz],tblPlant[Date],$A43)&gt;0,SUMIFS(tblPlant[GIC_oz],tblPlant[Date],$A43),"")</f>
        <v/>
      </c>
      <c r="FD43" s="55">
        <f>SUMIFS(tblGold[Gold_oz],tblGold[Date],$A43,tblGold[Type],"Shipment")</f>
        <v/>
      </c>
      <c r="FE43" s="55">
        <f>IF($B43=$B42,$FE42,0)+$FD43</f>
        <v/>
      </c>
      <c r="FF43" s="55">
        <f>$FF42+$FD43</f>
        <v/>
      </c>
      <c r="FG43" s="55">
        <f>SUMIFS(tblGold[Gold_oz],tblGold[Date],$A43,tblGold[Type],"Sale")</f>
        <v/>
      </c>
      <c r="FH43" s="55">
        <f>IF($B43=$B42,$FH42,0)+$FG43</f>
        <v/>
      </c>
      <c r="FI43" s="55">
        <f>$FI42+$FG43</f>
        <v/>
      </c>
      <c r="FJ43" s="55">
        <f>SUMIFS(tblGold[Dore_kg],tblGold[Date],$A43,tblGold[Type],"Shipment")</f>
        <v/>
      </c>
      <c r="FK43" s="55">
        <f>IF($B43=$B42,$FK42,0)+$FJ43</f>
        <v/>
      </c>
      <c r="FL43" s="55">
        <f>$FL42+$FJ43</f>
        <v/>
      </c>
      <c r="FM43" s="57">
        <f>SUMIFS(tblSafety[Hours_Total],tblSafety[Date],$A43)</f>
        <v/>
      </c>
      <c r="FN43" s="57">
        <f>IF($B43=$B42,$FN42,0)+$FM43</f>
        <v/>
      </c>
      <c r="FO43" s="57">
        <f>$FO42+$FM43</f>
        <v/>
      </c>
      <c r="FP43" s="62">
        <f>SUMIFS(tblSafety[Fatality],tblSafety[Date],$A43)</f>
        <v/>
      </c>
      <c r="FQ43" s="62">
        <f>IF($B43=$B42,$FQ42,0)+$FP43</f>
        <v/>
      </c>
      <c r="FR43" s="62">
        <f>$FR42+$FP43</f>
        <v/>
      </c>
      <c r="FS43" s="62">
        <f>SUMIFS(tblSafety[LTI],tblSafety[Date],$A43)</f>
        <v/>
      </c>
      <c r="FT43" s="62">
        <f>IF($B43=$B42,$FT42,0)+$FS43</f>
        <v/>
      </c>
      <c r="FU43" s="62">
        <f>$FU42+$FS43</f>
        <v/>
      </c>
      <c r="FV43" s="62">
        <f>SUMIFS(tblSafety[RWI],tblSafety[Date],$A43)</f>
        <v/>
      </c>
      <c r="FW43" s="62">
        <f>IF($B43=$B42,$FW42,0)+$FV43</f>
        <v/>
      </c>
      <c r="FX43" s="62">
        <f>$FX42+$FV43</f>
        <v/>
      </c>
      <c r="FY43" s="62">
        <f>SUMIFS(tblSafety[MTI],tblSafety[Date],$A43)</f>
        <v/>
      </c>
      <c r="FZ43" s="62">
        <f>IF($B43=$B42,$FZ42,0)+$FY43</f>
        <v/>
      </c>
      <c r="GA43" s="62">
        <f>$GA42+$FY43</f>
        <v/>
      </c>
      <c r="GB43" s="62">
        <f>SUMIFS(tblSafety[FAI],tblSafety[Date],$A43)</f>
        <v/>
      </c>
      <c r="GC43" s="62">
        <f>IF($B43=$B42,$GC42,0)+$GB43</f>
        <v/>
      </c>
      <c r="GD43" s="62">
        <f>$GD42+$GB43</f>
        <v/>
      </c>
      <c r="GE43" s="62">
        <f>SUMIFS(tblSafety[Recordables],tblSafety[Date],$A43)</f>
        <v/>
      </c>
      <c r="GF43" s="62">
        <f>IF($B43=$B42,$GF42,0)+$GE43</f>
        <v/>
      </c>
      <c r="GG43" s="62">
        <f>$GG42+$GE43</f>
        <v/>
      </c>
      <c r="GH43" s="62">
        <f>SUMIFS(tblSafety[Near_Miss],tblSafety[Date],$A43)</f>
        <v/>
      </c>
      <c r="GI43" s="62">
        <f>IF($B43=$B42,$GI42,0)+$GH43</f>
        <v/>
      </c>
      <c r="GJ43" s="62">
        <f>$GJ42+$GH43</f>
        <v/>
      </c>
      <c r="GK43" s="62">
        <f>SUMIFS(tblSafety[Hazard_Reports],tblSafety[Date],$A43)</f>
        <v/>
      </c>
      <c r="GL43" s="62">
        <f>IF($B43=$B42,$GL42,0)+$GK43</f>
        <v/>
      </c>
      <c r="GM43" s="62">
        <f>$GM42+$GK43</f>
        <v/>
      </c>
      <c r="GN43" s="62">
        <f>SUMIFS(tblSafety[HPI],tblSafety[Date],$A43)</f>
        <v/>
      </c>
      <c r="GO43" s="62">
        <f>IF($B43=$B42,$GO42,0)+$GN43</f>
        <v/>
      </c>
      <c r="GP43" s="62">
        <f>$GP42+$GN43</f>
        <v/>
      </c>
      <c r="GQ43" s="62">
        <f>SUMIFS(tblSafety[Env_Incidents],tblSafety[Date],$A43)</f>
        <v/>
      </c>
      <c r="GR43" s="62">
        <f>IF($B43=$B42,$GR42,0)+$GQ43</f>
        <v/>
      </c>
      <c r="GS43" s="62">
        <f>$GS42+$GQ43</f>
        <v/>
      </c>
      <c r="GT43" s="62">
        <f>SUMIFS(tblSafety[Community_Incidents],tblSafety[Date],$A43)</f>
        <v/>
      </c>
      <c r="GU43" s="62">
        <f>IF($B43=$B42,$GU42,0)+$GT43</f>
        <v/>
      </c>
      <c r="GV43" s="62">
        <f>$GV42+$GT43</f>
        <v/>
      </c>
      <c r="GW43" s="62">
        <f>SUMIFS(tblSafety[Vehicle_Incidents],tblSafety[Date],$A43)</f>
        <v/>
      </c>
      <c r="GX43" s="62">
        <f>IF($B43=$B42,$GX42,0)+$GW43</f>
        <v/>
      </c>
      <c r="GY43" s="62">
        <f>$GY42+$GW43</f>
        <v/>
      </c>
      <c r="GZ43" s="62">
        <f>SUMIFS(tblSafety[Toolbox_Talks],tblSafety[Date],$A43)</f>
        <v/>
      </c>
      <c r="HA43" s="62">
        <f>IF($B43=$B42,$HA42,0)+$GZ43</f>
        <v/>
      </c>
      <c r="HB43" s="62">
        <f>$HB42+$GZ43</f>
        <v/>
      </c>
      <c r="HC43" s="62">
        <f>SUMIFS(tblSafety[Inspections],tblSafety[Date],$A43)</f>
        <v/>
      </c>
      <c r="HD43" s="62">
        <f>IF($B43=$B42,$HD42,0)+$HC43</f>
        <v/>
      </c>
      <c r="HE43" s="62">
        <f>$HE42+$HC43</f>
        <v/>
      </c>
      <c r="HF43" s="56">
        <f>IFERROR((SUMIFS(tblSafety[Recordables],tblSafety[Date],"&gt;="&amp;EDATE($E43,-12),tblSafety[Date],"&lt;="&amp;$A43)+SUMIFS(tblSafetyHistory[Recordables],tblSafetyHistory[Month],"&gt;="&amp;EDATE($E43,-12),tblSafetyHistory[Month],"&lt;"&amp;cfg_YearStart))/(SUMIFS(tblSafety[Hours_Total],tblSafety[Date],"&gt;="&amp;EDATE($E43,-12),tblSafety[Date],"&lt;="&amp;$A43)+SUMIFS(tblSafetyHistory[Hours_Total],tblSafetyHistory[Month],"&gt;="&amp;EDATE($E43,-12),tblSafetyHistory[Month],"&lt;"&amp;cfg_YearStart))*1000000,"")</f>
        <v/>
      </c>
      <c r="HG43" s="56">
        <f>IFERROR((SUMIFS(tblSafety[LTI],tblSafety[Date],"&gt;="&amp;EDATE($E43,-12),tblSafety[Date],"&lt;="&amp;$A43)+SUMIFS(tblSafetyHistory[LTI],tblSafetyHistory[Month],"&gt;="&amp;EDATE($E43,-12),tblSafetyHistory[Month],"&lt;"&amp;cfg_YearStart))/(SUMIFS(tblSafety[Hours_Total],tblSafety[Date],"&gt;="&amp;EDATE($E43,-12),tblSafety[Date],"&lt;="&amp;$A43)+SUMIFS(tblSafetyHistory[Hours_Total],tblSafetyHistory[Month],"&gt;="&amp;EDATE($E43,-12),tblSafetyHistory[Month],"&lt;"&amp;cfg_YearStart))*1000000,"")</f>
        <v/>
      </c>
      <c r="HH43" s="62">
        <f>IF(MAX(N(cfg_PriorLTIDate),_xlfn.MAXIFS(tblSafety[Date],tblSafety[LTI],"&gt;0",tblSafety[Date],"&lt;="&amp;$A43))=0,"",$A43-MAX(N(cfg_PriorLTIDate),_xlfn.MAXIFS(tblSafety[Date],tblSafety[LTI],"&gt;0",tblSafety[Date],"&lt;="&amp;$A43)))</f>
        <v/>
      </c>
      <c r="HI43" s="55">
        <f>SUMIFS(tblBudget[Ore_Mined_t],tblBudget[Month],$E43)</f>
        <v/>
      </c>
      <c r="HJ43" s="55">
        <f>$HI43*$C43/$D43</f>
        <v/>
      </c>
      <c r="HK43" s="55">
        <f>SUMIFS(tblBudget[Ore_Mined_t],tblBudget[Month],"&lt;"&amp;$E43)+$HJ43</f>
        <v/>
      </c>
      <c r="HL43" s="55">
        <f>SUMIFS(tblBudget[Ore_oz],tblBudget[Month],$E43)</f>
        <v/>
      </c>
      <c r="HM43" s="55">
        <f>$HL43*$C43/$D43</f>
        <v/>
      </c>
      <c r="HN43" s="55">
        <f>SUMIFS(tblBudget[Ore_oz],tblBudget[Month],"&lt;"&amp;$E43)+$HM43</f>
        <v/>
      </c>
      <c r="HO43" s="56">
        <f>IFERROR(IF(($HI43)&gt;0,($HL43*cfg_TroyOz)/($HI43),""),"")</f>
        <v/>
      </c>
      <c r="HP43" s="56">
        <f>IFERROR(IF(($HJ43)&gt;0,($HM43*cfg_TroyOz)/($HJ43),""),"")</f>
        <v/>
      </c>
      <c r="HQ43" s="56">
        <f>IFERROR(IF(($HK43)&gt;0,($HN43*cfg_TroyOz)/($HK43),""),"")</f>
        <v/>
      </c>
      <c r="HR43" s="55">
        <f>SUMIFS(tblBudget[Waste_t],tblBudget[Month],$E43)</f>
        <v/>
      </c>
      <c r="HS43" s="55">
        <f>$HR43*$C43/$D43</f>
        <v/>
      </c>
      <c r="HT43" s="55">
        <f>SUMIFS(tblBudget[Waste_t],tblBudget[Month],"&lt;"&amp;$E43)+$HS43</f>
        <v/>
      </c>
      <c r="HU43" s="55">
        <f>SUMIFS(tblBudget[TMM_t],tblBudget[Month],$E43)</f>
        <v/>
      </c>
      <c r="HV43" s="55">
        <f>$HU43*$C43/$D43</f>
        <v/>
      </c>
      <c r="HW43" s="55">
        <f>SUMIFS(tblBudget[TMM_t],tblBudget[Month],"&lt;"&amp;$E43)+$HV43</f>
        <v/>
      </c>
      <c r="HX43" s="56">
        <f>IFERROR(IF(($HI43)&gt;0,($HR43)/($HI43),""),"")</f>
        <v/>
      </c>
      <c r="HY43" s="56">
        <f>IFERROR(IF(($HJ43)&gt;0,($HS43)/($HJ43),""),"")</f>
        <v/>
      </c>
      <c r="HZ43" s="56">
        <f>IFERROR(IF(($HK43)&gt;0,($HT43)/($HK43),""),"")</f>
        <v/>
      </c>
      <c r="IA43" s="55">
        <f>SUMIFS(tblBudget[Drill_m],tblBudget[Month],$E43)</f>
        <v/>
      </c>
      <c r="IB43" s="55">
        <f>$IA43*$C43/$D43</f>
        <v/>
      </c>
      <c r="IC43" s="55">
        <f>SUMIFS(tblBudget[Drill_m],tblBudget[Month],"&lt;"&amp;$E43)+$IB43</f>
        <v/>
      </c>
      <c r="ID43" s="55">
        <f>SUMIFS(tblBudget[Diesel_L],tblBudget[Month],$E43)</f>
        <v/>
      </c>
      <c r="IE43" s="55">
        <f>$ID43*$C43/$D43</f>
        <v/>
      </c>
      <c r="IF43" s="55">
        <f>SUMIFS(tblBudget[Diesel_L],tblBudget[Month],"&lt;"&amp;$E43)+$IE43</f>
        <v/>
      </c>
      <c r="IG43" s="55">
        <f>SUMIFS(tblBudget[Milled_t],tblBudget[Month],$E43)</f>
        <v/>
      </c>
      <c r="IH43" s="55">
        <f>$IG43*$C43/$D43</f>
        <v/>
      </c>
      <c r="II43" s="55">
        <f>SUMIFS(tblBudget[Milled_t],tblBudget[Month],"&lt;"&amp;$E43)+$IH43</f>
        <v/>
      </c>
      <c r="IJ43" s="55">
        <f>SUMIFS(tblBudget[Feed_oz],tblBudget[Month],$E43)</f>
        <v/>
      </c>
      <c r="IK43" s="55">
        <f>$IJ43*$C43/$D43</f>
        <v/>
      </c>
      <c r="IL43" s="55">
        <f>SUMIFS(tblBudget[Feed_oz],tblBudget[Month],"&lt;"&amp;$E43)+$IK43</f>
        <v/>
      </c>
      <c r="IM43" s="55">
        <f>SUMIFS(tblBudget[Recovered_oz],tblBudget[Month],$E43)</f>
        <v/>
      </c>
      <c r="IN43" s="55">
        <f>$IM43*$C43/$D43</f>
        <v/>
      </c>
      <c r="IO43" s="55">
        <f>SUMIFS(tblBudget[Recovered_oz],tblBudget[Month],"&lt;"&amp;$E43)+$IN43</f>
        <v/>
      </c>
      <c r="IP43" s="56">
        <f>IFERROR(IF(($IG43)&gt;0,($IJ43*cfg_TroyOz)/($IG43),""),"")</f>
        <v/>
      </c>
      <c r="IQ43" s="56">
        <f>IFERROR(IF(($IH43)&gt;0,($IK43*cfg_TroyOz)/($IH43),""),"")</f>
        <v/>
      </c>
      <c r="IR43" s="56">
        <f>IFERROR(IF(($II43)&gt;0,($IL43*cfg_TroyOz)/($II43),""),"")</f>
        <v/>
      </c>
      <c r="IS43" s="67">
        <f>IFERROR(IF(($IJ43)&gt;0,($IM43)/($IJ43),""),"")</f>
        <v/>
      </c>
      <c r="IT43" s="67">
        <f>IFERROR(IF(($IK43)&gt;0,($IN43)/($IK43),""),"")</f>
        <v/>
      </c>
      <c r="IU43" s="67">
        <f>IFERROR(IF(($IL43)&gt;0,($IO43)/($IL43),""),"")</f>
        <v/>
      </c>
      <c r="IV43" s="55">
        <f>SUMIFS(tblBudget[Gold_Poured_oz],tblBudget[Month],$E43)</f>
        <v/>
      </c>
      <c r="IW43" s="55">
        <f>$IV43*$C43/$D43</f>
        <v/>
      </c>
      <c r="IX43" s="55">
        <f>SUMIFS(tblBudget[Gold_Poured_oz],tblBudget[Month],"&lt;"&amp;$E43)+$IW43</f>
        <v/>
      </c>
      <c r="IY43" s="57">
        <f>SUMIFS(tblBudget[Hours_Worked],tblBudget[Month],$E43)</f>
        <v/>
      </c>
      <c r="IZ43" s="57">
        <f>$IY43*$C43/$D43</f>
        <v/>
      </c>
      <c r="JA43" s="57">
        <f>SUMIFS(tblBudget[Hours_Worked],tblBudget[Month],"&lt;"&amp;$E43)+$IZ43</f>
        <v/>
      </c>
    </row>
    <row r="44">
      <c r="A44" s="54" t="n">
        <v>46065</v>
      </c>
      <c r="B44">
        <f>MONTH($A44)</f>
        <v/>
      </c>
      <c r="C44">
        <f>DAY($A44)</f>
        <v/>
      </c>
      <c r="D44">
        <f>DAY(EOMONTH($A44,0))</f>
        <v/>
      </c>
      <c r="E44" s="54">
        <f>DATE(YEAR($A44),MONTH($A44),1)</f>
        <v/>
      </c>
      <c r="F44" s="55">
        <f>SUMIFS(tblMovement[Tonnes_t],tblMovement[Date],$A44,tblMovement[Is_Ore],1,tblMovement[Source_Type],"Pit")</f>
        <v/>
      </c>
      <c r="G44" s="55">
        <f>IF($B44=$B43,$G43,0)+$F44</f>
        <v/>
      </c>
      <c r="H44" s="55">
        <f>$H43+$F44</f>
        <v/>
      </c>
      <c r="I44" s="55">
        <f>SUMIFS(tblMovement[Ore_oz],tblMovement[Date],$A44,tblMovement[Source_Type],"Pit")</f>
        <v/>
      </c>
      <c r="J44" s="55">
        <f>IF($B44=$B43,$J43,0)+$I44</f>
        <v/>
      </c>
      <c r="K44" s="55">
        <f>$K43+$I44</f>
        <v/>
      </c>
      <c r="L44" s="56">
        <f>IFERROR(IF(($F44)&gt;0,($I44*cfg_TroyOz)/($F44),""),"")</f>
        <v/>
      </c>
      <c r="M44" s="56">
        <f>IFERROR(IF(($G44)&gt;0,($J44*cfg_TroyOz)/($G44),""),"")</f>
        <v/>
      </c>
      <c r="N44" s="56">
        <f>IFERROR(IF(($H44)&gt;0,($K44*cfg_TroyOz)/($H44),""),"")</f>
        <v/>
      </c>
      <c r="O44" s="55">
        <f>SUMIFS(tblMovement[Tonnes_t],tblMovement[Date],$A44,tblMovement[Is_Ore],0,tblMovement[Source_Type],"Pit")</f>
        <v/>
      </c>
      <c r="P44" s="55">
        <f>IF($B44=$B43,$P43,0)+$O44</f>
        <v/>
      </c>
      <c r="Q44" s="55">
        <f>$Q43+$O44</f>
        <v/>
      </c>
      <c r="R44" s="55">
        <f>$F44+$O44</f>
        <v/>
      </c>
      <c r="S44" s="55">
        <f>IF($B44=$B43,$S43,0)+$R44</f>
        <v/>
      </c>
      <c r="T44" s="55">
        <f>$T43+$R44</f>
        <v/>
      </c>
      <c r="U44" s="56">
        <f>IFERROR(IF(($F44)&gt;0,($O44)/($F44),""),"")</f>
        <v/>
      </c>
      <c r="V44" s="56">
        <f>IFERROR(IF(($G44)&gt;0,($P44)/($G44),""),"")</f>
        <v/>
      </c>
      <c r="W44" s="56">
        <f>IFERROR(IF(($H44)&gt;0,($Q44)/($H44),""),"")</f>
        <v/>
      </c>
      <c r="X44" s="55">
        <f>SUMIFS(tblMovement[Tonnes_t],tblMovement[Date],$A44,tblMovement[Source_Type],"Stockpile")</f>
        <v/>
      </c>
      <c r="Y44" s="55">
        <f>IF($B44=$B43,$Y43,0)+$X44</f>
        <v/>
      </c>
      <c r="Z44" s="55">
        <f>$Z43+$X44</f>
        <v/>
      </c>
      <c r="AA44" s="55">
        <f>SUMIFS(tblMiningDaily[Drill_m],tblMiningDaily[Date],$A44)</f>
        <v/>
      </c>
      <c r="AB44" s="55">
        <f>IF($B44=$B43,$AB43,0)+$AA44</f>
        <v/>
      </c>
      <c r="AC44" s="55">
        <f>$AC43+$AA44</f>
        <v/>
      </c>
      <c r="AD44" s="55">
        <f>SUMIFS(tblMiningDaily[Blast_t],tblMiningDaily[Date],$A44)</f>
        <v/>
      </c>
      <c r="AE44" s="55">
        <f>IF($B44=$B43,$AE43,0)+$AD44</f>
        <v/>
      </c>
      <c r="AF44" s="55">
        <f>$AF43+$AD44</f>
        <v/>
      </c>
      <c r="AG44" s="55">
        <f>SUMIFS(tblMiningDaily[Explosives_kg],tblMiningDaily[Date],$A44)</f>
        <v/>
      </c>
      <c r="AH44" s="55">
        <f>IF($B44=$B43,$AH43,0)+$AG44</f>
        <v/>
      </c>
      <c r="AI44" s="55">
        <f>$AI43+$AG44</f>
        <v/>
      </c>
      <c r="AJ44" s="56">
        <f>IFERROR(IF(($AD44)&gt;0,($AG44)/($AD44),""),"")</f>
        <v/>
      </c>
      <c r="AK44" s="56">
        <f>IFERROR(IF(($AE44)&gt;0,($AH44)/($AE44),""),"")</f>
        <v/>
      </c>
      <c r="AL44" s="56">
        <f>IFERROR(IF(($AF44)&gt;0,($AI44)/($AF44),""),"")</f>
        <v/>
      </c>
      <c r="AM44" s="55">
        <f>SUMIFS(tblMiningDaily[Diesel_L],tblMiningDaily[Date],$A44)</f>
        <v/>
      </c>
      <c r="AN44" s="55">
        <f>IF($B44=$B43,$AN43,0)+$AM44</f>
        <v/>
      </c>
      <c r="AO44" s="55">
        <f>$AO43+$AM44</f>
        <v/>
      </c>
      <c r="AP44" s="55">
        <f>SUMIFS(tblMiningDaily[Dewatering_m3],tblMiningDaily[Date],$A44)</f>
        <v/>
      </c>
      <c r="AQ44" s="55">
        <f>IF($B44=$B43,$AQ43,0)+$AP44</f>
        <v/>
      </c>
      <c r="AR44" s="55">
        <f>$AR43+$AP44</f>
        <v/>
      </c>
      <c r="AS44" s="57">
        <f>SUMIFS(tblFleet[Calendar_h],tblFleet[Date],$A44,tblFleet[Equipment_Class],"Excavator")</f>
        <v/>
      </c>
      <c r="AT44" s="57">
        <f>IF($B44=$B43,$AT43,0)+$AS44</f>
        <v/>
      </c>
      <c r="AU44" s="57">
        <f>$AU43+$AS44</f>
        <v/>
      </c>
      <c r="AV44" s="57">
        <f>SUMIFS(tblFleet[Available_h],tblFleet[Date],$A44,tblFleet[Equipment_Class],"Excavator")</f>
        <v/>
      </c>
      <c r="AW44" s="57">
        <f>IF($B44=$B43,$AW43,0)+$AV44</f>
        <v/>
      </c>
      <c r="AX44" s="57">
        <f>$AX43+$AV44</f>
        <v/>
      </c>
      <c r="AY44" s="57">
        <f>SUMIFS(tblFleet[Operating_h],tblFleet[Date],$A44,tblFleet[Equipment_Class],"Excavator")</f>
        <v/>
      </c>
      <c r="AZ44" s="57">
        <f>IF($B44=$B43,$AZ43,0)+$AY44</f>
        <v/>
      </c>
      <c r="BA44" s="57">
        <f>$BA43+$AY44</f>
        <v/>
      </c>
      <c r="BB44" s="67">
        <f>IFERROR(IF(($AS44)&gt;0,($AV44)/($AS44),""),"")</f>
        <v/>
      </c>
      <c r="BC44" s="67">
        <f>IFERROR(IF(($AT44)&gt;0,($AW44)/($AT44),""),"")</f>
        <v/>
      </c>
      <c r="BD44" s="67">
        <f>IFERROR(IF(($AU44)&gt;0,($AX44)/($AU44),""),"")</f>
        <v/>
      </c>
      <c r="BE44" s="67">
        <f>IFERROR(IF(($AV44)&gt;0,($AY44)/($AV44),""),"")</f>
        <v/>
      </c>
      <c r="BF44" s="67">
        <f>IFERROR(IF(($AW44)&gt;0,($AZ44)/($AW44),""),"")</f>
        <v/>
      </c>
      <c r="BG44" s="67">
        <f>IFERROR(IF(($AX44)&gt;0,($BA44)/($AX44),""),"")</f>
        <v/>
      </c>
      <c r="BH44" s="57">
        <f>SUMIFS(tblFleet[Calendar_h],tblFleet[Date],$A44,tblFleet[Equipment_Class],"Haul Truck")</f>
        <v/>
      </c>
      <c r="BI44" s="57">
        <f>IF($B44=$B43,$BI43,0)+$BH44</f>
        <v/>
      </c>
      <c r="BJ44" s="57">
        <f>$BJ43+$BH44</f>
        <v/>
      </c>
      <c r="BK44" s="57">
        <f>SUMIFS(tblFleet[Available_h],tblFleet[Date],$A44,tblFleet[Equipment_Class],"Haul Truck")</f>
        <v/>
      </c>
      <c r="BL44" s="57">
        <f>IF($B44=$B43,$BL43,0)+$BK44</f>
        <v/>
      </c>
      <c r="BM44" s="57">
        <f>$BM43+$BK44</f>
        <v/>
      </c>
      <c r="BN44" s="57">
        <f>SUMIFS(tblFleet[Operating_h],tblFleet[Date],$A44,tblFleet[Equipment_Class],"Haul Truck")</f>
        <v/>
      </c>
      <c r="BO44" s="57">
        <f>IF($B44=$B43,$BO43,0)+$BN44</f>
        <v/>
      </c>
      <c r="BP44" s="57">
        <f>$BP43+$BN44</f>
        <v/>
      </c>
      <c r="BQ44" s="67">
        <f>IFERROR(IF(($BH44)&gt;0,($BK44)/($BH44),""),"")</f>
        <v/>
      </c>
      <c r="BR44" s="67">
        <f>IFERROR(IF(($BI44)&gt;0,($BL44)/($BI44),""),"")</f>
        <v/>
      </c>
      <c r="BS44" s="67">
        <f>IFERROR(IF(($BJ44)&gt;0,($BM44)/($BJ44),""),"")</f>
        <v/>
      </c>
      <c r="BT44" s="67">
        <f>IFERROR(IF(($BK44)&gt;0,($BN44)/($BK44),""),"")</f>
        <v/>
      </c>
      <c r="BU44" s="67">
        <f>IFERROR(IF(($BL44)&gt;0,($BO44)/($BL44),""),"")</f>
        <v/>
      </c>
      <c r="BV44" s="67">
        <f>IFERROR(IF(($BM44)&gt;0,($BP44)/($BM44),""),"")</f>
        <v/>
      </c>
      <c r="BW44" s="55">
        <f>SUMIFS(tblPlant[Crushed_t],tblPlant[Date],$A44)</f>
        <v/>
      </c>
      <c r="BX44" s="55">
        <f>IF($B44=$B43,$BX43,0)+$BW44</f>
        <v/>
      </c>
      <c r="BY44" s="55">
        <f>$BY43+$BW44</f>
        <v/>
      </c>
      <c r="BZ44" s="55">
        <f>SUMIFS(tblPlant[Milled_t],tblPlant[Date],$A44)</f>
        <v/>
      </c>
      <c r="CA44" s="55">
        <f>IF($B44=$B43,$CA43,0)+$BZ44</f>
        <v/>
      </c>
      <c r="CB44" s="55">
        <f>$CB43+$BZ44</f>
        <v/>
      </c>
      <c r="CC44" s="55">
        <f>SUMIFS(tblPlant[Feed_oz],tblPlant[Date],$A44)</f>
        <v/>
      </c>
      <c r="CD44" s="55">
        <f>IF($B44=$B43,$CD43,0)+$CC44</f>
        <v/>
      </c>
      <c r="CE44" s="55">
        <f>$CE43+$CC44</f>
        <v/>
      </c>
      <c r="CF44" s="55">
        <f>SUMIFS(tblPlant[Tails_oz],tblPlant[Date],$A44)</f>
        <v/>
      </c>
      <c r="CG44" s="55">
        <f>IF($B44=$B43,$CG43,0)+$CF44</f>
        <v/>
      </c>
      <c r="CH44" s="55">
        <f>$CH43+$CF44</f>
        <v/>
      </c>
      <c r="CI44" s="55">
        <f>SUMIFS(tblPlant[Recovered_oz],tblPlant[Date],$A44)</f>
        <v/>
      </c>
      <c r="CJ44" s="55">
        <f>IF($B44=$B43,$CJ43,0)+$CI44</f>
        <v/>
      </c>
      <c r="CK44" s="55">
        <f>$CK43+$CI44</f>
        <v/>
      </c>
      <c r="CL44" s="56">
        <f>IFERROR(IF(($BZ44)&gt;0,($CC44*cfg_TroyOz)/($BZ44),""),"")</f>
        <v/>
      </c>
      <c r="CM44" s="56">
        <f>IFERROR(IF(($CA44)&gt;0,($CD44*cfg_TroyOz)/($CA44),""),"")</f>
        <v/>
      </c>
      <c r="CN44" s="56">
        <f>IFERROR(IF(($CB44)&gt;0,($CE44*cfg_TroyOz)/($CB44),""),"")</f>
        <v/>
      </c>
      <c r="CO44" s="56">
        <f>IFERROR(IF(($BZ44)&gt;0,($CF44*cfg_TroyOz)/($BZ44),""),"")</f>
        <v/>
      </c>
      <c r="CP44" s="56">
        <f>IFERROR(IF(($CA44)&gt;0,($CG44*cfg_TroyOz)/($CA44),""),"")</f>
        <v/>
      </c>
      <c r="CQ44" s="56">
        <f>IFERROR(IF(($CB44)&gt;0,($CH44*cfg_TroyOz)/($CB44),""),"")</f>
        <v/>
      </c>
      <c r="CR44" s="67">
        <f>IFERROR(IF(($CC44)&gt;0,($CI44)/($CC44),""),"")</f>
        <v/>
      </c>
      <c r="CS44" s="67">
        <f>IFERROR(IF(($CD44)&gt;0,($CJ44)/($CD44),""),"")</f>
        <v/>
      </c>
      <c r="CT44" s="67">
        <f>IFERROR(IF(($CE44)&gt;0,($CK44)/($CE44),""),"")</f>
        <v/>
      </c>
      <c r="CU44" s="55">
        <f>SUMIFS(tblPlant[Gravity_Gold_oz],tblPlant[Date],$A44)</f>
        <v/>
      </c>
      <c r="CV44" s="55">
        <f>IF($B44=$B43,$CV43,0)+$CU44</f>
        <v/>
      </c>
      <c r="CW44" s="55">
        <f>$CW43+$CU44</f>
        <v/>
      </c>
      <c r="CX44" s="55">
        <f>SUMIFS(tblPlant[Gold_Poured_oz],tblPlant[Date],$A44)</f>
        <v/>
      </c>
      <c r="CY44" s="55">
        <f>IF($B44=$B43,$CY43,0)+$CX44</f>
        <v/>
      </c>
      <c r="CZ44" s="55">
        <f>$CZ43+$CX44</f>
        <v/>
      </c>
      <c r="DA44" s="57">
        <f>SUMIFS(tblPlant[Mill_Run_h],tblPlant[Date],$A44)</f>
        <v/>
      </c>
      <c r="DB44" s="57">
        <f>IF($B44=$B43,$DB43,0)+$DA44</f>
        <v/>
      </c>
      <c r="DC44" s="57">
        <f>$DC43+$DA44</f>
        <v/>
      </c>
      <c r="DD44" s="57">
        <f>SUMIFS(tblPlant[Mill_Planned_Maint_h],tblPlant[Date],$A44)</f>
        <v/>
      </c>
      <c r="DE44" s="57">
        <f>IF($B44=$B43,$DE43,0)+$DD44</f>
        <v/>
      </c>
      <c r="DF44" s="57">
        <f>$DF43+$DD44</f>
        <v/>
      </c>
      <c r="DG44" s="57">
        <f>SUMIFS(tblPlant[Mill_Unplanned_Down_h],tblPlant[Date],$A44)</f>
        <v/>
      </c>
      <c r="DH44" s="57">
        <f>IF($B44=$B43,$DH43,0)+$DG44</f>
        <v/>
      </c>
      <c r="DI44" s="57">
        <f>$DI43+$DG44</f>
        <v/>
      </c>
      <c r="DJ44" s="57">
        <f>COUNTIFS(tblPlant[Date],$A44,tblPlant[Mill_Run_h],"&lt;&gt;")*24</f>
        <v/>
      </c>
      <c r="DK44" s="57">
        <f>IF($B44=$B43,$DK43,0)+$DJ44</f>
        <v/>
      </c>
      <c r="DL44" s="57">
        <f>$DL43+$DJ44</f>
        <v/>
      </c>
      <c r="DM44" s="57">
        <f>SUMIFS(tblPlant[Crusher_Run_h],tblPlant[Date],$A44)</f>
        <v/>
      </c>
      <c r="DN44" s="57">
        <f>IF($B44=$B43,$DN43,0)+$DM44</f>
        <v/>
      </c>
      <c r="DO44" s="57">
        <f>$DO43+$DM44</f>
        <v/>
      </c>
      <c r="DP44" s="55">
        <f>IFERROR(IF(($DA44)&gt;0,($BZ44)/($DA44),""),"")</f>
        <v/>
      </c>
      <c r="DQ44" s="55">
        <f>IFERROR(IF(($DB44)&gt;0,($CA44)/($DB44),""),"")</f>
        <v/>
      </c>
      <c r="DR44" s="55">
        <f>IFERROR(IF(($DC44)&gt;0,($CB44)/($DC44),""),"")</f>
        <v/>
      </c>
      <c r="DS44" s="67">
        <f>IFERROR(IF(($DJ44)&gt;0,($DJ44-$DD44-$DG44)/($DJ44),""),"")</f>
        <v/>
      </c>
      <c r="DT44" s="67">
        <f>IFERROR(IF(($DK44)&gt;0,($DK44-$DE44-$DH44)/($DK44),""),"")</f>
        <v/>
      </c>
      <c r="DU44" s="67">
        <f>IFERROR(IF(($DL44)&gt;0,($DL44-$DF44-$DI44)/($DL44),""),"")</f>
        <v/>
      </c>
      <c r="DV44" s="67">
        <f>IFERROR(IF(($DJ44-$DD44-$DG44)&gt;0,($DA44)/($DJ44-$DD44-$DG44),""),"")</f>
        <v/>
      </c>
      <c r="DW44" s="67">
        <f>IFERROR(IF(($DK44-$DE44-$DH44)&gt;0,($DB44)/($DK44-$DE44-$DH44),""),"")</f>
        <v/>
      </c>
      <c r="DX44" s="67">
        <f>IFERROR(IF(($DL44-$DF44-$DI44)&gt;0,($DC44)/($DL44-$DF44-$DI44),""),"")</f>
        <v/>
      </c>
      <c r="DY44" s="55">
        <f>SUMIFS(tblPlant[Cyanide_kg],tblPlant[Date],$A44)</f>
        <v/>
      </c>
      <c r="DZ44" s="55">
        <f>IF($B44=$B43,$DZ43,0)+$DY44</f>
        <v/>
      </c>
      <c r="EA44" s="55">
        <f>$EA43+$DY44</f>
        <v/>
      </c>
      <c r="EB44" s="55">
        <f>SUMIFS(tblPlant[Lime_kg],tblPlant[Date],$A44)</f>
        <v/>
      </c>
      <c r="EC44" s="55">
        <f>IF($B44=$B43,$EC43,0)+$EB44</f>
        <v/>
      </c>
      <c r="ED44" s="55">
        <f>$ED43+$EB44</f>
        <v/>
      </c>
      <c r="EE44" s="55">
        <f>SUMIFS(tblPlant[Grinding_Media_kg],tblPlant[Date],$A44)</f>
        <v/>
      </c>
      <c r="EF44" s="55">
        <f>IF($B44=$B43,$EF43,0)+$EE44</f>
        <v/>
      </c>
      <c r="EG44" s="55">
        <f>$EG43+$EE44</f>
        <v/>
      </c>
      <c r="EH44" s="55">
        <f>SUMIFS(tblPlant[Power_kWh],tblPlant[Date],$A44)</f>
        <v/>
      </c>
      <c r="EI44" s="55">
        <f>IF($B44=$B43,$EI43,0)+$EH44</f>
        <v/>
      </c>
      <c r="EJ44" s="55">
        <f>$EJ43+$EH44</f>
        <v/>
      </c>
      <c r="EK44" s="55">
        <f>SUMIFS(tblPlant[Raw_Water_m3],tblPlant[Date],$A44)</f>
        <v/>
      </c>
      <c r="EL44" s="55">
        <f>IF($B44=$B43,$EL43,0)+$EK44</f>
        <v/>
      </c>
      <c r="EM44" s="55">
        <f>$EM43+$EK44</f>
        <v/>
      </c>
      <c r="EN44" s="56">
        <f>IFERROR(IF(($BZ44)&gt;0,($DY44)/($BZ44),""),"")</f>
        <v/>
      </c>
      <c r="EO44" s="56">
        <f>IFERROR(IF(($CA44)&gt;0,($DZ44)/($CA44),""),"")</f>
        <v/>
      </c>
      <c r="EP44" s="56">
        <f>IFERROR(IF(($CB44)&gt;0,($EA44)/($CB44),""),"")</f>
        <v/>
      </c>
      <c r="EQ44" s="56">
        <f>IFERROR(IF(($BZ44)&gt;0,($EB44)/($BZ44),""),"")</f>
        <v/>
      </c>
      <c r="ER44" s="56">
        <f>IFERROR(IF(($CA44)&gt;0,($EC44)/($CA44),""),"")</f>
        <v/>
      </c>
      <c r="ES44" s="56">
        <f>IFERROR(IF(($CB44)&gt;0,($ED44)/($CB44),""),"")</f>
        <v/>
      </c>
      <c r="ET44" s="56">
        <f>IFERROR(IF(($BZ44)&gt;0,($EE44)/($BZ44),""),"")</f>
        <v/>
      </c>
      <c r="EU44" s="56">
        <f>IFERROR(IF(($CA44)&gt;0,($EF44)/($CA44),""),"")</f>
        <v/>
      </c>
      <c r="EV44" s="56">
        <f>IFERROR(IF(($CB44)&gt;0,($EG44)/($CB44),""),"")</f>
        <v/>
      </c>
      <c r="EW44" s="76">
        <f>IFERROR(IF(($BZ44)&gt;0,($EH44)/($BZ44),""),"")</f>
        <v/>
      </c>
      <c r="EX44" s="76">
        <f>IFERROR(IF(($CA44)&gt;0,($EI44)/($CA44),""),"")</f>
        <v/>
      </c>
      <c r="EY44" s="76">
        <f>IFERROR(IF(($CB44)&gt;0,($EJ44)/($CB44),""),"")</f>
        <v/>
      </c>
      <c r="EZ44" s="56">
        <f>IFERROR(IF(($BZ44)&gt;0,($EK44)/($BZ44),""),"")</f>
        <v/>
      </c>
      <c r="FA44" s="56">
        <f>IFERROR(IF(($CA44)&gt;0,($EL44)/($CA44),""),"")</f>
        <v/>
      </c>
      <c r="FB44" s="56">
        <f>IFERROR(IF(($CB44)&gt;0,($EM44)/($CB44),""),"")</f>
        <v/>
      </c>
      <c r="FC44" s="55">
        <f>IF(SUMIFS(tblPlant[GIC_oz],tblPlant[Date],$A44)&gt;0,SUMIFS(tblPlant[GIC_oz],tblPlant[Date],$A44),"")</f>
        <v/>
      </c>
      <c r="FD44" s="55">
        <f>SUMIFS(tblGold[Gold_oz],tblGold[Date],$A44,tblGold[Type],"Shipment")</f>
        <v/>
      </c>
      <c r="FE44" s="55">
        <f>IF($B44=$B43,$FE43,0)+$FD44</f>
        <v/>
      </c>
      <c r="FF44" s="55">
        <f>$FF43+$FD44</f>
        <v/>
      </c>
      <c r="FG44" s="55">
        <f>SUMIFS(tblGold[Gold_oz],tblGold[Date],$A44,tblGold[Type],"Sale")</f>
        <v/>
      </c>
      <c r="FH44" s="55">
        <f>IF($B44=$B43,$FH43,0)+$FG44</f>
        <v/>
      </c>
      <c r="FI44" s="55">
        <f>$FI43+$FG44</f>
        <v/>
      </c>
      <c r="FJ44" s="55">
        <f>SUMIFS(tblGold[Dore_kg],tblGold[Date],$A44,tblGold[Type],"Shipment")</f>
        <v/>
      </c>
      <c r="FK44" s="55">
        <f>IF($B44=$B43,$FK43,0)+$FJ44</f>
        <v/>
      </c>
      <c r="FL44" s="55">
        <f>$FL43+$FJ44</f>
        <v/>
      </c>
      <c r="FM44" s="57">
        <f>SUMIFS(tblSafety[Hours_Total],tblSafety[Date],$A44)</f>
        <v/>
      </c>
      <c r="FN44" s="57">
        <f>IF($B44=$B43,$FN43,0)+$FM44</f>
        <v/>
      </c>
      <c r="FO44" s="57">
        <f>$FO43+$FM44</f>
        <v/>
      </c>
      <c r="FP44" s="62">
        <f>SUMIFS(tblSafety[Fatality],tblSafety[Date],$A44)</f>
        <v/>
      </c>
      <c r="FQ44" s="62">
        <f>IF($B44=$B43,$FQ43,0)+$FP44</f>
        <v/>
      </c>
      <c r="FR44" s="62">
        <f>$FR43+$FP44</f>
        <v/>
      </c>
      <c r="FS44" s="62">
        <f>SUMIFS(tblSafety[LTI],tblSafety[Date],$A44)</f>
        <v/>
      </c>
      <c r="FT44" s="62">
        <f>IF($B44=$B43,$FT43,0)+$FS44</f>
        <v/>
      </c>
      <c r="FU44" s="62">
        <f>$FU43+$FS44</f>
        <v/>
      </c>
      <c r="FV44" s="62">
        <f>SUMIFS(tblSafety[RWI],tblSafety[Date],$A44)</f>
        <v/>
      </c>
      <c r="FW44" s="62">
        <f>IF($B44=$B43,$FW43,0)+$FV44</f>
        <v/>
      </c>
      <c r="FX44" s="62">
        <f>$FX43+$FV44</f>
        <v/>
      </c>
      <c r="FY44" s="62">
        <f>SUMIFS(tblSafety[MTI],tblSafety[Date],$A44)</f>
        <v/>
      </c>
      <c r="FZ44" s="62">
        <f>IF($B44=$B43,$FZ43,0)+$FY44</f>
        <v/>
      </c>
      <c r="GA44" s="62">
        <f>$GA43+$FY44</f>
        <v/>
      </c>
      <c r="GB44" s="62">
        <f>SUMIFS(tblSafety[FAI],tblSafety[Date],$A44)</f>
        <v/>
      </c>
      <c r="GC44" s="62">
        <f>IF($B44=$B43,$GC43,0)+$GB44</f>
        <v/>
      </c>
      <c r="GD44" s="62">
        <f>$GD43+$GB44</f>
        <v/>
      </c>
      <c r="GE44" s="62">
        <f>SUMIFS(tblSafety[Recordables],tblSafety[Date],$A44)</f>
        <v/>
      </c>
      <c r="GF44" s="62">
        <f>IF($B44=$B43,$GF43,0)+$GE44</f>
        <v/>
      </c>
      <c r="GG44" s="62">
        <f>$GG43+$GE44</f>
        <v/>
      </c>
      <c r="GH44" s="62">
        <f>SUMIFS(tblSafety[Near_Miss],tblSafety[Date],$A44)</f>
        <v/>
      </c>
      <c r="GI44" s="62">
        <f>IF($B44=$B43,$GI43,0)+$GH44</f>
        <v/>
      </c>
      <c r="GJ44" s="62">
        <f>$GJ43+$GH44</f>
        <v/>
      </c>
      <c r="GK44" s="62">
        <f>SUMIFS(tblSafety[Hazard_Reports],tblSafety[Date],$A44)</f>
        <v/>
      </c>
      <c r="GL44" s="62">
        <f>IF($B44=$B43,$GL43,0)+$GK44</f>
        <v/>
      </c>
      <c r="GM44" s="62">
        <f>$GM43+$GK44</f>
        <v/>
      </c>
      <c r="GN44" s="62">
        <f>SUMIFS(tblSafety[HPI],tblSafety[Date],$A44)</f>
        <v/>
      </c>
      <c r="GO44" s="62">
        <f>IF($B44=$B43,$GO43,0)+$GN44</f>
        <v/>
      </c>
      <c r="GP44" s="62">
        <f>$GP43+$GN44</f>
        <v/>
      </c>
      <c r="GQ44" s="62">
        <f>SUMIFS(tblSafety[Env_Incidents],tblSafety[Date],$A44)</f>
        <v/>
      </c>
      <c r="GR44" s="62">
        <f>IF($B44=$B43,$GR43,0)+$GQ44</f>
        <v/>
      </c>
      <c r="GS44" s="62">
        <f>$GS43+$GQ44</f>
        <v/>
      </c>
      <c r="GT44" s="62">
        <f>SUMIFS(tblSafety[Community_Incidents],tblSafety[Date],$A44)</f>
        <v/>
      </c>
      <c r="GU44" s="62">
        <f>IF($B44=$B43,$GU43,0)+$GT44</f>
        <v/>
      </c>
      <c r="GV44" s="62">
        <f>$GV43+$GT44</f>
        <v/>
      </c>
      <c r="GW44" s="62">
        <f>SUMIFS(tblSafety[Vehicle_Incidents],tblSafety[Date],$A44)</f>
        <v/>
      </c>
      <c r="GX44" s="62">
        <f>IF($B44=$B43,$GX43,0)+$GW44</f>
        <v/>
      </c>
      <c r="GY44" s="62">
        <f>$GY43+$GW44</f>
        <v/>
      </c>
      <c r="GZ44" s="62">
        <f>SUMIFS(tblSafety[Toolbox_Talks],tblSafety[Date],$A44)</f>
        <v/>
      </c>
      <c r="HA44" s="62">
        <f>IF($B44=$B43,$HA43,0)+$GZ44</f>
        <v/>
      </c>
      <c r="HB44" s="62">
        <f>$HB43+$GZ44</f>
        <v/>
      </c>
      <c r="HC44" s="62">
        <f>SUMIFS(tblSafety[Inspections],tblSafety[Date],$A44)</f>
        <v/>
      </c>
      <c r="HD44" s="62">
        <f>IF($B44=$B43,$HD43,0)+$HC44</f>
        <v/>
      </c>
      <c r="HE44" s="62">
        <f>$HE43+$HC44</f>
        <v/>
      </c>
      <c r="HF44" s="56">
        <f>IFERROR((SUMIFS(tblSafety[Recordables],tblSafety[Date],"&gt;="&amp;EDATE($E44,-12),tblSafety[Date],"&lt;="&amp;$A44)+SUMIFS(tblSafetyHistory[Recordables],tblSafetyHistory[Month],"&gt;="&amp;EDATE($E44,-12),tblSafetyHistory[Month],"&lt;"&amp;cfg_YearStart))/(SUMIFS(tblSafety[Hours_Total],tblSafety[Date],"&gt;="&amp;EDATE($E44,-12),tblSafety[Date],"&lt;="&amp;$A44)+SUMIFS(tblSafetyHistory[Hours_Total],tblSafetyHistory[Month],"&gt;="&amp;EDATE($E44,-12),tblSafetyHistory[Month],"&lt;"&amp;cfg_YearStart))*1000000,"")</f>
        <v/>
      </c>
      <c r="HG44" s="56">
        <f>IFERROR((SUMIFS(tblSafety[LTI],tblSafety[Date],"&gt;="&amp;EDATE($E44,-12),tblSafety[Date],"&lt;="&amp;$A44)+SUMIFS(tblSafetyHistory[LTI],tblSafetyHistory[Month],"&gt;="&amp;EDATE($E44,-12),tblSafetyHistory[Month],"&lt;"&amp;cfg_YearStart))/(SUMIFS(tblSafety[Hours_Total],tblSafety[Date],"&gt;="&amp;EDATE($E44,-12),tblSafety[Date],"&lt;="&amp;$A44)+SUMIFS(tblSafetyHistory[Hours_Total],tblSafetyHistory[Month],"&gt;="&amp;EDATE($E44,-12),tblSafetyHistory[Month],"&lt;"&amp;cfg_YearStart))*1000000,"")</f>
        <v/>
      </c>
      <c r="HH44" s="62">
        <f>IF(MAX(N(cfg_PriorLTIDate),_xlfn.MAXIFS(tblSafety[Date],tblSafety[LTI],"&gt;0",tblSafety[Date],"&lt;="&amp;$A44))=0,"",$A44-MAX(N(cfg_PriorLTIDate),_xlfn.MAXIFS(tblSafety[Date],tblSafety[LTI],"&gt;0",tblSafety[Date],"&lt;="&amp;$A44)))</f>
        <v/>
      </c>
      <c r="HI44" s="55">
        <f>SUMIFS(tblBudget[Ore_Mined_t],tblBudget[Month],$E44)</f>
        <v/>
      </c>
      <c r="HJ44" s="55">
        <f>$HI44*$C44/$D44</f>
        <v/>
      </c>
      <c r="HK44" s="55">
        <f>SUMIFS(tblBudget[Ore_Mined_t],tblBudget[Month],"&lt;"&amp;$E44)+$HJ44</f>
        <v/>
      </c>
      <c r="HL44" s="55">
        <f>SUMIFS(tblBudget[Ore_oz],tblBudget[Month],$E44)</f>
        <v/>
      </c>
      <c r="HM44" s="55">
        <f>$HL44*$C44/$D44</f>
        <v/>
      </c>
      <c r="HN44" s="55">
        <f>SUMIFS(tblBudget[Ore_oz],tblBudget[Month],"&lt;"&amp;$E44)+$HM44</f>
        <v/>
      </c>
      <c r="HO44" s="56">
        <f>IFERROR(IF(($HI44)&gt;0,($HL44*cfg_TroyOz)/($HI44),""),"")</f>
        <v/>
      </c>
      <c r="HP44" s="56">
        <f>IFERROR(IF(($HJ44)&gt;0,($HM44*cfg_TroyOz)/($HJ44),""),"")</f>
        <v/>
      </c>
      <c r="HQ44" s="56">
        <f>IFERROR(IF(($HK44)&gt;0,($HN44*cfg_TroyOz)/($HK44),""),"")</f>
        <v/>
      </c>
      <c r="HR44" s="55">
        <f>SUMIFS(tblBudget[Waste_t],tblBudget[Month],$E44)</f>
        <v/>
      </c>
      <c r="HS44" s="55">
        <f>$HR44*$C44/$D44</f>
        <v/>
      </c>
      <c r="HT44" s="55">
        <f>SUMIFS(tblBudget[Waste_t],tblBudget[Month],"&lt;"&amp;$E44)+$HS44</f>
        <v/>
      </c>
      <c r="HU44" s="55">
        <f>SUMIFS(tblBudget[TMM_t],tblBudget[Month],$E44)</f>
        <v/>
      </c>
      <c r="HV44" s="55">
        <f>$HU44*$C44/$D44</f>
        <v/>
      </c>
      <c r="HW44" s="55">
        <f>SUMIFS(tblBudget[TMM_t],tblBudget[Month],"&lt;"&amp;$E44)+$HV44</f>
        <v/>
      </c>
      <c r="HX44" s="56">
        <f>IFERROR(IF(($HI44)&gt;0,($HR44)/($HI44),""),"")</f>
        <v/>
      </c>
      <c r="HY44" s="56">
        <f>IFERROR(IF(($HJ44)&gt;0,($HS44)/($HJ44),""),"")</f>
        <v/>
      </c>
      <c r="HZ44" s="56">
        <f>IFERROR(IF(($HK44)&gt;0,($HT44)/($HK44),""),"")</f>
        <v/>
      </c>
      <c r="IA44" s="55">
        <f>SUMIFS(tblBudget[Drill_m],tblBudget[Month],$E44)</f>
        <v/>
      </c>
      <c r="IB44" s="55">
        <f>$IA44*$C44/$D44</f>
        <v/>
      </c>
      <c r="IC44" s="55">
        <f>SUMIFS(tblBudget[Drill_m],tblBudget[Month],"&lt;"&amp;$E44)+$IB44</f>
        <v/>
      </c>
      <c r="ID44" s="55">
        <f>SUMIFS(tblBudget[Diesel_L],tblBudget[Month],$E44)</f>
        <v/>
      </c>
      <c r="IE44" s="55">
        <f>$ID44*$C44/$D44</f>
        <v/>
      </c>
      <c r="IF44" s="55">
        <f>SUMIFS(tblBudget[Diesel_L],tblBudget[Month],"&lt;"&amp;$E44)+$IE44</f>
        <v/>
      </c>
      <c r="IG44" s="55">
        <f>SUMIFS(tblBudget[Milled_t],tblBudget[Month],$E44)</f>
        <v/>
      </c>
      <c r="IH44" s="55">
        <f>$IG44*$C44/$D44</f>
        <v/>
      </c>
      <c r="II44" s="55">
        <f>SUMIFS(tblBudget[Milled_t],tblBudget[Month],"&lt;"&amp;$E44)+$IH44</f>
        <v/>
      </c>
      <c r="IJ44" s="55">
        <f>SUMIFS(tblBudget[Feed_oz],tblBudget[Month],$E44)</f>
        <v/>
      </c>
      <c r="IK44" s="55">
        <f>$IJ44*$C44/$D44</f>
        <v/>
      </c>
      <c r="IL44" s="55">
        <f>SUMIFS(tblBudget[Feed_oz],tblBudget[Month],"&lt;"&amp;$E44)+$IK44</f>
        <v/>
      </c>
      <c r="IM44" s="55">
        <f>SUMIFS(tblBudget[Recovered_oz],tblBudget[Month],$E44)</f>
        <v/>
      </c>
      <c r="IN44" s="55">
        <f>$IM44*$C44/$D44</f>
        <v/>
      </c>
      <c r="IO44" s="55">
        <f>SUMIFS(tblBudget[Recovered_oz],tblBudget[Month],"&lt;"&amp;$E44)+$IN44</f>
        <v/>
      </c>
      <c r="IP44" s="56">
        <f>IFERROR(IF(($IG44)&gt;0,($IJ44*cfg_TroyOz)/($IG44),""),"")</f>
        <v/>
      </c>
      <c r="IQ44" s="56">
        <f>IFERROR(IF(($IH44)&gt;0,($IK44*cfg_TroyOz)/($IH44),""),"")</f>
        <v/>
      </c>
      <c r="IR44" s="56">
        <f>IFERROR(IF(($II44)&gt;0,($IL44*cfg_TroyOz)/($II44),""),"")</f>
        <v/>
      </c>
      <c r="IS44" s="67">
        <f>IFERROR(IF(($IJ44)&gt;0,($IM44)/($IJ44),""),"")</f>
        <v/>
      </c>
      <c r="IT44" s="67">
        <f>IFERROR(IF(($IK44)&gt;0,($IN44)/($IK44),""),"")</f>
        <v/>
      </c>
      <c r="IU44" s="67">
        <f>IFERROR(IF(($IL44)&gt;0,($IO44)/($IL44),""),"")</f>
        <v/>
      </c>
      <c r="IV44" s="55">
        <f>SUMIFS(tblBudget[Gold_Poured_oz],tblBudget[Month],$E44)</f>
        <v/>
      </c>
      <c r="IW44" s="55">
        <f>$IV44*$C44/$D44</f>
        <v/>
      </c>
      <c r="IX44" s="55">
        <f>SUMIFS(tblBudget[Gold_Poured_oz],tblBudget[Month],"&lt;"&amp;$E44)+$IW44</f>
        <v/>
      </c>
      <c r="IY44" s="57">
        <f>SUMIFS(tblBudget[Hours_Worked],tblBudget[Month],$E44)</f>
        <v/>
      </c>
      <c r="IZ44" s="57">
        <f>$IY44*$C44/$D44</f>
        <v/>
      </c>
      <c r="JA44" s="57">
        <f>SUMIFS(tblBudget[Hours_Worked],tblBudget[Month],"&lt;"&amp;$E44)+$IZ44</f>
        <v/>
      </c>
    </row>
    <row r="45">
      <c r="A45" s="54" t="n">
        <v>46066</v>
      </c>
      <c r="B45">
        <f>MONTH($A45)</f>
        <v/>
      </c>
      <c r="C45">
        <f>DAY($A45)</f>
        <v/>
      </c>
      <c r="D45">
        <f>DAY(EOMONTH($A45,0))</f>
        <v/>
      </c>
      <c r="E45" s="54">
        <f>DATE(YEAR($A45),MONTH($A45),1)</f>
        <v/>
      </c>
      <c r="F45" s="55">
        <f>SUMIFS(tblMovement[Tonnes_t],tblMovement[Date],$A45,tblMovement[Is_Ore],1,tblMovement[Source_Type],"Pit")</f>
        <v/>
      </c>
      <c r="G45" s="55">
        <f>IF($B45=$B44,$G44,0)+$F45</f>
        <v/>
      </c>
      <c r="H45" s="55">
        <f>$H44+$F45</f>
        <v/>
      </c>
      <c r="I45" s="55">
        <f>SUMIFS(tblMovement[Ore_oz],tblMovement[Date],$A45,tblMovement[Source_Type],"Pit")</f>
        <v/>
      </c>
      <c r="J45" s="55">
        <f>IF($B45=$B44,$J44,0)+$I45</f>
        <v/>
      </c>
      <c r="K45" s="55">
        <f>$K44+$I45</f>
        <v/>
      </c>
      <c r="L45" s="56">
        <f>IFERROR(IF(($F45)&gt;0,($I45*cfg_TroyOz)/($F45),""),"")</f>
        <v/>
      </c>
      <c r="M45" s="56">
        <f>IFERROR(IF(($G45)&gt;0,($J45*cfg_TroyOz)/($G45),""),"")</f>
        <v/>
      </c>
      <c r="N45" s="56">
        <f>IFERROR(IF(($H45)&gt;0,($K45*cfg_TroyOz)/($H45),""),"")</f>
        <v/>
      </c>
      <c r="O45" s="55">
        <f>SUMIFS(tblMovement[Tonnes_t],tblMovement[Date],$A45,tblMovement[Is_Ore],0,tblMovement[Source_Type],"Pit")</f>
        <v/>
      </c>
      <c r="P45" s="55">
        <f>IF($B45=$B44,$P44,0)+$O45</f>
        <v/>
      </c>
      <c r="Q45" s="55">
        <f>$Q44+$O45</f>
        <v/>
      </c>
      <c r="R45" s="55">
        <f>$F45+$O45</f>
        <v/>
      </c>
      <c r="S45" s="55">
        <f>IF($B45=$B44,$S44,0)+$R45</f>
        <v/>
      </c>
      <c r="T45" s="55">
        <f>$T44+$R45</f>
        <v/>
      </c>
      <c r="U45" s="56">
        <f>IFERROR(IF(($F45)&gt;0,($O45)/($F45),""),"")</f>
        <v/>
      </c>
      <c r="V45" s="56">
        <f>IFERROR(IF(($G45)&gt;0,($P45)/($G45),""),"")</f>
        <v/>
      </c>
      <c r="W45" s="56">
        <f>IFERROR(IF(($H45)&gt;0,($Q45)/($H45),""),"")</f>
        <v/>
      </c>
      <c r="X45" s="55">
        <f>SUMIFS(tblMovement[Tonnes_t],tblMovement[Date],$A45,tblMovement[Source_Type],"Stockpile")</f>
        <v/>
      </c>
      <c r="Y45" s="55">
        <f>IF($B45=$B44,$Y44,0)+$X45</f>
        <v/>
      </c>
      <c r="Z45" s="55">
        <f>$Z44+$X45</f>
        <v/>
      </c>
      <c r="AA45" s="55">
        <f>SUMIFS(tblMiningDaily[Drill_m],tblMiningDaily[Date],$A45)</f>
        <v/>
      </c>
      <c r="AB45" s="55">
        <f>IF($B45=$B44,$AB44,0)+$AA45</f>
        <v/>
      </c>
      <c r="AC45" s="55">
        <f>$AC44+$AA45</f>
        <v/>
      </c>
      <c r="AD45" s="55">
        <f>SUMIFS(tblMiningDaily[Blast_t],tblMiningDaily[Date],$A45)</f>
        <v/>
      </c>
      <c r="AE45" s="55">
        <f>IF($B45=$B44,$AE44,0)+$AD45</f>
        <v/>
      </c>
      <c r="AF45" s="55">
        <f>$AF44+$AD45</f>
        <v/>
      </c>
      <c r="AG45" s="55">
        <f>SUMIFS(tblMiningDaily[Explosives_kg],tblMiningDaily[Date],$A45)</f>
        <v/>
      </c>
      <c r="AH45" s="55">
        <f>IF($B45=$B44,$AH44,0)+$AG45</f>
        <v/>
      </c>
      <c r="AI45" s="55">
        <f>$AI44+$AG45</f>
        <v/>
      </c>
      <c r="AJ45" s="56">
        <f>IFERROR(IF(($AD45)&gt;0,($AG45)/($AD45),""),"")</f>
        <v/>
      </c>
      <c r="AK45" s="56">
        <f>IFERROR(IF(($AE45)&gt;0,($AH45)/($AE45),""),"")</f>
        <v/>
      </c>
      <c r="AL45" s="56">
        <f>IFERROR(IF(($AF45)&gt;0,($AI45)/($AF45),""),"")</f>
        <v/>
      </c>
      <c r="AM45" s="55">
        <f>SUMIFS(tblMiningDaily[Diesel_L],tblMiningDaily[Date],$A45)</f>
        <v/>
      </c>
      <c r="AN45" s="55">
        <f>IF($B45=$B44,$AN44,0)+$AM45</f>
        <v/>
      </c>
      <c r="AO45" s="55">
        <f>$AO44+$AM45</f>
        <v/>
      </c>
      <c r="AP45" s="55">
        <f>SUMIFS(tblMiningDaily[Dewatering_m3],tblMiningDaily[Date],$A45)</f>
        <v/>
      </c>
      <c r="AQ45" s="55">
        <f>IF($B45=$B44,$AQ44,0)+$AP45</f>
        <v/>
      </c>
      <c r="AR45" s="55">
        <f>$AR44+$AP45</f>
        <v/>
      </c>
      <c r="AS45" s="57">
        <f>SUMIFS(tblFleet[Calendar_h],tblFleet[Date],$A45,tblFleet[Equipment_Class],"Excavator")</f>
        <v/>
      </c>
      <c r="AT45" s="57">
        <f>IF($B45=$B44,$AT44,0)+$AS45</f>
        <v/>
      </c>
      <c r="AU45" s="57">
        <f>$AU44+$AS45</f>
        <v/>
      </c>
      <c r="AV45" s="57">
        <f>SUMIFS(tblFleet[Available_h],tblFleet[Date],$A45,tblFleet[Equipment_Class],"Excavator")</f>
        <v/>
      </c>
      <c r="AW45" s="57">
        <f>IF($B45=$B44,$AW44,0)+$AV45</f>
        <v/>
      </c>
      <c r="AX45" s="57">
        <f>$AX44+$AV45</f>
        <v/>
      </c>
      <c r="AY45" s="57">
        <f>SUMIFS(tblFleet[Operating_h],tblFleet[Date],$A45,tblFleet[Equipment_Class],"Excavator")</f>
        <v/>
      </c>
      <c r="AZ45" s="57">
        <f>IF($B45=$B44,$AZ44,0)+$AY45</f>
        <v/>
      </c>
      <c r="BA45" s="57">
        <f>$BA44+$AY45</f>
        <v/>
      </c>
      <c r="BB45" s="67">
        <f>IFERROR(IF(($AS45)&gt;0,($AV45)/($AS45),""),"")</f>
        <v/>
      </c>
      <c r="BC45" s="67">
        <f>IFERROR(IF(($AT45)&gt;0,($AW45)/($AT45),""),"")</f>
        <v/>
      </c>
      <c r="BD45" s="67">
        <f>IFERROR(IF(($AU45)&gt;0,($AX45)/($AU45),""),"")</f>
        <v/>
      </c>
      <c r="BE45" s="67">
        <f>IFERROR(IF(($AV45)&gt;0,($AY45)/($AV45),""),"")</f>
        <v/>
      </c>
      <c r="BF45" s="67">
        <f>IFERROR(IF(($AW45)&gt;0,($AZ45)/($AW45),""),"")</f>
        <v/>
      </c>
      <c r="BG45" s="67">
        <f>IFERROR(IF(($AX45)&gt;0,($BA45)/($AX45),""),"")</f>
        <v/>
      </c>
      <c r="BH45" s="57">
        <f>SUMIFS(tblFleet[Calendar_h],tblFleet[Date],$A45,tblFleet[Equipment_Class],"Haul Truck")</f>
        <v/>
      </c>
      <c r="BI45" s="57">
        <f>IF($B45=$B44,$BI44,0)+$BH45</f>
        <v/>
      </c>
      <c r="BJ45" s="57">
        <f>$BJ44+$BH45</f>
        <v/>
      </c>
      <c r="BK45" s="57">
        <f>SUMIFS(tblFleet[Available_h],tblFleet[Date],$A45,tblFleet[Equipment_Class],"Haul Truck")</f>
        <v/>
      </c>
      <c r="BL45" s="57">
        <f>IF($B45=$B44,$BL44,0)+$BK45</f>
        <v/>
      </c>
      <c r="BM45" s="57">
        <f>$BM44+$BK45</f>
        <v/>
      </c>
      <c r="BN45" s="57">
        <f>SUMIFS(tblFleet[Operating_h],tblFleet[Date],$A45,tblFleet[Equipment_Class],"Haul Truck")</f>
        <v/>
      </c>
      <c r="BO45" s="57">
        <f>IF($B45=$B44,$BO44,0)+$BN45</f>
        <v/>
      </c>
      <c r="BP45" s="57">
        <f>$BP44+$BN45</f>
        <v/>
      </c>
      <c r="BQ45" s="67">
        <f>IFERROR(IF(($BH45)&gt;0,($BK45)/($BH45),""),"")</f>
        <v/>
      </c>
      <c r="BR45" s="67">
        <f>IFERROR(IF(($BI45)&gt;0,($BL45)/($BI45),""),"")</f>
        <v/>
      </c>
      <c r="BS45" s="67">
        <f>IFERROR(IF(($BJ45)&gt;0,($BM45)/($BJ45),""),"")</f>
        <v/>
      </c>
      <c r="BT45" s="67">
        <f>IFERROR(IF(($BK45)&gt;0,($BN45)/($BK45),""),"")</f>
        <v/>
      </c>
      <c r="BU45" s="67">
        <f>IFERROR(IF(($BL45)&gt;0,($BO45)/($BL45),""),"")</f>
        <v/>
      </c>
      <c r="BV45" s="67">
        <f>IFERROR(IF(($BM45)&gt;0,($BP45)/($BM45),""),"")</f>
        <v/>
      </c>
      <c r="BW45" s="55">
        <f>SUMIFS(tblPlant[Crushed_t],tblPlant[Date],$A45)</f>
        <v/>
      </c>
      <c r="BX45" s="55">
        <f>IF($B45=$B44,$BX44,0)+$BW45</f>
        <v/>
      </c>
      <c r="BY45" s="55">
        <f>$BY44+$BW45</f>
        <v/>
      </c>
      <c r="BZ45" s="55">
        <f>SUMIFS(tblPlant[Milled_t],tblPlant[Date],$A45)</f>
        <v/>
      </c>
      <c r="CA45" s="55">
        <f>IF($B45=$B44,$CA44,0)+$BZ45</f>
        <v/>
      </c>
      <c r="CB45" s="55">
        <f>$CB44+$BZ45</f>
        <v/>
      </c>
      <c r="CC45" s="55">
        <f>SUMIFS(tblPlant[Feed_oz],tblPlant[Date],$A45)</f>
        <v/>
      </c>
      <c r="CD45" s="55">
        <f>IF($B45=$B44,$CD44,0)+$CC45</f>
        <v/>
      </c>
      <c r="CE45" s="55">
        <f>$CE44+$CC45</f>
        <v/>
      </c>
      <c r="CF45" s="55">
        <f>SUMIFS(tblPlant[Tails_oz],tblPlant[Date],$A45)</f>
        <v/>
      </c>
      <c r="CG45" s="55">
        <f>IF($B45=$B44,$CG44,0)+$CF45</f>
        <v/>
      </c>
      <c r="CH45" s="55">
        <f>$CH44+$CF45</f>
        <v/>
      </c>
      <c r="CI45" s="55">
        <f>SUMIFS(tblPlant[Recovered_oz],tblPlant[Date],$A45)</f>
        <v/>
      </c>
      <c r="CJ45" s="55">
        <f>IF($B45=$B44,$CJ44,0)+$CI45</f>
        <v/>
      </c>
      <c r="CK45" s="55">
        <f>$CK44+$CI45</f>
        <v/>
      </c>
      <c r="CL45" s="56">
        <f>IFERROR(IF(($BZ45)&gt;0,($CC45*cfg_TroyOz)/($BZ45),""),"")</f>
        <v/>
      </c>
      <c r="CM45" s="56">
        <f>IFERROR(IF(($CA45)&gt;0,($CD45*cfg_TroyOz)/($CA45),""),"")</f>
        <v/>
      </c>
      <c r="CN45" s="56">
        <f>IFERROR(IF(($CB45)&gt;0,($CE45*cfg_TroyOz)/($CB45),""),"")</f>
        <v/>
      </c>
      <c r="CO45" s="56">
        <f>IFERROR(IF(($BZ45)&gt;0,($CF45*cfg_TroyOz)/($BZ45),""),"")</f>
        <v/>
      </c>
      <c r="CP45" s="56">
        <f>IFERROR(IF(($CA45)&gt;0,($CG45*cfg_TroyOz)/($CA45),""),"")</f>
        <v/>
      </c>
      <c r="CQ45" s="56">
        <f>IFERROR(IF(($CB45)&gt;0,($CH45*cfg_TroyOz)/($CB45),""),"")</f>
        <v/>
      </c>
      <c r="CR45" s="67">
        <f>IFERROR(IF(($CC45)&gt;0,($CI45)/($CC45),""),"")</f>
        <v/>
      </c>
      <c r="CS45" s="67">
        <f>IFERROR(IF(($CD45)&gt;0,($CJ45)/($CD45),""),"")</f>
        <v/>
      </c>
      <c r="CT45" s="67">
        <f>IFERROR(IF(($CE45)&gt;0,($CK45)/($CE45),""),"")</f>
        <v/>
      </c>
      <c r="CU45" s="55">
        <f>SUMIFS(tblPlant[Gravity_Gold_oz],tblPlant[Date],$A45)</f>
        <v/>
      </c>
      <c r="CV45" s="55">
        <f>IF($B45=$B44,$CV44,0)+$CU45</f>
        <v/>
      </c>
      <c r="CW45" s="55">
        <f>$CW44+$CU45</f>
        <v/>
      </c>
      <c r="CX45" s="55">
        <f>SUMIFS(tblPlant[Gold_Poured_oz],tblPlant[Date],$A45)</f>
        <v/>
      </c>
      <c r="CY45" s="55">
        <f>IF($B45=$B44,$CY44,0)+$CX45</f>
        <v/>
      </c>
      <c r="CZ45" s="55">
        <f>$CZ44+$CX45</f>
        <v/>
      </c>
      <c r="DA45" s="57">
        <f>SUMIFS(tblPlant[Mill_Run_h],tblPlant[Date],$A45)</f>
        <v/>
      </c>
      <c r="DB45" s="57">
        <f>IF($B45=$B44,$DB44,0)+$DA45</f>
        <v/>
      </c>
      <c r="DC45" s="57">
        <f>$DC44+$DA45</f>
        <v/>
      </c>
      <c r="DD45" s="57">
        <f>SUMIFS(tblPlant[Mill_Planned_Maint_h],tblPlant[Date],$A45)</f>
        <v/>
      </c>
      <c r="DE45" s="57">
        <f>IF($B45=$B44,$DE44,0)+$DD45</f>
        <v/>
      </c>
      <c r="DF45" s="57">
        <f>$DF44+$DD45</f>
        <v/>
      </c>
      <c r="DG45" s="57">
        <f>SUMIFS(tblPlant[Mill_Unplanned_Down_h],tblPlant[Date],$A45)</f>
        <v/>
      </c>
      <c r="DH45" s="57">
        <f>IF($B45=$B44,$DH44,0)+$DG45</f>
        <v/>
      </c>
      <c r="DI45" s="57">
        <f>$DI44+$DG45</f>
        <v/>
      </c>
      <c r="DJ45" s="57">
        <f>COUNTIFS(tblPlant[Date],$A45,tblPlant[Mill_Run_h],"&lt;&gt;")*24</f>
        <v/>
      </c>
      <c r="DK45" s="57">
        <f>IF($B45=$B44,$DK44,0)+$DJ45</f>
        <v/>
      </c>
      <c r="DL45" s="57">
        <f>$DL44+$DJ45</f>
        <v/>
      </c>
      <c r="DM45" s="57">
        <f>SUMIFS(tblPlant[Crusher_Run_h],tblPlant[Date],$A45)</f>
        <v/>
      </c>
      <c r="DN45" s="57">
        <f>IF($B45=$B44,$DN44,0)+$DM45</f>
        <v/>
      </c>
      <c r="DO45" s="57">
        <f>$DO44+$DM45</f>
        <v/>
      </c>
      <c r="DP45" s="55">
        <f>IFERROR(IF(($DA45)&gt;0,($BZ45)/($DA45),""),"")</f>
        <v/>
      </c>
      <c r="DQ45" s="55">
        <f>IFERROR(IF(($DB45)&gt;0,($CA45)/($DB45),""),"")</f>
        <v/>
      </c>
      <c r="DR45" s="55">
        <f>IFERROR(IF(($DC45)&gt;0,($CB45)/($DC45),""),"")</f>
        <v/>
      </c>
      <c r="DS45" s="67">
        <f>IFERROR(IF(($DJ45)&gt;0,($DJ45-$DD45-$DG45)/($DJ45),""),"")</f>
        <v/>
      </c>
      <c r="DT45" s="67">
        <f>IFERROR(IF(($DK45)&gt;0,($DK45-$DE45-$DH45)/($DK45),""),"")</f>
        <v/>
      </c>
      <c r="DU45" s="67">
        <f>IFERROR(IF(($DL45)&gt;0,($DL45-$DF45-$DI45)/($DL45),""),"")</f>
        <v/>
      </c>
      <c r="DV45" s="67">
        <f>IFERROR(IF(($DJ45-$DD45-$DG45)&gt;0,($DA45)/($DJ45-$DD45-$DG45),""),"")</f>
        <v/>
      </c>
      <c r="DW45" s="67">
        <f>IFERROR(IF(($DK45-$DE45-$DH45)&gt;0,($DB45)/($DK45-$DE45-$DH45),""),"")</f>
        <v/>
      </c>
      <c r="DX45" s="67">
        <f>IFERROR(IF(($DL45-$DF45-$DI45)&gt;0,($DC45)/($DL45-$DF45-$DI45),""),"")</f>
        <v/>
      </c>
      <c r="DY45" s="55">
        <f>SUMIFS(tblPlant[Cyanide_kg],tblPlant[Date],$A45)</f>
        <v/>
      </c>
      <c r="DZ45" s="55">
        <f>IF($B45=$B44,$DZ44,0)+$DY45</f>
        <v/>
      </c>
      <c r="EA45" s="55">
        <f>$EA44+$DY45</f>
        <v/>
      </c>
      <c r="EB45" s="55">
        <f>SUMIFS(tblPlant[Lime_kg],tblPlant[Date],$A45)</f>
        <v/>
      </c>
      <c r="EC45" s="55">
        <f>IF($B45=$B44,$EC44,0)+$EB45</f>
        <v/>
      </c>
      <c r="ED45" s="55">
        <f>$ED44+$EB45</f>
        <v/>
      </c>
      <c r="EE45" s="55">
        <f>SUMIFS(tblPlant[Grinding_Media_kg],tblPlant[Date],$A45)</f>
        <v/>
      </c>
      <c r="EF45" s="55">
        <f>IF($B45=$B44,$EF44,0)+$EE45</f>
        <v/>
      </c>
      <c r="EG45" s="55">
        <f>$EG44+$EE45</f>
        <v/>
      </c>
      <c r="EH45" s="55">
        <f>SUMIFS(tblPlant[Power_kWh],tblPlant[Date],$A45)</f>
        <v/>
      </c>
      <c r="EI45" s="55">
        <f>IF($B45=$B44,$EI44,0)+$EH45</f>
        <v/>
      </c>
      <c r="EJ45" s="55">
        <f>$EJ44+$EH45</f>
        <v/>
      </c>
      <c r="EK45" s="55">
        <f>SUMIFS(tblPlant[Raw_Water_m3],tblPlant[Date],$A45)</f>
        <v/>
      </c>
      <c r="EL45" s="55">
        <f>IF($B45=$B44,$EL44,0)+$EK45</f>
        <v/>
      </c>
      <c r="EM45" s="55">
        <f>$EM44+$EK45</f>
        <v/>
      </c>
      <c r="EN45" s="56">
        <f>IFERROR(IF(($BZ45)&gt;0,($DY45)/($BZ45),""),"")</f>
        <v/>
      </c>
      <c r="EO45" s="56">
        <f>IFERROR(IF(($CA45)&gt;0,($DZ45)/($CA45),""),"")</f>
        <v/>
      </c>
      <c r="EP45" s="56">
        <f>IFERROR(IF(($CB45)&gt;0,($EA45)/($CB45),""),"")</f>
        <v/>
      </c>
      <c r="EQ45" s="56">
        <f>IFERROR(IF(($BZ45)&gt;0,($EB45)/($BZ45),""),"")</f>
        <v/>
      </c>
      <c r="ER45" s="56">
        <f>IFERROR(IF(($CA45)&gt;0,($EC45)/($CA45),""),"")</f>
        <v/>
      </c>
      <c r="ES45" s="56">
        <f>IFERROR(IF(($CB45)&gt;0,($ED45)/($CB45),""),"")</f>
        <v/>
      </c>
      <c r="ET45" s="56">
        <f>IFERROR(IF(($BZ45)&gt;0,($EE45)/($BZ45),""),"")</f>
        <v/>
      </c>
      <c r="EU45" s="56">
        <f>IFERROR(IF(($CA45)&gt;0,($EF45)/($CA45),""),"")</f>
        <v/>
      </c>
      <c r="EV45" s="56">
        <f>IFERROR(IF(($CB45)&gt;0,($EG45)/($CB45),""),"")</f>
        <v/>
      </c>
      <c r="EW45" s="76">
        <f>IFERROR(IF(($BZ45)&gt;0,($EH45)/($BZ45),""),"")</f>
        <v/>
      </c>
      <c r="EX45" s="76">
        <f>IFERROR(IF(($CA45)&gt;0,($EI45)/($CA45),""),"")</f>
        <v/>
      </c>
      <c r="EY45" s="76">
        <f>IFERROR(IF(($CB45)&gt;0,($EJ45)/($CB45),""),"")</f>
        <v/>
      </c>
      <c r="EZ45" s="56">
        <f>IFERROR(IF(($BZ45)&gt;0,($EK45)/($BZ45),""),"")</f>
        <v/>
      </c>
      <c r="FA45" s="56">
        <f>IFERROR(IF(($CA45)&gt;0,($EL45)/($CA45),""),"")</f>
        <v/>
      </c>
      <c r="FB45" s="56">
        <f>IFERROR(IF(($CB45)&gt;0,($EM45)/($CB45),""),"")</f>
        <v/>
      </c>
      <c r="FC45" s="55">
        <f>IF(SUMIFS(tblPlant[GIC_oz],tblPlant[Date],$A45)&gt;0,SUMIFS(tblPlant[GIC_oz],tblPlant[Date],$A45),"")</f>
        <v/>
      </c>
      <c r="FD45" s="55">
        <f>SUMIFS(tblGold[Gold_oz],tblGold[Date],$A45,tblGold[Type],"Shipment")</f>
        <v/>
      </c>
      <c r="FE45" s="55">
        <f>IF($B45=$B44,$FE44,0)+$FD45</f>
        <v/>
      </c>
      <c r="FF45" s="55">
        <f>$FF44+$FD45</f>
        <v/>
      </c>
      <c r="FG45" s="55">
        <f>SUMIFS(tblGold[Gold_oz],tblGold[Date],$A45,tblGold[Type],"Sale")</f>
        <v/>
      </c>
      <c r="FH45" s="55">
        <f>IF($B45=$B44,$FH44,0)+$FG45</f>
        <v/>
      </c>
      <c r="FI45" s="55">
        <f>$FI44+$FG45</f>
        <v/>
      </c>
      <c r="FJ45" s="55">
        <f>SUMIFS(tblGold[Dore_kg],tblGold[Date],$A45,tblGold[Type],"Shipment")</f>
        <v/>
      </c>
      <c r="FK45" s="55">
        <f>IF($B45=$B44,$FK44,0)+$FJ45</f>
        <v/>
      </c>
      <c r="FL45" s="55">
        <f>$FL44+$FJ45</f>
        <v/>
      </c>
      <c r="FM45" s="57">
        <f>SUMIFS(tblSafety[Hours_Total],tblSafety[Date],$A45)</f>
        <v/>
      </c>
      <c r="FN45" s="57">
        <f>IF($B45=$B44,$FN44,0)+$FM45</f>
        <v/>
      </c>
      <c r="FO45" s="57">
        <f>$FO44+$FM45</f>
        <v/>
      </c>
      <c r="FP45" s="62">
        <f>SUMIFS(tblSafety[Fatality],tblSafety[Date],$A45)</f>
        <v/>
      </c>
      <c r="FQ45" s="62">
        <f>IF($B45=$B44,$FQ44,0)+$FP45</f>
        <v/>
      </c>
      <c r="FR45" s="62">
        <f>$FR44+$FP45</f>
        <v/>
      </c>
      <c r="FS45" s="62">
        <f>SUMIFS(tblSafety[LTI],tblSafety[Date],$A45)</f>
        <v/>
      </c>
      <c r="FT45" s="62">
        <f>IF($B45=$B44,$FT44,0)+$FS45</f>
        <v/>
      </c>
      <c r="FU45" s="62">
        <f>$FU44+$FS45</f>
        <v/>
      </c>
      <c r="FV45" s="62">
        <f>SUMIFS(tblSafety[RWI],tblSafety[Date],$A45)</f>
        <v/>
      </c>
      <c r="FW45" s="62">
        <f>IF($B45=$B44,$FW44,0)+$FV45</f>
        <v/>
      </c>
      <c r="FX45" s="62">
        <f>$FX44+$FV45</f>
        <v/>
      </c>
      <c r="FY45" s="62">
        <f>SUMIFS(tblSafety[MTI],tblSafety[Date],$A45)</f>
        <v/>
      </c>
      <c r="FZ45" s="62">
        <f>IF($B45=$B44,$FZ44,0)+$FY45</f>
        <v/>
      </c>
      <c r="GA45" s="62">
        <f>$GA44+$FY45</f>
        <v/>
      </c>
      <c r="GB45" s="62">
        <f>SUMIFS(tblSafety[FAI],tblSafety[Date],$A45)</f>
        <v/>
      </c>
      <c r="GC45" s="62">
        <f>IF($B45=$B44,$GC44,0)+$GB45</f>
        <v/>
      </c>
      <c r="GD45" s="62">
        <f>$GD44+$GB45</f>
        <v/>
      </c>
      <c r="GE45" s="62">
        <f>SUMIFS(tblSafety[Recordables],tblSafety[Date],$A45)</f>
        <v/>
      </c>
      <c r="GF45" s="62">
        <f>IF($B45=$B44,$GF44,0)+$GE45</f>
        <v/>
      </c>
      <c r="GG45" s="62">
        <f>$GG44+$GE45</f>
        <v/>
      </c>
      <c r="GH45" s="62">
        <f>SUMIFS(tblSafety[Near_Miss],tblSafety[Date],$A45)</f>
        <v/>
      </c>
      <c r="GI45" s="62">
        <f>IF($B45=$B44,$GI44,0)+$GH45</f>
        <v/>
      </c>
      <c r="GJ45" s="62">
        <f>$GJ44+$GH45</f>
        <v/>
      </c>
      <c r="GK45" s="62">
        <f>SUMIFS(tblSafety[Hazard_Reports],tblSafety[Date],$A45)</f>
        <v/>
      </c>
      <c r="GL45" s="62">
        <f>IF($B45=$B44,$GL44,0)+$GK45</f>
        <v/>
      </c>
      <c r="GM45" s="62">
        <f>$GM44+$GK45</f>
        <v/>
      </c>
      <c r="GN45" s="62">
        <f>SUMIFS(tblSafety[HPI],tblSafety[Date],$A45)</f>
        <v/>
      </c>
      <c r="GO45" s="62">
        <f>IF($B45=$B44,$GO44,0)+$GN45</f>
        <v/>
      </c>
      <c r="GP45" s="62">
        <f>$GP44+$GN45</f>
        <v/>
      </c>
      <c r="GQ45" s="62">
        <f>SUMIFS(tblSafety[Env_Incidents],tblSafety[Date],$A45)</f>
        <v/>
      </c>
      <c r="GR45" s="62">
        <f>IF($B45=$B44,$GR44,0)+$GQ45</f>
        <v/>
      </c>
      <c r="GS45" s="62">
        <f>$GS44+$GQ45</f>
        <v/>
      </c>
      <c r="GT45" s="62">
        <f>SUMIFS(tblSafety[Community_Incidents],tblSafety[Date],$A45)</f>
        <v/>
      </c>
      <c r="GU45" s="62">
        <f>IF($B45=$B44,$GU44,0)+$GT45</f>
        <v/>
      </c>
      <c r="GV45" s="62">
        <f>$GV44+$GT45</f>
        <v/>
      </c>
      <c r="GW45" s="62">
        <f>SUMIFS(tblSafety[Vehicle_Incidents],tblSafety[Date],$A45)</f>
        <v/>
      </c>
      <c r="GX45" s="62">
        <f>IF($B45=$B44,$GX44,0)+$GW45</f>
        <v/>
      </c>
      <c r="GY45" s="62">
        <f>$GY44+$GW45</f>
        <v/>
      </c>
      <c r="GZ45" s="62">
        <f>SUMIFS(tblSafety[Toolbox_Talks],tblSafety[Date],$A45)</f>
        <v/>
      </c>
      <c r="HA45" s="62">
        <f>IF($B45=$B44,$HA44,0)+$GZ45</f>
        <v/>
      </c>
      <c r="HB45" s="62">
        <f>$HB44+$GZ45</f>
        <v/>
      </c>
      <c r="HC45" s="62">
        <f>SUMIFS(tblSafety[Inspections],tblSafety[Date],$A45)</f>
        <v/>
      </c>
      <c r="HD45" s="62">
        <f>IF($B45=$B44,$HD44,0)+$HC45</f>
        <v/>
      </c>
      <c r="HE45" s="62">
        <f>$HE44+$HC45</f>
        <v/>
      </c>
      <c r="HF45" s="56">
        <f>IFERROR((SUMIFS(tblSafety[Recordables],tblSafety[Date],"&gt;="&amp;EDATE($E45,-12),tblSafety[Date],"&lt;="&amp;$A45)+SUMIFS(tblSafetyHistory[Recordables],tblSafetyHistory[Month],"&gt;="&amp;EDATE($E45,-12),tblSafetyHistory[Month],"&lt;"&amp;cfg_YearStart))/(SUMIFS(tblSafety[Hours_Total],tblSafety[Date],"&gt;="&amp;EDATE($E45,-12),tblSafety[Date],"&lt;="&amp;$A45)+SUMIFS(tblSafetyHistory[Hours_Total],tblSafetyHistory[Month],"&gt;="&amp;EDATE($E45,-12),tblSafetyHistory[Month],"&lt;"&amp;cfg_YearStart))*1000000,"")</f>
        <v/>
      </c>
      <c r="HG45" s="56">
        <f>IFERROR((SUMIFS(tblSafety[LTI],tblSafety[Date],"&gt;="&amp;EDATE($E45,-12),tblSafety[Date],"&lt;="&amp;$A45)+SUMIFS(tblSafetyHistory[LTI],tblSafetyHistory[Month],"&gt;="&amp;EDATE($E45,-12),tblSafetyHistory[Month],"&lt;"&amp;cfg_YearStart))/(SUMIFS(tblSafety[Hours_Total],tblSafety[Date],"&gt;="&amp;EDATE($E45,-12),tblSafety[Date],"&lt;="&amp;$A45)+SUMIFS(tblSafetyHistory[Hours_Total],tblSafetyHistory[Month],"&gt;="&amp;EDATE($E45,-12),tblSafetyHistory[Month],"&lt;"&amp;cfg_YearStart))*1000000,"")</f>
        <v/>
      </c>
      <c r="HH45" s="62">
        <f>IF(MAX(N(cfg_PriorLTIDate),_xlfn.MAXIFS(tblSafety[Date],tblSafety[LTI],"&gt;0",tblSafety[Date],"&lt;="&amp;$A45))=0,"",$A45-MAX(N(cfg_PriorLTIDate),_xlfn.MAXIFS(tblSafety[Date],tblSafety[LTI],"&gt;0",tblSafety[Date],"&lt;="&amp;$A45)))</f>
        <v/>
      </c>
      <c r="HI45" s="55">
        <f>SUMIFS(tblBudget[Ore_Mined_t],tblBudget[Month],$E45)</f>
        <v/>
      </c>
      <c r="HJ45" s="55">
        <f>$HI45*$C45/$D45</f>
        <v/>
      </c>
      <c r="HK45" s="55">
        <f>SUMIFS(tblBudget[Ore_Mined_t],tblBudget[Month],"&lt;"&amp;$E45)+$HJ45</f>
        <v/>
      </c>
      <c r="HL45" s="55">
        <f>SUMIFS(tblBudget[Ore_oz],tblBudget[Month],$E45)</f>
        <v/>
      </c>
      <c r="HM45" s="55">
        <f>$HL45*$C45/$D45</f>
        <v/>
      </c>
      <c r="HN45" s="55">
        <f>SUMIFS(tblBudget[Ore_oz],tblBudget[Month],"&lt;"&amp;$E45)+$HM45</f>
        <v/>
      </c>
      <c r="HO45" s="56">
        <f>IFERROR(IF(($HI45)&gt;0,($HL45*cfg_TroyOz)/($HI45),""),"")</f>
        <v/>
      </c>
      <c r="HP45" s="56">
        <f>IFERROR(IF(($HJ45)&gt;0,($HM45*cfg_TroyOz)/($HJ45),""),"")</f>
        <v/>
      </c>
      <c r="HQ45" s="56">
        <f>IFERROR(IF(($HK45)&gt;0,($HN45*cfg_TroyOz)/($HK45),""),"")</f>
        <v/>
      </c>
      <c r="HR45" s="55">
        <f>SUMIFS(tblBudget[Waste_t],tblBudget[Month],$E45)</f>
        <v/>
      </c>
      <c r="HS45" s="55">
        <f>$HR45*$C45/$D45</f>
        <v/>
      </c>
      <c r="HT45" s="55">
        <f>SUMIFS(tblBudget[Waste_t],tblBudget[Month],"&lt;"&amp;$E45)+$HS45</f>
        <v/>
      </c>
      <c r="HU45" s="55">
        <f>SUMIFS(tblBudget[TMM_t],tblBudget[Month],$E45)</f>
        <v/>
      </c>
      <c r="HV45" s="55">
        <f>$HU45*$C45/$D45</f>
        <v/>
      </c>
      <c r="HW45" s="55">
        <f>SUMIFS(tblBudget[TMM_t],tblBudget[Month],"&lt;"&amp;$E45)+$HV45</f>
        <v/>
      </c>
      <c r="HX45" s="56">
        <f>IFERROR(IF(($HI45)&gt;0,($HR45)/($HI45),""),"")</f>
        <v/>
      </c>
      <c r="HY45" s="56">
        <f>IFERROR(IF(($HJ45)&gt;0,($HS45)/($HJ45),""),"")</f>
        <v/>
      </c>
      <c r="HZ45" s="56">
        <f>IFERROR(IF(($HK45)&gt;0,($HT45)/($HK45),""),"")</f>
        <v/>
      </c>
      <c r="IA45" s="55">
        <f>SUMIFS(tblBudget[Drill_m],tblBudget[Month],$E45)</f>
        <v/>
      </c>
      <c r="IB45" s="55">
        <f>$IA45*$C45/$D45</f>
        <v/>
      </c>
      <c r="IC45" s="55">
        <f>SUMIFS(tblBudget[Drill_m],tblBudget[Month],"&lt;"&amp;$E45)+$IB45</f>
        <v/>
      </c>
      <c r="ID45" s="55">
        <f>SUMIFS(tblBudget[Diesel_L],tblBudget[Month],$E45)</f>
        <v/>
      </c>
      <c r="IE45" s="55">
        <f>$ID45*$C45/$D45</f>
        <v/>
      </c>
      <c r="IF45" s="55">
        <f>SUMIFS(tblBudget[Diesel_L],tblBudget[Month],"&lt;"&amp;$E45)+$IE45</f>
        <v/>
      </c>
      <c r="IG45" s="55">
        <f>SUMIFS(tblBudget[Milled_t],tblBudget[Month],$E45)</f>
        <v/>
      </c>
      <c r="IH45" s="55">
        <f>$IG45*$C45/$D45</f>
        <v/>
      </c>
      <c r="II45" s="55">
        <f>SUMIFS(tblBudget[Milled_t],tblBudget[Month],"&lt;"&amp;$E45)+$IH45</f>
        <v/>
      </c>
      <c r="IJ45" s="55">
        <f>SUMIFS(tblBudget[Feed_oz],tblBudget[Month],$E45)</f>
        <v/>
      </c>
      <c r="IK45" s="55">
        <f>$IJ45*$C45/$D45</f>
        <v/>
      </c>
      <c r="IL45" s="55">
        <f>SUMIFS(tblBudget[Feed_oz],tblBudget[Month],"&lt;"&amp;$E45)+$IK45</f>
        <v/>
      </c>
      <c r="IM45" s="55">
        <f>SUMIFS(tblBudget[Recovered_oz],tblBudget[Month],$E45)</f>
        <v/>
      </c>
      <c r="IN45" s="55">
        <f>$IM45*$C45/$D45</f>
        <v/>
      </c>
      <c r="IO45" s="55">
        <f>SUMIFS(tblBudget[Recovered_oz],tblBudget[Month],"&lt;"&amp;$E45)+$IN45</f>
        <v/>
      </c>
      <c r="IP45" s="56">
        <f>IFERROR(IF(($IG45)&gt;0,($IJ45*cfg_TroyOz)/($IG45),""),"")</f>
        <v/>
      </c>
      <c r="IQ45" s="56">
        <f>IFERROR(IF(($IH45)&gt;0,($IK45*cfg_TroyOz)/($IH45),""),"")</f>
        <v/>
      </c>
      <c r="IR45" s="56">
        <f>IFERROR(IF(($II45)&gt;0,($IL45*cfg_TroyOz)/($II45),""),"")</f>
        <v/>
      </c>
      <c r="IS45" s="67">
        <f>IFERROR(IF(($IJ45)&gt;0,($IM45)/($IJ45),""),"")</f>
        <v/>
      </c>
      <c r="IT45" s="67">
        <f>IFERROR(IF(($IK45)&gt;0,($IN45)/($IK45),""),"")</f>
        <v/>
      </c>
      <c r="IU45" s="67">
        <f>IFERROR(IF(($IL45)&gt;0,($IO45)/($IL45),""),"")</f>
        <v/>
      </c>
      <c r="IV45" s="55">
        <f>SUMIFS(tblBudget[Gold_Poured_oz],tblBudget[Month],$E45)</f>
        <v/>
      </c>
      <c r="IW45" s="55">
        <f>$IV45*$C45/$D45</f>
        <v/>
      </c>
      <c r="IX45" s="55">
        <f>SUMIFS(tblBudget[Gold_Poured_oz],tblBudget[Month],"&lt;"&amp;$E45)+$IW45</f>
        <v/>
      </c>
      <c r="IY45" s="57">
        <f>SUMIFS(tblBudget[Hours_Worked],tblBudget[Month],$E45)</f>
        <v/>
      </c>
      <c r="IZ45" s="57">
        <f>$IY45*$C45/$D45</f>
        <v/>
      </c>
      <c r="JA45" s="57">
        <f>SUMIFS(tblBudget[Hours_Worked],tblBudget[Month],"&lt;"&amp;$E45)+$IZ45</f>
        <v/>
      </c>
    </row>
    <row r="46">
      <c r="A46" s="54" t="n">
        <v>46067</v>
      </c>
      <c r="B46">
        <f>MONTH($A46)</f>
        <v/>
      </c>
      <c r="C46">
        <f>DAY($A46)</f>
        <v/>
      </c>
      <c r="D46">
        <f>DAY(EOMONTH($A46,0))</f>
        <v/>
      </c>
      <c r="E46" s="54">
        <f>DATE(YEAR($A46),MONTH($A46),1)</f>
        <v/>
      </c>
      <c r="F46" s="55">
        <f>SUMIFS(tblMovement[Tonnes_t],tblMovement[Date],$A46,tblMovement[Is_Ore],1,tblMovement[Source_Type],"Pit")</f>
        <v/>
      </c>
      <c r="G46" s="55">
        <f>IF($B46=$B45,$G45,0)+$F46</f>
        <v/>
      </c>
      <c r="H46" s="55">
        <f>$H45+$F46</f>
        <v/>
      </c>
      <c r="I46" s="55">
        <f>SUMIFS(tblMovement[Ore_oz],tblMovement[Date],$A46,tblMovement[Source_Type],"Pit")</f>
        <v/>
      </c>
      <c r="J46" s="55">
        <f>IF($B46=$B45,$J45,0)+$I46</f>
        <v/>
      </c>
      <c r="K46" s="55">
        <f>$K45+$I46</f>
        <v/>
      </c>
      <c r="L46" s="56">
        <f>IFERROR(IF(($F46)&gt;0,($I46*cfg_TroyOz)/($F46),""),"")</f>
        <v/>
      </c>
      <c r="M46" s="56">
        <f>IFERROR(IF(($G46)&gt;0,($J46*cfg_TroyOz)/($G46),""),"")</f>
        <v/>
      </c>
      <c r="N46" s="56">
        <f>IFERROR(IF(($H46)&gt;0,($K46*cfg_TroyOz)/($H46),""),"")</f>
        <v/>
      </c>
      <c r="O46" s="55">
        <f>SUMIFS(tblMovement[Tonnes_t],tblMovement[Date],$A46,tblMovement[Is_Ore],0,tblMovement[Source_Type],"Pit")</f>
        <v/>
      </c>
      <c r="P46" s="55">
        <f>IF($B46=$B45,$P45,0)+$O46</f>
        <v/>
      </c>
      <c r="Q46" s="55">
        <f>$Q45+$O46</f>
        <v/>
      </c>
      <c r="R46" s="55">
        <f>$F46+$O46</f>
        <v/>
      </c>
      <c r="S46" s="55">
        <f>IF($B46=$B45,$S45,0)+$R46</f>
        <v/>
      </c>
      <c r="T46" s="55">
        <f>$T45+$R46</f>
        <v/>
      </c>
      <c r="U46" s="56">
        <f>IFERROR(IF(($F46)&gt;0,($O46)/($F46),""),"")</f>
        <v/>
      </c>
      <c r="V46" s="56">
        <f>IFERROR(IF(($G46)&gt;0,($P46)/($G46),""),"")</f>
        <v/>
      </c>
      <c r="W46" s="56">
        <f>IFERROR(IF(($H46)&gt;0,($Q46)/($H46),""),"")</f>
        <v/>
      </c>
      <c r="X46" s="55">
        <f>SUMIFS(tblMovement[Tonnes_t],tblMovement[Date],$A46,tblMovement[Source_Type],"Stockpile")</f>
        <v/>
      </c>
      <c r="Y46" s="55">
        <f>IF($B46=$B45,$Y45,0)+$X46</f>
        <v/>
      </c>
      <c r="Z46" s="55">
        <f>$Z45+$X46</f>
        <v/>
      </c>
      <c r="AA46" s="55">
        <f>SUMIFS(tblMiningDaily[Drill_m],tblMiningDaily[Date],$A46)</f>
        <v/>
      </c>
      <c r="AB46" s="55">
        <f>IF($B46=$B45,$AB45,0)+$AA46</f>
        <v/>
      </c>
      <c r="AC46" s="55">
        <f>$AC45+$AA46</f>
        <v/>
      </c>
      <c r="AD46" s="55">
        <f>SUMIFS(tblMiningDaily[Blast_t],tblMiningDaily[Date],$A46)</f>
        <v/>
      </c>
      <c r="AE46" s="55">
        <f>IF($B46=$B45,$AE45,0)+$AD46</f>
        <v/>
      </c>
      <c r="AF46" s="55">
        <f>$AF45+$AD46</f>
        <v/>
      </c>
      <c r="AG46" s="55">
        <f>SUMIFS(tblMiningDaily[Explosives_kg],tblMiningDaily[Date],$A46)</f>
        <v/>
      </c>
      <c r="AH46" s="55">
        <f>IF($B46=$B45,$AH45,0)+$AG46</f>
        <v/>
      </c>
      <c r="AI46" s="55">
        <f>$AI45+$AG46</f>
        <v/>
      </c>
      <c r="AJ46" s="56">
        <f>IFERROR(IF(($AD46)&gt;0,($AG46)/($AD46),""),"")</f>
        <v/>
      </c>
      <c r="AK46" s="56">
        <f>IFERROR(IF(($AE46)&gt;0,($AH46)/($AE46),""),"")</f>
        <v/>
      </c>
      <c r="AL46" s="56">
        <f>IFERROR(IF(($AF46)&gt;0,($AI46)/($AF46),""),"")</f>
        <v/>
      </c>
      <c r="AM46" s="55">
        <f>SUMIFS(tblMiningDaily[Diesel_L],tblMiningDaily[Date],$A46)</f>
        <v/>
      </c>
      <c r="AN46" s="55">
        <f>IF($B46=$B45,$AN45,0)+$AM46</f>
        <v/>
      </c>
      <c r="AO46" s="55">
        <f>$AO45+$AM46</f>
        <v/>
      </c>
      <c r="AP46" s="55">
        <f>SUMIFS(tblMiningDaily[Dewatering_m3],tblMiningDaily[Date],$A46)</f>
        <v/>
      </c>
      <c r="AQ46" s="55">
        <f>IF($B46=$B45,$AQ45,0)+$AP46</f>
        <v/>
      </c>
      <c r="AR46" s="55">
        <f>$AR45+$AP46</f>
        <v/>
      </c>
      <c r="AS46" s="57">
        <f>SUMIFS(tblFleet[Calendar_h],tblFleet[Date],$A46,tblFleet[Equipment_Class],"Excavator")</f>
        <v/>
      </c>
      <c r="AT46" s="57">
        <f>IF($B46=$B45,$AT45,0)+$AS46</f>
        <v/>
      </c>
      <c r="AU46" s="57">
        <f>$AU45+$AS46</f>
        <v/>
      </c>
      <c r="AV46" s="57">
        <f>SUMIFS(tblFleet[Available_h],tblFleet[Date],$A46,tblFleet[Equipment_Class],"Excavator")</f>
        <v/>
      </c>
      <c r="AW46" s="57">
        <f>IF($B46=$B45,$AW45,0)+$AV46</f>
        <v/>
      </c>
      <c r="AX46" s="57">
        <f>$AX45+$AV46</f>
        <v/>
      </c>
      <c r="AY46" s="57">
        <f>SUMIFS(tblFleet[Operating_h],tblFleet[Date],$A46,tblFleet[Equipment_Class],"Excavator")</f>
        <v/>
      </c>
      <c r="AZ46" s="57">
        <f>IF($B46=$B45,$AZ45,0)+$AY46</f>
        <v/>
      </c>
      <c r="BA46" s="57">
        <f>$BA45+$AY46</f>
        <v/>
      </c>
      <c r="BB46" s="67">
        <f>IFERROR(IF(($AS46)&gt;0,($AV46)/($AS46),""),"")</f>
        <v/>
      </c>
      <c r="BC46" s="67">
        <f>IFERROR(IF(($AT46)&gt;0,($AW46)/($AT46),""),"")</f>
        <v/>
      </c>
      <c r="BD46" s="67">
        <f>IFERROR(IF(($AU46)&gt;0,($AX46)/($AU46),""),"")</f>
        <v/>
      </c>
      <c r="BE46" s="67">
        <f>IFERROR(IF(($AV46)&gt;0,($AY46)/($AV46),""),"")</f>
        <v/>
      </c>
      <c r="BF46" s="67">
        <f>IFERROR(IF(($AW46)&gt;0,($AZ46)/($AW46),""),"")</f>
        <v/>
      </c>
      <c r="BG46" s="67">
        <f>IFERROR(IF(($AX46)&gt;0,($BA46)/($AX46),""),"")</f>
        <v/>
      </c>
      <c r="BH46" s="57">
        <f>SUMIFS(tblFleet[Calendar_h],tblFleet[Date],$A46,tblFleet[Equipment_Class],"Haul Truck")</f>
        <v/>
      </c>
      <c r="BI46" s="57">
        <f>IF($B46=$B45,$BI45,0)+$BH46</f>
        <v/>
      </c>
      <c r="BJ46" s="57">
        <f>$BJ45+$BH46</f>
        <v/>
      </c>
      <c r="BK46" s="57">
        <f>SUMIFS(tblFleet[Available_h],tblFleet[Date],$A46,tblFleet[Equipment_Class],"Haul Truck")</f>
        <v/>
      </c>
      <c r="BL46" s="57">
        <f>IF($B46=$B45,$BL45,0)+$BK46</f>
        <v/>
      </c>
      <c r="BM46" s="57">
        <f>$BM45+$BK46</f>
        <v/>
      </c>
      <c r="BN46" s="57">
        <f>SUMIFS(tblFleet[Operating_h],tblFleet[Date],$A46,tblFleet[Equipment_Class],"Haul Truck")</f>
        <v/>
      </c>
      <c r="BO46" s="57">
        <f>IF($B46=$B45,$BO45,0)+$BN46</f>
        <v/>
      </c>
      <c r="BP46" s="57">
        <f>$BP45+$BN46</f>
        <v/>
      </c>
      <c r="BQ46" s="67">
        <f>IFERROR(IF(($BH46)&gt;0,($BK46)/($BH46),""),"")</f>
        <v/>
      </c>
      <c r="BR46" s="67">
        <f>IFERROR(IF(($BI46)&gt;0,($BL46)/($BI46),""),"")</f>
        <v/>
      </c>
      <c r="BS46" s="67">
        <f>IFERROR(IF(($BJ46)&gt;0,($BM46)/($BJ46),""),"")</f>
        <v/>
      </c>
      <c r="BT46" s="67">
        <f>IFERROR(IF(($BK46)&gt;0,($BN46)/($BK46),""),"")</f>
        <v/>
      </c>
      <c r="BU46" s="67">
        <f>IFERROR(IF(($BL46)&gt;0,($BO46)/($BL46),""),"")</f>
        <v/>
      </c>
      <c r="BV46" s="67">
        <f>IFERROR(IF(($BM46)&gt;0,($BP46)/($BM46),""),"")</f>
        <v/>
      </c>
      <c r="BW46" s="55">
        <f>SUMIFS(tblPlant[Crushed_t],tblPlant[Date],$A46)</f>
        <v/>
      </c>
      <c r="BX46" s="55">
        <f>IF($B46=$B45,$BX45,0)+$BW46</f>
        <v/>
      </c>
      <c r="BY46" s="55">
        <f>$BY45+$BW46</f>
        <v/>
      </c>
      <c r="BZ46" s="55">
        <f>SUMIFS(tblPlant[Milled_t],tblPlant[Date],$A46)</f>
        <v/>
      </c>
      <c r="CA46" s="55">
        <f>IF($B46=$B45,$CA45,0)+$BZ46</f>
        <v/>
      </c>
      <c r="CB46" s="55">
        <f>$CB45+$BZ46</f>
        <v/>
      </c>
      <c r="CC46" s="55">
        <f>SUMIFS(tblPlant[Feed_oz],tblPlant[Date],$A46)</f>
        <v/>
      </c>
      <c r="CD46" s="55">
        <f>IF($B46=$B45,$CD45,0)+$CC46</f>
        <v/>
      </c>
      <c r="CE46" s="55">
        <f>$CE45+$CC46</f>
        <v/>
      </c>
      <c r="CF46" s="55">
        <f>SUMIFS(tblPlant[Tails_oz],tblPlant[Date],$A46)</f>
        <v/>
      </c>
      <c r="CG46" s="55">
        <f>IF($B46=$B45,$CG45,0)+$CF46</f>
        <v/>
      </c>
      <c r="CH46" s="55">
        <f>$CH45+$CF46</f>
        <v/>
      </c>
      <c r="CI46" s="55">
        <f>SUMIFS(tblPlant[Recovered_oz],tblPlant[Date],$A46)</f>
        <v/>
      </c>
      <c r="CJ46" s="55">
        <f>IF($B46=$B45,$CJ45,0)+$CI46</f>
        <v/>
      </c>
      <c r="CK46" s="55">
        <f>$CK45+$CI46</f>
        <v/>
      </c>
      <c r="CL46" s="56">
        <f>IFERROR(IF(($BZ46)&gt;0,($CC46*cfg_TroyOz)/($BZ46),""),"")</f>
        <v/>
      </c>
      <c r="CM46" s="56">
        <f>IFERROR(IF(($CA46)&gt;0,($CD46*cfg_TroyOz)/($CA46),""),"")</f>
        <v/>
      </c>
      <c r="CN46" s="56">
        <f>IFERROR(IF(($CB46)&gt;0,($CE46*cfg_TroyOz)/($CB46),""),"")</f>
        <v/>
      </c>
      <c r="CO46" s="56">
        <f>IFERROR(IF(($BZ46)&gt;0,($CF46*cfg_TroyOz)/($BZ46),""),"")</f>
        <v/>
      </c>
      <c r="CP46" s="56">
        <f>IFERROR(IF(($CA46)&gt;0,($CG46*cfg_TroyOz)/($CA46),""),"")</f>
        <v/>
      </c>
      <c r="CQ46" s="56">
        <f>IFERROR(IF(($CB46)&gt;0,($CH46*cfg_TroyOz)/($CB46),""),"")</f>
        <v/>
      </c>
      <c r="CR46" s="67">
        <f>IFERROR(IF(($CC46)&gt;0,($CI46)/($CC46),""),"")</f>
        <v/>
      </c>
      <c r="CS46" s="67">
        <f>IFERROR(IF(($CD46)&gt;0,($CJ46)/($CD46),""),"")</f>
        <v/>
      </c>
      <c r="CT46" s="67">
        <f>IFERROR(IF(($CE46)&gt;0,($CK46)/($CE46),""),"")</f>
        <v/>
      </c>
      <c r="CU46" s="55">
        <f>SUMIFS(tblPlant[Gravity_Gold_oz],tblPlant[Date],$A46)</f>
        <v/>
      </c>
      <c r="CV46" s="55">
        <f>IF($B46=$B45,$CV45,0)+$CU46</f>
        <v/>
      </c>
      <c r="CW46" s="55">
        <f>$CW45+$CU46</f>
        <v/>
      </c>
      <c r="CX46" s="55">
        <f>SUMIFS(tblPlant[Gold_Poured_oz],tblPlant[Date],$A46)</f>
        <v/>
      </c>
      <c r="CY46" s="55">
        <f>IF($B46=$B45,$CY45,0)+$CX46</f>
        <v/>
      </c>
      <c r="CZ46" s="55">
        <f>$CZ45+$CX46</f>
        <v/>
      </c>
      <c r="DA46" s="57">
        <f>SUMIFS(tblPlant[Mill_Run_h],tblPlant[Date],$A46)</f>
        <v/>
      </c>
      <c r="DB46" s="57">
        <f>IF($B46=$B45,$DB45,0)+$DA46</f>
        <v/>
      </c>
      <c r="DC46" s="57">
        <f>$DC45+$DA46</f>
        <v/>
      </c>
      <c r="DD46" s="57">
        <f>SUMIFS(tblPlant[Mill_Planned_Maint_h],tblPlant[Date],$A46)</f>
        <v/>
      </c>
      <c r="DE46" s="57">
        <f>IF($B46=$B45,$DE45,0)+$DD46</f>
        <v/>
      </c>
      <c r="DF46" s="57">
        <f>$DF45+$DD46</f>
        <v/>
      </c>
      <c r="DG46" s="57">
        <f>SUMIFS(tblPlant[Mill_Unplanned_Down_h],tblPlant[Date],$A46)</f>
        <v/>
      </c>
      <c r="DH46" s="57">
        <f>IF($B46=$B45,$DH45,0)+$DG46</f>
        <v/>
      </c>
      <c r="DI46" s="57">
        <f>$DI45+$DG46</f>
        <v/>
      </c>
      <c r="DJ46" s="57">
        <f>COUNTIFS(tblPlant[Date],$A46,tblPlant[Mill_Run_h],"&lt;&gt;")*24</f>
        <v/>
      </c>
      <c r="DK46" s="57">
        <f>IF($B46=$B45,$DK45,0)+$DJ46</f>
        <v/>
      </c>
      <c r="DL46" s="57">
        <f>$DL45+$DJ46</f>
        <v/>
      </c>
      <c r="DM46" s="57">
        <f>SUMIFS(tblPlant[Crusher_Run_h],tblPlant[Date],$A46)</f>
        <v/>
      </c>
      <c r="DN46" s="57">
        <f>IF($B46=$B45,$DN45,0)+$DM46</f>
        <v/>
      </c>
      <c r="DO46" s="57">
        <f>$DO45+$DM46</f>
        <v/>
      </c>
      <c r="DP46" s="55">
        <f>IFERROR(IF(($DA46)&gt;0,($BZ46)/($DA46),""),"")</f>
        <v/>
      </c>
      <c r="DQ46" s="55">
        <f>IFERROR(IF(($DB46)&gt;0,($CA46)/($DB46),""),"")</f>
        <v/>
      </c>
      <c r="DR46" s="55">
        <f>IFERROR(IF(($DC46)&gt;0,($CB46)/($DC46),""),"")</f>
        <v/>
      </c>
      <c r="DS46" s="67">
        <f>IFERROR(IF(($DJ46)&gt;0,($DJ46-$DD46-$DG46)/($DJ46),""),"")</f>
        <v/>
      </c>
      <c r="DT46" s="67">
        <f>IFERROR(IF(($DK46)&gt;0,($DK46-$DE46-$DH46)/($DK46),""),"")</f>
        <v/>
      </c>
      <c r="DU46" s="67">
        <f>IFERROR(IF(($DL46)&gt;0,($DL46-$DF46-$DI46)/($DL46),""),"")</f>
        <v/>
      </c>
      <c r="DV46" s="67">
        <f>IFERROR(IF(($DJ46-$DD46-$DG46)&gt;0,($DA46)/($DJ46-$DD46-$DG46),""),"")</f>
        <v/>
      </c>
      <c r="DW46" s="67">
        <f>IFERROR(IF(($DK46-$DE46-$DH46)&gt;0,($DB46)/($DK46-$DE46-$DH46),""),"")</f>
        <v/>
      </c>
      <c r="DX46" s="67">
        <f>IFERROR(IF(($DL46-$DF46-$DI46)&gt;0,($DC46)/($DL46-$DF46-$DI46),""),"")</f>
        <v/>
      </c>
      <c r="DY46" s="55">
        <f>SUMIFS(tblPlant[Cyanide_kg],tblPlant[Date],$A46)</f>
        <v/>
      </c>
      <c r="DZ46" s="55">
        <f>IF($B46=$B45,$DZ45,0)+$DY46</f>
        <v/>
      </c>
      <c r="EA46" s="55">
        <f>$EA45+$DY46</f>
        <v/>
      </c>
      <c r="EB46" s="55">
        <f>SUMIFS(tblPlant[Lime_kg],tblPlant[Date],$A46)</f>
        <v/>
      </c>
      <c r="EC46" s="55">
        <f>IF($B46=$B45,$EC45,0)+$EB46</f>
        <v/>
      </c>
      <c r="ED46" s="55">
        <f>$ED45+$EB46</f>
        <v/>
      </c>
      <c r="EE46" s="55">
        <f>SUMIFS(tblPlant[Grinding_Media_kg],tblPlant[Date],$A46)</f>
        <v/>
      </c>
      <c r="EF46" s="55">
        <f>IF($B46=$B45,$EF45,0)+$EE46</f>
        <v/>
      </c>
      <c r="EG46" s="55">
        <f>$EG45+$EE46</f>
        <v/>
      </c>
      <c r="EH46" s="55">
        <f>SUMIFS(tblPlant[Power_kWh],tblPlant[Date],$A46)</f>
        <v/>
      </c>
      <c r="EI46" s="55">
        <f>IF($B46=$B45,$EI45,0)+$EH46</f>
        <v/>
      </c>
      <c r="EJ46" s="55">
        <f>$EJ45+$EH46</f>
        <v/>
      </c>
      <c r="EK46" s="55">
        <f>SUMIFS(tblPlant[Raw_Water_m3],tblPlant[Date],$A46)</f>
        <v/>
      </c>
      <c r="EL46" s="55">
        <f>IF($B46=$B45,$EL45,0)+$EK46</f>
        <v/>
      </c>
      <c r="EM46" s="55">
        <f>$EM45+$EK46</f>
        <v/>
      </c>
      <c r="EN46" s="56">
        <f>IFERROR(IF(($BZ46)&gt;0,($DY46)/($BZ46),""),"")</f>
        <v/>
      </c>
      <c r="EO46" s="56">
        <f>IFERROR(IF(($CA46)&gt;0,($DZ46)/($CA46),""),"")</f>
        <v/>
      </c>
      <c r="EP46" s="56">
        <f>IFERROR(IF(($CB46)&gt;0,($EA46)/($CB46),""),"")</f>
        <v/>
      </c>
      <c r="EQ46" s="56">
        <f>IFERROR(IF(($BZ46)&gt;0,($EB46)/($BZ46),""),"")</f>
        <v/>
      </c>
      <c r="ER46" s="56">
        <f>IFERROR(IF(($CA46)&gt;0,($EC46)/($CA46),""),"")</f>
        <v/>
      </c>
      <c r="ES46" s="56">
        <f>IFERROR(IF(($CB46)&gt;0,($ED46)/($CB46),""),"")</f>
        <v/>
      </c>
      <c r="ET46" s="56">
        <f>IFERROR(IF(($BZ46)&gt;0,($EE46)/($BZ46),""),"")</f>
        <v/>
      </c>
      <c r="EU46" s="56">
        <f>IFERROR(IF(($CA46)&gt;0,($EF46)/($CA46),""),"")</f>
        <v/>
      </c>
      <c r="EV46" s="56">
        <f>IFERROR(IF(($CB46)&gt;0,($EG46)/($CB46),""),"")</f>
        <v/>
      </c>
      <c r="EW46" s="76">
        <f>IFERROR(IF(($BZ46)&gt;0,($EH46)/($BZ46),""),"")</f>
        <v/>
      </c>
      <c r="EX46" s="76">
        <f>IFERROR(IF(($CA46)&gt;0,($EI46)/($CA46),""),"")</f>
        <v/>
      </c>
      <c r="EY46" s="76">
        <f>IFERROR(IF(($CB46)&gt;0,($EJ46)/($CB46),""),"")</f>
        <v/>
      </c>
      <c r="EZ46" s="56">
        <f>IFERROR(IF(($BZ46)&gt;0,($EK46)/($BZ46),""),"")</f>
        <v/>
      </c>
      <c r="FA46" s="56">
        <f>IFERROR(IF(($CA46)&gt;0,($EL46)/($CA46),""),"")</f>
        <v/>
      </c>
      <c r="FB46" s="56">
        <f>IFERROR(IF(($CB46)&gt;0,($EM46)/($CB46),""),"")</f>
        <v/>
      </c>
      <c r="FC46" s="55">
        <f>IF(SUMIFS(tblPlant[GIC_oz],tblPlant[Date],$A46)&gt;0,SUMIFS(tblPlant[GIC_oz],tblPlant[Date],$A46),"")</f>
        <v/>
      </c>
      <c r="FD46" s="55">
        <f>SUMIFS(tblGold[Gold_oz],tblGold[Date],$A46,tblGold[Type],"Shipment")</f>
        <v/>
      </c>
      <c r="FE46" s="55">
        <f>IF($B46=$B45,$FE45,0)+$FD46</f>
        <v/>
      </c>
      <c r="FF46" s="55">
        <f>$FF45+$FD46</f>
        <v/>
      </c>
      <c r="FG46" s="55">
        <f>SUMIFS(tblGold[Gold_oz],tblGold[Date],$A46,tblGold[Type],"Sale")</f>
        <v/>
      </c>
      <c r="FH46" s="55">
        <f>IF($B46=$B45,$FH45,0)+$FG46</f>
        <v/>
      </c>
      <c r="FI46" s="55">
        <f>$FI45+$FG46</f>
        <v/>
      </c>
      <c r="FJ46" s="55">
        <f>SUMIFS(tblGold[Dore_kg],tblGold[Date],$A46,tblGold[Type],"Shipment")</f>
        <v/>
      </c>
      <c r="FK46" s="55">
        <f>IF($B46=$B45,$FK45,0)+$FJ46</f>
        <v/>
      </c>
      <c r="FL46" s="55">
        <f>$FL45+$FJ46</f>
        <v/>
      </c>
      <c r="FM46" s="57">
        <f>SUMIFS(tblSafety[Hours_Total],tblSafety[Date],$A46)</f>
        <v/>
      </c>
      <c r="FN46" s="57">
        <f>IF($B46=$B45,$FN45,0)+$FM46</f>
        <v/>
      </c>
      <c r="FO46" s="57">
        <f>$FO45+$FM46</f>
        <v/>
      </c>
      <c r="FP46" s="62">
        <f>SUMIFS(tblSafety[Fatality],tblSafety[Date],$A46)</f>
        <v/>
      </c>
      <c r="FQ46" s="62">
        <f>IF($B46=$B45,$FQ45,0)+$FP46</f>
        <v/>
      </c>
      <c r="FR46" s="62">
        <f>$FR45+$FP46</f>
        <v/>
      </c>
      <c r="FS46" s="62">
        <f>SUMIFS(tblSafety[LTI],tblSafety[Date],$A46)</f>
        <v/>
      </c>
      <c r="FT46" s="62">
        <f>IF($B46=$B45,$FT45,0)+$FS46</f>
        <v/>
      </c>
      <c r="FU46" s="62">
        <f>$FU45+$FS46</f>
        <v/>
      </c>
      <c r="FV46" s="62">
        <f>SUMIFS(tblSafety[RWI],tblSafety[Date],$A46)</f>
        <v/>
      </c>
      <c r="FW46" s="62">
        <f>IF($B46=$B45,$FW45,0)+$FV46</f>
        <v/>
      </c>
      <c r="FX46" s="62">
        <f>$FX45+$FV46</f>
        <v/>
      </c>
      <c r="FY46" s="62">
        <f>SUMIFS(tblSafety[MTI],tblSafety[Date],$A46)</f>
        <v/>
      </c>
      <c r="FZ46" s="62">
        <f>IF($B46=$B45,$FZ45,0)+$FY46</f>
        <v/>
      </c>
      <c r="GA46" s="62">
        <f>$GA45+$FY46</f>
        <v/>
      </c>
      <c r="GB46" s="62">
        <f>SUMIFS(tblSafety[FAI],tblSafety[Date],$A46)</f>
        <v/>
      </c>
      <c r="GC46" s="62">
        <f>IF($B46=$B45,$GC45,0)+$GB46</f>
        <v/>
      </c>
      <c r="GD46" s="62">
        <f>$GD45+$GB46</f>
        <v/>
      </c>
      <c r="GE46" s="62">
        <f>SUMIFS(tblSafety[Recordables],tblSafety[Date],$A46)</f>
        <v/>
      </c>
      <c r="GF46" s="62">
        <f>IF($B46=$B45,$GF45,0)+$GE46</f>
        <v/>
      </c>
      <c r="GG46" s="62">
        <f>$GG45+$GE46</f>
        <v/>
      </c>
      <c r="GH46" s="62">
        <f>SUMIFS(tblSafety[Near_Miss],tblSafety[Date],$A46)</f>
        <v/>
      </c>
      <c r="GI46" s="62">
        <f>IF($B46=$B45,$GI45,0)+$GH46</f>
        <v/>
      </c>
      <c r="GJ46" s="62">
        <f>$GJ45+$GH46</f>
        <v/>
      </c>
      <c r="GK46" s="62">
        <f>SUMIFS(tblSafety[Hazard_Reports],tblSafety[Date],$A46)</f>
        <v/>
      </c>
      <c r="GL46" s="62">
        <f>IF($B46=$B45,$GL45,0)+$GK46</f>
        <v/>
      </c>
      <c r="GM46" s="62">
        <f>$GM45+$GK46</f>
        <v/>
      </c>
      <c r="GN46" s="62">
        <f>SUMIFS(tblSafety[HPI],tblSafety[Date],$A46)</f>
        <v/>
      </c>
      <c r="GO46" s="62">
        <f>IF($B46=$B45,$GO45,0)+$GN46</f>
        <v/>
      </c>
      <c r="GP46" s="62">
        <f>$GP45+$GN46</f>
        <v/>
      </c>
      <c r="GQ46" s="62">
        <f>SUMIFS(tblSafety[Env_Incidents],tblSafety[Date],$A46)</f>
        <v/>
      </c>
      <c r="GR46" s="62">
        <f>IF($B46=$B45,$GR45,0)+$GQ46</f>
        <v/>
      </c>
      <c r="GS46" s="62">
        <f>$GS45+$GQ46</f>
        <v/>
      </c>
      <c r="GT46" s="62">
        <f>SUMIFS(tblSafety[Community_Incidents],tblSafety[Date],$A46)</f>
        <v/>
      </c>
      <c r="GU46" s="62">
        <f>IF($B46=$B45,$GU45,0)+$GT46</f>
        <v/>
      </c>
      <c r="GV46" s="62">
        <f>$GV45+$GT46</f>
        <v/>
      </c>
      <c r="GW46" s="62">
        <f>SUMIFS(tblSafety[Vehicle_Incidents],tblSafety[Date],$A46)</f>
        <v/>
      </c>
      <c r="GX46" s="62">
        <f>IF($B46=$B45,$GX45,0)+$GW46</f>
        <v/>
      </c>
      <c r="GY46" s="62">
        <f>$GY45+$GW46</f>
        <v/>
      </c>
      <c r="GZ46" s="62">
        <f>SUMIFS(tblSafety[Toolbox_Talks],tblSafety[Date],$A46)</f>
        <v/>
      </c>
      <c r="HA46" s="62">
        <f>IF($B46=$B45,$HA45,0)+$GZ46</f>
        <v/>
      </c>
      <c r="HB46" s="62">
        <f>$HB45+$GZ46</f>
        <v/>
      </c>
      <c r="HC46" s="62">
        <f>SUMIFS(tblSafety[Inspections],tblSafety[Date],$A46)</f>
        <v/>
      </c>
      <c r="HD46" s="62">
        <f>IF($B46=$B45,$HD45,0)+$HC46</f>
        <v/>
      </c>
      <c r="HE46" s="62">
        <f>$HE45+$HC46</f>
        <v/>
      </c>
      <c r="HF46" s="56">
        <f>IFERROR((SUMIFS(tblSafety[Recordables],tblSafety[Date],"&gt;="&amp;EDATE($E46,-12),tblSafety[Date],"&lt;="&amp;$A46)+SUMIFS(tblSafetyHistory[Recordables],tblSafetyHistory[Month],"&gt;="&amp;EDATE($E46,-12),tblSafetyHistory[Month],"&lt;"&amp;cfg_YearStart))/(SUMIFS(tblSafety[Hours_Total],tblSafety[Date],"&gt;="&amp;EDATE($E46,-12),tblSafety[Date],"&lt;="&amp;$A46)+SUMIFS(tblSafetyHistory[Hours_Total],tblSafetyHistory[Month],"&gt;="&amp;EDATE($E46,-12),tblSafetyHistory[Month],"&lt;"&amp;cfg_YearStart))*1000000,"")</f>
        <v/>
      </c>
      <c r="HG46" s="56">
        <f>IFERROR((SUMIFS(tblSafety[LTI],tblSafety[Date],"&gt;="&amp;EDATE($E46,-12),tblSafety[Date],"&lt;="&amp;$A46)+SUMIFS(tblSafetyHistory[LTI],tblSafetyHistory[Month],"&gt;="&amp;EDATE($E46,-12),tblSafetyHistory[Month],"&lt;"&amp;cfg_YearStart))/(SUMIFS(tblSafety[Hours_Total],tblSafety[Date],"&gt;="&amp;EDATE($E46,-12),tblSafety[Date],"&lt;="&amp;$A46)+SUMIFS(tblSafetyHistory[Hours_Total],tblSafetyHistory[Month],"&gt;="&amp;EDATE($E46,-12),tblSafetyHistory[Month],"&lt;"&amp;cfg_YearStart))*1000000,"")</f>
        <v/>
      </c>
      <c r="HH46" s="62">
        <f>IF(MAX(N(cfg_PriorLTIDate),_xlfn.MAXIFS(tblSafety[Date],tblSafety[LTI],"&gt;0",tblSafety[Date],"&lt;="&amp;$A46))=0,"",$A46-MAX(N(cfg_PriorLTIDate),_xlfn.MAXIFS(tblSafety[Date],tblSafety[LTI],"&gt;0",tblSafety[Date],"&lt;="&amp;$A46)))</f>
        <v/>
      </c>
      <c r="HI46" s="55">
        <f>SUMIFS(tblBudget[Ore_Mined_t],tblBudget[Month],$E46)</f>
        <v/>
      </c>
      <c r="HJ46" s="55">
        <f>$HI46*$C46/$D46</f>
        <v/>
      </c>
      <c r="HK46" s="55">
        <f>SUMIFS(tblBudget[Ore_Mined_t],tblBudget[Month],"&lt;"&amp;$E46)+$HJ46</f>
        <v/>
      </c>
      <c r="HL46" s="55">
        <f>SUMIFS(tblBudget[Ore_oz],tblBudget[Month],$E46)</f>
        <v/>
      </c>
      <c r="HM46" s="55">
        <f>$HL46*$C46/$D46</f>
        <v/>
      </c>
      <c r="HN46" s="55">
        <f>SUMIFS(tblBudget[Ore_oz],tblBudget[Month],"&lt;"&amp;$E46)+$HM46</f>
        <v/>
      </c>
      <c r="HO46" s="56">
        <f>IFERROR(IF(($HI46)&gt;0,($HL46*cfg_TroyOz)/($HI46),""),"")</f>
        <v/>
      </c>
      <c r="HP46" s="56">
        <f>IFERROR(IF(($HJ46)&gt;0,($HM46*cfg_TroyOz)/($HJ46),""),"")</f>
        <v/>
      </c>
      <c r="HQ46" s="56">
        <f>IFERROR(IF(($HK46)&gt;0,($HN46*cfg_TroyOz)/($HK46),""),"")</f>
        <v/>
      </c>
      <c r="HR46" s="55">
        <f>SUMIFS(tblBudget[Waste_t],tblBudget[Month],$E46)</f>
        <v/>
      </c>
      <c r="HS46" s="55">
        <f>$HR46*$C46/$D46</f>
        <v/>
      </c>
      <c r="HT46" s="55">
        <f>SUMIFS(tblBudget[Waste_t],tblBudget[Month],"&lt;"&amp;$E46)+$HS46</f>
        <v/>
      </c>
      <c r="HU46" s="55">
        <f>SUMIFS(tblBudget[TMM_t],tblBudget[Month],$E46)</f>
        <v/>
      </c>
      <c r="HV46" s="55">
        <f>$HU46*$C46/$D46</f>
        <v/>
      </c>
      <c r="HW46" s="55">
        <f>SUMIFS(tblBudget[TMM_t],tblBudget[Month],"&lt;"&amp;$E46)+$HV46</f>
        <v/>
      </c>
      <c r="HX46" s="56">
        <f>IFERROR(IF(($HI46)&gt;0,($HR46)/($HI46),""),"")</f>
        <v/>
      </c>
      <c r="HY46" s="56">
        <f>IFERROR(IF(($HJ46)&gt;0,($HS46)/($HJ46),""),"")</f>
        <v/>
      </c>
      <c r="HZ46" s="56">
        <f>IFERROR(IF(($HK46)&gt;0,($HT46)/($HK46),""),"")</f>
        <v/>
      </c>
      <c r="IA46" s="55">
        <f>SUMIFS(tblBudget[Drill_m],tblBudget[Month],$E46)</f>
        <v/>
      </c>
      <c r="IB46" s="55">
        <f>$IA46*$C46/$D46</f>
        <v/>
      </c>
      <c r="IC46" s="55">
        <f>SUMIFS(tblBudget[Drill_m],tblBudget[Month],"&lt;"&amp;$E46)+$IB46</f>
        <v/>
      </c>
      <c r="ID46" s="55">
        <f>SUMIFS(tblBudget[Diesel_L],tblBudget[Month],$E46)</f>
        <v/>
      </c>
      <c r="IE46" s="55">
        <f>$ID46*$C46/$D46</f>
        <v/>
      </c>
      <c r="IF46" s="55">
        <f>SUMIFS(tblBudget[Diesel_L],tblBudget[Month],"&lt;"&amp;$E46)+$IE46</f>
        <v/>
      </c>
      <c r="IG46" s="55">
        <f>SUMIFS(tblBudget[Milled_t],tblBudget[Month],$E46)</f>
        <v/>
      </c>
      <c r="IH46" s="55">
        <f>$IG46*$C46/$D46</f>
        <v/>
      </c>
      <c r="II46" s="55">
        <f>SUMIFS(tblBudget[Milled_t],tblBudget[Month],"&lt;"&amp;$E46)+$IH46</f>
        <v/>
      </c>
      <c r="IJ46" s="55">
        <f>SUMIFS(tblBudget[Feed_oz],tblBudget[Month],$E46)</f>
        <v/>
      </c>
      <c r="IK46" s="55">
        <f>$IJ46*$C46/$D46</f>
        <v/>
      </c>
      <c r="IL46" s="55">
        <f>SUMIFS(tblBudget[Feed_oz],tblBudget[Month],"&lt;"&amp;$E46)+$IK46</f>
        <v/>
      </c>
      <c r="IM46" s="55">
        <f>SUMIFS(tblBudget[Recovered_oz],tblBudget[Month],$E46)</f>
        <v/>
      </c>
      <c r="IN46" s="55">
        <f>$IM46*$C46/$D46</f>
        <v/>
      </c>
      <c r="IO46" s="55">
        <f>SUMIFS(tblBudget[Recovered_oz],tblBudget[Month],"&lt;"&amp;$E46)+$IN46</f>
        <v/>
      </c>
      <c r="IP46" s="56">
        <f>IFERROR(IF(($IG46)&gt;0,($IJ46*cfg_TroyOz)/($IG46),""),"")</f>
        <v/>
      </c>
      <c r="IQ46" s="56">
        <f>IFERROR(IF(($IH46)&gt;0,($IK46*cfg_TroyOz)/($IH46),""),"")</f>
        <v/>
      </c>
      <c r="IR46" s="56">
        <f>IFERROR(IF(($II46)&gt;0,($IL46*cfg_TroyOz)/($II46),""),"")</f>
        <v/>
      </c>
      <c r="IS46" s="67">
        <f>IFERROR(IF(($IJ46)&gt;0,($IM46)/($IJ46),""),"")</f>
        <v/>
      </c>
      <c r="IT46" s="67">
        <f>IFERROR(IF(($IK46)&gt;0,($IN46)/($IK46),""),"")</f>
        <v/>
      </c>
      <c r="IU46" s="67">
        <f>IFERROR(IF(($IL46)&gt;0,($IO46)/($IL46),""),"")</f>
        <v/>
      </c>
      <c r="IV46" s="55">
        <f>SUMIFS(tblBudget[Gold_Poured_oz],tblBudget[Month],$E46)</f>
        <v/>
      </c>
      <c r="IW46" s="55">
        <f>$IV46*$C46/$D46</f>
        <v/>
      </c>
      <c r="IX46" s="55">
        <f>SUMIFS(tblBudget[Gold_Poured_oz],tblBudget[Month],"&lt;"&amp;$E46)+$IW46</f>
        <v/>
      </c>
      <c r="IY46" s="57">
        <f>SUMIFS(tblBudget[Hours_Worked],tblBudget[Month],$E46)</f>
        <v/>
      </c>
      <c r="IZ46" s="57">
        <f>$IY46*$C46/$D46</f>
        <v/>
      </c>
      <c r="JA46" s="57">
        <f>SUMIFS(tblBudget[Hours_Worked],tblBudget[Month],"&lt;"&amp;$E46)+$IZ46</f>
        <v/>
      </c>
    </row>
    <row r="47">
      <c r="A47" s="54" t="n">
        <v>46068</v>
      </c>
      <c r="B47">
        <f>MONTH($A47)</f>
        <v/>
      </c>
      <c r="C47">
        <f>DAY($A47)</f>
        <v/>
      </c>
      <c r="D47">
        <f>DAY(EOMONTH($A47,0))</f>
        <v/>
      </c>
      <c r="E47" s="54">
        <f>DATE(YEAR($A47),MONTH($A47),1)</f>
        <v/>
      </c>
      <c r="F47" s="55">
        <f>SUMIFS(tblMovement[Tonnes_t],tblMovement[Date],$A47,tblMovement[Is_Ore],1,tblMovement[Source_Type],"Pit")</f>
        <v/>
      </c>
      <c r="G47" s="55">
        <f>IF($B47=$B46,$G46,0)+$F47</f>
        <v/>
      </c>
      <c r="H47" s="55">
        <f>$H46+$F47</f>
        <v/>
      </c>
      <c r="I47" s="55">
        <f>SUMIFS(tblMovement[Ore_oz],tblMovement[Date],$A47,tblMovement[Source_Type],"Pit")</f>
        <v/>
      </c>
      <c r="J47" s="55">
        <f>IF($B47=$B46,$J46,0)+$I47</f>
        <v/>
      </c>
      <c r="K47" s="55">
        <f>$K46+$I47</f>
        <v/>
      </c>
      <c r="L47" s="56">
        <f>IFERROR(IF(($F47)&gt;0,($I47*cfg_TroyOz)/($F47),""),"")</f>
        <v/>
      </c>
      <c r="M47" s="56">
        <f>IFERROR(IF(($G47)&gt;0,($J47*cfg_TroyOz)/($G47),""),"")</f>
        <v/>
      </c>
      <c r="N47" s="56">
        <f>IFERROR(IF(($H47)&gt;0,($K47*cfg_TroyOz)/($H47),""),"")</f>
        <v/>
      </c>
      <c r="O47" s="55">
        <f>SUMIFS(tblMovement[Tonnes_t],tblMovement[Date],$A47,tblMovement[Is_Ore],0,tblMovement[Source_Type],"Pit")</f>
        <v/>
      </c>
      <c r="P47" s="55">
        <f>IF($B47=$B46,$P46,0)+$O47</f>
        <v/>
      </c>
      <c r="Q47" s="55">
        <f>$Q46+$O47</f>
        <v/>
      </c>
      <c r="R47" s="55">
        <f>$F47+$O47</f>
        <v/>
      </c>
      <c r="S47" s="55">
        <f>IF($B47=$B46,$S46,0)+$R47</f>
        <v/>
      </c>
      <c r="T47" s="55">
        <f>$T46+$R47</f>
        <v/>
      </c>
      <c r="U47" s="56">
        <f>IFERROR(IF(($F47)&gt;0,($O47)/($F47),""),"")</f>
        <v/>
      </c>
      <c r="V47" s="56">
        <f>IFERROR(IF(($G47)&gt;0,($P47)/($G47),""),"")</f>
        <v/>
      </c>
      <c r="W47" s="56">
        <f>IFERROR(IF(($H47)&gt;0,($Q47)/($H47),""),"")</f>
        <v/>
      </c>
      <c r="X47" s="55">
        <f>SUMIFS(tblMovement[Tonnes_t],tblMovement[Date],$A47,tblMovement[Source_Type],"Stockpile")</f>
        <v/>
      </c>
      <c r="Y47" s="55">
        <f>IF($B47=$B46,$Y46,0)+$X47</f>
        <v/>
      </c>
      <c r="Z47" s="55">
        <f>$Z46+$X47</f>
        <v/>
      </c>
      <c r="AA47" s="55">
        <f>SUMIFS(tblMiningDaily[Drill_m],tblMiningDaily[Date],$A47)</f>
        <v/>
      </c>
      <c r="AB47" s="55">
        <f>IF($B47=$B46,$AB46,0)+$AA47</f>
        <v/>
      </c>
      <c r="AC47" s="55">
        <f>$AC46+$AA47</f>
        <v/>
      </c>
      <c r="AD47" s="55">
        <f>SUMIFS(tblMiningDaily[Blast_t],tblMiningDaily[Date],$A47)</f>
        <v/>
      </c>
      <c r="AE47" s="55">
        <f>IF($B47=$B46,$AE46,0)+$AD47</f>
        <v/>
      </c>
      <c r="AF47" s="55">
        <f>$AF46+$AD47</f>
        <v/>
      </c>
      <c r="AG47" s="55">
        <f>SUMIFS(tblMiningDaily[Explosives_kg],tblMiningDaily[Date],$A47)</f>
        <v/>
      </c>
      <c r="AH47" s="55">
        <f>IF($B47=$B46,$AH46,0)+$AG47</f>
        <v/>
      </c>
      <c r="AI47" s="55">
        <f>$AI46+$AG47</f>
        <v/>
      </c>
      <c r="AJ47" s="56">
        <f>IFERROR(IF(($AD47)&gt;0,($AG47)/($AD47),""),"")</f>
        <v/>
      </c>
      <c r="AK47" s="56">
        <f>IFERROR(IF(($AE47)&gt;0,($AH47)/($AE47),""),"")</f>
        <v/>
      </c>
      <c r="AL47" s="56">
        <f>IFERROR(IF(($AF47)&gt;0,($AI47)/($AF47),""),"")</f>
        <v/>
      </c>
      <c r="AM47" s="55">
        <f>SUMIFS(tblMiningDaily[Diesel_L],tblMiningDaily[Date],$A47)</f>
        <v/>
      </c>
      <c r="AN47" s="55">
        <f>IF($B47=$B46,$AN46,0)+$AM47</f>
        <v/>
      </c>
      <c r="AO47" s="55">
        <f>$AO46+$AM47</f>
        <v/>
      </c>
      <c r="AP47" s="55">
        <f>SUMIFS(tblMiningDaily[Dewatering_m3],tblMiningDaily[Date],$A47)</f>
        <v/>
      </c>
      <c r="AQ47" s="55">
        <f>IF($B47=$B46,$AQ46,0)+$AP47</f>
        <v/>
      </c>
      <c r="AR47" s="55">
        <f>$AR46+$AP47</f>
        <v/>
      </c>
      <c r="AS47" s="57">
        <f>SUMIFS(tblFleet[Calendar_h],tblFleet[Date],$A47,tblFleet[Equipment_Class],"Excavator")</f>
        <v/>
      </c>
      <c r="AT47" s="57">
        <f>IF($B47=$B46,$AT46,0)+$AS47</f>
        <v/>
      </c>
      <c r="AU47" s="57">
        <f>$AU46+$AS47</f>
        <v/>
      </c>
      <c r="AV47" s="57">
        <f>SUMIFS(tblFleet[Available_h],tblFleet[Date],$A47,tblFleet[Equipment_Class],"Excavator")</f>
        <v/>
      </c>
      <c r="AW47" s="57">
        <f>IF($B47=$B46,$AW46,0)+$AV47</f>
        <v/>
      </c>
      <c r="AX47" s="57">
        <f>$AX46+$AV47</f>
        <v/>
      </c>
      <c r="AY47" s="57">
        <f>SUMIFS(tblFleet[Operating_h],tblFleet[Date],$A47,tblFleet[Equipment_Class],"Excavator")</f>
        <v/>
      </c>
      <c r="AZ47" s="57">
        <f>IF($B47=$B46,$AZ46,0)+$AY47</f>
        <v/>
      </c>
      <c r="BA47" s="57">
        <f>$BA46+$AY47</f>
        <v/>
      </c>
      <c r="BB47" s="67">
        <f>IFERROR(IF(($AS47)&gt;0,($AV47)/($AS47),""),"")</f>
        <v/>
      </c>
      <c r="BC47" s="67">
        <f>IFERROR(IF(($AT47)&gt;0,($AW47)/($AT47),""),"")</f>
        <v/>
      </c>
      <c r="BD47" s="67">
        <f>IFERROR(IF(($AU47)&gt;0,($AX47)/($AU47),""),"")</f>
        <v/>
      </c>
      <c r="BE47" s="67">
        <f>IFERROR(IF(($AV47)&gt;0,($AY47)/($AV47),""),"")</f>
        <v/>
      </c>
      <c r="BF47" s="67">
        <f>IFERROR(IF(($AW47)&gt;0,($AZ47)/($AW47),""),"")</f>
        <v/>
      </c>
      <c r="BG47" s="67">
        <f>IFERROR(IF(($AX47)&gt;0,($BA47)/($AX47),""),"")</f>
        <v/>
      </c>
      <c r="BH47" s="57">
        <f>SUMIFS(tblFleet[Calendar_h],tblFleet[Date],$A47,tblFleet[Equipment_Class],"Haul Truck")</f>
        <v/>
      </c>
      <c r="BI47" s="57">
        <f>IF($B47=$B46,$BI46,0)+$BH47</f>
        <v/>
      </c>
      <c r="BJ47" s="57">
        <f>$BJ46+$BH47</f>
        <v/>
      </c>
      <c r="BK47" s="57">
        <f>SUMIFS(tblFleet[Available_h],tblFleet[Date],$A47,tblFleet[Equipment_Class],"Haul Truck")</f>
        <v/>
      </c>
      <c r="BL47" s="57">
        <f>IF($B47=$B46,$BL46,0)+$BK47</f>
        <v/>
      </c>
      <c r="BM47" s="57">
        <f>$BM46+$BK47</f>
        <v/>
      </c>
      <c r="BN47" s="57">
        <f>SUMIFS(tblFleet[Operating_h],tblFleet[Date],$A47,tblFleet[Equipment_Class],"Haul Truck")</f>
        <v/>
      </c>
      <c r="BO47" s="57">
        <f>IF($B47=$B46,$BO46,0)+$BN47</f>
        <v/>
      </c>
      <c r="BP47" s="57">
        <f>$BP46+$BN47</f>
        <v/>
      </c>
      <c r="BQ47" s="67">
        <f>IFERROR(IF(($BH47)&gt;0,($BK47)/($BH47),""),"")</f>
        <v/>
      </c>
      <c r="BR47" s="67">
        <f>IFERROR(IF(($BI47)&gt;0,($BL47)/($BI47),""),"")</f>
        <v/>
      </c>
      <c r="BS47" s="67">
        <f>IFERROR(IF(($BJ47)&gt;0,($BM47)/($BJ47),""),"")</f>
        <v/>
      </c>
      <c r="BT47" s="67">
        <f>IFERROR(IF(($BK47)&gt;0,($BN47)/($BK47),""),"")</f>
        <v/>
      </c>
      <c r="BU47" s="67">
        <f>IFERROR(IF(($BL47)&gt;0,($BO47)/($BL47),""),"")</f>
        <v/>
      </c>
      <c r="BV47" s="67">
        <f>IFERROR(IF(($BM47)&gt;0,($BP47)/($BM47),""),"")</f>
        <v/>
      </c>
      <c r="BW47" s="55">
        <f>SUMIFS(tblPlant[Crushed_t],tblPlant[Date],$A47)</f>
        <v/>
      </c>
      <c r="BX47" s="55">
        <f>IF($B47=$B46,$BX46,0)+$BW47</f>
        <v/>
      </c>
      <c r="BY47" s="55">
        <f>$BY46+$BW47</f>
        <v/>
      </c>
      <c r="BZ47" s="55">
        <f>SUMIFS(tblPlant[Milled_t],tblPlant[Date],$A47)</f>
        <v/>
      </c>
      <c r="CA47" s="55">
        <f>IF($B47=$B46,$CA46,0)+$BZ47</f>
        <v/>
      </c>
      <c r="CB47" s="55">
        <f>$CB46+$BZ47</f>
        <v/>
      </c>
      <c r="CC47" s="55">
        <f>SUMIFS(tblPlant[Feed_oz],tblPlant[Date],$A47)</f>
        <v/>
      </c>
      <c r="CD47" s="55">
        <f>IF($B47=$B46,$CD46,0)+$CC47</f>
        <v/>
      </c>
      <c r="CE47" s="55">
        <f>$CE46+$CC47</f>
        <v/>
      </c>
      <c r="CF47" s="55">
        <f>SUMIFS(tblPlant[Tails_oz],tblPlant[Date],$A47)</f>
        <v/>
      </c>
      <c r="CG47" s="55">
        <f>IF($B47=$B46,$CG46,0)+$CF47</f>
        <v/>
      </c>
      <c r="CH47" s="55">
        <f>$CH46+$CF47</f>
        <v/>
      </c>
      <c r="CI47" s="55">
        <f>SUMIFS(tblPlant[Recovered_oz],tblPlant[Date],$A47)</f>
        <v/>
      </c>
      <c r="CJ47" s="55">
        <f>IF($B47=$B46,$CJ46,0)+$CI47</f>
        <v/>
      </c>
      <c r="CK47" s="55">
        <f>$CK46+$CI47</f>
        <v/>
      </c>
      <c r="CL47" s="56">
        <f>IFERROR(IF(($BZ47)&gt;0,($CC47*cfg_TroyOz)/($BZ47),""),"")</f>
        <v/>
      </c>
      <c r="CM47" s="56">
        <f>IFERROR(IF(($CA47)&gt;0,($CD47*cfg_TroyOz)/($CA47),""),"")</f>
        <v/>
      </c>
      <c r="CN47" s="56">
        <f>IFERROR(IF(($CB47)&gt;0,($CE47*cfg_TroyOz)/($CB47),""),"")</f>
        <v/>
      </c>
      <c r="CO47" s="56">
        <f>IFERROR(IF(($BZ47)&gt;0,($CF47*cfg_TroyOz)/($BZ47),""),"")</f>
        <v/>
      </c>
      <c r="CP47" s="56">
        <f>IFERROR(IF(($CA47)&gt;0,($CG47*cfg_TroyOz)/($CA47),""),"")</f>
        <v/>
      </c>
      <c r="CQ47" s="56">
        <f>IFERROR(IF(($CB47)&gt;0,($CH47*cfg_TroyOz)/($CB47),""),"")</f>
        <v/>
      </c>
      <c r="CR47" s="67">
        <f>IFERROR(IF(($CC47)&gt;0,($CI47)/($CC47),""),"")</f>
        <v/>
      </c>
      <c r="CS47" s="67">
        <f>IFERROR(IF(($CD47)&gt;0,($CJ47)/($CD47),""),"")</f>
        <v/>
      </c>
      <c r="CT47" s="67">
        <f>IFERROR(IF(($CE47)&gt;0,($CK47)/($CE47),""),"")</f>
        <v/>
      </c>
      <c r="CU47" s="55">
        <f>SUMIFS(tblPlant[Gravity_Gold_oz],tblPlant[Date],$A47)</f>
        <v/>
      </c>
      <c r="CV47" s="55">
        <f>IF($B47=$B46,$CV46,0)+$CU47</f>
        <v/>
      </c>
      <c r="CW47" s="55">
        <f>$CW46+$CU47</f>
        <v/>
      </c>
      <c r="CX47" s="55">
        <f>SUMIFS(tblPlant[Gold_Poured_oz],tblPlant[Date],$A47)</f>
        <v/>
      </c>
      <c r="CY47" s="55">
        <f>IF($B47=$B46,$CY46,0)+$CX47</f>
        <v/>
      </c>
      <c r="CZ47" s="55">
        <f>$CZ46+$CX47</f>
        <v/>
      </c>
      <c r="DA47" s="57">
        <f>SUMIFS(tblPlant[Mill_Run_h],tblPlant[Date],$A47)</f>
        <v/>
      </c>
      <c r="DB47" s="57">
        <f>IF($B47=$B46,$DB46,0)+$DA47</f>
        <v/>
      </c>
      <c r="DC47" s="57">
        <f>$DC46+$DA47</f>
        <v/>
      </c>
      <c r="DD47" s="57">
        <f>SUMIFS(tblPlant[Mill_Planned_Maint_h],tblPlant[Date],$A47)</f>
        <v/>
      </c>
      <c r="DE47" s="57">
        <f>IF($B47=$B46,$DE46,0)+$DD47</f>
        <v/>
      </c>
      <c r="DF47" s="57">
        <f>$DF46+$DD47</f>
        <v/>
      </c>
      <c r="DG47" s="57">
        <f>SUMIFS(tblPlant[Mill_Unplanned_Down_h],tblPlant[Date],$A47)</f>
        <v/>
      </c>
      <c r="DH47" s="57">
        <f>IF($B47=$B46,$DH46,0)+$DG47</f>
        <v/>
      </c>
      <c r="DI47" s="57">
        <f>$DI46+$DG47</f>
        <v/>
      </c>
      <c r="DJ47" s="57">
        <f>COUNTIFS(tblPlant[Date],$A47,tblPlant[Mill_Run_h],"&lt;&gt;")*24</f>
        <v/>
      </c>
      <c r="DK47" s="57">
        <f>IF($B47=$B46,$DK46,0)+$DJ47</f>
        <v/>
      </c>
      <c r="DL47" s="57">
        <f>$DL46+$DJ47</f>
        <v/>
      </c>
      <c r="DM47" s="57">
        <f>SUMIFS(tblPlant[Crusher_Run_h],tblPlant[Date],$A47)</f>
        <v/>
      </c>
      <c r="DN47" s="57">
        <f>IF($B47=$B46,$DN46,0)+$DM47</f>
        <v/>
      </c>
      <c r="DO47" s="57">
        <f>$DO46+$DM47</f>
        <v/>
      </c>
      <c r="DP47" s="55">
        <f>IFERROR(IF(($DA47)&gt;0,($BZ47)/($DA47),""),"")</f>
        <v/>
      </c>
      <c r="DQ47" s="55">
        <f>IFERROR(IF(($DB47)&gt;0,($CA47)/($DB47),""),"")</f>
        <v/>
      </c>
      <c r="DR47" s="55">
        <f>IFERROR(IF(($DC47)&gt;0,($CB47)/($DC47),""),"")</f>
        <v/>
      </c>
      <c r="DS47" s="67">
        <f>IFERROR(IF(($DJ47)&gt;0,($DJ47-$DD47-$DG47)/($DJ47),""),"")</f>
        <v/>
      </c>
      <c r="DT47" s="67">
        <f>IFERROR(IF(($DK47)&gt;0,($DK47-$DE47-$DH47)/($DK47),""),"")</f>
        <v/>
      </c>
      <c r="DU47" s="67">
        <f>IFERROR(IF(($DL47)&gt;0,($DL47-$DF47-$DI47)/($DL47),""),"")</f>
        <v/>
      </c>
      <c r="DV47" s="67">
        <f>IFERROR(IF(($DJ47-$DD47-$DG47)&gt;0,($DA47)/($DJ47-$DD47-$DG47),""),"")</f>
        <v/>
      </c>
      <c r="DW47" s="67">
        <f>IFERROR(IF(($DK47-$DE47-$DH47)&gt;0,($DB47)/($DK47-$DE47-$DH47),""),"")</f>
        <v/>
      </c>
      <c r="DX47" s="67">
        <f>IFERROR(IF(($DL47-$DF47-$DI47)&gt;0,($DC47)/($DL47-$DF47-$DI47),""),"")</f>
        <v/>
      </c>
      <c r="DY47" s="55">
        <f>SUMIFS(tblPlant[Cyanide_kg],tblPlant[Date],$A47)</f>
        <v/>
      </c>
      <c r="DZ47" s="55">
        <f>IF($B47=$B46,$DZ46,0)+$DY47</f>
        <v/>
      </c>
      <c r="EA47" s="55">
        <f>$EA46+$DY47</f>
        <v/>
      </c>
      <c r="EB47" s="55">
        <f>SUMIFS(tblPlant[Lime_kg],tblPlant[Date],$A47)</f>
        <v/>
      </c>
      <c r="EC47" s="55">
        <f>IF($B47=$B46,$EC46,0)+$EB47</f>
        <v/>
      </c>
      <c r="ED47" s="55">
        <f>$ED46+$EB47</f>
        <v/>
      </c>
      <c r="EE47" s="55">
        <f>SUMIFS(tblPlant[Grinding_Media_kg],tblPlant[Date],$A47)</f>
        <v/>
      </c>
      <c r="EF47" s="55">
        <f>IF($B47=$B46,$EF46,0)+$EE47</f>
        <v/>
      </c>
      <c r="EG47" s="55">
        <f>$EG46+$EE47</f>
        <v/>
      </c>
      <c r="EH47" s="55">
        <f>SUMIFS(tblPlant[Power_kWh],tblPlant[Date],$A47)</f>
        <v/>
      </c>
      <c r="EI47" s="55">
        <f>IF($B47=$B46,$EI46,0)+$EH47</f>
        <v/>
      </c>
      <c r="EJ47" s="55">
        <f>$EJ46+$EH47</f>
        <v/>
      </c>
      <c r="EK47" s="55">
        <f>SUMIFS(tblPlant[Raw_Water_m3],tblPlant[Date],$A47)</f>
        <v/>
      </c>
      <c r="EL47" s="55">
        <f>IF($B47=$B46,$EL46,0)+$EK47</f>
        <v/>
      </c>
      <c r="EM47" s="55">
        <f>$EM46+$EK47</f>
        <v/>
      </c>
      <c r="EN47" s="56">
        <f>IFERROR(IF(($BZ47)&gt;0,($DY47)/($BZ47),""),"")</f>
        <v/>
      </c>
      <c r="EO47" s="56">
        <f>IFERROR(IF(($CA47)&gt;0,($DZ47)/($CA47),""),"")</f>
        <v/>
      </c>
      <c r="EP47" s="56">
        <f>IFERROR(IF(($CB47)&gt;0,($EA47)/($CB47),""),"")</f>
        <v/>
      </c>
      <c r="EQ47" s="56">
        <f>IFERROR(IF(($BZ47)&gt;0,($EB47)/($BZ47),""),"")</f>
        <v/>
      </c>
      <c r="ER47" s="56">
        <f>IFERROR(IF(($CA47)&gt;0,($EC47)/($CA47),""),"")</f>
        <v/>
      </c>
      <c r="ES47" s="56">
        <f>IFERROR(IF(($CB47)&gt;0,($ED47)/($CB47),""),"")</f>
        <v/>
      </c>
      <c r="ET47" s="56">
        <f>IFERROR(IF(($BZ47)&gt;0,($EE47)/($BZ47),""),"")</f>
        <v/>
      </c>
      <c r="EU47" s="56">
        <f>IFERROR(IF(($CA47)&gt;0,($EF47)/($CA47),""),"")</f>
        <v/>
      </c>
      <c r="EV47" s="56">
        <f>IFERROR(IF(($CB47)&gt;0,($EG47)/($CB47),""),"")</f>
        <v/>
      </c>
      <c r="EW47" s="76">
        <f>IFERROR(IF(($BZ47)&gt;0,($EH47)/($BZ47),""),"")</f>
        <v/>
      </c>
      <c r="EX47" s="76">
        <f>IFERROR(IF(($CA47)&gt;0,($EI47)/($CA47),""),"")</f>
        <v/>
      </c>
      <c r="EY47" s="76">
        <f>IFERROR(IF(($CB47)&gt;0,($EJ47)/($CB47),""),"")</f>
        <v/>
      </c>
      <c r="EZ47" s="56">
        <f>IFERROR(IF(($BZ47)&gt;0,($EK47)/($BZ47),""),"")</f>
        <v/>
      </c>
      <c r="FA47" s="56">
        <f>IFERROR(IF(($CA47)&gt;0,($EL47)/($CA47),""),"")</f>
        <v/>
      </c>
      <c r="FB47" s="56">
        <f>IFERROR(IF(($CB47)&gt;0,($EM47)/($CB47),""),"")</f>
        <v/>
      </c>
      <c r="FC47" s="55">
        <f>IF(SUMIFS(tblPlant[GIC_oz],tblPlant[Date],$A47)&gt;0,SUMIFS(tblPlant[GIC_oz],tblPlant[Date],$A47),"")</f>
        <v/>
      </c>
      <c r="FD47" s="55">
        <f>SUMIFS(tblGold[Gold_oz],tblGold[Date],$A47,tblGold[Type],"Shipment")</f>
        <v/>
      </c>
      <c r="FE47" s="55">
        <f>IF($B47=$B46,$FE46,0)+$FD47</f>
        <v/>
      </c>
      <c r="FF47" s="55">
        <f>$FF46+$FD47</f>
        <v/>
      </c>
      <c r="FG47" s="55">
        <f>SUMIFS(tblGold[Gold_oz],tblGold[Date],$A47,tblGold[Type],"Sale")</f>
        <v/>
      </c>
      <c r="FH47" s="55">
        <f>IF($B47=$B46,$FH46,0)+$FG47</f>
        <v/>
      </c>
      <c r="FI47" s="55">
        <f>$FI46+$FG47</f>
        <v/>
      </c>
      <c r="FJ47" s="55">
        <f>SUMIFS(tblGold[Dore_kg],tblGold[Date],$A47,tblGold[Type],"Shipment")</f>
        <v/>
      </c>
      <c r="FK47" s="55">
        <f>IF($B47=$B46,$FK46,0)+$FJ47</f>
        <v/>
      </c>
      <c r="FL47" s="55">
        <f>$FL46+$FJ47</f>
        <v/>
      </c>
      <c r="FM47" s="57">
        <f>SUMIFS(tblSafety[Hours_Total],tblSafety[Date],$A47)</f>
        <v/>
      </c>
      <c r="FN47" s="57">
        <f>IF($B47=$B46,$FN46,0)+$FM47</f>
        <v/>
      </c>
      <c r="FO47" s="57">
        <f>$FO46+$FM47</f>
        <v/>
      </c>
      <c r="FP47" s="62">
        <f>SUMIFS(tblSafety[Fatality],tblSafety[Date],$A47)</f>
        <v/>
      </c>
      <c r="FQ47" s="62">
        <f>IF($B47=$B46,$FQ46,0)+$FP47</f>
        <v/>
      </c>
      <c r="FR47" s="62">
        <f>$FR46+$FP47</f>
        <v/>
      </c>
      <c r="FS47" s="62">
        <f>SUMIFS(tblSafety[LTI],tblSafety[Date],$A47)</f>
        <v/>
      </c>
      <c r="FT47" s="62">
        <f>IF($B47=$B46,$FT46,0)+$FS47</f>
        <v/>
      </c>
      <c r="FU47" s="62">
        <f>$FU46+$FS47</f>
        <v/>
      </c>
      <c r="FV47" s="62">
        <f>SUMIFS(tblSafety[RWI],tblSafety[Date],$A47)</f>
        <v/>
      </c>
      <c r="FW47" s="62">
        <f>IF($B47=$B46,$FW46,0)+$FV47</f>
        <v/>
      </c>
      <c r="FX47" s="62">
        <f>$FX46+$FV47</f>
        <v/>
      </c>
      <c r="FY47" s="62">
        <f>SUMIFS(tblSafety[MTI],tblSafety[Date],$A47)</f>
        <v/>
      </c>
      <c r="FZ47" s="62">
        <f>IF($B47=$B46,$FZ46,0)+$FY47</f>
        <v/>
      </c>
      <c r="GA47" s="62">
        <f>$GA46+$FY47</f>
        <v/>
      </c>
      <c r="GB47" s="62">
        <f>SUMIFS(tblSafety[FAI],tblSafety[Date],$A47)</f>
        <v/>
      </c>
      <c r="GC47" s="62">
        <f>IF($B47=$B46,$GC46,0)+$GB47</f>
        <v/>
      </c>
      <c r="GD47" s="62">
        <f>$GD46+$GB47</f>
        <v/>
      </c>
      <c r="GE47" s="62">
        <f>SUMIFS(tblSafety[Recordables],tblSafety[Date],$A47)</f>
        <v/>
      </c>
      <c r="GF47" s="62">
        <f>IF($B47=$B46,$GF46,0)+$GE47</f>
        <v/>
      </c>
      <c r="GG47" s="62">
        <f>$GG46+$GE47</f>
        <v/>
      </c>
      <c r="GH47" s="62">
        <f>SUMIFS(tblSafety[Near_Miss],tblSafety[Date],$A47)</f>
        <v/>
      </c>
      <c r="GI47" s="62">
        <f>IF($B47=$B46,$GI46,0)+$GH47</f>
        <v/>
      </c>
      <c r="GJ47" s="62">
        <f>$GJ46+$GH47</f>
        <v/>
      </c>
      <c r="GK47" s="62">
        <f>SUMIFS(tblSafety[Hazard_Reports],tblSafety[Date],$A47)</f>
        <v/>
      </c>
      <c r="GL47" s="62">
        <f>IF($B47=$B46,$GL46,0)+$GK47</f>
        <v/>
      </c>
      <c r="GM47" s="62">
        <f>$GM46+$GK47</f>
        <v/>
      </c>
      <c r="GN47" s="62">
        <f>SUMIFS(tblSafety[HPI],tblSafety[Date],$A47)</f>
        <v/>
      </c>
      <c r="GO47" s="62">
        <f>IF($B47=$B46,$GO46,0)+$GN47</f>
        <v/>
      </c>
      <c r="GP47" s="62">
        <f>$GP46+$GN47</f>
        <v/>
      </c>
      <c r="GQ47" s="62">
        <f>SUMIFS(tblSafety[Env_Incidents],tblSafety[Date],$A47)</f>
        <v/>
      </c>
      <c r="GR47" s="62">
        <f>IF($B47=$B46,$GR46,0)+$GQ47</f>
        <v/>
      </c>
      <c r="GS47" s="62">
        <f>$GS46+$GQ47</f>
        <v/>
      </c>
      <c r="GT47" s="62">
        <f>SUMIFS(tblSafety[Community_Incidents],tblSafety[Date],$A47)</f>
        <v/>
      </c>
      <c r="GU47" s="62">
        <f>IF($B47=$B46,$GU46,0)+$GT47</f>
        <v/>
      </c>
      <c r="GV47" s="62">
        <f>$GV46+$GT47</f>
        <v/>
      </c>
      <c r="GW47" s="62">
        <f>SUMIFS(tblSafety[Vehicle_Incidents],tblSafety[Date],$A47)</f>
        <v/>
      </c>
      <c r="GX47" s="62">
        <f>IF($B47=$B46,$GX46,0)+$GW47</f>
        <v/>
      </c>
      <c r="GY47" s="62">
        <f>$GY46+$GW47</f>
        <v/>
      </c>
      <c r="GZ47" s="62">
        <f>SUMIFS(tblSafety[Toolbox_Talks],tblSafety[Date],$A47)</f>
        <v/>
      </c>
      <c r="HA47" s="62">
        <f>IF($B47=$B46,$HA46,0)+$GZ47</f>
        <v/>
      </c>
      <c r="HB47" s="62">
        <f>$HB46+$GZ47</f>
        <v/>
      </c>
      <c r="HC47" s="62">
        <f>SUMIFS(tblSafety[Inspections],tblSafety[Date],$A47)</f>
        <v/>
      </c>
      <c r="HD47" s="62">
        <f>IF($B47=$B46,$HD46,0)+$HC47</f>
        <v/>
      </c>
      <c r="HE47" s="62">
        <f>$HE46+$HC47</f>
        <v/>
      </c>
      <c r="HF47" s="56">
        <f>IFERROR((SUMIFS(tblSafety[Recordables],tblSafety[Date],"&gt;="&amp;EDATE($E47,-12),tblSafety[Date],"&lt;="&amp;$A47)+SUMIFS(tblSafetyHistory[Recordables],tblSafetyHistory[Month],"&gt;="&amp;EDATE($E47,-12),tblSafetyHistory[Month],"&lt;"&amp;cfg_YearStart))/(SUMIFS(tblSafety[Hours_Total],tblSafety[Date],"&gt;="&amp;EDATE($E47,-12),tblSafety[Date],"&lt;="&amp;$A47)+SUMIFS(tblSafetyHistory[Hours_Total],tblSafetyHistory[Month],"&gt;="&amp;EDATE($E47,-12),tblSafetyHistory[Month],"&lt;"&amp;cfg_YearStart))*1000000,"")</f>
        <v/>
      </c>
      <c r="HG47" s="56">
        <f>IFERROR((SUMIFS(tblSafety[LTI],tblSafety[Date],"&gt;="&amp;EDATE($E47,-12),tblSafety[Date],"&lt;="&amp;$A47)+SUMIFS(tblSafetyHistory[LTI],tblSafetyHistory[Month],"&gt;="&amp;EDATE($E47,-12),tblSafetyHistory[Month],"&lt;"&amp;cfg_YearStart))/(SUMIFS(tblSafety[Hours_Total],tblSafety[Date],"&gt;="&amp;EDATE($E47,-12),tblSafety[Date],"&lt;="&amp;$A47)+SUMIFS(tblSafetyHistory[Hours_Total],tblSafetyHistory[Month],"&gt;="&amp;EDATE($E47,-12),tblSafetyHistory[Month],"&lt;"&amp;cfg_YearStart))*1000000,"")</f>
        <v/>
      </c>
      <c r="HH47" s="62">
        <f>IF(MAX(N(cfg_PriorLTIDate),_xlfn.MAXIFS(tblSafety[Date],tblSafety[LTI],"&gt;0",tblSafety[Date],"&lt;="&amp;$A47))=0,"",$A47-MAX(N(cfg_PriorLTIDate),_xlfn.MAXIFS(tblSafety[Date],tblSafety[LTI],"&gt;0",tblSafety[Date],"&lt;="&amp;$A47)))</f>
        <v/>
      </c>
      <c r="HI47" s="55">
        <f>SUMIFS(tblBudget[Ore_Mined_t],tblBudget[Month],$E47)</f>
        <v/>
      </c>
      <c r="HJ47" s="55">
        <f>$HI47*$C47/$D47</f>
        <v/>
      </c>
      <c r="HK47" s="55">
        <f>SUMIFS(tblBudget[Ore_Mined_t],tblBudget[Month],"&lt;"&amp;$E47)+$HJ47</f>
        <v/>
      </c>
      <c r="HL47" s="55">
        <f>SUMIFS(tblBudget[Ore_oz],tblBudget[Month],$E47)</f>
        <v/>
      </c>
      <c r="HM47" s="55">
        <f>$HL47*$C47/$D47</f>
        <v/>
      </c>
      <c r="HN47" s="55">
        <f>SUMIFS(tblBudget[Ore_oz],tblBudget[Month],"&lt;"&amp;$E47)+$HM47</f>
        <v/>
      </c>
      <c r="HO47" s="56">
        <f>IFERROR(IF(($HI47)&gt;0,($HL47*cfg_TroyOz)/($HI47),""),"")</f>
        <v/>
      </c>
      <c r="HP47" s="56">
        <f>IFERROR(IF(($HJ47)&gt;0,($HM47*cfg_TroyOz)/($HJ47),""),"")</f>
        <v/>
      </c>
      <c r="HQ47" s="56">
        <f>IFERROR(IF(($HK47)&gt;0,($HN47*cfg_TroyOz)/($HK47),""),"")</f>
        <v/>
      </c>
      <c r="HR47" s="55">
        <f>SUMIFS(tblBudget[Waste_t],tblBudget[Month],$E47)</f>
        <v/>
      </c>
      <c r="HS47" s="55">
        <f>$HR47*$C47/$D47</f>
        <v/>
      </c>
      <c r="HT47" s="55">
        <f>SUMIFS(tblBudget[Waste_t],tblBudget[Month],"&lt;"&amp;$E47)+$HS47</f>
        <v/>
      </c>
      <c r="HU47" s="55">
        <f>SUMIFS(tblBudget[TMM_t],tblBudget[Month],$E47)</f>
        <v/>
      </c>
      <c r="HV47" s="55">
        <f>$HU47*$C47/$D47</f>
        <v/>
      </c>
      <c r="HW47" s="55">
        <f>SUMIFS(tblBudget[TMM_t],tblBudget[Month],"&lt;"&amp;$E47)+$HV47</f>
        <v/>
      </c>
      <c r="HX47" s="56">
        <f>IFERROR(IF(($HI47)&gt;0,($HR47)/($HI47),""),"")</f>
        <v/>
      </c>
      <c r="HY47" s="56">
        <f>IFERROR(IF(($HJ47)&gt;0,($HS47)/($HJ47),""),"")</f>
        <v/>
      </c>
      <c r="HZ47" s="56">
        <f>IFERROR(IF(($HK47)&gt;0,($HT47)/($HK47),""),"")</f>
        <v/>
      </c>
      <c r="IA47" s="55">
        <f>SUMIFS(tblBudget[Drill_m],tblBudget[Month],$E47)</f>
        <v/>
      </c>
      <c r="IB47" s="55">
        <f>$IA47*$C47/$D47</f>
        <v/>
      </c>
      <c r="IC47" s="55">
        <f>SUMIFS(tblBudget[Drill_m],tblBudget[Month],"&lt;"&amp;$E47)+$IB47</f>
        <v/>
      </c>
      <c r="ID47" s="55">
        <f>SUMIFS(tblBudget[Diesel_L],tblBudget[Month],$E47)</f>
        <v/>
      </c>
      <c r="IE47" s="55">
        <f>$ID47*$C47/$D47</f>
        <v/>
      </c>
      <c r="IF47" s="55">
        <f>SUMIFS(tblBudget[Diesel_L],tblBudget[Month],"&lt;"&amp;$E47)+$IE47</f>
        <v/>
      </c>
      <c r="IG47" s="55">
        <f>SUMIFS(tblBudget[Milled_t],tblBudget[Month],$E47)</f>
        <v/>
      </c>
      <c r="IH47" s="55">
        <f>$IG47*$C47/$D47</f>
        <v/>
      </c>
      <c r="II47" s="55">
        <f>SUMIFS(tblBudget[Milled_t],tblBudget[Month],"&lt;"&amp;$E47)+$IH47</f>
        <v/>
      </c>
      <c r="IJ47" s="55">
        <f>SUMIFS(tblBudget[Feed_oz],tblBudget[Month],$E47)</f>
        <v/>
      </c>
      <c r="IK47" s="55">
        <f>$IJ47*$C47/$D47</f>
        <v/>
      </c>
      <c r="IL47" s="55">
        <f>SUMIFS(tblBudget[Feed_oz],tblBudget[Month],"&lt;"&amp;$E47)+$IK47</f>
        <v/>
      </c>
      <c r="IM47" s="55">
        <f>SUMIFS(tblBudget[Recovered_oz],tblBudget[Month],$E47)</f>
        <v/>
      </c>
      <c r="IN47" s="55">
        <f>$IM47*$C47/$D47</f>
        <v/>
      </c>
      <c r="IO47" s="55">
        <f>SUMIFS(tblBudget[Recovered_oz],tblBudget[Month],"&lt;"&amp;$E47)+$IN47</f>
        <v/>
      </c>
      <c r="IP47" s="56">
        <f>IFERROR(IF(($IG47)&gt;0,($IJ47*cfg_TroyOz)/($IG47),""),"")</f>
        <v/>
      </c>
      <c r="IQ47" s="56">
        <f>IFERROR(IF(($IH47)&gt;0,($IK47*cfg_TroyOz)/($IH47),""),"")</f>
        <v/>
      </c>
      <c r="IR47" s="56">
        <f>IFERROR(IF(($II47)&gt;0,($IL47*cfg_TroyOz)/($II47),""),"")</f>
        <v/>
      </c>
      <c r="IS47" s="67">
        <f>IFERROR(IF(($IJ47)&gt;0,($IM47)/($IJ47),""),"")</f>
        <v/>
      </c>
      <c r="IT47" s="67">
        <f>IFERROR(IF(($IK47)&gt;0,($IN47)/($IK47),""),"")</f>
        <v/>
      </c>
      <c r="IU47" s="67">
        <f>IFERROR(IF(($IL47)&gt;0,($IO47)/($IL47),""),"")</f>
        <v/>
      </c>
      <c r="IV47" s="55">
        <f>SUMIFS(tblBudget[Gold_Poured_oz],tblBudget[Month],$E47)</f>
        <v/>
      </c>
      <c r="IW47" s="55">
        <f>$IV47*$C47/$D47</f>
        <v/>
      </c>
      <c r="IX47" s="55">
        <f>SUMIFS(tblBudget[Gold_Poured_oz],tblBudget[Month],"&lt;"&amp;$E47)+$IW47</f>
        <v/>
      </c>
      <c r="IY47" s="57">
        <f>SUMIFS(tblBudget[Hours_Worked],tblBudget[Month],$E47)</f>
        <v/>
      </c>
      <c r="IZ47" s="57">
        <f>$IY47*$C47/$D47</f>
        <v/>
      </c>
      <c r="JA47" s="57">
        <f>SUMIFS(tblBudget[Hours_Worked],tblBudget[Month],"&lt;"&amp;$E47)+$IZ47</f>
        <v/>
      </c>
    </row>
    <row r="48">
      <c r="A48" s="54" t="n">
        <v>46069</v>
      </c>
      <c r="B48">
        <f>MONTH($A48)</f>
        <v/>
      </c>
      <c r="C48">
        <f>DAY($A48)</f>
        <v/>
      </c>
      <c r="D48">
        <f>DAY(EOMONTH($A48,0))</f>
        <v/>
      </c>
      <c r="E48" s="54">
        <f>DATE(YEAR($A48),MONTH($A48),1)</f>
        <v/>
      </c>
      <c r="F48" s="55">
        <f>SUMIFS(tblMovement[Tonnes_t],tblMovement[Date],$A48,tblMovement[Is_Ore],1,tblMovement[Source_Type],"Pit")</f>
        <v/>
      </c>
      <c r="G48" s="55">
        <f>IF($B48=$B47,$G47,0)+$F48</f>
        <v/>
      </c>
      <c r="H48" s="55">
        <f>$H47+$F48</f>
        <v/>
      </c>
      <c r="I48" s="55">
        <f>SUMIFS(tblMovement[Ore_oz],tblMovement[Date],$A48,tblMovement[Source_Type],"Pit")</f>
        <v/>
      </c>
      <c r="J48" s="55">
        <f>IF($B48=$B47,$J47,0)+$I48</f>
        <v/>
      </c>
      <c r="K48" s="55">
        <f>$K47+$I48</f>
        <v/>
      </c>
      <c r="L48" s="56">
        <f>IFERROR(IF(($F48)&gt;0,($I48*cfg_TroyOz)/($F48),""),"")</f>
        <v/>
      </c>
      <c r="M48" s="56">
        <f>IFERROR(IF(($G48)&gt;0,($J48*cfg_TroyOz)/($G48),""),"")</f>
        <v/>
      </c>
      <c r="N48" s="56">
        <f>IFERROR(IF(($H48)&gt;0,($K48*cfg_TroyOz)/($H48),""),"")</f>
        <v/>
      </c>
      <c r="O48" s="55">
        <f>SUMIFS(tblMovement[Tonnes_t],tblMovement[Date],$A48,tblMovement[Is_Ore],0,tblMovement[Source_Type],"Pit")</f>
        <v/>
      </c>
      <c r="P48" s="55">
        <f>IF($B48=$B47,$P47,0)+$O48</f>
        <v/>
      </c>
      <c r="Q48" s="55">
        <f>$Q47+$O48</f>
        <v/>
      </c>
      <c r="R48" s="55">
        <f>$F48+$O48</f>
        <v/>
      </c>
      <c r="S48" s="55">
        <f>IF($B48=$B47,$S47,0)+$R48</f>
        <v/>
      </c>
      <c r="T48" s="55">
        <f>$T47+$R48</f>
        <v/>
      </c>
      <c r="U48" s="56">
        <f>IFERROR(IF(($F48)&gt;0,($O48)/($F48),""),"")</f>
        <v/>
      </c>
      <c r="V48" s="56">
        <f>IFERROR(IF(($G48)&gt;0,($P48)/($G48),""),"")</f>
        <v/>
      </c>
      <c r="W48" s="56">
        <f>IFERROR(IF(($H48)&gt;0,($Q48)/($H48),""),"")</f>
        <v/>
      </c>
      <c r="X48" s="55">
        <f>SUMIFS(tblMovement[Tonnes_t],tblMovement[Date],$A48,tblMovement[Source_Type],"Stockpile")</f>
        <v/>
      </c>
      <c r="Y48" s="55">
        <f>IF($B48=$B47,$Y47,0)+$X48</f>
        <v/>
      </c>
      <c r="Z48" s="55">
        <f>$Z47+$X48</f>
        <v/>
      </c>
      <c r="AA48" s="55">
        <f>SUMIFS(tblMiningDaily[Drill_m],tblMiningDaily[Date],$A48)</f>
        <v/>
      </c>
      <c r="AB48" s="55">
        <f>IF($B48=$B47,$AB47,0)+$AA48</f>
        <v/>
      </c>
      <c r="AC48" s="55">
        <f>$AC47+$AA48</f>
        <v/>
      </c>
      <c r="AD48" s="55">
        <f>SUMIFS(tblMiningDaily[Blast_t],tblMiningDaily[Date],$A48)</f>
        <v/>
      </c>
      <c r="AE48" s="55">
        <f>IF($B48=$B47,$AE47,0)+$AD48</f>
        <v/>
      </c>
      <c r="AF48" s="55">
        <f>$AF47+$AD48</f>
        <v/>
      </c>
      <c r="AG48" s="55">
        <f>SUMIFS(tblMiningDaily[Explosives_kg],tblMiningDaily[Date],$A48)</f>
        <v/>
      </c>
      <c r="AH48" s="55">
        <f>IF($B48=$B47,$AH47,0)+$AG48</f>
        <v/>
      </c>
      <c r="AI48" s="55">
        <f>$AI47+$AG48</f>
        <v/>
      </c>
      <c r="AJ48" s="56">
        <f>IFERROR(IF(($AD48)&gt;0,($AG48)/($AD48),""),"")</f>
        <v/>
      </c>
      <c r="AK48" s="56">
        <f>IFERROR(IF(($AE48)&gt;0,($AH48)/($AE48),""),"")</f>
        <v/>
      </c>
      <c r="AL48" s="56">
        <f>IFERROR(IF(($AF48)&gt;0,($AI48)/($AF48),""),"")</f>
        <v/>
      </c>
      <c r="AM48" s="55">
        <f>SUMIFS(tblMiningDaily[Diesel_L],tblMiningDaily[Date],$A48)</f>
        <v/>
      </c>
      <c r="AN48" s="55">
        <f>IF($B48=$B47,$AN47,0)+$AM48</f>
        <v/>
      </c>
      <c r="AO48" s="55">
        <f>$AO47+$AM48</f>
        <v/>
      </c>
      <c r="AP48" s="55">
        <f>SUMIFS(tblMiningDaily[Dewatering_m3],tblMiningDaily[Date],$A48)</f>
        <v/>
      </c>
      <c r="AQ48" s="55">
        <f>IF($B48=$B47,$AQ47,0)+$AP48</f>
        <v/>
      </c>
      <c r="AR48" s="55">
        <f>$AR47+$AP48</f>
        <v/>
      </c>
      <c r="AS48" s="57">
        <f>SUMIFS(tblFleet[Calendar_h],tblFleet[Date],$A48,tblFleet[Equipment_Class],"Excavator")</f>
        <v/>
      </c>
      <c r="AT48" s="57">
        <f>IF($B48=$B47,$AT47,0)+$AS48</f>
        <v/>
      </c>
      <c r="AU48" s="57">
        <f>$AU47+$AS48</f>
        <v/>
      </c>
      <c r="AV48" s="57">
        <f>SUMIFS(tblFleet[Available_h],tblFleet[Date],$A48,tblFleet[Equipment_Class],"Excavator")</f>
        <v/>
      </c>
      <c r="AW48" s="57">
        <f>IF($B48=$B47,$AW47,0)+$AV48</f>
        <v/>
      </c>
      <c r="AX48" s="57">
        <f>$AX47+$AV48</f>
        <v/>
      </c>
      <c r="AY48" s="57">
        <f>SUMIFS(tblFleet[Operating_h],tblFleet[Date],$A48,tblFleet[Equipment_Class],"Excavator")</f>
        <v/>
      </c>
      <c r="AZ48" s="57">
        <f>IF($B48=$B47,$AZ47,0)+$AY48</f>
        <v/>
      </c>
      <c r="BA48" s="57">
        <f>$BA47+$AY48</f>
        <v/>
      </c>
      <c r="BB48" s="67">
        <f>IFERROR(IF(($AS48)&gt;0,($AV48)/($AS48),""),"")</f>
        <v/>
      </c>
      <c r="BC48" s="67">
        <f>IFERROR(IF(($AT48)&gt;0,($AW48)/($AT48),""),"")</f>
        <v/>
      </c>
      <c r="BD48" s="67">
        <f>IFERROR(IF(($AU48)&gt;0,($AX48)/($AU48),""),"")</f>
        <v/>
      </c>
      <c r="BE48" s="67">
        <f>IFERROR(IF(($AV48)&gt;0,($AY48)/($AV48),""),"")</f>
        <v/>
      </c>
      <c r="BF48" s="67">
        <f>IFERROR(IF(($AW48)&gt;0,($AZ48)/($AW48),""),"")</f>
        <v/>
      </c>
      <c r="BG48" s="67">
        <f>IFERROR(IF(($AX48)&gt;0,($BA48)/($AX48),""),"")</f>
        <v/>
      </c>
      <c r="BH48" s="57">
        <f>SUMIFS(tblFleet[Calendar_h],tblFleet[Date],$A48,tblFleet[Equipment_Class],"Haul Truck")</f>
        <v/>
      </c>
      <c r="BI48" s="57">
        <f>IF($B48=$B47,$BI47,0)+$BH48</f>
        <v/>
      </c>
      <c r="BJ48" s="57">
        <f>$BJ47+$BH48</f>
        <v/>
      </c>
      <c r="BK48" s="57">
        <f>SUMIFS(tblFleet[Available_h],tblFleet[Date],$A48,tblFleet[Equipment_Class],"Haul Truck")</f>
        <v/>
      </c>
      <c r="BL48" s="57">
        <f>IF($B48=$B47,$BL47,0)+$BK48</f>
        <v/>
      </c>
      <c r="BM48" s="57">
        <f>$BM47+$BK48</f>
        <v/>
      </c>
      <c r="BN48" s="57">
        <f>SUMIFS(tblFleet[Operating_h],tblFleet[Date],$A48,tblFleet[Equipment_Class],"Haul Truck")</f>
        <v/>
      </c>
      <c r="BO48" s="57">
        <f>IF($B48=$B47,$BO47,0)+$BN48</f>
        <v/>
      </c>
      <c r="BP48" s="57">
        <f>$BP47+$BN48</f>
        <v/>
      </c>
      <c r="BQ48" s="67">
        <f>IFERROR(IF(($BH48)&gt;0,($BK48)/($BH48),""),"")</f>
        <v/>
      </c>
      <c r="BR48" s="67">
        <f>IFERROR(IF(($BI48)&gt;0,($BL48)/($BI48),""),"")</f>
        <v/>
      </c>
      <c r="BS48" s="67">
        <f>IFERROR(IF(($BJ48)&gt;0,($BM48)/($BJ48),""),"")</f>
        <v/>
      </c>
      <c r="BT48" s="67">
        <f>IFERROR(IF(($BK48)&gt;0,($BN48)/($BK48),""),"")</f>
        <v/>
      </c>
      <c r="BU48" s="67">
        <f>IFERROR(IF(($BL48)&gt;0,($BO48)/($BL48),""),"")</f>
        <v/>
      </c>
      <c r="BV48" s="67">
        <f>IFERROR(IF(($BM48)&gt;0,($BP48)/($BM48),""),"")</f>
        <v/>
      </c>
      <c r="BW48" s="55">
        <f>SUMIFS(tblPlant[Crushed_t],tblPlant[Date],$A48)</f>
        <v/>
      </c>
      <c r="BX48" s="55">
        <f>IF($B48=$B47,$BX47,0)+$BW48</f>
        <v/>
      </c>
      <c r="BY48" s="55">
        <f>$BY47+$BW48</f>
        <v/>
      </c>
      <c r="BZ48" s="55">
        <f>SUMIFS(tblPlant[Milled_t],tblPlant[Date],$A48)</f>
        <v/>
      </c>
      <c r="CA48" s="55">
        <f>IF($B48=$B47,$CA47,0)+$BZ48</f>
        <v/>
      </c>
      <c r="CB48" s="55">
        <f>$CB47+$BZ48</f>
        <v/>
      </c>
      <c r="CC48" s="55">
        <f>SUMIFS(tblPlant[Feed_oz],tblPlant[Date],$A48)</f>
        <v/>
      </c>
      <c r="CD48" s="55">
        <f>IF($B48=$B47,$CD47,0)+$CC48</f>
        <v/>
      </c>
      <c r="CE48" s="55">
        <f>$CE47+$CC48</f>
        <v/>
      </c>
      <c r="CF48" s="55">
        <f>SUMIFS(tblPlant[Tails_oz],tblPlant[Date],$A48)</f>
        <v/>
      </c>
      <c r="CG48" s="55">
        <f>IF($B48=$B47,$CG47,0)+$CF48</f>
        <v/>
      </c>
      <c r="CH48" s="55">
        <f>$CH47+$CF48</f>
        <v/>
      </c>
      <c r="CI48" s="55">
        <f>SUMIFS(tblPlant[Recovered_oz],tblPlant[Date],$A48)</f>
        <v/>
      </c>
      <c r="CJ48" s="55">
        <f>IF($B48=$B47,$CJ47,0)+$CI48</f>
        <v/>
      </c>
      <c r="CK48" s="55">
        <f>$CK47+$CI48</f>
        <v/>
      </c>
      <c r="CL48" s="56">
        <f>IFERROR(IF(($BZ48)&gt;0,($CC48*cfg_TroyOz)/($BZ48),""),"")</f>
        <v/>
      </c>
      <c r="CM48" s="56">
        <f>IFERROR(IF(($CA48)&gt;0,($CD48*cfg_TroyOz)/($CA48),""),"")</f>
        <v/>
      </c>
      <c r="CN48" s="56">
        <f>IFERROR(IF(($CB48)&gt;0,($CE48*cfg_TroyOz)/($CB48),""),"")</f>
        <v/>
      </c>
      <c r="CO48" s="56">
        <f>IFERROR(IF(($BZ48)&gt;0,($CF48*cfg_TroyOz)/($BZ48),""),"")</f>
        <v/>
      </c>
      <c r="CP48" s="56">
        <f>IFERROR(IF(($CA48)&gt;0,($CG48*cfg_TroyOz)/($CA48),""),"")</f>
        <v/>
      </c>
      <c r="CQ48" s="56">
        <f>IFERROR(IF(($CB48)&gt;0,($CH48*cfg_TroyOz)/($CB48),""),"")</f>
        <v/>
      </c>
      <c r="CR48" s="67">
        <f>IFERROR(IF(($CC48)&gt;0,($CI48)/($CC48),""),"")</f>
        <v/>
      </c>
      <c r="CS48" s="67">
        <f>IFERROR(IF(($CD48)&gt;0,($CJ48)/($CD48),""),"")</f>
        <v/>
      </c>
      <c r="CT48" s="67">
        <f>IFERROR(IF(($CE48)&gt;0,($CK48)/($CE48),""),"")</f>
        <v/>
      </c>
      <c r="CU48" s="55">
        <f>SUMIFS(tblPlant[Gravity_Gold_oz],tblPlant[Date],$A48)</f>
        <v/>
      </c>
      <c r="CV48" s="55">
        <f>IF($B48=$B47,$CV47,0)+$CU48</f>
        <v/>
      </c>
      <c r="CW48" s="55">
        <f>$CW47+$CU48</f>
        <v/>
      </c>
      <c r="CX48" s="55">
        <f>SUMIFS(tblPlant[Gold_Poured_oz],tblPlant[Date],$A48)</f>
        <v/>
      </c>
      <c r="CY48" s="55">
        <f>IF($B48=$B47,$CY47,0)+$CX48</f>
        <v/>
      </c>
      <c r="CZ48" s="55">
        <f>$CZ47+$CX48</f>
        <v/>
      </c>
      <c r="DA48" s="57">
        <f>SUMIFS(tblPlant[Mill_Run_h],tblPlant[Date],$A48)</f>
        <v/>
      </c>
      <c r="DB48" s="57">
        <f>IF($B48=$B47,$DB47,0)+$DA48</f>
        <v/>
      </c>
      <c r="DC48" s="57">
        <f>$DC47+$DA48</f>
        <v/>
      </c>
      <c r="DD48" s="57">
        <f>SUMIFS(tblPlant[Mill_Planned_Maint_h],tblPlant[Date],$A48)</f>
        <v/>
      </c>
      <c r="DE48" s="57">
        <f>IF($B48=$B47,$DE47,0)+$DD48</f>
        <v/>
      </c>
      <c r="DF48" s="57">
        <f>$DF47+$DD48</f>
        <v/>
      </c>
      <c r="DG48" s="57">
        <f>SUMIFS(tblPlant[Mill_Unplanned_Down_h],tblPlant[Date],$A48)</f>
        <v/>
      </c>
      <c r="DH48" s="57">
        <f>IF($B48=$B47,$DH47,0)+$DG48</f>
        <v/>
      </c>
      <c r="DI48" s="57">
        <f>$DI47+$DG48</f>
        <v/>
      </c>
      <c r="DJ48" s="57">
        <f>COUNTIFS(tblPlant[Date],$A48,tblPlant[Mill_Run_h],"&lt;&gt;")*24</f>
        <v/>
      </c>
      <c r="DK48" s="57">
        <f>IF($B48=$B47,$DK47,0)+$DJ48</f>
        <v/>
      </c>
      <c r="DL48" s="57">
        <f>$DL47+$DJ48</f>
        <v/>
      </c>
      <c r="DM48" s="57">
        <f>SUMIFS(tblPlant[Crusher_Run_h],tblPlant[Date],$A48)</f>
        <v/>
      </c>
      <c r="DN48" s="57">
        <f>IF($B48=$B47,$DN47,0)+$DM48</f>
        <v/>
      </c>
      <c r="DO48" s="57">
        <f>$DO47+$DM48</f>
        <v/>
      </c>
      <c r="DP48" s="55">
        <f>IFERROR(IF(($DA48)&gt;0,($BZ48)/($DA48),""),"")</f>
        <v/>
      </c>
      <c r="DQ48" s="55">
        <f>IFERROR(IF(($DB48)&gt;0,($CA48)/($DB48),""),"")</f>
        <v/>
      </c>
      <c r="DR48" s="55">
        <f>IFERROR(IF(($DC48)&gt;0,($CB48)/($DC48),""),"")</f>
        <v/>
      </c>
      <c r="DS48" s="67">
        <f>IFERROR(IF(($DJ48)&gt;0,($DJ48-$DD48-$DG48)/($DJ48),""),"")</f>
        <v/>
      </c>
      <c r="DT48" s="67">
        <f>IFERROR(IF(($DK48)&gt;0,($DK48-$DE48-$DH48)/($DK48),""),"")</f>
        <v/>
      </c>
      <c r="DU48" s="67">
        <f>IFERROR(IF(($DL48)&gt;0,($DL48-$DF48-$DI48)/($DL48),""),"")</f>
        <v/>
      </c>
      <c r="DV48" s="67">
        <f>IFERROR(IF(($DJ48-$DD48-$DG48)&gt;0,($DA48)/($DJ48-$DD48-$DG48),""),"")</f>
        <v/>
      </c>
      <c r="DW48" s="67">
        <f>IFERROR(IF(($DK48-$DE48-$DH48)&gt;0,($DB48)/($DK48-$DE48-$DH48),""),"")</f>
        <v/>
      </c>
      <c r="DX48" s="67">
        <f>IFERROR(IF(($DL48-$DF48-$DI48)&gt;0,($DC48)/($DL48-$DF48-$DI48),""),"")</f>
        <v/>
      </c>
      <c r="DY48" s="55">
        <f>SUMIFS(tblPlant[Cyanide_kg],tblPlant[Date],$A48)</f>
        <v/>
      </c>
      <c r="DZ48" s="55">
        <f>IF($B48=$B47,$DZ47,0)+$DY48</f>
        <v/>
      </c>
      <c r="EA48" s="55">
        <f>$EA47+$DY48</f>
        <v/>
      </c>
      <c r="EB48" s="55">
        <f>SUMIFS(tblPlant[Lime_kg],tblPlant[Date],$A48)</f>
        <v/>
      </c>
      <c r="EC48" s="55">
        <f>IF($B48=$B47,$EC47,0)+$EB48</f>
        <v/>
      </c>
      <c r="ED48" s="55">
        <f>$ED47+$EB48</f>
        <v/>
      </c>
      <c r="EE48" s="55">
        <f>SUMIFS(tblPlant[Grinding_Media_kg],tblPlant[Date],$A48)</f>
        <v/>
      </c>
      <c r="EF48" s="55">
        <f>IF($B48=$B47,$EF47,0)+$EE48</f>
        <v/>
      </c>
      <c r="EG48" s="55">
        <f>$EG47+$EE48</f>
        <v/>
      </c>
      <c r="EH48" s="55">
        <f>SUMIFS(tblPlant[Power_kWh],tblPlant[Date],$A48)</f>
        <v/>
      </c>
      <c r="EI48" s="55">
        <f>IF($B48=$B47,$EI47,0)+$EH48</f>
        <v/>
      </c>
      <c r="EJ48" s="55">
        <f>$EJ47+$EH48</f>
        <v/>
      </c>
      <c r="EK48" s="55">
        <f>SUMIFS(tblPlant[Raw_Water_m3],tblPlant[Date],$A48)</f>
        <v/>
      </c>
      <c r="EL48" s="55">
        <f>IF($B48=$B47,$EL47,0)+$EK48</f>
        <v/>
      </c>
      <c r="EM48" s="55">
        <f>$EM47+$EK48</f>
        <v/>
      </c>
      <c r="EN48" s="56">
        <f>IFERROR(IF(($BZ48)&gt;0,($DY48)/($BZ48),""),"")</f>
        <v/>
      </c>
      <c r="EO48" s="56">
        <f>IFERROR(IF(($CA48)&gt;0,($DZ48)/($CA48),""),"")</f>
        <v/>
      </c>
      <c r="EP48" s="56">
        <f>IFERROR(IF(($CB48)&gt;0,($EA48)/($CB48),""),"")</f>
        <v/>
      </c>
      <c r="EQ48" s="56">
        <f>IFERROR(IF(($BZ48)&gt;0,($EB48)/($BZ48),""),"")</f>
        <v/>
      </c>
      <c r="ER48" s="56">
        <f>IFERROR(IF(($CA48)&gt;0,($EC48)/($CA48),""),"")</f>
        <v/>
      </c>
      <c r="ES48" s="56">
        <f>IFERROR(IF(($CB48)&gt;0,($ED48)/($CB48),""),"")</f>
        <v/>
      </c>
      <c r="ET48" s="56">
        <f>IFERROR(IF(($BZ48)&gt;0,($EE48)/($BZ48),""),"")</f>
        <v/>
      </c>
      <c r="EU48" s="56">
        <f>IFERROR(IF(($CA48)&gt;0,($EF48)/($CA48),""),"")</f>
        <v/>
      </c>
      <c r="EV48" s="56">
        <f>IFERROR(IF(($CB48)&gt;0,($EG48)/($CB48),""),"")</f>
        <v/>
      </c>
      <c r="EW48" s="76">
        <f>IFERROR(IF(($BZ48)&gt;0,($EH48)/($BZ48),""),"")</f>
        <v/>
      </c>
      <c r="EX48" s="76">
        <f>IFERROR(IF(($CA48)&gt;0,($EI48)/($CA48),""),"")</f>
        <v/>
      </c>
      <c r="EY48" s="76">
        <f>IFERROR(IF(($CB48)&gt;0,($EJ48)/($CB48),""),"")</f>
        <v/>
      </c>
      <c r="EZ48" s="56">
        <f>IFERROR(IF(($BZ48)&gt;0,($EK48)/($BZ48),""),"")</f>
        <v/>
      </c>
      <c r="FA48" s="56">
        <f>IFERROR(IF(($CA48)&gt;0,($EL48)/($CA48),""),"")</f>
        <v/>
      </c>
      <c r="FB48" s="56">
        <f>IFERROR(IF(($CB48)&gt;0,($EM48)/($CB48),""),"")</f>
        <v/>
      </c>
      <c r="FC48" s="55">
        <f>IF(SUMIFS(tblPlant[GIC_oz],tblPlant[Date],$A48)&gt;0,SUMIFS(tblPlant[GIC_oz],tblPlant[Date],$A48),"")</f>
        <v/>
      </c>
      <c r="FD48" s="55">
        <f>SUMIFS(tblGold[Gold_oz],tblGold[Date],$A48,tblGold[Type],"Shipment")</f>
        <v/>
      </c>
      <c r="FE48" s="55">
        <f>IF($B48=$B47,$FE47,0)+$FD48</f>
        <v/>
      </c>
      <c r="FF48" s="55">
        <f>$FF47+$FD48</f>
        <v/>
      </c>
      <c r="FG48" s="55">
        <f>SUMIFS(tblGold[Gold_oz],tblGold[Date],$A48,tblGold[Type],"Sale")</f>
        <v/>
      </c>
      <c r="FH48" s="55">
        <f>IF($B48=$B47,$FH47,0)+$FG48</f>
        <v/>
      </c>
      <c r="FI48" s="55">
        <f>$FI47+$FG48</f>
        <v/>
      </c>
      <c r="FJ48" s="55">
        <f>SUMIFS(tblGold[Dore_kg],tblGold[Date],$A48,tblGold[Type],"Shipment")</f>
        <v/>
      </c>
      <c r="FK48" s="55">
        <f>IF($B48=$B47,$FK47,0)+$FJ48</f>
        <v/>
      </c>
      <c r="FL48" s="55">
        <f>$FL47+$FJ48</f>
        <v/>
      </c>
      <c r="FM48" s="57">
        <f>SUMIFS(tblSafety[Hours_Total],tblSafety[Date],$A48)</f>
        <v/>
      </c>
      <c r="FN48" s="57">
        <f>IF($B48=$B47,$FN47,0)+$FM48</f>
        <v/>
      </c>
      <c r="FO48" s="57">
        <f>$FO47+$FM48</f>
        <v/>
      </c>
      <c r="FP48" s="62">
        <f>SUMIFS(tblSafety[Fatality],tblSafety[Date],$A48)</f>
        <v/>
      </c>
      <c r="FQ48" s="62">
        <f>IF($B48=$B47,$FQ47,0)+$FP48</f>
        <v/>
      </c>
      <c r="FR48" s="62">
        <f>$FR47+$FP48</f>
        <v/>
      </c>
      <c r="FS48" s="62">
        <f>SUMIFS(tblSafety[LTI],tblSafety[Date],$A48)</f>
        <v/>
      </c>
      <c r="FT48" s="62">
        <f>IF($B48=$B47,$FT47,0)+$FS48</f>
        <v/>
      </c>
      <c r="FU48" s="62">
        <f>$FU47+$FS48</f>
        <v/>
      </c>
      <c r="FV48" s="62">
        <f>SUMIFS(tblSafety[RWI],tblSafety[Date],$A48)</f>
        <v/>
      </c>
      <c r="FW48" s="62">
        <f>IF($B48=$B47,$FW47,0)+$FV48</f>
        <v/>
      </c>
      <c r="FX48" s="62">
        <f>$FX47+$FV48</f>
        <v/>
      </c>
      <c r="FY48" s="62">
        <f>SUMIFS(tblSafety[MTI],tblSafety[Date],$A48)</f>
        <v/>
      </c>
      <c r="FZ48" s="62">
        <f>IF($B48=$B47,$FZ47,0)+$FY48</f>
        <v/>
      </c>
      <c r="GA48" s="62">
        <f>$GA47+$FY48</f>
        <v/>
      </c>
      <c r="GB48" s="62">
        <f>SUMIFS(tblSafety[FAI],tblSafety[Date],$A48)</f>
        <v/>
      </c>
      <c r="GC48" s="62">
        <f>IF($B48=$B47,$GC47,0)+$GB48</f>
        <v/>
      </c>
      <c r="GD48" s="62">
        <f>$GD47+$GB48</f>
        <v/>
      </c>
      <c r="GE48" s="62">
        <f>SUMIFS(tblSafety[Recordables],tblSafety[Date],$A48)</f>
        <v/>
      </c>
      <c r="GF48" s="62">
        <f>IF($B48=$B47,$GF47,0)+$GE48</f>
        <v/>
      </c>
      <c r="GG48" s="62">
        <f>$GG47+$GE48</f>
        <v/>
      </c>
      <c r="GH48" s="62">
        <f>SUMIFS(tblSafety[Near_Miss],tblSafety[Date],$A48)</f>
        <v/>
      </c>
      <c r="GI48" s="62">
        <f>IF($B48=$B47,$GI47,0)+$GH48</f>
        <v/>
      </c>
      <c r="GJ48" s="62">
        <f>$GJ47+$GH48</f>
        <v/>
      </c>
      <c r="GK48" s="62">
        <f>SUMIFS(tblSafety[Hazard_Reports],tblSafety[Date],$A48)</f>
        <v/>
      </c>
      <c r="GL48" s="62">
        <f>IF($B48=$B47,$GL47,0)+$GK48</f>
        <v/>
      </c>
      <c r="GM48" s="62">
        <f>$GM47+$GK48</f>
        <v/>
      </c>
      <c r="GN48" s="62">
        <f>SUMIFS(tblSafety[HPI],tblSafety[Date],$A48)</f>
        <v/>
      </c>
      <c r="GO48" s="62">
        <f>IF($B48=$B47,$GO47,0)+$GN48</f>
        <v/>
      </c>
      <c r="GP48" s="62">
        <f>$GP47+$GN48</f>
        <v/>
      </c>
      <c r="GQ48" s="62">
        <f>SUMIFS(tblSafety[Env_Incidents],tblSafety[Date],$A48)</f>
        <v/>
      </c>
      <c r="GR48" s="62">
        <f>IF($B48=$B47,$GR47,0)+$GQ48</f>
        <v/>
      </c>
      <c r="GS48" s="62">
        <f>$GS47+$GQ48</f>
        <v/>
      </c>
      <c r="GT48" s="62">
        <f>SUMIFS(tblSafety[Community_Incidents],tblSafety[Date],$A48)</f>
        <v/>
      </c>
      <c r="GU48" s="62">
        <f>IF($B48=$B47,$GU47,0)+$GT48</f>
        <v/>
      </c>
      <c r="GV48" s="62">
        <f>$GV47+$GT48</f>
        <v/>
      </c>
      <c r="GW48" s="62">
        <f>SUMIFS(tblSafety[Vehicle_Incidents],tblSafety[Date],$A48)</f>
        <v/>
      </c>
      <c r="GX48" s="62">
        <f>IF($B48=$B47,$GX47,0)+$GW48</f>
        <v/>
      </c>
      <c r="GY48" s="62">
        <f>$GY47+$GW48</f>
        <v/>
      </c>
      <c r="GZ48" s="62">
        <f>SUMIFS(tblSafety[Toolbox_Talks],tblSafety[Date],$A48)</f>
        <v/>
      </c>
      <c r="HA48" s="62">
        <f>IF($B48=$B47,$HA47,0)+$GZ48</f>
        <v/>
      </c>
      <c r="HB48" s="62">
        <f>$HB47+$GZ48</f>
        <v/>
      </c>
      <c r="HC48" s="62">
        <f>SUMIFS(tblSafety[Inspections],tblSafety[Date],$A48)</f>
        <v/>
      </c>
      <c r="HD48" s="62">
        <f>IF($B48=$B47,$HD47,0)+$HC48</f>
        <v/>
      </c>
      <c r="HE48" s="62">
        <f>$HE47+$HC48</f>
        <v/>
      </c>
      <c r="HF48" s="56">
        <f>IFERROR((SUMIFS(tblSafety[Recordables],tblSafety[Date],"&gt;="&amp;EDATE($E48,-12),tblSafety[Date],"&lt;="&amp;$A48)+SUMIFS(tblSafetyHistory[Recordables],tblSafetyHistory[Month],"&gt;="&amp;EDATE($E48,-12),tblSafetyHistory[Month],"&lt;"&amp;cfg_YearStart))/(SUMIFS(tblSafety[Hours_Total],tblSafety[Date],"&gt;="&amp;EDATE($E48,-12),tblSafety[Date],"&lt;="&amp;$A48)+SUMIFS(tblSafetyHistory[Hours_Total],tblSafetyHistory[Month],"&gt;="&amp;EDATE($E48,-12),tblSafetyHistory[Month],"&lt;"&amp;cfg_YearStart))*1000000,"")</f>
        <v/>
      </c>
      <c r="HG48" s="56">
        <f>IFERROR((SUMIFS(tblSafety[LTI],tblSafety[Date],"&gt;="&amp;EDATE($E48,-12),tblSafety[Date],"&lt;="&amp;$A48)+SUMIFS(tblSafetyHistory[LTI],tblSafetyHistory[Month],"&gt;="&amp;EDATE($E48,-12),tblSafetyHistory[Month],"&lt;"&amp;cfg_YearStart))/(SUMIFS(tblSafety[Hours_Total],tblSafety[Date],"&gt;="&amp;EDATE($E48,-12),tblSafety[Date],"&lt;="&amp;$A48)+SUMIFS(tblSafetyHistory[Hours_Total],tblSafetyHistory[Month],"&gt;="&amp;EDATE($E48,-12),tblSafetyHistory[Month],"&lt;"&amp;cfg_YearStart))*1000000,"")</f>
        <v/>
      </c>
      <c r="HH48" s="62">
        <f>IF(MAX(N(cfg_PriorLTIDate),_xlfn.MAXIFS(tblSafety[Date],tblSafety[LTI],"&gt;0",tblSafety[Date],"&lt;="&amp;$A48))=0,"",$A48-MAX(N(cfg_PriorLTIDate),_xlfn.MAXIFS(tblSafety[Date],tblSafety[LTI],"&gt;0",tblSafety[Date],"&lt;="&amp;$A48)))</f>
        <v/>
      </c>
      <c r="HI48" s="55">
        <f>SUMIFS(tblBudget[Ore_Mined_t],tblBudget[Month],$E48)</f>
        <v/>
      </c>
      <c r="HJ48" s="55">
        <f>$HI48*$C48/$D48</f>
        <v/>
      </c>
      <c r="HK48" s="55">
        <f>SUMIFS(tblBudget[Ore_Mined_t],tblBudget[Month],"&lt;"&amp;$E48)+$HJ48</f>
        <v/>
      </c>
      <c r="HL48" s="55">
        <f>SUMIFS(tblBudget[Ore_oz],tblBudget[Month],$E48)</f>
        <v/>
      </c>
      <c r="HM48" s="55">
        <f>$HL48*$C48/$D48</f>
        <v/>
      </c>
      <c r="HN48" s="55">
        <f>SUMIFS(tblBudget[Ore_oz],tblBudget[Month],"&lt;"&amp;$E48)+$HM48</f>
        <v/>
      </c>
      <c r="HO48" s="56">
        <f>IFERROR(IF(($HI48)&gt;0,($HL48*cfg_TroyOz)/($HI48),""),"")</f>
        <v/>
      </c>
      <c r="HP48" s="56">
        <f>IFERROR(IF(($HJ48)&gt;0,($HM48*cfg_TroyOz)/($HJ48),""),"")</f>
        <v/>
      </c>
      <c r="HQ48" s="56">
        <f>IFERROR(IF(($HK48)&gt;0,($HN48*cfg_TroyOz)/($HK48),""),"")</f>
        <v/>
      </c>
      <c r="HR48" s="55">
        <f>SUMIFS(tblBudget[Waste_t],tblBudget[Month],$E48)</f>
        <v/>
      </c>
      <c r="HS48" s="55">
        <f>$HR48*$C48/$D48</f>
        <v/>
      </c>
      <c r="HT48" s="55">
        <f>SUMIFS(tblBudget[Waste_t],tblBudget[Month],"&lt;"&amp;$E48)+$HS48</f>
        <v/>
      </c>
      <c r="HU48" s="55">
        <f>SUMIFS(tblBudget[TMM_t],tblBudget[Month],$E48)</f>
        <v/>
      </c>
      <c r="HV48" s="55">
        <f>$HU48*$C48/$D48</f>
        <v/>
      </c>
      <c r="HW48" s="55">
        <f>SUMIFS(tblBudget[TMM_t],tblBudget[Month],"&lt;"&amp;$E48)+$HV48</f>
        <v/>
      </c>
      <c r="HX48" s="56">
        <f>IFERROR(IF(($HI48)&gt;0,($HR48)/($HI48),""),"")</f>
        <v/>
      </c>
      <c r="HY48" s="56">
        <f>IFERROR(IF(($HJ48)&gt;0,($HS48)/($HJ48),""),"")</f>
        <v/>
      </c>
      <c r="HZ48" s="56">
        <f>IFERROR(IF(($HK48)&gt;0,($HT48)/($HK48),""),"")</f>
        <v/>
      </c>
      <c r="IA48" s="55">
        <f>SUMIFS(tblBudget[Drill_m],tblBudget[Month],$E48)</f>
        <v/>
      </c>
      <c r="IB48" s="55">
        <f>$IA48*$C48/$D48</f>
        <v/>
      </c>
      <c r="IC48" s="55">
        <f>SUMIFS(tblBudget[Drill_m],tblBudget[Month],"&lt;"&amp;$E48)+$IB48</f>
        <v/>
      </c>
      <c r="ID48" s="55">
        <f>SUMIFS(tblBudget[Diesel_L],tblBudget[Month],$E48)</f>
        <v/>
      </c>
      <c r="IE48" s="55">
        <f>$ID48*$C48/$D48</f>
        <v/>
      </c>
      <c r="IF48" s="55">
        <f>SUMIFS(tblBudget[Diesel_L],tblBudget[Month],"&lt;"&amp;$E48)+$IE48</f>
        <v/>
      </c>
      <c r="IG48" s="55">
        <f>SUMIFS(tblBudget[Milled_t],tblBudget[Month],$E48)</f>
        <v/>
      </c>
      <c r="IH48" s="55">
        <f>$IG48*$C48/$D48</f>
        <v/>
      </c>
      <c r="II48" s="55">
        <f>SUMIFS(tblBudget[Milled_t],tblBudget[Month],"&lt;"&amp;$E48)+$IH48</f>
        <v/>
      </c>
      <c r="IJ48" s="55">
        <f>SUMIFS(tblBudget[Feed_oz],tblBudget[Month],$E48)</f>
        <v/>
      </c>
      <c r="IK48" s="55">
        <f>$IJ48*$C48/$D48</f>
        <v/>
      </c>
      <c r="IL48" s="55">
        <f>SUMIFS(tblBudget[Feed_oz],tblBudget[Month],"&lt;"&amp;$E48)+$IK48</f>
        <v/>
      </c>
      <c r="IM48" s="55">
        <f>SUMIFS(tblBudget[Recovered_oz],tblBudget[Month],$E48)</f>
        <v/>
      </c>
      <c r="IN48" s="55">
        <f>$IM48*$C48/$D48</f>
        <v/>
      </c>
      <c r="IO48" s="55">
        <f>SUMIFS(tblBudget[Recovered_oz],tblBudget[Month],"&lt;"&amp;$E48)+$IN48</f>
        <v/>
      </c>
      <c r="IP48" s="56">
        <f>IFERROR(IF(($IG48)&gt;0,($IJ48*cfg_TroyOz)/($IG48),""),"")</f>
        <v/>
      </c>
      <c r="IQ48" s="56">
        <f>IFERROR(IF(($IH48)&gt;0,($IK48*cfg_TroyOz)/($IH48),""),"")</f>
        <v/>
      </c>
      <c r="IR48" s="56">
        <f>IFERROR(IF(($II48)&gt;0,($IL48*cfg_TroyOz)/($II48),""),"")</f>
        <v/>
      </c>
      <c r="IS48" s="67">
        <f>IFERROR(IF(($IJ48)&gt;0,($IM48)/($IJ48),""),"")</f>
        <v/>
      </c>
      <c r="IT48" s="67">
        <f>IFERROR(IF(($IK48)&gt;0,($IN48)/($IK48),""),"")</f>
        <v/>
      </c>
      <c r="IU48" s="67">
        <f>IFERROR(IF(($IL48)&gt;0,($IO48)/($IL48),""),"")</f>
        <v/>
      </c>
      <c r="IV48" s="55">
        <f>SUMIFS(tblBudget[Gold_Poured_oz],tblBudget[Month],$E48)</f>
        <v/>
      </c>
      <c r="IW48" s="55">
        <f>$IV48*$C48/$D48</f>
        <v/>
      </c>
      <c r="IX48" s="55">
        <f>SUMIFS(tblBudget[Gold_Poured_oz],tblBudget[Month],"&lt;"&amp;$E48)+$IW48</f>
        <v/>
      </c>
      <c r="IY48" s="57">
        <f>SUMIFS(tblBudget[Hours_Worked],tblBudget[Month],$E48)</f>
        <v/>
      </c>
      <c r="IZ48" s="57">
        <f>$IY48*$C48/$D48</f>
        <v/>
      </c>
      <c r="JA48" s="57">
        <f>SUMIFS(tblBudget[Hours_Worked],tblBudget[Month],"&lt;"&amp;$E48)+$IZ48</f>
        <v/>
      </c>
    </row>
    <row r="49">
      <c r="A49" s="54" t="n">
        <v>46070</v>
      </c>
      <c r="B49">
        <f>MONTH($A49)</f>
        <v/>
      </c>
      <c r="C49">
        <f>DAY($A49)</f>
        <v/>
      </c>
      <c r="D49">
        <f>DAY(EOMONTH($A49,0))</f>
        <v/>
      </c>
      <c r="E49" s="54">
        <f>DATE(YEAR($A49),MONTH($A49),1)</f>
        <v/>
      </c>
      <c r="F49" s="55">
        <f>SUMIFS(tblMovement[Tonnes_t],tblMovement[Date],$A49,tblMovement[Is_Ore],1,tblMovement[Source_Type],"Pit")</f>
        <v/>
      </c>
      <c r="G49" s="55">
        <f>IF($B49=$B48,$G48,0)+$F49</f>
        <v/>
      </c>
      <c r="H49" s="55">
        <f>$H48+$F49</f>
        <v/>
      </c>
      <c r="I49" s="55">
        <f>SUMIFS(tblMovement[Ore_oz],tblMovement[Date],$A49,tblMovement[Source_Type],"Pit")</f>
        <v/>
      </c>
      <c r="J49" s="55">
        <f>IF($B49=$B48,$J48,0)+$I49</f>
        <v/>
      </c>
      <c r="K49" s="55">
        <f>$K48+$I49</f>
        <v/>
      </c>
      <c r="L49" s="56">
        <f>IFERROR(IF(($F49)&gt;0,($I49*cfg_TroyOz)/($F49),""),"")</f>
        <v/>
      </c>
      <c r="M49" s="56">
        <f>IFERROR(IF(($G49)&gt;0,($J49*cfg_TroyOz)/($G49),""),"")</f>
        <v/>
      </c>
      <c r="N49" s="56">
        <f>IFERROR(IF(($H49)&gt;0,($K49*cfg_TroyOz)/($H49),""),"")</f>
        <v/>
      </c>
      <c r="O49" s="55">
        <f>SUMIFS(tblMovement[Tonnes_t],tblMovement[Date],$A49,tblMovement[Is_Ore],0,tblMovement[Source_Type],"Pit")</f>
        <v/>
      </c>
      <c r="P49" s="55">
        <f>IF($B49=$B48,$P48,0)+$O49</f>
        <v/>
      </c>
      <c r="Q49" s="55">
        <f>$Q48+$O49</f>
        <v/>
      </c>
      <c r="R49" s="55">
        <f>$F49+$O49</f>
        <v/>
      </c>
      <c r="S49" s="55">
        <f>IF($B49=$B48,$S48,0)+$R49</f>
        <v/>
      </c>
      <c r="T49" s="55">
        <f>$T48+$R49</f>
        <v/>
      </c>
      <c r="U49" s="56">
        <f>IFERROR(IF(($F49)&gt;0,($O49)/($F49),""),"")</f>
        <v/>
      </c>
      <c r="V49" s="56">
        <f>IFERROR(IF(($G49)&gt;0,($P49)/($G49),""),"")</f>
        <v/>
      </c>
      <c r="W49" s="56">
        <f>IFERROR(IF(($H49)&gt;0,($Q49)/($H49),""),"")</f>
        <v/>
      </c>
      <c r="X49" s="55">
        <f>SUMIFS(tblMovement[Tonnes_t],tblMovement[Date],$A49,tblMovement[Source_Type],"Stockpile")</f>
        <v/>
      </c>
      <c r="Y49" s="55">
        <f>IF($B49=$B48,$Y48,0)+$X49</f>
        <v/>
      </c>
      <c r="Z49" s="55">
        <f>$Z48+$X49</f>
        <v/>
      </c>
      <c r="AA49" s="55">
        <f>SUMIFS(tblMiningDaily[Drill_m],tblMiningDaily[Date],$A49)</f>
        <v/>
      </c>
      <c r="AB49" s="55">
        <f>IF($B49=$B48,$AB48,0)+$AA49</f>
        <v/>
      </c>
      <c r="AC49" s="55">
        <f>$AC48+$AA49</f>
        <v/>
      </c>
      <c r="AD49" s="55">
        <f>SUMIFS(tblMiningDaily[Blast_t],tblMiningDaily[Date],$A49)</f>
        <v/>
      </c>
      <c r="AE49" s="55">
        <f>IF($B49=$B48,$AE48,0)+$AD49</f>
        <v/>
      </c>
      <c r="AF49" s="55">
        <f>$AF48+$AD49</f>
        <v/>
      </c>
      <c r="AG49" s="55">
        <f>SUMIFS(tblMiningDaily[Explosives_kg],tblMiningDaily[Date],$A49)</f>
        <v/>
      </c>
      <c r="AH49" s="55">
        <f>IF($B49=$B48,$AH48,0)+$AG49</f>
        <v/>
      </c>
      <c r="AI49" s="55">
        <f>$AI48+$AG49</f>
        <v/>
      </c>
      <c r="AJ49" s="56">
        <f>IFERROR(IF(($AD49)&gt;0,($AG49)/($AD49),""),"")</f>
        <v/>
      </c>
      <c r="AK49" s="56">
        <f>IFERROR(IF(($AE49)&gt;0,($AH49)/($AE49),""),"")</f>
        <v/>
      </c>
      <c r="AL49" s="56">
        <f>IFERROR(IF(($AF49)&gt;0,($AI49)/($AF49),""),"")</f>
        <v/>
      </c>
      <c r="AM49" s="55">
        <f>SUMIFS(tblMiningDaily[Diesel_L],tblMiningDaily[Date],$A49)</f>
        <v/>
      </c>
      <c r="AN49" s="55">
        <f>IF($B49=$B48,$AN48,0)+$AM49</f>
        <v/>
      </c>
      <c r="AO49" s="55">
        <f>$AO48+$AM49</f>
        <v/>
      </c>
      <c r="AP49" s="55">
        <f>SUMIFS(tblMiningDaily[Dewatering_m3],tblMiningDaily[Date],$A49)</f>
        <v/>
      </c>
      <c r="AQ49" s="55">
        <f>IF($B49=$B48,$AQ48,0)+$AP49</f>
        <v/>
      </c>
      <c r="AR49" s="55">
        <f>$AR48+$AP49</f>
        <v/>
      </c>
      <c r="AS49" s="57">
        <f>SUMIFS(tblFleet[Calendar_h],tblFleet[Date],$A49,tblFleet[Equipment_Class],"Excavator")</f>
        <v/>
      </c>
      <c r="AT49" s="57">
        <f>IF($B49=$B48,$AT48,0)+$AS49</f>
        <v/>
      </c>
      <c r="AU49" s="57">
        <f>$AU48+$AS49</f>
        <v/>
      </c>
      <c r="AV49" s="57">
        <f>SUMIFS(tblFleet[Available_h],tblFleet[Date],$A49,tblFleet[Equipment_Class],"Excavator")</f>
        <v/>
      </c>
      <c r="AW49" s="57">
        <f>IF($B49=$B48,$AW48,0)+$AV49</f>
        <v/>
      </c>
      <c r="AX49" s="57">
        <f>$AX48+$AV49</f>
        <v/>
      </c>
      <c r="AY49" s="57">
        <f>SUMIFS(tblFleet[Operating_h],tblFleet[Date],$A49,tblFleet[Equipment_Class],"Excavator")</f>
        <v/>
      </c>
      <c r="AZ49" s="57">
        <f>IF($B49=$B48,$AZ48,0)+$AY49</f>
        <v/>
      </c>
      <c r="BA49" s="57">
        <f>$BA48+$AY49</f>
        <v/>
      </c>
      <c r="BB49" s="67">
        <f>IFERROR(IF(($AS49)&gt;0,($AV49)/($AS49),""),"")</f>
        <v/>
      </c>
      <c r="BC49" s="67">
        <f>IFERROR(IF(($AT49)&gt;0,($AW49)/($AT49),""),"")</f>
        <v/>
      </c>
      <c r="BD49" s="67">
        <f>IFERROR(IF(($AU49)&gt;0,($AX49)/($AU49),""),"")</f>
        <v/>
      </c>
      <c r="BE49" s="67">
        <f>IFERROR(IF(($AV49)&gt;0,($AY49)/($AV49),""),"")</f>
        <v/>
      </c>
      <c r="BF49" s="67">
        <f>IFERROR(IF(($AW49)&gt;0,($AZ49)/($AW49),""),"")</f>
        <v/>
      </c>
      <c r="BG49" s="67">
        <f>IFERROR(IF(($AX49)&gt;0,($BA49)/($AX49),""),"")</f>
        <v/>
      </c>
      <c r="BH49" s="57">
        <f>SUMIFS(tblFleet[Calendar_h],tblFleet[Date],$A49,tblFleet[Equipment_Class],"Haul Truck")</f>
        <v/>
      </c>
      <c r="BI49" s="57">
        <f>IF($B49=$B48,$BI48,0)+$BH49</f>
        <v/>
      </c>
      <c r="BJ49" s="57">
        <f>$BJ48+$BH49</f>
        <v/>
      </c>
      <c r="BK49" s="57">
        <f>SUMIFS(tblFleet[Available_h],tblFleet[Date],$A49,tblFleet[Equipment_Class],"Haul Truck")</f>
        <v/>
      </c>
      <c r="BL49" s="57">
        <f>IF($B49=$B48,$BL48,0)+$BK49</f>
        <v/>
      </c>
      <c r="BM49" s="57">
        <f>$BM48+$BK49</f>
        <v/>
      </c>
      <c r="BN49" s="57">
        <f>SUMIFS(tblFleet[Operating_h],tblFleet[Date],$A49,tblFleet[Equipment_Class],"Haul Truck")</f>
        <v/>
      </c>
      <c r="BO49" s="57">
        <f>IF($B49=$B48,$BO48,0)+$BN49</f>
        <v/>
      </c>
      <c r="BP49" s="57">
        <f>$BP48+$BN49</f>
        <v/>
      </c>
      <c r="BQ49" s="67">
        <f>IFERROR(IF(($BH49)&gt;0,($BK49)/($BH49),""),"")</f>
        <v/>
      </c>
      <c r="BR49" s="67">
        <f>IFERROR(IF(($BI49)&gt;0,($BL49)/($BI49),""),"")</f>
        <v/>
      </c>
      <c r="BS49" s="67">
        <f>IFERROR(IF(($BJ49)&gt;0,($BM49)/($BJ49),""),"")</f>
        <v/>
      </c>
      <c r="BT49" s="67">
        <f>IFERROR(IF(($BK49)&gt;0,($BN49)/($BK49),""),"")</f>
        <v/>
      </c>
      <c r="BU49" s="67">
        <f>IFERROR(IF(($BL49)&gt;0,($BO49)/($BL49),""),"")</f>
        <v/>
      </c>
      <c r="BV49" s="67">
        <f>IFERROR(IF(($BM49)&gt;0,($BP49)/($BM49),""),"")</f>
        <v/>
      </c>
      <c r="BW49" s="55">
        <f>SUMIFS(tblPlant[Crushed_t],tblPlant[Date],$A49)</f>
        <v/>
      </c>
      <c r="BX49" s="55">
        <f>IF($B49=$B48,$BX48,0)+$BW49</f>
        <v/>
      </c>
      <c r="BY49" s="55">
        <f>$BY48+$BW49</f>
        <v/>
      </c>
      <c r="BZ49" s="55">
        <f>SUMIFS(tblPlant[Milled_t],tblPlant[Date],$A49)</f>
        <v/>
      </c>
      <c r="CA49" s="55">
        <f>IF($B49=$B48,$CA48,0)+$BZ49</f>
        <v/>
      </c>
      <c r="CB49" s="55">
        <f>$CB48+$BZ49</f>
        <v/>
      </c>
      <c r="CC49" s="55">
        <f>SUMIFS(tblPlant[Feed_oz],tblPlant[Date],$A49)</f>
        <v/>
      </c>
      <c r="CD49" s="55">
        <f>IF($B49=$B48,$CD48,0)+$CC49</f>
        <v/>
      </c>
      <c r="CE49" s="55">
        <f>$CE48+$CC49</f>
        <v/>
      </c>
      <c r="CF49" s="55">
        <f>SUMIFS(tblPlant[Tails_oz],tblPlant[Date],$A49)</f>
        <v/>
      </c>
      <c r="CG49" s="55">
        <f>IF($B49=$B48,$CG48,0)+$CF49</f>
        <v/>
      </c>
      <c r="CH49" s="55">
        <f>$CH48+$CF49</f>
        <v/>
      </c>
      <c r="CI49" s="55">
        <f>SUMIFS(tblPlant[Recovered_oz],tblPlant[Date],$A49)</f>
        <v/>
      </c>
      <c r="CJ49" s="55">
        <f>IF($B49=$B48,$CJ48,0)+$CI49</f>
        <v/>
      </c>
      <c r="CK49" s="55">
        <f>$CK48+$CI49</f>
        <v/>
      </c>
      <c r="CL49" s="56">
        <f>IFERROR(IF(($BZ49)&gt;0,($CC49*cfg_TroyOz)/($BZ49),""),"")</f>
        <v/>
      </c>
      <c r="CM49" s="56">
        <f>IFERROR(IF(($CA49)&gt;0,($CD49*cfg_TroyOz)/($CA49),""),"")</f>
        <v/>
      </c>
      <c r="CN49" s="56">
        <f>IFERROR(IF(($CB49)&gt;0,($CE49*cfg_TroyOz)/($CB49),""),"")</f>
        <v/>
      </c>
      <c r="CO49" s="56">
        <f>IFERROR(IF(($BZ49)&gt;0,($CF49*cfg_TroyOz)/($BZ49),""),"")</f>
        <v/>
      </c>
      <c r="CP49" s="56">
        <f>IFERROR(IF(($CA49)&gt;0,($CG49*cfg_TroyOz)/($CA49),""),"")</f>
        <v/>
      </c>
      <c r="CQ49" s="56">
        <f>IFERROR(IF(($CB49)&gt;0,($CH49*cfg_TroyOz)/($CB49),""),"")</f>
        <v/>
      </c>
      <c r="CR49" s="67">
        <f>IFERROR(IF(($CC49)&gt;0,($CI49)/($CC49),""),"")</f>
        <v/>
      </c>
      <c r="CS49" s="67">
        <f>IFERROR(IF(($CD49)&gt;0,($CJ49)/($CD49),""),"")</f>
        <v/>
      </c>
      <c r="CT49" s="67">
        <f>IFERROR(IF(($CE49)&gt;0,($CK49)/($CE49),""),"")</f>
        <v/>
      </c>
      <c r="CU49" s="55">
        <f>SUMIFS(tblPlant[Gravity_Gold_oz],tblPlant[Date],$A49)</f>
        <v/>
      </c>
      <c r="CV49" s="55">
        <f>IF($B49=$B48,$CV48,0)+$CU49</f>
        <v/>
      </c>
      <c r="CW49" s="55">
        <f>$CW48+$CU49</f>
        <v/>
      </c>
      <c r="CX49" s="55">
        <f>SUMIFS(tblPlant[Gold_Poured_oz],tblPlant[Date],$A49)</f>
        <v/>
      </c>
      <c r="CY49" s="55">
        <f>IF($B49=$B48,$CY48,0)+$CX49</f>
        <v/>
      </c>
      <c r="CZ49" s="55">
        <f>$CZ48+$CX49</f>
        <v/>
      </c>
      <c r="DA49" s="57">
        <f>SUMIFS(tblPlant[Mill_Run_h],tblPlant[Date],$A49)</f>
        <v/>
      </c>
      <c r="DB49" s="57">
        <f>IF($B49=$B48,$DB48,0)+$DA49</f>
        <v/>
      </c>
      <c r="DC49" s="57">
        <f>$DC48+$DA49</f>
        <v/>
      </c>
      <c r="DD49" s="57">
        <f>SUMIFS(tblPlant[Mill_Planned_Maint_h],tblPlant[Date],$A49)</f>
        <v/>
      </c>
      <c r="DE49" s="57">
        <f>IF($B49=$B48,$DE48,0)+$DD49</f>
        <v/>
      </c>
      <c r="DF49" s="57">
        <f>$DF48+$DD49</f>
        <v/>
      </c>
      <c r="DG49" s="57">
        <f>SUMIFS(tblPlant[Mill_Unplanned_Down_h],tblPlant[Date],$A49)</f>
        <v/>
      </c>
      <c r="DH49" s="57">
        <f>IF($B49=$B48,$DH48,0)+$DG49</f>
        <v/>
      </c>
      <c r="DI49" s="57">
        <f>$DI48+$DG49</f>
        <v/>
      </c>
      <c r="DJ49" s="57">
        <f>COUNTIFS(tblPlant[Date],$A49,tblPlant[Mill_Run_h],"&lt;&gt;")*24</f>
        <v/>
      </c>
      <c r="DK49" s="57">
        <f>IF($B49=$B48,$DK48,0)+$DJ49</f>
        <v/>
      </c>
      <c r="DL49" s="57">
        <f>$DL48+$DJ49</f>
        <v/>
      </c>
      <c r="DM49" s="57">
        <f>SUMIFS(tblPlant[Crusher_Run_h],tblPlant[Date],$A49)</f>
        <v/>
      </c>
      <c r="DN49" s="57">
        <f>IF($B49=$B48,$DN48,0)+$DM49</f>
        <v/>
      </c>
      <c r="DO49" s="57">
        <f>$DO48+$DM49</f>
        <v/>
      </c>
      <c r="DP49" s="55">
        <f>IFERROR(IF(($DA49)&gt;0,($BZ49)/($DA49),""),"")</f>
        <v/>
      </c>
      <c r="DQ49" s="55">
        <f>IFERROR(IF(($DB49)&gt;0,($CA49)/($DB49),""),"")</f>
        <v/>
      </c>
      <c r="DR49" s="55">
        <f>IFERROR(IF(($DC49)&gt;0,($CB49)/($DC49),""),"")</f>
        <v/>
      </c>
      <c r="DS49" s="67">
        <f>IFERROR(IF(($DJ49)&gt;0,($DJ49-$DD49-$DG49)/($DJ49),""),"")</f>
        <v/>
      </c>
      <c r="DT49" s="67">
        <f>IFERROR(IF(($DK49)&gt;0,($DK49-$DE49-$DH49)/($DK49),""),"")</f>
        <v/>
      </c>
      <c r="DU49" s="67">
        <f>IFERROR(IF(($DL49)&gt;0,($DL49-$DF49-$DI49)/($DL49),""),"")</f>
        <v/>
      </c>
      <c r="DV49" s="67">
        <f>IFERROR(IF(($DJ49-$DD49-$DG49)&gt;0,($DA49)/($DJ49-$DD49-$DG49),""),"")</f>
        <v/>
      </c>
      <c r="DW49" s="67">
        <f>IFERROR(IF(($DK49-$DE49-$DH49)&gt;0,($DB49)/($DK49-$DE49-$DH49),""),"")</f>
        <v/>
      </c>
      <c r="DX49" s="67">
        <f>IFERROR(IF(($DL49-$DF49-$DI49)&gt;0,($DC49)/($DL49-$DF49-$DI49),""),"")</f>
        <v/>
      </c>
      <c r="DY49" s="55">
        <f>SUMIFS(tblPlant[Cyanide_kg],tblPlant[Date],$A49)</f>
        <v/>
      </c>
      <c r="DZ49" s="55">
        <f>IF($B49=$B48,$DZ48,0)+$DY49</f>
        <v/>
      </c>
      <c r="EA49" s="55">
        <f>$EA48+$DY49</f>
        <v/>
      </c>
      <c r="EB49" s="55">
        <f>SUMIFS(tblPlant[Lime_kg],tblPlant[Date],$A49)</f>
        <v/>
      </c>
      <c r="EC49" s="55">
        <f>IF($B49=$B48,$EC48,0)+$EB49</f>
        <v/>
      </c>
      <c r="ED49" s="55">
        <f>$ED48+$EB49</f>
        <v/>
      </c>
      <c r="EE49" s="55">
        <f>SUMIFS(tblPlant[Grinding_Media_kg],tblPlant[Date],$A49)</f>
        <v/>
      </c>
      <c r="EF49" s="55">
        <f>IF($B49=$B48,$EF48,0)+$EE49</f>
        <v/>
      </c>
      <c r="EG49" s="55">
        <f>$EG48+$EE49</f>
        <v/>
      </c>
      <c r="EH49" s="55">
        <f>SUMIFS(tblPlant[Power_kWh],tblPlant[Date],$A49)</f>
        <v/>
      </c>
      <c r="EI49" s="55">
        <f>IF($B49=$B48,$EI48,0)+$EH49</f>
        <v/>
      </c>
      <c r="EJ49" s="55">
        <f>$EJ48+$EH49</f>
        <v/>
      </c>
      <c r="EK49" s="55">
        <f>SUMIFS(tblPlant[Raw_Water_m3],tblPlant[Date],$A49)</f>
        <v/>
      </c>
      <c r="EL49" s="55">
        <f>IF($B49=$B48,$EL48,0)+$EK49</f>
        <v/>
      </c>
      <c r="EM49" s="55">
        <f>$EM48+$EK49</f>
        <v/>
      </c>
      <c r="EN49" s="56">
        <f>IFERROR(IF(($BZ49)&gt;0,($DY49)/($BZ49),""),"")</f>
        <v/>
      </c>
      <c r="EO49" s="56">
        <f>IFERROR(IF(($CA49)&gt;0,($DZ49)/($CA49),""),"")</f>
        <v/>
      </c>
      <c r="EP49" s="56">
        <f>IFERROR(IF(($CB49)&gt;0,($EA49)/($CB49),""),"")</f>
        <v/>
      </c>
      <c r="EQ49" s="56">
        <f>IFERROR(IF(($BZ49)&gt;0,($EB49)/($BZ49),""),"")</f>
        <v/>
      </c>
      <c r="ER49" s="56">
        <f>IFERROR(IF(($CA49)&gt;0,($EC49)/($CA49),""),"")</f>
        <v/>
      </c>
      <c r="ES49" s="56">
        <f>IFERROR(IF(($CB49)&gt;0,($ED49)/($CB49),""),"")</f>
        <v/>
      </c>
      <c r="ET49" s="56">
        <f>IFERROR(IF(($BZ49)&gt;0,($EE49)/($BZ49),""),"")</f>
        <v/>
      </c>
      <c r="EU49" s="56">
        <f>IFERROR(IF(($CA49)&gt;0,($EF49)/($CA49),""),"")</f>
        <v/>
      </c>
      <c r="EV49" s="56">
        <f>IFERROR(IF(($CB49)&gt;0,($EG49)/($CB49),""),"")</f>
        <v/>
      </c>
      <c r="EW49" s="76">
        <f>IFERROR(IF(($BZ49)&gt;0,($EH49)/($BZ49),""),"")</f>
        <v/>
      </c>
      <c r="EX49" s="76">
        <f>IFERROR(IF(($CA49)&gt;0,($EI49)/($CA49),""),"")</f>
        <v/>
      </c>
      <c r="EY49" s="76">
        <f>IFERROR(IF(($CB49)&gt;0,($EJ49)/($CB49),""),"")</f>
        <v/>
      </c>
      <c r="EZ49" s="56">
        <f>IFERROR(IF(($BZ49)&gt;0,($EK49)/($BZ49),""),"")</f>
        <v/>
      </c>
      <c r="FA49" s="56">
        <f>IFERROR(IF(($CA49)&gt;0,($EL49)/($CA49),""),"")</f>
        <v/>
      </c>
      <c r="FB49" s="56">
        <f>IFERROR(IF(($CB49)&gt;0,($EM49)/($CB49),""),"")</f>
        <v/>
      </c>
      <c r="FC49" s="55">
        <f>IF(SUMIFS(tblPlant[GIC_oz],tblPlant[Date],$A49)&gt;0,SUMIFS(tblPlant[GIC_oz],tblPlant[Date],$A49),"")</f>
        <v/>
      </c>
      <c r="FD49" s="55">
        <f>SUMIFS(tblGold[Gold_oz],tblGold[Date],$A49,tblGold[Type],"Shipment")</f>
        <v/>
      </c>
      <c r="FE49" s="55">
        <f>IF($B49=$B48,$FE48,0)+$FD49</f>
        <v/>
      </c>
      <c r="FF49" s="55">
        <f>$FF48+$FD49</f>
        <v/>
      </c>
      <c r="FG49" s="55">
        <f>SUMIFS(tblGold[Gold_oz],tblGold[Date],$A49,tblGold[Type],"Sale")</f>
        <v/>
      </c>
      <c r="FH49" s="55">
        <f>IF($B49=$B48,$FH48,0)+$FG49</f>
        <v/>
      </c>
      <c r="FI49" s="55">
        <f>$FI48+$FG49</f>
        <v/>
      </c>
      <c r="FJ49" s="55">
        <f>SUMIFS(tblGold[Dore_kg],tblGold[Date],$A49,tblGold[Type],"Shipment")</f>
        <v/>
      </c>
      <c r="FK49" s="55">
        <f>IF($B49=$B48,$FK48,0)+$FJ49</f>
        <v/>
      </c>
      <c r="FL49" s="55">
        <f>$FL48+$FJ49</f>
        <v/>
      </c>
      <c r="FM49" s="57">
        <f>SUMIFS(tblSafety[Hours_Total],tblSafety[Date],$A49)</f>
        <v/>
      </c>
      <c r="FN49" s="57">
        <f>IF($B49=$B48,$FN48,0)+$FM49</f>
        <v/>
      </c>
      <c r="FO49" s="57">
        <f>$FO48+$FM49</f>
        <v/>
      </c>
      <c r="FP49" s="62">
        <f>SUMIFS(tblSafety[Fatality],tblSafety[Date],$A49)</f>
        <v/>
      </c>
      <c r="FQ49" s="62">
        <f>IF($B49=$B48,$FQ48,0)+$FP49</f>
        <v/>
      </c>
      <c r="FR49" s="62">
        <f>$FR48+$FP49</f>
        <v/>
      </c>
      <c r="FS49" s="62">
        <f>SUMIFS(tblSafety[LTI],tblSafety[Date],$A49)</f>
        <v/>
      </c>
      <c r="FT49" s="62">
        <f>IF($B49=$B48,$FT48,0)+$FS49</f>
        <v/>
      </c>
      <c r="FU49" s="62">
        <f>$FU48+$FS49</f>
        <v/>
      </c>
      <c r="FV49" s="62">
        <f>SUMIFS(tblSafety[RWI],tblSafety[Date],$A49)</f>
        <v/>
      </c>
      <c r="FW49" s="62">
        <f>IF($B49=$B48,$FW48,0)+$FV49</f>
        <v/>
      </c>
      <c r="FX49" s="62">
        <f>$FX48+$FV49</f>
        <v/>
      </c>
      <c r="FY49" s="62">
        <f>SUMIFS(tblSafety[MTI],tblSafety[Date],$A49)</f>
        <v/>
      </c>
      <c r="FZ49" s="62">
        <f>IF($B49=$B48,$FZ48,0)+$FY49</f>
        <v/>
      </c>
      <c r="GA49" s="62">
        <f>$GA48+$FY49</f>
        <v/>
      </c>
      <c r="GB49" s="62">
        <f>SUMIFS(tblSafety[FAI],tblSafety[Date],$A49)</f>
        <v/>
      </c>
      <c r="GC49" s="62">
        <f>IF($B49=$B48,$GC48,0)+$GB49</f>
        <v/>
      </c>
      <c r="GD49" s="62">
        <f>$GD48+$GB49</f>
        <v/>
      </c>
      <c r="GE49" s="62">
        <f>SUMIFS(tblSafety[Recordables],tblSafety[Date],$A49)</f>
        <v/>
      </c>
      <c r="GF49" s="62">
        <f>IF($B49=$B48,$GF48,0)+$GE49</f>
        <v/>
      </c>
      <c r="GG49" s="62">
        <f>$GG48+$GE49</f>
        <v/>
      </c>
      <c r="GH49" s="62">
        <f>SUMIFS(tblSafety[Near_Miss],tblSafety[Date],$A49)</f>
        <v/>
      </c>
      <c r="GI49" s="62">
        <f>IF($B49=$B48,$GI48,0)+$GH49</f>
        <v/>
      </c>
      <c r="GJ49" s="62">
        <f>$GJ48+$GH49</f>
        <v/>
      </c>
      <c r="GK49" s="62">
        <f>SUMIFS(tblSafety[Hazard_Reports],tblSafety[Date],$A49)</f>
        <v/>
      </c>
      <c r="GL49" s="62">
        <f>IF($B49=$B48,$GL48,0)+$GK49</f>
        <v/>
      </c>
      <c r="GM49" s="62">
        <f>$GM48+$GK49</f>
        <v/>
      </c>
      <c r="GN49" s="62">
        <f>SUMIFS(tblSafety[HPI],tblSafety[Date],$A49)</f>
        <v/>
      </c>
      <c r="GO49" s="62">
        <f>IF($B49=$B48,$GO48,0)+$GN49</f>
        <v/>
      </c>
      <c r="GP49" s="62">
        <f>$GP48+$GN49</f>
        <v/>
      </c>
      <c r="GQ49" s="62">
        <f>SUMIFS(tblSafety[Env_Incidents],tblSafety[Date],$A49)</f>
        <v/>
      </c>
      <c r="GR49" s="62">
        <f>IF($B49=$B48,$GR48,0)+$GQ49</f>
        <v/>
      </c>
      <c r="GS49" s="62">
        <f>$GS48+$GQ49</f>
        <v/>
      </c>
      <c r="GT49" s="62">
        <f>SUMIFS(tblSafety[Community_Incidents],tblSafety[Date],$A49)</f>
        <v/>
      </c>
      <c r="GU49" s="62">
        <f>IF($B49=$B48,$GU48,0)+$GT49</f>
        <v/>
      </c>
      <c r="GV49" s="62">
        <f>$GV48+$GT49</f>
        <v/>
      </c>
      <c r="GW49" s="62">
        <f>SUMIFS(tblSafety[Vehicle_Incidents],tblSafety[Date],$A49)</f>
        <v/>
      </c>
      <c r="GX49" s="62">
        <f>IF($B49=$B48,$GX48,0)+$GW49</f>
        <v/>
      </c>
      <c r="GY49" s="62">
        <f>$GY48+$GW49</f>
        <v/>
      </c>
      <c r="GZ49" s="62">
        <f>SUMIFS(tblSafety[Toolbox_Talks],tblSafety[Date],$A49)</f>
        <v/>
      </c>
      <c r="HA49" s="62">
        <f>IF($B49=$B48,$HA48,0)+$GZ49</f>
        <v/>
      </c>
      <c r="HB49" s="62">
        <f>$HB48+$GZ49</f>
        <v/>
      </c>
      <c r="HC49" s="62">
        <f>SUMIFS(tblSafety[Inspections],tblSafety[Date],$A49)</f>
        <v/>
      </c>
      <c r="HD49" s="62">
        <f>IF($B49=$B48,$HD48,0)+$HC49</f>
        <v/>
      </c>
      <c r="HE49" s="62">
        <f>$HE48+$HC49</f>
        <v/>
      </c>
      <c r="HF49" s="56">
        <f>IFERROR((SUMIFS(tblSafety[Recordables],tblSafety[Date],"&gt;="&amp;EDATE($E49,-12),tblSafety[Date],"&lt;="&amp;$A49)+SUMIFS(tblSafetyHistory[Recordables],tblSafetyHistory[Month],"&gt;="&amp;EDATE($E49,-12),tblSafetyHistory[Month],"&lt;"&amp;cfg_YearStart))/(SUMIFS(tblSafety[Hours_Total],tblSafety[Date],"&gt;="&amp;EDATE($E49,-12),tblSafety[Date],"&lt;="&amp;$A49)+SUMIFS(tblSafetyHistory[Hours_Total],tblSafetyHistory[Month],"&gt;="&amp;EDATE($E49,-12),tblSafetyHistory[Month],"&lt;"&amp;cfg_YearStart))*1000000,"")</f>
        <v/>
      </c>
      <c r="HG49" s="56">
        <f>IFERROR((SUMIFS(tblSafety[LTI],tblSafety[Date],"&gt;="&amp;EDATE($E49,-12),tblSafety[Date],"&lt;="&amp;$A49)+SUMIFS(tblSafetyHistory[LTI],tblSafetyHistory[Month],"&gt;="&amp;EDATE($E49,-12),tblSafetyHistory[Month],"&lt;"&amp;cfg_YearStart))/(SUMIFS(tblSafety[Hours_Total],tblSafety[Date],"&gt;="&amp;EDATE($E49,-12),tblSafety[Date],"&lt;="&amp;$A49)+SUMIFS(tblSafetyHistory[Hours_Total],tblSafetyHistory[Month],"&gt;="&amp;EDATE($E49,-12),tblSafetyHistory[Month],"&lt;"&amp;cfg_YearStart))*1000000,"")</f>
        <v/>
      </c>
      <c r="HH49" s="62">
        <f>IF(MAX(N(cfg_PriorLTIDate),_xlfn.MAXIFS(tblSafety[Date],tblSafety[LTI],"&gt;0",tblSafety[Date],"&lt;="&amp;$A49))=0,"",$A49-MAX(N(cfg_PriorLTIDate),_xlfn.MAXIFS(tblSafety[Date],tblSafety[LTI],"&gt;0",tblSafety[Date],"&lt;="&amp;$A49)))</f>
        <v/>
      </c>
      <c r="HI49" s="55">
        <f>SUMIFS(tblBudget[Ore_Mined_t],tblBudget[Month],$E49)</f>
        <v/>
      </c>
      <c r="HJ49" s="55">
        <f>$HI49*$C49/$D49</f>
        <v/>
      </c>
      <c r="HK49" s="55">
        <f>SUMIFS(tblBudget[Ore_Mined_t],tblBudget[Month],"&lt;"&amp;$E49)+$HJ49</f>
        <v/>
      </c>
      <c r="HL49" s="55">
        <f>SUMIFS(tblBudget[Ore_oz],tblBudget[Month],$E49)</f>
        <v/>
      </c>
      <c r="HM49" s="55">
        <f>$HL49*$C49/$D49</f>
        <v/>
      </c>
      <c r="HN49" s="55">
        <f>SUMIFS(tblBudget[Ore_oz],tblBudget[Month],"&lt;"&amp;$E49)+$HM49</f>
        <v/>
      </c>
      <c r="HO49" s="56">
        <f>IFERROR(IF(($HI49)&gt;0,($HL49*cfg_TroyOz)/($HI49),""),"")</f>
        <v/>
      </c>
      <c r="HP49" s="56">
        <f>IFERROR(IF(($HJ49)&gt;0,($HM49*cfg_TroyOz)/($HJ49),""),"")</f>
        <v/>
      </c>
      <c r="HQ49" s="56">
        <f>IFERROR(IF(($HK49)&gt;0,($HN49*cfg_TroyOz)/($HK49),""),"")</f>
        <v/>
      </c>
      <c r="HR49" s="55">
        <f>SUMIFS(tblBudget[Waste_t],tblBudget[Month],$E49)</f>
        <v/>
      </c>
      <c r="HS49" s="55">
        <f>$HR49*$C49/$D49</f>
        <v/>
      </c>
      <c r="HT49" s="55">
        <f>SUMIFS(tblBudget[Waste_t],tblBudget[Month],"&lt;"&amp;$E49)+$HS49</f>
        <v/>
      </c>
      <c r="HU49" s="55">
        <f>SUMIFS(tblBudget[TMM_t],tblBudget[Month],$E49)</f>
        <v/>
      </c>
      <c r="HV49" s="55">
        <f>$HU49*$C49/$D49</f>
        <v/>
      </c>
      <c r="HW49" s="55">
        <f>SUMIFS(tblBudget[TMM_t],tblBudget[Month],"&lt;"&amp;$E49)+$HV49</f>
        <v/>
      </c>
      <c r="HX49" s="56">
        <f>IFERROR(IF(($HI49)&gt;0,($HR49)/($HI49),""),"")</f>
        <v/>
      </c>
      <c r="HY49" s="56">
        <f>IFERROR(IF(($HJ49)&gt;0,($HS49)/($HJ49),""),"")</f>
        <v/>
      </c>
      <c r="HZ49" s="56">
        <f>IFERROR(IF(($HK49)&gt;0,($HT49)/($HK49),""),"")</f>
        <v/>
      </c>
      <c r="IA49" s="55">
        <f>SUMIFS(tblBudget[Drill_m],tblBudget[Month],$E49)</f>
        <v/>
      </c>
      <c r="IB49" s="55">
        <f>$IA49*$C49/$D49</f>
        <v/>
      </c>
      <c r="IC49" s="55">
        <f>SUMIFS(tblBudget[Drill_m],tblBudget[Month],"&lt;"&amp;$E49)+$IB49</f>
        <v/>
      </c>
      <c r="ID49" s="55">
        <f>SUMIFS(tblBudget[Diesel_L],tblBudget[Month],$E49)</f>
        <v/>
      </c>
      <c r="IE49" s="55">
        <f>$ID49*$C49/$D49</f>
        <v/>
      </c>
      <c r="IF49" s="55">
        <f>SUMIFS(tblBudget[Diesel_L],tblBudget[Month],"&lt;"&amp;$E49)+$IE49</f>
        <v/>
      </c>
      <c r="IG49" s="55">
        <f>SUMIFS(tblBudget[Milled_t],tblBudget[Month],$E49)</f>
        <v/>
      </c>
      <c r="IH49" s="55">
        <f>$IG49*$C49/$D49</f>
        <v/>
      </c>
      <c r="II49" s="55">
        <f>SUMIFS(tblBudget[Milled_t],tblBudget[Month],"&lt;"&amp;$E49)+$IH49</f>
        <v/>
      </c>
      <c r="IJ49" s="55">
        <f>SUMIFS(tblBudget[Feed_oz],tblBudget[Month],$E49)</f>
        <v/>
      </c>
      <c r="IK49" s="55">
        <f>$IJ49*$C49/$D49</f>
        <v/>
      </c>
      <c r="IL49" s="55">
        <f>SUMIFS(tblBudget[Feed_oz],tblBudget[Month],"&lt;"&amp;$E49)+$IK49</f>
        <v/>
      </c>
      <c r="IM49" s="55">
        <f>SUMIFS(tblBudget[Recovered_oz],tblBudget[Month],$E49)</f>
        <v/>
      </c>
      <c r="IN49" s="55">
        <f>$IM49*$C49/$D49</f>
        <v/>
      </c>
      <c r="IO49" s="55">
        <f>SUMIFS(tblBudget[Recovered_oz],tblBudget[Month],"&lt;"&amp;$E49)+$IN49</f>
        <v/>
      </c>
      <c r="IP49" s="56">
        <f>IFERROR(IF(($IG49)&gt;0,($IJ49*cfg_TroyOz)/($IG49),""),"")</f>
        <v/>
      </c>
      <c r="IQ49" s="56">
        <f>IFERROR(IF(($IH49)&gt;0,($IK49*cfg_TroyOz)/($IH49),""),"")</f>
        <v/>
      </c>
      <c r="IR49" s="56">
        <f>IFERROR(IF(($II49)&gt;0,($IL49*cfg_TroyOz)/($II49),""),"")</f>
        <v/>
      </c>
      <c r="IS49" s="67">
        <f>IFERROR(IF(($IJ49)&gt;0,($IM49)/($IJ49),""),"")</f>
        <v/>
      </c>
      <c r="IT49" s="67">
        <f>IFERROR(IF(($IK49)&gt;0,($IN49)/($IK49),""),"")</f>
        <v/>
      </c>
      <c r="IU49" s="67">
        <f>IFERROR(IF(($IL49)&gt;0,($IO49)/($IL49),""),"")</f>
        <v/>
      </c>
      <c r="IV49" s="55">
        <f>SUMIFS(tblBudget[Gold_Poured_oz],tblBudget[Month],$E49)</f>
        <v/>
      </c>
      <c r="IW49" s="55">
        <f>$IV49*$C49/$D49</f>
        <v/>
      </c>
      <c r="IX49" s="55">
        <f>SUMIFS(tblBudget[Gold_Poured_oz],tblBudget[Month],"&lt;"&amp;$E49)+$IW49</f>
        <v/>
      </c>
      <c r="IY49" s="57">
        <f>SUMIFS(tblBudget[Hours_Worked],tblBudget[Month],$E49)</f>
        <v/>
      </c>
      <c r="IZ49" s="57">
        <f>$IY49*$C49/$D49</f>
        <v/>
      </c>
      <c r="JA49" s="57">
        <f>SUMIFS(tblBudget[Hours_Worked],tblBudget[Month],"&lt;"&amp;$E49)+$IZ49</f>
        <v/>
      </c>
    </row>
    <row r="50">
      <c r="A50" s="54" t="n">
        <v>46071</v>
      </c>
      <c r="B50">
        <f>MONTH($A50)</f>
        <v/>
      </c>
      <c r="C50">
        <f>DAY($A50)</f>
        <v/>
      </c>
      <c r="D50">
        <f>DAY(EOMONTH($A50,0))</f>
        <v/>
      </c>
      <c r="E50" s="54">
        <f>DATE(YEAR($A50),MONTH($A50),1)</f>
        <v/>
      </c>
      <c r="F50" s="55">
        <f>SUMIFS(tblMovement[Tonnes_t],tblMovement[Date],$A50,tblMovement[Is_Ore],1,tblMovement[Source_Type],"Pit")</f>
        <v/>
      </c>
      <c r="G50" s="55">
        <f>IF($B50=$B49,$G49,0)+$F50</f>
        <v/>
      </c>
      <c r="H50" s="55">
        <f>$H49+$F50</f>
        <v/>
      </c>
      <c r="I50" s="55">
        <f>SUMIFS(tblMovement[Ore_oz],tblMovement[Date],$A50,tblMovement[Source_Type],"Pit")</f>
        <v/>
      </c>
      <c r="J50" s="55">
        <f>IF($B50=$B49,$J49,0)+$I50</f>
        <v/>
      </c>
      <c r="K50" s="55">
        <f>$K49+$I50</f>
        <v/>
      </c>
      <c r="L50" s="56">
        <f>IFERROR(IF(($F50)&gt;0,($I50*cfg_TroyOz)/($F50),""),"")</f>
        <v/>
      </c>
      <c r="M50" s="56">
        <f>IFERROR(IF(($G50)&gt;0,($J50*cfg_TroyOz)/($G50),""),"")</f>
        <v/>
      </c>
      <c r="N50" s="56">
        <f>IFERROR(IF(($H50)&gt;0,($K50*cfg_TroyOz)/($H50),""),"")</f>
        <v/>
      </c>
      <c r="O50" s="55">
        <f>SUMIFS(tblMovement[Tonnes_t],tblMovement[Date],$A50,tblMovement[Is_Ore],0,tblMovement[Source_Type],"Pit")</f>
        <v/>
      </c>
      <c r="P50" s="55">
        <f>IF($B50=$B49,$P49,0)+$O50</f>
        <v/>
      </c>
      <c r="Q50" s="55">
        <f>$Q49+$O50</f>
        <v/>
      </c>
      <c r="R50" s="55">
        <f>$F50+$O50</f>
        <v/>
      </c>
      <c r="S50" s="55">
        <f>IF($B50=$B49,$S49,0)+$R50</f>
        <v/>
      </c>
      <c r="T50" s="55">
        <f>$T49+$R50</f>
        <v/>
      </c>
      <c r="U50" s="56">
        <f>IFERROR(IF(($F50)&gt;0,($O50)/($F50),""),"")</f>
        <v/>
      </c>
      <c r="V50" s="56">
        <f>IFERROR(IF(($G50)&gt;0,($P50)/($G50),""),"")</f>
        <v/>
      </c>
      <c r="W50" s="56">
        <f>IFERROR(IF(($H50)&gt;0,($Q50)/($H50),""),"")</f>
        <v/>
      </c>
      <c r="X50" s="55">
        <f>SUMIFS(tblMovement[Tonnes_t],tblMovement[Date],$A50,tblMovement[Source_Type],"Stockpile")</f>
        <v/>
      </c>
      <c r="Y50" s="55">
        <f>IF($B50=$B49,$Y49,0)+$X50</f>
        <v/>
      </c>
      <c r="Z50" s="55">
        <f>$Z49+$X50</f>
        <v/>
      </c>
      <c r="AA50" s="55">
        <f>SUMIFS(tblMiningDaily[Drill_m],tblMiningDaily[Date],$A50)</f>
        <v/>
      </c>
      <c r="AB50" s="55">
        <f>IF($B50=$B49,$AB49,0)+$AA50</f>
        <v/>
      </c>
      <c r="AC50" s="55">
        <f>$AC49+$AA50</f>
        <v/>
      </c>
      <c r="AD50" s="55">
        <f>SUMIFS(tblMiningDaily[Blast_t],tblMiningDaily[Date],$A50)</f>
        <v/>
      </c>
      <c r="AE50" s="55">
        <f>IF($B50=$B49,$AE49,0)+$AD50</f>
        <v/>
      </c>
      <c r="AF50" s="55">
        <f>$AF49+$AD50</f>
        <v/>
      </c>
      <c r="AG50" s="55">
        <f>SUMIFS(tblMiningDaily[Explosives_kg],tblMiningDaily[Date],$A50)</f>
        <v/>
      </c>
      <c r="AH50" s="55">
        <f>IF($B50=$B49,$AH49,0)+$AG50</f>
        <v/>
      </c>
      <c r="AI50" s="55">
        <f>$AI49+$AG50</f>
        <v/>
      </c>
      <c r="AJ50" s="56">
        <f>IFERROR(IF(($AD50)&gt;0,($AG50)/($AD50),""),"")</f>
        <v/>
      </c>
      <c r="AK50" s="56">
        <f>IFERROR(IF(($AE50)&gt;0,($AH50)/($AE50),""),"")</f>
        <v/>
      </c>
      <c r="AL50" s="56">
        <f>IFERROR(IF(($AF50)&gt;0,($AI50)/($AF50),""),"")</f>
        <v/>
      </c>
      <c r="AM50" s="55">
        <f>SUMIFS(tblMiningDaily[Diesel_L],tblMiningDaily[Date],$A50)</f>
        <v/>
      </c>
      <c r="AN50" s="55">
        <f>IF($B50=$B49,$AN49,0)+$AM50</f>
        <v/>
      </c>
      <c r="AO50" s="55">
        <f>$AO49+$AM50</f>
        <v/>
      </c>
      <c r="AP50" s="55">
        <f>SUMIFS(tblMiningDaily[Dewatering_m3],tblMiningDaily[Date],$A50)</f>
        <v/>
      </c>
      <c r="AQ50" s="55">
        <f>IF($B50=$B49,$AQ49,0)+$AP50</f>
        <v/>
      </c>
      <c r="AR50" s="55">
        <f>$AR49+$AP50</f>
        <v/>
      </c>
      <c r="AS50" s="57">
        <f>SUMIFS(tblFleet[Calendar_h],tblFleet[Date],$A50,tblFleet[Equipment_Class],"Excavator")</f>
        <v/>
      </c>
      <c r="AT50" s="57">
        <f>IF($B50=$B49,$AT49,0)+$AS50</f>
        <v/>
      </c>
      <c r="AU50" s="57">
        <f>$AU49+$AS50</f>
        <v/>
      </c>
      <c r="AV50" s="57">
        <f>SUMIFS(tblFleet[Available_h],tblFleet[Date],$A50,tblFleet[Equipment_Class],"Excavator")</f>
        <v/>
      </c>
      <c r="AW50" s="57">
        <f>IF($B50=$B49,$AW49,0)+$AV50</f>
        <v/>
      </c>
      <c r="AX50" s="57">
        <f>$AX49+$AV50</f>
        <v/>
      </c>
      <c r="AY50" s="57">
        <f>SUMIFS(tblFleet[Operating_h],tblFleet[Date],$A50,tblFleet[Equipment_Class],"Excavator")</f>
        <v/>
      </c>
      <c r="AZ50" s="57">
        <f>IF($B50=$B49,$AZ49,0)+$AY50</f>
        <v/>
      </c>
      <c r="BA50" s="57">
        <f>$BA49+$AY50</f>
        <v/>
      </c>
      <c r="BB50" s="67">
        <f>IFERROR(IF(($AS50)&gt;0,($AV50)/($AS50),""),"")</f>
        <v/>
      </c>
      <c r="BC50" s="67">
        <f>IFERROR(IF(($AT50)&gt;0,($AW50)/($AT50),""),"")</f>
        <v/>
      </c>
      <c r="BD50" s="67">
        <f>IFERROR(IF(($AU50)&gt;0,($AX50)/($AU50),""),"")</f>
        <v/>
      </c>
      <c r="BE50" s="67">
        <f>IFERROR(IF(($AV50)&gt;0,($AY50)/($AV50),""),"")</f>
        <v/>
      </c>
      <c r="BF50" s="67">
        <f>IFERROR(IF(($AW50)&gt;0,($AZ50)/($AW50),""),"")</f>
        <v/>
      </c>
      <c r="BG50" s="67">
        <f>IFERROR(IF(($AX50)&gt;0,($BA50)/($AX50),""),"")</f>
        <v/>
      </c>
      <c r="BH50" s="57">
        <f>SUMIFS(tblFleet[Calendar_h],tblFleet[Date],$A50,tblFleet[Equipment_Class],"Haul Truck")</f>
        <v/>
      </c>
      <c r="BI50" s="57">
        <f>IF($B50=$B49,$BI49,0)+$BH50</f>
        <v/>
      </c>
      <c r="BJ50" s="57">
        <f>$BJ49+$BH50</f>
        <v/>
      </c>
      <c r="BK50" s="57">
        <f>SUMIFS(tblFleet[Available_h],tblFleet[Date],$A50,tblFleet[Equipment_Class],"Haul Truck")</f>
        <v/>
      </c>
      <c r="BL50" s="57">
        <f>IF($B50=$B49,$BL49,0)+$BK50</f>
        <v/>
      </c>
      <c r="BM50" s="57">
        <f>$BM49+$BK50</f>
        <v/>
      </c>
      <c r="BN50" s="57">
        <f>SUMIFS(tblFleet[Operating_h],tblFleet[Date],$A50,tblFleet[Equipment_Class],"Haul Truck")</f>
        <v/>
      </c>
      <c r="BO50" s="57">
        <f>IF($B50=$B49,$BO49,0)+$BN50</f>
        <v/>
      </c>
      <c r="BP50" s="57">
        <f>$BP49+$BN50</f>
        <v/>
      </c>
      <c r="BQ50" s="67">
        <f>IFERROR(IF(($BH50)&gt;0,($BK50)/($BH50),""),"")</f>
        <v/>
      </c>
      <c r="BR50" s="67">
        <f>IFERROR(IF(($BI50)&gt;0,($BL50)/($BI50),""),"")</f>
        <v/>
      </c>
      <c r="BS50" s="67">
        <f>IFERROR(IF(($BJ50)&gt;0,($BM50)/($BJ50),""),"")</f>
        <v/>
      </c>
      <c r="BT50" s="67">
        <f>IFERROR(IF(($BK50)&gt;0,($BN50)/($BK50),""),"")</f>
        <v/>
      </c>
      <c r="BU50" s="67">
        <f>IFERROR(IF(($BL50)&gt;0,($BO50)/($BL50),""),"")</f>
        <v/>
      </c>
      <c r="BV50" s="67">
        <f>IFERROR(IF(($BM50)&gt;0,($BP50)/($BM50),""),"")</f>
        <v/>
      </c>
      <c r="BW50" s="55">
        <f>SUMIFS(tblPlant[Crushed_t],tblPlant[Date],$A50)</f>
        <v/>
      </c>
      <c r="BX50" s="55">
        <f>IF($B50=$B49,$BX49,0)+$BW50</f>
        <v/>
      </c>
      <c r="BY50" s="55">
        <f>$BY49+$BW50</f>
        <v/>
      </c>
      <c r="BZ50" s="55">
        <f>SUMIFS(tblPlant[Milled_t],tblPlant[Date],$A50)</f>
        <v/>
      </c>
      <c r="CA50" s="55">
        <f>IF($B50=$B49,$CA49,0)+$BZ50</f>
        <v/>
      </c>
      <c r="CB50" s="55">
        <f>$CB49+$BZ50</f>
        <v/>
      </c>
      <c r="CC50" s="55">
        <f>SUMIFS(tblPlant[Feed_oz],tblPlant[Date],$A50)</f>
        <v/>
      </c>
      <c r="CD50" s="55">
        <f>IF($B50=$B49,$CD49,0)+$CC50</f>
        <v/>
      </c>
      <c r="CE50" s="55">
        <f>$CE49+$CC50</f>
        <v/>
      </c>
      <c r="CF50" s="55">
        <f>SUMIFS(tblPlant[Tails_oz],tblPlant[Date],$A50)</f>
        <v/>
      </c>
      <c r="CG50" s="55">
        <f>IF($B50=$B49,$CG49,0)+$CF50</f>
        <v/>
      </c>
      <c r="CH50" s="55">
        <f>$CH49+$CF50</f>
        <v/>
      </c>
      <c r="CI50" s="55">
        <f>SUMIFS(tblPlant[Recovered_oz],tblPlant[Date],$A50)</f>
        <v/>
      </c>
      <c r="CJ50" s="55">
        <f>IF($B50=$B49,$CJ49,0)+$CI50</f>
        <v/>
      </c>
      <c r="CK50" s="55">
        <f>$CK49+$CI50</f>
        <v/>
      </c>
      <c r="CL50" s="56">
        <f>IFERROR(IF(($BZ50)&gt;0,($CC50*cfg_TroyOz)/($BZ50),""),"")</f>
        <v/>
      </c>
      <c r="CM50" s="56">
        <f>IFERROR(IF(($CA50)&gt;0,($CD50*cfg_TroyOz)/($CA50),""),"")</f>
        <v/>
      </c>
      <c r="CN50" s="56">
        <f>IFERROR(IF(($CB50)&gt;0,($CE50*cfg_TroyOz)/($CB50),""),"")</f>
        <v/>
      </c>
      <c r="CO50" s="56">
        <f>IFERROR(IF(($BZ50)&gt;0,($CF50*cfg_TroyOz)/($BZ50),""),"")</f>
        <v/>
      </c>
      <c r="CP50" s="56">
        <f>IFERROR(IF(($CA50)&gt;0,($CG50*cfg_TroyOz)/($CA50),""),"")</f>
        <v/>
      </c>
      <c r="CQ50" s="56">
        <f>IFERROR(IF(($CB50)&gt;0,($CH50*cfg_TroyOz)/($CB50),""),"")</f>
        <v/>
      </c>
      <c r="CR50" s="67">
        <f>IFERROR(IF(($CC50)&gt;0,($CI50)/($CC50),""),"")</f>
        <v/>
      </c>
      <c r="CS50" s="67">
        <f>IFERROR(IF(($CD50)&gt;0,($CJ50)/($CD50),""),"")</f>
        <v/>
      </c>
      <c r="CT50" s="67">
        <f>IFERROR(IF(($CE50)&gt;0,($CK50)/($CE50),""),"")</f>
        <v/>
      </c>
      <c r="CU50" s="55">
        <f>SUMIFS(tblPlant[Gravity_Gold_oz],tblPlant[Date],$A50)</f>
        <v/>
      </c>
      <c r="CV50" s="55">
        <f>IF($B50=$B49,$CV49,0)+$CU50</f>
        <v/>
      </c>
      <c r="CW50" s="55">
        <f>$CW49+$CU50</f>
        <v/>
      </c>
      <c r="CX50" s="55">
        <f>SUMIFS(tblPlant[Gold_Poured_oz],tblPlant[Date],$A50)</f>
        <v/>
      </c>
      <c r="CY50" s="55">
        <f>IF($B50=$B49,$CY49,0)+$CX50</f>
        <v/>
      </c>
      <c r="CZ50" s="55">
        <f>$CZ49+$CX50</f>
        <v/>
      </c>
      <c r="DA50" s="57">
        <f>SUMIFS(tblPlant[Mill_Run_h],tblPlant[Date],$A50)</f>
        <v/>
      </c>
      <c r="DB50" s="57">
        <f>IF($B50=$B49,$DB49,0)+$DA50</f>
        <v/>
      </c>
      <c r="DC50" s="57">
        <f>$DC49+$DA50</f>
        <v/>
      </c>
      <c r="DD50" s="57">
        <f>SUMIFS(tblPlant[Mill_Planned_Maint_h],tblPlant[Date],$A50)</f>
        <v/>
      </c>
      <c r="DE50" s="57">
        <f>IF($B50=$B49,$DE49,0)+$DD50</f>
        <v/>
      </c>
      <c r="DF50" s="57">
        <f>$DF49+$DD50</f>
        <v/>
      </c>
      <c r="DG50" s="57">
        <f>SUMIFS(tblPlant[Mill_Unplanned_Down_h],tblPlant[Date],$A50)</f>
        <v/>
      </c>
      <c r="DH50" s="57">
        <f>IF($B50=$B49,$DH49,0)+$DG50</f>
        <v/>
      </c>
      <c r="DI50" s="57">
        <f>$DI49+$DG50</f>
        <v/>
      </c>
      <c r="DJ50" s="57">
        <f>COUNTIFS(tblPlant[Date],$A50,tblPlant[Mill_Run_h],"&lt;&gt;")*24</f>
        <v/>
      </c>
      <c r="DK50" s="57">
        <f>IF($B50=$B49,$DK49,0)+$DJ50</f>
        <v/>
      </c>
      <c r="DL50" s="57">
        <f>$DL49+$DJ50</f>
        <v/>
      </c>
      <c r="DM50" s="57">
        <f>SUMIFS(tblPlant[Crusher_Run_h],tblPlant[Date],$A50)</f>
        <v/>
      </c>
      <c r="DN50" s="57">
        <f>IF($B50=$B49,$DN49,0)+$DM50</f>
        <v/>
      </c>
      <c r="DO50" s="57">
        <f>$DO49+$DM50</f>
        <v/>
      </c>
      <c r="DP50" s="55">
        <f>IFERROR(IF(($DA50)&gt;0,($BZ50)/($DA50),""),"")</f>
        <v/>
      </c>
      <c r="DQ50" s="55">
        <f>IFERROR(IF(($DB50)&gt;0,($CA50)/($DB50),""),"")</f>
        <v/>
      </c>
      <c r="DR50" s="55">
        <f>IFERROR(IF(($DC50)&gt;0,($CB50)/($DC50),""),"")</f>
        <v/>
      </c>
      <c r="DS50" s="67">
        <f>IFERROR(IF(($DJ50)&gt;0,($DJ50-$DD50-$DG50)/($DJ50),""),"")</f>
        <v/>
      </c>
      <c r="DT50" s="67">
        <f>IFERROR(IF(($DK50)&gt;0,($DK50-$DE50-$DH50)/($DK50),""),"")</f>
        <v/>
      </c>
      <c r="DU50" s="67">
        <f>IFERROR(IF(($DL50)&gt;0,($DL50-$DF50-$DI50)/($DL50),""),"")</f>
        <v/>
      </c>
      <c r="DV50" s="67">
        <f>IFERROR(IF(($DJ50-$DD50-$DG50)&gt;0,($DA50)/($DJ50-$DD50-$DG50),""),"")</f>
        <v/>
      </c>
      <c r="DW50" s="67">
        <f>IFERROR(IF(($DK50-$DE50-$DH50)&gt;0,($DB50)/($DK50-$DE50-$DH50),""),"")</f>
        <v/>
      </c>
      <c r="DX50" s="67">
        <f>IFERROR(IF(($DL50-$DF50-$DI50)&gt;0,($DC50)/($DL50-$DF50-$DI50),""),"")</f>
        <v/>
      </c>
      <c r="DY50" s="55">
        <f>SUMIFS(tblPlant[Cyanide_kg],tblPlant[Date],$A50)</f>
        <v/>
      </c>
      <c r="DZ50" s="55">
        <f>IF($B50=$B49,$DZ49,0)+$DY50</f>
        <v/>
      </c>
      <c r="EA50" s="55">
        <f>$EA49+$DY50</f>
        <v/>
      </c>
      <c r="EB50" s="55">
        <f>SUMIFS(tblPlant[Lime_kg],tblPlant[Date],$A50)</f>
        <v/>
      </c>
      <c r="EC50" s="55">
        <f>IF($B50=$B49,$EC49,0)+$EB50</f>
        <v/>
      </c>
      <c r="ED50" s="55">
        <f>$ED49+$EB50</f>
        <v/>
      </c>
      <c r="EE50" s="55">
        <f>SUMIFS(tblPlant[Grinding_Media_kg],tblPlant[Date],$A50)</f>
        <v/>
      </c>
      <c r="EF50" s="55">
        <f>IF($B50=$B49,$EF49,0)+$EE50</f>
        <v/>
      </c>
      <c r="EG50" s="55">
        <f>$EG49+$EE50</f>
        <v/>
      </c>
      <c r="EH50" s="55">
        <f>SUMIFS(tblPlant[Power_kWh],tblPlant[Date],$A50)</f>
        <v/>
      </c>
      <c r="EI50" s="55">
        <f>IF($B50=$B49,$EI49,0)+$EH50</f>
        <v/>
      </c>
      <c r="EJ50" s="55">
        <f>$EJ49+$EH50</f>
        <v/>
      </c>
      <c r="EK50" s="55">
        <f>SUMIFS(tblPlant[Raw_Water_m3],tblPlant[Date],$A50)</f>
        <v/>
      </c>
      <c r="EL50" s="55">
        <f>IF($B50=$B49,$EL49,0)+$EK50</f>
        <v/>
      </c>
      <c r="EM50" s="55">
        <f>$EM49+$EK50</f>
        <v/>
      </c>
      <c r="EN50" s="56">
        <f>IFERROR(IF(($BZ50)&gt;0,($DY50)/($BZ50),""),"")</f>
        <v/>
      </c>
      <c r="EO50" s="56">
        <f>IFERROR(IF(($CA50)&gt;0,($DZ50)/($CA50),""),"")</f>
        <v/>
      </c>
      <c r="EP50" s="56">
        <f>IFERROR(IF(($CB50)&gt;0,($EA50)/($CB50),""),"")</f>
        <v/>
      </c>
      <c r="EQ50" s="56">
        <f>IFERROR(IF(($BZ50)&gt;0,($EB50)/($BZ50),""),"")</f>
        <v/>
      </c>
      <c r="ER50" s="56">
        <f>IFERROR(IF(($CA50)&gt;0,($EC50)/($CA50),""),"")</f>
        <v/>
      </c>
      <c r="ES50" s="56">
        <f>IFERROR(IF(($CB50)&gt;0,($ED50)/($CB50),""),"")</f>
        <v/>
      </c>
      <c r="ET50" s="56">
        <f>IFERROR(IF(($BZ50)&gt;0,($EE50)/($BZ50),""),"")</f>
        <v/>
      </c>
      <c r="EU50" s="56">
        <f>IFERROR(IF(($CA50)&gt;0,($EF50)/($CA50),""),"")</f>
        <v/>
      </c>
      <c r="EV50" s="56">
        <f>IFERROR(IF(($CB50)&gt;0,($EG50)/($CB50),""),"")</f>
        <v/>
      </c>
      <c r="EW50" s="76">
        <f>IFERROR(IF(($BZ50)&gt;0,($EH50)/($BZ50),""),"")</f>
        <v/>
      </c>
      <c r="EX50" s="76">
        <f>IFERROR(IF(($CA50)&gt;0,($EI50)/($CA50),""),"")</f>
        <v/>
      </c>
      <c r="EY50" s="76">
        <f>IFERROR(IF(($CB50)&gt;0,($EJ50)/($CB50),""),"")</f>
        <v/>
      </c>
      <c r="EZ50" s="56">
        <f>IFERROR(IF(($BZ50)&gt;0,($EK50)/($BZ50),""),"")</f>
        <v/>
      </c>
      <c r="FA50" s="56">
        <f>IFERROR(IF(($CA50)&gt;0,($EL50)/($CA50),""),"")</f>
        <v/>
      </c>
      <c r="FB50" s="56">
        <f>IFERROR(IF(($CB50)&gt;0,($EM50)/($CB50),""),"")</f>
        <v/>
      </c>
      <c r="FC50" s="55">
        <f>IF(SUMIFS(tblPlant[GIC_oz],tblPlant[Date],$A50)&gt;0,SUMIFS(tblPlant[GIC_oz],tblPlant[Date],$A50),"")</f>
        <v/>
      </c>
      <c r="FD50" s="55">
        <f>SUMIFS(tblGold[Gold_oz],tblGold[Date],$A50,tblGold[Type],"Shipment")</f>
        <v/>
      </c>
      <c r="FE50" s="55">
        <f>IF($B50=$B49,$FE49,0)+$FD50</f>
        <v/>
      </c>
      <c r="FF50" s="55">
        <f>$FF49+$FD50</f>
        <v/>
      </c>
      <c r="FG50" s="55">
        <f>SUMIFS(tblGold[Gold_oz],tblGold[Date],$A50,tblGold[Type],"Sale")</f>
        <v/>
      </c>
      <c r="FH50" s="55">
        <f>IF($B50=$B49,$FH49,0)+$FG50</f>
        <v/>
      </c>
      <c r="FI50" s="55">
        <f>$FI49+$FG50</f>
        <v/>
      </c>
      <c r="FJ50" s="55">
        <f>SUMIFS(tblGold[Dore_kg],tblGold[Date],$A50,tblGold[Type],"Shipment")</f>
        <v/>
      </c>
      <c r="FK50" s="55">
        <f>IF($B50=$B49,$FK49,0)+$FJ50</f>
        <v/>
      </c>
      <c r="FL50" s="55">
        <f>$FL49+$FJ50</f>
        <v/>
      </c>
      <c r="FM50" s="57">
        <f>SUMIFS(tblSafety[Hours_Total],tblSafety[Date],$A50)</f>
        <v/>
      </c>
      <c r="FN50" s="57">
        <f>IF($B50=$B49,$FN49,0)+$FM50</f>
        <v/>
      </c>
      <c r="FO50" s="57">
        <f>$FO49+$FM50</f>
        <v/>
      </c>
      <c r="FP50" s="62">
        <f>SUMIFS(tblSafety[Fatality],tblSafety[Date],$A50)</f>
        <v/>
      </c>
      <c r="FQ50" s="62">
        <f>IF($B50=$B49,$FQ49,0)+$FP50</f>
        <v/>
      </c>
      <c r="FR50" s="62">
        <f>$FR49+$FP50</f>
        <v/>
      </c>
      <c r="FS50" s="62">
        <f>SUMIFS(tblSafety[LTI],tblSafety[Date],$A50)</f>
        <v/>
      </c>
      <c r="FT50" s="62">
        <f>IF($B50=$B49,$FT49,0)+$FS50</f>
        <v/>
      </c>
      <c r="FU50" s="62">
        <f>$FU49+$FS50</f>
        <v/>
      </c>
      <c r="FV50" s="62">
        <f>SUMIFS(tblSafety[RWI],tblSafety[Date],$A50)</f>
        <v/>
      </c>
      <c r="FW50" s="62">
        <f>IF($B50=$B49,$FW49,0)+$FV50</f>
        <v/>
      </c>
      <c r="FX50" s="62">
        <f>$FX49+$FV50</f>
        <v/>
      </c>
      <c r="FY50" s="62">
        <f>SUMIFS(tblSafety[MTI],tblSafety[Date],$A50)</f>
        <v/>
      </c>
      <c r="FZ50" s="62">
        <f>IF($B50=$B49,$FZ49,0)+$FY50</f>
        <v/>
      </c>
      <c r="GA50" s="62">
        <f>$GA49+$FY50</f>
        <v/>
      </c>
      <c r="GB50" s="62">
        <f>SUMIFS(tblSafety[FAI],tblSafety[Date],$A50)</f>
        <v/>
      </c>
      <c r="GC50" s="62">
        <f>IF($B50=$B49,$GC49,0)+$GB50</f>
        <v/>
      </c>
      <c r="GD50" s="62">
        <f>$GD49+$GB50</f>
        <v/>
      </c>
      <c r="GE50" s="62">
        <f>SUMIFS(tblSafety[Recordables],tblSafety[Date],$A50)</f>
        <v/>
      </c>
      <c r="GF50" s="62">
        <f>IF($B50=$B49,$GF49,0)+$GE50</f>
        <v/>
      </c>
      <c r="GG50" s="62">
        <f>$GG49+$GE50</f>
        <v/>
      </c>
      <c r="GH50" s="62">
        <f>SUMIFS(tblSafety[Near_Miss],tblSafety[Date],$A50)</f>
        <v/>
      </c>
      <c r="GI50" s="62">
        <f>IF($B50=$B49,$GI49,0)+$GH50</f>
        <v/>
      </c>
      <c r="GJ50" s="62">
        <f>$GJ49+$GH50</f>
        <v/>
      </c>
      <c r="GK50" s="62">
        <f>SUMIFS(tblSafety[Hazard_Reports],tblSafety[Date],$A50)</f>
        <v/>
      </c>
      <c r="GL50" s="62">
        <f>IF($B50=$B49,$GL49,0)+$GK50</f>
        <v/>
      </c>
      <c r="GM50" s="62">
        <f>$GM49+$GK50</f>
        <v/>
      </c>
      <c r="GN50" s="62">
        <f>SUMIFS(tblSafety[HPI],tblSafety[Date],$A50)</f>
        <v/>
      </c>
      <c r="GO50" s="62">
        <f>IF($B50=$B49,$GO49,0)+$GN50</f>
        <v/>
      </c>
      <c r="GP50" s="62">
        <f>$GP49+$GN50</f>
        <v/>
      </c>
      <c r="GQ50" s="62">
        <f>SUMIFS(tblSafety[Env_Incidents],tblSafety[Date],$A50)</f>
        <v/>
      </c>
      <c r="GR50" s="62">
        <f>IF($B50=$B49,$GR49,0)+$GQ50</f>
        <v/>
      </c>
      <c r="GS50" s="62">
        <f>$GS49+$GQ50</f>
        <v/>
      </c>
      <c r="GT50" s="62">
        <f>SUMIFS(tblSafety[Community_Incidents],tblSafety[Date],$A50)</f>
        <v/>
      </c>
      <c r="GU50" s="62">
        <f>IF($B50=$B49,$GU49,0)+$GT50</f>
        <v/>
      </c>
      <c r="GV50" s="62">
        <f>$GV49+$GT50</f>
        <v/>
      </c>
      <c r="GW50" s="62">
        <f>SUMIFS(tblSafety[Vehicle_Incidents],tblSafety[Date],$A50)</f>
        <v/>
      </c>
      <c r="GX50" s="62">
        <f>IF($B50=$B49,$GX49,0)+$GW50</f>
        <v/>
      </c>
      <c r="GY50" s="62">
        <f>$GY49+$GW50</f>
        <v/>
      </c>
      <c r="GZ50" s="62">
        <f>SUMIFS(tblSafety[Toolbox_Talks],tblSafety[Date],$A50)</f>
        <v/>
      </c>
      <c r="HA50" s="62">
        <f>IF($B50=$B49,$HA49,0)+$GZ50</f>
        <v/>
      </c>
      <c r="HB50" s="62">
        <f>$HB49+$GZ50</f>
        <v/>
      </c>
      <c r="HC50" s="62">
        <f>SUMIFS(tblSafety[Inspections],tblSafety[Date],$A50)</f>
        <v/>
      </c>
      <c r="HD50" s="62">
        <f>IF($B50=$B49,$HD49,0)+$HC50</f>
        <v/>
      </c>
      <c r="HE50" s="62">
        <f>$HE49+$HC50</f>
        <v/>
      </c>
      <c r="HF50" s="56">
        <f>IFERROR((SUMIFS(tblSafety[Recordables],tblSafety[Date],"&gt;="&amp;EDATE($E50,-12),tblSafety[Date],"&lt;="&amp;$A50)+SUMIFS(tblSafetyHistory[Recordables],tblSafetyHistory[Month],"&gt;="&amp;EDATE($E50,-12),tblSafetyHistory[Month],"&lt;"&amp;cfg_YearStart))/(SUMIFS(tblSafety[Hours_Total],tblSafety[Date],"&gt;="&amp;EDATE($E50,-12),tblSafety[Date],"&lt;="&amp;$A50)+SUMIFS(tblSafetyHistory[Hours_Total],tblSafetyHistory[Month],"&gt;="&amp;EDATE($E50,-12),tblSafetyHistory[Month],"&lt;"&amp;cfg_YearStart))*1000000,"")</f>
        <v/>
      </c>
      <c r="HG50" s="56">
        <f>IFERROR((SUMIFS(tblSafety[LTI],tblSafety[Date],"&gt;="&amp;EDATE($E50,-12),tblSafety[Date],"&lt;="&amp;$A50)+SUMIFS(tblSafetyHistory[LTI],tblSafetyHistory[Month],"&gt;="&amp;EDATE($E50,-12),tblSafetyHistory[Month],"&lt;"&amp;cfg_YearStart))/(SUMIFS(tblSafety[Hours_Total],tblSafety[Date],"&gt;="&amp;EDATE($E50,-12),tblSafety[Date],"&lt;="&amp;$A50)+SUMIFS(tblSafetyHistory[Hours_Total],tblSafetyHistory[Month],"&gt;="&amp;EDATE($E50,-12),tblSafetyHistory[Month],"&lt;"&amp;cfg_YearStart))*1000000,"")</f>
        <v/>
      </c>
      <c r="HH50" s="62">
        <f>IF(MAX(N(cfg_PriorLTIDate),_xlfn.MAXIFS(tblSafety[Date],tblSafety[LTI],"&gt;0",tblSafety[Date],"&lt;="&amp;$A50))=0,"",$A50-MAX(N(cfg_PriorLTIDate),_xlfn.MAXIFS(tblSafety[Date],tblSafety[LTI],"&gt;0",tblSafety[Date],"&lt;="&amp;$A50)))</f>
        <v/>
      </c>
      <c r="HI50" s="55">
        <f>SUMIFS(tblBudget[Ore_Mined_t],tblBudget[Month],$E50)</f>
        <v/>
      </c>
      <c r="HJ50" s="55">
        <f>$HI50*$C50/$D50</f>
        <v/>
      </c>
      <c r="HK50" s="55">
        <f>SUMIFS(tblBudget[Ore_Mined_t],tblBudget[Month],"&lt;"&amp;$E50)+$HJ50</f>
        <v/>
      </c>
      <c r="HL50" s="55">
        <f>SUMIFS(tblBudget[Ore_oz],tblBudget[Month],$E50)</f>
        <v/>
      </c>
      <c r="HM50" s="55">
        <f>$HL50*$C50/$D50</f>
        <v/>
      </c>
      <c r="HN50" s="55">
        <f>SUMIFS(tblBudget[Ore_oz],tblBudget[Month],"&lt;"&amp;$E50)+$HM50</f>
        <v/>
      </c>
      <c r="HO50" s="56">
        <f>IFERROR(IF(($HI50)&gt;0,($HL50*cfg_TroyOz)/($HI50),""),"")</f>
        <v/>
      </c>
      <c r="HP50" s="56">
        <f>IFERROR(IF(($HJ50)&gt;0,($HM50*cfg_TroyOz)/($HJ50),""),"")</f>
        <v/>
      </c>
      <c r="HQ50" s="56">
        <f>IFERROR(IF(($HK50)&gt;0,($HN50*cfg_TroyOz)/($HK50),""),"")</f>
        <v/>
      </c>
      <c r="HR50" s="55">
        <f>SUMIFS(tblBudget[Waste_t],tblBudget[Month],$E50)</f>
        <v/>
      </c>
      <c r="HS50" s="55">
        <f>$HR50*$C50/$D50</f>
        <v/>
      </c>
      <c r="HT50" s="55">
        <f>SUMIFS(tblBudget[Waste_t],tblBudget[Month],"&lt;"&amp;$E50)+$HS50</f>
        <v/>
      </c>
      <c r="HU50" s="55">
        <f>SUMIFS(tblBudget[TMM_t],tblBudget[Month],$E50)</f>
        <v/>
      </c>
      <c r="HV50" s="55">
        <f>$HU50*$C50/$D50</f>
        <v/>
      </c>
      <c r="HW50" s="55">
        <f>SUMIFS(tblBudget[TMM_t],tblBudget[Month],"&lt;"&amp;$E50)+$HV50</f>
        <v/>
      </c>
      <c r="HX50" s="56">
        <f>IFERROR(IF(($HI50)&gt;0,($HR50)/($HI50),""),"")</f>
        <v/>
      </c>
      <c r="HY50" s="56">
        <f>IFERROR(IF(($HJ50)&gt;0,($HS50)/($HJ50),""),"")</f>
        <v/>
      </c>
      <c r="HZ50" s="56">
        <f>IFERROR(IF(($HK50)&gt;0,($HT50)/($HK50),""),"")</f>
        <v/>
      </c>
      <c r="IA50" s="55">
        <f>SUMIFS(tblBudget[Drill_m],tblBudget[Month],$E50)</f>
        <v/>
      </c>
      <c r="IB50" s="55">
        <f>$IA50*$C50/$D50</f>
        <v/>
      </c>
      <c r="IC50" s="55">
        <f>SUMIFS(tblBudget[Drill_m],tblBudget[Month],"&lt;"&amp;$E50)+$IB50</f>
        <v/>
      </c>
      <c r="ID50" s="55">
        <f>SUMIFS(tblBudget[Diesel_L],tblBudget[Month],$E50)</f>
        <v/>
      </c>
      <c r="IE50" s="55">
        <f>$ID50*$C50/$D50</f>
        <v/>
      </c>
      <c r="IF50" s="55">
        <f>SUMIFS(tblBudget[Diesel_L],tblBudget[Month],"&lt;"&amp;$E50)+$IE50</f>
        <v/>
      </c>
      <c r="IG50" s="55">
        <f>SUMIFS(tblBudget[Milled_t],tblBudget[Month],$E50)</f>
        <v/>
      </c>
      <c r="IH50" s="55">
        <f>$IG50*$C50/$D50</f>
        <v/>
      </c>
      <c r="II50" s="55">
        <f>SUMIFS(tblBudget[Milled_t],tblBudget[Month],"&lt;"&amp;$E50)+$IH50</f>
        <v/>
      </c>
      <c r="IJ50" s="55">
        <f>SUMIFS(tblBudget[Feed_oz],tblBudget[Month],$E50)</f>
        <v/>
      </c>
      <c r="IK50" s="55">
        <f>$IJ50*$C50/$D50</f>
        <v/>
      </c>
      <c r="IL50" s="55">
        <f>SUMIFS(tblBudget[Feed_oz],tblBudget[Month],"&lt;"&amp;$E50)+$IK50</f>
        <v/>
      </c>
      <c r="IM50" s="55">
        <f>SUMIFS(tblBudget[Recovered_oz],tblBudget[Month],$E50)</f>
        <v/>
      </c>
      <c r="IN50" s="55">
        <f>$IM50*$C50/$D50</f>
        <v/>
      </c>
      <c r="IO50" s="55">
        <f>SUMIFS(tblBudget[Recovered_oz],tblBudget[Month],"&lt;"&amp;$E50)+$IN50</f>
        <v/>
      </c>
      <c r="IP50" s="56">
        <f>IFERROR(IF(($IG50)&gt;0,($IJ50*cfg_TroyOz)/($IG50),""),"")</f>
        <v/>
      </c>
      <c r="IQ50" s="56">
        <f>IFERROR(IF(($IH50)&gt;0,($IK50*cfg_TroyOz)/($IH50),""),"")</f>
        <v/>
      </c>
      <c r="IR50" s="56">
        <f>IFERROR(IF(($II50)&gt;0,($IL50*cfg_TroyOz)/($II50),""),"")</f>
        <v/>
      </c>
      <c r="IS50" s="67">
        <f>IFERROR(IF(($IJ50)&gt;0,($IM50)/($IJ50),""),"")</f>
        <v/>
      </c>
      <c r="IT50" s="67">
        <f>IFERROR(IF(($IK50)&gt;0,($IN50)/($IK50),""),"")</f>
        <v/>
      </c>
      <c r="IU50" s="67">
        <f>IFERROR(IF(($IL50)&gt;0,($IO50)/($IL50),""),"")</f>
        <v/>
      </c>
      <c r="IV50" s="55">
        <f>SUMIFS(tblBudget[Gold_Poured_oz],tblBudget[Month],$E50)</f>
        <v/>
      </c>
      <c r="IW50" s="55">
        <f>$IV50*$C50/$D50</f>
        <v/>
      </c>
      <c r="IX50" s="55">
        <f>SUMIFS(tblBudget[Gold_Poured_oz],tblBudget[Month],"&lt;"&amp;$E50)+$IW50</f>
        <v/>
      </c>
      <c r="IY50" s="57">
        <f>SUMIFS(tblBudget[Hours_Worked],tblBudget[Month],$E50)</f>
        <v/>
      </c>
      <c r="IZ50" s="57">
        <f>$IY50*$C50/$D50</f>
        <v/>
      </c>
      <c r="JA50" s="57">
        <f>SUMIFS(tblBudget[Hours_Worked],tblBudget[Month],"&lt;"&amp;$E50)+$IZ50</f>
        <v/>
      </c>
    </row>
    <row r="51">
      <c r="A51" s="54" t="n">
        <v>46072</v>
      </c>
      <c r="B51">
        <f>MONTH($A51)</f>
        <v/>
      </c>
      <c r="C51">
        <f>DAY($A51)</f>
        <v/>
      </c>
      <c r="D51">
        <f>DAY(EOMONTH($A51,0))</f>
        <v/>
      </c>
      <c r="E51" s="54">
        <f>DATE(YEAR($A51),MONTH($A51),1)</f>
        <v/>
      </c>
      <c r="F51" s="55">
        <f>SUMIFS(tblMovement[Tonnes_t],tblMovement[Date],$A51,tblMovement[Is_Ore],1,tblMovement[Source_Type],"Pit")</f>
        <v/>
      </c>
      <c r="G51" s="55">
        <f>IF($B51=$B50,$G50,0)+$F51</f>
        <v/>
      </c>
      <c r="H51" s="55">
        <f>$H50+$F51</f>
        <v/>
      </c>
      <c r="I51" s="55">
        <f>SUMIFS(tblMovement[Ore_oz],tblMovement[Date],$A51,tblMovement[Source_Type],"Pit")</f>
        <v/>
      </c>
      <c r="J51" s="55">
        <f>IF($B51=$B50,$J50,0)+$I51</f>
        <v/>
      </c>
      <c r="K51" s="55">
        <f>$K50+$I51</f>
        <v/>
      </c>
      <c r="L51" s="56">
        <f>IFERROR(IF(($F51)&gt;0,($I51*cfg_TroyOz)/($F51),""),"")</f>
        <v/>
      </c>
      <c r="M51" s="56">
        <f>IFERROR(IF(($G51)&gt;0,($J51*cfg_TroyOz)/($G51),""),"")</f>
        <v/>
      </c>
      <c r="N51" s="56">
        <f>IFERROR(IF(($H51)&gt;0,($K51*cfg_TroyOz)/($H51),""),"")</f>
        <v/>
      </c>
      <c r="O51" s="55">
        <f>SUMIFS(tblMovement[Tonnes_t],tblMovement[Date],$A51,tblMovement[Is_Ore],0,tblMovement[Source_Type],"Pit")</f>
        <v/>
      </c>
      <c r="P51" s="55">
        <f>IF($B51=$B50,$P50,0)+$O51</f>
        <v/>
      </c>
      <c r="Q51" s="55">
        <f>$Q50+$O51</f>
        <v/>
      </c>
      <c r="R51" s="55">
        <f>$F51+$O51</f>
        <v/>
      </c>
      <c r="S51" s="55">
        <f>IF($B51=$B50,$S50,0)+$R51</f>
        <v/>
      </c>
      <c r="T51" s="55">
        <f>$T50+$R51</f>
        <v/>
      </c>
      <c r="U51" s="56">
        <f>IFERROR(IF(($F51)&gt;0,($O51)/($F51),""),"")</f>
        <v/>
      </c>
      <c r="V51" s="56">
        <f>IFERROR(IF(($G51)&gt;0,($P51)/($G51),""),"")</f>
        <v/>
      </c>
      <c r="W51" s="56">
        <f>IFERROR(IF(($H51)&gt;0,($Q51)/($H51),""),"")</f>
        <v/>
      </c>
      <c r="X51" s="55">
        <f>SUMIFS(tblMovement[Tonnes_t],tblMovement[Date],$A51,tblMovement[Source_Type],"Stockpile")</f>
        <v/>
      </c>
      <c r="Y51" s="55">
        <f>IF($B51=$B50,$Y50,0)+$X51</f>
        <v/>
      </c>
      <c r="Z51" s="55">
        <f>$Z50+$X51</f>
        <v/>
      </c>
      <c r="AA51" s="55">
        <f>SUMIFS(tblMiningDaily[Drill_m],tblMiningDaily[Date],$A51)</f>
        <v/>
      </c>
      <c r="AB51" s="55">
        <f>IF($B51=$B50,$AB50,0)+$AA51</f>
        <v/>
      </c>
      <c r="AC51" s="55">
        <f>$AC50+$AA51</f>
        <v/>
      </c>
      <c r="AD51" s="55">
        <f>SUMIFS(tblMiningDaily[Blast_t],tblMiningDaily[Date],$A51)</f>
        <v/>
      </c>
      <c r="AE51" s="55">
        <f>IF($B51=$B50,$AE50,0)+$AD51</f>
        <v/>
      </c>
      <c r="AF51" s="55">
        <f>$AF50+$AD51</f>
        <v/>
      </c>
      <c r="AG51" s="55">
        <f>SUMIFS(tblMiningDaily[Explosives_kg],tblMiningDaily[Date],$A51)</f>
        <v/>
      </c>
      <c r="AH51" s="55">
        <f>IF($B51=$B50,$AH50,0)+$AG51</f>
        <v/>
      </c>
      <c r="AI51" s="55">
        <f>$AI50+$AG51</f>
        <v/>
      </c>
      <c r="AJ51" s="56">
        <f>IFERROR(IF(($AD51)&gt;0,($AG51)/($AD51),""),"")</f>
        <v/>
      </c>
      <c r="AK51" s="56">
        <f>IFERROR(IF(($AE51)&gt;0,($AH51)/($AE51),""),"")</f>
        <v/>
      </c>
      <c r="AL51" s="56">
        <f>IFERROR(IF(($AF51)&gt;0,($AI51)/($AF51),""),"")</f>
        <v/>
      </c>
      <c r="AM51" s="55">
        <f>SUMIFS(tblMiningDaily[Diesel_L],tblMiningDaily[Date],$A51)</f>
        <v/>
      </c>
      <c r="AN51" s="55">
        <f>IF($B51=$B50,$AN50,0)+$AM51</f>
        <v/>
      </c>
      <c r="AO51" s="55">
        <f>$AO50+$AM51</f>
        <v/>
      </c>
      <c r="AP51" s="55">
        <f>SUMIFS(tblMiningDaily[Dewatering_m3],tblMiningDaily[Date],$A51)</f>
        <v/>
      </c>
      <c r="AQ51" s="55">
        <f>IF($B51=$B50,$AQ50,0)+$AP51</f>
        <v/>
      </c>
      <c r="AR51" s="55">
        <f>$AR50+$AP51</f>
        <v/>
      </c>
      <c r="AS51" s="57">
        <f>SUMIFS(tblFleet[Calendar_h],tblFleet[Date],$A51,tblFleet[Equipment_Class],"Excavator")</f>
        <v/>
      </c>
      <c r="AT51" s="57">
        <f>IF($B51=$B50,$AT50,0)+$AS51</f>
        <v/>
      </c>
      <c r="AU51" s="57">
        <f>$AU50+$AS51</f>
        <v/>
      </c>
      <c r="AV51" s="57">
        <f>SUMIFS(tblFleet[Available_h],tblFleet[Date],$A51,tblFleet[Equipment_Class],"Excavator")</f>
        <v/>
      </c>
      <c r="AW51" s="57">
        <f>IF($B51=$B50,$AW50,0)+$AV51</f>
        <v/>
      </c>
      <c r="AX51" s="57">
        <f>$AX50+$AV51</f>
        <v/>
      </c>
      <c r="AY51" s="57">
        <f>SUMIFS(tblFleet[Operating_h],tblFleet[Date],$A51,tblFleet[Equipment_Class],"Excavator")</f>
        <v/>
      </c>
      <c r="AZ51" s="57">
        <f>IF($B51=$B50,$AZ50,0)+$AY51</f>
        <v/>
      </c>
      <c r="BA51" s="57">
        <f>$BA50+$AY51</f>
        <v/>
      </c>
      <c r="BB51" s="67">
        <f>IFERROR(IF(($AS51)&gt;0,($AV51)/($AS51),""),"")</f>
        <v/>
      </c>
      <c r="BC51" s="67">
        <f>IFERROR(IF(($AT51)&gt;0,($AW51)/($AT51),""),"")</f>
        <v/>
      </c>
      <c r="BD51" s="67">
        <f>IFERROR(IF(($AU51)&gt;0,($AX51)/($AU51),""),"")</f>
        <v/>
      </c>
      <c r="BE51" s="67">
        <f>IFERROR(IF(($AV51)&gt;0,($AY51)/($AV51),""),"")</f>
        <v/>
      </c>
      <c r="BF51" s="67">
        <f>IFERROR(IF(($AW51)&gt;0,($AZ51)/($AW51),""),"")</f>
        <v/>
      </c>
      <c r="BG51" s="67">
        <f>IFERROR(IF(($AX51)&gt;0,($BA51)/($AX51),""),"")</f>
        <v/>
      </c>
      <c r="BH51" s="57">
        <f>SUMIFS(tblFleet[Calendar_h],tblFleet[Date],$A51,tblFleet[Equipment_Class],"Haul Truck")</f>
        <v/>
      </c>
      <c r="BI51" s="57">
        <f>IF($B51=$B50,$BI50,0)+$BH51</f>
        <v/>
      </c>
      <c r="BJ51" s="57">
        <f>$BJ50+$BH51</f>
        <v/>
      </c>
      <c r="BK51" s="57">
        <f>SUMIFS(tblFleet[Available_h],tblFleet[Date],$A51,tblFleet[Equipment_Class],"Haul Truck")</f>
        <v/>
      </c>
      <c r="BL51" s="57">
        <f>IF($B51=$B50,$BL50,0)+$BK51</f>
        <v/>
      </c>
      <c r="BM51" s="57">
        <f>$BM50+$BK51</f>
        <v/>
      </c>
      <c r="BN51" s="57">
        <f>SUMIFS(tblFleet[Operating_h],tblFleet[Date],$A51,tblFleet[Equipment_Class],"Haul Truck")</f>
        <v/>
      </c>
      <c r="BO51" s="57">
        <f>IF($B51=$B50,$BO50,0)+$BN51</f>
        <v/>
      </c>
      <c r="BP51" s="57">
        <f>$BP50+$BN51</f>
        <v/>
      </c>
      <c r="BQ51" s="67">
        <f>IFERROR(IF(($BH51)&gt;0,($BK51)/($BH51),""),"")</f>
        <v/>
      </c>
      <c r="BR51" s="67">
        <f>IFERROR(IF(($BI51)&gt;0,($BL51)/($BI51),""),"")</f>
        <v/>
      </c>
      <c r="BS51" s="67">
        <f>IFERROR(IF(($BJ51)&gt;0,($BM51)/($BJ51),""),"")</f>
        <v/>
      </c>
      <c r="BT51" s="67">
        <f>IFERROR(IF(($BK51)&gt;0,($BN51)/($BK51),""),"")</f>
        <v/>
      </c>
      <c r="BU51" s="67">
        <f>IFERROR(IF(($BL51)&gt;0,($BO51)/($BL51),""),"")</f>
        <v/>
      </c>
      <c r="BV51" s="67">
        <f>IFERROR(IF(($BM51)&gt;0,($BP51)/($BM51),""),"")</f>
        <v/>
      </c>
      <c r="BW51" s="55">
        <f>SUMIFS(tblPlant[Crushed_t],tblPlant[Date],$A51)</f>
        <v/>
      </c>
      <c r="BX51" s="55">
        <f>IF($B51=$B50,$BX50,0)+$BW51</f>
        <v/>
      </c>
      <c r="BY51" s="55">
        <f>$BY50+$BW51</f>
        <v/>
      </c>
      <c r="BZ51" s="55">
        <f>SUMIFS(tblPlant[Milled_t],tblPlant[Date],$A51)</f>
        <v/>
      </c>
      <c r="CA51" s="55">
        <f>IF($B51=$B50,$CA50,0)+$BZ51</f>
        <v/>
      </c>
      <c r="CB51" s="55">
        <f>$CB50+$BZ51</f>
        <v/>
      </c>
      <c r="CC51" s="55">
        <f>SUMIFS(tblPlant[Feed_oz],tblPlant[Date],$A51)</f>
        <v/>
      </c>
      <c r="CD51" s="55">
        <f>IF($B51=$B50,$CD50,0)+$CC51</f>
        <v/>
      </c>
      <c r="CE51" s="55">
        <f>$CE50+$CC51</f>
        <v/>
      </c>
      <c r="CF51" s="55">
        <f>SUMIFS(tblPlant[Tails_oz],tblPlant[Date],$A51)</f>
        <v/>
      </c>
      <c r="CG51" s="55">
        <f>IF($B51=$B50,$CG50,0)+$CF51</f>
        <v/>
      </c>
      <c r="CH51" s="55">
        <f>$CH50+$CF51</f>
        <v/>
      </c>
      <c r="CI51" s="55">
        <f>SUMIFS(tblPlant[Recovered_oz],tblPlant[Date],$A51)</f>
        <v/>
      </c>
      <c r="CJ51" s="55">
        <f>IF($B51=$B50,$CJ50,0)+$CI51</f>
        <v/>
      </c>
      <c r="CK51" s="55">
        <f>$CK50+$CI51</f>
        <v/>
      </c>
      <c r="CL51" s="56">
        <f>IFERROR(IF(($BZ51)&gt;0,($CC51*cfg_TroyOz)/($BZ51),""),"")</f>
        <v/>
      </c>
      <c r="CM51" s="56">
        <f>IFERROR(IF(($CA51)&gt;0,($CD51*cfg_TroyOz)/($CA51),""),"")</f>
        <v/>
      </c>
      <c r="CN51" s="56">
        <f>IFERROR(IF(($CB51)&gt;0,($CE51*cfg_TroyOz)/($CB51),""),"")</f>
        <v/>
      </c>
      <c r="CO51" s="56">
        <f>IFERROR(IF(($BZ51)&gt;0,($CF51*cfg_TroyOz)/($BZ51),""),"")</f>
        <v/>
      </c>
      <c r="CP51" s="56">
        <f>IFERROR(IF(($CA51)&gt;0,($CG51*cfg_TroyOz)/($CA51),""),"")</f>
        <v/>
      </c>
      <c r="CQ51" s="56">
        <f>IFERROR(IF(($CB51)&gt;0,($CH51*cfg_TroyOz)/($CB51),""),"")</f>
        <v/>
      </c>
      <c r="CR51" s="67">
        <f>IFERROR(IF(($CC51)&gt;0,($CI51)/($CC51),""),"")</f>
        <v/>
      </c>
      <c r="CS51" s="67">
        <f>IFERROR(IF(($CD51)&gt;0,($CJ51)/($CD51),""),"")</f>
        <v/>
      </c>
      <c r="CT51" s="67">
        <f>IFERROR(IF(($CE51)&gt;0,($CK51)/($CE51),""),"")</f>
        <v/>
      </c>
      <c r="CU51" s="55">
        <f>SUMIFS(tblPlant[Gravity_Gold_oz],tblPlant[Date],$A51)</f>
        <v/>
      </c>
      <c r="CV51" s="55">
        <f>IF($B51=$B50,$CV50,0)+$CU51</f>
        <v/>
      </c>
      <c r="CW51" s="55">
        <f>$CW50+$CU51</f>
        <v/>
      </c>
      <c r="CX51" s="55">
        <f>SUMIFS(tblPlant[Gold_Poured_oz],tblPlant[Date],$A51)</f>
        <v/>
      </c>
      <c r="CY51" s="55">
        <f>IF($B51=$B50,$CY50,0)+$CX51</f>
        <v/>
      </c>
      <c r="CZ51" s="55">
        <f>$CZ50+$CX51</f>
        <v/>
      </c>
      <c r="DA51" s="57">
        <f>SUMIFS(tblPlant[Mill_Run_h],tblPlant[Date],$A51)</f>
        <v/>
      </c>
      <c r="DB51" s="57">
        <f>IF($B51=$B50,$DB50,0)+$DA51</f>
        <v/>
      </c>
      <c r="DC51" s="57">
        <f>$DC50+$DA51</f>
        <v/>
      </c>
      <c r="DD51" s="57">
        <f>SUMIFS(tblPlant[Mill_Planned_Maint_h],tblPlant[Date],$A51)</f>
        <v/>
      </c>
      <c r="DE51" s="57">
        <f>IF($B51=$B50,$DE50,0)+$DD51</f>
        <v/>
      </c>
      <c r="DF51" s="57">
        <f>$DF50+$DD51</f>
        <v/>
      </c>
      <c r="DG51" s="57">
        <f>SUMIFS(tblPlant[Mill_Unplanned_Down_h],tblPlant[Date],$A51)</f>
        <v/>
      </c>
      <c r="DH51" s="57">
        <f>IF($B51=$B50,$DH50,0)+$DG51</f>
        <v/>
      </c>
      <c r="DI51" s="57">
        <f>$DI50+$DG51</f>
        <v/>
      </c>
      <c r="DJ51" s="57">
        <f>COUNTIFS(tblPlant[Date],$A51,tblPlant[Mill_Run_h],"&lt;&gt;")*24</f>
        <v/>
      </c>
      <c r="DK51" s="57">
        <f>IF($B51=$B50,$DK50,0)+$DJ51</f>
        <v/>
      </c>
      <c r="DL51" s="57">
        <f>$DL50+$DJ51</f>
        <v/>
      </c>
      <c r="DM51" s="57">
        <f>SUMIFS(tblPlant[Crusher_Run_h],tblPlant[Date],$A51)</f>
        <v/>
      </c>
      <c r="DN51" s="57">
        <f>IF($B51=$B50,$DN50,0)+$DM51</f>
        <v/>
      </c>
      <c r="DO51" s="57">
        <f>$DO50+$DM51</f>
        <v/>
      </c>
      <c r="DP51" s="55">
        <f>IFERROR(IF(($DA51)&gt;0,($BZ51)/($DA51),""),"")</f>
        <v/>
      </c>
      <c r="DQ51" s="55">
        <f>IFERROR(IF(($DB51)&gt;0,($CA51)/($DB51),""),"")</f>
        <v/>
      </c>
      <c r="DR51" s="55">
        <f>IFERROR(IF(($DC51)&gt;0,($CB51)/($DC51),""),"")</f>
        <v/>
      </c>
      <c r="DS51" s="67">
        <f>IFERROR(IF(($DJ51)&gt;0,($DJ51-$DD51-$DG51)/($DJ51),""),"")</f>
        <v/>
      </c>
      <c r="DT51" s="67">
        <f>IFERROR(IF(($DK51)&gt;0,($DK51-$DE51-$DH51)/($DK51),""),"")</f>
        <v/>
      </c>
      <c r="DU51" s="67">
        <f>IFERROR(IF(($DL51)&gt;0,($DL51-$DF51-$DI51)/($DL51),""),"")</f>
        <v/>
      </c>
      <c r="DV51" s="67">
        <f>IFERROR(IF(($DJ51-$DD51-$DG51)&gt;0,($DA51)/($DJ51-$DD51-$DG51),""),"")</f>
        <v/>
      </c>
      <c r="DW51" s="67">
        <f>IFERROR(IF(($DK51-$DE51-$DH51)&gt;0,($DB51)/($DK51-$DE51-$DH51),""),"")</f>
        <v/>
      </c>
      <c r="DX51" s="67">
        <f>IFERROR(IF(($DL51-$DF51-$DI51)&gt;0,($DC51)/($DL51-$DF51-$DI51),""),"")</f>
        <v/>
      </c>
      <c r="DY51" s="55">
        <f>SUMIFS(tblPlant[Cyanide_kg],tblPlant[Date],$A51)</f>
        <v/>
      </c>
      <c r="DZ51" s="55">
        <f>IF($B51=$B50,$DZ50,0)+$DY51</f>
        <v/>
      </c>
      <c r="EA51" s="55">
        <f>$EA50+$DY51</f>
        <v/>
      </c>
      <c r="EB51" s="55">
        <f>SUMIFS(tblPlant[Lime_kg],tblPlant[Date],$A51)</f>
        <v/>
      </c>
      <c r="EC51" s="55">
        <f>IF($B51=$B50,$EC50,0)+$EB51</f>
        <v/>
      </c>
      <c r="ED51" s="55">
        <f>$ED50+$EB51</f>
        <v/>
      </c>
      <c r="EE51" s="55">
        <f>SUMIFS(tblPlant[Grinding_Media_kg],tblPlant[Date],$A51)</f>
        <v/>
      </c>
      <c r="EF51" s="55">
        <f>IF($B51=$B50,$EF50,0)+$EE51</f>
        <v/>
      </c>
      <c r="EG51" s="55">
        <f>$EG50+$EE51</f>
        <v/>
      </c>
      <c r="EH51" s="55">
        <f>SUMIFS(tblPlant[Power_kWh],tblPlant[Date],$A51)</f>
        <v/>
      </c>
      <c r="EI51" s="55">
        <f>IF($B51=$B50,$EI50,0)+$EH51</f>
        <v/>
      </c>
      <c r="EJ51" s="55">
        <f>$EJ50+$EH51</f>
        <v/>
      </c>
      <c r="EK51" s="55">
        <f>SUMIFS(tblPlant[Raw_Water_m3],tblPlant[Date],$A51)</f>
        <v/>
      </c>
      <c r="EL51" s="55">
        <f>IF($B51=$B50,$EL50,0)+$EK51</f>
        <v/>
      </c>
      <c r="EM51" s="55">
        <f>$EM50+$EK51</f>
        <v/>
      </c>
      <c r="EN51" s="56">
        <f>IFERROR(IF(($BZ51)&gt;0,($DY51)/($BZ51),""),"")</f>
        <v/>
      </c>
      <c r="EO51" s="56">
        <f>IFERROR(IF(($CA51)&gt;0,($DZ51)/($CA51),""),"")</f>
        <v/>
      </c>
      <c r="EP51" s="56">
        <f>IFERROR(IF(($CB51)&gt;0,($EA51)/($CB51),""),"")</f>
        <v/>
      </c>
      <c r="EQ51" s="56">
        <f>IFERROR(IF(($BZ51)&gt;0,($EB51)/($BZ51),""),"")</f>
        <v/>
      </c>
      <c r="ER51" s="56">
        <f>IFERROR(IF(($CA51)&gt;0,($EC51)/($CA51),""),"")</f>
        <v/>
      </c>
      <c r="ES51" s="56">
        <f>IFERROR(IF(($CB51)&gt;0,($ED51)/($CB51),""),"")</f>
        <v/>
      </c>
      <c r="ET51" s="56">
        <f>IFERROR(IF(($BZ51)&gt;0,($EE51)/($BZ51),""),"")</f>
        <v/>
      </c>
      <c r="EU51" s="56">
        <f>IFERROR(IF(($CA51)&gt;0,($EF51)/($CA51),""),"")</f>
        <v/>
      </c>
      <c r="EV51" s="56">
        <f>IFERROR(IF(($CB51)&gt;0,($EG51)/($CB51),""),"")</f>
        <v/>
      </c>
      <c r="EW51" s="76">
        <f>IFERROR(IF(($BZ51)&gt;0,($EH51)/($BZ51),""),"")</f>
        <v/>
      </c>
      <c r="EX51" s="76">
        <f>IFERROR(IF(($CA51)&gt;0,($EI51)/($CA51),""),"")</f>
        <v/>
      </c>
      <c r="EY51" s="76">
        <f>IFERROR(IF(($CB51)&gt;0,($EJ51)/($CB51),""),"")</f>
        <v/>
      </c>
      <c r="EZ51" s="56">
        <f>IFERROR(IF(($BZ51)&gt;0,($EK51)/($BZ51),""),"")</f>
        <v/>
      </c>
      <c r="FA51" s="56">
        <f>IFERROR(IF(($CA51)&gt;0,($EL51)/($CA51),""),"")</f>
        <v/>
      </c>
      <c r="FB51" s="56">
        <f>IFERROR(IF(($CB51)&gt;0,($EM51)/($CB51),""),"")</f>
        <v/>
      </c>
      <c r="FC51" s="55">
        <f>IF(SUMIFS(tblPlant[GIC_oz],tblPlant[Date],$A51)&gt;0,SUMIFS(tblPlant[GIC_oz],tblPlant[Date],$A51),"")</f>
        <v/>
      </c>
      <c r="FD51" s="55">
        <f>SUMIFS(tblGold[Gold_oz],tblGold[Date],$A51,tblGold[Type],"Shipment")</f>
        <v/>
      </c>
      <c r="FE51" s="55">
        <f>IF($B51=$B50,$FE50,0)+$FD51</f>
        <v/>
      </c>
      <c r="FF51" s="55">
        <f>$FF50+$FD51</f>
        <v/>
      </c>
      <c r="FG51" s="55">
        <f>SUMIFS(tblGold[Gold_oz],tblGold[Date],$A51,tblGold[Type],"Sale")</f>
        <v/>
      </c>
      <c r="FH51" s="55">
        <f>IF($B51=$B50,$FH50,0)+$FG51</f>
        <v/>
      </c>
      <c r="FI51" s="55">
        <f>$FI50+$FG51</f>
        <v/>
      </c>
      <c r="FJ51" s="55">
        <f>SUMIFS(tblGold[Dore_kg],tblGold[Date],$A51,tblGold[Type],"Shipment")</f>
        <v/>
      </c>
      <c r="FK51" s="55">
        <f>IF($B51=$B50,$FK50,0)+$FJ51</f>
        <v/>
      </c>
      <c r="FL51" s="55">
        <f>$FL50+$FJ51</f>
        <v/>
      </c>
      <c r="FM51" s="57">
        <f>SUMIFS(tblSafety[Hours_Total],tblSafety[Date],$A51)</f>
        <v/>
      </c>
      <c r="FN51" s="57">
        <f>IF($B51=$B50,$FN50,0)+$FM51</f>
        <v/>
      </c>
      <c r="FO51" s="57">
        <f>$FO50+$FM51</f>
        <v/>
      </c>
      <c r="FP51" s="62">
        <f>SUMIFS(tblSafety[Fatality],tblSafety[Date],$A51)</f>
        <v/>
      </c>
      <c r="FQ51" s="62">
        <f>IF($B51=$B50,$FQ50,0)+$FP51</f>
        <v/>
      </c>
      <c r="FR51" s="62">
        <f>$FR50+$FP51</f>
        <v/>
      </c>
      <c r="FS51" s="62">
        <f>SUMIFS(tblSafety[LTI],tblSafety[Date],$A51)</f>
        <v/>
      </c>
      <c r="FT51" s="62">
        <f>IF($B51=$B50,$FT50,0)+$FS51</f>
        <v/>
      </c>
      <c r="FU51" s="62">
        <f>$FU50+$FS51</f>
        <v/>
      </c>
      <c r="FV51" s="62">
        <f>SUMIFS(tblSafety[RWI],tblSafety[Date],$A51)</f>
        <v/>
      </c>
      <c r="FW51" s="62">
        <f>IF($B51=$B50,$FW50,0)+$FV51</f>
        <v/>
      </c>
      <c r="FX51" s="62">
        <f>$FX50+$FV51</f>
        <v/>
      </c>
      <c r="FY51" s="62">
        <f>SUMIFS(tblSafety[MTI],tblSafety[Date],$A51)</f>
        <v/>
      </c>
      <c r="FZ51" s="62">
        <f>IF($B51=$B50,$FZ50,0)+$FY51</f>
        <v/>
      </c>
      <c r="GA51" s="62">
        <f>$GA50+$FY51</f>
        <v/>
      </c>
      <c r="GB51" s="62">
        <f>SUMIFS(tblSafety[FAI],tblSafety[Date],$A51)</f>
        <v/>
      </c>
      <c r="GC51" s="62">
        <f>IF($B51=$B50,$GC50,0)+$GB51</f>
        <v/>
      </c>
      <c r="GD51" s="62">
        <f>$GD50+$GB51</f>
        <v/>
      </c>
      <c r="GE51" s="62">
        <f>SUMIFS(tblSafety[Recordables],tblSafety[Date],$A51)</f>
        <v/>
      </c>
      <c r="GF51" s="62">
        <f>IF($B51=$B50,$GF50,0)+$GE51</f>
        <v/>
      </c>
      <c r="GG51" s="62">
        <f>$GG50+$GE51</f>
        <v/>
      </c>
      <c r="GH51" s="62">
        <f>SUMIFS(tblSafety[Near_Miss],tblSafety[Date],$A51)</f>
        <v/>
      </c>
      <c r="GI51" s="62">
        <f>IF($B51=$B50,$GI50,0)+$GH51</f>
        <v/>
      </c>
      <c r="GJ51" s="62">
        <f>$GJ50+$GH51</f>
        <v/>
      </c>
      <c r="GK51" s="62">
        <f>SUMIFS(tblSafety[Hazard_Reports],tblSafety[Date],$A51)</f>
        <v/>
      </c>
      <c r="GL51" s="62">
        <f>IF($B51=$B50,$GL50,0)+$GK51</f>
        <v/>
      </c>
      <c r="GM51" s="62">
        <f>$GM50+$GK51</f>
        <v/>
      </c>
      <c r="GN51" s="62">
        <f>SUMIFS(tblSafety[HPI],tblSafety[Date],$A51)</f>
        <v/>
      </c>
      <c r="GO51" s="62">
        <f>IF($B51=$B50,$GO50,0)+$GN51</f>
        <v/>
      </c>
      <c r="GP51" s="62">
        <f>$GP50+$GN51</f>
        <v/>
      </c>
      <c r="GQ51" s="62">
        <f>SUMIFS(tblSafety[Env_Incidents],tblSafety[Date],$A51)</f>
        <v/>
      </c>
      <c r="GR51" s="62">
        <f>IF($B51=$B50,$GR50,0)+$GQ51</f>
        <v/>
      </c>
      <c r="GS51" s="62">
        <f>$GS50+$GQ51</f>
        <v/>
      </c>
      <c r="GT51" s="62">
        <f>SUMIFS(tblSafety[Community_Incidents],tblSafety[Date],$A51)</f>
        <v/>
      </c>
      <c r="GU51" s="62">
        <f>IF($B51=$B50,$GU50,0)+$GT51</f>
        <v/>
      </c>
      <c r="GV51" s="62">
        <f>$GV50+$GT51</f>
        <v/>
      </c>
      <c r="GW51" s="62">
        <f>SUMIFS(tblSafety[Vehicle_Incidents],tblSafety[Date],$A51)</f>
        <v/>
      </c>
      <c r="GX51" s="62">
        <f>IF($B51=$B50,$GX50,0)+$GW51</f>
        <v/>
      </c>
      <c r="GY51" s="62">
        <f>$GY50+$GW51</f>
        <v/>
      </c>
      <c r="GZ51" s="62">
        <f>SUMIFS(tblSafety[Toolbox_Talks],tblSafety[Date],$A51)</f>
        <v/>
      </c>
      <c r="HA51" s="62">
        <f>IF($B51=$B50,$HA50,0)+$GZ51</f>
        <v/>
      </c>
      <c r="HB51" s="62">
        <f>$HB50+$GZ51</f>
        <v/>
      </c>
      <c r="HC51" s="62">
        <f>SUMIFS(tblSafety[Inspections],tblSafety[Date],$A51)</f>
        <v/>
      </c>
      <c r="HD51" s="62">
        <f>IF($B51=$B50,$HD50,0)+$HC51</f>
        <v/>
      </c>
      <c r="HE51" s="62">
        <f>$HE50+$HC51</f>
        <v/>
      </c>
      <c r="HF51" s="56">
        <f>IFERROR((SUMIFS(tblSafety[Recordables],tblSafety[Date],"&gt;="&amp;EDATE($E51,-12),tblSafety[Date],"&lt;="&amp;$A51)+SUMIFS(tblSafetyHistory[Recordables],tblSafetyHistory[Month],"&gt;="&amp;EDATE($E51,-12),tblSafetyHistory[Month],"&lt;"&amp;cfg_YearStart))/(SUMIFS(tblSafety[Hours_Total],tblSafety[Date],"&gt;="&amp;EDATE($E51,-12),tblSafety[Date],"&lt;="&amp;$A51)+SUMIFS(tblSafetyHistory[Hours_Total],tblSafetyHistory[Month],"&gt;="&amp;EDATE($E51,-12),tblSafetyHistory[Month],"&lt;"&amp;cfg_YearStart))*1000000,"")</f>
        <v/>
      </c>
      <c r="HG51" s="56">
        <f>IFERROR((SUMIFS(tblSafety[LTI],tblSafety[Date],"&gt;="&amp;EDATE($E51,-12),tblSafety[Date],"&lt;="&amp;$A51)+SUMIFS(tblSafetyHistory[LTI],tblSafetyHistory[Month],"&gt;="&amp;EDATE($E51,-12),tblSafetyHistory[Month],"&lt;"&amp;cfg_YearStart))/(SUMIFS(tblSafety[Hours_Total],tblSafety[Date],"&gt;="&amp;EDATE($E51,-12),tblSafety[Date],"&lt;="&amp;$A51)+SUMIFS(tblSafetyHistory[Hours_Total],tblSafetyHistory[Month],"&gt;="&amp;EDATE($E51,-12),tblSafetyHistory[Month],"&lt;"&amp;cfg_YearStart))*1000000,"")</f>
        <v/>
      </c>
      <c r="HH51" s="62">
        <f>IF(MAX(N(cfg_PriorLTIDate),_xlfn.MAXIFS(tblSafety[Date],tblSafety[LTI],"&gt;0",tblSafety[Date],"&lt;="&amp;$A51))=0,"",$A51-MAX(N(cfg_PriorLTIDate),_xlfn.MAXIFS(tblSafety[Date],tblSafety[LTI],"&gt;0",tblSafety[Date],"&lt;="&amp;$A51)))</f>
        <v/>
      </c>
      <c r="HI51" s="55">
        <f>SUMIFS(tblBudget[Ore_Mined_t],tblBudget[Month],$E51)</f>
        <v/>
      </c>
      <c r="HJ51" s="55">
        <f>$HI51*$C51/$D51</f>
        <v/>
      </c>
      <c r="HK51" s="55">
        <f>SUMIFS(tblBudget[Ore_Mined_t],tblBudget[Month],"&lt;"&amp;$E51)+$HJ51</f>
        <v/>
      </c>
      <c r="HL51" s="55">
        <f>SUMIFS(tblBudget[Ore_oz],tblBudget[Month],$E51)</f>
        <v/>
      </c>
      <c r="HM51" s="55">
        <f>$HL51*$C51/$D51</f>
        <v/>
      </c>
      <c r="HN51" s="55">
        <f>SUMIFS(tblBudget[Ore_oz],tblBudget[Month],"&lt;"&amp;$E51)+$HM51</f>
        <v/>
      </c>
      <c r="HO51" s="56">
        <f>IFERROR(IF(($HI51)&gt;0,($HL51*cfg_TroyOz)/($HI51),""),"")</f>
        <v/>
      </c>
      <c r="HP51" s="56">
        <f>IFERROR(IF(($HJ51)&gt;0,($HM51*cfg_TroyOz)/($HJ51),""),"")</f>
        <v/>
      </c>
      <c r="HQ51" s="56">
        <f>IFERROR(IF(($HK51)&gt;0,($HN51*cfg_TroyOz)/($HK51),""),"")</f>
        <v/>
      </c>
      <c r="HR51" s="55">
        <f>SUMIFS(tblBudget[Waste_t],tblBudget[Month],$E51)</f>
        <v/>
      </c>
      <c r="HS51" s="55">
        <f>$HR51*$C51/$D51</f>
        <v/>
      </c>
      <c r="HT51" s="55">
        <f>SUMIFS(tblBudget[Waste_t],tblBudget[Month],"&lt;"&amp;$E51)+$HS51</f>
        <v/>
      </c>
      <c r="HU51" s="55">
        <f>SUMIFS(tblBudget[TMM_t],tblBudget[Month],$E51)</f>
        <v/>
      </c>
      <c r="HV51" s="55">
        <f>$HU51*$C51/$D51</f>
        <v/>
      </c>
      <c r="HW51" s="55">
        <f>SUMIFS(tblBudget[TMM_t],tblBudget[Month],"&lt;"&amp;$E51)+$HV51</f>
        <v/>
      </c>
      <c r="HX51" s="56">
        <f>IFERROR(IF(($HI51)&gt;0,($HR51)/($HI51),""),"")</f>
        <v/>
      </c>
      <c r="HY51" s="56">
        <f>IFERROR(IF(($HJ51)&gt;0,($HS51)/($HJ51),""),"")</f>
        <v/>
      </c>
      <c r="HZ51" s="56">
        <f>IFERROR(IF(($HK51)&gt;0,($HT51)/($HK51),""),"")</f>
        <v/>
      </c>
      <c r="IA51" s="55">
        <f>SUMIFS(tblBudget[Drill_m],tblBudget[Month],$E51)</f>
        <v/>
      </c>
      <c r="IB51" s="55">
        <f>$IA51*$C51/$D51</f>
        <v/>
      </c>
      <c r="IC51" s="55">
        <f>SUMIFS(tblBudget[Drill_m],tblBudget[Month],"&lt;"&amp;$E51)+$IB51</f>
        <v/>
      </c>
      <c r="ID51" s="55">
        <f>SUMIFS(tblBudget[Diesel_L],tblBudget[Month],$E51)</f>
        <v/>
      </c>
      <c r="IE51" s="55">
        <f>$ID51*$C51/$D51</f>
        <v/>
      </c>
      <c r="IF51" s="55">
        <f>SUMIFS(tblBudget[Diesel_L],tblBudget[Month],"&lt;"&amp;$E51)+$IE51</f>
        <v/>
      </c>
      <c r="IG51" s="55">
        <f>SUMIFS(tblBudget[Milled_t],tblBudget[Month],$E51)</f>
        <v/>
      </c>
      <c r="IH51" s="55">
        <f>$IG51*$C51/$D51</f>
        <v/>
      </c>
      <c r="II51" s="55">
        <f>SUMIFS(tblBudget[Milled_t],tblBudget[Month],"&lt;"&amp;$E51)+$IH51</f>
        <v/>
      </c>
      <c r="IJ51" s="55">
        <f>SUMIFS(tblBudget[Feed_oz],tblBudget[Month],$E51)</f>
        <v/>
      </c>
      <c r="IK51" s="55">
        <f>$IJ51*$C51/$D51</f>
        <v/>
      </c>
      <c r="IL51" s="55">
        <f>SUMIFS(tblBudget[Feed_oz],tblBudget[Month],"&lt;"&amp;$E51)+$IK51</f>
        <v/>
      </c>
      <c r="IM51" s="55">
        <f>SUMIFS(tblBudget[Recovered_oz],tblBudget[Month],$E51)</f>
        <v/>
      </c>
      <c r="IN51" s="55">
        <f>$IM51*$C51/$D51</f>
        <v/>
      </c>
      <c r="IO51" s="55">
        <f>SUMIFS(tblBudget[Recovered_oz],tblBudget[Month],"&lt;"&amp;$E51)+$IN51</f>
        <v/>
      </c>
      <c r="IP51" s="56">
        <f>IFERROR(IF(($IG51)&gt;0,($IJ51*cfg_TroyOz)/($IG51),""),"")</f>
        <v/>
      </c>
      <c r="IQ51" s="56">
        <f>IFERROR(IF(($IH51)&gt;0,($IK51*cfg_TroyOz)/($IH51),""),"")</f>
        <v/>
      </c>
      <c r="IR51" s="56">
        <f>IFERROR(IF(($II51)&gt;0,($IL51*cfg_TroyOz)/($II51),""),"")</f>
        <v/>
      </c>
      <c r="IS51" s="67">
        <f>IFERROR(IF(($IJ51)&gt;0,($IM51)/($IJ51),""),"")</f>
        <v/>
      </c>
      <c r="IT51" s="67">
        <f>IFERROR(IF(($IK51)&gt;0,($IN51)/($IK51),""),"")</f>
        <v/>
      </c>
      <c r="IU51" s="67">
        <f>IFERROR(IF(($IL51)&gt;0,($IO51)/($IL51),""),"")</f>
        <v/>
      </c>
      <c r="IV51" s="55">
        <f>SUMIFS(tblBudget[Gold_Poured_oz],tblBudget[Month],$E51)</f>
        <v/>
      </c>
      <c r="IW51" s="55">
        <f>$IV51*$C51/$D51</f>
        <v/>
      </c>
      <c r="IX51" s="55">
        <f>SUMIFS(tblBudget[Gold_Poured_oz],tblBudget[Month],"&lt;"&amp;$E51)+$IW51</f>
        <v/>
      </c>
      <c r="IY51" s="57">
        <f>SUMIFS(tblBudget[Hours_Worked],tblBudget[Month],$E51)</f>
        <v/>
      </c>
      <c r="IZ51" s="57">
        <f>$IY51*$C51/$D51</f>
        <v/>
      </c>
      <c r="JA51" s="57">
        <f>SUMIFS(tblBudget[Hours_Worked],tblBudget[Month],"&lt;"&amp;$E51)+$IZ51</f>
        <v/>
      </c>
    </row>
    <row r="52">
      <c r="A52" s="54" t="n">
        <v>46073</v>
      </c>
      <c r="B52">
        <f>MONTH($A52)</f>
        <v/>
      </c>
      <c r="C52">
        <f>DAY($A52)</f>
        <v/>
      </c>
      <c r="D52">
        <f>DAY(EOMONTH($A52,0))</f>
        <v/>
      </c>
      <c r="E52" s="54">
        <f>DATE(YEAR($A52),MONTH($A52),1)</f>
        <v/>
      </c>
      <c r="F52" s="55">
        <f>SUMIFS(tblMovement[Tonnes_t],tblMovement[Date],$A52,tblMovement[Is_Ore],1,tblMovement[Source_Type],"Pit")</f>
        <v/>
      </c>
      <c r="G52" s="55">
        <f>IF($B52=$B51,$G51,0)+$F52</f>
        <v/>
      </c>
      <c r="H52" s="55">
        <f>$H51+$F52</f>
        <v/>
      </c>
      <c r="I52" s="55">
        <f>SUMIFS(tblMovement[Ore_oz],tblMovement[Date],$A52,tblMovement[Source_Type],"Pit")</f>
        <v/>
      </c>
      <c r="J52" s="55">
        <f>IF($B52=$B51,$J51,0)+$I52</f>
        <v/>
      </c>
      <c r="K52" s="55">
        <f>$K51+$I52</f>
        <v/>
      </c>
      <c r="L52" s="56">
        <f>IFERROR(IF(($F52)&gt;0,($I52*cfg_TroyOz)/($F52),""),"")</f>
        <v/>
      </c>
      <c r="M52" s="56">
        <f>IFERROR(IF(($G52)&gt;0,($J52*cfg_TroyOz)/($G52),""),"")</f>
        <v/>
      </c>
      <c r="N52" s="56">
        <f>IFERROR(IF(($H52)&gt;0,($K52*cfg_TroyOz)/($H52),""),"")</f>
        <v/>
      </c>
      <c r="O52" s="55">
        <f>SUMIFS(tblMovement[Tonnes_t],tblMovement[Date],$A52,tblMovement[Is_Ore],0,tblMovement[Source_Type],"Pit")</f>
        <v/>
      </c>
      <c r="P52" s="55">
        <f>IF($B52=$B51,$P51,0)+$O52</f>
        <v/>
      </c>
      <c r="Q52" s="55">
        <f>$Q51+$O52</f>
        <v/>
      </c>
      <c r="R52" s="55">
        <f>$F52+$O52</f>
        <v/>
      </c>
      <c r="S52" s="55">
        <f>IF($B52=$B51,$S51,0)+$R52</f>
        <v/>
      </c>
      <c r="T52" s="55">
        <f>$T51+$R52</f>
        <v/>
      </c>
      <c r="U52" s="56">
        <f>IFERROR(IF(($F52)&gt;0,($O52)/($F52),""),"")</f>
        <v/>
      </c>
      <c r="V52" s="56">
        <f>IFERROR(IF(($G52)&gt;0,($P52)/($G52),""),"")</f>
        <v/>
      </c>
      <c r="W52" s="56">
        <f>IFERROR(IF(($H52)&gt;0,($Q52)/($H52),""),"")</f>
        <v/>
      </c>
      <c r="X52" s="55">
        <f>SUMIFS(tblMovement[Tonnes_t],tblMovement[Date],$A52,tblMovement[Source_Type],"Stockpile")</f>
        <v/>
      </c>
      <c r="Y52" s="55">
        <f>IF($B52=$B51,$Y51,0)+$X52</f>
        <v/>
      </c>
      <c r="Z52" s="55">
        <f>$Z51+$X52</f>
        <v/>
      </c>
      <c r="AA52" s="55">
        <f>SUMIFS(tblMiningDaily[Drill_m],tblMiningDaily[Date],$A52)</f>
        <v/>
      </c>
      <c r="AB52" s="55">
        <f>IF($B52=$B51,$AB51,0)+$AA52</f>
        <v/>
      </c>
      <c r="AC52" s="55">
        <f>$AC51+$AA52</f>
        <v/>
      </c>
      <c r="AD52" s="55">
        <f>SUMIFS(tblMiningDaily[Blast_t],tblMiningDaily[Date],$A52)</f>
        <v/>
      </c>
      <c r="AE52" s="55">
        <f>IF($B52=$B51,$AE51,0)+$AD52</f>
        <v/>
      </c>
      <c r="AF52" s="55">
        <f>$AF51+$AD52</f>
        <v/>
      </c>
      <c r="AG52" s="55">
        <f>SUMIFS(tblMiningDaily[Explosives_kg],tblMiningDaily[Date],$A52)</f>
        <v/>
      </c>
      <c r="AH52" s="55">
        <f>IF($B52=$B51,$AH51,0)+$AG52</f>
        <v/>
      </c>
      <c r="AI52" s="55">
        <f>$AI51+$AG52</f>
        <v/>
      </c>
      <c r="AJ52" s="56">
        <f>IFERROR(IF(($AD52)&gt;0,($AG52)/($AD52),""),"")</f>
        <v/>
      </c>
      <c r="AK52" s="56">
        <f>IFERROR(IF(($AE52)&gt;0,($AH52)/($AE52),""),"")</f>
        <v/>
      </c>
      <c r="AL52" s="56">
        <f>IFERROR(IF(($AF52)&gt;0,($AI52)/($AF52),""),"")</f>
        <v/>
      </c>
      <c r="AM52" s="55">
        <f>SUMIFS(tblMiningDaily[Diesel_L],tblMiningDaily[Date],$A52)</f>
        <v/>
      </c>
      <c r="AN52" s="55">
        <f>IF($B52=$B51,$AN51,0)+$AM52</f>
        <v/>
      </c>
      <c r="AO52" s="55">
        <f>$AO51+$AM52</f>
        <v/>
      </c>
      <c r="AP52" s="55">
        <f>SUMIFS(tblMiningDaily[Dewatering_m3],tblMiningDaily[Date],$A52)</f>
        <v/>
      </c>
      <c r="AQ52" s="55">
        <f>IF($B52=$B51,$AQ51,0)+$AP52</f>
        <v/>
      </c>
      <c r="AR52" s="55">
        <f>$AR51+$AP52</f>
        <v/>
      </c>
      <c r="AS52" s="57">
        <f>SUMIFS(tblFleet[Calendar_h],tblFleet[Date],$A52,tblFleet[Equipment_Class],"Excavator")</f>
        <v/>
      </c>
      <c r="AT52" s="57">
        <f>IF($B52=$B51,$AT51,0)+$AS52</f>
        <v/>
      </c>
      <c r="AU52" s="57">
        <f>$AU51+$AS52</f>
        <v/>
      </c>
      <c r="AV52" s="57">
        <f>SUMIFS(tblFleet[Available_h],tblFleet[Date],$A52,tblFleet[Equipment_Class],"Excavator")</f>
        <v/>
      </c>
      <c r="AW52" s="57">
        <f>IF($B52=$B51,$AW51,0)+$AV52</f>
        <v/>
      </c>
      <c r="AX52" s="57">
        <f>$AX51+$AV52</f>
        <v/>
      </c>
      <c r="AY52" s="57">
        <f>SUMIFS(tblFleet[Operating_h],tblFleet[Date],$A52,tblFleet[Equipment_Class],"Excavator")</f>
        <v/>
      </c>
      <c r="AZ52" s="57">
        <f>IF($B52=$B51,$AZ51,0)+$AY52</f>
        <v/>
      </c>
      <c r="BA52" s="57">
        <f>$BA51+$AY52</f>
        <v/>
      </c>
      <c r="BB52" s="67">
        <f>IFERROR(IF(($AS52)&gt;0,($AV52)/($AS52),""),"")</f>
        <v/>
      </c>
      <c r="BC52" s="67">
        <f>IFERROR(IF(($AT52)&gt;0,($AW52)/($AT52),""),"")</f>
        <v/>
      </c>
      <c r="BD52" s="67">
        <f>IFERROR(IF(($AU52)&gt;0,($AX52)/($AU52),""),"")</f>
        <v/>
      </c>
      <c r="BE52" s="67">
        <f>IFERROR(IF(($AV52)&gt;0,($AY52)/($AV52),""),"")</f>
        <v/>
      </c>
      <c r="BF52" s="67">
        <f>IFERROR(IF(($AW52)&gt;0,($AZ52)/($AW52),""),"")</f>
        <v/>
      </c>
      <c r="BG52" s="67">
        <f>IFERROR(IF(($AX52)&gt;0,($BA52)/($AX52),""),"")</f>
        <v/>
      </c>
      <c r="BH52" s="57">
        <f>SUMIFS(tblFleet[Calendar_h],tblFleet[Date],$A52,tblFleet[Equipment_Class],"Haul Truck")</f>
        <v/>
      </c>
      <c r="BI52" s="57">
        <f>IF($B52=$B51,$BI51,0)+$BH52</f>
        <v/>
      </c>
      <c r="BJ52" s="57">
        <f>$BJ51+$BH52</f>
        <v/>
      </c>
      <c r="BK52" s="57">
        <f>SUMIFS(tblFleet[Available_h],tblFleet[Date],$A52,tblFleet[Equipment_Class],"Haul Truck")</f>
        <v/>
      </c>
      <c r="BL52" s="57">
        <f>IF($B52=$B51,$BL51,0)+$BK52</f>
        <v/>
      </c>
      <c r="BM52" s="57">
        <f>$BM51+$BK52</f>
        <v/>
      </c>
      <c r="BN52" s="57">
        <f>SUMIFS(tblFleet[Operating_h],tblFleet[Date],$A52,tblFleet[Equipment_Class],"Haul Truck")</f>
        <v/>
      </c>
      <c r="BO52" s="57">
        <f>IF($B52=$B51,$BO51,0)+$BN52</f>
        <v/>
      </c>
      <c r="BP52" s="57">
        <f>$BP51+$BN52</f>
        <v/>
      </c>
      <c r="BQ52" s="67">
        <f>IFERROR(IF(($BH52)&gt;0,($BK52)/($BH52),""),"")</f>
        <v/>
      </c>
      <c r="BR52" s="67">
        <f>IFERROR(IF(($BI52)&gt;0,($BL52)/($BI52),""),"")</f>
        <v/>
      </c>
      <c r="BS52" s="67">
        <f>IFERROR(IF(($BJ52)&gt;0,($BM52)/($BJ52),""),"")</f>
        <v/>
      </c>
      <c r="BT52" s="67">
        <f>IFERROR(IF(($BK52)&gt;0,($BN52)/($BK52),""),"")</f>
        <v/>
      </c>
      <c r="BU52" s="67">
        <f>IFERROR(IF(($BL52)&gt;0,($BO52)/($BL52),""),"")</f>
        <v/>
      </c>
      <c r="BV52" s="67">
        <f>IFERROR(IF(($BM52)&gt;0,($BP52)/($BM52),""),"")</f>
        <v/>
      </c>
      <c r="BW52" s="55">
        <f>SUMIFS(tblPlant[Crushed_t],tblPlant[Date],$A52)</f>
        <v/>
      </c>
      <c r="BX52" s="55">
        <f>IF($B52=$B51,$BX51,0)+$BW52</f>
        <v/>
      </c>
      <c r="BY52" s="55">
        <f>$BY51+$BW52</f>
        <v/>
      </c>
      <c r="BZ52" s="55">
        <f>SUMIFS(tblPlant[Milled_t],tblPlant[Date],$A52)</f>
        <v/>
      </c>
      <c r="CA52" s="55">
        <f>IF($B52=$B51,$CA51,0)+$BZ52</f>
        <v/>
      </c>
      <c r="CB52" s="55">
        <f>$CB51+$BZ52</f>
        <v/>
      </c>
      <c r="CC52" s="55">
        <f>SUMIFS(tblPlant[Feed_oz],tblPlant[Date],$A52)</f>
        <v/>
      </c>
      <c r="CD52" s="55">
        <f>IF($B52=$B51,$CD51,0)+$CC52</f>
        <v/>
      </c>
      <c r="CE52" s="55">
        <f>$CE51+$CC52</f>
        <v/>
      </c>
      <c r="CF52" s="55">
        <f>SUMIFS(tblPlant[Tails_oz],tblPlant[Date],$A52)</f>
        <v/>
      </c>
      <c r="CG52" s="55">
        <f>IF($B52=$B51,$CG51,0)+$CF52</f>
        <v/>
      </c>
      <c r="CH52" s="55">
        <f>$CH51+$CF52</f>
        <v/>
      </c>
      <c r="CI52" s="55">
        <f>SUMIFS(tblPlant[Recovered_oz],tblPlant[Date],$A52)</f>
        <v/>
      </c>
      <c r="CJ52" s="55">
        <f>IF($B52=$B51,$CJ51,0)+$CI52</f>
        <v/>
      </c>
      <c r="CK52" s="55">
        <f>$CK51+$CI52</f>
        <v/>
      </c>
      <c r="CL52" s="56">
        <f>IFERROR(IF(($BZ52)&gt;0,($CC52*cfg_TroyOz)/($BZ52),""),"")</f>
        <v/>
      </c>
      <c r="CM52" s="56">
        <f>IFERROR(IF(($CA52)&gt;0,($CD52*cfg_TroyOz)/($CA52),""),"")</f>
        <v/>
      </c>
      <c r="CN52" s="56">
        <f>IFERROR(IF(($CB52)&gt;0,($CE52*cfg_TroyOz)/($CB52),""),"")</f>
        <v/>
      </c>
      <c r="CO52" s="56">
        <f>IFERROR(IF(($BZ52)&gt;0,($CF52*cfg_TroyOz)/($BZ52),""),"")</f>
        <v/>
      </c>
      <c r="CP52" s="56">
        <f>IFERROR(IF(($CA52)&gt;0,($CG52*cfg_TroyOz)/($CA52),""),"")</f>
        <v/>
      </c>
      <c r="CQ52" s="56">
        <f>IFERROR(IF(($CB52)&gt;0,($CH52*cfg_TroyOz)/($CB52),""),"")</f>
        <v/>
      </c>
      <c r="CR52" s="67">
        <f>IFERROR(IF(($CC52)&gt;0,($CI52)/($CC52),""),"")</f>
        <v/>
      </c>
      <c r="CS52" s="67">
        <f>IFERROR(IF(($CD52)&gt;0,($CJ52)/($CD52),""),"")</f>
        <v/>
      </c>
      <c r="CT52" s="67">
        <f>IFERROR(IF(($CE52)&gt;0,($CK52)/($CE52),""),"")</f>
        <v/>
      </c>
      <c r="CU52" s="55">
        <f>SUMIFS(tblPlant[Gravity_Gold_oz],tblPlant[Date],$A52)</f>
        <v/>
      </c>
      <c r="CV52" s="55">
        <f>IF($B52=$B51,$CV51,0)+$CU52</f>
        <v/>
      </c>
      <c r="CW52" s="55">
        <f>$CW51+$CU52</f>
        <v/>
      </c>
      <c r="CX52" s="55">
        <f>SUMIFS(tblPlant[Gold_Poured_oz],tblPlant[Date],$A52)</f>
        <v/>
      </c>
      <c r="CY52" s="55">
        <f>IF($B52=$B51,$CY51,0)+$CX52</f>
        <v/>
      </c>
      <c r="CZ52" s="55">
        <f>$CZ51+$CX52</f>
        <v/>
      </c>
      <c r="DA52" s="57">
        <f>SUMIFS(tblPlant[Mill_Run_h],tblPlant[Date],$A52)</f>
        <v/>
      </c>
      <c r="DB52" s="57">
        <f>IF($B52=$B51,$DB51,0)+$DA52</f>
        <v/>
      </c>
      <c r="DC52" s="57">
        <f>$DC51+$DA52</f>
        <v/>
      </c>
      <c r="DD52" s="57">
        <f>SUMIFS(tblPlant[Mill_Planned_Maint_h],tblPlant[Date],$A52)</f>
        <v/>
      </c>
      <c r="DE52" s="57">
        <f>IF($B52=$B51,$DE51,0)+$DD52</f>
        <v/>
      </c>
      <c r="DF52" s="57">
        <f>$DF51+$DD52</f>
        <v/>
      </c>
      <c r="DG52" s="57">
        <f>SUMIFS(tblPlant[Mill_Unplanned_Down_h],tblPlant[Date],$A52)</f>
        <v/>
      </c>
      <c r="DH52" s="57">
        <f>IF($B52=$B51,$DH51,0)+$DG52</f>
        <v/>
      </c>
      <c r="DI52" s="57">
        <f>$DI51+$DG52</f>
        <v/>
      </c>
      <c r="DJ52" s="57">
        <f>COUNTIFS(tblPlant[Date],$A52,tblPlant[Mill_Run_h],"&lt;&gt;")*24</f>
        <v/>
      </c>
      <c r="DK52" s="57">
        <f>IF($B52=$B51,$DK51,0)+$DJ52</f>
        <v/>
      </c>
      <c r="DL52" s="57">
        <f>$DL51+$DJ52</f>
        <v/>
      </c>
      <c r="DM52" s="57">
        <f>SUMIFS(tblPlant[Crusher_Run_h],tblPlant[Date],$A52)</f>
        <v/>
      </c>
      <c r="DN52" s="57">
        <f>IF($B52=$B51,$DN51,0)+$DM52</f>
        <v/>
      </c>
      <c r="DO52" s="57">
        <f>$DO51+$DM52</f>
        <v/>
      </c>
      <c r="DP52" s="55">
        <f>IFERROR(IF(($DA52)&gt;0,($BZ52)/($DA52),""),"")</f>
        <v/>
      </c>
      <c r="DQ52" s="55">
        <f>IFERROR(IF(($DB52)&gt;0,($CA52)/($DB52),""),"")</f>
        <v/>
      </c>
      <c r="DR52" s="55">
        <f>IFERROR(IF(($DC52)&gt;0,($CB52)/($DC52),""),"")</f>
        <v/>
      </c>
      <c r="DS52" s="67">
        <f>IFERROR(IF(($DJ52)&gt;0,($DJ52-$DD52-$DG52)/($DJ52),""),"")</f>
        <v/>
      </c>
      <c r="DT52" s="67">
        <f>IFERROR(IF(($DK52)&gt;0,($DK52-$DE52-$DH52)/($DK52),""),"")</f>
        <v/>
      </c>
      <c r="DU52" s="67">
        <f>IFERROR(IF(($DL52)&gt;0,($DL52-$DF52-$DI52)/($DL52),""),"")</f>
        <v/>
      </c>
      <c r="DV52" s="67">
        <f>IFERROR(IF(($DJ52-$DD52-$DG52)&gt;0,($DA52)/($DJ52-$DD52-$DG52),""),"")</f>
        <v/>
      </c>
      <c r="DW52" s="67">
        <f>IFERROR(IF(($DK52-$DE52-$DH52)&gt;0,($DB52)/($DK52-$DE52-$DH52),""),"")</f>
        <v/>
      </c>
      <c r="DX52" s="67">
        <f>IFERROR(IF(($DL52-$DF52-$DI52)&gt;0,($DC52)/($DL52-$DF52-$DI52),""),"")</f>
        <v/>
      </c>
      <c r="DY52" s="55">
        <f>SUMIFS(tblPlant[Cyanide_kg],tblPlant[Date],$A52)</f>
        <v/>
      </c>
      <c r="DZ52" s="55">
        <f>IF($B52=$B51,$DZ51,0)+$DY52</f>
        <v/>
      </c>
      <c r="EA52" s="55">
        <f>$EA51+$DY52</f>
        <v/>
      </c>
      <c r="EB52" s="55">
        <f>SUMIFS(tblPlant[Lime_kg],tblPlant[Date],$A52)</f>
        <v/>
      </c>
      <c r="EC52" s="55">
        <f>IF($B52=$B51,$EC51,0)+$EB52</f>
        <v/>
      </c>
      <c r="ED52" s="55">
        <f>$ED51+$EB52</f>
        <v/>
      </c>
      <c r="EE52" s="55">
        <f>SUMIFS(tblPlant[Grinding_Media_kg],tblPlant[Date],$A52)</f>
        <v/>
      </c>
      <c r="EF52" s="55">
        <f>IF($B52=$B51,$EF51,0)+$EE52</f>
        <v/>
      </c>
      <c r="EG52" s="55">
        <f>$EG51+$EE52</f>
        <v/>
      </c>
      <c r="EH52" s="55">
        <f>SUMIFS(tblPlant[Power_kWh],tblPlant[Date],$A52)</f>
        <v/>
      </c>
      <c r="EI52" s="55">
        <f>IF($B52=$B51,$EI51,0)+$EH52</f>
        <v/>
      </c>
      <c r="EJ52" s="55">
        <f>$EJ51+$EH52</f>
        <v/>
      </c>
      <c r="EK52" s="55">
        <f>SUMIFS(tblPlant[Raw_Water_m3],tblPlant[Date],$A52)</f>
        <v/>
      </c>
      <c r="EL52" s="55">
        <f>IF($B52=$B51,$EL51,0)+$EK52</f>
        <v/>
      </c>
      <c r="EM52" s="55">
        <f>$EM51+$EK52</f>
        <v/>
      </c>
      <c r="EN52" s="56">
        <f>IFERROR(IF(($BZ52)&gt;0,($DY52)/($BZ52),""),"")</f>
        <v/>
      </c>
      <c r="EO52" s="56">
        <f>IFERROR(IF(($CA52)&gt;0,($DZ52)/($CA52),""),"")</f>
        <v/>
      </c>
      <c r="EP52" s="56">
        <f>IFERROR(IF(($CB52)&gt;0,($EA52)/($CB52),""),"")</f>
        <v/>
      </c>
      <c r="EQ52" s="56">
        <f>IFERROR(IF(($BZ52)&gt;0,($EB52)/($BZ52),""),"")</f>
        <v/>
      </c>
      <c r="ER52" s="56">
        <f>IFERROR(IF(($CA52)&gt;0,($EC52)/($CA52),""),"")</f>
        <v/>
      </c>
      <c r="ES52" s="56">
        <f>IFERROR(IF(($CB52)&gt;0,($ED52)/($CB52),""),"")</f>
        <v/>
      </c>
      <c r="ET52" s="56">
        <f>IFERROR(IF(($BZ52)&gt;0,($EE52)/($BZ52),""),"")</f>
        <v/>
      </c>
      <c r="EU52" s="56">
        <f>IFERROR(IF(($CA52)&gt;0,($EF52)/($CA52),""),"")</f>
        <v/>
      </c>
      <c r="EV52" s="56">
        <f>IFERROR(IF(($CB52)&gt;0,($EG52)/($CB52),""),"")</f>
        <v/>
      </c>
      <c r="EW52" s="76">
        <f>IFERROR(IF(($BZ52)&gt;0,($EH52)/($BZ52),""),"")</f>
        <v/>
      </c>
      <c r="EX52" s="76">
        <f>IFERROR(IF(($CA52)&gt;0,($EI52)/($CA52),""),"")</f>
        <v/>
      </c>
      <c r="EY52" s="76">
        <f>IFERROR(IF(($CB52)&gt;0,($EJ52)/($CB52),""),"")</f>
        <v/>
      </c>
      <c r="EZ52" s="56">
        <f>IFERROR(IF(($BZ52)&gt;0,($EK52)/($BZ52),""),"")</f>
        <v/>
      </c>
      <c r="FA52" s="56">
        <f>IFERROR(IF(($CA52)&gt;0,($EL52)/($CA52),""),"")</f>
        <v/>
      </c>
      <c r="FB52" s="56">
        <f>IFERROR(IF(($CB52)&gt;0,($EM52)/($CB52),""),"")</f>
        <v/>
      </c>
      <c r="FC52" s="55">
        <f>IF(SUMIFS(tblPlant[GIC_oz],tblPlant[Date],$A52)&gt;0,SUMIFS(tblPlant[GIC_oz],tblPlant[Date],$A52),"")</f>
        <v/>
      </c>
      <c r="FD52" s="55">
        <f>SUMIFS(tblGold[Gold_oz],tblGold[Date],$A52,tblGold[Type],"Shipment")</f>
        <v/>
      </c>
      <c r="FE52" s="55">
        <f>IF($B52=$B51,$FE51,0)+$FD52</f>
        <v/>
      </c>
      <c r="FF52" s="55">
        <f>$FF51+$FD52</f>
        <v/>
      </c>
      <c r="FG52" s="55">
        <f>SUMIFS(tblGold[Gold_oz],tblGold[Date],$A52,tblGold[Type],"Sale")</f>
        <v/>
      </c>
      <c r="FH52" s="55">
        <f>IF($B52=$B51,$FH51,0)+$FG52</f>
        <v/>
      </c>
      <c r="FI52" s="55">
        <f>$FI51+$FG52</f>
        <v/>
      </c>
      <c r="FJ52" s="55">
        <f>SUMIFS(tblGold[Dore_kg],tblGold[Date],$A52,tblGold[Type],"Shipment")</f>
        <v/>
      </c>
      <c r="FK52" s="55">
        <f>IF($B52=$B51,$FK51,0)+$FJ52</f>
        <v/>
      </c>
      <c r="FL52" s="55">
        <f>$FL51+$FJ52</f>
        <v/>
      </c>
      <c r="FM52" s="57">
        <f>SUMIFS(tblSafety[Hours_Total],tblSafety[Date],$A52)</f>
        <v/>
      </c>
      <c r="FN52" s="57">
        <f>IF($B52=$B51,$FN51,0)+$FM52</f>
        <v/>
      </c>
      <c r="FO52" s="57">
        <f>$FO51+$FM52</f>
        <v/>
      </c>
      <c r="FP52" s="62">
        <f>SUMIFS(tblSafety[Fatality],tblSafety[Date],$A52)</f>
        <v/>
      </c>
      <c r="FQ52" s="62">
        <f>IF($B52=$B51,$FQ51,0)+$FP52</f>
        <v/>
      </c>
      <c r="FR52" s="62">
        <f>$FR51+$FP52</f>
        <v/>
      </c>
      <c r="FS52" s="62">
        <f>SUMIFS(tblSafety[LTI],tblSafety[Date],$A52)</f>
        <v/>
      </c>
      <c r="FT52" s="62">
        <f>IF($B52=$B51,$FT51,0)+$FS52</f>
        <v/>
      </c>
      <c r="FU52" s="62">
        <f>$FU51+$FS52</f>
        <v/>
      </c>
      <c r="FV52" s="62">
        <f>SUMIFS(tblSafety[RWI],tblSafety[Date],$A52)</f>
        <v/>
      </c>
      <c r="FW52" s="62">
        <f>IF($B52=$B51,$FW51,0)+$FV52</f>
        <v/>
      </c>
      <c r="FX52" s="62">
        <f>$FX51+$FV52</f>
        <v/>
      </c>
      <c r="FY52" s="62">
        <f>SUMIFS(tblSafety[MTI],tblSafety[Date],$A52)</f>
        <v/>
      </c>
      <c r="FZ52" s="62">
        <f>IF($B52=$B51,$FZ51,0)+$FY52</f>
        <v/>
      </c>
      <c r="GA52" s="62">
        <f>$GA51+$FY52</f>
        <v/>
      </c>
      <c r="GB52" s="62">
        <f>SUMIFS(tblSafety[FAI],tblSafety[Date],$A52)</f>
        <v/>
      </c>
      <c r="GC52" s="62">
        <f>IF($B52=$B51,$GC51,0)+$GB52</f>
        <v/>
      </c>
      <c r="GD52" s="62">
        <f>$GD51+$GB52</f>
        <v/>
      </c>
      <c r="GE52" s="62">
        <f>SUMIFS(tblSafety[Recordables],tblSafety[Date],$A52)</f>
        <v/>
      </c>
      <c r="GF52" s="62">
        <f>IF($B52=$B51,$GF51,0)+$GE52</f>
        <v/>
      </c>
      <c r="GG52" s="62">
        <f>$GG51+$GE52</f>
        <v/>
      </c>
      <c r="GH52" s="62">
        <f>SUMIFS(tblSafety[Near_Miss],tblSafety[Date],$A52)</f>
        <v/>
      </c>
      <c r="GI52" s="62">
        <f>IF($B52=$B51,$GI51,0)+$GH52</f>
        <v/>
      </c>
      <c r="GJ52" s="62">
        <f>$GJ51+$GH52</f>
        <v/>
      </c>
      <c r="GK52" s="62">
        <f>SUMIFS(tblSafety[Hazard_Reports],tblSafety[Date],$A52)</f>
        <v/>
      </c>
      <c r="GL52" s="62">
        <f>IF($B52=$B51,$GL51,0)+$GK52</f>
        <v/>
      </c>
      <c r="GM52" s="62">
        <f>$GM51+$GK52</f>
        <v/>
      </c>
      <c r="GN52" s="62">
        <f>SUMIFS(tblSafety[HPI],tblSafety[Date],$A52)</f>
        <v/>
      </c>
      <c r="GO52" s="62">
        <f>IF($B52=$B51,$GO51,0)+$GN52</f>
        <v/>
      </c>
      <c r="GP52" s="62">
        <f>$GP51+$GN52</f>
        <v/>
      </c>
      <c r="GQ52" s="62">
        <f>SUMIFS(tblSafety[Env_Incidents],tblSafety[Date],$A52)</f>
        <v/>
      </c>
      <c r="GR52" s="62">
        <f>IF($B52=$B51,$GR51,0)+$GQ52</f>
        <v/>
      </c>
      <c r="GS52" s="62">
        <f>$GS51+$GQ52</f>
        <v/>
      </c>
      <c r="GT52" s="62">
        <f>SUMIFS(tblSafety[Community_Incidents],tblSafety[Date],$A52)</f>
        <v/>
      </c>
      <c r="GU52" s="62">
        <f>IF($B52=$B51,$GU51,0)+$GT52</f>
        <v/>
      </c>
      <c r="GV52" s="62">
        <f>$GV51+$GT52</f>
        <v/>
      </c>
      <c r="GW52" s="62">
        <f>SUMIFS(tblSafety[Vehicle_Incidents],tblSafety[Date],$A52)</f>
        <v/>
      </c>
      <c r="GX52" s="62">
        <f>IF($B52=$B51,$GX51,0)+$GW52</f>
        <v/>
      </c>
      <c r="GY52" s="62">
        <f>$GY51+$GW52</f>
        <v/>
      </c>
      <c r="GZ52" s="62">
        <f>SUMIFS(tblSafety[Toolbox_Talks],tblSafety[Date],$A52)</f>
        <v/>
      </c>
      <c r="HA52" s="62">
        <f>IF($B52=$B51,$HA51,0)+$GZ52</f>
        <v/>
      </c>
      <c r="HB52" s="62">
        <f>$HB51+$GZ52</f>
        <v/>
      </c>
      <c r="HC52" s="62">
        <f>SUMIFS(tblSafety[Inspections],tblSafety[Date],$A52)</f>
        <v/>
      </c>
      <c r="HD52" s="62">
        <f>IF($B52=$B51,$HD51,0)+$HC52</f>
        <v/>
      </c>
      <c r="HE52" s="62">
        <f>$HE51+$HC52</f>
        <v/>
      </c>
      <c r="HF52" s="56">
        <f>IFERROR((SUMIFS(tblSafety[Recordables],tblSafety[Date],"&gt;="&amp;EDATE($E52,-12),tblSafety[Date],"&lt;="&amp;$A52)+SUMIFS(tblSafetyHistory[Recordables],tblSafetyHistory[Month],"&gt;="&amp;EDATE($E52,-12),tblSafetyHistory[Month],"&lt;"&amp;cfg_YearStart))/(SUMIFS(tblSafety[Hours_Total],tblSafety[Date],"&gt;="&amp;EDATE($E52,-12),tblSafety[Date],"&lt;="&amp;$A52)+SUMIFS(tblSafetyHistory[Hours_Total],tblSafetyHistory[Month],"&gt;="&amp;EDATE($E52,-12),tblSafetyHistory[Month],"&lt;"&amp;cfg_YearStart))*1000000,"")</f>
        <v/>
      </c>
      <c r="HG52" s="56">
        <f>IFERROR((SUMIFS(tblSafety[LTI],tblSafety[Date],"&gt;="&amp;EDATE($E52,-12),tblSafety[Date],"&lt;="&amp;$A52)+SUMIFS(tblSafetyHistory[LTI],tblSafetyHistory[Month],"&gt;="&amp;EDATE($E52,-12),tblSafetyHistory[Month],"&lt;"&amp;cfg_YearStart))/(SUMIFS(tblSafety[Hours_Total],tblSafety[Date],"&gt;="&amp;EDATE($E52,-12),tblSafety[Date],"&lt;="&amp;$A52)+SUMIFS(tblSafetyHistory[Hours_Total],tblSafetyHistory[Month],"&gt;="&amp;EDATE($E52,-12),tblSafetyHistory[Month],"&lt;"&amp;cfg_YearStart))*1000000,"")</f>
        <v/>
      </c>
      <c r="HH52" s="62">
        <f>IF(MAX(N(cfg_PriorLTIDate),_xlfn.MAXIFS(tblSafety[Date],tblSafety[LTI],"&gt;0",tblSafety[Date],"&lt;="&amp;$A52))=0,"",$A52-MAX(N(cfg_PriorLTIDate),_xlfn.MAXIFS(tblSafety[Date],tblSafety[LTI],"&gt;0",tblSafety[Date],"&lt;="&amp;$A52)))</f>
        <v/>
      </c>
      <c r="HI52" s="55">
        <f>SUMIFS(tblBudget[Ore_Mined_t],tblBudget[Month],$E52)</f>
        <v/>
      </c>
      <c r="HJ52" s="55">
        <f>$HI52*$C52/$D52</f>
        <v/>
      </c>
      <c r="HK52" s="55">
        <f>SUMIFS(tblBudget[Ore_Mined_t],tblBudget[Month],"&lt;"&amp;$E52)+$HJ52</f>
        <v/>
      </c>
      <c r="HL52" s="55">
        <f>SUMIFS(tblBudget[Ore_oz],tblBudget[Month],$E52)</f>
        <v/>
      </c>
      <c r="HM52" s="55">
        <f>$HL52*$C52/$D52</f>
        <v/>
      </c>
      <c r="HN52" s="55">
        <f>SUMIFS(tblBudget[Ore_oz],tblBudget[Month],"&lt;"&amp;$E52)+$HM52</f>
        <v/>
      </c>
      <c r="HO52" s="56">
        <f>IFERROR(IF(($HI52)&gt;0,($HL52*cfg_TroyOz)/($HI52),""),"")</f>
        <v/>
      </c>
      <c r="HP52" s="56">
        <f>IFERROR(IF(($HJ52)&gt;0,($HM52*cfg_TroyOz)/($HJ52),""),"")</f>
        <v/>
      </c>
      <c r="HQ52" s="56">
        <f>IFERROR(IF(($HK52)&gt;0,($HN52*cfg_TroyOz)/($HK52),""),"")</f>
        <v/>
      </c>
      <c r="HR52" s="55">
        <f>SUMIFS(tblBudget[Waste_t],tblBudget[Month],$E52)</f>
        <v/>
      </c>
      <c r="HS52" s="55">
        <f>$HR52*$C52/$D52</f>
        <v/>
      </c>
      <c r="HT52" s="55">
        <f>SUMIFS(tblBudget[Waste_t],tblBudget[Month],"&lt;"&amp;$E52)+$HS52</f>
        <v/>
      </c>
      <c r="HU52" s="55">
        <f>SUMIFS(tblBudget[TMM_t],tblBudget[Month],$E52)</f>
        <v/>
      </c>
      <c r="HV52" s="55">
        <f>$HU52*$C52/$D52</f>
        <v/>
      </c>
      <c r="HW52" s="55">
        <f>SUMIFS(tblBudget[TMM_t],tblBudget[Month],"&lt;"&amp;$E52)+$HV52</f>
        <v/>
      </c>
      <c r="HX52" s="56">
        <f>IFERROR(IF(($HI52)&gt;0,($HR52)/($HI52),""),"")</f>
        <v/>
      </c>
      <c r="HY52" s="56">
        <f>IFERROR(IF(($HJ52)&gt;0,($HS52)/($HJ52),""),"")</f>
        <v/>
      </c>
      <c r="HZ52" s="56">
        <f>IFERROR(IF(($HK52)&gt;0,($HT52)/($HK52),""),"")</f>
        <v/>
      </c>
      <c r="IA52" s="55">
        <f>SUMIFS(tblBudget[Drill_m],tblBudget[Month],$E52)</f>
        <v/>
      </c>
      <c r="IB52" s="55">
        <f>$IA52*$C52/$D52</f>
        <v/>
      </c>
      <c r="IC52" s="55">
        <f>SUMIFS(tblBudget[Drill_m],tblBudget[Month],"&lt;"&amp;$E52)+$IB52</f>
        <v/>
      </c>
      <c r="ID52" s="55">
        <f>SUMIFS(tblBudget[Diesel_L],tblBudget[Month],$E52)</f>
        <v/>
      </c>
      <c r="IE52" s="55">
        <f>$ID52*$C52/$D52</f>
        <v/>
      </c>
      <c r="IF52" s="55">
        <f>SUMIFS(tblBudget[Diesel_L],tblBudget[Month],"&lt;"&amp;$E52)+$IE52</f>
        <v/>
      </c>
      <c r="IG52" s="55">
        <f>SUMIFS(tblBudget[Milled_t],tblBudget[Month],$E52)</f>
        <v/>
      </c>
      <c r="IH52" s="55">
        <f>$IG52*$C52/$D52</f>
        <v/>
      </c>
      <c r="II52" s="55">
        <f>SUMIFS(tblBudget[Milled_t],tblBudget[Month],"&lt;"&amp;$E52)+$IH52</f>
        <v/>
      </c>
      <c r="IJ52" s="55">
        <f>SUMIFS(tblBudget[Feed_oz],tblBudget[Month],$E52)</f>
        <v/>
      </c>
      <c r="IK52" s="55">
        <f>$IJ52*$C52/$D52</f>
        <v/>
      </c>
      <c r="IL52" s="55">
        <f>SUMIFS(tblBudget[Feed_oz],tblBudget[Month],"&lt;"&amp;$E52)+$IK52</f>
        <v/>
      </c>
      <c r="IM52" s="55">
        <f>SUMIFS(tblBudget[Recovered_oz],tblBudget[Month],$E52)</f>
        <v/>
      </c>
      <c r="IN52" s="55">
        <f>$IM52*$C52/$D52</f>
        <v/>
      </c>
      <c r="IO52" s="55">
        <f>SUMIFS(tblBudget[Recovered_oz],tblBudget[Month],"&lt;"&amp;$E52)+$IN52</f>
        <v/>
      </c>
      <c r="IP52" s="56">
        <f>IFERROR(IF(($IG52)&gt;0,($IJ52*cfg_TroyOz)/($IG52),""),"")</f>
        <v/>
      </c>
      <c r="IQ52" s="56">
        <f>IFERROR(IF(($IH52)&gt;0,($IK52*cfg_TroyOz)/($IH52),""),"")</f>
        <v/>
      </c>
      <c r="IR52" s="56">
        <f>IFERROR(IF(($II52)&gt;0,($IL52*cfg_TroyOz)/($II52),""),"")</f>
        <v/>
      </c>
      <c r="IS52" s="67">
        <f>IFERROR(IF(($IJ52)&gt;0,($IM52)/($IJ52),""),"")</f>
        <v/>
      </c>
      <c r="IT52" s="67">
        <f>IFERROR(IF(($IK52)&gt;0,($IN52)/($IK52),""),"")</f>
        <v/>
      </c>
      <c r="IU52" s="67">
        <f>IFERROR(IF(($IL52)&gt;0,($IO52)/($IL52),""),"")</f>
        <v/>
      </c>
      <c r="IV52" s="55">
        <f>SUMIFS(tblBudget[Gold_Poured_oz],tblBudget[Month],$E52)</f>
        <v/>
      </c>
      <c r="IW52" s="55">
        <f>$IV52*$C52/$D52</f>
        <v/>
      </c>
      <c r="IX52" s="55">
        <f>SUMIFS(tblBudget[Gold_Poured_oz],tblBudget[Month],"&lt;"&amp;$E52)+$IW52</f>
        <v/>
      </c>
      <c r="IY52" s="57">
        <f>SUMIFS(tblBudget[Hours_Worked],tblBudget[Month],$E52)</f>
        <v/>
      </c>
      <c r="IZ52" s="57">
        <f>$IY52*$C52/$D52</f>
        <v/>
      </c>
      <c r="JA52" s="57">
        <f>SUMIFS(tblBudget[Hours_Worked],tblBudget[Month],"&lt;"&amp;$E52)+$IZ52</f>
        <v/>
      </c>
    </row>
    <row r="53">
      <c r="A53" s="54" t="n">
        <v>46074</v>
      </c>
      <c r="B53">
        <f>MONTH($A53)</f>
        <v/>
      </c>
      <c r="C53">
        <f>DAY($A53)</f>
        <v/>
      </c>
      <c r="D53">
        <f>DAY(EOMONTH($A53,0))</f>
        <v/>
      </c>
      <c r="E53" s="54">
        <f>DATE(YEAR($A53),MONTH($A53),1)</f>
        <v/>
      </c>
      <c r="F53" s="55">
        <f>SUMIFS(tblMovement[Tonnes_t],tblMovement[Date],$A53,tblMovement[Is_Ore],1,tblMovement[Source_Type],"Pit")</f>
        <v/>
      </c>
      <c r="G53" s="55">
        <f>IF($B53=$B52,$G52,0)+$F53</f>
        <v/>
      </c>
      <c r="H53" s="55">
        <f>$H52+$F53</f>
        <v/>
      </c>
      <c r="I53" s="55">
        <f>SUMIFS(tblMovement[Ore_oz],tblMovement[Date],$A53,tblMovement[Source_Type],"Pit")</f>
        <v/>
      </c>
      <c r="J53" s="55">
        <f>IF($B53=$B52,$J52,0)+$I53</f>
        <v/>
      </c>
      <c r="K53" s="55">
        <f>$K52+$I53</f>
        <v/>
      </c>
      <c r="L53" s="56">
        <f>IFERROR(IF(($F53)&gt;0,($I53*cfg_TroyOz)/($F53),""),"")</f>
        <v/>
      </c>
      <c r="M53" s="56">
        <f>IFERROR(IF(($G53)&gt;0,($J53*cfg_TroyOz)/($G53),""),"")</f>
        <v/>
      </c>
      <c r="N53" s="56">
        <f>IFERROR(IF(($H53)&gt;0,($K53*cfg_TroyOz)/($H53),""),"")</f>
        <v/>
      </c>
      <c r="O53" s="55">
        <f>SUMIFS(tblMovement[Tonnes_t],tblMovement[Date],$A53,tblMovement[Is_Ore],0,tblMovement[Source_Type],"Pit")</f>
        <v/>
      </c>
      <c r="P53" s="55">
        <f>IF($B53=$B52,$P52,0)+$O53</f>
        <v/>
      </c>
      <c r="Q53" s="55">
        <f>$Q52+$O53</f>
        <v/>
      </c>
      <c r="R53" s="55">
        <f>$F53+$O53</f>
        <v/>
      </c>
      <c r="S53" s="55">
        <f>IF($B53=$B52,$S52,0)+$R53</f>
        <v/>
      </c>
      <c r="T53" s="55">
        <f>$T52+$R53</f>
        <v/>
      </c>
      <c r="U53" s="56">
        <f>IFERROR(IF(($F53)&gt;0,($O53)/($F53),""),"")</f>
        <v/>
      </c>
      <c r="V53" s="56">
        <f>IFERROR(IF(($G53)&gt;0,($P53)/($G53),""),"")</f>
        <v/>
      </c>
      <c r="W53" s="56">
        <f>IFERROR(IF(($H53)&gt;0,($Q53)/($H53),""),"")</f>
        <v/>
      </c>
      <c r="X53" s="55">
        <f>SUMIFS(tblMovement[Tonnes_t],tblMovement[Date],$A53,tblMovement[Source_Type],"Stockpile")</f>
        <v/>
      </c>
      <c r="Y53" s="55">
        <f>IF($B53=$B52,$Y52,0)+$X53</f>
        <v/>
      </c>
      <c r="Z53" s="55">
        <f>$Z52+$X53</f>
        <v/>
      </c>
      <c r="AA53" s="55">
        <f>SUMIFS(tblMiningDaily[Drill_m],tblMiningDaily[Date],$A53)</f>
        <v/>
      </c>
      <c r="AB53" s="55">
        <f>IF($B53=$B52,$AB52,0)+$AA53</f>
        <v/>
      </c>
      <c r="AC53" s="55">
        <f>$AC52+$AA53</f>
        <v/>
      </c>
      <c r="AD53" s="55">
        <f>SUMIFS(tblMiningDaily[Blast_t],tblMiningDaily[Date],$A53)</f>
        <v/>
      </c>
      <c r="AE53" s="55">
        <f>IF($B53=$B52,$AE52,0)+$AD53</f>
        <v/>
      </c>
      <c r="AF53" s="55">
        <f>$AF52+$AD53</f>
        <v/>
      </c>
      <c r="AG53" s="55">
        <f>SUMIFS(tblMiningDaily[Explosives_kg],tblMiningDaily[Date],$A53)</f>
        <v/>
      </c>
      <c r="AH53" s="55">
        <f>IF($B53=$B52,$AH52,0)+$AG53</f>
        <v/>
      </c>
      <c r="AI53" s="55">
        <f>$AI52+$AG53</f>
        <v/>
      </c>
      <c r="AJ53" s="56">
        <f>IFERROR(IF(($AD53)&gt;0,($AG53)/($AD53),""),"")</f>
        <v/>
      </c>
      <c r="AK53" s="56">
        <f>IFERROR(IF(($AE53)&gt;0,($AH53)/($AE53),""),"")</f>
        <v/>
      </c>
      <c r="AL53" s="56">
        <f>IFERROR(IF(($AF53)&gt;0,($AI53)/($AF53),""),"")</f>
        <v/>
      </c>
      <c r="AM53" s="55">
        <f>SUMIFS(tblMiningDaily[Diesel_L],tblMiningDaily[Date],$A53)</f>
        <v/>
      </c>
      <c r="AN53" s="55">
        <f>IF($B53=$B52,$AN52,0)+$AM53</f>
        <v/>
      </c>
      <c r="AO53" s="55">
        <f>$AO52+$AM53</f>
        <v/>
      </c>
      <c r="AP53" s="55">
        <f>SUMIFS(tblMiningDaily[Dewatering_m3],tblMiningDaily[Date],$A53)</f>
        <v/>
      </c>
      <c r="AQ53" s="55">
        <f>IF($B53=$B52,$AQ52,0)+$AP53</f>
        <v/>
      </c>
      <c r="AR53" s="55">
        <f>$AR52+$AP53</f>
        <v/>
      </c>
      <c r="AS53" s="57">
        <f>SUMIFS(tblFleet[Calendar_h],tblFleet[Date],$A53,tblFleet[Equipment_Class],"Excavator")</f>
        <v/>
      </c>
      <c r="AT53" s="57">
        <f>IF($B53=$B52,$AT52,0)+$AS53</f>
        <v/>
      </c>
      <c r="AU53" s="57">
        <f>$AU52+$AS53</f>
        <v/>
      </c>
      <c r="AV53" s="57">
        <f>SUMIFS(tblFleet[Available_h],tblFleet[Date],$A53,tblFleet[Equipment_Class],"Excavator")</f>
        <v/>
      </c>
      <c r="AW53" s="57">
        <f>IF($B53=$B52,$AW52,0)+$AV53</f>
        <v/>
      </c>
      <c r="AX53" s="57">
        <f>$AX52+$AV53</f>
        <v/>
      </c>
      <c r="AY53" s="57">
        <f>SUMIFS(tblFleet[Operating_h],tblFleet[Date],$A53,tblFleet[Equipment_Class],"Excavator")</f>
        <v/>
      </c>
      <c r="AZ53" s="57">
        <f>IF($B53=$B52,$AZ52,0)+$AY53</f>
        <v/>
      </c>
      <c r="BA53" s="57">
        <f>$BA52+$AY53</f>
        <v/>
      </c>
      <c r="BB53" s="67">
        <f>IFERROR(IF(($AS53)&gt;0,($AV53)/($AS53),""),"")</f>
        <v/>
      </c>
      <c r="BC53" s="67">
        <f>IFERROR(IF(($AT53)&gt;0,($AW53)/($AT53),""),"")</f>
        <v/>
      </c>
      <c r="BD53" s="67">
        <f>IFERROR(IF(($AU53)&gt;0,($AX53)/($AU53),""),"")</f>
        <v/>
      </c>
      <c r="BE53" s="67">
        <f>IFERROR(IF(($AV53)&gt;0,($AY53)/($AV53),""),"")</f>
        <v/>
      </c>
      <c r="BF53" s="67">
        <f>IFERROR(IF(($AW53)&gt;0,($AZ53)/($AW53),""),"")</f>
        <v/>
      </c>
      <c r="BG53" s="67">
        <f>IFERROR(IF(($AX53)&gt;0,($BA53)/($AX53),""),"")</f>
        <v/>
      </c>
      <c r="BH53" s="57">
        <f>SUMIFS(tblFleet[Calendar_h],tblFleet[Date],$A53,tblFleet[Equipment_Class],"Haul Truck")</f>
        <v/>
      </c>
      <c r="BI53" s="57">
        <f>IF($B53=$B52,$BI52,0)+$BH53</f>
        <v/>
      </c>
      <c r="BJ53" s="57">
        <f>$BJ52+$BH53</f>
        <v/>
      </c>
      <c r="BK53" s="57">
        <f>SUMIFS(tblFleet[Available_h],tblFleet[Date],$A53,tblFleet[Equipment_Class],"Haul Truck")</f>
        <v/>
      </c>
      <c r="BL53" s="57">
        <f>IF($B53=$B52,$BL52,0)+$BK53</f>
        <v/>
      </c>
      <c r="BM53" s="57">
        <f>$BM52+$BK53</f>
        <v/>
      </c>
      <c r="BN53" s="57">
        <f>SUMIFS(tblFleet[Operating_h],tblFleet[Date],$A53,tblFleet[Equipment_Class],"Haul Truck")</f>
        <v/>
      </c>
      <c r="BO53" s="57">
        <f>IF($B53=$B52,$BO52,0)+$BN53</f>
        <v/>
      </c>
      <c r="BP53" s="57">
        <f>$BP52+$BN53</f>
        <v/>
      </c>
      <c r="BQ53" s="67">
        <f>IFERROR(IF(($BH53)&gt;0,($BK53)/($BH53),""),"")</f>
        <v/>
      </c>
      <c r="BR53" s="67">
        <f>IFERROR(IF(($BI53)&gt;0,($BL53)/($BI53),""),"")</f>
        <v/>
      </c>
      <c r="BS53" s="67">
        <f>IFERROR(IF(($BJ53)&gt;0,($BM53)/($BJ53),""),"")</f>
        <v/>
      </c>
      <c r="BT53" s="67">
        <f>IFERROR(IF(($BK53)&gt;0,($BN53)/($BK53),""),"")</f>
        <v/>
      </c>
      <c r="BU53" s="67">
        <f>IFERROR(IF(($BL53)&gt;0,($BO53)/($BL53),""),"")</f>
        <v/>
      </c>
      <c r="BV53" s="67">
        <f>IFERROR(IF(($BM53)&gt;0,($BP53)/($BM53),""),"")</f>
        <v/>
      </c>
      <c r="BW53" s="55">
        <f>SUMIFS(tblPlant[Crushed_t],tblPlant[Date],$A53)</f>
        <v/>
      </c>
      <c r="BX53" s="55">
        <f>IF($B53=$B52,$BX52,0)+$BW53</f>
        <v/>
      </c>
      <c r="BY53" s="55">
        <f>$BY52+$BW53</f>
        <v/>
      </c>
      <c r="BZ53" s="55">
        <f>SUMIFS(tblPlant[Milled_t],tblPlant[Date],$A53)</f>
        <v/>
      </c>
      <c r="CA53" s="55">
        <f>IF($B53=$B52,$CA52,0)+$BZ53</f>
        <v/>
      </c>
      <c r="CB53" s="55">
        <f>$CB52+$BZ53</f>
        <v/>
      </c>
      <c r="CC53" s="55">
        <f>SUMIFS(tblPlant[Feed_oz],tblPlant[Date],$A53)</f>
        <v/>
      </c>
      <c r="CD53" s="55">
        <f>IF($B53=$B52,$CD52,0)+$CC53</f>
        <v/>
      </c>
      <c r="CE53" s="55">
        <f>$CE52+$CC53</f>
        <v/>
      </c>
      <c r="CF53" s="55">
        <f>SUMIFS(tblPlant[Tails_oz],tblPlant[Date],$A53)</f>
        <v/>
      </c>
      <c r="CG53" s="55">
        <f>IF($B53=$B52,$CG52,0)+$CF53</f>
        <v/>
      </c>
      <c r="CH53" s="55">
        <f>$CH52+$CF53</f>
        <v/>
      </c>
      <c r="CI53" s="55">
        <f>SUMIFS(tblPlant[Recovered_oz],tblPlant[Date],$A53)</f>
        <v/>
      </c>
      <c r="CJ53" s="55">
        <f>IF($B53=$B52,$CJ52,0)+$CI53</f>
        <v/>
      </c>
      <c r="CK53" s="55">
        <f>$CK52+$CI53</f>
        <v/>
      </c>
      <c r="CL53" s="56">
        <f>IFERROR(IF(($BZ53)&gt;0,($CC53*cfg_TroyOz)/($BZ53),""),"")</f>
        <v/>
      </c>
      <c r="CM53" s="56">
        <f>IFERROR(IF(($CA53)&gt;0,($CD53*cfg_TroyOz)/($CA53),""),"")</f>
        <v/>
      </c>
      <c r="CN53" s="56">
        <f>IFERROR(IF(($CB53)&gt;0,($CE53*cfg_TroyOz)/($CB53),""),"")</f>
        <v/>
      </c>
      <c r="CO53" s="56">
        <f>IFERROR(IF(($BZ53)&gt;0,($CF53*cfg_TroyOz)/($BZ53),""),"")</f>
        <v/>
      </c>
      <c r="CP53" s="56">
        <f>IFERROR(IF(($CA53)&gt;0,($CG53*cfg_TroyOz)/($CA53),""),"")</f>
        <v/>
      </c>
      <c r="CQ53" s="56">
        <f>IFERROR(IF(($CB53)&gt;0,($CH53*cfg_TroyOz)/($CB53),""),"")</f>
        <v/>
      </c>
      <c r="CR53" s="67">
        <f>IFERROR(IF(($CC53)&gt;0,($CI53)/($CC53),""),"")</f>
        <v/>
      </c>
      <c r="CS53" s="67">
        <f>IFERROR(IF(($CD53)&gt;0,($CJ53)/($CD53),""),"")</f>
        <v/>
      </c>
      <c r="CT53" s="67">
        <f>IFERROR(IF(($CE53)&gt;0,($CK53)/($CE53),""),"")</f>
        <v/>
      </c>
      <c r="CU53" s="55">
        <f>SUMIFS(tblPlant[Gravity_Gold_oz],tblPlant[Date],$A53)</f>
        <v/>
      </c>
      <c r="CV53" s="55">
        <f>IF($B53=$B52,$CV52,0)+$CU53</f>
        <v/>
      </c>
      <c r="CW53" s="55">
        <f>$CW52+$CU53</f>
        <v/>
      </c>
      <c r="CX53" s="55">
        <f>SUMIFS(tblPlant[Gold_Poured_oz],tblPlant[Date],$A53)</f>
        <v/>
      </c>
      <c r="CY53" s="55">
        <f>IF($B53=$B52,$CY52,0)+$CX53</f>
        <v/>
      </c>
      <c r="CZ53" s="55">
        <f>$CZ52+$CX53</f>
        <v/>
      </c>
      <c r="DA53" s="57">
        <f>SUMIFS(tblPlant[Mill_Run_h],tblPlant[Date],$A53)</f>
        <v/>
      </c>
      <c r="DB53" s="57">
        <f>IF($B53=$B52,$DB52,0)+$DA53</f>
        <v/>
      </c>
      <c r="DC53" s="57">
        <f>$DC52+$DA53</f>
        <v/>
      </c>
      <c r="DD53" s="57">
        <f>SUMIFS(tblPlant[Mill_Planned_Maint_h],tblPlant[Date],$A53)</f>
        <v/>
      </c>
      <c r="DE53" s="57">
        <f>IF($B53=$B52,$DE52,0)+$DD53</f>
        <v/>
      </c>
      <c r="DF53" s="57">
        <f>$DF52+$DD53</f>
        <v/>
      </c>
      <c r="DG53" s="57">
        <f>SUMIFS(tblPlant[Mill_Unplanned_Down_h],tblPlant[Date],$A53)</f>
        <v/>
      </c>
      <c r="DH53" s="57">
        <f>IF($B53=$B52,$DH52,0)+$DG53</f>
        <v/>
      </c>
      <c r="DI53" s="57">
        <f>$DI52+$DG53</f>
        <v/>
      </c>
      <c r="DJ53" s="57">
        <f>COUNTIFS(tblPlant[Date],$A53,tblPlant[Mill_Run_h],"&lt;&gt;")*24</f>
        <v/>
      </c>
      <c r="DK53" s="57">
        <f>IF($B53=$B52,$DK52,0)+$DJ53</f>
        <v/>
      </c>
      <c r="DL53" s="57">
        <f>$DL52+$DJ53</f>
        <v/>
      </c>
      <c r="DM53" s="57">
        <f>SUMIFS(tblPlant[Crusher_Run_h],tblPlant[Date],$A53)</f>
        <v/>
      </c>
      <c r="DN53" s="57">
        <f>IF($B53=$B52,$DN52,0)+$DM53</f>
        <v/>
      </c>
      <c r="DO53" s="57">
        <f>$DO52+$DM53</f>
        <v/>
      </c>
      <c r="DP53" s="55">
        <f>IFERROR(IF(($DA53)&gt;0,($BZ53)/($DA53),""),"")</f>
        <v/>
      </c>
      <c r="DQ53" s="55">
        <f>IFERROR(IF(($DB53)&gt;0,($CA53)/($DB53),""),"")</f>
        <v/>
      </c>
      <c r="DR53" s="55">
        <f>IFERROR(IF(($DC53)&gt;0,($CB53)/($DC53),""),"")</f>
        <v/>
      </c>
      <c r="DS53" s="67">
        <f>IFERROR(IF(($DJ53)&gt;0,($DJ53-$DD53-$DG53)/($DJ53),""),"")</f>
        <v/>
      </c>
      <c r="DT53" s="67">
        <f>IFERROR(IF(($DK53)&gt;0,($DK53-$DE53-$DH53)/($DK53),""),"")</f>
        <v/>
      </c>
      <c r="DU53" s="67">
        <f>IFERROR(IF(($DL53)&gt;0,($DL53-$DF53-$DI53)/($DL53),""),"")</f>
        <v/>
      </c>
      <c r="DV53" s="67">
        <f>IFERROR(IF(($DJ53-$DD53-$DG53)&gt;0,($DA53)/($DJ53-$DD53-$DG53),""),"")</f>
        <v/>
      </c>
      <c r="DW53" s="67">
        <f>IFERROR(IF(($DK53-$DE53-$DH53)&gt;0,($DB53)/($DK53-$DE53-$DH53),""),"")</f>
        <v/>
      </c>
      <c r="DX53" s="67">
        <f>IFERROR(IF(($DL53-$DF53-$DI53)&gt;0,($DC53)/($DL53-$DF53-$DI53),""),"")</f>
        <v/>
      </c>
      <c r="DY53" s="55">
        <f>SUMIFS(tblPlant[Cyanide_kg],tblPlant[Date],$A53)</f>
        <v/>
      </c>
      <c r="DZ53" s="55">
        <f>IF($B53=$B52,$DZ52,0)+$DY53</f>
        <v/>
      </c>
      <c r="EA53" s="55">
        <f>$EA52+$DY53</f>
        <v/>
      </c>
      <c r="EB53" s="55">
        <f>SUMIFS(tblPlant[Lime_kg],tblPlant[Date],$A53)</f>
        <v/>
      </c>
      <c r="EC53" s="55">
        <f>IF($B53=$B52,$EC52,0)+$EB53</f>
        <v/>
      </c>
      <c r="ED53" s="55">
        <f>$ED52+$EB53</f>
        <v/>
      </c>
      <c r="EE53" s="55">
        <f>SUMIFS(tblPlant[Grinding_Media_kg],tblPlant[Date],$A53)</f>
        <v/>
      </c>
      <c r="EF53" s="55">
        <f>IF($B53=$B52,$EF52,0)+$EE53</f>
        <v/>
      </c>
      <c r="EG53" s="55">
        <f>$EG52+$EE53</f>
        <v/>
      </c>
      <c r="EH53" s="55">
        <f>SUMIFS(tblPlant[Power_kWh],tblPlant[Date],$A53)</f>
        <v/>
      </c>
      <c r="EI53" s="55">
        <f>IF($B53=$B52,$EI52,0)+$EH53</f>
        <v/>
      </c>
      <c r="EJ53" s="55">
        <f>$EJ52+$EH53</f>
        <v/>
      </c>
      <c r="EK53" s="55">
        <f>SUMIFS(tblPlant[Raw_Water_m3],tblPlant[Date],$A53)</f>
        <v/>
      </c>
      <c r="EL53" s="55">
        <f>IF($B53=$B52,$EL52,0)+$EK53</f>
        <v/>
      </c>
      <c r="EM53" s="55">
        <f>$EM52+$EK53</f>
        <v/>
      </c>
      <c r="EN53" s="56">
        <f>IFERROR(IF(($BZ53)&gt;0,($DY53)/($BZ53),""),"")</f>
        <v/>
      </c>
      <c r="EO53" s="56">
        <f>IFERROR(IF(($CA53)&gt;0,($DZ53)/($CA53),""),"")</f>
        <v/>
      </c>
      <c r="EP53" s="56">
        <f>IFERROR(IF(($CB53)&gt;0,($EA53)/($CB53),""),"")</f>
        <v/>
      </c>
      <c r="EQ53" s="56">
        <f>IFERROR(IF(($BZ53)&gt;0,($EB53)/($BZ53),""),"")</f>
        <v/>
      </c>
      <c r="ER53" s="56">
        <f>IFERROR(IF(($CA53)&gt;0,($EC53)/($CA53),""),"")</f>
        <v/>
      </c>
      <c r="ES53" s="56">
        <f>IFERROR(IF(($CB53)&gt;0,($ED53)/($CB53),""),"")</f>
        <v/>
      </c>
      <c r="ET53" s="56">
        <f>IFERROR(IF(($BZ53)&gt;0,($EE53)/($BZ53),""),"")</f>
        <v/>
      </c>
      <c r="EU53" s="56">
        <f>IFERROR(IF(($CA53)&gt;0,($EF53)/($CA53),""),"")</f>
        <v/>
      </c>
      <c r="EV53" s="56">
        <f>IFERROR(IF(($CB53)&gt;0,($EG53)/($CB53),""),"")</f>
        <v/>
      </c>
      <c r="EW53" s="76">
        <f>IFERROR(IF(($BZ53)&gt;0,($EH53)/($BZ53),""),"")</f>
        <v/>
      </c>
      <c r="EX53" s="76">
        <f>IFERROR(IF(($CA53)&gt;0,($EI53)/($CA53),""),"")</f>
        <v/>
      </c>
      <c r="EY53" s="76">
        <f>IFERROR(IF(($CB53)&gt;0,($EJ53)/($CB53),""),"")</f>
        <v/>
      </c>
      <c r="EZ53" s="56">
        <f>IFERROR(IF(($BZ53)&gt;0,($EK53)/($BZ53),""),"")</f>
        <v/>
      </c>
      <c r="FA53" s="56">
        <f>IFERROR(IF(($CA53)&gt;0,($EL53)/($CA53),""),"")</f>
        <v/>
      </c>
      <c r="FB53" s="56">
        <f>IFERROR(IF(($CB53)&gt;0,($EM53)/($CB53),""),"")</f>
        <v/>
      </c>
      <c r="FC53" s="55">
        <f>IF(SUMIFS(tblPlant[GIC_oz],tblPlant[Date],$A53)&gt;0,SUMIFS(tblPlant[GIC_oz],tblPlant[Date],$A53),"")</f>
        <v/>
      </c>
      <c r="FD53" s="55">
        <f>SUMIFS(tblGold[Gold_oz],tblGold[Date],$A53,tblGold[Type],"Shipment")</f>
        <v/>
      </c>
      <c r="FE53" s="55">
        <f>IF($B53=$B52,$FE52,0)+$FD53</f>
        <v/>
      </c>
      <c r="FF53" s="55">
        <f>$FF52+$FD53</f>
        <v/>
      </c>
      <c r="FG53" s="55">
        <f>SUMIFS(tblGold[Gold_oz],tblGold[Date],$A53,tblGold[Type],"Sale")</f>
        <v/>
      </c>
      <c r="FH53" s="55">
        <f>IF($B53=$B52,$FH52,0)+$FG53</f>
        <v/>
      </c>
      <c r="FI53" s="55">
        <f>$FI52+$FG53</f>
        <v/>
      </c>
      <c r="FJ53" s="55">
        <f>SUMIFS(tblGold[Dore_kg],tblGold[Date],$A53,tblGold[Type],"Shipment")</f>
        <v/>
      </c>
      <c r="FK53" s="55">
        <f>IF($B53=$B52,$FK52,0)+$FJ53</f>
        <v/>
      </c>
      <c r="FL53" s="55">
        <f>$FL52+$FJ53</f>
        <v/>
      </c>
      <c r="FM53" s="57">
        <f>SUMIFS(tblSafety[Hours_Total],tblSafety[Date],$A53)</f>
        <v/>
      </c>
      <c r="FN53" s="57">
        <f>IF($B53=$B52,$FN52,0)+$FM53</f>
        <v/>
      </c>
      <c r="FO53" s="57">
        <f>$FO52+$FM53</f>
        <v/>
      </c>
      <c r="FP53" s="62">
        <f>SUMIFS(tblSafety[Fatality],tblSafety[Date],$A53)</f>
        <v/>
      </c>
      <c r="FQ53" s="62">
        <f>IF($B53=$B52,$FQ52,0)+$FP53</f>
        <v/>
      </c>
      <c r="FR53" s="62">
        <f>$FR52+$FP53</f>
        <v/>
      </c>
      <c r="FS53" s="62">
        <f>SUMIFS(tblSafety[LTI],tblSafety[Date],$A53)</f>
        <v/>
      </c>
      <c r="FT53" s="62">
        <f>IF($B53=$B52,$FT52,0)+$FS53</f>
        <v/>
      </c>
      <c r="FU53" s="62">
        <f>$FU52+$FS53</f>
        <v/>
      </c>
      <c r="FV53" s="62">
        <f>SUMIFS(tblSafety[RWI],tblSafety[Date],$A53)</f>
        <v/>
      </c>
      <c r="FW53" s="62">
        <f>IF($B53=$B52,$FW52,0)+$FV53</f>
        <v/>
      </c>
      <c r="FX53" s="62">
        <f>$FX52+$FV53</f>
        <v/>
      </c>
      <c r="FY53" s="62">
        <f>SUMIFS(tblSafety[MTI],tblSafety[Date],$A53)</f>
        <v/>
      </c>
      <c r="FZ53" s="62">
        <f>IF($B53=$B52,$FZ52,0)+$FY53</f>
        <v/>
      </c>
      <c r="GA53" s="62">
        <f>$GA52+$FY53</f>
        <v/>
      </c>
      <c r="GB53" s="62">
        <f>SUMIFS(tblSafety[FAI],tblSafety[Date],$A53)</f>
        <v/>
      </c>
      <c r="GC53" s="62">
        <f>IF($B53=$B52,$GC52,0)+$GB53</f>
        <v/>
      </c>
      <c r="GD53" s="62">
        <f>$GD52+$GB53</f>
        <v/>
      </c>
      <c r="GE53" s="62">
        <f>SUMIFS(tblSafety[Recordables],tblSafety[Date],$A53)</f>
        <v/>
      </c>
      <c r="GF53" s="62">
        <f>IF($B53=$B52,$GF52,0)+$GE53</f>
        <v/>
      </c>
      <c r="GG53" s="62">
        <f>$GG52+$GE53</f>
        <v/>
      </c>
      <c r="GH53" s="62">
        <f>SUMIFS(tblSafety[Near_Miss],tblSafety[Date],$A53)</f>
        <v/>
      </c>
      <c r="GI53" s="62">
        <f>IF($B53=$B52,$GI52,0)+$GH53</f>
        <v/>
      </c>
      <c r="GJ53" s="62">
        <f>$GJ52+$GH53</f>
        <v/>
      </c>
      <c r="GK53" s="62">
        <f>SUMIFS(tblSafety[Hazard_Reports],tblSafety[Date],$A53)</f>
        <v/>
      </c>
      <c r="GL53" s="62">
        <f>IF($B53=$B52,$GL52,0)+$GK53</f>
        <v/>
      </c>
      <c r="GM53" s="62">
        <f>$GM52+$GK53</f>
        <v/>
      </c>
      <c r="GN53" s="62">
        <f>SUMIFS(tblSafety[HPI],tblSafety[Date],$A53)</f>
        <v/>
      </c>
      <c r="GO53" s="62">
        <f>IF($B53=$B52,$GO52,0)+$GN53</f>
        <v/>
      </c>
      <c r="GP53" s="62">
        <f>$GP52+$GN53</f>
        <v/>
      </c>
      <c r="GQ53" s="62">
        <f>SUMIFS(tblSafety[Env_Incidents],tblSafety[Date],$A53)</f>
        <v/>
      </c>
      <c r="GR53" s="62">
        <f>IF($B53=$B52,$GR52,0)+$GQ53</f>
        <v/>
      </c>
      <c r="GS53" s="62">
        <f>$GS52+$GQ53</f>
        <v/>
      </c>
      <c r="GT53" s="62">
        <f>SUMIFS(tblSafety[Community_Incidents],tblSafety[Date],$A53)</f>
        <v/>
      </c>
      <c r="GU53" s="62">
        <f>IF($B53=$B52,$GU52,0)+$GT53</f>
        <v/>
      </c>
      <c r="GV53" s="62">
        <f>$GV52+$GT53</f>
        <v/>
      </c>
      <c r="GW53" s="62">
        <f>SUMIFS(tblSafety[Vehicle_Incidents],tblSafety[Date],$A53)</f>
        <v/>
      </c>
      <c r="GX53" s="62">
        <f>IF($B53=$B52,$GX52,0)+$GW53</f>
        <v/>
      </c>
      <c r="GY53" s="62">
        <f>$GY52+$GW53</f>
        <v/>
      </c>
      <c r="GZ53" s="62">
        <f>SUMIFS(tblSafety[Toolbox_Talks],tblSafety[Date],$A53)</f>
        <v/>
      </c>
      <c r="HA53" s="62">
        <f>IF($B53=$B52,$HA52,0)+$GZ53</f>
        <v/>
      </c>
      <c r="HB53" s="62">
        <f>$HB52+$GZ53</f>
        <v/>
      </c>
      <c r="HC53" s="62">
        <f>SUMIFS(tblSafety[Inspections],tblSafety[Date],$A53)</f>
        <v/>
      </c>
      <c r="HD53" s="62">
        <f>IF($B53=$B52,$HD52,0)+$HC53</f>
        <v/>
      </c>
      <c r="HE53" s="62">
        <f>$HE52+$HC53</f>
        <v/>
      </c>
      <c r="HF53" s="56">
        <f>IFERROR((SUMIFS(tblSafety[Recordables],tblSafety[Date],"&gt;="&amp;EDATE($E53,-12),tblSafety[Date],"&lt;="&amp;$A53)+SUMIFS(tblSafetyHistory[Recordables],tblSafetyHistory[Month],"&gt;="&amp;EDATE($E53,-12),tblSafetyHistory[Month],"&lt;"&amp;cfg_YearStart))/(SUMIFS(tblSafety[Hours_Total],tblSafety[Date],"&gt;="&amp;EDATE($E53,-12),tblSafety[Date],"&lt;="&amp;$A53)+SUMIFS(tblSafetyHistory[Hours_Total],tblSafetyHistory[Month],"&gt;="&amp;EDATE($E53,-12),tblSafetyHistory[Month],"&lt;"&amp;cfg_YearStart))*1000000,"")</f>
        <v/>
      </c>
      <c r="HG53" s="56">
        <f>IFERROR((SUMIFS(tblSafety[LTI],tblSafety[Date],"&gt;="&amp;EDATE($E53,-12),tblSafety[Date],"&lt;="&amp;$A53)+SUMIFS(tblSafetyHistory[LTI],tblSafetyHistory[Month],"&gt;="&amp;EDATE($E53,-12),tblSafetyHistory[Month],"&lt;"&amp;cfg_YearStart))/(SUMIFS(tblSafety[Hours_Total],tblSafety[Date],"&gt;="&amp;EDATE($E53,-12),tblSafety[Date],"&lt;="&amp;$A53)+SUMIFS(tblSafetyHistory[Hours_Total],tblSafetyHistory[Month],"&gt;="&amp;EDATE($E53,-12),tblSafetyHistory[Month],"&lt;"&amp;cfg_YearStart))*1000000,"")</f>
        <v/>
      </c>
      <c r="HH53" s="62">
        <f>IF(MAX(N(cfg_PriorLTIDate),_xlfn.MAXIFS(tblSafety[Date],tblSafety[LTI],"&gt;0",tblSafety[Date],"&lt;="&amp;$A53))=0,"",$A53-MAX(N(cfg_PriorLTIDate),_xlfn.MAXIFS(tblSafety[Date],tblSafety[LTI],"&gt;0",tblSafety[Date],"&lt;="&amp;$A53)))</f>
        <v/>
      </c>
      <c r="HI53" s="55">
        <f>SUMIFS(tblBudget[Ore_Mined_t],tblBudget[Month],$E53)</f>
        <v/>
      </c>
      <c r="HJ53" s="55">
        <f>$HI53*$C53/$D53</f>
        <v/>
      </c>
      <c r="HK53" s="55">
        <f>SUMIFS(tblBudget[Ore_Mined_t],tblBudget[Month],"&lt;"&amp;$E53)+$HJ53</f>
        <v/>
      </c>
      <c r="HL53" s="55">
        <f>SUMIFS(tblBudget[Ore_oz],tblBudget[Month],$E53)</f>
        <v/>
      </c>
      <c r="HM53" s="55">
        <f>$HL53*$C53/$D53</f>
        <v/>
      </c>
      <c r="HN53" s="55">
        <f>SUMIFS(tblBudget[Ore_oz],tblBudget[Month],"&lt;"&amp;$E53)+$HM53</f>
        <v/>
      </c>
      <c r="HO53" s="56">
        <f>IFERROR(IF(($HI53)&gt;0,($HL53*cfg_TroyOz)/($HI53),""),"")</f>
        <v/>
      </c>
      <c r="HP53" s="56">
        <f>IFERROR(IF(($HJ53)&gt;0,($HM53*cfg_TroyOz)/($HJ53),""),"")</f>
        <v/>
      </c>
      <c r="HQ53" s="56">
        <f>IFERROR(IF(($HK53)&gt;0,($HN53*cfg_TroyOz)/($HK53),""),"")</f>
        <v/>
      </c>
      <c r="HR53" s="55">
        <f>SUMIFS(tblBudget[Waste_t],tblBudget[Month],$E53)</f>
        <v/>
      </c>
      <c r="HS53" s="55">
        <f>$HR53*$C53/$D53</f>
        <v/>
      </c>
      <c r="HT53" s="55">
        <f>SUMIFS(tblBudget[Waste_t],tblBudget[Month],"&lt;"&amp;$E53)+$HS53</f>
        <v/>
      </c>
      <c r="HU53" s="55">
        <f>SUMIFS(tblBudget[TMM_t],tblBudget[Month],$E53)</f>
        <v/>
      </c>
      <c r="HV53" s="55">
        <f>$HU53*$C53/$D53</f>
        <v/>
      </c>
      <c r="HW53" s="55">
        <f>SUMIFS(tblBudget[TMM_t],tblBudget[Month],"&lt;"&amp;$E53)+$HV53</f>
        <v/>
      </c>
      <c r="HX53" s="56">
        <f>IFERROR(IF(($HI53)&gt;0,($HR53)/($HI53),""),"")</f>
        <v/>
      </c>
      <c r="HY53" s="56">
        <f>IFERROR(IF(($HJ53)&gt;0,($HS53)/($HJ53),""),"")</f>
        <v/>
      </c>
      <c r="HZ53" s="56">
        <f>IFERROR(IF(($HK53)&gt;0,($HT53)/($HK53),""),"")</f>
        <v/>
      </c>
      <c r="IA53" s="55">
        <f>SUMIFS(tblBudget[Drill_m],tblBudget[Month],$E53)</f>
        <v/>
      </c>
      <c r="IB53" s="55">
        <f>$IA53*$C53/$D53</f>
        <v/>
      </c>
      <c r="IC53" s="55">
        <f>SUMIFS(tblBudget[Drill_m],tblBudget[Month],"&lt;"&amp;$E53)+$IB53</f>
        <v/>
      </c>
      <c r="ID53" s="55">
        <f>SUMIFS(tblBudget[Diesel_L],tblBudget[Month],$E53)</f>
        <v/>
      </c>
      <c r="IE53" s="55">
        <f>$ID53*$C53/$D53</f>
        <v/>
      </c>
      <c r="IF53" s="55">
        <f>SUMIFS(tblBudget[Diesel_L],tblBudget[Month],"&lt;"&amp;$E53)+$IE53</f>
        <v/>
      </c>
      <c r="IG53" s="55">
        <f>SUMIFS(tblBudget[Milled_t],tblBudget[Month],$E53)</f>
        <v/>
      </c>
      <c r="IH53" s="55">
        <f>$IG53*$C53/$D53</f>
        <v/>
      </c>
      <c r="II53" s="55">
        <f>SUMIFS(tblBudget[Milled_t],tblBudget[Month],"&lt;"&amp;$E53)+$IH53</f>
        <v/>
      </c>
      <c r="IJ53" s="55">
        <f>SUMIFS(tblBudget[Feed_oz],tblBudget[Month],$E53)</f>
        <v/>
      </c>
      <c r="IK53" s="55">
        <f>$IJ53*$C53/$D53</f>
        <v/>
      </c>
      <c r="IL53" s="55">
        <f>SUMIFS(tblBudget[Feed_oz],tblBudget[Month],"&lt;"&amp;$E53)+$IK53</f>
        <v/>
      </c>
      <c r="IM53" s="55">
        <f>SUMIFS(tblBudget[Recovered_oz],tblBudget[Month],$E53)</f>
        <v/>
      </c>
      <c r="IN53" s="55">
        <f>$IM53*$C53/$D53</f>
        <v/>
      </c>
      <c r="IO53" s="55">
        <f>SUMIFS(tblBudget[Recovered_oz],tblBudget[Month],"&lt;"&amp;$E53)+$IN53</f>
        <v/>
      </c>
      <c r="IP53" s="56">
        <f>IFERROR(IF(($IG53)&gt;0,($IJ53*cfg_TroyOz)/($IG53),""),"")</f>
        <v/>
      </c>
      <c r="IQ53" s="56">
        <f>IFERROR(IF(($IH53)&gt;0,($IK53*cfg_TroyOz)/($IH53),""),"")</f>
        <v/>
      </c>
      <c r="IR53" s="56">
        <f>IFERROR(IF(($II53)&gt;0,($IL53*cfg_TroyOz)/($II53),""),"")</f>
        <v/>
      </c>
      <c r="IS53" s="67">
        <f>IFERROR(IF(($IJ53)&gt;0,($IM53)/($IJ53),""),"")</f>
        <v/>
      </c>
      <c r="IT53" s="67">
        <f>IFERROR(IF(($IK53)&gt;0,($IN53)/($IK53),""),"")</f>
        <v/>
      </c>
      <c r="IU53" s="67">
        <f>IFERROR(IF(($IL53)&gt;0,($IO53)/($IL53),""),"")</f>
        <v/>
      </c>
      <c r="IV53" s="55">
        <f>SUMIFS(tblBudget[Gold_Poured_oz],tblBudget[Month],$E53)</f>
        <v/>
      </c>
      <c r="IW53" s="55">
        <f>$IV53*$C53/$D53</f>
        <v/>
      </c>
      <c r="IX53" s="55">
        <f>SUMIFS(tblBudget[Gold_Poured_oz],tblBudget[Month],"&lt;"&amp;$E53)+$IW53</f>
        <v/>
      </c>
      <c r="IY53" s="57">
        <f>SUMIFS(tblBudget[Hours_Worked],tblBudget[Month],$E53)</f>
        <v/>
      </c>
      <c r="IZ53" s="57">
        <f>$IY53*$C53/$D53</f>
        <v/>
      </c>
      <c r="JA53" s="57">
        <f>SUMIFS(tblBudget[Hours_Worked],tblBudget[Month],"&lt;"&amp;$E53)+$IZ53</f>
        <v/>
      </c>
    </row>
    <row r="54">
      <c r="A54" s="54" t="n">
        <v>46075</v>
      </c>
      <c r="B54">
        <f>MONTH($A54)</f>
        <v/>
      </c>
      <c r="C54">
        <f>DAY($A54)</f>
        <v/>
      </c>
      <c r="D54">
        <f>DAY(EOMONTH($A54,0))</f>
        <v/>
      </c>
      <c r="E54" s="54">
        <f>DATE(YEAR($A54),MONTH($A54),1)</f>
        <v/>
      </c>
      <c r="F54" s="55">
        <f>SUMIFS(tblMovement[Tonnes_t],tblMovement[Date],$A54,tblMovement[Is_Ore],1,tblMovement[Source_Type],"Pit")</f>
        <v/>
      </c>
      <c r="G54" s="55">
        <f>IF($B54=$B53,$G53,0)+$F54</f>
        <v/>
      </c>
      <c r="H54" s="55">
        <f>$H53+$F54</f>
        <v/>
      </c>
      <c r="I54" s="55">
        <f>SUMIFS(tblMovement[Ore_oz],tblMovement[Date],$A54,tblMovement[Source_Type],"Pit")</f>
        <v/>
      </c>
      <c r="J54" s="55">
        <f>IF($B54=$B53,$J53,0)+$I54</f>
        <v/>
      </c>
      <c r="K54" s="55">
        <f>$K53+$I54</f>
        <v/>
      </c>
      <c r="L54" s="56">
        <f>IFERROR(IF(($F54)&gt;0,($I54*cfg_TroyOz)/($F54),""),"")</f>
        <v/>
      </c>
      <c r="M54" s="56">
        <f>IFERROR(IF(($G54)&gt;0,($J54*cfg_TroyOz)/($G54),""),"")</f>
        <v/>
      </c>
      <c r="N54" s="56">
        <f>IFERROR(IF(($H54)&gt;0,($K54*cfg_TroyOz)/($H54),""),"")</f>
        <v/>
      </c>
      <c r="O54" s="55">
        <f>SUMIFS(tblMovement[Tonnes_t],tblMovement[Date],$A54,tblMovement[Is_Ore],0,tblMovement[Source_Type],"Pit")</f>
        <v/>
      </c>
      <c r="P54" s="55">
        <f>IF($B54=$B53,$P53,0)+$O54</f>
        <v/>
      </c>
      <c r="Q54" s="55">
        <f>$Q53+$O54</f>
        <v/>
      </c>
      <c r="R54" s="55">
        <f>$F54+$O54</f>
        <v/>
      </c>
      <c r="S54" s="55">
        <f>IF($B54=$B53,$S53,0)+$R54</f>
        <v/>
      </c>
      <c r="T54" s="55">
        <f>$T53+$R54</f>
        <v/>
      </c>
      <c r="U54" s="56">
        <f>IFERROR(IF(($F54)&gt;0,($O54)/($F54),""),"")</f>
        <v/>
      </c>
      <c r="V54" s="56">
        <f>IFERROR(IF(($G54)&gt;0,($P54)/($G54),""),"")</f>
        <v/>
      </c>
      <c r="W54" s="56">
        <f>IFERROR(IF(($H54)&gt;0,($Q54)/($H54),""),"")</f>
        <v/>
      </c>
      <c r="X54" s="55">
        <f>SUMIFS(tblMovement[Tonnes_t],tblMovement[Date],$A54,tblMovement[Source_Type],"Stockpile")</f>
        <v/>
      </c>
      <c r="Y54" s="55">
        <f>IF($B54=$B53,$Y53,0)+$X54</f>
        <v/>
      </c>
      <c r="Z54" s="55">
        <f>$Z53+$X54</f>
        <v/>
      </c>
      <c r="AA54" s="55">
        <f>SUMIFS(tblMiningDaily[Drill_m],tblMiningDaily[Date],$A54)</f>
        <v/>
      </c>
      <c r="AB54" s="55">
        <f>IF($B54=$B53,$AB53,0)+$AA54</f>
        <v/>
      </c>
      <c r="AC54" s="55">
        <f>$AC53+$AA54</f>
        <v/>
      </c>
      <c r="AD54" s="55">
        <f>SUMIFS(tblMiningDaily[Blast_t],tblMiningDaily[Date],$A54)</f>
        <v/>
      </c>
      <c r="AE54" s="55">
        <f>IF($B54=$B53,$AE53,0)+$AD54</f>
        <v/>
      </c>
      <c r="AF54" s="55">
        <f>$AF53+$AD54</f>
        <v/>
      </c>
      <c r="AG54" s="55">
        <f>SUMIFS(tblMiningDaily[Explosives_kg],tblMiningDaily[Date],$A54)</f>
        <v/>
      </c>
      <c r="AH54" s="55">
        <f>IF($B54=$B53,$AH53,0)+$AG54</f>
        <v/>
      </c>
      <c r="AI54" s="55">
        <f>$AI53+$AG54</f>
        <v/>
      </c>
      <c r="AJ54" s="56">
        <f>IFERROR(IF(($AD54)&gt;0,($AG54)/($AD54),""),"")</f>
        <v/>
      </c>
      <c r="AK54" s="56">
        <f>IFERROR(IF(($AE54)&gt;0,($AH54)/($AE54),""),"")</f>
        <v/>
      </c>
      <c r="AL54" s="56">
        <f>IFERROR(IF(($AF54)&gt;0,($AI54)/($AF54),""),"")</f>
        <v/>
      </c>
      <c r="AM54" s="55">
        <f>SUMIFS(tblMiningDaily[Diesel_L],tblMiningDaily[Date],$A54)</f>
        <v/>
      </c>
      <c r="AN54" s="55">
        <f>IF($B54=$B53,$AN53,0)+$AM54</f>
        <v/>
      </c>
      <c r="AO54" s="55">
        <f>$AO53+$AM54</f>
        <v/>
      </c>
      <c r="AP54" s="55">
        <f>SUMIFS(tblMiningDaily[Dewatering_m3],tblMiningDaily[Date],$A54)</f>
        <v/>
      </c>
      <c r="AQ54" s="55">
        <f>IF($B54=$B53,$AQ53,0)+$AP54</f>
        <v/>
      </c>
      <c r="AR54" s="55">
        <f>$AR53+$AP54</f>
        <v/>
      </c>
      <c r="AS54" s="57">
        <f>SUMIFS(tblFleet[Calendar_h],tblFleet[Date],$A54,tblFleet[Equipment_Class],"Excavator")</f>
        <v/>
      </c>
      <c r="AT54" s="57">
        <f>IF($B54=$B53,$AT53,0)+$AS54</f>
        <v/>
      </c>
      <c r="AU54" s="57">
        <f>$AU53+$AS54</f>
        <v/>
      </c>
      <c r="AV54" s="57">
        <f>SUMIFS(tblFleet[Available_h],tblFleet[Date],$A54,tblFleet[Equipment_Class],"Excavator")</f>
        <v/>
      </c>
      <c r="AW54" s="57">
        <f>IF($B54=$B53,$AW53,0)+$AV54</f>
        <v/>
      </c>
      <c r="AX54" s="57">
        <f>$AX53+$AV54</f>
        <v/>
      </c>
      <c r="AY54" s="57">
        <f>SUMIFS(tblFleet[Operating_h],tblFleet[Date],$A54,tblFleet[Equipment_Class],"Excavator")</f>
        <v/>
      </c>
      <c r="AZ54" s="57">
        <f>IF($B54=$B53,$AZ53,0)+$AY54</f>
        <v/>
      </c>
      <c r="BA54" s="57">
        <f>$BA53+$AY54</f>
        <v/>
      </c>
      <c r="BB54" s="67">
        <f>IFERROR(IF(($AS54)&gt;0,($AV54)/($AS54),""),"")</f>
        <v/>
      </c>
      <c r="BC54" s="67">
        <f>IFERROR(IF(($AT54)&gt;0,($AW54)/($AT54),""),"")</f>
        <v/>
      </c>
      <c r="BD54" s="67">
        <f>IFERROR(IF(($AU54)&gt;0,($AX54)/($AU54),""),"")</f>
        <v/>
      </c>
      <c r="BE54" s="67">
        <f>IFERROR(IF(($AV54)&gt;0,($AY54)/($AV54),""),"")</f>
        <v/>
      </c>
      <c r="BF54" s="67">
        <f>IFERROR(IF(($AW54)&gt;0,($AZ54)/($AW54),""),"")</f>
        <v/>
      </c>
      <c r="BG54" s="67">
        <f>IFERROR(IF(($AX54)&gt;0,($BA54)/($AX54),""),"")</f>
        <v/>
      </c>
      <c r="BH54" s="57">
        <f>SUMIFS(tblFleet[Calendar_h],tblFleet[Date],$A54,tblFleet[Equipment_Class],"Haul Truck")</f>
        <v/>
      </c>
      <c r="BI54" s="57">
        <f>IF($B54=$B53,$BI53,0)+$BH54</f>
        <v/>
      </c>
      <c r="BJ54" s="57">
        <f>$BJ53+$BH54</f>
        <v/>
      </c>
      <c r="BK54" s="57">
        <f>SUMIFS(tblFleet[Available_h],tblFleet[Date],$A54,tblFleet[Equipment_Class],"Haul Truck")</f>
        <v/>
      </c>
      <c r="BL54" s="57">
        <f>IF($B54=$B53,$BL53,0)+$BK54</f>
        <v/>
      </c>
      <c r="BM54" s="57">
        <f>$BM53+$BK54</f>
        <v/>
      </c>
      <c r="BN54" s="57">
        <f>SUMIFS(tblFleet[Operating_h],tblFleet[Date],$A54,tblFleet[Equipment_Class],"Haul Truck")</f>
        <v/>
      </c>
      <c r="BO54" s="57">
        <f>IF($B54=$B53,$BO53,0)+$BN54</f>
        <v/>
      </c>
      <c r="BP54" s="57">
        <f>$BP53+$BN54</f>
        <v/>
      </c>
      <c r="BQ54" s="67">
        <f>IFERROR(IF(($BH54)&gt;0,($BK54)/($BH54),""),"")</f>
        <v/>
      </c>
      <c r="BR54" s="67">
        <f>IFERROR(IF(($BI54)&gt;0,($BL54)/($BI54),""),"")</f>
        <v/>
      </c>
      <c r="BS54" s="67">
        <f>IFERROR(IF(($BJ54)&gt;0,($BM54)/($BJ54),""),"")</f>
        <v/>
      </c>
      <c r="BT54" s="67">
        <f>IFERROR(IF(($BK54)&gt;0,($BN54)/($BK54),""),"")</f>
        <v/>
      </c>
      <c r="BU54" s="67">
        <f>IFERROR(IF(($BL54)&gt;0,($BO54)/($BL54),""),"")</f>
        <v/>
      </c>
      <c r="BV54" s="67">
        <f>IFERROR(IF(($BM54)&gt;0,($BP54)/($BM54),""),"")</f>
        <v/>
      </c>
      <c r="BW54" s="55">
        <f>SUMIFS(tblPlant[Crushed_t],tblPlant[Date],$A54)</f>
        <v/>
      </c>
      <c r="BX54" s="55">
        <f>IF($B54=$B53,$BX53,0)+$BW54</f>
        <v/>
      </c>
      <c r="BY54" s="55">
        <f>$BY53+$BW54</f>
        <v/>
      </c>
      <c r="BZ54" s="55">
        <f>SUMIFS(tblPlant[Milled_t],tblPlant[Date],$A54)</f>
        <v/>
      </c>
      <c r="CA54" s="55">
        <f>IF($B54=$B53,$CA53,0)+$BZ54</f>
        <v/>
      </c>
      <c r="CB54" s="55">
        <f>$CB53+$BZ54</f>
        <v/>
      </c>
      <c r="CC54" s="55">
        <f>SUMIFS(tblPlant[Feed_oz],tblPlant[Date],$A54)</f>
        <v/>
      </c>
      <c r="CD54" s="55">
        <f>IF($B54=$B53,$CD53,0)+$CC54</f>
        <v/>
      </c>
      <c r="CE54" s="55">
        <f>$CE53+$CC54</f>
        <v/>
      </c>
      <c r="CF54" s="55">
        <f>SUMIFS(tblPlant[Tails_oz],tblPlant[Date],$A54)</f>
        <v/>
      </c>
      <c r="CG54" s="55">
        <f>IF($B54=$B53,$CG53,0)+$CF54</f>
        <v/>
      </c>
      <c r="CH54" s="55">
        <f>$CH53+$CF54</f>
        <v/>
      </c>
      <c r="CI54" s="55">
        <f>SUMIFS(tblPlant[Recovered_oz],tblPlant[Date],$A54)</f>
        <v/>
      </c>
      <c r="CJ54" s="55">
        <f>IF($B54=$B53,$CJ53,0)+$CI54</f>
        <v/>
      </c>
      <c r="CK54" s="55">
        <f>$CK53+$CI54</f>
        <v/>
      </c>
      <c r="CL54" s="56">
        <f>IFERROR(IF(($BZ54)&gt;0,($CC54*cfg_TroyOz)/($BZ54),""),"")</f>
        <v/>
      </c>
      <c r="CM54" s="56">
        <f>IFERROR(IF(($CA54)&gt;0,($CD54*cfg_TroyOz)/($CA54),""),"")</f>
        <v/>
      </c>
      <c r="CN54" s="56">
        <f>IFERROR(IF(($CB54)&gt;0,($CE54*cfg_TroyOz)/($CB54),""),"")</f>
        <v/>
      </c>
      <c r="CO54" s="56">
        <f>IFERROR(IF(($BZ54)&gt;0,($CF54*cfg_TroyOz)/($BZ54),""),"")</f>
        <v/>
      </c>
      <c r="CP54" s="56">
        <f>IFERROR(IF(($CA54)&gt;0,($CG54*cfg_TroyOz)/($CA54),""),"")</f>
        <v/>
      </c>
      <c r="CQ54" s="56">
        <f>IFERROR(IF(($CB54)&gt;0,($CH54*cfg_TroyOz)/($CB54),""),"")</f>
        <v/>
      </c>
      <c r="CR54" s="67">
        <f>IFERROR(IF(($CC54)&gt;0,($CI54)/($CC54),""),"")</f>
        <v/>
      </c>
      <c r="CS54" s="67">
        <f>IFERROR(IF(($CD54)&gt;0,($CJ54)/($CD54),""),"")</f>
        <v/>
      </c>
      <c r="CT54" s="67">
        <f>IFERROR(IF(($CE54)&gt;0,($CK54)/($CE54),""),"")</f>
        <v/>
      </c>
      <c r="CU54" s="55">
        <f>SUMIFS(tblPlant[Gravity_Gold_oz],tblPlant[Date],$A54)</f>
        <v/>
      </c>
      <c r="CV54" s="55">
        <f>IF($B54=$B53,$CV53,0)+$CU54</f>
        <v/>
      </c>
      <c r="CW54" s="55">
        <f>$CW53+$CU54</f>
        <v/>
      </c>
      <c r="CX54" s="55">
        <f>SUMIFS(tblPlant[Gold_Poured_oz],tblPlant[Date],$A54)</f>
        <v/>
      </c>
      <c r="CY54" s="55">
        <f>IF($B54=$B53,$CY53,0)+$CX54</f>
        <v/>
      </c>
      <c r="CZ54" s="55">
        <f>$CZ53+$CX54</f>
        <v/>
      </c>
      <c r="DA54" s="57">
        <f>SUMIFS(tblPlant[Mill_Run_h],tblPlant[Date],$A54)</f>
        <v/>
      </c>
      <c r="DB54" s="57">
        <f>IF($B54=$B53,$DB53,0)+$DA54</f>
        <v/>
      </c>
      <c r="DC54" s="57">
        <f>$DC53+$DA54</f>
        <v/>
      </c>
      <c r="DD54" s="57">
        <f>SUMIFS(tblPlant[Mill_Planned_Maint_h],tblPlant[Date],$A54)</f>
        <v/>
      </c>
      <c r="DE54" s="57">
        <f>IF($B54=$B53,$DE53,0)+$DD54</f>
        <v/>
      </c>
      <c r="DF54" s="57">
        <f>$DF53+$DD54</f>
        <v/>
      </c>
      <c r="DG54" s="57">
        <f>SUMIFS(tblPlant[Mill_Unplanned_Down_h],tblPlant[Date],$A54)</f>
        <v/>
      </c>
      <c r="DH54" s="57">
        <f>IF($B54=$B53,$DH53,0)+$DG54</f>
        <v/>
      </c>
      <c r="DI54" s="57">
        <f>$DI53+$DG54</f>
        <v/>
      </c>
      <c r="DJ54" s="57">
        <f>COUNTIFS(tblPlant[Date],$A54,tblPlant[Mill_Run_h],"&lt;&gt;")*24</f>
        <v/>
      </c>
      <c r="DK54" s="57">
        <f>IF($B54=$B53,$DK53,0)+$DJ54</f>
        <v/>
      </c>
      <c r="DL54" s="57">
        <f>$DL53+$DJ54</f>
        <v/>
      </c>
      <c r="DM54" s="57">
        <f>SUMIFS(tblPlant[Crusher_Run_h],tblPlant[Date],$A54)</f>
        <v/>
      </c>
      <c r="DN54" s="57">
        <f>IF($B54=$B53,$DN53,0)+$DM54</f>
        <v/>
      </c>
      <c r="DO54" s="57">
        <f>$DO53+$DM54</f>
        <v/>
      </c>
      <c r="DP54" s="55">
        <f>IFERROR(IF(($DA54)&gt;0,($BZ54)/($DA54),""),"")</f>
        <v/>
      </c>
      <c r="DQ54" s="55">
        <f>IFERROR(IF(($DB54)&gt;0,($CA54)/($DB54),""),"")</f>
        <v/>
      </c>
      <c r="DR54" s="55">
        <f>IFERROR(IF(($DC54)&gt;0,($CB54)/($DC54),""),"")</f>
        <v/>
      </c>
      <c r="DS54" s="67">
        <f>IFERROR(IF(($DJ54)&gt;0,($DJ54-$DD54-$DG54)/($DJ54),""),"")</f>
        <v/>
      </c>
      <c r="DT54" s="67">
        <f>IFERROR(IF(($DK54)&gt;0,($DK54-$DE54-$DH54)/($DK54),""),"")</f>
        <v/>
      </c>
      <c r="DU54" s="67">
        <f>IFERROR(IF(($DL54)&gt;0,($DL54-$DF54-$DI54)/($DL54),""),"")</f>
        <v/>
      </c>
      <c r="DV54" s="67">
        <f>IFERROR(IF(($DJ54-$DD54-$DG54)&gt;0,($DA54)/($DJ54-$DD54-$DG54),""),"")</f>
        <v/>
      </c>
      <c r="DW54" s="67">
        <f>IFERROR(IF(($DK54-$DE54-$DH54)&gt;0,($DB54)/($DK54-$DE54-$DH54),""),"")</f>
        <v/>
      </c>
      <c r="DX54" s="67">
        <f>IFERROR(IF(($DL54-$DF54-$DI54)&gt;0,($DC54)/($DL54-$DF54-$DI54),""),"")</f>
        <v/>
      </c>
      <c r="DY54" s="55">
        <f>SUMIFS(tblPlant[Cyanide_kg],tblPlant[Date],$A54)</f>
        <v/>
      </c>
      <c r="DZ54" s="55">
        <f>IF($B54=$B53,$DZ53,0)+$DY54</f>
        <v/>
      </c>
      <c r="EA54" s="55">
        <f>$EA53+$DY54</f>
        <v/>
      </c>
      <c r="EB54" s="55">
        <f>SUMIFS(tblPlant[Lime_kg],tblPlant[Date],$A54)</f>
        <v/>
      </c>
      <c r="EC54" s="55">
        <f>IF($B54=$B53,$EC53,0)+$EB54</f>
        <v/>
      </c>
      <c r="ED54" s="55">
        <f>$ED53+$EB54</f>
        <v/>
      </c>
      <c r="EE54" s="55">
        <f>SUMIFS(tblPlant[Grinding_Media_kg],tblPlant[Date],$A54)</f>
        <v/>
      </c>
      <c r="EF54" s="55">
        <f>IF($B54=$B53,$EF53,0)+$EE54</f>
        <v/>
      </c>
      <c r="EG54" s="55">
        <f>$EG53+$EE54</f>
        <v/>
      </c>
      <c r="EH54" s="55">
        <f>SUMIFS(tblPlant[Power_kWh],tblPlant[Date],$A54)</f>
        <v/>
      </c>
      <c r="EI54" s="55">
        <f>IF($B54=$B53,$EI53,0)+$EH54</f>
        <v/>
      </c>
      <c r="EJ54" s="55">
        <f>$EJ53+$EH54</f>
        <v/>
      </c>
      <c r="EK54" s="55">
        <f>SUMIFS(tblPlant[Raw_Water_m3],tblPlant[Date],$A54)</f>
        <v/>
      </c>
      <c r="EL54" s="55">
        <f>IF($B54=$B53,$EL53,0)+$EK54</f>
        <v/>
      </c>
      <c r="EM54" s="55">
        <f>$EM53+$EK54</f>
        <v/>
      </c>
      <c r="EN54" s="56">
        <f>IFERROR(IF(($BZ54)&gt;0,($DY54)/($BZ54),""),"")</f>
        <v/>
      </c>
      <c r="EO54" s="56">
        <f>IFERROR(IF(($CA54)&gt;0,($DZ54)/($CA54),""),"")</f>
        <v/>
      </c>
      <c r="EP54" s="56">
        <f>IFERROR(IF(($CB54)&gt;0,($EA54)/($CB54),""),"")</f>
        <v/>
      </c>
      <c r="EQ54" s="56">
        <f>IFERROR(IF(($BZ54)&gt;0,($EB54)/($BZ54),""),"")</f>
        <v/>
      </c>
      <c r="ER54" s="56">
        <f>IFERROR(IF(($CA54)&gt;0,($EC54)/($CA54),""),"")</f>
        <v/>
      </c>
      <c r="ES54" s="56">
        <f>IFERROR(IF(($CB54)&gt;0,($ED54)/($CB54),""),"")</f>
        <v/>
      </c>
      <c r="ET54" s="56">
        <f>IFERROR(IF(($BZ54)&gt;0,($EE54)/($BZ54),""),"")</f>
        <v/>
      </c>
      <c r="EU54" s="56">
        <f>IFERROR(IF(($CA54)&gt;0,($EF54)/($CA54),""),"")</f>
        <v/>
      </c>
      <c r="EV54" s="56">
        <f>IFERROR(IF(($CB54)&gt;0,($EG54)/($CB54),""),"")</f>
        <v/>
      </c>
      <c r="EW54" s="76">
        <f>IFERROR(IF(($BZ54)&gt;0,($EH54)/($BZ54),""),"")</f>
        <v/>
      </c>
      <c r="EX54" s="76">
        <f>IFERROR(IF(($CA54)&gt;0,($EI54)/($CA54),""),"")</f>
        <v/>
      </c>
      <c r="EY54" s="76">
        <f>IFERROR(IF(($CB54)&gt;0,($EJ54)/($CB54),""),"")</f>
        <v/>
      </c>
      <c r="EZ54" s="56">
        <f>IFERROR(IF(($BZ54)&gt;0,($EK54)/($BZ54),""),"")</f>
        <v/>
      </c>
      <c r="FA54" s="56">
        <f>IFERROR(IF(($CA54)&gt;0,($EL54)/($CA54),""),"")</f>
        <v/>
      </c>
      <c r="FB54" s="56">
        <f>IFERROR(IF(($CB54)&gt;0,($EM54)/($CB54),""),"")</f>
        <v/>
      </c>
      <c r="FC54" s="55">
        <f>IF(SUMIFS(tblPlant[GIC_oz],tblPlant[Date],$A54)&gt;0,SUMIFS(tblPlant[GIC_oz],tblPlant[Date],$A54),"")</f>
        <v/>
      </c>
      <c r="FD54" s="55">
        <f>SUMIFS(tblGold[Gold_oz],tblGold[Date],$A54,tblGold[Type],"Shipment")</f>
        <v/>
      </c>
      <c r="FE54" s="55">
        <f>IF($B54=$B53,$FE53,0)+$FD54</f>
        <v/>
      </c>
      <c r="FF54" s="55">
        <f>$FF53+$FD54</f>
        <v/>
      </c>
      <c r="FG54" s="55">
        <f>SUMIFS(tblGold[Gold_oz],tblGold[Date],$A54,tblGold[Type],"Sale")</f>
        <v/>
      </c>
      <c r="FH54" s="55">
        <f>IF($B54=$B53,$FH53,0)+$FG54</f>
        <v/>
      </c>
      <c r="FI54" s="55">
        <f>$FI53+$FG54</f>
        <v/>
      </c>
      <c r="FJ54" s="55">
        <f>SUMIFS(tblGold[Dore_kg],tblGold[Date],$A54,tblGold[Type],"Shipment")</f>
        <v/>
      </c>
      <c r="FK54" s="55">
        <f>IF($B54=$B53,$FK53,0)+$FJ54</f>
        <v/>
      </c>
      <c r="FL54" s="55">
        <f>$FL53+$FJ54</f>
        <v/>
      </c>
      <c r="FM54" s="57">
        <f>SUMIFS(tblSafety[Hours_Total],tblSafety[Date],$A54)</f>
        <v/>
      </c>
      <c r="FN54" s="57">
        <f>IF($B54=$B53,$FN53,0)+$FM54</f>
        <v/>
      </c>
      <c r="FO54" s="57">
        <f>$FO53+$FM54</f>
        <v/>
      </c>
      <c r="FP54" s="62">
        <f>SUMIFS(tblSafety[Fatality],tblSafety[Date],$A54)</f>
        <v/>
      </c>
      <c r="FQ54" s="62">
        <f>IF($B54=$B53,$FQ53,0)+$FP54</f>
        <v/>
      </c>
      <c r="FR54" s="62">
        <f>$FR53+$FP54</f>
        <v/>
      </c>
      <c r="FS54" s="62">
        <f>SUMIFS(tblSafety[LTI],tblSafety[Date],$A54)</f>
        <v/>
      </c>
      <c r="FT54" s="62">
        <f>IF($B54=$B53,$FT53,0)+$FS54</f>
        <v/>
      </c>
      <c r="FU54" s="62">
        <f>$FU53+$FS54</f>
        <v/>
      </c>
      <c r="FV54" s="62">
        <f>SUMIFS(tblSafety[RWI],tblSafety[Date],$A54)</f>
        <v/>
      </c>
      <c r="FW54" s="62">
        <f>IF($B54=$B53,$FW53,0)+$FV54</f>
        <v/>
      </c>
      <c r="FX54" s="62">
        <f>$FX53+$FV54</f>
        <v/>
      </c>
      <c r="FY54" s="62">
        <f>SUMIFS(tblSafety[MTI],tblSafety[Date],$A54)</f>
        <v/>
      </c>
      <c r="FZ54" s="62">
        <f>IF($B54=$B53,$FZ53,0)+$FY54</f>
        <v/>
      </c>
      <c r="GA54" s="62">
        <f>$GA53+$FY54</f>
        <v/>
      </c>
      <c r="GB54" s="62">
        <f>SUMIFS(tblSafety[FAI],tblSafety[Date],$A54)</f>
        <v/>
      </c>
      <c r="GC54" s="62">
        <f>IF($B54=$B53,$GC53,0)+$GB54</f>
        <v/>
      </c>
      <c r="GD54" s="62">
        <f>$GD53+$GB54</f>
        <v/>
      </c>
      <c r="GE54" s="62">
        <f>SUMIFS(tblSafety[Recordables],tblSafety[Date],$A54)</f>
        <v/>
      </c>
      <c r="GF54" s="62">
        <f>IF($B54=$B53,$GF53,0)+$GE54</f>
        <v/>
      </c>
      <c r="GG54" s="62">
        <f>$GG53+$GE54</f>
        <v/>
      </c>
      <c r="GH54" s="62">
        <f>SUMIFS(tblSafety[Near_Miss],tblSafety[Date],$A54)</f>
        <v/>
      </c>
      <c r="GI54" s="62">
        <f>IF($B54=$B53,$GI53,0)+$GH54</f>
        <v/>
      </c>
      <c r="GJ54" s="62">
        <f>$GJ53+$GH54</f>
        <v/>
      </c>
      <c r="GK54" s="62">
        <f>SUMIFS(tblSafety[Hazard_Reports],tblSafety[Date],$A54)</f>
        <v/>
      </c>
      <c r="GL54" s="62">
        <f>IF($B54=$B53,$GL53,0)+$GK54</f>
        <v/>
      </c>
      <c r="GM54" s="62">
        <f>$GM53+$GK54</f>
        <v/>
      </c>
      <c r="GN54" s="62">
        <f>SUMIFS(tblSafety[HPI],tblSafety[Date],$A54)</f>
        <v/>
      </c>
      <c r="GO54" s="62">
        <f>IF($B54=$B53,$GO53,0)+$GN54</f>
        <v/>
      </c>
      <c r="GP54" s="62">
        <f>$GP53+$GN54</f>
        <v/>
      </c>
      <c r="GQ54" s="62">
        <f>SUMIFS(tblSafety[Env_Incidents],tblSafety[Date],$A54)</f>
        <v/>
      </c>
      <c r="GR54" s="62">
        <f>IF($B54=$B53,$GR53,0)+$GQ54</f>
        <v/>
      </c>
      <c r="GS54" s="62">
        <f>$GS53+$GQ54</f>
        <v/>
      </c>
      <c r="GT54" s="62">
        <f>SUMIFS(tblSafety[Community_Incidents],tblSafety[Date],$A54)</f>
        <v/>
      </c>
      <c r="GU54" s="62">
        <f>IF($B54=$B53,$GU53,0)+$GT54</f>
        <v/>
      </c>
      <c r="GV54" s="62">
        <f>$GV53+$GT54</f>
        <v/>
      </c>
      <c r="GW54" s="62">
        <f>SUMIFS(tblSafety[Vehicle_Incidents],tblSafety[Date],$A54)</f>
        <v/>
      </c>
      <c r="GX54" s="62">
        <f>IF($B54=$B53,$GX53,0)+$GW54</f>
        <v/>
      </c>
      <c r="GY54" s="62">
        <f>$GY53+$GW54</f>
        <v/>
      </c>
      <c r="GZ54" s="62">
        <f>SUMIFS(tblSafety[Toolbox_Talks],tblSafety[Date],$A54)</f>
        <v/>
      </c>
      <c r="HA54" s="62">
        <f>IF($B54=$B53,$HA53,0)+$GZ54</f>
        <v/>
      </c>
      <c r="HB54" s="62">
        <f>$HB53+$GZ54</f>
        <v/>
      </c>
      <c r="HC54" s="62">
        <f>SUMIFS(tblSafety[Inspections],tblSafety[Date],$A54)</f>
        <v/>
      </c>
      <c r="HD54" s="62">
        <f>IF($B54=$B53,$HD53,0)+$HC54</f>
        <v/>
      </c>
      <c r="HE54" s="62">
        <f>$HE53+$HC54</f>
        <v/>
      </c>
      <c r="HF54" s="56">
        <f>IFERROR((SUMIFS(tblSafety[Recordables],tblSafety[Date],"&gt;="&amp;EDATE($E54,-12),tblSafety[Date],"&lt;="&amp;$A54)+SUMIFS(tblSafetyHistory[Recordables],tblSafetyHistory[Month],"&gt;="&amp;EDATE($E54,-12),tblSafetyHistory[Month],"&lt;"&amp;cfg_YearStart))/(SUMIFS(tblSafety[Hours_Total],tblSafety[Date],"&gt;="&amp;EDATE($E54,-12),tblSafety[Date],"&lt;="&amp;$A54)+SUMIFS(tblSafetyHistory[Hours_Total],tblSafetyHistory[Month],"&gt;="&amp;EDATE($E54,-12),tblSafetyHistory[Month],"&lt;"&amp;cfg_YearStart))*1000000,"")</f>
        <v/>
      </c>
      <c r="HG54" s="56">
        <f>IFERROR((SUMIFS(tblSafety[LTI],tblSafety[Date],"&gt;="&amp;EDATE($E54,-12),tblSafety[Date],"&lt;="&amp;$A54)+SUMIFS(tblSafetyHistory[LTI],tblSafetyHistory[Month],"&gt;="&amp;EDATE($E54,-12),tblSafetyHistory[Month],"&lt;"&amp;cfg_YearStart))/(SUMIFS(tblSafety[Hours_Total],tblSafety[Date],"&gt;="&amp;EDATE($E54,-12),tblSafety[Date],"&lt;="&amp;$A54)+SUMIFS(tblSafetyHistory[Hours_Total],tblSafetyHistory[Month],"&gt;="&amp;EDATE($E54,-12),tblSafetyHistory[Month],"&lt;"&amp;cfg_YearStart))*1000000,"")</f>
        <v/>
      </c>
      <c r="HH54" s="62">
        <f>IF(MAX(N(cfg_PriorLTIDate),_xlfn.MAXIFS(tblSafety[Date],tblSafety[LTI],"&gt;0",tblSafety[Date],"&lt;="&amp;$A54))=0,"",$A54-MAX(N(cfg_PriorLTIDate),_xlfn.MAXIFS(tblSafety[Date],tblSafety[LTI],"&gt;0",tblSafety[Date],"&lt;="&amp;$A54)))</f>
        <v/>
      </c>
      <c r="HI54" s="55">
        <f>SUMIFS(tblBudget[Ore_Mined_t],tblBudget[Month],$E54)</f>
        <v/>
      </c>
      <c r="HJ54" s="55">
        <f>$HI54*$C54/$D54</f>
        <v/>
      </c>
      <c r="HK54" s="55">
        <f>SUMIFS(tblBudget[Ore_Mined_t],tblBudget[Month],"&lt;"&amp;$E54)+$HJ54</f>
        <v/>
      </c>
      <c r="HL54" s="55">
        <f>SUMIFS(tblBudget[Ore_oz],tblBudget[Month],$E54)</f>
        <v/>
      </c>
      <c r="HM54" s="55">
        <f>$HL54*$C54/$D54</f>
        <v/>
      </c>
      <c r="HN54" s="55">
        <f>SUMIFS(tblBudget[Ore_oz],tblBudget[Month],"&lt;"&amp;$E54)+$HM54</f>
        <v/>
      </c>
      <c r="HO54" s="56">
        <f>IFERROR(IF(($HI54)&gt;0,($HL54*cfg_TroyOz)/($HI54),""),"")</f>
        <v/>
      </c>
      <c r="HP54" s="56">
        <f>IFERROR(IF(($HJ54)&gt;0,($HM54*cfg_TroyOz)/($HJ54),""),"")</f>
        <v/>
      </c>
      <c r="HQ54" s="56">
        <f>IFERROR(IF(($HK54)&gt;0,($HN54*cfg_TroyOz)/($HK54),""),"")</f>
        <v/>
      </c>
      <c r="HR54" s="55">
        <f>SUMIFS(tblBudget[Waste_t],tblBudget[Month],$E54)</f>
        <v/>
      </c>
      <c r="HS54" s="55">
        <f>$HR54*$C54/$D54</f>
        <v/>
      </c>
      <c r="HT54" s="55">
        <f>SUMIFS(tblBudget[Waste_t],tblBudget[Month],"&lt;"&amp;$E54)+$HS54</f>
        <v/>
      </c>
      <c r="HU54" s="55">
        <f>SUMIFS(tblBudget[TMM_t],tblBudget[Month],$E54)</f>
        <v/>
      </c>
      <c r="HV54" s="55">
        <f>$HU54*$C54/$D54</f>
        <v/>
      </c>
      <c r="HW54" s="55">
        <f>SUMIFS(tblBudget[TMM_t],tblBudget[Month],"&lt;"&amp;$E54)+$HV54</f>
        <v/>
      </c>
      <c r="HX54" s="56">
        <f>IFERROR(IF(($HI54)&gt;0,($HR54)/($HI54),""),"")</f>
        <v/>
      </c>
      <c r="HY54" s="56">
        <f>IFERROR(IF(($HJ54)&gt;0,($HS54)/($HJ54),""),"")</f>
        <v/>
      </c>
      <c r="HZ54" s="56">
        <f>IFERROR(IF(($HK54)&gt;0,($HT54)/($HK54),""),"")</f>
        <v/>
      </c>
      <c r="IA54" s="55">
        <f>SUMIFS(tblBudget[Drill_m],tblBudget[Month],$E54)</f>
        <v/>
      </c>
      <c r="IB54" s="55">
        <f>$IA54*$C54/$D54</f>
        <v/>
      </c>
      <c r="IC54" s="55">
        <f>SUMIFS(tblBudget[Drill_m],tblBudget[Month],"&lt;"&amp;$E54)+$IB54</f>
        <v/>
      </c>
      <c r="ID54" s="55">
        <f>SUMIFS(tblBudget[Diesel_L],tblBudget[Month],$E54)</f>
        <v/>
      </c>
      <c r="IE54" s="55">
        <f>$ID54*$C54/$D54</f>
        <v/>
      </c>
      <c r="IF54" s="55">
        <f>SUMIFS(tblBudget[Diesel_L],tblBudget[Month],"&lt;"&amp;$E54)+$IE54</f>
        <v/>
      </c>
      <c r="IG54" s="55">
        <f>SUMIFS(tblBudget[Milled_t],tblBudget[Month],$E54)</f>
        <v/>
      </c>
      <c r="IH54" s="55">
        <f>$IG54*$C54/$D54</f>
        <v/>
      </c>
      <c r="II54" s="55">
        <f>SUMIFS(tblBudget[Milled_t],tblBudget[Month],"&lt;"&amp;$E54)+$IH54</f>
        <v/>
      </c>
      <c r="IJ54" s="55">
        <f>SUMIFS(tblBudget[Feed_oz],tblBudget[Month],$E54)</f>
        <v/>
      </c>
      <c r="IK54" s="55">
        <f>$IJ54*$C54/$D54</f>
        <v/>
      </c>
      <c r="IL54" s="55">
        <f>SUMIFS(tblBudget[Feed_oz],tblBudget[Month],"&lt;"&amp;$E54)+$IK54</f>
        <v/>
      </c>
      <c r="IM54" s="55">
        <f>SUMIFS(tblBudget[Recovered_oz],tblBudget[Month],$E54)</f>
        <v/>
      </c>
      <c r="IN54" s="55">
        <f>$IM54*$C54/$D54</f>
        <v/>
      </c>
      <c r="IO54" s="55">
        <f>SUMIFS(tblBudget[Recovered_oz],tblBudget[Month],"&lt;"&amp;$E54)+$IN54</f>
        <v/>
      </c>
      <c r="IP54" s="56">
        <f>IFERROR(IF(($IG54)&gt;0,($IJ54*cfg_TroyOz)/($IG54),""),"")</f>
        <v/>
      </c>
      <c r="IQ54" s="56">
        <f>IFERROR(IF(($IH54)&gt;0,($IK54*cfg_TroyOz)/($IH54),""),"")</f>
        <v/>
      </c>
      <c r="IR54" s="56">
        <f>IFERROR(IF(($II54)&gt;0,($IL54*cfg_TroyOz)/($II54),""),"")</f>
        <v/>
      </c>
      <c r="IS54" s="67">
        <f>IFERROR(IF(($IJ54)&gt;0,($IM54)/($IJ54),""),"")</f>
        <v/>
      </c>
      <c r="IT54" s="67">
        <f>IFERROR(IF(($IK54)&gt;0,($IN54)/($IK54),""),"")</f>
        <v/>
      </c>
      <c r="IU54" s="67">
        <f>IFERROR(IF(($IL54)&gt;0,($IO54)/($IL54),""),"")</f>
        <v/>
      </c>
      <c r="IV54" s="55">
        <f>SUMIFS(tblBudget[Gold_Poured_oz],tblBudget[Month],$E54)</f>
        <v/>
      </c>
      <c r="IW54" s="55">
        <f>$IV54*$C54/$D54</f>
        <v/>
      </c>
      <c r="IX54" s="55">
        <f>SUMIFS(tblBudget[Gold_Poured_oz],tblBudget[Month],"&lt;"&amp;$E54)+$IW54</f>
        <v/>
      </c>
      <c r="IY54" s="57">
        <f>SUMIFS(tblBudget[Hours_Worked],tblBudget[Month],$E54)</f>
        <v/>
      </c>
      <c r="IZ54" s="57">
        <f>$IY54*$C54/$D54</f>
        <v/>
      </c>
      <c r="JA54" s="57">
        <f>SUMIFS(tblBudget[Hours_Worked],tblBudget[Month],"&lt;"&amp;$E54)+$IZ54</f>
        <v/>
      </c>
    </row>
    <row r="55">
      <c r="A55" s="54" t="n">
        <v>46076</v>
      </c>
      <c r="B55">
        <f>MONTH($A55)</f>
        <v/>
      </c>
      <c r="C55">
        <f>DAY($A55)</f>
        <v/>
      </c>
      <c r="D55">
        <f>DAY(EOMONTH($A55,0))</f>
        <v/>
      </c>
      <c r="E55" s="54">
        <f>DATE(YEAR($A55),MONTH($A55),1)</f>
        <v/>
      </c>
      <c r="F55" s="55">
        <f>SUMIFS(tblMovement[Tonnes_t],tblMovement[Date],$A55,tblMovement[Is_Ore],1,tblMovement[Source_Type],"Pit")</f>
        <v/>
      </c>
      <c r="G55" s="55">
        <f>IF($B55=$B54,$G54,0)+$F55</f>
        <v/>
      </c>
      <c r="H55" s="55">
        <f>$H54+$F55</f>
        <v/>
      </c>
      <c r="I55" s="55">
        <f>SUMIFS(tblMovement[Ore_oz],tblMovement[Date],$A55,tblMovement[Source_Type],"Pit")</f>
        <v/>
      </c>
      <c r="J55" s="55">
        <f>IF($B55=$B54,$J54,0)+$I55</f>
        <v/>
      </c>
      <c r="K55" s="55">
        <f>$K54+$I55</f>
        <v/>
      </c>
      <c r="L55" s="56">
        <f>IFERROR(IF(($F55)&gt;0,($I55*cfg_TroyOz)/($F55),""),"")</f>
        <v/>
      </c>
      <c r="M55" s="56">
        <f>IFERROR(IF(($G55)&gt;0,($J55*cfg_TroyOz)/($G55),""),"")</f>
        <v/>
      </c>
      <c r="N55" s="56">
        <f>IFERROR(IF(($H55)&gt;0,($K55*cfg_TroyOz)/($H55),""),"")</f>
        <v/>
      </c>
      <c r="O55" s="55">
        <f>SUMIFS(tblMovement[Tonnes_t],tblMovement[Date],$A55,tblMovement[Is_Ore],0,tblMovement[Source_Type],"Pit")</f>
        <v/>
      </c>
      <c r="P55" s="55">
        <f>IF($B55=$B54,$P54,0)+$O55</f>
        <v/>
      </c>
      <c r="Q55" s="55">
        <f>$Q54+$O55</f>
        <v/>
      </c>
      <c r="R55" s="55">
        <f>$F55+$O55</f>
        <v/>
      </c>
      <c r="S55" s="55">
        <f>IF($B55=$B54,$S54,0)+$R55</f>
        <v/>
      </c>
      <c r="T55" s="55">
        <f>$T54+$R55</f>
        <v/>
      </c>
      <c r="U55" s="56">
        <f>IFERROR(IF(($F55)&gt;0,($O55)/($F55),""),"")</f>
        <v/>
      </c>
      <c r="V55" s="56">
        <f>IFERROR(IF(($G55)&gt;0,($P55)/($G55),""),"")</f>
        <v/>
      </c>
      <c r="W55" s="56">
        <f>IFERROR(IF(($H55)&gt;0,($Q55)/($H55),""),"")</f>
        <v/>
      </c>
      <c r="X55" s="55">
        <f>SUMIFS(tblMovement[Tonnes_t],tblMovement[Date],$A55,tblMovement[Source_Type],"Stockpile")</f>
        <v/>
      </c>
      <c r="Y55" s="55">
        <f>IF($B55=$B54,$Y54,0)+$X55</f>
        <v/>
      </c>
      <c r="Z55" s="55">
        <f>$Z54+$X55</f>
        <v/>
      </c>
      <c r="AA55" s="55">
        <f>SUMIFS(tblMiningDaily[Drill_m],tblMiningDaily[Date],$A55)</f>
        <v/>
      </c>
      <c r="AB55" s="55">
        <f>IF($B55=$B54,$AB54,0)+$AA55</f>
        <v/>
      </c>
      <c r="AC55" s="55">
        <f>$AC54+$AA55</f>
        <v/>
      </c>
      <c r="AD55" s="55">
        <f>SUMIFS(tblMiningDaily[Blast_t],tblMiningDaily[Date],$A55)</f>
        <v/>
      </c>
      <c r="AE55" s="55">
        <f>IF($B55=$B54,$AE54,0)+$AD55</f>
        <v/>
      </c>
      <c r="AF55" s="55">
        <f>$AF54+$AD55</f>
        <v/>
      </c>
      <c r="AG55" s="55">
        <f>SUMIFS(tblMiningDaily[Explosives_kg],tblMiningDaily[Date],$A55)</f>
        <v/>
      </c>
      <c r="AH55" s="55">
        <f>IF($B55=$B54,$AH54,0)+$AG55</f>
        <v/>
      </c>
      <c r="AI55" s="55">
        <f>$AI54+$AG55</f>
        <v/>
      </c>
      <c r="AJ55" s="56">
        <f>IFERROR(IF(($AD55)&gt;0,($AG55)/($AD55),""),"")</f>
        <v/>
      </c>
      <c r="AK55" s="56">
        <f>IFERROR(IF(($AE55)&gt;0,($AH55)/($AE55),""),"")</f>
        <v/>
      </c>
      <c r="AL55" s="56">
        <f>IFERROR(IF(($AF55)&gt;0,($AI55)/($AF55),""),"")</f>
        <v/>
      </c>
      <c r="AM55" s="55">
        <f>SUMIFS(tblMiningDaily[Diesel_L],tblMiningDaily[Date],$A55)</f>
        <v/>
      </c>
      <c r="AN55" s="55">
        <f>IF($B55=$B54,$AN54,0)+$AM55</f>
        <v/>
      </c>
      <c r="AO55" s="55">
        <f>$AO54+$AM55</f>
        <v/>
      </c>
      <c r="AP55" s="55">
        <f>SUMIFS(tblMiningDaily[Dewatering_m3],tblMiningDaily[Date],$A55)</f>
        <v/>
      </c>
      <c r="AQ55" s="55">
        <f>IF($B55=$B54,$AQ54,0)+$AP55</f>
        <v/>
      </c>
      <c r="AR55" s="55">
        <f>$AR54+$AP55</f>
        <v/>
      </c>
      <c r="AS55" s="57">
        <f>SUMIFS(tblFleet[Calendar_h],tblFleet[Date],$A55,tblFleet[Equipment_Class],"Excavator")</f>
        <v/>
      </c>
      <c r="AT55" s="57">
        <f>IF($B55=$B54,$AT54,0)+$AS55</f>
        <v/>
      </c>
      <c r="AU55" s="57">
        <f>$AU54+$AS55</f>
        <v/>
      </c>
      <c r="AV55" s="57">
        <f>SUMIFS(tblFleet[Available_h],tblFleet[Date],$A55,tblFleet[Equipment_Class],"Excavator")</f>
        <v/>
      </c>
      <c r="AW55" s="57">
        <f>IF($B55=$B54,$AW54,0)+$AV55</f>
        <v/>
      </c>
      <c r="AX55" s="57">
        <f>$AX54+$AV55</f>
        <v/>
      </c>
      <c r="AY55" s="57">
        <f>SUMIFS(tblFleet[Operating_h],tblFleet[Date],$A55,tblFleet[Equipment_Class],"Excavator")</f>
        <v/>
      </c>
      <c r="AZ55" s="57">
        <f>IF($B55=$B54,$AZ54,0)+$AY55</f>
        <v/>
      </c>
      <c r="BA55" s="57">
        <f>$BA54+$AY55</f>
        <v/>
      </c>
      <c r="BB55" s="67">
        <f>IFERROR(IF(($AS55)&gt;0,($AV55)/($AS55),""),"")</f>
        <v/>
      </c>
      <c r="BC55" s="67">
        <f>IFERROR(IF(($AT55)&gt;0,($AW55)/($AT55),""),"")</f>
        <v/>
      </c>
      <c r="BD55" s="67">
        <f>IFERROR(IF(($AU55)&gt;0,($AX55)/($AU55),""),"")</f>
        <v/>
      </c>
      <c r="BE55" s="67">
        <f>IFERROR(IF(($AV55)&gt;0,($AY55)/($AV55),""),"")</f>
        <v/>
      </c>
      <c r="BF55" s="67">
        <f>IFERROR(IF(($AW55)&gt;0,($AZ55)/($AW55),""),"")</f>
        <v/>
      </c>
      <c r="BG55" s="67">
        <f>IFERROR(IF(($AX55)&gt;0,($BA55)/($AX55),""),"")</f>
        <v/>
      </c>
      <c r="BH55" s="57">
        <f>SUMIFS(tblFleet[Calendar_h],tblFleet[Date],$A55,tblFleet[Equipment_Class],"Haul Truck")</f>
        <v/>
      </c>
      <c r="BI55" s="57">
        <f>IF($B55=$B54,$BI54,0)+$BH55</f>
        <v/>
      </c>
      <c r="BJ55" s="57">
        <f>$BJ54+$BH55</f>
        <v/>
      </c>
      <c r="BK55" s="57">
        <f>SUMIFS(tblFleet[Available_h],tblFleet[Date],$A55,tblFleet[Equipment_Class],"Haul Truck")</f>
        <v/>
      </c>
      <c r="BL55" s="57">
        <f>IF($B55=$B54,$BL54,0)+$BK55</f>
        <v/>
      </c>
      <c r="BM55" s="57">
        <f>$BM54+$BK55</f>
        <v/>
      </c>
      <c r="BN55" s="57">
        <f>SUMIFS(tblFleet[Operating_h],tblFleet[Date],$A55,tblFleet[Equipment_Class],"Haul Truck")</f>
        <v/>
      </c>
      <c r="BO55" s="57">
        <f>IF($B55=$B54,$BO54,0)+$BN55</f>
        <v/>
      </c>
      <c r="BP55" s="57">
        <f>$BP54+$BN55</f>
        <v/>
      </c>
      <c r="BQ55" s="67">
        <f>IFERROR(IF(($BH55)&gt;0,($BK55)/($BH55),""),"")</f>
        <v/>
      </c>
      <c r="BR55" s="67">
        <f>IFERROR(IF(($BI55)&gt;0,($BL55)/($BI55),""),"")</f>
        <v/>
      </c>
      <c r="BS55" s="67">
        <f>IFERROR(IF(($BJ55)&gt;0,($BM55)/($BJ55),""),"")</f>
        <v/>
      </c>
      <c r="BT55" s="67">
        <f>IFERROR(IF(($BK55)&gt;0,($BN55)/($BK55),""),"")</f>
        <v/>
      </c>
      <c r="BU55" s="67">
        <f>IFERROR(IF(($BL55)&gt;0,($BO55)/($BL55),""),"")</f>
        <v/>
      </c>
      <c r="BV55" s="67">
        <f>IFERROR(IF(($BM55)&gt;0,($BP55)/($BM55),""),"")</f>
        <v/>
      </c>
      <c r="BW55" s="55">
        <f>SUMIFS(tblPlant[Crushed_t],tblPlant[Date],$A55)</f>
        <v/>
      </c>
      <c r="BX55" s="55">
        <f>IF($B55=$B54,$BX54,0)+$BW55</f>
        <v/>
      </c>
      <c r="BY55" s="55">
        <f>$BY54+$BW55</f>
        <v/>
      </c>
      <c r="BZ55" s="55">
        <f>SUMIFS(tblPlant[Milled_t],tblPlant[Date],$A55)</f>
        <v/>
      </c>
      <c r="CA55" s="55">
        <f>IF($B55=$B54,$CA54,0)+$BZ55</f>
        <v/>
      </c>
      <c r="CB55" s="55">
        <f>$CB54+$BZ55</f>
        <v/>
      </c>
      <c r="CC55" s="55">
        <f>SUMIFS(tblPlant[Feed_oz],tblPlant[Date],$A55)</f>
        <v/>
      </c>
      <c r="CD55" s="55">
        <f>IF($B55=$B54,$CD54,0)+$CC55</f>
        <v/>
      </c>
      <c r="CE55" s="55">
        <f>$CE54+$CC55</f>
        <v/>
      </c>
      <c r="CF55" s="55">
        <f>SUMIFS(tblPlant[Tails_oz],tblPlant[Date],$A55)</f>
        <v/>
      </c>
      <c r="CG55" s="55">
        <f>IF($B55=$B54,$CG54,0)+$CF55</f>
        <v/>
      </c>
      <c r="CH55" s="55">
        <f>$CH54+$CF55</f>
        <v/>
      </c>
      <c r="CI55" s="55">
        <f>SUMIFS(tblPlant[Recovered_oz],tblPlant[Date],$A55)</f>
        <v/>
      </c>
      <c r="CJ55" s="55">
        <f>IF($B55=$B54,$CJ54,0)+$CI55</f>
        <v/>
      </c>
      <c r="CK55" s="55">
        <f>$CK54+$CI55</f>
        <v/>
      </c>
      <c r="CL55" s="56">
        <f>IFERROR(IF(($BZ55)&gt;0,($CC55*cfg_TroyOz)/($BZ55),""),"")</f>
        <v/>
      </c>
      <c r="CM55" s="56">
        <f>IFERROR(IF(($CA55)&gt;0,($CD55*cfg_TroyOz)/($CA55),""),"")</f>
        <v/>
      </c>
      <c r="CN55" s="56">
        <f>IFERROR(IF(($CB55)&gt;0,($CE55*cfg_TroyOz)/($CB55),""),"")</f>
        <v/>
      </c>
      <c r="CO55" s="56">
        <f>IFERROR(IF(($BZ55)&gt;0,($CF55*cfg_TroyOz)/($BZ55),""),"")</f>
        <v/>
      </c>
      <c r="CP55" s="56">
        <f>IFERROR(IF(($CA55)&gt;0,($CG55*cfg_TroyOz)/($CA55),""),"")</f>
        <v/>
      </c>
      <c r="CQ55" s="56">
        <f>IFERROR(IF(($CB55)&gt;0,($CH55*cfg_TroyOz)/($CB55),""),"")</f>
        <v/>
      </c>
      <c r="CR55" s="67">
        <f>IFERROR(IF(($CC55)&gt;0,($CI55)/($CC55),""),"")</f>
        <v/>
      </c>
      <c r="CS55" s="67">
        <f>IFERROR(IF(($CD55)&gt;0,($CJ55)/($CD55),""),"")</f>
        <v/>
      </c>
      <c r="CT55" s="67">
        <f>IFERROR(IF(($CE55)&gt;0,($CK55)/($CE55),""),"")</f>
        <v/>
      </c>
      <c r="CU55" s="55">
        <f>SUMIFS(tblPlant[Gravity_Gold_oz],tblPlant[Date],$A55)</f>
        <v/>
      </c>
      <c r="CV55" s="55">
        <f>IF($B55=$B54,$CV54,0)+$CU55</f>
        <v/>
      </c>
      <c r="CW55" s="55">
        <f>$CW54+$CU55</f>
        <v/>
      </c>
      <c r="CX55" s="55">
        <f>SUMIFS(tblPlant[Gold_Poured_oz],tblPlant[Date],$A55)</f>
        <v/>
      </c>
      <c r="CY55" s="55">
        <f>IF($B55=$B54,$CY54,0)+$CX55</f>
        <v/>
      </c>
      <c r="CZ55" s="55">
        <f>$CZ54+$CX55</f>
        <v/>
      </c>
      <c r="DA55" s="57">
        <f>SUMIFS(tblPlant[Mill_Run_h],tblPlant[Date],$A55)</f>
        <v/>
      </c>
      <c r="DB55" s="57">
        <f>IF($B55=$B54,$DB54,0)+$DA55</f>
        <v/>
      </c>
      <c r="DC55" s="57">
        <f>$DC54+$DA55</f>
        <v/>
      </c>
      <c r="DD55" s="57">
        <f>SUMIFS(tblPlant[Mill_Planned_Maint_h],tblPlant[Date],$A55)</f>
        <v/>
      </c>
      <c r="DE55" s="57">
        <f>IF($B55=$B54,$DE54,0)+$DD55</f>
        <v/>
      </c>
      <c r="DF55" s="57">
        <f>$DF54+$DD55</f>
        <v/>
      </c>
      <c r="DG55" s="57">
        <f>SUMIFS(tblPlant[Mill_Unplanned_Down_h],tblPlant[Date],$A55)</f>
        <v/>
      </c>
      <c r="DH55" s="57">
        <f>IF($B55=$B54,$DH54,0)+$DG55</f>
        <v/>
      </c>
      <c r="DI55" s="57">
        <f>$DI54+$DG55</f>
        <v/>
      </c>
      <c r="DJ55" s="57">
        <f>COUNTIFS(tblPlant[Date],$A55,tblPlant[Mill_Run_h],"&lt;&gt;")*24</f>
        <v/>
      </c>
      <c r="DK55" s="57">
        <f>IF($B55=$B54,$DK54,0)+$DJ55</f>
        <v/>
      </c>
      <c r="DL55" s="57">
        <f>$DL54+$DJ55</f>
        <v/>
      </c>
      <c r="DM55" s="57">
        <f>SUMIFS(tblPlant[Crusher_Run_h],tblPlant[Date],$A55)</f>
        <v/>
      </c>
      <c r="DN55" s="57">
        <f>IF($B55=$B54,$DN54,0)+$DM55</f>
        <v/>
      </c>
      <c r="DO55" s="57">
        <f>$DO54+$DM55</f>
        <v/>
      </c>
      <c r="DP55" s="55">
        <f>IFERROR(IF(($DA55)&gt;0,($BZ55)/($DA55),""),"")</f>
        <v/>
      </c>
      <c r="DQ55" s="55">
        <f>IFERROR(IF(($DB55)&gt;0,($CA55)/($DB55),""),"")</f>
        <v/>
      </c>
      <c r="DR55" s="55">
        <f>IFERROR(IF(($DC55)&gt;0,($CB55)/($DC55),""),"")</f>
        <v/>
      </c>
      <c r="DS55" s="67">
        <f>IFERROR(IF(($DJ55)&gt;0,($DJ55-$DD55-$DG55)/($DJ55),""),"")</f>
        <v/>
      </c>
      <c r="DT55" s="67">
        <f>IFERROR(IF(($DK55)&gt;0,($DK55-$DE55-$DH55)/($DK55),""),"")</f>
        <v/>
      </c>
      <c r="DU55" s="67">
        <f>IFERROR(IF(($DL55)&gt;0,($DL55-$DF55-$DI55)/($DL55),""),"")</f>
        <v/>
      </c>
      <c r="DV55" s="67">
        <f>IFERROR(IF(($DJ55-$DD55-$DG55)&gt;0,($DA55)/($DJ55-$DD55-$DG55),""),"")</f>
        <v/>
      </c>
      <c r="DW55" s="67">
        <f>IFERROR(IF(($DK55-$DE55-$DH55)&gt;0,($DB55)/($DK55-$DE55-$DH55),""),"")</f>
        <v/>
      </c>
      <c r="DX55" s="67">
        <f>IFERROR(IF(($DL55-$DF55-$DI55)&gt;0,($DC55)/($DL55-$DF55-$DI55),""),"")</f>
        <v/>
      </c>
      <c r="DY55" s="55">
        <f>SUMIFS(tblPlant[Cyanide_kg],tblPlant[Date],$A55)</f>
        <v/>
      </c>
      <c r="DZ55" s="55">
        <f>IF($B55=$B54,$DZ54,0)+$DY55</f>
        <v/>
      </c>
      <c r="EA55" s="55">
        <f>$EA54+$DY55</f>
        <v/>
      </c>
      <c r="EB55" s="55">
        <f>SUMIFS(tblPlant[Lime_kg],tblPlant[Date],$A55)</f>
        <v/>
      </c>
      <c r="EC55" s="55">
        <f>IF($B55=$B54,$EC54,0)+$EB55</f>
        <v/>
      </c>
      <c r="ED55" s="55">
        <f>$ED54+$EB55</f>
        <v/>
      </c>
      <c r="EE55" s="55">
        <f>SUMIFS(tblPlant[Grinding_Media_kg],tblPlant[Date],$A55)</f>
        <v/>
      </c>
      <c r="EF55" s="55">
        <f>IF($B55=$B54,$EF54,0)+$EE55</f>
        <v/>
      </c>
      <c r="EG55" s="55">
        <f>$EG54+$EE55</f>
        <v/>
      </c>
      <c r="EH55" s="55">
        <f>SUMIFS(tblPlant[Power_kWh],tblPlant[Date],$A55)</f>
        <v/>
      </c>
      <c r="EI55" s="55">
        <f>IF($B55=$B54,$EI54,0)+$EH55</f>
        <v/>
      </c>
      <c r="EJ55" s="55">
        <f>$EJ54+$EH55</f>
        <v/>
      </c>
      <c r="EK55" s="55">
        <f>SUMIFS(tblPlant[Raw_Water_m3],tblPlant[Date],$A55)</f>
        <v/>
      </c>
      <c r="EL55" s="55">
        <f>IF($B55=$B54,$EL54,0)+$EK55</f>
        <v/>
      </c>
      <c r="EM55" s="55">
        <f>$EM54+$EK55</f>
        <v/>
      </c>
      <c r="EN55" s="56">
        <f>IFERROR(IF(($BZ55)&gt;0,($DY55)/($BZ55),""),"")</f>
        <v/>
      </c>
      <c r="EO55" s="56">
        <f>IFERROR(IF(($CA55)&gt;0,($DZ55)/($CA55),""),"")</f>
        <v/>
      </c>
      <c r="EP55" s="56">
        <f>IFERROR(IF(($CB55)&gt;0,($EA55)/($CB55),""),"")</f>
        <v/>
      </c>
      <c r="EQ55" s="56">
        <f>IFERROR(IF(($BZ55)&gt;0,($EB55)/($BZ55),""),"")</f>
        <v/>
      </c>
      <c r="ER55" s="56">
        <f>IFERROR(IF(($CA55)&gt;0,($EC55)/($CA55),""),"")</f>
        <v/>
      </c>
      <c r="ES55" s="56">
        <f>IFERROR(IF(($CB55)&gt;0,($ED55)/($CB55),""),"")</f>
        <v/>
      </c>
      <c r="ET55" s="56">
        <f>IFERROR(IF(($BZ55)&gt;0,($EE55)/($BZ55),""),"")</f>
        <v/>
      </c>
      <c r="EU55" s="56">
        <f>IFERROR(IF(($CA55)&gt;0,($EF55)/($CA55),""),"")</f>
        <v/>
      </c>
      <c r="EV55" s="56">
        <f>IFERROR(IF(($CB55)&gt;0,($EG55)/($CB55),""),"")</f>
        <v/>
      </c>
      <c r="EW55" s="76">
        <f>IFERROR(IF(($BZ55)&gt;0,($EH55)/($BZ55),""),"")</f>
        <v/>
      </c>
      <c r="EX55" s="76">
        <f>IFERROR(IF(($CA55)&gt;0,($EI55)/($CA55),""),"")</f>
        <v/>
      </c>
      <c r="EY55" s="76">
        <f>IFERROR(IF(($CB55)&gt;0,($EJ55)/($CB55),""),"")</f>
        <v/>
      </c>
      <c r="EZ55" s="56">
        <f>IFERROR(IF(($BZ55)&gt;0,($EK55)/($BZ55),""),"")</f>
        <v/>
      </c>
      <c r="FA55" s="56">
        <f>IFERROR(IF(($CA55)&gt;0,($EL55)/($CA55),""),"")</f>
        <v/>
      </c>
      <c r="FB55" s="56">
        <f>IFERROR(IF(($CB55)&gt;0,($EM55)/($CB55),""),"")</f>
        <v/>
      </c>
      <c r="FC55" s="55">
        <f>IF(SUMIFS(tblPlant[GIC_oz],tblPlant[Date],$A55)&gt;0,SUMIFS(tblPlant[GIC_oz],tblPlant[Date],$A55),"")</f>
        <v/>
      </c>
      <c r="FD55" s="55">
        <f>SUMIFS(tblGold[Gold_oz],tblGold[Date],$A55,tblGold[Type],"Shipment")</f>
        <v/>
      </c>
      <c r="FE55" s="55">
        <f>IF($B55=$B54,$FE54,0)+$FD55</f>
        <v/>
      </c>
      <c r="FF55" s="55">
        <f>$FF54+$FD55</f>
        <v/>
      </c>
      <c r="FG55" s="55">
        <f>SUMIFS(tblGold[Gold_oz],tblGold[Date],$A55,tblGold[Type],"Sale")</f>
        <v/>
      </c>
      <c r="FH55" s="55">
        <f>IF($B55=$B54,$FH54,0)+$FG55</f>
        <v/>
      </c>
      <c r="FI55" s="55">
        <f>$FI54+$FG55</f>
        <v/>
      </c>
      <c r="FJ55" s="55">
        <f>SUMIFS(tblGold[Dore_kg],tblGold[Date],$A55,tblGold[Type],"Shipment")</f>
        <v/>
      </c>
      <c r="FK55" s="55">
        <f>IF($B55=$B54,$FK54,0)+$FJ55</f>
        <v/>
      </c>
      <c r="FL55" s="55">
        <f>$FL54+$FJ55</f>
        <v/>
      </c>
      <c r="FM55" s="57">
        <f>SUMIFS(tblSafety[Hours_Total],tblSafety[Date],$A55)</f>
        <v/>
      </c>
      <c r="FN55" s="57">
        <f>IF($B55=$B54,$FN54,0)+$FM55</f>
        <v/>
      </c>
      <c r="FO55" s="57">
        <f>$FO54+$FM55</f>
        <v/>
      </c>
      <c r="FP55" s="62">
        <f>SUMIFS(tblSafety[Fatality],tblSafety[Date],$A55)</f>
        <v/>
      </c>
      <c r="FQ55" s="62">
        <f>IF($B55=$B54,$FQ54,0)+$FP55</f>
        <v/>
      </c>
      <c r="FR55" s="62">
        <f>$FR54+$FP55</f>
        <v/>
      </c>
      <c r="FS55" s="62">
        <f>SUMIFS(tblSafety[LTI],tblSafety[Date],$A55)</f>
        <v/>
      </c>
      <c r="FT55" s="62">
        <f>IF($B55=$B54,$FT54,0)+$FS55</f>
        <v/>
      </c>
      <c r="FU55" s="62">
        <f>$FU54+$FS55</f>
        <v/>
      </c>
      <c r="FV55" s="62">
        <f>SUMIFS(tblSafety[RWI],tblSafety[Date],$A55)</f>
        <v/>
      </c>
      <c r="FW55" s="62">
        <f>IF($B55=$B54,$FW54,0)+$FV55</f>
        <v/>
      </c>
      <c r="FX55" s="62">
        <f>$FX54+$FV55</f>
        <v/>
      </c>
      <c r="FY55" s="62">
        <f>SUMIFS(tblSafety[MTI],tblSafety[Date],$A55)</f>
        <v/>
      </c>
      <c r="FZ55" s="62">
        <f>IF($B55=$B54,$FZ54,0)+$FY55</f>
        <v/>
      </c>
      <c r="GA55" s="62">
        <f>$GA54+$FY55</f>
        <v/>
      </c>
      <c r="GB55" s="62">
        <f>SUMIFS(tblSafety[FAI],tblSafety[Date],$A55)</f>
        <v/>
      </c>
      <c r="GC55" s="62">
        <f>IF($B55=$B54,$GC54,0)+$GB55</f>
        <v/>
      </c>
      <c r="GD55" s="62">
        <f>$GD54+$GB55</f>
        <v/>
      </c>
      <c r="GE55" s="62">
        <f>SUMIFS(tblSafety[Recordables],tblSafety[Date],$A55)</f>
        <v/>
      </c>
      <c r="GF55" s="62">
        <f>IF($B55=$B54,$GF54,0)+$GE55</f>
        <v/>
      </c>
      <c r="GG55" s="62">
        <f>$GG54+$GE55</f>
        <v/>
      </c>
      <c r="GH55" s="62">
        <f>SUMIFS(tblSafety[Near_Miss],tblSafety[Date],$A55)</f>
        <v/>
      </c>
      <c r="GI55" s="62">
        <f>IF($B55=$B54,$GI54,0)+$GH55</f>
        <v/>
      </c>
      <c r="GJ55" s="62">
        <f>$GJ54+$GH55</f>
        <v/>
      </c>
      <c r="GK55" s="62">
        <f>SUMIFS(tblSafety[Hazard_Reports],tblSafety[Date],$A55)</f>
        <v/>
      </c>
      <c r="GL55" s="62">
        <f>IF($B55=$B54,$GL54,0)+$GK55</f>
        <v/>
      </c>
      <c r="GM55" s="62">
        <f>$GM54+$GK55</f>
        <v/>
      </c>
      <c r="GN55" s="62">
        <f>SUMIFS(tblSafety[HPI],tblSafety[Date],$A55)</f>
        <v/>
      </c>
      <c r="GO55" s="62">
        <f>IF($B55=$B54,$GO54,0)+$GN55</f>
        <v/>
      </c>
      <c r="GP55" s="62">
        <f>$GP54+$GN55</f>
        <v/>
      </c>
      <c r="GQ55" s="62">
        <f>SUMIFS(tblSafety[Env_Incidents],tblSafety[Date],$A55)</f>
        <v/>
      </c>
      <c r="GR55" s="62">
        <f>IF($B55=$B54,$GR54,0)+$GQ55</f>
        <v/>
      </c>
      <c r="GS55" s="62">
        <f>$GS54+$GQ55</f>
        <v/>
      </c>
      <c r="GT55" s="62">
        <f>SUMIFS(tblSafety[Community_Incidents],tblSafety[Date],$A55)</f>
        <v/>
      </c>
      <c r="GU55" s="62">
        <f>IF($B55=$B54,$GU54,0)+$GT55</f>
        <v/>
      </c>
      <c r="GV55" s="62">
        <f>$GV54+$GT55</f>
        <v/>
      </c>
      <c r="GW55" s="62">
        <f>SUMIFS(tblSafety[Vehicle_Incidents],tblSafety[Date],$A55)</f>
        <v/>
      </c>
      <c r="GX55" s="62">
        <f>IF($B55=$B54,$GX54,0)+$GW55</f>
        <v/>
      </c>
      <c r="GY55" s="62">
        <f>$GY54+$GW55</f>
        <v/>
      </c>
      <c r="GZ55" s="62">
        <f>SUMIFS(tblSafety[Toolbox_Talks],tblSafety[Date],$A55)</f>
        <v/>
      </c>
      <c r="HA55" s="62">
        <f>IF($B55=$B54,$HA54,0)+$GZ55</f>
        <v/>
      </c>
      <c r="HB55" s="62">
        <f>$HB54+$GZ55</f>
        <v/>
      </c>
      <c r="HC55" s="62">
        <f>SUMIFS(tblSafety[Inspections],tblSafety[Date],$A55)</f>
        <v/>
      </c>
      <c r="HD55" s="62">
        <f>IF($B55=$B54,$HD54,0)+$HC55</f>
        <v/>
      </c>
      <c r="HE55" s="62">
        <f>$HE54+$HC55</f>
        <v/>
      </c>
      <c r="HF55" s="56">
        <f>IFERROR((SUMIFS(tblSafety[Recordables],tblSafety[Date],"&gt;="&amp;EDATE($E55,-12),tblSafety[Date],"&lt;="&amp;$A55)+SUMIFS(tblSafetyHistory[Recordables],tblSafetyHistory[Month],"&gt;="&amp;EDATE($E55,-12),tblSafetyHistory[Month],"&lt;"&amp;cfg_YearStart))/(SUMIFS(tblSafety[Hours_Total],tblSafety[Date],"&gt;="&amp;EDATE($E55,-12),tblSafety[Date],"&lt;="&amp;$A55)+SUMIFS(tblSafetyHistory[Hours_Total],tblSafetyHistory[Month],"&gt;="&amp;EDATE($E55,-12),tblSafetyHistory[Month],"&lt;"&amp;cfg_YearStart))*1000000,"")</f>
        <v/>
      </c>
      <c r="HG55" s="56">
        <f>IFERROR((SUMIFS(tblSafety[LTI],tblSafety[Date],"&gt;="&amp;EDATE($E55,-12),tblSafety[Date],"&lt;="&amp;$A55)+SUMIFS(tblSafetyHistory[LTI],tblSafetyHistory[Month],"&gt;="&amp;EDATE($E55,-12),tblSafetyHistory[Month],"&lt;"&amp;cfg_YearStart))/(SUMIFS(tblSafety[Hours_Total],tblSafety[Date],"&gt;="&amp;EDATE($E55,-12),tblSafety[Date],"&lt;="&amp;$A55)+SUMIFS(tblSafetyHistory[Hours_Total],tblSafetyHistory[Month],"&gt;="&amp;EDATE($E55,-12),tblSafetyHistory[Month],"&lt;"&amp;cfg_YearStart))*1000000,"")</f>
        <v/>
      </c>
      <c r="HH55" s="62">
        <f>IF(MAX(N(cfg_PriorLTIDate),_xlfn.MAXIFS(tblSafety[Date],tblSafety[LTI],"&gt;0",tblSafety[Date],"&lt;="&amp;$A55))=0,"",$A55-MAX(N(cfg_PriorLTIDate),_xlfn.MAXIFS(tblSafety[Date],tblSafety[LTI],"&gt;0",tblSafety[Date],"&lt;="&amp;$A55)))</f>
        <v/>
      </c>
      <c r="HI55" s="55">
        <f>SUMIFS(tblBudget[Ore_Mined_t],tblBudget[Month],$E55)</f>
        <v/>
      </c>
      <c r="HJ55" s="55">
        <f>$HI55*$C55/$D55</f>
        <v/>
      </c>
      <c r="HK55" s="55">
        <f>SUMIFS(tblBudget[Ore_Mined_t],tblBudget[Month],"&lt;"&amp;$E55)+$HJ55</f>
        <v/>
      </c>
      <c r="HL55" s="55">
        <f>SUMIFS(tblBudget[Ore_oz],tblBudget[Month],$E55)</f>
        <v/>
      </c>
      <c r="HM55" s="55">
        <f>$HL55*$C55/$D55</f>
        <v/>
      </c>
      <c r="HN55" s="55">
        <f>SUMIFS(tblBudget[Ore_oz],tblBudget[Month],"&lt;"&amp;$E55)+$HM55</f>
        <v/>
      </c>
      <c r="HO55" s="56">
        <f>IFERROR(IF(($HI55)&gt;0,($HL55*cfg_TroyOz)/($HI55),""),"")</f>
        <v/>
      </c>
      <c r="HP55" s="56">
        <f>IFERROR(IF(($HJ55)&gt;0,($HM55*cfg_TroyOz)/($HJ55),""),"")</f>
        <v/>
      </c>
      <c r="HQ55" s="56">
        <f>IFERROR(IF(($HK55)&gt;0,($HN55*cfg_TroyOz)/($HK55),""),"")</f>
        <v/>
      </c>
      <c r="HR55" s="55">
        <f>SUMIFS(tblBudget[Waste_t],tblBudget[Month],$E55)</f>
        <v/>
      </c>
      <c r="HS55" s="55">
        <f>$HR55*$C55/$D55</f>
        <v/>
      </c>
      <c r="HT55" s="55">
        <f>SUMIFS(tblBudget[Waste_t],tblBudget[Month],"&lt;"&amp;$E55)+$HS55</f>
        <v/>
      </c>
      <c r="HU55" s="55">
        <f>SUMIFS(tblBudget[TMM_t],tblBudget[Month],$E55)</f>
        <v/>
      </c>
      <c r="HV55" s="55">
        <f>$HU55*$C55/$D55</f>
        <v/>
      </c>
      <c r="HW55" s="55">
        <f>SUMIFS(tblBudget[TMM_t],tblBudget[Month],"&lt;"&amp;$E55)+$HV55</f>
        <v/>
      </c>
      <c r="HX55" s="56">
        <f>IFERROR(IF(($HI55)&gt;0,($HR55)/($HI55),""),"")</f>
        <v/>
      </c>
      <c r="HY55" s="56">
        <f>IFERROR(IF(($HJ55)&gt;0,($HS55)/($HJ55),""),"")</f>
        <v/>
      </c>
      <c r="HZ55" s="56">
        <f>IFERROR(IF(($HK55)&gt;0,($HT55)/($HK55),""),"")</f>
        <v/>
      </c>
      <c r="IA55" s="55">
        <f>SUMIFS(tblBudget[Drill_m],tblBudget[Month],$E55)</f>
        <v/>
      </c>
      <c r="IB55" s="55">
        <f>$IA55*$C55/$D55</f>
        <v/>
      </c>
      <c r="IC55" s="55">
        <f>SUMIFS(tblBudget[Drill_m],tblBudget[Month],"&lt;"&amp;$E55)+$IB55</f>
        <v/>
      </c>
      <c r="ID55" s="55">
        <f>SUMIFS(tblBudget[Diesel_L],tblBudget[Month],$E55)</f>
        <v/>
      </c>
      <c r="IE55" s="55">
        <f>$ID55*$C55/$D55</f>
        <v/>
      </c>
      <c r="IF55" s="55">
        <f>SUMIFS(tblBudget[Diesel_L],tblBudget[Month],"&lt;"&amp;$E55)+$IE55</f>
        <v/>
      </c>
      <c r="IG55" s="55">
        <f>SUMIFS(tblBudget[Milled_t],tblBudget[Month],$E55)</f>
        <v/>
      </c>
      <c r="IH55" s="55">
        <f>$IG55*$C55/$D55</f>
        <v/>
      </c>
      <c r="II55" s="55">
        <f>SUMIFS(tblBudget[Milled_t],tblBudget[Month],"&lt;"&amp;$E55)+$IH55</f>
        <v/>
      </c>
      <c r="IJ55" s="55">
        <f>SUMIFS(tblBudget[Feed_oz],tblBudget[Month],$E55)</f>
        <v/>
      </c>
      <c r="IK55" s="55">
        <f>$IJ55*$C55/$D55</f>
        <v/>
      </c>
      <c r="IL55" s="55">
        <f>SUMIFS(tblBudget[Feed_oz],tblBudget[Month],"&lt;"&amp;$E55)+$IK55</f>
        <v/>
      </c>
      <c r="IM55" s="55">
        <f>SUMIFS(tblBudget[Recovered_oz],tblBudget[Month],$E55)</f>
        <v/>
      </c>
      <c r="IN55" s="55">
        <f>$IM55*$C55/$D55</f>
        <v/>
      </c>
      <c r="IO55" s="55">
        <f>SUMIFS(tblBudget[Recovered_oz],tblBudget[Month],"&lt;"&amp;$E55)+$IN55</f>
        <v/>
      </c>
      <c r="IP55" s="56">
        <f>IFERROR(IF(($IG55)&gt;0,($IJ55*cfg_TroyOz)/($IG55),""),"")</f>
        <v/>
      </c>
      <c r="IQ55" s="56">
        <f>IFERROR(IF(($IH55)&gt;0,($IK55*cfg_TroyOz)/($IH55),""),"")</f>
        <v/>
      </c>
      <c r="IR55" s="56">
        <f>IFERROR(IF(($II55)&gt;0,($IL55*cfg_TroyOz)/($II55),""),"")</f>
        <v/>
      </c>
      <c r="IS55" s="67">
        <f>IFERROR(IF(($IJ55)&gt;0,($IM55)/($IJ55),""),"")</f>
        <v/>
      </c>
      <c r="IT55" s="67">
        <f>IFERROR(IF(($IK55)&gt;0,($IN55)/($IK55),""),"")</f>
        <v/>
      </c>
      <c r="IU55" s="67">
        <f>IFERROR(IF(($IL55)&gt;0,($IO55)/($IL55),""),"")</f>
        <v/>
      </c>
      <c r="IV55" s="55">
        <f>SUMIFS(tblBudget[Gold_Poured_oz],tblBudget[Month],$E55)</f>
        <v/>
      </c>
      <c r="IW55" s="55">
        <f>$IV55*$C55/$D55</f>
        <v/>
      </c>
      <c r="IX55" s="55">
        <f>SUMIFS(tblBudget[Gold_Poured_oz],tblBudget[Month],"&lt;"&amp;$E55)+$IW55</f>
        <v/>
      </c>
      <c r="IY55" s="57">
        <f>SUMIFS(tblBudget[Hours_Worked],tblBudget[Month],$E55)</f>
        <v/>
      </c>
      <c r="IZ55" s="57">
        <f>$IY55*$C55/$D55</f>
        <v/>
      </c>
      <c r="JA55" s="57">
        <f>SUMIFS(tblBudget[Hours_Worked],tblBudget[Month],"&lt;"&amp;$E55)+$IZ55</f>
        <v/>
      </c>
    </row>
    <row r="56">
      <c r="A56" s="54" t="n">
        <v>46077</v>
      </c>
      <c r="B56">
        <f>MONTH($A56)</f>
        <v/>
      </c>
      <c r="C56">
        <f>DAY($A56)</f>
        <v/>
      </c>
      <c r="D56">
        <f>DAY(EOMONTH($A56,0))</f>
        <v/>
      </c>
      <c r="E56" s="54">
        <f>DATE(YEAR($A56),MONTH($A56),1)</f>
        <v/>
      </c>
      <c r="F56" s="55">
        <f>SUMIFS(tblMovement[Tonnes_t],tblMovement[Date],$A56,tblMovement[Is_Ore],1,tblMovement[Source_Type],"Pit")</f>
        <v/>
      </c>
      <c r="G56" s="55">
        <f>IF($B56=$B55,$G55,0)+$F56</f>
        <v/>
      </c>
      <c r="H56" s="55">
        <f>$H55+$F56</f>
        <v/>
      </c>
      <c r="I56" s="55">
        <f>SUMIFS(tblMovement[Ore_oz],tblMovement[Date],$A56,tblMovement[Source_Type],"Pit")</f>
        <v/>
      </c>
      <c r="J56" s="55">
        <f>IF($B56=$B55,$J55,0)+$I56</f>
        <v/>
      </c>
      <c r="K56" s="55">
        <f>$K55+$I56</f>
        <v/>
      </c>
      <c r="L56" s="56">
        <f>IFERROR(IF(($F56)&gt;0,($I56*cfg_TroyOz)/($F56),""),"")</f>
        <v/>
      </c>
      <c r="M56" s="56">
        <f>IFERROR(IF(($G56)&gt;0,($J56*cfg_TroyOz)/($G56),""),"")</f>
        <v/>
      </c>
      <c r="N56" s="56">
        <f>IFERROR(IF(($H56)&gt;0,($K56*cfg_TroyOz)/($H56),""),"")</f>
        <v/>
      </c>
      <c r="O56" s="55">
        <f>SUMIFS(tblMovement[Tonnes_t],tblMovement[Date],$A56,tblMovement[Is_Ore],0,tblMovement[Source_Type],"Pit")</f>
        <v/>
      </c>
      <c r="P56" s="55">
        <f>IF($B56=$B55,$P55,0)+$O56</f>
        <v/>
      </c>
      <c r="Q56" s="55">
        <f>$Q55+$O56</f>
        <v/>
      </c>
      <c r="R56" s="55">
        <f>$F56+$O56</f>
        <v/>
      </c>
      <c r="S56" s="55">
        <f>IF($B56=$B55,$S55,0)+$R56</f>
        <v/>
      </c>
      <c r="T56" s="55">
        <f>$T55+$R56</f>
        <v/>
      </c>
      <c r="U56" s="56">
        <f>IFERROR(IF(($F56)&gt;0,($O56)/($F56),""),"")</f>
        <v/>
      </c>
      <c r="V56" s="56">
        <f>IFERROR(IF(($G56)&gt;0,($P56)/($G56),""),"")</f>
        <v/>
      </c>
      <c r="W56" s="56">
        <f>IFERROR(IF(($H56)&gt;0,($Q56)/($H56),""),"")</f>
        <v/>
      </c>
      <c r="X56" s="55">
        <f>SUMIFS(tblMovement[Tonnes_t],tblMovement[Date],$A56,tblMovement[Source_Type],"Stockpile")</f>
        <v/>
      </c>
      <c r="Y56" s="55">
        <f>IF($B56=$B55,$Y55,0)+$X56</f>
        <v/>
      </c>
      <c r="Z56" s="55">
        <f>$Z55+$X56</f>
        <v/>
      </c>
      <c r="AA56" s="55">
        <f>SUMIFS(tblMiningDaily[Drill_m],tblMiningDaily[Date],$A56)</f>
        <v/>
      </c>
      <c r="AB56" s="55">
        <f>IF($B56=$B55,$AB55,0)+$AA56</f>
        <v/>
      </c>
      <c r="AC56" s="55">
        <f>$AC55+$AA56</f>
        <v/>
      </c>
      <c r="AD56" s="55">
        <f>SUMIFS(tblMiningDaily[Blast_t],tblMiningDaily[Date],$A56)</f>
        <v/>
      </c>
      <c r="AE56" s="55">
        <f>IF($B56=$B55,$AE55,0)+$AD56</f>
        <v/>
      </c>
      <c r="AF56" s="55">
        <f>$AF55+$AD56</f>
        <v/>
      </c>
      <c r="AG56" s="55">
        <f>SUMIFS(tblMiningDaily[Explosives_kg],tblMiningDaily[Date],$A56)</f>
        <v/>
      </c>
      <c r="AH56" s="55">
        <f>IF($B56=$B55,$AH55,0)+$AG56</f>
        <v/>
      </c>
      <c r="AI56" s="55">
        <f>$AI55+$AG56</f>
        <v/>
      </c>
      <c r="AJ56" s="56">
        <f>IFERROR(IF(($AD56)&gt;0,($AG56)/($AD56),""),"")</f>
        <v/>
      </c>
      <c r="AK56" s="56">
        <f>IFERROR(IF(($AE56)&gt;0,($AH56)/($AE56),""),"")</f>
        <v/>
      </c>
      <c r="AL56" s="56">
        <f>IFERROR(IF(($AF56)&gt;0,($AI56)/($AF56),""),"")</f>
        <v/>
      </c>
      <c r="AM56" s="55">
        <f>SUMIFS(tblMiningDaily[Diesel_L],tblMiningDaily[Date],$A56)</f>
        <v/>
      </c>
      <c r="AN56" s="55">
        <f>IF($B56=$B55,$AN55,0)+$AM56</f>
        <v/>
      </c>
      <c r="AO56" s="55">
        <f>$AO55+$AM56</f>
        <v/>
      </c>
      <c r="AP56" s="55">
        <f>SUMIFS(tblMiningDaily[Dewatering_m3],tblMiningDaily[Date],$A56)</f>
        <v/>
      </c>
      <c r="AQ56" s="55">
        <f>IF($B56=$B55,$AQ55,0)+$AP56</f>
        <v/>
      </c>
      <c r="AR56" s="55">
        <f>$AR55+$AP56</f>
        <v/>
      </c>
      <c r="AS56" s="57">
        <f>SUMIFS(tblFleet[Calendar_h],tblFleet[Date],$A56,tblFleet[Equipment_Class],"Excavator")</f>
        <v/>
      </c>
      <c r="AT56" s="57">
        <f>IF($B56=$B55,$AT55,0)+$AS56</f>
        <v/>
      </c>
      <c r="AU56" s="57">
        <f>$AU55+$AS56</f>
        <v/>
      </c>
      <c r="AV56" s="57">
        <f>SUMIFS(tblFleet[Available_h],tblFleet[Date],$A56,tblFleet[Equipment_Class],"Excavator")</f>
        <v/>
      </c>
      <c r="AW56" s="57">
        <f>IF($B56=$B55,$AW55,0)+$AV56</f>
        <v/>
      </c>
      <c r="AX56" s="57">
        <f>$AX55+$AV56</f>
        <v/>
      </c>
      <c r="AY56" s="57">
        <f>SUMIFS(tblFleet[Operating_h],tblFleet[Date],$A56,tblFleet[Equipment_Class],"Excavator")</f>
        <v/>
      </c>
      <c r="AZ56" s="57">
        <f>IF($B56=$B55,$AZ55,0)+$AY56</f>
        <v/>
      </c>
      <c r="BA56" s="57">
        <f>$BA55+$AY56</f>
        <v/>
      </c>
      <c r="BB56" s="67">
        <f>IFERROR(IF(($AS56)&gt;0,($AV56)/($AS56),""),"")</f>
        <v/>
      </c>
      <c r="BC56" s="67">
        <f>IFERROR(IF(($AT56)&gt;0,($AW56)/($AT56),""),"")</f>
        <v/>
      </c>
      <c r="BD56" s="67">
        <f>IFERROR(IF(($AU56)&gt;0,($AX56)/($AU56),""),"")</f>
        <v/>
      </c>
      <c r="BE56" s="67">
        <f>IFERROR(IF(($AV56)&gt;0,($AY56)/($AV56),""),"")</f>
        <v/>
      </c>
      <c r="BF56" s="67">
        <f>IFERROR(IF(($AW56)&gt;0,($AZ56)/($AW56),""),"")</f>
        <v/>
      </c>
      <c r="BG56" s="67">
        <f>IFERROR(IF(($AX56)&gt;0,($BA56)/($AX56),""),"")</f>
        <v/>
      </c>
      <c r="BH56" s="57">
        <f>SUMIFS(tblFleet[Calendar_h],tblFleet[Date],$A56,tblFleet[Equipment_Class],"Haul Truck")</f>
        <v/>
      </c>
      <c r="BI56" s="57">
        <f>IF($B56=$B55,$BI55,0)+$BH56</f>
        <v/>
      </c>
      <c r="BJ56" s="57">
        <f>$BJ55+$BH56</f>
        <v/>
      </c>
      <c r="BK56" s="57">
        <f>SUMIFS(tblFleet[Available_h],tblFleet[Date],$A56,tblFleet[Equipment_Class],"Haul Truck")</f>
        <v/>
      </c>
      <c r="BL56" s="57">
        <f>IF($B56=$B55,$BL55,0)+$BK56</f>
        <v/>
      </c>
      <c r="BM56" s="57">
        <f>$BM55+$BK56</f>
        <v/>
      </c>
      <c r="BN56" s="57">
        <f>SUMIFS(tblFleet[Operating_h],tblFleet[Date],$A56,tblFleet[Equipment_Class],"Haul Truck")</f>
        <v/>
      </c>
      <c r="BO56" s="57">
        <f>IF($B56=$B55,$BO55,0)+$BN56</f>
        <v/>
      </c>
      <c r="BP56" s="57">
        <f>$BP55+$BN56</f>
        <v/>
      </c>
      <c r="BQ56" s="67">
        <f>IFERROR(IF(($BH56)&gt;0,($BK56)/($BH56),""),"")</f>
        <v/>
      </c>
      <c r="BR56" s="67">
        <f>IFERROR(IF(($BI56)&gt;0,($BL56)/($BI56),""),"")</f>
        <v/>
      </c>
      <c r="BS56" s="67">
        <f>IFERROR(IF(($BJ56)&gt;0,($BM56)/($BJ56),""),"")</f>
        <v/>
      </c>
      <c r="BT56" s="67">
        <f>IFERROR(IF(($BK56)&gt;0,($BN56)/($BK56),""),"")</f>
        <v/>
      </c>
      <c r="BU56" s="67">
        <f>IFERROR(IF(($BL56)&gt;0,($BO56)/($BL56),""),"")</f>
        <v/>
      </c>
      <c r="BV56" s="67">
        <f>IFERROR(IF(($BM56)&gt;0,($BP56)/($BM56),""),"")</f>
        <v/>
      </c>
      <c r="BW56" s="55">
        <f>SUMIFS(tblPlant[Crushed_t],tblPlant[Date],$A56)</f>
        <v/>
      </c>
      <c r="BX56" s="55">
        <f>IF($B56=$B55,$BX55,0)+$BW56</f>
        <v/>
      </c>
      <c r="BY56" s="55">
        <f>$BY55+$BW56</f>
        <v/>
      </c>
      <c r="BZ56" s="55">
        <f>SUMIFS(tblPlant[Milled_t],tblPlant[Date],$A56)</f>
        <v/>
      </c>
      <c r="CA56" s="55">
        <f>IF($B56=$B55,$CA55,0)+$BZ56</f>
        <v/>
      </c>
      <c r="CB56" s="55">
        <f>$CB55+$BZ56</f>
        <v/>
      </c>
      <c r="CC56" s="55">
        <f>SUMIFS(tblPlant[Feed_oz],tblPlant[Date],$A56)</f>
        <v/>
      </c>
      <c r="CD56" s="55">
        <f>IF($B56=$B55,$CD55,0)+$CC56</f>
        <v/>
      </c>
      <c r="CE56" s="55">
        <f>$CE55+$CC56</f>
        <v/>
      </c>
      <c r="CF56" s="55">
        <f>SUMIFS(tblPlant[Tails_oz],tblPlant[Date],$A56)</f>
        <v/>
      </c>
      <c r="CG56" s="55">
        <f>IF($B56=$B55,$CG55,0)+$CF56</f>
        <v/>
      </c>
      <c r="CH56" s="55">
        <f>$CH55+$CF56</f>
        <v/>
      </c>
      <c r="CI56" s="55">
        <f>SUMIFS(tblPlant[Recovered_oz],tblPlant[Date],$A56)</f>
        <v/>
      </c>
      <c r="CJ56" s="55">
        <f>IF($B56=$B55,$CJ55,0)+$CI56</f>
        <v/>
      </c>
      <c r="CK56" s="55">
        <f>$CK55+$CI56</f>
        <v/>
      </c>
      <c r="CL56" s="56">
        <f>IFERROR(IF(($BZ56)&gt;0,($CC56*cfg_TroyOz)/($BZ56),""),"")</f>
        <v/>
      </c>
      <c r="CM56" s="56">
        <f>IFERROR(IF(($CA56)&gt;0,($CD56*cfg_TroyOz)/($CA56),""),"")</f>
        <v/>
      </c>
      <c r="CN56" s="56">
        <f>IFERROR(IF(($CB56)&gt;0,($CE56*cfg_TroyOz)/($CB56),""),"")</f>
        <v/>
      </c>
      <c r="CO56" s="56">
        <f>IFERROR(IF(($BZ56)&gt;0,($CF56*cfg_TroyOz)/($BZ56),""),"")</f>
        <v/>
      </c>
      <c r="CP56" s="56">
        <f>IFERROR(IF(($CA56)&gt;0,($CG56*cfg_TroyOz)/($CA56),""),"")</f>
        <v/>
      </c>
      <c r="CQ56" s="56">
        <f>IFERROR(IF(($CB56)&gt;0,($CH56*cfg_TroyOz)/($CB56),""),"")</f>
        <v/>
      </c>
      <c r="CR56" s="67">
        <f>IFERROR(IF(($CC56)&gt;0,($CI56)/($CC56),""),"")</f>
        <v/>
      </c>
      <c r="CS56" s="67">
        <f>IFERROR(IF(($CD56)&gt;0,($CJ56)/($CD56),""),"")</f>
        <v/>
      </c>
      <c r="CT56" s="67">
        <f>IFERROR(IF(($CE56)&gt;0,($CK56)/($CE56),""),"")</f>
        <v/>
      </c>
      <c r="CU56" s="55">
        <f>SUMIFS(tblPlant[Gravity_Gold_oz],tblPlant[Date],$A56)</f>
        <v/>
      </c>
      <c r="CV56" s="55">
        <f>IF($B56=$B55,$CV55,0)+$CU56</f>
        <v/>
      </c>
      <c r="CW56" s="55">
        <f>$CW55+$CU56</f>
        <v/>
      </c>
      <c r="CX56" s="55">
        <f>SUMIFS(tblPlant[Gold_Poured_oz],tblPlant[Date],$A56)</f>
        <v/>
      </c>
      <c r="CY56" s="55">
        <f>IF($B56=$B55,$CY55,0)+$CX56</f>
        <v/>
      </c>
      <c r="CZ56" s="55">
        <f>$CZ55+$CX56</f>
        <v/>
      </c>
      <c r="DA56" s="57">
        <f>SUMIFS(tblPlant[Mill_Run_h],tblPlant[Date],$A56)</f>
        <v/>
      </c>
      <c r="DB56" s="57">
        <f>IF($B56=$B55,$DB55,0)+$DA56</f>
        <v/>
      </c>
      <c r="DC56" s="57">
        <f>$DC55+$DA56</f>
        <v/>
      </c>
      <c r="DD56" s="57">
        <f>SUMIFS(tblPlant[Mill_Planned_Maint_h],tblPlant[Date],$A56)</f>
        <v/>
      </c>
      <c r="DE56" s="57">
        <f>IF($B56=$B55,$DE55,0)+$DD56</f>
        <v/>
      </c>
      <c r="DF56" s="57">
        <f>$DF55+$DD56</f>
        <v/>
      </c>
      <c r="DG56" s="57">
        <f>SUMIFS(tblPlant[Mill_Unplanned_Down_h],tblPlant[Date],$A56)</f>
        <v/>
      </c>
      <c r="DH56" s="57">
        <f>IF($B56=$B55,$DH55,0)+$DG56</f>
        <v/>
      </c>
      <c r="DI56" s="57">
        <f>$DI55+$DG56</f>
        <v/>
      </c>
      <c r="DJ56" s="57">
        <f>COUNTIFS(tblPlant[Date],$A56,tblPlant[Mill_Run_h],"&lt;&gt;")*24</f>
        <v/>
      </c>
      <c r="DK56" s="57">
        <f>IF($B56=$B55,$DK55,0)+$DJ56</f>
        <v/>
      </c>
      <c r="DL56" s="57">
        <f>$DL55+$DJ56</f>
        <v/>
      </c>
      <c r="DM56" s="57">
        <f>SUMIFS(tblPlant[Crusher_Run_h],tblPlant[Date],$A56)</f>
        <v/>
      </c>
      <c r="DN56" s="57">
        <f>IF($B56=$B55,$DN55,0)+$DM56</f>
        <v/>
      </c>
      <c r="DO56" s="57">
        <f>$DO55+$DM56</f>
        <v/>
      </c>
      <c r="DP56" s="55">
        <f>IFERROR(IF(($DA56)&gt;0,($BZ56)/($DA56),""),"")</f>
        <v/>
      </c>
      <c r="DQ56" s="55">
        <f>IFERROR(IF(($DB56)&gt;0,($CA56)/($DB56),""),"")</f>
        <v/>
      </c>
      <c r="DR56" s="55">
        <f>IFERROR(IF(($DC56)&gt;0,($CB56)/($DC56),""),"")</f>
        <v/>
      </c>
      <c r="DS56" s="67">
        <f>IFERROR(IF(($DJ56)&gt;0,($DJ56-$DD56-$DG56)/($DJ56),""),"")</f>
        <v/>
      </c>
      <c r="DT56" s="67">
        <f>IFERROR(IF(($DK56)&gt;0,($DK56-$DE56-$DH56)/($DK56),""),"")</f>
        <v/>
      </c>
      <c r="DU56" s="67">
        <f>IFERROR(IF(($DL56)&gt;0,($DL56-$DF56-$DI56)/($DL56),""),"")</f>
        <v/>
      </c>
      <c r="DV56" s="67">
        <f>IFERROR(IF(($DJ56-$DD56-$DG56)&gt;0,($DA56)/($DJ56-$DD56-$DG56),""),"")</f>
        <v/>
      </c>
      <c r="DW56" s="67">
        <f>IFERROR(IF(($DK56-$DE56-$DH56)&gt;0,($DB56)/($DK56-$DE56-$DH56),""),"")</f>
        <v/>
      </c>
      <c r="DX56" s="67">
        <f>IFERROR(IF(($DL56-$DF56-$DI56)&gt;0,($DC56)/($DL56-$DF56-$DI56),""),"")</f>
        <v/>
      </c>
      <c r="DY56" s="55">
        <f>SUMIFS(tblPlant[Cyanide_kg],tblPlant[Date],$A56)</f>
        <v/>
      </c>
      <c r="DZ56" s="55">
        <f>IF($B56=$B55,$DZ55,0)+$DY56</f>
        <v/>
      </c>
      <c r="EA56" s="55">
        <f>$EA55+$DY56</f>
        <v/>
      </c>
      <c r="EB56" s="55">
        <f>SUMIFS(tblPlant[Lime_kg],tblPlant[Date],$A56)</f>
        <v/>
      </c>
      <c r="EC56" s="55">
        <f>IF($B56=$B55,$EC55,0)+$EB56</f>
        <v/>
      </c>
      <c r="ED56" s="55">
        <f>$ED55+$EB56</f>
        <v/>
      </c>
      <c r="EE56" s="55">
        <f>SUMIFS(tblPlant[Grinding_Media_kg],tblPlant[Date],$A56)</f>
        <v/>
      </c>
      <c r="EF56" s="55">
        <f>IF($B56=$B55,$EF55,0)+$EE56</f>
        <v/>
      </c>
      <c r="EG56" s="55">
        <f>$EG55+$EE56</f>
        <v/>
      </c>
      <c r="EH56" s="55">
        <f>SUMIFS(tblPlant[Power_kWh],tblPlant[Date],$A56)</f>
        <v/>
      </c>
      <c r="EI56" s="55">
        <f>IF($B56=$B55,$EI55,0)+$EH56</f>
        <v/>
      </c>
      <c r="EJ56" s="55">
        <f>$EJ55+$EH56</f>
        <v/>
      </c>
      <c r="EK56" s="55">
        <f>SUMIFS(tblPlant[Raw_Water_m3],tblPlant[Date],$A56)</f>
        <v/>
      </c>
      <c r="EL56" s="55">
        <f>IF($B56=$B55,$EL55,0)+$EK56</f>
        <v/>
      </c>
      <c r="EM56" s="55">
        <f>$EM55+$EK56</f>
        <v/>
      </c>
      <c r="EN56" s="56">
        <f>IFERROR(IF(($BZ56)&gt;0,($DY56)/($BZ56),""),"")</f>
        <v/>
      </c>
      <c r="EO56" s="56">
        <f>IFERROR(IF(($CA56)&gt;0,($DZ56)/($CA56),""),"")</f>
        <v/>
      </c>
      <c r="EP56" s="56">
        <f>IFERROR(IF(($CB56)&gt;0,($EA56)/($CB56),""),"")</f>
        <v/>
      </c>
      <c r="EQ56" s="56">
        <f>IFERROR(IF(($BZ56)&gt;0,($EB56)/($BZ56),""),"")</f>
        <v/>
      </c>
      <c r="ER56" s="56">
        <f>IFERROR(IF(($CA56)&gt;0,($EC56)/($CA56),""),"")</f>
        <v/>
      </c>
      <c r="ES56" s="56">
        <f>IFERROR(IF(($CB56)&gt;0,($ED56)/($CB56),""),"")</f>
        <v/>
      </c>
      <c r="ET56" s="56">
        <f>IFERROR(IF(($BZ56)&gt;0,($EE56)/($BZ56),""),"")</f>
        <v/>
      </c>
      <c r="EU56" s="56">
        <f>IFERROR(IF(($CA56)&gt;0,($EF56)/($CA56),""),"")</f>
        <v/>
      </c>
      <c r="EV56" s="56">
        <f>IFERROR(IF(($CB56)&gt;0,($EG56)/($CB56),""),"")</f>
        <v/>
      </c>
      <c r="EW56" s="76">
        <f>IFERROR(IF(($BZ56)&gt;0,($EH56)/($BZ56),""),"")</f>
        <v/>
      </c>
      <c r="EX56" s="76">
        <f>IFERROR(IF(($CA56)&gt;0,($EI56)/($CA56),""),"")</f>
        <v/>
      </c>
      <c r="EY56" s="76">
        <f>IFERROR(IF(($CB56)&gt;0,($EJ56)/($CB56),""),"")</f>
        <v/>
      </c>
      <c r="EZ56" s="56">
        <f>IFERROR(IF(($BZ56)&gt;0,($EK56)/($BZ56),""),"")</f>
        <v/>
      </c>
      <c r="FA56" s="56">
        <f>IFERROR(IF(($CA56)&gt;0,($EL56)/($CA56),""),"")</f>
        <v/>
      </c>
      <c r="FB56" s="56">
        <f>IFERROR(IF(($CB56)&gt;0,($EM56)/($CB56),""),"")</f>
        <v/>
      </c>
      <c r="FC56" s="55">
        <f>IF(SUMIFS(tblPlant[GIC_oz],tblPlant[Date],$A56)&gt;0,SUMIFS(tblPlant[GIC_oz],tblPlant[Date],$A56),"")</f>
        <v/>
      </c>
      <c r="FD56" s="55">
        <f>SUMIFS(tblGold[Gold_oz],tblGold[Date],$A56,tblGold[Type],"Shipment")</f>
        <v/>
      </c>
      <c r="FE56" s="55">
        <f>IF($B56=$B55,$FE55,0)+$FD56</f>
        <v/>
      </c>
      <c r="FF56" s="55">
        <f>$FF55+$FD56</f>
        <v/>
      </c>
      <c r="FG56" s="55">
        <f>SUMIFS(tblGold[Gold_oz],tblGold[Date],$A56,tblGold[Type],"Sale")</f>
        <v/>
      </c>
      <c r="FH56" s="55">
        <f>IF($B56=$B55,$FH55,0)+$FG56</f>
        <v/>
      </c>
      <c r="FI56" s="55">
        <f>$FI55+$FG56</f>
        <v/>
      </c>
      <c r="FJ56" s="55">
        <f>SUMIFS(tblGold[Dore_kg],tblGold[Date],$A56,tblGold[Type],"Shipment")</f>
        <v/>
      </c>
      <c r="FK56" s="55">
        <f>IF($B56=$B55,$FK55,0)+$FJ56</f>
        <v/>
      </c>
      <c r="FL56" s="55">
        <f>$FL55+$FJ56</f>
        <v/>
      </c>
      <c r="FM56" s="57">
        <f>SUMIFS(tblSafety[Hours_Total],tblSafety[Date],$A56)</f>
        <v/>
      </c>
      <c r="FN56" s="57">
        <f>IF($B56=$B55,$FN55,0)+$FM56</f>
        <v/>
      </c>
      <c r="FO56" s="57">
        <f>$FO55+$FM56</f>
        <v/>
      </c>
      <c r="FP56" s="62">
        <f>SUMIFS(tblSafety[Fatality],tblSafety[Date],$A56)</f>
        <v/>
      </c>
      <c r="FQ56" s="62">
        <f>IF($B56=$B55,$FQ55,0)+$FP56</f>
        <v/>
      </c>
      <c r="FR56" s="62">
        <f>$FR55+$FP56</f>
        <v/>
      </c>
      <c r="FS56" s="62">
        <f>SUMIFS(tblSafety[LTI],tblSafety[Date],$A56)</f>
        <v/>
      </c>
      <c r="FT56" s="62">
        <f>IF($B56=$B55,$FT55,0)+$FS56</f>
        <v/>
      </c>
      <c r="FU56" s="62">
        <f>$FU55+$FS56</f>
        <v/>
      </c>
      <c r="FV56" s="62">
        <f>SUMIFS(tblSafety[RWI],tblSafety[Date],$A56)</f>
        <v/>
      </c>
      <c r="FW56" s="62">
        <f>IF($B56=$B55,$FW55,0)+$FV56</f>
        <v/>
      </c>
      <c r="FX56" s="62">
        <f>$FX55+$FV56</f>
        <v/>
      </c>
      <c r="FY56" s="62">
        <f>SUMIFS(tblSafety[MTI],tblSafety[Date],$A56)</f>
        <v/>
      </c>
      <c r="FZ56" s="62">
        <f>IF($B56=$B55,$FZ55,0)+$FY56</f>
        <v/>
      </c>
      <c r="GA56" s="62">
        <f>$GA55+$FY56</f>
        <v/>
      </c>
      <c r="GB56" s="62">
        <f>SUMIFS(tblSafety[FAI],tblSafety[Date],$A56)</f>
        <v/>
      </c>
      <c r="GC56" s="62">
        <f>IF($B56=$B55,$GC55,0)+$GB56</f>
        <v/>
      </c>
      <c r="GD56" s="62">
        <f>$GD55+$GB56</f>
        <v/>
      </c>
      <c r="GE56" s="62">
        <f>SUMIFS(tblSafety[Recordables],tblSafety[Date],$A56)</f>
        <v/>
      </c>
      <c r="GF56" s="62">
        <f>IF($B56=$B55,$GF55,0)+$GE56</f>
        <v/>
      </c>
      <c r="GG56" s="62">
        <f>$GG55+$GE56</f>
        <v/>
      </c>
      <c r="GH56" s="62">
        <f>SUMIFS(tblSafety[Near_Miss],tblSafety[Date],$A56)</f>
        <v/>
      </c>
      <c r="GI56" s="62">
        <f>IF($B56=$B55,$GI55,0)+$GH56</f>
        <v/>
      </c>
      <c r="GJ56" s="62">
        <f>$GJ55+$GH56</f>
        <v/>
      </c>
      <c r="GK56" s="62">
        <f>SUMIFS(tblSafety[Hazard_Reports],tblSafety[Date],$A56)</f>
        <v/>
      </c>
      <c r="GL56" s="62">
        <f>IF($B56=$B55,$GL55,0)+$GK56</f>
        <v/>
      </c>
      <c r="GM56" s="62">
        <f>$GM55+$GK56</f>
        <v/>
      </c>
      <c r="GN56" s="62">
        <f>SUMIFS(tblSafety[HPI],tblSafety[Date],$A56)</f>
        <v/>
      </c>
      <c r="GO56" s="62">
        <f>IF($B56=$B55,$GO55,0)+$GN56</f>
        <v/>
      </c>
      <c r="GP56" s="62">
        <f>$GP55+$GN56</f>
        <v/>
      </c>
      <c r="GQ56" s="62">
        <f>SUMIFS(tblSafety[Env_Incidents],tblSafety[Date],$A56)</f>
        <v/>
      </c>
      <c r="GR56" s="62">
        <f>IF($B56=$B55,$GR55,0)+$GQ56</f>
        <v/>
      </c>
      <c r="GS56" s="62">
        <f>$GS55+$GQ56</f>
        <v/>
      </c>
      <c r="GT56" s="62">
        <f>SUMIFS(tblSafety[Community_Incidents],tblSafety[Date],$A56)</f>
        <v/>
      </c>
      <c r="GU56" s="62">
        <f>IF($B56=$B55,$GU55,0)+$GT56</f>
        <v/>
      </c>
      <c r="GV56" s="62">
        <f>$GV55+$GT56</f>
        <v/>
      </c>
      <c r="GW56" s="62">
        <f>SUMIFS(tblSafety[Vehicle_Incidents],tblSafety[Date],$A56)</f>
        <v/>
      </c>
      <c r="GX56" s="62">
        <f>IF($B56=$B55,$GX55,0)+$GW56</f>
        <v/>
      </c>
      <c r="GY56" s="62">
        <f>$GY55+$GW56</f>
        <v/>
      </c>
      <c r="GZ56" s="62">
        <f>SUMIFS(tblSafety[Toolbox_Talks],tblSafety[Date],$A56)</f>
        <v/>
      </c>
      <c r="HA56" s="62">
        <f>IF($B56=$B55,$HA55,0)+$GZ56</f>
        <v/>
      </c>
      <c r="HB56" s="62">
        <f>$HB55+$GZ56</f>
        <v/>
      </c>
      <c r="HC56" s="62">
        <f>SUMIFS(tblSafety[Inspections],tblSafety[Date],$A56)</f>
        <v/>
      </c>
      <c r="HD56" s="62">
        <f>IF($B56=$B55,$HD55,0)+$HC56</f>
        <v/>
      </c>
      <c r="HE56" s="62">
        <f>$HE55+$HC56</f>
        <v/>
      </c>
      <c r="HF56" s="56">
        <f>IFERROR((SUMIFS(tblSafety[Recordables],tblSafety[Date],"&gt;="&amp;EDATE($E56,-12),tblSafety[Date],"&lt;="&amp;$A56)+SUMIFS(tblSafetyHistory[Recordables],tblSafetyHistory[Month],"&gt;="&amp;EDATE($E56,-12),tblSafetyHistory[Month],"&lt;"&amp;cfg_YearStart))/(SUMIFS(tblSafety[Hours_Total],tblSafety[Date],"&gt;="&amp;EDATE($E56,-12),tblSafety[Date],"&lt;="&amp;$A56)+SUMIFS(tblSafetyHistory[Hours_Total],tblSafetyHistory[Month],"&gt;="&amp;EDATE($E56,-12),tblSafetyHistory[Month],"&lt;"&amp;cfg_YearStart))*1000000,"")</f>
        <v/>
      </c>
      <c r="HG56" s="56">
        <f>IFERROR((SUMIFS(tblSafety[LTI],tblSafety[Date],"&gt;="&amp;EDATE($E56,-12),tblSafety[Date],"&lt;="&amp;$A56)+SUMIFS(tblSafetyHistory[LTI],tblSafetyHistory[Month],"&gt;="&amp;EDATE($E56,-12),tblSafetyHistory[Month],"&lt;"&amp;cfg_YearStart))/(SUMIFS(tblSafety[Hours_Total],tblSafety[Date],"&gt;="&amp;EDATE($E56,-12),tblSafety[Date],"&lt;="&amp;$A56)+SUMIFS(tblSafetyHistory[Hours_Total],tblSafetyHistory[Month],"&gt;="&amp;EDATE($E56,-12),tblSafetyHistory[Month],"&lt;"&amp;cfg_YearStart))*1000000,"")</f>
        <v/>
      </c>
      <c r="HH56" s="62">
        <f>IF(MAX(N(cfg_PriorLTIDate),_xlfn.MAXIFS(tblSafety[Date],tblSafety[LTI],"&gt;0",tblSafety[Date],"&lt;="&amp;$A56))=0,"",$A56-MAX(N(cfg_PriorLTIDate),_xlfn.MAXIFS(tblSafety[Date],tblSafety[LTI],"&gt;0",tblSafety[Date],"&lt;="&amp;$A56)))</f>
        <v/>
      </c>
      <c r="HI56" s="55">
        <f>SUMIFS(tblBudget[Ore_Mined_t],tblBudget[Month],$E56)</f>
        <v/>
      </c>
      <c r="HJ56" s="55">
        <f>$HI56*$C56/$D56</f>
        <v/>
      </c>
      <c r="HK56" s="55">
        <f>SUMIFS(tblBudget[Ore_Mined_t],tblBudget[Month],"&lt;"&amp;$E56)+$HJ56</f>
        <v/>
      </c>
      <c r="HL56" s="55">
        <f>SUMIFS(tblBudget[Ore_oz],tblBudget[Month],$E56)</f>
        <v/>
      </c>
      <c r="HM56" s="55">
        <f>$HL56*$C56/$D56</f>
        <v/>
      </c>
      <c r="HN56" s="55">
        <f>SUMIFS(tblBudget[Ore_oz],tblBudget[Month],"&lt;"&amp;$E56)+$HM56</f>
        <v/>
      </c>
      <c r="HO56" s="56">
        <f>IFERROR(IF(($HI56)&gt;0,($HL56*cfg_TroyOz)/($HI56),""),"")</f>
        <v/>
      </c>
      <c r="HP56" s="56">
        <f>IFERROR(IF(($HJ56)&gt;0,($HM56*cfg_TroyOz)/($HJ56),""),"")</f>
        <v/>
      </c>
      <c r="HQ56" s="56">
        <f>IFERROR(IF(($HK56)&gt;0,($HN56*cfg_TroyOz)/($HK56),""),"")</f>
        <v/>
      </c>
      <c r="HR56" s="55">
        <f>SUMIFS(tblBudget[Waste_t],tblBudget[Month],$E56)</f>
        <v/>
      </c>
      <c r="HS56" s="55">
        <f>$HR56*$C56/$D56</f>
        <v/>
      </c>
      <c r="HT56" s="55">
        <f>SUMIFS(tblBudget[Waste_t],tblBudget[Month],"&lt;"&amp;$E56)+$HS56</f>
        <v/>
      </c>
      <c r="HU56" s="55">
        <f>SUMIFS(tblBudget[TMM_t],tblBudget[Month],$E56)</f>
        <v/>
      </c>
      <c r="HV56" s="55">
        <f>$HU56*$C56/$D56</f>
        <v/>
      </c>
      <c r="HW56" s="55">
        <f>SUMIFS(tblBudget[TMM_t],tblBudget[Month],"&lt;"&amp;$E56)+$HV56</f>
        <v/>
      </c>
      <c r="HX56" s="56">
        <f>IFERROR(IF(($HI56)&gt;0,($HR56)/($HI56),""),"")</f>
        <v/>
      </c>
      <c r="HY56" s="56">
        <f>IFERROR(IF(($HJ56)&gt;0,($HS56)/($HJ56),""),"")</f>
        <v/>
      </c>
      <c r="HZ56" s="56">
        <f>IFERROR(IF(($HK56)&gt;0,($HT56)/($HK56),""),"")</f>
        <v/>
      </c>
      <c r="IA56" s="55">
        <f>SUMIFS(tblBudget[Drill_m],tblBudget[Month],$E56)</f>
        <v/>
      </c>
      <c r="IB56" s="55">
        <f>$IA56*$C56/$D56</f>
        <v/>
      </c>
      <c r="IC56" s="55">
        <f>SUMIFS(tblBudget[Drill_m],tblBudget[Month],"&lt;"&amp;$E56)+$IB56</f>
        <v/>
      </c>
      <c r="ID56" s="55">
        <f>SUMIFS(tblBudget[Diesel_L],tblBudget[Month],$E56)</f>
        <v/>
      </c>
      <c r="IE56" s="55">
        <f>$ID56*$C56/$D56</f>
        <v/>
      </c>
      <c r="IF56" s="55">
        <f>SUMIFS(tblBudget[Diesel_L],tblBudget[Month],"&lt;"&amp;$E56)+$IE56</f>
        <v/>
      </c>
      <c r="IG56" s="55">
        <f>SUMIFS(tblBudget[Milled_t],tblBudget[Month],$E56)</f>
        <v/>
      </c>
      <c r="IH56" s="55">
        <f>$IG56*$C56/$D56</f>
        <v/>
      </c>
      <c r="II56" s="55">
        <f>SUMIFS(tblBudget[Milled_t],tblBudget[Month],"&lt;"&amp;$E56)+$IH56</f>
        <v/>
      </c>
      <c r="IJ56" s="55">
        <f>SUMIFS(tblBudget[Feed_oz],tblBudget[Month],$E56)</f>
        <v/>
      </c>
      <c r="IK56" s="55">
        <f>$IJ56*$C56/$D56</f>
        <v/>
      </c>
      <c r="IL56" s="55">
        <f>SUMIFS(tblBudget[Feed_oz],tblBudget[Month],"&lt;"&amp;$E56)+$IK56</f>
        <v/>
      </c>
      <c r="IM56" s="55">
        <f>SUMIFS(tblBudget[Recovered_oz],tblBudget[Month],$E56)</f>
        <v/>
      </c>
      <c r="IN56" s="55">
        <f>$IM56*$C56/$D56</f>
        <v/>
      </c>
      <c r="IO56" s="55">
        <f>SUMIFS(tblBudget[Recovered_oz],tblBudget[Month],"&lt;"&amp;$E56)+$IN56</f>
        <v/>
      </c>
      <c r="IP56" s="56">
        <f>IFERROR(IF(($IG56)&gt;0,($IJ56*cfg_TroyOz)/($IG56),""),"")</f>
        <v/>
      </c>
      <c r="IQ56" s="56">
        <f>IFERROR(IF(($IH56)&gt;0,($IK56*cfg_TroyOz)/($IH56),""),"")</f>
        <v/>
      </c>
      <c r="IR56" s="56">
        <f>IFERROR(IF(($II56)&gt;0,($IL56*cfg_TroyOz)/($II56),""),"")</f>
        <v/>
      </c>
      <c r="IS56" s="67">
        <f>IFERROR(IF(($IJ56)&gt;0,($IM56)/($IJ56),""),"")</f>
        <v/>
      </c>
      <c r="IT56" s="67">
        <f>IFERROR(IF(($IK56)&gt;0,($IN56)/($IK56),""),"")</f>
        <v/>
      </c>
      <c r="IU56" s="67">
        <f>IFERROR(IF(($IL56)&gt;0,($IO56)/($IL56),""),"")</f>
        <v/>
      </c>
      <c r="IV56" s="55">
        <f>SUMIFS(tblBudget[Gold_Poured_oz],tblBudget[Month],$E56)</f>
        <v/>
      </c>
      <c r="IW56" s="55">
        <f>$IV56*$C56/$D56</f>
        <v/>
      </c>
      <c r="IX56" s="55">
        <f>SUMIFS(tblBudget[Gold_Poured_oz],tblBudget[Month],"&lt;"&amp;$E56)+$IW56</f>
        <v/>
      </c>
      <c r="IY56" s="57">
        <f>SUMIFS(tblBudget[Hours_Worked],tblBudget[Month],$E56)</f>
        <v/>
      </c>
      <c r="IZ56" s="57">
        <f>$IY56*$C56/$D56</f>
        <v/>
      </c>
      <c r="JA56" s="57">
        <f>SUMIFS(tblBudget[Hours_Worked],tblBudget[Month],"&lt;"&amp;$E56)+$IZ56</f>
        <v/>
      </c>
    </row>
    <row r="57">
      <c r="A57" s="54" t="n">
        <v>46078</v>
      </c>
      <c r="B57">
        <f>MONTH($A57)</f>
        <v/>
      </c>
      <c r="C57">
        <f>DAY($A57)</f>
        <v/>
      </c>
      <c r="D57">
        <f>DAY(EOMONTH($A57,0))</f>
        <v/>
      </c>
      <c r="E57" s="54">
        <f>DATE(YEAR($A57),MONTH($A57),1)</f>
        <v/>
      </c>
      <c r="F57" s="55">
        <f>SUMIFS(tblMovement[Tonnes_t],tblMovement[Date],$A57,tblMovement[Is_Ore],1,tblMovement[Source_Type],"Pit")</f>
        <v/>
      </c>
      <c r="G57" s="55">
        <f>IF($B57=$B56,$G56,0)+$F57</f>
        <v/>
      </c>
      <c r="H57" s="55">
        <f>$H56+$F57</f>
        <v/>
      </c>
      <c r="I57" s="55">
        <f>SUMIFS(tblMovement[Ore_oz],tblMovement[Date],$A57,tblMovement[Source_Type],"Pit")</f>
        <v/>
      </c>
      <c r="J57" s="55">
        <f>IF($B57=$B56,$J56,0)+$I57</f>
        <v/>
      </c>
      <c r="K57" s="55">
        <f>$K56+$I57</f>
        <v/>
      </c>
      <c r="L57" s="56">
        <f>IFERROR(IF(($F57)&gt;0,($I57*cfg_TroyOz)/($F57),""),"")</f>
        <v/>
      </c>
      <c r="M57" s="56">
        <f>IFERROR(IF(($G57)&gt;0,($J57*cfg_TroyOz)/($G57),""),"")</f>
        <v/>
      </c>
      <c r="N57" s="56">
        <f>IFERROR(IF(($H57)&gt;0,($K57*cfg_TroyOz)/($H57),""),"")</f>
        <v/>
      </c>
      <c r="O57" s="55">
        <f>SUMIFS(tblMovement[Tonnes_t],tblMovement[Date],$A57,tblMovement[Is_Ore],0,tblMovement[Source_Type],"Pit")</f>
        <v/>
      </c>
      <c r="P57" s="55">
        <f>IF($B57=$B56,$P56,0)+$O57</f>
        <v/>
      </c>
      <c r="Q57" s="55">
        <f>$Q56+$O57</f>
        <v/>
      </c>
      <c r="R57" s="55">
        <f>$F57+$O57</f>
        <v/>
      </c>
      <c r="S57" s="55">
        <f>IF($B57=$B56,$S56,0)+$R57</f>
        <v/>
      </c>
      <c r="T57" s="55">
        <f>$T56+$R57</f>
        <v/>
      </c>
      <c r="U57" s="56">
        <f>IFERROR(IF(($F57)&gt;0,($O57)/($F57),""),"")</f>
        <v/>
      </c>
      <c r="V57" s="56">
        <f>IFERROR(IF(($G57)&gt;0,($P57)/($G57),""),"")</f>
        <v/>
      </c>
      <c r="W57" s="56">
        <f>IFERROR(IF(($H57)&gt;0,($Q57)/($H57),""),"")</f>
        <v/>
      </c>
      <c r="X57" s="55">
        <f>SUMIFS(tblMovement[Tonnes_t],tblMovement[Date],$A57,tblMovement[Source_Type],"Stockpile")</f>
        <v/>
      </c>
      <c r="Y57" s="55">
        <f>IF($B57=$B56,$Y56,0)+$X57</f>
        <v/>
      </c>
      <c r="Z57" s="55">
        <f>$Z56+$X57</f>
        <v/>
      </c>
      <c r="AA57" s="55">
        <f>SUMIFS(tblMiningDaily[Drill_m],tblMiningDaily[Date],$A57)</f>
        <v/>
      </c>
      <c r="AB57" s="55">
        <f>IF($B57=$B56,$AB56,0)+$AA57</f>
        <v/>
      </c>
      <c r="AC57" s="55">
        <f>$AC56+$AA57</f>
        <v/>
      </c>
      <c r="AD57" s="55">
        <f>SUMIFS(tblMiningDaily[Blast_t],tblMiningDaily[Date],$A57)</f>
        <v/>
      </c>
      <c r="AE57" s="55">
        <f>IF($B57=$B56,$AE56,0)+$AD57</f>
        <v/>
      </c>
      <c r="AF57" s="55">
        <f>$AF56+$AD57</f>
        <v/>
      </c>
      <c r="AG57" s="55">
        <f>SUMIFS(tblMiningDaily[Explosives_kg],tblMiningDaily[Date],$A57)</f>
        <v/>
      </c>
      <c r="AH57" s="55">
        <f>IF($B57=$B56,$AH56,0)+$AG57</f>
        <v/>
      </c>
      <c r="AI57" s="55">
        <f>$AI56+$AG57</f>
        <v/>
      </c>
      <c r="AJ57" s="56">
        <f>IFERROR(IF(($AD57)&gt;0,($AG57)/($AD57),""),"")</f>
        <v/>
      </c>
      <c r="AK57" s="56">
        <f>IFERROR(IF(($AE57)&gt;0,($AH57)/($AE57),""),"")</f>
        <v/>
      </c>
      <c r="AL57" s="56">
        <f>IFERROR(IF(($AF57)&gt;0,($AI57)/($AF57),""),"")</f>
        <v/>
      </c>
      <c r="AM57" s="55">
        <f>SUMIFS(tblMiningDaily[Diesel_L],tblMiningDaily[Date],$A57)</f>
        <v/>
      </c>
      <c r="AN57" s="55">
        <f>IF($B57=$B56,$AN56,0)+$AM57</f>
        <v/>
      </c>
      <c r="AO57" s="55">
        <f>$AO56+$AM57</f>
        <v/>
      </c>
      <c r="AP57" s="55">
        <f>SUMIFS(tblMiningDaily[Dewatering_m3],tblMiningDaily[Date],$A57)</f>
        <v/>
      </c>
      <c r="AQ57" s="55">
        <f>IF($B57=$B56,$AQ56,0)+$AP57</f>
        <v/>
      </c>
      <c r="AR57" s="55">
        <f>$AR56+$AP57</f>
        <v/>
      </c>
      <c r="AS57" s="57">
        <f>SUMIFS(tblFleet[Calendar_h],tblFleet[Date],$A57,tblFleet[Equipment_Class],"Excavator")</f>
        <v/>
      </c>
      <c r="AT57" s="57">
        <f>IF($B57=$B56,$AT56,0)+$AS57</f>
        <v/>
      </c>
      <c r="AU57" s="57">
        <f>$AU56+$AS57</f>
        <v/>
      </c>
      <c r="AV57" s="57">
        <f>SUMIFS(tblFleet[Available_h],tblFleet[Date],$A57,tblFleet[Equipment_Class],"Excavator")</f>
        <v/>
      </c>
      <c r="AW57" s="57">
        <f>IF($B57=$B56,$AW56,0)+$AV57</f>
        <v/>
      </c>
      <c r="AX57" s="57">
        <f>$AX56+$AV57</f>
        <v/>
      </c>
      <c r="AY57" s="57">
        <f>SUMIFS(tblFleet[Operating_h],tblFleet[Date],$A57,tblFleet[Equipment_Class],"Excavator")</f>
        <v/>
      </c>
      <c r="AZ57" s="57">
        <f>IF($B57=$B56,$AZ56,0)+$AY57</f>
        <v/>
      </c>
      <c r="BA57" s="57">
        <f>$BA56+$AY57</f>
        <v/>
      </c>
      <c r="BB57" s="67">
        <f>IFERROR(IF(($AS57)&gt;0,($AV57)/($AS57),""),"")</f>
        <v/>
      </c>
      <c r="BC57" s="67">
        <f>IFERROR(IF(($AT57)&gt;0,($AW57)/($AT57),""),"")</f>
        <v/>
      </c>
      <c r="BD57" s="67">
        <f>IFERROR(IF(($AU57)&gt;0,($AX57)/($AU57),""),"")</f>
        <v/>
      </c>
      <c r="BE57" s="67">
        <f>IFERROR(IF(($AV57)&gt;0,($AY57)/($AV57),""),"")</f>
        <v/>
      </c>
      <c r="BF57" s="67">
        <f>IFERROR(IF(($AW57)&gt;0,($AZ57)/($AW57),""),"")</f>
        <v/>
      </c>
      <c r="BG57" s="67">
        <f>IFERROR(IF(($AX57)&gt;0,($BA57)/($AX57),""),"")</f>
        <v/>
      </c>
      <c r="BH57" s="57">
        <f>SUMIFS(tblFleet[Calendar_h],tblFleet[Date],$A57,tblFleet[Equipment_Class],"Haul Truck")</f>
        <v/>
      </c>
      <c r="BI57" s="57">
        <f>IF($B57=$B56,$BI56,0)+$BH57</f>
        <v/>
      </c>
      <c r="BJ57" s="57">
        <f>$BJ56+$BH57</f>
        <v/>
      </c>
      <c r="BK57" s="57">
        <f>SUMIFS(tblFleet[Available_h],tblFleet[Date],$A57,tblFleet[Equipment_Class],"Haul Truck")</f>
        <v/>
      </c>
      <c r="BL57" s="57">
        <f>IF($B57=$B56,$BL56,0)+$BK57</f>
        <v/>
      </c>
      <c r="BM57" s="57">
        <f>$BM56+$BK57</f>
        <v/>
      </c>
      <c r="BN57" s="57">
        <f>SUMIFS(tblFleet[Operating_h],tblFleet[Date],$A57,tblFleet[Equipment_Class],"Haul Truck")</f>
        <v/>
      </c>
      <c r="BO57" s="57">
        <f>IF($B57=$B56,$BO56,0)+$BN57</f>
        <v/>
      </c>
      <c r="BP57" s="57">
        <f>$BP56+$BN57</f>
        <v/>
      </c>
      <c r="BQ57" s="67">
        <f>IFERROR(IF(($BH57)&gt;0,($BK57)/($BH57),""),"")</f>
        <v/>
      </c>
      <c r="BR57" s="67">
        <f>IFERROR(IF(($BI57)&gt;0,($BL57)/($BI57),""),"")</f>
        <v/>
      </c>
      <c r="BS57" s="67">
        <f>IFERROR(IF(($BJ57)&gt;0,($BM57)/($BJ57),""),"")</f>
        <v/>
      </c>
      <c r="BT57" s="67">
        <f>IFERROR(IF(($BK57)&gt;0,($BN57)/($BK57),""),"")</f>
        <v/>
      </c>
      <c r="BU57" s="67">
        <f>IFERROR(IF(($BL57)&gt;0,($BO57)/($BL57),""),"")</f>
        <v/>
      </c>
      <c r="BV57" s="67">
        <f>IFERROR(IF(($BM57)&gt;0,($BP57)/($BM57),""),"")</f>
        <v/>
      </c>
      <c r="BW57" s="55">
        <f>SUMIFS(tblPlant[Crushed_t],tblPlant[Date],$A57)</f>
        <v/>
      </c>
      <c r="BX57" s="55">
        <f>IF($B57=$B56,$BX56,0)+$BW57</f>
        <v/>
      </c>
      <c r="BY57" s="55">
        <f>$BY56+$BW57</f>
        <v/>
      </c>
      <c r="BZ57" s="55">
        <f>SUMIFS(tblPlant[Milled_t],tblPlant[Date],$A57)</f>
        <v/>
      </c>
      <c r="CA57" s="55">
        <f>IF($B57=$B56,$CA56,0)+$BZ57</f>
        <v/>
      </c>
      <c r="CB57" s="55">
        <f>$CB56+$BZ57</f>
        <v/>
      </c>
      <c r="CC57" s="55">
        <f>SUMIFS(tblPlant[Feed_oz],tblPlant[Date],$A57)</f>
        <v/>
      </c>
      <c r="CD57" s="55">
        <f>IF($B57=$B56,$CD56,0)+$CC57</f>
        <v/>
      </c>
      <c r="CE57" s="55">
        <f>$CE56+$CC57</f>
        <v/>
      </c>
      <c r="CF57" s="55">
        <f>SUMIFS(tblPlant[Tails_oz],tblPlant[Date],$A57)</f>
        <v/>
      </c>
      <c r="CG57" s="55">
        <f>IF($B57=$B56,$CG56,0)+$CF57</f>
        <v/>
      </c>
      <c r="CH57" s="55">
        <f>$CH56+$CF57</f>
        <v/>
      </c>
      <c r="CI57" s="55">
        <f>SUMIFS(tblPlant[Recovered_oz],tblPlant[Date],$A57)</f>
        <v/>
      </c>
      <c r="CJ57" s="55">
        <f>IF($B57=$B56,$CJ56,0)+$CI57</f>
        <v/>
      </c>
      <c r="CK57" s="55">
        <f>$CK56+$CI57</f>
        <v/>
      </c>
      <c r="CL57" s="56">
        <f>IFERROR(IF(($BZ57)&gt;0,($CC57*cfg_TroyOz)/($BZ57),""),"")</f>
        <v/>
      </c>
      <c r="CM57" s="56">
        <f>IFERROR(IF(($CA57)&gt;0,($CD57*cfg_TroyOz)/($CA57),""),"")</f>
        <v/>
      </c>
      <c r="CN57" s="56">
        <f>IFERROR(IF(($CB57)&gt;0,($CE57*cfg_TroyOz)/($CB57),""),"")</f>
        <v/>
      </c>
      <c r="CO57" s="56">
        <f>IFERROR(IF(($BZ57)&gt;0,($CF57*cfg_TroyOz)/($BZ57),""),"")</f>
        <v/>
      </c>
      <c r="CP57" s="56">
        <f>IFERROR(IF(($CA57)&gt;0,($CG57*cfg_TroyOz)/($CA57),""),"")</f>
        <v/>
      </c>
      <c r="CQ57" s="56">
        <f>IFERROR(IF(($CB57)&gt;0,($CH57*cfg_TroyOz)/($CB57),""),"")</f>
        <v/>
      </c>
      <c r="CR57" s="67">
        <f>IFERROR(IF(($CC57)&gt;0,($CI57)/($CC57),""),"")</f>
        <v/>
      </c>
      <c r="CS57" s="67">
        <f>IFERROR(IF(($CD57)&gt;0,($CJ57)/($CD57),""),"")</f>
        <v/>
      </c>
      <c r="CT57" s="67">
        <f>IFERROR(IF(($CE57)&gt;0,($CK57)/($CE57),""),"")</f>
        <v/>
      </c>
      <c r="CU57" s="55">
        <f>SUMIFS(tblPlant[Gravity_Gold_oz],tblPlant[Date],$A57)</f>
        <v/>
      </c>
      <c r="CV57" s="55">
        <f>IF($B57=$B56,$CV56,0)+$CU57</f>
        <v/>
      </c>
      <c r="CW57" s="55">
        <f>$CW56+$CU57</f>
        <v/>
      </c>
      <c r="CX57" s="55">
        <f>SUMIFS(tblPlant[Gold_Poured_oz],tblPlant[Date],$A57)</f>
        <v/>
      </c>
      <c r="CY57" s="55">
        <f>IF($B57=$B56,$CY56,0)+$CX57</f>
        <v/>
      </c>
      <c r="CZ57" s="55">
        <f>$CZ56+$CX57</f>
        <v/>
      </c>
      <c r="DA57" s="57">
        <f>SUMIFS(tblPlant[Mill_Run_h],tblPlant[Date],$A57)</f>
        <v/>
      </c>
      <c r="DB57" s="57">
        <f>IF($B57=$B56,$DB56,0)+$DA57</f>
        <v/>
      </c>
      <c r="DC57" s="57">
        <f>$DC56+$DA57</f>
        <v/>
      </c>
      <c r="DD57" s="57">
        <f>SUMIFS(tblPlant[Mill_Planned_Maint_h],tblPlant[Date],$A57)</f>
        <v/>
      </c>
      <c r="DE57" s="57">
        <f>IF($B57=$B56,$DE56,0)+$DD57</f>
        <v/>
      </c>
      <c r="DF57" s="57">
        <f>$DF56+$DD57</f>
        <v/>
      </c>
      <c r="DG57" s="57">
        <f>SUMIFS(tblPlant[Mill_Unplanned_Down_h],tblPlant[Date],$A57)</f>
        <v/>
      </c>
      <c r="DH57" s="57">
        <f>IF($B57=$B56,$DH56,0)+$DG57</f>
        <v/>
      </c>
      <c r="DI57" s="57">
        <f>$DI56+$DG57</f>
        <v/>
      </c>
      <c r="DJ57" s="57">
        <f>COUNTIFS(tblPlant[Date],$A57,tblPlant[Mill_Run_h],"&lt;&gt;")*24</f>
        <v/>
      </c>
      <c r="DK57" s="57">
        <f>IF($B57=$B56,$DK56,0)+$DJ57</f>
        <v/>
      </c>
      <c r="DL57" s="57">
        <f>$DL56+$DJ57</f>
        <v/>
      </c>
      <c r="DM57" s="57">
        <f>SUMIFS(tblPlant[Crusher_Run_h],tblPlant[Date],$A57)</f>
        <v/>
      </c>
      <c r="DN57" s="57">
        <f>IF($B57=$B56,$DN56,0)+$DM57</f>
        <v/>
      </c>
      <c r="DO57" s="57">
        <f>$DO56+$DM57</f>
        <v/>
      </c>
      <c r="DP57" s="55">
        <f>IFERROR(IF(($DA57)&gt;0,($BZ57)/($DA57),""),"")</f>
        <v/>
      </c>
      <c r="DQ57" s="55">
        <f>IFERROR(IF(($DB57)&gt;0,($CA57)/($DB57),""),"")</f>
        <v/>
      </c>
      <c r="DR57" s="55">
        <f>IFERROR(IF(($DC57)&gt;0,($CB57)/($DC57),""),"")</f>
        <v/>
      </c>
      <c r="DS57" s="67">
        <f>IFERROR(IF(($DJ57)&gt;0,($DJ57-$DD57-$DG57)/($DJ57),""),"")</f>
        <v/>
      </c>
      <c r="DT57" s="67">
        <f>IFERROR(IF(($DK57)&gt;0,($DK57-$DE57-$DH57)/($DK57),""),"")</f>
        <v/>
      </c>
      <c r="DU57" s="67">
        <f>IFERROR(IF(($DL57)&gt;0,($DL57-$DF57-$DI57)/($DL57),""),"")</f>
        <v/>
      </c>
      <c r="DV57" s="67">
        <f>IFERROR(IF(($DJ57-$DD57-$DG57)&gt;0,($DA57)/($DJ57-$DD57-$DG57),""),"")</f>
        <v/>
      </c>
      <c r="DW57" s="67">
        <f>IFERROR(IF(($DK57-$DE57-$DH57)&gt;0,($DB57)/($DK57-$DE57-$DH57),""),"")</f>
        <v/>
      </c>
      <c r="DX57" s="67">
        <f>IFERROR(IF(($DL57-$DF57-$DI57)&gt;0,($DC57)/($DL57-$DF57-$DI57),""),"")</f>
        <v/>
      </c>
      <c r="DY57" s="55">
        <f>SUMIFS(tblPlant[Cyanide_kg],tblPlant[Date],$A57)</f>
        <v/>
      </c>
      <c r="DZ57" s="55">
        <f>IF($B57=$B56,$DZ56,0)+$DY57</f>
        <v/>
      </c>
      <c r="EA57" s="55">
        <f>$EA56+$DY57</f>
        <v/>
      </c>
      <c r="EB57" s="55">
        <f>SUMIFS(tblPlant[Lime_kg],tblPlant[Date],$A57)</f>
        <v/>
      </c>
      <c r="EC57" s="55">
        <f>IF($B57=$B56,$EC56,0)+$EB57</f>
        <v/>
      </c>
      <c r="ED57" s="55">
        <f>$ED56+$EB57</f>
        <v/>
      </c>
      <c r="EE57" s="55">
        <f>SUMIFS(tblPlant[Grinding_Media_kg],tblPlant[Date],$A57)</f>
        <v/>
      </c>
      <c r="EF57" s="55">
        <f>IF($B57=$B56,$EF56,0)+$EE57</f>
        <v/>
      </c>
      <c r="EG57" s="55">
        <f>$EG56+$EE57</f>
        <v/>
      </c>
      <c r="EH57" s="55">
        <f>SUMIFS(tblPlant[Power_kWh],tblPlant[Date],$A57)</f>
        <v/>
      </c>
      <c r="EI57" s="55">
        <f>IF($B57=$B56,$EI56,0)+$EH57</f>
        <v/>
      </c>
      <c r="EJ57" s="55">
        <f>$EJ56+$EH57</f>
        <v/>
      </c>
      <c r="EK57" s="55">
        <f>SUMIFS(tblPlant[Raw_Water_m3],tblPlant[Date],$A57)</f>
        <v/>
      </c>
      <c r="EL57" s="55">
        <f>IF($B57=$B56,$EL56,0)+$EK57</f>
        <v/>
      </c>
      <c r="EM57" s="55">
        <f>$EM56+$EK57</f>
        <v/>
      </c>
      <c r="EN57" s="56">
        <f>IFERROR(IF(($BZ57)&gt;0,($DY57)/($BZ57),""),"")</f>
        <v/>
      </c>
      <c r="EO57" s="56">
        <f>IFERROR(IF(($CA57)&gt;0,($DZ57)/($CA57),""),"")</f>
        <v/>
      </c>
      <c r="EP57" s="56">
        <f>IFERROR(IF(($CB57)&gt;0,($EA57)/($CB57),""),"")</f>
        <v/>
      </c>
      <c r="EQ57" s="56">
        <f>IFERROR(IF(($BZ57)&gt;0,($EB57)/($BZ57),""),"")</f>
        <v/>
      </c>
      <c r="ER57" s="56">
        <f>IFERROR(IF(($CA57)&gt;0,($EC57)/($CA57),""),"")</f>
        <v/>
      </c>
      <c r="ES57" s="56">
        <f>IFERROR(IF(($CB57)&gt;0,($ED57)/($CB57),""),"")</f>
        <v/>
      </c>
      <c r="ET57" s="56">
        <f>IFERROR(IF(($BZ57)&gt;0,($EE57)/($BZ57),""),"")</f>
        <v/>
      </c>
      <c r="EU57" s="56">
        <f>IFERROR(IF(($CA57)&gt;0,($EF57)/($CA57),""),"")</f>
        <v/>
      </c>
      <c r="EV57" s="56">
        <f>IFERROR(IF(($CB57)&gt;0,($EG57)/($CB57),""),"")</f>
        <v/>
      </c>
      <c r="EW57" s="76">
        <f>IFERROR(IF(($BZ57)&gt;0,($EH57)/($BZ57),""),"")</f>
        <v/>
      </c>
      <c r="EX57" s="76">
        <f>IFERROR(IF(($CA57)&gt;0,($EI57)/($CA57),""),"")</f>
        <v/>
      </c>
      <c r="EY57" s="76">
        <f>IFERROR(IF(($CB57)&gt;0,($EJ57)/($CB57),""),"")</f>
        <v/>
      </c>
      <c r="EZ57" s="56">
        <f>IFERROR(IF(($BZ57)&gt;0,($EK57)/($BZ57),""),"")</f>
        <v/>
      </c>
      <c r="FA57" s="56">
        <f>IFERROR(IF(($CA57)&gt;0,($EL57)/($CA57),""),"")</f>
        <v/>
      </c>
      <c r="FB57" s="56">
        <f>IFERROR(IF(($CB57)&gt;0,($EM57)/($CB57),""),"")</f>
        <v/>
      </c>
      <c r="FC57" s="55">
        <f>IF(SUMIFS(tblPlant[GIC_oz],tblPlant[Date],$A57)&gt;0,SUMIFS(tblPlant[GIC_oz],tblPlant[Date],$A57),"")</f>
        <v/>
      </c>
      <c r="FD57" s="55">
        <f>SUMIFS(tblGold[Gold_oz],tblGold[Date],$A57,tblGold[Type],"Shipment")</f>
        <v/>
      </c>
      <c r="FE57" s="55">
        <f>IF($B57=$B56,$FE56,0)+$FD57</f>
        <v/>
      </c>
      <c r="FF57" s="55">
        <f>$FF56+$FD57</f>
        <v/>
      </c>
      <c r="FG57" s="55">
        <f>SUMIFS(tblGold[Gold_oz],tblGold[Date],$A57,tblGold[Type],"Sale")</f>
        <v/>
      </c>
      <c r="FH57" s="55">
        <f>IF($B57=$B56,$FH56,0)+$FG57</f>
        <v/>
      </c>
      <c r="FI57" s="55">
        <f>$FI56+$FG57</f>
        <v/>
      </c>
      <c r="FJ57" s="55">
        <f>SUMIFS(tblGold[Dore_kg],tblGold[Date],$A57,tblGold[Type],"Shipment")</f>
        <v/>
      </c>
      <c r="FK57" s="55">
        <f>IF($B57=$B56,$FK56,0)+$FJ57</f>
        <v/>
      </c>
      <c r="FL57" s="55">
        <f>$FL56+$FJ57</f>
        <v/>
      </c>
      <c r="FM57" s="57">
        <f>SUMIFS(tblSafety[Hours_Total],tblSafety[Date],$A57)</f>
        <v/>
      </c>
      <c r="FN57" s="57">
        <f>IF($B57=$B56,$FN56,0)+$FM57</f>
        <v/>
      </c>
      <c r="FO57" s="57">
        <f>$FO56+$FM57</f>
        <v/>
      </c>
      <c r="FP57" s="62">
        <f>SUMIFS(tblSafety[Fatality],tblSafety[Date],$A57)</f>
        <v/>
      </c>
      <c r="FQ57" s="62">
        <f>IF($B57=$B56,$FQ56,0)+$FP57</f>
        <v/>
      </c>
      <c r="FR57" s="62">
        <f>$FR56+$FP57</f>
        <v/>
      </c>
      <c r="FS57" s="62">
        <f>SUMIFS(tblSafety[LTI],tblSafety[Date],$A57)</f>
        <v/>
      </c>
      <c r="FT57" s="62">
        <f>IF($B57=$B56,$FT56,0)+$FS57</f>
        <v/>
      </c>
      <c r="FU57" s="62">
        <f>$FU56+$FS57</f>
        <v/>
      </c>
      <c r="FV57" s="62">
        <f>SUMIFS(tblSafety[RWI],tblSafety[Date],$A57)</f>
        <v/>
      </c>
      <c r="FW57" s="62">
        <f>IF($B57=$B56,$FW56,0)+$FV57</f>
        <v/>
      </c>
      <c r="FX57" s="62">
        <f>$FX56+$FV57</f>
        <v/>
      </c>
      <c r="FY57" s="62">
        <f>SUMIFS(tblSafety[MTI],tblSafety[Date],$A57)</f>
        <v/>
      </c>
      <c r="FZ57" s="62">
        <f>IF($B57=$B56,$FZ56,0)+$FY57</f>
        <v/>
      </c>
      <c r="GA57" s="62">
        <f>$GA56+$FY57</f>
        <v/>
      </c>
      <c r="GB57" s="62">
        <f>SUMIFS(tblSafety[FAI],tblSafety[Date],$A57)</f>
        <v/>
      </c>
      <c r="GC57" s="62">
        <f>IF($B57=$B56,$GC56,0)+$GB57</f>
        <v/>
      </c>
      <c r="GD57" s="62">
        <f>$GD56+$GB57</f>
        <v/>
      </c>
      <c r="GE57" s="62">
        <f>SUMIFS(tblSafety[Recordables],tblSafety[Date],$A57)</f>
        <v/>
      </c>
      <c r="GF57" s="62">
        <f>IF($B57=$B56,$GF56,0)+$GE57</f>
        <v/>
      </c>
      <c r="GG57" s="62">
        <f>$GG56+$GE57</f>
        <v/>
      </c>
      <c r="GH57" s="62">
        <f>SUMIFS(tblSafety[Near_Miss],tblSafety[Date],$A57)</f>
        <v/>
      </c>
      <c r="GI57" s="62">
        <f>IF($B57=$B56,$GI56,0)+$GH57</f>
        <v/>
      </c>
      <c r="GJ57" s="62">
        <f>$GJ56+$GH57</f>
        <v/>
      </c>
      <c r="GK57" s="62">
        <f>SUMIFS(tblSafety[Hazard_Reports],tblSafety[Date],$A57)</f>
        <v/>
      </c>
      <c r="GL57" s="62">
        <f>IF($B57=$B56,$GL56,0)+$GK57</f>
        <v/>
      </c>
      <c r="GM57" s="62">
        <f>$GM56+$GK57</f>
        <v/>
      </c>
      <c r="GN57" s="62">
        <f>SUMIFS(tblSafety[HPI],tblSafety[Date],$A57)</f>
        <v/>
      </c>
      <c r="GO57" s="62">
        <f>IF($B57=$B56,$GO56,0)+$GN57</f>
        <v/>
      </c>
      <c r="GP57" s="62">
        <f>$GP56+$GN57</f>
        <v/>
      </c>
      <c r="GQ57" s="62">
        <f>SUMIFS(tblSafety[Env_Incidents],tblSafety[Date],$A57)</f>
        <v/>
      </c>
      <c r="GR57" s="62">
        <f>IF($B57=$B56,$GR56,0)+$GQ57</f>
        <v/>
      </c>
      <c r="GS57" s="62">
        <f>$GS56+$GQ57</f>
        <v/>
      </c>
      <c r="GT57" s="62">
        <f>SUMIFS(tblSafety[Community_Incidents],tblSafety[Date],$A57)</f>
        <v/>
      </c>
      <c r="GU57" s="62">
        <f>IF($B57=$B56,$GU56,0)+$GT57</f>
        <v/>
      </c>
      <c r="GV57" s="62">
        <f>$GV56+$GT57</f>
        <v/>
      </c>
      <c r="GW57" s="62">
        <f>SUMIFS(tblSafety[Vehicle_Incidents],tblSafety[Date],$A57)</f>
        <v/>
      </c>
      <c r="GX57" s="62">
        <f>IF($B57=$B56,$GX56,0)+$GW57</f>
        <v/>
      </c>
      <c r="GY57" s="62">
        <f>$GY56+$GW57</f>
        <v/>
      </c>
      <c r="GZ57" s="62">
        <f>SUMIFS(tblSafety[Toolbox_Talks],tblSafety[Date],$A57)</f>
        <v/>
      </c>
      <c r="HA57" s="62">
        <f>IF($B57=$B56,$HA56,0)+$GZ57</f>
        <v/>
      </c>
      <c r="HB57" s="62">
        <f>$HB56+$GZ57</f>
        <v/>
      </c>
      <c r="HC57" s="62">
        <f>SUMIFS(tblSafety[Inspections],tblSafety[Date],$A57)</f>
        <v/>
      </c>
      <c r="HD57" s="62">
        <f>IF($B57=$B56,$HD56,0)+$HC57</f>
        <v/>
      </c>
      <c r="HE57" s="62">
        <f>$HE56+$HC57</f>
        <v/>
      </c>
      <c r="HF57" s="56">
        <f>IFERROR((SUMIFS(tblSafety[Recordables],tblSafety[Date],"&gt;="&amp;EDATE($E57,-12),tblSafety[Date],"&lt;="&amp;$A57)+SUMIFS(tblSafetyHistory[Recordables],tblSafetyHistory[Month],"&gt;="&amp;EDATE($E57,-12),tblSafetyHistory[Month],"&lt;"&amp;cfg_YearStart))/(SUMIFS(tblSafety[Hours_Total],tblSafety[Date],"&gt;="&amp;EDATE($E57,-12),tblSafety[Date],"&lt;="&amp;$A57)+SUMIFS(tblSafetyHistory[Hours_Total],tblSafetyHistory[Month],"&gt;="&amp;EDATE($E57,-12),tblSafetyHistory[Month],"&lt;"&amp;cfg_YearStart))*1000000,"")</f>
        <v/>
      </c>
      <c r="HG57" s="56">
        <f>IFERROR((SUMIFS(tblSafety[LTI],tblSafety[Date],"&gt;="&amp;EDATE($E57,-12),tblSafety[Date],"&lt;="&amp;$A57)+SUMIFS(tblSafetyHistory[LTI],tblSafetyHistory[Month],"&gt;="&amp;EDATE($E57,-12),tblSafetyHistory[Month],"&lt;"&amp;cfg_YearStart))/(SUMIFS(tblSafety[Hours_Total],tblSafety[Date],"&gt;="&amp;EDATE($E57,-12),tblSafety[Date],"&lt;="&amp;$A57)+SUMIFS(tblSafetyHistory[Hours_Total],tblSafetyHistory[Month],"&gt;="&amp;EDATE($E57,-12),tblSafetyHistory[Month],"&lt;"&amp;cfg_YearStart))*1000000,"")</f>
        <v/>
      </c>
      <c r="HH57" s="62">
        <f>IF(MAX(N(cfg_PriorLTIDate),_xlfn.MAXIFS(tblSafety[Date],tblSafety[LTI],"&gt;0",tblSafety[Date],"&lt;="&amp;$A57))=0,"",$A57-MAX(N(cfg_PriorLTIDate),_xlfn.MAXIFS(tblSafety[Date],tblSafety[LTI],"&gt;0",tblSafety[Date],"&lt;="&amp;$A57)))</f>
        <v/>
      </c>
      <c r="HI57" s="55">
        <f>SUMIFS(tblBudget[Ore_Mined_t],tblBudget[Month],$E57)</f>
        <v/>
      </c>
      <c r="HJ57" s="55">
        <f>$HI57*$C57/$D57</f>
        <v/>
      </c>
      <c r="HK57" s="55">
        <f>SUMIFS(tblBudget[Ore_Mined_t],tblBudget[Month],"&lt;"&amp;$E57)+$HJ57</f>
        <v/>
      </c>
      <c r="HL57" s="55">
        <f>SUMIFS(tblBudget[Ore_oz],tblBudget[Month],$E57)</f>
        <v/>
      </c>
      <c r="HM57" s="55">
        <f>$HL57*$C57/$D57</f>
        <v/>
      </c>
      <c r="HN57" s="55">
        <f>SUMIFS(tblBudget[Ore_oz],tblBudget[Month],"&lt;"&amp;$E57)+$HM57</f>
        <v/>
      </c>
      <c r="HO57" s="56">
        <f>IFERROR(IF(($HI57)&gt;0,($HL57*cfg_TroyOz)/($HI57),""),"")</f>
        <v/>
      </c>
      <c r="HP57" s="56">
        <f>IFERROR(IF(($HJ57)&gt;0,($HM57*cfg_TroyOz)/($HJ57),""),"")</f>
        <v/>
      </c>
      <c r="HQ57" s="56">
        <f>IFERROR(IF(($HK57)&gt;0,($HN57*cfg_TroyOz)/($HK57),""),"")</f>
        <v/>
      </c>
      <c r="HR57" s="55">
        <f>SUMIFS(tblBudget[Waste_t],tblBudget[Month],$E57)</f>
        <v/>
      </c>
      <c r="HS57" s="55">
        <f>$HR57*$C57/$D57</f>
        <v/>
      </c>
      <c r="HT57" s="55">
        <f>SUMIFS(tblBudget[Waste_t],tblBudget[Month],"&lt;"&amp;$E57)+$HS57</f>
        <v/>
      </c>
      <c r="HU57" s="55">
        <f>SUMIFS(tblBudget[TMM_t],tblBudget[Month],$E57)</f>
        <v/>
      </c>
      <c r="HV57" s="55">
        <f>$HU57*$C57/$D57</f>
        <v/>
      </c>
      <c r="HW57" s="55">
        <f>SUMIFS(tblBudget[TMM_t],tblBudget[Month],"&lt;"&amp;$E57)+$HV57</f>
        <v/>
      </c>
      <c r="HX57" s="56">
        <f>IFERROR(IF(($HI57)&gt;0,($HR57)/($HI57),""),"")</f>
        <v/>
      </c>
      <c r="HY57" s="56">
        <f>IFERROR(IF(($HJ57)&gt;0,($HS57)/($HJ57),""),"")</f>
        <v/>
      </c>
      <c r="HZ57" s="56">
        <f>IFERROR(IF(($HK57)&gt;0,($HT57)/($HK57),""),"")</f>
        <v/>
      </c>
      <c r="IA57" s="55">
        <f>SUMIFS(tblBudget[Drill_m],tblBudget[Month],$E57)</f>
        <v/>
      </c>
      <c r="IB57" s="55">
        <f>$IA57*$C57/$D57</f>
        <v/>
      </c>
      <c r="IC57" s="55">
        <f>SUMIFS(tblBudget[Drill_m],tblBudget[Month],"&lt;"&amp;$E57)+$IB57</f>
        <v/>
      </c>
      <c r="ID57" s="55">
        <f>SUMIFS(tblBudget[Diesel_L],tblBudget[Month],$E57)</f>
        <v/>
      </c>
      <c r="IE57" s="55">
        <f>$ID57*$C57/$D57</f>
        <v/>
      </c>
      <c r="IF57" s="55">
        <f>SUMIFS(tblBudget[Diesel_L],tblBudget[Month],"&lt;"&amp;$E57)+$IE57</f>
        <v/>
      </c>
      <c r="IG57" s="55">
        <f>SUMIFS(tblBudget[Milled_t],tblBudget[Month],$E57)</f>
        <v/>
      </c>
      <c r="IH57" s="55">
        <f>$IG57*$C57/$D57</f>
        <v/>
      </c>
      <c r="II57" s="55">
        <f>SUMIFS(tblBudget[Milled_t],tblBudget[Month],"&lt;"&amp;$E57)+$IH57</f>
        <v/>
      </c>
      <c r="IJ57" s="55">
        <f>SUMIFS(tblBudget[Feed_oz],tblBudget[Month],$E57)</f>
        <v/>
      </c>
      <c r="IK57" s="55">
        <f>$IJ57*$C57/$D57</f>
        <v/>
      </c>
      <c r="IL57" s="55">
        <f>SUMIFS(tblBudget[Feed_oz],tblBudget[Month],"&lt;"&amp;$E57)+$IK57</f>
        <v/>
      </c>
      <c r="IM57" s="55">
        <f>SUMIFS(tblBudget[Recovered_oz],tblBudget[Month],$E57)</f>
        <v/>
      </c>
      <c r="IN57" s="55">
        <f>$IM57*$C57/$D57</f>
        <v/>
      </c>
      <c r="IO57" s="55">
        <f>SUMIFS(tblBudget[Recovered_oz],tblBudget[Month],"&lt;"&amp;$E57)+$IN57</f>
        <v/>
      </c>
      <c r="IP57" s="56">
        <f>IFERROR(IF(($IG57)&gt;0,($IJ57*cfg_TroyOz)/($IG57),""),"")</f>
        <v/>
      </c>
      <c r="IQ57" s="56">
        <f>IFERROR(IF(($IH57)&gt;0,($IK57*cfg_TroyOz)/($IH57),""),"")</f>
        <v/>
      </c>
      <c r="IR57" s="56">
        <f>IFERROR(IF(($II57)&gt;0,($IL57*cfg_TroyOz)/($II57),""),"")</f>
        <v/>
      </c>
      <c r="IS57" s="67">
        <f>IFERROR(IF(($IJ57)&gt;0,($IM57)/($IJ57),""),"")</f>
        <v/>
      </c>
      <c r="IT57" s="67">
        <f>IFERROR(IF(($IK57)&gt;0,($IN57)/($IK57),""),"")</f>
        <v/>
      </c>
      <c r="IU57" s="67">
        <f>IFERROR(IF(($IL57)&gt;0,($IO57)/($IL57),""),"")</f>
        <v/>
      </c>
      <c r="IV57" s="55">
        <f>SUMIFS(tblBudget[Gold_Poured_oz],tblBudget[Month],$E57)</f>
        <v/>
      </c>
      <c r="IW57" s="55">
        <f>$IV57*$C57/$D57</f>
        <v/>
      </c>
      <c r="IX57" s="55">
        <f>SUMIFS(tblBudget[Gold_Poured_oz],tblBudget[Month],"&lt;"&amp;$E57)+$IW57</f>
        <v/>
      </c>
      <c r="IY57" s="57">
        <f>SUMIFS(tblBudget[Hours_Worked],tblBudget[Month],$E57)</f>
        <v/>
      </c>
      <c r="IZ57" s="57">
        <f>$IY57*$C57/$D57</f>
        <v/>
      </c>
      <c r="JA57" s="57">
        <f>SUMIFS(tblBudget[Hours_Worked],tblBudget[Month],"&lt;"&amp;$E57)+$IZ57</f>
        <v/>
      </c>
    </row>
    <row r="58">
      <c r="A58" s="54" t="n">
        <v>46079</v>
      </c>
      <c r="B58">
        <f>MONTH($A58)</f>
        <v/>
      </c>
      <c r="C58">
        <f>DAY($A58)</f>
        <v/>
      </c>
      <c r="D58">
        <f>DAY(EOMONTH($A58,0))</f>
        <v/>
      </c>
      <c r="E58" s="54">
        <f>DATE(YEAR($A58),MONTH($A58),1)</f>
        <v/>
      </c>
      <c r="F58" s="55">
        <f>SUMIFS(tblMovement[Tonnes_t],tblMovement[Date],$A58,tblMovement[Is_Ore],1,tblMovement[Source_Type],"Pit")</f>
        <v/>
      </c>
      <c r="G58" s="55">
        <f>IF($B58=$B57,$G57,0)+$F58</f>
        <v/>
      </c>
      <c r="H58" s="55">
        <f>$H57+$F58</f>
        <v/>
      </c>
      <c r="I58" s="55">
        <f>SUMIFS(tblMovement[Ore_oz],tblMovement[Date],$A58,tblMovement[Source_Type],"Pit")</f>
        <v/>
      </c>
      <c r="J58" s="55">
        <f>IF($B58=$B57,$J57,0)+$I58</f>
        <v/>
      </c>
      <c r="K58" s="55">
        <f>$K57+$I58</f>
        <v/>
      </c>
      <c r="L58" s="56">
        <f>IFERROR(IF(($F58)&gt;0,($I58*cfg_TroyOz)/($F58),""),"")</f>
        <v/>
      </c>
      <c r="M58" s="56">
        <f>IFERROR(IF(($G58)&gt;0,($J58*cfg_TroyOz)/($G58),""),"")</f>
        <v/>
      </c>
      <c r="N58" s="56">
        <f>IFERROR(IF(($H58)&gt;0,($K58*cfg_TroyOz)/($H58),""),"")</f>
        <v/>
      </c>
      <c r="O58" s="55">
        <f>SUMIFS(tblMovement[Tonnes_t],tblMovement[Date],$A58,tblMovement[Is_Ore],0,tblMovement[Source_Type],"Pit")</f>
        <v/>
      </c>
      <c r="P58" s="55">
        <f>IF($B58=$B57,$P57,0)+$O58</f>
        <v/>
      </c>
      <c r="Q58" s="55">
        <f>$Q57+$O58</f>
        <v/>
      </c>
      <c r="R58" s="55">
        <f>$F58+$O58</f>
        <v/>
      </c>
      <c r="S58" s="55">
        <f>IF($B58=$B57,$S57,0)+$R58</f>
        <v/>
      </c>
      <c r="T58" s="55">
        <f>$T57+$R58</f>
        <v/>
      </c>
      <c r="U58" s="56">
        <f>IFERROR(IF(($F58)&gt;0,($O58)/($F58),""),"")</f>
        <v/>
      </c>
      <c r="V58" s="56">
        <f>IFERROR(IF(($G58)&gt;0,($P58)/($G58),""),"")</f>
        <v/>
      </c>
      <c r="W58" s="56">
        <f>IFERROR(IF(($H58)&gt;0,($Q58)/($H58),""),"")</f>
        <v/>
      </c>
      <c r="X58" s="55">
        <f>SUMIFS(tblMovement[Tonnes_t],tblMovement[Date],$A58,tblMovement[Source_Type],"Stockpile")</f>
        <v/>
      </c>
      <c r="Y58" s="55">
        <f>IF($B58=$B57,$Y57,0)+$X58</f>
        <v/>
      </c>
      <c r="Z58" s="55">
        <f>$Z57+$X58</f>
        <v/>
      </c>
      <c r="AA58" s="55">
        <f>SUMIFS(tblMiningDaily[Drill_m],tblMiningDaily[Date],$A58)</f>
        <v/>
      </c>
      <c r="AB58" s="55">
        <f>IF($B58=$B57,$AB57,0)+$AA58</f>
        <v/>
      </c>
      <c r="AC58" s="55">
        <f>$AC57+$AA58</f>
        <v/>
      </c>
      <c r="AD58" s="55">
        <f>SUMIFS(tblMiningDaily[Blast_t],tblMiningDaily[Date],$A58)</f>
        <v/>
      </c>
      <c r="AE58" s="55">
        <f>IF($B58=$B57,$AE57,0)+$AD58</f>
        <v/>
      </c>
      <c r="AF58" s="55">
        <f>$AF57+$AD58</f>
        <v/>
      </c>
      <c r="AG58" s="55">
        <f>SUMIFS(tblMiningDaily[Explosives_kg],tblMiningDaily[Date],$A58)</f>
        <v/>
      </c>
      <c r="AH58" s="55">
        <f>IF($B58=$B57,$AH57,0)+$AG58</f>
        <v/>
      </c>
      <c r="AI58" s="55">
        <f>$AI57+$AG58</f>
        <v/>
      </c>
      <c r="AJ58" s="56">
        <f>IFERROR(IF(($AD58)&gt;0,($AG58)/($AD58),""),"")</f>
        <v/>
      </c>
      <c r="AK58" s="56">
        <f>IFERROR(IF(($AE58)&gt;0,($AH58)/($AE58),""),"")</f>
        <v/>
      </c>
      <c r="AL58" s="56">
        <f>IFERROR(IF(($AF58)&gt;0,($AI58)/($AF58),""),"")</f>
        <v/>
      </c>
      <c r="AM58" s="55">
        <f>SUMIFS(tblMiningDaily[Diesel_L],tblMiningDaily[Date],$A58)</f>
        <v/>
      </c>
      <c r="AN58" s="55">
        <f>IF($B58=$B57,$AN57,0)+$AM58</f>
        <v/>
      </c>
      <c r="AO58" s="55">
        <f>$AO57+$AM58</f>
        <v/>
      </c>
      <c r="AP58" s="55">
        <f>SUMIFS(tblMiningDaily[Dewatering_m3],tblMiningDaily[Date],$A58)</f>
        <v/>
      </c>
      <c r="AQ58" s="55">
        <f>IF($B58=$B57,$AQ57,0)+$AP58</f>
        <v/>
      </c>
      <c r="AR58" s="55">
        <f>$AR57+$AP58</f>
        <v/>
      </c>
      <c r="AS58" s="57">
        <f>SUMIFS(tblFleet[Calendar_h],tblFleet[Date],$A58,tblFleet[Equipment_Class],"Excavator")</f>
        <v/>
      </c>
      <c r="AT58" s="57">
        <f>IF($B58=$B57,$AT57,0)+$AS58</f>
        <v/>
      </c>
      <c r="AU58" s="57">
        <f>$AU57+$AS58</f>
        <v/>
      </c>
      <c r="AV58" s="57">
        <f>SUMIFS(tblFleet[Available_h],tblFleet[Date],$A58,tblFleet[Equipment_Class],"Excavator")</f>
        <v/>
      </c>
      <c r="AW58" s="57">
        <f>IF($B58=$B57,$AW57,0)+$AV58</f>
        <v/>
      </c>
      <c r="AX58" s="57">
        <f>$AX57+$AV58</f>
        <v/>
      </c>
      <c r="AY58" s="57">
        <f>SUMIFS(tblFleet[Operating_h],tblFleet[Date],$A58,tblFleet[Equipment_Class],"Excavator")</f>
        <v/>
      </c>
      <c r="AZ58" s="57">
        <f>IF($B58=$B57,$AZ57,0)+$AY58</f>
        <v/>
      </c>
      <c r="BA58" s="57">
        <f>$BA57+$AY58</f>
        <v/>
      </c>
      <c r="BB58" s="67">
        <f>IFERROR(IF(($AS58)&gt;0,($AV58)/($AS58),""),"")</f>
        <v/>
      </c>
      <c r="BC58" s="67">
        <f>IFERROR(IF(($AT58)&gt;0,($AW58)/($AT58),""),"")</f>
        <v/>
      </c>
      <c r="BD58" s="67">
        <f>IFERROR(IF(($AU58)&gt;0,($AX58)/($AU58),""),"")</f>
        <v/>
      </c>
      <c r="BE58" s="67">
        <f>IFERROR(IF(($AV58)&gt;0,($AY58)/($AV58),""),"")</f>
        <v/>
      </c>
      <c r="BF58" s="67">
        <f>IFERROR(IF(($AW58)&gt;0,($AZ58)/($AW58),""),"")</f>
        <v/>
      </c>
      <c r="BG58" s="67">
        <f>IFERROR(IF(($AX58)&gt;0,($BA58)/($AX58),""),"")</f>
        <v/>
      </c>
      <c r="BH58" s="57">
        <f>SUMIFS(tblFleet[Calendar_h],tblFleet[Date],$A58,tblFleet[Equipment_Class],"Haul Truck")</f>
        <v/>
      </c>
      <c r="BI58" s="57">
        <f>IF($B58=$B57,$BI57,0)+$BH58</f>
        <v/>
      </c>
      <c r="BJ58" s="57">
        <f>$BJ57+$BH58</f>
        <v/>
      </c>
      <c r="BK58" s="57">
        <f>SUMIFS(tblFleet[Available_h],tblFleet[Date],$A58,tblFleet[Equipment_Class],"Haul Truck")</f>
        <v/>
      </c>
      <c r="BL58" s="57">
        <f>IF($B58=$B57,$BL57,0)+$BK58</f>
        <v/>
      </c>
      <c r="BM58" s="57">
        <f>$BM57+$BK58</f>
        <v/>
      </c>
      <c r="BN58" s="57">
        <f>SUMIFS(tblFleet[Operating_h],tblFleet[Date],$A58,tblFleet[Equipment_Class],"Haul Truck")</f>
        <v/>
      </c>
      <c r="BO58" s="57">
        <f>IF($B58=$B57,$BO57,0)+$BN58</f>
        <v/>
      </c>
      <c r="BP58" s="57">
        <f>$BP57+$BN58</f>
        <v/>
      </c>
      <c r="BQ58" s="67">
        <f>IFERROR(IF(($BH58)&gt;0,($BK58)/($BH58),""),"")</f>
        <v/>
      </c>
      <c r="BR58" s="67">
        <f>IFERROR(IF(($BI58)&gt;0,($BL58)/($BI58),""),"")</f>
        <v/>
      </c>
      <c r="BS58" s="67">
        <f>IFERROR(IF(($BJ58)&gt;0,($BM58)/($BJ58),""),"")</f>
        <v/>
      </c>
      <c r="BT58" s="67">
        <f>IFERROR(IF(($BK58)&gt;0,($BN58)/($BK58),""),"")</f>
        <v/>
      </c>
      <c r="BU58" s="67">
        <f>IFERROR(IF(($BL58)&gt;0,($BO58)/($BL58),""),"")</f>
        <v/>
      </c>
      <c r="BV58" s="67">
        <f>IFERROR(IF(($BM58)&gt;0,($BP58)/($BM58),""),"")</f>
        <v/>
      </c>
      <c r="BW58" s="55">
        <f>SUMIFS(tblPlant[Crushed_t],tblPlant[Date],$A58)</f>
        <v/>
      </c>
      <c r="BX58" s="55">
        <f>IF($B58=$B57,$BX57,0)+$BW58</f>
        <v/>
      </c>
      <c r="BY58" s="55">
        <f>$BY57+$BW58</f>
        <v/>
      </c>
      <c r="BZ58" s="55">
        <f>SUMIFS(tblPlant[Milled_t],tblPlant[Date],$A58)</f>
        <v/>
      </c>
      <c r="CA58" s="55">
        <f>IF($B58=$B57,$CA57,0)+$BZ58</f>
        <v/>
      </c>
      <c r="CB58" s="55">
        <f>$CB57+$BZ58</f>
        <v/>
      </c>
      <c r="CC58" s="55">
        <f>SUMIFS(tblPlant[Feed_oz],tblPlant[Date],$A58)</f>
        <v/>
      </c>
      <c r="CD58" s="55">
        <f>IF($B58=$B57,$CD57,0)+$CC58</f>
        <v/>
      </c>
      <c r="CE58" s="55">
        <f>$CE57+$CC58</f>
        <v/>
      </c>
      <c r="CF58" s="55">
        <f>SUMIFS(tblPlant[Tails_oz],tblPlant[Date],$A58)</f>
        <v/>
      </c>
      <c r="CG58" s="55">
        <f>IF($B58=$B57,$CG57,0)+$CF58</f>
        <v/>
      </c>
      <c r="CH58" s="55">
        <f>$CH57+$CF58</f>
        <v/>
      </c>
      <c r="CI58" s="55">
        <f>SUMIFS(tblPlant[Recovered_oz],tblPlant[Date],$A58)</f>
        <v/>
      </c>
      <c r="CJ58" s="55">
        <f>IF($B58=$B57,$CJ57,0)+$CI58</f>
        <v/>
      </c>
      <c r="CK58" s="55">
        <f>$CK57+$CI58</f>
        <v/>
      </c>
      <c r="CL58" s="56">
        <f>IFERROR(IF(($BZ58)&gt;0,($CC58*cfg_TroyOz)/($BZ58),""),"")</f>
        <v/>
      </c>
      <c r="CM58" s="56">
        <f>IFERROR(IF(($CA58)&gt;0,($CD58*cfg_TroyOz)/($CA58),""),"")</f>
        <v/>
      </c>
      <c r="CN58" s="56">
        <f>IFERROR(IF(($CB58)&gt;0,($CE58*cfg_TroyOz)/($CB58),""),"")</f>
        <v/>
      </c>
      <c r="CO58" s="56">
        <f>IFERROR(IF(($BZ58)&gt;0,($CF58*cfg_TroyOz)/($BZ58),""),"")</f>
        <v/>
      </c>
      <c r="CP58" s="56">
        <f>IFERROR(IF(($CA58)&gt;0,($CG58*cfg_TroyOz)/($CA58),""),"")</f>
        <v/>
      </c>
      <c r="CQ58" s="56">
        <f>IFERROR(IF(($CB58)&gt;0,($CH58*cfg_TroyOz)/($CB58),""),"")</f>
        <v/>
      </c>
      <c r="CR58" s="67">
        <f>IFERROR(IF(($CC58)&gt;0,($CI58)/($CC58),""),"")</f>
        <v/>
      </c>
      <c r="CS58" s="67">
        <f>IFERROR(IF(($CD58)&gt;0,($CJ58)/($CD58),""),"")</f>
        <v/>
      </c>
      <c r="CT58" s="67">
        <f>IFERROR(IF(($CE58)&gt;0,($CK58)/($CE58),""),"")</f>
        <v/>
      </c>
      <c r="CU58" s="55">
        <f>SUMIFS(tblPlant[Gravity_Gold_oz],tblPlant[Date],$A58)</f>
        <v/>
      </c>
      <c r="CV58" s="55">
        <f>IF($B58=$B57,$CV57,0)+$CU58</f>
        <v/>
      </c>
      <c r="CW58" s="55">
        <f>$CW57+$CU58</f>
        <v/>
      </c>
      <c r="CX58" s="55">
        <f>SUMIFS(tblPlant[Gold_Poured_oz],tblPlant[Date],$A58)</f>
        <v/>
      </c>
      <c r="CY58" s="55">
        <f>IF($B58=$B57,$CY57,0)+$CX58</f>
        <v/>
      </c>
      <c r="CZ58" s="55">
        <f>$CZ57+$CX58</f>
        <v/>
      </c>
      <c r="DA58" s="57">
        <f>SUMIFS(tblPlant[Mill_Run_h],tblPlant[Date],$A58)</f>
        <v/>
      </c>
      <c r="DB58" s="57">
        <f>IF($B58=$B57,$DB57,0)+$DA58</f>
        <v/>
      </c>
      <c r="DC58" s="57">
        <f>$DC57+$DA58</f>
        <v/>
      </c>
      <c r="DD58" s="57">
        <f>SUMIFS(tblPlant[Mill_Planned_Maint_h],tblPlant[Date],$A58)</f>
        <v/>
      </c>
      <c r="DE58" s="57">
        <f>IF($B58=$B57,$DE57,0)+$DD58</f>
        <v/>
      </c>
      <c r="DF58" s="57">
        <f>$DF57+$DD58</f>
        <v/>
      </c>
      <c r="DG58" s="57">
        <f>SUMIFS(tblPlant[Mill_Unplanned_Down_h],tblPlant[Date],$A58)</f>
        <v/>
      </c>
      <c r="DH58" s="57">
        <f>IF($B58=$B57,$DH57,0)+$DG58</f>
        <v/>
      </c>
      <c r="DI58" s="57">
        <f>$DI57+$DG58</f>
        <v/>
      </c>
      <c r="DJ58" s="57">
        <f>COUNTIFS(tblPlant[Date],$A58,tblPlant[Mill_Run_h],"&lt;&gt;")*24</f>
        <v/>
      </c>
      <c r="DK58" s="57">
        <f>IF($B58=$B57,$DK57,0)+$DJ58</f>
        <v/>
      </c>
      <c r="DL58" s="57">
        <f>$DL57+$DJ58</f>
        <v/>
      </c>
      <c r="DM58" s="57">
        <f>SUMIFS(tblPlant[Crusher_Run_h],tblPlant[Date],$A58)</f>
        <v/>
      </c>
      <c r="DN58" s="57">
        <f>IF($B58=$B57,$DN57,0)+$DM58</f>
        <v/>
      </c>
      <c r="DO58" s="57">
        <f>$DO57+$DM58</f>
        <v/>
      </c>
      <c r="DP58" s="55">
        <f>IFERROR(IF(($DA58)&gt;0,($BZ58)/($DA58),""),"")</f>
        <v/>
      </c>
      <c r="DQ58" s="55">
        <f>IFERROR(IF(($DB58)&gt;0,($CA58)/($DB58),""),"")</f>
        <v/>
      </c>
      <c r="DR58" s="55">
        <f>IFERROR(IF(($DC58)&gt;0,($CB58)/($DC58),""),"")</f>
        <v/>
      </c>
      <c r="DS58" s="67">
        <f>IFERROR(IF(($DJ58)&gt;0,($DJ58-$DD58-$DG58)/($DJ58),""),"")</f>
        <v/>
      </c>
      <c r="DT58" s="67">
        <f>IFERROR(IF(($DK58)&gt;0,($DK58-$DE58-$DH58)/($DK58),""),"")</f>
        <v/>
      </c>
      <c r="DU58" s="67">
        <f>IFERROR(IF(($DL58)&gt;0,($DL58-$DF58-$DI58)/($DL58),""),"")</f>
        <v/>
      </c>
      <c r="DV58" s="67">
        <f>IFERROR(IF(($DJ58-$DD58-$DG58)&gt;0,($DA58)/($DJ58-$DD58-$DG58),""),"")</f>
        <v/>
      </c>
      <c r="DW58" s="67">
        <f>IFERROR(IF(($DK58-$DE58-$DH58)&gt;0,($DB58)/($DK58-$DE58-$DH58),""),"")</f>
        <v/>
      </c>
      <c r="DX58" s="67">
        <f>IFERROR(IF(($DL58-$DF58-$DI58)&gt;0,($DC58)/($DL58-$DF58-$DI58),""),"")</f>
        <v/>
      </c>
      <c r="DY58" s="55">
        <f>SUMIFS(tblPlant[Cyanide_kg],tblPlant[Date],$A58)</f>
        <v/>
      </c>
      <c r="DZ58" s="55">
        <f>IF($B58=$B57,$DZ57,0)+$DY58</f>
        <v/>
      </c>
      <c r="EA58" s="55">
        <f>$EA57+$DY58</f>
        <v/>
      </c>
      <c r="EB58" s="55">
        <f>SUMIFS(tblPlant[Lime_kg],tblPlant[Date],$A58)</f>
        <v/>
      </c>
      <c r="EC58" s="55">
        <f>IF($B58=$B57,$EC57,0)+$EB58</f>
        <v/>
      </c>
      <c r="ED58" s="55">
        <f>$ED57+$EB58</f>
        <v/>
      </c>
      <c r="EE58" s="55">
        <f>SUMIFS(tblPlant[Grinding_Media_kg],tblPlant[Date],$A58)</f>
        <v/>
      </c>
      <c r="EF58" s="55">
        <f>IF($B58=$B57,$EF57,0)+$EE58</f>
        <v/>
      </c>
      <c r="EG58" s="55">
        <f>$EG57+$EE58</f>
        <v/>
      </c>
      <c r="EH58" s="55">
        <f>SUMIFS(tblPlant[Power_kWh],tblPlant[Date],$A58)</f>
        <v/>
      </c>
      <c r="EI58" s="55">
        <f>IF($B58=$B57,$EI57,0)+$EH58</f>
        <v/>
      </c>
      <c r="EJ58" s="55">
        <f>$EJ57+$EH58</f>
        <v/>
      </c>
      <c r="EK58" s="55">
        <f>SUMIFS(tblPlant[Raw_Water_m3],tblPlant[Date],$A58)</f>
        <v/>
      </c>
      <c r="EL58" s="55">
        <f>IF($B58=$B57,$EL57,0)+$EK58</f>
        <v/>
      </c>
      <c r="EM58" s="55">
        <f>$EM57+$EK58</f>
        <v/>
      </c>
      <c r="EN58" s="56">
        <f>IFERROR(IF(($BZ58)&gt;0,($DY58)/($BZ58),""),"")</f>
        <v/>
      </c>
      <c r="EO58" s="56">
        <f>IFERROR(IF(($CA58)&gt;0,($DZ58)/($CA58),""),"")</f>
        <v/>
      </c>
      <c r="EP58" s="56">
        <f>IFERROR(IF(($CB58)&gt;0,($EA58)/($CB58),""),"")</f>
        <v/>
      </c>
      <c r="EQ58" s="56">
        <f>IFERROR(IF(($BZ58)&gt;0,($EB58)/($BZ58),""),"")</f>
        <v/>
      </c>
      <c r="ER58" s="56">
        <f>IFERROR(IF(($CA58)&gt;0,($EC58)/($CA58),""),"")</f>
        <v/>
      </c>
      <c r="ES58" s="56">
        <f>IFERROR(IF(($CB58)&gt;0,($ED58)/($CB58),""),"")</f>
        <v/>
      </c>
      <c r="ET58" s="56">
        <f>IFERROR(IF(($BZ58)&gt;0,($EE58)/($BZ58),""),"")</f>
        <v/>
      </c>
      <c r="EU58" s="56">
        <f>IFERROR(IF(($CA58)&gt;0,($EF58)/($CA58),""),"")</f>
        <v/>
      </c>
      <c r="EV58" s="56">
        <f>IFERROR(IF(($CB58)&gt;0,($EG58)/($CB58),""),"")</f>
        <v/>
      </c>
      <c r="EW58" s="76">
        <f>IFERROR(IF(($BZ58)&gt;0,($EH58)/($BZ58),""),"")</f>
        <v/>
      </c>
      <c r="EX58" s="76">
        <f>IFERROR(IF(($CA58)&gt;0,($EI58)/($CA58),""),"")</f>
        <v/>
      </c>
      <c r="EY58" s="76">
        <f>IFERROR(IF(($CB58)&gt;0,($EJ58)/($CB58),""),"")</f>
        <v/>
      </c>
      <c r="EZ58" s="56">
        <f>IFERROR(IF(($BZ58)&gt;0,($EK58)/($BZ58),""),"")</f>
        <v/>
      </c>
      <c r="FA58" s="56">
        <f>IFERROR(IF(($CA58)&gt;0,($EL58)/($CA58),""),"")</f>
        <v/>
      </c>
      <c r="FB58" s="56">
        <f>IFERROR(IF(($CB58)&gt;0,($EM58)/($CB58),""),"")</f>
        <v/>
      </c>
      <c r="FC58" s="55">
        <f>IF(SUMIFS(tblPlant[GIC_oz],tblPlant[Date],$A58)&gt;0,SUMIFS(tblPlant[GIC_oz],tblPlant[Date],$A58),"")</f>
        <v/>
      </c>
      <c r="FD58" s="55">
        <f>SUMIFS(tblGold[Gold_oz],tblGold[Date],$A58,tblGold[Type],"Shipment")</f>
        <v/>
      </c>
      <c r="FE58" s="55">
        <f>IF($B58=$B57,$FE57,0)+$FD58</f>
        <v/>
      </c>
      <c r="FF58" s="55">
        <f>$FF57+$FD58</f>
        <v/>
      </c>
      <c r="FG58" s="55">
        <f>SUMIFS(tblGold[Gold_oz],tblGold[Date],$A58,tblGold[Type],"Sale")</f>
        <v/>
      </c>
      <c r="FH58" s="55">
        <f>IF($B58=$B57,$FH57,0)+$FG58</f>
        <v/>
      </c>
      <c r="FI58" s="55">
        <f>$FI57+$FG58</f>
        <v/>
      </c>
      <c r="FJ58" s="55">
        <f>SUMIFS(tblGold[Dore_kg],tblGold[Date],$A58,tblGold[Type],"Shipment")</f>
        <v/>
      </c>
      <c r="FK58" s="55">
        <f>IF($B58=$B57,$FK57,0)+$FJ58</f>
        <v/>
      </c>
      <c r="FL58" s="55">
        <f>$FL57+$FJ58</f>
        <v/>
      </c>
      <c r="FM58" s="57">
        <f>SUMIFS(tblSafety[Hours_Total],tblSafety[Date],$A58)</f>
        <v/>
      </c>
      <c r="FN58" s="57">
        <f>IF($B58=$B57,$FN57,0)+$FM58</f>
        <v/>
      </c>
      <c r="FO58" s="57">
        <f>$FO57+$FM58</f>
        <v/>
      </c>
      <c r="FP58" s="62">
        <f>SUMIFS(tblSafety[Fatality],tblSafety[Date],$A58)</f>
        <v/>
      </c>
      <c r="FQ58" s="62">
        <f>IF($B58=$B57,$FQ57,0)+$FP58</f>
        <v/>
      </c>
      <c r="FR58" s="62">
        <f>$FR57+$FP58</f>
        <v/>
      </c>
      <c r="FS58" s="62">
        <f>SUMIFS(tblSafety[LTI],tblSafety[Date],$A58)</f>
        <v/>
      </c>
      <c r="FT58" s="62">
        <f>IF($B58=$B57,$FT57,0)+$FS58</f>
        <v/>
      </c>
      <c r="FU58" s="62">
        <f>$FU57+$FS58</f>
        <v/>
      </c>
      <c r="FV58" s="62">
        <f>SUMIFS(tblSafety[RWI],tblSafety[Date],$A58)</f>
        <v/>
      </c>
      <c r="FW58" s="62">
        <f>IF($B58=$B57,$FW57,0)+$FV58</f>
        <v/>
      </c>
      <c r="FX58" s="62">
        <f>$FX57+$FV58</f>
        <v/>
      </c>
      <c r="FY58" s="62">
        <f>SUMIFS(tblSafety[MTI],tblSafety[Date],$A58)</f>
        <v/>
      </c>
      <c r="FZ58" s="62">
        <f>IF($B58=$B57,$FZ57,0)+$FY58</f>
        <v/>
      </c>
      <c r="GA58" s="62">
        <f>$GA57+$FY58</f>
        <v/>
      </c>
      <c r="GB58" s="62">
        <f>SUMIFS(tblSafety[FAI],tblSafety[Date],$A58)</f>
        <v/>
      </c>
      <c r="GC58" s="62">
        <f>IF($B58=$B57,$GC57,0)+$GB58</f>
        <v/>
      </c>
      <c r="GD58" s="62">
        <f>$GD57+$GB58</f>
        <v/>
      </c>
      <c r="GE58" s="62">
        <f>SUMIFS(tblSafety[Recordables],tblSafety[Date],$A58)</f>
        <v/>
      </c>
      <c r="GF58" s="62">
        <f>IF($B58=$B57,$GF57,0)+$GE58</f>
        <v/>
      </c>
      <c r="GG58" s="62">
        <f>$GG57+$GE58</f>
        <v/>
      </c>
      <c r="GH58" s="62">
        <f>SUMIFS(tblSafety[Near_Miss],tblSafety[Date],$A58)</f>
        <v/>
      </c>
      <c r="GI58" s="62">
        <f>IF($B58=$B57,$GI57,0)+$GH58</f>
        <v/>
      </c>
      <c r="GJ58" s="62">
        <f>$GJ57+$GH58</f>
        <v/>
      </c>
      <c r="GK58" s="62">
        <f>SUMIFS(tblSafety[Hazard_Reports],tblSafety[Date],$A58)</f>
        <v/>
      </c>
      <c r="GL58" s="62">
        <f>IF($B58=$B57,$GL57,0)+$GK58</f>
        <v/>
      </c>
      <c r="GM58" s="62">
        <f>$GM57+$GK58</f>
        <v/>
      </c>
      <c r="GN58" s="62">
        <f>SUMIFS(tblSafety[HPI],tblSafety[Date],$A58)</f>
        <v/>
      </c>
      <c r="GO58" s="62">
        <f>IF($B58=$B57,$GO57,0)+$GN58</f>
        <v/>
      </c>
      <c r="GP58" s="62">
        <f>$GP57+$GN58</f>
        <v/>
      </c>
      <c r="GQ58" s="62">
        <f>SUMIFS(tblSafety[Env_Incidents],tblSafety[Date],$A58)</f>
        <v/>
      </c>
      <c r="GR58" s="62">
        <f>IF($B58=$B57,$GR57,0)+$GQ58</f>
        <v/>
      </c>
      <c r="GS58" s="62">
        <f>$GS57+$GQ58</f>
        <v/>
      </c>
      <c r="GT58" s="62">
        <f>SUMIFS(tblSafety[Community_Incidents],tblSafety[Date],$A58)</f>
        <v/>
      </c>
      <c r="GU58" s="62">
        <f>IF($B58=$B57,$GU57,0)+$GT58</f>
        <v/>
      </c>
      <c r="GV58" s="62">
        <f>$GV57+$GT58</f>
        <v/>
      </c>
      <c r="GW58" s="62">
        <f>SUMIFS(tblSafety[Vehicle_Incidents],tblSafety[Date],$A58)</f>
        <v/>
      </c>
      <c r="GX58" s="62">
        <f>IF($B58=$B57,$GX57,0)+$GW58</f>
        <v/>
      </c>
      <c r="GY58" s="62">
        <f>$GY57+$GW58</f>
        <v/>
      </c>
      <c r="GZ58" s="62">
        <f>SUMIFS(tblSafety[Toolbox_Talks],tblSafety[Date],$A58)</f>
        <v/>
      </c>
      <c r="HA58" s="62">
        <f>IF($B58=$B57,$HA57,0)+$GZ58</f>
        <v/>
      </c>
      <c r="HB58" s="62">
        <f>$HB57+$GZ58</f>
        <v/>
      </c>
      <c r="HC58" s="62">
        <f>SUMIFS(tblSafety[Inspections],tblSafety[Date],$A58)</f>
        <v/>
      </c>
      <c r="HD58" s="62">
        <f>IF($B58=$B57,$HD57,0)+$HC58</f>
        <v/>
      </c>
      <c r="HE58" s="62">
        <f>$HE57+$HC58</f>
        <v/>
      </c>
      <c r="HF58" s="56">
        <f>IFERROR((SUMIFS(tblSafety[Recordables],tblSafety[Date],"&gt;="&amp;EDATE($E58,-12),tblSafety[Date],"&lt;="&amp;$A58)+SUMIFS(tblSafetyHistory[Recordables],tblSafetyHistory[Month],"&gt;="&amp;EDATE($E58,-12),tblSafetyHistory[Month],"&lt;"&amp;cfg_YearStart))/(SUMIFS(tblSafety[Hours_Total],tblSafety[Date],"&gt;="&amp;EDATE($E58,-12),tblSafety[Date],"&lt;="&amp;$A58)+SUMIFS(tblSafetyHistory[Hours_Total],tblSafetyHistory[Month],"&gt;="&amp;EDATE($E58,-12),tblSafetyHistory[Month],"&lt;"&amp;cfg_YearStart))*1000000,"")</f>
        <v/>
      </c>
      <c r="HG58" s="56">
        <f>IFERROR((SUMIFS(tblSafety[LTI],tblSafety[Date],"&gt;="&amp;EDATE($E58,-12),tblSafety[Date],"&lt;="&amp;$A58)+SUMIFS(tblSafetyHistory[LTI],tblSafetyHistory[Month],"&gt;="&amp;EDATE($E58,-12),tblSafetyHistory[Month],"&lt;"&amp;cfg_YearStart))/(SUMIFS(tblSafety[Hours_Total],tblSafety[Date],"&gt;="&amp;EDATE($E58,-12),tblSafety[Date],"&lt;="&amp;$A58)+SUMIFS(tblSafetyHistory[Hours_Total],tblSafetyHistory[Month],"&gt;="&amp;EDATE($E58,-12),tblSafetyHistory[Month],"&lt;"&amp;cfg_YearStart))*1000000,"")</f>
        <v/>
      </c>
      <c r="HH58" s="62">
        <f>IF(MAX(N(cfg_PriorLTIDate),_xlfn.MAXIFS(tblSafety[Date],tblSafety[LTI],"&gt;0",tblSafety[Date],"&lt;="&amp;$A58))=0,"",$A58-MAX(N(cfg_PriorLTIDate),_xlfn.MAXIFS(tblSafety[Date],tblSafety[LTI],"&gt;0",tblSafety[Date],"&lt;="&amp;$A58)))</f>
        <v/>
      </c>
      <c r="HI58" s="55">
        <f>SUMIFS(tblBudget[Ore_Mined_t],tblBudget[Month],$E58)</f>
        <v/>
      </c>
      <c r="HJ58" s="55">
        <f>$HI58*$C58/$D58</f>
        <v/>
      </c>
      <c r="HK58" s="55">
        <f>SUMIFS(tblBudget[Ore_Mined_t],tblBudget[Month],"&lt;"&amp;$E58)+$HJ58</f>
        <v/>
      </c>
      <c r="HL58" s="55">
        <f>SUMIFS(tblBudget[Ore_oz],tblBudget[Month],$E58)</f>
        <v/>
      </c>
      <c r="HM58" s="55">
        <f>$HL58*$C58/$D58</f>
        <v/>
      </c>
      <c r="HN58" s="55">
        <f>SUMIFS(tblBudget[Ore_oz],tblBudget[Month],"&lt;"&amp;$E58)+$HM58</f>
        <v/>
      </c>
      <c r="HO58" s="56">
        <f>IFERROR(IF(($HI58)&gt;0,($HL58*cfg_TroyOz)/($HI58),""),"")</f>
        <v/>
      </c>
      <c r="HP58" s="56">
        <f>IFERROR(IF(($HJ58)&gt;0,($HM58*cfg_TroyOz)/($HJ58),""),"")</f>
        <v/>
      </c>
      <c r="HQ58" s="56">
        <f>IFERROR(IF(($HK58)&gt;0,($HN58*cfg_TroyOz)/($HK58),""),"")</f>
        <v/>
      </c>
      <c r="HR58" s="55">
        <f>SUMIFS(tblBudget[Waste_t],tblBudget[Month],$E58)</f>
        <v/>
      </c>
      <c r="HS58" s="55">
        <f>$HR58*$C58/$D58</f>
        <v/>
      </c>
      <c r="HT58" s="55">
        <f>SUMIFS(tblBudget[Waste_t],tblBudget[Month],"&lt;"&amp;$E58)+$HS58</f>
        <v/>
      </c>
      <c r="HU58" s="55">
        <f>SUMIFS(tblBudget[TMM_t],tblBudget[Month],$E58)</f>
        <v/>
      </c>
      <c r="HV58" s="55">
        <f>$HU58*$C58/$D58</f>
        <v/>
      </c>
      <c r="HW58" s="55">
        <f>SUMIFS(tblBudget[TMM_t],tblBudget[Month],"&lt;"&amp;$E58)+$HV58</f>
        <v/>
      </c>
      <c r="HX58" s="56">
        <f>IFERROR(IF(($HI58)&gt;0,($HR58)/($HI58),""),"")</f>
        <v/>
      </c>
      <c r="HY58" s="56">
        <f>IFERROR(IF(($HJ58)&gt;0,($HS58)/($HJ58),""),"")</f>
        <v/>
      </c>
      <c r="HZ58" s="56">
        <f>IFERROR(IF(($HK58)&gt;0,($HT58)/($HK58),""),"")</f>
        <v/>
      </c>
      <c r="IA58" s="55">
        <f>SUMIFS(tblBudget[Drill_m],tblBudget[Month],$E58)</f>
        <v/>
      </c>
      <c r="IB58" s="55">
        <f>$IA58*$C58/$D58</f>
        <v/>
      </c>
      <c r="IC58" s="55">
        <f>SUMIFS(tblBudget[Drill_m],tblBudget[Month],"&lt;"&amp;$E58)+$IB58</f>
        <v/>
      </c>
      <c r="ID58" s="55">
        <f>SUMIFS(tblBudget[Diesel_L],tblBudget[Month],$E58)</f>
        <v/>
      </c>
      <c r="IE58" s="55">
        <f>$ID58*$C58/$D58</f>
        <v/>
      </c>
      <c r="IF58" s="55">
        <f>SUMIFS(tblBudget[Diesel_L],tblBudget[Month],"&lt;"&amp;$E58)+$IE58</f>
        <v/>
      </c>
      <c r="IG58" s="55">
        <f>SUMIFS(tblBudget[Milled_t],tblBudget[Month],$E58)</f>
        <v/>
      </c>
      <c r="IH58" s="55">
        <f>$IG58*$C58/$D58</f>
        <v/>
      </c>
      <c r="II58" s="55">
        <f>SUMIFS(tblBudget[Milled_t],tblBudget[Month],"&lt;"&amp;$E58)+$IH58</f>
        <v/>
      </c>
      <c r="IJ58" s="55">
        <f>SUMIFS(tblBudget[Feed_oz],tblBudget[Month],$E58)</f>
        <v/>
      </c>
      <c r="IK58" s="55">
        <f>$IJ58*$C58/$D58</f>
        <v/>
      </c>
      <c r="IL58" s="55">
        <f>SUMIFS(tblBudget[Feed_oz],tblBudget[Month],"&lt;"&amp;$E58)+$IK58</f>
        <v/>
      </c>
      <c r="IM58" s="55">
        <f>SUMIFS(tblBudget[Recovered_oz],tblBudget[Month],$E58)</f>
        <v/>
      </c>
      <c r="IN58" s="55">
        <f>$IM58*$C58/$D58</f>
        <v/>
      </c>
      <c r="IO58" s="55">
        <f>SUMIFS(tblBudget[Recovered_oz],tblBudget[Month],"&lt;"&amp;$E58)+$IN58</f>
        <v/>
      </c>
      <c r="IP58" s="56">
        <f>IFERROR(IF(($IG58)&gt;0,($IJ58*cfg_TroyOz)/($IG58),""),"")</f>
        <v/>
      </c>
      <c r="IQ58" s="56">
        <f>IFERROR(IF(($IH58)&gt;0,($IK58*cfg_TroyOz)/($IH58),""),"")</f>
        <v/>
      </c>
      <c r="IR58" s="56">
        <f>IFERROR(IF(($II58)&gt;0,($IL58*cfg_TroyOz)/($II58),""),"")</f>
        <v/>
      </c>
      <c r="IS58" s="67">
        <f>IFERROR(IF(($IJ58)&gt;0,($IM58)/($IJ58),""),"")</f>
        <v/>
      </c>
      <c r="IT58" s="67">
        <f>IFERROR(IF(($IK58)&gt;0,($IN58)/($IK58),""),"")</f>
        <v/>
      </c>
      <c r="IU58" s="67">
        <f>IFERROR(IF(($IL58)&gt;0,($IO58)/($IL58),""),"")</f>
        <v/>
      </c>
      <c r="IV58" s="55">
        <f>SUMIFS(tblBudget[Gold_Poured_oz],tblBudget[Month],$E58)</f>
        <v/>
      </c>
      <c r="IW58" s="55">
        <f>$IV58*$C58/$D58</f>
        <v/>
      </c>
      <c r="IX58" s="55">
        <f>SUMIFS(tblBudget[Gold_Poured_oz],tblBudget[Month],"&lt;"&amp;$E58)+$IW58</f>
        <v/>
      </c>
      <c r="IY58" s="57">
        <f>SUMIFS(tblBudget[Hours_Worked],tblBudget[Month],$E58)</f>
        <v/>
      </c>
      <c r="IZ58" s="57">
        <f>$IY58*$C58/$D58</f>
        <v/>
      </c>
      <c r="JA58" s="57">
        <f>SUMIFS(tblBudget[Hours_Worked],tblBudget[Month],"&lt;"&amp;$E58)+$IZ58</f>
        <v/>
      </c>
    </row>
    <row r="59">
      <c r="A59" s="54" t="n">
        <v>46080</v>
      </c>
      <c r="B59">
        <f>MONTH($A59)</f>
        <v/>
      </c>
      <c r="C59">
        <f>DAY($A59)</f>
        <v/>
      </c>
      <c r="D59">
        <f>DAY(EOMONTH($A59,0))</f>
        <v/>
      </c>
      <c r="E59" s="54">
        <f>DATE(YEAR($A59),MONTH($A59),1)</f>
        <v/>
      </c>
      <c r="F59" s="55">
        <f>SUMIFS(tblMovement[Tonnes_t],tblMovement[Date],$A59,tblMovement[Is_Ore],1,tblMovement[Source_Type],"Pit")</f>
        <v/>
      </c>
      <c r="G59" s="55">
        <f>IF($B59=$B58,$G58,0)+$F59</f>
        <v/>
      </c>
      <c r="H59" s="55">
        <f>$H58+$F59</f>
        <v/>
      </c>
      <c r="I59" s="55">
        <f>SUMIFS(tblMovement[Ore_oz],tblMovement[Date],$A59,tblMovement[Source_Type],"Pit")</f>
        <v/>
      </c>
      <c r="J59" s="55">
        <f>IF($B59=$B58,$J58,0)+$I59</f>
        <v/>
      </c>
      <c r="K59" s="55">
        <f>$K58+$I59</f>
        <v/>
      </c>
      <c r="L59" s="56">
        <f>IFERROR(IF(($F59)&gt;0,($I59*cfg_TroyOz)/($F59),""),"")</f>
        <v/>
      </c>
      <c r="M59" s="56">
        <f>IFERROR(IF(($G59)&gt;0,($J59*cfg_TroyOz)/($G59),""),"")</f>
        <v/>
      </c>
      <c r="N59" s="56">
        <f>IFERROR(IF(($H59)&gt;0,($K59*cfg_TroyOz)/($H59),""),"")</f>
        <v/>
      </c>
      <c r="O59" s="55">
        <f>SUMIFS(tblMovement[Tonnes_t],tblMovement[Date],$A59,tblMovement[Is_Ore],0,tblMovement[Source_Type],"Pit")</f>
        <v/>
      </c>
      <c r="P59" s="55">
        <f>IF($B59=$B58,$P58,0)+$O59</f>
        <v/>
      </c>
      <c r="Q59" s="55">
        <f>$Q58+$O59</f>
        <v/>
      </c>
      <c r="R59" s="55">
        <f>$F59+$O59</f>
        <v/>
      </c>
      <c r="S59" s="55">
        <f>IF($B59=$B58,$S58,0)+$R59</f>
        <v/>
      </c>
      <c r="T59" s="55">
        <f>$T58+$R59</f>
        <v/>
      </c>
      <c r="U59" s="56">
        <f>IFERROR(IF(($F59)&gt;0,($O59)/($F59),""),"")</f>
        <v/>
      </c>
      <c r="V59" s="56">
        <f>IFERROR(IF(($G59)&gt;0,($P59)/($G59),""),"")</f>
        <v/>
      </c>
      <c r="W59" s="56">
        <f>IFERROR(IF(($H59)&gt;0,($Q59)/($H59),""),"")</f>
        <v/>
      </c>
      <c r="X59" s="55">
        <f>SUMIFS(tblMovement[Tonnes_t],tblMovement[Date],$A59,tblMovement[Source_Type],"Stockpile")</f>
        <v/>
      </c>
      <c r="Y59" s="55">
        <f>IF($B59=$B58,$Y58,0)+$X59</f>
        <v/>
      </c>
      <c r="Z59" s="55">
        <f>$Z58+$X59</f>
        <v/>
      </c>
      <c r="AA59" s="55">
        <f>SUMIFS(tblMiningDaily[Drill_m],tblMiningDaily[Date],$A59)</f>
        <v/>
      </c>
      <c r="AB59" s="55">
        <f>IF($B59=$B58,$AB58,0)+$AA59</f>
        <v/>
      </c>
      <c r="AC59" s="55">
        <f>$AC58+$AA59</f>
        <v/>
      </c>
      <c r="AD59" s="55">
        <f>SUMIFS(tblMiningDaily[Blast_t],tblMiningDaily[Date],$A59)</f>
        <v/>
      </c>
      <c r="AE59" s="55">
        <f>IF($B59=$B58,$AE58,0)+$AD59</f>
        <v/>
      </c>
      <c r="AF59" s="55">
        <f>$AF58+$AD59</f>
        <v/>
      </c>
      <c r="AG59" s="55">
        <f>SUMIFS(tblMiningDaily[Explosives_kg],tblMiningDaily[Date],$A59)</f>
        <v/>
      </c>
      <c r="AH59" s="55">
        <f>IF($B59=$B58,$AH58,0)+$AG59</f>
        <v/>
      </c>
      <c r="AI59" s="55">
        <f>$AI58+$AG59</f>
        <v/>
      </c>
      <c r="AJ59" s="56">
        <f>IFERROR(IF(($AD59)&gt;0,($AG59)/($AD59),""),"")</f>
        <v/>
      </c>
      <c r="AK59" s="56">
        <f>IFERROR(IF(($AE59)&gt;0,($AH59)/($AE59),""),"")</f>
        <v/>
      </c>
      <c r="AL59" s="56">
        <f>IFERROR(IF(($AF59)&gt;0,($AI59)/($AF59),""),"")</f>
        <v/>
      </c>
      <c r="AM59" s="55">
        <f>SUMIFS(tblMiningDaily[Diesel_L],tblMiningDaily[Date],$A59)</f>
        <v/>
      </c>
      <c r="AN59" s="55">
        <f>IF($B59=$B58,$AN58,0)+$AM59</f>
        <v/>
      </c>
      <c r="AO59" s="55">
        <f>$AO58+$AM59</f>
        <v/>
      </c>
      <c r="AP59" s="55">
        <f>SUMIFS(tblMiningDaily[Dewatering_m3],tblMiningDaily[Date],$A59)</f>
        <v/>
      </c>
      <c r="AQ59" s="55">
        <f>IF($B59=$B58,$AQ58,0)+$AP59</f>
        <v/>
      </c>
      <c r="AR59" s="55">
        <f>$AR58+$AP59</f>
        <v/>
      </c>
      <c r="AS59" s="57">
        <f>SUMIFS(tblFleet[Calendar_h],tblFleet[Date],$A59,tblFleet[Equipment_Class],"Excavator")</f>
        <v/>
      </c>
      <c r="AT59" s="57">
        <f>IF($B59=$B58,$AT58,0)+$AS59</f>
        <v/>
      </c>
      <c r="AU59" s="57">
        <f>$AU58+$AS59</f>
        <v/>
      </c>
      <c r="AV59" s="57">
        <f>SUMIFS(tblFleet[Available_h],tblFleet[Date],$A59,tblFleet[Equipment_Class],"Excavator")</f>
        <v/>
      </c>
      <c r="AW59" s="57">
        <f>IF($B59=$B58,$AW58,0)+$AV59</f>
        <v/>
      </c>
      <c r="AX59" s="57">
        <f>$AX58+$AV59</f>
        <v/>
      </c>
      <c r="AY59" s="57">
        <f>SUMIFS(tblFleet[Operating_h],tblFleet[Date],$A59,tblFleet[Equipment_Class],"Excavator")</f>
        <v/>
      </c>
      <c r="AZ59" s="57">
        <f>IF($B59=$B58,$AZ58,0)+$AY59</f>
        <v/>
      </c>
      <c r="BA59" s="57">
        <f>$BA58+$AY59</f>
        <v/>
      </c>
      <c r="BB59" s="67">
        <f>IFERROR(IF(($AS59)&gt;0,($AV59)/($AS59),""),"")</f>
        <v/>
      </c>
      <c r="BC59" s="67">
        <f>IFERROR(IF(($AT59)&gt;0,($AW59)/($AT59),""),"")</f>
        <v/>
      </c>
      <c r="BD59" s="67">
        <f>IFERROR(IF(($AU59)&gt;0,($AX59)/($AU59),""),"")</f>
        <v/>
      </c>
      <c r="BE59" s="67">
        <f>IFERROR(IF(($AV59)&gt;0,($AY59)/($AV59),""),"")</f>
        <v/>
      </c>
      <c r="BF59" s="67">
        <f>IFERROR(IF(($AW59)&gt;0,($AZ59)/($AW59),""),"")</f>
        <v/>
      </c>
      <c r="BG59" s="67">
        <f>IFERROR(IF(($AX59)&gt;0,($BA59)/($AX59),""),"")</f>
        <v/>
      </c>
      <c r="BH59" s="57">
        <f>SUMIFS(tblFleet[Calendar_h],tblFleet[Date],$A59,tblFleet[Equipment_Class],"Haul Truck")</f>
        <v/>
      </c>
      <c r="BI59" s="57">
        <f>IF($B59=$B58,$BI58,0)+$BH59</f>
        <v/>
      </c>
      <c r="BJ59" s="57">
        <f>$BJ58+$BH59</f>
        <v/>
      </c>
      <c r="BK59" s="57">
        <f>SUMIFS(tblFleet[Available_h],tblFleet[Date],$A59,tblFleet[Equipment_Class],"Haul Truck")</f>
        <v/>
      </c>
      <c r="BL59" s="57">
        <f>IF($B59=$B58,$BL58,0)+$BK59</f>
        <v/>
      </c>
      <c r="BM59" s="57">
        <f>$BM58+$BK59</f>
        <v/>
      </c>
      <c r="BN59" s="57">
        <f>SUMIFS(tblFleet[Operating_h],tblFleet[Date],$A59,tblFleet[Equipment_Class],"Haul Truck")</f>
        <v/>
      </c>
      <c r="BO59" s="57">
        <f>IF($B59=$B58,$BO58,0)+$BN59</f>
        <v/>
      </c>
      <c r="BP59" s="57">
        <f>$BP58+$BN59</f>
        <v/>
      </c>
      <c r="BQ59" s="67">
        <f>IFERROR(IF(($BH59)&gt;0,($BK59)/($BH59),""),"")</f>
        <v/>
      </c>
      <c r="BR59" s="67">
        <f>IFERROR(IF(($BI59)&gt;0,($BL59)/($BI59),""),"")</f>
        <v/>
      </c>
      <c r="BS59" s="67">
        <f>IFERROR(IF(($BJ59)&gt;0,($BM59)/($BJ59),""),"")</f>
        <v/>
      </c>
      <c r="BT59" s="67">
        <f>IFERROR(IF(($BK59)&gt;0,($BN59)/($BK59),""),"")</f>
        <v/>
      </c>
      <c r="BU59" s="67">
        <f>IFERROR(IF(($BL59)&gt;0,($BO59)/($BL59),""),"")</f>
        <v/>
      </c>
      <c r="BV59" s="67">
        <f>IFERROR(IF(($BM59)&gt;0,($BP59)/($BM59),""),"")</f>
        <v/>
      </c>
      <c r="BW59" s="55">
        <f>SUMIFS(tblPlant[Crushed_t],tblPlant[Date],$A59)</f>
        <v/>
      </c>
      <c r="BX59" s="55">
        <f>IF($B59=$B58,$BX58,0)+$BW59</f>
        <v/>
      </c>
      <c r="BY59" s="55">
        <f>$BY58+$BW59</f>
        <v/>
      </c>
      <c r="BZ59" s="55">
        <f>SUMIFS(tblPlant[Milled_t],tblPlant[Date],$A59)</f>
        <v/>
      </c>
      <c r="CA59" s="55">
        <f>IF($B59=$B58,$CA58,0)+$BZ59</f>
        <v/>
      </c>
      <c r="CB59" s="55">
        <f>$CB58+$BZ59</f>
        <v/>
      </c>
      <c r="CC59" s="55">
        <f>SUMIFS(tblPlant[Feed_oz],tblPlant[Date],$A59)</f>
        <v/>
      </c>
      <c r="CD59" s="55">
        <f>IF($B59=$B58,$CD58,0)+$CC59</f>
        <v/>
      </c>
      <c r="CE59" s="55">
        <f>$CE58+$CC59</f>
        <v/>
      </c>
      <c r="CF59" s="55">
        <f>SUMIFS(tblPlant[Tails_oz],tblPlant[Date],$A59)</f>
        <v/>
      </c>
      <c r="CG59" s="55">
        <f>IF($B59=$B58,$CG58,0)+$CF59</f>
        <v/>
      </c>
      <c r="CH59" s="55">
        <f>$CH58+$CF59</f>
        <v/>
      </c>
      <c r="CI59" s="55">
        <f>SUMIFS(tblPlant[Recovered_oz],tblPlant[Date],$A59)</f>
        <v/>
      </c>
      <c r="CJ59" s="55">
        <f>IF($B59=$B58,$CJ58,0)+$CI59</f>
        <v/>
      </c>
      <c r="CK59" s="55">
        <f>$CK58+$CI59</f>
        <v/>
      </c>
      <c r="CL59" s="56">
        <f>IFERROR(IF(($BZ59)&gt;0,($CC59*cfg_TroyOz)/($BZ59),""),"")</f>
        <v/>
      </c>
      <c r="CM59" s="56">
        <f>IFERROR(IF(($CA59)&gt;0,($CD59*cfg_TroyOz)/($CA59),""),"")</f>
        <v/>
      </c>
      <c r="CN59" s="56">
        <f>IFERROR(IF(($CB59)&gt;0,($CE59*cfg_TroyOz)/($CB59),""),"")</f>
        <v/>
      </c>
      <c r="CO59" s="56">
        <f>IFERROR(IF(($BZ59)&gt;0,($CF59*cfg_TroyOz)/($BZ59),""),"")</f>
        <v/>
      </c>
      <c r="CP59" s="56">
        <f>IFERROR(IF(($CA59)&gt;0,($CG59*cfg_TroyOz)/($CA59),""),"")</f>
        <v/>
      </c>
      <c r="CQ59" s="56">
        <f>IFERROR(IF(($CB59)&gt;0,($CH59*cfg_TroyOz)/($CB59),""),"")</f>
        <v/>
      </c>
      <c r="CR59" s="67">
        <f>IFERROR(IF(($CC59)&gt;0,($CI59)/($CC59),""),"")</f>
        <v/>
      </c>
      <c r="CS59" s="67">
        <f>IFERROR(IF(($CD59)&gt;0,($CJ59)/($CD59),""),"")</f>
        <v/>
      </c>
      <c r="CT59" s="67">
        <f>IFERROR(IF(($CE59)&gt;0,($CK59)/($CE59),""),"")</f>
        <v/>
      </c>
      <c r="CU59" s="55">
        <f>SUMIFS(tblPlant[Gravity_Gold_oz],tblPlant[Date],$A59)</f>
        <v/>
      </c>
      <c r="CV59" s="55">
        <f>IF($B59=$B58,$CV58,0)+$CU59</f>
        <v/>
      </c>
      <c r="CW59" s="55">
        <f>$CW58+$CU59</f>
        <v/>
      </c>
      <c r="CX59" s="55">
        <f>SUMIFS(tblPlant[Gold_Poured_oz],tblPlant[Date],$A59)</f>
        <v/>
      </c>
      <c r="CY59" s="55">
        <f>IF($B59=$B58,$CY58,0)+$CX59</f>
        <v/>
      </c>
      <c r="CZ59" s="55">
        <f>$CZ58+$CX59</f>
        <v/>
      </c>
      <c r="DA59" s="57">
        <f>SUMIFS(tblPlant[Mill_Run_h],tblPlant[Date],$A59)</f>
        <v/>
      </c>
      <c r="DB59" s="57">
        <f>IF($B59=$B58,$DB58,0)+$DA59</f>
        <v/>
      </c>
      <c r="DC59" s="57">
        <f>$DC58+$DA59</f>
        <v/>
      </c>
      <c r="DD59" s="57">
        <f>SUMIFS(tblPlant[Mill_Planned_Maint_h],tblPlant[Date],$A59)</f>
        <v/>
      </c>
      <c r="DE59" s="57">
        <f>IF($B59=$B58,$DE58,0)+$DD59</f>
        <v/>
      </c>
      <c r="DF59" s="57">
        <f>$DF58+$DD59</f>
        <v/>
      </c>
      <c r="DG59" s="57">
        <f>SUMIFS(tblPlant[Mill_Unplanned_Down_h],tblPlant[Date],$A59)</f>
        <v/>
      </c>
      <c r="DH59" s="57">
        <f>IF($B59=$B58,$DH58,0)+$DG59</f>
        <v/>
      </c>
      <c r="DI59" s="57">
        <f>$DI58+$DG59</f>
        <v/>
      </c>
      <c r="DJ59" s="57">
        <f>COUNTIFS(tblPlant[Date],$A59,tblPlant[Mill_Run_h],"&lt;&gt;")*24</f>
        <v/>
      </c>
      <c r="DK59" s="57">
        <f>IF($B59=$B58,$DK58,0)+$DJ59</f>
        <v/>
      </c>
      <c r="DL59" s="57">
        <f>$DL58+$DJ59</f>
        <v/>
      </c>
      <c r="DM59" s="57">
        <f>SUMIFS(tblPlant[Crusher_Run_h],tblPlant[Date],$A59)</f>
        <v/>
      </c>
      <c r="DN59" s="57">
        <f>IF($B59=$B58,$DN58,0)+$DM59</f>
        <v/>
      </c>
      <c r="DO59" s="57">
        <f>$DO58+$DM59</f>
        <v/>
      </c>
      <c r="DP59" s="55">
        <f>IFERROR(IF(($DA59)&gt;0,($BZ59)/($DA59),""),"")</f>
        <v/>
      </c>
      <c r="DQ59" s="55">
        <f>IFERROR(IF(($DB59)&gt;0,($CA59)/($DB59),""),"")</f>
        <v/>
      </c>
      <c r="DR59" s="55">
        <f>IFERROR(IF(($DC59)&gt;0,($CB59)/($DC59),""),"")</f>
        <v/>
      </c>
      <c r="DS59" s="67">
        <f>IFERROR(IF(($DJ59)&gt;0,($DJ59-$DD59-$DG59)/($DJ59),""),"")</f>
        <v/>
      </c>
      <c r="DT59" s="67">
        <f>IFERROR(IF(($DK59)&gt;0,($DK59-$DE59-$DH59)/($DK59),""),"")</f>
        <v/>
      </c>
      <c r="DU59" s="67">
        <f>IFERROR(IF(($DL59)&gt;0,($DL59-$DF59-$DI59)/($DL59),""),"")</f>
        <v/>
      </c>
      <c r="DV59" s="67">
        <f>IFERROR(IF(($DJ59-$DD59-$DG59)&gt;0,($DA59)/($DJ59-$DD59-$DG59),""),"")</f>
        <v/>
      </c>
      <c r="DW59" s="67">
        <f>IFERROR(IF(($DK59-$DE59-$DH59)&gt;0,($DB59)/($DK59-$DE59-$DH59),""),"")</f>
        <v/>
      </c>
      <c r="DX59" s="67">
        <f>IFERROR(IF(($DL59-$DF59-$DI59)&gt;0,($DC59)/($DL59-$DF59-$DI59),""),"")</f>
        <v/>
      </c>
      <c r="DY59" s="55">
        <f>SUMIFS(tblPlant[Cyanide_kg],tblPlant[Date],$A59)</f>
        <v/>
      </c>
      <c r="DZ59" s="55">
        <f>IF($B59=$B58,$DZ58,0)+$DY59</f>
        <v/>
      </c>
      <c r="EA59" s="55">
        <f>$EA58+$DY59</f>
        <v/>
      </c>
      <c r="EB59" s="55">
        <f>SUMIFS(tblPlant[Lime_kg],tblPlant[Date],$A59)</f>
        <v/>
      </c>
      <c r="EC59" s="55">
        <f>IF($B59=$B58,$EC58,0)+$EB59</f>
        <v/>
      </c>
      <c r="ED59" s="55">
        <f>$ED58+$EB59</f>
        <v/>
      </c>
      <c r="EE59" s="55">
        <f>SUMIFS(tblPlant[Grinding_Media_kg],tblPlant[Date],$A59)</f>
        <v/>
      </c>
      <c r="EF59" s="55">
        <f>IF($B59=$B58,$EF58,0)+$EE59</f>
        <v/>
      </c>
      <c r="EG59" s="55">
        <f>$EG58+$EE59</f>
        <v/>
      </c>
      <c r="EH59" s="55">
        <f>SUMIFS(tblPlant[Power_kWh],tblPlant[Date],$A59)</f>
        <v/>
      </c>
      <c r="EI59" s="55">
        <f>IF($B59=$B58,$EI58,0)+$EH59</f>
        <v/>
      </c>
      <c r="EJ59" s="55">
        <f>$EJ58+$EH59</f>
        <v/>
      </c>
      <c r="EK59" s="55">
        <f>SUMIFS(tblPlant[Raw_Water_m3],tblPlant[Date],$A59)</f>
        <v/>
      </c>
      <c r="EL59" s="55">
        <f>IF($B59=$B58,$EL58,0)+$EK59</f>
        <v/>
      </c>
      <c r="EM59" s="55">
        <f>$EM58+$EK59</f>
        <v/>
      </c>
      <c r="EN59" s="56">
        <f>IFERROR(IF(($BZ59)&gt;0,($DY59)/($BZ59),""),"")</f>
        <v/>
      </c>
      <c r="EO59" s="56">
        <f>IFERROR(IF(($CA59)&gt;0,($DZ59)/($CA59),""),"")</f>
        <v/>
      </c>
      <c r="EP59" s="56">
        <f>IFERROR(IF(($CB59)&gt;0,($EA59)/($CB59),""),"")</f>
        <v/>
      </c>
      <c r="EQ59" s="56">
        <f>IFERROR(IF(($BZ59)&gt;0,($EB59)/($BZ59),""),"")</f>
        <v/>
      </c>
      <c r="ER59" s="56">
        <f>IFERROR(IF(($CA59)&gt;0,($EC59)/($CA59),""),"")</f>
        <v/>
      </c>
      <c r="ES59" s="56">
        <f>IFERROR(IF(($CB59)&gt;0,($ED59)/($CB59),""),"")</f>
        <v/>
      </c>
      <c r="ET59" s="56">
        <f>IFERROR(IF(($BZ59)&gt;0,($EE59)/($BZ59),""),"")</f>
        <v/>
      </c>
      <c r="EU59" s="56">
        <f>IFERROR(IF(($CA59)&gt;0,($EF59)/($CA59),""),"")</f>
        <v/>
      </c>
      <c r="EV59" s="56">
        <f>IFERROR(IF(($CB59)&gt;0,($EG59)/($CB59),""),"")</f>
        <v/>
      </c>
      <c r="EW59" s="76">
        <f>IFERROR(IF(($BZ59)&gt;0,($EH59)/($BZ59),""),"")</f>
        <v/>
      </c>
      <c r="EX59" s="76">
        <f>IFERROR(IF(($CA59)&gt;0,($EI59)/($CA59),""),"")</f>
        <v/>
      </c>
      <c r="EY59" s="76">
        <f>IFERROR(IF(($CB59)&gt;0,($EJ59)/($CB59),""),"")</f>
        <v/>
      </c>
      <c r="EZ59" s="56">
        <f>IFERROR(IF(($BZ59)&gt;0,($EK59)/($BZ59),""),"")</f>
        <v/>
      </c>
      <c r="FA59" s="56">
        <f>IFERROR(IF(($CA59)&gt;0,($EL59)/($CA59),""),"")</f>
        <v/>
      </c>
      <c r="FB59" s="56">
        <f>IFERROR(IF(($CB59)&gt;0,($EM59)/($CB59),""),"")</f>
        <v/>
      </c>
      <c r="FC59" s="55">
        <f>IF(SUMIFS(tblPlant[GIC_oz],tblPlant[Date],$A59)&gt;0,SUMIFS(tblPlant[GIC_oz],tblPlant[Date],$A59),"")</f>
        <v/>
      </c>
      <c r="FD59" s="55">
        <f>SUMIFS(tblGold[Gold_oz],tblGold[Date],$A59,tblGold[Type],"Shipment")</f>
        <v/>
      </c>
      <c r="FE59" s="55">
        <f>IF($B59=$B58,$FE58,0)+$FD59</f>
        <v/>
      </c>
      <c r="FF59" s="55">
        <f>$FF58+$FD59</f>
        <v/>
      </c>
      <c r="FG59" s="55">
        <f>SUMIFS(tblGold[Gold_oz],tblGold[Date],$A59,tblGold[Type],"Sale")</f>
        <v/>
      </c>
      <c r="FH59" s="55">
        <f>IF($B59=$B58,$FH58,0)+$FG59</f>
        <v/>
      </c>
      <c r="FI59" s="55">
        <f>$FI58+$FG59</f>
        <v/>
      </c>
      <c r="FJ59" s="55">
        <f>SUMIFS(tblGold[Dore_kg],tblGold[Date],$A59,tblGold[Type],"Shipment")</f>
        <v/>
      </c>
      <c r="FK59" s="55">
        <f>IF($B59=$B58,$FK58,0)+$FJ59</f>
        <v/>
      </c>
      <c r="FL59" s="55">
        <f>$FL58+$FJ59</f>
        <v/>
      </c>
      <c r="FM59" s="57">
        <f>SUMIFS(tblSafety[Hours_Total],tblSafety[Date],$A59)</f>
        <v/>
      </c>
      <c r="FN59" s="57">
        <f>IF($B59=$B58,$FN58,0)+$FM59</f>
        <v/>
      </c>
      <c r="FO59" s="57">
        <f>$FO58+$FM59</f>
        <v/>
      </c>
      <c r="FP59" s="62">
        <f>SUMIFS(tblSafety[Fatality],tblSafety[Date],$A59)</f>
        <v/>
      </c>
      <c r="FQ59" s="62">
        <f>IF($B59=$B58,$FQ58,0)+$FP59</f>
        <v/>
      </c>
      <c r="FR59" s="62">
        <f>$FR58+$FP59</f>
        <v/>
      </c>
      <c r="FS59" s="62">
        <f>SUMIFS(tblSafety[LTI],tblSafety[Date],$A59)</f>
        <v/>
      </c>
      <c r="FT59" s="62">
        <f>IF($B59=$B58,$FT58,0)+$FS59</f>
        <v/>
      </c>
      <c r="FU59" s="62">
        <f>$FU58+$FS59</f>
        <v/>
      </c>
      <c r="FV59" s="62">
        <f>SUMIFS(tblSafety[RWI],tblSafety[Date],$A59)</f>
        <v/>
      </c>
      <c r="FW59" s="62">
        <f>IF($B59=$B58,$FW58,0)+$FV59</f>
        <v/>
      </c>
      <c r="FX59" s="62">
        <f>$FX58+$FV59</f>
        <v/>
      </c>
      <c r="FY59" s="62">
        <f>SUMIFS(tblSafety[MTI],tblSafety[Date],$A59)</f>
        <v/>
      </c>
      <c r="FZ59" s="62">
        <f>IF($B59=$B58,$FZ58,0)+$FY59</f>
        <v/>
      </c>
      <c r="GA59" s="62">
        <f>$GA58+$FY59</f>
        <v/>
      </c>
      <c r="GB59" s="62">
        <f>SUMIFS(tblSafety[FAI],tblSafety[Date],$A59)</f>
        <v/>
      </c>
      <c r="GC59" s="62">
        <f>IF($B59=$B58,$GC58,0)+$GB59</f>
        <v/>
      </c>
      <c r="GD59" s="62">
        <f>$GD58+$GB59</f>
        <v/>
      </c>
      <c r="GE59" s="62">
        <f>SUMIFS(tblSafety[Recordables],tblSafety[Date],$A59)</f>
        <v/>
      </c>
      <c r="GF59" s="62">
        <f>IF($B59=$B58,$GF58,0)+$GE59</f>
        <v/>
      </c>
      <c r="GG59" s="62">
        <f>$GG58+$GE59</f>
        <v/>
      </c>
      <c r="GH59" s="62">
        <f>SUMIFS(tblSafety[Near_Miss],tblSafety[Date],$A59)</f>
        <v/>
      </c>
      <c r="GI59" s="62">
        <f>IF($B59=$B58,$GI58,0)+$GH59</f>
        <v/>
      </c>
      <c r="GJ59" s="62">
        <f>$GJ58+$GH59</f>
        <v/>
      </c>
      <c r="GK59" s="62">
        <f>SUMIFS(tblSafety[Hazard_Reports],tblSafety[Date],$A59)</f>
        <v/>
      </c>
      <c r="GL59" s="62">
        <f>IF($B59=$B58,$GL58,0)+$GK59</f>
        <v/>
      </c>
      <c r="GM59" s="62">
        <f>$GM58+$GK59</f>
        <v/>
      </c>
      <c r="GN59" s="62">
        <f>SUMIFS(tblSafety[HPI],tblSafety[Date],$A59)</f>
        <v/>
      </c>
      <c r="GO59" s="62">
        <f>IF($B59=$B58,$GO58,0)+$GN59</f>
        <v/>
      </c>
      <c r="GP59" s="62">
        <f>$GP58+$GN59</f>
        <v/>
      </c>
      <c r="GQ59" s="62">
        <f>SUMIFS(tblSafety[Env_Incidents],tblSafety[Date],$A59)</f>
        <v/>
      </c>
      <c r="GR59" s="62">
        <f>IF($B59=$B58,$GR58,0)+$GQ59</f>
        <v/>
      </c>
      <c r="GS59" s="62">
        <f>$GS58+$GQ59</f>
        <v/>
      </c>
      <c r="GT59" s="62">
        <f>SUMIFS(tblSafety[Community_Incidents],tblSafety[Date],$A59)</f>
        <v/>
      </c>
      <c r="GU59" s="62">
        <f>IF($B59=$B58,$GU58,0)+$GT59</f>
        <v/>
      </c>
      <c r="GV59" s="62">
        <f>$GV58+$GT59</f>
        <v/>
      </c>
      <c r="GW59" s="62">
        <f>SUMIFS(tblSafety[Vehicle_Incidents],tblSafety[Date],$A59)</f>
        <v/>
      </c>
      <c r="GX59" s="62">
        <f>IF($B59=$B58,$GX58,0)+$GW59</f>
        <v/>
      </c>
      <c r="GY59" s="62">
        <f>$GY58+$GW59</f>
        <v/>
      </c>
      <c r="GZ59" s="62">
        <f>SUMIFS(tblSafety[Toolbox_Talks],tblSafety[Date],$A59)</f>
        <v/>
      </c>
      <c r="HA59" s="62">
        <f>IF($B59=$B58,$HA58,0)+$GZ59</f>
        <v/>
      </c>
      <c r="HB59" s="62">
        <f>$HB58+$GZ59</f>
        <v/>
      </c>
      <c r="HC59" s="62">
        <f>SUMIFS(tblSafety[Inspections],tblSafety[Date],$A59)</f>
        <v/>
      </c>
      <c r="HD59" s="62">
        <f>IF($B59=$B58,$HD58,0)+$HC59</f>
        <v/>
      </c>
      <c r="HE59" s="62">
        <f>$HE58+$HC59</f>
        <v/>
      </c>
      <c r="HF59" s="56">
        <f>IFERROR((SUMIFS(tblSafety[Recordables],tblSafety[Date],"&gt;="&amp;EDATE($E59,-12),tblSafety[Date],"&lt;="&amp;$A59)+SUMIFS(tblSafetyHistory[Recordables],tblSafetyHistory[Month],"&gt;="&amp;EDATE($E59,-12),tblSafetyHistory[Month],"&lt;"&amp;cfg_YearStart))/(SUMIFS(tblSafety[Hours_Total],tblSafety[Date],"&gt;="&amp;EDATE($E59,-12),tblSafety[Date],"&lt;="&amp;$A59)+SUMIFS(tblSafetyHistory[Hours_Total],tblSafetyHistory[Month],"&gt;="&amp;EDATE($E59,-12),tblSafetyHistory[Month],"&lt;"&amp;cfg_YearStart))*1000000,"")</f>
        <v/>
      </c>
      <c r="HG59" s="56">
        <f>IFERROR((SUMIFS(tblSafety[LTI],tblSafety[Date],"&gt;="&amp;EDATE($E59,-12),tblSafety[Date],"&lt;="&amp;$A59)+SUMIFS(tblSafetyHistory[LTI],tblSafetyHistory[Month],"&gt;="&amp;EDATE($E59,-12),tblSafetyHistory[Month],"&lt;"&amp;cfg_YearStart))/(SUMIFS(tblSafety[Hours_Total],tblSafety[Date],"&gt;="&amp;EDATE($E59,-12),tblSafety[Date],"&lt;="&amp;$A59)+SUMIFS(tblSafetyHistory[Hours_Total],tblSafetyHistory[Month],"&gt;="&amp;EDATE($E59,-12),tblSafetyHistory[Month],"&lt;"&amp;cfg_YearStart))*1000000,"")</f>
        <v/>
      </c>
      <c r="HH59" s="62">
        <f>IF(MAX(N(cfg_PriorLTIDate),_xlfn.MAXIFS(tblSafety[Date],tblSafety[LTI],"&gt;0",tblSafety[Date],"&lt;="&amp;$A59))=0,"",$A59-MAX(N(cfg_PriorLTIDate),_xlfn.MAXIFS(tblSafety[Date],tblSafety[LTI],"&gt;0",tblSafety[Date],"&lt;="&amp;$A59)))</f>
        <v/>
      </c>
      <c r="HI59" s="55">
        <f>SUMIFS(tblBudget[Ore_Mined_t],tblBudget[Month],$E59)</f>
        <v/>
      </c>
      <c r="HJ59" s="55">
        <f>$HI59*$C59/$D59</f>
        <v/>
      </c>
      <c r="HK59" s="55">
        <f>SUMIFS(tblBudget[Ore_Mined_t],tblBudget[Month],"&lt;"&amp;$E59)+$HJ59</f>
        <v/>
      </c>
      <c r="HL59" s="55">
        <f>SUMIFS(tblBudget[Ore_oz],tblBudget[Month],$E59)</f>
        <v/>
      </c>
      <c r="HM59" s="55">
        <f>$HL59*$C59/$D59</f>
        <v/>
      </c>
      <c r="HN59" s="55">
        <f>SUMIFS(tblBudget[Ore_oz],tblBudget[Month],"&lt;"&amp;$E59)+$HM59</f>
        <v/>
      </c>
      <c r="HO59" s="56">
        <f>IFERROR(IF(($HI59)&gt;0,($HL59*cfg_TroyOz)/($HI59),""),"")</f>
        <v/>
      </c>
      <c r="HP59" s="56">
        <f>IFERROR(IF(($HJ59)&gt;0,($HM59*cfg_TroyOz)/($HJ59),""),"")</f>
        <v/>
      </c>
      <c r="HQ59" s="56">
        <f>IFERROR(IF(($HK59)&gt;0,($HN59*cfg_TroyOz)/($HK59),""),"")</f>
        <v/>
      </c>
      <c r="HR59" s="55">
        <f>SUMIFS(tblBudget[Waste_t],tblBudget[Month],$E59)</f>
        <v/>
      </c>
      <c r="HS59" s="55">
        <f>$HR59*$C59/$D59</f>
        <v/>
      </c>
      <c r="HT59" s="55">
        <f>SUMIFS(tblBudget[Waste_t],tblBudget[Month],"&lt;"&amp;$E59)+$HS59</f>
        <v/>
      </c>
      <c r="HU59" s="55">
        <f>SUMIFS(tblBudget[TMM_t],tblBudget[Month],$E59)</f>
        <v/>
      </c>
      <c r="HV59" s="55">
        <f>$HU59*$C59/$D59</f>
        <v/>
      </c>
      <c r="HW59" s="55">
        <f>SUMIFS(tblBudget[TMM_t],tblBudget[Month],"&lt;"&amp;$E59)+$HV59</f>
        <v/>
      </c>
      <c r="HX59" s="56">
        <f>IFERROR(IF(($HI59)&gt;0,($HR59)/($HI59),""),"")</f>
        <v/>
      </c>
      <c r="HY59" s="56">
        <f>IFERROR(IF(($HJ59)&gt;0,($HS59)/($HJ59),""),"")</f>
        <v/>
      </c>
      <c r="HZ59" s="56">
        <f>IFERROR(IF(($HK59)&gt;0,($HT59)/($HK59),""),"")</f>
        <v/>
      </c>
      <c r="IA59" s="55">
        <f>SUMIFS(tblBudget[Drill_m],tblBudget[Month],$E59)</f>
        <v/>
      </c>
      <c r="IB59" s="55">
        <f>$IA59*$C59/$D59</f>
        <v/>
      </c>
      <c r="IC59" s="55">
        <f>SUMIFS(tblBudget[Drill_m],tblBudget[Month],"&lt;"&amp;$E59)+$IB59</f>
        <v/>
      </c>
      <c r="ID59" s="55">
        <f>SUMIFS(tblBudget[Diesel_L],tblBudget[Month],$E59)</f>
        <v/>
      </c>
      <c r="IE59" s="55">
        <f>$ID59*$C59/$D59</f>
        <v/>
      </c>
      <c r="IF59" s="55">
        <f>SUMIFS(tblBudget[Diesel_L],tblBudget[Month],"&lt;"&amp;$E59)+$IE59</f>
        <v/>
      </c>
      <c r="IG59" s="55">
        <f>SUMIFS(tblBudget[Milled_t],tblBudget[Month],$E59)</f>
        <v/>
      </c>
      <c r="IH59" s="55">
        <f>$IG59*$C59/$D59</f>
        <v/>
      </c>
      <c r="II59" s="55">
        <f>SUMIFS(tblBudget[Milled_t],tblBudget[Month],"&lt;"&amp;$E59)+$IH59</f>
        <v/>
      </c>
      <c r="IJ59" s="55">
        <f>SUMIFS(tblBudget[Feed_oz],tblBudget[Month],$E59)</f>
        <v/>
      </c>
      <c r="IK59" s="55">
        <f>$IJ59*$C59/$D59</f>
        <v/>
      </c>
      <c r="IL59" s="55">
        <f>SUMIFS(tblBudget[Feed_oz],tblBudget[Month],"&lt;"&amp;$E59)+$IK59</f>
        <v/>
      </c>
      <c r="IM59" s="55">
        <f>SUMIFS(tblBudget[Recovered_oz],tblBudget[Month],$E59)</f>
        <v/>
      </c>
      <c r="IN59" s="55">
        <f>$IM59*$C59/$D59</f>
        <v/>
      </c>
      <c r="IO59" s="55">
        <f>SUMIFS(tblBudget[Recovered_oz],tblBudget[Month],"&lt;"&amp;$E59)+$IN59</f>
        <v/>
      </c>
      <c r="IP59" s="56">
        <f>IFERROR(IF(($IG59)&gt;0,($IJ59*cfg_TroyOz)/($IG59),""),"")</f>
        <v/>
      </c>
      <c r="IQ59" s="56">
        <f>IFERROR(IF(($IH59)&gt;0,($IK59*cfg_TroyOz)/($IH59),""),"")</f>
        <v/>
      </c>
      <c r="IR59" s="56">
        <f>IFERROR(IF(($II59)&gt;0,($IL59*cfg_TroyOz)/($II59),""),"")</f>
        <v/>
      </c>
      <c r="IS59" s="67">
        <f>IFERROR(IF(($IJ59)&gt;0,($IM59)/($IJ59),""),"")</f>
        <v/>
      </c>
      <c r="IT59" s="67">
        <f>IFERROR(IF(($IK59)&gt;0,($IN59)/($IK59),""),"")</f>
        <v/>
      </c>
      <c r="IU59" s="67">
        <f>IFERROR(IF(($IL59)&gt;0,($IO59)/($IL59),""),"")</f>
        <v/>
      </c>
      <c r="IV59" s="55">
        <f>SUMIFS(tblBudget[Gold_Poured_oz],tblBudget[Month],$E59)</f>
        <v/>
      </c>
      <c r="IW59" s="55">
        <f>$IV59*$C59/$D59</f>
        <v/>
      </c>
      <c r="IX59" s="55">
        <f>SUMIFS(tblBudget[Gold_Poured_oz],tblBudget[Month],"&lt;"&amp;$E59)+$IW59</f>
        <v/>
      </c>
      <c r="IY59" s="57">
        <f>SUMIFS(tblBudget[Hours_Worked],tblBudget[Month],$E59)</f>
        <v/>
      </c>
      <c r="IZ59" s="57">
        <f>$IY59*$C59/$D59</f>
        <v/>
      </c>
      <c r="JA59" s="57">
        <f>SUMIFS(tblBudget[Hours_Worked],tblBudget[Month],"&lt;"&amp;$E59)+$IZ59</f>
        <v/>
      </c>
    </row>
    <row r="60">
      <c r="A60" s="54" t="n">
        <v>46081</v>
      </c>
      <c r="B60">
        <f>MONTH($A60)</f>
        <v/>
      </c>
      <c r="C60">
        <f>DAY($A60)</f>
        <v/>
      </c>
      <c r="D60">
        <f>DAY(EOMONTH($A60,0))</f>
        <v/>
      </c>
      <c r="E60" s="54">
        <f>DATE(YEAR($A60),MONTH($A60),1)</f>
        <v/>
      </c>
      <c r="F60" s="55">
        <f>SUMIFS(tblMovement[Tonnes_t],tblMovement[Date],$A60,tblMovement[Is_Ore],1,tblMovement[Source_Type],"Pit")</f>
        <v/>
      </c>
      <c r="G60" s="55">
        <f>IF($B60=$B59,$G59,0)+$F60</f>
        <v/>
      </c>
      <c r="H60" s="55">
        <f>$H59+$F60</f>
        <v/>
      </c>
      <c r="I60" s="55">
        <f>SUMIFS(tblMovement[Ore_oz],tblMovement[Date],$A60,tblMovement[Source_Type],"Pit")</f>
        <v/>
      </c>
      <c r="J60" s="55">
        <f>IF($B60=$B59,$J59,0)+$I60</f>
        <v/>
      </c>
      <c r="K60" s="55">
        <f>$K59+$I60</f>
        <v/>
      </c>
      <c r="L60" s="56">
        <f>IFERROR(IF(($F60)&gt;0,($I60*cfg_TroyOz)/($F60),""),"")</f>
        <v/>
      </c>
      <c r="M60" s="56">
        <f>IFERROR(IF(($G60)&gt;0,($J60*cfg_TroyOz)/($G60),""),"")</f>
        <v/>
      </c>
      <c r="N60" s="56">
        <f>IFERROR(IF(($H60)&gt;0,($K60*cfg_TroyOz)/($H60),""),"")</f>
        <v/>
      </c>
      <c r="O60" s="55">
        <f>SUMIFS(tblMovement[Tonnes_t],tblMovement[Date],$A60,tblMovement[Is_Ore],0,tblMovement[Source_Type],"Pit")</f>
        <v/>
      </c>
      <c r="P60" s="55">
        <f>IF($B60=$B59,$P59,0)+$O60</f>
        <v/>
      </c>
      <c r="Q60" s="55">
        <f>$Q59+$O60</f>
        <v/>
      </c>
      <c r="R60" s="55">
        <f>$F60+$O60</f>
        <v/>
      </c>
      <c r="S60" s="55">
        <f>IF($B60=$B59,$S59,0)+$R60</f>
        <v/>
      </c>
      <c r="T60" s="55">
        <f>$T59+$R60</f>
        <v/>
      </c>
      <c r="U60" s="56">
        <f>IFERROR(IF(($F60)&gt;0,($O60)/($F60),""),"")</f>
        <v/>
      </c>
      <c r="V60" s="56">
        <f>IFERROR(IF(($G60)&gt;0,($P60)/($G60),""),"")</f>
        <v/>
      </c>
      <c r="W60" s="56">
        <f>IFERROR(IF(($H60)&gt;0,($Q60)/($H60),""),"")</f>
        <v/>
      </c>
      <c r="X60" s="55">
        <f>SUMIFS(tblMovement[Tonnes_t],tblMovement[Date],$A60,tblMovement[Source_Type],"Stockpile")</f>
        <v/>
      </c>
      <c r="Y60" s="55">
        <f>IF($B60=$B59,$Y59,0)+$X60</f>
        <v/>
      </c>
      <c r="Z60" s="55">
        <f>$Z59+$X60</f>
        <v/>
      </c>
      <c r="AA60" s="55">
        <f>SUMIFS(tblMiningDaily[Drill_m],tblMiningDaily[Date],$A60)</f>
        <v/>
      </c>
      <c r="AB60" s="55">
        <f>IF($B60=$B59,$AB59,0)+$AA60</f>
        <v/>
      </c>
      <c r="AC60" s="55">
        <f>$AC59+$AA60</f>
        <v/>
      </c>
      <c r="AD60" s="55">
        <f>SUMIFS(tblMiningDaily[Blast_t],tblMiningDaily[Date],$A60)</f>
        <v/>
      </c>
      <c r="AE60" s="55">
        <f>IF($B60=$B59,$AE59,0)+$AD60</f>
        <v/>
      </c>
      <c r="AF60" s="55">
        <f>$AF59+$AD60</f>
        <v/>
      </c>
      <c r="AG60" s="55">
        <f>SUMIFS(tblMiningDaily[Explosives_kg],tblMiningDaily[Date],$A60)</f>
        <v/>
      </c>
      <c r="AH60" s="55">
        <f>IF($B60=$B59,$AH59,0)+$AG60</f>
        <v/>
      </c>
      <c r="AI60" s="55">
        <f>$AI59+$AG60</f>
        <v/>
      </c>
      <c r="AJ60" s="56">
        <f>IFERROR(IF(($AD60)&gt;0,($AG60)/($AD60),""),"")</f>
        <v/>
      </c>
      <c r="AK60" s="56">
        <f>IFERROR(IF(($AE60)&gt;0,($AH60)/($AE60),""),"")</f>
        <v/>
      </c>
      <c r="AL60" s="56">
        <f>IFERROR(IF(($AF60)&gt;0,($AI60)/($AF60),""),"")</f>
        <v/>
      </c>
      <c r="AM60" s="55">
        <f>SUMIFS(tblMiningDaily[Diesel_L],tblMiningDaily[Date],$A60)</f>
        <v/>
      </c>
      <c r="AN60" s="55">
        <f>IF($B60=$B59,$AN59,0)+$AM60</f>
        <v/>
      </c>
      <c r="AO60" s="55">
        <f>$AO59+$AM60</f>
        <v/>
      </c>
      <c r="AP60" s="55">
        <f>SUMIFS(tblMiningDaily[Dewatering_m3],tblMiningDaily[Date],$A60)</f>
        <v/>
      </c>
      <c r="AQ60" s="55">
        <f>IF($B60=$B59,$AQ59,0)+$AP60</f>
        <v/>
      </c>
      <c r="AR60" s="55">
        <f>$AR59+$AP60</f>
        <v/>
      </c>
      <c r="AS60" s="57">
        <f>SUMIFS(tblFleet[Calendar_h],tblFleet[Date],$A60,tblFleet[Equipment_Class],"Excavator")</f>
        <v/>
      </c>
      <c r="AT60" s="57">
        <f>IF($B60=$B59,$AT59,0)+$AS60</f>
        <v/>
      </c>
      <c r="AU60" s="57">
        <f>$AU59+$AS60</f>
        <v/>
      </c>
      <c r="AV60" s="57">
        <f>SUMIFS(tblFleet[Available_h],tblFleet[Date],$A60,tblFleet[Equipment_Class],"Excavator")</f>
        <v/>
      </c>
      <c r="AW60" s="57">
        <f>IF($B60=$B59,$AW59,0)+$AV60</f>
        <v/>
      </c>
      <c r="AX60" s="57">
        <f>$AX59+$AV60</f>
        <v/>
      </c>
      <c r="AY60" s="57">
        <f>SUMIFS(tblFleet[Operating_h],tblFleet[Date],$A60,tblFleet[Equipment_Class],"Excavator")</f>
        <v/>
      </c>
      <c r="AZ60" s="57">
        <f>IF($B60=$B59,$AZ59,0)+$AY60</f>
        <v/>
      </c>
      <c r="BA60" s="57">
        <f>$BA59+$AY60</f>
        <v/>
      </c>
      <c r="BB60" s="67">
        <f>IFERROR(IF(($AS60)&gt;0,($AV60)/($AS60),""),"")</f>
        <v/>
      </c>
      <c r="BC60" s="67">
        <f>IFERROR(IF(($AT60)&gt;0,($AW60)/($AT60),""),"")</f>
        <v/>
      </c>
      <c r="BD60" s="67">
        <f>IFERROR(IF(($AU60)&gt;0,($AX60)/($AU60),""),"")</f>
        <v/>
      </c>
      <c r="BE60" s="67">
        <f>IFERROR(IF(($AV60)&gt;0,($AY60)/($AV60),""),"")</f>
        <v/>
      </c>
      <c r="BF60" s="67">
        <f>IFERROR(IF(($AW60)&gt;0,($AZ60)/($AW60),""),"")</f>
        <v/>
      </c>
      <c r="BG60" s="67">
        <f>IFERROR(IF(($AX60)&gt;0,($BA60)/($AX60),""),"")</f>
        <v/>
      </c>
      <c r="BH60" s="57">
        <f>SUMIFS(tblFleet[Calendar_h],tblFleet[Date],$A60,tblFleet[Equipment_Class],"Haul Truck")</f>
        <v/>
      </c>
      <c r="BI60" s="57">
        <f>IF($B60=$B59,$BI59,0)+$BH60</f>
        <v/>
      </c>
      <c r="BJ60" s="57">
        <f>$BJ59+$BH60</f>
        <v/>
      </c>
      <c r="BK60" s="57">
        <f>SUMIFS(tblFleet[Available_h],tblFleet[Date],$A60,tblFleet[Equipment_Class],"Haul Truck")</f>
        <v/>
      </c>
      <c r="BL60" s="57">
        <f>IF($B60=$B59,$BL59,0)+$BK60</f>
        <v/>
      </c>
      <c r="BM60" s="57">
        <f>$BM59+$BK60</f>
        <v/>
      </c>
      <c r="BN60" s="57">
        <f>SUMIFS(tblFleet[Operating_h],tblFleet[Date],$A60,tblFleet[Equipment_Class],"Haul Truck")</f>
        <v/>
      </c>
      <c r="BO60" s="57">
        <f>IF($B60=$B59,$BO59,0)+$BN60</f>
        <v/>
      </c>
      <c r="BP60" s="57">
        <f>$BP59+$BN60</f>
        <v/>
      </c>
      <c r="BQ60" s="67">
        <f>IFERROR(IF(($BH60)&gt;0,($BK60)/($BH60),""),"")</f>
        <v/>
      </c>
      <c r="BR60" s="67">
        <f>IFERROR(IF(($BI60)&gt;0,($BL60)/($BI60),""),"")</f>
        <v/>
      </c>
      <c r="BS60" s="67">
        <f>IFERROR(IF(($BJ60)&gt;0,($BM60)/($BJ60),""),"")</f>
        <v/>
      </c>
      <c r="BT60" s="67">
        <f>IFERROR(IF(($BK60)&gt;0,($BN60)/($BK60),""),"")</f>
        <v/>
      </c>
      <c r="BU60" s="67">
        <f>IFERROR(IF(($BL60)&gt;0,($BO60)/($BL60),""),"")</f>
        <v/>
      </c>
      <c r="BV60" s="67">
        <f>IFERROR(IF(($BM60)&gt;0,($BP60)/($BM60),""),"")</f>
        <v/>
      </c>
      <c r="BW60" s="55">
        <f>SUMIFS(tblPlant[Crushed_t],tblPlant[Date],$A60)</f>
        <v/>
      </c>
      <c r="BX60" s="55">
        <f>IF($B60=$B59,$BX59,0)+$BW60</f>
        <v/>
      </c>
      <c r="BY60" s="55">
        <f>$BY59+$BW60</f>
        <v/>
      </c>
      <c r="BZ60" s="55">
        <f>SUMIFS(tblPlant[Milled_t],tblPlant[Date],$A60)</f>
        <v/>
      </c>
      <c r="CA60" s="55">
        <f>IF($B60=$B59,$CA59,0)+$BZ60</f>
        <v/>
      </c>
      <c r="CB60" s="55">
        <f>$CB59+$BZ60</f>
        <v/>
      </c>
      <c r="CC60" s="55">
        <f>SUMIFS(tblPlant[Feed_oz],tblPlant[Date],$A60)</f>
        <v/>
      </c>
      <c r="CD60" s="55">
        <f>IF($B60=$B59,$CD59,0)+$CC60</f>
        <v/>
      </c>
      <c r="CE60" s="55">
        <f>$CE59+$CC60</f>
        <v/>
      </c>
      <c r="CF60" s="55">
        <f>SUMIFS(tblPlant[Tails_oz],tblPlant[Date],$A60)</f>
        <v/>
      </c>
      <c r="CG60" s="55">
        <f>IF($B60=$B59,$CG59,0)+$CF60</f>
        <v/>
      </c>
      <c r="CH60" s="55">
        <f>$CH59+$CF60</f>
        <v/>
      </c>
      <c r="CI60" s="55">
        <f>SUMIFS(tblPlant[Recovered_oz],tblPlant[Date],$A60)</f>
        <v/>
      </c>
      <c r="CJ60" s="55">
        <f>IF($B60=$B59,$CJ59,0)+$CI60</f>
        <v/>
      </c>
      <c r="CK60" s="55">
        <f>$CK59+$CI60</f>
        <v/>
      </c>
      <c r="CL60" s="56">
        <f>IFERROR(IF(($BZ60)&gt;0,($CC60*cfg_TroyOz)/($BZ60),""),"")</f>
        <v/>
      </c>
      <c r="CM60" s="56">
        <f>IFERROR(IF(($CA60)&gt;0,($CD60*cfg_TroyOz)/($CA60),""),"")</f>
        <v/>
      </c>
      <c r="CN60" s="56">
        <f>IFERROR(IF(($CB60)&gt;0,($CE60*cfg_TroyOz)/($CB60),""),"")</f>
        <v/>
      </c>
      <c r="CO60" s="56">
        <f>IFERROR(IF(($BZ60)&gt;0,($CF60*cfg_TroyOz)/($BZ60),""),"")</f>
        <v/>
      </c>
      <c r="CP60" s="56">
        <f>IFERROR(IF(($CA60)&gt;0,($CG60*cfg_TroyOz)/($CA60),""),"")</f>
        <v/>
      </c>
      <c r="CQ60" s="56">
        <f>IFERROR(IF(($CB60)&gt;0,($CH60*cfg_TroyOz)/($CB60),""),"")</f>
        <v/>
      </c>
      <c r="CR60" s="67">
        <f>IFERROR(IF(($CC60)&gt;0,($CI60)/($CC60),""),"")</f>
        <v/>
      </c>
      <c r="CS60" s="67">
        <f>IFERROR(IF(($CD60)&gt;0,($CJ60)/($CD60),""),"")</f>
        <v/>
      </c>
      <c r="CT60" s="67">
        <f>IFERROR(IF(($CE60)&gt;0,($CK60)/($CE60),""),"")</f>
        <v/>
      </c>
      <c r="CU60" s="55">
        <f>SUMIFS(tblPlant[Gravity_Gold_oz],tblPlant[Date],$A60)</f>
        <v/>
      </c>
      <c r="CV60" s="55">
        <f>IF($B60=$B59,$CV59,0)+$CU60</f>
        <v/>
      </c>
      <c r="CW60" s="55">
        <f>$CW59+$CU60</f>
        <v/>
      </c>
      <c r="CX60" s="55">
        <f>SUMIFS(tblPlant[Gold_Poured_oz],tblPlant[Date],$A60)</f>
        <v/>
      </c>
      <c r="CY60" s="55">
        <f>IF($B60=$B59,$CY59,0)+$CX60</f>
        <v/>
      </c>
      <c r="CZ60" s="55">
        <f>$CZ59+$CX60</f>
        <v/>
      </c>
      <c r="DA60" s="57">
        <f>SUMIFS(tblPlant[Mill_Run_h],tblPlant[Date],$A60)</f>
        <v/>
      </c>
      <c r="DB60" s="57">
        <f>IF($B60=$B59,$DB59,0)+$DA60</f>
        <v/>
      </c>
      <c r="DC60" s="57">
        <f>$DC59+$DA60</f>
        <v/>
      </c>
      <c r="DD60" s="57">
        <f>SUMIFS(tblPlant[Mill_Planned_Maint_h],tblPlant[Date],$A60)</f>
        <v/>
      </c>
      <c r="DE60" s="57">
        <f>IF($B60=$B59,$DE59,0)+$DD60</f>
        <v/>
      </c>
      <c r="DF60" s="57">
        <f>$DF59+$DD60</f>
        <v/>
      </c>
      <c r="DG60" s="57">
        <f>SUMIFS(tblPlant[Mill_Unplanned_Down_h],tblPlant[Date],$A60)</f>
        <v/>
      </c>
      <c r="DH60" s="57">
        <f>IF($B60=$B59,$DH59,0)+$DG60</f>
        <v/>
      </c>
      <c r="DI60" s="57">
        <f>$DI59+$DG60</f>
        <v/>
      </c>
      <c r="DJ60" s="57">
        <f>COUNTIFS(tblPlant[Date],$A60,tblPlant[Mill_Run_h],"&lt;&gt;")*24</f>
        <v/>
      </c>
      <c r="DK60" s="57">
        <f>IF($B60=$B59,$DK59,0)+$DJ60</f>
        <v/>
      </c>
      <c r="DL60" s="57">
        <f>$DL59+$DJ60</f>
        <v/>
      </c>
      <c r="DM60" s="57">
        <f>SUMIFS(tblPlant[Crusher_Run_h],tblPlant[Date],$A60)</f>
        <v/>
      </c>
      <c r="DN60" s="57">
        <f>IF($B60=$B59,$DN59,0)+$DM60</f>
        <v/>
      </c>
      <c r="DO60" s="57">
        <f>$DO59+$DM60</f>
        <v/>
      </c>
      <c r="DP60" s="55">
        <f>IFERROR(IF(($DA60)&gt;0,($BZ60)/($DA60),""),"")</f>
        <v/>
      </c>
      <c r="DQ60" s="55">
        <f>IFERROR(IF(($DB60)&gt;0,($CA60)/($DB60),""),"")</f>
        <v/>
      </c>
      <c r="DR60" s="55">
        <f>IFERROR(IF(($DC60)&gt;0,($CB60)/($DC60),""),"")</f>
        <v/>
      </c>
      <c r="DS60" s="67">
        <f>IFERROR(IF(($DJ60)&gt;0,($DJ60-$DD60-$DG60)/($DJ60),""),"")</f>
        <v/>
      </c>
      <c r="DT60" s="67">
        <f>IFERROR(IF(($DK60)&gt;0,($DK60-$DE60-$DH60)/($DK60),""),"")</f>
        <v/>
      </c>
      <c r="DU60" s="67">
        <f>IFERROR(IF(($DL60)&gt;0,($DL60-$DF60-$DI60)/($DL60),""),"")</f>
        <v/>
      </c>
      <c r="DV60" s="67">
        <f>IFERROR(IF(($DJ60-$DD60-$DG60)&gt;0,($DA60)/($DJ60-$DD60-$DG60),""),"")</f>
        <v/>
      </c>
      <c r="DW60" s="67">
        <f>IFERROR(IF(($DK60-$DE60-$DH60)&gt;0,($DB60)/($DK60-$DE60-$DH60),""),"")</f>
        <v/>
      </c>
      <c r="DX60" s="67">
        <f>IFERROR(IF(($DL60-$DF60-$DI60)&gt;0,($DC60)/($DL60-$DF60-$DI60),""),"")</f>
        <v/>
      </c>
      <c r="DY60" s="55">
        <f>SUMIFS(tblPlant[Cyanide_kg],tblPlant[Date],$A60)</f>
        <v/>
      </c>
      <c r="DZ60" s="55">
        <f>IF($B60=$B59,$DZ59,0)+$DY60</f>
        <v/>
      </c>
      <c r="EA60" s="55">
        <f>$EA59+$DY60</f>
        <v/>
      </c>
      <c r="EB60" s="55">
        <f>SUMIFS(tblPlant[Lime_kg],tblPlant[Date],$A60)</f>
        <v/>
      </c>
      <c r="EC60" s="55">
        <f>IF($B60=$B59,$EC59,0)+$EB60</f>
        <v/>
      </c>
      <c r="ED60" s="55">
        <f>$ED59+$EB60</f>
        <v/>
      </c>
      <c r="EE60" s="55">
        <f>SUMIFS(tblPlant[Grinding_Media_kg],tblPlant[Date],$A60)</f>
        <v/>
      </c>
      <c r="EF60" s="55">
        <f>IF($B60=$B59,$EF59,0)+$EE60</f>
        <v/>
      </c>
      <c r="EG60" s="55">
        <f>$EG59+$EE60</f>
        <v/>
      </c>
      <c r="EH60" s="55">
        <f>SUMIFS(tblPlant[Power_kWh],tblPlant[Date],$A60)</f>
        <v/>
      </c>
      <c r="EI60" s="55">
        <f>IF($B60=$B59,$EI59,0)+$EH60</f>
        <v/>
      </c>
      <c r="EJ60" s="55">
        <f>$EJ59+$EH60</f>
        <v/>
      </c>
      <c r="EK60" s="55">
        <f>SUMIFS(tblPlant[Raw_Water_m3],tblPlant[Date],$A60)</f>
        <v/>
      </c>
      <c r="EL60" s="55">
        <f>IF($B60=$B59,$EL59,0)+$EK60</f>
        <v/>
      </c>
      <c r="EM60" s="55">
        <f>$EM59+$EK60</f>
        <v/>
      </c>
      <c r="EN60" s="56">
        <f>IFERROR(IF(($BZ60)&gt;0,($DY60)/($BZ60),""),"")</f>
        <v/>
      </c>
      <c r="EO60" s="56">
        <f>IFERROR(IF(($CA60)&gt;0,($DZ60)/($CA60),""),"")</f>
        <v/>
      </c>
      <c r="EP60" s="56">
        <f>IFERROR(IF(($CB60)&gt;0,($EA60)/($CB60),""),"")</f>
        <v/>
      </c>
      <c r="EQ60" s="56">
        <f>IFERROR(IF(($BZ60)&gt;0,($EB60)/($BZ60),""),"")</f>
        <v/>
      </c>
      <c r="ER60" s="56">
        <f>IFERROR(IF(($CA60)&gt;0,($EC60)/($CA60),""),"")</f>
        <v/>
      </c>
      <c r="ES60" s="56">
        <f>IFERROR(IF(($CB60)&gt;0,($ED60)/($CB60),""),"")</f>
        <v/>
      </c>
      <c r="ET60" s="56">
        <f>IFERROR(IF(($BZ60)&gt;0,($EE60)/($BZ60),""),"")</f>
        <v/>
      </c>
      <c r="EU60" s="56">
        <f>IFERROR(IF(($CA60)&gt;0,($EF60)/($CA60),""),"")</f>
        <v/>
      </c>
      <c r="EV60" s="56">
        <f>IFERROR(IF(($CB60)&gt;0,($EG60)/($CB60),""),"")</f>
        <v/>
      </c>
      <c r="EW60" s="76">
        <f>IFERROR(IF(($BZ60)&gt;0,($EH60)/($BZ60),""),"")</f>
        <v/>
      </c>
      <c r="EX60" s="76">
        <f>IFERROR(IF(($CA60)&gt;0,($EI60)/($CA60),""),"")</f>
        <v/>
      </c>
      <c r="EY60" s="76">
        <f>IFERROR(IF(($CB60)&gt;0,($EJ60)/($CB60),""),"")</f>
        <v/>
      </c>
      <c r="EZ60" s="56">
        <f>IFERROR(IF(($BZ60)&gt;0,($EK60)/($BZ60),""),"")</f>
        <v/>
      </c>
      <c r="FA60" s="56">
        <f>IFERROR(IF(($CA60)&gt;0,($EL60)/($CA60),""),"")</f>
        <v/>
      </c>
      <c r="FB60" s="56">
        <f>IFERROR(IF(($CB60)&gt;0,($EM60)/($CB60),""),"")</f>
        <v/>
      </c>
      <c r="FC60" s="55">
        <f>IF(SUMIFS(tblPlant[GIC_oz],tblPlant[Date],$A60)&gt;0,SUMIFS(tblPlant[GIC_oz],tblPlant[Date],$A60),"")</f>
        <v/>
      </c>
      <c r="FD60" s="55">
        <f>SUMIFS(tblGold[Gold_oz],tblGold[Date],$A60,tblGold[Type],"Shipment")</f>
        <v/>
      </c>
      <c r="FE60" s="55">
        <f>IF($B60=$B59,$FE59,0)+$FD60</f>
        <v/>
      </c>
      <c r="FF60" s="55">
        <f>$FF59+$FD60</f>
        <v/>
      </c>
      <c r="FG60" s="55">
        <f>SUMIFS(tblGold[Gold_oz],tblGold[Date],$A60,tblGold[Type],"Sale")</f>
        <v/>
      </c>
      <c r="FH60" s="55">
        <f>IF($B60=$B59,$FH59,0)+$FG60</f>
        <v/>
      </c>
      <c r="FI60" s="55">
        <f>$FI59+$FG60</f>
        <v/>
      </c>
      <c r="FJ60" s="55">
        <f>SUMIFS(tblGold[Dore_kg],tblGold[Date],$A60,tblGold[Type],"Shipment")</f>
        <v/>
      </c>
      <c r="FK60" s="55">
        <f>IF($B60=$B59,$FK59,0)+$FJ60</f>
        <v/>
      </c>
      <c r="FL60" s="55">
        <f>$FL59+$FJ60</f>
        <v/>
      </c>
      <c r="FM60" s="57">
        <f>SUMIFS(tblSafety[Hours_Total],tblSafety[Date],$A60)</f>
        <v/>
      </c>
      <c r="FN60" s="57">
        <f>IF($B60=$B59,$FN59,0)+$FM60</f>
        <v/>
      </c>
      <c r="FO60" s="57">
        <f>$FO59+$FM60</f>
        <v/>
      </c>
      <c r="FP60" s="62">
        <f>SUMIFS(tblSafety[Fatality],tblSafety[Date],$A60)</f>
        <v/>
      </c>
      <c r="FQ60" s="62">
        <f>IF($B60=$B59,$FQ59,0)+$FP60</f>
        <v/>
      </c>
      <c r="FR60" s="62">
        <f>$FR59+$FP60</f>
        <v/>
      </c>
      <c r="FS60" s="62">
        <f>SUMIFS(tblSafety[LTI],tblSafety[Date],$A60)</f>
        <v/>
      </c>
      <c r="FT60" s="62">
        <f>IF($B60=$B59,$FT59,0)+$FS60</f>
        <v/>
      </c>
      <c r="FU60" s="62">
        <f>$FU59+$FS60</f>
        <v/>
      </c>
      <c r="FV60" s="62">
        <f>SUMIFS(tblSafety[RWI],tblSafety[Date],$A60)</f>
        <v/>
      </c>
      <c r="FW60" s="62">
        <f>IF($B60=$B59,$FW59,0)+$FV60</f>
        <v/>
      </c>
      <c r="FX60" s="62">
        <f>$FX59+$FV60</f>
        <v/>
      </c>
      <c r="FY60" s="62">
        <f>SUMIFS(tblSafety[MTI],tblSafety[Date],$A60)</f>
        <v/>
      </c>
      <c r="FZ60" s="62">
        <f>IF($B60=$B59,$FZ59,0)+$FY60</f>
        <v/>
      </c>
      <c r="GA60" s="62">
        <f>$GA59+$FY60</f>
        <v/>
      </c>
      <c r="GB60" s="62">
        <f>SUMIFS(tblSafety[FAI],tblSafety[Date],$A60)</f>
        <v/>
      </c>
      <c r="GC60" s="62">
        <f>IF($B60=$B59,$GC59,0)+$GB60</f>
        <v/>
      </c>
      <c r="GD60" s="62">
        <f>$GD59+$GB60</f>
        <v/>
      </c>
      <c r="GE60" s="62">
        <f>SUMIFS(tblSafety[Recordables],tblSafety[Date],$A60)</f>
        <v/>
      </c>
      <c r="GF60" s="62">
        <f>IF($B60=$B59,$GF59,0)+$GE60</f>
        <v/>
      </c>
      <c r="GG60" s="62">
        <f>$GG59+$GE60</f>
        <v/>
      </c>
      <c r="GH60" s="62">
        <f>SUMIFS(tblSafety[Near_Miss],tblSafety[Date],$A60)</f>
        <v/>
      </c>
      <c r="GI60" s="62">
        <f>IF($B60=$B59,$GI59,0)+$GH60</f>
        <v/>
      </c>
      <c r="GJ60" s="62">
        <f>$GJ59+$GH60</f>
        <v/>
      </c>
      <c r="GK60" s="62">
        <f>SUMIFS(tblSafety[Hazard_Reports],tblSafety[Date],$A60)</f>
        <v/>
      </c>
      <c r="GL60" s="62">
        <f>IF($B60=$B59,$GL59,0)+$GK60</f>
        <v/>
      </c>
      <c r="GM60" s="62">
        <f>$GM59+$GK60</f>
        <v/>
      </c>
      <c r="GN60" s="62">
        <f>SUMIFS(tblSafety[HPI],tblSafety[Date],$A60)</f>
        <v/>
      </c>
      <c r="GO60" s="62">
        <f>IF($B60=$B59,$GO59,0)+$GN60</f>
        <v/>
      </c>
      <c r="GP60" s="62">
        <f>$GP59+$GN60</f>
        <v/>
      </c>
      <c r="GQ60" s="62">
        <f>SUMIFS(tblSafety[Env_Incidents],tblSafety[Date],$A60)</f>
        <v/>
      </c>
      <c r="GR60" s="62">
        <f>IF($B60=$B59,$GR59,0)+$GQ60</f>
        <v/>
      </c>
      <c r="GS60" s="62">
        <f>$GS59+$GQ60</f>
        <v/>
      </c>
      <c r="GT60" s="62">
        <f>SUMIFS(tblSafety[Community_Incidents],tblSafety[Date],$A60)</f>
        <v/>
      </c>
      <c r="GU60" s="62">
        <f>IF($B60=$B59,$GU59,0)+$GT60</f>
        <v/>
      </c>
      <c r="GV60" s="62">
        <f>$GV59+$GT60</f>
        <v/>
      </c>
      <c r="GW60" s="62">
        <f>SUMIFS(tblSafety[Vehicle_Incidents],tblSafety[Date],$A60)</f>
        <v/>
      </c>
      <c r="GX60" s="62">
        <f>IF($B60=$B59,$GX59,0)+$GW60</f>
        <v/>
      </c>
      <c r="GY60" s="62">
        <f>$GY59+$GW60</f>
        <v/>
      </c>
      <c r="GZ60" s="62">
        <f>SUMIFS(tblSafety[Toolbox_Talks],tblSafety[Date],$A60)</f>
        <v/>
      </c>
      <c r="HA60" s="62">
        <f>IF($B60=$B59,$HA59,0)+$GZ60</f>
        <v/>
      </c>
      <c r="HB60" s="62">
        <f>$HB59+$GZ60</f>
        <v/>
      </c>
      <c r="HC60" s="62">
        <f>SUMIFS(tblSafety[Inspections],tblSafety[Date],$A60)</f>
        <v/>
      </c>
      <c r="HD60" s="62">
        <f>IF($B60=$B59,$HD59,0)+$HC60</f>
        <v/>
      </c>
      <c r="HE60" s="62">
        <f>$HE59+$HC60</f>
        <v/>
      </c>
      <c r="HF60" s="56">
        <f>IFERROR((SUMIFS(tblSafety[Recordables],tblSafety[Date],"&gt;="&amp;EDATE($E60,-12),tblSafety[Date],"&lt;="&amp;$A60)+SUMIFS(tblSafetyHistory[Recordables],tblSafetyHistory[Month],"&gt;="&amp;EDATE($E60,-12),tblSafetyHistory[Month],"&lt;"&amp;cfg_YearStart))/(SUMIFS(tblSafety[Hours_Total],tblSafety[Date],"&gt;="&amp;EDATE($E60,-12),tblSafety[Date],"&lt;="&amp;$A60)+SUMIFS(tblSafetyHistory[Hours_Total],tblSafetyHistory[Month],"&gt;="&amp;EDATE($E60,-12),tblSafetyHistory[Month],"&lt;"&amp;cfg_YearStart))*1000000,"")</f>
        <v/>
      </c>
      <c r="HG60" s="56">
        <f>IFERROR((SUMIFS(tblSafety[LTI],tblSafety[Date],"&gt;="&amp;EDATE($E60,-12),tblSafety[Date],"&lt;="&amp;$A60)+SUMIFS(tblSafetyHistory[LTI],tblSafetyHistory[Month],"&gt;="&amp;EDATE($E60,-12),tblSafetyHistory[Month],"&lt;"&amp;cfg_YearStart))/(SUMIFS(tblSafety[Hours_Total],tblSafety[Date],"&gt;="&amp;EDATE($E60,-12),tblSafety[Date],"&lt;="&amp;$A60)+SUMIFS(tblSafetyHistory[Hours_Total],tblSafetyHistory[Month],"&gt;="&amp;EDATE($E60,-12),tblSafetyHistory[Month],"&lt;"&amp;cfg_YearStart))*1000000,"")</f>
        <v/>
      </c>
      <c r="HH60" s="62">
        <f>IF(MAX(N(cfg_PriorLTIDate),_xlfn.MAXIFS(tblSafety[Date],tblSafety[LTI],"&gt;0",tblSafety[Date],"&lt;="&amp;$A60))=0,"",$A60-MAX(N(cfg_PriorLTIDate),_xlfn.MAXIFS(tblSafety[Date],tblSafety[LTI],"&gt;0",tblSafety[Date],"&lt;="&amp;$A60)))</f>
        <v/>
      </c>
      <c r="HI60" s="55">
        <f>SUMIFS(tblBudget[Ore_Mined_t],tblBudget[Month],$E60)</f>
        <v/>
      </c>
      <c r="HJ60" s="55">
        <f>$HI60*$C60/$D60</f>
        <v/>
      </c>
      <c r="HK60" s="55">
        <f>SUMIFS(tblBudget[Ore_Mined_t],tblBudget[Month],"&lt;"&amp;$E60)+$HJ60</f>
        <v/>
      </c>
      <c r="HL60" s="55">
        <f>SUMIFS(tblBudget[Ore_oz],tblBudget[Month],$E60)</f>
        <v/>
      </c>
      <c r="HM60" s="55">
        <f>$HL60*$C60/$D60</f>
        <v/>
      </c>
      <c r="HN60" s="55">
        <f>SUMIFS(tblBudget[Ore_oz],tblBudget[Month],"&lt;"&amp;$E60)+$HM60</f>
        <v/>
      </c>
      <c r="HO60" s="56">
        <f>IFERROR(IF(($HI60)&gt;0,($HL60*cfg_TroyOz)/($HI60),""),"")</f>
        <v/>
      </c>
      <c r="HP60" s="56">
        <f>IFERROR(IF(($HJ60)&gt;0,($HM60*cfg_TroyOz)/($HJ60),""),"")</f>
        <v/>
      </c>
      <c r="HQ60" s="56">
        <f>IFERROR(IF(($HK60)&gt;0,($HN60*cfg_TroyOz)/($HK60),""),"")</f>
        <v/>
      </c>
      <c r="HR60" s="55">
        <f>SUMIFS(tblBudget[Waste_t],tblBudget[Month],$E60)</f>
        <v/>
      </c>
      <c r="HS60" s="55">
        <f>$HR60*$C60/$D60</f>
        <v/>
      </c>
      <c r="HT60" s="55">
        <f>SUMIFS(tblBudget[Waste_t],tblBudget[Month],"&lt;"&amp;$E60)+$HS60</f>
        <v/>
      </c>
      <c r="HU60" s="55">
        <f>SUMIFS(tblBudget[TMM_t],tblBudget[Month],$E60)</f>
        <v/>
      </c>
      <c r="HV60" s="55">
        <f>$HU60*$C60/$D60</f>
        <v/>
      </c>
      <c r="HW60" s="55">
        <f>SUMIFS(tblBudget[TMM_t],tblBudget[Month],"&lt;"&amp;$E60)+$HV60</f>
        <v/>
      </c>
      <c r="HX60" s="56">
        <f>IFERROR(IF(($HI60)&gt;0,($HR60)/($HI60),""),"")</f>
        <v/>
      </c>
      <c r="HY60" s="56">
        <f>IFERROR(IF(($HJ60)&gt;0,($HS60)/($HJ60),""),"")</f>
        <v/>
      </c>
      <c r="HZ60" s="56">
        <f>IFERROR(IF(($HK60)&gt;0,($HT60)/($HK60),""),"")</f>
        <v/>
      </c>
      <c r="IA60" s="55">
        <f>SUMIFS(tblBudget[Drill_m],tblBudget[Month],$E60)</f>
        <v/>
      </c>
      <c r="IB60" s="55">
        <f>$IA60*$C60/$D60</f>
        <v/>
      </c>
      <c r="IC60" s="55">
        <f>SUMIFS(tblBudget[Drill_m],tblBudget[Month],"&lt;"&amp;$E60)+$IB60</f>
        <v/>
      </c>
      <c r="ID60" s="55">
        <f>SUMIFS(tblBudget[Diesel_L],tblBudget[Month],$E60)</f>
        <v/>
      </c>
      <c r="IE60" s="55">
        <f>$ID60*$C60/$D60</f>
        <v/>
      </c>
      <c r="IF60" s="55">
        <f>SUMIFS(tblBudget[Diesel_L],tblBudget[Month],"&lt;"&amp;$E60)+$IE60</f>
        <v/>
      </c>
      <c r="IG60" s="55">
        <f>SUMIFS(tblBudget[Milled_t],tblBudget[Month],$E60)</f>
        <v/>
      </c>
      <c r="IH60" s="55">
        <f>$IG60*$C60/$D60</f>
        <v/>
      </c>
      <c r="II60" s="55">
        <f>SUMIFS(tblBudget[Milled_t],tblBudget[Month],"&lt;"&amp;$E60)+$IH60</f>
        <v/>
      </c>
      <c r="IJ60" s="55">
        <f>SUMIFS(tblBudget[Feed_oz],tblBudget[Month],$E60)</f>
        <v/>
      </c>
      <c r="IK60" s="55">
        <f>$IJ60*$C60/$D60</f>
        <v/>
      </c>
      <c r="IL60" s="55">
        <f>SUMIFS(tblBudget[Feed_oz],tblBudget[Month],"&lt;"&amp;$E60)+$IK60</f>
        <v/>
      </c>
      <c r="IM60" s="55">
        <f>SUMIFS(tblBudget[Recovered_oz],tblBudget[Month],$E60)</f>
        <v/>
      </c>
      <c r="IN60" s="55">
        <f>$IM60*$C60/$D60</f>
        <v/>
      </c>
      <c r="IO60" s="55">
        <f>SUMIFS(tblBudget[Recovered_oz],tblBudget[Month],"&lt;"&amp;$E60)+$IN60</f>
        <v/>
      </c>
      <c r="IP60" s="56">
        <f>IFERROR(IF(($IG60)&gt;0,($IJ60*cfg_TroyOz)/($IG60),""),"")</f>
        <v/>
      </c>
      <c r="IQ60" s="56">
        <f>IFERROR(IF(($IH60)&gt;0,($IK60*cfg_TroyOz)/($IH60),""),"")</f>
        <v/>
      </c>
      <c r="IR60" s="56">
        <f>IFERROR(IF(($II60)&gt;0,($IL60*cfg_TroyOz)/($II60),""),"")</f>
        <v/>
      </c>
      <c r="IS60" s="67">
        <f>IFERROR(IF(($IJ60)&gt;0,($IM60)/($IJ60),""),"")</f>
        <v/>
      </c>
      <c r="IT60" s="67">
        <f>IFERROR(IF(($IK60)&gt;0,($IN60)/($IK60),""),"")</f>
        <v/>
      </c>
      <c r="IU60" s="67">
        <f>IFERROR(IF(($IL60)&gt;0,($IO60)/($IL60),""),"")</f>
        <v/>
      </c>
      <c r="IV60" s="55">
        <f>SUMIFS(tblBudget[Gold_Poured_oz],tblBudget[Month],$E60)</f>
        <v/>
      </c>
      <c r="IW60" s="55">
        <f>$IV60*$C60/$D60</f>
        <v/>
      </c>
      <c r="IX60" s="55">
        <f>SUMIFS(tblBudget[Gold_Poured_oz],tblBudget[Month],"&lt;"&amp;$E60)+$IW60</f>
        <v/>
      </c>
      <c r="IY60" s="57">
        <f>SUMIFS(tblBudget[Hours_Worked],tblBudget[Month],$E60)</f>
        <v/>
      </c>
      <c r="IZ60" s="57">
        <f>$IY60*$C60/$D60</f>
        <v/>
      </c>
      <c r="JA60" s="57">
        <f>SUMIFS(tblBudget[Hours_Worked],tblBudget[Month],"&lt;"&amp;$E60)+$IZ60</f>
        <v/>
      </c>
    </row>
    <row r="61">
      <c r="A61" s="54" t="n">
        <v>46082</v>
      </c>
      <c r="B61">
        <f>MONTH($A61)</f>
        <v/>
      </c>
      <c r="C61">
        <f>DAY($A61)</f>
        <v/>
      </c>
      <c r="D61">
        <f>DAY(EOMONTH($A61,0))</f>
        <v/>
      </c>
      <c r="E61" s="54">
        <f>DATE(YEAR($A61),MONTH($A61),1)</f>
        <v/>
      </c>
      <c r="F61" s="55">
        <f>SUMIFS(tblMovement[Tonnes_t],tblMovement[Date],$A61,tblMovement[Is_Ore],1,tblMovement[Source_Type],"Pit")</f>
        <v/>
      </c>
      <c r="G61" s="55">
        <f>IF($B61=$B60,$G60,0)+$F61</f>
        <v/>
      </c>
      <c r="H61" s="55">
        <f>$H60+$F61</f>
        <v/>
      </c>
      <c r="I61" s="55">
        <f>SUMIFS(tblMovement[Ore_oz],tblMovement[Date],$A61,tblMovement[Source_Type],"Pit")</f>
        <v/>
      </c>
      <c r="J61" s="55">
        <f>IF($B61=$B60,$J60,0)+$I61</f>
        <v/>
      </c>
      <c r="K61" s="55">
        <f>$K60+$I61</f>
        <v/>
      </c>
      <c r="L61" s="56">
        <f>IFERROR(IF(($F61)&gt;0,($I61*cfg_TroyOz)/($F61),""),"")</f>
        <v/>
      </c>
      <c r="M61" s="56">
        <f>IFERROR(IF(($G61)&gt;0,($J61*cfg_TroyOz)/($G61),""),"")</f>
        <v/>
      </c>
      <c r="N61" s="56">
        <f>IFERROR(IF(($H61)&gt;0,($K61*cfg_TroyOz)/($H61),""),"")</f>
        <v/>
      </c>
      <c r="O61" s="55">
        <f>SUMIFS(tblMovement[Tonnes_t],tblMovement[Date],$A61,tblMovement[Is_Ore],0,tblMovement[Source_Type],"Pit")</f>
        <v/>
      </c>
      <c r="P61" s="55">
        <f>IF($B61=$B60,$P60,0)+$O61</f>
        <v/>
      </c>
      <c r="Q61" s="55">
        <f>$Q60+$O61</f>
        <v/>
      </c>
      <c r="R61" s="55">
        <f>$F61+$O61</f>
        <v/>
      </c>
      <c r="S61" s="55">
        <f>IF($B61=$B60,$S60,0)+$R61</f>
        <v/>
      </c>
      <c r="T61" s="55">
        <f>$T60+$R61</f>
        <v/>
      </c>
      <c r="U61" s="56">
        <f>IFERROR(IF(($F61)&gt;0,($O61)/($F61),""),"")</f>
        <v/>
      </c>
      <c r="V61" s="56">
        <f>IFERROR(IF(($G61)&gt;0,($P61)/($G61),""),"")</f>
        <v/>
      </c>
      <c r="W61" s="56">
        <f>IFERROR(IF(($H61)&gt;0,($Q61)/($H61),""),"")</f>
        <v/>
      </c>
      <c r="X61" s="55">
        <f>SUMIFS(tblMovement[Tonnes_t],tblMovement[Date],$A61,tblMovement[Source_Type],"Stockpile")</f>
        <v/>
      </c>
      <c r="Y61" s="55">
        <f>IF($B61=$B60,$Y60,0)+$X61</f>
        <v/>
      </c>
      <c r="Z61" s="55">
        <f>$Z60+$X61</f>
        <v/>
      </c>
      <c r="AA61" s="55">
        <f>SUMIFS(tblMiningDaily[Drill_m],tblMiningDaily[Date],$A61)</f>
        <v/>
      </c>
      <c r="AB61" s="55">
        <f>IF($B61=$B60,$AB60,0)+$AA61</f>
        <v/>
      </c>
      <c r="AC61" s="55">
        <f>$AC60+$AA61</f>
        <v/>
      </c>
      <c r="AD61" s="55">
        <f>SUMIFS(tblMiningDaily[Blast_t],tblMiningDaily[Date],$A61)</f>
        <v/>
      </c>
      <c r="AE61" s="55">
        <f>IF($B61=$B60,$AE60,0)+$AD61</f>
        <v/>
      </c>
      <c r="AF61" s="55">
        <f>$AF60+$AD61</f>
        <v/>
      </c>
      <c r="AG61" s="55">
        <f>SUMIFS(tblMiningDaily[Explosives_kg],tblMiningDaily[Date],$A61)</f>
        <v/>
      </c>
      <c r="AH61" s="55">
        <f>IF($B61=$B60,$AH60,0)+$AG61</f>
        <v/>
      </c>
      <c r="AI61" s="55">
        <f>$AI60+$AG61</f>
        <v/>
      </c>
      <c r="AJ61" s="56">
        <f>IFERROR(IF(($AD61)&gt;0,($AG61)/($AD61),""),"")</f>
        <v/>
      </c>
      <c r="AK61" s="56">
        <f>IFERROR(IF(($AE61)&gt;0,($AH61)/($AE61),""),"")</f>
        <v/>
      </c>
      <c r="AL61" s="56">
        <f>IFERROR(IF(($AF61)&gt;0,($AI61)/($AF61),""),"")</f>
        <v/>
      </c>
      <c r="AM61" s="55">
        <f>SUMIFS(tblMiningDaily[Diesel_L],tblMiningDaily[Date],$A61)</f>
        <v/>
      </c>
      <c r="AN61" s="55">
        <f>IF($B61=$B60,$AN60,0)+$AM61</f>
        <v/>
      </c>
      <c r="AO61" s="55">
        <f>$AO60+$AM61</f>
        <v/>
      </c>
      <c r="AP61" s="55">
        <f>SUMIFS(tblMiningDaily[Dewatering_m3],tblMiningDaily[Date],$A61)</f>
        <v/>
      </c>
      <c r="AQ61" s="55">
        <f>IF($B61=$B60,$AQ60,0)+$AP61</f>
        <v/>
      </c>
      <c r="AR61" s="55">
        <f>$AR60+$AP61</f>
        <v/>
      </c>
      <c r="AS61" s="57">
        <f>SUMIFS(tblFleet[Calendar_h],tblFleet[Date],$A61,tblFleet[Equipment_Class],"Excavator")</f>
        <v/>
      </c>
      <c r="AT61" s="57">
        <f>IF($B61=$B60,$AT60,0)+$AS61</f>
        <v/>
      </c>
      <c r="AU61" s="57">
        <f>$AU60+$AS61</f>
        <v/>
      </c>
      <c r="AV61" s="57">
        <f>SUMIFS(tblFleet[Available_h],tblFleet[Date],$A61,tblFleet[Equipment_Class],"Excavator")</f>
        <v/>
      </c>
      <c r="AW61" s="57">
        <f>IF($B61=$B60,$AW60,0)+$AV61</f>
        <v/>
      </c>
      <c r="AX61" s="57">
        <f>$AX60+$AV61</f>
        <v/>
      </c>
      <c r="AY61" s="57">
        <f>SUMIFS(tblFleet[Operating_h],tblFleet[Date],$A61,tblFleet[Equipment_Class],"Excavator")</f>
        <v/>
      </c>
      <c r="AZ61" s="57">
        <f>IF($B61=$B60,$AZ60,0)+$AY61</f>
        <v/>
      </c>
      <c r="BA61" s="57">
        <f>$BA60+$AY61</f>
        <v/>
      </c>
      <c r="BB61" s="67">
        <f>IFERROR(IF(($AS61)&gt;0,($AV61)/($AS61),""),"")</f>
        <v/>
      </c>
      <c r="BC61" s="67">
        <f>IFERROR(IF(($AT61)&gt;0,($AW61)/($AT61),""),"")</f>
        <v/>
      </c>
      <c r="BD61" s="67">
        <f>IFERROR(IF(($AU61)&gt;0,($AX61)/($AU61),""),"")</f>
        <v/>
      </c>
      <c r="BE61" s="67">
        <f>IFERROR(IF(($AV61)&gt;0,($AY61)/($AV61),""),"")</f>
        <v/>
      </c>
      <c r="BF61" s="67">
        <f>IFERROR(IF(($AW61)&gt;0,($AZ61)/($AW61),""),"")</f>
        <v/>
      </c>
      <c r="BG61" s="67">
        <f>IFERROR(IF(($AX61)&gt;0,($BA61)/($AX61),""),"")</f>
        <v/>
      </c>
      <c r="BH61" s="57">
        <f>SUMIFS(tblFleet[Calendar_h],tblFleet[Date],$A61,tblFleet[Equipment_Class],"Haul Truck")</f>
        <v/>
      </c>
      <c r="BI61" s="57">
        <f>IF($B61=$B60,$BI60,0)+$BH61</f>
        <v/>
      </c>
      <c r="BJ61" s="57">
        <f>$BJ60+$BH61</f>
        <v/>
      </c>
      <c r="BK61" s="57">
        <f>SUMIFS(tblFleet[Available_h],tblFleet[Date],$A61,tblFleet[Equipment_Class],"Haul Truck")</f>
        <v/>
      </c>
      <c r="BL61" s="57">
        <f>IF($B61=$B60,$BL60,0)+$BK61</f>
        <v/>
      </c>
      <c r="BM61" s="57">
        <f>$BM60+$BK61</f>
        <v/>
      </c>
      <c r="BN61" s="57">
        <f>SUMIFS(tblFleet[Operating_h],tblFleet[Date],$A61,tblFleet[Equipment_Class],"Haul Truck")</f>
        <v/>
      </c>
      <c r="BO61" s="57">
        <f>IF($B61=$B60,$BO60,0)+$BN61</f>
        <v/>
      </c>
      <c r="BP61" s="57">
        <f>$BP60+$BN61</f>
        <v/>
      </c>
      <c r="BQ61" s="67">
        <f>IFERROR(IF(($BH61)&gt;0,($BK61)/($BH61),""),"")</f>
        <v/>
      </c>
      <c r="BR61" s="67">
        <f>IFERROR(IF(($BI61)&gt;0,($BL61)/($BI61),""),"")</f>
        <v/>
      </c>
      <c r="BS61" s="67">
        <f>IFERROR(IF(($BJ61)&gt;0,($BM61)/($BJ61),""),"")</f>
        <v/>
      </c>
      <c r="BT61" s="67">
        <f>IFERROR(IF(($BK61)&gt;0,($BN61)/($BK61),""),"")</f>
        <v/>
      </c>
      <c r="BU61" s="67">
        <f>IFERROR(IF(($BL61)&gt;0,($BO61)/($BL61),""),"")</f>
        <v/>
      </c>
      <c r="BV61" s="67">
        <f>IFERROR(IF(($BM61)&gt;0,($BP61)/($BM61),""),"")</f>
        <v/>
      </c>
      <c r="BW61" s="55">
        <f>SUMIFS(tblPlant[Crushed_t],tblPlant[Date],$A61)</f>
        <v/>
      </c>
      <c r="BX61" s="55">
        <f>IF($B61=$B60,$BX60,0)+$BW61</f>
        <v/>
      </c>
      <c r="BY61" s="55">
        <f>$BY60+$BW61</f>
        <v/>
      </c>
      <c r="BZ61" s="55">
        <f>SUMIFS(tblPlant[Milled_t],tblPlant[Date],$A61)</f>
        <v/>
      </c>
      <c r="CA61" s="55">
        <f>IF($B61=$B60,$CA60,0)+$BZ61</f>
        <v/>
      </c>
      <c r="CB61" s="55">
        <f>$CB60+$BZ61</f>
        <v/>
      </c>
      <c r="CC61" s="55">
        <f>SUMIFS(tblPlant[Feed_oz],tblPlant[Date],$A61)</f>
        <v/>
      </c>
      <c r="CD61" s="55">
        <f>IF($B61=$B60,$CD60,0)+$CC61</f>
        <v/>
      </c>
      <c r="CE61" s="55">
        <f>$CE60+$CC61</f>
        <v/>
      </c>
      <c r="CF61" s="55">
        <f>SUMIFS(tblPlant[Tails_oz],tblPlant[Date],$A61)</f>
        <v/>
      </c>
      <c r="CG61" s="55">
        <f>IF($B61=$B60,$CG60,0)+$CF61</f>
        <v/>
      </c>
      <c r="CH61" s="55">
        <f>$CH60+$CF61</f>
        <v/>
      </c>
      <c r="CI61" s="55">
        <f>SUMIFS(tblPlant[Recovered_oz],tblPlant[Date],$A61)</f>
        <v/>
      </c>
      <c r="CJ61" s="55">
        <f>IF($B61=$B60,$CJ60,0)+$CI61</f>
        <v/>
      </c>
      <c r="CK61" s="55">
        <f>$CK60+$CI61</f>
        <v/>
      </c>
      <c r="CL61" s="56">
        <f>IFERROR(IF(($BZ61)&gt;0,($CC61*cfg_TroyOz)/($BZ61),""),"")</f>
        <v/>
      </c>
      <c r="CM61" s="56">
        <f>IFERROR(IF(($CA61)&gt;0,($CD61*cfg_TroyOz)/($CA61),""),"")</f>
        <v/>
      </c>
      <c r="CN61" s="56">
        <f>IFERROR(IF(($CB61)&gt;0,($CE61*cfg_TroyOz)/($CB61),""),"")</f>
        <v/>
      </c>
      <c r="CO61" s="56">
        <f>IFERROR(IF(($BZ61)&gt;0,($CF61*cfg_TroyOz)/($BZ61),""),"")</f>
        <v/>
      </c>
      <c r="CP61" s="56">
        <f>IFERROR(IF(($CA61)&gt;0,($CG61*cfg_TroyOz)/($CA61),""),"")</f>
        <v/>
      </c>
      <c r="CQ61" s="56">
        <f>IFERROR(IF(($CB61)&gt;0,($CH61*cfg_TroyOz)/($CB61),""),"")</f>
        <v/>
      </c>
      <c r="CR61" s="67">
        <f>IFERROR(IF(($CC61)&gt;0,($CI61)/($CC61),""),"")</f>
        <v/>
      </c>
      <c r="CS61" s="67">
        <f>IFERROR(IF(($CD61)&gt;0,($CJ61)/($CD61),""),"")</f>
        <v/>
      </c>
      <c r="CT61" s="67">
        <f>IFERROR(IF(($CE61)&gt;0,($CK61)/($CE61),""),"")</f>
        <v/>
      </c>
      <c r="CU61" s="55">
        <f>SUMIFS(tblPlant[Gravity_Gold_oz],tblPlant[Date],$A61)</f>
        <v/>
      </c>
      <c r="CV61" s="55">
        <f>IF($B61=$B60,$CV60,0)+$CU61</f>
        <v/>
      </c>
      <c r="CW61" s="55">
        <f>$CW60+$CU61</f>
        <v/>
      </c>
      <c r="CX61" s="55">
        <f>SUMIFS(tblPlant[Gold_Poured_oz],tblPlant[Date],$A61)</f>
        <v/>
      </c>
      <c r="CY61" s="55">
        <f>IF($B61=$B60,$CY60,0)+$CX61</f>
        <v/>
      </c>
      <c r="CZ61" s="55">
        <f>$CZ60+$CX61</f>
        <v/>
      </c>
      <c r="DA61" s="57">
        <f>SUMIFS(tblPlant[Mill_Run_h],tblPlant[Date],$A61)</f>
        <v/>
      </c>
      <c r="DB61" s="57">
        <f>IF($B61=$B60,$DB60,0)+$DA61</f>
        <v/>
      </c>
      <c r="DC61" s="57">
        <f>$DC60+$DA61</f>
        <v/>
      </c>
      <c r="DD61" s="57">
        <f>SUMIFS(tblPlant[Mill_Planned_Maint_h],tblPlant[Date],$A61)</f>
        <v/>
      </c>
      <c r="DE61" s="57">
        <f>IF($B61=$B60,$DE60,0)+$DD61</f>
        <v/>
      </c>
      <c r="DF61" s="57">
        <f>$DF60+$DD61</f>
        <v/>
      </c>
      <c r="DG61" s="57">
        <f>SUMIFS(tblPlant[Mill_Unplanned_Down_h],tblPlant[Date],$A61)</f>
        <v/>
      </c>
      <c r="DH61" s="57">
        <f>IF($B61=$B60,$DH60,0)+$DG61</f>
        <v/>
      </c>
      <c r="DI61" s="57">
        <f>$DI60+$DG61</f>
        <v/>
      </c>
      <c r="DJ61" s="57">
        <f>COUNTIFS(tblPlant[Date],$A61,tblPlant[Mill_Run_h],"&lt;&gt;")*24</f>
        <v/>
      </c>
      <c r="DK61" s="57">
        <f>IF($B61=$B60,$DK60,0)+$DJ61</f>
        <v/>
      </c>
      <c r="DL61" s="57">
        <f>$DL60+$DJ61</f>
        <v/>
      </c>
      <c r="DM61" s="57">
        <f>SUMIFS(tblPlant[Crusher_Run_h],tblPlant[Date],$A61)</f>
        <v/>
      </c>
      <c r="DN61" s="57">
        <f>IF($B61=$B60,$DN60,0)+$DM61</f>
        <v/>
      </c>
      <c r="DO61" s="57">
        <f>$DO60+$DM61</f>
        <v/>
      </c>
      <c r="DP61" s="55">
        <f>IFERROR(IF(($DA61)&gt;0,($BZ61)/($DA61),""),"")</f>
        <v/>
      </c>
      <c r="DQ61" s="55">
        <f>IFERROR(IF(($DB61)&gt;0,($CA61)/($DB61),""),"")</f>
        <v/>
      </c>
      <c r="DR61" s="55">
        <f>IFERROR(IF(($DC61)&gt;0,($CB61)/($DC61),""),"")</f>
        <v/>
      </c>
      <c r="DS61" s="67">
        <f>IFERROR(IF(($DJ61)&gt;0,($DJ61-$DD61-$DG61)/($DJ61),""),"")</f>
        <v/>
      </c>
      <c r="DT61" s="67">
        <f>IFERROR(IF(($DK61)&gt;0,($DK61-$DE61-$DH61)/($DK61),""),"")</f>
        <v/>
      </c>
      <c r="DU61" s="67">
        <f>IFERROR(IF(($DL61)&gt;0,($DL61-$DF61-$DI61)/($DL61),""),"")</f>
        <v/>
      </c>
      <c r="DV61" s="67">
        <f>IFERROR(IF(($DJ61-$DD61-$DG61)&gt;0,($DA61)/($DJ61-$DD61-$DG61),""),"")</f>
        <v/>
      </c>
      <c r="DW61" s="67">
        <f>IFERROR(IF(($DK61-$DE61-$DH61)&gt;0,($DB61)/($DK61-$DE61-$DH61),""),"")</f>
        <v/>
      </c>
      <c r="DX61" s="67">
        <f>IFERROR(IF(($DL61-$DF61-$DI61)&gt;0,($DC61)/($DL61-$DF61-$DI61),""),"")</f>
        <v/>
      </c>
      <c r="DY61" s="55">
        <f>SUMIFS(tblPlant[Cyanide_kg],tblPlant[Date],$A61)</f>
        <v/>
      </c>
      <c r="DZ61" s="55">
        <f>IF($B61=$B60,$DZ60,0)+$DY61</f>
        <v/>
      </c>
      <c r="EA61" s="55">
        <f>$EA60+$DY61</f>
        <v/>
      </c>
      <c r="EB61" s="55">
        <f>SUMIFS(tblPlant[Lime_kg],tblPlant[Date],$A61)</f>
        <v/>
      </c>
      <c r="EC61" s="55">
        <f>IF($B61=$B60,$EC60,0)+$EB61</f>
        <v/>
      </c>
      <c r="ED61" s="55">
        <f>$ED60+$EB61</f>
        <v/>
      </c>
      <c r="EE61" s="55">
        <f>SUMIFS(tblPlant[Grinding_Media_kg],tblPlant[Date],$A61)</f>
        <v/>
      </c>
      <c r="EF61" s="55">
        <f>IF($B61=$B60,$EF60,0)+$EE61</f>
        <v/>
      </c>
      <c r="EG61" s="55">
        <f>$EG60+$EE61</f>
        <v/>
      </c>
      <c r="EH61" s="55">
        <f>SUMIFS(tblPlant[Power_kWh],tblPlant[Date],$A61)</f>
        <v/>
      </c>
      <c r="EI61" s="55">
        <f>IF($B61=$B60,$EI60,0)+$EH61</f>
        <v/>
      </c>
      <c r="EJ61" s="55">
        <f>$EJ60+$EH61</f>
        <v/>
      </c>
      <c r="EK61" s="55">
        <f>SUMIFS(tblPlant[Raw_Water_m3],tblPlant[Date],$A61)</f>
        <v/>
      </c>
      <c r="EL61" s="55">
        <f>IF($B61=$B60,$EL60,0)+$EK61</f>
        <v/>
      </c>
      <c r="EM61" s="55">
        <f>$EM60+$EK61</f>
        <v/>
      </c>
      <c r="EN61" s="56">
        <f>IFERROR(IF(($BZ61)&gt;0,($DY61)/($BZ61),""),"")</f>
        <v/>
      </c>
      <c r="EO61" s="56">
        <f>IFERROR(IF(($CA61)&gt;0,($DZ61)/($CA61),""),"")</f>
        <v/>
      </c>
      <c r="EP61" s="56">
        <f>IFERROR(IF(($CB61)&gt;0,($EA61)/($CB61),""),"")</f>
        <v/>
      </c>
      <c r="EQ61" s="56">
        <f>IFERROR(IF(($BZ61)&gt;0,($EB61)/($BZ61),""),"")</f>
        <v/>
      </c>
      <c r="ER61" s="56">
        <f>IFERROR(IF(($CA61)&gt;0,($EC61)/($CA61),""),"")</f>
        <v/>
      </c>
      <c r="ES61" s="56">
        <f>IFERROR(IF(($CB61)&gt;0,($ED61)/($CB61),""),"")</f>
        <v/>
      </c>
      <c r="ET61" s="56">
        <f>IFERROR(IF(($BZ61)&gt;0,($EE61)/($BZ61),""),"")</f>
        <v/>
      </c>
      <c r="EU61" s="56">
        <f>IFERROR(IF(($CA61)&gt;0,($EF61)/($CA61),""),"")</f>
        <v/>
      </c>
      <c r="EV61" s="56">
        <f>IFERROR(IF(($CB61)&gt;0,($EG61)/($CB61),""),"")</f>
        <v/>
      </c>
      <c r="EW61" s="76">
        <f>IFERROR(IF(($BZ61)&gt;0,($EH61)/($BZ61),""),"")</f>
        <v/>
      </c>
      <c r="EX61" s="76">
        <f>IFERROR(IF(($CA61)&gt;0,($EI61)/($CA61),""),"")</f>
        <v/>
      </c>
      <c r="EY61" s="76">
        <f>IFERROR(IF(($CB61)&gt;0,($EJ61)/($CB61),""),"")</f>
        <v/>
      </c>
      <c r="EZ61" s="56">
        <f>IFERROR(IF(($BZ61)&gt;0,($EK61)/($BZ61),""),"")</f>
        <v/>
      </c>
      <c r="FA61" s="56">
        <f>IFERROR(IF(($CA61)&gt;0,($EL61)/($CA61),""),"")</f>
        <v/>
      </c>
      <c r="FB61" s="56">
        <f>IFERROR(IF(($CB61)&gt;0,($EM61)/($CB61),""),"")</f>
        <v/>
      </c>
      <c r="FC61" s="55">
        <f>IF(SUMIFS(tblPlant[GIC_oz],tblPlant[Date],$A61)&gt;0,SUMIFS(tblPlant[GIC_oz],tblPlant[Date],$A61),"")</f>
        <v/>
      </c>
      <c r="FD61" s="55">
        <f>SUMIFS(tblGold[Gold_oz],tblGold[Date],$A61,tblGold[Type],"Shipment")</f>
        <v/>
      </c>
      <c r="FE61" s="55">
        <f>IF($B61=$B60,$FE60,0)+$FD61</f>
        <v/>
      </c>
      <c r="FF61" s="55">
        <f>$FF60+$FD61</f>
        <v/>
      </c>
      <c r="FG61" s="55">
        <f>SUMIFS(tblGold[Gold_oz],tblGold[Date],$A61,tblGold[Type],"Sale")</f>
        <v/>
      </c>
      <c r="FH61" s="55">
        <f>IF($B61=$B60,$FH60,0)+$FG61</f>
        <v/>
      </c>
      <c r="FI61" s="55">
        <f>$FI60+$FG61</f>
        <v/>
      </c>
      <c r="FJ61" s="55">
        <f>SUMIFS(tblGold[Dore_kg],tblGold[Date],$A61,tblGold[Type],"Shipment")</f>
        <v/>
      </c>
      <c r="FK61" s="55">
        <f>IF($B61=$B60,$FK60,0)+$FJ61</f>
        <v/>
      </c>
      <c r="FL61" s="55">
        <f>$FL60+$FJ61</f>
        <v/>
      </c>
      <c r="FM61" s="57">
        <f>SUMIFS(tblSafety[Hours_Total],tblSafety[Date],$A61)</f>
        <v/>
      </c>
      <c r="FN61" s="57">
        <f>IF($B61=$B60,$FN60,0)+$FM61</f>
        <v/>
      </c>
      <c r="FO61" s="57">
        <f>$FO60+$FM61</f>
        <v/>
      </c>
      <c r="FP61" s="62">
        <f>SUMIFS(tblSafety[Fatality],tblSafety[Date],$A61)</f>
        <v/>
      </c>
      <c r="FQ61" s="62">
        <f>IF($B61=$B60,$FQ60,0)+$FP61</f>
        <v/>
      </c>
      <c r="FR61" s="62">
        <f>$FR60+$FP61</f>
        <v/>
      </c>
      <c r="FS61" s="62">
        <f>SUMIFS(tblSafety[LTI],tblSafety[Date],$A61)</f>
        <v/>
      </c>
      <c r="FT61" s="62">
        <f>IF($B61=$B60,$FT60,0)+$FS61</f>
        <v/>
      </c>
      <c r="FU61" s="62">
        <f>$FU60+$FS61</f>
        <v/>
      </c>
      <c r="FV61" s="62">
        <f>SUMIFS(tblSafety[RWI],tblSafety[Date],$A61)</f>
        <v/>
      </c>
      <c r="FW61" s="62">
        <f>IF($B61=$B60,$FW60,0)+$FV61</f>
        <v/>
      </c>
      <c r="FX61" s="62">
        <f>$FX60+$FV61</f>
        <v/>
      </c>
      <c r="FY61" s="62">
        <f>SUMIFS(tblSafety[MTI],tblSafety[Date],$A61)</f>
        <v/>
      </c>
      <c r="FZ61" s="62">
        <f>IF($B61=$B60,$FZ60,0)+$FY61</f>
        <v/>
      </c>
      <c r="GA61" s="62">
        <f>$GA60+$FY61</f>
        <v/>
      </c>
      <c r="GB61" s="62">
        <f>SUMIFS(tblSafety[FAI],tblSafety[Date],$A61)</f>
        <v/>
      </c>
      <c r="GC61" s="62">
        <f>IF($B61=$B60,$GC60,0)+$GB61</f>
        <v/>
      </c>
      <c r="GD61" s="62">
        <f>$GD60+$GB61</f>
        <v/>
      </c>
      <c r="GE61" s="62">
        <f>SUMIFS(tblSafety[Recordables],tblSafety[Date],$A61)</f>
        <v/>
      </c>
      <c r="GF61" s="62">
        <f>IF($B61=$B60,$GF60,0)+$GE61</f>
        <v/>
      </c>
      <c r="GG61" s="62">
        <f>$GG60+$GE61</f>
        <v/>
      </c>
      <c r="GH61" s="62">
        <f>SUMIFS(tblSafety[Near_Miss],tblSafety[Date],$A61)</f>
        <v/>
      </c>
      <c r="GI61" s="62">
        <f>IF($B61=$B60,$GI60,0)+$GH61</f>
        <v/>
      </c>
      <c r="GJ61" s="62">
        <f>$GJ60+$GH61</f>
        <v/>
      </c>
      <c r="GK61" s="62">
        <f>SUMIFS(tblSafety[Hazard_Reports],tblSafety[Date],$A61)</f>
        <v/>
      </c>
      <c r="GL61" s="62">
        <f>IF($B61=$B60,$GL60,0)+$GK61</f>
        <v/>
      </c>
      <c r="GM61" s="62">
        <f>$GM60+$GK61</f>
        <v/>
      </c>
      <c r="GN61" s="62">
        <f>SUMIFS(tblSafety[HPI],tblSafety[Date],$A61)</f>
        <v/>
      </c>
      <c r="GO61" s="62">
        <f>IF($B61=$B60,$GO60,0)+$GN61</f>
        <v/>
      </c>
      <c r="GP61" s="62">
        <f>$GP60+$GN61</f>
        <v/>
      </c>
      <c r="GQ61" s="62">
        <f>SUMIFS(tblSafety[Env_Incidents],tblSafety[Date],$A61)</f>
        <v/>
      </c>
      <c r="GR61" s="62">
        <f>IF($B61=$B60,$GR60,0)+$GQ61</f>
        <v/>
      </c>
      <c r="GS61" s="62">
        <f>$GS60+$GQ61</f>
        <v/>
      </c>
      <c r="GT61" s="62">
        <f>SUMIFS(tblSafety[Community_Incidents],tblSafety[Date],$A61)</f>
        <v/>
      </c>
      <c r="GU61" s="62">
        <f>IF($B61=$B60,$GU60,0)+$GT61</f>
        <v/>
      </c>
      <c r="GV61" s="62">
        <f>$GV60+$GT61</f>
        <v/>
      </c>
      <c r="GW61" s="62">
        <f>SUMIFS(tblSafety[Vehicle_Incidents],tblSafety[Date],$A61)</f>
        <v/>
      </c>
      <c r="GX61" s="62">
        <f>IF($B61=$B60,$GX60,0)+$GW61</f>
        <v/>
      </c>
      <c r="GY61" s="62">
        <f>$GY60+$GW61</f>
        <v/>
      </c>
      <c r="GZ61" s="62">
        <f>SUMIFS(tblSafety[Toolbox_Talks],tblSafety[Date],$A61)</f>
        <v/>
      </c>
      <c r="HA61" s="62">
        <f>IF($B61=$B60,$HA60,0)+$GZ61</f>
        <v/>
      </c>
      <c r="HB61" s="62">
        <f>$HB60+$GZ61</f>
        <v/>
      </c>
      <c r="HC61" s="62">
        <f>SUMIFS(tblSafety[Inspections],tblSafety[Date],$A61)</f>
        <v/>
      </c>
      <c r="HD61" s="62">
        <f>IF($B61=$B60,$HD60,0)+$HC61</f>
        <v/>
      </c>
      <c r="HE61" s="62">
        <f>$HE60+$HC61</f>
        <v/>
      </c>
      <c r="HF61" s="56">
        <f>IFERROR((SUMIFS(tblSafety[Recordables],tblSafety[Date],"&gt;="&amp;EDATE($E61,-12),tblSafety[Date],"&lt;="&amp;$A61)+SUMIFS(tblSafetyHistory[Recordables],tblSafetyHistory[Month],"&gt;="&amp;EDATE($E61,-12),tblSafetyHistory[Month],"&lt;"&amp;cfg_YearStart))/(SUMIFS(tblSafety[Hours_Total],tblSafety[Date],"&gt;="&amp;EDATE($E61,-12),tblSafety[Date],"&lt;="&amp;$A61)+SUMIFS(tblSafetyHistory[Hours_Total],tblSafetyHistory[Month],"&gt;="&amp;EDATE($E61,-12),tblSafetyHistory[Month],"&lt;"&amp;cfg_YearStart))*1000000,"")</f>
        <v/>
      </c>
      <c r="HG61" s="56">
        <f>IFERROR((SUMIFS(tblSafety[LTI],tblSafety[Date],"&gt;="&amp;EDATE($E61,-12),tblSafety[Date],"&lt;="&amp;$A61)+SUMIFS(tblSafetyHistory[LTI],tblSafetyHistory[Month],"&gt;="&amp;EDATE($E61,-12),tblSafetyHistory[Month],"&lt;"&amp;cfg_YearStart))/(SUMIFS(tblSafety[Hours_Total],tblSafety[Date],"&gt;="&amp;EDATE($E61,-12),tblSafety[Date],"&lt;="&amp;$A61)+SUMIFS(tblSafetyHistory[Hours_Total],tblSafetyHistory[Month],"&gt;="&amp;EDATE($E61,-12),tblSafetyHistory[Month],"&lt;"&amp;cfg_YearStart))*1000000,"")</f>
        <v/>
      </c>
      <c r="HH61" s="62">
        <f>IF(MAX(N(cfg_PriorLTIDate),_xlfn.MAXIFS(tblSafety[Date],tblSafety[LTI],"&gt;0",tblSafety[Date],"&lt;="&amp;$A61))=0,"",$A61-MAX(N(cfg_PriorLTIDate),_xlfn.MAXIFS(tblSafety[Date],tblSafety[LTI],"&gt;0",tblSafety[Date],"&lt;="&amp;$A61)))</f>
        <v/>
      </c>
      <c r="HI61" s="55">
        <f>SUMIFS(tblBudget[Ore_Mined_t],tblBudget[Month],$E61)</f>
        <v/>
      </c>
      <c r="HJ61" s="55">
        <f>$HI61*$C61/$D61</f>
        <v/>
      </c>
      <c r="HK61" s="55">
        <f>SUMIFS(tblBudget[Ore_Mined_t],tblBudget[Month],"&lt;"&amp;$E61)+$HJ61</f>
        <v/>
      </c>
      <c r="HL61" s="55">
        <f>SUMIFS(tblBudget[Ore_oz],tblBudget[Month],$E61)</f>
        <v/>
      </c>
      <c r="HM61" s="55">
        <f>$HL61*$C61/$D61</f>
        <v/>
      </c>
      <c r="HN61" s="55">
        <f>SUMIFS(tblBudget[Ore_oz],tblBudget[Month],"&lt;"&amp;$E61)+$HM61</f>
        <v/>
      </c>
      <c r="HO61" s="56">
        <f>IFERROR(IF(($HI61)&gt;0,($HL61*cfg_TroyOz)/($HI61),""),"")</f>
        <v/>
      </c>
      <c r="HP61" s="56">
        <f>IFERROR(IF(($HJ61)&gt;0,($HM61*cfg_TroyOz)/($HJ61),""),"")</f>
        <v/>
      </c>
      <c r="HQ61" s="56">
        <f>IFERROR(IF(($HK61)&gt;0,($HN61*cfg_TroyOz)/($HK61),""),"")</f>
        <v/>
      </c>
      <c r="HR61" s="55">
        <f>SUMIFS(tblBudget[Waste_t],tblBudget[Month],$E61)</f>
        <v/>
      </c>
      <c r="HS61" s="55">
        <f>$HR61*$C61/$D61</f>
        <v/>
      </c>
      <c r="HT61" s="55">
        <f>SUMIFS(tblBudget[Waste_t],tblBudget[Month],"&lt;"&amp;$E61)+$HS61</f>
        <v/>
      </c>
      <c r="HU61" s="55">
        <f>SUMIFS(tblBudget[TMM_t],tblBudget[Month],$E61)</f>
        <v/>
      </c>
      <c r="HV61" s="55">
        <f>$HU61*$C61/$D61</f>
        <v/>
      </c>
      <c r="HW61" s="55">
        <f>SUMIFS(tblBudget[TMM_t],tblBudget[Month],"&lt;"&amp;$E61)+$HV61</f>
        <v/>
      </c>
      <c r="HX61" s="56">
        <f>IFERROR(IF(($HI61)&gt;0,($HR61)/($HI61),""),"")</f>
        <v/>
      </c>
      <c r="HY61" s="56">
        <f>IFERROR(IF(($HJ61)&gt;0,($HS61)/($HJ61),""),"")</f>
        <v/>
      </c>
      <c r="HZ61" s="56">
        <f>IFERROR(IF(($HK61)&gt;0,($HT61)/($HK61),""),"")</f>
        <v/>
      </c>
      <c r="IA61" s="55">
        <f>SUMIFS(tblBudget[Drill_m],tblBudget[Month],$E61)</f>
        <v/>
      </c>
      <c r="IB61" s="55">
        <f>$IA61*$C61/$D61</f>
        <v/>
      </c>
      <c r="IC61" s="55">
        <f>SUMIFS(tblBudget[Drill_m],tblBudget[Month],"&lt;"&amp;$E61)+$IB61</f>
        <v/>
      </c>
      <c r="ID61" s="55">
        <f>SUMIFS(tblBudget[Diesel_L],tblBudget[Month],$E61)</f>
        <v/>
      </c>
      <c r="IE61" s="55">
        <f>$ID61*$C61/$D61</f>
        <v/>
      </c>
      <c r="IF61" s="55">
        <f>SUMIFS(tblBudget[Diesel_L],tblBudget[Month],"&lt;"&amp;$E61)+$IE61</f>
        <v/>
      </c>
      <c r="IG61" s="55">
        <f>SUMIFS(tblBudget[Milled_t],tblBudget[Month],$E61)</f>
        <v/>
      </c>
      <c r="IH61" s="55">
        <f>$IG61*$C61/$D61</f>
        <v/>
      </c>
      <c r="II61" s="55">
        <f>SUMIFS(tblBudget[Milled_t],tblBudget[Month],"&lt;"&amp;$E61)+$IH61</f>
        <v/>
      </c>
      <c r="IJ61" s="55">
        <f>SUMIFS(tblBudget[Feed_oz],tblBudget[Month],$E61)</f>
        <v/>
      </c>
      <c r="IK61" s="55">
        <f>$IJ61*$C61/$D61</f>
        <v/>
      </c>
      <c r="IL61" s="55">
        <f>SUMIFS(tblBudget[Feed_oz],tblBudget[Month],"&lt;"&amp;$E61)+$IK61</f>
        <v/>
      </c>
      <c r="IM61" s="55">
        <f>SUMIFS(tblBudget[Recovered_oz],tblBudget[Month],$E61)</f>
        <v/>
      </c>
      <c r="IN61" s="55">
        <f>$IM61*$C61/$D61</f>
        <v/>
      </c>
      <c r="IO61" s="55">
        <f>SUMIFS(tblBudget[Recovered_oz],tblBudget[Month],"&lt;"&amp;$E61)+$IN61</f>
        <v/>
      </c>
      <c r="IP61" s="56">
        <f>IFERROR(IF(($IG61)&gt;0,($IJ61*cfg_TroyOz)/($IG61),""),"")</f>
        <v/>
      </c>
      <c r="IQ61" s="56">
        <f>IFERROR(IF(($IH61)&gt;0,($IK61*cfg_TroyOz)/($IH61),""),"")</f>
        <v/>
      </c>
      <c r="IR61" s="56">
        <f>IFERROR(IF(($II61)&gt;0,($IL61*cfg_TroyOz)/($II61),""),"")</f>
        <v/>
      </c>
      <c r="IS61" s="67">
        <f>IFERROR(IF(($IJ61)&gt;0,($IM61)/($IJ61),""),"")</f>
        <v/>
      </c>
      <c r="IT61" s="67">
        <f>IFERROR(IF(($IK61)&gt;0,($IN61)/($IK61),""),"")</f>
        <v/>
      </c>
      <c r="IU61" s="67">
        <f>IFERROR(IF(($IL61)&gt;0,($IO61)/($IL61),""),"")</f>
        <v/>
      </c>
      <c r="IV61" s="55">
        <f>SUMIFS(tblBudget[Gold_Poured_oz],tblBudget[Month],$E61)</f>
        <v/>
      </c>
      <c r="IW61" s="55">
        <f>$IV61*$C61/$D61</f>
        <v/>
      </c>
      <c r="IX61" s="55">
        <f>SUMIFS(tblBudget[Gold_Poured_oz],tblBudget[Month],"&lt;"&amp;$E61)+$IW61</f>
        <v/>
      </c>
      <c r="IY61" s="57">
        <f>SUMIFS(tblBudget[Hours_Worked],tblBudget[Month],$E61)</f>
        <v/>
      </c>
      <c r="IZ61" s="57">
        <f>$IY61*$C61/$D61</f>
        <v/>
      </c>
      <c r="JA61" s="57">
        <f>SUMIFS(tblBudget[Hours_Worked],tblBudget[Month],"&lt;"&amp;$E61)+$IZ61</f>
        <v/>
      </c>
    </row>
    <row r="62">
      <c r="A62" s="54" t="n">
        <v>46083</v>
      </c>
      <c r="B62">
        <f>MONTH($A62)</f>
        <v/>
      </c>
      <c r="C62">
        <f>DAY($A62)</f>
        <v/>
      </c>
      <c r="D62">
        <f>DAY(EOMONTH($A62,0))</f>
        <v/>
      </c>
      <c r="E62" s="54">
        <f>DATE(YEAR($A62),MONTH($A62),1)</f>
        <v/>
      </c>
      <c r="F62" s="55">
        <f>SUMIFS(tblMovement[Tonnes_t],tblMovement[Date],$A62,tblMovement[Is_Ore],1,tblMovement[Source_Type],"Pit")</f>
        <v/>
      </c>
      <c r="G62" s="55">
        <f>IF($B62=$B61,$G61,0)+$F62</f>
        <v/>
      </c>
      <c r="H62" s="55">
        <f>$H61+$F62</f>
        <v/>
      </c>
      <c r="I62" s="55">
        <f>SUMIFS(tblMovement[Ore_oz],tblMovement[Date],$A62,tblMovement[Source_Type],"Pit")</f>
        <v/>
      </c>
      <c r="J62" s="55">
        <f>IF($B62=$B61,$J61,0)+$I62</f>
        <v/>
      </c>
      <c r="K62" s="55">
        <f>$K61+$I62</f>
        <v/>
      </c>
      <c r="L62" s="56">
        <f>IFERROR(IF(($F62)&gt;0,($I62*cfg_TroyOz)/($F62),""),"")</f>
        <v/>
      </c>
      <c r="M62" s="56">
        <f>IFERROR(IF(($G62)&gt;0,($J62*cfg_TroyOz)/($G62),""),"")</f>
        <v/>
      </c>
      <c r="N62" s="56">
        <f>IFERROR(IF(($H62)&gt;0,($K62*cfg_TroyOz)/($H62),""),"")</f>
        <v/>
      </c>
      <c r="O62" s="55">
        <f>SUMIFS(tblMovement[Tonnes_t],tblMovement[Date],$A62,tblMovement[Is_Ore],0,tblMovement[Source_Type],"Pit")</f>
        <v/>
      </c>
      <c r="P62" s="55">
        <f>IF($B62=$B61,$P61,0)+$O62</f>
        <v/>
      </c>
      <c r="Q62" s="55">
        <f>$Q61+$O62</f>
        <v/>
      </c>
      <c r="R62" s="55">
        <f>$F62+$O62</f>
        <v/>
      </c>
      <c r="S62" s="55">
        <f>IF($B62=$B61,$S61,0)+$R62</f>
        <v/>
      </c>
      <c r="T62" s="55">
        <f>$T61+$R62</f>
        <v/>
      </c>
      <c r="U62" s="56">
        <f>IFERROR(IF(($F62)&gt;0,($O62)/($F62),""),"")</f>
        <v/>
      </c>
      <c r="V62" s="56">
        <f>IFERROR(IF(($G62)&gt;0,($P62)/($G62),""),"")</f>
        <v/>
      </c>
      <c r="W62" s="56">
        <f>IFERROR(IF(($H62)&gt;0,($Q62)/($H62),""),"")</f>
        <v/>
      </c>
      <c r="X62" s="55">
        <f>SUMIFS(tblMovement[Tonnes_t],tblMovement[Date],$A62,tblMovement[Source_Type],"Stockpile")</f>
        <v/>
      </c>
      <c r="Y62" s="55">
        <f>IF($B62=$B61,$Y61,0)+$X62</f>
        <v/>
      </c>
      <c r="Z62" s="55">
        <f>$Z61+$X62</f>
        <v/>
      </c>
      <c r="AA62" s="55">
        <f>SUMIFS(tblMiningDaily[Drill_m],tblMiningDaily[Date],$A62)</f>
        <v/>
      </c>
      <c r="AB62" s="55">
        <f>IF($B62=$B61,$AB61,0)+$AA62</f>
        <v/>
      </c>
      <c r="AC62" s="55">
        <f>$AC61+$AA62</f>
        <v/>
      </c>
      <c r="AD62" s="55">
        <f>SUMIFS(tblMiningDaily[Blast_t],tblMiningDaily[Date],$A62)</f>
        <v/>
      </c>
      <c r="AE62" s="55">
        <f>IF($B62=$B61,$AE61,0)+$AD62</f>
        <v/>
      </c>
      <c r="AF62" s="55">
        <f>$AF61+$AD62</f>
        <v/>
      </c>
      <c r="AG62" s="55">
        <f>SUMIFS(tblMiningDaily[Explosives_kg],tblMiningDaily[Date],$A62)</f>
        <v/>
      </c>
      <c r="AH62" s="55">
        <f>IF($B62=$B61,$AH61,0)+$AG62</f>
        <v/>
      </c>
      <c r="AI62" s="55">
        <f>$AI61+$AG62</f>
        <v/>
      </c>
      <c r="AJ62" s="56">
        <f>IFERROR(IF(($AD62)&gt;0,($AG62)/($AD62),""),"")</f>
        <v/>
      </c>
      <c r="AK62" s="56">
        <f>IFERROR(IF(($AE62)&gt;0,($AH62)/($AE62),""),"")</f>
        <v/>
      </c>
      <c r="AL62" s="56">
        <f>IFERROR(IF(($AF62)&gt;0,($AI62)/($AF62),""),"")</f>
        <v/>
      </c>
      <c r="AM62" s="55">
        <f>SUMIFS(tblMiningDaily[Diesel_L],tblMiningDaily[Date],$A62)</f>
        <v/>
      </c>
      <c r="AN62" s="55">
        <f>IF($B62=$B61,$AN61,0)+$AM62</f>
        <v/>
      </c>
      <c r="AO62" s="55">
        <f>$AO61+$AM62</f>
        <v/>
      </c>
      <c r="AP62" s="55">
        <f>SUMIFS(tblMiningDaily[Dewatering_m3],tblMiningDaily[Date],$A62)</f>
        <v/>
      </c>
      <c r="AQ62" s="55">
        <f>IF($B62=$B61,$AQ61,0)+$AP62</f>
        <v/>
      </c>
      <c r="AR62" s="55">
        <f>$AR61+$AP62</f>
        <v/>
      </c>
      <c r="AS62" s="57">
        <f>SUMIFS(tblFleet[Calendar_h],tblFleet[Date],$A62,tblFleet[Equipment_Class],"Excavator")</f>
        <v/>
      </c>
      <c r="AT62" s="57">
        <f>IF($B62=$B61,$AT61,0)+$AS62</f>
        <v/>
      </c>
      <c r="AU62" s="57">
        <f>$AU61+$AS62</f>
        <v/>
      </c>
      <c r="AV62" s="57">
        <f>SUMIFS(tblFleet[Available_h],tblFleet[Date],$A62,tblFleet[Equipment_Class],"Excavator")</f>
        <v/>
      </c>
      <c r="AW62" s="57">
        <f>IF($B62=$B61,$AW61,0)+$AV62</f>
        <v/>
      </c>
      <c r="AX62" s="57">
        <f>$AX61+$AV62</f>
        <v/>
      </c>
      <c r="AY62" s="57">
        <f>SUMIFS(tblFleet[Operating_h],tblFleet[Date],$A62,tblFleet[Equipment_Class],"Excavator")</f>
        <v/>
      </c>
      <c r="AZ62" s="57">
        <f>IF($B62=$B61,$AZ61,0)+$AY62</f>
        <v/>
      </c>
      <c r="BA62" s="57">
        <f>$BA61+$AY62</f>
        <v/>
      </c>
      <c r="BB62" s="67">
        <f>IFERROR(IF(($AS62)&gt;0,($AV62)/($AS62),""),"")</f>
        <v/>
      </c>
      <c r="BC62" s="67">
        <f>IFERROR(IF(($AT62)&gt;0,($AW62)/($AT62),""),"")</f>
        <v/>
      </c>
      <c r="BD62" s="67">
        <f>IFERROR(IF(($AU62)&gt;0,($AX62)/($AU62),""),"")</f>
        <v/>
      </c>
      <c r="BE62" s="67">
        <f>IFERROR(IF(($AV62)&gt;0,($AY62)/($AV62),""),"")</f>
        <v/>
      </c>
      <c r="BF62" s="67">
        <f>IFERROR(IF(($AW62)&gt;0,($AZ62)/($AW62),""),"")</f>
        <v/>
      </c>
      <c r="BG62" s="67">
        <f>IFERROR(IF(($AX62)&gt;0,($BA62)/($AX62),""),"")</f>
        <v/>
      </c>
      <c r="BH62" s="57">
        <f>SUMIFS(tblFleet[Calendar_h],tblFleet[Date],$A62,tblFleet[Equipment_Class],"Haul Truck")</f>
        <v/>
      </c>
      <c r="BI62" s="57">
        <f>IF($B62=$B61,$BI61,0)+$BH62</f>
        <v/>
      </c>
      <c r="BJ62" s="57">
        <f>$BJ61+$BH62</f>
        <v/>
      </c>
      <c r="BK62" s="57">
        <f>SUMIFS(tblFleet[Available_h],tblFleet[Date],$A62,tblFleet[Equipment_Class],"Haul Truck")</f>
        <v/>
      </c>
      <c r="BL62" s="57">
        <f>IF($B62=$B61,$BL61,0)+$BK62</f>
        <v/>
      </c>
      <c r="BM62" s="57">
        <f>$BM61+$BK62</f>
        <v/>
      </c>
      <c r="BN62" s="57">
        <f>SUMIFS(tblFleet[Operating_h],tblFleet[Date],$A62,tblFleet[Equipment_Class],"Haul Truck")</f>
        <v/>
      </c>
      <c r="BO62" s="57">
        <f>IF($B62=$B61,$BO61,0)+$BN62</f>
        <v/>
      </c>
      <c r="BP62" s="57">
        <f>$BP61+$BN62</f>
        <v/>
      </c>
      <c r="BQ62" s="67">
        <f>IFERROR(IF(($BH62)&gt;0,($BK62)/($BH62),""),"")</f>
        <v/>
      </c>
      <c r="BR62" s="67">
        <f>IFERROR(IF(($BI62)&gt;0,($BL62)/($BI62),""),"")</f>
        <v/>
      </c>
      <c r="BS62" s="67">
        <f>IFERROR(IF(($BJ62)&gt;0,($BM62)/($BJ62),""),"")</f>
        <v/>
      </c>
      <c r="BT62" s="67">
        <f>IFERROR(IF(($BK62)&gt;0,($BN62)/($BK62),""),"")</f>
        <v/>
      </c>
      <c r="BU62" s="67">
        <f>IFERROR(IF(($BL62)&gt;0,($BO62)/($BL62),""),"")</f>
        <v/>
      </c>
      <c r="BV62" s="67">
        <f>IFERROR(IF(($BM62)&gt;0,($BP62)/($BM62),""),"")</f>
        <v/>
      </c>
      <c r="BW62" s="55">
        <f>SUMIFS(tblPlant[Crushed_t],tblPlant[Date],$A62)</f>
        <v/>
      </c>
      <c r="BX62" s="55">
        <f>IF($B62=$B61,$BX61,0)+$BW62</f>
        <v/>
      </c>
      <c r="BY62" s="55">
        <f>$BY61+$BW62</f>
        <v/>
      </c>
      <c r="BZ62" s="55">
        <f>SUMIFS(tblPlant[Milled_t],tblPlant[Date],$A62)</f>
        <v/>
      </c>
      <c r="CA62" s="55">
        <f>IF($B62=$B61,$CA61,0)+$BZ62</f>
        <v/>
      </c>
      <c r="CB62" s="55">
        <f>$CB61+$BZ62</f>
        <v/>
      </c>
      <c r="CC62" s="55">
        <f>SUMIFS(tblPlant[Feed_oz],tblPlant[Date],$A62)</f>
        <v/>
      </c>
      <c r="CD62" s="55">
        <f>IF($B62=$B61,$CD61,0)+$CC62</f>
        <v/>
      </c>
      <c r="CE62" s="55">
        <f>$CE61+$CC62</f>
        <v/>
      </c>
      <c r="CF62" s="55">
        <f>SUMIFS(tblPlant[Tails_oz],tblPlant[Date],$A62)</f>
        <v/>
      </c>
      <c r="CG62" s="55">
        <f>IF($B62=$B61,$CG61,0)+$CF62</f>
        <v/>
      </c>
      <c r="CH62" s="55">
        <f>$CH61+$CF62</f>
        <v/>
      </c>
      <c r="CI62" s="55">
        <f>SUMIFS(tblPlant[Recovered_oz],tblPlant[Date],$A62)</f>
        <v/>
      </c>
      <c r="CJ62" s="55">
        <f>IF($B62=$B61,$CJ61,0)+$CI62</f>
        <v/>
      </c>
      <c r="CK62" s="55">
        <f>$CK61+$CI62</f>
        <v/>
      </c>
      <c r="CL62" s="56">
        <f>IFERROR(IF(($BZ62)&gt;0,($CC62*cfg_TroyOz)/($BZ62),""),"")</f>
        <v/>
      </c>
      <c r="CM62" s="56">
        <f>IFERROR(IF(($CA62)&gt;0,($CD62*cfg_TroyOz)/($CA62),""),"")</f>
        <v/>
      </c>
      <c r="CN62" s="56">
        <f>IFERROR(IF(($CB62)&gt;0,($CE62*cfg_TroyOz)/($CB62),""),"")</f>
        <v/>
      </c>
      <c r="CO62" s="56">
        <f>IFERROR(IF(($BZ62)&gt;0,($CF62*cfg_TroyOz)/($BZ62),""),"")</f>
        <v/>
      </c>
      <c r="CP62" s="56">
        <f>IFERROR(IF(($CA62)&gt;0,($CG62*cfg_TroyOz)/($CA62),""),"")</f>
        <v/>
      </c>
      <c r="CQ62" s="56">
        <f>IFERROR(IF(($CB62)&gt;0,($CH62*cfg_TroyOz)/($CB62),""),"")</f>
        <v/>
      </c>
      <c r="CR62" s="67">
        <f>IFERROR(IF(($CC62)&gt;0,($CI62)/($CC62),""),"")</f>
        <v/>
      </c>
      <c r="CS62" s="67">
        <f>IFERROR(IF(($CD62)&gt;0,($CJ62)/($CD62),""),"")</f>
        <v/>
      </c>
      <c r="CT62" s="67">
        <f>IFERROR(IF(($CE62)&gt;0,($CK62)/($CE62),""),"")</f>
        <v/>
      </c>
      <c r="CU62" s="55">
        <f>SUMIFS(tblPlant[Gravity_Gold_oz],tblPlant[Date],$A62)</f>
        <v/>
      </c>
      <c r="CV62" s="55">
        <f>IF($B62=$B61,$CV61,0)+$CU62</f>
        <v/>
      </c>
      <c r="CW62" s="55">
        <f>$CW61+$CU62</f>
        <v/>
      </c>
      <c r="CX62" s="55">
        <f>SUMIFS(tblPlant[Gold_Poured_oz],tblPlant[Date],$A62)</f>
        <v/>
      </c>
      <c r="CY62" s="55">
        <f>IF($B62=$B61,$CY61,0)+$CX62</f>
        <v/>
      </c>
      <c r="CZ62" s="55">
        <f>$CZ61+$CX62</f>
        <v/>
      </c>
      <c r="DA62" s="57">
        <f>SUMIFS(tblPlant[Mill_Run_h],tblPlant[Date],$A62)</f>
        <v/>
      </c>
      <c r="DB62" s="57">
        <f>IF($B62=$B61,$DB61,0)+$DA62</f>
        <v/>
      </c>
      <c r="DC62" s="57">
        <f>$DC61+$DA62</f>
        <v/>
      </c>
      <c r="DD62" s="57">
        <f>SUMIFS(tblPlant[Mill_Planned_Maint_h],tblPlant[Date],$A62)</f>
        <v/>
      </c>
      <c r="DE62" s="57">
        <f>IF($B62=$B61,$DE61,0)+$DD62</f>
        <v/>
      </c>
      <c r="DF62" s="57">
        <f>$DF61+$DD62</f>
        <v/>
      </c>
      <c r="DG62" s="57">
        <f>SUMIFS(tblPlant[Mill_Unplanned_Down_h],tblPlant[Date],$A62)</f>
        <v/>
      </c>
      <c r="DH62" s="57">
        <f>IF($B62=$B61,$DH61,0)+$DG62</f>
        <v/>
      </c>
      <c r="DI62" s="57">
        <f>$DI61+$DG62</f>
        <v/>
      </c>
      <c r="DJ62" s="57">
        <f>COUNTIFS(tblPlant[Date],$A62,tblPlant[Mill_Run_h],"&lt;&gt;")*24</f>
        <v/>
      </c>
      <c r="DK62" s="57">
        <f>IF($B62=$B61,$DK61,0)+$DJ62</f>
        <v/>
      </c>
      <c r="DL62" s="57">
        <f>$DL61+$DJ62</f>
        <v/>
      </c>
      <c r="DM62" s="57">
        <f>SUMIFS(tblPlant[Crusher_Run_h],tblPlant[Date],$A62)</f>
        <v/>
      </c>
      <c r="DN62" s="57">
        <f>IF($B62=$B61,$DN61,0)+$DM62</f>
        <v/>
      </c>
      <c r="DO62" s="57">
        <f>$DO61+$DM62</f>
        <v/>
      </c>
      <c r="DP62" s="55">
        <f>IFERROR(IF(($DA62)&gt;0,($BZ62)/($DA62),""),"")</f>
        <v/>
      </c>
      <c r="DQ62" s="55">
        <f>IFERROR(IF(($DB62)&gt;0,($CA62)/($DB62),""),"")</f>
        <v/>
      </c>
      <c r="DR62" s="55">
        <f>IFERROR(IF(($DC62)&gt;0,($CB62)/($DC62),""),"")</f>
        <v/>
      </c>
      <c r="DS62" s="67">
        <f>IFERROR(IF(($DJ62)&gt;0,($DJ62-$DD62-$DG62)/($DJ62),""),"")</f>
        <v/>
      </c>
      <c r="DT62" s="67">
        <f>IFERROR(IF(($DK62)&gt;0,($DK62-$DE62-$DH62)/($DK62),""),"")</f>
        <v/>
      </c>
      <c r="DU62" s="67">
        <f>IFERROR(IF(($DL62)&gt;0,($DL62-$DF62-$DI62)/($DL62),""),"")</f>
        <v/>
      </c>
      <c r="DV62" s="67">
        <f>IFERROR(IF(($DJ62-$DD62-$DG62)&gt;0,($DA62)/($DJ62-$DD62-$DG62),""),"")</f>
        <v/>
      </c>
      <c r="DW62" s="67">
        <f>IFERROR(IF(($DK62-$DE62-$DH62)&gt;0,($DB62)/($DK62-$DE62-$DH62),""),"")</f>
        <v/>
      </c>
      <c r="DX62" s="67">
        <f>IFERROR(IF(($DL62-$DF62-$DI62)&gt;0,($DC62)/($DL62-$DF62-$DI62),""),"")</f>
        <v/>
      </c>
      <c r="DY62" s="55">
        <f>SUMIFS(tblPlant[Cyanide_kg],tblPlant[Date],$A62)</f>
        <v/>
      </c>
      <c r="DZ62" s="55">
        <f>IF($B62=$B61,$DZ61,0)+$DY62</f>
        <v/>
      </c>
      <c r="EA62" s="55">
        <f>$EA61+$DY62</f>
        <v/>
      </c>
      <c r="EB62" s="55">
        <f>SUMIFS(tblPlant[Lime_kg],tblPlant[Date],$A62)</f>
        <v/>
      </c>
      <c r="EC62" s="55">
        <f>IF($B62=$B61,$EC61,0)+$EB62</f>
        <v/>
      </c>
      <c r="ED62" s="55">
        <f>$ED61+$EB62</f>
        <v/>
      </c>
      <c r="EE62" s="55">
        <f>SUMIFS(tblPlant[Grinding_Media_kg],tblPlant[Date],$A62)</f>
        <v/>
      </c>
      <c r="EF62" s="55">
        <f>IF($B62=$B61,$EF61,0)+$EE62</f>
        <v/>
      </c>
      <c r="EG62" s="55">
        <f>$EG61+$EE62</f>
        <v/>
      </c>
      <c r="EH62" s="55">
        <f>SUMIFS(tblPlant[Power_kWh],tblPlant[Date],$A62)</f>
        <v/>
      </c>
      <c r="EI62" s="55">
        <f>IF($B62=$B61,$EI61,0)+$EH62</f>
        <v/>
      </c>
      <c r="EJ62" s="55">
        <f>$EJ61+$EH62</f>
        <v/>
      </c>
      <c r="EK62" s="55">
        <f>SUMIFS(tblPlant[Raw_Water_m3],tblPlant[Date],$A62)</f>
        <v/>
      </c>
      <c r="EL62" s="55">
        <f>IF($B62=$B61,$EL61,0)+$EK62</f>
        <v/>
      </c>
      <c r="EM62" s="55">
        <f>$EM61+$EK62</f>
        <v/>
      </c>
      <c r="EN62" s="56">
        <f>IFERROR(IF(($BZ62)&gt;0,($DY62)/($BZ62),""),"")</f>
        <v/>
      </c>
      <c r="EO62" s="56">
        <f>IFERROR(IF(($CA62)&gt;0,($DZ62)/($CA62),""),"")</f>
        <v/>
      </c>
      <c r="EP62" s="56">
        <f>IFERROR(IF(($CB62)&gt;0,($EA62)/($CB62),""),"")</f>
        <v/>
      </c>
      <c r="EQ62" s="56">
        <f>IFERROR(IF(($BZ62)&gt;0,($EB62)/($BZ62),""),"")</f>
        <v/>
      </c>
      <c r="ER62" s="56">
        <f>IFERROR(IF(($CA62)&gt;0,($EC62)/($CA62),""),"")</f>
        <v/>
      </c>
      <c r="ES62" s="56">
        <f>IFERROR(IF(($CB62)&gt;0,($ED62)/($CB62),""),"")</f>
        <v/>
      </c>
      <c r="ET62" s="56">
        <f>IFERROR(IF(($BZ62)&gt;0,($EE62)/($BZ62),""),"")</f>
        <v/>
      </c>
      <c r="EU62" s="56">
        <f>IFERROR(IF(($CA62)&gt;0,($EF62)/($CA62),""),"")</f>
        <v/>
      </c>
      <c r="EV62" s="56">
        <f>IFERROR(IF(($CB62)&gt;0,($EG62)/($CB62),""),"")</f>
        <v/>
      </c>
      <c r="EW62" s="76">
        <f>IFERROR(IF(($BZ62)&gt;0,($EH62)/($BZ62),""),"")</f>
        <v/>
      </c>
      <c r="EX62" s="76">
        <f>IFERROR(IF(($CA62)&gt;0,($EI62)/($CA62),""),"")</f>
        <v/>
      </c>
      <c r="EY62" s="76">
        <f>IFERROR(IF(($CB62)&gt;0,($EJ62)/($CB62),""),"")</f>
        <v/>
      </c>
      <c r="EZ62" s="56">
        <f>IFERROR(IF(($BZ62)&gt;0,($EK62)/($BZ62),""),"")</f>
        <v/>
      </c>
      <c r="FA62" s="56">
        <f>IFERROR(IF(($CA62)&gt;0,($EL62)/($CA62),""),"")</f>
        <v/>
      </c>
      <c r="FB62" s="56">
        <f>IFERROR(IF(($CB62)&gt;0,($EM62)/($CB62),""),"")</f>
        <v/>
      </c>
      <c r="FC62" s="55">
        <f>IF(SUMIFS(tblPlant[GIC_oz],tblPlant[Date],$A62)&gt;0,SUMIFS(tblPlant[GIC_oz],tblPlant[Date],$A62),"")</f>
        <v/>
      </c>
      <c r="FD62" s="55">
        <f>SUMIFS(tblGold[Gold_oz],tblGold[Date],$A62,tblGold[Type],"Shipment")</f>
        <v/>
      </c>
      <c r="FE62" s="55">
        <f>IF($B62=$B61,$FE61,0)+$FD62</f>
        <v/>
      </c>
      <c r="FF62" s="55">
        <f>$FF61+$FD62</f>
        <v/>
      </c>
      <c r="FG62" s="55">
        <f>SUMIFS(tblGold[Gold_oz],tblGold[Date],$A62,tblGold[Type],"Sale")</f>
        <v/>
      </c>
      <c r="FH62" s="55">
        <f>IF($B62=$B61,$FH61,0)+$FG62</f>
        <v/>
      </c>
      <c r="FI62" s="55">
        <f>$FI61+$FG62</f>
        <v/>
      </c>
      <c r="FJ62" s="55">
        <f>SUMIFS(tblGold[Dore_kg],tblGold[Date],$A62,tblGold[Type],"Shipment")</f>
        <v/>
      </c>
      <c r="FK62" s="55">
        <f>IF($B62=$B61,$FK61,0)+$FJ62</f>
        <v/>
      </c>
      <c r="FL62" s="55">
        <f>$FL61+$FJ62</f>
        <v/>
      </c>
      <c r="FM62" s="57">
        <f>SUMIFS(tblSafety[Hours_Total],tblSafety[Date],$A62)</f>
        <v/>
      </c>
      <c r="FN62" s="57">
        <f>IF($B62=$B61,$FN61,0)+$FM62</f>
        <v/>
      </c>
      <c r="FO62" s="57">
        <f>$FO61+$FM62</f>
        <v/>
      </c>
      <c r="FP62" s="62">
        <f>SUMIFS(tblSafety[Fatality],tblSafety[Date],$A62)</f>
        <v/>
      </c>
      <c r="FQ62" s="62">
        <f>IF($B62=$B61,$FQ61,0)+$FP62</f>
        <v/>
      </c>
      <c r="FR62" s="62">
        <f>$FR61+$FP62</f>
        <v/>
      </c>
      <c r="FS62" s="62">
        <f>SUMIFS(tblSafety[LTI],tblSafety[Date],$A62)</f>
        <v/>
      </c>
      <c r="FT62" s="62">
        <f>IF($B62=$B61,$FT61,0)+$FS62</f>
        <v/>
      </c>
      <c r="FU62" s="62">
        <f>$FU61+$FS62</f>
        <v/>
      </c>
      <c r="FV62" s="62">
        <f>SUMIFS(tblSafety[RWI],tblSafety[Date],$A62)</f>
        <v/>
      </c>
      <c r="FW62" s="62">
        <f>IF($B62=$B61,$FW61,0)+$FV62</f>
        <v/>
      </c>
      <c r="FX62" s="62">
        <f>$FX61+$FV62</f>
        <v/>
      </c>
      <c r="FY62" s="62">
        <f>SUMIFS(tblSafety[MTI],tblSafety[Date],$A62)</f>
        <v/>
      </c>
      <c r="FZ62" s="62">
        <f>IF($B62=$B61,$FZ61,0)+$FY62</f>
        <v/>
      </c>
      <c r="GA62" s="62">
        <f>$GA61+$FY62</f>
        <v/>
      </c>
      <c r="GB62" s="62">
        <f>SUMIFS(tblSafety[FAI],tblSafety[Date],$A62)</f>
        <v/>
      </c>
      <c r="GC62" s="62">
        <f>IF($B62=$B61,$GC61,0)+$GB62</f>
        <v/>
      </c>
      <c r="GD62" s="62">
        <f>$GD61+$GB62</f>
        <v/>
      </c>
      <c r="GE62" s="62">
        <f>SUMIFS(tblSafety[Recordables],tblSafety[Date],$A62)</f>
        <v/>
      </c>
      <c r="GF62" s="62">
        <f>IF($B62=$B61,$GF61,0)+$GE62</f>
        <v/>
      </c>
      <c r="GG62" s="62">
        <f>$GG61+$GE62</f>
        <v/>
      </c>
      <c r="GH62" s="62">
        <f>SUMIFS(tblSafety[Near_Miss],tblSafety[Date],$A62)</f>
        <v/>
      </c>
      <c r="GI62" s="62">
        <f>IF($B62=$B61,$GI61,0)+$GH62</f>
        <v/>
      </c>
      <c r="GJ62" s="62">
        <f>$GJ61+$GH62</f>
        <v/>
      </c>
      <c r="GK62" s="62">
        <f>SUMIFS(tblSafety[Hazard_Reports],tblSafety[Date],$A62)</f>
        <v/>
      </c>
      <c r="GL62" s="62">
        <f>IF($B62=$B61,$GL61,0)+$GK62</f>
        <v/>
      </c>
      <c r="GM62" s="62">
        <f>$GM61+$GK62</f>
        <v/>
      </c>
      <c r="GN62" s="62">
        <f>SUMIFS(tblSafety[HPI],tblSafety[Date],$A62)</f>
        <v/>
      </c>
      <c r="GO62" s="62">
        <f>IF($B62=$B61,$GO61,0)+$GN62</f>
        <v/>
      </c>
      <c r="GP62" s="62">
        <f>$GP61+$GN62</f>
        <v/>
      </c>
      <c r="GQ62" s="62">
        <f>SUMIFS(tblSafety[Env_Incidents],tblSafety[Date],$A62)</f>
        <v/>
      </c>
      <c r="GR62" s="62">
        <f>IF($B62=$B61,$GR61,0)+$GQ62</f>
        <v/>
      </c>
      <c r="GS62" s="62">
        <f>$GS61+$GQ62</f>
        <v/>
      </c>
      <c r="GT62" s="62">
        <f>SUMIFS(tblSafety[Community_Incidents],tblSafety[Date],$A62)</f>
        <v/>
      </c>
      <c r="GU62" s="62">
        <f>IF($B62=$B61,$GU61,0)+$GT62</f>
        <v/>
      </c>
      <c r="GV62" s="62">
        <f>$GV61+$GT62</f>
        <v/>
      </c>
      <c r="GW62" s="62">
        <f>SUMIFS(tblSafety[Vehicle_Incidents],tblSafety[Date],$A62)</f>
        <v/>
      </c>
      <c r="GX62" s="62">
        <f>IF($B62=$B61,$GX61,0)+$GW62</f>
        <v/>
      </c>
      <c r="GY62" s="62">
        <f>$GY61+$GW62</f>
        <v/>
      </c>
      <c r="GZ62" s="62">
        <f>SUMIFS(tblSafety[Toolbox_Talks],tblSafety[Date],$A62)</f>
        <v/>
      </c>
      <c r="HA62" s="62">
        <f>IF($B62=$B61,$HA61,0)+$GZ62</f>
        <v/>
      </c>
      <c r="HB62" s="62">
        <f>$HB61+$GZ62</f>
        <v/>
      </c>
      <c r="HC62" s="62">
        <f>SUMIFS(tblSafety[Inspections],tblSafety[Date],$A62)</f>
        <v/>
      </c>
      <c r="HD62" s="62">
        <f>IF($B62=$B61,$HD61,0)+$HC62</f>
        <v/>
      </c>
      <c r="HE62" s="62">
        <f>$HE61+$HC62</f>
        <v/>
      </c>
      <c r="HF62" s="56">
        <f>IFERROR((SUMIFS(tblSafety[Recordables],tblSafety[Date],"&gt;="&amp;EDATE($E62,-12),tblSafety[Date],"&lt;="&amp;$A62)+SUMIFS(tblSafetyHistory[Recordables],tblSafetyHistory[Month],"&gt;="&amp;EDATE($E62,-12),tblSafetyHistory[Month],"&lt;"&amp;cfg_YearStart))/(SUMIFS(tblSafety[Hours_Total],tblSafety[Date],"&gt;="&amp;EDATE($E62,-12),tblSafety[Date],"&lt;="&amp;$A62)+SUMIFS(tblSafetyHistory[Hours_Total],tblSafetyHistory[Month],"&gt;="&amp;EDATE($E62,-12),tblSafetyHistory[Month],"&lt;"&amp;cfg_YearStart))*1000000,"")</f>
        <v/>
      </c>
      <c r="HG62" s="56">
        <f>IFERROR((SUMIFS(tblSafety[LTI],tblSafety[Date],"&gt;="&amp;EDATE($E62,-12),tblSafety[Date],"&lt;="&amp;$A62)+SUMIFS(tblSafetyHistory[LTI],tblSafetyHistory[Month],"&gt;="&amp;EDATE($E62,-12),tblSafetyHistory[Month],"&lt;"&amp;cfg_YearStart))/(SUMIFS(tblSafety[Hours_Total],tblSafety[Date],"&gt;="&amp;EDATE($E62,-12),tblSafety[Date],"&lt;="&amp;$A62)+SUMIFS(tblSafetyHistory[Hours_Total],tblSafetyHistory[Month],"&gt;="&amp;EDATE($E62,-12),tblSafetyHistory[Month],"&lt;"&amp;cfg_YearStart))*1000000,"")</f>
        <v/>
      </c>
      <c r="HH62" s="62">
        <f>IF(MAX(N(cfg_PriorLTIDate),_xlfn.MAXIFS(tblSafety[Date],tblSafety[LTI],"&gt;0",tblSafety[Date],"&lt;="&amp;$A62))=0,"",$A62-MAX(N(cfg_PriorLTIDate),_xlfn.MAXIFS(tblSafety[Date],tblSafety[LTI],"&gt;0",tblSafety[Date],"&lt;="&amp;$A62)))</f>
        <v/>
      </c>
      <c r="HI62" s="55">
        <f>SUMIFS(tblBudget[Ore_Mined_t],tblBudget[Month],$E62)</f>
        <v/>
      </c>
      <c r="HJ62" s="55">
        <f>$HI62*$C62/$D62</f>
        <v/>
      </c>
      <c r="HK62" s="55">
        <f>SUMIFS(tblBudget[Ore_Mined_t],tblBudget[Month],"&lt;"&amp;$E62)+$HJ62</f>
        <v/>
      </c>
      <c r="HL62" s="55">
        <f>SUMIFS(tblBudget[Ore_oz],tblBudget[Month],$E62)</f>
        <v/>
      </c>
      <c r="HM62" s="55">
        <f>$HL62*$C62/$D62</f>
        <v/>
      </c>
      <c r="HN62" s="55">
        <f>SUMIFS(tblBudget[Ore_oz],tblBudget[Month],"&lt;"&amp;$E62)+$HM62</f>
        <v/>
      </c>
      <c r="HO62" s="56">
        <f>IFERROR(IF(($HI62)&gt;0,($HL62*cfg_TroyOz)/($HI62),""),"")</f>
        <v/>
      </c>
      <c r="HP62" s="56">
        <f>IFERROR(IF(($HJ62)&gt;0,($HM62*cfg_TroyOz)/($HJ62),""),"")</f>
        <v/>
      </c>
      <c r="HQ62" s="56">
        <f>IFERROR(IF(($HK62)&gt;0,($HN62*cfg_TroyOz)/($HK62),""),"")</f>
        <v/>
      </c>
      <c r="HR62" s="55">
        <f>SUMIFS(tblBudget[Waste_t],tblBudget[Month],$E62)</f>
        <v/>
      </c>
      <c r="HS62" s="55">
        <f>$HR62*$C62/$D62</f>
        <v/>
      </c>
      <c r="HT62" s="55">
        <f>SUMIFS(tblBudget[Waste_t],tblBudget[Month],"&lt;"&amp;$E62)+$HS62</f>
        <v/>
      </c>
      <c r="HU62" s="55">
        <f>SUMIFS(tblBudget[TMM_t],tblBudget[Month],$E62)</f>
        <v/>
      </c>
      <c r="HV62" s="55">
        <f>$HU62*$C62/$D62</f>
        <v/>
      </c>
      <c r="HW62" s="55">
        <f>SUMIFS(tblBudget[TMM_t],tblBudget[Month],"&lt;"&amp;$E62)+$HV62</f>
        <v/>
      </c>
      <c r="HX62" s="56">
        <f>IFERROR(IF(($HI62)&gt;0,($HR62)/($HI62),""),"")</f>
        <v/>
      </c>
      <c r="HY62" s="56">
        <f>IFERROR(IF(($HJ62)&gt;0,($HS62)/($HJ62),""),"")</f>
        <v/>
      </c>
      <c r="HZ62" s="56">
        <f>IFERROR(IF(($HK62)&gt;0,($HT62)/($HK62),""),"")</f>
        <v/>
      </c>
      <c r="IA62" s="55">
        <f>SUMIFS(tblBudget[Drill_m],tblBudget[Month],$E62)</f>
        <v/>
      </c>
      <c r="IB62" s="55">
        <f>$IA62*$C62/$D62</f>
        <v/>
      </c>
      <c r="IC62" s="55">
        <f>SUMIFS(tblBudget[Drill_m],tblBudget[Month],"&lt;"&amp;$E62)+$IB62</f>
        <v/>
      </c>
      <c r="ID62" s="55">
        <f>SUMIFS(tblBudget[Diesel_L],tblBudget[Month],$E62)</f>
        <v/>
      </c>
      <c r="IE62" s="55">
        <f>$ID62*$C62/$D62</f>
        <v/>
      </c>
      <c r="IF62" s="55">
        <f>SUMIFS(tblBudget[Diesel_L],tblBudget[Month],"&lt;"&amp;$E62)+$IE62</f>
        <v/>
      </c>
      <c r="IG62" s="55">
        <f>SUMIFS(tblBudget[Milled_t],tblBudget[Month],$E62)</f>
        <v/>
      </c>
      <c r="IH62" s="55">
        <f>$IG62*$C62/$D62</f>
        <v/>
      </c>
      <c r="II62" s="55">
        <f>SUMIFS(tblBudget[Milled_t],tblBudget[Month],"&lt;"&amp;$E62)+$IH62</f>
        <v/>
      </c>
      <c r="IJ62" s="55">
        <f>SUMIFS(tblBudget[Feed_oz],tblBudget[Month],$E62)</f>
        <v/>
      </c>
      <c r="IK62" s="55">
        <f>$IJ62*$C62/$D62</f>
        <v/>
      </c>
      <c r="IL62" s="55">
        <f>SUMIFS(tblBudget[Feed_oz],tblBudget[Month],"&lt;"&amp;$E62)+$IK62</f>
        <v/>
      </c>
      <c r="IM62" s="55">
        <f>SUMIFS(tblBudget[Recovered_oz],tblBudget[Month],$E62)</f>
        <v/>
      </c>
      <c r="IN62" s="55">
        <f>$IM62*$C62/$D62</f>
        <v/>
      </c>
      <c r="IO62" s="55">
        <f>SUMIFS(tblBudget[Recovered_oz],tblBudget[Month],"&lt;"&amp;$E62)+$IN62</f>
        <v/>
      </c>
      <c r="IP62" s="56">
        <f>IFERROR(IF(($IG62)&gt;0,($IJ62*cfg_TroyOz)/($IG62),""),"")</f>
        <v/>
      </c>
      <c r="IQ62" s="56">
        <f>IFERROR(IF(($IH62)&gt;0,($IK62*cfg_TroyOz)/($IH62),""),"")</f>
        <v/>
      </c>
      <c r="IR62" s="56">
        <f>IFERROR(IF(($II62)&gt;0,($IL62*cfg_TroyOz)/($II62),""),"")</f>
        <v/>
      </c>
      <c r="IS62" s="67">
        <f>IFERROR(IF(($IJ62)&gt;0,($IM62)/($IJ62),""),"")</f>
        <v/>
      </c>
      <c r="IT62" s="67">
        <f>IFERROR(IF(($IK62)&gt;0,($IN62)/($IK62),""),"")</f>
        <v/>
      </c>
      <c r="IU62" s="67">
        <f>IFERROR(IF(($IL62)&gt;0,($IO62)/($IL62),""),"")</f>
        <v/>
      </c>
      <c r="IV62" s="55">
        <f>SUMIFS(tblBudget[Gold_Poured_oz],tblBudget[Month],$E62)</f>
        <v/>
      </c>
      <c r="IW62" s="55">
        <f>$IV62*$C62/$D62</f>
        <v/>
      </c>
      <c r="IX62" s="55">
        <f>SUMIFS(tblBudget[Gold_Poured_oz],tblBudget[Month],"&lt;"&amp;$E62)+$IW62</f>
        <v/>
      </c>
      <c r="IY62" s="57">
        <f>SUMIFS(tblBudget[Hours_Worked],tblBudget[Month],$E62)</f>
        <v/>
      </c>
      <c r="IZ62" s="57">
        <f>$IY62*$C62/$D62</f>
        <v/>
      </c>
      <c r="JA62" s="57">
        <f>SUMIFS(tblBudget[Hours_Worked],tblBudget[Month],"&lt;"&amp;$E62)+$IZ62</f>
        <v/>
      </c>
    </row>
    <row r="63">
      <c r="A63" s="54" t="n">
        <v>46084</v>
      </c>
      <c r="B63">
        <f>MONTH($A63)</f>
        <v/>
      </c>
      <c r="C63">
        <f>DAY($A63)</f>
        <v/>
      </c>
      <c r="D63">
        <f>DAY(EOMONTH($A63,0))</f>
        <v/>
      </c>
      <c r="E63" s="54">
        <f>DATE(YEAR($A63),MONTH($A63),1)</f>
        <v/>
      </c>
      <c r="F63" s="55">
        <f>SUMIFS(tblMovement[Tonnes_t],tblMovement[Date],$A63,tblMovement[Is_Ore],1,tblMovement[Source_Type],"Pit")</f>
        <v/>
      </c>
      <c r="G63" s="55">
        <f>IF($B63=$B62,$G62,0)+$F63</f>
        <v/>
      </c>
      <c r="H63" s="55">
        <f>$H62+$F63</f>
        <v/>
      </c>
      <c r="I63" s="55">
        <f>SUMIFS(tblMovement[Ore_oz],tblMovement[Date],$A63,tblMovement[Source_Type],"Pit")</f>
        <v/>
      </c>
      <c r="J63" s="55">
        <f>IF($B63=$B62,$J62,0)+$I63</f>
        <v/>
      </c>
      <c r="K63" s="55">
        <f>$K62+$I63</f>
        <v/>
      </c>
      <c r="L63" s="56">
        <f>IFERROR(IF(($F63)&gt;0,($I63*cfg_TroyOz)/($F63),""),"")</f>
        <v/>
      </c>
      <c r="M63" s="56">
        <f>IFERROR(IF(($G63)&gt;0,($J63*cfg_TroyOz)/($G63),""),"")</f>
        <v/>
      </c>
      <c r="N63" s="56">
        <f>IFERROR(IF(($H63)&gt;0,($K63*cfg_TroyOz)/($H63),""),"")</f>
        <v/>
      </c>
      <c r="O63" s="55">
        <f>SUMIFS(tblMovement[Tonnes_t],tblMovement[Date],$A63,tblMovement[Is_Ore],0,tblMovement[Source_Type],"Pit")</f>
        <v/>
      </c>
      <c r="P63" s="55">
        <f>IF($B63=$B62,$P62,0)+$O63</f>
        <v/>
      </c>
      <c r="Q63" s="55">
        <f>$Q62+$O63</f>
        <v/>
      </c>
      <c r="R63" s="55">
        <f>$F63+$O63</f>
        <v/>
      </c>
      <c r="S63" s="55">
        <f>IF($B63=$B62,$S62,0)+$R63</f>
        <v/>
      </c>
      <c r="T63" s="55">
        <f>$T62+$R63</f>
        <v/>
      </c>
      <c r="U63" s="56">
        <f>IFERROR(IF(($F63)&gt;0,($O63)/($F63),""),"")</f>
        <v/>
      </c>
      <c r="V63" s="56">
        <f>IFERROR(IF(($G63)&gt;0,($P63)/($G63),""),"")</f>
        <v/>
      </c>
      <c r="W63" s="56">
        <f>IFERROR(IF(($H63)&gt;0,($Q63)/($H63),""),"")</f>
        <v/>
      </c>
      <c r="X63" s="55">
        <f>SUMIFS(tblMovement[Tonnes_t],tblMovement[Date],$A63,tblMovement[Source_Type],"Stockpile")</f>
        <v/>
      </c>
      <c r="Y63" s="55">
        <f>IF($B63=$B62,$Y62,0)+$X63</f>
        <v/>
      </c>
      <c r="Z63" s="55">
        <f>$Z62+$X63</f>
        <v/>
      </c>
      <c r="AA63" s="55">
        <f>SUMIFS(tblMiningDaily[Drill_m],tblMiningDaily[Date],$A63)</f>
        <v/>
      </c>
      <c r="AB63" s="55">
        <f>IF($B63=$B62,$AB62,0)+$AA63</f>
        <v/>
      </c>
      <c r="AC63" s="55">
        <f>$AC62+$AA63</f>
        <v/>
      </c>
      <c r="AD63" s="55">
        <f>SUMIFS(tblMiningDaily[Blast_t],tblMiningDaily[Date],$A63)</f>
        <v/>
      </c>
      <c r="AE63" s="55">
        <f>IF($B63=$B62,$AE62,0)+$AD63</f>
        <v/>
      </c>
      <c r="AF63" s="55">
        <f>$AF62+$AD63</f>
        <v/>
      </c>
      <c r="AG63" s="55">
        <f>SUMIFS(tblMiningDaily[Explosives_kg],tblMiningDaily[Date],$A63)</f>
        <v/>
      </c>
      <c r="AH63" s="55">
        <f>IF($B63=$B62,$AH62,0)+$AG63</f>
        <v/>
      </c>
      <c r="AI63" s="55">
        <f>$AI62+$AG63</f>
        <v/>
      </c>
      <c r="AJ63" s="56">
        <f>IFERROR(IF(($AD63)&gt;0,($AG63)/($AD63),""),"")</f>
        <v/>
      </c>
      <c r="AK63" s="56">
        <f>IFERROR(IF(($AE63)&gt;0,($AH63)/($AE63),""),"")</f>
        <v/>
      </c>
      <c r="AL63" s="56">
        <f>IFERROR(IF(($AF63)&gt;0,($AI63)/($AF63),""),"")</f>
        <v/>
      </c>
      <c r="AM63" s="55">
        <f>SUMIFS(tblMiningDaily[Diesel_L],tblMiningDaily[Date],$A63)</f>
        <v/>
      </c>
      <c r="AN63" s="55">
        <f>IF($B63=$B62,$AN62,0)+$AM63</f>
        <v/>
      </c>
      <c r="AO63" s="55">
        <f>$AO62+$AM63</f>
        <v/>
      </c>
      <c r="AP63" s="55">
        <f>SUMIFS(tblMiningDaily[Dewatering_m3],tblMiningDaily[Date],$A63)</f>
        <v/>
      </c>
      <c r="AQ63" s="55">
        <f>IF($B63=$B62,$AQ62,0)+$AP63</f>
        <v/>
      </c>
      <c r="AR63" s="55">
        <f>$AR62+$AP63</f>
        <v/>
      </c>
      <c r="AS63" s="57">
        <f>SUMIFS(tblFleet[Calendar_h],tblFleet[Date],$A63,tblFleet[Equipment_Class],"Excavator")</f>
        <v/>
      </c>
      <c r="AT63" s="57">
        <f>IF($B63=$B62,$AT62,0)+$AS63</f>
        <v/>
      </c>
      <c r="AU63" s="57">
        <f>$AU62+$AS63</f>
        <v/>
      </c>
      <c r="AV63" s="57">
        <f>SUMIFS(tblFleet[Available_h],tblFleet[Date],$A63,tblFleet[Equipment_Class],"Excavator")</f>
        <v/>
      </c>
      <c r="AW63" s="57">
        <f>IF($B63=$B62,$AW62,0)+$AV63</f>
        <v/>
      </c>
      <c r="AX63" s="57">
        <f>$AX62+$AV63</f>
        <v/>
      </c>
      <c r="AY63" s="57">
        <f>SUMIFS(tblFleet[Operating_h],tblFleet[Date],$A63,tblFleet[Equipment_Class],"Excavator")</f>
        <v/>
      </c>
      <c r="AZ63" s="57">
        <f>IF($B63=$B62,$AZ62,0)+$AY63</f>
        <v/>
      </c>
      <c r="BA63" s="57">
        <f>$BA62+$AY63</f>
        <v/>
      </c>
      <c r="BB63" s="67">
        <f>IFERROR(IF(($AS63)&gt;0,($AV63)/($AS63),""),"")</f>
        <v/>
      </c>
      <c r="BC63" s="67">
        <f>IFERROR(IF(($AT63)&gt;0,($AW63)/($AT63),""),"")</f>
        <v/>
      </c>
      <c r="BD63" s="67">
        <f>IFERROR(IF(($AU63)&gt;0,($AX63)/($AU63),""),"")</f>
        <v/>
      </c>
      <c r="BE63" s="67">
        <f>IFERROR(IF(($AV63)&gt;0,($AY63)/($AV63),""),"")</f>
        <v/>
      </c>
      <c r="BF63" s="67">
        <f>IFERROR(IF(($AW63)&gt;0,($AZ63)/($AW63),""),"")</f>
        <v/>
      </c>
      <c r="BG63" s="67">
        <f>IFERROR(IF(($AX63)&gt;0,($BA63)/($AX63),""),"")</f>
        <v/>
      </c>
      <c r="BH63" s="57">
        <f>SUMIFS(tblFleet[Calendar_h],tblFleet[Date],$A63,tblFleet[Equipment_Class],"Haul Truck")</f>
        <v/>
      </c>
      <c r="BI63" s="57">
        <f>IF($B63=$B62,$BI62,0)+$BH63</f>
        <v/>
      </c>
      <c r="BJ63" s="57">
        <f>$BJ62+$BH63</f>
        <v/>
      </c>
      <c r="BK63" s="57">
        <f>SUMIFS(tblFleet[Available_h],tblFleet[Date],$A63,tblFleet[Equipment_Class],"Haul Truck")</f>
        <v/>
      </c>
      <c r="BL63" s="57">
        <f>IF($B63=$B62,$BL62,0)+$BK63</f>
        <v/>
      </c>
      <c r="BM63" s="57">
        <f>$BM62+$BK63</f>
        <v/>
      </c>
      <c r="BN63" s="57">
        <f>SUMIFS(tblFleet[Operating_h],tblFleet[Date],$A63,tblFleet[Equipment_Class],"Haul Truck")</f>
        <v/>
      </c>
      <c r="BO63" s="57">
        <f>IF($B63=$B62,$BO62,0)+$BN63</f>
        <v/>
      </c>
      <c r="BP63" s="57">
        <f>$BP62+$BN63</f>
        <v/>
      </c>
      <c r="BQ63" s="67">
        <f>IFERROR(IF(($BH63)&gt;0,($BK63)/($BH63),""),"")</f>
        <v/>
      </c>
      <c r="BR63" s="67">
        <f>IFERROR(IF(($BI63)&gt;0,($BL63)/($BI63),""),"")</f>
        <v/>
      </c>
      <c r="BS63" s="67">
        <f>IFERROR(IF(($BJ63)&gt;0,($BM63)/($BJ63),""),"")</f>
        <v/>
      </c>
      <c r="BT63" s="67">
        <f>IFERROR(IF(($BK63)&gt;0,($BN63)/($BK63),""),"")</f>
        <v/>
      </c>
      <c r="BU63" s="67">
        <f>IFERROR(IF(($BL63)&gt;0,($BO63)/($BL63),""),"")</f>
        <v/>
      </c>
      <c r="BV63" s="67">
        <f>IFERROR(IF(($BM63)&gt;0,($BP63)/($BM63),""),"")</f>
        <v/>
      </c>
      <c r="BW63" s="55">
        <f>SUMIFS(tblPlant[Crushed_t],tblPlant[Date],$A63)</f>
        <v/>
      </c>
      <c r="BX63" s="55">
        <f>IF($B63=$B62,$BX62,0)+$BW63</f>
        <v/>
      </c>
      <c r="BY63" s="55">
        <f>$BY62+$BW63</f>
        <v/>
      </c>
      <c r="BZ63" s="55">
        <f>SUMIFS(tblPlant[Milled_t],tblPlant[Date],$A63)</f>
        <v/>
      </c>
      <c r="CA63" s="55">
        <f>IF($B63=$B62,$CA62,0)+$BZ63</f>
        <v/>
      </c>
      <c r="CB63" s="55">
        <f>$CB62+$BZ63</f>
        <v/>
      </c>
      <c r="CC63" s="55">
        <f>SUMIFS(tblPlant[Feed_oz],tblPlant[Date],$A63)</f>
        <v/>
      </c>
      <c r="CD63" s="55">
        <f>IF($B63=$B62,$CD62,0)+$CC63</f>
        <v/>
      </c>
      <c r="CE63" s="55">
        <f>$CE62+$CC63</f>
        <v/>
      </c>
      <c r="CF63" s="55">
        <f>SUMIFS(tblPlant[Tails_oz],tblPlant[Date],$A63)</f>
        <v/>
      </c>
      <c r="CG63" s="55">
        <f>IF($B63=$B62,$CG62,0)+$CF63</f>
        <v/>
      </c>
      <c r="CH63" s="55">
        <f>$CH62+$CF63</f>
        <v/>
      </c>
      <c r="CI63" s="55">
        <f>SUMIFS(tblPlant[Recovered_oz],tblPlant[Date],$A63)</f>
        <v/>
      </c>
      <c r="CJ63" s="55">
        <f>IF($B63=$B62,$CJ62,0)+$CI63</f>
        <v/>
      </c>
      <c r="CK63" s="55">
        <f>$CK62+$CI63</f>
        <v/>
      </c>
      <c r="CL63" s="56">
        <f>IFERROR(IF(($BZ63)&gt;0,($CC63*cfg_TroyOz)/($BZ63),""),"")</f>
        <v/>
      </c>
      <c r="CM63" s="56">
        <f>IFERROR(IF(($CA63)&gt;0,($CD63*cfg_TroyOz)/($CA63),""),"")</f>
        <v/>
      </c>
      <c r="CN63" s="56">
        <f>IFERROR(IF(($CB63)&gt;0,($CE63*cfg_TroyOz)/($CB63),""),"")</f>
        <v/>
      </c>
      <c r="CO63" s="56">
        <f>IFERROR(IF(($BZ63)&gt;0,($CF63*cfg_TroyOz)/($BZ63),""),"")</f>
        <v/>
      </c>
      <c r="CP63" s="56">
        <f>IFERROR(IF(($CA63)&gt;0,($CG63*cfg_TroyOz)/($CA63),""),"")</f>
        <v/>
      </c>
      <c r="CQ63" s="56">
        <f>IFERROR(IF(($CB63)&gt;0,($CH63*cfg_TroyOz)/($CB63),""),"")</f>
        <v/>
      </c>
      <c r="CR63" s="67">
        <f>IFERROR(IF(($CC63)&gt;0,($CI63)/($CC63),""),"")</f>
        <v/>
      </c>
      <c r="CS63" s="67">
        <f>IFERROR(IF(($CD63)&gt;0,($CJ63)/($CD63),""),"")</f>
        <v/>
      </c>
      <c r="CT63" s="67">
        <f>IFERROR(IF(($CE63)&gt;0,($CK63)/($CE63),""),"")</f>
        <v/>
      </c>
      <c r="CU63" s="55">
        <f>SUMIFS(tblPlant[Gravity_Gold_oz],tblPlant[Date],$A63)</f>
        <v/>
      </c>
      <c r="CV63" s="55">
        <f>IF($B63=$B62,$CV62,0)+$CU63</f>
        <v/>
      </c>
      <c r="CW63" s="55">
        <f>$CW62+$CU63</f>
        <v/>
      </c>
      <c r="CX63" s="55">
        <f>SUMIFS(tblPlant[Gold_Poured_oz],tblPlant[Date],$A63)</f>
        <v/>
      </c>
      <c r="CY63" s="55">
        <f>IF($B63=$B62,$CY62,0)+$CX63</f>
        <v/>
      </c>
      <c r="CZ63" s="55">
        <f>$CZ62+$CX63</f>
        <v/>
      </c>
      <c r="DA63" s="57">
        <f>SUMIFS(tblPlant[Mill_Run_h],tblPlant[Date],$A63)</f>
        <v/>
      </c>
      <c r="DB63" s="57">
        <f>IF($B63=$B62,$DB62,0)+$DA63</f>
        <v/>
      </c>
      <c r="DC63" s="57">
        <f>$DC62+$DA63</f>
        <v/>
      </c>
      <c r="DD63" s="57">
        <f>SUMIFS(tblPlant[Mill_Planned_Maint_h],tblPlant[Date],$A63)</f>
        <v/>
      </c>
      <c r="DE63" s="57">
        <f>IF($B63=$B62,$DE62,0)+$DD63</f>
        <v/>
      </c>
      <c r="DF63" s="57">
        <f>$DF62+$DD63</f>
        <v/>
      </c>
      <c r="DG63" s="57">
        <f>SUMIFS(tblPlant[Mill_Unplanned_Down_h],tblPlant[Date],$A63)</f>
        <v/>
      </c>
      <c r="DH63" s="57">
        <f>IF($B63=$B62,$DH62,0)+$DG63</f>
        <v/>
      </c>
      <c r="DI63" s="57">
        <f>$DI62+$DG63</f>
        <v/>
      </c>
      <c r="DJ63" s="57">
        <f>COUNTIFS(tblPlant[Date],$A63,tblPlant[Mill_Run_h],"&lt;&gt;")*24</f>
        <v/>
      </c>
      <c r="DK63" s="57">
        <f>IF($B63=$B62,$DK62,0)+$DJ63</f>
        <v/>
      </c>
      <c r="DL63" s="57">
        <f>$DL62+$DJ63</f>
        <v/>
      </c>
      <c r="DM63" s="57">
        <f>SUMIFS(tblPlant[Crusher_Run_h],tblPlant[Date],$A63)</f>
        <v/>
      </c>
      <c r="DN63" s="57">
        <f>IF($B63=$B62,$DN62,0)+$DM63</f>
        <v/>
      </c>
      <c r="DO63" s="57">
        <f>$DO62+$DM63</f>
        <v/>
      </c>
      <c r="DP63" s="55">
        <f>IFERROR(IF(($DA63)&gt;0,($BZ63)/($DA63),""),"")</f>
        <v/>
      </c>
      <c r="DQ63" s="55">
        <f>IFERROR(IF(($DB63)&gt;0,($CA63)/($DB63),""),"")</f>
        <v/>
      </c>
      <c r="DR63" s="55">
        <f>IFERROR(IF(($DC63)&gt;0,($CB63)/($DC63),""),"")</f>
        <v/>
      </c>
      <c r="DS63" s="67">
        <f>IFERROR(IF(($DJ63)&gt;0,($DJ63-$DD63-$DG63)/($DJ63),""),"")</f>
        <v/>
      </c>
      <c r="DT63" s="67">
        <f>IFERROR(IF(($DK63)&gt;0,($DK63-$DE63-$DH63)/($DK63),""),"")</f>
        <v/>
      </c>
      <c r="DU63" s="67">
        <f>IFERROR(IF(($DL63)&gt;0,($DL63-$DF63-$DI63)/($DL63),""),"")</f>
        <v/>
      </c>
      <c r="DV63" s="67">
        <f>IFERROR(IF(($DJ63-$DD63-$DG63)&gt;0,($DA63)/($DJ63-$DD63-$DG63),""),"")</f>
        <v/>
      </c>
      <c r="DW63" s="67">
        <f>IFERROR(IF(($DK63-$DE63-$DH63)&gt;0,($DB63)/($DK63-$DE63-$DH63),""),"")</f>
        <v/>
      </c>
      <c r="DX63" s="67">
        <f>IFERROR(IF(($DL63-$DF63-$DI63)&gt;0,($DC63)/($DL63-$DF63-$DI63),""),"")</f>
        <v/>
      </c>
      <c r="DY63" s="55">
        <f>SUMIFS(tblPlant[Cyanide_kg],tblPlant[Date],$A63)</f>
        <v/>
      </c>
      <c r="DZ63" s="55">
        <f>IF($B63=$B62,$DZ62,0)+$DY63</f>
        <v/>
      </c>
      <c r="EA63" s="55">
        <f>$EA62+$DY63</f>
        <v/>
      </c>
      <c r="EB63" s="55">
        <f>SUMIFS(tblPlant[Lime_kg],tblPlant[Date],$A63)</f>
        <v/>
      </c>
      <c r="EC63" s="55">
        <f>IF($B63=$B62,$EC62,0)+$EB63</f>
        <v/>
      </c>
      <c r="ED63" s="55">
        <f>$ED62+$EB63</f>
        <v/>
      </c>
      <c r="EE63" s="55">
        <f>SUMIFS(tblPlant[Grinding_Media_kg],tblPlant[Date],$A63)</f>
        <v/>
      </c>
      <c r="EF63" s="55">
        <f>IF($B63=$B62,$EF62,0)+$EE63</f>
        <v/>
      </c>
      <c r="EG63" s="55">
        <f>$EG62+$EE63</f>
        <v/>
      </c>
      <c r="EH63" s="55">
        <f>SUMIFS(tblPlant[Power_kWh],tblPlant[Date],$A63)</f>
        <v/>
      </c>
      <c r="EI63" s="55">
        <f>IF($B63=$B62,$EI62,0)+$EH63</f>
        <v/>
      </c>
      <c r="EJ63" s="55">
        <f>$EJ62+$EH63</f>
        <v/>
      </c>
      <c r="EK63" s="55">
        <f>SUMIFS(tblPlant[Raw_Water_m3],tblPlant[Date],$A63)</f>
        <v/>
      </c>
      <c r="EL63" s="55">
        <f>IF($B63=$B62,$EL62,0)+$EK63</f>
        <v/>
      </c>
      <c r="EM63" s="55">
        <f>$EM62+$EK63</f>
        <v/>
      </c>
      <c r="EN63" s="56">
        <f>IFERROR(IF(($BZ63)&gt;0,($DY63)/($BZ63),""),"")</f>
        <v/>
      </c>
      <c r="EO63" s="56">
        <f>IFERROR(IF(($CA63)&gt;0,($DZ63)/($CA63),""),"")</f>
        <v/>
      </c>
      <c r="EP63" s="56">
        <f>IFERROR(IF(($CB63)&gt;0,($EA63)/($CB63),""),"")</f>
        <v/>
      </c>
      <c r="EQ63" s="56">
        <f>IFERROR(IF(($BZ63)&gt;0,($EB63)/($BZ63),""),"")</f>
        <v/>
      </c>
      <c r="ER63" s="56">
        <f>IFERROR(IF(($CA63)&gt;0,($EC63)/($CA63),""),"")</f>
        <v/>
      </c>
      <c r="ES63" s="56">
        <f>IFERROR(IF(($CB63)&gt;0,($ED63)/($CB63),""),"")</f>
        <v/>
      </c>
      <c r="ET63" s="56">
        <f>IFERROR(IF(($BZ63)&gt;0,($EE63)/($BZ63),""),"")</f>
        <v/>
      </c>
      <c r="EU63" s="56">
        <f>IFERROR(IF(($CA63)&gt;0,($EF63)/($CA63),""),"")</f>
        <v/>
      </c>
      <c r="EV63" s="56">
        <f>IFERROR(IF(($CB63)&gt;0,($EG63)/($CB63),""),"")</f>
        <v/>
      </c>
      <c r="EW63" s="76">
        <f>IFERROR(IF(($BZ63)&gt;0,($EH63)/($BZ63),""),"")</f>
        <v/>
      </c>
      <c r="EX63" s="76">
        <f>IFERROR(IF(($CA63)&gt;0,($EI63)/($CA63),""),"")</f>
        <v/>
      </c>
      <c r="EY63" s="76">
        <f>IFERROR(IF(($CB63)&gt;0,($EJ63)/($CB63),""),"")</f>
        <v/>
      </c>
      <c r="EZ63" s="56">
        <f>IFERROR(IF(($BZ63)&gt;0,($EK63)/($BZ63),""),"")</f>
        <v/>
      </c>
      <c r="FA63" s="56">
        <f>IFERROR(IF(($CA63)&gt;0,($EL63)/($CA63),""),"")</f>
        <v/>
      </c>
      <c r="FB63" s="56">
        <f>IFERROR(IF(($CB63)&gt;0,($EM63)/($CB63),""),"")</f>
        <v/>
      </c>
      <c r="FC63" s="55">
        <f>IF(SUMIFS(tblPlant[GIC_oz],tblPlant[Date],$A63)&gt;0,SUMIFS(tblPlant[GIC_oz],tblPlant[Date],$A63),"")</f>
        <v/>
      </c>
      <c r="FD63" s="55">
        <f>SUMIFS(tblGold[Gold_oz],tblGold[Date],$A63,tblGold[Type],"Shipment")</f>
        <v/>
      </c>
      <c r="FE63" s="55">
        <f>IF($B63=$B62,$FE62,0)+$FD63</f>
        <v/>
      </c>
      <c r="FF63" s="55">
        <f>$FF62+$FD63</f>
        <v/>
      </c>
      <c r="FG63" s="55">
        <f>SUMIFS(tblGold[Gold_oz],tblGold[Date],$A63,tblGold[Type],"Sale")</f>
        <v/>
      </c>
      <c r="FH63" s="55">
        <f>IF($B63=$B62,$FH62,0)+$FG63</f>
        <v/>
      </c>
      <c r="FI63" s="55">
        <f>$FI62+$FG63</f>
        <v/>
      </c>
      <c r="FJ63" s="55">
        <f>SUMIFS(tblGold[Dore_kg],tblGold[Date],$A63,tblGold[Type],"Shipment")</f>
        <v/>
      </c>
      <c r="FK63" s="55">
        <f>IF($B63=$B62,$FK62,0)+$FJ63</f>
        <v/>
      </c>
      <c r="FL63" s="55">
        <f>$FL62+$FJ63</f>
        <v/>
      </c>
      <c r="FM63" s="57">
        <f>SUMIFS(tblSafety[Hours_Total],tblSafety[Date],$A63)</f>
        <v/>
      </c>
      <c r="FN63" s="57">
        <f>IF($B63=$B62,$FN62,0)+$FM63</f>
        <v/>
      </c>
      <c r="FO63" s="57">
        <f>$FO62+$FM63</f>
        <v/>
      </c>
      <c r="FP63" s="62">
        <f>SUMIFS(tblSafety[Fatality],tblSafety[Date],$A63)</f>
        <v/>
      </c>
      <c r="FQ63" s="62">
        <f>IF($B63=$B62,$FQ62,0)+$FP63</f>
        <v/>
      </c>
      <c r="FR63" s="62">
        <f>$FR62+$FP63</f>
        <v/>
      </c>
      <c r="FS63" s="62">
        <f>SUMIFS(tblSafety[LTI],tblSafety[Date],$A63)</f>
        <v/>
      </c>
      <c r="FT63" s="62">
        <f>IF($B63=$B62,$FT62,0)+$FS63</f>
        <v/>
      </c>
      <c r="FU63" s="62">
        <f>$FU62+$FS63</f>
        <v/>
      </c>
      <c r="FV63" s="62">
        <f>SUMIFS(tblSafety[RWI],tblSafety[Date],$A63)</f>
        <v/>
      </c>
      <c r="FW63" s="62">
        <f>IF($B63=$B62,$FW62,0)+$FV63</f>
        <v/>
      </c>
      <c r="FX63" s="62">
        <f>$FX62+$FV63</f>
        <v/>
      </c>
      <c r="FY63" s="62">
        <f>SUMIFS(tblSafety[MTI],tblSafety[Date],$A63)</f>
        <v/>
      </c>
      <c r="FZ63" s="62">
        <f>IF($B63=$B62,$FZ62,0)+$FY63</f>
        <v/>
      </c>
      <c r="GA63" s="62">
        <f>$GA62+$FY63</f>
        <v/>
      </c>
      <c r="GB63" s="62">
        <f>SUMIFS(tblSafety[FAI],tblSafety[Date],$A63)</f>
        <v/>
      </c>
      <c r="GC63" s="62">
        <f>IF($B63=$B62,$GC62,0)+$GB63</f>
        <v/>
      </c>
      <c r="GD63" s="62">
        <f>$GD62+$GB63</f>
        <v/>
      </c>
      <c r="GE63" s="62">
        <f>SUMIFS(tblSafety[Recordables],tblSafety[Date],$A63)</f>
        <v/>
      </c>
      <c r="GF63" s="62">
        <f>IF($B63=$B62,$GF62,0)+$GE63</f>
        <v/>
      </c>
      <c r="GG63" s="62">
        <f>$GG62+$GE63</f>
        <v/>
      </c>
      <c r="GH63" s="62">
        <f>SUMIFS(tblSafety[Near_Miss],tblSafety[Date],$A63)</f>
        <v/>
      </c>
      <c r="GI63" s="62">
        <f>IF($B63=$B62,$GI62,0)+$GH63</f>
        <v/>
      </c>
      <c r="GJ63" s="62">
        <f>$GJ62+$GH63</f>
        <v/>
      </c>
      <c r="GK63" s="62">
        <f>SUMIFS(tblSafety[Hazard_Reports],tblSafety[Date],$A63)</f>
        <v/>
      </c>
      <c r="GL63" s="62">
        <f>IF($B63=$B62,$GL62,0)+$GK63</f>
        <v/>
      </c>
      <c r="GM63" s="62">
        <f>$GM62+$GK63</f>
        <v/>
      </c>
      <c r="GN63" s="62">
        <f>SUMIFS(tblSafety[HPI],tblSafety[Date],$A63)</f>
        <v/>
      </c>
      <c r="GO63" s="62">
        <f>IF($B63=$B62,$GO62,0)+$GN63</f>
        <v/>
      </c>
      <c r="GP63" s="62">
        <f>$GP62+$GN63</f>
        <v/>
      </c>
      <c r="GQ63" s="62">
        <f>SUMIFS(tblSafety[Env_Incidents],tblSafety[Date],$A63)</f>
        <v/>
      </c>
      <c r="GR63" s="62">
        <f>IF($B63=$B62,$GR62,0)+$GQ63</f>
        <v/>
      </c>
      <c r="GS63" s="62">
        <f>$GS62+$GQ63</f>
        <v/>
      </c>
      <c r="GT63" s="62">
        <f>SUMIFS(tblSafety[Community_Incidents],tblSafety[Date],$A63)</f>
        <v/>
      </c>
      <c r="GU63" s="62">
        <f>IF($B63=$B62,$GU62,0)+$GT63</f>
        <v/>
      </c>
      <c r="GV63" s="62">
        <f>$GV62+$GT63</f>
        <v/>
      </c>
      <c r="GW63" s="62">
        <f>SUMIFS(tblSafety[Vehicle_Incidents],tblSafety[Date],$A63)</f>
        <v/>
      </c>
      <c r="GX63" s="62">
        <f>IF($B63=$B62,$GX62,0)+$GW63</f>
        <v/>
      </c>
      <c r="GY63" s="62">
        <f>$GY62+$GW63</f>
        <v/>
      </c>
      <c r="GZ63" s="62">
        <f>SUMIFS(tblSafety[Toolbox_Talks],tblSafety[Date],$A63)</f>
        <v/>
      </c>
      <c r="HA63" s="62">
        <f>IF($B63=$B62,$HA62,0)+$GZ63</f>
        <v/>
      </c>
      <c r="HB63" s="62">
        <f>$HB62+$GZ63</f>
        <v/>
      </c>
      <c r="HC63" s="62">
        <f>SUMIFS(tblSafety[Inspections],tblSafety[Date],$A63)</f>
        <v/>
      </c>
      <c r="HD63" s="62">
        <f>IF($B63=$B62,$HD62,0)+$HC63</f>
        <v/>
      </c>
      <c r="HE63" s="62">
        <f>$HE62+$HC63</f>
        <v/>
      </c>
      <c r="HF63" s="56">
        <f>IFERROR((SUMIFS(tblSafety[Recordables],tblSafety[Date],"&gt;="&amp;EDATE($E63,-12),tblSafety[Date],"&lt;="&amp;$A63)+SUMIFS(tblSafetyHistory[Recordables],tblSafetyHistory[Month],"&gt;="&amp;EDATE($E63,-12),tblSafetyHistory[Month],"&lt;"&amp;cfg_YearStart))/(SUMIFS(tblSafety[Hours_Total],tblSafety[Date],"&gt;="&amp;EDATE($E63,-12),tblSafety[Date],"&lt;="&amp;$A63)+SUMIFS(tblSafetyHistory[Hours_Total],tblSafetyHistory[Month],"&gt;="&amp;EDATE($E63,-12),tblSafetyHistory[Month],"&lt;"&amp;cfg_YearStart))*1000000,"")</f>
        <v/>
      </c>
      <c r="HG63" s="56">
        <f>IFERROR((SUMIFS(tblSafety[LTI],tblSafety[Date],"&gt;="&amp;EDATE($E63,-12),tblSafety[Date],"&lt;="&amp;$A63)+SUMIFS(tblSafetyHistory[LTI],tblSafetyHistory[Month],"&gt;="&amp;EDATE($E63,-12),tblSafetyHistory[Month],"&lt;"&amp;cfg_YearStart))/(SUMIFS(tblSafety[Hours_Total],tblSafety[Date],"&gt;="&amp;EDATE($E63,-12),tblSafety[Date],"&lt;="&amp;$A63)+SUMIFS(tblSafetyHistory[Hours_Total],tblSafetyHistory[Month],"&gt;="&amp;EDATE($E63,-12),tblSafetyHistory[Month],"&lt;"&amp;cfg_YearStart))*1000000,"")</f>
        <v/>
      </c>
      <c r="HH63" s="62">
        <f>IF(MAX(N(cfg_PriorLTIDate),_xlfn.MAXIFS(tblSafety[Date],tblSafety[LTI],"&gt;0",tblSafety[Date],"&lt;="&amp;$A63))=0,"",$A63-MAX(N(cfg_PriorLTIDate),_xlfn.MAXIFS(tblSafety[Date],tblSafety[LTI],"&gt;0",tblSafety[Date],"&lt;="&amp;$A63)))</f>
        <v/>
      </c>
      <c r="HI63" s="55">
        <f>SUMIFS(tblBudget[Ore_Mined_t],tblBudget[Month],$E63)</f>
        <v/>
      </c>
      <c r="HJ63" s="55">
        <f>$HI63*$C63/$D63</f>
        <v/>
      </c>
      <c r="HK63" s="55">
        <f>SUMIFS(tblBudget[Ore_Mined_t],tblBudget[Month],"&lt;"&amp;$E63)+$HJ63</f>
        <v/>
      </c>
      <c r="HL63" s="55">
        <f>SUMIFS(tblBudget[Ore_oz],tblBudget[Month],$E63)</f>
        <v/>
      </c>
      <c r="HM63" s="55">
        <f>$HL63*$C63/$D63</f>
        <v/>
      </c>
      <c r="HN63" s="55">
        <f>SUMIFS(tblBudget[Ore_oz],tblBudget[Month],"&lt;"&amp;$E63)+$HM63</f>
        <v/>
      </c>
      <c r="HO63" s="56">
        <f>IFERROR(IF(($HI63)&gt;0,($HL63*cfg_TroyOz)/($HI63),""),"")</f>
        <v/>
      </c>
      <c r="HP63" s="56">
        <f>IFERROR(IF(($HJ63)&gt;0,($HM63*cfg_TroyOz)/($HJ63),""),"")</f>
        <v/>
      </c>
      <c r="HQ63" s="56">
        <f>IFERROR(IF(($HK63)&gt;0,($HN63*cfg_TroyOz)/($HK63),""),"")</f>
        <v/>
      </c>
      <c r="HR63" s="55">
        <f>SUMIFS(tblBudget[Waste_t],tblBudget[Month],$E63)</f>
        <v/>
      </c>
      <c r="HS63" s="55">
        <f>$HR63*$C63/$D63</f>
        <v/>
      </c>
      <c r="HT63" s="55">
        <f>SUMIFS(tblBudget[Waste_t],tblBudget[Month],"&lt;"&amp;$E63)+$HS63</f>
        <v/>
      </c>
      <c r="HU63" s="55">
        <f>SUMIFS(tblBudget[TMM_t],tblBudget[Month],$E63)</f>
        <v/>
      </c>
      <c r="HV63" s="55">
        <f>$HU63*$C63/$D63</f>
        <v/>
      </c>
      <c r="HW63" s="55">
        <f>SUMIFS(tblBudget[TMM_t],tblBudget[Month],"&lt;"&amp;$E63)+$HV63</f>
        <v/>
      </c>
      <c r="HX63" s="56">
        <f>IFERROR(IF(($HI63)&gt;0,($HR63)/($HI63),""),"")</f>
        <v/>
      </c>
      <c r="HY63" s="56">
        <f>IFERROR(IF(($HJ63)&gt;0,($HS63)/($HJ63),""),"")</f>
        <v/>
      </c>
      <c r="HZ63" s="56">
        <f>IFERROR(IF(($HK63)&gt;0,($HT63)/($HK63),""),"")</f>
        <v/>
      </c>
      <c r="IA63" s="55">
        <f>SUMIFS(tblBudget[Drill_m],tblBudget[Month],$E63)</f>
        <v/>
      </c>
      <c r="IB63" s="55">
        <f>$IA63*$C63/$D63</f>
        <v/>
      </c>
      <c r="IC63" s="55">
        <f>SUMIFS(tblBudget[Drill_m],tblBudget[Month],"&lt;"&amp;$E63)+$IB63</f>
        <v/>
      </c>
      <c r="ID63" s="55">
        <f>SUMIFS(tblBudget[Diesel_L],tblBudget[Month],$E63)</f>
        <v/>
      </c>
      <c r="IE63" s="55">
        <f>$ID63*$C63/$D63</f>
        <v/>
      </c>
      <c r="IF63" s="55">
        <f>SUMIFS(tblBudget[Diesel_L],tblBudget[Month],"&lt;"&amp;$E63)+$IE63</f>
        <v/>
      </c>
      <c r="IG63" s="55">
        <f>SUMIFS(tblBudget[Milled_t],tblBudget[Month],$E63)</f>
        <v/>
      </c>
      <c r="IH63" s="55">
        <f>$IG63*$C63/$D63</f>
        <v/>
      </c>
      <c r="II63" s="55">
        <f>SUMIFS(tblBudget[Milled_t],tblBudget[Month],"&lt;"&amp;$E63)+$IH63</f>
        <v/>
      </c>
      <c r="IJ63" s="55">
        <f>SUMIFS(tblBudget[Feed_oz],tblBudget[Month],$E63)</f>
        <v/>
      </c>
      <c r="IK63" s="55">
        <f>$IJ63*$C63/$D63</f>
        <v/>
      </c>
      <c r="IL63" s="55">
        <f>SUMIFS(tblBudget[Feed_oz],tblBudget[Month],"&lt;"&amp;$E63)+$IK63</f>
        <v/>
      </c>
      <c r="IM63" s="55">
        <f>SUMIFS(tblBudget[Recovered_oz],tblBudget[Month],$E63)</f>
        <v/>
      </c>
      <c r="IN63" s="55">
        <f>$IM63*$C63/$D63</f>
        <v/>
      </c>
      <c r="IO63" s="55">
        <f>SUMIFS(tblBudget[Recovered_oz],tblBudget[Month],"&lt;"&amp;$E63)+$IN63</f>
        <v/>
      </c>
      <c r="IP63" s="56">
        <f>IFERROR(IF(($IG63)&gt;0,($IJ63*cfg_TroyOz)/($IG63),""),"")</f>
        <v/>
      </c>
      <c r="IQ63" s="56">
        <f>IFERROR(IF(($IH63)&gt;0,($IK63*cfg_TroyOz)/($IH63),""),"")</f>
        <v/>
      </c>
      <c r="IR63" s="56">
        <f>IFERROR(IF(($II63)&gt;0,($IL63*cfg_TroyOz)/($II63),""),"")</f>
        <v/>
      </c>
      <c r="IS63" s="67">
        <f>IFERROR(IF(($IJ63)&gt;0,($IM63)/($IJ63),""),"")</f>
        <v/>
      </c>
      <c r="IT63" s="67">
        <f>IFERROR(IF(($IK63)&gt;0,($IN63)/($IK63),""),"")</f>
        <v/>
      </c>
      <c r="IU63" s="67">
        <f>IFERROR(IF(($IL63)&gt;0,($IO63)/($IL63),""),"")</f>
        <v/>
      </c>
      <c r="IV63" s="55">
        <f>SUMIFS(tblBudget[Gold_Poured_oz],tblBudget[Month],$E63)</f>
        <v/>
      </c>
      <c r="IW63" s="55">
        <f>$IV63*$C63/$D63</f>
        <v/>
      </c>
      <c r="IX63" s="55">
        <f>SUMIFS(tblBudget[Gold_Poured_oz],tblBudget[Month],"&lt;"&amp;$E63)+$IW63</f>
        <v/>
      </c>
      <c r="IY63" s="57">
        <f>SUMIFS(tblBudget[Hours_Worked],tblBudget[Month],$E63)</f>
        <v/>
      </c>
      <c r="IZ63" s="57">
        <f>$IY63*$C63/$D63</f>
        <v/>
      </c>
      <c r="JA63" s="57">
        <f>SUMIFS(tblBudget[Hours_Worked],tblBudget[Month],"&lt;"&amp;$E63)+$IZ63</f>
        <v/>
      </c>
    </row>
    <row r="64">
      <c r="A64" s="54" t="n">
        <v>46085</v>
      </c>
      <c r="B64">
        <f>MONTH($A64)</f>
        <v/>
      </c>
      <c r="C64">
        <f>DAY($A64)</f>
        <v/>
      </c>
      <c r="D64">
        <f>DAY(EOMONTH($A64,0))</f>
        <v/>
      </c>
      <c r="E64" s="54">
        <f>DATE(YEAR($A64),MONTH($A64),1)</f>
        <v/>
      </c>
      <c r="F64" s="55">
        <f>SUMIFS(tblMovement[Tonnes_t],tblMovement[Date],$A64,tblMovement[Is_Ore],1,tblMovement[Source_Type],"Pit")</f>
        <v/>
      </c>
      <c r="G64" s="55">
        <f>IF($B64=$B63,$G63,0)+$F64</f>
        <v/>
      </c>
      <c r="H64" s="55">
        <f>$H63+$F64</f>
        <v/>
      </c>
      <c r="I64" s="55">
        <f>SUMIFS(tblMovement[Ore_oz],tblMovement[Date],$A64,tblMovement[Source_Type],"Pit")</f>
        <v/>
      </c>
      <c r="J64" s="55">
        <f>IF($B64=$B63,$J63,0)+$I64</f>
        <v/>
      </c>
      <c r="K64" s="55">
        <f>$K63+$I64</f>
        <v/>
      </c>
      <c r="L64" s="56">
        <f>IFERROR(IF(($F64)&gt;0,($I64*cfg_TroyOz)/($F64),""),"")</f>
        <v/>
      </c>
      <c r="M64" s="56">
        <f>IFERROR(IF(($G64)&gt;0,($J64*cfg_TroyOz)/($G64),""),"")</f>
        <v/>
      </c>
      <c r="N64" s="56">
        <f>IFERROR(IF(($H64)&gt;0,($K64*cfg_TroyOz)/($H64),""),"")</f>
        <v/>
      </c>
      <c r="O64" s="55">
        <f>SUMIFS(tblMovement[Tonnes_t],tblMovement[Date],$A64,tblMovement[Is_Ore],0,tblMovement[Source_Type],"Pit")</f>
        <v/>
      </c>
      <c r="P64" s="55">
        <f>IF($B64=$B63,$P63,0)+$O64</f>
        <v/>
      </c>
      <c r="Q64" s="55">
        <f>$Q63+$O64</f>
        <v/>
      </c>
      <c r="R64" s="55">
        <f>$F64+$O64</f>
        <v/>
      </c>
      <c r="S64" s="55">
        <f>IF($B64=$B63,$S63,0)+$R64</f>
        <v/>
      </c>
      <c r="T64" s="55">
        <f>$T63+$R64</f>
        <v/>
      </c>
      <c r="U64" s="56">
        <f>IFERROR(IF(($F64)&gt;0,($O64)/($F64),""),"")</f>
        <v/>
      </c>
      <c r="V64" s="56">
        <f>IFERROR(IF(($G64)&gt;0,($P64)/($G64),""),"")</f>
        <v/>
      </c>
      <c r="W64" s="56">
        <f>IFERROR(IF(($H64)&gt;0,($Q64)/($H64),""),"")</f>
        <v/>
      </c>
      <c r="X64" s="55">
        <f>SUMIFS(tblMovement[Tonnes_t],tblMovement[Date],$A64,tblMovement[Source_Type],"Stockpile")</f>
        <v/>
      </c>
      <c r="Y64" s="55">
        <f>IF($B64=$B63,$Y63,0)+$X64</f>
        <v/>
      </c>
      <c r="Z64" s="55">
        <f>$Z63+$X64</f>
        <v/>
      </c>
      <c r="AA64" s="55">
        <f>SUMIFS(tblMiningDaily[Drill_m],tblMiningDaily[Date],$A64)</f>
        <v/>
      </c>
      <c r="AB64" s="55">
        <f>IF($B64=$B63,$AB63,0)+$AA64</f>
        <v/>
      </c>
      <c r="AC64" s="55">
        <f>$AC63+$AA64</f>
        <v/>
      </c>
      <c r="AD64" s="55">
        <f>SUMIFS(tblMiningDaily[Blast_t],tblMiningDaily[Date],$A64)</f>
        <v/>
      </c>
      <c r="AE64" s="55">
        <f>IF($B64=$B63,$AE63,0)+$AD64</f>
        <v/>
      </c>
      <c r="AF64" s="55">
        <f>$AF63+$AD64</f>
        <v/>
      </c>
      <c r="AG64" s="55">
        <f>SUMIFS(tblMiningDaily[Explosives_kg],tblMiningDaily[Date],$A64)</f>
        <v/>
      </c>
      <c r="AH64" s="55">
        <f>IF($B64=$B63,$AH63,0)+$AG64</f>
        <v/>
      </c>
      <c r="AI64" s="55">
        <f>$AI63+$AG64</f>
        <v/>
      </c>
      <c r="AJ64" s="56">
        <f>IFERROR(IF(($AD64)&gt;0,($AG64)/($AD64),""),"")</f>
        <v/>
      </c>
      <c r="AK64" s="56">
        <f>IFERROR(IF(($AE64)&gt;0,($AH64)/($AE64),""),"")</f>
        <v/>
      </c>
      <c r="AL64" s="56">
        <f>IFERROR(IF(($AF64)&gt;0,($AI64)/($AF64),""),"")</f>
        <v/>
      </c>
      <c r="AM64" s="55">
        <f>SUMIFS(tblMiningDaily[Diesel_L],tblMiningDaily[Date],$A64)</f>
        <v/>
      </c>
      <c r="AN64" s="55">
        <f>IF($B64=$B63,$AN63,0)+$AM64</f>
        <v/>
      </c>
      <c r="AO64" s="55">
        <f>$AO63+$AM64</f>
        <v/>
      </c>
      <c r="AP64" s="55">
        <f>SUMIFS(tblMiningDaily[Dewatering_m3],tblMiningDaily[Date],$A64)</f>
        <v/>
      </c>
      <c r="AQ64" s="55">
        <f>IF($B64=$B63,$AQ63,0)+$AP64</f>
        <v/>
      </c>
      <c r="AR64" s="55">
        <f>$AR63+$AP64</f>
        <v/>
      </c>
      <c r="AS64" s="57">
        <f>SUMIFS(tblFleet[Calendar_h],tblFleet[Date],$A64,tblFleet[Equipment_Class],"Excavator")</f>
        <v/>
      </c>
      <c r="AT64" s="57">
        <f>IF($B64=$B63,$AT63,0)+$AS64</f>
        <v/>
      </c>
      <c r="AU64" s="57">
        <f>$AU63+$AS64</f>
        <v/>
      </c>
      <c r="AV64" s="57">
        <f>SUMIFS(tblFleet[Available_h],tblFleet[Date],$A64,tblFleet[Equipment_Class],"Excavator")</f>
        <v/>
      </c>
      <c r="AW64" s="57">
        <f>IF($B64=$B63,$AW63,0)+$AV64</f>
        <v/>
      </c>
      <c r="AX64" s="57">
        <f>$AX63+$AV64</f>
        <v/>
      </c>
      <c r="AY64" s="57">
        <f>SUMIFS(tblFleet[Operating_h],tblFleet[Date],$A64,tblFleet[Equipment_Class],"Excavator")</f>
        <v/>
      </c>
      <c r="AZ64" s="57">
        <f>IF($B64=$B63,$AZ63,0)+$AY64</f>
        <v/>
      </c>
      <c r="BA64" s="57">
        <f>$BA63+$AY64</f>
        <v/>
      </c>
      <c r="BB64" s="67">
        <f>IFERROR(IF(($AS64)&gt;0,($AV64)/($AS64),""),"")</f>
        <v/>
      </c>
      <c r="BC64" s="67">
        <f>IFERROR(IF(($AT64)&gt;0,($AW64)/($AT64),""),"")</f>
        <v/>
      </c>
      <c r="BD64" s="67">
        <f>IFERROR(IF(($AU64)&gt;0,($AX64)/($AU64),""),"")</f>
        <v/>
      </c>
      <c r="BE64" s="67">
        <f>IFERROR(IF(($AV64)&gt;0,($AY64)/($AV64),""),"")</f>
        <v/>
      </c>
      <c r="BF64" s="67">
        <f>IFERROR(IF(($AW64)&gt;0,($AZ64)/($AW64),""),"")</f>
        <v/>
      </c>
      <c r="BG64" s="67">
        <f>IFERROR(IF(($AX64)&gt;0,($BA64)/($AX64),""),"")</f>
        <v/>
      </c>
      <c r="BH64" s="57">
        <f>SUMIFS(tblFleet[Calendar_h],tblFleet[Date],$A64,tblFleet[Equipment_Class],"Haul Truck")</f>
        <v/>
      </c>
      <c r="BI64" s="57">
        <f>IF($B64=$B63,$BI63,0)+$BH64</f>
        <v/>
      </c>
      <c r="BJ64" s="57">
        <f>$BJ63+$BH64</f>
        <v/>
      </c>
      <c r="BK64" s="57">
        <f>SUMIFS(tblFleet[Available_h],tblFleet[Date],$A64,tblFleet[Equipment_Class],"Haul Truck")</f>
        <v/>
      </c>
      <c r="BL64" s="57">
        <f>IF($B64=$B63,$BL63,0)+$BK64</f>
        <v/>
      </c>
      <c r="BM64" s="57">
        <f>$BM63+$BK64</f>
        <v/>
      </c>
      <c r="BN64" s="57">
        <f>SUMIFS(tblFleet[Operating_h],tblFleet[Date],$A64,tblFleet[Equipment_Class],"Haul Truck")</f>
        <v/>
      </c>
      <c r="BO64" s="57">
        <f>IF($B64=$B63,$BO63,0)+$BN64</f>
        <v/>
      </c>
      <c r="BP64" s="57">
        <f>$BP63+$BN64</f>
        <v/>
      </c>
      <c r="BQ64" s="67">
        <f>IFERROR(IF(($BH64)&gt;0,($BK64)/($BH64),""),"")</f>
        <v/>
      </c>
      <c r="BR64" s="67">
        <f>IFERROR(IF(($BI64)&gt;0,($BL64)/($BI64),""),"")</f>
        <v/>
      </c>
      <c r="BS64" s="67">
        <f>IFERROR(IF(($BJ64)&gt;0,($BM64)/($BJ64),""),"")</f>
        <v/>
      </c>
      <c r="BT64" s="67">
        <f>IFERROR(IF(($BK64)&gt;0,($BN64)/($BK64),""),"")</f>
        <v/>
      </c>
      <c r="BU64" s="67">
        <f>IFERROR(IF(($BL64)&gt;0,($BO64)/($BL64),""),"")</f>
        <v/>
      </c>
      <c r="BV64" s="67">
        <f>IFERROR(IF(($BM64)&gt;0,($BP64)/($BM64),""),"")</f>
        <v/>
      </c>
      <c r="BW64" s="55">
        <f>SUMIFS(tblPlant[Crushed_t],tblPlant[Date],$A64)</f>
        <v/>
      </c>
      <c r="BX64" s="55">
        <f>IF($B64=$B63,$BX63,0)+$BW64</f>
        <v/>
      </c>
      <c r="BY64" s="55">
        <f>$BY63+$BW64</f>
        <v/>
      </c>
      <c r="BZ64" s="55">
        <f>SUMIFS(tblPlant[Milled_t],tblPlant[Date],$A64)</f>
        <v/>
      </c>
      <c r="CA64" s="55">
        <f>IF($B64=$B63,$CA63,0)+$BZ64</f>
        <v/>
      </c>
      <c r="CB64" s="55">
        <f>$CB63+$BZ64</f>
        <v/>
      </c>
      <c r="CC64" s="55">
        <f>SUMIFS(tblPlant[Feed_oz],tblPlant[Date],$A64)</f>
        <v/>
      </c>
      <c r="CD64" s="55">
        <f>IF($B64=$B63,$CD63,0)+$CC64</f>
        <v/>
      </c>
      <c r="CE64" s="55">
        <f>$CE63+$CC64</f>
        <v/>
      </c>
      <c r="CF64" s="55">
        <f>SUMIFS(tblPlant[Tails_oz],tblPlant[Date],$A64)</f>
        <v/>
      </c>
      <c r="CG64" s="55">
        <f>IF($B64=$B63,$CG63,0)+$CF64</f>
        <v/>
      </c>
      <c r="CH64" s="55">
        <f>$CH63+$CF64</f>
        <v/>
      </c>
      <c r="CI64" s="55">
        <f>SUMIFS(tblPlant[Recovered_oz],tblPlant[Date],$A64)</f>
        <v/>
      </c>
      <c r="CJ64" s="55">
        <f>IF($B64=$B63,$CJ63,0)+$CI64</f>
        <v/>
      </c>
      <c r="CK64" s="55">
        <f>$CK63+$CI64</f>
        <v/>
      </c>
      <c r="CL64" s="56">
        <f>IFERROR(IF(($BZ64)&gt;0,($CC64*cfg_TroyOz)/($BZ64),""),"")</f>
        <v/>
      </c>
      <c r="CM64" s="56">
        <f>IFERROR(IF(($CA64)&gt;0,($CD64*cfg_TroyOz)/($CA64),""),"")</f>
        <v/>
      </c>
      <c r="CN64" s="56">
        <f>IFERROR(IF(($CB64)&gt;0,($CE64*cfg_TroyOz)/($CB64),""),"")</f>
        <v/>
      </c>
      <c r="CO64" s="56">
        <f>IFERROR(IF(($BZ64)&gt;0,($CF64*cfg_TroyOz)/($BZ64),""),"")</f>
        <v/>
      </c>
      <c r="CP64" s="56">
        <f>IFERROR(IF(($CA64)&gt;0,($CG64*cfg_TroyOz)/($CA64),""),"")</f>
        <v/>
      </c>
      <c r="CQ64" s="56">
        <f>IFERROR(IF(($CB64)&gt;0,($CH64*cfg_TroyOz)/($CB64),""),"")</f>
        <v/>
      </c>
      <c r="CR64" s="67">
        <f>IFERROR(IF(($CC64)&gt;0,($CI64)/($CC64),""),"")</f>
        <v/>
      </c>
      <c r="CS64" s="67">
        <f>IFERROR(IF(($CD64)&gt;0,($CJ64)/($CD64),""),"")</f>
        <v/>
      </c>
      <c r="CT64" s="67">
        <f>IFERROR(IF(($CE64)&gt;0,($CK64)/($CE64),""),"")</f>
        <v/>
      </c>
      <c r="CU64" s="55">
        <f>SUMIFS(tblPlant[Gravity_Gold_oz],tblPlant[Date],$A64)</f>
        <v/>
      </c>
      <c r="CV64" s="55">
        <f>IF($B64=$B63,$CV63,0)+$CU64</f>
        <v/>
      </c>
      <c r="CW64" s="55">
        <f>$CW63+$CU64</f>
        <v/>
      </c>
      <c r="CX64" s="55">
        <f>SUMIFS(tblPlant[Gold_Poured_oz],tblPlant[Date],$A64)</f>
        <v/>
      </c>
      <c r="CY64" s="55">
        <f>IF($B64=$B63,$CY63,0)+$CX64</f>
        <v/>
      </c>
      <c r="CZ64" s="55">
        <f>$CZ63+$CX64</f>
        <v/>
      </c>
      <c r="DA64" s="57">
        <f>SUMIFS(tblPlant[Mill_Run_h],tblPlant[Date],$A64)</f>
        <v/>
      </c>
      <c r="DB64" s="57">
        <f>IF($B64=$B63,$DB63,0)+$DA64</f>
        <v/>
      </c>
      <c r="DC64" s="57">
        <f>$DC63+$DA64</f>
        <v/>
      </c>
      <c r="DD64" s="57">
        <f>SUMIFS(tblPlant[Mill_Planned_Maint_h],tblPlant[Date],$A64)</f>
        <v/>
      </c>
      <c r="DE64" s="57">
        <f>IF($B64=$B63,$DE63,0)+$DD64</f>
        <v/>
      </c>
      <c r="DF64" s="57">
        <f>$DF63+$DD64</f>
        <v/>
      </c>
      <c r="DG64" s="57">
        <f>SUMIFS(tblPlant[Mill_Unplanned_Down_h],tblPlant[Date],$A64)</f>
        <v/>
      </c>
      <c r="DH64" s="57">
        <f>IF($B64=$B63,$DH63,0)+$DG64</f>
        <v/>
      </c>
      <c r="DI64" s="57">
        <f>$DI63+$DG64</f>
        <v/>
      </c>
      <c r="DJ64" s="57">
        <f>COUNTIFS(tblPlant[Date],$A64,tblPlant[Mill_Run_h],"&lt;&gt;")*24</f>
        <v/>
      </c>
      <c r="DK64" s="57">
        <f>IF($B64=$B63,$DK63,0)+$DJ64</f>
        <v/>
      </c>
      <c r="DL64" s="57">
        <f>$DL63+$DJ64</f>
        <v/>
      </c>
      <c r="DM64" s="57">
        <f>SUMIFS(tblPlant[Crusher_Run_h],tblPlant[Date],$A64)</f>
        <v/>
      </c>
      <c r="DN64" s="57">
        <f>IF($B64=$B63,$DN63,0)+$DM64</f>
        <v/>
      </c>
      <c r="DO64" s="57">
        <f>$DO63+$DM64</f>
        <v/>
      </c>
      <c r="DP64" s="55">
        <f>IFERROR(IF(($DA64)&gt;0,($BZ64)/($DA64),""),"")</f>
        <v/>
      </c>
      <c r="DQ64" s="55">
        <f>IFERROR(IF(($DB64)&gt;0,($CA64)/($DB64),""),"")</f>
        <v/>
      </c>
      <c r="DR64" s="55">
        <f>IFERROR(IF(($DC64)&gt;0,($CB64)/($DC64),""),"")</f>
        <v/>
      </c>
      <c r="DS64" s="67">
        <f>IFERROR(IF(($DJ64)&gt;0,($DJ64-$DD64-$DG64)/($DJ64),""),"")</f>
        <v/>
      </c>
      <c r="DT64" s="67">
        <f>IFERROR(IF(($DK64)&gt;0,($DK64-$DE64-$DH64)/($DK64),""),"")</f>
        <v/>
      </c>
      <c r="DU64" s="67">
        <f>IFERROR(IF(($DL64)&gt;0,($DL64-$DF64-$DI64)/($DL64),""),"")</f>
        <v/>
      </c>
      <c r="DV64" s="67">
        <f>IFERROR(IF(($DJ64-$DD64-$DG64)&gt;0,($DA64)/($DJ64-$DD64-$DG64),""),"")</f>
        <v/>
      </c>
      <c r="DW64" s="67">
        <f>IFERROR(IF(($DK64-$DE64-$DH64)&gt;0,($DB64)/($DK64-$DE64-$DH64),""),"")</f>
        <v/>
      </c>
      <c r="DX64" s="67">
        <f>IFERROR(IF(($DL64-$DF64-$DI64)&gt;0,($DC64)/($DL64-$DF64-$DI64),""),"")</f>
        <v/>
      </c>
      <c r="DY64" s="55">
        <f>SUMIFS(tblPlant[Cyanide_kg],tblPlant[Date],$A64)</f>
        <v/>
      </c>
      <c r="DZ64" s="55">
        <f>IF($B64=$B63,$DZ63,0)+$DY64</f>
        <v/>
      </c>
      <c r="EA64" s="55">
        <f>$EA63+$DY64</f>
        <v/>
      </c>
      <c r="EB64" s="55">
        <f>SUMIFS(tblPlant[Lime_kg],tblPlant[Date],$A64)</f>
        <v/>
      </c>
      <c r="EC64" s="55">
        <f>IF($B64=$B63,$EC63,0)+$EB64</f>
        <v/>
      </c>
      <c r="ED64" s="55">
        <f>$ED63+$EB64</f>
        <v/>
      </c>
      <c r="EE64" s="55">
        <f>SUMIFS(tblPlant[Grinding_Media_kg],tblPlant[Date],$A64)</f>
        <v/>
      </c>
      <c r="EF64" s="55">
        <f>IF($B64=$B63,$EF63,0)+$EE64</f>
        <v/>
      </c>
      <c r="EG64" s="55">
        <f>$EG63+$EE64</f>
        <v/>
      </c>
      <c r="EH64" s="55">
        <f>SUMIFS(tblPlant[Power_kWh],tblPlant[Date],$A64)</f>
        <v/>
      </c>
      <c r="EI64" s="55">
        <f>IF($B64=$B63,$EI63,0)+$EH64</f>
        <v/>
      </c>
      <c r="EJ64" s="55">
        <f>$EJ63+$EH64</f>
        <v/>
      </c>
      <c r="EK64" s="55">
        <f>SUMIFS(tblPlant[Raw_Water_m3],tblPlant[Date],$A64)</f>
        <v/>
      </c>
      <c r="EL64" s="55">
        <f>IF($B64=$B63,$EL63,0)+$EK64</f>
        <v/>
      </c>
      <c r="EM64" s="55">
        <f>$EM63+$EK64</f>
        <v/>
      </c>
      <c r="EN64" s="56">
        <f>IFERROR(IF(($BZ64)&gt;0,($DY64)/($BZ64),""),"")</f>
        <v/>
      </c>
      <c r="EO64" s="56">
        <f>IFERROR(IF(($CA64)&gt;0,($DZ64)/($CA64),""),"")</f>
        <v/>
      </c>
      <c r="EP64" s="56">
        <f>IFERROR(IF(($CB64)&gt;0,($EA64)/($CB64),""),"")</f>
        <v/>
      </c>
      <c r="EQ64" s="56">
        <f>IFERROR(IF(($BZ64)&gt;0,($EB64)/($BZ64),""),"")</f>
        <v/>
      </c>
      <c r="ER64" s="56">
        <f>IFERROR(IF(($CA64)&gt;0,($EC64)/($CA64),""),"")</f>
        <v/>
      </c>
      <c r="ES64" s="56">
        <f>IFERROR(IF(($CB64)&gt;0,($ED64)/($CB64),""),"")</f>
        <v/>
      </c>
      <c r="ET64" s="56">
        <f>IFERROR(IF(($BZ64)&gt;0,($EE64)/($BZ64),""),"")</f>
        <v/>
      </c>
      <c r="EU64" s="56">
        <f>IFERROR(IF(($CA64)&gt;0,($EF64)/($CA64),""),"")</f>
        <v/>
      </c>
      <c r="EV64" s="56">
        <f>IFERROR(IF(($CB64)&gt;0,($EG64)/($CB64),""),"")</f>
        <v/>
      </c>
      <c r="EW64" s="76">
        <f>IFERROR(IF(($BZ64)&gt;0,($EH64)/($BZ64),""),"")</f>
        <v/>
      </c>
      <c r="EX64" s="76">
        <f>IFERROR(IF(($CA64)&gt;0,($EI64)/($CA64),""),"")</f>
        <v/>
      </c>
      <c r="EY64" s="76">
        <f>IFERROR(IF(($CB64)&gt;0,($EJ64)/($CB64),""),"")</f>
        <v/>
      </c>
      <c r="EZ64" s="56">
        <f>IFERROR(IF(($BZ64)&gt;0,($EK64)/($BZ64),""),"")</f>
        <v/>
      </c>
      <c r="FA64" s="56">
        <f>IFERROR(IF(($CA64)&gt;0,($EL64)/($CA64),""),"")</f>
        <v/>
      </c>
      <c r="FB64" s="56">
        <f>IFERROR(IF(($CB64)&gt;0,($EM64)/($CB64),""),"")</f>
        <v/>
      </c>
      <c r="FC64" s="55">
        <f>IF(SUMIFS(tblPlant[GIC_oz],tblPlant[Date],$A64)&gt;0,SUMIFS(tblPlant[GIC_oz],tblPlant[Date],$A64),"")</f>
        <v/>
      </c>
      <c r="FD64" s="55">
        <f>SUMIFS(tblGold[Gold_oz],tblGold[Date],$A64,tblGold[Type],"Shipment")</f>
        <v/>
      </c>
      <c r="FE64" s="55">
        <f>IF($B64=$B63,$FE63,0)+$FD64</f>
        <v/>
      </c>
      <c r="FF64" s="55">
        <f>$FF63+$FD64</f>
        <v/>
      </c>
      <c r="FG64" s="55">
        <f>SUMIFS(tblGold[Gold_oz],tblGold[Date],$A64,tblGold[Type],"Sale")</f>
        <v/>
      </c>
      <c r="FH64" s="55">
        <f>IF($B64=$B63,$FH63,0)+$FG64</f>
        <v/>
      </c>
      <c r="FI64" s="55">
        <f>$FI63+$FG64</f>
        <v/>
      </c>
      <c r="FJ64" s="55">
        <f>SUMIFS(tblGold[Dore_kg],tblGold[Date],$A64,tblGold[Type],"Shipment")</f>
        <v/>
      </c>
      <c r="FK64" s="55">
        <f>IF($B64=$B63,$FK63,0)+$FJ64</f>
        <v/>
      </c>
      <c r="FL64" s="55">
        <f>$FL63+$FJ64</f>
        <v/>
      </c>
      <c r="FM64" s="57">
        <f>SUMIFS(tblSafety[Hours_Total],tblSafety[Date],$A64)</f>
        <v/>
      </c>
      <c r="FN64" s="57">
        <f>IF($B64=$B63,$FN63,0)+$FM64</f>
        <v/>
      </c>
      <c r="FO64" s="57">
        <f>$FO63+$FM64</f>
        <v/>
      </c>
      <c r="FP64" s="62">
        <f>SUMIFS(tblSafety[Fatality],tblSafety[Date],$A64)</f>
        <v/>
      </c>
      <c r="FQ64" s="62">
        <f>IF($B64=$B63,$FQ63,0)+$FP64</f>
        <v/>
      </c>
      <c r="FR64" s="62">
        <f>$FR63+$FP64</f>
        <v/>
      </c>
      <c r="FS64" s="62">
        <f>SUMIFS(tblSafety[LTI],tblSafety[Date],$A64)</f>
        <v/>
      </c>
      <c r="FT64" s="62">
        <f>IF($B64=$B63,$FT63,0)+$FS64</f>
        <v/>
      </c>
      <c r="FU64" s="62">
        <f>$FU63+$FS64</f>
        <v/>
      </c>
      <c r="FV64" s="62">
        <f>SUMIFS(tblSafety[RWI],tblSafety[Date],$A64)</f>
        <v/>
      </c>
      <c r="FW64" s="62">
        <f>IF($B64=$B63,$FW63,0)+$FV64</f>
        <v/>
      </c>
      <c r="FX64" s="62">
        <f>$FX63+$FV64</f>
        <v/>
      </c>
      <c r="FY64" s="62">
        <f>SUMIFS(tblSafety[MTI],tblSafety[Date],$A64)</f>
        <v/>
      </c>
      <c r="FZ64" s="62">
        <f>IF($B64=$B63,$FZ63,0)+$FY64</f>
        <v/>
      </c>
      <c r="GA64" s="62">
        <f>$GA63+$FY64</f>
        <v/>
      </c>
      <c r="GB64" s="62">
        <f>SUMIFS(tblSafety[FAI],tblSafety[Date],$A64)</f>
        <v/>
      </c>
      <c r="GC64" s="62">
        <f>IF($B64=$B63,$GC63,0)+$GB64</f>
        <v/>
      </c>
      <c r="GD64" s="62">
        <f>$GD63+$GB64</f>
        <v/>
      </c>
      <c r="GE64" s="62">
        <f>SUMIFS(tblSafety[Recordables],tblSafety[Date],$A64)</f>
        <v/>
      </c>
      <c r="GF64" s="62">
        <f>IF($B64=$B63,$GF63,0)+$GE64</f>
        <v/>
      </c>
      <c r="GG64" s="62">
        <f>$GG63+$GE64</f>
        <v/>
      </c>
      <c r="GH64" s="62">
        <f>SUMIFS(tblSafety[Near_Miss],tblSafety[Date],$A64)</f>
        <v/>
      </c>
      <c r="GI64" s="62">
        <f>IF($B64=$B63,$GI63,0)+$GH64</f>
        <v/>
      </c>
      <c r="GJ64" s="62">
        <f>$GJ63+$GH64</f>
        <v/>
      </c>
      <c r="GK64" s="62">
        <f>SUMIFS(tblSafety[Hazard_Reports],tblSafety[Date],$A64)</f>
        <v/>
      </c>
      <c r="GL64" s="62">
        <f>IF($B64=$B63,$GL63,0)+$GK64</f>
        <v/>
      </c>
      <c r="GM64" s="62">
        <f>$GM63+$GK64</f>
        <v/>
      </c>
      <c r="GN64" s="62">
        <f>SUMIFS(tblSafety[HPI],tblSafety[Date],$A64)</f>
        <v/>
      </c>
      <c r="GO64" s="62">
        <f>IF($B64=$B63,$GO63,0)+$GN64</f>
        <v/>
      </c>
      <c r="GP64" s="62">
        <f>$GP63+$GN64</f>
        <v/>
      </c>
      <c r="GQ64" s="62">
        <f>SUMIFS(tblSafety[Env_Incidents],tblSafety[Date],$A64)</f>
        <v/>
      </c>
      <c r="GR64" s="62">
        <f>IF($B64=$B63,$GR63,0)+$GQ64</f>
        <v/>
      </c>
      <c r="GS64" s="62">
        <f>$GS63+$GQ64</f>
        <v/>
      </c>
      <c r="GT64" s="62">
        <f>SUMIFS(tblSafety[Community_Incidents],tblSafety[Date],$A64)</f>
        <v/>
      </c>
      <c r="GU64" s="62">
        <f>IF($B64=$B63,$GU63,0)+$GT64</f>
        <v/>
      </c>
      <c r="GV64" s="62">
        <f>$GV63+$GT64</f>
        <v/>
      </c>
      <c r="GW64" s="62">
        <f>SUMIFS(tblSafety[Vehicle_Incidents],tblSafety[Date],$A64)</f>
        <v/>
      </c>
      <c r="GX64" s="62">
        <f>IF($B64=$B63,$GX63,0)+$GW64</f>
        <v/>
      </c>
      <c r="GY64" s="62">
        <f>$GY63+$GW64</f>
        <v/>
      </c>
      <c r="GZ64" s="62">
        <f>SUMIFS(tblSafety[Toolbox_Talks],tblSafety[Date],$A64)</f>
        <v/>
      </c>
      <c r="HA64" s="62">
        <f>IF($B64=$B63,$HA63,0)+$GZ64</f>
        <v/>
      </c>
      <c r="HB64" s="62">
        <f>$HB63+$GZ64</f>
        <v/>
      </c>
      <c r="HC64" s="62">
        <f>SUMIFS(tblSafety[Inspections],tblSafety[Date],$A64)</f>
        <v/>
      </c>
      <c r="HD64" s="62">
        <f>IF($B64=$B63,$HD63,0)+$HC64</f>
        <v/>
      </c>
      <c r="HE64" s="62">
        <f>$HE63+$HC64</f>
        <v/>
      </c>
      <c r="HF64" s="56">
        <f>IFERROR((SUMIFS(tblSafety[Recordables],tblSafety[Date],"&gt;="&amp;EDATE($E64,-12),tblSafety[Date],"&lt;="&amp;$A64)+SUMIFS(tblSafetyHistory[Recordables],tblSafetyHistory[Month],"&gt;="&amp;EDATE($E64,-12),tblSafetyHistory[Month],"&lt;"&amp;cfg_YearStart))/(SUMIFS(tblSafety[Hours_Total],tblSafety[Date],"&gt;="&amp;EDATE($E64,-12),tblSafety[Date],"&lt;="&amp;$A64)+SUMIFS(tblSafetyHistory[Hours_Total],tblSafetyHistory[Month],"&gt;="&amp;EDATE($E64,-12),tblSafetyHistory[Month],"&lt;"&amp;cfg_YearStart))*1000000,"")</f>
        <v/>
      </c>
      <c r="HG64" s="56">
        <f>IFERROR((SUMIFS(tblSafety[LTI],tblSafety[Date],"&gt;="&amp;EDATE($E64,-12),tblSafety[Date],"&lt;="&amp;$A64)+SUMIFS(tblSafetyHistory[LTI],tblSafetyHistory[Month],"&gt;="&amp;EDATE($E64,-12),tblSafetyHistory[Month],"&lt;"&amp;cfg_YearStart))/(SUMIFS(tblSafety[Hours_Total],tblSafety[Date],"&gt;="&amp;EDATE($E64,-12),tblSafety[Date],"&lt;="&amp;$A64)+SUMIFS(tblSafetyHistory[Hours_Total],tblSafetyHistory[Month],"&gt;="&amp;EDATE($E64,-12),tblSafetyHistory[Month],"&lt;"&amp;cfg_YearStart))*1000000,"")</f>
        <v/>
      </c>
      <c r="HH64" s="62">
        <f>IF(MAX(N(cfg_PriorLTIDate),_xlfn.MAXIFS(tblSafety[Date],tblSafety[LTI],"&gt;0",tblSafety[Date],"&lt;="&amp;$A64))=0,"",$A64-MAX(N(cfg_PriorLTIDate),_xlfn.MAXIFS(tblSafety[Date],tblSafety[LTI],"&gt;0",tblSafety[Date],"&lt;="&amp;$A64)))</f>
        <v/>
      </c>
      <c r="HI64" s="55">
        <f>SUMIFS(tblBudget[Ore_Mined_t],tblBudget[Month],$E64)</f>
        <v/>
      </c>
      <c r="HJ64" s="55">
        <f>$HI64*$C64/$D64</f>
        <v/>
      </c>
      <c r="HK64" s="55">
        <f>SUMIFS(tblBudget[Ore_Mined_t],tblBudget[Month],"&lt;"&amp;$E64)+$HJ64</f>
        <v/>
      </c>
      <c r="HL64" s="55">
        <f>SUMIFS(tblBudget[Ore_oz],tblBudget[Month],$E64)</f>
        <v/>
      </c>
      <c r="HM64" s="55">
        <f>$HL64*$C64/$D64</f>
        <v/>
      </c>
      <c r="HN64" s="55">
        <f>SUMIFS(tblBudget[Ore_oz],tblBudget[Month],"&lt;"&amp;$E64)+$HM64</f>
        <v/>
      </c>
      <c r="HO64" s="56">
        <f>IFERROR(IF(($HI64)&gt;0,($HL64*cfg_TroyOz)/($HI64),""),"")</f>
        <v/>
      </c>
      <c r="HP64" s="56">
        <f>IFERROR(IF(($HJ64)&gt;0,($HM64*cfg_TroyOz)/($HJ64),""),"")</f>
        <v/>
      </c>
      <c r="HQ64" s="56">
        <f>IFERROR(IF(($HK64)&gt;0,($HN64*cfg_TroyOz)/($HK64),""),"")</f>
        <v/>
      </c>
      <c r="HR64" s="55">
        <f>SUMIFS(tblBudget[Waste_t],tblBudget[Month],$E64)</f>
        <v/>
      </c>
      <c r="HS64" s="55">
        <f>$HR64*$C64/$D64</f>
        <v/>
      </c>
      <c r="HT64" s="55">
        <f>SUMIFS(tblBudget[Waste_t],tblBudget[Month],"&lt;"&amp;$E64)+$HS64</f>
        <v/>
      </c>
      <c r="HU64" s="55">
        <f>SUMIFS(tblBudget[TMM_t],tblBudget[Month],$E64)</f>
        <v/>
      </c>
      <c r="HV64" s="55">
        <f>$HU64*$C64/$D64</f>
        <v/>
      </c>
      <c r="HW64" s="55">
        <f>SUMIFS(tblBudget[TMM_t],tblBudget[Month],"&lt;"&amp;$E64)+$HV64</f>
        <v/>
      </c>
      <c r="HX64" s="56">
        <f>IFERROR(IF(($HI64)&gt;0,($HR64)/($HI64),""),"")</f>
        <v/>
      </c>
      <c r="HY64" s="56">
        <f>IFERROR(IF(($HJ64)&gt;0,($HS64)/($HJ64),""),"")</f>
        <v/>
      </c>
      <c r="HZ64" s="56">
        <f>IFERROR(IF(($HK64)&gt;0,($HT64)/($HK64),""),"")</f>
        <v/>
      </c>
      <c r="IA64" s="55">
        <f>SUMIFS(tblBudget[Drill_m],tblBudget[Month],$E64)</f>
        <v/>
      </c>
      <c r="IB64" s="55">
        <f>$IA64*$C64/$D64</f>
        <v/>
      </c>
      <c r="IC64" s="55">
        <f>SUMIFS(tblBudget[Drill_m],tblBudget[Month],"&lt;"&amp;$E64)+$IB64</f>
        <v/>
      </c>
      <c r="ID64" s="55">
        <f>SUMIFS(tblBudget[Diesel_L],tblBudget[Month],$E64)</f>
        <v/>
      </c>
      <c r="IE64" s="55">
        <f>$ID64*$C64/$D64</f>
        <v/>
      </c>
      <c r="IF64" s="55">
        <f>SUMIFS(tblBudget[Diesel_L],tblBudget[Month],"&lt;"&amp;$E64)+$IE64</f>
        <v/>
      </c>
      <c r="IG64" s="55">
        <f>SUMIFS(tblBudget[Milled_t],tblBudget[Month],$E64)</f>
        <v/>
      </c>
      <c r="IH64" s="55">
        <f>$IG64*$C64/$D64</f>
        <v/>
      </c>
      <c r="II64" s="55">
        <f>SUMIFS(tblBudget[Milled_t],tblBudget[Month],"&lt;"&amp;$E64)+$IH64</f>
        <v/>
      </c>
      <c r="IJ64" s="55">
        <f>SUMIFS(tblBudget[Feed_oz],tblBudget[Month],$E64)</f>
        <v/>
      </c>
      <c r="IK64" s="55">
        <f>$IJ64*$C64/$D64</f>
        <v/>
      </c>
      <c r="IL64" s="55">
        <f>SUMIFS(tblBudget[Feed_oz],tblBudget[Month],"&lt;"&amp;$E64)+$IK64</f>
        <v/>
      </c>
      <c r="IM64" s="55">
        <f>SUMIFS(tblBudget[Recovered_oz],tblBudget[Month],$E64)</f>
        <v/>
      </c>
      <c r="IN64" s="55">
        <f>$IM64*$C64/$D64</f>
        <v/>
      </c>
      <c r="IO64" s="55">
        <f>SUMIFS(tblBudget[Recovered_oz],tblBudget[Month],"&lt;"&amp;$E64)+$IN64</f>
        <v/>
      </c>
      <c r="IP64" s="56">
        <f>IFERROR(IF(($IG64)&gt;0,($IJ64*cfg_TroyOz)/($IG64),""),"")</f>
        <v/>
      </c>
      <c r="IQ64" s="56">
        <f>IFERROR(IF(($IH64)&gt;0,($IK64*cfg_TroyOz)/($IH64),""),"")</f>
        <v/>
      </c>
      <c r="IR64" s="56">
        <f>IFERROR(IF(($II64)&gt;0,($IL64*cfg_TroyOz)/($II64),""),"")</f>
        <v/>
      </c>
      <c r="IS64" s="67">
        <f>IFERROR(IF(($IJ64)&gt;0,($IM64)/($IJ64),""),"")</f>
        <v/>
      </c>
      <c r="IT64" s="67">
        <f>IFERROR(IF(($IK64)&gt;0,($IN64)/($IK64),""),"")</f>
        <v/>
      </c>
      <c r="IU64" s="67">
        <f>IFERROR(IF(($IL64)&gt;0,($IO64)/($IL64),""),"")</f>
        <v/>
      </c>
      <c r="IV64" s="55">
        <f>SUMIFS(tblBudget[Gold_Poured_oz],tblBudget[Month],$E64)</f>
        <v/>
      </c>
      <c r="IW64" s="55">
        <f>$IV64*$C64/$D64</f>
        <v/>
      </c>
      <c r="IX64" s="55">
        <f>SUMIFS(tblBudget[Gold_Poured_oz],tblBudget[Month],"&lt;"&amp;$E64)+$IW64</f>
        <v/>
      </c>
      <c r="IY64" s="57">
        <f>SUMIFS(tblBudget[Hours_Worked],tblBudget[Month],$E64)</f>
        <v/>
      </c>
      <c r="IZ64" s="57">
        <f>$IY64*$C64/$D64</f>
        <v/>
      </c>
      <c r="JA64" s="57">
        <f>SUMIFS(tblBudget[Hours_Worked],tblBudget[Month],"&lt;"&amp;$E64)+$IZ64</f>
        <v/>
      </c>
    </row>
    <row r="65">
      <c r="A65" s="54" t="n">
        <v>46086</v>
      </c>
      <c r="B65">
        <f>MONTH($A65)</f>
        <v/>
      </c>
      <c r="C65">
        <f>DAY($A65)</f>
        <v/>
      </c>
      <c r="D65">
        <f>DAY(EOMONTH($A65,0))</f>
        <v/>
      </c>
      <c r="E65" s="54">
        <f>DATE(YEAR($A65),MONTH($A65),1)</f>
        <v/>
      </c>
      <c r="F65" s="55">
        <f>SUMIFS(tblMovement[Tonnes_t],tblMovement[Date],$A65,tblMovement[Is_Ore],1,tblMovement[Source_Type],"Pit")</f>
        <v/>
      </c>
      <c r="G65" s="55">
        <f>IF($B65=$B64,$G64,0)+$F65</f>
        <v/>
      </c>
      <c r="H65" s="55">
        <f>$H64+$F65</f>
        <v/>
      </c>
      <c r="I65" s="55">
        <f>SUMIFS(tblMovement[Ore_oz],tblMovement[Date],$A65,tblMovement[Source_Type],"Pit")</f>
        <v/>
      </c>
      <c r="J65" s="55">
        <f>IF($B65=$B64,$J64,0)+$I65</f>
        <v/>
      </c>
      <c r="K65" s="55">
        <f>$K64+$I65</f>
        <v/>
      </c>
      <c r="L65" s="56">
        <f>IFERROR(IF(($F65)&gt;0,($I65*cfg_TroyOz)/($F65),""),"")</f>
        <v/>
      </c>
      <c r="M65" s="56">
        <f>IFERROR(IF(($G65)&gt;0,($J65*cfg_TroyOz)/($G65),""),"")</f>
        <v/>
      </c>
      <c r="N65" s="56">
        <f>IFERROR(IF(($H65)&gt;0,($K65*cfg_TroyOz)/($H65),""),"")</f>
        <v/>
      </c>
      <c r="O65" s="55">
        <f>SUMIFS(tblMovement[Tonnes_t],tblMovement[Date],$A65,tblMovement[Is_Ore],0,tblMovement[Source_Type],"Pit")</f>
        <v/>
      </c>
      <c r="P65" s="55">
        <f>IF($B65=$B64,$P64,0)+$O65</f>
        <v/>
      </c>
      <c r="Q65" s="55">
        <f>$Q64+$O65</f>
        <v/>
      </c>
      <c r="R65" s="55">
        <f>$F65+$O65</f>
        <v/>
      </c>
      <c r="S65" s="55">
        <f>IF($B65=$B64,$S64,0)+$R65</f>
        <v/>
      </c>
      <c r="T65" s="55">
        <f>$T64+$R65</f>
        <v/>
      </c>
      <c r="U65" s="56">
        <f>IFERROR(IF(($F65)&gt;0,($O65)/($F65),""),"")</f>
        <v/>
      </c>
      <c r="V65" s="56">
        <f>IFERROR(IF(($G65)&gt;0,($P65)/($G65),""),"")</f>
        <v/>
      </c>
      <c r="W65" s="56">
        <f>IFERROR(IF(($H65)&gt;0,($Q65)/($H65),""),"")</f>
        <v/>
      </c>
      <c r="X65" s="55">
        <f>SUMIFS(tblMovement[Tonnes_t],tblMovement[Date],$A65,tblMovement[Source_Type],"Stockpile")</f>
        <v/>
      </c>
      <c r="Y65" s="55">
        <f>IF($B65=$B64,$Y64,0)+$X65</f>
        <v/>
      </c>
      <c r="Z65" s="55">
        <f>$Z64+$X65</f>
        <v/>
      </c>
      <c r="AA65" s="55">
        <f>SUMIFS(tblMiningDaily[Drill_m],tblMiningDaily[Date],$A65)</f>
        <v/>
      </c>
      <c r="AB65" s="55">
        <f>IF($B65=$B64,$AB64,0)+$AA65</f>
        <v/>
      </c>
      <c r="AC65" s="55">
        <f>$AC64+$AA65</f>
        <v/>
      </c>
      <c r="AD65" s="55">
        <f>SUMIFS(tblMiningDaily[Blast_t],tblMiningDaily[Date],$A65)</f>
        <v/>
      </c>
      <c r="AE65" s="55">
        <f>IF($B65=$B64,$AE64,0)+$AD65</f>
        <v/>
      </c>
      <c r="AF65" s="55">
        <f>$AF64+$AD65</f>
        <v/>
      </c>
      <c r="AG65" s="55">
        <f>SUMIFS(tblMiningDaily[Explosives_kg],tblMiningDaily[Date],$A65)</f>
        <v/>
      </c>
      <c r="AH65" s="55">
        <f>IF($B65=$B64,$AH64,0)+$AG65</f>
        <v/>
      </c>
      <c r="AI65" s="55">
        <f>$AI64+$AG65</f>
        <v/>
      </c>
      <c r="AJ65" s="56">
        <f>IFERROR(IF(($AD65)&gt;0,($AG65)/($AD65),""),"")</f>
        <v/>
      </c>
      <c r="AK65" s="56">
        <f>IFERROR(IF(($AE65)&gt;0,($AH65)/($AE65),""),"")</f>
        <v/>
      </c>
      <c r="AL65" s="56">
        <f>IFERROR(IF(($AF65)&gt;0,($AI65)/($AF65),""),"")</f>
        <v/>
      </c>
      <c r="AM65" s="55">
        <f>SUMIFS(tblMiningDaily[Diesel_L],tblMiningDaily[Date],$A65)</f>
        <v/>
      </c>
      <c r="AN65" s="55">
        <f>IF($B65=$B64,$AN64,0)+$AM65</f>
        <v/>
      </c>
      <c r="AO65" s="55">
        <f>$AO64+$AM65</f>
        <v/>
      </c>
      <c r="AP65" s="55">
        <f>SUMIFS(tblMiningDaily[Dewatering_m3],tblMiningDaily[Date],$A65)</f>
        <v/>
      </c>
      <c r="AQ65" s="55">
        <f>IF($B65=$B64,$AQ64,0)+$AP65</f>
        <v/>
      </c>
      <c r="AR65" s="55">
        <f>$AR64+$AP65</f>
        <v/>
      </c>
      <c r="AS65" s="57">
        <f>SUMIFS(tblFleet[Calendar_h],tblFleet[Date],$A65,tblFleet[Equipment_Class],"Excavator")</f>
        <v/>
      </c>
      <c r="AT65" s="57">
        <f>IF($B65=$B64,$AT64,0)+$AS65</f>
        <v/>
      </c>
      <c r="AU65" s="57">
        <f>$AU64+$AS65</f>
        <v/>
      </c>
      <c r="AV65" s="57">
        <f>SUMIFS(tblFleet[Available_h],tblFleet[Date],$A65,tblFleet[Equipment_Class],"Excavator")</f>
        <v/>
      </c>
      <c r="AW65" s="57">
        <f>IF($B65=$B64,$AW64,0)+$AV65</f>
        <v/>
      </c>
      <c r="AX65" s="57">
        <f>$AX64+$AV65</f>
        <v/>
      </c>
      <c r="AY65" s="57">
        <f>SUMIFS(tblFleet[Operating_h],tblFleet[Date],$A65,tblFleet[Equipment_Class],"Excavator")</f>
        <v/>
      </c>
      <c r="AZ65" s="57">
        <f>IF($B65=$B64,$AZ64,0)+$AY65</f>
        <v/>
      </c>
      <c r="BA65" s="57">
        <f>$BA64+$AY65</f>
        <v/>
      </c>
      <c r="BB65" s="67">
        <f>IFERROR(IF(($AS65)&gt;0,($AV65)/($AS65),""),"")</f>
        <v/>
      </c>
      <c r="BC65" s="67">
        <f>IFERROR(IF(($AT65)&gt;0,($AW65)/($AT65),""),"")</f>
        <v/>
      </c>
      <c r="BD65" s="67">
        <f>IFERROR(IF(($AU65)&gt;0,($AX65)/($AU65),""),"")</f>
        <v/>
      </c>
      <c r="BE65" s="67">
        <f>IFERROR(IF(($AV65)&gt;0,($AY65)/($AV65),""),"")</f>
        <v/>
      </c>
      <c r="BF65" s="67">
        <f>IFERROR(IF(($AW65)&gt;0,($AZ65)/($AW65),""),"")</f>
        <v/>
      </c>
      <c r="BG65" s="67">
        <f>IFERROR(IF(($AX65)&gt;0,($BA65)/($AX65),""),"")</f>
        <v/>
      </c>
      <c r="BH65" s="57">
        <f>SUMIFS(tblFleet[Calendar_h],tblFleet[Date],$A65,tblFleet[Equipment_Class],"Haul Truck")</f>
        <v/>
      </c>
      <c r="BI65" s="57">
        <f>IF($B65=$B64,$BI64,0)+$BH65</f>
        <v/>
      </c>
      <c r="BJ65" s="57">
        <f>$BJ64+$BH65</f>
        <v/>
      </c>
      <c r="BK65" s="57">
        <f>SUMIFS(tblFleet[Available_h],tblFleet[Date],$A65,tblFleet[Equipment_Class],"Haul Truck")</f>
        <v/>
      </c>
      <c r="BL65" s="57">
        <f>IF($B65=$B64,$BL64,0)+$BK65</f>
        <v/>
      </c>
      <c r="BM65" s="57">
        <f>$BM64+$BK65</f>
        <v/>
      </c>
      <c r="BN65" s="57">
        <f>SUMIFS(tblFleet[Operating_h],tblFleet[Date],$A65,tblFleet[Equipment_Class],"Haul Truck")</f>
        <v/>
      </c>
      <c r="BO65" s="57">
        <f>IF($B65=$B64,$BO64,0)+$BN65</f>
        <v/>
      </c>
      <c r="BP65" s="57">
        <f>$BP64+$BN65</f>
        <v/>
      </c>
      <c r="BQ65" s="67">
        <f>IFERROR(IF(($BH65)&gt;0,($BK65)/($BH65),""),"")</f>
        <v/>
      </c>
      <c r="BR65" s="67">
        <f>IFERROR(IF(($BI65)&gt;0,($BL65)/($BI65),""),"")</f>
        <v/>
      </c>
      <c r="BS65" s="67">
        <f>IFERROR(IF(($BJ65)&gt;0,($BM65)/($BJ65),""),"")</f>
        <v/>
      </c>
      <c r="BT65" s="67">
        <f>IFERROR(IF(($BK65)&gt;0,($BN65)/($BK65),""),"")</f>
        <v/>
      </c>
      <c r="BU65" s="67">
        <f>IFERROR(IF(($BL65)&gt;0,($BO65)/($BL65),""),"")</f>
        <v/>
      </c>
      <c r="BV65" s="67">
        <f>IFERROR(IF(($BM65)&gt;0,($BP65)/($BM65),""),"")</f>
        <v/>
      </c>
      <c r="BW65" s="55">
        <f>SUMIFS(tblPlant[Crushed_t],tblPlant[Date],$A65)</f>
        <v/>
      </c>
      <c r="BX65" s="55">
        <f>IF($B65=$B64,$BX64,0)+$BW65</f>
        <v/>
      </c>
      <c r="BY65" s="55">
        <f>$BY64+$BW65</f>
        <v/>
      </c>
      <c r="BZ65" s="55">
        <f>SUMIFS(tblPlant[Milled_t],tblPlant[Date],$A65)</f>
        <v/>
      </c>
      <c r="CA65" s="55">
        <f>IF($B65=$B64,$CA64,0)+$BZ65</f>
        <v/>
      </c>
      <c r="CB65" s="55">
        <f>$CB64+$BZ65</f>
        <v/>
      </c>
      <c r="CC65" s="55">
        <f>SUMIFS(tblPlant[Feed_oz],tblPlant[Date],$A65)</f>
        <v/>
      </c>
      <c r="CD65" s="55">
        <f>IF($B65=$B64,$CD64,0)+$CC65</f>
        <v/>
      </c>
      <c r="CE65" s="55">
        <f>$CE64+$CC65</f>
        <v/>
      </c>
      <c r="CF65" s="55">
        <f>SUMIFS(tblPlant[Tails_oz],tblPlant[Date],$A65)</f>
        <v/>
      </c>
      <c r="CG65" s="55">
        <f>IF($B65=$B64,$CG64,0)+$CF65</f>
        <v/>
      </c>
      <c r="CH65" s="55">
        <f>$CH64+$CF65</f>
        <v/>
      </c>
      <c r="CI65" s="55">
        <f>SUMIFS(tblPlant[Recovered_oz],tblPlant[Date],$A65)</f>
        <v/>
      </c>
      <c r="CJ65" s="55">
        <f>IF($B65=$B64,$CJ64,0)+$CI65</f>
        <v/>
      </c>
      <c r="CK65" s="55">
        <f>$CK64+$CI65</f>
        <v/>
      </c>
      <c r="CL65" s="56">
        <f>IFERROR(IF(($BZ65)&gt;0,($CC65*cfg_TroyOz)/($BZ65),""),"")</f>
        <v/>
      </c>
      <c r="CM65" s="56">
        <f>IFERROR(IF(($CA65)&gt;0,($CD65*cfg_TroyOz)/($CA65),""),"")</f>
        <v/>
      </c>
      <c r="CN65" s="56">
        <f>IFERROR(IF(($CB65)&gt;0,($CE65*cfg_TroyOz)/($CB65),""),"")</f>
        <v/>
      </c>
      <c r="CO65" s="56">
        <f>IFERROR(IF(($BZ65)&gt;0,($CF65*cfg_TroyOz)/($BZ65),""),"")</f>
        <v/>
      </c>
      <c r="CP65" s="56">
        <f>IFERROR(IF(($CA65)&gt;0,($CG65*cfg_TroyOz)/($CA65),""),"")</f>
        <v/>
      </c>
      <c r="CQ65" s="56">
        <f>IFERROR(IF(($CB65)&gt;0,($CH65*cfg_TroyOz)/($CB65),""),"")</f>
        <v/>
      </c>
      <c r="CR65" s="67">
        <f>IFERROR(IF(($CC65)&gt;0,($CI65)/($CC65),""),"")</f>
        <v/>
      </c>
      <c r="CS65" s="67">
        <f>IFERROR(IF(($CD65)&gt;0,($CJ65)/($CD65),""),"")</f>
        <v/>
      </c>
      <c r="CT65" s="67">
        <f>IFERROR(IF(($CE65)&gt;0,($CK65)/($CE65),""),"")</f>
        <v/>
      </c>
      <c r="CU65" s="55">
        <f>SUMIFS(tblPlant[Gravity_Gold_oz],tblPlant[Date],$A65)</f>
        <v/>
      </c>
      <c r="CV65" s="55">
        <f>IF($B65=$B64,$CV64,0)+$CU65</f>
        <v/>
      </c>
      <c r="CW65" s="55">
        <f>$CW64+$CU65</f>
        <v/>
      </c>
      <c r="CX65" s="55">
        <f>SUMIFS(tblPlant[Gold_Poured_oz],tblPlant[Date],$A65)</f>
        <v/>
      </c>
      <c r="CY65" s="55">
        <f>IF($B65=$B64,$CY64,0)+$CX65</f>
        <v/>
      </c>
      <c r="CZ65" s="55">
        <f>$CZ64+$CX65</f>
        <v/>
      </c>
      <c r="DA65" s="57">
        <f>SUMIFS(tblPlant[Mill_Run_h],tblPlant[Date],$A65)</f>
        <v/>
      </c>
      <c r="DB65" s="57">
        <f>IF($B65=$B64,$DB64,0)+$DA65</f>
        <v/>
      </c>
      <c r="DC65" s="57">
        <f>$DC64+$DA65</f>
        <v/>
      </c>
      <c r="DD65" s="57">
        <f>SUMIFS(tblPlant[Mill_Planned_Maint_h],tblPlant[Date],$A65)</f>
        <v/>
      </c>
      <c r="DE65" s="57">
        <f>IF($B65=$B64,$DE64,0)+$DD65</f>
        <v/>
      </c>
      <c r="DF65" s="57">
        <f>$DF64+$DD65</f>
        <v/>
      </c>
      <c r="DG65" s="57">
        <f>SUMIFS(tblPlant[Mill_Unplanned_Down_h],tblPlant[Date],$A65)</f>
        <v/>
      </c>
      <c r="DH65" s="57">
        <f>IF($B65=$B64,$DH64,0)+$DG65</f>
        <v/>
      </c>
      <c r="DI65" s="57">
        <f>$DI64+$DG65</f>
        <v/>
      </c>
      <c r="DJ65" s="57">
        <f>COUNTIFS(tblPlant[Date],$A65,tblPlant[Mill_Run_h],"&lt;&gt;")*24</f>
        <v/>
      </c>
      <c r="DK65" s="57">
        <f>IF($B65=$B64,$DK64,0)+$DJ65</f>
        <v/>
      </c>
      <c r="DL65" s="57">
        <f>$DL64+$DJ65</f>
        <v/>
      </c>
      <c r="DM65" s="57">
        <f>SUMIFS(tblPlant[Crusher_Run_h],tblPlant[Date],$A65)</f>
        <v/>
      </c>
      <c r="DN65" s="57">
        <f>IF($B65=$B64,$DN64,0)+$DM65</f>
        <v/>
      </c>
      <c r="DO65" s="57">
        <f>$DO64+$DM65</f>
        <v/>
      </c>
      <c r="DP65" s="55">
        <f>IFERROR(IF(($DA65)&gt;0,($BZ65)/($DA65),""),"")</f>
        <v/>
      </c>
      <c r="DQ65" s="55">
        <f>IFERROR(IF(($DB65)&gt;0,($CA65)/($DB65),""),"")</f>
        <v/>
      </c>
      <c r="DR65" s="55">
        <f>IFERROR(IF(($DC65)&gt;0,($CB65)/($DC65),""),"")</f>
        <v/>
      </c>
      <c r="DS65" s="67">
        <f>IFERROR(IF(($DJ65)&gt;0,($DJ65-$DD65-$DG65)/($DJ65),""),"")</f>
        <v/>
      </c>
      <c r="DT65" s="67">
        <f>IFERROR(IF(($DK65)&gt;0,($DK65-$DE65-$DH65)/($DK65),""),"")</f>
        <v/>
      </c>
      <c r="DU65" s="67">
        <f>IFERROR(IF(($DL65)&gt;0,($DL65-$DF65-$DI65)/($DL65),""),"")</f>
        <v/>
      </c>
      <c r="DV65" s="67">
        <f>IFERROR(IF(($DJ65-$DD65-$DG65)&gt;0,($DA65)/($DJ65-$DD65-$DG65),""),"")</f>
        <v/>
      </c>
      <c r="DW65" s="67">
        <f>IFERROR(IF(($DK65-$DE65-$DH65)&gt;0,($DB65)/($DK65-$DE65-$DH65),""),"")</f>
        <v/>
      </c>
      <c r="DX65" s="67">
        <f>IFERROR(IF(($DL65-$DF65-$DI65)&gt;0,($DC65)/($DL65-$DF65-$DI65),""),"")</f>
        <v/>
      </c>
      <c r="DY65" s="55">
        <f>SUMIFS(tblPlant[Cyanide_kg],tblPlant[Date],$A65)</f>
        <v/>
      </c>
      <c r="DZ65" s="55">
        <f>IF($B65=$B64,$DZ64,0)+$DY65</f>
        <v/>
      </c>
      <c r="EA65" s="55">
        <f>$EA64+$DY65</f>
        <v/>
      </c>
      <c r="EB65" s="55">
        <f>SUMIFS(tblPlant[Lime_kg],tblPlant[Date],$A65)</f>
        <v/>
      </c>
      <c r="EC65" s="55">
        <f>IF($B65=$B64,$EC64,0)+$EB65</f>
        <v/>
      </c>
      <c r="ED65" s="55">
        <f>$ED64+$EB65</f>
        <v/>
      </c>
      <c r="EE65" s="55">
        <f>SUMIFS(tblPlant[Grinding_Media_kg],tblPlant[Date],$A65)</f>
        <v/>
      </c>
      <c r="EF65" s="55">
        <f>IF($B65=$B64,$EF64,0)+$EE65</f>
        <v/>
      </c>
      <c r="EG65" s="55">
        <f>$EG64+$EE65</f>
        <v/>
      </c>
      <c r="EH65" s="55">
        <f>SUMIFS(tblPlant[Power_kWh],tblPlant[Date],$A65)</f>
        <v/>
      </c>
      <c r="EI65" s="55">
        <f>IF($B65=$B64,$EI64,0)+$EH65</f>
        <v/>
      </c>
      <c r="EJ65" s="55">
        <f>$EJ64+$EH65</f>
        <v/>
      </c>
      <c r="EK65" s="55">
        <f>SUMIFS(tblPlant[Raw_Water_m3],tblPlant[Date],$A65)</f>
        <v/>
      </c>
      <c r="EL65" s="55">
        <f>IF($B65=$B64,$EL64,0)+$EK65</f>
        <v/>
      </c>
      <c r="EM65" s="55">
        <f>$EM64+$EK65</f>
        <v/>
      </c>
      <c r="EN65" s="56">
        <f>IFERROR(IF(($BZ65)&gt;0,($DY65)/($BZ65),""),"")</f>
        <v/>
      </c>
      <c r="EO65" s="56">
        <f>IFERROR(IF(($CA65)&gt;0,($DZ65)/($CA65),""),"")</f>
        <v/>
      </c>
      <c r="EP65" s="56">
        <f>IFERROR(IF(($CB65)&gt;0,($EA65)/($CB65),""),"")</f>
        <v/>
      </c>
      <c r="EQ65" s="56">
        <f>IFERROR(IF(($BZ65)&gt;0,($EB65)/($BZ65),""),"")</f>
        <v/>
      </c>
      <c r="ER65" s="56">
        <f>IFERROR(IF(($CA65)&gt;0,($EC65)/($CA65),""),"")</f>
        <v/>
      </c>
      <c r="ES65" s="56">
        <f>IFERROR(IF(($CB65)&gt;0,($ED65)/($CB65),""),"")</f>
        <v/>
      </c>
      <c r="ET65" s="56">
        <f>IFERROR(IF(($BZ65)&gt;0,($EE65)/($BZ65),""),"")</f>
        <v/>
      </c>
      <c r="EU65" s="56">
        <f>IFERROR(IF(($CA65)&gt;0,($EF65)/($CA65),""),"")</f>
        <v/>
      </c>
      <c r="EV65" s="56">
        <f>IFERROR(IF(($CB65)&gt;0,($EG65)/($CB65),""),"")</f>
        <v/>
      </c>
      <c r="EW65" s="76">
        <f>IFERROR(IF(($BZ65)&gt;0,($EH65)/($BZ65),""),"")</f>
        <v/>
      </c>
      <c r="EX65" s="76">
        <f>IFERROR(IF(($CA65)&gt;0,($EI65)/($CA65),""),"")</f>
        <v/>
      </c>
      <c r="EY65" s="76">
        <f>IFERROR(IF(($CB65)&gt;0,($EJ65)/($CB65),""),"")</f>
        <v/>
      </c>
      <c r="EZ65" s="56">
        <f>IFERROR(IF(($BZ65)&gt;0,($EK65)/($BZ65),""),"")</f>
        <v/>
      </c>
      <c r="FA65" s="56">
        <f>IFERROR(IF(($CA65)&gt;0,($EL65)/($CA65),""),"")</f>
        <v/>
      </c>
      <c r="FB65" s="56">
        <f>IFERROR(IF(($CB65)&gt;0,($EM65)/($CB65),""),"")</f>
        <v/>
      </c>
      <c r="FC65" s="55">
        <f>IF(SUMIFS(tblPlant[GIC_oz],tblPlant[Date],$A65)&gt;0,SUMIFS(tblPlant[GIC_oz],tblPlant[Date],$A65),"")</f>
        <v/>
      </c>
      <c r="FD65" s="55">
        <f>SUMIFS(tblGold[Gold_oz],tblGold[Date],$A65,tblGold[Type],"Shipment")</f>
        <v/>
      </c>
      <c r="FE65" s="55">
        <f>IF($B65=$B64,$FE64,0)+$FD65</f>
        <v/>
      </c>
      <c r="FF65" s="55">
        <f>$FF64+$FD65</f>
        <v/>
      </c>
      <c r="FG65" s="55">
        <f>SUMIFS(tblGold[Gold_oz],tblGold[Date],$A65,tblGold[Type],"Sale")</f>
        <v/>
      </c>
      <c r="FH65" s="55">
        <f>IF($B65=$B64,$FH64,0)+$FG65</f>
        <v/>
      </c>
      <c r="FI65" s="55">
        <f>$FI64+$FG65</f>
        <v/>
      </c>
      <c r="FJ65" s="55">
        <f>SUMIFS(tblGold[Dore_kg],tblGold[Date],$A65,tblGold[Type],"Shipment")</f>
        <v/>
      </c>
      <c r="FK65" s="55">
        <f>IF($B65=$B64,$FK64,0)+$FJ65</f>
        <v/>
      </c>
      <c r="FL65" s="55">
        <f>$FL64+$FJ65</f>
        <v/>
      </c>
      <c r="FM65" s="57">
        <f>SUMIFS(tblSafety[Hours_Total],tblSafety[Date],$A65)</f>
        <v/>
      </c>
      <c r="FN65" s="57">
        <f>IF($B65=$B64,$FN64,0)+$FM65</f>
        <v/>
      </c>
      <c r="FO65" s="57">
        <f>$FO64+$FM65</f>
        <v/>
      </c>
      <c r="FP65" s="62">
        <f>SUMIFS(tblSafety[Fatality],tblSafety[Date],$A65)</f>
        <v/>
      </c>
      <c r="FQ65" s="62">
        <f>IF($B65=$B64,$FQ64,0)+$FP65</f>
        <v/>
      </c>
      <c r="FR65" s="62">
        <f>$FR64+$FP65</f>
        <v/>
      </c>
      <c r="FS65" s="62">
        <f>SUMIFS(tblSafety[LTI],tblSafety[Date],$A65)</f>
        <v/>
      </c>
      <c r="FT65" s="62">
        <f>IF($B65=$B64,$FT64,0)+$FS65</f>
        <v/>
      </c>
      <c r="FU65" s="62">
        <f>$FU64+$FS65</f>
        <v/>
      </c>
      <c r="FV65" s="62">
        <f>SUMIFS(tblSafety[RWI],tblSafety[Date],$A65)</f>
        <v/>
      </c>
      <c r="FW65" s="62">
        <f>IF($B65=$B64,$FW64,0)+$FV65</f>
        <v/>
      </c>
      <c r="FX65" s="62">
        <f>$FX64+$FV65</f>
        <v/>
      </c>
      <c r="FY65" s="62">
        <f>SUMIFS(tblSafety[MTI],tblSafety[Date],$A65)</f>
        <v/>
      </c>
      <c r="FZ65" s="62">
        <f>IF($B65=$B64,$FZ64,0)+$FY65</f>
        <v/>
      </c>
      <c r="GA65" s="62">
        <f>$GA64+$FY65</f>
        <v/>
      </c>
      <c r="GB65" s="62">
        <f>SUMIFS(tblSafety[FAI],tblSafety[Date],$A65)</f>
        <v/>
      </c>
      <c r="GC65" s="62">
        <f>IF($B65=$B64,$GC64,0)+$GB65</f>
        <v/>
      </c>
      <c r="GD65" s="62">
        <f>$GD64+$GB65</f>
        <v/>
      </c>
      <c r="GE65" s="62">
        <f>SUMIFS(tblSafety[Recordables],tblSafety[Date],$A65)</f>
        <v/>
      </c>
      <c r="GF65" s="62">
        <f>IF($B65=$B64,$GF64,0)+$GE65</f>
        <v/>
      </c>
      <c r="GG65" s="62">
        <f>$GG64+$GE65</f>
        <v/>
      </c>
      <c r="GH65" s="62">
        <f>SUMIFS(tblSafety[Near_Miss],tblSafety[Date],$A65)</f>
        <v/>
      </c>
      <c r="GI65" s="62">
        <f>IF($B65=$B64,$GI64,0)+$GH65</f>
        <v/>
      </c>
      <c r="GJ65" s="62">
        <f>$GJ64+$GH65</f>
        <v/>
      </c>
      <c r="GK65" s="62">
        <f>SUMIFS(tblSafety[Hazard_Reports],tblSafety[Date],$A65)</f>
        <v/>
      </c>
      <c r="GL65" s="62">
        <f>IF($B65=$B64,$GL64,0)+$GK65</f>
        <v/>
      </c>
      <c r="GM65" s="62">
        <f>$GM64+$GK65</f>
        <v/>
      </c>
      <c r="GN65" s="62">
        <f>SUMIFS(tblSafety[HPI],tblSafety[Date],$A65)</f>
        <v/>
      </c>
      <c r="GO65" s="62">
        <f>IF($B65=$B64,$GO64,0)+$GN65</f>
        <v/>
      </c>
      <c r="GP65" s="62">
        <f>$GP64+$GN65</f>
        <v/>
      </c>
      <c r="GQ65" s="62">
        <f>SUMIFS(tblSafety[Env_Incidents],tblSafety[Date],$A65)</f>
        <v/>
      </c>
      <c r="GR65" s="62">
        <f>IF($B65=$B64,$GR64,0)+$GQ65</f>
        <v/>
      </c>
      <c r="GS65" s="62">
        <f>$GS64+$GQ65</f>
        <v/>
      </c>
      <c r="GT65" s="62">
        <f>SUMIFS(tblSafety[Community_Incidents],tblSafety[Date],$A65)</f>
        <v/>
      </c>
      <c r="GU65" s="62">
        <f>IF($B65=$B64,$GU64,0)+$GT65</f>
        <v/>
      </c>
      <c r="GV65" s="62">
        <f>$GV64+$GT65</f>
        <v/>
      </c>
      <c r="GW65" s="62">
        <f>SUMIFS(tblSafety[Vehicle_Incidents],tblSafety[Date],$A65)</f>
        <v/>
      </c>
      <c r="GX65" s="62">
        <f>IF($B65=$B64,$GX64,0)+$GW65</f>
        <v/>
      </c>
      <c r="GY65" s="62">
        <f>$GY64+$GW65</f>
        <v/>
      </c>
      <c r="GZ65" s="62">
        <f>SUMIFS(tblSafety[Toolbox_Talks],tblSafety[Date],$A65)</f>
        <v/>
      </c>
      <c r="HA65" s="62">
        <f>IF($B65=$B64,$HA64,0)+$GZ65</f>
        <v/>
      </c>
      <c r="HB65" s="62">
        <f>$HB64+$GZ65</f>
        <v/>
      </c>
      <c r="HC65" s="62">
        <f>SUMIFS(tblSafety[Inspections],tblSafety[Date],$A65)</f>
        <v/>
      </c>
      <c r="HD65" s="62">
        <f>IF($B65=$B64,$HD64,0)+$HC65</f>
        <v/>
      </c>
      <c r="HE65" s="62">
        <f>$HE64+$HC65</f>
        <v/>
      </c>
      <c r="HF65" s="56">
        <f>IFERROR((SUMIFS(tblSafety[Recordables],tblSafety[Date],"&gt;="&amp;EDATE($E65,-12),tblSafety[Date],"&lt;="&amp;$A65)+SUMIFS(tblSafetyHistory[Recordables],tblSafetyHistory[Month],"&gt;="&amp;EDATE($E65,-12),tblSafetyHistory[Month],"&lt;"&amp;cfg_YearStart))/(SUMIFS(tblSafety[Hours_Total],tblSafety[Date],"&gt;="&amp;EDATE($E65,-12),tblSafety[Date],"&lt;="&amp;$A65)+SUMIFS(tblSafetyHistory[Hours_Total],tblSafetyHistory[Month],"&gt;="&amp;EDATE($E65,-12),tblSafetyHistory[Month],"&lt;"&amp;cfg_YearStart))*1000000,"")</f>
        <v/>
      </c>
      <c r="HG65" s="56">
        <f>IFERROR((SUMIFS(tblSafety[LTI],tblSafety[Date],"&gt;="&amp;EDATE($E65,-12),tblSafety[Date],"&lt;="&amp;$A65)+SUMIFS(tblSafetyHistory[LTI],tblSafetyHistory[Month],"&gt;="&amp;EDATE($E65,-12),tblSafetyHistory[Month],"&lt;"&amp;cfg_YearStart))/(SUMIFS(tblSafety[Hours_Total],tblSafety[Date],"&gt;="&amp;EDATE($E65,-12),tblSafety[Date],"&lt;="&amp;$A65)+SUMIFS(tblSafetyHistory[Hours_Total],tblSafetyHistory[Month],"&gt;="&amp;EDATE($E65,-12),tblSafetyHistory[Month],"&lt;"&amp;cfg_YearStart))*1000000,"")</f>
        <v/>
      </c>
      <c r="HH65" s="62">
        <f>IF(MAX(N(cfg_PriorLTIDate),_xlfn.MAXIFS(tblSafety[Date],tblSafety[LTI],"&gt;0",tblSafety[Date],"&lt;="&amp;$A65))=0,"",$A65-MAX(N(cfg_PriorLTIDate),_xlfn.MAXIFS(tblSafety[Date],tblSafety[LTI],"&gt;0",tblSafety[Date],"&lt;="&amp;$A65)))</f>
        <v/>
      </c>
      <c r="HI65" s="55">
        <f>SUMIFS(tblBudget[Ore_Mined_t],tblBudget[Month],$E65)</f>
        <v/>
      </c>
      <c r="HJ65" s="55">
        <f>$HI65*$C65/$D65</f>
        <v/>
      </c>
      <c r="HK65" s="55">
        <f>SUMIFS(tblBudget[Ore_Mined_t],tblBudget[Month],"&lt;"&amp;$E65)+$HJ65</f>
        <v/>
      </c>
      <c r="HL65" s="55">
        <f>SUMIFS(tblBudget[Ore_oz],tblBudget[Month],$E65)</f>
        <v/>
      </c>
      <c r="HM65" s="55">
        <f>$HL65*$C65/$D65</f>
        <v/>
      </c>
      <c r="HN65" s="55">
        <f>SUMIFS(tblBudget[Ore_oz],tblBudget[Month],"&lt;"&amp;$E65)+$HM65</f>
        <v/>
      </c>
      <c r="HO65" s="56">
        <f>IFERROR(IF(($HI65)&gt;0,($HL65*cfg_TroyOz)/($HI65),""),"")</f>
        <v/>
      </c>
      <c r="HP65" s="56">
        <f>IFERROR(IF(($HJ65)&gt;0,($HM65*cfg_TroyOz)/($HJ65),""),"")</f>
        <v/>
      </c>
      <c r="HQ65" s="56">
        <f>IFERROR(IF(($HK65)&gt;0,($HN65*cfg_TroyOz)/($HK65),""),"")</f>
        <v/>
      </c>
      <c r="HR65" s="55">
        <f>SUMIFS(tblBudget[Waste_t],tblBudget[Month],$E65)</f>
        <v/>
      </c>
      <c r="HS65" s="55">
        <f>$HR65*$C65/$D65</f>
        <v/>
      </c>
      <c r="HT65" s="55">
        <f>SUMIFS(tblBudget[Waste_t],tblBudget[Month],"&lt;"&amp;$E65)+$HS65</f>
        <v/>
      </c>
      <c r="HU65" s="55">
        <f>SUMIFS(tblBudget[TMM_t],tblBudget[Month],$E65)</f>
        <v/>
      </c>
      <c r="HV65" s="55">
        <f>$HU65*$C65/$D65</f>
        <v/>
      </c>
      <c r="HW65" s="55">
        <f>SUMIFS(tblBudget[TMM_t],tblBudget[Month],"&lt;"&amp;$E65)+$HV65</f>
        <v/>
      </c>
      <c r="HX65" s="56">
        <f>IFERROR(IF(($HI65)&gt;0,($HR65)/($HI65),""),"")</f>
        <v/>
      </c>
      <c r="HY65" s="56">
        <f>IFERROR(IF(($HJ65)&gt;0,($HS65)/($HJ65),""),"")</f>
        <v/>
      </c>
      <c r="HZ65" s="56">
        <f>IFERROR(IF(($HK65)&gt;0,($HT65)/($HK65),""),"")</f>
        <v/>
      </c>
      <c r="IA65" s="55">
        <f>SUMIFS(tblBudget[Drill_m],tblBudget[Month],$E65)</f>
        <v/>
      </c>
      <c r="IB65" s="55">
        <f>$IA65*$C65/$D65</f>
        <v/>
      </c>
      <c r="IC65" s="55">
        <f>SUMIFS(tblBudget[Drill_m],tblBudget[Month],"&lt;"&amp;$E65)+$IB65</f>
        <v/>
      </c>
      <c r="ID65" s="55">
        <f>SUMIFS(tblBudget[Diesel_L],tblBudget[Month],$E65)</f>
        <v/>
      </c>
      <c r="IE65" s="55">
        <f>$ID65*$C65/$D65</f>
        <v/>
      </c>
      <c r="IF65" s="55">
        <f>SUMIFS(tblBudget[Diesel_L],tblBudget[Month],"&lt;"&amp;$E65)+$IE65</f>
        <v/>
      </c>
      <c r="IG65" s="55">
        <f>SUMIFS(tblBudget[Milled_t],tblBudget[Month],$E65)</f>
        <v/>
      </c>
      <c r="IH65" s="55">
        <f>$IG65*$C65/$D65</f>
        <v/>
      </c>
      <c r="II65" s="55">
        <f>SUMIFS(tblBudget[Milled_t],tblBudget[Month],"&lt;"&amp;$E65)+$IH65</f>
        <v/>
      </c>
      <c r="IJ65" s="55">
        <f>SUMIFS(tblBudget[Feed_oz],tblBudget[Month],$E65)</f>
        <v/>
      </c>
      <c r="IK65" s="55">
        <f>$IJ65*$C65/$D65</f>
        <v/>
      </c>
      <c r="IL65" s="55">
        <f>SUMIFS(tblBudget[Feed_oz],tblBudget[Month],"&lt;"&amp;$E65)+$IK65</f>
        <v/>
      </c>
      <c r="IM65" s="55">
        <f>SUMIFS(tblBudget[Recovered_oz],tblBudget[Month],$E65)</f>
        <v/>
      </c>
      <c r="IN65" s="55">
        <f>$IM65*$C65/$D65</f>
        <v/>
      </c>
      <c r="IO65" s="55">
        <f>SUMIFS(tblBudget[Recovered_oz],tblBudget[Month],"&lt;"&amp;$E65)+$IN65</f>
        <v/>
      </c>
      <c r="IP65" s="56">
        <f>IFERROR(IF(($IG65)&gt;0,($IJ65*cfg_TroyOz)/($IG65),""),"")</f>
        <v/>
      </c>
      <c r="IQ65" s="56">
        <f>IFERROR(IF(($IH65)&gt;0,($IK65*cfg_TroyOz)/($IH65),""),"")</f>
        <v/>
      </c>
      <c r="IR65" s="56">
        <f>IFERROR(IF(($II65)&gt;0,($IL65*cfg_TroyOz)/($II65),""),"")</f>
        <v/>
      </c>
      <c r="IS65" s="67">
        <f>IFERROR(IF(($IJ65)&gt;0,($IM65)/($IJ65),""),"")</f>
        <v/>
      </c>
      <c r="IT65" s="67">
        <f>IFERROR(IF(($IK65)&gt;0,($IN65)/($IK65),""),"")</f>
        <v/>
      </c>
      <c r="IU65" s="67">
        <f>IFERROR(IF(($IL65)&gt;0,($IO65)/($IL65),""),"")</f>
        <v/>
      </c>
      <c r="IV65" s="55">
        <f>SUMIFS(tblBudget[Gold_Poured_oz],tblBudget[Month],$E65)</f>
        <v/>
      </c>
      <c r="IW65" s="55">
        <f>$IV65*$C65/$D65</f>
        <v/>
      </c>
      <c r="IX65" s="55">
        <f>SUMIFS(tblBudget[Gold_Poured_oz],tblBudget[Month],"&lt;"&amp;$E65)+$IW65</f>
        <v/>
      </c>
      <c r="IY65" s="57">
        <f>SUMIFS(tblBudget[Hours_Worked],tblBudget[Month],$E65)</f>
        <v/>
      </c>
      <c r="IZ65" s="57">
        <f>$IY65*$C65/$D65</f>
        <v/>
      </c>
      <c r="JA65" s="57">
        <f>SUMIFS(tblBudget[Hours_Worked],tblBudget[Month],"&lt;"&amp;$E65)+$IZ65</f>
        <v/>
      </c>
    </row>
    <row r="66">
      <c r="A66" s="54" t="n">
        <v>46087</v>
      </c>
      <c r="B66">
        <f>MONTH($A66)</f>
        <v/>
      </c>
      <c r="C66">
        <f>DAY($A66)</f>
        <v/>
      </c>
      <c r="D66">
        <f>DAY(EOMONTH($A66,0))</f>
        <v/>
      </c>
      <c r="E66" s="54">
        <f>DATE(YEAR($A66),MONTH($A66),1)</f>
        <v/>
      </c>
      <c r="F66" s="55">
        <f>SUMIFS(tblMovement[Tonnes_t],tblMovement[Date],$A66,tblMovement[Is_Ore],1,tblMovement[Source_Type],"Pit")</f>
        <v/>
      </c>
      <c r="G66" s="55">
        <f>IF($B66=$B65,$G65,0)+$F66</f>
        <v/>
      </c>
      <c r="H66" s="55">
        <f>$H65+$F66</f>
        <v/>
      </c>
      <c r="I66" s="55">
        <f>SUMIFS(tblMovement[Ore_oz],tblMovement[Date],$A66,tblMovement[Source_Type],"Pit")</f>
        <v/>
      </c>
      <c r="J66" s="55">
        <f>IF($B66=$B65,$J65,0)+$I66</f>
        <v/>
      </c>
      <c r="K66" s="55">
        <f>$K65+$I66</f>
        <v/>
      </c>
      <c r="L66" s="56">
        <f>IFERROR(IF(($F66)&gt;0,($I66*cfg_TroyOz)/($F66),""),"")</f>
        <v/>
      </c>
      <c r="M66" s="56">
        <f>IFERROR(IF(($G66)&gt;0,($J66*cfg_TroyOz)/($G66),""),"")</f>
        <v/>
      </c>
      <c r="N66" s="56">
        <f>IFERROR(IF(($H66)&gt;0,($K66*cfg_TroyOz)/($H66),""),"")</f>
        <v/>
      </c>
      <c r="O66" s="55">
        <f>SUMIFS(tblMovement[Tonnes_t],tblMovement[Date],$A66,tblMovement[Is_Ore],0,tblMovement[Source_Type],"Pit")</f>
        <v/>
      </c>
      <c r="P66" s="55">
        <f>IF($B66=$B65,$P65,0)+$O66</f>
        <v/>
      </c>
      <c r="Q66" s="55">
        <f>$Q65+$O66</f>
        <v/>
      </c>
      <c r="R66" s="55">
        <f>$F66+$O66</f>
        <v/>
      </c>
      <c r="S66" s="55">
        <f>IF($B66=$B65,$S65,0)+$R66</f>
        <v/>
      </c>
      <c r="T66" s="55">
        <f>$T65+$R66</f>
        <v/>
      </c>
      <c r="U66" s="56">
        <f>IFERROR(IF(($F66)&gt;0,($O66)/($F66),""),"")</f>
        <v/>
      </c>
      <c r="V66" s="56">
        <f>IFERROR(IF(($G66)&gt;0,($P66)/($G66),""),"")</f>
        <v/>
      </c>
      <c r="W66" s="56">
        <f>IFERROR(IF(($H66)&gt;0,($Q66)/($H66),""),"")</f>
        <v/>
      </c>
      <c r="X66" s="55">
        <f>SUMIFS(tblMovement[Tonnes_t],tblMovement[Date],$A66,tblMovement[Source_Type],"Stockpile")</f>
        <v/>
      </c>
      <c r="Y66" s="55">
        <f>IF($B66=$B65,$Y65,0)+$X66</f>
        <v/>
      </c>
      <c r="Z66" s="55">
        <f>$Z65+$X66</f>
        <v/>
      </c>
      <c r="AA66" s="55">
        <f>SUMIFS(tblMiningDaily[Drill_m],tblMiningDaily[Date],$A66)</f>
        <v/>
      </c>
      <c r="AB66" s="55">
        <f>IF($B66=$B65,$AB65,0)+$AA66</f>
        <v/>
      </c>
      <c r="AC66" s="55">
        <f>$AC65+$AA66</f>
        <v/>
      </c>
      <c r="AD66" s="55">
        <f>SUMIFS(tblMiningDaily[Blast_t],tblMiningDaily[Date],$A66)</f>
        <v/>
      </c>
      <c r="AE66" s="55">
        <f>IF($B66=$B65,$AE65,0)+$AD66</f>
        <v/>
      </c>
      <c r="AF66" s="55">
        <f>$AF65+$AD66</f>
        <v/>
      </c>
      <c r="AG66" s="55">
        <f>SUMIFS(tblMiningDaily[Explosives_kg],tblMiningDaily[Date],$A66)</f>
        <v/>
      </c>
      <c r="AH66" s="55">
        <f>IF($B66=$B65,$AH65,0)+$AG66</f>
        <v/>
      </c>
      <c r="AI66" s="55">
        <f>$AI65+$AG66</f>
        <v/>
      </c>
      <c r="AJ66" s="56">
        <f>IFERROR(IF(($AD66)&gt;0,($AG66)/($AD66),""),"")</f>
        <v/>
      </c>
      <c r="AK66" s="56">
        <f>IFERROR(IF(($AE66)&gt;0,($AH66)/($AE66),""),"")</f>
        <v/>
      </c>
      <c r="AL66" s="56">
        <f>IFERROR(IF(($AF66)&gt;0,($AI66)/($AF66),""),"")</f>
        <v/>
      </c>
      <c r="AM66" s="55">
        <f>SUMIFS(tblMiningDaily[Diesel_L],tblMiningDaily[Date],$A66)</f>
        <v/>
      </c>
      <c r="AN66" s="55">
        <f>IF($B66=$B65,$AN65,0)+$AM66</f>
        <v/>
      </c>
      <c r="AO66" s="55">
        <f>$AO65+$AM66</f>
        <v/>
      </c>
      <c r="AP66" s="55">
        <f>SUMIFS(tblMiningDaily[Dewatering_m3],tblMiningDaily[Date],$A66)</f>
        <v/>
      </c>
      <c r="AQ66" s="55">
        <f>IF($B66=$B65,$AQ65,0)+$AP66</f>
        <v/>
      </c>
      <c r="AR66" s="55">
        <f>$AR65+$AP66</f>
        <v/>
      </c>
      <c r="AS66" s="57">
        <f>SUMIFS(tblFleet[Calendar_h],tblFleet[Date],$A66,tblFleet[Equipment_Class],"Excavator")</f>
        <v/>
      </c>
      <c r="AT66" s="57">
        <f>IF($B66=$B65,$AT65,0)+$AS66</f>
        <v/>
      </c>
      <c r="AU66" s="57">
        <f>$AU65+$AS66</f>
        <v/>
      </c>
      <c r="AV66" s="57">
        <f>SUMIFS(tblFleet[Available_h],tblFleet[Date],$A66,tblFleet[Equipment_Class],"Excavator")</f>
        <v/>
      </c>
      <c r="AW66" s="57">
        <f>IF($B66=$B65,$AW65,0)+$AV66</f>
        <v/>
      </c>
      <c r="AX66" s="57">
        <f>$AX65+$AV66</f>
        <v/>
      </c>
      <c r="AY66" s="57">
        <f>SUMIFS(tblFleet[Operating_h],tblFleet[Date],$A66,tblFleet[Equipment_Class],"Excavator")</f>
        <v/>
      </c>
      <c r="AZ66" s="57">
        <f>IF($B66=$B65,$AZ65,0)+$AY66</f>
        <v/>
      </c>
      <c r="BA66" s="57">
        <f>$BA65+$AY66</f>
        <v/>
      </c>
      <c r="BB66" s="67">
        <f>IFERROR(IF(($AS66)&gt;0,($AV66)/($AS66),""),"")</f>
        <v/>
      </c>
      <c r="BC66" s="67">
        <f>IFERROR(IF(($AT66)&gt;0,($AW66)/($AT66),""),"")</f>
        <v/>
      </c>
      <c r="BD66" s="67">
        <f>IFERROR(IF(($AU66)&gt;0,($AX66)/($AU66),""),"")</f>
        <v/>
      </c>
      <c r="BE66" s="67">
        <f>IFERROR(IF(($AV66)&gt;0,($AY66)/($AV66),""),"")</f>
        <v/>
      </c>
      <c r="BF66" s="67">
        <f>IFERROR(IF(($AW66)&gt;0,($AZ66)/($AW66),""),"")</f>
        <v/>
      </c>
      <c r="BG66" s="67">
        <f>IFERROR(IF(($AX66)&gt;0,($BA66)/($AX66),""),"")</f>
        <v/>
      </c>
      <c r="BH66" s="57">
        <f>SUMIFS(tblFleet[Calendar_h],tblFleet[Date],$A66,tblFleet[Equipment_Class],"Haul Truck")</f>
        <v/>
      </c>
      <c r="BI66" s="57">
        <f>IF($B66=$B65,$BI65,0)+$BH66</f>
        <v/>
      </c>
      <c r="BJ66" s="57">
        <f>$BJ65+$BH66</f>
        <v/>
      </c>
      <c r="BK66" s="57">
        <f>SUMIFS(tblFleet[Available_h],tblFleet[Date],$A66,tblFleet[Equipment_Class],"Haul Truck")</f>
        <v/>
      </c>
      <c r="BL66" s="57">
        <f>IF($B66=$B65,$BL65,0)+$BK66</f>
        <v/>
      </c>
      <c r="BM66" s="57">
        <f>$BM65+$BK66</f>
        <v/>
      </c>
      <c r="BN66" s="57">
        <f>SUMIFS(tblFleet[Operating_h],tblFleet[Date],$A66,tblFleet[Equipment_Class],"Haul Truck")</f>
        <v/>
      </c>
      <c r="BO66" s="57">
        <f>IF($B66=$B65,$BO65,0)+$BN66</f>
        <v/>
      </c>
      <c r="BP66" s="57">
        <f>$BP65+$BN66</f>
        <v/>
      </c>
      <c r="BQ66" s="67">
        <f>IFERROR(IF(($BH66)&gt;0,($BK66)/($BH66),""),"")</f>
        <v/>
      </c>
      <c r="BR66" s="67">
        <f>IFERROR(IF(($BI66)&gt;0,($BL66)/($BI66),""),"")</f>
        <v/>
      </c>
      <c r="BS66" s="67">
        <f>IFERROR(IF(($BJ66)&gt;0,($BM66)/($BJ66),""),"")</f>
        <v/>
      </c>
      <c r="BT66" s="67">
        <f>IFERROR(IF(($BK66)&gt;0,($BN66)/($BK66),""),"")</f>
        <v/>
      </c>
      <c r="BU66" s="67">
        <f>IFERROR(IF(($BL66)&gt;0,($BO66)/($BL66),""),"")</f>
        <v/>
      </c>
      <c r="BV66" s="67">
        <f>IFERROR(IF(($BM66)&gt;0,($BP66)/($BM66),""),"")</f>
        <v/>
      </c>
      <c r="BW66" s="55">
        <f>SUMIFS(tblPlant[Crushed_t],tblPlant[Date],$A66)</f>
        <v/>
      </c>
      <c r="BX66" s="55">
        <f>IF($B66=$B65,$BX65,0)+$BW66</f>
        <v/>
      </c>
      <c r="BY66" s="55">
        <f>$BY65+$BW66</f>
        <v/>
      </c>
      <c r="BZ66" s="55">
        <f>SUMIFS(tblPlant[Milled_t],tblPlant[Date],$A66)</f>
        <v/>
      </c>
      <c r="CA66" s="55">
        <f>IF($B66=$B65,$CA65,0)+$BZ66</f>
        <v/>
      </c>
      <c r="CB66" s="55">
        <f>$CB65+$BZ66</f>
        <v/>
      </c>
      <c r="CC66" s="55">
        <f>SUMIFS(tblPlant[Feed_oz],tblPlant[Date],$A66)</f>
        <v/>
      </c>
      <c r="CD66" s="55">
        <f>IF($B66=$B65,$CD65,0)+$CC66</f>
        <v/>
      </c>
      <c r="CE66" s="55">
        <f>$CE65+$CC66</f>
        <v/>
      </c>
      <c r="CF66" s="55">
        <f>SUMIFS(tblPlant[Tails_oz],tblPlant[Date],$A66)</f>
        <v/>
      </c>
      <c r="CG66" s="55">
        <f>IF($B66=$B65,$CG65,0)+$CF66</f>
        <v/>
      </c>
      <c r="CH66" s="55">
        <f>$CH65+$CF66</f>
        <v/>
      </c>
      <c r="CI66" s="55">
        <f>SUMIFS(tblPlant[Recovered_oz],tblPlant[Date],$A66)</f>
        <v/>
      </c>
      <c r="CJ66" s="55">
        <f>IF($B66=$B65,$CJ65,0)+$CI66</f>
        <v/>
      </c>
      <c r="CK66" s="55">
        <f>$CK65+$CI66</f>
        <v/>
      </c>
      <c r="CL66" s="56">
        <f>IFERROR(IF(($BZ66)&gt;0,($CC66*cfg_TroyOz)/($BZ66),""),"")</f>
        <v/>
      </c>
      <c r="CM66" s="56">
        <f>IFERROR(IF(($CA66)&gt;0,($CD66*cfg_TroyOz)/($CA66),""),"")</f>
        <v/>
      </c>
      <c r="CN66" s="56">
        <f>IFERROR(IF(($CB66)&gt;0,($CE66*cfg_TroyOz)/($CB66),""),"")</f>
        <v/>
      </c>
      <c r="CO66" s="56">
        <f>IFERROR(IF(($BZ66)&gt;0,($CF66*cfg_TroyOz)/($BZ66),""),"")</f>
        <v/>
      </c>
      <c r="CP66" s="56">
        <f>IFERROR(IF(($CA66)&gt;0,($CG66*cfg_TroyOz)/($CA66),""),"")</f>
        <v/>
      </c>
      <c r="CQ66" s="56">
        <f>IFERROR(IF(($CB66)&gt;0,($CH66*cfg_TroyOz)/($CB66),""),"")</f>
        <v/>
      </c>
      <c r="CR66" s="67">
        <f>IFERROR(IF(($CC66)&gt;0,($CI66)/($CC66),""),"")</f>
        <v/>
      </c>
      <c r="CS66" s="67">
        <f>IFERROR(IF(($CD66)&gt;0,($CJ66)/($CD66),""),"")</f>
        <v/>
      </c>
      <c r="CT66" s="67">
        <f>IFERROR(IF(($CE66)&gt;0,($CK66)/($CE66),""),"")</f>
        <v/>
      </c>
      <c r="CU66" s="55">
        <f>SUMIFS(tblPlant[Gravity_Gold_oz],tblPlant[Date],$A66)</f>
        <v/>
      </c>
      <c r="CV66" s="55">
        <f>IF($B66=$B65,$CV65,0)+$CU66</f>
        <v/>
      </c>
      <c r="CW66" s="55">
        <f>$CW65+$CU66</f>
        <v/>
      </c>
      <c r="CX66" s="55">
        <f>SUMIFS(tblPlant[Gold_Poured_oz],tblPlant[Date],$A66)</f>
        <v/>
      </c>
      <c r="CY66" s="55">
        <f>IF($B66=$B65,$CY65,0)+$CX66</f>
        <v/>
      </c>
      <c r="CZ66" s="55">
        <f>$CZ65+$CX66</f>
        <v/>
      </c>
      <c r="DA66" s="57">
        <f>SUMIFS(tblPlant[Mill_Run_h],tblPlant[Date],$A66)</f>
        <v/>
      </c>
      <c r="DB66" s="57">
        <f>IF($B66=$B65,$DB65,0)+$DA66</f>
        <v/>
      </c>
      <c r="DC66" s="57">
        <f>$DC65+$DA66</f>
        <v/>
      </c>
      <c r="DD66" s="57">
        <f>SUMIFS(tblPlant[Mill_Planned_Maint_h],tblPlant[Date],$A66)</f>
        <v/>
      </c>
      <c r="DE66" s="57">
        <f>IF($B66=$B65,$DE65,0)+$DD66</f>
        <v/>
      </c>
      <c r="DF66" s="57">
        <f>$DF65+$DD66</f>
        <v/>
      </c>
      <c r="DG66" s="57">
        <f>SUMIFS(tblPlant[Mill_Unplanned_Down_h],tblPlant[Date],$A66)</f>
        <v/>
      </c>
      <c r="DH66" s="57">
        <f>IF($B66=$B65,$DH65,0)+$DG66</f>
        <v/>
      </c>
      <c r="DI66" s="57">
        <f>$DI65+$DG66</f>
        <v/>
      </c>
      <c r="DJ66" s="57">
        <f>COUNTIFS(tblPlant[Date],$A66,tblPlant[Mill_Run_h],"&lt;&gt;")*24</f>
        <v/>
      </c>
      <c r="DK66" s="57">
        <f>IF($B66=$B65,$DK65,0)+$DJ66</f>
        <v/>
      </c>
      <c r="DL66" s="57">
        <f>$DL65+$DJ66</f>
        <v/>
      </c>
      <c r="DM66" s="57">
        <f>SUMIFS(tblPlant[Crusher_Run_h],tblPlant[Date],$A66)</f>
        <v/>
      </c>
      <c r="DN66" s="57">
        <f>IF($B66=$B65,$DN65,0)+$DM66</f>
        <v/>
      </c>
      <c r="DO66" s="57">
        <f>$DO65+$DM66</f>
        <v/>
      </c>
      <c r="DP66" s="55">
        <f>IFERROR(IF(($DA66)&gt;0,($BZ66)/($DA66),""),"")</f>
        <v/>
      </c>
      <c r="DQ66" s="55">
        <f>IFERROR(IF(($DB66)&gt;0,($CA66)/($DB66),""),"")</f>
        <v/>
      </c>
      <c r="DR66" s="55">
        <f>IFERROR(IF(($DC66)&gt;0,($CB66)/($DC66),""),"")</f>
        <v/>
      </c>
      <c r="DS66" s="67">
        <f>IFERROR(IF(($DJ66)&gt;0,($DJ66-$DD66-$DG66)/($DJ66),""),"")</f>
        <v/>
      </c>
      <c r="DT66" s="67">
        <f>IFERROR(IF(($DK66)&gt;0,($DK66-$DE66-$DH66)/($DK66),""),"")</f>
        <v/>
      </c>
      <c r="DU66" s="67">
        <f>IFERROR(IF(($DL66)&gt;0,($DL66-$DF66-$DI66)/($DL66),""),"")</f>
        <v/>
      </c>
      <c r="DV66" s="67">
        <f>IFERROR(IF(($DJ66-$DD66-$DG66)&gt;0,($DA66)/($DJ66-$DD66-$DG66),""),"")</f>
        <v/>
      </c>
      <c r="DW66" s="67">
        <f>IFERROR(IF(($DK66-$DE66-$DH66)&gt;0,($DB66)/($DK66-$DE66-$DH66),""),"")</f>
        <v/>
      </c>
      <c r="DX66" s="67">
        <f>IFERROR(IF(($DL66-$DF66-$DI66)&gt;0,($DC66)/($DL66-$DF66-$DI66),""),"")</f>
        <v/>
      </c>
      <c r="DY66" s="55">
        <f>SUMIFS(tblPlant[Cyanide_kg],tblPlant[Date],$A66)</f>
        <v/>
      </c>
      <c r="DZ66" s="55">
        <f>IF($B66=$B65,$DZ65,0)+$DY66</f>
        <v/>
      </c>
      <c r="EA66" s="55">
        <f>$EA65+$DY66</f>
        <v/>
      </c>
      <c r="EB66" s="55">
        <f>SUMIFS(tblPlant[Lime_kg],tblPlant[Date],$A66)</f>
        <v/>
      </c>
      <c r="EC66" s="55">
        <f>IF($B66=$B65,$EC65,0)+$EB66</f>
        <v/>
      </c>
      <c r="ED66" s="55">
        <f>$ED65+$EB66</f>
        <v/>
      </c>
      <c r="EE66" s="55">
        <f>SUMIFS(tblPlant[Grinding_Media_kg],tblPlant[Date],$A66)</f>
        <v/>
      </c>
      <c r="EF66" s="55">
        <f>IF($B66=$B65,$EF65,0)+$EE66</f>
        <v/>
      </c>
      <c r="EG66" s="55">
        <f>$EG65+$EE66</f>
        <v/>
      </c>
      <c r="EH66" s="55">
        <f>SUMIFS(tblPlant[Power_kWh],tblPlant[Date],$A66)</f>
        <v/>
      </c>
      <c r="EI66" s="55">
        <f>IF($B66=$B65,$EI65,0)+$EH66</f>
        <v/>
      </c>
      <c r="EJ66" s="55">
        <f>$EJ65+$EH66</f>
        <v/>
      </c>
      <c r="EK66" s="55">
        <f>SUMIFS(tblPlant[Raw_Water_m3],tblPlant[Date],$A66)</f>
        <v/>
      </c>
      <c r="EL66" s="55">
        <f>IF($B66=$B65,$EL65,0)+$EK66</f>
        <v/>
      </c>
      <c r="EM66" s="55">
        <f>$EM65+$EK66</f>
        <v/>
      </c>
      <c r="EN66" s="56">
        <f>IFERROR(IF(($BZ66)&gt;0,($DY66)/($BZ66),""),"")</f>
        <v/>
      </c>
      <c r="EO66" s="56">
        <f>IFERROR(IF(($CA66)&gt;0,($DZ66)/($CA66),""),"")</f>
        <v/>
      </c>
      <c r="EP66" s="56">
        <f>IFERROR(IF(($CB66)&gt;0,($EA66)/($CB66),""),"")</f>
        <v/>
      </c>
      <c r="EQ66" s="56">
        <f>IFERROR(IF(($BZ66)&gt;0,($EB66)/($BZ66),""),"")</f>
        <v/>
      </c>
      <c r="ER66" s="56">
        <f>IFERROR(IF(($CA66)&gt;0,($EC66)/($CA66),""),"")</f>
        <v/>
      </c>
      <c r="ES66" s="56">
        <f>IFERROR(IF(($CB66)&gt;0,($ED66)/($CB66),""),"")</f>
        <v/>
      </c>
      <c r="ET66" s="56">
        <f>IFERROR(IF(($BZ66)&gt;0,($EE66)/($BZ66),""),"")</f>
        <v/>
      </c>
      <c r="EU66" s="56">
        <f>IFERROR(IF(($CA66)&gt;0,($EF66)/($CA66),""),"")</f>
        <v/>
      </c>
      <c r="EV66" s="56">
        <f>IFERROR(IF(($CB66)&gt;0,($EG66)/($CB66),""),"")</f>
        <v/>
      </c>
      <c r="EW66" s="76">
        <f>IFERROR(IF(($BZ66)&gt;0,($EH66)/($BZ66),""),"")</f>
        <v/>
      </c>
      <c r="EX66" s="76">
        <f>IFERROR(IF(($CA66)&gt;0,($EI66)/($CA66),""),"")</f>
        <v/>
      </c>
      <c r="EY66" s="76">
        <f>IFERROR(IF(($CB66)&gt;0,($EJ66)/($CB66),""),"")</f>
        <v/>
      </c>
      <c r="EZ66" s="56">
        <f>IFERROR(IF(($BZ66)&gt;0,($EK66)/($BZ66),""),"")</f>
        <v/>
      </c>
      <c r="FA66" s="56">
        <f>IFERROR(IF(($CA66)&gt;0,($EL66)/($CA66),""),"")</f>
        <v/>
      </c>
      <c r="FB66" s="56">
        <f>IFERROR(IF(($CB66)&gt;0,($EM66)/($CB66),""),"")</f>
        <v/>
      </c>
      <c r="FC66" s="55">
        <f>IF(SUMIFS(tblPlant[GIC_oz],tblPlant[Date],$A66)&gt;0,SUMIFS(tblPlant[GIC_oz],tblPlant[Date],$A66),"")</f>
        <v/>
      </c>
      <c r="FD66" s="55">
        <f>SUMIFS(tblGold[Gold_oz],tblGold[Date],$A66,tblGold[Type],"Shipment")</f>
        <v/>
      </c>
      <c r="FE66" s="55">
        <f>IF($B66=$B65,$FE65,0)+$FD66</f>
        <v/>
      </c>
      <c r="FF66" s="55">
        <f>$FF65+$FD66</f>
        <v/>
      </c>
      <c r="FG66" s="55">
        <f>SUMIFS(tblGold[Gold_oz],tblGold[Date],$A66,tblGold[Type],"Sale")</f>
        <v/>
      </c>
      <c r="FH66" s="55">
        <f>IF($B66=$B65,$FH65,0)+$FG66</f>
        <v/>
      </c>
      <c r="FI66" s="55">
        <f>$FI65+$FG66</f>
        <v/>
      </c>
      <c r="FJ66" s="55">
        <f>SUMIFS(tblGold[Dore_kg],tblGold[Date],$A66,tblGold[Type],"Shipment")</f>
        <v/>
      </c>
      <c r="FK66" s="55">
        <f>IF($B66=$B65,$FK65,0)+$FJ66</f>
        <v/>
      </c>
      <c r="FL66" s="55">
        <f>$FL65+$FJ66</f>
        <v/>
      </c>
      <c r="FM66" s="57">
        <f>SUMIFS(tblSafety[Hours_Total],tblSafety[Date],$A66)</f>
        <v/>
      </c>
      <c r="FN66" s="57">
        <f>IF($B66=$B65,$FN65,0)+$FM66</f>
        <v/>
      </c>
      <c r="FO66" s="57">
        <f>$FO65+$FM66</f>
        <v/>
      </c>
      <c r="FP66" s="62">
        <f>SUMIFS(tblSafety[Fatality],tblSafety[Date],$A66)</f>
        <v/>
      </c>
      <c r="FQ66" s="62">
        <f>IF($B66=$B65,$FQ65,0)+$FP66</f>
        <v/>
      </c>
      <c r="FR66" s="62">
        <f>$FR65+$FP66</f>
        <v/>
      </c>
      <c r="FS66" s="62">
        <f>SUMIFS(tblSafety[LTI],tblSafety[Date],$A66)</f>
        <v/>
      </c>
      <c r="FT66" s="62">
        <f>IF($B66=$B65,$FT65,0)+$FS66</f>
        <v/>
      </c>
      <c r="FU66" s="62">
        <f>$FU65+$FS66</f>
        <v/>
      </c>
      <c r="FV66" s="62">
        <f>SUMIFS(tblSafety[RWI],tblSafety[Date],$A66)</f>
        <v/>
      </c>
      <c r="FW66" s="62">
        <f>IF($B66=$B65,$FW65,0)+$FV66</f>
        <v/>
      </c>
      <c r="FX66" s="62">
        <f>$FX65+$FV66</f>
        <v/>
      </c>
      <c r="FY66" s="62">
        <f>SUMIFS(tblSafety[MTI],tblSafety[Date],$A66)</f>
        <v/>
      </c>
      <c r="FZ66" s="62">
        <f>IF($B66=$B65,$FZ65,0)+$FY66</f>
        <v/>
      </c>
      <c r="GA66" s="62">
        <f>$GA65+$FY66</f>
        <v/>
      </c>
      <c r="GB66" s="62">
        <f>SUMIFS(tblSafety[FAI],tblSafety[Date],$A66)</f>
        <v/>
      </c>
      <c r="GC66" s="62">
        <f>IF($B66=$B65,$GC65,0)+$GB66</f>
        <v/>
      </c>
      <c r="GD66" s="62">
        <f>$GD65+$GB66</f>
        <v/>
      </c>
      <c r="GE66" s="62">
        <f>SUMIFS(tblSafety[Recordables],tblSafety[Date],$A66)</f>
        <v/>
      </c>
      <c r="GF66" s="62">
        <f>IF($B66=$B65,$GF65,0)+$GE66</f>
        <v/>
      </c>
      <c r="GG66" s="62">
        <f>$GG65+$GE66</f>
        <v/>
      </c>
      <c r="GH66" s="62">
        <f>SUMIFS(tblSafety[Near_Miss],tblSafety[Date],$A66)</f>
        <v/>
      </c>
      <c r="GI66" s="62">
        <f>IF($B66=$B65,$GI65,0)+$GH66</f>
        <v/>
      </c>
      <c r="GJ66" s="62">
        <f>$GJ65+$GH66</f>
        <v/>
      </c>
      <c r="GK66" s="62">
        <f>SUMIFS(tblSafety[Hazard_Reports],tblSafety[Date],$A66)</f>
        <v/>
      </c>
      <c r="GL66" s="62">
        <f>IF($B66=$B65,$GL65,0)+$GK66</f>
        <v/>
      </c>
      <c r="GM66" s="62">
        <f>$GM65+$GK66</f>
        <v/>
      </c>
      <c r="GN66" s="62">
        <f>SUMIFS(tblSafety[HPI],tblSafety[Date],$A66)</f>
        <v/>
      </c>
      <c r="GO66" s="62">
        <f>IF($B66=$B65,$GO65,0)+$GN66</f>
        <v/>
      </c>
      <c r="GP66" s="62">
        <f>$GP65+$GN66</f>
        <v/>
      </c>
      <c r="GQ66" s="62">
        <f>SUMIFS(tblSafety[Env_Incidents],tblSafety[Date],$A66)</f>
        <v/>
      </c>
      <c r="GR66" s="62">
        <f>IF($B66=$B65,$GR65,0)+$GQ66</f>
        <v/>
      </c>
      <c r="GS66" s="62">
        <f>$GS65+$GQ66</f>
        <v/>
      </c>
      <c r="GT66" s="62">
        <f>SUMIFS(tblSafety[Community_Incidents],tblSafety[Date],$A66)</f>
        <v/>
      </c>
      <c r="GU66" s="62">
        <f>IF($B66=$B65,$GU65,0)+$GT66</f>
        <v/>
      </c>
      <c r="GV66" s="62">
        <f>$GV65+$GT66</f>
        <v/>
      </c>
      <c r="GW66" s="62">
        <f>SUMIFS(tblSafety[Vehicle_Incidents],tblSafety[Date],$A66)</f>
        <v/>
      </c>
      <c r="GX66" s="62">
        <f>IF($B66=$B65,$GX65,0)+$GW66</f>
        <v/>
      </c>
      <c r="GY66" s="62">
        <f>$GY65+$GW66</f>
        <v/>
      </c>
      <c r="GZ66" s="62">
        <f>SUMIFS(tblSafety[Toolbox_Talks],tblSafety[Date],$A66)</f>
        <v/>
      </c>
      <c r="HA66" s="62">
        <f>IF($B66=$B65,$HA65,0)+$GZ66</f>
        <v/>
      </c>
      <c r="HB66" s="62">
        <f>$HB65+$GZ66</f>
        <v/>
      </c>
      <c r="HC66" s="62">
        <f>SUMIFS(tblSafety[Inspections],tblSafety[Date],$A66)</f>
        <v/>
      </c>
      <c r="HD66" s="62">
        <f>IF($B66=$B65,$HD65,0)+$HC66</f>
        <v/>
      </c>
      <c r="HE66" s="62">
        <f>$HE65+$HC66</f>
        <v/>
      </c>
      <c r="HF66" s="56">
        <f>IFERROR((SUMIFS(tblSafety[Recordables],tblSafety[Date],"&gt;="&amp;EDATE($E66,-12),tblSafety[Date],"&lt;="&amp;$A66)+SUMIFS(tblSafetyHistory[Recordables],tblSafetyHistory[Month],"&gt;="&amp;EDATE($E66,-12),tblSafetyHistory[Month],"&lt;"&amp;cfg_YearStart))/(SUMIFS(tblSafety[Hours_Total],tblSafety[Date],"&gt;="&amp;EDATE($E66,-12),tblSafety[Date],"&lt;="&amp;$A66)+SUMIFS(tblSafetyHistory[Hours_Total],tblSafetyHistory[Month],"&gt;="&amp;EDATE($E66,-12),tblSafetyHistory[Month],"&lt;"&amp;cfg_YearStart))*1000000,"")</f>
        <v/>
      </c>
      <c r="HG66" s="56">
        <f>IFERROR((SUMIFS(tblSafety[LTI],tblSafety[Date],"&gt;="&amp;EDATE($E66,-12),tblSafety[Date],"&lt;="&amp;$A66)+SUMIFS(tblSafetyHistory[LTI],tblSafetyHistory[Month],"&gt;="&amp;EDATE($E66,-12),tblSafetyHistory[Month],"&lt;"&amp;cfg_YearStart))/(SUMIFS(tblSafety[Hours_Total],tblSafety[Date],"&gt;="&amp;EDATE($E66,-12),tblSafety[Date],"&lt;="&amp;$A66)+SUMIFS(tblSafetyHistory[Hours_Total],tblSafetyHistory[Month],"&gt;="&amp;EDATE($E66,-12),tblSafetyHistory[Month],"&lt;"&amp;cfg_YearStart))*1000000,"")</f>
        <v/>
      </c>
      <c r="HH66" s="62">
        <f>IF(MAX(N(cfg_PriorLTIDate),_xlfn.MAXIFS(tblSafety[Date],tblSafety[LTI],"&gt;0",tblSafety[Date],"&lt;="&amp;$A66))=0,"",$A66-MAX(N(cfg_PriorLTIDate),_xlfn.MAXIFS(tblSafety[Date],tblSafety[LTI],"&gt;0",tblSafety[Date],"&lt;="&amp;$A66)))</f>
        <v/>
      </c>
      <c r="HI66" s="55">
        <f>SUMIFS(tblBudget[Ore_Mined_t],tblBudget[Month],$E66)</f>
        <v/>
      </c>
      <c r="HJ66" s="55">
        <f>$HI66*$C66/$D66</f>
        <v/>
      </c>
      <c r="HK66" s="55">
        <f>SUMIFS(tblBudget[Ore_Mined_t],tblBudget[Month],"&lt;"&amp;$E66)+$HJ66</f>
        <v/>
      </c>
      <c r="HL66" s="55">
        <f>SUMIFS(tblBudget[Ore_oz],tblBudget[Month],$E66)</f>
        <v/>
      </c>
      <c r="HM66" s="55">
        <f>$HL66*$C66/$D66</f>
        <v/>
      </c>
      <c r="HN66" s="55">
        <f>SUMIFS(tblBudget[Ore_oz],tblBudget[Month],"&lt;"&amp;$E66)+$HM66</f>
        <v/>
      </c>
      <c r="HO66" s="56">
        <f>IFERROR(IF(($HI66)&gt;0,($HL66*cfg_TroyOz)/($HI66),""),"")</f>
        <v/>
      </c>
      <c r="HP66" s="56">
        <f>IFERROR(IF(($HJ66)&gt;0,($HM66*cfg_TroyOz)/($HJ66),""),"")</f>
        <v/>
      </c>
      <c r="HQ66" s="56">
        <f>IFERROR(IF(($HK66)&gt;0,($HN66*cfg_TroyOz)/($HK66),""),"")</f>
        <v/>
      </c>
      <c r="HR66" s="55">
        <f>SUMIFS(tblBudget[Waste_t],tblBudget[Month],$E66)</f>
        <v/>
      </c>
      <c r="HS66" s="55">
        <f>$HR66*$C66/$D66</f>
        <v/>
      </c>
      <c r="HT66" s="55">
        <f>SUMIFS(tblBudget[Waste_t],tblBudget[Month],"&lt;"&amp;$E66)+$HS66</f>
        <v/>
      </c>
      <c r="HU66" s="55">
        <f>SUMIFS(tblBudget[TMM_t],tblBudget[Month],$E66)</f>
        <v/>
      </c>
      <c r="HV66" s="55">
        <f>$HU66*$C66/$D66</f>
        <v/>
      </c>
      <c r="HW66" s="55">
        <f>SUMIFS(tblBudget[TMM_t],tblBudget[Month],"&lt;"&amp;$E66)+$HV66</f>
        <v/>
      </c>
      <c r="HX66" s="56">
        <f>IFERROR(IF(($HI66)&gt;0,($HR66)/($HI66),""),"")</f>
        <v/>
      </c>
      <c r="HY66" s="56">
        <f>IFERROR(IF(($HJ66)&gt;0,($HS66)/($HJ66),""),"")</f>
        <v/>
      </c>
      <c r="HZ66" s="56">
        <f>IFERROR(IF(($HK66)&gt;0,($HT66)/($HK66),""),"")</f>
        <v/>
      </c>
      <c r="IA66" s="55">
        <f>SUMIFS(tblBudget[Drill_m],tblBudget[Month],$E66)</f>
        <v/>
      </c>
      <c r="IB66" s="55">
        <f>$IA66*$C66/$D66</f>
        <v/>
      </c>
      <c r="IC66" s="55">
        <f>SUMIFS(tblBudget[Drill_m],tblBudget[Month],"&lt;"&amp;$E66)+$IB66</f>
        <v/>
      </c>
      <c r="ID66" s="55">
        <f>SUMIFS(tblBudget[Diesel_L],tblBudget[Month],$E66)</f>
        <v/>
      </c>
      <c r="IE66" s="55">
        <f>$ID66*$C66/$D66</f>
        <v/>
      </c>
      <c r="IF66" s="55">
        <f>SUMIFS(tblBudget[Diesel_L],tblBudget[Month],"&lt;"&amp;$E66)+$IE66</f>
        <v/>
      </c>
      <c r="IG66" s="55">
        <f>SUMIFS(tblBudget[Milled_t],tblBudget[Month],$E66)</f>
        <v/>
      </c>
      <c r="IH66" s="55">
        <f>$IG66*$C66/$D66</f>
        <v/>
      </c>
      <c r="II66" s="55">
        <f>SUMIFS(tblBudget[Milled_t],tblBudget[Month],"&lt;"&amp;$E66)+$IH66</f>
        <v/>
      </c>
      <c r="IJ66" s="55">
        <f>SUMIFS(tblBudget[Feed_oz],tblBudget[Month],$E66)</f>
        <v/>
      </c>
      <c r="IK66" s="55">
        <f>$IJ66*$C66/$D66</f>
        <v/>
      </c>
      <c r="IL66" s="55">
        <f>SUMIFS(tblBudget[Feed_oz],tblBudget[Month],"&lt;"&amp;$E66)+$IK66</f>
        <v/>
      </c>
      <c r="IM66" s="55">
        <f>SUMIFS(tblBudget[Recovered_oz],tblBudget[Month],$E66)</f>
        <v/>
      </c>
      <c r="IN66" s="55">
        <f>$IM66*$C66/$D66</f>
        <v/>
      </c>
      <c r="IO66" s="55">
        <f>SUMIFS(tblBudget[Recovered_oz],tblBudget[Month],"&lt;"&amp;$E66)+$IN66</f>
        <v/>
      </c>
      <c r="IP66" s="56">
        <f>IFERROR(IF(($IG66)&gt;0,($IJ66*cfg_TroyOz)/($IG66),""),"")</f>
        <v/>
      </c>
      <c r="IQ66" s="56">
        <f>IFERROR(IF(($IH66)&gt;0,($IK66*cfg_TroyOz)/($IH66),""),"")</f>
        <v/>
      </c>
      <c r="IR66" s="56">
        <f>IFERROR(IF(($II66)&gt;0,($IL66*cfg_TroyOz)/($II66),""),"")</f>
        <v/>
      </c>
      <c r="IS66" s="67">
        <f>IFERROR(IF(($IJ66)&gt;0,($IM66)/($IJ66),""),"")</f>
        <v/>
      </c>
      <c r="IT66" s="67">
        <f>IFERROR(IF(($IK66)&gt;0,($IN66)/($IK66),""),"")</f>
        <v/>
      </c>
      <c r="IU66" s="67">
        <f>IFERROR(IF(($IL66)&gt;0,($IO66)/($IL66),""),"")</f>
        <v/>
      </c>
      <c r="IV66" s="55">
        <f>SUMIFS(tblBudget[Gold_Poured_oz],tblBudget[Month],$E66)</f>
        <v/>
      </c>
      <c r="IW66" s="55">
        <f>$IV66*$C66/$D66</f>
        <v/>
      </c>
      <c r="IX66" s="55">
        <f>SUMIFS(tblBudget[Gold_Poured_oz],tblBudget[Month],"&lt;"&amp;$E66)+$IW66</f>
        <v/>
      </c>
      <c r="IY66" s="57">
        <f>SUMIFS(tblBudget[Hours_Worked],tblBudget[Month],$E66)</f>
        <v/>
      </c>
      <c r="IZ66" s="57">
        <f>$IY66*$C66/$D66</f>
        <v/>
      </c>
      <c r="JA66" s="57">
        <f>SUMIFS(tblBudget[Hours_Worked],tblBudget[Month],"&lt;"&amp;$E66)+$IZ66</f>
        <v/>
      </c>
    </row>
    <row r="67">
      <c r="A67" s="54" t="n">
        <v>46088</v>
      </c>
      <c r="B67">
        <f>MONTH($A67)</f>
        <v/>
      </c>
      <c r="C67">
        <f>DAY($A67)</f>
        <v/>
      </c>
      <c r="D67">
        <f>DAY(EOMONTH($A67,0))</f>
        <v/>
      </c>
      <c r="E67" s="54">
        <f>DATE(YEAR($A67),MONTH($A67),1)</f>
        <v/>
      </c>
      <c r="F67" s="55">
        <f>SUMIFS(tblMovement[Tonnes_t],tblMovement[Date],$A67,tblMovement[Is_Ore],1,tblMovement[Source_Type],"Pit")</f>
        <v/>
      </c>
      <c r="G67" s="55">
        <f>IF($B67=$B66,$G66,0)+$F67</f>
        <v/>
      </c>
      <c r="H67" s="55">
        <f>$H66+$F67</f>
        <v/>
      </c>
      <c r="I67" s="55">
        <f>SUMIFS(tblMovement[Ore_oz],tblMovement[Date],$A67,tblMovement[Source_Type],"Pit")</f>
        <v/>
      </c>
      <c r="J67" s="55">
        <f>IF($B67=$B66,$J66,0)+$I67</f>
        <v/>
      </c>
      <c r="K67" s="55">
        <f>$K66+$I67</f>
        <v/>
      </c>
      <c r="L67" s="56">
        <f>IFERROR(IF(($F67)&gt;0,($I67*cfg_TroyOz)/($F67),""),"")</f>
        <v/>
      </c>
      <c r="M67" s="56">
        <f>IFERROR(IF(($G67)&gt;0,($J67*cfg_TroyOz)/($G67),""),"")</f>
        <v/>
      </c>
      <c r="N67" s="56">
        <f>IFERROR(IF(($H67)&gt;0,($K67*cfg_TroyOz)/($H67),""),"")</f>
        <v/>
      </c>
      <c r="O67" s="55">
        <f>SUMIFS(tblMovement[Tonnes_t],tblMovement[Date],$A67,tblMovement[Is_Ore],0,tblMovement[Source_Type],"Pit")</f>
        <v/>
      </c>
      <c r="P67" s="55">
        <f>IF($B67=$B66,$P66,0)+$O67</f>
        <v/>
      </c>
      <c r="Q67" s="55">
        <f>$Q66+$O67</f>
        <v/>
      </c>
      <c r="R67" s="55">
        <f>$F67+$O67</f>
        <v/>
      </c>
      <c r="S67" s="55">
        <f>IF($B67=$B66,$S66,0)+$R67</f>
        <v/>
      </c>
      <c r="T67" s="55">
        <f>$T66+$R67</f>
        <v/>
      </c>
      <c r="U67" s="56">
        <f>IFERROR(IF(($F67)&gt;0,($O67)/($F67),""),"")</f>
        <v/>
      </c>
      <c r="V67" s="56">
        <f>IFERROR(IF(($G67)&gt;0,($P67)/($G67),""),"")</f>
        <v/>
      </c>
      <c r="W67" s="56">
        <f>IFERROR(IF(($H67)&gt;0,($Q67)/($H67),""),"")</f>
        <v/>
      </c>
      <c r="X67" s="55">
        <f>SUMIFS(tblMovement[Tonnes_t],tblMovement[Date],$A67,tblMovement[Source_Type],"Stockpile")</f>
        <v/>
      </c>
      <c r="Y67" s="55">
        <f>IF($B67=$B66,$Y66,0)+$X67</f>
        <v/>
      </c>
      <c r="Z67" s="55">
        <f>$Z66+$X67</f>
        <v/>
      </c>
      <c r="AA67" s="55">
        <f>SUMIFS(tblMiningDaily[Drill_m],tblMiningDaily[Date],$A67)</f>
        <v/>
      </c>
      <c r="AB67" s="55">
        <f>IF($B67=$B66,$AB66,0)+$AA67</f>
        <v/>
      </c>
      <c r="AC67" s="55">
        <f>$AC66+$AA67</f>
        <v/>
      </c>
      <c r="AD67" s="55">
        <f>SUMIFS(tblMiningDaily[Blast_t],tblMiningDaily[Date],$A67)</f>
        <v/>
      </c>
      <c r="AE67" s="55">
        <f>IF($B67=$B66,$AE66,0)+$AD67</f>
        <v/>
      </c>
      <c r="AF67" s="55">
        <f>$AF66+$AD67</f>
        <v/>
      </c>
      <c r="AG67" s="55">
        <f>SUMIFS(tblMiningDaily[Explosives_kg],tblMiningDaily[Date],$A67)</f>
        <v/>
      </c>
      <c r="AH67" s="55">
        <f>IF($B67=$B66,$AH66,0)+$AG67</f>
        <v/>
      </c>
      <c r="AI67" s="55">
        <f>$AI66+$AG67</f>
        <v/>
      </c>
      <c r="AJ67" s="56">
        <f>IFERROR(IF(($AD67)&gt;0,($AG67)/($AD67),""),"")</f>
        <v/>
      </c>
      <c r="AK67" s="56">
        <f>IFERROR(IF(($AE67)&gt;0,($AH67)/($AE67),""),"")</f>
        <v/>
      </c>
      <c r="AL67" s="56">
        <f>IFERROR(IF(($AF67)&gt;0,($AI67)/($AF67),""),"")</f>
        <v/>
      </c>
      <c r="AM67" s="55">
        <f>SUMIFS(tblMiningDaily[Diesel_L],tblMiningDaily[Date],$A67)</f>
        <v/>
      </c>
      <c r="AN67" s="55">
        <f>IF($B67=$B66,$AN66,0)+$AM67</f>
        <v/>
      </c>
      <c r="AO67" s="55">
        <f>$AO66+$AM67</f>
        <v/>
      </c>
      <c r="AP67" s="55">
        <f>SUMIFS(tblMiningDaily[Dewatering_m3],tblMiningDaily[Date],$A67)</f>
        <v/>
      </c>
      <c r="AQ67" s="55">
        <f>IF($B67=$B66,$AQ66,0)+$AP67</f>
        <v/>
      </c>
      <c r="AR67" s="55">
        <f>$AR66+$AP67</f>
        <v/>
      </c>
      <c r="AS67" s="57">
        <f>SUMIFS(tblFleet[Calendar_h],tblFleet[Date],$A67,tblFleet[Equipment_Class],"Excavator")</f>
        <v/>
      </c>
      <c r="AT67" s="57">
        <f>IF($B67=$B66,$AT66,0)+$AS67</f>
        <v/>
      </c>
      <c r="AU67" s="57">
        <f>$AU66+$AS67</f>
        <v/>
      </c>
      <c r="AV67" s="57">
        <f>SUMIFS(tblFleet[Available_h],tblFleet[Date],$A67,tblFleet[Equipment_Class],"Excavator")</f>
        <v/>
      </c>
      <c r="AW67" s="57">
        <f>IF($B67=$B66,$AW66,0)+$AV67</f>
        <v/>
      </c>
      <c r="AX67" s="57">
        <f>$AX66+$AV67</f>
        <v/>
      </c>
      <c r="AY67" s="57">
        <f>SUMIFS(tblFleet[Operating_h],tblFleet[Date],$A67,tblFleet[Equipment_Class],"Excavator")</f>
        <v/>
      </c>
      <c r="AZ67" s="57">
        <f>IF($B67=$B66,$AZ66,0)+$AY67</f>
        <v/>
      </c>
      <c r="BA67" s="57">
        <f>$BA66+$AY67</f>
        <v/>
      </c>
      <c r="BB67" s="67">
        <f>IFERROR(IF(($AS67)&gt;0,($AV67)/($AS67),""),"")</f>
        <v/>
      </c>
      <c r="BC67" s="67">
        <f>IFERROR(IF(($AT67)&gt;0,($AW67)/($AT67),""),"")</f>
        <v/>
      </c>
      <c r="BD67" s="67">
        <f>IFERROR(IF(($AU67)&gt;0,($AX67)/($AU67),""),"")</f>
        <v/>
      </c>
      <c r="BE67" s="67">
        <f>IFERROR(IF(($AV67)&gt;0,($AY67)/($AV67),""),"")</f>
        <v/>
      </c>
      <c r="BF67" s="67">
        <f>IFERROR(IF(($AW67)&gt;0,($AZ67)/($AW67),""),"")</f>
        <v/>
      </c>
      <c r="BG67" s="67">
        <f>IFERROR(IF(($AX67)&gt;0,($BA67)/($AX67),""),"")</f>
        <v/>
      </c>
      <c r="BH67" s="57">
        <f>SUMIFS(tblFleet[Calendar_h],tblFleet[Date],$A67,tblFleet[Equipment_Class],"Haul Truck")</f>
        <v/>
      </c>
      <c r="BI67" s="57">
        <f>IF($B67=$B66,$BI66,0)+$BH67</f>
        <v/>
      </c>
      <c r="BJ67" s="57">
        <f>$BJ66+$BH67</f>
        <v/>
      </c>
      <c r="BK67" s="57">
        <f>SUMIFS(tblFleet[Available_h],tblFleet[Date],$A67,tblFleet[Equipment_Class],"Haul Truck")</f>
        <v/>
      </c>
      <c r="BL67" s="57">
        <f>IF($B67=$B66,$BL66,0)+$BK67</f>
        <v/>
      </c>
      <c r="BM67" s="57">
        <f>$BM66+$BK67</f>
        <v/>
      </c>
      <c r="BN67" s="57">
        <f>SUMIFS(tblFleet[Operating_h],tblFleet[Date],$A67,tblFleet[Equipment_Class],"Haul Truck")</f>
        <v/>
      </c>
      <c r="BO67" s="57">
        <f>IF($B67=$B66,$BO66,0)+$BN67</f>
        <v/>
      </c>
      <c r="BP67" s="57">
        <f>$BP66+$BN67</f>
        <v/>
      </c>
      <c r="BQ67" s="67">
        <f>IFERROR(IF(($BH67)&gt;0,($BK67)/($BH67),""),"")</f>
        <v/>
      </c>
      <c r="BR67" s="67">
        <f>IFERROR(IF(($BI67)&gt;0,($BL67)/($BI67),""),"")</f>
        <v/>
      </c>
      <c r="BS67" s="67">
        <f>IFERROR(IF(($BJ67)&gt;0,($BM67)/($BJ67),""),"")</f>
        <v/>
      </c>
      <c r="BT67" s="67">
        <f>IFERROR(IF(($BK67)&gt;0,($BN67)/($BK67),""),"")</f>
        <v/>
      </c>
      <c r="BU67" s="67">
        <f>IFERROR(IF(($BL67)&gt;0,($BO67)/($BL67),""),"")</f>
        <v/>
      </c>
      <c r="BV67" s="67">
        <f>IFERROR(IF(($BM67)&gt;0,($BP67)/($BM67),""),"")</f>
        <v/>
      </c>
      <c r="BW67" s="55">
        <f>SUMIFS(tblPlant[Crushed_t],tblPlant[Date],$A67)</f>
        <v/>
      </c>
      <c r="BX67" s="55">
        <f>IF($B67=$B66,$BX66,0)+$BW67</f>
        <v/>
      </c>
      <c r="BY67" s="55">
        <f>$BY66+$BW67</f>
        <v/>
      </c>
      <c r="BZ67" s="55">
        <f>SUMIFS(tblPlant[Milled_t],tblPlant[Date],$A67)</f>
        <v/>
      </c>
      <c r="CA67" s="55">
        <f>IF($B67=$B66,$CA66,0)+$BZ67</f>
        <v/>
      </c>
      <c r="CB67" s="55">
        <f>$CB66+$BZ67</f>
        <v/>
      </c>
      <c r="CC67" s="55">
        <f>SUMIFS(tblPlant[Feed_oz],tblPlant[Date],$A67)</f>
        <v/>
      </c>
      <c r="CD67" s="55">
        <f>IF($B67=$B66,$CD66,0)+$CC67</f>
        <v/>
      </c>
      <c r="CE67" s="55">
        <f>$CE66+$CC67</f>
        <v/>
      </c>
      <c r="CF67" s="55">
        <f>SUMIFS(tblPlant[Tails_oz],tblPlant[Date],$A67)</f>
        <v/>
      </c>
      <c r="CG67" s="55">
        <f>IF($B67=$B66,$CG66,0)+$CF67</f>
        <v/>
      </c>
      <c r="CH67" s="55">
        <f>$CH66+$CF67</f>
        <v/>
      </c>
      <c r="CI67" s="55">
        <f>SUMIFS(tblPlant[Recovered_oz],tblPlant[Date],$A67)</f>
        <v/>
      </c>
      <c r="CJ67" s="55">
        <f>IF($B67=$B66,$CJ66,0)+$CI67</f>
        <v/>
      </c>
      <c r="CK67" s="55">
        <f>$CK66+$CI67</f>
        <v/>
      </c>
      <c r="CL67" s="56">
        <f>IFERROR(IF(($BZ67)&gt;0,($CC67*cfg_TroyOz)/($BZ67),""),"")</f>
        <v/>
      </c>
      <c r="CM67" s="56">
        <f>IFERROR(IF(($CA67)&gt;0,($CD67*cfg_TroyOz)/($CA67),""),"")</f>
        <v/>
      </c>
      <c r="CN67" s="56">
        <f>IFERROR(IF(($CB67)&gt;0,($CE67*cfg_TroyOz)/($CB67),""),"")</f>
        <v/>
      </c>
      <c r="CO67" s="56">
        <f>IFERROR(IF(($BZ67)&gt;0,($CF67*cfg_TroyOz)/($BZ67),""),"")</f>
        <v/>
      </c>
      <c r="CP67" s="56">
        <f>IFERROR(IF(($CA67)&gt;0,($CG67*cfg_TroyOz)/($CA67),""),"")</f>
        <v/>
      </c>
      <c r="CQ67" s="56">
        <f>IFERROR(IF(($CB67)&gt;0,($CH67*cfg_TroyOz)/($CB67),""),"")</f>
        <v/>
      </c>
      <c r="CR67" s="67">
        <f>IFERROR(IF(($CC67)&gt;0,($CI67)/($CC67),""),"")</f>
        <v/>
      </c>
      <c r="CS67" s="67">
        <f>IFERROR(IF(($CD67)&gt;0,($CJ67)/($CD67),""),"")</f>
        <v/>
      </c>
      <c r="CT67" s="67">
        <f>IFERROR(IF(($CE67)&gt;0,($CK67)/($CE67),""),"")</f>
        <v/>
      </c>
      <c r="CU67" s="55">
        <f>SUMIFS(tblPlant[Gravity_Gold_oz],tblPlant[Date],$A67)</f>
        <v/>
      </c>
      <c r="CV67" s="55">
        <f>IF($B67=$B66,$CV66,0)+$CU67</f>
        <v/>
      </c>
      <c r="CW67" s="55">
        <f>$CW66+$CU67</f>
        <v/>
      </c>
      <c r="CX67" s="55">
        <f>SUMIFS(tblPlant[Gold_Poured_oz],tblPlant[Date],$A67)</f>
        <v/>
      </c>
      <c r="CY67" s="55">
        <f>IF($B67=$B66,$CY66,0)+$CX67</f>
        <v/>
      </c>
      <c r="CZ67" s="55">
        <f>$CZ66+$CX67</f>
        <v/>
      </c>
      <c r="DA67" s="57">
        <f>SUMIFS(tblPlant[Mill_Run_h],tblPlant[Date],$A67)</f>
        <v/>
      </c>
      <c r="DB67" s="57">
        <f>IF($B67=$B66,$DB66,0)+$DA67</f>
        <v/>
      </c>
      <c r="DC67" s="57">
        <f>$DC66+$DA67</f>
        <v/>
      </c>
      <c r="DD67" s="57">
        <f>SUMIFS(tblPlant[Mill_Planned_Maint_h],tblPlant[Date],$A67)</f>
        <v/>
      </c>
      <c r="DE67" s="57">
        <f>IF($B67=$B66,$DE66,0)+$DD67</f>
        <v/>
      </c>
      <c r="DF67" s="57">
        <f>$DF66+$DD67</f>
        <v/>
      </c>
      <c r="DG67" s="57">
        <f>SUMIFS(tblPlant[Mill_Unplanned_Down_h],tblPlant[Date],$A67)</f>
        <v/>
      </c>
      <c r="DH67" s="57">
        <f>IF($B67=$B66,$DH66,0)+$DG67</f>
        <v/>
      </c>
      <c r="DI67" s="57">
        <f>$DI66+$DG67</f>
        <v/>
      </c>
      <c r="DJ67" s="57">
        <f>COUNTIFS(tblPlant[Date],$A67,tblPlant[Mill_Run_h],"&lt;&gt;")*24</f>
        <v/>
      </c>
      <c r="DK67" s="57">
        <f>IF($B67=$B66,$DK66,0)+$DJ67</f>
        <v/>
      </c>
      <c r="DL67" s="57">
        <f>$DL66+$DJ67</f>
        <v/>
      </c>
      <c r="DM67" s="57">
        <f>SUMIFS(tblPlant[Crusher_Run_h],tblPlant[Date],$A67)</f>
        <v/>
      </c>
      <c r="DN67" s="57">
        <f>IF($B67=$B66,$DN66,0)+$DM67</f>
        <v/>
      </c>
      <c r="DO67" s="57">
        <f>$DO66+$DM67</f>
        <v/>
      </c>
      <c r="DP67" s="55">
        <f>IFERROR(IF(($DA67)&gt;0,($BZ67)/($DA67),""),"")</f>
        <v/>
      </c>
      <c r="DQ67" s="55">
        <f>IFERROR(IF(($DB67)&gt;0,($CA67)/($DB67),""),"")</f>
        <v/>
      </c>
      <c r="DR67" s="55">
        <f>IFERROR(IF(($DC67)&gt;0,($CB67)/($DC67),""),"")</f>
        <v/>
      </c>
      <c r="DS67" s="67">
        <f>IFERROR(IF(($DJ67)&gt;0,($DJ67-$DD67-$DG67)/($DJ67),""),"")</f>
        <v/>
      </c>
      <c r="DT67" s="67">
        <f>IFERROR(IF(($DK67)&gt;0,($DK67-$DE67-$DH67)/($DK67),""),"")</f>
        <v/>
      </c>
      <c r="DU67" s="67">
        <f>IFERROR(IF(($DL67)&gt;0,($DL67-$DF67-$DI67)/($DL67),""),"")</f>
        <v/>
      </c>
      <c r="DV67" s="67">
        <f>IFERROR(IF(($DJ67-$DD67-$DG67)&gt;0,($DA67)/($DJ67-$DD67-$DG67),""),"")</f>
        <v/>
      </c>
      <c r="DW67" s="67">
        <f>IFERROR(IF(($DK67-$DE67-$DH67)&gt;0,($DB67)/($DK67-$DE67-$DH67),""),"")</f>
        <v/>
      </c>
      <c r="DX67" s="67">
        <f>IFERROR(IF(($DL67-$DF67-$DI67)&gt;0,($DC67)/($DL67-$DF67-$DI67),""),"")</f>
        <v/>
      </c>
      <c r="DY67" s="55">
        <f>SUMIFS(tblPlant[Cyanide_kg],tblPlant[Date],$A67)</f>
        <v/>
      </c>
      <c r="DZ67" s="55">
        <f>IF($B67=$B66,$DZ66,0)+$DY67</f>
        <v/>
      </c>
      <c r="EA67" s="55">
        <f>$EA66+$DY67</f>
        <v/>
      </c>
      <c r="EB67" s="55">
        <f>SUMIFS(tblPlant[Lime_kg],tblPlant[Date],$A67)</f>
        <v/>
      </c>
      <c r="EC67" s="55">
        <f>IF($B67=$B66,$EC66,0)+$EB67</f>
        <v/>
      </c>
      <c r="ED67" s="55">
        <f>$ED66+$EB67</f>
        <v/>
      </c>
      <c r="EE67" s="55">
        <f>SUMIFS(tblPlant[Grinding_Media_kg],tblPlant[Date],$A67)</f>
        <v/>
      </c>
      <c r="EF67" s="55">
        <f>IF($B67=$B66,$EF66,0)+$EE67</f>
        <v/>
      </c>
      <c r="EG67" s="55">
        <f>$EG66+$EE67</f>
        <v/>
      </c>
      <c r="EH67" s="55">
        <f>SUMIFS(tblPlant[Power_kWh],tblPlant[Date],$A67)</f>
        <v/>
      </c>
      <c r="EI67" s="55">
        <f>IF($B67=$B66,$EI66,0)+$EH67</f>
        <v/>
      </c>
      <c r="EJ67" s="55">
        <f>$EJ66+$EH67</f>
        <v/>
      </c>
      <c r="EK67" s="55">
        <f>SUMIFS(tblPlant[Raw_Water_m3],tblPlant[Date],$A67)</f>
        <v/>
      </c>
      <c r="EL67" s="55">
        <f>IF($B67=$B66,$EL66,0)+$EK67</f>
        <v/>
      </c>
      <c r="EM67" s="55">
        <f>$EM66+$EK67</f>
        <v/>
      </c>
      <c r="EN67" s="56">
        <f>IFERROR(IF(($BZ67)&gt;0,($DY67)/($BZ67),""),"")</f>
        <v/>
      </c>
      <c r="EO67" s="56">
        <f>IFERROR(IF(($CA67)&gt;0,($DZ67)/($CA67),""),"")</f>
        <v/>
      </c>
      <c r="EP67" s="56">
        <f>IFERROR(IF(($CB67)&gt;0,($EA67)/($CB67),""),"")</f>
        <v/>
      </c>
      <c r="EQ67" s="56">
        <f>IFERROR(IF(($BZ67)&gt;0,($EB67)/($BZ67),""),"")</f>
        <v/>
      </c>
      <c r="ER67" s="56">
        <f>IFERROR(IF(($CA67)&gt;0,($EC67)/($CA67),""),"")</f>
        <v/>
      </c>
      <c r="ES67" s="56">
        <f>IFERROR(IF(($CB67)&gt;0,($ED67)/($CB67),""),"")</f>
        <v/>
      </c>
      <c r="ET67" s="56">
        <f>IFERROR(IF(($BZ67)&gt;0,($EE67)/($BZ67),""),"")</f>
        <v/>
      </c>
      <c r="EU67" s="56">
        <f>IFERROR(IF(($CA67)&gt;0,($EF67)/($CA67),""),"")</f>
        <v/>
      </c>
      <c r="EV67" s="56">
        <f>IFERROR(IF(($CB67)&gt;0,($EG67)/($CB67),""),"")</f>
        <v/>
      </c>
      <c r="EW67" s="76">
        <f>IFERROR(IF(($BZ67)&gt;0,($EH67)/($BZ67),""),"")</f>
        <v/>
      </c>
      <c r="EX67" s="76">
        <f>IFERROR(IF(($CA67)&gt;0,($EI67)/($CA67),""),"")</f>
        <v/>
      </c>
      <c r="EY67" s="76">
        <f>IFERROR(IF(($CB67)&gt;0,($EJ67)/($CB67),""),"")</f>
        <v/>
      </c>
      <c r="EZ67" s="56">
        <f>IFERROR(IF(($BZ67)&gt;0,($EK67)/($BZ67),""),"")</f>
        <v/>
      </c>
      <c r="FA67" s="56">
        <f>IFERROR(IF(($CA67)&gt;0,($EL67)/($CA67),""),"")</f>
        <v/>
      </c>
      <c r="FB67" s="56">
        <f>IFERROR(IF(($CB67)&gt;0,($EM67)/($CB67),""),"")</f>
        <v/>
      </c>
      <c r="FC67" s="55">
        <f>IF(SUMIFS(tblPlant[GIC_oz],tblPlant[Date],$A67)&gt;0,SUMIFS(tblPlant[GIC_oz],tblPlant[Date],$A67),"")</f>
        <v/>
      </c>
      <c r="FD67" s="55">
        <f>SUMIFS(tblGold[Gold_oz],tblGold[Date],$A67,tblGold[Type],"Shipment")</f>
        <v/>
      </c>
      <c r="FE67" s="55">
        <f>IF($B67=$B66,$FE66,0)+$FD67</f>
        <v/>
      </c>
      <c r="FF67" s="55">
        <f>$FF66+$FD67</f>
        <v/>
      </c>
      <c r="FG67" s="55">
        <f>SUMIFS(tblGold[Gold_oz],tblGold[Date],$A67,tblGold[Type],"Sale")</f>
        <v/>
      </c>
      <c r="FH67" s="55">
        <f>IF($B67=$B66,$FH66,0)+$FG67</f>
        <v/>
      </c>
      <c r="FI67" s="55">
        <f>$FI66+$FG67</f>
        <v/>
      </c>
      <c r="FJ67" s="55">
        <f>SUMIFS(tblGold[Dore_kg],tblGold[Date],$A67,tblGold[Type],"Shipment")</f>
        <v/>
      </c>
      <c r="FK67" s="55">
        <f>IF($B67=$B66,$FK66,0)+$FJ67</f>
        <v/>
      </c>
      <c r="FL67" s="55">
        <f>$FL66+$FJ67</f>
        <v/>
      </c>
      <c r="FM67" s="57">
        <f>SUMIFS(tblSafety[Hours_Total],tblSafety[Date],$A67)</f>
        <v/>
      </c>
      <c r="FN67" s="57">
        <f>IF($B67=$B66,$FN66,0)+$FM67</f>
        <v/>
      </c>
      <c r="FO67" s="57">
        <f>$FO66+$FM67</f>
        <v/>
      </c>
      <c r="FP67" s="62">
        <f>SUMIFS(tblSafety[Fatality],tblSafety[Date],$A67)</f>
        <v/>
      </c>
      <c r="FQ67" s="62">
        <f>IF($B67=$B66,$FQ66,0)+$FP67</f>
        <v/>
      </c>
      <c r="FR67" s="62">
        <f>$FR66+$FP67</f>
        <v/>
      </c>
      <c r="FS67" s="62">
        <f>SUMIFS(tblSafety[LTI],tblSafety[Date],$A67)</f>
        <v/>
      </c>
      <c r="FT67" s="62">
        <f>IF($B67=$B66,$FT66,0)+$FS67</f>
        <v/>
      </c>
      <c r="FU67" s="62">
        <f>$FU66+$FS67</f>
        <v/>
      </c>
      <c r="FV67" s="62">
        <f>SUMIFS(tblSafety[RWI],tblSafety[Date],$A67)</f>
        <v/>
      </c>
      <c r="FW67" s="62">
        <f>IF($B67=$B66,$FW66,0)+$FV67</f>
        <v/>
      </c>
      <c r="FX67" s="62">
        <f>$FX66+$FV67</f>
        <v/>
      </c>
      <c r="FY67" s="62">
        <f>SUMIFS(tblSafety[MTI],tblSafety[Date],$A67)</f>
        <v/>
      </c>
      <c r="FZ67" s="62">
        <f>IF($B67=$B66,$FZ66,0)+$FY67</f>
        <v/>
      </c>
      <c r="GA67" s="62">
        <f>$GA66+$FY67</f>
        <v/>
      </c>
      <c r="GB67" s="62">
        <f>SUMIFS(tblSafety[FAI],tblSafety[Date],$A67)</f>
        <v/>
      </c>
      <c r="GC67" s="62">
        <f>IF($B67=$B66,$GC66,0)+$GB67</f>
        <v/>
      </c>
      <c r="GD67" s="62">
        <f>$GD66+$GB67</f>
        <v/>
      </c>
      <c r="GE67" s="62">
        <f>SUMIFS(tblSafety[Recordables],tblSafety[Date],$A67)</f>
        <v/>
      </c>
      <c r="GF67" s="62">
        <f>IF($B67=$B66,$GF66,0)+$GE67</f>
        <v/>
      </c>
      <c r="GG67" s="62">
        <f>$GG66+$GE67</f>
        <v/>
      </c>
      <c r="GH67" s="62">
        <f>SUMIFS(tblSafety[Near_Miss],tblSafety[Date],$A67)</f>
        <v/>
      </c>
      <c r="GI67" s="62">
        <f>IF($B67=$B66,$GI66,0)+$GH67</f>
        <v/>
      </c>
      <c r="GJ67" s="62">
        <f>$GJ66+$GH67</f>
        <v/>
      </c>
      <c r="GK67" s="62">
        <f>SUMIFS(tblSafety[Hazard_Reports],tblSafety[Date],$A67)</f>
        <v/>
      </c>
      <c r="GL67" s="62">
        <f>IF($B67=$B66,$GL66,0)+$GK67</f>
        <v/>
      </c>
      <c r="GM67" s="62">
        <f>$GM66+$GK67</f>
        <v/>
      </c>
      <c r="GN67" s="62">
        <f>SUMIFS(tblSafety[HPI],tblSafety[Date],$A67)</f>
        <v/>
      </c>
      <c r="GO67" s="62">
        <f>IF($B67=$B66,$GO66,0)+$GN67</f>
        <v/>
      </c>
      <c r="GP67" s="62">
        <f>$GP66+$GN67</f>
        <v/>
      </c>
      <c r="GQ67" s="62">
        <f>SUMIFS(tblSafety[Env_Incidents],tblSafety[Date],$A67)</f>
        <v/>
      </c>
      <c r="GR67" s="62">
        <f>IF($B67=$B66,$GR66,0)+$GQ67</f>
        <v/>
      </c>
      <c r="GS67" s="62">
        <f>$GS66+$GQ67</f>
        <v/>
      </c>
      <c r="GT67" s="62">
        <f>SUMIFS(tblSafety[Community_Incidents],tblSafety[Date],$A67)</f>
        <v/>
      </c>
      <c r="GU67" s="62">
        <f>IF($B67=$B66,$GU66,0)+$GT67</f>
        <v/>
      </c>
      <c r="GV67" s="62">
        <f>$GV66+$GT67</f>
        <v/>
      </c>
      <c r="GW67" s="62">
        <f>SUMIFS(tblSafety[Vehicle_Incidents],tblSafety[Date],$A67)</f>
        <v/>
      </c>
      <c r="GX67" s="62">
        <f>IF($B67=$B66,$GX66,0)+$GW67</f>
        <v/>
      </c>
      <c r="GY67" s="62">
        <f>$GY66+$GW67</f>
        <v/>
      </c>
      <c r="GZ67" s="62">
        <f>SUMIFS(tblSafety[Toolbox_Talks],tblSafety[Date],$A67)</f>
        <v/>
      </c>
      <c r="HA67" s="62">
        <f>IF($B67=$B66,$HA66,0)+$GZ67</f>
        <v/>
      </c>
      <c r="HB67" s="62">
        <f>$HB66+$GZ67</f>
        <v/>
      </c>
      <c r="HC67" s="62">
        <f>SUMIFS(tblSafety[Inspections],tblSafety[Date],$A67)</f>
        <v/>
      </c>
      <c r="HD67" s="62">
        <f>IF($B67=$B66,$HD66,0)+$HC67</f>
        <v/>
      </c>
      <c r="HE67" s="62">
        <f>$HE66+$HC67</f>
        <v/>
      </c>
      <c r="HF67" s="56">
        <f>IFERROR((SUMIFS(tblSafety[Recordables],tblSafety[Date],"&gt;="&amp;EDATE($E67,-12),tblSafety[Date],"&lt;="&amp;$A67)+SUMIFS(tblSafetyHistory[Recordables],tblSafetyHistory[Month],"&gt;="&amp;EDATE($E67,-12),tblSafetyHistory[Month],"&lt;"&amp;cfg_YearStart))/(SUMIFS(tblSafety[Hours_Total],tblSafety[Date],"&gt;="&amp;EDATE($E67,-12),tblSafety[Date],"&lt;="&amp;$A67)+SUMIFS(tblSafetyHistory[Hours_Total],tblSafetyHistory[Month],"&gt;="&amp;EDATE($E67,-12),tblSafetyHistory[Month],"&lt;"&amp;cfg_YearStart))*1000000,"")</f>
        <v/>
      </c>
      <c r="HG67" s="56">
        <f>IFERROR((SUMIFS(tblSafety[LTI],tblSafety[Date],"&gt;="&amp;EDATE($E67,-12),tblSafety[Date],"&lt;="&amp;$A67)+SUMIFS(tblSafetyHistory[LTI],tblSafetyHistory[Month],"&gt;="&amp;EDATE($E67,-12),tblSafetyHistory[Month],"&lt;"&amp;cfg_YearStart))/(SUMIFS(tblSafety[Hours_Total],tblSafety[Date],"&gt;="&amp;EDATE($E67,-12),tblSafety[Date],"&lt;="&amp;$A67)+SUMIFS(tblSafetyHistory[Hours_Total],tblSafetyHistory[Month],"&gt;="&amp;EDATE($E67,-12),tblSafetyHistory[Month],"&lt;"&amp;cfg_YearStart))*1000000,"")</f>
        <v/>
      </c>
      <c r="HH67" s="62">
        <f>IF(MAX(N(cfg_PriorLTIDate),_xlfn.MAXIFS(tblSafety[Date],tblSafety[LTI],"&gt;0",tblSafety[Date],"&lt;="&amp;$A67))=0,"",$A67-MAX(N(cfg_PriorLTIDate),_xlfn.MAXIFS(tblSafety[Date],tblSafety[LTI],"&gt;0",tblSafety[Date],"&lt;="&amp;$A67)))</f>
        <v/>
      </c>
      <c r="HI67" s="55">
        <f>SUMIFS(tblBudget[Ore_Mined_t],tblBudget[Month],$E67)</f>
        <v/>
      </c>
      <c r="HJ67" s="55">
        <f>$HI67*$C67/$D67</f>
        <v/>
      </c>
      <c r="HK67" s="55">
        <f>SUMIFS(tblBudget[Ore_Mined_t],tblBudget[Month],"&lt;"&amp;$E67)+$HJ67</f>
        <v/>
      </c>
      <c r="HL67" s="55">
        <f>SUMIFS(tblBudget[Ore_oz],tblBudget[Month],$E67)</f>
        <v/>
      </c>
      <c r="HM67" s="55">
        <f>$HL67*$C67/$D67</f>
        <v/>
      </c>
      <c r="HN67" s="55">
        <f>SUMIFS(tblBudget[Ore_oz],tblBudget[Month],"&lt;"&amp;$E67)+$HM67</f>
        <v/>
      </c>
      <c r="HO67" s="56">
        <f>IFERROR(IF(($HI67)&gt;0,($HL67*cfg_TroyOz)/($HI67),""),"")</f>
        <v/>
      </c>
      <c r="HP67" s="56">
        <f>IFERROR(IF(($HJ67)&gt;0,($HM67*cfg_TroyOz)/($HJ67),""),"")</f>
        <v/>
      </c>
      <c r="HQ67" s="56">
        <f>IFERROR(IF(($HK67)&gt;0,($HN67*cfg_TroyOz)/($HK67),""),"")</f>
        <v/>
      </c>
      <c r="HR67" s="55">
        <f>SUMIFS(tblBudget[Waste_t],tblBudget[Month],$E67)</f>
        <v/>
      </c>
      <c r="HS67" s="55">
        <f>$HR67*$C67/$D67</f>
        <v/>
      </c>
      <c r="HT67" s="55">
        <f>SUMIFS(tblBudget[Waste_t],tblBudget[Month],"&lt;"&amp;$E67)+$HS67</f>
        <v/>
      </c>
      <c r="HU67" s="55">
        <f>SUMIFS(tblBudget[TMM_t],tblBudget[Month],$E67)</f>
        <v/>
      </c>
      <c r="HV67" s="55">
        <f>$HU67*$C67/$D67</f>
        <v/>
      </c>
      <c r="HW67" s="55">
        <f>SUMIFS(tblBudget[TMM_t],tblBudget[Month],"&lt;"&amp;$E67)+$HV67</f>
        <v/>
      </c>
      <c r="HX67" s="56">
        <f>IFERROR(IF(($HI67)&gt;0,($HR67)/($HI67),""),"")</f>
        <v/>
      </c>
      <c r="HY67" s="56">
        <f>IFERROR(IF(($HJ67)&gt;0,($HS67)/($HJ67),""),"")</f>
        <v/>
      </c>
      <c r="HZ67" s="56">
        <f>IFERROR(IF(($HK67)&gt;0,($HT67)/($HK67),""),"")</f>
        <v/>
      </c>
      <c r="IA67" s="55">
        <f>SUMIFS(tblBudget[Drill_m],tblBudget[Month],$E67)</f>
        <v/>
      </c>
      <c r="IB67" s="55">
        <f>$IA67*$C67/$D67</f>
        <v/>
      </c>
      <c r="IC67" s="55">
        <f>SUMIFS(tblBudget[Drill_m],tblBudget[Month],"&lt;"&amp;$E67)+$IB67</f>
        <v/>
      </c>
      <c r="ID67" s="55">
        <f>SUMIFS(tblBudget[Diesel_L],tblBudget[Month],$E67)</f>
        <v/>
      </c>
      <c r="IE67" s="55">
        <f>$ID67*$C67/$D67</f>
        <v/>
      </c>
      <c r="IF67" s="55">
        <f>SUMIFS(tblBudget[Diesel_L],tblBudget[Month],"&lt;"&amp;$E67)+$IE67</f>
        <v/>
      </c>
      <c r="IG67" s="55">
        <f>SUMIFS(tblBudget[Milled_t],tblBudget[Month],$E67)</f>
        <v/>
      </c>
      <c r="IH67" s="55">
        <f>$IG67*$C67/$D67</f>
        <v/>
      </c>
      <c r="II67" s="55">
        <f>SUMIFS(tblBudget[Milled_t],tblBudget[Month],"&lt;"&amp;$E67)+$IH67</f>
        <v/>
      </c>
      <c r="IJ67" s="55">
        <f>SUMIFS(tblBudget[Feed_oz],tblBudget[Month],$E67)</f>
        <v/>
      </c>
      <c r="IK67" s="55">
        <f>$IJ67*$C67/$D67</f>
        <v/>
      </c>
      <c r="IL67" s="55">
        <f>SUMIFS(tblBudget[Feed_oz],tblBudget[Month],"&lt;"&amp;$E67)+$IK67</f>
        <v/>
      </c>
      <c r="IM67" s="55">
        <f>SUMIFS(tblBudget[Recovered_oz],tblBudget[Month],$E67)</f>
        <v/>
      </c>
      <c r="IN67" s="55">
        <f>$IM67*$C67/$D67</f>
        <v/>
      </c>
      <c r="IO67" s="55">
        <f>SUMIFS(tblBudget[Recovered_oz],tblBudget[Month],"&lt;"&amp;$E67)+$IN67</f>
        <v/>
      </c>
      <c r="IP67" s="56">
        <f>IFERROR(IF(($IG67)&gt;0,($IJ67*cfg_TroyOz)/($IG67),""),"")</f>
        <v/>
      </c>
      <c r="IQ67" s="56">
        <f>IFERROR(IF(($IH67)&gt;0,($IK67*cfg_TroyOz)/($IH67),""),"")</f>
        <v/>
      </c>
      <c r="IR67" s="56">
        <f>IFERROR(IF(($II67)&gt;0,($IL67*cfg_TroyOz)/($II67),""),"")</f>
        <v/>
      </c>
      <c r="IS67" s="67">
        <f>IFERROR(IF(($IJ67)&gt;0,($IM67)/($IJ67),""),"")</f>
        <v/>
      </c>
      <c r="IT67" s="67">
        <f>IFERROR(IF(($IK67)&gt;0,($IN67)/($IK67),""),"")</f>
        <v/>
      </c>
      <c r="IU67" s="67">
        <f>IFERROR(IF(($IL67)&gt;0,($IO67)/($IL67),""),"")</f>
        <v/>
      </c>
      <c r="IV67" s="55">
        <f>SUMIFS(tblBudget[Gold_Poured_oz],tblBudget[Month],$E67)</f>
        <v/>
      </c>
      <c r="IW67" s="55">
        <f>$IV67*$C67/$D67</f>
        <v/>
      </c>
      <c r="IX67" s="55">
        <f>SUMIFS(tblBudget[Gold_Poured_oz],tblBudget[Month],"&lt;"&amp;$E67)+$IW67</f>
        <v/>
      </c>
      <c r="IY67" s="57">
        <f>SUMIFS(tblBudget[Hours_Worked],tblBudget[Month],$E67)</f>
        <v/>
      </c>
      <c r="IZ67" s="57">
        <f>$IY67*$C67/$D67</f>
        <v/>
      </c>
      <c r="JA67" s="57">
        <f>SUMIFS(tblBudget[Hours_Worked],tblBudget[Month],"&lt;"&amp;$E67)+$IZ67</f>
        <v/>
      </c>
    </row>
    <row r="68">
      <c r="A68" s="54" t="n">
        <v>46089</v>
      </c>
      <c r="B68">
        <f>MONTH($A68)</f>
        <v/>
      </c>
      <c r="C68">
        <f>DAY($A68)</f>
        <v/>
      </c>
      <c r="D68">
        <f>DAY(EOMONTH($A68,0))</f>
        <v/>
      </c>
      <c r="E68" s="54">
        <f>DATE(YEAR($A68),MONTH($A68),1)</f>
        <v/>
      </c>
      <c r="F68" s="55">
        <f>SUMIFS(tblMovement[Tonnes_t],tblMovement[Date],$A68,tblMovement[Is_Ore],1,tblMovement[Source_Type],"Pit")</f>
        <v/>
      </c>
      <c r="G68" s="55">
        <f>IF($B68=$B67,$G67,0)+$F68</f>
        <v/>
      </c>
      <c r="H68" s="55">
        <f>$H67+$F68</f>
        <v/>
      </c>
      <c r="I68" s="55">
        <f>SUMIFS(tblMovement[Ore_oz],tblMovement[Date],$A68,tblMovement[Source_Type],"Pit")</f>
        <v/>
      </c>
      <c r="J68" s="55">
        <f>IF($B68=$B67,$J67,0)+$I68</f>
        <v/>
      </c>
      <c r="K68" s="55">
        <f>$K67+$I68</f>
        <v/>
      </c>
      <c r="L68" s="56">
        <f>IFERROR(IF(($F68)&gt;0,($I68*cfg_TroyOz)/($F68),""),"")</f>
        <v/>
      </c>
      <c r="M68" s="56">
        <f>IFERROR(IF(($G68)&gt;0,($J68*cfg_TroyOz)/($G68),""),"")</f>
        <v/>
      </c>
      <c r="N68" s="56">
        <f>IFERROR(IF(($H68)&gt;0,($K68*cfg_TroyOz)/($H68),""),"")</f>
        <v/>
      </c>
      <c r="O68" s="55">
        <f>SUMIFS(tblMovement[Tonnes_t],tblMovement[Date],$A68,tblMovement[Is_Ore],0,tblMovement[Source_Type],"Pit")</f>
        <v/>
      </c>
      <c r="P68" s="55">
        <f>IF($B68=$B67,$P67,0)+$O68</f>
        <v/>
      </c>
      <c r="Q68" s="55">
        <f>$Q67+$O68</f>
        <v/>
      </c>
      <c r="R68" s="55">
        <f>$F68+$O68</f>
        <v/>
      </c>
      <c r="S68" s="55">
        <f>IF($B68=$B67,$S67,0)+$R68</f>
        <v/>
      </c>
      <c r="T68" s="55">
        <f>$T67+$R68</f>
        <v/>
      </c>
      <c r="U68" s="56">
        <f>IFERROR(IF(($F68)&gt;0,($O68)/($F68),""),"")</f>
        <v/>
      </c>
      <c r="V68" s="56">
        <f>IFERROR(IF(($G68)&gt;0,($P68)/($G68),""),"")</f>
        <v/>
      </c>
      <c r="W68" s="56">
        <f>IFERROR(IF(($H68)&gt;0,($Q68)/($H68),""),"")</f>
        <v/>
      </c>
      <c r="X68" s="55">
        <f>SUMIFS(tblMovement[Tonnes_t],tblMovement[Date],$A68,tblMovement[Source_Type],"Stockpile")</f>
        <v/>
      </c>
      <c r="Y68" s="55">
        <f>IF($B68=$B67,$Y67,0)+$X68</f>
        <v/>
      </c>
      <c r="Z68" s="55">
        <f>$Z67+$X68</f>
        <v/>
      </c>
      <c r="AA68" s="55">
        <f>SUMIFS(tblMiningDaily[Drill_m],tblMiningDaily[Date],$A68)</f>
        <v/>
      </c>
      <c r="AB68" s="55">
        <f>IF($B68=$B67,$AB67,0)+$AA68</f>
        <v/>
      </c>
      <c r="AC68" s="55">
        <f>$AC67+$AA68</f>
        <v/>
      </c>
      <c r="AD68" s="55">
        <f>SUMIFS(tblMiningDaily[Blast_t],tblMiningDaily[Date],$A68)</f>
        <v/>
      </c>
      <c r="AE68" s="55">
        <f>IF($B68=$B67,$AE67,0)+$AD68</f>
        <v/>
      </c>
      <c r="AF68" s="55">
        <f>$AF67+$AD68</f>
        <v/>
      </c>
      <c r="AG68" s="55">
        <f>SUMIFS(tblMiningDaily[Explosives_kg],tblMiningDaily[Date],$A68)</f>
        <v/>
      </c>
      <c r="AH68" s="55">
        <f>IF($B68=$B67,$AH67,0)+$AG68</f>
        <v/>
      </c>
      <c r="AI68" s="55">
        <f>$AI67+$AG68</f>
        <v/>
      </c>
      <c r="AJ68" s="56">
        <f>IFERROR(IF(($AD68)&gt;0,($AG68)/($AD68),""),"")</f>
        <v/>
      </c>
      <c r="AK68" s="56">
        <f>IFERROR(IF(($AE68)&gt;0,($AH68)/($AE68),""),"")</f>
        <v/>
      </c>
      <c r="AL68" s="56">
        <f>IFERROR(IF(($AF68)&gt;0,($AI68)/($AF68),""),"")</f>
        <v/>
      </c>
      <c r="AM68" s="55">
        <f>SUMIFS(tblMiningDaily[Diesel_L],tblMiningDaily[Date],$A68)</f>
        <v/>
      </c>
      <c r="AN68" s="55">
        <f>IF($B68=$B67,$AN67,0)+$AM68</f>
        <v/>
      </c>
      <c r="AO68" s="55">
        <f>$AO67+$AM68</f>
        <v/>
      </c>
      <c r="AP68" s="55">
        <f>SUMIFS(tblMiningDaily[Dewatering_m3],tblMiningDaily[Date],$A68)</f>
        <v/>
      </c>
      <c r="AQ68" s="55">
        <f>IF($B68=$B67,$AQ67,0)+$AP68</f>
        <v/>
      </c>
      <c r="AR68" s="55">
        <f>$AR67+$AP68</f>
        <v/>
      </c>
      <c r="AS68" s="57">
        <f>SUMIFS(tblFleet[Calendar_h],tblFleet[Date],$A68,tblFleet[Equipment_Class],"Excavator")</f>
        <v/>
      </c>
      <c r="AT68" s="57">
        <f>IF($B68=$B67,$AT67,0)+$AS68</f>
        <v/>
      </c>
      <c r="AU68" s="57">
        <f>$AU67+$AS68</f>
        <v/>
      </c>
      <c r="AV68" s="57">
        <f>SUMIFS(tblFleet[Available_h],tblFleet[Date],$A68,tblFleet[Equipment_Class],"Excavator")</f>
        <v/>
      </c>
      <c r="AW68" s="57">
        <f>IF($B68=$B67,$AW67,0)+$AV68</f>
        <v/>
      </c>
      <c r="AX68" s="57">
        <f>$AX67+$AV68</f>
        <v/>
      </c>
      <c r="AY68" s="57">
        <f>SUMIFS(tblFleet[Operating_h],tblFleet[Date],$A68,tblFleet[Equipment_Class],"Excavator")</f>
        <v/>
      </c>
      <c r="AZ68" s="57">
        <f>IF($B68=$B67,$AZ67,0)+$AY68</f>
        <v/>
      </c>
      <c r="BA68" s="57">
        <f>$BA67+$AY68</f>
        <v/>
      </c>
      <c r="BB68" s="67">
        <f>IFERROR(IF(($AS68)&gt;0,($AV68)/($AS68),""),"")</f>
        <v/>
      </c>
      <c r="BC68" s="67">
        <f>IFERROR(IF(($AT68)&gt;0,($AW68)/($AT68),""),"")</f>
        <v/>
      </c>
      <c r="BD68" s="67">
        <f>IFERROR(IF(($AU68)&gt;0,($AX68)/($AU68),""),"")</f>
        <v/>
      </c>
      <c r="BE68" s="67">
        <f>IFERROR(IF(($AV68)&gt;0,($AY68)/($AV68),""),"")</f>
        <v/>
      </c>
      <c r="BF68" s="67">
        <f>IFERROR(IF(($AW68)&gt;0,($AZ68)/($AW68),""),"")</f>
        <v/>
      </c>
      <c r="BG68" s="67">
        <f>IFERROR(IF(($AX68)&gt;0,($BA68)/($AX68),""),"")</f>
        <v/>
      </c>
      <c r="BH68" s="57">
        <f>SUMIFS(tblFleet[Calendar_h],tblFleet[Date],$A68,tblFleet[Equipment_Class],"Haul Truck")</f>
        <v/>
      </c>
      <c r="BI68" s="57">
        <f>IF($B68=$B67,$BI67,0)+$BH68</f>
        <v/>
      </c>
      <c r="BJ68" s="57">
        <f>$BJ67+$BH68</f>
        <v/>
      </c>
      <c r="BK68" s="57">
        <f>SUMIFS(tblFleet[Available_h],tblFleet[Date],$A68,tblFleet[Equipment_Class],"Haul Truck")</f>
        <v/>
      </c>
      <c r="BL68" s="57">
        <f>IF($B68=$B67,$BL67,0)+$BK68</f>
        <v/>
      </c>
      <c r="BM68" s="57">
        <f>$BM67+$BK68</f>
        <v/>
      </c>
      <c r="BN68" s="57">
        <f>SUMIFS(tblFleet[Operating_h],tblFleet[Date],$A68,tblFleet[Equipment_Class],"Haul Truck")</f>
        <v/>
      </c>
      <c r="BO68" s="57">
        <f>IF($B68=$B67,$BO67,0)+$BN68</f>
        <v/>
      </c>
      <c r="BP68" s="57">
        <f>$BP67+$BN68</f>
        <v/>
      </c>
      <c r="BQ68" s="67">
        <f>IFERROR(IF(($BH68)&gt;0,($BK68)/($BH68),""),"")</f>
        <v/>
      </c>
      <c r="BR68" s="67">
        <f>IFERROR(IF(($BI68)&gt;0,($BL68)/($BI68),""),"")</f>
        <v/>
      </c>
      <c r="BS68" s="67">
        <f>IFERROR(IF(($BJ68)&gt;0,($BM68)/($BJ68),""),"")</f>
        <v/>
      </c>
      <c r="BT68" s="67">
        <f>IFERROR(IF(($BK68)&gt;0,($BN68)/($BK68),""),"")</f>
        <v/>
      </c>
      <c r="BU68" s="67">
        <f>IFERROR(IF(($BL68)&gt;0,($BO68)/($BL68),""),"")</f>
        <v/>
      </c>
      <c r="BV68" s="67">
        <f>IFERROR(IF(($BM68)&gt;0,($BP68)/($BM68),""),"")</f>
        <v/>
      </c>
      <c r="BW68" s="55">
        <f>SUMIFS(tblPlant[Crushed_t],tblPlant[Date],$A68)</f>
        <v/>
      </c>
      <c r="BX68" s="55">
        <f>IF($B68=$B67,$BX67,0)+$BW68</f>
        <v/>
      </c>
      <c r="BY68" s="55">
        <f>$BY67+$BW68</f>
        <v/>
      </c>
      <c r="BZ68" s="55">
        <f>SUMIFS(tblPlant[Milled_t],tblPlant[Date],$A68)</f>
        <v/>
      </c>
      <c r="CA68" s="55">
        <f>IF($B68=$B67,$CA67,0)+$BZ68</f>
        <v/>
      </c>
      <c r="CB68" s="55">
        <f>$CB67+$BZ68</f>
        <v/>
      </c>
      <c r="CC68" s="55">
        <f>SUMIFS(tblPlant[Feed_oz],tblPlant[Date],$A68)</f>
        <v/>
      </c>
      <c r="CD68" s="55">
        <f>IF($B68=$B67,$CD67,0)+$CC68</f>
        <v/>
      </c>
      <c r="CE68" s="55">
        <f>$CE67+$CC68</f>
        <v/>
      </c>
      <c r="CF68" s="55">
        <f>SUMIFS(tblPlant[Tails_oz],tblPlant[Date],$A68)</f>
        <v/>
      </c>
      <c r="CG68" s="55">
        <f>IF($B68=$B67,$CG67,0)+$CF68</f>
        <v/>
      </c>
      <c r="CH68" s="55">
        <f>$CH67+$CF68</f>
        <v/>
      </c>
      <c r="CI68" s="55">
        <f>SUMIFS(tblPlant[Recovered_oz],tblPlant[Date],$A68)</f>
        <v/>
      </c>
      <c r="CJ68" s="55">
        <f>IF($B68=$B67,$CJ67,0)+$CI68</f>
        <v/>
      </c>
      <c r="CK68" s="55">
        <f>$CK67+$CI68</f>
        <v/>
      </c>
      <c r="CL68" s="56">
        <f>IFERROR(IF(($BZ68)&gt;0,($CC68*cfg_TroyOz)/($BZ68),""),"")</f>
        <v/>
      </c>
      <c r="CM68" s="56">
        <f>IFERROR(IF(($CA68)&gt;0,($CD68*cfg_TroyOz)/($CA68),""),"")</f>
        <v/>
      </c>
      <c r="CN68" s="56">
        <f>IFERROR(IF(($CB68)&gt;0,($CE68*cfg_TroyOz)/($CB68),""),"")</f>
        <v/>
      </c>
      <c r="CO68" s="56">
        <f>IFERROR(IF(($BZ68)&gt;0,($CF68*cfg_TroyOz)/($BZ68),""),"")</f>
        <v/>
      </c>
      <c r="CP68" s="56">
        <f>IFERROR(IF(($CA68)&gt;0,($CG68*cfg_TroyOz)/($CA68),""),"")</f>
        <v/>
      </c>
      <c r="CQ68" s="56">
        <f>IFERROR(IF(($CB68)&gt;0,($CH68*cfg_TroyOz)/($CB68),""),"")</f>
        <v/>
      </c>
      <c r="CR68" s="67">
        <f>IFERROR(IF(($CC68)&gt;0,($CI68)/($CC68),""),"")</f>
        <v/>
      </c>
      <c r="CS68" s="67">
        <f>IFERROR(IF(($CD68)&gt;0,($CJ68)/($CD68),""),"")</f>
        <v/>
      </c>
      <c r="CT68" s="67">
        <f>IFERROR(IF(($CE68)&gt;0,($CK68)/($CE68),""),"")</f>
        <v/>
      </c>
      <c r="CU68" s="55">
        <f>SUMIFS(tblPlant[Gravity_Gold_oz],tblPlant[Date],$A68)</f>
        <v/>
      </c>
      <c r="CV68" s="55">
        <f>IF($B68=$B67,$CV67,0)+$CU68</f>
        <v/>
      </c>
      <c r="CW68" s="55">
        <f>$CW67+$CU68</f>
        <v/>
      </c>
      <c r="CX68" s="55">
        <f>SUMIFS(tblPlant[Gold_Poured_oz],tblPlant[Date],$A68)</f>
        <v/>
      </c>
      <c r="CY68" s="55">
        <f>IF($B68=$B67,$CY67,0)+$CX68</f>
        <v/>
      </c>
      <c r="CZ68" s="55">
        <f>$CZ67+$CX68</f>
        <v/>
      </c>
      <c r="DA68" s="57">
        <f>SUMIFS(tblPlant[Mill_Run_h],tblPlant[Date],$A68)</f>
        <v/>
      </c>
      <c r="DB68" s="57">
        <f>IF($B68=$B67,$DB67,0)+$DA68</f>
        <v/>
      </c>
      <c r="DC68" s="57">
        <f>$DC67+$DA68</f>
        <v/>
      </c>
      <c r="DD68" s="57">
        <f>SUMIFS(tblPlant[Mill_Planned_Maint_h],tblPlant[Date],$A68)</f>
        <v/>
      </c>
      <c r="DE68" s="57">
        <f>IF($B68=$B67,$DE67,0)+$DD68</f>
        <v/>
      </c>
      <c r="DF68" s="57">
        <f>$DF67+$DD68</f>
        <v/>
      </c>
      <c r="DG68" s="57">
        <f>SUMIFS(tblPlant[Mill_Unplanned_Down_h],tblPlant[Date],$A68)</f>
        <v/>
      </c>
      <c r="DH68" s="57">
        <f>IF($B68=$B67,$DH67,0)+$DG68</f>
        <v/>
      </c>
      <c r="DI68" s="57">
        <f>$DI67+$DG68</f>
        <v/>
      </c>
      <c r="DJ68" s="57">
        <f>COUNTIFS(tblPlant[Date],$A68,tblPlant[Mill_Run_h],"&lt;&gt;")*24</f>
        <v/>
      </c>
      <c r="DK68" s="57">
        <f>IF($B68=$B67,$DK67,0)+$DJ68</f>
        <v/>
      </c>
      <c r="DL68" s="57">
        <f>$DL67+$DJ68</f>
        <v/>
      </c>
      <c r="DM68" s="57">
        <f>SUMIFS(tblPlant[Crusher_Run_h],tblPlant[Date],$A68)</f>
        <v/>
      </c>
      <c r="DN68" s="57">
        <f>IF($B68=$B67,$DN67,0)+$DM68</f>
        <v/>
      </c>
      <c r="DO68" s="57">
        <f>$DO67+$DM68</f>
        <v/>
      </c>
      <c r="DP68" s="55">
        <f>IFERROR(IF(($DA68)&gt;0,($BZ68)/($DA68),""),"")</f>
        <v/>
      </c>
      <c r="DQ68" s="55">
        <f>IFERROR(IF(($DB68)&gt;0,($CA68)/($DB68),""),"")</f>
        <v/>
      </c>
      <c r="DR68" s="55">
        <f>IFERROR(IF(($DC68)&gt;0,($CB68)/($DC68),""),"")</f>
        <v/>
      </c>
      <c r="DS68" s="67">
        <f>IFERROR(IF(($DJ68)&gt;0,($DJ68-$DD68-$DG68)/($DJ68),""),"")</f>
        <v/>
      </c>
      <c r="DT68" s="67">
        <f>IFERROR(IF(($DK68)&gt;0,($DK68-$DE68-$DH68)/($DK68),""),"")</f>
        <v/>
      </c>
      <c r="DU68" s="67">
        <f>IFERROR(IF(($DL68)&gt;0,($DL68-$DF68-$DI68)/($DL68),""),"")</f>
        <v/>
      </c>
      <c r="DV68" s="67">
        <f>IFERROR(IF(($DJ68-$DD68-$DG68)&gt;0,($DA68)/($DJ68-$DD68-$DG68),""),"")</f>
        <v/>
      </c>
      <c r="DW68" s="67">
        <f>IFERROR(IF(($DK68-$DE68-$DH68)&gt;0,($DB68)/($DK68-$DE68-$DH68),""),"")</f>
        <v/>
      </c>
      <c r="DX68" s="67">
        <f>IFERROR(IF(($DL68-$DF68-$DI68)&gt;0,($DC68)/($DL68-$DF68-$DI68),""),"")</f>
        <v/>
      </c>
      <c r="DY68" s="55">
        <f>SUMIFS(tblPlant[Cyanide_kg],tblPlant[Date],$A68)</f>
        <v/>
      </c>
      <c r="DZ68" s="55">
        <f>IF($B68=$B67,$DZ67,0)+$DY68</f>
        <v/>
      </c>
      <c r="EA68" s="55">
        <f>$EA67+$DY68</f>
        <v/>
      </c>
      <c r="EB68" s="55">
        <f>SUMIFS(tblPlant[Lime_kg],tblPlant[Date],$A68)</f>
        <v/>
      </c>
      <c r="EC68" s="55">
        <f>IF($B68=$B67,$EC67,0)+$EB68</f>
        <v/>
      </c>
      <c r="ED68" s="55">
        <f>$ED67+$EB68</f>
        <v/>
      </c>
      <c r="EE68" s="55">
        <f>SUMIFS(tblPlant[Grinding_Media_kg],tblPlant[Date],$A68)</f>
        <v/>
      </c>
      <c r="EF68" s="55">
        <f>IF($B68=$B67,$EF67,0)+$EE68</f>
        <v/>
      </c>
      <c r="EG68" s="55">
        <f>$EG67+$EE68</f>
        <v/>
      </c>
      <c r="EH68" s="55">
        <f>SUMIFS(tblPlant[Power_kWh],tblPlant[Date],$A68)</f>
        <v/>
      </c>
      <c r="EI68" s="55">
        <f>IF($B68=$B67,$EI67,0)+$EH68</f>
        <v/>
      </c>
      <c r="EJ68" s="55">
        <f>$EJ67+$EH68</f>
        <v/>
      </c>
      <c r="EK68" s="55">
        <f>SUMIFS(tblPlant[Raw_Water_m3],tblPlant[Date],$A68)</f>
        <v/>
      </c>
      <c r="EL68" s="55">
        <f>IF($B68=$B67,$EL67,0)+$EK68</f>
        <v/>
      </c>
      <c r="EM68" s="55">
        <f>$EM67+$EK68</f>
        <v/>
      </c>
      <c r="EN68" s="56">
        <f>IFERROR(IF(($BZ68)&gt;0,($DY68)/($BZ68),""),"")</f>
        <v/>
      </c>
      <c r="EO68" s="56">
        <f>IFERROR(IF(($CA68)&gt;0,($DZ68)/($CA68),""),"")</f>
        <v/>
      </c>
      <c r="EP68" s="56">
        <f>IFERROR(IF(($CB68)&gt;0,($EA68)/($CB68),""),"")</f>
        <v/>
      </c>
      <c r="EQ68" s="56">
        <f>IFERROR(IF(($BZ68)&gt;0,($EB68)/($BZ68),""),"")</f>
        <v/>
      </c>
      <c r="ER68" s="56">
        <f>IFERROR(IF(($CA68)&gt;0,($EC68)/($CA68),""),"")</f>
        <v/>
      </c>
      <c r="ES68" s="56">
        <f>IFERROR(IF(($CB68)&gt;0,($ED68)/($CB68),""),"")</f>
        <v/>
      </c>
      <c r="ET68" s="56">
        <f>IFERROR(IF(($BZ68)&gt;0,($EE68)/($BZ68),""),"")</f>
        <v/>
      </c>
      <c r="EU68" s="56">
        <f>IFERROR(IF(($CA68)&gt;0,($EF68)/($CA68),""),"")</f>
        <v/>
      </c>
      <c r="EV68" s="56">
        <f>IFERROR(IF(($CB68)&gt;0,($EG68)/($CB68),""),"")</f>
        <v/>
      </c>
      <c r="EW68" s="76">
        <f>IFERROR(IF(($BZ68)&gt;0,($EH68)/($BZ68),""),"")</f>
        <v/>
      </c>
      <c r="EX68" s="76">
        <f>IFERROR(IF(($CA68)&gt;0,($EI68)/($CA68),""),"")</f>
        <v/>
      </c>
      <c r="EY68" s="76">
        <f>IFERROR(IF(($CB68)&gt;0,($EJ68)/($CB68),""),"")</f>
        <v/>
      </c>
      <c r="EZ68" s="56">
        <f>IFERROR(IF(($BZ68)&gt;0,($EK68)/($BZ68),""),"")</f>
        <v/>
      </c>
      <c r="FA68" s="56">
        <f>IFERROR(IF(($CA68)&gt;0,($EL68)/($CA68),""),"")</f>
        <v/>
      </c>
      <c r="FB68" s="56">
        <f>IFERROR(IF(($CB68)&gt;0,($EM68)/($CB68),""),"")</f>
        <v/>
      </c>
      <c r="FC68" s="55">
        <f>IF(SUMIFS(tblPlant[GIC_oz],tblPlant[Date],$A68)&gt;0,SUMIFS(tblPlant[GIC_oz],tblPlant[Date],$A68),"")</f>
        <v/>
      </c>
      <c r="FD68" s="55">
        <f>SUMIFS(tblGold[Gold_oz],tblGold[Date],$A68,tblGold[Type],"Shipment")</f>
        <v/>
      </c>
      <c r="FE68" s="55">
        <f>IF($B68=$B67,$FE67,0)+$FD68</f>
        <v/>
      </c>
      <c r="FF68" s="55">
        <f>$FF67+$FD68</f>
        <v/>
      </c>
      <c r="FG68" s="55">
        <f>SUMIFS(tblGold[Gold_oz],tblGold[Date],$A68,tblGold[Type],"Sale")</f>
        <v/>
      </c>
      <c r="FH68" s="55">
        <f>IF($B68=$B67,$FH67,0)+$FG68</f>
        <v/>
      </c>
      <c r="FI68" s="55">
        <f>$FI67+$FG68</f>
        <v/>
      </c>
      <c r="FJ68" s="55">
        <f>SUMIFS(tblGold[Dore_kg],tblGold[Date],$A68,tblGold[Type],"Shipment")</f>
        <v/>
      </c>
      <c r="FK68" s="55">
        <f>IF($B68=$B67,$FK67,0)+$FJ68</f>
        <v/>
      </c>
      <c r="FL68" s="55">
        <f>$FL67+$FJ68</f>
        <v/>
      </c>
      <c r="FM68" s="57">
        <f>SUMIFS(tblSafety[Hours_Total],tblSafety[Date],$A68)</f>
        <v/>
      </c>
      <c r="FN68" s="57">
        <f>IF($B68=$B67,$FN67,0)+$FM68</f>
        <v/>
      </c>
      <c r="FO68" s="57">
        <f>$FO67+$FM68</f>
        <v/>
      </c>
      <c r="FP68" s="62">
        <f>SUMIFS(tblSafety[Fatality],tblSafety[Date],$A68)</f>
        <v/>
      </c>
      <c r="FQ68" s="62">
        <f>IF($B68=$B67,$FQ67,0)+$FP68</f>
        <v/>
      </c>
      <c r="FR68" s="62">
        <f>$FR67+$FP68</f>
        <v/>
      </c>
      <c r="FS68" s="62">
        <f>SUMIFS(tblSafety[LTI],tblSafety[Date],$A68)</f>
        <v/>
      </c>
      <c r="FT68" s="62">
        <f>IF($B68=$B67,$FT67,0)+$FS68</f>
        <v/>
      </c>
      <c r="FU68" s="62">
        <f>$FU67+$FS68</f>
        <v/>
      </c>
      <c r="FV68" s="62">
        <f>SUMIFS(tblSafety[RWI],tblSafety[Date],$A68)</f>
        <v/>
      </c>
      <c r="FW68" s="62">
        <f>IF($B68=$B67,$FW67,0)+$FV68</f>
        <v/>
      </c>
      <c r="FX68" s="62">
        <f>$FX67+$FV68</f>
        <v/>
      </c>
      <c r="FY68" s="62">
        <f>SUMIFS(tblSafety[MTI],tblSafety[Date],$A68)</f>
        <v/>
      </c>
      <c r="FZ68" s="62">
        <f>IF($B68=$B67,$FZ67,0)+$FY68</f>
        <v/>
      </c>
      <c r="GA68" s="62">
        <f>$GA67+$FY68</f>
        <v/>
      </c>
      <c r="GB68" s="62">
        <f>SUMIFS(tblSafety[FAI],tblSafety[Date],$A68)</f>
        <v/>
      </c>
      <c r="GC68" s="62">
        <f>IF($B68=$B67,$GC67,0)+$GB68</f>
        <v/>
      </c>
      <c r="GD68" s="62">
        <f>$GD67+$GB68</f>
        <v/>
      </c>
      <c r="GE68" s="62">
        <f>SUMIFS(tblSafety[Recordables],tblSafety[Date],$A68)</f>
        <v/>
      </c>
      <c r="GF68" s="62">
        <f>IF($B68=$B67,$GF67,0)+$GE68</f>
        <v/>
      </c>
      <c r="GG68" s="62">
        <f>$GG67+$GE68</f>
        <v/>
      </c>
      <c r="GH68" s="62">
        <f>SUMIFS(tblSafety[Near_Miss],tblSafety[Date],$A68)</f>
        <v/>
      </c>
      <c r="GI68" s="62">
        <f>IF($B68=$B67,$GI67,0)+$GH68</f>
        <v/>
      </c>
      <c r="GJ68" s="62">
        <f>$GJ67+$GH68</f>
        <v/>
      </c>
      <c r="GK68" s="62">
        <f>SUMIFS(tblSafety[Hazard_Reports],tblSafety[Date],$A68)</f>
        <v/>
      </c>
      <c r="GL68" s="62">
        <f>IF($B68=$B67,$GL67,0)+$GK68</f>
        <v/>
      </c>
      <c r="GM68" s="62">
        <f>$GM67+$GK68</f>
        <v/>
      </c>
      <c r="GN68" s="62">
        <f>SUMIFS(tblSafety[HPI],tblSafety[Date],$A68)</f>
        <v/>
      </c>
      <c r="GO68" s="62">
        <f>IF($B68=$B67,$GO67,0)+$GN68</f>
        <v/>
      </c>
      <c r="GP68" s="62">
        <f>$GP67+$GN68</f>
        <v/>
      </c>
      <c r="GQ68" s="62">
        <f>SUMIFS(tblSafety[Env_Incidents],tblSafety[Date],$A68)</f>
        <v/>
      </c>
      <c r="GR68" s="62">
        <f>IF($B68=$B67,$GR67,0)+$GQ68</f>
        <v/>
      </c>
      <c r="GS68" s="62">
        <f>$GS67+$GQ68</f>
        <v/>
      </c>
      <c r="GT68" s="62">
        <f>SUMIFS(tblSafety[Community_Incidents],tblSafety[Date],$A68)</f>
        <v/>
      </c>
      <c r="GU68" s="62">
        <f>IF($B68=$B67,$GU67,0)+$GT68</f>
        <v/>
      </c>
      <c r="GV68" s="62">
        <f>$GV67+$GT68</f>
        <v/>
      </c>
      <c r="GW68" s="62">
        <f>SUMIFS(tblSafety[Vehicle_Incidents],tblSafety[Date],$A68)</f>
        <v/>
      </c>
      <c r="GX68" s="62">
        <f>IF($B68=$B67,$GX67,0)+$GW68</f>
        <v/>
      </c>
      <c r="GY68" s="62">
        <f>$GY67+$GW68</f>
        <v/>
      </c>
      <c r="GZ68" s="62">
        <f>SUMIFS(tblSafety[Toolbox_Talks],tblSafety[Date],$A68)</f>
        <v/>
      </c>
      <c r="HA68" s="62">
        <f>IF($B68=$B67,$HA67,0)+$GZ68</f>
        <v/>
      </c>
      <c r="HB68" s="62">
        <f>$HB67+$GZ68</f>
        <v/>
      </c>
      <c r="HC68" s="62">
        <f>SUMIFS(tblSafety[Inspections],tblSafety[Date],$A68)</f>
        <v/>
      </c>
      <c r="HD68" s="62">
        <f>IF($B68=$B67,$HD67,0)+$HC68</f>
        <v/>
      </c>
      <c r="HE68" s="62">
        <f>$HE67+$HC68</f>
        <v/>
      </c>
      <c r="HF68" s="56">
        <f>IFERROR((SUMIFS(tblSafety[Recordables],tblSafety[Date],"&gt;="&amp;EDATE($E68,-12),tblSafety[Date],"&lt;="&amp;$A68)+SUMIFS(tblSafetyHistory[Recordables],tblSafetyHistory[Month],"&gt;="&amp;EDATE($E68,-12),tblSafetyHistory[Month],"&lt;"&amp;cfg_YearStart))/(SUMIFS(tblSafety[Hours_Total],tblSafety[Date],"&gt;="&amp;EDATE($E68,-12),tblSafety[Date],"&lt;="&amp;$A68)+SUMIFS(tblSafetyHistory[Hours_Total],tblSafetyHistory[Month],"&gt;="&amp;EDATE($E68,-12),tblSafetyHistory[Month],"&lt;"&amp;cfg_YearStart))*1000000,"")</f>
        <v/>
      </c>
      <c r="HG68" s="56">
        <f>IFERROR((SUMIFS(tblSafety[LTI],tblSafety[Date],"&gt;="&amp;EDATE($E68,-12),tblSafety[Date],"&lt;="&amp;$A68)+SUMIFS(tblSafetyHistory[LTI],tblSafetyHistory[Month],"&gt;="&amp;EDATE($E68,-12),tblSafetyHistory[Month],"&lt;"&amp;cfg_YearStart))/(SUMIFS(tblSafety[Hours_Total],tblSafety[Date],"&gt;="&amp;EDATE($E68,-12),tblSafety[Date],"&lt;="&amp;$A68)+SUMIFS(tblSafetyHistory[Hours_Total],tblSafetyHistory[Month],"&gt;="&amp;EDATE($E68,-12),tblSafetyHistory[Month],"&lt;"&amp;cfg_YearStart))*1000000,"")</f>
        <v/>
      </c>
      <c r="HH68" s="62">
        <f>IF(MAX(N(cfg_PriorLTIDate),_xlfn.MAXIFS(tblSafety[Date],tblSafety[LTI],"&gt;0",tblSafety[Date],"&lt;="&amp;$A68))=0,"",$A68-MAX(N(cfg_PriorLTIDate),_xlfn.MAXIFS(tblSafety[Date],tblSafety[LTI],"&gt;0",tblSafety[Date],"&lt;="&amp;$A68)))</f>
        <v/>
      </c>
      <c r="HI68" s="55">
        <f>SUMIFS(tblBudget[Ore_Mined_t],tblBudget[Month],$E68)</f>
        <v/>
      </c>
      <c r="HJ68" s="55">
        <f>$HI68*$C68/$D68</f>
        <v/>
      </c>
      <c r="HK68" s="55">
        <f>SUMIFS(tblBudget[Ore_Mined_t],tblBudget[Month],"&lt;"&amp;$E68)+$HJ68</f>
        <v/>
      </c>
      <c r="HL68" s="55">
        <f>SUMIFS(tblBudget[Ore_oz],tblBudget[Month],$E68)</f>
        <v/>
      </c>
      <c r="HM68" s="55">
        <f>$HL68*$C68/$D68</f>
        <v/>
      </c>
      <c r="HN68" s="55">
        <f>SUMIFS(tblBudget[Ore_oz],tblBudget[Month],"&lt;"&amp;$E68)+$HM68</f>
        <v/>
      </c>
      <c r="HO68" s="56">
        <f>IFERROR(IF(($HI68)&gt;0,($HL68*cfg_TroyOz)/($HI68),""),"")</f>
        <v/>
      </c>
      <c r="HP68" s="56">
        <f>IFERROR(IF(($HJ68)&gt;0,($HM68*cfg_TroyOz)/($HJ68),""),"")</f>
        <v/>
      </c>
      <c r="HQ68" s="56">
        <f>IFERROR(IF(($HK68)&gt;0,($HN68*cfg_TroyOz)/($HK68),""),"")</f>
        <v/>
      </c>
      <c r="HR68" s="55">
        <f>SUMIFS(tblBudget[Waste_t],tblBudget[Month],$E68)</f>
        <v/>
      </c>
      <c r="HS68" s="55">
        <f>$HR68*$C68/$D68</f>
        <v/>
      </c>
      <c r="HT68" s="55">
        <f>SUMIFS(tblBudget[Waste_t],tblBudget[Month],"&lt;"&amp;$E68)+$HS68</f>
        <v/>
      </c>
      <c r="HU68" s="55">
        <f>SUMIFS(tblBudget[TMM_t],tblBudget[Month],$E68)</f>
        <v/>
      </c>
      <c r="HV68" s="55">
        <f>$HU68*$C68/$D68</f>
        <v/>
      </c>
      <c r="HW68" s="55">
        <f>SUMIFS(tblBudget[TMM_t],tblBudget[Month],"&lt;"&amp;$E68)+$HV68</f>
        <v/>
      </c>
      <c r="HX68" s="56">
        <f>IFERROR(IF(($HI68)&gt;0,($HR68)/($HI68),""),"")</f>
        <v/>
      </c>
      <c r="HY68" s="56">
        <f>IFERROR(IF(($HJ68)&gt;0,($HS68)/($HJ68),""),"")</f>
        <v/>
      </c>
      <c r="HZ68" s="56">
        <f>IFERROR(IF(($HK68)&gt;0,($HT68)/($HK68),""),"")</f>
        <v/>
      </c>
      <c r="IA68" s="55">
        <f>SUMIFS(tblBudget[Drill_m],tblBudget[Month],$E68)</f>
        <v/>
      </c>
      <c r="IB68" s="55">
        <f>$IA68*$C68/$D68</f>
        <v/>
      </c>
      <c r="IC68" s="55">
        <f>SUMIFS(tblBudget[Drill_m],tblBudget[Month],"&lt;"&amp;$E68)+$IB68</f>
        <v/>
      </c>
      <c r="ID68" s="55">
        <f>SUMIFS(tblBudget[Diesel_L],tblBudget[Month],$E68)</f>
        <v/>
      </c>
      <c r="IE68" s="55">
        <f>$ID68*$C68/$D68</f>
        <v/>
      </c>
      <c r="IF68" s="55">
        <f>SUMIFS(tblBudget[Diesel_L],tblBudget[Month],"&lt;"&amp;$E68)+$IE68</f>
        <v/>
      </c>
      <c r="IG68" s="55">
        <f>SUMIFS(tblBudget[Milled_t],tblBudget[Month],$E68)</f>
        <v/>
      </c>
      <c r="IH68" s="55">
        <f>$IG68*$C68/$D68</f>
        <v/>
      </c>
      <c r="II68" s="55">
        <f>SUMIFS(tblBudget[Milled_t],tblBudget[Month],"&lt;"&amp;$E68)+$IH68</f>
        <v/>
      </c>
      <c r="IJ68" s="55">
        <f>SUMIFS(tblBudget[Feed_oz],tblBudget[Month],$E68)</f>
        <v/>
      </c>
      <c r="IK68" s="55">
        <f>$IJ68*$C68/$D68</f>
        <v/>
      </c>
      <c r="IL68" s="55">
        <f>SUMIFS(tblBudget[Feed_oz],tblBudget[Month],"&lt;"&amp;$E68)+$IK68</f>
        <v/>
      </c>
      <c r="IM68" s="55">
        <f>SUMIFS(tblBudget[Recovered_oz],tblBudget[Month],$E68)</f>
        <v/>
      </c>
      <c r="IN68" s="55">
        <f>$IM68*$C68/$D68</f>
        <v/>
      </c>
      <c r="IO68" s="55">
        <f>SUMIFS(tblBudget[Recovered_oz],tblBudget[Month],"&lt;"&amp;$E68)+$IN68</f>
        <v/>
      </c>
      <c r="IP68" s="56">
        <f>IFERROR(IF(($IG68)&gt;0,($IJ68*cfg_TroyOz)/($IG68),""),"")</f>
        <v/>
      </c>
      <c r="IQ68" s="56">
        <f>IFERROR(IF(($IH68)&gt;0,($IK68*cfg_TroyOz)/($IH68),""),"")</f>
        <v/>
      </c>
      <c r="IR68" s="56">
        <f>IFERROR(IF(($II68)&gt;0,($IL68*cfg_TroyOz)/($II68),""),"")</f>
        <v/>
      </c>
      <c r="IS68" s="67">
        <f>IFERROR(IF(($IJ68)&gt;0,($IM68)/($IJ68),""),"")</f>
        <v/>
      </c>
      <c r="IT68" s="67">
        <f>IFERROR(IF(($IK68)&gt;0,($IN68)/($IK68),""),"")</f>
        <v/>
      </c>
      <c r="IU68" s="67">
        <f>IFERROR(IF(($IL68)&gt;0,($IO68)/($IL68),""),"")</f>
        <v/>
      </c>
      <c r="IV68" s="55">
        <f>SUMIFS(tblBudget[Gold_Poured_oz],tblBudget[Month],$E68)</f>
        <v/>
      </c>
      <c r="IW68" s="55">
        <f>$IV68*$C68/$D68</f>
        <v/>
      </c>
      <c r="IX68" s="55">
        <f>SUMIFS(tblBudget[Gold_Poured_oz],tblBudget[Month],"&lt;"&amp;$E68)+$IW68</f>
        <v/>
      </c>
      <c r="IY68" s="57">
        <f>SUMIFS(tblBudget[Hours_Worked],tblBudget[Month],$E68)</f>
        <v/>
      </c>
      <c r="IZ68" s="57">
        <f>$IY68*$C68/$D68</f>
        <v/>
      </c>
      <c r="JA68" s="57">
        <f>SUMIFS(tblBudget[Hours_Worked],tblBudget[Month],"&lt;"&amp;$E68)+$IZ68</f>
        <v/>
      </c>
    </row>
    <row r="69">
      <c r="A69" s="54" t="n">
        <v>46090</v>
      </c>
      <c r="B69">
        <f>MONTH($A69)</f>
        <v/>
      </c>
      <c r="C69">
        <f>DAY($A69)</f>
        <v/>
      </c>
      <c r="D69">
        <f>DAY(EOMONTH($A69,0))</f>
        <v/>
      </c>
      <c r="E69" s="54">
        <f>DATE(YEAR($A69),MONTH($A69),1)</f>
        <v/>
      </c>
      <c r="F69" s="55">
        <f>SUMIFS(tblMovement[Tonnes_t],tblMovement[Date],$A69,tblMovement[Is_Ore],1,tblMovement[Source_Type],"Pit")</f>
        <v/>
      </c>
      <c r="G69" s="55">
        <f>IF($B69=$B68,$G68,0)+$F69</f>
        <v/>
      </c>
      <c r="H69" s="55">
        <f>$H68+$F69</f>
        <v/>
      </c>
      <c r="I69" s="55">
        <f>SUMIFS(tblMovement[Ore_oz],tblMovement[Date],$A69,tblMovement[Source_Type],"Pit")</f>
        <v/>
      </c>
      <c r="J69" s="55">
        <f>IF($B69=$B68,$J68,0)+$I69</f>
        <v/>
      </c>
      <c r="K69" s="55">
        <f>$K68+$I69</f>
        <v/>
      </c>
      <c r="L69" s="56">
        <f>IFERROR(IF(($F69)&gt;0,($I69*cfg_TroyOz)/($F69),""),"")</f>
        <v/>
      </c>
      <c r="M69" s="56">
        <f>IFERROR(IF(($G69)&gt;0,($J69*cfg_TroyOz)/($G69),""),"")</f>
        <v/>
      </c>
      <c r="N69" s="56">
        <f>IFERROR(IF(($H69)&gt;0,($K69*cfg_TroyOz)/($H69),""),"")</f>
        <v/>
      </c>
      <c r="O69" s="55">
        <f>SUMIFS(tblMovement[Tonnes_t],tblMovement[Date],$A69,tblMovement[Is_Ore],0,tblMovement[Source_Type],"Pit")</f>
        <v/>
      </c>
      <c r="P69" s="55">
        <f>IF($B69=$B68,$P68,0)+$O69</f>
        <v/>
      </c>
      <c r="Q69" s="55">
        <f>$Q68+$O69</f>
        <v/>
      </c>
      <c r="R69" s="55">
        <f>$F69+$O69</f>
        <v/>
      </c>
      <c r="S69" s="55">
        <f>IF($B69=$B68,$S68,0)+$R69</f>
        <v/>
      </c>
      <c r="T69" s="55">
        <f>$T68+$R69</f>
        <v/>
      </c>
      <c r="U69" s="56">
        <f>IFERROR(IF(($F69)&gt;0,($O69)/($F69),""),"")</f>
        <v/>
      </c>
      <c r="V69" s="56">
        <f>IFERROR(IF(($G69)&gt;0,($P69)/($G69),""),"")</f>
        <v/>
      </c>
      <c r="W69" s="56">
        <f>IFERROR(IF(($H69)&gt;0,($Q69)/($H69),""),"")</f>
        <v/>
      </c>
      <c r="X69" s="55">
        <f>SUMIFS(tblMovement[Tonnes_t],tblMovement[Date],$A69,tblMovement[Source_Type],"Stockpile")</f>
        <v/>
      </c>
      <c r="Y69" s="55">
        <f>IF($B69=$B68,$Y68,0)+$X69</f>
        <v/>
      </c>
      <c r="Z69" s="55">
        <f>$Z68+$X69</f>
        <v/>
      </c>
      <c r="AA69" s="55">
        <f>SUMIFS(tblMiningDaily[Drill_m],tblMiningDaily[Date],$A69)</f>
        <v/>
      </c>
      <c r="AB69" s="55">
        <f>IF($B69=$B68,$AB68,0)+$AA69</f>
        <v/>
      </c>
      <c r="AC69" s="55">
        <f>$AC68+$AA69</f>
        <v/>
      </c>
      <c r="AD69" s="55">
        <f>SUMIFS(tblMiningDaily[Blast_t],tblMiningDaily[Date],$A69)</f>
        <v/>
      </c>
      <c r="AE69" s="55">
        <f>IF($B69=$B68,$AE68,0)+$AD69</f>
        <v/>
      </c>
      <c r="AF69" s="55">
        <f>$AF68+$AD69</f>
        <v/>
      </c>
      <c r="AG69" s="55">
        <f>SUMIFS(tblMiningDaily[Explosives_kg],tblMiningDaily[Date],$A69)</f>
        <v/>
      </c>
      <c r="AH69" s="55">
        <f>IF($B69=$B68,$AH68,0)+$AG69</f>
        <v/>
      </c>
      <c r="AI69" s="55">
        <f>$AI68+$AG69</f>
        <v/>
      </c>
      <c r="AJ69" s="56">
        <f>IFERROR(IF(($AD69)&gt;0,($AG69)/($AD69),""),"")</f>
        <v/>
      </c>
      <c r="AK69" s="56">
        <f>IFERROR(IF(($AE69)&gt;0,($AH69)/($AE69),""),"")</f>
        <v/>
      </c>
      <c r="AL69" s="56">
        <f>IFERROR(IF(($AF69)&gt;0,($AI69)/($AF69),""),"")</f>
        <v/>
      </c>
      <c r="AM69" s="55">
        <f>SUMIFS(tblMiningDaily[Diesel_L],tblMiningDaily[Date],$A69)</f>
        <v/>
      </c>
      <c r="AN69" s="55">
        <f>IF($B69=$B68,$AN68,0)+$AM69</f>
        <v/>
      </c>
      <c r="AO69" s="55">
        <f>$AO68+$AM69</f>
        <v/>
      </c>
      <c r="AP69" s="55">
        <f>SUMIFS(tblMiningDaily[Dewatering_m3],tblMiningDaily[Date],$A69)</f>
        <v/>
      </c>
      <c r="AQ69" s="55">
        <f>IF($B69=$B68,$AQ68,0)+$AP69</f>
        <v/>
      </c>
      <c r="AR69" s="55">
        <f>$AR68+$AP69</f>
        <v/>
      </c>
      <c r="AS69" s="57">
        <f>SUMIFS(tblFleet[Calendar_h],tblFleet[Date],$A69,tblFleet[Equipment_Class],"Excavator")</f>
        <v/>
      </c>
      <c r="AT69" s="57">
        <f>IF($B69=$B68,$AT68,0)+$AS69</f>
        <v/>
      </c>
      <c r="AU69" s="57">
        <f>$AU68+$AS69</f>
        <v/>
      </c>
      <c r="AV69" s="57">
        <f>SUMIFS(tblFleet[Available_h],tblFleet[Date],$A69,tblFleet[Equipment_Class],"Excavator")</f>
        <v/>
      </c>
      <c r="AW69" s="57">
        <f>IF($B69=$B68,$AW68,0)+$AV69</f>
        <v/>
      </c>
      <c r="AX69" s="57">
        <f>$AX68+$AV69</f>
        <v/>
      </c>
      <c r="AY69" s="57">
        <f>SUMIFS(tblFleet[Operating_h],tblFleet[Date],$A69,tblFleet[Equipment_Class],"Excavator")</f>
        <v/>
      </c>
      <c r="AZ69" s="57">
        <f>IF($B69=$B68,$AZ68,0)+$AY69</f>
        <v/>
      </c>
      <c r="BA69" s="57">
        <f>$BA68+$AY69</f>
        <v/>
      </c>
      <c r="BB69" s="67">
        <f>IFERROR(IF(($AS69)&gt;0,($AV69)/($AS69),""),"")</f>
        <v/>
      </c>
      <c r="BC69" s="67">
        <f>IFERROR(IF(($AT69)&gt;0,($AW69)/($AT69),""),"")</f>
        <v/>
      </c>
      <c r="BD69" s="67">
        <f>IFERROR(IF(($AU69)&gt;0,($AX69)/($AU69),""),"")</f>
        <v/>
      </c>
      <c r="BE69" s="67">
        <f>IFERROR(IF(($AV69)&gt;0,($AY69)/($AV69),""),"")</f>
        <v/>
      </c>
      <c r="BF69" s="67">
        <f>IFERROR(IF(($AW69)&gt;0,($AZ69)/($AW69),""),"")</f>
        <v/>
      </c>
      <c r="BG69" s="67">
        <f>IFERROR(IF(($AX69)&gt;0,($BA69)/($AX69),""),"")</f>
        <v/>
      </c>
      <c r="BH69" s="57">
        <f>SUMIFS(tblFleet[Calendar_h],tblFleet[Date],$A69,tblFleet[Equipment_Class],"Haul Truck")</f>
        <v/>
      </c>
      <c r="BI69" s="57">
        <f>IF($B69=$B68,$BI68,0)+$BH69</f>
        <v/>
      </c>
      <c r="BJ69" s="57">
        <f>$BJ68+$BH69</f>
        <v/>
      </c>
      <c r="BK69" s="57">
        <f>SUMIFS(tblFleet[Available_h],tblFleet[Date],$A69,tblFleet[Equipment_Class],"Haul Truck")</f>
        <v/>
      </c>
      <c r="BL69" s="57">
        <f>IF($B69=$B68,$BL68,0)+$BK69</f>
        <v/>
      </c>
      <c r="BM69" s="57">
        <f>$BM68+$BK69</f>
        <v/>
      </c>
      <c r="BN69" s="57">
        <f>SUMIFS(tblFleet[Operating_h],tblFleet[Date],$A69,tblFleet[Equipment_Class],"Haul Truck")</f>
        <v/>
      </c>
      <c r="BO69" s="57">
        <f>IF($B69=$B68,$BO68,0)+$BN69</f>
        <v/>
      </c>
      <c r="BP69" s="57">
        <f>$BP68+$BN69</f>
        <v/>
      </c>
      <c r="BQ69" s="67">
        <f>IFERROR(IF(($BH69)&gt;0,($BK69)/($BH69),""),"")</f>
        <v/>
      </c>
      <c r="BR69" s="67">
        <f>IFERROR(IF(($BI69)&gt;0,($BL69)/($BI69),""),"")</f>
        <v/>
      </c>
      <c r="BS69" s="67">
        <f>IFERROR(IF(($BJ69)&gt;0,($BM69)/($BJ69),""),"")</f>
        <v/>
      </c>
      <c r="BT69" s="67">
        <f>IFERROR(IF(($BK69)&gt;0,($BN69)/($BK69),""),"")</f>
        <v/>
      </c>
      <c r="BU69" s="67">
        <f>IFERROR(IF(($BL69)&gt;0,($BO69)/($BL69),""),"")</f>
        <v/>
      </c>
      <c r="BV69" s="67">
        <f>IFERROR(IF(($BM69)&gt;0,($BP69)/($BM69),""),"")</f>
        <v/>
      </c>
      <c r="BW69" s="55">
        <f>SUMIFS(tblPlant[Crushed_t],tblPlant[Date],$A69)</f>
        <v/>
      </c>
      <c r="BX69" s="55">
        <f>IF($B69=$B68,$BX68,0)+$BW69</f>
        <v/>
      </c>
      <c r="BY69" s="55">
        <f>$BY68+$BW69</f>
        <v/>
      </c>
      <c r="BZ69" s="55">
        <f>SUMIFS(tblPlant[Milled_t],tblPlant[Date],$A69)</f>
        <v/>
      </c>
      <c r="CA69" s="55">
        <f>IF($B69=$B68,$CA68,0)+$BZ69</f>
        <v/>
      </c>
      <c r="CB69" s="55">
        <f>$CB68+$BZ69</f>
        <v/>
      </c>
      <c r="CC69" s="55">
        <f>SUMIFS(tblPlant[Feed_oz],tblPlant[Date],$A69)</f>
        <v/>
      </c>
      <c r="CD69" s="55">
        <f>IF($B69=$B68,$CD68,0)+$CC69</f>
        <v/>
      </c>
      <c r="CE69" s="55">
        <f>$CE68+$CC69</f>
        <v/>
      </c>
      <c r="CF69" s="55">
        <f>SUMIFS(tblPlant[Tails_oz],tblPlant[Date],$A69)</f>
        <v/>
      </c>
      <c r="CG69" s="55">
        <f>IF($B69=$B68,$CG68,0)+$CF69</f>
        <v/>
      </c>
      <c r="CH69" s="55">
        <f>$CH68+$CF69</f>
        <v/>
      </c>
      <c r="CI69" s="55">
        <f>SUMIFS(tblPlant[Recovered_oz],tblPlant[Date],$A69)</f>
        <v/>
      </c>
      <c r="CJ69" s="55">
        <f>IF($B69=$B68,$CJ68,0)+$CI69</f>
        <v/>
      </c>
      <c r="CK69" s="55">
        <f>$CK68+$CI69</f>
        <v/>
      </c>
      <c r="CL69" s="56">
        <f>IFERROR(IF(($BZ69)&gt;0,($CC69*cfg_TroyOz)/($BZ69),""),"")</f>
        <v/>
      </c>
      <c r="CM69" s="56">
        <f>IFERROR(IF(($CA69)&gt;0,($CD69*cfg_TroyOz)/($CA69),""),"")</f>
        <v/>
      </c>
      <c r="CN69" s="56">
        <f>IFERROR(IF(($CB69)&gt;0,($CE69*cfg_TroyOz)/($CB69),""),"")</f>
        <v/>
      </c>
      <c r="CO69" s="56">
        <f>IFERROR(IF(($BZ69)&gt;0,($CF69*cfg_TroyOz)/($BZ69),""),"")</f>
        <v/>
      </c>
      <c r="CP69" s="56">
        <f>IFERROR(IF(($CA69)&gt;0,($CG69*cfg_TroyOz)/($CA69),""),"")</f>
        <v/>
      </c>
      <c r="CQ69" s="56">
        <f>IFERROR(IF(($CB69)&gt;0,($CH69*cfg_TroyOz)/($CB69),""),"")</f>
        <v/>
      </c>
      <c r="CR69" s="67">
        <f>IFERROR(IF(($CC69)&gt;0,($CI69)/($CC69),""),"")</f>
        <v/>
      </c>
      <c r="CS69" s="67">
        <f>IFERROR(IF(($CD69)&gt;0,($CJ69)/($CD69),""),"")</f>
        <v/>
      </c>
      <c r="CT69" s="67">
        <f>IFERROR(IF(($CE69)&gt;0,($CK69)/($CE69),""),"")</f>
        <v/>
      </c>
      <c r="CU69" s="55">
        <f>SUMIFS(tblPlant[Gravity_Gold_oz],tblPlant[Date],$A69)</f>
        <v/>
      </c>
      <c r="CV69" s="55">
        <f>IF($B69=$B68,$CV68,0)+$CU69</f>
        <v/>
      </c>
      <c r="CW69" s="55">
        <f>$CW68+$CU69</f>
        <v/>
      </c>
      <c r="CX69" s="55">
        <f>SUMIFS(tblPlant[Gold_Poured_oz],tblPlant[Date],$A69)</f>
        <v/>
      </c>
      <c r="CY69" s="55">
        <f>IF($B69=$B68,$CY68,0)+$CX69</f>
        <v/>
      </c>
      <c r="CZ69" s="55">
        <f>$CZ68+$CX69</f>
        <v/>
      </c>
      <c r="DA69" s="57">
        <f>SUMIFS(tblPlant[Mill_Run_h],tblPlant[Date],$A69)</f>
        <v/>
      </c>
      <c r="DB69" s="57">
        <f>IF($B69=$B68,$DB68,0)+$DA69</f>
        <v/>
      </c>
      <c r="DC69" s="57">
        <f>$DC68+$DA69</f>
        <v/>
      </c>
      <c r="DD69" s="57">
        <f>SUMIFS(tblPlant[Mill_Planned_Maint_h],tblPlant[Date],$A69)</f>
        <v/>
      </c>
      <c r="DE69" s="57">
        <f>IF($B69=$B68,$DE68,0)+$DD69</f>
        <v/>
      </c>
      <c r="DF69" s="57">
        <f>$DF68+$DD69</f>
        <v/>
      </c>
      <c r="DG69" s="57">
        <f>SUMIFS(tblPlant[Mill_Unplanned_Down_h],tblPlant[Date],$A69)</f>
        <v/>
      </c>
      <c r="DH69" s="57">
        <f>IF($B69=$B68,$DH68,0)+$DG69</f>
        <v/>
      </c>
      <c r="DI69" s="57">
        <f>$DI68+$DG69</f>
        <v/>
      </c>
      <c r="DJ69" s="57">
        <f>COUNTIFS(tblPlant[Date],$A69,tblPlant[Mill_Run_h],"&lt;&gt;")*24</f>
        <v/>
      </c>
      <c r="DK69" s="57">
        <f>IF($B69=$B68,$DK68,0)+$DJ69</f>
        <v/>
      </c>
      <c r="DL69" s="57">
        <f>$DL68+$DJ69</f>
        <v/>
      </c>
      <c r="DM69" s="57">
        <f>SUMIFS(tblPlant[Crusher_Run_h],tblPlant[Date],$A69)</f>
        <v/>
      </c>
      <c r="DN69" s="57">
        <f>IF($B69=$B68,$DN68,0)+$DM69</f>
        <v/>
      </c>
      <c r="DO69" s="57">
        <f>$DO68+$DM69</f>
        <v/>
      </c>
      <c r="DP69" s="55">
        <f>IFERROR(IF(($DA69)&gt;0,($BZ69)/($DA69),""),"")</f>
        <v/>
      </c>
      <c r="DQ69" s="55">
        <f>IFERROR(IF(($DB69)&gt;0,($CA69)/($DB69),""),"")</f>
        <v/>
      </c>
      <c r="DR69" s="55">
        <f>IFERROR(IF(($DC69)&gt;0,($CB69)/($DC69),""),"")</f>
        <v/>
      </c>
      <c r="DS69" s="67">
        <f>IFERROR(IF(($DJ69)&gt;0,($DJ69-$DD69-$DG69)/($DJ69),""),"")</f>
        <v/>
      </c>
      <c r="DT69" s="67">
        <f>IFERROR(IF(($DK69)&gt;0,($DK69-$DE69-$DH69)/($DK69),""),"")</f>
        <v/>
      </c>
      <c r="DU69" s="67">
        <f>IFERROR(IF(($DL69)&gt;0,($DL69-$DF69-$DI69)/($DL69),""),"")</f>
        <v/>
      </c>
      <c r="DV69" s="67">
        <f>IFERROR(IF(($DJ69-$DD69-$DG69)&gt;0,($DA69)/($DJ69-$DD69-$DG69),""),"")</f>
        <v/>
      </c>
      <c r="DW69" s="67">
        <f>IFERROR(IF(($DK69-$DE69-$DH69)&gt;0,($DB69)/($DK69-$DE69-$DH69),""),"")</f>
        <v/>
      </c>
      <c r="DX69" s="67">
        <f>IFERROR(IF(($DL69-$DF69-$DI69)&gt;0,($DC69)/($DL69-$DF69-$DI69),""),"")</f>
        <v/>
      </c>
      <c r="DY69" s="55">
        <f>SUMIFS(tblPlant[Cyanide_kg],tblPlant[Date],$A69)</f>
        <v/>
      </c>
      <c r="DZ69" s="55">
        <f>IF($B69=$B68,$DZ68,0)+$DY69</f>
        <v/>
      </c>
      <c r="EA69" s="55">
        <f>$EA68+$DY69</f>
        <v/>
      </c>
      <c r="EB69" s="55">
        <f>SUMIFS(tblPlant[Lime_kg],tblPlant[Date],$A69)</f>
        <v/>
      </c>
      <c r="EC69" s="55">
        <f>IF($B69=$B68,$EC68,0)+$EB69</f>
        <v/>
      </c>
      <c r="ED69" s="55">
        <f>$ED68+$EB69</f>
        <v/>
      </c>
      <c r="EE69" s="55">
        <f>SUMIFS(tblPlant[Grinding_Media_kg],tblPlant[Date],$A69)</f>
        <v/>
      </c>
      <c r="EF69" s="55">
        <f>IF($B69=$B68,$EF68,0)+$EE69</f>
        <v/>
      </c>
      <c r="EG69" s="55">
        <f>$EG68+$EE69</f>
        <v/>
      </c>
      <c r="EH69" s="55">
        <f>SUMIFS(tblPlant[Power_kWh],tblPlant[Date],$A69)</f>
        <v/>
      </c>
      <c r="EI69" s="55">
        <f>IF($B69=$B68,$EI68,0)+$EH69</f>
        <v/>
      </c>
      <c r="EJ69" s="55">
        <f>$EJ68+$EH69</f>
        <v/>
      </c>
      <c r="EK69" s="55">
        <f>SUMIFS(tblPlant[Raw_Water_m3],tblPlant[Date],$A69)</f>
        <v/>
      </c>
      <c r="EL69" s="55">
        <f>IF($B69=$B68,$EL68,0)+$EK69</f>
        <v/>
      </c>
      <c r="EM69" s="55">
        <f>$EM68+$EK69</f>
        <v/>
      </c>
      <c r="EN69" s="56">
        <f>IFERROR(IF(($BZ69)&gt;0,($DY69)/($BZ69),""),"")</f>
        <v/>
      </c>
      <c r="EO69" s="56">
        <f>IFERROR(IF(($CA69)&gt;0,($DZ69)/($CA69),""),"")</f>
        <v/>
      </c>
      <c r="EP69" s="56">
        <f>IFERROR(IF(($CB69)&gt;0,($EA69)/($CB69),""),"")</f>
        <v/>
      </c>
      <c r="EQ69" s="56">
        <f>IFERROR(IF(($BZ69)&gt;0,($EB69)/($BZ69),""),"")</f>
        <v/>
      </c>
      <c r="ER69" s="56">
        <f>IFERROR(IF(($CA69)&gt;0,($EC69)/($CA69),""),"")</f>
        <v/>
      </c>
      <c r="ES69" s="56">
        <f>IFERROR(IF(($CB69)&gt;0,($ED69)/($CB69),""),"")</f>
        <v/>
      </c>
      <c r="ET69" s="56">
        <f>IFERROR(IF(($BZ69)&gt;0,($EE69)/($BZ69),""),"")</f>
        <v/>
      </c>
      <c r="EU69" s="56">
        <f>IFERROR(IF(($CA69)&gt;0,($EF69)/($CA69),""),"")</f>
        <v/>
      </c>
      <c r="EV69" s="56">
        <f>IFERROR(IF(($CB69)&gt;0,($EG69)/($CB69),""),"")</f>
        <v/>
      </c>
      <c r="EW69" s="76">
        <f>IFERROR(IF(($BZ69)&gt;0,($EH69)/($BZ69),""),"")</f>
        <v/>
      </c>
      <c r="EX69" s="76">
        <f>IFERROR(IF(($CA69)&gt;0,($EI69)/($CA69),""),"")</f>
        <v/>
      </c>
      <c r="EY69" s="76">
        <f>IFERROR(IF(($CB69)&gt;0,($EJ69)/($CB69),""),"")</f>
        <v/>
      </c>
      <c r="EZ69" s="56">
        <f>IFERROR(IF(($BZ69)&gt;0,($EK69)/($BZ69),""),"")</f>
        <v/>
      </c>
      <c r="FA69" s="56">
        <f>IFERROR(IF(($CA69)&gt;0,($EL69)/($CA69),""),"")</f>
        <v/>
      </c>
      <c r="FB69" s="56">
        <f>IFERROR(IF(($CB69)&gt;0,($EM69)/($CB69),""),"")</f>
        <v/>
      </c>
      <c r="FC69" s="55">
        <f>IF(SUMIFS(tblPlant[GIC_oz],tblPlant[Date],$A69)&gt;0,SUMIFS(tblPlant[GIC_oz],tblPlant[Date],$A69),"")</f>
        <v/>
      </c>
      <c r="FD69" s="55">
        <f>SUMIFS(tblGold[Gold_oz],tblGold[Date],$A69,tblGold[Type],"Shipment")</f>
        <v/>
      </c>
      <c r="FE69" s="55">
        <f>IF($B69=$B68,$FE68,0)+$FD69</f>
        <v/>
      </c>
      <c r="FF69" s="55">
        <f>$FF68+$FD69</f>
        <v/>
      </c>
      <c r="FG69" s="55">
        <f>SUMIFS(tblGold[Gold_oz],tblGold[Date],$A69,tblGold[Type],"Sale")</f>
        <v/>
      </c>
      <c r="FH69" s="55">
        <f>IF($B69=$B68,$FH68,0)+$FG69</f>
        <v/>
      </c>
      <c r="FI69" s="55">
        <f>$FI68+$FG69</f>
        <v/>
      </c>
      <c r="FJ69" s="55">
        <f>SUMIFS(tblGold[Dore_kg],tblGold[Date],$A69,tblGold[Type],"Shipment")</f>
        <v/>
      </c>
      <c r="FK69" s="55">
        <f>IF($B69=$B68,$FK68,0)+$FJ69</f>
        <v/>
      </c>
      <c r="FL69" s="55">
        <f>$FL68+$FJ69</f>
        <v/>
      </c>
      <c r="FM69" s="57">
        <f>SUMIFS(tblSafety[Hours_Total],tblSafety[Date],$A69)</f>
        <v/>
      </c>
      <c r="FN69" s="57">
        <f>IF($B69=$B68,$FN68,0)+$FM69</f>
        <v/>
      </c>
      <c r="FO69" s="57">
        <f>$FO68+$FM69</f>
        <v/>
      </c>
      <c r="FP69" s="62">
        <f>SUMIFS(tblSafety[Fatality],tblSafety[Date],$A69)</f>
        <v/>
      </c>
      <c r="FQ69" s="62">
        <f>IF($B69=$B68,$FQ68,0)+$FP69</f>
        <v/>
      </c>
      <c r="FR69" s="62">
        <f>$FR68+$FP69</f>
        <v/>
      </c>
      <c r="FS69" s="62">
        <f>SUMIFS(tblSafety[LTI],tblSafety[Date],$A69)</f>
        <v/>
      </c>
      <c r="FT69" s="62">
        <f>IF($B69=$B68,$FT68,0)+$FS69</f>
        <v/>
      </c>
      <c r="FU69" s="62">
        <f>$FU68+$FS69</f>
        <v/>
      </c>
      <c r="FV69" s="62">
        <f>SUMIFS(tblSafety[RWI],tblSafety[Date],$A69)</f>
        <v/>
      </c>
      <c r="FW69" s="62">
        <f>IF($B69=$B68,$FW68,0)+$FV69</f>
        <v/>
      </c>
      <c r="FX69" s="62">
        <f>$FX68+$FV69</f>
        <v/>
      </c>
      <c r="FY69" s="62">
        <f>SUMIFS(tblSafety[MTI],tblSafety[Date],$A69)</f>
        <v/>
      </c>
      <c r="FZ69" s="62">
        <f>IF($B69=$B68,$FZ68,0)+$FY69</f>
        <v/>
      </c>
      <c r="GA69" s="62">
        <f>$GA68+$FY69</f>
        <v/>
      </c>
      <c r="GB69" s="62">
        <f>SUMIFS(tblSafety[FAI],tblSafety[Date],$A69)</f>
        <v/>
      </c>
      <c r="GC69" s="62">
        <f>IF($B69=$B68,$GC68,0)+$GB69</f>
        <v/>
      </c>
      <c r="GD69" s="62">
        <f>$GD68+$GB69</f>
        <v/>
      </c>
      <c r="GE69" s="62">
        <f>SUMIFS(tblSafety[Recordables],tblSafety[Date],$A69)</f>
        <v/>
      </c>
      <c r="GF69" s="62">
        <f>IF($B69=$B68,$GF68,0)+$GE69</f>
        <v/>
      </c>
      <c r="GG69" s="62">
        <f>$GG68+$GE69</f>
        <v/>
      </c>
      <c r="GH69" s="62">
        <f>SUMIFS(tblSafety[Near_Miss],tblSafety[Date],$A69)</f>
        <v/>
      </c>
      <c r="GI69" s="62">
        <f>IF($B69=$B68,$GI68,0)+$GH69</f>
        <v/>
      </c>
      <c r="GJ69" s="62">
        <f>$GJ68+$GH69</f>
        <v/>
      </c>
      <c r="GK69" s="62">
        <f>SUMIFS(tblSafety[Hazard_Reports],tblSafety[Date],$A69)</f>
        <v/>
      </c>
      <c r="GL69" s="62">
        <f>IF($B69=$B68,$GL68,0)+$GK69</f>
        <v/>
      </c>
      <c r="GM69" s="62">
        <f>$GM68+$GK69</f>
        <v/>
      </c>
      <c r="GN69" s="62">
        <f>SUMIFS(tblSafety[HPI],tblSafety[Date],$A69)</f>
        <v/>
      </c>
      <c r="GO69" s="62">
        <f>IF($B69=$B68,$GO68,0)+$GN69</f>
        <v/>
      </c>
      <c r="GP69" s="62">
        <f>$GP68+$GN69</f>
        <v/>
      </c>
      <c r="GQ69" s="62">
        <f>SUMIFS(tblSafety[Env_Incidents],tblSafety[Date],$A69)</f>
        <v/>
      </c>
      <c r="GR69" s="62">
        <f>IF($B69=$B68,$GR68,0)+$GQ69</f>
        <v/>
      </c>
      <c r="GS69" s="62">
        <f>$GS68+$GQ69</f>
        <v/>
      </c>
      <c r="GT69" s="62">
        <f>SUMIFS(tblSafety[Community_Incidents],tblSafety[Date],$A69)</f>
        <v/>
      </c>
      <c r="GU69" s="62">
        <f>IF($B69=$B68,$GU68,0)+$GT69</f>
        <v/>
      </c>
      <c r="GV69" s="62">
        <f>$GV68+$GT69</f>
        <v/>
      </c>
      <c r="GW69" s="62">
        <f>SUMIFS(tblSafety[Vehicle_Incidents],tblSafety[Date],$A69)</f>
        <v/>
      </c>
      <c r="GX69" s="62">
        <f>IF($B69=$B68,$GX68,0)+$GW69</f>
        <v/>
      </c>
      <c r="GY69" s="62">
        <f>$GY68+$GW69</f>
        <v/>
      </c>
      <c r="GZ69" s="62">
        <f>SUMIFS(tblSafety[Toolbox_Talks],tblSafety[Date],$A69)</f>
        <v/>
      </c>
      <c r="HA69" s="62">
        <f>IF($B69=$B68,$HA68,0)+$GZ69</f>
        <v/>
      </c>
      <c r="HB69" s="62">
        <f>$HB68+$GZ69</f>
        <v/>
      </c>
      <c r="HC69" s="62">
        <f>SUMIFS(tblSafety[Inspections],tblSafety[Date],$A69)</f>
        <v/>
      </c>
      <c r="HD69" s="62">
        <f>IF($B69=$B68,$HD68,0)+$HC69</f>
        <v/>
      </c>
      <c r="HE69" s="62">
        <f>$HE68+$HC69</f>
        <v/>
      </c>
      <c r="HF69" s="56">
        <f>IFERROR((SUMIFS(tblSafety[Recordables],tblSafety[Date],"&gt;="&amp;EDATE($E69,-12),tblSafety[Date],"&lt;="&amp;$A69)+SUMIFS(tblSafetyHistory[Recordables],tblSafetyHistory[Month],"&gt;="&amp;EDATE($E69,-12),tblSafetyHistory[Month],"&lt;"&amp;cfg_YearStart))/(SUMIFS(tblSafety[Hours_Total],tblSafety[Date],"&gt;="&amp;EDATE($E69,-12),tblSafety[Date],"&lt;="&amp;$A69)+SUMIFS(tblSafetyHistory[Hours_Total],tblSafetyHistory[Month],"&gt;="&amp;EDATE($E69,-12),tblSafetyHistory[Month],"&lt;"&amp;cfg_YearStart))*1000000,"")</f>
        <v/>
      </c>
      <c r="HG69" s="56">
        <f>IFERROR((SUMIFS(tblSafety[LTI],tblSafety[Date],"&gt;="&amp;EDATE($E69,-12),tblSafety[Date],"&lt;="&amp;$A69)+SUMIFS(tblSafetyHistory[LTI],tblSafetyHistory[Month],"&gt;="&amp;EDATE($E69,-12),tblSafetyHistory[Month],"&lt;"&amp;cfg_YearStart))/(SUMIFS(tblSafety[Hours_Total],tblSafety[Date],"&gt;="&amp;EDATE($E69,-12),tblSafety[Date],"&lt;="&amp;$A69)+SUMIFS(tblSafetyHistory[Hours_Total],tblSafetyHistory[Month],"&gt;="&amp;EDATE($E69,-12),tblSafetyHistory[Month],"&lt;"&amp;cfg_YearStart))*1000000,"")</f>
        <v/>
      </c>
      <c r="HH69" s="62">
        <f>IF(MAX(N(cfg_PriorLTIDate),_xlfn.MAXIFS(tblSafety[Date],tblSafety[LTI],"&gt;0",tblSafety[Date],"&lt;="&amp;$A69))=0,"",$A69-MAX(N(cfg_PriorLTIDate),_xlfn.MAXIFS(tblSafety[Date],tblSafety[LTI],"&gt;0",tblSafety[Date],"&lt;="&amp;$A69)))</f>
        <v/>
      </c>
      <c r="HI69" s="55">
        <f>SUMIFS(tblBudget[Ore_Mined_t],tblBudget[Month],$E69)</f>
        <v/>
      </c>
      <c r="HJ69" s="55">
        <f>$HI69*$C69/$D69</f>
        <v/>
      </c>
      <c r="HK69" s="55">
        <f>SUMIFS(tblBudget[Ore_Mined_t],tblBudget[Month],"&lt;"&amp;$E69)+$HJ69</f>
        <v/>
      </c>
      <c r="HL69" s="55">
        <f>SUMIFS(tblBudget[Ore_oz],tblBudget[Month],$E69)</f>
        <v/>
      </c>
      <c r="HM69" s="55">
        <f>$HL69*$C69/$D69</f>
        <v/>
      </c>
      <c r="HN69" s="55">
        <f>SUMIFS(tblBudget[Ore_oz],tblBudget[Month],"&lt;"&amp;$E69)+$HM69</f>
        <v/>
      </c>
      <c r="HO69" s="56">
        <f>IFERROR(IF(($HI69)&gt;0,($HL69*cfg_TroyOz)/($HI69),""),"")</f>
        <v/>
      </c>
      <c r="HP69" s="56">
        <f>IFERROR(IF(($HJ69)&gt;0,($HM69*cfg_TroyOz)/($HJ69),""),"")</f>
        <v/>
      </c>
      <c r="HQ69" s="56">
        <f>IFERROR(IF(($HK69)&gt;0,($HN69*cfg_TroyOz)/($HK69),""),"")</f>
        <v/>
      </c>
      <c r="HR69" s="55">
        <f>SUMIFS(tblBudget[Waste_t],tblBudget[Month],$E69)</f>
        <v/>
      </c>
      <c r="HS69" s="55">
        <f>$HR69*$C69/$D69</f>
        <v/>
      </c>
      <c r="HT69" s="55">
        <f>SUMIFS(tblBudget[Waste_t],tblBudget[Month],"&lt;"&amp;$E69)+$HS69</f>
        <v/>
      </c>
      <c r="HU69" s="55">
        <f>SUMIFS(tblBudget[TMM_t],tblBudget[Month],$E69)</f>
        <v/>
      </c>
      <c r="HV69" s="55">
        <f>$HU69*$C69/$D69</f>
        <v/>
      </c>
      <c r="HW69" s="55">
        <f>SUMIFS(tblBudget[TMM_t],tblBudget[Month],"&lt;"&amp;$E69)+$HV69</f>
        <v/>
      </c>
      <c r="HX69" s="56">
        <f>IFERROR(IF(($HI69)&gt;0,($HR69)/($HI69),""),"")</f>
        <v/>
      </c>
      <c r="HY69" s="56">
        <f>IFERROR(IF(($HJ69)&gt;0,($HS69)/($HJ69),""),"")</f>
        <v/>
      </c>
      <c r="HZ69" s="56">
        <f>IFERROR(IF(($HK69)&gt;0,($HT69)/($HK69),""),"")</f>
        <v/>
      </c>
      <c r="IA69" s="55">
        <f>SUMIFS(tblBudget[Drill_m],tblBudget[Month],$E69)</f>
        <v/>
      </c>
      <c r="IB69" s="55">
        <f>$IA69*$C69/$D69</f>
        <v/>
      </c>
      <c r="IC69" s="55">
        <f>SUMIFS(tblBudget[Drill_m],tblBudget[Month],"&lt;"&amp;$E69)+$IB69</f>
        <v/>
      </c>
      <c r="ID69" s="55">
        <f>SUMIFS(tblBudget[Diesel_L],tblBudget[Month],$E69)</f>
        <v/>
      </c>
      <c r="IE69" s="55">
        <f>$ID69*$C69/$D69</f>
        <v/>
      </c>
      <c r="IF69" s="55">
        <f>SUMIFS(tblBudget[Diesel_L],tblBudget[Month],"&lt;"&amp;$E69)+$IE69</f>
        <v/>
      </c>
      <c r="IG69" s="55">
        <f>SUMIFS(tblBudget[Milled_t],tblBudget[Month],$E69)</f>
        <v/>
      </c>
      <c r="IH69" s="55">
        <f>$IG69*$C69/$D69</f>
        <v/>
      </c>
      <c r="II69" s="55">
        <f>SUMIFS(tblBudget[Milled_t],tblBudget[Month],"&lt;"&amp;$E69)+$IH69</f>
        <v/>
      </c>
      <c r="IJ69" s="55">
        <f>SUMIFS(tblBudget[Feed_oz],tblBudget[Month],$E69)</f>
        <v/>
      </c>
      <c r="IK69" s="55">
        <f>$IJ69*$C69/$D69</f>
        <v/>
      </c>
      <c r="IL69" s="55">
        <f>SUMIFS(tblBudget[Feed_oz],tblBudget[Month],"&lt;"&amp;$E69)+$IK69</f>
        <v/>
      </c>
      <c r="IM69" s="55">
        <f>SUMIFS(tblBudget[Recovered_oz],tblBudget[Month],$E69)</f>
        <v/>
      </c>
      <c r="IN69" s="55">
        <f>$IM69*$C69/$D69</f>
        <v/>
      </c>
      <c r="IO69" s="55">
        <f>SUMIFS(tblBudget[Recovered_oz],tblBudget[Month],"&lt;"&amp;$E69)+$IN69</f>
        <v/>
      </c>
      <c r="IP69" s="56">
        <f>IFERROR(IF(($IG69)&gt;0,($IJ69*cfg_TroyOz)/($IG69),""),"")</f>
        <v/>
      </c>
      <c r="IQ69" s="56">
        <f>IFERROR(IF(($IH69)&gt;0,($IK69*cfg_TroyOz)/($IH69),""),"")</f>
        <v/>
      </c>
      <c r="IR69" s="56">
        <f>IFERROR(IF(($II69)&gt;0,($IL69*cfg_TroyOz)/($II69),""),"")</f>
        <v/>
      </c>
      <c r="IS69" s="67">
        <f>IFERROR(IF(($IJ69)&gt;0,($IM69)/($IJ69),""),"")</f>
        <v/>
      </c>
      <c r="IT69" s="67">
        <f>IFERROR(IF(($IK69)&gt;0,($IN69)/($IK69),""),"")</f>
        <v/>
      </c>
      <c r="IU69" s="67">
        <f>IFERROR(IF(($IL69)&gt;0,($IO69)/($IL69),""),"")</f>
        <v/>
      </c>
      <c r="IV69" s="55">
        <f>SUMIFS(tblBudget[Gold_Poured_oz],tblBudget[Month],$E69)</f>
        <v/>
      </c>
      <c r="IW69" s="55">
        <f>$IV69*$C69/$D69</f>
        <v/>
      </c>
      <c r="IX69" s="55">
        <f>SUMIFS(tblBudget[Gold_Poured_oz],tblBudget[Month],"&lt;"&amp;$E69)+$IW69</f>
        <v/>
      </c>
      <c r="IY69" s="57">
        <f>SUMIFS(tblBudget[Hours_Worked],tblBudget[Month],$E69)</f>
        <v/>
      </c>
      <c r="IZ69" s="57">
        <f>$IY69*$C69/$D69</f>
        <v/>
      </c>
      <c r="JA69" s="57">
        <f>SUMIFS(tblBudget[Hours_Worked],tblBudget[Month],"&lt;"&amp;$E69)+$IZ69</f>
        <v/>
      </c>
    </row>
    <row r="70">
      <c r="A70" s="54" t="n">
        <v>46091</v>
      </c>
      <c r="B70">
        <f>MONTH($A70)</f>
        <v/>
      </c>
      <c r="C70">
        <f>DAY($A70)</f>
        <v/>
      </c>
      <c r="D70">
        <f>DAY(EOMONTH($A70,0))</f>
        <v/>
      </c>
      <c r="E70" s="54">
        <f>DATE(YEAR($A70),MONTH($A70),1)</f>
        <v/>
      </c>
      <c r="F70" s="55">
        <f>SUMIFS(tblMovement[Tonnes_t],tblMovement[Date],$A70,tblMovement[Is_Ore],1,tblMovement[Source_Type],"Pit")</f>
        <v/>
      </c>
      <c r="G70" s="55">
        <f>IF($B70=$B69,$G69,0)+$F70</f>
        <v/>
      </c>
      <c r="H70" s="55">
        <f>$H69+$F70</f>
        <v/>
      </c>
      <c r="I70" s="55">
        <f>SUMIFS(tblMovement[Ore_oz],tblMovement[Date],$A70,tblMovement[Source_Type],"Pit")</f>
        <v/>
      </c>
      <c r="J70" s="55">
        <f>IF($B70=$B69,$J69,0)+$I70</f>
        <v/>
      </c>
      <c r="K70" s="55">
        <f>$K69+$I70</f>
        <v/>
      </c>
      <c r="L70" s="56">
        <f>IFERROR(IF(($F70)&gt;0,($I70*cfg_TroyOz)/($F70),""),"")</f>
        <v/>
      </c>
      <c r="M70" s="56">
        <f>IFERROR(IF(($G70)&gt;0,($J70*cfg_TroyOz)/($G70),""),"")</f>
        <v/>
      </c>
      <c r="N70" s="56">
        <f>IFERROR(IF(($H70)&gt;0,($K70*cfg_TroyOz)/($H70),""),"")</f>
        <v/>
      </c>
      <c r="O70" s="55">
        <f>SUMIFS(tblMovement[Tonnes_t],tblMovement[Date],$A70,tblMovement[Is_Ore],0,tblMovement[Source_Type],"Pit")</f>
        <v/>
      </c>
      <c r="P70" s="55">
        <f>IF($B70=$B69,$P69,0)+$O70</f>
        <v/>
      </c>
      <c r="Q70" s="55">
        <f>$Q69+$O70</f>
        <v/>
      </c>
      <c r="R70" s="55">
        <f>$F70+$O70</f>
        <v/>
      </c>
      <c r="S70" s="55">
        <f>IF($B70=$B69,$S69,0)+$R70</f>
        <v/>
      </c>
      <c r="T70" s="55">
        <f>$T69+$R70</f>
        <v/>
      </c>
      <c r="U70" s="56">
        <f>IFERROR(IF(($F70)&gt;0,($O70)/($F70),""),"")</f>
        <v/>
      </c>
      <c r="V70" s="56">
        <f>IFERROR(IF(($G70)&gt;0,($P70)/($G70),""),"")</f>
        <v/>
      </c>
      <c r="W70" s="56">
        <f>IFERROR(IF(($H70)&gt;0,($Q70)/($H70),""),"")</f>
        <v/>
      </c>
      <c r="X70" s="55">
        <f>SUMIFS(tblMovement[Tonnes_t],tblMovement[Date],$A70,tblMovement[Source_Type],"Stockpile")</f>
        <v/>
      </c>
      <c r="Y70" s="55">
        <f>IF($B70=$B69,$Y69,0)+$X70</f>
        <v/>
      </c>
      <c r="Z70" s="55">
        <f>$Z69+$X70</f>
        <v/>
      </c>
      <c r="AA70" s="55">
        <f>SUMIFS(tblMiningDaily[Drill_m],tblMiningDaily[Date],$A70)</f>
        <v/>
      </c>
      <c r="AB70" s="55">
        <f>IF($B70=$B69,$AB69,0)+$AA70</f>
        <v/>
      </c>
      <c r="AC70" s="55">
        <f>$AC69+$AA70</f>
        <v/>
      </c>
      <c r="AD70" s="55">
        <f>SUMIFS(tblMiningDaily[Blast_t],tblMiningDaily[Date],$A70)</f>
        <v/>
      </c>
      <c r="AE70" s="55">
        <f>IF($B70=$B69,$AE69,0)+$AD70</f>
        <v/>
      </c>
      <c r="AF70" s="55">
        <f>$AF69+$AD70</f>
        <v/>
      </c>
      <c r="AG70" s="55">
        <f>SUMIFS(tblMiningDaily[Explosives_kg],tblMiningDaily[Date],$A70)</f>
        <v/>
      </c>
      <c r="AH70" s="55">
        <f>IF($B70=$B69,$AH69,0)+$AG70</f>
        <v/>
      </c>
      <c r="AI70" s="55">
        <f>$AI69+$AG70</f>
        <v/>
      </c>
      <c r="AJ70" s="56">
        <f>IFERROR(IF(($AD70)&gt;0,($AG70)/($AD70),""),"")</f>
        <v/>
      </c>
      <c r="AK70" s="56">
        <f>IFERROR(IF(($AE70)&gt;0,($AH70)/($AE70),""),"")</f>
        <v/>
      </c>
      <c r="AL70" s="56">
        <f>IFERROR(IF(($AF70)&gt;0,($AI70)/($AF70),""),"")</f>
        <v/>
      </c>
      <c r="AM70" s="55">
        <f>SUMIFS(tblMiningDaily[Diesel_L],tblMiningDaily[Date],$A70)</f>
        <v/>
      </c>
      <c r="AN70" s="55">
        <f>IF($B70=$B69,$AN69,0)+$AM70</f>
        <v/>
      </c>
      <c r="AO70" s="55">
        <f>$AO69+$AM70</f>
        <v/>
      </c>
      <c r="AP70" s="55">
        <f>SUMIFS(tblMiningDaily[Dewatering_m3],tblMiningDaily[Date],$A70)</f>
        <v/>
      </c>
      <c r="AQ70" s="55">
        <f>IF($B70=$B69,$AQ69,0)+$AP70</f>
        <v/>
      </c>
      <c r="AR70" s="55">
        <f>$AR69+$AP70</f>
        <v/>
      </c>
      <c r="AS70" s="57">
        <f>SUMIFS(tblFleet[Calendar_h],tblFleet[Date],$A70,tblFleet[Equipment_Class],"Excavator")</f>
        <v/>
      </c>
      <c r="AT70" s="57">
        <f>IF($B70=$B69,$AT69,0)+$AS70</f>
        <v/>
      </c>
      <c r="AU70" s="57">
        <f>$AU69+$AS70</f>
        <v/>
      </c>
      <c r="AV70" s="57">
        <f>SUMIFS(tblFleet[Available_h],tblFleet[Date],$A70,tblFleet[Equipment_Class],"Excavator")</f>
        <v/>
      </c>
      <c r="AW70" s="57">
        <f>IF($B70=$B69,$AW69,0)+$AV70</f>
        <v/>
      </c>
      <c r="AX70" s="57">
        <f>$AX69+$AV70</f>
        <v/>
      </c>
      <c r="AY70" s="57">
        <f>SUMIFS(tblFleet[Operating_h],tblFleet[Date],$A70,tblFleet[Equipment_Class],"Excavator")</f>
        <v/>
      </c>
      <c r="AZ70" s="57">
        <f>IF($B70=$B69,$AZ69,0)+$AY70</f>
        <v/>
      </c>
      <c r="BA70" s="57">
        <f>$BA69+$AY70</f>
        <v/>
      </c>
      <c r="BB70" s="67">
        <f>IFERROR(IF(($AS70)&gt;0,($AV70)/($AS70),""),"")</f>
        <v/>
      </c>
      <c r="BC70" s="67">
        <f>IFERROR(IF(($AT70)&gt;0,($AW70)/($AT70),""),"")</f>
        <v/>
      </c>
      <c r="BD70" s="67">
        <f>IFERROR(IF(($AU70)&gt;0,($AX70)/($AU70),""),"")</f>
        <v/>
      </c>
      <c r="BE70" s="67">
        <f>IFERROR(IF(($AV70)&gt;0,($AY70)/($AV70),""),"")</f>
        <v/>
      </c>
      <c r="BF70" s="67">
        <f>IFERROR(IF(($AW70)&gt;0,($AZ70)/($AW70),""),"")</f>
        <v/>
      </c>
      <c r="BG70" s="67">
        <f>IFERROR(IF(($AX70)&gt;0,($BA70)/($AX70),""),"")</f>
        <v/>
      </c>
      <c r="BH70" s="57">
        <f>SUMIFS(tblFleet[Calendar_h],tblFleet[Date],$A70,tblFleet[Equipment_Class],"Haul Truck")</f>
        <v/>
      </c>
      <c r="BI70" s="57">
        <f>IF($B70=$B69,$BI69,0)+$BH70</f>
        <v/>
      </c>
      <c r="BJ70" s="57">
        <f>$BJ69+$BH70</f>
        <v/>
      </c>
      <c r="BK70" s="57">
        <f>SUMIFS(tblFleet[Available_h],tblFleet[Date],$A70,tblFleet[Equipment_Class],"Haul Truck")</f>
        <v/>
      </c>
      <c r="BL70" s="57">
        <f>IF($B70=$B69,$BL69,0)+$BK70</f>
        <v/>
      </c>
      <c r="BM70" s="57">
        <f>$BM69+$BK70</f>
        <v/>
      </c>
      <c r="BN70" s="57">
        <f>SUMIFS(tblFleet[Operating_h],tblFleet[Date],$A70,tblFleet[Equipment_Class],"Haul Truck")</f>
        <v/>
      </c>
      <c r="BO70" s="57">
        <f>IF($B70=$B69,$BO69,0)+$BN70</f>
        <v/>
      </c>
      <c r="BP70" s="57">
        <f>$BP69+$BN70</f>
        <v/>
      </c>
      <c r="BQ70" s="67">
        <f>IFERROR(IF(($BH70)&gt;0,($BK70)/($BH70),""),"")</f>
        <v/>
      </c>
      <c r="BR70" s="67">
        <f>IFERROR(IF(($BI70)&gt;0,($BL70)/($BI70),""),"")</f>
        <v/>
      </c>
      <c r="BS70" s="67">
        <f>IFERROR(IF(($BJ70)&gt;0,($BM70)/($BJ70),""),"")</f>
        <v/>
      </c>
      <c r="BT70" s="67">
        <f>IFERROR(IF(($BK70)&gt;0,($BN70)/($BK70),""),"")</f>
        <v/>
      </c>
      <c r="BU70" s="67">
        <f>IFERROR(IF(($BL70)&gt;0,($BO70)/($BL70),""),"")</f>
        <v/>
      </c>
      <c r="BV70" s="67">
        <f>IFERROR(IF(($BM70)&gt;0,($BP70)/($BM70),""),"")</f>
        <v/>
      </c>
      <c r="BW70" s="55">
        <f>SUMIFS(tblPlant[Crushed_t],tblPlant[Date],$A70)</f>
        <v/>
      </c>
      <c r="BX70" s="55">
        <f>IF($B70=$B69,$BX69,0)+$BW70</f>
        <v/>
      </c>
      <c r="BY70" s="55">
        <f>$BY69+$BW70</f>
        <v/>
      </c>
      <c r="BZ70" s="55">
        <f>SUMIFS(tblPlant[Milled_t],tblPlant[Date],$A70)</f>
        <v/>
      </c>
      <c r="CA70" s="55">
        <f>IF($B70=$B69,$CA69,0)+$BZ70</f>
        <v/>
      </c>
      <c r="CB70" s="55">
        <f>$CB69+$BZ70</f>
        <v/>
      </c>
      <c r="CC70" s="55">
        <f>SUMIFS(tblPlant[Feed_oz],tblPlant[Date],$A70)</f>
        <v/>
      </c>
      <c r="CD70" s="55">
        <f>IF($B70=$B69,$CD69,0)+$CC70</f>
        <v/>
      </c>
      <c r="CE70" s="55">
        <f>$CE69+$CC70</f>
        <v/>
      </c>
      <c r="CF70" s="55">
        <f>SUMIFS(tblPlant[Tails_oz],tblPlant[Date],$A70)</f>
        <v/>
      </c>
      <c r="CG70" s="55">
        <f>IF($B70=$B69,$CG69,0)+$CF70</f>
        <v/>
      </c>
      <c r="CH70" s="55">
        <f>$CH69+$CF70</f>
        <v/>
      </c>
      <c r="CI70" s="55">
        <f>SUMIFS(tblPlant[Recovered_oz],tblPlant[Date],$A70)</f>
        <v/>
      </c>
      <c r="CJ70" s="55">
        <f>IF($B70=$B69,$CJ69,0)+$CI70</f>
        <v/>
      </c>
      <c r="CK70" s="55">
        <f>$CK69+$CI70</f>
        <v/>
      </c>
      <c r="CL70" s="56">
        <f>IFERROR(IF(($BZ70)&gt;0,($CC70*cfg_TroyOz)/($BZ70),""),"")</f>
        <v/>
      </c>
      <c r="CM70" s="56">
        <f>IFERROR(IF(($CA70)&gt;0,($CD70*cfg_TroyOz)/($CA70),""),"")</f>
        <v/>
      </c>
      <c r="CN70" s="56">
        <f>IFERROR(IF(($CB70)&gt;0,($CE70*cfg_TroyOz)/($CB70),""),"")</f>
        <v/>
      </c>
      <c r="CO70" s="56">
        <f>IFERROR(IF(($BZ70)&gt;0,($CF70*cfg_TroyOz)/($BZ70),""),"")</f>
        <v/>
      </c>
      <c r="CP70" s="56">
        <f>IFERROR(IF(($CA70)&gt;0,($CG70*cfg_TroyOz)/($CA70),""),"")</f>
        <v/>
      </c>
      <c r="CQ70" s="56">
        <f>IFERROR(IF(($CB70)&gt;0,($CH70*cfg_TroyOz)/($CB70),""),"")</f>
        <v/>
      </c>
      <c r="CR70" s="67">
        <f>IFERROR(IF(($CC70)&gt;0,($CI70)/($CC70),""),"")</f>
        <v/>
      </c>
      <c r="CS70" s="67">
        <f>IFERROR(IF(($CD70)&gt;0,($CJ70)/($CD70),""),"")</f>
        <v/>
      </c>
      <c r="CT70" s="67">
        <f>IFERROR(IF(($CE70)&gt;0,($CK70)/($CE70),""),"")</f>
        <v/>
      </c>
      <c r="CU70" s="55">
        <f>SUMIFS(tblPlant[Gravity_Gold_oz],tblPlant[Date],$A70)</f>
        <v/>
      </c>
      <c r="CV70" s="55">
        <f>IF($B70=$B69,$CV69,0)+$CU70</f>
        <v/>
      </c>
      <c r="CW70" s="55">
        <f>$CW69+$CU70</f>
        <v/>
      </c>
      <c r="CX70" s="55">
        <f>SUMIFS(tblPlant[Gold_Poured_oz],tblPlant[Date],$A70)</f>
        <v/>
      </c>
      <c r="CY70" s="55">
        <f>IF($B70=$B69,$CY69,0)+$CX70</f>
        <v/>
      </c>
      <c r="CZ70" s="55">
        <f>$CZ69+$CX70</f>
        <v/>
      </c>
      <c r="DA70" s="57">
        <f>SUMIFS(tblPlant[Mill_Run_h],tblPlant[Date],$A70)</f>
        <v/>
      </c>
      <c r="DB70" s="57">
        <f>IF($B70=$B69,$DB69,0)+$DA70</f>
        <v/>
      </c>
      <c r="DC70" s="57">
        <f>$DC69+$DA70</f>
        <v/>
      </c>
      <c r="DD70" s="57">
        <f>SUMIFS(tblPlant[Mill_Planned_Maint_h],tblPlant[Date],$A70)</f>
        <v/>
      </c>
      <c r="DE70" s="57">
        <f>IF($B70=$B69,$DE69,0)+$DD70</f>
        <v/>
      </c>
      <c r="DF70" s="57">
        <f>$DF69+$DD70</f>
        <v/>
      </c>
      <c r="DG70" s="57">
        <f>SUMIFS(tblPlant[Mill_Unplanned_Down_h],tblPlant[Date],$A70)</f>
        <v/>
      </c>
      <c r="DH70" s="57">
        <f>IF($B70=$B69,$DH69,0)+$DG70</f>
        <v/>
      </c>
      <c r="DI70" s="57">
        <f>$DI69+$DG70</f>
        <v/>
      </c>
      <c r="DJ70" s="57">
        <f>COUNTIFS(tblPlant[Date],$A70,tblPlant[Mill_Run_h],"&lt;&gt;")*24</f>
        <v/>
      </c>
      <c r="DK70" s="57">
        <f>IF($B70=$B69,$DK69,0)+$DJ70</f>
        <v/>
      </c>
      <c r="DL70" s="57">
        <f>$DL69+$DJ70</f>
        <v/>
      </c>
      <c r="DM70" s="57">
        <f>SUMIFS(tblPlant[Crusher_Run_h],tblPlant[Date],$A70)</f>
        <v/>
      </c>
      <c r="DN70" s="57">
        <f>IF($B70=$B69,$DN69,0)+$DM70</f>
        <v/>
      </c>
      <c r="DO70" s="57">
        <f>$DO69+$DM70</f>
        <v/>
      </c>
      <c r="DP70" s="55">
        <f>IFERROR(IF(($DA70)&gt;0,($BZ70)/($DA70),""),"")</f>
        <v/>
      </c>
      <c r="DQ70" s="55">
        <f>IFERROR(IF(($DB70)&gt;0,($CA70)/($DB70),""),"")</f>
        <v/>
      </c>
      <c r="DR70" s="55">
        <f>IFERROR(IF(($DC70)&gt;0,($CB70)/($DC70),""),"")</f>
        <v/>
      </c>
      <c r="DS70" s="67">
        <f>IFERROR(IF(($DJ70)&gt;0,($DJ70-$DD70-$DG70)/($DJ70),""),"")</f>
        <v/>
      </c>
      <c r="DT70" s="67">
        <f>IFERROR(IF(($DK70)&gt;0,($DK70-$DE70-$DH70)/($DK70),""),"")</f>
        <v/>
      </c>
      <c r="DU70" s="67">
        <f>IFERROR(IF(($DL70)&gt;0,($DL70-$DF70-$DI70)/($DL70),""),"")</f>
        <v/>
      </c>
      <c r="DV70" s="67">
        <f>IFERROR(IF(($DJ70-$DD70-$DG70)&gt;0,($DA70)/($DJ70-$DD70-$DG70),""),"")</f>
        <v/>
      </c>
      <c r="DW70" s="67">
        <f>IFERROR(IF(($DK70-$DE70-$DH70)&gt;0,($DB70)/($DK70-$DE70-$DH70),""),"")</f>
        <v/>
      </c>
      <c r="DX70" s="67">
        <f>IFERROR(IF(($DL70-$DF70-$DI70)&gt;0,($DC70)/($DL70-$DF70-$DI70),""),"")</f>
        <v/>
      </c>
      <c r="DY70" s="55">
        <f>SUMIFS(tblPlant[Cyanide_kg],tblPlant[Date],$A70)</f>
        <v/>
      </c>
      <c r="DZ70" s="55">
        <f>IF($B70=$B69,$DZ69,0)+$DY70</f>
        <v/>
      </c>
      <c r="EA70" s="55">
        <f>$EA69+$DY70</f>
        <v/>
      </c>
      <c r="EB70" s="55">
        <f>SUMIFS(tblPlant[Lime_kg],tblPlant[Date],$A70)</f>
        <v/>
      </c>
      <c r="EC70" s="55">
        <f>IF($B70=$B69,$EC69,0)+$EB70</f>
        <v/>
      </c>
      <c r="ED70" s="55">
        <f>$ED69+$EB70</f>
        <v/>
      </c>
      <c r="EE70" s="55">
        <f>SUMIFS(tblPlant[Grinding_Media_kg],tblPlant[Date],$A70)</f>
        <v/>
      </c>
      <c r="EF70" s="55">
        <f>IF($B70=$B69,$EF69,0)+$EE70</f>
        <v/>
      </c>
      <c r="EG70" s="55">
        <f>$EG69+$EE70</f>
        <v/>
      </c>
      <c r="EH70" s="55">
        <f>SUMIFS(tblPlant[Power_kWh],tblPlant[Date],$A70)</f>
        <v/>
      </c>
      <c r="EI70" s="55">
        <f>IF($B70=$B69,$EI69,0)+$EH70</f>
        <v/>
      </c>
      <c r="EJ70" s="55">
        <f>$EJ69+$EH70</f>
        <v/>
      </c>
      <c r="EK70" s="55">
        <f>SUMIFS(tblPlant[Raw_Water_m3],tblPlant[Date],$A70)</f>
        <v/>
      </c>
      <c r="EL70" s="55">
        <f>IF($B70=$B69,$EL69,0)+$EK70</f>
        <v/>
      </c>
      <c r="EM70" s="55">
        <f>$EM69+$EK70</f>
        <v/>
      </c>
      <c r="EN70" s="56">
        <f>IFERROR(IF(($BZ70)&gt;0,($DY70)/($BZ70),""),"")</f>
        <v/>
      </c>
      <c r="EO70" s="56">
        <f>IFERROR(IF(($CA70)&gt;0,($DZ70)/($CA70),""),"")</f>
        <v/>
      </c>
      <c r="EP70" s="56">
        <f>IFERROR(IF(($CB70)&gt;0,($EA70)/($CB70),""),"")</f>
        <v/>
      </c>
      <c r="EQ70" s="56">
        <f>IFERROR(IF(($BZ70)&gt;0,($EB70)/($BZ70),""),"")</f>
        <v/>
      </c>
      <c r="ER70" s="56">
        <f>IFERROR(IF(($CA70)&gt;0,($EC70)/($CA70),""),"")</f>
        <v/>
      </c>
      <c r="ES70" s="56">
        <f>IFERROR(IF(($CB70)&gt;0,($ED70)/($CB70),""),"")</f>
        <v/>
      </c>
      <c r="ET70" s="56">
        <f>IFERROR(IF(($BZ70)&gt;0,($EE70)/($BZ70),""),"")</f>
        <v/>
      </c>
      <c r="EU70" s="56">
        <f>IFERROR(IF(($CA70)&gt;0,($EF70)/($CA70),""),"")</f>
        <v/>
      </c>
      <c r="EV70" s="56">
        <f>IFERROR(IF(($CB70)&gt;0,($EG70)/($CB70),""),"")</f>
        <v/>
      </c>
      <c r="EW70" s="76">
        <f>IFERROR(IF(($BZ70)&gt;0,($EH70)/($BZ70),""),"")</f>
        <v/>
      </c>
      <c r="EX70" s="76">
        <f>IFERROR(IF(($CA70)&gt;0,($EI70)/($CA70),""),"")</f>
        <v/>
      </c>
      <c r="EY70" s="76">
        <f>IFERROR(IF(($CB70)&gt;0,($EJ70)/($CB70),""),"")</f>
        <v/>
      </c>
      <c r="EZ70" s="56">
        <f>IFERROR(IF(($BZ70)&gt;0,($EK70)/($BZ70),""),"")</f>
        <v/>
      </c>
      <c r="FA70" s="56">
        <f>IFERROR(IF(($CA70)&gt;0,($EL70)/($CA70),""),"")</f>
        <v/>
      </c>
      <c r="FB70" s="56">
        <f>IFERROR(IF(($CB70)&gt;0,($EM70)/($CB70),""),"")</f>
        <v/>
      </c>
      <c r="FC70" s="55">
        <f>IF(SUMIFS(tblPlant[GIC_oz],tblPlant[Date],$A70)&gt;0,SUMIFS(tblPlant[GIC_oz],tblPlant[Date],$A70),"")</f>
        <v/>
      </c>
      <c r="FD70" s="55">
        <f>SUMIFS(tblGold[Gold_oz],tblGold[Date],$A70,tblGold[Type],"Shipment")</f>
        <v/>
      </c>
      <c r="FE70" s="55">
        <f>IF($B70=$B69,$FE69,0)+$FD70</f>
        <v/>
      </c>
      <c r="FF70" s="55">
        <f>$FF69+$FD70</f>
        <v/>
      </c>
      <c r="FG70" s="55">
        <f>SUMIFS(tblGold[Gold_oz],tblGold[Date],$A70,tblGold[Type],"Sale")</f>
        <v/>
      </c>
      <c r="FH70" s="55">
        <f>IF($B70=$B69,$FH69,0)+$FG70</f>
        <v/>
      </c>
      <c r="FI70" s="55">
        <f>$FI69+$FG70</f>
        <v/>
      </c>
      <c r="FJ70" s="55">
        <f>SUMIFS(tblGold[Dore_kg],tblGold[Date],$A70,tblGold[Type],"Shipment")</f>
        <v/>
      </c>
      <c r="FK70" s="55">
        <f>IF($B70=$B69,$FK69,0)+$FJ70</f>
        <v/>
      </c>
      <c r="FL70" s="55">
        <f>$FL69+$FJ70</f>
        <v/>
      </c>
      <c r="FM70" s="57">
        <f>SUMIFS(tblSafety[Hours_Total],tblSafety[Date],$A70)</f>
        <v/>
      </c>
      <c r="FN70" s="57">
        <f>IF($B70=$B69,$FN69,0)+$FM70</f>
        <v/>
      </c>
      <c r="FO70" s="57">
        <f>$FO69+$FM70</f>
        <v/>
      </c>
      <c r="FP70" s="62">
        <f>SUMIFS(tblSafety[Fatality],tblSafety[Date],$A70)</f>
        <v/>
      </c>
      <c r="FQ70" s="62">
        <f>IF($B70=$B69,$FQ69,0)+$FP70</f>
        <v/>
      </c>
      <c r="FR70" s="62">
        <f>$FR69+$FP70</f>
        <v/>
      </c>
      <c r="FS70" s="62">
        <f>SUMIFS(tblSafety[LTI],tblSafety[Date],$A70)</f>
        <v/>
      </c>
      <c r="FT70" s="62">
        <f>IF($B70=$B69,$FT69,0)+$FS70</f>
        <v/>
      </c>
      <c r="FU70" s="62">
        <f>$FU69+$FS70</f>
        <v/>
      </c>
      <c r="FV70" s="62">
        <f>SUMIFS(tblSafety[RWI],tblSafety[Date],$A70)</f>
        <v/>
      </c>
      <c r="FW70" s="62">
        <f>IF($B70=$B69,$FW69,0)+$FV70</f>
        <v/>
      </c>
      <c r="FX70" s="62">
        <f>$FX69+$FV70</f>
        <v/>
      </c>
      <c r="FY70" s="62">
        <f>SUMIFS(tblSafety[MTI],tblSafety[Date],$A70)</f>
        <v/>
      </c>
      <c r="FZ70" s="62">
        <f>IF($B70=$B69,$FZ69,0)+$FY70</f>
        <v/>
      </c>
      <c r="GA70" s="62">
        <f>$GA69+$FY70</f>
        <v/>
      </c>
      <c r="GB70" s="62">
        <f>SUMIFS(tblSafety[FAI],tblSafety[Date],$A70)</f>
        <v/>
      </c>
      <c r="GC70" s="62">
        <f>IF($B70=$B69,$GC69,0)+$GB70</f>
        <v/>
      </c>
      <c r="GD70" s="62">
        <f>$GD69+$GB70</f>
        <v/>
      </c>
      <c r="GE70" s="62">
        <f>SUMIFS(tblSafety[Recordables],tblSafety[Date],$A70)</f>
        <v/>
      </c>
      <c r="GF70" s="62">
        <f>IF($B70=$B69,$GF69,0)+$GE70</f>
        <v/>
      </c>
      <c r="GG70" s="62">
        <f>$GG69+$GE70</f>
        <v/>
      </c>
      <c r="GH70" s="62">
        <f>SUMIFS(tblSafety[Near_Miss],tblSafety[Date],$A70)</f>
        <v/>
      </c>
      <c r="GI70" s="62">
        <f>IF($B70=$B69,$GI69,0)+$GH70</f>
        <v/>
      </c>
      <c r="GJ70" s="62">
        <f>$GJ69+$GH70</f>
        <v/>
      </c>
      <c r="GK70" s="62">
        <f>SUMIFS(tblSafety[Hazard_Reports],tblSafety[Date],$A70)</f>
        <v/>
      </c>
      <c r="GL70" s="62">
        <f>IF($B70=$B69,$GL69,0)+$GK70</f>
        <v/>
      </c>
      <c r="GM70" s="62">
        <f>$GM69+$GK70</f>
        <v/>
      </c>
      <c r="GN70" s="62">
        <f>SUMIFS(tblSafety[HPI],tblSafety[Date],$A70)</f>
        <v/>
      </c>
      <c r="GO70" s="62">
        <f>IF($B70=$B69,$GO69,0)+$GN70</f>
        <v/>
      </c>
      <c r="GP70" s="62">
        <f>$GP69+$GN70</f>
        <v/>
      </c>
      <c r="GQ70" s="62">
        <f>SUMIFS(tblSafety[Env_Incidents],tblSafety[Date],$A70)</f>
        <v/>
      </c>
      <c r="GR70" s="62">
        <f>IF($B70=$B69,$GR69,0)+$GQ70</f>
        <v/>
      </c>
      <c r="GS70" s="62">
        <f>$GS69+$GQ70</f>
        <v/>
      </c>
      <c r="GT70" s="62">
        <f>SUMIFS(tblSafety[Community_Incidents],tblSafety[Date],$A70)</f>
        <v/>
      </c>
      <c r="GU70" s="62">
        <f>IF($B70=$B69,$GU69,0)+$GT70</f>
        <v/>
      </c>
      <c r="GV70" s="62">
        <f>$GV69+$GT70</f>
        <v/>
      </c>
      <c r="GW70" s="62">
        <f>SUMIFS(tblSafety[Vehicle_Incidents],tblSafety[Date],$A70)</f>
        <v/>
      </c>
      <c r="GX70" s="62">
        <f>IF($B70=$B69,$GX69,0)+$GW70</f>
        <v/>
      </c>
      <c r="GY70" s="62">
        <f>$GY69+$GW70</f>
        <v/>
      </c>
      <c r="GZ70" s="62">
        <f>SUMIFS(tblSafety[Toolbox_Talks],tblSafety[Date],$A70)</f>
        <v/>
      </c>
      <c r="HA70" s="62">
        <f>IF($B70=$B69,$HA69,0)+$GZ70</f>
        <v/>
      </c>
      <c r="HB70" s="62">
        <f>$HB69+$GZ70</f>
        <v/>
      </c>
      <c r="HC70" s="62">
        <f>SUMIFS(tblSafety[Inspections],tblSafety[Date],$A70)</f>
        <v/>
      </c>
      <c r="HD70" s="62">
        <f>IF($B70=$B69,$HD69,0)+$HC70</f>
        <v/>
      </c>
      <c r="HE70" s="62">
        <f>$HE69+$HC70</f>
        <v/>
      </c>
      <c r="HF70" s="56">
        <f>IFERROR((SUMIFS(tblSafety[Recordables],tblSafety[Date],"&gt;="&amp;EDATE($E70,-12),tblSafety[Date],"&lt;="&amp;$A70)+SUMIFS(tblSafetyHistory[Recordables],tblSafetyHistory[Month],"&gt;="&amp;EDATE($E70,-12),tblSafetyHistory[Month],"&lt;"&amp;cfg_YearStart))/(SUMIFS(tblSafety[Hours_Total],tblSafety[Date],"&gt;="&amp;EDATE($E70,-12),tblSafety[Date],"&lt;="&amp;$A70)+SUMIFS(tblSafetyHistory[Hours_Total],tblSafetyHistory[Month],"&gt;="&amp;EDATE($E70,-12),tblSafetyHistory[Month],"&lt;"&amp;cfg_YearStart))*1000000,"")</f>
        <v/>
      </c>
      <c r="HG70" s="56">
        <f>IFERROR((SUMIFS(tblSafety[LTI],tblSafety[Date],"&gt;="&amp;EDATE($E70,-12),tblSafety[Date],"&lt;="&amp;$A70)+SUMIFS(tblSafetyHistory[LTI],tblSafetyHistory[Month],"&gt;="&amp;EDATE($E70,-12),tblSafetyHistory[Month],"&lt;"&amp;cfg_YearStart))/(SUMIFS(tblSafety[Hours_Total],tblSafety[Date],"&gt;="&amp;EDATE($E70,-12),tblSafety[Date],"&lt;="&amp;$A70)+SUMIFS(tblSafetyHistory[Hours_Total],tblSafetyHistory[Month],"&gt;="&amp;EDATE($E70,-12),tblSafetyHistory[Month],"&lt;"&amp;cfg_YearStart))*1000000,"")</f>
        <v/>
      </c>
      <c r="HH70" s="62">
        <f>IF(MAX(N(cfg_PriorLTIDate),_xlfn.MAXIFS(tblSafety[Date],tblSafety[LTI],"&gt;0",tblSafety[Date],"&lt;="&amp;$A70))=0,"",$A70-MAX(N(cfg_PriorLTIDate),_xlfn.MAXIFS(tblSafety[Date],tblSafety[LTI],"&gt;0",tblSafety[Date],"&lt;="&amp;$A70)))</f>
        <v/>
      </c>
      <c r="HI70" s="55">
        <f>SUMIFS(tblBudget[Ore_Mined_t],tblBudget[Month],$E70)</f>
        <v/>
      </c>
      <c r="HJ70" s="55">
        <f>$HI70*$C70/$D70</f>
        <v/>
      </c>
      <c r="HK70" s="55">
        <f>SUMIFS(tblBudget[Ore_Mined_t],tblBudget[Month],"&lt;"&amp;$E70)+$HJ70</f>
        <v/>
      </c>
      <c r="HL70" s="55">
        <f>SUMIFS(tblBudget[Ore_oz],tblBudget[Month],$E70)</f>
        <v/>
      </c>
      <c r="HM70" s="55">
        <f>$HL70*$C70/$D70</f>
        <v/>
      </c>
      <c r="HN70" s="55">
        <f>SUMIFS(tblBudget[Ore_oz],tblBudget[Month],"&lt;"&amp;$E70)+$HM70</f>
        <v/>
      </c>
      <c r="HO70" s="56">
        <f>IFERROR(IF(($HI70)&gt;0,($HL70*cfg_TroyOz)/($HI70),""),"")</f>
        <v/>
      </c>
      <c r="HP70" s="56">
        <f>IFERROR(IF(($HJ70)&gt;0,($HM70*cfg_TroyOz)/($HJ70),""),"")</f>
        <v/>
      </c>
      <c r="HQ70" s="56">
        <f>IFERROR(IF(($HK70)&gt;0,($HN70*cfg_TroyOz)/($HK70),""),"")</f>
        <v/>
      </c>
      <c r="HR70" s="55">
        <f>SUMIFS(tblBudget[Waste_t],tblBudget[Month],$E70)</f>
        <v/>
      </c>
      <c r="HS70" s="55">
        <f>$HR70*$C70/$D70</f>
        <v/>
      </c>
      <c r="HT70" s="55">
        <f>SUMIFS(tblBudget[Waste_t],tblBudget[Month],"&lt;"&amp;$E70)+$HS70</f>
        <v/>
      </c>
      <c r="HU70" s="55">
        <f>SUMIFS(tblBudget[TMM_t],tblBudget[Month],$E70)</f>
        <v/>
      </c>
      <c r="HV70" s="55">
        <f>$HU70*$C70/$D70</f>
        <v/>
      </c>
      <c r="HW70" s="55">
        <f>SUMIFS(tblBudget[TMM_t],tblBudget[Month],"&lt;"&amp;$E70)+$HV70</f>
        <v/>
      </c>
      <c r="HX70" s="56">
        <f>IFERROR(IF(($HI70)&gt;0,($HR70)/($HI70),""),"")</f>
        <v/>
      </c>
      <c r="HY70" s="56">
        <f>IFERROR(IF(($HJ70)&gt;0,($HS70)/($HJ70),""),"")</f>
        <v/>
      </c>
      <c r="HZ70" s="56">
        <f>IFERROR(IF(($HK70)&gt;0,($HT70)/($HK70),""),"")</f>
        <v/>
      </c>
      <c r="IA70" s="55">
        <f>SUMIFS(tblBudget[Drill_m],tblBudget[Month],$E70)</f>
        <v/>
      </c>
      <c r="IB70" s="55">
        <f>$IA70*$C70/$D70</f>
        <v/>
      </c>
      <c r="IC70" s="55">
        <f>SUMIFS(tblBudget[Drill_m],tblBudget[Month],"&lt;"&amp;$E70)+$IB70</f>
        <v/>
      </c>
      <c r="ID70" s="55">
        <f>SUMIFS(tblBudget[Diesel_L],tblBudget[Month],$E70)</f>
        <v/>
      </c>
      <c r="IE70" s="55">
        <f>$ID70*$C70/$D70</f>
        <v/>
      </c>
      <c r="IF70" s="55">
        <f>SUMIFS(tblBudget[Diesel_L],tblBudget[Month],"&lt;"&amp;$E70)+$IE70</f>
        <v/>
      </c>
      <c r="IG70" s="55">
        <f>SUMIFS(tblBudget[Milled_t],tblBudget[Month],$E70)</f>
        <v/>
      </c>
      <c r="IH70" s="55">
        <f>$IG70*$C70/$D70</f>
        <v/>
      </c>
      <c r="II70" s="55">
        <f>SUMIFS(tblBudget[Milled_t],tblBudget[Month],"&lt;"&amp;$E70)+$IH70</f>
        <v/>
      </c>
      <c r="IJ70" s="55">
        <f>SUMIFS(tblBudget[Feed_oz],tblBudget[Month],$E70)</f>
        <v/>
      </c>
      <c r="IK70" s="55">
        <f>$IJ70*$C70/$D70</f>
        <v/>
      </c>
      <c r="IL70" s="55">
        <f>SUMIFS(tblBudget[Feed_oz],tblBudget[Month],"&lt;"&amp;$E70)+$IK70</f>
        <v/>
      </c>
      <c r="IM70" s="55">
        <f>SUMIFS(tblBudget[Recovered_oz],tblBudget[Month],$E70)</f>
        <v/>
      </c>
      <c r="IN70" s="55">
        <f>$IM70*$C70/$D70</f>
        <v/>
      </c>
      <c r="IO70" s="55">
        <f>SUMIFS(tblBudget[Recovered_oz],tblBudget[Month],"&lt;"&amp;$E70)+$IN70</f>
        <v/>
      </c>
      <c r="IP70" s="56">
        <f>IFERROR(IF(($IG70)&gt;0,($IJ70*cfg_TroyOz)/($IG70),""),"")</f>
        <v/>
      </c>
      <c r="IQ70" s="56">
        <f>IFERROR(IF(($IH70)&gt;0,($IK70*cfg_TroyOz)/($IH70),""),"")</f>
        <v/>
      </c>
      <c r="IR70" s="56">
        <f>IFERROR(IF(($II70)&gt;0,($IL70*cfg_TroyOz)/($II70),""),"")</f>
        <v/>
      </c>
      <c r="IS70" s="67">
        <f>IFERROR(IF(($IJ70)&gt;0,($IM70)/($IJ70),""),"")</f>
        <v/>
      </c>
      <c r="IT70" s="67">
        <f>IFERROR(IF(($IK70)&gt;0,($IN70)/($IK70),""),"")</f>
        <v/>
      </c>
      <c r="IU70" s="67">
        <f>IFERROR(IF(($IL70)&gt;0,($IO70)/($IL70),""),"")</f>
        <v/>
      </c>
      <c r="IV70" s="55">
        <f>SUMIFS(tblBudget[Gold_Poured_oz],tblBudget[Month],$E70)</f>
        <v/>
      </c>
      <c r="IW70" s="55">
        <f>$IV70*$C70/$D70</f>
        <v/>
      </c>
      <c r="IX70" s="55">
        <f>SUMIFS(tblBudget[Gold_Poured_oz],tblBudget[Month],"&lt;"&amp;$E70)+$IW70</f>
        <v/>
      </c>
      <c r="IY70" s="57">
        <f>SUMIFS(tblBudget[Hours_Worked],tblBudget[Month],$E70)</f>
        <v/>
      </c>
      <c r="IZ70" s="57">
        <f>$IY70*$C70/$D70</f>
        <v/>
      </c>
      <c r="JA70" s="57">
        <f>SUMIFS(tblBudget[Hours_Worked],tblBudget[Month],"&lt;"&amp;$E70)+$IZ70</f>
        <v/>
      </c>
    </row>
    <row r="71">
      <c r="A71" s="54" t="n">
        <v>46092</v>
      </c>
      <c r="B71">
        <f>MONTH($A71)</f>
        <v/>
      </c>
      <c r="C71">
        <f>DAY($A71)</f>
        <v/>
      </c>
      <c r="D71">
        <f>DAY(EOMONTH($A71,0))</f>
        <v/>
      </c>
      <c r="E71" s="54">
        <f>DATE(YEAR($A71),MONTH($A71),1)</f>
        <v/>
      </c>
      <c r="F71" s="55">
        <f>SUMIFS(tblMovement[Tonnes_t],tblMovement[Date],$A71,tblMovement[Is_Ore],1,tblMovement[Source_Type],"Pit")</f>
        <v/>
      </c>
      <c r="G71" s="55">
        <f>IF($B71=$B70,$G70,0)+$F71</f>
        <v/>
      </c>
      <c r="H71" s="55">
        <f>$H70+$F71</f>
        <v/>
      </c>
      <c r="I71" s="55">
        <f>SUMIFS(tblMovement[Ore_oz],tblMovement[Date],$A71,tblMovement[Source_Type],"Pit")</f>
        <v/>
      </c>
      <c r="J71" s="55">
        <f>IF($B71=$B70,$J70,0)+$I71</f>
        <v/>
      </c>
      <c r="K71" s="55">
        <f>$K70+$I71</f>
        <v/>
      </c>
      <c r="L71" s="56">
        <f>IFERROR(IF(($F71)&gt;0,($I71*cfg_TroyOz)/($F71),""),"")</f>
        <v/>
      </c>
      <c r="M71" s="56">
        <f>IFERROR(IF(($G71)&gt;0,($J71*cfg_TroyOz)/($G71),""),"")</f>
        <v/>
      </c>
      <c r="N71" s="56">
        <f>IFERROR(IF(($H71)&gt;0,($K71*cfg_TroyOz)/($H71),""),"")</f>
        <v/>
      </c>
      <c r="O71" s="55">
        <f>SUMIFS(tblMovement[Tonnes_t],tblMovement[Date],$A71,tblMovement[Is_Ore],0,tblMovement[Source_Type],"Pit")</f>
        <v/>
      </c>
      <c r="P71" s="55">
        <f>IF($B71=$B70,$P70,0)+$O71</f>
        <v/>
      </c>
      <c r="Q71" s="55">
        <f>$Q70+$O71</f>
        <v/>
      </c>
      <c r="R71" s="55">
        <f>$F71+$O71</f>
        <v/>
      </c>
      <c r="S71" s="55">
        <f>IF($B71=$B70,$S70,0)+$R71</f>
        <v/>
      </c>
      <c r="T71" s="55">
        <f>$T70+$R71</f>
        <v/>
      </c>
      <c r="U71" s="56">
        <f>IFERROR(IF(($F71)&gt;0,($O71)/($F71),""),"")</f>
        <v/>
      </c>
      <c r="V71" s="56">
        <f>IFERROR(IF(($G71)&gt;0,($P71)/($G71),""),"")</f>
        <v/>
      </c>
      <c r="W71" s="56">
        <f>IFERROR(IF(($H71)&gt;0,($Q71)/($H71),""),"")</f>
        <v/>
      </c>
      <c r="X71" s="55">
        <f>SUMIFS(tblMovement[Tonnes_t],tblMovement[Date],$A71,tblMovement[Source_Type],"Stockpile")</f>
        <v/>
      </c>
      <c r="Y71" s="55">
        <f>IF($B71=$B70,$Y70,0)+$X71</f>
        <v/>
      </c>
      <c r="Z71" s="55">
        <f>$Z70+$X71</f>
        <v/>
      </c>
      <c r="AA71" s="55">
        <f>SUMIFS(tblMiningDaily[Drill_m],tblMiningDaily[Date],$A71)</f>
        <v/>
      </c>
      <c r="AB71" s="55">
        <f>IF($B71=$B70,$AB70,0)+$AA71</f>
        <v/>
      </c>
      <c r="AC71" s="55">
        <f>$AC70+$AA71</f>
        <v/>
      </c>
      <c r="AD71" s="55">
        <f>SUMIFS(tblMiningDaily[Blast_t],tblMiningDaily[Date],$A71)</f>
        <v/>
      </c>
      <c r="AE71" s="55">
        <f>IF($B71=$B70,$AE70,0)+$AD71</f>
        <v/>
      </c>
      <c r="AF71" s="55">
        <f>$AF70+$AD71</f>
        <v/>
      </c>
      <c r="AG71" s="55">
        <f>SUMIFS(tblMiningDaily[Explosives_kg],tblMiningDaily[Date],$A71)</f>
        <v/>
      </c>
      <c r="AH71" s="55">
        <f>IF($B71=$B70,$AH70,0)+$AG71</f>
        <v/>
      </c>
      <c r="AI71" s="55">
        <f>$AI70+$AG71</f>
        <v/>
      </c>
      <c r="AJ71" s="56">
        <f>IFERROR(IF(($AD71)&gt;0,($AG71)/($AD71),""),"")</f>
        <v/>
      </c>
      <c r="AK71" s="56">
        <f>IFERROR(IF(($AE71)&gt;0,($AH71)/($AE71),""),"")</f>
        <v/>
      </c>
      <c r="AL71" s="56">
        <f>IFERROR(IF(($AF71)&gt;0,($AI71)/($AF71),""),"")</f>
        <v/>
      </c>
      <c r="AM71" s="55">
        <f>SUMIFS(tblMiningDaily[Diesel_L],tblMiningDaily[Date],$A71)</f>
        <v/>
      </c>
      <c r="AN71" s="55">
        <f>IF($B71=$B70,$AN70,0)+$AM71</f>
        <v/>
      </c>
      <c r="AO71" s="55">
        <f>$AO70+$AM71</f>
        <v/>
      </c>
      <c r="AP71" s="55">
        <f>SUMIFS(tblMiningDaily[Dewatering_m3],tblMiningDaily[Date],$A71)</f>
        <v/>
      </c>
      <c r="AQ71" s="55">
        <f>IF($B71=$B70,$AQ70,0)+$AP71</f>
        <v/>
      </c>
      <c r="AR71" s="55">
        <f>$AR70+$AP71</f>
        <v/>
      </c>
      <c r="AS71" s="57">
        <f>SUMIFS(tblFleet[Calendar_h],tblFleet[Date],$A71,tblFleet[Equipment_Class],"Excavator")</f>
        <v/>
      </c>
      <c r="AT71" s="57">
        <f>IF($B71=$B70,$AT70,0)+$AS71</f>
        <v/>
      </c>
      <c r="AU71" s="57">
        <f>$AU70+$AS71</f>
        <v/>
      </c>
      <c r="AV71" s="57">
        <f>SUMIFS(tblFleet[Available_h],tblFleet[Date],$A71,tblFleet[Equipment_Class],"Excavator")</f>
        <v/>
      </c>
      <c r="AW71" s="57">
        <f>IF($B71=$B70,$AW70,0)+$AV71</f>
        <v/>
      </c>
      <c r="AX71" s="57">
        <f>$AX70+$AV71</f>
        <v/>
      </c>
      <c r="AY71" s="57">
        <f>SUMIFS(tblFleet[Operating_h],tblFleet[Date],$A71,tblFleet[Equipment_Class],"Excavator")</f>
        <v/>
      </c>
      <c r="AZ71" s="57">
        <f>IF($B71=$B70,$AZ70,0)+$AY71</f>
        <v/>
      </c>
      <c r="BA71" s="57">
        <f>$BA70+$AY71</f>
        <v/>
      </c>
      <c r="BB71" s="67">
        <f>IFERROR(IF(($AS71)&gt;0,($AV71)/($AS71),""),"")</f>
        <v/>
      </c>
      <c r="BC71" s="67">
        <f>IFERROR(IF(($AT71)&gt;0,($AW71)/($AT71),""),"")</f>
        <v/>
      </c>
      <c r="BD71" s="67">
        <f>IFERROR(IF(($AU71)&gt;0,($AX71)/($AU71),""),"")</f>
        <v/>
      </c>
      <c r="BE71" s="67">
        <f>IFERROR(IF(($AV71)&gt;0,($AY71)/($AV71),""),"")</f>
        <v/>
      </c>
      <c r="BF71" s="67">
        <f>IFERROR(IF(($AW71)&gt;0,($AZ71)/($AW71),""),"")</f>
        <v/>
      </c>
      <c r="BG71" s="67">
        <f>IFERROR(IF(($AX71)&gt;0,($BA71)/($AX71),""),"")</f>
        <v/>
      </c>
      <c r="BH71" s="57">
        <f>SUMIFS(tblFleet[Calendar_h],tblFleet[Date],$A71,tblFleet[Equipment_Class],"Haul Truck")</f>
        <v/>
      </c>
      <c r="BI71" s="57">
        <f>IF($B71=$B70,$BI70,0)+$BH71</f>
        <v/>
      </c>
      <c r="BJ71" s="57">
        <f>$BJ70+$BH71</f>
        <v/>
      </c>
      <c r="BK71" s="57">
        <f>SUMIFS(tblFleet[Available_h],tblFleet[Date],$A71,tblFleet[Equipment_Class],"Haul Truck")</f>
        <v/>
      </c>
      <c r="BL71" s="57">
        <f>IF($B71=$B70,$BL70,0)+$BK71</f>
        <v/>
      </c>
      <c r="BM71" s="57">
        <f>$BM70+$BK71</f>
        <v/>
      </c>
      <c r="BN71" s="57">
        <f>SUMIFS(tblFleet[Operating_h],tblFleet[Date],$A71,tblFleet[Equipment_Class],"Haul Truck")</f>
        <v/>
      </c>
      <c r="BO71" s="57">
        <f>IF($B71=$B70,$BO70,0)+$BN71</f>
        <v/>
      </c>
      <c r="BP71" s="57">
        <f>$BP70+$BN71</f>
        <v/>
      </c>
      <c r="BQ71" s="67">
        <f>IFERROR(IF(($BH71)&gt;0,($BK71)/($BH71),""),"")</f>
        <v/>
      </c>
      <c r="BR71" s="67">
        <f>IFERROR(IF(($BI71)&gt;0,($BL71)/($BI71),""),"")</f>
        <v/>
      </c>
      <c r="BS71" s="67">
        <f>IFERROR(IF(($BJ71)&gt;0,($BM71)/($BJ71),""),"")</f>
        <v/>
      </c>
      <c r="BT71" s="67">
        <f>IFERROR(IF(($BK71)&gt;0,($BN71)/($BK71),""),"")</f>
        <v/>
      </c>
      <c r="BU71" s="67">
        <f>IFERROR(IF(($BL71)&gt;0,($BO71)/($BL71),""),"")</f>
        <v/>
      </c>
      <c r="BV71" s="67">
        <f>IFERROR(IF(($BM71)&gt;0,($BP71)/($BM71),""),"")</f>
        <v/>
      </c>
      <c r="BW71" s="55">
        <f>SUMIFS(tblPlant[Crushed_t],tblPlant[Date],$A71)</f>
        <v/>
      </c>
      <c r="BX71" s="55">
        <f>IF($B71=$B70,$BX70,0)+$BW71</f>
        <v/>
      </c>
      <c r="BY71" s="55">
        <f>$BY70+$BW71</f>
        <v/>
      </c>
      <c r="BZ71" s="55">
        <f>SUMIFS(tblPlant[Milled_t],tblPlant[Date],$A71)</f>
        <v/>
      </c>
      <c r="CA71" s="55">
        <f>IF($B71=$B70,$CA70,0)+$BZ71</f>
        <v/>
      </c>
      <c r="CB71" s="55">
        <f>$CB70+$BZ71</f>
        <v/>
      </c>
      <c r="CC71" s="55">
        <f>SUMIFS(tblPlant[Feed_oz],tblPlant[Date],$A71)</f>
        <v/>
      </c>
      <c r="CD71" s="55">
        <f>IF($B71=$B70,$CD70,0)+$CC71</f>
        <v/>
      </c>
      <c r="CE71" s="55">
        <f>$CE70+$CC71</f>
        <v/>
      </c>
      <c r="CF71" s="55">
        <f>SUMIFS(tblPlant[Tails_oz],tblPlant[Date],$A71)</f>
        <v/>
      </c>
      <c r="CG71" s="55">
        <f>IF($B71=$B70,$CG70,0)+$CF71</f>
        <v/>
      </c>
      <c r="CH71" s="55">
        <f>$CH70+$CF71</f>
        <v/>
      </c>
      <c r="CI71" s="55">
        <f>SUMIFS(tblPlant[Recovered_oz],tblPlant[Date],$A71)</f>
        <v/>
      </c>
      <c r="CJ71" s="55">
        <f>IF($B71=$B70,$CJ70,0)+$CI71</f>
        <v/>
      </c>
      <c r="CK71" s="55">
        <f>$CK70+$CI71</f>
        <v/>
      </c>
      <c r="CL71" s="56">
        <f>IFERROR(IF(($BZ71)&gt;0,($CC71*cfg_TroyOz)/($BZ71),""),"")</f>
        <v/>
      </c>
      <c r="CM71" s="56">
        <f>IFERROR(IF(($CA71)&gt;0,($CD71*cfg_TroyOz)/($CA71),""),"")</f>
        <v/>
      </c>
      <c r="CN71" s="56">
        <f>IFERROR(IF(($CB71)&gt;0,($CE71*cfg_TroyOz)/($CB71),""),"")</f>
        <v/>
      </c>
      <c r="CO71" s="56">
        <f>IFERROR(IF(($BZ71)&gt;0,($CF71*cfg_TroyOz)/($BZ71),""),"")</f>
        <v/>
      </c>
      <c r="CP71" s="56">
        <f>IFERROR(IF(($CA71)&gt;0,($CG71*cfg_TroyOz)/($CA71),""),"")</f>
        <v/>
      </c>
      <c r="CQ71" s="56">
        <f>IFERROR(IF(($CB71)&gt;0,($CH71*cfg_TroyOz)/($CB71),""),"")</f>
        <v/>
      </c>
      <c r="CR71" s="67">
        <f>IFERROR(IF(($CC71)&gt;0,($CI71)/($CC71),""),"")</f>
        <v/>
      </c>
      <c r="CS71" s="67">
        <f>IFERROR(IF(($CD71)&gt;0,($CJ71)/($CD71),""),"")</f>
        <v/>
      </c>
      <c r="CT71" s="67">
        <f>IFERROR(IF(($CE71)&gt;0,($CK71)/($CE71),""),"")</f>
        <v/>
      </c>
      <c r="CU71" s="55">
        <f>SUMIFS(tblPlant[Gravity_Gold_oz],tblPlant[Date],$A71)</f>
        <v/>
      </c>
      <c r="CV71" s="55">
        <f>IF($B71=$B70,$CV70,0)+$CU71</f>
        <v/>
      </c>
      <c r="CW71" s="55">
        <f>$CW70+$CU71</f>
        <v/>
      </c>
      <c r="CX71" s="55">
        <f>SUMIFS(tblPlant[Gold_Poured_oz],tblPlant[Date],$A71)</f>
        <v/>
      </c>
      <c r="CY71" s="55">
        <f>IF($B71=$B70,$CY70,0)+$CX71</f>
        <v/>
      </c>
      <c r="CZ71" s="55">
        <f>$CZ70+$CX71</f>
        <v/>
      </c>
      <c r="DA71" s="57">
        <f>SUMIFS(tblPlant[Mill_Run_h],tblPlant[Date],$A71)</f>
        <v/>
      </c>
      <c r="DB71" s="57">
        <f>IF($B71=$B70,$DB70,0)+$DA71</f>
        <v/>
      </c>
      <c r="DC71" s="57">
        <f>$DC70+$DA71</f>
        <v/>
      </c>
      <c r="DD71" s="57">
        <f>SUMIFS(tblPlant[Mill_Planned_Maint_h],tblPlant[Date],$A71)</f>
        <v/>
      </c>
      <c r="DE71" s="57">
        <f>IF($B71=$B70,$DE70,0)+$DD71</f>
        <v/>
      </c>
      <c r="DF71" s="57">
        <f>$DF70+$DD71</f>
        <v/>
      </c>
      <c r="DG71" s="57">
        <f>SUMIFS(tblPlant[Mill_Unplanned_Down_h],tblPlant[Date],$A71)</f>
        <v/>
      </c>
      <c r="DH71" s="57">
        <f>IF($B71=$B70,$DH70,0)+$DG71</f>
        <v/>
      </c>
      <c r="DI71" s="57">
        <f>$DI70+$DG71</f>
        <v/>
      </c>
      <c r="DJ71" s="57">
        <f>COUNTIFS(tblPlant[Date],$A71,tblPlant[Mill_Run_h],"&lt;&gt;")*24</f>
        <v/>
      </c>
      <c r="DK71" s="57">
        <f>IF($B71=$B70,$DK70,0)+$DJ71</f>
        <v/>
      </c>
      <c r="DL71" s="57">
        <f>$DL70+$DJ71</f>
        <v/>
      </c>
      <c r="DM71" s="57">
        <f>SUMIFS(tblPlant[Crusher_Run_h],tblPlant[Date],$A71)</f>
        <v/>
      </c>
      <c r="DN71" s="57">
        <f>IF($B71=$B70,$DN70,0)+$DM71</f>
        <v/>
      </c>
      <c r="DO71" s="57">
        <f>$DO70+$DM71</f>
        <v/>
      </c>
      <c r="DP71" s="55">
        <f>IFERROR(IF(($DA71)&gt;0,($BZ71)/($DA71),""),"")</f>
        <v/>
      </c>
      <c r="DQ71" s="55">
        <f>IFERROR(IF(($DB71)&gt;0,($CA71)/($DB71),""),"")</f>
        <v/>
      </c>
      <c r="DR71" s="55">
        <f>IFERROR(IF(($DC71)&gt;0,($CB71)/($DC71),""),"")</f>
        <v/>
      </c>
      <c r="DS71" s="67">
        <f>IFERROR(IF(($DJ71)&gt;0,($DJ71-$DD71-$DG71)/($DJ71),""),"")</f>
        <v/>
      </c>
      <c r="DT71" s="67">
        <f>IFERROR(IF(($DK71)&gt;0,($DK71-$DE71-$DH71)/($DK71),""),"")</f>
        <v/>
      </c>
      <c r="DU71" s="67">
        <f>IFERROR(IF(($DL71)&gt;0,($DL71-$DF71-$DI71)/($DL71),""),"")</f>
        <v/>
      </c>
      <c r="DV71" s="67">
        <f>IFERROR(IF(($DJ71-$DD71-$DG71)&gt;0,($DA71)/($DJ71-$DD71-$DG71),""),"")</f>
        <v/>
      </c>
      <c r="DW71" s="67">
        <f>IFERROR(IF(($DK71-$DE71-$DH71)&gt;0,($DB71)/($DK71-$DE71-$DH71),""),"")</f>
        <v/>
      </c>
      <c r="DX71" s="67">
        <f>IFERROR(IF(($DL71-$DF71-$DI71)&gt;0,($DC71)/($DL71-$DF71-$DI71),""),"")</f>
        <v/>
      </c>
      <c r="DY71" s="55">
        <f>SUMIFS(tblPlant[Cyanide_kg],tblPlant[Date],$A71)</f>
        <v/>
      </c>
      <c r="DZ71" s="55">
        <f>IF($B71=$B70,$DZ70,0)+$DY71</f>
        <v/>
      </c>
      <c r="EA71" s="55">
        <f>$EA70+$DY71</f>
        <v/>
      </c>
      <c r="EB71" s="55">
        <f>SUMIFS(tblPlant[Lime_kg],tblPlant[Date],$A71)</f>
        <v/>
      </c>
      <c r="EC71" s="55">
        <f>IF($B71=$B70,$EC70,0)+$EB71</f>
        <v/>
      </c>
      <c r="ED71" s="55">
        <f>$ED70+$EB71</f>
        <v/>
      </c>
      <c r="EE71" s="55">
        <f>SUMIFS(tblPlant[Grinding_Media_kg],tblPlant[Date],$A71)</f>
        <v/>
      </c>
      <c r="EF71" s="55">
        <f>IF($B71=$B70,$EF70,0)+$EE71</f>
        <v/>
      </c>
      <c r="EG71" s="55">
        <f>$EG70+$EE71</f>
        <v/>
      </c>
      <c r="EH71" s="55">
        <f>SUMIFS(tblPlant[Power_kWh],tblPlant[Date],$A71)</f>
        <v/>
      </c>
      <c r="EI71" s="55">
        <f>IF($B71=$B70,$EI70,0)+$EH71</f>
        <v/>
      </c>
      <c r="EJ71" s="55">
        <f>$EJ70+$EH71</f>
        <v/>
      </c>
      <c r="EK71" s="55">
        <f>SUMIFS(tblPlant[Raw_Water_m3],tblPlant[Date],$A71)</f>
        <v/>
      </c>
      <c r="EL71" s="55">
        <f>IF($B71=$B70,$EL70,0)+$EK71</f>
        <v/>
      </c>
      <c r="EM71" s="55">
        <f>$EM70+$EK71</f>
        <v/>
      </c>
      <c r="EN71" s="56">
        <f>IFERROR(IF(($BZ71)&gt;0,($DY71)/($BZ71),""),"")</f>
        <v/>
      </c>
      <c r="EO71" s="56">
        <f>IFERROR(IF(($CA71)&gt;0,($DZ71)/($CA71),""),"")</f>
        <v/>
      </c>
      <c r="EP71" s="56">
        <f>IFERROR(IF(($CB71)&gt;0,($EA71)/($CB71),""),"")</f>
        <v/>
      </c>
      <c r="EQ71" s="56">
        <f>IFERROR(IF(($BZ71)&gt;0,($EB71)/($BZ71),""),"")</f>
        <v/>
      </c>
      <c r="ER71" s="56">
        <f>IFERROR(IF(($CA71)&gt;0,($EC71)/($CA71),""),"")</f>
        <v/>
      </c>
      <c r="ES71" s="56">
        <f>IFERROR(IF(($CB71)&gt;0,($ED71)/($CB71),""),"")</f>
        <v/>
      </c>
      <c r="ET71" s="56">
        <f>IFERROR(IF(($BZ71)&gt;0,($EE71)/($BZ71),""),"")</f>
        <v/>
      </c>
      <c r="EU71" s="56">
        <f>IFERROR(IF(($CA71)&gt;0,($EF71)/($CA71),""),"")</f>
        <v/>
      </c>
      <c r="EV71" s="56">
        <f>IFERROR(IF(($CB71)&gt;0,($EG71)/($CB71),""),"")</f>
        <v/>
      </c>
      <c r="EW71" s="76">
        <f>IFERROR(IF(($BZ71)&gt;0,($EH71)/($BZ71),""),"")</f>
        <v/>
      </c>
      <c r="EX71" s="76">
        <f>IFERROR(IF(($CA71)&gt;0,($EI71)/($CA71),""),"")</f>
        <v/>
      </c>
      <c r="EY71" s="76">
        <f>IFERROR(IF(($CB71)&gt;0,($EJ71)/($CB71),""),"")</f>
        <v/>
      </c>
      <c r="EZ71" s="56">
        <f>IFERROR(IF(($BZ71)&gt;0,($EK71)/($BZ71),""),"")</f>
        <v/>
      </c>
      <c r="FA71" s="56">
        <f>IFERROR(IF(($CA71)&gt;0,($EL71)/($CA71),""),"")</f>
        <v/>
      </c>
      <c r="FB71" s="56">
        <f>IFERROR(IF(($CB71)&gt;0,($EM71)/($CB71),""),"")</f>
        <v/>
      </c>
      <c r="FC71" s="55">
        <f>IF(SUMIFS(tblPlant[GIC_oz],tblPlant[Date],$A71)&gt;0,SUMIFS(tblPlant[GIC_oz],tblPlant[Date],$A71),"")</f>
        <v/>
      </c>
      <c r="FD71" s="55">
        <f>SUMIFS(tblGold[Gold_oz],tblGold[Date],$A71,tblGold[Type],"Shipment")</f>
        <v/>
      </c>
      <c r="FE71" s="55">
        <f>IF($B71=$B70,$FE70,0)+$FD71</f>
        <v/>
      </c>
      <c r="FF71" s="55">
        <f>$FF70+$FD71</f>
        <v/>
      </c>
      <c r="FG71" s="55">
        <f>SUMIFS(tblGold[Gold_oz],tblGold[Date],$A71,tblGold[Type],"Sale")</f>
        <v/>
      </c>
      <c r="FH71" s="55">
        <f>IF($B71=$B70,$FH70,0)+$FG71</f>
        <v/>
      </c>
      <c r="FI71" s="55">
        <f>$FI70+$FG71</f>
        <v/>
      </c>
      <c r="FJ71" s="55">
        <f>SUMIFS(tblGold[Dore_kg],tblGold[Date],$A71,tblGold[Type],"Shipment")</f>
        <v/>
      </c>
      <c r="FK71" s="55">
        <f>IF($B71=$B70,$FK70,0)+$FJ71</f>
        <v/>
      </c>
      <c r="FL71" s="55">
        <f>$FL70+$FJ71</f>
        <v/>
      </c>
      <c r="FM71" s="57">
        <f>SUMIFS(tblSafety[Hours_Total],tblSafety[Date],$A71)</f>
        <v/>
      </c>
      <c r="FN71" s="57">
        <f>IF($B71=$B70,$FN70,0)+$FM71</f>
        <v/>
      </c>
      <c r="FO71" s="57">
        <f>$FO70+$FM71</f>
        <v/>
      </c>
      <c r="FP71" s="62">
        <f>SUMIFS(tblSafety[Fatality],tblSafety[Date],$A71)</f>
        <v/>
      </c>
      <c r="FQ71" s="62">
        <f>IF($B71=$B70,$FQ70,0)+$FP71</f>
        <v/>
      </c>
      <c r="FR71" s="62">
        <f>$FR70+$FP71</f>
        <v/>
      </c>
      <c r="FS71" s="62">
        <f>SUMIFS(tblSafety[LTI],tblSafety[Date],$A71)</f>
        <v/>
      </c>
      <c r="FT71" s="62">
        <f>IF($B71=$B70,$FT70,0)+$FS71</f>
        <v/>
      </c>
      <c r="FU71" s="62">
        <f>$FU70+$FS71</f>
        <v/>
      </c>
      <c r="FV71" s="62">
        <f>SUMIFS(tblSafety[RWI],tblSafety[Date],$A71)</f>
        <v/>
      </c>
      <c r="FW71" s="62">
        <f>IF($B71=$B70,$FW70,0)+$FV71</f>
        <v/>
      </c>
      <c r="FX71" s="62">
        <f>$FX70+$FV71</f>
        <v/>
      </c>
      <c r="FY71" s="62">
        <f>SUMIFS(tblSafety[MTI],tblSafety[Date],$A71)</f>
        <v/>
      </c>
      <c r="FZ71" s="62">
        <f>IF($B71=$B70,$FZ70,0)+$FY71</f>
        <v/>
      </c>
      <c r="GA71" s="62">
        <f>$GA70+$FY71</f>
        <v/>
      </c>
      <c r="GB71" s="62">
        <f>SUMIFS(tblSafety[FAI],tblSafety[Date],$A71)</f>
        <v/>
      </c>
      <c r="GC71" s="62">
        <f>IF($B71=$B70,$GC70,0)+$GB71</f>
        <v/>
      </c>
      <c r="GD71" s="62">
        <f>$GD70+$GB71</f>
        <v/>
      </c>
      <c r="GE71" s="62">
        <f>SUMIFS(tblSafety[Recordables],tblSafety[Date],$A71)</f>
        <v/>
      </c>
      <c r="GF71" s="62">
        <f>IF($B71=$B70,$GF70,0)+$GE71</f>
        <v/>
      </c>
      <c r="GG71" s="62">
        <f>$GG70+$GE71</f>
        <v/>
      </c>
      <c r="GH71" s="62">
        <f>SUMIFS(tblSafety[Near_Miss],tblSafety[Date],$A71)</f>
        <v/>
      </c>
      <c r="GI71" s="62">
        <f>IF($B71=$B70,$GI70,0)+$GH71</f>
        <v/>
      </c>
      <c r="GJ71" s="62">
        <f>$GJ70+$GH71</f>
        <v/>
      </c>
      <c r="GK71" s="62">
        <f>SUMIFS(tblSafety[Hazard_Reports],tblSafety[Date],$A71)</f>
        <v/>
      </c>
      <c r="GL71" s="62">
        <f>IF($B71=$B70,$GL70,0)+$GK71</f>
        <v/>
      </c>
      <c r="GM71" s="62">
        <f>$GM70+$GK71</f>
        <v/>
      </c>
      <c r="GN71" s="62">
        <f>SUMIFS(tblSafety[HPI],tblSafety[Date],$A71)</f>
        <v/>
      </c>
      <c r="GO71" s="62">
        <f>IF($B71=$B70,$GO70,0)+$GN71</f>
        <v/>
      </c>
      <c r="GP71" s="62">
        <f>$GP70+$GN71</f>
        <v/>
      </c>
      <c r="GQ71" s="62">
        <f>SUMIFS(tblSafety[Env_Incidents],tblSafety[Date],$A71)</f>
        <v/>
      </c>
      <c r="GR71" s="62">
        <f>IF($B71=$B70,$GR70,0)+$GQ71</f>
        <v/>
      </c>
      <c r="GS71" s="62">
        <f>$GS70+$GQ71</f>
        <v/>
      </c>
      <c r="GT71" s="62">
        <f>SUMIFS(tblSafety[Community_Incidents],tblSafety[Date],$A71)</f>
        <v/>
      </c>
      <c r="GU71" s="62">
        <f>IF($B71=$B70,$GU70,0)+$GT71</f>
        <v/>
      </c>
      <c r="GV71" s="62">
        <f>$GV70+$GT71</f>
        <v/>
      </c>
      <c r="GW71" s="62">
        <f>SUMIFS(tblSafety[Vehicle_Incidents],tblSafety[Date],$A71)</f>
        <v/>
      </c>
      <c r="GX71" s="62">
        <f>IF($B71=$B70,$GX70,0)+$GW71</f>
        <v/>
      </c>
      <c r="GY71" s="62">
        <f>$GY70+$GW71</f>
        <v/>
      </c>
      <c r="GZ71" s="62">
        <f>SUMIFS(tblSafety[Toolbox_Talks],tblSafety[Date],$A71)</f>
        <v/>
      </c>
      <c r="HA71" s="62">
        <f>IF($B71=$B70,$HA70,0)+$GZ71</f>
        <v/>
      </c>
      <c r="HB71" s="62">
        <f>$HB70+$GZ71</f>
        <v/>
      </c>
      <c r="HC71" s="62">
        <f>SUMIFS(tblSafety[Inspections],tblSafety[Date],$A71)</f>
        <v/>
      </c>
      <c r="HD71" s="62">
        <f>IF($B71=$B70,$HD70,0)+$HC71</f>
        <v/>
      </c>
      <c r="HE71" s="62">
        <f>$HE70+$HC71</f>
        <v/>
      </c>
      <c r="HF71" s="56">
        <f>IFERROR((SUMIFS(tblSafety[Recordables],tblSafety[Date],"&gt;="&amp;EDATE($E71,-12),tblSafety[Date],"&lt;="&amp;$A71)+SUMIFS(tblSafetyHistory[Recordables],tblSafetyHistory[Month],"&gt;="&amp;EDATE($E71,-12),tblSafetyHistory[Month],"&lt;"&amp;cfg_YearStart))/(SUMIFS(tblSafety[Hours_Total],tblSafety[Date],"&gt;="&amp;EDATE($E71,-12),tblSafety[Date],"&lt;="&amp;$A71)+SUMIFS(tblSafetyHistory[Hours_Total],tblSafetyHistory[Month],"&gt;="&amp;EDATE($E71,-12),tblSafetyHistory[Month],"&lt;"&amp;cfg_YearStart))*1000000,"")</f>
        <v/>
      </c>
      <c r="HG71" s="56">
        <f>IFERROR((SUMIFS(tblSafety[LTI],tblSafety[Date],"&gt;="&amp;EDATE($E71,-12),tblSafety[Date],"&lt;="&amp;$A71)+SUMIFS(tblSafetyHistory[LTI],tblSafetyHistory[Month],"&gt;="&amp;EDATE($E71,-12),tblSafetyHistory[Month],"&lt;"&amp;cfg_YearStart))/(SUMIFS(tblSafety[Hours_Total],tblSafety[Date],"&gt;="&amp;EDATE($E71,-12),tblSafety[Date],"&lt;="&amp;$A71)+SUMIFS(tblSafetyHistory[Hours_Total],tblSafetyHistory[Month],"&gt;="&amp;EDATE($E71,-12),tblSafetyHistory[Month],"&lt;"&amp;cfg_YearStart))*1000000,"")</f>
        <v/>
      </c>
      <c r="HH71" s="62">
        <f>IF(MAX(N(cfg_PriorLTIDate),_xlfn.MAXIFS(tblSafety[Date],tblSafety[LTI],"&gt;0",tblSafety[Date],"&lt;="&amp;$A71))=0,"",$A71-MAX(N(cfg_PriorLTIDate),_xlfn.MAXIFS(tblSafety[Date],tblSafety[LTI],"&gt;0",tblSafety[Date],"&lt;="&amp;$A71)))</f>
        <v/>
      </c>
      <c r="HI71" s="55">
        <f>SUMIFS(tblBudget[Ore_Mined_t],tblBudget[Month],$E71)</f>
        <v/>
      </c>
      <c r="HJ71" s="55">
        <f>$HI71*$C71/$D71</f>
        <v/>
      </c>
      <c r="HK71" s="55">
        <f>SUMIFS(tblBudget[Ore_Mined_t],tblBudget[Month],"&lt;"&amp;$E71)+$HJ71</f>
        <v/>
      </c>
      <c r="HL71" s="55">
        <f>SUMIFS(tblBudget[Ore_oz],tblBudget[Month],$E71)</f>
        <v/>
      </c>
      <c r="HM71" s="55">
        <f>$HL71*$C71/$D71</f>
        <v/>
      </c>
      <c r="HN71" s="55">
        <f>SUMIFS(tblBudget[Ore_oz],tblBudget[Month],"&lt;"&amp;$E71)+$HM71</f>
        <v/>
      </c>
      <c r="HO71" s="56">
        <f>IFERROR(IF(($HI71)&gt;0,($HL71*cfg_TroyOz)/($HI71),""),"")</f>
        <v/>
      </c>
      <c r="HP71" s="56">
        <f>IFERROR(IF(($HJ71)&gt;0,($HM71*cfg_TroyOz)/($HJ71),""),"")</f>
        <v/>
      </c>
      <c r="HQ71" s="56">
        <f>IFERROR(IF(($HK71)&gt;0,($HN71*cfg_TroyOz)/($HK71),""),"")</f>
        <v/>
      </c>
      <c r="HR71" s="55">
        <f>SUMIFS(tblBudget[Waste_t],tblBudget[Month],$E71)</f>
        <v/>
      </c>
      <c r="HS71" s="55">
        <f>$HR71*$C71/$D71</f>
        <v/>
      </c>
      <c r="HT71" s="55">
        <f>SUMIFS(tblBudget[Waste_t],tblBudget[Month],"&lt;"&amp;$E71)+$HS71</f>
        <v/>
      </c>
      <c r="HU71" s="55">
        <f>SUMIFS(tblBudget[TMM_t],tblBudget[Month],$E71)</f>
        <v/>
      </c>
      <c r="HV71" s="55">
        <f>$HU71*$C71/$D71</f>
        <v/>
      </c>
      <c r="HW71" s="55">
        <f>SUMIFS(tblBudget[TMM_t],tblBudget[Month],"&lt;"&amp;$E71)+$HV71</f>
        <v/>
      </c>
      <c r="HX71" s="56">
        <f>IFERROR(IF(($HI71)&gt;0,($HR71)/($HI71),""),"")</f>
        <v/>
      </c>
      <c r="HY71" s="56">
        <f>IFERROR(IF(($HJ71)&gt;0,($HS71)/($HJ71),""),"")</f>
        <v/>
      </c>
      <c r="HZ71" s="56">
        <f>IFERROR(IF(($HK71)&gt;0,($HT71)/($HK71),""),"")</f>
        <v/>
      </c>
      <c r="IA71" s="55">
        <f>SUMIFS(tblBudget[Drill_m],tblBudget[Month],$E71)</f>
        <v/>
      </c>
      <c r="IB71" s="55">
        <f>$IA71*$C71/$D71</f>
        <v/>
      </c>
      <c r="IC71" s="55">
        <f>SUMIFS(tblBudget[Drill_m],tblBudget[Month],"&lt;"&amp;$E71)+$IB71</f>
        <v/>
      </c>
      <c r="ID71" s="55">
        <f>SUMIFS(tblBudget[Diesel_L],tblBudget[Month],$E71)</f>
        <v/>
      </c>
      <c r="IE71" s="55">
        <f>$ID71*$C71/$D71</f>
        <v/>
      </c>
      <c r="IF71" s="55">
        <f>SUMIFS(tblBudget[Diesel_L],tblBudget[Month],"&lt;"&amp;$E71)+$IE71</f>
        <v/>
      </c>
      <c r="IG71" s="55">
        <f>SUMIFS(tblBudget[Milled_t],tblBudget[Month],$E71)</f>
        <v/>
      </c>
      <c r="IH71" s="55">
        <f>$IG71*$C71/$D71</f>
        <v/>
      </c>
      <c r="II71" s="55">
        <f>SUMIFS(tblBudget[Milled_t],tblBudget[Month],"&lt;"&amp;$E71)+$IH71</f>
        <v/>
      </c>
      <c r="IJ71" s="55">
        <f>SUMIFS(tblBudget[Feed_oz],tblBudget[Month],$E71)</f>
        <v/>
      </c>
      <c r="IK71" s="55">
        <f>$IJ71*$C71/$D71</f>
        <v/>
      </c>
      <c r="IL71" s="55">
        <f>SUMIFS(tblBudget[Feed_oz],tblBudget[Month],"&lt;"&amp;$E71)+$IK71</f>
        <v/>
      </c>
      <c r="IM71" s="55">
        <f>SUMIFS(tblBudget[Recovered_oz],tblBudget[Month],$E71)</f>
        <v/>
      </c>
      <c r="IN71" s="55">
        <f>$IM71*$C71/$D71</f>
        <v/>
      </c>
      <c r="IO71" s="55">
        <f>SUMIFS(tblBudget[Recovered_oz],tblBudget[Month],"&lt;"&amp;$E71)+$IN71</f>
        <v/>
      </c>
      <c r="IP71" s="56">
        <f>IFERROR(IF(($IG71)&gt;0,($IJ71*cfg_TroyOz)/($IG71),""),"")</f>
        <v/>
      </c>
      <c r="IQ71" s="56">
        <f>IFERROR(IF(($IH71)&gt;0,($IK71*cfg_TroyOz)/($IH71),""),"")</f>
        <v/>
      </c>
      <c r="IR71" s="56">
        <f>IFERROR(IF(($II71)&gt;0,($IL71*cfg_TroyOz)/($II71),""),"")</f>
        <v/>
      </c>
      <c r="IS71" s="67">
        <f>IFERROR(IF(($IJ71)&gt;0,($IM71)/($IJ71),""),"")</f>
        <v/>
      </c>
      <c r="IT71" s="67">
        <f>IFERROR(IF(($IK71)&gt;0,($IN71)/($IK71),""),"")</f>
        <v/>
      </c>
      <c r="IU71" s="67">
        <f>IFERROR(IF(($IL71)&gt;0,($IO71)/($IL71),""),"")</f>
        <v/>
      </c>
      <c r="IV71" s="55">
        <f>SUMIFS(tblBudget[Gold_Poured_oz],tblBudget[Month],$E71)</f>
        <v/>
      </c>
      <c r="IW71" s="55">
        <f>$IV71*$C71/$D71</f>
        <v/>
      </c>
      <c r="IX71" s="55">
        <f>SUMIFS(tblBudget[Gold_Poured_oz],tblBudget[Month],"&lt;"&amp;$E71)+$IW71</f>
        <v/>
      </c>
      <c r="IY71" s="57">
        <f>SUMIFS(tblBudget[Hours_Worked],tblBudget[Month],$E71)</f>
        <v/>
      </c>
      <c r="IZ71" s="57">
        <f>$IY71*$C71/$D71</f>
        <v/>
      </c>
      <c r="JA71" s="57">
        <f>SUMIFS(tblBudget[Hours_Worked],tblBudget[Month],"&lt;"&amp;$E71)+$IZ71</f>
        <v/>
      </c>
    </row>
    <row r="72">
      <c r="A72" s="54" t="n">
        <v>46093</v>
      </c>
      <c r="B72">
        <f>MONTH($A72)</f>
        <v/>
      </c>
      <c r="C72">
        <f>DAY($A72)</f>
        <v/>
      </c>
      <c r="D72">
        <f>DAY(EOMONTH($A72,0))</f>
        <v/>
      </c>
      <c r="E72" s="54">
        <f>DATE(YEAR($A72),MONTH($A72),1)</f>
        <v/>
      </c>
      <c r="F72" s="55">
        <f>SUMIFS(tblMovement[Tonnes_t],tblMovement[Date],$A72,tblMovement[Is_Ore],1,tblMovement[Source_Type],"Pit")</f>
        <v/>
      </c>
      <c r="G72" s="55">
        <f>IF($B72=$B71,$G71,0)+$F72</f>
        <v/>
      </c>
      <c r="H72" s="55">
        <f>$H71+$F72</f>
        <v/>
      </c>
      <c r="I72" s="55">
        <f>SUMIFS(tblMovement[Ore_oz],tblMovement[Date],$A72,tblMovement[Source_Type],"Pit")</f>
        <v/>
      </c>
      <c r="J72" s="55">
        <f>IF($B72=$B71,$J71,0)+$I72</f>
        <v/>
      </c>
      <c r="K72" s="55">
        <f>$K71+$I72</f>
        <v/>
      </c>
      <c r="L72" s="56">
        <f>IFERROR(IF(($F72)&gt;0,($I72*cfg_TroyOz)/($F72),""),"")</f>
        <v/>
      </c>
      <c r="M72" s="56">
        <f>IFERROR(IF(($G72)&gt;0,($J72*cfg_TroyOz)/($G72),""),"")</f>
        <v/>
      </c>
      <c r="N72" s="56">
        <f>IFERROR(IF(($H72)&gt;0,($K72*cfg_TroyOz)/($H72),""),"")</f>
        <v/>
      </c>
      <c r="O72" s="55">
        <f>SUMIFS(tblMovement[Tonnes_t],tblMovement[Date],$A72,tblMovement[Is_Ore],0,tblMovement[Source_Type],"Pit")</f>
        <v/>
      </c>
      <c r="P72" s="55">
        <f>IF($B72=$B71,$P71,0)+$O72</f>
        <v/>
      </c>
      <c r="Q72" s="55">
        <f>$Q71+$O72</f>
        <v/>
      </c>
      <c r="R72" s="55">
        <f>$F72+$O72</f>
        <v/>
      </c>
      <c r="S72" s="55">
        <f>IF($B72=$B71,$S71,0)+$R72</f>
        <v/>
      </c>
      <c r="T72" s="55">
        <f>$T71+$R72</f>
        <v/>
      </c>
      <c r="U72" s="56">
        <f>IFERROR(IF(($F72)&gt;0,($O72)/($F72),""),"")</f>
        <v/>
      </c>
      <c r="V72" s="56">
        <f>IFERROR(IF(($G72)&gt;0,($P72)/($G72),""),"")</f>
        <v/>
      </c>
      <c r="W72" s="56">
        <f>IFERROR(IF(($H72)&gt;0,($Q72)/($H72),""),"")</f>
        <v/>
      </c>
      <c r="X72" s="55">
        <f>SUMIFS(tblMovement[Tonnes_t],tblMovement[Date],$A72,tblMovement[Source_Type],"Stockpile")</f>
        <v/>
      </c>
      <c r="Y72" s="55">
        <f>IF($B72=$B71,$Y71,0)+$X72</f>
        <v/>
      </c>
      <c r="Z72" s="55">
        <f>$Z71+$X72</f>
        <v/>
      </c>
      <c r="AA72" s="55">
        <f>SUMIFS(tblMiningDaily[Drill_m],tblMiningDaily[Date],$A72)</f>
        <v/>
      </c>
      <c r="AB72" s="55">
        <f>IF($B72=$B71,$AB71,0)+$AA72</f>
        <v/>
      </c>
      <c r="AC72" s="55">
        <f>$AC71+$AA72</f>
        <v/>
      </c>
      <c r="AD72" s="55">
        <f>SUMIFS(tblMiningDaily[Blast_t],tblMiningDaily[Date],$A72)</f>
        <v/>
      </c>
      <c r="AE72" s="55">
        <f>IF($B72=$B71,$AE71,0)+$AD72</f>
        <v/>
      </c>
      <c r="AF72" s="55">
        <f>$AF71+$AD72</f>
        <v/>
      </c>
      <c r="AG72" s="55">
        <f>SUMIFS(tblMiningDaily[Explosives_kg],tblMiningDaily[Date],$A72)</f>
        <v/>
      </c>
      <c r="AH72" s="55">
        <f>IF($B72=$B71,$AH71,0)+$AG72</f>
        <v/>
      </c>
      <c r="AI72" s="55">
        <f>$AI71+$AG72</f>
        <v/>
      </c>
      <c r="AJ72" s="56">
        <f>IFERROR(IF(($AD72)&gt;0,($AG72)/($AD72),""),"")</f>
        <v/>
      </c>
      <c r="AK72" s="56">
        <f>IFERROR(IF(($AE72)&gt;0,($AH72)/($AE72),""),"")</f>
        <v/>
      </c>
      <c r="AL72" s="56">
        <f>IFERROR(IF(($AF72)&gt;0,($AI72)/($AF72),""),"")</f>
        <v/>
      </c>
      <c r="AM72" s="55">
        <f>SUMIFS(tblMiningDaily[Diesel_L],tblMiningDaily[Date],$A72)</f>
        <v/>
      </c>
      <c r="AN72" s="55">
        <f>IF($B72=$B71,$AN71,0)+$AM72</f>
        <v/>
      </c>
      <c r="AO72" s="55">
        <f>$AO71+$AM72</f>
        <v/>
      </c>
      <c r="AP72" s="55">
        <f>SUMIFS(tblMiningDaily[Dewatering_m3],tblMiningDaily[Date],$A72)</f>
        <v/>
      </c>
      <c r="AQ72" s="55">
        <f>IF($B72=$B71,$AQ71,0)+$AP72</f>
        <v/>
      </c>
      <c r="AR72" s="55">
        <f>$AR71+$AP72</f>
        <v/>
      </c>
      <c r="AS72" s="57">
        <f>SUMIFS(tblFleet[Calendar_h],tblFleet[Date],$A72,tblFleet[Equipment_Class],"Excavator")</f>
        <v/>
      </c>
      <c r="AT72" s="57">
        <f>IF($B72=$B71,$AT71,0)+$AS72</f>
        <v/>
      </c>
      <c r="AU72" s="57">
        <f>$AU71+$AS72</f>
        <v/>
      </c>
      <c r="AV72" s="57">
        <f>SUMIFS(tblFleet[Available_h],tblFleet[Date],$A72,tblFleet[Equipment_Class],"Excavator")</f>
        <v/>
      </c>
      <c r="AW72" s="57">
        <f>IF($B72=$B71,$AW71,0)+$AV72</f>
        <v/>
      </c>
      <c r="AX72" s="57">
        <f>$AX71+$AV72</f>
        <v/>
      </c>
      <c r="AY72" s="57">
        <f>SUMIFS(tblFleet[Operating_h],tblFleet[Date],$A72,tblFleet[Equipment_Class],"Excavator")</f>
        <v/>
      </c>
      <c r="AZ72" s="57">
        <f>IF($B72=$B71,$AZ71,0)+$AY72</f>
        <v/>
      </c>
      <c r="BA72" s="57">
        <f>$BA71+$AY72</f>
        <v/>
      </c>
      <c r="BB72" s="67">
        <f>IFERROR(IF(($AS72)&gt;0,($AV72)/($AS72),""),"")</f>
        <v/>
      </c>
      <c r="BC72" s="67">
        <f>IFERROR(IF(($AT72)&gt;0,($AW72)/($AT72),""),"")</f>
        <v/>
      </c>
      <c r="BD72" s="67">
        <f>IFERROR(IF(($AU72)&gt;0,($AX72)/($AU72),""),"")</f>
        <v/>
      </c>
      <c r="BE72" s="67">
        <f>IFERROR(IF(($AV72)&gt;0,($AY72)/($AV72),""),"")</f>
        <v/>
      </c>
      <c r="BF72" s="67">
        <f>IFERROR(IF(($AW72)&gt;0,($AZ72)/($AW72),""),"")</f>
        <v/>
      </c>
      <c r="BG72" s="67">
        <f>IFERROR(IF(($AX72)&gt;0,($BA72)/($AX72),""),"")</f>
        <v/>
      </c>
      <c r="BH72" s="57">
        <f>SUMIFS(tblFleet[Calendar_h],tblFleet[Date],$A72,tblFleet[Equipment_Class],"Haul Truck")</f>
        <v/>
      </c>
      <c r="BI72" s="57">
        <f>IF($B72=$B71,$BI71,0)+$BH72</f>
        <v/>
      </c>
      <c r="BJ72" s="57">
        <f>$BJ71+$BH72</f>
        <v/>
      </c>
      <c r="BK72" s="57">
        <f>SUMIFS(tblFleet[Available_h],tblFleet[Date],$A72,tblFleet[Equipment_Class],"Haul Truck")</f>
        <v/>
      </c>
      <c r="BL72" s="57">
        <f>IF($B72=$B71,$BL71,0)+$BK72</f>
        <v/>
      </c>
      <c r="BM72" s="57">
        <f>$BM71+$BK72</f>
        <v/>
      </c>
      <c r="BN72" s="57">
        <f>SUMIFS(tblFleet[Operating_h],tblFleet[Date],$A72,tblFleet[Equipment_Class],"Haul Truck")</f>
        <v/>
      </c>
      <c r="BO72" s="57">
        <f>IF($B72=$B71,$BO71,0)+$BN72</f>
        <v/>
      </c>
      <c r="BP72" s="57">
        <f>$BP71+$BN72</f>
        <v/>
      </c>
      <c r="BQ72" s="67">
        <f>IFERROR(IF(($BH72)&gt;0,($BK72)/($BH72),""),"")</f>
        <v/>
      </c>
      <c r="BR72" s="67">
        <f>IFERROR(IF(($BI72)&gt;0,($BL72)/($BI72),""),"")</f>
        <v/>
      </c>
      <c r="BS72" s="67">
        <f>IFERROR(IF(($BJ72)&gt;0,($BM72)/($BJ72),""),"")</f>
        <v/>
      </c>
      <c r="BT72" s="67">
        <f>IFERROR(IF(($BK72)&gt;0,($BN72)/($BK72),""),"")</f>
        <v/>
      </c>
      <c r="BU72" s="67">
        <f>IFERROR(IF(($BL72)&gt;0,($BO72)/($BL72),""),"")</f>
        <v/>
      </c>
      <c r="BV72" s="67">
        <f>IFERROR(IF(($BM72)&gt;0,($BP72)/($BM72),""),"")</f>
        <v/>
      </c>
      <c r="BW72" s="55">
        <f>SUMIFS(tblPlant[Crushed_t],tblPlant[Date],$A72)</f>
        <v/>
      </c>
      <c r="BX72" s="55">
        <f>IF($B72=$B71,$BX71,0)+$BW72</f>
        <v/>
      </c>
      <c r="BY72" s="55">
        <f>$BY71+$BW72</f>
        <v/>
      </c>
      <c r="BZ72" s="55">
        <f>SUMIFS(tblPlant[Milled_t],tblPlant[Date],$A72)</f>
        <v/>
      </c>
      <c r="CA72" s="55">
        <f>IF($B72=$B71,$CA71,0)+$BZ72</f>
        <v/>
      </c>
      <c r="CB72" s="55">
        <f>$CB71+$BZ72</f>
        <v/>
      </c>
      <c r="CC72" s="55">
        <f>SUMIFS(tblPlant[Feed_oz],tblPlant[Date],$A72)</f>
        <v/>
      </c>
      <c r="CD72" s="55">
        <f>IF($B72=$B71,$CD71,0)+$CC72</f>
        <v/>
      </c>
      <c r="CE72" s="55">
        <f>$CE71+$CC72</f>
        <v/>
      </c>
      <c r="CF72" s="55">
        <f>SUMIFS(tblPlant[Tails_oz],tblPlant[Date],$A72)</f>
        <v/>
      </c>
      <c r="CG72" s="55">
        <f>IF($B72=$B71,$CG71,0)+$CF72</f>
        <v/>
      </c>
      <c r="CH72" s="55">
        <f>$CH71+$CF72</f>
        <v/>
      </c>
      <c r="CI72" s="55">
        <f>SUMIFS(tblPlant[Recovered_oz],tblPlant[Date],$A72)</f>
        <v/>
      </c>
      <c r="CJ72" s="55">
        <f>IF($B72=$B71,$CJ71,0)+$CI72</f>
        <v/>
      </c>
      <c r="CK72" s="55">
        <f>$CK71+$CI72</f>
        <v/>
      </c>
      <c r="CL72" s="56">
        <f>IFERROR(IF(($BZ72)&gt;0,($CC72*cfg_TroyOz)/($BZ72),""),"")</f>
        <v/>
      </c>
      <c r="CM72" s="56">
        <f>IFERROR(IF(($CA72)&gt;0,($CD72*cfg_TroyOz)/($CA72),""),"")</f>
        <v/>
      </c>
      <c r="CN72" s="56">
        <f>IFERROR(IF(($CB72)&gt;0,($CE72*cfg_TroyOz)/($CB72),""),"")</f>
        <v/>
      </c>
      <c r="CO72" s="56">
        <f>IFERROR(IF(($BZ72)&gt;0,($CF72*cfg_TroyOz)/($BZ72),""),"")</f>
        <v/>
      </c>
      <c r="CP72" s="56">
        <f>IFERROR(IF(($CA72)&gt;0,($CG72*cfg_TroyOz)/($CA72),""),"")</f>
        <v/>
      </c>
      <c r="CQ72" s="56">
        <f>IFERROR(IF(($CB72)&gt;0,($CH72*cfg_TroyOz)/($CB72),""),"")</f>
        <v/>
      </c>
      <c r="CR72" s="67">
        <f>IFERROR(IF(($CC72)&gt;0,($CI72)/($CC72),""),"")</f>
        <v/>
      </c>
      <c r="CS72" s="67">
        <f>IFERROR(IF(($CD72)&gt;0,($CJ72)/($CD72),""),"")</f>
        <v/>
      </c>
      <c r="CT72" s="67">
        <f>IFERROR(IF(($CE72)&gt;0,($CK72)/($CE72),""),"")</f>
        <v/>
      </c>
      <c r="CU72" s="55">
        <f>SUMIFS(tblPlant[Gravity_Gold_oz],tblPlant[Date],$A72)</f>
        <v/>
      </c>
      <c r="CV72" s="55">
        <f>IF($B72=$B71,$CV71,0)+$CU72</f>
        <v/>
      </c>
      <c r="CW72" s="55">
        <f>$CW71+$CU72</f>
        <v/>
      </c>
      <c r="CX72" s="55">
        <f>SUMIFS(tblPlant[Gold_Poured_oz],tblPlant[Date],$A72)</f>
        <v/>
      </c>
      <c r="CY72" s="55">
        <f>IF($B72=$B71,$CY71,0)+$CX72</f>
        <v/>
      </c>
      <c r="CZ72" s="55">
        <f>$CZ71+$CX72</f>
        <v/>
      </c>
      <c r="DA72" s="57">
        <f>SUMIFS(tblPlant[Mill_Run_h],tblPlant[Date],$A72)</f>
        <v/>
      </c>
      <c r="DB72" s="57">
        <f>IF($B72=$B71,$DB71,0)+$DA72</f>
        <v/>
      </c>
      <c r="DC72" s="57">
        <f>$DC71+$DA72</f>
        <v/>
      </c>
      <c r="DD72" s="57">
        <f>SUMIFS(tblPlant[Mill_Planned_Maint_h],tblPlant[Date],$A72)</f>
        <v/>
      </c>
      <c r="DE72" s="57">
        <f>IF($B72=$B71,$DE71,0)+$DD72</f>
        <v/>
      </c>
      <c r="DF72" s="57">
        <f>$DF71+$DD72</f>
        <v/>
      </c>
      <c r="DG72" s="57">
        <f>SUMIFS(tblPlant[Mill_Unplanned_Down_h],tblPlant[Date],$A72)</f>
        <v/>
      </c>
      <c r="DH72" s="57">
        <f>IF($B72=$B71,$DH71,0)+$DG72</f>
        <v/>
      </c>
      <c r="DI72" s="57">
        <f>$DI71+$DG72</f>
        <v/>
      </c>
      <c r="DJ72" s="57">
        <f>COUNTIFS(tblPlant[Date],$A72,tblPlant[Mill_Run_h],"&lt;&gt;")*24</f>
        <v/>
      </c>
      <c r="DK72" s="57">
        <f>IF($B72=$B71,$DK71,0)+$DJ72</f>
        <v/>
      </c>
      <c r="DL72" s="57">
        <f>$DL71+$DJ72</f>
        <v/>
      </c>
      <c r="DM72" s="57">
        <f>SUMIFS(tblPlant[Crusher_Run_h],tblPlant[Date],$A72)</f>
        <v/>
      </c>
      <c r="DN72" s="57">
        <f>IF($B72=$B71,$DN71,0)+$DM72</f>
        <v/>
      </c>
      <c r="DO72" s="57">
        <f>$DO71+$DM72</f>
        <v/>
      </c>
      <c r="DP72" s="55">
        <f>IFERROR(IF(($DA72)&gt;0,($BZ72)/($DA72),""),"")</f>
        <v/>
      </c>
      <c r="DQ72" s="55">
        <f>IFERROR(IF(($DB72)&gt;0,($CA72)/($DB72),""),"")</f>
        <v/>
      </c>
      <c r="DR72" s="55">
        <f>IFERROR(IF(($DC72)&gt;0,($CB72)/($DC72),""),"")</f>
        <v/>
      </c>
      <c r="DS72" s="67">
        <f>IFERROR(IF(($DJ72)&gt;0,($DJ72-$DD72-$DG72)/($DJ72),""),"")</f>
        <v/>
      </c>
      <c r="DT72" s="67">
        <f>IFERROR(IF(($DK72)&gt;0,($DK72-$DE72-$DH72)/($DK72),""),"")</f>
        <v/>
      </c>
      <c r="DU72" s="67">
        <f>IFERROR(IF(($DL72)&gt;0,($DL72-$DF72-$DI72)/($DL72),""),"")</f>
        <v/>
      </c>
      <c r="DV72" s="67">
        <f>IFERROR(IF(($DJ72-$DD72-$DG72)&gt;0,($DA72)/($DJ72-$DD72-$DG72),""),"")</f>
        <v/>
      </c>
      <c r="DW72" s="67">
        <f>IFERROR(IF(($DK72-$DE72-$DH72)&gt;0,($DB72)/($DK72-$DE72-$DH72),""),"")</f>
        <v/>
      </c>
      <c r="DX72" s="67">
        <f>IFERROR(IF(($DL72-$DF72-$DI72)&gt;0,($DC72)/($DL72-$DF72-$DI72),""),"")</f>
        <v/>
      </c>
      <c r="DY72" s="55">
        <f>SUMIFS(tblPlant[Cyanide_kg],tblPlant[Date],$A72)</f>
        <v/>
      </c>
      <c r="DZ72" s="55">
        <f>IF($B72=$B71,$DZ71,0)+$DY72</f>
        <v/>
      </c>
      <c r="EA72" s="55">
        <f>$EA71+$DY72</f>
        <v/>
      </c>
      <c r="EB72" s="55">
        <f>SUMIFS(tblPlant[Lime_kg],tblPlant[Date],$A72)</f>
        <v/>
      </c>
      <c r="EC72" s="55">
        <f>IF($B72=$B71,$EC71,0)+$EB72</f>
        <v/>
      </c>
      <c r="ED72" s="55">
        <f>$ED71+$EB72</f>
        <v/>
      </c>
      <c r="EE72" s="55">
        <f>SUMIFS(tblPlant[Grinding_Media_kg],tblPlant[Date],$A72)</f>
        <v/>
      </c>
      <c r="EF72" s="55">
        <f>IF($B72=$B71,$EF71,0)+$EE72</f>
        <v/>
      </c>
      <c r="EG72" s="55">
        <f>$EG71+$EE72</f>
        <v/>
      </c>
      <c r="EH72" s="55">
        <f>SUMIFS(tblPlant[Power_kWh],tblPlant[Date],$A72)</f>
        <v/>
      </c>
      <c r="EI72" s="55">
        <f>IF($B72=$B71,$EI71,0)+$EH72</f>
        <v/>
      </c>
      <c r="EJ72" s="55">
        <f>$EJ71+$EH72</f>
        <v/>
      </c>
      <c r="EK72" s="55">
        <f>SUMIFS(tblPlant[Raw_Water_m3],tblPlant[Date],$A72)</f>
        <v/>
      </c>
      <c r="EL72" s="55">
        <f>IF($B72=$B71,$EL71,0)+$EK72</f>
        <v/>
      </c>
      <c r="EM72" s="55">
        <f>$EM71+$EK72</f>
        <v/>
      </c>
      <c r="EN72" s="56">
        <f>IFERROR(IF(($BZ72)&gt;0,($DY72)/($BZ72),""),"")</f>
        <v/>
      </c>
      <c r="EO72" s="56">
        <f>IFERROR(IF(($CA72)&gt;0,($DZ72)/($CA72),""),"")</f>
        <v/>
      </c>
      <c r="EP72" s="56">
        <f>IFERROR(IF(($CB72)&gt;0,($EA72)/($CB72),""),"")</f>
        <v/>
      </c>
      <c r="EQ72" s="56">
        <f>IFERROR(IF(($BZ72)&gt;0,($EB72)/($BZ72),""),"")</f>
        <v/>
      </c>
      <c r="ER72" s="56">
        <f>IFERROR(IF(($CA72)&gt;0,($EC72)/($CA72),""),"")</f>
        <v/>
      </c>
      <c r="ES72" s="56">
        <f>IFERROR(IF(($CB72)&gt;0,($ED72)/($CB72),""),"")</f>
        <v/>
      </c>
      <c r="ET72" s="56">
        <f>IFERROR(IF(($BZ72)&gt;0,($EE72)/($BZ72),""),"")</f>
        <v/>
      </c>
      <c r="EU72" s="56">
        <f>IFERROR(IF(($CA72)&gt;0,($EF72)/($CA72),""),"")</f>
        <v/>
      </c>
      <c r="EV72" s="56">
        <f>IFERROR(IF(($CB72)&gt;0,($EG72)/($CB72),""),"")</f>
        <v/>
      </c>
      <c r="EW72" s="76">
        <f>IFERROR(IF(($BZ72)&gt;0,($EH72)/($BZ72),""),"")</f>
        <v/>
      </c>
      <c r="EX72" s="76">
        <f>IFERROR(IF(($CA72)&gt;0,($EI72)/($CA72),""),"")</f>
        <v/>
      </c>
      <c r="EY72" s="76">
        <f>IFERROR(IF(($CB72)&gt;0,($EJ72)/($CB72),""),"")</f>
        <v/>
      </c>
      <c r="EZ72" s="56">
        <f>IFERROR(IF(($BZ72)&gt;0,($EK72)/($BZ72),""),"")</f>
        <v/>
      </c>
      <c r="FA72" s="56">
        <f>IFERROR(IF(($CA72)&gt;0,($EL72)/($CA72),""),"")</f>
        <v/>
      </c>
      <c r="FB72" s="56">
        <f>IFERROR(IF(($CB72)&gt;0,($EM72)/($CB72),""),"")</f>
        <v/>
      </c>
      <c r="FC72" s="55">
        <f>IF(SUMIFS(tblPlant[GIC_oz],tblPlant[Date],$A72)&gt;0,SUMIFS(tblPlant[GIC_oz],tblPlant[Date],$A72),"")</f>
        <v/>
      </c>
      <c r="FD72" s="55">
        <f>SUMIFS(tblGold[Gold_oz],tblGold[Date],$A72,tblGold[Type],"Shipment")</f>
        <v/>
      </c>
      <c r="FE72" s="55">
        <f>IF($B72=$B71,$FE71,0)+$FD72</f>
        <v/>
      </c>
      <c r="FF72" s="55">
        <f>$FF71+$FD72</f>
        <v/>
      </c>
      <c r="FG72" s="55">
        <f>SUMIFS(tblGold[Gold_oz],tblGold[Date],$A72,tblGold[Type],"Sale")</f>
        <v/>
      </c>
      <c r="FH72" s="55">
        <f>IF($B72=$B71,$FH71,0)+$FG72</f>
        <v/>
      </c>
      <c r="FI72" s="55">
        <f>$FI71+$FG72</f>
        <v/>
      </c>
      <c r="FJ72" s="55">
        <f>SUMIFS(tblGold[Dore_kg],tblGold[Date],$A72,tblGold[Type],"Shipment")</f>
        <v/>
      </c>
      <c r="FK72" s="55">
        <f>IF($B72=$B71,$FK71,0)+$FJ72</f>
        <v/>
      </c>
      <c r="FL72" s="55">
        <f>$FL71+$FJ72</f>
        <v/>
      </c>
      <c r="FM72" s="57">
        <f>SUMIFS(tblSafety[Hours_Total],tblSafety[Date],$A72)</f>
        <v/>
      </c>
      <c r="FN72" s="57">
        <f>IF($B72=$B71,$FN71,0)+$FM72</f>
        <v/>
      </c>
      <c r="FO72" s="57">
        <f>$FO71+$FM72</f>
        <v/>
      </c>
      <c r="FP72" s="62">
        <f>SUMIFS(tblSafety[Fatality],tblSafety[Date],$A72)</f>
        <v/>
      </c>
      <c r="FQ72" s="62">
        <f>IF($B72=$B71,$FQ71,0)+$FP72</f>
        <v/>
      </c>
      <c r="FR72" s="62">
        <f>$FR71+$FP72</f>
        <v/>
      </c>
      <c r="FS72" s="62">
        <f>SUMIFS(tblSafety[LTI],tblSafety[Date],$A72)</f>
        <v/>
      </c>
      <c r="FT72" s="62">
        <f>IF($B72=$B71,$FT71,0)+$FS72</f>
        <v/>
      </c>
      <c r="FU72" s="62">
        <f>$FU71+$FS72</f>
        <v/>
      </c>
      <c r="FV72" s="62">
        <f>SUMIFS(tblSafety[RWI],tblSafety[Date],$A72)</f>
        <v/>
      </c>
      <c r="FW72" s="62">
        <f>IF($B72=$B71,$FW71,0)+$FV72</f>
        <v/>
      </c>
      <c r="FX72" s="62">
        <f>$FX71+$FV72</f>
        <v/>
      </c>
      <c r="FY72" s="62">
        <f>SUMIFS(tblSafety[MTI],tblSafety[Date],$A72)</f>
        <v/>
      </c>
      <c r="FZ72" s="62">
        <f>IF($B72=$B71,$FZ71,0)+$FY72</f>
        <v/>
      </c>
      <c r="GA72" s="62">
        <f>$GA71+$FY72</f>
        <v/>
      </c>
      <c r="GB72" s="62">
        <f>SUMIFS(tblSafety[FAI],tblSafety[Date],$A72)</f>
        <v/>
      </c>
      <c r="GC72" s="62">
        <f>IF($B72=$B71,$GC71,0)+$GB72</f>
        <v/>
      </c>
      <c r="GD72" s="62">
        <f>$GD71+$GB72</f>
        <v/>
      </c>
      <c r="GE72" s="62">
        <f>SUMIFS(tblSafety[Recordables],tblSafety[Date],$A72)</f>
        <v/>
      </c>
      <c r="GF72" s="62">
        <f>IF($B72=$B71,$GF71,0)+$GE72</f>
        <v/>
      </c>
      <c r="GG72" s="62">
        <f>$GG71+$GE72</f>
        <v/>
      </c>
      <c r="GH72" s="62">
        <f>SUMIFS(tblSafety[Near_Miss],tblSafety[Date],$A72)</f>
        <v/>
      </c>
      <c r="GI72" s="62">
        <f>IF($B72=$B71,$GI71,0)+$GH72</f>
        <v/>
      </c>
      <c r="GJ72" s="62">
        <f>$GJ71+$GH72</f>
        <v/>
      </c>
      <c r="GK72" s="62">
        <f>SUMIFS(tblSafety[Hazard_Reports],tblSafety[Date],$A72)</f>
        <v/>
      </c>
      <c r="GL72" s="62">
        <f>IF($B72=$B71,$GL71,0)+$GK72</f>
        <v/>
      </c>
      <c r="GM72" s="62">
        <f>$GM71+$GK72</f>
        <v/>
      </c>
      <c r="GN72" s="62">
        <f>SUMIFS(tblSafety[HPI],tblSafety[Date],$A72)</f>
        <v/>
      </c>
      <c r="GO72" s="62">
        <f>IF($B72=$B71,$GO71,0)+$GN72</f>
        <v/>
      </c>
      <c r="GP72" s="62">
        <f>$GP71+$GN72</f>
        <v/>
      </c>
      <c r="GQ72" s="62">
        <f>SUMIFS(tblSafety[Env_Incidents],tblSafety[Date],$A72)</f>
        <v/>
      </c>
      <c r="GR72" s="62">
        <f>IF($B72=$B71,$GR71,0)+$GQ72</f>
        <v/>
      </c>
      <c r="GS72" s="62">
        <f>$GS71+$GQ72</f>
        <v/>
      </c>
      <c r="GT72" s="62">
        <f>SUMIFS(tblSafety[Community_Incidents],tblSafety[Date],$A72)</f>
        <v/>
      </c>
      <c r="GU72" s="62">
        <f>IF($B72=$B71,$GU71,0)+$GT72</f>
        <v/>
      </c>
      <c r="GV72" s="62">
        <f>$GV71+$GT72</f>
        <v/>
      </c>
      <c r="GW72" s="62">
        <f>SUMIFS(tblSafety[Vehicle_Incidents],tblSafety[Date],$A72)</f>
        <v/>
      </c>
      <c r="GX72" s="62">
        <f>IF($B72=$B71,$GX71,0)+$GW72</f>
        <v/>
      </c>
      <c r="GY72" s="62">
        <f>$GY71+$GW72</f>
        <v/>
      </c>
      <c r="GZ72" s="62">
        <f>SUMIFS(tblSafety[Toolbox_Talks],tblSafety[Date],$A72)</f>
        <v/>
      </c>
      <c r="HA72" s="62">
        <f>IF($B72=$B71,$HA71,0)+$GZ72</f>
        <v/>
      </c>
      <c r="HB72" s="62">
        <f>$HB71+$GZ72</f>
        <v/>
      </c>
      <c r="HC72" s="62">
        <f>SUMIFS(tblSafety[Inspections],tblSafety[Date],$A72)</f>
        <v/>
      </c>
      <c r="HD72" s="62">
        <f>IF($B72=$B71,$HD71,0)+$HC72</f>
        <v/>
      </c>
      <c r="HE72" s="62">
        <f>$HE71+$HC72</f>
        <v/>
      </c>
      <c r="HF72" s="56">
        <f>IFERROR((SUMIFS(tblSafety[Recordables],tblSafety[Date],"&gt;="&amp;EDATE($E72,-12),tblSafety[Date],"&lt;="&amp;$A72)+SUMIFS(tblSafetyHistory[Recordables],tblSafetyHistory[Month],"&gt;="&amp;EDATE($E72,-12),tblSafetyHistory[Month],"&lt;"&amp;cfg_YearStart))/(SUMIFS(tblSafety[Hours_Total],tblSafety[Date],"&gt;="&amp;EDATE($E72,-12),tblSafety[Date],"&lt;="&amp;$A72)+SUMIFS(tblSafetyHistory[Hours_Total],tblSafetyHistory[Month],"&gt;="&amp;EDATE($E72,-12),tblSafetyHistory[Month],"&lt;"&amp;cfg_YearStart))*1000000,"")</f>
        <v/>
      </c>
      <c r="HG72" s="56">
        <f>IFERROR((SUMIFS(tblSafety[LTI],tblSafety[Date],"&gt;="&amp;EDATE($E72,-12),tblSafety[Date],"&lt;="&amp;$A72)+SUMIFS(tblSafetyHistory[LTI],tblSafetyHistory[Month],"&gt;="&amp;EDATE($E72,-12),tblSafetyHistory[Month],"&lt;"&amp;cfg_YearStart))/(SUMIFS(tblSafety[Hours_Total],tblSafety[Date],"&gt;="&amp;EDATE($E72,-12),tblSafety[Date],"&lt;="&amp;$A72)+SUMIFS(tblSafetyHistory[Hours_Total],tblSafetyHistory[Month],"&gt;="&amp;EDATE($E72,-12),tblSafetyHistory[Month],"&lt;"&amp;cfg_YearStart))*1000000,"")</f>
        <v/>
      </c>
      <c r="HH72" s="62">
        <f>IF(MAX(N(cfg_PriorLTIDate),_xlfn.MAXIFS(tblSafety[Date],tblSafety[LTI],"&gt;0",tblSafety[Date],"&lt;="&amp;$A72))=0,"",$A72-MAX(N(cfg_PriorLTIDate),_xlfn.MAXIFS(tblSafety[Date],tblSafety[LTI],"&gt;0",tblSafety[Date],"&lt;="&amp;$A72)))</f>
        <v/>
      </c>
      <c r="HI72" s="55">
        <f>SUMIFS(tblBudget[Ore_Mined_t],tblBudget[Month],$E72)</f>
        <v/>
      </c>
      <c r="HJ72" s="55">
        <f>$HI72*$C72/$D72</f>
        <v/>
      </c>
      <c r="HK72" s="55">
        <f>SUMIFS(tblBudget[Ore_Mined_t],tblBudget[Month],"&lt;"&amp;$E72)+$HJ72</f>
        <v/>
      </c>
      <c r="HL72" s="55">
        <f>SUMIFS(tblBudget[Ore_oz],tblBudget[Month],$E72)</f>
        <v/>
      </c>
      <c r="HM72" s="55">
        <f>$HL72*$C72/$D72</f>
        <v/>
      </c>
      <c r="HN72" s="55">
        <f>SUMIFS(tblBudget[Ore_oz],tblBudget[Month],"&lt;"&amp;$E72)+$HM72</f>
        <v/>
      </c>
      <c r="HO72" s="56">
        <f>IFERROR(IF(($HI72)&gt;0,($HL72*cfg_TroyOz)/($HI72),""),"")</f>
        <v/>
      </c>
      <c r="HP72" s="56">
        <f>IFERROR(IF(($HJ72)&gt;0,($HM72*cfg_TroyOz)/($HJ72),""),"")</f>
        <v/>
      </c>
      <c r="HQ72" s="56">
        <f>IFERROR(IF(($HK72)&gt;0,($HN72*cfg_TroyOz)/($HK72),""),"")</f>
        <v/>
      </c>
      <c r="HR72" s="55">
        <f>SUMIFS(tblBudget[Waste_t],tblBudget[Month],$E72)</f>
        <v/>
      </c>
      <c r="HS72" s="55">
        <f>$HR72*$C72/$D72</f>
        <v/>
      </c>
      <c r="HT72" s="55">
        <f>SUMIFS(tblBudget[Waste_t],tblBudget[Month],"&lt;"&amp;$E72)+$HS72</f>
        <v/>
      </c>
      <c r="HU72" s="55">
        <f>SUMIFS(tblBudget[TMM_t],tblBudget[Month],$E72)</f>
        <v/>
      </c>
      <c r="HV72" s="55">
        <f>$HU72*$C72/$D72</f>
        <v/>
      </c>
      <c r="HW72" s="55">
        <f>SUMIFS(tblBudget[TMM_t],tblBudget[Month],"&lt;"&amp;$E72)+$HV72</f>
        <v/>
      </c>
      <c r="HX72" s="56">
        <f>IFERROR(IF(($HI72)&gt;0,($HR72)/($HI72),""),"")</f>
        <v/>
      </c>
      <c r="HY72" s="56">
        <f>IFERROR(IF(($HJ72)&gt;0,($HS72)/($HJ72),""),"")</f>
        <v/>
      </c>
      <c r="HZ72" s="56">
        <f>IFERROR(IF(($HK72)&gt;0,($HT72)/($HK72),""),"")</f>
        <v/>
      </c>
      <c r="IA72" s="55">
        <f>SUMIFS(tblBudget[Drill_m],tblBudget[Month],$E72)</f>
        <v/>
      </c>
      <c r="IB72" s="55">
        <f>$IA72*$C72/$D72</f>
        <v/>
      </c>
      <c r="IC72" s="55">
        <f>SUMIFS(tblBudget[Drill_m],tblBudget[Month],"&lt;"&amp;$E72)+$IB72</f>
        <v/>
      </c>
      <c r="ID72" s="55">
        <f>SUMIFS(tblBudget[Diesel_L],tblBudget[Month],$E72)</f>
        <v/>
      </c>
      <c r="IE72" s="55">
        <f>$ID72*$C72/$D72</f>
        <v/>
      </c>
      <c r="IF72" s="55">
        <f>SUMIFS(tblBudget[Diesel_L],tblBudget[Month],"&lt;"&amp;$E72)+$IE72</f>
        <v/>
      </c>
      <c r="IG72" s="55">
        <f>SUMIFS(tblBudget[Milled_t],tblBudget[Month],$E72)</f>
        <v/>
      </c>
      <c r="IH72" s="55">
        <f>$IG72*$C72/$D72</f>
        <v/>
      </c>
      <c r="II72" s="55">
        <f>SUMIFS(tblBudget[Milled_t],tblBudget[Month],"&lt;"&amp;$E72)+$IH72</f>
        <v/>
      </c>
      <c r="IJ72" s="55">
        <f>SUMIFS(tblBudget[Feed_oz],tblBudget[Month],$E72)</f>
        <v/>
      </c>
      <c r="IK72" s="55">
        <f>$IJ72*$C72/$D72</f>
        <v/>
      </c>
      <c r="IL72" s="55">
        <f>SUMIFS(tblBudget[Feed_oz],tblBudget[Month],"&lt;"&amp;$E72)+$IK72</f>
        <v/>
      </c>
      <c r="IM72" s="55">
        <f>SUMIFS(tblBudget[Recovered_oz],tblBudget[Month],$E72)</f>
        <v/>
      </c>
      <c r="IN72" s="55">
        <f>$IM72*$C72/$D72</f>
        <v/>
      </c>
      <c r="IO72" s="55">
        <f>SUMIFS(tblBudget[Recovered_oz],tblBudget[Month],"&lt;"&amp;$E72)+$IN72</f>
        <v/>
      </c>
      <c r="IP72" s="56">
        <f>IFERROR(IF(($IG72)&gt;0,($IJ72*cfg_TroyOz)/($IG72),""),"")</f>
        <v/>
      </c>
      <c r="IQ72" s="56">
        <f>IFERROR(IF(($IH72)&gt;0,($IK72*cfg_TroyOz)/($IH72),""),"")</f>
        <v/>
      </c>
      <c r="IR72" s="56">
        <f>IFERROR(IF(($II72)&gt;0,($IL72*cfg_TroyOz)/($II72),""),"")</f>
        <v/>
      </c>
      <c r="IS72" s="67">
        <f>IFERROR(IF(($IJ72)&gt;0,($IM72)/($IJ72),""),"")</f>
        <v/>
      </c>
      <c r="IT72" s="67">
        <f>IFERROR(IF(($IK72)&gt;0,($IN72)/($IK72),""),"")</f>
        <v/>
      </c>
      <c r="IU72" s="67">
        <f>IFERROR(IF(($IL72)&gt;0,($IO72)/($IL72),""),"")</f>
        <v/>
      </c>
      <c r="IV72" s="55">
        <f>SUMIFS(tblBudget[Gold_Poured_oz],tblBudget[Month],$E72)</f>
        <v/>
      </c>
      <c r="IW72" s="55">
        <f>$IV72*$C72/$D72</f>
        <v/>
      </c>
      <c r="IX72" s="55">
        <f>SUMIFS(tblBudget[Gold_Poured_oz],tblBudget[Month],"&lt;"&amp;$E72)+$IW72</f>
        <v/>
      </c>
      <c r="IY72" s="57">
        <f>SUMIFS(tblBudget[Hours_Worked],tblBudget[Month],$E72)</f>
        <v/>
      </c>
      <c r="IZ72" s="57">
        <f>$IY72*$C72/$D72</f>
        <v/>
      </c>
      <c r="JA72" s="57">
        <f>SUMIFS(tblBudget[Hours_Worked],tblBudget[Month],"&lt;"&amp;$E72)+$IZ72</f>
        <v/>
      </c>
    </row>
    <row r="73">
      <c r="A73" s="54" t="n">
        <v>46094</v>
      </c>
      <c r="B73">
        <f>MONTH($A73)</f>
        <v/>
      </c>
      <c r="C73">
        <f>DAY($A73)</f>
        <v/>
      </c>
      <c r="D73">
        <f>DAY(EOMONTH($A73,0))</f>
        <v/>
      </c>
      <c r="E73" s="54">
        <f>DATE(YEAR($A73),MONTH($A73),1)</f>
        <v/>
      </c>
      <c r="F73" s="55">
        <f>SUMIFS(tblMovement[Tonnes_t],tblMovement[Date],$A73,tblMovement[Is_Ore],1,tblMovement[Source_Type],"Pit")</f>
        <v/>
      </c>
      <c r="G73" s="55">
        <f>IF($B73=$B72,$G72,0)+$F73</f>
        <v/>
      </c>
      <c r="H73" s="55">
        <f>$H72+$F73</f>
        <v/>
      </c>
      <c r="I73" s="55">
        <f>SUMIFS(tblMovement[Ore_oz],tblMovement[Date],$A73,tblMovement[Source_Type],"Pit")</f>
        <v/>
      </c>
      <c r="J73" s="55">
        <f>IF($B73=$B72,$J72,0)+$I73</f>
        <v/>
      </c>
      <c r="K73" s="55">
        <f>$K72+$I73</f>
        <v/>
      </c>
      <c r="L73" s="56">
        <f>IFERROR(IF(($F73)&gt;0,($I73*cfg_TroyOz)/($F73),""),"")</f>
        <v/>
      </c>
      <c r="M73" s="56">
        <f>IFERROR(IF(($G73)&gt;0,($J73*cfg_TroyOz)/($G73),""),"")</f>
        <v/>
      </c>
      <c r="N73" s="56">
        <f>IFERROR(IF(($H73)&gt;0,($K73*cfg_TroyOz)/($H73),""),"")</f>
        <v/>
      </c>
      <c r="O73" s="55">
        <f>SUMIFS(tblMovement[Tonnes_t],tblMovement[Date],$A73,tblMovement[Is_Ore],0,tblMovement[Source_Type],"Pit")</f>
        <v/>
      </c>
      <c r="P73" s="55">
        <f>IF($B73=$B72,$P72,0)+$O73</f>
        <v/>
      </c>
      <c r="Q73" s="55">
        <f>$Q72+$O73</f>
        <v/>
      </c>
      <c r="R73" s="55">
        <f>$F73+$O73</f>
        <v/>
      </c>
      <c r="S73" s="55">
        <f>IF($B73=$B72,$S72,0)+$R73</f>
        <v/>
      </c>
      <c r="T73" s="55">
        <f>$T72+$R73</f>
        <v/>
      </c>
      <c r="U73" s="56">
        <f>IFERROR(IF(($F73)&gt;0,($O73)/($F73),""),"")</f>
        <v/>
      </c>
      <c r="V73" s="56">
        <f>IFERROR(IF(($G73)&gt;0,($P73)/($G73),""),"")</f>
        <v/>
      </c>
      <c r="W73" s="56">
        <f>IFERROR(IF(($H73)&gt;0,($Q73)/($H73),""),"")</f>
        <v/>
      </c>
      <c r="X73" s="55">
        <f>SUMIFS(tblMovement[Tonnes_t],tblMovement[Date],$A73,tblMovement[Source_Type],"Stockpile")</f>
        <v/>
      </c>
      <c r="Y73" s="55">
        <f>IF($B73=$B72,$Y72,0)+$X73</f>
        <v/>
      </c>
      <c r="Z73" s="55">
        <f>$Z72+$X73</f>
        <v/>
      </c>
      <c r="AA73" s="55">
        <f>SUMIFS(tblMiningDaily[Drill_m],tblMiningDaily[Date],$A73)</f>
        <v/>
      </c>
      <c r="AB73" s="55">
        <f>IF($B73=$B72,$AB72,0)+$AA73</f>
        <v/>
      </c>
      <c r="AC73" s="55">
        <f>$AC72+$AA73</f>
        <v/>
      </c>
      <c r="AD73" s="55">
        <f>SUMIFS(tblMiningDaily[Blast_t],tblMiningDaily[Date],$A73)</f>
        <v/>
      </c>
      <c r="AE73" s="55">
        <f>IF($B73=$B72,$AE72,0)+$AD73</f>
        <v/>
      </c>
      <c r="AF73" s="55">
        <f>$AF72+$AD73</f>
        <v/>
      </c>
      <c r="AG73" s="55">
        <f>SUMIFS(tblMiningDaily[Explosives_kg],tblMiningDaily[Date],$A73)</f>
        <v/>
      </c>
      <c r="AH73" s="55">
        <f>IF($B73=$B72,$AH72,0)+$AG73</f>
        <v/>
      </c>
      <c r="AI73" s="55">
        <f>$AI72+$AG73</f>
        <v/>
      </c>
      <c r="AJ73" s="56">
        <f>IFERROR(IF(($AD73)&gt;0,($AG73)/($AD73),""),"")</f>
        <v/>
      </c>
      <c r="AK73" s="56">
        <f>IFERROR(IF(($AE73)&gt;0,($AH73)/($AE73),""),"")</f>
        <v/>
      </c>
      <c r="AL73" s="56">
        <f>IFERROR(IF(($AF73)&gt;0,($AI73)/($AF73),""),"")</f>
        <v/>
      </c>
      <c r="AM73" s="55">
        <f>SUMIFS(tblMiningDaily[Diesel_L],tblMiningDaily[Date],$A73)</f>
        <v/>
      </c>
      <c r="AN73" s="55">
        <f>IF($B73=$B72,$AN72,0)+$AM73</f>
        <v/>
      </c>
      <c r="AO73" s="55">
        <f>$AO72+$AM73</f>
        <v/>
      </c>
      <c r="AP73" s="55">
        <f>SUMIFS(tblMiningDaily[Dewatering_m3],tblMiningDaily[Date],$A73)</f>
        <v/>
      </c>
      <c r="AQ73" s="55">
        <f>IF($B73=$B72,$AQ72,0)+$AP73</f>
        <v/>
      </c>
      <c r="AR73" s="55">
        <f>$AR72+$AP73</f>
        <v/>
      </c>
      <c r="AS73" s="57">
        <f>SUMIFS(tblFleet[Calendar_h],tblFleet[Date],$A73,tblFleet[Equipment_Class],"Excavator")</f>
        <v/>
      </c>
      <c r="AT73" s="57">
        <f>IF($B73=$B72,$AT72,0)+$AS73</f>
        <v/>
      </c>
      <c r="AU73" s="57">
        <f>$AU72+$AS73</f>
        <v/>
      </c>
      <c r="AV73" s="57">
        <f>SUMIFS(tblFleet[Available_h],tblFleet[Date],$A73,tblFleet[Equipment_Class],"Excavator")</f>
        <v/>
      </c>
      <c r="AW73" s="57">
        <f>IF($B73=$B72,$AW72,0)+$AV73</f>
        <v/>
      </c>
      <c r="AX73" s="57">
        <f>$AX72+$AV73</f>
        <v/>
      </c>
      <c r="AY73" s="57">
        <f>SUMIFS(tblFleet[Operating_h],tblFleet[Date],$A73,tblFleet[Equipment_Class],"Excavator")</f>
        <v/>
      </c>
      <c r="AZ73" s="57">
        <f>IF($B73=$B72,$AZ72,0)+$AY73</f>
        <v/>
      </c>
      <c r="BA73" s="57">
        <f>$BA72+$AY73</f>
        <v/>
      </c>
      <c r="BB73" s="67">
        <f>IFERROR(IF(($AS73)&gt;0,($AV73)/($AS73),""),"")</f>
        <v/>
      </c>
      <c r="BC73" s="67">
        <f>IFERROR(IF(($AT73)&gt;0,($AW73)/($AT73),""),"")</f>
        <v/>
      </c>
      <c r="BD73" s="67">
        <f>IFERROR(IF(($AU73)&gt;0,($AX73)/($AU73),""),"")</f>
        <v/>
      </c>
      <c r="BE73" s="67">
        <f>IFERROR(IF(($AV73)&gt;0,($AY73)/($AV73),""),"")</f>
        <v/>
      </c>
      <c r="BF73" s="67">
        <f>IFERROR(IF(($AW73)&gt;0,($AZ73)/($AW73),""),"")</f>
        <v/>
      </c>
      <c r="BG73" s="67">
        <f>IFERROR(IF(($AX73)&gt;0,($BA73)/($AX73),""),"")</f>
        <v/>
      </c>
      <c r="BH73" s="57">
        <f>SUMIFS(tblFleet[Calendar_h],tblFleet[Date],$A73,tblFleet[Equipment_Class],"Haul Truck")</f>
        <v/>
      </c>
      <c r="BI73" s="57">
        <f>IF($B73=$B72,$BI72,0)+$BH73</f>
        <v/>
      </c>
      <c r="BJ73" s="57">
        <f>$BJ72+$BH73</f>
        <v/>
      </c>
      <c r="BK73" s="57">
        <f>SUMIFS(tblFleet[Available_h],tblFleet[Date],$A73,tblFleet[Equipment_Class],"Haul Truck")</f>
        <v/>
      </c>
      <c r="BL73" s="57">
        <f>IF($B73=$B72,$BL72,0)+$BK73</f>
        <v/>
      </c>
      <c r="BM73" s="57">
        <f>$BM72+$BK73</f>
        <v/>
      </c>
      <c r="BN73" s="57">
        <f>SUMIFS(tblFleet[Operating_h],tblFleet[Date],$A73,tblFleet[Equipment_Class],"Haul Truck")</f>
        <v/>
      </c>
      <c r="BO73" s="57">
        <f>IF($B73=$B72,$BO72,0)+$BN73</f>
        <v/>
      </c>
      <c r="BP73" s="57">
        <f>$BP72+$BN73</f>
        <v/>
      </c>
      <c r="BQ73" s="67">
        <f>IFERROR(IF(($BH73)&gt;0,($BK73)/($BH73),""),"")</f>
        <v/>
      </c>
      <c r="BR73" s="67">
        <f>IFERROR(IF(($BI73)&gt;0,($BL73)/($BI73),""),"")</f>
        <v/>
      </c>
      <c r="BS73" s="67">
        <f>IFERROR(IF(($BJ73)&gt;0,($BM73)/($BJ73),""),"")</f>
        <v/>
      </c>
      <c r="BT73" s="67">
        <f>IFERROR(IF(($BK73)&gt;0,($BN73)/($BK73),""),"")</f>
        <v/>
      </c>
      <c r="BU73" s="67">
        <f>IFERROR(IF(($BL73)&gt;0,($BO73)/($BL73),""),"")</f>
        <v/>
      </c>
      <c r="BV73" s="67">
        <f>IFERROR(IF(($BM73)&gt;0,($BP73)/($BM73),""),"")</f>
        <v/>
      </c>
      <c r="BW73" s="55">
        <f>SUMIFS(tblPlant[Crushed_t],tblPlant[Date],$A73)</f>
        <v/>
      </c>
      <c r="BX73" s="55">
        <f>IF($B73=$B72,$BX72,0)+$BW73</f>
        <v/>
      </c>
      <c r="BY73" s="55">
        <f>$BY72+$BW73</f>
        <v/>
      </c>
      <c r="BZ73" s="55">
        <f>SUMIFS(tblPlant[Milled_t],tblPlant[Date],$A73)</f>
        <v/>
      </c>
      <c r="CA73" s="55">
        <f>IF($B73=$B72,$CA72,0)+$BZ73</f>
        <v/>
      </c>
      <c r="CB73" s="55">
        <f>$CB72+$BZ73</f>
        <v/>
      </c>
      <c r="CC73" s="55">
        <f>SUMIFS(tblPlant[Feed_oz],tblPlant[Date],$A73)</f>
        <v/>
      </c>
      <c r="CD73" s="55">
        <f>IF($B73=$B72,$CD72,0)+$CC73</f>
        <v/>
      </c>
      <c r="CE73" s="55">
        <f>$CE72+$CC73</f>
        <v/>
      </c>
      <c r="CF73" s="55">
        <f>SUMIFS(tblPlant[Tails_oz],tblPlant[Date],$A73)</f>
        <v/>
      </c>
      <c r="CG73" s="55">
        <f>IF($B73=$B72,$CG72,0)+$CF73</f>
        <v/>
      </c>
      <c r="CH73" s="55">
        <f>$CH72+$CF73</f>
        <v/>
      </c>
      <c r="CI73" s="55">
        <f>SUMIFS(tblPlant[Recovered_oz],tblPlant[Date],$A73)</f>
        <v/>
      </c>
      <c r="CJ73" s="55">
        <f>IF($B73=$B72,$CJ72,0)+$CI73</f>
        <v/>
      </c>
      <c r="CK73" s="55">
        <f>$CK72+$CI73</f>
        <v/>
      </c>
      <c r="CL73" s="56">
        <f>IFERROR(IF(($BZ73)&gt;0,($CC73*cfg_TroyOz)/($BZ73),""),"")</f>
        <v/>
      </c>
      <c r="CM73" s="56">
        <f>IFERROR(IF(($CA73)&gt;0,($CD73*cfg_TroyOz)/($CA73),""),"")</f>
        <v/>
      </c>
      <c r="CN73" s="56">
        <f>IFERROR(IF(($CB73)&gt;0,($CE73*cfg_TroyOz)/($CB73),""),"")</f>
        <v/>
      </c>
      <c r="CO73" s="56">
        <f>IFERROR(IF(($BZ73)&gt;0,($CF73*cfg_TroyOz)/($BZ73),""),"")</f>
        <v/>
      </c>
      <c r="CP73" s="56">
        <f>IFERROR(IF(($CA73)&gt;0,($CG73*cfg_TroyOz)/($CA73),""),"")</f>
        <v/>
      </c>
      <c r="CQ73" s="56">
        <f>IFERROR(IF(($CB73)&gt;0,($CH73*cfg_TroyOz)/($CB73),""),"")</f>
        <v/>
      </c>
      <c r="CR73" s="67">
        <f>IFERROR(IF(($CC73)&gt;0,($CI73)/($CC73),""),"")</f>
        <v/>
      </c>
      <c r="CS73" s="67">
        <f>IFERROR(IF(($CD73)&gt;0,($CJ73)/($CD73),""),"")</f>
        <v/>
      </c>
      <c r="CT73" s="67">
        <f>IFERROR(IF(($CE73)&gt;0,($CK73)/($CE73),""),"")</f>
        <v/>
      </c>
      <c r="CU73" s="55">
        <f>SUMIFS(tblPlant[Gravity_Gold_oz],tblPlant[Date],$A73)</f>
        <v/>
      </c>
      <c r="CV73" s="55">
        <f>IF($B73=$B72,$CV72,0)+$CU73</f>
        <v/>
      </c>
      <c r="CW73" s="55">
        <f>$CW72+$CU73</f>
        <v/>
      </c>
      <c r="CX73" s="55">
        <f>SUMIFS(tblPlant[Gold_Poured_oz],tblPlant[Date],$A73)</f>
        <v/>
      </c>
      <c r="CY73" s="55">
        <f>IF($B73=$B72,$CY72,0)+$CX73</f>
        <v/>
      </c>
      <c r="CZ73" s="55">
        <f>$CZ72+$CX73</f>
        <v/>
      </c>
      <c r="DA73" s="57">
        <f>SUMIFS(tblPlant[Mill_Run_h],tblPlant[Date],$A73)</f>
        <v/>
      </c>
      <c r="DB73" s="57">
        <f>IF($B73=$B72,$DB72,0)+$DA73</f>
        <v/>
      </c>
      <c r="DC73" s="57">
        <f>$DC72+$DA73</f>
        <v/>
      </c>
      <c r="DD73" s="57">
        <f>SUMIFS(tblPlant[Mill_Planned_Maint_h],tblPlant[Date],$A73)</f>
        <v/>
      </c>
      <c r="DE73" s="57">
        <f>IF($B73=$B72,$DE72,0)+$DD73</f>
        <v/>
      </c>
      <c r="DF73" s="57">
        <f>$DF72+$DD73</f>
        <v/>
      </c>
      <c r="DG73" s="57">
        <f>SUMIFS(tblPlant[Mill_Unplanned_Down_h],tblPlant[Date],$A73)</f>
        <v/>
      </c>
      <c r="DH73" s="57">
        <f>IF($B73=$B72,$DH72,0)+$DG73</f>
        <v/>
      </c>
      <c r="DI73" s="57">
        <f>$DI72+$DG73</f>
        <v/>
      </c>
      <c r="DJ73" s="57">
        <f>COUNTIFS(tblPlant[Date],$A73,tblPlant[Mill_Run_h],"&lt;&gt;")*24</f>
        <v/>
      </c>
      <c r="DK73" s="57">
        <f>IF($B73=$B72,$DK72,0)+$DJ73</f>
        <v/>
      </c>
      <c r="DL73" s="57">
        <f>$DL72+$DJ73</f>
        <v/>
      </c>
      <c r="DM73" s="57">
        <f>SUMIFS(tblPlant[Crusher_Run_h],tblPlant[Date],$A73)</f>
        <v/>
      </c>
      <c r="DN73" s="57">
        <f>IF($B73=$B72,$DN72,0)+$DM73</f>
        <v/>
      </c>
      <c r="DO73" s="57">
        <f>$DO72+$DM73</f>
        <v/>
      </c>
      <c r="DP73" s="55">
        <f>IFERROR(IF(($DA73)&gt;0,($BZ73)/($DA73),""),"")</f>
        <v/>
      </c>
      <c r="DQ73" s="55">
        <f>IFERROR(IF(($DB73)&gt;0,($CA73)/($DB73),""),"")</f>
        <v/>
      </c>
      <c r="DR73" s="55">
        <f>IFERROR(IF(($DC73)&gt;0,($CB73)/($DC73),""),"")</f>
        <v/>
      </c>
      <c r="DS73" s="67">
        <f>IFERROR(IF(($DJ73)&gt;0,($DJ73-$DD73-$DG73)/($DJ73),""),"")</f>
        <v/>
      </c>
      <c r="DT73" s="67">
        <f>IFERROR(IF(($DK73)&gt;0,($DK73-$DE73-$DH73)/($DK73),""),"")</f>
        <v/>
      </c>
      <c r="DU73" s="67">
        <f>IFERROR(IF(($DL73)&gt;0,($DL73-$DF73-$DI73)/($DL73),""),"")</f>
        <v/>
      </c>
      <c r="DV73" s="67">
        <f>IFERROR(IF(($DJ73-$DD73-$DG73)&gt;0,($DA73)/($DJ73-$DD73-$DG73),""),"")</f>
        <v/>
      </c>
      <c r="DW73" s="67">
        <f>IFERROR(IF(($DK73-$DE73-$DH73)&gt;0,($DB73)/($DK73-$DE73-$DH73),""),"")</f>
        <v/>
      </c>
      <c r="DX73" s="67">
        <f>IFERROR(IF(($DL73-$DF73-$DI73)&gt;0,($DC73)/($DL73-$DF73-$DI73),""),"")</f>
        <v/>
      </c>
      <c r="DY73" s="55">
        <f>SUMIFS(tblPlant[Cyanide_kg],tblPlant[Date],$A73)</f>
        <v/>
      </c>
      <c r="DZ73" s="55">
        <f>IF($B73=$B72,$DZ72,0)+$DY73</f>
        <v/>
      </c>
      <c r="EA73" s="55">
        <f>$EA72+$DY73</f>
        <v/>
      </c>
      <c r="EB73" s="55">
        <f>SUMIFS(tblPlant[Lime_kg],tblPlant[Date],$A73)</f>
        <v/>
      </c>
      <c r="EC73" s="55">
        <f>IF($B73=$B72,$EC72,0)+$EB73</f>
        <v/>
      </c>
      <c r="ED73" s="55">
        <f>$ED72+$EB73</f>
        <v/>
      </c>
      <c r="EE73" s="55">
        <f>SUMIFS(tblPlant[Grinding_Media_kg],tblPlant[Date],$A73)</f>
        <v/>
      </c>
      <c r="EF73" s="55">
        <f>IF($B73=$B72,$EF72,0)+$EE73</f>
        <v/>
      </c>
      <c r="EG73" s="55">
        <f>$EG72+$EE73</f>
        <v/>
      </c>
      <c r="EH73" s="55">
        <f>SUMIFS(tblPlant[Power_kWh],tblPlant[Date],$A73)</f>
        <v/>
      </c>
      <c r="EI73" s="55">
        <f>IF($B73=$B72,$EI72,0)+$EH73</f>
        <v/>
      </c>
      <c r="EJ73" s="55">
        <f>$EJ72+$EH73</f>
        <v/>
      </c>
      <c r="EK73" s="55">
        <f>SUMIFS(tblPlant[Raw_Water_m3],tblPlant[Date],$A73)</f>
        <v/>
      </c>
      <c r="EL73" s="55">
        <f>IF($B73=$B72,$EL72,0)+$EK73</f>
        <v/>
      </c>
      <c r="EM73" s="55">
        <f>$EM72+$EK73</f>
        <v/>
      </c>
      <c r="EN73" s="56">
        <f>IFERROR(IF(($BZ73)&gt;0,($DY73)/($BZ73),""),"")</f>
        <v/>
      </c>
      <c r="EO73" s="56">
        <f>IFERROR(IF(($CA73)&gt;0,($DZ73)/($CA73),""),"")</f>
        <v/>
      </c>
      <c r="EP73" s="56">
        <f>IFERROR(IF(($CB73)&gt;0,($EA73)/($CB73),""),"")</f>
        <v/>
      </c>
      <c r="EQ73" s="56">
        <f>IFERROR(IF(($BZ73)&gt;0,($EB73)/($BZ73),""),"")</f>
        <v/>
      </c>
      <c r="ER73" s="56">
        <f>IFERROR(IF(($CA73)&gt;0,($EC73)/($CA73),""),"")</f>
        <v/>
      </c>
      <c r="ES73" s="56">
        <f>IFERROR(IF(($CB73)&gt;0,($ED73)/($CB73),""),"")</f>
        <v/>
      </c>
      <c r="ET73" s="56">
        <f>IFERROR(IF(($BZ73)&gt;0,($EE73)/($BZ73),""),"")</f>
        <v/>
      </c>
      <c r="EU73" s="56">
        <f>IFERROR(IF(($CA73)&gt;0,($EF73)/($CA73),""),"")</f>
        <v/>
      </c>
      <c r="EV73" s="56">
        <f>IFERROR(IF(($CB73)&gt;0,($EG73)/($CB73),""),"")</f>
        <v/>
      </c>
      <c r="EW73" s="76">
        <f>IFERROR(IF(($BZ73)&gt;0,($EH73)/($BZ73),""),"")</f>
        <v/>
      </c>
      <c r="EX73" s="76">
        <f>IFERROR(IF(($CA73)&gt;0,($EI73)/($CA73),""),"")</f>
        <v/>
      </c>
      <c r="EY73" s="76">
        <f>IFERROR(IF(($CB73)&gt;0,($EJ73)/($CB73),""),"")</f>
        <v/>
      </c>
      <c r="EZ73" s="56">
        <f>IFERROR(IF(($BZ73)&gt;0,($EK73)/($BZ73),""),"")</f>
        <v/>
      </c>
      <c r="FA73" s="56">
        <f>IFERROR(IF(($CA73)&gt;0,($EL73)/($CA73),""),"")</f>
        <v/>
      </c>
      <c r="FB73" s="56">
        <f>IFERROR(IF(($CB73)&gt;0,($EM73)/($CB73),""),"")</f>
        <v/>
      </c>
      <c r="FC73" s="55">
        <f>IF(SUMIFS(tblPlant[GIC_oz],tblPlant[Date],$A73)&gt;0,SUMIFS(tblPlant[GIC_oz],tblPlant[Date],$A73),"")</f>
        <v/>
      </c>
      <c r="FD73" s="55">
        <f>SUMIFS(tblGold[Gold_oz],tblGold[Date],$A73,tblGold[Type],"Shipment")</f>
        <v/>
      </c>
      <c r="FE73" s="55">
        <f>IF($B73=$B72,$FE72,0)+$FD73</f>
        <v/>
      </c>
      <c r="FF73" s="55">
        <f>$FF72+$FD73</f>
        <v/>
      </c>
      <c r="FG73" s="55">
        <f>SUMIFS(tblGold[Gold_oz],tblGold[Date],$A73,tblGold[Type],"Sale")</f>
        <v/>
      </c>
      <c r="FH73" s="55">
        <f>IF($B73=$B72,$FH72,0)+$FG73</f>
        <v/>
      </c>
      <c r="FI73" s="55">
        <f>$FI72+$FG73</f>
        <v/>
      </c>
      <c r="FJ73" s="55">
        <f>SUMIFS(tblGold[Dore_kg],tblGold[Date],$A73,tblGold[Type],"Shipment")</f>
        <v/>
      </c>
      <c r="FK73" s="55">
        <f>IF($B73=$B72,$FK72,0)+$FJ73</f>
        <v/>
      </c>
      <c r="FL73" s="55">
        <f>$FL72+$FJ73</f>
        <v/>
      </c>
      <c r="FM73" s="57">
        <f>SUMIFS(tblSafety[Hours_Total],tblSafety[Date],$A73)</f>
        <v/>
      </c>
      <c r="FN73" s="57">
        <f>IF($B73=$B72,$FN72,0)+$FM73</f>
        <v/>
      </c>
      <c r="FO73" s="57">
        <f>$FO72+$FM73</f>
        <v/>
      </c>
      <c r="FP73" s="62">
        <f>SUMIFS(tblSafety[Fatality],tblSafety[Date],$A73)</f>
        <v/>
      </c>
      <c r="FQ73" s="62">
        <f>IF($B73=$B72,$FQ72,0)+$FP73</f>
        <v/>
      </c>
      <c r="FR73" s="62">
        <f>$FR72+$FP73</f>
        <v/>
      </c>
      <c r="FS73" s="62">
        <f>SUMIFS(tblSafety[LTI],tblSafety[Date],$A73)</f>
        <v/>
      </c>
      <c r="FT73" s="62">
        <f>IF($B73=$B72,$FT72,0)+$FS73</f>
        <v/>
      </c>
      <c r="FU73" s="62">
        <f>$FU72+$FS73</f>
        <v/>
      </c>
      <c r="FV73" s="62">
        <f>SUMIFS(tblSafety[RWI],tblSafety[Date],$A73)</f>
        <v/>
      </c>
      <c r="FW73" s="62">
        <f>IF($B73=$B72,$FW72,0)+$FV73</f>
        <v/>
      </c>
      <c r="FX73" s="62">
        <f>$FX72+$FV73</f>
        <v/>
      </c>
      <c r="FY73" s="62">
        <f>SUMIFS(tblSafety[MTI],tblSafety[Date],$A73)</f>
        <v/>
      </c>
      <c r="FZ73" s="62">
        <f>IF($B73=$B72,$FZ72,0)+$FY73</f>
        <v/>
      </c>
      <c r="GA73" s="62">
        <f>$GA72+$FY73</f>
        <v/>
      </c>
      <c r="GB73" s="62">
        <f>SUMIFS(tblSafety[FAI],tblSafety[Date],$A73)</f>
        <v/>
      </c>
      <c r="GC73" s="62">
        <f>IF($B73=$B72,$GC72,0)+$GB73</f>
        <v/>
      </c>
      <c r="GD73" s="62">
        <f>$GD72+$GB73</f>
        <v/>
      </c>
      <c r="GE73" s="62">
        <f>SUMIFS(tblSafety[Recordables],tblSafety[Date],$A73)</f>
        <v/>
      </c>
      <c r="GF73" s="62">
        <f>IF($B73=$B72,$GF72,0)+$GE73</f>
        <v/>
      </c>
      <c r="GG73" s="62">
        <f>$GG72+$GE73</f>
        <v/>
      </c>
      <c r="GH73" s="62">
        <f>SUMIFS(tblSafety[Near_Miss],tblSafety[Date],$A73)</f>
        <v/>
      </c>
      <c r="GI73" s="62">
        <f>IF($B73=$B72,$GI72,0)+$GH73</f>
        <v/>
      </c>
      <c r="GJ73" s="62">
        <f>$GJ72+$GH73</f>
        <v/>
      </c>
      <c r="GK73" s="62">
        <f>SUMIFS(tblSafety[Hazard_Reports],tblSafety[Date],$A73)</f>
        <v/>
      </c>
      <c r="GL73" s="62">
        <f>IF($B73=$B72,$GL72,0)+$GK73</f>
        <v/>
      </c>
      <c r="GM73" s="62">
        <f>$GM72+$GK73</f>
        <v/>
      </c>
      <c r="GN73" s="62">
        <f>SUMIFS(tblSafety[HPI],tblSafety[Date],$A73)</f>
        <v/>
      </c>
      <c r="GO73" s="62">
        <f>IF($B73=$B72,$GO72,0)+$GN73</f>
        <v/>
      </c>
      <c r="GP73" s="62">
        <f>$GP72+$GN73</f>
        <v/>
      </c>
      <c r="GQ73" s="62">
        <f>SUMIFS(tblSafety[Env_Incidents],tblSafety[Date],$A73)</f>
        <v/>
      </c>
      <c r="GR73" s="62">
        <f>IF($B73=$B72,$GR72,0)+$GQ73</f>
        <v/>
      </c>
      <c r="GS73" s="62">
        <f>$GS72+$GQ73</f>
        <v/>
      </c>
      <c r="GT73" s="62">
        <f>SUMIFS(tblSafety[Community_Incidents],tblSafety[Date],$A73)</f>
        <v/>
      </c>
      <c r="GU73" s="62">
        <f>IF($B73=$B72,$GU72,0)+$GT73</f>
        <v/>
      </c>
      <c r="GV73" s="62">
        <f>$GV72+$GT73</f>
        <v/>
      </c>
      <c r="GW73" s="62">
        <f>SUMIFS(tblSafety[Vehicle_Incidents],tblSafety[Date],$A73)</f>
        <v/>
      </c>
      <c r="GX73" s="62">
        <f>IF($B73=$B72,$GX72,0)+$GW73</f>
        <v/>
      </c>
      <c r="GY73" s="62">
        <f>$GY72+$GW73</f>
        <v/>
      </c>
      <c r="GZ73" s="62">
        <f>SUMIFS(tblSafety[Toolbox_Talks],tblSafety[Date],$A73)</f>
        <v/>
      </c>
      <c r="HA73" s="62">
        <f>IF($B73=$B72,$HA72,0)+$GZ73</f>
        <v/>
      </c>
      <c r="HB73" s="62">
        <f>$HB72+$GZ73</f>
        <v/>
      </c>
      <c r="HC73" s="62">
        <f>SUMIFS(tblSafety[Inspections],tblSafety[Date],$A73)</f>
        <v/>
      </c>
      <c r="HD73" s="62">
        <f>IF($B73=$B72,$HD72,0)+$HC73</f>
        <v/>
      </c>
      <c r="HE73" s="62">
        <f>$HE72+$HC73</f>
        <v/>
      </c>
      <c r="HF73" s="56">
        <f>IFERROR((SUMIFS(tblSafety[Recordables],tblSafety[Date],"&gt;="&amp;EDATE($E73,-12),tblSafety[Date],"&lt;="&amp;$A73)+SUMIFS(tblSafetyHistory[Recordables],tblSafetyHistory[Month],"&gt;="&amp;EDATE($E73,-12),tblSafetyHistory[Month],"&lt;"&amp;cfg_YearStart))/(SUMIFS(tblSafety[Hours_Total],tblSafety[Date],"&gt;="&amp;EDATE($E73,-12),tblSafety[Date],"&lt;="&amp;$A73)+SUMIFS(tblSafetyHistory[Hours_Total],tblSafetyHistory[Month],"&gt;="&amp;EDATE($E73,-12),tblSafetyHistory[Month],"&lt;"&amp;cfg_YearStart))*1000000,"")</f>
        <v/>
      </c>
      <c r="HG73" s="56">
        <f>IFERROR((SUMIFS(tblSafety[LTI],tblSafety[Date],"&gt;="&amp;EDATE($E73,-12),tblSafety[Date],"&lt;="&amp;$A73)+SUMIFS(tblSafetyHistory[LTI],tblSafetyHistory[Month],"&gt;="&amp;EDATE($E73,-12),tblSafetyHistory[Month],"&lt;"&amp;cfg_YearStart))/(SUMIFS(tblSafety[Hours_Total],tblSafety[Date],"&gt;="&amp;EDATE($E73,-12),tblSafety[Date],"&lt;="&amp;$A73)+SUMIFS(tblSafetyHistory[Hours_Total],tblSafetyHistory[Month],"&gt;="&amp;EDATE($E73,-12),tblSafetyHistory[Month],"&lt;"&amp;cfg_YearStart))*1000000,"")</f>
        <v/>
      </c>
      <c r="HH73" s="62">
        <f>IF(MAX(N(cfg_PriorLTIDate),_xlfn.MAXIFS(tblSafety[Date],tblSafety[LTI],"&gt;0",tblSafety[Date],"&lt;="&amp;$A73))=0,"",$A73-MAX(N(cfg_PriorLTIDate),_xlfn.MAXIFS(tblSafety[Date],tblSafety[LTI],"&gt;0",tblSafety[Date],"&lt;="&amp;$A73)))</f>
        <v/>
      </c>
      <c r="HI73" s="55">
        <f>SUMIFS(tblBudget[Ore_Mined_t],tblBudget[Month],$E73)</f>
        <v/>
      </c>
      <c r="HJ73" s="55">
        <f>$HI73*$C73/$D73</f>
        <v/>
      </c>
      <c r="HK73" s="55">
        <f>SUMIFS(tblBudget[Ore_Mined_t],tblBudget[Month],"&lt;"&amp;$E73)+$HJ73</f>
        <v/>
      </c>
      <c r="HL73" s="55">
        <f>SUMIFS(tblBudget[Ore_oz],tblBudget[Month],$E73)</f>
        <v/>
      </c>
      <c r="HM73" s="55">
        <f>$HL73*$C73/$D73</f>
        <v/>
      </c>
      <c r="HN73" s="55">
        <f>SUMIFS(tblBudget[Ore_oz],tblBudget[Month],"&lt;"&amp;$E73)+$HM73</f>
        <v/>
      </c>
      <c r="HO73" s="56">
        <f>IFERROR(IF(($HI73)&gt;0,($HL73*cfg_TroyOz)/($HI73),""),"")</f>
        <v/>
      </c>
      <c r="HP73" s="56">
        <f>IFERROR(IF(($HJ73)&gt;0,($HM73*cfg_TroyOz)/($HJ73),""),"")</f>
        <v/>
      </c>
      <c r="HQ73" s="56">
        <f>IFERROR(IF(($HK73)&gt;0,($HN73*cfg_TroyOz)/($HK73),""),"")</f>
        <v/>
      </c>
      <c r="HR73" s="55">
        <f>SUMIFS(tblBudget[Waste_t],tblBudget[Month],$E73)</f>
        <v/>
      </c>
      <c r="HS73" s="55">
        <f>$HR73*$C73/$D73</f>
        <v/>
      </c>
      <c r="HT73" s="55">
        <f>SUMIFS(tblBudget[Waste_t],tblBudget[Month],"&lt;"&amp;$E73)+$HS73</f>
        <v/>
      </c>
      <c r="HU73" s="55">
        <f>SUMIFS(tblBudget[TMM_t],tblBudget[Month],$E73)</f>
        <v/>
      </c>
      <c r="HV73" s="55">
        <f>$HU73*$C73/$D73</f>
        <v/>
      </c>
      <c r="HW73" s="55">
        <f>SUMIFS(tblBudget[TMM_t],tblBudget[Month],"&lt;"&amp;$E73)+$HV73</f>
        <v/>
      </c>
      <c r="HX73" s="56">
        <f>IFERROR(IF(($HI73)&gt;0,($HR73)/($HI73),""),"")</f>
        <v/>
      </c>
      <c r="HY73" s="56">
        <f>IFERROR(IF(($HJ73)&gt;0,($HS73)/($HJ73),""),"")</f>
        <v/>
      </c>
      <c r="HZ73" s="56">
        <f>IFERROR(IF(($HK73)&gt;0,($HT73)/($HK73),""),"")</f>
        <v/>
      </c>
      <c r="IA73" s="55">
        <f>SUMIFS(tblBudget[Drill_m],tblBudget[Month],$E73)</f>
        <v/>
      </c>
      <c r="IB73" s="55">
        <f>$IA73*$C73/$D73</f>
        <v/>
      </c>
      <c r="IC73" s="55">
        <f>SUMIFS(tblBudget[Drill_m],tblBudget[Month],"&lt;"&amp;$E73)+$IB73</f>
        <v/>
      </c>
      <c r="ID73" s="55">
        <f>SUMIFS(tblBudget[Diesel_L],tblBudget[Month],$E73)</f>
        <v/>
      </c>
      <c r="IE73" s="55">
        <f>$ID73*$C73/$D73</f>
        <v/>
      </c>
      <c r="IF73" s="55">
        <f>SUMIFS(tblBudget[Diesel_L],tblBudget[Month],"&lt;"&amp;$E73)+$IE73</f>
        <v/>
      </c>
      <c r="IG73" s="55">
        <f>SUMIFS(tblBudget[Milled_t],tblBudget[Month],$E73)</f>
        <v/>
      </c>
      <c r="IH73" s="55">
        <f>$IG73*$C73/$D73</f>
        <v/>
      </c>
      <c r="II73" s="55">
        <f>SUMIFS(tblBudget[Milled_t],tblBudget[Month],"&lt;"&amp;$E73)+$IH73</f>
        <v/>
      </c>
      <c r="IJ73" s="55">
        <f>SUMIFS(tblBudget[Feed_oz],tblBudget[Month],$E73)</f>
        <v/>
      </c>
      <c r="IK73" s="55">
        <f>$IJ73*$C73/$D73</f>
        <v/>
      </c>
      <c r="IL73" s="55">
        <f>SUMIFS(tblBudget[Feed_oz],tblBudget[Month],"&lt;"&amp;$E73)+$IK73</f>
        <v/>
      </c>
      <c r="IM73" s="55">
        <f>SUMIFS(tblBudget[Recovered_oz],tblBudget[Month],$E73)</f>
        <v/>
      </c>
      <c r="IN73" s="55">
        <f>$IM73*$C73/$D73</f>
        <v/>
      </c>
      <c r="IO73" s="55">
        <f>SUMIFS(tblBudget[Recovered_oz],tblBudget[Month],"&lt;"&amp;$E73)+$IN73</f>
        <v/>
      </c>
      <c r="IP73" s="56">
        <f>IFERROR(IF(($IG73)&gt;0,($IJ73*cfg_TroyOz)/($IG73),""),"")</f>
        <v/>
      </c>
      <c r="IQ73" s="56">
        <f>IFERROR(IF(($IH73)&gt;0,($IK73*cfg_TroyOz)/($IH73),""),"")</f>
        <v/>
      </c>
      <c r="IR73" s="56">
        <f>IFERROR(IF(($II73)&gt;0,($IL73*cfg_TroyOz)/($II73),""),"")</f>
        <v/>
      </c>
      <c r="IS73" s="67">
        <f>IFERROR(IF(($IJ73)&gt;0,($IM73)/($IJ73),""),"")</f>
        <v/>
      </c>
      <c r="IT73" s="67">
        <f>IFERROR(IF(($IK73)&gt;0,($IN73)/($IK73),""),"")</f>
        <v/>
      </c>
      <c r="IU73" s="67">
        <f>IFERROR(IF(($IL73)&gt;0,($IO73)/($IL73),""),"")</f>
        <v/>
      </c>
      <c r="IV73" s="55">
        <f>SUMIFS(tblBudget[Gold_Poured_oz],tblBudget[Month],$E73)</f>
        <v/>
      </c>
      <c r="IW73" s="55">
        <f>$IV73*$C73/$D73</f>
        <v/>
      </c>
      <c r="IX73" s="55">
        <f>SUMIFS(tblBudget[Gold_Poured_oz],tblBudget[Month],"&lt;"&amp;$E73)+$IW73</f>
        <v/>
      </c>
      <c r="IY73" s="57">
        <f>SUMIFS(tblBudget[Hours_Worked],tblBudget[Month],$E73)</f>
        <v/>
      </c>
      <c r="IZ73" s="57">
        <f>$IY73*$C73/$D73</f>
        <v/>
      </c>
      <c r="JA73" s="57">
        <f>SUMIFS(tblBudget[Hours_Worked],tblBudget[Month],"&lt;"&amp;$E73)+$IZ73</f>
        <v/>
      </c>
    </row>
    <row r="74">
      <c r="A74" s="54" t="n">
        <v>46095</v>
      </c>
      <c r="B74">
        <f>MONTH($A74)</f>
        <v/>
      </c>
      <c r="C74">
        <f>DAY($A74)</f>
        <v/>
      </c>
      <c r="D74">
        <f>DAY(EOMONTH($A74,0))</f>
        <v/>
      </c>
      <c r="E74" s="54">
        <f>DATE(YEAR($A74),MONTH($A74),1)</f>
        <v/>
      </c>
      <c r="F74" s="55">
        <f>SUMIFS(tblMovement[Tonnes_t],tblMovement[Date],$A74,tblMovement[Is_Ore],1,tblMovement[Source_Type],"Pit")</f>
        <v/>
      </c>
      <c r="G74" s="55">
        <f>IF($B74=$B73,$G73,0)+$F74</f>
        <v/>
      </c>
      <c r="H74" s="55">
        <f>$H73+$F74</f>
        <v/>
      </c>
      <c r="I74" s="55">
        <f>SUMIFS(tblMovement[Ore_oz],tblMovement[Date],$A74,tblMovement[Source_Type],"Pit")</f>
        <v/>
      </c>
      <c r="J74" s="55">
        <f>IF($B74=$B73,$J73,0)+$I74</f>
        <v/>
      </c>
      <c r="K74" s="55">
        <f>$K73+$I74</f>
        <v/>
      </c>
      <c r="L74" s="56">
        <f>IFERROR(IF(($F74)&gt;0,($I74*cfg_TroyOz)/($F74),""),"")</f>
        <v/>
      </c>
      <c r="M74" s="56">
        <f>IFERROR(IF(($G74)&gt;0,($J74*cfg_TroyOz)/($G74),""),"")</f>
        <v/>
      </c>
      <c r="N74" s="56">
        <f>IFERROR(IF(($H74)&gt;0,($K74*cfg_TroyOz)/($H74),""),"")</f>
        <v/>
      </c>
      <c r="O74" s="55">
        <f>SUMIFS(tblMovement[Tonnes_t],tblMovement[Date],$A74,tblMovement[Is_Ore],0,tblMovement[Source_Type],"Pit")</f>
        <v/>
      </c>
      <c r="P74" s="55">
        <f>IF($B74=$B73,$P73,0)+$O74</f>
        <v/>
      </c>
      <c r="Q74" s="55">
        <f>$Q73+$O74</f>
        <v/>
      </c>
      <c r="R74" s="55">
        <f>$F74+$O74</f>
        <v/>
      </c>
      <c r="S74" s="55">
        <f>IF($B74=$B73,$S73,0)+$R74</f>
        <v/>
      </c>
      <c r="T74" s="55">
        <f>$T73+$R74</f>
        <v/>
      </c>
      <c r="U74" s="56">
        <f>IFERROR(IF(($F74)&gt;0,($O74)/($F74),""),"")</f>
        <v/>
      </c>
      <c r="V74" s="56">
        <f>IFERROR(IF(($G74)&gt;0,($P74)/($G74),""),"")</f>
        <v/>
      </c>
      <c r="W74" s="56">
        <f>IFERROR(IF(($H74)&gt;0,($Q74)/($H74),""),"")</f>
        <v/>
      </c>
      <c r="X74" s="55">
        <f>SUMIFS(tblMovement[Tonnes_t],tblMovement[Date],$A74,tblMovement[Source_Type],"Stockpile")</f>
        <v/>
      </c>
      <c r="Y74" s="55">
        <f>IF($B74=$B73,$Y73,0)+$X74</f>
        <v/>
      </c>
      <c r="Z74" s="55">
        <f>$Z73+$X74</f>
        <v/>
      </c>
      <c r="AA74" s="55">
        <f>SUMIFS(tblMiningDaily[Drill_m],tblMiningDaily[Date],$A74)</f>
        <v/>
      </c>
      <c r="AB74" s="55">
        <f>IF($B74=$B73,$AB73,0)+$AA74</f>
        <v/>
      </c>
      <c r="AC74" s="55">
        <f>$AC73+$AA74</f>
        <v/>
      </c>
      <c r="AD74" s="55">
        <f>SUMIFS(tblMiningDaily[Blast_t],tblMiningDaily[Date],$A74)</f>
        <v/>
      </c>
      <c r="AE74" s="55">
        <f>IF($B74=$B73,$AE73,0)+$AD74</f>
        <v/>
      </c>
      <c r="AF74" s="55">
        <f>$AF73+$AD74</f>
        <v/>
      </c>
      <c r="AG74" s="55">
        <f>SUMIFS(tblMiningDaily[Explosives_kg],tblMiningDaily[Date],$A74)</f>
        <v/>
      </c>
      <c r="AH74" s="55">
        <f>IF($B74=$B73,$AH73,0)+$AG74</f>
        <v/>
      </c>
      <c r="AI74" s="55">
        <f>$AI73+$AG74</f>
        <v/>
      </c>
      <c r="AJ74" s="56">
        <f>IFERROR(IF(($AD74)&gt;0,($AG74)/($AD74),""),"")</f>
        <v/>
      </c>
      <c r="AK74" s="56">
        <f>IFERROR(IF(($AE74)&gt;0,($AH74)/($AE74),""),"")</f>
        <v/>
      </c>
      <c r="AL74" s="56">
        <f>IFERROR(IF(($AF74)&gt;0,($AI74)/($AF74),""),"")</f>
        <v/>
      </c>
      <c r="AM74" s="55">
        <f>SUMIFS(tblMiningDaily[Diesel_L],tblMiningDaily[Date],$A74)</f>
        <v/>
      </c>
      <c r="AN74" s="55">
        <f>IF($B74=$B73,$AN73,0)+$AM74</f>
        <v/>
      </c>
      <c r="AO74" s="55">
        <f>$AO73+$AM74</f>
        <v/>
      </c>
      <c r="AP74" s="55">
        <f>SUMIFS(tblMiningDaily[Dewatering_m3],tblMiningDaily[Date],$A74)</f>
        <v/>
      </c>
      <c r="AQ74" s="55">
        <f>IF($B74=$B73,$AQ73,0)+$AP74</f>
        <v/>
      </c>
      <c r="AR74" s="55">
        <f>$AR73+$AP74</f>
        <v/>
      </c>
      <c r="AS74" s="57">
        <f>SUMIFS(tblFleet[Calendar_h],tblFleet[Date],$A74,tblFleet[Equipment_Class],"Excavator")</f>
        <v/>
      </c>
      <c r="AT74" s="57">
        <f>IF($B74=$B73,$AT73,0)+$AS74</f>
        <v/>
      </c>
      <c r="AU74" s="57">
        <f>$AU73+$AS74</f>
        <v/>
      </c>
      <c r="AV74" s="57">
        <f>SUMIFS(tblFleet[Available_h],tblFleet[Date],$A74,tblFleet[Equipment_Class],"Excavator")</f>
        <v/>
      </c>
      <c r="AW74" s="57">
        <f>IF($B74=$B73,$AW73,0)+$AV74</f>
        <v/>
      </c>
      <c r="AX74" s="57">
        <f>$AX73+$AV74</f>
        <v/>
      </c>
      <c r="AY74" s="57">
        <f>SUMIFS(tblFleet[Operating_h],tblFleet[Date],$A74,tblFleet[Equipment_Class],"Excavator")</f>
        <v/>
      </c>
      <c r="AZ74" s="57">
        <f>IF($B74=$B73,$AZ73,0)+$AY74</f>
        <v/>
      </c>
      <c r="BA74" s="57">
        <f>$BA73+$AY74</f>
        <v/>
      </c>
      <c r="BB74" s="67">
        <f>IFERROR(IF(($AS74)&gt;0,($AV74)/($AS74),""),"")</f>
        <v/>
      </c>
      <c r="BC74" s="67">
        <f>IFERROR(IF(($AT74)&gt;0,($AW74)/($AT74),""),"")</f>
        <v/>
      </c>
      <c r="BD74" s="67">
        <f>IFERROR(IF(($AU74)&gt;0,($AX74)/($AU74),""),"")</f>
        <v/>
      </c>
      <c r="BE74" s="67">
        <f>IFERROR(IF(($AV74)&gt;0,($AY74)/($AV74),""),"")</f>
        <v/>
      </c>
      <c r="BF74" s="67">
        <f>IFERROR(IF(($AW74)&gt;0,($AZ74)/($AW74),""),"")</f>
        <v/>
      </c>
      <c r="BG74" s="67">
        <f>IFERROR(IF(($AX74)&gt;0,($BA74)/($AX74),""),"")</f>
        <v/>
      </c>
      <c r="BH74" s="57">
        <f>SUMIFS(tblFleet[Calendar_h],tblFleet[Date],$A74,tblFleet[Equipment_Class],"Haul Truck")</f>
        <v/>
      </c>
      <c r="BI74" s="57">
        <f>IF($B74=$B73,$BI73,0)+$BH74</f>
        <v/>
      </c>
      <c r="BJ74" s="57">
        <f>$BJ73+$BH74</f>
        <v/>
      </c>
      <c r="BK74" s="57">
        <f>SUMIFS(tblFleet[Available_h],tblFleet[Date],$A74,tblFleet[Equipment_Class],"Haul Truck")</f>
        <v/>
      </c>
      <c r="BL74" s="57">
        <f>IF($B74=$B73,$BL73,0)+$BK74</f>
        <v/>
      </c>
      <c r="BM74" s="57">
        <f>$BM73+$BK74</f>
        <v/>
      </c>
      <c r="BN74" s="57">
        <f>SUMIFS(tblFleet[Operating_h],tblFleet[Date],$A74,tblFleet[Equipment_Class],"Haul Truck")</f>
        <v/>
      </c>
      <c r="BO74" s="57">
        <f>IF($B74=$B73,$BO73,0)+$BN74</f>
        <v/>
      </c>
      <c r="BP74" s="57">
        <f>$BP73+$BN74</f>
        <v/>
      </c>
      <c r="BQ74" s="67">
        <f>IFERROR(IF(($BH74)&gt;0,($BK74)/($BH74),""),"")</f>
        <v/>
      </c>
      <c r="BR74" s="67">
        <f>IFERROR(IF(($BI74)&gt;0,($BL74)/($BI74),""),"")</f>
        <v/>
      </c>
      <c r="BS74" s="67">
        <f>IFERROR(IF(($BJ74)&gt;0,($BM74)/($BJ74),""),"")</f>
        <v/>
      </c>
      <c r="BT74" s="67">
        <f>IFERROR(IF(($BK74)&gt;0,($BN74)/($BK74),""),"")</f>
        <v/>
      </c>
      <c r="BU74" s="67">
        <f>IFERROR(IF(($BL74)&gt;0,($BO74)/($BL74),""),"")</f>
        <v/>
      </c>
      <c r="BV74" s="67">
        <f>IFERROR(IF(($BM74)&gt;0,($BP74)/($BM74),""),"")</f>
        <v/>
      </c>
      <c r="BW74" s="55">
        <f>SUMIFS(tblPlant[Crushed_t],tblPlant[Date],$A74)</f>
        <v/>
      </c>
      <c r="BX74" s="55">
        <f>IF($B74=$B73,$BX73,0)+$BW74</f>
        <v/>
      </c>
      <c r="BY74" s="55">
        <f>$BY73+$BW74</f>
        <v/>
      </c>
      <c r="BZ74" s="55">
        <f>SUMIFS(tblPlant[Milled_t],tblPlant[Date],$A74)</f>
        <v/>
      </c>
      <c r="CA74" s="55">
        <f>IF($B74=$B73,$CA73,0)+$BZ74</f>
        <v/>
      </c>
      <c r="CB74" s="55">
        <f>$CB73+$BZ74</f>
        <v/>
      </c>
      <c r="CC74" s="55">
        <f>SUMIFS(tblPlant[Feed_oz],tblPlant[Date],$A74)</f>
        <v/>
      </c>
      <c r="CD74" s="55">
        <f>IF($B74=$B73,$CD73,0)+$CC74</f>
        <v/>
      </c>
      <c r="CE74" s="55">
        <f>$CE73+$CC74</f>
        <v/>
      </c>
      <c r="CF74" s="55">
        <f>SUMIFS(tblPlant[Tails_oz],tblPlant[Date],$A74)</f>
        <v/>
      </c>
      <c r="CG74" s="55">
        <f>IF($B74=$B73,$CG73,0)+$CF74</f>
        <v/>
      </c>
      <c r="CH74" s="55">
        <f>$CH73+$CF74</f>
        <v/>
      </c>
      <c r="CI74" s="55">
        <f>SUMIFS(tblPlant[Recovered_oz],tblPlant[Date],$A74)</f>
        <v/>
      </c>
      <c r="CJ74" s="55">
        <f>IF($B74=$B73,$CJ73,0)+$CI74</f>
        <v/>
      </c>
      <c r="CK74" s="55">
        <f>$CK73+$CI74</f>
        <v/>
      </c>
      <c r="CL74" s="56">
        <f>IFERROR(IF(($BZ74)&gt;0,($CC74*cfg_TroyOz)/($BZ74),""),"")</f>
        <v/>
      </c>
      <c r="CM74" s="56">
        <f>IFERROR(IF(($CA74)&gt;0,($CD74*cfg_TroyOz)/($CA74),""),"")</f>
        <v/>
      </c>
      <c r="CN74" s="56">
        <f>IFERROR(IF(($CB74)&gt;0,($CE74*cfg_TroyOz)/($CB74),""),"")</f>
        <v/>
      </c>
      <c r="CO74" s="56">
        <f>IFERROR(IF(($BZ74)&gt;0,($CF74*cfg_TroyOz)/($BZ74),""),"")</f>
        <v/>
      </c>
      <c r="CP74" s="56">
        <f>IFERROR(IF(($CA74)&gt;0,($CG74*cfg_TroyOz)/($CA74),""),"")</f>
        <v/>
      </c>
      <c r="CQ74" s="56">
        <f>IFERROR(IF(($CB74)&gt;0,($CH74*cfg_TroyOz)/($CB74),""),"")</f>
        <v/>
      </c>
      <c r="CR74" s="67">
        <f>IFERROR(IF(($CC74)&gt;0,($CI74)/($CC74),""),"")</f>
        <v/>
      </c>
      <c r="CS74" s="67">
        <f>IFERROR(IF(($CD74)&gt;0,($CJ74)/($CD74),""),"")</f>
        <v/>
      </c>
      <c r="CT74" s="67">
        <f>IFERROR(IF(($CE74)&gt;0,($CK74)/($CE74),""),"")</f>
        <v/>
      </c>
      <c r="CU74" s="55">
        <f>SUMIFS(tblPlant[Gravity_Gold_oz],tblPlant[Date],$A74)</f>
        <v/>
      </c>
      <c r="CV74" s="55">
        <f>IF($B74=$B73,$CV73,0)+$CU74</f>
        <v/>
      </c>
      <c r="CW74" s="55">
        <f>$CW73+$CU74</f>
        <v/>
      </c>
      <c r="CX74" s="55">
        <f>SUMIFS(tblPlant[Gold_Poured_oz],tblPlant[Date],$A74)</f>
        <v/>
      </c>
      <c r="CY74" s="55">
        <f>IF($B74=$B73,$CY73,0)+$CX74</f>
        <v/>
      </c>
      <c r="CZ74" s="55">
        <f>$CZ73+$CX74</f>
        <v/>
      </c>
      <c r="DA74" s="57">
        <f>SUMIFS(tblPlant[Mill_Run_h],tblPlant[Date],$A74)</f>
        <v/>
      </c>
      <c r="DB74" s="57">
        <f>IF($B74=$B73,$DB73,0)+$DA74</f>
        <v/>
      </c>
      <c r="DC74" s="57">
        <f>$DC73+$DA74</f>
        <v/>
      </c>
      <c r="DD74" s="57">
        <f>SUMIFS(tblPlant[Mill_Planned_Maint_h],tblPlant[Date],$A74)</f>
        <v/>
      </c>
      <c r="DE74" s="57">
        <f>IF($B74=$B73,$DE73,0)+$DD74</f>
        <v/>
      </c>
      <c r="DF74" s="57">
        <f>$DF73+$DD74</f>
        <v/>
      </c>
      <c r="DG74" s="57">
        <f>SUMIFS(tblPlant[Mill_Unplanned_Down_h],tblPlant[Date],$A74)</f>
        <v/>
      </c>
      <c r="DH74" s="57">
        <f>IF($B74=$B73,$DH73,0)+$DG74</f>
        <v/>
      </c>
      <c r="DI74" s="57">
        <f>$DI73+$DG74</f>
        <v/>
      </c>
      <c r="DJ74" s="57">
        <f>COUNTIFS(tblPlant[Date],$A74,tblPlant[Mill_Run_h],"&lt;&gt;")*24</f>
        <v/>
      </c>
      <c r="DK74" s="57">
        <f>IF($B74=$B73,$DK73,0)+$DJ74</f>
        <v/>
      </c>
      <c r="DL74" s="57">
        <f>$DL73+$DJ74</f>
        <v/>
      </c>
      <c r="DM74" s="57">
        <f>SUMIFS(tblPlant[Crusher_Run_h],tblPlant[Date],$A74)</f>
        <v/>
      </c>
      <c r="DN74" s="57">
        <f>IF($B74=$B73,$DN73,0)+$DM74</f>
        <v/>
      </c>
      <c r="DO74" s="57">
        <f>$DO73+$DM74</f>
        <v/>
      </c>
      <c r="DP74" s="55">
        <f>IFERROR(IF(($DA74)&gt;0,($BZ74)/($DA74),""),"")</f>
        <v/>
      </c>
      <c r="DQ74" s="55">
        <f>IFERROR(IF(($DB74)&gt;0,($CA74)/($DB74),""),"")</f>
        <v/>
      </c>
      <c r="DR74" s="55">
        <f>IFERROR(IF(($DC74)&gt;0,($CB74)/($DC74),""),"")</f>
        <v/>
      </c>
      <c r="DS74" s="67">
        <f>IFERROR(IF(($DJ74)&gt;0,($DJ74-$DD74-$DG74)/($DJ74),""),"")</f>
        <v/>
      </c>
      <c r="DT74" s="67">
        <f>IFERROR(IF(($DK74)&gt;0,($DK74-$DE74-$DH74)/($DK74),""),"")</f>
        <v/>
      </c>
      <c r="DU74" s="67">
        <f>IFERROR(IF(($DL74)&gt;0,($DL74-$DF74-$DI74)/($DL74),""),"")</f>
        <v/>
      </c>
      <c r="DV74" s="67">
        <f>IFERROR(IF(($DJ74-$DD74-$DG74)&gt;0,($DA74)/($DJ74-$DD74-$DG74),""),"")</f>
        <v/>
      </c>
      <c r="DW74" s="67">
        <f>IFERROR(IF(($DK74-$DE74-$DH74)&gt;0,($DB74)/($DK74-$DE74-$DH74),""),"")</f>
        <v/>
      </c>
      <c r="DX74" s="67">
        <f>IFERROR(IF(($DL74-$DF74-$DI74)&gt;0,($DC74)/($DL74-$DF74-$DI74),""),"")</f>
        <v/>
      </c>
      <c r="DY74" s="55">
        <f>SUMIFS(tblPlant[Cyanide_kg],tblPlant[Date],$A74)</f>
        <v/>
      </c>
      <c r="DZ74" s="55">
        <f>IF($B74=$B73,$DZ73,0)+$DY74</f>
        <v/>
      </c>
      <c r="EA74" s="55">
        <f>$EA73+$DY74</f>
        <v/>
      </c>
      <c r="EB74" s="55">
        <f>SUMIFS(tblPlant[Lime_kg],tblPlant[Date],$A74)</f>
        <v/>
      </c>
      <c r="EC74" s="55">
        <f>IF($B74=$B73,$EC73,0)+$EB74</f>
        <v/>
      </c>
      <c r="ED74" s="55">
        <f>$ED73+$EB74</f>
        <v/>
      </c>
      <c r="EE74" s="55">
        <f>SUMIFS(tblPlant[Grinding_Media_kg],tblPlant[Date],$A74)</f>
        <v/>
      </c>
      <c r="EF74" s="55">
        <f>IF($B74=$B73,$EF73,0)+$EE74</f>
        <v/>
      </c>
      <c r="EG74" s="55">
        <f>$EG73+$EE74</f>
        <v/>
      </c>
      <c r="EH74" s="55">
        <f>SUMIFS(tblPlant[Power_kWh],tblPlant[Date],$A74)</f>
        <v/>
      </c>
      <c r="EI74" s="55">
        <f>IF($B74=$B73,$EI73,0)+$EH74</f>
        <v/>
      </c>
      <c r="EJ74" s="55">
        <f>$EJ73+$EH74</f>
        <v/>
      </c>
      <c r="EK74" s="55">
        <f>SUMIFS(tblPlant[Raw_Water_m3],tblPlant[Date],$A74)</f>
        <v/>
      </c>
      <c r="EL74" s="55">
        <f>IF($B74=$B73,$EL73,0)+$EK74</f>
        <v/>
      </c>
      <c r="EM74" s="55">
        <f>$EM73+$EK74</f>
        <v/>
      </c>
      <c r="EN74" s="56">
        <f>IFERROR(IF(($BZ74)&gt;0,($DY74)/($BZ74),""),"")</f>
        <v/>
      </c>
      <c r="EO74" s="56">
        <f>IFERROR(IF(($CA74)&gt;0,($DZ74)/($CA74),""),"")</f>
        <v/>
      </c>
      <c r="EP74" s="56">
        <f>IFERROR(IF(($CB74)&gt;0,($EA74)/($CB74),""),"")</f>
        <v/>
      </c>
      <c r="EQ74" s="56">
        <f>IFERROR(IF(($BZ74)&gt;0,($EB74)/($BZ74),""),"")</f>
        <v/>
      </c>
      <c r="ER74" s="56">
        <f>IFERROR(IF(($CA74)&gt;0,($EC74)/($CA74),""),"")</f>
        <v/>
      </c>
      <c r="ES74" s="56">
        <f>IFERROR(IF(($CB74)&gt;0,($ED74)/($CB74),""),"")</f>
        <v/>
      </c>
      <c r="ET74" s="56">
        <f>IFERROR(IF(($BZ74)&gt;0,($EE74)/($BZ74),""),"")</f>
        <v/>
      </c>
      <c r="EU74" s="56">
        <f>IFERROR(IF(($CA74)&gt;0,($EF74)/($CA74),""),"")</f>
        <v/>
      </c>
      <c r="EV74" s="56">
        <f>IFERROR(IF(($CB74)&gt;0,($EG74)/($CB74),""),"")</f>
        <v/>
      </c>
      <c r="EW74" s="76">
        <f>IFERROR(IF(($BZ74)&gt;0,($EH74)/($BZ74),""),"")</f>
        <v/>
      </c>
      <c r="EX74" s="76">
        <f>IFERROR(IF(($CA74)&gt;0,($EI74)/($CA74),""),"")</f>
        <v/>
      </c>
      <c r="EY74" s="76">
        <f>IFERROR(IF(($CB74)&gt;0,($EJ74)/($CB74),""),"")</f>
        <v/>
      </c>
      <c r="EZ74" s="56">
        <f>IFERROR(IF(($BZ74)&gt;0,($EK74)/($BZ74),""),"")</f>
        <v/>
      </c>
      <c r="FA74" s="56">
        <f>IFERROR(IF(($CA74)&gt;0,($EL74)/($CA74),""),"")</f>
        <v/>
      </c>
      <c r="FB74" s="56">
        <f>IFERROR(IF(($CB74)&gt;0,($EM74)/($CB74),""),"")</f>
        <v/>
      </c>
      <c r="FC74" s="55">
        <f>IF(SUMIFS(tblPlant[GIC_oz],tblPlant[Date],$A74)&gt;0,SUMIFS(tblPlant[GIC_oz],tblPlant[Date],$A74),"")</f>
        <v/>
      </c>
      <c r="FD74" s="55">
        <f>SUMIFS(tblGold[Gold_oz],tblGold[Date],$A74,tblGold[Type],"Shipment")</f>
        <v/>
      </c>
      <c r="FE74" s="55">
        <f>IF($B74=$B73,$FE73,0)+$FD74</f>
        <v/>
      </c>
      <c r="FF74" s="55">
        <f>$FF73+$FD74</f>
        <v/>
      </c>
      <c r="FG74" s="55">
        <f>SUMIFS(tblGold[Gold_oz],tblGold[Date],$A74,tblGold[Type],"Sale")</f>
        <v/>
      </c>
      <c r="FH74" s="55">
        <f>IF($B74=$B73,$FH73,0)+$FG74</f>
        <v/>
      </c>
      <c r="FI74" s="55">
        <f>$FI73+$FG74</f>
        <v/>
      </c>
      <c r="FJ74" s="55">
        <f>SUMIFS(tblGold[Dore_kg],tblGold[Date],$A74,tblGold[Type],"Shipment")</f>
        <v/>
      </c>
      <c r="FK74" s="55">
        <f>IF($B74=$B73,$FK73,0)+$FJ74</f>
        <v/>
      </c>
      <c r="FL74" s="55">
        <f>$FL73+$FJ74</f>
        <v/>
      </c>
      <c r="FM74" s="57">
        <f>SUMIFS(tblSafety[Hours_Total],tblSafety[Date],$A74)</f>
        <v/>
      </c>
      <c r="FN74" s="57">
        <f>IF($B74=$B73,$FN73,0)+$FM74</f>
        <v/>
      </c>
      <c r="FO74" s="57">
        <f>$FO73+$FM74</f>
        <v/>
      </c>
      <c r="FP74" s="62">
        <f>SUMIFS(tblSafety[Fatality],tblSafety[Date],$A74)</f>
        <v/>
      </c>
      <c r="FQ74" s="62">
        <f>IF($B74=$B73,$FQ73,0)+$FP74</f>
        <v/>
      </c>
      <c r="FR74" s="62">
        <f>$FR73+$FP74</f>
        <v/>
      </c>
      <c r="FS74" s="62">
        <f>SUMIFS(tblSafety[LTI],tblSafety[Date],$A74)</f>
        <v/>
      </c>
      <c r="FT74" s="62">
        <f>IF($B74=$B73,$FT73,0)+$FS74</f>
        <v/>
      </c>
      <c r="FU74" s="62">
        <f>$FU73+$FS74</f>
        <v/>
      </c>
      <c r="FV74" s="62">
        <f>SUMIFS(tblSafety[RWI],tblSafety[Date],$A74)</f>
        <v/>
      </c>
      <c r="FW74" s="62">
        <f>IF($B74=$B73,$FW73,0)+$FV74</f>
        <v/>
      </c>
      <c r="FX74" s="62">
        <f>$FX73+$FV74</f>
        <v/>
      </c>
      <c r="FY74" s="62">
        <f>SUMIFS(tblSafety[MTI],tblSafety[Date],$A74)</f>
        <v/>
      </c>
      <c r="FZ74" s="62">
        <f>IF($B74=$B73,$FZ73,0)+$FY74</f>
        <v/>
      </c>
      <c r="GA74" s="62">
        <f>$GA73+$FY74</f>
        <v/>
      </c>
      <c r="GB74" s="62">
        <f>SUMIFS(tblSafety[FAI],tblSafety[Date],$A74)</f>
        <v/>
      </c>
      <c r="GC74" s="62">
        <f>IF($B74=$B73,$GC73,0)+$GB74</f>
        <v/>
      </c>
      <c r="GD74" s="62">
        <f>$GD73+$GB74</f>
        <v/>
      </c>
      <c r="GE74" s="62">
        <f>SUMIFS(tblSafety[Recordables],tblSafety[Date],$A74)</f>
        <v/>
      </c>
      <c r="GF74" s="62">
        <f>IF($B74=$B73,$GF73,0)+$GE74</f>
        <v/>
      </c>
      <c r="GG74" s="62">
        <f>$GG73+$GE74</f>
        <v/>
      </c>
      <c r="GH74" s="62">
        <f>SUMIFS(tblSafety[Near_Miss],tblSafety[Date],$A74)</f>
        <v/>
      </c>
      <c r="GI74" s="62">
        <f>IF($B74=$B73,$GI73,0)+$GH74</f>
        <v/>
      </c>
      <c r="GJ74" s="62">
        <f>$GJ73+$GH74</f>
        <v/>
      </c>
      <c r="GK74" s="62">
        <f>SUMIFS(tblSafety[Hazard_Reports],tblSafety[Date],$A74)</f>
        <v/>
      </c>
      <c r="GL74" s="62">
        <f>IF($B74=$B73,$GL73,0)+$GK74</f>
        <v/>
      </c>
      <c r="GM74" s="62">
        <f>$GM73+$GK74</f>
        <v/>
      </c>
      <c r="GN74" s="62">
        <f>SUMIFS(tblSafety[HPI],tblSafety[Date],$A74)</f>
        <v/>
      </c>
      <c r="GO74" s="62">
        <f>IF($B74=$B73,$GO73,0)+$GN74</f>
        <v/>
      </c>
      <c r="GP74" s="62">
        <f>$GP73+$GN74</f>
        <v/>
      </c>
      <c r="GQ74" s="62">
        <f>SUMIFS(tblSafety[Env_Incidents],tblSafety[Date],$A74)</f>
        <v/>
      </c>
      <c r="GR74" s="62">
        <f>IF($B74=$B73,$GR73,0)+$GQ74</f>
        <v/>
      </c>
      <c r="GS74" s="62">
        <f>$GS73+$GQ74</f>
        <v/>
      </c>
      <c r="GT74" s="62">
        <f>SUMIFS(tblSafety[Community_Incidents],tblSafety[Date],$A74)</f>
        <v/>
      </c>
      <c r="GU74" s="62">
        <f>IF($B74=$B73,$GU73,0)+$GT74</f>
        <v/>
      </c>
      <c r="GV74" s="62">
        <f>$GV73+$GT74</f>
        <v/>
      </c>
      <c r="GW74" s="62">
        <f>SUMIFS(tblSafety[Vehicle_Incidents],tblSafety[Date],$A74)</f>
        <v/>
      </c>
      <c r="GX74" s="62">
        <f>IF($B74=$B73,$GX73,0)+$GW74</f>
        <v/>
      </c>
      <c r="GY74" s="62">
        <f>$GY73+$GW74</f>
        <v/>
      </c>
      <c r="GZ74" s="62">
        <f>SUMIFS(tblSafety[Toolbox_Talks],tblSafety[Date],$A74)</f>
        <v/>
      </c>
      <c r="HA74" s="62">
        <f>IF($B74=$B73,$HA73,0)+$GZ74</f>
        <v/>
      </c>
      <c r="HB74" s="62">
        <f>$HB73+$GZ74</f>
        <v/>
      </c>
      <c r="HC74" s="62">
        <f>SUMIFS(tblSafety[Inspections],tblSafety[Date],$A74)</f>
        <v/>
      </c>
      <c r="HD74" s="62">
        <f>IF($B74=$B73,$HD73,0)+$HC74</f>
        <v/>
      </c>
      <c r="HE74" s="62">
        <f>$HE73+$HC74</f>
        <v/>
      </c>
      <c r="HF74" s="56">
        <f>IFERROR((SUMIFS(tblSafety[Recordables],tblSafety[Date],"&gt;="&amp;EDATE($E74,-12),tblSafety[Date],"&lt;="&amp;$A74)+SUMIFS(tblSafetyHistory[Recordables],tblSafetyHistory[Month],"&gt;="&amp;EDATE($E74,-12),tblSafetyHistory[Month],"&lt;"&amp;cfg_YearStart))/(SUMIFS(tblSafety[Hours_Total],tblSafety[Date],"&gt;="&amp;EDATE($E74,-12),tblSafety[Date],"&lt;="&amp;$A74)+SUMIFS(tblSafetyHistory[Hours_Total],tblSafetyHistory[Month],"&gt;="&amp;EDATE($E74,-12),tblSafetyHistory[Month],"&lt;"&amp;cfg_YearStart))*1000000,"")</f>
        <v/>
      </c>
      <c r="HG74" s="56">
        <f>IFERROR((SUMIFS(tblSafety[LTI],tblSafety[Date],"&gt;="&amp;EDATE($E74,-12),tblSafety[Date],"&lt;="&amp;$A74)+SUMIFS(tblSafetyHistory[LTI],tblSafetyHistory[Month],"&gt;="&amp;EDATE($E74,-12),tblSafetyHistory[Month],"&lt;"&amp;cfg_YearStart))/(SUMIFS(tblSafety[Hours_Total],tblSafety[Date],"&gt;="&amp;EDATE($E74,-12),tblSafety[Date],"&lt;="&amp;$A74)+SUMIFS(tblSafetyHistory[Hours_Total],tblSafetyHistory[Month],"&gt;="&amp;EDATE($E74,-12),tblSafetyHistory[Month],"&lt;"&amp;cfg_YearStart))*1000000,"")</f>
        <v/>
      </c>
      <c r="HH74" s="62">
        <f>IF(MAX(N(cfg_PriorLTIDate),_xlfn.MAXIFS(tblSafety[Date],tblSafety[LTI],"&gt;0",tblSafety[Date],"&lt;="&amp;$A74))=0,"",$A74-MAX(N(cfg_PriorLTIDate),_xlfn.MAXIFS(tblSafety[Date],tblSafety[LTI],"&gt;0",tblSafety[Date],"&lt;="&amp;$A74)))</f>
        <v/>
      </c>
      <c r="HI74" s="55">
        <f>SUMIFS(tblBudget[Ore_Mined_t],tblBudget[Month],$E74)</f>
        <v/>
      </c>
      <c r="HJ74" s="55">
        <f>$HI74*$C74/$D74</f>
        <v/>
      </c>
      <c r="HK74" s="55">
        <f>SUMIFS(tblBudget[Ore_Mined_t],tblBudget[Month],"&lt;"&amp;$E74)+$HJ74</f>
        <v/>
      </c>
      <c r="HL74" s="55">
        <f>SUMIFS(tblBudget[Ore_oz],tblBudget[Month],$E74)</f>
        <v/>
      </c>
      <c r="HM74" s="55">
        <f>$HL74*$C74/$D74</f>
        <v/>
      </c>
      <c r="HN74" s="55">
        <f>SUMIFS(tblBudget[Ore_oz],tblBudget[Month],"&lt;"&amp;$E74)+$HM74</f>
        <v/>
      </c>
      <c r="HO74" s="56">
        <f>IFERROR(IF(($HI74)&gt;0,($HL74*cfg_TroyOz)/($HI74),""),"")</f>
        <v/>
      </c>
      <c r="HP74" s="56">
        <f>IFERROR(IF(($HJ74)&gt;0,($HM74*cfg_TroyOz)/($HJ74),""),"")</f>
        <v/>
      </c>
      <c r="HQ74" s="56">
        <f>IFERROR(IF(($HK74)&gt;0,($HN74*cfg_TroyOz)/($HK74),""),"")</f>
        <v/>
      </c>
      <c r="HR74" s="55">
        <f>SUMIFS(tblBudget[Waste_t],tblBudget[Month],$E74)</f>
        <v/>
      </c>
      <c r="HS74" s="55">
        <f>$HR74*$C74/$D74</f>
        <v/>
      </c>
      <c r="HT74" s="55">
        <f>SUMIFS(tblBudget[Waste_t],tblBudget[Month],"&lt;"&amp;$E74)+$HS74</f>
        <v/>
      </c>
      <c r="HU74" s="55">
        <f>SUMIFS(tblBudget[TMM_t],tblBudget[Month],$E74)</f>
        <v/>
      </c>
      <c r="HV74" s="55">
        <f>$HU74*$C74/$D74</f>
        <v/>
      </c>
      <c r="HW74" s="55">
        <f>SUMIFS(tblBudget[TMM_t],tblBudget[Month],"&lt;"&amp;$E74)+$HV74</f>
        <v/>
      </c>
      <c r="HX74" s="56">
        <f>IFERROR(IF(($HI74)&gt;0,($HR74)/($HI74),""),"")</f>
        <v/>
      </c>
      <c r="HY74" s="56">
        <f>IFERROR(IF(($HJ74)&gt;0,($HS74)/($HJ74),""),"")</f>
        <v/>
      </c>
      <c r="HZ74" s="56">
        <f>IFERROR(IF(($HK74)&gt;0,($HT74)/($HK74),""),"")</f>
        <v/>
      </c>
      <c r="IA74" s="55">
        <f>SUMIFS(tblBudget[Drill_m],tblBudget[Month],$E74)</f>
        <v/>
      </c>
      <c r="IB74" s="55">
        <f>$IA74*$C74/$D74</f>
        <v/>
      </c>
      <c r="IC74" s="55">
        <f>SUMIFS(tblBudget[Drill_m],tblBudget[Month],"&lt;"&amp;$E74)+$IB74</f>
        <v/>
      </c>
      <c r="ID74" s="55">
        <f>SUMIFS(tblBudget[Diesel_L],tblBudget[Month],$E74)</f>
        <v/>
      </c>
      <c r="IE74" s="55">
        <f>$ID74*$C74/$D74</f>
        <v/>
      </c>
      <c r="IF74" s="55">
        <f>SUMIFS(tblBudget[Diesel_L],tblBudget[Month],"&lt;"&amp;$E74)+$IE74</f>
        <v/>
      </c>
      <c r="IG74" s="55">
        <f>SUMIFS(tblBudget[Milled_t],tblBudget[Month],$E74)</f>
        <v/>
      </c>
      <c r="IH74" s="55">
        <f>$IG74*$C74/$D74</f>
        <v/>
      </c>
      <c r="II74" s="55">
        <f>SUMIFS(tblBudget[Milled_t],tblBudget[Month],"&lt;"&amp;$E74)+$IH74</f>
        <v/>
      </c>
      <c r="IJ74" s="55">
        <f>SUMIFS(tblBudget[Feed_oz],tblBudget[Month],$E74)</f>
        <v/>
      </c>
      <c r="IK74" s="55">
        <f>$IJ74*$C74/$D74</f>
        <v/>
      </c>
      <c r="IL74" s="55">
        <f>SUMIFS(tblBudget[Feed_oz],tblBudget[Month],"&lt;"&amp;$E74)+$IK74</f>
        <v/>
      </c>
      <c r="IM74" s="55">
        <f>SUMIFS(tblBudget[Recovered_oz],tblBudget[Month],$E74)</f>
        <v/>
      </c>
      <c r="IN74" s="55">
        <f>$IM74*$C74/$D74</f>
        <v/>
      </c>
      <c r="IO74" s="55">
        <f>SUMIFS(tblBudget[Recovered_oz],tblBudget[Month],"&lt;"&amp;$E74)+$IN74</f>
        <v/>
      </c>
      <c r="IP74" s="56">
        <f>IFERROR(IF(($IG74)&gt;0,($IJ74*cfg_TroyOz)/($IG74),""),"")</f>
        <v/>
      </c>
      <c r="IQ74" s="56">
        <f>IFERROR(IF(($IH74)&gt;0,($IK74*cfg_TroyOz)/($IH74),""),"")</f>
        <v/>
      </c>
      <c r="IR74" s="56">
        <f>IFERROR(IF(($II74)&gt;0,($IL74*cfg_TroyOz)/($II74),""),"")</f>
        <v/>
      </c>
      <c r="IS74" s="67">
        <f>IFERROR(IF(($IJ74)&gt;0,($IM74)/($IJ74),""),"")</f>
        <v/>
      </c>
      <c r="IT74" s="67">
        <f>IFERROR(IF(($IK74)&gt;0,($IN74)/($IK74),""),"")</f>
        <v/>
      </c>
      <c r="IU74" s="67">
        <f>IFERROR(IF(($IL74)&gt;0,($IO74)/($IL74),""),"")</f>
        <v/>
      </c>
      <c r="IV74" s="55">
        <f>SUMIFS(tblBudget[Gold_Poured_oz],tblBudget[Month],$E74)</f>
        <v/>
      </c>
      <c r="IW74" s="55">
        <f>$IV74*$C74/$D74</f>
        <v/>
      </c>
      <c r="IX74" s="55">
        <f>SUMIFS(tblBudget[Gold_Poured_oz],tblBudget[Month],"&lt;"&amp;$E74)+$IW74</f>
        <v/>
      </c>
      <c r="IY74" s="57">
        <f>SUMIFS(tblBudget[Hours_Worked],tblBudget[Month],$E74)</f>
        <v/>
      </c>
      <c r="IZ74" s="57">
        <f>$IY74*$C74/$D74</f>
        <v/>
      </c>
      <c r="JA74" s="57">
        <f>SUMIFS(tblBudget[Hours_Worked],tblBudget[Month],"&lt;"&amp;$E74)+$IZ74</f>
        <v/>
      </c>
    </row>
    <row r="75">
      <c r="A75" s="54" t="n">
        <v>46096</v>
      </c>
      <c r="B75">
        <f>MONTH($A75)</f>
        <v/>
      </c>
      <c r="C75">
        <f>DAY($A75)</f>
        <v/>
      </c>
      <c r="D75">
        <f>DAY(EOMONTH($A75,0))</f>
        <v/>
      </c>
      <c r="E75" s="54">
        <f>DATE(YEAR($A75),MONTH($A75),1)</f>
        <v/>
      </c>
      <c r="F75" s="55">
        <f>SUMIFS(tblMovement[Tonnes_t],tblMovement[Date],$A75,tblMovement[Is_Ore],1,tblMovement[Source_Type],"Pit")</f>
        <v/>
      </c>
      <c r="G75" s="55">
        <f>IF($B75=$B74,$G74,0)+$F75</f>
        <v/>
      </c>
      <c r="H75" s="55">
        <f>$H74+$F75</f>
        <v/>
      </c>
      <c r="I75" s="55">
        <f>SUMIFS(tblMovement[Ore_oz],tblMovement[Date],$A75,tblMovement[Source_Type],"Pit")</f>
        <v/>
      </c>
      <c r="J75" s="55">
        <f>IF($B75=$B74,$J74,0)+$I75</f>
        <v/>
      </c>
      <c r="K75" s="55">
        <f>$K74+$I75</f>
        <v/>
      </c>
      <c r="L75" s="56">
        <f>IFERROR(IF(($F75)&gt;0,($I75*cfg_TroyOz)/($F75),""),"")</f>
        <v/>
      </c>
      <c r="M75" s="56">
        <f>IFERROR(IF(($G75)&gt;0,($J75*cfg_TroyOz)/($G75),""),"")</f>
        <v/>
      </c>
      <c r="N75" s="56">
        <f>IFERROR(IF(($H75)&gt;0,($K75*cfg_TroyOz)/($H75),""),"")</f>
        <v/>
      </c>
      <c r="O75" s="55">
        <f>SUMIFS(tblMovement[Tonnes_t],tblMovement[Date],$A75,tblMovement[Is_Ore],0,tblMovement[Source_Type],"Pit")</f>
        <v/>
      </c>
      <c r="P75" s="55">
        <f>IF($B75=$B74,$P74,0)+$O75</f>
        <v/>
      </c>
      <c r="Q75" s="55">
        <f>$Q74+$O75</f>
        <v/>
      </c>
      <c r="R75" s="55">
        <f>$F75+$O75</f>
        <v/>
      </c>
      <c r="S75" s="55">
        <f>IF($B75=$B74,$S74,0)+$R75</f>
        <v/>
      </c>
      <c r="T75" s="55">
        <f>$T74+$R75</f>
        <v/>
      </c>
      <c r="U75" s="56">
        <f>IFERROR(IF(($F75)&gt;0,($O75)/($F75),""),"")</f>
        <v/>
      </c>
      <c r="V75" s="56">
        <f>IFERROR(IF(($G75)&gt;0,($P75)/($G75),""),"")</f>
        <v/>
      </c>
      <c r="W75" s="56">
        <f>IFERROR(IF(($H75)&gt;0,($Q75)/($H75),""),"")</f>
        <v/>
      </c>
      <c r="X75" s="55">
        <f>SUMIFS(tblMovement[Tonnes_t],tblMovement[Date],$A75,tblMovement[Source_Type],"Stockpile")</f>
        <v/>
      </c>
      <c r="Y75" s="55">
        <f>IF($B75=$B74,$Y74,0)+$X75</f>
        <v/>
      </c>
      <c r="Z75" s="55">
        <f>$Z74+$X75</f>
        <v/>
      </c>
      <c r="AA75" s="55">
        <f>SUMIFS(tblMiningDaily[Drill_m],tblMiningDaily[Date],$A75)</f>
        <v/>
      </c>
      <c r="AB75" s="55">
        <f>IF($B75=$B74,$AB74,0)+$AA75</f>
        <v/>
      </c>
      <c r="AC75" s="55">
        <f>$AC74+$AA75</f>
        <v/>
      </c>
      <c r="AD75" s="55">
        <f>SUMIFS(tblMiningDaily[Blast_t],tblMiningDaily[Date],$A75)</f>
        <v/>
      </c>
      <c r="AE75" s="55">
        <f>IF($B75=$B74,$AE74,0)+$AD75</f>
        <v/>
      </c>
      <c r="AF75" s="55">
        <f>$AF74+$AD75</f>
        <v/>
      </c>
      <c r="AG75" s="55">
        <f>SUMIFS(tblMiningDaily[Explosives_kg],tblMiningDaily[Date],$A75)</f>
        <v/>
      </c>
      <c r="AH75" s="55">
        <f>IF($B75=$B74,$AH74,0)+$AG75</f>
        <v/>
      </c>
      <c r="AI75" s="55">
        <f>$AI74+$AG75</f>
        <v/>
      </c>
      <c r="AJ75" s="56">
        <f>IFERROR(IF(($AD75)&gt;0,($AG75)/($AD75),""),"")</f>
        <v/>
      </c>
      <c r="AK75" s="56">
        <f>IFERROR(IF(($AE75)&gt;0,($AH75)/($AE75),""),"")</f>
        <v/>
      </c>
      <c r="AL75" s="56">
        <f>IFERROR(IF(($AF75)&gt;0,($AI75)/($AF75),""),"")</f>
        <v/>
      </c>
      <c r="AM75" s="55">
        <f>SUMIFS(tblMiningDaily[Diesel_L],tblMiningDaily[Date],$A75)</f>
        <v/>
      </c>
      <c r="AN75" s="55">
        <f>IF($B75=$B74,$AN74,0)+$AM75</f>
        <v/>
      </c>
      <c r="AO75" s="55">
        <f>$AO74+$AM75</f>
        <v/>
      </c>
      <c r="AP75" s="55">
        <f>SUMIFS(tblMiningDaily[Dewatering_m3],tblMiningDaily[Date],$A75)</f>
        <v/>
      </c>
      <c r="AQ75" s="55">
        <f>IF($B75=$B74,$AQ74,0)+$AP75</f>
        <v/>
      </c>
      <c r="AR75" s="55">
        <f>$AR74+$AP75</f>
        <v/>
      </c>
      <c r="AS75" s="57">
        <f>SUMIFS(tblFleet[Calendar_h],tblFleet[Date],$A75,tblFleet[Equipment_Class],"Excavator")</f>
        <v/>
      </c>
      <c r="AT75" s="57">
        <f>IF($B75=$B74,$AT74,0)+$AS75</f>
        <v/>
      </c>
      <c r="AU75" s="57">
        <f>$AU74+$AS75</f>
        <v/>
      </c>
      <c r="AV75" s="57">
        <f>SUMIFS(tblFleet[Available_h],tblFleet[Date],$A75,tblFleet[Equipment_Class],"Excavator")</f>
        <v/>
      </c>
      <c r="AW75" s="57">
        <f>IF($B75=$B74,$AW74,0)+$AV75</f>
        <v/>
      </c>
      <c r="AX75" s="57">
        <f>$AX74+$AV75</f>
        <v/>
      </c>
      <c r="AY75" s="57">
        <f>SUMIFS(tblFleet[Operating_h],tblFleet[Date],$A75,tblFleet[Equipment_Class],"Excavator")</f>
        <v/>
      </c>
      <c r="AZ75" s="57">
        <f>IF($B75=$B74,$AZ74,0)+$AY75</f>
        <v/>
      </c>
      <c r="BA75" s="57">
        <f>$BA74+$AY75</f>
        <v/>
      </c>
      <c r="BB75" s="67">
        <f>IFERROR(IF(($AS75)&gt;0,($AV75)/($AS75),""),"")</f>
        <v/>
      </c>
      <c r="BC75" s="67">
        <f>IFERROR(IF(($AT75)&gt;0,($AW75)/($AT75),""),"")</f>
        <v/>
      </c>
      <c r="BD75" s="67">
        <f>IFERROR(IF(($AU75)&gt;0,($AX75)/($AU75),""),"")</f>
        <v/>
      </c>
      <c r="BE75" s="67">
        <f>IFERROR(IF(($AV75)&gt;0,($AY75)/($AV75),""),"")</f>
        <v/>
      </c>
      <c r="BF75" s="67">
        <f>IFERROR(IF(($AW75)&gt;0,($AZ75)/($AW75),""),"")</f>
        <v/>
      </c>
      <c r="BG75" s="67">
        <f>IFERROR(IF(($AX75)&gt;0,($BA75)/($AX75),""),"")</f>
        <v/>
      </c>
      <c r="BH75" s="57">
        <f>SUMIFS(tblFleet[Calendar_h],tblFleet[Date],$A75,tblFleet[Equipment_Class],"Haul Truck")</f>
        <v/>
      </c>
      <c r="BI75" s="57">
        <f>IF($B75=$B74,$BI74,0)+$BH75</f>
        <v/>
      </c>
      <c r="BJ75" s="57">
        <f>$BJ74+$BH75</f>
        <v/>
      </c>
      <c r="BK75" s="57">
        <f>SUMIFS(tblFleet[Available_h],tblFleet[Date],$A75,tblFleet[Equipment_Class],"Haul Truck")</f>
        <v/>
      </c>
      <c r="BL75" s="57">
        <f>IF($B75=$B74,$BL74,0)+$BK75</f>
        <v/>
      </c>
      <c r="BM75" s="57">
        <f>$BM74+$BK75</f>
        <v/>
      </c>
      <c r="BN75" s="57">
        <f>SUMIFS(tblFleet[Operating_h],tblFleet[Date],$A75,tblFleet[Equipment_Class],"Haul Truck")</f>
        <v/>
      </c>
      <c r="BO75" s="57">
        <f>IF($B75=$B74,$BO74,0)+$BN75</f>
        <v/>
      </c>
      <c r="BP75" s="57">
        <f>$BP74+$BN75</f>
        <v/>
      </c>
      <c r="BQ75" s="67">
        <f>IFERROR(IF(($BH75)&gt;0,($BK75)/($BH75),""),"")</f>
        <v/>
      </c>
      <c r="BR75" s="67">
        <f>IFERROR(IF(($BI75)&gt;0,($BL75)/($BI75),""),"")</f>
        <v/>
      </c>
      <c r="BS75" s="67">
        <f>IFERROR(IF(($BJ75)&gt;0,($BM75)/($BJ75),""),"")</f>
        <v/>
      </c>
      <c r="BT75" s="67">
        <f>IFERROR(IF(($BK75)&gt;0,($BN75)/($BK75),""),"")</f>
        <v/>
      </c>
      <c r="BU75" s="67">
        <f>IFERROR(IF(($BL75)&gt;0,($BO75)/($BL75),""),"")</f>
        <v/>
      </c>
      <c r="BV75" s="67">
        <f>IFERROR(IF(($BM75)&gt;0,($BP75)/($BM75),""),"")</f>
        <v/>
      </c>
      <c r="BW75" s="55">
        <f>SUMIFS(tblPlant[Crushed_t],tblPlant[Date],$A75)</f>
        <v/>
      </c>
      <c r="BX75" s="55">
        <f>IF($B75=$B74,$BX74,0)+$BW75</f>
        <v/>
      </c>
      <c r="BY75" s="55">
        <f>$BY74+$BW75</f>
        <v/>
      </c>
      <c r="BZ75" s="55">
        <f>SUMIFS(tblPlant[Milled_t],tblPlant[Date],$A75)</f>
        <v/>
      </c>
      <c r="CA75" s="55">
        <f>IF($B75=$B74,$CA74,0)+$BZ75</f>
        <v/>
      </c>
      <c r="CB75" s="55">
        <f>$CB74+$BZ75</f>
        <v/>
      </c>
      <c r="CC75" s="55">
        <f>SUMIFS(tblPlant[Feed_oz],tblPlant[Date],$A75)</f>
        <v/>
      </c>
      <c r="CD75" s="55">
        <f>IF($B75=$B74,$CD74,0)+$CC75</f>
        <v/>
      </c>
      <c r="CE75" s="55">
        <f>$CE74+$CC75</f>
        <v/>
      </c>
      <c r="CF75" s="55">
        <f>SUMIFS(tblPlant[Tails_oz],tblPlant[Date],$A75)</f>
        <v/>
      </c>
      <c r="CG75" s="55">
        <f>IF($B75=$B74,$CG74,0)+$CF75</f>
        <v/>
      </c>
      <c r="CH75" s="55">
        <f>$CH74+$CF75</f>
        <v/>
      </c>
      <c r="CI75" s="55">
        <f>SUMIFS(tblPlant[Recovered_oz],tblPlant[Date],$A75)</f>
        <v/>
      </c>
      <c r="CJ75" s="55">
        <f>IF($B75=$B74,$CJ74,0)+$CI75</f>
        <v/>
      </c>
      <c r="CK75" s="55">
        <f>$CK74+$CI75</f>
        <v/>
      </c>
      <c r="CL75" s="56">
        <f>IFERROR(IF(($BZ75)&gt;0,($CC75*cfg_TroyOz)/($BZ75),""),"")</f>
        <v/>
      </c>
      <c r="CM75" s="56">
        <f>IFERROR(IF(($CA75)&gt;0,($CD75*cfg_TroyOz)/($CA75),""),"")</f>
        <v/>
      </c>
      <c r="CN75" s="56">
        <f>IFERROR(IF(($CB75)&gt;0,($CE75*cfg_TroyOz)/($CB75),""),"")</f>
        <v/>
      </c>
      <c r="CO75" s="56">
        <f>IFERROR(IF(($BZ75)&gt;0,($CF75*cfg_TroyOz)/($BZ75),""),"")</f>
        <v/>
      </c>
      <c r="CP75" s="56">
        <f>IFERROR(IF(($CA75)&gt;0,($CG75*cfg_TroyOz)/($CA75),""),"")</f>
        <v/>
      </c>
      <c r="CQ75" s="56">
        <f>IFERROR(IF(($CB75)&gt;0,($CH75*cfg_TroyOz)/($CB75),""),"")</f>
        <v/>
      </c>
      <c r="CR75" s="67">
        <f>IFERROR(IF(($CC75)&gt;0,($CI75)/($CC75),""),"")</f>
        <v/>
      </c>
      <c r="CS75" s="67">
        <f>IFERROR(IF(($CD75)&gt;0,($CJ75)/($CD75),""),"")</f>
        <v/>
      </c>
      <c r="CT75" s="67">
        <f>IFERROR(IF(($CE75)&gt;0,($CK75)/($CE75),""),"")</f>
        <v/>
      </c>
      <c r="CU75" s="55">
        <f>SUMIFS(tblPlant[Gravity_Gold_oz],tblPlant[Date],$A75)</f>
        <v/>
      </c>
      <c r="CV75" s="55">
        <f>IF($B75=$B74,$CV74,0)+$CU75</f>
        <v/>
      </c>
      <c r="CW75" s="55">
        <f>$CW74+$CU75</f>
        <v/>
      </c>
      <c r="CX75" s="55">
        <f>SUMIFS(tblPlant[Gold_Poured_oz],tblPlant[Date],$A75)</f>
        <v/>
      </c>
      <c r="CY75" s="55">
        <f>IF($B75=$B74,$CY74,0)+$CX75</f>
        <v/>
      </c>
      <c r="CZ75" s="55">
        <f>$CZ74+$CX75</f>
        <v/>
      </c>
      <c r="DA75" s="57">
        <f>SUMIFS(tblPlant[Mill_Run_h],tblPlant[Date],$A75)</f>
        <v/>
      </c>
      <c r="DB75" s="57">
        <f>IF($B75=$B74,$DB74,0)+$DA75</f>
        <v/>
      </c>
      <c r="DC75" s="57">
        <f>$DC74+$DA75</f>
        <v/>
      </c>
      <c r="DD75" s="57">
        <f>SUMIFS(tblPlant[Mill_Planned_Maint_h],tblPlant[Date],$A75)</f>
        <v/>
      </c>
      <c r="DE75" s="57">
        <f>IF($B75=$B74,$DE74,0)+$DD75</f>
        <v/>
      </c>
      <c r="DF75" s="57">
        <f>$DF74+$DD75</f>
        <v/>
      </c>
      <c r="DG75" s="57">
        <f>SUMIFS(tblPlant[Mill_Unplanned_Down_h],tblPlant[Date],$A75)</f>
        <v/>
      </c>
      <c r="DH75" s="57">
        <f>IF($B75=$B74,$DH74,0)+$DG75</f>
        <v/>
      </c>
      <c r="DI75" s="57">
        <f>$DI74+$DG75</f>
        <v/>
      </c>
      <c r="DJ75" s="57">
        <f>COUNTIFS(tblPlant[Date],$A75,tblPlant[Mill_Run_h],"&lt;&gt;")*24</f>
        <v/>
      </c>
      <c r="DK75" s="57">
        <f>IF($B75=$B74,$DK74,0)+$DJ75</f>
        <v/>
      </c>
      <c r="DL75" s="57">
        <f>$DL74+$DJ75</f>
        <v/>
      </c>
      <c r="DM75" s="57">
        <f>SUMIFS(tblPlant[Crusher_Run_h],tblPlant[Date],$A75)</f>
        <v/>
      </c>
      <c r="DN75" s="57">
        <f>IF($B75=$B74,$DN74,0)+$DM75</f>
        <v/>
      </c>
      <c r="DO75" s="57">
        <f>$DO74+$DM75</f>
        <v/>
      </c>
      <c r="DP75" s="55">
        <f>IFERROR(IF(($DA75)&gt;0,($BZ75)/($DA75),""),"")</f>
        <v/>
      </c>
      <c r="DQ75" s="55">
        <f>IFERROR(IF(($DB75)&gt;0,($CA75)/($DB75),""),"")</f>
        <v/>
      </c>
      <c r="DR75" s="55">
        <f>IFERROR(IF(($DC75)&gt;0,($CB75)/($DC75),""),"")</f>
        <v/>
      </c>
      <c r="DS75" s="67">
        <f>IFERROR(IF(($DJ75)&gt;0,($DJ75-$DD75-$DG75)/($DJ75),""),"")</f>
        <v/>
      </c>
      <c r="DT75" s="67">
        <f>IFERROR(IF(($DK75)&gt;0,($DK75-$DE75-$DH75)/($DK75),""),"")</f>
        <v/>
      </c>
      <c r="DU75" s="67">
        <f>IFERROR(IF(($DL75)&gt;0,($DL75-$DF75-$DI75)/($DL75),""),"")</f>
        <v/>
      </c>
      <c r="DV75" s="67">
        <f>IFERROR(IF(($DJ75-$DD75-$DG75)&gt;0,($DA75)/($DJ75-$DD75-$DG75),""),"")</f>
        <v/>
      </c>
      <c r="DW75" s="67">
        <f>IFERROR(IF(($DK75-$DE75-$DH75)&gt;0,($DB75)/($DK75-$DE75-$DH75),""),"")</f>
        <v/>
      </c>
      <c r="DX75" s="67">
        <f>IFERROR(IF(($DL75-$DF75-$DI75)&gt;0,($DC75)/($DL75-$DF75-$DI75),""),"")</f>
        <v/>
      </c>
      <c r="DY75" s="55">
        <f>SUMIFS(tblPlant[Cyanide_kg],tblPlant[Date],$A75)</f>
        <v/>
      </c>
      <c r="DZ75" s="55">
        <f>IF($B75=$B74,$DZ74,0)+$DY75</f>
        <v/>
      </c>
      <c r="EA75" s="55">
        <f>$EA74+$DY75</f>
        <v/>
      </c>
      <c r="EB75" s="55">
        <f>SUMIFS(tblPlant[Lime_kg],tblPlant[Date],$A75)</f>
        <v/>
      </c>
      <c r="EC75" s="55">
        <f>IF($B75=$B74,$EC74,0)+$EB75</f>
        <v/>
      </c>
      <c r="ED75" s="55">
        <f>$ED74+$EB75</f>
        <v/>
      </c>
      <c r="EE75" s="55">
        <f>SUMIFS(tblPlant[Grinding_Media_kg],tblPlant[Date],$A75)</f>
        <v/>
      </c>
      <c r="EF75" s="55">
        <f>IF($B75=$B74,$EF74,0)+$EE75</f>
        <v/>
      </c>
      <c r="EG75" s="55">
        <f>$EG74+$EE75</f>
        <v/>
      </c>
      <c r="EH75" s="55">
        <f>SUMIFS(tblPlant[Power_kWh],tblPlant[Date],$A75)</f>
        <v/>
      </c>
      <c r="EI75" s="55">
        <f>IF($B75=$B74,$EI74,0)+$EH75</f>
        <v/>
      </c>
      <c r="EJ75" s="55">
        <f>$EJ74+$EH75</f>
        <v/>
      </c>
      <c r="EK75" s="55">
        <f>SUMIFS(tblPlant[Raw_Water_m3],tblPlant[Date],$A75)</f>
        <v/>
      </c>
      <c r="EL75" s="55">
        <f>IF($B75=$B74,$EL74,0)+$EK75</f>
        <v/>
      </c>
      <c r="EM75" s="55">
        <f>$EM74+$EK75</f>
        <v/>
      </c>
      <c r="EN75" s="56">
        <f>IFERROR(IF(($BZ75)&gt;0,($DY75)/($BZ75),""),"")</f>
        <v/>
      </c>
      <c r="EO75" s="56">
        <f>IFERROR(IF(($CA75)&gt;0,($DZ75)/($CA75),""),"")</f>
        <v/>
      </c>
      <c r="EP75" s="56">
        <f>IFERROR(IF(($CB75)&gt;0,($EA75)/($CB75),""),"")</f>
        <v/>
      </c>
      <c r="EQ75" s="56">
        <f>IFERROR(IF(($BZ75)&gt;0,($EB75)/($BZ75),""),"")</f>
        <v/>
      </c>
      <c r="ER75" s="56">
        <f>IFERROR(IF(($CA75)&gt;0,($EC75)/($CA75),""),"")</f>
        <v/>
      </c>
      <c r="ES75" s="56">
        <f>IFERROR(IF(($CB75)&gt;0,($ED75)/($CB75),""),"")</f>
        <v/>
      </c>
      <c r="ET75" s="56">
        <f>IFERROR(IF(($BZ75)&gt;0,($EE75)/($BZ75),""),"")</f>
        <v/>
      </c>
      <c r="EU75" s="56">
        <f>IFERROR(IF(($CA75)&gt;0,($EF75)/($CA75),""),"")</f>
        <v/>
      </c>
      <c r="EV75" s="56">
        <f>IFERROR(IF(($CB75)&gt;0,($EG75)/($CB75),""),"")</f>
        <v/>
      </c>
      <c r="EW75" s="76">
        <f>IFERROR(IF(($BZ75)&gt;0,($EH75)/($BZ75),""),"")</f>
        <v/>
      </c>
      <c r="EX75" s="76">
        <f>IFERROR(IF(($CA75)&gt;0,($EI75)/($CA75),""),"")</f>
        <v/>
      </c>
      <c r="EY75" s="76">
        <f>IFERROR(IF(($CB75)&gt;0,($EJ75)/($CB75),""),"")</f>
        <v/>
      </c>
      <c r="EZ75" s="56">
        <f>IFERROR(IF(($BZ75)&gt;0,($EK75)/($BZ75),""),"")</f>
        <v/>
      </c>
      <c r="FA75" s="56">
        <f>IFERROR(IF(($CA75)&gt;0,($EL75)/($CA75),""),"")</f>
        <v/>
      </c>
      <c r="FB75" s="56">
        <f>IFERROR(IF(($CB75)&gt;0,($EM75)/($CB75),""),"")</f>
        <v/>
      </c>
      <c r="FC75" s="55">
        <f>IF(SUMIFS(tblPlant[GIC_oz],tblPlant[Date],$A75)&gt;0,SUMIFS(tblPlant[GIC_oz],tblPlant[Date],$A75),"")</f>
        <v/>
      </c>
      <c r="FD75" s="55">
        <f>SUMIFS(tblGold[Gold_oz],tblGold[Date],$A75,tblGold[Type],"Shipment")</f>
        <v/>
      </c>
      <c r="FE75" s="55">
        <f>IF($B75=$B74,$FE74,0)+$FD75</f>
        <v/>
      </c>
      <c r="FF75" s="55">
        <f>$FF74+$FD75</f>
        <v/>
      </c>
      <c r="FG75" s="55">
        <f>SUMIFS(tblGold[Gold_oz],tblGold[Date],$A75,tblGold[Type],"Sale")</f>
        <v/>
      </c>
      <c r="FH75" s="55">
        <f>IF($B75=$B74,$FH74,0)+$FG75</f>
        <v/>
      </c>
      <c r="FI75" s="55">
        <f>$FI74+$FG75</f>
        <v/>
      </c>
      <c r="FJ75" s="55">
        <f>SUMIFS(tblGold[Dore_kg],tblGold[Date],$A75,tblGold[Type],"Shipment")</f>
        <v/>
      </c>
      <c r="FK75" s="55">
        <f>IF($B75=$B74,$FK74,0)+$FJ75</f>
        <v/>
      </c>
      <c r="FL75" s="55">
        <f>$FL74+$FJ75</f>
        <v/>
      </c>
      <c r="FM75" s="57">
        <f>SUMIFS(tblSafety[Hours_Total],tblSafety[Date],$A75)</f>
        <v/>
      </c>
      <c r="FN75" s="57">
        <f>IF($B75=$B74,$FN74,0)+$FM75</f>
        <v/>
      </c>
      <c r="FO75" s="57">
        <f>$FO74+$FM75</f>
        <v/>
      </c>
      <c r="FP75" s="62">
        <f>SUMIFS(tblSafety[Fatality],tblSafety[Date],$A75)</f>
        <v/>
      </c>
      <c r="FQ75" s="62">
        <f>IF($B75=$B74,$FQ74,0)+$FP75</f>
        <v/>
      </c>
      <c r="FR75" s="62">
        <f>$FR74+$FP75</f>
        <v/>
      </c>
      <c r="FS75" s="62">
        <f>SUMIFS(tblSafety[LTI],tblSafety[Date],$A75)</f>
        <v/>
      </c>
      <c r="FT75" s="62">
        <f>IF($B75=$B74,$FT74,0)+$FS75</f>
        <v/>
      </c>
      <c r="FU75" s="62">
        <f>$FU74+$FS75</f>
        <v/>
      </c>
      <c r="FV75" s="62">
        <f>SUMIFS(tblSafety[RWI],tblSafety[Date],$A75)</f>
        <v/>
      </c>
      <c r="FW75" s="62">
        <f>IF($B75=$B74,$FW74,0)+$FV75</f>
        <v/>
      </c>
      <c r="FX75" s="62">
        <f>$FX74+$FV75</f>
        <v/>
      </c>
      <c r="FY75" s="62">
        <f>SUMIFS(tblSafety[MTI],tblSafety[Date],$A75)</f>
        <v/>
      </c>
      <c r="FZ75" s="62">
        <f>IF($B75=$B74,$FZ74,0)+$FY75</f>
        <v/>
      </c>
      <c r="GA75" s="62">
        <f>$GA74+$FY75</f>
        <v/>
      </c>
      <c r="GB75" s="62">
        <f>SUMIFS(tblSafety[FAI],tblSafety[Date],$A75)</f>
        <v/>
      </c>
      <c r="GC75" s="62">
        <f>IF($B75=$B74,$GC74,0)+$GB75</f>
        <v/>
      </c>
      <c r="GD75" s="62">
        <f>$GD74+$GB75</f>
        <v/>
      </c>
      <c r="GE75" s="62">
        <f>SUMIFS(tblSafety[Recordables],tblSafety[Date],$A75)</f>
        <v/>
      </c>
      <c r="GF75" s="62">
        <f>IF($B75=$B74,$GF74,0)+$GE75</f>
        <v/>
      </c>
      <c r="GG75" s="62">
        <f>$GG74+$GE75</f>
        <v/>
      </c>
      <c r="GH75" s="62">
        <f>SUMIFS(tblSafety[Near_Miss],tblSafety[Date],$A75)</f>
        <v/>
      </c>
      <c r="GI75" s="62">
        <f>IF($B75=$B74,$GI74,0)+$GH75</f>
        <v/>
      </c>
      <c r="GJ75" s="62">
        <f>$GJ74+$GH75</f>
        <v/>
      </c>
      <c r="GK75" s="62">
        <f>SUMIFS(tblSafety[Hazard_Reports],tblSafety[Date],$A75)</f>
        <v/>
      </c>
      <c r="GL75" s="62">
        <f>IF($B75=$B74,$GL74,0)+$GK75</f>
        <v/>
      </c>
      <c r="GM75" s="62">
        <f>$GM74+$GK75</f>
        <v/>
      </c>
      <c r="GN75" s="62">
        <f>SUMIFS(tblSafety[HPI],tblSafety[Date],$A75)</f>
        <v/>
      </c>
      <c r="GO75" s="62">
        <f>IF($B75=$B74,$GO74,0)+$GN75</f>
        <v/>
      </c>
      <c r="GP75" s="62">
        <f>$GP74+$GN75</f>
        <v/>
      </c>
      <c r="GQ75" s="62">
        <f>SUMIFS(tblSafety[Env_Incidents],tblSafety[Date],$A75)</f>
        <v/>
      </c>
      <c r="GR75" s="62">
        <f>IF($B75=$B74,$GR74,0)+$GQ75</f>
        <v/>
      </c>
      <c r="GS75" s="62">
        <f>$GS74+$GQ75</f>
        <v/>
      </c>
      <c r="GT75" s="62">
        <f>SUMIFS(tblSafety[Community_Incidents],tblSafety[Date],$A75)</f>
        <v/>
      </c>
      <c r="GU75" s="62">
        <f>IF($B75=$B74,$GU74,0)+$GT75</f>
        <v/>
      </c>
      <c r="GV75" s="62">
        <f>$GV74+$GT75</f>
        <v/>
      </c>
      <c r="GW75" s="62">
        <f>SUMIFS(tblSafety[Vehicle_Incidents],tblSafety[Date],$A75)</f>
        <v/>
      </c>
      <c r="GX75" s="62">
        <f>IF($B75=$B74,$GX74,0)+$GW75</f>
        <v/>
      </c>
      <c r="GY75" s="62">
        <f>$GY74+$GW75</f>
        <v/>
      </c>
      <c r="GZ75" s="62">
        <f>SUMIFS(tblSafety[Toolbox_Talks],tblSafety[Date],$A75)</f>
        <v/>
      </c>
      <c r="HA75" s="62">
        <f>IF($B75=$B74,$HA74,0)+$GZ75</f>
        <v/>
      </c>
      <c r="HB75" s="62">
        <f>$HB74+$GZ75</f>
        <v/>
      </c>
      <c r="HC75" s="62">
        <f>SUMIFS(tblSafety[Inspections],tblSafety[Date],$A75)</f>
        <v/>
      </c>
      <c r="HD75" s="62">
        <f>IF($B75=$B74,$HD74,0)+$HC75</f>
        <v/>
      </c>
      <c r="HE75" s="62">
        <f>$HE74+$HC75</f>
        <v/>
      </c>
      <c r="HF75" s="56">
        <f>IFERROR((SUMIFS(tblSafety[Recordables],tblSafety[Date],"&gt;="&amp;EDATE($E75,-12),tblSafety[Date],"&lt;="&amp;$A75)+SUMIFS(tblSafetyHistory[Recordables],tblSafetyHistory[Month],"&gt;="&amp;EDATE($E75,-12),tblSafetyHistory[Month],"&lt;"&amp;cfg_YearStart))/(SUMIFS(tblSafety[Hours_Total],tblSafety[Date],"&gt;="&amp;EDATE($E75,-12),tblSafety[Date],"&lt;="&amp;$A75)+SUMIFS(tblSafetyHistory[Hours_Total],tblSafetyHistory[Month],"&gt;="&amp;EDATE($E75,-12),tblSafetyHistory[Month],"&lt;"&amp;cfg_YearStart))*1000000,"")</f>
        <v/>
      </c>
      <c r="HG75" s="56">
        <f>IFERROR((SUMIFS(tblSafety[LTI],tblSafety[Date],"&gt;="&amp;EDATE($E75,-12),tblSafety[Date],"&lt;="&amp;$A75)+SUMIFS(tblSafetyHistory[LTI],tblSafetyHistory[Month],"&gt;="&amp;EDATE($E75,-12),tblSafetyHistory[Month],"&lt;"&amp;cfg_YearStart))/(SUMIFS(tblSafety[Hours_Total],tblSafety[Date],"&gt;="&amp;EDATE($E75,-12),tblSafety[Date],"&lt;="&amp;$A75)+SUMIFS(tblSafetyHistory[Hours_Total],tblSafetyHistory[Month],"&gt;="&amp;EDATE($E75,-12),tblSafetyHistory[Month],"&lt;"&amp;cfg_YearStart))*1000000,"")</f>
        <v/>
      </c>
      <c r="HH75" s="62">
        <f>IF(MAX(N(cfg_PriorLTIDate),_xlfn.MAXIFS(tblSafety[Date],tblSafety[LTI],"&gt;0",tblSafety[Date],"&lt;="&amp;$A75))=0,"",$A75-MAX(N(cfg_PriorLTIDate),_xlfn.MAXIFS(tblSafety[Date],tblSafety[LTI],"&gt;0",tblSafety[Date],"&lt;="&amp;$A75)))</f>
        <v/>
      </c>
      <c r="HI75" s="55">
        <f>SUMIFS(tblBudget[Ore_Mined_t],tblBudget[Month],$E75)</f>
        <v/>
      </c>
      <c r="HJ75" s="55">
        <f>$HI75*$C75/$D75</f>
        <v/>
      </c>
      <c r="HK75" s="55">
        <f>SUMIFS(tblBudget[Ore_Mined_t],tblBudget[Month],"&lt;"&amp;$E75)+$HJ75</f>
        <v/>
      </c>
      <c r="HL75" s="55">
        <f>SUMIFS(tblBudget[Ore_oz],tblBudget[Month],$E75)</f>
        <v/>
      </c>
      <c r="HM75" s="55">
        <f>$HL75*$C75/$D75</f>
        <v/>
      </c>
      <c r="HN75" s="55">
        <f>SUMIFS(tblBudget[Ore_oz],tblBudget[Month],"&lt;"&amp;$E75)+$HM75</f>
        <v/>
      </c>
      <c r="HO75" s="56">
        <f>IFERROR(IF(($HI75)&gt;0,($HL75*cfg_TroyOz)/($HI75),""),"")</f>
        <v/>
      </c>
      <c r="HP75" s="56">
        <f>IFERROR(IF(($HJ75)&gt;0,($HM75*cfg_TroyOz)/($HJ75),""),"")</f>
        <v/>
      </c>
      <c r="HQ75" s="56">
        <f>IFERROR(IF(($HK75)&gt;0,($HN75*cfg_TroyOz)/($HK75),""),"")</f>
        <v/>
      </c>
      <c r="HR75" s="55">
        <f>SUMIFS(tblBudget[Waste_t],tblBudget[Month],$E75)</f>
        <v/>
      </c>
      <c r="HS75" s="55">
        <f>$HR75*$C75/$D75</f>
        <v/>
      </c>
      <c r="HT75" s="55">
        <f>SUMIFS(tblBudget[Waste_t],tblBudget[Month],"&lt;"&amp;$E75)+$HS75</f>
        <v/>
      </c>
      <c r="HU75" s="55">
        <f>SUMIFS(tblBudget[TMM_t],tblBudget[Month],$E75)</f>
        <v/>
      </c>
      <c r="HV75" s="55">
        <f>$HU75*$C75/$D75</f>
        <v/>
      </c>
      <c r="HW75" s="55">
        <f>SUMIFS(tblBudget[TMM_t],tblBudget[Month],"&lt;"&amp;$E75)+$HV75</f>
        <v/>
      </c>
      <c r="HX75" s="56">
        <f>IFERROR(IF(($HI75)&gt;0,($HR75)/($HI75),""),"")</f>
        <v/>
      </c>
      <c r="HY75" s="56">
        <f>IFERROR(IF(($HJ75)&gt;0,($HS75)/($HJ75),""),"")</f>
        <v/>
      </c>
      <c r="HZ75" s="56">
        <f>IFERROR(IF(($HK75)&gt;0,($HT75)/($HK75),""),"")</f>
        <v/>
      </c>
      <c r="IA75" s="55">
        <f>SUMIFS(tblBudget[Drill_m],tblBudget[Month],$E75)</f>
        <v/>
      </c>
      <c r="IB75" s="55">
        <f>$IA75*$C75/$D75</f>
        <v/>
      </c>
      <c r="IC75" s="55">
        <f>SUMIFS(tblBudget[Drill_m],tblBudget[Month],"&lt;"&amp;$E75)+$IB75</f>
        <v/>
      </c>
      <c r="ID75" s="55">
        <f>SUMIFS(tblBudget[Diesel_L],tblBudget[Month],$E75)</f>
        <v/>
      </c>
      <c r="IE75" s="55">
        <f>$ID75*$C75/$D75</f>
        <v/>
      </c>
      <c r="IF75" s="55">
        <f>SUMIFS(tblBudget[Diesel_L],tblBudget[Month],"&lt;"&amp;$E75)+$IE75</f>
        <v/>
      </c>
      <c r="IG75" s="55">
        <f>SUMIFS(tblBudget[Milled_t],tblBudget[Month],$E75)</f>
        <v/>
      </c>
      <c r="IH75" s="55">
        <f>$IG75*$C75/$D75</f>
        <v/>
      </c>
      <c r="II75" s="55">
        <f>SUMIFS(tblBudget[Milled_t],tblBudget[Month],"&lt;"&amp;$E75)+$IH75</f>
        <v/>
      </c>
      <c r="IJ75" s="55">
        <f>SUMIFS(tblBudget[Feed_oz],tblBudget[Month],$E75)</f>
        <v/>
      </c>
      <c r="IK75" s="55">
        <f>$IJ75*$C75/$D75</f>
        <v/>
      </c>
      <c r="IL75" s="55">
        <f>SUMIFS(tblBudget[Feed_oz],tblBudget[Month],"&lt;"&amp;$E75)+$IK75</f>
        <v/>
      </c>
      <c r="IM75" s="55">
        <f>SUMIFS(tblBudget[Recovered_oz],tblBudget[Month],$E75)</f>
        <v/>
      </c>
      <c r="IN75" s="55">
        <f>$IM75*$C75/$D75</f>
        <v/>
      </c>
      <c r="IO75" s="55">
        <f>SUMIFS(tblBudget[Recovered_oz],tblBudget[Month],"&lt;"&amp;$E75)+$IN75</f>
        <v/>
      </c>
      <c r="IP75" s="56">
        <f>IFERROR(IF(($IG75)&gt;0,($IJ75*cfg_TroyOz)/($IG75),""),"")</f>
        <v/>
      </c>
      <c r="IQ75" s="56">
        <f>IFERROR(IF(($IH75)&gt;0,($IK75*cfg_TroyOz)/($IH75),""),"")</f>
        <v/>
      </c>
      <c r="IR75" s="56">
        <f>IFERROR(IF(($II75)&gt;0,($IL75*cfg_TroyOz)/($II75),""),"")</f>
        <v/>
      </c>
      <c r="IS75" s="67">
        <f>IFERROR(IF(($IJ75)&gt;0,($IM75)/($IJ75),""),"")</f>
        <v/>
      </c>
      <c r="IT75" s="67">
        <f>IFERROR(IF(($IK75)&gt;0,($IN75)/($IK75),""),"")</f>
        <v/>
      </c>
      <c r="IU75" s="67">
        <f>IFERROR(IF(($IL75)&gt;0,($IO75)/($IL75),""),"")</f>
        <v/>
      </c>
      <c r="IV75" s="55">
        <f>SUMIFS(tblBudget[Gold_Poured_oz],tblBudget[Month],$E75)</f>
        <v/>
      </c>
      <c r="IW75" s="55">
        <f>$IV75*$C75/$D75</f>
        <v/>
      </c>
      <c r="IX75" s="55">
        <f>SUMIFS(tblBudget[Gold_Poured_oz],tblBudget[Month],"&lt;"&amp;$E75)+$IW75</f>
        <v/>
      </c>
      <c r="IY75" s="57">
        <f>SUMIFS(tblBudget[Hours_Worked],tblBudget[Month],$E75)</f>
        <v/>
      </c>
      <c r="IZ75" s="57">
        <f>$IY75*$C75/$D75</f>
        <v/>
      </c>
      <c r="JA75" s="57">
        <f>SUMIFS(tblBudget[Hours_Worked],tblBudget[Month],"&lt;"&amp;$E75)+$IZ75</f>
        <v/>
      </c>
    </row>
    <row r="76">
      <c r="A76" s="54" t="n">
        <v>46097</v>
      </c>
      <c r="B76">
        <f>MONTH($A76)</f>
        <v/>
      </c>
      <c r="C76">
        <f>DAY($A76)</f>
        <v/>
      </c>
      <c r="D76">
        <f>DAY(EOMONTH($A76,0))</f>
        <v/>
      </c>
      <c r="E76" s="54">
        <f>DATE(YEAR($A76),MONTH($A76),1)</f>
        <v/>
      </c>
      <c r="F76" s="55">
        <f>SUMIFS(tblMovement[Tonnes_t],tblMovement[Date],$A76,tblMovement[Is_Ore],1,tblMovement[Source_Type],"Pit")</f>
        <v/>
      </c>
      <c r="G76" s="55">
        <f>IF($B76=$B75,$G75,0)+$F76</f>
        <v/>
      </c>
      <c r="H76" s="55">
        <f>$H75+$F76</f>
        <v/>
      </c>
      <c r="I76" s="55">
        <f>SUMIFS(tblMovement[Ore_oz],tblMovement[Date],$A76,tblMovement[Source_Type],"Pit")</f>
        <v/>
      </c>
      <c r="J76" s="55">
        <f>IF($B76=$B75,$J75,0)+$I76</f>
        <v/>
      </c>
      <c r="K76" s="55">
        <f>$K75+$I76</f>
        <v/>
      </c>
      <c r="L76" s="56">
        <f>IFERROR(IF(($F76)&gt;0,($I76*cfg_TroyOz)/($F76),""),"")</f>
        <v/>
      </c>
      <c r="M76" s="56">
        <f>IFERROR(IF(($G76)&gt;0,($J76*cfg_TroyOz)/($G76),""),"")</f>
        <v/>
      </c>
      <c r="N76" s="56">
        <f>IFERROR(IF(($H76)&gt;0,($K76*cfg_TroyOz)/($H76),""),"")</f>
        <v/>
      </c>
      <c r="O76" s="55">
        <f>SUMIFS(tblMovement[Tonnes_t],tblMovement[Date],$A76,tblMovement[Is_Ore],0,tblMovement[Source_Type],"Pit")</f>
        <v/>
      </c>
      <c r="P76" s="55">
        <f>IF($B76=$B75,$P75,0)+$O76</f>
        <v/>
      </c>
      <c r="Q76" s="55">
        <f>$Q75+$O76</f>
        <v/>
      </c>
      <c r="R76" s="55">
        <f>$F76+$O76</f>
        <v/>
      </c>
      <c r="S76" s="55">
        <f>IF($B76=$B75,$S75,0)+$R76</f>
        <v/>
      </c>
      <c r="T76" s="55">
        <f>$T75+$R76</f>
        <v/>
      </c>
      <c r="U76" s="56">
        <f>IFERROR(IF(($F76)&gt;0,($O76)/($F76),""),"")</f>
        <v/>
      </c>
      <c r="V76" s="56">
        <f>IFERROR(IF(($G76)&gt;0,($P76)/($G76),""),"")</f>
        <v/>
      </c>
      <c r="W76" s="56">
        <f>IFERROR(IF(($H76)&gt;0,($Q76)/($H76),""),"")</f>
        <v/>
      </c>
      <c r="X76" s="55">
        <f>SUMIFS(tblMovement[Tonnes_t],tblMovement[Date],$A76,tblMovement[Source_Type],"Stockpile")</f>
        <v/>
      </c>
      <c r="Y76" s="55">
        <f>IF($B76=$B75,$Y75,0)+$X76</f>
        <v/>
      </c>
      <c r="Z76" s="55">
        <f>$Z75+$X76</f>
        <v/>
      </c>
      <c r="AA76" s="55">
        <f>SUMIFS(tblMiningDaily[Drill_m],tblMiningDaily[Date],$A76)</f>
        <v/>
      </c>
      <c r="AB76" s="55">
        <f>IF($B76=$B75,$AB75,0)+$AA76</f>
        <v/>
      </c>
      <c r="AC76" s="55">
        <f>$AC75+$AA76</f>
        <v/>
      </c>
      <c r="AD76" s="55">
        <f>SUMIFS(tblMiningDaily[Blast_t],tblMiningDaily[Date],$A76)</f>
        <v/>
      </c>
      <c r="AE76" s="55">
        <f>IF($B76=$B75,$AE75,0)+$AD76</f>
        <v/>
      </c>
      <c r="AF76" s="55">
        <f>$AF75+$AD76</f>
        <v/>
      </c>
      <c r="AG76" s="55">
        <f>SUMIFS(tblMiningDaily[Explosives_kg],tblMiningDaily[Date],$A76)</f>
        <v/>
      </c>
      <c r="AH76" s="55">
        <f>IF($B76=$B75,$AH75,0)+$AG76</f>
        <v/>
      </c>
      <c r="AI76" s="55">
        <f>$AI75+$AG76</f>
        <v/>
      </c>
      <c r="AJ76" s="56">
        <f>IFERROR(IF(($AD76)&gt;0,($AG76)/($AD76),""),"")</f>
        <v/>
      </c>
      <c r="AK76" s="56">
        <f>IFERROR(IF(($AE76)&gt;0,($AH76)/($AE76),""),"")</f>
        <v/>
      </c>
      <c r="AL76" s="56">
        <f>IFERROR(IF(($AF76)&gt;0,($AI76)/($AF76),""),"")</f>
        <v/>
      </c>
      <c r="AM76" s="55">
        <f>SUMIFS(tblMiningDaily[Diesel_L],tblMiningDaily[Date],$A76)</f>
        <v/>
      </c>
      <c r="AN76" s="55">
        <f>IF($B76=$B75,$AN75,0)+$AM76</f>
        <v/>
      </c>
      <c r="AO76" s="55">
        <f>$AO75+$AM76</f>
        <v/>
      </c>
      <c r="AP76" s="55">
        <f>SUMIFS(tblMiningDaily[Dewatering_m3],tblMiningDaily[Date],$A76)</f>
        <v/>
      </c>
      <c r="AQ76" s="55">
        <f>IF($B76=$B75,$AQ75,0)+$AP76</f>
        <v/>
      </c>
      <c r="AR76" s="55">
        <f>$AR75+$AP76</f>
        <v/>
      </c>
      <c r="AS76" s="57">
        <f>SUMIFS(tblFleet[Calendar_h],tblFleet[Date],$A76,tblFleet[Equipment_Class],"Excavator")</f>
        <v/>
      </c>
      <c r="AT76" s="57">
        <f>IF($B76=$B75,$AT75,0)+$AS76</f>
        <v/>
      </c>
      <c r="AU76" s="57">
        <f>$AU75+$AS76</f>
        <v/>
      </c>
      <c r="AV76" s="57">
        <f>SUMIFS(tblFleet[Available_h],tblFleet[Date],$A76,tblFleet[Equipment_Class],"Excavator")</f>
        <v/>
      </c>
      <c r="AW76" s="57">
        <f>IF($B76=$B75,$AW75,0)+$AV76</f>
        <v/>
      </c>
      <c r="AX76" s="57">
        <f>$AX75+$AV76</f>
        <v/>
      </c>
      <c r="AY76" s="57">
        <f>SUMIFS(tblFleet[Operating_h],tblFleet[Date],$A76,tblFleet[Equipment_Class],"Excavator")</f>
        <v/>
      </c>
      <c r="AZ76" s="57">
        <f>IF($B76=$B75,$AZ75,0)+$AY76</f>
        <v/>
      </c>
      <c r="BA76" s="57">
        <f>$BA75+$AY76</f>
        <v/>
      </c>
      <c r="BB76" s="67">
        <f>IFERROR(IF(($AS76)&gt;0,($AV76)/($AS76),""),"")</f>
        <v/>
      </c>
      <c r="BC76" s="67">
        <f>IFERROR(IF(($AT76)&gt;0,($AW76)/($AT76),""),"")</f>
        <v/>
      </c>
      <c r="BD76" s="67">
        <f>IFERROR(IF(($AU76)&gt;0,($AX76)/($AU76),""),"")</f>
        <v/>
      </c>
      <c r="BE76" s="67">
        <f>IFERROR(IF(($AV76)&gt;0,($AY76)/($AV76),""),"")</f>
        <v/>
      </c>
      <c r="BF76" s="67">
        <f>IFERROR(IF(($AW76)&gt;0,($AZ76)/($AW76),""),"")</f>
        <v/>
      </c>
      <c r="BG76" s="67">
        <f>IFERROR(IF(($AX76)&gt;0,($BA76)/($AX76),""),"")</f>
        <v/>
      </c>
      <c r="BH76" s="57">
        <f>SUMIFS(tblFleet[Calendar_h],tblFleet[Date],$A76,tblFleet[Equipment_Class],"Haul Truck")</f>
        <v/>
      </c>
      <c r="BI76" s="57">
        <f>IF($B76=$B75,$BI75,0)+$BH76</f>
        <v/>
      </c>
      <c r="BJ76" s="57">
        <f>$BJ75+$BH76</f>
        <v/>
      </c>
      <c r="BK76" s="57">
        <f>SUMIFS(tblFleet[Available_h],tblFleet[Date],$A76,tblFleet[Equipment_Class],"Haul Truck")</f>
        <v/>
      </c>
      <c r="BL76" s="57">
        <f>IF($B76=$B75,$BL75,0)+$BK76</f>
        <v/>
      </c>
      <c r="BM76" s="57">
        <f>$BM75+$BK76</f>
        <v/>
      </c>
      <c r="BN76" s="57">
        <f>SUMIFS(tblFleet[Operating_h],tblFleet[Date],$A76,tblFleet[Equipment_Class],"Haul Truck")</f>
        <v/>
      </c>
      <c r="BO76" s="57">
        <f>IF($B76=$B75,$BO75,0)+$BN76</f>
        <v/>
      </c>
      <c r="BP76" s="57">
        <f>$BP75+$BN76</f>
        <v/>
      </c>
      <c r="BQ76" s="67">
        <f>IFERROR(IF(($BH76)&gt;0,($BK76)/($BH76),""),"")</f>
        <v/>
      </c>
      <c r="BR76" s="67">
        <f>IFERROR(IF(($BI76)&gt;0,($BL76)/($BI76),""),"")</f>
        <v/>
      </c>
      <c r="BS76" s="67">
        <f>IFERROR(IF(($BJ76)&gt;0,($BM76)/($BJ76),""),"")</f>
        <v/>
      </c>
      <c r="BT76" s="67">
        <f>IFERROR(IF(($BK76)&gt;0,($BN76)/($BK76),""),"")</f>
        <v/>
      </c>
      <c r="BU76" s="67">
        <f>IFERROR(IF(($BL76)&gt;0,($BO76)/($BL76),""),"")</f>
        <v/>
      </c>
      <c r="BV76" s="67">
        <f>IFERROR(IF(($BM76)&gt;0,($BP76)/($BM76),""),"")</f>
        <v/>
      </c>
      <c r="BW76" s="55">
        <f>SUMIFS(tblPlant[Crushed_t],tblPlant[Date],$A76)</f>
        <v/>
      </c>
      <c r="BX76" s="55">
        <f>IF($B76=$B75,$BX75,0)+$BW76</f>
        <v/>
      </c>
      <c r="BY76" s="55">
        <f>$BY75+$BW76</f>
        <v/>
      </c>
      <c r="BZ76" s="55">
        <f>SUMIFS(tblPlant[Milled_t],tblPlant[Date],$A76)</f>
        <v/>
      </c>
      <c r="CA76" s="55">
        <f>IF($B76=$B75,$CA75,0)+$BZ76</f>
        <v/>
      </c>
      <c r="CB76" s="55">
        <f>$CB75+$BZ76</f>
        <v/>
      </c>
      <c r="CC76" s="55">
        <f>SUMIFS(tblPlant[Feed_oz],tblPlant[Date],$A76)</f>
        <v/>
      </c>
      <c r="CD76" s="55">
        <f>IF($B76=$B75,$CD75,0)+$CC76</f>
        <v/>
      </c>
      <c r="CE76" s="55">
        <f>$CE75+$CC76</f>
        <v/>
      </c>
      <c r="CF76" s="55">
        <f>SUMIFS(tblPlant[Tails_oz],tblPlant[Date],$A76)</f>
        <v/>
      </c>
      <c r="CG76" s="55">
        <f>IF($B76=$B75,$CG75,0)+$CF76</f>
        <v/>
      </c>
      <c r="CH76" s="55">
        <f>$CH75+$CF76</f>
        <v/>
      </c>
      <c r="CI76" s="55">
        <f>SUMIFS(tblPlant[Recovered_oz],tblPlant[Date],$A76)</f>
        <v/>
      </c>
      <c r="CJ76" s="55">
        <f>IF($B76=$B75,$CJ75,0)+$CI76</f>
        <v/>
      </c>
      <c r="CK76" s="55">
        <f>$CK75+$CI76</f>
        <v/>
      </c>
      <c r="CL76" s="56">
        <f>IFERROR(IF(($BZ76)&gt;0,($CC76*cfg_TroyOz)/($BZ76),""),"")</f>
        <v/>
      </c>
      <c r="CM76" s="56">
        <f>IFERROR(IF(($CA76)&gt;0,($CD76*cfg_TroyOz)/($CA76),""),"")</f>
        <v/>
      </c>
      <c r="CN76" s="56">
        <f>IFERROR(IF(($CB76)&gt;0,($CE76*cfg_TroyOz)/($CB76),""),"")</f>
        <v/>
      </c>
      <c r="CO76" s="56">
        <f>IFERROR(IF(($BZ76)&gt;0,($CF76*cfg_TroyOz)/($BZ76),""),"")</f>
        <v/>
      </c>
      <c r="CP76" s="56">
        <f>IFERROR(IF(($CA76)&gt;0,($CG76*cfg_TroyOz)/($CA76),""),"")</f>
        <v/>
      </c>
      <c r="CQ76" s="56">
        <f>IFERROR(IF(($CB76)&gt;0,($CH76*cfg_TroyOz)/($CB76),""),"")</f>
        <v/>
      </c>
      <c r="CR76" s="67">
        <f>IFERROR(IF(($CC76)&gt;0,($CI76)/($CC76),""),"")</f>
        <v/>
      </c>
      <c r="CS76" s="67">
        <f>IFERROR(IF(($CD76)&gt;0,($CJ76)/($CD76),""),"")</f>
        <v/>
      </c>
      <c r="CT76" s="67">
        <f>IFERROR(IF(($CE76)&gt;0,($CK76)/($CE76),""),"")</f>
        <v/>
      </c>
      <c r="CU76" s="55">
        <f>SUMIFS(tblPlant[Gravity_Gold_oz],tblPlant[Date],$A76)</f>
        <v/>
      </c>
      <c r="CV76" s="55">
        <f>IF($B76=$B75,$CV75,0)+$CU76</f>
        <v/>
      </c>
      <c r="CW76" s="55">
        <f>$CW75+$CU76</f>
        <v/>
      </c>
      <c r="CX76" s="55">
        <f>SUMIFS(tblPlant[Gold_Poured_oz],tblPlant[Date],$A76)</f>
        <v/>
      </c>
      <c r="CY76" s="55">
        <f>IF($B76=$B75,$CY75,0)+$CX76</f>
        <v/>
      </c>
      <c r="CZ76" s="55">
        <f>$CZ75+$CX76</f>
        <v/>
      </c>
      <c r="DA76" s="57">
        <f>SUMIFS(tblPlant[Mill_Run_h],tblPlant[Date],$A76)</f>
        <v/>
      </c>
      <c r="DB76" s="57">
        <f>IF($B76=$B75,$DB75,0)+$DA76</f>
        <v/>
      </c>
      <c r="DC76" s="57">
        <f>$DC75+$DA76</f>
        <v/>
      </c>
      <c r="DD76" s="57">
        <f>SUMIFS(tblPlant[Mill_Planned_Maint_h],tblPlant[Date],$A76)</f>
        <v/>
      </c>
      <c r="DE76" s="57">
        <f>IF($B76=$B75,$DE75,0)+$DD76</f>
        <v/>
      </c>
      <c r="DF76" s="57">
        <f>$DF75+$DD76</f>
        <v/>
      </c>
      <c r="DG76" s="57">
        <f>SUMIFS(tblPlant[Mill_Unplanned_Down_h],tblPlant[Date],$A76)</f>
        <v/>
      </c>
      <c r="DH76" s="57">
        <f>IF($B76=$B75,$DH75,0)+$DG76</f>
        <v/>
      </c>
      <c r="DI76" s="57">
        <f>$DI75+$DG76</f>
        <v/>
      </c>
      <c r="DJ76" s="57">
        <f>COUNTIFS(tblPlant[Date],$A76,tblPlant[Mill_Run_h],"&lt;&gt;")*24</f>
        <v/>
      </c>
      <c r="DK76" s="57">
        <f>IF($B76=$B75,$DK75,0)+$DJ76</f>
        <v/>
      </c>
      <c r="DL76" s="57">
        <f>$DL75+$DJ76</f>
        <v/>
      </c>
      <c r="DM76" s="57">
        <f>SUMIFS(tblPlant[Crusher_Run_h],tblPlant[Date],$A76)</f>
        <v/>
      </c>
      <c r="DN76" s="57">
        <f>IF($B76=$B75,$DN75,0)+$DM76</f>
        <v/>
      </c>
      <c r="DO76" s="57">
        <f>$DO75+$DM76</f>
        <v/>
      </c>
      <c r="DP76" s="55">
        <f>IFERROR(IF(($DA76)&gt;0,($BZ76)/($DA76),""),"")</f>
        <v/>
      </c>
      <c r="DQ76" s="55">
        <f>IFERROR(IF(($DB76)&gt;0,($CA76)/($DB76),""),"")</f>
        <v/>
      </c>
      <c r="DR76" s="55">
        <f>IFERROR(IF(($DC76)&gt;0,($CB76)/($DC76),""),"")</f>
        <v/>
      </c>
      <c r="DS76" s="67">
        <f>IFERROR(IF(($DJ76)&gt;0,($DJ76-$DD76-$DG76)/($DJ76),""),"")</f>
        <v/>
      </c>
      <c r="DT76" s="67">
        <f>IFERROR(IF(($DK76)&gt;0,($DK76-$DE76-$DH76)/($DK76),""),"")</f>
        <v/>
      </c>
      <c r="DU76" s="67">
        <f>IFERROR(IF(($DL76)&gt;0,($DL76-$DF76-$DI76)/($DL76),""),"")</f>
        <v/>
      </c>
      <c r="DV76" s="67">
        <f>IFERROR(IF(($DJ76-$DD76-$DG76)&gt;0,($DA76)/($DJ76-$DD76-$DG76),""),"")</f>
        <v/>
      </c>
      <c r="DW76" s="67">
        <f>IFERROR(IF(($DK76-$DE76-$DH76)&gt;0,($DB76)/($DK76-$DE76-$DH76),""),"")</f>
        <v/>
      </c>
      <c r="DX76" s="67">
        <f>IFERROR(IF(($DL76-$DF76-$DI76)&gt;0,($DC76)/($DL76-$DF76-$DI76),""),"")</f>
        <v/>
      </c>
      <c r="DY76" s="55">
        <f>SUMIFS(tblPlant[Cyanide_kg],tblPlant[Date],$A76)</f>
        <v/>
      </c>
      <c r="DZ76" s="55">
        <f>IF($B76=$B75,$DZ75,0)+$DY76</f>
        <v/>
      </c>
      <c r="EA76" s="55">
        <f>$EA75+$DY76</f>
        <v/>
      </c>
      <c r="EB76" s="55">
        <f>SUMIFS(tblPlant[Lime_kg],tblPlant[Date],$A76)</f>
        <v/>
      </c>
      <c r="EC76" s="55">
        <f>IF($B76=$B75,$EC75,0)+$EB76</f>
        <v/>
      </c>
      <c r="ED76" s="55">
        <f>$ED75+$EB76</f>
        <v/>
      </c>
      <c r="EE76" s="55">
        <f>SUMIFS(tblPlant[Grinding_Media_kg],tblPlant[Date],$A76)</f>
        <v/>
      </c>
      <c r="EF76" s="55">
        <f>IF($B76=$B75,$EF75,0)+$EE76</f>
        <v/>
      </c>
      <c r="EG76" s="55">
        <f>$EG75+$EE76</f>
        <v/>
      </c>
      <c r="EH76" s="55">
        <f>SUMIFS(tblPlant[Power_kWh],tblPlant[Date],$A76)</f>
        <v/>
      </c>
      <c r="EI76" s="55">
        <f>IF($B76=$B75,$EI75,0)+$EH76</f>
        <v/>
      </c>
      <c r="EJ76" s="55">
        <f>$EJ75+$EH76</f>
        <v/>
      </c>
      <c r="EK76" s="55">
        <f>SUMIFS(tblPlant[Raw_Water_m3],tblPlant[Date],$A76)</f>
        <v/>
      </c>
      <c r="EL76" s="55">
        <f>IF($B76=$B75,$EL75,0)+$EK76</f>
        <v/>
      </c>
      <c r="EM76" s="55">
        <f>$EM75+$EK76</f>
        <v/>
      </c>
      <c r="EN76" s="56">
        <f>IFERROR(IF(($BZ76)&gt;0,($DY76)/($BZ76),""),"")</f>
        <v/>
      </c>
      <c r="EO76" s="56">
        <f>IFERROR(IF(($CA76)&gt;0,($DZ76)/($CA76),""),"")</f>
        <v/>
      </c>
      <c r="EP76" s="56">
        <f>IFERROR(IF(($CB76)&gt;0,($EA76)/($CB76),""),"")</f>
        <v/>
      </c>
      <c r="EQ76" s="56">
        <f>IFERROR(IF(($BZ76)&gt;0,($EB76)/($BZ76),""),"")</f>
        <v/>
      </c>
      <c r="ER76" s="56">
        <f>IFERROR(IF(($CA76)&gt;0,($EC76)/($CA76),""),"")</f>
        <v/>
      </c>
      <c r="ES76" s="56">
        <f>IFERROR(IF(($CB76)&gt;0,($ED76)/($CB76),""),"")</f>
        <v/>
      </c>
      <c r="ET76" s="56">
        <f>IFERROR(IF(($BZ76)&gt;0,($EE76)/($BZ76),""),"")</f>
        <v/>
      </c>
      <c r="EU76" s="56">
        <f>IFERROR(IF(($CA76)&gt;0,($EF76)/($CA76),""),"")</f>
        <v/>
      </c>
      <c r="EV76" s="56">
        <f>IFERROR(IF(($CB76)&gt;0,($EG76)/($CB76),""),"")</f>
        <v/>
      </c>
      <c r="EW76" s="76">
        <f>IFERROR(IF(($BZ76)&gt;0,($EH76)/($BZ76),""),"")</f>
        <v/>
      </c>
      <c r="EX76" s="76">
        <f>IFERROR(IF(($CA76)&gt;0,($EI76)/($CA76),""),"")</f>
        <v/>
      </c>
      <c r="EY76" s="76">
        <f>IFERROR(IF(($CB76)&gt;0,($EJ76)/($CB76),""),"")</f>
        <v/>
      </c>
      <c r="EZ76" s="56">
        <f>IFERROR(IF(($BZ76)&gt;0,($EK76)/($BZ76),""),"")</f>
        <v/>
      </c>
      <c r="FA76" s="56">
        <f>IFERROR(IF(($CA76)&gt;0,($EL76)/($CA76),""),"")</f>
        <v/>
      </c>
      <c r="FB76" s="56">
        <f>IFERROR(IF(($CB76)&gt;0,($EM76)/($CB76),""),"")</f>
        <v/>
      </c>
      <c r="FC76" s="55">
        <f>IF(SUMIFS(tblPlant[GIC_oz],tblPlant[Date],$A76)&gt;0,SUMIFS(tblPlant[GIC_oz],tblPlant[Date],$A76),"")</f>
        <v/>
      </c>
      <c r="FD76" s="55">
        <f>SUMIFS(tblGold[Gold_oz],tblGold[Date],$A76,tblGold[Type],"Shipment")</f>
        <v/>
      </c>
      <c r="FE76" s="55">
        <f>IF($B76=$B75,$FE75,0)+$FD76</f>
        <v/>
      </c>
      <c r="FF76" s="55">
        <f>$FF75+$FD76</f>
        <v/>
      </c>
      <c r="FG76" s="55">
        <f>SUMIFS(tblGold[Gold_oz],tblGold[Date],$A76,tblGold[Type],"Sale")</f>
        <v/>
      </c>
      <c r="FH76" s="55">
        <f>IF($B76=$B75,$FH75,0)+$FG76</f>
        <v/>
      </c>
      <c r="FI76" s="55">
        <f>$FI75+$FG76</f>
        <v/>
      </c>
      <c r="FJ76" s="55">
        <f>SUMIFS(tblGold[Dore_kg],tblGold[Date],$A76,tblGold[Type],"Shipment")</f>
        <v/>
      </c>
      <c r="FK76" s="55">
        <f>IF($B76=$B75,$FK75,0)+$FJ76</f>
        <v/>
      </c>
      <c r="FL76" s="55">
        <f>$FL75+$FJ76</f>
        <v/>
      </c>
      <c r="FM76" s="57">
        <f>SUMIFS(tblSafety[Hours_Total],tblSafety[Date],$A76)</f>
        <v/>
      </c>
      <c r="FN76" s="57">
        <f>IF($B76=$B75,$FN75,0)+$FM76</f>
        <v/>
      </c>
      <c r="FO76" s="57">
        <f>$FO75+$FM76</f>
        <v/>
      </c>
      <c r="FP76" s="62">
        <f>SUMIFS(tblSafety[Fatality],tblSafety[Date],$A76)</f>
        <v/>
      </c>
      <c r="FQ76" s="62">
        <f>IF($B76=$B75,$FQ75,0)+$FP76</f>
        <v/>
      </c>
      <c r="FR76" s="62">
        <f>$FR75+$FP76</f>
        <v/>
      </c>
      <c r="FS76" s="62">
        <f>SUMIFS(tblSafety[LTI],tblSafety[Date],$A76)</f>
        <v/>
      </c>
      <c r="FT76" s="62">
        <f>IF($B76=$B75,$FT75,0)+$FS76</f>
        <v/>
      </c>
      <c r="FU76" s="62">
        <f>$FU75+$FS76</f>
        <v/>
      </c>
      <c r="FV76" s="62">
        <f>SUMIFS(tblSafety[RWI],tblSafety[Date],$A76)</f>
        <v/>
      </c>
      <c r="FW76" s="62">
        <f>IF($B76=$B75,$FW75,0)+$FV76</f>
        <v/>
      </c>
      <c r="FX76" s="62">
        <f>$FX75+$FV76</f>
        <v/>
      </c>
      <c r="FY76" s="62">
        <f>SUMIFS(tblSafety[MTI],tblSafety[Date],$A76)</f>
        <v/>
      </c>
      <c r="FZ76" s="62">
        <f>IF($B76=$B75,$FZ75,0)+$FY76</f>
        <v/>
      </c>
      <c r="GA76" s="62">
        <f>$GA75+$FY76</f>
        <v/>
      </c>
      <c r="GB76" s="62">
        <f>SUMIFS(tblSafety[FAI],tblSafety[Date],$A76)</f>
        <v/>
      </c>
      <c r="GC76" s="62">
        <f>IF($B76=$B75,$GC75,0)+$GB76</f>
        <v/>
      </c>
      <c r="GD76" s="62">
        <f>$GD75+$GB76</f>
        <v/>
      </c>
      <c r="GE76" s="62">
        <f>SUMIFS(tblSafety[Recordables],tblSafety[Date],$A76)</f>
        <v/>
      </c>
      <c r="GF76" s="62">
        <f>IF($B76=$B75,$GF75,0)+$GE76</f>
        <v/>
      </c>
      <c r="GG76" s="62">
        <f>$GG75+$GE76</f>
        <v/>
      </c>
      <c r="GH76" s="62">
        <f>SUMIFS(tblSafety[Near_Miss],tblSafety[Date],$A76)</f>
        <v/>
      </c>
      <c r="GI76" s="62">
        <f>IF($B76=$B75,$GI75,0)+$GH76</f>
        <v/>
      </c>
      <c r="GJ76" s="62">
        <f>$GJ75+$GH76</f>
        <v/>
      </c>
      <c r="GK76" s="62">
        <f>SUMIFS(tblSafety[Hazard_Reports],tblSafety[Date],$A76)</f>
        <v/>
      </c>
      <c r="GL76" s="62">
        <f>IF($B76=$B75,$GL75,0)+$GK76</f>
        <v/>
      </c>
      <c r="GM76" s="62">
        <f>$GM75+$GK76</f>
        <v/>
      </c>
      <c r="GN76" s="62">
        <f>SUMIFS(tblSafety[HPI],tblSafety[Date],$A76)</f>
        <v/>
      </c>
      <c r="GO76" s="62">
        <f>IF($B76=$B75,$GO75,0)+$GN76</f>
        <v/>
      </c>
      <c r="GP76" s="62">
        <f>$GP75+$GN76</f>
        <v/>
      </c>
      <c r="GQ76" s="62">
        <f>SUMIFS(tblSafety[Env_Incidents],tblSafety[Date],$A76)</f>
        <v/>
      </c>
      <c r="GR76" s="62">
        <f>IF($B76=$B75,$GR75,0)+$GQ76</f>
        <v/>
      </c>
      <c r="GS76" s="62">
        <f>$GS75+$GQ76</f>
        <v/>
      </c>
      <c r="GT76" s="62">
        <f>SUMIFS(tblSafety[Community_Incidents],tblSafety[Date],$A76)</f>
        <v/>
      </c>
      <c r="GU76" s="62">
        <f>IF($B76=$B75,$GU75,0)+$GT76</f>
        <v/>
      </c>
      <c r="GV76" s="62">
        <f>$GV75+$GT76</f>
        <v/>
      </c>
      <c r="GW76" s="62">
        <f>SUMIFS(tblSafety[Vehicle_Incidents],tblSafety[Date],$A76)</f>
        <v/>
      </c>
      <c r="GX76" s="62">
        <f>IF($B76=$B75,$GX75,0)+$GW76</f>
        <v/>
      </c>
      <c r="GY76" s="62">
        <f>$GY75+$GW76</f>
        <v/>
      </c>
      <c r="GZ76" s="62">
        <f>SUMIFS(tblSafety[Toolbox_Talks],tblSafety[Date],$A76)</f>
        <v/>
      </c>
      <c r="HA76" s="62">
        <f>IF($B76=$B75,$HA75,0)+$GZ76</f>
        <v/>
      </c>
      <c r="HB76" s="62">
        <f>$HB75+$GZ76</f>
        <v/>
      </c>
      <c r="HC76" s="62">
        <f>SUMIFS(tblSafety[Inspections],tblSafety[Date],$A76)</f>
        <v/>
      </c>
      <c r="HD76" s="62">
        <f>IF($B76=$B75,$HD75,0)+$HC76</f>
        <v/>
      </c>
      <c r="HE76" s="62">
        <f>$HE75+$HC76</f>
        <v/>
      </c>
      <c r="HF76" s="56">
        <f>IFERROR((SUMIFS(tblSafety[Recordables],tblSafety[Date],"&gt;="&amp;EDATE($E76,-12),tblSafety[Date],"&lt;="&amp;$A76)+SUMIFS(tblSafetyHistory[Recordables],tblSafetyHistory[Month],"&gt;="&amp;EDATE($E76,-12),tblSafetyHistory[Month],"&lt;"&amp;cfg_YearStart))/(SUMIFS(tblSafety[Hours_Total],tblSafety[Date],"&gt;="&amp;EDATE($E76,-12),tblSafety[Date],"&lt;="&amp;$A76)+SUMIFS(tblSafetyHistory[Hours_Total],tblSafetyHistory[Month],"&gt;="&amp;EDATE($E76,-12),tblSafetyHistory[Month],"&lt;"&amp;cfg_YearStart))*1000000,"")</f>
        <v/>
      </c>
      <c r="HG76" s="56">
        <f>IFERROR((SUMIFS(tblSafety[LTI],tblSafety[Date],"&gt;="&amp;EDATE($E76,-12),tblSafety[Date],"&lt;="&amp;$A76)+SUMIFS(tblSafetyHistory[LTI],tblSafetyHistory[Month],"&gt;="&amp;EDATE($E76,-12),tblSafetyHistory[Month],"&lt;"&amp;cfg_YearStart))/(SUMIFS(tblSafety[Hours_Total],tblSafety[Date],"&gt;="&amp;EDATE($E76,-12),tblSafety[Date],"&lt;="&amp;$A76)+SUMIFS(tblSafetyHistory[Hours_Total],tblSafetyHistory[Month],"&gt;="&amp;EDATE($E76,-12),tblSafetyHistory[Month],"&lt;"&amp;cfg_YearStart))*1000000,"")</f>
        <v/>
      </c>
      <c r="HH76" s="62">
        <f>IF(MAX(N(cfg_PriorLTIDate),_xlfn.MAXIFS(tblSafety[Date],tblSafety[LTI],"&gt;0",tblSafety[Date],"&lt;="&amp;$A76))=0,"",$A76-MAX(N(cfg_PriorLTIDate),_xlfn.MAXIFS(tblSafety[Date],tblSafety[LTI],"&gt;0",tblSafety[Date],"&lt;="&amp;$A76)))</f>
        <v/>
      </c>
      <c r="HI76" s="55">
        <f>SUMIFS(tblBudget[Ore_Mined_t],tblBudget[Month],$E76)</f>
        <v/>
      </c>
      <c r="HJ76" s="55">
        <f>$HI76*$C76/$D76</f>
        <v/>
      </c>
      <c r="HK76" s="55">
        <f>SUMIFS(tblBudget[Ore_Mined_t],tblBudget[Month],"&lt;"&amp;$E76)+$HJ76</f>
        <v/>
      </c>
      <c r="HL76" s="55">
        <f>SUMIFS(tblBudget[Ore_oz],tblBudget[Month],$E76)</f>
        <v/>
      </c>
      <c r="HM76" s="55">
        <f>$HL76*$C76/$D76</f>
        <v/>
      </c>
      <c r="HN76" s="55">
        <f>SUMIFS(tblBudget[Ore_oz],tblBudget[Month],"&lt;"&amp;$E76)+$HM76</f>
        <v/>
      </c>
      <c r="HO76" s="56">
        <f>IFERROR(IF(($HI76)&gt;0,($HL76*cfg_TroyOz)/($HI76),""),"")</f>
        <v/>
      </c>
      <c r="HP76" s="56">
        <f>IFERROR(IF(($HJ76)&gt;0,($HM76*cfg_TroyOz)/($HJ76),""),"")</f>
        <v/>
      </c>
      <c r="HQ76" s="56">
        <f>IFERROR(IF(($HK76)&gt;0,($HN76*cfg_TroyOz)/($HK76),""),"")</f>
        <v/>
      </c>
      <c r="HR76" s="55">
        <f>SUMIFS(tblBudget[Waste_t],tblBudget[Month],$E76)</f>
        <v/>
      </c>
      <c r="HS76" s="55">
        <f>$HR76*$C76/$D76</f>
        <v/>
      </c>
      <c r="HT76" s="55">
        <f>SUMIFS(tblBudget[Waste_t],tblBudget[Month],"&lt;"&amp;$E76)+$HS76</f>
        <v/>
      </c>
      <c r="HU76" s="55">
        <f>SUMIFS(tblBudget[TMM_t],tblBudget[Month],$E76)</f>
        <v/>
      </c>
      <c r="HV76" s="55">
        <f>$HU76*$C76/$D76</f>
        <v/>
      </c>
      <c r="HW76" s="55">
        <f>SUMIFS(tblBudget[TMM_t],tblBudget[Month],"&lt;"&amp;$E76)+$HV76</f>
        <v/>
      </c>
      <c r="HX76" s="56">
        <f>IFERROR(IF(($HI76)&gt;0,($HR76)/($HI76),""),"")</f>
        <v/>
      </c>
      <c r="HY76" s="56">
        <f>IFERROR(IF(($HJ76)&gt;0,($HS76)/($HJ76),""),"")</f>
        <v/>
      </c>
      <c r="HZ76" s="56">
        <f>IFERROR(IF(($HK76)&gt;0,($HT76)/($HK76),""),"")</f>
        <v/>
      </c>
      <c r="IA76" s="55">
        <f>SUMIFS(tblBudget[Drill_m],tblBudget[Month],$E76)</f>
        <v/>
      </c>
      <c r="IB76" s="55">
        <f>$IA76*$C76/$D76</f>
        <v/>
      </c>
      <c r="IC76" s="55">
        <f>SUMIFS(tblBudget[Drill_m],tblBudget[Month],"&lt;"&amp;$E76)+$IB76</f>
        <v/>
      </c>
      <c r="ID76" s="55">
        <f>SUMIFS(tblBudget[Diesel_L],tblBudget[Month],$E76)</f>
        <v/>
      </c>
      <c r="IE76" s="55">
        <f>$ID76*$C76/$D76</f>
        <v/>
      </c>
      <c r="IF76" s="55">
        <f>SUMIFS(tblBudget[Diesel_L],tblBudget[Month],"&lt;"&amp;$E76)+$IE76</f>
        <v/>
      </c>
      <c r="IG76" s="55">
        <f>SUMIFS(tblBudget[Milled_t],tblBudget[Month],$E76)</f>
        <v/>
      </c>
      <c r="IH76" s="55">
        <f>$IG76*$C76/$D76</f>
        <v/>
      </c>
      <c r="II76" s="55">
        <f>SUMIFS(tblBudget[Milled_t],tblBudget[Month],"&lt;"&amp;$E76)+$IH76</f>
        <v/>
      </c>
      <c r="IJ76" s="55">
        <f>SUMIFS(tblBudget[Feed_oz],tblBudget[Month],$E76)</f>
        <v/>
      </c>
      <c r="IK76" s="55">
        <f>$IJ76*$C76/$D76</f>
        <v/>
      </c>
      <c r="IL76" s="55">
        <f>SUMIFS(tblBudget[Feed_oz],tblBudget[Month],"&lt;"&amp;$E76)+$IK76</f>
        <v/>
      </c>
      <c r="IM76" s="55">
        <f>SUMIFS(tblBudget[Recovered_oz],tblBudget[Month],$E76)</f>
        <v/>
      </c>
      <c r="IN76" s="55">
        <f>$IM76*$C76/$D76</f>
        <v/>
      </c>
      <c r="IO76" s="55">
        <f>SUMIFS(tblBudget[Recovered_oz],tblBudget[Month],"&lt;"&amp;$E76)+$IN76</f>
        <v/>
      </c>
      <c r="IP76" s="56">
        <f>IFERROR(IF(($IG76)&gt;0,($IJ76*cfg_TroyOz)/($IG76),""),"")</f>
        <v/>
      </c>
      <c r="IQ76" s="56">
        <f>IFERROR(IF(($IH76)&gt;0,($IK76*cfg_TroyOz)/($IH76),""),"")</f>
        <v/>
      </c>
      <c r="IR76" s="56">
        <f>IFERROR(IF(($II76)&gt;0,($IL76*cfg_TroyOz)/($II76),""),"")</f>
        <v/>
      </c>
      <c r="IS76" s="67">
        <f>IFERROR(IF(($IJ76)&gt;0,($IM76)/($IJ76),""),"")</f>
        <v/>
      </c>
      <c r="IT76" s="67">
        <f>IFERROR(IF(($IK76)&gt;0,($IN76)/($IK76),""),"")</f>
        <v/>
      </c>
      <c r="IU76" s="67">
        <f>IFERROR(IF(($IL76)&gt;0,($IO76)/($IL76),""),"")</f>
        <v/>
      </c>
      <c r="IV76" s="55">
        <f>SUMIFS(tblBudget[Gold_Poured_oz],tblBudget[Month],$E76)</f>
        <v/>
      </c>
      <c r="IW76" s="55">
        <f>$IV76*$C76/$D76</f>
        <v/>
      </c>
      <c r="IX76" s="55">
        <f>SUMIFS(tblBudget[Gold_Poured_oz],tblBudget[Month],"&lt;"&amp;$E76)+$IW76</f>
        <v/>
      </c>
      <c r="IY76" s="57">
        <f>SUMIFS(tblBudget[Hours_Worked],tblBudget[Month],$E76)</f>
        <v/>
      </c>
      <c r="IZ76" s="57">
        <f>$IY76*$C76/$D76</f>
        <v/>
      </c>
      <c r="JA76" s="57">
        <f>SUMIFS(tblBudget[Hours_Worked],tblBudget[Month],"&lt;"&amp;$E76)+$IZ76</f>
        <v/>
      </c>
    </row>
    <row r="77">
      <c r="A77" s="54" t="n">
        <v>46098</v>
      </c>
      <c r="B77">
        <f>MONTH($A77)</f>
        <v/>
      </c>
      <c r="C77">
        <f>DAY($A77)</f>
        <v/>
      </c>
      <c r="D77">
        <f>DAY(EOMONTH($A77,0))</f>
        <v/>
      </c>
      <c r="E77" s="54">
        <f>DATE(YEAR($A77),MONTH($A77),1)</f>
        <v/>
      </c>
      <c r="F77" s="55">
        <f>SUMIFS(tblMovement[Tonnes_t],tblMovement[Date],$A77,tblMovement[Is_Ore],1,tblMovement[Source_Type],"Pit")</f>
        <v/>
      </c>
      <c r="G77" s="55">
        <f>IF($B77=$B76,$G76,0)+$F77</f>
        <v/>
      </c>
      <c r="H77" s="55">
        <f>$H76+$F77</f>
        <v/>
      </c>
      <c r="I77" s="55">
        <f>SUMIFS(tblMovement[Ore_oz],tblMovement[Date],$A77,tblMovement[Source_Type],"Pit")</f>
        <v/>
      </c>
      <c r="J77" s="55">
        <f>IF($B77=$B76,$J76,0)+$I77</f>
        <v/>
      </c>
      <c r="K77" s="55">
        <f>$K76+$I77</f>
        <v/>
      </c>
      <c r="L77" s="56">
        <f>IFERROR(IF(($F77)&gt;0,($I77*cfg_TroyOz)/($F77),""),"")</f>
        <v/>
      </c>
      <c r="M77" s="56">
        <f>IFERROR(IF(($G77)&gt;0,($J77*cfg_TroyOz)/($G77),""),"")</f>
        <v/>
      </c>
      <c r="N77" s="56">
        <f>IFERROR(IF(($H77)&gt;0,($K77*cfg_TroyOz)/($H77),""),"")</f>
        <v/>
      </c>
      <c r="O77" s="55">
        <f>SUMIFS(tblMovement[Tonnes_t],tblMovement[Date],$A77,tblMovement[Is_Ore],0,tblMovement[Source_Type],"Pit")</f>
        <v/>
      </c>
      <c r="P77" s="55">
        <f>IF($B77=$B76,$P76,0)+$O77</f>
        <v/>
      </c>
      <c r="Q77" s="55">
        <f>$Q76+$O77</f>
        <v/>
      </c>
      <c r="R77" s="55">
        <f>$F77+$O77</f>
        <v/>
      </c>
      <c r="S77" s="55">
        <f>IF($B77=$B76,$S76,0)+$R77</f>
        <v/>
      </c>
      <c r="T77" s="55">
        <f>$T76+$R77</f>
        <v/>
      </c>
      <c r="U77" s="56">
        <f>IFERROR(IF(($F77)&gt;0,($O77)/($F77),""),"")</f>
        <v/>
      </c>
      <c r="V77" s="56">
        <f>IFERROR(IF(($G77)&gt;0,($P77)/($G77),""),"")</f>
        <v/>
      </c>
      <c r="W77" s="56">
        <f>IFERROR(IF(($H77)&gt;0,($Q77)/($H77),""),"")</f>
        <v/>
      </c>
      <c r="X77" s="55">
        <f>SUMIFS(tblMovement[Tonnes_t],tblMovement[Date],$A77,tblMovement[Source_Type],"Stockpile")</f>
        <v/>
      </c>
      <c r="Y77" s="55">
        <f>IF($B77=$B76,$Y76,0)+$X77</f>
        <v/>
      </c>
      <c r="Z77" s="55">
        <f>$Z76+$X77</f>
        <v/>
      </c>
      <c r="AA77" s="55">
        <f>SUMIFS(tblMiningDaily[Drill_m],tblMiningDaily[Date],$A77)</f>
        <v/>
      </c>
      <c r="AB77" s="55">
        <f>IF($B77=$B76,$AB76,0)+$AA77</f>
        <v/>
      </c>
      <c r="AC77" s="55">
        <f>$AC76+$AA77</f>
        <v/>
      </c>
      <c r="AD77" s="55">
        <f>SUMIFS(tblMiningDaily[Blast_t],tblMiningDaily[Date],$A77)</f>
        <v/>
      </c>
      <c r="AE77" s="55">
        <f>IF($B77=$B76,$AE76,0)+$AD77</f>
        <v/>
      </c>
      <c r="AF77" s="55">
        <f>$AF76+$AD77</f>
        <v/>
      </c>
      <c r="AG77" s="55">
        <f>SUMIFS(tblMiningDaily[Explosives_kg],tblMiningDaily[Date],$A77)</f>
        <v/>
      </c>
      <c r="AH77" s="55">
        <f>IF($B77=$B76,$AH76,0)+$AG77</f>
        <v/>
      </c>
      <c r="AI77" s="55">
        <f>$AI76+$AG77</f>
        <v/>
      </c>
      <c r="AJ77" s="56">
        <f>IFERROR(IF(($AD77)&gt;0,($AG77)/($AD77),""),"")</f>
        <v/>
      </c>
      <c r="AK77" s="56">
        <f>IFERROR(IF(($AE77)&gt;0,($AH77)/($AE77),""),"")</f>
        <v/>
      </c>
      <c r="AL77" s="56">
        <f>IFERROR(IF(($AF77)&gt;0,($AI77)/($AF77),""),"")</f>
        <v/>
      </c>
      <c r="AM77" s="55">
        <f>SUMIFS(tblMiningDaily[Diesel_L],tblMiningDaily[Date],$A77)</f>
        <v/>
      </c>
      <c r="AN77" s="55">
        <f>IF($B77=$B76,$AN76,0)+$AM77</f>
        <v/>
      </c>
      <c r="AO77" s="55">
        <f>$AO76+$AM77</f>
        <v/>
      </c>
      <c r="AP77" s="55">
        <f>SUMIFS(tblMiningDaily[Dewatering_m3],tblMiningDaily[Date],$A77)</f>
        <v/>
      </c>
      <c r="AQ77" s="55">
        <f>IF($B77=$B76,$AQ76,0)+$AP77</f>
        <v/>
      </c>
      <c r="AR77" s="55">
        <f>$AR76+$AP77</f>
        <v/>
      </c>
      <c r="AS77" s="57">
        <f>SUMIFS(tblFleet[Calendar_h],tblFleet[Date],$A77,tblFleet[Equipment_Class],"Excavator")</f>
        <v/>
      </c>
      <c r="AT77" s="57">
        <f>IF($B77=$B76,$AT76,0)+$AS77</f>
        <v/>
      </c>
      <c r="AU77" s="57">
        <f>$AU76+$AS77</f>
        <v/>
      </c>
      <c r="AV77" s="57">
        <f>SUMIFS(tblFleet[Available_h],tblFleet[Date],$A77,tblFleet[Equipment_Class],"Excavator")</f>
        <v/>
      </c>
      <c r="AW77" s="57">
        <f>IF($B77=$B76,$AW76,0)+$AV77</f>
        <v/>
      </c>
      <c r="AX77" s="57">
        <f>$AX76+$AV77</f>
        <v/>
      </c>
      <c r="AY77" s="57">
        <f>SUMIFS(tblFleet[Operating_h],tblFleet[Date],$A77,tblFleet[Equipment_Class],"Excavator")</f>
        <v/>
      </c>
      <c r="AZ77" s="57">
        <f>IF($B77=$B76,$AZ76,0)+$AY77</f>
        <v/>
      </c>
      <c r="BA77" s="57">
        <f>$BA76+$AY77</f>
        <v/>
      </c>
      <c r="BB77" s="67">
        <f>IFERROR(IF(($AS77)&gt;0,($AV77)/($AS77),""),"")</f>
        <v/>
      </c>
      <c r="BC77" s="67">
        <f>IFERROR(IF(($AT77)&gt;0,($AW77)/($AT77),""),"")</f>
        <v/>
      </c>
      <c r="BD77" s="67">
        <f>IFERROR(IF(($AU77)&gt;0,($AX77)/($AU77),""),"")</f>
        <v/>
      </c>
      <c r="BE77" s="67">
        <f>IFERROR(IF(($AV77)&gt;0,($AY77)/($AV77),""),"")</f>
        <v/>
      </c>
      <c r="BF77" s="67">
        <f>IFERROR(IF(($AW77)&gt;0,($AZ77)/($AW77),""),"")</f>
        <v/>
      </c>
      <c r="BG77" s="67">
        <f>IFERROR(IF(($AX77)&gt;0,($BA77)/($AX77),""),"")</f>
        <v/>
      </c>
      <c r="BH77" s="57">
        <f>SUMIFS(tblFleet[Calendar_h],tblFleet[Date],$A77,tblFleet[Equipment_Class],"Haul Truck")</f>
        <v/>
      </c>
      <c r="BI77" s="57">
        <f>IF($B77=$B76,$BI76,0)+$BH77</f>
        <v/>
      </c>
      <c r="BJ77" s="57">
        <f>$BJ76+$BH77</f>
        <v/>
      </c>
      <c r="BK77" s="57">
        <f>SUMIFS(tblFleet[Available_h],tblFleet[Date],$A77,tblFleet[Equipment_Class],"Haul Truck")</f>
        <v/>
      </c>
      <c r="BL77" s="57">
        <f>IF($B77=$B76,$BL76,0)+$BK77</f>
        <v/>
      </c>
      <c r="BM77" s="57">
        <f>$BM76+$BK77</f>
        <v/>
      </c>
      <c r="BN77" s="57">
        <f>SUMIFS(tblFleet[Operating_h],tblFleet[Date],$A77,tblFleet[Equipment_Class],"Haul Truck")</f>
        <v/>
      </c>
      <c r="BO77" s="57">
        <f>IF($B77=$B76,$BO76,0)+$BN77</f>
        <v/>
      </c>
      <c r="BP77" s="57">
        <f>$BP76+$BN77</f>
        <v/>
      </c>
      <c r="BQ77" s="67">
        <f>IFERROR(IF(($BH77)&gt;0,($BK77)/($BH77),""),"")</f>
        <v/>
      </c>
      <c r="BR77" s="67">
        <f>IFERROR(IF(($BI77)&gt;0,($BL77)/($BI77),""),"")</f>
        <v/>
      </c>
      <c r="BS77" s="67">
        <f>IFERROR(IF(($BJ77)&gt;0,($BM77)/($BJ77),""),"")</f>
        <v/>
      </c>
      <c r="BT77" s="67">
        <f>IFERROR(IF(($BK77)&gt;0,($BN77)/($BK77),""),"")</f>
        <v/>
      </c>
      <c r="BU77" s="67">
        <f>IFERROR(IF(($BL77)&gt;0,($BO77)/($BL77),""),"")</f>
        <v/>
      </c>
      <c r="BV77" s="67">
        <f>IFERROR(IF(($BM77)&gt;0,($BP77)/($BM77),""),"")</f>
        <v/>
      </c>
      <c r="BW77" s="55">
        <f>SUMIFS(tblPlant[Crushed_t],tblPlant[Date],$A77)</f>
        <v/>
      </c>
      <c r="BX77" s="55">
        <f>IF($B77=$B76,$BX76,0)+$BW77</f>
        <v/>
      </c>
      <c r="BY77" s="55">
        <f>$BY76+$BW77</f>
        <v/>
      </c>
      <c r="BZ77" s="55">
        <f>SUMIFS(tblPlant[Milled_t],tblPlant[Date],$A77)</f>
        <v/>
      </c>
      <c r="CA77" s="55">
        <f>IF($B77=$B76,$CA76,0)+$BZ77</f>
        <v/>
      </c>
      <c r="CB77" s="55">
        <f>$CB76+$BZ77</f>
        <v/>
      </c>
      <c r="CC77" s="55">
        <f>SUMIFS(tblPlant[Feed_oz],tblPlant[Date],$A77)</f>
        <v/>
      </c>
      <c r="CD77" s="55">
        <f>IF($B77=$B76,$CD76,0)+$CC77</f>
        <v/>
      </c>
      <c r="CE77" s="55">
        <f>$CE76+$CC77</f>
        <v/>
      </c>
      <c r="CF77" s="55">
        <f>SUMIFS(tblPlant[Tails_oz],tblPlant[Date],$A77)</f>
        <v/>
      </c>
      <c r="CG77" s="55">
        <f>IF($B77=$B76,$CG76,0)+$CF77</f>
        <v/>
      </c>
      <c r="CH77" s="55">
        <f>$CH76+$CF77</f>
        <v/>
      </c>
      <c r="CI77" s="55">
        <f>SUMIFS(tblPlant[Recovered_oz],tblPlant[Date],$A77)</f>
        <v/>
      </c>
      <c r="CJ77" s="55">
        <f>IF($B77=$B76,$CJ76,0)+$CI77</f>
        <v/>
      </c>
      <c r="CK77" s="55">
        <f>$CK76+$CI77</f>
        <v/>
      </c>
      <c r="CL77" s="56">
        <f>IFERROR(IF(($BZ77)&gt;0,($CC77*cfg_TroyOz)/($BZ77),""),"")</f>
        <v/>
      </c>
      <c r="CM77" s="56">
        <f>IFERROR(IF(($CA77)&gt;0,($CD77*cfg_TroyOz)/($CA77),""),"")</f>
        <v/>
      </c>
      <c r="CN77" s="56">
        <f>IFERROR(IF(($CB77)&gt;0,($CE77*cfg_TroyOz)/($CB77),""),"")</f>
        <v/>
      </c>
      <c r="CO77" s="56">
        <f>IFERROR(IF(($BZ77)&gt;0,($CF77*cfg_TroyOz)/($BZ77),""),"")</f>
        <v/>
      </c>
      <c r="CP77" s="56">
        <f>IFERROR(IF(($CA77)&gt;0,($CG77*cfg_TroyOz)/($CA77),""),"")</f>
        <v/>
      </c>
      <c r="CQ77" s="56">
        <f>IFERROR(IF(($CB77)&gt;0,($CH77*cfg_TroyOz)/($CB77),""),"")</f>
        <v/>
      </c>
      <c r="CR77" s="67">
        <f>IFERROR(IF(($CC77)&gt;0,($CI77)/($CC77),""),"")</f>
        <v/>
      </c>
      <c r="CS77" s="67">
        <f>IFERROR(IF(($CD77)&gt;0,($CJ77)/($CD77),""),"")</f>
        <v/>
      </c>
      <c r="CT77" s="67">
        <f>IFERROR(IF(($CE77)&gt;0,($CK77)/($CE77),""),"")</f>
        <v/>
      </c>
      <c r="CU77" s="55">
        <f>SUMIFS(tblPlant[Gravity_Gold_oz],tblPlant[Date],$A77)</f>
        <v/>
      </c>
      <c r="CV77" s="55">
        <f>IF($B77=$B76,$CV76,0)+$CU77</f>
        <v/>
      </c>
      <c r="CW77" s="55">
        <f>$CW76+$CU77</f>
        <v/>
      </c>
      <c r="CX77" s="55">
        <f>SUMIFS(tblPlant[Gold_Poured_oz],tblPlant[Date],$A77)</f>
        <v/>
      </c>
      <c r="CY77" s="55">
        <f>IF($B77=$B76,$CY76,0)+$CX77</f>
        <v/>
      </c>
      <c r="CZ77" s="55">
        <f>$CZ76+$CX77</f>
        <v/>
      </c>
      <c r="DA77" s="57">
        <f>SUMIFS(tblPlant[Mill_Run_h],tblPlant[Date],$A77)</f>
        <v/>
      </c>
      <c r="DB77" s="57">
        <f>IF($B77=$B76,$DB76,0)+$DA77</f>
        <v/>
      </c>
      <c r="DC77" s="57">
        <f>$DC76+$DA77</f>
        <v/>
      </c>
      <c r="DD77" s="57">
        <f>SUMIFS(tblPlant[Mill_Planned_Maint_h],tblPlant[Date],$A77)</f>
        <v/>
      </c>
      <c r="DE77" s="57">
        <f>IF($B77=$B76,$DE76,0)+$DD77</f>
        <v/>
      </c>
      <c r="DF77" s="57">
        <f>$DF76+$DD77</f>
        <v/>
      </c>
      <c r="DG77" s="57">
        <f>SUMIFS(tblPlant[Mill_Unplanned_Down_h],tblPlant[Date],$A77)</f>
        <v/>
      </c>
      <c r="DH77" s="57">
        <f>IF($B77=$B76,$DH76,0)+$DG77</f>
        <v/>
      </c>
      <c r="DI77" s="57">
        <f>$DI76+$DG77</f>
        <v/>
      </c>
      <c r="DJ77" s="57">
        <f>COUNTIFS(tblPlant[Date],$A77,tblPlant[Mill_Run_h],"&lt;&gt;")*24</f>
        <v/>
      </c>
      <c r="DK77" s="57">
        <f>IF($B77=$B76,$DK76,0)+$DJ77</f>
        <v/>
      </c>
      <c r="DL77" s="57">
        <f>$DL76+$DJ77</f>
        <v/>
      </c>
      <c r="DM77" s="57">
        <f>SUMIFS(tblPlant[Crusher_Run_h],tblPlant[Date],$A77)</f>
        <v/>
      </c>
      <c r="DN77" s="57">
        <f>IF($B77=$B76,$DN76,0)+$DM77</f>
        <v/>
      </c>
      <c r="DO77" s="57">
        <f>$DO76+$DM77</f>
        <v/>
      </c>
      <c r="DP77" s="55">
        <f>IFERROR(IF(($DA77)&gt;0,($BZ77)/($DA77),""),"")</f>
        <v/>
      </c>
      <c r="DQ77" s="55">
        <f>IFERROR(IF(($DB77)&gt;0,($CA77)/($DB77),""),"")</f>
        <v/>
      </c>
      <c r="DR77" s="55">
        <f>IFERROR(IF(($DC77)&gt;0,($CB77)/($DC77),""),"")</f>
        <v/>
      </c>
      <c r="DS77" s="67">
        <f>IFERROR(IF(($DJ77)&gt;0,($DJ77-$DD77-$DG77)/($DJ77),""),"")</f>
        <v/>
      </c>
      <c r="DT77" s="67">
        <f>IFERROR(IF(($DK77)&gt;0,($DK77-$DE77-$DH77)/($DK77),""),"")</f>
        <v/>
      </c>
      <c r="DU77" s="67">
        <f>IFERROR(IF(($DL77)&gt;0,($DL77-$DF77-$DI77)/($DL77),""),"")</f>
        <v/>
      </c>
      <c r="DV77" s="67">
        <f>IFERROR(IF(($DJ77-$DD77-$DG77)&gt;0,($DA77)/($DJ77-$DD77-$DG77),""),"")</f>
        <v/>
      </c>
      <c r="DW77" s="67">
        <f>IFERROR(IF(($DK77-$DE77-$DH77)&gt;0,($DB77)/($DK77-$DE77-$DH77),""),"")</f>
        <v/>
      </c>
      <c r="DX77" s="67">
        <f>IFERROR(IF(($DL77-$DF77-$DI77)&gt;0,($DC77)/($DL77-$DF77-$DI77),""),"")</f>
        <v/>
      </c>
      <c r="DY77" s="55">
        <f>SUMIFS(tblPlant[Cyanide_kg],tblPlant[Date],$A77)</f>
        <v/>
      </c>
      <c r="DZ77" s="55">
        <f>IF($B77=$B76,$DZ76,0)+$DY77</f>
        <v/>
      </c>
      <c r="EA77" s="55">
        <f>$EA76+$DY77</f>
        <v/>
      </c>
      <c r="EB77" s="55">
        <f>SUMIFS(tblPlant[Lime_kg],tblPlant[Date],$A77)</f>
        <v/>
      </c>
      <c r="EC77" s="55">
        <f>IF($B77=$B76,$EC76,0)+$EB77</f>
        <v/>
      </c>
      <c r="ED77" s="55">
        <f>$ED76+$EB77</f>
        <v/>
      </c>
      <c r="EE77" s="55">
        <f>SUMIFS(tblPlant[Grinding_Media_kg],tblPlant[Date],$A77)</f>
        <v/>
      </c>
      <c r="EF77" s="55">
        <f>IF($B77=$B76,$EF76,0)+$EE77</f>
        <v/>
      </c>
      <c r="EG77" s="55">
        <f>$EG76+$EE77</f>
        <v/>
      </c>
      <c r="EH77" s="55">
        <f>SUMIFS(tblPlant[Power_kWh],tblPlant[Date],$A77)</f>
        <v/>
      </c>
      <c r="EI77" s="55">
        <f>IF($B77=$B76,$EI76,0)+$EH77</f>
        <v/>
      </c>
      <c r="EJ77" s="55">
        <f>$EJ76+$EH77</f>
        <v/>
      </c>
      <c r="EK77" s="55">
        <f>SUMIFS(tblPlant[Raw_Water_m3],tblPlant[Date],$A77)</f>
        <v/>
      </c>
      <c r="EL77" s="55">
        <f>IF($B77=$B76,$EL76,0)+$EK77</f>
        <v/>
      </c>
      <c r="EM77" s="55">
        <f>$EM76+$EK77</f>
        <v/>
      </c>
      <c r="EN77" s="56">
        <f>IFERROR(IF(($BZ77)&gt;0,($DY77)/($BZ77),""),"")</f>
        <v/>
      </c>
      <c r="EO77" s="56">
        <f>IFERROR(IF(($CA77)&gt;0,($DZ77)/($CA77),""),"")</f>
        <v/>
      </c>
      <c r="EP77" s="56">
        <f>IFERROR(IF(($CB77)&gt;0,($EA77)/($CB77),""),"")</f>
        <v/>
      </c>
      <c r="EQ77" s="56">
        <f>IFERROR(IF(($BZ77)&gt;0,($EB77)/($BZ77),""),"")</f>
        <v/>
      </c>
      <c r="ER77" s="56">
        <f>IFERROR(IF(($CA77)&gt;0,($EC77)/($CA77),""),"")</f>
        <v/>
      </c>
      <c r="ES77" s="56">
        <f>IFERROR(IF(($CB77)&gt;0,($ED77)/($CB77),""),"")</f>
        <v/>
      </c>
      <c r="ET77" s="56">
        <f>IFERROR(IF(($BZ77)&gt;0,($EE77)/($BZ77),""),"")</f>
        <v/>
      </c>
      <c r="EU77" s="56">
        <f>IFERROR(IF(($CA77)&gt;0,($EF77)/($CA77),""),"")</f>
        <v/>
      </c>
      <c r="EV77" s="56">
        <f>IFERROR(IF(($CB77)&gt;0,($EG77)/($CB77),""),"")</f>
        <v/>
      </c>
      <c r="EW77" s="76">
        <f>IFERROR(IF(($BZ77)&gt;0,($EH77)/($BZ77),""),"")</f>
        <v/>
      </c>
      <c r="EX77" s="76">
        <f>IFERROR(IF(($CA77)&gt;0,($EI77)/($CA77),""),"")</f>
        <v/>
      </c>
      <c r="EY77" s="76">
        <f>IFERROR(IF(($CB77)&gt;0,($EJ77)/($CB77),""),"")</f>
        <v/>
      </c>
      <c r="EZ77" s="56">
        <f>IFERROR(IF(($BZ77)&gt;0,($EK77)/($BZ77),""),"")</f>
        <v/>
      </c>
      <c r="FA77" s="56">
        <f>IFERROR(IF(($CA77)&gt;0,($EL77)/($CA77),""),"")</f>
        <v/>
      </c>
      <c r="FB77" s="56">
        <f>IFERROR(IF(($CB77)&gt;0,($EM77)/($CB77),""),"")</f>
        <v/>
      </c>
      <c r="FC77" s="55">
        <f>IF(SUMIFS(tblPlant[GIC_oz],tblPlant[Date],$A77)&gt;0,SUMIFS(tblPlant[GIC_oz],tblPlant[Date],$A77),"")</f>
        <v/>
      </c>
      <c r="FD77" s="55">
        <f>SUMIFS(tblGold[Gold_oz],tblGold[Date],$A77,tblGold[Type],"Shipment")</f>
        <v/>
      </c>
      <c r="FE77" s="55">
        <f>IF($B77=$B76,$FE76,0)+$FD77</f>
        <v/>
      </c>
      <c r="FF77" s="55">
        <f>$FF76+$FD77</f>
        <v/>
      </c>
      <c r="FG77" s="55">
        <f>SUMIFS(tblGold[Gold_oz],tblGold[Date],$A77,tblGold[Type],"Sale")</f>
        <v/>
      </c>
      <c r="FH77" s="55">
        <f>IF($B77=$B76,$FH76,0)+$FG77</f>
        <v/>
      </c>
      <c r="FI77" s="55">
        <f>$FI76+$FG77</f>
        <v/>
      </c>
      <c r="FJ77" s="55">
        <f>SUMIFS(tblGold[Dore_kg],tblGold[Date],$A77,tblGold[Type],"Shipment")</f>
        <v/>
      </c>
      <c r="FK77" s="55">
        <f>IF($B77=$B76,$FK76,0)+$FJ77</f>
        <v/>
      </c>
      <c r="FL77" s="55">
        <f>$FL76+$FJ77</f>
        <v/>
      </c>
      <c r="FM77" s="57">
        <f>SUMIFS(tblSafety[Hours_Total],tblSafety[Date],$A77)</f>
        <v/>
      </c>
      <c r="FN77" s="57">
        <f>IF($B77=$B76,$FN76,0)+$FM77</f>
        <v/>
      </c>
      <c r="FO77" s="57">
        <f>$FO76+$FM77</f>
        <v/>
      </c>
      <c r="FP77" s="62">
        <f>SUMIFS(tblSafety[Fatality],tblSafety[Date],$A77)</f>
        <v/>
      </c>
      <c r="FQ77" s="62">
        <f>IF($B77=$B76,$FQ76,0)+$FP77</f>
        <v/>
      </c>
      <c r="FR77" s="62">
        <f>$FR76+$FP77</f>
        <v/>
      </c>
      <c r="FS77" s="62">
        <f>SUMIFS(tblSafety[LTI],tblSafety[Date],$A77)</f>
        <v/>
      </c>
      <c r="FT77" s="62">
        <f>IF($B77=$B76,$FT76,0)+$FS77</f>
        <v/>
      </c>
      <c r="FU77" s="62">
        <f>$FU76+$FS77</f>
        <v/>
      </c>
      <c r="FV77" s="62">
        <f>SUMIFS(tblSafety[RWI],tblSafety[Date],$A77)</f>
        <v/>
      </c>
      <c r="FW77" s="62">
        <f>IF($B77=$B76,$FW76,0)+$FV77</f>
        <v/>
      </c>
      <c r="FX77" s="62">
        <f>$FX76+$FV77</f>
        <v/>
      </c>
      <c r="FY77" s="62">
        <f>SUMIFS(tblSafety[MTI],tblSafety[Date],$A77)</f>
        <v/>
      </c>
      <c r="FZ77" s="62">
        <f>IF($B77=$B76,$FZ76,0)+$FY77</f>
        <v/>
      </c>
      <c r="GA77" s="62">
        <f>$GA76+$FY77</f>
        <v/>
      </c>
      <c r="GB77" s="62">
        <f>SUMIFS(tblSafety[FAI],tblSafety[Date],$A77)</f>
        <v/>
      </c>
      <c r="GC77" s="62">
        <f>IF($B77=$B76,$GC76,0)+$GB77</f>
        <v/>
      </c>
      <c r="GD77" s="62">
        <f>$GD76+$GB77</f>
        <v/>
      </c>
      <c r="GE77" s="62">
        <f>SUMIFS(tblSafety[Recordables],tblSafety[Date],$A77)</f>
        <v/>
      </c>
      <c r="GF77" s="62">
        <f>IF($B77=$B76,$GF76,0)+$GE77</f>
        <v/>
      </c>
      <c r="GG77" s="62">
        <f>$GG76+$GE77</f>
        <v/>
      </c>
      <c r="GH77" s="62">
        <f>SUMIFS(tblSafety[Near_Miss],tblSafety[Date],$A77)</f>
        <v/>
      </c>
      <c r="GI77" s="62">
        <f>IF($B77=$B76,$GI76,0)+$GH77</f>
        <v/>
      </c>
      <c r="GJ77" s="62">
        <f>$GJ76+$GH77</f>
        <v/>
      </c>
      <c r="GK77" s="62">
        <f>SUMIFS(tblSafety[Hazard_Reports],tblSafety[Date],$A77)</f>
        <v/>
      </c>
      <c r="GL77" s="62">
        <f>IF($B77=$B76,$GL76,0)+$GK77</f>
        <v/>
      </c>
      <c r="GM77" s="62">
        <f>$GM76+$GK77</f>
        <v/>
      </c>
      <c r="GN77" s="62">
        <f>SUMIFS(tblSafety[HPI],tblSafety[Date],$A77)</f>
        <v/>
      </c>
      <c r="GO77" s="62">
        <f>IF($B77=$B76,$GO76,0)+$GN77</f>
        <v/>
      </c>
      <c r="GP77" s="62">
        <f>$GP76+$GN77</f>
        <v/>
      </c>
      <c r="GQ77" s="62">
        <f>SUMIFS(tblSafety[Env_Incidents],tblSafety[Date],$A77)</f>
        <v/>
      </c>
      <c r="GR77" s="62">
        <f>IF($B77=$B76,$GR76,0)+$GQ77</f>
        <v/>
      </c>
      <c r="GS77" s="62">
        <f>$GS76+$GQ77</f>
        <v/>
      </c>
      <c r="GT77" s="62">
        <f>SUMIFS(tblSafety[Community_Incidents],tblSafety[Date],$A77)</f>
        <v/>
      </c>
      <c r="GU77" s="62">
        <f>IF($B77=$B76,$GU76,0)+$GT77</f>
        <v/>
      </c>
      <c r="GV77" s="62">
        <f>$GV76+$GT77</f>
        <v/>
      </c>
      <c r="GW77" s="62">
        <f>SUMIFS(tblSafety[Vehicle_Incidents],tblSafety[Date],$A77)</f>
        <v/>
      </c>
      <c r="GX77" s="62">
        <f>IF($B77=$B76,$GX76,0)+$GW77</f>
        <v/>
      </c>
      <c r="GY77" s="62">
        <f>$GY76+$GW77</f>
        <v/>
      </c>
      <c r="GZ77" s="62">
        <f>SUMIFS(tblSafety[Toolbox_Talks],tblSafety[Date],$A77)</f>
        <v/>
      </c>
      <c r="HA77" s="62">
        <f>IF($B77=$B76,$HA76,0)+$GZ77</f>
        <v/>
      </c>
      <c r="HB77" s="62">
        <f>$HB76+$GZ77</f>
        <v/>
      </c>
      <c r="HC77" s="62">
        <f>SUMIFS(tblSafety[Inspections],tblSafety[Date],$A77)</f>
        <v/>
      </c>
      <c r="HD77" s="62">
        <f>IF($B77=$B76,$HD76,0)+$HC77</f>
        <v/>
      </c>
      <c r="HE77" s="62">
        <f>$HE76+$HC77</f>
        <v/>
      </c>
      <c r="HF77" s="56">
        <f>IFERROR((SUMIFS(tblSafety[Recordables],tblSafety[Date],"&gt;="&amp;EDATE($E77,-12),tblSafety[Date],"&lt;="&amp;$A77)+SUMIFS(tblSafetyHistory[Recordables],tblSafetyHistory[Month],"&gt;="&amp;EDATE($E77,-12),tblSafetyHistory[Month],"&lt;"&amp;cfg_YearStart))/(SUMIFS(tblSafety[Hours_Total],tblSafety[Date],"&gt;="&amp;EDATE($E77,-12),tblSafety[Date],"&lt;="&amp;$A77)+SUMIFS(tblSafetyHistory[Hours_Total],tblSafetyHistory[Month],"&gt;="&amp;EDATE($E77,-12),tblSafetyHistory[Month],"&lt;"&amp;cfg_YearStart))*1000000,"")</f>
        <v/>
      </c>
      <c r="HG77" s="56">
        <f>IFERROR((SUMIFS(tblSafety[LTI],tblSafety[Date],"&gt;="&amp;EDATE($E77,-12),tblSafety[Date],"&lt;="&amp;$A77)+SUMIFS(tblSafetyHistory[LTI],tblSafetyHistory[Month],"&gt;="&amp;EDATE($E77,-12),tblSafetyHistory[Month],"&lt;"&amp;cfg_YearStart))/(SUMIFS(tblSafety[Hours_Total],tblSafety[Date],"&gt;="&amp;EDATE($E77,-12),tblSafety[Date],"&lt;="&amp;$A77)+SUMIFS(tblSafetyHistory[Hours_Total],tblSafetyHistory[Month],"&gt;="&amp;EDATE($E77,-12),tblSafetyHistory[Month],"&lt;"&amp;cfg_YearStart))*1000000,"")</f>
        <v/>
      </c>
      <c r="HH77" s="62">
        <f>IF(MAX(N(cfg_PriorLTIDate),_xlfn.MAXIFS(tblSafety[Date],tblSafety[LTI],"&gt;0",tblSafety[Date],"&lt;="&amp;$A77))=0,"",$A77-MAX(N(cfg_PriorLTIDate),_xlfn.MAXIFS(tblSafety[Date],tblSafety[LTI],"&gt;0",tblSafety[Date],"&lt;="&amp;$A77)))</f>
        <v/>
      </c>
      <c r="HI77" s="55">
        <f>SUMIFS(tblBudget[Ore_Mined_t],tblBudget[Month],$E77)</f>
        <v/>
      </c>
      <c r="HJ77" s="55">
        <f>$HI77*$C77/$D77</f>
        <v/>
      </c>
      <c r="HK77" s="55">
        <f>SUMIFS(tblBudget[Ore_Mined_t],tblBudget[Month],"&lt;"&amp;$E77)+$HJ77</f>
        <v/>
      </c>
      <c r="HL77" s="55">
        <f>SUMIFS(tblBudget[Ore_oz],tblBudget[Month],$E77)</f>
        <v/>
      </c>
      <c r="HM77" s="55">
        <f>$HL77*$C77/$D77</f>
        <v/>
      </c>
      <c r="HN77" s="55">
        <f>SUMIFS(tblBudget[Ore_oz],tblBudget[Month],"&lt;"&amp;$E77)+$HM77</f>
        <v/>
      </c>
      <c r="HO77" s="56">
        <f>IFERROR(IF(($HI77)&gt;0,($HL77*cfg_TroyOz)/($HI77),""),"")</f>
        <v/>
      </c>
      <c r="HP77" s="56">
        <f>IFERROR(IF(($HJ77)&gt;0,($HM77*cfg_TroyOz)/($HJ77),""),"")</f>
        <v/>
      </c>
      <c r="HQ77" s="56">
        <f>IFERROR(IF(($HK77)&gt;0,($HN77*cfg_TroyOz)/($HK77),""),"")</f>
        <v/>
      </c>
      <c r="HR77" s="55">
        <f>SUMIFS(tblBudget[Waste_t],tblBudget[Month],$E77)</f>
        <v/>
      </c>
      <c r="HS77" s="55">
        <f>$HR77*$C77/$D77</f>
        <v/>
      </c>
      <c r="HT77" s="55">
        <f>SUMIFS(tblBudget[Waste_t],tblBudget[Month],"&lt;"&amp;$E77)+$HS77</f>
        <v/>
      </c>
      <c r="HU77" s="55">
        <f>SUMIFS(tblBudget[TMM_t],tblBudget[Month],$E77)</f>
        <v/>
      </c>
      <c r="HV77" s="55">
        <f>$HU77*$C77/$D77</f>
        <v/>
      </c>
      <c r="HW77" s="55">
        <f>SUMIFS(tblBudget[TMM_t],tblBudget[Month],"&lt;"&amp;$E77)+$HV77</f>
        <v/>
      </c>
      <c r="HX77" s="56">
        <f>IFERROR(IF(($HI77)&gt;0,($HR77)/($HI77),""),"")</f>
        <v/>
      </c>
      <c r="HY77" s="56">
        <f>IFERROR(IF(($HJ77)&gt;0,($HS77)/($HJ77),""),"")</f>
        <v/>
      </c>
      <c r="HZ77" s="56">
        <f>IFERROR(IF(($HK77)&gt;0,($HT77)/($HK77),""),"")</f>
        <v/>
      </c>
      <c r="IA77" s="55">
        <f>SUMIFS(tblBudget[Drill_m],tblBudget[Month],$E77)</f>
        <v/>
      </c>
      <c r="IB77" s="55">
        <f>$IA77*$C77/$D77</f>
        <v/>
      </c>
      <c r="IC77" s="55">
        <f>SUMIFS(tblBudget[Drill_m],tblBudget[Month],"&lt;"&amp;$E77)+$IB77</f>
        <v/>
      </c>
      <c r="ID77" s="55">
        <f>SUMIFS(tblBudget[Diesel_L],tblBudget[Month],$E77)</f>
        <v/>
      </c>
      <c r="IE77" s="55">
        <f>$ID77*$C77/$D77</f>
        <v/>
      </c>
      <c r="IF77" s="55">
        <f>SUMIFS(tblBudget[Diesel_L],tblBudget[Month],"&lt;"&amp;$E77)+$IE77</f>
        <v/>
      </c>
      <c r="IG77" s="55">
        <f>SUMIFS(tblBudget[Milled_t],tblBudget[Month],$E77)</f>
        <v/>
      </c>
      <c r="IH77" s="55">
        <f>$IG77*$C77/$D77</f>
        <v/>
      </c>
      <c r="II77" s="55">
        <f>SUMIFS(tblBudget[Milled_t],tblBudget[Month],"&lt;"&amp;$E77)+$IH77</f>
        <v/>
      </c>
      <c r="IJ77" s="55">
        <f>SUMIFS(tblBudget[Feed_oz],tblBudget[Month],$E77)</f>
        <v/>
      </c>
      <c r="IK77" s="55">
        <f>$IJ77*$C77/$D77</f>
        <v/>
      </c>
      <c r="IL77" s="55">
        <f>SUMIFS(tblBudget[Feed_oz],tblBudget[Month],"&lt;"&amp;$E77)+$IK77</f>
        <v/>
      </c>
      <c r="IM77" s="55">
        <f>SUMIFS(tblBudget[Recovered_oz],tblBudget[Month],$E77)</f>
        <v/>
      </c>
      <c r="IN77" s="55">
        <f>$IM77*$C77/$D77</f>
        <v/>
      </c>
      <c r="IO77" s="55">
        <f>SUMIFS(tblBudget[Recovered_oz],tblBudget[Month],"&lt;"&amp;$E77)+$IN77</f>
        <v/>
      </c>
      <c r="IP77" s="56">
        <f>IFERROR(IF(($IG77)&gt;0,($IJ77*cfg_TroyOz)/($IG77),""),"")</f>
        <v/>
      </c>
      <c r="IQ77" s="56">
        <f>IFERROR(IF(($IH77)&gt;0,($IK77*cfg_TroyOz)/($IH77),""),"")</f>
        <v/>
      </c>
      <c r="IR77" s="56">
        <f>IFERROR(IF(($II77)&gt;0,($IL77*cfg_TroyOz)/($II77),""),"")</f>
        <v/>
      </c>
      <c r="IS77" s="67">
        <f>IFERROR(IF(($IJ77)&gt;0,($IM77)/($IJ77),""),"")</f>
        <v/>
      </c>
      <c r="IT77" s="67">
        <f>IFERROR(IF(($IK77)&gt;0,($IN77)/($IK77),""),"")</f>
        <v/>
      </c>
      <c r="IU77" s="67">
        <f>IFERROR(IF(($IL77)&gt;0,($IO77)/($IL77),""),"")</f>
        <v/>
      </c>
      <c r="IV77" s="55">
        <f>SUMIFS(tblBudget[Gold_Poured_oz],tblBudget[Month],$E77)</f>
        <v/>
      </c>
      <c r="IW77" s="55">
        <f>$IV77*$C77/$D77</f>
        <v/>
      </c>
      <c r="IX77" s="55">
        <f>SUMIFS(tblBudget[Gold_Poured_oz],tblBudget[Month],"&lt;"&amp;$E77)+$IW77</f>
        <v/>
      </c>
      <c r="IY77" s="57">
        <f>SUMIFS(tblBudget[Hours_Worked],tblBudget[Month],$E77)</f>
        <v/>
      </c>
      <c r="IZ77" s="57">
        <f>$IY77*$C77/$D77</f>
        <v/>
      </c>
      <c r="JA77" s="57">
        <f>SUMIFS(tblBudget[Hours_Worked],tblBudget[Month],"&lt;"&amp;$E77)+$IZ77</f>
        <v/>
      </c>
    </row>
    <row r="78">
      <c r="A78" s="54" t="n">
        <v>46099</v>
      </c>
      <c r="B78">
        <f>MONTH($A78)</f>
        <v/>
      </c>
      <c r="C78">
        <f>DAY($A78)</f>
        <v/>
      </c>
      <c r="D78">
        <f>DAY(EOMONTH($A78,0))</f>
        <v/>
      </c>
      <c r="E78" s="54">
        <f>DATE(YEAR($A78),MONTH($A78),1)</f>
        <v/>
      </c>
      <c r="F78" s="55">
        <f>SUMIFS(tblMovement[Tonnes_t],tblMovement[Date],$A78,tblMovement[Is_Ore],1,tblMovement[Source_Type],"Pit")</f>
        <v/>
      </c>
      <c r="G78" s="55">
        <f>IF($B78=$B77,$G77,0)+$F78</f>
        <v/>
      </c>
      <c r="H78" s="55">
        <f>$H77+$F78</f>
        <v/>
      </c>
      <c r="I78" s="55">
        <f>SUMIFS(tblMovement[Ore_oz],tblMovement[Date],$A78,tblMovement[Source_Type],"Pit")</f>
        <v/>
      </c>
      <c r="J78" s="55">
        <f>IF($B78=$B77,$J77,0)+$I78</f>
        <v/>
      </c>
      <c r="K78" s="55">
        <f>$K77+$I78</f>
        <v/>
      </c>
      <c r="L78" s="56">
        <f>IFERROR(IF(($F78)&gt;0,($I78*cfg_TroyOz)/($F78),""),"")</f>
        <v/>
      </c>
      <c r="M78" s="56">
        <f>IFERROR(IF(($G78)&gt;0,($J78*cfg_TroyOz)/($G78),""),"")</f>
        <v/>
      </c>
      <c r="N78" s="56">
        <f>IFERROR(IF(($H78)&gt;0,($K78*cfg_TroyOz)/($H78),""),"")</f>
        <v/>
      </c>
      <c r="O78" s="55">
        <f>SUMIFS(tblMovement[Tonnes_t],tblMovement[Date],$A78,tblMovement[Is_Ore],0,tblMovement[Source_Type],"Pit")</f>
        <v/>
      </c>
      <c r="P78" s="55">
        <f>IF($B78=$B77,$P77,0)+$O78</f>
        <v/>
      </c>
      <c r="Q78" s="55">
        <f>$Q77+$O78</f>
        <v/>
      </c>
      <c r="R78" s="55">
        <f>$F78+$O78</f>
        <v/>
      </c>
      <c r="S78" s="55">
        <f>IF($B78=$B77,$S77,0)+$R78</f>
        <v/>
      </c>
      <c r="T78" s="55">
        <f>$T77+$R78</f>
        <v/>
      </c>
      <c r="U78" s="56">
        <f>IFERROR(IF(($F78)&gt;0,($O78)/($F78),""),"")</f>
        <v/>
      </c>
      <c r="V78" s="56">
        <f>IFERROR(IF(($G78)&gt;0,($P78)/($G78),""),"")</f>
        <v/>
      </c>
      <c r="W78" s="56">
        <f>IFERROR(IF(($H78)&gt;0,($Q78)/($H78),""),"")</f>
        <v/>
      </c>
      <c r="X78" s="55">
        <f>SUMIFS(tblMovement[Tonnes_t],tblMovement[Date],$A78,tblMovement[Source_Type],"Stockpile")</f>
        <v/>
      </c>
      <c r="Y78" s="55">
        <f>IF($B78=$B77,$Y77,0)+$X78</f>
        <v/>
      </c>
      <c r="Z78" s="55">
        <f>$Z77+$X78</f>
        <v/>
      </c>
      <c r="AA78" s="55">
        <f>SUMIFS(tblMiningDaily[Drill_m],tblMiningDaily[Date],$A78)</f>
        <v/>
      </c>
      <c r="AB78" s="55">
        <f>IF($B78=$B77,$AB77,0)+$AA78</f>
        <v/>
      </c>
      <c r="AC78" s="55">
        <f>$AC77+$AA78</f>
        <v/>
      </c>
      <c r="AD78" s="55">
        <f>SUMIFS(tblMiningDaily[Blast_t],tblMiningDaily[Date],$A78)</f>
        <v/>
      </c>
      <c r="AE78" s="55">
        <f>IF($B78=$B77,$AE77,0)+$AD78</f>
        <v/>
      </c>
      <c r="AF78" s="55">
        <f>$AF77+$AD78</f>
        <v/>
      </c>
      <c r="AG78" s="55">
        <f>SUMIFS(tblMiningDaily[Explosives_kg],tblMiningDaily[Date],$A78)</f>
        <v/>
      </c>
      <c r="AH78" s="55">
        <f>IF($B78=$B77,$AH77,0)+$AG78</f>
        <v/>
      </c>
      <c r="AI78" s="55">
        <f>$AI77+$AG78</f>
        <v/>
      </c>
      <c r="AJ78" s="56">
        <f>IFERROR(IF(($AD78)&gt;0,($AG78)/($AD78),""),"")</f>
        <v/>
      </c>
      <c r="AK78" s="56">
        <f>IFERROR(IF(($AE78)&gt;0,($AH78)/($AE78),""),"")</f>
        <v/>
      </c>
      <c r="AL78" s="56">
        <f>IFERROR(IF(($AF78)&gt;0,($AI78)/($AF78),""),"")</f>
        <v/>
      </c>
      <c r="AM78" s="55">
        <f>SUMIFS(tblMiningDaily[Diesel_L],tblMiningDaily[Date],$A78)</f>
        <v/>
      </c>
      <c r="AN78" s="55">
        <f>IF($B78=$B77,$AN77,0)+$AM78</f>
        <v/>
      </c>
      <c r="AO78" s="55">
        <f>$AO77+$AM78</f>
        <v/>
      </c>
      <c r="AP78" s="55">
        <f>SUMIFS(tblMiningDaily[Dewatering_m3],tblMiningDaily[Date],$A78)</f>
        <v/>
      </c>
      <c r="AQ78" s="55">
        <f>IF($B78=$B77,$AQ77,0)+$AP78</f>
        <v/>
      </c>
      <c r="AR78" s="55">
        <f>$AR77+$AP78</f>
        <v/>
      </c>
      <c r="AS78" s="57">
        <f>SUMIFS(tblFleet[Calendar_h],tblFleet[Date],$A78,tblFleet[Equipment_Class],"Excavator")</f>
        <v/>
      </c>
      <c r="AT78" s="57">
        <f>IF($B78=$B77,$AT77,0)+$AS78</f>
        <v/>
      </c>
      <c r="AU78" s="57">
        <f>$AU77+$AS78</f>
        <v/>
      </c>
      <c r="AV78" s="57">
        <f>SUMIFS(tblFleet[Available_h],tblFleet[Date],$A78,tblFleet[Equipment_Class],"Excavator")</f>
        <v/>
      </c>
      <c r="AW78" s="57">
        <f>IF($B78=$B77,$AW77,0)+$AV78</f>
        <v/>
      </c>
      <c r="AX78" s="57">
        <f>$AX77+$AV78</f>
        <v/>
      </c>
      <c r="AY78" s="57">
        <f>SUMIFS(tblFleet[Operating_h],tblFleet[Date],$A78,tblFleet[Equipment_Class],"Excavator")</f>
        <v/>
      </c>
      <c r="AZ78" s="57">
        <f>IF($B78=$B77,$AZ77,0)+$AY78</f>
        <v/>
      </c>
      <c r="BA78" s="57">
        <f>$BA77+$AY78</f>
        <v/>
      </c>
      <c r="BB78" s="67">
        <f>IFERROR(IF(($AS78)&gt;0,($AV78)/($AS78),""),"")</f>
        <v/>
      </c>
      <c r="BC78" s="67">
        <f>IFERROR(IF(($AT78)&gt;0,($AW78)/($AT78),""),"")</f>
        <v/>
      </c>
      <c r="BD78" s="67">
        <f>IFERROR(IF(($AU78)&gt;0,($AX78)/($AU78),""),"")</f>
        <v/>
      </c>
      <c r="BE78" s="67">
        <f>IFERROR(IF(($AV78)&gt;0,($AY78)/($AV78),""),"")</f>
        <v/>
      </c>
      <c r="BF78" s="67">
        <f>IFERROR(IF(($AW78)&gt;0,($AZ78)/($AW78),""),"")</f>
        <v/>
      </c>
      <c r="BG78" s="67">
        <f>IFERROR(IF(($AX78)&gt;0,($BA78)/($AX78),""),"")</f>
        <v/>
      </c>
      <c r="BH78" s="57">
        <f>SUMIFS(tblFleet[Calendar_h],tblFleet[Date],$A78,tblFleet[Equipment_Class],"Haul Truck")</f>
        <v/>
      </c>
      <c r="BI78" s="57">
        <f>IF($B78=$B77,$BI77,0)+$BH78</f>
        <v/>
      </c>
      <c r="BJ78" s="57">
        <f>$BJ77+$BH78</f>
        <v/>
      </c>
      <c r="BK78" s="57">
        <f>SUMIFS(tblFleet[Available_h],tblFleet[Date],$A78,tblFleet[Equipment_Class],"Haul Truck")</f>
        <v/>
      </c>
      <c r="BL78" s="57">
        <f>IF($B78=$B77,$BL77,0)+$BK78</f>
        <v/>
      </c>
      <c r="BM78" s="57">
        <f>$BM77+$BK78</f>
        <v/>
      </c>
      <c r="BN78" s="57">
        <f>SUMIFS(tblFleet[Operating_h],tblFleet[Date],$A78,tblFleet[Equipment_Class],"Haul Truck")</f>
        <v/>
      </c>
      <c r="BO78" s="57">
        <f>IF($B78=$B77,$BO77,0)+$BN78</f>
        <v/>
      </c>
      <c r="BP78" s="57">
        <f>$BP77+$BN78</f>
        <v/>
      </c>
      <c r="BQ78" s="67">
        <f>IFERROR(IF(($BH78)&gt;0,($BK78)/($BH78),""),"")</f>
        <v/>
      </c>
      <c r="BR78" s="67">
        <f>IFERROR(IF(($BI78)&gt;0,($BL78)/($BI78),""),"")</f>
        <v/>
      </c>
      <c r="BS78" s="67">
        <f>IFERROR(IF(($BJ78)&gt;0,($BM78)/($BJ78),""),"")</f>
        <v/>
      </c>
      <c r="BT78" s="67">
        <f>IFERROR(IF(($BK78)&gt;0,($BN78)/($BK78),""),"")</f>
        <v/>
      </c>
      <c r="BU78" s="67">
        <f>IFERROR(IF(($BL78)&gt;0,($BO78)/($BL78),""),"")</f>
        <v/>
      </c>
      <c r="BV78" s="67">
        <f>IFERROR(IF(($BM78)&gt;0,($BP78)/($BM78),""),"")</f>
        <v/>
      </c>
      <c r="BW78" s="55">
        <f>SUMIFS(tblPlant[Crushed_t],tblPlant[Date],$A78)</f>
        <v/>
      </c>
      <c r="BX78" s="55">
        <f>IF($B78=$B77,$BX77,0)+$BW78</f>
        <v/>
      </c>
      <c r="BY78" s="55">
        <f>$BY77+$BW78</f>
        <v/>
      </c>
      <c r="BZ78" s="55">
        <f>SUMIFS(tblPlant[Milled_t],tblPlant[Date],$A78)</f>
        <v/>
      </c>
      <c r="CA78" s="55">
        <f>IF($B78=$B77,$CA77,0)+$BZ78</f>
        <v/>
      </c>
      <c r="CB78" s="55">
        <f>$CB77+$BZ78</f>
        <v/>
      </c>
      <c r="CC78" s="55">
        <f>SUMIFS(tblPlant[Feed_oz],tblPlant[Date],$A78)</f>
        <v/>
      </c>
      <c r="CD78" s="55">
        <f>IF($B78=$B77,$CD77,0)+$CC78</f>
        <v/>
      </c>
      <c r="CE78" s="55">
        <f>$CE77+$CC78</f>
        <v/>
      </c>
      <c r="CF78" s="55">
        <f>SUMIFS(tblPlant[Tails_oz],tblPlant[Date],$A78)</f>
        <v/>
      </c>
      <c r="CG78" s="55">
        <f>IF($B78=$B77,$CG77,0)+$CF78</f>
        <v/>
      </c>
      <c r="CH78" s="55">
        <f>$CH77+$CF78</f>
        <v/>
      </c>
      <c r="CI78" s="55">
        <f>SUMIFS(tblPlant[Recovered_oz],tblPlant[Date],$A78)</f>
        <v/>
      </c>
      <c r="CJ78" s="55">
        <f>IF($B78=$B77,$CJ77,0)+$CI78</f>
        <v/>
      </c>
      <c r="CK78" s="55">
        <f>$CK77+$CI78</f>
        <v/>
      </c>
      <c r="CL78" s="56">
        <f>IFERROR(IF(($BZ78)&gt;0,($CC78*cfg_TroyOz)/($BZ78),""),"")</f>
        <v/>
      </c>
      <c r="CM78" s="56">
        <f>IFERROR(IF(($CA78)&gt;0,($CD78*cfg_TroyOz)/($CA78),""),"")</f>
        <v/>
      </c>
      <c r="CN78" s="56">
        <f>IFERROR(IF(($CB78)&gt;0,($CE78*cfg_TroyOz)/($CB78),""),"")</f>
        <v/>
      </c>
      <c r="CO78" s="56">
        <f>IFERROR(IF(($BZ78)&gt;0,($CF78*cfg_TroyOz)/($BZ78),""),"")</f>
        <v/>
      </c>
      <c r="CP78" s="56">
        <f>IFERROR(IF(($CA78)&gt;0,($CG78*cfg_TroyOz)/($CA78),""),"")</f>
        <v/>
      </c>
      <c r="CQ78" s="56">
        <f>IFERROR(IF(($CB78)&gt;0,($CH78*cfg_TroyOz)/($CB78),""),"")</f>
        <v/>
      </c>
      <c r="CR78" s="67">
        <f>IFERROR(IF(($CC78)&gt;0,($CI78)/($CC78),""),"")</f>
        <v/>
      </c>
      <c r="CS78" s="67">
        <f>IFERROR(IF(($CD78)&gt;0,($CJ78)/($CD78),""),"")</f>
        <v/>
      </c>
      <c r="CT78" s="67">
        <f>IFERROR(IF(($CE78)&gt;0,($CK78)/($CE78),""),"")</f>
        <v/>
      </c>
      <c r="CU78" s="55">
        <f>SUMIFS(tblPlant[Gravity_Gold_oz],tblPlant[Date],$A78)</f>
        <v/>
      </c>
      <c r="CV78" s="55">
        <f>IF($B78=$B77,$CV77,0)+$CU78</f>
        <v/>
      </c>
      <c r="CW78" s="55">
        <f>$CW77+$CU78</f>
        <v/>
      </c>
      <c r="CX78" s="55">
        <f>SUMIFS(tblPlant[Gold_Poured_oz],tblPlant[Date],$A78)</f>
        <v/>
      </c>
      <c r="CY78" s="55">
        <f>IF($B78=$B77,$CY77,0)+$CX78</f>
        <v/>
      </c>
      <c r="CZ78" s="55">
        <f>$CZ77+$CX78</f>
        <v/>
      </c>
      <c r="DA78" s="57">
        <f>SUMIFS(tblPlant[Mill_Run_h],tblPlant[Date],$A78)</f>
        <v/>
      </c>
      <c r="DB78" s="57">
        <f>IF($B78=$B77,$DB77,0)+$DA78</f>
        <v/>
      </c>
      <c r="DC78" s="57">
        <f>$DC77+$DA78</f>
        <v/>
      </c>
      <c r="DD78" s="57">
        <f>SUMIFS(tblPlant[Mill_Planned_Maint_h],tblPlant[Date],$A78)</f>
        <v/>
      </c>
      <c r="DE78" s="57">
        <f>IF($B78=$B77,$DE77,0)+$DD78</f>
        <v/>
      </c>
      <c r="DF78" s="57">
        <f>$DF77+$DD78</f>
        <v/>
      </c>
      <c r="DG78" s="57">
        <f>SUMIFS(tblPlant[Mill_Unplanned_Down_h],tblPlant[Date],$A78)</f>
        <v/>
      </c>
      <c r="DH78" s="57">
        <f>IF($B78=$B77,$DH77,0)+$DG78</f>
        <v/>
      </c>
      <c r="DI78" s="57">
        <f>$DI77+$DG78</f>
        <v/>
      </c>
      <c r="DJ78" s="57">
        <f>COUNTIFS(tblPlant[Date],$A78,tblPlant[Mill_Run_h],"&lt;&gt;")*24</f>
        <v/>
      </c>
      <c r="DK78" s="57">
        <f>IF($B78=$B77,$DK77,0)+$DJ78</f>
        <v/>
      </c>
      <c r="DL78" s="57">
        <f>$DL77+$DJ78</f>
        <v/>
      </c>
      <c r="DM78" s="57">
        <f>SUMIFS(tblPlant[Crusher_Run_h],tblPlant[Date],$A78)</f>
        <v/>
      </c>
      <c r="DN78" s="57">
        <f>IF($B78=$B77,$DN77,0)+$DM78</f>
        <v/>
      </c>
      <c r="DO78" s="57">
        <f>$DO77+$DM78</f>
        <v/>
      </c>
      <c r="DP78" s="55">
        <f>IFERROR(IF(($DA78)&gt;0,($BZ78)/($DA78),""),"")</f>
        <v/>
      </c>
      <c r="DQ78" s="55">
        <f>IFERROR(IF(($DB78)&gt;0,($CA78)/($DB78),""),"")</f>
        <v/>
      </c>
      <c r="DR78" s="55">
        <f>IFERROR(IF(($DC78)&gt;0,($CB78)/($DC78),""),"")</f>
        <v/>
      </c>
      <c r="DS78" s="67">
        <f>IFERROR(IF(($DJ78)&gt;0,($DJ78-$DD78-$DG78)/($DJ78),""),"")</f>
        <v/>
      </c>
      <c r="DT78" s="67">
        <f>IFERROR(IF(($DK78)&gt;0,($DK78-$DE78-$DH78)/($DK78),""),"")</f>
        <v/>
      </c>
      <c r="DU78" s="67">
        <f>IFERROR(IF(($DL78)&gt;0,($DL78-$DF78-$DI78)/($DL78),""),"")</f>
        <v/>
      </c>
      <c r="DV78" s="67">
        <f>IFERROR(IF(($DJ78-$DD78-$DG78)&gt;0,($DA78)/($DJ78-$DD78-$DG78),""),"")</f>
        <v/>
      </c>
      <c r="DW78" s="67">
        <f>IFERROR(IF(($DK78-$DE78-$DH78)&gt;0,($DB78)/($DK78-$DE78-$DH78),""),"")</f>
        <v/>
      </c>
      <c r="DX78" s="67">
        <f>IFERROR(IF(($DL78-$DF78-$DI78)&gt;0,($DC78)/($DL78-$DF78-$DI78),""),"")</f>
        <v/>
      </c>
      <c r="DY78" s="55">
        <f>SUMIFS(tblPlant[Cyanide_kg],tblPlant[Date],$A78)</f>
        <v/>
      </c>
      <c r="DZ78" s="55">
        <f>IF($B78=$B77,$DZ77,0)+$DY78</f>
        <v/>
      </c>
      <c r="EA78" s="55">
        <f>$EA77+$DY78</f>
        <v/>
      </c>
      <c r="EB78" s="55">
        <f>SUMIFS(tblPlant[Lime_kg],tblPlant[Date],$A78)</f>
        <v/>
      </c>
      <c r="EC78" s="55">
        <f>IF($B78=$B77,$EC77,0)+$EB78</f>
        <v/>
      </c>
      <c r="ED78" s="55">
        <f>$ED77+$EB78</f>
        <v/>
      </c>
      <c r="EE78" s="55">
        <f>SUMIFS(tblPlant[Grinding_Media_kg],tblPlant[Date],$A78)</f>
        <v/>
      </c>
      <c r="EF78" s="55">
        <f>IF($B78=$B77,$EF77,0)+$EE78</f>
        <v/>
      </c>
      <c r="EG78" s="55">
        <f>$EG77+$EE78</f>
        <v/>
      </c>
      <c r="EH78" s="55">
        <f>SUMIFS(tblPlant[Power_kWh],tblPlant[Date],$A78)</f>
        <v/>
      </c>
      <c r="EI78" s="55">
        <f>IF($B78=$B77,$EI77,0)+$EH78</f>
        <v/>
      </c>
      <c r="EJ78" s="55">
        <f>$EJ77+$EH78</f>
        <v/>
      </c>
      <c r="EK78" s="55">
        <f>SUMIFS(tblPlant[Raw_Water_m3],tblPlant[Date],$A78)</f>
        <v/>
      </c>
      <c r="EL78" s="55">
        <f>IF($B78=$B77,$EL77,0)+$EK78</f>
        <v/>
      </c>
      <c r="EM78" s="55">
        <f>$EM77+$EK78</f>
        <v/>
      </c>
      <c r="EN78" s="56">
        <f>IFERROR(IF(($BZ78)&gt;0,($DY78)/($BZ78),""),"")</f>
        <v/>
      </c>
      <c r="EO78" s="56">
        <f>IFERROR(IF(($CA78)&gt;0,($DZ78)/($CA78),""),"")</f>
        <v/>
      </c>
      <c r="EP78" s="56">
        <f>IFERROR(IF(($CB78)&gt;0,($EA78)/($CB78),""),"")</f>
        <v/>
      </c>
      <c r="EQ78" s="56">
        <f>IFERROR(IF(($BZ78)&gt;0,($EB78)/($BZ78),""),"")</f>
        <v/>
      </c>
      <c r="ER78" s="56">
        <f>IFERROR(IF(($CA78)&gt;0,($EC78)/($CA78),""),"")</f>
        <v/>
      </c>
      <c r="ES78" s="56">
        <f>IFERROR(IF(($CB78)&gt;0,($ED78)/($CB78),""),"")</f>
        <v/>
      </c>
      <c r="ET78" s="56">
        <f>IFERROR(IF(($BZ78)&gt;0,($EE78)/($BZ78),""),"")</f>
        <v/>
      </c>
      <c r="EU78" s="56">
        <f>IFERROR(IF(($CA78)&gt;0,($EF78)/($CA78),""),"")</f>
        <v/>
      </c>
      <c r="EV78" s="56">
        <f>IFERROR(IF(($CB78)&gt;0,($EG78)/($CB78),""),"")</f>
        <v/>
      </c>
      <c r="EW78" s="76">
        <f>IFERROR(IF(($BZ78)&gt;0,($EH78)/($BZ78),""),"")</f>
        <v/>
      </c>
      <c r="EX78" s="76">
        <f>IFERROR(IF(($CA78)&gt;0,($EI78)/($CA78),""),"")</f>
        <v/>
      </c>
      <c r="EY78" s="76">
        <f>IFERROR(IF(($CB78)&gt;0,($EJ78)/($CB78),""),"")</f>
        <v/>
      </c>
      <c r="EZ78" s="56">
        <f>IFERROR(IF(($BZ78)&gt;0,($EK78)/($BZ78),""),"")</f>
        <v/>
      </c>
      <c r="FA78" s="56">
        <f>IFERROR(IF(($CA78)&gt;0,($EL78)/($CA78),""),"")</f>
        <v/>
      </c>
      <c r="FB78" s="56">
        <f>IFERROR(IF(($CB78)&gt;0,($EM78)/($CB78),""),"")</f>
        <v/>
      </c>
      <c r="FC78" s="55">
        <f>IF(SUMIFS(tblPlant[GIC_oz],tblPlant[Date],$A78)&gt;0,SUMIFS(tblPlant[GIC_oz],tblPlant[Date],$A78),"")</f>
        <v/>
      </c>
      <c r="FD78" s="55">
        <f>SUMIFS(tblGold[Gold_oz],tblGold[Date],$A78,tblGold[Type],"Shipment")</f>
        <v/>
      </c>
      <c r="FE78" s="55">
        <f>IF($B78=$B77,$FE77,0)+$FD78</f>
        <v/>
      </c>
      <c r="FF78" s="55">
        <f>$FF77+$FD78</f>
        <v/>
      </c>
      <c r="FG78" s="55">
        <f>SUMIFS(tblGold[Gold_oz],tblGold[Date],$A78,tblGold[Type],"Sale")</f>
        <v/>
      </c>
      <c r="FH78" s="55">
        <f>IF($B78=$B77,$FH77,0)+$FG78</f>
        <v/>
      </c>
      <c r="FI78" s="55">
        <f>$FI77+$FG78</f>
        <v/>
      </c>
      <c r="FJ78" s="55">
        <f>SUMIFS(tblGold[Dore_kg],tblGold[Date],$A78,tblGold[Type],"Shipment")</f>
        <v/>
      </c>
      <c r="FK78" s="55">
        <f>IF($B78=$B77,$FK77,0)+$FJ78</f>
        <v/>
      </c>
      <c r="FL78" s="55">
        <f>$FL77+$FJ78</f>
        <v/>
      </c>
      <c r="FM78" s="57">
        <f>SUMIFS(tblSafety[Hours_Total],tblSafety[Date],$A78)</f>
        <v/>
      </c>
      <c r="FN78" s="57">
        <f>IF($B78=$B77,$FN77,0)+$FM78</f>
        <v/>
      </c>
      <c r="FO78" s="57">
        <f>$FO77+$FM78</f>
        <v/>
      </c>
      <c r="FP78" s="62">
        <f>SUMIFS(tblSafety[Fatality],tblSafety[Date],$A78)</f>
        <v/>
      </c>
      <c r="FQ78" s="62">
        <f>IF($B78=$B77,$FQ77,0)+$FP78</f>
        <v/>
      </c>
      <c r="FR78" s="62">
        <f>$FR77+$FP78</f>
        <v/>
      </c>
      <c r="FS78" s="62">
        <f>SUMIFS(tblSafety[LTI],tblSafety[Date],$A78)</f>
        <v/>
      </c>
      <c r="FT78" s="62">
        <f>IF($B78=$B77,$FT77,0)+$FS78</f>
        <v/>
      </c>
      <c r="FU78" s="62">
        <f>$FU77+$FS78</f>
        <v/>
      </c>
      <c r="FV78" s="62">
        <f>SUMIFS(tblSafety[RWI],tblSafety[Date],$A78)</f>
        <v/>
      </c>
      <c r="FW78" s="62">
        <f>IF($B78=$B77,$FW77,0)+$FV78</f>
        <v/>
      </c>
      <c r="FX78" s="62">
        <f>$FX77+$FV78</f>
        <v/>
      </c>
      <c r="FY78" s="62">
        <f>SUMIFS(tblSafety[MTI],tblSafety[Date],$A78)</f>
        <v/>
      </c>
      <c r="FZ78" s="62">
        <f>IF($B78=$B77,$FZ77,0)+$FY78</f>
        <v/>
      </c>
      <c r="GA78" s="62">
        <f>$GA77+$FY78</f>
        <v/>
      </c>
      <c r="GB78" s="62">
        <f>SUMIFS(tblSafety[FAI],tblSafety[Date],$A78)</f>
        <v/>
      </c>
      <c r="GC78" s="62">
        <f>IF($B78=$B77,$GC77,0)+$GB78</f>
        <v/>
      </c>
      <c r="GD78" s="62">
        <f>$GD77+$GB78</f>
        <v/>
      </c>
      <c r="GE78" s="62">
        <f>SUMIFS(tblSafety[Recordables],tblSafety[Date],$A78)</f>
        <v/>
      </c>
      <c r="GF78" s="62">
        <f>IF($B78=$B77,$GF77,0)+$GE78</f>
        <v/>
      </c>
      <c r="GG78" s="62">
        <f>$GG77+$GE78</f>
        <v/>
      </c>
      <c r="GH78" s="62">
        <f>SUMIFS(tblSafety[Near_Miss],tblSafety[Date],$A78)</f>
        <v/>
      </c>
      <c r="GI78" s="62">
        <f>IF($B78=$B77,$GI77,0)+$GH78</f>
        <v/>
      </c>
      <c r="GJ78" s="62">
        <f>$GJ77+$GH78</f>
        <v/>
      </c>
      <c r="GK78" s="62">
        <f>SUMIFS(tblSafety[Hazard_Reports],tblSafety[Date],$A78)</f>
        <v/>
      </c>
      <c r="GL78" s="62">
        <f>IF($B78=$B77,$GL77,0)+$GK78</f>
        <v/>
      </c>
      <c r="GM78" s="62">
        <f>$GM77+$GK78</f>
        <v/>
      </c>
      <c r="GN78" s="62">
        <f>SUMIFS(tblSafety[HPI],tblSafety[Date],$A78)</f>
        <v/>
      </c>
      <c r="GO78" s="62">
        <f>IF($B78=$B77,$GO77,0)+$GN78</f>
        <v/>
      </c>
      <c r="GP78" s="62">
        <f>$GP77+$GN78</f>
        <v/>
      </c>
      <c r="GQ78" s="62">
        <f>SUMIFS(tblSafety[Env_Incidents],tblSafety[Date],$A78)</f>
        <v/>
      </c>
      <c r="GR78" s="62">
        <f>IF($B78=$B77,$GR77,0)+$GQ78</f>
        <v/>
      </c>
      <c r="GS78" s="62">
        <f>$GS77+$GQ78</f>
        <v/>
      </c>
      <c r="GT78" s="62">
        <f>SUMIFS(tblSafety[Community_Incidents],tblSafety[Date],$A78)</f>
        <v/>
      </c>
      <c r="GU78" s="62">
        <f>IF($B78=$B77,$GU77,0)+$GT78</f>
        <v/>
      </c>
      <c r="GV78" s="62">
        <f>$GV77+$GT78</f>
        <v/>
      </c>
      <c r="GW78" s="62">
        <f>SUMIFS(tblSafety[Vehicle_Incidents],tblSafety[Date],$A78)</f>
        <v/>
      </c>
      <c r="GX78" s="62">
        <f>IF($B78=$B77,$GX77,0)+$GW78</f>
        <v/>
      </c>
      <c r="GY78" s="62">
        <f>$GY77+$GW78</f>
        <v/>
      </c>
      <c r="GZ78" s="62">
        <f>SUMIFS(tblSafety[Toolbox_Talks],tblSafety[Date],$A78)</f>
        <v/>
      </c>
      <c r="HA78" s="62">
        <f>IF($B78=$B77,$HA77,0)+$GZ78</f>
        <v/>
      </c>
      <c r="HB78" s="62">
        <f>$HB77+$GZ78</f>
        <v/>
      </c>
      <c r="HC78" s="62">
        <f>SUMIFS(tblSafety[Inspections],tblSafety[Date],$A78)</f>
        <v/>
      </c>
      <c r="HD78" s="62">
        <f>IF($B78=$B77,$HD77,0)+$HC78</f>
        <v/>
      </c>
      <c r="HE78" s="62">
        <f>$HE77+$HC78</f>
        <v/>
      </c>
      <c r="HF78" s="56">
        <f>IFERROR((SUMIFS(tblSafety[Recordables],tblSafety[Date],"&gt;="&amp;EDATE($E78,-12),tblSafety[Date],"&lt;="&amp;$A78)+SUMIFS(tblSafetyHistory[Recordables],tblSafetyHistory[Month],"&gt;="&amp;EDATE($E78,-12),tblSafetyHistory[Month],"&lt;"&amp;cfg_YearStart))/(SUMIFS(tblSafety[Hours_Total],tblSafety[Date],"&gt;="&amp;EDATE($E78,-12),tblSafety[Date],"&lt;="&amp;$A78)+SUMIFS(tblSafetyHistory[Hours_Total],tblSafetyHistory[Month],"&gt;="&amp;EDATE($E78,-12),tblSafetyHistory[Month],"&lt;"&amp;cfg_YearStart))*1000000,"")</f>
        <v/>
      </c>
      <c r="HG78" s="56">
        <f>IFERROR((SUMIFS(tblSafety[LTI],tblSafety[Date],"&gt;="&amp;EDATE($E78,-12),tblSafety[Date],"&lt;="&amp;$A78)+SUMIFS(tblSafetyHistory[LTI],tblSafetyHistory[Month],"&gt;="&amp;EDATE($E78,-12),tblSafetyHistory[Month],"&lt;"&amp;cfg_YearStart))/(SUMIFS(tblSafety[Hours_Total],tblSafety[Date],"&gt;="&amp;EDATE($E78,-12),tblSafety[Date],"&lt;="&amp;$A78)+SUMIFS(tblSafetyHistory[Hours_Total],tblSafetyHistory[Month],"&gt;="&amp;EDATE($E78,-12),tblSafetyHistory[Month],"&lt;"&amp;cfg_YearStart))*1000000,"")</f>
        <v/>
      </c>
      <c r="HH78" s="62">
        <f>IF(MAX(N(cfg_PriorLTIDate),_xlfn.MAXIFS(tblSafety[Date],tblSafety[LTI],"&gt;0",tblSafety[Date],"&lt;="&amp;$A78))=0,"",$A78-MAX(N(cfg_PriorLTIDate),_xlfn.MAXIFS(tblSafety[Date],tblSafety[LTI],"&gt;0",tblSafety[Date],"&lt;="&amp;$A78)))</f>
        <v/>
      </c>
      <c r="HI78" s="55">
        <f>SUMIFS(tblBudget[Ore_Mined_t],tblBudget[Month],$E78)</f>
        <v/>
      </c>
      <c r="HJ78" s="55">
        <f>$HI78*$C78/$D78</f>
        <v/>
      </c>
      <c r="HK78" s="55">
        <f>SUMIFS(tblBudget[Ore_Mined_t],tblBudget[Month],"&lt;"&amp;$E78)+$HJ78</f>
        <v/>
      </c>
      <c r="HL78" s="55">
        <f>SUMIFS(tblBudget[Ore_oz],tblBudget[Month],$E78)</f>
        <v/>
      </c>
      <c r="HM78" s="55">
        <f>$HL78*$C78/$D78</f>
        <v/>
      </c>
      <c r="HN78" s="55">
        <f>SUMIFS(tblBudget[Ore_oz],tblBudget[Month],"&lt;"&amp;$E78)+$HM78</f>
        <v/>
      </c>
      <c r="HO78" s="56">
        <f>IFERROR(IF(($HI78)&gt;0,($HL78*cfg_TroyOz)/($HI78),""),"")</f>
        <v/>
      </c>
      <c r="HP78" s="56">
        <f>IFERROR(IF(($HJ78)&gt;0,($HM78*cfg_TroyOz)/($HJ78),""),"")</f>
        <v/>
      </c>
      <c r="HQ78" s="56">
        <f>IFERROR(IF(($HK78)&gt;0,($HN78*cfg_TroyOz)/($HK78),""),"")</f>
        <v/>
      </c>
      <c r="HR78" s="55">
        <f>SUMIFS(tblBudget[Waste_t],tblBudget[Month],$E78)</f>
        <v/>
      </c>
      <c r="HS78" s="55">
        <f>$HR78*$C78/$D78</f>
        <v/>
      </c>
      <c r="HT78" s="55">
        <f>SUMIFS(tblBudget[Waste_t],tblBudget[Month],"&lt;"&amp;$E78)+$HS78</f>
        <v/>
      </c>
      <c r="HU78" s="55">
        <f>SUMIFS(tblBudget[TMM_t],tblBudget[Month],$E78)</f>
        <v/>
      </c>
      <c r="HV78" s="55">
        <f>$HU78*$C78/$D78</f>
        <v/>
      </c>
      <c r="HW78" s="55">
        <f>SUMIFS(tblBudget[TMM_t],tblBudget[Month],"&lt;"&amp;$E78)+$HV78</f>
        <v/>
      </c>
      <c r="HX78" s="56">
        <f>IFERROR(IF(($HI78)&gt;0,($HR78)/($HI78),""),"")</f>
        <v/>
      </c>
      <c r="HY78" s="56">
        <f>IFERROR(IF(($HJ78)&gt;0,($HS78)/($HJ78),""),"")</f>
        <v/>
      </c>
      <c r="HZ78" s="56">
        <f>IFERROR(IF(($HK78)&gt;0,($HT78)/($HK78),""),"")</f>
        <v/>
      </c>
      <c r="IA78" s="55">
        <f>SUMIFS(tblBudget[Drill_m],tblBudget[Month],$E78)</f>
        <v/>
      </c>
      <c r="IB78" s="55">
        <f>$IA78*$C78/$D78</f>
        <v/>
      </c>
      <c r="IC78" s="55">
        <f>SUMIFS(tblBudget[Drill_m],tblBudget[Month],"&lt;"&amp;$E78)+$IB78</f>
        <v/>
      </c>
      <c r="ID78" s="55">
        <f>SUMIFS(tblBudget[Diesel_L],tblBudget[Month],$E78)</f>
        <v/>
      </c>
      <c r="IE78" s="55">
        <f>$ID78*$C78/$D78</f>
        <v/>
      </c>
      <c r="IF78" s="55">
        <f>SUMIFS(tblBudget[Diesel_L],tblBudget[Month],"&lt;"&amp;$E78)+$IE78</f>
        <v/>
      </c>
      <c r="IG78" s="55">
        <f>SUMIFS(tblBudget[Milled_t],tblBudget[Month],$E78)</f>
        <v/>
      </c>
      <c r="IH78" s="55">
        <f>$IG78*$C78/$D78</f>
        <v/>
      </c>
      <c r="II78" s="55">
        <f>SUMIFS(tblBudget[Milled_t],tblBudget[Month],"&lt;"&amp;$E78)+$IH78</f>
        <v/>
      </c>
      <c r="IJ78" s="55">
        <f>SUMIFS(tblBudget[Feed_oz],tblBudget[Month],$E78)</f>
        <v/>
      </c>
      <c r="IK78" s="55">
        <f>$IJ78*$C78/$D78</f>
        <v/>
      </c>
      <c r="IL78" s="55">
        <f>SUMIFS(tblBudget[Feed_oz],tblBudget[Month],"&lt;"&amp;$E78)+$IK78</f>
        <v/>
      </c>
      <c r="IM78" s="55">
        <f>SUMIFS(tblBudget[Recovered_oz],tblBudget[Month],$E78)</f>
        <v/>
      </c>
      <c r="IN78" s="55">
        <f>$IM78*$C78/$D78</f>
        <v/>
      </c>
      <c r="IO78" s="55">
        <f>SUMIFS(tblBudget[Recovered_oz],tblBudget[Month],"&lt;"&amp;$E78)+$IN78</f>
        <v/>
      </c>
      <c r="IP78" s="56">
        <f>IFERROR(IF(($IG78)&gt;0,($IJ78*cfg_TroyOz)/($IG78),""),"")</f>
        <v/>
      </c>
      <c r="IQ78" s="56">
        <f>IFERROR(IF(($IH78)&gt;0,($IK78*cfg_TroyOz)/($IH78),""),"")</f>
        <v/>
      </c>
      <c r="IR78" s="56">
        <f>IFERROR(IF(($II78)&gt;0,($IL78*cfg_TroyOz)/($II78),""),"")</f>
        <v/>
      </c>
      <c r="IS78" s="67">
        <f>IFERROR(IF(($IJ78)&gt;0,($IM78)/($IJ78),""),"")</f>
        <v/>
      </c>
      <c r="IT78" s="67">
        <f>IFERROR(IF(($IK78)&gt;0,($IN78)/($IK78),""),"")</f>
        <v/>
      </c>
      <c r="IU78" s="67">
        <f>IFERROR(IF(($IL78)&gt;0,($IO78)/($IL78),""),"")</f>
        <v/>
      </c>
      <c r="IV78" s="55">
        <f>SUMIFS(tblBudget[Gold_Poured_oz],tblBudget[Month],$E78)</f>
        <v/>
      </c>
      <c r="IW78" s="55">
        <f>$IV78*$C78/$D78</f>
        <v/>
      </c>
      <c r="IX78" s="55">
        <f>SUMIFS(tblBudget[Gold_Poured_oz],tblBudget[Month],"&lt;"&amp;$E78)+$IW78</f>
        <v/>
      </c>
      <c r="IY78" s="57">
        <f>SUMIFS(tblBudget[Hours_Worked],tblBudget[Month],$E78)</f>
        <v/>
      </c>
      <c r="IZ78" s="57">
        <f>$IY78*$C78/$D78</f>
        <v/>
      </c>
      <c r="JA78" s="57">
        <f>SUMIFS(tblBudget[Hours_Worked],tblBudget[Month],"&lt;"&amp;$E78)+$IZ78</f>
        <v/>
      </c>
    </row>
    <row r="79">
      <c r="A79" s="54" t="n">
        <v>46100</v>
      </c>
      <c r="B79">
        <f>MONTH($A79)</f>
        <v/>
      </c>
      <c r="C79">
        <f>DAY($A79)</f>
        <v/>
      </c>
      <c r="D79">
        <f>DAY(EOMONTH($A79,0))</f>
        <v/>
      </c>
      <c r="E79" s="54">
        <f>DATE(YEAR($A79),MONTH($A79),1)</f>
        <v/>
      </c>
      <c r="F79" s="55">
        <f>SUMIFS(tblMovement[Tonnes_t],tblMovement[Date],$A79,tblMovement[Is_Ore],1,tblMovement[Source_Type],"Pit")</f>
        <v/>
      </c>
      <c r="G79" s="55">
        <f>IF($B79=$B78,$G78,0)+$F79</f>
        <v/>
      </c>
      <c r="H79" s="55">
        <f>$H78+$F79</f>
        <v/>
      </c>
      <c r="I79" s="55">
        <f>SUMIFS(tblMovement[Ore_oz],tblMovement[Date],$A79,tblMovement[Source_Type],"Pit")</f>
        <v/>
      </c>
      <c r="J79" s="55">
        <f>IF($B79=$B78,$J78,0)+$I79</f>
        <v/>
      </c>
      <c r="K79" s="55">
        <f>$K78+$I79</f>
        <v/>
      </c>
      <c r="L79" s="56">
        <f>IFERROR(IF(($F79)&gt;0,($I79*cfg_TroyOz)/($F79),""),"")</f>
        <v/>
      </c>
      <c r="M79" s="56">
        <f>IFERROR(IF(($G79)&gt;0,($J79*cfg_TroyOz)/($G79),""),"")</f>
        <v/>
      </c>
      <c r="N79" s="56">
        <f>IFERROR(IF(($H79)&gt;0,($K79*cfg_TroyOz)/($H79),""),"")</f>
        <v/>
      </c>
      <c r="O79" s="55">
        <f>SUMIFS(tblMovement[Tonnes_t],tblMovement[Date],$A79,tblMovement[Is_Ore],0,tblMovement[Source_Type],"Pit")</f>
        <v/>
      </c>
      <c r="P79" s="55">
        <f>IF($B79=$B78,$P78,0)+$O79</f>
        <v/>
      </c>
      <c r="Q79" s="55">
        <f>$Q78+$O79</f>
        <v/>
      </c>
      <c r="R79" s="55">
        <f>$F79+$O79</f>
        <v/>
      </c>
      <c r="S79" s="55">
        <f>IF($B79=$B78,$S78,0)+$R79</f>
        <v/>
      </c>
      <c r="T79" s="55">
        <f>$T78+$R79</f>
        <v/>
      </c>
      <c r="U79" s="56">
        <f>IFERROR(IF(($F79)&gt;0,($O79)/($F79),""),"")</f>
        <v/>
      </c>
      <c r="V79" s="56">
        <f>IFERROR(IF(($G79)&gt;0,($P79)/($G79),""),"")</f>
        <v/>
      </c>
      <c r="W79" s="56">
        <f>IFERROR(IF(($H79)&gt;0,($Q79)/($H79),""),"")</f>
        <v/>
      </c>
      <c r="X79" s="55">
        <f>SUMIFS(tblMovement[Tonnes_t],tblMovement[Date],$A79,tblMovement[Source_Type],"Stockpile")</f>
        <v/>
      </c>
      <c r="Y79" s="55">
        <f>IF($B79=$B78,$Y78,0)+$X79</f>
        <v/>
      </c>
      <c r="Z79" s="55">
        <f>$Z78+$X79</f>
        <v/>
      </c>
      <c r="AA79" s="55">
        <f>SUMIFS(tblMiningDaily[Drill_m],tblMiningDaily[Date],$A79)</f>
        <v/>
      </c>
      <c r="AB79" s="55">
        <f>IF($B79=$B78,$AB78,0)+$AA79</f>
        <v/>
      </c>
      <c r="AC79" s="55">
        <f>$AC78+$AA79</f>
        <v/>
      </c>
      <c r="AD79" s="55">
        <f>SUMIFS(tblMiningDaily[Blast_t],tblMiningDaily[Date],$A79)</f>
        <v/>
      </c>
      <c r="AE79" s="55">
        <f>IF($B79=$B78,$AE78,0)+$AD79</f>
        <v/>
      </c>
      <c r="AF79" s="55">
        <f>$AF78+$AD79</f>
        <v/>
      </c>
      <c r="AG79" s="55">
        <f>SUMIFS(tblMiningDaily[Explosives_kg],tblMiningDaily[Date],$A79)</f>
        <v/>
      </c>
      <c r="AH79" s="55">
        <f>IF($B79=$B78,$AH78,0)+$AG79</f>
        <v/>
      </c>
      <c r="AI79" s="55">
        <f>$AI78+$AG79</f>
        <v/>
      </c>
      <c r="AJ79" s="56">
        <f>IFERROR(IF(($AD79)&gt;0,($AG79)/($AD79),""),"")</f>
        <v/>
      </c>
      <c r="AK79" s="56">
        <f>IFERROR(IF(($AE79)&gt;0,($AH79)/($AE79),""),"")</f>
        <v/>
      </c>
      <c r="AL79" s="56">
        <f>IFERROR(IF(($AF79)&gt;0,($AI79)/($AF79),""),"")</f>
        <v/>
      </c>
      <c r="AM79" s="55">
        <f>SUMIFS(tblMiningDaily[Diesel_L],tblMiningDaily[Date],$A79)</f>
        <v/>
      </c>
      <c r="AN79" s="55">
        <f>IF($B79=$B78,$AN78,0)+$AM79</f>
        <v/>
      </c>
      <c r="AO79" s="55">
        <f>$AO78+$AM79</f>
        <v/>
      </c>
      <c r="AP79" s="55">
        <f>SUMIFS(tblMiningDaily[Dewatering_m3],tblMiningDaily[Date],$A79)</f>
        <v/>
      </c>
      <c r="AQ79" s="55">
        <f>IF($B79=$B78,$AQ78,0)+$AP79</f>
        <v/>
      </c>
      <c r="AR79" s="55">
        <f>$AR78+$AP79</f>
        <v/>
      </c>
      <c r="AS79" s="57">
        <f>SUMIFS(tblFleet[Calendar_h],tblFleet[Date],$A79,tblFleet[Equipment_Class],"Excavator")</f>
        <v/>
      </c>
      <c r="AT79" s="57">
        <f>IF($B79=$B78,$AT78,0)+$AS79</f>
        <v/>
      </c>
      <c r="AU79" s="57">
        <f>$AU78+$AS79</f>
        <v/>
      </c>
      <c r="AV79" s="57">
        <f>SUMIFS(tblFleet[Available_h],tblFleet[Date],$A79,tblFleet[Equipment_Class],"Excavator")</f>
        <v/>
      </c>
      <c r="AW79" s="57">
        <f>IF($B79=$B78,$AW78,0)+$AV79</f>
        <v/>
      </c>
      <c r="AX79" s="57">
        <f>$AX78+$AV79</f>
        <v/>
      </c>
      <c r="AY79" s="57">
        <f>SUMIFS(tblFleet[Operating_h],tblFleet[Date],$A79,tblFleet[Equipment_Class],"Excavator")</f>
        <v/>
      </c>
      <c r="AZ79" s="57">
        <f>IF($B79=$B78,$AZ78,0)+$AY79</f>
        <v/>
      </c>
      <c r="BA79" s="57">
        <f>$BA78+$AY79</f>
        <v/>
      </c>
      <c r="BB79" s="67">
        <f>IFERROR(IF(($AS79)&gt;0,($AV79)/($AS79),""),"")</f>
        <v/>
      </c>
      <c r="BC79" s="67">
        <f>IFERROR(IF(($AT79)&gt;0,($AW79)/($AT79),""),"")</f>
        <v/>
      </c>
      <c r="BD79" s="67">
        <f>IFERROR(IF(($AU79)&gt;0,($AX79)/($AU79),""),"")</f>
        <v/>
      </c>
      <c r="BE79" s="67">
        <f>IFERROR(IF(($AV79)&gt;0,($AY79)/($AV79),""),"")</f>
        <v/>
      </c>
      <c r="BF79" s="67">
        <f>IFERROR(IF(($AW79)&gt;0,($AZ79)/($AW79),""),"")</f>
        <v/>
      </c>
      <c r="BG79" s="67">
        <f>IFERROR(IF(($AX79)&gt;0,($BA79)/($AX79),""),"")</f>
        <v/>
      </c>
      <c r="BH79" s="57">
        <f>SUMIFS(tblFleet[Calendar_h],tblFleet[Date],$A79,tblFleet[Equipment_Class],"Haul Truck")</f>
        <v/>
      </c>
      <c r="BI79" s="57">
        <f>IF($B79=$B78,$BI78,0)+$BH79</f>
        <v/>
      </c>
      <c r="BJ79" s="57">
        <f>$BJ78+$BH79</f>
        <v/>
      </c>
      <c r="BK79" s="57">
        <f>SUMIFS(tblFleet[Available_h],tblFleet[Date],$A79,tblFleet[Equipment_Class],"Haul Truck")</f>
        <v/>
      </c>
      <c r="BL79" s="57">
        <f>IF($B79=$B78,$BL78,0)+$BK79</f>
        <v/>
      </c>
      <c r="BM79" s="57">
        <f>$BM78+$BK79</f>
        <v/>
      </c>
      <c r="BN79" s="57">
        <f>SUMIFS(tblFleet[Operating_h],tblFleet[Date],$A79,tblFleet[Equipment_Class],"Haul Truck")</f>
        <v/>
      </c>
      <c r="BO79" s="57">
        <f>IF($B79=$B78,$BO78,0)+$BN79</f>
        <v/>
      </c>
      <c r="BP79" s="57">
        <f>$BP78+$BN79</f>
        <v/>
      </c>
      <c r="BQ79" s="67">
        <f>IFERROR(IF(($BH79)&gt;0,($BK79)/($BH79),""),"")</f>
        <v/>
      </c>
      <c r="BR79" s="67">
        <f>IFERROR(IF(($BI79)&gt;0,($BL79)/($BI79),""),"")</f>
        <v/>
      </c>
      <c r="BS79" s="67">
        <f>IFERROR(IF(($BJ79)&gt;0,($BM79)/($BJ79),""),"")</f>
        <v/>
      </c>
      <c r="BT79" s="67">
        <f>IFERROR(IF(($BK79)&gt;0,($BN79)/($BK79),""),"")</f>
        <v/>
      </c>
      <c r="BU79" s="67">
        <f>IFERROR(IF(($BL79)&gt;0,($BO79)/($BL79),""),"")</f>
        <v/>
      </c>
      <c r="BV79" s="67">
        <f>IFERROR(IF(($BM79)&gt;0,($BP79)/($BM79),""),"")</f>
        <v/>
      </c>
      <c r="BW79" s="55">
        <f>SUMIFS(tblPlant[Crushed_t],tblPlant[Date],$A79)</f>
        <v/>
      </c>
      <c r="BX79" s="55">
        <f>IF($B79=$B78,$BX78,0)+$BW79</f>
        <v/>
      </c>
      <c r="BY79" s="55">
        <f>$BY78+$BW79</f>
        <v/>
      </c>
      <c r="BZ79" s="55">
        <f>SUMIFS(tblPlant[Milled_t],tblPlant[Date],$A79)</f>
        <v/>
      </c>
      <c r="CA79" s="55">
        <f>IF($B79=$B78,$CA78,0)+$BZ79</f>
        <v/>
      </c>
      <c r="CB79" s="55">
        <f>$CB78+$BZ79</f>
        <v/>
      </c>
      <c r="CC79" s="55">
        <f>SUMIFS(tblPlant[Feed_oz],tblPlant[Date],$A79)</f>
        <v/>
      </c>
      <c r="CD79" s="55">
        <f>IF($B79=$B78,$CD78,0)+$CC79</f>
        <v/>
      </c>
      <c r="CE79" s="55">
        <f>$CE78+$CC79</f>
        <v/>
      </c>
      <c r="CF79" s="55">
        <f>SUMIFS(tblPlant[Tails_oz],tblPlant[Date],$A79)</f>
        <v/>
      </c>
      <c r="CG79" s="55">
        <f>IF($B79=$B78,$CG78,0)+$CF79</f>
        <v/>
      </c>
      <c r="CH79" s="55">
        <f>$CH78+$CF79</f>
        <v/>
      </c>
      <c r="CI79" s="55">
        <f>SUMIFS(tblPlant[Recovered_oz],tblPlant[Date],$A79)</f>
        <v/>
      </c>
      <c r="CJ79" s="55">
        <f>IF($B79=$B78,$CJ78,0)+$CI79</f>
        <v/>
      </c>
      <c r="CK79" s="55">
        <f>$CK78+$CI79</f>
        <v/>
      </c>
      <c r="CL79" s="56">
        <f>IFERROR(IF(($BZ79)&gt;0,($CC79*cfg_TroyOz)/($BZ79),""),"")</f>
        <v/>
      </c>
      <c r="CM79" s="56">
        <f>IFERROR(IF(($CA79)&gt;0,($CD79*cfg_TroyOz)/($CA79),""),"")</f>
        <v/>
      </c>
      <c r="CN79" s="56">
        <f>IFERROR(IF(($CB79)&gt;0,($CE79*cfg_TroyOz)/($CB79),""),"")</f>
        <v/>
      </c>
      <c r="CO79" s="56">
        <f>IFERROR(IF(($BZ79)&gt;0,($CF79*cfg_TroyOz)/($BZ79),""),"")</f>
        <v/>
      </c>
      <c r="CP79" s="56">
        <f>IFERROR(IF(($CA79)&gt;0,($CG79*cfg_TroyOz)/($CA79),""),"")</f>
        <v/>
      </c>
      <c r="CQ79" s="56">
        <f>IFERROR(IF(($CB79)&gt;0,($CH79*cfg_TroyOz)/($CB79),""),"")</f>
        <v/>
      </c>
      <c r="CR79" s="67">
        <f>IFERROR(IF(($CC79)&gt;0,($CI79)/($CC79),""),"")</f>
        <v/>
      </c>
      <c r="CS79" s="67">
        <f>IFERROR(IF(($CD79)&gt;0,($CJ79)/($CD79),""),"")</f>
        <v/>
      </c>
      <c r="CT79" s="67">
        <f>IFERROR(IF(($CE79)&gt;0,($CK79)/($CE79),""),"")</f>
        <v/>
      </c>
      <c r="CU79" s="55">
        <f>SUMIFS(tblPlant[Gravity_Gold_oz],tblPlant[Date],$A79)</f>
        <v/>
      </c>
      <c r="CV79" s="55">
        <f>IF($B79=$B78,$CV78,0)+$CU79</f>
        <v/>
      </c>
      <c r="CW79" s="55">
        <f>$CW78+$CU79</f>
        <v/>
      </c>
      <c r="CX79" s="55">
        <f>SUMIFS(tblPlant[Gold_Poured_oz],tblPlant[Date],$A79)</f>
        <v/>
      </c>
      <c r="CY79" s="55">
        <f>IF($B79=$B78,$CY78,0)+$CX79</f>
        <v/>
      </c>
      <c r="CZ79" s="55">
        <f>$CZ78+$CX79</f>
        <v/>
      </c>
      <c r="DA79" s="57">
        <f>SUMIFS(tblPlant[Mill_Run_h],tblPlant[Date],$A79)</f>
        <v/>
      </c>
      <c r="DB79" s="57">
        <f>IF($B79=$B78,$DB78,0)+$DA79</f>
        <v/>
      </c>
      <c r="DC79" s="57">
        <f>$DC78+$DA79</f>
        <v/>
      </c>
      <c r="DD79" s="57">
        <f>SUMIFS(tblPlant[Mill_Planned_Maint_h],tblPlant[Date],$A79)</f>
        <v/>
      </c>
      <c r="DE79" s="57">
        <f>IF($B79=$B78,$DE78,0)+$DD79</f>
        <v/>
      </c>
      <c r="DF79" s="57">
        <f>$DF78+$DD79</f>
        <v/>
      </c>
      <c r="DG79" s="57">
        <f>SUMIFS(tblPlant[Mill_Unplanned_Down_h],tblPlant[Date],$A79)</f>
        <v/>
      </c>
      <c r="DH79" s="57">
        <f>IF($B79=$B78,$DH78,0)+$DG79</f>
        <v/>
      </c>
      <c r="DI79" s="57">
        <f>$DI78+$DG79</f>
        <v/>
      </c>
      <c r="DJ79" s="57">
        <f>COUNTIFS(tblPlant[Date],$A79,tblPlant[Mill_Run_h],"&lt;&gt;")*24</f>
        <v/>
      </c>
      <c r="DK79" s="57">
        <f>IF($B79=$B78,$DK78,0)+$DJ79</f>
        <v/>
      </c>
      <c r="DL79" s="57">
        <f>$DL78+$DJ79</f>
        <v/>
      </c>
      <c r="DM79" s="57">
        <f>SUMIFS(tblPlant[Crusher_Run_h],tblPlant[Date],$A79)</f>
        <v/>
      </c>
      <c r="DN79" s="57">
        <f>IF($B79=$B78,$DN78,0)+$DM79</f>
        <v/>
      </c>
      <c r="DO79" s="57">
        <f>$DO78+$DM79</f>
        <v/>
      </c>
      <c r="DP79" s="55">
        <f>IFERROR(IF(($DA79)&gt;0,($BZ79)/($DA79),""),"")</f>
        <v/>
      </c>
      <c r="DQ79" s="55">
        <f>IFERROR(IF(($DB79)&gt;0,($CA79)/($DB79),""),"")</f>
        <v/>
      </c>
      <c r="DR79" s="55">
        <f>IFERROR(IF(($DC79)&gt;0,($CB79)/($DC79),""),"")</f>
        <v/>
      </c>
      <c r="DS79" s="67">
        <f>IFERROR(IF(($DJ79)&gt;0,($DJ79-$DD79-$DG79)/($DJ79),""),"")</f>
        <v/>
      </c>
      <c r="DT79" s="67">
        <f>IFERROR(IF(($DK79)&gt;0,($DK79-$DE79-$DH79)/($DK79),""),"")</f>
        <v/>
      </c>
      <c r="DU79" s="67">
        <f>IFERROR(IF(($DL79)&gt;0,($DL79-$DF79-$DI79)/($DL79),""),"")</f>
        <v/>
      </c>
      <c r="DV79" s="67">
        <f>IFERROR(IF(($DJ79-$DD79-$DG79)&gt;0,($DA79)/($DJ79-$DD79-$DG79),""),"")</f>
        <v/>
      </c>
      <c r="DW79" s="67">
        <f>IFERROR(IF(($DK79-$DE79-$DH79)&gt;0,($DB79)/($DK79-$DE79-$DH79),""),"")</f>
        <v/>
      </c>
      <c r="DX79" s="67">
        <f>IFERROR(IF(($DL79-$DF79-$DI79)&gt;0,($DC79)/($DL79-$DF79-$DI79),""),"")</f>
        <v/>
      </c>
      <c r="DY79" s="55">
        <f>SUMIFS(tblPlant[Cyanide_kg],tblPlant[Date],$A79)</f>
        <v/>
      </c>
      <c r="DZ79" s="55">
        <f>IF($B79=$B78,$DZ78,0)+$DY79</f>
        <v/>
      </c>
      <c r="EA79" s="55">
        <f>$EA78+$DY79</f>
        <v/>
      </c>
      <c r="EB79" s="55">
        <f>SUMIFS(tblPlant[Lime_kg],tblPlant[Date],$A79)</f>
        <v/>
      </c>
      <c r="EC79" s="55">
        <f>IF($B79=$B78,$EC78,0)+$EB79</f>
        <v/>
      </c>
      <c r="ED79" s="55">
        <f>$ED78+$EB79</f>
        <v/>
      </c>
      <c r="EE79" s="55">
        <f>SUMIFS(tblPlant[Grinding_Media_kg],tblPlant[Date],$A79)</f>
        <v/>
      </c>
      <c r="EF79" s="55">
        <f>IF($B79=$B78,$EF78,0)+$EE79</f>
        <v/>
      </c>
      <c r="EG79" s="55">
        <f>$EG78+$EE79</f>
        <v/>
      </c>
      <c r="EH79" s="55">
        <f>SUMIFS(tblPlant[Power_kWh],tblPlant[Date],$A79)</f>
        <v/>
      </c>
      <c r="EI79" s="55">
        <f>IF($B79=$B78,$EI78,0)+$EH79</f>
        <v/>
      </c>
      <c r="EJ79" s="55">
        <f>$EJ78+$EH79</f>
        <v/>
      </c>
      <c r="EK79" s="55">
        <f>SUMIFS(tblPlant[Raw_Water_m3],tblPlant[Date],$A79)</f>
        <v/>
      </c>
      <c r="EL79" s="55">
        <f>IF($B79=$B78,$EL78,0)+$EK79</f>
        <v/>
      </c>
      <c r="EM79" s="55">
        <f>$EM78+$EK79</f>
        <v/>
      </c>
      <c r="EN79" s="56">
        <f>IFERROR(IF(($BZ79)&gt;0,($DY79)/($BZ79),""),"")</f>
        <v/>
      </c>
      <c r="EO79" s="56">
        <f>IFERROR(IF(($CA79)&gt;0,($DZ79)/($CA79),""),"")</f>
        <v/>
      </c>
      <c r="EP79" s="56">
        <f>IFERROR(IF(($CB79)&gt;0,($EA79)/($CB79),""),"")</f>
        <v/>
      </c>
      <c r="EQ79" s="56">
        <f>IFERROR(IF(($BZ79)&gt;0,($EB79)/($BZ79),""),"")</f>
        <v/>
      </c>
      <c r="ER79" s="56">
        <f>IFERROR(IF(($CA79)&gt;0,($EC79)/($CA79),""),"")</f>
        <v/>
      </c>
      <c r="ES79" s="56">
        <f>IFERROR(IF(($CB79)&gt;0,($ED79)/($CB79),""),"")</f>
        <v/>
      </c>
      <c r="ET79" s="56">
        <f>IFERROR(IF(($BZ79)&gt;0,($EE79)/($BZ79),""),"")</f>
        <v/>
      </c>
      <c r="EU79" s="56">
        <f>IFERROR(IF(($CA79)&gt;0,($EF79)/($CA79),""),"")</f>
        <v/>
      </c>
      <c r="EV79" s="56">
        <f>IFERROR(IF(($CB79)&gt;0,($EG79)/($CB79),""),"")</f>
        <v/>
      </c>
      <c r="EW79" s="76">
        <f>IFERROR(IF(($BZ79)&gt;0,($EH79)/($BZ79),""),"")</f>
        <v/>
      </c>
      <c r="EX79" s="76">
        <f>IFERROR(IF(($CA79)&gt;0,($EI79)/($CA79),""),"")</f>
        <v/>
      </c>
      <c r="EY79" s="76">
        <f>IFERROR(IF(($CB79)&gt;0,($EJ79)/($CB79),""),"")</f>
        <v/>
      </c>
      <c r="EZ79" s="56">
        <f>IFERROR(IF(($BZ79)&gt;0,($EK79)/($BZ79),""),"")</f>
        <v/>
      </c>
      <c r="FA79" s="56">
        <f>IFERROR(IF(($CA79)&gt;0,($EL79)/($CA79),""),"")</f>
        <v/>
      </c>
      <c r="FB79" s="56">
        <f>IFERROR(IF(($CB79)&gt;0,($EM79)/($CB79),""),"")</f>
        <v/>
      </c>
      <c r="FC79" s="55">
        <f>IF(SUMIFS(tblPlant[GIC_oz],tblPlant[Date],$A79)&gt;0,SUMIFS(tblPlant[GIC_oz],tblPlant[Date],$A79),"")</f>
        <v/>
      </c>
      <c r="FD79" s="55">
        <f>SUMIFS(tblGold[Gold_oz],tblGold[Date],$A79,tblGold[Type],"Shipment")</f>
        <v/>
      </c>
      <c r="FE79" s="55">
        <f>IF($B79=$B78,$FE78,0)+$FD79</f>
        <v/>
      </c>
      <c r="FF79" s="55">
        <f>$FF78+$FD79</f>
        <v/>
      </c>
      <c r="FG79" s="55">
        <f>SUMIFS(tblGold[Gold_oz],tblGold[Date],$A79,tblGold[Type],"Sale")</f>
        <v/>
      </c>
      <c r="FH79" s="55">
        <f>IF($B79=$B78,$FH78,0)+$FG79</f>
        <v/>
      </c>
      <c r="FI79" s="55">
        <f>$FI78+$FG79</f>
        <v/>
      </c>
      <c r="FJ79" s="55">
        <f>SUMIFS(tblGold[Dore_kg],tblGold[Date],$A79,tblGold[Type],"Shipment")</f>
        <v/>
      </c>
      <c r="FK79" s="55">
        <f>IF($B79=$B78,$FK78,0)+$FJ79</f>
        <v/>
      </c>
      <c r="FL79" s="55">
        <f>$FL78+$FJ79</f>
        <v/>
      </c>
      <c r="FM79" s="57">
        <f>SUMIFS(tblSafety[Hours_Total],tblSafety[Date],$A79)</f>
        <v/>
      </c>
      <c r="FN79" s="57">
        <f>IF($B79=$B78,$FN78,0)+$FM79</f>
        <v/>
      </c>
      <c r="FO79" s="57">
        <f>$FO78+$FM79</f>
        <v/>
      </c>
      <c r="FP79" s="62">
        <f>SUMIFS(tblSafety[Fatality],tblSafety[Date],$A79)</f>
        <v/>
      </c>
      <c r="FQ79" s="62">
        <f>IF($B79=$B78,$FQ78,0)+$FP79</f>
        <v/>
      </c>
      <c r="FR79" s="62">
        <f>$FR78+$FP79</f>
        <v/>
      </c>
      <c r="FS79" s="62">
        <f>SUMIFS(tblSafety[LTI],tblSafety[Date],$A79)</f>
        <v/>
      </c>
      <c r="FT79" s="62">
        <f>IF($B79=$B78,$FT78,0)+$FS79</f>
        <v/>
      </c>
      <c r="FU79" s="62">
        <f>$FU78+$FS79</f>
        <v/>
      </c>
      <c r="FV79" s="62">
        <f>SUMIFS(tblSafety[RWI],tblSafety[Date],$A79)</f>
        <v/>
      </c>
      <c r="FW79" s="62">
        <f>IF($B79=$B78,$FW78,0)+$FV79</f>
        <v/>
      </c>
      <c r="FX79" s="62">
        <f>$FX78+$FV79</f>
        <v/>
      </c>
      <c r="FY79" s="62">
        <f>SUMIFS(tblSafety[MTI],tblSafety[Date],$A79)</f>
        <v/>
      </c>
      <c r="FZ79" s="62">
        <f>IF($B79=$B78,$FZ78,0)+$FY79</f>
        <v/>
      </c>
      <c r="GA79" s="62">
        <f>$GA78+$FY79</f>
        <v/>
      </c>
      <c r="GB79" s="62">
        <f>SUMIFS(tblSafety[FAI],tblSafety[Date],$A79)</f>
        <v/>
      </c>
      <c r="GC79" s="62">
        <f>IF($B79=$B78,$GC78,0)+$GB79</f>
        <v/>
      </c>
      <c r="GD79" s="62">
        <f>$GD78+$GB79</f>
        <v/>
      </c>
      <c r="GE79" s="62">
        <f>SUMIFS(tblSafety[Recordables],tblSafety[Date],$A79)</f>
        <v/>
      </c>
      <c r="GF79" s="62">
        <f>IF($B79=$B78,$GF78,0)+$GE79</f>
        <v/>
      </c>
      <c r="GG79" s="62">
        <f>$GG78+$GE79</f>
        <v/>
      </c>
      <c r="GH79" s="62">
        <f>SUMIFS(tblSafety[Near_Miss],tblSafety[Date],$A79)</f>
        <v/>
      </c>
      <c r="GI79" s="62">
        <f>IF($B79=$B78,$GI78,0)+$GH79</f>
        <v/>
      </c>
      <c r="GJ79" s="62">
        <f>$GJ78+$GH79</f>
        <v/>
      </c>
      <c r="GK79" s="62">
        <f>SUMIFS(tblSafety[Hazard_Reports],tblSafety[Date],$A79)</f>
        <v/>
      </c>
      <c r="GL79" s="62">
        <f>IF($B79=$B78,$GL78,0)+$GK79</f>
        <v/>
      </c>
      <c r="GM79" s="62">
        <f>$GM78+$GK79</f>
        <v/>
      </c>
      <c r="GN79" s="62">
        <f>SUMIFS(tblSafety[HPI],tblSafety[Date],$A79)</f>
        <v/>
      </c>
      <c r="GO79" s="62">
        <f>IF($B79=$B78,$GO78,0)+$GN79</f>
        <v/>
      </c>
      <c r="GP79" s="62">
        <f>$GP78+$GN79</f>
        <v/>
      </c>
      <c r="GQ79" s="62">
        <f>SUMIFS(tblSafety[Env_Incidents],tblSafety[Date],$A79)</f>
        <v/>
      </c>
      <c r="GR79" s="62">
        <f>IF($B79=$B78,$GR78,0)+$GQ79</f>
        <v/>
      </c>
      <c r="GS79" s="62">
        <f>$GS78+$GQ79</f>
        <v/>
      </c>
      <c r="GT79" s="62">
        <f>SUMIFS(tblSafety[Community_Incidents],tblSafety[Date],$A79)</f>
        <v/>
      </c>
      <c r="GU79" s="62">
        <f>IF($B79=$B78,$GU78,0)+$GT79</f>
        <v/>
      </c>
      <c r="GV79" s="62">
        <f>$GV78+$GT79</f>
        <v/>
      </c>
      <c r="GW79" s="62">
        <f>SUMIFS(tblSafety[Vehicle_Incidents],tblSafety[Date],$A79)</f>
        <v/>
      </c>
      <c r="GX79" s="62">
        <f>IF($B79=$B78,$GX78,0)+$GW79</f>
        <v/>
      </c>
      <c r="GY79" s="62">
        <f>$GY78+$GW79</f>
        <v/>
      </c>
      <c r="GZ79" s="62">
        <f>SUMIFS(tblSafety[Toolbox_Talks],tblSafety[Date],$A79)</f>
        <v/>
      </c>
      <c r="HA79" s="62">
        <f>IF($B79=$B78,$HA78,0)+$GZ79</f>
        <v/>
      </c>
      <c r="HB79" s="62">
        <f>$HB78+$GZ79</f>
        <v/>
      </c>
      <c r="HC79" s="62">
        <f>SUMIFS(tblSafety[Inspections],tblSafety[Date],$A79)</f>
        <v/>
      </c>
      <c r="HD79" s="62">
        <f>IF($B79=$B78,$HD78,0)+$HC79</f>
        <v/>
      </c>
      <c r="HE79" s="62">
        <f>$HE78+$HC79</f>
        <v/>
      </c>
      <c r="HF79" s="56">
        <f>IFERROR((SUMIFS(tblSafety[Recordables],tblSafety[Date],"&gt;="&amp;EDATE($E79,-12),tblSafety[Date],"&lt;="&amp;$A79)+SUMIFS(tblSafetyHistory[Recordables],tblSafetyHistory[Month],"&gt;="&amp;EDATE($E79,-12),tblSafetyHistory[Month],"&lt;"&amp;cfg_YearStart))/(SUMIFS(tblSafety[Hours_Total],tblSafety[Date],"&gt;="&amp;EDATE($E79,-12),tblSafety[Date],"&lt;="&amp;$A79)+SUMIFS(tblSafetyHistory[Hours_Total],tblSafetyHistory[Month],"&gt;="&amp;EDATE($E79,-12),tblSafetyHistory[Month],"&lt;"&amp;cfg_YearStart))*1000000,"")</f>
        <v/>
      </c>
      <c r="HG79" s="56">
        <f>IFERROR((SUMIFS(tblSafety[LTI],tblSafety[Date],"&gt;="&amp;EDATE($E79,-12),tblSafety[Date],"&lt;="&amp;$A79)+SUMIFS(tblSafetyHistory[LTI],tblSafetyHistory[Month],"&gt;="&amp;EDATE($E79,-12),tblSafetyHistory[Month],"&lt;"&amp;cfg_YearStart))/(SUMIFS(tblSafety[Hours_Total],tblSafety[Date],"&gt;="&amp;EDATE($E79,-12),tblSafety[Date],"&lt;="&amp;$A79)+SUMIFS(tblSafetyHistory[Hours_Total],tblSafetyHistory[Month],"&gt;="&amp;EDATE($E79,-12),tblSafetyHistory[Month],"&lt;"&amp;cfg_YearStart))*1000000,"")</f>
        <v/>
      </c>
      <c r="HH79" s="62">
        <f>IF(MAX(N(cfg_PriorLTIDate),_xlfn.MAXIFS(tblSafety[Date],tblSafety[LTI],"&gt;0",tblSafety[Date],"&lt;="&amp;$A79))=0,"",$A79-MAX(N(cfg_PriorLTIDate),_xlfn.MAXIFS(tblSafety[Date],tblSafety[LTI],"&gt;0",tblSafety[Date],"&lt;="&amp;$A79)))</f>
        <v/>
      </c>
      <c r="HI79" s="55">
        <f>SUMIFS(tblBudget[Ore_Mined_t],tblBudget[Month],$E79)</f>
        <v/>
      </c>
      <c r="HJ79" s="55">
        <f>$HI79*$C79/$D79</f>
        <v/>
      </c>
      <c r="HK79" s="55">
        <f>SUMIFS(tblBudget[Ore_Mined_t],tblBudget[Month],"&lt;"&amp;$E79)+$HJ79</f>
        <v/>
      </c>
      <c r="HL79" s="55">
        <f>SUMIFS(tblBudget[Ore_oz],tblBudget[Month],$E79)</f>
        <v/>
      </c>
      <c r="HM79" s="55">
        <f>$HL79*$C79/$D79</f>
        <v/>
      </c>
      <c r="HN79" s="55">
        <f>SUMIFS(tblBudget[Ore_oz],tblBudget[Month],"&lt;"&amp;$E79)+$HM79</f>
        <v/>
      </c>
      <c r="HO79" s="56">
        <f>IFERROR(IF(($HI79)&gt;0,($HL79*cfg_TroyOz)/($HI79),""),"")</f>
        <v/>
      </c>
      <c r="HP79" s="56">
        <f>IFERROR(IF(($HJ79)&gt;0,($HM79*cfg_TroyOz)/($HJ79),""),"")</f>
        <v/>
      </c>
      <c r="HQ79" s="56">
        <f>IFERROR(IF(($HK79)&gt;0,($HN79*cfg_TroyOz)/($HK79),""),"")</f>
        <v/>
      </c>
      <c r="HR79" s="55">
        <f>SUMIFS(tblBudget[Waste_t],tblBudget[Month],$E79)</f>
        <v/>
      </c>
      <c r="HS79" s="55">
        <f>$HR79*$C79/$D79</f>
        <v/>
      </c>
      <c r="HT79" s="55">
        <f>SUMIFS(tblBudget[Waste_t],tblBudget[Month],"&lt;"&amp;$E79)+$HS79</f>
        <v/>
      </c>
      <c r="HU79" s="55">
        <f>SUMIFS(tblBudget[TMM_t],tblBudget[Month],$E79)</f>
        <v/>
      </c>
      <c r="HV79" s="55">
        <f>$HU79*$C79/$D79</f>
        <v/>
      </c>
      <c r="HW79" s="55">
        <f>SUMIFS(tblBudget[TMM_t],tblBudget[Month],"&lt;"&amp;$E79)+$HV79</f>
        <v/>
      </c>
      <c r="HX79" s="56">
        <f>IFERROR(IF(($HI79)&gt;0,($HR79)/($HI79),""),"")</f>
        <v/>
      </c>
      <c r="HY79" s="56">
        <f>IFERROR(IF(($HJ79)&gt;0,($HS79)/($HJ79),""),"")</f>
        <v/>
      </c>
      <c r="HZ79" s="56">
        <f>IFERROR(IF(($HK79)&gt;0,($HT79)/($HK79),""),"")</f>
        <v/>
      </c>
      <c r="IA79" s="55">
        <f>SUMIFS(tblBudget[Drill_m],tblBudget[Month],$E79)</f>
        <v/>
      </c>
      <c r="IB79" s="55">
        <f>$IA79*$C79/$D79</f>
        <v/>
      </c>
      <c r="IC79" s="55">
        <f>SUMIFS(tblBudget[Drill_m],tblBudget[Month],"&lt;"&amp;$E79)+$IB79</f>
        <v/>
      </c>
      <c r="ID79" s="55">
        <f>SUMIFS(tblBudget[Diesel_L],tblBudget[Month],$E79)</f>
        <v/>
      </c>
      <c r="IE79" s="55">
        <f>$ID79*$C79/$D79</f>
        <v/>
      </c>
      <c r="IF79" s="55">
        <f>SUMIFS(tblBudget[Diesel_L],tblBudget[Month],"&lt;"&amp;$E79)+$IE79</f>
        <v/>
      </c>
      <c r="IG79" s="55">
        <f>SUMIFS(tblBudget[Milled_t],tblBudget[Month],$E79)</f>
        <v/>
      </c>
      <c r="IH79" s="55">
        <f>$IG79*$C79/$D79</f>
        <v/>
      </c>
      <c r="II79" s="55">
        <f>SUMIFS(tblBudget[Milled_t],tblBudget[Month],"&lt;"&amp;$E79)+$IH79</f>
        <v/>
      </c>
      <c r="IJ79" s="55">
        <f>SUMIFS(tblBudget[Feed_oz],tblBudget[Month],$E79)</f>
        <v/>
      </c>
      <c r="IK79" s="55">
        <f>$IJ79*$C79/$D79</f>
        <v/>
      </c>
      <c r="IL79" s="55">
        <f>SUMIFS(tblBudget[Feed_oz],tblBudget[Month],"&lt;"&amp;$E79)+$IK79</f>
        <v/>
      </c>
      <c r="IM79" s="55">
        <f>SUMIFS(tblBudget[Recovered_oz],tblBudget[Month],$E79)</f>
        <v/>
      </c>
      <c r="IN79" s="55">
        <f>$IM79*$C79/$D79</f>
        <v/>
      </c>
      <c r="IO79" s="55">
        <f>SUMIFS(tblBudget[Recovered_oz],tblBudget[Month],"&lt;"&amp;$E79)+$IN79</f>
        <v/>
      </c>
      <c r="IP79" s="56">
        <f>IFERROR(IF(($IG79)&gt;0,($IJ79*cfg_TroyOz)/($IG79),""),"")</f>
        <v/>
      </c>
      <c r="IQ79" s="56">
        <f>IFERROR(IF(($IH79)&gt;0,($IK79*cfg_TroyOz)/($IH79),""),"")</f>
        <v/>
      </c>
      <c r="IR79" s="56">
        <f>IFERROR(IF(($II79)&gt;0,($IL79*cfg_TroyOz)/($II79),""),"")</f>
        <v/>
      </c>
      <c r="IS79" s="67">
        <f>IFERROR(IF(($IJ79)&gt;0,($IM79)/($IJ79),""),"")</f>
        <v/>
      </c>
      <c r="IT79" s="67">
        <f>IFERROR(IF(($IK79)&gt;0,($IN79)/($IK79),""),"")</f>
        <v/>
      </c>
      <c r="IU79" s="67">
        <f>IFERROR(IF(($IL79)&gt;0,($IO79)/($IL79),""),"")</f>
        <v/>
      </c>
      <c r="IV79" s="55">
        <f>SUMIFS(tblBudget[Gold_Poured_oz],tblBudget[Month],$E79)</f>
        <v/>
      </c>
      <c r="IW79" s="55">
        <f>$IV79*$C79/$D79</f>
        <v/>
      </c>
      <c r="IX79" s="55">
        <f>SUMIFS(tblBudget[Gold_Poured_oz],tblBudget[Month],"&lt;"&amp;$E79)+$IW79</f>
        <v/>
      </c>
      <c r="IY79" s="57">
        <f>SUMIFS(tblBudget[Hours_Worked],tblBudget[Month],$E79)</f>
        <v/>
      </c>
      <c r="IZ79" s="57">
        <f>$IY79*$C79/$D79</f>
        <v/>
      </c>
      <c r="JA79" s="57">
        <f>SUMIFS(tblBudget[Hours_Worked],tblBudget[Month],"&lt;"&amp;$E79)+$IZ79</f>
        <v/>
      </c>
    </row>
    <row r="80">
      <c r="A80" s="54" t="n">
        <v>46101</v>
      </c>
      <c r="B80">
        <f>MONTH($A80)</f>
        <v/>
      </c>
      <c r="C80">
        <f>DAY($A80)</f>
        <v/>
      </c>
      <c r="D80">
        <f>DAY(EOMONTH($A80,0))</f>
        <v/>
      </c>
      <c r="E80" s="54">
        <f>DATE(YEAR($A80),MONTH($A80),1)</f>
        <v/>
      </c>
      <c r="F80" s="55">
        <f>SUMIFS(tblMovement[Tonnes_t],tblMovement[Date],$A80,tblMovement[Is_Ore],1,tblMovement[Source_Type],"Pit")</f>
        <v/>
      </c>
      <c r="G80" s="55">
        <f>IF($B80=$B79,$G79,0)+$F80</f>
        <v/>
      </c>
      <c r="H80" s="55">
        <f>$H79+$F80</f>
        <v/>
      </c>
      <c r="I80" s="55">
        <f>SUMIFS(tblMovement[Ore_oz],tblMovement[Date],$A80,tblMovement[Source_Type],"Pit")</f>
        <v/>
      </c>
      <c r="J80" s="55">
        <f>IF($B80=$B79,$J79,0)+$I80</f>
        <v/>
      </c>
      <c r="K80" s="55">
        <f>$K79+$I80</f>
        <v/>
      </c>
      <c r="L80" s="56">
        <f>IFERROR(IF(($F80)&gt;0,($I80*cfg_TroyOz)/($F80),""),"")</f>
        <v/>
      </c>
      <c r="M80" s="56">
        <f>IFERROR(IF(($G80)&gt;0,($J80*cfg_TroyOz)/($G80),""),"")</f>
        <v/>
      </c>
      <c r="N80" s="56">
        <f>IFERROR(IF(($H80)&gt;0,($K80*cfg_TroyOz)/($H80),""),"")</f>
        <v/>
      </c>
      <c r="O80" s="55">
        <f>SUMIFS(tblMovement[Tonnes_t],tblMovement[Date],$A80,tblMovement[Is_Ore],0,tblMovement[Source_Type],"Pit")</f>
        <v/>
      </c>
      <c r="P80" s="55">
        <f>IF($B80=$B79,$P79,0)+$O80</f>
        <v/>
      </c>
      <c r="Q80" s="55">
        <f>$Q79+$O80</f>
        <v/>
      </c>
      <c r="R80" s="55">
        <f>$F80+$O80</f>
        <v/>
      </c>
      <c r="S80" s="55">
        <f>IF($B80=$B79,$S79,0)+$R80</f>
        <v/>
      </c>
      <c r="T80" s="55">
        <f>$T79+$R80</f>
        <v/>
      </c>
      <c r="U80" s="56">
        <f>IFERROR(IF(($F80)&gt;0,($O80)/($F80),""),"")</f>
        <v/>
      </c>
      <c r="V80" s="56">
        <f>IFERROR(IF(($G80)&gt;0,($P80)/($G80),""),"")</f>
        <v/>
      </c>
      <c r="W80" s="56">
        <f>IFERROR(IF(($H80)&gt;0,($Q80)/($H80),""),"")</f>
        <v/>
      </c>
      <c r="X80" s="55">
        <f>SUMIFS(tblMovement[Tonnes_t],tblMovement[Date],$A80,tblMovement[Source_Type],"Stockpile")</f>
        <v/>
      </c>
      <c r="Y80" s="55">
        <f>IF($B80=$B79,$Y79,0)+$X80</f>
        <v/>
      </c>
      <c r="Z80" s="55">
        <f>$Z79+$X80</f>
        <v/>
      </c>
      <c r="AA80" s="55">
        <f>SUMIFS(tblMiningDaily[Drill_m],tblMiningDaily[Date],$A80)</f>
        <v/>
      </c>
      <c r="AB80" s="55">
        <f>IF($B80=$B79,$AB79,0)+$AA80</f>
        <v/>
      </c>
      <c r="AC80" s="55">
        <f>$AC79+$AA80</f>
        <v/>
      </c>
      <c r="AD80" s="55">
        <f>SUMIFS(tblMiningDaily[Blast_t],tblMiningDaily[Date],$A80)</f>
        <v/>
      </c>
      <c r="AE80" s="55">
        <f>IF($B80=$B79,$AE79,0)+$AD80</f>
        <v/>
      </c>
      <c r="AF80" s="55">
        <f>$AF79+$AD80</f>
        <v/>
      </c>
      <c r="AG80" s="55">
        <f>SUMIFS(tblMiningDaily[Explosives_kg],tblMiningDaily[Date],$A80)</f>
        <v/>
      </c>
      <c r="AH80" s="55">
        <f>IF($B80=$B79,$AH79,0)+$AG80</f>
        <v/>
      </c>
      <c r="AI80" s="55">
        <f>$AI79+$AG80</f>
        <v/>
      </c>
      <c r="AJ80" s="56">
        <f>IFERROR(IF(($AD80)&gt;0,($AG80)/($AD80),""),"")</f>
        <v/>
      </c>
      <c r="AK80" s="56">
        <f>IFERROR(IF(($AE80)&gt;0,($AH80)/($AE80),""),"")</f>
        <v/>
      </c>
      <c r="AL80" s="56">
        <f>IFERROR(IF(($AF80)&gt;0,($AI80)/($AF80),""),"")</f>
        <v/>
      </c>
      <c r="AM80" s="55">
        <f>SUMIFS(tblMiningDaily[Diesel_L],tblMiningDaily[Date],$A80)</f>
        <v/>
      </c>
      <c r="AN80" s="55">
        <f>IF($B80=$B79,$AN79,0)+$AM80</f>
        <v/>
      </c>
      <c r="AO80" s="55">
        <f>$AO79+$AM80</f>
        <v/>
      </c>
      <c r="AP80" s="55">
        <f>SUMIFS(tblMiningDaily[Dewatering_m3],tblMiningDaily[Date],$A80)</f>
        <v/>
      </c>
      <c r="AQ80" s="55">
        <f>IF($B80=$B79,$AQ79,0)+$AP80</f>
        <v/>
      </c>
      <c r="AR80" s="55">
        <f>$AR79+$AP80</f>
        <v/>
      </c>
      <c r="AS80" s="57">
        <f>SUMIFS(tblFleet[Calendar_h],tblFleet[Date],$A80,tblFleet[Equipment_Class],"Excavator")</f>
        <v/>
      </c>
      <c r="AT80" s="57">
        <f>IF($B80=$B79,$AT79,0)+$AS80</f>
        <v/>
      </c>
      <c r="AU80" s="57">
        <f>$AU79+$AS80</f>
        <v/>
      </c>
      <c r="AV80" s="57">
        <f>SUMIFS(tblFleet[Available_h],tblFleet[Date],$A80,tblFleet[Equipment_Class],"Excavator")</f>
        <v/>
      </c>
      <c r="AW80" s="57">
        <f>IF($B80=$B79,$AW79,0)+$AV80</f>
        <v/>
      </c>
      <c r="AX80" s="57">
        <f>$AX79+$AV80</f>
        <v/>
      </c>
      <c r="AY80" s="57">
        <f>SUMIFS(tblFleet[Operating_h],tblFleet[Date],$A80,tblFleet[Equipment_Class],"Excavator")</f>
        <v/>
      </c>
      <c r="AZ80" s="57">
        <f>IF($B80=$B79,$AZ79,0)+$AY80</f>
        <v/>
      </c>
      <c r="BA80" s="57">
        <f>$BA79+$AY80</f>
        <v/>
      </c>
      <c r="BB80" s="67">
        <f>IFERROR(IF(($AS80)&gt;0,($AV80)/($AS80),""),"")</f>
        <v/>
      </c>
      <c r="BC80" s="67">
        <f>IFERROR(IF(($AT80)&gt;0,($AW80)/($AT80),""),"")</f>
        <v/>
      </c>
      <c r="BD80" s="67">
        <f>IFERROR(IF(($AU80)&gt;0,($AX80)/($AU80),""),"")</f>
        <v/>
      </c>
      <c r="BE80" s="67">
        <f>IFERROR(IF(($AV80)&gt;0,($AY80)/($AV80),""),"")</f>
        <v/>
      </c>
      <c r="BF80" s="67">
        <f>IFERROR(IF(($AW80)&gt;0,($AZ80)/($AW80),""),"")</f>
        <v/>
      </c>
      <c r="BG80" s="67">
        <f>IFERROR(IF(($AX80)&gt;0,($BA80)/($AX80),""),"")</f>
        <v/>
      </c>
      <c r="BH80" s="57">
        <f>SUMIFS(tblFleet[Calendar_h],tblFleet[Date],$A80,tblFleet[Equipment_Class],"Haul Truck")</f>
        <v/>
      </c>
      <c r="BI80" s="57">
        <f>IF($B80=$B79,$BI79,0)+$BH80</f>
        <v/>
      </c>
      <c r="BJ80" s="57">
        <f>$BJ79+$BH80</f>
        <v/>
      </c>
      <c r="BK80" s="57">
        <f>SUMIFS(tblFleet[Available_h],tblFleet[Date],$A80,tblFleet[Equipment_Class],"Haul Truck")</f>
        <v/>
      </c>
      <c r="BL80" s="57">
        <f>IF($B80=$B79,$BL79,0)+$BK80</f>
        <v/>
      </c>
      <c r="BM80" s="57">
        <f>$BM79+$BK80</f>
        <v/>
      </c>
      <c r="BN80" s="57">
        <f>SUMIFS(tblFleet[Operating_h],tblFleet[Date],$A80,tblFleet[Equipment_Class],"Haul Truck")</f>
        <v/>
      </c>
      <c r="BO80" s="57">
        <f>IF($B80=$B79,$BO79,0)+$BN80</f>
        <v/>
      </c>
      <c r="BP80" s="57">
        <f>$BP79+$BN80</f>
        <v/>
      </c>
      <c r="BQ80" s="67">
        <f>IFERROR(IF(($BH80)&gt;0,($BK80)/($BH80),""),"")</f>
        <v/>
      </c>
      <c r="BR80" s="67">
        <f>IFERROR(IF(($BI80)&gt;0,($BL80)/($BI80),""),"")</f>
        <v/>
      </c>
      <c r="BS80" s="67">
        <f>IFERROR(IF(($BJ80)&gt;0,($BM80)/($BJ80),""),"")</f>
        <v/>
      </c>
      <c r="BT80" s="67">
        <f>IFERROR(IF(($BK80)&gt;0,($BN80)/($BK80),""),"")</f>
        <v/>
      </c>
      <c r="BU80" s="67">
        <f>IFERROR(IF(($BL80)&gt;0,($BO80)/($BL80),""),"")</f>
        <v/>
      </c>
      <c r="BV80" s="67">
        <f>IFERROR(IF(($BM80)&gt;0,($BP80)/($BM80),""),"")</f>
        <v/>
      </c>
      <c r="BW80" s="55">
        <f>SUMIFS(tblPlant[Crushed_t],tblPlant[Date],$A80)</f>
        <v/>
      </c>
      <c r="BX80" s="55">
        <f>IF($B80=$B79,$BX79,0)+$BW80</f>
        <v/>
      </c>
      <c r="BY80" s="55">
        <f>$BY79+$BW80</f>
        <v/>
      </c>
      <c r="BZ80" s="55">
        <f>SUMIFS(tblPlant[Milled_t],tblPlant[Date],$A80)</f>
        <v/>
      </c>
      <c r="CA80" s="55">
        <f>IF($B80=$B79,$CA79,0)+$BZ80</f>
        <v/>
      </c>
      <c r="CB80" s="55">
        <f>$CB79+$BZ80</f>
        <v/>
      </c>
      <c r="CC80" s="55">
        <f>SUMIFS(tblPlant[Feed_oz],tblPlant[Date],$A80)</f>
        <v/>
      </c>
      <c r="CD80" s="55">
        <f>IF($B80=$B79,$CD79,0)+$CC80</f>
        <v/>
      </c>
      <c r="CE80" s="55">
        <f>$CE79+$CC80</f>
        <v/>
      </c>
      <c r="CF80" s="55">
        <f>SUMIFS(tblPlant[Tails_oz],tblPlant[Date],$A80)</f>
        <v/>
      </c>
      <c r="CG80" s="55">
        <f>IF($B80=$B79,$CG79,0)+$CF80</f>
        <v/>
      </c>
      <c r="CH80" s="55">
        <f>$CH79+$CF80</f>
        <v/>
      </c>
      <c r="CI80" s="55">
        <f>SUMIFS(tblPlant[Recovered_oz],tblPlant[Date],$A80)</f>
        <v/>
      </c>
      <c r="CJ80" s="55">
        <f>IF($B80=$B79,$CJ79,0)+$CI80</f>
        <v/>
      </c>
      <c r="CK80" s="55">
        <f>$CK79+$CI80</f>
        <v/>
      </c>
      <c r="CL80" s="56">
        <f>IFERROR(IF(($BZ80)&gt;0,($CC80*cfg_TroyOz)/($BZ80),""),"")</f>
        <v/>
      </c>
      <c r="CM80" s="56">
        <f>IFERROR(IF(($CA80)&gt;0,($CD80*cfg_TroyOz)/($CA80),""),"")</f>
        <v/>
      </c>
      <c r="CN80" s="56">
        <f>IFERROR(IF(($CB80)&gt;0,($CE80*cfg_TroyOz)/($CB80),""),"")</f>
        <v/>
      </c>
      <c r="CO80" s="56">
        <f>IFERROR(IF(($BZ80)&gt;0,($CF80*cfg_TroyOz)/($BZ80),""),"")</f>
        <v/>
      </c>
      <c r="CP80" s="56">
        <f>IFERROR(IF(($CA80)&gt;0,($CG80*cfg_TroyOz)/($CA80),""),"")</f>
        <v/>
      </c>
      <c r="CQ80" s="56">
        <f>IFERROR(IF(($CB80)&gt;0,($CH80*cfg_TroyOz)/($CB80),""),"")</f>
        <v/>
      </c>
      <c r="CR80" s="67">
        <f>IFERROR(IF(($CC80)&gt;0,($CI80)/($CC80),""),"")</f>
        <v/>
      </c>
      <c r="CS80" s="67">
        <f>IFERROR(IF(($CD80)&gt;0,($CJ80)/($CD80),""),"")</f>
        <v/>
      </c>
      <c r="CT80" s="67">
        <f>IFERROR(IF(($CE80)&gt;0,($CK80)/($CE80),""),"")</f>
        <v/>
      </c>
      <c r="CU80" s="55">
        <f>SUMIFS(tblPlant[Gravity_Gold_oz],tblPlant[Date],$A80)</f>
        <v/>
      </c>
      <c r="CV80" s="55">
        <f>IF($B80=$B79,$CV79,0)+$CU80</f>
        <v/>
      </c>
      <c r="CW80" s="55">
        <f>$CW79+$CU80</f>
        <v/>
      </c>
      <c r="CX80" s="55">
        <f>SUMIFS(tblPlant[Gold_Poured_oz],tblPlant[Date],$A80)</f>
        <v/>
      </c>
      <c r="CY80" s="55">
        <f>IF($B80=$B79,$CY79,0)+$CX80</f>
        <v/>
      </c>
      <c r="CZ80" s="55">
        <f>$CZ79+$CX80</f>
        <v/>
      </c>
      <c r="DA80" s="57">
        <f>SUMIFS(tblPlant[Mill_Run_h],tblPlant[Date],$A80)</f>
        <v/>
      </c>
      <c r="DB80" s="57">
        <f>IF($B80=$B79,$DB79,0)+$DA80</f>
        <v/>
      </c>
      <c r="DC80" s="57">
        <f>$DC79+$DA80</f>
        <v/>
      </c>
      <c r="DD80" s="57">
        <f>SUMIFS(tblPlant[Mill_Planned_Maint_h],tblPlant[Date],$A80)</f>
        <v/>
      </c>
      <c r="DE80" s="57">
        <f>IF($B80=$B79,$DE79,0)+$DD80</f>
        <v/>
      </c>
      <c r="DF80" s="57">
        <f>$DF79+$DD80</f>
        <v/>
      </c>
      <c r="DG80" s="57">
        <f>SUMIFS(tblPlant[Mill_Unplanned_Down_h],tblPlant[Date],$A80)</f>
        <v/>
      </c>
      <c r="DH80" s="57">
        <f>IF($B80=$B79,$DH79,0)+$DG80</f>
        <v/>
      </c>
      <c r="DI80" s="57">
        <f>$DI79+$DG80</f>
        <v/>
      </c>
      <c r="DJ80" s="57">
        <f>COUNTIFS(tblPlant[Date],$A80,tblPlant[Mill_Run_h],"&lt;&gt;")*24</f>
        <v/>
      </c>
      <c r="DK80" s="57">
        <f>IF($B80=$B79,$DK79,0)+$DJ80</f>
        <v/>
      </c>
      <c r="DL80" s="57">
        <f>$DL79+$DJ80</f>
        <v/>
      </c>
      <c r="DM80" s="57">
        <f>SUMIFS(tblPlant[Crusher_Run_h],tblPlant[Date],$A80)</f>
        <v/>
      </c>
      <c r="DN80" s="57">
        <f>IF($B80=$B79,$DN79,0)+$DM80</f>
        <v/>
      </c>
      <c r="DO80" s="57">
        <f>$DO79+$DM80</f>
        <v/>
      </c>
      <c r="DP80" s="55">
        <f>IFERROR(IF(($DA80)&gt;0,($BZ80)/($DA80),""),"")</f>
        <v/>
      </c>
      <c r="DQ80" s="55">
        <f>IFERROR(IF(($DB80)&gt;0,($CA80)/($DB80),""),"")</f>
        <v/>
      </c>
      <c r="DR80" s="55">
        <f>IFERROR(IF(($DC80)&gt;0,($CB80)/($DC80),""),"")</f>
        <v/>
      </c>
      <c r="DS80" s="67">
        <f>IFERROR(IF(($DJ80)&gt;0,($DJ80-$DD80-$DG80)/($DJ80),""),"")</f>
        <v/>
      </c>
      <c r="DT80" s="67">
        <f>IFERROR(IF(($DK80)&gt;0,($DK80-$DE80-$DH80)/($DK80),""),"")</f>
        <v/>
      </c>
      <c r="DU80" s="67">
        <f>IFERROR(IF(($DL80)&gt;0,($DL80-$DF80-$DI80)/($DL80),""),"")</f>
        <v/>
      </c>
      <c r="DV80" s="67">
        <f>IFERROR(IF(($DJ80-$DD80-$DG80)&gt;0,($DA80)/($DJ80-$DD80-$DG80),""),"")</f>
        <v/>
      </c>
      <c r="DW80" s="67">
        <f>IFERROR(IF(($DK80-$DE80-$DH80)&gt;0,($DB80)/($DK80-$DE80-$DH80),""),"")</f>
        <v/>
      </c>
      <c r="DX80" s="67">
        <f>IFERROR(IF(($DL80-$DF80-$DI80)&gt;0,($DC80)/($DL80-$DF80-$DI80),""),"")</f>
        <v/>
      </c>
      <c r="DY80" s="55">
        <f>SUMIFS(tblPlant[Cyanide_kg],tblPlant[Date],$A80)</f>
        <v/>
      </c>
      <c r="DZ80" s="55">
        <f>IF($B80=$B79,$DZ79,0)+$DY80</f>
        <v/>
      </c>
      <c r="EA80" s="55">
        <f>$EA79+$DY80</f>
        <v/>
      </c>
      <c r="EB80" s="55">
        <f>SUMIFS(tblPlant[Lime_kg],tblPlant[Date],$A80)</f>
        <v/>
      </c>
      <c r="EC80" s="55">
        <f>IF($B80=$B79,$EC79,0)+$EB80</f>
        <v/>
      </c>
      <c r="ED80" s="55">
        <f>$ED79+$EB80</f>
        <v/>
      </c>
      <c r="EE80" s="55">
        <f>SUMIFS(tblPlant[Grinding_Media_kg],tblPlant[Date],$A80)</f>
        <v/>
      </c>
      <c r="EF80" s="55">
        <f>IF($B80=$B79,$EF79,0)+$EE80</f>
        <v/>
      </c>
      <c r="EG80" s="55">
        <f>$EG79+$EE80</f>
        <v/>
      </c>
      <c r="EH80" s="55">
        <f>SUMIFS(tblPlant[Power_kWh],tblPlant[Date],$A80)</f>
        <v/>
      </c>
      <c r="EI80" s="55">
        <f>IF($B80=$B79,$EI79,0)+$EH80</f>
        <v/>
      </c>
      <c r="EJ80" s="55">
        <f>$EJ79+$EH80</f>
        <v/>
      </c>
      <c r="EK80" s="55">
        <f>SUMIFS(tblPlant[Raw_Water_m3],tblPlant[Date],$A80)</f>
        <v/>
      </c>
      <c r="EL80" s="55">
        <f>IF($B80=$B79,$EL79,0)+$EK80</f>
        <v/>
      </c>
      <c r="EM80" s="55">
        <f>$EM79+$EK80</f>
        <v/>
      </c>
      <c r="EN80" s="56">
        <f>IFERROR(IF(($BZ80)&gt;0,($DY80)/($BZ80),""),"")</f>
        <v/>
      </c>
      <c r="EO80" s="56">
        <f>IFERROR(IF(($CA80)&gt;0,($DZ80)/($CA80),""),"")</f>
        <v/>
      </c>
      <c r="EP80" s="56">
        <f>IFERROR(IF(($CB80)&gt;0,($EA80)/($CB80),""),"")</f>
        <v/>
      </c>
      <c r="EQ80" s="56">
        <f>IFERROR(IF(($BZ80)&gt;0,($EB80)/($BZ80),""),"")</f>
        <v/>
      </c>
      <c r="ER80" s="56">
        <f>IFERROR(IF(($CA80)&gt;0,($EC80)/($CA80),""),"")</f>
        <v/>
      </c>
      <c r="ES80" s="56">
        <f>IFERROR(IF(($CB80)&gt;0,($ED80)/($CB80),""),"")</f>
        <v/>
      </c>
      <c r="ET80" s="56">
        <f>IFERROR(IF(($BZ80)&gt;0,($EE80)/($BZ80),""),"")</f>
        <v/>
      </c>
      <c r="EU80" s="56">
        <f>IFERROR(IF(($CA80)&gt;0,($EF80)/($CA80),""),"")</f>
        <v/>
      </c>
      <c r="EV80" s="56">
        <f>IFERROR(IF(($CB80)&gt;0,($EG80)/($CB80),""),"")</f>
        <v/>
      </c>
      <c r="EW80" s="76">
        <f>IFERROR(IF(($BZ80)&gt;0,($EH80)/($BZ80),""),"")</f>
        <v/>
      </c>
      <c r="EX80" s="76">
        <f>IFERROR(IF(($CA80)&gt;0,($EI80)/($CA80),""),"")</f>
        <v/>
      </c>
      <c r="EY80" s="76">
        <f>IFERROR(IF(($CB80)&gt;0,($EJ80)/($CB80),""),"")</f>
        <v/>
      </c>
      <c r="EZ80" s="56">
        <f>IFERROR(IF(($BZ80)&gt;0,($EK80)/($BZ80),""),"")</f>
        <v/>
      </c>
      <c r="FA80" s="56">
        <f>IFERROR(IF(($CA80)&gt;0,($EL80)/($CA80),""),"")</f>
        <v/>
      </c>
      <c r="FB80" s="56">
        <f>IFERROR(IF(($CB80)&gt;0,($EM80)/($CB80),""),"")</f>
        <v/>
      </c>
      <c r="FC80" s="55">
        <f>IF(SUMIFS(tblPlant[GIC_oz],tblPlant[Date],$A80)&gt;0,SUMIFS(tblPlant[GIC_oz],tblPlant[Date],$A80),"")</f>
        <v/>
      </c>
      <c r="FD80" s="55">
        <f>SUMIFS(tblGold[Gold_oz],tblGold[Date],$A80,tblGold[Type],"Shipment")</f>
        <v/>
      </c>
      <c r="FE80" s="55">
        <f>IF($B80=$B79,$FE79,0)+$FD80</f>
        <v/>
      </c>
      <c r="FF80" s="55">
        <f>$FF79+$FD80</f>
        <v/>
      </c>
      <c r="FG80" s="55">
        <f>SUMIFS(tblGold[Gold_oz],tblGold[Date],$A80,tblGold[Type],"Sale")</f>
        <v/>
      </c>
      <c r="FH80" s="55">
        <f>IF($B80=$B79,$FH79,0)+$FG80</f>
        <v/>
      </c>
      <c r="FI80" s="55">
        <f>$FI79+$FG80</f>
        <v/>
      </c>
      <c r="FJ80" s="55">
        <f>SUMIFS(tblGold[Dore_kg],tblGold[Date],$A80,tblGold[Type],"Shipment")</f>
        <v/>
      </c>
      <c r="FK80" s="55">
        <f>IF($B80=$B79,$FK79,0)+$FJ80</f>
        <v/>
      </c>
      <c r="FL80" s="55">
        <f>$FL79+$FJ80</f>
        <v/>
      </c>
      <c r="FM80" s="57">
        <f>SUMIFS(tblSafety[Hours_Total],tblSafety[Date],$A80)</f>
        <v/>
      </c>
      <c r="FN80" s="57">
        <f>IF($B80=$B79,$FN79,0)+$FM80</f>
        <v/>
      </c>
      <c r="FO80" s="57">
        <f>$FO79+$FM80</f>
        <v/>
      </c>
      <c r="FP80" s="62">
        <f>SUMIFS(tblSafety[Fatality],tblSafety[Date],$A80)</f>
        <v/>
      </c>
      <c r="FQ80" s="62">
        <f>IF($B80=$B79,$FQ79,0)+$FP80</f>
        <v/>
      </c>
      <c r="FR80" s="62">
        <f>$FR79+$FP80</f>
        <v/>
      </c>
      <c r="FS80" s="62">
        <f>SUMIFS(tblSafety[LTI],tblSafety[Date],$A80)</f>
        <v/>
      </c>
      <c r="FT80" s="62">
        <f>IF($B80=$B79,$FT79,0)+$FS80</f>
        <v/>
      </c>
      <c r="FU80" s="62">
        <f>$FU79+$FS80</f>
        <v/>
      </c>
      <c r="FV80" s="62">
        <f>SUMIFS(tblSafety[RWI],tblSafety[Date],$A80)</f>
        <v/>
      </c>
      <c r="FW80" s="62">
        <f>IF($B80=$B79,$FW79,0)+$FV80</f>
        <v/>
      </c>
      <c r="FX80" s="62">
        <f>$FX79+$FV80</f>
        <v/>
      </c>
      <c r="FY80" s="62">
        <f>SUMIFS(tblSafety[MTI],tblSafety[Date],$A80)</f>
        <v/>
      </c>
      <c r="FZ80" s="62">
        <f>IF($B80=$B79,$FZ79,0)+$FY80</f>
        <v/>
      </c>
      <c r="GA80" s="62">
        <f>$GA79+$FY80</f>
        <v/>
      </c>
      <c r="GB80" s="62">
        <f>SUMIFS(tblSafety[FAI],tblSafety[Date],$A80)</f>
        <v/>
      </c>
      <c r="GC80" s="62">
        <f>IF($B80=$B79,$GC79,0)+$GB80</f>
        <v/>
      </c>
      <c r="GD80" s="62">
        <f>$GD79+$GB80</f>
        <v/>
      </c>
      <c r="GE80" s="62">
        <f>SUMIFS(tblSafety[Recordables],tblSafety[Date],$A80)</f>
        <v/>
      </c>
      <c r="GF80" s="62">
        <f>IF($B80=$B79,$GF79,0)+$GE80</f>
        <v/>
      </c>
      <c r="GG80" s="62">
        <f>$GG79+$GE80</f>
        <v/>
      </c>
      <c r="GH80" s="62">
        <f>SUMIFS(tblSafety[Near_Miss],tblSafety[Date],$A80)</f>
        <v/>
      </c>
      <c r="GI80" s="62">
        <f>IF($B80=$B79,$GI79,0)+$GH80</f>
        <v/>
      </c>
      <c r="GJ80" s="62">
        <f>$GJ79+$GH80</f>
        <v/>
      </c>
      <c r="GK80" s="62">
        <f>SUMIFS(tblSafety[Hazard_Reports],tblSafety[Date],$A80)</f>
        <v/>
      </c>
      <c r="GL80" s="62">
        <f>IF($B80=$B79,$GL79,0)+$GK80</f>
        <v/>
      </c>
      <c r="GM80" s="62">
        <f>$GM79+$GK80</f>
        <v/>
      </c>
      <c r="GN80" s="62">
        <f>SUMIFS(tblSafety[HPI],tblSafety[Date],$A80)</f>
        <v/>
      </c>
      <c r="GO80" s="62">
        <f>IF($B80=$B79,$GO79,0)+$GN80</f>
        <v/>
      </c>
      <c r="GP80" s="62">
        <f>$GP79+$GN80</f>
        <v/>
      </c>
      <c r="GQ80" s="62">
        <f>SUMIFS(tblSafety[Env_Incidents],tblSafety[Date],$A80)</f>
        <v/>
      </c>
      <c r="GR80" s="62">
        <f>IF($B80=$B79,$GR79,0)+$GQ80</f>
        <v/>
      </c>
      <c r="GS80" s="62">
        <f>$GS79+$GQ80</f>
        <v/>
      </c>
      <c r="GT80" s="62">
        <f>SUMIFS(tblSafety[Community_Incidents],tblSafety[Date],$A80)</f>
        <v/>
      </c>
      <c r="GU80" s="62">
        <f>IF($B80=$B79,$GU79,0)+$GT80</f>
        <v/>
      </c>
      <c r="GV80" s="62">
        <f>$GV79+$GT80</f>
        <v/>
      </c>
      <c r="GW80" s="62">
        <f>SUMIFS(tblSafety[Vehicle_Incidents],tblSafety[Date],$A80)</f>
        <v/>
      </c>
      <c r="GX80" s="62">
        <f>IF($B80=$B79,$GX79,0)+$GW80</f>
        <v/>
      </c>
      <c r="GY80" s="62">
        <f>$GY79+$GW80</f>
        <v/>
      </c>
      <c r="GZ80" s="62">
        <f>SUMIFS(tblSafety[Toolbox_Talks],tblSafety[Date],$A80)</f>
        <v/>
      </c>
      <c r="HA80" s="62">
        <f>IF($B80=$B79,$HA79,0)+$GZ80</f>
        <v/>
      </c>
      <c r="HB80" s="62">
        <f>$HB79+$GZ80</f>
        <v/>
      </c>
      <c r="HC80" s="62">
        <f>SUMIFS(tblSafety[Inspections],tblSafety[Date],$A80)</f>
        <v/>
      </c>
      <c r="HD80" s="62">
        <f>IF($B80=$B79,$HD79,0)+$HC80</f>
        <v/>
      </c>
      <c r="HE80" s="62">
        <f>$HE79+$HC80</f>
        <v/>
      </c>
      <c r="HF80" s="56">
        <f>IFERROR((SUMIFS(tblSafety[Recordables],tblSafety[Date],"&gt;="&amp;EDATE($E80,-12),tblSafety[Date],"&lt;="&amp;$A80)+SUMIFS(tblSafetyHistory[Recordables],tblSafetyHistory[Month],"&gt;="&amp;EDATE($E80,-12),tblSafetyHistory[Month],"&lt;"&amp;cfg_YearStart))/(SUMIFS(tblSafety[Hours_Total],tblSafety[Date],"&gt;="&amp;EDATE($E80,-12),tblSafety[Date],"&lt;="&amp;$A80)+SUMIFS(tblSafetyHistory[Hours_Total],tblSafetyHistory[Month],"&gt;="&amp;EDATE($E80,-12),tblSafetyHistory[Month],"&lt;"&amp;cfg_YearStart))*1000000,"")</f>
        <v/>
      </c>
      <c r="HG80" s="56">
        <f>IFERROR((SUMIFS(tblSafety[LTI],tblSafety[Date],"&gt;="&amp;EDATE($E80,-12),tblSafety[Date],"&lt;="&amp;$A80)+SUMIFS(tblSafetyHistory[LTI],tblSafetyHistory[Month],"&gt;="&amp;EDATE($E80,-12),tblSafetyHistory[Month],"&lt;"&amp;cfg_YearStart))/(SUMIFS(tblSafety[Hours_Total],tblSafety[Date],"&gt;="&amp;EDATE($E80,-12),tblSafety[Date],"&lt;="&amp;$A80)+SUMIFS(tblSafetyHistory[Hours_Total],tblSafetyHistory[Month],"&gt;="&amp;EDATE($E80,-12),tblSafetyHistory[Month],"&lt;"&amp;cfg_YearStart))*1000000,"")</f>
        <v/>
      </c>
      <c r="HH80" s="62">
        <f>IF(MAX(N(cfg_PriorLTIDate),_xlfn.MAXIFS(tblSafety[Date],tblSafety[LTI],"&gt;0",tblSafety[Date],"&lt;="&amp;$A80))=0,"",$A80-MAX(N(cfg_PriorLTIDate),_xlfn.MAXIFS(tblSafety[Date],tblSafety[LTI],"&gt;0",tblSafety[Date],"&lt;="&amp;$A80)))</f>
        <v/>
      </c>
      <c r="HI80" s="55">
        <f>SUMIFS(tblBudget[Ore_Mined_t],tblBudget[Month],$E80)</f>
        <v/>
      </c>
      <c r="HJ80" s="55">
        <f>$HI80*$C80/$D80</f>
        <v/>
      </c>
      <c r="HK80" s="55">
        <f>SUMIFS(tblBudget[Ore_Mined_t],tblBudget[Month],"&lt;"&amp;$E80)+$HJ80</f>
        <v/>
      </c>
      <c r="HL80" s="55">
        <f>SUMIFS(tblBudget[Ore_oz],tblBudget[Month],$E80)</f>
        <v/>
      </c>
      <c r="HM80" s="55">
        <f>$HL80*$C80/$D80</f>
        <v/>
      </c>
      <c r="HN80" s="55">
        <f>SUMIFS(tblBudget[Ore_oz],tblBudget[Month],"&lt;"&amp;$E80)+$HM80</f>
        <v/>
      </c>
      <c r="HO80" s="56">
        <f>IFERROR(IF(($HI80)&gt;0,($HL80*cfg_TroyOz)/($HI80),""),"")</f>
        <v/>
      </c>
      <c r="HP80" s="56">
        <f>IFERROR(IF(($HJ80)&gt;0,($HM80*cfg_TroyOz)/($HJ80),""),"")</f>
        <v/>
      </c>
      <c r="HQ80" s="56">
        <f>IFERROR(IF(($HK80)&gt;0,($HN80*cfg_TroyOz)/($HK80),""),"")</f>
        <v/>
      </c>
      <c r="HR80" s="55">
        <f>SUMIFS(tblBudget[Waste_t],tblBudget[Month],$E80)</f>
        <v/>
      </c>
      <c r="HS80" s="55">
        <f>$HR80*$C80/$D80</f>
        <v/>
      </c>
      <c r="HT80" s="55">
        <f>SUMIFS(tblBudget[Waste_t],tblBudget[Month],"&lt;"&amp;$E80)+$HS80</f>
        <v/>
      </c>
      <c r="HU80" s="55">
        <f>SUMIFS(tblBudget[TMM_t],tblBudget[Month],$E80)</f>
        <v/>
      </c>
      <c r="HV80" s="55">
        <f>$HU80*$C80/$D80</f>
        <v/>
      </c>
      <c r="HW80" s="55">
        <f>SUMIFS(tblBudget[TMM_t],tblBudget[Month],"&lt;"&amp;$E80)+$HV80</f>
        <v/>
      </c>
      <c r="HX80" s="56">
        <f>IFERROR(IF(($HI80)&gt;0,($HR80)/($HI80),""),"")</f>
        <v/>
      </c>
      <c r="HY80" s="56">
        <f>IFERROR(IF(($HJ80)&gt;0,($HS80)/($HJ80),""),"")</f>
        <v/>
      </c>
      <c r="HZ80" s="56">
        <f>IFERROR(IF(($HK80)&gt;0,($HT80)/($HK80),""),"")</f>
        <v/>
      </c>
      <c r="IA80" s="55">
        <f>SUMIFS(tblBudget[Drill_m],tblBudget[Month],$E80)</f>
        <v/>
      </c>
      <c r="IB80" s="55">
        <f>$IA80*$C80/$D80</f>
        <v/>
      </c>
      <c r="IC80" s="55">
        <f>SUMIFS(tblBudget[Drill_m],tblBudget[Month],"&lt;"&amp;$E80)+$IB80</f>
        <v/>
      </c>
      <c r="ID80" s="55">
        <f>SUMIFS(tblBudget[Diesel_L],tblBudget[Month],$E80)</f>
        <v/>
      </c>
      <c r="IE80" s="55">
        <f>$ID80*$C80/$D80</f>
        <v/>
      </c>
      <c r="IF80" s="55">
        <f>SUMIFS(tblBudget[Diesel_L],tblBudget[Month],"&lt;"&amp;$E80)+$IE80</f>
        <v/>
      </c>
      <c r="IG80" s="55">
        <f>SUMIFS(tblBudget[Milled_t],tblBudget[Month],$E80)</f>
        <v/>
      </c>
      <c r="IH80" s="55">
        <f>$IG80*$C80/$D80</f>
        <v/>
      </c>
      <c r="II80" s="55">
        <f>SUMIFS(tblBudget[Milled_t],tblBudget[Month],"&lt;"&amp;$E80)+$IH80</f>
        <v/>
      </c>
      <c r="IJ80" s="55">
        <f>SUMIFS(tblBudget[Feed_oz],tblBudget[Month],$E80)</f>
        <v/>
      </c>
      <c r="IK80" s="55">
        <f>$IJ80*$C80/$D80</f>
        <v/>
      </c>
      <c r="IL80" s="55">
        <f>SUMIFS(tblBudget[Feed_oz],tblBudget[Month],"&lt;"&amp;$E80)+$IK80</f>
        <v/>
      </c>
      <c r="IM80" s="55">
        <f>SUMIFS(tblBudget[Recovered_oz],tblBudget[Month],$E80)</f>
        <v/>
      </c>
      <c r="IN80" s="55">
        <f>$IM80*$C80/$D80</f>
        <v/>
      </c>
      <c r="IO80" s="55">
        <f>SUMIFS(tblBudget[Recovered_oz],tblBudget[Month],"&lt;"&amp;$E80)+$IN80</f>
        <v/>
      </c>
      <c r="IP80" s="56">
        <f>IFERROR(IF(($IG80)&gt;0,($IJ80*cfg_TroyOz)/($IG80),""),"")</f>
        <v/>
      </c>
      <c r="IQ80" s="56">
        <f>IFERROR(IF(($IH80)&gt;0,($IK80*cfg_TroyOz)/($IH80),""),"")</f>
        <v/>
      </c>
      <c r="IR80" s="56">
        <f>IFERROR(IF(($II80)&gt;0,($IL80*cfg_TroyOz)/($II80),""),"")</f>
        <v/>
      </c>
      <c r="IS80" s="67">
        <f>IFERROR(IF(($IJ80)&gt;0,($IM80)/($IJ80),""),"")</f>
        <v/>
      </c>
      <c r="IT80" s="67">
        <f>IFERROR(IF(($IK80)&gt;0,($IN80)/($IK80),""),"")</f>
        <v/>
      </c>
      <c r="IU80" s="67">
        <f>IFERROR(IF(($IL80)&gt;0,($IO80)/($IL80),""),"")</f>
        <v/>
      </c>
      <c r="IV80" s="55">
        <f>SUMIFS(tblBudget[Gold_Poured_oz],tblBudget[Month],$E80)</f>
        <v/>
      </c>
      <c r="IW80" s="55">
        <f>$IV80*$C80/$D80</f>
        <v/>
      </c>
      <c r="IX80" s="55">
        <f>SUMIFS(tblBudget[Gold_Poured_oz],tblBudget[Month],"&lt;"&amp;$E80)+$IW80</f>
        <v/>
      </c>
      <c r="IY80" s="57">
        <f>SUMIFS(tblBudget[Hours_Worked],tblBudget[Month],$E80)</f>
        <v/>
      </c>
      <c r="IZ80" s="57">
        <f>$IY80*$C80/$D80</f>
        <v/>
      </c>
      <c r="JA80" s="57">
        <f>SUMIFS(tblBudget[Hours_Worked],tblBudget[Month],"&lt;"&amp;$E80)+$IZ80</f>
        <v/>
      </c>
    </row>
    <row r="81">
      <c r="A81" s="54" t="n">
        <v>46102</v>
      </c>
      <c r="B81">
        <f>MONTH($A81)</f>
        <v/>
      </c>
      <c r="C81">
        <f>DAY($A81)</f>
        <v/>
      </c>
      <c r="D81">
        <f>DAY(EOMONTH($A81,0))</f>
        <v/>
      </c>
      <c r="E81" s="54">
        <f>DATE(YEAR($A81),MONTH($A81),1)</f>
        <v/>
      </c>
      <c r="F81" s="55">
        <f>SUMIFS(tblMovement[Tonnes_t],tblMovement[Date],$A81,tblMovement[Is_Ore],1,tblMovement[Source_Type],"Pit")</f>
        <v/>
      </c>
      <c r="G81" s="55">
        <f>IF($B81=$B80,$G80,0)+$F81</f>
        <v/>
      </c>
      <c r="H81" s="55">
        <f>$H80+$F81</f>
        <v/>
      </c>
      <c r="I81" s="55">
        <f>SUMIFS(tblMovement[Ore_oz],tblMovement[Date],$A81,tblMovement[Source_Type],"Pit")</f>
        <v/>
      </c>
      <c r="J81" s="55">
        <f>IF($B81=$B80,$J80,0)+$I81</f>
        <v/>
      </c>
      <c r="K81" s="55">
        <f>$K80+$I81</f>
        <v/>
      </c>
      <c r="L81" s="56">
        <f>IFERROR(IF(($F81)&gt;0,($I81*cfg_TroyOz)/($F81),""),"")</f>
        <v/>
      </c>
      <c r="M81" s="56">
        <f>IFERROR(IF(($G81)&gt;0,($J81*cfg_TroyOz)/($G81),""),"")</f>
        <v/>
      </c>
      <c r="N81" s="56">
        <f>IFERROR(IF(($H81)&gt;0,($K81*cfg_TroyOz)/($H81),""),"")</f>
        <v/>
      </c>
      <c r="O81" s="55">
        <f>SUMIFS(tblMovement[Tonnes_t],tblMovement[Date],$A81,tblMovement[Is_Ore],0,tblMovement[Source_Type],"Pit")</f>
        <v/>
      </c>
      <c r="P81" s="55">
        <f>IF($B81=$B80,$P80,0)+$O81</f>
        <v/>
      </c>
      <c r="Q81" s="55">
        <f>$Q80+$O81</f>
        <v/>
      </c>
      <c r="R81" s="55">
        <f>$F81+$O81</f>
        <v/>
      </c>
      <c r="S81" s="55">
        <f>IF($B81=$B80,$S80,0)+$R81</f>
        <v/>
      </c>
      <c r="T81" s="55">
        <f>$T80+$R81</f>
        <v/>
      </c>
      <c r="U81" s="56">
        <f>IFERROR(IF(($F81)&gt;0,($O81)/($F81),""),"")</f>
        <v/>
      </c>
      <c r="V81" s="56">
        <f>IFERROR(IF(($G81)&gt;0,($P81)/($G81),""),"")</f>
        <v/>
      </c>
      <c r="W81" s="56">
        <f>IFERROR(IF(($H81)&gt;0,($Q81)/($H81),""),"")</f>
        <v/>
      </c>
      <c r="X81" s="55">
        <f>SUMIFS(tblMovement[Tonnes_t],tblMovement[Date],$A81,tblMovement[Source_Type],"Stockpile")</f>
        <v/>
      </c>
      <c r="Y81" s="55">
        <f>IF($B81=$B80,$Y80,0)+$X81</f>
        <v/>
      </c>
      <c r="Z81" s="55">
        <f>$Z80+$X81</f>
        <v/>
      </c>
      <c r="AA81" s="55">
        <f>SUMIFS(tblMiningDaily[Drill_m],tblMiningDaily[Date],$A81)</f>
        <v/>
      </c>
      <c r="AB81" s="55">
        <f>IF($B81=$B80,$AB80,0)+$AA81</f>
        <v/>
      </c>
      <c r="AC81" s="55">
        <f>$AC80+$AA81</f>
        <v/>
      </c>
      <c r="AD81" s="55">
        <f>SUMIFS(tblMiningDaily[Blast_t],tblMiningDaily[Date],$A81)</f>
        <v/>
      </c>
      <c r="AE81" s="55">
        <f>IF($B81=$B80,$AE80,0)+$AD81</f>
        <v/>
      </c>
      <c r="AF81" s="55">
        <f>$AF80+$AD81</f>
        <v/>
      </c>
      <c r="AG81" s="55">
        <f>SUMIFS(tblMiningDaily[Explosives_kg],tblMiningDaily[Date],$A81)</f>
        <v/>
      </c>
      <c r="AH81" s="55">
        <f>IF($B81=$B80,$AH80,0)+$AG81</f>
        <v/>
      </c>
      <c r="AI81" s="55">
        <f>$AI80+$AG81</f>
        <v/>
      </c>
      <c r="AJ81" s="56">
        <f>IFERROR(IF(($AD81)&gt;0,($AG81)/($AD81),""),"")</f>
        <v/>
      </c>
      <c r="AK81" s="56">
        <f>IFERROR(IF(($AE81)&gt;0,($AH81)/($AE81),""),"")</f>
        <v/>
      </c>
      <c r="AL81" s="56">
        <f>IFERROR(IF(($AF81)&gt;0,($AI81)/($AF81),""),"")</f>
        <v/>
      </c>
      <c r="AM81" s="55">
        <f>SUMIFS(tblMiningDaily[Diesel_L],tblMiningDaily[Date],$A81)</f>
        <v/>
      </c>
      <c r="AN81" s="55">
        <f>IF($B81=$B80,$AN80,0)+$AM81</f>
        <v/>
      </c>
      <c r="AO81" s="55">
        <f>$AO80+$AM81</f>
        <v/>
      </c>
      <c r="AP81" s="55">
        <f>SUMIFS(tblMiningDaily[Dewatering_m3],tblMiningDaily[Date],$A81)</f>
        <v/>
      </c>
      <c r="AQ81" s="55">
        <f>IF($B81=$B80,$AQ80,0)+$AP81</f>
        <v/>
      </c>
      <c r="AR81" s="55">
        <f>$AR80+$AP81</f>
        <v/>
      </c>
      <c r="AS81" s="57">
        <f>SUMIFS(tblFleet[Calendar_h],tblFleet[Date],$A81,tblFleet[Equipment_Class],"Excavator")</f>
        <v/>
      </c>
      <c r="AT81" s="57">
        <f>IF($B81=$B80,$AT80,0)+$AS81</f>
        <v/>
      </c>
      <c r="AU81" s="57">
        <f>$AU80+$AS81</f>
        <v/>
      </c>
      <c r="AV81" s="57">
        <f>SUMIFS(tblFleet[Available_h],tblFleet[Date],$A81,tblFleet[Equipment_Class],"Excavator")</f>
        <v/>
      </c>
      <c r="AW81" s="57">
        <f>IF($B81=$B80,$AW80,0)+$AV81</f>
        <v/>
      </c>
      <c r="AX81" s="57">
        <f>$AX80+$AV81</f>
        <v/>
      </c>
      <c r="AY81" s="57">
        <f>SUMIFS(tblFleet[Operating_h],tblFleet[Date],$A81,tblFleet[Equipment_Class],"Excavator")</f>
        <v/>
      </c>
      <c r="AZ81" s="57">
        <f>IF($B81=$B80,$AZ80,0)+$AY81</f>
        <v/>
      </c>
      <c r="BA81" s="57">
        <f>$BA80+$AY81</f>
        <v/>
      </c>
      <c r="BB81" s="67">
        <f>IFERROR(IF(($AS81)&gt;0,($AV81)/($AS81),""),"")</f>
        <v/>
      </c>
      <c r="BC81" s="67">
        <f>IFERROR(IF(($AT81)&gt;0,($AW81)/($AT81),""),"")</f>
        <v/>
      </c>
      <c r="BD81" s="67">
        <f>IFERROR(IF(($AU81)&gt;0,($AX81)/($AU81),""),"")</f>
        <v/>
      </c>
      <c r="BE81" s="67">
        <f>IFERROR(IF(($AV81)&gt;0,($AY81)/($AV81),""),"")</f>
        <v/>
      </c>
      <c r="BF81" s="67">
        <f>IFERROR(IF(($AW81)&gt;0,($AZ81)/($AW81),""),"")</f>
        <v/>
      </c>
      <c r="BG81" s="67">
        <f>IFERROR(IF(($AX81)&gt;0,($BA81)/($AX81),""),"")</f>
        <v/>
      </c>
      <c r="BH81" s="57">
        <f>SUMIFS(tblFleet[Calendar_h],tblFleet[Date],$A81,tblFleet[Equipment_Class],"Haul Truck")</f>
        <v/>
      </c>
      <c r="BI81" s="57">
        <f>IF($B81=$B80,$BI80,0)+$BH81</f>
        <v/>
      </c>
      <c r="BJ81" s="57">
        <f>$BJ80+$BH81</f>
        <v/>
      </c>
      <c r="BK81" s="57">
        <f>SUMIFS(tblFleet[Available_h],tblFleet[Date],$A81,tblFleet[Equipment_Class],"Haul Truck")</f>
        <v/>
      </c>
      <c r="BL81" s="57">
        <f>IF($B81=$B80,$BL80,0)+$BK81</f>
        <v/>
      </c>
      <c r="BM81" s="57">
        <f>$BM80+$BK81</f>
        <v/>
      </c>
      <c r="BN81" s="57">
        <f>SUMIFS(tblFleet[Operating_h],tblFleet[Date],$A81,tblFleet[Equipment_Class],"Haul Truck")</f>
        <v/>
      </c>
      <c r="BO81" s="57">
        <f>IF($B81=$B80,$BO80,0)+$BN81</f>
        <v/>
      </c>
      <c r="BP81" s="57">
        <f>$BP80+$BN81</f>
        <v/>
      </c>
      <c r="BQ81" s="67">
        <f>IFERROR(IF(($BH81)&gt;0,($BK81)/($BH81),""),"")</f>
        <v/>
      </c>
      <c r="BR81" s="67">
        <f>IFERROR(IF(($BI81)&gt;0,($BL81)/($BI81),""),"")</f>
        <v/>
      </c>
      <c r="BS81" s="67">
        <f>IFERROR(IF(($BJ81)&gt;0,($BM81)/($BJ81),""),"")</f>
        <v/>
      </c>
      <c r="BT81" s="67">
        <f>IFERROR(IF(($BK81)&gt;0,($BN81)/($BK81),""),"")</f>
        <v/>
      </c>
      <c r="BU81" s="67">
        <f>IFERROR(IF(($BL81)&gt;0,($BO81)/($BL81),""),"")</f>
        <v/>
      </c>
      <c r="BV81" s="67">
        <f>IFERROR(IF(($BM81)&gt;0,($BP81)/($BM81),""),"")</f>
        <v/>
      </c>
      <c r="BW81" s="55">
        <f>SUMIFS(tblPlant[Crushed_t],tblPlant[Date],$A81)</f>
        <v/>
      </c>
      <c r="BX81" s="55">
        <f>IF($B81=$B80,$BX80,0)+$BW81</f>
        <v/>
      </c>
      <c r="BY81" s="55">
        <f>$BY80+$BW81</f>
        <v/>
      </c>
      <c r="BZ81" s="55">
        <f>SUMIFS(tblPlant[Milled_t],tblPlant[Date],$A81)</f>
        <v/>
      </c>
      <c r="CA81" s="55">
        <f>IF($B81=$B80,$CA80,0)+$BZ81</f>
        <v/>
      </c>
      <c r="CB81" s="55">
        <f>$CB80+$BZ81</f>
        <v/>
      </c>
      <c r="CC81" s="55">
        <f>SUMIFS(tblPlant[Feed_oz],tblPlant[Date],$A81)</f>
        <v/>
      </c>
      <c r="CD81" s="55">
        <f>IF($B81=$B80,$CD80,0)+$CC81</f>
        <v/>
      </c>
      <c r="CE81" s="55">
        <f>$CE80+$CC81</f>
        <v/>
      </c>
      <c r="CF81" s="55">
        <f>SUMIFS(tblPlant[Tails_oz],tblPlant[Date],$A81)</f>
        <v/>
      </c>
      <c r="CG81" s="55">
        <f>IF($B81=$B80,$CG80,0)+$CF81</f>
        <v/>
      </c>
      <c r="CH81" s="55">
        <f>$CH80+$CF81</f>
        <v/>
      </c>
      <c r="CI81" s="55">
        <f>SUMIFS(tblPlant[Recovered_oz],tblPlant[Date],$A81)</f>
        <v/>
      </c>
      <c r="CJ81" s="55">
        <f>IF($B81=$B80,$CJ80,0)+$CI81</f>
        <v/>
      </c>
      <c r="CK81" s="55">
        <f>$CK80+$CI81</f>
        <v/>
      </c>
      <c r="CL81" s="56">
        <f>IFERROR(IF(($BZ81)&gt;0,($CC81*cfg_TroyOz)/($BZ81),""),"")</f>
        <v/>
      </c>
      <c r="CM81" s="56">
        <f>IFERROR(IF(($CA81)&gt;0,($CD81*cfg_TroyOz)/($CA81),""),"")</f>
        <v/>
      </c>
      <c r="CN81" s="56">
        <f>IFERROR(IF(($CB81)&gt;0,($CE81*cfg_TroyOz)/($CB81),""),"")</f>
        <v/>
      </c>
      <c r="CO81" s="56">
        <f>IFERROR(IF(($BZ81)&gt;0,($CF81*cfg_TroyOz)/($BZ81),""),"")</f>
        <v/>
      </c>
      <c r="CP81" s="56">
        <f>IFERROR(IF(($CA81)&gt;0,($CG81*cfg_TroyOz)/($CA81),""),"")</f>
        <v/>
      </c>
      <c r="CQ81" s="56">
        <f>IFERROR(IF(($CB81)&gt;0,($CH81*cfg_TroyOz)/($CB81),""),"")</f>
        <v/>
      </c>
      <c r="CR81" s="67">
        <f>IFERROR(IF(($CC81)&gt;0,($CI81)/($CC81),""),"")</f>
        <v/>
      </c>
      <c r="CS81" s="67">
        <f>IFERROR(IF(($CD81)&gt;0,($CJ81)/($CD81),""),"")</f>
        <v/>
      </c>
      <c r="CT81" s="67">
        <f>IFERROR(IF(($CE81)&gt;0,($CK81)/($CE81),""),"")</f>
        <v/>
      </c>
      <c r="CU81" s="55">
        <f>SUMIFS(tblPlant[Gravity_Gold_oz],tblPlant[Date],$A81)</f>
        <v/>
      </c>
      <c r="CV81" s="55">
        <f>IF($B81=$B80,$CV80,0)+$CU81</f>
        <v/>
      </c>
      <c r="CW81" s="55">
        <f>$CW80+$CU81</f>
        <v/>
      </c>
      <c r="CX81" s="55">
        <f>SUMIFS(tblPlant[Gold_Poured_oz],tblPlant[Date],$A81)</f>
        <v/>
      </c>
      <c r="CY81" s="55">
        <f>IF($B81=$B80,$CY80,0)+$CX81</f>
        <v/>
      </c>
      <c r="CZ81" s="55">
        <f>$CZ80+$CX81</f>
        <v/>
      </c>
      <c r="DA81" s="57">
        <f>SUMIFS(tblPlant[Mill_Run_h],tblPlant[Date],$A81)</f>
        <v/>
      </c>
      <c r="DB81" s="57">
        <f>IF($B81=$B80,$DB80,0)+$DA81</f>
        <v/>
      </c>
      <c r="DC81" s="57">
        <f>$DC80+$DA81</f>
        <v/>
      </c>
      <c r="DD81" s="57">
        <f>SUMIFS(tblPlant[Mill_Planned_Maint_h],tblPlant[Date],$A81)</f>
        <v/>
      </c>
      <c r="DE81" s="57">
        <f>IF($B81=$B80,$DE80,0)+$DD81</f>
        <v/>
      </c>
      <c r="DF81" s="57">
        <f>$DF80+$DD81</f>
        <v/>
      </c>
      <c r="DG81" s="57">
        <f>SUMIFS(tblPlant[Mill_Unplanned_Down_h],tblPlant[Date],$A81)</f>
        <v/>
      </c>
      <c r="DH81" s="57">
        <f>IF($B81=$B80,$DH80,0)+$DG81</f>
        <v/>
      </c>
      <c r="DI81" s="57">
        <f>$DI80+$DG81</f>
        <v/>
      </c>
      <c r="DJ81" s="57">
        <f>COUNTIFS(tblPlant[Date],$A81,tblPlant[Mill_Run_h],"&lt;&gt;")*24</f>
        <v/>
      </c>
      <c r="DK81" s="57">
        <f>IF($B81=$B80,$DK80,0)+$DJ81</f>
        <v/>
      </c>
      <c r="DL81" s="57">
        <f>$DL80+$DJ81</f>
        <v/>
      </c>
      <c r="DM81" s="57">
        <f>SUMIFS(tblPlant[Crusher_Run_h],tblPlant[Date],$A81)</f>
        <v/>
      </c>
      <c r="DN81" s="57">
        <f>IF($B81=$B80,$DN80,0)+$DM81</f>
        <v/>
      </c>
      <c r="DO81" s="57">
        <f>$DO80+$DM81</f>
        <v/>
      </c>
      <c r="DP81" s="55">
        <f>IFERROR(IF(($DA81)&gt;0,($BZ81)/($DA81),""),"")</f>
        <v/>
      </c>
      <c r="DQ81" s="55">
        <f>IFERROR(IF(($DB81)&gt;0,($CA81)/($DB81),""),"")</f>
        <v/>
      </c>
      <c r="DR81" s="55">
        <f>IFERROR(IF(($DC81)&gt;0,($CB81)/($DC81),""),"")</f>
        <v/>
      </c>
      <c r="DS81" s="67">
        <f>IFERROR(IF(($DJ81)&gt;0,($DJ81-$DD81-$DG81)/($DJ81),""),"")</f>
        <v/>
      </c>
      <c r="DT81" s="67">
        <f>IFERROR(IF(($DK81)&gt;0,($DK81-$DE81-$DH81)/($DK81),""),"")</f>
        <v/>
      </c>
      <c r="DU81" s="67">
        <f>IFERROR(IF(($DL81)&gt;0,($DL81-$DF81-$DI81)/($DL81),""),"")</f>
        <v/>
      </c>
      <c r="DV81" s="67">
        <f>IFERROR(IF(($DJ81-$DD81-$DG81)&gt;0,($DA81)/($DJ81-$DD81-$DG81),""),"")</f>
        <v/>
      </c>
      <c r="DW81" s="67">
        <f>IFERROR(IF(($DK81-$DE81-$DH81)&gt;0,($DB81)/($DK81-$DE81-$DH81),""),"")</f>
        <v/>
      </c>
      <c r="DX81" s="67">
        <f>IFERROR(IF(($DL81-$DF81-$DI81)&gt;0,($DC81)/($DL81-$DF81-$DI81),""),"")</f>
        <v/>
      </c>
      <c r="DY81" s="55">
        <f>SUMIFS(tblPlant[Cyanide_kg],tblPlant[Date],$A81)</f>
        <v/>
      </c>
      <c r="DZ81" s="55">
        <f>IF($B81=$B80,$DZ80,0)+$DY81</f>
        <v/>
      </c>
      <c r="EA81" s="55">
        <f>$EA80+$DY81</f>
        <v/>
      </c>
      <c r="EB81" s="55">
        <f>SUMIFS(tblPlant[Lime_kg],tblPlant[Date],$A81)</f>
        <v/>
      </c>
      <c r="EC81" s="55">
        <f>IF($B81=$B80,$EC80,0)+$EB81</f>
        <v/>
      </c>
      <c r="ED81" s="55">
        <f>$ED80+$EB81</f>
        <v/>
      </c>
      <c r="EE81" s="55">
        <f>SUMIFS(tblPlant[Grinding_Media_kg],tblPlant[Date],$A81)</f>
        <v/>
      </c>
      <c r="EF81" s="55">
        <f>IF($B81=$B80,$EF80,0)+$EE81</f>
        <v/>
      </c>
      <c r="EG81" s="55">
        <f>$EG80+$EE81</f>
        <v/>
      </c>
      <c r="EH81" s="55">
        <f>SUMIFS(tblPlant[Power_kWh],tblPlant[Date],$A81)</f>
        <v/>
      </c>
      <c r="EI81" s="55">
        <f>IF($B81=$B80,$EI80,0)+$EH81</f>
        <v/>
      </c>
      <c r="EJ81" s="55">
        <f>$EJ80+$EH81</f>
        <v/>
      </c>
      <c r="EK81" s="55">
        <f>SUMIFS(tblPlant[Raw_Water_m3],tblPlant[Date],$A81)</f>
        <v/>
      </c>
      <c r="EL81" s="55">
        <f>IF($B81=$B80,$EL80,0)+$EK81</f>
        <v/>
      </c>
      <c r="EM81" s="55">
        <f>$EM80+$EK81</f>
        <v/>
      </c>
      <c r="EN81" s="56">
        <f>IFERROR(IF(($BZ81)&gt;0,($DY81)/($BZ81),""),"")</f>
        <v/>
      </c>
      <c r="EO81" s="56">
        <f>IFERROR(IF(($CA81)&gt;0,($DZ81)/($CA81),""),"")</f>
        <v/>
      </c>
      <c r="EP81" s="56">
        <f>IFERROR(IF(($CB81)&gt;0,($EA81)/($CB81),""),"")</f>
        <v/>
      </c>
      <c r="EQ81" s="56">
        <f>IFERROR(IF(($BZ81)&gt;0,($EB81)/($BZ81),""),"")</f>
        <v/>
      </c>
      <c r="ER81" s="56">
        <f>IFERROR(IF(($CA81)&gt;0,($EC81)/($CA81),""),"")</f>
        <v/>
      </c>
      <c r="ES81" s="56">
        <f>IFERROR(IF(($CB81)&gt;0,($ED81)/($CB81),""),"")</f>
        <v/>
      </c>
      <c r="ET81" s="56">
        <f>IFERROR(IF(($BZ81)&gt;0,($EE81)/($BZ81),""),"")</f>
        <v/>
      </c>
      <c r="EU81" s="56">
        <f>IFERROR(IF(($CA81)&gt;0,($EF81)/($CA81),""),"")</f>
        <v/>
      </c>
      <c r="EV81" s="56">
        <f>IFERROR(IF(($CB81)&gt;0,($EG81)/($CB81),""),"")</f>
        <v/>
      </c>
      <c r="EW81" s="76">
        <f>IFERROR(IF(($BZ81)&gt;0,($EH81)/($BZ81),""),"")</f>
        <v/>
      </c>
      <c r="EX81" s="76">
        <f>IFERROR(IF(($CA81)&gt;0,($EI81)/($CA81),""),"")</f>
        <v/>
      </c>
      <c r="EY81" s="76">
        <f>IFERROR(IF(($CB81)&gt;0,($EJ81)/($CB81),""),"")</f>
        <v/>
      </c>
      <c r="EZ81" s="56">
        <f>IFERROR(IF(($BZ81)&gt;0,($EK81)/($BZ81),""),"")</f>
        <v/>
      </c>
      <c r="FA81" s="56">
        <f>IFERROR(IF(($CA81)&gt;0,($EL81)/($CA81),""),"")</f>
        <v/>
      </c>
      <c r="FB81" s="56">
        <f>IFERROR(IF(($CB81)&gt;0,($EM81)/($CB81),""),"")</f>
        <v/>
      </c>
      <c r="FC81" s="55">
        <f>IF(SUMIFS(tblPlant[GIC_oz],tblPlant[Date],$A81)&gt;0,SUMIFS(tblPlant[GIC_oz],tblPlant[Date],$A81),"")</f>
        <v/>
      </c>
      <c r="FD81" s="55">
        <f>SUMIFS(tblGold[Gold_oz],tblGold[Date],$A81,tblGold[Type],"Shipment")</f>
        <v/>
      </c>
      <c r="FE81" s="55">
        <f>IF($B81=$B80,$FE80,0)+$FD81</f>
        <v/>
      </c>
      <c r="FF81" s="55">
        <f>$FF80+$FD81</f>
        <v/>
      </c>
      <c r="FG81" s="55">
        <f>SUMIFS(tblGold[Gold_oz],tblGold[Date],$A81,tblGold[Type],"Sale")</f>
        <v/>
      </c>
      <c r="FH81" s="55">
        <f>IF($B81=$B80,$FH80,0)+$FG81</f>
        <v/>
      </c>
      <c r="FI81" s="55">
        <f>$FI80+$FG81</f>
        <v/>
      </c>
      <c r="FJ81" s="55">
        <f>SUMIFS(tblGold[Dore_kg],tblGold[Date],$A81,tblGold[Type],"Shipment")</f>
        <v/>
      </c>
      <c r="FK81" s="55">
        <f>IF($B81=$B80,$FK80,0)+$FJ81</f>
        <v/>
      </c>
      <c r="FL81" s="55">
        <f>$FL80+$FJ81</f>
        <v/>
      </c>
      <c r="FM81" s="57">
        <f>SUMIFS(tblSafety[Hours_Total],tblSafety[Date],$A81)</f>
        <v/>
      </c>
      <c r="FN81" s="57">
        <f>IF($B81=$B80,$FN80,0)+$FM81</f>
        <v/>
      </c>
      <c r="FO81" s="57">
        <f>$FO80+$FM81</f>
        <v/>
      </c>
      <c r="FP81" s="62">
        <f>SUMIFS(tblSafety[Fatality],tblSafety[Date],$A81)</f>
        <v/>
      </c>
      <c r="FQ81" s="62">
        <f>IF($B81=$B80,$FQ80,0)+$FP81</f>
        <v/>
      </c>
      <c r="FR81" s="62">
        <f>$FR80+$FP81</f>
        <v/>
      </c>
      <c r="FS81" s="62">
        <f>SUMIFS(tblSafety[LTI],tblSafety[Date],$A81)</f>
        <v/>
      </c>
      <c r="FT81" s="62">
        <f>IF($B81=$B80,$FT80,0)+$FS81</f>
        <v/>
      </c>
      <c r="FU81" s="62">
        <f>$FU80+$FS81</f>
        <v/>
      </c>
      <c r="FV81" s="62">
        <f>SUMIFS(tblSafety[RWI],tblSafety[Date],$A81)</f>
        <v/>
      </c>
      <c r="FW81" s="62">
        <f>IF($B81=$B80,$FW80,0)+$FV81</f>
        <v/>
      </c>
      <c r="FX81" s="62">
        <f>$FX80+$FV81</f>
        <v/>
      </c>
      <c r="FY81" s="62">
        <f>SUMIFS(tblSafety[MTI],tblSafety[Date],$A81)</f>
        <v/>
      </c>
      <c r="FZ81" s="62">
        <f>IF($B81=$B80,$FZ80,0)+$FY81</f>
        <v/>
      </c>
      <c r="GA81" s="62">
        <f>$GA80+$FY81</f>
        <v/>
      </c>
      <c r="GB81" s="62">
        <f>SUMIFS(tblSafety[FAI],tblSafety[Date],$A81)</f>
        <v/>
      </c>
      <c r="GC81" s="62">
        <f>IF($B81=$B80,$GC80,0)+$GB81</f>
        <v/>
      </c>
      <c r="GD81" s="62">
        <f>$GD80+$GB81</f>
        <v/>
      </c>
      <c r="GE81" s="62">
        <f>SUMIFS(tblSafety[Recordables],tblSafety[Date],$A81)</f>
        <v/>
      </c>
      <c r="GF81" s="62">
        <f>IF($B81=$B80,$GF80,0)+$GE81</f>
        <v/>
      </c>
      <c r="GG81" s="62">
        <f>$GG80+$GE81</f>
        <v/>
      </c>
      <c r="GH81" s="62">
        <f>SUMIFS(tblSafety[Near_Miss],tblSafety[Date],$A81)</f>
        <v/>
      </c>
      <c r="GI81" s="62">
        <f>IF($B81=$B80,$GI80,0)+$GH81</f>
        <v/>
      </c>
      <c r="GJ81" s="62">
        <f>$GJ80+$GH81</f>
        <v/>
      </c>
      <c r="GK81" s="62">
        <f>SUMIFS(tblSafety[Hazard_Reports],tblSafety[Date],$A81)</f>
        <v/>
      </c>
      <c r="GL81" s="62">
        <f>IF($B81=$B80,$GL80,0)+$GK81</f>
        <v/>
      </c>
      <c r="GM81" s="62">
        <f>$GM80+$GK81</f>
        <v/>
      </c>
      <c r="GN81" s="62">
        <f>SUMIFS(tblSafety[HPI],tblSafety[Date],$A81)</f>
        <v/>
      </c>
      <c r="GO81" s="62">
        <f>IF($B81=$B80,$GO80,0)+$GN81</f>
        <v/>
      </c>
      <c r="GP81" s="62">
        <f>$GP80+$GN81</f>
        <v/>
      </c>
      <c r="GQ81" s="62">
        <f>SUMIFS(tblSafety[Env_Incidents],tblSafety[Date],$A81)</f>
        <v/>
      </c>
      <c r="GR81" s="62">
        <f>IF($B81=$B80,$GR80,0)+$GQ81</f>
        <v/>
      </c>
      <c r="GS81" s="62">
        <f>$GS80+$GQ81</f>
        <v/>
      </c>
      <c r="GT81" s="62">
        <f>SUMIFS(tblSafety[Community_Incidents],tblSafety[Date],$A81)</f>
        <v/>
      </c>
      <c r="GU81" s="62">
        <f>IF($B81=$B80,$GU80,0)+$GT81</f>
        <v/>
      </c>
      <c r="GV81" s="62">
        <f>$GV80+$GT81</f>
        <v/>
      </c>
      <c r="GW81" s="62">
        <f>SUMIFS(tblSafety[Vehicle_Incidents],tblSafety[Date],$A81)</f>
        <v/>
      </c>
      <c r="GX81" s="62">
        <f>IF($B81=$B80,$GX80,0)+$GW81</f>
        <v/>
      </c>
      <c r="GY81" s="62">
        <f>$GY80+$GW81</f>
        <v/>
      </c>
      <c r="GZ81" s="62">
        <f>SUMIFS(tblSafety[Toolbox_Talks],tblSafety[Date],$A81)</f>
        <v/>
      </c>
      <c r="HA81" s="62">
        <f>IF($B81=$B80,$HA80,0)+$GZ81</f>
        <v/>
      </c>
      <c r="HB81" s="62">
        <f>$HB80+$GZ81</f>
        <v/>
      </c>
      <c r="HC81" s="62">
        <f>SUMIFS(tblSafety[Inspections],tblSafety[Date],$A81)</f>
        <v/>
      </c>
      <c r="HD81" s="62">
        <f>IF($B81=$B80,$HD80,0)+$HC81</f>
        <v/>
      </c>
      <c r="HE81" s="62">
        <f>$HE80+$HC81</f>
        <v/>
      </c>
      <c r="HF81" s="56">
        <f>IFERROR((SUMIFS(tblSafety[Recordables],tblSafety[Date],"&gt;="&amp;EDATE($E81,-12),tblSafety[Date],"&lt;="&amp;$A81)+SUMIFS(tblSafetyHistory[Recordables],tblSafetyHistory[Month],"&gt;="&amp;EDATE($E81,-12),tblSafetyHistory[Month],"&lt;"&amp;cfg_YearStart))/(SUMIFS(tblSafety[Hours_Total],tblSafety[Date],"&gt;="&amp;EDATE($E81,-12),tblSafety[Date],"&lt;="&amp;$A81)+SUMIFS(tblSafetyHistory[Hours_Total],tblSafetyHistory[Month],"&gt;="&amp;EDATE($E81,-12),tblSafetyHistory[Month],"&lt;"&amp;cfg_YearStart))*1000000,"")</f>
        <v/>
      </c>
      <c r="HG81" s="56">
        <f>IFERROR((SUMIFS(tblSafety[LTI],tblSafety[Date],"&gt;="&amp;EDATE($E81,-12),tblSafety[Date],"&lt;="&amp;$A81)+SUMIFS(tblSafetyHistory[LTI],tblSafetyHistory[Month],"&gt;="&amp;EDATE($E81,-12),tblSafetyHistory[Month],"&lt;"&amp;cfg_YearStart))/(SUMIFS(tblSafety[Hours_Total],tblSafety[Date],"&gt;="&amp;EDATE($E81,-12),tblSafety[Date],"&lt;="&amp;$A81)+SUMIFS(tblSafetyHistory[Hours_Total],tblSafetyHistory[Month],"&gt;="&amp;EDATE($E81,-12),tblSafetyHistory[Month],"&lt;"&amp;cfg_YearStart))*1000000,"")</f>
        <v/>
      </c>
      <c r="HH81" s="62">
        <f>IF(MAX(N(cfg_PriorLTIDate),_xlfn.MAXIFS(tblSafety[Date],tblSafety[LTI],"&gt;0",tblSafety[Date],"&lt;="&amp;$A81))=0,"",$A81-MAX(N(cfg_PriorLTIDate),_xlfn.MAXIFS(tblSafety[Date],tblSafety[LTI],"&gt;0",tblSafety[Date],"&lt;="&amp;$A81)))</f>
        <v/>
      </c>
      <c r="HI81" s="55">
        <f>SUMIFS(tblBudget[Ore_Mined_t],tblBudget[Month],$E81)</f>
        <v/>
      </c>
      <c r="HJ81" s="55">
        <f>$HI81*$C81/$D81</f>
        <v/>
      </c>
      <c r="HK81" s="55">
        <f>SUMIFS(tblBudget[Ore_Mined_t],tblBudget[Month],"&lt;"&amp;$E81)+$HJ81</f>
        <v/>
      </c>
      <c r="HL81" s="55">
        <f>SUMIFS(tblBudget[Ore_oz],tblBudget[Month],$E81)</f>
        <v/>
      </c>
      <c r="HM81" s="55">
        <f>$HL81*$C81/$D81</f>
        <v/>
      </c>
      <c r="HN81" s="55">
        <f>SUMIFS(tblBudget[Ore_oz],tblBudget[Month],"&lt;"&amp;$E81)+$HM81</f>
        <v/>
      </c>
      <c r="HO81" s="56">
        <f>IFERROR(IF(($HI81)&gt;0,($HL81*cfg_TroyOz)/($HI81),""),"")</f>
        <v/>
      </c>
      <c r="HP81" s="56">
        <f>IFERROR(IF(($HJ81)&gt;0,($HM81*cfg_TroyOz)/($HJ81),""),"")</f>
        <v/>
      </c>
      <c r="HQ81" s="56">
        <f>IFERROR(IF(($HK81)&gt;0,($HN81*cfg_TroyOz)/($HK81),""),"")</f>
        <v/>
      </c>
      <c r="HR81" s="55">
        <f>SUMIFS(tblBudget[Waste_t],tblBudget[Month],$E81)</f>
        <v/>
      </c>
      <c r="HS81" s="55">
        <f>$HR81*$C81/$D81</f>
        <v/>
      </c>
      <c r="HT81" s="55">
        <f>SUMIFS(tblBudget[Waste_t],tblBudget[Month],"&lt;"&amp;$E81)+$HS81</f>
        <v/>
      </c>
      <c r="HU81" s="55">
        <f>SUMIFS(tblBudget[TMM_t],tblBudget[Month],$E81)</f>
        <v/>
      </c>
      <c r="HV81" s="55">
        <f>$HU81*$C81/$D81</f>
        <v/>
      </c>
      <c r="HW81" s="55">
        <f>SUMIFS(tblBudget[TMM_t],tblBudget[Month],"&lt;"&amp;$E81)+$HV81</f>
        <v/>
      </c>
      <c r="HX81" s="56">
        <f>IFERROR(IF(($HI81)&gt;0,($HR81)/($HI81),""),"")</f>
        <v/>
      </c>
      <c r="HY81" s="56">
        <f>IFERROR(IF(($HJ81)&gt;0,($HS81)/($HJ81),""),"")</f>
        <v/>
      </c>
      <c r="HZ81" s="56">
        <f>IFERROR(IF(($HK81)&gt;0,($HT81)/($HK81),""),"")</f>
        <v/>
      </c>
      <c r="IA81" s="55">
        <f>SUMIFS(tblBudget[Drill_m],tblBudget[Month],$E81)</f>
        <v/>
      </c>
      <c r="IB81" s="55">
        <f>$IA81*$C81/$D81</f>
        <v/>
      </c>
      <c r="IC81" s="55">
        <f>SUMIFS(tblBudget[Drill_m],tblBudget[Month],"&lt;"&amp;$E81)+$IB81</f>
        <v/>
      </c>
      <c r="ID81" s="55">
        <f>SUMIFS(tblBudget[Diesel_L],tblBudget[Month],$E81)</f>
        <v/>
      </c>
      <c r="IE81" s="55">
        <f>$ID81*$C81/$D81</f>
        <v/>
      </c>
      <c r="IF81" s="55">
        <f>SUMIFS(tblBudget[Diesel_L],tblBudget[Month],"&lt;"&amp;$E81)+$IE81</f>
        <v/>
      </c>
      <c r="IG81" s="55">
        <f>SUMIFS(tblBudget[Milled_t],tblBudget[Month],$E81)</f>
        <v/>
      </c>
      <c r="IH81" s="55">
        <f>$IG81*$C81/$D81</f>
        <v/>
      </c>
      <c r="II81" s="55">
        <f>SUMIFS(tblBudget[Milled_t],tblBudget[Month],"&lt;"&amp;$E81)+$IH81</f>
        <v/>
      </c>
      <c r="IJ81" s="55">
        <f>SUMIFS(tblBudget[Feed_oz],tblBudget[Month],$E81)</f>
        <v/>
      </c>
      <c r="IK81" s="55">
        <f>$IJ81*$C81/$D81</f>
        <v/>
      </c>
      <c r="IL81" s="55">
        <f>SUMIFS(tblBudget[Feed_oz],tblBudget[Month],"&lt;"&amp;$E81)+$IK81</f>
        <v/>
      </c>
      <c r="IM81" s="55">
        <f>SUMIFS(tblBudget[Recovered_oz],tblBudget[Month],$E81)</f>
        <v/>
      </c>
      <c r="IN81" s="55">
        <f>$IM81*$C81/$D81</f>
        <v/>
      </c>
      <c r="IO81" s="55">
        <f>SUMIFS(tblBudget[Recovered_oz],tblBudget[Month],"&lt;"&amp;$E81)+$IN81</f>
        <v/>
      </c>
      <c r="IP81" s="56">
        <f>IFERROR(IF(($IG81)&gt;0,($IJ81*cfg_TroyOz)/($IG81),""),"")</f>
        <v/>
      </c>
      <c r="IQ81" s="56">
        <f>IFERROR(IF(($IH81)&gt;0,($IK81*cfg_TroyOz)/($IH81),""),"")</f>
        <v/>
      </c>
      <c r="IR81" s="56">
        <f>IFERROR(IF(($II81)&gt;0,($IL81*cfg_TroyOz)/($II81),""),"")</f>
        <v/>
      </c>
      <c r="IS81" s="67">
        <f>IFERROR(IF(($IJ81)&gt;0,($IM81)/($IJ81),""),"")</f>
        <v/>
      </c>
      <c r="IT81" s="67">
        <f>IFERROR(IF(($IK81)&gt;0,($IN81)/($IK81),""),"")</f>
        <v/>
      </c>
      <c r="IU81" s="67">
        <f>IFERROR(IF(($IL81)&gt;0,($IO81)/($IL81),""),"")</f>
        <v/>
      </c>
      <c r="IV81" s="55">
        <f>SUMIFS(tblBudget[Gold_Poured_oz],tblBudget[Month],$E81)</f>
        <v/>
      </c>
      <c r="IW81" s="55">
        <f>$IV81*$C81/$D81</f>
        <v/>
      </c>
      <c r="IX81" s="55">
        <f>SUMIFS(tblBudget[Gold_Poured_oz],tblBudget[Month],"&lt;"&amp;$E81)+$IW81</f>
        <v/>
      </c>
      <c r="IY81" s="57">
        <f>SUMIFS(tblBudget[Hours_Worked],tblBudget[Month],$E81)</f>
        <v/>
      </c>
      <c r="IZ81" s="57">
        <f>$IY81*$C81/$D81</f>
        <v/>
      </c>
      <c r="JA81" s="57">
        <f>SUMIFS(tblBudget[Hours_Worked],tblBudget[Month],"&lt;"&amp;$E81)+$IZ81</f>
        <v/>
      </c>
    </row>
    <row r="82">
      <c r="A82" s="54" t="n">
        <v>46103</v>
      </c>
      <c r="B82">
        <f>MONTH($A82)</f>
        <v/>
      </c>
      <c r="C82">
        <f>DAY($A82)</f>
        <v/>
      </c>
      <c r="D82">
        <f>DAY(EOMONTH($A82,0))</f>
        <v/>
      </c>
      <c r="E82" s="54">
        <f>DATE(YEAR($A82),MONTH($A82),1)</f>
        <v/>
      </c>
      <c r="F82" s="55">
        <f>SUMIFS(tblMovement[Tonnes_t],tblMovement[Date],$A82,tblMovement[Is_Ore],1,tblMovement[Source_Type],"Pit")</f>
        <v/>
      </c>
      <c r="G82" s="55">
        <f>IF($B82=$B81,$G81,0)+$F82</f>
        <v/>
      </c>
      <c r="H82" s="55">
        <f>$H81+$F82</f>
        <v/>
      </c>
      <c r="I82" s="55">
        <f>SUMIFS(tblMovement[Ore_oz],tblMovement[Date],$A82,tblMovement[Source_Type],"Pit")</f>
        <v/>
      </c>
      <c r="J82" s="55">
        <f>IF($B82=$B81,$J81,0)+$I82</f>
        <v/>
      </c>
      <c r="K82" s="55">
        <f>$K81+$I82</f>
        <v/>
      </c>
      <c r="L82" s="56">
        <f>IFERROR(IF(($F82)&gt;0,($I82*cfg_TroyOz)/($F82),""),"")</f>
        <v/>
      </c>
      <c r="M82" s="56">
        <f>IFERROR(IF(($G82)&gt;0,($J82*cfg_TroyOz)/($G82),""),"")</f>
        <v/>
      </c>
      <c r="N82" s="56">
        <f>IFERROR(IF(($H82)&gt;0,($K82*cfg_TroyOz)/($H82),""),"")</f>
        <v/>
      </c>
      <c r="O82" s="55">
        <f>SUMIFS(tblMovement[Tonnes_t],tblMovement[Date],$A82,tblMovement[Is_Ore],0,tblMovement[Source_Type],"Pit")</f>
        <v/>
      </c>
      <c r="P82" s="55">
        <f>IF($B82=$B81,$P81,0)+$O82</f>
        <v/>
      </c>
      <c r="Q82" s="55">
        <f>$Q81+$O82</f>
        <v/>
      </c>
      <c r="R82" s="55">
        <f>$F82+$O82</f>
        <v/>
      </c>
      <c r="S82" s="55">
        <f>IF($B82=$B81,$S81,0)+$R82</f>
        <v/>
      </c>
      <c r="T82" s="55">
        <f>$T81+$R82</f>
        <v/>
      </c>
      <c r="U82" s="56">
        <f>IFERROR(IF(($F82)&gt;0,($O82)/($F82),""),"")</f>
        <v/>
      </c>
      <c r="V82" s="56">
        <f>IFERROR(IF(($G82)&gt;0,($P82)/($G82),""),"")</f>
        <v/>
      </c>
      <c r="W82" s="56">
        <f>IFERROR(IF(($H82)&gt;0,($Q82)/($H82),""),"")</f>
        <v/>
      </c>
      <c r="X82" s="55">
        <f>SUMIFS(tblMovement[Tonnes_t],tblMovement[Date],$A82,tblMovement[Source_Type],"Stockpile")</f>
        <v/>
      </c>
      <c r="Y82" s="55">
        <f>IF($B82=$B81,$Y81,0)+$X82</f>
        <v/>
      </c>
      <c r="Z82" s="55">
        <f>$Z81+$X82</f>
        <v/>
      </c>
      <c r="AA82" s="55">
        <f>SUMIFS(tblMiningDaily[Drill_m],tblMiningDaily[Date],$A82)</f>
        <v/>
      </c>
      <c r="AB82" s="55">
        <f>IF($B82=$B81,$AB81,0)+$AA82</f>
        <v/>
      </c>
      <c r="AC82" s="55">
        <f>$AC81+$AA82</f>
        <v/>
      </c>
      <c r="AD82" s="55">
        <f>SUMIFS(tblMiningDaily[Blast_t],tblMiningDaily[Date],$A82)</f>
        <v/>
      </c>
      <c r="AE82" s="55">
        <f>IF($B82=$B81,$AE81,0)+$AD82</f>
        <v/>
      </c>
      <c r="AF82" s="55">
        <f>$AF81+$AD82</f>
        <v/>
      </c>
      <c r="AG82" s="55">
        <f>SUMIFS(tblMiningDaily[Explosives_kg],tblMiningDaily[Date],$A82)</f>
        <v/>
      </c>
      <c r="AH82" s="55">
        <f>IF($B82=$B81,$AH81,0)+$AG82</f>
        <v/>
      </c>
      <c r="AI82" s="55">
        <f>$AI81+$AG82</f>
        <v/>
      </c>
      <c r="AJ82" s="56">
        <f>IFERROR(IF(($AD82)&gt;0,($AG82)/($AD82),""),"")</f>
        <v/>
      </c>
      <c r="AK82" s="56">
        <f>IFERROR(IF(($AE82)&gt;0,($AH82)/($AE82),""),"")</f>
        <v/>
      </c>
      <c r="AL82" s="56">
        <f>IFERROR(IF(($AF82)&gt;0,($AI82)/($AF82),""),"")</f>
        <v/>
      </c>
      <c r="AM82" s="55">
        <f>SUMIFS(tblMiningDaily[Diesel_L],tblMiningDaily[Date],$A82)</f>
        <v/>
      </c>
      <c r="AN82" s="55">
        <f>IF($B82=$B81,$AN81,0)+$AM82</f>
        <v/>
      </c>
      <c r="AO82" s="55">
        <f>$AO81+$AM82</f>
        <v/>
      </c>
      <c r="AP82" s="55">
        <f>SUMIFS(tblMiningDaily[Dewatering_m3],tblMiningDaily[Date],$A82)</f>
        <v/>
      </c>
      <c r="AQ82" s="55">
        <f>IF($B82=$B81,$AQ81,0)+$AP82</f>
        <v/>
      </c>
      <c r="AR82" s="55">
        <f>$AR81+$AP82</f>
        <v/>
      </c>
      <c r="AS82" s="57">
        <f>SUMIFS(tblFleet[Calendar_h],tblFleet[Date],$A82,tblFleet[Equipment_Class],"Excavator")</f>
        <v/>
      </c>
      <c r="AT82" s="57">
        <f>IF($B82=$B81,$AT81,0)+$AS82</f>
        <v/>
      </c>
      <c r="AU82" s="57">
        <f>$AU81+$AS82</f>
        <v/>
      </c>
      <c r="AV82" s="57">
        <f>SUMIFS(tblFleet[Available_h],tblFleet[Date],$A82,tblFleet[Equipment_Class],"Excavator")</f>
        <v/>
      </c>
      <c r="AW82" s="57">
        <f>IF($B82=$B81,$AW81,0)+$AV82</f>
        <v/>
      </c>
      <c r="AX82" s="57">
        <f>$AX81+$AV82</f>
        <v/>
      </c>
      <c r="AY82" s="57">
        <f>SUMIFS(tblFleet[Operating_h],tblFleet[Date],$A82,tblFleet[Equipment_Class],"Excavator")</f>
        <v/>
      </c>
      <c r="AZ82" s="57">
        <f>IF($B82=$B81,$AZ81,0)+$AY82</f>
        <v/>
      </c>
      <c r="BA82" s="57">
        <f>$BA81+$AY82</f>
        <v/>
      </c>
      <c r="BB82" s="67">
        <f>IFERROR(IF(($AS82)&gt;0,($AV82)/($AS82),""),"")</f>
        <v/>
      </c>
      <c r="BC82" s="67">
        <f>IFERROR(IF(($AT82)&gt;0,($AW82)/($AT82),""),"")</f>
        <v/>
      </c>
      <c r="BD82" s="67">
        <f>IFERROR(IF(($AU82)&gt;0,($AX82)/($AU82),""),"")</f>
        <v/>
      </c>
      <c r="BE82" s="67">
        <f>IFERROR(IF(($AV82)&gt;0,($AY82)/($AV82),""),"")</f>
        <v/>
      </c>
      <c r="BF82" s="67">
        <f>IFERROR(IF(($AW82)&gt;0,($AZ82)/($AW82),""),"")</f>
        <v/>
      </c>
      <c r="BG82" s="67">
        <f>IFERROR(IF(($AX82)&gt;0,($BA82)/($AX82),""),"")</f>
        <v/>
      </c>
      <c r="BH82" s="57">
        <f>SUMIFS(tblFleet[Calendar_h],tblFleet[Date],$A82,tblFleet[Equipment_Class],"Haul Truck")</f>
        <v/>
      </c>
      <c r="BI82" s="57">
        <f>IF($B82=$B81,$BI81,0)+$BH82</f>
        <v/>
      </c>
      <c r="BJ82" s="57">
        <f>$BJ81+$BH82</f>
        <v/>
      </c>
      <c r="BK82" s="57">
        <f>SUMIFS(tblFleet[Available_h],tblFleet[Date],$A82,tblFleet[Equipment_Class],"Haul Truck")</f>
        <v/>
      </c>
      <c r="BL82" s="57">
        <f>IF($B82=$B81,$BL81,0)+$BK82</f>
        <v/>
      </c>
      <c r="BM82" s="57">
        <f>$BM81+$BK82</f>
        <v/>
      </c>
      <c r="BN82" s="57">
        <f>SUMIFS(tblFleet[Operating_h],tblFleet[Date],$A82,tblFleet[Equipment_Class],"Haul Truck")</f>
        <v/>
      </c>
      <c r="BO82" s="57">
        <f>IF($B82=$B81,$BO81,0)+$BN82</f>
        <v/>
      </c>
      <c r="BP82" s="57">
        <f>$BP81+$BN82</f>
        <v/>
      </c>
      <c r="BQ82" s="67">
        <f>IFERROR(IF(($BH82)&gt;0,($BK82)/($BH82),""),"")</f>
        <v/>
      </c>
      <c r="BR82" s="67">
        <f>IFERROR(IF(($BI82)&gt;0,($BL82)/($BI82),""),"")</f>
        <v/>
      </c>
      <c r="BS82" s="67">
        <f>IFERROR(IF(($BJ82)&gt;0,($BM82)/($BJ82),""),"")</f>
        <v/>
      </c>
      <c r="BT82" s="67">
        <f>IFERROR(IF(($BK82)&gt;0,($BN82)/($BK82),""),"")</f>
        <v/>
      </c>
      <c r="BU82" s="67">
        <f>IFERROR(IF(($BL82)&gt;0,($BO82)/($BL82),""),"")</f>
        <v/>
      </c>
      <c r="BV82" s="67">
        <f>IFERROR(IF(($BM82)&gt;0,($BP82)/($BM82),""),"")</f>
        <v/>
      </c>
      <c r="BW82" s="55">
        <f>SUMIFS(tblPlant[Crushed_t],tblPlant[Date],$A82)</f>
        <v/>
      </c>
      <c r="BX82" s="55">
        <f>IF($B82=$B81,$BX81,0)+$BW82</f>
        <v/>
      </c>
      <c r="BY82" s="55">
        <f>$BY81+$BW82</f>
        <v/>
      </c>
      <c r="BZ82" s="55">
        <f>SUMIFS(tblPlant[Milled_t],tblPlant[Date],$A82)</f>
        <v/>
      </c>
      <c r="CA82" s="55">
        <f>IF($B82=$B81,$CA81,0)+$BZ82</f>
        <v/>
      </c>
      <c r="CB82" s="55">
        <f>$CB81+$BZ82</f>
        <v/>
      </c>
      <c r="CC82" s="55">
        <f>SUMIFS(tblPlant[Feed_oz],tblPlant[Date],$A82)</f>
        <v/>
      </c>
      <c r="CD82" s="55">
        <f>IF($B82=$B81,$CD81,0)+$CC82</f>
        <v/>
      </c>
      <c r="CE82" s="55">
        <f>$CE81+$CC82</f>
        <v/>
      </c>
      <c r="CF82" s="55">
        <f>SUMIFS(tblPlant[Tails_oz],tblPlant[Date],$A82)</f>
        <v/>
      </c>
      <c r="CG82" s="55">
        <f>IF($B82=$B81,$CG81,0)+$CF82</f>
        <v/>
      </c>
      <c r="CH82" s="55">
        <f>$CH81+$CF82</f>
        <v/>
      </c>
      <c r="CI82" s="55">
        <f>SUMIFS(tblPlant[Recovered_oz],tblPlant[Date],$A82)</f>
        <v/>
      </c>
      <c r="CJ82" s="55">
        <f>IF($B82=$B81,$CJ81,0)+$CI82</f>
        <v/>
      </c>
      <c r="CK82" s="55">
        <f>$CK81+$CI82</f>
        <v/>
      </c>
      <c r="CL82" s="56">
        <f>IFERROR(IF(($BZ82)&gt;0,($CC82*cfg_TroyOz)/($BZ82),""),"")</f>
        <v/>
      </c>
      <c r="CM82" s="56">
        <f>IFERROR(IF(($CA82)&gt;0,($CD82*cfg_TroyOz)/($CA82),""),"")</f>
        <v/>
      </c>
      <c r="CN82" s="56">
        <f>IFERROR(IF(($CB82)&gt;0,($CE82*cfg_TroyOz)/($CB82),""),"")</f>
        <v/>
      </c>
      <c r="CO82" s="56">
        <f>IFERROR(IF(($BZ82)&gt;0,($CF82*cfg_TroyOz)/($BZ82),""),"")</f>
        <v/>
      </c>
      <c r="CP82" s="56">
        <f>IFERROR(IF(($CA82)&gt;0,($CG82*cfg_TroyOz)/($CA82),""),"")</f>
        <v/>
      </c>
      <c r="CQ82" s="56">
        <f>IFERROR(IF(($CB82)&gt;0,($CH82*cfg_TroyOz)/($CB82),""),"")</f>
        <v/>
      </c>
      <c r="CR82" s="67">
        <f>IFERROR(IF(($CC82)&gt;0,($CI82)/($CC82),""),"")</f>
        <v/>
      </c>
      <c r="CS82" s="67">
        <f>IFERROR(IF(($CD82)&gt;0,($CJ82)/($CD82),""),"")</f>
        <v/>
      </c>
      <c r="CT82" s="67">
        <f>IFERROR(IF(($CE82)&gt;0,($CK82)/($CE82),""),"")</f>
        <v/>
      </c>
      <c r="CU82" s="55">
        <f>SUMIFS(tblPlant[Gravity_Gold_oz],tblPlant[Date],$A82)</f>
        <v/>
      </c>
      <c r="CV82" s="55">
        <f>IF($B82=$B81,$CV81,0)+$CU82</f>
        <v/>
      </c>
      <c r="CW82" s="55">
        <f>$CW81+$CU82</f>
        <v/>
      </c>
      <c r="CX82" s="55">
        <f>SUMIFS(tblPlant[Gold_Poured_oz],tblPlant[Date],$A82)</f>
        <v/>
      </c>
      <c r="CY82" s="55">
        <f>IF($B82=$B81,$CY81,0)+$CX82</f>
        <v/>
      </c>
      <c r="CZ82" s="55">
        <f>$CZ81+$CX82</f>
        <v/>
      </c>
      <c r="DA82" s="57">
        <f>SUMIFS(tblPlant[Mill_Run_h],tblPlant[Date],$A82)</f>
        <v/>
      </c>
      <c r="DB82" s="57">
        <f>IF($B82=$B81,$DB81,0)+$DA82</f>
        <v/>
      </c>
      <c r="DC82" s="57">
        <f>$DC81+$DA82</f>
        <v/>
      </c>
      <c r="DD82" s="57">
        <f>SUMIFS(tblPlant[Mill_Planned_Maint_h],tblPlant[Date],$A82)</f>
        <v/>
      </c>
      <c r="DE82" s="57">
        <f>IF($B82=$B81,$DE81,0)+$DD82</f>
        <v/>
      </c>
      <c r="DF82" s="57">
        <f>$DF81+$DD82</f>
        <v/>
      </c>
      <c r="DG82" s="57">
        <f>SUMIFS(tblPlant[Mill_Unplanned_Down_h],tblPlant[Date],$A82)</f>
        <v/>
      </c>
      <c r="DH82" s="57">
        <f>IF($B82=$B81,$DH81,0)+$DG82</f>
        <v/>
      </c>
      <c r="DI82" s="57">
        <f>$DI81+$DG82</f>
        <v/>
      </c>
      <c r="DJ82" s="57">
        <f>COUNTIFS(tblPlant[Date],$A82,tblPlant[Mill_Run_h],"&lt;&gt;")*24</f>
        <v/>
      </c>
      <c r="DK82" s="57">
        <f>IF($B82=$B81,$DK81,0)+$DJ82</f>
        <v/>
      </c>
      <c r="DL82" s="57">
        <f>$DL81+$DJ82</f>
        <v/>
      </c>
      <c r="DM82" s="57">
        <f>SUMIFS(tblPlant[Crusher_Run_h],tblPlant[Date],$A82)</f>
        <v/>
      </c>
      <c r="DN82" s="57">
        <f>IF($B82=$B81,$DN81,0)+$DM82</f>
        <v/>
      </c>
      <c r="DO82" s="57">
        <f>$DO81+$DM82</f>
        <v/>
      </c>
      <c r="DP82" s="55">
        <f>IFERROR(IF(($DA82)&gt;0,($BZ82)/($DA82),""),"")</f>
        <v/>
      </c>
      <c r="DQ82" s="55">
        <f>IFERROR(IF(($DB82)&gt;0,($CA82)/($DB82),""),"")</f>
        <v/>
      </c>
      <c r="DR82" s="55">
        <f>IFERROR(IF(($DC82)&gt;0,($CB82)/($DC82),""),"")</f>
        <v/>
      </c>
      <c r="DS82" s="67">
        <f>IFERROR(IF(($DJ82)&gt;0,($DJ82-$DD82-$DG82)/($DJ82),""),"")</f>
        <v/>
      </c>
      <c r="DT82" s="67">
        <f>IFERROR(IF(($DK82)&gt;0,($DK82-$DE82-$DH82)/($DK82),""),"")</f>
        <v/>
      </c>
      <c r="DU82" s="67">
        <f>IFERROR(IF(($DL82)&gt;0,($DL82-$DF82-$DI82)/($DL82),""),"")</f>
        <v/>
      </c>
      <c r="DV82" s="67">
        <f>IFERROR(IF(($DJ82-$DD82-$DG82)&gt;0,($DA82)/($DJ82-$DD82-$DG82),""),"")</f>
        <v/>
      </c>
      <c r="DW82" s="67">
        <f>IFERROR(IF(($DK82-$DE82-$DH82)&gt;0,($DB82)/($DK82-$DE82-$DH82),""),"")</f>
        <v/>
      </c>
      <c r="DX82" s="67">
        <f>IFERROR(IF(($DL82-$DF82-$DI82)&gt;0,($DC82)/($DL82-$DF82-$DI82),""),"")</f>
        <v/>
      </c>
      <c r="DY82" s="55">
        <f>SUMIFS(tblPlant[Cyanide_kg],tblPlant[Date],$A82)</f>
        <v/>
      </c>
      <c r="DZ82" s="55">
        <f>IF($B82=$B81,$DZ81,0)+$DY82</f>
        <v/>
      </c>
      <c r="EA82" s="55">
        <f>$EA81+$DY82</f>
        <v/>
      </c>
      <c r="EB82" s="55">
        <f>SUMIFS(tblPlant[Lime_kg],tblPlant[Date],$A82)</f>
        <v/>
      </c>
      <c r="EC82" s="55">
        <f>IF($B82=$B81,$EC81,0)+$EB82</f>
        <v/>
      </c>
      <c r="ED82" s="55">
        <f>$ED81+$EB82</f>
        <v/>
      </c>
      <c r="EE82" s="55">
        <f>SUMIFS(tblPlant[Grinding_Media_kg],tblPlant[Date],$A82)</f>
        <v/>
      </c>
      <c r="EF82" s="55">
        <f>IF($B82=$B81,$EF81,0)+$EE82</f>
        <v/>
      </c>
      <c r="EG82" s="55">
        <f>$EG81+$EE82</f>
        <v/>
      </c>
      <c r="EH82" s="55">
        <f>SUMIFS(tblPlant[Power_kWh],tblPlant[Date],$A82)</f>
        <v/>
      </c>
      <c r="EI82" s="55">
        <f>IF($B82=$B81,$EI81,0)+$EH82</f>
        <v/>
      </c>
      <c r="EJ82" s="55">
        <f>$EJ81+$EH82</f>
        <v/>
      </c>
      <c r="EK82" s="55">
        <f>SUMIFS(tblPlant[Raw_Water_m3],tblPlant[Date],$A82)</f>
        <v/>
      </c>
      <c r="EL82" s="55">
        <f>IF($B82=$B81,$EL81,0)+$EK82</f>
        <v/>
      </c>
      <c r="EM82" s="55">
        <f>$EM81+$EK82</f>
        <v/>
      </c>
      <c r="EN82" s="56">
        <f>IFERROR(IF(($BZ82)&gt;0,($DY82)/($BZ82),""),"")</f>
        <v/>
      </c>
      <c r="EO82" s="56">
        <f>IFERROR(IF(($CA82)&gt;0,($DZ82)/($CA82),""),"")</f>
        <v/>
      </c>
      <c r="EP82" s="56">
        <f>IFERROR(IF(($CB82)&gt;0,($EA82)/($CB82),""),"")</f>
        <v/>
      </c>
      <c r="EQ82" s="56">
        <f>IFERROR(IF(($BZ82)&gt;0,($EB82)/($BZ82),""),"")</f>
        <v/>
      </c>
      <c r="ER82" s="56">
        <f>IFERROR(IF(($CA82)&gt;0,($EC82)/($CA82),""),"")</f>
        <v/>
      </c>
      <c r="ES82" s="56">
        <f>IFERROR(IF(($CB82)&gt;0,($ED82)/($CB82),""),"")</f>
        <v/>
      </c>
      <c r="ET82" s="56">
        <f>IFERROR(IF(($BZ82)&gt;0,($EE82)/($BZ82),""),"")</f>
        <v/>
      </c>
      <c r="EU82" s="56">
        <f>IFERROR(IF(($CA82)&gt;0,($EF82)/($CA82),""),"")</f>
        <v/>
      </c>
      <c r="EV82" s="56">
        <f>IFERROR(IF(($CB82)&gt;0,($EG82)/($CB82),""),"")</f>
        <v/>
      </c>
      <c r="EW82" s="76">
        <f>IFERROR(IF(($BZ82)&gt;0,($EH82)/($BZ82),""),"")</f>
        <v/>
      </c>
      <c r="EX82" s="76">
        <f>IFERROR(IF(($CA82)&gt;0,($EI82)/($CA82),""),"")</f>
        <v/>
      </c>
      <c r="EY82" s="76">
        <f>IFERROR(IF(($CB82)&gt;0,($EJ82)/($CB82),""),"")</f>
        <v/>
      </c>
      <c r="EZ82" s="56">
        <f>IFERROR(IF(($BZ82)&gt;0,($EK82)/($BZ82),""),"")</f>
        <v/>
      </c>
      <c r="FA82" s="56">
        <f>IFERROR(IF(($CA82)&gt;0,($EL82)/($CA82),""),"")</f>
        <v/>
      </c>
      <c r="FB82" s="56">
        <f>IFERROR(IF(($CB82)&gt;0,($EM82)/($CB82),""),"")</f>
        <v/>
      </c>
      <c r="FC82" s="55">
        <f>IF(SUMIFS(tblPlant[GIC_oz],tblPlant[Date],$A82)&gt;0,SUMIFS(tblPlant[GIC_oz],tblPlant[Date],$A82),"")</f>
        <v/>
      </c>
      <c r="FD82" s="55">
        <f>SUMIFS(tblGold[Gold_oz],tblGold[Date],$A82,tblGold[Type],"Shipment")</f>
        <v/>
      </c>
      <c r="FE82" s="55">
        <f>IF($B82=$B81,$FE81,0)+$FD82</f>
        <v/>
      </c>
      <c r="FF82" s="55">
        <f>$FF81+$FD82</f>
        <v/>
      </c>
      <c r="FG82" s="55">
        <f>SUMIFS(tblGold[Gold_oz],tblGold[Date],$A82,tblGold[Type],"Sale")</f>
        <v/>
      </c>
      <c r="FH82" s="55">
        <f>IF($B82=$B81,$FH81,0)+$FG82</f>
        <v/>
      </c>
      <c r="FI82" s="55">
        <f>$FI81+$FG82</f>
        <v/>
      </c>
      <c r="FJ82" s="55">
        <f>SUMIFS(tblGold[Dore_kg],tblGold[Date],$A82,tblGold[Type],"Shipment")</f>
        <v/>
      </c>
      <c r="FK82" s="55">
        <f>IF($B82=$B81,$FK81,0)+$FJ82</f>
        <v/>
      </c>
      <c r="FL82" s="55">
        <f>$FL81+$FJ82</f>
        <v/>
      </c>
      <c r="FM82" s="57">
        <f>SUMIFS(tblSafety[Hours_Total],tblSafety[Date],$A82)</f>
        <v/>
      </c>
      <c r="FN82" s="57">
        <f>IF($B82=$B81,$FN81,0)+$FM82</f>
        <v/>
      </c>
      <c r="FO82" s="57">
        <f>$FO81+$FM82</f>
        <v/>
      </c>
      <c r="FP82" s="62">
        <f>SUMIFS(tblSafety[Fatality],tblSafety[Date],$A82)</f>
        <v/>
      </c>
      <c r="FQ82" s="62">
        <f>IF($B82=$B81,$FQ81,0)+$FP82</f>
        <v/>
      </c>
      <c r="FR82" s="62">
        <f>$FR81+$FP82</f>
        <v/>
      </c>
      <c r="FS82" s="62">
        <f>SUMIFS(tblSafety[LTI],tblSafety[Date],$A82)</f>
        <v/>
      </c>
      <c r="FT82" s="62">
        <f>IF($B82=$B81,$FT81,0)+$FS82</f>
        <v/>
      </c>
      <c r="FU82" s="62">
        <f>$FU81+$FS82</f>
        <v/>
      </c>
      <c r="FV82" s="62">
        <f>SUMIFS(tblSafety[RWI],tblSafety[Date],$A82)</f>
        <v/>
      </c>
      <c r="FW82" s="62">
        <f>IF($B82=$B81,$FW81,0)+$FV82</f>
        <v/>
      </c>
      <c r="FX82" s="62">
        <f>$FX81+$FV82</f>
        <v/>
      </c>
      <c r="FY82" s="62">
        <f>SUMIFS(tblSafety[MTI],tblSafety[Date],$A82)</f>
        <v/>
      </c>
      <c r="FZ82" s="62">
        <f>IF($B82=$B81,$FZ81,0)+$FY82</f>
        <v/>
      </c>
      <c r="GA82" s="62">
        <f>$GA81+$FY82</f>
        <v/>
      </c>
      <c r="GB82" s="62">
        <f>SUMIFS(tblSafety[FAI],tblSafety[Date],$A82)</f>
        <v/>
      </c>
      <c r="GC82" s="62">
        <f>IF($B82=$B81,$GC81,0)+$GB82</f>
        <v/>
      </c>
      <c r="GD82" s="62">
        <f>$GD81+$GB82</f>
        <v/>
      </c>
      <c r="GE82" s="62">
        <f>SUMIFS(tblSafety[Recordables],tblSafety[Date],$A82)</f>
        <v/>
      </c>
      <c r="GF82" s="62">
        <f>IF($B82=$B81,$GF81,0)+$GE82</f>
        <v/>
      </c>
      <c r="GG82" s="62">
        <f>$GG81+$GE82</f>
        <v/>
      </c>
      <c r="GH82" s="62">
        <f>SUMIFS(tblSafety[Near_Miss],tblSafety[Date],$A82)</f>
        <v/>
      </c>
      <c r="GI82" s="62">
        <f>IF($B82=$B81,$GI81,0)+$GH82</f>
        <v/>
      </c>
      <c r="GJ82" s="62">
        <f>$GJ81+$GH82</f>
        <v/>
      </c>
      <c r="GK82" s="62">
        <f>SUMIFS(tblSafety[Hazard_Reports],tblSafety[Date],$A82)</f>
        <v/>
      </c>
      <c r="GL82" s="62">
        <f>IF($B82=$B81,$GL81,0)+$GK82</f>
        <v/>
      </c>
      <c r="GM82" s="62">
        <f>$GM81+$GK82</f>
        <v/>
      </c>
      <c r="GN82" s="62">
        <f>SUMIFS(tblSafety[HPI],tblSafety[Date],$A82)</f>
        <v/>
      </c>
      <c r="GO82" s="62">
        <f>IF($B82=$B81,$GO81,0)+$GN82</f>
        <v/>
      </c>
      <c r="GP82" s="62">
        <f>$GP81+$GN82</f>
        <v/>
      </c>
      <c r="GQ82" s="62">
        <f>SUMIFS(tblSafety[Env_Incidents],tblSafety[Date],$A82)</f>
        <v/>
      </c>
      <c r="GR82" s="62">
        <f>IF($B82=$B81,$GR81,0)+$GQ82</f>
        <v/>
      </c>
      <c r="GS82" s="62">
        <f>$GS81+$GQ82</f>
        <v/>
      </c>
      <c r="GT82" s="62">
        <f>SUMIFS(tblSafety[Community_Incidents],tblSafety[Date],$A82)</f>
        <v/>
      </c>
      <c r="GU82" s="62">
        <f>IF($B82=$B81,$GU81,0)+$GT82</f>
        <v/>
      </c>
      <c r="GV82" s="62">
        <f>$GV81+$GT82</f>
        <v/>
      </c>
      <c r="GW82" s="62">
        <f>SUMIFS(tblSafety[Vehicle_Incidents],tblSafety[Date],$A82)</f>
        <v/>
      </c>
      <c r="GX82" s="62">
        <f>IF($B82=$B81,$GX81,0)+$GW82</f>
        <v/>
      </c>
      <c r="GY82" s="62">
        <f>$GY81+$GW82</f>
        <v/>
      </c>
      <c r="GZ82" s="62">
        <f>SUMIFS(tblSafety[Toolbox_Talks],tblSafety[Date],$A82)</f>
        <v/>
      </c>
      <c r="HA82" s="62">
        <f>IF($B82=$B81,$HA81,0)+$GZ82</f>
        <v/>
      </c>
      <c r="HB82" s="62">
        <f>$HB81+$GZ82</f>
        <v/>
      </c>
      <c r="HC82" s="62">
        <f>SUMIFS(tblSafety[Inspections],tblSafety[Date],$A82)</f>
        <v/>
      </c>
      <c r="HD82" s="62">
        <f>IF($B82=$B81,$HD81,0)+$HC82</f>
        <v/>
      </c>
      <c r="HE82" s="62">
        <f>$HE81+$HC82</f>
        <v/>
      </c>
      <c r="HF82" s="56">
        <f>IFERROR((SUMIFS(tblSafety[Recordables],tblSafety[Date],"&gt;="&amp;EDATE($E82,-12),tblSafety[Date],"&lt;="&amp;$A82)+SUMIFS(tblSafetyHistory[Recordables],tblSafetyHistory[Month],"&gt;="&amp;EDATE($E82,-12),tblSafetyHistory[Month],"&lt;"&amp;cfg_YearStart))/(SUMIFS(tblSafety[Hours_Total],tblSafety[Date],"&gt;="&amp;EDATE($E82,-12),tblSafety[Date],"&lt;="&amp;$A82)+SUMIFS(tblSafetyHistory[Hours_Total],tblSafetyHistory[Month],"&gt;="&amp;EDATE($E82,-12),tblSafetyHistory[Month],"&lt;"&amp;cfg_YearStart))*1000000,"")</f>
        <v/>
      </c>
      <c r="HG82" s="56">
        <f>IFERROR((SUMIFS(tblSafety[LTI],tblSafety[Date],"&gt;="&amp;EDATE($E82,-12),tblSafety[Date],"&lt;="&amp;$A82)+SUMIFS(tblSafetyHistory[LTI],tblSafetyHistory[Month],"&gt;="&amp;EDATE($E82,-12),tblSafetyHistory[Month],"&lt;"&amp;cfg_YearStart))/(SUMIFS(tblSafety[Hours_Total],tblSafety[Date],"&gt;="&amp;EDATE($E82,-12),tblSafety[Date],"&lt;="&amp;$A82)+SUMIFS(tblSafetyHistory[Hours_Total],tblSafetyHistory[Month],"&gt;="&amp;EDATE($E82,-12),tblSafetyHistory[Month],"&lt;"&amp;cfg_YearStart))*1000000,"")</f>
        <v/>
      </c>
      <c r="HH82" s="62">
        <f>IF(MAX(N(cfg_PriorLTIDate),_xlfn.MAXIFS(tblSafety[Date],tblSafety[LTI],"&gt;0",tblSafety[Date],"&lt;="&amp;$A82))=0,"",$A82-MAX(N(cfg_PriorLTIDate),_xlfn.MAXIFS(tblSafety[Date],tblSafety[LTI],"&gt;0",tblSafety[Date],"&lt;="&amp;$A82)))</f>
        <v/>
      </c>
      <c r="HI82" s="55">
        <f>SUMIFS(tblBudget[Ore_Mined_t],tblBudget[Month],$E82)</f>
        <v/>
      </c>
      <c r="HJ82" s="55">
        <f>$HI82*$C82/$D82</f>
        <v/>
      </c>
      <c r="HK82" s="55">
        <f>SUMIFS(tblBudget[Ore_Mined_t],tblBudget[Month],"&lt;"&amp;$E82)+$HJ82</f>
        <v/>
      </c>
      <c r="HL82" s="55">
        <f>SUMIFS(tblBudget[Ore_oz],tblBudget[Month],$E82)</f>
        <v/>
      </c>
      <c r="HM82" s="55">
        <f>$HL82*$C82/$D82</f>
        <v/>
      </c>
      <c r="HN82" s="55">
        <f>SUMIFS(tblBudget[Ore_oz],tblBudget[Month],"&lt;"&amp;$E82)+$HM82</f>
        <v/>
      </c>
      <c r="HO82" s="56">
        <f>IFERROR(IF(($HI82)&gt;0,($HL82*cfg_TroyOz)/($HI82),""),"")</f>
        <v/>
      </c>
      <c r="HP82" s="56">
        <f>IFERROR(IF(($HJ82)&gt;0,($HM82*cfg_TroyOz)/($HJ82),""),"")</f>
        <v/>
      </c>
      <c r="HQ82" s="56">
        <f>IFERROR(IF(($HK82)&gt;0,($HN82*cfg_TroyOz)/($HK82),""),"")</f>
        <v/>
      </c>
      <c r="HR82" s="55">
        <f>SUMIFS(tblBudget[Waste_t],tblBudget[Month],$E82)</f>
        <v/>
      </c>
      <c r="HS82" s="55">
        <f>$HR82*$C82/$D82</f>
        <v/>
      </c>
      <c r="HT82" s="55">
        <f>SUMIFS(tblBudget[Waste_t],tblBudget[Month],"&lt;"&amp;$E82)+$HS82</f>
        <v/>
      </c>
      <c r="HU82" s="55">
        <f>SUMIFS(tblBudget[TMM_t],tblBudget[Month],$E82)</f>
        <v/>
      </c>
      <c r="HV82" s="55">
        <f>$HU82*$C82/$D82</f>
        <v/>
      </c>
      <c r="HW82" s="55">
        <f>SUMIFS(tblBudget[TMM_t],tblBudget[Month],"&lt;"&amp;$E82)+$HV82</f>
        <v/>
      </c>
      <c r="HX82" s="56">
        <f>IFERROR(IF(($HI82)&gt;0,($HR82)/($HI82),""),"")</f>
        <v/>
      </c>
      <c r="HY82" s="56">
        <f>IFERROR(IF(($HJ82)&gt;0,($HS82)/($HJ82),""),"")</f>
        <v/>
      </c>
      <c r="HZ82" s="56">
        <f>IFERROR(IF(($HK82)&gt;0,($HT82)/($HK82),""),"")</f>
        <v/>
      </c>
      <c r="IA82" s="55">
        <f>SUMIFS(tblBudget[Drill_m],tblBudget[Month],$E82)</f>
        <v/>
      </c>
      <c r="IB82" s="55">
        <f>$IA82*$C82/$D82</f>
        <v/>
      </c>
      <c r="IC82" s="55">
        <f>SUMIFS(tblBudget[Drill_m],tblBudget[Month],"&lt;"&amp;$E82)+$IB82</f>
        <v/>
      </c>
      <c r="ID82" s="55">
        <f>SUMIFS(tblBudget[Diesel_L],tblBudget[Month],$E82)</f>
        <v/>
      </c>
      <c r="IE82" s="55">
        <f>$ID82*$C82/$D82</f>
        <v/>
      </c>
      <c r="IF82" s="55">
        <f>SUMIFS(tblBudget[Diesel_L],tblBudget[Month],"&lt;"&amp;$E82)+$IE82</f>
        <v/>
      </c>
      <c r="IG82" s="55">
        <f>SUMIFS(tblBudget[Milled_t],tblBudget[Month],$E82)</f>
        <v/>
      </c>
      <c r="IH82" s="55">
        <f>$IG82*$C82/$D82</f>
        <v/>
      </c>
      <c r="II82" s="55">
        <f>SUMIFS(tblBudget[Milled_t],tblBudget[Month],"&lt;"&amp;$E82)+$IH82</f>
        <v/>
      </c>
      <c r="IJ82" s="55">
        <f>SUMIFS(tblBudget[Feed_oz],tblBudget[Month],$E82)</f>
        <v/>
      </c>
      <c r="IK82" s="55">
        <f>$IJ82*$C82/$D82</f>
        <v/>
      </c>
      <c r="IL82" s="55">
        <f>SUMIFS(tblBudget[Feed_oz],tblBudget[Month],"&lt;"&amp;$E82)+$IK82</f>
        <v/>
      </c>
      <c r="IM82" s="55">
        <f>SUMIFS(tblBudget[Recovered_oz],tblBudget[Month],$E82)</f>
        <v/>
      </c>
      <c r="IN82" s="55">
        <f>$IM82*$C82/$D82</f>
        <v/>
      </c>
      <c r="IO82" s="55">
        <f>SUMIFS(tblBudget[Recovered_oz],tblBudget[Month],"&lt;"&amp;$E82)+$IN82</f>
        <v/>
      </c>
      <c r="IP82" s="56">
        <f>IFERROR(IF(($IG82)&gt;0,($IJ82*cfg_TroyOz)/($IG82),""),"")</f>
        <v/>
      </c>
      <c r="IQ82" s="56">
        <f>IFERROR(IF(($IH82)&gt;0,($IK82*cfg_TroyOz)/($IH82),""),"")</f>
        <v/>
      </c>
      <c r="IR82" s="56">
        <f>IFERROR(IF(($II82)&gt;0,($IL82*cfg_TroyOz)/($II82),""),"")</f>
        <v/>
      </c>
      <c r="IS82" s="67">
        <f>IFERROR(IF(($IJ82)&gt;0,($IM82)/($IJ82),""),"")</f>
        <v/>
      </c>
      <c r="IT82" s="67">
        <f>IFERROR(IF(($IK82)&gt;0,($IN82)/($IK82),""),"")</f>
        <v/>
      </c>
      <c r="IU82" s="67">
        <f>IFERROR(IF(($IL82)&gt;0,($IO82)/($IL82),""),"")</f>
        <v/>
      </c>
      <c r="IV82" s="55">
        <f>SUMIFS(tblBudget[Gold_Poured_oz],tblBudget[Month],$E82)</f>
        <v/>
      </c>
      <c r="IW82" s="55">
        <f>$IV82*$C82/$D82</f>
        <v/>
      </c>
      <c r="IX82" s="55">
        <f>SUMIFS(tblBudget[Gold_Poured_oz],tblBudget[Month],"&lt;"&amp;$E82)+$IW82</f>
        <v/>
      </c>
      <c r="IY82" s="57">
        <f>SUMIFS(tblBudget[Hours_Worked],tblBudget[Month],$E82)</f>
        <v/>
      </c>
      <c r="IZ82" s="57">
        <f>$IY82*$C82/$D82</f>
        <v/>
      </c>
      <c r="JA82" s="57">
        <f>SUMIFS(tblBudget[Hours_Worked],tblBudget[Month],"&lt;"&amp;$E82)+$IZ82</f>
        <v/>
      </c>
    </row>
    <row r="83">
      <c r="A83" s="54" t="n">
        <v>46104</v>
      </c>
      <c r="B83">
        <f>MONTH($A83)</f>
        <v/>
      </c>
      <c r="C83">
        <f>DAY($A83)</f>
        <v/>
      </c>
      <c r="D83">
        <f>DAY(EOMONTH($A83,0))</f>
        <v/>
      </c>
      <c r="E83" s="54">
        <f>DATE(YEAR($A83),MONTH($A83),1)</f>
        <v/>
      </c>
      <c r="F83" s="55">
        <f>SUMIFS(tblMovement[Tonnes_t],tblMovement[Date],$A83,tblMovement[Is_Ore],1,tblMovement[Source_Type],"Pit")</f>
        <v/>
      </c>
      <c r="G83" s="55">
        <f>IF($B83=$B82,$G82,0)+$F83</f>
        <v/>
      </c>
      <c r="H83" s="55">
        <f>$H82+$F83</f>
        <v/>
      </c>
      <c r="I83" s="55">
        <f>SUMIFS(tblMovement[Ore_oz],tblMovement[Date],$A83,tblMovement[Source_Type],"Pit")</f>
        <v/>
      </c>
      <c r="J83" s="55">
        <f>IF($B83=$B82,$J82,0)+$I83</f>
        <v/>
      </c>
      <c r="K83" s="55">
        <f>$K82+$I83</f>
        <v/>
      </c>
      <c r="L83" s="56">
        <f>IFERROR(IF(($F83)&gt;0,($I83*cfg_TroyOz)/($F83),""),"")</f>
        <v/>
      </c>
      <c r="M83" s="56">
        <f>IFERROR(IF(($G83)&gt;0,($J83*cfg_TroyOz)/($G83),""),"")</f>
        <v/>
      </c>
      <c r="N83" s="56">
        <f>IFERROR(IF(($H83)&gt;0,($K83*cfg_TroyOz)/($H83),""),"")</f>
        <v/>
      </c>
      <c r="O83" s="55">
        <f>SUMIFS(tblMovement[Tonnes_t],tblMovement[Date],$A83,tblMovement[Is_Ore],0,tblMovement[Source_Type],"Pit")</f>
        <v/>
      </c>
      <c r="P83" s="55">
        <f>IF($B83=$B82,$P82,0)+$O83</f>
        <v/>
      </c>
      <c r="Q83" s="55">
        <f>$Q82+$O83</f>
        <v/>
      </c>
      <c r="R83" s="55">
        <f>$F83+$O83</f>
        <v/>
      </c>
      <c r="S83" s="55">
        <f>IF($B83=$B82,$S82,0)+$R83</f>
        <v/>
      </c>
      <c r="T83" s="55">
        <f>$T82+$R83</f>
        <v/>
      </c>
      <c r="U83" s="56">
        <f>IFERROR(IF(($F83)&gt;0,($O83)/($F83),""),"")</f>
        <v/>
      </c>
      <c r="V83" s="56">
        <f>IFERROR(IF(($G83)&gt;0,($P83)/($G83),""),"")</f>
        <v/>
      </c>
      <c r="W83" s="56">
        <f>IFERROR(IF(($H83)&gt;0,($Q83)/($H83),""),"")</f>
        <v/>
      </c>
      <c r="X83" s="55">
        <f>SUMIFS(tblMovement[Tonnes_t],tblMovement[Date],$A83,tblMovement[Source_Type],"Stockpile")</f>
        <v/>
      </c>
      <c r="Y83" s="55">
        <f>IF($B83=$B82,$Y82,0)+$X83</f>
        <v/>
      </c>
      <c r="Z83" s="55">
        <f>$Z82+$X83</f>
        <v/>
      </c>
      <c r="AA83" s="55">
        <f>SUMIFS(tblMiningDaily[Drill_m],tblMiningDaily[Date],$A83)</f>
        <v/>
      </c>
      <c r="AB83" s="55">
        <f>IF($B83=$B82,$AB82,0)+$AA83</f>
        <v/>
      </c>
      <c r="AC83" s="55">
        <f>$AC82+$AA83</f>
        <v/>
      </c>
      <c r="AD83" s="55">
        <f>SUMIFS(tblMiningDaily[Blast_t],tblMiningDaily[Date],$A83)</f>
        <v/>
      </c>
      <c r="AE83" s="55">
        <f>IF($B83=$B82,$AE82,0)+$AD83</f>
        <v/>
      </c>
      <c r="AF83" s="55">
        <f>$AF82+$AD83</f>
        <v/>
      </c>
      <c r="AG83" s="55">
        <f>SUMIFS(tblMiningDaily[Explosives_kg],tblMiningDaily[Date],$A83)</f>
        <v/>
      </c>
      <c r="AH83" s="55">
        <f>IF($B83=$B82,$AH82,0)+$AG83</f>
        <v/>
      </c>
      <c r="AI83" s="55">
        <f>$AI82+$AG83</f>
        <v/>
      </c>
      <c r="AJ83" s="56">
        <f>IFERROR(IF(($AD83)&gt;0,($AG83)/($AD83),""),"")</f>
        <v/>
      </c>
      <c r="AK83" s="56">
        <f>IFERROR(IF(($AE83)&gt;0,($AH83)/($AE83),""),"")</f>
        <v/>
      </c>
      <c r="AL83" s="56">
        <f>IFERROR(IF(($AF83)&gt;0,($AI83)/($AF83),""),"")</f>
        <v/>
      </c>
      <c r="AM83" s="55">
        <f>SUMIFS(tblMiningDaily[Diesel_L],tblMiningDaily[Date],$A83)</f>
        <v/>
      </c>
      <c r="AN83" s="55">
        <f>IF($B83=$B82,$AN82,0)+$AM83</f>
        <v/>
      </c>
      <c r="AO83" s="55">
        <f>$AO82+$AM83</f>
        <v/>
      </c>
      <c r="AP83" s="55">
        <f>SUMIFS(tblMiningDaily[Dewatering_m3],tblMiningDaily[Date],$A83)</f>
        <v/>
      </c>
      <c r="AQ83" s="55">
        <f>IF($B83=$B82,$AQ82,0)+$AP83</f>
        <v/>
      </c>
      <c r="AR83" s="55">
        <f>$AR82+$AP83</f>
        <v/>
      </c>
      <c r="AS83" s="57">
        <f>SUMIFS(tblFleet[Calendar_h],tblFleet[Date],$A83,tblFleet[Equipment_Class],"Excavator")</f>
        <v/>
      </c>
      <c r="AT83" s="57">
        <f>IF($B83=$B82,$AT82,0)+$AS83</f>
        <v/>
      </c>
      <c r="AU83" s="57">
        <f>$AU82+$AS83</f>
        <v/>
      </c>
      <c r="AV83" s="57">
        <f>SUMIFS(tblFleet[Available_h],tblFleet[Date],$A83,tblFleet[Equipment_Class],"Excavator")</f>
        <v/>
      </c>
      <c r="AW83" s="57">
        <f>IF($B83=$B82,$AW82,0)+$AV83</f>
        <v/>
      </c>
      <c r="AX83" s="57">
        <f>$AX82+$AV83</f>
        <v/>
      </c>
      <c r="AY83" s="57">
        <f>SUMIFS(tblFleet[Operating_h],tblFleet[Date],$A83,tblFleet[Equipment_Class],"Excavator")</f>
        <v/>
      </c>
      <c r="AZ83" s="57">
        <f>IF($B83=$B82,$AZ82,0)+$AY83</f>
        <v/>
      </c>
      <c r="BA83" s="57">
        <f>$BA82+$AY83</f>
        <v/>
      </c>
      <c r="BB83" s="67">
        <f>IFERROR(IF(($AS83)&gt;0,($AV83)/($AS83),""),"")</f>
        <v/>
      </c>
      <c r="BC83" s="67">
        <f>IFERROR(IF(($AT83)&gt;0,($AW83)/($AT83),""),"")</f>
        <v/>
      </c>
      <c r="BD83" s="67">
        <f>IFERROR(IF(($AU83)&gt;0,($AX83)/($AU83),""),"")</f>
        <v/>
      </c>
      <c r="BE83" s="67">
        <f>IFERROR(IF(($AV83)&gt;0,($AY83)/($AV83),""),"")</f>
        <v/>
      </c>
      <c r="BF83" s="67">
        <f>IFERROR(IF(($AW83)&gt;0,($AZ83)/($AW83),""),"")</f>
        <v/>
      </c>
      <c r="BG83" s="67">
        <f>IFERROR(IF(($AX83)&gt;0,($BA83)/($AX83),""),"")</f>
        <v/>
      </c>
      <c r="BH83" s="57">
        <f>SUMIFS(tblFleet[Calendar_h],tblFleet[Date],$A83,tblFleet[Equipment_Class],"Haul Truck")</f>
        <v/>
      </c>
      <c r="BI83" s="57">
        <f>IF($B83=$B82,$BI82,0)+$BH83</f>
        <v/>
      </c>
      <c r="BJ83" s="57">
        <f>$BJ82+$BH83</f>
        <v/>
      </c>
      <c r="BK83" s="57">
        <f>SUMIFS(tblFleet[Available_h],tblFleet[Date],$A83,tblFleet[Equipment_Class],"Haul Truck")</f>
        <v/>
      </c>
      <c r="BL83" s="57">
        <f>IF($B83=$B82,$BL82,0)+$BK83</f>
        <v/>
      </c>
      <c r="BM83" s="57">
        <f>$BM82+$BK83</f>
        <v/>
      </c>
      <c r="BN83" s="57">
        <f>SUMIFS(tblFleet[Operating_h],tblFleet[Date],$A83,tblFleet[Equipment_Class],"Haul Truck")</f>
        <v/>
      </c>
      <c r="BO83" s="57">
        <f>IF($B83=$B82,$BO82,0)+$BN83</f>
        <v/>
      </c>
      <c r="BP83" s="57">
        <f>$BP82+$BN83</f>
        <v/>
      </c>
      <c r="BQ83" s="67">
        <f>IFERROR(IF(($BH83)&gt;0,($BK83)/($BH83),""),"")</f>
        <v/>
      </c>
      <c r="BR83" s="67">
        <f>IFERROR(IF(($BI83)&gt;0,($BL83)/($BI83),""),"")</f>
        <v/>
      </c>
      <c r="BS83" s="67">
        <f>IFERROR(IF(($BJ83)&gt;0,($BM83)/($BJ83),""),"")</f>
        <v/>
      </c>
      <c r="BT83" s="67">
        <f>IFERROR(IF(($BK83)&gt;0,($BN83)/($BK83),""),"")</f>
        <v/>
      </c>
      <c r="BU83" s="67">
        <f>IFERROR(IF(($BL83)&gt;0,($BO83)/($BL83),""),"")</f>
        <v/>
      </c>
      <c r="BV83" s="67">
        <f>IFERROR(IF(($BM83)&gt;0,($BP83)/($BM83),""),"")</f>
        <v/>
      </c>
      <c r="BW83" s="55">
        <f>SUMIFS(tblPlant[Crushed_t],tblPlant[Date],$A83)</f>
        <v/>
      </c>
      <c r="BX83" s="55">
        <f>IF($B83=$B82,$BX82,0)+$BW83</f>
        <v/>
      </c>
      <c r="BY83" s="55">
        <f>$BY82+$BW83</f>
        <v/>
      </c>
      <c r="BZ83" s="55">
        <f>SUMIFS(tblPlant[Milled_t],tblPlant[Date],$A83)</f>
        <v/>
      </c>
      <c r="CA83" s="55">
        <f>IF($B83=$B82,$CA82,0)+$BZ83</f>
        <v/>
      </c>
      <c r="CB83" s="55">
        <f>$CB82+$BZ83</f>
        <v/>
      </c>
      <c r="CC83" s="55">
        <f>SUMIFS(tblPlant[Feed_oz],tblPlant[Date],$A83)</f>
        <v/>
      </c>
      <c r="CD83" s="55">
        <f>IF($B83=$B82,$CD82,0)+$CC83</f>
        <v/>
      </c>
      <c r="CE83" s="55">
        <f>$CE82+$CC83</f>
        <v/>
      </c>
      <c r="CF83" s="55">
        <f>SUMIFS(tblPlant[Tails_oz],tblPlant[Date],$A83)</f>
        <v/>
      </c>
      <c r="CG83" s="55">
        <f>IF($B83=$B82,$CG82,0)+$CF83</f>
        <v/>
      </c>
      <c r="CH83" s="55">
        <f>$CH82+$CF83</f>
        <v/>
      </c>
      <c r="CI83" s="55">
        <f>SUMIFS(tblPlant[Recovered_oz],tblPlant[Date],$A83)</f>
        <v/>
      </c>
      <c r="CJ83" s="55">
        <f>IF($B83=$B82,$CJ82,0)+$CI83</f>
        <v/>
      </c>
      <c r="CK83" s="55">
        <f>$CK82+$CI83</f>
        <v/>
      </c>
      <c r="CL83" s="56">
        <f>IFERROR(IF(($BZ83)&gt;0,($CC83*cfg_TroyOz)/($BZ83),""),"")</f>
        <v/>
      </c>
      <c r="CM83" s="56">
        <f>IFERROR(IF(($CA83)&gt;0,($CD83*cfg_TroyOz)/($CA83),""),"")</f>
        <v/>
      </c>
      <c r="CN83" s="56">
        <f>IFERROR(IF(($CB83)&gt;0,($CE83*cfg_TroyOz)/($CB83),""),"")</f>
        <v/>
      </c>
      <c r="CO83" s="56">
        <f>IFERROR(IF(($BZ83)&gt;0,($CF83*cfg_TroyOz)/($BZ83),""),"")</f>
        <v/>
      </c>
      <c r="CP83" s="56">
        <f>IFERROR(IF(($CA83)&gt;0,($CG83*cfg_TroyOz)/($CA83),""),"")</f>
        <v/>
      </c>
      <c r="CQ83" s="56">
        <f>IFERROR(IF(($CB83)&gt;0,($CH83*cfg_TroyOz)/($CB83),""),"")</f>
        <v/>
      </c>
      <c r="CR83" s="67">
        <f>IFERROR(IF(($CC83)&gt;0,($CI83)/($CC83),""),"")</f>
        <v/>
      </c>
      <c r="CS83" s="67">
        <f>IFERROR(IF(($CD83)&gt;0,($CJ83)/($CD83),""),"")</f>
        <v/>
      </c>
      <c r="CT83" s="67">
        <f>IFERROR(IF(($CE83)&gt;0,($CK83)/($CE83),""),"")</f>
        <v/>
      </c>
      <c r="CU83" s="55">
        <f>SUMIFS(tblPlant[Gravity_Gold_oz],tblPlant[Date],$A83)</f>
        <v/>
      </c>
      <c r="CV83" s="55">
        <f>IF($B83=$B82,$CV82,0)+$CU83</f>
        <v/>
      </c>
      <c r="CW83" s="55">
        <f>$CW82+$CU83</f>
        <v/>
      </c>
      <c r="CX83" s="55">
        <f>SUMIFS(tblPlant[Gold_Poured_oz],tblPlant[Date],$A83)</f>
        <v/>
      </c>
      <c r="CY83" s="55">
        <f>IF($B83=$B82,$CY82,0)+$CX83</f>
        <v/>
      </c>
      <c r="CZ83" s="55">
        <f>$CZ82+$CX83</f>
        <v/>
      </c>
      <c r="DA83" s="57">
        <f>SUMIFS(tblPlant[Mill_Run_h],tblPlant[Date],$A83)</f>
        <v/>
      </c>
      <c r="DB83" s="57">
        <f>IF($B83=$B82,$DB82,0)+$DA83</f>
        <v/>
      </c>
      <c r="DC83" s="57">
        <f>$DC82+$DA83</f>
        <v/>
      </c>
      <c r="DD83" s="57">
        <f>SUMIFS(tblPlant[Mill_Planned_Maint_h],tblPlant[Date],$A83)</f>
        <v/>
      </c>
      <c r="DE83" s="57">
        <f>IF($B83=$B82,$DE82,0)+$DD83</f>
        <v/>
      </c>
      <c r="DF83" s="57">
        <f>$DF82+$DD83</f>
        <v/>
      </c>
      <c r="DG83" s="57">
        <f>SUMIFS(tblPlant[Mill_Unplanned_Down_h],tblPlant[Date],$A83)</f>
        <v/>
      </c>
      <c r="DH83" s="57">
        <f>IF($B83=$B82,$DH82,0)+$DG83</f>
        <v/>
      </c>
      <c r="DI83" s="57">
        <f>$DI82+$DG83</f>
        <v/>
      </c>
      <c r="DJ83" s="57">
        <f>COUNTIFS(tblPlant[Date],$A83,tblPlant[Mill_Run_h],"&lt;&gt;")*24</f>
        <v/>
      </c>
      <c r="DK83" s="57">
        <f>IF($B83=$B82,$DK82,0)+$DJ83</f>
        <v/>
      </c>
      <c r="DL83" s="57">
        <f>$DL82+$DJ83</f>
        <v/>
      </c>
      <c r="DM83" s="57">
        <f>SUMIFS(tblPlant[Crusher_Run_h],tblPlant[Date],$A83)</f>
        <v/>
      </c>
      <c r="DN83" s="57">
        <f>IF($B83=$B82,$DN82,0)+$DM83</f>
        <v/>
      </c>
      <c r="DO83" s="57">
        <f>$DO82+$DM83</f>
        <v/>
      </c>
      <c r="DP83" s="55">
        <f>IFERROR(IF(($DA83)&gt;0,($BZ83)/($DA83),""),"")</f>
        <v/>
      </c>
      <c r="DQ83" s="55">
        <f>IFERROR(IF(($DB83)&gt;0,($CA83)/($DB83),""),"")</f>
        <v/>
      </c>
      <c r="DR83" s="55">
        <f>IFERROR(IF(($DC83)&gt;0,($CB83)/($DC83),""),"")</f>
        <v/>
      </c>
      <c r="DS83" s="67">
        <f>IFERROR(IF(($DJ83)&gt;0,($DJ83-$DD83-$DG83)/($DJ83),""),"")</f>
        <v/>
      </c>
      <c r="DT83" s="67">
        <f>IFERROR(IF(($DK83)&gt;0,($DK83-$DE83-$DH83)/($DK83),""),"")</f>
        <v/>
      </c>
      <c r="DU83" s="67">
        <f>IFERROR(IF(($DL83)&gt;0,($DL83-$DF83-$DI83)/($DL83),""),"")</f>
        <v/>
      </c>
      <c r="DV83" s="67">
        <f>IFERROR(IF(($DJ83-$DD83-$DG83)&gt;0,($DA83)/($DJ83-$DD83-$DG83),""),"")</f>
        <v/>
      </c>
      <c r="DW83" s="67">
        <f>IFERROR(IF(($DK83-$DE83-$DH83)&gt;0,($DB83)/($DK83-$DE83-$DH83),""),"")</f>
        <v/>
      </c>
      <c r="DX83" s="67">
        <f>IFERROR(IF(($DL83-$DF83-$DI83)&gt;0,($DC83)/($DL83-$DF83-$DI83),""),"")</f>
        <v/>
      </c>
      <c r="DY83" s="55">
        <f>SUMIFS(tblPlant[Cyanide_kg],tblPlant[Date],$A83)</f>
        <v/>
      </c>
      <c r="DZ83" s="55">
        <f>IF($B83=$B82,$DZ82,0)+$DY83</f>
        <v/>
      </c>
      <c r="EA83" s="55">
        <f>$EA82+$DY83</f>
        <v/>
      </c>
      <c r="EB83" s="55">
        <f>SUMIFS(tblPlant[Lime_kg],tblPlant[Date],$A83)</f>
        <v/>
      </c>
      <c r="EC83" s="55">
        <f>IF($B83=$B82,$EC82,0)+$EB83</f>
        <v/>
      </c>
      <c r="ED83" s="55">
        <f>$ED82+$EB83</f>
        <v/>
      </c>
      <c r="EE83" s="55">
        <f>SUMIFS(tblPlant[Grinding_Media_kg],tblPlant[Date],$A83)</f>
        <v/>
      </c>
      <c r="EF83" s="55">
        <f>IF($B83=$B82,$EF82,0)+$EE83</f>
        <v/>
      </c>
      <c r="EG83" s="55">
        <f>$EG82+$EE83</f>
        <v/>
      </c>
      <c r="EH83" s="55">
        <f>SUMIFS(tblPlant[Power_kWh],tblPlant[Date],$A83)</f>
        <v/>
      </c>
      <c r="EI83" s="55">
        <f>IF($B83=$B82,$EI82,0)+$EH83</f>
        <v/>
      </c>
      <c r="EJ83" s="55">
        <f>$EJ82+$EH83</f>
        <v/>
      </c>
      <c r="EK83" s="55">
        <f>SUMIFS(tblPlant[Raw_Water_m3],tblPlant[Date],$A83)</f>
        <v/>
      </c>
      <c r="EL83" s="55">
        <f>IF($B83=$B82,$EL82,0)+$EK83</f>
        <v/>
      </c>
      <c r="EM83" s="55">
        <f>$EM82+$EK83</f>
        <v/>
      </c>
      <c r="EN83" s="56">
        <f>IFERROR(IF(($BZ83)&gt;0,($DY83)/($BZ83),""),"")</f>
        <v/>
      </c>
      <c r="EO83" s="56">
        <f>IFERROR(IF(($CA83)&gt;0,($DZ83)/($CA83),""),"")</f>
        <v/>
      </c>
      <c r="EP83" s="56">
        <f>IFERROR(IF(($CB83)&gt;0,($EA83)/($CB83),""),"")</f>
        <v/>
      </c>
      <c r="EQ83" s="56">
        <f>IFERROR(IF(($BZ83)&gt;0,($EB83)/($BZ83),""),"")</f>
        <v/>
      </c>
      <c r="ER83" s="56">
        <f>IFERROR(IF(($CA83)&gt;0,($EC83)/($CA83),""),"")</f>
        <v/>
      </c>
      <c r="ES83" s="56">
        <f>IFERROR(IF(($CB83)&gt;0,($ED83)/($CB83),""),"")</f>
        <v/>
      </c>
      <c r="ET83" s="56">
        <f>IFERROR(IF(($BZ83)&gt;0,($EE83)/($BZ83),""),"")</f>
        <v/>
      </c>
      <c r="EU83" s="56">
        <f>IFERROR(IF(($CA83)&gt;0,($EF83)/($CA83),""),"")</f>
        <v/>
      </c>
      <c r="EV83" s="56">
        <f>IFERROR(IF(($CB83)&gt;0,($EG83)/($CB83),""),"")</f>
        <v/>
      </c>
      <c r="EW83" s="76">
        <f>IFERROR(IF(($BZ83)&gt;0,($EH83)/($BZ83),""),"")</f>
        <v/>
      </c>
      <c r="EX83" s="76">
        <f>IFERROR(IF(($CA83)&gt;0,($EI83)/($CA83),""),"")</f>
        <v/>
      </c>
      <c r="EY83" s="76">
        <f>IFERROR(IF(($CB83)&gt;0,($EJ83)/($CB83),""),"")</f>
        <v/>
      </c>
      <c r="EZ83" s="56">
        <f>IFERROR(IF(($BZ83)&gt;0,($EK83)/($BZ83),""),"")</f>
        <v/>
      </c>
      <c r="FA83" s="56">
        <f>IFERROR(IF(($CA83)&gt;0,($EL83)/($CA83),""),"")</f>
        <v/>
      </c>
      <c r="FB83" s="56">
        <f>IFERROR(IF(($CB83)&gt;0,($EM83)/($CB83),""),"")</f>
        <v/>
      </c>
      <c r="FC83" s="55">
        <f>IF(SUMIFS(tblPlant[GIC_oz],tblPlant[Date],$A83)&gt;0,SUMIFS(tblPlant[GIC_oz],tblPlant[Date],$A83),"")</f>
        <v/>
      </c>
      <c r="FD83" s="55">
        <f>SUMIFS(tblGold[Gold_oz],tblGold[Date],$A83,tblGold[Type],"Shipment")</f>
        <v/>
      </c>
      <c r="FE83" s="55">
        <f>IF($B83=$B82,$FE82,0)+$FD83</f>
        <v/>
      </c>
      <c r="FF83" s="55">
        <f>$FF82+$FD83</f>
        <v/>
      </c>
      <c r="FG83" s="55">
        <f>SUMIFS(tblGold[Gold_oz],tblGold[Date],$A83,tblGold[Type],"Sale")</f>
        <v/>
      </c>
      <c r="FH83" s="55">
        <f>IF($B83=$B82,$FH82,0)+$FG83</f>
        <v/>
      </c>
      <c r="FI83" s="55">
        <f>$FI82+$FG83</f>
        <v/>
      </c>
      <c r="FJ83" s="55">
        <f>SUMIFS(tblGold[Dore_kg],tblGold[Date],$A83,tblGold[Type],"Shipment")</f>
        <v/>
      </c>
      <c r="FK83" s="55">
        <f>IF($B83=$B82,$FK82,0)+$FJ83</f>
        <v/>
      </c>
      <c r="FL83" s="55">
        <f>$FL82+$FJ83</f>
        <v/>
      </c>
      <c r="FM83" s="57">
        <f>SUMIFS(tblSafety[Hours_Total],tblSafety[Date],$A83)</f>
        <v/>
      </c>
      <c r="FN83" s="57">
        <f>IF($B83=$B82,$FN82,0)+$FM83</f>
        <v/>
      </c>
      <c r="FO83" s="57">
        <f>$FO82+$FM83</f>
        <v/>
      </c>
      <c r="FP83" s="62">
        <f>SUMIFS(tblSafety[Fatality],tblSafety[Date],$A83)</f>
        <v/>
      </c>
      <c r="FQ83" s="62">
        <f>IF($B83=$B82,$FQ82,0)+$FP83</f>
        <v/>
      </c>
      <c r="FR83" s="62">
        <f>$FR82+$FP83</f>
        <v/>
      </c>
      <c r="FS83" s="62">
        <f>SUMIFS(tblSafety[LTI],tblSafety[Date],$A83)</f>
        <v/>
      </c>
      <c r="FT83" s="62">
        <f>IF($B83=$B82,$FT82,0)+$FS83</f>
        <v/>
      </c>
      <c r="FU83" s="62">
        <f>$FU82+$FS83</f>
        <v/>
      </c>
      <c r="FV83" s="62">
        <f>SUMIFS(tblSafety[RWI],tblSafety[Date],$A83)</f>
        <v/>
      </c>
      <c r="FW83" s="62">
        <f>IF($B83=$B82,$FW82,0)+$FV83</f>
        <v/>
      </c>
      <c r="FX83" s="62">
        <f>$FX82+$FV83</f>
        <v/>
      </c>
      <c r="FY83" s="62">
        <f>SUMIFS(tblSafety[MTI],tblSafety[Date],$A83)</f>
        <v/>
      </c>
      <c r="FZ83" s="62">
        <f>IF($B83=$B82,$FZ82,0)+$FY83</f>
        <v/>
      </c>
      <c r="GA83" s="62">
        <f>$GA82+$FY83</f>
        <v/>
      </c>
      <c r="GB83" s="62">
        <f>SUMIFS(tblSafety[FAI],tblSafety[Date],$A83)</f>
        <v/>
      </c>
      <c r="GC83" s="62">
        <f>IF($B83=$B82,$GC82,0)+$GB83</f>
        <v/>
      </c>
      <c r="GD83" s="62">
        <f>$GD82+$GB83</f>
        <v/>
      </c>
      <c r="GE83" s="62">
        <f>SUMIFS(tblSafety[Recordables],tblSafety[Date],$A83)</f>
        <v/>
      </c>
      <c r="GF83" s="62">
        <f>IF($B83=$B82,$GF82,0)+$GE83</f>
        <v/>
      </c>
      <c r="GG83" s="62">
        <f>$GG82+$GE83</f>
        <v/>
      </c>
      <c r="GH83" s="62">
        <f>SUMIFS(tblSafety[Near_Miss],tblSafety[Date],$A83)</f>
        <v/>
      </c>
      <c r="GI83" s="62">
        <f>IF($B83=$B82,$GI82,0)+$GH83</f>
        <v/>
      </c>
      <c r="GJ83" s="62">
        <f>$GJ82+$GH83</f>
        <v/>
      </c>
      <c r="GK83" s="62">
        <f>SUMIFS(tblSafety[Hazard_Reports],tblSafety[Date],$A83)</f>
        <v/>
      </c>
      <c r="GL83" s="62">
        <f>IF($B83=$B82,$GL82,0)+$GK83</f>
        <v/>
      </c>
      <c r="GM83" s="62">
        <f>$GM82+$GK83</f>
        <v/>
      </c>
      <c r="GN83" s="62">
        <f>SUMIFS(tblSafety[HPI],tblSafety[Date],$A83)</f>
        <v/>
      </c>
      <c r="GO83" s="62">
        <f>IF($B83=$B82,$GO82,0)+$GN83</f>
        <v/>
      </c>
      <c r="GP83" s="62">
        <f>$GP82+$GN83</f>
        <v/>
      </c>
      <c r="GQ83" s="62">
        <f>SUMIFS(tblSafety[Env_Incidents],tblSafety[Date],$A83)</f>
        <v/>
      </c>
      <c r="GR83" s="62">
        <f>IF($B83=$B82,$GR82,0)+$GQ83</f>
        <v/>
      </c>
      <c r="GS83" s="62">
        <f>$GS82+$GQ83</f>
        <v/>
      </c>
      <c r="GT83" s="62">
        <f>SUMIFS(tblSafety[Community_Incidents],tblSafety[Date],$A83)</f>
        <v/>
      </c>
      <c r="GU83" s="62">
        <f>IF($B83=$B82,$GU82,0)+$GT83</f>
        <v/>
      </c>
      <c r="GV83" s="62">
        <f>$GV82+$GT83</f>
        <v/>
      </c>
      <c r="GW83" s="62">
        <f>SUMIFS(tblSafety[Vehicle_Incidents],tblSafety[Date],$A83)</f>
        <v/>
      </c>
      <c r="GX83" s="62">
        <f>IF($B83=$B82,$GX82,0)+$GW83</f>
        <v/>
      </c>
      <c r="GY83" s="62">
        <f>$GY82+$GW83</f>
        <v/>
      </c>
      <c r="GZ83" s="62">
        <f>SUMIFS(tblSafety[Toolbox_Talks],tblSafety[Date],$A83)</f>
        <v/>
      </c>
      <c r="HA83" s="62">
        <f>IF($B83=$B82,$HA82,0)+$GZ83</f>
        <v/>
      </c>
      <c r="HB83" s="62">
        <f>$HB82+$GZ83</f>
        <v/>
      </c>
      <c r="HC83" s="62">
        <f>SUMIFS(tblSafety[Inspections],tblSafety[Date],$A83)</f>
        <v/>
      </c>
      <c r="HD83" s="62">
        <f>IF($B83=$B82,$HD82,0)+$HC83</f>
        <v/>
      </c>
      <c r="HE83" s="62">
        <f>$HE82+$HC83</f>
        <v/>
      </c>
      <c r="HF83" s="56">
        <f>IFERROR((SUMIFS(tblSafety[Recordables],tblSafety[Date],"&gt;="&amp;EDATE($E83,-12),tblSafety[Date],"&lt;="&amp;$A83)+SUMIFS(tblSafetyHistory[Recordables],tblSafetyHistory[Month],"&gt;="&amp;EDATE($E83,-12),tblSafetyHistory[Month],"&lt;"&amp;cfg_YearStart))/(SUMIFS(tblSafety[Hours_Total],tblSafety[Date],"&gt;="&amp;EDATE($E83,-12),tblSafety[Date],"&lt;="&amp;$A83)+SUMIFS(tblSafetyHistory[Hours_Total],tblSafetyHistory[Month],"&gt;="&amp;EDATE($E83,-12),tblSafetyHistory[Month],"&lt;"&amp;cfg_YearStart))*1000000,"")</f>
        <v/>
      </c>
      <c r="HG83" s="56">
        <f>IFERROR((SUMIFS(tblSafety[LTI],tblSafety[Date],"&gt;="&amp;EDATE($E83,-12),tblSafety[Date],"&lt;="&amp;$A83)+SUMIFS(tblSafetyHistory[LTI],tblSafetyHistory[Month],"&gt;="&amp;EDATE($E83,-12),tblSafetyHistory[Month],"&lt;"&amp;cfg_YearStart))/(SUMIFS(tblSafety[Hours_Total],tblSafety[Date],"&gt;="&amp;EDATE($E83,-12),tblSafety[Date],"&lt;="&amp;$A83)+SUMIFS(tblSafetyHistory[Hours_Total],tblSafetyHistory[Month],"&gt;="&amp;EDATE($E83,-12),tblSafetyHistory[Month],"&lt;"&amp;cfg_YearStart))*1000000,"")</f>
        <v/>
      </c>
      <c r="HH83" s="62">
        <f>IF(MAX(N(cfg_PriorLTIDate),_xlfn.MAXIFS(tblSafety[Date],tblSafety[LTI],"&gt;0",tblSafety[Date],"&lt;="&amp;$A83))=0,"",$A83-MAX(N(cfg_PriorLTIDate),_xlfn.MAXIFS(tblSafety[Date],tblSafety[LTI],"&gt;0",tblSafety[Date],"&lt;="&amp;$A83)))</f>
        <v/>
      </c>
      <c r="HI83" s="55">
        <f>SUMIFS(tblBudget[Ore_Mined_t],tblBudget[Month],$E83)</f>
        <v/>
      </c>
      <c r="HJ83" s="55">
        <f>$HI83*$C83/$D83</f>
        <v/>
      </c>
      <c r="HK83" s="55">
        <f>SUMIFS(tblBudget[Ore_Mined_t],tblBudget[Month],"&lt;"&amp;$E83)+$HJ83</f>
        <v/>
      </c>
      <c r="HL83" s="55">
        <f>SUMIFS(tblBudget[Ore_oz],tblBudget[Month],$E83)</f>
        <v/>
      </c>
      <c r="HM83" s="55">
        <f>$HL83*$C83/$D83</f>
        <v/>
      </c>
      <c r="HN83" s="55">
        <f>SUMIFS(tblBudget[Ore_oz],tblBudget[Month],"&lt;"&amp;$E83)+$HM83</f>
        <v/>
      </c>
      <c r="HO83" s="56">
        <f>IFERROR(IF(($HI83)&gt;0,($HL83*cfg_TroyOz)/($HI83),""),"")</f>
        <v/>
      </c>
      <c r="HP83" s="56">
        <f>IFERROR(IF(($HJ83)&gt;0,($HM83*cfg_TroyOz)/($HJ83),""),"")</f>
        <v/>
      </c>
      <c r="HQ83" s="56">
        <f>IFERROR(IF(($HK83)&gt;0,($HN83*cfg_TroyOz)/($HK83),""),"")</f>
        <v/>
      </c>
      <c r="HR83" s="55">
        <f>SUMIFS(tblBudget[Waste_t],tblBudget[Month],$E83)</f>
        <v/>
      </c>
      <c r="HS83" s="55">
        <f>$HR83*$C83/$D83</f>
        <v/>
      </c>
      <c r="HT83" s="55">
        <f>SUMIFS(tblBudget[Waste_t],tblBudget[Month],"&lt;"&amp;$E83)+$HS83</f>
        <v/>
      </c>
      <c r="HU83" s="55">
        <f>SUMIFS(tblBudget[TMM_t],tblBudget[Month],$E83)</f>
        <v/>
      </c>
      <c r="HV83" s="55">
        <f>$HU83*$C83/$D83</f>
        <v/>
      </c>
      <c r="HW83" s="55">
        <f>SUMIFS(tblBudget[TMM_t],tblBudget[Month],"&lt;"&amp;$E83)+$HV83</f>
        <v/>
      </c>
      <c r="HX83" s="56">
        <f>IFERROR(IF(($HI83)&gt;0,($HR83)/($HI83),""),"")</f>
        <v/>
      </c>
      <c r="HY83" s="56">
        <f>IFERROR(IF(($HJ83)&gt;0,($HS83)/($HJ83),""),"")</f>
        <v/>
      </c>
      <c r="HZ83" s="56">
        <f>IFERROR(IF(($HK83)&gt;0,($HT83)/($HK83),""),"")</f>
        <v/>
      </c>
      <c r="IA83" s="55">
        <f>SUMIFS(tblBudget[Drill_m],tblBudget[Month],$E83)</f>
        <v/>
      </c>
      <c r="IB83" s="55">
        <f>$IA83*$C83/$D83</f>
        <v/>
      </c>
      <c r="IC83" s="55">
        <f>SUMIFS(tblBudget[Drill_m],tblBudget[Month],"&lt;"&amp;$E83)+$IB83</f>
        <v/>
      </c>
      <c r="ID83" s="55">
        <f>SUMIFS(tblBudget[Diesel_L],tblBudget[Month],$E83)</f>
        <v/>
      </c>
      <c r="IE83" s="55">
        <f>$ID83*$C83/$D83</f>
        <v/>
      </c>
      <c r="IF83" s="55">
        <f>SUMIFS(tblBudget[Diesel_L],tblBudget[Month],"&lt;"&amp;$E83)+$IE83</f>
        <v/>
      </c>
      <c r="IG83" s="55">
        <f>SUMIFS(tblBudget[Milled_t],tblBudget[Month],$E83)</f>
        <v/>
      </c>
      <c r="IH83" s="55">
        <f>$IG83*$C83/$D83</f>
        <v/>
      </c>
      <c r="II83" s="55">
        <f>SUMIFS(tblBudget[Milled_t],tblBudget[Month],"&lt;"&amp;$E83)+$IH83</f>
        <v/>
      </c>
      <c r="IJ83" s="55">
        <f>SUMIFS(tblBudget[Feed_oz],tblBudget[Month],$E83)</f>
        <v/>
      </c>
      <c r="IK83" s="55">
        <f>$IJ83*$C83/$D83</f>
        <v/>
      </c>
      <c r="IL83" s="55">
        <f>SUMIFS(tblBudget[Feed_oz],tblBudget[Month],"&lt;"&amp;$E83)+$IK83</f>
        <v/>
      </c>
      <c r="IM83" s="55">
        <f>SUMIFS(tblBudget[Recovered_oz],tblBudget[Month],$E83)</f>
        <v/>
      </c>
      <c r="IN83" s="55">
        <f>$IM83*$C83/$D83</f>
        <v/>
      </c>
      <c r="IO83" s="55">
        <f>SUMIFS(tblBudget[Recovered_oz],tblBudget[Month],"&lt;"&amp;$E83)+$IN83</f>
        <v/>
      </c>
      <c r="IP83" s="56">
        <f>IFERROR(IF(($IG83)&gt;0,($IJ83*cfg_TroyOz)/($IG83),""),"")</f>
        <v/>
      </c>
      <c r="IQ83" s="56">
        <f>IFERROR(IF(($IH83)&gt;0,($IK83*cfg_TroyOz)/($IH83),""),"")</f>
        <v/>
      </c>
      <c r="IR83" s="56">
        <f>IFERROR(IF(($II83)&gt;0,($IL83*cfg_TroyOz)/($II83),""),"")</f>
        <v/>
      </c>
      <c r="IS83" s="67">
        <f>IFERROR(IF(($IJ83)&gt;0,($IM83)/($IJ83),""),"")</f>
        <v/>
      </c>
      <c r="IT83" s="67">
        <f>IFERROR(IF(($IK83)&gt;0,($IN83)/($IK83),""),"")</f>
        <v/>
      </c>
      <c r="IU83" s="67">
        <f>IFERROR(IF(($IL83)&gt;0,($IO83)/($IL83),""),"")</f>
        <v/>
      </c>
      <c r="IV83" s="55">
        <f>SUMIFS(tblBudget[Gold_Poured_oz],tblBudget[Month],$E83)</f>
        <v/>
      </c>
      <c r="IW83" s="55">
        <f>$IV83*$C83/$D83</f>
        <v/>
      </c>
      <c r="IX83" s="55">
        <f>SUMIFS(tblBudget[Gold_Poured_oz],tblBudget[Month],"&lt;"&amp;$E83)+$IW83</f>
        <v/>
      </c>
      <c r="IY83" s="57">
        <f>SUMIFS(tblBudget[Hours_Worked],tblBudget[Month],$E83)</f>
        <v/>
      </c>
      <c r="IZ83" s="57">
        <f>$IY83*$C83/$D83</f>
        <v/>
      </c>
      <c r="JA83" s="57">
        <f>SUMIFS(tblBudget[Hours_Worked],tblBudget[Month],"&lt;"&amp;$E83)+$IZ83</f>
        <v/>
      </c>
    </row>
    <row r="84">
      <c r="A84" s="54" t="n">
        <v>46105</v>
      </c>
      <c r="B84">
        <f>MONTH($A84)</f>
        <v/>
      </c>
      <c r="C84">
        <f>DAY($A84)</f>
        <v/>
      </c>
      <c r="D84">
        <f>DAY(EOMONTH($A84,0))</f>
        <v/>
      </c>
      <c r="E84" s="54">
        <f>DATE(YEAR($A84),MONTH($A84),1)</f>
        <v/>
      </c>
      <c r="F84" s="55">
        <f>SUMIFS(tblMovement[Tonnes_t],tblMovement[Date],$A84,tblMovement[Is_Ore],1,tblMovement[Source_Type],"Pit")</f>
        <v/>
      </c>
      <c r="G84" s="55">
        <f>IF($B84=$B83,$G83,0)+$F84</f>
        <v/>
      </c>
      <c r="H84" s="55">
        <f>$H83+$F84</f>
        <v/>
      </c>
      <c r="I84" s="55">
        <f>SUMIFS(tblMovement[Ore_oz],tblMovement[Date],$A84,tblMovement[Source_Type],"Pit")</f>
        <v/>
      </c>
      <c r="J84" s="55">
        <f>IF($B84=$B83,$J83,0)+$I84</f>
        <v/>
      </c>
      <c r="K84" s="55">
        <f>$K83+$I84</f>
        <v/>
      </c>
      <c r="L84" s="56">
        <f>IFERROR(IF(($F84)&gt;0,($I84*cfg_TroyOz)/($F84),""),"")</f>
        <v/>
      </c>
      <c r="M84" s="56">
        <f>IFERROR(IF(($G84)&gt;0,($J84*cfg_TroyOz)/($G84),""),"")</f>
        <v/>
      </c>
      <c r="N84" s="56">
        <f>IFERROR(IF(($H84)&gt;0,($K84*cfg_TroyOz)/($H84),""),"")</f>
        <v/>
      </c>
      <c r="O84" s="55">
        <f>SUMIFS(tblMovement[Tonnes_t],tblMovement[Date],$A84,tblMovement[Is_Ore],0,tblMovement[Source_Type],"Pit")</f>
        <v/>
      </c>
      <c r="P84" s="55">
        <f>IF($B84=$B83,$P83,0)+$O84</f>
        <v/>
      </c>
      <c r="Q84" s="55">
        <f>$Q83+$O84</f>
        <v/>
      </c>
      <c r="R84" s="55">
        <f>$F84+$O84</f>
        <v/>
      </c>
      <c r="S84" s="55">
        <f>IF($B84=$B83,$S83,0)+$R84</f>
        <v/>
      </c>
      <c r="T84" s="55">
        <f>$T83+$R84</f>
        <v/>
      </c>
      <c r="U84" s="56">
        <f>IFERROR(IF(($F84)&gt;0,($O84)/($F84),""),"")</f>
        <v/>
      </c>
      <c r="V84" s="56">
        <f>IFERROR(IF(($G84)&gt;0,($P84)/($G84),""),"")</f>
        <v/>
      </c>
      <c r="W84" s="56">
        <f>IFERROR(IF(($H84)&gt;0,($Q84)/($H84),""),"")</f>
        <v/>
      </c>
      <c r="X84" s="55">
        <f>SUMIFS(tblMovement[Tonnes_t],tblMovement[Date],$A84,tblMovement[Source_Type],"Stockpile")</f>
        <v/>
      </c>
      <c r="Y84" s="55">
        <f>IF($B84=$B83,$Y83,0)+$X84</f>
        <v/>
      </c>
      <c r="Z84" s="55">
        <f>$Z83+$X84</f>
        <v/>
      </c>
      <c r="AA84" s="55">
        <f>SUMIFS(tblMiningDaily[Drill_m],tblMiningDaily[Date],$A84)</f>
        <v/>
      </c>
      <c r="AB84" s="55">
        <f>IF($B84=$B83,$AB83,0)+$AA84</f>
        <v/>
      </c>
      <c r="AC84" s="55">
        <f>$AC83+$AA84</f>
        <v/>
      </c>
      <c r="AD84" s="55">
        <f>SUMIFS(tblMiningDaily[Blast_t],tblMiningDaily[Date],$A84)</f>
        <v/>
      </c>
      <c r="AE84" s="55">
        <f>IF($B84=$B83,$AE83,0)+$AD84</f>
        <v/>
      </c>
      <c r="AF84" s="55">
        <f>$AF83+$AD84</f>
        <v/>
      </c>
      <c r="AG84" s="55">
        <f>SUMIFS(tblMiningDaily[Explosives_kg],tblMiningDaily[Date],$A84)</f>
        <v/>
      </c>
      <c r="AH84" s="55">
        <f>IF($B84=$B83,$AH83,0)+$AG84</f>
        <v/>
      </c>
      <c r="AI84" s="55">
        <f>$AI83+$AG84</f>
        <v/>
      </c>
      <c r="AJ84" s="56">
        <f>IFERROR(IF(($AD84)&gt;0,($AG84)/($AD84),""),"")</f>
        <v/>
      </c>
      <c r="AK84" s="56">
        <f>IFERROR(IF(($AE84)&gt;0,($AH84)/($AE84),""),"")</f>
        <v/>
      </c>
      <c r="AL84" s="56">
        <f>IFERROR(IF(($AF84)&gt;0,($AI84)/($AF84),""),"")</f>
        <v/>
      </c>
      <c r="AM84" s="55">
        <f>SUMIFS(tblMiningDaily[Diesel_L],tblMiningDaily[Date],$A84)</f>
        <v/>
      </c>
      <c r="AN84" s="55">
        <f>IF($B84=$B83,$AN83,0)+$AM84</f>
        <v/>
      </c>
      <c r="AO84" s="55">
        <f>$AO83+$AM84</f>
        <v/>
      </c>
      <c r="AP84" s="55">
        <f>SUMIFS(tblMiningDaily[Dewatering_m3],tblMiningDaily[Date],$A84)</f>
        <v/>
      </c>
      <c r="AQ84" s="55">
        <f>IF($B84=$B83,$AQ83,0)+$AP84</f>
        <v/>
      </c>
      <c r="AR84" s="55">
        <f>$AR83+$AP84</f>
        <v/>
      </c>
      <c r="AS84" s="57">
        <f>SUMIFS(tblFleet[Calendar_h],tblFleet[Date],$A84,tblFleet[Equipment_Class],"Excavator")</f>
        <v/>
      </c>
      <c r="AT84" s="57">
        <f>IF($B84=$B83,$AT83,0)+$AS84</f>
        <v/>
      </c>
      <c r="AU84" s="57">
        <f>$AU83+$AS84</f>
        <v/>
      </c>
      <c r="AV84" s="57">
        <f>SUMIFS(tblFleet[Available_h],tblFleet[Date],$A84,tblFleet[Equipment_Class],"Excavator")</f>
        <v/>
      </c>
      <c r="AW84" s="57">
        <f>IF($B84=$B83,$AW83,0)+$AV84</f>
        <v/>
      </c>
      <c r="AX84" s="57">
        <f>$AX83+$AV84</f>
        <v/>
      </c>
      <c r="AY84" s="57">
        <f>SUMIFS(tblFleet[Operating_h],tblFleet[Date],$A84,tblFleet[Equipment_Class],"Excavator")</f>
        <v/>
      </c>
      <c r="AZ84" s="57">
        <f>IF($B84=$B83,$AZ83,0)+$AY84</f>
        <v/>
      </c>
      <c r="BA84" s="57">
        <f>$BA83+$AY84</f>
        <v/>
      </c>
      <c r="BB84" s="67">
        <f>IFERROR(IF(($AS84)&gt;0,($AV84)/($AS84),""),"")</f>
        <v/>
      </c>
      <c r="BC84" s="67">
        <f>IFERROR(IF(($AT84)&gt;0,($AW84)/($AT84),""),"")</f>
        <v/>
      </c>
      <c r="BD84" s="67">
        <f>IFERROR(IF(($AU84)&gt;0,($AX84)/($AU84),""),"")</f>
        <v/>
      </c>
      <c r="BE84" s="67">
        <f>IFERROR(IF(($AV84)&gt;0,($AY84)/($AV84),""),"")</f>
        <v/>
      </c>
      <c r="BF84" s="67">
        <f>IFERROR(IF(($AW84)&gt;0,($AZ84)/($AW84),""),"")</f>
        <v/>
      </c>
      <c r="BG84" s="67">
        <f>IFERROR(IF(($AX84)&gt;0,($BA84)/($AX84),""),"")</f>
        <v/>
      </c>
      <c r="BH84" s="57">
        <f>SUMIFS(tblFleet[Calendar_h],tblFleet[Date],$A84,tblFleet[Equipment_Class],"Haul Truck")</f>
        <v/>
      </c>
      <c r="BI84" s="57">
        <f>IF($B84=$B83,$BI83,0)+$BH84</f>
        <v/>
      </c>
      <c r="BJ84" s="57">
        <f>$BJ83+$BH84</f>
        <v/>
      </c>
      <c r="BK84" s="57">
        <f>SUMIFS(tblFleet[Available_h],tblFleet[Date],$A84,tblFleet[Equipment_Class],"Haul Truck")</f>
        <v/>
      </c>
      <c r="BL84" s="57">
        <f>IF($B84=$B83,$BL83,0)+$BK84</f>
        <v/>
      </c>
      <c r="BM84" s="57">
        <f>$BM83+$BK84</f>
        <v/>
      </c>
      <c r="BN84" s="57">
        <f>SUMIFS(tblFleet[Operating_h],tblFleet[Date],$A84,tblFleet[Equipment_Class],"Haul Truck")</f>
        <v/>
      </c>
      <c r="BO84" s="57">
        <f>IF($B84=$B83,$BO83,0)+$BN84</f>
        <v/>
      </c>
      <c r="BP84" s="57">
        <f>$BP83+$BN84</f>
        <v/>
      </c>
      <c r="BQ84" s="67">
        <f>IFERROR(IF(($BH84)&gt;0,($BK84)/($BH84),""),"")</f>
        <v/>
      </c>
      <c r="BR84" s="67">
        <f>IFERROR(IF(($BI84)&gt;0,($BL84)/($BI84),""),"")</f>
        <v/>
      </c>
      <c r="BS84" s="67">
        <f>IFERROR(IF(($BJ84)&gt;0,($BM84)/($BJ84),""),"")</f>
        <v/>
      </c>
      <c r="BT84" s="67">
        <f>IFERROR(IF(($BK84)&gt;0,($BN84)/($BK84),""),"")</f>
        <v/>
      </c>
      <c r="BU84" s="67">
        <f>IFERROR(IF(($BL84)&gt;0,($BO84)/($BL84),""),"")</f>
        <v/>
      </c>
      <c r="BV84" s="67">
        <f>IFERROR(IF(($BM84)&gt;0,($BP84)/($BM84),""),"")</f>
        <v/>
      </c>
      <c r="BW84" s="55">
        <f>SUMIFS(tblPlant[Crushed_t],tblPlant[Date],$A84)</f>
        <v/>
      </c>
      <c r="BX84" s="55">
        <f>IF($B84=$B83,$BX83,0)+$BW84</f>
        <v/>
      </c>
      <c r="BY84" s="55">
        <f>$BY83+$BW84</f>
        <v/>
      </c>
      <c r="BZ84" s="55">
        <f>SUMIFS(tblPlant[Milled_t],tblPlant[Date],$A84)</f>
        <v/>
      </c>
      <c r="CA84" s="55">
        <f>IF($B84=$B83,$CA83,0)+$BZ84</f>
        <v/>
      </c>
      <c r="CB84" s="55">
        <f>$CB83+$BZ84</f>
        <v/>
      </c>
      <c r="CC84" s="55">
        <f>SUMIFS(tblPlant[Feed_oz],tblPlant[Date],$A84)</f>
        <v/>
      </c>
      <c r="CD84" s="55">
        <f>IF($B84=$B83,$CD83,0)+$CC84</f>
        <v/>
      </c>
      <c r="CE84" s="55">
        <f>$CE83+$CC84</f>
        <v/>
      </c>
      <c r="CF84" s="55">
        <f>SUMIFS(tblPlant[Tails_oz],tblPlant[Date],$A84)</f>
        <v/>
      </c>
      <c r="CG84" s="55">
        <f>IF($B84=$B83,$CG83,0)+$CF84</f>
        <v/>
      </c>
      <c r="CH84" s="55">
        <f>$CH83+$CF84</f>
        <v/>
      </c>
      <c r="CI84" s="55">
        <f>SUMIFS(tblPlant[Recovered_oz],tblPlant[Date],$A84)</f>
        <v/>
      </c>
      <c r="CJ84" s="55">
        <f>IF($B84=$B83,$CJ83,0)+$CI84</f>
        <v/>
      </c>
      <c r="CK84" s="55">
        <f>$CK83+$CI84</f>
        <v/>
      </c>
      <c r="CL84" s="56">
        <f>IFERROR(IF(($BZ84)&gt;0,($CC84*cfg_TroyOz)/($BZ84),""),"")</f>
        <v/>
      </c>
      <c r="CM84" s="56">
        <f>IFERROR(IF(($CA84)&gt;0,($CD84*cfg_TroyOz)/($CA84),""),"")</f>
        <v/>
      </c>
      <c r="CN84" s="56">
        <f>IFERROR(IF(($CB84)&gt;0,($CE84*cfg_TroyOz)/($CB84),""),"")</f>
        <v/>
      </c>
      <c r="CO84" s="56">
        <f>IFERROR(IF(($BZ84)&gt;0,($CF84*cfg_TroyOz)/($BZ84),""),"")</f>
        <v/>
      </c>
      <c r="CP84" s="56">
        <f>IFERROR(IF(($CA84)&gt;0,($CG84*cfg_TroyOz)/($CA84),""),"")</f>
        <v/>
      </c>
      <c r="CQ84" s="56">
        <f>IFERROR(IF(($CB84)&gt;0,($CH84*cfg_TroyOz)/($CB84),""),"")</f>
        <v/>
      </c>
      <c r="CR84" s="67">
        <f>IFERROR(IF(($CC84)&gt;0,($CI84)/($CC84),""),"")</f>
        <v/>
      </c>
      <c r="CS84" s="67">
        <f>IFERROR(IF(($CD84)&gt;0,($CJ84)/($CD84),""),"")</f>
        <v/>
      </c>
      <c r="CT84" s="67">
        <f>IFERROR(IF(($CE84)&gt;0,($CK84)/($CE84),""),"")</f>
        <v/>
      </c>
      <c r="CU84" s="55">
        <f>SUMIFS(tblPlant[Gravity_Gold_oz],tblPlant[Date],$A84)</f>
        <v/>
      </c>
      <c r="CV84" s="55">
        <f>IF($B84=$B83,$CV83,0)+$CU84</f>
        <v/>
      </c>
      <c r="CW84" s="55">
        <f>$CW83+$CU84</f>
        <v/>
      </c>
      <c r="CX84" s="55">
        <f>SUMIFS(tblPlant[Gold_Poured_oz],tblPlant[Date],$A84)</f>
        <v/>
      </c>
      <c r="CY84" s="55">
        <f>IF($B84=$B83,$CY83,0)+$CX84</f>
        <v/>
      </c>
      <c r="CZ84" s="55">
        <f>$CZ83+$CX84</f>
        <v/>
      </c>
      <c r="DA84" s="57">
        <f>SUMIFS(tblPlant[Mill_Run_h],tblPlant[Date],$A84)</f>
        <v/>
      </c>
      <c r="DB84" s="57">
        <f>IF($B84=$B83,$DB83,0)+$DA84</f>
        <v/>
      </c>
      <c r="DC84" s="57">
        <f>$DC83+$DA84</f>
        <v/>
      </c>
      <c r="DD84" s="57">
        <f>SUMIFS(tblPlant[Mill_Planned_Maint_h],tblPlant[Date],$A84)</f>
        <v/>
      </c>
      <c r="DE84" s="57">
        <f>IF($B84=$B83,$DE83,0)+$DD84</f>
        <v/>
      </c>
      <c r="DF84" s="57">
        <f>$DF83+$DD84</f>
        <v/>
      </c>
      <c r="DG84" s="57">
        <f>SUMIFS(tblPlant[Mill_Unplanned_Down_h],tblPlant[Date],$A84)</f>
        <v/>
      </c>
      <c r="DH84" s="57">
        <f>IF($B84=$B83,$DH83,0)+$DG84</f>
        <v/>
      </c>
      <c r="DI84" s="57">
        <f>$DI83+$DG84</f>
        <v/>
      </c>
      <c r="DJ84" s="57">
        <f>COUNTIFS(tblPlant[Date],$A84,tblPlant[Mill_Run_h],"&lt;&gt;")*24</f>
        <v/>
      </c>
      <c r="DK84" s="57">
        <f>IF($B84=$B83,$DK83,0)+$DJ84</f>
        <v/>
      </c>
      <c r="DL84" s="57">
        <f>$DL83+$DJ84</f>
        <v/>
      </c>
      <c r="DM84" s="57">
        <f>SUMIFS(tblPlant[Crusher_Run_h],tblPlant[Date],$A84)</f>
        <v/>
      </c>
      <c r="DN84" s="57">
        <f>IF($B84=$B83,$DN83,0)+$DM84</f>
        <v/>
      </c>
      <c r="DO84" s="57">
        <f>$DO83+$DM84</f>
        <v/>
      </c>
      <c r="DP84" s="55">
        <f>IFERROR(IF(($DA84)&gt;0,($BZ84)/($DA84),""),"")</f>
        <v/>
      </c>
      <c r="DQ84" s="55">
        <f>IFERROR(IF(($DB84)&gt;0,($CA84)/($DB84),""),"")</f>
        <v/>
      </c>
      <c r="DR84" s="55">
        <f>IFERROR(IF(($DC84)&gt;0,($CB84)/($DC84),""),"")</f>
        <v/>
      </c>
      <c r="DS84" s="67">
        <f>IFERROR(IF(($DJ84)&gt;0,($DJ84-$DD84-$DG84)/($DJ84),""),"")</f>
        <v/>
      </c>
      <c r="DT84" s="67">
        <f>IFERROR(IF(($DK84)&gt;0,($DK84-$DE84-$DH84)/($DK84),""),"")</f>
        <v/>
      </c>
      <c r="DU84" s="67">
        <f>IFERROR(IF(($DL84)&gt;0,($DL84-$DF84-$DI84)/($DL84),""),"")</f>
        <v/>
      </c>
      <c r="DV84" s="67">
        <f>IFERROR(IF(($DJ84-$DD84-$DG84)&gt;0,($DA84)/($DJ84-$DD84-$DG84),""),"")</f>
        <v/>
      </c>
      <c r="DW84" s="67">
        <f>IFERROR(IF(($DK84-$DE84-$DH84)&gt;0,($DB84)/($DK84-$DE84-$DH84),""),"")</f>
        <v/>
      </c>
      <c r="DX84" s="67">
        <f>IFERROR(IF(($DL84-$DF84-$DI84)&gt;0,($DC84)/($DL84-$DF84-$DI84),""),"")</f>
        <v/>
      </c>
      <c r="DY84" s="55">
        <f>SUMIFS(tblPlant[Cyanide_kg],tblPlant[Date],$A84)</f>
        <v/>
      </c>
      <c r="DZ84" s="55">
        <f>IF($B84=$B83,$DZ83,0)+$DY84</f>
        <v/>
      </c>
      <c r="EA84" s="55">
        <f>$EA83+$DY84</f>
        <v/>
      </c>
      <c r="EB84" s="55">
        <f>SUMIFS(tblPlant[Lime_kg],tblPlant[Date],$A84)</f>
        <v/>
      </c>
      <c r="EC84" s="55">
        <f>IF($B84=$B83,$EC83,0)+$EB84</f>
        <v/>
      </c>
      <c r="ED84" s="55">
        <f>$ED83+$EB84</f>
        <v/>
      </c>
      <c r="EE84" s="55">
        <f>SUMIFS(tblPlant[Grinding_Media_kg],tblPlant[Date],$A84)</f>
        <v/>
      </c>
      <c r="EF84" s="55">
        <f>IF($B84=$B83,$EF83,0)+$EE84</f>
        <v/>
      </c>
      <c r="EG84" s="55">
        <f>$EG83+$EE84</f>
        <v/>
      </c>
      <c r="EH84" s="55">
        <f>SUMIFS(tblPlant[Power_kWh],tblPlant[Date],$A84)</f>
        <v/>
      </c>
      <c r="EI84" s="55">
        <f>IF($B84=$B83,$EI83,0)+$EH84</f>
        <v/>
      </c>
      <c r="EJ84" s="55">
        <f>$EJ83+$EH84</f>
        <v/>
      </c>
      <c r="EK84" s="55">
        <f>SUMIFS(tblPlant[Raw_Water_m3],tblPlant[Date],$A84)</f>
        <v/>
      </c>
      <c r="EL84" s="55">
        <f>IF($B84=$B83,$EL83,0)+$EK84</f>
        <v/>
      </c>
      <c r="EM84" s="55">
        <f>$EM83+$EK84</f>
        <v/>
      </c>
      <c r="EN84" s="56">
        <f>IFERROR(IF(($BZ84)&gt;0,($DY84)/($BZ84),""),"")</f>
        <v/>
      </c>
      <c r="EO84" s="56">
        <f>IFERROR(IF(($CA84)&gt;0,($DZ84)/($CA84),""),"")</f>
        <v/>
      </c>
      <c r="EP84" s="56">
        <f>IFERROR(IF(($CB84)&gt;0,($EA84)/($CB84),""),"")</f>
        <v/>
      </c>
      <c r="EQ84" s="56">
        <f>IFERROR(IF(($BZ84)&gt;0,($EB84)/($BZ84),""),"")</f>
        <v/>
      </c>
      <c r="ER84" s="56">
        <f>IFERROR(IF(($CA84)&gt;0,($EC84)/($CA84),""),"")</f>
        <v/>
      </c>
      <c r="ES84" s="56">
        <f>IFERROR(IF(($CB84)&gt;0,($ED84)/($CB84),""),"")</f>
        <v/>
      </c>
      <c r="ET84" s="56">
        <f>IFERROR(IF(($BZ84)&gt;0,($EE84)/($BZ84),""),"")</f>
        <v/>
      </c>
      <c r="EU84" s="56">
        <f>IFERROR(IF(($CA84)&gt;0,($EF84)/($CA84),""),"")</f>
        <v/>
      </c>
      <c r="EV84" s="56">
        <f>IFERROR(IF(($CB84)&gt;0,($EG84)/($CB84),""),"")</f>
        <v/>
      </c>
      <c r="EW84" s="76">
        <f>IFERROR(IF(($BZ84)&gt;0,($EH84)/($BZ84),""),"")</f>
        <v/>
      </c>
      <c r="EX84" s="76">
        <f>IFERROR(IF(($CA84)&gt;0,($EI84)/($CA84),""),"")</f>
        <v/>
      </c>
      <c r="EY84" s="76">
        <f>IFERROR(IF(($CB84)&gt;0,($EJ84)/($CB84),""),"")</f>
        <v/>
      </c>
      <c r="EZ84" s="56">
        <f>IFERROR(IF(($BZ84)&gt;0,($EK84)/($BZ84),""),"")</f>
        <v/>
      </c>
      <c r="FA84" s="56">
        <f>IFERROR(IF(($CA84)&gt;0,($EL84)/($CA84),""),"")</f>
        <v/>
      </c>
      <c r="FB84" s="56">
        <f>IFERROR(IF(($CB84)&gt;0,($EM84)/($CB84),""),"")</f>
        <v/>
      </c>
      <c r="FC84" s="55">
        <f>IF(SUMIFS(tblPlant[GIC_oz],tblPlant[Date],$A84)&gt;0,SUMIFS(tblPlant[GIC_oz],tblPlant[Date],$A84),"")</f>
        <v/>
      </c>
      <c r="FD84" s="55">
        <f>SUMIFS(tblGold[Gold_oz],tblGold[Date],$A84,tblGold[Type],"Shipment")</f>
        <v/>
      </c>
      <c r="FE84" s="55">
        <f>IF($B84=$B83,$FE83,0)+$FD84</f>
        <v/>
      </c>
      <c r="FF84" s="55">
        <f>$FF83+$FD84</f>
        <v/>
      </c>
      <c r="FG84" s="55">
        <f>SUMIFS(tblGold[Gold_oz],tblGold[Date],$A84,tblGold[Type],"Sale")</f>
        <v/>
      </c>
      <c r="FH84" s="55">
        <f>IF($B84=$B83,$FH83,0)+$FG84</f>
        <v/>
      </c>
      <c r="FI84" s="55">
        <f>$FI83+$FG84</f>
        <v/>
      </c>
      <c r="FJ84" s="55">
        <f>SUMIFS(tblGold[Dore_kg],tblGold[Date],$A84,tblGold[Type],"Shipment")</f>
        <v/>
      </c>
      <c r="FK84" s="55">
        <f>IF($B84=$B83,$FK83,0)+$FJ84</f>
        <v/>
      </c>
      <c r="FL84" s="55">
        <f>$FL83+$FJ84</f>
        <v/>
      </c>
      <c r="FM84" s="57">
        <f>SUMIFS(tblSafety[Hours_Total],tblSafety[Date],$A84)</f>
        <v/>
      </c>
      <c r="FN84" s="57">
        <f>IF($B84=$B83,$FN83,0)+$FM84</f>
        <v/>
      </c>
      <c r="FO84" s="57">
        <f>$FO83+$FM84</f>
        <v/>
      </c>
      <c r="FP84" s="62">
        <f>SUMIFS(tblSafety[Fatality],tblSafety[Date],$A84)</f>
        <v/>
      </c>
      <c r="FQ84" s="62">
        <f>IF($B84=$B83,$FQ83,0)+$FP84</f>
        <v/>
      </c>
      <c r="FR84" s="62">
        <f>$FR83+$FP84</f>
        <v/>
      </c>
      <c r="FS84" s="62">
        <f>SUMIFS(tblSafety[LTI],tblSafety[Date],$A84)</f>
        <v/>
      </c>
      <c r="FT84" s="62">
        <f>IF($B84=$B83,$FT83,0)+$FS84</f>
        <v/>
      </c>
      <c r="FU84" s="62">
        <f>$FU83+$FS84</f>
        <v/>
      </c>
      <c r="FV84" s="62">
        <f>SUMIFS(tblSafety[RWI],tblSafety[Date],$A84)</f>
        <v/>
      </c>
      <c r="FW84" s="62">
        <f>IF($B84=$B83,$FW83,0)+$FV84</f>
        <v/>
      </c>
      <c r="FX84" s="62">
        <f>$FX83+$FV84</f>
        <v/>
      </c>
      <c r="FY84" s="62">
        <f>SUMIFS(tblSafety[MTI],tblSafety[Date],$A84)</f>
        <v/>
      </c>
      <c r="FZ84" s="62">
        <f>IF($B84=$B83,$FZ83,0)+$FY84</f>
        <v/>
      </c>
      <c r="GA84" s="62">
        <f>$GA83+$FY84</f>
        <v/>
      </c>
      <c r="GB84" s="62">
        <f>SUMIFS(tblSafety[FAI],tblSafety[Date],$A84)</f>
        <v/>
      </c>
      <c r="GC84" s="62">
        <f>IF($B84=$B83,$GC83,0)+$GB84</f>
        <v/>
      </c>
      <c r="GD84" s="62">
        <f>$GD83+$GB84</f>
        <v/>
      </c>
      <c r="GE84" s="62">
        <f>SUMIFS(tblSafety[Recordables],tblSafety[Date],$A84)</f>
        <v/>
      </c>
      <c r="GF84" s="62">
        <f>IF($B84=$B83,$GF83,0)+$GE84</f>
        <v/>
      </c>
      <c r="GG84" s="62">
        <f>$GG83+$GE84</f>
        <v/>
      </c>
      <c r="GH84" s="62">
        <f>SUMIFS(tblSafety[Near_Miss],tblSafety[Date],$A84)</f>
        <v/>
      </c>
      <c r="GI84" s="62">
        <f>IF($B84=$B83,$GI83,0)+$GH84</f>
        <v/>
      </c>
      <c r="GJ84" s="62">
        <f>$GJ83+$GH84</f>
        <v/>
      </c>
      <c r="GK84" s="62">
        <f>SUMIFS(tblSafety[Hazard_Reports],tblSafety[Date],$A84)</f>
        <v/>
      </c>
      <c r="GL84" s="62">
        <f>IF($B84=$B83,$GL83,0)+$GK84</f>
        <v/>
      </c>
      <c r="GM84" s="62">
        <f>$GM83+$GK84</f>
        <v/>
      </c>
      <c r="GN84" s="62">
        <f>SUMIFS(tblSafety[HPI],tblSafety[Date],$A84)</f>
        <v/>
      </c>
      <c r="GO84" s="62">
        <f>IF($B84=$B83,$GO83,0)+$GN84</f>
        <v/>
      </c>
      <c r="GP84" s="62">
        <f>$GP83+$GN84</f>
        <v/>
      </c>
      <c r="GQ84" s="62">
        <f>SUMIFS(tblSafety[Env_Incidents],tblSafety[Date],$A84)</f>
        <v/>
      </c>
      <c r="GR84" s="62">
        <f>IF($B84=$B83,$GR83,0)+$GQ84</f>
        <v/>
      </c>
      <c r="GS84" s="62">
        <f>$GS83+$GQ84</f>
        <v/>
      </c>
      <c r="GT84" s="62">
        <f>SUMIFS(tblSafety[Community_Incidents],tblSafety[Date],$A84)</f>
        <v/>
      </c>
      <c r="GU84" s="62">
        <f>IF($B84=$B83,$GU83,0)+$GT84</f>
        <v/>
      </c>
      <c r="GV84" s="62">
        <f>$GV83+$GT84</f>
        <v/>
      </c>
      <c r="GW84" s="62">
        <f>SUMIFS(tblSafety[Vehicle_Incidents],tblSafety[Date],$A84)</f>
        <v/>
      </c>
      <c r="GX84" s="62">
        <f>IF($B84=$B83,$GX83,0)+$GW84</f>
        <v/>
      </c>
      <c r="GY84" s="62">
        <f>$GY83+$GW84</f>
        <v/>
      </c>
      <c r="GZ84" s="62">
        <f>SUMIFS(tblSafety[Toolbox_Talks],tblSafety[Date],$A84)</f>
        <v/>
      </c>
      <c r="HA84" s="62">
        <f>IF($B84=$B83,$HA83,0)+$GZ84</f>
        <v/>
      </c>
      <c r="HB84" s="62">
        <f>$HB83+$GZ84</f>
        <v/>
      </c>
      <c r="HC84" s="62">
        <f>SUMIFS(tblSafety[Inspections],tblSafety[Date],$A84)</f>
        <v/>
      </c>
      <c r="HD84" s="62">
        <f>IF($B84=$B83,$HD83,0)+$HC84</f>
        <v/>
      </c>
      <c r="HE84" s="62">
        <f>$HE83+$HC84</f>
        <v/>
      </c>
      <c r="HF84" s="56">
        <f>IFERROR((SUMIFS(tblSafety[Recordables],tblSafety[Date],"&gt;="&amp;EDATE($E84,-12),tblSafety[Date],"&lt;="&amp;$A84)+SUMIFS(tblSafetyHistory[Recordables],tblSafetyHistory[Month],"&gt;="&amp;EDATE($E84,-12),tblSafetyHistory[Month],"&lt;"&amp;cfg_YearStart))/(SUMIFS(tblSafety[Hours_Total],tblSafety[Date],"&gt;="&amp;EDATE($E84,-12),tblSafety[Date],"&lt;="&amp;$A84)+SUMIFS(tblSafetyHistory[Hours_Total],tblSafetyHistory[Month],"&gt;="&amp;EDATE($E84,-12),tblSafetyHistory[Month],"&lt;"&amp;cfg_YearStart))*1000000,"")</f>
        <v/>
      </c>
      <c r="HG84" s="56">
        <f>IFERROR((SUMIFS(tblSafety[LTI],tblSafety[Date],"&gt;="&amp;EDATE($E84,-12),tblSafety[Date],"&lt;="&amp;$A84)+SUMIFS(tblSafetyHistory[LTI],tblSafetyHistory[Month],"&gt;="&amp;EDATE($E84,-12),tblSafetyHistory[Month],"&lt;"&amp;cfg_YearStart))/(SUMIFS(tblSafety[Hours_Total],tblSafety[Date],"&gt;="&amp;EDATE($E84,-12),tblSafety[Date],"&lt;="&amp;$A84)+SUMIFS(tblSafetyHistory[Hours_Total],tblSafetyHistory[Month],"&gt;="&amp;EDATE($E84,-12),tblSafetyHistory[Month],"&lt;"&amp;cfg_YearStart))*1000000,"")</f>
        <v/>
      </c>
      <c r="HH84" s="62">
        <f>IF(MAX(N(cfg_PriorLTIDate),_xlfn.MAXIFS(tblSafety[Date],tblSafety[LTI],"&gt;0",tblSafety[Date],"&lt;="&amp;$A84))=0,"",$A84-MAX(N(cfg_PriorLTIDate),_xlfn.MAXIFS(tblSafety[Date],tblSafety[LTI],"&gt;0",tblSafety[Date],"&lt;="&amp;$A84)))</f>
        <v/>
      </c>
      <c r="HI84" s="55">
        <f>SUMIFS(tblBudget[Ore_Mined_t],tblBudget[Month],$E84)</f>
        <v/>
      </c>
      <c r="HJ84" s="55">
        <f>$HI84*$C84/$D84</f>
        <v/>
      </c>
      <c r="HK84" s="55">
        <f>SUMIFS(tblBudget[Ore_Mined_t],tblBudget[Month],"&lt;"&amp;$E84)+$HJ84</f>
        <v/>
      </c>
      <c r="HL84" s="55">
        <f>SUMIFS(tblBudget[Ore_oz],tblBudget[Month],$E84)</f>
        <v/>
      </c>
      <c r="HM84" s="55">
        <f>$HL84*$C84/$D84</f>
        <v/>
      </c>
      <c r="HN84" s="55">
        <f>SUMIFS(tblBudget[Ore_oz],tblBudget[Month],"&lt;"&amp;$E84)+$HM84</f>
        <v/>
      </c>
      <c r="HO84" s="56">
        <f>IFERROR(IF(($HI84)&gt;0,($HL84*cfg_TroyOz)/($HI84),""),"")</f>
        <v/>
      </c>
      <c r="HP84" s="56">
        <f>IFERROR(IF(($HJ84)&gt;0,($HM84*cfg_TroyOz)/($HJ84),""),"")</f>
        <v/>
      </c>
      <c r="HQ84" s="56">
        <f>IFERROR(IF(($HK84)&gt;0,($HN84*cfg_TroyOz)/($HK84),""),"")</f>
        <v/>
      </c>
      <c r="HR84" s="55">
        <f>SUMIFS(tblBudget[Waste_t],tblBudget[Month],$E84)</f>
        <v/>
      </c>
      <c r="HS84" s="55">
        <f>$HR84*$C84/$D84</f>
        <v/>
      </c>
      <c r="HT84" s="55">
        <f>SUMIFS(tblBudget[Waste_t],tblBudget[Month],"&lt;"&amp;$E84)+$HS84</f>
        <v/>
      </c>
      <c r="HU84" s="55">
        <f>SUMIFS(tblBudget[TMM_t],tblBudget[Month],$E84)</f>
        <v/>
      </c>
      <c r="HV84" s="55">
        <f>$HU84*$C84/$D84</f>
        <v/>
      </c>
      <c r="HW84" s="55">
        <f>SUMIFS(tblBudget[TMM_t],tblBudget[Month],"&lt;"&amp;$E84)+$HV84</f>
        <v/>
      </c>
      <c r="HX84" s="56">
        <f>IFERROR(IF(($HI84)&gt;0,($HR84)/($HI84),""),"")</f>
        <v/>
      </c>
      <c r="HY84" s="56">
        <f>IFERROR(IF(($HJ84)&gt;0,($HS84)/($HJ84),""),"")</f>
        <v/>
      </c>
      <c r="HZ84" s="56">
        <f>IFERROR(IF(($HK84)&gt;0,($HT84)/($HK84),""),"")</f>
        <v/>
      </c>
      <c r="IA84" s="55">
        <f>SUMIFS(tblBudget[Drill_m],tblBudget[Month],$E84)</f>
        <v/>
      </c>
      <c r="IB84" s="55">
        <f>$IA84*$C84/$D84</f>
        <v/>
      </c>
      <c r="IC84" s="55">
        <f>SUMIFS(tblBudget[Drill_m],tblBudget[Month],"&lt;"&amp;$E84)+$IB84</f>
        <v/>
      </c>
      <c r="ID84" s="55">
        <f>SUMIFS(tblBudget[Diesel_L],tblBudget[Month],$E84)</f>
        <v/>
      </c>
      <c r="IE84" s="55">
        <f>$ID84*$C84/$D84</f>
        <v/>
      </c>
      <c r="IF84" s="55">
        <f>SUMIFS(tblBudget[Diesel_L],tblBudget[Month],"&lt;"&amp;$E84)+$IE84</f>
        <v/>
      </c>
      <c r="IG84" s="55">
        <f>SUMIFS(tblBudget[Milled_t],tblBudget[Month],$E84)</f>
        <v/>
      </c>
      <c r="IH84" s="55">
        <f>$IG84*$C84/$D84</f>
        <v/>
      </c>
      <c r="II84" s="55">
        <f>SUMIFS(tblBudget[Milled_t],tblBudget[Month],"&lt;"&amp;$E84)+$IH84</f>
        <v/>
      </c>
      <c r="IJ84" s="55">
        <f>SUMIFS(tblBudget[Feed_oz],tblBudget[Month],$E84)</f>
        <v/>
      </c>
      <c r="IK84" s="55">
        <f>$IJ84*$C84/$D84</f>
        <v/>
      </c>
      <c r="IL84" s="55">
        <f>SUMIFS(tblBudget[Feed_oz],tblBudget[Month],"&lt;"&amp;$E84)+$IK84</f>
        <v/>
      </c>
      <c r="IM84" s="55">
        <f>SUMIFS(tblBudget[Recovered_oz],tblBudget[Month],$E84)</f>
        <v/>
      </c>
      <c r="IN84" s="55">
        <f>$IM84*$C84/$D84</f>
        <v/>
      </c>
      <c r="IO84" s="55">
        <f>SUMIFS(tblBudget[Recovered_oz],tblBudget[Month],"&lt;"&amp;$E84)+$IN84</f>
        <v/>
      </c>
      <c r="IP84" s="56">
        <f>IFERROR(IF(($IG84)&gt;0,($IJ84*cfg_TroyOz)/($IG84),""),"")</f>
        <v/>
      </c>
      <c r="IQ84" s="56">
        <f>IFERROR(IF(($IH84)&gt;0,($IK84*cfg_TroyOz)/($IH84),""),"")</f>
        <v/>
      </c>
      <c r="IR84" s="56">
        <f>IFERROR(IF(($II84)&gt;0,($IL84*cfg_TroyOz)/($II84),""),"")</f>
        <v/>
      </c>
      <c r="IS84" s="67">
        <f>IFERROR(IF(($IJ84)&gt;0,($IM84)/($IJ84),""),"")</f>
        <v/>
      </c>
      <c r="IT84" s="67">
        <f>IFERROR(IF(($IK84)&gt;0,($IN84)/($IK84),""),"")</f>
        <v/>
      </c>
      <c r="IU84" s="67">
        <f>IFERROR(IF(($IL84)&gt;0,($IO84)/($IL84),""),"")</f>
        <v/>
      </c>
      <c r="IV84" s="55">
        <f>SUMIFS(tblBudget[Gold_Poured_oz],tblBudget[Month],$E84)</f>
        <v/>
      </c>
      <c r="IW84" s="55">
        <f>$IV84*$C84/$D84</f>
        <v/>
      </c>
      <c r="IX84" s="55">
        <f>SUMIFS(tblBudget[Gold_Poured_oz],tblBudget[Month],"&lt;"&amp;$E84)+$IW84</f>
        <v/>
      </c>
      <c r="IY84" s="57">
        <f>SUMIFS(tblBudget[Hours_Worked],tblBudget[Month],$E84)</f>
        <v/>
      </c>
      <c r="IZ84" s="57">
        <f>$IY84*$C84/$D84</f>
        <v/>
      </c>
      <c r="JA84" s="57">
        <f>SUMIFS(tblBudget[Hours_Worked],tblBudget[Month],"&lt;"&amp;$E84)+$IZ84</f>
        <v/>
      </c>
    </row>
    <row r="85">
      <c r="A85" s="54" t="n">
        <v>46106</v>
      </c>
      <c r="B85">
        <f>MONTH($A85)</f>
        <v/>
      </c>
      <c r="C85">
        <f>DAY($A85)</f>
        <v/>
      </c>
      <c r="D85">
        <f>DAY(EOMONTH($A85,0))</f>
        <v/>
      </c>
      <c r="E85" s="54">
        <f>DATE(YEAR($A85),MONTH($A85),1)</f>
        <v/>
      </c>
      <c r="F85" s="55">
        <f>SUMIFS(tblMovement[Tonnes_t],tblMovement[Date],$A85,tblMovement[Is_Ore],1,tblMovement[Source_Type],"Pit")</f>
        <v/>
      </c>
      <c r="G85" s="55">
        <f>IF($B85=$B84,$G84,0)+$F85</f>
        <v/>
      </c>
      <c r="H85" s="55">
        <f>$H84+$F85</f>
        <v/>
      </c>
      <c r="I85" s="55">
        <f>SUMIFS(tblMovement[Ore_oz],tblMovement[Date],$A85,tblMovement[Source_Type],"Pit")</f>
        <v/>
      </c>
      <c r="J85" s="55">
        <f>IF($B85=$B84,$J84,0)+$I85</f>
        <v/>
      </c>
      <c r="K85" s="55">
        <f>$K84+$I85</f>
        <v/>
      </c>
      <c r="L85" s="56">
        <f>IFERROR(IF(($F85)&gt;0,($I85*cfg_TroyOz)/($F85),""),"")</f>
        <v/>
      </c>
      <c r="M85" s="56">
        <f>IFERROR(IF(($G85)&gt;0,($J85*cfg_TroyOz)/($G85),""),"")</f>
        <v/>
      </c>
      <c r="N85" s="56">
        <f>IFERROR(IF(($H85)&gt;0,($K85*cfg_TroyOz)/($H85),""),"")</f>
        <v/>
      </c>
      <c r="O85" s="55">
        <f>SUMIFS(tblMovement[Tonnes_t],tblMovement[Date],$A85,tblMovement[Is_Ore],0,tblMovement[Source_Type],"Pit")</f>
        <v/>
      </c>
      <c r="P85" s="55">
        <f>IF($B85=$B84,$P84,0)+$O85</f>
        <v/>
      </c>
      <c r="Q85" s="55">
        <f>$Q84+$O85</f>
        <v/>
      </c>
      <c r="R85" s="55">
        <f>$F85+$O85</f>
        <v/>
      </c>
      <c r="S85" s="55">
        <f>IF($B85=$B84,$S84,0)+$R85</f>
        <v/>
      </c>
      <c r="T85" s="55">
        <f>$T84+$R85</f>
        <v/>
      </c>
      <c r="U85" s="56">
        <f>IFERROR(IF(($F85)&gt;0,($O85)/($F85),""),"")</f>
        <v/>
      </c>
      <c r="V85" s="56">
        <f>IFERROR(IF(($G85)&gt;0,($P85)/($G85),""),"")</f>
        <v/>
      </c>
      <c r="W85" s="56">
        <f>IFERROR(IF(($H85)&gt;0,($Q85)/($H85),""),"")</f>
        <v/>
      </c>
      <c r="X85" s="55">
        <f>SUMIFS(tblMovement[Tonnes_t],tblMovement[Date],$A85,tblMovement[Source_Type],"Stockpile")</f>
        <v/>
      </c>
      <c r="Y85" s="55">
        <f>IF($B85=$B84,$Y84,0)+$X85</f>
        <v/>
      </c>
      <c r="Z85" s="55">
        <f>$Z84+$X85</f>
        <v/>
      </c>
      <c r="AA85" s="55">
        <f>SUMIFS(tblMiningDaily[Drill_m],tblMiningDaily[Date],$A85)</f>
        <v/>
      </c>
      <c r="AB85" s="55">
        <f>IF($B85=$B84,$AB84,0)+$AA85</f>
        <v/>
      </c>
      <c r="AC85" s="55">
        <f>$AC84+$AA85</f>
        <v/>
      </c>
      <c r="AD85" s="55">
        <f>SUMIFS(tblMiningDaily[Blast_t],tblMiningDaily[Date],$A85)</f>
        <v/>
      </c>
      <c r="AE85" s="55">
        <f>IF($B85=$B84,$AE84,0)+$AD85</f>
        <v/>
      </c>
      <c r="AF85" s="55">
        <f>$AF84+$AD85</f>
        <v/>
      </c>
      <c r="AG85" s="55">
        <f>SUMIFS(tblMiningDaily[Explosives_kg],tblMiningDaily[Date],$A85)</f>
        <v/>
      </c>
      <c r="AH85" s="55">
        <f>IF($B85=$B84,$AH84,0)+$AG85</f>
        <v/>
      </c>
      <c r="AI85" s="55">
        <f>$AI84+$AG85</f>
        <v/>
      </c>
      <c r="AJ85" s="56">
        <f>IFERROR(IF(($AD85)&gt;0,($AG85)/($AD85),""),"")</f>
        <v/>
      </c>
      <c r="AK85" s="56">
        <f>IFERROR(IF(($AE85)&gt;0,($AH85)/($AE85),""),"")</f>
        <v/>
      </c>
      <c r="AL85" s="56">
        <f>IFERROR(IF(($AF85)&gt;0,($AI85)/($AF85),""),"")</f>
        <v/>
      </c>
      <c r="AM85" s="55">
        <f>SUMIFS(tblMiningDaily[Diesel_L],tblMiningDaily[Date],$A85)</f>
        <v/>
      </c>
      <c r="AN85" s="55">
        <f>IF($B85=$B84,$AN84,0)+$AM85</f>
        <v/>
      </c>
      <c r="AO85" s="55">
        <f>$AO84+$AM85</f>
        <v/>
      </c>
      <c r="AP85" s="55">
        <f>SUMIFS(tblMiningDaily[Dewatering_m3],tblMiningDaily[Date],$A85)</f>
        <v/>
      </c>
      <c r="AQ85" s="55">
        <f>IF($B85=$B84,$AQ84,0)+$AP85</f>
        <v/>
      </c>
      <c r="AR85" s="55">
        <f>$AR84+$AP85</f>
        <v/>
      </c>
      <c r="AS85" s="57">
        <f>SUMIFS(tblFleet[Calendar_h],tblFleet[Date],$A85,tblFleet[Equipment_Class],"Excavator")</f>
        <v/>
      </c>
      <c r="AT85" s="57">
        <f>IF($B85=$B84,$AT84,0)+$AS85</f>
        <v/>
      </c>
      <c r="AU85" s="57">
        <f>$AU84+$AS85</f>
        <v/>
      </c>
      <c r="AV85" s="57">
        <f>SUMIFS(tblFleet[Available_h],tblFleet[Date],$A85,tblFleet[Equipment_Class],"Excavator")</f>
        <v/>
      </c>
      <c r="AW85" s="57">
        <f>IF($B85=$B84,$AW84,0)+$AV85</f>
        <v/>
      </c>
      <c r="AX85" s="57">
        <f>$AX84+$AV85</f>
        <v/>
      </c>
      <c r="AY85" s="57">
        <f>SUMIFS(tblFleet[Operating_h],tblFleet[Date],$A85,tblFleet[Equipment_Class],"Excavator")</f>
        <v/>
      </c>
      <c r="AZ85" s="57">
        <f>IF($B85=$B84,$AZ84,0)+$AY85</f>
        <v/>
      </c>
      <c r="BA85" s="57">
        <f>$BA84+$AY85</f>
        <v/>
      </c>
      <c r="BB85" s="67">
        <f>IFERROR(IF(($AS85)&gt;0,($AV85)/($AS85),""),"")</f>
        <v/>
      </c>
      <c r="BC85" s="67">
        <f>IFERROR(IF(($AT85)&gt;0,($AW85)/($AT85),""),"")</f>
        <v/>
      </c>
      <c r="BD85" s="67">
        <f>IFERROR(IF(($AU85)&gt;0,($AX85)/($AU85),""),"")</f>
        <v/>
      </c>
      <c r="BE85" s="67">
        <f>IFERROR(IF(($AV85)&gt;0,($AY85)/($AV85),""),"")</f>
        <v/>
      </c>
      <c r="BF85" s="67">
        <f>IFERROR(IF(($AW85)&gt;0,($AZ85)/($AW85),""),"")</f>
        <v/>
      </c>
      <c r="BG85" s="67">
        <f>IFERROR(IF(($AX85)&gt;0,($BA85)/($AX85),""),"")</f>
        <v/>
      </c>
      <c r="BH85" s="57">
        <f>SUMIFS(tblFleet[Calendar_h],tblFleet[Date],$A85,tblFleet[Equipment_Class],"Haul Truck")</f>
        <v/>
      </c>
      <c r="BI85" s="57">
        <f>IF($B85=$B84,$BI84,0)+$BH85</f>
        <v/>
      </c>
      <c r="BJ85" s="57">
        <f>$BJ84+$BH85</f>
        <v/>
      </c>
      <c r="BK85" s="57">
        <f>SUMIFS(tblFleet[Available_h],tblFleet[Date],$A85,tblFleet[Equipment_Class],"Haul Truck")</f>
        <v/>
      </c>
      <c r="BL85" s="57">
        <f>IF($B85=$B84,$BL84,0)+$BK85</f>
        <v/>
      </c>
      <c r="BM85" s="57">
        <f>$BM84+$BK85</f>
        <v/>
      </c>
      <c r="BN85" s="57">
        <f>SUMIFS(tblFleet[Operating_h],tblFleet[Date],$A85,tblFleet[Equipment_Class],"Haul Truck")</f>
        <v/>
      </c>
      <c r="BO85" s="57">
        <f>IF($B85=$B84,$BO84,0)+$BN85</f>
        <v/>
      </c>
      <c r="BP85" s="57">
        <f>$BP84+$BN85</f>
        <v/>
      </c>
      <c r="BQ85" s="67">
        <f>IFERROR(IF(($BH85)&gt;0,($BK85)/($BH85),""),"")</f>
        <v/>
      </c>
      <c r="BR85" s="67">
        <f>IFERROR(IF(($BI85)&gt;0,($BL85)/($BI85),""),"")</f>
        <v/>
      </c>
      <c r="BS85" s="67">
        <f>IFERROR(IF(($BJ85)&gt;0,($BM85)/($BJ85),""),"")</f>
        <v/>
      </c>
      <c r="BT85" s="67">
        <f>IFERROR(IF(($BK85)&gt;0,($BN85)/($BK85),""),"")</f>
        <v/>
      </c>
      <c r="BU85" s="67">
        <f>IFERROR(IF(($BL85)&gt;0,($BO85)/($BL85),""),"")</f>
        <v/>
      </c>
      <c r="BV85" s="67">
        <f>IFERROR(IF(($BM85)&gt;0,($BP85)/($BM85),""),"")</f>
        <v/>
      </c>
      <c r="BW85" s="55">
        <f>SUMIFS(tblPlant[Crushed_t],tblPlant[Date],$A85)</f>
        <v/>
      </c>
      <c r="BX85" s="55">
        <f>IF($B85=$B84,$BX84,0)+$BW85</f>
        <v/>
      </c>
      <c r="BY85" s="55">
        <f>$BY84+$BW85</f>
        <v/>
      </c>
      <c r="BZ85" s="55">
        <f>SUMIFS(tblPlant[Milled_t],tblPlant[Date],$A85)</f>
        <v/>
      </c>
      <c r="CA85" s="55">
        <f>IF($B85=$B84,$CA84,0)+$BZ85</f>
        <v/>
      </c>
      <c r="CB85" s="55">
        <f>$CB84+$BZ85</f>
        <v/>
      </c>
      <c r="CC85" s="55">
        <f>SUMIFS(tblPlant[Feed_oz],tblPlant[Date],$A85)</f>
        <v/>
      </c>
      <c r="CD85" s="55">
        <f>IF($B85=$B84,$CD84,0)+$CC85</f>
        <v/>
      </c>
      <c r="CE85" s="55">
        <f>$CE84+$CC85</f>
        <v/>
      </c>
      <c r="CF85" s="55">
        <f>SUMIFS(tblPlant[Tails_oz],tblPlant[Date],$A85)</f>
        <v/>
      </c>
      <c r="CG85" s="55">
        <f>IF($B85=$B84,$CG84,0)+$CF85</f>
        <v/>
      </c>
      <c r="CH85" s="55">
        <f>$CH84+$CF85</f>
        <v/>
      </c>
      <c r="CI85" s="55">
        <f>SUMIFS(tblPlant[Recovered_oz],tblPlant[Date],$A85)</f>
        <v/>
      </c>
      <c r="CJ85" s="55">
        <f>IF($B85=$B84,$CJ84,0)+$CI85</f>
        <v/>
      </c>
      <c r="CK85" s="55">
        <f>$CK84+$CI85</f>
        <v/>
      </c>
      <c r="CL85" s="56">
        <f>IFERROR(IF(($BZ85)&gt;0,($CC85*cfg_TroyOz)/($BZ85),""),"")</f>
        <v/>
      </c>
      <c r="CM85" s="56">
        <f>IFERROR(IF(($CA85)&gt;0,($CD85*cfg_TroyOz)/($CA85),""),"")</f>
        <v/>
      </c>
      <c r="CN85" s="56">
        <f>IFERROR(IF(($CB85)&gt;0,($CE85*cfg_TroyOz)/($CB85),""),"")</f>
        <v/>
      </c>
      <c r="CO85" s="56">
        <f>IFERROR(IF(($BZ85)&gt;0,($CF85*cfg_TroyOz)/($BZ85),""),"")</f>
        <v/>
      </c>
      <c r="CP85" s="56">
        <f>IFERROR(IF(($CA85)&gt;0,($CG85*cfg_TroyOz)/($CA85),""),"")</f>
        <v/>
      </c>
      <c r="CQ85" s="56">
        <f>IFERROR(IF(($CB85)&gt;0,($CH85*cfg_TroyOz)/($CB85),""),"")</f>
        <v/>
      </c>
      <c r="CR85" s="67">
        <f>IFERROR(IF(($CC85)&gt;0,($CI85)/($CC85),""),"")</f>
        <v/>
      </c>
      <c r="CS85" s="67">
        <f>IFERROR(IF(($CD85)&gt;0,($CJ85)/($CD85),""),"")</f>
        <v/>
      </c>
      <c r="CT85" s="67">
        <f>IFERROR(IF(($CE85)&gt;0,($CK85)/($CE85),""),"")</f>
        <v/>
      </c>
      <c r="CU85" s="55">
        <f>SUMIFS(tblPlant[Gravity_Gold_oz],tblPlant[Date],$A85)</f>
        <v/>
      </c>
      <c r="CV85" s="55">
        <f>IF($B85=$B84,$CV84,0)+$CU85</f>
        <v/>
      </c>
      <c r="CW85" s="55">
        <f>$CW84+$CU85</f>
        <v/>
      </c>
      <c r="CX85" s="55">
        <f>SUMIFS(tblPlant[Gold_Poured_oz],tblPlant[Date],$A85)</f>
        <v/>
      </c>
      <c r="CY85" s="55">
        <f>IF($B85=$B84,$CY84,0)+$CX85</f>
        <v/>
      </c>
      <c r="CZ85" s="55">
        <f>$CZ84+$CX85</f>
        <v/>
      </c>
      <c r="DA85" s="57">
        <f>SUMIFS(tblPlant[Mill_Run_h],tblPlant[Date],$A85)</f>
        <v/>
      </c>
      <c r="DB85" s="57">
        <f>IF($B85=$B84,$DB84,0)+$DA85</f>
        <v/>
      </c>
      <c r="DC85" s="57">
        <f>$DC84+$DA85</f>
        <v/>
      </c>
      <c r="DD85" s="57">
        <f>SUMIFS(tblPlant[Mill_Planned_Maint_h],tblPlant[Date],$A85)</f>
        <v/>
      </c>
      <c r="DE85" s="57">
        <f>IF($B85=$B84,$DE84,0)+$DD85</f>
        <v/>
      </c>
      <c r="DF85" s="57">
        <f>$DF84+$DD85</f>
        <v/>
      </c>
      <c r="DG85" s="57">
        <f>SUMIFS(tblPlant[Mill_Unplanned_Down_h],tblPlant[Date],$A85)</f>
        <v/>
      </c>
      <c r="DH85" s="57">
        <f>IF($B85=$B84,$DH84,0)+$DG85</f>
        <v/>
      </c>
      <c r="DI85" s="57">
        <f>$DI84+$DG85</f>
        <v/>
      </c>
      <c r="DJ85" s="57">
        <f>COUNTIFS(tblPlant[Date],$A85,tblPlant[Mill_Run_h],"&lt;&gt;")*24</f>
        <v/>
      </c>
      <c r="DK85" s="57">
        <f>IF($B85=$B84,$DK84,0)+$DJ85</f>
        <v/>
      </c>
      <c r="DL85" s="57">
        <f>$DL84+$DJ85</f>
        <v/>
      </c>
      <c r="DM85" s="57">
        <f>SUMIFS(tblPlant[Crusher_Run_h],tblPlant[Date],$A85)</f>
        <v/>
      </c>
      <c r="DN85" s="57">
        <f>IF($B85=$B84,$DN84,0)+$DM85</f>
        <v/>
      </c>
      <c r="DO85" s="57">
        <f>$DO84+$DM85</f>
        <v/>
      </c>
      <c r="DP85" s="55">
        <f>IFERROR(IF(($DA85)&gt;0,($BZ85)/($DA85),""),"")</f>
        <v/>
      </c>
      <c r="DQ85" s="55">
        <f>IFERROR(IF(($DB85)&gt;0,($CA85)/($DB85),""),"")</f>
        <v/>
      </c>
      <c r="DR85" s="55">
        <f>IFERROR(IF(($DC85)&gt;0,($CB85)/($DC85),""),"")</f>
        <v/>
      </c>
      <c r="DS85" s="67">
        <f>IFERROR(IF(($DJ85)&gt;0,($DJ85-$DD85-$DG85)/($DJ85),""),"")</f>
        <v/>
      </c>
      <c r="DT85" s="67">
        <f>IFERROR(IF(($DK85)&gt;0,($DK85-$DE85-$DH85)/($DK85),""),"")</f>
        <v/>
      </c>
      <c r="DU85" s="67">
        <f>IFERROR(IF(($DL85)&gt;0,($DL85-$DF85-$DI85)/($DL85),""),"")</f>
        <v/>
      </c>
      <c r="DV85" s="67">
        <f>IFERROR(IF(($DJ85-$DD85-$DG85)&gt;0,($DA85)/($DJ85-$DD85-$DG85),""),"")</f>
        <v/>
      </c>
      <c r="DW85" s="67">
        <f>IFERROR(IF(($DK85-$DE85-$DH85)&gt;0,($DB85)/($DK85-$DE85-$DH85),""),"")</f>
        <v/>
      </c>
      <c r="DX85" s="67">
        <f>IFERROR(IF(($DL85-$DF85-$DI85)&gt;0,($DC85)/($DL85-$DF85-$DI85),""),"")</f>
        <v/>
      </c>
      <c r="DY85" s="55">
        <f>SUMIFS(tblPlant[Cyanide_kg],tblPlant[Date],$A85)</f>
        <v/>
      </c>
      <c r="DZ85" s="55">
        <f>IF($B85=$B84,$DZ84,0)+$DY85</f>
        <v/>
      </c>
      <c r="EA85" s="55">
        <f>$EA84+$DY85</f>
        <v/>
      </c>
      <c r="EB85" s="55">
        <f>SUMIFS(tblPlant[Lime_kg],tblPlant[Date],$A85)</f>
        <v/>
      </c>
      <c r="EC85" s="55">
        <f>IF($B85=$B84,$EC84,0)+$EB85</f>
        <v/>
      </c>
      <c r="ED85" s="55">
        <f>$ED84+$EB85</f>
        <v/>
      </c>
      <c r="EE85" s="55">
        <f>SUMIFS(tblPlant[Grinding_Media_kg],tblPlant[Date],$A85)</f>
        <v/>
      </c>
      <c r="EF85" s="55">
        <f>IF($B85=$B84,$EF84,0)+$EE85</f>
        <v/>
      </c>
      <c r="EG85" s="55">
        <f>$EG84+$EE85</f>
        <v/>
      </c>
      <c r="EH85" s="55">
        <f>SUMIFS(tblPlant[Power_kWh],tblPlant[Date],$A85)</f>
        <v/>
      </c>
      <c r="EI85" s="55">
        <f>IF($B85=$B84,$EI84,0)+$EH85</f>
        <v/>
      </c>
      <c r="EJ85" s="55">
        <f>$EJ84+$EH85</f>
        <v/>
      </c>
      <c r="EK85" s="55">
        <f>SUMIFS(tblPlant[Raw_Water_m3],tblPlant[Date],$A85)</f>
        <v/>
      </c>
      <c r="EL85" s="55">
        <f>IF($B85=$B84,$EL84,0)+$EK85</f>
        <v/>
      </c>
      <c r="EM85" s="55">
        <f>$EM84+$EK85</f>
        <v/>
      </c>
      <c r="EN85" s="56">
        <f>IFERROR(IF(($BZ85)&gt;0,($DY85)/($BZ85),""),"")</f>
        <v/>
      </c>
      <c r="EO85" s="56">
        <f>IFERROR(IF(($CA85)&gt;0,($DZ85)/($CA85),""),"")</f>
        <v/>
      </c>
      <c r="EP85" s="56">
        <f>IFERROR(IF(($CB85)&gt;0,($EA85)/($CB85),""),"")</f>
        <v/>
      </c>
      <c r="EQ85" s="56">
        <f>IFERROR(IF(($BZ85)&gt;0,($EB85)/($BZ85),""),"")</f>
        <v/>
      </c>
      <c r="ER85" s="56">
        <f>IFERROR(IF(($CA85)&gt;0,($EC85)/($CA85),""),"")</f>
        <v/>
      </c>
      <c r="ES85" s="56">
        <f>IFERROR(IF(($CB85)&gt;0,($ED85)/($CB85),""),"")</f>
        <v/>
      </c>
      <c r="ET85" s="56">
        <f>IFERROR(IF(($BZ85)&gt;0,($EE85)/($BZ85),""),"")</f>
        <v/>
      </c>
      <c r="EU85" s="56">
        <f>IFERROR(IF(($CA85)&gt;0,($EF85)/($CA85),""),"")</f>
        <v/>
      </c>
      <c r="EV85" s="56">
        <f>IFERROR(IF(($CB85)&gt;0,($EG85)/($CB85),""),"")</f>
        <v/>
      </c>
      <c r="EW85" s="76">
        <f>IFERROR(IF(($BZ85)&gt;0,($EH85)/($BZ85),""),"")</f>
        <v/>
      </c>
      <c r="EX85" s="76">
        <f>IFERROR(IF(($CA85)&gt;0,($EI85)/($CA85),""),"")</f>
        <v/>
      </c>
      <c r="EY85" s="76">
        <f>IFERROR(IF(($CB85)&gt;0,($EJ85)/($CB85),""),"")</f>
        <v/>
      </c>
      <c r="EZ85" s="56">
        <f>IFERROR(IF(($BZ85)&gt;0,($EK85)/($BZ85),""),"")</f>
        <v/>
      </c>
      <c r="FA85" s="56">
        <f>IFERROR(IF(($CA85)&gt;0,($EL85)/($CA85),""),"")</f>
        <v/>
      </c>
      <c r="FB85" s="56">
        <f>IFERROR(IF(($CB85)&gt;0,($EM85)/($CB85),""),"")</f>
        <v/>
      </c>
      <c r="FC85" s="55">
        <f>IF(SUMIFS(tblPlant[GIC_oz],tblPlant[Date],$A85)&gt;0,SUMIFS(tblPlant[GIC_oz],tblPlant[Date],$A85),"")</f>
        <v/>
      </c>
      <c r="FD85" s="55">
        <f>SUMIFS(tblGold[Gold_oz],tblGold[Date],$A85,tblGold[Type],"Shipment")</f>
        <v/>
      </c>
      <c r="FE85" s="55">
        <f>IF($B85=$B84,$FE84,0)+$FD85</f>
        <v/>
      </c>
      <c r="FF85" s="55">
        <f>$FF84+$FD85</f>
        <v/>
      </c>
      <c r="FG85" s="55">
        <f>SUMIFS(tblGold[Gold_oz],tblGold[Date],$A85,tblGold[Type],"Sale")</f>
        <v/>
      </c>
      <c r="FH85" s="55">
        <f>IF($B85=$B84,$FH84,0)+$FG85</f>
        <v/>
      </c>
      <c r="FI85" s="55">
        <f>$FI84+$FG85</f>
        <v/>
      </c>
      <c r="FJ85" s="55">
        <f>SUMIFS(tblGold[Dore_kg],tblGold[Date],$A85,tblGold[Type],"Shipment")</f>
        <v/>
      </c>
      <c r="FK85" s="55">
        <f>IF($B85=$B84,$FK84,0)+$FJ85</f>
        <v/>
      </c>
      <c r="FL85" s="55">
        <f>$FL84+$FJ85</f>
        <v/>
      </c>
      <c r="FM85" s="57">
        <f>SUMIFS(tblSafety[Hours_Total],tblSafety[Date],$A85)</f>
        <v/>
      </c>
      <c r="FN85" s="57">
        <f>IF($B85=$B84,$FN84,0)+$FM85</f>
        <v/>
      </c>
      <c r="FO85" s="57">
        <f>$FO84+$FM85</f>
        <v/>
      </c>
      <c r="FP85" s="62">
        <f>SUMIFS(tblSafety[Fatality],tblSafety[Date],$A85)</f>
        <v/>
      </c>
      <c r="FQ85" s="62">
        <f>IF($B85=$B84,$FQ84,0)+$FP85</f>
        <v/>
      </c>
      <c r="FR85" s="62">
        <f>$FR84+$FP85</f>
        <v/>
      </c>
      <c r="FS85" s="62">
        <f>SUMIFS(tblSafety[LTI],tblSafety[Date],$A85)</f>
        <v/>
      </c>
      <c r="FT85" s="62">
        <f>IF($B85=$B84,$FT84,0)+$FS85</f>
        <v/>
      </c>
      <c r="FU85" s="62">
        <f>$FU84+$FS85</f>
        <v/>
      </c>
      <c r="FV85" s="62">
        <f>SUMIFS(tblSafety[RWI],tblSafety[Date],$A85)</f>
        <v/>
      </c>
      <c r="FW85" s="62">
        <f>IF($B85=$B84,$FW84,0)+$FV85</f>
        <v/>
      </c>
      <c r="FX85" s="62">
        <f>$FX84+$FV85</f>
        <v/>
      </c>
      <c r="FY85" s="62">
        <f>SUMIFS(tblSafety[MTI],tblSafety[Date],$A85)</f>
        <v/>
      </c>
      <c r="FZ85" s="62">
        <f>IF($B85=$B84,$FZ84,0)+$FY85</f>
        <v/>
      </c>
      <c r="GA85" s="62">
        <f>$GA84+$FY85</f>
        <v/>
      </c>
      <c r="GB85" s="62">
        <f>SUMIFS(tblSafety[FAI],tblSafety[Date],$A85)</f>
        <v/>
      </c>
      <c r="GC85" s="62">
        <f>IF($B85=$B84,$GC84,0)+$GB85</f>
        <v/>
      </c>
      <c r="GD85" s="62">
        <f>$GD84+$GB85</f>
        <v/>
      </c>
      <c r="GE85" s="62">
        <f>SUMIFS(tblSafety[Recordables],tblSafety[Date],$A85)</f>
        <v/>
      </c>
      <c r="GF85" s="62">
        <f>IF($B85=$B84,$GF84,0)+$GE85</f>
        <v/>
      </c>
      <c r="GG85" s="62">
        <f>$GG84+$GE85</f>
        <v/>
      </c>
      <c r="GH85" s="62">
        <f>SUMIFS(tblSafety[Near_Miss],tblSafety[Date],$A85)</f>
        <v/>
      </c>
      <c r="GI85" s="62">
        <f>IF($B85=$B84,$GI84,0)+$GH85</f>
        <v/>
      </c>
      <c r="GJ85" s="62">
        <f>$GJ84+$GH85</f>
        <v/>
      </c>
      <c r="GK85" s="62">
        <f>SUMIFS(tblSafety[Hazard_Reports],tblSafety[Date],$A85)</f>
        <v/>
      </c>
      <c r="GL85" s="62">
        <f>IF($B85=$B84,$GL84,0)+$GK85</f>
        <v/>
      </c>
      <c r="GM85" s="62">
        <f>$GM84+$GK85</f>
        <v/>
      </c>
      <c r="GN85" s="62">
        <f>SUMIFS(tblSafety[HPI],tblSafety[Date],$A85)</f>
        <v/>
      </c>
      <c r="GO85" s="62">
        <f>IF($B85=$B84,$GO84,0)+$GN85</f>
        <v/>
      </c>
      <c r="GP85" s="62">
        <f>$GP84+$GN85</f>
        <v/>
      </c>
      <c r="GQ85" s="62">
        <f>SUMIFS(tblSafety[Env_Incidents],tblSafety[Date],$A85)</f>
        <v/>
      </c>
      <c r="GR85" s="62">
        <f>IF($B85=$B84,$GR84,0)+$GQ85</f>
        <v/>
      </c>
      <c r="GS85" s="62">
        <f>$GS84+$GQ85</f>
        <v/>
      </c>
      <c r="GT85" s="62">
        <f>SUMIFS(tblSafety[Community_Incidents],tblSafety[Date],$A85)</f>
        <v/>
      </c>
      <c r="GU85" s="62">
        <f>IF($B85=$B84,$GU84,0)+$GT85</f>
        <v/>
      </c>
      <c r="GV85" s="62">
        <f>$GV84+$GT85</f>
        <v/>
      </c>
      <c r="GW85" s="62">
        <f>SUMIFS(tblSafety[Vehicle_Incidents],tblSafety[Date],$A85)</f>
        <v/>
      </c>
      <c r="GX85" s="62">
        <f>IF($B85=$B84,$GX84,0)+$GW85</f>
        <v/>
      </c>
      <c r="GY85" s="62">
        <f>$GY84+$GW85</f>
        <v/>
      </c>
      <c r="GZ85" s="62">
        <f>SUMIFS(tblSafety[Toolbox_Talks],tblSafety[Date],$A85)</f>
        <v/>
      </c>
      <c r="HA85" s="62">
        <f>IF($B85=$B84,$HA84,0)+$GZ85</f>
        <v/>
      </c>
      <c r="HB85" s="62">
        <f>$HB84+$GZ85</f>
        <v/>
      </c>
      <c r="HC85" s="62">
        <f>SUMIFS(tblSafety[Inspections],tblSafety[Date],$A85)</f>
        <v/>
      </c>
      <c r="HD85" s="62">
        <f>IF($B85=$B84,$HD84,0)+$HC85</f>
        <v/>
      </c>
      <c r="HE85" s="62">
        <f>$HE84+$HC85</f>
        <v/>
      </c>
      <c r="HF85" s="56">
        <f>IFERROR((SUMIFS(tblSafety[Recordables],tblSafety[Date],"&gt;="&amp;EDATE($E85,-12),tblSafety[Date],"&lt;="&amp;$A85)+SUMIFS(tblSafetyHistory[Recordables],tblSafetyHistory[Month],"&gt;="&amp;EDATE($E85,-12),tblSafetyHistory[Month],"&lt;"&amp;cfg_YearStart))/(SUMIFS(tblSafety[Hours_Total],tblSafety[Date],"&gt;="&amp;EDATE($E85,-12),tblSafety[Date],"&lt;="&amp;$A85)+SUMIFS(tblSafetyHistory[Hours_Total],tblSafetyHistory[Month],"&gt;="&amp;EDATE($E85,-12),tblSafetyHistory[Month],"&lt;"&amp;cfg_YearStart))*1000000,"")</f>
        <v/>
      </c>
      <c r="HG85" s="56">
        <f>IFERROR((SUMIFS(tblSafety[LTI],tblSafety[Date],"&gt;="&amp;EDATE($E85,-12),tblSafety[Date],"&lt;="&amp;$A85)+SUMIFS(tblSafetyHistory[LTI],tblSafetyHistory[Month],"&gt;="&amp;EDATE($E85,-12),tblSafetyHistory[Month],"&lt;"&amp;cfg_YearStart))/(SUMIFS(tblSafety[Hours_Total],tblSafety[Date],"&gt;="&amp;EDATE($E85,-12),tblSafety[Date],"&lt;="&amp;$A85)+SUMIFS(tblSafetyHistory[Hours_Total],tblSafetyHistory[Month],"&gt;="&amp;EDATE($E85,-12),tblSafetyHistory[Month],"&lt;"&amp;cfg_YearStart))*1000000,"")</f>
        <v/>
      </c>
      <c r="HH85" s="62">
        <f>IF(MAX(N(cfg_PriorLTIDate),_xlfn.MAXIFS(tblSafety[Date],tblSafety[LTI],"&gt;0",tblSafety[Date],"&lt;="&amp;$A85))=0,"",$A85-MAX(N(cfg_PriorLTIDate),_xlfn.MAXIFS(tblSafety[Date],tblSafety[LTI],"&gt;0",tblSafety[Date],"&lt;="&amp;$A85)))</f>
        <v/>
      </c>
      <c r="HI85" s="55">
        <f>SUMIFS(tblBudget[Ore_Mined_t],tblBudget[Month],$E85)</f>
        <v/>
      </c>
      <c r="HJ85" s="55">
        <f>$HI85*$C85/$D85</f>
        <v/>
      </c>
      <c r="HK85" s="55">
        <f>SUMIFS(tblBudget[Ore_Mined_t],tblBudget[Month],"&lt;"&amp;$E85)+$HJ85</f>
        <v/>
      </c>
      <c r="HL85" s="55">
        <f>SUMIFS(tblBudget[Ore_oz],tblBudget[Month],$E85)</f>
        <v/>
      </c>
      <c r="HM85" s="55">
        <f>$HL85*$C85/$D85</f>
        <v/>
      </c>
      <c r="HN85" s="55">
        <f>SUMIFS(tblBudget[Ore_oz],tblBudget[Month],"&lt;"&amp;$E85)+$HM85</f>
        <v/>
      </c>
      <c r="HO85" s="56">
        <f>IFERROR(IF(($HI85)&gt;0,($HL85*cfg_TroyOz)/($HI85),""),"")</f>
        <v/>
      </c>
      <c r="HP85" s="56">
        <f>IFERROR(IF(($HJ85)&gt;0,($HM85*cfg_TroyOz)/($HJ85),""),"")</f>
        <v/>
      </c>
      <c r="HQ85" s="56">
        <f>IFERROR(IF(($HK85)&gt;0,($HN85*cfg_TroyOz)/($HK85),""),"")</f>
        <v/>
      </c>
      <c r="HR85" s="55">
        <f>SUMIFS(tblBudget[Waste_t],tblBudget[Month],$E85)</f>
        <v/>
      </c>
      <c r="HS85" s="55">
        <f>$HR85*$C85/$D85</f>
        <v/>
      </c>
      <c r="HT85" s="55">
        <f>SUMIFS(tblBudget[Waste_t],tblBudget[Month],"&lt;"&amp;$E85)+$HS85</f>
        <v/>
      </c>
      <c r="HU85" s="55">
        <f>SUMIFS(tblBudget[TMM_t],tblBudget[Month],$E85)</f>
        <v/>
      </c>
      <c r="HV85" s="55">
        <f>$HU85*$C85/$D85</f>
        <v/>
      </c>
      <c r="HW85" s="55">
        <f>SUMIFS(tblBudget[TMM_t],tblBudget[Month],"&lt;"&amp;$E85)+$HV85</f>
        <v/>
      </c>
      <c r="HX85" s="56">
        <f>IFERROR(IF(($HI85)&gt;0,($HR85)/($HI85),""),"")</f>
        <v/>
      </c>
      <c r="HY85" s="56">
        <f>IFERROR(IF(($HJ85)&gt;0,($HS85)/($HJ85),""),"")</f>
        <v/>
      </c>
      <c r="HZ85" s="56">
        <f>IFERROR(IF(($HK85)&gt;0,($HT85)/($HK85),""),"")</f>
        <v/>
      </c>
      <c r="IA85" s="55">
        <f>SUMIFS(tblBudget[Drill_m],tblBudget[Month],$E85)</f>
        <v/>
      </c>
      <c r="IB85" s="55">
        <f>$IA85*$C85/$D85</f>
        <v/>
      </c>
      <c r="IC85" s="55">
        <f>SUMIFS(tblBudget[Drill_m],tblBudget[Month],"&lt;"&amp;$E85)+$IB85</f>
        <v/>
      </c>
      <c r="ID85" s="55">
        <f>SUMIFS(tblBudget[Diesel_L],tblBudget[Month],$E85)</f>
        <v/>
      </c>
      <c r="IE85" s="55">
        <f>$ID85*$C85/$D85</f>
        <v/>
      </c>
      <c r="IF85" s="55">
        <f>SUMIFS(tblBudget[Diesel_L],tblBudget[Month],"&lt;"&amp;$E85)+$IE85</f>
        <v/>
      </c>
      <c r="IG85" s="55">
        <f>SUMIFS(tblBudget[Milled_t],tblBudget[Month],$E85)</f>
        <v/>
      </c>
      <c r="IH85" s="55">
        <f>$IG85*$C85/$D85</f>
        <v/>
      </c>
      <c r="II85" s="55">
        <f>SUMIFS(tblBudget[Milled_t],tblBudget[Month],"&lt;"&amp;$E85)+$IH85</f>
        <v/>
      </c>
      <c r="IJ85" s="55">
        <f>SUMIFS(tblBudget[Feed_oz],tblBudget[Month],$E85)</f>
        <v/>
      </c>
      <c r="IK85" s="55">
        <f>$IJ85*$C85/$D85</f>
        <v/>
      </c>
      <c r="IL85" s="55">
        <f>SUMIFS(tblBudget[Feed_oz],tblBudget[Month],"&lt;"&amp;$E85)+$IK85</f>
        <v/>
      </c>
      <c r="IM85" s="55">
        <f>SUMIFS(tblBudget[Recovered_oz],tblBudget[Month],$E85)</f>
        <v/>
      </c>
      <c r="IN85" s="55">
        <f>$IM85*$C85/$D85</f>
        <v/>
      </c>
      <c r="IO85" s="55">
        <f>SUMIFS(tblBudget[Recovered_oz],tblBudget[Month],"&lt;"&amp;$E85)+$IN85</f>
        <v/>
      </c>
      <c r="IP85" s="56">
        <f>IFERROR(IF(($IG85)&gt;0,($IJ85*cfg_TroyOz)/($IG85),""),"")</f>
        <v/>
      </c>
      <c r="IQ85" s="56">
        <f>IFERROR(IF(($IH85)&gt;0,($IK85*cfg_TroyOz)/($IH85),""),"")</f>
        <v/>
      </c>
      <c r="IR85" s="56">
        <f>IFERROR(IF(($II85)&gt;0,($IL85*cfg_TroyOz)/($II85),""),"")</f>
        <v/>
      </c>
      <c r="IS85" s="67">
        <f>IFERROR(IF(($IJ85)&gt;0,($IM85)/($IJ85),""),"")</f>
        <v/>
      </c>
      <c r="IT85" s="67">
        <f>IFERROR(IF(($IK85)&gt;0,($IN85)/($IK85),""),"")</f>
        <v/>
      </c>
      <c r="IU85" s="67">
        <f>IFERROR(IF(($IL85)&gt;0,($IO85)/($IL85),""),"")</f>
        <v/>
      </c>
      <c r="IV85" s="55">
        <f>SUMIFS(tblBudget[Gold_Poured_oz],tblBudget[Month],$E85)</f>
        <v/>
      </c>
      <c r="IW85" s="55">
        <f>$IV85*$C85/$D85</f>
        <v/>
      </c>
      <c r="IX85" s="55">
        <f>SUMIFS(tblBudget[Gold_Poured_oz],tblBudget[Month],"&lt;"&amp;$E85)+$IW85</f>
        <v/>
      </c>
      <c r="IY85" s="57">
        <f>SUMIFS(tblBudget[Hours_Worked],tblBudget[Month],$E85)</f>
        <v/>
      </c>
      <c r="IZ85" s="57">
        <f>$IY85*$C85/$D85</f>
        <v/>
      </c>
      <c r="JA85" s="57">
        <f>SUMIFS(tblBudget[Hours_Worked],tblBudget[Month],"&lt;"&amp;$E85)+$IZ85</f>
        <v/>
      </c>
    </row>
    <row r="86">
      <c r="A86" s="54" t="n">
        <v>46107</v>
      </c>
      <c r="B86">
        <f>MONTH($A86)</f>
        <v/>
      </c>
      <c r="C86">
        <f>DAY($A86)</f>
        <v/>
      </c>
      <c r="D86">
        <f>DAY(EOMONTH($A86,0))</f>
        <v/>
      </c>
      <c r="E86" s="54">
        <f>DATE(YEAR($A86),MONTH($A86),1)</f>
        <v/>
      </c>
      <c r="F86" s="55">
        <f>SUMIFS(tblMovement[Tonnes_t],tblMovement[Date],$A86,tblMovement[Is_Ore],1,tblMovement[Source_Type],"Pit")</f>
        <v/>
      </c>
      <c r="G86" s="55">
        <f>IF($B86=$B85,$G85,0)+$F86</f>
        <v/>
      </c>
      <c r="H86" s="55">
        <f>$H85+$F86</f>
        <v/>
      </c>
      <c r="I86" s="55">
        <f>SUMIFS(tblMovement[Ore_oz],tblMovement[Date],$A86,tblMovement[Source_Type],"Pit")</f>
        <v/>
      </c>
      <c r="J86" s="55">
        <f>IF($B86=$B85,$J85,0)+$I86</f>
        <v/>
      </c>
      <c r="K86" s="55">
        <f>$K85+$I86</f>
        <v/>
      </c>
      <c r="L86" s="56">
        <f>IFERROR(IF(($F86)&gt;0,($I86*cfg_TroyOz)/($F86),""),"")</f>
        <v/>
      </c>
      <c r="M86" s="56">
        <f>IFERROR(IF(($G86)&gt;0,($J86*cfg_TroyOz)/($G86),""),"")</f>
        <v/>
      </c>
      <c r="N86" s="56">
        <f>IFERROR(IF(($H86)&gt;0,($K86*cfg_TroyOz)/($H86),""),"")</f>
        <v/>
      </c>
      <c r="O86" s="55">
        <f>SUMIFS(tblMovement[Tonnes_t],tblMovement[Date],$A86,tblMovement[Is_Ore],0,tblMovement[Source_Type],"Pit")</f>
        <v/>
      </c>
      <c r="P86" s="55">
        <f>IF($B86=$B85,$P85,0)+$O86</f>
        <v/>
      </c>
      <c r="Q86" s="55">
        <f>$Q85+$O86</f>
        <v/>
      </c>
      <c r="R86" s="55">
        <f>$F86+$O86</f>
        <v/>
      </c>
      <c r="S86" s="55">
        <f>IF($B86=$B85,$S85,0)+$R86</f>
        <v/>
      </c>
      <c r="T86" s="55">
        <f>$T85+$R86</f>
        <v/>
      </c>
      <c r="U86" s="56">
        <f>IFERROR(IF(($F86)&gt;0,($O86)/($F86),""),"")</f>
        <v/>
      </c>
      <c r="V86" s="56">
        <f>IFERROR(IF(($G86)&gt;0,($P86)/($G86),""),"")</f>
        <v/>
      </c>
      <c r="W86" s="56">
        <f>IFERROR(IF(($H86)&gt;0,($Q86)/($H86),""),"")</f>
        <v/>
      </c>
      <c r="X86" s="55">
        <f>SUMIFS(tblMovement[Tonnes_t],tblMovement[Date],$A86,tblMovement[Source_Type],"Stockpile")</f>
        <v/>
      </c>
      <c r="Y86" s="55">
        <f>IF($B86=$B85,$Y85,0)+$X86</f>
        <v/>
      </c>
      <c r="Z86" s="55">
        <f>$Z85+$X86</f>
        <v/>
      </c>
      <c r="AA86" s="55">
        <f>SUMIFS(tblMiningDaily[Drill_m],tblMiningDaily[Date],$A86)</f>
        <v/>
      </c>
      <c r="AB86" s="55">
        <f>IF($B86=$B85,$AB85,0)+$AA86</f>
        <v/>
      </c>
      <c r="AC86" s="55">
        <f>$AC85+$AA86</f>
        <v/>
      </c>
      <c r="AD86" s="55">
        <f>SUMIFS(tblMiningDaily[Blast_t],tblMiningDaily[Date],$A86)</f>
        <v/>
      </c>
      <c r="AE86" s="55">
        <f>IF($B86=$B85,$AE85,0)+$AD86</f>
        <v/>
      </c>
      <c r="AF86" s="55">
        <f>$AF85+$AD86</f>
        <v/>
      </c>
      <c r="AG86" s="55">
        <f>SUMIFS(tblMiningDaily[Explosives_kg],tblMiningDaily[Date],$A86)</f>
        <v/>
      </c>
      <c r="AH86" s="55">
        <f>IF($B86=$B85,$AH85,0)+$AG86</f>
        <v/>
      </c>
      <c r="AI86" s="55">
        <f>$AI85+$AG86</f>
        <v/>
      </c>
      <c r="AJ86" s="56">
        <f>IFERROR(IF(($AD86)&gt;0,($AG86)/($AD86),""),"")</f>
        <v/>
      </c>
      <c r="AK86" s="56">
        <f>IFERROR(IF(($AE86)&gt;0,($AH86)/($AE86),""),"")</f>
        <v/>
      </c>
      <c r="AL86" s="56">
        <f>IFERROR(IF(($AF86)&gt;0,($AI86)/($AF86),""),"")</f>
        <v/>
      </c>
      <c r="AM86" s="55">
        <f>SUMIFS(tblMiningDaily[Diesel_L],tblMiningDaily[Date],$A86)</f>
        <v/>
      </c>
      <c r="AN86" s="55">
        <f>IF($B86=$B85,$AN85,0)+$AM86</f>
        <v/>
      </c>
      <c r="AO86" s="55">
        <f>$AO85+$AM86</f>
        <v/>
      </c>
      <c r="AP86" s="55">
        <f>SUMIFS(tblMiningDaily[Dewatering_m3],tblMiningDaily[Date],$A86)</f>
        <v/>
      </c>
      <c r="AQ86" s="55">
        <f>IF($B86=$B85,$AQ85,0)+$AP86</f>
        <v/>
      </c>
      <c r="AR86" s="55">
        <f>$AR85+$AP86</f>
        <v/>
      </c>
      <c r="AS86" s="57">
        <f>SUMIFS(tblFleet[Calendar_h],tblFleet[Date],$A86,tblFleet[Equipment_Class],"Excavator")</f>
        <v/>
      </c>
      <c r="AT86" s="57">
        <f>IF($B86=$B85,$AT85,0)+$AS86</f>
        <v/>
      </c>
      <c r="AU86" s="57">
        <f>$AU85+$AS86</f>
        <v/>
      </c>
      <c r="AV86" s="57">
        <f>SUMIFS(tblFleet[Available_h],tblFleet[Date],$A86,tblFleet[Equipment_Class],"Excavator")</f>
        <v/>
      </c>
      <c r="AW86" s="57">
        <f>IF($B86=$B85,$AW85,0)+$AV86</f>
        <v/>
      </c>
      <c r="AX86" s="57">
        <f>$AX85+$AV86</f>
        <v/>
      </c>
      <c r="AY86" s="57">
        <f>SUMIFS(tblFleet[Operating_h],tblFleet[Date],$A86,tblFleet[Equipment_Class],"Excavator")</f>
        <v/>
      </c>
      <c r="AZ86" s="57">
        <f>IF($B86=$B85,$AZ85,0)+$AY86</f>
        <v/>
      </c>
      <c r="BA86" s="57">
        <f>$BA85+$AY86</f>
        <v/>
      </c>
      <c r="BB86" s="67">
        <f>IFERROR(IF(($AS86)&gt;0,($AV86)/($AS86),""),"")</f>
        <v/>
      </c>
      <c r="BC86" s="67">
        <f>IFERROR(IF(($AT86)&gt;0,($AW86)/($AT86),""),"")</f>
        <v/>
      </c>
      <c r="BD86" s="67">
        <f>IFERROR(IF(($AU86)&gt;0,($AX86)/($AU86),""),"")</f>
        <v/>
      </c>
      <c r="BE86" s="67">
        <f>IFERROR(IF(($AV86)&gt;0,($AY86)/($AV86),""),"")</f>
        <v/>
      </c>
      <c r="BF86" s="67">
        <f>IFERROR(IF(($AW86)&gt;0,($AZ86)/($AW86),""),"")</f>
        <v/>
      </c>
      <c r="BG86" s="67">
        <f>IFERROR(IF(($AX86)&gt;0,($BA86)/($AX86),""),"")</f>
        <v/>
      </c>
      <c r="BH86" s="57">
        <f>SUMIFS(tblFleet[Calendar_h],tblFleet[Date],$A86,tblFleet[Equipment_Class],"Haul Truck")</f>
        <v/>
      </c>
      <c r="BI86" s="57">
        <f>IF($B86=$B85,$BI85,0)+$BH86</f>
        <v/>
      </c>
      <c r="BJ86" s="57">
        <f>$BJ85+$BH86</f>
        <v/>
      </c>
      <c r="BK86" s="57">
        <f>SUMIFS(tblFleet[Available_h],tblFleet[Date],$A86,tblFleet[Equipment_Class],"Haul Truck")</f>
        <v/>
      </c>
      <c r="BL86" s="57">
        <f>IF($B86=$B85,$BL85,0)+$BK86</f>
        <v/>
      </c>
      <c r="BM86" s="57">
        <f>$BM85+$BK86</f>
        <v/>
      </c>
      <c r="BN86" s="57">
        <f>SUMIFS(tblFleet[Operating_h],tblFleet[Date],$A86,tblFleet[Equipment_Class],"Haul Truck")</f>
        <v/>
      </c>
      <c r="BO86" s="57">
        <f>IF($B86=$B85,$BO85,0)+$BN86</f>
        <v/>
      </c>
      <c r="BP86" s="57">
        <f>$BP85+$BN86</f>
        <v/>
      </c>
      <c r="BQ86" s="67">
        <f>IFERROR(IF(($BH86)&gt;0,($BK86)/($BH86),""),"")</f>
        <v/>
      </c>
      <c r="BR86" s="67">
        <f>IFERROR(IF(($BI86)&gt;0,($BL86)/($BI86),""),"")</f>
        <v/>
      </c>
      <c r="BS86" s="67">
        <f>IFERROR(IF(($BJ86)&gt;0,($BM86)/($BJ86),""),"")</f>
        <v/>
      </c>
      <c r="BT86" s="67">
        <f>IFERROR(IF(($BK86)&gt;0,($BN86)/($BK86),""),"")</f>
        <v/>
      </c>
      <c r="BU86" s="67">
        <f>IFERROR(IF(($BL86)&gt;0,($BO86)/($BL86),""),"")</f>
        <v/>
      </c>
      <c r="BV86" s="67">
        <f>IFERROR(IF(($BM86)&gt;0,($BP86)/($BM86),""),"")</f>
        <v/>
      </c>
      <c r="BW86" s="55">
        <f>SUMIFS(tblPlant[Crushed_t],tblPlant[Date],$A86)</f>
        <v/>
      </c>
      <c r="BX86" s="55">
        <f>IF($B86=$B85,$BX85,0)+$BW86</f>
        <v/>
      </c>
      <c r="BY86" s="55">
        <f>$BY85+$BW86</f>
        <v/>
      </c>
      <c r="BZ86" s="55">
        <f>SUMIFS(tblPlant[Milled_t],tblPlant[Date],$A86)</f>
        <v/>
      </c>
      <c r="CA86" s="55">
        <f>IF($B86=$B85,$CA85,0)+$BZ86</f>
        <v/>
      </c>
      <c r="CB86" s="55">
        <f>$CB85+$BZ86</f>
        <v/>
      </c>
      <c r="CC86" s="55">
        <f>SUMIFS(tblPlant[Feed_oz],tblPlant[Date],$A86)</f>
        <v/>
      </c>
      <c r="CD86" s="55">
        <f>IF($B86=$B85,$CD85,0)+$CC86</f>
        <v/>
      </c>
      <c r="CE86" s="55">
        <f>$CE85+$CC86</f>
        <v/>
      </c>
      <c r="CF86" s="55">
        <f>SUMIFS(tblPlant[Tails_oz],tblPlant[Date],$A86)</f>
        <v/>
      </c>
      <c r="CG86" s="55">
        <f>IF($B86=$B85,$CG85,0)+$CF86</f>
        <v/>
      </c>
      <c r="CH86" s="55">
        <f>$CH85+$CF86</f>
        <v/>
      </c>
      <c r="CI86" s="55">
        <f>SUMIFS(tblPlant[Recovered_oz],tblPlant[Date],$A86)</f>
        <v/>
      </c>
      <c r="CJ86" s="55">
        <f>IF($B86=$B85,$CJ85,0)+$CI86</f>
        <v/>
      </c>
      <c r="CK86" s="55">
        <f>$CK85+$CI86</f>
        <v/>
      </c>
      <c r="CL86" s="56">
        <f>IFERROR(IF(($BZ86)&gt;0,($CC86*cfg_TroyOz)/($BZ86),""),"")</f>
        <v/>
      </c>
      <c r="CM86" s="56">
        <f>IFERROR(IF(($CA86)&gt;0,($CD86*cfg_TroyOz)/($CA86),""),"")</f>
        <v/>
      </c>
      <c r="CN86" s="56">
        <f>IFERROR(IF(($CB86)&gt;0,($CE86*cfg_TroyOz)/($CB86),""),"")</f>
        <v/>
      </c>
      <c r="CO86" s="56">
        <f>IFERROR(IF(($BZ86)&gt;0,($CF86*cfg_TroyOz)/($BZ86),""),"")</f>
        <v/>
      </c>
      <c r="CP86" s="56">
        <f>IFERROR(IF(($CA86)&gt;0,($CG86*cfg_TroyOz)/($CA86),""),"")</f>
        <v/>
      </c>
      <c r="CQ86" s="56">
        <f>IFERROR(IF(($CB86)&gt;0,($CH86*cfg_TroyOz)/($CB86),""),"")</f>
        <v/>
      </c>
      <c r="CR86" s="67">
        <f>IFERROR(IF(($CC86)&gt;0,($CI86)/($CC86),""),"")</f>
        <v/>
      </c>
      <c r="CS86" s="67">
        <f>IFERROR(IF(($CD86)&gt;0,($CJ86)/($CD86),""),"")</f>
        <v/>
      </c>
      <c r="CT86" s="67">
        <f>IFERROR(IF(($CE86)&gt;0,($CK86)/($CE86),""),"")</f>
        <v/>
      </c>
      <c r="CU86" s="55">
        <f>SUMIFS(tblPlant[Gravity_Gold_oz],tblPlant[Date],$A86)</f>
        <v/>
      </c>
      <c r="CV86" s="55">
        <f>IF($B86=$B85,$CV85,0)+$CU86</f>
        <v/>
      </c>
      <c r="CW86" s="55">
        <f>$CW85+$CU86</f>
        <v/>
      </c>
      <c r="CX86" s="55">
        <f>SUMIFS(tblPlant[Gold_Poured_oz],tblPlant[Date],$A86)</f>
        <v/>
      </c>
      <c r="CY86" s="55">
        <f>IF($B86=$B85,$CY85,0)+$CX86</f>
        <v/>
      </c>
      <c r="CZ86" s="55">
        <f>$CZ85+$CX86</f>
        <v/>
      </c>
      <c r="DA86" s="57">
        <f>SUMIFS(tblPlant[Mill_Run_h],tblPlant[Date],$A86)</f>
        <v/>
      </c>
      <c r="DB86" s="57">
        <f>IF($B86=$B85,$DB85,0)+$DA86</f>
        <v/>
      </c>
      <c r="DC86" s="57">
        <f>$DC85+$DA86</f>
        <v/>
      </c>
      <c r="DD86" s="57">
        <f>SUMIFS(tblPlant[Mill_Planned_Maint_h],tblPlant[Date],$A86)</f>
        <v/>
      </c>
      <c r="DE86" s="57">
        <f>IF($B86=$B85,$DE85,0)+$DD86</f>
        <v/>
      </c>
      <c r="DF86" s="57">
        <f>$DF85+$DD86</f>
        <v/>
      </c>
      <c r="DG86" s="57">
        <f>SUMIFS(tblPlant[Mill_Unplanned_Down_h],tblPlant[Date],$A86)</f>
        <v/>
      </c>
      <c r="DH86" s="57">
        <f>IF($B86=$B85,$DH85,0)+$DG86</f>
        <v/>
      </c>
      <c r="DI86" s="57">
        <f>$DI85+$DG86</f>
        <v/>
      </c>
      <c r="DJ86" s="57">
        <f>COUNTIFS(tblPlant[Date],$A86,tblPlant[Mill_Run_h],"&lt;&gt;")*24</f>
        <v/>
      </c>
      <c r="DK86" s="57">
        <f>IF($B86=$B85,$DK85,0)+$DJ86</f>
        <v/>
      </c>
      <c r="DL86" s="57">
        <f>$DL85+$DJ86</f>
        <v/>
      </c>
      <c r="DM86" s="57">
        <f>SUMIFS(tblPlant[Crusher_Run_h],tblPlant[Date],$A86)</f>
        <v/>
      </c>
      <c r="DN86" s="57">
        <f>IF($B86=$B85,$DN85,0)+$DM86</f>
        <v/>
      </c>
      <c r="DO86" s="57">
        <f>$DO85+$DM86</f>
        <v/>
      </c>
      <c r="DP86" s="55">
        <f>IFERROR(IF(($DA86)&gt;0,($BZ86)/($DA86),""),"")</f>
        <v/>
      </c>
      <c r="DQ86" s="55">
        <f>IFERROR(IF(($DB86)&gt;0,($CA86)/($DB86),""),"")</f>
        <v/>
      </c>
      <c r="DR86" s="55">
        <f>IFERROR(IF(($DC86)&gt;0,($CB86)/($DC86),""),"")</f>
        <v/>
      </c>
      <c r="DS86" s="67">
        <f>IFERROR(IF(($DJ86)&gt;0,($DJ86-$DD86-$DG86)/($DJ86),""),"")</f>
        <v/>
      </c>
      <c r="DT86" s="67">
        <f>IFERROR(IF(($DK86)&gt;0,($DK86-$DE86-$DH86)/($DK86),""),"")</f>
        <v/>
      </c>
      <c r="DU86" s="67">
        <f>IFERROR(IF(($DL86)&gt;0,($DL86-$DF86-$DI86)/($DL86),""),"")</f>
        <v/>
      </c>
      <c r="DV86" s="67">
        <f>IFERROR(IF(($DJ86-$DD86-$DG86)&gt;0,($DA86)/($DJ86-$DD86-$DG86),""),"")</f>
        <v/>
      </c>
      <c r="DW86" s="67">
        <f>IFERROR(IF(($DK86-$DE86-$DH86)&gt;0,($DB86)/($DK86-$DE86-$DH86),""),"")</f>
        <v/>
      </c>
      <c r="DX86" s="67">
        <f>IFERROR(IF(($DL86-$DF86-$DI86)&gt;0,($DC86)/($DL86-$DF86-$DI86),""),"")</f>
        <v/>
      </c>
      <c r="DY86" s="55">
        <f>SUMIFS(tblPlant[Cyanide_kg],tblPlant[Date],$A86)</f>
        <v/>
      </c>
      <c r="DZ86" s="55">
        <f>IF($B86=$B85,$DZ85,0)+$DY86</f>
        <v/>
      </c>
      <c r="EA86" s="55">
        <f>$EA85+$DY86</f>
        <v/>
      </c>
      <c r="EB86" s="55">
        <f>SUMIFS(tblPlant[Lime_kg],tblPlant[Date],$A86)</f>
        <v/>
      </c>
      <c r="EC86" s="55">
        <f>IF($B86=$B85,$EC85,0)+$EB86</f>
        <v/>
      </c>
      <c r="ED86" s="55">
        <f>$ED85+$EB86</f>
        <v/>
      </c>
      <c r="EE86" s="55">
        <f>SUMIFS(tblPlant[Grinding_Media_kg],tblPlant[Date],$A86)</f>
        <v/>
      </c>
      <c r="EF86" s="55">
        <f>IF($B86=$B85,$EF85,0)+$EE86</f>
        <v/>
      </c>
      <c r="EG86" s="55">
        <f>$EG85+$EE86</f>
        <v/>
      </c>
      <c r="EH86" s="55">
        <f>SUMIFS(tblPlant[Power_kWh],tblPlant[Date],$A86)</f>
        <v/>
      </c>
      <c r="EI86" s="55">
        <f>IF($B86=$B85,$EI85,0)+$EH86</f>
        <v/>
      </c>
      <c r="EJ86" s="55">
        <f>$EJ85+$EH86</f>
        <v/>
      </c>
      <c r="EK86" s="55">
        <f>SUMIFS(tblPlant[Raw_Water_m3],tblPlant[Date],$A86)</f>
        <v/>
      </c>
      <c r="EL86" s="55">
        <f>IF($B86=$B85,$EL85,0)+$EK86</f>
        <v/>
      </c>
      <c r="EM86" s="55">
        <f>$EM85+$EK86</f>
        <v/>
      </c>
      <c r="EN86" s="56">
        <f>IFERROR(IF(($BZ86)&gt;0,($DY86)/($BZ86),""),"")</f>
        <v/>
      </c>
      <c r="EO86" s="56">
        <f>IFERROR(IF(($CA86)&gt;0,($DZ86)/($CA86),""),"")</f>
        <v/>
      </c>
      <c r="EP86" s="56">
        <f>IFERROR(IF(($CB86)&gt;0,($EA86)/($CB86),""),"")</f>
        <v/>
      </c>
      <c r="EQ86" s="56">
        <f>IFERROR(IF(($BZ86)&gt;0,($EB86)/($BZ86),""),"")</f>
        <v/>
      </c>
      <c r="ER86" s="56">
        <f>IFERROR(IF(($CA86)&gt;0,($EC86)/($CA86),""),"")</f>
        <v/>
      </c>
      <c r="ES86" s="56">
        <f>IFERROR(IF(($CB86)&gt;0,($ED86)/($CB86),""),"")</f>
        <v/>
      </c>
      <c r="ET86" s="56">
        <f>IFERROR(IF(($BZ86)&gt;0,($EE86)/($BZ86),""),"")</f>
        <v/>
      </c>
      <c r="EU86" s="56">
        <f>IFERROR(IF(($CA86)&gt;0,($EF86)/($CA86),""),"")</f>
        <v/>
      </c>
      <c r="EV86" s="56">
        <f>IFERROR(IF(($CB86)&gt;0,($EG86)/($CB86),""),"")</f>
        <v/>
      </c>
      <c r="EW86" s="76">
        <f>IFERROR(IF(($BZ86)&gt;0,($EH86)/($BZ86),""),"")</f>
        <v/>
      </c>
      <c r="EX86" s="76">
        <f>IFERROR(IF(($CA86)&gt;0,($EI86)/($CA86),""),"")</f>
        <v/>
      </c>
      <c r="EY86" s="76">
        <f>IFERROR(IF(($CB86)&gt;0,($EJ86)/($CB86),""),"")</f>
        <v/>
      </c>
      <c r="EZ86" s="56">
        <f>IFERROR(IF(($BZ86)&gt;0,($EK86)/($BZ86),""),"")</f>
        <v/>
      </c>
      <c r="FA86" s="56">
        <f>IFERROR(IF(($CA86)&gt;0,($EL86)/($CA86),""),"")</f>
        <v/>
      </c>
      <c r="FB86" s="56">
        <f>IFERROR(IF(($CB86)&gt;0,($EM86)/($CB86),""),"")</f>
        <v/>
      </c>
      <c r="FC86" s="55">
        <f>IF(SUMIFS(tblPlant[GIC_oz],tblPlant[Date],$A86)&gt;0,SUMIFS(tblPlant[GIC_oz],tblPlant[Date],$A86),"")</f>
        <v/>
      </c>
      <c r="FD86" s="55">
        <f>SUMIFS(tblGold[Gold_oz],tblGold[Date],$A86,tblGold[Type],"Shipment")</f>
        <v/>
      </c>
      <c r="FE86" s="55">
        <f>IF($B86=$B85,$FE85,0)+$FD86</f>
        <v/>
      </c>
      <c r="FF86" s="55">
        <f>$FF85+$FD86</f>
        <v/>
      </c>
      <c r="FG86" s="55">
        <f>SUMIFS(tblGold[Gold_oz],tblGold[Date],$A86,tblGold[Type],"Sale")</f>
        <v/>
      </c>
      <c r="FH86" s="55">
        <f>IF($B86=$B85,$FH85,0)+$FG86</f>
        <v/>
      </c>
      <c r="FI86" s="55">
        <f>$FI85+$FG86</f>
        <v/>
      </c>
      <c r="FJ86" s="55">
        <f>SUMIFS(tblGold[Dore_kg],tblGold[Date],$A86,tblGold[Type],"Shipment")</f>
        <v/>
      </c>
      <c r="FK86" s="55">
        <f>IF($B86=$B85,$FK85,0)+$FJ86</f>
        <v/>
      </c>
      <c r="FL86" s="55">
        <f>$FL85+$FJ86</f>
        <v/>
      </c>
      <c r="FM86" s="57">
        <f>SUMIFS(tblSafety[Hours_Total],tblSafety[Date],$A86)</f>
        <v/>
      </c>
      <c r="FN86" s="57">
        <f>IF($B86=$B85,$FN85,0)+$FM86</f>
        <v/>
      </c>
      <c r="FO86" s="57">
        <f>$FO85+$FM86</f>
        <v/>
      </c>
      <c r="FP86" s="62">
        <f>SUMIFS(tblSafety[Fatality],tblSafety[Date],$A86)</f>
        <v/>
      </c>
      <c r="FQ86" s="62">
        <f>IF($B86=$B85,$FQ85,0)+$FP86</f>
        <v/>
      </c>
      <c r="FR86" s="62">
        <f>$FR85+$FP86</f>
        <v/>
      </c>
      <c r="FS86" s="62">
        <f>SUMIFS(tblSafety[LTI],tblSafety[Date],$A86)</f>
        <v/>
      </c>
      <c r="FT86" s="62">
        <f>IF($B86=$B85,$FT85,0)+$FS86</f>
        <v/>
      </c>
      <c r="FU86" s="62">
        <f>$FU85+$FS86</f>
        <v/>
      </c>
      <c r="FV86" s="62">
        <f>SUMIFS(tblSafety[RWI],tblSafety[Date],$A86)</f>
        <v/>
      </c>
      <c r="FW86" s="62">
        <f>IF($B86=$B85,$FW85,0)+$FV86</f>
        <v/>
      </c>
      <c r="FX86" s="62">
        <f>$FX85+$FV86</f>
        <v/>
      </c>
      <c r="FY86" s="62">
        <f>SUMIFS(tblSafety[MTI],tblSafety[Date],$A86)</f>
        <v/>
      </c>
      <c r="FZ86" s="62">
        <f>IF($B86=$B85,$FZ85,0)+$FY86</f>
        <v/>
      </c>
      <c r="GA86" s="62">
        <f>$GA85+$FY86</f>
        <v/>
      </c>
      <c r="GB86" s="62">
        <f>SUMIFS(tblSafety[FAI],tblSafety[Date],$A86)</f>
        <v/>
      </c>
      <c r="GC86" s="62">
        <f>IF($B86=$B85,$GC85,0)+$GB86</f>
        <v/>
      </c>
      <c r="GD86" s="62">
        <f>$GD85+$GB86</f>
        <v/>
      </c>
      <c r="GE86" s="62">
        <f>SUMIFS(tblSafety[Recordables],tblSafety[Date],$A86)</f>
        <v/>
      </c>
      <c r="GF86" s="62">
        <f>IF($B86=$B85,$GF85,0)+$GE86</f>
        <v/>
      </c>
      <c r="GG86" s="62">
        <f>$GG85+$GE86</f>
        <v/>
      </c>
      <c r="GH86" s="62">
        <f>SUMIFS(tblSafety[Near_Miss],tblSafety[Date],$A86)</f>
        <v/>
      </c>
      <c r="GI86" s="62">
        <f>IF($B86=$B85,$GI85,0)+$GH86</f>
        <v/>
      </c>
      <c r="GJ86" s="62">
        <f>$GJ85+$GH86</f>
        <v/>
      </c>
      <c r="GK86" s="62">
        <f>SUMIFS(tblSafety[Hazard_Reports],tblSafety[Date],$A86)</f>
        <v/>
      </c>
      <c r="GL86" s="62">
        <f>IF($B86=$B85,$GL85,0)+$GK86</f>
        <v/>
      </c>
      <c r="GM86" s="62">
        <f>$GM85+$GK86</f>
        <v/>
      </c>
      <c r="GN86" s="62">
        <f>SUMIFS(tblSafety[HPI],tblSafety[Date],$A86)</f>
        <v/>
      </c>
      <c r="GO86" s="62">
        <f>IF($B86=$B85,$GO85,0)+$GN86</f>
        <v/>
      </c>
      <c r="GP86" s="62">
        <f>$GP85+$GN86</f>
        <v/>
      </c>
      <c r="GQ86" s="62">
        <f>SUMIFS(tblSafety[Env_Incidents],tblSafety[Date],$A86)</f>
        <v/>
      </c>
      <c r="GR86" s="62">
        <f>IF($B86=$B85,$GR85,0)+$GQ86</f>
        <v/>
      </c>
      <c r="GS86" s="62">
        <f>$GS85+$GQ86</f>
        <v/>
      </c>
      <c r="GT86" s="62">
        <f>SUMIFS(tblSafety[Community_Incidents],tblSafety[Date],$A86)</f>
        <v/>
      </c>
      <c r="GU86" s="62">
        <f>IF($B86=$B85,$GU85,0)+$GT86</f>
        <v/>
      </c>
      <c r="GV86" s="62">
        <f>$GV85+$GT86</f>
        <v/>
      </c>
      <c r="GW86" s="62">
        <f>SUMIFS(tblSafety[Vehicle_Incidents],tblSafety[Date],$A86)</f>
        <v/>
      </c>
      <c r="GX86" s="62">
        <f>IF($B86=$B85,$GX85,0)+$GW86</f>
        <v/>
      </c>
      <c r="GY86" s="62">
        <f>$GY85+$GW86</f>
        <v/>
      </c>
      <c r="GZ86" s="62">
        <f>SUMIFS(tblSafety[Toolbox_Talks],tblSafety[Date],$A86)</f>
        <v/>
      </c>
      <c r="HA86" s="62">
        <f>IF($B86=$B85,$HA85,0)+$GZ86</f>
        <v/>
      </c>
      <c r="HB86" s="62">
        <f>$HB85+$GZ86</f>
        <v/>
      </c>
      <c r="HC86" s="62">
        <f>SUMIFS(tblSafety[Inspections],tblSafety[Date],$A86)</f>
        <v/>
      </c>
      <c r="HD86" s="62">
        <f>IF($B86=$B85,$HD85,0)+$HC86</f>
        <v/>
      </c>
      <c r="HE86" s="62">
        <f>$HE85+$HC86</f>
        <v/>
      </c>
      <c r="HF86" s="56">
        <f>IFERROR((SUMIFS(tblSafety[Recordables],tblSafety[Date],"&gt;="&amp;EDATE($E86,-12),tblSafety[Date],"&lt;="&amp;$A86)+SUMIFS(tblSafetyHistory[Recordables],tblSafetyHistory[Month],"&gt;="&amp;EDATE($E86,-12),tblSafetyHistory[Month],"&lt;"&amp;cfg_YearStart))/(SUMIFS(tblSafety[Hours_Total],tblSafety[Date],"&gt;="&amp;EDATE($E86,-12),tblSafety[Date],"&lt;="&amp;$A86)+SUMIFS(tblSafetyHistory[Hours_Total],tblSafetyHistory[Month],"&gt;="&amp;EDATE($E86,-12),tblSafetyHistory[Month],"&lt;"&amp;cfg_YearStart))*1000000,"")</f>
        <v/>
      </c>
      <c r="HG86" s="56">
        <f>IFERROR((SUMIFS(tblSafety[LTI],tblSafety[Date],"&gt;="&amp;EDATE($E86,-12),tblSafety[Date],"&lt;="&amp;$A86)+SUMIFS(tblSafetyHistory[LTI],tblSafetyHistory[Month],"&gt;="&amp;EDATE($E86,-12),tblSafetyHistory[Month],"&lt;"&amp;cfg_YearStart))/(SUMIFS(tblSafety[Hours_Total],tblSafety[Date],"&gt;="&amp;EDATE($E86,-12),tblSafety[Date],"&lt;="&amp;$A86)+SUMIFS(tblSafetyHistory[Hours_Total],tblSafetyHistory[Month],"&gt;="&amp;EDATE($E86,-12),tblSafetyHistory[Month],"&lt;"&amp;cfg_YearStart))*1000000,"")</f>
        <v/>
      </c>
      <c r="HH86" s="62">
        <f>IF(MAX(N(cfg_PriorLTIDate),_xlfn.MAXIFS(tblSafety[Date],tblSafety[LTI],"&gt;0",tblSafety[Date],"&lt;="&amp;$A86))=0,"",$A86-MAX(N(cfg_PriorLTIDate),_xlfn.MAXIFS(tblSafety[Date],tblSafety[LTI],"&gt;0",tblSafety[Date],"&lt;="&amp;$A86)))</f>
        <v/>
      </c>
      <c r="HI86" s="55">
        <f>SUMIFS(tblBudget[Ore_Mined_t],tblBudget[Month],$E86)</f>
        <v/>
      </c>
      <c r="HJ86" s="55">
        <f>$HI86*$C86/$D86</f>
        <v/>
      </c>
      <c r="HK86" s="55">
        <f>SUMIFS(tblBudget[Ore_Mined_t],tblBudget[Month],"&lt;"&amp;$E86)+$HJ86</f>
        <v/>
      </c>
      <c r="HL86" s="55">
        <f>SUMIFS(tblBudget[Ore_oz],tblBudget[Month],$E86)</f>
        <v/>
      </c>
      <c r="HM86" s="55">
        <f>$HL86*$C86/$D86</f>
        <v/>
      </c>
      <c r="HN86" s="55">
        <f>SUMIFS(tblBudget[Ore_oz],tblBudget[Month],"&lt;"&amp;$E86)+$HM86</f>
        <v/>
      </c>
      <c r="HO86" s="56">
        <f>IFERROR(IF(($HI86)&gt;0,($HL86*cfg_TroyOz)/($HI86),""),"")</f>
        <v/>
      </c>
      <c r="HP86" s="56">
        <f>IFERROR(IF(($HJ86)&gt;0,($HM86*cfg_TroyOz)/($HJ86),""),"")</f>
        <v/>
      </c>
      <c r="HQ86" s="56">
        <f>IFERROR(IF(($HK86)&gt;0,($HN86*cfg_TroyOz)/($HK86),""),"")</f>
        <v/>
      </c>
      <c r="HR86" s="55">
        <f>SUMIFS(tblBudget[Waste_t],tblBudget[Month],$E86)</f>
        <v/>
      </c>
      <c r="HS86" s="55">
        <f>$HR86*$C86/$D86</f>
        <v/>
      </c>
      <c r="HT86" s="55">
        <f>SUMIFS(tblBudget[Waste_t],tblBudget[Month],"&lt;"&amp;$E86)+$HS86</f>
        <v/>
      </c>
      <c r="HU86" s="55">
        <f>SUMIFS(tblBudget[TMM_t],tblBudget[Month],$E86)</f>
        <v/>
      </c>
      <c r="HV86" s="55">
        <f>$HU86*$C86/$D86</f>
        <v/>
      </c>
      <c r="HW86" s="55">
        <f>SUMIFS(tblBudget[TMM_t],tblBudget[Month],"&lt;"&amp;$E86)+$HV86</f>
        <v/>
      </c>
      <c r="HX86" s="56">
        <f>IFERROR(IF(($HI86)&gt;0,($HR86)/($HI86),""),"")</f>
        <v/>
      </c>
      <c r="HY86" s="56">
        <f>IFERROR(IF(($HJ86)&gt;0,($HS86)/($HJ86),""),"")</f>
        <v/>
      </c>
      <c r="HZ86" s="56">
        <f>IFERROR(IF(($HK86)&gt;0,($HT86)/($HK86),""),"")</f>
        <v/>
      </c>
      <c r="IA86" s="55">
        <f>SUMIFS(tblBudget[Drill_m],tblBudget[Month],$E86)</f>
        <v/>
      </c>
      <c r="IB86" s="55">
        <f>$IA86*$C86/$D86</f>
        <v/>
      </c>
      <c r="IC86" s="55">
        <f>SUMIFS(tblBudget[Drill_m],tblBudget[Month],"&lt;"&amp;$E86)+$IB86</f>
        <v/>
      </c>
      <c r="ID86" s="55">
        <f>SUMIFS(tblBudget[Diesel_L],tblBudget[Month],$E86)</f>
        <v/>
      </c>
      <c r="IE86" s="55">
        <f>$ID86*$C86/$D86</f>
        <v/>
      </c>
      <c r="IF86" s="55">
        <f>SUMIFS(tblBudget[Diesel_L],tblBudget[Month],"&lt;"&amp;$E86)+$IE86</f>
        <v/>
      </c>
      <c r="IG86" s="55">
        <f>SUMIFS(tblBudget[Milled_t],tblBudget[Month],$E86)</f>
        <v/>
      </c>
      <c r="IH86" s="55">
        <f>$IG86*$C86/$D86</f>
        <v/>
      </c>
      <c r="II86" s="55">
        <f>SUMIFS(tblBudget[Milled_t],tblBudget[Month],"&lt;"&amp;$E86)+$IH86</f>
        <v/>
      </c>
      <c r="IJ86" s="55">
        <f>SUMIFS(tblBudget[Feed_oz],tblBudget[Month],$E86)</f>
        <v/>
      </c>
      <c r="IK86" s="55">
        <f>$IJ86*$C86/$D86</f>
        <v/>
      </c>
      <c r="IL86" s="55">
        <f>SUMIFS(tblBudget[Feed_oz],tblBudget[Month],"&lt;"&amp;$E86)+$IK86</f>
        <v/>
      </c>
      <c r="IM86" s="55">
        <f>SUMIFS(tblBudget[Recovered_oz],tblBudget[Month],$E86)</f>
        <v/>
      </c>
      <c r="IN86" s="55">
        <f>$IM86*$C86/$D86</f>
        <v/>
      </c>
      <c r="IO86" s="55">
        <f>SUMIFS(tblBudget[Recovered_oz],tblBudget[Month],"&lt;"&amp;$E86)+$IN86</f>
        <v/>
      </c>
      <c r="IP86" s="56">
        <f>IFERROR(IF(($IG86)&gt;0,($IJ86*cfg_TroyOz)/($IG86),""),"")</f>
        <v/>
      </c>
      <c r="IQ86" s="56">
        <f>IFERROR(IF(($IH86)&gt;0,($IK86*cfg_TroyOz)/($IH86),""),"")</f>
        <v/>
      </c>
      <c r="IR86" s="56">
        <f>IFERROR(IF(($II86)&gt;0,($IL86*cfg_TroyOz)/($II86),""),"")</f>
        <v/>
      </c>
      <c r="IS86" s="67">
        <f>IFERROR(IF(($IJ86)&gt;0,($IM86)/($IJ86),""),"")</f>
        <v/>
      </c>
      <c r="IT86" s="67">
        <f>IFERROR(IF(($IK86)&gt;0,($IN86)/($IK86),""),"")</f>
        <v/>
      </c>
      <c r="IU86" s="67">
        <f>IFERROR(IF(($IL86)&gt;0,($IO86)/($IL86),""),"")</f>
        <v/>
      </c>
      <c r="IV86" s="55">
        <f>SUMIFS(tblBudget[Gold_Poured_oz],tblBudget[Month],$E86)</f>
        <v/>
      </c>
      <c r="IW86" s="55">
        <f>$IV86*$C86/$D86</f>
        <v/>
      </c>
      <c r="IX86" s="55">
        <f>SUMIFS(tblBudget[Gold_Poured_oz],tblBudget[Month],"&lt;"&amp;$E86)+$IW86</f>
        <v/>
      </c>
      <c r="IY86" s="57">
        <f>SUMIFS(tblBudget[Hours_Worked],tblBudget[Month],$E86)</f>
        <v/>
      </c>
      <c r="IZ86" s="57">
        <f>$IY86*$C86/$D86</f>
        <v/>
      </c>
      <c r="JA86" s="57">
        <f>SUMIFS(tblBudget[Hours_Worked],tblBudget[Month],"&lt;"&amp;$E86)+$IZ86</f>
        <v/>
      </c>
    </row>
    <row r="87">
      <c r="A87" s="54" t="n">
        <v>46108</v>
      </c>
      <c r="B87">
        <f>MONTH($A87)</f>
        <v/>
      </c>
      <c r="C87">
        <f>DAY($A87)</f>
        <v/>
      </c>
      <c r="D87">
        <f>DAY(EOMONTH($A87,0))</f>
        <v/>
      </c>
      <c r="E87" s="54">
        <f>DATE(YEAR($A87),MONTH($A87),1)</f>
        <v/>
      </c>
      <c r="F87" s="55">
        <f>SUMIFS(tblMovement[Tonnes_t],tblMovement[Date],$A87,tblMovement[Is_Ore],1,tblMovement[Source_Type],"Pit")</f>
        <v/>
      </c>
      <c r="G87" s="55">
        <f>IF($B87=$B86,$G86,0)+$F87</f>
        <v/>
      </c>
      <c r="H87" s="55">
        <f>$H86+$F87</f>
        <v/>
      </c>
      <c r="I87" s="55">
        <f>SUMIFS(tblMovement[Ore_oz],tblMovement[Date],$A87,tblMovement[Source_Type],"Pit")</f>
        <v/>
      </c>
      <c r="J87" s="55">
        <f>IF($B87=$B86,$J86,0)+$I87</f>
        <v/>
      </c>
      <c r="K87" s="55">
        <f>$K86+$I87</f>
        <v/>
      </c>
      <c r="L87" s="56">
        <f>IFERROR(IF(($F87)&gt;0,($I87*cfg_TroyOz)/($F87),""),"")</f>
        <v/>
      </c>
      <c r="M87" s="56">
        <f>IFERROR(IF(($G87)&gt;0,($J87*cfg_TroyOz)/($G87),""),"")</f>
        <v/>
      </c>
      <c r="N87" s="56">
        <f>IFERROR(IF(($H87)&gt;0,($K87*cfg_TroyOz)/($H87),""),"")</f>
        <v/>
      </c>
      <c r="O87" s="55">
        <f>SUMIFS(tblMovement[Tonnes_t],tblMovement[Date],$A87,tblMovement[Is_Ore],0,tblMovement[Source_Type],"Pit")</f>
        <v/>
      </c>
      <c r="P87" s="55">
        <f>IF($B87=$B86,$P86,0)+$O87</f>
        <v/>
      </c>
      <c r="Q87" s="55">
        <f>$Q86+$O87</f>
        <v/>
      </c>
      <c r="R87" s="55">
        <f>$F87+$O87</f>
        <v/>
      </c>
      <c r="S87" s="55">
        <f>IF($B87=$B86,$S86,0)+$R87</f>
        <v/>
      </c>
      <c r="T87" s="55">
        <f>$T86+$R87</f>
        <v/>
      </c>
      <c r="U87" s="56">
        <f>IFERROR(IF(($F87)&gt;0,($O87)/($F87),""),"")</f>
        <v/>
      </c>
      <c r="V87" s="56">
        <f>IFERROR(IF(($G87)&gt;0,($P87)/($G87),""),"")</f>
        <v/>
      </c>
      <c r="W87" s="56">
        <f>IFERROR(IF(($H87)&gt;0,($Q87)/($H87),""),"")</f>
        <v/>
      </c>
      <c r="X87" s="55">
        <f>SUMIFS(tblMovement[Tonnes_t],tblMovement[Date],$A87,tblMovement[Source_Type],"Stockpile")</f>
        <v/>
      </c>
      <c r="Y87" s="55">
        <f>IF($B87=$B86,$Y86,0)+$X87</f>
        <v/>
      </c>
      <c r="Z87" s="55">
        <f>$Z86+$X87</f>
        <v/>
      </c>
      <c r="AA87" s="55">
        <f>SUMIFS(tblMiningDaily[Drill_m],tblMiningDaily[Date],$A87)</f>
        <v/>
      </c>
      <c r="AB87" s="55">
        <f>IF($B87=$B86,$AB86,0)+$AA87</f>
        <v/>
      </c>
      <c r="AC87" s="55">
        <f>$AC86+$AA87</f>
        <v/>
      </c>
      <c r="AD87" s="55">
        <f>SUMIFS(tblMiningDaily[Blast_t],tblMiningDaily[Date],$A87)</f>
        <v/>
      </c>
      <c r="AE87" s="55">
        <f>IF($B87=$B86,$AE86,0)+$AD87</f>
        <v/>
      </c>
      <c r="AF87" s="55">
        <f>$AF86+$AD87</f>
        <v/>
      </c>
      <c r="AG87" s="55">
        <f>SUMIFS(tblMiningDaily[Explosives_kg],tblMiningDaily[Date],$A87)</f>
        <v/>
      </c>
      <c r="AH87" s="55">
        <f>IF($B87=$B86,$AH86,0)+$AG87</f>
        <v/>
      </c>
      <c r="AI87" s="55">
        <f>$AI86+$AG87</f>
        <v/>
      </c>
      <c r="AJ87" s="56">
        <f>IFERROR(IF(($AD87)&gt;0,($AG87)/($AD87),""),"")</f>
        <v/>
      </c>
      <c r="AK87" s="56">
        <f>IFERROR(IF(($AE87)&gt;0,($AH87)/($AE87),""),"")</f>
        <v/>
      </c>
      <c r="AL87" s="56">
        <f>IFERROR(IF(($AF87)&gt;0,($AI87)/($AF87),""),"")</f>
        <v/>
      </c>
      <c r="AM87" s="55">
        <f>SUMIFS(tblMiningDaily[Diesel_L],tblMiningDaily[Date],$A87)</f>
        <v/>
      </c>
      <c r="AN87" s="55">
        <f>IF($B87=$B86,$AN86,0)+$AM87</f>
        <v/>
      </c>
      <c r="AO87" s="55">
        <f>$AO86+$AM87</f>
        <v/>
      </c>
      <c r="AP87" s="55">
        <f>SUMIFS(tblMiningDaily[Dewatering_m3],tblMiningDaily[Date],$A87)</f>
        <v/>
      </c>
      <c r="AQ87" s="55">
        <f>IF($B87=$B86,$AQ86,0)+$AP87</f>
        <v/>
      </c>
      <c r="AR87" s="55">
        <f>$AR86+$AP87</f>
        <v/>
      </c>
      <c r="AS87" s="57">
        <f>SUMIFS(tblFleet[Calendar_h],tblFleet[Date],$A87,tblFleet[Equipment_Class],"Excavator")</f>
        <v/>
      </c>
      <c r="AT87" s="57">
        <f>IF($B87=$B86,$AT86,0)+$AS87</f>
        <v/>
      </c>
      <c r="AU87" s="57">
        <f>$AU86+$AS87</f>
        <v/>
      </c>
      <c r="AV87" s="57">
        <f>SUMIFS(tblFleet[Available_h],tblFleet[Date],$A87,tblFleet[Equipment_Class],"Excavator")</f>
        <v/>
      </c>
      <c r="AW87" s="57">
        <f>IF($B87=$B86,$AW86,0)+$AV87</f>
        <v/>
      </c>
      <c r="AX87" s="57">
        <f>$AX86+$AV87</f>
        <v/>
      </c>
      <c r="AY87" s="57">
        <f>SUMIFS(tblFleet[Operating_h],tblFleet[Date],$A87,tblFleet[Equipment_Class],"Excavator")</f>
        <v/>
      </c>
      <c r="AZ87" s="57">
        <f>IF($B87=$B86,$AZ86,0)+$AY87</f>
        <v/>
      </c>
      <c r="BA87" s="57">
        <f>$BA86+$AY87</f>
        <v/>
      </c>
      <c r="BB87" s="67">
        <f>IFERROR(IF(($AS87)&gt;0,($AV87)/($AS87),""),"")</f>
        <v/>
      </c>
      <c r="BC87" s="67">
        <f>IFERROR(IF(($AT87)&gt;0,($AW87)/($AT87),""),"")</f>
        <v/>
      </c>
      <c r="BD87" s="67">
        <f>IFERROR(IF(($AU87)&gt;0,($AX87)/($AU87),""),"")</f>
        <v/>
      </c>
      <c r="BE87" s="67">
        <f>IFERROR(IF(($AV87)&gt;0,($AY87)/($AV87),""),"")</f>
        <v/>
      </c>
      <c r="BF87" s="67">
        <f>IFERROR(IF(($AW87)&gt;0,($AZ87)/($AW87),""),"")</f>
        <v/>
      </c>
      <c r="BG87" s="67">
        <f>IFERROR(IF(($AX87)&gt;0,($BA87)/($AX87),""),"")</f>
        <v/>
      </c>
      <c r="BH87" s="57">
        <f>SUMIFS(tblFleet[Calendar_h],tblFleet[Date],$A87,tblFleet[Equipment_Class],"Haul Truck")</f>
        <v/>
      </c>
      <c r="BI87" s="57">
        <f>IF($B87=$B86,$BI86,0)+$BH87</f>
        <v/>
      </c>
      <c r="BJ87" s="57">
        <f>$BJ86+$BH87</f>
        <v/>
      </c>
      <c r="BK87" s="57">
        <f>SUMIFS(tblFleet[Available_h],tblFleet[Date],$A87,tblFleet[Equipment_Class],"Haul Truck")</f>
        <v/>
      </c>
      <c r="BL87" s="57">
        <f>IF($B87=$B86,$BL86,0)+$BK87</f>
        <v/>
      </c>
      <c r="BM87" s="57">
        <f>$BM86+$BK87</f>
        <v/>
      </c>
      <c r="BN87" s="57">
        <f>SUMIFS(tblFleet[Operating_h],tblFleet[Date],$A87,tblFleet[Equipment_Class],"Haul Truck")</f>
        <v/>
      </c>
      <c r="BO87" s="57">
        <f>IF($B87=$B86,$BO86,0)+$BN87</f>
        <v/>
      </c>
      <c r="BP87" s="57">
        <f>$BP86+$BN87</f>
        <v/>
      </c>
      <c r="BQ87" s="67">
        <f>IFERROR(IF(($BH87)&gt;0,($BK87)/($BH87),""),"")</f>
        <v/>
      </c>
      <c r="BR87" s="67">
        <f>IFERROR(IF(($BI87)&gt;0,($BL87)/($BI87),""),"")</f>
        <v/>
      </c>
      <c r="BS87" s="67">
        <f>IFERROR(IF(($BJ87)&gt;0,($BM87)/($BJ87),""),"")</f>
        <v/>
      </c>
      <c r="BT87" s="67">
        <f>IFERROR(IF(($BK87)&gt;0,($BN87)/($BK87),""),"")</f>
        <v/>
      </c>
      <c r="BU87" s="67">
        <f>IFERROR(IF(($BL87)&gt;0,($BO87)/($BL87),""),"")</f>
        <v/>
      </c>
      <c r="BV87" s="67">
        <f>IFERROR(IF(($BM87)&gt;0,($BP87)/($BM87),""),"")</f>
        <v/>
      </c>
      <c r="BW87" s="55">
        <f>SUMIFS(tblPlant[Crushed_t],tblPlant[Date],$A87)</f>
        <v/>
      </c>
      <c r="BX87" s="55">
        <f>IF($B87=$B86,$BX86,0)+$BW87</f>
        <v/>
      </c>
      <c r="BY87" s="55">
        <f>$BY86+$BW87</f>
        <v/>
      </c>
      <c r="BZ87" s="55">
        <f>SUMIFS(tblPlant[Milled_t],tblPlant[Date],$A87)</f>
        <v/>
      </c>
      <c r="CA87" s="55">
        <f>IF($B87=$B86,$CA86,0)+$BZ87</f>
        <v/>
      </c>
      <c r="CB87" s="55">
        <f>$CB86+$BZ87</f>
        <v/>
      </c>
      <c r="CC87" s="55">
        <f>SUMIFS(tblPlant[Feed_oz],tblPlant[Date],$A87)</f>
        <v/>
      </c>
      <c r="CD87" s="55">
        <f>IF($B87=$B86,$CD86,0)+$CC87</f>
        <v/>
      </c>
      <c r="CE87" s="55">
        <f>$CE86+$CC87</f>
        <v/>
      </c>
      <c r="CF87" s="55">
        <f>SUMIFS(tblPlant[Tails_oz],tblPlant[Date],$A87)</f>
        <v/>
      </c>
      <c r="CG87" s="55">
        <f>IF($B87=$B86,$CG86,0)+$CF87</f>
        <v/>
      </c>
      <c r="CH87" s="55">
        <f>$CH86+$CF87</f>
        <v/>
      </c>
      <c r="CI87" s="55">
        <f>SUMIFS(tblPlant[Recovered_oz],tblPlant[Date],$A87)</f>
        <v/>
      </c>
      <c r="CJ87" s="55">
        <f>IF($B87=$B86,$CJ86,0)+$CI87</f>
        <v/>
      </c>
      <c r="CK87" s="55">
        <f>$CK86+$CI87</f>
        <v/>
      </c>
      <c r="CL87" s="56">
        <f>IFERROR(IF(($BZ87)&gt;0,($CC87*cfg_TroyOz)/($BZ87),""),"")</f>
        <v/>
      </c>
      <c r="CM87" s="56">
        <f>IFERROR(IF(($CA87)&gt;0,($CD87*cfg_TroyOz)/($CA87),""),"")</f>
        <v/>
      </c>
      <c r="CN87" s="56">
        <f>IFERROR(IF(($CB87)&gt;0,($CE87*cfg_TroyOz)/($CB87),""),"")</f>
        <v/>
      </c>
      <c r="CO87" s="56">
        <f>IFERROR(IF(($BZ87)&gt;0,($CF87*cfg_TroyOz)/($BZ87),""),"")</f>
        <v/>
      </c>
      <c r="CP87" s="56">
        <f>IFERROR(IF(($CA87)&gt;0,($CG87*cfg_TroyOz)/($CA87),""),"")</f>
        <v/>
      </c>
      <c r="CQ87" s="56">
        <f>IFERROR(IF(($CB87)&gt;0,($CH87*cfg_TroyOz)/($CB87),""),"")</f>
        <v/>
      </c>
      <c r="CR87" s="67">
        <f>IFERROR(IF(($CC87)&gt;0,($CI87)/($CC87),""),"")</f>
        <v/>
      </c>
      <c r="CS87" s="67">
        <f>IFERROR(IF(($CD87)&gt;0,($CJ87)/($CD87),""),"")</f>
        <v/>
      </c>
      <c r="CT87" s="67">
        <f>IFERROR(IF(($CE87)&gt;0,($CK87)/($CE87),""),"")</f>
        <v/>
      </c>
      <c r="CU87" s="55">
        <f>SUMIFS(tblPlant[Gravity_Gold_oz],tblPlant[Date],$A87)</f>
        <v/>
      </c>
      <c r="CV87" s="55">
        <f>IF($B87=$B86,$CV86,0)+$CU87</f>
        <v/>
      </c>
      <c r="CW87" s="55">
        <f>$CW86+$CU87</f>
        <v/>
      </c>
      <c r="CX87" s="55">
        <f>SUMIFS(tblPlant[Gold_Poured_oz],tblPlant[Date],$A87)</f>
        <v/>
      </c>
      <c r="CY87" s="55">
        <f>IF($B87=$B86,$CY86,0)+$CX87</f>
        <v/>
      </c>
      <c r="CZ87" s="55">
        <f>$CZ86+$CX87</f>
        <v/>
      </c>
      <c r="DA87" s="57">
        <f>SUMIFS(tblPlant[Mill_Run_h],tblPlant[Date],$A87)</f>
        <v/>
      </c>
      <c r="DB87" s="57">
        <f>IF($B87=$B86,$DB86,0)+$DA87</f>
        <v/>
      </c>
      <c r="DC87" s="57">
        <f>$DC86+$DA87</f>
        <v/>
      </c>
      <c r="DD87" s="57">
        <f>SUMIFS(tblPlant[Mill_Planned_Maint_h],tblPlant[Date],$A87)</f>
        <v/>
      </c>
      <c r="DE87" s="57">
        <f>IF($B87=$B86,$DE86,0)+$DD87</f>
        <v/>
      </c>
      <c r="DF87" s="57">
        <f>$DF86+$DD87</f>
        <v/>
      </c>
      <c r="DG87" s="57">
        <f>SUMIFS(tblPlant[Mill_Unplanned_Down_h],tblPlant[Date],$A87)</f>
        <v/>
      </c>
      <c r="DH87" s="57">
        <f>IF($B87=$B86,$DH86,0)+$DG87</f>
        <v/>
      </c>
      <c r="DI87" s="57">
        <f>$DI86+$DG87</f>
        <v/>
      </c>
      <c r="DJ87" s="57">
        <f>COUNTIFS(tblPlant[Date],$A87,tblPlant[Mill_Run_h],"&lt;&gt;")*24</f>
        <v/>
      </c>
      <c r="DK87" s="57">
        <f>IF($B87=$B86,$DK86,0)+$DJ87</f>
        <v/>
      </c>
      <c r="DL87" s="57">
        <f>$DL86+$DJ87</f>
        <v/>
      </c>
      <c r="DM87" s="57">
        <f>SUMIFS(tblPlant[Crusher_Run_h],tblPlant[Date],$A87)</f>
        <v/>
      </c>
      <c r="DN87" s="57">
        <f>IF($B87=$B86,$DN86,0)+$DM87</f>
        <v/>
      </c>
      <c r="DO87" s="57">
        <f>$DO86+$DM87</f>
        <v/>
      </c>
      <c r="DP87" s="55">
        <f>IFERROR(IF(($DA87)&gt;0,($BZ87)/($DA87),""),"")</f>
        <v/>
      </c>
      <c r="DQ87" s="55">
        <f>IFERROR(IF(($DB87)&gt;0,($CA87)/($DB87),""),"")</f>
        <v/>
      </c>
      <c r="DR87" s="55">
        <f>IFERROR(IF(($DC87)&gt;0,($CB87)/($DC87),""),"")</f>
        <v/>
      </c>
      <c r="DS87" s="67">
        <f>IFERROR(IF(($DJ87)&gt;0,($DJ87-$DD87-$DG87)/($DJ87),""),"")</f>
        <v/>
      </c>
      <c r="DT87" s="67">
        <f>IFERROR(IF(($DK87)&gt;0,($DK87-$DE87-$DH87)/($DK87),""),"")</f>
        <v/>
      </c>
      <c r="DU87" s="67">
        <f>IFERROR(IF(($DL87)&gt;0,($DL87-$DF87-$DI87)/($DL87),""),"")</f>
        <v/>
      </c>
      <c r="DV87" s="67">
        <f>IFERROR(IF(($DJ87-$DD87-$DG87)&gt;0,($DA87)/($DJ87-$DD87-$DG87),""),"")</f>
        <v/>
      </c>
      <c r="DW87" s="67">
        <f>IFERROR(IF(($DK87-$DE87-$DH87)&gt;0,($DB87)/($DK87-$DE87-$DH87),""),"")</f>
        <v/>
      </c>
      <c r="DX87" s="67">
        <f>IFERROR(IF(($DL87-$DF87-$DI87)&gt;0,($DC87)/($DL87-$DF87-$DI87),""),"")</f>
        <v/>
      </c>
      <c r="DY87" s="55">
        <f>SUMIFS(tblPlant[Cyanide_kg],tblPlant[Date],$A87)</f>
        <v/>
      </c>
      <c r="DZ87" s="55">
        <f>IF($B87=$B86,$DZ86,0)+$DY87</f>
        <v/>
      </c>
      <c r="EA87" s="55">
        <f>$EA86+$DY87</f>
        <v/>
      </c>
      <c r="EB87" s="55">
        <f>SUMIFS(tblPlant[Lime_kg],tblPlant[Date],$A87)</f>
        <v/>
      </c>
      <c r="EC87" s="55">
        <f>IF($B87=$B86,$EC86,0)+$EB87</f>
        <v/>
      </c>
      <c r="ED87" s="55">
        <f>$ED86+$EB87</f>
        <v/>
      </c>
      <c r="EE87" s="55">
        <f>SUMIFS(tblPlant[Grinding_Media_kg],tblPlant[Date],$A87)</f>
        <v/>
      </c>
      <c r="EF87" s="55">
        <f>IF($B87=$B86,$EF86,0)+$EE87</f>
        <v/>
      </c>
      <c r="EG87" s="55">
        <f>$EG86+$EE87</f>
        <v/>
      </c>
      <c r="EH87" s="55">
        <f>SUMIFS(tblPlant[Power_kWh],tblPlant[Date],$A87)</f>
        <v/>
      </c>
      <c r="EI87" s="55">
        <f>IF($B87=$B86,$EI86,0)+$EH87</f>
        <v/>
      </c>
      <c r="EJ87" s="55">
        <f>$EJ86+$EH87</f>
        <v/>
      </c>
      <c r="EK87" s="55">
        <f>SUMIFS(tblPlant[Raw_Water_m3],tblPlant[Date],$A87)</f>
        <v/>
      </c>
      <c r="EL87" s="55">
        <f>IF($B87=$B86,$EL86,0)+$EK87</f>
        <v/>
      </c>
      <c r="EM87" s="55">
        <f>$EM86+$EK87</f>
        <v/>
      </c>
      <c r="EN87" s="56">
        <f>IFERROR(IF(($BZ87)&gt;0,($DY87)/($BZ87),""),"")</f>
        <v/>
      </c>
      <c r="EO87" s="56">
        <f>IFERROR(IF(($CA87)&gt;0,($DZ87)/($CA87),""),"")</f>
        <v/>
      </c>
      <c r="EP87" s="56">
        <f>IFERROR(IF(($CB87)&gt;0,($EA87)/($CB87),""),"")</f>
        <v/>
      </c>
      <c r="EQ87" s="56">
        <f>IFERROR(IF(($BZ87)&gt;0,($EB87)/($BZ87),""),"")</f>
        <v/>
      </c>
      <c r="ER87" s="56">
        <f>IFERROR(IF(($CA87)&gt;0,($EC87)/($CA87),""),"")</f>
        <v/>
      </c>
      <c r="ES87" s="56">
        <f>IFERROR(IF(($CB87)&gt;0,($ED87)/($CB87),""),"")</f>
        <v/>
      </c>
      <c r="ET87" s="56">
        <f>IFERROR(IF(($BZ87)&gt;0,($EE87)/($BZ87),""),"")</f>
        <v/>
      </c>
      <c r="EU87" s="56">
        <f>IFERROR(IF(($CA87)&gt;0,($EF87)/($CA87),""),"")</f>
        <v/>
      </c>
      <c r="EV87" s="56">
        <f>IFERROR(IF(($CB87)&gt;0,($EG87)/($CB87),""),"")</f>
        <v/>
      </c>
      <c r="EW87" s="76">
        <f>IFERROR(IF(($BZ87)&gt;0,($EH87)/($BZ87),""),"")</f>
        <v/>
      </c>
      <c r="EX87" s="76">
        <f>IFERROR(IF(($CA87)&gt;0,($EI87)/($CA87),""),"")</f>
        <v/>
      </c>
      <c r="EY87" s="76">
        <f>IFERROR(IF(($CB87)&gt;0,($EJ87)/($CB87),""),"")</f>
        <v/>
      </c>
      <c r="EZ87" s="56">
        <f>IFERROR(IF(($BZ87)&gt;0,($EK87)/($BZ87),""),"")</f>
        <v/>
      </c>
      <c r="FA87" s="56">
        <f>IFERROR(IF(($CA87)&gt;0,($EL87)/($CA87),""),"")</f>
        <v/>
      </c>
      <c r="FB87" s="56">
        <f>IFERROR(IF(($CB87)&gt;0,($EM87)/($CB87),""),"")</f>
        <v/>
      </c>
      <c r="FC87" s="55">
        <f>IF(SUMIFS(tblPlant[GIC_oz],tblPlant[Date],$A87)&gt;0,SUMIFS(tblPlant[GIC_oz],tblPlant[Date],$A87),"")</f>
        <v/>
      </c>
      <c r="FD87" s="55">
        <f>SUMIFS(tblGold[Gold_oz],tblGold[Date],$A87,tblGold[Type],"Shipment")</f>
        <v/>
      </c>
      <c r="FE87" s="55">
        <f>IF($B87=$B86,$FE86,0)+$FD87</f>
        <v/>
      </c>
      <c r="FF87" s="55">
        <f>$FF86+$FD87</f>
        <v/>
      </c>
      <c r="FG87" s="55">
        <f>SUMIFS(tblGold[Gold_oz],tblGold[Date],$A87,tblGold[Type],"Sale")</f>
        <v/>
      </c>
      <c r="FH87" s="55">
        <f>IF($B87=$B86,$FH86,0)+$FG87</f>
        <v/>
      </c>
      <c r="FI87" s="55">
        <f>$FI86+$FG87</f>
        <v/>
      </c>
      <c r="FJ87" s="55">
        <f>SUMIFS(tblGold[Dore_kg],tblGold[Date],$A87,tblGold[Type],"Shipment")</f>
        <v/>
      </c>
      <c r="FK87" s="55">
        <f>IF($B87=$B86,$FK86,0)+$FJ87</f>
        <v/>
      </c>
      <c r="FL87" s="55">
        <f>$FL86+$FJ87</f>
        <v/>
      </c>
      <c r="FM87" s="57">
        <f>SUMIFS(tblSafety[Hours_Total],tblSafety[Date],$A87)</f>
        <v/>
      </c>
      <c r="FN87" s="57">
        <f>IF($B87=$B86,$FN86,0)+$FM87</f>
        <v/>
      </c>
      <c r="FO87" s="57">
        <f>$FO86+$FM87</f>
        <v/>
      </c>
      <c r="FP87" s="62">
        <f>SUMIFS(tblSafety[Fatality],tblSafety[Date],$A87)</f>
        <v/>
      </c>
      <c r="FQ87" s="62">
        <f>IF($B87=$B86,$FQ86,0)+$FP87</f>
        <v/>
      </c>
      <c r="FR87" s="62">
        <f>$FR86+$FP87</f>
        <v/>
      </c>
      <c r="FS87" s="62">
        <f>SUMIFS(tblSafety[LTI],tblSafety[Date],$A87)</f>
        <v/>
      </c>
      <c r="FT87" s="62">
        <f>IF($B87=$B86,$FT86,0)+$FS87</f>
        <v/>
      </c>
      <c r="FU87" s="62">
        <f>$FU86+$FS87</f>
        <v/>
      </c>
      <c r="FV87" s="62">
        <f>SUMIFS(tblSafety[RWI],tblSafety[Date],$A87)</f>
        <v/>
      </c>
      <c r="FW87" s="62">
        <f>IF($B87=$B86,$FW86,0)+$FV87</f>
        <v/>
      </c>
      <c r="FX87" s="62">
        <f>$FX86+$FV87</f>
        <v/>
      </c>
      <c r="FY87" s="62">
        <f>SUMIFS(tblSafety[MTI],tblSafety[Date],$A87)</f>
        <v/>
      </c>
      <c r="FZ87" s="62">
        <f>IF($B87=$B86,$FZ86,0)+$FY87</f>
        <v/>
      </c>
      <c r="GA87" s="62">
        <f>$GA86+$FY87</f>
        <v/>
      </c>
      <c r="GB87" s="62">
        <f>SUMIFS(tblSafety[FAI],tblSafety[Date],$A87)</f>
        <v/>
      </c>
      <c r="GC87" s="62">
        <f>IF($B87=$B86,$GC86,0)+$GB87</f>
        <v/>
      </c>
      <c r="GD87" s="62">
        <f>$GD86+$GB87</f>
        <v/>
      </c>
      <c r="GE87" s="62">
        <f>SUMIFS(tblSafety[Recordables],tblSafety[Date],$A87)</f>
        <v/>
      </c>
      <c r="GF87" s="62">
        <f>IF($B87=$B86,$GF86,0)+$GE87</f>
        <v/>
      </c>
      <c r="GG87" s="62">
        <f>$GG86+$GE87</f>
        <v/>
      </c>
      <c r="GH87" s="62">
        <f>SUMIFS(tblSafety[Near_Miss],tblSafety[Date],$A87)</f>
        <v/>
      </c>
      <c r="GI87" s="62">
        <f>IF($B87=$B86,$GI86,0)+$GH87</f>
        <v/>
      </c>
      <c r="GJ87" s="62">
        <f>$GJ86+$GH87</f>
        <v/>
      </c>
      <c r="GK87" s="62">
        <f>SUMIFS(tblSafety[Hazard_Reports],tblSafety[Date],$A87)</f>
        <v/>
      </c>
      <c r="GL87" s="62">
        <f>IF($B87=$B86,$GL86,0)+$GK87</f>
        <v/>
      </c>
      <c r="GM87" s="62">
        <f>$GM86+$GK87</f>
        <v/>
      </c>
      <c r="GN87" s="62">
        <f>SUMIFS(tblSafety[HPI],tblSafety[Date],$A87)</f>
        <v/>
      </c>
      <c r="GO87" s="62">
        <f>IF($B87=$B86,$GO86,0)+$GN87</f>
        <v/>
      </c>
      <c r="GP87" s="62">
        <f>$GP86+$GN87</f>
        <v/>
      </c>
      <c r="GQ87" s="62">
        <f>SUMIFS(tblSafety[Env_Incidents],tblSafety[Date],$A87)</f>
        <v/>
      </c>
      <c r="GR87" s="62">
        <f>IF($B87=$B86,$GR86,0)+$GQ87</f>
        <v/>
      </c>
      <c r="GS87" s="62">
        <f>$GS86+$GQ87</f>
        <v/>
      </c>
      <c r="GT87" s="62">
        <f>SUMIFS(tblSafety[Community_Incidents],tblSafety[Date],$A87)</f>
        <v/>
      </c>
      <c r="GU87" s="62">
        <f>IF($B87=$B86,$GU86,0)+$GT87</f>
        <v/>
      </c>
      <c r="GV87" s="62">
        <f>$GV86+$GT87</f>
        <v/>
      </c>
      <c r="GW87" s="62">
        <f>SUMIFS(tblSafety[Vehicle_Incidents],tblSafety[Date],$A87)</f>
        <v/>
      </c>
      <c r="GX87" s="62">
        <f>IF($B87=$B86,$GX86,0)+$GW87</f>
        <v/>
      </c>
      <c r="GY87" s="62">
        <f>$GY86+$GW87</f>
        <v/>
      </c>
      <c r="GZ87" s="62">
        <f>SUMIFS(tblSafety[Toolbox_Talks],tblSafety[Date],$A87)</f>
        <v/>
      </c>
      <c r="HA87" s="62">
        <f>IF($B87=$B86,$HA86,0)+$GZ87</f>
        <v/>
      </c>
      <c r="HB87" s="62">
        <f>$HB86+$GZ87</f>
        <v/>
      </c>
      <c r="HC87" s="62">
        <f>SUMIFS(tblSafety[Inspections],tblSafety[Date],$A87)</f>
        <v/>
      </c>
      <c r="HD87" s="62">
        <f>IF($B87=$B86,$HD86,0)+$HC87</f>
        <v/>
      </c>
      <c r="HE87" s="62">
        <f>$HE86+$HC87</f>
        <v/>
      </c>
      <c r="HF87" s="56">
        <f>IFERROR((SUMIFS(tblSafety[Recordables],tblSafety[Date],"&gt;="&amp;EDATE($E87,-12),tblSafety[Date],"&lt;="&amp;$A87)+SUMIFS(tblSafetyHistory[Recordables],tblSafetyHistory[Month],"&gt;="&amp;EDATE($E87,-12),tblSafetyHistory[Month],"&lt;"&amp;cfg_YearStart))/(SUMIFS(tblSafety[Hours_Total],tblSafety[Date],"&gt;="&amp;EDATE($E87,-12),tblSafety[Date],"&lt;="&amp;$A87)+SUMIFS(tblSafetyHistory[Hours_Total],tblSafetyHistory[Month],"&gt;="&amp;EDATE($E87,-12),tblSafetyHistory[Month],"&lt;"&amp;cfg_YearStart))*1000000,"")</f>
        <v/>
      </c>
      <c r="HG87" s="56">
        <f>IFERROR((SUMIFS(tblSafety[LTI],tblSafety[Date],"&gt;="&amp;EDATE($E87,-12),tblSafety[Date],"&lt;="&amp;$A87)+SUMIFS(tblSafetyHistory[LTI],tblSafetyHistory[Month],"&gt;="&amp;EDATE($E87,-12),tblSafetyHistory[Month],"&lt;"&amp;cfg_YearStart))/(SUMIFS(tblSafety[Hours_Total],tblSafety[Date],"&gt;="&amp;EDATE($E87,-12),tblSafety[Date],"&lt;="&amp;$A87)+SUMIFS(tblSafetyHistory[Hours_Total],tblSafetyHistory[Month],"&gt;="&amp;EDATE($E87,-12),tblSafetyHistory[Month],"&lt;"&amp;cfg_YearStart))*1000000,"")</f>
        <v/>
      </c>
      <c r="HH87" s="62">
        <f>IF(MAX(N(cfg_PriorLTIDate),_xlfn.MAXIFS(tblSafety[Date],tblSafety[LTI],"&gt;0",tblSafety[Date],"&lt;="&amp;$A87))=0,"",$A87-MAX(N(cfg_PriorLTIDate),_xlfn.MAXIFS(tblSafety[Date],tblSafety[LTI],"&gt;0",tblSafety[Date],"&lt;="&amp;$A87)))</f>
        <v/>
      </c>
      <c r="HI87" s="55">
        <f>SUMIFS(tblBudget[Ore_Mined_t],tblBudget[Month],$E87)</f>
        <v/>
      </c>
      <c r="HJ87" s="55">
        <f>$HI87*$C87/$D87</f>
        <v/>
      </c>
      <c r="HK87" s="55">
        <f>SUMIFS(tblBudget[Ore_Mined_t],tblBudget[Month],"&lt;"&amp;$E87)+$HJ87</f>
        <v/>
      </c>
      <c r="HL87" s="55">
        <f>SUMIFS(tblBudget[Ore_oz],tblBudget[Month],$E87)</f>
        <v/>
      </c>
      <c r="HM87" s="55">
        <f>$HL87*$C87/$D87</f>
        <v/>
      </c>
      <c r="HN87" s="55">
        <f>SUMIFS(tblBudget[Ore_oz],tblBudget[Month],"&lt;"&amp;$E87)+$HM87</f>
        <v/>
      </c>
      <c r="HO87" s="56">
        <f>IFERROR(IF(($HI87)&gt;0,($HL87*cfg_TroyOz)/($HI87),""),"")</f>
        <v/>
      </c>
      <c r="HP87" s="56">
        <f>IFERROR(IF(($HJ87)&gt;0,($HM87*cfg_TroyOz)/($HJ87),""),"")</f>
        <v/>
      </c>
      <c r="HQ87" s="56">
        <f>IFERROR(IF(($HK87)&gt;0,($HN87*cfg_TroyOz)/($HK87),""),"")</f>
        <v/>
      </c>
      <c r="HR87" s="55">
        <f>SUMIFS(tblBudget[Waste_t],tblBudget[Month],$E87)</f>
        <v/>
      </c>
      <c r="HS87" s="55">
        <f>$HR87*$C87/$D87</f>
        <v/>
      </c>
      <c r="HT87" s="55">
        <f>SUMIFS(tblBudget[Waste_t],tblBudget[Month],"&lt;"&amp;$E87)+$HS87</f>
        <v/>
      </c>
      <c r="HU87" s="55">
        <f>SUMIFS(tblBudget[TMM_t],tblBudget[Month],$E87)</f>
        <v/>
      </c>
      <c r="HV87" s="55">
        <f>$HU87*$C87/$D87</f>
        <v/>
      </c>
      <c r="HW87" s="55">
        <f>SUMIFS(tblBudget[TMM_t],tblBudget[Month],"&lt;"&amp;$E87)+$HV87</f>
        <v/>
      </c>
      <c r="HX87" s="56">
        <f>IFERROR(IF(($HI87)&gt;0,($HR87)/($HI87),""),"")</f>
        <v/>
      </c>
      <c r="HY87" s="56">
        <f>IFERROR(IF(($HJ87)&gt;0,($HS87)/($HJ87),""),"")</f>
        <v/>
      </c>
      <c r="HZ87" s="56">
        <f>IFERROR(IF(($HK87)&gt;0,($HT87)/($HK87),""),"")</f>
        <v/>
      </c>
      <c r="IA87" s="55">
        <f>SUMIFS(tblBudget[Drill_m],tblBudget[Month],$E87)</f>
        <v/>
      </c>
      <c r="IB87" s="55">
        <f>$IA87*$C87/$D87</f>
        <v/>
      </c>
      <c r="IC87" s="55">
        <f>SUMIFS(tblBudget[Drill_m],tblBudget[Month],"&lt;"&amp;$E87)+$IB87</f>
        <v/>
      </c>
      <c r="ID87" s="55">
        <f>SUMIFS(tblBudget[Diesel_L],tblBudget[Month],$E87)</f>
        <v/>
      </c>
      <c r="IE87" s="55">
        <f>$ID87*$C87/$D87</f>
        <v/>
      </c>
      <c r="IF87" s="55">
        <f>SUMIFS(tblBudget[Diesel_L],tblBudget[Month],"&lt;"&amp;$E87)+$IE87</f>
        <v/>
      </c>
      <c r="IG87" s="55">
        <f>SUMIFS(tblBudget[Milled_t],tblBudget[Month],$E87)</f>
        <v/>
      </c>
      <c r="IH87" s="55">
        <f>$IG87*$C87/$D87</f>
        <v/>
      </c>
      <c r="II87" s="55">
        <f>SUMIFS(tblBudget[Milled_t],tblBudget[Month],"&lt;"&amp;$E87)+$IH87</f>
        <v/>
      </c>
      <c r="IJ87" s="55">
        <f>SUMIFS(tblBudget[Feed_oz],tblBudget[Month],$E87)</f>
        <v/>
      </c>
      <c r="IK87" s="55">
        <f>$IJ87*$C87/$D87</f>
        <v/>
      </c>
      <c r="IL87" s="55">
        <f>SUMIFS(tblBudget[Feed_oz],tblBudget[Month],"&lt;"&amp;$E87)+$IK87</f>
        <v/>
      </c>
      <c r="IM87" s="55">
        <f>SUMIFS(tblBudget[Recovered_oz],tblBudget[Month],$E87)</f>
        <v/>
      </c>
      <c r="IN87" s="55">
        <f>$IM87*$C87/$D87</f>
        <v/>
      </c>
      <c r="IO87" s="55">
        <f>SUMIFS(tblBudget[Recovered_oz],tblBudget[Month],"&lt;"&amp;$E87)+$IN87</f>
        <v/>
      </c>
      <c r="IP87" s="56">
        <f>IFERROR(IF(($IG87)&gt;0,($IJ87*cfg_TroyOz)/($IG87),""),"")</f>
        <v/>
      </c>
      <c r="IQ87" s="56">
        <f>IFERROR(IF(($IH87)&gt;0,($IK87*cfg_TroyOz)/($IH87),""),"")</f>
        <v/>
      </c>
      <c r="IR87" s="56">
        <f>IFERROR(IF(($II87)&gt;0,($IL87*cfg_TroyOz)/($II87),""),"")</f>
        <v/>
      </c>
      <c r="IS87" s="67">
        <f>IFERROR(IF(($IJ87)&gt;0,($IM87)/($IJ87),""),"")</f>
        <v/>
      </c>
      <c r="IT87" s="67">
        <f>IFERROR(IF(($IK87)&gt;0,($IN87)/($IK87),""),"")</f>
        <v/>
      </c>
      <c r="IU87" s="67">
        <f>IFERROR(IF(($IL87)&gt;0,($IO87)/($IL87),""),"")</f>
        <v/>
      </c>
      <c r="IV87" s="55">
        <f>SUMIFS(tblBudget[Gold_Poured_oz],tblBudget[Month],$E87)</f>
        <v/>
      </c>
      <c r="IW87" s="55">
        <f>$IV87*$C87/$D87</f>
        <v/>
      </c>
      <c r="IX87" s="55">
        <f>SUMIFS(tblBudget[Gold_Poured_oz],tblBudget[Month],"&lt;"&amp;$E87)+$IW87</f>
        <v/>
      </c>
      <c r="IY87" s="57">
        <f>SUMIFS(tblBudget[Hours_Worked],tblBudget[Month],$E87)</f>
        <v/>
      </c>
      <c r="IZ87" s="57">
        <f>$IY87*$C87/$D87</f>
        <v/>
      </c>
      <c r="JA87" s="57">
        <f>SUMIFS(tblBudget[Hours_Worked],tblBudget[Month],"&lt;"&amp;$E87)+$IZ87</f>
        <v/>
      </c>
    </row>
    <row r="88">
      <c r="A88" s="54" t="n">
        <v>46109</v>
      </c>
      <c r="B88">
        <f>MONTH($A88)</f>
        <v/>
      </c>
      <c r="C88">
        <f>DAY($A88)</f>
        <v/>
      </c>
      <c r="D88">
        <f>DAY(EOMONTH($A88,0))</f>
        <v/>
      </c>
      <c r="E88" s="54">
        <f>DATE(YEAR($A88),MONTH($A88),1)</f>
        <v/>
      </c>
      <c r="F88" s="55">
        <f>SUMIFS(tblMovement[Tonnes_t],tblMovement[Date],$A88,tblMovement[Is_Ore],1,tblMovement[Source_Type],"Pit")</f>
        <v/>
      </c>
      <c r="G88" s="55">
        <f>IF($B88=$B87,$G87,0)+$F88</f>
        <v/>
      </c>
      <c r="H88" s="55">
        <f>$H87+$F88</f>
        <v/>
      </c>
      <c r="I88" s="55">
        <f>SUMIFS(tblMovement[Ore_oz],tblMovement[Date],$A88,tblMovement[Source_Type],"Pit")</f>
        <v/>
      </c>
      <c r="J88" s="55">
        <f>IF($B88=$B87,$J87,0)+$I88</f>
        <v/>
      </c>
      <c r="K88" s="55">
        <f>$K87+$I88</f>
        <v/>
      </c>
      <c r="L88" s="56">
        <f>IFERROR(IF(($F88)&gt;0,($I88*cfg_TroyOz)/($F88),""),"")</f>
        <v/>
      </c>
      <c r="M88" s="56">
        <f>IFERROR(IF(($G88)&gt;0,($J88*cfg_TroyOz)/($G88),""),"")</f>
        <v/>
      </c>
      <c r="N88" s="56">
        <f>IFERROR(IF(($H88)&gt;0,($K88*cfg_TroyOz)/($H88),""),"")</f>
        <v/>
      </c>
      <c r="O88" s="55">
        <f>SUMIFS(tblMovement[Tonnes_t],tblMovement[Date],$A88,tblMovement[Is_Ore],0,tblMovement[Source_Type],"Pit")</f>
        <v/>
      </c>
      <c r="P88" s="55">
        <f>IF($B88=$B87,$P87,0)+$O88</f>
        <v/>
      </c>
      <c r="Q88" s="55">
        <f>$Q87+$O88</f>
        <v/>
      </c>
      <c r="R88" s="55">
        <f>$F88+$O88</f>
        <v/>
      </c>
      <c r="S88" s="55">
        <f>IF($B88=$B87,$S87,0)+$R88</f>
        <v/>
      </c>
      <c r="T88" s="55">
        <f>$T87+$R88</f>
        <v/>
      </c>
      <c r="U88" s="56">
        <f>IFERROR(IF(($F88)&gt;0,($O88)/($F88),""),"")</f>
        <v/>
      </c>
      <c r="V88" s="56">
        <f>IFERROR(IF(($G88)&gt;0,($P88)/($G88),""),"")</f>
        <v/>
      </c>
      <c r="W88" s="56">
        <f>IFERROR(IF(($H88)&gt;0,($Q88)/($H88),""),"")</f>
        <v/>
      </c>
      <c r="X88" s="55">
        <f>SUMIFS(tblMovement[Tonnes_t],tblMovement[Date],$A88,tblMovement[Source_Type],"Stockpile")</f>
        <v/>
      </c>
      <c r="Y88" s="55">
        <f>IF($B88=$B87,$Y87,0)+$X88</f>
        <v/>
      </c>
      <c r="Z88" s="55">
        <f>$Z87+$X88</f>
        <v/>
      </c>
      <c r="AA88" s="55">
        <f>SUMIFS(tblMiningDaily[Drill_m],tblMiningDaily[Date],$A88)</f>
        <v/>
      </c>
      <c r="AB88" s="55">
        <f>IF($B88=$B87,$AB87,0)+$AA88</f>
        <v/>
      </c>
      <c r="AC88" s="55">
        <f>$AC87+$AA88</f>
        <v/>
      </c>
      <c r="AD88" s="55">
        <f>SUMIFS(tblMiningDaily[Blast_t],tblMiningDaily[Date],$A88)</f>
        <v/>
      </c>
      <c r="AE88" s="55">
        <f>IF($B88=$B87,$AE87,0)+$AD88</f>
        <v/>
      </c>
      <c r="AF88" s="55">
        <f>$AF87+$AD88</f>
        <v/>
      </c>
      <c r="AG88" s="55">
        <f>SUMIFS(tblMiningDaily[Explosives_kg],tblMiningDaily[Date],$A88)</f>
        <v/>
      </c>
      <c r="AH88" s="55">
        <f>IF($B88=$B87,$AH87,0)+$AG88</f>
        <v/>
      </c>
      <c r="AI88" s="55">
        <f>$AI87+$AG88</f>
        <v/>
      </c>
      <c r="AJ88" s="56">
        <f>IFERROR(IF(($AD88)&gt;0,($AG88)/($AD88),""),"")</f>
        <v/>
      </c>
      <c r="AK88" s="56">
        <f>IFERROR(IF(($AE88)&gt;0,($AH88)/($AE88),""),"")</f>
        <v/>
      </c>
      <c r="AL88" s="56">
        <f>IFERROR(IF(($AF88)&gt;0,($AI88)/($AF88),""),"")</f>
        <v/>
      </c>
      <c r="AM88" s="55">
        <f>SUMIFS(tblMiningDaily[Diesel_L],tblMiningDaily[Date],$A88)</f>
        <v/>
      </c>
      <c r="AN88" s="55">
        <f>IF($B88=$B87,$AN87,0)+$AM88</f>
        <v/>
      </c>
      <c r="AO88" s="55">
        <f>$AO87+$AM88</f>
        <v/>
      </c>
      <c r="AP88" s="55">
        <f>SUMIFS(tblMiningDaily[Dewatering_m3],tblMiningDaily[Date],$A88)</f>
        <v/>
      </c>
      <c r="AQ88" s="55">
        <f>IF($B88=$B87,$AQ87,0)+$AP88</f>
        <v/>
      </c>
      <c r="AR88" s="55">
        <f>$AR87+$AP88</f>
        <v/>
      </c>
      <c r="AS88" s="57">
        <f>SUMIFS(tblFleet[Calendar_h],tblFleet[Date],$A88,tblFleet[Equipment_Class],"Excavator")</f>
        <v/>
      </c>
      <c r="AT88" s="57">
        <f>IF($B88=$B87,$AT87,0)+$AS88</f>
        <v/>
      </c>
      <c r="AU88" s="57">
        <f>$AU87+$AS88</f>
        <v/>
      </c>
      <c r="AV88" s="57">
        <f>SUMIFS(tblFleet[Available_h],tblFleet[Date],$A88,tblFleet[Equipment_Class],"Excavator")</f>
        <v/>
      </c>
      <c r="AW88" s="57">
        <f>IF($B88=$B87,$AW87,0)+$AV88</f>
        <v/>
      </c>
      <c r="AX88" s="57">
        <f>$AX87+$AV88</f>
        <v/>
      </c>
      <c r="AY88" s="57">
        <f>SUMIFS(tblFleet[Operating_h],tblFleet[Date],$A88,tblFleet[Equipment_Class],"Excavator")</f>
        <v/>
      </c>
      <c r="AZ88" s="57">
        <f>IF($B88=$B87,$AZ87,0)+$AY88</f>
        <v/>
      </c>
      <c r="BA88" s="57">
        <f>$BA87+$AY88</f>
        <v/>
      </c>
      <c r="BB88" s="67">
        <f>IFERROR(IF(($AS88)&gt;0,($AV88)/($AS88),""),"")</f>
        <v/>
      </c>
      <c r="BC88" s="67">
        <f>IFERROR(IF(($AT88)&gt;0,($AW88)/($AT88),""),"")</f>
        <v/>
      </c>
      <c r="BD88" s="67">
        <f>IFERROR(IF(($AU88)&gt;0,($AX88)/($AU88),""),"")</f>
        <v/>
      </c>
      <c r="BE88" s="67">
        <f>IFERROR(IF(($AV88)&gt;0,($AY88)/($AV88),""),"")</f>
        <v/>
      </c>
      <c r="BF88" s="67">
        <f>IFERROR(IF(($AW88)&gt;0,($AZ88)/($AW88),""),"")</f>
        <v/>
      </c>
      <c r="BG88" s="67">
        <f>IFERROR(IF(($AX88)&gt;0,($BA88)/($AX88),""),"")</f>
        <v/>
      </c>
      <c r="BH88" s="57">
        <f>SUMIFS(tblFleet[Calendar_h],tblFleet[Date],$A88,tblFleet[Equipment_Class],"Haul Truck")</f>
        <v/>
      </c>
      <c r="BI88" s="57">
        <f>IF($B88=$B87,$BI87,0)+$BH88</f>
        <v/>
      </c>
      <c r="BJ88" s="57">
        <f>$BJ87+$BH88</f>
        <v/>
      </c>
      <c r="BK88" s="57">
        <f>SUMIFS(tblFleet[Available_h],tblFleet[Date],$A88,tblFleet[Equipment_Class],"Haul Truck")</f>
        <v/>
      </c>
      <c r="BL88" s="57">
        <f>IF($B88=$B87,$BL87,0)+$BK88</f>
        <v/>
      </c>
      <c r="BM88" s="57">
        <f>$BM87+$BK88</f>
        <v/>
      </c>
      <c r="BN88" s="57">
        <f>SUMIFS(tblFleet[Operating_h],tblFleet[Date],$A88,tblFleet[Equipment_Class],"Haul Truck")</f>
        <v/>
      </c>
      <c r="BO88" s="57">
        <f>IF($B88=$B87,$BO87,0)+$BN88</f>
        <v/>
      </c>
      <c r="BP88" s="57">
        <f>$BP87+$BN88</f>
        <v/>
      </c>
      <c r="BQ88" s="67">
        <f>IFERROR(IF(($BH88)&gt;0,($BK88)/($BH88),""),"")</f>
        <v/>
      </c>
      <c r="BR88" s="67">
        <f>IFERROR(IF(($BI88)&gt;0,($BL88)/($BI88),""),"")</f>
        <v/>
      </c>
      <c r="BS88" s="67">
        <f>IFERROR(IF(($BJ88)&gt;0,($BM88)/($BJ88),""),"")</f>
        <v/>
      </c>
      <c r="BT88" s="67">
        <f>IFERROR(IF(($BK88)&gt;0,($BN88)/($BK88),""),"")</f>
        <v/>
      </c>
      <c r="BU88" s="67">
        <f>IFERROR(IF(($BL88)&gt;0,($BO88)/($BL88),""),"")</f>
        <v/>
      </c>
      <c r="BV88" s="67">
        <f>IFERROR(IF(($BM88)&gt;0,($BP88)/($BM88),""),"")</f>
        <v/>
      </c>
      <c r="BW88" s="55">
        <f>SUMIFS(tblPlant[Crushed_t],tblPlant[Date],$A88)</f>
        <v/>
      </c>
      <c r="BX88" s="55">
        <f>IF($B88=$B87,$BX87,0)+$BW88</f>
        <v/>
      </c>
      <c r="BY88" s="55">
        <f>$BY87+$BW88</f>
        <v/>
      </c>
      <c r="BZ88" s="55">
        <f>SUMIFS(tblPlant[Milled_t],tblPlant[Date],$A88)</f>
        <v/>
      </c>
      <c r="CA88" s="55">
        <f>IF($B88=$B87,$CA87,0)+$BZ88</f>
        <v/>
      </c>
      <c r="CB88" s="55">
        <f>$CB87+$BZ88</f>
        <v/>
      </c>
      <c r="CC88" s="55">
        <f>SUMIFS(tblPlant[Feed_oz],tblPlant[Date],$A88)</f>
        <v/>
      </c>
      <c r="CD88" s="55">
        <f>IF($B88=$B87,$CD87,0)+$CC88</f>
        <v/>
      </c>
      <c r="CE88" s="55">
        <f>$CE87+$CC88</f>
        <v/>
      </c>
      <c r="CF88" s="55">
        <f>SUMIFS(tblPlant[Tails_oz],tblPlant[Date],$A88)</f>
        <v/>
      </c>
      <c r="CG88" s="55">
        <f>IF($B88=$B87,$CG87,0)+$CF88</f>
        <v/>
      </c>
      <c r="CH88" s="55">
        <f>$CH87+$CF88</f>
        <v/>
      </c>
      <c r="CI88" s="55">
        <f>SUMIFS(tblPlant[Recovered_oz],tblPlant[Date],$A88)</f>
        <v/>
      </c>
      <c r="CJ88" s="55">
        <f>IF($B88=$B87,$CJ87,0)+$CI88</f>
        <v/>
      </c>
      <c r="CK88" s="55">
        <f>$CK87+$CI88</f>
        <v/>
      </c>
      <c r="CL88" s="56">
        <f>IFERROR(IF(($BZ88)&gt;0,($CC88*cfg_TroyOz)/($BZ88),""),"")</f>
        <v/>
      </c>
      <c r="CM88" s="56">
        <f>IFERROR(IF(($CA88)&gt;0,($CD88*cfg_TroyOz)/($CA88),""),"")</f>
        <v/>
      </c>
      <c r="CN88" s="56">
        <f>IFERROR(IF(($CB88)&gt;0,($CE88*cfg_TroyOz)/($CB88),""),"")</f>
        <v/>
      </c>
      <c r="CO88" s="56">
        <f>IFERROR(IF(($BZ88)&gt;0,($CF88*cfg_TroyOz)/($BZ88),""),"")</f>
        <v/>
      </c>
      <c r="CP88" s="56">
        <f>IFERROR(IF(($CA88)&gt;0,($CG88*cfg_TroyOz)/($CA88),""),"")</f>
        <v/>
      </c>
      <c r="CQ88" s="56">
        <f>IFERROR(IF(($CB88)&gt;0,($CH88*cfg_TroyOz)/($CB88),""),"")</f>
        <v/>
      </c>
      <c r="CR88" s="67">
        <f>IFERROR(IF(($CC88)&gt;0,($CI88)/($CC88),""),"")</f>
        <v/>
      </c>
      <c r="CS88" s="67">
        <f>IFERROR(IF(($CD88)&gt;0,($CJ88)/($CD88),""),"")</f>
        <v/>
      </c>
      <c r="CT88" s="67">
        <f>IFERROR(IF(($CE88)&gt;0,($CK88)/($CE88),""),"")</f>
        <v/>
      </c>
      <c r="CU88" s="55">
        <f>SUMIFS(tblPlant[Gravity_Gold_oz],tblPlant[Date],$A88)</f>
        <v/>
      </c>
      <c r="CV88" s="55">
        <f>IF($B88=$B87,$CV87,0)+$CU88</f>
        <v/>
      </c>
      <c r="CW88" s="55">
        <f>$CW87+$CU88</f>
        <v/>
      </c>
      <c r="CX88" s="55">
        <f>SUMIFS(tblPlant[Gold_Poured_oz],tblPlant[Date],$A88)</f>
        <v/>
      </c>
      <c r="CY88" s="55">
        <f>IF($B88=$B87,$CY87,0)+$CX88</f>
        <v/>
      </c>
      <c r="CZ88" s="55">
        <f>$CZ87+$CX88</f>
        <v/>
      </c>
      <c r="DA88" s="57">
        <f>SUMIFS(tblPlant[Mill_Run_h],tblPlant[Date],$A88)</f>
        <v/>
      </c>
      <c r="DB88" s="57">
        <f>IF($B88=$B87,$DB87,0)+$DA88</f>
        <v/>
      </c>
      <c r="DC88" s="57">
        <f>$DC87+$DA88</f>
        <v/>
      </c>
      <c r="DD88" s="57">
        <f>SUMIFS(tblPlant[Mill_Planned_Maint_h],tblPlant[Date],$A88)</f>
        <v/>
      </c>
      <c r="DE88" s="57">
        <f>IF($B88=$B87,$DE87,0)+$DD88</f>
        <v/>
      </c>
      <c r="DF88" s="57">
        <f>$DF87+$DD88</f>
        <v/>
      </c>
      <c r="DG88" s="57">
        <f>SUMIFS(tblPlant[Mill_Unplanned_Down_h],tblPlant[Date],$A88)</f>
        <v/>
      </c>
      <c r="DH88" s="57">
        <f>IF($B88=$B87,$DH87,0)+$DG88</f>
        <v/>
      </c>
      <c r="DI88" s="57">
        <f>$DI87+$DG88</f>
        <v/>
      </c>
      <c r="DJ88" s="57">
        <f>COUNTIFS(tblPlant[Date],$A88,tblPlant[Mill_Run_h],"&lt;&gt;")*24</f>
        <v/>
      </c>
      <c r="DK88" s="57">
        <f>IF($B88=$B87,$DK87,0)+$DJ88</f>
        <v/>
      </c>
      <c r="DL88" s="57">
        <f>$DL87+$DJ88</f>
        <v/>
      </c>
      <c r="DM88" s="57">
        <f>SUMIFS(tblPlant[Crusher_Run_h],tblPlant[Date],$A88)</f>
        <v/>
      </c>
      <c r="DN88" s="57">
        <f>IF($B88=$B87,$DN87,0)+$DM88</f>
        <v/>
      </c>
      <c r="DO88" s="57">
        <f>$DO87+$DM88</f>
        <v/>
      </c>
      <c r="DP88" s="55">
        <f>IFERROR(IF(($DA88)&gt;0,($BZ88)/($DA88),""),"")</f>
        <v/>
      </c>
      <c r="DQ88" s="55">
        <f>IFERROR(IF(($DB88)&gt;0,($CA88)/($DB88),""),"")</f>
        <v/>
      </c>
      <c r="DR88" s="55">
        <f>IFERROR(IF(($DC88)&gt;0,($CB88)/($DC88),""),"")</f>
        <v/>
      </c>
      <c r="DS88" s="67">
        <f>IFERROR(IF(($DJ88)&gt;0,($DJ88-$DD88-$DG88)/($DJ88),""),"")</f>
        <v/>
      </c>
      <c r="DT88" s="67">
        <f>IFERROR(IF(($DK88)&gt;0,($DK88-$DE88-$DH88)/($DK88),""),"")</f>
        <v/>
      </c>
      <c r="DU88" s="67">
        <f>IFERROR(IF(($DL88)&gt;0,($DL88-$DF88-$DI88)/($DL88),""),"")</f>
        <v/>
      </c>
      <c r="DV88" s="67">
        <f>IFERROR(IF(($DJ88-$DD88-$DG88)&gt;0,($DA88)/($DJ88-$DD88-$DG88),""),"")</f>
        <v/>
      </c>
      <c r="DW88" s="67">
        <f>IFERROR(IF(($DK88-$DE88-$DH88)&gt;0,($DB88)/($DK88-$DE88-$DH88),""),"")</f>
        <v/>
      </c>
      <c r="DX88" s="67">
        <f>IFERROR(IF(($DL88-$DF88-$DI88)&gt;0,($DC88)/($DL88-$DF88-$DI88),""),"")</f>
        <v/>
      </c>
      <c r="DY88" s="55">
        <f>SUMIFS(tblPlant[Cyanide_kg],tblPlant[Date],$A88)</f>
        <v/>
      </c>
      <c r="DZ88" s="55">
        <f>IF($B88=$B87,$DZ87,0)+$DY88</f>
        <v/>
      </c>
      <c r="EA88" s="55">
        <f>$EA87+$DY88</f>
        <v/>
      </c>
      <c r="EB88" s="55">
        <f>SUMIFS(tblPlant[Lime_kg],tblPlant[Date],$A88)</f>
        <v/>
      </c>
      <c r="EC88" s="55">
        <f>IF($B88=$B87,$EC87,0)+$EB88</f>
        <v/>
      </c>
      <c r="ED88" s="55">
        <f>$ED87+$EB88</f>
        <v/>
      </c>
      <c r="EE88" s="55">
        <f>SUMIFS(tblPlant[Grinding_Media_kg],tblPlant[Date],$A88)</f>
        <v/>
      </c>
      <c r="EF88" s="55">
        <f>IF($B88=$B87,$EF87,0)+$EE88</f>
        <v/>
      </c>
      <c r="EG88" s="55">
        <f>$EG87+$EE88</f>
        <v/>
      </c>
      <c r="EH88" s="55">
        <f>SUMIFS(tblPlant[Power_kWh],tblPlant[Date],$A88)</f>
        <v/>
      </c>
      <c r="EI88" s="55">
        <f>IF($B88=$B87,$EI87,0)+$EH88</f>
        <v/>
      </c>
      <c r="EJ88" s="55">
        <f>$EJ87+$EH88</f>
        <v/>
      </c>
      <c r="EK88" s="55">
        <f>SUMIFS(tblPlant[Raw_Water_m3],tblPlant[Date],$A88)</f>
        <v/>
      </c>
      <c r="EL88" s="55">
        <f>IF($B88=$B87,$EL87,0)+$EK88</f>
        <v/>
      </c>
      <c r="EM88" s="55">
        <f>$EM87+$EK88</f>
        <v/>
      </c>
      <c r="EN88" s="56">
        <f>IFERROR(IF(($BZ88)&gt;0,($DY88)/($BZ88),""),"")</f>
        <v/>
      </c>
      <c r="EO88" s="56">
        <f>IFERROR(IF(($CA88)&gt;0,($DZ88)/($CA88),""),"")</f>
        <v/>
      </c>
      <c r="EP88" s="56">
        <f>IFERROR(IF(($CB88)&gt;0,($EA88)/($CB88),""),"")</f>
        <v/>
      </c>
      <c r="EQ88" s="56">
        <f>IFERROR(IF(($BZ88)&gt;0,($EB88)/($BZ88),""),"")</f>
        <v/>
      </c>
      <c r="ER88" s="56">
        <f>IFERROR(IF(($CA88)&gt;0,($EC88)/($CA88),""),"")</f>
        <v/>
      </c>
      <c r="ES88" s="56">
        <f>IFERROR(IF(($CB88)&gt;0,($ED88)/($CB88),""),"")</f>
        <v/>
      </c>
      <c r="ET88" s="56">
        <f>IFERROR(IF(($BZ88)&gt;0,($EE88)/($BZ88),""),"")</f>
        <v/>
      </c>
      <c r="EU88" s="56">
        <f>IFERROR(IF(($CA88)&gt;0,($EF88)/($CA88),""),"")</f>
        <v/>
      </c>
      <c r="EV88" s="56">
        <f>IFERROR(IF(($CB88)&gt;0,($EG88)/($CB88),""),"")</f>
        <v/>
      </c>
      <c r="EW88" s="76">
        <f>IFERROR(IF(($BZ88)&gt;0,($EH88)/($BZ88),""),"")</f>
        <v/>
      </c>
      <c r="EX88" s="76">
        <f>IFERROR(IF(($CA88)&gt;0,($EI88)/($CA88),""),"")</f>
        <v/>
      </c>
      <c r="EY88" s="76">
        <f>IFERROR(IF(($CB88)&gt;0,($EJ88)/($CB88),""),"")</f>
        <v/>
      </c>
      <c r="EZ88" s="56">
        <f>IFERROR(IF(($BZ88)&gt;0,($EK88)/($BZ88),""),"")</f>
        <v/>
      </c>
      <c r="FA88" s="56">
        <f>IFERROR(IF(($CA88)&gt;0,($EL88)/($CA88),""),"")</f>
        <v/>
      </c>
      <c r="FB88" s="56">
        <f>IFERROR(IF(($CB88)&gt;0,($EM88)/($CB88),""),"")</f>
        <v/>
      </c>
      <c r="FC88" s="55">
        <f>IF(SUMIFS(tblPlant[GIC_oz],tblPlant[Date],$A88)&gt;0,SUMIFS(tblPlant[GIC_oz],tblPlant[Date],$A88),"")</f>
        <v/>
      </c>
      <c r="FD88" s="55">
        <f>SUMIFS(tblGold[Gold_oz],tblGold[Date],$A88,tblGold[Type],"Shipment")</f>
        <v/>
      </c>
      <c r="FE88" s="55">
        <f>IF($B88=$B87,$FE87,0)+$FD88</f>
        <v/>
      </c>
      <c r="FF88" s="55">
        <f>$FF87+$FD88</f>
        <v/>
      </c>
      <c r="FG88" s="55">
        <f>SUMIFS(tblGold[Gold_oz],tblGold[Date],$A88,tblGold[Type],"Sale")</f>
        <v/>
      </c>
      <c r="FH88" s="55">
        <f>IF($B88=$B87,$FH87,0)+$FG88</f>
        <v/>
      </c>
      <c r="FI88" s="55">
        <f>$FI87+$FG88</f>
        <v/>
      </c>
      <c r="FJ88" s="55">
        <f>SUMIFS(tblGold[Dore_kg],tblGold[Date],$A88,tblGold[Type],"Shipment")</f>
        <v/>
      </c>
      <c r="FK88" s="55">
        <f>IF($B88=$B87,$FK87,0)+$FJ88</f>
        <v/>
      </c>
      <c r="FL88" s="55">
        <f>$FL87+$FJ88</f>
        <v/>
      </c>
      <c r="FM88" s="57">
        <f>SUMIFS(tblSafety[Hours_Total],tblSafety[Date],$A88)</f>
        <v/>
      </c>
      <c r="FN88" s="57">
        <f>IF($B88=$B87,$FN87,0)+$FM88</f>
        <v/>
      </c>
      <c r="FO88" s="57">
        <f>$FO87+$FM88</f>
        <v/>
      </c>
      <c r="FP88" s="62">
        <f>SUMIFS(tblSafety[Fatality],tblSafety[Date],$A88)</f>
        <v/>
      </c>
      <c r="FQ88" s="62">
        <f>IF($B88=$B87,$FQ87,0)+$FP88</f>
        <v/>
      </c>
      <c r="FR88" s="62">
        <f>$FR87+$FP88</f>
        <v/>
      </c>
      <c r="FS88" s="62">
        <f>SUMIFS(tblSafety[LTI],tblSafety[Date],$A88)</f>
        <v/>
      </c>
      <c r="FT88" s="62">
        <f>IF($B88=$B87,$FT87,0)+$FS88</f>
        <v/>
      </c>
      <c r="FU88" s="62">
        <f>$FU87+$FS88</f>
        <v/>
      </c>
      <c r="FV88" s="62">
        <f>SUMIFS(tblSafety[RWI],tblSafety[Date],$A88)</f>
        <v/>
      </c>
      <c r="FW88" s="62">
        <f>IF($B88=$B87,$FW87,0)+$FV88</f>
        <v/>
      </c>
      <c r="FX88" s="62">
        <f>$FX87+$FV88</f>
        <v/>
      </c>
      <c r="FY88" s="62">
        <f>SUMIFS(tblSafety[MTI],tblSafety[Date],$A88)</f>
        <v/>
      </c>
      <c r="FZ88" s="62">
        <f>IF($B88=$B87,$FZ87,0)+$FY88</f>
        <v/>
      </c>
      <c r="GA88" s="62">
        <f>$GA87+$FY88</f>
        <v/>
      </c>
      <c r="GB88" s="62">
        <f>SUMIFS(tblSafety[FAI],tblSafety[Date],$A88)</f>
        <v/>
      </c>
      <c r="GC88" s="62">
        <f>IF($B88=$B87,$GC87,0)+$GB88</f>
        <v/>
      </c>
      <c r="GD88" s="62">
        <f>$GD87+$GB88</f>
        <v/>
      </c>
      <c r="GE88" s="62">
        <f>SUMIFS(tblSafety[Recordables],tblSafety[Date],$A88)</f>
        <v/>
      </c>
      <c r="GF88" s="62">
        <f>IF($B88=$B87,$GF87,0)+$GE88</f>
        <v/>
      </c>
      <c r="GG88" s="62">
        <f>$GG87+$GE88</f>
        <v/>
      </c>
      <c r="GH88" s="62">
        <f>SUMIFS(tblSafety[Near_Miss],tblSafety[Date],$A88)</f>
        <v/>
      </c>
      <c r="GI88" s="62">
        <f>IF($B88=$B87,$GI87,0)+$GH88</f>
        <v/>
      </c>
      <c r="GJ88" s="62">
        <f>$GJ87+$GH88</f>
        <v/>
      </c>
      <c r="GK88" s="62">
        <f>SUMIFS(tblSafety[Hazard_Reports],tblSafety[Date],$A88)</f>
        <v/>
      </c>
      <c r="GL88" s="62">
        <f>IF($B88=$B87,$GL87,0)+$GK88</f>
        <v/>
      </c>
      <c r="GM88" s="62">
        <f>$GM87+$GK88</f>
        <v/>
      </c>
      <c r="GN88" s="62">
        <f>SUMIFS(tblSafety[HPI],tblSafety[Date],$A88)</f>
        <v/>
      </c>
      <c r="GO88" s="62">
        <f>IF($B88=$B87,$GO87,0)+$GN88</f>
        <v/>
      </c>
      <c r="GP88" s="62">
        <f>$GP87+$GN88</f>
        <v/>
      </c>
      <c r="GQ88" s="62">
        <f>SUMIFS(tblSafety[Env_Incidents],tblSafety[Date],$A88)</f>
        <v/>
      </c>
      <c r="GR88" s="62">
        <f>IF($B88=$B87,$GR87,0)+$GQ88</f>
        <v/>
      </c>
      <c r="GS88" s="62">
        <f>$GS87+$GQ88</f>
        <v/>
      </c>
      <c r="GT88" s="62">
        <f>SUMIFS(tblSafety[Community_Incidents],tblSafety[Date],$A88)</f>
        <v/>
      </c>
      <c r="GU88" s="62">
        <f>IF($B88=$B87,$GU87,0)+$GT88</f>
        <v/>
      </c>
      <c r="GV88" s="62">
        <f>$GV87+$GT88</f>
        <v/>
      </c>
      <c r="GW88" s="62">
        <f>SUMIFS(tblSafety[Vehicle_Incidents],tblSafety[Date],$A88)</f>
        <v/>
      </c>
      <c r="GX88" s="62">
        <f>IF($B88=$B87,$GX87,0)+$GW88</f>
        <v/>
      </c>
      <c r="GY88" s="62">
        <f>$GY87+$GW88</f>
        <v/>
      </c>
      <c r="GZ88" s="62">
        <f>SUMIFS(tblSafety[Toolbox_Talks],tblSafety[Date],$A88)</f>
        <v/>
      </c>
      <c r="HA88" s="62">
        <f>IF($B88=$B87,$HA87,0)+$GZ88</f>
        <v/>
      </c>
      <c r="HB88" s="62">
        <f>$HB87+$GZ88</f>
        <v/>
      </c>
      <c r="HC88" s="62">
        <f>SUMIFS(tblSafety[Inspections],tblSafety[Date],$A88)</f>
        <v/>
      </c>
      <c r="HD88" s="62">
        <f>IF($B88=$B87,$HD87,0)+$HC88</f>
        <v/>
      </c>
      <c r="HE88" s="62">
        <f>$HE87+$HC88</f>
        <v/>
      </c>
      <c r="HF88" s="56">
        <f>IFERROR((SUMIFS(tblSafety[Recordables],tblSafety[Date],"&gt;="&amp;EDATE($E88,-12),tblSafety[Date],"&lt;="&amp;$A88)+SUMIFS(tblSafetyHistory[Recordables],tblSafetyHistory[Month],"&gt;="&amp;EDATE($E88,-12),tblSafetyHistory[Month],"&lt;"&amp;cfg_YearStart))/(SUMIFS(tblSafety[Hours_Total],tblSafety[Date],"&gt;="&amp;EDATE($E88,-12),tblSafety[Date],"&lt;="&amp;$A88)+SUMIFS(tblSafetyHistory[Hours_Total],tblSafetyHistory[Month],"&gt;="&amp;EDATE($E88,-12),tblSafetyHistory[Month],"&lt;"&amp;cfg_YearStart))*1000000,"")</f>
        <v/>
      </c>
      <c r="HG88" s="56">
        <f>IFERROR((SUMIFS(tblSafety[LTI],tblSafety[Date],"&gt;="&amp;EDATE($E88,-12),tblSafety[Date],"&lt;="&amp;$A88)+SUMIFS(tblSafetyHistory[LTI],tblSafetyHistory[Month],"&gt;="&amp;EDATE($E88,-12),tblSafetyHistory[Month],"&lt;"&amp;cfg_YearStart))/(SUMIFS(tblSafety[Hours_Total],tblSafety[Date],"&gt;="&amp;EDATE($E88,-12),tblSafety[Date],"&lt;="&amp;$A88)+SUMIFS(tblSafetyHistory[Hours_Total],tblSafetyHistory[Month],"&gt;="&amp;EDATE($E88,-12),tblSafetyHistory[Month],"&lt;"&amp;cfg_YearStart))*1000000,"")</f>
        <v/>
      </c>
      <c r="HH88" s="62">
        <f>IF(MAX(N(cfg_PriorLTIDate),_xlfn.MAXIFS(tblSafety[Date],tblSafety[LTI],"&gt;0",tblSafety[Date],"&lt;="&amp;$A88))=0,"",$A88-MAX(N(cfg_PriorLTIDate),_xlfn.MAXIFS(tblSafety[Date],tblSafety[LTI],"&gt;0",tblSafety[Date],"&lt;="&amp;$A88)))</f>
        <v/>
      </c>
      <c r="HI88" s="55">
        <f>SUMIFS(tblBudget[Ore_Mined_t],tblBudget[Month],$E88)</f>
        <v/>
      </c>
      <c r="HJ88" s="55">
        <f>$HI88*$C88/$D88</f>
        <v/>
      </c>
      <c r="HK88" s="55">
        <f>SUMIFS(tblBudget[Ore_Mined_t],tblBudget[Month],"&lt;"&amp;$E88)+$HJ88</f>
        <v/>
      </c>
      <c r="HL88" s="55">
        <f>SUMIFS(tblBudget[Ore_oz],tblBudget[Month],$E88)</f>
        <v/>
      </c>
      <c r="HM88" s="55">
        <f>$HL88*$C88/$D88</f>
        <v/>
      </c>
      <c r="HN88" s="55">
        <f>SUMIFS(tblBudget[Ore_oz],tblBudget[Month],"&lt;"&amp;$E88)+$HM88</f>
        <v/>
      </c>
      <c r="HO88" s="56">
        <f>IFERROR(IF(($HI88)&gt;0,($HL88*cfg_TroyOz)/($HI88),""),"")</f>
        <v/>
      </c>
      <c r="HP88" s="56">
        <f>IFERROR(IF(($HJ88)&gt;0,($HM88*cfg_TroyOz)/($HJ88),""),"")</f>
        <v/>
      </c>
      <c r="HQ88" s="56">
        <f>IFERROR(IF(($HK88)&gt;0,($HN88*cfg_TroyOz)/($HK88),""),"")</f>
        <v/>
      </c>
      <c r="HR88" s="55">
        <f>SUMIFS(tblBudget[Waste_t],tblBudget[Month],$E88)</f>
        <v/>
      </c>
      <c r="HS88" s="55">
        <f>$HR88*$C88/$D88</f>
        <v/>
      </c>
      <c r="HT88" s="55">
        <f>SUMIFS(tblBudget[Waste_t],tblBudget[Month],"&lt;"&amp;$E88)+$HS88</f>
        <v/>
      </c>
      <c r="HU88" s="55">
        <f>SUMIFS(tblBudget[TMM_t],tblBudget[Month],$E88)</f>
        <v/>
      </c>
      <c r="HV88" s="55">
        <f>$HU88*$C88/$D88</f>
        <v/>
      </c>
      <c r="HW88" s="55">
        <f>SUMIFS(tblBudget[TMM_t],tblBudget[Month],"&lt;"&amp;$E88)+$HV88</f>
        <v/>
      </c>
      <c r="HX88" s="56">
        <f>IFERROR(IF(($HI88)&gt;0,($HR88)/($HI88),""),"")</f>
        <v/>
      </c>
      <c r="HY88" s="56">
        <f>IFERROR(IF(($HJ88)&gt;0,($HS88)/($HJ88),""),"")</f>
        <v/>
      </c>
      <c r="HZ88" s="56">
        <f>IFERROR(IF(($HK88)&gt;0,($HT88)/($HK88),""),"")</f>
        <v/>
      </c>
      <c r="IA88" s="55">
        <f>SUMIFS(tblBudget[Drill_m],tblBudget[Month],$E88)</f>
        <v/>
      </c>
      <c r="IB88" s="55">
        <f>$IA88*$C88/$D88</f>
        <v/>
      </c>
      <c r="IC88" s="55">
        <f>SUMIFS(tblBudget[Drill_m],tblBudget[Month],"&lt;"&amp;$E88)+$IB88</f>
        <v/>
      </c>
      <c r="ID88" s="55">
        <f>SUMIFS(tblBudget[Diesel_L],tblBudget[Month],$E88)</f>
        <v/>
      </c>
      <c r="IE88" s="55">
        <f>$ID88*$C88/$D88</f>
        <v/>
      </c>
      <c r="IF88" s="55">
        <f>SUMIFS(tblBudget[Diesel_L],tblBudget[Month],"&lt;"&amp;$E88)+$IE88</f>
        <v/>
      </c>
      <c r="IG88" s="55">
        <f>SUMIFS(tblBudget[Milled_t],tblBudget[Month],$E88)</f>
        <v/>
      </c>
      <c r="IH88" s="55">
        <f>$IG88*$C88/$D88</f>
        <v/>
      </c>
      <c r="II88" s="55">
        <f>SUMIFS(tblBudget[Milled_t],tblBudget[Month],"&lt;"&amp;$E88)+$IH88</f>
        <v/>
      </c>
      <c r="IJ88" s="55">
        <f>SUMIFS(tblBudget[Feed_oz],tblBudget[Month],$E88)</f>
        <v/>
      </c>
      <c r="IK88" s="55">
        <f>$IJ88*$C88/$D88</f>
        <v/>
      </c>
      <c r="IL88" s="55">
        <f>SUMIFS(tblBudget[Feed_oz],tblBudget[Month],"&lt;"&amp;$E88)+$IK88</f>
        <v/>
      </c>
      <c r="IM88" s="55">
        <f>SUMIFS(tblBudget[Recovered_oz],tblBudget[Month],$E88)</f>
        <v/>
      </c>
      <c r="IN88" s="55">
        <f>$IM88*$C88/$D88</f>
        <v/>
      </c>
      <c r="IO88" s="55">
        <f>SUMIFS(tblBudget[Recovered_oz],tblBudget[Month],"&lt;"&amp;$E88)+$IN88</f>
        <v/>
      </c>
      <c r="IP88" s="56">
        <f>IFERROR(IF(($IG88)&gt;0,($IJ88*cfg_TroyOz)/($IG88),""),"")</f>
        <v/>
      </c>
      <c r="IQ88" s="56">
        <f>IFERROR(IF(($IH88)&gt;0,($IK88*cfg_TroyOz)/($IH88),""),"")</f>
        <v/>
      </c>
      <c r="IR88" s="56">
        <f>IFERROR(IF(($II88)&gt;0,($IL88*cfg_TroyOz)/($II88),""),"")</f>
        <v/>
      </c>
      <c r="IS88" s="67">
        <f>IFERROR(IF(($IJ88)&gt;0,($IM88)/($IJ88),""),"")</f>
        <v/>
      </c>
      <c r="IT88" s="67">
        <f>IFERROR(IF(($IK88)&gt;0,($IN88)/($IK88),""),"")</f>
        <v/>
      </c>
      <c r="IU88" s="67">
        <f>IFERROR(IF(($IL88)&gt;0,($IO88)/($IL88),""),"")</f>
        <v/>
      </c>
      <c r="IV88" s="55">
        <f>SUMIFS(tblBudget[Gold_Poured_oz],tblBudget[Month],$E88)</f>
        <v/>
      </c>
      <c r="IW88" s="55">
        <f>$IV88*$C88/$D88</f>
        <v/>
      </c>
      <c r="IX88" s="55">
        <f>SUMIFS(tblBudget[Gold_Poured_oz],tblBudget[Month],"&lt;"&amp;$E88)+$IW88</f>
        <v/>
      </c>
      <c r="IY88" s="57">
        <f>SUMIFS(tblBudget[Hours_Worked],tblBudget[Month],$E88)</f>
        <v/>
      </c>
      <c r="IZ88" s="57">
        <f>$IY88*$C88/$D88</f>
        <v/>
      </c>
      <c r="JA88" s="57">
        <f>SUMIFS(tblBudget[Hours_Worked],tblBudget[Month],"&lt;"&amp;$E88)+$IZ88</f>
        <v/>
      </c>
    </row>
    <row r="89">
      <c r="A89" s="54" t="n">
        <v>46110</v>
      </c>
      <c r="B89">
        <f>MONTH($A89)</f>
        <v/>
      </c>
      <c r="C89">
        <f>DAY($A89)</f>
        <v/>
      </c>
      <c r="D89">
        <f>DAY(EOMONTH($A89,0))</f>
        <v/>
      </c>
      <c r="E89" s="54">
        <f>DATE(YEAR($A89),MONTH($A89),1)</f>
        <v/>
      </c>
      <c r="F89" s="55">
        <f>SUMIFS(tblMovement[Tonnes_t],tblMovement[Date],$A89,tblMovement[Is_Ore],1,tblMovement[Source_Type],"Pit")</f>
        <v/>
      </c>
      <c r="G89" s="55">
        <f>IF($B89=$B88,$G88,0)+$F89</f>
        <v/>
      </c>
      <c r="H89" s="55">
        <f>$H88+$F89</f>
        <v/>
      </c>
      <c r="I89" s="55">
        <f>SUMIFS(tblMovement[Ore_oz],tblMovement[Date],$A89,tblMovement[Source_Type],"Pit")</f>
        <v/>
      </c>
      <c r="J89" s="55">
        <f>IF($B89=$B88,$J88,0)+$I89</f>
        <v/>
      </c>
      <c r="K89" s="55">
        <f>$K88+$I89</f>
        <v/>
      </c>
      <c r="L89" s="56">
        <f>IFERROR(IF(($F89)&gt;0,($I89*cfg_TroyOz)/($F89),""),"")</f>
        <v/>
      </c>
      <c r="M89" s="56">
        <f>IFERROR(IF(($G89)&gt;0,($J89*cfg_TroyOz)/($G89),""),"")</f>
        <v/>
      </c>
      <c r="N89" s="56">
        <f>IFERROR(IF(($H89)&gt;0,($K89*cfg_TroyOz)/($H89),""),"")</f>
        <v/>
      </c>
      <c r="O89" s="55">
        <f>SUMIFS(tblMovement[Tonnes_t],tblMovement[Date],$A89,tblMovement[Is_Ore],0,tblMovement[Source_Type],"Pit")</f>
        <v/>
      </c>
      <c r="P89" s="55">
        <f>IF($B89=$B88,$P88,0)+$O89</f>
        <v/>
      </c>
      <c r="Q89" s="55">
        <f>$Q88+$O89</f>
        <v/>
      </c>
      <c r="R89" s="55">
        <f>$F89+$O89</f>
        <v/>
      </c>
      <c r="S89" s="55">
        <f>IF($B89=$B88,$S88,0)+$R89</f>
        <v/>
      </c>
      <c r="T89" s="55">
        <f>$T88+$R89</f>
        <v/>
      </c>
      <c r="U89" s="56">
        <f>IFERROR(IF(($F89)&gt;0,($O89)/($F89),""),"")</f>
        <v/>
      </c>
      <c r="V89" s="56">
        <f>IFERROR(IF(($G89)&gt;0,($P89)/($G89),""),"")</f>
        <v/>
      </c>
      <c r="W89" s="56">
        <f>IFERROR(IF(($H89)&gt;0,($Q89)/($H89),""),"")</f>
        <v/>
      </c>
      <c r="X89" s="55">
        <f>SUMIFS(tblMovement[Tonnes_t],tblMovement[Date],$A89,tblMovement[Source_Type],"Stockpile")</f>
        <v/>
      </c>
      <c r="Y89" s="55">
        <f>IF($B89=$B88,$Y88,0)+$X89</f>
        <v/>
      </c>
      <c r="Z89" s="55">
        <f>$Z88+$X89</f>
        <v/>
      </c>
      <c r="AA89" s="55">
        <f>SUMIFS(tblMiningDaily[Drill_m],tblMiningDaily[Date],$A89)</f>
        <v/>
      </c>
      <c r="AB89" s="55">
        <f>IF($B89=$B88,$AB88,0)+$AA89</f>
        <v/>
      </c>
      <c r="AC89" s="55">
        <f>$AC88+$AA89</f>
        <v/>
      </c>
      <c r="AD89" s="55">
        <f>SUMIFS(tblMiningDaily[Blast_t],tblMiningDaily[Date],$A89)</f>
        <v/>
      </c>
      <c r="AE89" s="55">
        <f>IF($B89=$B88,$AE88,0)+$AD89</f>
        <v/>
      </c>
      <c r="AF89" s="55">
        <f>$AF88+$AD89</f>
        <v/>
      </c>
      <c r="AG89" s="55">
        <f>SUMIFS(tblMiningDaily[Explosives_kg],tblMiningDaily[Date],$A89)</f>
        <v/>
      </c>
      <c r="AH89" s="55">
        <f>IF($B89=$B88,$AH88,0)+$AG89</f>
        <v/>
      </c>
      <c r="AI89" s="55">
        <f>$AI88+$AG89</f>
        <v/>
      </c>
      <c r="AJ89" s="56">
        <f>IFERROR(IF(($AD89)&gt;0,($AG89)/($AD89),""),"")</f>
        <v/>
      </c>
      <c r="AK89" s="56">
        <f>IFERROR(IF(($AE89)&gt;0,($AH89)/($AE89),""),"")</f>
        <v/>
      </c>
      <c r="AL89" s="56">
        <f>IFERROR(IF(($AF89)&gt;0,($AI89)/($AF89),""),"")</f>
        <v/>
      </c>
      <c r="AM89" s="55">
        <f>SUMIFS(tblMiningDaily[Diesel_L],tblMiningDaily[Date],$A89)</f>
        <v/>
      </c>
      <c r="AN89" s="55">
        <f>IF($B89=$B88,$AN88,0)+$AM89</f>
        <v/>
      </c>
      <c r="AO89" s="55">
        <f>$AO88+$AM89</f>
        <v/>
      </c>
      <c r="AP89" s="55">
        <f>SUMIFS(tblMiningDaily[Dewatering_m3],tblMiningDaily[Date],$A89)</f>
        <v/>
      </c>
      <c r="AQ89" s="55">
        <f>IF($B89=$B88,$AQ88,0)+$AP89</f>
        <v/>
      </c>
      <c r="AR89" s="55">
        <f>$AR88+$AP89</f>
        <v/>
      </c>
      <c r="AS89" s="57">
        <f>SUMIFS(tblFleet[Calendar_h],tblFleet[Date],$A89,tblFleet[Equipment_Class],"Excavator")</f>
        <v/>
      </c>
      <c r="AT89" s="57">
        <f>IF($B89=$B88,$AT88,0)+$AS89</f>
        <v/>
      </c>
      <c r="AU89" s="57">
        <f>$AU88+$AS89</f>
        <v/>
      </c>
      <c r="AV89" s="57">
        <f>SUMIFS(tblFleet[Available_h],tblFleet[Date],$A89,tblFleet[Equipment_Class],"Excavator")</f>
        <v/>
      </c>
      <c r="AW89" s="57">
        <f>IF($B89=$B88,$AW88,0)+$AV89</f>
        <v/>
      </c>
      <c r="AX89" s="57">
        <f>$AX88+$AV89</f>
        <v/>
      </c>
      <c r="AY89" s="57">
        <f>SUMIFS(tblFleet[Operating_h],tblFleet[Date],$A89,tblFleet[Equipment_Class],"Excavator")</f>
        <v/>
      </c>
      <c r="AZ89" s="57">
        <f>IF($B89=$B88,$AZ88,0)+$AY89</f>
        <v/>
      </c>
      <c r="BA89" s="57">
        <f>$BA88+$AY89</f>
        <v/>
      </c>
      <c r="BB89" s="67">
        <f>IFERROR(IF(($AS89)&gt;0,($AV89)/($AS89),""),"")</f>
        <v/>
      </c>
      <c r="BC89" s="67">
        <f>IFERROR(IF(($AT89)&gt;0,($AW89)/($AT89),""),"")</f>
        <v/>
      </c>
      <c r="BD89" s="67">
        <f>IFERROR(IF(($AU89)&gt;0,($AX89)/($AU89),""),"")</f>
        <v/>
      </c>
      <c r="BE89" s="67">
        <f>IFERROR(IF(($AV89)&gt;0,($AY89)/($AV89),""),"")</f>
        <v/>
      </c>
      <c r="BF89" s="67">
        <f>IFERROR(IF(($AW89)&gt;0,($AZ89)/($AW89),""),"")</f>
        <v/>
      </c>
      <c r="BG89" s="67">
        <f>IFERROR(IF(($AX89)&gt;0,($BA89)/($AX89),""),"")</f>
        <v/>
      </c>
      <c r="BH89" s="57">
        <f>SUMIFS(tblFleet[Calendar_h],tblFleet[Date],$A89,tblFleet[Equipment_Class],"Haul Truck")</f>
        <v/>
      </c>
      <c r="BI89" s="57">
        <f>IF($B89=$B88,$BI88,0)+$BH89</f>
        <v/>
      </c>
      <c r="BJ89" s="57">
        <f>$BJ88+$BH89</f>
        <v/>
      </c>
      <c r="BK89" s="57">
        <f>SUMIFS(tblFleet[Available_h],tblFleet[Date],$A89,tblFleet[Equipment_Class],"Haul Truck")</f>
        <v/>
      </c>
      <c r="BL89" s="57">
        <f>IF($B89=$B88,$BL88,0)+$BK89</f>
        <v/>
      </c>
      <c r="BM89" s="57">
        <f>$BM88+$BK89</f>
        <v/>
      </c>
      <c r="BN89" s="57">
        <f>SUMIFS(tblFleet[Operating_h],tblFleet[Date],$A89,tblFleet[Equipment_Class],"Haul Truck")</f>
        <v/>
      </c>
      <c r="BO89" s="57">
        <f>IF($B89=$B88,$BO88,0)+$BN89</f>
        <v/>
      </c>
      <c r="BP89" s="57">
        <f>$BP88+$BN89</f>
        <v/>
      </c>
      <c r="BQ89" s="67">
        <f>IFERROR(IF(($BH89)&gt;0,($BK89)/($BH89),""),"")</f>
        <v/>
      </c>
      <c r="BR89" s="67">
        <f>IFERROR(IF(($BI89)&gt;0,($BL89)/($BI89),""),"")</f>
        <v/>
      </c>
      <c r="BS89" s="67">
        <f>IFERROR(IF(($BJ89)&gt;0,($BM89)/($BJ89),""),"")</f>
        <v/>
      </c>
      <c r="BT89" s="67">
        <f>IFERROR(IF(($BK89)&gt;0,($BN89)/($BK89),""),"")</f>
        <v/>
      </c>
      <c r="BU89" s="67">
        <f>IFERROR(IF(($BL89)&gt;0,($BO89)/($BL89),""),"")</f>
        <v/>
      </c>
      <c r="BV89" s="67">
        <f>IFERROR(IF(($BM89)&gt;0,($BP89)/($BM89),""),"")</f>
        <v/>
      </c>
      <c r="BW89" s="55">
        <f>SUMIFS(tblPlant[Crushed_t],tblPlant[Date],$A89)</f>
        <v/>
      </c>
      <c r="BX89" s="55">
        <f>IF($B89=$B88,$BX88,0)+$BW89</f>
        <v/>
      </c>
      <c r="BY89" s="55">
        <f>$BY88+$BW89</f>
        <v/>
      </c>
      <c r="BZ89" s="55">
        <f>SUMIFS(tblPlant[Milled_t],tblPlant[Date],$A89)</f>
        <v/>
      </c>
      <c r="CA89" s="55">
        <f>IF($B89=$B88,$CA88,0)+$BZ89</f>
        <v/>
      </c>
      <c r="CB89" s="55">
        <f>$CB88+$BZ89</f>
        <v/>
      </c>
      <c r="CC89" s="55">
        <f>SUMIFS(tblPlant[Feed_oz],tblPlant[Date],$A89)</f>
        <v/>
      </c>
      <c r="CD89" s="55">
        <f>IF($B89=$B88,$CD88,0)+$CC89</f>
        <v/>
      </c>
      <c r="CE89" s="55">
        <f>$CE88+$CC89</f>
        <v/>
      </c>
      <c r="CF89" s="55">
        <f>SUMIFS(tblPlant[Tails_oz],tblPlant[Date],$A89)</f>
        <v/>
      </c>
      <c r="CG89" s="55">
        <f>IF($B89=$B88,$CG88,0)+$CF89</f>
        <v/>
      </c>
      <c r="CH89" s="55">
        <f>$CH88+$CF89</f>
        <v/>
      </c>
      <c r="CI89" s="55">
        <f>SUMIFS(tblPlant[Recovered_oz],tblPlant[Date],$A89)</f>
        <v/>
      </c>
      <c r="CJ89" s="55">
        <f>IF($B89=$B88,$CJ88,0)+$CI89</f>
        <v/>
      </c>
      <c r="CK89" s="55">
        <f>$CK88+$CI89</f>
        <v/>
      </c>
      <c r="CL89" s="56">
        <f>IFERROR(IF(($BZ89)&gt;0,($CC89*cfg_TroyOz)/($BZ89),""),"")</f>
        <v/>
      </c>
      <c r="CM89" s="56">
        <f>IFERROR(IF(($CA89)&gt;0,($CD89*cfg_TroyOz)/($CA89),""),"")</f>
        <v/>
      </c>
      <c r="CN89" s="56">
        <f>IFERROR(IF(($CB89)&gt;0,($CE89*cfg_TroyOz)/($CB89),""),"")</f>
        <v/>
      </c>
      <c r="CO89" s="56">
        <f>IFERROR(IF(($BZ89)&gt;0,($CF89*cfg_TroyOz)/($BZ89),""),"")</f>
        <v/>
      </c>
      <c r="CP89" s="56">
        <f>IFERROR(IF(($CA89)&gt;0,($CG89*cfg_TroyOz)/($CA89),""),"")</f>
        <v/>
      </c>
      <c r="CQ89" s="56">
        <f>IFERROR(IF(($CB89)&gt;0,($CH89*cfg_TroyOz)/($CB89),""),"")</f>
        <v/>
      </c>
      <c r="CR89" s="67">
        <f>IFERROR(IF(($CC89)&gt;0,($CI89)/($CC89),""),"")</f>
        <v/>
      </c>
      <c r="CS89" s="67">
        <f>IFERROR(IF(($CD89)&gt;0,($CJ89)/($CD89),""),"")</f>
        <v/>
      </c>
      <c r="CT89" s="67">
        <f>IFERROR(IF(($CE89)&gt;0,($CK89)/($CE89),""),"")</f>
        <v/>
      </c>
      <c r="CU89" s="55">
        <f>SUMIFS(tblPlant[Gravity_Gold_oz],tblPlant[Date],$A89)</f>
        <v/>
      </c>
      <c r="CV89" s="55">
        <f>IF($B89=$B88,$CV88,0)+$CU89</f>
        <v/>
      </c>
      <c r="CW89" s="55">
        <f>$CW88+$CU89</f>
        <v/>
      </c>
      <c r="CX89" s="55">
        <f>SUMIFS(tblPlant[Gold_Poured_oz],tblPlant[Date],$A89)</f>
        <v/>
      </c>
      <c r="CY89" s="55">
        <f>IF($B89=$B88,$CY88,0)+$CX89</f>
        <v/>
      </c>
      <c r="CZ89" s="55">
        <f>$CZ88+$CX89</f>
        <v/>
      </c>
      <c r="DA89" s="57">
        <f>SUMIFS(tblPlant[Mill_Run_h],tblPlant[Date],$A89)</f>
        <v/>
      </c>
      <c r="DB89" s="57">
        <f>IF($B89=$B88,$DB88,0)+$DA89</f>
        <v/>
      </c>
      <c r="DC89" s="57">
        <f>$DC88+$DA89</f>
        <v/>
      </c>
      <c r="DD89" s="57">
        <f>SUMIFS(tblPlant[Mill_Planned_Maint_h],tblPlant[Date],$A89)</f>
        <v/>
      </c>
      <c r="DE89" s="57">
        <f>IF($B89=$B88,$DE88,0)+$DD89</f>
        <v/>
      </c>
      <c r="DF89" s="57">
        <f>$DF88+$DD89</f>
        <v/>
      </c>
      <c r="DG89" s="57">
        <f>SUMIFS(tblPlant[Mill_Unplanned_Down_h],tblPlant[Date],$A89)</f>
        <v/>
      </c>
      <c r="DH89" s="57">
        <f>IF($B89=$B88,$DH88,0)+$DG89</f>
        <v/>
      </c>
      <c r="DI89" s="57">
        <f>$DI88+$DG89</f>
        <v/>
      </c>
      <c r="DJ89" s="57">
        <f>COUNTIFS(tblPlant[Date],$A89,tblPlant[Mill_Run_h],"&lt;&gt;")*24</f>
        <v/>
      </c>
      <c r="DK89" s="57">
        <f>IF($B89=$B88,$DK88,0)+$DJ89</f>
        <v/>
      </c>
      <c r="DL89" s="57">
        <f>$DL88+$DJ89</f>
        <v/>
      </c>
      <c r="DM89" s="57">
        <f>SUMIFS(tblPlant[Crusher_Run_h],tblPlant[Date],$A89)</f>
        <v/>
      </c>
      <c r="DN89" s="57">
        <f>IF($B89=$B88,$DN88,0)+$DM89</f>
        <v/>
      </c>
      <c r="DO89" s="57">
        <f>$DO88+$DM89</f>
        <v/>
      </c>
      <c r="DP89" s="55">
        <f>IFERROR(IF(($DA89)&gt;0,($BZ89)/($DA89),""),"")</f>
        <v/>
      </c>
      <c r="DQ89" s="55">
        <f>IFERROR(IF(($DB89)&gt;0,($CA89)/($DB89),""),"")</f>
        <v/>
      </c>
      <c r="DR89" s="55">
        <f>IFERROR(IF(($DC89)&gt;0,($CB89)/($DC89),""),"")</f>
        <v/>
      </c>
      <c r="DS89" s="67">
        <f>IFERROR(IF(($DJ89)&gt;0,($DJ89-$DD89-$DG89)/($DJ89),""),"")</f>
        <v/>
      </c>
      <c r="DT89" s="67">
        <f>IFERROR(IF(($DK89)&gt;0,($DK89-$DE89-$DH89)/($DK89),""),"")</f>
        <v/>
      </c>
      <c r="DU89" s="67">
        <f>IFERROR(IF(($DL89)&gt;0,($DL89-$DF89-$DI89)/($DL89),""),"")</f>
        <v/>
      </c>
      <c r="DV89" s="67">
        <f>IFERROR(IF(($DJ89-$DD89-$DG89)&gt;0,($DA89)/($DJ89-$DD89-$DG89),""),"")</f>
        <v/>
      </c>
      <c r="DW89" s="67">
        <f>IFERROR(IF(($DK89-$DE89-$DH89)&gt;0,($DB89)/($DK89-$DE89-$DH89),""),"")</f>
        <v/>
      </c>
      <c r="DX89" s="67">
        <f>IFERROR(IF(($DL89-$DF89-$DI89)&gt;0,($DC89)/($DL89-$DF89-$DI89),""),"")</f>
        <v/>
      </c>
      <c r="DY89" s="55">
        <f>SUMIFS(tblPlant[Cyanide_kg],tblPlant[Date],$A89)</f>
        <v/>
      </c>
      <c r="DZ89" s="55">
        <f>IF($B89=$B88,$DZ88,0)+$DY89</f>
        <v/>
      </c>
      <c r="EA89" s="55">
        <f>$EA88+$DY89</f>
        <v/>
      </c>
      <c r="EB89" s="55">
        <f>SUMIFS(tblPlant[Lime_kg],tblPlant[Date],$A89)</f>
        <v/>
      </c>
      <c r="EC89" s="55">
        <f>IF($B89=$B88,$EC88,0)+$EB89</f>
        <v/>
      </c>
      <c r="ED89" s="55">
        <f>$ED88+$EB89</f>
        <v/>
      </c>
      <c r="EE89" s="55">
        <f>SUMIFS(tblPlant[Grinding_Media_kg],tblPlant[Date],$A89)</f>
        <v/>
      </c>
      <c r="EF89" s="55">
        <f>IF($B89=$B88,$EF88,0)+$EE89</f>
        <v/>
      </c>
      <c r="EG89" s="55">
        <f>$EG88+$EE89</f>
        <v/>
      </c>
      <c r="EH89" s="55">
        <f>SUMIFS(tblPlant[Power_kWh],tblPlant[Date],$A89)</f>
        <v/>
      </c>
      <c r="EI89" s="55">
        <f>IF($B89=$B88,$EI88,0)+$EH89</f>
        <v/>
      </c>
      <c r="EJ89" s="55">
        <f>$EJ88+$EH89</f>
        <v/>
      </c>
      <c r="EK89" s="55">
        <f>SUMIFS(tblPlant[Raw_Water_m3],tblPlant[Date],$A89)</f>
        <v/>
      </c>
      <c r="EL89" s="55">
        <f>IF($B89=$B88,$EL88,0)+$EK89</f>
        <v/>
      </c>
      <c r="EM89" s="55">
        <f>$EM88+$EK89</f>
        <v/>
      </c>
      <c r="EN89" s="56">
        <f>IFERROR(IF(($BZ89)&gt;0,($DY89)/($BZ89),""),"")</f>
        <v/>
      </c>
      <c r="EO89" s="56">
        <f>IFERROR(IF(($CA89)&gt;0,($DZ89)/($CA89),""),"")</f>
        <v/>
      </c>
      <c r="EP89" s="56">
        <f>IFERROR(IF(($CB89)&gt;0,($EA89)/($CB89),""),"")</f>
        <v/>
      </c>
      <c r="EQ89" s="56">
        <f>IFERROR(IF(($BZ89)&gt;0,($EB89)/($BZ89),""),"")</f>
        <v/>
      </c>
      <c r="ER89" s="56">
        <f>IFERROR(IF(($CA89)&gt;0,($EC89)/($CA89),""),"")</f>
        <v/>
      </c>
      <c r="ES89" s="56">
        <f>IFERROR(IF(($CB89)&gt;0,($ED89)/($CB89),""),"")</f>
        <v/>
      </c>
      <c r="ET89" s="56">
        <f>IFERROR(IF(($BZ89)&gt;0,($EE89)/($BZ89),""),"")</f>
        <v/>
      </c>
      <c r="EU89" s="56">
        <f>IFERROR(IF(($CA89)&gt;0,($EF89)/($CA89),""),"")</f>
        <v/>
      </c>
      <c r="EV89" s="56">
        <f>IFERROR(IF(($CB89)&gt;0,($EG89)/($CB89),""),"")</f>
        <v/>
      </c>
      <c r="EW89" s="76">
        <f>IFERROR(IF(($BZ89)&gt;0,($EH89)/($BZ89),""),"")</f>
        <v/>
      </c>
      <c r="EX89" s="76">
        <f>IFERROR(IF(($CA89)&gt;0,($EI89)/($CA89),""),"")</f>
        <v/>
      </c>
      <c r="EY89" s="76">
        <f>IFERROR(IF(($CB89)&gt;0,($EJ89)/($CB89),""),"")</f>
        <v/>
      </c>
      <c r="EZ89" s="56">
        <f>IFERROR(IF(($BZ89)&gt;0,($EK89)/($BZ89),""),"")</f>
        <v/>
      </c>
      <c r="FA89" s="56">
        <f>IFERROR(IF(($CA89)&gt;0,($EL89)/($CA89),""),"")</f>
        <v/>
      </c>
      <c r="FB89" s="56">
        <f>IFERROR(IF(($CB89)&gt;0,($EM89)/($CB89),""),"")</f>
        <v/>
      </c>
      <c r="FC89" s="55">
        <f>IF(SUMIFS(tblPlant[GIC_oz],tblPlant[Date],$A89)&gt;0,SUMIFS(tblPlant[GIC_oz],tblPlant[Date],$A89),"")</f>
        <v/>
      </c>
      <c r="FD89" s="55">
        <f>SUMIFS(tblGold[Gold_oz],tblGold[Date],$A89,tblGold[Type],"Shipment")</f>
        <v/>
      </c>
      <c r="FE89" s="55">
        <f>IF($B89=$B88,$FE88,0)+$FD89</f>
        <v/>
      </c>
      <c r="FF89" s="55">
        <f>$FF88+$FD89</f>
        <v/>
      </c>
      <c r="FG89" s="55">
        <f>SUMIFS(tblGold[Gold_oz],tblGold[Date],$A89,tblGold[Type],"Sale")</f>
        <v/>
      </c>
      <c r="FH89" s="55">
        <f>IF($B89=$B88,$FH88,0)+$FG89</f>
        <v/>
      </c>
      <c r="FI89" s="55">
        <f>$FI88+$FG89</f>
        <v/>
      </c>
      <c r="FJ89" s="55">
        <f>SUMIFS(tblGold[Dore_kg],tblGold[Date],$A89,tblGold[Type],"Shipment")</f>
        <v/>
      </c>
      <c r="FK89" s="55">
        <f>IF($B89=$B88,$FK88,0)+$FJ89</f>
        <v/>
      </c>
      <c r="FL89" s="55">
        <f>$FL88+$FJ89</f>
        <v/>
      </c>
      <c r="FM89" s="57">
        <f>SUMIFS(tblSafety[Hours_Total],tblSafety[Date],$A89)</f>
        <v/>
      </c>
      <c r="FN89" s="57">
        <f>IF($B89=$B88,$FN88,0)+$FM89</f>
        <v/>
      </c>
      <c r="FO89" s="57">
        <f>$FO88+$FM89</f>
        <v/>
      </c>
      <c r="FP89" s="62">
        <f>SUMIFS(tblSafety[Fatality],tblSafety[Date],$A89)</f>
        <v/>
      </c>
      <c r="FQ89" s="62">
        <f>IF($B89=$B88,$FQ88,0)+$FP89</f>
        <v/>
      </c>
      <c r="FR89" s="62">
        <f>$FR88+$FP89</f>
        <v/>
      </c>
      <c r="FS89" s="62">
        <f>SUMIFS(tblSafety[LTI],tblSafety[Date],$A89)</f>
        <v/>
      </c>
      <c r="FT89" s="62">
        <f>IF($B89=$B88,$FT88,0)+$FS89</f>
        <v/>
      </c>
      <c r="FU89" s="62">
        <f>$FU88+$FS89</f>
        <v/>
      </c>
      <c r="FV89" s="62">
        <f>SUMIFS(tblSafety[RWI],tblSafety[Date],$A89)</f>
        <v/>
      </c>
      <c r="FW89" s="62">
        <f>IF($B89=$B88,$FW88,0)+$FV89</f>
        <v/>
      </c>
      <c r="FX89" s="62">
        <f>$FX88+$FV89</f>
        <v/>
      </c>
      <c r="FY89" s="62">
        <f>SUMIFS(tblSafety[MTI],tblSafety[Date],$A89)</f>
        <v/>
      </c>
      <c r="FZ89" s="62">
        <f>IF($B89=$B88,$FZ88,0)+$FY89</f>
        <v/>
      </c>
      <c r="GA89" s="62">
        <f>$GA88+$FY89</f>
        <v/>
      </c>
      <c r="GB89" s="62">
        <f>SUMIFS(tblSafety[FAI],tblSafety[Date],$A89)</f>
        <v/>
      </c>
      <c r="GC89" s="62">
        <f>IF($B89=$B88,$GC88,0)+$GB89</f>
        <v/>
      </c>
      <c r="GD89" s="62">
        <f>$GD88+$GB89</f>
        <v/>
      </c>
      <c r="GE89" s="62">
        <f>SUMIFS(tblSafety[Recordables],tblSafety[Date],$A89)</f>
        <v/>
      </c>
      <c r="GF89" s="62">
        <f>IF($B89=$B88,$GF88,0)+$GE89</f>
        <v/>
      </c>
      <c r="GG89" s="62">
        <f>$GG88+$GE89</f>
        <v/>
      </c>
      <c r="GH89" s="62">
        <f>SUMIFS(tblSafety[Near_Miss],tblSafety[Date],$A89)</f>
        <v/>
      </c>
      <c r="GI89" s="62">
        <f>IF($B89=$B88,$GI88,0)+$GH89</f>
        <v/>
      </c>
      <c r="GJ89" s="62">
        <f>$GJ88+$GH89</f>
        <v/>
      </c>
      <c r="GK89" s="62">
        <f>SUMIFS(tblSafety[Hazard_Reports],tblSafety[Date],$A89)</f>
        <v/>
      </c>
      <c r="GL89" s="62">
        <f>IF($B89=$B88,$GL88,0)+$GK89</f>
        <v/>
      </c>
      <c r="GM89" s="62">
        <f>$GM88+$GK89</f>
        <v/>
      </c>
      <c r="GN89" s="62">
        <f>SUMIFS(tblSafety[HPI],tblSafety[Date],$A89)</f>
        <v/>
      </c>
      <c r="GO89" s="62">
        <f>IF($B89=$B88,$GO88,0)+$GN89</f>
        <v/>
      </c>
      <c r="GP89" s="62">
        <f>$GP88+$GN89</f>
        <v/>
      </c>
      <c r="GQ89" s="62">
        <f>SUMIFS(tblSafety[Env_Incidents],tblSafety[Date],$A89)</f>
        <v/>
      </c>
      <c r="GR89" s="62">
        <f>IF($B89=$B88,$GR88,0)+$GQ89</f>
        <v/>
      </c>
      <c r="GS89" s="62">
        <f>$GS88+$GQ89</f>
        <v/>
      </c>
      <c r="GT89" s="62">
        <f>SUMIFS(tblSafety[Community_Incidents],tblSafety[Date],$A89)</f>
        <v/>
      </c>
      <c r="GU89" s="62">
        <f>IF($B89=$B88,$GU88,0)+$GT89</f>
        <v/>
      </c>
      <c r="GV89" s="62">
        <f>$GV88+$GT89</f>
        <v/>
      </c>
      <c r="GW89" s="62">
        <f>SUMIFS(tblSafety[Vehicle_Incidents],tblSafety[Date],$A89)</f>
        <v/>
      </c>
      <c r="GX89" s="62">
        <f>IF($B89=$B88,$GX88,0)+$GW89</f>
        <v/>
      </c>
      <c r="GY89" s="62">
        <f>$GY88+$GW89</f>
        <v/>
      </c>
      <c r="GZ89" s="62">
        <f>SUMIFS(tblSafety[Toolbox_Talks],tblSafety[Date],$A89)</f>
        <v/>
      </c>
      <c r="HA89" s="62">
        <f>IF($B89=$B88,$HA88,0)+$GZ89</f>
        <v/>
      </c>
      <c r="HB89" s="62">
        <f>$HB88+$GZ89</f>
        <v/>
      </c>
      <c r="HC89" s="62">
        <f>SUMIFS(tblSafety[Inspections],tblSafety[Date],$A89)</f>
        <v/>
      </c>
      <c r="HD89" s="62">
        <f>IF($B89=$B88,$HD88,0)+$HC89</f>
        <v/>
      </c>
      <c r="HE89" s="62">
        <f>$HE88+$HC89</f>
        <v/>
      </c>
      <c r="HF89" s="56">
        <f>IFERROR((SUMIFS(tblSafety[Recordables],tblSafety[Date],"&gt;="&amp;EDATE($E89,-12),tblSafety[Date],"&lt;="&amp;$A89)+SUMIFS(tblSafetyHistory[Recordables],tblSafetyHistory[Month],"&gt;="&amp;EDATE($E89,-12),tblSafetyHistory[Month],"&lt;"&amp;cfg_YearStart))/(SUMIFS(tblSafety[Hours_Total],tblSafety[Date],"&gt;="&amp;EDATE($E89,-12),tblSafety[Date],"&lt;="&amp;$A89)+SUMIFS(tblSafetyHistory[Hours_Total],tblSafetyHistory[Month],"&gt;="&amp;EDATE($E89,-12),tblSafetyHistory[Month],"&lt;"&amp;cfg_YearStart))*1000000,"")</f>
        <v/>
      </c>
      <c r="HG89" s="56">
        <f>IFERROR((SUMIFS(tblSafety[LTI],tblSafety[Date],"&gt;="&amp;EDATE($E89,-12),tblSafety[Date],"&lt;="&amp;$A89)+SUMIFS(tblSafetyHistory[LTI],tblSafetyHistory[Month],"&gt;="&amp;EDATE($E89,-12),tblSafetyHistory[Month],"&lt;"&amp;cfg_YearStart))/(SUMIFS(tblSafety[Hours_Total],tblSafety[Date],"&gt;="&amp;EDATE($E89,-12),tblSafety[Date],"&lt;="&amp;$A89)+SUMIFS(tblSafetyHistory[Hours_Total],tblSafetyHistory[Month],"&gt;="&amp;EDATE($E89,-12),tblSafetyHistory[Month],"&lt;"&amp;cfg_YearStart))*1000000,"")</f>
        <v/>
      </c>
      <c r="HH89" s="62">
        <f>IF(MAX(N(cfg_PriorLTIDate),_xlfn.MAXIFS(tblSafety[Date],tblSafety[LTI],"&gt;0",tblSafety[Date],"&lt;="&amp;$A89))=0,"",$A89-MAX(N(cfg_PriorLTIDate),_xlfn.MAXIFS(tblSafety[Date],tblSafety[LTI],"&gt;0",tblSafety[Date],"&lt;="&amp;$A89)))</f>
        <v/>
      </c>
      <c r="HI89" s="55">
        <f>SUMIFS(tblBudget[Ore_Mined_t],tblBudget[Month],$E89)</f>
        <v/>
      </c>
      <c r="HJ89" s="55">
        <f>$HI89*$C89/$D89</f>
        <v/>
      </c>
      <c r="HK89" s="55">
        <f>SUMIFS(tblBudget[Ore_Mined_t],tblBudget[Month],"&lt;"&amp;$E89)+$HJ89</f>
        <v/>
      </c>
      <c r="HL89" s="55">
        <f>SUMIFS(tblBudget[Ore_oz],tblBudget[Month],$E89)</f>
        <v/>
      </c>
      <c r="HM89" s="55">
        <f>$HL89*$C89/$D89</f>
        <v/>
      </c>
      <c r="HN89" s="55">
        <f>SUMIFS(tblBudget[Ore_oz],tblBudget[Month],"&lt;"&amp;$E89)+$HM89</f>
        <v/>
      </c>
      <c r="HO89" s="56">
        <f>IFERROR(IF(($HI89)&gt;0,($HL89*cfg_TroyOz)/($HI89),""),"")</f>
        <v/>
      </c>
      <c r="HP89" s="56">
        <f>IFERROR(IF(($HJ89)&gt;0,($HM89*cfg_TroyOz)/($HJ89),""),"")</f>
        <v/>
      </c>
      <c r="HQ89" s="56">
        <f>IFERROR(IF(($HK89)&gt;0,($HN89*cfg_TroyOz)/($HK89),""),"")</f>
        <v/>
      </c>
      <c r="HR89" s="55">
        <f>SUMIFS(tblBudget[Waste_t],tblBudget[Month],$E89)</f>
        <v/>
      </c>
      <c r="HS89" s="55">
        <f>$HR89*$C89/$D89</f>
        <v/>
      </c>
      <c r="HT89" s="55">
        <f>SUMIFS(tblBudget[Waste_t],tblBudget[Month],"&lt;"&amp;$E89)+$HS89</f>
        <v/>
      </c>
      <c r="HU89" s="55">
        <f>SUMIFS(tblBudget[TMM_t],tblBudget[Month],$E89)</f>
        <v/>
      </c>
      <c r="HV89" s="55">
        <f>$HU89*$C89/$D89</f>
        <v/>
      </c>
      <c r="HW89" s="55">
        <f>SUMIFS(tblBudget[TMM_t],tblBudget[Month],"&lt;"&amp;$E89)+$HV89</f>
        <v/>
      </c>
      <c r="HX89" s="56">
        <f>IFERROR(IF(($HI89)&gt;0,($HR89)/($HI89),""),"")</f>
        <v/>
      </c>
      <c r="HY89" s="56">
        <f>IFERROR(IF(($HJ89)&gt;0,($HS89)/($HJ89),""),"")</f>
        <v/>
      </c>
      <c r="HZ89" s="56">
        <f>IFERROR(IF(($HK89)&gt;0,($HT89)/($HK89),""),"")</f>
        <v/>
      </c>
      <c r="IA89" s="55">
        <f>SUMIFS(tblBudget[Drill_m],tblBudget[Month],$E89)</f>
        <v/>
      </c>
      <c r="IB89" s="55">
        <f>$IA89*$C89/$D89</f>
        <v/>
      </c>
      <c r="IC89" s="55">
        <f>SUMIFS(tblBudget[Drill_m],tblBudget[Month],"&lt;"&amp;$E89)+$IB89</f>
        <v/>
      </c>
      <c r="ID89" s="55">
        <f>SUMIFS(tblBudget[Diesel_L],tblBudget[Month],$E89)</f>
        <v/>
      </c>
      <c r="IE89" s="55">
        <f>$ID89*$C89/$D89</f>
        <v/>
      </c>
      <c r="IF89" s="55">
        <f>SUMIFS(tblBudget[Diesel_L],tblBudget[Month],"&lt;"&amp;$E89)+$IE89</f>
        <v/>
      </c>
      <c r="IG89" s="55">
        <f>SUMIFS(tblBudget[Milled_t],tblBudget[Month],$E89)</f>
        <v/>
      </c>
      <c r="IH89" s="55">
        <f>$IG89*$C89/$D89</f>
        <v/>
      </c>
      <c r="II89" s="55">
        <f>SUMIFS(tblBudget[Milled_t],tblBudget[Month],"&lt;"&amp;$E89)+$IH89</f>
        <v/>
      </c>
      <c r="IJ89" s="55">
        <f>SUMIFS(tblBudget[Feed_oz],tblBudget[Month],$E89)</f>
        <v/>
      </c>
      <c r="IK89" s="55">
        <f>$IJ89*$C89/$D89</f>
        <v/>
      </c>
      <c r="IL89" s="55">
        <f>SUMIFS(tblBudget[Feed_oz],tblBudget[Month],"&lt;"&amp;$E89)+$IK89</f>
        <v/>
      </c>
      <c r="IM89" s="55">
        <f>SUMIFS(tblBudget[Recovered_oz],tblBudget[Month],$E89)</f>
        <v/>
      </c>
      <c r="IN89" s="55">
        <f>$IM89*$C89/$D89</f>
        <v/>
      </c>
      <c r="IO89" s="55">
        <f>SUMIFS(tblBudget[Recovered_oz],tblBudget[Month],"&lt;"&amp;$E89)+$IN89</f>
        <v/>
      </c>
      <c r="IP89" s="56">
        <f>IFERROR(IF(($IG89)&gt;0,($IJ89*cfg_TroyOz)/($IG89),""),"")</f>
        <v/>
      </c>
      <c r="IQ89" s="56">
        <f>IFERROR(IF(($IH89)&gt;0,($IK89*cfg_TroyOz)/($IH89),""),"")</f>
        <v/>
      </c>
      <c r="IR89" s="56">
        <f>IFERROR(IF(($II89)&gt;0,($IL89*cfg_TroyOz)/($II89),""),"")</f>
        <v/>
      </c>
      <c r="IS89" s="67">
        <f>IFERROR(IF(($IJ89)&gt;0,($IM89)/($IJ89),""),"")</f>
        <v/>
      </c>
      <c r="IT89" s="67">
        <f>IFERROR(IF(($IK89)&gt;0,($IN89)/($IK89),""),"")</f>
        <v/>
      </c>
      <c r="IU89" s="67">
        <f>IFERROR(IF(($IL89)&gt;0,($IO89)/($IL89),""),"")</f>
        <v/>
      </c>
      <c r="IV89" s="55">
        <f>SUMIFS(tblBudget[Gold_Poured_oz],tblBudget[Month],$E89)</f>
        <v/>
      </c>
      <c r="IW89" s="55">
        <f>$IV89*$C89/$D89</f>
        <v/>
      </c>
      <c r="IX89" s="55">
        <f>SUMIFS(tblBudget[Gold_Poured_oz],tblBudget[Month],"&lt;"&amp;$E89)+$IW89</f>
        <v/>
      </c>
      <c r="IY89" s="57">
        <f>SUMIFS(tblBudget[Hours_Worked],tblBudget[Month],$E89)</f>
        <v/>
      </c>
      <c r="IZ89" s="57">
        <f>$IY89*$C89/$D89</f>
        <v/>
      </c>
      <c r="JA89" s="57">
        <f>SUMIFS(tblBudget[Hours_Worked],tblBudget[Month],"&lt;"&amp;$E89)+$IZ89</f>
        <v/>
      </c>
    </row>
    <row r="90">
      <c r="A90" s="54" t="n">
        <v>46111</v>
      </c>
      <c r="B90">
        <f>MONTH($A90)</f>
        <v/>
      </c>
      <c r="C90">
        <f>DAY($A90)</f>
        <v/>
      </c>
      <c r="D90">
        <f>DAY(EOMONTH($A90,0))</f>
        <v/>
      </c>
      <c r="E90" s="54">
        <f>DATE(YEAR($A90),MONTH($A90),1)</f>
        <v/>
      </c>
      <c r="F90" s="55">
        <f>SUMIFS(tblMovement[Tonnes_t],tblMovement[Date],$A90,tblMovement[Is_Ore],1,tblMovement[Source_Type],"Pit")</f>
        <v/>
      </c>
      <c r="G90" s="55">
        <f>IF($B90=$B89,$G89,0)+$F90</f>
        <v/>
      </c>
      <c r="H90" s="55">
        <f>$H89+$F90</f>
        <v/>
      </c>
      <c r="I90" s="55">
        <f>SUMIFS(tblMovement[Ore_oz],tblMovement[Date],$A90,tblMovement[Source_Type],"Pit")</f>
        <v/>
      </c>
      <c r="J90" s="55">
        <f>IF($B90=$B89,$J89,0)+$I90</f>
        <v/>
      </c>
      <c r="K90" s="55">
        <f>$K89+$I90</f>
        <v/>
      </c>
      <c r="L90" s="56">
        <f>IFERROR(IF(($F90)&gt;0,($I90*cfg_TroyOz)/($F90),""),"")</f>
        <v/>
      </c>
      <c r="M90" s="56">
        <f>IFERROR(IF(($G90)&gt;0,($J90*cfg_TroyOz)/($G90),""),"")</f>
        <v/>
      </c>
      <c r="N90" s="56">
        <f>IFERROR(IF(($H90)&gt;0,($K90*cfg_TroyOz)/($H90),""),"")</f>
        <v/>
      </c>
      <c r="O90" s="55">
        <f>SUMIFS(tblMovement[Tonnes_t],tblMovement[Date],$A90,tblMovement[Is_Ore],0,tblMovement[Source_Type],"Pit")</f>
        <v/>
      </c>
      <c r="P90" s="55">
        <f>IF($B90=$B89,$P89,0)+$O90</f>
        <v/>
      </c>
      <c r="Q90" s="55">
        <f>$Q89+$O90</f>
        <v/>
      </c>
      <c r="R90" s="55">
        <f>$F90+$O90</f>
        <v/>
      </c>
      <c r="S90" s="55">
        <f>IF($B90=$B89,$S89,0)+$R90</f>
        <v/>
      </c>
      <c r="T90" s="55">
        <f>$T89+$R90</f>
        <v/>
      </c>
      <c r="U90" s="56">
        <f>IFERROR(IF(($F90)&gt;0,($O90)/($F90),""),"")</f>
        <v/>
      </c>
      <c r="V90" s="56">
        <f>IFERROR(IF(($G90)&gt;0,($P90)/($G90),""),"")</f>
        <v/>
      </c>
      <c r="W90" s="56">
        <f>IFERROR(IF(($H90)&gt;0,($Q90)/($H90),""),"")</f>
        <v/>
      </c>
      <c r="X90" s="55">
        <f>SUMIFS(tblMovement[Tonnes_t],tblMovement[Date],$A90,tblMovement[Source_Type],"Stockpile")</f>
        <v/>
      </c>
      <c r="Y90" s="55">
        <f>IF($B90=$B89,$Y89,0)+$X90</f>
        <v/>
      </c>
      <c r="Z90" s="55">
        <f>$Z89+$X90</f>
        <v/>
      </c>
      <c r="AA90" s="55">
        <f>SUMIFS(tblMiningDaily[Drill_m],tblMiningDaily[Date],$A90)</f>
        <v/>
      </c>
      <c r="AB90" s="55">
        <f>IF($B90=$B89,$AB89,0)+$AA90</f>
        <v/>
      </c>
      <c r="AC90" s="55">
        <f>$AC89+$AA90</f>
        <v/>
      </c>
      <c r="AD90" s="55">
        <f>SUMIFS(tblMiningDaily[Blast_t],tblMiningDaily[Date],$A90)</f>
        <v/>
      </c>
      <c r="AE90" s="55">
        <f>IF($B90=$B89,$AE89,0)+$AD90</f>
        <v/>
      </c>
      <c r="AF90" s="55">
        <f>$AF89+$AD90</f>
        <v/>
      </c>
      <c r="AG90" s="55">
        <f>SUMIFS(tblMiningDaily[Explosives_kg],tblMiningDaily[Date],$A90)</f>
        <v/>
      </c>
      <c r="AH90" s="55">
        <f>IF($B90=$B89,$AH89,0)+$AG90</f>
        <v/>
      </c>
      <c r="AI90" s="55">
        <f>$AI89+$AG90</f>
        <v/>
      </c>
      <c r="AJ90" s="56">
        <f>IFERROR(IF(($AD90)&gt;0,($AG90)/($AD90),""),"")</f>
        <v/>
      </c>
      <c r="AK90" s="56">
        <f>IFERROR(IF(($AE90)&gt;0,($AH90)/($AE90),""),"")</f>
        <v/>
      </c>
      <c r="AL90" s="56">
        <f>IFERROR(IF(($AF90)&gt;0,($AI90)/($AF90),""),"")</f>
        <v/>
      </c>
      <c r="AM90" s="55">
        <f>SUMIFS(tblMiningDaily[Diesel_L],tblMiningDaily[Date],$A90)</f>
        <v/>
      </c>
      <c r="AN90" s="55">
        <f>IF($B90=$B89,$AN89,0)+$AM90</f>
        <v/>
      </c>
      <c r="AO90" s="55">
        <f>$AO89+$AM90</f>
        <v/>
      </c>
      <c r="AP90" s="55">
        <f>SUMIFS(tblMiningDaily[Dewatering_m3],tblMiningDaily[Date],$A90)</f>
        <v/>
      </c>
      <c r="AQ90" s="55">
        <f>IF($B90=$B89,$AQ89,0)+$AP90</f>
        <v/>
      </c>
      <c r="AR90" s="55">
        <f>$AR89+$AP90</f>
        <v/>
      </c>
      <c r="AS90" s="57">
        <f>SUMIFS(tblFleet[Calendar_h],tblFleet[Date],$A90,tblFleet[Equipment_Class],"Excavator")</f>
        <v/>
      </c>
      <c r="AT90" s="57">
        <f>IF($B90=$B89,$AT89,0)+$AS90</f>
        <v/>
      </c>
      <c r="AU90" s="57">
        <f>$AU89+$AS90</f>
        <v/>
      </c>
      <c r="AV90" s="57">
        <f>SUMIFS(tblFleet[Available_h],tblFleet[Date],$A90,tblFleet[Equipment_Class],"Excavator")</f>
        <v/>
      </c>
      <c r="AW90" s="57">
        <f>IF($B90=$B89,$AW89,0)+$AV90</f>
        <v/>
      </c>
      <c r="AX90" s="57">
        <f>$AX89+$AV90</f>
        <v/>
      </c>
      <c r="AY90" s="57">
        <f>SUMIFS(tblFleet[Operating_h],tblFleet[Date],$A90,tblFleet[Equipment_Class],"Excavator")</f>
        <v/>
      </c>
      <c r="AZ90" s="57">
        <f>IF($B90=$B89,$AZ89,0)+$AY90</f>
        <v/>
      </c>
      <c r="BA90" s="57">
        <f>$BA89+$AY90</f>
        <v/>
      </c>
      <c r="BB90" s="67">
        <f>IFERROR(IF(($AS90)&gt;0,($AV90)/($AS90),""),"")</f>
        <v/>
      </c>
      <c r="BC90" s="67">
        <f>IFERROR(IF(($AT90)&gt;0,($AW90)/($AT90),""),"")</f>
        <v/>
      </c>
      <c r="BD90" s="67">
        <f>IFERROR(IF(($AU90)&gt;0,($AX90)/($AU90),""),"")</f>
        <v/>
      </c>
      <c r="BE90" s="67">
        <f>IFERROR(IF(($AV90)&gt;0,($AY90)/($AV90),""),"")</f>
        <v/>
      </c>
      <c r="BF90" s="67">
        <f>IFERROR(IF(($AW90)&gt;0,($AZ90)/($AW90),""),"")</f>
        <v/>
      </c>
      <c r="BG90" s="67">
        <f>IFERROR(IF(($AX90)&gt;0,($BA90)/($AX90),""),"")</f>
        <v/>
      </c>
      <c r="BH90" s="57">
        <f>SUMIFS(tblFleet[Calendar_h],tblFleet[Date],$A90,tblFleet[Equipment_Class],"Haul Truck")</f>
        <v/>
      </c>
      <c r="BI90" s="57">
        <f>IF($B90=$B89,$BI89,0)+$BH90</f>
        <v/>
      </c>
      <c r="BJ90" s="57">
        <f>$BJ89+$BH90</f>
        <v/>
      </c>
      <c r="BK90" s="57">
        <f>SUMIFS(tblFleet[Available_h],tblFleet[Date],$A90,tblFleet[Equipment_Class],"Haul Truck")</f>
        <v/>
      </c>
      <c r="BL90" s="57">
        <f>IF($B90=$B89,$BL89,0)+$BK90</f>
        <v/>
      </c>
      <c r="BM90" s="57">
        <f>$BM89+$BK90</f>
        <v/>
      </c>
      <c r="BN90" s="57">
        <f>SUMIFS(tblFleet[Operating_h],tblFleet[Date],$A90,tblFleet[Equipment_Class],"Haul Truck")</f>
        <v/>
      </c>
      <c r="BO90" s="57">
        <f>IF($B90=$B89,$BO89,0)+$BN90</f>
        <v/>
      </c>
      <c r="BP90" s="57">
        <f>$BP89+$BN90</f>
        <v/>
      </c>
      <c r="BQ90" s="67">
        <f>IFERROR(IF(($BH90)&gt;0,($BK90)/($BH90),""),"")</f>
        <v/>
      </c>
      <c r="BR90" s="67">
        <f>IFERROR(IF(($BI90)&gt;0,($BL90)/($BI90),""),"")</f>
        <v/>
      </c>
      <c r="BS90" s="67">
        <f>IFERROR(IF(($BJ90)&gt;0,($BM90)/($BJ90),""),"")</f>
        <v/>
      </c>
      <c r="BT90" s="67">
        <f>IFERROR(IF(($BK90)&gt;0,($BN90)/($BK90),""),"")</f>
        <v/>
      </c>
      <c r="BU90" s="67">
        <f>IFERROR(IF(($BL90)&gt;0,($BO90)/($BL90),""),"")</f>
        <v/>
      </c>
      <c r="BV90" s="67">
        <f>IFERROR(IF(($BM90)&gt;0,($BP90)/($BM90),""),"")</f>
        <v/>
      </c>
      <c r="BW90" s="55">
        <f>SUMIFS(tblPlant[Crushed_t],tblPlant[Date],$A90)</f>
        <v/>
      </c>
      <c r="BX90" s="55">
        <f>IF($B90=$B89,$BX89,0)+$BW90</f>
        <v/>
      </c>
      <c r="BY90" s="55">
        <f>$BY89+$BW90</f>
        <v/>
      </c>
      <c r="BZ90" s="55">
        <f>SUMIFS(tblPlant[Milled_t],tblPlant[Date],$A90)</f>
        <v/>
      </c>
      <c r="CA90" s="55">
        <f>IF($B90=$B89,$CA89,0)+$BZ90</f>
        <v/>
      </c>
      <c r="CB90" s="55">
        <f>$CB89+$BZ90</f>
        <v/>
      </c>
      <c r="CC90" s="55">
        <f>SUMIFS(tblPlant[Feed_oz],tblPlant[Date],$A90)</f>
        <v/>
      </c>
      <c r="CD90" s="55">
        <f>IF($B90=$B89,$CD89,0)+$CC90</f>
        <v/>
      </c>
      <c r="CE90" s="55">
        <f>$CE89+$CC90</f>
        <v/>
      </c>
      <c r="CF90" s="55">
        <f>SUMIFS(tblPlant[Tails_oz],tblPlant[Date],$A90)</f>
        <v/>
      </c>
      <c r="CG90" s="55">
        <f>IF($B90=$B89,$CG89,0)+$CF90</f>
        <v/>
      </c>
      <c r="CH90" s="55">
        <f>$CH89+$CF90</f>
        <v/>
      </c>
      <c r="CI90" s="55">
        <f>SUMIFS(tblPlant[Recovered_oz],tblPlant[Date],$A90)</f>
        <v/>
      </c>
      <c r="CJ90" s="55">
        <f>IF($B90=$B89,$CJ89,0)+$CI90</f>
        <v/>
      </c>
      <c r="CK90" s="55">
        <f>$CK89+$CI90</f>
        <v/>
      </c>
      <c r="CL90" s="56">
        <f>IFERROR(IF(($BZ90)&gt;0,($CC90*cfg_TroyOz)/($BZ90),""),"")</f>
        <v/>
      </c>
      <c r="CM90" s="56">
        <f>IFERROR(IF(($CA90)&gt;0,($CD90*cfg_TroyOz)/($CA90),""),"")</f>
        <v/>
      </c>
      <c r="CN90" s="56">
        <f>IFERROR(IF(($CB90)&gt;0,($CE90*cfg_TroyOz)/($CB90),""),"")</f>
        <v/>
      </c>
      <c r="CO90" s="56">
        <f>IFERROR(IF(($BZ90)&gt;0,($CF90*cfg_TroyOz)/($BZ90),""),"")</f>
        <v/>
      </c>
      <c r="CP90" s="56">
        <f>IFERROR(IF(($CA90)&gt;0,($CG90*cfg_TroyOz)/($CA90),""),"")</f>
        <v/>
      </c>
      <c r="CQ90" s="56">
        <f>IFERROR(IF(($CB90)&gt;0,($CH90*cfg_TroyOz)/($CB90),""),"")</f>
        <v/>
      </c>
      <c r="CR90" s="67">
        <f>IFERROR(IF(($CC90)&gt;0,($CI90)/($CC90),""),"")</f>
        <v/>
      </c>
      <c r="CS90" s="67">
        <f>IFERROR(IF(($CD90)&gt;0,($CJ90)/($CD90),""),"")</f>
        <v/>
      </c>
      <c r="CT90" s="67">
        <f>IFERROR(IF(($CE90)&gt;0,($CK90)/($CE90),""),"")</f>
        <v/>
      </c>
      <c r="CU90" s="55">
        <f>SUMIFS(tblPlant[Gravity_Gold_oz],tblPlant[Date],$A90)</f>
        <v/>
      </c>
      <c r="CV90" s="55">
        <f>IF($B90=$B89,$CV89,0)+$CU90</f>
        <v/>
      </c>
      <c r="CW90" s="55">
        <f>$CW89+$CU90</f>
        <v/>
      </c>
      <c r="CX90" s="55">
        <f>SUMIFS(tblPlant[Gold_Poured_oz],tblPlant[Date],$A90)</f>
        <v/>
      </c>
      <c r="CY90" s="55">
        <f>IF($B90=$B89,$CY89,0)+$CX90</f>
        <v/>
      </c>
      <c r="CZ90" s="55">
        <f>$CZ89+$CX90</f>
        <v/>
      </c>
      <c r="DA90" s="57">
        <f>SUMIFS(tblPlant[Mill_Run_h],tblPlant[Date],$A90)</f>
        <v/>
      </c>
      <c r="DB90" s="57">
        <f>IF($B90=$B89,$DB89,0)+$DA90</f>
        <v/>
      </c>
      <c r="DC90" s="57">
        <f>$DC89+$DA90</f>
        <v/>
      </c>
      <c r="DD90" s="57">
        <f>SUMIFS(tblPlant[Mill_Planned_Maint_h],tblPlant[Date],$A90)</f>
        <v/>
      </c>
      <c r="DE90" s="57">
        <f>IF($B90=$B89,$DE89,0)+$DD90</f>
        <v/>
      </c>
      <c r="DF90" s="57">
        <f>$DF89+$DD90</f>
        <v/>
      </c>
      <c r="DG90" s="57">
        <f>SUMIFS(tblPlant[Mill_Unplanned_Down_h],tblPlant[Date],$A90)</f>
        <v/>
      </c>
      <c r="DH90" s="57">
        <f>IF($B90=$B89,$DH89,0)+$DG90</f>
        <v/>
      </c>
      <c r="DI90" s="57">
        <f>$DI89+$DG90</f>
        <v/>
      </c>
      <c r="DJ90" s="57">
        <f>COUNTIFS(tblPlant[Date],$A90,tblPlant[Mill_Run_h],"&lt;&gt;")*24</f>
        <v/>
      </c>
      <c r="DK90" s="57">
        <f>IF($B90=$B89,$DK89,0)+$DJ90</f>
        <v/>
      </c>
      <c r="DL90" s="57">
        <f>$DL89+$DJ90</f>
        <v/>
      </c>
      <c r="DM90" s="57">
        <f>SUMIFS(tblPlant[Crusher_Run_h],tblPlant[Date],$A90)</f>
        <v/>
      </c>
      <c r="DN90" s="57">
        <f>IF($B90=$B89,$DN89,0)+$DM90</f>
        <v/>
      </c>
      <c r="DO90" s="57">
        <f>$DO89+$DM90</f>
        <v/>
      </c>
      <c r="DP90" s="55">
        <f>IFERROR(IF(($DA90)&gt;0,($BZ90)/($DA90),""),"")</f>
        <v/>
      </c>
      <c r="DQ90" s="55">
        <f>IFERROR(IF(($DB90)&gt;0,($CA90)/($DB90),""),"")</f>
        <v/>
      </c>
      <c r="DR90" s="55">
        <f>IFERROR(IF(($DC90)&gt;0,($CB90)/($DC90),""),"")</f>
        <v/>
      </c>
      <c r="DS90" s="67">
        <f>IFERROR(IF(($DJ90)&gt;0,($DJ90-$DD90-$DG90)/($DJ90),""),"")</f>
        <v/>
      </c>
      <c r="DT90" s="67">
        <f>IFERROR(IF(($DK90)&gt;0,($DK90-$DE90-$DH90)/($DK90),""),"")</f>
        <v/>
      </c>
      <c r="DU90" s="67">
        <f>IFERROR(IF(($DL90)&gt;0,($DL90-$DF90-$DI90)/($DL90),""),"")</f>
        <v/>
      </c>
      <c r="DV90" s="67">
        <f>IFERROR(IF(($DJ90-$DD90-$DG90)&gt;0,($DA90)/($DJ90-$DD90-$DG90),""),"")</f>
        <v/>
      </c>
      <c r="DW90" s="67">
        <f>IFERROR(IF(($DK90-$DE90-$DH90)&gt;0,($DB90)/($DK90-$DE90-$DH90),""),"")</f>
        <v/>
      </c>
      <c r="DX90" s="67">
        <f>IFERROR(IF(($DL90-$DF90-$DI90)&gt;0,($DC90)/($DL90-$DF90-$DI90),""),"")</f>
        <v/>
      </c>
      <c r="DY90" s="55">
        <f>SUMIFS(tblPlant[Cyanide_kg],tblPlant[Date],$A90)</f>
        <v/>
      </c>
      <c r="DZ90" s="55">
        <f>IF($B90=$B89,$DZ89,0)+$DY90</f>
        <v/>
      </c>
      <c r="EA90" s="55">
        <f>$EA89+$DY90</f>
        <v/>
      </c>
      <c r="EB90" s="55">
        <f>SUMIFS(tblPlant[Lime_kg],tblPlant[Date],$A90)</f>
        <v/>
      </c>
      <c r="EC90" s="55">
        <f>IF($B90=$B89,$EC89,0)+$EB90</f>
        <v/>
      </c>
      <c r="ED90" s="55">
        <f>$ED89+$EB90</f>
        <v/>
      </c>
      <c r="EE90" s="55">
        <f>SUMIFS(tblPlant[Grinding_Media_kg],tblPlant[Date],$A90)</f>
        <v/>
      </c>
      <c r="EF90" s="55">
        <f>IF($B90=$B89,$EF89,0)+$EE90</f>
        <v/>
      </c>
      <c r="EG90" s="55">
        <f>$EG89+$EE90</f>
        <v/>
      </c>
      <c r="EH90" s="55">
        <f>SUMIFS(tblPlant[Power_kWh],tblPlant[Date],$A90)</f>
        <v/>
      </c>
      <c r="EI90" s="55">
        <f>IF($B90=$B89,$EI89,0)+$EH90</f>
        <v/>
      </c>
      <c r="EJ90" s="55">
        <f>$EJ89+$EH90</f>
        <v/>
      </c>
      <c r="EK90" s="55">
        <f>SUMIFS(tblPlant[Raw_Water_m3],tblPlant[Date],$A90)</f>
        <v/>
      </c>
      <c r="EL90" s="55">
        <f>IF($B90=$B89,$EL89,0)+$EK90</f>
        <v/>
      </c>
      <c r="EM90" s="55">
        <f>$EM89+$EK90</f>
        <v/>
      </c>
      <c r="EN90" s="56">
        <f>IFERROR(IF(($BZ90)&gt;0,($DY90)/($BZ90),""),"")</f>
        <v/>
      </c>
      <c r="EO90" s="56">
        <f>IFERROR(IF(($CA90)&gt;0,($DZ90)/($CA90),""),"")</f>
        <v/>
      </c>
      <c r="EP90" s="56">
        <f>IFERROR(IF(($CB90)&gt;0,($EA90)/($CB90),""),"")</f>
        <v/>
      </c>
      <c r="EQ90" s="56">
        <f>IFERROR(IF(($BZ90)&gt;0,($EB90)/($BZ90),""),"")</f>
        <v/>
      </c>
      <c r="ER90" s="56">
        <f>IFERROR(IF(($CA90)&gt;0,($EC90)/($CA90),""),"")</f>
        <v/>
      </c>
      <c r="ES90" s="56">
        <f>IFERROR(IF(($CB90)&gt;0,($ED90)/($CB90),""),"")</f>
        <v/>
      </c>
      <c r="ET90" s="56">
        <f>IFERROR(IF(($BZ90)&gt;0,($EE90)/($BZ90),""),"")</f>
        <v/>
      </c>
      <c r="EU90" s="56">
        <f>IFERROR(IF(($CA90)&gt;0,($EF90)/($CA90),""),"")</f>
        <v/>
      </c>
      <c r="EV90" s="56">
        <f>IFERROR(IF(($CB90)&gt;0,($EG90)/($CB90),""),"")</f>
        <v/>
      </c>
      <c r="EW90" s="76">
        <f>IFERROR(IF(($BZ90)&gt;0,($EH90)/($BZ90),""),"")</f>
        <v/>
      </c>
      <c r="EX90" s="76">
        <f>IFERROR(IF(($CA90)&gt;0,($EI90)/($CA90),""),"")</f>
        <v/>
      </c>
      <c r="EY90" s="76">
        <f>IFERROR(IF(($CB90)&gt;0,($EJ90)/($CB90),""),"")</f>
        <v/>
      </c>
      <c r="EZ90" s="56">
        <f>IFERROR(IF(($BZ90)&gt;0,($EK90)/($BZ90),""),"")</f>
        <v/>
      </c>
      <c r="FA90" s="56">
        <f>IFERROR(IF(($CA90)&gt;0,($EL90)/($CA90),""),"")</f>
        <v/>
      </c>
      <c r="FB90" s="56">
        <f>IFERROR(IF(($CB90)&gt;0,($EM90)/($CB90),""),"")</f>
        <v/>
      </c>
      <c r="FC90" s="55">
        <f>IF(SUMIFS(tblPlant[GIC_oz],tblPlant[Date],$A90)&gt;0,SUMIFS(tblPlant[GIC_oz],tblPlant[Date],$A90),"")</f>
        <v/>
      </c>
      <c r="FD90" s="55">
        <f>SUMIFS(tblGold[Gold_oz],tblGold[Date],$A90,tblGold[Type],"Shipment")</f>
        <v/>
      </c>
      <c r="FE90" s="55">
        <f>IF($B90=$B89,$FE89,0)+$FD90</f>
        <v/>
      </c>
      <c r="FF90" s="55">
        <f>$FF89+$FD90</f>
        <v/>
      </c>
      <c r="FG90" s="55">
        <f>SUMIFS(tblGold[Gold_oz],tblGold[Date],$A90,tblGold[Type],"Sale")</f>
        <v/>
      </c>
      <c r="FH90" s="55">
        <f>IF($B90=$B89,$FH89,0)+$FG90</f>
        <v/>
      </c>
      <c r="FI90" s="55">
        <f>$FI89+$FG90</f>
        <v/>
      </c>
      <c r="FJ90" s="55">
        <f>SUMIFS(tblGold[Dore_kg],tblGold[Date],$A90,tblGold[Type],"Shipment")</f>
        <v/>
      </c>
      <c r="FK90" s="55">
        <f>IF($B90=$B89,$FK89,0)+$FJ90</f>
        <v/>
      </c>
      <c r="FL90" s="55">
        <f>$FL89+$FJ90</f>
        <v/>
      </c>
      <c r="FM90" s="57">
        <f>SUMIFS(tblSafety[Hours_Total],tblSafety[Date],$A90)</f>
        <v/>
      </c>
      <c r="FN90" s="57">
        <f>IF($B90=$B89,$FN89,0)+$FM90</f>
        <v/>
      </c>
      <c r="FO90" s="57">
        <f>$FO89+$FM90</f>
        <v/>
      </c>
      <c r="FP90" s="62">
        <f>SUMIFS(tblSafety[Fatality],tblSafety[Date],$A90)</f>
        <v/>
      </c>
      <c r="FQ90" s="62">
        <f>IF($B90=$B89,$FQ89,0)+$FP90</f>
        <v/>
      </c>
      <c r="FR90" s="62">
        <f>$FR89+$FP90</f>
        <v/>
      </c>
      <c r="FS90" s="62">
        <f>SUMIFS(tblSafety[LTI],tblSafety[Date],$A90)</f>
        <v/>
      </c>
      <c r="FT90" s="62">
        <f>IF($B90=$B89,$FT89,0)+$FS90</f>
        <v/>
      </c>
      <c r="FU90" s="62">
        <f>$FU89+$FS90</f>
        <v/>
      </c>
      <c r="FV90" s="62">
        <f>SUMIFS(tblSafety[RWI],tblSafety[Date],$A90)</f>
        <v/>
      </c>
      <c r="FW90" s="62">
        <f>IF($B90=$B89,$FW89,0)+$FV90</f>
        <v/>
      </c>
      <c r="FX90" s="62">
        <f>$FX89+$FV90</f>
        <v/>
      </c>
      <c r="FY90" s="62">
        <f>SUMIFS(tblSafety[MTI],tblSafety[Date],$A90)</f>
        <v/>
      </c>
      <c r="FZ90" s="62">
        <f>IF($B90=$B89,$FZ89,0)+$FY90</f>
        <v/>
      </c>
      <c r="GA90" s="62">
        <f>$GA89+$FY90</f>
        <v/>
      </c>
      <c r="GB90" s="62">
        <f>SUMIFS(tblSafety[FAI],tblSafety[Date],$A90)</f>
        <v/>
      </c>
      <c r="GC90" s="62">
        <f>IF($B90=$B89,$GC89,0)+$GB90</f>
        <v/>
      </c>
      <c r="GD90" s="62">
        <f>$GD89+$GB90</f>
        <v/>
      </c>
      <c r="GE90" s="62">
        <f>SUMIFS(tblSafety[Recordables],tblSafety[Date],$A90)</f>
        <v/>
      </c>
      <c r="GF90" s="62">
        <f>IF($B90=$B89,$GF89,0)+$GE90</f>
        <v/>
      </c>
      <c r="GG90" s="62">
        <f>$GG89+$GE90</f>
        <v/>
      </c>
      <c r="GH90" s="62">
        <f>SUMIFS(tblSafety[Near_Miss],tblSafety[Date],$A90)</f>
        <v/>
      </c>
      <c r="GI90" s="62">
        <f>IF($B90=$B89,$GI89,0)+$GH90</f>
        <v/>
      </c>
      <c r="GJ90" s="62">
        <f>$GJ89+$GH90</f>
        <v/>
      </c>
      <c r="GK90" s="62">
        <f>SUMIFS(tblSafety[Hazard_Reports],tblSafety[Date],$A90)</f>
        <v/>
      </c>
      <c r="GL90" s="62">
        <f>IF($B90=$B89,$GL89,0)+$GK90</f>
        <v/>
      </c>
      <c r="GM90" s="62">
        <f>$GM89+$GK90</f>
        <v/>
      </c>
      <c r="GN90" s="62">
        <f>SUMIFS(tblSafety[HPI],tblSafety[Date],$A90)</f>
        <v/>
      </c>
      <c r="GO90" s="62">
        <f>IF($B90=$B89,$GO89,0)+$GN90</f>
        <v/>
      </c>
      <c r="GP90" s="62">
        <f>$GP89+$GN90</f>
        <v/>
      </c>
      <c r="GQ90" s="62">
        <f>SUMIFS(tblSafety[Env_Incidents],tblSafety[Date],$A90)</f>
        <v/>
      </c>
      <c r="GR90" s="62">
        <f>IF($B90=$B89,$GR89,0)+$GQ90</f>
        <v/>
      </c>
      <c r="GS90" s="62">
        <f>$GS89+$GQ90</f>
        <v/>
      </c>
      <c r="GT90" s="62">
        <f>SUMIFS(tblSafety[Community_Incidents],tblSafety[Date],$A90)</f>
        <v/>
      </c>
      <c r="GU90" s="62">
        <f>IF($B90=$B89,$GU89,0)+$GT90</f>
        <v/>
      </c>
      <c r="GV90" s="62">
        <f>$GV89+$GT90</f>
        <v/>
      </c>
      <c r="GW90" s="62">
        <f>SUMIFS(tblSafety[Vehicle_Incidents],tblSafety[Date],$A90)</f>
        <v/>
      </c>
      <c r="GX90" s="62">
        <f>IF($B90=$B89,$GX89,0)+$GW90</f>
        <v/>
      </c>
      <c r="GY90" s="62">
        <f>$GY89+$GW90</f>
        <v/>
      </c>
      <c r="GZ90" s="62">
        <f>SUMIFS(tblSafety[Toolbox_Talks],tblSafety[Date],$A90)</f>
        <v/>
      </c>
      <c r="HA90" s="62">
        <f>IF($B90=$B89,$HA89,0)+$GZ90</f>
        <v/>
      </c>
      <c r="HB90" s="62">
        <f>$HB89+$GZ90</f>
        <v/>
      </c>
      <c r="HC90" s="62">
        <f>SUMIFS(tblSafety[Inspections],tblSafety[Date],$A90)</f>
        <v/>
      </c>
      <c r="HD90" s="62">
        <f>IF($B90=$B89,$HD89,0)+$HC90</f>
        <v/>
      </c>
      <c r="HE90" s="62">
        <f>$HE89+$HC90</f>
        <v/>
      </c>
      <c r="HF90" s="56">
        <f>IFERROR((SUMIFS(tblSafety[Recordables],tblSafety[Date],"&gt;="&amp;EDATE($E90,-12),tblSafety[Date],"&lt;="&amp;$A90)+SUMIFS(tblSafetyHistory[Recordables],tblSafetyHistory[Month],"&gt;="&amp;EDATE($E90,-12),tblSafetyHistory[Month],"&lt;"&amp;cfg_YearStart))/(SUMIFS(tblSafety[Hours_Total],tblSafety[Date],"&gt;="&amp;EDATE($E90,-12),tblSafety[Date],"&lt;="&amp;$A90)+SUMIFS(tblSafetyHistory[Hours_Total],tblSafetyHistory[Month],"&gt;="&amp;EDATE($E90,-12),tblSafetyHistory[Month],"&lt;"&amp;cfg_YearStart))*1000000,"")</f>
        <v/>
      </c>
      <c r="HG90" s="56">
        <f>IFERROR((SUMIFS(tblSafety[LTI],tblSafety[Date],"&gt;="&amp;EDATE($E90,-12),tblSafety[Date],"&lt;="&amp;$A90)+SUMIFS(tblSafetyHistory[LTI],tblSafetyHistory[Month],"&gt;="&amp;EDATE($E90,-12),tblSafetyHistory[Month],"&lt;"&amp;cfg_YearStart))/(SUMIFS(tblSafety[Hours_Total],tblSafety[Date],"&gt;="&amp;EDATE($E90,-12),tblSafety[Date],"&lt;="&amp;$A90)+SUMIFS(tblSafetyHistory[Hours_Total],tblSafetyHistory[Month],"&gt;="&amp;EDATE($E90,-12),tblSafetyHistory[Month],"&lt;"&amp;cfg_YearStart))*1000000,"")</f>
        <v/>
      </c>
      <c r="HH90" s="62">
        <f>IF(MAX(N(cfg_PriorLTIDate),_xlfn.MAXIFS(tblSafety[Date],tblSafety[LTI],"&gt;0",tblSafety[Date],"&lt;="&amp;$A90))=0,"",$A90-MAX(N(cfg_PriorLTIDate),_xlfn.MAXIFS(tblSafety[Date],tblSafety[LTI],"&gt;0",tblSafety[Date],"&lt;="&amp;$A90)))</f>
        <v/>
      </c>
      <c r="HI90" s="55">
        <f>SUMIFS(tblBudget[Ore_Mined_t],tblBudget[Month],$E90)</f>
        <v/>
      </c>
      <c r="HJ90" s="55">
        <f>$HI90*$C90/$D90</f>
        <v/>
      </c>
      <c r="HK90" s="55">
        <f>SUMIFS(tblBudget[Ore_Mined_t],tblBudget[Month],"&lt;"&amp;$E90)+$HJ90</f>
        <v/>
      </c>
      <c r="HL90" s="55">
        <f>SUMIFS(tblBudget[Ore_oz],tblBudget[Month],$E90)</f>
        <v/>
      </c>
      <c r="HM90" s="55">
        <f>$HL90*$C90/$D90</f>
        <v/>
      </c>
      <c r="HN90" s="55">
        <f>SUMIFS(tblBudget[Ore_oz],tblBudget[Month],"&lt;"&amp;$E90)+$HM90</f>
        <v/>
      </c>
      <c r="HO90" s="56">
        <f>IFERROR(IF(($HI90)&gt;0,($HL90*cfg_TroyOz)/($HI90),""),"")</f>
        <v/>
      </c>
      <c r="HP90" s="56">
        <f>IFERROR(IF(($HJ90)&gt;0,($HM90*cfg_TroyOz)/($HJ90),""),"")</f>
        <v/>
      </c>
      <c r="HQ90" s="56">
        <f>IFERROR(IF(($HK90)&gt;0,($HN90*cfg_TroyOz)/($HK90),""),"")</f>
        <v/>
      </c>
      <c r="HR90" s="55">
        <f>SUMIFS(tblBudget[Waste_t],tblBudget[Month],$E90)</f>
        <v/>
      </c>
      <c r="HS90" s="55">
        <f>$HR90*$C90/$D90</f>
        <v/>
      </c>
      <c r="HT90" s="55">
        <f>SUMIFS(tblBudget[Waste_t],tblBudget[Month],"&lt;"&amp;$E90)+$HS90</f>
        <v/>
      </c>
      <c r="HU90" s="55">
        <f>SUMIFS(tblBudget[TMM_t],tblBudget[Month],$E90)</f>
        <v/>
      </c>
      <c r="HV90" s="55">
        <f>$HU90*$C90/$D90</f>
        <v/>
      </c>
      <c r="HW90" s="55">
        <f>SUMIFS(tblBudget[TMM_t],tblBudget[Month],"&lt;"&amp;$E90)+$HV90</f>
        <v/>
      </c>
      <c r="HX90" s="56">
        <f>IFERROR(IF(($HI90)&gt;0,($HR90)/($HI90),""),"")</f>
        <v/>
      </c>
      <c r="HY90" s="56">
        <f>IFERROR(IF(($HJ90)&gt;0,($HS90)/($HJ90),""),"")</f>
        <v/>
      </c>
      <c r="HZ90" s="56">
        <f>IFERROR(IF(($HK90)&gt;0,($HT90)/($HK90),""),"")</f>
        <v/>
      </c>
      <c r="IA90" s="55">
        <f>SUMIFS(tblBudget[Drill_m],tblBudget[Month],$E90)</f>
        <v/>
      </c>
      <c r="IB90" s="55">
        <f>$IA90*$C90/$D90</f>
        <v/>
      </c>
      <c r="IC90" s="55">
        <f>SUMIFS(tblBudget[Drill_m],tblBudget[Month],"&lt;"&amp;$E90)+$IB90</f>
        <v/>
      </c>
      <c r="ID90" s="55">
        <f>SUMIFS(tblBudget[Diesel_L],tblBudget[Month],$E90)</f>
        <v/>
      </c>
      <c r="IE90" s="55">
        <f>$ID90*$C90/$D90</f>
        <v/>
      </c>
      <c r="IF90" s="55">
        <f>SUMIFS(tblBudget[Diesel_L],tblBudget[Month],"&lt;"&amp;$E90)+$IE90</f>
        <v/>
      </c>
      <c r="IG90" s="55">
        <f>SUMIFS(tblBudget[Milled_t],tblBudget[Month],$E90)</f>
        <v/>
      </c>
      <c r="IH90" s="55">
        <f>$IG90*$C90/$D90</f>
        <v/>
      </c>
      <c r="II90" s="55">
        <f>SUMIFS(tblBudget[Milled_t],tblBudget[Month],"&lt;"&amp;$E90)+$IH90</f>
        <v/>
      </c>
      <c r="IJ90" s="55">
        <f>SUMIFS(tblBudget[Feed_oz],tblBudget[Month],$E90)</f>
        <v/>
      </c>
      <c r="IK90" s="55">
        <f>$IJ90*$C90/$D90</f>
        <v/>
      </c>
      <c r="IL90" s="55">
        <f>SUMIFS(tblBudget[Feed_oz],tblBudget[Month],"&lt;"&amp;$E90)+$IK90</f>
        <v/>
      </c>
      <c r="IM90" s="55">
        <f>SUMIFS(tblBudget[Recovered_oz],tblBudget[Month],$E90)</f>
        <v/>
      </c>
      <c r="IN90" s="55">
        <f>$IM90*$C90/$D90</f>
        <v/>
      </c>
      <c r="IO90" s="55">
        <f>SUMIFS(tblBudget[Recovered_oz],tblBudget[Month],"&lt;"&amp;$E90)+$IN90</f>
        <v/>
      </c>
      <c r="IP90" s="56">
        <f>IFERROR(IF(($IG90)&gt;0,($IJ90*cfg_TroyOz)/($IG90),""),"")</f>
        <v/>
      </c>
      <c r="IQ90" s="56">
        <f>IFERROR(IF(($IH90)&gt;0,($IK90*cfg_TroyOz)/($IH90),""),"")</f>
        <v/>
      </c>
      <c r="IR90" s="56">
        <f>IFERROR(IF(($II90)&gt;0,($IL90*cfg_TroyOz)/($II90),""),"")</f>
        <v/>
      </c>
      <c r="IS90" s="67">
        <f>IFERROR(IF(($IJ90)&gt;0,($IM90)/($IJ90),""),"")</f>
        <v/>
      </c>
      <c r="IT90" s="67">
        <f>IFERROR(IF(($IK90)&gt;0,($IN90)/($IK90),""),"")</f>
        <v/>
      </c>
      <c r="IU90" s="67">
        <f>IFERROR(IF(($IL90)&gt;0,($IO90)/($IL90),""),"")</f>
        <v/>
      </c>
      <c r="IV90" s="55">
        <f>SUMIFS(tblBudget[Gold_Poured_oz],tblBudget[Month],$E90)</f>
        <v/>
      </c>
      <c r="IW90" s="55">
        <f>$IV90*$C90/$D90</f>
        <v/>
      </c>
      <c r="IX90" s="55">
        <f>SUMIFS(tblBudget[Gold_Poured_oz],tblBudget[Month],"&lt;"&amp;$E90)+$IW90</f>
        <v/>
      </c>
      <c r="IY90" s="57">
        <f>SUMIFS(tblBudget[Hours_Worked],tblBudget[Month],$E90)</f>
        <v/>
      </c>
      <c r="IZ90" s="57">
        <f>$IY90*$C90/$D90</f>
        <v/>
      </c>
      <c r="JA90" s="57">
        <f>SUMIFS(tblBudget[Hours_Worked],tblBudget[Month],"&lt;"&amp;$E90)+$IZ90</f>
        <v/>
      </c>
    </row>
    <row r="91">
      <c r="A91" s="54" t="n">
        <v>46112</v>
      </c>
      <c r="B91">
        <f>MONTH($A91)</f>
        <v/>
      </c>
      <c r="C91">
        <f>DAY($A91)</f>
        <v/>
      </c>
      <c r="D91">
        <f>DAY(EOMONTH($A91,0))</f>
        <v/>
      </c>
      <c r="E91" s="54">
        <f>DATE(YEAR($A91),MONTH($A91),1)</f>
        <v/>
      </c>
      <c r="F91" s="55">
        <f>SUMIFS(tblMovement[Tonnes_t],tblMovement[Date],$A91,tblMovement[Is_Ore],1,tblMovement[Source_Type],"Pit")</f>
        <v/>
      </c>
      <c r="G91" s="55">
        <f>IF($B91=$B90,$G90,0)+$F91</f>
        <v/>
      </c>
      <c r="H91" s="55">
        <f>$H90+$F91</f>
        <v/>
      </c>
      <c r="I91" s="55">
        <f>SUMIFS(tblMovement[Ore_oz],tblMovement[Date],$A91,tblMovement[Source_Type],"Pit")</f>
        <v/>
      </c>
      <c r="J91" s="55">
        <f>IF($B91=$B90,$J90,0)+$I91</f>
        <v/>
      </c>
      <c r="K91" s="55">
        <f>$K90+$I91</f>
        <v/>
      </c>
      <c r="L91" s="56">
        <f>IFERROR(IF(($F91)&gt;0,($I91*cfg_TroyOz)/($F91),""),"")</f>
        <v/>
      </c>
      <c r="M91" s="56">
        <f>IFERROR(IF(($G91)&gt;0,($J91*cfg_TroyOz)/($G91),""),"")</f>
        <v/>
      </c>
      <c r="N91" s="56">
        <f>IFERROR(IF(($H91)&gt;0,($K91*cfg_TroyOz)/($H91),""),"")</f>
        <v/>
      </c>
      <c r="O91" s="55">
        <f>SUMIFS(tblMovement[Tonnes_t],tblMovement[Date],$A91,tblMovement[Is_Ore],0,tblMovement[Source_Type],"Pit")</f>
        <v/>
      </c>
      <c r="P91" s="55">
        <f>IF($B91=$B90,$P90,0)+$O91</f>
        <v/>
      </c>
      <c r="Q91" s="55">
        <f>$Q90+$O91</f>
        <v/>
      </c>
      <c r="R91" s="55">
        <f>$F91+$O91</f>
        <v/>
      </c>
      <c r="S91" s="55">
        <f>IF($B91=$B90,$S90,0)+$R91</f>
        <v/>
      </c>
      <c r="T91" s="55">
        <f>$T90+$R91</f>
        <v/>
      </c>
      <c r="U91" s="56">
        <f>IFERROR(IF(($F91)&gt;0,($O91)/($F91),""),"")</f>
        <v/>
      </c>
      <c r="V91" s="56">
        <f>IFERROR(IF(($G91)&gt;0,($P91)/($G91),""),"")</f>
        <v/>
      </c>
      <c r="W91" s="56">
        <f>IFERROR(IF(($H91)&gt;0,($Q91)/($H91),""),"")</f>
        <v/>
      </c>
      <c r="X91" s="55">
        <f>SUMIFS(tblMovement[Tonnes_t],tblMovement[Date],$A91,tblMovement[Source_Type],"Stockpile")</f>
        <v/>
      </c>
      <c r="Y91" s="55">
        <f>IF($B91=$B90,$Y90,0)+$X91</f>
        <v/>
      </c>
      <c r="Z91" s="55">
        <f>$Z90+$X91</f>
        <v/>
      </c>
      <c r="AA91" s="55">
        <f>SUMIFS(tblMiningDaily[Drill_m],tblMiningDaily[Date],$A91)</f>
        <v/>
      </c>
      <c r="AB91" s="55">
        <f>IF($B91=$B90,$AB90,0)+$AA91</f>
        <v/>
      </c>
      <c r="AC91" s="55">
        <f>$AC90+$AA91</f>
        <v/>
      </c>
      <c r="AD91" s="55">
        <f>SUMIFS(tblMiningDaily[Blast_t],tblMiningDaily[Date],$A91)</f>
        <v/>
      </c>
      <c r="AE91" s="55">
        <f>IF($B91=$B90,$AE90,0)+$AD91</f>
        <v/>
      </c>
      <c r="AF91" s="55">
        <f>$AF90+$AD91</f>
        <v/>
      </c>
      <c r="AG91" s="55">
        <f>SUMIFS(tblMiningDaily[Explosives_kg],tblMiningDaily[Date],$A91)</f>
        <v/>
      </c>
      <c r="AH91" s="55">
        <f>IF($B91=$B90,$AH90,0)+$AG91</f>
        <v/>
      </c>
      <c r="AI91" s="55">
        <f>$AI90+$AG91</f>
        <v/>
      </c>
      <c r="AJ91" s="56">
        <f>IFERROR(IF(($AD91)&gt;0,($AG91)/($AD91),""),"")</f>
        <v/>
      </c>
      <c r="AK91" s="56">
        <f>IFERROR(IF(($AE91)&gt;0,($AH91)/($AE91),""),"")</f>
        <v/>
      </c>
      <c r="AL91" s="56">
        <f>IFERROR(IF(($AF91)&gt;0,($AI91)/($AF91),""),"")</f>
        <v/>
      </c>
      <c r="AM91" s="55">
        <f>SUMIFS(tblMiningDaily[Diesel_L],tblMiningDaily[Date],$A91)</f>
        <v/>
      </c>
      <c r="AN91" s="55">
        <f>IF($B91=$B90,$AN90,0)+$AM91</f>
        <v/>
      </c>
      <c r="AO91" s="55">
        <f>$AO90+$AM91</f>
        <v/>
      </c>
      <c r="AP91" s="55">
        <f>SUMIFS(tblMiningDaily[Dewatering_m3],tblMiningDaily[Date],$A91)</f>
        <v/>
      </c>
      <c r="AQ91" s="55">
        <f>IF($B91=$B90,$AQ90,0)+$AP91</f>
        <v/>
      </c>
      <c r="AR91" s="55">
        <f>$AR90+$AP91</f>
        <v/>
      </c>
      <c r="AS91" s="57">
        <f>SUMIFS(tblFleet[Calendar_h],tblFleet[Date],$A91,tblFleet[Equipment_Class],"Excavator")</f>
        <v/>
      </c>
      <c r="AT91" s="57">
        <f>IF($B91=$B90,$AT90,0)+$AS91</f>
        <v/>
      </c>
      <c r="AU91" s="57">
        <f>$AU90+$AS91</f>
        <v/>
      </c>
      <c r="AV91" s="57">
        <f>SUMIFS(tblFleet[Available_h],tblFleet[Date],$A91,tblFleet[Equipment_Class],"Excavator")</f>
        <v/>
      </c>
      <c r="AW91" s="57">
        <f>IF($B91=$B90,$AW90,0)+$AV91</f>
        <v/>
      </c>
      <c r="AX91" s="57">
        <f>$AX90+$AV91</f>
        <v/>
      </c>
      <c r="AY91" s="57">
        <f>SUMIFS(tblFleet[Operating_h],tblFleet[Date],$A91,tblFleet[Equipment_Class],"Excavator")</f>
        <v/>
      </c>
      <c r="AZ91" s="57">
        <f>IF($B91=$B90,$AZ90,0)+$AY91</f>
        <v/>
      </c>
      <c r="BA91" s="57">
        <f>$BA90+$AY91</f>
        <v/>
      </c>
      <c r="BB91" s="67">
        <f>IFERROR(IF(($AS91)&gt;0,($AV91)/($AS91),""),"")</f>
        <v/>
      </c>
      <c r="BC91" s="67">
        <f>IFERROR(IF(($AT91)&gt;0,($AW91)/($AT91),""),"")</f>
        <v/>
      </c>
      <c r="BD91" s="67">
        <f>IFERROR(IF(($AU91)&gt;0,($AX91)/($AU91),""),"")</f>
        <v/>
      </c>
      <c r="BE91" s="67">
        <f>IFERROR(IF(($AV91)&gt;0,($AY91)/($AV91),""),"")</f>
        <v/>
      </c>
      <c r="BF91" s="67">
        <f>IFERROR(IF(($AW91)&gt;0,($AZ91)/($AW91),""),"")</f>
        <v/>
      </c>
      <c r="BG91" s="67">
        <f>IFERROR(IF(($AX91)&gt;0,($BA91)/($AX91),""),"")</f>
        <v/>
      </c>
      <c r="BH91" s="57">
        <f>SUMIFS(tblFleet[Calendar_h],tblFleet[Date],$A91,tblFleet[Equipment_Class],"Haul Truck")</f>
        <v/>
      </c>
      <c r="BI91" s="57">
        <f>IF($B91=$B90,$BI90,0)+$BH91</f>
        <v/>
      </c>
      <c r="BJ91" s="57">
        <f>$BJ90+$BH91</f>
        <v/>
      </c>
      <c r="BK91" s="57">
        <f>SUMIFS(tblFleet[Available_h],tblFleet[Date],$A91,tblFleet[Equipment_Class],"Haul Truck")</f>
        <v/>
      </c>
      <c r="BL91" s="57">
        <f>IF($B91=$B90,$BL90,0)+$BK91</f>
        <v/>
      </c>
      <c r="BM91" s="57">
        <f>$BM90+$BK91</f>
        <v/>
      </c>
      <c r="BN91" s="57">
        <f>SUMIFS(tblFleet[Operating_h],tblFleet[Date],$A91,tblFleet[Equipment_Class],"Haul Truck")</f>
        <v/>
      </c>
      <c r="BO91" s="57">
        <f>IF($B91=$B90,$BO90,0)+$BN91</f>
        <v/>
      </c>
      <c r="BP91" s="57">
        <f>$BP90+$BN91</f>
        <v/>
      </c>
      <c r="BQ91" s="67">
        <f>IFERROR(IF(($BH91)&gt;0,($BK91)/($BH91),""),"")</f>
        <v/>
      </c>
      <c r="BR91" s="67">
        <f>IFERROR(IF(($BI91)&gt;0,($BL91)/($BI91),""),"")</f>
        <v/>
      </c>
      <c r="BS91" s="67">
        <f>IFERROR(IF(($BJ91)&gt;0,($BM91)/($BJ91),""),"")</f>
        <v/>
      </c>
      <c r="BT91" s="67">
        <f>IFERROR(IF(($BK91)&gt;0,($BN91)/($BK91),""),"")</f>
        <v/>
      </c>
      <c r="BU91" s="67">
        <f>IFERROR(IF(($BL91)&gt;0,($BO91)/($BL91),""),"")</f>
        <v/>
      </c>
      <c r="BV91" s="67">
        <f>IFERROR(IF(($BM91)&gt;0,($BP91)/($BM91),""),"")</f>
        <v/>
      </c>
      <c r="BW91" s="55">
        <f>SUMIFS(tblPlant[Crushed_t],tblPlant[Date],$A91)</f>
        <v/>
      </c>
      <c r="BX91" s="55">
        <f>IF($B91=$B90,$BX90,0)+$BW91</f>
        <v/>
      </c>
      <c r="BY91" s="55">
        <f>$BY90+$BW91</f>
        <v/>
      </c>
      <c r="BZ91" s="55">
        <f>SUMIFS(tblPlant[Milled_t],tblPlant[Date],$A91)</f>
        <v/>
      </c>
      <c r="CA91" s="55">
        <f>IF($B91=$B90,$CA90,0)+$BZ91</f>
        <v/>
      </c>
      <c r="CB91" s="55">
        <f>$CB90+$BZ91</f>
        <v/>
      </c>
      <c r="CC91" s="55">
        <f>SUMIFS(tblPlant[Feed_oz],tblPlant[Date],$A91)</f>
        <v/>
      </c>
      <c r="CD91" s="55">
        <f>IF($B91=$B90,$CD90,0)+$CC91</f>
        <v/>
      </c>
      <c r="CE91" s="55">
        <f>$CE90+$CC91</f>
        <v/>
      </c>
      <c r="CF91" s="55">
        <f>SUMIFS(tblPlant[Tails_oz],tblPlant[Date],$A91)</f>
        <v/>
      </c>
      <c r="CG91" s="55">
        <f>IF($B91=$B90,$CG90,0)+$CF91</f>
        <v/>
      </c>
      <c r="CH91" s="55">
        <f>$CH90+$CF91</f>
        <v/>
      </c>
      <c r="CI91" s="55">
        <f>SUMIFS(tblPlant[Recovered_oz],tblPlant[Date],$A91)</f>
        <v/>
      </c>
      <c r="CJ91" s="55">
        <f>IF($B91=$B90,$CJ90,0)+$CI91</f>
        <v/>
      </c>
      <c r="CK91" s="55">
        <f>$CK90+$CI91</f>
        <v/>
      </c>
      <c r="CL91" s="56">
        <f>IFERROR(IF(($BZ91)&gt;0,($CC91*cfg_TroyOz)/($BZ91),""),"")</f>
        <v/>
      </c>
      <c r="CM91" s="56">
        <f>IFERROR(IF(($CA91)&gt;0,($CD91*cfg_TroyOz)/($CA91),""),"")</f>
        <v/>
      </c>
      <c r="CN91" s="56">
        <f>IFERROR(IF(($CB91)&gt;0,($CE91*cfg_TroyOz)/($CB91),""),"")</f>
        <v/>
      </c>
      <c r="CO91" s="56">
        <f>IFERROR(IF(($BZ91)&gt;0,($CF91*cfg_TroyOz)/($BZ91),""),"")</f>
        <v/>
      </c>
      <c r="CP91" s="56">
        <f>IFERROR(IF(($CA91)&gt;0,($CG91*cfg_TroyOz)/($CA91),""),"")</f>
        <v/>
      </c>
      <c r="CQ91" s="56">
        <f>IFERROR(IF(($CB91)&gt;0,($CH91*cfg_TroyOz)/($CB91),""),"")</f>
        <v/>
      </c>
      <c r="CR91" s="67">
        <f>IFERROR(IF(($CC91)&gt;0,($CI91)/($CC91),""),"")</f>
        <v/>
      </c>
      <c r="CS91" s="67">
        <f>IFERROR(IF(($CD91)&gt;0,($CJ91)/($CD91),""),"")</f>
        <v/>
      </c>
      <c r="CT91" s="67">
        <f>IFERROR(IF(($CE91)&gt;0,($CK91)/($CE91),""),"")</f>
        <v/>
      </c>
      <c r="CU91" s="55">
        <f>SUMIFS(tblPlant[Gravity_Gold_oz],tblPlant[Date],$A91)</f>
        <v/>
      </c>
      <c r="CV91" s="55">
        <f>IF($B91=$B90,$CV90,0)+$CU91</f>
        <v/>
      </c>
      <c r="CW91" s="55">
        <f>$CW90+$CU91</f>
        <v/>
      </c>
      <c r="CX91" s="55">
        <f>SUMIFS(tblPlant[Gold_Poured_oz],tblPlant[Date],$A91)</f>
        <v/>
      </c>
      <c r="CY91" s="55">
        <f>IF($B91=$B90,$CY90,0)+$CX91</f>
        <v/>
      </c>
      <c r="CZ91" s="55">
        <f>$CZ90+$CX91</f>
        <v/>
      </c>
      <c r="DA91" s="57">
        <f>SUMIFS(tblPlant[Mill_Run_h],tblPlant[Date],$A91)</f>
        <v/>
      </c>
      <c r="DB91" s="57">
        <f>IF($B91=$B90,$DB90,0)+$DA91</f>
        <v/>
      </c>
      <c r="DC91" s="57">
        <f>$DC90+$DA91</f>
        <v/>
      </c>
      <c r="DD91" s="57">
        <f>SUMIFS(tblPlant[Mill_Planned_Maint_h],tblPlant[Date],$A91)</f>
        <v/>
      </c>
      <c r="DE91" s="57">
        <f>IF($B91=$B90,$DE90,0)+$DD91</f>
        <v/>
      </c>
      <c r="DF91" s="57">
        <f>$DF90+$DD91</f>
        <v/>
      </c>
      <c r="DG91" s="57">
        <f>SUMIFS(tblPlant[Mill_Unplanned_Down_h],tblPlant[Date],$A91)</f>
        <v/>
      </c>
      <c r="DH91" s="57">
        <f>IF($B91=$B90,$DH90,0)+$DG91</f>
        <v/>
      </c>
      <c r="DI91" s="57">
        <f>$DI90+$DG91</f>
        <v/>
      </c>
      <c r="DJ91" s="57">
        <f>COUNTIFS(tblPlant[Date],$A91,tblPlant[Mill_Run_h],"&lt;&gt;")*24</f>
        <v/>
      </c>
      <c r="DK91" s="57">
        <f>IF($B91=$B90,$DK90,0)+$DJ91</f>
        <v/>
      </c>
      <c r="DL91" s="57">
        <f>$DL90+$DJ91</f>
        <v/>
      </c>
      <c r="DM91" s="57">
        <f>SUMIFS(tblPlant[Crusher_Run_h],tblPlant[Date],$A91)</f>
        <v/>
      </c>
      <c r="DN91" s="57">
        <f>IF($B91=$B90,$DN90,0)+$DM91</f>
        <v/>
      </c>
      <c r="DO91" s="57">
        <f>$DO90+$DM91</f>
        <v/>
      </c>
      <c r="DP91" s="55">
        <f>IFERROR(IF(($DA91)&gt;0,($BZ91)/($DA91),""),"")</f>
        <v/>
      </c>
      <c r="DQ91" s="55">
        <f>IFERROR(IF(($DB91)&gt;0,($CA91)/($DB91),""),"")</f>
        <v/>
      </c>
      <c r="DR91" s="55">
        <f>IFERROR(IF(($DC91)&gt;0,($CB91)/($DC91),""),"")</f>
        <v/>
      </c>
      <c r="DS91" s="67">
        <f>IFERROR(IF(($DJ91)&gt;0,($DJ91-$DD91-$DG91)/($DJ91),""),"")</f>
        <v/>
      </c>
      <c r="DT91" s="67">
        <f>IFERROR(IF(($DK91)&gt;0,($DK91-$DE91-$DH91)/($DK91),""),"")</f>
        <v/>
      </c>
      <c r="DU91" s="67">
        <f>IFERROR(IF(($DL91)&gt;0,($DL91-$DF91-$DI91)/($DL91),""),"")</f>
        <v/>
      </c>
      <c r="DV91" s="67">
        <f>IFERROR(IF(($DJ91-$DD91-$DG91)&gt;0,($DA91)/($DJ91-$DD91-$DG91),""),"")</f>
        <v/>
      </c>
      <c r="DW91" s="67">
        <f>IFERROR(IF(($DK91-$DE91-$DH91)&gt;0,($DB91)/($DK91-$DE91-$DH91),""),"")</f>
        <v/>
      </c>
      <c r="DX91" s="67">
        <f>IFERROR(IF(($DL91-$DF91-$DI91)&gt;0,($DC91)/($DL91-$DF91-$DI91),""),"")</f>
        <v/>
      </c>
      <c r="DY91" s="55">
        <f>SUMIFS(tblPlant[Cyanide_kg],tblPlant[Date],$A91)</f>
        <v/>
      </c>
      <c r="DZ91" s="55">
        <f>IF($B91=$B90,$DZ90,0)+$DY91</f>
        <v/>
      </c>
      <c r="EA91" s="55">
        <f>$EA90+$DY91</f>
        <v/>
      </c>
      <c r="EB91" s="55">
        <f>SUMIFS(tblPlant[Lime_kg],tblPlant[Date],$A91)</f>
        <v/>
      </c>
      <c r="EC91" s="55">
        <f>IF($B91=$B90,$EC90,0)+$EB91</f>
        <v/>
      </c>
      <c r="ED91" s="55">
        <f>$ED90+$EB91</f>
        <v/>
      </c>
      <c r="EE91" s="55">
        <f>SUMIFS(tblPlant[Grinding_Media_kg],tblPlant[Date],$A91)</f>
        <v/>
      </c>
      <c r="EF91" s="55">
        <f>IF($B91=$B90,$EF90,0)+$EE91</f>
        <v/>
      </c>
      <c r="EG91" s="55">
        <f>$EG90+$EE91</f>
        <v/>
      </c>
      <c r="EH91" s="55">
        <f>SUMIFS(tblPlant[Power_kWh],tblPlant[Date],$A91)</f>
        <v/>
      </c>
      <c r="EI91" s="55">
        <f>IF($B91=$B90,$EI90,0)+$EH91</f>
        <v/>
      </c>
      <c r="EJ91" s="55">
        <f>$EJ90+$EH91</f>
        <v/>
      </c>
      <c r="EK91" s="55">
        <f>SUMIFS(tblPlant[Raw_Water_m3],tblPlant[Date],$A91)</f>
        <v/>
      </c>
      <c r="EL91" s="55">
        <f>IF($B91=$B90,$EL90,0)+$EK91</f>
        <v/>
      </c>
      <c r="EM91" s="55">
        <f>$EM90+$EK91</f>
        <v/>
      </c>
      <c r="EN91" s="56">
        <f>IFERROR(IF(($BZ91)&gt;0,($DY91)/($BZ91),""),"")</f>
        <v/>
      </c>
      <c r="EO91" s="56">
        <f>IFERROR(IF(($CA91)&gt;0,($DZ91)/($CA91),""),"")</f>
        <v/>
      </c>
      <c r="EP91" s="56">
        <f>IFERROR(IF(($CB91)&gt;0,($EA91)/($CB91),""),"")</f>
        <v/>
      </c>
      <c r="EQ91" s="56">
        <f>IFERROR(IF(($BZ91)&gt;0,($EB91)/($BZ91),""),"")</f>
        <v/>
      </c>
      <c r="ER91" s="56">
        <f>IFERROR(IF(($CA91)&gt;0,($EC91)/($CA91),""),"")</f>
        <v/>
      </c>
      <c r="ES91" s="56">
        <f>IFERROR(IF(($CB91)&gt;0,($ED91)/($CB91),""),"")</f>
        <v/>
      </c>
      <c r="ET91" s="56">
        <f>IFERROR(IF(($BZ91)&gt;0,($EE91)/($BZ91),""),"")</f>
        <v/>
      </c>
      <c r="EU91" s="56">
        <f>IFERROR(IF(($CA91)&gt;0,($EF91)/($CA91),""),"")</f>
        <v/>
      </c>
      <c r="EV91" s="56">
        <f>IFERROR(IF(($CB91)&gt;0,($EG91)/($CB91),""),"")</f>
        <v/>
      </c>
      <c r="EW91" s="76">
        <f>IFERROR(IF(($BZ91)&gt;0,($EH91)/($BZ91),""),"")</f>
        <v/>
      </c>
      <c r="EX91" s="76">
        <f>IFERROR(IF(($CA91)&gt;0,($EI91)/($CA91),""),"")</f>
        <v/>
      </c>
      <c r="EY91" s="76">
        <f>IFERROR(IF(($CB91)&gt;0,($EJ91)/($CB91),""),"")</f>
        <v/>
      </c>
      <c r="EZ91" s="56">
        <f>IFERROR(IF(($BZ91)&gt;0,($EK91)/($BZ91),""),"")</f>
        <v/>
      </c>
      <c r="FA91" s="56">
        <f>IFERROR(IF(($CA91)&gt;0,($EL91)/($CA91),""),"")</f>
        <v/>
      </c>
      <c r="FB91" s="56">
        <f>IFERROR(IF(($CB91)&gt;0,($EM91)/($CB91),""),"")</f>
        <v/>
      </c>
      <c r="FC91" s="55">
        <f>IF(SUMIFS(tblPlant[GIC_oz],tblPlant[Date],$A91)&gt;0,SUMIFS(tblPlant[GIC_oz],tblPlant[Date],$A91),"")</f>
        <v/>
      </c>
      <c r="FD91" s="55">
        <f>SUMIFS(tblGold[Gold_oz],tblGold[Date],$A91,tblGold[Type],"Shipment")</f>
        <v/>
      </c>
      <c r="FE91" s="55">
        <f>IF($B91=$B90,$FE90,0)+$FD91</f>
        <v/>
      </c>
      <c r="FF91" s="55">
        <f>$FF90+$FD91</f>
        <v/>
      </c>
      <c r="FG91" s="55">
        <f>SUMIFS(tblGold[Gold_oz],tblGold[Date],$A91,tblGold[Type],"Sale")</f>
        <v/>
      </c>
      <c r="FH91" s="55">
        <f>IF($B91=$B90,$FH90,0)+$FG91</f>
        <v/>
      </c>
      <c r="FI91" s="55">
        <f>$FI90+$FG91</f>
        <v/>
      </c>
      <c r="FJ91" s="55">
        <f>SUMIFS(tblGold[Dore_kg],tblGold[Date],$A91,tblGold[Type],"Shipment")</f>
        <v/>
      </c>
      <c r="FK91" s="55">
        <f>IF($B91=$B90,$FK90,0)+$FJ91</f>
        <v/>
      </c>
      <c r="FL91" s="55">
        <f>$FL90+$FJ91</f>
        <v/>
      </c>
      <c r="FM91" s="57">
        <f>SUMIFS(tblSafety[Hours_Total],tblSafety[Date],$A91)</f>
        <v/>
      </c>
      <c r="FN91" s="57">
        <f>IF($B91=$B90,$FN90,0)+$FM91</f>
        <v/>
      </c>
      <c r="FO91" s="57">
        <f>$FO90+$FM91</f>
        <v/>
      </c>
      <c r="FP91" s="62">
        <f>SUMIFS(tblSafety[Fatality],tblSafety[Date],$A91)</f>
        <v/>
      </c>
      <c r="FQ91" s="62">
        <f>IF($B91=$B90,$FQ90,0)+$FP91</f>
        <v/>
      </c>
      <c r="FR91" s="62">
        <f>$FR90+$FP91</f>
        <v/>
      </c>
      <c r="FS91" s="62">
        <f>SUMIFS(tblSafety[LTI],tblSafety[Date],$A91)</f>
        <v/>
      </c>
      <c r="FT91" s="62">
        <f>IF($B91=$B90,$FT90,0)+$FS91</f>
        <v/>
      </c>
      <c r="FU91" s="62">
        <f>$FU90+$FS91</f>
        <v/>
      </c>
      <c r="FV91" s="62">
        <f>SUMIFS(tblSafety[RWI],tblSafety[Date],$A91)</f>
        <v/>
      </c>
      <c r="FW91" s="62">
        <f>IF($B91=$B90,$FW90,0)+$FV91</f>
        <v/>
      </c>
      <c r="FX91" s="62">
        <f>$FX90+$FV91</f>
        <v/>
      </c>
      <c r="FY91" s="62">
        <f>SUMIFS(tblSafety[MTI],tblSafety[Date],$A91)</f>
        <v/>
      </c>
      <c r="FZ91" s="62">
        <f>IF($B91=$B90,$FZ90,0)+$FY91</f>
        <v/>
      </c>
      <c r="GA91" s="62">
        <f>$GA90+$FY91</f>
        <v/>
      </c>
      <c r="GB91" s="62">
        <f>SUMIFS(tblSafety[FAI],tblSafety[Date],$A91)</f>
        <v/>
      </c>
      <c r="GC91" s="62">
        <f>IF($B91=$B90,$GC90,0)+$GB91</f>
        <v/>
      </c>
      <c r="GD91" s="62">
        <f>$GD90+$GB91</f>
        <v/>
      </c>
      <c r="GE91" s="62">
        <f>SUMIFS(tblSafety[Recordables],tblSafety[Date],$A91)</f>
        <v/>
      </c>
      <c r="GF91" s="62">
        <f>IF($B91=$B90,$GF90,0)+$GE91</f>
        <v/>
      </c>
      <c r="GG91" s="62">
        <f>$GG90+$GE91</f>
        <v/>
      </c>
      <c r="GH91" s="62">
        <f>SUMIFS(tblSafety[Near_Miss],tblSafety[Date],$A91)</f>
        <v/>
      </c>
      <c r="GI91" s="62">
        <f>IF($B91=$B90,$GI90,0)+$GH91</f>
        <v/>
      </c>
      <c r="GJ91" s="62">
        <f>$GJ90+$GH91</f>
        <v/>
      </c>
      <c r="GK91" s="62">
        <f>SUMIFS(tblSafety[Hazard_Reports],tblSafety[Date],$A91)</f>
        <v/>
      </c>
      <c r="GL91" s="62">
        <f>IF($B91=$B90,$GL90,0)+$GK91</f>
        <v/>
      </c>
      <c r="GM91" s="62">
        <f>$GM90+$GK91</f>
        <v/>
      </c>
      <c r="GN91" s="62">
        <f>SUMIFS(tblSafety[HPI],tblSafety[Date],$A91)</f>
        <v/>
      </c>
      <c r="GO91" s="62">
        <f>IF($B91=$B90,$GO90,0)+$GN91</f>
        <v/>
      </c>
      <c r="GP91" s="62">
        <f>$GP90+$GN91</f>
        <v/>
      </c>
      <c r="GQ91" s="62">
        <f>SUMIFS(tblSafety[Env_Incidents],tblSafety[Date],$A91)</f>
        <v/>
      </c>
      <c r="GR91" s="62">
        <f>IF($B91=$B90,$GR90,0)+$GQ91</f>
        <v/>
      </c>
      <c r="GS91" s="62">
        <f>$GS90+$GQ91</f>
        <v/>
      </c>
      <c r="GT91" s="62">
        <f>SUMIFS(tblSafety[Community_Incidents],tblSafety[Date],$A91)</f>
        <v/>
      </c>
      <c r="GU91" s="62">
        <f>IF($B91=$B90,$GU90,0)+$GT91</f>
        <v/>
      </c>
      <c r="GV91" s="62">
        <f>$GV90+$GT91</f>
        <v/>
      </c>
      <c r="GW91" s="62">
        <f>SUMIFS(tblSafety[Vehicle_Incidents],tblSafety[Date],$A91)</f>
        <v/>
      </c>
      <c r="GX91" s="62">
        <f>IF($B91=$B90,$GX90,0)+$GW91</f>
        <v/>
      </c>
      <c r="GY91" s="62">
        <f>$GY90+$GW91</f>
        <v/>
      </c>
      <c r="GZ91" s="62">
        <f>SUMIFS(tblSafety[Toolbox_Talks],tblSafety[Date],$A91)</f>
        <v/>
      </c>
      <c r="HA91" s="62">
        <f>IF($B91=$B90,$HA90,0)+$GZ91</f>
        <v/>
      </c>
      <c r="HB91" s="62">
        <f>$HB90+$GZ91</f>
        <v/>
      </c>
      <c r="HC91" s="62">
        <f>SUMIFS(tblSafety[Inspections],tblSafety[Date],$A91)</f>
        <v/>
      </c>
      <c r="HD91" s="62">
        <f>IF($B91=$B90,$HD90,0)+$HC91</f>
        <v/>
      </c>
      <c r="HE91" s="62">
        <f>$HE90+$HC91</f>
        <v/>
      </c>
      <c r="HF91" s="56">
        <f>IFERROR((SUMIFS(tblSafety[Recordables],tblSafety[Date],"&gt;="&amp;EDATE($E91,-12),tblSafety[Date],"&lt;="&amp;$A91)+SUMIFS(tblSafetyHistory[Recordables],tblSafetyHistory[Month],"&gt;="&amp;EDATE($E91,-12),tblSafetyHistory[Month],"&lt;"&amp;cfg_YearStart))/(SUMIFS(tblSafety[Hours_Total],tblSafety[Date],"&gt;="&amp;EDATE($E91,-12),tblSafety[Date],"&lt;="&amp;$A91)+SUMIFS(tblSafetyHistory[Hours_Total],tblSafetyHistory[Month],"&gt;="&amp;EDATE($E91,-12),tblSafetyHistory[Month],"&lt;"&amp;cfg_YearStart))*1000000,"")</f>
        <v/>
      </c>
      <c r="HG91" s="56">
        <f>IFERROR((SUMIFS(tblSafety[LTI],tblSafety[Date],"&gt;="&amp;EDATE($E91,-12),tblSafety[Date],"&lt;="&amp;$A91)+SUMIFS(tblSafetyHistory[LTI],tblSafetyHistory[Month],"&gt;="&amp;EDATE($E91,-12),tblSafetyHistory[Month],"&lt;"&amp;cfg_YearStart))/(SUMIFS(tblSafety[Hours_Total],tblSafety[Date],"&gt;="&amp;EDATE($E91,-12),tblSafety[Date],"&lt;="&amp;$A91)+SUMIFS(tblSafetyHistory[Hours_Total],tblSafetyHistory[Month],"&gt;="&amp;EDATE($E91,-12),tblSafetyHistory[Month],"&lt;"&amp;cfg_YearStart))*1000000,"")</f>
        <v/>
      </c>
      <c r="HH91" s="62">
        <f>IF(MAX(N(cfg_PriorLTIDate),_xlfn.MAXIFS(tblSafety[Date],tblSafety[LTI],"&gt;0",tblSafety[Date],"&lt;="&amp;$A91))=0,"",$A91-MAX(N(cfg_PriorLTIDate),_xlfn.MAXIFS(tblSafety[Date],tblSafety[LTI],"&gt;0",tblSafety[Date],"&lt;="&amp;$A91)))</f>
        <v/>
      </c>
      <c r="HI91" s="55">
        <f>SUMIFS(tblBudget[Ore_Mined_t],tblBudget[Month],$E91)</f>
        <v/>
      </c>
      <c r="HJ91" s="55">
        <f>$HI91*$C91/$D91</f>
        <v/>
      </c>
      <c r="HK91" s="55">
        <f>SUMIFS(tblBudget[Ore_Mined_t],tblBudget[Month],"&lt;"&amp;$E91)+$HJ91</f>
        <v/>
      </c>
      <c r="HL91" s="55">
        <f>SUMIFS(tblBudget[Ore_oz],tblBudget[Month],$E91)</f>
        <v/>
      </c>
      <c r="HM91" s="55">
        <f>$HL91*$C91/$D91</f>
        <v/>
      </c>
      <c r="HN91" s="55">
        <f>SUMIFS(tblBudget[Ore_oz],tblBudget[Month],"&lt;"&amp;$E91)+$HM91</f>
        <v/>
      </c>
      <c r="HO91" s="56">
        <f>IFERROR(IF(($HI91)&gt;0,($HL91*cfg_TroyOz)/($HI91),""),"")</f>
        <v/>
      </c>
      <c r="HP91" s="56">
        <f>IFERROR(IF(($HJ91)&gt;0,($HM91*cfg_TroyOz)/($HJ91),""),"")</f>
        <v/>
      </c>
      <c r="HQ91" s="56">
        <f>IFERROR(IF(($HK91)&gt;0,($HN91*cfg_TroyOz)/($HK91),""),"")</f>
        <v/>
      </c>
      <c r="HR91" s="55">
        <f>SUMIFS(tblBudget[Waste_t],tblBudget[Month],$E91)</f>
        <v/>
      </c>
      <c r="HS91" s="55">
        <f>$HR91*$C91/$D91</f>
        <v/>
      </c>
      <c r="HT91" s="55">
        <f>SUMIFS(tblBudget[Waste_t],tblBudget[Month],"&lt;"&amp;$E91)+$HS91</f>
        <v/>
      </c>
      <c r="HU91" s="55">
        <f>SUMIFS(tblBudget[TMM_t],tblBudget[Month],$E91)</f>
        <v/>
      </c>
      <c r="HV91" s="55">
        <f>$HU91*$C91/$D91</f>
        <v/>
      </c>
      <c r="HW91" s="55">
        <f>SUMIFS(tblBudget[TMM_t],tblBudget[Month],"&lt;"&amp;$E91)+$HV91</f>
        <v/>
      </c>
      <c r="HX91" s="56">
        <f>IFERROR(IF(($HI91)&gt;0,($HR91)/($HI91),""),"")</f>
        <v/>
      </c>
      <c r="HY91" s="56">
        <f>IFERROR(IF(($HJ91)&gt;0,($HS91)/($HJ91),""),"")</f>
        <v/>
      </c>
      <c r="HZ91" s="56">
        <f>IFERROR(IF(($HK91)&gt;0,($HT91)/($HK91),""),"")</f>
        <v/>
      </c>
      <c r="IA91" s="55">
        <f>SUMIFS(tblBudget[Drill_m],tblBudget[Month],$E91)</f>
        <v/>
      </c>
      <c r="IB91" s="55">
        <f>$IA91*$C91/$D91</f>
        <v/>
      </c>
      <c r="IC91" s="55">
        <f>SUMIFS(tblBudget[Drill_m],tblBudget[Month],"&lt;"&amp;$E91)+$IB91</f>
        <v/>
      </c>
      <c r="ID91" s="55">
        <f>SUMIFS(tblBudget[Diesel_L],tblBudget[Month],$E91)</f>
        <v/>
      </c>
      <c r="IE91" s="55">
        <f>$ID91*$C91/$D91</f>
        <v/>
      </c>
      <c r="IF91" s="55">
        <f>SUMIFS(tblBudget[Diesel_L],tblBudget[Month],"&lt;"&amp;$E91)+$IE91</f>
        <v/>
      </c>
      <c r="IG91" s="55">
        <f>SUMIFS(tblBudget[Milled_t],tblBudget[Month],$E91)</f>
        <v/>
      </c>
      <c r="IH91" s="55">
        <f>$IG91*$C91/$D91</f>
        <v/>
      </c>
      <c r="II91" s="55">
        <f>SUMIFS(tblBudget[Milled_t],tblBudget[Month],"&lt;"&amp;$E91)+$IH91</f>
        <v/>
      </c>
      <c r="IJ91" s="55">
        <f>SUMIFS(tblBudget[Feed_oz],tblBudget[Month],$E91)</f>
        <v/>
      </c>
      <c r="IK91" s="55">
        <f>$IJ91*$C91/$D91</f>
        <v/>
      </c>
      <c r="IL91" s="55">
        <f>SUMIFS(tblBudget[Feed_oz],tblBudget[Month],"&lt;"&amp;$E91)+$IK91</f>
        <v/>
      </c>
      <c r="IM91" s="55">
        <f>SUMIFS(tblBudget[Recovered_oz],tblBudget[Month],$E91)</f>
        <v/>
      </c>
      <c r="IN91" s="55">
        <f>$IM91*$C91/$D91</f>
        <v/>
      </c>
      <c r="IO91" s="55">
        <f>SUMIFS(tblBudget[Recovered_oz],tblBudget[Month],"&lt;"&amp;$E91)+$IN91</f>
        <v/>
      </c>
      <c r="IP91" s="56">
        <f>IFERROR(IF(($IG91)&gt;0,($IJ91*cfg_TroyOz)/($IG91),""),"")</f>
        <v/>
      </c>
      <c r="IQ91" s="56">
        <f>IFERROR(IF(($IH91)&gt;0,($IK91*cfg_TroyOz)/($IH91),""),"")</f>
        <v/>
      </c>
      <c r="IR91" s="56">
        <f>IFERROR(IF(($II91)&gt;0,($IL91*cfg_TroyOz)/($II91),""),"")</f>
        <v/>
      </c>
      <c r="IS91" s="67">
        <f>IFERROR(IF(($IJ91)&gt;0,($IM91)/($IJ91),""),"")</f>
        <v/>
      </c>
      <c r="IT91" s="67">
        <f>IFERROR(IF(($IK91)&gt;0,($IN91)/($IK91),""),"")</f>
        <v/>
      </c>
      <c r="IU91" s="67">
        <f>IFERROR(IF(($IL91)&gt;0,($IO91)/($IL91),""),"")</f>
        <v/>
      </c>
      <c r="IV91" s="55">
        <f>SUMIFS(tblBudget[Gold_Poured_oz],tblBudget[Month],$E91)</f>
        <v/>
      </c>
      <c r="IW91" s="55">
        <f>$IV91*$C91/$D91</f>
        <v/>
      </c>
      <c r="IX91" s="55">
        <f>SUMIFS(tblBudget[Gold_Poured_oz],tblBudget[Month],"&lt;"&amp;$E91)+$IW91</f>
        <v/>
      </c>
      <c r="IY91" s="57">
        <f>SUMIFS(tblBudget[Hours_Worked],tblBudget[Month],$E91)</f>
        <v/>
      </c>
      <c r="IZ91" s="57">
        <f>$IY91*$C91/$D91</f>
        <v/>
      </c>
      <c r="JA91" s="57">
        <f>SUMIFS(tblBudget[Hours_Worked],tblBudget[Month],"&lt;"&amp;$E91)+$IZ91</f>
        <v/>
      </c>
    </row>
    <row r="92">
      <c r="A92" s="54" t="n">
        <v>46113</v>
      </c>
      <c r="B92">
        <f>MONTH($A92)</f>
        <v/>
      </c>
      <c r="C92">
        <f>DAY($A92)</f>
        <v/>
      </c>
      <c r="D92">
        <f>DAY(EOMONTH($A92,0))</f>
        <v/>
      </c>
      <c r="E92" s="54">
        <f>DATE(YEAR($A92),MONTH($A92),1)</f>
        <v/>
      </c>
      <c r="F92" s="55">
        <f>SUMIFS(tblMovement[Tonnes_t],tblMovement[Date],$A92,tblMovement[Is_Ore],1,tblMovement[Source_Type],"Pit")</f>
        <v/>
      </c>
      <c r="G92" s="55">
        <f>IF($B92=$B91,$G91,0)+$F92</f>
        <v/>
      </c>
      <c r="H92" s="55">
        <f>$H91+$F92</f>
        <v/>
      </c>
      <c r="I92" s="55">
        <f>SUMIFS(tblMovement[Ore_oz],tblMovement[Date],$A92,tblMovement[Source_Type],"Pit")</f>
        <v/>
      </c>
      <c r="J92" s="55">
        <f>IF($B92=$B91,$J91,0)+$I92</f>
        <v/>
      </c>
      <c r="K92" s="55">
        <f>$K91+$I92</f>
        <v/>
      </c>
      <c r="L92" s="56">
        <f>IFERROR(IF(($F92)&gt;0,($I92*cfg_TroyOz)/($F92),""),"")</f>
        <v/>
      </c>
      <c r="M92" s="56">
        <f>IFERROR(IF(($G92)&gt;0,($J92*cfg_TroyOz)/($G92),""),"")</f>
        <v/>
      </c>
      <c r="N92" s="56">
        <f>IFERROR(IF(($H92)&gt;0,($K92*cfg_TroyOz)/($H92),""),"")</f>
        <v/>
      </c>
      <c r="O92" s="55">
        <f>SUMIFS(tblMovement[Tonnes_t],tblMovement[Date],$A92,tblMovement[Is_Ore],0,tblMovement[Source_Type],"Pit")</f>
        <v/>
      </c>
      <c r="P92" s="55">
        <f>IF($B92=$B91,$P91,0)+$O92</f>
        <v/>
      </c>
      <c r="Q92" s="55">
        <f>$Q91+$O92</f>
        <v/>
      </c>
      <c r="R92" s="55">
        <f>$F92+$O92</f>
        <v/>
      </c>
      <c r="S92" s="55">
        <f>IF($B92=$B91,$S91,0)+$R92</f>
        <v/>
      </c>
      <c r="T92" s="55">
        <f>$T91+$R92</f>
        <v/>
      </c>
      <c r="U92" s="56">
        <f>IFERROR(IF(($F92)&gt;0,($O92)/($F92),""),"")</f>
        <v/>
      </c>
      <c r="V92" s="56">
        <f>IFERROR(IF(($G92)&gt;0,($P92)/($G92),""),"")</f>
        <v/>
      </c>
      <c r="W92" s="56">
        <f>IFERROR(IF(($H92)&gt;0,($Q92)/($H92),""),"")</f>
        <v/>
      </c>
      <c r="X92" s="55">
        <f>SUMIFS(tblMovement[Tonnes_t],tblMovement[Date],$A92,tblMovement[Source_Type],"Stockpile")</f>
        <v/>
      </c>
      <c r="Y92" s="55">
        <f>IF($B92=$B91,$Y91,0)+$X92</f>
        <v/>
      </c>
      <c r="Z92" s="55">
        <f>$Z91+$X92</f>
        <v/>
      </c>
      <c r="AA92" s="55">
        <f>SUMIFS(tblMiningDaily[Drill_m],tblMiningDaily[Date],$A92)</f>
        <v/>
      </c>
      <c r="AB92" s="55">
        <f>IF($B92=$B91,$AB91,0)+$AA92</f>
        <v/>
      </c>
      <c r="AC92" s="55">
        <f>$AC91+$AA92</f>
        <v/>
      </c>
      <c r="AD92" s="55">
        <f>SUMIFS(tblMiningDaily[Blast_t],tblMiningDaily[Date],$A92)</f>
        <v/>
      </c>
      <c r="AE92" s="55">
        <f>IF($B92=$B91,$AE91,0)+$AD92</f>
        <v/>
      </c>
      <c r="AF92" s="55">
        <f>$AF91+$AD92</f>
        <v/>
      </c>
      <c r="AG92" s="55">
        <f>SUMIFS(tblMiningDaily[Explosives_kg],tblMiningDaily[Date],$A92)</f>
        <v/>
      </c>
      <c r="AH92" s="55">
        <f>IF($B92=$B91,$AH91,0)+$AG92</f>
        <v/>
      </c>
      <c r="AI92" s="55">
        <f>$AI91+$AG92</f>
        <v/>
      </c>
      <c r="AJ92" s="56">
        <f>IFERROR(IF(($AD92)&gt;0,($AG92)/($AD92),""),"")</f>
        <v/>
      </c>
      <c r="AK92" s="56">
        <f>IFERROR(IF(($AE92)&gt;0,($AH92)/($AE92),""),"")</f>
        <v/>
      </c>
      <c r="AL92" s="56">
        <f>IFERROR(IF(($AF92)&gt;0,($AI92)/($AF92),""),"")</f>
        <v/>
      </c>
      <c r="AM92" s="55">
        <f>SUMIFS(tblMiningDaily[Diesel_L],tblMiningDaily[Date],$A92)</f>
        <v/>
      </c>
      <c r="AN92" s="55">
        <f>IF($B92=$B91,$AN91,0)+$AM92</f>
        <v/>
      </c>
      <c r="AO92" s="55">
        <f>$AO91+$AM92</f>
        <v/>
      </c>
      <c r="AP92" s="55">
        <f>SUMIFS(tblMiningDaily[Dewatering_m3],tblMiningDaily[Date],$A92)</f>
        <v/>
      </c>
      <c r="AQ92" s="55">
        <f>IF($B92=$B91,$AQ91,0)+$AP92</f>
        <v/>
      </c>
      <c r="AR92" s="55">
        <f>$AR91+$AP92</f>
        <v/>
      </c>
      <c r="AS92" s="57">
        <f>SUMIFS(tblFleet[Calendar_h],tblFleet[Date],$A92,tblFleet[Equipment_Class],"Excavator")</f>
        <v/>
      </c>
      <c r="AT92" s="57">
        <f>IF($B92=$B91,$AT91,0)+$AS92</f>
        <v/>
      </c>
      <c r="AU92" s="57">
        <f>$AU91+$AS92</f>
        <v/>
      </c>
      <c r="AV92" s="57">
        <f>SUMIFS(tblFleet[Available_h],tblFleet[Date],$A92,tblFleet[Equipment_Class],"Excavator")</f>
        <v/>
      </c>
      <c r="AW92" s="57">
        <f>IF($B92=$B91,$AW91,0)+$AV92</f>
        <v/>
      </c>
      <c r="AX92" s="57">
        <f>$AX91+$AV92</f>
        <v/>
      </c>
      <c r="AY92" s="57">
        <f>SUMIFS(tblFleet[Operating_h],tblFleet[Date],$A92,tblFleet[Equipment_Class],"Excavator")</f>
        <v/>
      </c>
      <c r="AZ92" s="57">
        <f>IF($B92=$B91,$AZ91,0)+$AY92</f>
        <v/>
      </c>
      <c r="BA92" s="57">
        <f>$BA91+$AY92</f>
        <v/>
      </c>
      <c r="BB92" s="67">
        <f>IFERROR(IF(($AS92)&gt;0,($AV92)/($AS92),""),"")</f>
        <v/>
      </c>
      <c r="BC92" s="67">
        <f>IFERROR(IF(($AT92)&gt;0,($AW92)/($AT92),""),"")</f>
        <v/>
      </c>
      <c r="BD92" s="67">
        <f>IFERROR(IF(($AU92)&gt;0,($AX92)/($AU92),""),"")</f>
        <v/>
      </c>
      <c r="BE92" s="67">
        <f>IFERROR(IF(($AV92)&gt;0,($AY92)/($AV92),""),"")</f>
        <v/>
      </c>
      <c r="BF92" s="67">
        <f>IFERROR(IF(($AW92)&gt;0,($AZ92)/($AW92),""),"")</f>
        <v/>
      </c>
      <c r="BG92" s="67">
        <f>IFERROR(IF(($AX92)&gt;0,($BA92)/($AX92),""),"")</f>
        <v/>
      </c>
      <c r="BH92" s="57">
        <f>SUMIFS(tblFleet[Calendar_h],tblFleet[Date],$A92,tblFleet[Equipment_Class],"Haul Truck")</f>
        <v/>
      </c>
      <c r="BI92" s="57">
        <f>IF($B92=$B91,$BI91,0)+$BH92</f>
        <v/>
      </c>
      <c r="BJ92" s="57">
        <f>$BJ91+$BH92</f>
        <v/>
      </c>
      <c r="BK92" s="57">
        <f>SUMIFS(tblFleet[Available_h],tblFleet[Date],$A92,tblFleet[Equipment_Class],"Haul Truck")</f>
        <v/>
      </c>
      <c r="BL92" s="57">
        <f>IF($B92=$B91,$BL91,0)+$BK92</f>
        <v/>
      </c>
      <c r="BM92" s="57">
        <f>$BM91+$BK92</f>
        <v/>
      </c>
      <c r="BN92" s="57">
        <f>SUMIFS(tblFleet[Operating_h],tblFleet[Date],$A92,tblFleet[Equipment_Class],"Haul Truck")</f>
        <v/>
      </c>
      <c r="BO92" s="57">
        <f>IF($B92=$B91,$BO91,0)+$BN92</f>
        <v/>
      </c>
      <c r="BP92" s="57">
        <f>$BP91+$BN92</f>
        <v/>
      </c>
      <c r="BQ92" s="67">
        <f>IFERROR(IF(($BH92)&gt;0,($BK92)/($BH92),""),"")</f>
        <v/>
      </c>
      <c r="BR92" s="67">
        <f>IFERROR(IF(($BI92)&gt;0,($BL92)/($BI92),""),"")</f>
        <v/>
      </c>
      <c r="BS92" s="67">
        <f>IFERROR(IF(($BJ92)&gt;0,($BM92)/($BJ92),""),"")</f>
        <v/>
      </c>
      <c r="BT92" s="67">
        <f>IFERROR(IF(($BK92)&gt;0,($BN92)/($BK92),""),"")</f>
        <v/>
      </c>
      <c r="BU92" s="67">
        <f>IFERROR(IF(($BL92)&gt;0,($BO92)/($BL92),""),"")</f>
        <v/>
      </c>
      <c r="BV92" s="67">
        <f>IFERROR(IF(($BM92)&gt;0,($BP92)/($BM92),""),"")</f>
        <v/>
      </c>
      <c r="BW92" s="55">
        <f>SUMIFS(tblPlant[Crushed_t],tblPlant[Date],$A92)</f>
        <v/>
      </c>
      <c r="BX92" s="55">
        <f>IF($B92=$B91,$BX91,0)+$BW92</f>
        <v/>
      </c>
      <c r="BY92" s="55">
        <f>$BY91+$BW92</f>
        <v/>
      </c>
      <c r="BZ92" s="55">
        <f>SUMIFS(tblPlant[Milled_t],tblPlant[Date],$A92)</f>
        <v/>
      </c>
      <c r="CA92" s="55">
        <f>IF($B92=$B91,$CA91,0)+$BZ92</f>
        <v/>
      </c>
      <c r="CB92" s="55">
        <f>$CB91+$BZ92</f>
        <v/>
      </c>
      <c r="CC92" s="55">
        <f>SUMIFS(tblPlant[Feed_oz],tblPlant[Date],$A92)</f>
        <v/>
      </c>
      <c r="CD92" s="55">
        <f>IF($B92=$B91,$CD91,0)+$CC92</f>
        <v/>
      </c>
      <c r="CE92" s="55">
        <f>$CE91+$CC92</f>
        <v/>
      </c>
      <c r="CF92" s="55">
        <f>SUMIFS(tblPlant[Tails_oz],tblPlant[Date],$A92)</f>
        <v/>
      </c>
      <c r="CG92" s="55">
        <f>IF($B92=$B91,$CG91,0)+$CF92</f>
        <v/>
      </c>
      <c r="CH92" s="55">
        <f>$CH91+$CF92</f>
        <v/>
      </c>
      <c r="CI92" s="55">
        <f>SUMIFS(tblPlant[Recovered_oz],tblPlant[Date],$A92)</f>
        <v/>
      </c>
      <c r="CJ92" s="55">
        <f>IF($B92=$B91,$CJ91,0)+$CI92</f>
        <v/>
      </c>
      <c r="CK92" s="55">
        <f>$CK91+$CI92</f>
        <v/>
      </c>
      <c r="CL92" s="56">
        <f>IFERROR(IF(($BZ92)&gt;0,($CC92*cfg_TroyOz)/($BZ92),""),"")</f>
        <v/>
      </c>
      <c r="CM92" s="56">
        <f>IFERROR(IF(($CA92)&gt;0,($CD92*cfg_TroyOz)/($CA92),""),"")</f>
        <v/>
      </c>
      <c r="CN92" s="56">
        <f>IFERROR(IF(($CB92)&gt;0,($CE92*cfg_TroyOz)/($CB92),""),"")</f>
        <v/>
      </c>
      <c r="CO92" s="56">
        <f>IFERROR(IF(($BZ92)&gt;0,($CF92*cfg_TroyOz)/($BZ92),""),"")</f>
        <v/>
      </c>
      <c r="CP92" s="56">
        <f>IFERROR(IF(($CA92)&gt;0,($CG92*cfg_TroyOz)/($CA92),""),"")</f>
        <v/>
      </c>
      <c r="CQ92" s="56">
        <f>IFERROR(IF(($CB92)&gt;0,($CH92*cfg_TroyOz)/($CB92),""),"")</f>
        <v/>
      </c>
      <c r="CR92" s="67">
        <f>IFERROR(IF(($CC92)&gt;0,($CI92)/($CC92),""),"")</f>
        <v/>
      </c>
      <c r="CS92" s="67">
        <f>IFERROR(IF(($CD92)&gt;0,($CJ92)/($CD92),""),"")</f>
        <v/>
      </c>
      <c r="CT92" s="67">
        <f>IFERROR(IF(($CE92)&gt;0,($CK92)/($CE92),""),"")</f>
        <v/>
      </c>
      <c r="CU92" s="55">
        <f>SUMIFS(tblPlant[Gravity_Gold_oz],tblPlant[Date],$A92)</f>
        <v/>
      </c>
      <c r="CV92" s="55">
        <f>IF($B92=$B91,$CV91,0)+$CU92</f>
        <v/>
      </c>
      <c r="CW92" s="55">
        <f>$CW91+$CU92</f>
        <v/>
      </c>
      <c r="CX92" s="55">
        <f>SUMIFS(tblPlant[Gold_Poured_oz],tblPlant[Date],$A92)</f>
        <v/>
      </c>
      <c r="CY92" s="55">
        <f>IF($B92=$B91,$CY91,0)+$CX92</f>
        <v/>
      </c>
      <c r="CZ92" s="55">
        <f>$CZ91+$CX92</f>
        <v/>
      </c>
      <c r="DA92" s="57">
        <f>SUMIFS(tblPlant[Mill_Run_h],tblPlant[Date],$A92)</f>
        <v/>
      </c>
      <c r="DB92" s="57">
        <f>IF($B92=$B91,$DB91,0)+$DA92</f>
        <v/>
      </c>
      <c r="DC92" s="57">
        <f>$DC91+$DA92</f>
        <v/>
      </c>
      <c r="DD92" s="57">
        <f>SUMIFS(tblPlant[Mill_Planned_Maint_h],tblPlant[Date],$A92)</f>
        <v/>
      </c>
      <c r="DE92" s="57">
        <f>IF($B92=$B91,$DE91,0)+$DD92</f>
        <v/>
      </c>
      <c r="DF92" s="57">
        <f>$DF91+$DD92</f>
        <v/>
      </c>
      <c r="DG92" s="57">
        <f>SUMIFS(tblPlant[Mill_Unplanned_Down_h],tblPlant[Date],$A92)</f>
        <v/>
      </c>
      <c r="DH92" s="57">
        <f>IF($B92=$B91,$DH91,0)+$DG92</f>
        <v/>
      </c>
      <c r="DI92" s="57">
        <f>$DI91+$DG92</f>
        <v/>
      </c>
      <c r="DJ92" s="57">
        <f>COUNTIFS(tblPlant[Date],$A92,tblPlant[Mill_Run_h],"&lt;&gt;")*24</f>
        <v/>
      </c>
      <c r="DK92" s="57">
        <f>IF($B92=$B91,$DK91,0)+$DJ92</f>
        <v/>
      </c>
      <c r="DL92" s="57">
        <f>$DL91+$DJ92</f>
        <v/>
      </c>
      <c r="DM92" s="57">
        <f>SUMIFS(tblPlant[Crusher_Run_h],tblPlant[Date],$A92)</f>
        <v/>
      </c>
      <c r="DN92" s="57">
        <f>IF($B92=$B91,$DN91,0)+$DM92</f>
        <v/>
      </c>
      <c r="DO92" s="57">
        <f>$DO91+$DM92</f>
        <v/>
      </c>
      <c r="DP92" s="55">
        <f>IFERROR(IF(($DA92)&gt;0,($BZ92)/($DA92),""),"")</f>
        <v/>
      </c>
      <c r="DQ92" s="55">
        <f>IFERROR(IF(($DB92)&gt;0,($CA92)/($DB92),""),"")</f>
        <v/>
      </c>
      <c r="DR92" s="55">
        <f>IFERROR(IF(($DC92)&gt;0,($CB92)/($DC92),""),"")</f>
        <v/>
      </c>
      <c r="DS92" s="67">
        <f>IFERROR(IF(($DJ92)&gt;0,($DJ92-$DD92-$DG92)/($DJ92),""),"")</f>
        <v/>
      </c>
      <c r="DT92" s="67">
        <f>IFERROR(IF(($DK92)&gt;0,($DK92-$DE92-$DH92)/($DK92),""),"")</f>
        <v/>
      </c>
      <c r="DU92" s="67">
        <f>IFERROR(IF(($DL92)&gt;0,($DL92-$DF92-$DI92)/($DL92),""),"")</f>
        <v/>
      </c>
      <c r="DV92" s="67">
        <f>IFERROR(IF(($DJ92-$DD92-$DG92)&gt;0,($DA92)/($DJ92-$DD92-$DG92),""),"")</f>
        <v/>
      </c>
      <c r="DW92" s="67">
        <f>IFERROR(IF(($DK92-$DE92-$DH92)&gt;0,($DB92)/($DK92-$DE92-$DH92),""),"")</f>
        <v/>
      </c>
      <c r="DX92" s="67">
        <f>IFERROR(IF(($DL92-$DF92-$DI92)&gt;0,($DC92)/($DL92-$DF92-$DI92),""),"")</f>
        <v/>
      </c>
      <c r="DY92" s="55">
        <f>SUMIFS(tblPlant[Cyanide_kg],tblPlant[Date],$A92)</f>
        <v/>
      </c>
      <c r="DZ92" s="55">
        <f>IF($B92=$B91,$DZ91,0)+$DY92</f>
        <v/>
      </c>
      <c r="EA92" s="55">
        <f>$EA91+$DY92</f>
        <v/>
      </c>
      <c r="EB92" s="55">
        <f>SUMIFS(tblPlant[Lime_kg],tblPlant[Date],$A92)</f>
        <v/>
      </c>
      <c r="EC92" s="55">
        <f>IF($B92=$B91,$EC91,0)+$EB92</f>
        <v/>
      </c>
      <c r="ED92" s="55">
        <f>$ED91+$EB92</f>
        <v/>
      </c>
      <c r="EE92" s="55">
        <f>SUMIFS(tblPlant[Grinding_Media_kg],tblPlant[Date],$A92)</f>
        <v/>
      </c>
      <c r="EF92" s="55">
        <f>IF($B92=$B91,$EF91,0)+$EE92</f>
        <v/>
      </c>
      <c r="EG92" s="55">
        <f>$EG91+$EE92</f>
        <v/>
      </c>
      <c r="EH92" s="55">
        <f>SUMIFS(tblPlant[Power_kWh],tblPlant[Date],$A92)</f>
        <v/>
      </c>
      <c r="EI92" s="55">
        <f>IF($B92=$B91,$EI91,0)+$EH92</f>
        <v/>
      </c>
      <c r="EJ92" s="55">
        <f>$EJ91+$EH92</f>
        <v/>
      </c>
      <c r="EK92" s="55">
        <f>SUMIFS(tblPlant[Raw_Water_m3],tblPlant[Date],$A92)</f>
        <v/>
      </c>
      <c r="EL92" s="55">
        <f>IF($B92=$B91,$EL91,0)+$EK92</f>
        <v/>
      </c>
      <c r="EM92" s="55">
        <f>$EM91+$EK92</f>
        <v/>
      </c>
      <c r="EN92" s="56">
        <f>IFERROR(IF(($BZ92)&gt;0,($DY92)/($BZ92),""),"")</f>
        <v/>
      </c>
      <c r="EO92" s="56">
        <f>IFERROR(IF(($CA92)&gt;0,($DZ92)/($CA92),""),"")</f>
        <v/>
      </c>
      <c r="EP92" s="56">
        <f>IFERROR(IF(($CB92)&gt;0,($EA92)/($CB92),""),"")</f>
        <v/>
      </c>
      <c r="EQ92" s="56">
        <f>IFERROR(IF(($BZ92)&gt;0,($EB92)/($BZ92),""),"")</f>
        <v/>
      </c>
      <c r="ER92" s="56">
        <f>IFERROR(IF(($CA92)&gt;0,($EC92)/($CA92),""),"")</f>
        <v/>
      </c>
      <c r="ES92" s="56">
        <f>IFERROR(IF(($CB92)&gt;0,($ED92)/($CB92),""),"")</f>
        <v/>
      </c>
      <c r="ET92" s="56">
        <f>IFERROR(IF(($BZ92)&gt;0,($EE92)/($BZ92),""),"")</f>
        <v/>
      </c>
      <c r="EU92" s="56">
        <f>IFERROR(IF(($CA92)&gt;0,($EF92)/($CA92),""),"")</f>
        <v/>
      </c>
      <c r="EV92" s="56">
        <f>IFERROR(IF(($CB92)&gt;0,($EG92)/($CB92),""),"")</f>
        <v/>
      </c>
      <c r="EW92" s="76">
        <f>IFERROR(IF(($BZ92)&gt;0,($EH92)/($BZ92),""),"")</f>
        <v/>
      </c>
      <c r="EX92" s="76">
        <f>IFERROR(IF(($CA92)&gt;0,($EI92)/($CA92),""),"")</f>
        <v/>
      </c>
      <c r="EY92" s="76">
        <f>IFERROR(IF(($CB92)&gt;0,($EJ92)/($CB92),""),"")</f>
        <v/>
      </c>
      <c r="EZ92" s="56">
        <f>IFERROR(IF(($BZ92)&gt;0,($EK92)/($BZ92),""),"")</f>
        <v/>
      </c>
      <c r="FA92" s="56">
        <f>IFERROR(IF(($CA92)&gt;0,($EL92)/($CA92),""),"")</f>
        <v/>
      </c>
      <c r="FB92" s="56">
        <f>IFERROR(IF(($CB92)&gt;0,($EM92)/($CB92),""),"")</f>
        <v/>
      </c>
      <c r="FC92" s="55">
        <f>IF(SUMIFS(tblPlant[GIC_oz],tblPlant[Date],$A92)&gt;0,SUMIFS(tblPlant[GIC_oz],tblPlant[Date],$A92),"")</f>
        <v/>
      </c>
      <c r="FD92" s="55">
        <f>SUMIFS(tblGold[Gold_oz],tblGold[Date],$A92,tblGold[Type],"Shipment")</f>
        <v/>
      </c>
      <c r="FE92" s="55">
        <f>IF($B92=$B91,$FE91,0)+$FD92</f>
        <v/>
      </c>
      <c r="FF92" s="55">
        <f>$FF91+$FD92</f>
        <v/>
      </c>
      <c r="FG92" s="55">
        <f>SUMIFS(tblGold[Gold_oz],tblGold[Date],$A92,tblGold[Type],"Sale")</f>
        <v/>
      </c>
      <c r="FH92" s="55">
        <f>IF($B92=$B91,$FH91,0)+$FG92</f>
        <v/>
      </c>
      <c r="FI92" s="55">
        <f>$FI91+$FG92</f>
        <v/>
      </c>
      <c r="FJ92" s="55">
        <f>SUMIFS(tblGold[Dore_kg],tblGold[Date],$A92,tblGold[Type],"Shipment")</f>
        <v/>
      </c>
      <c r="FK92" s="55">
        <f>IF($B92=$B91,$FK91,0)+$FJ92</f>
        <v/>
      </c>
      <c r="FL92" s="55">
        <f>$FL91+$FJ92</f>
        <v/>
      </c>
      <c r="FM92" s="57">
        <f>SUMIFS(tblSafety[Hours_Total],tblSafety[Date],$A92)</f>
        <v/>
      </c>
      <c r="FN92" s="57">
        <f>IF($B92=$B91,$FN91,0)+$FM92</f>
        <v/>
      </c>
      <c r="FO92" s="57">
        <f>$FO91+$FM92</f>
        <v/>
      </c>
      <c r="FP92" s="62">
        <f>SUMIFS(tblSafety[Fatality],tblSafety[Date],$A92)</f>
        <v/>
      </c>
      <c r="FQ92" s="62">
        <f>IF($B92=$B91,$FQ91,0)+$FP92</f>
        <v/>
      </c>
      <c r="FR92" s="62">
        <f>$FR91+$FP92</f>
        <v/>
      </c>
      <c r="FS92" s="62">
        <f>SUMIFS(tblSafety[LTI],tblSafety[Date],$A92)</f>
        <v/>
      </c>
      <c r="FT92" s="62">
        <f>IF($B92=$B91,$FT91,0)+$FS92</f>
        <v/>
      </c>
      <c r="FU92" s="62">
        <f>$FU91+$FS92</f>
        <v/>
      </c>
      <c r="FV92" s="62">
        <f>SUMIFS(tblSafety[RWI],tblSafety[Date],$A92)</f>
        <v/>
      </c>
      <c r="FW92" s="62">
        <f>IF($B92=$B91,$FW91,0)+$FV92</f>
        <v/>
      </c>
      <c r="FX92" s="62">
        <f>$FX91+$FV92</f>
        <v/>
      </c>
      <c r="FY92" s="62">
        <f>SUMIFS(tblSafety[MTI],tblSafety[Date],$A92)</f>
        <v/>
      </c>
      <c r="FZ92" s="62">
        <f>IF($B92=$B91,$FZ91,0)+$FY92</f>
        <v/>
      </c>
      <c r="GA92" s="62">
        <f>$GA91+$FY92</f>
        <v/>
      </c>
      <c r="GB92" s="62">
        <f>SUMIFS(tblSafety[FAI],tblSafety[Date],$A92)</f>
        <v/>
      </c>
      <c r="GC92" s="62">
        <f>IF($B92=$B91,$GC91,0)+$GB92</f>
        <v/>
      </c>
      <c r="GD92" s="62">
        <f>$GD91+$GB92</f>
        <v/>
      </c>
      <c r="GE92" s="62">
        <f>SUMIFS(tblSafety[Recordables],tblSafety[Date],$A92)</f>
        <v/>
      </c>
      <c r="GF92" s="62">
        <f>IF($B92=$B91,$GF91,0)+$GE92</f>
        <v/>
      </c>
      <c r="GG92" s="62">
        <f>$GG91+$GE92</f>
        <v/>
      </c>
      <c r="GH92" s="62">
        <f>SUMIFS(tblSafety[Near_Miss],tblSafety[Date],$A92)</f>
        <v/>
      </c>
      <c r="GI92" s="62">
        <f>IF($B92=$B91,$GI91,0)+$GH92</f>
        <v/>
      </c>
      <c r="GJ92" s="62">
        <f>$GJ91+$GH92</f>
        <v/>
      </c>
      <c r="GK92" s="62">
        <f>SUMIFS(tblSafety[Hazard_Reports],tblSafety[Date],$A92)</f>
        <v/>
      </c>
      <c r="GL92" s="62">
        <f>IF($B92=$B91,$GL91,0)+$GK92</f>
        <v/>
      </c>
      <c r="GM92" s="62">
        <f>$GM91+$GK92</f>
        <v/>
      </c>
      <c r="GN92" s="62">
        <f>SUMIFS(tblSafety[HPI],tblSafety[Date],$A92)</f>
        <v/>
      </c>
      <c r="GO92" s="62">
        <f>IF($B92=$B91,$GO91,0)+$GN92</f>
        <v/>
      </c>
      <c r="GP92" s="62">
        <f>$GP91+$GN92</f>
        <v/>
      </c>
      <c r="GQ92" s="62">
        <f>SUMIFS(tblSafety[Env_Incidents],tblSafety[Date],$A92)</f>
        <v/>
      </c>
      <c r="GR92" s="62">
        <f>IF($B92=$B91,$GR91,0)+$GQ92</f>
        <v/>
      </c>
      <c r="GS92" s="62">
        <f>$GS91+$GQ92</f>
        <v/>
      </c>
      <c r="GT92" s="62">
        <f>SUMIFS(tblSafety[Community_Incidents],tblSafety[Date],$A92)</f>
        <v/>
      </c>
      <c r="GU92" s="62">
        <f>IF($B92=$B91,$GU91,0)+$GT92</f>
        <v/>
      </c>
      <c r="GV92" s="62">
        <f>$GV91+$GT92</f>
        <v/>
      </c>
      <c r="GW92" s="62">
        <f>SUMIFS(tblSafety[Vehicle_Incidents],tblSafety[Date],$A92)</f>
        <v/>
      </c>
      <c r="GX92" s="62">
        <f>IF($B92=$B91,$GX91,0)+$GW92</f>
        <v/>
      </c>
      <c r="GY92" s="62">
        <f>$GY91+$GW92</f>
        <v/>
      </c>
      <c r="GZ92" s="62">
        <f>SUMIFS(tblSafety[Toolbox_Talks],tblSafety[Date],$A92)</f>
        <v/>
      </c>
      <c r="HA92" s="62">
        <f>IF($B92=$B91,$HA91,0)+$GZ92</f>
        <v/>
      </c>
      <c r="HB92" s="62">
        <f>$HB91+$GZ92</f>
        <v/>
      </c>
      <c r="HC92" s="62">
        <f>SUMIFS(tblSafety[Inspections],tblSafety[Date],$A92)</f>
        <v/>
      </c>
      <c r="HD92" s="62">
        <f>IF($B92=$B91,$HD91,0)+$HC92</f>
        <v/>
      </c>
      <c r="HE92" s="62">
        <f>$HE91+$HC92</f>
        <v/>
      </c>
      <c r="HF92" s="56">
        <f>IFERROR((SUMIFS(tblSafety[Recordables],tblSafety[Date],"&gt;="&amp;EDATE($E92,-12),tblSafety[Date],"&lt;="&amp;$A92)+SUMIFS(tblSafetyHistory[Recordables],tblSafetyHistory[Month],"&gt;="&amp;EDATE($E92,-12),tblSafetyHistory[Month],"&lt;"&amp;cfg_YearStart))/(SUMIFS(tblSafety[Hours_Total],tblSafety[Date],"&gt;="&amp;EDATE($E92,-12),tblSafety[Date],"&lt;="&amp;$A92)+SUMIFS(tblSafetyHistory[Hours_Total],tblSafetyHistory[Month],"&gt;="&amp;EDATE($E92,-12),tblSafetyHistory[Month],"&lt;"&amp;cfg_YearStart))*1000000,"")</f>
        <v/>
      </c>
      <c r="HG92" s="56">
        <f>IFERROR((SUMIFS(tblSafety[LTI],tblSafety[Date],"&gt;="&amp;EDATE($E92,-12),tblSafety[Date],"&lt;="&amp;$A92)+SUMIFS(tblSafetyHistory[LTI],tblSafetyHistory[Month],"&gt;="&amp;EDATE($E92,-12),tblSafetyHistory[Month],"&lt;"&amp;cfg_YearStart))/(SUMIFS(tblSafety[Hours_Total],tblSafety[Date],"&gt;="&amp;EDATE($E92,-12),tblSafety[Date],"&lt;="&amp;$A92)+SUMIFS(tblSafetyHistory[Hours_Total],tblSafetyHistory[Month],"&gt;="&amp;EDATE($E92,-12),tblSafetyHistory[Month],"&lt;"&amp;cfg_YearStart))*1000000,"")</f>
        <v/>
      </c>
      <c r="HH92" s="62">
        <f>IF(MAX(N(cfg_PriorLTIDate),_xlfn.MAXIFS(tblSafety[Date],tblSafety[LTI],"&gt;0",tblSafety[Date],"&lt;="&amp;$A92))=0,"",$A92-MAX(N(cfg_PriorLTIDate),_xlfn.MAXIFS(tblSafety[Date],tblSafety[LTI],"&gt;0",tblSafety[Date],"&lt;="&amp;$A92)))</f>
        <v/>
      </c>
      <c r="HI92" s="55">
        <f>SUMIFS(tblBudget[Ore_Mined_t],tblBudget[Month],$E92)</f>
        <v/>
      </c>
      <c r="HJ92" s="55">
        <f>$HI92*$C92/$D92</f>
        <v/>
      </c>
      <c r="HK92" s="55">
        <f>SUMIFS(tblBudget[Ore_Mined_t],tblBudget[Month],"&lt;"&amp;$E92)+$HJ92</f>
        <v/>
      </c>
      <c r="HL92" s="55">
        <f>SUMIFS(tblBudget[Ore_oz],tblBudget[Month],$E92)</f>
        <v/>
      </c>
      <c r="HM92" s="55">
        <f>$HL92*$C92/$D92</f>
        <v/>
      </c>
      <c r="HN92" s="55">
        <f>SUMIFS(tblBudget[Ore_oz],tblBudget[Month],"&lt;"&amp;$E92)+$HM92</f>
        <v/>
      </c>
      <c r="HO92" s="56">
        <f>IFERROR(IF(($HI92)&gt;0,($HL92*cfg_TroyOz)/($HI92),""),"")</f>
        <v/>
      </c>
      <c r="HP92" s="56">
        <f>IFERROR(IF(($HJ92)&gt;0,($HM92*cfg_TroyOz)/($HJ92),""),"")</f>
        <v/>
      </c>
      <c r="HQ92" s="56">
        <f>IFERROR(IF(($HK92)&gt;0,($HN92*cfg_TroyOz)/($HK92),""),"")</f>
        <v/>
      </c>
      <c r="HR92" s="55">
        <f>SUMIFS(tblBudget[Waste_t],tblBudget[Month],$E92)</f>
        <v/>
      </c>
      <c r="HS92" s="55">
        <f>$HR92*$C92/$D92</f>
        <v/>
      </c>
      <c r="HT92" s="55">
        <f>SUMIFS(tblBudget[Waste_t],tblBudget[Month],"&lt;"&amp;$E92)+$HS92</f>
        <v/>
      </c>
      <c r="HU92" s="55">
        <f>SUMIFS(tblBudget[TMM_t],tblBudget[Month],$E92)</f>
        <v/>
      </c>
      <c r="HV92" s="55">
        <f>$HU92*$C92/$D92</f>
        <v/>
      </c>
      <c r="HW92" s="55">
        <f>SUMIFS(tblBudget[TMM_t],tblBudget[Month],"&lt;"&amp;$E92)+$HV92</f>
        <v/>
      </c>
      <c r="HX92" s="56">
        <f>IFERROR(IF(($HI92)&gt;0,($HR92)/($HI92),""),"")</f>
        <v/>
      </c>
      <c r="HY92" s="56">
        <f>IFERROR(IF(($HJ92)&gt;0,($HS92)/($HJ92),""),"")</f>
        <v/>
      </c>
      <c r="HZ92" s="56">
        <f>IFERROR(IF(($HK92)&gt;0,($HT92)/($HK92),""),"")</f>
        <v/>
      </c>
      <c r="IA92" s="55">
        <f>SUMIFS(tblBudget[Drill_m],tblBudget[Month],$E92)</f>
        <v/>
      </c>
      <c r="IB92" s="55">
        <f>$IA92*$C92/$D92</f>
        <v/>
      </c>
      <c r="IC92" s="55">
        <f>SUMIFS(tblBudget[Drill_m],tblBudget[Month],"&lt;"&amp;$E92)+$IB92</f>
        <v/>
      </c>
      <c r="ID92" s="55">
        <f>SUMIFS(tblBudget[Diesel_L],tblBudget[Month],$E92)</f>
        <v/>
      </c>
      <c r="IE92" s="55">
        <f>$ID92*$C92/$D92</f>
        <v/>
      </c>
      <c r="IF92" s="55">
        <f>SUMIFS(tblBudget[Diesel_L],tblBudget[Month],"&lt;"&amp;$E92)+$IE92</f>
        <v/>
      </c>
      <c r="IG92" s="55">
        <f>SUMIFS(tblBudget[Milled_t],tblBudget[Month],$E92)</f>
        <v/>
      </c>
      <c r="IH92" s="55">
        <f>$IG92*$C92/$D92</f>
        <v/>
      </c>
      <c r="II92" s="55">
        <f>SUMIFS(tblBudget[Milled_t],tblBudget[Month],"&lt;"&amp;$E92)+$IH92</f>
        <v/>
      </c>
      <c r="IJ92" s="55">
        <f>SUMIFS(tblBudget[Feed_oz],tblBudget[Month],$E92)</f>
        <v/>
      </c>
      <c r="IK92" s="55">
        <f>$IJ92*$C92/$D92</f>
        <v/>
      </c>
      <c r="IL92" s="55">
        <f>SUMIFS(tblBudget[Feed_oz],tblBudget[Month],"&lt;"&amp;$E92)+$IK92</f>
        <v/>
      </c>
      <c r="IM92" s="55">
        <f>SUMIFS(tblBudget[Recovered_oz],tblBudget[Month],$E92)</f>
        <v/>
      </c>
      <c r="IN92" s="55">
        <f>$IM92*$C92/$D92</f>
        <v/>
      </c>
      <c r="IO92" s="55">
        <f>SUMIFS(tblBudget[Recovered_oz],tblBudget[Month],"&lt;"&amp;$E92)+$IN92</f>
        <v/>
      </c>
      <c r="IP92" s="56">
        <f>IFERROR(IF(($IG92)&gt;0,($IJ92*cfg_TroyOz)/($IG92),""),"")</f>
        <v/>
      </c>
      <c r="IQ92" s="56">
        <f>IFERROR(IF(($IH92)&gt;0,($IK92*cfg_TroyOz)/($IH92),""),"")</f>
        <v/>
      </c>
      <c r="IR92" s="56">
        <f>IFERROR(IF(($II92)&gt;0,($IL92*cfg_TroyOz)/($II92),""),"")</f>
        <v/>
      </c>
      <c r="IS92" s="67">
        <f>IFERROR(IF(($IJ92)&gt;0,($IM92)/($IJ92),""),"")</f>
        <v/>
      </c>
      <c r="IT92" s="67">
        <f>IFERROR(IF(($IK92)&gt;0,($IN92)/($IK92),""),"")</f>
        <v/>
      </c>
      <c r="IU92" s="67">
        <f>IFERROR(IF(($IL92)&gt;0,($IO92)/($IL92),""),"")</f>
        <v/>
      </c>
      <c r="IV92" s="55">
        <f>SUMIFS(tblBudget[Gold_Poured_oz],tblBudget[Month],$E92)</f>
        <v/>
      </c>
      <c r="IW92" s="55">
        <f>$IV92*$C92/$D92</f>
        <v/>
      </c>
      <c r="IX92" s="55">
        <f>SUMIFS(tblBudget[Gold_Poured_oz],tblBudget[Month],"&lt;"&amp;$E92)+$IW92</f>
        <v/>
      </c>
      <c r="IY92" s="57">
        <f>SUMIFS(tblBudget[Hours_Worked],tblBudget[Month],$E92)</f>
        <v/>
      </c>
      <c r="IZ92" s="57">
        <f>$IY92*$C92/$D92</f>
        <v/>
      </c>
      <c r="JA92" s="57">
        <f>SUMIFS(tblBudget[Hours_Worked],tblBudget[Month],"&lt;"&amp;$E92)+$IZ92</f>
        <v/>
      </c>
    </row>
    <row r="93">
      <c r="A93" s="54" t="n">
        <v>46114</v>
      </c>
      <c r="B93">
        <f>MONTH($A93)</f>
        <v/>
      </c>
      <c r="C93">
        <f>DAY($A93)</f>
        <v/>
      </c>
      <c r="D93">
        <f>DAY(EOMONTH($A93,0))</f>
        <v/>
      </c>
      <c r="E93" s="54">
        <f>DATE(YEAR($A93),MONTH($A93),1)</f>
        <v/>
      </c>
      <c r="F93" s="55">
        <f>SUMIFS(tblMovement[Tonnes_t],tblMovement[Date],$A93,tblMovement[Is_Ore],1,tblMovement[Source_Type],"Pit")</f>
        <v/>
      </c>
      <c r="G93" s="55">
        <f>IF($B93=$B92,$G92,0)+$F93</f>
        <v/>
      </c>
      <c r="H93" s="55">
        <f>$H92+$F93</f>
        <v/>
      </c>
      <c r="I93" s="55">
        <f>SUMIFS(tblMovement[Ore_oz],tblMovement[Date],$A93,tblMovement[Source_Type],"Pit")</f>
        <v/>
      </c>
      <c r="J93" s="55">
        <f>IF($B93=$B92,$J92,0)+$I93</f>
        <v/>
      </c>
      <c r="K93" s="55">
        <f>$K92+$I93</f>
        <v/>
      </c>
      <c r="L93" s="56">
        <f>IFERROR(IF(($F93)&gt;0,($I93*cfg_TroyOz)/($F93),""),"")</f>
        <v/>
      </c>
      <c r="M93" s="56">
        <f>IFERROR(IF(($G93)&gt;0,($J93*cfg_TroyOz)/($G93),""),"")</f>
        <v/>
      </c>
      <c r="N93" s="56">
        <f>IFERROR(IF(($H93)&gt;0,($K93*cfg_TroyOz)/($H93),""),"")</f>
        <v/>
      </c>
      <c r="O93" s="55">
        <f>SUMIFS(tblMovement[Tonnes_t],tblMovement[Date],$A93,tblMovement[Is_Ore],0,tblMovement[Source_Type],"Pit")</f>
        <v/>
      </c>
      <c r="P93" s="55">
        <f>IF($B93=$B92,$P92,0)+$O93</f>
        <v/>
      </c>
      <c r="Q93" s="55">
        <f>$Q92+$O93</f>
        <v/>
      </c>
      <c r="R93" s="55">
        <f>$F93+$O93</f>
        <v/>
      </c>
      <c r="S93" s="55">
        <f>IF($B93=$B92,$S92,0)+$R93</f>
        <v/>
      </c>
      <c r="T93" s="55">
        <f>$T92+$R93</f>
        <v/>
      </c>
      <c r="U93" s="56">
        <f>IFERROR(IF(($F93)&gt;0,($O93)/($F93),""),"")</f>
        <v/>
      </c>
      <c r="V93" s="56">
        <f>IFERROR(IF(($G93)&gt;0,($P93)/($G93),""),"")</f>
        <v/>
      </c>
      <c r="W93" s="56">
        <f>IFERROR(IF(($H93)&gt;0,($Q93)/($H93),""),"")</f>
        <v/>
      </c>
      <c r="X93" s="55">
        <f>SUMIFS(tblMovement[Tonnes_t],tblMovement[Date],$A93,tblMovement[Source_Type],"Stockpile")</f>
        <v/>
      </c>
      <c r="Y93" s="55">
        <f>IF($B93=$B92,$Y92,0)+$X93</f>
        <v/>
      </c>
      <c r="Z93" s="55">
        <f>$Z92+$X93</f>
        <v/>
      </c>
      <c r="AA93" s="55">
        <f>SUMIFS(tblMiningDaily[Drill_m],tblMiningDaily[Date],$A93)</f>
        <v/>
      </c>
      <c r="AB93" s="55">
        <f>IF($B93=$B92,$AB92,0)+$AA93</f>
        <v/>
      </c>
      <c r="AC93" s="55">
        <f>$AC92+$AA93</f>
        <v/>
      </c>
      <c r="AD93" s="55">
        <f>SUMIFS(tblMiningDaily[Blast_t],tblMiningDaily[Date],$A93)</f>
        <v/>
      </c>
      <c r="AE93" s="55">
        <f>IF($B93=$B92,$AE92,0)+$AD93</f>
        <v/>
      </c>
      <c r="AF93" s="55">
        <f>$AF92+$AD93</f>
        <v/>
      </c>
      <c r="AG93" s="55">
        <f>SUMIFS(tblMiningDaily[Explosives_kg],tblMiningDaily[Date],$A93)</f>
        <v/>
      </c>
      <c r="AH93" s="55">
        <f>IF($B93=$B92,$AH92,0)+$AG93</f>
        <v/>
      </c>
      <c r="AI93" s="55">
        <f>$AI92+$AG93</f>
        <v/>
      </c>
      <c r="AJ93" s="56">
        <f>IFERROR(IF(($AD93)&gt;0,($AG93)/($AD93),""),"")</f>
        <v/>
      </c>
      <c r="AK93" s="56">
        <f>IFERROR(IF(($AE93)&gt;0,($AH93)/($AE93),""),"")</f>
        <v/>
      </c>
      <c r="AL93" s="56">
        <f>IFERROR(IF(($AF93)&gt;0,($AI93)/($AF93),""),"")</f>
        <v/>
      </c>
      <c r="AM93" s="55">
        <f>SUMIFS(tblMiningDaily[Diesel_L],tblMiningDaily[Date],$A93)</f>
        <v/>
      </c>
      <c r="AN93" s="55">
        <f>IF($B93=$B92,$AN92,0)+$AM93</f>
        <v/>
      </c>
      <c r="AO93" s="55">
        <f>$AO92+$AM93</f>
        <v/>
      </c>
      <c r="AP93" s="55">
        <f>SUMIFS(tblMiningDaily[Dewatering_m3],tblMiningDaily[Date],$A93)</f>
        <v/>
      </c>
      <c r="AQ93" s="55">
        <f>IF($B93=$B92,$AQ92,0)+$AP93</f>
        <v/>
      </c>
      <c r="AR93" s="55">
        <f>$AR92+$AP93</f>
        <v/>
      </c>
      <c r="AS93" s="57">
        <f>SUMIFS(tblFleet[Calendar_h],tblFleet[Date],$A93,tblFleet[Equipment_Class],"Excavator")</f>
        <v/>
      </c>
      <c r="AT93" s="57">
        <f>IF($B93=$B92,$AT92,0)+$AS93</f>
        <v/>
      </c>
      <c r="AU93" s="57">
        <f>$AU92+$AS93</f>
        <v/>
      </c>
      <c r="AV93" s="57">
        <f>SUMIFS(tblFleet[Available_h],tblFleet[Date],$A93,tblFleet[Equipment_Class],"Excavator")</f>
        <v/>
      </c>
      <c r="AW93" s="57">
        <f>IF($B93=$B92,$AW92,0)+$AV93</f>
        <v/>
      </c>
      <c r="AX93" s="57">
        <f>$AX92+$AV93</f>
        <v/>
      </c>
      <c r="AY93" s="57">
        <f>SUMIFS(tblFleet[Operating_h],tblFleet[Date],$A93,tblFleet[Equipment_Class],"Excavator")</f>
        <v/>
      </c>
      <c r="AZ93" s="57">
        <f>IF($B93=$B92,$AZ92,0)+$AY93</f>
        <v/>
      </c>
      <c r="BA93" s="57">
        <f>$BA92+$AY93</f>
        <v/>
      </c>
      <c r="BB93" s="67">
        <f>IFERROR(IF(($AS93)&gt;0,($AV93)/($AS93),""),"")</f>
        <v/>
      </c>
      <c r="BC93" s="67">
        <f>IFERROR(IF(($AT93)&gt;0,($AW93)/($AT93),""),"")</f>
        <v/>
      </c>
      <c r="BD93" s="67">
        <f>IFERROR(IF(($AU93)&gt;0,($AX93)/($AU93),""),"")</f>
        <v/>
      </c>
      <c r="BE93" s="67">
        <f>IFERROR(IF(($AV93)&gt;0,($AY93)/($AV93),""),"")</f>
        <v/>
      </c>
      <c r="BF93" s="67">
        <f>IFERROR(IF(($AW93)&gt;0,($AZ93)/($AW93),""),"")</f>
        <v/>
      </c>
      <c r="BG93" s="67">
        <f>IFERROR(IF(($AX93)&gt;0,($BA93)/($AX93),""),"")</f>
        <v/>
      </c>
      <c r="BH93" s="57">
        <f>SUMIFS(tblFleet[Calendar_h],tblFleet[Date],$A93,tblFleet[Equipment_Class],"Haul Truck")</f>
        <v/>
      </c>
      <c r="BI93" s="57">
        <f>IF($B93=$B92,$BI92,0)+$BH93</f>
        <v/>
      </c>
      <c r="BJ93" s="57">
        <f>$BJ92+$BH93</f>
        <v/>
      </c>
      <c r="BK93" s="57">
        <f>SUMIFS(tblFleet[Available_h],tblFleet[Date],$A93,tblFleet[Equipment_Class],"Haul Truck")</f>
        <v/>
      </c>
      <c r="BL93" s="57">
        <f>IF($B93=$B92,$BL92,0)+$BK93</f>
        <v/>
      </c>
      <c r="BM93" s="57">
        <f>$BM92+$BK93</f>
        <v/>
      </c>
      <c r="BN93" s="57">
        <f>SUMIFS(tblFleet[Operating_h],tblFleet[Date],$A93,tblFleet[Equipment_Class],"Haul Truck")</f>
        <v/>
      </c>
      <c r="BO93" s="57">
        <f>IF($B93=$B92,$BO92,0)+$BN93</f>
        <v/>
      </c>
      <c r="BP93" s="57">
        <f>$BP92+$BN93</f>
        <v/>
      </c>
      <c r="BQ93" s="67">
        <f>IFERROR(IF(($BH93)&gt;0,($BK93)/($BH93),""),"")</f>
        <v/>
      </c>
      <c r="BR93" s="67">
        <f>IFERROR(IF(($BI93)&gt;0,($BL93)/($BI93),""),"")</f>
        <v/>
      </c>
      <c r="BS93" s="67">
        <f>IFERROR(IF(($BJ93)&gt;0,($BM93)/($BJ93),""),"")</f>
        <v/>
      </c>
      <c r="BT93" s="67">
        <f>IFERROR(IF(($BK93)&gt;0,($BN93)/($BK93),""),"")</f>
        <v/>
      </c>
      <c r="BU93" s="67">
        <f>IFERROR(IF(($BL93)&gt;0,($BO93)/($BL93),""),"")</f>
        <v/>
      </c>
      <c r="BV93" s="67">
        <f>IFERROR(IF(($BM93)&gt;0,($BP93)/($BM93),""),"")</f>
        <v/>
      </c>
      <c r="BW93" s="55">
        <f>SUMIFS(tblPlant[Crushed_t],tblPlant[Date],$A93)</f>
        <v/>
      </c>
      <c r="BX93" s="55">
        <f>IF($B93=$B92,$BX92,0)+$BW93</f>
        <v/>
      </c>
      <c r="BY93" s="55">
        <f>$BY92+$BW93</f>
        <v/>
      </c>
      <c r="BZ93" s="55">
        <f>SUMIFS(tblPlant[Milled_t],tblPlant[Date],$A93)</f>
        <v/>
      </c>
      <c r="CA93" s="55">
        <f>IF($B93=$B92,$CA92,0)+$BZ93</f>
        <v/>
      </c>
      <c r="CB93" s="55">
        <f>$CB92+$BZ93</f>
        <v/>
      </c>
      <c r="CC93" s="55">
        <f>SUMIFS(tblPlant[Feed_oz],tblPlant[Date],$A93)</f>
        <v/>
      </c>
      <c r="CD93" s="55">
        <f>IF($B93=$B92,$CD92,0)+$CC93</f>
        <v/>
      </c>
      <c r="CE93" s="55">
        <f>$CE92+$CC93</f>
        <v/>
      </c>
      <c r="CF93" s="55">
        <f>SUMIFS(tblPlant[Tails_oz],tblPlant[Date],$A93)</f>
        <v/>
      </c>
      <c r="CG93" s="55">
        <f>IF($B93=$B92,$CG92,0)+$CF93</f>
        <v/>
      </c>
      <c r="CH93" s="55">
        <f>$CH92+$CF93</f>
        <v/>
      </c>
      <c r="CI93" s="55">
        <f>SUMIFS(tblPlant[Recovered_oz],tblPlant[Date],$A93)</f>
        <v/>
      </c>
      <c r="CJ93" s="55">
        <f>IF($B93=$B92,$CJ92,0)+$CI93</f>
        <v/>
      </c>
      <c r="CK93" s="55">
        <f>$CK92+$CI93</f>
        <v/>
      </c>
      <c r="CL93" s="56">
        <f>IFERROR(IF(($BZ93)&gt;0,($CC93*cfg_TroyOz)/($BZ93),""),"")</f>
        <v/>
      </c>
      <c r="CM93" s="56">
        <f>IFERROR(IF(($CA93)&gt;0,($CD93*cfg_TroyOz)/($CA93),""),"")</f>
        <v/>
      </c>
      <c r="CN93" s="56">
        <f>IFERROR(IF(($CB93)&gt;0,($CE93*cfg_TroyOz)/($CB93),""),"")</f>
        <v/>
      </c>
      <c r="CO93" s="56">
        <f>IFERROR(IF(($BZ93)&gt;0,($CF93*cfg_TroyOz)/($BZ93),""),"")</f>
        <v/>
      </c>
      <c r="CP93" s="56">
        <f>IFERROR(IF(($CA93)&gt;0,($CG93*cfg_TroyOz)/($CA93),""),"")</f>
        <v/>
      </c>
      <c r="CQ93" s="56">
        <f>IFERROR(IF(($CB93)&gt;0,($CH93*cfg_TroyOz)/($CB93),""),"")</f>
        <v/>
      </c>
      <c r="CR93" s="67">
        <f>IFERROR(IF(($CC93)&gt;0,($CI93)/($CC93),""),"")</f>
        <v/>
      </c>
      <c r="CS93" s="67">
        <f>IFERROR(IF(($CD93)&gt;0,($CJ93)/($CD93),""),"")</f>
        <v/>
      </c>
      <c r="CT93" s="67">
        <f>IFERROR(IF(($CE93)&gt;0,($CK93)/($CE93),""),"")</f>
        <v/>
      </c>
      <c r="CU93" s="55">
        <f>SUMIFS(tblPlant[Gravity_Gold_oz],tblPlant[Date],$A93)</f>
        <v/>
      </c>
      <c r="CV93" s="55">
        <f>IF($B93=$B92,$CV92,0)+$CU93</f>
        <v/>
      </c>
      <c r="CW93" s="55">
        <f>$CW92+$CU93</f>
        <v/>
      </c>
      <c r="CX93" s="55">
        <f>SUMIFS(tblPlant[Gold_Poured_oz],tblPlant[Date],$A93)</f>
        <v/>
      </c>
      <c r="CY93" s="55">
        <f>IF($B93=$B92,$CY92,0)+$CX93</f>
        <v/>
      </c>
      <c r="CZ93" s="55">
        <f>$CZ92+$CX93</f>
        <v/>
      </c>
      <c r="DA93" s="57">
        <f>SUMIFS(tblPlant[Mill_Run_h],tblPlant[Date],$A93)</f>
        <v/>
      </c>
      <c r="DB93" s="57">
        <f>IF($B93=$B92,$DB92,0)+$DA93</f>
        <v/>
      </c>
      <c r="DC93" s="57">
        <f>$DC92+$DA93</f>
        <v/>
      </c>
      <c r="DD93" s="57">
        <f>SUMIFS(tblPlant[Mill_Planned_Maint_h],tblPlant[Date],$A93)</f>
        <v/>
      </c>
      <c r="DE93" s="57">
        <f>IF($B93=$B92,$DE92,0)+$DD93</f>
        <v/>
      </c>
      <c r="DF93" s="57">
        <f>$DF92+$DD93</f>
        <v/>
      </c>
      <c r="DG93" s="57">
        <f>SUMIFS(tblPlant[Mill_Unplanned_Down_h],tblPlant[Date],$A93)</f>
        <v/>
      </c>
      <c r="DH93" s="57">
        <f>IF($B93=$B92,$DH92,0)+$DG93</f>
        <v/>
      </c>
      <c r="DI93" s="57">
        <f>$DI92+$DG93</f>
        <v/>
      </c>
      <c r="DJ93" s="57">
        <f>COUNTIFS(tblPlant[Date],$A93,tblPlant[Mill_Run_h],"&lt;&gt;")*24</f>
        <v/>
      </c>
      <c r="DK93" s="57">
        <f>IF($B93=$B92,$DK92,0)+$DJ93</f>
        <v/>
      </c>
      <c r="DL93" s="57">
        <f>$DL92+$DJ93</f>
        <v/>
      </c>
      <c r="DM93" s="57">
        <f>SUMIFS(tblPlant[Crusher_Run_h],tblPlant[Date],$A93)</f>
        <v/>
      </c>
      <c r="DN93" s="57">
        <f>IF($B93=$B92,$DN92,0)+$DM93</f>
        <v/>
      </c>
      <c r="DO93" s="57">
        <f>$DO92+$DM93</f>
        <v/>
      </c>
      <c r="DP93" s="55">
        <f>IFERROR(IF(($DA93)&gt;0,($BZ93)/($DA93),""),"")</f>
        <v/>
      </c>
      <c r="DQ93" s="55">
        <f>IFERROR(IF(($DB93)&gt;0,($CA93)/($DB93),""),"")</f>
        <v/>
      </c>
      <c r="DR93" s="55">
        <f>IFERROR(IF(($DC93)&gt;0,($CB93)/($DC93),""),"")</f>
        <v/>
      </c>
      <c r="DS93" s="67">
        <f>IFERROR(IF(($DJ93)&gt;0,($DJ93-$DD93-$DG93)/($DJ93),""),"")</f>
        <v/>
      </c>
      <c r="DT93" s="67">
        <f>IFERROR(IF(($DK93)&gt;0,($DK93-$DE93-$DH93)/($DK93),""),"")</f>
        <v/>
      </c>
      <c r="DU93" s="67">
        <f>IFERROR(IF(($DL93)&gt;0,($DL93-$DF93-$DI93)/($DL93),""),"")</f>
        <v/>
      </c>
      <c r="DV93" s="67">
        <f>IFERROR(IF(($DJ93-$DD93-$DG93)&gt;0,($DA93)/($DJ93-$DD93-$DG93),""),"")</f>
        <v/>
      </c>
      <c r="DW93" s="67">
        <f>IFERROR(IF(($DK93-$DE93-$DH93)&gt;0,($DB93)/($DK93-$DE93-$DH93),""),"")</f>
        <v/>
      </c>
      <c r="DX93" s="67">
        <f>IFERROR(IF(($DL93-$DF93-$DI93)&gt;0,($DC93)/($DL93-$DF93-$DI93),""),"")</f>
        <v/>
      </c>
      <c r="DY93" s="55">
        <f>SUMIFS(tblPlant[Cyanide_kg],tblPlant[Date],$A93)</f>
        <v/>
      </c>
      <c r="DZ93" s="55">
        <f>IF($B93=$B92,$DZ92,0)+$DY93</f>
        <v/>
      </c>
      <c r="EA93" s="55">
        <f>$EA92+$DY93</f>
        <v/>
      </c>
      <c r="EB93" s="55">
        <f>SUMIFS(tblPlant[Lime_kg],tblPlant[Date],$A93)</f>
        <v/>
      </c>
      <c r="EC93" s="55">
        <f>IF($B93=$B92,$EC92,0)+$EB93</f>
        <v/>
      </c>
      <c r="ED93" s="55">
        <f>$ED92+$EB93</f>
        <v/>
      </c>
      <c r="EE93" s="55">
        <f>SUMIFS(tblPlant[Grinding_Media_kg],tblPlant[Date],$A93)</f>
        <v/>
      </c>
      <c r="EF93" s="55">
        <f>IF($B93=$B92,$EF92,0)+$EE93</f>
        <v/>
      </c>
      <c r="EG93" s="55">
        <f>$EG92+$EE93</f>
        <v/>
      </c>
      <c r="EH93" s="55">
        <f>SUMIFS(tblPlant[Power_kWh],tblPlant[Date],$A93)</f>
        <v/>
      </c>
      <c r="EI93" s="55">
        <f>IF($B93=$B92,$EI92,0)+$EH93</f>
        <v/>
      </c>
      <c r="EJ93" s="55">
        <f>$EJ92+$EH93</f>
        <v/>
      </c>
      <c r="EK93" s="55">
        <f>SUMIFS(tblPlant[Raw_Water_m3],tblPlant[Date],$A93)</f>
        <v/>
      </c>
      <c r="EL93" s="55">
        <f>IF($B93=$B92,$EL92,0)+$EK93</f>
        <v/>
      </c>
      <c r="EM93" s="55">
        <f>$EM92+$EK93</f>
        <v/>
      </c>
      <c r="EN93" s="56">
        <f>IFERROR(IF(($BZ93)&gt;0,($DY93)/($BZ93),""),"")</f>
        <v/>
      </c>
      <c r="EO93" s="56">
        <f>IFERROR(IF(($CA93)&gt;0,($DZ93)/($CA93),""),"")</f>
        <v/>
      </c>
      <c r="EP93" s="56">
        <f>IFERROR(IF(($CB93)&gt;0,($EA93)/($CB93),""),"")</f>
        <v/>
      </c>
      <c r="EQ93" s="56">
        <f>IFERROR(IF(($BZ93)&gt;0,($EB93)/($BZ93),""),"")</f>
        <v/>
      </c>
      <c r="ER93" s="56">
        <f>IFERROR(IF(($CA93)&gt;0,($EC93)/($CA93),""),"")</f>
        <v/>
      </c>
      <c r="ES93" s="56">
        <f>IFERROR(IF(($CB93)&gt;0,($ED93)/($CB93),""),"")</f>
        <v/>
      </c>
      <c r="ET93" s="56">
        <f>IFERROR(IF(($BZ93)&gt;0,($EE93)/($BZ93),""),"")</f>
        <v/>
      </c>
      <c r="EU93" s="56">
        <f>IFERROR(IF(($CA93)&gt;0,($EF93)/($CA93),""),"")</f>
        <v/>
      </c>
      <c r="EV93" s="56">
        <f>IFERROR(IF(($CB93)&gt;0,($EG93)/($CB93),""),"")</f>
        <v/>
      </c>
      <c r="EW93" s="76">
        <f>IFERROR(IF(($BZ93)&gt;0,($EH93)/($BZ93),""),"")</f>
        <v/>
      </c>
      <c r="EX93" s="76">
        <f>IFERROR(IF(($CA93)&gt;0,($EI93)/($CA93),""),"")</f>
        <v/>
      </c>
      <c r="EY93" s="76">
        <f>IFERROR(IF(($CB93)&gt;0,($EJ93)/($CB93),""),"")</f>
        <v/>
      </c>
      <c r="EZ93" s="56">
        <f>IFERROR(IF(($BZ93)&gt;0,($EK93)/($BZ93),""),"")</f>
        <v/>
      </c>
      <c r="FA93" s="56">
        <f>IFERROR(IF(($CA93)&gt;0,($EL93)/($CA93),""),"")</f>
        <v/>
      </c>
      <c r="FB93" s="56">
        <f>IFERROR(IF(($CB93)&gt;0,($EM93)/($CB93),""),"")</f>
        <v/>
      </c>
      <c r="FC93" s="55">
        <f>IF(SUMIFS(tblPlant[GIC_oz],tblPlant[Date],$A93)&gt;0,SUMIFS(tblPlant[GIC_oz],tblPlant[Date],$A93),"")</f>
        <v/>
      </c>
      <c r="FD93" s="55">
        <f>SUMIFS(tblGold[Gold_oz],tblGold[Date],$A93,tblGold[Type],"Shipment")</f>
        <v/>
      </c>
      <c r="FE93" s="55">
        <f>IF($B93=$B92,$FE92,0)+$FD93</f>
        <v/>
      </c>
      <c r="FF93" s="55">
        <f>$FF92+$FD93</f>
        <v/>
      </c>
      <c r="FG93" s="55">
        <f>SUMIFS(tblGold[Gold_oz],tblGold[Date],$A93,tblGold[Type],"Sale")</f>
        <v/>
      </c>
      <c r="FH93" s="55">
        <f>IF($B93=$B92,$FH92,0)+$FG93</f>
        <v/>
      </c>
      <c r="FI93" s="55">
        <f>$FI92+$FG93</f>
        <v/>
      </c>
      <c r="FJ93" s="55">
        <f>SUMIFS(tblGold[Dore_kg],tblGold[Date],$A93,tblGold[Type],"Shipment")</f>
        <v/>
      </c>
      <c r="FK93" s="55">
        <f>IF($B93=$B92,$FK92,0)+$FJ93</f>
        <v/>
      </c>
      <c r="FL93" s="55">
        <f>$FL92+$FJ93</f>
        <v/>
      </c>
      <c r="FM93" s="57">
        <f>SUMIFS(tblSafety[Hours_Total],tblSafety[Date],$A93)</f>
        <v/>
      </c>
      <c r="FN93" s="57">
        <f>IF($B93=$B92,$FN92,0)+$FM93</f>
        <v/>
      </c>
      <c r="FO93" s="57">
        <f>$FO92+$FM93</f>
        <v/>
      </c>
      <c r="FP93" s="62">
        <f>SUMIFS(tblSafety[Fatality],tblSafety[Date],$A93)</f>
        <v/>
      </c>
      <c r="FQ93" s="62">
        <f>IF($B93=$B92,$FQ92,0)+$FP93</f>
        <v/>
      </c>
      <c r="FR93" s="62">
        <f>$FR92+$FP93</f>
        <v/>
      </c>
      <c r="FS93" s="62">
        <f>SUMIFS(tblSafety[LTI],tblSafety[Date],$A93)</f>
        <v/>
      </c>
      <c r="FT93" s="62">
        <f>IF($B93=$B92,$FT92,0)+$FS93</f>
        <v/>
      </c>
      <c r="FU93" s="62">
        <f>$FU92+$FS93</f>
        <v/>
      </c>
      <c r="FV93" s="62">
        <f>SUMIFS(tblSafety[RWI],tblSafety[Date],$A93)</f>
        <v/>
      </c>
      <c r="FW93" s="62">
        <f>IF($B93=$B92,$FW92,0)+$FV93</f>
        <v/>
      </c>
      <c r="FX93" s="62">
        <f>$FX92+$FV93</f>
        <v/>
      </c>
      <c r="FY93" s="62">
        <f>SUMIFS(tblSafety[MTI],tblSafety[Date],$A93)</f>
        <v/>
      </c>
      <c r="FZ93" s="62">
        <f>IF($B93=$B92,$FZ92,0)+$FY93</f>
        <v/>
      </c>
      <c r="GA93" s="62">
        <f>$GA92+$FY93</f>
        <v/>
      </c>
      <c r="GB93" s="62">
        <f>SUMIFS(tblSafety[FAI],tblSafety[Date],$A93)</f>
        <v/>
      </c>
      <c r="GC93" s="62">
        <f>IF($B93=$B92,$GC92,0)+$GB93</f>
        <v/>
      </c>
      <c r="GD93" s="62">
        <f>$GD92+$GB93</f>
        <v/>
      </c>
      <c r="GE93" s="62">
        <f>SUMIFS(tblSafety[Recordables],tblSafety[Date],$A93)</f>
        <v/>
      </c>
      <c r="GF93" s="62">
        <f>IF($B93=$B92,$GF92,0)+$GE93</f>
        <v/>
      </c>
      <c r="GG93" s="62">
        <f>$GG92+$GE93</f>
        <v/>
      </c>
      <c r="GH93" s="62">
        <f>SUMIFS(tblSafety[Near_Miss],tblSafety[Date],$A93)</f>
        <v/>
      </c>
      <c r="GI93" s="62">
        <f>IF($B93=$B92,$GI92,0)+$GH93</f>
        <v/>
      </c>
      <c r="GJ93" s="62">
        <f>$GJ92+$GH93</f>
        <v/>
      </c>
      <c r="GK93" s="62">
        <f>SUMIFS(tblSafety[Hazard_Reports],tblSafety[Date],$A93)</f>
        <v/>
      </c>
      <c r="GL93" s="62">
        <f>IF($B93=$B92,$GL92,0)+$GK93</f>
        <v/>
      </c>
      <c r="GM93" s="62">
        <f>$GM92+$GK93</f>
        <v/>
      </c>
      <c r="GN93" s="62">
        <f>SUMIFS(tblSafety[HPI],tblSafety[Date],$A93)</f>
        <v/>
      </c>
      <c r="GO93" s="62">
        <f>IF($B93=$B92,$GO92,0)+$GN93</f>
        <v/>
      </c>
      <c r="GP93" s="62">
        <f>$GP92+$GN93</f>
        <v/>
      </c>
      <c r="GQ93" s="62">
        <f>SUMIFS(tblSafety[Env_Incidents],tblSafety[Date],$A93)</f>
        <v/>
      </c>
      <c r="GR93" s="62">
        <f>IF($B93=$B92,$GR92,0)+$GQ93</f>
        <v/>
      </c>
      <c r="GS93" s="62">
        <f>$GS92+$GQ93</f>
        <v/>
      </c>
      <c r="GT93" s="62">
        <f>SUMIFS(tblSafety[Community_Incidents],tblSafety[Date],$A93)</f>
        <v/>
      </c>
      <c r="GU93" s="62">
        <f>IF($B93=$B92,$GU92,0)+$GT93</f>
        <v/>
      </c>
      <c r="GV93" s="62">
        <f>$GV92+$GT93</f>
        <v/>
      </c>
      <c r="GW93" s="62">
        <f>SUMIFS(tblSafety[Vehicle_Incidents],tblSafety[Date],$A93)</f>
        <v/>
      </c>
      <c r="GX93" s="62">
        <f>IF($B93=$B92,$GX92,0)+$GW93</f>
        <v/>
      </c>
      <c r="GY93" s="62">
        <f>$GY92+$GW93</f>
        <v/>
      </c>
      <c r="GZ93" s="62">
        <f>SUMIFS(tblSafety[Toolbox_Talks],tblSafety[Date],$A93)</f>
        <v/>
      </c>
      <c r="HA93" s="62">
        <f>IF($B93=$B92,$HA92,0)+$GZ93</f>
        <v/>
      </c>
      <c r="HB93" s="62">
        <f>$HB92+$GZ93</f>
        <v/>
      </c>
      <c r="HC93" s="62">
        <f>SUMIFS(tblSafety[Inspections],tblSafety[Date],$A93)</f>
        <v/>
      </c>
      <c r="HD93" s="62">
        <f>IF($B93=$B92,$HD92,0)+$HC93</f>
        <v/>
      </c>
      <c r="HE93" s="62">
        <f>$HE92+$HC93</f>
        <v/>
      </c>
      <c r="HF93" s="56">
        <f>IFERROR((SUMIFS(tblSafety[Recordables],tblSafety[Date],"&gt;="&amp;EDATE($E93,-12),tblSafety[Date],"&lt;="&amp;$A93)+SUMIFS(tblSafetyHistory[Recordables],tblSafetyHistory[Month],"&gt;="&amp;EDATE($E93,-12),tblSafetyHistory[Month],"&lt;"&amp;cfg_YearStart))/(SUMIFS(tblSafety[Hours_Total],tblSafety[Date],"&gt;="&amp;EDATE($E93,-12),tblSafety[Date],"&lt;="&amp;$A93)+SUMIFS(tblSafetyHistory[Hours_Total],tblSafetyHistory[Month],"&gt;="&amp;EDATE($E93,-12),tblSafetyHistory[Month],"&lt;"&amp;cfg_YearStart))*1000000,"")</f>
        <v/>
      </c>
      <c r="HG93" s="56">
        <f>IFERROR((SUMIFS(tblSafety[LTI],tblSafety[Date],"&gt;="&amp;EDATE($E93,-12),tblSafety[Date],"&lt;="&amp;$A93)+SUMIFS(tblSafetyHistory[LTI],tblSafetyHistory[Month],"&gt;="&amp;EDATE($E93,-12),tblSafetyHistory[Month],"&lt;"&amp;cfg_YearStart))/(SUMIFS(tblSafety[Hours_Total],tblSafety[Date],"&gt;="&amp;EDATE($E93,-12),tblSafety[Date],"&lt;="&amp;$A93)+SUMIFS(tblSafetyHistory[Hours_Total],tblSafetyHistory[Month],"&gt;="&amp;EDATE($E93,-12),tblSafetyHistory[Month],"&lt;"&amp;cfg_YearStart))*1000000,"")</f>
        <v/>
      </c>
      <c r="HH93" s="62">
        <f>IF(MAX(N(cfg_PriorLTIDate),_xlfn.MAXIFS(tblSafety[Date],tblSafety[LTI],"&gt;0",tblSafety[Date],"&lt;="&amp;$A93))=0,"",$A93-MAX(N(cfg_PriorLTIDate),_xlfn.MAXIFS(tblSafety[Date],tblSafety[LTI],"&gt;0",tblSafety[Date],"&lt;="&amp;$A93)))</f>
        <v/>
      </c>
      <c r="HI93" s="55">
        <f>SUMIFS(tblBudget[Ore_Mined_t],tblBudget[Month],$E93)</f>
        <v/>
      </c>
      <c r="HJ93" s="55">
        <f>$HI93*$C93/$D93</f>
        <v/>
      </c>
      <c r="HK93" s="55">
        <f>SUMIFS(tblBudget[Ore_Mined_t],tblBudget[Month],"&lt;"&amp;$E93)+$HJ93</f>
        <v/>
      </c>
      <c r="HL93" s="55">
        <f>SUMIFS(tblBudget[Ore_oz],tblBudget[Month],$E93)</f>
        <v/>
      </c>
      <c r="HM93" s="55">
        <f>$HL93*$C93/$D93</f>
        <v/>
      </c>
      <c r="HN93" s="55">
        <f>SUMIFS(tblBudget[Ore_oz],tblBudget[Month],"&lt;"&amp;$E93)+$HM93</f>
        <v/>
      </c>
      <c r="HO93" s="56">
        <f>IFERROR(IF(($HI93)&gt;0,($HL93*cfg_TroyOz)/($HI93),""),"")</f>
        <v/>
      </c>
      <c r="HP93" s="56">
        <f>IFERROR(IF(($HJ93)&gt;0,($HM93*cfg_TroyOz)/($HJ93),""),"")</f>
        <v/>
      </c>
      <c r="HQ93" s="56">
        <f>IFERROR(IF(($HK93)&gt;0,($HN93*cfg_TroyOz)/($HK93),""),"")</f>
        <v/>
      </c>
      <c r="HR93" s="55">
        <f>SUMIFS(tblBudget[Waste_t],tblBudget[Month],$E93)</f>
        <v/>
      </c>
      <c r="HS93" s="55">
        <f>$HR93*$C93/$D93</f>
        <v/>
      </c>
      <c r="HT93" s="55">
        <f>SUMIFS(tblBudget[Waste_t],tblBudget[Month],"&lt;"&amp;$E93)+$HS93</f>
        <v/>
      </c>
      <c r="HU93" s="55">
        <f>SUMIFS(tblBudget[TMM_t],tblBudget[Month],$E93)</f>
        <v/>
      </c>
      <c r="HV93" s="55">
        <f>$HU93*$C93/$D93</f>
        <v/>
      </c>
      <c r="HW93" s="55">
        <f>SUMIFS(tblBudget[TMM_t],tblBudget[Month],"&lt;"&amp;$E93)+$HV93</f>
        <v/>
      </c>
      <c r="HX93" s="56">
        <f>IFERROR(IF(($HI93)&gt;0,($HR93)/($HI93),""),"")</f>
        <v/>
      </c>
      <c r="HY93" s="56">
        <f>IFERROR(IF(($HJ93)&gt;0,($HS93)/($HJ93),""),"")</f>
        <v/>
      </c>
      <c r="HZ93" s="56">
        <f>IFERROR(IF(($HK93)&gt;0,($HT93)/($HK93),""),"")</f>
        <v/>
      </c>
      <c r="IA93" s="55">
        <f>SUMIFS(tblBudget[Drill_m],tblBudget[Month],$E93)</f>
        <v/>
      </c>
      <c r="IB93" s="55">
        <f>$IA93*$C93/$D93</f>
        <v/>
      </c>
      <c r="IC93" s="55">
        <f>SUMIFS(tblBudget[Drill_m],tblBudget[Month],"&lt;"&amp;$E93)+$IB93</f>
        <v/>
      </c>
      <c r="ID93" s="55">
        <f>SUMIFS(tblBudget[Diesel_L],tblBudget[Month],$E93)</f>
        <v/>
      </c>
      <c r="IE93" s="55">
        <f>$ID93*$C93/$D93</f>
        <v/>
      </c>
      <c r="IF93" s="55">
        <f>SUMIFS(tblBudget[Diesel_L],tblBudget[Month],"&lt;"&amp;$E93)+$IE93</f>
        <v/>
      </c>
      <c r="IG93" s="55">
        <f>SUMIFS(tblBudget[Milled_t],tblBudget[Month],$E93)</f>
        <v/>
      </c>
      <c r="IH93" s="55">
        <f>$IG93*$C93/$D93</f>
        <v/>
      </c>
      <c r="II93" s="55">
        <f>SUMIFS(tblBudget[Milled_t],tblBudget[Month],"&lt;"&amp;$E93)+$IH93</f>
        <v/>
      </c>
      <c r="IJ93" s="55">
        <f>SUMIFS(tblBudget[Feed_oz],tblBudget[Month],$E93)</f>
        <v/>
      </c>
      <c r="IK93" s="55">
        <f>$IJ93*$C93/$D93</f>
        <v/>
      </c>
      <c r="IL93" s="55">
        <f>SUMIFS(tblBudget[Feed_oz],tblBudget[Month],"&lt;"&amp;$E93)+$IK93</f>
        <v/>
      </c>
      <c r="IM93" s="55">
        <f>SUMIFS(tblBudget[Recovered_oz],tblBudget[Month],$E93)</f>
        <v/>
      </c>
      <c r="IN93" s="55">
        <f>$IM93*$C93/$D93</f>
        <v/>
      </c>
      <c r="IO93" s="55">
        <f>SUMIFS(tblBudget[Recovered_oz],tblBudget[Month],"&lt;"&amp;$E93)+$IN93</f>
        <v/>
      </c>
      <c r="IP93" s="56">
        <f>IFERROR(IF(($IG93)&gt;0,($IJ93*cfg_TroyOz)/($IG93),""),"")</f>
        <v/>
      </c>
      <c r="IQ93" s="56">
        <f>IFERROR(IF(($IH93)&gt;0,($IK93*cfg_TroyOz)/($IH93),""),"")</f>
        <v/>
      </c>
      <c r="IR93" s="56">
        <f>IFERROR(IF(($II93)&gt;0,($IL93*cfg_TroyOz)/($II93),""),"")</f>
        <v/>
      </c>
      <c r="IS93" s="67">
        <f>IFERROR(IF(($IJ93)&gt;0,($IM93)/($IJ93),""),"")</f>
        <v/>
      </c>
      <c r="IT93" s="67">
        <f>IFERROR(IF(($IK93)&gt;0,($IN93)/($IK93),""),"")</f>
        <v/>
      </c>
      <c r="IU93" s="67">
        <f>IFERROR(IF(($IL93)&gt;0,($IO93)/($IL93),""),"")</f>
        <v/>
      </c>
      <c r="IV93" s="55">
        <f>SUMIFS(tblBudget[Gold_Poured_oz],tblBudget[Month],$E93)</f>
        <v/>
      </c>
      <c r="IW93" s="55">
        <f>$IV93*$C93/$D93</f>
        <v/>
      </c>
      <c r="IX93" s="55">
        <f>SUMIFS(tblBudget[Gold_Poured_oz],tblBudget[Month],"&lt;"&amp;$E93)+$IW93</f>
        <v/>
      </c>
      <c r="IY93" s="57">
        <f>SUMIFS(tblBudget[Hours_Worked],tblBudget[Month],$E93)</f>
        <v/>
      </c>
      <c r="IZ93" s="57">
        <f>$IY93*$C93/$D93</f>
        <v/>
      </c>
      <c r="JA93" s="57">
        <f>SUMIFS(tblBudget[Hours_Worked],tblBudget[Month],"&lt;"&amp;$E93)+$IZ93</f>
        <v/>
      </c>
    </row>
    <row r="94">
      <c r="A94" s="54" t="n">
        <v>46115</v>
      </c>
      <c r="B94">
        <f>MONTH($A94)</f>
        <v/>
      </c>
      <c r="C94">
        <f>DAY($A94)</f>
        <v/>
      </c>
      <c r="D94">
        <f>DAY(EOMONTH($A94,0))</f>
        <v/>
      </c>
      <c r="E94" s="54">
        <f>DATE(YEAR($A94),MONTH($A94),1)</f>
        <v/>
      </c>
      <c r="F94" s="55">
        <f>SUMIFS(tblMovement[Tonnes_t],tblMovement[Date],$A94,tblMovement[Is_Ore],1,tblMovement[Source_Type],"Pit")</f>
        <v/>
      </c>
      <c r="G94" s="55">
        <f>IF($B94=$B93,$G93,0)+$F94</f>
        <v/>
      </c>
      <c r="H94" s="55">
        <f>$H93+$F94</f>
        <v/>
      </c>
      <c r="I94" s="55">
        <f>SUMIFS(tblMovement[Ore_oz],tblMovement[Date],$A94,tblMovement[Source_Type],"Pit")</f>
        <v/>
      </c>
      <c r="J94" s="55">
        <f>IF($B94=$B93,$J93,0)+$I94</f>
        <v/>
      </c>
      <c r="K94" s="55">
        <f>$K93+$I94</f>
        <v/>
      </c>
      <c r="L94" s="56">
        <f>IFERROR(IF(($F94)&gt;0,($I94*cfg_TroyOz)/($F94),""),"")</f>
        <v/>
      </c>
      <c r="M94" s="56">
        <f>IFERROR(IF(($G94)&gt;0,($J94*cfg_TroyOz)/($G94),""),"")</f>
        <v/>
      </c>
      <c r="N94" s="56">
        <f>IFERROR(IF(($H94)&gt;0,($K94*cfg_TroyOz)/($H94),""),"")</f>
        <v/>
      </c>
      <c r="O94" s="55">
        <f>SUMIFS(tblMovement[Tonnes_t],tblMovement[Date],$A94,tblMovement[Is_Ore],0,tblMovement[Source_Type],"Pit")</f>
        <v/>
      </c>
      <c r="P94" s="55">
        <f>IF($B94=$B93,$P93,0)+$O94</f>
        <v/>
      </c>
      <c r="Q94" s="55">
        <f>$Q93+$O94</f>
        <v/>
      </c>
      <c r="R94" s="55">
        <f>$F94+$O94</f>
        <v/>
      </c>
      <c r="S94" s="55">
        <f>IF($B94=$B93,$S93,0)+$R94</f>
        <v/>
      </c>
      <c r="T94" s="55">
        <f>$T93+$R94</f>
        <v/>
      </c>
      <c r="U94" s="56">
        <f>IFERROR(IF(($F94)&gt;0,($O94)/($F94),""),"")</f>
        <v/>
      </c>
      <c r="V94" s="56">
        <f>IFERROR(IF(($G94)&gt;0,($P94)/($G94),""),"")</f>
        <v/>
      </c>
      <c r="W94" s="56">
        <f>IFERROR(IF(($H94)&gt;0,($Q94)/($H94),""),"")</f>
        <v/>
      </c>
      <c r="X94" s="55">
        <f>SUMIFS(tblMovement[Tonnes_t],tblMovement[Date],$A94,tblMovement[Source_Type],"Stockpile")</f>
        <v/>
      </c>
      <c r="Y94" s="55">
        <f>IF($B94=$B93,$Y93,0)+$X94</f>
        <v/>
      </c>
      <c r="Z94" s="55">
        <f>$Z93+$X94</f>
        <v/>
      </c>
      <c r="AA94" s="55">
        <f>SUMIFS(tblMiningDaily[Drill_m],tblMiningDaily[Date],$A94)</f>
        <v/>
      </c>
      <c r="AB94" s="55">
        <f>IF($B94=$B93,$AB93,0)+$AA94</f>
        <v/>
      </c>
      <c r="AC94" s="55">
        <f>$AC93+$AA94</f>
        <v/>
      </c>
      <c r="AD94" s="55">
        <f>SUMIFS(tblMiningDaily[Blast_t],tblMiningDaily[Date],$A94)</f>
        <v/>
      </c>
      <c r="AE94" s="55">
        <f>IF($B94=$B93,$AE93,0)+$AD94</f>
        <v/>
      </c>
      <c r="AF94" s="55">
        <f>$AF93+$AD94</f>
        <v/>
      </c>
      <c r="AG94" s="55">
        <f>SUMIFS(tblMiningDaily[Explosives_kg],tblMiningDaily[Date],$A94)</f>
        <v/>
      </c>
      <c r="AH94" s="55">
        <f>IF($B94=$B93,$AH93,0)+$AG94</f>
        <v/>
      </c>
      <c r="AI94" s="55">
        <f>$AI93+$AG94</f>
        <v/>
      </c>
      <c r="AJ94" s="56">
        <f>IFERROR(IF(($AD94)&gt;0,($AG94)/($AD94),""),"")</f>
        <v/>
      </c>
      <c r="AK94" s="56">
        <f>IFERROR(IF(($AE94)&gt;0,($AH94)/($AE94),""),"")</f>
        <v/>
      </c>
      <c r="AL94" s="56">
        <f>IFERROR(IF(($AF94)&gt;0,($AI94)/($AF94),""),"")</f>
        <v/>
      </c>
      <c r="AM94" s="55">
        <f>SUMIFS(tblMiningDaily[Diesel_L],tblMiningDaily[Date],$A94)</f>
        <v/>
      </c>
      <c r="AN94" s="55">
        <f>IF($B94=$B93,$AN93,0)+$AM94</f>
        <v/>
      </c>
      <c r="AO94" s="55">
        <f>$AO93+$AM94</f>
        <v/>
      </c>
      <c r="AP94" s="55">
        <f>SUMIFS(tblMiningDaily[Dewatering_m3],tblMiningDaily[Date],$A94)</f>
        <v/>
      </c>
      <c r="AQ94" s="55">
        <f>IF($B94=$B93,$AQ93,0)+$AP94</f>
        <v/>
      </c>
      <c r="AR94" s="55">
        <f>$AR93+$AP94</f>
        <v/>
      </c>
      <c r="AS94" s="57">
        <f>SUMIFS(tblFleet[Calendar_h],tblFleet[Date],$A94,tblFleet[Equipment_Class],"Excavator")</f>
        <v/>
      </c>
      <c r="AT94" s="57">
        <f>IF($B94=$B93,$AT93,0)+$AS94</f>
        <v/>
      </c>
      <c r="AU94" s="57">
        <f>$AU93+$AS94</f>
        <v/>
      </c>
      <c r="AV94" s="57">
        <f>SUMIFS(tblFleet[Available_h],tblFleet[Date],$A94,tblFleet[Equipment_Class],"Excavator")</f>
        <v/>
      </c>
      <c r="AW94" s="57">
        <f>IF($B94=$B93,$AW93,0)+$AV94</f>
        <v/>
      </c>
      <c r="AX94" s="57">
        <f>$AX93+$AV94</f>
        <v/>
      </c>
      <c r="AY94" s="57">
        <f>SUMIFS(tblFleet[Operating_h],tblFleet[Date],$A94,tblFleet[Equipment_Class],"Excavator")</f>
        <v/>
      </c>
      <c r="AZ94" s="57">
        <f>IF($B94=$B93,$AZ93,0)+$AY94</f>
        <v/>
      </c>
      <c r="BA94" s="57">
        <f>$BA93+$AY94</f>
        <v/>
      </c>
      <c r="BB94" s="67">
        <f>IFERROR(IF(($AS94)&gt;0,($AV94)/($AS94),""),"")</f>
        <v/>
      </c>
      <c r="BC94" s="67">
        <f>IFERROR(IF(($AT94)&gt;0,($AW94)/($AT94),""),"")</f>
        <v/>
      </c>
      <c r="BD94" s="67">
        <f>IFERROR(IF(($AU94)&gt;0,($AX94)/($AU94),""),"")</f>
        <v/>
      </c>
      <c r="BE94" s="67">
        <f>IFERROR(IF(($AV94)&gt;0,($AY94)/($AV94),""),"")</f>
        <v/>
      </c>
      <c r="BF94" s="67">
        <f>IFERROR(IF(($AW94)&gt;0,($AZ94)/($AW94),""),"")</f>
        <v/>
      </c>
      <c r="BG94" s="67">
        <f>IFERROR(IF(($AX94)&gt;0,($BA94)/($AX94),""),"")</f>
        <v/>
      </c>
      <c r="BH94" s="57">
        <f>SUMIFS(tblFleet[Calendar_h],tblFleet[Date],$A94,tblFleet[Equipment_Class],"Haul Truck")</f>
        <v/>
      </c>
      <c r="BI94" s="57">
        <f>IF($B94=$B93,$BI93,0)+$BH94</f>
        <v/>
      </c>
      <c r="BJ94" s="57">
        <f>$BJ93+$BH94</f>
        <v/>
      </c>
      <c r="BK94" s="57">
        <f>SUMIFS(tblFleet[Available_h],tblFleet[Date],$A94,tblFleet[Equipment_Class],"Haul Truck")</f>
        <v/>
      </c>
      <c r="BL94" s="57">
        <f>IF($B94=$B93,$BL93,0)+$BK94</f>
        <v/>
      </c>
      <c r="BM94" s="57">
        <f>$BM93+$BK94</f>
        <v/>
      </c>
      <c r="BN94" s="57">
        <f>SUMIFS(tblFleet[Operating_h],tblFleet[Date],$A94,tblFleet[Equipment_Class],"Haul Truck")</f>
        <v/>
      </c>
      <c r="BO94" s="57">
        <f>IF($B94=$B93,$BO93,0)+$BN94</f>
        <v/>
      </c>
      <c r="BP94" s="57">
        <f>$BP93+$BN94</f>
        <v/>
      </c>
      <c r="BQ94" s="67">
        <f>IFERROR(IF(($BH94)&gt;0,($BK94)/($BH94),""),"")</f>
        <v/>
      </c>
      <c r="BR94" s="67">
        <f>IFERROR(IF(($BI94)&gt;0,($BL94)/($BI94),""),"")</f>
        <v/>
      </c>
      <c r="BS94" s="67">
        <f>IFERROR(IF(($BJ94)&gt;0,($BM94)/($BJ94),""),"")</f>
        <v/>
      </c>
      <c r="BT94" s="67">
        <f>IFERROR(IF(($BK94)&gt;0,($BN94)/($BK94),""),"")</f>
        <v/>
      </c>
      <c r="BU94" s="67">
        <f>IFERROR(IF(($BL94)&gt;0,($BO94)/($BL94),""),"")</f>
        <v/>
      </c>
      <c r="BV94" s="67">
        <f>IFERROR(IF(($BM94)&gt;0,($BP94)/($BM94),""),"")</f>
        <v/>
      </c>
      <c r="BW94" s="55">
        <f>SUMIFS(tblPlant[Crushed_t],tblPlant[Date],$A94)</f>
        <v/>
      </c>
      <c r="BX94" s="55">
        <f>IF($B94=$B93,$BX93,0)+$BW94</f>
        <v/>
      </c>
      <c r="BY94" s="55">
        <f>$BY93+$BW94</f>
        <v/>
      </c>
      <c r="BZ94" s="55">
        <f>SUMIFS(tblPlant[Milled_t],tblPlant[Date],$A94)</f>
        <v/>
      </c>
      <c r="CA94" s="55">
        <f>IF($B94=$B93,$CA93,0)+$BZ94</f>
        <v/>
      </c>
      <c r="CB94" s="55">
        <f>$CB93+$BZ94</f>
        <v/>
      </c>
      <c r="CC94" s="55">
        <f>SUMIFS(tblPlant[Feed_oz],tblPlant[Date],$A94)</f>
        <v/>
      </c>
      <c r="CD94" s="55">
        <f>IF($B94=$B93,$CD93,0)+$CC94</f>
        <v/>
      </c>
      <c r="CE94" s="55">
        <f>$CE93+$CC94</f>
        <v/>
      </c>
      <c r="CF94" s="55">
        <f>SUMIFS(tblPlant[Tails_oz],tblPlant[Date],$A94)</f>
        <v/>
      </c>
      <c r="CG94" s="55">
        <f>IF($B94=$B93,$CG93,0)+$CF94</f>
        <v/>
      </c>
      <c r="CH94" s="55">
        <f>$CH93+$CF94</f>
        <v/>
      </c>
      <c r="CI94" s="55">
        <f>SUMIFS(tblPlant[Recovered_oz],tblPlant[Date],$A94)</f>
        <v/>
      </c>
      <c r="CJ94" s="55">
        <f>IF($B94=$B93,$CJ93,0)+$CI94</f>
        <v/>
      </c>
      <c r="CK94" s="55">
        <f>$CK93+$CI94</f>
        <v/>
      </c>
      <c r="CL94" s="56">
        <f>IFERROR(IF(($BZ94)&gt;0,($CC94*cfg_TroyOz)/($BZ94),""),"")</f>
        <v/>
      </c>
      <c r="CM94" s="56">
        <f>IFERROR(IF(($CA94)&gt;0,($CD94*cfg_TroyOz)/($CA94),""),"")</f>
        <v/>
      </c>
      <c r="CN94" s="56">
        <f>IFERROR(IF(($CB94)&gt;0,($CE94*cfg_TroyOz)/($CB94),""),"")</f>
        <v/>
      </c>
      <c r="CO94" s="56">
        <f>IFERROR(IF(($BZ94)&gt;0,($CF94*cfg_TroyOz)/($BZ94),""),"")</f>
        <v/>
      </c>
      <c r="CP94" s="56">
        <f>IFERROR(IF(($CA94)&gt;0,($CG94*cfg_TroyOz)/($CA94),""),"")</f>
        <v/>
      </c>
      <c r="CQ94" s="56">
        <f>IFERROR(IF(($CB94)&gt;0,($CH94*cfg_TroyOz)/($CB94),""),"")</f>
        <v/>
      </c>
      <c r="CR94" s="67">
        <f>IFERROR(IF(($CC94)&gt;0,($CI94)/($CC94),""),"")</f>
        <v/>
      </c>
      <c r="CS94" s="67">
        <f>IFERROR(IF(($CD94)&gt;0,($CJ94)/($CD94),""),"")</f>
        <v/>
      </c>
      <c r="CT94" s="67">
        <f>IFERROR(IF(($CE94)&gt;0,($CK94)/($CE94),""),"")</f>
        <v/>
      </c>
      <c r="CU94" s="55">
        <f>SUMIFS(tblPlant[Gravity_Gold_oz],tblPlant[Date],$A94)</f>
        <v/>
      </c>
      <c r="CV94" s="55">
        <f>IF($B94=$B93,$CV93,0)+$CU94</f>
        <v/>
      </c>
      <c r="CW94" s="55">
        <f>$CW93+$CU94</f>
        <v/>
      </c>
      <c r="CX94" s="55">
        <f>SUMIFS(tblPlant[Gold_Poured_oz],tblPlant[Date],$A94)</f>
        <v/>
      </c>
      <c r="CY94" s="55">
        <f>IF($B94=$B93,$CY93,0)+$CX94</f>
        <v/>
      </c>
      <c r="CZ94" s="55">
        <f>$CZ93+$CX94</f>
        <v/>
      </c>
      <c r="DA94" s="57">
        <f>SUMIFS(tblPlant[Mill_Run_h],tblPlant[Date],$A94)</f>
        <v/>
      </c>
      <c r="DB94" s="57">
        <f>IF($B94=$B93,$DB93,0)+$DA94</f>
        <v/>
      </c>
      <c r="DC94" s="57">
        <f>$DC93+$DA94</f>
        <v/>
      </c>
      <c r="DD94" s="57">
        <f>SUMIFS(tblPlant[Mill_Planned_Maint_h],tblPlant[Date],$A94)</f>
        <v/>
      </c>
      <c r="DE94" s="57">
        <f>IF($B94=$B93,$DE93,0)+$DD94</f>
        <v/>
      </c>
      <c r="DF94" s="57">
        <f>$DF93+$DD94</f>
        <v/>
      </c>
      <c r="DG94" s="57">
        <f>SUMIFS(tblPlant[Mill_Unplanned_Down_h],tblPlant[Date],$A94)</f>
        <v/>
      </c>
      <c r="DH94" s="57">
        <f>IF($B94=$B93,$DH93,0)+$DG94</f>
        <v/>
      </c>
      <c r="DI94" s="57">
        <f>$DI93+$DG94</f>
        <v/>
      </c>
      <c r="DJ94" s="57">
        <f>COUNTIFS(tblPlant[Date],$A94,tblPlant[Mill_Run_h],"&lt;&gt;")*24</f>
        <v/>
      </c>
      <c r="DK94" s="57">
        <f>IF($B94=$B93,$DK93,0)+$DJ94</f>
        <v/>
      </c>
      <c r="DL94" s="57">
        <f>$DL93+$DJ94</f>
        <v/>
      </c>
      <c r="DM94" s="57">
        <f>SUMIFS(tblPlant[Crusher_Run_h],tblPlant[Date],$A94)</f>
        <v/>
      </c>
      <c r="DN94" s="57">
        <f>IF($B94=$B93,$DN93,0)+$DM94</f>
        <v/>
      </c>
      <c r="DO94" s="57">
        <f>$DO93+$DM94</f>
        <v/>
      </c>
      <c r="DP94" s="55">
        <f>IFERROR(IF(($DA94)&gt;0,($BZ94)/($DA94),""),"")</f>
        <v/>
      </c>
      <c r="DQ94" s="55">
        <f>IFERROR(IF(($DB94)&gt;0,($CA94)/($DB94),""),"")</f>
        <v/>
      </c>
      <c r="DR94" s="55">
        <f>IFERROR(IF(($DC94)&gt;0,($CB94)/($DC94),""),"")</f>
        <v/>
      </c>
      <c r="DS94" s="67">
        <f>IFERROR(IF(($DJ94)&gt;0,($DJ94-$DD94-$DG94)/($DJ94),""),"")</f>
        <v/>
      </c>
      <c r="DT94" s="67">
        <f>IFERROR(IF(($DK94)&gt;0,($DK94-$DE94-$DH94)/($DK94),""),"")</f>
        <v/>
      </c>
      <c r="DU94" s="67">
        <f>IFERROR(IF(($DL94)&gt;0,($DL94-$DF94-$DI94)/($DL94),""),"")</f>
        <v/>
      </c>
      <c r="DV94" s="67">
        <f>IFERROR(IF(($DJ94-$DD94-$DG94)&gt;0,($DA94)/($DJ94-$DD94-$DG94),""),"")</f>
        <v/>
      </c>
      <c r="DW94" s="67">
        <f>IFERROR(IF(($DK94-$DE94-$DH94)&gt;0,($DB94)/($DK94-$DE94-$DH94),""),"")</f>
        <v/>
      </c>
      <c r="DX94" s="67">
        <f>IFERROR(IF(($DL94-$DF94-$DI94)&gt;0,($DC94)/($DL94-$DF94-$DI94),""),"")</f>
        <v/>
      </c>
      <c r="DY94" s="55">
        <f>SUMIFS(tblPlant[Cyanide_kg],tblPlant[Date],$A94)</f>
        <v/>
      </c>
      <c r="DZ94" s="55">
        <f>IF($B94=$B93,$DZ93,0)+$DY94</f>
        <v/>
      </c>
      <c r="EA94" s="55">
        <f>$EA93+$DY94</f>
        <v/>
      </c>
      <c r="EB94" s="55">
        <f>SUMIFS(tblPlant[Lime_kg],tblPlant[Date],$A94)</f>
        <v/>
      </c>
      <c r="EC94" s="55">
        <f>IF($B94=$B93,$EC93,0)+$EB94</f>
        <v/>
      </c>
      <c r="ED94" s="55">
        <f>$ED93+$EB94</f>
        <v/>
      </c>
      <c r="EE94" s="55">
        <f>SUMIFS(tblPlant[Grinding_Media_kg],tblPlant[Date],$A94)</f>
        <v/>
      </c>
      <c r="EF94" s="55">
        <f>IF($B94=$B93,$EF93,0)+$EE94</f>
        <v/>
      </c>
      <c r="EG94" s="55">
        <f>$EG93+$EE94</f>
        <v/>
      </c>
      <c r="EH94" s="55">
        <f>SUMIFS(tblPlant[Power_kWh],tblPlant[Date],$A94)</f>
        <v/>
      </c>
      <c r="EI94" s="55">
        <f>IF($B94=$B93,$EI93,0)+$EH94</f>
        <v/>
      </c>
      <c r="EJ94" s="55">
        <f>$EJ93+$EH94</f>
        <v/>
      </c>
      <c r="EK94" s="55">
        <f>SUMIFS(tblPlant[Raw_Water_m3],tblPlant[Date],$A94)</f>
        <v/>
      </c>
      <c r="EL94" s="55">
        <f>IF($B94=$B93,$EL93,0)+$EK94</f>
        <v/>
      </c>
      <c r="EM94" s="55">
        <f>$EM93+$EK94</f>
        <v/>
      </c>
      <c r="EN94" s="56">
        <f>IFERROR(IF(($BZ94)&gt;0,($DY94)/($BZ94),""),"")</f>
        <v/>
      </c>
      <c r="EO94" s="56">
        <f>IFERROR(IF(($CA94)&gt;0,($DZ94)/($CA94),""),"")</f>
        <v/>
      </c>
      <c r="EP94" s="56">
        <f>IFERROR(IF(($CB94)&gt;0,($EA94)/($CB94),""),"")</f>
        <v/>
      </c>
      <c r="EQ94" s="56">
        <f>IFERROR(IF(($BZ94)&gt;0,($EB94)/($BZ94),""),"")</f>
        <v/>
      </c>
      <c r="ER94" s="56">
        <f>IFERROR(IF(($CA94)&gt;0,($EC94)/($CA94),""),"")</f>
        <v/>
      </c>
      <c r="ES94" s="56">
        <f>IFERROR(IF(($CB94)&gt;0,($ED94)/($CB94),""),"")</f>
        <v/>
      </c>
      <c r="ET94" s="56">
        <f>IFERROR(IF(($BZ94)&gt;0,($EE94)/($BZ94),""),"")</f>
        <v/>
      </c>
      <c r="EU94" s="56">
        <f>IFERROR(IF(($CA94)&gt;0,($EF94)/($CA94),""),"")</f>
        <v/>
      </c>
      <c r="EV94" s="56">
        <f>IFERROR(IF(($CB94)&gt;0,($EG94)/($CB94),""),"")</f>
        <v/>
      </c>
      <c r="EW94" s="76">
        <f>IFERROR(IF(($BZ94)&gt;0,($EH94)/($BZ94),""),"")</f>
        <v/>
      </c>
      <c r="EX94" s="76">
        <f>IFERROR(IF(($CA94)&gt;0,($EI94)/($CA94),""),"")</f>
        <v/>
      </c>
      <c r="EY94" s="76">
        <f>IFERROR(IF(($CB94)&gt;0,($EJ94)/($CB94),""),"")</f>
        <v/>
      </c>
      <c r="EZ94" s="56">
        <f>IFERROR(IF(($BZ94)&gt;0,($EK94)/($BZ94),""),"")</f>
        <v/>
      </c>
      <c r="FA94" s="56">
        <f>IFERROR(IF(($CA94)&gt;0,($EL94)/($CA94),""),"")</f>
        <v/>
      </c>
      <c r="FB94" s="56">
        <f>IFERROR(IF(($CB94)&gt;0,($EM94)/($CB94),""),"")</f>
        <v/>
      </c>
      <c r="FC94" s="55">
        <f>IF(SUMIFS(tblPlant[GIC_oz],tblPlant[Date],$A94)&gt;0,SUMIFS(tblPlant[GIC_oz],tblPlant[Date],$A94),"")</f>
        <v/>
      </c>
      <c r="FD94" s="55">
        <f>SUMIFS(tblGold[Gold_oz],tblGold[Date],$A94,tblGold[Type],"Shipment")</f>
        <v/>
      </c>
      <c r="FE94" s="55">
        <f>IF($B94=$B93,$FE93,0)+$FD94</f>
        <v/>
      </c>
      <c r="FF94" s="55">
        <f>$FF93+$FD94</f>
        <v/>
      </c>
      <c r="FG94" s="55">
        <f>SUMIFS(tblGold[Gold_oz],tblGold[Date],$A94,tblGold[Type],"Sale")</f>
        <v/>
      </c>
      <c r="FH94" s="55">
        <f>IF($B94=$B93,$FH93,0)+$FG94</f>
        <v/>
      </c>
      <c r="FI94" s="55">
        <f>$FI93+$FG94</f>
        <v/>
      </c>
      <c r="FJ94" s="55">
        <f>SUMIFS(tblGold[Dore_kg],tblGold[Date],$A94,tblGold[Type],"Shipment")</f>
        <v/>
      </c>
      <c r="FK94" s="55">
        <f>IF($B94=$B93,$FK93,0)+$FJ94</f>
        <v/>
      </c>
      <c r="FL94" s="55">
        <f>$FL93+$FJ94</f>
        <v/>
      </c>
      <c r="FM94" s="57">
        <f>SUMIFS(tblSafety[Hours_Total],tblSafety[Date],$A94)</f>
        <v/>
      </c>
      <c r="FN94" s="57">
        <f>IF($B94=$B93,$FN93,0)+$FM94</f>
        <v/>
      </c>
      <c r="FO94" s="57">
        <f>$FO93+$FM94</f>
        <v/>
      </c>
      <c r="FP94" s="62">
        <f>SUMIFS(tblSafety[Fatality],tblSafety[Date],$A94)</f>
        <v/>
      </c>
      <c r="FQ94" s="62">
        <f>IF($B94=$B93,$FQ93,0)+$FP94</f>
        <v/>
      </c>
      <c r="FR94" s="62">
        <f>$FR93+$FP94</f>
        <v/>
      </c>
      <c r="FS94" s="62">
        <f>SUMIFS(tblSafety[LTI],tblSafety[Date],$A94)</f>
        <v/>
      </c>
      <c r="FT94" s="62">
        <f>IF($B94=$B93,$FT93,0)+$FS94</f>
        <v/>
      </c>
      <c r="FU94" s="62">
        <f>$FU93+$FS94</f>
        <v/>
      </c>
      <c r="FV94" s="62">
        <f>SUMIFS(tblSafety[RWI],tblSafety[Date],$A94)</f>
        <v/>
      </c>
      <c r="FW94" s="62">
        <f>IF($B94=$B93,$FW93,0)+$FV94</f>
        <v/>
      </c>
      <c r="FX94" s="62">
        <f>$FX93+$FV94</f>
        <v/>
      </c>
      <c r="FY94" s="62">
        <f>SUMIFS(tblSafety[MTI],tblSafety[Date],$A94)</f>
        <v/>
      </c>
      <c r="FZ94" s="62">
        <f>IF($B94=$B93,$FZ93,0)+$FY94</f>
        <v/>
      </c>
      <c r="GA94" s="62">
        <f>$GA93+$FY94</f>
        <v/>
      </c>
      <c r="GB94" s="62">
        <f>SUMIFS(tblSafety[FAI],tblSafety[Date],$A94)</f>
        <v/>
      </c>
      <c r="GC94" s="62">
        <f>IF($B94=$B93,$GC93,0)+$GB94</f>
        <v/>
      </c>
      <c r="GD94" s="62">
        <f>$GD93+$GB94</f>
        <v/>
      </c>
      <c r="GE94" s="62">
        <f>SUMIFS(tblSafety[Recordables],tblSafety[Date],$A94)</f>
        <v/>
      </c>
      <c r="GF94" s="62">
        <f>IF($B94=$B93,$GF93,0)+$GE94</f>
        <v/>
      </c>
      <c r="GG94" s="62">
        <f>$GG93+$GE94</f>
        <v/>
      </c>
      <c r="GH94" s="62">
        <f>SUMIFS(tblSafety[Near_Miss],tblSafety[Date],$A94)</f>
        <v/>
      </c>
      <c r="GI94" s="62">
        <f>IF($B94=$B93,$GI93,0)+$GH94</f>
        <v/>
      </c>
      <c r="GJ94" s="62">
        <f>$GJ93+$GH94</f>
        <v/>
      </c>
      <c r="GK94" s="62">
        <f>SUMIFS(tblSafety[Hazard_Reports],tblSafety[Date],$A94)</f>
        <v/>
      </c>
      <c r="GL94" s="62">
        <f>IF($B94=$B93,$GL93,0)+$GK94</f>
        <v/>
      </c>
      <c r="GM94" s="62">
        <f>$GM93+$GK94</f>
        <v/>
      </c>
      <c r="GN94" s="62">
        <f>SUMIFS(tblSafety[HPI],tblSafety[Date],$A94)</f>
        <v/>
      </c>
      <c r="GO94" s="62">
        <f>IF($B94=$B93,$GO93,0)+$GN94</f>
        <v/>
      </c>
      <c r="GP94" s="62">
        <f>$GP93+$GN94</f>
        <v/>
      </c>
      <c r="GQ94" s="62">
        <f>SUMIFS(tblSafety[Env_Incidents],tblSafety[Date],$A94)</f>
        <v/>
      </c>
      <c r="GR94" s="62">
        <f>IF($B94=$B93,$GR93,0)+$GQ94</f>
        <v/>
      </c>
      <c r="GS94" s="62">
        <f>$GS93+$GQ94</f>
        <v/>
      </c>
      <c r="GT94" s="62">
        <f>SUMIFS(tblSafety[Community_Incidents],tblSafety[Date],$A94)</f>
        <v/>
      </c>
      <c r="GU94" s="62">
        <f>IF($B94=$B93,$GU93,0)+$GT94</f>
        <v/>
      </c>
      <c r="GV94" s="62">
        <f>$GV93+$GT94</f>
        <v/>
      </c>
      <c r="GW94" s="62">
        <f>SUMIFS(tblSafety[Vehicle_Incidents],tblSafety[Date],$A94)</f>
        <v/>
      </c>
      <c r="GX94" s="62">
        <f>IF($B94=$B93,$GX93,0)+$GW94</f>
        <v/>
      </c>
      <c r="GY94" s="62">
        <f>$GY93+$GW94</f>
        <v/>
      </c>
      <c r="GZ94" s="62">
        <f>SUMIFS(tblSafety[Toolbox_Talks],tblSafety[Date],$A94)</f>
        <v/>
      </c>
      <c r="HA94" s="62">
        <f>IF($B94=$B93,$HA93,0)+$GZ94</f>
        <v/>
      </c>
      <c r="HB94" s="62">
        <f>$HB93+$GZ94</f>
        <v/>
      </c>
      <c r="HC94" s="62">
        <f>SUMIFS(tblSafety[Inspections],tblSafety[Date],$A94)</f>
        <v/>
      </c>
      <c r="HD94" s="62">
        <f>IF($B94=$B93,$HD93,0)+$HC94</f>
        <v/>
      </c>
      <c r="HE94" s="62">
        <f>$HE93+$HC94</f>
        <v/>
      </c>
      <c r="HF94" s="56">
        <f>IFERROR((SUMIFS(tblSafety[Recordables],tblSafety[Date],"&gt;="&amp;EDATE($E94,-12),tblSafety[Date],"&lt;="&amp;$A94)+SUMIFS(tblSafetyHistory[Recordables],tblSafetyHistory[Month],"&gt;="&amp;EDATE($E94,-12),tblSafetyHistory[Month],"&lt;"&amp;cfg_YearStart))/(SUMIFS(tblSafety[Hours_Total],tblSafety[Date],"&gt;="&amp;EDATE($E94,-12),tblSafety[Date],"&lt;="&amp;$A94)+SUMIFS(tblSafetyHistory[Hours_Total],tblSafetyHistory[Month],"&gt;="&amp;EDATE($E94,-12),tblSafetyHistory[Month],"&lt;"&amp;cfg_YearStart))*1000000,"")</f>
        <v/>
      </c>
      <c r="HG94" s="56">
        <f>IFERROR((SUMIFS(tblSafety[LTI],tblSafety[Date],"&gt;="&amp;EDATE($E94,-12),tblSafety[Date],"&lt;="&amp;$A94)+SUMIFS(tblSafetyHistory[LTI],tblSafetyHistory[Month],"&gt;="&amp;EDATE($E94,-12),tblSafetyHistory[Month],"&lt;"&amp;cfg_YearStart))/(SUMIFS(tblSafety[Hours_Total],tblSafety[Date],"&gt;="&amp;EDATE($E94,-12),tblSafety[Date],"&lt;="&amp;$A94)+SUMIFS(tblSafetyHistory[Hours_Total],tblSafetyHistory[Month],"&gt;="&amp;EDATE($E94,-12),tblSafetyHistory[Month],"&lt;"&amp;cfg_YearStart))*1000000,"")</f>
        <v/>
      </c>
      <c r="HH94" s="62">
        <f>IF(MAX(N(cfg_PriorLTIDate),_xlfn.MAXIFS(tblSafety[Date],tblSafety[LTI],"&gt;0",tblSafety[Date],"&lt;="&amp;$A94))=0,"",$A94-MAX(N(cfg_PriorLTIDate),_xlfn.MAXIFS(tblSafety[Date],tblSafety[LTI],"&gt;0",tblSafety[Date],"&lt;="&amp;$A94)))</f>
        <v/>
      </c>
      <c r="HI94" s="55">
        <f>SUMIFS(tblBudget[Ore_Mined_t],tblBudget[Month],$E94)</f>
        <v/>
      </c>
      <c r="HJ94" s="55">
        <f>$HI94*$C94/$D94</f>
        <v/>
      </c>
      <c r="HK94" s="55">
        <f>SUMIFS(tblBudget[Ore_Mined_t],tblBudget[Month],"&lt;"&amp;$E94)+$HJ94</f>
        <v/>
      </c>
      <c r="HL94" s="55">
        <f>SUMIFS(tblBudget[Ore_oz],tblBudget[Month],$E94)</f>
        <v/>
      </c>
      <c r="HM94" s="55">
        <f>$HL94*$C94/$D94</f>
        <v/>
      </c>
      <c r="HN94" s="55">
        <f>SUMIFS(tblBudget[Ore_oz],tblBudget[Month],"&lt;"&amp;$E94)+$HM94</f>
        <v/>
      </c>
      <c r="HO94" s="56">
        <f>IFERROR(IF(($HI94)&gt;0,($HL94*cfg_TroyOz)/($HI94),""),"")</f>
        <v/>
      </c>
      <c r="HP94" s="56">
        <f>IFERROR(IF(($HJ94)&gt;0,($HM94*cfg_TroyOz)/($HJ94),""),"")</f>
        <v/>
      </c>
      <c r="HQ94" s="56">
        <f>IFERROR(IF(($HK94)&gt;0,($HN94*cfg_TroyOz)/($HK94),""),"")</f>
        <v/>
      </c>
      <c r="HR94" s="55">
        <f>SUMIFS(tblBudget[Waste_t],tblBudget[Month],$E94)</f>
        <v/>
      </c>
      <c r="HS94" s="55">
        <f>$HR94*$C94/$D94</f>
        <v/>
      </c>
      <c r="HT94" s="55">
        <f>SUMIFS(tblBudget[Waste_t],tblBudget[Month],"&lt;"&amp;$E94)+$HS94</f>
        <v/>
      </c>
      <c r="HU94" s="55">
        <f>SUMIFS(tblBudget[TMM_t],tblBudget[Month],$E94)</f>
        <v/>
      </c>
      <c r="HV94" s="55">
        <f>$HU94*$C94/$D94</f>
        <v/>
      </c>
      <c r="HW94" s="55">
        <f>SUMIFS(tblBudget[TMM_t],tblBudget[Month],"&lt;"&amp;$E94)+$HV94</f>
        <v/>
      </c>
      <c r="HX94" s="56">
        <f>IFERROR(IF(($HI94)&gt;0,($HR94)/($HI94),""),"")</f>
        <v/>
      </c>
      <c r="HY94" s="56">
        <f>IFERROR(IF(($HJ94)&gt;0,($HS94)/($HJ94),""),"")</f>
        <v/>
      </c>
      <c r="HZ94" s="56">
        <f>IFERROR(IF(($HK94)&gt;0,($HT94)/($HK94),""),"")</f>
        <v/>
      </c>
      <c r="IA94" s="55">
        <f>SUMIFS(tblBudget[Drill_m],tblBudget[Month],$E94)</f>
        <v/>
      </c>
      <c r="IB94" s="55">
        <f>$IA94*$C94/$D94</f>
        <v/>
      </c>
      <c r="IC94" s="55">
        <f>SUMIFS(tblBudget[Drill_m],tblBudget[Month],"&lt;"&amp;$E94)+$IB94</f>
        <v/>
      </c>
      <c r="ID94" s="55">
        <f>SUMIFS(tblBudget[Diesel_L],tblBudget[Month],$E94)</f>
        <v/>
      </c>
      <c r="IE94" s="55">
        <f>$ID94*$C94/$D94</f>
        <v/>
      </c>
      <c r="IF94" s="55">
        <f>SUMIFS(tblBudget[Diesel_L],tblBudget[Month],"&lt;"&amp;$E94)+$IE94</f>
        <v/>
      </c>
      <c r="IG94" s="55">
        <f>SUMIFS(tblBudget[Milled_t],tblBudget[Month],$E94)</f>
        <v/>
      </c>
      <c r="IH94" s="55">
        <f>$IG94*$C94/$D94</f>
        <v/>
      </c>
      <c r="II94" s="55">
        <f>SUMIFS(tblBudget[Milled_t],tblBudget[Month],"&lt;"&amp;$E94)+$IH94</f>
        <v/>
      </c>
      <c r="IJ94" s="55">
        <f>SUMIFS(tblBudget[Feed_oz],tblBudget[Month],$E94)</f>
        <v/>
      </c>
      <c r="IK94" s="55">
        <f>$IJ94*$C94/$D94</f>
        <v/>
      </c>
      <c r="IL94" s="55">
        <f>SUMIFS(tblBudget[Feed_oz],tblBudget[Month],"&lt;"&amp;$E94)+$IK94</f>
        <v/>
      </c>
      <c r="IM94" s="55">
        <f>SUMIFS(tblBudget[Recovered_oz],tblBudget[Month],$E94)</f>
        <v/>
      </c>
      <c r="IN94" s="55">
        <f>$IM94*$C94/$D94</f>
        <v/>
      </c>
      <c r="IO94" s="55">
        <f>SUMIFS(tblBudget[Recovered_oz],tblBudget[Month],"&lt;"&amp;$E94)+$IN94</f>
        <v/>
      </c>
      <c r="IP94" s="56">
        <f>IFERROR(IF(($IG94)&gt;0,($IJ94*cfg_TroyOz)/($IG94),""),"")</f>
        <v/>
      </c>
      <c r="IQ94" s="56">
        <f>IFERROR(IF(($IH94)&gt;0,($IK94*cfg_TroyOz)/($IH94),""),"")</f>
        <v/>
      </c>
      <c r="IR94" s="56">
        <f>IFERROR(IF(($II94)&gt;0,($IL94*cfg_TroyOz)/($II94),""),"")</f>
        <v/>
      </c>
      <c r="IS94" s="67">
        <f>IFERROR(IF(($IJ94)&gt;0,($IM94)/($IJ94),""),"")</f>
        <v/>
      </c>
      <c r="IT94" s="67">
        <f>IFERROR(IF(($IK94)&gt;0,($IN94)/($IK94),""),"")</f>
        <v/>
      </c>
      <c r="IU94" s="67">
        <f>IFERROR(IF(($IL94)&gt;0,($IO94)/($IL94),""),"")</f>
        <v/>
      </c>
      <c r="IV94" s="55">
        <f>SUMIFS(tblBudget[Gold_Poured_oz],tblBudget[Month],$E94)</f>
        <v/>
      </c>
      <c r="IW94" s="55">
        <f>$IV94*$C94/$D94</f>
        <v/>
      </c>
      <c r="IX94" s="55">
        <f>SUMIFS(tblBudget[Gold_Poured_oz],tblBudget[Month],"&lt;"&amp;$E94)+$IW94</f>
        <v/>
      </c>
      <c r="IY94" s="57">
        <f>SUMIFS(tblBudget[Hours_Worked],tblBudget[Month],$E94)</f>
        <v/>
      </c>
      <c r="IZ94" s="57">
        <f>$IY94*$C94/$D94</f>
        <v/>
      </c>
      <c r="JA94" s="57">
        <f>SUMIFS(tblBudget[Hours_Worked],tblBudget[Month],"&lt;"&amp;$E94)+$IZ94</f>
        <v/>
      </c>
    </row>
    <row r="95">
      <c r="A95" s="54" t="n">
        <v>46116</v>
      </c>
      <c r="B95">
        <f>MONTH($A95)</f>
        <v/>
      </c>
      <c r="C95">
        <f>DAY($A95)</f>
        <v/>
      </c>
      <c r="D95">
        <f>DAY(EOMONTH($A95,0))</f>
        <v/>
      </c>
      <c r="E95" s="54">
        <f>DATE(YEAR($A95),MONTH($A95),1)</f>
        <v/>
      </c>
      <c r="F95" s="55">
        <f>SUMIFS(tblMovement[Tonnes_t],tblMovement[Date],$A95,tblMovement[Is_Ore],1,tblMovement[Source_Type],"Pit")</f>
        <v/>
      </c>
      <c r="G95" s="55">
        <f>IF($B95=$B94,$G94,0)+$F95</f>
        <v/>
      </c>
      <c r="H95" s="55">
        <f>$H94+$F95</f>
        <v/>
      </c>
      <c r="I95" s="55">
        <f>SUMIFS(tblMovement[Ore_oz],tblMovement[Date],$A95,tblMovement[Source_Type],"Pit")</f>
        <v/>
      </c>
      <c r="J95" s="55">
        <f>IF($B95=$B94,$J94,0)+$I95</f>
        <v/>
      </c>
      <c r="K95" s="55">
        <f>$K94+$I95</f>
        <v/>
      </c>
      <c r="L95" s="56">
        <f>IFERROR(IF(($F95)&gt;0,($I95*cfg_TroyOz)/($F95),""),"")</f>
        <v/>
      </c>
      <c r="M95" s="56">
        <f>IFERROR(IF(($G95)&gt;0,($J95*cfg_TroyOz)/($G95),""),"")</f>
        <v/>
      </c>
      <c r="N95" s="56">
        <f>IFERROR(IF(($H95)&gt;0,($K95*cfg_TroyOz)/($H95),""),"")</f>
        <v/>
      </c>
      <c r="O95" s="55">
        <f>SUMIFS(tblMovement[Tonnes_t],tblMovement[Date],$A95,tblMovement[Is_Ore],0,tblMovement[Source_Type],"Pit")</f>
        <v/>
      </c>
      <c r="P95" s="55">
        <f>IF($B95=$B94,$P94,0)+$O95</f>
        <v/>
      </c>
      <c r="Q95" s="55">
        <f>$Q94+$O95</f>
        <v/>
      </c>
      <c r="R95" s="55">
        <f>$F95+$O95</f>
        <v/>
      </c>
      <c r="S95" s="55">
        <f>IF($B95=$B94,$S94,0)+$R95</f>
        <v/>
      </c>
      <c r="T95" s="55">
        <f>$T94+$R95</f>
        <v/>
      </c>
      <c r="U95" s="56">
        <f>IFERROR(IF(($F95)&gt;0,($O95)/($F95),""),"")</f>
        <v/>
      </c>
      <c r="V95" s="56">
        <f>IFERROR(IF(($G95)&gt;0,($P95)/($G95),""),"")</f>
        <v/>
      </c>
      <c r="W95" s="56">
        <f>IFERROR(IF(($H95)&gt;0,($Q95)/($H95),""),"")</f>
        <v/>
      </c>
      <c r="X95" s="55">
        <f>SUMIFS(tblMovement[Tonnes_t],tblMovement[Date],$A95,tblMovement[Source_Type],"Stockpile")</f>
        <v/>
      </c>
      <c r="Y95" s="55">
        <f>IF($B95=$B94,$Y94,0)+$X95</f>
        <v/>
      </c>
      <c r="Z95" s="55">
        <f>$Z94+$X95</f>
        <v/>
      </c>
      <c r="AA95" s="55">
        <f>SUMIFS(tblMiningDaily[Drill_m],tblMiningDaily[Date],$A95)</f>
        <v/>
      </c>
      <c r="AB95" s="55">
        <f>IF($B95=$B94,$AB94,0)+$AA95</f>
        <v/>
      </c>
      <c r="AC95" s="55">
        <f>$AC94+$AA95</f>
        <v/>
      </c>
      <c r="AD95" s="55">
        <f>SUMIFS(tblMiningDaily[Blast_t],tblMiningDaily[Date],$A95)</f>
        <v/>
      </c>
      <c r="AE95" s="55">
        <f>IF($B95=$B94,$AE94,0)+$AD95</f>
        <v/>
      </c>
      <c r="AF95" s="55">
        <f>$AF94+$AD95</f>
        <v/>
      </c>
      <c r="AG95" s="55">
        <f>SUMIFS(tblMiningDaily[Explosives_kg],tblMiningDaily[Date],$A95)</f>
        <v/>
      </c>
      <c r="AH95" s="55">
        <f>IF($B95=$B94,$AH94,0)+$AG95</f>
        <v/>
      </c>
      <c r="AI95" s="55">
        <f>$AI94+$AG95</f>
        <v/>
      </c>
      <c r="AJ95" s="56">
        <f>IFERROR(IF(($AD95)&gt;0,($AG95)/($AD95),""),"")</f>
        <v/>
      </c>
      <c r="AK95" s="56">
        <f>IFERROR(IF(($AE95)&gt;0,($AH95)/($AE95),""),"")</f>
        <v/>
      </c>
      <c r="AL95" s="56">
        <f>IFERROR(IF(($AF95)&gt;0,($AI95)/($AF95),""),"")</f>
        <v/>
      </c>
      <c r="AM95" s="55">
        <f>SUMIFS(tblMiningDaily[Diesel_L],tblMiningDaily[Date],$A95)</f>
        <v/>
      </c>
      <c r="AN95" s="55">
        <f>IF($B95=$B94,$AN94,0)+$AM95</f>
        <v/>
      </c>
      <c r="AO95" s="55">
        <f>$AO94+$AM95</f>
        <v/>
      </c>
      <c r="AP95" s="55">
        <f>SUMIFS(tblMiningDaily[Dewatering_m3],tblMiningDaily[Date],$A95)</f>
        <v/>
      </c>
      <c r="AQ95" s="55">
        <f>IF($B95=$B94,$AQ94,0)+$AP95</f>
        <v/>
      </c>
      <c r="AR95" s="55">
        <f>$AR94+$AP95</f>
        <v/>
      </c>
      <c r="AS95" s="57">
        <f>SUMIFS(tblFleet[Calendar_h],tblFleet[Date],$A95,tblFleet[Equipment_Class],"Excavator")</f>
        <v/>
      </c>
      <c r="AT95" s="57">
        <f>IF($B95=$B94,$AT94,0)+$AS95</f>
        <v/>
      </c>
      <c r="AU95" s="57">
        <f>$AU94+$AS95</f>
        <v/>
      </c>
      <c r="AV95" s="57">
        <f>SUMIFS(tblFleet[Available_h],tblFleet[Date],$A95,tblFleet[Equipment_Class],"Excavator")</f>
        <v/>
      </c>
      <c r="AW95" s="57">
        <f>IF($B95=$B94,$AW94,0)+$AV95</f>
        <v/>
      </c>
      <c r="AX95" s="57">
        <f>$AX94+$AV95</f>
        <v/>
      </c>
      <c r="AY95" s="57">
        <f>SUMIFS(tblFleet[Operating_h],tblFleet[Date],$A95,tblFleet[Equipment_Class],"Excavator")</f>
        <v/>
      </c>
      <c r="AZ95" s="57">
        <f>IF($B95=$B94,$AZ94,0)+$AY95</f>
        <v/>
      </c>
      <c r="BA95" s="57">
        <f>$BA94+$AY95</f>
        <v/>
      </c>
      <c r="BB95" s="67">
        <f>IFERROR(IF(($AS95)&gt;0,($AV95)/($AS95),""),"")</f>
        <v/>
      </c>
      <c r="BC95" s="67">
        <f>IFERROR(IF(($AT95)&gt;0,($AW95)/($AT95),""),"")</f>
        <v/>
      </c>
      <c r="BD95" s="67">
        <f>IFERROR(IF(($AU95)&gt;0,($AX95)/($AU95),""),"")</f>
        <v/>
      </c>
      <c r="BE95" s="67">
        <f>IFERROR(IF(($AV95)&gt;0,($AY95)/($AV95),""),"")</f>
        <v/>
      </c>
      <c r="BF95" s="67">
        <f>IFERROR(IF(($AW95)&gt;0,($AZ95)/($AW95),""),"")</f>
        <v/>
      </c>
      <c r="BG95" s="67">
        <f>IFERROR(IF(($AX95)&gt;0,($BA95)/($AX95),""),"")</f>
        <v/>
      </c>
      <c r="BH95" s="57">
        <f>SUMIFS(tblFleet[Calendar_h],tblFleet[Date],$A95,tblFleet[Equipment_Class],"Haul Truck")</f>
        <v/>
      </c>
      <c r="BI95" s="57">
        <f>IF($B95=$B94,$BI94,0)+$BH95</f>
        <v/>
      </c>
      <c r="BJ95" s="57">
        <f>$BJ94+$BH95</f>
        <v/>
      </c>
      <c r="BK95" s="57">
        <f>SUMIFS(tblFleet[Available_h],tblFleet[Date],$A95,tblFleet[Equipment_Class],"Haul Truck")</f>
        <v/>
      </c>
      <c r="BL95" s="57">
        <f>IF($B95=$B94,$BL94,0)+$BK95</f>
        <v/>
      </c>
      <c r="BM95" s="57">
        <f>$BM94+$BK95</f>
        <v/>
      </c>
      <c r="BN95" s="57">
        <f>SUMIFS(tblFleet[Operating_h],tblFleet[Date],$A95,tblFleet[Equipment_Class],"Haul Truck")</f>
        <v/>
      </c>
      <c r="BO95" s="57">
        <f>IF($B95=$B94,$BO94,0)+$BN95</f>
        <v/>
      </c>
      <c r="BP95" s="57">
        <f>$BP94+$BN95</f>
        <v/>
      </c>
      <c r="BQ95" s="67">
        <f>IFERROR(IF(($BH95)&gt;0,($BK95)/($BH95),""),"")</f>
        <v/>
      </c>
      <c r="BR95" s="67">
        <f>IFERROR(IF(($BI95)&gt;0,($BL95)/($BI95),""),"")</f>
        <v/>
      </c>
      <c r="BS95" s="67">
        <f>IFERROR(IF(($BJ95)&gt;0,($BM95)/($BJ95),""),"")</f>
        <v/>
      </c>
      <c r="BT95" s="67">
        <f>IFERROR(IF(($BK95)&gt;0,($BN95)/($BK95),""),"")</f>
        <v/>
      </c>
      <c r="BU95" s="67">
        <f>IFERROR(IF(($BL95)&gt;0,($BO95)/($BL95),""),"")</f>
        <v/>
      </c>
      <c r="BV95" s="67">
        <f>IFERROR(IF(($BM95)&gt;0,($BP95)/($BM95),""),"")</f>
        <v/>
      </c>
      <c r="BW95" s="55">
        <f>SUMIFS(tblPlant[Crushed_t],tblPlant[Date],$A95)</f>
        <v/>
      </c>
      <c r="BX95" s="55">
        <f>IF($B95=$B94,$BX94,0)+$BW95</f>
        <v/>
      </c>
      <c r="BY95" s="55">
        <f>$BY94+$BW95</f>
        <v/>
      </c>
      <c r="BZ95" s="55">
        <f>SUMIFS(tblPlant[Milled_t],tblPlant[Date],$A95)</f>
        <v/>
      </c>
      <c r="CA95" s="55">
        <f>IF($B95=$B94,$CA94,0)+$BZ95</f>
        <v/>
      </c>
      <c r="CB95" s="55">
        <f>$CB94+$BZ95</f>
        <v/>
      </c>
      <c r="CC95" s="55">
        <f>SUMIFS(tblPlant[Feed_oz],tblPlant[Date],$A95)</f>
        <v/>
      </c>
      <c r="CD95" s="55">
        <f>IF($B95=$B94,$CD94,0)+$CC95</f>
        <v/>
      </c>
      <c r="CE95" s="55">
        <f>$CE94+$CC95</f>
        <v/>
      </c>
      <c r="CF95" s="55">
        <f>SUMIFS(tblPlant[Tails_oz],tblPlant[Date],$A95)</f>
        <v/>
      </c>
      <c r="CG95" s="55">
        <f>IF($B95=$B94,$CG94,0)+$CF95</f>
        <v/>
      </c>
      <c r="CH95" s="55">
        <f>$CH94+$CF95</f>
        <v/>
      </c>
      <c r="CI95" s="55">
        <f>SUMIFS(tblPlant[Recovered_oz],tblPlant[Date],$A95)</f>
        <v/>
      </c>
      <c r="CJ95" s="55">
        <f>IF($B95=$B94,$CJ94,0)+$CI95</f>
        <v/>
      </c>
      <c r="CK95" s="55">
        <f>$CK94+$CI95</f>
        <v/>
      </c>
      <c r="CL95" s="56">
        <f>IFERROR(IF(($BZ95)&gt;0,($CC95*cfg_TroyOz)/($BZ95),""),"")</f>
        <v/>
      </c>
      <c r="CM95" s="56">
        <f>IFERROR(IF(($CA95)&gt;0,($CD95*cfg_TroyOz)/($CA95),""),"")</f>
        <v/>
      </c>
      <c r="CN95" s="56">
        <f>IFERROR(IF(($CB95)&gt;0,($CE95*cfg_TroyOz)/($CB95),""),"")</f>
        <v/>
      </c>
      <c r="CO95" s="56">
        <f>IFERROR(IF(($BZ95)&gt;0,($CF95*cfg_TroyOz)/($BZ95),""),"")</f>
        <v/>
      </c>
      <c r="CP95" s="56">
        <f>IFERROR(IF(($CA95)&gt;0,($CG95*cfg_TroyOz)/($CA95),""),"")</f>
        <v/>
      </c>
      <c r="CQ95" s="56">
        <f>IFERROR(IF(($CB95)&gt;0,($CH95*cfg_TroyOz)/($CB95),""),"")</f>
        <v/>
      </c>
      <c r="CR95" s="67">
        <f>IFERROR(IF(($CC95)&gt;0,($CI95)/($CC95),""),"")</f>
        <v/>
      </c>
      <c r="CS95" s="67">
        <f>IFERROR(IF(($CD95)&gt;0,($CJ95)/($CD95),""),"")</f>
        <v/>
      </c>
      <c r="CT95" s="67">
        <f>IFERROR(IF(($CE95)&gt;0,($CK95)/($CE95),""),"")</f>
        <v/>
      </c>
      <c r="CU95" s="55">
        <f>SUMIFS(tblPlant[Gravity_Gold_oz],tblPlant[Date],$A95)</f>
        <v/>
      </c>
      <c r="CV95" s="55">
        <f>IF($B95=$B94,$CV94,0)+$CU95</f>
        <v/>
      </c>
      <c r="CW95" s="55">
        <f>$CW94+$CU95</f>
        <v/>
      </c>
      <c r="CX95" s="55">
        <f>SUMIFS(tblPlant[Gold_Poured_oz],tblPlant[Date],$A95)</f>
        <v/>
      </c>
      <c r="CY95" s="55">
        <f>IF($B95=$B94,$CY94,0)+$CX95</f>
        <v/>
      </c>
      <c r="CZ95" s="55">
        <f>$CZ94+$CX95</f>
        <v/>
      </c>
      <c r="DA95" s="57">
        <f>SUMIFS(tblPlant[Mill_Run_h],tblPlant[Date],$A95)</f>
        <v/>
      </c>
      <c r="DB95" s="57">
        <f>IF($B95=$B94,$DB94,0)+$DA95</f>
        <v/>
      </c>
      <c r="DC95" s="57">
        <f>$DC94+$DA95</f>
        <v/>
      </c>
      <c r="DD95" s="57">
        <f>SUMIFS(tblPlant[Mill_Planned_Maint_h],tblPlant[Date],$A95)</f>
        <v/>
      </c>
      <c r="DE95" s="57">
        <f>IF($B95=$B94,$DE94,0)+$DD95</f>
        <v/>
      </c>
      <c r="DF95" s="57">
        <f>$DF94+$DD95</f>
        <v/>
      </c>
      <c r="DG95" s="57">
        <f>SUMIFS(tblPlant[Mill_Unplanned_Down_h],tblPlant[Date],$A95)</f>
        <v/>
      </c>
      <c r="DH95" s="57">
        <f>IF($B95=$B94,$DH94,0)+$DG95</f>
        <v/>
      </c>
      <c r="DI95" s="57">
        <f>$DI94+$DG95</f>
        <v/>
      </c>
      <c r="DJ95" s="57">
        <f>COUNTIFS(tblPlant[Date],$A95,tblPlant[Mill_Run_h],"&lt;&gt;")*24</f>
        <v/>
      </c>
      <c r="DK95" s="57">
        <f>IF($B95=$B94,$DK94,0)+$DJ95</f>
        <v/>
      </c>
      <c r="DL95" s="57">
        <f>$DL94+$DJ95</f>
        <v/>
      </c>
      <c r="DM95" s="57">
        <f>SUMIFS(tblPlant[Crusher_Run_h],tblPlant[Date],$A95)</f>
        <v/>
      </c>
      <c r="DN95" s="57">
        <f>IF($B95=$B94,$DN94,0)+$DM95</f>
        <v/>
      </c>
      <c r="DO95" s="57">
        <f>$DO94+$DM95</f>
        <v/>
      </c>
      <c r="DP95" s="55">
        <f>IFERROR(IF(($DA95)&gt;0,($BZ95)/($DA95),""),"")</f>
        <v/>
      </c>
      <c r="DQ95" s="55">
        <f>IFERROR(IF(($DB95)&gt;0,($CA95)/($DB95),""),"")</f>
        <v/>
      </c>
      <c r="DR95" s="55">
        <f>IFERROR(IF(($DC95)&gt;0,($CB95)/($DC95),""),"")</f>
        <v/>
      </c>
      <c r="DS95" s="67">
        <f>IFERROR(IF(($DJ95)&gt;0,($DJ95-$DD95-$DG95)/($DJ95),""),"")</f>
        <v/>
      </c>
      <c r="DT95" s="67">
        <f>IFERROR(IF(($DK95)&gt;0,($DK95-$DE95-$DH95)/($DK95),""),"")</f>
        <v/>
      </c>
      <c r="DU95" s="67">
        <f>IFERROR(IF(($DL95)&gt;0,($DL95-$DF95-$DI95)/($DL95),""),"")</f>
        <v/>
      </c>
      <c r="DV95" s="67">
        <f>IFERROR(IF(($DJ95-$DD95-$DG95)&gt;0,($DA95)/($DJ95-$DD95-$DG95),""),"")</f>
        <v/>
      </c>
      <c r="DW95" s="67">
        <f>IFERROR(IF(($DK95-$DE95-$DH95)&gt;0,($DB95)/($DK95-$DE95-$DH95),""),"")</f>
        <v/>
      </c>
      <c r="DX95" s="67">
        <f>IFERROR(IF(($DL95-$DF95-$DI95)&gt;0,($DC95)/($DL95-$DF95-$DI95),""),"")</f>
        <v/>
      </c>
      <c r="DY95" s="55">
        <f>SUMIFS(tblPlant[Cyanide_kg],tblPlant[Date],$A95)</f>
        <v/>
      </c>
      <c r="DZ95" s="55">
        <f>IF($B95=$B94,$DZ94,0)+$DY95</f>
        <v/>
      </c>
      <c r="EA95" s="55">
        <f>$EA94+$DY95</f>
        <v/>
      </c>
      <c r="EB95" s="55">
        <f>SUMIFS(tblPlant[Lime_kg],tblPlant[Date],$A95)</f>
        <v/>
      </c>
      <c r="EC95" s="55">
        <f>IF($B95=$B94,$EC94,0)+$EB95</f>
        <v/>
      </c>
      <c r="ED95" s="55">
        <f>$ED94+$EB95</f>
        <v/>
      </c>
      <c r="EE95" s="55">
        <f>SUMIFS(tblPlant[Grinding_Media_kg],tblPlant[Date],$A95)</f>
        <v/>
      </c>
      <c r="EF95" s="55">
        <f>IF($B95=$B94,$EF94,0)+$EE95</f>
        <v/>
      </c>
      <c r="EG95" s="55">
        <f>$EG94+$EE95</f>
        <v/>
      </c>
      <c r="EH95" s="55">
        <f>SUMIFS(tblPlant[Power_kWh],tblPlant[Date],$A95)</f>
        <v/>
      </c>
      <c r="EI95" s="55">
        <f>IF($B95=$B94,$EI94,0)+$EH95</f>
        <v/>
      </c>
      <c r="EJ95" s="55">
        <f>$EJ94+$EH95</f>
        <v/>
      </c>
      <c r="EK95" s="55">
        <f>SUMIFS(tblPlant[Raw_Water_m3],tblPlant[Date],$A95)</f>
        <v/>
      </c>
      <c r="EL95" s="55">
        <f>IF($B95=$B94,$EL94,0)+$EK95</f>
        <v/>
      </c>
      <c r="EM95" s="55">
        <f>$EM94+$EK95</f>
        <v/>
      </c>
      <c r="EN95" s="56">
        <f>IFERROR(IF(($BZ95)&gt;0,($DY95)/($BZ95),""),"")</f>
        <v/>
      </c>
      <c r="EO95" s="56">
        <f>IFERROR(IF(($CA95)&gt;0,($DZ95)/($CA95),""),"")</f>
        <v/>
      </c>
      <c r="EP95" s="56">
        <f>IFERROR(IF(($CB95)&gt;0,($EA95)/($CB95),""),"")</f>
        <v/>
      </c>
      <c r="EQ95" s="56">
        <f>IFERROR(IF(($BZ95)&gt;0,($EB95)/($BZ95),""),"")</f>
        <v/>
      </c>
      <c r="ER95" s="56">
        <f>IFERROR(IF(($CA95)&gt;0,($EC95)/($CA95),""),"")</f>
        <v/>
      </c>
      <c r="ES95" s="56">
        <f>IFERROR(IF(($CB95)&gt;0,($ED95)/($CB95),""),"")</f>
        <v/>
      </c>
      <c r="ET95" s="56">
        <f>IFERROR(IF(($BZ95)&gt;0,($EE95)/($BZ95),""),"")</f>
        <v/>
      </c>
      <c r="EU95" s="56">
        <f>IFERROR(IF(($CA95)&gt;0,($EF95)/($CA95),""),"")</f>
        <v/>
      </c>
      <c r="EV95" s="56">
        <f>IFERROR(IF(($CB95)&gt;0,($EG95)/($CB95),""),"")</f>
        <v/>
      </c>
      <c r="EW95" s="76">
        <f>IFERROR(IF(($BZ95)&gt;0,($EH95)/($BZ95),""),"")</f>
        <v/>
      </c>
      <c r="EX95" s="76">
        <f>IFERROR(IF(($CA95)&gt;0,($EI95)/($CA95),""),"")</f>
        <v/>
      </c>
      <c r="EY95" s="76">
        <f>IFERROR(IF(($CB95)&gt;0,($EJ95)/($CB95),""),"")</f>
        <v/>
      </c>
      <c r="EZ95" s="56">
        <f>IFERROR(IF(($BZ95)&gt;0,($EK95)/($BZ95),""),"")</f>
        <v/>
      </c>
      <c r="FA95" s="56">
        <f>IFERROR(IF(($CA95)&gt;0,($EL95)/($CA95),""),"")</f>
        <v/>
      </c>
      <c r="FB95" s="56">
        <f>IFERROR(IF(($CB95)&gt;0,($EM95)/($CB95),""),"")</f>
        <v/>
      </c>
      <c r="FC95" s="55">
        <f>IF(SUMIFS(tblPlant[GIC_oz],tblPlant[Date],$A95)&gt;0,SUMIFS(tblPlant[GIC_oz],tblPlant[Date],$A95),"")</f>
        <v/>
      </c>
      <c r="FD95" s="55">
        <f>SUMIFS(tblGold[Gold_oz],tblGold[Date],$A95,tblGold[Type],"Shipment")</f>
        <v/>
      </c>
      <c r="FE95" s="55">
        <f>IF($B95=$B94,$FE94,0)+$FD95</f>
        <v/>
      </c>
      <c r="FF95" s="55">
        <f>$FF94+$FD95</f>
        <v/>
      </c>
      <c r="FG95" s="55">
        <f>SUMIFS(tblGold[Gold_oz],tblGold[Date],$A95,tblGold[Type],"Sale")</f>
        <v/>
      </c>
      <c r="FH95" s="55">
        <f>IF($B95=$B94,$FH94,0)+$FG95</f>
        <v/>
      </c>
      <c r="FI95" s="55">
        <f>$FI94+$FG95</f>
        <v/>
      </c>
      <c r="FJ95" s="55">
        <f>SUMIFS(tblGold[Dore_kg],tblGold[Date],$A95,tblGold[Type],"Shipment")</f>
        <v/>
      </c>
      <c r="FK95" s="55">
        <f>IF($B95=$B94,$FK94,0)+$FJ95</f>
        <v/>
      </c>
      <c r="FL95" s="55">
        <f>$FL94+$FJ95</f>
        <v/>
      </c>
      <c r="FM95" s="57">
        <f>SUMIFS(tblSafety[Hours_Total],tblSafety[Date],$A95)</f>
        <v/>
      </c>
      <c r="FN95" s="57">
        <f>IF($B95=$B94,$FN94,0)+$FM95</f>
        <v/>
      </c>
      <c r="FO95" s="57">
        <f>$FO94+$FM95</f>
        <v/>
      </c>
      <c r="FP95" s="62">
        <f>SUMIFS(tblSafety[Fatality],tblSafety[Date],$A95)</f>
        <v/>
      </c>
      <c r="FQ95" s="62">
        <f>IF($B95=$B94,$FQ94,0)+$FP95</f>
        <v/>
      </c>
      <c r="FR95" s="62">
        <f>$FR94+$FP95</f>
        <v/>
      </c>
      <c r="FS95" s="62">
        <f>SUMIFS(tblSafety[LTI],tblSafety[Date],$A95)</f>
        <v/>
      </c>
      <c r="FT95" s="62">
        <f>IF($B95=$B94,$FT94,0)+$FS95</f>
        <v/>
      </c>
      <c r="FU95" s="62">
        <f>$FU94+$FS95</f>
        <v/>
      </c>
      <c r="FV95" s="62">
        <f>SUMIFS(tblSafety[RWI],tblSafety[Date],$A95)</f>
        <v/>
      </c>
      <c r="FW95" s="62">
        <f>IF($B95=$B94,$FW94,0)+$FV95</f>
        <v/>
      </c>
      <c r="FX95" s="62">
        <f>$FX94+$FV95</f>
        <v/>
      </c>
      <c r="FY95" s="62">
        <f>SUMIFS(tblSafety[MTI],tblSafety[Date],$A95)</f>
        <v/>
      </c>
      <c r="FZ95" s="62">
        <f>IF($B95=$B94,$FZ94,0)+$FY95</f>
        <v/>
      </c>
      <c r="GA95" s="62">
        <f>$GA94+$FY95</f>
        <v/>
      </c>
      <c r="GB95" s="62">
        <f>SUMIFS(tblSafety[FAI],tblSafety[Date],$A95)</f>
        <v/>
      </c>
      <c r="GC95" s="62">
        <f>IF($B95=$B94,$GC94,0)+$GB95</f>
        <v/>
      </c>
      <c r="GD95" s="62">
        <f>$GD94+$GB95</f>
        <v/>
      </c>
      <c r="GE95" s="62">
        <f>SUMIFS(tblSafety[Recordables],tblSafety[Date],$A95)</f>
        <v/>
      </c>
      <c r="GF95" s="62">
        <f>IF($B95=$B94,$GF94,0)+$GE95</f>
        <v/>
      </c>
      <c r="GG95" s="62">
        <f>$GG94+$GE95</f>
        <v/>
      </c>
      <c r="GH95" s="62">
        <f>SUMIFS(tblSafety[Near_Miss],tblSafety[Date],$A95)</f>
        <v/>
      </c>
      <c r="GI95" s="62">
        <f>IF($B95=$B94,$GI94,0)+$GH95</f>
        <v/>
      </c>
      <c r="GJ95" s="62">
        <f>$GJ94+$GH95</f>
        <v/>
      </c>
      <c r="GK95" s="62">
        <f>SUMIFS(tblSafety[Hazard_Reports],tblSafety[Date],$A95)</f>
        <v/>
      </c>
      <c r="GL95" s="62">
        <f>IF($B95=$B94,$GL94,0)+$GK95</f>
        <v/>
      </c>
      <c r="GM95" s="62">
        <f>$GM94+$GK95</f>
        <v/>
      </c>
      <c r="GN95" s="62">
        <f>SUMIFS(tblSafety[HPI],tblSafety[Date],$A95)</f>
        <v/>
      </c>
      <c r="GO95" s="62">
        <f>IF($B95=$B94,$GO94,0)+$GN95</f>
        <v/>
      </c>
      <c r="GP95" s="62">
        <f>$GP94+$GN95</f>
        <v/>
      </c>
      <c r="GQ95" s="62">
        <f>SUMIFS(tblSafety[Env_Incidents],tblSafety[Date],$A95)</f>
        <v/>
      </c>
      <c r="GR95" s="62">
        <f>IF($B95=$B94,$GR94,0)+$GQ95</f>
        <v/>
      </c>
      <c r="GS95" s="62">
        <f>$GS94+$GQ95</f>
        <v/>
      </c>
      <c r="GT95" s="62">
        <f>SUMIFS(tblSafety[Community_Incidents],tblSafety[Date],$A95)</f>
        <v/>
      </c>
      <c r="GU95" s="62">
        <f>IF($B95=$B94,$GU94,0)+$GT95</f>
        <v/>
      </c>
      <c r="GV95" s="62">
        <f>$GV94+$GT95</f>
        <v/>
      </c>
      <c r="GW95" s="62">
        <f>SUMIFS(tblSafety[Vehicle_Incidents],tblSafety[Date],$A95)</f>
        <v/>
      </c>
      <c r="GX95" s="62">
        <f>IF($B95=$B94,$GX94,0)+$GW95</f>
        <v/>
      </c>
      <c r="GY95" s="62">
        <f>$GY94+$GW95</f>
        <v/>
      </c>
      <c r="GZ95" s="62">
        <f>SUMIFS(tblSafety[Toolbox_Talks],tblSafety[Date],$A95)</f>
        <v/>
      </c>
      <c r="HA95" s="62">
        <f>IF($B95=$B94,$HA94,0)+$GZ95</f>
        <v/>
      </c>
      <c r="HB95" s="62">
        <f>$HB94+$GZ95</f>
        <v/>
      </c>
      <c r="HC95" s="62">
        <f>SUMIFS(tblSafety[Inspections],tblSafety[Date],$A95)</f>
        <v/>
      </c>
      <c r="HD95" s="62">
        <f>IF($B95=$B94,$HD94,0)+$HC95</f>
        <v/>
      </c>
      <c r="HE95" s="62">
        <f>$HE94+$HC95</f>
        <v/>
      </c>
      <c r="HF95" s="56">
        <f>IFERROR((SUMIFS(tblSafety[Recordables],tblSafety[Date],"&gt;="&amp;EDATE($E95,-12),tblSafety[Date],"&lt;="&amp;$A95)+SUMIFS(tblSafetyHistory[Recordables],tblSafetyHistory[Month],"&gt;="&amp;EDATE($E95,-12),tblSafetyHistory[Month],"&lt;"&amp;cfg_YearStart))/(SUMIFS(tblSafety[Hours_Total],tblSafety[Date],"&gt;="&amp;EDATE($E95,-12),tblSafety[Date],"&lt;="&amp;$A95)+SUMIFS(tblSafetyHistory[Hours_Total],tblSafetyHistory[Month],"&gt;="&amp;EDATE($E95,-12),tblSafetyHistory[Month],"&lt;"&amp;cfg_YearStart))*1000000,"")</f>
        <v/>
      </c>
      <c r="HG95" s="56">
        <f>IFERROR((SUMIFS(tblSafety[LTI],tblSafety[Date],"&gt;="&amp;EDATE($E95,-12),tblSafety[Date],"&lt;="&amp;$A95)+SUMIFS(tblSafetyHistory[LTI],tblSafetyHistory[Month],"&gt;="&amp;EDATE($E95,-12),tblSafetyHistory[Month],"&lt;"&amp;cfg_YearStart))/(SUMIFS(tblSafety[Hours_Total],tblSafety[Date],"&gt;="&amp;EDATE($E95,-12),tblSafety[Date],"&lt;="&amp;$A95)+SUMIFS(tblSafetyHistory[Hours_Total],tblSafetyHistory[Month],"&gt;="&amp;EDATE($E95,-12),tblSafetyHistory[Month],"&lt;"&amp;cfg_YearStart))*1000000,"")</f>
        <v/>
      </c>
      <c r="HH95" s="62">
        <f>IF(MAX(N(cfg_PriorLTIDate),_xlfn.MAXIFS(tblSafety[Date],tblSafety[LTI],"&gt;0",tblSafety[Date],"&lt;="&amp;$A95))=0,"",$A95-MAX(N(cfg_PriorLTIDate),_xlfn.MAXIFS(tblSafety[Date],tblSafety[LTI],"&gt;0",tblSafety[Date],"&lt;="&amp;$A95)))</f>
        <v/>
      </c>
      <c r="HI95" s="55">
        <f>SUMIFS(tblBudget[Ore_Mined_t],tblBudget[Month],$E95)</f>
        <v/>
      </c>
      <c r="HJ95" s="55">
        <f>$HI95*$C95/$D95</f>
        <v/>
      </c>
      <c r="HK95" s="55">
        <f>SUMIFS(tblBudget[Ore_Mined_t],tblBudget[Month],"&lt;"&amp;$E95)+$HJ95</f>
        <v/>
      </c>
      <c r="HL95" s="55">
        <f>SUMIFS(tblBudget[Ore_oz],tblBudget[Month],$E95)</f>
        <v/>
      </c>
      <c r="HM95" s="55">
        <f>$HL95*$C95/$D95</f>
        <v/>
      </c>
      <c r="HN95" s="55">
        <f>SUMIFS(tblBudget[Ore_oz],tblBudget[Month],"&lt;"&amp;$E95)+$HM95</f>
        <v/>
      </c>
      <c r="HO95" s="56">
        <f>IFERROR(IF(($HI95)&gt;0,($HL95*cfg_TroyOz)/($HI95),""),"")</f>
        <v/>
      </c>
      <c r="HP95" s="56">
        <f>IFERROR(IF(($HJ95)&gt;0,($HM95*cfg_TroyOz)/($HJ95),""),"")</f>
        <v/>
      </c>
      <c r="HQ95" s="56">
        <f>IFERROR(IF(($HK95)&gt;0,($HN95*cfg_TroyOz)/($HK95),""),"")</f>
        <v/>
      </c>
      <c r="HR95" s="55">
        <f>SUMIFS(tblBudget[Waste_t],tblBudget[Month],$E95)</f>
        <v/>
      </c>
      <c r="HS95" s="55">
        <f>$HR95*$C95/$D95</f>
        <v/>
      </c>
      <c r="HT95" s="55">
        <f>SUMIFS(tblBudget[Waste_t],tblBudget[Month],"&lt;"&amp;$E95)+$HS95</f>
        <v/>
      </c>
      <c r="HU95" s="55">
        <f>SUMIFS(tblBudget[TMM_t],tblBudget[Month],$E95)</f>
        <v/>
      </c>
      <c r="HV95" s="55">
        <f>$HU95*$C95/$D95</f>
        <v/>
      </c>
      <c r="HW95" s="55">
        <f>SUMIFS(tblBudget[TMM_t],tblBudget[Month],"&lt;"&amp;$E95)+$HV95</f>
        <v/>
      </c>
      <c r="HX95" s="56">
        <f>IFERROR(IF(($HI95)&gt;0,($HR95)/($HI95),""),"")</f>
        <v/>
      </c>
      <c r="HY95" s="56">
        <f>IFERROR(IF(($HJ95)&gt;0,($HS95)/($HJ95),""),"")</f>
        <v/>
      </c>
      <c r="HZ95" s="56">
        <f>IFERROR(IF(($HK95)&gt;0,($HT95)/($HK95),""),"")</f>
        <v/>
      </c>
      <c r="IA95" s="55">
        <f>SUMIFS(tblBudget[Drill_m],tblBudget[Month],$E95)</f>
        <v/>
      </c>
      <c r="IB95" s="55">
        <f>$IA95*$C95/$D95</f>
        <v/>
      </c>
      <c r="IC95" s="55">
        <f>SUMIFS(tblBudget[Drill_m],tblBudget[Month],"&lt;"&amp;$E95)+$IB95</f>
        <v/>
      </c>
      <c r="ID95" s="55">
        <f>SUMIFS(tblBudget[Diesel_L],tblBudget[Month],$E95)</f>
        <v/>
      </c>
      <c r="IE95" s="55">
        <f>$ID95*$C95/$D95</f>
        <v/>
      </c>
      <c r="IF95" s="55">
        <f>SUMIFS(tblBudget[Diesel_L],tblBudget[Month],"&lt;"&amp;$E95)+$IE95</f>
        <v/>
      </c>
      <c r="IG95" s="55">
        <f>SUMIFS(tblBudget[Milled_t],tblBudget[Month],$E95)</f>
        <v/>
      </c>
      <c r="IH95" s="55">
        <f>$IG95*$C95/$D95</f>
        <v/>
      </c>
      <c r="II95" s="55">
        <f>SUMIFS(tblBudget[Milled_t],tblBudget[Month],"&lt;"&amp;$E95)+$IH95</f>
        <v/>
      </c>
      <c r="IJ95" s="55">
        <f>SUMIFS(tblBudget[Feed_oz],tblBudget[Month],$E95)</f>
        <v/>
      </c>
      <c r="IK95" s="55">
        <f>$IJ95*$C95/$D95</f>
        <v/>
      </c>
      <c r="IL95" s="55">
        <f>SUMIFS(tblBudget[Feed_oz],tblBudget[Month],"&lt;"&amp;$E95)+$IK95</f>
        <v/>
      </c>
      <c r="IM95" s="55">
        <f>SUMIFS(tblBudget[Recovered_oz],tblBudget[Month],$E95)</f>
        <v/>
      </c>
      <c r="IN95" s="55">
        <f>$IM95*$C95/$D95</f>
        <v/>
      </c>
      <c r="IO95" s="55">
        <f>SUMIFS(tblBudget[Recovered_oz],tblBudget[Month],"&lt;"&amp;$E95)+$IN95</f>
        <v/>
      </c>
      <c r="IP95" s="56">
        <f>IFERROR(IF(($IG95)&gt;0,($IJ95*cfg_TroyOz)/($IG95),""),"")</f>
        <v/>
      </c>
      <c r="IQ95" s="56">
        <f>IFERROR(IF(($IH95)&gt;0,($IK95*cfg_TroyOz)/($IH95),""),"")</f>
        <v/>
      </c>
      <c r="IR95" s="56">
        <f>IFERROR(IF(($II95)&gt;0,($IL95*cfg_TroyOz)/($II95),""),"")</f>
        <v/>
      </c>
      <c r="IS95" s="67">
        <f>IFERROR(IF(($IJ95)&gt;0,($IM95)/($IJ95),""),"")</f>
        <v/>
      </c>
      <c r="IT95" s="67">
        <f>IFERROR(IF(($IK95)&gt;0,($IN95)/($IK95),""),"")</f>
        <v/>
      </c>
      <c r="IU95" s="67">
        <f>IFERROR(IF(($IL95)&gt;0,($IO95)/($IL95),""),"")</f>
        <v/>
      </c>
      <c r="IV95" s="55">
        <f>SUMIFS(tblBudget[Gold_Poured_oz],tblBudget[Month],$E95)</f>
        <v/>
      </c>
      <c r="IW95" s="55">
        <f>$IV95*$C95/$D95</f>
        <v/>
      </c>
      <c r="IX95" s="55">
        <f>SUMIFS(tblBudget[Gold_Poured_oz],tblBudget[Month],"&lt;"&amp;$E95)+$IW95</f>
        <v/>
      </c>
      <c r="IY95" s="57">
        <f>SUMIFS(tblBudget[Hours_Worked],tblBudget[Month],$E95)</f>
        <v/>
      </c>
      <c r="IZ95" s="57">
        <f>$IY95*$C95/$D95</f>
        <v/>
      </c>
      <c r="JA95" s="57">
        <f>SUMIFS(tblBudget[Hours_Worked],tblBudget[Month],"&lt;"&amp;$E95)+$IZ95</f>
        <v/>
      </c>
    </row>
    <row r="96">
      <c r="A96" s="54" t="n">
        <v>46117</v>
      </c>
      <c r="B96">
        <f>MONTH($A96)</f>
        <v/>
      </c>
      <c r="C96">
        <f>DAY($A96)</f>
        <v/>
      </c>
      <c r="D96">
        <f>DAY(EOMONTH($A96,0))</f>
        <v/>
      </c>
      <c r="E96" s="54">
        <f>DATE(YEAR($A96),MONTH($A96),1)</f>
        <v/>
      </c>
      <c r="F96" s="55">
        <f>SUMIFS(tblMovement[Tonnes_t],tblMovement[Date],$A96,tblMovement[Is_Ore],1,tblMovement[Source_Type],"Pit")</f>
        <v/>
      </c>
      <c r="G96" s="55">
        <f>IF($B96=$B95,$G95,0)+$F96</f>
        <v/>
      </c>
      <c r="H96" s="55">
        <f>$H95+$F96</f>
        <v/>
      </c>
      <c r="I96" s="55">
        <f>SUMIFS(tblMovement[Ore_oz],tblMovement[Date],$A96,tblMovement[Source_Type],"Pit")</f>
        <v/>
      </c>
      <c r="J96" s="55">
        <f>IF($B96=$B95,$J95,0)+$I96</f>
        <v/>
      </c>
      <c r="K96" s="55">
        <f>$K95+$I96</f>
        <v/>
      </c>
      <c r="L96" s="56">
        <f>IFERROR(IF(($F96)&gt;0,($I96*cfg_TroyOz)/($F96),""),"")</f>
        <v/>
      </c>
      <c r="M96" s="56">
        <f>IFERROR(IF(($G96)&gt;0,($J96*cfg_TroyOz)/($G96),""),"")</f>
        <v/>
      </c>
      <c r="N96" s="56">
        <f>IFERROR(IF(($H96)&gt;0,($K96*cfg_TroyOz)/($H96),""),"")</f>
        <v/>
      </c>
      <c r="O96" s="55">
        <f>SUMIFS(tblMovement[Tonnes_t],tblMovement[Date],$A96,tblMovement[Is_Ore],0,tblMovement[Source_Type],"Pit")</f>
        <v/>
      </c>
      <c r="P96" s="55">
        <f>IF($B96=$B95,$P95,0)+$O96</f>
        <v/>
      </c>
      <c r="Q96" s="55">
        <f>$Q95+$O96</f>
        <v/>
      </c>
      <c r="R96" s="55">
        <f>$F96+$O96</f>
        <v/>
      </c>
      <c r="S96" s="55">
        <f>IF($B96=$B95,$S95,0)+$R96</f>
        <v/>
      </c>
      <c r="T96" s="55">
        <f>$T95+$R96</f>
        <v/>
      </c>
      <c r="U96" s="56">
        <f>IFERROR(IF(($F96)&gt;0,($O96)/($F96),""),"")</f>
        <v/>
      </c>
      <c r="V96" s="56">
        <f>IFERROR(IF(($G96)&gt;0,($P96)/($G96),""),"")</f>
        <v/>
      </c>
      <c r="W96" s="56">
        <f>IFERROR(IF(($H96)&gt;0,($Q96)/($H96),""),"")</f>
        <v/>
      </c>
      <c r="X96" s="55">
        <f>SUMIFS(tblMovement[Tonnes_t],tblMovement[Date],$A96,tblMovement[Source_Type],"Stockpile")</f>
        <v/>
      </c>
      <c r="Y96" s="55">
        <f>IF($B96=$B95,$Y95,0)+$X96</f>
        <v/>
      </c>
      <c r="Z96" s="55">
        <f>$Z95+$X96</f>
        <v/>
      </c>
      <c r="AA96" s="55">
        <f>SUMIFS(tblMiningDaily[Drill_m],tblMiningDaily[Date],$A96)</f>
        <v/>
      </c>
      <c r="AB96" s="55">
        <f>IF($B96=$B95,$AB95,0)+$AA96</f>
        <v/>
      </c>
      <c r="AC96" s="55">
        <f>$AC95+$AA96</f>
        <v/>
      </c>
      <c r="AD96" s="55">
        <f>SUMIFS(tblMiningDaily[Blast_t],tblMiningDaily[Date],$A96)</f>
        <v/>
      </c>
      <c r="AE96" s="55">
        <f>IF($B96=$B95,$AE95,0)+$AD96</f>
        <v/>
      </c>
      <c r="AF96" s="55">
        <f>$AF95+$AD96</f>
        <v/>
      </c>
      <c r="AG96" s="55">
        <f>SUMIFS(tblMiningDaily[Explosives_kg],tblMiningDaily[Date],$A96)</f>
        <v/>
      </c>
      <c r="AH96" s="55">
        <f>IF($B96=$B95,$AH95,0)+$AG96</f>
        <v/>
      </c>
      <c r="AI96" s="55">
        <f>$AI95+$AG96</f>
        <v/>
      </c>
      <c r="AJ96" s="56">
        <f>IFERROR(IF(($AD96)&gt;0,($AG96)/($AD96),""),"")</f>
        <v/>
      </c>
      <c r="AK96" s="56">
        <f>IFERROR(IF(($AE96)&gt;0,($AH96)/($AE96),""),"")</f>
        <v/>
      </c>
      <c r="AL96" s="56">
        <f>IFERROR(IF(($AF96)&gt;0,($AI96)/($AF96),""),"")</f>
        <v/>
      </c>
      <c r="AM96" s="55">
        <f>SUMIFS(tblMiningDaily[Diesel_L],tblMiningDaily[Date],$A96)</f>
        <v/>
      </c>
      <c r="AN96" s="55">
        <f>IF($B96=$B95,$AN95,0)+$AM96</f>
        <v/>
      </c>
      <c r="AO96" s="55">
        <f>$AO95+$AM96</f>
        <v/>
      </c>
      <c r="AP96" s="55">
        <f>SUMIFS(tblMiningDaily[Dewatering_m3],tblMiningDaily[Date],$A96)</f>
        <v/>
      </c>
      <c r="AQ96" s="55">
        <f>IF($B96=$B95,$AQ95,0)+$AP96</f>
        <v/>
      </c>
      <c r="AR96" s="55">
        <f>$AR95+$AP96</f>
        <v/>
      </c>
      <c r="AS96" s="57">
        <f>SUMIFS(tblFleet[Calendar_h],tblFleet[Date],$A96,tblFleet[Equipment_Class],"Excavator")</f>
        <v/>
      </c>
      <c r="AT96" s="57">
        <f>IF($B96=$B95,$AT95,0)+$AS96</f>
        <v/>
      </c>
      <c r="AU96" s="57">
        <f>$AU95+$AS96</f>
        <v/>
      </c>
      <c r="AV96" s="57">
        <f>SUMIFS(tblFleet[Available_h],tblFleet[Date],$A96,tblFleet[Equipment_Class],"Excavator")</f>
        <v/>
      </c>
      <c r="AW96" s="57">
        <f>IF($B96=$B95,$AW95,0)+$AV96</f>
        <v/>
      </c>
      <c r="AX96" s="57">
        <f>$AX95+$AV96</f>
        <v/>
      </c>
      <c r="AY96" s="57">
        <f>SUMIFS(tblFleet[Operating_h],tblFleet[Date],$A96,tblFleet[Equipment_Class],"Excavator")</f>
        <v/>
      </c>
      <c r="AZ96" s="57">
        <f>IF($B96=$B95,$AZ95,0)+$AY96</f>
        <v/>
      </c>
      <c r="BA96" s="57">
        <f>$BA95+$AY96</f>
        <v/>
      </c>
      <c r="BB96" s="67">
        <f>IFERROR(IF(($AS96)&gt;0,($AV96)/($AS96),""),"")</f>
        <v/>
      </c>
      <c r="BC96" s="67">
        <f>IFERROR(IF(($AT96)&gt;0,($AW96)/($AT96),""),"")</f>
        <v/>
      </c>
      <c r="BD96" s="67">
        <f>IFERROR(IF(($AU96)&gt;0,($AX96)/($AU96),""),"")</f>
        <v/>
      </c>
      <c r="BE96" s="67">
        <f>IFERROR(IF(($AV96)&gt;0,($AY96)/($AV96),""),"")</f>
        <v/>
      </c>
      <c r="BF96" s="67">
        <f>IFERROR(IF(($AW96)&gt;0,($AZ96)/($AW96),""),"")</f>
        <v/>
      </c>
      <c r="BG96" s="67">
        <f>IFERROR(IF(($AX96)&gt;0,($BA96)/($AX96),""),"")</f>
        <v/>
      </c>
      <c r="BH96" s="57">
        <f>SUMIFS(tblFleet[Calendar_h],tblFleet[Date],$A96,tblFleet[Equipment_Class],"Haul Truck")</f>
        <v/>
      </c>
      <c r="BI96" s="57">
        <f>IF($B96=$B95,$BI95,0)+$BH96</f>
        <v/>
      </c>
      <c r="BJ96" s="57">
        <f>$BJ95+$BH96</f>
        <v/>
      </c>
      <c r="BK96" s="57">
        <f>SUMIFS(tblFleet[Available_h],tblFleet[Date],$A96,tblFleet[Equipment_Class],"Haul Truck")</f>
        <v/>
      </c>
      <c r="BL96" s="57">
        <f>IF($B96=$B95,$BL95,0)+$BK96</f>
        <v/>
      </c>
      <c r="BM96" s="57">
        <f>$BM95+$BK96</f>
        <v/>
      </c>
      <c r="BN96" s="57">
        <f>SUMIFS(tblFleet[Operating_h],tblFleet[Date],$A96,tblFleet[Equipment_Class],"Haul Truck")</f>
        <v/>
      </c>
      <c r="BO96" s="57">
        <f>IF($B96=$B95,$BO95,0)+$BN96</f>
        <v/>
      </c>
      <c r="BP96" s="57">
        <f>$BP95+$BN96</f>
        <v/>
      </c>
      <c r="BQ96" s="67">
        <f>IFERROR(IF(($BH96)&gt;0,($BK96)/($BH96),""),"")</f>
        <v/>
      </c>
      <c r="BR96" s="67">
        <f>IFERROR(IF(($BI96)&gt;0,($BL96)/($BI96),""),"")</f>
        <v/>
      </c>
      <c r="BS96" s="67">
        <f>IFERROR(IF(($BJ96)&gt;0,($BM96)/($BJ96),""),"")</f>
        <v/>
      </c>
      <c r="BT96" s="67">
        <f>IFERROR(IF(($BK96)&gt;0,($BN96)/($BK96),""),"")</f>
        <v/>
      </c>
      <c r="BU96" s="67">
        <f>IFERROR(IF(($BL96)&gt;0,($BO96)/($BL96),""),"")</f>
        <v/>
      </c>
      <c r="BV96" s="67">
        <f>IFERROR(IF(($BM96)&gt;0,($BP96)/($BM96),""),"")</f>
        <v/>
      </c>
      <c r="BW96" s="55">
        <f>SUMIFS(tblPlant[Crushed_t],tblPlant[Date],$A96)</f>
        <v/>
      </c>
      <c r="BX96" s="55">
        <f>IF($B96=$B95,$BX95,0)+$BW96</f>
        <v/>
      </c>
      <c r="BY96" s="55">
        <f>$BY95+$BW96</f>
        <v/>
      </c>
      <c r="BZ96" s="55">
        <f>SUMIFS(tblPlant[Milled_t],tblPlant[Date],$A96)</f>
        <v/>
      </c>
      <c r="CA96" s="55">
        <f>IF($B96=$B95,$CA95,0)+$BZ96</f>
        <v/>
      </c>
      <c r="CB96" s="55">
        <f>$CB95+$BZ96</f>
        <v/>
      </c>
      <c r="CC96" s="55">
        <f>SUMIFS(tblPlant[Feed_oz],tblPlant[Date],$A96)</f>
        <v/>
      </c>
      <c r="CD96" s="55">
        <f>IF($B96=$B95,$CD95,0)+$CC96</f>
        <v/>
      </c>
      <c r="CE96" s="55">
        <f>$CE95+$CC96</f>
        <v/>
      </c>
      <c r="CF96" s="55">
        <f>SUMIFS(tblPlant[Tails_oz],tblPlant[Date],$A96)</f>
        <v/>
      </c>
      <c r="CG96" s="55">
        <f>IF($B96=$B95,$CG95,0)+$CF96</f>
        <v/>
      </c>
      <c r="CH96" s="55">
        <f>$CH95+$CF96</f>
        <v/>
      </c>
      <c r="CI96" s="55">
        <f>SUMIFS(tblPlant[Recovered_oz],tblPlant[Date],$A96)</f>
        <v/>
      </c>
      <c r="CJ96" s="55">
        <f>IF($B96=$B95,$CJ95,0)+$CI96</f>
        <v/>
      </c>
      <c r="CK96" s="55">
        <f>$CK95+$CI96</f>
        <v/>
      </c>
      <c r="CL96" s="56">
        <f>IFERROR(IF(($BZ96)&gt;0,($CC96*cfg_TroyOz)/($BZ96),""),"")</f>
        <v/>
      </c>
      <c r="CM96" s="56">
        <f>IFERROR(IF(($CA96)&gt;0,($CD96*cfg_TroyOz)/($CA96),""),"")</f>
        <v/>
      </c>
      <c r="CN96" s="56">
        <f>IFERROR(IF(($CB96)&gt;0,($CE96*cfg_TroyOz)/($CB96),""),"")</f>
        <v/>
      </c>
      <c r="CO96" s="56">
        <f>IFERROR(IF(($BZ96)&gt;0,($CF96*cfg_TroyOz)/($BZ96),""),"")</f>
        <v/>
      </c>
      <c r="CP96" s="56">
        <f>IFERROR(IF(($CA96)&gt;0,($CG96*cfg_TroyOz)/($CA96),""),"")</f>
        <v/>
      </c>
      <c r="CQ96" s="56">
        <f>IFERROR(IF(($CB96)&gt;0,($CH96*cfg_TroyOz)/($CB96),""),"")</f>
        <v/>
      </c>
      <c r="CR96" s="67">
        <f>IFERROR(IF(($CC96)&gt;0,($CI96)/($CC96),""),"")</f>
        <v/>
      </c>
      <c r="CS96" s="67">
        <f>IFERROR(IF(($CD96)&gt;0,($CJ96)/($CD96),""),"")</f>
        <v/>
      </c>
      <c r="CT96" s="67">
        <f>IFERROR(IF(($CE96)&gt;0,($CK96)/($CE96),""),"")</f>
        <v/>
      </c>
      <c r="CU96" s="55">
        <f>SUMIFS(tblPlant[Gravity_Gold_oz],tblPlant[Date],$A96)</f>
        <v/>
      </c>
      <c r="CV96" s="55">
        <f>IF($B96=$B95,$CV95,0)+$CU96</f>
        <v/>
      </c>
      <c r="CW96" s="55">
        <f>$CW95+$CU96</f>
        <v/>
      </c>
      <c r="CX96" s="55">
        <f>SUMIFS(tblPlant[Gold_Poured_oz],tblPlant[Date],$A96)</f>
        <v/>
      </c>
      <c r="CY96" s="55">
        <f>IF($B96=$B95,$CY95,0)+$CX96</f>
        <v/>
      </c>
      <c r="CZ96" s="55">
        <f>$CZ95+$CX96</f>
        <v/>
      </c>
      <c r="DA96" s="57">
        <f>SUMIFS(tblPlant[Mill_Run_h],tblPlant[Date],$A96)</f>
        <v/>
      </c>
      <c r="DB96" s="57">
        <f>IF($B96=$B95,$DB95,0)+$DA96</f>
        <v/>
      </c>
      <c r="DC96" s="57">
        <f>$DC95+$DA96</f>
        <v/>
      </c>
      <c r="DD96" s="57">
        <f>SUMIFS(tblPlant[Mill_Planned_Maint_h],tblPlant[Date],$A96)</f>
        <v/>
      </c>
      <c r="DE96" s="57">
        <f>IF($B96=$B95,$DE95,0)+$DD96</f>
        <v/>
      </c>
      <c r="DF96" s="57">
        <f>$DF95+$DD96</f>
        <v/>
      </c>
      <c r="DG96" s="57">
        <f>SUMIFS(tblPlant[Mill_Unplanned_Down_h],tblPlant[Date],$A96)</f>
        <v/>
      </c>
      <c r="DH96" s="57">
        <f>IF($B96=$B95,$DH95,0)+$DG96</f>
        <v/>
      </c>
      <c r="DI96" s="57">
        <f>$DI95+$DG96</f>
        <v/>
      </c>
      <c r="DJ96" s="57">
        <f>COUNTIFS(tblPlant[Date],$A96,tblPlant[Mill_Run_h],"&lt;&gt;")*24</f>
        <v/>
      </c>
      <c r="DK96" s="57">
        <f>IF($B96=$B95,$DK95,0)+$DJ96</f>
        <v/>
      </c>
      <c r="DL96" s="57">
        <f>$DL95+$DJ96</f>
        <v/>
      </c>
      <c r="DM96" s="57">
        <f>SUMIFS(tblPlant[Crusher_Run_h],tblPlant[Date],$A96)</f>
        <v/>
      </c>
      <c r="DN96" s="57">
        <f>IF($B96=$B95,$DN95,0)+$DM96</f>
        <v/>
      </c>
      <c r="DO96" s="57">
        <f>$DO95+$DM96</f>
        <v/>
      </c>
      <c r="DP96" s="55">
        <f>IFERROR(IF(($DA96)&gt;0,($BZ96)/($DA96),""),"")</f>
        <v/>
      </c>
      <c r="DQ96" s="55">
        <f>IFERROR(IF(($DB96)&gt;0,($CA96)/($DB96),""),"")</f>
        <v/>
      </c>
      <c r="DR96" s="55">
        <f>IFERROR(IF(($DC96)&gt;0,($CB96)/($DC96),""),"")</f>
        <v/>
      </c>
      <c r="DS96" s="67">
        <f>IFERROR(IF(($DJ96)&gt;0,($DJ96-$DD96-$DG96)/($DJ96),""),"")</f>
        <v/>
      </c>
      <c r="DT96" s="67">
        <f>IFERROR(IF(($DK96)&gt;0,($DK96-$DE96-$DH96)/($DK96),""),"")</f>
        <v/>
      </c>
      <c r="DU96" s="67">
        <f>IFERROR(IF(($DL96)&gt;0,($DL96-$DF96-$DI96)/($DL96),""),"")</f>
        <v/>
      </c>
      <c r="DV96" s="67">
        <f>IFERROR(IF(($DJ96-$DD96-$DG96)&gt;0,($DA96)/($DJ96-$DD96-$DG96),""),"")</f>
        <v/>
      </c>
      <c r="DW96" s="67">
        <f>IFERROR(IF(($DK96-$DE96-$DH96)&gt;0,($DB96)/($DK96-$DE96-$DH96),""),"")</f>
        <v/>
      </c>
      <c r="DX96" s="67">
        <f>IFERROR(IF(($DL96-$DF96-$DI96)&gt;0,($DC96)/($DL96-$DF96-$DI96),""),"")</f>
        <v/>
      </c>
      <c r="DY96" s="55">
        <f>SUMIFS(tblPlant[Cyanide_kg],tblPlant[Date],$A96)</f>
        <v/>
      </c>
      <c r="DZ96" s="55">
        <f>IF($B96=$B95,$DZ95,0)+$DY96</f>
        <v/>
      </c>
      <c r="EA96" s="55">
        <f>$EA95+$DY96</f>
        <v/>
      </c>
      <c r="EB96" s="55">
        <f>SUMIFS(tblPlant[Lime_kg],tblPlant[Date],$A96)</f>
        <v/>
      </c>
      <c r="EC96" s="55">
        <f>IF($B96=$B95,$EC95,0)+$EB96</f>
        <v/>
      </c>
      <c r="ED96" s="55">
        <f>$ED95+$EB96</f>
        <v/>
      </c>
      <c r="EE96" s="55">
        <f>SUMIFS(tblPlant[Grinding_Media_kg],tblPlant[Date],$A96)</f>
        <v/>
      </c>
      <c r="EF96" s="55">
        <f>IF($B96=$B95,$EF95,0)+$EE96</f>
        <v/>
      </c>
      <c r="EG96" s="55">
        <f>$EG95+$EE96</f>
        <v/>
      </c>
      <c r="EH96" s="55">
        <f>SUMIFS(tblPlant[Power_kWh],tblPlant[Date],$A96)</f>
        <v/>
      </c>
      <c r="EI96" s="55">
        <f>IF($B96=$B95,$EI95,0)+$EH96</f>
        <v/>
      </c>
      <c r="EJ96" s="55">
        <f>$EJ95+$EH96</f>
        <v/>
      </c>
      <c r="EK96" s="55">
        <f>SUMIFS(tblPlant[Raw_Water_m3],tblPlant[Date],$A96)</f>
        <v/>
      </c>
      <c r="EL96" s="55">
        <f>IF($B96=$B95,$EL95,0)+$EK96</f>
        <v/>
      </c>
      <c r="EM96" s="55">
        <f>$EM95+$EK96</f>
        <v/>
      </c>
      <c r="EN96" s="56">
        <f>IFERROR(IF(($BZ96)&gt;0,($DY96)/($BZ96),""),"")</f>
        <v/>
      </c>
      <c r="EO96" s="56">
        <f>IFERROR(IF(($CA96)&gt;0,($DZ96)/($CA96),""),"")</f>
        <v/>
      </c>
      <c r="EP96" s="56">
        <f>IFERROR(IF(($CB96)&gt;0,($EA96)/($CB96),""),"")</f>
        <v/>
      </c>
      <c r="EQ96" s="56">
        <f>IFERROR(IF(($BZ96)&gt;0,($EB96)/($BZ96),""),"")</f>
        <v/>
      </c>
      <c r="ER96" s="56">
        <f>IFERROR(IF(($CA96)&gt;0,($EC96)/($CA96),""),"")</f>
        <v/>
      </c>
      <c r="ES96" s="56">
        <f>IFERROR(IF(($CB96)&gt;0,($ED96)/($CB96),""),"")</f>
        <v/>
      </c>
      <c r="ET96" s="56">
        <f>IFERROR(IF(($BZ96)&gt;0,($EE96)/($BZ96),""),"")</f>
        <v/>
      </c>
      <c r="EU96" s="56">
        <f>IFERROR(IF(($CA96)&gt;0,($EF96)/($CA96),""),"")</f>
        <v/>
      </c>
      <c r="EV96" s="56">
        <f>IFERROR(IF(($CB96)&gt;0,($EG96)/($CB96),""),"")</f>
        <v/>
      </c>
      <c r="EW96" s="76">
        <f>IFERROR(IF(($BZ96)&gt;0,($EH96)/($BZ96),""),"")</f>
        <v/>
      </c>
      <c r="EX96" s="76">
        <f>IFERROR(IF(($CA96)&gt;0,($EI96)/($CA96),""),"")</f>
        <v/>
      </c>
      <c r="EY96" s="76">
        <f>IFERROR(IF(($CB96)&gt;0,($EJ96)/($CB96),""),"")</f>
        <v/>
      </c>
      <c r="EZ96" s="56">
        <f>IFERROR(IF(($BZ96)&gt;0,($EK96)/($BZ96),""),"")</f>
        <v/>
      </c>
      <c r="FA96" s="56">
        <f>IFERROR(IF(($CA96)&gt;0,($EL96)/($CA96),""),"")</f>
        <v/>
      </c>
      <c r="FB96" s="56">
        <f>IFERROR(IF(($CB96)&gt;0,($EM96)/($CB96),""),"")</f>
        <v/>
      </c>
      <c r="FC96" s="55">
        <f>IF(SUMIFS(tblPlant[GIC_oz],tblPlant[Date],$A96)&gt;0,SUMIFS(tblPlant[GIC_oz],tblPlant[Date],$A96),"")</f>
        <v/>
      </c>
      <c r="FD96" s="55">
        <f>SUMIFS(tblGold[Gold_oz],tblGold[Date],$A96,tblGold[Type],"Shipment")</f>
        <v/>
      </c>
      <c r="FE96" s="55">
        <f>IF($B96=$B95,$FE95,0)+$FD96</f>
        <v/>
      </c>
      <c r="FF96" s="55">
        <f>$FF95+$FD96</f>
        <v/>
      </c>
      <c r="FG96" s="55">
        <f>SUMIFS(tblGold[Gold_oz],tblGold[Date],$A96,tblGold[Type],"Sale")</f>
        <v/>
      </c>
      <c r="FH96" s="55">
        <f>IF($B96=$B95,$FH95,0)+$FG96</f>
        <v/>
      </c>
      <c r="FI96" s="55">
        <f>$FI95+$FG96</f>
        <v/>
      </c>
      <c r="FJ96" s="55">
        <f>SUMIFS(tblGold[Dore_kg],tblGold[Date],$A96,tblGold[Type],"Shipment")</f>
        <v/>
      </c>
      <c r="FK96" s="55">
        <f>IF($B96=$B95,$FK95,0)+$FJ96</f>
        <v/>
      </c>
      <c r="FL96" s="55">
        <f>$FL95+$FJ96</f>
        <v/>
      </c>
      <c r="FM96" s="57">
        <f>SUMIFS(tblSafety[Hours_Total],tblSafety[Date],$A96)</f>
        <v/>
      </c>
      <c r="FN96" s="57">
        <f>IF($B96=$B95,$FN95,0)+$FM96</f>
        <v/>
      </c>
      <c r="FO96" s="57">
        <f>$FO95+$FM96</f>
        <v/>
      </c>
      <c r="FP96" s="62">
        <f>SUMIFS(tblSafety[Fatality],tblSafety[Date],$A96)</f>
        <v/>
      </c>
      <c r="FQ96" s="62">
        <f>IF($B96=$B95,$FQ95,0)+$FP96</f>
        <v/>
      </c>
      <c r="FR96" s="62">
        <f>$FR95+$FP96</f>
        <v/>
      </c>
      <c r="FS96" s="62">
        <f>SUMIFS(tblSafety[LTI],tblSafety[Date],$A96)</f>
        <v/>
      </c>
      <c r="FT96" s="62">
        <f>IF($B96=$B95,$FT95,0)+$FS96</f>
        <v/>
      </c>
      <c r="FU96" s="62">
        <f>$FU95+$FS96</f>
        <v/>
      </c>
      <c r="FV96" s="62">
        <f>SUMIFS(tblSafety[RWI],tblSafety[Date],$A96)</f>
        <v/>
      </c>
      <c r="FW96" s="62">
        <f>IF($B96=$B95,$FW95,0)+$FV96</f>
        <v/>
      </c>
      <c r="FX96" s="62">
        <f>$FX95+$FV96</f>
        <v/>
      </c>
      <c r="FY96" s="62">
        <f>SUMIFS(tblSafety[MTI],tblSafety[Date],$A96)</f>
        <v/>
      </c>
      <c r="FZ96" s="62">
        <f>IF($B96=$B95,$FZ95,0)+$FY96</f>
        <v/>
      </c>
      <c r="GA96" s="62">
        <f>$GA95+$FY96</f>
        <v/>
      </c>
      <c r="GB96" s="62">
        <f>SUMIFS(tblSafety[FAI],tblSafety[Date],$A96)</f>
        <v/>
      </c>
      <c r="GC96" s="62">
        <f>IF($B96=$B95,$GC95,0)+$GB96</f>
        <v/>
      </c>
      <c r="GD96" s="62">
        <f>$GD95+$GB96</f>
        <v/>
      </c>
      <c r="GE96" s="62">
        <f>SUMIFS(tblSafety[Recordables],tblSafety[Date],$A96)</f>
        <v/>
      </c>
      <c r="GF96" s="62">
        <f>IF($B96=$B95,$GF95,0)+$GE96</f>
        <v/>
      </c>
      <c r="GG96" s="62">
        <f>$GG95+$GE96</f>
        <v/>
      </c>
      <c r="GH96" s="62">
        <f>SUMIFS(tblSafety[Near_Miss],tblSafety[Date],$A96)</f>
        <v/>
      </c>
      <c r="GI96" s="62">
        <f>IF($B96=$B95,$GI95,0)+$GH96</f>
        <v/>
      </c>
      <c r="GJ96" s="62">
        <f>$GJ95+$GH96</f>
        <v/>
      </c>
      <c r="GK96" s="62">
        <f>SUMIFS(tblSafety[Hazard_Reports],tblSafety[Date],$A96)</f>
        <v/>
      </c>
      <c r="GL96" s="62">
        <f>IF($B96=$B95,$GL95,0)+$GK96</f>
        <v/>
      </c>
      <c r="GM96" s="62">
        <f>$GM95+$GK96</f>
        <v/>
      </c>
      <c r="GN96" s="62">
        <f>SUMIFS(tblSafety[HPI],tblSafety[Date],$A96)</f>
        <v/>
      </c>
      <c r="GO96" s="62">
        <f>IF($B96=$B95,$GO95,0)+$GN96</f>
        <v/>
      </c>
      <c r="GP96" s="62">
        <f>$GP95+$GN96</f>
        <v/>
      </c>
      <c r="GQ96" s="62">
        <f>SUMIFS(tblSafety[Env_Incidents],tblSafety[Date],$A96)</f>
        <v/>
      </c>
      <c r="GR96" s="62">
        <f>IF($B96=$B95,$GR95,0)+$GQ96</f>
        <v/>
      </c>
      <c r="GS96" s="62">
        <f>$GS95+$GQ96</f>
        <v/>
      </c>
      <c r="GT96" s="62">
        <f>SUMIFS(tblSafety[Community_Incidents],tblSafety[Date],$A96)</f>
        <v/>
      </c>
      <c r="GU96" s="62">
        <f>IF($B96=$B95,$GU95,0)+$GT96</f>
        <v/>
      </c>
      <c r="GV96" s="62">
        <f>$GV95+$GT96</f>
        <v/>
      </c>
      <c r="GW96" s="62">
        <f>SUMIFS(tblSafety[Vehicle_Incidents],tblSafety[Date],$A96)</f>
        <v/>
      </c>
      <c r="GX96" s="62">
        <f>IF($B96=$B95,$GX95,0)+$GW96</f>
        <v/>
      </c>
      <c r="GY96" s="62">
        <f>$GY95+$GW96</f>
        <v/>
      </c>
      <c r="GZ96" s="62">
        <f>SUMIFS(tblSafety[Toolbox_Talks],tblSafety[Date],$A96)</f>
        <v/>
      </c>
      <c r="HA96" s="62">
        <f>IF($B96=$B95,$HA95,0)+$GZ96</f>
        <v/>
      </c>
      <c r="HB96" s="62">
        <f>$HB95+$GZ96</f>
        <v/>
      </c>
      <c r="HC96" s="62">
        <f>SUMIFS(tblSafety[Inspections],tblSafety[Date],$A96)</f>
        <v/>
      </c>
      <c r="HD96" s="62">
        <f>IF($B96=$B95,$HD95,0)+$HC96</f>
        <v/>
      </c>
      <c r="HE96" s="62">
        <f>$HE95+$HC96</f>
        <v/>
      </c>
      <c r="HF96" s="56">
        <f>IFERROR((SUMIFS(tblSafety[Recordables],tblSafety[Date],"&gt;="&amp;EDATE($E96,-12),tblSafety[Date],"&lt;="&amp;$A96)+SUMIFS(tblSafetyHistory[Recordables],tblSafetyHistory[Month],"&gt;="&amp;EDATE($E96,-12),tblSafetyHistory[Month],"&lt;"&amp;cfg_YearStart))/(SUMIFS(tblSafety[Hours_Total],tblSafety[Date],"&gt;="&amp;EDATE($E96,-12),tblSafety[Date],"&lt;="&amp;$A96)+SUMIFS(tblSafetyHistory[Hours_Total],tblSafetyHistory[Month],"&gt;="&amp;EDATE($E96,-12),tblSafetyHistory[Month],"&lt;"&amp;cfg_YearStart))*1000000,"")</f>
        <v/>
      </c>
      <c r="HG96" s="56">
        <f>IFERROR((SUMIFS(tblSafety[LTI],tblSafety[Date],"&gt;="&amp;EDATE($E96,-12),tblSafety[Date],"&lt;="&amp;$A96)+SUMIFS(tblSafetyHistory[LTI],tblSafetyHistory[Month],"&gt;="&amp;EDATE($E96,-12),tblSafetyHistory[Month],"&lt;"&amp;cfg_YearStart))/(SUMIFS(tblSafety[Hours_Total],tblSafety[Date],"&gt;="&amp;EDATE($E96,-12),tblSafety[Date],"&lt;="&amp;$A96)+SUMIFS(tblSafetyHistory[Hours_Total],tblSafetyHistory[Month],"&gt;="&amp;EDATE($E96,-12),tblSafetyHistory[Month],"&lt;"&amp;cfg_YearStart))*1000000,"")</f>
        <v/>
      </c>
      <c r="HH96" s="62">
        <f>IF(MAX(N(cfg_PriorLTIDate),_xlfn.MAXIFS(tblSafety[Date],tblSafety[LTI],"&gt;0",tblSafety[Date],"&lt;="&amp;$A96))=0,"",$A96-MAX(N(cfg_PriorLTIDate),_xlfn.MAXIFS(tblSafety[Date],tblSafety[LTI],"&gt;0",tblSafety[Date],"&lt;="&amp;$A96)))</f>
        <v/>
      </c>
      <c r="HI96" s="55">
        <f>SUMIFS(tblBudget[Ore_Mined_t],tblBudget[Month],$E96)</f>
        <v/>
      </c>
      <c r="HJ96" s="55">
        <f>$HI96*$C96/$D96</f>
        <v/>
      </c>
      <c r="HK96" s="55">
        <f>SUMIFS(tblBudget[Ore_Mined_t],tblBudget[Month],"&lt;"&amp;$E96)+$HJ96</f>
        <v/>
      </c>
      <c r="HL96" s="55">
        <f>SUMIFS(tblBudget[Ore_oz],tblBudget[Month],$E96)</f>
        <v/>
      </c>
      <c r="HM96" s="55">
        <f>$HL96*$C96/$D96</f>
        <v/>
      </c>
      <c r="HN96" s="55">
        <f>SUMIFS(tblBudget[Ore_oz],tblBudget[Month],"&lt;"&amp;$E96)+$HM96</f>
        <v/>
      </c>
      <c r="HO96" s="56">
        <f>IFERROR(IF(($HI96)&gt;0,($HL96*cfg_TroyOz)/($HI96),""),"")</f>
        <v/>
      </c>
      <c r="HP96" s="56">
        <f>IFERROR(IF(($HJ96)&gt;0,($HM96*cfg_TroyOz)/($HJ96),""),"")</f>
        <v/>
      </c>
      <c r="HQ96" s="56">
        <f>IFERROR(IF(($HK96)&gt;0,($HN96*cfg_TroyOz)/($HK96),""),"")</f>
        <v/>
      </c>
      <c r="HR96" s="55">
        <f>SUMIFS(tblBudget[Waste_t],tblBudget[Month],$E96)</f>
        <v/>
      </c>
      <c r="HS96" s="55">
        <f>$HR96*$C96/$D96</f>
        <v/>
      </c>
      <c r="HT96" s="55">
        <f>SUMIFS(tblBudget[Waste_t],tblBudget[Month],"&lt;"&amp;$E96)+$HS96</f>
        <v/>
      </c>
      <c r="HU96" s="55">
        <f>SUMIFS(tblBudget[TMM_t],tblBudget[Month],$E96)</f>
        <v/>
      </c>
      <c r="HV96" s="55">
        <f>$HU96*$C96/$D96</f>
        <v/>
      </c>
      <c r="HW96" s="55">
        <f>SUMIFS(tblBudget[TMM_t],tblBudget[Month],"&lt;"&amp;$E96)+$HV96</f>
        <v/>
      </c>
      <c r="HX96" s="56">
        <f>IFERROR(IF(($HI96)&gt;0,($HR96)/($HI96),""),"")</f>
        <v/>
      </c>
      <c r="HY96" s="56">
        <f>IFERROR(IF(($HJ96)&gt;0,($HS96)/($HJ96),""),"")</f>
        <v/>
      </c>
      <c r="HZ96" s="56">
        <f>IFERROR(IF(($HK96)&gt;0,($HT96)/($HK96),""),"")</f>
        <v/>
      </c>
      <c r="IA96" s="55">
        <f>SUMIFS(tblBudget[Drill_m],tblBudget[Month],$E96)</f>
        <v/>
      </c>
      <c r="IB96" s="55">
        <f>$IA96*$C96/$D96</f>
        <v/>
      </c>
      <c r="IC96" s="55">
        <f>SUMIFS(tblBudget[Drill_m],tblBudget[Month],"&lt;"&amp;$E96)+$IB96</f>
        <v/>
      </c>
      <c r="ID96" s="55">
        <f>SUMIFS(tblBudget[Diesel_L],tblBudget[Month],$E96)</f>
        <v/>
      </c>
      <c r="IE96" s="55">
        <f>$ID96*$C96/$D96</f>
        <v/>
      </c>
      <c r="IF96" s="55">
        <f>SUMIFS(tblBudget[Diesel_L],tblBudget[Month],"&lt;"&amp;$E96)+$IE96</f>
        <v/>
      </c>
      <c r="IG96" s="55">
        <f>SUMIFS(tblBudget[Milled_t],tblBudget[Month],$E96)</f>
        <v/>
      </c>
      <c r="IH96" s="55">
        <f>$IG96*$C96/$D96</f>
        <v/>
      </c>
      <c r="II96" s="55">
        <f>SUMIFS(tblBudget[Milled_t],tblBudget[Month],"&lt;"&amp;$E96)+$IH96</f>
        <v/>
      </c>
      <c r="IJ96" s="55">
        <f>SUMIFS(tblBudget[Feed_oz],tblBudget[Month],$E96)</f>
        <v/>
      </c>
      <c r="IK96" s="55">
        <f>$IJ96*$C96/$D96</f>
        <v/>
      </c>
      <c r="IL96" s="55">
        <f>SUMIFS(tblBudget[Feed_oz],tblBudget[Month],"&lt;"&amp;$E96)+$IK96</f>
        <v/>
      </c>
      <c r="IM96" s="55">
        <f>SUMIFS(tblBudget[Recovered_oz],tblBudget[Month],$E96)</f>
        <v/>
      </c>
      <c r="IN96" s="55">
        <f>$IM96*$C96/$D96</f>
        <v/>
      </c>
      <c r="IO96" s="55">
        <f>SUMIFS(tblBudget[Recovered_oz],tblBudget[Month],"&lt;"&amp;$E96)+$IN96</f>
        <v/>
      </c>
      <c r="IP96" s="56">
        <f>IFERROR(IF(($IG96)&gt;0,($IJ96*cfg_TroyOz)/($IG96),""),"")</f>
        <v/>
      </c>
      <c r="IQ96" s="56">
        <f>IFERROR(IF(($IH96)&gt;0,($IK96*cfg_TroyOz)/($IH96),""),"")</f>
        <v/>
      </c>
      <c r="IR96" s="56">
        <f>IFERROR(IF(($II96)&gt;0,($IL96*cfg_TroyOz)/($II96),""),"")</f>
        <v/>
      </c>
      <c r="IS96" s="67">
        <f>IFERROR(IF(($IJ96)&gt;0,($IM96)/($IJ96),""),"")</f>
        <v/>
      </c>
      <c r="IT96" s="67">
        <f>IFERROR(IF(($IK96)&gt;0,($IN96)/($IK96),""),"")</f>
        <v/>
      </c>
      <c r="IU96" s="67">
        <f>IFERROR(IF(($IL96)&gt;0,($IO96)/($IL96),""),"")</f>
        <v/>
      </c>
      <c r="IV96" s="55">
        <f>SUMIFS(tblBudget[Gold_Poured_oz],tblBudget[Month],$E96)</f>
        <v/>
      </c>
      <c r="IW96" s="55">
        <f>$IV96*$C96/$D96</f>
        <v/>
      </c>
      <c r="IX96" s="55">
        <f>SUMIFS(tblBudget[Gold_Poured_oz],tblBudget[Month],"&lt;"&amp;$E96)+$IW96</f>
        <v/>
      </c>
      <c r="IY96" s="57">
        <f>SUMIFS(tblBudget[Hours_Worked],tblBudget[Month],$E96)</f>
        <v/>
      </c>
      <c r="IZ96" s="57">
        <f>$IY96*$C96/$D96</f>
        <v/>
      </c>
      <c r="JA96" s="57">
        <f>SUMIFS(tblBudget[Hours_Worked],tblBudget[Month],"&lt;"&amp;$E96)+$IZ96</f>
        <v/>
      </c>
    </row>
    <row r="97">
      <c r="A97" s="54" t="n">
        <v>46118</v>
      </c>
      <c r="B97">
        <f>MONTH($A97)</f>
        <v/>
      </c>
      <c r="C97">
        <f>DAY($A97)</f>
        <v/>
      </c>
      <c r="D97">
        <f>DAY(EOMONTH($A97,0))</f>
        <v/>
      </c>
      <c r="E97" s="54">
        <f>DATE(YEAR($A97),MONTH($A97),1)</f>
        <v/>
      </c>
      <c r="F97" s="55">
        <f>SUMIFS(tblMovement[Tonnes_t],tblMovement[Date],$A97,tblMovement[Is_Ore],1,tblMovement[Source_Type],"Pit")</f>
        <v/>
      </c>
      <c r="G97" s="55">
        <f>IF($B97=$B96,$G96,0)+$F97</f>
        <v/>
      </c>
      <c r="H97" s="55">
        <f>$H96+$F97</f>
        <v/>
      </c>
      <c r="I97" s="55">
        <f>SUMIFS(tblMovement[Ore_oz],tblMovement[Date],$A97,tblMovement[Source_Type],"Pit")</f>
        <v/>
      </c>
      <c r="J97" s="55">
        <f>IF($B97=$B96,$J96,0)+$I97</f>
        <v/>
      </c>
      <c r="K97" s="55">
        <f>$K96+$I97</f>
        <v/>
      </c>
      <c r="L97" s="56">
        <f>IFERROR(IF(($F97)&gt;0,($I97*cfg_TroyOz)/($F97),""),"")</f>
        <v/>
      </c>
      <c r="M97" s="56">
        <f>IFERROR(IF(($G97)&gt;0,($J97*cfg_TroyOz)/($G97),""),"")</f>
        <v/>
      </c>
      <c r="N97" s="56">
        <f>IFERROR(IF(($H97)&gt;0,($K97*cfg_TroyOz)/($H97),""),"")</f>
        <v/>
      </c>
      <c r="O97" s="55">
        <f>SUMIFS(tblMovement[Tonnes_t],tblMovement[Date],$A97,tblMovement[Is_Ore],0,tblMovement[Source_Type],"Pit")</f>
        <v/>
      </c>
      <c r="P97" s="55">
        <f>IF($B97=$B96,$P96,0)+$O97</f>
        <v/>
      </c>
      <c r="Q97" s="55">
        <f>$Q96+$O97</f>
        <v/>
      </c>
      <c r="R97" s="55">
        <f>$F97+$O97</f>
        <v/>
      </c>
      <c r="S97" s="55">
        <f>IF($B97=$B96,$S96,0)+$R97</f>
        <v/>
      </c>
      <c r="T97" s="55">
        <f>$T96+$R97</f>
        <v/>
      </c>
      <c r="U97" s="56">
        <f>IFERROR(IF(($F97)&gt;0,($O97)/($F97),""),"")</f>
        <v/>
      </c>
      <c r="V97" s="56">
        <f>IFERROR(IF(($G97)&gt;0,($P97)/($G97),""),"")</f>
        <v/>
      </c>
      <c r="W97" s="56">
        <f>IFERROR(IF(($H97)&gt;0,($Q97)/($H97),""),"")</f>
        <v/>
      </c>
      <c r="X97" s="55">
        <f>SUMIFS(tblMovement[Tonnes_t],tblMovement[Date],$A97,tblMovement[Source_Type],"Stockpile")</f>
        <v/>
      </c>
      <c r="Y97" s="55">
        <f>IF($B97=$B96,$Y96,0)+$X97</f>
        <v/>
      </c>
      <c r="Z97" s="55">
        <f>$Z96+$X97</f>
        <v/>
      </c>
      <c r="AA97" s="55">
        <f>SUMIFS(tblMiningDaily[Drill_m],tblMiningDaily[Date],$A97)</f>
        <v/>
      </c>
      <c r="AB97" s="55">
        <f>IF($B97=$B96,$AB96,0)+$AA97</f>
        <v/>
      </c>
      <c r="AC97" s="55">
        <f>$AC96+$AA97</f>
        <v/>
      </c>
      <c r="AD97" s="55">
        <f>SUMIFS(tblMiningDaily[Blast_t],tblMiningDaily[Date],$A97)</f>
        <v/>
      </c>
      <c r="AE97" s="55">
        <f>IF($B97=$B96,$AE96,0)+$AD97</f>
        <v/>
      </c>
      <c r="AF97" s="55">
        <f>$AF96+$AD97</f>
        <v/>
      </c>
      <c r="AG97" s="55">
        <f>SUMIFS(tblMiningDaily[Explosives_kg],tblMiningDaily[Date],$A97)</f>
        <v/>
      </c>
      <c r="AH97" s="55">
        <f>IF($B97=$B96,$AH96,0)+$AG97</f>
        <v/>
      </c>
      <c r="AI97" s="55">
        <f>$AI96+$AG97</f>
        <v/>
      </c>
      <c r="AJ97" s="56">
        <f>IFERROR(IF(($AD97)&gt;0,($AG97)/($AD97),""),"")</f>
        <v/>
      </c>
      <c r="AK97" s="56">
        <f>IFERROR(IF(($AE97)&gt;0,($AH97)/($AE97),""),"")</f>
        <v/>
      </c>
      <c r="AL97" s="56">
        <f>IFERROR(IF(($AF97)&gt;0,($AI97)/($AF97),""),"")</f>
        <v/>
      </c>
      <c r="AM97" s="55">
        <f>SUMIFS(tblMiningDaily[Diesel_L],tblMiningDaily[Date],$A97)</f>
        <v/>
      </c>
      <c r="AN97" s="55">
        <f>IF($B97=$B96,$AN96,0)+$AM97</f>
        <v/>
      </c>
      <c r="AO97" s="55">
        <f>$AO96+$AM97</f>
        <v/>
      </c>
      <c r="AP97" s="55">
        <f>SUMIFS(tblMiningDaily[Dewatering_m3],tblMiningDaily[Date],$A97)</f>
        <v/>
      </c>
      <c r="AQ97" s="55">
        <f>IF($B97=$B96,$AQ96,0)+$AP97</f>
        <v/>
      </c>
      <c r="AR97" s="55">
        <f>$AR96+$AP97</f>
        <v/>
      </c>
      <c r="AS97" s="57">
        <f>SUMIFS(tblFleet[Calendar_h],tblFleet[Date],$A97,tblFleet[Equipment_Class],"Excavator")</f>
        <v/>
      </c>
      <c r="AT97" s="57">
        <f>IF($B97=$B96,$AT96,0)+$AS97</f>
        <v/>
      </c>
      <c r="AU97" s="57">
        <f>$AU96+$AS97</f>
        <v/>
      </c>
      <c r="AV97" s="57">
        <f>SUMIFS(tblFleet[Available_h],tblFleet[Date],$A97,tblFleet[Equipment_Class],"Excavator")</f>
        <v/>
      </c>
      <c r="AW97" s="57">
        <f>IF($B97=$B96,$AW96,0)+$AV97</f>
        <v/>
      </c>
      <c r="AX97" s="57">
        <f>$AX96+$AV97</f>
        <v/>
      </c>
      <c r="AY97" s="57">
        <f>SUMIFS(tblFleet[Operating_h],tblFleet[Date],$A97,tblFleet[Equipment_Class],"Excavator")</f>
        <v/>
      </c>
      <c r="AZ97" s="57">
        <f>IF($B97=$B96,$AZ96,0)+$AY97</f>
        <v/>
      </c>
      <c r="BA97" s="57">
        <f>$BA96+$AY97</f>
        <v/>
      </c>
      <c r="BB97" s="67">
        <f>IFERROR(IF(($AS97)&gt;0,($AV97)/($AS97),""),"")</f>
        <v/>
      </c>
      <c r="BC97" s="67">
        <f>IFERROR(IF(($AT97)&gt;0,($AW97)/($AT97),""),"")</f>
        <v/>
      </c>
      <c r="BD97" s="67">
        <f>IFERROR(IF(($AU97)&gt;0,($AX97)/($AU97),""),"")</f>
        <v/>
      </c>
      <c r="BE97" s="67">
        <f>IFERROR(IF(($AV97)&gt;0,($AY97)/($AV97),""),"")</f>
        <v/>
      </c>
      <c r="BF97" s="67">
        <f>IFERROR(IF(($AW97)&gt;0,($AZ97)/($AW97),""),"")</f>
        <v/>
      </c>
      <c r="BG97" s="67">
        <f>IFERROR(IF(($AX97)&gt;0,($BA97)/($AX97),""),"")</f>
        <v/>
      </c>
      <c r="BH97" s="57">
        <f>SUMIFS(tblFleet[Calendar_h],tblFleet[Date],$A97,tblFleet[Equipment_Class],"Haul Truck")</f>
        <v/>
      </c>
      <c r="BI97" s="57">
        <f>IF($B97=$B96,$BI96,0)+$BH97</f>
        <v/>
      </c>
      <c r="BJ97" s="57">
        <f>$BJ96+$BH97</f>
        <v/>
      </c>
      <c r="BK97" s="57">
        <f>SUMIFS(tblFleet[Available_h],tblFleet[Date],$A97,tblFleet[Equipment_Class],"Haul Truck")</f>
        <v/>
      </c>
      <c r="BL97" s="57">
        <f>IF($B97=$B96,$BL96,0)+$BK97</f>
        <v/>
      </c>
      <c r="BM97" s="57">
        <f>$BM96+$BK97</f>
        <v/>
      </c>
      <c r="BN97" s="57">
        <f>SUMIFS(tblFleet[Operating_h],tblFleet[Date],$A97,tblFleet[Equipment_Class],"Haul Truck")</f>
        <v/>
      </c>
      <c r="BO97" s="57">
        <f>IF($B97=$B96,$BO96,0)+$BN97</f>
        <v/>
      </c>
      <c r="BP97" s="57">
        <f>$BP96+$BN97</f>
        <v/>
      </c>
      <c r="BQ97" s="67">
        <f>IFERROR(IF(($BH97)&gt;0,($BK97)/($BH97),""),"")</f>
        <v/>
      </c>
      <c r="BR97" s="67">
        <f>IFERROR(IF(($BI97)&gt;0,($BL97)/($BI97),""),"")</f>
        <v/>
      </c>
      <c r="BS97" s="67">
        <f>IFERROR(IF(($BJ97)&gt;0,($BM97)/($BJ97),""),"")</f>
        <v/>
      </c>
      <c r="BT97" s="67">
        <f>IFERROR(IF(($BK97)&gt;0,($BN97)/($BK97),""),"")</f>
        <v/>
      </c>
      <c r="BU97" s="67">
        <f>IFERROR(IF(($BL97)&gt;0,($BO97)/($BL97),""),"")</f>
        <v/>
      </c>
      <c r="BV97" s="67">
        <f>IFERROR(IF(($BM97)&gt;0,($BP97)/($BM97),""),"")</f>
        <v/>
      </c>
      <c r="BW97" s="55">
        <f>SUMIFS(tblPlant[Crushed_t],tblPlant[Date],$A97)</f>
        <v/>
      </c>
      <c r="BX97" s="55">
        <f>IF($B97=$B96,$BX96,0)+$BW97</f>
        <v/>
      </c>
      <c r="BY97" s="55">
        <f>$BY96+$BW97</f>
        <v/>
      </c>
      <c r="BZ97" s="55">
        <f>SUMIFS(tblPlant[Milled_t],tblPlant[Date],$A97)</f>
        <v/>
      </c>
      <c r="CA97" s="55">
        <f>IF($B97=$B96,$CA96,0)+$BZ97</f>
        <v/>
      </c>
      <c r="CB97" s="55">
        <f>$CB96+$BZ97</f>
        <v/>
      </c>
      <c r="CC97" s="55">
        <f>SUMIFS(tblPlant[Feed_oz],tblPlant[Date],$A97)</f>
        <v/>
      </c>
      <c r="CD97" s="55">
        <f>IF($B97=$B96,$CD96,0)+$CC97</f>
        <v/>
      </c>
      <c r="CE97" s="55">
        <f>$CE96+$CC97</f>
        <v/>
      </c>
      <c r="CF97" s="55">
        <f>SUMIFS(tblPlant[Tails_oz],tblPlant[Date],$A97)</f>
        <v/>
      </c>
      <c r="CG97" s="55">
        <f>IF($B97=$B96,$CG96,0)+$CF97</f>
        <v/>
      </c>
      <c r="CH97" s="55">
        <f>$CH96+$CF97</f>
        <v/>
      </c>
      <c r="CI97" s="55">
        <f>SUMIFS(tblPlant[Recovered_oz],tblPlant[Date],$A97)</f>
        <v/>
      </c>
      <c r="CJ97" s="55">
        <f>IF($B97=$B96,$CJ96,0)+$CI97</f>
        <v/>
      </c>
      <c r="CK97" s="55">
        <f>$CK96+$CI97</f>
        <v/>
      </c>
      <c r="CL97" s="56">
        <f>IFERROR(IF(($BZ97)&gt;0,($CC97*cfg_TroyOz)/($BZ97),""),"")</f>
        <v/>
      </c>
      <c r="CM97" s="56">
        <f>IFERROR(IF(($CA97)&gt;0,($CD97*cfg_TroyOz)/($CA97),""),"")</f>
        <v/>
      </c>
      <c r="CN97" s="56">
        <f>IFERROR(IF(($CB97)&gt;0,($CE97*cfg_TroyOz)/($CB97),""),"")</f>
        <v/>
      </c>
      <c r="CO97" s="56">
        <f>IFERROR(IF(($BZ97)&gt;0,($CF97*cfg_TroyOz)/($BZ97),""),"")</f>
        <v/>
      </c>
      <c r="CP97" s="56">
        <f>IFERROR(IF(($CA97)&gt;0,($CG97*cfg_TroyOz)/($CA97),""),"")</f>
        <v/>
      </c>
      <c r="CQ97" s="56">
        <f>IFERROR(IF(($CB97)&gt;0,($CH97*cfg_TroyOz)/($CB97),""),"")</f>
        <v/>
      </c>
      <c r="CR97" s="67">
        <f>IFERROR(IF(($CC97)&gt;0,($CI97)/($CC97),""),"")</f>
        <v/>
      </c>
      <c r="CS97" s="67">
        <f>IFERROR(IF(($CD97)&gt;0,($CJ97)/($CD97),""),"")</f>
        <v/>
      </c>
      <c r="CT97" s="67">
        <f>IFERROR(IF(($CE97)&gt;0,($CK97)/($CE97),""),"")</f>
        <v/>
      </c>
      <c r="CU97" s="55">
        <f>SUMIFS(tblPlant[Gravity_Gold_oz],tblPlant[Date],$A97)</f>
        <v/>
      </c>
      <c r="CV97" s="55">
        <f>IF($B97=$B96,$CV96,0)+$CU97</f>
        <v/>
      </c>
      <c r="CW97" s="55">
        <f>$CW96+$CU97</f>
        <v/>
      </c>
      <c r="CX97" s="55">
        <f>SUMIFS(tblPlant[Gold_Poured_oz],tblPlant[Date],$A97)</f>
        <v/>
      </c>
      <c r="CY97" s="55">
        <f>IF($B97=$B96,$CY96,0)+$CX97</f>
        <v/>
      </c>
      <c r="CZ97" s="55">
        <f>$CZ96+$CX97</f>
        <v/>
      </c>
      <c r="DA97" s="57">
        <f>SUMIFS(tblPlant[Mill_Run_h],tblPlant[Date],$A97)</f>
        <v/>
      </c>
      <c r="DB97" s="57">
        <f>IF($B97=$B96,$DB96,0)+$DA97</f>
        <v/>
      </c>
      <c r="DC97" s="57">
        <f>$DC96+$DA97</f>
        <v/>
      </c>
      <c r="DD97" s="57">
        <f>SUMIFS(tblPlant[Mill_Planned_Maint_h],tblPlant[Date],$A97)</f>
        <v/>
      </c>
      <c r="DE97" s="57">
        <f>IF($B97=$B96,$DE96,0)+$DD97</f>
        <v/>
      </c>
      <c r="DF97" s="57">
        <f>$DF96+$DD97</f>
        <v/>
      </c>
      <c r="DG97" s="57">
        <f>SUMIFS(tblPlant[Mill_Unplanned_Down_h],tblPlant[Date],$A97)</f>
        <v/>
      </c>
      <c r="DH97" s="57">
        <f>IF($B97=$B96,$DH96,0)+$DG97</f>
        <v/>
      </c>
      <c r="DI97" s="57">
        <f>$DI96+$DG97</f>
        <v/>
      </c>
      <c r="DJ97" s="57">
        <f>COUNTIFS(tblPlant[Date],$A97,tblPlant[Mill_Run_h],"&lt;&gt;")*24</f>
        <v/>
      </c>
      <c r="DK97" s="57">
        <f>IF($B97=$B96,$DK96,0)+$DJ97</f>
        <v/>
      </c>
      <c r="DL97" s="57">
        <f>$DL96+$DJ97</f>
        <v/>
      </c>
      <c r="DM97" s="57">
        <f>SUMIFS(tblPlant[Crusher_Run_h],tblPlant[Date],$A97)</f>
        <v/>
      </c>
      <c r="DN97" s="57">
        <f>IF($B97=$B96,$DN96,0)+$DM97</f>
        <v/>
      </c>
      <c r="DO97" s="57">
        <f>$DO96+$DM97</f>
        <v/>
      </c>
      <c r="DP97" s="55">
        <f>IFERROR(IF(($DA97)&gt;0,($BZ97)/($DA97),""),"")</f>
        <v/>
      </c>
      <c r="DQ97" s="55">
        <f>IFERROR(IF(($DB97)&gt;0,($CA97)/($DB97),""),"")</f>
        <v/>
      </c>
      <c r="DR97" s="55">
        <f>IFERROR(IF(($DC97)&gt;0,($CB97)/($DC97),""),"")</f>
        <v/>
      </c>
      <c r="DS97" s="67">
        <f>IFERROR(IF(($DJ97)&gt;0,($DJ97-$DD97-$DG97)/($DJ97),""),"")</f>
        <v/>
      </c>
      <c r="DT97" s="67">
        <f>IFERROR(IF(($DK97)&gt;0,($DK97-$DE97-$DH97)/($DK97),""),"")</f>
        <v/>
      </c>
      <c r="DU97" s="67">
        <f>IFERROR(IF(($DL97)&gt;0,($DL97-$DF97-$DI97)/($DL97),""),"")</f>
        <v/>
      </c>
      <c r="DV97" s="67">
        <f>IFERROR(IF(($DJ97-$DD97-$DG97)&gt;0,($DA97)/($DJ97-$DD97-$DG97),""),"")</f>
        <v/>
      </c>
      <c r="DW97" s="67">
        <f>IFERROR(IF(($DK97-$DE97-$DH97)&gt;0,($DB97)/($DK97-$DE97-$DH97),""),"")</f>
        <v/>
      </c>
      <c r="DX97" s="67">
        <f>IFERROR(IF(($DL97-$DF97-$DI97)&gt;0,($DC97)/($DL97-$DF97-$DI97),""),"")</f>
        <v/>
      </c>
      <c r="DY97" s="55">
        <f>SUMIFS(tblPlant[Cyanide_kg],tblPlant[Date],$A97)</f>
        <v/>
      </c>
      <c r="DZ97" s="55">
        <f>IF($B97=$B96,$DZ96,0)+$DY97</f>
        <v/>
      </c>
      <c r="EA97" s="55">
        <f>$EA96+$DY97</f>
        <v/>
      </c>
      <c r="EB97" s="55">
        <f>SUMIFS(tblPlant[Lime_kg],tblPlant[Date],$A97)</f>
        <v/>
      </c>
      <c r="EC97" s="55">
        <f>IF($B97=$B96,$EC96,0)+$EB97</f>
        <v/>
      </c>
      <c r="ED97" s="55">
        <f>$ED96+$EB97</f>
        <v/>
      </c>
      <c r="EE97" s="55">
        <f>SUMIFS(tblPlant[Grinding_Media_kg],tblPlant[Date],$A97)</f>
        <v/>
      </c>
      <c r="EF97" s="55">
        <f>IF($B97=$B96,$EF96,0)+$EE97</f>
        <v/>
      </c>
      <c r="EG97" s="55">
        <f>$EG96+$EE97</f>
        <v/>
      </c>
      <c r="EH97" s="55">
        <f>SUMIFS(tblPlant[Power_kWh],tblPlant[Date],$A97)</f>
        <v/>
      </c>
      <c r="EI97" s="55">
        <f>IF($B97=$B96,$EI96,0)+$EH97</f>
        <v/>
      </c>
      <c r="EJ97" s="55">
        <f>$EJ96+$EH97</f>
        <v/>
      </c>
      <c r="EK97" s="55">
        <f>SUMIFS(tblPlant[Raw_Water_m3],tblPlant[Date],$A97)</f>
        <v/>
      </c>
      <c r="EL97" s="55">
        <f>IF($B97=$B96,$EL96,0)+$EK97</f>
        <v/>
      </c>
      <c r="EM97" s="55">
        <f>$EM96+$EK97</f>
        <v/>
      </c>
      <c r="EN97" s="56">
        <f>IFERROR(IF(($BZ97)&gt;0,($DY97)/($BZ97),""),"")</f>
        <v/>
      </c>
      <c r="EO97" s="56">
        <f>IFERROR(IF(($CA97)&gt;0,($DZ97)/($CA97),""),"")</f>
        <v/>
      </c>
      <c r="EP97" s="56">
        <f>IFERROR(IF(($CB97)&gt;0,($EA97)/($CB97),""),"")</f>
        <v/>
      </c>
      <c r="EQ97" s="56">
        <f>IFERROR(IF(($BZ97)&gt;0,($EB97)/($BZ97),""),"")</f>
        <v/>
      </c>
      <c r="ER97" s="56">
        <f>IFERROR(IF(($CA97)&gt;0,($EC97)/($CA97),""),"")</f>
        <v/>
      </c>
      <c r="ES97" s="56">
        <f>IFERROR(IF(($CB97)&gt;0,($ED97)/($CB97),""),"")</f>
        <v/>
      </c>
      <c r="ET97" s="56">
        <f>IFERROR(IF(($BZ97)&gt;0,($EE97)/($BZ97),""),"")</f>
        <v/>
      </c>
      <c r="EU97" s="56">
        <f>IFERROR(IF(($CA97)&gt;0,($EF97)/($CA97),""),"")</f>
        <v/>
      </c>
      <c r="EV97" s="56">
        <f>IFERROR(IF(($CB97)&gt;0,($EG97)/($CB97),""),"")</f>
        <v/>
      </c>
      <c r="EW97" s="76">
        <f>IFERROR(IF(($BZ97)&gt;0,($EH97)/($BZ97),""),"")</f>
        <v/>
      </c>
      <c r="EX97" s="76">
        <f>IFERROR(IF(($CA97)&gt;0,($EI97)/($CA97),""),"")</f>
        <v/>
      </c>
      <c r="EY97" s="76">
        <f>IFERROR(IF(($CB97)&gt;0,($EJ97)/($CB97),""),"")</f>
        <v/>
      </c>
      <c r="EZ97" s="56">
        <f>IFERROR(IF(($BZ97)&gt;0,($EK97)/($BZ97),""),"")</f>
        <v/>
      </c>
      <c r="FA97" s="56">
        <f>IFERROR(IF(($CA97)&gt;0,($EL97)/($CA97),""),"")</f>
        <v/>
      </c>
      <c r="FB97" s="56">
        <f>IFERROR(IF(($CB97)&gt;0,($EM97)/($CB97),""),"")</f>
        <v/>
      </c>
      <c r="FC97" s="55">
        <f>IF(SUMIFS(tblPlant[GIC_oz],tblPlant[Date],$A97)&gt;0,SUMIFS(tblPlant[GIC_oz],tblPlant[Date],$A97),"")</f>
        <v/>
      </c>
      <c r="FD97" s="55">
        <f>SUMIFS(tblGold[Gold_oz],tblGold[Date],$A97,tblGold[Type],"Shipment")</f>
        <v/>
      </c>
      <c r="FE97" s="55">
        <f>IF($B97=$B96,$FE96,0)+$FD97</f>
        <v/>
      </c>
      <c r="FF97" s="55">
        <f>$FF96+$FD97</f>
        <v/>
      </c>
      <c r="FG97" s="55">
        <f>SUMIFS(tblGold[Gold_oz],tblGold[Date],$A97,tblGold[Type],"Sale")</f>
        <v/>
      </c>
      <c r="FH97" s="55">
        <f>IF($B97=$B96,$FH96,0)+$FG97</f>
        <v/>
      </c>
      <c r="FI97" s="55">
        <f>$FI96+$FG97</f>
        <v/>
      </c>
      <c r="FJ97" s="55">
        <f>SUMIFS(tblGold[Dore_kg],tblGold[Date],$A97,tblGold[Type],"Shipment")</f>
        <v/>
      </c>
      <c r="FK97" s="55">
        <f>IF($B97=$B96,$FK96,0)+$FJ97</f>
        <v/>
      </c>
      <c r="FL97" s="55">
        <f>$FL96+$FJ97</f>
        <v/>
      </c>
      <c r="FM97" s="57">
        <f>SUMIFS(tblSafety[Hours_Total],tblSafety[Date],$A97)</f>
        <v/>
      </c>
      <c r="FN97" s="57">
        <f>IF($B97=$B96,$FN96,0)+$FM97</f>
        <v/>
      </c>
      <c r="FO97" s="57">
        <f>$FO96+$FM97</f>
        <v/>
      </c>
      <c r="FP97" s="62">
        <f>SUMIFS(tblSafety[Fatality],tblSafety[Date],$A97)</f>
        <v/>
      </c>
      <c r="FQ97" s="62">
        <f>IF($B97=$B96,$FQ96,0)+$FP97</f>
        <v/>
      </c>
      <c r="FR97" s="62">
        <f>$FR96+$FP97</f>
        <v/>
      </c>
      <c r="FS97" s="62">
        <f>SUMIFS(tblSafety[LTI],tblSafety[Date],$A97)</f>
        <v/>
      </c>
      <c r="FT97" s="62">
        <f>IF($B97=$B96,$FT96,0)+$FS97</f>
        <v/>
      </c>
      <c r="FU97" s="62">
        <f>$FU96+$FS97</f>
        <v/>
      </c>
      <c r="FV97" s="62">
        <f>SUMIFS(tblSafety[RWI],tblSafety[Date],$A97)</f>
        <v/>
      </c>
      <c r="FW97" s="62">
        <f>IF($B97=$B96,$FW96,0)+$FV97</f>
        <v/>
      </c>
      <c r="FX97" s="62">
        <f>$FX96+$FV97</f>
        <v/>
      </c>
      <c r="FY97" s="62">
        <f>SUMIFS(tblSafety[MTI],tblSafety[Date],$A97)</f>
        <v/>
      </c>
      <c r="FZ97" s="62">
        <f>IF($B97=$B96,$FZ96,0)+$FY97</f>
        <v/>
      </c>
      <c r="GA97" s="62">
        <f>$GA96+$FY97</f>
        <v/>
      </c>
      <c r="GB97" s="62">
        <f>SUMIFS(tblSafety[FAI],tblSafety[Date],$A97)</f>
        <v/>
      </c>
      <c r="GC97" s="62">
        <f>IF($B97=$B96,$GC96,0)+$GB97</f>
        <v/>
      </c>
      <c r="GD97" s="62">
        <f>$GD96+$GB97</f>
        <v/>
      </c>
      <c r="GE97" s="62">
        <f>SUMIFS(tblSafety[Recordables],tblSafety[Date],$A97)</f>
        <v/>
      </c>
      <c r="GF97" s="62">
        <f>IF($B97=$B96,$GF96,0)+$GE97</f>
        <v/>
      </c>
      <c r="GG97" s="62">
        <f>$GG96+$GE97</f>
        <v/>
      </c>
      <c r="GH97" s="62">
        <f>SUMIFS(tblSafety[Near_Miss],tblSafety[Date],$A97)</f>
        <v/>
      </c>
      <c r="GI97" s="62">
        <f>IF($B97=$B96,$GI96,0)+$GH97</f>
        <v/>
      </c>
      <c r="GJ97" s="62">
        <f>$GJ96+$GH97</f>
        <v/>
      </c>
      <c r="GK97" s="62">
        <f>SUMIFS(tblSafety[Hazard_Reports],tblSafety[Date],$A97)</f>
        <v/>
      </c>
      <c r="GL97" s="62">
        <f>IF($B97=$B96,$GL96,0)+$GK97</f>
        <v/>
      </c>
      <c r="GM97" s="62">
        <f>$GM96+$GK97</f>
        <v/>
      </c>
      <c r="GN97" s="62">
        <f>SUMIFS(tblSafety[HPI],tblSafety[Date],$A97)</f>
        <v/>
      </c>
      <c r="GO97" s="62">
        <f>IF($B97=$B96,$GO96,0)+$GN97</f>
        <v/>
      </c>
      <c r="GP97" s="62">
        <f>$GP96+$GN97</f>
        <v/>
      </c>
      <c r="GQ97" s="62">
        <f>SUMIFS(tblSafety[Env_Incidents],tblSafety[Date],$A97)</f>
        <v/>
      </c>
      <c r="GR97" s="62">
        <f>IF($B97=$B96,$GR96,0)+$GQ97</f>
        <v/>
      </c>
      <c r="GS97" s="62">
        <f>$GS96+$GQ97</f>
        <v/>
      </c>
      <c r="GT97" s="62">
        <f>SUMIFS(tblSafety[Community_Incidents],tblSafety[Date],$A97)</f>
        <v/>
      </c>
      <c r="GU97" s="62">
        <f>IF($B97=$B96,$GU96,0)+$GT97</f>
        <v/>
      </c>
      <c r="GV97" s="62">
        <f>$GV96+$GT97</f>
        <v/>
      </c>
      <c r="GW97" s="62">
        <f>SUMIFS(tblSafety[Vehicle_Incidents],tblSafety[Date],$A97)</f>
        <v/>
      </c>
      <c r="GX97" s="62">
        <f>IF($B97=$B96,$GX96,0)+$GW97</f>
        <v/>
      </c>
      <c r="GY97" s="62">
        <f>$GY96+$GW97</f>
        <v/>
      </c>
      <c r="GZ97" s="62">
        <f>SUMIFS(tblSafety[Toolbox_Talks],tblSafety[Date],$A97)</f>
        <v/>
      </c>
      <c r="HA97" s="62">
        <f>IF($B97=$B96,$HA96,0)+$GZ97</f>
        <v/>
      </c>
      <c r="HB97" s="62">
        <f>$HB96+$GZ97</f>
        <v/>
      </c>
      <c r="HC97" s="62">
        <f>SUMIFS(tblSafety[Inspections],tblSafety[Date],$A97)</f>
        <v/>
      </c>
      <c r="HD97" s="62">
        <f>IF($B97=$B96,$HD96,0)+$HC97</f>
        <v/>
      </c>
      <c r="HE97" s="62">
        <f>$HE96+$HC97</f>
        <v/>
      </c>
      <c r="HF97" s="56">
        <f>IFERROR((SUMIFS(tblSafety[Recordables],tblSafety[Date],"&gt;="&amp;EDATE($E97,-12),tblSafety[Date],"&lt;="&amp;$A97)+SUMIFS(tblSafetyHistory[Recordables],tblSafetyHistory[Month],"&gt;="&amp;EDATE($E97,-12),tblSafetyHistory[Month],"&lt;"&amp;cfg_YearStart))/(SUMIFS(tblSafety[Hours_Total],tblSafety[Date],"&gt;="&amp;EDATE($E97,-12),tblSafety[Date],"&lt;="&amp;$A97)+SUMIFS(tblSafetyHistory[Hours_Total],tblSafetyHistory[Month],"&gt;="&amp;EDATE($E97,-12),tblSafetyHistory[Month],"&lt;"&amp;cfg_YearStart))*1000000,"")</f>
        <v/>
      </c>
      <c r="HG97" s="56">
        <f>IFERROR((SUMIFS(tblSafety[LTI],tblSafety[Date],"&gt;="&amp;EDATE($E97,-12),tblSafety[Date],"&lt;="&amp;$A97)+SUMIFS(tblSafetyHistory[LTI],tblSafetyHistory[Month],"&gt;="&amp;EDATE($E97,-12),tblSafetyHistory[Month],"&lt;"&amp;cfg_YearStart))/(SUMIFS(tblSafety[Hours_Total],tblSafety[Date],"&gt;="&amp;EDATE($E97,-12),tblSafety[Date],"&lt;="&amp;$A97)+SUMIFS(tblSafetyHistory[Hours_Total],tblSafetyHistory[Month],"&gt;="&amp;EDATE($E97,-12),tblSafetyHistory[Month],"&lt;"&amp;cfg_YearStart))*1000000,"")</f>
        <v/>
      </c>
      <c r="HH97" s="62">
        <f>IF(MAX(N(cfg_PriorLTIDate),_xlfn.MAXIFS(tblSafety[Date],tblSafety[LTI],"&gt;0",tblSafety[Date],"&lt;="&amp;$A97))=0,"",$A97-MAX(N(cfg_PriorLTIDate),_xlfn.MAXIFS(tblSafety[Date],tblSafety[LTI],"&gt;0",tblSafety[Date],"&lt;="&amp;$A97)))</f>
        <v/>
      </c>
      <c r="HI97" s="55">
        <f>SUMIFS(tblBudget[Ore_Mined_t],tblBudget[Month],$E97)</f>
        <v/>
      </c>
      <c r="HJ97" s="55">
        <f>$HI97*$C97/$D97</f>
        <v/>
      </c>
      <c r="HK97" s="55">
        <f>SUMIFS(tblBudget[Ore_Mined_t],tblBudget[Month],"&lt;"&amp;$E97)+$HJ97</f>
        <v/>
      </c>
      <c r="HL97" s="55">
        <f>SUMIFS(tblBudget[Ore_oz],tblBudget[Month],$E97)</f>
        <v/>
      </c>
      <c r="HM97" s="55">
        <f>$HL97*$C97/$D97</f>
        <v/>
      </c>
      <c r="HN97" s="55">
        <f>SUMIFS(tblBudget[Ore_oz],tblBudget[Month],"&lt;"&amp;$E97)+$HM97</f>
        <v/>
      </c>
      <c r="HO97" s="56">
        <f>IFERROR(IF(($HI97)&gt;0,($HL97*cfg_TroyOz)/($HI97),""),"")</f>
        <v/>
      </c>
      <c r="HP97" s="56">
        <f>IFERROR(IF(($HJ97)&gt;0,($HM97*cfg_TroyOz)/($HJ97),""),"")</f>
        <v/>
      </c>
      <c r="HQ97" s="56">
        <f>IFERROR(IF(($HK97)&gt;0,($HN97*cfg_TroyOz)/($HK97),""),"")</f>
        <v/>
      </c>
      <c r="HR97" s="55">
        <f>SUMIFS(tblBudget[Waste_t],tblBudget[Month],$E97)</f>
        <v/>
      </c>
      <c r="HS97" s="55">
        <f>$HR97*$C97/$D97</f>
        <v/>
      </c>
      <c r="HT97" s="55">
        <f>SUMIFS(tblBudget[Waste_t],tblBudget[Month],"&lt;"&amp;$E97)+$HS97</f>
        <v/>
      </c>
      <c r="HU97" s="55">
        <f>SUMIFS(tblBudget[TMM_t],tblBudget[Month],$E97)</f>
        <v/>
      </c>
      <c r="HV97" s="55">
        <f>$HU97*$C97/$D97</f>
        <v/>
      </c>
      <c r="HW97" s="55">
        <f>SUMIFS(tblBudget[TMM_t],tblBudget[Month],"&lt;"&amp;$E97)+$HV97</f>
        <v/>
      </c>
      <c r="HX97" s="56">
        <f>IFERROR(IF(($HI97)&gt;0,($HR97)/($HI97),""),"")</f>
        <v/>
      </c>
      <c r="HY97" s="56">
        <f>IFERROR(IF(($HJ97)&gt;0,($HS97)/($HJ97),""),"")</f>
        <v/>
      </c>
      <c r="HZ97" s="56">
        <f>IFERROR(IF(($HK97)&gt;0,($HT97)/($HK97),""),"")</f>
        <v/>
      </c>
      <c r="IA97" s="55">
        <f>SUMIFS(tblBudget[Drill_m],tblBudget[Month],$E97)</f>
        <v/>
      </c>
      <c r="IB97" s="55">
        <f>$IA97*$C97/$D97</f>
        <v/>
      </c>
      <c r="IC97" s="55">
        <f>SUMIFS(tblBudget[Drill_m],tblBudget[Month],"&lt;"&amp;$E97)+$IB97</f>
        <v/>
      </c>
      <c r="ID97" s="55">
        <f>SUMIFS(tblBudget[Diesel_L],tblBudget[Month],$E97)</f>
        <v/>
      </c>
      <c r="IE97" s="55">
        <f>$ID97*$C97/$D97</f>
        <v/>
      </c>
      <c r="IF97" s="55">
        <f>SUMIFS(tblBudget[Diesel_L],tblBudget[Month],"&lt;"&amp;$E97)+$IE97</f>
        <v/>
      </c>
      <c r="IG97" s="55">
        <f>SUMIFS(tblBudget[Milled_t],tblBudget[Month],$E97)</f>
        <v/>
      </c>
      <c r="IH97" s="55">
        <f>$IG97*$C97/$D97</f>
        <v/>
      </c>
      <c r="II97" s="55">
        <f>SUMIFS(tblBudget[Milled_t],tblBudget[Month],"&lt;"&amp;$E97)+$IH97</f>
        <v/>
      </c>
      <c r="IJ97" s="55">
        <f>SUMIFS(tblBudget[Feed_oz],tblBudget[Month],$E97)</f>
        <v/>
      </c>
      <c r="IK97" s="55">
        <f>$IJ97*$C97/$D97</f>
        <v/>
      </c>
      <c r="IL97" s="55">
        <f>SUMIFS(tblBudget[Feed_oz],tblBudget[Month],"&lt;"&amp;$E97)+$IK97</f>
        <v/>
      </c>
      <c r="IM97" s="55">
        <f>SUMIFS(tblBudget[Recovered_oz],tblBudget[Month],$E97)</f>
        <v/>
      </c>
      <c r="IN97" s="55">
        <f>$IM97*$C97/$D97</f>
        <v/>
      </c>
      <c r="IO97" s="55">
        <f>SUMIFS(tblBudget[Recovered_oz],tblBudget[Month],"&lt;"&amp;$E97)+$IN97</f>
        <v/>
      </c>
      <c r="IP97" s="56">
        <f>IFERROR(IF(($IG97)&gt;0,($IJ97*cfg_TroyOz)/($IG97),""),"")</f>
        <v/>
      </c>
      <c r="IQ97" s="56">
        <f>IFERROR(IF(($IH97)&gt;0,($IK97*cfg_TroyOz)/($IH97),""),"")</f>
        <v/>
      </c>
      <c r="IR97" s="56">
        <f>IFERROR(IF(($II97)&gt;0,($IL97*cfg_TroyOz)/($II97),""),"")</f>
        <v/>
      </c>
      <c r="IS97" s="67">
        <f>IFERROR(IF(($IJ97)&gt;0,($IM97)/($IJ97),""),"")</f>
        <v/>
      </c>
      <c r="IT97" s="67">
        <f>IFERROR(IF(($IK97)&gt;0,($IN97)/($IK97),""),"")</f>
        <v/>
      </c>
      <c r="IU97" s="67">
        <f>IFERROR(IF(($IL97)&gt;0,($IO97)/($IL97),""),"")</f>
        <v/>
      </c>
      <c r="IV97" s="55">
        <f>SUMIFS(tblBudget[Gold_Poured_oz],tblBudget[Month],$E97)</f>
        <v/>
      </c>
      <c r="IW97" s="55">
        <f>$IV97*$C97/$D97</f>
        <v/>
      </c>
      <c r="IX97" s="55">
        <f>SUMIFS(tblBudget[Gold_Poured_oz],tblBudget[Month],"&lt;"&amp;$E97)+$IW97</f>
        <v/>
      </c>
      <c r="IY97" s="57">
        <f>SUMIFS(tblBudget[Hours_Worked],tblBudget[Month],$E97)</f>
        <v/>
      </c>
      <c r="IZ97" s="57">
        <f>$IY97*$C97/$D97</f>
        <v/>
      </c>
      <c r="JA97" s="57">
        <f>SUMIFS(tblBudget[Hours_Worked],tblBudget[Month],"&lt;"&amp;$E97)+$IZ97</f>
        <v/>
      </c>
    </row>
    <row r="98">
      <c r="A98" s="54" t="n">
        <v>46119</v>
      </c>
      <c r="B98">
        <f>MONTH($A98)</f>
        <v/>
      </c>
      <c r="C98">
        <f>DAY($A98)</f>
        <v/>
      </c>
      <c r="D98">
        <f>DAY(EOMONTH($A98,0))</f>
        <v/>
      </c>
      <c r="E98" s="54">
        <f>DATE(YEAR($A98),MONTH($A98),1)</f>
        <v/>
      </c>
      <c r="F98" s="55">
        <f>SUMIFS(tblMovement[Tonnes_t],tblMovement[Date],$A98,tblMovement[Is_Ore],1,tblMovement[Source_Type],"Pit")</f>
        <v/>
      </c>
      <c r="G98" s="55">
        <f>IF($B98=$B97,$G97,0)+$F98</f>
        <v/>
      </c>
      <c r="H98" s="55">
        <f>$H97+$F98</f>
        <v/>
      </c>
      <c r="I98" s="55">
        <f>SUMIFS(tblMovement[Ore_oz],tblMovement[Date],$A98,tblMovement[Source_Type],"Pit")</f>
        <v/>
      </c>
      <c r="J98" s="55">
        <f>IF($B98=$B97,$J97,0)+$I98</f>
        <v/>
      </c>
      <c r="K98" s="55">
        <f>$K97+$I98</f>
        <v/>
      </c>
      <c r="L98" s="56">
        <f>IFERROR(IF(($F98)&gt;0,($I98*cfg_TroyOz)/($F98),""),"")</f>
        <v/>
      </c>
      <c r="M98" s="56">
        <f>IFERROR(IF(($G98)&gt;0,($J98*cfg_TroyOz)/($G98),""),"")</f>
        <v/>
      </c>
      <c r="N98" s="56">
        <f>IFERROR(IF(($H98)&gt;0,($K98*cfg_TroyOz)/($H98),""),"")</f>
        <v/>
      </c>
      <c r="O98" s="55">
        <f>SUMIFS(tblMovement[Tonnes_t],tblMovement[Date],$A98,tblMovement[Is_Ore],0,tblMovement[Source_Type],"Pit")</f>
        <v/>
      </c>
      <c r="P98" s="55">
        <f>IF($B98=$B97,$P97,0)+$O98</f>
        <v/>
      </c>
      <c r="Q98" s="55">
        <f>$Q97+$O98</f>
        <v/>
      </c>
      <c r="R98" s="55">
        <f>$F98+$O98</f>
        <v/>
      </c>
      <c r="S98" s="55">
        <f>IF($B98=$B97,$S97,0)+$R98</f>
        <v/>
      </c>
      <c r="T98" s="55">
        <f>$T97+$R98</f>
        <v/>
      </c>
      <c r="U98" s="56">
        <f>IFERROR(IF(($F98)&gt;0,($O98)/($F98),""),"")</f>
        <v/>
      </c>
      <c r="V98" s="56">
        <f>IFERROR(IF(($G98)&gt;0,($P98)/($G98),""),"")</f>
        <v/>
      </c>
      <c r="W98" s="56">
        <f>IFERROR(IF(($H98)&gt;0,($Q98)/($H98),""),"")</f>
        <v/>
      </c>
      <c r="X98" s="55">
        <f>SUMIFS(tblMovement[Tonnes_t],tblMovement[Date],$A98,tblMovement[Source_Type],"Stockpile")</f>
        <v/>
      </c>
      <c r="Y98" s="55">
        <f>IF($B98=$B97,$Y97,0)+$X98</f>
        <v/>
      </c>
      <c r="Z98" s="55">
        <f>$Z97+$X98</f>
        <v/>
      </c>
      <c r="AA98" s="55">
        <f>SUMIFS(tblMiningDaily[Drill_m],tblMiningDaily[Date],$A98)</f>
        <v/>
      </c>
      <c r="AB98" s="55">
        <f>IF($B98=$B97,$AB97,0)+$AA98</f>
        <v/>
      </c>
      <c r="AC98" s="55">
        <f>$AC97+$AA98</f>
        <v/>
      </c>
      <c r="AD98" s="55">
        <f>SUMIFS(tblMiningDaily[Blast_t],tblMiningDaily[Date],$A98)</f>
        <v/>
      </c>
      <c r="AE98" s="55">
        <f>IF($B98=$B97,$AE97,0)+$AD98</f>
        <v/>
      </c>
      <c r="AF98" s="55">
        <f>$AF97+$AD98</f>
        <v/>
      </c>
      <c r="AG98" s="55">
        <f>SUMIFS(tblMiningDaily[Explosives_kg],tblMiningDaily[Date],$A98)</f>
        <v/>
      </c>
      <c r="AH98" s="55">
        <f>IF($B98=$B97,$AH97,0)+$AG98</f>
        <v/>
      </c>
      <c r="AI98" s="55">
        <f>$AI97+$AG98</f>
        <v/>
      </c>
      <c r="AJ98" s="56">
        <f>IFERROR(IF(($AD98)&gt;0,($AG98)/($AD98),""),"")</f>
        <v/>
      </c>
      <c r="AK98" s="56">
        <f>IFERROR(IF(($AE98)&gt;0,($AH98)/($AE98),""),"")</f>
        <v/>
      </c>
      <c r="AL98" s="56">
        <f>IFERROR(IF(($AF98)&gt;0,($AI98)/($AF98),""),"")</f>
        <v/>
      </c>
      <c r="AM98" s="55">
        <f>SUMIFS(tblMiningDaily[Diesel_L],tblMiningDaily[Date],$A98)</f>
        <v/>
      </c>
      <c r="AN98" s="55">
        <f>IF($B98=$B97,$AN97,0)+$AM98</f>
        <v/>
      </c>
      <c r="AO98" s="55">
        <f>$AO97+$AM98</f>
        <v/>
      </c>
      <c r="AP98" s="55">
        <f>SUMIFS(tblMiningDaily[Dewatering_m3],tblMiningDaily[Date],$A98)</f>
        <v/>
      </c>
      <c r="AQ98" s="55">
        <f>IF($B98=$B97,$AQ97,0)+$AP98</f>
        <v/>
      </c>
      <c r="AR98" s="55">
        <f>$AR97+$AP98</f>
        <v/>
      </c>
      <c r="AS98" s="57">
        <f>SUMIFS(tblFleet[Calendar_h],tblFleet[Date],$A98,tblFleet[Equipment_Class],"Excavator")</f>
        <v/>
      </c>
      <c r="AT98" s="57">
        <f>IF($B98=$B97,$AT97,0)+$AS98</f>
        <v/>
      </c>
      <c r="AU98" s="57">
        <f>$AU97+$AS98</f>
        <v/>
      </c>
      <c r="AV98" s="57">
        <f>SUMIFS(tblFleet[Available_h],tblFleet[Date],$A98,tblFleet[Equipment_Class],"Excavator")</f>
        <v/>
      </c>
      <c r="AW98" s="57">
        <f>IF($B98=$B97,$AW97,0)+$AV98</f>
        <v/>
      </c>
      <c r="AX98" s="57">
        <f>$AX97+$AV98</f>
        <v/>
      </c>
      <c r="AY98" s="57">
        <f>SUMIFS(tblFleet[Operating_h],tblFleet[Date],$A98,tblFleet[Equipment_Class],"Excavator")</f>
        <v/>
      </c>
      <c r="AZ98" s="57">
        <f>IF($B98=$B97,$AZ97,0)+$AY98</f>
        <v/>
      </c>
      <c r="BA98" s="57">
        <f>$BA97+$AY98</f>
        <v/>
      </c>
      <c r="BB98" s="67">
        <f>IFERROR(IF(($AS98)&gt;0,($AV98)/($AS98),""),"")</f>
        <v/>
      </c>
      <c r="BC98" s="67">
        <f>IFERROR(IF(($AT98)&gt;0,($AW98)/($AT98),""),"")</f>
        <v/>
      </c>
      <c r="BD98" s="67">
        <f>IFERROR(IF(($AU98)&gt;0,($AX98)/($AU98),""),"")</f>
        <v/>
      </c>
      <c r="BE98" s="67">
        <f>IFERROR(IF(($AV98)&gt;0,($AY98)/($AV98),""),"")</f>
        <v/>
      </c>
      <c r="BF98" s="67">
        <f>IFERROR(IF(($AW98)&gt;0,($AZ98)/($AW98),""),"")</f>
        <v/>
      </c>
      <c r="BG98" s="67">
        <f>IFERROR(IF(($AX98)&gt;0,($BA98)/($AX98),""),"")</f>
        <v/>
      </c>
      <c r="BH98" s="57">
        <f>SUMIFS(tblFleet[Calendar_h],tblFleet[Date],$A98,tblFleet[Equipment_Class],"Haul Truck")</f>
        <v/>
      </c>
      <c r="BI98" s="57">
        <f>IF($B98=$B97,$BI97,0)+$BH98</f>
        <v/>
      </c>
      <c r="BJ98" s="57">
        <f>$BJ97+$BH98</f>
        <v/>
      </c>
      <c r="BK98" s="57">
        <f>SUMIFS(tblFleet[Available_h],tblFleet[Date],$A98,tblFleet[Equipment_Class],"Haul Truck")</f>
        <v/>
      </c>
      <c r="BL98" s="57">
        <f>IF($B98=$B97,$BL97,0)+$BK98</f>
        <v/>
      </c>
      <c r="BM98" s="57">
        <f>$BM97+$BK98</f>
        <v/>
      </c>
      <c r="BN98" s="57">
        <f>SUMIFS(tblFleet[Operating_h],tblFleet[Date],$A98,tblFleet[Equipment_Class],"Haul Truck")</f>
        <v/>
      </c>
      <c r="BO98" s="57">
        <f>IF($B98=$B97,$BO97,0)+$BN98</f>
        <v/>
      </c>
      <c r="BP98" s="57">
        <f>$BP97+$BN98</f>
        <v/>
      </c>
      <c r="BQ98" s="67">
        <f>IFERROR(IF(($BH98)&gt;0,($BK98)/($BH98),""),"")</f>
        <v/>
      </c>
      <c r="BR98" s="67">
        <f>IFERROR(IF(($BI98)&gt;0,($BL98)/($BI98),""),"")</f>
        <v/>
      </c>
      <c r="BS98" s="67">
        <f>IFERROR(IF(($BJ98)&gt;0,($BM98)/($BJ98),""),"")</f>
        <v/>
      </c>
      <c r="BT98" s="67">
        <f>IFERROR(IF(($BK98)&gt;0,($BN98)/($BK98),""),"")</f>
        <v/>
      </c>
      <c r="BU98" s="67">
        <f>IFERROR(IF(($BL98)&gt;0,($BO98)/($BL98),""),"")</f>
        <v/>
      </c>
      <c r="BV98" s="67">
        <f>IFERROR(IF(($BM98)&gt;0,($BP98)/($BM98),""),"")</f>
        <v/>
      </c>
      <c r="BW98" s="55">
        <f>SUMIFS(tblPlant[Crushed_t],tblPlant[Date],$A98)</f>
        <v/>
      </c>
      <c r="BX98" s="55">
        <f>IF($B98=$B97,$BX97,0)+$BW98</f>
        <v/>
      </c>
      <c r="BY98" s="55">
        <f>$BY97+$BW98</f>
        <v/>
      </c>
      <c r="BZ98" s="55">
        <f>SUMIFS(tblPlant[Milled_t],tblPlant[Date],$A98)</f>
        <v/>
      </c>
      <c r="CA98" s="55">
        <f>IF($B98=$B97,$CA97,0)+$BZ98</f>
        <v/>
      </c>
      <c r="CB98" s="55">
        <f>$CB97+$BZ98</f>
        <v/>
      </c>
      <c r="CC98" s="55">
        <f>SUMIFS(tblPlant[Feed_oz],tblPlant[Date],$A98)</f>
        <v/>
      </c>
      <c r="CD98" s="55">
        <f>IF($B98=$B97,$CD97,0)+$CC98</f>
        <v/>
      </c>
      <c r="CE98" s="55">
        <f>$CE97+$CC98</f>
        <v/>
      </c>
      <c r="CF98" s="55">
        <f>SUMIFS(tblPlant[Tails_oz],tblPlant[Date],$A98)</f>
        <v/>
      </c>
      <c r="CG98" s="55">
        <f>IF($B98=$B97,$CG97,0)+$CF98</f>
        <v/>
      </c>
      <c r="CH98" s="55">
        <f>$CH97+$CF98</f>
        <v/>
      </c>
      <c r="CI98" s="55">
        <f>SUMIFS(tblPlant[Recovered_oz],tblPlant[Date],$A98)</f>
        <v/>
      </c>
      <c r="CJ98" s="55">
        <f>IF($B98=$B97,$CJ97,0)+$CI98</f>
        <v/>
      </c>
      <c r="CK98" s="55">
        <f>$CK97+$CI98</f>
        <v/>
      </c>
      <c r="CL98" s="56">
        <f>IFERROR(IF(($BZ98)&gt;0,($CC98*cfg_TroyOz)/($BZ98),""),"")</f>
        <v/>
      </c>
      <c r="CM98" s="56">
        <f>IFERROR(IF(($CA98)&gt;0,($CD98*cfg_TroyOz)/($CA98),""),"")</f>
        <v/>
      </c>
      <c r="CN98" s="56">
        <f>IFERROR(IF(($CB98)&gt;0,($CE98*cfg_TroyOz)/($CB98),""),"")</f>
        <v/>
      </c>
      <c r="CO98" s="56">
        <f>IFERROR(IF(($BZ98)&gt;0,($CF98*cfg_TroyOz)/($BZ98),""),"")</f>
        <v/>
      </c>
      <c r="CP98" s="56">
        <f>IFERROR(IF(($CA98)&gt;0,($CG98*cfg_TroyOz)/($CA98),""),"")</f>
        <v/>
      </c>
      <c r="CQ98" s="56">
        <f>IFERROR(IF(($CB98)&gt;0,($CH98*cfg_TroyOz)/($CB98),""),"")</f>
        <v/>
      </c>
      <c r="CR98" s="67">
        <f>IFERROR(IF(($CC98)&gt;0,($CI98)/($CC98),""),"")</f>
        <v/>
      </c>
      <c r="CS98" s="67">
        <f>IFERROR(IF(($CD98)&gt;0,($CJ98)/($CD98),""),"")</f>
        <v/>
      </c>
      <c r="CT98" s="67">
        <f>IFERROR(IF(($CE98)&gt;0,($CK98)/($CE98),""),"")</f>
        <v/>
      </c>
      <c r="CU98" s="55">
        <f>SUMIFS(tblPlant[Gravity_Gold_oz],tblPlant[Date],$A98)</f>
        <v/>
      </c>
      <c r="CV98" s="55">
        <f>IF($B98=$B97,$CV97,0)+$CU98</f>
        <v/>
      </c>
      <c r="CW98" s="55">
        <f>$CW97+$CU98</f>
        <v/>
      </c>
      <c r="CX98" s="55">
        <f>SUMIFS(tblPlant[Gold_Poured_oz],tblPlant[Date],$A98)</f>
        <v/>
      </c>
      <c r="CY98" s="55">
        <f>IF($B98=$B97,$CY97,0)+$CX98</f>
        <v/>
      </c>
      <c r="CZ98" s="55">
        <f>$CZ97+$CX98</f>
        <v/>
      </c>
      <c r="DA98" s="57">
        <f>SUMIFS(tblPlant[Mill_Run_h],tblPlant[Date],$A98)</f>
        <v/>
      </c>
      <c r="DB98" s="57">
        <f>IF($B98=$B97,$DB97,0)+$DA98</f>
        <v/>
      </c>
      <c r="DC98" s="57">
        <f>$DC97+$DA98</f>
        <v/>
      </c>
      <c r="DD98" s="57">
        <f>SUMIFS(tblPlant[Mill_Planned_Maint_h],tblPlant[Date],$A98)</f>
        <v/>
      </c>
      <c r="DE98" s="57">
        <f>IF($B98=$B97,$DE97,0)+$DD98</f>
        <v/>
      </c>
      <c r="DF98" s="57">
        <f>$DF97+$DD98</f>
        <v/>
      </c>
      <c r="DG98" s="57">
        <f>SUMIFS(tblPlant[Mill_Unplanned_Down_h],tblPlant[Date],$A98)</f>
        <v/>
      </c>
      <c r="DH98" s="57">
        <f>IF($B98=$B97,$DH97,0)+$DG98</f>
        <v/>
      </c>
      <c r="DI98" s="57">
        <f>$DI97+$DG98</f>
        <v/>
      </c>
      <c r="DJ98" s="57">
        <f>COUNTIFS(tblPlant[Date],$A98,tblPlant[Mill_Run_h],"&lt;&gt;")*24</f>
        <v/>
      </c>
      <c r="DK98" s="57">
        <f>IF($B98=$B97,$DK97,0)+$DJ98</f>
        <v/>
      </c>
      <c r="DL98" s="57">
        <f>$DL97+$DJ98</f>
        <v/>
      </c>
      <c r="DM98" s="57">
        <f>SUMIFS(tblPlant[Crusher_Run_h],tblPlant[Date],$A98)</f>
        <v/>
      </c>
      <c r="DN98" s="57">
        <f>IF($B98=$B97,$DN97,0)+$DM98</f>
        <v/>
      </c>
      <c r="DO98" s="57">
        <f>$DO97+$DM98</f>
        <v/>
      </c>
      <c r="DP98" s="55">
        <f>IFERROR(IF(($DA98)&gt;0,($BZ98)/($DA98),""),"")</f>
        <v/>
      </c>
      <c r="DQ98" s="55">
        <f>IFERROR(IF(($DB98)&gt;0,($CA98)/($DB98),""),"")</f>
        <v/>
      </c>
      <c r="DR98" s="55">
        <f>IFERROR(IF(($DC98)&gt;0,($CB98)/($DC98),""),"")</f>
        <v/>
      </c>
      <c r="DS98" s="67">
        <f>IFERROR(IF(($DJ98)&gt;0,($DJ98-$DD98-$DG98)/($DJ98),""),"")</f>
        <v/>
      </c>
      <c r="DT98" s="67">
        <f>IFERROR(IF(($DK98)&gt;0,($DK98-$DE98-$DH98)/($DK98),""),"")</f>
        <v/>
      </c>
      <c r="DU98" s="67">
        <f>IFERROR(IF(($DL98)&gt;0,($DL98-$DF98-$DI98)/($DL98),""),"")</f>
        <v/>
      </c>
      <c r="DV98" s="67">
        <f>IFERROR(IF(($DJ98-$DD98-$DG98)&gt;0,($DA98)/($DJ98-$DD98-$DG98),""),"")</f>
        <v/>
      </c>
      <c r="DW98" s="67">
        <f>IFERROR(IF(($DK98-$DE98-$DH98)&gt;0,($DB98)/($DK98-$DE98-$DH98),""),"")</f>
        <v/>
      </c>
      <c r="DX98" s="67">
        <f>IFERROR(IF(($DL98-$DF98-$DI98)&gt;0,($DC98)/($DL98-$DF98-$DI98),""),"")</f>
        <v/>
      </c>
      <c r="DY98" s="55">
        <f>SUMIFS(tblPlant[Cyanide_kg],tblPlant[Date],$A98)</f>
        <v/>
      </c>
      <c r="DZ98" s="55">
        <f>IF($B98=$B97,$DZ97,0)+$DY98</f>
        <v/>
      </c>
      <c r="EA98" s="55">
        <f>$EA97+$DY98</f>
        <v/>
      </c>
      <c r="EB98" s="55">
        <f>SUMIFS(tblPlant[Lime_kg],tblPlant[Date],$A98)</f>
        <v/>
      </c>
      <c r="EC98" s="55">
        <f>IF($B98=$B97,$EC97,0)+$EB98</f>
        <v/>
      </c>
      <c r="ED98" s="55">
        <f>$ED97+$EB98</f>
        <v/>
      </c>
      <c r="EE98" s="55">
        <f>SUMIFS(tblPlant[Grinding_Media_kg],tblPlant[Date],$A98)</f>
        <v/>
      </c>
      <c r="EF98" s="55">
        <f>IF($B98=$B97,$EF97,0)+$EE98</f>
        <v/>
      </c>
      <c r="EG98" s="55">
        <f>$EG97+$EE98</f>
        <v/>
      </c>
      <c r="EH98" s="55">
        <f>SUMIFS(tblPlant[Power_kWh],tblPlant[Date],$A98)</f>
        <v/>
      </c>
      <c r="EI98" s="55">
        <f>IF($B98=$B97,$EI97,0)+$EH98</f>
        <v/>
      </c>
      <c r="EJ98" s="55">
        <f>$EJ97+$EH98</f>
        <v/>
      </c>
      <c r="EK98" s="55">
        <f>SUMIFS(tblPlant[Raw_Water_m3],tblPlant[Date],$A98)</f>
        <v/>
      </c>
      <c r="EL98" s="55">
        <f>IF($B98=$B97,$EL97,0)+$EK98</f>
        <v/>
      </c>
      <c r="EM98" s="55">
        <f>$EM97+$EK98</f>
        <v/>
      </c>
      <c r="EN98" s="56">
        <f>IFERROR(IF(($BZ98)&gt;0,($DY98)/($BZ98),""),"")</f>
        <v/>
      </c>
      <c r="EO98" s="56">
        <f>IFERROR(IF(($CA98)&gt;0,($DZ98)/($CA98),""),"")</f>
        <v/>
      </c>
      <c r="EP98" s="56">
        <f>IFERROR(IF(($CB98)&gt;0,($EA98)/($CB98),""),"")</f>
        <v/>
      </c>
      <c r="EQ98" s="56">
        <f>IFERROR(IF(($BZ98)&gt;0,($EB98)/($BZ98),""),"")</f>
        <v/>
      </c>
      <c r="ER98" s="56">
        <f>IFERROR(IF(($CA98)&gt;0,($EC98)/($CA98),""),"")</f>
        <v/>
      </c>
      <c r="ES98" s="56">
        <f>IFERROR(IF(($CB98)&gt;0,($ED98)/($CB98),""),"")</f>
        <v/>
      </c>
      <c r="ET98" s="56">
        <f>IFERROR(IF(($BZ98)&gt;0,($EE98)/($BZ98),""),"")</f>
        <v/>
      </c>
      <c r="EU98" s="56">
        <f>IFERROR(IF(($CA98)&gt;0,($EF98)/($CA98),""),"")</f>
        <v/>
      </c>
      <c r="EV98" s="56">
        <f>IFERROR(IF(($CB98)&gt;0,($EG98)/($CB98),""),"")</f>
        <v/>
      </c>
      <c r="EW98" s="76">
        <f>IFERROR(IF(($BZ98)&gt;0,($EH98)/($BZ98),""),"")</f>
        <v/>
      </c>
      <c r="EX98" s="76">
        <f>IFERROR(IF(($CA98)&gt;0,($EI98)/($CA98),""),"")</f>
        <v/>
      </c>
      <c r="EY98" s="76">
        <f>IFERROR(IF(($CB98)&gt;0,($EJ98)/($CB98),""),"")</f>
        <v/>
      </c>
      <c r="EZ98" s="56">
        <f>IFERROR(IF(($BZ98)&gt;0,($EK98)/($BZ98),""),"")</f>
        <v/>
      </c>
      <c r="FA98" s="56">
        <f>IFERROR(IF(($CA98)&gt;0,($EL98)/($CA98),""),"")</f>
        <v/>
      </c>
      <c r="FB98" s="56">
        <f>IFERROR(IF(($CB98)&gt;0,($EM98)/($CB98),""),"")</f>
        <v/>
      </c>
      <c r="FC98" s="55">
        <f>IF(SUMIFS(tblPlant[GIC_oz],tblPlant[Date],$A98)&gt;0,SUMIFS(tblPlant[GIC_oz],tblPlant[Date],$A98),"")</f>
        <v/>
      </c>
      <c r="FD98" s="55">
        <f>SUMIFS(tblGold[Gold_oz],tblGold[Date],$A98,tblGold[Type],"Shipment")</f>
        <v/>
      </c>
      <c r="FE98" s="55">
        <f>IF($B98=$B97,$FE97,0)+$FD98</f>
        <v/>
      </c>
      <c r="FF98" s="55">
        <f>$FF97+$FD98</f>
        <v/>
      </c>
      <c r="FG98" s="55">
        <f>SUMIFS(tblGold[Gold_oz],tblGold[Date],$A98,tblGold[Type],"Sale")</f>
        <v/>
      </c>
      <c r="FH98" s="55">
        <f>IF($B98=$B97,$FH97,0)+$FG98</f>
        <v/>
      </c>
      <c r="FI98" s="55">
        <f>$FI97+$FG98</f>
        <v/>
      </c>
      <c r="FJ98" s="55">
        <f>SUMIFS(tblGold[Dore_kg],tblGold[Date],$A98,tblGold[Type],"Shipment")</f>
        <v/>
      </c>
      <c r="FK98" s="55">
        <f>IF($B98=$B97,$FK97,0)+$FJ98</f>
        <v/>
      </c>
      <c r="FL98" s="55">
        <f>$FL97+$FJ98</f>
        <v/>
      </c>
      <c r="FM98" s="57">
        <f>SUMIFS(tblSafety[Hours_Total],tblSafety[Date],$A98)</f>
        <v/>
      </c>
      <c r="FN98" s="57">
        <f>IF($B98=$B97,$FN97,0)+$FM98</f>
        <v/>
      </c>
      <c r="FO98" s="57">
        <f>$FO97+$FM98</f>
        <v/>
      </c>
      <c r="FP98" s="62">
        <f>SUMIFS(tblSafety[Fatality],tblSafety[Date],$A98)</f>
        <v/>
      </c>
      <c r="FQ98" s="62">
        <f>IF($B98=$B97,$FQ97,0)+$FP98</f>
        <v/>
      </c>
      <c r="FR98" s="62">
        <f>$FR97+$FP98</f>
        <v/>
      </c>
      <c r="FS98" s="62">
        <f>SUMIFS(tblSafety[LTI],tblSafety[Date],$A98)</f>
        <v/>
      </c>
      <c r="FT98" s="62">
        <f>IF($B98=$B97,$FT97,0)+$FS98</f>
        <v/>
      </c>
      <c r="FU98" s="62">
        <f>$FU97+$FS98</f>
        <v/>
      </c>
      <c r="FV98" s="62">
        <f>SUMIFS(tblSafety[RWI],tblSafety[Date],$A98)</f>
        <v/>
      </c>
      <c r="FW98" s="62">
        <f>IF($B98=$B97,$FW97,0)+$FV98</f>
        <v/>
      </c>
      <c r="FX98" s="62">
        <f>$FX97+$FV98</f>
        <v/>
      </c>
      <c r="FY98" s="62">
        <f>SUMIFS(tblSafety[MTI],tblSafety[Date],$A98)</f>
        <v/>
      </c>
      <c r="FZ98" s="62">
        <f>IF($B98=$B97,$FZ97,0)+$FY98</f>
        <v/>
      </c>
      <c r="GA98" s="62">
        <f>$GA97+$FY98</f>
        <v/>
      </c>
      <c r="GB98" s="62">
        <f>SUMIFS(tblSafety[FAI],tblSafety[Date],$A98)</f>
        <v/>
      </c>
      <c r="GC98" s="62">
        <f>IF($B98=$B97,$GC97,0)+$GB98</f>
        <v/>
      </c>
      <c r="GD98" s="62">
        <f>$GD97+$GB98</f>
        <v/>
      </c>
      <c r="GE98" s="62">
        <f>SUMIFS(tblSafety[Recordables],tblSafety[Date],$A98)</f>
        <v/>
      </c>
      <c r="GF98" s="62">
        <f>IF($B98=$B97,$GF97,0)+$GE98</f>
        <v/>
      </c>
      <c r="GG98" s="62">
        <f>$GG97+$GE98</f>
        <v/>
      </c>
      <c r="GH98" s="62">
        <f>SUMIFS(tblSafety[Near_Miss],tblSafety[Date],$A98)</f>
        <v/>
      </c>
      <c r="GI98" s="62">
        <f>IF($B98=$B97,$GI97,0)+$GH98</f>
        <v/>
      </c>
      <c r="GJ98" s="62">
        <f>$GJ97+$GH98</f>
        <v/>
      </c>
      <c r="GK98" s="62">
        <f>SUMIFS(tblSafety[Hazard_Reports],tblSafety[Date],$A98)</f>
        <v/>
      </c>
      <c r="GL98" s="62">
        <f>IF($B98=$B97,$GL97,0)+$GK98</f>
        <v/>
      </c>
      <c r="GM98" s="62">
        <f>$GM97+$GK98</f>
        <v/>
      </c>
      <c r="GN98" s="62">
        <f>SUMIFS(tblSafety[HPI],tblSafety[Date],$A98)</f>
        <v/>
      </c>
      <c r="GO98" s="62">
        <f>IF($B98=$B97,$GO97,0)+$GN98</f>
        <v/>
      </c>
      <c r="GP98" s="62">
        <f>$GP97+$GN98</f>
        <v/>
      </c>
      <c r="GQ98" s="62">
        <f>SUMIFS(tblSafety[Env_Incidents],tblSafety[Date],$A98)</f>
        <v/>
      </c>
      <c r="GR98" s="62">
        <f>IF($B98=$B97,$GR97,0)+$GQ98</f>
        <v/>
      </c>
      <c r="GS98" s="62">
        <f>$GS97+$GQ98</f>
        <v/>
      </c>
      <c r="GT98" s="62">
        <f>SUMIFS(tblSafety[Community_Incidents],tblSafety[Date],$A98)</f>
        <v/>
      </c>
      <c r="GU98" s="62">
        <f>IF($B98=$B97,$GU97,0)+$GT98</f>
        <v/>
      </c>
      <c r="GV98" s="62">
        <f>$GV97+$GT98</f>
        <v/>
      </c>
      <c r="GW98" s="62">
        <f>SUMIFS(tblSafety[Vehicle_Incidents],tblSafety[Date],$A98)</f>
        <v/>
      </c>
      <c r="GX98" s="62">
        <f>IF($B98=$B97,$GX97,0)+$GW98</f>
        <v/>
      </c>
      <c r="GY98" s="62">
        <f>$GY97+$GW98</f>
        <v/>
      </c>
      <c r="GZ98" s="62">
        <f>SUMIFS(tblSafety[Toolbox_Talks],tblSafety[Date],$A98)</f>
        <v/>
      </c>
      <c r="HA98" s="62">
        <f>IF($B98=$B97,$HA97,0)+$GZ98</f>
        <v/>
      </c>
      <c r="HB98" s="62">
        <f>$HB97+$GZ98</f>
        <v/>
      </c>
      <c r="HC98" s="62">
        <f>SUMIFS(tblSafety[Inspections],tblSafety[Date],$A98)</f>
        <v/>
      </c>
      <c r="HD98" s="62">
        <f>IF($B98=$B97,$HD97,0)+$HC98</f>
        <v/>
      </c>
      <c r="HE98" s="62">
        <f>$HE97+$HC98</f>
        <v/>
      </c>
      <c r="HF98" s="56">
        <f>IFERROR((SUMIFS(tblSafety[Recordables],tblSafety[Date],"&gt;="&amp;EDATE($E98,-12),tblSafety[Date],"&lt;="&amp;$A98)+SUMIFS(tblSafetyHistory[Recordables],tblSafetyHistory[Month],"&gt;="&amp;EDATE($E98,-12),tblSafetyHistory[Month],"&lt;"&amp;cfg_YearStart))/(SUMIFS(tblSafety[Hours_Total],tblSafety[Date],"&gt;="&amp;EDATE($E98,-12),tblSafety[Date],"&lt;="&amp;$A98)+SUMIFS(tblSafetyHistory[Hours_Total],tblSafetyHistory[Month],"&gt;="&amp;EDATE($E98,-12),tblSafetyHistory[Month],"&lt;"&amp;cfg_YearStart))*1000000,"")</f>
        <v/>
      </c>
      <c r="HG98" s="56">
        <f>IFERROR((SUMIFS(tblSafety[LTI],tblSafety[Date],"&gt;="&amp;EDATE($E98,-12),tblSafety[Date],"&lt;="&amp;$A98)+SUMIFS(tblSafetyHistory[LTI],tblSafetyHistory[Month],"&gt;="&amp;EDATE($E98,-12),tblSafetyHistory[Month],"&lt;"&amp;cfg_YearStart))/(SUMIFS(tblSafety[Hours_Total],tblSafety[Date],"&gt;="&amp;EDATE($E98,-12),tblSafety[Date],"&lt;="&amp;$A98)+SUMIFS(tblSafetyHistory[Hours_Total],tblSafetyHistory[Month],"&gt;="&amp;EDATE($E98,-12),tblSafetyHistory[Month],"&lt;"&amp;cfg_YearStart))*1000000,"")</f>
        <v/>
      </c>
      <c r="HH98" s="62">
        <f>IF(MAX(N(cfg_PriorLTIDate),_xlfn.MAXIFS(tblSafety[Date],tblSafety[LTI],"&gt;0",tblSafety[Date],"&lt;="&amp;$A98))=0,"",$A98-MAX(N(cfg_PriorLTIDate),_xlfn.MAXIFS(tblSafety[Date],tblSafety[LTI],"&gt;0",tblSafety[Date],"&lt;="&amp;$A98)))</f>
        <v/>
      </c>
      <c r="HI98" s="55">
        <f>SUMIFS(tblBudget[Ore_Mined_t],tblBudget[Month],$E98)</f>
        <v/>
      </c>
      <c r="HJ98" s="55">
        <f>$HI98*$C98/$D98</f>
        <v/>
      </c>
      <c r="HK98" s="55">
        <f>SUMIFS(tblBudget[Ore_Mined_t],tblBudget[Month],"&lt;"&amp;$E98)+$HJ98</f>
        <v/>
      </c>
      <c r="HL98" s="55">
        <f>SUMIFS(tblBudget[Ore_oz],tblBudget[Month],$E98)</f>
        <v/>
      </c>
      <c r="HM98" s="55">
        <f>$HL98*$C98/$D98</f>
        <v/>
      </c>
      <c r="HN98" s="55">
        <f>SUMIFS(tblBudget[Ore_oz],tblBudget[Month],"&lt;"&amp;$E98)+$HM98</f>
        <v/>
      </c>
      <c r="HO98" s="56">
        <f>IFERROR(IF(($HI98)&gt;0,($HL98*cfg_TroyOz)/($HI98),""),"")</f>
        <v/>
      </c>
      <c r="HP98" s="56">
        <f>IFERROR(IF(($HJ98)&gt;0,($HM98*cfg_TroyOz)/($HJ98),""),"")</f>
        <v/>
      </c>
      <c r="HQ98" s="56">
        <f>IFERROR(IF(($HK98)&gt;0,($HN98*cfg_TroyOz)/($HK98),""),"")</f>
        <v/>
      </c>
      <c r="HR98" s="55">
        <f>SUMIFS(tblBudget[Waste_t],tblBudget[Month],$E98)</f>
        <v/>
      </c>
      <c r="HS98" s="55">
        <f>$HR98*$C98/$D98</f>
        <v/>
      </c>
      <c r="HT98" s="55">
        <f>SUMIFS(tblBudget[Waste_t],tblBudget[Month],"&lt;"&amp;$E98)+$HS98</f>
        <v/>
      </c>
      <c r="HU98" s="55">
        <f>SUMIFS(tblBudget[TMM_t],tblBudget[Month],$E98)</f>
        <v/>
      </c>
      <c r="HV98" s="55">
        <f>$HU98*$C98/$D98</f>
        <v/>
      </c>
      <c r="HW98" s="55">
        <f>SUMIFS(tblBudget[TMM_t],tblBudget[Month],"&lt;"&amp;$E98)+$HV98</f>
        <v/>
      </c>
      <c r="HX98" s="56">
        <f>IFERROR(IF(($HI98)&gt;0,($HR98)/($HI98),""),"")</f>
        <v/>
      </c>
      <c r="HY98" s="56">
        <f>IFERROR(IF(($HJ98)&gt;0,($HS98)/($HJ98),""),"")</f>
        <v/>
      </c>
      <c r="HZ98" s="56">
        <f>IFERROR(IF(($HK98)&gt;0,($HT98)/($HK98),""),"")</f>
        <v/>
      </c>
      <c r="IA98" s="55">
        <f>SUMIFS(tblBudget[Drill_m],tblBudget[Month],$E98)</f>
        <v/>
      </c>
      <c r="IB98" s="55">
        <f>$IA98*$C98/$D98</f>
        <v/>
      </c>
      <c r="IC98" s="55">
        <f>SUMIFS(tblBudget[Drill_m],tblBudget[Month],"&lt;"&amp;$E98)+$IB98</f>
        <v/>
      </c>
      <c r="ID98" s="55">
        <f>SUMIFS(tblBudget[Diesel_L],tblBudget[Month],$E98)</f>
        <v/>
      </c>
      <c r="IE98" s="55">
        <f>$ID98*$C98/$D98</f>
        <v/>
      </c>
      <c r="IF98" s="55">
        <f>SUMIFS(tblBudget[Diesel_L],tblBudget[Month],"&lt;"&amp;$E98)+$IE98</f>
        <v/>
      </c>
      <c r="IG98" s="55">
        <f>SUMIFS(tblBudget[Milled_t],tblBudget[Month],$E98)</f>
        <v/>
      </c>
      <c r="IH98" s="55">
        <f>$IG98*$C98/$D98</f>
        <v/>
      </c>
      <c r="II98" s="55">
        <f>SUMIFS(tblBudget[Milled_t],tblBudget[Month],"&lt;"&amp;$E98)+$IH98</f>
        <v/>
      </c>
      <c r="IJ98" s="55">
        <f>SUMIFS(tblBudget[Feed_oz],tblBudget[Month],$E98)</f>
        <v/>
      </c>
      <c r="IK98" s="55">
        <f>$IJ98*$C98/$D98</f>
        <v/>
      </c>
      <c r="IL98" s="55">
        <f>SUMIFS(tblBudget[Feed_oz],tblBudget[Month],"&lt;"&amp;$E98)+$IK98</f>
        <v/>
      </c>
      <c r="IM98" s="55">
        <f>SUMIFS(tblBudget[Recovered_oz],tblBudget[Month],$E98)</f>
        <v/>
      </c>
      <c r="IN98" s="55">
        <f>$IM98*$C98/$D98</f>
        <v/>
      </c>
      <c r="IO98" s="55">
        <f>SUMIFS(tblBudget[Recovered_oz],tblBudget[Month],"&lt;"&amp;$E98)+$IN98</f>
        <v/>
      </c>
      <c r="IP98" s="56">
        <f>IFERROR(IF(($IG98)&gt;0,($IJ98*cfg_TroyOz)/($IG98),""),"")</f>
        <v/>
      </c>
      <c r="IQ98" s="56">
        <f>IFERROR(IF(($IH98)&gt;0,($IK98*cfg_TroyOz)/($IH98),""),"")</f>
        <v/>
      </c>
      <c r="IR98" s="56">
        <f>IFERROR(IF(($II98)&gt;0,($IL98*cfg_TroyOz)/($II98),""),"")</f>
        <v/>
      </c>
      <c r="IS98" s="67">
        <f>IFERROR(IF(($IJ98)&gt;0,($IM98)/($IJ98),""),"")</f>
        <v/>
      </c>
      <c r="IT98" s="67">
        <f>IFERROR(IF(($IK98)&gt;0,($IN98)/($IK98),""),"")</f>
        <v/>
      </c>
      <c r="IU98" s="67">
        <f>IFERROR(IF(($IL98)&gt;0,($IO98)/($IL98),""),"")</f>
        <v/>
      </c>
      <c r="IV98" s="55">
        <f>SUMIFS(tblBudget[Gold_Poured_oz],tblBudget[Month],$E98)</f>
        <v/>
      </c>
      <c r="IW98" s="55">
        <f>$IV98*$C98/$D98</f>
        <v/>
      </c>
      <c r="IX98" s="55">
        <f>SUMIFS(tblBudget[Gold_Poured_oz],tblBudget[Month],"&lt;"&amp;$E98)+$IW98</f>
        <v/>
      </c>
      <c r="IY98" s="57">
        <f>SUMIFS(tblBudget[Hours_Worked],tblBudget[Month],$E98)</f>
        <v/>
      </c>
      <c r="IZ98" s="57">
        <f>$IY98*$C98/$D98</f>
        <v/>
      </c>
      <c r="JA98" s="57">
        <f>SUMIFS(tblBudget[Hours_Worked],tblBudget[Month],"&lt;"&amp;$E98)+$IZ98</f>
        <v/>
      </c>
    </row>
    <row r="99">
      <c r="A99" s="54" t="n">
        <v>46120</v>
      </c>
      <c r="B99">
        <f>MONTH($A99)</f>
        <v/>
      </c>
      <c r="C99">
        <f>DAY($A99)</f>
        <v/>
      </c>
      <c r="D99">
        <f>DAY(EOMONTH($A99,0))</f>
        <v/>
      </c>
      <c r="E99" s="54">
        <f>DATE(YEAR($A99),MONTH($A99),1)</f>
        <v/>
      </c>
      <c r="F99" s="55">
        <f>SUMIFS(tblMovement[Tonnes_t],tblMovement[Date],$A99,tblMovement[Is_Ore],1,tblMovement[Source_Type],"Pit")</f>
        <v/>
      </c>
      <c r="G99" s="55">
        <f>IF($B99=$B98,$G98,0)+$F99</f>
        <v/>
      </c>
      <c r="H99" s="55">
        <f>$H98+$F99</f>
        <v/>
      </c>
      <c r="I99" s="55">
        <f>SUMIFS(tblMovement[Ore_oz],tblMovement[Date],$A99,tblMovement[Source_Type],"Pit")</f>
        <v/>
      </c>
      <c r="J99" s="55">
        <f>IF($B99=$B98,$J98,0)+$I99</f>
        <v/>
      </c>
      <c r="K99" s="55">
        <f>$K98+$I99</f>
        <v/>
      </c>
      <c r="L99" s="56">
        <f>IFERROR(IF(($F99)&gt;0,($I99*cfg_TroyOz)/($F99),""),"")</f>
        <v/>
      </c>
      <c r="M99" s="56">
        <f>IFERROR(IF(($G99)&gt;0,($J99*cfg_TroyOz)/($G99),""),"")</f>
        <v/>
      </c>
      <c r="N99" s="56">
        <f>IFERROR(IF(($H99)&gt;0,($K99*cfg_TroyOz)/($H99),""),"")</f>
        <v/>
      </c>
      <c r="O99" s="55">
        <f>SUMIFS(tblMovement[Tonnes_t],tblMovement[Date],$A99,tblMovement[Is_Ore],0,tblMovement[Source_Type],"Pit")</f>
        <v/>
      </c>
      <c r="P99" s="55">
        <f>IF($B99=$B98,$P98,0)+$O99</f>
        <v/>
      </c>
      <c r="Q99" s="55">
        <f>$Q98+$O99</f>
        <v/>
      </c>
      <c r="R99" s="55">
        <f>$F99+$O99</f>
        <v/>
      </c>
      <c r="S99" s="55">
        <f>IF($B99=$B98,$S98,0)+$R99</f>
        <v/>
      </c>
      <c r="T99" s="55">
        <f>$T98+$R99</f>
        <v/>
      </c>
      <c r="U99" s="56">
        <f>IFERROR(IF(($F99)&gt;0,($O99)/($F99),""),"")</f>
        <v/>
      </c>
      <c r="V99" s="56">
        <f>IFERROR(IF(($G99)&gt;0,($P99)/($G99),""),"")</f>
        <v/>
      </c>
      <c r="W99" s="56">
        <f>IFERROR(IF(($H99)&gt;0,($Q99)/($H99),""),"")</f>
        <v/>
      </c>
      <c r="X99" s="55">
        <f>SUMIFS(tblMovement[Tonnes_t],tblMovement[Date],$A99,tblMovement[Source_Type],"Stockpile")</f>
        <v/>
      </c>
      <c r="Y99" s="55">
        <f>IF($B99=$B98,$Y98,0)+$X99</f>
        <v/>
      </c>
      <c r="Z99" s="55">
        <f>$Z98+$X99</f>
        <v/>
      </c>
      <c r="AA99" s="55">
        <f>SUMIFS(tblMiningDaily[Drill_m],tblMiningDaily[Date],$A99)</f>
        <v/>
      </c>
      <c r="AB99" s="55">
        <f>IF($B99=$B98,$AB98,0)+$AA99</f>
        <v/>
      </c>
      <c r="AC99" s="55">
        <f>$AC98+$AA99</f>
        <v/>
      </c>
      <c r="AD99" s="55">
        <f>SUMIFS(tblMiningDaily[Blast_t],tblMiningDaily[Date],$A99)</f>
        <v/>
      </c>
      <c r="AE99" s="55">
        <f>IF($B99=$B98,$AE98,0)+$AD99</f>
        <v/>
      </c>
      <c r="AF99" s="55">
        <f>$AF98+$AD99</f>
        <v/>
      </c>
      <c r="AG99" s="55">
        <f>SUMIFS(tblMiningDaily[Explosives_kg],tblMiningDaily[Date],$A99)</f>
        <v/>
      </c>
      <c r="AH99" s="55">
        <f>IF($B99=$B98,$AH98,0)+$AG99</f>
        <v/>
      </c>
      <c r="AI99" s="55">
        <f>$AI98+$AG99</f>
        <v/>
      </c>
      <c r="AJ99" s="56">
        <f>IFERROR(IF(($AD99)&gt;0,($AG99)/($AD99),""),"")</f>
        <v/>
      </c>
      <c r="AK99" s="56">
        <f>IFERROR(IF(($AE99)&gt;0,($AH99)/($AE99),""),"")</f>
        <v/>
      </c>
      <c r="AL99" s="56">
        <f>IFERROR(IF(($AF99)&gt;0,($AI99)/($AF99),""),"")</f>
        <v/>
      </c>
      <c r="AM99" s="55">
        <f>SUMIFS(tblMiningDaily[Diesel_L],tblMiningDaily[Date],$A99)</f>
        <v/>
      </c>
      <c r="AN99" s="55">
        <f>IF($B99=$B98,$AN98,0)+$AM99</f>
        <v/>
      </c>
      <c r="AO99" s="55">
        <f>$AO98+$AM99</f>
        <v/>
      </c>
      <c r="AP99" s="55">
        <f>SUMIFS(tblMiningDaily[Dewatering_m3],tblMiningDaily[Date],$A99)</f>
        <v/>
      </c>
      <c r="AQ99" s="55">
        <f>IF($B99=$B98,$AQ98,0)+$AP99</f>
        <v/>
      </c>
      <c r="AR99" s="55">
        <f>$AR98+$AP99</f>
        <v/>
      </c>
      <c r="AS99" s="57">
        <f>SUMIFS(tblFleet[Calendar_h],tblFleet[Date],$A99,tblFleet[Equipment_Class],"Excavator")</f>
        <v/>
      </c>
      <c r="AT99" s="57">
        <f>IF($B99=$B98,$AT98,0)+$AS99</f>
        <v/>
      </c>
      <c r="AU99" s="57">
        <f>$AU98+$AS99</f>
        <v/>
      </c>
      <c r="AV99" s="57">
        <f>SUMIFS(tblFleet[Available_h],tblFleet[Date],$A99,tblFleet[Equipment_Class],"Excavator")</f>
        <v/>
      </c>
      <c r="AW99" s="57">
        <f>IF($B99=$B98,$AW98,0)+$AV99</f>
        <v/>
      </c>
      <c r="AX99" s="57">
        <f>$AX98+$AV99</f>
        <v/>
      </c>
      <c r="AY99" s="57">
        <f>SUMIFS(tblFleet[Operating_h],tblFleet[Date],$A99,tblFleet[Equipment_Class],"Excavator")</f>
        <v/>
      </c>
      <c r="AZ99" s="57">
        <f>IF($B99=$B98,$AZ98,0)+$AY99</f>
        <v/>
      </c>
      <c r="BA99" s="57">
        <f>$BA98+$AY99</f>
        <v/>
      </c>
      <c r="BB99" s="67">
        <f>IFERROR(IF(($AS99)&gt;0,($AV99)/($AS99),""),"")</f>
        <v/>
      </c>
      <c r="BC99" s="67">
        <f>IFERROR(IF(($AT99)&gt;0,($AW99)/($AT99),""),"")</f>
        <v/>
      </c>
      <c r="BD99" s="67">
        <f>IFERROR(IF(($AU99)&gt;0,($AX99)/($AU99),""),"")</f>
        <v/>
      </c>
      <c r="BE99" s="67">
        <f>IFERROR(IF(($AV99)&gt;0,($AY99)/($AV99),""),"")</f>
        <v/>
      </c>
      <c r="BF99" s="67">
        <f>IFERROR(IF(($AW99)&gt;0,($AZ99)/($AW99),""),"")</f>
        <v/>
      </c>
      <c r="BG99" s="67">
        <f>IFERROR(IF(($AX99)&gt;0,($BA99)/($AX99),""),"")</f>
        <v/>
      </c>
      <c r="BH99" s="57">
        <f>SUMIFS(tblFleet[Calendar_h],tblFleet[Date],$A99,tblFleet[Equipment_Class],"Haul Truck")</f>
        <v/>
      </c>
      <c r="BI99" s="57">
        <f>IF($B99=$B98,$BI98,0)+$BH99</f>
        <v/>
      </c>
      <c r="BJ99" s="57">
        <f>$BJ98+$BH99</f>
        <v/>
      </c>
      <c r="BK99" s="57">
        <f>SUMIFS(tblFleet[Available_h],tblFleet[Date],$A99,tblFleet[Equipment_Class],"Haul Truck")</f>
        <v/>
      </c>
      <c r="BL99" s="57">
        <f>IF($B99=$B98,$BL98,0)+$BK99</f>
        <v/>
      </c>
      <c r="BM99" s="57">
        <f>$BM98+$BK99</f>
        <v/>
      </c>
      <c r="BN99" s="57">
        <f>SUMIFS(tblFleet[Operating_h],tblFleet[Date],$A99,tblFleet[Equipment_Class],"Haul Truck")</f>
        <v/>
      </c>
      <c r="BO99" s="57">
        <f>IF($B99=$B98,$BO98,0)+$BN99</f>
        <v/>
      </c>
      <c r="BP99" s="57">
        <f>$BP98+$BN99</f>
        <v/>
      </c>
      <c r="BQ99" s="67">
        <f>IFERROR(IF(($BH99)&gt;0,($BK99)/($BH99),""),"")</f>
        <v/>
      </c>
      <c r="BR99" s="67">
        <f>IFERROR(IF(($BI99)&gt;0,($BL99)/($BI99),""),"")</f>
        <v/>
      </c>
      <c r="BS99" s="67">
        <f>IFERROR(IF(($BJ99)&gt;0,($BM99)/($BJ99),""),"")</f>
        <v/>
      </c>
      <c r="BT99" s="67">
        <f>IFERROR(IF(($BK99)&gt;0,($BN99)/($BK99),""),"")</f>
        <v/>
      </c>
      <c r="BU99" s="67">
        <f>IFERROR(IF(($BL99)&gt;0,($BO99)/($BL99),""),"")</f>
        <v/>
      </c>
      <c r="BV99" s="67">
        <f>IFERROR(IF(($BM99)&gt;0,($BP99)/($BM99),""),"")</f>
        <v/>
      </c>
      <c r="BW99" s="55">
        <f>SUMIFS(tblPlant[Crushed_t],tblPlant[Date],$A99)</f>
        <v/>
      </c>
      <c r="BX99" s="55">
        <f>IF($B99=$B98,$BX98,0)+$BW99</f>
        <v/>
      </c>
      <c r="BY99" s="55">
        <f>$BY98+$BW99</f>
        <v/>
      </c>
      <c r="BZ99" s="55">
        <f>SUMIFS(tblPlant[Milled_t],tblPlant[Date],$A99)</f>
        <v/>
      </c>
      <c r="CA99" s="55">
        <f>IF($B99=$B98,$CA98,0)+$BZ99</f>
        <v/>
      </c>
      <c r="CB99" s="55">
        <f>$CB98+$BZ99</f>
        <v/>
      </c>
      <c r="CC99" s="55">
        <f>SUMIFS(tblPlant[Feed_oz],tblPlant[Date],$A99)</f>
        <v/>
      </c>
      <c r="CD99" s="55">
        <f>IF($B99=$B98,$CD98,0)+$CC99</f>
        <v/>
      </c>
      <c r="CE99" s="55">
        <f>$CE98+$CC99</f>
        <v/>
      </c>
      <c r="CF99" s="55">
        <f>SUMIFS(tblPlant[Tails_oz],tblPlant[Date],$A99)</f>
        <v/>
      </c>
      <c r="CG99" s="55">
        <f>IF($B99=$B98,$CG98,0)+$CF99</f>
        <v/>
      </c>
      <c r="CH99" s="55">
        <f>$CH98+$CF99</f>
        <v/>
      </c>
      <c r="CI99" s="55">
        <f>SUMIFS(tblPlant[Recovered_oz],tblPlant[Date],$A99)</f>
        <v/>
      </c>
      <c r="CJ99" s="55">
        <f>IF($B99=$B98,$CJ98,0)+$CI99</f>
        <v/>
      </c>
      <c r="CK99" s="55">
        <f>$CK98+$CI99</f>
        <v/>
      </c>
      <c r="CL99" s="56">
        <f>IFERROR(IF(($BZ99)&gt;0,($CC99*cfg_TroyOz)/($BZ99),""),"")</f>
        <v/>
      </c>
      <c r="CM99" s="56">
        <f>IFERROR(IF(($CA99)&gt;0,($CD99*cfg_TroyOz)/($CA99),""),"")</f>
        <v/>
      </c>
      <c r="CN99" s="56">
        <f>IFERROR(IF(($CB99)&gt;0,($CE99*cfg_TroyOz)/($CB99),""),"")</f>
        <v/>
      </c>
      <c r="CO99" s="56">
        <f>IFERROR(IF(($BZ99)&gt;0,($CF99*cfg_TroyOz)/($BZ99),""),"")</f>
        <v/>
      </c>
      <c r="CP99" s="56">
        <f>IFERROR(IF(($CA99)&gt;0,($CG99*cfg_TroyOz)/($CA99),""),"")</f>
        <v/>
      </c>
      <c r="CQ99" s="56">
        <f>IFERROR(IF(($CB99)&gt;0,($CH99*cfg_TroyOz)/($CB99),""),"")</f>
        <v/>
      </c>
      <c r="CR99" s="67">
        <f>IFERROR(IF(($CC99)&gt;0,($CI99)/($CC99),""),"")</f>
        <v/>
      </c>
      <c r="CS99" s="67">
        <f>IFERROR(IF(($CD99)&gt;0,($CJ99)/($CD99),""),"")</f>
        <v/>
      </c>
      <c r="CT99" s="67">
        <f>IFERROR(IF(($CE99)&gt;0,($CK99)/($CE99),""),"")</f>
        <v/>
      </c>
      <c r="CU99" s="55">
        <f>SUMIFS(tblPlant[Gravity_Gold_oz],tblPlant[Date],$A99)</f>
        <v/>
      </c>
      <c r="CV99" s="55">
        <f>IF($B99=$B98,$CV98,0)+$CU99</f>
        <v/>
      </c>
      <c r="CW99" s="55">
        <f>$CW98+$CU99</f>
        <v/>
      </c>
      <c r="CX99" s="55">
        <f>SUMIFS(tblPlant[Gold_Poured_oz],tblPlant[Date],$A99)</f>
        <v/>
      </c>
      <c r="CY99" s="55">
        <f>IF($B99=$B98,$CY98,0)+$CX99</f>
        <v/>
      </c>
      <c r="CZ99" s="55">
        <f>$CZ98+$CX99</f>
        <v/>
      </c>
      <c r="DA99" s="57">
        <f>SUMIFS(tblPlant[Mill_Run_h],tblPlant[Date],$A99)</f>
        <v/>
      </c>
      <c r="DB99" s="57">
        <f>IF($B99=$B98,$DB98,0)+$DA99</f>
        <v/>
      </c>
      <c r="DC99" s="57">
        <f>$DC98+$DA99</f>
        <v/>
      </c>
      <c r="DD99" s="57">
        <f>SUMIFS(tblPlant[Mill_Planned_Maint_h],tblPlant[Date],$A99)</f>
        <v/>
      </c>
      <c r="DE99" s="57">
        <f>IF($B99=$B98,$DE98,0)+$DD99</f>
        <v/>
      </c>
      <c r="DF99" s="57">
        <f>$DF98+$DD99</f>
        <v/>
      </c>
      <c r="DG99" s="57">
        <f>SUMIFS(tblPlant[Mill_Unplanned_Down_h],tblPlant[Date],$A99)</f>
        <v/>
      </c>
      <c r="DH99" s="57">
        <f>IF($B99=$B98,$DH98,0)+$DG99</f>
        <v/>
      </c>
      <c r="DI99" s="57">
        <f>$DI98+$DG99</f>
        <v/>
      </c>
      <c r="DJ99" s="57">
        <f>COUNTIFS(tblPlant[Date],$A99,tblPlant[Mill_Run_h],"&lt;&gt;")*24</f>
        <v/>
      </c>
      <c r="DK99" s="57">
        <f>IF($B99=$B98,$DK98,0)+$DJ99</f>
        <v/>
      </c>
      <c r="DL99" s="57">
        <f>$DL98+$DJ99</f>
        <v/>
      </c>
      <c r="DM99" s="57">
        <f>SUMIFS(tblPlant[Crusher_Run_h],tblPlant[Date],$A99)</f>
        <v/>
      </c>
      <c r="DN99" s="57">
        <f>IF($B99=$B98,$DN98,0)+$DM99</f>
        <v/>
      </c>
      <c r="DO99" s="57">
        <f>$DO98+$DM99</f>
        <v/>
      </c>
      <c r="DP99" s="55">
        <f>IFERROR(IF(($DA99)&gt;0,($BZ99)/($DA99),""),"")</f>
        <v/>
      </c>
      <c r="DQ99" s="55">
        <f>IFERROR(IF(($DB99)&gt;0,($CA99)/($DB99),""),"")</f>
        <v/>
      </c>
      <c r="DR99" s="55">
        <f>IFERROR(IF(($DC99)&gt;0,($CB99)/($DC99),""),"")</f>
        <v/>
      </c>
      <c r="DS99" s="67">
        <f>IFERROR(IF(($DJ99)&gt;0,($DJ99-$DD99-$DG99)/($DJ99),""),"")</f>
        <v/>
      </c>
      <c r="DT99" s="67">
        <f>IFERROR(IF(($DK99)&gt;0,($DK99-$DE99-$DH99)/($DK99),""),"")</f>
        <v/>
      </c>
      <c r="DU99" s="67">
        <f>IFERROR(IF(($DL99)&gt;0,($DL99-$DF99-$DI99)/($DL99),""),"")</f>
        <v/>
      </c>
      <c r="DV99" s="67">
        <f>IFERROR(IF(($DJ99-$DD99-$DG99)&gt;0,($DA99)/($DJ99-$DD99-$DG99),""),"")</f>
        <v/>
      </c>
      <c r="DW99" s="67">
        <f>IFERROR(IF(($DK99-$DE99-$DH99)&gt;0,($DB99)/($DK99-$DE99-$DH99),""),"")</f>
        <v/>
      </c>
      <c r="DX99" s="67">
        <f>IFERROR(IF(($DL99-$DF99-$DI99)&gt;0,($DC99)/($DL99-$DF99-$DI99),""),"")</f>
        <v/>
      </c>
      <c r="DY99" s="55">
        <f>SUMIFS(tblPlant[Cyanide_kg],tblPlant[Date],$A99)</f>
        <v/>
      </c>
      <c r="DZ99" s="55">
        <f>IF($B99=$B98,$DZ98,0)+$DY99</f>
        <v/>
      </c>
      <c r="EA99" s="55">
        <f>$EA98+$DY99</f>
        <v/>
      </c>
      <c r="EB99" s="55">
        <f>SUMIFS(tblPlant[Lime_kg],tblPlant[Date],$A99)</f>
        <v/>
      </c>
      <c r="EC99" s="55">
        <f>IF($B99=$B98,$EC98,0)+$EB99</f>
        <v/>
      </c>
      <c r="ED99" s="55">
        <f>$ED98+$EB99</f>
        <v/>
      </c>
      <c r="EE99" s="55">
        <f>SUMIFS(tblPlant[Grinding_Media_kg],tblPlant[Date],$A99)</f>
        <v/>
      </c>
      <c r="EF99" s="55">
        <f>IF($B99=$B98,$EF98,0)+$EE99</f>
        <v/>
      </c>
      <c r="EG99" s="55">
        <f>$EG98+$EE99</f>
        <v/>
      </c>
      <c r="EH99" s="55">
        <f>SUMIFS(tblPlant[Power_kWh],tblPlant[Date],$A99)</f>
        <v/>
      </c>
      <c r="EI99" s="55">
        <f>IF($B99=$B98,$EI98,0)+$EH99</f>
        <v/>
      </c>
      <c r="EJ99" s="55">
        <f>$EJ98+$EH99</f>
        <v/>
      </c>
      <c r="EK99" s="55">
        <f>SUMIFS(tblPlant[Raw_Water_m3],tblPlant[Date],$A99)</f>
        <v/>
      </c>
      <c r="EL99" s="55">
        <f>IF($B99=$B98,$EL98,0)+$EK99</f>
        <v/>
      </c>
      <c r="EM99" s="55">
        <f>$EM98+$EK99</f>
        <v/>
      </c>
      <c r="EN99" s="56">
        <f>IFERROR(IF(($BZ99)&gt;0,($DY99)/($BZ99),""),"")</f>
        <v/>
      </c>
      <c r="EO99" s="56">
        <f>IFERROR(IF(($CA99)&gt;0,($DZ99)/($CA99),""),"")</f>
        <v/>
      </c>
      <c r="EP99" s="56">
        <f>IFERROR(IF(($CB99)&gt;0,($EA99)/($CB99),""),"")</f>
        <v/>
      </c>
      <c r="EQ99" s="56">
        <f>IFERROR(IF(($BZ99)&gt;0,($EB99)/($BZ99),""),"")</f>
        <v/>
      </c>
      <c r="ER99" s="56">
        <f>IFERROR(IF(($CA99)&gt;0,($EC99)/($CA99),""),"")</f>
        <v/>
      </c>
      <c r="ES99" s="56">
        <f>IFERROR(IF(($CB99)&gt;0,($ED99)/($CB99),""),"")</f>
        <v/>
      </c>
      <c r="ET99" s="56">
        <f>IFERROR(IF(($BZ99)&gt;0,($EE99)/($BZ99),""),"")</f>
        <v/>
      </c>
      <c r="EU99" s="56">
        <f>IFERROR(IF(($CA99)&gt;0,($EF99)/($CA99),""),"")</f>
        <v/>
      </c>
      <c r="EV99" s="56">
        <f>IFERROR(IF(($CB99)&gt;0,($EG99)/($CB99),""),"")</f>
        <v/>
      </c>
      <c r="EW99" s="76">
        <f>IFERROR(IF(($BZ99)&gt;0,($EH99)/($BZ99),""),"")</f>
        <v/>
      </c>
      <c r="EX99" s="76">
        <f>IFERROR(IF(($CA99)&gt;0,($EI99)/($CA99),""),"")</f>
        <v/>
      </c>
      <c r="EY99" s="76">
        <f>IFERROR(IF(($CB99)&gt;0,($EJ99)/($CB99),""),"")</f>
        <v/>
      </c>
      <c r="EZ99" s="56">
        <f>IFERROR(IF(($BZ99)&gt;0,($EK99)/($BZ99),""),"")</f>
        <v/>
      </c>
      <c r="FA99" s="56">
        <f>IFERROR(IF(($CA99)&gt;0,($EL99)/($CA99),""),"")</f>
        <v/>
      </c>
      <c r="FB99" s="56">
        <f>IFERROR(IF(($CB99)&gt;0,($EM99)/($CB99),""),"")</f>
        <v/>
      </c>
      <c r="FC99" s="55">
        <f>IF(SUMIFS(tblPlant[GIC_oz],tblPlant[Date],$A99)&gt;0,SUMIFS(tblPlant[GIC_oz],tblPlant[Date],$A99),"")</f>
        <v/>
      </c>
      <c r="FD99" s="55">
        <f>SUMIFS(tblGold[Gold_oz],tblGold[Date],$A99,tblGold[Type],"Shipment")</f>
        <v/>
      </c>
      <c r="FE99" s="55">
        <f>IF($B99=$B98,$FE98,0)+$FD99</f>
        <v/>
      </c>
      <c r="FF99" s="55">
        <f>$FF98+$FD99</f>
        <v/>
      </c>
      <c r="FG99" s="55">
        <f>SUMIFS(tblGold[Gold_oz],tblGold[Date],$A99,tblGold[Type],"Sale")</f>
        <v/>
      </c>
      <c r="FH99" s="55">
        <f>IF($B99=$B98,$FH98,0)+$FG99</f>
        <v/>
      </c>
      <c r="FI99" s="55">
        <f>$FI98+$FG99</f>
        <v/>
      </c>
      <c r="FJ99" s="55">
        <f>SUMIFS(tblGold[Dore_kg],tblGold[Date],$A99,tblGold[Type],"Shipment")</f>
        <v/>
      </c>
      <c r="FK99" s="55">
        <f>IF($B99=$B98,$FK98,0)+$FJ99</f>
        <v/>
      </c>
      <c r="FL99" s="55">
        <f>$FL98+$FJ99</f>
        <v/>
      </c>
      <c r="FM99" s="57">
        <f>SUMIFS(tblSafety[Hours_Total],tblSafety[Date],$A99)</f>
        <v/>
      </c>
      <c r="FN99" s="57">
        <f>IF($B99=$B98,$FN98,0)+$FM99</f>
        <v/>
      </c>
      <c r="FO99" s="57">
        <f>$FO98+$FM99</f>
        <v/>
      </c>
      <c r="FP99" s="62">
        <f>SUMIFS(tblSafety[Fatality],tblSafety[Date],$A99)</f>
        <v/>
      </c>
      <c r="FQ99" s="62">
        <f>IF($B99=$B98,$FQ98,0)+$FP99</f>
        <v/>
      </c>
      <c r="FR99" s="62">
        <f>$FR98+$FP99</f>
        <v/>
      </c>
      <c r="FS99" s="62">
        <f>SUMIFS(tblSafety[LTI],tblSafety[Date],$A99)</f>
        <v/>
      </c>
      <c r="FT99" s="62">
        <f>IF($B99=$B98,$FT98,0)+$FS99</f>
        <v/>
      </c>
      <c r="FU99" s="62">
        <f>$FU98+$FS99</f>
        <v/>
      </c>
      <c r="FV99" s="62">
        <f>SUMIFS(tblSafety[RWI],tblSafety[Date],$A99)</f>
        <v/>
      </c>
      <c r="FW99" s="62">
        <f>IF($B99=$B98,$FW98,0)+$FV99</f>
        <v/>
      </c>
      <c r="FX99" s="62">
        <f>$FX98+$FV99</f>
        <v/>
      </c>
      <c r="FY99" s="62">
        <f>SUMIFS(tblSafety[MTI],tblSafety[Date],$A99)</f>
        <v/>
      </c>
      <c r="FZ99" s="62">
        <f>IF($B99=$B98,$FZ98,0)+$FY99</f>
        <v/>
      </c>
      <c r="GA99" s="62">
        <f>$GA98+$FY99</f>
        <v/>
      </c>
      <c r="GB99" s="62">
        <f>SUMIFS(tblSafety[FAI],tblSafety[Date],$A99)</f>
        <v/>
      </c>
      <c r="GC99" s="62">
        <f>IF($B99=$B98,$GC98,0)+$GB99</f>
        <v/>
      </c>
      <c r="GD99" s="62">
        <f>$GD98+$GB99</f>
        <v/>
      </c>
      <c r="GE99" s="62">
        <f>SUMIFS(tblSafety[Recordables],tblSafety[Date],$A99)</f>
        <v/>
      </c>
      <c r="GF99" s="62">
        <f>IF($B99=$B98,$GF98,0)+$GE99</f>
        <v/>
      </c>
      <c r="GG99" s="62">
        <f>$GG98+$GE99</f>
        <v/>
      </c>
      <c r="GH99" s="62">
        <f>SUMIFS(tblSafety[Near_Miss],tblSafety[Date],$A99)</f>
        <v/>
      </c>
      <c r="GI99" s="62">
        <f>IF($B99=$B98,$GI98,0)+$GH99</f>
        <v/>
      </c>
      <c r="GJ99" s="62">
        <f>$GJ98+$GH99</f>
        <v/>
      </c>
      <c r="GK99" s="62">
        <f>SUMIFS(tblSafety[Hazard_Reports],tblSafety[Date],$A99)</f>
        <v/>
      </c>
      <c r="GL99" s="62">
        <f>IF($B99=$B98,$GL98,0)+$GK99</f>
        <v/>
      </c>
      <c r="GM99" s="62">
        <f>$GM98+$GK99</f>
        <v/>
      </c>
      <c r="GN99" s="62">
        <f>SUMIFS(tblSafety[HPI],tblSafety[Date],$A99)</f>
        <v/>
      </c>
      <c r="GO99" s="62">
        <f>IF($B99=$B98,$GO98,0)+$GN99</f>
        <v/>
      </c>
      <c r="GP99" s="62">
        <f>$GP98+$GN99</f>
        <v/>
      </c>
      <c r="GQ99" s="62">
        <f>SUMIFS(tblSafety[Env_Incidents],tblSafety[Date],$A99)</f>
        <v/>
      </c>
      <c r="GR99" s="62">
        <f>IF($B99=$B98,$GR98,0)+$GQ99</f>
        <v/>
      </c>
      <c r="GS99" s="62">
        <f>$GS98+$GQ99</f>
        <v/>
      </c>
      <c r="GT99" s="62">
        <f>SUMIFS(tblSafety[Community_Incidents],tblSafety[Date],$A99)</f>
        <v/>
      </c>
      <c r="GU99" s="62">
        <f>IF($B99=$B98,$GU98,0)+$GT99</f>
        <v/>
      </c>
      <c r="GV99" s="62">
        <f>$GV98+$GT99</f>
        <v/>
      </c>
      <c r="GW99" s="62">
        <f>SUMIFS(tblSafety[Vehicle_Incidents],tblSafety[Date],$A99)</f>
        <v/>
      </c>
      <c r="GX99" s="62">
        <f>IF($B99=$B98,$GX98,0)+$GW99</f>
        <v/>
      </c>
      <c r="GY99" s="62">
        <f>$GY98+$GW99</f>
        <v/>
      </c>
      <c r="GZ99" s="62">
        <f>SUMIFS(tblSafety[Toolbox_Talks],tblSafety[Date],$A99)</f>
        <v/>
      </c>
      <c r="HA99" s="62">
        <f>IF($B99=$B98,$HA98,0)+$GZ99</f>
        <v/>
      </c>
      <c r="HB99" s="62">
        <f>$HB98+$GZ99</f>
        <v/>
      </c>
      <c r="HC99" s="62">
        <f>SUMIFS(tblSafety[Inspections],tblSafety[Date],$A99)</f>
        <v/>
      </c>
      <c r="HD99" s="62">
        <f>IF($B99=$B98,$HD98,0)+$HC99</f>
        <v/>
      </c>
      <c r="HE99" s="62">
        <f>$HE98+$HC99</f>
        <v/>
      </c>
      <c r="HF99" s="56">
        <f>IFERROR((SUMIFS(tblSafety[Recordables],tblSafety[Date],"&gt;="&amp;EDATE($E99,-12),tblSafety[Date],"&lt;="&amp;$A99)+SUMIFS(tblSafetyHistory[Recordables],tblSafetyHistory[Month],"&gt;="&amp;EDATE($E99,-12),tblSafetyHistory[Month],"&lt;"&amp;cfg_YearStart))/(SUMIFS(tblSafety[Hours_Total],tblSafety[Date],"&gt;="&amp;EDATE($E99,-12),tblSafety[Date],"&lt;="&amp;$A99)+SUMIFS(tblSafetyHistory[Hours_Total],tblSafetyHistory[Month],"&gt;="&amp;EDATE($E99,-12),tblSafetyHistory[Month],"&lt;"&amp;cfg_YearStart))*1000000,"")</f>
        <v/>
      </c>
      <c r="HG99" s="56">
        <f>IFERROR((SUMIFS(tblSafety[LTI],tblSafety[Date],"&gt;="&amp;EDATE($E99,-12),tblSafety[Date],"&lt;="&amp;$A99)+SUMIFS(tblSafetyHistory[LTI],tblSafetyHistory[Month],"&gt;="&amp;EDATE($E99,-12),tblSafetyHistory[Month],"&lt;"&amp;cfg_YearStart))/(SUMIFS(tblSafety[Hours_Total],tblSafety[Date],"&gt;="&amp;EDATE($E99,-12),tblSafety[Date],"&lt;="&amp;$A99)+SUMIFS(tblSafetyHistory[Hours_Total],tblSafetyHistory[Month],"&gt;="&amp;EDATE($E99,-12),tblSafetyHistory[Month],"&lt;"&amp;cfg_YearStart))*1000000,"")</f>
        <v/>
      </c>
      <c r="HH99" s="62">
        <f>IF(MAX(N(cfg_PriorLTIDate),_xlfn.MAXIFS(tblSafety[Date],tblSafety[LTI],"&gt;0",tblSafety[Date],"&lt;="&amp;$A99))=0,"",$A99-MAX(N(cfg_PriorLTIDate),_xlfn.MAXIFS(tblSafety[Date],tblSafety[LTI],"&gt;0",tblSafety[Date],"&lt;="&amp;$A99)))</f>
        <v/>
      </c>
      <c r="HI99" s="55">
        <f>SUMIFS(tblBudget[Ore_Mined_t],tblBudget[Month],$E99)</f>
        <v/>
      </c>
      <c r="HJ99" s="55">
        <f>$HI99*$C99/$D99</f>
        <v/>
      </c>
      <c r="HK99" s="55">
        <f>SUMIFS(tblBudget[Ore_Mined_t],tblBudget[Month],"&lt;"&amp;$E99)+$HJ99</f>
        <v/>
      </c>
      <c r="HL99" s="55">
        <f>SUMIFS(tblBudget[Ore_oz],tblBudget[Month],$E99)</f>
        <v/>
      </c>
      <c r="HM99" s="55">
        <f>$HL99*$C99/$D99</f>
        <v/>
      </c>
      <c r="HN99" s="55">
        <f>SUMIFS(tblBudget[Ore_oz],tblBudget[Month],"&lt;"&amp;$E99)+$HM99</f>
        <v/>
      </c>
      <c r="HO99" s="56">
        <f>IFERROR(IF(($HI99)&gt;0,($HL99*cfg_TroyOz)/($HI99),""),"")</f>
        <v/>
      </c>
      <c r="HP99" s="56">
        <f>IFERROR(IF(($HJ99)&gt;0,($HM99*cfg_TroyOz)/($HJ99),""),"")</f>
        <v/>
      </c>
      <c r="HQ99" s="56">
        <f>IFERROR(IF(($HK99)&gt;0,($HN99*cfg_TroyOz)/($HK99),""),"")</f>
        <v/>
      </c>
      <c r="HR99" s="55">
        <f>SUMIFS(tblBudget[Waste_t],tblBudget[Month],$E99)</f>
        <v/>
      </c>
      <c r="HS99" s="55">
        <f>$HR99*$C99/$D99</f>
        <v/>
      </c>
      <c r="HT99" s="55">
        <f>SUMIFS(tblBudget[Waste_t],tblBudget[Month],"&lt;"&amp;$E99)+$HS99</f>
        <v/>
      </c>
      <c r="HU99" s="55">
        <f>SUMIFS(tblBudget[TMM_t],tblBudget[Month],$E99)</f>
        <v/>
      </c>
      <c r="HV99" s="55">
        <f>$HU99*$C99/$D99</f>
        <v/>
      </c>
      <c r="HW99" s="55">
        <f>SUMIFS(tblBudget[TMM_t],tblBudget[Month],"&lt;"&amp;$E99)+$HV99</f>
        <v/>
      </c>
      <c r="HX99" s="56">
        <f>IFERROR(IF(($HI99)&gt;0,($HR99)/($HI99),""),"")</f>
        <v/>
      </c>
      <c r="HY99" s="56">
        <f>IFERROR(IF(($HJ99)&gt;0,($HS99)/($HJ99),""),"")</f>
        <v/>
      </c>
      <c r="HZ99" s="56">
        <f>IFERROR(IF(($HK99)&gt;0,($HT99)/($HK99),""),"")</f>
        <v/>
      </c>
      <c r="IA99" s="55">
        <f>SUMIFS(tblBudget[Drill_m],tblBudget[Month],$E99)</f>
        <v/>
      </c>
      <c r="IB99" s="55">
        <f>$IA99*$C99/$D99</f>
        <v/>
      </c>
      <c r="IC99" s="55">
        <f>SUMIFS(tblBudget[Drill_m],tblBudget[Month],"&lt;"&amp;$E99)+$IB99</f>
        <v/>
      </c>
      <c r="ID99" s="55">
        <f>SUMIFS(tblBudget[Diesel_L],tblBudget[Month],$E99)</f>
        <v/>
      </c>
      <c r="IE99" s="55">
        <f>$ID99*$C99/$D99</f>
        <v/>
      </c>
      <c r="IF99" s="55">
        <f>SUMIFS(tblBudget[Diesel_L],tblBudget[Month],"&lt;"&amp;$E99)+$IE99</f>
        <v/>
      </c>
      <c r="IG99" s="55">
        <f>SUMIFS(tblBudget[Milled_t],tblBudget[Month],$E99)</f>
        <v/>
      </c>
      <c r="IH99" s="55">
        <f>$IG99*$C99/$D99</f>
        <v/>
      </c>
      <c r="II99" s="55">
        <f>SUMIFS(tblBudget[Milled_t],tblBudget[Month],"&lt;"&amp;$E99)+$IH99</f>
        <v/>
      </c>
      <c r="IJ99" s="55">
        <f>SUMIFS(tblBudget[Feed_oz],tblBudget[Month],$E99)</f>
        <v/>
      </c>
      <c r="IK99" s="55">
        <f>$IJ99*$C99/$D99</f>
        <v/>
      </c>
      <c r="IL99" s="55">
        <f>SUMIFS(tblBudget[Feed_oz],tblBudget[Month],"&lt;"&amp;$E99)+$IK99</f>
        <v/>
      </c>
      <c r="IM99" s="55">
        <f>SUMIFS(tblBudget[Recovered_oz],tblBudget[Month],$E99)</f>
        <v/>
      </c>
      <c r="IN99" s="55">
        <f>$IM99*$C99/$D99</f>
        <v/>
      </c>
      <c r="IO99" s="55">
        <f>SUMIFS(tblBudget[Recovered_oz],tblBudget[Month],"&lt;"&amp;$E99)+$IN99</f>
        <v/>
      </c>
      <c r="IP99" s="56">
        <f>IFERROR(IF(($IG99)&gt;0,($IJ99*cfg_TroyOz)/($IG99),""),"")</f>
        <v/>
      </c>
      <c r="IQ99" s="56">
        <f>IFERROR(IF(($IH99)&gt;0,($IK99*cfg_TroyOz)/($IH99),""),"")</f>
        <v/>
      </c>
      <c r="IR99" s="56">
        <f>IFERROR(IF(($II99)&gt;0,($IL99*cfg_TroyOz)/($II99),""),"")</f>
        <v/>
      </c>
      <c r="IS99" s="67">
        <f>IFERROR(IF(($IJ99)&gt;0,($IM99)/($IJ99),""),"")</f>
        <v/>
      </c>
      <c r="IT99" s="67">
        <f>IFERROR(IF(($IK99)&gt;0,($IN99)/($IK99),""),"")</f>
        <v/>
      </c>
      <c r="IU99" s="67">
        <f>IFERROR(IF(($IL99)&gt;0,($IO99)/($IL99),""),"")</f>
        <v/>
      </c>
      <c r="IV99" s="55">
        <f>SUMIFS(tblBudget[Gold_Poured_oz],tblBudget[Month],$E99)</f>
        <v/>
      </c>
      <c r="IW99" s="55">
        <f>$IV99*$C99/$D99</f>
        <v/>
      </c>
      <c r="IX99" s="55">
        <f>SUMIFS(tblBudget[Gold_Poured_oz],tblBudget[Month],"&lt;"&amp;$E99)+$IW99</f>
        <v/>
      </c>
      <c r="IY99" s="57">
        <f>SUMIFS(tblBudget[Hours_Worked],tblBudget[Month],$E99)</f>
        <v/>
      </c>
      <c r="IZ99" s="57">
        <f>$IY99*$C99/$D99</f>
        <v/>
      </c>
      <c r="JA99" s="57">
        <f>SUMIFS(tblBudget[Hours_Worked],tblBudget[Month],"&lt;"&amp;$E99)+$IZ99</f>
        <v/>
      </c>
    </row>
    <row r="100">
      <c r="A100" s="54" t="n">
        <v>46121</v>
      </c>
      <c r="B100">
        <f>MONTH($A100)</f>
        <v/>
      </c>
      <c r="C100">
        <f>DAY($A100)</f>
        <v/>
      </c>
      <c r="D100">
        <f>DAY(EOMONTH($A100,0))</f>
        <v/>
      </c>
      <c r="E100" s="54">
        <f>DATE(YEAR($A100),MONTH($A100),1)</f>
        <v/>
      </c>
      <c r="F100" s="55">
        <f>SUMIFS(tblMovement[Tonnes_t],tblMovement[Date],$A100,tblMovement[Is_Ore],1,tblMovement[Source_Type],"Pit")</f>
        <v/>
      </c>
      <c r="G100" s="55">
        <f>IF($B100=$B99,$G99,0)+$F100</f>
        <v/>
      </c>
      <c r="H100" s="55">
        <f>$H99+$F100</f>
        <v/>
      </c>
      <c r="I100" s="55">
        <f>SUMIFS(tblMovement[Ore_oz],tblMovement[Date],$A100,tblMovement[Source_Type],"Pit")</f>
        <v/>
      </c>
      <c r="J100" s="55">
        <f>IF($B100=$B99,$J99,0)+$I100</f>
        <v/>
      </c>
      <c r="K100" s="55">
        <f>$K99+$I100</f>
        <v/>
      </c>
      <c r="L100" s="56">
        <f>IFERROR(IF(($F100)&gt;0,($I100*cfg_TroyOz)/($F100),""),"")</f>
        <v/>
      </c>
      <c r="M100" s="56">
        <f>IFERROR(IF(($G100)&gt;0,($J100*cfg_TroyOz)/($G100),""),"")</f>
        <v/>
      </c>
      <c r="N100" s="56">
        <f>IFERROR(IF(($H100)&gt;0,($K100*cfg_TroyOz)/($H100),""),"")</f>
        <v/>
      </c>
      <c r="O100" s="55">
        <f>SUMIFS(tblMovement[Tonnes_t],tblMovement[Date],$A100,tblMovement[Is_Ore],0,tblMovement[Source_Type],"Pit")</f>
        <v/>
      </c>
      <c r="P100" s="55">
        <f>IF($B100=$B99,$P99,0)+$O100</f>
        <v/>
      </c>
      <c r="Q100" s="55">
        <f>$Q99+$O100</f>
        <v/>
      </c>
      <c r="R100" s="55">
        <f>$F100+$O100</f>
        <v/>
      </c>
      <c r="S100" s="55">
        <f>IF($B100=$B99,$S99,0)+$R100</f>
        <v/>
      </c>
      <c r="T100" s="55">
        <f>$T99+$R100</f>
        <v/>
      </c>
      <c r="U100" s="56">
        <f>IFERROR(IF(($F100)&gt;0,($O100)/($F100),""),"")</f>
        <v/>
      </c>
      <c r="V100" s="56">
        <f>IFERROR(IF(($G100)&gt;0,($P100)/($G100),""),"")</f>
        <v/>
      </c>
      <c r="W100" s="56">
        <f>IFERROR(IF(($H100)&gt;0,($Q100)/($H100),""),"")</f>
        <v/>
      </c>
      <c r="X100" s="55">
        <f>SUMIFS(tblMovement[Tonnes_t],tblMovement[Date],$A100,tblMovement[Source_Type],"Stockpile")</f>
        <v/>
      </c>
      <c r="Y100" s="55">
        <f>IF($B100=$B99,$Y99,0)+$X100</f>
        <v/>
      </c>
      <c r="Z100" s="55">
        <f>$Z99+$X100</f>
        <v/>
      </c>
      <c r="AA100" s="55">
        <f>SUMIFS(tblMiningDaily[Drill_m],tblMiningDaily[Date],$A100)</f>
        <v/>
      </c>
      <c r="AB100" s="55">
        <f>IF($B100=$B99,$AB99,0)+$AA100</f>
        <v/>
      </c>
      <c r="AC100" s="55">
        <f>$AC99+$AA100</f>
        <v/>
      </c>
      <c r="AD100" s="55">
        <f>SUMIFS(tblMiningDaily[Blast_t],tblMiningDaily[Date],$A100)</f>
        <v/>
      </c>
      <c r="AE100" s="55">
        <f>IF($B100=$B99,$AE99,0)+$AD100</f>
        <v/>
      </c>
      <c r="AF100" s="55">
        <f>$AF99+$AD100</f>
        <v/>
      </c>
      <c r="AG100" s="55">
        <f>SUMIFS(tblMiningDaily[Explosives_kg],tblMiningDaily[Date],$A100)</f>
        <v/>
      </c>
      <c r="AH100" s="55">
        <f>IF($B100=$B99,$AH99,0)+$AG100</f>
        <v/>
      </c>
      <c r="AI100" s="55">
        <f>$AI99+$AG100</f>
        <v/>
      </c>
      <c r="AJ100" s="56">
        <f>IFERROR(IF(($AD100)&gt;0,($AG100)/($AD100),""),"")</f>
        <v/>
      </c>
      <c r="AK100" s="56">
        <f>IFERROR(IF(($AE100)&gt;0,($AH100)/($AE100),""),"")</f>
        <v/>
      </c>
      <c r="AL100" s="56">
        <f>IFERROR(IF(($AF100)&gt;0,($AI100)/($AF100),""),"")</f>
        <v/>
      </c>
      <c r="AM100" s="55">
        <f>SUMIFS(tblMiningDaily[Diesel_L],tblMiningDaily[Date],$A100)</f>
        <v/>
      </c>
      <c r="AN100" s="55">
        <f>IF($B100=$B99,$AN99,0)+$AM100</f>
        <v/>
      </c>
      <c r="AO100" s="55">
        <f>$AO99+$AM100</f>
        <v/>
      </c>
      <c r="AP100" s="55">
        <f>SUMIFS(tblMiningDaily[Dewatering_m3],tblMiningDaily[Date],$A100)</f>
        <v/>
      </c>
      <c r="AQ100" s="55">
        <f>IF($B100=$B99,$AQ99,0)+$AP100</f>
        <v/>
      </c>
      <c r="AR100" s="55">
        <f>$AR99+$AP100</f>
        <v/>
      </c>
      <c r="AS100" s="57">
        <f>SUMIFS(tblFleet[Calendar_h],tblFleet[Date],$A100,tblFleet[Equipment_Class],"Excavator")</f>
        <v/>
      </c>
      <c r="AT100" s="57">
        <f>IF($B100=$B99,$AT99,0)+$AS100</f>
        <v/>
      </c>
      <c r="AU100" s="57">
        <f>$AU99+$AS100</f>
        <v/>
      </c>
      <c r="AV100" s="57">
        <f>SUMIFS(tblFleet[Available_h],tblFleet[Date],$A100,tblFleet[Equipment_Class],"Excavator")</f>
        <v/>
      </c>
      <c r="AW100" s="57">
        <f>IF($B100=$B99,$AW99,0)+$AV100</f>
        <v/>
      </c>
      <c r="AX100" s="57">
        <f>$AX99+$AV100</f>
        <v/>
      </c>
      <c r="AY100" s="57">
        <f>SUMIFS(tblFleet[Operating_h],tblFleet[Date],$A100,tblFleet[Equipment_Class],"Excavator")</f>
        <v/>
      </c>
      <c r="AZ100" s="57">
        <f>IF($B100=$B99,$AZ99,0)+$AY100</f>
        <v/>
      </c>
      <c r="BA100" s="57">
        <f>$BA99+$AY100</f>
        <v/>
      </c>
      <c r="BB100" s="67">
        <f>IFERROR(IF(($AS100)&gt;0,($AV100)/($AS100),""),"")</f>
        <v/>
      </c>
      <c r="BC100" s="67">
        <f>IFERROR(IF(($AT100)&gt;0,($AW100)/($AT100),""),"")</f>
        <v/>
      </c>
      <c r="BD100" s="67">
        <f>IFERROR(IF(($AU100)&gt;0,($AX100)/($AU100),""),"")</f>
        <v/>
      </c>
      <c r="BE100" s="67">
        <f>IFERROR(IF(($AV100)&gt;0,($AY100)/($AV100),""),"")</f>
        <v/>
      </c>
      <c r="BF100" s="67">
        <f>IFERROR(IF(($AW100)&gt;0,($AZ100)/($AW100),""),"")</f>
        <v/>
      </c>
      <c r="BG100" s="67">
        <f>IFERROR(IF(($AX100)&gt;0,($BA100)/($AX100),""),"")</f>
        <v/>
      </c>
      <c r="BH100" s="57">
        <f>SUMIFS(tblFleet[Calendar_h],tblFleet[Date],$A100,tblFleet[Equipment_Class],"Haul Truck")</f>
        <v/>
      </c>
      <c r="BI100" s="57">
        <f>IF($B100=$B99,$BI99,0)+$BH100</f>
        <v/>
      </c>
      <c r="BJ100" s="57">
        <f>$BJ99+$BH100</f>
        <v/>
      </c>
      <c r="BK100" s="57">
        <f>SUMIFS(tblFleet[Available_h],tblFleet[Date],$A100,tblFleet[Equipment_Class],"Haul Truck")</f>
        <v/>
      </c>
      <c r="BL100" s="57">
        <f>IF($B100=$B99,$BL99,0)+$BK100</f>
        <v/>
      </c>
      <c r="BM100" s="57">
        <f>$BM99+$BK100</f>
        <v/>
      </c>
      <c r="BN100" s="57">
        <f>SUMIFS(tblFleet[Operating_h],tblFleet[Date],$A100,tblFleet[Equipment_Class],"Haul Truck")</f>
        <v/>
      </c>
      <c r="BO100" s="57">
        <f>IF($B100=$B99,$BO99,0)+$BN100</f>
        <v/>
      </c>
      <c r="BP100" s="57">
        <f>$BP99+$BN100</f>
        <v/>
      </c>
      <c r="BQ100" s="67">
        <f>IFERROR(IF(($BH100)&gt;0,($BK100)/($BH100),""),"")</f>
        <v/>
      </c>
      <c r="BR100" s="67">
        <f>IFERROR(IF(($BI100)&gt;0,($BL100)/($BI100),""),"")</f>
        <v/>
      </c>
      <c r="BS100" s="67">
        <f>IFERROR(IF(($BJ100)&gt;0,($BM100)/($BJ100),""),"")</f>
        <v/>
      </c>
      <c r="BT100" s="67">
        <f>IFERROR(IF(($BK100)&gt;0,($BN100)/($BK100),""),"")</f>
        <v/>
      </c>
      <c r="BU100" s="67">
        <f>IFERROR(IF(($BL100)&gt;0,($BO100)/($BL100),""),"")</f>
        <v/>
      </c>
      <c r="BV100" s="67">
        <f>IFERROR(IF(($BM100)&gt;0,($BP100)/($BM100),""),"")</f>
        <v/>
      </c>
      <c r="BW100" s="55">
        <f>SUMIFS(tblPlant[Crushed_t],tblPlant[Date],$A100)</f>
        <v/>
      </c>
      <c r="BX100" s="55">
        <f>IF($B100=$B99,$BX99,0)+$BW100</f>
        <v/>
      </c>
      <c r="BY100" s="55">
        <f>$BY99+$BW100</f>
        <v/>
      </c>
      <c r="BZ100" s="55">
        <f>SUMIFS(tblPlant[Milled_t],tblPlant[Date],$A100)</f>
        <v/>
      </c>
      <c r="CA100" s="55">
        <f>IF($B100=$B99,$CA99,0)+$BZ100</f>
        <v/>
      </c>
      <c r="CB100" s="55">
        <f>$CB99+$BZ100</f>
        <v/>
      </c>
      <c r="CC100" s="55">
        <f>SUMIFS(tblPlant[Feed_oz],tblPlant[Date],$A100)</f>
        <v/>
      </c>
      <c r="CD100" s="55">
        <f>IF($B100=$B99,$CD99,0)+$CC100</f>
        <v/>
      </c>
      <c r="CE100" s="55">
        <f>$CE99+$CC100</f>
        <v/>
      </c>
      <c r="CF100" s="55">
        <f>SUMIFS(tblPlant[Tails_oz],tblPlant[Date],$A100)</f>
        <v/>
      </c>
      <c r="CG100" s="55">
        <f>IF($B100=$B99,$CG99,0)+$CF100</f>
        <v/>
      </c>
      <c r="CH100" s="55">
        <f>$CH99+$CF100</f>
        <v/>
      </c>
      <c r="CI100" s="55">
        <f>SUMIFS(tblPlant[Recovered_oz],tblPlant[Date],$A100)</f>
        <v/>
      </c>
      <c r="CJ100" s="55">
        <f>IF($B100=$B99,$CJ99,0)+$CI100</f>
        <v/>
      </c>
      <c r="CK100" s="55">
        <f>$CK99+$CI100</f>
        <v/>
      </c>
      <c r="CL100" s="56">
        <f>IFERROR(IF(($BZ100)&gt;0,($CC100*cfg_TroyOz)/($BZ100),""),"")</f>
        <v/>
      </c>
      <c r="CM100" s="56">
        <f>IFERROR(IF(($CA100)&gt;0,($CD100*cfg_TroyOz)/($CA100),""),"")</f>
        <v/>
      </c>
      <c r="CN100" s="56">
        <f>IFERROR(IF(($CB100)&gt;0,($CE100*cfg_TroyOz)/($CB100),""),"")</f>
        <v/>
      </c>
      <c r="CO100" s="56">
        <f>IFERROR(IF(($BZ100)&gt;0,($CF100*cfg_TroyOz)/($BZ100),""),"")</f>
        <v/>
      </c>
      <c r="CP100" s="56">
        <f>IFERROR(IF(($CA100)&gt;0,($CG100*cfg_TroyOz)/($CA100),""),"")</f>
        <v/>
      </c>
      <c r="CQ100" s="56">
        <f>IFERROR(IF(($CB100)&gt;0,($CH100*cfg_TroyOz)/($CB100),""),"")</f>
        <v/>
      </c>
      <c r="CR100" s="67">
        <f>IFERROR(IF(($CC100)&gt;0,($CI100)/($CC100),""),"")</f>
        <v/>
      </c>
      <c r="CS100" s="67">
        <f>IFERROR(IF(($CD100)&gt;0,($CJ100)/($CD100),""),"")</f>
        <v/>
      </c>
      <c r="CT100" s="67">
        <f>IFERROR(IF(($CE100)&gt;0,($CK100)/($CE100),""),"")</f>
        <v/>
      </c>
      <c r="CU100" s="55">
        <f>SUMIFS(tblPlant[Gravity_Gold_oz],tblPlant[Date],$A100)</f>
        <v/>
      </c>
      <c r="CV100" s="55">
        <f>IF($B100=$B99,$CV99,0)+$CU100</f>
        <v/>
      </c>
      <c r="CW100" s="55">
        <f>$CW99+$CU100</f>
        <v/>
      </c>
      <c r="CX100" s="55">
        <f>SUMIFS(tblPlant[Gold_Poured_oz],tblPlant[Date],$A100)</f>
        <v/>
      </c>
      <c r="CY100" s="55">
        <f>IF($B100=$B99,$CY99,0)+$CX100</f>
        <v/>
      </c>
      <c r="CZ100" s="55">
        <f>$CZ99+$CX100</f>
        <v/>
      </c>
      <c r="DA100" s="57">
        <f>SUMIFS(tblPlant[Mill_Run_h],tblPlant[Date],$A100)</f>
        <v/>
      </c>
      <c r="DB100" s="57">
        <f>IF($B100=$B99,$DB99,0)+$DA100</f>
        <v/>
      </c>
      <c r="DC100" s="57">
        <f>$DC99+$DA100</f>
        <v/>
      </c>
      <c r="DD100" s="57">
        <f>SUMIFS(tblPlant[Mill_Planned_Maint_h],tblPlant[Date],$A100)</f>
        <v/>
      </c>
      <c r="DE100" s="57">
        <f>IF($B100=$B99,$DE99,0)+$DD100</f>
        <v/>
      </c>
      <c r="DF100" s="57">
        <f>$DF99+$DD100</f>
        <v/>
      </c>
      <c r="DG100" s="57">
        <f>SUMIFS(tblPlant[Mill_Unplanned_Down_h],tblPlant[Date],$A100)</f>
        <v/>
      </c>
      <c r="DH100" s="57">
        <f>IF($B100=$B99,$DH99,0)+$DG100</f>
        <v/>
      </c>
      <c r="DI100" s="57">
        <f>$DI99+$DG100</f>
        <v/>
      </c>
      <c r="DJ100" s="57">
        <f>COUNTIFS(tblPlant[Date],$A100,tblPlant[Mill_Run_h],"&lt;&gt;")*24</f>
        <v/>
      </c>
      <c r="DK100" s="57">
        <f>IF($B100=$B99,$DK99,0)+$DJ100</f>
        <v/>
      </c>
      <c r="DL100" s="57">
        <f>$DL99+$DJ100</f>
        <v/>
      </c>
      <c r="DM100" s="57">
        <f>SUMIFS(tblPlant[Crusher_Run_h],tblPlant[Date],$A100)</f>
        <v/>
      </c>
      <c r="DN100" s="57">
        <f>IF($B100=$B99,$DN99,0)+$DM100</f>
        <v/>
      </c>
      <c r="DO100" s="57">
        <f>$DO99+$DM100</f>
        <v/>
      </c>
      <c r="DP100" s="55">
        <f>IFERROR(IF(($DA100)&gt;0,($BZ100)/($DA100),""),"")</f>
        <v/>
      </c>
      <c r="DQ100" s="55">
        <f>IFERROR(IF(($DB100)&gt;0,($CA100)/($DB100),""),"")</f>
        <v/>
      </c>
      <c r="DR100" s="55">
        <f>IFERROR(IF(($DC100)&gt;0,($CB100)/($DC100),""),"")</f>
        <v/>
      </c>
      <c r="DS100" s="67">
        <f>IFERROR(IF(($DJ100)&gt;0,($DJ100-$DD100-$DG100)/($DJ100),""),"")</f>
        <v/>
      </c>
      <c r="DT100" s="67">
        <f>IFERROR(IF(($DK100)&gt;0,($DK100-$DE100-$DH100)/($DK100),""),"")</f>
        <v/>
      </c>
      <c r="DU100" s="67">
        <f>IFERROR(IF(($DL100)&gt;0,($DL100-$DF100-$DI100)/($DL100),""),"")</f>
        <v/>
      </c>
      <c r="DV100" s="67">
        <f>IFERROR(IF(($DJ100-$DD100-$DG100)&gt;0,($DA100)/($DJ100-$DD100-$DG100),""),"")</f>
        <v/>
      </c>
      <c r="DW100" s="67">
        <f>IFERROR(IF(($DK100-$DE100-$DH100)&gt;0,($DB100)/($DK100-$DE100-$DH100),""),"")</f>
        <v/>
      </c>
      <c r="DX100" s="67">
        <f>IFERROR(IF(($DL100-$DF100-$DI100)&gt;0,($DC100)/($DL100-$DF100-$DI100),""),"")</f>
        <v/>
      </c>
      <c r="DY100" s="55">
        <f>SUMIFS(tblPlant[Cyanide_kg],tblPlant[Date],$A100)</f>
        <v/>
      </c>
      <c r="DZ100" s="55">
        <f>IF($B100=$B99,$DZ99,0)+$DY100</f>
        <v/>
      </c>
      <c r="EA100" s="55">
        <f>$EA99+$DY100</f>
        <v/>
      </c>
      <c r="EB100" s="55">
        <f>SUMIFS(tblPlant[Lime_kg],tblPlant[Date],$A100)</f>
        <v/>
      </c>
      <c r="EC100" s="55">
        <f>IF($B100=$B99,$EC99,0)+$EB100</f>
        <v/>
      </c>
      <c r="ED100" s="55">
        <f>$ED99+$EB100</f>
        <v/>
      </c>
      <c r="EE100" s="55">
        <f>SUMIFS(tblPlant[Grinding_Media_kg],tblPlant[Date],$A100)</f>
        <v/>
      </c>
      <c r="EF100" s="55">
        <f>IF($B100=$B99,$EF99,0)+$EE100</f>
        <v/>
      </c>
      <c r="EG100" s="55">
        <f>$EG99+$EE100</f>
        <v/>
      </c>
      <c r="EH100" s="55">
        <f>SUMIFS(tblPlant[Power_kWh],tblPlant[Date],$A100)</f>
        <v/>
      </c>
      <c r="EI100" s="55">
        <f>IF($B100=$B99,$EI99,0)+$EH100</f>
        <v/>
      </c>
      <c r="EJ100" s="55">
        <f>$EJ99+$EH100</f>
        <v/>
      </c>
      <c r="EK100" s="55">
        <f>SUMIFS(tblPlant[Raw_Water_m3],tblPlant[Date],$A100)</f>
        <v/>
      </c>
      <c r="EL100" s="55">
        <f>IF($B100=$B99,$EL99,0)+$EK100</f>
        <v/>
      </c>
      <c r="EM100" s="55">
        <f>$EM99+$EK100</f>
        <v/>
      </c>
      <c r="EN100" s="56">
        <f>IFERROR(IF(($BZ100)&gt;0,($DY100)/($BZ100),""),"")</f>
        <v/>
      </c>
      <c r="EO100" s="56">
        <f>IFERROR(IF(($CA100)&gt;0,($DZ100)/($CA100),""),"")</f>
        <v/>
      </c>
      <c r="EP100" s="56">
        <f>IFERROR(IF(($CB100)&gt;0,($EA100)/($CB100),""),"")</f>
        <v/>
      </c>
      <c r="EQ100" s="56">
        <f>IFERROR(IF(($BZ100)&gt;0,($EB100)/($BZ100),""),"")</f>
        <v/>
      </c>
      <c r="ER100" s="56">
        <f>IFERROR(IF(($CA100)&gt;0,($EC100)/($CA100),""),"")</f>
        <v/>
      </c>
      <c r="ES100" s="56">
        <f>IFERROR(IF(($CB100)&gt;0,($ED100)/($CB100),""),"")</f>
        <v/>
      </c>
      <c r="ET100" s="56">
        <f>IFERROR(IF(($BZ100)&gt;0,($EE100)/($BZ100),""),"")</f>
        <v/>
      </c>
      <c r="EU100" s="56">
        <f>IFERROR(IF(($CA100)&gt;0,($EF100)/($CA100),""),"")</f>
        <v/>
      </c>
      <c r="EV100" s="56">
        <f>IFERROR(IF(($CB100)&gt;0,($EG100)/($CB100),""),"")</f>
        <v/>
      </c>
      <c r="EW100" s="76">
        <f>IFERROR(IF(($BZ100)&gt;0,($EH100)/($BZ100),""),"")</f>
        <v/>
      </c>
      <c r="EX100" s="76">
        <f>IFERROR(IF(($CA100)&gt;0,($EI100)/($CA100),""),"")</f>
        <v/>
      </c>
      <c r="EY100" s="76">
        <f>IFERROR(IF(($CB100)&gt;0,($EJ100)/($CB100),""),"")</f>
        <v/>
      </c>
      <c r="EZ100" s="56">
        <f>IFERROR(IF(($BZ100)&gt;0,($EK100)/($BZ100),""),"")</f>
        <v/>
      </c>
      <c r="FA100" s="56">
        <f>IFERROR(IF(($CA100)&gt;0,($EL100)/($CA100),""),"")</f>
        <v/>
      </c>
      <c r="FB100" s="56">
        <f>IFERROR(IF(($CB100)&gt;0,($EM100)/($CB100),""),"")</f>
        <v/>
      </c>
      <c r="FC100" s="55">
        <f>IF(SUMIFS(tblPlant[GIC_oz],tblPlant[Date],$A100)&gt;0,SUMIFS(tblPlant[GIC_oz],tblPlant[Date],$A100),"")</f>
        <v/>
      </c>
      <c r="FD100" s="55">
        <f>SUMIFS(tblGold[Gold_oz],tblGold[Date],$A100,tblGold[Type],"Shipment")</f>
        <v/>
      </c>
      <c r="FE100" s="55">
        <f>IF($B100=$B99,$FE99,0)+$FD100</f>
        <v/>
      </c>
      <c r="FF100" s="55">
        <f>$FF99+$FD100</f>
        <v/>
      </c>
      <c r="FG100" s="55">
        <f>SUMIFS(tblGold[Gold_oz],tblGold[Date],$A100,tblGold[Type],"Sale")</f>
        <v/>
      </c>
      <c r="FH100" s="55">
        <f>IF($B100=$B99,$FH99,0)+$FG100</f>
        <v/>
      </c>
      <c r="FI100" s="55">
        <f>$FI99+$FG100</f>
        <v/>
      </c>
      <c r="FJ100" s="55">
        <f>SUMIFS(tblGold[Dore_kg],tblGold[Date],$A100,tblGold[Type],"Shipment")</f>
        <v/>
      </c>
      <c r="FK100" s="55">
        <f>IF($B100=$B99,$FK99,0)+$FJ100</f>
        <v/>
      </c>
      <c r="FL100" s="55">
        <f>$FL99+$FJ100</f>
        <v/>
      </c>
      <c r="FM100" s="57">
        <f>SUMIFS(tblSafety[Hours_Total],tblSafety[Date],$A100)</f>
        <v/>
      </c>
      <c r="FN100" s="57">
        <f>IF($B100=$B99,$FN99,0)+$FM100</f>
        <v/>
      </c>
      <c r="FO100" s="57">
        <f>$FO99+$FM100</f>
        <v/>
      </c>
      <c r="FP100" s="62">
        <f>SUMIFS(tblSafety[Fatality],tblSafety[Date],$A100)</f>
        <v/>
      </c>
      <c r="FQ100" s="62">
        <f>IF($B100=$B99,$FQ99,0)+$FP100</f>
        <v/>
      </c>
      <c r="FR100" s="62">
        <f>$FR99+$FP100</f>
        <v/>
      </c>
      <c r="FS100" s="62">
        <f>SUMIFS(tblSafety[LTI],tblSafety[Date],$A100)</f>
        <v/>
      </c>
      <c r="FT100" s="62">
        <f>IF($B100=$B99,$FT99,0)+$FS100</f>
        <v/>
      </c>
      <c r="FU100" s="62">
        <f>$FU99+$FS100</f>
        <v/>
      </c>
      <c r="FV100" s="62">
        <f>SUMIFS(tblSafety[RWI],tblSafety[Date],$A100)</f>
        <v/>
      </c>
      <c r="FW100" s="62">
        <f>IF($B100=$B99,$FW99,0)+$FV100</f>
        <v/>
      </c>
      <c r="FX100" s="62">
        <f>$FX99+$FV100</f>
        <v/>
      </c>
      <c r="FY100" s="62">
        <f>SUMIFS(tblSafety[MTI],tblSafety[Date],$A100)</f>
        <v/>
      </c>
      <c r="FZ100" s="62">
        <f>IF($B100=$B99,$FZ99,0)+$FY100</f>
        <v/>
      </c>
      <c r="GA100" s="62">
        <f>$GA99+$FY100</f>
        <v/>
      </c>
      <c r="GB100" s="62">
        <f>SUMIFS(tblSafety[FAI],tblSafety[Date],$A100)</f>
        <v/>
      </c>
      <c r="GC100" s="62">
        <f>IF($B100=$B99,$GC99,0)+$GB100</f>
        <v/>
      </c>
      <c r="GD100" s="62">
        <f>$GD99+$GB100</f>
        <v/>
      </c>
      <c r="GE100" s="62">
        <f>SUMIFS(tblSafety[Recordables],tblSafety[Date],$A100)</f>
        <v/>
      </c>
      <c r="GF100" s="62">
        <f>IF($B100=$B99,$GF99,0)+$GE100</f>
        <v/>
      </c>
      <c r="GG100" s="62">
        <f>$GG99+$GE100</f>
        <v/>
      </c>
      <c r="GH100" s="62">
        <f>SUMIFS(tblSafety[Near_Miss],tblSafety[Date],$A100)</f>
        <v/>
      </c>
      <c r="GI100" s="62">
        <f>IF($B100=$B99,$GI99,0)+$GH100</f>
        <v/>
      </c>
      <c r="GJ100" s="62">
        <f>$GJ99+$GH100</f>
        <v/>
      </c>
      <c r="GK100" s="62">
        <f>SUMIFS(tblSafety[Hazard_Reports],tblSafety[Date],$A100)</f>
        <v/>
      </c>
      <c r="GL100" s="62">
        <f>IF($B100=$B99,$GL99,0)+$GK100</f>
        <v/>
      </c>
      <c r="GM100" s="62">
        <f>$GM99+$GK100</f>
        <v/>
      </c>
      <c r="GN100" s="62">
        <f>SUMIFS(tblSafety[HPI],tblSafety[Date],$A100)</f>
        <v/>
      </c>
      <c r="GO100" s="62">
        <f>IF($B100=$B99,$GO99,0)+$GN100</f>
        <v/>
      </c>
      <c r="GP100" s="62">
        <f>$GP99+$GN100</f>
        <v/>
      </c>
      <c r="GQ100" s="62">
        <f>SUMIFS(tblSafety[Env_Incidents],tblSafety[Date],$A100)</f>
        <v/>
      </c>
      <c r="GR100" s="62">
        <f>IF($B100=$B99,$GR99,0)+$GQ100</f>
        <v/>
      </c>
      <c r="GS100" s="62">
        <f>$GS99+$GQ100</f>
        <v/>
      </c>
      <c r="GT100" s="62">
        <f>SUMIFS(tblSafety[Community_Incidents],tblSafety[Date],$A100)</f>
        <v/>
      </c>
      <c r="GU100" s="62">
        <f>IF($B100=$B99,$GU99,0)+$GT100</f>
        <v/>
      </c>
      <c r="GV100" s="62">
        <f>$GV99+$GT100</f>
        <v/>
      </c>
      <c r="GW100" s="62">
        <f>SUMIFS(tblSafety[Vehicle_Incidents],tblSafety[Date],$A100)</f>
        <v/>
      </c>
      <c r="GX100" s="62">
        <f>IF($B100=$B99,$GX99,0)+$GW100</f>
        <v/>
      </c>
      <c r="GY100" s="62">
        <f>$GY99+$GW100</f>
        <v/>
      </c>
      <c r="GZ100" s="62">
        <f>SUMIFS(tblSafety[Toolbox_Talks],tblSafety[Date],$A100)</f>
        <v/>
      </c>
      <c r="HA100" s="62">
        <f>IF($B100=$B99,$HA99,0)+$GZ100</f>
        <v/>
      </c>
      <c r="HB100" s="62">
        <f>$HB99+$GZ100</f>
        <v/>
      </c>
      <c r="HC100" s="62">
        <f>SUMIFS(tblSafety[Inspections],tblSafety[Date],$A100)</f>
        <v/>
      </c>
      <c r="HD100" s="62">
        <f>IF($B100=$B99,$HD99,0)+$HC100</f>
        <v/>
      </c>
      <c r="HE100" s="62">
        <f>$HE99+$HC100</f>
        <v/>
      </c>
      <c r="HF100" s="56">
        <f>IFERROR((SUMIFS(tblSafety[Recordables],tblSafety[Date],"&gt;="&amp;EDATE($E100,-12),tblSafety[Date],"&lt;="&amp;$A100)+SUMIFS(tblSafetyHistory[Recordables],tblSafetyHistory[Month],"&gt;="&amp;EDATE($E100,-12),tblSafetyHistory[Month],"&lt;"&amp;cfg_YearStart))/(SUMIFS(tblSafety[Hours_Total],tblSafety[Date],"&gt;="&amp;EDATE($E100,-12),tblSafety[Date],"&lt;="&amp;$A100)+SUMIFS(tblSafetyHistory[Hours_Total],tblSafetyHistory[Month],"&gt;="&amp;EDATE($E100,-12),tblSafetyHistory[Month],"&lt;"&amp;cfg_YearStart))*1000000,"")</f>
        <v/>
      </c>
      <c r="HG100" s="56">
        <f>IFERROR((SUMIFS(tblSafety[LTI],tblSafety[Date],"&gt;="&amp;EDATE($E100,-12),tblSafety[Date],"&lt;="&amp;$A100)+SUMIFS(tblSafetyHistory[LTI],tblSafetyHistory[Month],"&gt;="&amp;EDATE($E100,-12),tblSafetyHistory[Month],"&lt;"&amp;cfg_YearStart))/(SUMIFS(tblSafety[Hours_Total],tblSafety[Date],"&gt;="&amp;EDATE($E100,-12),tblSafety[Date],"&lt;="&amp;$A100)+SUMIFS(tblSafetyHistory[Hours_Total],tblSafetyHistory[Month],"&gt;="&amp;EDATE($E100,-12),tblSafetyHistory[Month],"&lt;"&amp;cfg_YearStart))*1000000,"")</f>
        <v/>
      </c>
      <c r="HH100" s="62">
        <f>IF(MAX(N(cfg_PriorLTIDate),_xlfn.MAXIFS(tblSafety[Date],tblSafety[LTI],"&gt;0",tblSafety[Date],"&lt;="&amp;$A100))=0,"",$A100-MAX(N(cfg_PriorLTIDate),_xlfn.MAXIFS(tblSafety[Date],tblSafety[LTI],"&gt;0",tblSafety[Date],"&lt;="&amp;$A100)))</f>
        <v/>
      </c>
      <c r="HI100" s="55">
        <f>SUMIFS(tblBudget[Ore_Mined_t],tblBudget[Month],$E100)</f>
        <v/>
      </c>
      <c r="HJ100" s="55">
        <f>$HI100*$C100/$D100</f>
        <v/>
      </c>
      <c r="HK100" s="55">
        <f>SUMIFS(tblBudget[Ore_Mined_t],tblBudget[Month],"&lt;"&amp;$E100)+$HJ100</f>
        <v/>
      </c>
      <c r="HL100" s="55">
        <f>SUMIFS(tblBudget[Ore_oz],tblBudget[Month],$E100)</f>
        <v/>
      </c>
      <c r="HM100" s="55">
        <f>$HL100*$C100/$D100</f>
        <v/>
      </c>
      <c r="HN100" s="55">
        <f>SUMIFS(tblBudget[Ore_oz],tblBudget[Month],"&lt;"&amp;$E100)+$HM100</f>
        <v/>
      </c>
      <c r="HO100" s="56">
        <f>IFERROR(IF(($HI100)&gt;0,($HL100*cfg_TroyOz)/($HI100),""),"")</f>
        <v/>
      </c>
      <c r="HP100" s="56">
        <f>IFERROR(IF(($HJ100)&gt;0,($HM100*cfg_TroyOz)/($HJ100),""),"")</f>
        <v/>
      </c>
      <c r="HQ100" s="56">
        <f>IFERROR(IF(($HK100)&gt;0,($HN100*cfg_TroyOz)/($HK100),""),"")</f>
        <v/>
      </c>
      <c r="HR100" s="55">
        <f>SUMIFS(tblBudget[Waste_t],tblBudget[Month],$E100)</f>
        <v/>
      </c>
      <c r="HS100" s="55">
        <f>$HR100*$C100/$D100</f>
        <v/>
      </c>
      <c r="HT100" s="55">
        <f>SUMIFS(tblBudget[Waste_t],tblBudget[Month],"&lt;"&amp;$E100)+$HS100</f>
        <v/>
      </c>
      <c r="HU100" s="55">
        <f>SUMIFS(tblBudget[TMM_t],tblBudget[Month],$E100)</f>
        <v/>
      </c>
      <c r="HV100" s="55">
        <f>$HU100*$C100/$D100</f>
        <v/>
      </c>
      <c r="HW100" s="55">
        <f>SUMIFS(tblBudget[TMM_t],tblBudget[Month],"&lt;"&amp;$E100)+$HV100</f>
        <v/>
      </c>
      <c r="HX100" s="56">
        <f>IFERROR(IF(($HI100)&gt;0,($HR100)/($HI100),""),"")</f>
        <v/>
      </c>
      <c r="HY100" s="56">
        <f>IFERROR(IF(($HJ100)&gt;0,($HS100)/($HJ100),""),"")</f>
        <v/>
      </c>
      <c r="HZ100" s="56">
        <f>IFERROR(IF(($HK100)&gt;0,($HT100)/($HK100),""),"")</f>
        <v/>
      </c>
      <c r="IA100" s="55">
        <f>SUMIFS(tblBudget[Drill_m],tblBudget[Month],$E100)</f>
        <v/>
      </c>
      <c r="IB100" s="55">
        <f>$IA100*$C100/$D100</f>
        <v/>
      </c>
      <c r="IC100" s="55">
        <f>SUMIFS(tblBudget[Drill_m],tblBudget[Month],"&lt;"&amp;$E100)+$IB100</f>
        <v/>
      </c>
      <c r="ID100" s="55">
        <f>SUMIFS(tblBudget[Diesel_L],tblBudget[Month],$E100)</f>
        <v/>
      </c>
      <c r="IE100" s="55">
        <f>$ID100*$C100/$D100</f>
        <v/>
      </c>
      <c r="IF100" s="55">
        <f>SUMIFS(tblBudget[Diesel_L],tblBudget[Month],"&lt;"&amp;$E100)+$IE100</f>
        <v/>
      </c>
      <c r="IG100" s="55">
        <f>SUMIFS(tblBudget[Milled_t],tblBudget[Month],$E100)</f>
        <v/>
      </c>
      <c r="IH100" s="55">
        <f>$IG100*$C100/$D100</f>
        <v/>
      </c>
      <c r="II100" s="55">
        <f>SUMIFS(tblBudget[Milled_t],tblBudget[Month],"&lt;"&amp;$E100)+$IH100</f>
        <v/>
      </c>
      <c r="IJ100" s="55">
        <f>SUMIFS(tblBudget[Feed_oz],tblBudget[Month],$E100)</f>
        <v/>
      </c>
      <c r="IK100" s="55">
        <f>$IJ100*$C100/$D100</f>
        <v/>
      </c>
      <c r="IL100" s="55">
        <f>SUMIFS(tblBudget[Feed_oz],tblBudget[Month],"&lt;"&amp;$E100)+$IK100</f>
        <v/>
      </c>
      <c r="IM100" s="55">
        <f>SUMIFS(tblBudget[Recovered_oz],tblBudget[Month],$E100)</f>
        <v/>
      </c>
      <c r="IN100" s="55">
        <f>$IM100*$C100/$D100</f>
        <v/>
      </c>
      <c r="IO100" s="55">
        <f>SUMIFS(tblBudget[Recovered_oz],tblBudget[Month],"&lt;"&amp;$E100)+$IN100</f>
        <v/>
      </c>
      <c r="IP100" s="56">
        <f>IFERROR(IF(($IG100)&gt;0,($IJ100*cfg_TroyOz)/($IG100),""),"")</f>
        <v/>
      </c>
      <c r="IQ100" s="56">
        <f>IFERROR(IF(($IH100)&gt;0,($IK100*cfg_TroyOz)/($IH100),""),"")</f>
        <v/>
      </c>
      <c r="IR100" s="56">
        <f>IFERROR(IF(($II100)&gt;0,($IL100*cfg_TroyOz)/($II100),""),"")</f>
        <v/>
      </c>
      <c r="IS100" s="67">
        <f>IFERROR(IF(($IJ100)&gt;0,($IM100)/($IJ100),""),"")</f>
        <v/>
      </c>
      <c r="IT100" s="67">
        <f>IFERROR(IF(($IK100)&gt;0,($IN100)/($IK100),""),"")</f>
        <v/>
      </c>
      <c r="IU100" s="67">
        <f>IFERROR(IF(($IL100)&gt;0,($IO100)/($IL100),""),"")</f>
        <v/>
      </c>
      <c r="IV100" s="55">
        <f>SUMIFS(tblBudget[Gold_Poured_oz],tblBudget[Month],$E100)</f>
        <v/>
      </c>
      <c r="IW100" s="55">
        <f>$IV100*$C100/$D100</f>
        <v/>
      </c>
      <c r="IX100" s="55">
        <f>SUMIFS(tblBudget[Gold_Poured_oz],tblBudget[Month],"&lt;"&amp;$E100)+$IW100</f>
        <v/>
      </c>
      <c r="IY100" s="57">
        <f>SUMIFS(tblBudget[Hours_Worked],tblBudget[Month],$E100)</f>
        <v/>
      </c>
      <c r="IZ100" s="57">
        <f>$IY100*$C100/$D100</f>
        <v/>
      </c>
      <c r="JA100" s="57">
        <f>SUMIFS(tblBudget[Hours_Worked],tblBudget[Month],"&lt;"&amp;$E100)+$IZ100</f>
        <v/>
      </c>
    </row>
    <row r="101">
      <c r="A101" s="54" t="n">
        <v>46122</v>
      </c>
      <c r="B101">
        <f>MONTH($A101)</f>
        <v/>
      </c>
      <c r="C101">
        <f>DAY($A101)</f>
        <v/>
      </c>
      <c r="D101">
        <f>DAY(EOMONTH($A101,0))</f>
        <v/>
      </c>
      <c r="E101" s="54">
        <f>DATE(YEAR($A101),MONTH($A101),1)</f>
        <v/>
      </c>
      <c r="F101" s="55">
        <f>SUMIFS(tblMovement[Tonnes_t],tblMovement[Date],$A101,tblMovement[Is_Ore],1,tblMovement[Source_Type],"Pit")</f>
        <v/>
      </c>
      <c r="G101" s="55">
        <f>IF($B101=$B100,$G100,0)+$F101</f>
        <v/>
      </c>
      <c r="H101" s="55">
        <f>$H100+$F101</f>
        <v/>
      </c>
      <c r="I101" s="55">
        <f>SUMIFS(tblMovement[Ore_oz],tblMovement[Date],$A101,tblMovement[Source_Type],"Pit")</f>
        <v/>
      </c>
      <c r="J101" s="55">
        <f>IF($B101=$B100,$J100,0)+$I101</f>
        <v/>
      </c>
      <c r="K101" s="55">
        <f>$K100+$I101</f>
        <v/>
      </c>
      <c r="L101" s="56">
        <f>IFERROR(IF(($F101)&gt;0,($I101*cfg_TroyOz)/($F101),""),"")</f>
        <v/>
      </c>
      <c r="M101" s="56">
        <f>IFERROR(IF(($G101)&gt;0,($J101*cfg_TroyOz)/($G101),""),"")</f>
        <v/>
      </c>
      <c r="N101" s="56">
        <f>IFERROR(IF(($H101)&gt;0,($K101*cfg_TroyOz)/($H101),""),"")</f>
        <v/>
      </c>
      <c r="O101" s="55">
        <f>SUMIFS(tblMovement[Tonnes_t],tblMovement[Date],$A101,tblMovement[Is_Ore],0,tblMovement[Source_Type],"Pit")</f>
        <v/>
      </c>
      <c r="P101" s="55">
        <f>IF($B101=$B100,$P100,0)+$O101</f>
        <v/>
      </c>
      <c r="Q101" s="55">
        <f>$Q100+$O101</f>
        <v/>
      </c>
      <c r="R101" s="55">
        <f>$F101+$O101</f>
        <v/>
      </c>
      <c r="S101" s="55">
        <f>IF($B101=$B100,$S100,0)+$R101</f>
        <v/>
      </c>
      <c r="T101" s="55">
        <f>$T100+$R101</f>
        <v/>
      </c>
      <c r="U101" s="56">
        <f>IFERROR(IF(($F101)&gt;0,($O101)/($F101),""),"")</f>
        <v/>
      </c>
      <c r="V101" s="56">
        <f>IFERROR(IF(($G101)&gt;0,($P101)/($G101),""),"")</f>
        <v/>
      </c>
      <c r="W101" s="56">
        <f>IFERROR(IF(($H101)&gt;0,($Q101)/($H101),""),"")</f>
        <v/>
      </c>
      <c r="X101" s="55">
        <f>SUMIFS(tblMovement[Tonnes_t],tblMovement[Date],$A101,tblMovement[Source_Type],"Stockpile")</f>
        <v/>
      </c>
      <c r="Y101" s="55">
        <f>IF($B101=$B100,$Y100,0)+$X101</f>
        <v/>
      </c>
      <c r="Z101" s="55">
        <f>$Z100+$X101</f>
        <v/>
      </c>
      <c r="AA101" s="55">
        <f>SUMIFS(tblMiningDaily[Drill_m],tblMiningDaily[Date],$A101)</f>
        <v/>
      </c>
      <c r="AB101" s="55">
        <f>IF($B101=$B100,$AB100,0)+$AA101</f>
        <v/>
      </c>
      <c r="AC101" s="55">
        <f>$AC100+$AA101</f>
        <v/>
      </c>
      <c r="AD101" s="55">
        <f>SUMIFS(tblMiningDaily[Blast_t],tblMiningDaily[Date],$A101)</f>
        <v/>
      </c>
      <c r="AE101" s="55">
        <f>IF($B101=$B100,$AE100,0)+$AD101</f>
        <v/>
      </c>
      <c r="AF101" s="55">
        <f>$AF100+$AD101</f>
        <v/>
      </c>
      <c r="AG101" s="55">
        <f>SUMIFS(tblMiningDaily[Explosives_kg],tblMiningDaily[Date],$A101)</f>
        <v/>
      </c>
      <c r="AH101" s="55">
        <f>IF($B101=$B100,$AH100,0)+$AG101</f>
        <v/>
      </c>
      <c r="AI101" s="55">
        <f>$AI100+$AG101</f>
        <v/>
      </c>
      <c r="AJ101" s="56">
        <f>IFERROR(IF(($AD101)&gt;0,($AG101)/($AD101),""),"")</f>
        <v/>
      </c>
      <c r="AK101" s="56">
        <f>IFERROR(IF(($AE101)&gt;0,($AH101)/($AE101),""),"")</f>
        <v/>
      </c>
      <c r="AL101" s="56">
        <f>IFERROR(IF(($AF101)&gt;0,($AI101)/($AF101),""),"")</f>
        <v/>
      </c>
      <c r="AM101" s="55">
        <f>SUMIFS(tblMiningDaily[Diesel_L],tblMiningDaily[Date],$A101)</f>
        <v/>
      </c>
      <c r="AN101" s="55">
        <f>IF($B101=$B100,$AN100,0)+$AM101</f>
        <v/>
      </c>
      <c r="AO101" s="55">
        <f>$AO100+$AM101</f>
        <v/>
      </c>
      <c r="AP101" s="55">
        <f>SUMIFS(tblMiningDaily[Dewatering_m3],tblMiningDaily[Date],$A101)</f>
        <v/>
      </c>
      <c r="AQ101" s="55">
        <f>IF($B101=$B100,$AQ100,0)+$AP101</f>
        <v/>
      </c>
      <c r="AR101" s="55">
        <f>$AR100+$AP101</f>
        <v/>
      </c>
      <c r="AS101" s="57">
        <f>SUMIFS(tblFleet[Calendar_h],tblFleet[Date],$A101,tblFleet[Equipment_Class],"Excavator")</f>
        <v/>
      </c>
      <c r="AT101" s="57">
        <f>IF($B101=$B100,$AT100,0)+$AS101</f>
        <v/>
      </c>
      <c r="AU101" s="57">
        <f>$AU100+$AS101</f>
        <v/>
      </c>
      <c r="AV101" s="57">
        <f>SUMIFS(tblFleet[Available_h],tblFleet[Date],$A101,tblFleet[Equipment_Class],"Excavator")</f>
        <v/>
      </c>
      <c r="AW101" s="57">
        <f>IF($B101=$B100,$AW100,0)+$AV101</f>
        <v/>
      </c>
      <c r="AX101" s="57">
        <f>$AX100+$AV101</f>
        <v/>
      </c>
      <c r="AY101" s="57">
        <f>SUMIFS(tblFleet[Operating_h],tblFleet[Date],$A101,tblFleet[Equipment_Class],"Excavator")</f>
        <v/>
      </c>
      <c r="AZ101" s="57">
        <f>IF($B101=$B100,$AZ100,0)+$AY101</f>
        <v/>
      </c>
      <c r="BA101" s="57">
        <f>$BA100+$AY101</f>
        <v/>
      </c>
      <c r="BB101" s="67">
        <f>IFERROR(IF(($AS101)&gt;0,($AV101)/($AS101),""),"")</f>
        <v/>
      </c>
      <c r="BC101" s="67">
        <f>IFERROR(IF(($AT101)&gt;0,($AW101)/($AT101),""),"")</f>
        <v/>
      </c>
      <c r="BD101" s="67">
        <f>IFERROR(IF(($AU101)&gt;0,($AX101)/($AU101),""),"")</f>
        <v/>
      </c>
      <c r="BE101" s="67">
        <f>IFERROR(IF(($AV101)&gt;0,($AY101)/($AV101),""),"")</f>
        <v/>
      </c>
      <c r="BF101" s="67">
        <f>IFERROR(IF(($AW101)&gt;0,($AZ101)/($AW101),""),"")</f>
        <v/>
      </c>
      <c r="BG101" s="67">
        <f>IFERROR(IF(($AX101)&gt;0,($BA101)/($AX101),""),"")</f>
        <v/>
      </c>
      <c r="BH101" s="57">
        <f>SUMIFS(tblFleet[Calendar_h],tblFleet[Date],$A101,tblFleet[Equipment_Class],"Haul Truck")</f>
        <v/>
      </c>
      <c r="BI101" s="57">
        <f>IF($B101=$B100,$BI100,0)+$BH101</f>
        <v/>
      </c>
      <c r="BJ101" s="57">
        <f>$BJ100+$BH101</f>
        <v/>
      </c>
      <c r="BK101" s="57">
        <f>SUMIFS(tblFleet[Available_h],tblFleet[Date],$A101,tblFleet[Equipment_Class],"Haul Truck")</f>
        <v/>
      </c>
      <c r="BL101" s="57">
        <f>IF($B101=$B100,$BL100,0)+$BK101</f>
        <v/>
      </c>
      <c r="BM101" s="57">
        <f>$BM100+$BK101</f>
        <v/>
      </c>
      <c r="BN101" s="57">
        <f>SUMIFS(tblFleet[Operating_h],tblFleet[Date],$A101,tblFleet[Equipment_Class],"Haul Truck")</f>
        <v/>
      </c>
      <c r="BO101" s="57">
        <f>IF($B101=$B100,$BO100,0)+$BN101</f>
        <v/>
      </c>
      <c r="BP101" s="57">
        <f>$BP100+$BN101</f>
        <v/>
      </c>
      <c r="BQ101" s="67">
        <f>IFERROR(IF(($BH101)&gt;0,($BK101)/($BH101),""),"")</f>
        <v/>
      </c>
      <c r="BR101" s="67">
        <f>IFERROR(IF(($BI101)&gt;0,($BL101)/($BI101),""),"")</f>
        <v/>
      </c>
      <c r="BS101" s="67">
        <f>IFERROR(IF(($BJ101)&gt;0,($BM101)/($BJ101),""),"")</f>
        <v/>
      </c>
      <c r="BT101" s="67">
        <f>IFERROR(IF(($BK101)&gt;0,($BN101)/($BK101),""),"")</f>
        <v/>
      </c>
      <c r="BU101" s="67">
        <f>IFERROR(IF(($BL101)&gt;0,($BO101)/($BL101),""),"")</f>
        <v/>
      </c>
      <c r="BV101" s="67">
        <f>IFERROR(IF(($BM101)&gt;0,($BP101)/($BM101),""),"")</f>
        <v/>
      </c>
      <c r="BW101" s="55">
        <f>SUMIFS(tblPlant[Crushed_t],tblPlant[Date],$A101)</f>
        <v/>
      </c>
      <c r="BX101" s="55">
        <f>IF($B101=$B100,$BX100,0)+$BW101</f>
        <v/>
      </c>
      <c r="BY101" s="55">
        <f>$BY100+$BW101</f>
        <v/>
      </c>
      <c r="BZ101" s="55">
        <f>SUMIFS(tblPlant[Milled_t],tblPlant[Date],$A101)</f>
        <v/>
      </c>
      <c r="CA101" s="55">
        <f>IF($B101=$B100,$CA100,0)+$BZ101</f>
        <v/>
      </c>
      <c r="CB101" s="55">
        <f>$CB100+$BZ101</f>
        <v/>
      </c>
      <c r="CC101" s="55">
        <f>SUMIFS(tblPlant[Feed_oz],tblPlant[Date],$A101)</f>
        <v/>
      </c>
      <c r="CD101" s="55">
        <f>IF($B101=$B100,$CD100,0)+$CC101</f>
        <v/>
      </c>
      <c r="CE101" s="55">
        <f>$CE100+$CC101</f>
        <v/>
      </c>
      <c r="CF101" s="55">
        <f>SUMIFS(tblPlant[Tails_oz],tblPlant[Date],$A101)</f>
        <v/>
      </c>
      <c r="CG101" s="55">
        <f>IF($B101=$B100,$CG100,0)+$CF101</f>
        <v/>
      </c>
      <c r="CH101" s="55">
        <f>$CH100+$CF101</f>
        <v/>
      </c>
      <c r="CI101" s="55">
        <f>SUMIFS(tblPlant[Recovered_oz],tblPlant[Date],$A101)</f>
        <v/>
      </c>
      <c r="CJ101" s="55">
        <f>IF($B101=$B100,$CJ100,0)+$CI101</f>
        <v/>
      </c>
      <c r="CK101" s="55">
        <f>$CK100+$CI101</f>
        <v/>
      </c>
      <c r="CL101" s="56">
        <f>IFERROR(IF(($BZ101)&gt;0,($CC101*cfg_TroyOz)/($BZ101),""),"")</f>
        <v/>
      </c>
      <c r="CM101" s="56">
        <f>IFERROR(IF(($CA101)&gt;0,($CD101*cfg_TroyOz)/($CA101),""),"")</f>
        <v/>
      </c>
      <c r="CN101" s="56">
        <f>IFERROR(IF(($CB101)&gt;0,($CE101*cfg_TroyOz)/($CB101),""),"")</f>
        <v/>
      </c>
      <c r="CO101" s="56">
        <f>IFERROR(IF(($BZ101)&gt;0,($CF101*cfg_TroyOz)/($BZ101),""),"")</f>
        <v/>
      </c>
      <c r="CP101" s="56">
        <f>IFERROR(IF(($CA101)&gt;0,($CG101*cfg_TroyOz)/($CA101),""),"")</f>
        <v/>
      </c>
      <c r="CQ101" s="56">
        <f>IFERROR(IF(($CB101)&gt;0,($CH101*cfg_TroyOz)/($CB101),""),"")</f>
        <v/>
      </c>
      <c r="CR101" s="67">
        <f>IFERROR(IF(($CC101)&gt;0,($CI101)/($CC101),""),"")</f>
        <v/>
      </c>
      <c r="CS101" s="67">
        <f>IFERROR(IF(($CD101)&gt;0,($CJ101)/($CD101),""),"")</f>
        <v/>
      </c>
      <c r="CT101" s="67">
        <f>IFERROR(IF(($CE101)&gt;0,($CK101)/($CE101),""),"")</f>
        <v/>
      </c>
      <c r="CU101" s="55">
        <f>SUMIFS(tblPlant[Gravity_Gold_oz],tblPlant[Date],$A101)</f>
        <v/>
      </c>
      <c r="CV101" s="55">
        <f>IF($B101=$B100,$CV100,0)+$CU101</f>
        <v/>
      </c>
      <c r="CW101" s="55">
        <f>$CW100+$CU101</f>
        <v/>
      </c>
      <c r="CX101" s="55">
        <f>SUMIFS(tblPlant[Gold_Poured_oz],tblPlant[Date],$A101)</f>
        <v/>
      </c>
      <c r="CY101" s="55">
        <f>IF($B101=$B100,$CY100,0)+$CX101</f>
        <v/>
      </c>
      <c r="CZ101" s="55">
        <f>$CZ100+$CX101</f>
        <v/>
      </c>
      <c r="DA101" s="57">
        <f>SUMIFS(tblPlant[Mill_Run_h],tblPlant[Date],$A101)</f>
        <v/>
      </c>
      <c r="DB101" s="57">
        <f>IF($B101=$B100,$DB100,0)+$DA101</f>
        <v/>
      </c>
      <c r="DC101" s="57">
        <f>$DC100+$DA101</f>
        <v/>
      </c>
      <c r="DD101" s="57">
        <f>SUMIFS(tblPlant[Mill_Planned_Maint_h],tblPlant[Date],$A101)</f>
        <v/>
      </c>
      <c r="DE101" s="57">
        <f>IF($B101=$B100,$DE100,0)+$DD101</f>
        <v/>
      </c>
      <c r="DF101" s="57">
        <f>$DF100+$DD101</f>
        <v/>
      </c>
      <c r="DG101" s="57">
        <f>SUMIFS(tblPlant[Mill_Unplanned_Down_h],tblPlant[Date],$A101)</f>
        <v/>
      </c>
      <c r="DH101" s="57">
        <f>IF($B101=$B100,$DH100,0)+$DG101</f>
        <v/>
      </c>
      <c r="DI101" s="57">
        <f>$DI100+$DG101</f>
        <v/>
      </c>
      <c r="DJ101" s="57">
        <f>COUNTIFS(tblPlant[Date],$A101,tblPlant[Mill_Run_h],"&lt;&gt;")*24</f>
        <v/>
      </c>
      <c r="DK101" s="57">
        <f>IF($B101=$B100,$DK100,0)+$DJ101</f>
        <v/>
      </c>
      <c r="DL101" s="57">
        <f>$DL100+$DJ101</f>
        <v/>
      </c>
      <c r="DM101" s="57">
        <f>SUMIFS(tblPlant[Crusher_Run_h],tblPlant[Date],$A101)</f>
        <v/>
      </c>
      <c r="DN101" s="57">
        <f>IF($B101=$B100,$DN100,0)+$DM101</f>
        <v/>
      </c>
      <c r="DO101" s="57">
        <f>$DO100+$DM101</f>
        <v/>
      </c>
      <c r="DP101" s="55">
        <f>IFERROR(IF(($DA101)&gt;0,($BZ101)/($DA101),""),"")</f>
        <v/>
      </c>
      <c r="DQ101" s="55">
        <f>IFERROR(IF(($DB101)&gt;0,($CA101)/($DB101),""),"")</f>
        <v/>
      </c>
      <c r="DR101" s="55">
        <f>IFERROR(IF(($DC101)&gt;0,($CB101)/($DC101),""),"")</f>
        <v/>
      </c>
      <c r="DS101" s="67">
        <f>IFERROR(IF(($DJ101)&gt;0,($DJ101-$DD101-$DG101)/($DJ101),""),"")</f>
        <v/>
      </c>
      <c r="DT101" s="67">
        <f>IFERROR(IF(($DK101)&gt;0,($DK101-$DE101-$DH101)/($DK101),""),"")</f>
        <v/>
      </c>
      <c r="DU101" s="67">
        <f>IFERROR(IF(($DL101)&gt;0,($DL101-$DF101-$DI101)/($DL101),""),"")</f>
        <v/>
      </c>
      <c r="DV101" s="67">
        <f>IFERROR(IF(($DJ101-$DD101-$DG101)&gt;0,($DA101)/($DJ101-$DD101-$DG101),""),"")</f>
        <v/>
      </c>
      <c r="DW101" s="67">
        <f>IFERROR(IF(($DK101-$DE101-$DH101)&gt;0,($DB101)/($DK101-$DE101-$DH101),""),"")</f>
        <v/>
      </c>
      <c r="DX101" s="67">
        <f>IFERROR(IF(($DL101-$DF101-$DI101)&gt;0,($DC101)/($DL101-$DF101-$DI101),""),"")</f>
        <v/>
      </c>
      <c r="DY101" s="55">
        <f>SUMIFS(tblPlant[Cyanide_kg],tblPlant[Date],$A101)</f>
        <v/>
      </c>
      <c r="DZ101" s="55">
        <f>IF($B101=$B100,$DZ100,0)+$DY101</f>
        <v/>
      </c>
      <c r="EA101" s="55">
        <f>$EA100+$DY101</f>
        <v/>
      </c>
      <c r="EB101" s="55">
        <f>SUMIFS(tblPlant[Lime_kg],tblPlant[Date],$A101)</f>
        <v/>
      </c>
      <c r="EC101" s="55">
        <f>IF($B101=$B100,$EC100,0)+$EB101</f>
        <v/>
      </c>
      <c r="ED101" s="55">
        <f>$ED100+$EB101</f>
        <v/>
      </c>
      <c r="EE101" s="55">
        <f>SUMIFS(tblPlant[Grinding_Media_kg],tblPlant[Date],$A101)</f>
        <v/>
      </c>
      <c r="EF101" s="55">
        <f>IF($B101=$B100,$EF100,0)+$EE101</f>
        <v/>
      </c>
      <c r="EG101" s="55">
        <f>$EG100+$EE101</f>
        <v/>
      </c>
      <c r="EH101" s="55">
        <f>SUMIFS(tblPlant[Power_kWh],tblPlant[Date],$A101)</f>
        <v/>
      </c>
      <c r="EI101" s="55">
        <f>IF($B101=$B100,$EI100,0)+$EH101</f>
        <v/>
      </c>
      <c r="EJ101" s="55">
        <f>$EJ100+$EH101</f>
        <v/>
      </c>
      <c r="EK101" s="55">
        <f>SUMIFS(tblPlant[Raw_Water_m3],tblPlant[Date],$A101)</f>
        <v/>
      </c>
      <c r="EL101" s="55">
        <f>IF($B101=$B100,$EL100,0)+$EK101</f>
        <v/>
      </c>
      <c r="EM101" s="55">
        <f>$EM100+$EK101</f>
        <v/>
      </c>
      <c r="EN101" s="56">
        <f>IFERROR(IF(($BZ101)&gt;0,($DY101)/($BZ101),""),"")</f>
        <v/>
      </c>
      <c r="EO101" s="56">
        <f>IFERROR(IF(($CA101)&gt;0,($DZ101)/($CA101),""),"")</f>
        <v/>
      </c>
      <c r="EP101" s="56">
        <f>IFERROR(IF(($CB101)&gt;0,($EA101)/($CB101),""),"")</f>
        <v/>
      </c>
      <c r="EQ101" s="56">
        <f>IFERROR(IF(($BZ101)&gt;0,($EB101)/($BZ101),""),"")</f>
        <v/>
      </c>
      <c r="ER101" s="56">
        <f>IFERROR(IF(($CA101)&gt;0,($EC101)/($CA101),""),"")</f>
        <v/>
      </c>
      <c r="ES101" s="56">
        <f>IFERROR(IF(($CB101)&gt;0,($ED101)/($CB101),""),"")</f>
        <v/>
      </c>
      <c r="ET101" s="56">
        <f>IFERROR(IF(($BZ101)&gt;0,($EE101)/($BZ101),""),"")</f>
        <v/>
      </c>
      <c r="EU101" s="56">
        <f>IFERROR(IF(($CA101)&gt;0,($EF101)/($CA101),""),"")</f>
        <v/>
      </c>
      <c r="EV101" s="56">
        <f>IFERROR(IF(($CB101)&gt;0,($EG101)/($CB101),""),"")</f>
        <v/>
      </c>
      <c r="EW101" s="76">
        <f>IFERROR(IF(($BZ101)&gt;0,($EH101)/($BZ101),""),"")</f>
        <v/>
      </c>
      <c r="EX101" s="76">
        <f>IFERROR(IF(($CA101)&gt;0,($EI101)/($CA101),""),"")</f>
        <v/>
      </c>
      <c r="EY101" s="76">
        <f>IFERROR(IF(($CB101)&gt;0,($EJ101)/($CB101),""),"")</f>
        <v/>
      </c>
      <c r="EZ101" s="56">
        <f>IFERROR(IF(($BZ101)&gt;0,($EK101)/($BZ101),""),"")</f>
        <v/>
      </c>
      <c r="FA101" s="56">
        <f>IFERROR(IF(($CA101)&gt;0,($EL101)/($CA101),""),"")</f>
        <v/>
      </c>
      <c r="FB101" s="56">
        <f>IFERROR(IF(($CB101)&gt;0,($EM101)/($CB101),""),"")</f>
        <v/>
      </c>
      <c r="FC101" s="55">
        <f>IF(SUMIFS(tblPlant[GIC_oz],tblPlant[Date],$A101)&gt;0,SUMIFS(tblPlant[GIC_oz],tblPlant[Date],$A101),"")</f>
        <v/>
      </c>
      <c r="FD101" s="55">
        <f>SUMIFS(tblGold[Gold_oz],tblGold[Date],$A101,tblGold[Type],"Shipment")</f>
        <v/>
      </c>
      <c r="FE101" s="55">
        <f>IF($B101=$B100,$FE100,0)+$FD101</f>
        <v/>
      </c>
      <c r="FF101" s="55">
        <f>$FF100+$FD101</f>
        <v/>
      </c>
      <c r="FG101" s="55">
        <f>SUMIFS(tblGold[Gold_oz],tblGold[Date],$A101,tblGold[Type],"Sale")</f>
        <v/>
      </c>
      <c r="FH101" s="55">
        <f>IF($B101=$B100,$FH100,0)+$FG101</f>
        <v/>
      </c>
      <c r="FI101" s="55">
        <f>$FI100+$FG101</f>
        <v/>
      </c>
      <c r="FJ101" s="55">
        <f>SUMIFS(tblGold[Dore_kg],tblGold[Date],$A101,tblGold[Type],"Shipment")</f>
        <v/>
      </c>
      <c r="FK101" s="55">
        <f>IF($B101=$B100,$FK100,0)+$FJ101</f>
        <v/>
      </c>
      <c r="FL101" s="55">
        <f>$FL100+$FJ101</f>
        <v/>
      </c>
      <c r="FM101" s="57">
        <f>SUMIFS(tblSafety[Hours_Total],tblSafety[Date],$A101)</f>
        <v/>
      </c>
      <c r="FN101" s="57">
        <f>IF($B101=$B100,$FN100,0)+$FM101</f>
        <v/>
      </c>
      <c r="FO101" s="57">
        <f>$FO100+$FM101</f>
        <v/>
      </c>
      <c r="FP101" s="62">
        <f>SUMIFS(tblSafety[Fatality],tblSafety[Date],$A101)</f>
        <v/>
      </c>
      <c r="FQ101" s="62">
        <f>IF($B101=$B100,$FQ100,0)+$FP101</f>
        <v/>
      </c>
      <c r="FR101" s="62">
        <f>$FR100+$FP101</f>
        <v/>
      </c>
      <c r="FS101" s="62">
        <f>SUMIFS(tblSafety[LTI],tblSafety[Date],$A101)</f>
        <v/>
      </c>
      <c r="FT101" s="62">
        <f>IF($B101=$B100,$FT100,0)+$FS101</f>
        <v/>
      </c>
      <c r="FU101" s="62">
        <f>$FU100+$FS101</f>
        <v/>
      </c>
      <c r="FV101" s="62">
        <f>SUMIFS(tblSafety[RWI],tblSafety[Date],$A101)</f>
        <v/>
      </c>
      <c r="FW101" s="62">
        <f>IF($B101=$B100,$FW100,0)+$FV101</f>
        <v/>
      </c>
      <c r="FX101" s="62">
        <f>$FX100+$FV101</f>
        <v/>
      </c>
      <c r="FY101" s="62">
        <f>SUMIFS(tblSafety[MTI],tblSafety[Date],$A101)</f>
        <v/>
      </c>
      <c r="FZ101" s="62">
        <f>IF($B101=$B100,$FZ100,0)+$FY101</f>
        <v/>
      </c>
      <c r="GA101" s="62">
        <f>$GA100+$FY101</f>
        <v/>
      </c>
      <c r="GB101" s="62">
        <f>SUMIFS(tblSafety[FAI],tblSafety[Date],$A101)</f>
        <v/>
      </c>
      <c r="GC101" s="62">
        <f>IF($B101=$B100,$GC100,0)+$GB101</f>
        <v/>
      </c>
      <c r="GD101" s="62">
        <f>$GD100+$GB101</f>
        <v/>
      </c>
      <c r="GE101" s="62">
        <f>SUMIFS(tblSafety[Recordables],tblSafety[Date],$A101)</f>
        <v/>
      </c>
      <c r="GF101" s="62">
        <f>IF($B101=$B100,$GF100,0)+$GE101</f>
        <v/>
      </c>
      <c r="GG101" s="62">
        <f>$GG100+$GE101</f>
        <v/>
      </c>
      <c r="GH101" s="62">
        <f>SUMIFS(tblSafety[Near_Miss],tblSafety[Date],$A101)</f>
        <v/>
      </c>
      <c r="GI101" s="62">
        <f>IF($B101=$B100,$GI100,0)+$GH101</f>
        <v/>
      </c>
      <c r="GJ101" s="62">
        <f>$GJ100+$GH101</f>
        <v/>
      </c>
      <c r="GK101" s="62">
        <f>SUMIFS(tblSafety[Hazard_Reports],tblSafety[Date],$A101)</f>
        <v/>
      </c>
      <c r="GL101" s="62">
        <f>IF($B101=$B100,$GL100,0)+$GK101</f>
        <v/>
      </c>
      <c r="GM101" s="62">
        <f>$GM100+$GK101</f>
        <v/>
      </c>
      <c r="GN101" s="62">
        <f>SUMIFS(tblSafety[HPI],tblSafety[Date],$A101)</f>
        <v/>
      </c>
      <c r="GO101" s="62">
        <f>IF($B101=$B100,$GO100,0)+$GN101</f>
        <v/>
      </c>
      <c r="GP101" s="62">
        <f>$GP100+$GN101</f>
        <v/>
      </c>
      <c r="GQ101" s="62">
        <f>SUMIFS(tblSafety[Env_Incidents],tblSafety[Date],$A101)</f>
        <v/>
      </c>
      <c r="GR101" s="62">
        <f>IF($B101=$B100,$GR100,0)+$GQ101</f>
        <v/>
      </c>
      <c r="GS101" s="62">
        <f>$GS100+$GQ101</f>
        <v/>
      </c>
      <c r="GT101" s="62">
        <f>SUMIFS(tblSafety[Community_Incidents],tblSafety[Date],$A101)</f>
        <v/>
      </c>
      <c r="GU101" s="62">
        <f>IF($B101=$B100,$GU100,0)+$GT101</f>
        <v/>
      </c>
      <c r="GV101" s="62">
        <f>$GV100+$GT101</f>
        <v/>
      </c>
      <c r="GW101" s="62">
        <f>SUMIFS(tblSafety[Vehicle_Incidents],tblSafety[Date],$A101)</f>
        <v/>
      </c>
      <c r="GX101" s="62">
        <f>IF($B101=$B100,$GX100,0)+$GW101</f>
        <v/>
      </c>
      <c r="GY101" s="62">
        <f>$GY100+$GW101</f>
        <v/>
      </c>
      <c r="GZ101" s="62">
        <f>SUMIFS(tblSafety[Toolbox_Talks],tblSafety[Date],$A101)</f>
        <v/>
      </c>
      <c r="HA101" s="62">
        <f>IF($B101=$B100,$HA100,0)+$GZ101</f>
        <v/>
      </c>
      <c r="HB101" s="62">
        <f>$HB100+$GZ101</f>
        <v/>
      </c>
      <c r="HC101" s="62">
        <f>SUMIFS(tblSafety[Inspections],tblSafety[Date],$A101)</f>
        <v/>
      </c>
      <c r="HD101" s="62">
        <f>IF($B101=$B100,$HD100,0)+$HC101</f>
        <v/>
      </c>
      <c r="HE101" s="62">
        <f>$HE100+$HC101</f>
        <v/>
      </c>
      <c r="HF101" s="56">
        <f>IFERROR((SUMIFS(tblSafety[Recordables],tblSafety[Date],"&gt;="&amp;EDATE($E101,-12),tblSafety[Date],"&lt;="&amp;$A101)+SUMIFS(tblSafetyHistory[Recordables],tblSafetyHistory[Month],"&gt;="&amp;EDATE($E101,-12),tblSafetyHistory[Month],"&lt;"&amp;cfg_YearStart))/(SUMIFS(tblSafety[Hours_Total],tblSafety[Date],"&gt;="&amp;EDATE($E101,-12),tblSafety[Date],"&lt;="&amp;$A101)+SUMIFS(tblSafetyHistory[Hours_Total],tblSafetyHistory[Month],"&gt;="&amp;EDATE($E101,-12),tblSafetyHistory[Month],"&lt;"&amp;cfg_YearStart))*1000000,"")</f>
        <v/>
      </c>
      <c r="HG101" s="56">
        <f>IFERROR((SUMIFS(tblSafety[LTI],tblSafety[Date],"&gt;="&amp;EDATE($E101,-12),tblSafety[Date],"&lt;="&amp;$A101)+SUMIFS(tblSafetyHistory[LTI],tblSafetyHistory[Month],"&gt;="&amp;EDATE($E101,-12),tblSafetyHistory[Month],"&lt;"&amp;cfg_YearStart))/(SUMIFS(tblSafety[Hours_Total],tblSafety[Date],"&gt;="&amp;EDATE($E101,-12),tblSafety[Date],"&lt;="&amp;$A101)+SUMIFS(tblSafetyHistory[Hours_Total],tblSafetyHistory[Month],"&gt;="&amp;EDATE($E101,-12),tblSafetyHistory[Month],"&lt;"&amp;cfg_YearStart))*1000000,"")</f>
        <v/>
      </c>
      <c r="HH101" s="62">
        <f>IF(MAX(N(cfg_PriorLTIDate),_xlfn.MAXIFS(tblSafety[Date],tblSafety[LTI],"&gt;0",tblSafety[Date],"&lt;="&amp;$A101))=0,"",$A101-MAX(N(cfg_PriorLTIDate),_xlfn.MAXIFS(tblSafety[Date],tblSafety[LTI],"&gt;0",tblSafety[Date],"&lt;="&amp;$A101)))</f>
        <v/>
      </c>
      <c r="HI101" s="55">
        <f>SUMIFS(tblBudget[Ore_Mined_t],tblBudget[Month],$E101)</f>
        <v/>
      </c>
      <c r="HJ101" s="55">
        <f>$HI101*$C101/$D101</f>
        <v/>
      </c>
      <c r="HK101" s="55">
        <f>SUMIFS(tblBudget[Ore_Mined_t],tblBudget[Month],"&lt;"&amp;$E101)+$HJ101</f>
        <v/>
      </c>
      <c r="HL101" s="55">
        <f>SUMIFS(tblBudget[Ore_oz],tblBudget[Month],$E101)</f>
        <v/>
      </c>
      <c r="HM101" s="55">
        <f>$HL101*$C101/$D101</f>
        <v/>
      </c>
      <c r="HN101" s="55">
        <f>SUMIFS(tblBudget[Ore_oz],tblBudget[Month],"&lt;"&amp;$E101)+$HM101</f>
        <v/>
      </c>
      <c r="HO101" s="56">
        <f>IFERROR(IF(($HI101)&gt;0,($HL101*cfg_TroyOz)/($HI101),""),"")</f>
        <v/>
      </c>
      <c r="HP101" s="56">
        <f>IFERROR(IF(($HJ101)&gt;0,($HM101*cfg_TroyOz)/($HJ101),""),"")</f>
        <v/>
      </c>
      <c r="HQ101" s="56">
        <f>IFERROR(IF(($HK101)&gt;0,($HN101*cfg_TroyOz)/($HK101),""),"")</f>
        <v/>
      </c>
      <c r="HR101" s="55">
        <f>SUMIFS(tblBudget[Waste_t],tblBudget[Month],$E101)</f>
        <v/>
      </c>
      <c r="HS101" s="55">
        <f>$HR101*$C101/$D101</f>
        <v/>
      </c>
      <c r="HT101" s="55">
        <f>SUMIFS(tblBudget[Waste_t],tblBudget[Month],"&lt;"&amp;$E101)+$HS101</f>
        <v/>
      </c>
      <c r="HU101" s="55">
        <f>SUMIFS(tblBudget[TMM_t],tblBudget[Month],$E101)</f>
        <v/>
      </c>
      <c r="HV101" s="55">
        <f>$HU101*$C101/$D101</f>
        <v/>
      </c>
      <c r="HW101" s="55">
        <f>SUMIFS(tblBudget[TMM_t],tblBudget[Month],"&lt;"&amp;$E101)+$HV101</f>
        <v/>
      </c>
      <c r="HX101" s="56">
        <f>IFERROR(IF(($HI101)&gt;0,($HR101)/($HI101),""),"")</f>
        <v/>
      </c>
      <c r="HY101" s="56">
        <f>IFERROR(IF(($HJ101)&gt;0,($HS101)/($HJ101),""),"")</f>
        <v/>
      </c>
      <c r="HZ101" s="56">
        <f>IFERROR(IF(($HK101)&gt;0,($HT101)/($HK101),""),"")</f>
        <v/>
      </c>
      <c r="IA101" s="55">
        <f>SUMIFS(tblBudget[Drill_m],tblBudget[Month],$E101)</f>
        <v/>
      </c>
      <c r="IB101" s="55">
        <f>$IA101*$C101/$D101</f>
        <v/>
      </c>
      <c r="IC101" s="55">
        <f>SUMIFS(tblBudget[Drill_m],tblBudget[Month],"&lt;"&amp;$E101)+$IB101</f>
        <v/>
      </c>
      <c r="ID101" s="55">
        <f>SUMIFS(tblBudget[Diesel_L],tblBudget[Month],$E101)</f>
        <v/>
      </c>
      <c r="IE101" s="55">
        <f>$ID101*$C101/$D101</f>
        <v/>
      </c>
      <c r="IF101" s="55">
        <f>SUMIFS(tblBudget[Diesel_L],tblBudget[Month],"&lt;"&amp;$E101)+$IE101</f>
        <v/>
      </c>
      <c r="IG101" s="55">
        <f>SUMIFS(tblBudget[Milled_t],tblBudget[Month],$E101)</f>
        <v/>
      </c>
      <c r="IH101" s="55">
        <f>$IG101*$C101/$D101</f>
        <v/>
      </c>
      <c r="II101" s="55">
        <f>SUMIFS(tblBudget[Milled_t],tblBudget[Month],"&lt;"&amp;$E101)+$IH101</f>
        <v/>
      </c>
      <c r="IJ101" s="55">
        <f>SUMIFS(tblBudget[Feed_oz],tblBudget[Month],$E101)</f>
        <v/>
      </c>
      <c r="IK101" s="55">
        <f>$IJ101*$C101/$D101</f>
        <v/>
      </c>
      <c r="IL101" s="55">
        <f>SUMIFS(tblBudget[Feed_oz],tblBudget[Month],"&lt;"&amp;$E101)+$IK101</f>
        <v/>
      </c>
      <c r="IM101" s="55">
        <f>SUMIFS(tblBudget[Recovered_oz],tblBudget[Month],$E101)</f>
        <v/>
      </c>
      <c r="IN101" s="55">
        <f>$IM101*$C101/$D101</f>
        <v/>
      </c>
      <c r="IO101" s="55">
        <f>SUMIFS(tblBudget[Recovered_oz],tblBudget[Month],"&lt;"&amp;$E101)+$IN101</f>
        <v/>
      </c>
      <c r="IP101" s="56">
        <f>IFERROR(IF(($IG101)&gt;0,($IJ101*cfg_TroyOz)/($IG101),""),"")</f>
        <v/>
      </c>
      <c r="IQ101" s="56">
        <f>IFERROR(IF(($IH101)&gt;0,($IK101*cfg_TroyOz)/($IH101),""),"")</f>
        <v/>
      </c>
      <c r="IR101" s="56">
        <f>IFERROR(IF(($II101)&gt;0,($IL101*cfg_TroyOz)/($II101),""),"")</f>
        <v/>
      </c>
      <c r="IS101" s="67">
        <f>IFERROR(IF(($IJ101)&gt;0,($IM101)/($IJ101),""),"")</f>
        <v/>
      </c>
      <c r="IT101" s="67">
        <f>IFERROR(IF(($IK101)&gt;0,($IN101)/($IK101),""),"")</f>
        <v/>
      </c>
      <c r="IU101" s="67">
        <f>IFERROR(IF(($IL101)&gt;0,($IO101)/($IL101),""),"")</f>
        <v/>
      </c>
      <c r="IV101" s="55">
        <f>SUMIFS(tblBudget[Gold_Poured_oz],tblBudget[Month],$E101)</f>
        <v/>
      </c>
      <c r="IW101" s="55">
        <f>$IV101*$C101/$D101</f>
        <v/>
      </c>
      <c r="IX101" s="55">
        <f>SUMIFS(tblBudget[Gold_Poured_oz],tblBudget[Month],"&lt;"&amp;$E101)+$IW101</f>
        <v/>
      </c>
      <c r="IY101" s="57">
        <f>SUMIFS(tblBudget[Hours_Worked],tblBudget[Month],$E101)</f>
        <v/>
      </c>
      <c r="IZ101" s="57">
        <f>$IY101*$C101/$D101</f>
        <v/>
      </c>
      <c r="JA101" s="57">
        <f>SUMIFS(tblBudget[Hours_Worked],tblBudget[Month],"&lt;"&amp;$E101)+$IZ101</f>
        <v/>
      </c>
    </row>
    <row r="102">
      <c r="A102" s="54" t="n">
        <v>46123</v>
      </c>
      <c r="B102">
        <f>MONTH($A102)</f>
        <v/>
      </c>
      <c r="C102">
        <f>DAY($A102)</f>
        <v/>
      </c>
      <c r="D102">
        <f>DAY(EOMONTH($A102,0))</f>
        <v/>
      </c>
      <c r="E102" s="54">
        <f>DATE(YEAR($A102),MONTH($A102),1)</f>
        <v/>
      </c>
      <c r="F102" s="55">
        <f>SUMIFS(tblMovement[Tonnes_t],tblMovement[Date],$A102,tblMovement[Is_Ore],1,tblMovement[Source_Type],"Pit")</f>
        <v/>
      </c>
      <c r="G102" s="55">
        <f>IF($B102=$B101,$G101,0)+$F102</f>
        <v/>
      </c>
      <c r="H102" s="55">
        <f>$H101+$F102</f>
        <v/>
      </c>
      <c r="I102" s="55">
        <f>SUMIFS(tblMovement[Ore_oz],tblMovement[Date],$A102,tblMovement[Source_Type],"Pit")</f>
        <v/>
      </c>
      <c r="J102" s="55">
        <f>IF($B102=$B101,$J101,0)+$I102</f>
        <v/>
      </c>
      <c r="K102" s="55">
        <f>$K101+$I102</f>
        <v/>
      </c>
      <c r="L102" s="56">
        <f>IFERROR(IF(($F102)&gt;0,($I102*cfg_TroyOz)/($F102),""),"")</f>
        <v/>
      </c>
      <c r="M102" s="56">
        <f>IFERROR(IF(($G102)&gt;0,($J102*cfg_TroyOz)/($G102),""),"")</f>
        <v/>
      </c>
      <c r="N102" s="56">
        <f>IFERROR(IF(($H102)&gt;0,($K102*cfg_TroyOz)/($H102),""),"")</f>
        <v/>
      </c>
      <c r="O102" s="55">
        <f>SUMIFS(tblMovement[Tonnes_t],tblMovement[Date],$A102,tblMovement[Is_Ore],0,tblMovement[Source_Type],"Pit")</f>
        <v/>
      </c>
      <c r="P102" s="55">
        <f>IF($B102=$B101,$P101,0)+$O102</f>
        <v/>
      </c>
      <c r="Q102" s="55">
        <f>$Q101+$O102</f>
        <v/>
      </c>
      <c r="R102" s="55">
        <f>$F102+$O102</f>
        <v/>
      </c>
      <c r="S102" s="55">
        <f>IF($B102=$B101,$S101,0)+$R102</f>
        <v/>
      </c>
      <c r="T102" s="55">
        <f>$T101+$R102</f>
        <v/>
      </c>
      <c r="U102" s="56">
        <f>IFERROR(IF(($F102)&gt;0,($O102)/($F102),""),"")</f>
        <v/>
      </c>
      <c r="V102" s="56">
        <f>IFERROR(IF(($G102)&gt;0,($P102)/($G102),""),"")</f>
        <v/>
      </c>
      <c r="W102" s="56">
        <f>IFERROR(IF(($H102)&gt;0,($Q102)/($H102),""),"")</f>
        <v/>
      </c>
      <c r="X102" s="55">
        <f>SUMIFS(tblMovement[Tonnes_t],tblMovement[Date],$A102,tblMovement[Source_Type],"Stockpile")</f>
        <v/>
      </c>
      <c r="Y102" s="55">
        <f>IF($B102=$B101,$Y101,0)+$X102</f>
        <v/>
      </c>
      <c r="Z102" s="55">
        <f>$Z101+$X102</f>
        <v/>
      </c>
      <c r="AA102" s="55">
        <f>SUMIFS(tblMiningDaily[Drill_m],tblMiningDaily[Date],$A102)</f>
        <v/>
      </c>
      <c r="AB102" s="55">
        <f>IF($B102=$B101,$AB101,0)+$AA102</f>
        <v/>
      </c>
      <c r="AC102" s="55">
        <f>$AC101+$AA102</f>
        <v/>
      </c>
      <c r="AD102" s="55">
        <f>SUMIFS(tblMiningDaily[Blast_t],tblMiningDaily[Date],$A102)</f>
        <v/>
      </c>
      <c r="AE102" s="55">
        <f>IF($B102=$B101,$AE101,0)+$AD102</f>
        <v/>
      </c>
      <c r="AF102" s="55">
        <f>$AF101+$AD102</f>
        <v/>
      </c>
      <c r="AG102" s="55">
        <f>SUMIFS(tblMiningDaily[Explosives_kg],tblMiningDaily[Date],$A102)</f>
        <v/>
      </c>
      <c r="AH102" s="55">
        <f>IF($B102=$B101,$AH101,0)+$AG102</f>
        <v/>
      </c>
      <c r="AI102" s="55">
        <f>$AI101+$AG102</f>
        <v/>
      </c>
      <c r="AJ102" s="56">
        <f>IFERROR(IF(($AD102)&gt;0,($AG102)/($AD102),""),"")</f>
        <v/>
      </c>
      <c r="AK102" s="56">
        <f>IFERROR(IF(($AE102)&gt;0,($AH102)/($AE102),""),"")</f>
        <v/>
      </c>
      <c r="AL102" s="56">
        <f>IFERROR(IF(($AF102)&gt;0,($AI102)/($AF102),""),"")</f>
        <v/>
      </c>
      <c r="AM102" s="55">
        <f>SUMIFS(tblMiningDaily[Diesel_L],tblMiningDaily[Date],$A102)</f>
        <v/>
      </c>
      <c r="AN102" s="55">
        <f>IF($B102=$B101,$AN101,0)+$AM102</f>
        <v/>
      </c>
      <c r="AO102" s="55">
        <f>$AO101+$AM102</f>
        <v/>
      </c>
      <c r="AP102" s="55">
        <f>SUMIFS(tblMiningDaily[Dewatering_m3],tblMiningDaily[Date],$A102)</f>
        <v/>
      </c>
      <c r="AQ102" s="55">
        <f>IF($B102=$B101,$AQ101,0)+$AP102</f>
        <v/>
      </c>
      <c r="AR102" s="55">
        <f>$AR101+$AP102</f>
        <v/>
      </c>
      <c r="AS102" s="57">
        <f>SUMIFS(tblFleet[Calendar_h],tblFleet[Date],$A102,tblFleet[Equipment_Class],"Excavator")</f>
        <v/>
      </c>
      <c r="AT102" s="57">
        <f>IF($B102=$B101,$AT101,0)+$AS102</f>
        <v/>
      </c>
      <c r="AU102" s="57">
        <f>$AU101+$AS102</f>
        <v/>
      </c>
      <c r="AV102" s="57">
        <f>SUMIFS(tblFleet[Available_h],tblFleet[Date],$A102,tblFleet[Equipment_Class],"Excavator")</f>
        <v/>
      </c>
      <c r="AW102" s="57">
        <f>IF($B102=$B101,$AW101,0)+$AV102</f>
        <v/>
      </c>
      <c r="AX102" s="57">
        <f>$AX101+$AV102</f>
        <v/>
      </c>
      <c r="AY102" s="57">
        <f>SUMIFS(tblFleet[Operating_h],tblFleet[Date],$A102,tblFleet[Equipment_Class],"Excavator")</f>
        <v/>
      </c>
      <c r="AZ102" s="57">
        <f>IF($B102=$B101,$AZ101,0)+$AY102</f>
        <v/>
      </c>
      <c r="BA102" s="57">
        <f>$BA101+$AY102</f>
        <v/>
      </c>
      <c r="BB102" s="67">
        <f>IFERROR(IF(($AS102)&gt;0,($AV102)/($AS102),""),"")</f>
        <v/>
      </c>
      <c r="BC102" s="67">
        <f>IFERROR(IF(($AT102)&gt;0,($AW102)/($AT102),""),"")</f>
        <v/>
      </c>
      <c r="BD102" s="67">
        <f>IFERROR(IF(($AU102)&gt;0,($AX102)/($AU102),""),"")</f>
        <v/>
      </c>
      <c r="BE102" s="67">
        <f>IFERROR(IF(($AV102)&gt;0,($AY102)/($AV102),""),"")</f>
        <v/>
      </c>
      <c r="BF102" s="67">
        <f>IFERROR(IF(($AW102)&gt;0,($AZ102)/($AW102),""),"")</f>
        <v/>
      </c>
      <c r="BG102" s="67">
        <f>IFERROR(IF(($AX102)&gt;0,($BA102)/($AX102),""),"")</f>
        <v/>
      </c>
      <c r="BH102" s="57">
        <f>SUMIFS(tblFleet[Calendar_h],tblFleet[Date],$A102,tblFleet[Equipment_Class],"Haul Truck")</f>
        <v/>
      </c>
      <c r="BI102" s="57">
        <f>IF($B102=$B101,$BI101,0)+$BH102</f>
        <v/>
      </c>
      <c r="BJ102" s="57">
        <f>$BJ101+$BH102</f>
        <v/>
      </c>
      <c r="BK102" s="57">
        <f>SUMIFS(tblFleet[Available_h],tblFleet[Date],$A102,tblFleet[Equipment_Class],"Haul Truck")</f>
        <v/>
      </c>
      <c r="BL102" s="57">
        <f>IF($B102=$B101,$BL101,0)+$BK102</f>
        <v/>
      </c>
      <c r="BM102" s="57">
        <f>$BM101+$BK102</f>
        <v/>
      </c>
      <c r="BN102" s="57">
        <f>SUMIFS(tblFleet[Operating_h],tblFleet[Date],$A102,tblFleet[Equipment_Class],"Haul Truck")</f>
        <v/>
      </c>
      <c r="BO102" s="57">
        <f>IF($B102=$B101,$BO101,0)+$BN102</f>
        <v/>
      </c>
      <c r="BP102" s="57">
        <f>$BP101+$BN102</f>
        <v/>
      </c>
      <c r="BQ102" s="67">
        <f>IFERROR(IF(($BH102)&gt;0,($BK102)/($BH102),""),"")</f>
        <v/>
      </c>
      <c r="BR102" s="67">
        <f>IFERROR(IF(($BI102)&gt;0,($BL102)/($BI102),""),"")</f>
        <v/>
      </c>
      <c r="BS102" s="67">
        <f>IFERROR(IF(($BJ102)&gt;0,($BM102)/($BJ102),""),"")</f>
        <v/>
      </c>
      <c r="BT102" s="67">
        <f>IFERROR(IF(($BK102)&gt;0,($BN102)/($BK102),""),"")</f>
        <v/>
      </c>
      <c r="BU102" s="67">
        <f>IFERROR(IF(($BL102)&gt;0,($BO102)/($BL102),""),"")</f>
        <v/>
      </c>
      <c r="BV102" s="67">
        <f>IFERROR(IF(($BM102)&gt;0,($BP102)/($BM102),""),"")</f>
        <v/>
      </c>
      <c r="BW102" s="55">
        <f>SUMIFS(tblPlant[Crushed_t],tblPlant[Date],$A102)</f>
        <v/>
      </c>
      <c r="BX102" s="55">
        <f>IF($B102=$B101,$BX101,0)+$BW102</f>
        <v/>
      </c>
      <c r="BY102" s="55">
        <f>$BY101+$BW102</f>
        <v/>
      </c>
      <c r="BZ102" s="55">
        <f>SUMIFS(tblPlant[Milled_t],tblPlant[Date],$A102)</f>
        <v/>
      </c>
      <c r="CA102" s="55">
        <f>IF($B102=$B101,$CA101,0)+$BZ102</f>
        <v/>
      </c>
      <c r="CB102" s="55">
        <f>$CB101+$BZ102</f>
        <v/>
      </c>
      <c r="CC102" s="55">
        <f>SUMIFS(tblPlant[Feed_oz],tblPlant[Date],$A102)</f>
        <v/>
      </c>
      <c r="CD102" s="55">
        <f>IF($B102=$B101,$CD101,0)+$CC102</f>
        <v/>
      </c>
      <c r="CE102" s="55">
        <f>$CE101+$CC102</f>
        <v/>
      </c>
      <c r="CF102" s="55">
        <f>SUMIFS(tblPlant[Tails_oz],tblPlant[Date],$A102)</f>
        <v/>
      </c>
      <c r="CG102" s="55">
        <f>IF($B102=$B101,$CG101,0)+$CF102</f>
        <v/>
      </c>
      <c r="CH102" s="55">
        <f>$CH101+$CF102</f>
        <v/>
      </c>
      <c r="CI102" s="55">
        <f>SUMIFS(tblPlant[Recovered_oz],tblPlant[Date],$A102)</f>
        <v/>
      </c>
      <c r="CJ102" s="55">
        <f>IF($B102=$B101,$CJ101,0)+$CI102</f>
        <v/>
      </c>
      <c r="CK102" s="55">
        <f>$CK101+$CI102</f>
        <v/>
      </c>
      <c r="CL102" s="56">
        <f>IFERROR(IF(($BZ102)&gt;0,($CC102*cfg_TroyOz)/($BZ102),""),"")</f>
        <v/>
      </c>
      <c r="CM102" s="56">
        <f>IFERROR(IF(($CA102)&gt;0,($CD102*cfg_TroyOz)/($CA102),""),"")</f>
        <v/>
      </c>
      <c r="CN102" s="56">
        <f>IFERROR(IF(($CB102)&gt;0,($CE102*cfg_TroyOz)/($CB102),""),"")</f>
        <v/>
      </c>
      <c r="CO102" s="56">
        <f>IFERROR(IF(($BZ102)&gt;0,($CF102*cfg_TroyOz)/($BZ102),""),"")</f>
        <v/>
      </c>
      <c r="CP102" s="56">
        <f>IFERROR(IF(($CA102)&gt;0,($CG102*cfg_TroyOz)/($CA102),""),"")</f>
        <v/>
      </c>
      <c r="CQ102" s="56">
        <f>IFERROR(IF(($CB102)&gt;0,($CH102*cfg_TroyOz)/($CB102),""),"")</f>
        <v/>
      </c>
      <c r="CR102" s="67">
        <f>IFERROR(IF(($CC102)&gt;0,($CI102)/($CC102),""),"")</f>
        <v/>
      </c>
      <c r="CS102" s="67">
        <f>IFERROR(IF(($CD102)&gt;0,($CJ102)/($CD102),""),"")</f>
        <v/>
      </c>
      <c r="CT102" s="67">
        <f>IFERROR(IF(($CE102)&gt;0,($CK102)/($CE102),""),"")</f>
        <v/>
      </c>
      <c r="CU102" s="55">
        <f>SUMIFS(tblPlant[Gravity_Gold_oz],tblPlant[Date],$A102)</f>
        <v/>
      </c>
      <c r="CV102" s="55">
        <f>IF($B102=$B101,$CV101,0)+$CU102</f>
        <v/>
      </c>
      <c r="CW102" s="55">
        <f>$CW101+$CU102</f>
        <v/>
      </c>
      <c r="CX102" s="55">
        <f>SUMIFS(tblPlant[Gold_Poured_oz],tblPlant[Date],$A102)</f>
        <v/>
      </c>
      <c r="CY102" s="55">
        <f>IF($B102=$B101,$CY101,0)+$CX102</f>
        <v/>
      </c>
      <c r="CZ102" s="55">
        <f>$CZ101+$CX102</f>
        <v/>
      </c>
      <c r="DA102" s="57">
        <f>SUMIFS(tblPlant[Mill_Run_h],tblPlant[Date],$A102)</f>
        <v/>
      </c>
      <c r="DB102" s="57">
        <f>IF($B102=$B101,$DB101,0)+$DA102</f>
        <v/>
      </c>
      <c r="DC102" s="57">
        <f>$DC101+$DA102</f>
        <v/>
      </c>
      <c r="DD102" s="57">
        <f>SUMIFS(tblPlant[Mill_Planned_Maint_h],tblPlant[Date],$A102)</f>
        <v/>
      </c>
      <c r="DE102" s="57">
        <f>IF($B102=$B101,$DE101,0)+$DD102</f>
        <v/>
      </c>
      <c r="DF102" s="57">
        <f>$DF101+$DD102</f>
        <v/>
      </c>
      <c r="DG102" s="57">
        <f>SUMIFS(tblPlant[Mill_Unplanned_Down_h],tblPlant[Date],$A102)</f>
        <v/>
      </c>
      <c r="DH102" s="57">
        <f>IF($B102=$B101,$DH101,0)+$DG102</f>
        <v/>
      </c>
      <c r="DI102" s="57">
        <f>$DI101+$DG102</f>
        <v/>
      </c>
      <c r="DJ102" s="57">
        <f>COUNTIFS(tblPlant[Date],$A102,tblPlant[Mill_Run_h],"&lt;&gt;")*24</f>
        <v/>
      </c>
      <c r="DK102" s="57">
        <f>IF($B102=$B101,$DK101,0)+$DJ102</f>
        <v/>
      </c>
      <c r="DL102" s="57">
        <f>$DL101+$DJ102</f>
        <v/>
      </c>
      <c r="DM102" s="57">
        <f>SUMIFS(tblPlant[Crusher_Run_h],tblPlant[Date],$A102)</f>
        <v/>
      </c>
      <c r="DN102" s="57">
        <f>IF($B102=$B101,$DN101,0)+$DM102</f>
        <v/>
      </c>
      <c r="DO102" s="57">
        <f>$DO101+$DM102</f>
        <v/>
      </c>
      <c r="DP102" s="55">
        <f>IFERROR(IF(($DA102)&gt;0,($BZ102)/($DA102),""),"")</f>
        <v/>
      </c>
      <c r="DQ102" s="55">
        <f>IFERROR(IF(($DB102)&gt;0,($CA102)/($DB102),""),"")</f>
        <v/>
      </c>
      <c r="DR102" s="55">
        <f>IFERROR(IF(($DC102)&gt;0,($CB102)/($DC102),""),"")</f>
        <v/>
      </c>
      <c r="DS102" s="67">
        <f>IFERROR(IF(($DJ102)&gt;0,($DJ102-$DD102-$DG102)/($DJ102),""),"")</f>
        <v/>
      </c>
      <c r="DT102" s="67">
        <f>IFERROR(IF(($DK102)&gt;0,($DK102-$DE102-$DH102)/($DK102),""),"")</f>
        <v/>
      </c>
      <c r="DU102" s="67">
        <f>IFERROR(IF(($DL102)&gt;0,($DL102-$DF102-$DI102)/($DL102),""),"")</f>
        <v/>
      </c>
      <c r="DV102" s="67">
        <f>IFERROR(IF(($DJ102-$DD102-$DG102)&gt;0,($DA102)/($DJ102-$DD102-$DG102),""),"")</f>
        <v/>
      </c>
      <c r="DW102" s="67">
        <f>IFERROR(IF(($DK102-$DE102-$DH102)&gt;0,($DB102)/($DK102-$DE102-$DH102),""),"")</f>
        <v/>
      </c>
      <c r="DX102" s="67">
        <f>IFERROR(IF(($DL102-$DF102-$DI102)&gt;0,($DC102)/($DL102-$DF102-$DI102),""),"")</f>
        <v/>
      </c>
      <c r="DY102" s="55">
        <f>SUMIFS(tblPlant[Cyanide_kg],tblPlant[Date],$A102)</f>
        <v/>
      </c>
      <c r="DZ102" s="55">
        <f>IF($B102=$B101,$DZ101,0)+$DY102</f>
        <v/>
      </c>
      <c r="EA102" s="55">
        <f>$EA101+$DY102</f>
        <v/>
      </c>
      <c r="EB102" s="55">
        <f>SUMIFS(tblPlant[Lime_kg],tblPlant[Date],$A102)</f>
        <v/>
      </c>
      <c r="EC102" s="55">
        <f>IF($B102=$B101,$EC101,0)+$EB102</f>
        <v/>
      </c>
      <c r="ED102" s="55">
        <f>$ED101+$EB102</f>
        <v/>
      </c>
      <c r="EE102" s="55">
        <f>SUMIFS(tblPlant[Grinding_Media_kg],tblPlant[Date],$A102)</f>
        <v/>
      </c>
      <c r="EF102" s="55">
        <f>IF($B102=$B101,$EF101,0)+$EE102</f>
        <v/>
      </c>
      <c r="EG102" s="55">
        <f>$EG101+$EE102</f>
        <v/>
      </c>
      <c r="EH102" s="55">
        <f>SUMIFS(tblPlant[Power_kWh],tblPlant[Date],$A102)</f>
        <v/>
      </c>
      <c r="EI102" s="55">
        <f>IF($B102=$B101,$EI101,0)+$EH102</f>
        <v/>
      </c>
      <c r="EJ102" s="55">
        <f>$EJ101+$EH102</f>
        <v/>
      </c>
      <c r="EK102" s="55">
        <f>SUMIFS(tblPlant[Raw_Water_m3],tblPlant[Date],$A102)</f>
        <v/>
      </c>
      <c r="EL102" s="55">
        <f>IF($B102=$B101,$EL101,0)+$EK102</f>
        <v/>
      </c>
      <c r="EM102" s="55">
        <f>$EM101+$EK102</f>
        <v/>
      </c>
      <c r="EN102" s="56">
        <f>IFERROR(IF(($BZ102)&gt;0,($DY102)/($BZ102),""),"")</f>
        <v/>
      </c>
      <c r="EO102" s="56">
        <f>IFERROR(IF(($CA102)&gt;0,($DZ102)/($CA102),""),"")</f>
        <v/>
      </c>
      <c r="EP102" s="56">
        <f>IFERROR(IF(($CB102)&gt;0,($EA102)/($CB102),""),"")</f>
        <v/>
      </c>
      <c r="EQ102" s="56">
        <f>IFERROR(IF(($BZ102)&gt;0,($EB102)/($BZ102),""),"")</f>
        <v/>
      </c>
      <c r="ER102" s="56">
        <f>IFERROR(IF(($CA102)&gt;0,($EC102)/($CA102),""),"")</f>
        <v/>
      </c>
      <c r="ES102" s="56">
        <f>IFERROR(IF(($CB102)&gt;0,($ED102)/($CB102),""),"")</f>
        <v/>
      </c>
      <c r="ET102" s="56">
        <f>IFERROR(IF(($BZ102)&gt;0,($EE102)/($BZ102),""),"")</f>
        <v/>
      </c>
      <c r="EU102" s="56">
        <f>IFERROR(IF(($CA102)&gt;0,($EF102)/($CA102),""),"")</f>
        <v/>
      </c>
      <c r="EV102" s="56">
        <f>IFERROR(IF(($CB102)&gt;0,($EG102)/($CB102),""),"")</f>
        <v/>
      </c>
      <c r="EW102" s="76">
        <f>IFERROR(IF(($BZ102)&gt;0,($EH102)/($BZ102),""),"")</f>
        <v/>
      </c>
      <c r="EX102" s="76">
        <f>IFERROR(IF(($CA102)&gt;0,($EI102)/($CA102),""),"")</f>
        <v/>
      </c>
      <c r="EY102" s="76">
        <f>IFERROR(IF(($CB102)&gt;0,($EJ102)/($CB102),""),"")</f>
        <v/>
      </c>
      <c r="EZ102" s="56">
        <f>IFERROR(IF(($BZ102)&gt;0,($EK102)/($BZ102),""),"")</f>
        <v/>
      </c>
      <c r="FA102" s="56">
        <f>IFERROR(IF(($CA102)&gt;0,($EL102)/($CA102),""),"")</f>
        <v/>
      </c>
      <c r="FB102" s="56">
        <f>IFERROR(IF(($CB102)&gt;0,($EM102)/($CB102),""),"")</f>
        <v/>
      </c>
      <c r="FC102" s="55">
        <f>IF(SUMIFS(tblPlant[GIC_oz],tblPlant[Date],$A102)&gt;0,SUMIFS(tblPlant[GIC_oz],tblPlant[Date],$A102),"")</f>
        <v/>
      </c>
      <c r="FD102" s="55">
        <f>SUMIFS(tblGold[Gold_oz],tblGold[Date],$A102,tblGold[Type],"Shipment")</f>
        <v/>
      </c>
      <c r="FE102" s="55">
        <f>IF($B102=$B101,$FE101,0)+$FD102</f>
        <v/>
      </c>
      <c r="FF102" s="55">
        <f>$FF101+$FD102</f>
        <v/>
      </c>
      <c r="FG102" s="55">
        <f>SUMIFS(tblGold[Gold_oz],tblGold[Date],$A102,tblGold[Type],"Sale")</f>
        <v/>
      </c>
      <c r="FH102" s="55">
        <f>IF($B102=$B101,$FH101,0)+$FG102</f>
        <v/>
      </c>
      <c r="FI102" s="55">
        <f>$FI101+$FG102</f>
        <v/>
      </c>
      <c r="FJ102" s="55">
        <f>SUMIFS(tblGold[Dore_kg],tblGold[Date],$A102,tblGold[Type],"Shipment")</f>
        <v/>
      </c>
      <c r="FK102" s="55">
        <f>IF($B102=$B101,$FK101,0)+$FJ102</f>
        <v/>
      </c>
      <c r="FL102" s="55">
        <f>$FL101+$FJ102</f>
        <v/>
      </c>
      <c r="FM102" s="57">
        <f>SUMIFS(tblSafety[Hours_Total],tblSafety[Date],$A102)</f>
        <v/>
      </c>
      <c r="FN102" s="57">
        <f>IF($B102=$B101,$FN101,0)+$FM102</f>
        <v/>
      </c>
      <c r="FO102" s="57">
        <f>$FO101+$FM102</f>
        <v/>
      </c>
      <c r="FP102" s="62">
        <f>SUMIFS(tblSafety[Fatality],tblSafety[Date],$A102)</f>
        <v/>
      </c>
      <c r="FQ102" s="62">
        <f>IF($B102=$B101,$FQ101,0)+$FP102</f>
        <v/>
      </c>
      <c r="FR102" s="62">
        <f>$FR101+$FP102</f>
        <v/>
      </c>
      <c r="FS102" s="62">
        <f>SUMIFS(tblSafety[LTI],tblSafety[Date],$A102)</f>
        <v/>
      </c>
      <c r="FT102" s="62">
        <f>IF($B102=$B101,$FT101,0)+$FS102</f>
        <v/>
      </c>
      <c r="FU102" s="62">
        <f>$FU101+$FS102</f>
        <v/>
      </c>
      <c r="FV102" s="62">
        <f>SUMIFS(tblSafety[RWI],tblSafety[Date],$A102)</f>
        <v/>
      </c>
      <c r="FW102" s="62">
        <f>IF($B102=$B101,$FW101,0)+$FV102</f>
        <v/>
      </c>
      <c r="FX102" s="62">
        <f>$FX101+$FV102</f>
        <v/>
      </c>
      <c r="FY102" s="62">
        <f>SUMIFS(tblSafety[MTI],tblSafety[Date],$A102)</f>
        <v/>
      </c>
      <c r="FZ102" s="62">
        <f>IF($B102=$B101,$FZ101,0)+$FY102</f>
        <v/>
      </c>
      <c r="GA102" s="62">
        <f>$GA101+$FY102</f>
        <v/>
      </c>
      <c r="GB102" s="62">
        <f>SUMIFS(tblSafety[FAI],tblSafety[Date],$A102)</f>
        <v/>
      </c>
      <c r="GC102" s="62">
        <f>IF($B102=$B101,$GC101,0)+$GB102</f>
        <v/>
      </c>
      <c r="GD102" s="62">
        <f>$GD101+$GB102</f>
        <v/>
      </c>
      <c r="GE102" s="62">
        <f>SUMIFS(tblSafety[Recordables],tblSafety[Date],$A102)</f>
        <v/>
      </c>
      <c r="GF102" s="62">
        <f>IF($B102=$B101,$GF101,0)+$GE102</f>
        <v/>
      </c>
      <c r="GG102" s="62">
        <f>$GG101+$GE102</f>
        <v/>
      </c>
      <c r="GH102" s="62">
        <f>SUMIFS(tblSafety[Near_Miss],tblSafety[Date],$A102)</f>
        <v/>
      </c>
      <c r="GI102" s="62">
        <f>IF($B102=$B101,$GI101,0)+$GH102</f>
        <v/>
      </c>
      <c r="GJ102" s="62">
        <f>$GJ101+$GH102</f>
        <v/>
      </c>
      <c r="GK102" s="62">
        <f>SUMIFS(tblSafety[Hazard_Reports],tblSafety[Date],$A102)</f>
        <v/>
      </c>
      <c r="GL102" s="62">
        <f>IF($B102=$B101,$GL101,0)+$GK102</f>
        <v/>
      </c>
      <c r="GM102" s="62">
        <f>$GM101+$GK102</f>
        <v/>
      </c>
      <c r="GN102" s="62">
        <f>SUMIFS(tblSafety[HPI],tblSafety[Date],$A102)</f>
        <v/>
      </c>
      <c r="GO102" s="62">
        <f>IF($B102=$B101,$GO101,0)+$GN102</f>
        <v/>
      </c>
      <c r="GP102" s="62">
        <f>$GP101+$GN102</f>
        <v/>
      </c>
      <c r="GQ102" s="62">
        <f>SUMIFS(tblSafety[Env_Incidents],tblSafety[Date],$A102)</f>
        <v/>
      </c>
      <c r="GR102" s="62">
        <f>IF($B102=$B101,$GR101,0)+$GQ102</f>
        <v/>
      </c>
      <c r="GS102" s="62">
        <f>$GS101+$GQ102</f>
        <v/>
      </c>
      <c r="GT102" s="62">
        <f>SUMIFS(tblSafety[Community_Incidents],tblSafety[Date],$A102)</f>
        <v/>
      </c>
      <c r="GU102" s="62">
        <f>IF($B102=$B101,$GU101,0)+$GT102</f>
        <v/>
      </c>
      <c r="GV102" s="62">
        <f>$GV101+$GT102</f>
        <v/>
      </c>
      <c r="GW102" s="62">
        <f>SUMIFS(tblSafety[Vehicle_Incidents],tblSafety[Date],$A102)</f>
        <v/>
      </c>
      <c r="GX102" s="62">
        <f>IF($B102=$B101,$GX101,0)+$GW102</f>
        <v/>
      </c>
      <c r="GY102" s="62">
        <f>$GY101+$GW102</f>
        <v/>
      </c>
      <c r="GZ102" s="62">
        <f>SUMIFS(tblSafety[Toolbox_Talks],tblSafety[Date],$A102)</f>
        <v/>
      </c>
      <c r="HA102" s="62">
        <f>IF($B102=$B101,$HA101,0)+$GZ102</f>
        <v/>
      </c>
      <c r="HB102" s="62">
        <f>$HB101+$GZ102</f>
        <v/>
      </c>
      <c r="HC102" s="62">
        <f>SUMIFS(tblSafety[Inspections],tblSafety[Date],$A102)</f>
        <v/>
      </c>
      <c r="HD102" s="62">
        <f>IF($B102=$B101,$HD101,0)+$HC102</f>
        <v/>
      </c>
      <c r="HE102" s="62">
        <f>$HE101+$HC102</f>
        <v/>
      </c>
      <c r="HF102" s="56">
        <f>IFERROR((SUMIFS(tblSafety[Recordables],tblSafety[Date],"&gt;="&amp;EDATE($E102,-12),tblSafety[Date],"&lt;="&amp;$A102)+SUMIFS(tblSafetyHistory[Recordables],tblSafetyHistory[Month],"&gt;="&amp;EDATE($E102,-12),tblSafetyHistory[Month],"&lt;"&amp;cfg_YearStart))/(SUMIFS(tblSafety[Hours_Total],tblSafety[Date],"&gt;="&amp;EDATE($E102,-12),tblSafety[Date],"&lt;="&amp;$A102)+SUMIFS(tblSafetyHistory[Hours_Total],tblSafetyHistory[Month],"&gt;="&amp;EDATE($E102,-12),tblSafetyHistory[Month],"&lt;"&amp;cfg_YearStart))*1000000,"")</f>
        <v/>
      </c>
      <c r="HG102" s="56">
        <f>IFERROR((SUMIFS(tblSafety[LTI],tblSafety[Date],"&gt;="&amp;EDATE($E102,-12),tblSafety[Date],"&lt;="&amp;$A102)+SUMIFS(tblSafetyHistory[LTI],tblSafetyHistory[Month],"&gt;="&amp;EDATE($E102,-12),tblSafetyHistory[Month],"&lt;"&amp;cfg_YearStart))/(SUMIFS(tblSafety[Hours_Total],tblSafety[Date],"&gt;="&amp;EDATE($E102,-12),tblSafety[Date],"&lt;="&amp;$A102)+SUMIFS(tblSafetyHistory[Hours_Total],tblSafetyHistory[Month],"&gt;="&amp;EDATE($E102,-12),tblSafetyHistory[Month],"&lt;"&amp;cfg_YearStart))*1000000,"")</f>
        <v/>
      </c>
      <c r="HH102" s="62">
        <f>IF(MAX(N(cfg_PriorLTIDate),_xlfn.MAXIFS(tblSafety[Date],tblSafety[LTI],"&gt;0",tblSafety[Date],"&lt;="&amp;$A102))=0,"",$A102-MAX(N(cfg_PriorLTIDate),_xlfn.MAXIFS(tblSafety[Date],tblSafety[LTI],"&gt;0",tblSafety[Date],"&lt;="&amp;$A102)))</f>
        <v/>
      </c>
      <c r="HI102" s="55">
        <f>SUMIFS(tblBudget[Ore_Mined_t],tblBudget[Month],$E102)</f>
        <v/>
      </c>
      <c r="HJ102" s="55">
        <f>$HI102*$C102/$D102</f>
        <v/>
      </c>
      <c r="HK102" s="55">
        <f>SUMIFS(tblBudget[Ore_Mined_t],tblBudget[Month],"&lt;"&amp;$E102)+$HJ102</f>
        <v/>
      </c>
      <c r="HL102" s="55">
        <f>SUMIFS(tblBudget[Ore_oz],tblBudget[Month],$E102)</f>
        <v/>
      </c>
      <c r="HM102" s="55">
        <f>$HL102*$C102/$D102</f>
        <v/>
      </c>
      <c r="HN102" s="55">
        <f>SUMIFS(tblBudget[Ore_oz],tblBudget[Month],"&lt;"&amp;$E102)+$HM102</f>
        <v/>
      </c>
      <c r="HO102" s="56">
        <f>IFERROR(IF(($HI102)&gt;0,($HL102*cfg_TroyOz)/($HI102),""),"")</f>
        <v/>
      </c>
      <c r="HP102" s="56">
        <f>IFERROR(IF(($HJ102)&gt;0,($HM102*cfg_TroyOz)/($HJ102),""),"")</f>
        <v/>
      </c>
      <c r="HQ102" s="56">
        <f>IFERROR(IF(($HK102)&gt;0,($HN102*cfg_TroyOz)/($HK102),""),"")</f>
        <v/>
      </c>
      <c r="HR102" s="55">
        <f>SUMIFS(tblBudget[Waste_t],tblBudget[Month],$E102)</f>
        <v/>
      </c>
      <c r="HS102" s="55">
        <f>$HR102*$C102/$D102</f>
        <v/>
      </c>
      <c r="HT102" s="55">
        <f>SUMIFS(tblBudget[Waste_t],tblBudget[Month],"&lt;"&amp;$E102)+$HS102</f>
        <v/>
      </c>
      <c r="HU102" s="55">
        <f>SUMIFS(tblBudget[TMM_t],tblBudget[Month],$E102)</f>
        <v/>
      </c>
      <c r="HV102" s="55">
        <f>$HU102*$C102/$D102</f>
        <v/>
      </c>
      <c r="HW102" s="55">
        <f>SUMIFS(tblBudget[TMM_t],tblBudget[Month],"&lt;"&amp;$E102)+$HV102</f>
        <v/>
      </c>
      <c r="HX102" s="56">
        <f>IFERROR(IF(($HI102)&gt;0,($HR102)/($HI102),""),"")</f>
        <v/>
      </c>
      <c r="HY102" s="56">
        <f>IFERROR(IF(($HJ102)&gt;0,($HS102)/($HJ102),""),"")</f>
        <v/>
      </c>
      <c r="HZ102" s="56">
        <f>IFERROR(IF(($HK102)&gt;0,($HT102)/($HK102),""),"")</f>
        <v/>
      </c>
      <c r="IA102" s="55">
        <f>SUMIFS(tblBudget[Drill_m],tblBudget[Month],$E102)</f>
        <v/>
      </c>
      <c r="IB102" s="55">
        <f>$IA102*$C102/$D102</f>
        <v/>
      </c>
      <c r="IC102" s="55">
        <f>SUMIFS(tblBudget[Drill_m],tblBudget[Month],"&lt;"&amp;$E102)+$IB102</f>
        <v/>
      </c>
      <c r="ID102" s="55">
        <f>SUMIFS(tblBudget[Diesel_L],tblBudget[Month],$E102)</f>
        <v/>
      </c>
      <c r="IE102" s="55">
        <f>$ID102*$C102/$D102</f>
        <v/>
      </c>
      <c r="IF102" s="55">
        <f>SUMIFS(tblBudget[Diesel_L],tblBudget[Month],"&lt;"&amp;$E102)+$IE102</f>
        <v/>
      </c>
      <c r="IG102" s="55">
        <f>SUMIFS(tblBudget[Milled_t],tblBudget[Month],$E102)</f>
        <v/>
      </c>
      <c r="IH102" s="55">
        <f>$IG102*$C102/$D102</f>
        <v/>
      </c>
      <c r="II102" s="55">
        <f>SUMIFS(tblBudget[Milled_t],tblBudget[Month],"&lt;"&amp;$E102)+$IH102</f>
        <v/>
      </c>
      <c r="IJ102" s="55">
        <f>SUMIFS(tblBudget[Feed_oz],tblBudget[Month],$E102)</f>
        <v/>
      </c>
      <c r="IK102" s="55">
        <f>$IJ102*$C102/$D102</f>
        <v/>
      </c>
      <c r="IL102" s="55">
        <f>SUMIFS(tblBudget[Feed_oz],tblBudget[Month],"&lt;"&amp;$E102)+$IK102</f>
        <v/>
      </c>
      <c r="IM102" s="55">
        <f>SUMIFS(tblBudget[Recovered_oz],tblBudget[Month],$E102)</f>
        <v/>
      </c>
      <c r="IN102" s="55">
        <f>$IM102*$C102/$D102</f>
        <v/>
      </c>
      <c r="IO102" s="55">
        <f>SUMIFS(tblBudget[Recovered_oz],tblBudget[Month],"&lt;"&amp;$E102)+$IN102</f>
        <v/>
      </c>
      <c r="IP102" s="56">
        <f>IFERROR(IF(($IG102)&gt;0,($IJ102*cfg_TroyOz)/($IG102),""),"")</f>
        <v/>
      </c>
      <c r="IQ102" s="56">
        <f>IFERROR(IF(($IH102)&gt;0,($IK102*cfg_TroyOz)/($IH102),""),"")</f>
        <v/>
      </c>
      <c r="IR102" s="56">
        <f>IFERROR(IF(($II102)&gt;0,($IL102*cfg_TroyOz)/($II102),""),"")</f>
        <v/>
      </c>
      <c r="IS102" s="67">
        <f>IFERROR(IF(($IJ102)&gt;0,($IM102)/($IJ102),""),"")</f>
        <v/>
      </c>
      <c r="IT102" s="67">
        <f>IFERROR(IF(($IK102)&gt;0,($IN102)/($IK102),""),"")</f>
        <v/>
      </c>
      <c r="IU102" s="67">
        <f>IFERROR(IF(($IL102)&gt;0,($IO102)/($IL102),""),"")</f>
        <v/>
      </c>
      <c r="IV102" s="55">
        <f>SUMIFS(tblBudget[Gold_Poured_oz],tblBudget[Month],$E102)</f>
        <v/>
      </c>
      <c r="IW102" s="55">
        <f>$IV102*$C102/$D102</f>
        <v/>
      </c>
      <c r="IX102" s="55">
        <f>SUMIFS(tblBudget[Gold_Poured_oz],tblBudget[Month],"&lt;"&amp;$E102)+$IW102</f>
        <v/>
      </c>
      <c r="IY102" s="57">
        <f>SUMIFS(tblBudget[Hours_Worked],tblBudget[Month],$E102)</f>
        <v/>
      </c>
      <c r="IZ102" s="57">
        <f>$IY102*$C102/$D102</f>
        <v/>
      </c>
      <c r="JA102" s="57">
        <f>SUMIFS(tblBudget[Hours_Worked],tblBudget[Month],"&lt;"&amp;$E102)+$IZ102</f>
        <v/>
      </c>
    </row>
    <row r="103">
      <c r="A103" s="54" t="n">
        <v>46124</v>
      </c>
      <c r="B103">
        <f>MONTH($A103)</f>
        <v/>
      </c>
      <c r="C103">
        <f>DAY($A103)</f>
        <v/>
      </c>
      <c r="D103">
        <f>DAY(EOMONTH($A103,0))</f>
        <v/>
      </c>
      <c r="E103" s="54">
        <f>DATE(YEAR($A103),MONTH($A103),1)</f>
        <v/>
      </c>
      <c r="F103" s="55">
        <f>SUMIFS(tblMovement[Tonnes_t],tblMovement[Date],$A103,tblMovement[Is_Ore],1,tblMovement[Source_Type],"Pit")</f>
        <v/>
      </c>
      <c r="G103" s="55">
        <f>IF($B103=$B102,$G102,0)+$F103</f>
        <v/>
      </c>
      <c r="H103" s="55">
        <f>$H102+$F103</f>
        <v/>
      </c>
      <c r="I103" s="55">
        <f>SUMIFS(tblMovement[Ore_oz],tblMovement[Date],$A103,tblMovement[Source_Type],"Pit")</f>
        <v/>
      </c>
      <c r="J103" s="55">
        <f>IF($B103=$B102,$J102,0)+$I103</f>
        <v/>
      </c>
      <c r="K103" s="55">
        <f>$K102+$I103</f>
        <v/>
      </c>
      <c r="L103" s="56">
        <f>IFERROR(IF(($F103)&gt;0,($I103*cfg_TroyOz)/($F103),""),"")</f>
        <v/>
      </c>
      <c r="M103" s="56">
        <f>IFERROR(IF(($G103)&gt;0,($J103*cfg_TroyOz)/($G103),""),"")</f>
        <v/>
      </c>
      <c r="N103" s="56">
        <f>IFERROR(IF(($H103)&gt;0,($K103*cfg_TroyOz)/($H103),""),"")</f>
        <v/>
      </c>
      <c r="O103" s="55">
        <f>SUMIFS(tblMovement[Tonnes_t],tblMovement[Date],$A103,tblMovement[Is_Ore],0,tblMovement[Source_Type],"Pit")</f>
        <v/>
      </c>
      <c r="P103" s="55">
        <f>IF($B103=$B102,$P102,0)+$O103</f>
        <v/>
      </c>
      <c r="Q103" s="55">
        <f>$Q102+$O103</f>
        <v/>
      </c>
      <c r="R103" s="55">
        <f>$F103+$O103</f>
        <v/>
      </c>
      <c r="S103" s="55">
        <f>IF($B103=$B102,$S102,0)+$R103</f>
        <v/>
      </c>
      <c r="T103" s="55">
        <f>$T102+$R103</f>
        <v/>
      </c>
      <c r="U103" s="56">
        <f>IFERROR(IF(($F103)&gt;0,($O103)/($F103),""),"")</f>
        <v/>
      </c>
      <c r="V103" s="56">
        <f>IFERROR(IF(($G103)&gt;0,($P103)/($G103),""),"")</f>
        <v/>
      </c>
      <c r="W103" s="56">
        <f>IFERROR(IF(($H103)&gt;0,($Q103)/($H103),""),"")</f>
        <v/>
      </c>
      <c r="X103" s="55">
        <f>SUMIFS(tblMovement[Tonnes_t],tblMovement[Date],$A103,tblMovement[Source_Type],"Stockpile")</f>
        <v/>
      </c>
      <c r="Y103" s="55">
        <f>IF($B103=$B102,$Y102,0)+$X103</f>
        <v/>
      </c>
      <c r="Z103" s="55">
        <f>$Z102+$X103</f>
        <v/>
      </c>
      <c r="AA103" s="55">
        <f>SUMIFS(tblMiningDaily[Drill_m],tblMiningDaily[Date],$A103)</f>
        <v/>
      </c>
      <c r="AB103" s="55">
        <f>IF($B103=$B102,$AB102,0)+$AA103</f>
        <v/>
      </c>
      <c r="AC103" s="55">
        <f>$AC102+$AA103</f>
        <v/>
      </c>
      <c r="AD103" s="55">
        <f>SUMIFS(tblMiningDaily[Blast_t],tblMiningDaily[Date],$A103)</f>
        <v/>
      </c>
      <c r="AE103" s="55">
        <f>IF($B103=$B102,$AE102,0)+$AD103</f>
        <v/>
      </c>
      <c r="AF103" s="55">
        <f>$AF102+$AD103</f>
        <v/>
      </c>
      <c r="AG103" s="55">
        <f>SUMIFS(tblMiningDaily[Explosives_kg],tblMiningDaily[Date],$A103)</f>
        <v/>
      </c>
      <c r="AH103" s="55">
        <f>IF($B103=$B102,$AH102,0)+$AG103</f>
        <v/>
      </c>
      <c r="AI103" s="55">
        <f>$AI102+$AG103</f>
        <v/>
      </c>
      <c r="AJ103" s="56">
        <f>IFERROR(IF(($AD103)&gt;0,($AG103)/($AD103),""),"")</f>
        <v/>
      </c>
      <c r="AK103" s="56">
        <f>IFERROR(IF(($AE103)&gt;0,($AH103)/($AE103),""),"")</f>
        <v/>
      </c>
      <c r="AL103" s="56">
        <f>IFERROR(IF(($AF103)&gt;0,($AI103)/($AF103),""),"")</f>
        <v/>
      </c>
      <c r="AM103" s="55">
        <f>SUMIFS(tblMiningDaily[Diesel_L],tblMiningDaily[Date],$A103)</f>
        <v/>
      </c>
      <c r="AN103" s="55">
        <f>IF($B103=$B102,$AN102,0)+$AM103</f>
        <v/>
      </c>
      <c r="AO103" s="55">
        <f>$AO102+$AM103</f>
        <v/>
      </c>
      <c r="AP103" s="55">
        <f>SUMIFS(tblMiningDaily[Dewatering_m3],tblMiningDaily[Date],$A103)</f>
        <v/>
      </c>
      <c r="AQ103" s="55">
        <f>IF($B103=$B102,$AQ102,0)+$AP103</f>
        <v/>
      </c>
      <c r="AR103" s="55">
        <f>$AR102+$AP103</f>
        <v/>
      </c>
      <c r="AS103" s="57">
        <f>SUMIFS(tblFleet[Calendar_h],tblFleet[Date],$A103,tblFleet[Equipment_Class],"Excavator")</f>
        <v/>
      </c>
      <c r="AT103" s="57">
        <f>IF($B103=$B102,$AT102,0)+$AS103</f>
        <v/>
      </c>
      <c r="AU103" s="57">
        <f>$AU102+$AS103</f>
        <v/>
      </c>
      <c r="AV103" s="57">
        <f>SUMIFS(tblFleet[Available_h],tblFleet[Date],$A103,tblFleet[Equipment_Class],"Excavator")</f>
        <v/>
      </c>
      <c r="AW103" s="57">
        <f>IF($B103=$B102,$AW102,0)+$AV103</f>
        <v/>
      </c>
      <c r="AX103" s="57">
        <f>$AX102+$AV103</f>
        <v/>
      </c>
      <c r="AY103" s="57">
        <f>SUMIFS(tblFleet[Operating_h],tblFleet[Date],$A103,tblFleet[Equipment_Class],"Excavator")</f>
        <v/>
      </c>
      <c r="AZ103" s="57">
        <f>IF($B103=$B102,$AZ102,0)+$AY103</f>
        <v/>
      </c>
      <c r="BA103" s="57">
        <f>$BA102+$AY103</f>
        <v/>
      </c>
      <c r="BB103" s="67">
        <f>IFERROR(IF(($AS103)&gt;0,($AV103)/($AS103),""),"")</f>
        <v/>
      </c>
      <c r="BC103" s="67">
        <f>IFERROR(IF(($AT103)&gt;0,($AW103)/($AT103),""),"")</f>
        <v/>
      </c>
      <c r="BD103" s="67">
        <f>IFERROR(IF(($AU103)&gt;0,($AX103)/($AU103),""),"")</f>
        <v/>
      </c>
      <c r="BE103" s="67">
        <f>IFERROR(IF(($AV103)&gt;0,($AY103)/($AV103),""),"")</f>
        <v/>
      </c>
      <c r="BF103" s="67">
        <f>IFERROR(IF(($AW103)&gt;0,($AZ103)/($AW103),""),"")</f>
        <v/>
      </c>
      <c r="BG103" s="67">
        <f>IFERROR(IF(($AX103)&gt;0,($BA103)/($AX103),""),"")</f>
        <v/>
      </c>
      <c r="BH103" s="57">
        <f>SUMIFS(tblFleet[Calendar_h],tblFleet[Date],$A103,tblFleet[Equipment_Class],"Haul Truck")</f>
        <v/>
      </c>
      <c r="BI103" s="57">
        <f>IF($B103=$B102,$BI102,0)+$BH103</f>
        <v/>
      </c>
      <c r="BJ103" s="57">
        <f>$BJ102+$BH103</f>
        <v/>
      </c>
      <c r="BK103" s="57">
        <f>SUMIFS(tblFleet[Available_h],tblFleet[Date],$A103,tblFleet[Equipment_Class],"Haul Truck")</f>
        <v/>
      </c>
      <c r="BL103" s="57">
        <f>IF($B103=$B102,$BL102,0)+$BK103</f>
        <v/>
      </c>
      <c r="BM103" s="57">
        <f>$BM102+$BK103</f>
        <v/>
      </c>
      <c r="BN103" s="57">
        <f>SUMIFS(tblFleet[Operating_h],tblFleet[Date],$A103,tblFleet[Equipment_Class],"Haul Truck")</f>
        <v/>
      </c>
      <c r="BO103" s="57">
        <f>IF($B103=$B102,$BO102,0)+$BN103</f>
        <v/>
      </c>
      <c r="BP103" s="57">
        <f>$BP102+$BN103</f>
        <v/>
      </c>
      <c r="BQ103" s="67">
        <f>IFERROR(IF(($BH103)&gt;0,($BK103)/($BH103),""),"")</f>
        <v/>
      </c>
      <c r="BR103" s="67">
        <f>IFERROR(IF(($BI103)&gt;0,($BL103)/($BI103),""),"")</f>
        <v/>
      </c>
      <c r="BS103" s="67">
        <f>IFERROR(IF(($BJ103)&gt;0,($BM103)/($BJ103),""),"")</f>
        <v/>
      </c>
      <c r="BT103" s="67">
        <f>IFERROR(IF(($BK103)&gt;0,($BN103)/($BK103),""),"")</f>
        <v/>
      </c>
      <c r="BU103" s="67">
        <f>IFERROR(IF(($BL103)&gt;0,($BO103)/($BL103),""),"")</f>
        <v/>
      </c>
      <c r="BV103" s="67">
        <f>IFERROR(IF(($BM103)&gt;0,($BP103)/($BM103),""),"")</f>
        <v/>
      </c>
      <c r="BW103" s="55">
        <f>SUMIFS(tblPlant[Crushed_t],tblPlant[Date],$A103)</f>
        <v/>
      </c>
      <c r="BX103" s="55">
        <f>IF($B103=$B102,$BX102,0)+$BW103</f>
        <v/>
      </c>
      <c r="BY103" s="55">
        <f>$BY102+$BW103</f>
        <v/>
      </c>
      <c r="BZ103" s="55">
        <f>SUMIFS(tblPlant[Milled_t],tblPlant[Date],$A103)</f>
        <v/>
      </c>
      <c r="CA103" s="55">
        <f>IF($B103=$B102,$CA102,0)+$BZ103</f>
        <v/>
      </c>
      <c r="CB103" s="55">
        <f>$CB102+$BZ103</f>
        <v/>
      </c>
      <c r="CC103" s="55">
        <f>SUMIFS(tblPlant[Feed_oz],tblPlant[Date],$A103)</f>
        <v/>
      </c>
      <c r="CD103" s="55">
        <f>IF($B103=$B102,$CD102,0)+$CC103</f>
        <v/>
      </c>
      <c r="CE103" s="55">
        <f>$CE102+$CC103</f>
        <v/>
      </c>
      <c r="CF103" s="55">
        <f>SUMIFS(tblPlant[Tails_oz],tblPlant[Date],$A103)</f>
        <v/>
      </c>
      <c r="CG103" s="55">
        <f>IF($B103=$B102,$CG102,0)+$CF103</f>
        <v/>
      </c>
      <c r="CH103" s="55">
        <f>$CH102+$CF103</f>
        <v/>
      </c>
      <c r="CI103" s="55">
        <f>SUMIFS(tblPlant[Recovered_oz],tblPlant[Date],$A103)</f>
        <v/>
      </c>
      <c r="CJ103" s="55">
        <f>IF($B103=$B102,$CJ102,0)+$CI103</f>
        <v/>
      </c>
      <c r="CK103" s="55">
        <f>$CK102+$CI103</f>
        <v/>
      </c>
      <c r="CL103" s="56">
        <f>IFERROR(IF(($BZ103)&gt;0,($CC103*cfg_TroyOz)/($BZ103),""),"")</f>
        <v/>
      </c>
      <c r="CM103" s="56">
        <f>IFERROR(IF(($CA103)&gt;0,($CD103*cfg_TroyOz)/($CA103),""),"")</f>
        <v/>
      </c>
      <c r="CN103" s="56">
        <f>IFERROR(IF(($CB103)&gt;0,($CE103*cfg_TroyOz)/($CB103),""),"")</f>
        <v/>
      </c>
      <c r="CO103" s="56">
        <f>IFERROR(IF(($BZ103)&gt;0,($CF103*cfg_TroyOz)/($BZ103),""),"")</f>
        <v/>
      </c>
      <c r="CP103" s="56">
        <f>IFERROR(IF(($CA103)&gt;0,($CG103*cfg_TroyOz)/($CA103),""),"")</f>
        <v/>
      </c>
      <c r="CQ103" s="56">
        <f>IFERROR(IF(($CB103)&gt;0,($CH103*cfg_TroyOz)/($CB103),""),"")</f>
        <v/>
      </c>
      <c r="CR103" s="67">
        <f>IFERROR(IF(($CC103)&gt;0,($CI103)/($CC103),""),"")</f>
        <v/>
      </c>
      <c r="CS103" s="67">
        <f>IFERROR(IF(($CD103)&gt;0,($CJ103)/($CD103),""),"")</f>
        <v/>
      </c>
      <c r="CT103" s="67">
        <f>IFERROR(IF(($CE103)&gt;0,($CK103)/($CE103),""),"")</f>
        <v/>
      </c>
      <c r="CU103" s="55">
        <f>SUMIFS(tblPlant[Gravity_Gold_oz],tblPlant[Date],$A103)</f>
        <v/>
      </c>
      <c r="CV103" s="55">
        <f>IF($B103=$B102,$CV102,0)+$CU103</f>
        <v/>
      </c>
      <c r="CW103" s="55">
        <f>$CW102+$CU103</f>
        <v/>
      </c>
      <c r="CX103" s="55">
        <f>SUMIFS(tblPlant[Gold_Poured_oz],tblPlant[Date],$A103)</f>
        <v/>
      </c>
      <c r="CY103" s="55">
        <f>IF($B103=$B102,$CY102,0)+$CX103</f>
        <v/>
      </c>
      <c r="CZ103" s="55">
        <f>$CZ102+$CX103</f>
        <v/>
      </c>
      <c r="DA103" s="57">
        <f>SUMIFS(tblPlant[Mill_Run_h],tblPlant[Date],$A103)</f>
        <v/>
      </c>
      <c r="DB103" s="57">
        <f>IF($B103=$B102,$DB102,0)+$DA103</f>
        <v/>
      </c>
      <c r="DC103" s="57">
        <f>$DC102+$DA103</f>
        <v/>
      </c>
      <c r="DD103" s="57">
        <f>SUMIFS(tblPlant[Mill_Planned_Maint_h],tblPlant[Date],$A103)</f>
        <v/>
      </c>
      <c r="DE103" s="57">
        <f>IF($B103=$B102,$DE102,0)+$DD103</f>
        <v/>
      </c>
      <c r="DF103" s="57">
        <f>$DF102+$DD103</f>
        <v/>
      </c>
      <c r="DG103" s="57">
        <f>SUMIFS(tblPlant[Mill_Unplanned_Down_h],tblPlant[Date],$A103)</f>
        <v/>
      </c>
      <c r="DH103" s="57">
        <f>IF($B103=$B102,$DH102,0)+$DG103</f>
        <v/>
      </c>
      <c r="DI103" s="57">
        <f>$DI102+$DG103</f>
        <v/>
      </c>
      <c r="DJ103" s="57">
        <f>COUNTIFS(tblPlant[Date],$A103,tblPlant[Mill_Run_h],"&lt;&gt;")*24</f>
        <v/>
      </c>
      <c r="DK103" s="57">
        <f>IF($B103=$B102,$DK102,0)+$DJ103</f>
        <v/>
      </c>
      <c r="DL103" s="57">
        <f>$DL102+$DJ103</f>
        <v/>
      </c>
      <c r="DM103" s="57">
        <f>SUMIFS(tblPlant[Crusher_Run_h],tblPlant[Date],$A103)</f>
        <v/>
      </c>
      <c r="DN103" s="57">
        <f>IF($B103=$B102,$DN102,0)+$DM103</f>
        <v/>
      </c>
      <c r="DO103" s="57">
        <f>$DO102+$DM103</f>
        <v/>
      </c>
      <c r="DP103" s="55">
        <f>IFERROR(IF(($DA103)&gt;0,($BZ103)/($DA103),""),"")</f>
        <v/>
      </c>
      <c r="DQ103" s="55">
        <f>IFERROR(IF(($DB103)&gt;0,($CA103)/($DB103),""),"")</f>
        <v/>
      </c>
      <c r="DR103" s="55">
        <f>IFERROR(IF(($DC103)&gt;0,($CB103)/($DC103),""),"")</f>
        <v/>
      </c>
      <c r="DS103" s="67">
        <f>IFERROR(IF(($DJ103)&gt;0,($DJ103-$DD103-$DG103)/($DJ103),""),"")</f>
        <v/>
      </c>
      <c r="DT103" s="67">
        <f>IFERROR(IF(($DK103)&gt;0,($DK103-$DE103-$DH103)/($DK103),""),"")</f>
        <v/>
      </c>
      <c r="DU103" s="67">
        <f>IFERROR(IF(($DL103)&gt;0,($DL103-$DF103-$DI103)/($DL103),""),"")</f>
        <v/>
      </c>
      <c r="DV103" s="67">
        <f>IFERROR(IF(($DJ103-$DD103-$DG103)&gt;0,($DA103)/($DJ103-$DD103-$DG103),""),"")</f>
        <v/>
      </c>
      <c r="DW103" s="67">
        <f>IFERROR(IF(($DK103-$DE103-$DH103)&gt;0,($DB103)/($DK103-$DE103-$DH103),""),"")</f>
        <v/>
      </c>
      <c r="DX103" s="67">
        <f>IFERROR(IF(($DL103-$DF103-$DI103)&gt;0,($DC103)/($DL103-$DF103-$DI103),""),"")</f>
        <v/>
      </c>
      <c r="DY103" s="55">
        <f>SUMIFS(tblPlant[Cyanide_kg],tblPlant[Date],$A103)</f>
        <v/>
      </c>
      <c r="DZ103" s="55">
        <f>IF($B103=$B102,$DZ102,0)+$DY103</f>
        <v/>
      </c>
      <c r="EA103" s="55">
        <f>$EA102+$DY103</f>
        <v/>
      </c>
      <c r="EB103" s="55">
        <f>SUMIFS(tblPlant[Lime_kg],tblPlant[Date],$A103)</f>
        <v/>
      </c>
      <c r="EC103" s="55">
        <f>IF($B103=$B102,$EC102,0)+$EB103</f>
        <v/>
      </c>
      <c r="ED103" s="55">
        <f>$ED102+$EB103</f>
        <v/>
      </c>
      <c r="EE103" s="55">
        <f>SUMIFS(tblPlant[Grinding_Media_kg],tblPlant[Date],$A103)</f>
        <v/>
      </c>
      <c r="EF103" s="55">
        <f>IF($B103=$B102,$EF102,0)+$EE103</f>
        <v/>
      </c>
      <c r="EG103" s="55">
        <f>$EG102+$EE103</f>
        <v/>
      </c>
      <c r="EH103" s="55">
        <f>SUMIFS(tblPlant[Power_kWh],tblPlant[Date],$A103)</f>
        <v/>
      </c>
      <c r="EI103" s="55">
        <f>IF($B103=$B102,$EI102,0)+$EH103</f>
        <v/>
      </c>
      <c r="EJ103" s="55">
        <f>$EJ102+$EH103</f>
        <v/>
      </c>
      <c r="EK103" s="55">
        <f>SUMIFS(tblPlant[Raw_Water_m3],tblPlant[Date],$A103)</f>
        <v/>
      </c>
      <c r="EL103" s="55">
        <f>IF($B103=$B102,$EL102,0)+$EK103</f>
        <v/>
      </c>
      <c r="EM103" s="55">
        <f>$EM102+$EK103</f>
        <v/>
      </c>
      <c r="EN103" s="56">
        <f>IFERROR(IF(($BZ103)&gt;0,($DY103)/($BZ103),""),"")</f>
        <v/>
      </c>
      <c r="EO103" s="56">
        <f>IFERROR(IF(($CA103)&gt;0,($DZ103)/($CA103),""),"")</f>
        <v/>
      </c>
      <c r="EP103" s="56">
        <f>IFERROR(IF(($CB103)&gt;0,($EA103)/($CB103),""),"")</f>
        <v/>
      </c>
      <c r="EQ103" s="56">
        <f>IFERROR(IF(($BZ103)&gt;0,($EB103)/($BZ103),""),"")</f>
        <v/>
      </c>
      <c r="ER103" s="56">
        <f>IFERROR(IF(($CA103)&gt;0,($EC103)/($CA103),""),"")</f>
        <v/>
      </c>
      <c r="ES103" s="56">
        <f>IFERROR(IF(($CB103)&gt;0,($ED103)/($CB103),""),"")</f>
        <v/>
      </c>
      <c r="ET103" s="56">
        <f>IFERROR(IF(($BZ103)&gt;0,($EE103)/($BZ103),""),"")</f>
        <v/>
      </c>
      <c r="EU103" s="56">
        <f>IFERROR(IF(($CA103)&gt;0,($EF103)/($CA103),""),"")</f>
        <v/>
      </c>
      <c r="EV103" s="56">
        <f>IFERROR(IF(($CB103)&gt;0,($EG103)/($CB103),""),"")</f>
        <v/>
      </c>
      <c r="EW103" s="76">
        <f>IFERROR(IF(($BZ103)&gt;0,($EH103)/($BZ103),""),"")</f>
        <v/>
      </c>
      <c r="EX103" s="76">
        <f>IFERROR(IF(($CA103)&gt;0,($EI103)/($CA103),""),"")</f>
        <v/>
      </c>
      <c r="EY103" s="76">
        <f>IFERROR(IF(($CB103)&gt;0,($EJ103)/($CB103),""),"")</f>
        <v/>
      </c>
      <c r="EZ103" s="56">
        <f>IFERROR(IF(($BZ103)&gt;0,($EK103)/($BZ103),""),"")</f>
        <v/>
      </c>
      <c r="FA103" s="56">
        <f>IFERROR(IF(($CA103)&gt;0,($EL103)/($CA103),""),"")</f>
        <v/>
      </c>
      <c r="FB103" s="56">
        <f>IFERROR(IF(($CB103)&gt;0,($EM103)/($CB103),""),"")</f>
        <v/>
      </c>
      <c r="FC103" s="55">
        <f>IF(SUMIFS(tblPlant[GIC_oz],tblPlant[Date],$A103)&gt;0,SUMIFS(tblPlant[GIC_oz],tblPlant[Date],$A103),"")</f>
        <v/>
      </c>
      <c r="FD103" s="55">
        <f>SUMIFS(tblGold[Gold_oz],tblGold[Date],$A103,tblGold[Type],"Shipment")</f>
        <v/>
      </c>
      <c r="FE103" s="55">
        <f>IF($B103=$B102,$FE102,0)+$FD103</f>
        <v/>
      </c>
      <c r="FF103" s="55">
        <f>$FF102+$FD103</f>
        <v/>
      </c>
      <c r="FG103" s="55">
        <f>SUMIFS(tblGold[Gold_oz],tblGold[Date],$A103,tblGold[Type],"Sale")</f>
        <v/>
      </c>
      <c r="FH103" s="55">
        <f>IF($B103=$B102,$FH102,0)+$FG103</f>
        <v/>
      </c>
      <c r="FI103" s="55">
        <f>$FI102+$FG103</f>
        <v/>
      </c>
      <c r="FJ103" s="55">
        <f>SUMIFS(tblGold[Dore_kg],tblGold[Date],$A103,tblGold[Type],"Shipment")</f>
        <v/>
      </c>
      <c r="FK103" s="55">
        <f>IF($B103=$B102,$FK102,0)+$FJ103</f>
        <v/>
      </c>
      <c r="FL103" s="55">
        <f>$FL102+$FJ103</f>
        <v/>
      </c>
      <c r="FM103" s="57">
        <f>SUMIFS(tblSafety[Hours_Total],tblSafety[Date],$A103)</f>
        <v/>
      </c>
      <c r="FN103" s="57">
        <f>IF($B103=$B102,$FN102,0)+$FM103</f>
        <v/>
      </c>
      <c r="FO103" s="57">
        <f>$FO102+$FM103</f>
        <v/>
      </c>
      <c r="FP103" s="62">
        <f>SUMIFS(tblSafety[Fatality],tblSafety[Date],$A103)</f>
        <v/>
      </c>
      <c r="FQ103" s="62">
        <f>IF($B103=$B102,$FQ102,0)+$FP103</f>
        <v/>
      </c>
      <c r="FR103" s="62">
        <f>$FR102+$FP103</f>
        <v/>
      </c>
      <c r="FS103" s="62">
        <f>SUMIFS(tblSafety[LTI],tblSafety[Date],$A103)</f>
        <v/>
      </c>
      <c r="FT103" s="62">
        <f>IF($B103=$B102,$FT102,0)+$FS103</f>
        <v/>
      </c>
      <c r="FU103" s="62">
        <f>$FU102+$FS103</f>
        <v/>
      </c>
      <c r="FV103" s="62">
        <f>SUMIFS(tblSafety[RWI],tblSafety[Date],$A103)</f>
        <v/>
      </c>
      <c r="FW103" s="62">
        <f>IF($B103=$B102,$FW102,0)+$FV103</f>
        <v/>
      </c>
      <c r="FX103" s="62">
        <f>$FX102+$FV103</f>
        <v/>
      </c>
      <c r="FY103" s="62">
        <f>SUMIFS(tblSafety[MTI],tblSafety[Date],$A103)</f>
        <v/>
      </c>
      <c r="FZ103" s="62">
        <f>IF($B103=$B102,$FZ102,0)+$FY103</f>
        <v/>
      </c>
      <c r="GA103" s="62">
        <f>$GA102+$FY103</f>
        <v/>
      </c>
      <c r="GB103" s="62">
        <f>SUMIFS(tblSafety[FAI],tblSafety[Date],$A103)</f>
        <v/>
      </c>
      <c r="GC103" s="62">
        <f>IF($B103=$B102,$GC102,0)+$GB103</f>
        <v/>
      </c>
      <c r="GD103" s="62">
        <f>$GD102+$GB103</f>
        <v/>
      </c>
      <c r="GE103" s="62">
        <f>SUMIFS(tblSafety[Recordables],tblSafety[Date],$A103)</f>
        <v/>
      </c>
      <c r="GF103" s="62">
        <f>IF($B103=$B102,$GF102,0)+$GE103</f>
        <v/>
      </c>
      <c r="GG103" s="62">
        <f>$GG102+$GE103</f>
        <v/>
      </c>
      <c r="GH103" s="62">
        <f>SUMIFS(tblSafety[Near_Miss],tblSafety[Date],$A103)</f>
        <v/>
      </c>
      <c r="GI103" s="62">
        <f>IF($B103=$B102,$GI102,0)+$GH103</f>
        <v/>
      </c>
      <c r="GJ103" s="62">
        <f>$GJ102+$GH103</f>
        <v/>
      </c>
      <c r="GK103" s="62">
        <f>SUMIFS(tblSafety[Hazard_Reports],tblSafety[Date],$A103)</f>
        <v/>
      </c>
      <c r="GL103" s="62">
        <f>IF($B103=$B102,$GL102,0)+$GK103</f>
        <v/>
      </c>
      <c r="GM103" s="62">
        <f>$GM102+$GK103</f>
        <v/>
      </c>
      <c r="GN103" s="62">
        <f>SUMIFS(tblSafety[HPI],tblSafety[Date],$A103)</f>
        <v/>
      </c>
      <c r="GO103" s="62">
        <f>IF($B103=$B102,$GO102,0)+$GN103</f>
        <v/>
      </c>
      <c r="GP103" s="62">
        <f>$GP102+$GN103</f>
        <v/>
      </c>
      <c r="GQ103" s="62">
        <f>SUMIFS(tblSafety[Env_Incidents],tblSafety[Date],$A103)</f>
        <v/>
      </c>
      <c r="GR103" s="62">
        <f>IF($B103=$B102,$GR102,0)+$GQ103</f>
        <v/>
      </c>
      <c r="GS103" s="62">
        <f>$GS102+$GQ103</f>
        <v/>
      </c>
      <c r="GT103" s="62">
        <f>SUMIFS(tblSafety[Community_Incidents],tblSafety[Date],$A103)</f>
        <v/>
      </c>
      <c r="GU103" s="62">
        <f>IF($B103=$B102,$GU102,0)+$GT103</f>
        <v/>
      </c>
      <c r="GV103" s="62">
        <f>$GV102+$GT103</f>
        <v/>
      </c>
      <c r="GW103" s="62">
        <f>SUMIFS(tblSafety[Vehicle_Incidents],tblSafety[Date],$A103)</f>
        <v/>
      </c>
      <c r="GX103" s="62">
        <f>IF($B103=$B102,$GX102,0)+$GW103</f>
        <v/>
      </c>
      <c r="GY103" s="62">
        <f>$GY102+$GW103</f>
        <v/>
      </c>
      <c r="GZ103" s="62">
        <f>SUMIFS(tblSafety[Toolbox_Talks],tblSafety[Date],$A103)</f>
        <v/>
      </c>
      <c r="HA103" s="62">
        <f>IF($B103=$B102,$HA102,0)+$GZ103</f>
        <v/>
      </c>
      <c r="HB103" s="62">
        <f>$HB102+$GZ103</f>
        <v/>
      </c>
      <c r="HC103" s="62">
        <f>SUMIFS(tblSafety[Inspections],tblSafety[Date],$A103)</f>
        <v/>
      </c>
      <c r="HD103" s="62">
        <f>IF($B103=$B102,$HD102,0)+$HC103</f>
        <v/>
      </c>
      <c r="HE103" s="62">
        <f>$HE102+$HC103</f>
        <v/>
      </c>
      <c r="HF103" s="56">
        <f>IFERROR((SUMIFS(tblSafety[Recordables],tblSafety[Date],"&gt;="&amp;EDATE($E103,-12),tblSafety[Date],"&lt;="&amp;$A103)+SUMIFS(tblSafetyHistory[Recordables],tblSafetyHistory[Month],"&gt;="&amp;EDATE($E103,-12),tblSafetyHistory[Month],"&lt;"&amp;cfg_YearStart))/(SUMIFS(tblSafety[Hours_Total],tblSafety[Date],"&gt;="&amp;EDATE($E103,-12),tblSafety[Date],"&lt;="&amp;$A103)+SUMIFS(tblSafetyHistory[Hours_Total],tblSafetyHistory[Month],"&gt;="&amp;EDATE($E103,-12),tblSafetyHistory[Month],"&lt;"&amp;cfg_YearStart))*1000000,"")</f>
        <v/>
      </c>
      <c r="HG103" s="56">
        <f>IFERROR((SUMIFS(tblSafety[LTI],tblSafety[Date],"&gt;="&amp;EDATE($E103,-12),tblSafety[Date],"&lt;="&amp;$A103)+SUMIFS(tblSafetyHistory[LTI],tblSafetyHistory[Month],"&gt;="&amp;EDATE($E103,-12),tblSafetyHistory[Month],"&lt;"&amp;cfg_YearStart))/(SUMIFS(tblSafety[Hours_Total],tblSafety[Date],"&gt;="&amp;EDATE($E103,-12),tblSafety[Date],"&lt;="&amp;$A103)+SUMIFS(tblSafetyHistory[Hours_Total],tblSafetyHistory[Month],"&gt;="&amp;EDATE($E103,-12),tblSafetyHistory[Month],"&lt;"&amp;cfg_YearStart))*1000000,"")</f>
        <v/>
      </c>
      <c r="HH103" s="62">
        <f>IF(MAX(N(cfg_PriorLTIDate),_xlfn.MAXIFS(tblSafety[Date],tblSafety[LTI],"&gt;0",tblSafety[Date],"&lt;="&amp;$A103))=0,"",$A103-MAX(N(cfg_PriorLTIDate),_xlfn.MAXIFS(tblSafety[Date],tblSafety[LTI],"&gt;0",tblSafety[Date],"&lt;="&amp;$A103)))</f>
        <v/>
      </c>
      <c r="HI103" s="55">
        <f>SUMIFS(tblBudget[Ore_Mined_t],tblBudget[Month],$E103)</f>
        <v/>
      </c>
      <c r="HJ103" s="55">
        <f>$HI103*$C103/$D103</f>
        <v/>
      </c>
      <c r="HK103" s="55">
        <f>SUMIFS(tblBudget[Ore_Mined_t],tblBudget[Month],"&lt;"&amp;$E103)+$HJ103</f>
        <v/>
      </c>
      <c r="HL103" s="55">
        <f>SUMIFS(tblBudget[Ore_oz],tblBudget[Month],$E103)</f>
        <v/>
      </c>
      <c r="HM103" s="55">
        <f>$HL103*$C103/$D103</f>
        <v/>
      </c>
      <c r="HN103" s="55">
        <f>SUMIFS(tblBudget[Ore_oz],tblBudget[Month],"&lt;"&amp;$E103)+$HM103</f>
        <v/>
      </c>
      <c r="HO103" s="56">
        <f>IFERROR(IF(($HI103)&gt;0,($HL103*cfg_TroyOz)/($HI103),""),"")</f>
        <v/>
      </c>
      <c r="HP103" s="56">
        <f>IFERROR(IF(($HJ103)&gt;0,($HM103*cfg_TroyOz)/($HJ103),""),"")</f>
        <v/>
      </c>
      <c r="HQ103" s="56">
        <f>IFERROR(IF(($HK103)&gt;0,($HN103*cfg_TroyOz)/($HK103),""),"")</f>
        <v/>
      </c>
      <c r="HR103" s="55">
        <f>SUMIFS(tblBudget[Waste_t],tblBudget[Month],$E103)</f>
        <v/>
      </c>
      <c r="HS103" s="55">
        <f>$HR103*$C103/$D103</f>
        <v/>
      </c>
      <c r="HT103" s="55">
        <f>SUMIFS(tblBudget[Waste_t],tblBudget[Month],"&lt;"&amp;$E103)+$HS103</f>
        <v/>
      </c>
      <c r="HU103" s="55">
        <f>SUMIFS(tblBudget[TMM_t],tblBudget[Month],$E103)</f>
        <v/>
      </c>
      <c r="HV103" s="55">
        <f>$HU103*$C103/$D103</f>
        <v/>
      </c>
      <c r="HW103" s="55">
        <f>SUMIFS(tblBudget[TMM_t],tblBudget[Month],"&lt;"&amp;$E103)+$HV103</f>
        <v/>
      </c>
      <c r="HX103" s="56">
        <f>IFERROR(IF(($HI103)&gt;0,($HR103)/($HI103),""),"")</f>
        <v/>
      </c>
      <c r="HY103" s="56">
        <f>IFERROR(IF(($HJ103)&gt;0,($HS103)/($HJ103),""),"")</f>
        <v/>
      </c>
      <c r="HZ103" s="56">
        <f>IFERROR(IF(($HK103)&gt;0,($HT103)/($HK103),""),"")</f>
        <v/>
      </c>
      <c r="IA103" s="55">
        <f>SUMIFS(tblBudget[Drill_m],tblBudget[Month],$E103)</f>
        <v/>
      </c>
      <c r="IB103" s="55">
        <f>$IA103*$C103/$D103</f>
        <v/>
      </c>
      <c r="IC103" s="55">
        <f>SUMIFS(tblBudget[Drill_m],tblBudget[Month],"&lt;"&amp;$E103)+$IB103</f>
        <v/>
      </c>
      <c r="ID103" s="55">
        <f>SUMIFS(tblBudget[Diesel_L],tblBudget[Month],$E103)</f>
        <v/>
      </c>
      <c r="IE103" s="55">
        <f>$ID103*$C103/$D103</f>
        <v/>
      </c>
      <c r="IF103" s="55">
        <f>SUMIFS(tblBudget[Diesel_L],tblBudget[Month],"&lt;"&amp;$E103)+$IE103</f>
        <v/>
      </c>
      <c r="IG103" s="55">
        <f>SUMIFS(tblBudget[Milled_t],tblBudget[Month],$E103)</f>
        <v/>
      </c>
      <c r="IH103" s="55">
        <f>$IG103*$C103/$D103</f>
        <v/>
      </c>
      <c r="II103" s="55">
        <f>SUMIFS(tblBudget[Milled_t],tblBudget[Month],"&lt;"&amp;$E103)+$IH103</f>
        <v/>
      </c>
      <c r="IJ103" s="55">
        <f>SUMIFS(tblBudget[Feed_oz],tblBudget[Month],$E103)</f>
        <v/>
      </c>
      <c r="IK103" s="55">
        <f>$IJ103*$C103/$D103</f>
        <v/>
      </c>
      <c r="IL103" s="55">
        <f>SUMIFS(tblBudget[Feed_oz],tblBudget[Month],"&lt;"&amp;$E103)+$IK103</f>
        <v/>
      </c>
      <c r="IM103" s="55">
        <f>SUMIFS(tblBudget[Recovered_oz],tblBudget[Month],$E103)</f>
        <v/>
      </c>
      <c r="IN103" s="55">
        <f>$IM103*$C103/$D103</f>
        <v/>
      </c>
      <c r="IO103" s="55">
        <f>SUMIFS(tblBudget[Recovered_oz],tblBudget[Month],"&lt;"&amp;$E103)+$IN103</f>
        <v/>
      </c>
      <c r="IP103" s="56">
        <f>IFERROR(IF(($IG103)&gt;0,($IJ103*cfg_TroyOz)/($IG103),""),"")</f>
        <v/>
      </c>
      <c r="IQ103" s="56">
        <f>IFERROR(IF(($IH103)&gt;0,($IK103*cfg_TroyOz)/($IH103),""),"")</f>
        <v/>
      </c>
      <c r="IR103" s="56">
        <f>IFERROR(IF(($II103)&gt;0,($IL103*cfg_TroyOz)/($II103),""),"")</f>
        <v/>
      </c>
      <c r="IS103" s="67">
        <f>IFERROR(IF(($IJ103)&gt;0,($IM103)/($IJ103),""),"")</f>
        <v/>
      </c>
      <c r="IT103" s="67">
        <f>IFERROR(IF(($IK103)&gt;0,($IN103)/($IK103),""),"")</f>
        <v/>
      </c>
      <c r="IU103" s="67">
        <f>IFERROR(IF(($IL103)&gt;0,($IO103)/($IL103),""),"")</f>
        <v/>
      </c>
      <c r="IV103" s="55">
        <f>SUMIFS(tblBudget[Gold_Poured_oz],tblBudget[Month],$E103)</f>
        <v/>
      </c>
      <c r="IW103" s="55">
        <f>$IV103*$C103/$D103</f>
        <v/>
      </c>
      <c r="IX103" s="55">
        <f>SUMIFS(tblBudget[Gold_Poured_oz],tblBudget[Month],"&lt;"&amp;$E103)+$IW103</f>
        <v/>
      </c>
      <c r="IY103" s="57">
        <f>SUMIFS(tblBudget[Hours_Worked],tblBudget[Month],$E103)</f>
        <v/>
      </c>
      <c r="IZ103" s="57">
        <f>$IY103*$C103/$D103</f>
        <v/>
      </c>
      <c r="JA103" s="57">
        <f>SUMIFS(tblBudget[Hours_Worked],tblBudget[Month],"&lt;"&amp;$E103)+$IZ103</f>
        <v/>
      </c>
    </row>
    <row r="104">
      <c r="A104" s="54" t="n">
        <v>46125</v>
      </c>
      <c r="B104">
        <f>MONTH($A104)</f>
        <v/>
      </c>
      <c r="C104">
        <f>DAY($A104)</f>
        <v/>
      </c>
      <c r="D104">
        <f>DAY(EOMONTH($A104,0))</f>
        <v/>
      </c>
      <c r="E104" s="54">
        <f>DATE(YEAR($A104),MONTH($A104),1)</f>
        <v/>
      </c>
      <c r="F104" s="55">
        <f>SUMIFS(tblMovement[Tonnes_t],tblMovement[Date],$A104,tblMovement[Is_Ore],1,tblMovement[Source_Type],"Pit")</f>
        <v/>
      </c>
      <c r="G104" s="55">
        <f>IF($B104=$B103,$G103,0)+$F104</f>
        <v/>
      </c>
      <c r="H104" s="55">
        <f>$H103+$F104</f>
        <v/>
      </c>
      <c r="I104" s="55">
        <f>SUMIFS(tblMovement[Ore_oz],tblMovement[Date],$A104,tblMovement[Source_Type],"Pit")</f>
        <v/>
      </c>
      <c r="J104" s="55">
        <f>IF($B104=$B103,$J103,0)+$I104</f>
        <v/>
      </c>
      <c r="K104" s="55">
        <f>$K103+$I104</f>
        <v/>
      </c>
      <c r="L104" s="56">
        <f>IFERROR(IF(($F104)&gt;0,($I104*cfg_TroyOz)/($F104),""),"")</f>
        <v/>
      </c>
      <c r="M104" s="56">
        <f>IFERROR(IF(($G104)&gt;0,($J104*cfg_TroyOz)/($G104),""),"")</f>
        <v/>
      </c>
      <c r="N104" s="56">
        <f>IFERROR(IF(($H104)&gt;0,($K104*cfg_TroyOz)/($H104),""),"")</f>
        <v/>
      </c>
      <c r="O104" s="55">
        <f>SUMIFS(tblMovement[Tonnes_t],tblMovement[Date],$A104,tblMovement[Is_Ore],0,tblMovement[Source_Type],"Pit")</f>
        <v/>
      </c>
      <c r="P104" s="55">
        <f>IF($B104=$B103,$P103,0)+$O104</f>
        <v/>
      </c>
      <c r="Q104" s="55">
        <f>$Q103+$O104</f>
        <v/>
      </c>
      <c r="R104" s="55">
        <f>$F104+$O104</f>
        <v/>
      </c>
      <c r="S104" s="55">
        <f>IF($B104=$B103,$S103,0)+$R104</f>
        <v/>
      </c>
      <c r="T104" s="55">
        <f>$T103+$R104</f>
        <v/>
      </c>
      <c r="U104" s="56">
        <f>IFERROR(IF(($F104)&gt;0,($O104)/($F104),""),"")</f>
        <v/>
      </c>
      <c r="V104" s="56">
        <f>IFERROR(IF(($G104)&gt;0,($P104)/($G104),""),"")</f>
        <v/>
      </c>
      <c r="W104" s="56">
        <f>IFERROR(IF(($H104)&gt;0,($Q104)/($H104),""),"")</f>
        <v/>
      </c>
      <c r="X104" s="55">
        <f>SUMIFS(tblMovement[Tonnes_t],tblMovement[Date],$A104,tblMovement[Source_Type],"Stockpile")</f>
        <v/>
      </c>
      <c r="Y104" s="55">
        <f>IF($B104=$B103,$Y103,0)+$X104</f>
        <v/>
      </c>
      <c r="Z104" s="55">
        <f>$Z103+$X104</f>
        <v/>
      </c>
      <c r="AA104" s="55">
        <f>SUMIFS(tblMiningDaily[Drill_m],tblMiningDaily[Date],$A104)</f>
        <v/>
      </c>
      <c r="AB104" s="55">
        <f>IF($B104=$B103,$AB103,0)+$AA104</f>
        <v/>
      </c>
      <c r="AC104" s="55">
        <f>$AC103+$AA104</f>
        <v/>
      </c>
      <c r="AD104" s="55">
        <f>SUMIFS(tblMiningDaily[Blast_t],tblMiningDaily[Date],$A104)</f>
        <v/>
      </c>
      <c r="AE104" s="55">
        <f>IF($B104=$B103,$AE103,0)+$AD104</f>
        <v/>
      </c>
      <c r="AF104" s="55">
        <f>$AF103+$AD104</f>
        <v/>
      </c>
      <c r="AG104" s="55">
        <f>SUMIFS(tblMiningDaily[Explosives_kg],tblMiningDaily[Date],$A104)</f>
        <v/>
      </c>
      <c r="AH104" s="55">
        <f>IF($B104=$B103,$AH103,0)+$AG104</f>
        <v/>
      </c>
      <c r="AI104" s="55">
        <f>$AI103+$AG104</f>
        <v/>
      </c>
      <c r="AJ104" s="56">
        <f>IFERROR(IF(($AD104)&gt;0,($AG104)/($AD104),""),"")</f>
        <v/>
      </c>
      <c r="AK104" s="56">
        <f>IFERROR(IF(($AE104)&gt;0,($AH104)/($AE104),""),"")</f>
        <v/>
      </c>
      <c r="AL104" s="56">
        <f>IFERROR(IF(($AF104)&gt;0,($AI104)/($AF104),""),"")</f>
        <v/>
      </c>
      <c r="AM104" s="55">
        <f>SUMIFS(tblMiningDaily[Diesel_L],tblMiningDaily[Date],$A104)</f>
        <v/>
      </c>
      <c r="AN104" s="55">
        <f>IF($B104=$B103,$AN103,0)+$AM104</f>
        <v/>
      </c>
      <c r="AO104" s="55">
        <f>$AO103+$AM104</f>
        <v/>
      </c>
      <c r="AP104" s="55">
        <f>SUMIFS(tblMiningDaily[Dewatering_m3],tblMiningDaily[Date],$A104)</f>
        <v/>
      </c>
      <c r="AQ104" s="55">
        <f>IF($B104=$B103,$AQ103,0)+$AP104</f>
        <v/>
      </c>
      <c r="AR104" s="55">
        <f>$AR103+$AP104</f>
        <v/>
      </c>
      <c r="AS104" s="57">
        <f>SUMIFS(tblFleet[Calendar_h],tblFleet[Date],$A104,tblFleet[Equipment_Class],"Excavator")</f>
        <v/>
      </c>
      <c r="AT104" s="57">
        <f>IF($B104=$B103,$AT103,0)+$AS104</f>
        <v/>
      </c>
      <c r="AU104" s="57">
        <f>$AU103+$AS104</f>
        <v/>
      </c>
      <c r="AV104" s="57">
        <f>SUMIFS(tblFleet[Available_h],tblFleet[Date],$A104,tblFleet[Equipment_Class],"Excavator")</f>
        <v/>
      </c>
      <c r="AW104" s="57">
        <f>IF($B104=$B103,$AW103,0)+$AV104</f>
        <v/>
      </c>
      <c r="AX104" s="57">
        <f>$AX103+$AV104</f>
        <v/>
      </c>
      <c r="AY104" s="57">
        <f>SUMIFS(tblFleet[Operating_h],tblFleet[Date],$A104,tblFleet[Equipment_Class],"Excavator")</f>
        <v/>
      </c>
      <c r="AZ104" s="57">
        <f>IF($B104=$B103,$AZ103,0)+$AY104</f>
        <v/>
      </c>
      <c r="BA104" s="57">
        <f>$BA103+$AY104</f>
        <v/>
      </c>
      <c r="BB104" s="67">
        <f>IFERROR(IF(($AS104)&gt;0,($AV104)/($AS104),""),"")</f>
        <v/>
      </c>
      <c r="BC104" s="67">
        <f>IFERROR(IF(($AT104)&gt;0,($AW104)/($AT104),""),"")</f>
        <v/>
      </c>
      <c r="BD104" s="67">
        <f>IFERROR(IF(($AU104)&gt;0,($AX104)/($AU104),""),"")</f>
        <v/>
      </c>
      <c r="BE104" s="67">
        <f>IFERROR(IF(($AV104)&gt;0,($AY104)/($AV104),""),"")</f>
        <v/>
      </c>
      <c r="BF104" s="67">
        <f>IFERROR(IF(($AW104)&gt;0,($AZ104)/($AW104),""),"")</f>
        <v/>
      </c>
      <c r="BG104" s="67">
        <f>IFERROR(IF(($AX104)&gt;0,($BA104)/($AX104),""),"")</f>
        <v/>
      </c>
      <c r="BH104" s="57">
        <f>SUMIFS(tblFleet[Calendar_h],tblFleet[Date],$A104,tblFleet[Equipment_Class],"Haul Truck")</f>
        <v/>
      </c>
      <c r="BI104" s="57">
        <f>IF($B104=$B103,$BI103,0)+$BH104</f>
        <v/>
      </c>
      <c r="BJ104" s="57">
        <f>$BJ103+$BH104</f>
        <v/>
      </c>
      <c r="BK104" s="57">
        <f>SUMIFS(tblFleet[Available_h],tblFleet[Date],$A104,tblFleet[Equipment_Class],"Haul Truck")</f>
        <v/>
      </c>
      <c r="BL104" s="57">
        <f>IF($B104=$B103,$BL103,0)+$BK104</f>
        <v/>
      </c>
      <c r="BM104" s="57">
        <f>$BM103+$BK104</f>
        <v/>
      </c>
      <c r="BN104" s="57">
        <f>SUMIFS(tblFleet[Operating_h],tblFleet[Date],$A104,tblFleet[Equipment_Class],"Haul Truck")</f>
        <v/>
      </c>
      <c r="BO104" s="57">
        <f>IF($B104=$B103,$BO103,0)+$BN104</f>
        <v/>
      </c>
      <c r="BP104" s="57">
        <f>$BP103+$BN104</f>
        <v/>
      </c>
      <c r="BQ104" s="67">
        <f>IFERROR(IF(($BH104)&gt;0,($BK104)/($BH104),""),"")</f>
        <v/>
      </c>
      <c r="BR104" s="67">
        <f>IFERROR(IF(($BI104)&gt;0,($BL104)/($BI104),""),"")</f>
        <v/>
      </c>
      <c r="BS104" s="67">
        <f>IFERROR(IF(($BJ104)&gt;0,($BM104)/($BJ104),""),"")</f>
        <v/>
      </c>
      <c r="BT104" s="67">
        <f>IFERROR(IF(($BK104)&gt;0,($BN104)/($BK104),""),"")</f>
        <v/>
      </c>
      <c r="BU104" s="67">
        <f>IFERROR(IF(($BL104)&gt;0,($BO104)/($BL104),""),"")</f>
        <v/>
      </c>
      <c r="BV104" s="67">
        <f>IFERROR(IF(($BM104)&gt;0,($BP104)/($BM104),""),"")</f>
        <v/>
      </c>
      <c r="BW104" s="55">
        <f>SUMIFS(tblPlant[Crushed_t],tblPlant[Date],$A104)</f>
        <v/>
      </c>
      <c r="BX104" s="55">
        <f>IF($B104=$B103,$BX103,0)+$BW104</f>
        <v/>
      </c>
      <c r="BY104" s="55">
        <f>$BY103+$BW104</f>
        <v/>
      </c>
      <c r="BZ104" s="55">
        <f>SUMIFS(tblPlant[Milled_t],tblPlant[Date],$A104)</f>
        <v/>
      </c>
      <c r="CA104" s="55">
        <f>IF($B104=$B103,$CA103,0)+$BZ104</f>
        <v/>
      </c>
      <c r="CB104" s="55">
        <f>$CB103+$BZ104</f>
        <v/>
      </c>
      <c r="CC104" s="55">
        <f>SUMIFS(tblPlant[Feed_oz],tblPlant[Date],$A104)</f>
        <v/>
      </c>
      <c r="CD104" s="55">
        <f>IF($B104=$B103,$CD103,0)+$CC104</f>
        <v/>
      </c>
      <c r="CE104" s="55">
        <f>$CE103+$CC104</f>
        <v/>
      </c>
      <c r="CF104" s="55">
        <f>SUMIFS(tblPlant[Tails_oz],tblPlant[Date],$A104)</f>
        <v/>
      </c>
      <c r="CG104" s="55">
        <f>IF($B104=$B103,$CG103,0)+$CF104</f>
        <v/>
      </c>
      <c r="CH104" s="55">
        <f>$CH103+$CF104</f>
        <v/>
      </c>
      <c r="CI104" s="55">
        <f>SUMIFS(tblPlant[Recovered_oz],tblPlant[Date],$A104)</f>
        <v/>
      </c>
      <c r="CJ104" s="55">
        <f>IF($B104=$B103,$CJ103,0)+$CI104</f>
        <v/>
      </c>
      <c r="CK104" s="55">
        <f>$CK103+$CI104</f>
        <v/>
      </c>
      <c r="CL104" s="56">
        <f>IFERROR(IF(($BZ104)&gt;0,($CC104*cfg_TroyOz)/($BZ104),""),"")</f>
        <v/>
      </c>
      <c r="CM104" s="56">
        <f>IFERROR(IF(($CA104)&gt;0,($CD104*cfg_TroyOz)/($CA104),""),"")</f>
        <v/>
      </c>
      <c r="CN104" s="56">
        <f>IFERROR(IF(($CB104)&gt;0,($CE104*cfg_TroyOz)/($CB104),""),"")</f>
        <v/>
      </c>
      <c r="CO104" s="56">
        <f>IFERROR(IF(($BZ104)&gt;0,($CF104*cfg_TroyOz)/($BZ104),""),"")</f>
        <v/>
      </c>
      <c r="CP104" s="56">
        <f>IFERROR(IF(($CA104)&gt;0,($CG104*cfg_TroyOz)/($CA104),""),"")</f>
        <v/>
      </c>
      <c r="CQ104" s="56">
        <f>IFERROR(IF(($CB104)&gt;0,($CH104*cfg_TroyOz)/($CB104),""),"")</f>
        <v/>
      </c>
      <c r="CR104" s="67">
        <f>IFERROR(IF(($CC104)&gt;0,($CI104)/($CC104),""),"")</f>
        <v/>
      </c>
      <c r="CS104" s="67">
        <f>IFERROR(IF(($CD104)&gt;0,($CJ104)/($CD104),""),"")</f>
        <v/>
      </c>
      <c r="CT104" s="67">
        <f>IFERROR(IF(($CE104)&gt;0,($CK104)/($CE104),""),"")</f>
        <v/>
      </c>
      <c r="CU104" s="55">
        <f>SUMIFS(tblPlant[Gravity_Gold_oz],tblPlant[Date],$A104)</f>
        <v/>
      </c>
      <c r="CV104" s="55">
        <f>IF($B104=$B103,$CV103,0)+$CU104</f>
        <v/>
      </c>
      <c r="CW104" s="55">
        <f>$CW103+$CU104</f>
        <v/>
      </c>
      <c r="CX104" s="55">
        <f>SUMIFS(tblPlant[Gold_Poured_oz],tblPlant[Date],$A104)</f>
        <v/>
      </c>
      <c r="CY104" s="55">
        <f>IF($B104=$B103,$CY103,0)+$CX104</f>
        <v/>
      </c>
      <c r="CZ104" s="55">
        <f>$CZ103+$CX104</f>
        <v/>
      </c>
      <c r="DA104" s="57">
        <f>SUMIFS(tblPlant[Mill_Run_h],tblPlant[Date],$A104)</f>
        <v/>
      </c>
      <c r="DB104" s="57">
        <f>IF($B104=$B103,$DB103,0)+$DA104</f>
        <v/>
      </c>
      <c r="DC104" s="57">
        <f>$DC103+$DA104</f>
        <v/>
      </c>
      <c r="DD104" s="57">
        <f>SUMIFS(tblPlant[Mill_Planned_Maint_h],tblPlant[Date],$A104)</f>
        <v/>
      </c>
      <c r="DE104" s="57">
        <f>IF($B104=$B103,$DE103,0)+$DD104</f>
        <v/>
      </c>
      <c r="DF104" s="57">
        <f>$DF103+$DD104</f>
        <v/>
      </c>
      <c r="DG104" s="57">
        <f>SUMIFS(tblPlant[Mill_Unplanned_Down_h],tblPlant[Date],$A104)</f>
        <v/>
      </c>
      <c r="DH104" s="57">
        <f>IF($B104=$B103,$DH103,0)+$DG104</f>
        <v/>
      </c>
      <c r="DI104" s="57">
        <f>$DI103+$DG104</f>
        <v/>
      </c>
      <c r="DJ104" s="57">
        <f>COUNTIFS(tblPlant[Date],$A104,tblPlant[Mill_Run_h],"&lt;&gt;")*24</f>
        <v/>
      </c>
      <c r="DK104" s="57">
        <f>IF($B104=$B103,$DK103,0)+$DJ104</f>
        <v/>
      </c>
      <c r="DL104" s="57">
        <f>$DL103+$DJ104</f>
        <v/>
      </c>
      <c r="DM104" s="57">
        <f>SUMIFS(tblPlant[Crusher_Run_h],tblPlant[Date],$A104)</f>
        <v/>
      </c>
      <c r="DN104" s="57">
        <f>IF($B104=$B103,$DN103,0)+$DM104</f>
        <v/>
      </c>
      <c r="DO104" s="57">
        <f>$DO103+$DM104</f>
        <v/>
      </c>
      <c r="DP104" s="55">
        <f>IFERROR(IF(($DA104)&gt;0,($BZ104)/($DA104),""),"")</f>
        <v/>
      </c>
      <c r="DQ104" s="55">
        <f>IFERROR(IF(($DB104)&gt;0,($CA104)/($DB104),""),"")</f>
        <v/>
      </c>
      <c r="DR104" s="55">
        <f>IFERROR(IF(($DC104)&gt;0,($CB104)/($DC104),""),"")</f>
        <v/>
      </c>
      <c r="DS104" s="67">
        <f>IFERROR(IF(($DJ104)&gt;0,($DJ104-$DD104-$DG104)/($DJ104),""),"")</f>
        <v/>
      </c>
      <c r="DT104" s="67">
        <f>IFERROR(IF(($DK104)&gt;0,($DK104-$DE104-$DH104)/($DK104),""),"")</f>
        <v/>
      </c>
      <c r="DU104" s="67">
        <f>IFERROR(IF(($DL104)&gt;0,($DL104-$DF104-$DI104)/($DL104),""),"")</f>
        <v/>
      </c>
      <c r="DV104" s="67">
        <f>IFERROR(IF(($DJ104-$DD104-$DG104)&gt;0,($DA104)/($DJ104-$DD104-$DG104),""),"")</f>
        <v/>
      </c>
      <c r="DW104" s="67">
        <f>IFERROR(IF(($DK104-$DE104-$DH104)&gt;0,($DB104)/($DK104-$DE104-$DH104),""),"")</f>
        <v/>
      </c>
      <c r="DX104" s="67">
        <f>IFERROR(IF(($DL104-$DF104-$DI104)&gt;0,($DC104)/($DL104-$DF104-$DI104),""),"")</f>
        <v/>
      </c>
      <c r="DY104" s="55">
        <f>SUMIFS(tblPlant[Cyanide_kg],tblPlant[Date],$A104)</f>
        <v/>
      </c>
      <c r="DZ104" s="55">
        <f>IF($B104=$B103,$DZ103,0)+$DY104</f>
        <v/>
      </c>
      <c r="EA104" s="55">
        <f>$EA103+$DY104</f>
        <v/>
      </c>
      <c r="EB104" s="55">
        <f>SUMIFS(tblPlant[Lime_kg],tblPlant[Date],$A104)</f>
        <v/>
      </c>
      <c r="EC104" s="55">
        <f>IF($B104=$B103,$EC103,0)+$EB104</f>
        <v/>
      </c>
      <c r="ED104" s="55">
        <f>$ED103+$EB104</f>
        <v/>
      </c>
      <c r="EE104" s="55">
        <f>SUMIFS(tblPlant[Grinding_Media_kg],tblPlant[Date],$A104)</f>
        <v/>
      </c>
      <c r="EF104" s="55">
        <f>IF($B104=$B103,$EF103,0)+$EE104</f>
        <v/>
      </c>
      <c r="EG104" s="55">
        <f>$EG103+$EE104</f>
        <v/>
      </c>
      <c r="EH104" s="55">
        <f>SUMIFS(tblPlant[Power_kWh],tblPlant[Date],$A104)</f>
        <v/>
      </c>
      <c r="EI104" s="55">
        <f>IF($B104=$B103,$EI103,0)+$EH104</f>
        <v/>
      </c>
      <c r="EJ104" s="55">
        <f>$EJ103+$EH104</f>
        <v/>
      </c>
      <c r="EK104" s="55">
        <f>SUMIFS(tblPlant[Raw_Water_m3],tblPlant[Date],$A104)</f>
        <v/>
      </c>
      <c r="EL104" s="55">
        <f>IF($B104=$B103,$EL103,0)+$EK104</f>
        <v/>
      </c>
      <c r="EM104" s="55">
        <f>$EM103+$EK104</f>
        <v/>
      </c>
      <c r="EN104" s="56">
        <f>IFERROR(IF(($BZ104)&gt;0,($DY104)/($BZ104),""),"")</f>
        <v/>
      </c>
      <c r="EO104" s="56">
        <f>IFERROR(IF(($CA104)&gt;0,($DZ104)/($CA104),""),"")</f>
        <v/>
      </c>
      <c r="EP104" s="56">
        <f>IFERROR(IF(($CB104)&gt;0,($EA104)/($CB104),""),"")</f>
        <v/>
      </c>
      <c r="EQ104" s="56">
        <f>IFERROR(IF(($BZ104)&gt;0,($EB104)/($BZ104),""),"")</f>
        <v/>
      </c>
      <c r="ER104" s="56">
        <f>IFERROR(IF(($CA104)&gt;0,($EC104)/($CA104),""),"")</f>
        <v/>
      </c>
      <c r="ES104" s="56">
        <f>IFERROR(IF(($CB104)&gt;0,($ED104)/($CB104),""),"")</f>
        <v/>
      </c>
      <c r="ET104" s="56">
        <f>IFERROR(IF(($BZ104)&gt;0,($EE104)/($BZ104),""),"")</f>
        <v/>
      </c>
      <c r="EU104" s="56">
        <f>IFERROR(IF(($CA104)&gt;0,($EF104)/($CA104),""),"")</f>
        <v/>
      </c>
      <c r="EV104" s="56">
        <f>IFERROR(IF(($CB104)&gt;0,($EG104)/($CB104),""),"")</f>
        <v/>
      </c>
      <c r="EW104" s="76">
        <f>IFERROR(IF(($BZ104)&gt;0,($EH104)/($BZ104),""),"")</f>
        <v/>
      </c>
      <c r="EX104" s="76">
        <f>IFERROR(IF(($CA104)&gt;0,($EI104)/($CA104),""),"")</f>
        <v/>
      </c>
      <c r="EY104" s="76">
        <f>IFERROR(IF(($CB104)&gt;0,($EJ104)/($CB104),""),"")</f>
        <v/>
      </c>
      <c r="EZ104" s="56">
        <f>IFERROR(IF(($BZ104)&gt;0,($EK104)/($BZ104),""),"")</f>
        <v/>
      </c>
      <c r="FA104" s="56">
        <f>IFERROR(IF(($CA104)&gt;0,($EL104)/($CA104),""),"")</f>
        <v/>
      </c>
      <c r="FB104" s="56">
        <f>IFERROR(IF(($CB104)&gt;0,($EM104)/($CB104),""),"")</f>
        <v/>
      </c>
      <c r="FC104" s="55">
        <f>IF(SUMIFS(tblPlant[GIC_oz],tblPlant[Date],$A104)&gt;0,SUMIFS(tblPlant[GIC_oz],tblPlant[Date],$A104),"")</f>
        <v/>
      </c>
      <c r="FD104" s="55">
        <f>SUMIFS(tblGold[Gold_oz],tblGold[Date],$A104,tblGold[Type],"Shipment")</f>
        <v/>
      </c>
      <c r="FE104" s="55">
        <f>IF($B104=$B103,$FE103,0)+$FD104</f>
        <v/>
      </c>
      <c r="FF104" s="55">
        <f>$FF103+$FD104</f>
        <v/>
      </c>
      <c r="FG104" s="55">
        <f>SUMIFS(tblGold[Gold_oz],tblGold[Date],$A104,tblGold[Type],"Sale")</f>
        <v/>
      </c>
      <c r="FH104" s="55">
        <f>IF($B104=$B103,$FH103,0)+$FG104</f>
        <v/>
      </c>
      <c r="FI104" s="55">
        <f>$FI103+$FG104</f>
        <v/>
      </c>
      <c r="FJ104" s="55">
        <f>SUMIFS(tblGold[Dore_kg],tblGold[Date],$A104,tblGold[Type],"Shipment")</f>
        <v/>
      </c>
      <c r="FK104" s="55">
        <f>IF($B104=$B103,$FK103,0)+$FJ104</f>
        <v/>
      </c>
      <c r="FL104" s="55">
        <f>$FL103+$FJ104</f>
        <v/>
      </c>
      <c r="FM104" s="57">
        <f>SUMIFS(tblSafety[Hours_Total],tblSafety[Date],$A104)</f>
        <v/>
      </c>
      <c r="FN104" s="57">
        <f>IF($B104=$B103,$FN103,0)+$FM104</f>
        <v/>
      </c>
      <c r="FO104" s="57">
        <f>$FO103+$FM104</f>
        <v/>
      </c>
      <c r="FP104" s="62">
        <f>SUMIFS(tblSafety[Fatality],tblSafety[Date],$A104)</f>
        <v/>
      </c>
      <c r="FQ104" s="62">
        <f>IF($B104=$B103,$FQ103,0)+$FP104</f>
        <v/>
      </c>
      <c r="FR104" s="62">
        <f>$FR103+$FP104</f>
        <v/>
      </c>
      <c r="FS104" s="62">
        <f>SUMIFS(tblSafety[LTI],tblSafety[Date],$A104)</f>
        <v/>
      </c>
      <c r="FT104" s="62">
        <f>IF($B104=$B103,$FT103,0)+$FS104</f>
        <v/>
      </c>
      <c r="FU104" s="62">
        <f>$FU103+$FS104</f>
        <v/>
      </c>
      <c r="FV104" s="62">
        <f>SUMIFS(tblSafety[RWI],tblSafety[Date],$A104)</f>
        <v/>
      </c>
      <c r="FW104" s="62">
        <f>IF($B104=$B103,$FW103,0)+$FV104</f>
        <v/>
      </c>
      <c r="FX104" s="62">
        <f>$FX103+$FV104</f>
        <v/>
      </c>
      <c r="FY104" s="62">
        <f>SUMIFS(tblSafety[MTI],tblSafety[Date],$A104)</f>
        <v/>
      </c>
      <c r="FZ104" s="62">
        <f>IF($B104=$B103,$FZ103,0)+$FY104</f>
        <v/>
      </c>
      <c r="GA104" s="62">
        <f>$GA103+$FY104</f>
        <v/>
      </c>
      <c r="GB104" s="62">
        <f>SUMIFS(tblSafety[FAI],tblSafety[Date],$A104)</f>
        <v/>
      </c>
      <c r="GC104" s="62">
        <f>IF($B104=$B103,$GC103,0)+$GB104</f>
        <v/>
      </c>
      <c r="GD104" s="62">
        <f>$GD103+$GB104</f>
        <v/>
      </c>
      <c r="GE104" s="62">
        <f>SUMIFS(tblSafety[Recordables],tblSafety[Date],$A104)</f>
        <v/>
      </c>
      <c r="GF104" s="62">
        <f>IF($B104=$B103,$GF103,0)+$GE104</f>
        <v/>
      </c>
      <c r="GG104" s="62">
        <f>$GG103+$GE104</f>
        <v/>
      </c>
      <c r="GH104" s="62">
        <f>SUMIFS(tblSafety[Near_Miss],tblSafety[Date],$A104)</f>
        <v/>
      </c>
      <c r="GI104" s="62">
        <f>IF($B104=$B103,$GI103,0)+$GH104</f>
        <v/>
      </c>
      <c r="GJ104" s="62">
        <f>$GJ103+$GH104</f>
        <v/>
      </c>
      <c r="GK104" s="62">
        <f>SUMIFS(tblSafety[Hazard_Reports],tblSafety[Date],$A104)</f>
        <v/>
      </c>
      <c r="GL104" s="62">
        <f>IF($B104=$B103,$GL103,0)+$GK104</f>
        <v/>
      </c>
      <c r="GM104" s="62">
        <f>$GM103+$GK104</f>
        <v/>
      </c>
      <c r="GN104" s="62">
        <f>SUMIFS(tblSafety[HPI],tblSafety[Date],$A104)</f>
        <v/>
      </c>
      <c r="GO104" s="62">
        <f>IF($B104=$B103,$GO103,0)+$GN104</f>
        <v/>
      </c>
      <c r="GP104" s="62">
        <f>$GP103+$GN104</f>
        <v/>
      </c>
      <c r="GQ104" s="62">
        <f>SUMIFS(tblSafety[Env_Incidents],tblSafety[Date],$A104)</f>
        <v/>
      </c>
      <c r="GR104" s="62">
        <f>IF($B104=$B103,$GR103,0)+$GQ104</f>
        <v/>
      </c>
      <c r="GS104" s="62">
        <f>$GS103+$GQ104</f>
        <v/>
      </c>
      <c r="GT104" s="62">
        <f>SUMIFS(tblSafety[Community_Incidents],tblSafety[Date],$A104)</f>
        <v/>
      </c>
      <c r="GU104" s="62">
        <f>IF($B104=$B103,$GU103,0)+$GT104</f>
        <v/>
      </c>
      <c r="GV104" s="62">
        <f>$GV103+$GT104</f>
        <v/>
      </c>
      <c r="GW104" s="62">
        <f>SUMIFS(tblSafety[Vehicle_Incidents],tblSafety[Date],$A104)</f>
        <v/>
      </c>
      <c r="GX104" s="62">
        <f>IF($B104=$B103,$GX103,0)+$GW104</f>
        <v/>
      </c>
      <c r="GY104" s="62">
        <f>$GY103+$GW104</f>
        <v/>
      </c>
      <c r="GZ104" s="62">
        <f>SUMIFS(tblSafety[Toolbox_Talks],tblSafety[Date],$A104)</f>
        <v/>
      </c>
      <c r="HA104" s="62">
        <f>IF($B104=$B103,$HA103,0)+$GZ104</f>
        <v/>
      </c>
      <c r="HB104" s="62">
        <f>$HB103+$GZ104</f>
        <v/>
      </c>
      <c r="HC104" s="62">
        <f>SUMIFS(tblSafety[Inspections],tblSafety[Date],$A104)</f>
        <v/>
      </c>
      <c r="HD104" s="62">
        <f>IF($B104=$B103,$HD103,0)+$HC104</f>
        <v/>
      </c>
      <c r="HE104" s="62">
        <f>$HE103+$HC104</f>
        <v/>
      </c>
      <c r="HF104" s="56">
        <f>IFERROR((SUMIFS(tblSafety[Recordables],tblSafety[Date],"&gt;="&amp;EDATE($E104,-12),tblSafety[Date],"&lt;="&amp;$A104)+SUMIFS(tblSafetyHistory[Recordables],tblSafetyHistory[Month],"&gt;="&amp;EDATE($E104,-12),tblSafetyHistory[Month],"&lt;"&amp;cfg_YearStart))/(SUMIFS(tblSafety[Hours_Total],tblSafety[Date],"&gt;="&amp;EDATE($E104,-12),tblSafety[Date],"&lt;="&amp;$A104)+SUMIFS(tblSafetyHistory[Hours_Total],tblSafetyHistory[Month],"&gt;="&amp;EDATE($E104,-12),tblSafetyHistory[Month],"&lt;"&amp;cfg_YearStart))*1000000,"")</f>
        <v/>
      </c>
      <c r="HG104" s="56">
        <f>IFERROR((SUMIFS(tblSafety[LTI],tblSafety[Date],"&gt;="&amp;EDATE($E104,-12),tblSafety[Date],"&lt;="&amp;$A104)+SUMIFS(tblSafetyHistory[LTI],tblSafetyHistory[Month],"&gt;="&amp;EDATE($E104,-12),tblSafetyHistory[Month],"&lt;"&amp;cfg_YearStart))/(SUMIFS(tblSafety[Hours_Total],tblSafety[Date],"&gt;="&amp;EDATE($E104,-12),tblSafety[Date],"&lt;="&amp;$A104)+SUMIFS(tblSafetyHistory[Hours_Total],tblSafetyHistory[Month],"&gt;="&amp;EDATE($E104,-12),tblSafetyHistory[Month],"&lt;"&amp;cfg_YearStart))*1000000,"")</f>
        <v/>
      </c>
      <c r="HH104" s="62">
        <f>IF(MAX(N(cfg_PriorLTIDate),_xlfn.MAXIFS(tblSafety[Date],tblSafety[LTI],"&gt;0",tblSafety[Date],"&lt;="&amp;$A104))=0,"",$A104-MAX(N(cfg_PriorLTIDate),_xlfn.MAXIFS(tblSafety[Date],tblSafety[LTI],"&gt;0",tblSafety[Date],"&lt;="&amp;$A104)))</f>
        <v/>
      </c>
      <c r="HI104" s="55">
        <f>SUMIFS(tblBudget[Ore_Mined_t],tblBudget[Month],$E104)</f>
        <v/>
      </c>
      <c r="HJ104" s="55">
        <f>$HI104*$C104/$D104</f>
        <v/>
      </c>
      <c r="HK104" s="55">
        <f>SUMIFS(tblBudget[Ore_Mined_t],tblBudget[Month],"&lt;"&amp;$E104)+$HJ104</f>
        <v/>
      </c>
      <c r="HL104" s="55">
        <f>SUMIFS(tblBudget[Ore_oz],tblBudget[Month],$E104)</f>
        <v/>
      </c>
      <c r="HM104" s="55">
        <f>$HL104*$C104/$D104</f>
        <v/>
      </c>
      <c r="HN104" s="55">
        <f>SUMIFS(tblBudget[Ore_oz],tblBudget[Month],"&lt;"&amp;$E104)+$HM104</f>
        <v/>
      </c>
      <c r="HO104" s="56">
        <f>IFERROR(IF(($HI104)&gt;0,($HL104*cfg_TroyOz)/($HI104),""),"")</f>
        <v/>
      </c>
      <c r="HP104" s="56">
        <f>IFERROR(IF(($HJ104)&gt;0,($HM104*cfg_TroyOz)/($HJ104),""),"")</f>
        <v/>
      </c>
      <c r="HQ104" s="56">
        <f>IFERROR(IF(($HK104)&gt;0,($HN104*cfg_TroyOz)/($HK104),""),"")</f>
        <v/>
      </c>
      <c r="HR104" s="55">
        <f>SUMIFS(tblBudget[Waste_t],tblBudget[Month],$E104)</f>
        <v/>
      </c>
      <c r="HS104" s="55">
        <f>$HR104*$C104/$D104</f>
        <v/>
      </c>
      <c r="HT104" s="55">
        <f>SUMIFS(tblBudget[Waste_t],tblBudget[Month],"&lt;"&amp;$E104)+$HS104</f>
        <v/>
      </c>
      <c r="HU104" s="55">
        <f>SUMIFS(tblBudget[TMM_t],tblBudget[Month],$E104)</f>
        <v/>
      </c>
      <c r="HV104" s="55">
        <f>$HU104*$C104/$D104</f>
        <v/>
      </c>
      <c r="HW104" s="55">
        <f>SUMIFS(tblBudget[TMM_t],tblBudget[Month],"&lt;"&amp;$E104)+$HV104</f>
        <v/>
      </c>
      <c r="HX104" s="56">
        <f>IFERROR(IF(($HI104)&gt;0,($HR104)/($HI104),""),"")</f>
        <v/>
      </c>
      <c r="HY104" s="56">
        <f>IFERROR(IF(($HJ104)&gt;0,($HS104)/($HJ104),""),"")</f>
        <v/>
      </c>
      <c r="HZ104" s="56">
        <f>IFERROR(IF(($HK104)&gt;0,($HT104)/($HK104),""),"")</f>
        <v/>
      </c>
      <c r="IA104" s="55">
        <f>SUMIFS(tblBudget[Drill_m],tblBudget[Month],$E104)</f>
        <v/>
      </c>
      <c r="IB104" s="55">
        <f>$IA104*$C104/$D104</f>
        <v/>
      </c>
      <c r="IC104" s="55">
        <f>SUMIFS(tblBudget[Drill_m],tblBudget[Month],"&lt;"&amp;$E104)+$IB104</f>
        <v/>
      </c>
      <c r="ID104" s="55">
        <f>SUMIFS(tblBudget[Diesel_L],tblBudget[Month],$E104)</f>
        <v/>
      </c>
      <c r="IE104" s="55">
        <f>$ID104*$C104/$D104</f>
        <v/>
      </c>
      <c r="IF104" s="55">
        <f>SUMIFS(tblBudget[Diesel_L],tblBudget[Month],"&lt;"&amp;$E104)+$IE104</f>
        <v/>
      </c>
      <c r="IG104" s="55">
        <f>SUMIFS(tblBudget[Milled_t],tblBudget[Month],$E104)</f>
        <v/>
      </c>
      <c r="IH104" s="55">
        <f>$IG104*$C104/$D104</f>
        <v/>
      </c>
      <c r="II104" s="55">
        <f>SUMIFS(tblBudget[Milled_t],tblBudget[Month],"&lt;"&amp;$E104)+$IH104</f>
        <v/>
      </c>
      <c r="IJ104" s="55">
        <f>SUMIFS(tblBudget[Feed_oz],tblBudget[Month],$E104)</f>
        <v/>
      </c>
      <c r="IK104" s="55">
        <f>$IJ104*$C104/$D104</f>
        <v/>
      </c>
      <c r="IL104" s="55">
        <f>SUMIFS(tblBudget[Feed_oz],tblBudget[Month],"&lt;"&amp;$E104)+$IK104</f>
        <v/>
      </c>
      <c r="IM104" s="55">
        <f>SUMIFS(tblBudget[Recovered_oz],tblBudget[Month],$E104)</f>
        <v/>
      </c>
      <c r="IN104" s="55">
        <f>$IM104*$C104/$D104</f>
        <v/>
      </c>
      <c r="IO104" s="55">
        <f>SUMIFS(tblBudget[Recovered_oz],tblBudget[Month],"&lt;"&amp;$E104)+$IN104</f>
        <v/>
      </c>
      <c r="IP104" s="56">
        <f>IFERROR(IF(($IG104)&gt;0,($IJ104*cfg_TroyOz)/($IG104),""),"")</f>
        <v/>
      </c>
      <c r="IQ104" s="56">
        <f>IFERROR(IF(($IH104)&gt;0,($IK104*cfg_TroyOz)/($IH104),""),"")</f>
        <v/>
      </c>
      <c r="IR104" s="56">
        <f>IFERROR(IF(($II104)&gt;0,($IL104*cfg_TroyOz)/($II104),""),"")</f>
        <v/>
      </c>
      <c r="IS104" s="67">
        <f>IFERROR(IF(($IJ104)&gt;0,($IM104)/($IJ104),""),"")</f>
        <v/>
      </c>
      <c r="IT104" s="67">
        <f>IFERROR(IF(($IK104)&gt;0,($IN104)/($IK104),""),"")</f>
        <v/>
      </c>
      <c r="IU104" s="67">
        <f>IFERROR(IF(($IL104)&gt;0,($IO104)/($IL104),""),"")</f>
        <v/>
      </c>
      <c r="IV104" s="55">
        <f>SUMIFS(tblBudget[Gold_Poured_oz],tblBudget[Month],$E104)</f>
        <v/>
      </c>
      <c r="IW104" s="55">
        <f>$IV104*$C104/$D104</f>
        <v/>
      </c>
      <c r="IX104" s="55">
        <f>SUMIFS(tblBudget[Gold_Poured_oz],tblBudget[Month],"&lt;"&amp;$E104)+$IW104</f>
        <v/>
      </c>
      <c r="IY104" s="57">
        <f>SUMIFS(tblBudget[Hours_Worked],tblBudget[Month],$E104)</f>
        <v/>
      </c>
      <c r="IZ104" s="57">
        <f>$IY104*$C104/$D104</f>
        <v/>
      </c>
      <c r="JA104" s="57">
        <f>SUMIFS(tblBudget[Hours_Worked],tblBudget[Month],"&lt;"&amp;$E104)+$IZ104</f>
        <v/>
      </c>
    </row>
    <row r="105">
      <c r="A105" s="54" t="n">
        <v>46126</v>
      </c>
      <c r="B105">
        <f>MONTH($A105)</f>
        <v/>
      </c>
      <c r="C105">
        <f>DAY($A105)</f>
        <v/>
      </c>
      <c r="D105">
        <f>DAY(EOMONTH($A105,0))</f>
        <v/>
      </c>
      <c r="E105" s="54">
        <f>DATE(YEAR($A105),MONTH($A105),1)</f>
        <v/>
      </c>
      <c r="F105" s="55">
        <f>SUMIFS(tblMovement[Tonnes_t],tblMovement[Date],$A105,tblMovement[Is_Ore],1,tblMovement[Source_Type],"Pit")</f>
        <v/>
      </c>
      <c r="G105" s="55">
        <f>IF($B105=$B104,$G104,0)+$F105</f>
        <v/>
      </c>
      <c r="H105" s="55">
        <f>$H104+$F105</f>
        <v/>
      </c>
      <c r="I105" s="55">
        <f>SUMIFS(tblMovement[Ore_oz],tblMovement[Date],$A105,tblMovement[Source_Type],"Pit")</f>
        <v/>
      </c>
      <c r="J105" s="55">
        <f>IF($B105=$B104,$J104,0)+$I105</f>
        <v/>
      </c>
      <c r="K105" s="55">
        <f>$K104+$I105</f>
        <v/>
      </c>
      <c r="L105" s="56">
        <f>IFERROR(IF(($F105)&gt;0,($I105*cfg_TroyOz)/($F105),""),"")</f>
        <v/>
      </c>
      <c r="M105" s="56">
        <f>IFERROR(IF(($G105)&gt;0,($J105*cfg_TroyOz)/($G105),""),"")</f>
        <v/>
      </c>
      <c r="N105" s="56">
        <f>IFERROR(IF(($H105)&gt;0,($K105*cfg_TroyOz)/($H105),""),"")</f>
        <v/>
      </c>
      <c r="O105" s="55">
        <f>SUMIFS(tblMovement[Tonnes_t],tblMovement[Date],$A105,tblMovement[Is_Ore],0,tblMovement[Source_Type],"Pit")</f>
        <v/>
      </c>
      <c r="P105" s="55">
        <f>IF($B105=$B104,$P104,0)+$O105</f>
        <v/>
      </c>
      <c r="Q105" s="55">
        <f>$Q104+$O105</f>
        <v/>
      </c>
      <c r="R105" s="55">
        <f>$F105+$O105</f>
        <v/>
      </c>
      <c r="S105" s="55">
        <f>IF($B105=$B104,$S104,0)+$R105</f>
        <v/>
      </c>
      <c r="T105" s="55">
        <f>$T104+$R105</f>
        <v/>
      </c>
      <c r="U105" s="56">
        <f>IFERROR(IF(($F105)&gt;0,($O105)/($F105),""),"")</f>
        <v/>
      </c>
      <c r="V105" s="56">
        <f>IFERROR(IF(($G105)&gt;0,($P105)/($G105),""),"")</f>
        <v/>
      </c>
      <c r="W105" s="56">
        <f>IFERROR(IF(($H105)&gt;0,($Q105)/($H105),""),"")</f>
        <v/>
      </c>
      <c r="X105" s="55">
        <f>SUMIFS(tblMovement[Tonnes_t],tblMovement[Date],$A105,tblMovement[Source_Type],"Stockpile")</f>
        <v/>
      </c>
      <c r="Y105" s="55">
        <f>IF($B105=$B104,$Y104,0)+$X105</f>
        <v/>
      </c>
      <c r="Z105" s="55">
        <f>$Z104+$X105</f>
        <v/>
      </c>
      <c r="AA105" s="55">
        <f>SUMIFS(tblMiningDaily[Drill_m],tblMiningDaily[Date],$A105)</f>
        <v/>
      </c>
      <c r="AB105" s="55">
        <f>IF($B105=$B104,$AB104,0)+$AA105</f>
        <v/>
      </c>
      <c r="AC105" s="55">
        <f>$AC104+$AA105</f>
        <v/>
      </c>
      <c r="AD105" s="55">
        <f>SUMIFS(tblMiningDaily[Blast_t],tblMiningDaily[Date],$A105)</f>
        <v/>
      </c>
      <c r="AE105" s="55">
        <f>IF($B105=$B104,$AE104,0)+$AD105</f>
        <v/>
      </c>
      <c r="AF105" s="55">
        <f>$AF104+$AD105</f>
        <v/>
      </c>
      <c r="AG105" s="55">
        <f>SUMIFS(tblMiningDaily[Explosives_kg],tblMiningDaily[Date],$A105)</f>
        <v/>
      </c>
      <c r="AH105" s="55">
        <f>IF($B105=$B104,$AH104,0)+$AG105</f>
        <v/>
      </c>
      <c r="AI105" s="55">
        <f>$AI104+$AG105</f>
        <v/>
      </c>
      <c r="AJ105" s="56">
        <f>IFERROR(IF(($AD105)&gt;0,($AG105)/($AD105),""),"")</f>
        <v/>
      </c>
      <c r="AK105" s="56">
        <f>IFERROR(IF(($AE105)&gt;0,($AH105)/($AE105),""),"")</f>
        <v/>
      </c>
      <c r="AL105" s="56">
        <f>IFERROR(IF(($AF105)&gt;0,($AI105)/($AF105),""),"")</f>
        <v/>
      </c>
      <c r="AM105" s="55">
        <f>SUMIFS(tblMiningDaily[Diesel_L],tblMiningDaily[Date],$A105)</f>
        <v/>
      </c>
      <c r="AN105" s="55">
        <f>IF($B105=$B104,$AN104,0)+$AM105</f>
        <v/>
      </c>
      <c r="AO105" s="55">
        <f>$AO104+$AM105</f>
        <v/>
      </c>
      <c r="AP105" s="55">
        <f>SUMIFS(tblMiningDaily[Dewatering_m3],tblMiningDaily[Date],$A105)</f>
        <v/>
      </c>
      <c r="AQ105" s="55">
        <f>IF($B105=$B104,$AQ104,0)+$AP105</f>
        <v/>
      </c>
      <c r="AR105" s="55">
        <f>$AR104+$AP105</f>
        <v/>
      </c>
      <c r="AS105" s="57">
        <f>SUMIFS(tblFleet[Calendar_h],tblFleet[Date],$A105,tblFleet[Equipment_Class],"Excavator")</f>
        <v/>
      </c>
      <c r="AT105" s="57">
        <f>IF($B105=$B104,$AT104,0)+$AS105</f>
        <v/>
      </c>
      <c r="AU105" s="57">
        <f>$AU104+$AS105</f>
        <v/>
      </c>
      <c r="AV105" s="57">
        <f>SUMIFS(tblFleet[Available_h],tblFleet[Date],$A105,tblFleet[Equipment_Class],"Excavator")</f>
        <v/>
      </c>
      <c r="AW105" s="57">
        <f>IF($B105=$B104,$AW104,0)+$AV105</f>
        <v/>
      </c>
      <c r="AX105" s="57">
        <f>$AX104+$AV105</f>
        <v/>
      </c>
      <c r="AY105" s="57">
        <f>SUMIFS(tblFleet[Operating_h],tblFleet[Date],$A105,tblFleet[Equipment_Class],"Excavator")</f>
        <v/>
      </c>
      <c r="AZ105" s="57">
        <f>IF($B105=$B104,$AZ104,0)+$AY105</f>
        <v/>
      </c>
      <c r="BA105" s="57">
        <f>$BA104+$AY105</f>
        <v/>
      </c>
      <c r="BB105" s="67">
        <f>IFERROR(IF(($AS105)&gt;0,($AV105)/($AS105),""),"")</f>
        <v/>
      </c>
      <c r="BC105" s="67">
        <f>IFERROR(IF(($AT105)&gt;0,($AW105)/($AT105),""),"")</f>
        <v/>
      </c>
      <c r="BD105" s="67">
        <f>IFERROR(IF(($AU105)&gt;0,($AX105)/($AU105),""),"")</f>
        <v/>
      </c>
      <c r="BE105" s="67">
        <f>IFERROR(IF(($AV105)&gt;0,($AY105)/($AV105),""),"")</f>
        <v/>
      </c>
      <c r="BF105" s="67">
        <f>IFERROR(IF(($AW105)&gt;0,($AZ105)/($AW105),""),"")</f>
        <v/>
      </c>
      <c r="BG105" s="67">
        <f>IFERROR(IF(($AX105)&gt;0,($BA105)/($AX105),""),"")</f>
        <v/>
      </c>
      <c r="BH105" s="57">
        <f>SUMIFS(tblFleet[Calendar_h],tblFleet[Date],$A105,tblFleet[Equipment_Class],"Haul Truck")</f>
        <v/>
      </c>
      <c r="BI105" s="57">
        <f>IF($B105=$B104,$BI104,0)+$BH105</f>
        <v/>
      </c>
      <c r="BJ105" s="57">
        <f>$BJ104+$BH105</f>
        <v/>
      </c>
      <c r="BK105" s="57">
        <f>SUMIFS(tblFleet[Available_h],tblFleet[Date],$A105,tblFleet[Equipment_Class],"Haul Truck")</f>
        <v/>
      </c>
      <c r="BL105" s="57">
        <f>IF($B105=$B104,$BL104,0)+$BK105</f>
        <v/>
      </c>
      <c r="BM105" s="57">
        <f>$BM104+$BK105</f>
        <v/>
      </c>
      <c r="BN105" s="57">
        <f>SUMIFS(tblFleet[Operating_h],tblFleet[Date],$A105,tblFleet[Equipment_Class],"Haul Truck")</f>
        <v/>
      </c>
      <c r="BO105" s="57">
        <f>IF($B105=$B104,$BO104,0)+$BN105</f>
        <v/>
      </c>
      <c r="BP105" s="57">
        <f>$BP104+$BN105</f>
        <v/>
      </c>
      <c r="BQ105" s="67">
        <f>IFERROR(IF(($BH105)&gt;0,($BK105)/($BH105),""),"")</f>
        <v/>
      </c>
      <c r="BR105" s="67">
        <f>IFERROR(IF(($BI105)&gt;0,($BL105)/($BI105),""),"")</f>
        <v/>
      </c>
      <c r="BS105" s="67">
        <f>IFERROR(IF(($BJ105)&gt;0,($BM105)/($BJ105),""),"")</f>
        <v/>
      </c>
      <c r="BT105" s="67">
        <f>IFERROR(IF(($BK105)&gt;0,($BN105)/($BK105),""),"")</f>
        <v/>
      </c>
      <c r="BU105" s="67">
        <f>IFERROR(IF(($BL105)&gt;0,($BO105)/($BL105),""),"")</f>
        <v/>
      </c>
      <c r="BV105" s="67">
        <f>IFERROR(IF(($BM105)&gt;0,($BP105)/($BM105),""),"")</f>
        <v/>
      </c>
      <c r="BW105" s="55">
        <f>SUMIFS(tblPlant[Crushed_t],tblPlant[Date],$A105)</f>
        <v/>
      </c>
      <c r="BX105" s="55">
        <f>IF($B105=$B104,$BX104,0)+$BW105</f>
        <v/>
      </c>
      <c r="BY105" s="55">
        <f>$BY104+$BW105</f>
        <v/>
      </c>
      <c r="BZ105" s="55">
        <f>SUMIFS(tblPlant[Milled_t],tblPlant[Date],$A105)</f>
        <v/>
      </c>
      <c r="CA105" s="55">
        <f>IF($B105=$B104,$CA104,0)+$BZ105</f>
        <v/>
      </c>
      <c r="CB105" s="55">
        <f>$CB104+$BZ105</f>
        <v/>
      </c>
      <c r="CC105" s="55">
        <f>SUMIFS(tblPlant[Feed_oz],tblPlant[Date],$A105)</f>
        <v/>
      </c>
      <c r="CD105" s="55">
        <f>IF($B105=$B104,$CD104,0)+$CC105</f>
        <v/>
      </c>
      <c r="CE105" s="55">
        <f>$CE104+$CC105</f>
        <v/>
      </c>
      <c r="CF105" s="55">
        <f>SUMIFS(tblPlant[Tails_oz],tblPlant[Date],$A105)</f>
        <v/>
      </c>
      <c r="CG105" s="55">
        <f>IF($B105=$B104,$CG104,0)+$CF105</f>
        <v/>
      </c>
      <c r="CH105" s="55">
        <f>$CH104+$CF105</f>
        <v/>
      </c>
      <c r="CI105" s="55">
        <f>SUMIFS(tblPlant[Recovered_oz],tblPlant[Date],$A105)</f>
        <v/>
      </c>
      <c r="CJ105" s="55">
        <f>IF($B105=$B104,$CJ104,0)+$CI105</f>
        <v/>
      </c>
      <c r="CK105" s="55">
        <f>$CK104+$CI105</f>
        <v/>
      </c>
      <c r="CL105" s="56">
        <f>IFERROR(IF(($BZ105)&gt;0,($CC105*cfg_TroyOz)/($BZ105),""),"")</f>
        <v/>
      </c>
      <c r="CM105" s="56">
        <f>IFERROR(IF(($CA105)&gt;0,($CD105*cfg_TroyOz)/($CA105),""),"")</f>
        <v/>
      </c>
      <c r="CN105" s="56">
        <f>IFERROR(IF(($CB105)&gt;0,($CE105*cfg_TroyOz)/($CB105),""),"")</f>
        <v/>
      </c>
      <c r="CO105" s="56">
        <f>IFERROR(IF(($BZ105)&gt;0,($CF105*cfg_TroyOz)/($BZ105),""),"")</f>
        <v/>
      </c>
      <c r="CP105" s="56">
        <f>IFERROR(IF(($CA105)&gt;0,($CG105*cfg_TroyOz)/($CA105),""),"")</f>
        <v/>
      </c>
      <c r="CQ105" s="56">
        <f>IFERROR(IF(($CB105)&gt;0,($CH105*cfg_TroyOz)/($CB105),""),"")</f>
        <v/>
      </c>
      <c r="CR105" s="67">
        <f>IFERROR(IF(($CC105)&gt;0,($CI105)/($CC105),""),"")</f>
        <v/>
      </c>
      <c r="CS105" s="67">
        <f>IFERROR(IF(($CD105)&gt;0,($CJ105)/($CD105),""),"")</f>
        <v/>
      </c>
      <c r="CT105" s="67">
        <f>IFERROR(IF(($CE105)&gt;0,($CK105)/($CE105),""),"")</f>
        <v/>
      </c>
      <c r="CU105" s="55">
        <f>SUMIFS(tblPlant[Gravity_Gold_oz],tblPlant[Date],$A105)</f>
        <v/>
      </c>
      <c r="CV105" s="55">
        <f>IF($B105=$B104,$CV104,0)+$CU105</f>
        <v/>
      </c>
      <c r="CW105" s="55">
        <f>$CW104+$CU105</f>
        <v/>
      </c>
      <c r="CX105" s="55">
        <f>SUMIFS(tblPlant[Gold_Poured_oz],tblPlant[Date],$A105)</f>
        <v/>
      </c>
      <c r="CY105" s="55">
        <f>IF($B105=$B104,$CY104,0)+$CX105</f>
        <v/>
      </c>
      <c r="CZ105" s="55">
        <f>$CZ104+$CX105</f>
        <v/>
      </c>
      <c r="DA105" s="57">
        <f>SUMIFS(tblPlant[Mill_Run_h],tblPlant[Date],$A105)</f>
        <v/>
      </c>
      <c r="DB105" s="57">
        <f>IF($B105=$B104,$DB104,0)+$DA105</f>
        <v/>
      </c>
      <c r="DC105" s="57">
        <f>$DC104+$DA105</f>
        <v/>
      </c>
      <c r="DD105" s="57">
        <f>SUMIFS(tblPlant[Mill_Planned_Maint_h],tblPlant[Date],$A105)</f>
        <v/>
      </c>
      <c r="DE105" s="57">
        <f>IF($B105=$B104,$DE104,0)+$DD105</f>
        <v/>
      </c>
      <c r="DF105" s="57">
        <f>$DF104+$DD105</f>
        <v/>
      </c>
      <c r="DG105" s="57">
        <f>SUMIFS(tblPlant[Mill_Unplanned_Down_h],tblPlant[Date],$A105)</f>
        <v/>
      </c>
      <c r="DH105" s="57">
        <f>IF($B105=$B104,$DH104,0)+$DG105</f>
        <v/>
      </c>
      <c r="DI105" s="57">
        <f>$DI104+$DG105</f>
        <v/>
      </c>
      <c r="DJ105" s="57">
        <f>COUNTIFS(tblPlant[Date],$A105,tblPlant[Mill_Run_h],"&lt;&gt;")*24</f>
        <v/>
      </c>
      <c r="DK105" s="57">
        <f>IF($B105=$B104,$DK104,0)+$DJ105</f>
        <v/>
      </c>
      <c r="DL105" s="57">
        <f>$DL104+$DJ105</f>
        <v/>
      </c>
      <c r="DM105" s="57">
        <f>SUMIFS(tblPlant[Crusher_Run_h],tblPlant[Date],$A105)</f>
        <v/>
      </c>
      <c r="DN105" s="57">
        <f>IF($B105=$B104,$DN104,0)+$DM105</f>
        <v/>
      </c>
      <c r="DO105" s="57">
        <f>$DO104+$DM105</f>
        <v/>
      </c>
      <c r="DP105" s="55">
        <f>IFERROR(IF(($DA105)&gt;0,($BZ105)/($DA105),""),"")</f>
        <v/>
      </c>
      <c r="DQ105" s="55">
        <f>IFERROR(IF(($DB105)&gt;0,($CA105)/($DB105),""),"")</f>
        <v/>
      </c>
      <c r="DR105" s="55">
        <f>IFERROR(IF(($DC105)&gt;0,($CB105)/($DC105),""),"")</f>
        <v/>
      </c>
      <c r="DS105" s="67">
        <f>IFERROR(IF(($DJ105)&gt;0,($DJ105-$DD105-$DG105)/($DJ105),""),"")</f>
        <v/>
      </c>
      <c r="DT105" s="67">
        <f>IFERROR(IF(($DK105)&gt;0,($DK105-$DE105-$DH105)/($DK105),""),"")</f>
        <v/>
      </c>
      <c r="DU105" s="67">
        <f>IFERROR(IF(($DL105)&gt;0,($DL105-$DF105-$DI105)/($DL105),""),"")</f>
        <v/>
      </c>
      <c r="DV105" s="67">
        <f>IFERROR(IF(($DJ105-$DD105-$DG105)&gt;0,($DA105)/($DJ105-$DD105-$DG105),""),"")</f>
        <v/>
      </c>
      <c r="DW105" s="67">
        <f>IFERROR(IF(($DK105-$DE105-$DH105)&gt;0,($DB105)/($DK105-$DE105-$DH105),""),"")</f>
        <v/>
      </c>
      <c r="DX105" s="67">
        <f>IFERROR(IF(($DL105-$DF105-$DI105)&gt;0,($DC105)/($DL105-$DF105-$DI105),""),"")</f>
        <v/>
      </c>
      <c r="DY105" s="55">
        <f>SUMIFS(tblPlant[Cyanide_kg],tblPlant[Date],$A105)</f>
        <v/>
      </c>
      <c r="DZ105" s="55">
        <f>IF($B105=$B104,$DZ104,0)+$DY105</f>
        <v/>
      </c>
      <c r="EA105" s="55">
        <f>$EA104+$DY105</f>
        <v/>
      </c>
      <c r="EB105" s="55">
        <f>SUMIFS(tblPlant[Lime_kg],tblPlant[Date],$A105)</f>
        <v/>
      </c>
      <c r="EC105" s="55">
        <f>IF($B105=$B104,$EC104,0)+$EB105</f>
        <v/>
      </c>
      <c r="ED105" s="55">
        <f>$ED104+$EB105</f>
        <v/>
      </c>
      <c r="EE105" s="55">
        <f>SUMIFS(tblPlant[Grinding_Media_kg],tblPlant[Date],$A105)</f>
        <v/>
      </c>
      <c r="EF105" s="55">
        <f>IF($B105=$B104,$EF104,0)+$EE105</f>
        <v/>
      </c>
      <c r="EG105" s="55">
        <f>$EG104+$EE105</f>
        <v/>
      </c>
      <c r="EH105" s="55">
        <f>SUMIFS(tblPlant[Power_kWh],tblPlant[Date],$A105)</f>
        <v/>
      </c>
      <c r="EI105" s="55">
        <f>IF($B105=$B104,$EI104,0)+$EH105</f>
        <v/>
      </c>
      <c r="EJ105" s="55">
        <f>$EJ104+$EH105</f>
        <v/>
      </c>
      <c r="EK105" s="55">
        <f>SUMIFS(tblPlant[Raw_Water_m3],tblPlant[Date],$A105)</f>
        <v/>
      </c>
      <c r="EL105" s="55">
        <f>IF($B105=$B104,$EL104,0)+$EK105</f>
        <v/>
      </c>
      <c r="EM105" s="55">
        <f>$EM104+$EK105</f>
        <v/>
      </c>
      <c r="EN105" s="56">
        <f>IFERROR(IF(($BZ105)&gt;0,($DY105)/($BZ105),""),"")</f>
        <v/>
      </c>
      <c r="EO105" s="56">
        <f>IFERROR(IF(($CA105)&gt;0,($DZ105)/($CA105),""),"")</f>
        <v/>
      </c>
      <c r="EP105" s="56">
        <f>IFERROR(IF(($CB105)&gt;0,($EA105)/($CB105),""),"")</f>
        <v/>
      </c>
      <c r="EQ105" s="56">
        <f>IFERROR(IF(($BZ105)&gt;0,($EB105)/($BZ105),""),"")</f>
        <v/>
      </c>
      <c r="ER105" s="56">
        <f>IFERROR(IF(($CA105)&gt;0,($EC105)/($CA105),""),"")</f>
        <v/>
      </c>
      <c r="ES105" s="56">
        <f>IFERROR(IF(($CB105)&gt;0,($ED105)/($CB105),""),"")</f>
        <v/>
      </c>
      <c r="ET105" s="56">
        <f>IFERROR(IF(($BZ105)&gt;0,($EE105)/($BZ105),""),"")</f>
        <v/>
      </c>
      <c r="EU105" s="56">
        <f>IFERROR(IF(($CA105)&gt;0,($EF105)/($CA105),""),"")</f>
        <v/>
      </c>
      <c r="EV105" s="56">
        <f>IFERROR(IF(($CB105)&gt;0,($EG105)/($CB105),""),"")</f>
        <v/>
      </c>
      <c r="EW105" s="76">
        <f>IFERROR(IF(($BZ105)&gt;0,($EH105)/($BZ105),""),"")</f>
        <v/>
      </c>
      <c r="EX105" s="76">
        <f>IFERROR(IF(($CA105)&gt;0,($EI105)/($CA105),""),"")</f>
        <v/>
      </c>
      <c r="EY105" s="76">
        <f>IFERROR(IF(($CB105)&gt;0,($EJ105)/($CB105),""),"")</f>
        <v/>
      </c>
      <c r="EZ105" s="56">
        <f>IFERROR(IF(($BZ105)&gt;0,($EK105)/($BZ105),""),"")</f>
        <v/>
      </c>
      <c r="FA105" s="56">
        <f>IFERROR(IF(($CA105)&gt;0,($EL105)/($CA105),""),"")</f>
        <v/>
      </c>
      <c r="FB105" s="56">
        <f>IFERROR(IF(($CB105)&gt;0,($EM105)/($CB105),""),"")</f>
        <v/>
      </c>
      <c r="FC105" s="55">
        <f>IF(SUMIFS(tblPlant[GIC_oz],tblPlant[Date],$A105)&gt;0,SUMIFS(tblPlant[GIC_oz],tblPlant[Date],$A105),"")</f>
        <v/>
      </c>
      <c r="FD105" s="55">
        <f>SUMIFS(tblGold[Gold_oz],tblGold[Date],$A105,tblGold[Type],"Shipment")</f>
        <v/>
      </c>
      <c r="FE105" s="55">
        <f>IF($B105=$B104,$FE104,0)+$FD105</f>
        <v/>
      </c>
      <c r="FF105" s="55">
        <f>$FF104+$FD105</f>
        <v/>
      </c>
      <c r="FG105" s="55">
        <f>SUMIFS(tblGold[Gold_oz],tblGold[Date],$A105,tblGold[Type],"Sale")</f>
        <v/>
      </c>
      <c r="FH105" s="55">
        <f>IF($B105=$B104,$FH104,0)+$FG105</f>
        <v/>
      </c>
      <c r="FI105" s="55">
        <f>$FI104+$FG105</f>
        <v/>
      </c>
      <c r="FJ105" s="55">
        <f>SUMIFS(tblGold[Dore_kg],tblGold[Date],$A105,tblGold[Type],"Shipment")</f>
        <v/>
      </c>
      <c r="FK105" s="55">
        <f>IF($B105=$B104,$FK104,0)+$FJ105</f>
        <v/>
      </c>
      <c r="FL105" s="55">
        <f>$FL104+$FJ105</f>
        <v/>
      </c>
      <c r="FM105" s="57">
        <f>SUMIFS(tblSafety[Hours_Total],tblSafety[Date],$A105)</f>
        <v/>
      </c>
      <c r="FN105" s="57">
        <f>IF($B105=$B104,$FN104,0)+$FM105</f>
        <v/>
      </c>
      <c r="FO105" s="57">
        <f>$FO104+$FM105</f>
        <v/>
      </c>
      <c r="FP105" s="62">
        <f>SUMIFS(tblSafety[Fatality],tblSafety[Date],$A105)</f>
        <v/>
      </c>
      <c r="FQ105" s="62">
        <f>IF($B105=$B104,$FQ104,0)+$FP105</f>
        <v/>
      </c>
      <c r="FR105" s="62">
        <f>$FR104+$FP105</f>
        <v/>
      </c>
      <c r="FS105" s="62">
        <f>SUMIFS(tblSafety[LTI],tblSafety[Date],$A105)</f>
        <v/>
      </c>
      <c r="FT105" s="62">
        <f>IF($B105=$B104,$FT104,0)+$FS105</f>
        <v/>
      </c>
      <c r="FU105" s="62">
        <f>$FU104+$FS105</f>
        <v/>
      </c>
      <c r="FV105" s="62">
        <f>SUMIFS(tblSafety[RWI],tblSafety[Date],$A105)</f>
        <v/>
      </c>
      <c r="FW105" s="62">
        <f>IF($B105=$B104,$FW104,0)+$FV105</f>
        <v/>
      </c>
      <c r="FX105" s="62">
        <f>$FX104+$FV105</f>
        <v/>
      </c>
      <c r="FY105" s="62">
        <f>SUMIFS(tblSafety[MTI],tblSafety[Date],$A105)</f>
        <v/>
      </c>
      <c r="FZ105" s="62">
        <f>IF($B105=$B104,$FZ104,0)+$FY105</f>
        <v/>
      </c>
      <c r="GA105" s="62">
        <f>$GA104+$FY105</f>
        <v/>
      </c>
      <c r="GB105" s="62">
        <f>SUMIFS(tblSafety[FAI],tblSafety[Date],$A105)</f>
        <v/>
      </c>
      <c r="GC105" s="62">
        <f>IF($B105=$B104,$GC104,0)+$GB105</f>
        <v/>
      </c>
      <c r="GD105" s="62">
        <f>$GD104+$GB105</f>
        <v/>
      </c>
      <c r="GE105" s="62">
        <f>SUMIFS(tblSafety[Recordables],tblSafety[Date],$A105)</f>
        <v/>
      </c>
      <c r="GF105" s="62">
        <f>IF($B105=$B104,$GF104,0)+$GE105</f>
        <v/>
      </c>
      <c r="GG105" s="62">
        <f>$GG104+$GE105</f>
        <v/>
      </c>
      <c r="GH105" s="62">
        <f>SUMIFS(tblSafety[Near_Miss],tblSafety[Date],$A105)</f>
        <v/>
      </c>
      <c r="GI105" s="62">
        <f>IF($B105=$B104,$GI104,0)+$GH105</f>
        <v/>
      </c>
      <c r="GJ105" s="62">
        <f>$GJ104+$GH105</f>
        <v/>
      </c>
      <c r="GK105" s="62">
        <f>SUMIFS(tblSafety[Hazard_Reports],tblSafety[Date],$A105)</f>
        <v/>
      </c>
      <c r="GL105" s="62">
        <f>IF($B105=$B104,$GL104,0)+$GK105</f>
        <v/>
      </c>
      <c r="GM105" s="62">
        <f>$GM104+$GK105</f>
        <v/>
      </c>
      <c r="GN105" s="62">
        <f>SUMIFS(tblSafety[HPI],tblSafety[Date],$A105)</f>
        <v/>
      </c>
      <c r="GO105" s="62">
        <f>IF($B105=$B104,$GO104,0)+$GN105</f>
        <v/>
      </c>
      <c r="GP105" s="62">
        <f>$GP104+$GN105</f>
        <v/>
      </c>
      <c r="GQ105" s="62">
        <f>SUMIFS(tblSafety[Env_Incidents],tblSafety[Date],$A105)</f>
        <v/>
      </c>
      <c r="GR105" s="62">
        <f>IF($B105=$B104,$GR104,0)+$GQ105</f>
        <v/>
      </c>
      <c r="GS105" s="62">
        <f>$GS104+$GQ105</f>
        <v/>
      </c>
      <c r="GT105" s="62">
        <f>SUMIFS(tblSafety[Community_Incidents],tblSafety[Date],$A105)</f>
        <v/>
      </c>
      <c r="GU105" s="62">
        <f>IF($B105=$B104,$GU104,0)+$GT105</f>
        <v/>
      </c>
      <c r="GV105" s="62">
        <f>$GV104+$GT105</f>
        <v/>
      </c>
      <c r="GW105" s="62">
        <f>SUMIFS(tblSafety[Vehicle_Incidents],tblSafety[Date],$A105)</f>
        <v/>
      </c>
      <c r="GX105" s="62">
        <f>IF($B105=$B104,$GX104,0)+$GW105</f>
        <v/>
      </c>
      <c r="GY105" s="62">
        <f>$GY104+$GW105</f>
        <v/>
      </c>
      <c r="GZ105" s="62">
        <f>SUMIFS(tblSafety[Toolbox_Talks],tblSafety[Date],$A105)</f>
        <v/>
      </c>
      <c r="HA105" s="62">
        <f>IF($B105=$B104,$HA104,0)+$GZ105</f>
        <v/>
      </c>
      <c r="HB105" s="62">
        <f>$HB104+$GZ105</f>
        <v/>
      </c>
      <c r="HC105" s="62">
        <f>SUMIFS(tblSafety[Inspections],tblSafety[Date],$A105)</f>
        <v/>
      </c>
      <c r="HD105" s="62">
        <f>IF($B105=$B104,$HD104,0)+$HC105</f>
        <v/>
      </c>
      <c r="HE105" s="62">
        <f>$HE104+$HC105</f>
        <v/>
      </c>
      <c r="HF105" s="56">
        <f>IFERROR((SUMIFS(tblSafety[Recordables],tblSafety[Date],"&gt;="&amp;EDATE($E105,-12),tblSafety[Date],"&lt;="&amp;$A105)+SUMIFS(tblSafetyHistory[Recordables],tblSafetyHistory[Month],"&gt;="&amp;EDATE($E105,-12),tblSafetyHistory[Month],"&lt;"&amp;cfg_YearStart))/(SUMIFS(tblSafety[Hours_Total],tblSafety[Date],"&gt;="&amp;EDATE($E105,-12),tblSafety[Date],"&lt;="&amp;$A105)+SUMIFS(tblSafetyHistory[Hours_Total],tblSafetyHistory[Month],"&gt;="&amp;EDATE($E105,-12),tblSafetyHistory[Month],"&lt;"&amp;cfg_YearStart))*1000000,"")</f>
        <v/>
      </c>
      <c r="HG105" s="56">
        <f>IFERROR((SUMIFS(tblSafety[LTI],tblSafety[Date],"&gt;="&amp;EDATE($E105,-12),tblSafety[Date],"&lt;="&amp;$A105)+SUMIFS(tblSafetyHistory[LTI],tblSafetyHistory[Month],"&gt;="&amp;EDATE($E105,-12),tblSafetyHistory[Month],"&lt;"&amp;cfg_YearStart))/(SUMIFS(tblSafety[Hours_Total],tblSafety[Date],"&gt;="&amp;EDATE($E105,-12),tblSafety[Date],"&lt;="&amp;$A105)+SUMIFS(tblSafetyHistory[Hours_Total],tblSafetyHistory[Month],"&gt;="&amp;EDATE($E105,-12),tblSafetyHistory[Month],"&lt;"&amp;cfg_YearStart))*1000000,"")</f>
        <v/>
      </c>
      <c r="HH105" s="62">
        <f>IF(MAX(N(cfg_PriorLTIDate),_xlfn.MAXIFS(tblSafety[Date],tblSafety[LTI],"&gt;0",tblSafety[Date],"&lt;="&amp;$A105))=0,"",$A105-MAX(N(cfg_PriorLTIDate),_xlfn.MAXIFS(tblSafety[Date],tblSafety[LTI],"&gt;0",tblSafety[Date],"&lt;="&amp;$A105)))</f>
        <v/>
      </c>
      <c r="HI105" s="55">
        <f>SUMIFS(tblBudget[Ore_Mined_t],tblBudget[Month],$E105)</f>
        <v/>
      </c>
      <c r="HJ105" s="55">
        <f>$HI105*$C105/$D105</f>
        <v/>
      </c>
      <c r="HK105" s="55">
        <f>SUMIFS(tblBudget[Ore_Mined_t],tblBudget[Month],"&lt;"&amp;$E105)+$HJ105</f>
        <v/>
      </c>
      <c r="HL105" s="55">
        <f>SUMIFS(tblBudget[Ore_oz],tblBudget[Month],$E105)</f>
        <v/>
      </c>
      <c r="HM105" s="55">
        <f>$HL105*$C105/$D105</f>
        <v/>
      </c>
      <c r="HN105" s="55">
        <f>SUMIFS(tblBudget[Ore_oz],tblBudget[Month],"&lt;"&amp;$E105)+$HM105</f>
        <v/>
      </c>
      <c r="HO105" s="56">
        <f>IFERROR(IF(($HI105)&gt;0,($HL105*cfg_TroyOz)/($HI105),""),"")</f>
        <v/>
      </c>
      <c r="HP105" s="56">
        <f>IFERROR(IF(($HJ105)&gt;0,($HM105*cfg_TroyOz)/($HJ105),""),"")</f>
        <v/>
      </c>
      <c r="HQ105" s="56">
        <f>IFERROR(IF(($HK105)&gt;0,($HN105*cfg_TroyOz)/($HK105),""),"")</f>
        <v/>
      </c>
      <c r="HR105" s="55">
        <f>SUMIFS(tblBudget[Waste_t],tblBudget[Month],$E105)</f>
        <v/>
      </c>
      <c r="HS105" s="55">
        <f>$HR105*$C105/$D105</f>
        <v/>
      </c>
      <c r="HT105" s="55">
        <f>SUMIFS(tblBudget[Waste_t],tblBudget[Month],"&lt;"&amp;$E105)+$HS105</f>
        <v/>
      </c>
      <c r="HU105" s="55">
        <f>SUMIFS(tblBudget[TMM_t],tblBudget[Month],$E105)</f>
        <v/>
      </c>
      <c r="HV105" s="55">
        <f>$HU105*$C105/$D105</f>
        <v/>
      </c>
      <c r="HW105" s="55">
        <f>SUMIFS(tblBudget[TMM_t],tblBudget[Month],"&lt;"&amp;$E105)+$HV105</f>
        <v/>
      </c>
      <c r="HX105" s="56">
        <f>IFERROR(IF(($HI105)&gt;0,($HR105)/($HI105),""),"")</f>
        <v/>
      </c>
      <c r="HY105" s="56">
        <f>IFERROR(IF(($HJ105)&gt;0,($HS105)/($HJ105),""),"")</f>
        <v/>
      </c>
      <c r="HZ105" s="56">
        <f>IFERROR(IF(($HK105)&gt;0,($HT105)/($HK105),""),"")</f>
        <v/>
      </c>
      <c r="IA105" s="55">
        <f>SUMIFS(tblBudget[Drill_m],tblBudget[Month],$E105)</f>
        <v/>
      </c>
      <c r="IB105" s="55">
        <f>$IA105*$C105/$D105</f>
        <v/>
      </c>
      <c r="IC105" s="55">
        <f>SUMIFS(tblBudget[Drill_m],tblBudget[Month],"&lt;"&amp;$E105)+$IB105</f>
        <v/>
      </c>
      <c r="ID105" s="55">
        <f>SUMIFS(tblBudget[Diesel_L],tblBudget[Month],$E105)</f>
        <v/>
      </c>
      <c r="IE105" s="55">
        <f>$ID105*$C105/$D105</f>
        <v/>
      </c>
      <c r="IF105" s="55">
        <f>SUMIFS(tblBudget[Diesel_L],tblBudget[Month],"&lt;"&amp;$E105)+$IE105</f>
        <v/>
      </c>
      <c r="IG105" s="55">
        <f>SUMIFS(tblBudget[Milled_t],tblBudget[Month],$E105)</f>
        <v/>
      </c>
      <c r="IH105" s="55">
        <f>$IG105*$C105/$D105</f>
        <v/>
      </c>
      <c r="II105" s="55">
        <f>SUMIFS(tblBudget[Milled_t],tblBudget[Month],"&lt;"&amp;$E105)+$IH105</f>
        <v/>
      </c>
      <c r="IJ105" s="55">
        <f>SUMIFS(tblBudget[Feed_oz],tblBudget[Month],$E105)</f>
        <v/>
      </c>
      <c r="IK105" s="55">
        <f>$IJ105*$C105/$D105</f>
        <v/>
      </c>
      <c r="IL105" s="55">
        <f>SUMIFS(tblBudget[Feed_oz],tblBudget[Month],"&lt;"&amp;$E105)+$IK105</f>
        <v/>
      </c>
      <c r="IM105" s="55">
        <f>SUMIFS(tblBudget[Recovered_oz],tblBudget[Month],$E105)</f>
        <v/>
      </c>
      <c r="IN105" s="55">
        <f>$IM105*$C105/$D105</f>
        <v/>
      </c>
      <c r="IO105" s="55">
        <f>SUMIFS(tblBudget[Recovered_oz],tblBudget[Month],"&lt;"&amp;$E105)+$IN105</f>
        <v/>
      </c>
      <c r="IP105" s="56">
        <f>IFERROR(IF(($IG105)&gt;0,($IJ105*cfg_TroyOz)/($IG105),""),"")</f>
        <v/>
      </c>
      <c r="IQ105" s="56">
        <f>IFERROR(IF(($IH105)&gt;0,($IK105*cfg_TroyOz)/($IH105),""),"")</f>
        <v/>
      </c>
      <c r="IR105" s="56">
        <f>IFERROR(IF(($II105)&gt;0,($IL105*cfg_TroyOz)/($II105),""),"")</f>
        <v/>
      </c>
      <c r="IS105" s="67">
        <f>IFERROR(IF(($IJ105)&gt;0,($IM105)/($IJ105),""),"")</f>
        <v/>
      </c>
      <c r="IT105" s="67">
        <f>IFERROR(IF(($IK105)&gt;0,($IN105)/($IK105),""),"")</f>
        <v/>
      </c>
      <c r="IU105" s="67">
        <f>IFERROR(IF(($IL105)&gt;0,($IO105)/($IL105),""),"")</f>
        <v/>
      </c>
      <c r="IV105" s="55">
        <f>SUMIFS(tblBudget[Gold_Poured_oz],tblBudget[Month],$E105)</f>
        <v/>
      </c>
      <c r="IW105" s="55">
        <f>$IV105*$C105/$D105</f>
        <v/>
      </c>
      <c r="IX105" s="55">
        <f>SUMIFS(tblBudget[Gold_Poured_oz],tblBudget[Month],"&lt;"&amp;$E105)+$IW105</f>
        <v/>
      </c>
      <c r="IY105" s="57">
        <f>SUMIFS(tblBudget[Hours_Worked],tblBudget[Month],$E105)</f>
        <v/>
      </c>
      <c r="IZ105" s="57">
        <f>$IY105*$C105/$D105</f>
        <v/>
      </c>
      <c r="JA105" s="57">
        <f>SUMIFS(tblBudget[Hours_Worked],tblBudget[Month],"&lt;"&amp;$E105)+$IZ105</f>
        <v/>
      </c>
    </row>
    <row r="106">
      <c r="A106" s="54" t="n">
        <v>46127</v>
      </c>
      <c r="B106">
        <f>MONTH($A106)</f>
        <v/>
      </c>
      <c r="C106">
        <f>DAY($A106)</f>
        <v/>
      </c>
      <c r="D106">
        <f>DAY(EOMONTH($A106,0))</f>
        <v/>
      </c>
      <c r="E106" s="54">
        <f>DATE(YEAR($A106),MONTH($A106),1)</f>
        <v/>
      </c>
      <c r="F106" s="55">
        <f>SUMIFS(tblMovement[Tonnes_t],tblMovement[Date],$A106,tblMovement[Is_Ore],1,tblMovement[Source_Type],"Pit")</f>
        <v/>
      </c>
      <c r="G106" s="55">
        <f>IF($B106=$B105,$G105,0)+$F106</f>
        <v/>
      </c>
      <c r="H106" s="55">
        <f>$H105+$F106</f>
        <v/>
      </c>
      <c r="I106" s="55">
        <f>SUMIFS(tblMovement[Ore_oz],tblMovement[Date],$A106,tblMovement[Source_Type],"Pit")</f>
        <v/>
      </c>
      <c r="J106" s="55">
        <f>IF($B106=$B105,$J105,0)+$I106</f>
        <v/>
      </c>
      <c r="K106" s="55">
        <f>$K105+$I106</f>
        <v/>
      </c>
      <c r="L106" s="56">
        <f>IFERROR(IF(($F106)&gt;0,($I106*cfg_TroyOz)/($F106),""),"")</f>
        <v/>
      </c>
      <c r="M106" s="56">
        <f>IFERROR(IF(($G106)&gt;0,($J106*cfg_TroyOz)/($G106),""),"")</f>
        <v/>
      </c>
      <c r="N106" s="56">
        <f>IFERROR(IF(($H106)&gt;0,($K106*cfg_TroyOz)/($H106),""),"")</f>
        <v/>
      </c>
      <c r="O106" s="55">
        <f>SUMIFS(tblMovement[Tonnes_t],tblMovement[Date],$A106,tblMovement[Is_Ore],0,tblMovement[Source_Type],"Pit")</f>
        <v/>
      </c>
      <c r="P106" s="55">
        <f>IF($B106=$B105,$P105,0)+$O106</f>
        <v/>
      </c>
      <c r="Q106" s="55">
        <f>$Q105+$O106</f>
        <v/>
      </c>
      <c r="R106" s="55">
        <f>$F106+$O106</f>
        <v/>
      </c>
      <c r="S106" s="55">
        <f>IF($B106=$B105,$S105,0)+$R106</f>
        <v/>
      </c>
      <c r="T106" s="55">
        <f>$T105+$R106</f>
        <v/>
      </c>
      <c r="U106" s="56">
        <f>IFERROR(IF(($F106)&gt;0,($O106)/($F106),""),"")</f>
        <v/>
      </c>
      <c r="V106" s="56">
        <f>IFERROR(IF(($G106)&gt;0,($P106)/($G106),""),"")</f>
        <v/>
      </c>
      <c r="W106" s="56">
        <f>IFERROR(IF(($H106)&gt;0,($Q106)/($H106),""),"")</f>
        <v/>
      </c>
      <c r="X106" s="55">
        <f>SUMIFS(tblMovement[Tonnes_t],tblMovement[Date],$A106,tblMovement[Source_Type],"Stockpile")</f>
        <v/>
      </c>
      <c r="Y106" s="55">
        <f>IF($B106=$B105,$Y105,0)+$X106</f>
        <v/>
      </c>
      <c r="Z106" s="55">
        <f>$Z105+$X106</f>
        <v/>
      </c>
      <c r="AA106" s="55">
        <f>SUMIFS(tblMiningDaily[Drill_m],tblMiningDaily[Date],$A106)</f>
        <v/>
      </c>
      <c r="AB106" s="55">
        <f>IF($B106=$B105,$AB105,0)+$AA106</f>
        <v/>
      </c>
      <c r="AC106" s="55">
        <f>$AC105+$AA106</f>
        <v/>
      </c>
      <c r="AD106" s="55">
        <f>SUMIFS(tblMiningDaily[Blast_t],tblMiningDaily[Date],$A106)</f>
        <v/>
      </c>
      <c r="AE106" s="55">
        <f>IF($B106=$B105,$AE105,0)+$AD106</f>
        <v/>
      </c>
      <c r="AF106" s="55">
        <f>$AF105+$AD106</f>
        <v/>
      </c>
      <c r="AG106" s="55">
        <f>SUMIFS(tblMiningDaily[Explosives_kg],tblMiningDaily[Date],$A106)</f>
        <v/>
      </c>
      <c r="AH106" s="55">
        <f>IF($B106=$B105,$AH105,0)+$AG106</f>
        <v/>
      </c>
      <c r="AI106" s="55">
        <f>$AI105+$AG106</f>
        <v/>
      </c>
      <c r="AJ106" s="56">
        <f>IFERROR(IF(($AD106)&gt;0,($AG106)/($AD106),""),"")</f>
        <v/>
      </c>
      <c r="AK106" s="56">
        <f>IFERROR(IF(($AE106)&gt;0,($AH106)/($AE106),""),"")</f>
        <v/>
      </c>
      <c r="AL106" s="56">
        <f>IFERROR(IF(($AF106)&gt;0,($AI106)/($AF106),""),"")</f>
        <v/>
      </c>
      <c r="AM106" s="55">
        <f>SUMIFS(tblMiningDaily[Diesel_L],tblMiningDaily[Date],$A106)</f>
        <v/>
      </c>
      <c r="AN106" s="55">
        <f>IF($B106=$B105,$AN105,0)+$AM106</f>
        <v/>
      </c>
      <c r="AO106" s="55">
        <f>$AO105+$AM106</f>
        <v/>
      </c>
      <c r="AP106" s="55">
        <f>SUMIFS(tblMiningDaily[Dewatering_m3],tblMiningDaily[Date],$A106)</f>
        <v/>
      </c>
      <c r="AQ106" s="55">
        <f>IF($B106=$B105,$AQ105,0)+$AP106</f>
        <v/>
      </c>
      <c r="AR106" s="55">
        <f>$AR105+$AP106</f>
        <v/>
      </c>
      <c r="AS106" s="57">
        <f>SUMIFS(tblFleet[Calendar_h],tblFleet[Date],$A106,tblFleet[Equipment_Class],"Excavator")</f>
        <v/>
      </c>
      <c r="AT106" s="57">
        <f>IF($B106=$B105,$AT105,0)+$AS106</f>
        <v/>
      </c>
      <c r="AU106" s="57">
        <f>$AU105+$AS106</f>
        <v/>
      </c>
      <c r="AV106" s="57">
        <f>SUMIFS(tblFleet[Available_h],tblFleet[Date],$A106,tblFleet[Equipment_Class],"Excavator")</f>
        <v/>
      </c>
      <c r="AW106" s="57">
        <f>IF($B106=$B105,$AW105,0)+$AV106</f>
        <v/>
      </c>
      <c r="AX106" s="57">
        <f>$AX105+$AV106</f>
        <v/>
      </c>
      <c r="AY106" s="57">
        <f>SUMIFS(tblFleet[Operating_h],tblFleet[Date],$A106,tblFleet[Equipment_Class],"Excavator")</f>
        <v/>
      </c>
      <c r="AZ106" s="57">
        <f>IF($B106=$B105,$AZ105,0)+$AY106</f>
        <v/>
      </c>
      <c r="BA106" s="57">
        <f>$BA105+$AY106</f>
        <v/>
      </c>
      <c r="BB106" s="67">
        <f>IFERROR(IF(($AS106)&gt;0,($AV106)/($AS106),""),"")</f>
        <v/>
      </c>
      <c r="BC106" s="67">
        <f>IFERROR(IF(($AT106)&gt;0,($AW106)/($AT106),""),"")</f>
        <v/>
      </c>
      <c r="BD106" s="67">
        <f>IFERROR(IF(($AU106)&gt;0,($AX106)/($AU106),""),"")</f>
        <v/>
      </c>
      <c r="BE106" s="67">
        <f>IFERROR(IF(($AV106)&gt;0,($AY106)/($AV106),""),"")</f>
        <v/>
      </c>
      <c r="BF106" s="67">
        <f>IFERROR(IF(($AW106)&gt;0,($AZ106)/($AW106),""),"")</f>
        <v/>
      </c>
      <c r="BG106" s="67">
        <f>IFERROR(IF(($AX106)&gt;0,($BA106)/($AX106),""),"")</f>
        <v/>
      </c>
      <c r="BH106" s="57">
        <f>SUMIFS(tblFleet[Calendar_h],tblFleet[Date],$A106,tblFleet[Equipment_Class],"Haul Truck")</f>
        <v/>
      </c>
      <c r="BI106" s="57">
        <f>IF($B106=$B105,$BI105,0)+$BH106</f>
        <v/>
      </c>
      <c r="BJ106" s="57">
        <f>$BJ105+$BH106</f>
        <v/>
      </c>
      <c r="BK106" s="57">
        <f>SUMIFS(tblFleet[Available_h],tblFleet[Date],$A106,tblFleet[Equipment_Class],"Haul Truck")</f>
        <v/>
      </c>
      <c r="BL106" s="57">
        <f>IF($B106=$B105,$BL105,0)+$BK106</f>
        <v/>
      </c>
      <c r="BM106" s="57">
        <f>$BM105+$BK106</f>
        <v/>
      </c>
      <c r="BN106" s="57">
        <f>SUMIFS(tblFleet[Operating_h],tblFleet[Date],$A106,tblFleet[Equipment_Class],"Haul Truck")</f>
        <v/>
      </c>
      <c r="BO106" s="57">
        <f>IF($B106=$B105,$BO105,0)+$BN106</f>
        <v/>
      </c>
      <c r="BP106" s="57">
        <f>$BP105+$BN106</f>
        <v/>
      </c>
      <c r="BQ106" s="67">
        <f>IFERROR(IF(($BH106)&gt;0,($BK106)/($BH106),""),"")</f>
        <v/>
      </c>
      <c r="BR106" s="67">
        <f>IFERROR(IF(($BI106)&gt;0,($BL106)/($BI106),""),"")</f>
        <v/>
      </c>
      <c r="BS106" s="67">
        <f>IFERROR(IF(($BJ106)&gt;0,($BM106)/($BJ106),""),"")</f>
        <v/>
      </c>
      <c r="BT106" s="67">
        <f>IFERROR(IF(($BK106)&gt;0,($BN106)/($BK106),""),"")</f>
        <v/>
      </c>
      <c r="BU106" s="67">
        <f>IFERROR(IF(($BL106)&gt;0,($BO106)/($BL106),""),"")</f>
        <v/>
      </c>
      <c r="BV106" s="67">
        <f>IFERROR(IF(($BM106)&gt;0,($BP106)/($BM106),""),"")</f>
        <v/>
      </c>
      <c r="BW106" s="55">
        <f>SUMIFS(tblPlant[Crushed_t],tblPlant[Date],$A106)</f>
        <v/>
      </c>
      <c r="BX106" s="55">
        <f>IF($B106=$B105,$BX105,0)+$BW106</f>
        <v/>
      </c>
      <c r="BY106" s="55">
        <f>$BY105+$BW106</f>
        <v/>
      </c>
      <c r="BZ106" s="55">
        <f>SUMIFS(tblPlant[Milled_t],tblPlant[Date],$A106)</f>
        <v/>
      </c>
      <c r="CA106" s="55">
        <f>IF($B106=$B105,$CA105,0)+$BZ106</f>
        <v/>
      </c>
      <c r="CB106" s="55">
        <f>$CB105+$BZ106</f>
        <v/>
      </c>
      <c r="CC106" s="55">
        <f>SUMIFS(tblPlant[Feed_oz],tblPlant[Date],$A106)</f>
        <v/>
      </c>
      <c r="CD106" s="55">
        <f>IF($B106=$B105,$CD105,0)+$CC106</f>
        <v/>
      </c>
      <c r="CE106" s="55">
        <f>$CE105+$CC106</f>
        <v/>
      </c>
      <c r="CF106" s="55">
        <f>SUMIFS(tblPlant[Tails_oz],tblPlant[Date],$A106)</f>
        <v/>
      </c>
      <c r="CG106" s="55">
        <f>IF($B106=$B105,$CG105,0)+$CF106</f>
        <v/>
      </c>
      <c r="CH106" s="55">
        <f>$CH105+$CF106</f>
        <v/>
      </c>
      <c r="CI106" s="55">
        <f>SUMIFS(tblPlant[Recovered_oz],tblPlant[Date],$A106)</f>
        <v/>
      </c>
      <c r="CJ106" s="55">
        <f>IF($B106=$B105,$CJ105,0)+$CI106</f>
        <v/>
      </c>
      <c r="CK106" s="55">
        <f>$CK105+$CI106</f>
        <v/>
      </c>
      <c r="CL106" s="56">
        <f>IFERROR(IF(($BZ106)&gt;0,($CC106*cfg_TroyOz)/($BZ106),""),"")</f>
        <v/>
      </c>
      <c r="CM106" s="56">
        <f>IFERROR(IF(($CA106)&gt;0,($CD106*cfg_TroyOz)/($CA106),""),"")</f>
        <v/>
      </c>
      <c r="CN106" s="56">
        <f>IFERROR(IF(($CB106)&gt;0,($CE106*cfg_TroyOz)/($CB106),""),"")</f>
        <v/>
      </c>
      <c r="CO106" s="56">
        <f>IFERROR(IF(($BZ106)&gt;0,($CF106*cfg_TroyOz)/($BZ106),""),"")</f>
        <v/>
      </c>
      <c r="CP106" s="56">
        <f>IFERROR(IF(($CA106)&gt;0,($CG106*cfg_TroyOz)/($CA106),""),"")</f>
        <v/>
      </c>
      <c r="CQ106" s="56">
        <f>IFERROR(IF(($CB106)&gt;0,($CH106*cfg_TroyOz)/($CB106),""),"")</f>
        <v/>
      </c>
      <c r="CR106" s="67">
        <f>IFERROR(IF(($CC106)&gt;0,($CI106)/($CC106),""),"")</f>
        <v/>
      </c>
      <c r="CS106" s="67">
        <f>IFERROR(IF(($CD106)&gt;0,($CJ106)/($CD106),""),"")</f>
        <v/>
      </c>
      <c r="CT106" s="67">
        <f>IFERROR(IF(($CE106)&gt;0,($CK106)/($CE106),""),"")</f>
        <v/>
      </c>
      <c r="CU106" s="55">
        <f>SUMIFS(tblPlant[Gravity_Gold_oz],tblPlant[Date],$A106)</f>
        <v/>
      </c>
      <c r="CV106" s="55">
        <f>IF($B106=$B105,$CV105,0)+$CU106</f>
        <v/>
      </c>
      <c r="CW106" s="55">
        <f>$CW105+$CU106</f>
        <v/>
      </c>
      <c r="CX106" s="55">
        <f>SUMIFS(tblPlant[Gold_Poured_oz],tblPlant[Date],$A106)</f>
        <v/>
      </c>
      <c r="CY106" s="55">
        <f>IF($B106=$B105,$CY105,0)+$CX106</f>
        <v/>
      </c>
      <c r="CZ106" s="55">
        <f>$CZ105+$CX106</f>
        <v/>
      </c>
      <c r="DA106" s="57">
        <f>SUMIFS(tblPlant[Mill_Run_h],tblPlant[Date],$A106)</f>
        <v/>
      </c>
      <c r="DB106" s="57">
        <f>IF($B106=$B105,$DB105,0)+$DA106</f>
        <v/>
      </c>
      <c r="DC106" s="57">
        <f>$DC105+$DA106</f>
        <v/>
      </c>
      <c r="DD106" s="57">
        <f>SUMIFS(tblPlant[Mill_Planned_Maint_h],tblPlant[Date],$A106)</f>
        <v/>
      </c>
      <c r="DE106" s="57">
        <f>IF($B106=$B105,$DE105,0)+$DD106</f>
        <v/>
      </c>
      <c r="DF106" s="57">
        <f>$DF105+$DD106</f>
        <v/>
      </c>
      <c r="DG106" s="57">
        <f>SUMIFS(tblPlant[Mill_Unplanned_Down_h],tblPlant[Date],$A106)</f>
        <v/>
      </c>
      <c r="DH106" s="57">
        <f>IF($B106=$B105,$DH105,0)+$DG106</f>
        <v/>
      </c>
      <c r="DI106" s="57">
        <f>$DI105+$DG106</f>
        <v/>
      </c>
      <c r="DJ106" s="57">
        <f>COUNTIFS(tblPlant[Date],$A106,tblPlant[Mill_Run_h],"&lt;&gt;")*24</f>
        <v/>
      </c>
      <c r="DK106" s="57">
        <f>IF($B106=$B105,$DK105,0)+$DJ106</f>
        <v/>
      </c>
      <c r="DL106" s="57">
        <f>$DL105+$DJ106</f>
        <v/>
      </c>
      <c r="DM106" s="57">
        <f>SUMIFS(tblPlant[Crusher_Run_h],tblPlant[Date],$A106)</f>
        <v/>
      </c>
      <c r="DN106" s="57">
        <f>IF($B106=$B105,$DN105,0)+$DM106</f>
        <v/>
      </c>
      <c r="DO106" s="57">
        <f>$DO105+$DM106</f>
        <v/>
      </c>
      <c r="DP106" s="55">
        <f>IFERROR(IF(($DA106)&gt;0,($BZ106)/($DA106),""),"")</f>
        <v/>
      </c>
      <c r="DQ106" s="55">
        <f>IFERROR(IF(($DB106)&gt;0,($CA106)/($DB106),""),"")</f>
        <v/>
      </c>
      <c r="DR106" s="55">
        <f>IFERROR(IF(($DC106)&gt;0,($CB106)/($DC106),""),"")</f>
        <v/>
      </c>
      <c r="DS106" s="67">
        <f>IFERROR(IF(($DJ106)&gt;0,($DJ106-$DD106-$DG106)/($DJ106),""),"")</f>
        <v/>
      </c>
      <c r="DT106" s="67">
        <f>IFERROR(IF(($DK106)&gt;0,($DK106-$DE106-$DH106)/($DK106),""),"")</f>
        <v/>
      </c>
      <c r="DU106" s="67">
        <f>IFERROR(IF(($DL106)&gt;0,($DL106-$DF106-$DI106)/($DL106),""),"")</f>
        <v/>
      </c>
      <c r="DV106" s="67">
        <f>IFERROR(IF(($DJ106-$DD106-$DG106)&gt;0,($DA106)/($DJ106-$DD106-$DG106),""),"")</f>
        <v/>
      </c>
      <c r="DW106" s="67">
        <f>IFERROR(IF(($DK106-$DE106-$DH106)&gt;0,($DB106)/($DK106-$DE106-$DH106),""),"")</f>
        <v/>
      </c>
      <c r="DX106" s="67">
        <f>IFERROR(IF(($DL106-$DF106-$DI106)&gt;0,($DC106)/($DL106-$DF106-$DI106),""),"")</f>
        <v/>
      </c>
      <c r="DY106" s="55">
        <f>SUMIFS(tblPlant[Cyanide_kg],tblPlant[Date],$A106)</f>
        <v/>
      </c>
      <c r="DZ106" s="55">
        <f>IF($B106=$B105,$DZ105,0)+$DY106</f>
        <v/>
      </c>
      <c r="EA106" s="55">
        <f>$EA105+$DY106</f>
        <v/>
      </c>
      <c r="EB106" s="55">
        <f>SUMIFS(tblPlant[Lime_kg],tblPlant[Date],$A106)</f>
        <v/>
      </c>
      <c r="EC106" s="55">
        <f>IF($B106=$B105,$EC105,0)+$EB106</f>
        <v/>
      </c>
      <c r="ED106" s="55">
        <f>$ED105+$EB106</f>
        <v/>
      </c>
      <c r="EE106" s="55">
        <f>SUMIFS(tblPlant[Grinding_Media_kg],tblPlant[Date],$A106)</f>
        <v/>
      </c>
      <c r="EF106" s="55">
        <f>IF($B106=$B105,$EF105,0)+$EE106</f>
        <v/>
      </c>
      <c r="EG106" s="55">
        <f>$EG105+$EE106</f>
        <v/>
      </c>
      <c r="EH106" s="55">
        <f>SUMIFS(tblPlant[Power_kWh],tblPlant[Date],$A106)</f>
        <v/>
      </c>
      <c r="EI106" s="55">
        <f>IF($B106=$B105,$EI105,0)+$EH106</f>
        <v/>
      </c>
      <c r="EJ106" s="55">
        <f>$EJ105+$EH106</f>
        <v/>
      </c>
      <c r="EK106" s="55">
        <f>SUMIFS(tblPlant[Raw_Water_m3],tblPlant[Date],$A106)</f>
        <v/>
      </c>
      <c r="EL106" s="55">
        <f>IF($B106=$B105,$EL105,0)+$EK106</f>
        <v/>
      </c>
      <c r="EM106" s="55">
        <f>$EM105+$EK106</f>
        <v/>
      </c>
      <c r="EN106" s="56">
        <f>IFERROR(IF(($BZ106)&gt;0,($DY106)/($BZ106),""),"")</f>
        <v/>
      </c>
      <c r="EO106" s="56">
        <f>IFERROR(IF(($CA106)&gt;0,($DZ106)/($CA106),""),"")</f>
        <v/>
      </c>
      <c r="EP106" s="56">
        <f>IFERROR(IF(($CB106)&gt;0,($EA106)/($CB106),""),"")</f>
        <v/>
      </c>
      <c r="EQ106" s="56">
        <f>IFERROR(IF(($BZ106)&gt;0,($EB106)/($BZ106),""),"")</f>
        <v/>
      </c>
      <c r="ER106" s="56">
        <f>IFERROR(IF(($CA106)&gt;0,($EC106)/($CA106),""),"")</f>
        <v/>
      </c>
      <c r="ES106" s="56">
        <f>IFERROR(IF(($CB106)&gt;0,($ED106)/($CB106),""),"")</f>
        <v/>
      </c>
      <c r="ET106" s="56">
        <f>IFERROR(IF(($BZ106)&gt;0,($EE106)/($BZ106),""),"")</f>
        <v/>
      </c>
      <c r="EU106" s="56">
        <f>IFERROR(IF(($CA106)&gt;0,($EF106)/($CA106),""),"")</f>
        <v/>
      </c>
      <c r="EV106" s="56">
        <f>IFERROR(IF(($CB106)&gt;0,($EG106)/($CB106),""),"")</f>
        <v/>
      </c>
      <c r="EW106" s="76">
        <f>IFERROR(IF(($BZ106)&gt;0,($EH106)/($BZ106),""),"")</f>
        <v/>
      </c>
      <c r="EX106" s="76">
        <f>IFERROR(IF(($CA106)&gt;0,($EI106)/($CA106),""),"")</f>
        <v/>
      </c>
      <c r="EY106" s="76">
        <f>IFERROR(IF(($CB106)&gt;0,($EJ106)/($CB106),""),"")</f>
        <v/>
      </c>
      <c r="EZ106" s="56">
        <f>IFERROR(IF(($BZ106)&gt;0,($EK106)/($BZ106),""),"")</f>
        <v/>
      </c>
      <c r="FA106" s="56">
        <f>IFERROR(IF(($CA106)&gt;0,($EL106)/($CA106),""),"")</f>
        <v/>
      </c>
      <c r="FB106" s="56">
        <f>IFERROR(IF(($CB106)&gt;0,($EM106)/($CB106),""),"")</f>
        <v/>
      </c>
      <c r="FC106" s="55">
        <f>IF(SUMIFS(tblPlant[GIC_oz],tblPlant[Date],$A106)&gt;0,SUMIFS(tblPlant[GIC_oz],tblPlant[Date],$A106),"")</f>
        <v/>
      </c>
      <c r="FD106" s="55">
        <f>SUMIFS(tblGold[Gold_oz],tblGold[Date],$A106,tblGold[Type],"Shipment")</f>
        <v/>
      </c>
      <c r="FE106" s="55">
        <f>IF($B106=$B105,$FE105,0)+$FD106</f>
        <v/>
      </c>
      <c r="FF106" s="55">
        <f>$FF105+$FD106</f>
        <v/>
      </c>
      <c r="FG106" s="55">
        <f>SUMIFS(tblGold[Gold_oz],tblGold[Date],$A106,tblGold[Type],"Sale")</f>
        <v/>
      </c>
      <c r="FH106" s="55">
        <f>IF($B106=$B105,$FH105,0)+$FG106</f>
        <v/>
      </c>
      <c r="FI106" s="55">
        <f>$FI105+$FG106</f>
        <v/>
      </c>
      <c r="FJ106" s="55">
        <f>SUMIFS(tblGold[Dore_kg],tblGold[Date],$A106,tblGold[Type],"Shipment")</f>
        <v/>
      </c>
      <c r="FK106" s="55">
        <f>IF($B106=$B105,$FK105,0)+$FJ106</f>
        <v/>
      </c>
      <c r="FL106" s="55">
        <f>$FL105+$FJ106</f>
        <v/>
      </c>
      <c r="FM106" s="57">
        <f>SUMIFS(tblSafety[Hours_Total],tblSafety[Date],$A106)</f>
        <v/>
      </c>
      <c r="FN106" s="57">
        <f>IF($B106=$B105,$FN105,0)+$FM106</f>
        <v/>
      </c>
      <c r="FO106" s="57">
        <f>$FO105+$FM106</f>
        <v/>
      </c>
      <c r="FP106" s="62">
        <f>SUMIFS(tblSafety[Fatality],tblSafety[Date],$A106)</f>
        <v/>
      </c>
      <c r="FQ106" s="62">
        <f>IF($B106=$B105,$FQ105,0)+$FP106</f>
        <v/>
      </c>
      <c r="FR106" s="62">
        <f>$FR105+$FP106</f>
        <v/>
      </c>
      <c r="FS106" s="62">
        <f>SUMIFS(tblSafety[LTI],tblSafety[Date],$A106)</f>
        <v/>
      </c>
      <c r="FT106" s="62">
        <f>IF($B106=$B105,$FT105,0)+$FS106</f>
        <v/>
      </c>
      <c r="FU106" s="62">
        <f>$FU105+$FS106</f>
        <v/>
      </c>
      <c r="FV106" s="62">
        <f>SUMIFS(tblSafety[RWI],tblSafety[Date],$A106)</f>
        <v/>
      </c>
      <c r="FW106" s="62">
        <f>IF($B106=$B105,$FW105,0)+$FV106</f>
        <v/>
      </c>
      <c r="FX106" s="62">
        <f>$FX105+$FV106</f>
        <v/>
      </c>
      <c r="FY106" s="62">
        <f>SUMIFS(tblSafety[MTI],tblSafety[Date],$A106)</f>
        <v/>
      </c>
      <c r="FZ106" s="62">
        <f>IF($B106=$B105,$FZ105,0)+$FY106</f>
        <v/>
      </c>
      <c r="GA106" s="62">
        <f>$GA105+$FY106</f>
        <v/>
      </c>
      <c r="GB106" s="62">
        <f>SUMIFS(tblSafety[FAI],tblSafety[Date],$A106)</f>
        <v/>
      </c>
      <c r="GC106" s="62">
        <f>IF($B106=$B105,$GC105,0)+$GB106</f>
        <v/>
      </c>
      <c r="GD106" s="62">
        <f>$GD105+$GB106</f>
        <v/>
      </c>
      <c r="GE106" s="62">
        <f>SUMIFS(tblSafety[Recordables],tblSafety[Date],$A106)</f>
        <v/>
      </c>
      <c r="GF106" s="62">
        <f>IF($B106=$B105,$GF105,0)+$GE106</f>
        <v/>
      </c>
      <c r="GG106" s="62">
        <f>$GG105+$GE106</f>
        <v/>
      </c>
      <c r="GH106" s="62">
        <f>SUMIFS(tblSafety[Near_Miss],tblSafety[Date],$A106)</f>
        <v/>
      </c>
      <c r="GI106" s="62">
        <f>IF($B106=$B105,$GI105,0)+$GH106</f>
        <v/>
      </c>
      <c r="GJ106" s="62">
        <f>$GJ105+$GH106</f>
        <v/>
      </c>
      <c r="GK106" s="62">
        <f>SUMIFS(tblSafety[Hazard_Reports],tblSafety[Date],$A106)</f>
        <v/>
      </c>
      <c r="GL106" s="62">
        <f>IF($B106=$B105,$GL105,0)+$GK106</f>
        <v/>
      </c>
      <c r="GM106" s="62">
        <f>$GM105+$GK106</f>
        <v/>
      </c>
      <c r="GN106" s="62">
        <f>SUMIFS(tblSafety[HPI],tblSafety[Date],$A106)</f>
        <v/>
      </c>
      <c r="GO106" s="62">
        <f>IF($B106=$B105,$GO105,0)+$GN106</f>
        <v/>
      </c>
      <c r="GP106" s="62">
        <f>$GP105+$GN106</f>
        <v/>
      </c>
      <c r="GQ106" s="62">
        <f>SUMIFS(tblSafety[Env_Incidents],tblSafety[Date],$A106)</f>
        <v/>
      </c>
      <c r="GR106" s="62">
        <f>IF($B106=$B105,$GR105,0)+$GQ106</f>
        <v/>
      </c>
      <c r="GS106" s="62">
        <f>$GS105+$GQ106</f>
        <v/>
      </c>
      <c r="GT106" s="62">
        <f>SUMIFS(tblSafety[Community_Incidents],tblSafety[Date],$A106)</f>
        <v/>
      </c>
      <c r="GU106" s="62">
        <f>IF($B106=$B105,$GU105,0)+$GT106</f>
        <v/>
      </c>
      <c r="GV106" s="62">
        <f>$GV105+$GT106</f>
        <v/>
      </c>
      <c r="GW106" s="62">
        <f>SUMIFS(tblSafety[Vehicle_Incidents],tblSafety[Date],$A106)</f>
        <v/>
      </c>
      <c r="GX106" s="62">
        <f>IF($B106=$B105,$GX105,0)+$GW106</f>
        <v/>
      </c>
      <c r="GY106" s="62">
        <f>$GY105+$GW106</f>
        <v/>
      </c>
      <c r="GZ106" s="62">
        <f>SUMIFS(tblSafety[Toolbox_Talks],tblSafety[Date],$A106)</f>
        <v/>
      </c>
      <c r="HA106" s="62">
        <f>IF($B106=$B105,$HA105,0)+$GZ106</f>
        <v/>
      </c>
      <c r="HB106" s="62">
        <f>$HB105+$GZ106</f>
        <v/>
      </c>
      <c r="HC106" s="62">
        <f>SUMIFS(tblSafety[Inspections],tblSafety[Date],$A106)</f>
        <v/>
      </c>
      <c r="HD106" s="62">
        <f>IF($B106=$B105,$HD105,0)+$HC106</f>
        <v/>
      </c>
      <c r="HE106" s="62">
        <f>$HE105+$HC106</f>
        <v/>
      </c>
      <c r="HF106" s="56">
        <f>IFERROR((SUMIFS(tblSafety[Recordables],tblSafety[Date],"&gt;="&amp;EDATE($E106,-12),tblSafety[Date],"&lt;="&amp;$A106)+SUMIFS(tblSafetyHistory[Recordables],tblSafetyHistory[Month],"&gt;="&amp;EDATE($E106,-12),tblSafetyHistory[Month],"&lt;"&amp;cfg_YearStart))/(SUMIFS(tblSafety[Hours_Total],tblSafety[Date],"&gt;="&amp;EDATE($E106,-12),tblSafety[Date],"&lt;="&amp;$A106)+SUMIFS(tblSafetyHistory[Hours_Total],tblSafetyHistory[Month],"&gt;="&amp;EDATE($E106,-12),tblSafetyHistory[Month],"&lt;"&amp;cfg_YearStart))*1000000,"")</f>
        <v/>
      </c>
      <c r="HG106" s="56">
        <f>IFERROR((SUMIFS(tblSafety[LTI],tblSafety[Date],"&gt;="&amp;EDATE($E106,-12),tblSafety[Date],"&lt;="&amp;$A106)+SUMIFS(tblSafetyHistory[LTI],tblSafetyHistory[Month],"&gt;="&amp;EDATE($E106,-12),tblSafetyHistory[Month],"&lt;"&amp;cfg_YearStart))/(SUMIFS(tblSafety[Hours_Total],tblSafety[Date],"&gt;="&amp;EDATE($E106,-12),tblSafety[Date],"&lt;="&amp;$A106)+SUMIFS(tblSafetyHistory[Hours_Total],tblSafetyHistory[Month],"&gt;="&amp;EDATE($E106,-12),tblSafetyHistory[Month],"&lt;"&amp;cfg_YearStart))*1000000,"")</f>
        <v/>
      </c>
      <c r="HH106" s="62">
        <f>IF(MAX(N(cfg_PriorLTIDate),_xlfn.MAXIFS(tblSafety[Date],tblSafety[LTI],"&gt;0",tblSafety[Date],"&lt;="&amp;$A106))=0,"",$A106-MAX(N(cfg_PriorLTIDate),_xlfn.MAXIFS(tblSafety[Date],tblSafety[LTI],"&gt;0",tblSafety[Date],"&lt;="&amp;$A106)))</f>
        <v/>
      </c>
      <c r="HI106" s="55">
        <f>SUMIFS(tblBudget[Ore_Mined_t],tblBudget[Month],$E106)</f>
        <v/>
      </c>
      <c r="HJ106" s="55">
        <f>$HI106*$C106/$D106</f>
        <v/>
      </c>
      <c r="HK106" s="55">
        <f>SUMIFS(tblBudget[Ore_Mined_t],tblBudget[Month],"&lt;"&amp;$E106)+$HJ106</f>
        <v/>
      </c>
      <c r="HL106" s="55">
        <f>SUMIFS(tblBudget[Ore_oz],tblBudget[Month],$E106)</f>
        <v/>
      </c>
      <c r="HM106" s="55">
        <f>$HL106*$C106/$D106</f>
        <v/>
      </c>
      <c r="HN106" s="55">
        <f>SUMIFS(tblBudget[Ore_oz],tblBudget[Month],"&lt;"&amp;$E106)+$HM106</f>
        <v/>
      </c>
      <c r="HO106" s="56">
        <f>IFERROR(IF(($HI106)&gt;0,($HL106*cfg_TroyOz)/($HI106),""),"")</f>
        <v/>
      </c>
      <c r="HP106" s="56">
        <f>IFERROR(IF(($HJ106)&gt;0,($HM106*cfg_TroyOz)/($HJ106),""),"")</f>
        <v/>
      </c>
      <c r="HQ106" s="56">
        <f>IFERROR(IF(($HK106)&gt;0,($HN106*cfg_TroyOz)/($HK106),""),"")</f>
        <v/>
      </c>
      <c r="HR106" s="55">
        <f>SUMIFS(tblBudget[Waste_t],tblBudget[Month],$E106)</f>
        <v/>
      </c>
      <c r="HS106" s="55">
        <f>$HR106*$C106/$D106</f>
        <v/>
      </c>
      <c r="HT106" s="55">
        <f>SUMIFS(tblBudget[Waste_t],tblBudget[Month],"&lt;"&amp;$E106)+$HS106</f>
        <v/>
      </c>
      <c r="HU106" s="55">
        <f>SUMIFS(tblBudget[TMM_t],tblBudget[Month],$E106)</f>
        <v/>
      </c>
      <c r="HV106" s="55">
        <f>$HU106*$C106/$D106</f>
        <v/>
      </c>
      <c r="HW106" s="55">
        <f>SUMIFS(tblBudget[TMM_t],tblBudget[Month],"&lt;"&amp;$E106)+$HV106</f>
        <v/>
      </c>
      <c r="HX106" s="56">
        <f>IFERROR(IF(($HI106)&gt;0,($HR106)/($HI106),""),"")</f>
        <v/>
      </c>
      <c r="HY106" s="56">
        <f>IFERROR(IF(($HJ106)&gt;0,($HS106)/($HJ106),""),"")</f>
        <v/>
      </c>
      <c r="HZ106" s="56">
        <f>IFERROR(IF(($HK106)&gt;0,($HT106)/($HK106),""),"")</f>
        <v/>
      </c>
      <c r="IA106" s="55">
        <f>SUMIFS(tblBudget[Drill_m],tblBudget[Month],$E106)</f>
        <v/>
      </c>
      <c r="IB106" s="55">
        <f>$IA106*$C106/$D106</f>
        <v/>
      </c>
      <c r="IC106" s="55">
        <f>SUMIFS(tblBudget[Drill_m],tblBudget[Month],"&lt;"&amp;$E106)+$IB106</f>
        <v/>
      </c>
      <c r="ID106" s="55">
        <f>SUMIFS(tblBudget[Diesel_L],tblBudget[Month],$E106)</f>
        <v/>
      </c>
      <c r="IE106" s="55">
        <f>$ID106*$C106/$D106</f>
        <v/>
      </c>
      <c r="IF106" s="55">
        <f>SUMIFS(tblBudget[Diesel_L],tblBudget[Month],"&lt;"&amp;$E106)+$IE106</f>
        <v/>
      </c>
      <c r="IG106" s="55">
        <f>SUMIFS(tblBudget[Milled_t],tblBudget[Month],$E106)</f>
        <v/>
      </c>
      <c r="IH106" s="55">
        <f>$IG106*$C106/$D106</f>
        <v/>
      </c>
      <c r="II106" s="55">
        <f>SUMIFS(tblBudget[Milled_t],tblBudget[Month],"&lt;"&amp;$E106)+$IH106</f>
        <v/>
      </c>
      <c r="IJ106" s="55">
        <f>SUMIFS(tblBudget[Feed_oz],tblBudget[Month],$E106)</f>
        <v/>
      </c>
      <c r="IK106" s="55">
        <f>$IJ106*$C106/$D106</f>
        <v/>
      </c>
      <c r="IL106" s="55">
        <f>SUMIFS(tblBudget[Feed_oz],tblBudget[Month],"&lt;"&amp;$E106)+$IK106</f>
        <v/>
      </c>
      <c r="IM106" s="55">
        <f>SUMIFS(tblBudget[Recovered_oz],tblBudget[Month],$E106)</f>
        <v/>
      </c>
      <c r="IN106" s="55">
        <f>$IM106*$C106/$D106</f>
        <v/>
      </c>
      <c r="IO106" s="55">
        <f>SUMIFS(tblBudget[Recovered_oz],tblBudget[Month],"&lt;"&amp;$E106)+$IN106</f>
        <v/>
      </c>
      <c r="IP106" s="56">
        <f>IFERROR(IF(($IG106)&gt;0,($IJ106*cfg_TroyOz)/($IG106),""),"")</f>
        <v/>
      </c>
      <c r="IQ106" s="56">
        <f>IFERROR(IF(($IH106)&gt;0,($IK106*cfg_TroyOz)/($IH106),""),"")</f>
        <v/>
      </c>
      <c r="IR106" s="56">
        <f>IFERROR(IF(($II106)&gt;0,($IL106*cfg_TroyOz)/($II106),""),"")</f>
        <v/>
      </c>
      <c r="IS106" s="67">
        <f>IFERROR(IF(($IJ106)&gt;0,($IM106)/($IJ106),""),"")</f>
        <v/>
      </c>
      <c r="IT106" s="67">
        <f>IFERROR(IF(($IK106)&gt;0,($IN106)/($IK106),""),"")</f>
        <v/>
      </c>
      <c r="IU106" s="67">
        <f>IFERROR(IF(($IL106)&gt;0,($IO106)/($IL106),""),"")</f>
        <v/>
      </c>
      <c r="IV106" s="55">
        <f>SUMIFS(tblBudget[Gold_Poured_oz],tblBudget[Month],$E106)</f>
        <v/>
      </c>
      <c r="IW106" s="55">
        <f>$IV106*$C106/$D106</f>
        <v/>
      </c>
      <c r="IX106" s="55">
        <f>SUMIFS(tblBudget[Gold_Poured_oz],tblBudget[Month],"&lt;"&amp;$E106)+$IW106</f>
        <v/>
      </c>
      <c r="IY106" s="57">
        <f>SUMIFS(tblBudget[Hours_Worked],tblBudget[Month],$E106)</f>
        <v/>
      </c>
      <c r="IZ106" s="57">
        <f>$IY106*$C106/$D106</f>
        <v/>
      </c>
      <c r="JA106" s="57">
        <f>SUMIFS(tblBudget[Hours_Worked],tblBudget[Month],"&lt;"&amp;$E106)+$IZ106</f>
        <v/>
      </c>
    </row>
    <row r="107">
      <c r="A107" s="54" t="n">
        <v>46128</v>
      </c>
      <c r="B107">
        <f>MONTH($A107)</f>
        <v/>
      </c>
      <c r="C107">
        <f>DAY($A107)</f>
        <v/>
      </c>
      <c r="D107">
        <f>DAY(EOMONTH($A107,0))</f>
        <v/>
      </c>
      <c r="E107" s="54">
        <f>DATE(YEAR($A107),MONTH($A107),1)</f>
        <v/>
      </c>
      <c r="F107" s="55">
        <f>SUMIFS(tblMovement[Tonnes_t],tblMovement[Date],$A107,tblMovement[Is_Ore],1,tblMovement[Source_Type],"Pit")</f>
        <v/>
      </c>
      <c r="G107" s="55">
        <f>IF($B107=$B106,$G106,0)+$F107</f>
        <v/>
      </c>
      <c r="H107" s="55">
        <f>$H106+$F107</f>
        <v/>
      </c>
      <c r="I107" s="55">
        <f>SUMIFS(tblMovement[Ore_oz],tblMovement[Date],$A107,tblMovement[Source_Type],"Pit")</f>
        <v/>
      </c>
      <c r="J107" s="55">
        <f>IF($B107=$B106,$J106,0)+$I107</f>
        <v/>
      </c>
      <c r="K107" s="55">
        <f>$K106+$I107</f>
        <v/>
      </c>
      <c r="L107" s="56">
        <f>IFERROR(IF(($F107)&gt;0,($I107*cfg_TroyOz)/($F107),""),"")</f>
        <v/>
      </c>
      <c r="M107" s="56">
        <f>IFERROR(IF(($G107)&gt;0,($J107*cfg_TroyOz)/($G107),""),"")</f>
        <v/>
      </c>
      <c r="N107" s="56">
        <f>IFERROR(IF(($H107)&gt;0,($K107*cfg_TroyOz)/($H107),""),"")</f>
        <v/>
      </c>
      <c r="O107" s="55">
        <f>SUMIFS(tblMovement[Tonnes_t],tblMovement[Date],$A107,tblMovement[Is_Ore],0,tblMovement[Source_Type],"Pit")</f>
        <v/>
      </c>
      <c r="P107" s="55">
        <f>IF($B107=$B106,$P106,0)+$O107</f>
        <v/>
      </c>
      <c r="Q107" s="55">
        <f>$Q106+$O107</f>
        <v/>
      </c>
      <c r="R107" s="55">
        <f>$F107+$O107</f>
        <v/>
      </c>
      <c r="S107" s="55">
        <f>IF($B107=$B106,$S106,0)+$R107</f>
        <v/>
      </c>
      <c r="T107" s="55">
        <f>$T106+$R107</f>
        <v/>
      </c>
      <c r="U107" s="56">
        <f>IFERROR(IF(($F107)&gt;0,($O107)/($F107),""),"")</f>
        <v/>
      </c>
      <c r="V107" s="56">
        <f>IFERROR(IF(($G107)&gt;0,($P107)/($G107),""),"")</f>
        <v/>
      </c>
      <c r="W107" s="56">
        <f>IFERROR(IF(($H107)&gt;0,($Q107)/($H107),""),"")</f>
        <v/>
      </c>
      <c r="X107" s="55">
        <f>SUMIFS(tblMovement[Tonnes_t],tblMovement[Date],$A107,tblMovement[Source_Type],"Stockpile")</f>
        <v/>
      </c>
      <c r="Y107" s="55">
        <f>IF($B107=$B106,$Y106,0)+$X107</f>
        <v/>
      </c>
      <c r="Z107" s="55">
        <f>$Z106+$X107</f>
        <v/>
      </c>
      <c r="AA107" s="55">
        <f>SUMIFS(tblMiningDaily[Drill_m],tblMiningDaily[Date],$A107)</f>
        <v/>
      </c>
      <c r="AB107" s="55">
        <f>IF($B107=$B106,$AB106,0)+$AA107</f>
        <v/>
      </c>
      <c r="AC107" s="55">
        <f>$AC106+$AA107</f>
        <v/>
      </c>
      <c r="AD107" s="55">
        <f>SUMIFS(tblMiningDaily[Blast_t],tblMiningDaily[Date],$A107)</f>
        <v/>
      </c>
      <c r="AE107" s="55">
        <f>IF($B107=$B106,$AE106,0)+$AD107</f>
        <v/>
      </c>
      <c r="AF107" s="55">
        <f>$AF106+$AD107</f>
        <v/>
      </c>
      <c r="AG107" s="55">
        <f>SUMIFS(tblMiningDaily[Explosives_kg],tblMiningDaily[Date],$A107)</f>
        <v/>
      </c>
      <c r="AH107" s="55">
        <f>IF($B107=$B106,$AH106,0)+$AG107</f>
        <v/>
      </c>
      <c r="AI107" s="55">
        <f>$AI106+$AG107</f>
        <v/>
      </c>
      <c r="AJ107" s="56">
        <f>IFERROR(IF(($AD107)&gt;0,($AG107)/($AD107),""),"")</f>
        <v/>
      </c>
      <c r="AK107" s="56">
        <f>IFERROR(IF(($AE107)&gt;0,($AH107)/($AE107),""),"")</f>
        <v/>
      </c>
      <c r="AL107" s="56">
        <f>IFERROR(IF(($AF107)&gt;0,($AI107)/($AF107),""),"")</f>
        <v/>
      </c>
      <c r="AM107" s="55">
        <f>SUMIFS(tblMiningDaily[Diesel_L],tblMiningDaily[Date],$A107)</f>
        <v/>
      </c>
      <c r="AN107" s="55">
        <f>IF($B107=$B106,$AN106,0)+$AM107</f>
        <v/>
      </c>
      <c r="AO107" s="55">
        <f>$AO106+$AM107</f>
        <v/>
      </c>
      <c r="AP107" s="55">
        <f>SUMIFS(tblMiningDaily[Dewatering_m3],tblMiningDaily[Date],$A107)</f>
        <v/>
      </c>
      <c r="AQ107" s="55">
        <f>IF($B107=$B106,$AQ106,0)+$AP107</f>
        <v/>
      </c>
      <c r="AR107" s="55">
        <f>$AR106+$AP107</f>
        <v/>
      </c>
      <c r="AS107" s="57">
        <f>SUMIFS(tblFleet[Calendar_h],tblFleet[Date],$A107,tblFleet[Equipment_Class],"Excavator")</f>
        <v/>
      </c>
      <c r="AT107" s="57">
        <f>IF($B107=$B106,$AT106,0)+$AS107</f>
        <v/>
      </c>
      <c r="AU107" s="57">
        <f>$AU106+$AS107</f>
        <v/>
      </c>
      <c r="AV107" s="57">
        <f>SUMIFS(tblFleet[Available_h],tblFleet[Date],$A107,tblFleet[Equipment_Class],"Excavator")</f>
        <v/>
      </c>
      <c r="AW107" s="57">
        <f>IF($B107=$B106,$AW106,0)+$AV107</f>
        <v/>
      </c>
      <c r="AX107" s="57">
        <f>$AX106+$AV107</f>
        <v/>
      </c>
      <c r="AY107" s="57">
        <f>SUMIFS(tblFleet[Operating_h],tblFleet[Date],$A107,tblFleet[Equipment_Class],"Excavator")</f>
        <v/>
      </c>
      <c r="AZ107" s="57">
        <f>IF($B107=$B106,$AZ106,0)+$AY107</f>
        <v/>
      </c>
      <c r="BA107" s="57">
        <f>$BA106+$AY107</f>
        <v/>
      </c>
      <c r="BB107" s="67">
        <f>IFERROR(IF(($AS107)&gt;0,($AV107)/($AS107),""),"")</f>
        <v/>
      </c>
      <c r="BC107" s="67">
        <f>IFERROR(IF(($AT107)&gt;0,($AW107)/($AT107),""),"")</f>
        <v/>
      </c>
      <c r="BD107" s="67">
        <f>IFERROR(IF(($AU107)&gt;0,($AX107)/($AU107),""),"")</f>
        <v/>
      </c>
      <c r="BE107" s="67">
        <f>IFERROR(IF(($AV107)&gt;0,($AY107)/($AV107),""),"")</f>
        <v/>
      </c>
      <c r="BF107" s="67">
        <f>IFERROR(IF(($AW107)&gt;0,($AZ107)/($AW107),""),"")</f>
        <v/>
      </c>
      <c r="BG107" s="67">
        <f>IFERROR(IF(($AX107)&gt;0,($BA107)/($AX107),""),"")</f>
        <v/>
      </c>
      <c r="BH107" s="57">
        <f>SUMIFS(tblFleet[Calendar_h],tblFleet[Date],$A107,tblFleet[Equipment_Class],"Haul Truck")</f>
        <v/>
      </c>
      <c r="BI107" s="57">
        <f>IF($B107=$B106,$BI106,0)+$BH107</f>
        <v/>
      </c>
      <c r="BJ107" s="57">
        <f>$BJ106+$BH107</f>
        <v/>
      </c>
      <c r="BK107" s="57">
        <f>SUMIFS(tblFleet[Available_h],tblFleet[Date],$A107,tblFleet[Equipment_Class],"Haul Truck")</f>
        <v/>
      </c>
      <c r="BL107" s="57">
        <f>IF($B107=$B106,$BL106,0)+$BK107</f>
        <v/>
      </c>
      <c r="BM107" s="57">
        <f>$BM106+$BK107</f>
        <v/>
      </c>
      <c r="BN107" s="57">
        <f>SUMIFS(tblFleet[Operating_h],tblFleet[Date],$A107,tblFleet[Equipment_Class],"Haul Truck")</f>
        <v/>
      </c>
      <c r="BO107" s="57">
        <f>IF($B107=$B106,$BO106,0)+$BN107</f>
        <v/>
      </c>
      <c r="BP107" s="57">
        <f>$BP106+$BN107</f>
        <v/>
      </c>
      <c r="BQ107" s="67">
        <f>IFERROR(IF(($BH107)&gt;0,($BK107)/($BH107),""),"")</f>
        <v/>
      </c>
      <c r="BR107" s="67">
        <f>IFERROR(IF(($BI107)&gt;0,($BL107)/($BI107),""),"")</f>
        <v/>
      </c>
      <c r="BS107" s="67">
        <f>IFERROR(IF(($BJ107)&gt;0,($BM107)/($BJ107),""),"")</f>
        <v/>
      </c>
      <c r="BT107" s="67">
        <f>IFERROR(IF(($BK107)&gt;0,($BN107)/($BK107),""),"")</f>
        <v/>
      </c>
      <c r="BU107" s="67">
        <f>IFERROR(IF(($BL107)&gt;0,($BO107)/($BL107),""),"")</f>
        <v/>
      </c>
      <c r="BV107" s="67">
        <f>IFERROR(IF(($BM107)&gt;0,($BP107)/($BM107),""),"")</f>
        <v/>
      </c>
      <c r="BW107" s="55">
        <f>SUMIFS(tblPlant[Crushed_t],tblPlant[Date],$A107)</f>
        <v/>
      </c>
      <c r="BX107" s="55">
        <f>IF($B107=$B106,$BX106,0)+$BW107</f>
        <v/>
      </c>
      <c r="BY107" s="55">
        <f>$BY106+$BW107</f>
        <v/>
      </c>
      <c r="BZ107" s="55">
        <f>SUMIFS(tblPlant[Milled_t],tblPlant[Date],$A107)</f>
        <v/>
      </c>
      <c r="CA107" s="55">
        <f>IF($B107=$B106,$CA106,0)+$BZ107</f>
        <v/>
      </c>
      <c r="CB107" s="55">
        <f>$CB106+$BZ107</f>
        <v/>
      </c>
      <c r="CC107" s="55">
        <f>SUMIFS(tblPlant[Feed_oz],tblPlant[Date],$A107)</f>
        <v/>
      </c>
      <c r="CD107" s="55">
        <f>IF($B107=$B106,$CD106,0)+$CC107</f>
        <v/>
      </c>
      <c r="CE107" s="55">
        <f>$CE106+$CC107</f>
        <v/>
      </c>
      <c r="CF107" s="55">
        <f>SUMIFS(tblPlant[Tails_oz],tblPlant[Date],$A107)</f>
        <v/>
      </c>
      <c r="CG107" s="55">
        <f>IF($B107=$B106,$CG106,0)+$CF107</f>
        <v/>
      </c>
      <c r="CH107" s="55">
        <f>$CH106+$CF107</f>
        <v/>
      </c>
      <c r="CI107" s="55">
        <f>SUMIFS(tblPlant[Recovered_oz],tblPlant[Date],$A107)</f>
        <v/>
      </c>
      <c r="CJ107" s="55">
        <f>IF($B107=$B106,$CJ106,0)+$CI107</f>
        <v/>
      </c>
      <c r="CK107" s="55">
        <f>$CK106+$CI107</f>
        <v/>
      </c>
      <c r="CL107" s="56">
        <f>IFERROR(IF(($BZ107)&gt;0,($CC107*cfg_TroyOz)/($BZ107),""),"")</f>
        <v/>
      </c>
      <c r="CM107" s="56">
        <f>IFERROR(IF(($CA107)&gt;0,($CD107*cfg_TroyOz)/($CA107),""),"")</f>
        <v/>
      </c>
      <c r="CN107" s="56">
        <f>IFERROR(IF(($CB107)&gt;0,($CE107*cfg_TroyOz)/($CB107),""),"")</f>
        <v/>
      </c>
      <c r="CO107" s="56">
        <f>IFERROR(IF(($BZ107)&gt;0,($CF107*cfg_TroyOz)/($BZ107),""),"")</f>
        <v/>
      </c>
      <c r="CP107" s="56">
        <f>IFERROR(IF(($CA107)&gt;0,($CG107*cfg_TroyOz)/($CA107),""),"")</f>
        <v/>
      </c>
      <c r="CQ107" s="56">
        <f>IFERROR(IF(($CB107)&gt;0,($CH107*cfg_TroyOz)/($CB107),""),"")</f>
        <v/>
      </c>
      <c r="CR107" s="67">
        <f>IFERROR(IF(($CC107)&gt;0,($CI107)/($CC107),""),"")</f>
        <v/>
      </c>
      <c r="CS107" s="67">
        <f>IFERROR(IF(($CD107)&gt;0,($CJ107)/($CD107),""),"")</f>
        <v/>
      </c>
      <c r="CT107" s="67">
        <f>IFERROR(IF(($CE107)&gt;0,($CK107)/($CE107),""),"")</f>
        <v/>
      </c>
      <c r="CU107" s="55">
        <f>SUMIFS(tblPlant[Gravity_Gold_oz],tblPlant[Date],$A107)</f>
        <v/>
      </c>
      <c r="CV107" s="55">
        <f>IF($B107=$B106,$CV106,0)+$CU107</f>
        <v/>
      </c>
      <c r="CW107" s="55">
        <f>$CW106+$CU107</f>
        <v/>
      </c>
      <c r="CX107" s="55">
        <f>SUMIFS(tblPlant[Gold_Poured_oz],tblPlant[Date],$A107)</f>
        <v/>
      </c>
      <c r="CY107" s="55">
        <f>IF($B107=$B106,$CY106,0)+$CX107</f>
        <v/>
      </c>
      <c r="CZ107" s="55">
        <f>$CZ106+$CX107</f>
        <v/>
      </c>
      <c r="DA107" s="57">
        <f>SUMIFS(tblPlant[Mill_Run_h],tblPlant[Date],$A107)</f>
        <v/>
      </c>
      <c r="DB107" s="57">
        <f>IF($B107=$B106,$DB106,0)+$DA107</f>
        <v/>
      </c>
      <c r="DC107" s="57">
        <f>$DC106+$DA107</f>
        <v/>
      </c>
      <c r="DD107" s="57">
        <f>SUMIFS(tblPlant[Mill_Planned_Maint_h],tblPlant[Date],$A107)</f>
        <v/>
      </c>
      <c r="DE107" s="57">
        <f>IF($B107=$B106,$DE106,0)+$DD107</f>
        <v/>
      </c>
      <c r="DF107" s="57">
        <f>$DF106+$DD107</f>
        <v/>
      </c>
      <c r="DG107" s="57">
        <f>SUMIFS(tblPlant[Mill_Unplanned_Down_h],tblPlant[Date],$A107)</f>
        <v/>
      </c>
      <c r="DH107" s="57">
        <f>IF($B107=$B106,$DH106,0)+$DG107</f>
        <v/>
      </c>
      <c r="DI107" s="57">
        <f>$DI106+$DG107</f>
        <v/>
      </c>
      <c r="DJ107" s="57">
        <f>COUNTIFS(tblPlant[Date],$A107,tblPlant[Mill_Run_h],"&lt;&gt;")*24</f>
        <v/>
      </c>
      <c r="DK107" s="57">
        <f>IF($B107=$B106,$DK106,0)+$DJ107</f>
        <v/>
      </c>
      <c r="DL107" s="57">
        <f>$DL106+$DJ107</f>
        <v/>
      </c>
      <c r="DM107" s="57">
        <f>SUMIFS(tblPlant[Crusher_Run_h],tblPlant[Date],$A107)</f>
        <v/>
      </c>
      <c r="DN107" s="57">
        <f>IF($B107=$B106,$DN106,0)+$DM107</f>
        <v/>
      </c>
      <c r="DO107" s="57">
        <f>$DO106+$DM107</f>
        <v/>
      </c>
      <c r="DP107" s="55">
        <f>IFERROR(IF(($DA107)&gt;0,($BZ107)/($DA107),""),"")</f>
        <v/>
      </c>
      <c r="DQ107" s="55">
        <f>IFERROR(IF(($DB107)&gt;0,($CA107)/($DB107),""),"")</f>
        <v/>
      </c>
      <c r="DR107" s="55">
        <f>IFERROR(IF(($DC107)&gt;0,($CB107)/($DC107),""),"")</f>
        <v/>
      </c>
      <c r="DS107" s="67">
        <f>IFERROR(IF(($DJ107)&gt;0,($DJ107-$DD107-$DG107)/($DJ107),""),"")</f>
        <v/>
      </c>
      <c r="DT107" s="67">
        <f>IFERROR(IF(($DK107)&gt;0,($DK107-$DE107-$DH107)/($DK107),""),"")</f>
        <v/>
      </c>
      <c r="DU107" s="67">
        <f>IFERROR(IF(($DL107)&gt;0,($DL107-$DF107-$DI107)/($DL107),""),"")</f>
        <v/>
      </c>
      <c r="DV107" s="67">
        <f>IFERROR(IF(($DJ107-$DD107-$DG107)&gt;0,($DA107)/($DJ107-$DD107-$DG107),""),"")</f>
        <v/>
      </c>
      <c r="DW107" s="67">
        <f>IFERROR(IF(($DK107-$DE107-$DH107)&gt;0,($DB107)/($DK107-$DE107-$DH107),""),"")</f>
        <v/>
      </c>
      <c r="DX107" s="67">
        <f>IFERROR(IF(($DL107-$DF107-$DI107)&gt;0,($DC107)/($DL107-$DF107-$DI107),""),"")</f>
        <v/>
      </c>
      <c r="DY107" s="55">
        <f>SUMIFS(tblPlant[Cyanide_kg],tblPlant[Date],$A107)</f>
        <v/>
      </c>
      <c r="DZ107" s="55">
        <f>IF($B107=$B106,$DZ106,0)+$DY107</f>
        <v/>
      </c>
      <c r="EA107" s="55">
        <f>$EA106+$DY107</f>
        <v/>
      </c>
      <c r="EB107" s="55">
        <f>SUMIFS(tblPlant[Lime_kg],tblPlant[Date],$A107)</f>
        <v/>
      </c>
      <c r="EC107" s="55">
        <f>IF($B107=$B106,$EC106,0)+$EB107</f>
        <v/>
      </c>
      <c r="ED107" s="55">
        <f>$ED106+$EB107</f>
        <v/>
      </c>
      <c r="EE107" s="55">
        <f>SUMIFS(tblPlant[Grinding_Media_kg],tblPlant[Date],$A107)</f>
        <v/>
      </c>
      <c r="EF107" s="55">
        <f>IF($B107=$B106,$EF106,0)+$EE107</f>
        <v/>
      </c>
      <c r="EG107" s="55">
        <f>$EG106+$EE107</f>
        <v/>
      </c>
      <c r="EH107" s="55">
        <f>SUMIFS(tblPlant[Power_kWh],tblPlant[Date],$A107)</f>
        <v/>
      </c>
      <c r="EI107" s="55">
        <f>IF($B107=$B106,$EI106,0)+$EH107</f>
        <v/>
      </c>
      <c r="EJ107" s="55">
        <f>$EJ106+$EH107</f>
        <v/>
      </c>
      <c r="EK107" s="55">
        <f>SUMIFS(tblPlant[Raw_Water_m3],tblPlant[Date],$A107)</f>
        <v/>
      </c>
      <c r="EL107" s="55">
        <f>IF($B107=$B106,$EL106,0)+$EK107</f>
        <v/>
      </c>
      <c r="EM107" s="55">
        <f>$EM106+$EK107</f>
        <v/>
      </c>
      <c r="EN107" s="56">
        <f>IFERROR(IF(($BZ107)&gt;0,($DY107)/($BZ107),""),"")</f>
        <v/>
      </c>
      <c r="EO107" s="56">
        <f>IFERROR(IF(($CA107)&gt;0,($DZ107)/($CA107),""),"")</f>
        <v/>
      </c>
      <c r="EP107" s="56">
        <f>IFERROR(IF(($CB107)&gt;0,($EA107)/($CB107),""),"")</f>
        <v/>
      </c>
      <c r="EQ107" s="56">
        <f>IFERROR(IF(($BZ107)&gt;0,($EB107)/($BZ107),""),"")</f>
        <v/>
      </c>
      <c r="ER107" s="56">
        <f>IFERROR(IF(($CA107)&gt;0,($EC107)/($CA107),""),"")</f>
        <v/>
      </c>
      <c r="ES107" s="56">
        <f>IFERROR(IF(($CB107)&gt;0,($ED107)/($CB107),""),"")</f>
        <v/>
      </c>
      <c r="ET107" s="56">
        <f>IFERROR(IF(($BZ107)&gt;0,($EE107)/($BZ107),""),"")</f>
        <v/>
      </c>
      <c r="EU107" s="56">
        <f>IFERROR(IF(($CA107)&gt;0,($EF107)/($CA107),""),"")</f>
        <v/>
      </c>
      <c r="EV107" s="56">
        <f>IFERROR(IF(($CB107)&gt;0,($EG107)/($CB107),""),"")</f>
        <v/>
      </c>
      <c r="EW107" s="76">
        <f>IFERROR(IF(($BZ107)&gt;0,($EH107)/($BZ107),""),"")</f>
        <v/>
      </c>
      <c r="EX107" s="76">
        <f>IFERROR(IF(($CA107)&gt;0,($EI107)/($CA107),""),"")</f>
        <v/>
      </c>
      <c r="EY107" s="76">
        <f>IFERROR(IF(($CB107)&gt;0,($EJ107)/($CB107),""),"")</f>
        <v/>
      </c>
      <c r="EZ107" s="56">
        <f>IFERROR(IF(($BZ107)&gt;0,($EK107)/($BZ107),""),"")</f>
        <v/>
      </c>
      <c r="FA107" s="56">
        <f>IFERROR(IF(($CA107)&gt;0,($EL107)/($CA107),""),"")</f>
        <v/>
      </c>
      <c r="FB107" s="56">
        <f>IFERROR(IF(($CB107)&gt;0,($EM107)/($CB107),""),"")</f>
        <v/>
      </c>
      <c r="FC107" s="55">
        <f>IF(SUMIFS(tblPlant[GIC_oz],tblPlant[Date],$A107)&gt;0,SUMIFS(tblPlant[GIC_oz],tblPlant[Date],$A107),"")</f>
        <v/>
      </c>
      <c r="FD107" s="55">
        <f>SUMIFS(tblGold[Gold_oz],tblGold[Date],$A107,tblGold[Type],"Shipment")</f>
        <v/>
      </c>
      <c r="FE107" s="55">
        <f>IF($B107=$B106,$FE106,0)+$FD107</f>
        <v/>
      </c>
      <c r="FF107" s="55">
        <f>$FF106+$FD107</f>
        <v/>
      </c>
      <c r="FG107" s="55">
        <f>SUMIFS(tblGold[Gold_oz],tblGold[Date],$A107,tblGold[Type],"Sale")</f>
        <v/>
      </c>
      <c r="FH107" s="55">
        <f>IF($B107=$B106,$FH106,0)+$FG107</f>
        <v/>
      </c>
      <c r="FI107" s="55">
        <f>$FI106+$FG107</f>
        <v/>
      </c>
      <c r="FJ107" s="55">
        <f>SUMIFS(tblGold[Dore_kg],tblGold[Date],$A107,tblGold[Type],"Shipment")</f>
        <v/>
      </c>
      <c r="FK107" s="55">
        <f>IF($B107=$B106,$FK106,0)+$FJ107</f>
        <v/>
      </c>
      <c r="FL107" s="55">
        <f>$FL106+$FJ107</f>
        <v/>
      </c>
      <c r="FM107" s="57">
        <f>SUMIFS(tblSafety[Hours_Total],tblSafety[Date],$A107)</f>
        <v/>
      </c>
      <c r="FN107" s="57">
        <f>IF($B107=$B106,$FN106,0)+$FM107</f>
        <v/>
      </c>
      <c r="FO107" s="57">
        <f>$FO106+$FM107</f>
        <v/>
      </c>
      <c r="FP107" s="62">
        <f>SUMIFS(tblSafety[Fatality],tblSafety[Date],$A107)</f>
        <v/>
      </c>
      <c r="FQ107" s="62">
        <f>IF($B107=$B106,$FQ106,0)+$FP107</f>
        <v/>
      </c>
      <c r="FR107" s="62">
        <f>$FR106+$FP107</f>
        <v/>
      </c>
      <c r="FS107" s="62">
        <f>SUMIFS(tblSafety[LTI],tblSafety[Date],$A107)</f>
        <v/>
      </c>
      <c r="FT107" s="62">
        <f>IF($B107=$B106,$FT106,0)+$FS107</f>
        <v/>
      </c>
      <c r="FU107" s="62">
        <f>$FU106+$FS107</f>
        <v/>
      </c>
      <c r="FV107" s="62">
        <f>SUMIFS(tblSafety[RWI],tblSafety[Date],$A107)</f>
        <v/>
      </c>
      <c r="FW107" s="62">
        <f>IF($B107=$B106,$FW106,0)+$FV107</f>
        <v/>
      </c>
      <c r="FX107" s="62">
        <f>$FX106+$FV107</f>
        <v/>
      </c>
      <c r="FY107" s="62">
        <f>SUMIFS(tblSafety[MTI],tblSafety[Date],$A107)</f>
        <v/>
      </c>
      <c r="FZ107" s="62">
        <f>IF($B107=$B106,$FZ106,0)+$FY107</f>
        <v/>
      </c>
      <c r="GA107" s="62">
        <f>$GA106+$FY107</f>
        <v/>
      </c>
      <c r="GB107" s="62">
        <f>SUMIFS(tblSafety[FAI],tblSafety[Date],$A107)</f>
        <v/>
      </c>
      <c r="GC107" s="62">
        <f>IF($B107=$B106,$GC106,0)+$GB107</f>
        <v/>
      </c>
      <c r="GD107" s="62">
        <f>$GD106+$GB107</f>
        <v/>
      </c>
      <c r="GE107" s="62">
        <f>SUMIFS(tblSafety[Recordables],tblSafety[Date],$A107)</f>
        <v/>
      </c>
      <c r="GF107" s="62">
        <f>IF($B107=$B106,$GF106,0)+$GE107</f>
        <v/>
      </c>
      <c r="GG107" s="62">
        <f>$GG106+$GE107</f>
        <v/>
      </c>
      <c r="GH107" s="62">
        <f>SUMIFS(tblSafety[Near_Miss],tblSafety[Date],$A107)</f>
        <v/>
      </c>
      <c r="GI107" s="62">
        <f>IF($B107=$B106,$GI106,0)+$GH107</f>
        <v/>
      </c>
      <c r="GJ107" s="62">
        <f>$GJ106+$GH107</f>
        <v/>
      </c>
      <c r="GK107" s="62">
        <f>SUMIFS(tblSafety[Hazard_Reports],tblSafety[Date],$A107)</f>
        <v/>
      </c>
      <c r="GL107" s="62">
        <f>IF($B107=$B106,$GL106,0)+$GK107</f>
        <v/>
      </c>
      <c r="GM107" s="62">
        <f>$GM106+$GK107</f>
        <v/>
      </c>
      <c r="GN107" s="62">
        <f>SUMIFS(tblSafety[HPI],tblSafety[Date],$A107)</f>
        <v/>
      </c>
      <c r="GO107" s="62">
        <f>IF($B107=$B106,$GO106,0)+$GN107</f>
        <v/>
      </c>
      <c r="GP107" s="62">
        <f>$GP106+$GN107</f>
        <v/>
      </c>
      <c r="GQ107" s="62">
        <f>SUMIFS(tblSafety[Env_Incidents],tblSafety[Date],$A107)</f>
        <v/>
      </c>
      <c r="GR107" s="62">
        <f>IF($B107=$B106,$GR106,0)+$GQ107</f>
        <v/>
      </c>
      <c r="GS107" s="62">
        <f>$GS106+$GQ107</f>
        <v/>
      </c>
      <c r="GT107" s="62">
        <f>SUMIFS(tblSafety[Community_Incidents],tblSafety[Date],$A107)</f>
        <v/>
      </c>
      <c r="GU107" s="62">
        <f>IF($B107=$B106,$GU106,0)+$GT107</f>
        <v/>
      </c>
      <c r="GV107" s="62">
        <f>$GV106+$GT107</f>
        <v/>
      </c>
      <c r="GW107" s="62">
        <f>SUMIFS(tblSafety[Vehicle_Incidents],tblSafety[Date],$A107)</f>
        <v/>
      </c>
      <c r="GX107" s="62">
        <f>IF($B107=$B106,$GX106,0)+$GW107</f>
        <v/>
      </c>
      <c r="GY107" s="62">
        <f>$GY106+$GW107</f>
        <v/>
      </c>
      <c r="GZ107" s="62">
        <f>SUMIFS(tblSafety[Toolbox_Talks],tblSafety[Date],$A107)</f>
        <v/>
      </c>
      <c r="HA107" s="62">
        <f>IF($B107=$B106,$HA106,0)+$GZ107</f>
        <v/>
      </c>
      <c r="HB107" s="62">
        <f>$HB106+$GZ107</f>
        <v/>
      </c>
      <c r="HC107" s="62">
        <f>SUMIFS(tblSafety[Inspections],tblSafety[Date],$A107)</f>
        <v/>
      </c>
      <c r="HD107" s="62">
        <f>IF($B107=$B106,$HD106,0)+$HC107</f>
        <v/>
      </c>
      <c r="HE107" s="62">
        <f>$HE106+$HC107</f>
        <v/>
      </c>
      <c r="HF107" s="56">
        <f>IFERROR((SUMIFS(tblSafety[Recordables],tblSafety[Date],"&gt;="&amp;EDATE($E107,-12),tblSafety[Date],"&lt;="&amp;$A107)+SUMIFS(tblSafetyHistory[Recordables],tblSafetyHistory[Month],"&gt;="&amp;EDATE($E107,-12),tblSafetyHistory[Month],"&lt;"&amp;cfg_YearStart))/(SUMIFS(tblSafety[Hours_Total],tblSafety[Date],"&gt;="&amp;EDATE($E107,-12),tblSafety[Date],"&lt;="&amp;$A107)+SUMIFS(tblSafetyHistory[Hours_Total],tblSafetyHistory[Month],"&gt;="&amp;EDATE($E107,-12),tblSafetyHistory[Month],"&lt;"&amp;cfg_YearStart))*1000000,"")</f>
        <v/>
      </c>
      <c r="HG107" s="56">
        <f>IFERROR((SUMIFS(tblSafety[LTI],tblSafety[Date],"&gt;="&amp;EDATE($E107,-12),tblSafety[Date],"&lt;="&amp;$A107)+SUMIFS(tblSafetyHistory[LTI],tblSafetyHistory[Month],"&gt;="&amp;EDATE($E107,-12),tblSafetyHistory[Month],"&lt;"&amp;cfg_YearStart))/(SUMIFS(tblSafety[Hours_Total],tblSafety[Date],"&gt;="&amp;EDATE($E107,-12),tblSafety[Date],"&lt;="&amp;$A107)+SUMIFS(tblSafetyHistory[Hours_Total],tblSafetyHistory[Month],"&gt;="&amp;EDATE($E107,-12),tblSafetyHistory[Month],"&lt;"&amp;cfg_YearStart))*1000000,"")</f>
        <v/>
      </c>
      <c r="HH107" s="62">
        <f>IF(MAX(N(cfg_PriorLTIDate),_xlfn.MAXIFS(tblSafety[Date],tblSafety[LTI],"&gt;0",tblSafety[Date],"&lt;="&amp;$A107))=0,"",$A107-MAX(N(cfg_PriorLTIDate),_xlfn.MAXIFS(tblSafety[Date],tblSafety[LTI],"&gt;0",tblSafety[Date],"&lt;="&amp;$A107)))</f>
        <v/>
      </c>
      <c r="HI107" s="55">
        <f>SUMIFS(tblBudget[Ore_Mined_t],tblBudget[Month],$E107)</f>
        <v/>
      </c>
      <c r="HJ107" s="55">
        <f>$HI107*$C107/$D107</f>
        <v/>
      </c>
      <c r="HK107" s="55">
        <f>SUMIFS(tblBudget[Ore_Mined_t],tblBudget[Month],"&lt;"&amp;$E107)+$HJ107</f>
        <v/>
      </c>
      <c r="HL107" s="55">
        <f>SUMIFS(tblBudget[Ore_oz],tblBudget[Month],$E107)</f>
        <v/>
      </c>
      <c r="HM107" s="55">
        <f>$HL107*$C107/$D107</f>
        <v/>
      </c>
      <c r="HN107" s="55">
        <f>SUMIFS(tblBudget[Ore_oz],tblBudget[Month],"&lt;"&amp;$E107)+$HM107</f>
        <v/>
      </c>
      <c r="HO107" s="56">
        <f>IFERROR(IF(($HI107)&gt;0,($HL107*cfg_TroyOz)/($HI107),""),"")</f>
        <v/>
      </c>
      <c r="HP107" s="56">
        <f>IFERROR(IF(($HJ107)&gt;0,($HM107*cfg_TroyOz)/($HJ107),""),"")</f>
        <v/>
      </c>
      <c r="HQ107" s="56">
        <f>IFERROR(IF(($HK107)&gt;0,($HN107*cfg_TroyOz)/($HK107),""),"")</f>
        <v/>
      </c>
      <c r="HR107" s="55">
        <f>SUMIFS(tblBudget[Waste_t],tblBudget[Month],$E107)</f>
        <v/>
      </c>
      <c r="HS107" s="55">
        <f>$HR107*$C107/$D107</f>
        <v/>
      </c>
      <c r="HT107" s="55">
        <f>SUMIFS(tblBudget[Waste_t],tblBudget[Month],"&lt;"&amp;$E107)+$HS107</f>
        <v/>
      </c>
      <c r="HU107" s="55">
        <f>SUMIFS(tblBudget[TMM_t],tblBudget[Month],$E107)</f>
        <v/>
      </c>
      <c r="HV107" s="55">
        <f>$HU107*$C107/$D107</f>
        <v/>
      </c>
      <c r="HW107" s="55">
        <f>SUMIFS(tblBudget[TMM_t],tblBudget[Month],"&lt;"&amp;$E107)+$HV107</f>
        <v/>
      </c>
      <c r="HX107" s="56">
        <f>IFERROR(IF(($HI107)&gt;0,($HR107)/($HI107),""),"")</f>
        <v/>
      </c>
      <c r="HY107" s="56">
        <f>IFERROR(IF(($HJ107)&gt;0,($HS107)/($HJ107),""),"")</f>
        <v/>
      </c>
      <c r="HZ107" s="56">
        <f>IFERROR(IF(($HK107)&gt;0,($HT107)/($HK107),""),"")</f>
        <v/>
      </c>
      <c r="IA107" s="55">
        <f>SUMIFS(tblBudget[Drill_m],tblBudget[Month],$E107)</f>
        <v/>
      </c>
      <c r="IB107" s="55">
        <f>$IA107*$C107/$D107</f>
        <v/>
      </c>
      <c r="IC107" s="55">
        <f>SUMIFS(tblBudget[Drill_m],tblBudget[Month],"&lt;"&amp;$E107)+$IB107</f>
        <v/>
      </c>
      <c r="ID107" s="55">
        <f>SUMIFS(tblBudget[Diesel_L],tblBudget[Month],$E107)</f>
        <v/>
      </c>
      <c r="IE107" s="55">
        <f>$ID107*$C107/$D107</f>
        <v/>
      </c>
      <c r="IF107" s="55">
        <f>SUMIFS(tblBudget[Diesel_L],tblBudget[Month],"&lt;"&amp;$E107)+$IE107</f>
        <v/>
      </c>
      <c r="IG107" s="55">
        <f>SUMIFS(tblBudget[Milled_t],tblBudget[Month],$E107)</f>
        <v/>
      </c>
      <c r="IH107" s="55">
        <f>$IG107*$C107/$D107</f>
        <v/>
      </c>
      <c r="II107" s="55">
        <f>SUMIFS(tblBudget[Milled_t],tblBudget[Month],"&lt;"&amp;$E107)+$IH107</f>
        <v/>
      </c>
      <c r="IJ107" s="55">
        <f>SUMIFS(tblBudget[Feed_oz],tblBudget[Month],$E107)</f>
        <v/>
      </c>
      <c r="IK107" s="55">
        <f>$IJ107*$C107/$D107</f>
        <v/>
      </c>
      <c r="IL107" s="55">
        <f>SUMIFS(tblBudget[Feed_oz],tblBudget[Month],"&lt;"&amp;$E107)+$IK107</f>
        <v/>
      </c>
      <c r="IM107" s="55">
        <f>SUMIFS(tblBudget[Recovered_oz],tblBudget[Month],$E107)</f>
        <v/>
      </c>
      <c r="IN107" s="55">
        <f>$IM107*$C107/$D107</f>
        <v/>
      </c>
      <c r="IO107" s="55">
        <f>SUMIFS(tblBudget[Recovered_oz],tblBudget[Month],"&lt;"&amp;$E107)+$IN107</f>
        <v/>
      </c>
      <c r="IP107" s="56">
        <f>IFERROR(IF(($IG107)&gt;0,($IJ107*cfg_TroyOz)/($IG107),""),"")</f>
        <v/>
      </c>
      <c r="IQ107" s="56">
        <f>IFERROR(IF(($IH107)&gt;0,($IK107*cfg_TroyOz)/($IH107),""),"")</f>
        <v/>
      </c>
      <c r="IR107" s="56">
        <f>IFERROR(IF(($II107)&gt;0,($IL107*cfg_TroyOz)/($II107),""),"")</f>
        <v/>
      </c>
      <c r="IS107" s="67">
        <f>IFERROR(IF(($IJ107)&gt;0,($IM107)/($IJ107),""),"")</f>
        <v/>
      </c>
      <c r="IT107" s="67">
        <f>IFERROR(IF(($IK107)&gt;0,($IN107)/($IK107),""),"")</f>
        <v/>
      </c>
      <c r="IU107" s="67">
        <f>IFERROR(IF(($IL107)&gt;0,($IO107)/($IL107),""),"")</f>
        <v/>
      </c>
      <c r="IV107" s="55">
        <f>SUMIFS(tblBudget[Gold_Poured_oz],tblBudget[Month],$E107)</f>
        <v/>
      </c>
      <c r="IW107" s="55">
        <f>$IV107*$C107/$D107</f>
        <v/>
      </c>
      <c r="IX107" s="55">
        <f>SUMIFS(tblBudget[Gold_Poured_oz],tblBudget[Month],"&lt;"&amp;$E107)+$IW107</f>
        <v/>
      </c>
      <c r="IY107" s="57">
        <f>SUMIFS(tblBudget[Hours_Worked],tblBudget[Month],$E107)</f>
        <v/>
      </c>
      <c r="IZ107" s="57">
        <f>$IY107*$C107/$D107</f>
        <v/>
      </c>
      <c r="JA107" s="57">
        <f>SUMIFS(tblBudget[Hours_Worked],tblBudget[Month],"&lt;"&amp;$E107)+$IZ107</f>
        <v/>
      </c>
    </row>
    <row r="108">
      <c r="A108" s="54" t="n">
        <v>46129</v>
      </c>
      <c r="B108">
        <f>MONTH($A108)</f>
        <v/>
      </c>
      <c r="C108">
        <f>DAY($A108)</f>
        <v/>
      </c>
      <c r="D108">
        <f>DAY(EOMONTH($A108,0))</f>
        <v/>
      </c>
      <c r="E108" s="54">
        <f>DATE(YEAR($A108),MONTH($A108),1)</f>
        <v/>
      </c>
      <c r="F108" s="55">
        <f>SUMIFS(tblMovement[Tonnes_t],tblMovement[Date],$A108,tblMovement[Is_Ore],1,tblMovement[Source_Type],"Pit")</f>
        <v/>
      </c>
      <c r="G108" s="55">
        <f>IF($B108=$B107,$G107,0)+$F108</f>
        <v/>
      </c>
      <c r="H108" s="55">
        <f>$H107+$F108</f>
        <v/>
      </c>
      <c r="I108" s="55">
        <f>SUMIFS(tblMovement[Ore_oz],tblMovement[Date],$A108,tblMovement[Source_Type],"Pit")</f>
        <v/>
      </c>
      <c r="J108" s="55">
        <f>IF($B108=$B107,$J107,0)+$I108</f>
        <v/>
      </c>
      <c r="K108" s="55">
        <f>$K107+$I108</f>
        <v/>
      </c>
      <c r="L108" s="56">
        <f>IFERROR(IF(($F108)&gt;0,($I108*cfg_TroyOz)/($F108),""),"")</f>
        <v/>
      </c>
      <c r="M108" s="56">
        <f>IFERROR(IF(($G108)&gt;0,($J108*cfg_TroyOz)/($G108),""),"")</f>
        <v/>
      </c>
      <c r="N108" s="56">
        <f>IFERROR(IF(($H108)&gt;0,($K108*cfg_TroyOz)/($H108),""),"")</f>
        <v/>
      </c>
      <c r="O108" s="55">
        <f>SUMIFS(tblMovement[Tonnes_t],tblMovement[Date],$A108,tblMovement[Is_Ore],0,tblMovement[Source_Type],"Pit")</f>
        <v/>
      </c>
      <c r="P108" s="55">
        <f>IF($B108=$B107,$P107,0)+$O108</f>
        <v/>
      </c>
      <c r="Q108" s="55">
        <f>$Q107+$O108</f>
        <v/>
      </c>
      <c r="R108" s="55">
        <f>$F108+$O108</f>
        <v/>
      </c>
      <c r="S108" s="55">
        <f>IF($B108=$B107,$S107,0)+$R108</f>
        <v/>
      </c>
      <c r="T108" s="55">
        <f>$T107+$R108</f>
        <v/>
      </c>
      <c r="U108" s="56">
        <f>IFERROR(IF(($F108)&gt;0,($O108)/($F108),""),"")</f>
        <v/>
      </c>
      <c r="V108" s="56">
        <f>IFERROR(IF(($G108)&gt;0,($P108)/($G108),""),"")</f>
        <v/>
      </c>
      <c r="W108" s="56">
        <f>IFERROR(IF(($H108)&gt;0,($Q108)/($H108),""),"")</f>
        <v/>
      </c>
      <c r="X108" s="55">
        <f>SUMIFS(tblMovement[Tonnes_t],tblMovement[Date],$A108,tblMovement[Source_Type],"Stockpile")</f>
        <v/>
      </c>
      <c r="Y108" s="55">
        <f>IF($B108=$B107,$Y107,0)+$X108</f>
        <v/>
      </c>
      <c r="Z108" s="55">
        <f>$Z107+$X108</f>
        <v/>
      </c>
      <c r="AA108" s="55">
        <f>SUMIFS(tblMiningDaily[Drill_m],tblMiningDaily[Date],$A108)</f>
        <v/>
      </c>
      <c r="AB108" s="55">
        <f>IF($B108=$B107,$AB107,0)+$AA108</f>
        <v/>
      </c>
      <c r="AC108" s="55">
        <f>$AC107+$AA108</f>
        <v/>
      </c>
      <c r="AD108" s="55">
        <f>SUMIFS(tblMiningDaily[Blast_t],tblMiningDaily[Date],$A108)</f>
        <v/>
      </c>
      <c r="AE108" s="55">
        <f>IF($B108=$B107,$AE107,0)+$AD108</f>
        <v/>
      </c>
      <c r="AF108" s="55">
        <f>$AF107+$AD108</f>
        <v/>
      </c>
      <c r="AG108" s="55">
        <f>SUMIFS(tblMiningDaily[Explosives_kg],tblMiningDaily[Date],$A108)</f>
        <v/>
      </c>
      <c r="AH108" s="55">
        <f>IF($B108=$B107,$AH107,0)+$AG108</f>
        <v/>
      </c>
      <c r="AI108" s="55">
        <f>$AI107+$AG108</f>
        <v/>
      </c>
      <c r="AJ108" s="56">
        <f>IFERROR(IF(($AD108)&gt;0,($AG108)/($AD108),""),"")</f>
        <v/>
      </c>
      <c r="AK108" s="56">
        <f>IFERROR(IF(($AE108)&gt;0,($AH108)/($AE108),""),"")</f>
        <v/>
      </c>
      <c r="AL108" s="56">
        <f>IFERROR(IF(($AF108)&gt;0,($AI108)/($AF108),""),"")</f>
        <v/>
      </c>
      <c r="AM108" s="55">
        <f>SUMIFS(tblMiningDaily[Diesel_L],tblMiningDaily[Date],$A108)</f>
        <v/>
      </c>
      <c r="AN108" s="55">
        <f>IF($B108=$B107,$AN107,0)+$AM108</f>
        <v/>
      </c>
      <c r="AO108" s="55">
        <f>$AO107+$AM108</f>
        <v/>
      </c>
      <c r="AP108" s="55">
        <f>SUMIFS(tblMiningDaily[Dewatering_m3],tblMiningDaily[Date],$A108)</f>
        <v/>
      </c>
      <c r="AQ108" s="55">
        <f>IF($B108=$B107,$AQ107,0)+$AP108</f>
        <v/>
      </c>
      <c r="AR108" s="55">
        <f>$AR107+$AP108</f>
        <v/>
      </c>
      <c r="AS108" s="57">
        <f>SUMIFS(tblFleet[Calendar_h],tblFleet[Date],$A108,tblFleet[Equipment_Class],"Excavator")</f>
        <v/>
      </c>
      <c r="AT108" s="57">
        <f>IF($B108=$B107,$AT107,0)+$AS108</f>
        <v/>
      </c>
      <c r="AU108" s="57">
        <f>$AU107+$AS108</f>
        <v/>
      </c>
      <c r="AV108" s="57">
        <f>SUMIFS(tblFleet[Available_h],tblFleet[Date],$A108,tblFleet[Equipment_Class],"Excavator")</f>
        <v/>
      </c>
      <c r="AW108" s="57">
        <f>IF($B108=$B107,$AW107,0)+$AV108</f>
        <v/>
      </c>
      <c r="AX108" s="57">
        <f>$AX107+$AV108</f>
        <v/>
      </c>
      <c r="AY108" s="57">
        <f>SUMIFS(tblFleet[Operating_h],tblFleet[Date],$A108,tblFleet[Equipment_Class],"Excavator")</f>
        <v/>
      </c>
      <c r="AZ108" s="57">
        <f>IF($B108=$B107,$AZ107,0)+$AY108</f>
        <v/>
      </c>
      <c r="BA108" s="57">
        <f>$BA107+$AY108</f>
        <v/>
      </c>
      <c r="BB108" s="67">
        <f>IFERROR(IF(($AS108)&gt;0,($AV108)/($AS108),""),"")</f>
        <v/>
      </c>
      <c r="BC108" s="67">
        <f>IFERROR(IF(($AT108)&gt;0,($AW108)/($AT108),""),"")</f>
        <v/>
      </c>
      <c r="BD108" s="67">
        <f>IFERROR(IF(($AU108)&gt;0,($AX108)/($AU108),""),"")</f>
        <v/>
      </c>
      <c r="BE108" s="67">
        <f>IFERROR(IF(($AV108)&gt;0,($AY108)/($AV108),""),"")</f>
        <v/>
      </c>
      <c r="BF108" s="67">
        <f>IFERROR(IF(($AW108)&gt;0,($AZ108)/($AW108),""),"")</f>
        <v/>
      </c>
      <c r="BG108" s="67">
        <f>IFERROR(IF(($AX108)&gt;0,($BA108)/($AX108),""),"")</f>
        <v/>
      </c>
      <c r="BH108" s="57">
        <f>SUMIFS(tblFleet[Calendar_h],tblFleet[Date],$A108,tblFleet[Equipment_Class],"Haul Truck")</f>
        <v/>
      </c>
      <c r="BI108" s="57">
        <f>IF($B108=$B107,$BI107,0)+$BH108</f>
        <v/>
      </c>
      <c r="BJ108" s="57">
        <f>$BJ107+$BH108</f>
        <v/>
      </c>
      <c r="BK108" s="57">
        <f>SUMIFS(tblFleet[Available_h],tblFleet[Date],$A108,tblFleet[Equipment_Class],"Haul Truck")</f>
        <v/>
      </c>
      <c r="BL108" s="57">
        <f>IF($B108=$B107,$BL107,0)+$BK108</f>
        <v/>
      </c>
      <c r="BM108" s="57">
        <f>$BM107+$BK108</f>
        <v/>
      </c>
      <c r="BN108" s="57">
        <f>SUMIFS(tblFleet[Operating_h],tblFleet[Date],$A108,tblFleet[Equipment_Class],"Haul Truck")</f>
        <v/>
      </c>
      <c r="BO108" s="57">
        <f>IF($B108=$B107,$BO107,0)+$BN108</f>
        <v/>
      </c>
      <c r="BP108" s="57">
        <f>$BP107+$BN108</f>
        <v/>
      </c>
      <c r="BQ108" s="67">
        <f>IFERROR(IF(($BH108)&gt;0,($BK108)/($BH108),""),"")</f>
        <v/>
      </c>
      <c r="BR108" s="67">
        <f>IFERROR(IF(($BI108)&gt;0,($BL108)/($BI108),""),"")</f>
        <v/>
      </c>
      <c r="BS108" s="67">
        <f>IFERROR(IF(($BJ108)&gt;0,($BM108)/($BJ108),""),"")</f>
        <v/>
      </c>
      <c r="BT108" s="67">
        <f>IFERROR(IF(($BK108)&gt;0,($BN108)/($BK108),""),"")</f>
        <v/>
      </c>
      <c r="BU108" s="67">
        <f>IFERROR(IF(($BL108)&gt;0,($BO108)/($BL108),""),"")</f>
        <v/>
      </c>
      <c r="BV108" s="67">
        <f>IFERROR(IF(($BM108)&gt;0,($BP108)/($BM108),""),"")</f>
        <v/>
      </c>
      <c r="BW108" s="55">
        <f>SUMIFS(tblPlant[Crushed_t],tblPlant[Date],$A108)</f>
        <v/>
      </c>
      <c r="BX108" s="55">
        <f>IF($B108=$B107,$BX107,0)+$BW108</f>
        <v/>
      </c>
      <c r="BY108" s="55">
        <f>$BY107+$BW108</f>
        <v/>
      </c>
      <c r="BZ108" s="55">
        <f>SUMIFS(tblPlant[Milled_t],tblPlant[Date],$A108)</f>
        <v/>
      </c>
      <c r="CA108" s="55">
        <f>IF($B108=$B107,$CA107,0)+$BZ108</f>
        <v/>
      </c>
      <c r="CB108" s="55">
        <f>$CB107+$BZ108</f>
        <v/>
      </c>
      <c r="CC108" s="55">
        <f>SUMIFS(tblPlant[Feed_oz],tblPlant[Date],$A108)</f>
        <v/>
      </c>
      <c r="CD108" s="55">
        <f>IF($B108=$B107,$CD107,0)+$CC108</f>
        <v/>
      </c>
      <c r="CE108" s="55">
        <f>$CE107+$CC108</f>
        <v/>
      </c>
      <c r="CF108" s="55">
        <f>SUMIFS(tblPlant[Tails_oz],tblPlant[Date],$A108)</f>
        <v/>
      </c>
      <c r="CG108" s="55">
        <f>IF($B108=$B107,$CG107,0)+$CF108</f>
        <v/>
      </c>
      <c r="CH108" s="55">
        <f>$CH107+$CF108</f>
        <v/>
      </c>
      <c r="CI108" s="55">
        <f>SUMIFS(tblPlant[Recovered_oz],tblPlant[Date],$A108)</f>
        <v/>
      </c>
      <c r="CJ108" s="55">
        <f>IF($B108=$B107,$CJ107,0)+$CI108</f>
        <v/>
      </c>
      <c r="CK108" s="55">
        <f>$CK107+$CI108</f>
        <v/>
      </c>
      <c r="CL108" s="56">
        <f>IFERROR(IF(($BZ108)&gt;0,($CC108*cfg_TroyOz)/($BZ108),""),"")</f>
        <v/>
      </c>
      <c r="CM108" s="56">
        <f>IFERROR(IF(($CA108)&gt;0,($CD108*cfg_TroyOz)/($CA108),""),"")</f>
        <v/>
      </c>
      <c r="CN108" s="56">
        <f>IFERROR(IF(($CB108)&gt;0,($CE108*cfg_TroyOz)/($CB108),""),"")</f>
        <v/>
      </c>
      <c r="CO108" s="56">
        <f>IFERROR(IF(($BZ108)&gt;0,($CF108*cfg_TroyOz)/($BZ108),""),"")</f>
        <v/>
      </c>
      <c r="CP108" s="56">
        <f>IFERROR(IF(($CA108)&gt;0,($CG108*cfg_TroyOz)/($CA108),""),"")</f>
        <v/>
      </c>
      <c r="CQ108" s="56">
        <f>IFERROR(IF(($CB108)&gt;0,($CH108*cfg_TroyOz)/($CB108),""),"")</f>
        <v/>
      </c>
      <c r="CR108" s="67">
        <f>IFERROR(IF(($CC108)&gt;0,($CI108)/($CC108),""),"")</f>
        <v/>
      </c>
      <c r="CS108" s="67">
        <f>IFERROR(IF(($CD108)&gt;0,($CJ108)/($CD108),""),"")</f>
        <v/>
      </c>
      <c r="CT108" s="67">
        <f>IFERROR(IF(($CE108)&gt;0,($CK108)/($CE108),""),"")</f>
        <v/>
      </c>
      <c r="CU108" s="55">
        <f>SUMIFS(tblPlant[Gravity_Gold_oz],tblPlant[Date],$A108)</f>
        <v/>
      </c>
      <c r="CV108" s="55">
        <f>IF($B108=$B107,$CV107,0)+$CU108</f>
        <v/>
      </c>
      <c r="CW108" s="55">
        <f>$CW107+$CU108</f>
        <v/>
      </c>
      <c r="CX108" s="55">
        <f>SUMIFS(tblPlant[Gold_Poured_oz],tblPlant[Date],$A108)</f>
        <v/>
      </c>
      <c r="CY108" s="55">
        <f>IF($B108=$B107,$CY107,0)+$CX108</f>
        <v/>
      </c>
      <c r="CZ108" s="55">
        <f>$CZ107+$CX108</f>
        <v/>
      </c>
      <c r="DA108" s="57">
        <f>SUMIFS(tblPlant[Mill_Run_h],tblPlant[Date],$A108)</f>
        <v/>
      </c>
      <c r="DB108" s="57">
        <f>IF($B108=$B107,$DB107,0)+$DA108</f>
        <v/>
      </c>
      <c r="DC108" s="57">
        <f>$DC107+$DA108</f>
        <v/>
      </c>
      <c r="DD108" s="57">
        <f>SUMIFS(tblPlant[Mill_Planned_Maint_h],tblPlant[Date],$A108)</f>
        <v/>
      </c>
      <c r="DE108" s="57">
        <f>IF($B108=$B107,$DE107,0)+$DD108</f>
        <v/>
      </c>
      <c r="DF108" s="57">
        <f>$DF107+$DD108</f>
        <v/>
      </c>
      <c r="DG108" s="57">
        <f>SUMIFS(tblPlant[Mill_Unplanned_Down_h],tblPlant[Date],$A108)</f>
        <v/>
      </c>
      <c r="DH108" s="57">
        <f>IF($B108=$B107,$DH107,0)+$DG108</f>
        <v/>
      </c>
      <c r="DI108" s="57">
        <f>$DI107+$DG108</f>
        <v/>
      </c>
      <c r="DJ108" s="57">
        <f>COUNTIFS(tblPlant[Date],$A108,tblPlant[Mill_Run_h],"&lt;&gt;")*24</f>
        <v/>
      </c>
      <c r="DK108" s="57">
        <f>IF($B108=$B107,$DK107,0)+$DJ108</f>
        <v/>
      </c>
      <c r="DL108" s="57">
        <f>$DL107+$DJ108</f>
        <v/>
      </c>
      <c r="DM108" s="57">
        <f>SUMIFS(tblPlant[Crusher_Run_h],tblPlant[Date],$A108)</f>
        <v/>
      </c>
      <c r="DN108" s="57">
        <f>IF($B108=$B107,$DN107,0)+$DM108</f>
        <v/>
      </c>
      <c r="DO108" s="57">
        <f>$DO107+$DM108</f>
        <v/>
      </c>
      <c r="DP108" s="55">
        <f>IFERROR(IF(($DA108)&gt;0,($BZ108)/($DA108),""),"")</f>
        <v/>
      </c>
      <c r="DQ108" s="55">
        <f>IFERROR(IF(($DB108)&gt;0,($CA108)/($DB108),""),"")</f>
        <v/>
      </c>
      <c r="DR108" s="55">
        <f>IFERROR(IF(($DC108)&gt;0,($CB108)/($DC108),""),"")</f>
        <v/>
      </c>
      <c r="DS108" s="67">
        <f>IFERROR(IF(($DJ108)&gt;0,($DJ108-$DD108-$DG108)/($DJ108),""),"")</f>
        <v/>
      </c>
      <c r="DT108" s="67">
        <f>IFERROR(IF(($DK108)&gt;0,($DK108-$DE108-$DH108)/($DK108),""),"")</f>
        <v/>
      </c>
      <c r="DU108" s="67">
        <f>IFERROR(IF(($DL108)&gt;0,($DL108-$DF108-$DI108)/($DL108),""),"")</f>
        <v/>
      </c>
      <c r="DV108" s="67">
        <f>IFERROR(IF(($DJ108-$DD108-$DG108)&gt;0,($DA108)/($DJ108-$DD108-$DG108),""),"")</f>
        <v/>
      </c>
      <c r="DW108" s="67">
        <f>IFERROR(IF(($DK108-$DE108-$DH108)&gt;0,($DB108)/($DK108-$DE108-$DH108),""),"")</f>
        <v/>
      </c>
      <c r="DX108" s="67">
        <f>IFERROR(IF(($DL108-$DF108-$DI108)&gt;0,($DC108)/($DL108-$DF108-$DI108),""),"")</f>
        <v/>
      </c>
      <c r="DY108" s="55">
        <f>SUMIFS(tblPlant[Cyanide_kg],tblPlant[Date],$A108)</f>
        <v/>
      </c>
      <c r="DZ108" s="55">
        <f>IF($B108=$B107,$DZ107,0)+$DY108</f>
        <v/>
      </c>
      <c r="EA108" s="55">
        <f>$EA107+$DY108</f>
        <v/>
      </c>
      <c r="EB108" s="55">
        <f>SUMIFS(tblPlant[Lime_kg],tblPlant[Date],$A108)</f>
        <v/>
      </c>
      <c r="EC108" s="55">
        <f>IF($B108=$B107,$EC107,0)+$EB108</f>
        <v/>
      </c>
      <c r="ED108" s="55">
        <f>$ED107+$EB108</f>
        <v/>
      </c>
      <c r="EE108" s="55">
        <f>SUMIFS(tblPlant[Grinding_Media_kg],tblPlant[Date],$A108)</f>
        <v/>
      </c>
      <c r="EF108" s="55">
        <f>IF($B108=$B107,$EF107,0)+$EE108</f>
        <v/>
      </c>
      <c r="EG108" s="55">
        <f>$EG107+$EE108</f>
        <v/>
      </c>
      <c r="EH108" s="55">
        <f>SUMIFS(tblPlant[Power_kWh],tblPlant[Date],$A108)</f>
        <v/>
      </c>
      <c r="EI108" s="55">
        <f>IF($B108=$B107,$EI107,0)+$EH108</f>
        <v/>
      </c>
      <c r="EJ108" s="55">
        <f>$EJ107+$EH108</f>
        <v/>
      </c>
      <c r="EK108" s="55">
        <f>SUMIFS(tblPlant[Raw_Water_m3],tblPlant[Date],$A108)</f>
        <v/>
      </c>
      <c r="EL108" s="55">
        <f>IF($B108=$B107,$EL107,0)+$EK108</f>
        <v/>
      </c>
      <c r="EM108" s="55">
        <f>$EM107+$EK108</f>
        <v/>
      </c>
      <c r="EN108" s="56">
        <f>IFERROR(IF(($BZ108)&gt;0,($DY108)/($BZ108),""),"")</f>
        <v/>
      </c>
      <c r="EO108" s="56">
        <f>IFERROR(IF(($CA108)&gt;0,($DZ108)/($CA108),""),"")</f>
        <v/>
      </c>
      <c r="EP108" s="56">
        <f>IFERROR(IF(($CB108)&gt;0,($EA108)/($CB108),""),"")</f>
        <v/>
      </c>
      <c r="EQ108" s="56">
        <f>IFERROR(IF(($BZ108)&gt;0,($EB108)/($BZ108),""),"")</f>
        <v/>
      </c>
      <c r="ER108" s="56">
        <f>IFERROR(IF(($CA108)&gt;0,($EC108)/($CA108),""),"")</f>
        <v/>
      </c>
      <c r="ES108" s="56">
        <f>IFERROR(IF(($CB108)&gt;0,($ED108)/($CB108),""),"")</f>
        <v/>
      </c>
      <c r="ET108" s="56">
        <f>IFERROR(IF(($BZ108)&gt;0,($EE108)/($BZ108),""),"")</f>
        <v/>
      </c>
      <c r="EU108" s="56">
        <f>IFERROR(IF(($CA108)&gt;0,($EF108)/($CA108),""),"")</f>
        <v/>
      </c>
      <c r="EV108" s="56">
        <f>IFERROR(IF(($CB108)&gt;0,($EG108)/($CB108),""),"")</f>
        <v/>
      </c>
      <c r="EW108" s="76">
        <f>IFERROR(IF(($BZ108)&gt;0,($EH108)/($BZ108),""),"")</f>
        <v/>
      </c>
      <c r="EX108" s="76">
        <f>IFERROR(IF(($CA108)&gt;0,($EI108)/($CA108),""),"")</f>
        <v/>
      </c>
      <c r="EY108" s="76">
        <f>IFERROR(IF(($CB108)&gt;0,($EJ108)/($CB108),""),"")</f>
        <v/>
      </c>
      <c r="EZ108" s="56">
        <f>IFERROR(IF(($BZ108)&gt;0,($EK108)/($BZ108),""),"")</f>
        <v/>
      </c>
      <c r="FA108" s="56">
        <f>IFERROR(IF(($CA108)&gt;0,($EL108)/($CA108),""),"")</f>
        <v/>
      </c>
      <c r="FB108" s="56">
        <f>IFERROR(IF(($CB108)&gt;0,($EM108)/($CB108),""),"")</f>
        <v/>
      </c>
      <c r="FC108" s="55">
        <f>IF(SUMIFS(tblPlant[GIC_oz],tblPlant[Date],$A108)&gt;0,SUMIFS(tblPlant[GIC_oz],tblPlant[Date],$A108),"")</f>
        <v/>
      </c>
      <c r="FD108" s="55">
        <f>SUMIFS(tblGold[Gold_oz],tblGold[Date],$A108,tblGold[Type],"Shipment")</f>
        <v/>
      </c>
      <c r="FE108" s="55">
        <f>IF($B108=$B107,$FE107,0)+$FD108</f>
        <v/>
      </c>
      <c r="FF108" s="55">
        <f>$FF107+$FD108</f>
        <v/>
      </c>
      <c r="FG108" s="55">
        <f>SUMIFS(tblGold[Gold_oz],tblGold[Date],$A108,tblGold[Type],"Sale")</f>
        <v/>
      </c>
      <c r="FH108" s="55">
        <f>IF($B108=$B107,$FH107,0)+$FG108</f>
        <v/>
      </c>
      <c r="FI108" s="55">
        <f>$FI107+$FG108</f>
        <v/>
      </c>
      <c r="FJ108" s="55">
        <f>SUMIFS(tblGold[Dore_kg],tblGold[Date],$A108,tblGold[Type],"Shipment")</f>
        <v/>
      </c>
      <c r="FK108" s="55">
        <f>IF($B108=$B107,$FK107,0)+$FJ108</f>
        <v/>
      </c>
      <c r="FL108" s="55">
        <f>$FL107+$FJ108</f>
        <v/>
      </c>
      <c r="FM108" s="57">
        <f>SUMIFS(tblSafety[Hours_Total],tblSafety[Date],$A108)</f>
        <v/>
      </c>
      <c r="FN108" s="57">
        <f>IF($B108=$B107,$FN107,0)+$FM108</f>
        <v/>
      </c>
      <c r="FO108" s="57">
        <f>$FO107+$FM108</f>
        <v/>
      </c>
      <c r="FP108" s="62">
        <f>SUMIFS(tblSafety[Fatality],tblSafety[Date],$A108)</f>
        <v/>
      </c>
      <c r="FQ108" s="62">
        <f>IF($B108=$B107,$FQ107,0)+$FP108</f>
        <v/>
      </c>
      <c r="FR108" s="62">
        <f>$FR107+$FP108</f>
        <v/>
      </c>
      <c r="FS108" s="62">
        <f>SUMIFS(tblSafety[LTI],tblSafety[Date],$A108)</f>
        <v/>
      </c>
      <c r="FT108" s="62">
        <f>IF($B108=$B107,$FT107,0)+$FS108</f>
        <v/>
      </c>
      <c r="FU108" s="62">
        <f>$FU107+$FS108</f>
        <v/>
      </c>
      <c r="FV108" s="62">
        <f>SUMIFS(tblSafety[RWI],tblSafety[Date],$A108)</f>
        <v/>
      </c>
      <c r="FW108" s="62">
        <f>IF($B108=$B107,$FW107,0)+$FV108</f>
        <v/>
      </c>
      <c r="FX108" s="62">
        <f>$FX107+$FV108</f>
        <v/>
      </c>
      <c r="FY108" s="62">
        <f>SUMIFS(tblSafety[MTI],tblSafety[Date],$A108)</f>
        <v/>
      </c>
      <c r="FZ108" s="62">
        <f>IF($B108=$B107,$FZ107,0)+$FY108</f>
        <v/>
      </c>
      <c r="GA108" s="62">
        <f>$GA107+$FY108</f>
        <v/>
      </c>
      <c r="GB108" s="62">
        <f>SUMIFS(tblSafety[FAI],tblSafety[Date],$A108)</f>
        <v/>
      </c>
      <c r="GC108" s="62">
        <f>IF($B108=$B107,$GC107,0)+$GB108</f>
        <v/>
      </c>
      <c r="GD108" s="62">
        <f>$GD107+$GB108</f>
        <v/>
      </c>
      <c r="GE108" s="62">
        <f>SUMIFS(tblSafety[Recordables],tblSafety[Date],$A108)</f>
        <v/>
      </c>
      <c r="GF108" s="62">
        <f>IF($B108=$B107,$GF107,0)+$GE108</f>
        <v/>
      </c>
      <c r="GG108" s="62">
        <f>$GG107+$GE108</f>
        <v/>
      </c>
      <c r="GH108" s="62">
        <f>SUMIFS(tblSafety[Near_Miss],tblSafety[Date],$A108)</f>
        <v/>
      </c>
      <c r="GI108" s="62">
        <f>IF($B108=$B107,$GI107,0)+$GH108</f>
        <v/>
      </c>
      <c r="GJ108" s="62">
        <f>$GJ107+$GH108</f>
        <v/>
      </c>
      <c r="GK108" s="62">
        <f>SUMIFS(tblSafety[Hazard_Reports],tblSafety[Date],$A108)</f>
        <v/>
      </c>
      <c r="GL108" s="62">
        <f>IF($B108=$B107,$GL107,0)+$GK108</f>
        <v/>
      </c>
      <c r="GM108" s="62">
        <f>$GM107+$GK108</f>
        <v/>
      </c>
      <c r="GN108" s="62">
        <f>SUMIFS(tblSafety[HPI],tblSafety[Date],$A108)</f>
        <v/>
      </c>
      <c r="GO108" s="62">
        <f>IF($B108=$B107,$GO107,0)+$GN108</f>
        <v/>
      </c>
      <c r="GP108" s="62">
        <f>$GP107+$GN108</f>
        <v/>
      </c>
      <c r="GQ108" s="62">
        <f>SUMIFS(tblSafety[Env_Incidents],tblSafety[Date],$A108)</f>
        <v/>
      </c>
      <c r="GR108" s="62">
        <f>IF($B108=$B107,$GR107,0)+$GQ108</f>
        <v/>
      </c>
      <c r="GS108" s="62">
        <f>$GS107+$GQ108</f>
        <v/>
      </c>
      <c r="GT108" s="62">
        <f>SUMIFS(tblSafety[Community_Incidents],tblSafety[Date],$A108)</f>
        <v/>
      </c>
      <c r="GU108" s="62">
        <f>IF($B108=$B107,$GU107,0)+$GT108</f>
        <v/>
      </c>
      <c r="GV108" s="62">
        <f>$GV107+$GT108</f>
        <v/>
      </c>
      <c r="GW108" s="62">
        <f>SUMIFS(tblSafety[Vehicle_Incidents],tblSafety[Date],$A108)</f>
        <v/>
      </c>
      <c r="GX108" s="62">
        <f>IF($B108=$B107,$GX107,0)+$GW108</f>
        <v/>
      </c>
      <c r="GY108" s="62">
        <f>$GY107+$GW108</f>
        <v/>
      </c>
      <c r="GZ108" s="62">
        <f>SUMIFS(tblSafety[Toolbox_Talks],tblSafety[Date],$A108)</f>
        <v/>
      </c>
      <c r="HA108" s="62">
        <f>IF($B108=$B107,$HA107,0)+$GZ108</f>
        <v/>
      </c>
      <c r="HB108" s="62">
        <f>$HB107+$GZ108</f>
        <v/>
      </c>
      <c r="HC108" s="62">
        <f>SUMIFS(tblSafety[Inspections],tblSafety[Date],$A108)</f>
        <v/>
      </c>
      <c r="HD108" s="62">
        <f>IF($B108=$B107,$HD107,0)+$HC108</f>
        <v/>
      </c>
      <c r="HE108" s="62">
        <f>$HE107+$HC108</f>
        <v/>
      </c>
      <c r="HF108" s="56">
        <f>IFERROR((SUMIFS(tblSafety[Recordables],tblSafety[Date],"&gt;="&amp;EDATE($E108,-12),tblSafety[Date],"&lt;="&amp;$A108)+SUMIFS(tblSafetyHistory[Recordables],tblSafetyHistory[Month],"&gt;="&amp;EDATE($E108,-12),tblSafetyHistory[Month],"&lt;"&amp;cfg_YearStart))/(SUMIFS(tblSafety[Hours_Total],tblSafety[Date],"&gt;="&amp;EDATE($E108,-12),tblSafety[Date],"&lt;="&amp;$A108)+SUMIFS(tblSafetyHistory[Hours_Total],tblSafetyHistory[Month],"&gt;="&amp;EDATE($E108,-12),tblSafetyHistory[Month],"&lt;"&amp;cfg_YearStart))*1000000,"")</f>
        <v/>
      </c>
      <c r="HG108" s="56">
        <f>IFERROR((SUMIFS(tblSafety[LTI],tblSafety[Date],"&gt;="&amp;EDATE($E108,-12),tblSafety[Date],"&lt;="&amp;$A108)+SUMIFS(tblSafetyHistory[LTI],tblSafetyHistory[Month],"&gt;="&amp;EDATE($E108,-12),tblSafetyHistory[Month],"&lt;"&amp;cfg_YearStart))/(SUMIFS(tblSafety[Hours_Total],tblSafety[Date],"&gt;="&amp;EDATE($E108,-12),tblSafety[Date],"&lt;="&amp;$A108)+SUMIFS(tblSafetyHistory[Hours_Total],tblSafetyHistory[Month],"&gt;="&amp;EDATE($E108,-12),tblSafetyHistory[Month],"&lt;"&amp;cfg_YearStart))*1000000,"")</f>
        <v/>
      </c>
      <c r="HH108" s="62">
        <f>IF(MAX(N(cfg_PriorLTIDate),_xlfn.MAXIFS(tblSafety[Date],tblSafety[LTI],"&gt;0",tblSafety[Date],"&lt;="&amp;$A108))=0,"",$A108-MAX(N(cfg_PriorLTIDate),_xlfn.MAXIFS(tblSafety[Date],tblSafety[LTI],"&gt;0",tblSafety[Date],"&lt;="&amp;$A108)))</f>
        <v/>
      </c>
      <c r="HI108" s="55">
        <f>SUMIFS(tblBudget[Ore_Mined_t],tblBudget[Month],$E108)</f>
        <v/>
      </c>
      <c r="HJ108" s="55">
        <f>$HI108*$C108/$D108</f>
        <v/>
      </c>
      <c r="HK108" s="55">
        <f>SUMIFS(tblBudget[Ore_Mined_t],tblBudget[Month],"&lt;"&amp;$E108)+$HJ108</f>
        <v/>
      </c>
      <c r="HL108" s="55">
        <f>SUMIFS(tblBudget[Ore_oz],tblBudget[Month],$E108)</f>
        <v/>
      </c>
      <c r="HM108" s="55">
        <f>$HL108*$C108/$D108</f>
        <v/>
      </c>
      <c r="HN108" s="55">
        <f>SUMIFS(tblBudget[Ore_oz],tblBudget[Month],"&lt;"&amp;$E108)+$HM108</f>
        <v/>
      </c>
      <c r="HO108" s="56">
        <f>IFERROR(IF(($HI108)&gt;0,($HL108*cfg_TroyOz)/($HI108),""),"")</f>
        <v/>
      </c>
      <c r="HP108" s="56">
        <f>IFERROR(IF(($HJ108)&gt;0,($HM108*cfg_TroyOz)/($HJ108),""),"")</f>
        <v/>
      </c>
      <c r="HQ108" s="56">
        <f>IFERROR(IF(($HK108)&gt;0,($HN108*cfg_TroyOz)/($HK108),""),"")</f>
        <v/>
      </c>
      <c r="HR108" s="55">
        <f>SUMIFS(tblBudget[Waste_t],tblBudget[Month],$E108)</f>
        <v/>
      </c>
      <c r="HS108" s="55">
        <f>$HR108*$C108/$D108</f>
        <v/>
      </c>
      <c r="HT108" s="55">
        <f>SUMIFS(tblBudget[Waste_t],tblBudget[Month],"&lt;"&amp;$E108)+$HS108</f>
        <v/>
      </c>
      <c r="HU108" s="55">
        <f>SUMIFS(tblBudget[TMM_t],tblBudget[Month],$E108)</f>
        <v/>
      </c>
      <c r="HV108" s="55">
        <f>$HU108*$C108/$D108</f>
        <v/>
      </c>
      <c r="HW108" s="55">
        <f>SUMIFS(tblBudget[TMM_t],tblBudget[Month],"&lt;"&amp;$E108)+$HV108</f>
        <v/>
      </c>
      <c r="HX108" s="56">
        <f>IFERROR(IF(($HI108)&gt;0,($HR108)/($HI108),""),"")</f>
        <v/>
      </c>
      <c r="HY108" s="56">
        <f>IFERROR(IF(($HJ108)&gt;0,($HS108)/($HJ108),""),"")</f>
        <v/>
      </c>
      <c r="HZ108" s="56">
        <f>IFERROR(IF(($HK108)&gt;0,($HT108)/($HK108),""),"")</f>
        <v/>
      </c>
      <c r="IA108" s="55">
        <f>SUMIFS(tblBudget[Drill_m],tblBudget[Month],$E108)</f>
        <v/>
      </c>
      <c r="IB108" s="55">
        <f>$IA108*$C108/$D108</f>
        <v/>
      </c>
      <c r="IC108" s="55">
        <f>SUMIFS(tblBudget[Drill_m],tblBudget[Month],"&lt;"&amp;$E108)+$IB108</f>
        <v/>
      </c>
      <c r="ID108" s="55">
        <f>SUMIFS(tblBudget[Diesel_L],tblBudget[Month],$E108)</f>
        <v/>
      </c>
      <c r="IE108" s="55">
        <f>$ID108*$C108/$D108</f>
        <v/>
      </c>
      <c r="IF108" s="55">
        <f>SUMIFS(tblBudget[Diesel_L],tblBudget[Month],"&lt;"&amp;$E108)+$IE108</f>
        <v/>
      </c>
      <c r="IG108" s="55">
        <f>SUMIFS(tblBudget[Milled_t],tblBudget[Month],$E108)</f>
        <v/>
      </c>
      <c r="IH108" s="55">
        <f>$IG108*$C108/$D108</f>
        <v/>
      </c>
      <c r="II108" s="55">
        <f>SUMIFS(tblBudget[Milled_t],tblBudget[Month],"&lt;"&amp;$E108)+$IH108</f>
        <v/>
      </c>
      <c r="IJ108" s="55">
        <f>SUMIFS(tblBudget[Feed_oz],tblBudget[Month],$E108)</f>
        <v/>
      </c>
      <c r="IK108" s="55">
        <f>$IJ108*$C108/$D108</f>
        <v/>
      </c>
      <c r="IL108" s="55">
        <f>SUMIFS(tblBudget[Feed_oz],tblBudget[Month],"&lt;"&amp;$E108)+$IK108</f>
        <v/>
      </c>
      <c r="IM108" s="55">
        <f>SUMIFS(tblBudget[Recovered_oz],tblBudget[Month],$E108)</f>
        <v/>
      </c>
      <c r="IN108" s="55">
        <f>$IM108*$C108/$D108</f>
        <v/>
      </c>
      <c r="IO108" s="55">
        <f>SUMIFS(tblBudget[Recovered_oz],tblBudget[Month],"&lt;"&amp;$E108)+$IN108</f>
        <v/>
      </c>
      <c r="IP108" s="56">
        <f>IFERROR(IF(($IG108)&gt;0,($IJ108*cfg_TroyOz)/($IG108),""),"")</f>
        <v/>
      </c>
      <c r="IQ108" s="56">
        <f>IFERROR(IF(($IH108)&gt;0,($IK108*cfg_TroyOz)/($IH108),""),"")</f>
        <v/>
      </c>
      <c r="IR108" s="56">
        <f>IFERROR(IF(($II108)&gt;0,($IL108*cfg_TroyOz)/($II108),""),"")</f>
        <v/>
      </c>
      <c r="IS108" s="67">
        <f>IFERROR(IF(($IJ108)&gt;0,($IM108)/($IJ108),""),"")</f>
        <v/>
      </c>
      <c r="IT108" s="67">
        <f>IFERROR(IF(($IK108)&gt;0,($IN108)/($IK108),""),"")</f>
        <v/>
      </c>
      <c r="IU108" s="67">
        <f>IFERROR(IF(($IL108)&gt;0,($IO108)/($IL108),""),"")</f>
        <v/>
      </c>
      <c r="IV108" s="55">
        <f>SUMIFS(tblBudget[Gold_Poured_oz],tblBudget[Month],$E108)</f>
        <v/>
      </c>
      <c r="IW108" s="55">
        <f>$IV108*$C108/$D108</f>
        <v/>
      </c>
      <c r="IX108" s="55">
        <f>SUMIFS(tblBudget[Gold_Poured_oz],tblBudget[Month],"&lt;"&amp;$E108)+$IW108</f>
        <v/>
      </c>
      <c r="IY108" s="57">
        <f>SUMIFS(tblBudget[Hours_Worked],tblBudget[Month],$E108)</f>
        <v/>
      </c>
      <c r="IZ108" s="57">
        <f>$IY108*$C108/$D108</f>
        <v/>
      </c>
      <c r="JA108" s="57">
        <f>SUMIFS(tblBudget[Hours_Worked],tblBudget[Month],"&lt;"&amp;$E108)+$IZ108</f>
        <v/>
      </c>
    </row>
    <row r="109">
      <c r="A109" s="54" t="n">
        <v>46130</v>
      </c>
      <c r="B109">
        <f>MONTH($A109)</f>
        <v/>
      </c>
      <c r="C109">
        <f>DAY($A109)</f>
        <v/>
      </c>
      <c r="D109">
        <f>DAY(EOMONTH($A109,0))</f>
        <v/>
      </c>
      <c r="E109" s="54">
        <f>DATE(YEAR($A109),MONTH($A109),1)</f>
        <v/>
      </c>
      <c r="F109" s="55">
        <f>SUMIFS(tblMovement[Tonnes_t],tblMovement[Date],$A109,tblMovement[Is_Ore],1,tblMovement[Source_Type],"Pit")</f>
        <v/>
      </c>
      <c r="G109" s="55">
        <f>IF($B109=$B108,$G108,0)+$F109</f>
        <v/>
      </c>
      <c r="H109" s="55">
        <f>$H108+$F109</f>
        <v/>
      </c>
      <c r="I109" s="55">
        <f>SUMIFS(tblMovement[Ore_oz],tblMovement[Date],$A109,tblMovement[Source_Type],"Pit")</f>
        <v/>
      </c>
      <c r="J109" s="55">
        <f>IF($B109=$B108,$J108,0)+$I109</f>
        <v/>
      </c>
      <c r="K109" s="55">
        <f>$K108+$I109</f>
        <v/>
      </c>
      <c r="L109" s="56">
        <f>IFERROR(IF(($F109)&gt;0,($I109*cfg_TroyOz)/($F109),""),"")</f>
        <v/>
      </c>
      <c r="M109" s="56">
        <f>IFERROR(IF(($G109)&gt;0,($J109*cfg_TroyOz)/($G109),""),"")</f>
        <v/>
      </c>
      <c r="N109" s="56">
        <f>IFERROR(IF(($H109)&gt;0,($K109*cfg_TroyOz)/($H109),""),"")</f>
        <v/>
      </c>
      <c r="O109" s="55">
        <f>SUMIFS(tblMovement[Tonnes_t],tblMovement[Date],$A109,tblMovement[Is_Ore],0,tblMovement[Source_Type],"Pit")</f>
        <v/>
      </c>
      <c r="P109" s="55">
        <f>IF($B109=$B108,$P108,0)+$O109</f>
        <v/>
      </c>
      <c r="Q109" s="55">
        <f>$Q108+$O109</f>
        <v/>
      </c>
      <c r="R109" s="55">
        <f>$F109+$O109</f>
        <v/>
      </c>
      <c r="S109" s="55">
        <f>IF($B109=$B108,$S108,0)+$R109</f>
        <v/>
      </c>
      <c r="T109" s="55">
        <f>$T108+$R109</f>
        <v/>
      </c>
      <c r="U109" s="56">
        <f>IFERROR(IF(($F109)&gt;0,($O109)/($F109),""),"")</f>
        <v/>
      </c>
      <c r="V109" s="56">
        <f>IFERROR(IF(($G109)&gt;0,($P109)/($G109),""),"")</f>
        <v/>
      </c>
      <c r="W109" s="56">
        <f>IFERROR(IF(($H109)&gt;0,($Q109)/($H109),""),"")</f>
        <v/>
      </c>
      <c r="X109" s="55">
        <f>SUMIFS(tblMovement[Tonnes_t],tblMovement[Date],$A109,tblMovement[Source_Type],"Stockpile")</f>
        <v/>
      </c>
      <c r="Y109" s="55">
        <f>IF($B109=$B108,$Y108,0)+$X109</f>
        <v/>
      </c>
      <c r="Z109" s="55">
        <f>$Z108+$X109</f>
        <v/>
      </c>
      <c r="AA109" s="55">
        <f>SUMIFS(tblMiningDaily[Drill_m],tblMiningDaily[Date],$A109)</f>
        <v/>
      </c>
      <c r="AB109" s="55">
        <f>IF($B109=$B108,$AB108,0)+$AA109</f>
        <v/>
      </c>
      <c r="AC109" s="55">
        <f>$AC108+$AA109</f>
        <v/>
      </c>
      <c r="AD109" s="55">
        <f>SUMIFS(tblMiningDaily[Blast_t],tblMiningDaily[Date],$A109)</f>
        <v/>
      </c>
      <c r="AE109" s="55">
        <f>IF($B109=$B108,$AE108,0)+$AD109</f>
        <v/>
      </c>
      <c r="AF109" s="55">
        <f>$AF108+$AD109</f>
        <v/>
      </c>
      <c r="AG109" s="55">
        <f>SUMIFS(tblMiningDaily[Explosives_kg],tblMiningDaily[Date],$A109)</f>
        <v/>
      </c>
      <c r="AH109" s="55">
        <f>IF($B109=$B108,$AH108,0)+$AG109</f>
        <v/>
      </c>
      <c r="AI109" s="55">
        <f>$AI108+$AG109</f>
        <v/>
      </c>
      <c r="AJ109" s="56">
        <f>IFERROR(IF(($AD109)&gt;0,($AG109)/($AD109),""),"")</f>
        <v/>
      </c>
      <c r="AK109" s="56">
        <f>IFERROR(IF(($AE109)&gt;0,($AH109)/($AE109),""),"")</f>
        <v/>
      </c>
      <c r="AL109" s="56">
        <f>IFERROR(IF(($AF109)&gt;0,($AI109)/($AF109),""),"")</f>
        <v/>
      </c>
      <c r="AM109" s="55">
        <f>SUMIFS(tblMiningDaily[Diesel_L],tblMiningDaily[Date],$A109)</f>
        <v/>
      </c>
      <c r="AN109" s="55">
        <f>IF($B109=$B108,$AN108,0)+$AM109</f>
        <v/>
      </c>
      <c r="AO109" s="55">
        <f>$AO108+$AM109</f>
        <v/>
      </c>
      <c r="AP109" s="55">
        <f>SUMIFS(tblMiningDaily[Dewatering_m3],tblMiningDaily[Date],$A109)</f>
        <v/>
      </c>
      <c r="AQ109" s="55">
        <f>IF($B109=$B108,$AQ108,0)+$AP109</f>
        <v/>
      </c>
      <c r="AR109" s="55">
        <f>$AR108+$AP109</f>
        <v/>
      </c>
      <c r="AS109" s="57">
        <f>SUMIFS(tblFleet[Calendar_h],tblFleet[Date],$A109,tblFleet[Equipment_Class],"Excavator")</f>
        <v/>
      </c>
      <c r="AT109" s="57">
        <f>IF($B109=$B108,$AT108,0)+$AS109</f>
        <v/>
      </c>
      <c r="AU109" s="57">
        <f>$AU108+$AS109</f>
        <v/>
      </c>
      <c r="AV109" s="57">
        <f>SUMIFS(tblFleet[Available_h],tblFleet[Date],$A109,tblFleet[Equipment_Class],"Excavator")</f>
        <v/>
      </c>
      <c r="AW109" s="57">
        <f>IF($B109=$B108,$AW108,0)+$AV109</f>
        <v/>
      </c>
      <c r="AX109" s="57">
        <f>$AX108+$AV109</f>
        <v/>
      </c>
      <c r="AY109" s="57">
        <f>SUMIFS(tblFleet[Operating_h],tblFleet[Date],$A109,tblFleet[Equipment_Class],"Excavator")</f>
        <v/>
      </c>
      <c r="AZ109" s="57">
        <f>IF($B109=$B108,$AZ108,0)+$AY109</f>
        <v/>
      </c>
      <c r="BA109" s="57">
        <f>$BA108+$AY109</f>
        <v/>
      </c>
      <c r="BB109" s="67">
        <f>IFERROR(IF(($AS109)&gt;0,($AV109)/($AS109),""),"")</f>
        <v/>
      </c>
      <c r="BC109" s="67">
        <f>IFERROR(IF(($AT109)&gt;0,($AW109)/($AT109),""),"")</f>
        <v/>
      </c>
      <c r="BD109" s="67">
        <f>IFERROR(IF(($AU109)&gt;0,($AX109)/($AU109),""),"")</f>
        <v/>
      </c>
      <c r="BE109" s="67">
        <f>IFERROR(IF(($AV109)&gt;0,($AY109)/($AV109),""),"")</f>
        <v/>
      </c>
      <c r="BF109" s="67">
        <f>IFERROR(IF(($AW109)&gt;0,($AZ109)/($AW109),""),"")</f>
        <v/>
      </c>
      <c r="BG109" s="67">
        <f>IFERROR(IF(($AX109)&gt;0,($BA109)/($AX109),""),"")</f>
        <v/>
      </c>
      <c r="BH109" s="57">
        <f>SUMIFS(tblFleet[Calendar_h],tblFleet[Date],$A109,tblFleet[Equipment_Class],"Haul Truck")</f>
        <v/>
      </c>
      <c r="BI109" s="57">
        <f>IF($B109=$B108,$BI108,0)+$BH109</f>
        <v/>
      </c>
      <c r="BJ109" s="57">
        <f>$BJ108+$BH109</f>
        <v/>
      </c>
      <c r="BK109" s="57">
        <f>SUMIFS(tblFleet[Available_h],tblFleet[Date],$A109,tblFleet[Equipment_Class],"Haul Truck")</f>
        <v/>
      </c>
      <c r="BL109" s="57">
        <f>IF($B109=$B108,$BL108,0)+$BK109</f>
        <v/>
      </c>
      <c r="BM109" s="57">
        <f>$BM108+$BK109</f>
        <v/>
      </c>
      <c r="BN109" s="57">
        <f>SUMIFS(tblFleet[Operating_h],tblFleet[Date],$A109,tblFleet[Equipment_Class],"Haul Truck")</f>
        <v/>
      </c>
      <c r="BO109" s="57">
        <f>IF($B109=$B108,$BO108,0)+$BN109</f>
        <v/>
      </c>
      <c r="BP109" s="57">
        <f>$BP108+$BN109</f>
        <v/>
      </c>
      <c r="BQ109" s="67">
        <f>IFERROR(IF(($BH109)&gt;0,($BK109)/($BH109),""),"")</f>
        <v/>
      </c>
      <c r="BR109" s="67">
        <f>IFERROR(IF(($BI109)&gt;0,($BL109)/($BI109),""),"")</f>
        <v/>
      </c>
      <c r="BS109" s="67">
        <f>IFERROR(IF(($BJ109)&gt;0,($BM109)/($BJ109),""),"")</f>
        <v/>
      </c>
      <c r="BT109" s="67">
        <f>IFERROR(IF(($BK109)&gt;0,($BN109)/($BK109),""),"")</f>
        <v/>
      </c>
      <c r="BU109" s="67">
        <f>IFERROR(IF(($BL109)&gt;0,($BO109)/($BL109),""),"")</f>
        <v/>
      </c>
      <c r="BV109" s="67">
        <f>IFERROR(IF(($BM109)&gt;0,($BP109)/($BM109),""),"")</f>
        <v/>
      </c>
      <c r="BW109" s="55">
        <f>SUMIFS(tblPlant[Crushed_t],tblPlant[Date],$A109)</f>
        <v/>
      </c>
      <c r="BX109" s="55">
        <f>IF($B109=$B108,$BX108,0)+$BW109</f>
        <v/>
      </c>
      <c r="BY109" s="55">
        <f>$BY108+$BW109</f>
        <v/>
      </c>
      <c r="BZ109" s="55">
        <f>SUMIFS(tblPlant[Milled_t],tblPlant[Date],$A109)</f>
        <v/>
      </c>
      <c r="CA109" s="55">
        <f>IF($B109=$B108,$CA108,0)+$BZ109</f>
        <v/>
      </c>
      <c r="CB109" s="55">
        <f>$CB108+$BZ109</f>
        <v/>
      </c>
      <c r="CC109" s="55">
        <f>SUMIFS(tblPlant[Feed_oz],tblPlant[Date],$A109)</f>
        <v/>
      </c>
      <c r="CD109" s="55">
        <f>IF($B109=$B108,$CD108,0)+$CC109</f>
        <v/>
      </c>
      <c r="CE109" s="55">
        <f>$CE108+$CC109</f>
        <v/>
      </c>
      <c r="CF109" s="55">
        <f>SUMIFS(tblPlant[Tails_oz],tblPlant[Date],$A109)</f>
        <v/>
      </c>
      <c r="CG109" s="55">
        <f>IF($B109=$B108,$CG108,0)+$CF109</f>
        <v/>
      </c>
      <c r="CH109" s="55">
        <f>$CH108+$CF109</f>
        <v/>
      </c>
      <c r="CI109" s="55">
        <f>SUMIFS(tblPlant[Recovered_oz],tblPlant[Date],$A109)</f>
        <v/>
      </c>
      <c r="CJ109" s="55">
        <f>IF($B109=$B108,$CJ108,0)+$CI109</f>
        <v/>
      </c>
      <c r="CK109" s="55">
        <f>$CK108+$CI109</f>
        <v/>
      </c>
      <c r="CL109" s="56">
        <f>IFERROR(IF(($BZ109)&gt;0,($CC109*cfg_TroyOz)/($BZ109),""),"")</f>
        <v/>
      </c>
      <c r="CM109" s="56">
        <f>IFERROR(IF(($CA109)&gt;0,($CD109*cfg_TroyOz)/($CA109),""),"")</f>
        <v/>
      </c>
      <c r="CN109" s="56">
        <f>IFERROR(IF(($CB109)&gt;0,($CE109*cfg_TroyOz)/($CB109),""),"")</f>
        <v/>
      </c>
      <c r="CO109" s="56">
        <f>IFERROR(IF(($BZ109)&gt;0,($CF109*cfg_TroyOz)/($BZ109),""),"")</f>
        <v/>
      </c>
      <c r="CP109" s="56">
        <f>IFERROR(IF(($CA109)&gt;0,($CG109*cfg_TroyOz)/($CA109),""),"")</f>
        <v/>
      </c>
      <c r="CQ109" s="56">
        <f>IFERROR(IF(($CB109)&gt;0,($CH109*cfg_TroyOz)/($CB109),""),"")</f>
        <v/>
      </c>
      <c r="CR109" s="67">
        <f>IFERROR(IF(($CC109)&gt;0,($CI109)/($CC109),""),"")</f>
        <v/>
      </c>
      <c r="CS109" s="67">
        <f>IFERROR(IF(($CD109)&gt;0,($CJ109)/($CD109),""),"")</f>
        <v/>
      </c>
      <c r="CT109" s="67">
        <f>IFERROR(IF(($CE109)&gt;0,($CK109)/($CE109),""),"")</f>
        <v/>
      </c>
      <c r="CU109" s="55">
        <f>SUMIFS(tblPlant[Gravity_Gold_oz],tblPlant[Date],$A109)</f>
        <v/>
      </c>
      <c r="CV109" s="55">
        <f>IF($B109=$B108,$CV108,0)+$CU109</f>
        <v/>
      </c>
      <c r="CW109" s="55">
        <f>$CW108+$CU109</f>
        <v/>
      </c>
      <c r="CX109" s="55">
        <f>SUMIFS(tblPlant[Gold_Poured_oz],tblPlant[Date],$A109)</f>
        <v/>
      </c>
      <c r="CY109" s="55">
        <f>IF($B109=$B108,$CY108,0)+$CX109</f>
        <v/>
      </c>
      <c r="CZ109" s="55">
        <f>$CZ108+$CX109</f>
        <v/>
      </c>
      <c r="DA109" s="57">
        <f>SUMIFS(tblPlant[Mill_Run_h],tblPlant[Date],$A109)</f>
        <v/>
      </c>
      <c r="DB109" s="57">
        <f>IF($B109=$B108,$DB108,0)+$DA109</f>
        <v/>
      </c>
      <c r="DC109" s="57">
        <f>$DC108+$DA109</f>
        <v/>
      </c>
      <c r="DD109" s="57">
        <f>SUMIFS(tblPlant[Mill_Planned_Maint_h],tblPlant[Date],$A109)</f>
        <v/>
      </c>
      <c r="DE109" s="57">
        <f>IF($B109=$B108,$DE108,0)+$DD109</f>
        <v/>
      </c>
      <c r="DF109" s="57">
        <f>$DF108+$DD109</f>
        <v/>
      </c>
      <c r="DG109" s="57">
        <f>SUMIFS(tblPlant[Mill_Unplanned_Down_h],tblPlant[Date],$A109)</f>
        <v/>
      </c>
      <c r="DH109" s="57">
        <f>IF($B109=$B108,$DH108,0)+$DG109</f>
        <v/>
      </c>
      <c r="DI109" s="57">
        <f>$DI108+$DG109</f>
        <v/>
      </c>
      <c r="DJ109" s="57">
        <f>COUNTIFS(tblPlant[Date],$A109,tblPlant[Mill_Run_h],"&lt;&gt;")*24</f>
        <v/>
      </c>
      <c r="DK109" s="57">
        <f>IF($B109=$B108,$DK108,0)+$DJ109</f>
        <v/>
      </c>
      <c r="DL109" s="57">
        <f>$DL108+$DJ109</f>
        <v/>
      </c>
      <c r="DM109" s="57">
        <f>SUMIFS(tblPlant[Crusher_Run_h],tblPlant[Date],$A109)</f>
        <v/>
      </c>
      <c r="DN109" s="57">
        <f>IF($B109=$B108,$DN108,0)+$DM109</f>
        <v/>
      </c>
      <c r="DO109" s="57">
        <f>$DO108+$DM109</f>
        <v/>
      </c>
      <c r="DP109" s="55">
        <f>IFERROR(IF(($DA109)&gt;0,($BZ109)/($DA109),""),"")</f>
        <v/>
      </c>
      <c r="DQ109" s="55">
        <f>IFERROR(IF(($DB109)&gt;0,($CA109)/($DB109),""),"")</f>
        <v/>
      </c>
      <c r="DR109" s="55">
        <f>IFERROR(IF(($DC109)&gt;0,($CB109)/($DC109),""),"")</f>
        <v/>
      </c>
      <c r="DS109" s="67">
        <f>IFERROR(IF(($DJ109)&gt;0,($DJ109-$DD109-$DG109)/($DJ109),""),"")</f>
        <v/>
      </c>
      <c r="DT109" s="67">
        <f>IFERROR(IF(($DK109)&gt;0,($DK109-$DE109-$DH109)/($DK109),""),"")</f>
        <v/>
      </c>
      <c r="DU109" s="67">
        <f>IFERROR(IF(($DL109)&gt;0,($DL109-$DF109-$DI109)/($DL109),""),"")</f>
        <v/>
      </c>
      <c r="DV109" s="67">
        <f>IFERROR(IF(($DJ109-$DD109-$DG109)&gt;0,($DA109)/($DJ109-$DD109-$DG109),""),"")</f>
        <v/>
      </c>
      <c r="DW109" s="67">
        <f>IFERROR(IF(($DK109-$DE109-$DH109)&gt;0,($DB109)/($DK109-$DE109-$DH109),""),"")</f>
        <v/>
      </c>
      <c r="DX109" s="67">
        <f>IFERROR(IF(($DL109-$DF109-$DI109)&gt;0,($DC109)/($DL109-$DF109-$DI109),""),"")</f>
        <v/>
      </c>
      <c r="DY109" s="55">
        <f>SUMIFS(tblPlant[Cyanide_kg],tblPlant[Date],$A109)</f>
        <v/>
      </c>
      <c r="DZ109" s="55">
        <f>IF($B109=$B108,$DZ108,0)+$DY109</f>
        <v/>
      </c>
      <c r="EA109" s="55">
        <f>$EA108+$DY109</f>
        <v/>
      </c>
      <c r="EB109" s="55">
        <f>SUMIFS(tblPlant[Lime_kg],tblPlant[Date],$A109)</f>
        <v/>
      </c>
      <c r="EC109" s="55">
        <f>IF($B109=$B108,$EC108,0)+$EB109</f>
        <v/>
      </c>
      <c r="ED109" s="55">
        <f>$ED108+$EB109</f>
        <v/>
      </c>
      <c r="EE109" s="55">
        <f>SUMIFS(tblPlant[Grinding_Media_kg],tblPlant[Date],$A109)</f>
        <v/>
      </c>
      <c r="EF109" s="55">
        <f>IF($B109=$B108,$EF108,0)+$EE109</f>
        <v/>
      </c>
      <c r="EG109" s="55">
        <f>$EG108+$EE109</f>
        <v/>
      </c>
      <c r="EH109" s="55">
        <f>SUMIFS(tblPlant[Power_kWh],tblPlant[Date],$A109)</f>
        <v/>
      </c>
      <c r="EI109" s="55">
        <f>IF($B109=$B108,$EI108,0)+$EH109</f>
        <v/>
      </c>
      <c r="EJ109" s="55">
        <f>$EJ108+$EH109</f>
        <v/>
      </c>
      <c r="EK109" s="55">
        <f>SUMIFS(tblPlant[Raw_Water_m3],tblPlant[Date],$A109)</f>
        <v/>
      </c>
      <c r="EL109" s="55">
        <f>IF($B109=$B108,$EL108,0)+$EK109</f>
        <v/>
      </c>
      <c r="EM109" s="55">
        <f>$EM108+$EK109</f>
        <v/>
      </c>
      <c r="EN109" s="56">
        <f>IFERROR(IF(($BZ109)&gt;0,($DY109)/($BZ109),""),"")</f>
        <v/>
      </c>
      <c r="EO109" s="56">
        <f>IFERROR(IF(($CA109)&gt;0,($DZ109)/($CA109),""),"")</f>
        <v/>
      </c>
      <c r="EP109" s="56">
        <f>IFERROR(IF(($CB109)&gt;0,($EA109)/($CB109),""),"")</f>
        <v/>
      </c>
      <c r="EQ109" s="56">
        <f>IFERROR(IF(($BZ109)&gt;0,($EB109)/($BZ109),""),"")</f>
        <v/>
      </c>
      <c r="ER109" s="56">
        <f>IFERROR(IF(($CA109)&gt;0,($EC109)/($CA109),""),"")</f>
        <v/>
      </c>
      <c r="ES109" s="56">
        <f>IFERROR(IF(($CB109)&gt;0,($ED109)/($CB109),""),"")</f>
        <v/>
      </c>
      <c r="ET109" s="56">
        <f>IFERROR(IF(($BZ109)&gt;0,($EE109)/($BZ109),""),"")</f>
        <v/>
      </c>
      <c r="EU109" s="56">
        <f>IFERROR(IF(($CA109)&gt;0,($EF109)/($CA109),""),"")</f>
        <v/>
      </c>
      <c r="EV109" s="56">
        <f>IFERROR(IF(($CB109)&gt;0,($EG109)/($CB109),""),"")</f>
        <v/>
      </c>
      <c r="EW109" s="76">
        <f>IFERROR(IF(($BZ109)&gt;0,($EH109)/($BZ109),""),"")</f>
        <v/>
      </c>
      <c r="EX109" s="76">
        <f>IFERROR(IF(($CA109)&gt;0,($EI109)/($CA109),""),"")</f>
        <v/>
      </c>
      <c r="EY109" s="76">
        <f>IFERROR(IF(($CB109)&gt;0,($EJ109)/($CB109),""),"")</f>
        <v/>
      </c>
      <c r="EZ109" s="56">
        <f>IFERROR(IF(($BZ109)&gt;0,($EK109)/($BZ109),""),"")</f>
        <v/>
      </c>
      <c r="FA109" s="56">
        <f>IFERROR(IF(($CA109)&gt;0,($EL109)/($CA109),""),"")</f>
        <v/>
      </c>
      <c r="FB109" s="56">
        <f>IFERROR(IF(($CB109)&gt;0,($EM109)/($CB109),""),"")</f>
        <v/>
      </c>
      <c r="FC109" s="55">
        <f>IF(SUMIFS(tblPlant[GIC_oz],tblPlant[Date],$A109)&gt;0,SUMIFS(tblPlant[GIC_oz],tblPlant[Date],$A109),"")</f>
        <v/>
      </c>
      <c r="FD109" s="55">
        <f>SUMIFS(tblGold[Gold_oz],tblGold[Date],$A109,tblGold[Type],"Shipment")</f>
        <v/>
      </c>
      <c r="FE109" s="55">
        <f>IF($B109=$B108,$FE108,0)+$FD109</f>
        <v/>
      </c>
      <c r="FF109" s="55">
        <f>$FF108+$FD109</f>
        <v/>
      </c>
      <c r="FG109" s="55">
        <f>SUMIFS(tblGold[Gold_oz],tblGold[Date],$A109,tblGold[Type],"Sale")</f>
        <v/>
      </c>
      <c r="FH109" s="55">
        <f>IF($B109=$B108,$FH108,0)+$FG109</f>
        <v/>
      </c>
      <c r="FI109" s="55">
        <f>$FI108+$FG109</f>
        <v/>
      </c>
      <c r="FJ109" s="55">
        <f>SUMIFS(tblGold[Dore_kg],tblGold[Date],$A109,tblGold[Type],"Shipment")</f>
        <v/>
      </c>
      <c r="FK109" s="55">
        <f>IF($B109=$B108,$FK108,0)+$FJ109</f>
        <v/>
      </c>
      <c r="FL109" s="55">
        <f>$FL108+$FJ109</f>
        <v/>
      </c>
      <c r="FM109" s="57">
        <f>SUMIFS(tblSafety[Hours_Total],tblSafety[Date],$A109)</f>
        <v/>
      </c>
      <c r="FN109" s="57">
        <f>IF($B109=$B108,$FN108,0)+$FM109</f>
        <v/>
      </c>
      <c r="FO109" s="57">
        <f>$FO108+$FM109</f>
        <v/>
      </c>
      <c r="FP109" s="62">
        <f>SUMIFS(tblSafety[Fatality],tblSafety[Date],$A109)</f>
        <v/>
      </c>
      <c r="FQ109" s="62">
        <f>IF($B109=$B108,$FQ108,0)+$FP109</f>
        <v/>
      </c>
      <c r="FR109" s="62">
        <f>$FR108+$FP109</f>
        <v/>
      </c>
      <c r="FS109" s="62">
        <f>SUMIFS(tblSafety[LTI],tblSafety[Date],$A109)</f>
        <v/>
      </c>
      <c r="FT109" s="62">
        <f>IF($B109=$B108,$FT108,0)+$FS109</f>
        <v/>
      </c>
      <c r="FU109" s="62">
        <f>$FU108+$FS109</f>
        <v/>
      </c>
      <c r="FV109" s="62">
        <f>SUMIFS(tblSafety[RWI],tblSafety[Date],$A109)</f>
        <v/>
      </c>
      <c r="FW109" s="62">
        <f>IF($B109=$B108,$FW108,0)+$FV109</f>
        <v/>
      </c>
      <c r="FX109" s="62">
        <f>$FX108+$FV109</f>
        <v/>
      </c>
      <c r="FY109" s="62">
        <f>SUMIFS(tblSafety[MTI],tblSafety[Date],$A109)</f>
        <v/>
      </c>
      <c r="FZ109" s="62">
        <f>IF($B109=$B108,$FZ108,0)+$FY109</f>
        <v/>
      </c>
      <c r="GA109" s="62">
        <f>$GA108+$FY109</f>
        <v/>
      </c>
      <c r="GB109" s="62">
        <f>SUMIFS(tblSafety[FAI],tblSafety[Date],$A109)</f>
        <v/>
      </c>
      <c r="GC109" s="62">
        <f>IF($B109=$B108,$GC108,0)+$GB109</f>
        <v/>
      </c>
      <c r="GD109" s="62">
        <f>$GD108+$GB109</f>
        <v/>
      </c>
      <c r="GE109" s="62">
        <f>SUMIFS(tblSafety[Recordables],tblSafety[Date],$A109)</f>
        <v/>
      </c>
      <c r="GF109" s="62">
        <f>IF($B109=$B108,$GF108,0)+$GE109</f>
        <v/>
      </c>
      <c r="GG109" s="62">
        <f>$GG108+$GE109</f>
        <v/>
      </c>
      <c r="GH109" s="62">
        <f>SUMIFS(tblSafety[Near_Miss],tblSafety[Date],$A109)</f>
        <v/>
      </c>
      <c r="GI109" s="62">
        <f>IF($B109=$B108,$GI108,0)+$GH109</f>
        <v/>
      </c>
      <c r="GJ109" s="62">
        <f>$GJ108+$GH109</f>
        <v/>
      </c>
      <c r="GK109" s="62">
        <f>SUMIFS(tblSafety[Hazard_Reports],tblSafety[Date],$A109)</f>
        <v/>
      </c>
      <c r="GL109" s="62">
        <f>IF($B109=$B108,$GL108,0)+$GK109</f>
        <v/>
      </c>
      <c r="GM109" s="62">
        <f>$GM108+$GK109</f>
        <v/>
      </c>
      <c r="GN109" s="62">
        <f>SUMIFS(tblSafety[HPI],tblSafety[Date],$A109)</f>
        <v/>
      </c>
      <c r="GO109" s="62">
        <f>IF($B109=$B108,$GO108,0)+$GN109</f>
        <v/>
      </c>
      <c r="GP109" s="62">
        <f>$GP108+$GN109</f>
        <v/>
      </c>
      <c r="GQ109" s="62">
        <f>SUMIFS(tblSafety[Env_Incidents],tblSafety[Date],$A109)</f>
        <v/>
      </c>
      <c r="GR109" s="62">
        <f>IF($B109=$B108,$GR108,0)+$GQ109</f>
        <v/>
      </c>
      <c r="GS109" s="62">
        <f>$GS108+$GQ109</f>
        <v/>
      </c>
      <c r="GT109" s="62">
        <f>SUMIFS(tblSafety[Community_Incidents],tblSafety[Date],$A109)</f>
        <v/>
      </c>
      <c r="GU109" s="62">
        <f>IF($B109=$B108,$GU108,0)+$GT109</f>
        <v/>
      </c>
      <c r="GV109" s="62">
        <f>$GV108+$GT109</f>
        <v/>
      </c>
      <c r="GW109" s="62">
        <f>SUMIFS(tblSafety[Vehicle_Incidents],tblSafety[Date],$A109)</f>
        <v/>
      </c>
      <c r="GX109" s="62">
        <f>IF($B109=$B108,$GX108,0)+$GW109</f>
        <v/>
      </c>
      <c r="GY109" s="62">
        <f>$GY108+$GW109</f>
        <v/>
      </c>
      <c r="GZ109" s="62">
        <f>SUMIFS(tblSafety[Toolbox_Talks],tblSafety[Date],$A109)</f>
        <v/>
      </c>
      <c r="HA109" s="62">
        <f>IF($B109=$B108,$HA108,0)+$GZ109</f>
        <v/>
      </c>
      <c r="HB109" s="62">
        <f>$HB108+$GZ109</f>
        <v/>
      </c>
      <c r="HC109" s="62">
        <f>SUMIFS(tblSafety[Inspections],tblSafety[Date],$A109)</f>
        <v/>
      </c>
      <c r="HD109" s="62">
        <f>IF($B109=$B108,$HD108,0)+$HC109</f>
        <v/>
      </c>
      <c r="HE109" s="62">
        <f>$HE108+$HC109</f>
        <v/>
      </c>
      <c r="HF109" s="56">
        <f>IFERROR((SUMIFS(tblSafety[Recordables],tblSafety[Date],"&gt;="&amp;EDATE($E109,-12),tblSafety[Date],"&lt;="&amp;$A109)+SUMIFS(tblSafetyHistory[Recordables],tblSafetyHistory[Month],"&gt;="&amp;EDATE($E109,-12),tblSafetyHistory[Month],"&lt;"&amp;cfg_YearStart))/(SUMIFS(tblSafety[Hours_Total],tblSafety[Date],"&gt;="&amp;EDATE($E109,-12),tblSafety[Date],"&lt;="&amp;$A109)+SUMIFS(tblSafetyHistory[Hours_Total],tblSafetyHistory[Month],"&gt;="&amp;EDATE($E109,-12),tblSafetyHistory[Month],"&lt;"&amp;cfg_YearStart))*1000000,"")</f>
        <v/>
      </c>
      <c r="HG109" s="56">
        <f>IFERROR((SUMIFS(tblSafety[LTI],tblSafety[Date],"&gt;="&amp;EDATE($E109,-12),tblSafety[Date],"&lt;="&amp;$A109)+SUMIFS(tblSafetyHistory[LTI],tblSafetyHistory[Month],"&gt;="&amp;EDATE($E109,-12),tblSafetyHistory[Month],"&lt;"&amp;cfg_YearStart))/(SUMIFS(tblSafety[Hours_Total],tblSafety[Date],"&gt;="&amp;EDATE($E109,-12),tblSafety[Date],"&lt;="&amp;$A109)+SUMIFS(tblSafetyHistory[Hours_Total],tblSafetyHistory[Month],"&gt;="&amp;EDATE($E109,-12),tblSafetyHistory[Month],"&lt;"&amp;cfg_YearStart))*1000000,"")</f>
        <v/>
      </c>
      <c r="HH109" s="62">
        <f>IF(MAX(N(cfg_PriorLTIDate),_xlfn.MAXIFS(tblSafety[Date],tblSafety[LTI],"&gt;0",tblSafety[Date],"&lt;="&amp;$A109))=0,"",$A109-MAX(N(cfg_PriorLTIDate),_xlfn.MAXIFS(tblSafety[Date],tblSafety[LTI],"&gt;0",tblSafety[Date],"&lt;="&amp;$A109)))</f>
        <v/>
      </c>
      <c r="HI109" s="55">
        <f>SUMIFS(tblBudget[Ore_Mined_t],tblBudget[Month],$E109)</f>
        <v/>
      </c>
      <c r="HJ109" s="55">
        <f>$HI109*$C109/$D109</f>
        <v/>
      </c>
      <c r="HK109" s="55">
        <f>SUMIFS(tblBudget[Ore_Mined_t],tblBudget[Month],"&lt;"&amp;$E109)+$HJ109</f>
        <v/>
      </c>
      <c r="HL109" s="55">
        <f>SUMIFS(tblBudget[Ore_oz],tblBudget[Month],$E109)</f>
        <v/>
      </c>
      <c r="HM109" s="55">
        <f>$HL109*$C109/$D109</f>
        <v/>
      </c>
      <c r="HN109" s="55">
        <f>SUMIFS(tblBudget[Ore_oz],tblBudget[Month],"&lt;"&amp;$E109)+$HM109</f>
        <v/>
      </c>
      <c r="HO109" s="56">
        <f>IFERROR(IF(($HI109)&gt;0,($HL109*cfg_TroyOz)/($HI109),""),"")</f>
        <v/>
      </c>
      <c r="HP109" s="56">
        <f>IFERROR(IF(($HJ109)&gt;0,($HM109*cfg_TroyOz)/($HJ109),""),"")</f>
        <v/>
      </c>
      <c r="HQ109" s="56">
        <f>IFERROR(IF(($HK109)&gt;0,($HN109*cfg_TroyOz)/($HK109),""),"")</f>
        <v/>
      </c>
      <c r="HR109" s="55">
        <f>SUMIFS(tblBudget[Waste_t],tblBudget[Month],$E109)</f>
        <v/>
      </c>
      <c r="HS109" s="55">
        <f>$HR109*$C109/$D109</f>
        <v/>
      </c>
      <c r="HT109" s="55">
        <f>SUMIFS(tblBudget[Waste_t],tblBudget[Month],"&lt;"&amp;$E109)+$HS109</f>
        <v/>
      </c>
      <c r="HU109" s="55">
        <f>SUMIFS(tblBudget[TMM_t],tblBudget[Month],$E109)</f>
        <v/>
      </c>
      <c r="HV109" s="55">
        <f>$HU109*$C109/$D109</f>
        <v/>
      </c>
      <c r="HW109" s="55">
        <f>SUMIFS(tblBudget[TMM_t],tblBudget[Month],"&lt;"&amp;$E109)+$HV109</f>
        <v/>
      </c>
      <c r="HX109" s="56">
        <f>IFERROR(IF(($HI109)&gt;0,($HR109)/($HI109),""),"")</f>
        <v/>
      </c>
      <c r="HY109" s="56">
        <f>IFERROR(IF(($HJ109)&gt;0,($HS109)/($HJ109),""),"")</f>
        <v/>
      </c>
      <c r="HZ109" s="56">
        <f>IFERROR(IF(($HK109)&gt;0,($HT109)/($HK109),""),"")</f>
        <v/>
      </c>
      <c r="IA109" s="55">
        <f>SUMIFS(tblBudget[Drill_m],tblBudget[Month],$E109)</f>
        <v/>
      </c>
      <c r="IB109" s="55">
        <f>$IA109*$C109/$D109</f>
        <v/>
      </c>
      <c r="IC109" s="55">
        <f>SUMIFS(tblBudget[Drill_m],tblBudget[Month],"&lt;"&amp;$E109)+$IB109</f>
        <v/>
      </c>
      <c r="ID109" s="55">
        <f>SUMIFS(tblBudget[Diesel_L],tblBudget[Month],$E109)</f>
        <v/>
      </c>
      <c r="IE109" s="55">
        <f>$ID109*$C109/$D109</f>
        <v/>
      </c>
      <c r="IF109" s="55">
        <f>SUMIFS(tblBudget[Diesel_L],tblBudget[Month],"&lt;"&amp;$E109)+$IE109</f>
        <v/>
      </c>
      <c r="IG109" s="55">
        <f>SUMIFS(tblBudget[Milled_t],tblBudget[Month],$E109)</f>
        <v/>
      </c>
      <c r="IH109" s="55">
        <f>$IG109*$C109/$D109</f>
        <v/>
      </c>
      <c r="II109" s="55">
        <f>SUMIFS(tblBudget[Milled_t],tblBudget[Month],"&lt;"&amp;$E109)+$IH109</f>
        <v/>
      </c>
      <c r="IJ109" s="55">
        <f>SUMIFS(tblBudget[Feed_oz],tblBudget[Month],$E109)</f>
        <v/>
      </c>
      <c r="IK109" s="55">
        <f>$IJ109*$C109/$D109</f>
        <v/>
      </c>
      <c r="IL109" s="55">
        <f>SUMIFS(tblBudget[Feed_oz],tblBudget[Month],"&lt;"&amp;$E109)+$IK109</f>
        <v/>
      </c>
      <c r="IM109" s="55">
        <f>SUMIFS(tblBudget[Recovered_oz],tblBudget[Month],$E109)</f>
        <v/>
      </c>
      <c r="IN109" s="55">
        <f>$IM109*$C109/$D109</f>
        <v/>
      </c>
      <c r="IO109" s="55">
        <f>SUMIFS(tblBudget[Recovered_oz],tblBudget[Month],"&lt;"&amp;$E109)+$IN109</f>
        <v/>
      </c>
      <c r="IP109" s="56">
        <f>IFERROR(IF(($IG109)&gt;0,($IJ109*cfg_TroyOz)/($IG109),""),"")</f>
        <v/>
      </c>
      <c r="IQ109" s="56">
        <f>IFERROR(IF(($IH109)&gt;0,($IK109*cfg_TroyOz)/($IH109),""),"")</f>
        <v/>
      </c>
      <c r="IR109" s="56">
        <f>IFERROR(IF(($II109)&gt;0,($IL109*cfg_TroyOz)/($II109),""),"")</f>
        <v/>
      </c>
      <c r="IS109" s="67">
        <f>IFERROR(IF(($IJ109)&gt;0,($IM109)/($IJ109),""),"")</f>
        <v/>
      </c>
      <c r="IT109" s="67">
        <f>IFERROR(IF(($IK109)&gt;0,($IN109)/($IK109),""),"")</f>
        <v/>
      </c>
      <c r="IU109" s="67">
        <f>IFERROR(IF(($IL109)&gt;0,($IO109)/($IL109),""),"")</f>
        <v/>
      </c>
      <c r="IV109" s="55">
        <f>SUMIFS(tblBudget[Gold_Poured_oz],tblBudget[Month],$E109)</f>
        <v/>
      </c>
      <c r="IW109" s="55">
        <f>$IV109*$C109/$D109</f>
        <v/>
      </c>
      <c r="IX109" s="55">
        <f>SUMIFS(tblBudget[Gold_Poured_oz],tblBudget[Month],"&lt;"&amp;$E109)+$IW109</f>
        <v/>
      </c>
      <c r="IY109" s="57">
        <f>SUMIFS(tblBudget[Hours_Worked],tblBudget[Month],$E109)</f>
        <v/>
      </c>
      <c r="IZ109" s="57">
        <f>$IY109*$C109/$D109</f>
        <v/>
      </c>
      <c r="JA109" s="57">
        <f>SUMIFS(tblBudget[Hours_Worked],tblBudget[Month],"&lt;"&amp;$E109)+$IZ109</f>
        <v/>
      </c>
    </row>
    <row r="110">
      <c r="A110" s="54" t="n">
        <v>46131</v>
      </c>
      <c r="B110">
        <f>MONTH($A110)</f>
        <v/>
      </c>
      <c r="C110">
        <f>DAY($A110)</f>
        <v/>
      </c>
      <c r="D110">
        <f>DAY(EOMONTH($A110,0))</f>
        <v/>
      </c>
      <c r="E110" s="54">
        <f>DATE(YEAR($A110),MONTH($A110),1)</f>
        <v/>
      </c>
      <c r="F110" s="55">
        <f>SUMIFS(tblMovement[Tonnes_t],tblMovement[Date],$A110,tblMovement[Is_Ore],1,tblMovement[Source_Type],"Pit")</f>
        <v/>
      </c>
      <c r="G110" s="55">
        <f>IF($B110=$B109,$G109,0)+$F110</f>
        <v/>
      </c>
      <c r="H110" s="55">
        <f>$H109+$F110</f>
        <v/>
      </c>
      <c r="I110" s="55">
        <f>SUMIFS(tblMovement[Ore_oz],tblMovement[Date],$A110,tblMovement[Source_Type],"Pit")</f>
        <v/>
      </c>
      <c r="J110" s="55">
        <f>IF($B110=$B109,$J109,0)+$I110</f>
        <v/>
      </c>
      <c r="K110" s="55">
        <f>$K109+$I110</f>
        <v/>
      </c>
      <c r="L110" s="56">
        <f>IFERROR(IF(($F110)&gt;0,($I110*cfg_TroyOz)/($F110),""),"")</f>
        <v/>
      </c>
      <c r="M110" s="56">
        <f>IFERROR(IF(($G110)&gt;0,($J110*cfg_TroyOz)/($G110),""),"")</f>
        <v/>
      </c>
      <c r="N110" s="56">
        <f>IFERROR(IF(($H110)&gt;0,($K110*cfg_TroyOz)/($H110),""),"")</f>
        <v/>
      </c>
      <c r="O110" s="55">
        <f>SUMIFS(tblMovement[Tonnes_t],tblMovement[Date],$A110,tblMovement[Is_Ore],0,tblMovement[Source_Type],"Pit")</f>
        <v/>
      </c>
      <c r="P110" s="55">
        <f>IF($B110=$B109,$P109,0)+$O110</f>
        <v/>
      </c>
      <c r="Q110" s="55">
        <f>$Q109+$O110</f>
        <v/>
      </c>
      <c r="R110" s="55">
        <f>$F110+$O110</f>
        <v/>
      </c>
      <c r="S110" s="55">
        <f>IF($B110=$B109,$S109,0)+$R110</f>
        <v/>
      </c>
      <c r="T110" s="55">
        <f>$T109+$R110</f>
        <v/>
      </c>
      <c r="U110" s="56">
        <f>IFERROR(IF(($F110)&gt;0,($O110)/($F110),""),"")</f>
        <v/>
      </c>
      <c r="V110" s="56">
        <f>IFERROR(IF(($G110)&gt;0,($P110)/($G110),""),"")</f>
        <v/>
      </c>
      <c r="W110" s="56">
        <f>IFERROR(IF(($H110)&gt;0,($Q110)/($H110),""),"")</f>
        <v/>
      </c>
      <c r="X110" s="55">
        <f>SUMIFS(tblMovement[Tonnes_t],tblMovement[Date],$A110,tblMovement[Source_Type],"Stockpile")</f>
        <v/>
      </c>
      <c r="Y110" s="55">
        <f>IF($B110=$B109,$Y109,0)+$X110</f>
        <v/>
      </c>
      <c r="Z110" s="55">
        <f>$Z109+$X110</f>
        <v/>
      </c>
      <c r="AA110" s="55">
        <f>SUMIFS(tblMiningDaily[Drill_m],tblMiningDaily[Date],$A110)</f>
        <v/>
      </c>
      <c r="AB110" s="55">
        <f>IF($B110=$B109,$AB109,0)+$AA110</f>
        <v/>
      </c>
      <c r="AC110" s="55">
        <f>$AC109+$AA110</f>
        <v/>
      </c>
      <c r="AD110" s="55">
        <f>SUMIFS(tblMiningDaily[Blast_t],tblMiningDaily[Date],$A110)</f>
        <v/>
      </c>
      <c r="AE110" s="55">
        <f>IF($B110=$B109,$AE109,0)+$AD110</f>
        <v/>
      </c>
      <c r="AF110" s="55">
        <f>$AF109+$AD110</f>
        <v/>
      </c>
      <c r="AG110" s="55">
        <f>SUMIFS(tblMiningDaily[Explosives_kg],tblMiningDaily[Date],$A110)</f>
        <v/>
      </c>
      <c r="AH110" s="55">
        <f>IF($B110=$B109,$AH109,0)+$AG110</f>
        <v/>
      </c>
      <c r="AI110" s="55">
        <f>$AI109+$AG110</f>
        <v/>
      </c>
      <c r="AJ110" s="56">
        <f>IFERROR(IF(($AD110)&gt;0,($AG110)/($AD110),""),"")</f>
        <v/>
      </c>
      <c r="AK110" s="56">
        <f>IFERROR(IF(($AE110)&gt;0,($AH110)/($AE110),""),"")</f>
        <v/>
      </c>
      <c r="AL110" s="56">
        <f>IFERROR(IF(($AF110)&gt;0,($AI110)/($AF110),""),"")</f>
        <v/>
      </c>
      <c r="AM110" s="55">
        <f>SUMIFS(tblMiningDaily[Diesel_L],tblMiningDaily[Date],$A110)</f>
        <v/>
      </c>
      <c r="AN110" s="55">
        <f>IF($B110=$B109,$AN109,0)+$AM110</f>
        <v/>
      </c>
      <c r="AO110" s="55">
        <f>$AO109+$AM110</f>
        <v/>
      </c>
      <c r="AP110" s="55">
        <f>SUMIFS(tblMiningDaily[Dewatering_m3],tblMiningDaily[Date],$A110)</f>
        <v/>
      </c>
      <c r="AQ110" s="55">
        <f>IF($B110=$B109,$AQ109,0)+$AP110</f>
        <v/>
      </c>
      <c r="AR110" s="55">
        <f>$AR109+$AP110</f>
        <v/>
      </c>
      <c r="AS110" s="57">
        <f>SUMIFS(tblFleet[Calendar_h],tblFleet[Date],$A110,tblFleet[Equipment_Class],"Excavator")</f>
        <v/>
      </c>
      <c r="AT110" s="57">
        <f>IF($B110=$B109,$AT109,0)+$AS110</f>
        <v/>
      </c>
      <c r="AU110" s="57">
        <f>$AU109+$AS110</f>
        <v/>
      </c>
      <c r="AV110" s="57">
        <f>SUMIFS(tblFleet[Available_h],tblFleet[Date],$A110,tblFleet[Equipment_Class],"Excavator")</f>
        <v/>
      </c>
      <c r="AW110" s="57">
        <f>IF($B110=$B109,$AW109,0)+$AV110</f>
        <v/>
      </c>
      <c r="AX110" s="57">
        <f>$AX109+$AV110</f>
        <v/>
      </c>
      <c r="AY110" s="57">
        <f>SUMIFS(tblFleet[Operating_h],tblFleet[Date],$A110,tblFleet[Equipment_Class],"Excavator")</f>
        <v/>
      </c>
      <c r="AZ110" s="57">
        <f>IF($B110=$B109,$AZ109,0)+$AY110</f>
        <v/>
      </c>
      <c r="BA110" s="57">
        <f>$BA109+$AY110</f>
        <v/>
      </c>
      <c r="BB110" s="67">
        <f>IFERROR(IF(($AS110)&gt;0,($AV110)/($AS110),""),"")</f>
        <v/>
      </c>
      <c r="BC110" s="67">
        <f>IFERROR(IF(($AT110)&gt;0,($AW110)/($AT110),""),"")</f>
        <v/>
      </c>
      <c r="BD110" s="67">
        <f>IFERROR(IF(($AU110)&gt;0,($AX110)/($AU110),""),"")</f>
        <v/>
      </c>
      <c r="BE110" s="67">
        <f>IFERROR(IF(($AV110)&gt;0,($AY110)/($AV110),""),"")</f>
        <v/>
      </c>
      <c r="BF110" s="67">
        <f>IFERROR(IF(($AW110)&gt;0,($AZ110)/($AW110),""),"")</f>
        <v/>
      </c>
      <c r="BG110" s="67">
        <f>IFERROR(IF(($AX110)&gt;0,($BA110)/($AX110),""),"")</f>
        <v/>
      </c>
      <c r="BH110" s="57">
        <f>SUMIFS(tblFleet[Calendar_h],tblFleet[Date],$A110,tblFleet[Equipment_Class],"Haul Truck")</f>
        <v/>
      </c>
      <c r="BI110" s="57">
        <f>IF($B110=$B109,$BI109,0)+$BH110</f>
        <v/>
      </c>
      <c r="BJ110" s="57">
        <f>$BJ109+$BH110</f>
        <v/>
      </c>
      <c r="BK110" s="57">
        <f>SUMIFS(tblFleet[Available_h],tblFleet[Date],$A110,tblFleet[Equipment_Class],"Haul Truck")</f>
        <v/>
      </c>
      <c r="BL110" s="57">
        <f>IF($B110=$B109,$BL109,0)+$BK110</f>
        <v/>
      </c>
      <c r="BM110" s="57">
        <f>$BM109+$BK110</f>
        <v/>
      </c>
      <c r="BN110" s="57">
        <f>SUMIFS(tblFleet[Operating_h],tblFleet[Date],$A110,tblFleet[Equipment_Class],"Haul Truck")</f>
        <v/>
      </c>
      <c r="BO110" s="57">
        <f>IF($B110=$B109,$BO109,0)+$BN110</f>
        <v/>
      </c>
      <c r="BP110" s="57">
        <f>$BP109+$BN110</f>
        <v/>
      </c>
      <c r="BQ110" s="67">
        <f>IFERROR(IF(($BH110)&gt;0,($BK110)/($BH110),""),"")</f>
        <v/>
      </c>
      <c r="BR110" s="67">
        <f>IFERROR(IF(($BI110)&gt;0,($BL110)/($BI110),""),"")</f>
        <v/>
      </c>
      <c r="BS110" s="67">
        <f>IFERROR(IF(($BJ110)&gt;0,($BM110)/($BJ110),""),"")</f>
        <v/>
      </c>
      <c r="BT110" s="67">
        <f>IFERROR(IF(($BK110)&gt;0,($BN110)/($BK110),""),"")</f>
        <v/>
      </c>
      <c r="BU110" s="67">
        <f>IFERROR(IF(($BL110)&gt;0,($BO110)/($BL110),""),"")</f>
        <v/>
      </c>
      <c r="BV110" s="67">
        <f>IFERROR(IF(($BM110)&gt;0,($BP110)/($BM110),""),"")</f>
        <v/>
      </c>
      <c r="BW110" s="55">
        <f>SUMIFS(tblPlant[Crushed_t],tblPlant[Date],$A110)</f>
        <v/>
      </c>
      <c r="BX110" s="55">
        <f>IF($B110=$B109,$BX109,0)+$BW110</f>
        <v/>
      </c>
      <c r="BY110" s="55">
        <f>$BY109+$BW110</f>
        <v/>
      </c>
      <c r="BZ110" s="55">
        <f>SUMIFS(tblPlant[Milled_t],tblPlant[Date],$A110)</f>
        <v/>
      </c>
      <c r="CA110" s="55">
        <f>IF($B110=$B109,$CA109,0)+$BZ110</f>
        <v/>
      </c>
      <c r="CB110" s="55">
        <f>$CB109+$BZ110</f>
        <v/>
      </c>
      <c r="CC110" s="55">
        <f>SUMIFS(tblPlant[Feed_oz],tblPlant[Date],$A110)</f>
        <v/>
      </c>
      <c r="CD110" s="55">
        <f>IF($B110=$B109,$CD109,0)+$CC110</f>
        <v/>
      </c>
      <c r="CE110" s="55">
        <f>$CE109+$CC110</f>
        <v/>
      </c>
      <c r="CF110" s="55">
        <f>SUMIFS(tblPlant[Tails_oz],tblPlant[Date],$A110)</f>
        <v/>
      </c>
      <c r="CG110" s="55">
        <f>IF($B110=$B109,$CG109,0)+$CF110</f>
        <v/>
      </c>
      <c r="CH110" s="55">
        <f>$CH109+$CF110</f>
        <v/>
      </c>
      <c r="CI110" s="55">
        <f>SUMIFS(tblPlant[Recovered_oz],tblPlant[Date],$A110)</f>
        <v/>
      </c>
      <c r="CJ110" s="55">
        <f>IF($B110=$B109,$CJ109,0)+$CI110</f>
        <v/>
      </c>
      <c r="CK110" s="55">
        <f>$CK109+$CI110</f>
        <v/>
      </c>
      <c r="CL110" s="56">
        <f>IFERROR(IF(($BZ110)&gt;0,($CC110*cfg_TroyOz)/($BZ110),""),"")</f>
        <v/>
      </c>
      <c r="CM110" s="56">
        <f>IFERROR(IF(($CA110)&gt;0,($CD110*cfg_TroyOz)/($CA110),""),"")</f>
        <v/>
      </c>
      <c r="CN110" s="56">
        <f>IFERROR(IF(($CB110)&gt;0,($CE110*cfg_TroyOz)/($CB110),""),"")</f>
        <v/>
      </c>
      <c r="CO110" s="56">
        <f>IFERROR(IF(($BZ110)&gt;0,($CF110*cfg_TroyOz)/($BZ110),""),"")</f>
        <v/>
      </c>
      <c r="CP110" s="56">
        <f>IFERROR(IF(($CA110)&gt;0,($CG110*cfg_TroyOz)/($CA110),""),"")</f>
        <v/>
      </c>
      <c r="CQ110" s="56">
        <f>IFERROR(IF(($CB110)&gt;0,($CH110*cfg_TroyOz)/($CB110),""),"")</f>
        <v/>
      </c>
      <c r="CR110" s="67">
        <f>IFERROR(IF(($CC110)&gt;0,($CI110)/($CC110),""),"")</f>
        <v/>
      </c>
      <c r="CS110" s="67">
        <f>IFERROR(IF(($CD110)&gt;0,($CJ110)/($CD110),""),"")</f>
        <v/>
      </c>
      <c r="CT110" s="67">
        <f>IFERROR(IF(($CE110)&gt;0,($CK110)/($CE110),""),"")</f>
        <v/>
      </c>
      <c r="CU110" s="55">
        <f>SUMIFS(tblPlant[Gravity_Gold_oz],tblPlant[Date],$A110)</f>
        <v/>
      </c>
      <c r="CV110" s="55">
        <f>IF($B110=$B109,$CV109,0)+$CU110</f>
        <v/>
      </c>
      <c r="CW110" s="55">
        <f>$CW109+$CU110</f>
        <v/>
      </c>
      <c r="CX110" s="55">
        <f>SUMIFS(tblPlant[Gold_Poured_oz],tblPlant[Date],$A110)</f>
        <v/>
      </c>
      <c r="CY110" s="55">
        <f>IF($B110=$B109,$CY109,0)+$CX110</f>
        <v/>
      </c>
      <c r="CZ110" s="55">
        <f>$CZ109+$CX110</f>
        <v/>
      </c>
      <c r="DA110" s="57">
        <f>SUMIFS(tblPlant[Mill_Run_h],tblPlant[Date],$A110)</f>
        <v/>
      </c>
      <c r="DB110" s="57">
        <f>IF($B110=$B109,$DB109,0)+$DA110</f>
        <v/>
      </c>
      <c r="DC110" s="57">
        <f>$DC109+$DA110</f>
        <v/>
      </c>
      <c r="DD110" s="57">
        <f>SUMIFS(tblPlant[Mill_Planned_Maint_h],tblPlant[Date],$A110)</f>
        <v/>
      </c>
      <c r="DE110" s="57">
        <f>IF($B110=$B109,$DE109,0)+$DD110</f>
        <v/>
      </c>
      <c r="DF110" s="57">
        <f>$DF109+$DD110</f>
        <v/>
      </c>
      <c r="DG110" s="57">
        <f>SUMIFS(tblPlant[Mill_Unplanned_Down_h],tblPlant[Date],$A110)</f>
        <v/>
      </c>
      <c r="DH110" s="57">
        <f>IF($B110=$B109,$DH109,0)+$DG110</f>
        <v/>
      </c>
      <c r="DI110" s="57">
        <f>$DI109+$DG110</f>
        <v/>
      </c>
      <c r="DJ110" s="57">
        <f>COUNTIFS(tblPlant[Date],$A110,tblPlant[Mill_Run_h],"&lt;&gt;")*24</f>
        <v/>
      </c>
      <c r="DK110" s="57">
        <f>IF($B110=$B109,$DK109,0)+$DJ110</f>
        <v/>
      </c>
      <c r="DL110" s="57">
        <f>$DL109+$DJ110</f>
        <v/>
      </c>
      <c r="DM110" s="57">
        <f>SUMIFS(tblPlant[Crusher_Run_h],tblPlant[Date],$A110)</f>
        <v/>
      </c>
      <c r="DN110" s="57">
        <f>IF($B110=$B109,$DN109,0)+$DM110</f>
        <v/>
      </c>
      <c r="DO110" s="57">
        <f>$DO109+$DM110</f>
        <v/>
      </c>
      <c r="DP110" s="55">
        <f>IFERROR(IF(($DA110)&gt;0,($BZ110)/($DA110),""),"")</f>
        <v/>
      </c>
      <c r="DQ110" s="55">
        <f>IFERROR(IF(($DB110)&gt;0,($CA110)/($DB110),""),"")</f>
        <v/>
      </c>
      <c r="DR110" s="55">
        <f>IFERROR(IF(($DC110)&gt;0,($CB110)/($DC110),""),"")</f>
        <v/>
      </c>
      <c r="DS110" s="67">
        <f>IFERROR(IF(($DJ110)&gt;0,($DJ110-$DD110-$DG110)/($DJ110),""),"")</f>
        <v/>
      </c>
      <c r="DT110" s="67">
        <f>IFERROR(IF(($DK110)&gt;0,($DK110-$DE110-$DH110)/($DK110),""),"")</f>
        <v/>
      </c>
      <c r="DU110" s="67">
        <f>IFERROR(IF(($DL110)&gt;0,($DL110-$DF110-$DI110)/($DL110),""),"")</f>
        <v/>
      </c>
      <c r="DV110" s="67">
        <f>IFERROR(IF(($DJ110-$DD110-$DG110)&gt;0,($DA110)/($DJ110-$DD110-$DG110),""),"")</f>
        <v/>
      </c>
      <c r="DW110" s="67">
        <f>IFERROR(IF(($DK110-$DE110-$DH110)&gt;0,($DB110)/($DK110-$DE110-$DH110),""),"")</f>
        <v/>
      </c>
      <c r="DX110" s="67">
        <f>IFERROR(IF(($DL110-$DF110-$DI110)&gt;0,($DC110)/($DL110-$DF110-$DI110),""),"")</f>
        <v/>
      </c>
      <c r="DY110" s="55">
        <f>SUMIFS(tblPlant[Cyanide_kg],tblPlant[Date],$A110)</f>
        <v/>
      </c>
      <c r="DZ110" s="55">
        <f>IF($B110=$B109,$DZ109,0)+$DY110</f>
        <v/>
      </c>
      <c r="EA110" s="55">
        <f>$EA109+$DY110</f>
        <v/>
      </c>
      <c r="EB110" s="55">
        <f>SUMIFS(tblPlant[Lime_kg],tblPlant[Date],$A110)</f>
        <v/>
      </c>
      <c r="EC110" s="55">
        <f>IF($B110=$B109,$EC109,0)+$EB110</f>
        <v/>
      </c>
      <c r="ED110" s="55">
        <f>$ED109+$EB110</f>
        <v/>
      </c>
      <c r="EE110" s="55">
        <f>SUMIFS(tblPlant[Grinding_Media_kg],tblPlant[Date],$A110)</f>
        <v/>
      </c>
      <c r="EF110" s="55">
        <f>IF($B110=$B109,$EF109,0)+$EE110</f>
        <v/>
      </c>
      <c r="EG110" s="55">
        <f>$EG109+$EE110</f>
        <v/>
      </c>
      <c r="EH110" s="55">
        <f>SUMIFS(tblPlant[Power_kWh],tblPlant[Date],$A110)</f>
        <v/>
      </c>
      <c r="EI110" s="55">
        <f>IF($B110=$B109,$EI109,0)+$EH110</f>
        <v/>
      </c>
      <c r="EJ110" s="55">
        <f>$EJ109+$EH110</f>
        <v/>
      </c>
      <c r="EK110" s="55">
        <f>SUMIFS(tblPlant[Raw_Water_m3],tblPlant[Date],$A110)</f>
        <v/>
      </c>
      <c r="EL110" s="55">
        <f>IF($B110=$B109,$EL109,0)+$EK110</f>
        <v/>
      </c>
      <c r="EM110" s="55">
        <f>$EM109+$EK110</f>
        <v/>
      </c>
      <c r="EN110" s="56">
        <f>IFERROR(IF(($BZ110)&gt;0,($DY110)/($BZ110),""),"")</f>
        <v/>
      </c>
      <c r="EO110" s="56">
        <f>IFERROR(IF(($CA110)&gt;0,($DZ110)/($CA110),""),"")</f>
        <v/>
      </c>
      <c r="EP110" s="56">
        <f>IFERROR(IF(($CB110)&gt;0,($EA110)/($CB110),""),"")</f>
        <v/>
      </c>
      <c r="EQ110" s="56">
        <f>IFERROR(IF(($BZ110)&gt;0,($EB110)/($BZ110),""),"")</f>
        <v/>
      </c>
      <c r="ER110" s="56">
        <f>IFERROR(IF(($CA110)&gt;0,($EC110)/($CA110),""),"")</f>
        <v/>
      </c>
      <c r="ES110" s="56">
        <f>IFERROR(IF(($CB110)&gt;0,($ED110)/($CB110),""),"")</f>
        <v/>
      </c>
      <c r="ET110" s="56">
        <f>IFERROR(IF(($BZ110)&gt;0,($EE110)/($BZ110),""),"")</f>
        <v/>
      </c>
      <c r="EU110" s="56">
        <f>IFERROR(IF(($CA110)&gt;0,($EF110)/($CA110),""),"")</f>
        <v/>
      </c>
      <c r="EV110" s="56">
        <f>IFERROR(IF(($CB110)&gt;0,($EG110)/($CB110),""),"")</f>
        <v/>
      </c>
      <c r="EW110" s="76">
        <f>IFERROR(IF(($BZ110)&gt;0,($EH110)/($BZ110),""),"")</f>
        <v/>
      </c>
      <c r="EX110" s="76">
        <f>IFERROR(IF(($CA110)&gt;0,($EI110)/($CA110),""),"")</f>
        <v/>
      </c>
      <c r="EY110" s="76">
        <f>IFERROR(IF(($CB110)&gt;0,($EJ110)/($CB110),""),"")</f>
        <v/>
      </c>
      <c r="EZ110" s="56">
        <f>IFERROR(IF(($BZ110)&gt;0,($EK110)/($BZ110),""),"")</f>
        <v/>
      </c>
      <c r="FA110" s="56">
        <f>IFERROR(IF(($CA110)&gt;0,($EL110)/($CA110),""),"")</f>
        <v/>
      </c>
      <c r="FB110" s="56">
        <f>IFERROR(IF(($CB110)&gt;0,($EM110)/($CB110),""),"")</f>
        <v/>
      </c>
      <c r="FC110" s="55">
        <f>IF(SUMIFS(tblPlant[GIC_oz],tblPlant[Date],$A110)&gt;0,SUMIFS(tblPlant[GIC_oz],tblPlant[Date],$A110),"")</f>
        <v/>
      </c>
      <c r="FD110" s="55">
        <f>SUMIFS(tblGold[Gold_oz],tblGold[Date],$A110,tblGold[Type],"Shipment")</f>
        <v/>
      </c>
      <c r="FE110" s="55">
        <f>IF($B110=$B109,$FE109,0)+$FD110</f>
        <v/>
      </c>
      <c r="FF110" s="55">
        <f>$FF109+$FD110</f>
        <v/>
      </c>
      <c r="FG110" s="55">
        <f>SUMIFS(tblGold[Gold_oz],tblGold[Date],$A110,tblGold[Type],"Sale")</f>
        <v/>
      </c>
      <c r="FH110" s="55">
        <f>IF($B110=$B109,$FH109,0)+$FG110</f>
        <v/>
      </c>
      <c r="FI110" s="55">
        <f>$FI109+$FG110</f>
        <v/>
      </c>
      <c r="FJ110" s="55">
        <f>SUMIFS(tblGold[Dore_kg],tblGold[Date],$A110,tblGold[Type],"Shipment")</f>
        <v/>
      </c>
      <c r="FK110" s="55">
        <f>IF($B110=$B109,$FK109,0)+$FJ110</f>
        <v/>
      </c>
      <c r="FL110" s="55">
        <f>$FL109+$FJ110</f>
        <v/>
      </c>
      <c r="FM110" s="57">
        <f>SUMIFS(tblSafety[Hours_Total],tblSafety[Date],$A110)</f>
        <v/>
      </c>
      <c r="FN110" s="57">
        <f>IF($B110=$B109,$FN109,0)+$FM110</f>
        <v/>
      </c>
      <c r="FO110" s="57">
        <f>$FO109+$FM110</f>
        <v/>
      </c>
      <c r="FP110" s="62">
        <f>SUMIFS(tblSafety[Fatality],tblSafety[Date],$A110)</f>
        <v/>
      </c>
      <c r="FQ110" s="62">
        <f>IF($B110=$B109,$FQ109,0)+$FP110</f>
        <v/>
      </c>
      <c r="FR110" s="62">
        <f>$FR109+$FP110</f>
        <v/>
      </c>
      <c r="FS110" s="62">
        <f>SUMIFS(tblSafety[LTI],tblSafety[Date],$A110)</f>
        <v/>
      </c>
      <c r="FT110" s="62">
        <f>IF($B110=$B109,$FT109,0)+$FS110</f>
        <v/>
      </c>
      <c r="FU110" s="62">
        <f>$FU109+$FS110</f>
        <v/>
      </c>
      <c r="FV110" s="62">
        <f>SUMIFS(tblSafety[RWI],tblSafety[Date],$A110)</f>
        <v/>
      </c>
      <c r="FW110" s="62">
        <f>IF($B110=$B109,$FW109,0)+$FV110</f>
        <v/>
      </c>
      <c r="FX110" s="62">
        <f>$FX109+$FV110</f>
        <v/>
      </c>
      <c r="FY110" s="62">
        <f>SUMIFS(tblSafety[MTI],tblSafety[Date],$A110)</f>
        <v/>
      </c>
      <c r="FZ110" s="62">
        <f>IF($B110=$B109,$FZ109,0)+$FY110</f>
        <v/>
      </c>
      <c r="GA110" s="62">
        <f>$GA109+$FY110</f>
        <v/>
      </c>
      <c r="GB110" s="62">
        <f>SUMIFS(tblSafety[FAI],tblSafety[Date],$A110)</f>
        <v/>
      </c>
      <c r="GC110" s="62">
        <f>IF($B110=$B109,$GC109,0)+$GB110</f>
        <v/>
      </c>
      <c r="GD110" s="62">
        <f>$GD109+$GB110</f>
        <v/>
      </c>
      <c r="GE110" s="62">
        <f>SUMIFS(tblSafety[Recordables],tblSafety[Date],$A110)</f>
        <v/>
      </c>
      <c r="GF110" s="62">
        <f>IF($B110=$B109,$GF109,0)+$GE110</f>
        <v/>
      </c>
      <c r="GG110" s="62">
        <f>$GG109+$GE110</f>
        <v/>
      </c>
      <c r="GH110" s="62">
        <f>SUMIFS(tblSafety[Near_Miss],tblSafety[Date],$A110)</f>
        <v/>
      </c>
      <c r="GI110" s="62">
        <f>IF($B110=$B109,$GI109,0)+$GH110</f>
        <v/>
      </c>
      <c r="GJ110" s="62">
        <f>$GJ109+$GH110</f>
        <v/>
      </c>
      <c r="GK110" s="62">
        <f>SUMIFS(tblSafety[Hazard_Reports],tblSafety[Date],$A110)</f>
        <v/>
      </c>
      <c r="GL110" s="62">
        <f>IF($B110=$B109,$GL109,0)+$GK110</f>
        <v/>
      </c>
      <c r="GM110" s="62">
        <f>$GM109+$GK110</f>
        <v/>
      </c>
      <c r="GN110" s="62">
        <f>SUMIFS(tblSafety[HPI],tblSafety[Date],$A110)</f>
        <v/>
      </c>
      <c r="GO110" s="62">
        <f>IF($B110=$B109,$GO109,0)+$GN110</f>
        <v/>
      </c>
      <c r="GP110" s="62">
        <f>$GP109+$GN110</f>
        <v/>
      </c>
      <c r="GQ110" s="62">
        <f>SUMIFS(tblSafety[Env_Incidents],tblSafety[Date],$A110)</f>
        <v/>
      </c>
      <c r="GR110" s="62">
        <f>IF($B110=$B109,$GR109,0)+$GQ110</f>
        <v/>
      </c>
      <c r="GS110" s="62">
        <f>$GS109+$GQ110</f>
        <v/>
      </c>
      <c r="GT110" s="62">
        <f>SUMIFS(tblSafety[Community_Incidents],tblSafety[Date],$A110)</f>
        <v/>
      </c>
      <c r="GU110" s="62">
        <f>IF($B110=$B109,$GU109,0)+$GT110</f>
        <v/>
      </c>
      <c r="GV110" s="62">
        <f>$GV109+$GT110</f>
        <v/>
      </c>
      <c r="GW110" s="62">
        <f>SUMIFS(tblSafety[Vehicle_Incidents],tblSafety[Date],$A110)</f>
        <v/>
      </c>
      <c r="GX110" s="62">
        <f>IF($B110=$B109,$GX109,0)+$GW110</f>
        <v/>
      </c>
      <c r="GY110" s="62">
        <f>$GY109+$GW110</f>
        <v/>
      </c>
      <c r="GZ110" s="62">
        <f>SUMIFS(tblSafety[Toolbox_Talks],tblSafety[Date],$A110)</f>
        <v/>
      </c>
      <c r="HA110" s="62">
        <f>IF($B110=$B109,$HA109,0)+$GZ110</f>
        <v/>
      </c>
      <c r="HB110" s="62">
        <f>$HB109+$GZ110</f>
        <v/>
      </c>
      <c r="HC110" s="62">
        <f>SUMIFS(tblSafety[Inspections],tblSafety[Date],$A110)</f>
        <v/>
      </c>
      <c r="HD110" s="62">
        <f>IF($B110=$B109,$HD109,0)+$HC110</f>
        <v/>
      </c>
      <c r="HE110" s="62">
        <f>$HE109+$HC110</f>
        <v/>
      </c>
      <c r="HF110" s="56">
        <f>IFERROR((SUMIFS(tblSafety[Recordables],tblSafety[Date],"&gt;="&amp;EDATE($E110,-12),tblSafety[Date],"&lt;="&amp;$A110)+SUMIFS(tblSafetyHistory[Recordables],tblSafetyHistory[Month],"&gt;="&amp;EDATE($E110,-12),tblSafetyHistory[Month],"&lt;"&amp;cfg_YearStart))/(SUMIFS(tblSafety[Hours_Total],tblSafety[Date],"&gt;="&amp;EDATE($E110,-12),tblSafety[Date],"&lt;="&amp;$A110)+SUMIFS(tblSafetyHistory[Hours_Total],tblSafetyHistory[Month],"&gt;="&amp;EDATE($E110,-12),tblSafetyHistory[Month],"&lt;"&amp;cfg_YearStart))*1000000,"")</f>
        <v/>
      </c>
      <c r="HG110" s="56">
        <f>IFERROR((SUMIFS(tblSafety[LTI],tblSafety[Date],"&gt;="&amp;EDATE($E110,-12),tblSafety[Date],"&lt;="&amp;$A110)+SUMIFS(tblSafetyHistory[LTI],tblSafetyHistory[Month],"&gt;="&amp;EDATE($E110,-12),tblSafetyHistory[Month],"&lt;"&amp;cfg_YearStart))/(SUMIFS(tblSafety[Hours_Total],tblSafety[Date],"&gt;="&amp;EDATE($E110,-12),tblSafety[Date],"&lt;="&amp;$A110)+SUMIFS(tblSafetyHistory[Hours_Total],tblSafetyHistory[Month],"&gt;="&amp;EDATE($E110,-12),tblSafetyHistory[Month],"&lt;"&amp;cfg_YearStart))*1000000,"")</f>
        <v/>
      </c>
      <c r="HH110" s="62">
        <f>IF(MAX(N(cfg_PriorLTIDate),_xlfn.MAXIFS(tblSafety[Date],tblSafety[LTI],"&gt;0",tblSafety[Date],"&lt;="&amp;$A110))=0,"",$A110-MAX(N(cfg_PriorLTIDate),_xlfn.MAXIFS(tblSafety[Date],tblSafety[LTI],"&gt;0",tblSafety[Date],"&lt;="&amp;$A110)))</f>
        <v/>
      </c>
      <c r="HI110" s="55">
        <f>SUMIFS(tblBudget[Ore_Mined_t],tblBudget[Month],$E110)</f>
        <v/>
      </c>
      <c r="HJ110" s="55">
        <f>$HI110*$C110/$D110</f>
        <v/>
      </c>
      <c r="HK110" s="55">
        <f>SUMIFS(tblBudget[Ore_Mined_t],tblBudget[Month],"&lt;"&amp;$E110)+$HJ110</f>
        <v/>
      </c>
      <c r="HL110" s="55">
        <f>SUMIFS(tblBudget[Ore_oz],tblBudget[Month],$E110)</f>
        <v/>
      </c>
      <c r="HM110" s="55">
        <f>$HL110*$C110/$D110</f>
        <v/>
      </c>
      <c r="HN110" s="55">
        <f>SUMIFS(tblBudget[Ore_oz],tblBudget[Month],"&lt;"&amp;$E110)+$HM110</f>
        <v/>
      </c>
      <c r="HO110" s="56">
        <f>IFERROR(IF(($HI110)&gt;0,($HL110*cfg_TroyOz)/($HI110),""),"")</f>
        <v/>
      </c>
      <c r="HP110" s="56">
        <f>IFERROR(IF(($HJ110)&gt;0,($HM110*cfg_TroyOz)/($HJ110),""),"")</f>
        <v/>
      </c>
      <c r="HQ110" s="56">
        <f>IFERROR(IF(($HK110)&gt;0,($HN110*cfg_TroyOz)/($HK110),""),"")</f>
        <v/>
      </c>
      <c r="HR110" s="55">
        <f>SUMIFS(tblBudget[Waste_t],tblBudget[Month],$E110)</f>
        <v/>
      </c>
      <c r="HS110" s="55">
        <f>$HR110*$C110/$D110</f>
        <v/>
      </c>
      <c r="HT110" s="55">
        <f>SUMIFS(tblBudget[Waste_t],tblBudget[Month],"&lt;"&amp;$E110)+$HS110</f>
        <v/>
      </c>
      <c r="HU110" s="55">
        <f>SUMIFS(tblBudget[TMM_t],tblBudget[Month],$E110)</f>
        <v/>
      </c>
      <c r="HV110" s="55">
        <f>$HU110*$C110/$D110</f>
        <v/>
      </c>
      <c r="HW110" s="55">
        <f>SUMIFS(tblBudget[TMM_t],tblBudget[Month],"&lt;"&amp;$E110)+$HV110</f>
        <v/>
      </c>
      <c r="HX110" s="56">
        <f>IFERROR(IF(($HI110)&gt;0,($HR110)/($HI110),""),"")</f>
        <v/>
      </c>
      <c r="HY110" s="56">
        <f>IFERROR(IF(($HJ110)&gt;0,($HS110)/($HJ110),""),"")</f>
        <v/>
      </c>
      <c r="HZ110" s="56">
        <f>IFERROR(IF(($HK110)&gt;0,($HT110)/($HK110),""),"")</f>
        <v/>
      </c>
      <c r="IA110" s="55">
        <f>SUMIFS(tblBudget[Drill_m],tblBudget[Month],$E110)</f>
        <v/>
      </c>
      <c r="IB110" s="55">
        <f>$IA110*$C110/$D110</f>
        <v/>
      </c>
      <c r="IC110" s="55">
        <f>SUMIFS(tblBudget[Drill_m],tblBudget[Month],"&lt;"&amp;$E110)+$IB110</f>
        <v/>
      </c>
      <c r="ID110" s="55">
        <f>SUMIFS(tblBudget[Diesel_L],tblBudget[Month],$E110)</f>
        <v/>
      </c>
      <c r="IE110" s="55">
        <f>$ID110*$C110/$D110</f>
        <v/>
      </c>
      <c r="IF110" s="55">
        <f>SUMIFS(tblBudget[Diesel_L],tblBudget[Month],"&lt;"&amp;$E110)+$IE110</f>
        <v/>
      </c>
      <c r="IG110" s="55">
        <f>SUMIFS(tblBudget[Milled_t],tblBudget[Month],$E110)</f>
        <v/>
      </c>
      <c r="IH110" s="55">
        <f>$IG110*$C110/$D110</f>
        <v/>
      </c>
      <c r="II110" s="55">
        <f>SUMIFS(tblBudget[Milled_t],tblBudget[Month],"&lt;"&amp;$E110)+$IH110</f>
        <v/>
      </c>
      <c r="IJ110" s="55">
        <f>SUMIFS(tblBudget[Feed_oz],tblBudget[Month],$E110)</f>
        <v/>
      </c>
      <c r="IK110" s="55">
        <f>$IJ110*$C110/$D110</f>
        <v/>
      </c>
      <c r="IL110" s="55">
        <f>SUMIFS(tblBudget[Feed_oz],tblBudget[Month],"&lt;"&amp;$E110)+$IK110</f>
        <v/>
      </c>
      <c r="IM110" s="55">
        <f>SUMIFS(tblBudget[Recovered_oz],tblBudget[Month],$E110)</f>
        <v/>
      </c>
      <c r="IN110" s="55">
        <f>$IM110*$C110/$D110</f>
        <v/>
      </c>
      <c r="IO110" s="55">
        <f>SUMIFS(tblBudget[Recovered_oz],tblBudget[Month],"&lt;"&amp;$E110)+$IN110</f>
        <v/>
      </c>
      <c r="IP110" s="56">
        <f>IFERROR(IF(($IG110)&gt;0,($IJ110*cfg_TroyOz)/($IG110),""),"")</f>
        <v/>
      </c>
      <c r="IQ110" s="56">
        <f>IFERROR(IF(($IH110)&gt;0,($IK110*cfg_TroyOz)/($IH110),""),"")</f>
        <v/>
      </c>
      <c r="IR110" s="56">
        <f>IFERROR(IF(($II110)&gt;0,($IL110*cfg_TroyOz)/($II110),""),"")</f>
        <v/>
      </c>
      <c r="IS110" s="67">
        <f>IFERROR(IF(($IJ110)&gt;0,($IM110)/($IJ110),""),"")</f>
        <v/>
      </c>
      <c r="IT110" s="67">
        <f>IFERROR(IF(($IK110)&gt;0,($IN110)/($IK110),""),"")</f>
        <v/>
      </c>
      <c r="IU110" s="67">
        <f>IFERROR(IF(($IL110)&gt;0,($IO110)/($IL110),""),"")</f>
        <v/>
      </c>
      <c r="IV110" s="55">
        <f>SUMIFS(tblBudget[Gold_Poured_oz],tblBudget[Month],$E110)</f>
        <v/>
      </c>
      <c r="IW110" s="55">
        <f>$IV110*$C110/$D110</f>
        <v/>
      </c>
      <c r="IX110" s="55">
        <f>SUMIFS(tblBudget[Gold_Poured_oz],tblBudget[Month],"&lt;"&amp;$E110)+$IW110</f>
        <v/>
      </c>
      <c r="IY110" s="57">
        <f>SUMIFS(tblBudget[Hours_Worked],tblBudget[Month],$E110)</f>
        <v/>
      </c>
      <c r="IZ110" s="57">
        <f>$IY110*$C110/$D110</f>
        <v/>
      </c>
      <c r="JA110" s="57">
        <f>SUMIFS(tblBudget[Hours_Worked],tblBudget[Month],"&lt;"&amp;$E110)+$IZ110</f>
        <v/>
      </c>
    </row>
    <row r="111">
      <c r="A111" s="54" t="n">
        <v>46132</v>
      </c>
      <c r="B111">
        <f>MONTH($A111)</f>
        <v/>
      </c>
      <c r="C111">
        <f>DAY($A111)</f>
        <v/>
      </c>
      <c r="D111">
        <f>DAY(EOMONTH($A111,0))</f>
        <v/>
      </c>
      <c r="E111" s="54">
        <f>DATE(YEAR($A111),MONTH($A111),1)</f>
        <v/>
      </c>
      <c r="F111" s="55">
        <f>SUMIFS(tblMovement[Tonnes_t],tblMovement[Date],$A111,tblMovement[Is_Ore],1,tblMovement[Source_Type],"Pit")</f>
        <v/>
      </c>
      <c r="G111" s="55">
        <f>IF($B111=$B110,$G110,0)+$F111</f>
        <v/>
      </c>
      <c r="H111" s="55">
        <f>$H110+$F111</f>
        <v/>
      </c>
      <c r="I111" s="55">
        <f>SUMIFS(tblMovement[Ore_oz],tblMovement[Date],$A111,tblMovement[Source_Type],"Pit")</f>
        <v/>
      </c>
      <c r="J111" s="55">
        <f>IF($B111=$B110,$J110,0)+$I111</f>
        <v/>
      </c>
      <c r="K111" s="55">
        <f>$K110+$I111</f>
        <v/>
      </c>
      <c r="L111" s="56">
        <f>IFERROR(IF(($F111)&gt;0,($I111*cfg_TroyOz)/($F111),""),"")</f>
        <v/>
      </c>
      <c r="M111" s="56">
        <f>IFERROR(IF(($G111)&gt;0,($J111*cfg_TroyOz)/($G111),""),"")</f>
        <v/>
      </c>
      <c r="N111" s="56">
        <f>IFERROR(IF(($H111)&gt;0,($K111*cfg_TroyOz)/($H111),""),"")</f>
        <v/>
      </c>
      <c r="O111" s="55">
        <f>SUMIFS(tblMovement[Tonnes_t],tblMovement[Date],$A111,tblMovement[Is_Ore],0,tblMovement[Source_Type],"Pit")</f>
        <v/>
      </c>
      <c r="P111" s="55">
        <f>IF($B111=$B110,$P110,0)+$O111</f>
        <v/>
      </c>
      <c r="Q111" s="55">
        <f>$Q110+$O111</f>
        <v/>
      </c>
      <c r="R111" s="55">
        <f>$F111+$O111</f>
        <v/>
      </c>
      <c r="S111" s="55">
        <f>IF($B111=$B110,$S110,0)+$R111</f>
        <v/>
      </c>
      <c r="T111" s="55">
        <f>$T110+$R111</f>
        <v/>
      </c>
      <c r="U111" s="56">
        <f>IFERROR(IF(($F111)&gt;0,($O111)/($F111),""),"")</f>
        <v/>
      </c>
      <c r="V111" s="56">
        <f>IFERROR(IF(($G111)&gt;0,($P111)/($G111),""),"")</f>
        <v/>
      </c>
      <c r="W111" s="56">
        <f>IFERROR(IF(($H111)&gt;0,($Q111)/($H111),""),"")</f>
        <v/>
      </c>
      <c r="X111" s="55">
        <f>SUMIFS(tblMovement[Tonnes_t],tblMovement[Date],$A111,tblMovement[Source_Type],"Stockpile")</f>
        <v/>
      </c>
      <c r="Y111" s="55">
        <f>IF($B111=$B110,$Y110,0)+$X111</f>
        <v/>
      </c>
      <c r="Z111" s="55">
        <f>$Z110+$X111</f>
        <v/>
      </c>
      <c r="AA111" s="55">
        <f>SUMIFS(tblMiningDaily[Drill_m],tblMiningDaily[Date],$A111)</f>
        <v/>
      </c>
      <c r="AB111" s="55">
        <f>IF($B111=$B110,$AB110,0)+$AA111</f>
        <v/>
      </c>
      <c r="AC111" s="55">
        <f>$AC110+$AA111</f>
        <v/>
      </c>
      <c r="AD111" s="55">
        <f>SUMIFS(tblMiningDaily[Blast_t],tblMiningDaily[Date],$A111)</f>
        <v/>
      </c>
      <c r="AE111" s="55">
        <f>IF($B111=$B110,$AE110,0)+$AD111</f>
        <v/>
      </c>
      <c r="AF111" s="55">
        <f>$AF110+$AD111</f>
        <v/>
      </c>
      <c r="AG111" s="55">
        <f>SUMIFS(tblMiningDaily[Explosives_kg],tblMiningDaily[Date],$A111)</f>
        <v/>
      </c>
      <c r="AH111" s="55">
        <f>IF($B111=$B110,$AH110,0)+$AG111</f>
        <v/>
      </c>
      <c r="AI111" s="55">
        <f>$AI110+$AG111</f>
        <v/>
      </c>
      <c r="AJ111" s="56">
        <f>IFERROR(IF(($AD111)&gt;0,($AG111)/($AD111),""),"")</f>
        <v/>
      </c>
      <c r="AK111" s="56">
        <f>IFERROR(IF(($AE111)&gt;0,($AH111)/($AE111),""),"")</f>
        <v/>
      </c>
      <c r="AL111" s="56">
        <f>IFERROR(IF(($AF111)&gt;0,($AI111)/($AF111),""),"")</f>
        <v/>
      </c>
      <c r="AM111" s="55">
        <f>SUMIFS(tblMiningDaily[Diesel_L],tblMiningDaily[Date],$A111)</f>
        <v/>
      </c>
      <c r="AN111" s="55">
        <f>IF($B111=$B110,$AN110,0)+$AM111</f>
        <v/>
      </c>
      <c r="AO111" s="55">
        <f>$AO110+$AM111</f>
        <v/>
      </c>
      <c r="AP111" s="55">
        <f>SUMIFS(tblMiningDaily[Dewatering_m3],tblMiningDaily[Date],$A111)</f>
        <v/>
      </c>
      <c r="AQ111" s="55">
        <f>IF($B111=$B110,$AQ110,0)+$AP111</f>
        <v/>
      </c>
      <c r="AR111" s="55">
        <f>$AR110+$AP111</f>
        <v/>
      </c>
      <c r="AS111" s="57">
        <f>SUMIFS(tblFleet[Calendar_h],tblFleet[Date],$A111,tblFleet[Equipment_Class],"Excavator")</f>
        <v/>
      </c>
      <c r="AT111" s="57">
        <f>IF($B111=$B110,$AT110,0)+$AS111</f>
        <v/>
      </c>
      <c r="AU111" s="57">
        <f>$AU110+$AS111</f>
        <v/>
      </c>
      <c r="AV111" s="57">
        <f>SUMIFS(tblFleet[Available_h],tblFleet[Date],$A111,tblFleet[Equipment_Class],"Excavator")</f>
        <v/>
      </c>
      <c r="AW111" s="57">
        <f>IF($B111=$B110,$AW110,0)+$AV111</f>
        <v/>
      </c>
      <c r="AX111" s="57">
        <f>$AX110+$AV111</f>
        <v/>
      </c>
      <c r="AY111" s="57">
        <f>SUMIFS(tblFleet[Operating_h],tblFleet[Date],$A111,tblFleet[Equipment_Class],"Excavator")</f>
        <v/>
      </c>
      <c r="AZ111" s="57">
        <f>IF($B111=$B110,$AZ110,0)+$AY111</f>
        <v/>
      </c>
      <c r="BA111" s="57">
        <f>$BA110+$AY111</f>
        <v/>
      </c>
      <c r="BB111" s="67">
        <f>IFERROR(IF(($AS111)&gt;0,($AV111)/($AS111),""),"")</f>
        <v/>
      </c>
      <c r="BC111" s="67">
        <f>IFERROR(IF(($AT111)&gt;0,($AW111)/($AT111),""),"")</f>
        <v/>
      </c>
      <c r="BD111" s="67">
        <f>IFERROR(IF(($AU111)&gt;0,($AX111)/($AU111),""),"")</f>
        <v/>
      </c>
      <c r="BE111" s="67">
        <f>IFERROR(IF(($AV111)&gt;0,($AY111)/($AV111),""),"")</f>
        <v/>
      </c>
      <c r="BF111" s="67">
        <f>IFERROR(IF(($AW111)&gt;0,($AZ111)/($AW111),""),"")</f>
        <v/>
      </c>
      <c r="BG111" s="67">
        <f>IFERROR(IF(($AX111)&gt;0,($BA111)/($AX111),""),"")</f>
        <v/>
      </c>
      <c r="BH111" s="57">
        <f>SUMIFS(tblFleet[Calendar_h],tblFleet[Date],$A111,tblFleet[Equipment_Class],"Haul Truck")</f>
        <v/>
      </c>
      <c r="BI111" s="57">
        <f>IF($B111=$B110,$BI110,0)+$BH111</f>
        <v/>
      </c>
      <c r="BJ111" s="57">
        <f>$BJ110+$BH111</f>
        <v/>
      </c>
      <c r="BK111" s="57">
        <f>SUMIFS(tblFleet[Available_h],tblFleet[Date],$A111,tblFleet[Equipment_Class],"Haul Truck")</f>
        <v/>
      </c>
      <c r="BL111" s="57">
        <f>IF($B111=$B110,$BL110,0)+$BK111</f>
        <v/>
      </c>
      <c r="BM111" s="57">
        <f>$BM110+$BK111</f>
        <v/>
      </c>
      <c r="BN111" s="57">
        <f>SUMIFS(tblFleet[Operating_h],tblFleet[Date],$A111,tblFleet[Equipment_Class],"Haul Truck")</f>
        <v/>
      </c>
      <c r="BO111" s="57">
        <f>IF($B111=$B110,$BO110,0)+$BN111</f>
        <v/>
      </c>
      <c r="BP111" s="57">
        <f>$BP110+$BN111</f>
        <v/>
      </c>
      <c r="BQ111" s="67">
        <f>IFERROR(IF(($BH111)&gt;0,($BK111)/($BH111),""),"")</f>
        <v/>
      </c>
      <c r="BR111" s="67">
        <f>IFERROR(IF(($BI111)&gt;0,($BL111)/($BI111),""),"")</f>
        <v/>
      </c>
      <c r="BS111" s="67">
        <f>IFERROR(IF(($BJ111)&gt;0,($BM111)/($BJ111),""),"")</f>
        <v/>
      </c>
      <c r="BT111" s="67">
        <f>IFERROR(IF(($BK111)&gt;0,($BN111)/($BK111),""),"")</f>
        <v/>
      </c>
      <c r="BU111" s="67">
        <f>IFERROR(IF(($BL111)&gt;0,($BO111)/($BL111),""),"")</f>
        <v/>
      </c>
      <c r="BV111" s="67">
        <f>IFERROR(IF(($BM111)&gt;0,($BP111)/($BM111),""),"")</f>
        <v/>
      </c>
      <c r="BW111" s="55">
        <f>SUMIFS(tblPlant[Crushed_t],tblPlant[Date],$A111)</f>
        <v/>
      </c>
      <c r="BX111" s="55">
        <f>IF($B111=$B110,$BX110,0)+$BW111</f>
        <v/>
      </c>
      <c r="BY111" s="55">
        <f>$BY110+$BW111</f>
        <v/>
      </c>
      <c r="BZ111" s="55">
        <f>SUMIFS(tblPlant[Milled_t],tblPlant[Date],$A111)</f>
        <v/>
      </c>
      <c r="CA111" s="55">
        <f>IF($B111=$B110,$CA110,0)+$BZ111</f>
        <v/>
      </c>
      <c r="CB111" s="55">
        <f>$CB110+$BZ111</f>
        <v/>
      </c>
      <c r="CC111" s="55">
        <f>SUMIFS(tblPlant[Feed_oz],tblPlant[Date],$A111)</f>
        <v/>
      </c>
      <c r="CD111" s="55">
        <f>IF($B111=$B110,$CD110,0)+$CC111</f>
        <v/>
      </c>
      <c r="CE111" s="55">
        <f>$CE110+$CC111</f>
        <v/>
      </c>
      <c r="CF111" s="55">
        <f>SUMIFS(tblPlant[Tails_oz],tblPlant[Date],$A111)</f>
        <v/>
      </c>
      <c r="CG111" s="55">
        <f>IF($B111=$B110,$CG110,0)+$CF111</f>
        <v/>
      </c>
      <c r="CH111" s="55">
        <f>$CH110+$CF111</f>
        <v/>
      </c>
      <c r="CI111" s="55">
        <f>SUMIFS(tblPlant[Recovered_oz],tblPlant[Date],$A111)</f>
        <v/>
      </c>
      <c r="CJ111" s="55">
        <f>IF($B111=$B110,$CJ110,0)+$CI111</f>
        <v/>
      </c>
      <c r="CK111" s="55">
        <f>$CK110+$CI111</f>
        <v/>
      </c>
      <c r="CL111" s="56">
        <f>IFERROR(IF(($BZ111)&gt;0,($CC111*cfg_TroyOz)/($BZ111),""),"")</f>
        <v/>
      </c>
      <c r="CM111" s="56">
        <f>IFERROR(IF(($CA111)&gt;0,($CD111*cfg_TroyOz)/($CA111),""),"")</f>
        <v/>
      </c>
      <c r="CN111" s="56">
        <f>IFERROR(IF(($CB111)&gt;0,($CE111*cfg_TroyOz)/($CB111),""),"")</f>
        <v/>
      </c>
      <c r="CO111" s="56">
        <f>IFERROR(IF(($BZ111)&gt;0,($CF111*cfg_TroyOz)/($BZ111),""),"")</f>
        <v/>
      </c>
      <c r="CP111" s="56">
        <f>IFERROR(IF(($CA111)&gt;0,($CG111*cfg_TroyOz)/($CA111),""),"")</f>
        <v/>
      </c>
      <c r="CQ111" s="56">
        <f>IFERROR(IF(($CB111)&gt;0,($CH111*cfg_TroyOz)/($CB111),""),"")</f>
        <v/>
      </c>
      <c r="CR111" s="67">
        <f>IFERROR(IF(($CC111)&gt;0,($CI111)/($CC111),""),"")</f>
        <v/>
      </c>
      <c r="CS111" s="67">
        <f>IFERROR(IF(($CD111)&gt;0,($CJ111)/($CD111),""),"")</f>
        <v/>
      </c>
      <c r="CT111" s="67">
        <f>IFERROR(IF(($CE111)&gt;0,($CK111)/($CE111),""),"")</f>
        <v/>
      </c>
      <c r="CU111" s="55">
        <f>SUMIFS(tblPlant[Gravity_Gold_oz],tblPlant[Date],$A111)</f>
        <v/>
      </c>
      <c r="CV111" s="55">
        <f>IF($B111=$B110,$CV110,0)+$CU111</f>
        <v/>
      </c>
      <c r="CW111" s="55">
        <f>$CW110+$CU111</f>
        <v/>
      </c>
      <c r="CX111" s="55">
        <f>SUMIFS(tblPlant[Gold_Poured_oz],tblPlant[Date],$A111)</f>
        <v/>
      </c>
      <c r="CY111" s="55">
        <f>IF($B111=$B110,$CY110,0)+$CX111</f>
        <v/>
      </c>
      <c r="CZ111" s="55">
        <f>$CZ110+$CX111</f>
        <v/>
      </c>
      <c r="DA111" s="57">
        <f>SUMIFS(tblPlant[Mill_Run_h],tblPlant[Date],$A111)</f>
        <v/>
      </c>
      <c r="DB111" s="57">
        <f>IF($B111=$B110,$DB110,0)+$DA111</f>
        <v/>
      </c>
      <c r="DC111" s="57">
        <f>$DC110+$DA111</f>
        <v/>
      </c>
      <c r="DD111" s="57">
        <f>SUMIFS(tblPlant[Mill_Planned_Maint_h],tblPlant[Date],$A111)</f>
        <v/>
      </c>
      <c r="DE111" s="57">
        <f>IF($B111=$B110,$DE110,0)+$DD111</f>
        <v/>
      </c>
      <c r="DF111" s="57">
        <f>$DF110+$DD111</f>
        <v/>
      </c>
      <c r="DG111" s="57">
        <f>SUMIFS(tblPlant[Mill_Unplanned_Down_h],tblPlant[Date],$A111)</f>
        <v/>
      </c>
      <c r="DH111" s="57">
        <f>IF($B111=$B110,$DH110,0)+$DG111</f>
        <v/>
      </c>
      <c r="DI111" s="57">
        <f>$DI110+$DG111</f>
        <v/>
      </c>
      <c r="DJ111" s="57">
        <f>COUNTIFS(tblPlant[Date],$A111,tblPlant[Mill_Run_h],"&lt;&gt;")*24</f>
        <v/>
      </c>
      <c r="DK111" s="57">
        <f>IF($B111=$B110,$DK110,0)+$DJ111</f>
        <v/>
      </c>
      <c r="DL111" s="57">
        <f>$DL110+$DJ111</f>
        <v/>
      </c>
      <c r="DM111" s="57">
        <f>SUMIFS(tblPlant[Crusher_Run_h],tblPlant[Date],$A111)</f>
        <v/>
      </c>
      <c r="DN111" s="57">
        <f>IF($B111=$B110,$DN110,0)+$DM111</f>
        <v/>
      </c>
      <c r="DO111" s="57">
        <f>$DO110+$DM111</f>
        <v/>
      </c>
      <c r="DP111" s="55">
        <f>IFERROR(IF(($DA111)&gt;0,($BZ111)/($DA111),""),"")</f>
        <v/>
      </c>
      <c r="DQ111" s="55">
        <f>IFERROR(IF(($DB111)&gt;0,($CA111)/($DB111),""),"")</f>
        <v/>
      </c>
      <c r="DR111" s="55">
        <f>IFERROR(IF(($DC111)&gt;0,($CB111)/($DC111),""),"")</f>
        <v/>
      </c>
      <c r="DS111" s="67">
        <f>IFERROR(IF(($DJ111)&gt;0,($DJ111-$DD111-$DG111)/($DJ111),""),"")</f>
        <v/>
      </c>
      <c r="DT111" s="67">
        <f>IFERROR(IF(($DK111)&gt;0,($DK111-$DE111-$DH111)/($DK111),""),"")</f>
        <v/>
      </c>
      <c r="DU111" s="67">
        <f>IFERROR(IF(($DL111)&gt;0,($DL111-$DF111-$DI111)/($DL111),""),"")</f>
        <v/>
      </c>
      <c r="DV111" s="67">
        <f>IFERROR(IF(($DJ111-$DD111-$DG111)&gt;0,($DA111)/($DJ111-$DD111-$DG111),""),"")</f>
        <v/>
      </c>
      <c r="DW111" s="67">
        <f>IFERROR(IF(($DK111-$DE111-$DH111)&gt;0,($DB111)/($DK111-$DE111-$DH111),""),"")</f>
        <v/>
      </c>
      <c r="DX111" s="67">
        <f>IFERROR(IF(($DL111-$DF111-$DI111)&gt;0,($DC111)/($DL111-$DF111-$DI111),""),"")</f>
        <v/>
      </c>
      <c r="DY111" s="55">
        <f>SUMIFS(tblPlant[Cyanide_kg],tblPlant[Date],$A111)</f>
        <v/>
      </c>
      <c r="DZ111" s="55">
        <f>IF($B111=$B110,$DZ110,0)+$DY111</f>
        <v/>
      </c>
      <c r="EA111" s="55">
        <f>$EA110+$DY111</f>
        <v/>
      </c>
      <c r="EB111" s="55">
        <f>SUMIFS(tblPlant[Lime_kg],tblPlant[Date],$A111)</f>
        <v/>
      </c>
      <c r="EC111" s="55">
        <f>IF($B111=$B110,$EC110,0)+$EB111</f>
        <v/>
      </c>
      <c r="ED111" s="55">
        <f>$ED110+$EB111</f>
        <v/>
      </c>
      <c r="EE111" s="55">
        <f>SUMIFS(tblPlant[Grinding_Media_kg],tblPlant[Date],$A111)</f>
        <v/>
      </c>
      <c r="EF111" s="55">
        <f>IF($B111=$B110,$EF110,0)+$EE111</f>
        <v/>
      </c>
      <c r="EG111" s="55">
        <f>$EG110+$EE111</f>
        <v/>
      </c>
      <c r="EH111" s="55">
        <f>SUMIFS(tblPlant[Power_kWh],tblPlant[Date],$A111)</f>
        <v/>
      </c>
      <c r="EI111" s="55">
        <f>IF($B111=$B110,$EI110,0)+$EH111</f>
        <v/>
      </c>
      <c r="EJ111" s="55">
        <f>$EJ110+$EH111</f>
        <v/>
      </c>
      <c r="EK111" s="55">
        <f>SUMIFS(tblPlant[Raw_Water_m3],tblPlant[Date],$A111)</f>
        <v/>
      </c>
      <c r="EL111" s="55">
        <f>IF($B111=$B110,$EL110,0)+$EK111</f>
        <v/>
      </c>
      <c r="EM111" s="55">
        <f>$EM110+$EK111</f>
        <v/>
      </c>
      <c r="EN111" s="56">
        <f>IFERROR(IF(($BZ111)&gt;0,($DY111)/($BZ111),""),"")</f>
        <v/>
      </c>
      <c r="EO111" s="56">
        <f>IFERROR(IF(($CA111)&gt;0,($DZ111)/($CA111),""),"")</f>
        <v/>
      </c>
      <c r="EP111" s="56">
        <f>IFERROR(IF(($CB111)&gt;0,($EA111)/($CB111),""),"")</f>
        <v/>
      </c>
      <c r="EQ111" s="56">
        <f>IFERROR(IF(($BZ111)&gt;0,($EB111)/($BZ111),""),"")</f>
        <v/>
      </c>
      <c r="ER111" s="56">
        <f>IFERROR(IF(($CA111)&gt;0,($EC111)/($CA111),""),"")</f>
        <v/>
      </c>
      <c r="ES111" s="56">
        <f>IFERROR(IF(($CB111)&gt;0,($ED111)/($CB111),""),"")</f>
        <v/>
      </c>
      <c r="ET111" s="56">
        <f>IFERROR(IF(($BZ111)&gt;0,($EE111)/($BZ111),""),"")</f>
        <v/>
      </c>
      <c r="EU111" s="56">
        <f>IFERROR(IF(($CA111)&gt;0,($EF111)/($CA111),""),"")</f>
        <v/>
      </c>
      <c r="EV111" s="56">
        <f>IFERROR(IF(($CB111)&gt;0,($EG111)/($CB111),""),"")</f>
        <v/>
      </c>
      <c r="EW111" s="76">
        <f>IFERROR(IF(($BZ111)&gt;0,($EH111)/($BZ111),""),"")</f>
        <v/>
      </c>
      <c r="EX111" s="76">
        <f>IFERROR(IF(($CA111)&gt;0,($EI111)/($CA111),""),"")</f>
        <v/>
      </c>
      <c r="EY111" s="76">
        <f>IFERROR(IF(($CB111)&gt;0,($EJ111)/($CB111),""),"")</f>
        <v/>
      </c>
      <c r="EZ111" s="56">
        <f>IFERROR(IF(($BZ111)&gt;0,($EK111)/($BZ111),""),"")</f>
        <v/>
      </c>
      <c r="FA111" s="56">
        <f>IFERROR(IF(($CA111)&gt;0,($EL111)/($CA111),""),"")</f>
        <v/>
      </c>
      <c r="FB111" s="56">
        <f>IFERROR(IF(($CB111)&gt;0,($EM111)/($CB111),""),"")</f>
        <v/>
      </c>
      <c r="FC111" s="55">
        <f>IF(SUMIFS(tblPlant[GIC_oz],tblPlant[Date],$A111)&gt;0,SUMIFS(tblPlant[GIC_oz],tblPlant[Date],$A111),"")</f>
        <v/>
      </c>
      <c r="FD111" s="55">
        <f>SUMIFS(tblGold[Gold_oz],tblGold[Date],$A111,tblGold[Type],"Shipment")</f>
        <v/>
      </c>
      <c r="FE111" s="55">
        <f>IF($B111=$B110,$FE110,0)+$FD111</f>
        <v/>
      </c>
      <c r="FF111" s="55">
        <f>$FF110+$FD111</f>
        <v/>
      </c>
      <c r="FG111" s="55">
        <f>SUMIFS(tblGold[Gold_oz],tblGold[Date],$A111,tblGold[Type],"Sale")</f>
        <v/>
      </c>
      <c r="FH111" s="55">
        <f>IF($B111=$B110,$FH110,0)+$FG111</f>
        <v/>
      </c>
      <c r="FI111" s="55">
        <f>$FI110+$FG111</f>
        <v/>
      </c>
      <c r="FJ111" s="55">
        <f>SUMIFS(tblGold[Dore_kg],tblGold[Date],$A111,tblGold[Type],"Shipment")</f>
        <v/>
      </c>
      <c r="FK111" s="55">
        <f>IF($B111=$B110,$FK110,0)+$FJ111</f>
        <v/>
      </c>
      <c r="FL111" s="55">
        <f>$FL110+$FJ111</f>
        <v/>
      </c>
      <c r="FM111" s="57">
        <f>SUMIFS(tblSafety[Hours_Total],tblSafety[Date],$A111)</f>
        <v/>
      </c>
      <c r="FN111" s="57">
        <f>IF($B111=$B110,$FN110,0)+$FM111</f>
        <v/>
      </c>
      <c r="FO111" s="57">
        <f>$FO110+$FM111</f>
        <v/>
      </c>
      <c r="FP111" s="62">
        <f>SUMIFS(tblSafety[Fatality],tblSafety[Date],$A111)</f>
        <v/>
      </c>
      <c r="FQ111" s="62">
        <f>IF($B111=$B110,$FQ110,0)+$FP111</f>
        <v/>
      </c>
      <c r="FR111" s="62">
        <f>$FR110+$FP111</f>
        <v/>
      </c>
      <c r="FS111" s="62">
        <f>SUMIFS(tblSafety[LTI],tblSafety[Date],$A111)</f>
        <v/>
      </c>
      <c r="FT111" s="62">
        <f>IF($B111=$B110,$FT110,0)+$FS111</f>
        <v/>
      </c>
      <c r="FU111" s="62">
        <f>$FU110+$FS111</f>
        <v/>
      </c>
      <c r="FV111" s="62">
        <f>SUMIFS(tblSafety[RWI],tblSafety[Date],$A111)</f>
        <v/>
      </c>
      <c r="FW111" s="62">
        <f>IF($B111=$B110,$FW110,0)+$FV111</f>
        <v/>
      </c>
      <c r="FX111" s="62">
        <f>$FX110+$FV111</f>
        <v/>
      </c>
      <c r="FY111" s="62">
        <f>SUMIFS(tblSafety[MTI],tblSafety[Date],$A111)</f>
        <v/>
      </c>
      <c r="FZ111" s="62">
        <f>IF($B111=$B110,$FZ110,0)+$FY111</f>
        <v/>
      </c>
      <c r="GA111" s="62">
        <f>$GA110+$FY111</f>
        <v/>
      </c>
      <c r="GB111" s="62">
        <f>SUMIFS(tblSafety[FAI],tblSafety[Date],$A111)</f>
        <v/>
      </c>
      <c r="GC111" s="62">
        <f>IF($B111=$B110,$GC110,0)+$GB111</f>
        <v/>
      </c>
      <c r="GD111" s="62">
        <f>$GD110+$GB111</f>
        <v/>
      </c>
      <c r="GE111" s="62">
        <f>SUMIFS(tblSafety[Recordables],tblSafety[Date],$A111)</f>
        <v/>
      </c>
      <c r="GF111" s="62">
        <f>IF($B111=$B110,$GF110,0)+$GE111</f>
        <v/>
      </c>
      <c r="GG111" s="62">
        <f>$GG110+$GE111</f>
        <v/>
      </c>
      <c r="GH111" s="62">
        <f>SUMIFS(tblSafety[Near_Miss],tblSafety[Date],$A111)</f>
        <v/>
      </c>
      <c r="GI111" s="62">
        <f>IF($B111=$B110,$GI110,0)+$GH111</f>
        <v/>
      </c>
      <c r="GJ111" s="62">
        <f>$GJ110+$GH111</f>
        <v/>
      </c>
      <c r="GK111" s="62">
        <f>SUMIFS(tblSafety[Hazard_Reports],tblSafety[Date],$A111)</f>
        <v/>
      </c>
      <c r="GL111" s="62">
        <f>IF($B111=$B110,$GL110,0)+$GK111</f>
        <v/>
      </c>
      <c r="GM111" s="62">
        <f>$GM110+$GK111</f>
        <v/>
      </c>
      <c r="GN111" s="62">
        <f>SUMIFS(tblSafety[HPI],tblSafety[Date],$A111)</f>
        <v/>
      </c>
      <c r="GO111" s="62">
        <f>IF($B111=$B110,$GO110,0)+$GN111</f>
        <v/>
      </c>
      <c r="GP111" s="62">
        <f>$GP110+$GN111</f>
        <v/>
      </c>
      <c r="GQ111" s="62">
        <f>SUMIFS(tblSafety[Env_Incidents],tblSafety[Date],$A111)</f>
        <v/>
      </c>
      <c r="GR111" s="62">
        <f>IF($B111=$B110,$GR110,0)+$GQ111</f>
        <v/>
      </c>
      <c r="GS111" s="62">
        <f>$GS110+$GQ111</f>
        <v/>
      </c>
      <c r="GT111" s="62">
        <f>SUMIFS(tblSafety[Community_Incidents],tblSafety[Date],$A111)</f>
        <v/>
      </c>
      <c r="GU111" s="62">
        <f>IF($B111=$B110,$GU110,0)+$GT111</f>
        <v/>
      </c>
      <c r="GV111" s="62">
        <f>$GV110+$GT111</f>
        <v/>
      </c>
      <c r="GW111" s="62">
        <f>SUMIFS(tblSafety[Vehicle_Incidents],tblSafety[Date],$A111)</f>
        <v/>
      </c>
      <c r="GX111" s="62">
        <f>IF($B111=$B110,$GX110,0)+$GW111</f>
        <v/>
      </c>
      <c r="GY111" s="62">
        <f>$GY110+$GW111</f>
        <v/>
      </c>
      <c r="GZ111" s="62">
        <f>SUMIFS(tblSafety[Toolbox_Talks],tblSafety[Date],$A111)</f>
        <v/>
      </c>
      <c r="HA111" s="62">
        <f>IF($B111=$B110,$HA110,0)+$GZ111</f>
        <v/>
      </c>
      <c r="HB111" s="62">
        <f>$HB110+$GZ111</f>
        <v/>
      </c>
      <c r="HC111" s="62">
        <f>SUMIFS(tblSafety[Inspections],tblSafety[Date],$A111)</f>
        <v/>
      </c>
      <c r="HD111" s="62">
        <f>IF($B111=$B110,$HD110,0)+$HC111</f>
        <v/>
      </c>
      <c r="HE111" s="62">
        <f>$HE110+$HC111</f>
        <v/>
      </c>
      <c r="HF111" s="56">
        <f>IFERROR((SUMIFS(tblSafety[Recordables],tblSafety[Date],"&gt;="&amp;EDATE($E111,-12),tblSafety[Date],"&lt;="&amp;$A111)+SUMIFS(tblSafetyHistory[Recordables],tblSafetyHistory[Month],"&gt;="&amp;EDATE($E111,-12),tblSafetyHistory[Month],"&lt;"&amp;cfg_YearStart))/(SUMIFS(tblSafety[Hours_Total],tblSafety[Date],"&gt;="&amp;EDATE($E111,-12),tblSafety[Date],"&lt;="&amp;$A111)+SUMIFS(tblSafetyHistory[Hours_Total],tblSafetyHistory[Month],"&gt;="&amp;EDATE($E111,-12),tblSafetyHistory[Month],"&lt;"&amp;cfg_YearStart))*1000000,"")</f>
        <v/>
      </c>
      <c r="HG111" s="56">
        <f>IFERROR((SUMIFS(tblSafety[LTI],tblSafety[Date],"&gt;="&amp;EDATE($E111,-12),tblSafety[Date],"&lt;="&amp;$A111)+SUMIFS(tblSafetyHistory[LTI],tblSafetyHistory[Month],"&gt;="&amp;EDATE($E111,-12),tblSafetyHistory[Month],"&lt;"&amp;cfg_YearStart))/(SUMIFS(tblSafety[Hours_Total],tblSafety[Date],"&gt;="&amp;EDATE($E111,-12),tblSafety[Date],"&lt;="&amp;$A111)+SUMIFS(tblSafetyHistory[Hours_Total],tblSafetyHistory[Month],"&gt;="&amp;EDATE($E111,-12),tblSafetyHistory[Month],"&lt;"&amp;cfg_YearStart))*1000000,"")</f>
        <v/>
      </c>
      <c r="HH111" s="62">
        <f>IF(MAX(N(cfg_PriorLTIDate),_xlfn.MAXIFS(tblSafety[Date],tblSafety[LTI],"&gt;0",tblSafety[Date],"&lt;="&amp;$A111))=0,"",$A111-MAX(N(cfg_PriorLTIDate),_xlfn.MAXIFS(tblSafety[Date],tblSafety[LTI],"&gt;0",tblSafety[Date],"&lt;="&amp;$A111)))</f>
        <v/>
      </c>
      <c r="HI111" s="55">
        <f>SUMIFS(tblBudget[Ore_Mined_t],tblBudget[Month],$E111)</f>
        <v/>
      </c>
      <c r="HJ111" s="55">
        <f>$HI111*$C111/$D111</f>
        <v/>
      </c>
      <c r="HK111" s="55">
        <f>SUMIFS(tblBudget[Ore_Mined_t],tblBudget[Month],"&lt;"&amp;$E111)+$HJ111</f>
        <v/>
      </c>
      <c r="HL111" s="55">
        <f>SUMIFS(tblBudget[Ore_oz],tblBudget[Month],$E111)</f>
        <v/>
      </c>
      <c r="HM111" s="55">
        <f>$HL111*$C111/$D111</f>
        <v/>
      </c>
      <c r="HN111" s="55">
        <f>SUMIFS(tblBudget[Ore_oz],tblBudget[Month],"&lt;"&amp;$E111)+$HM111</f>
        <v/>
      </c>
      <c r="HO111" s="56">
        <f>IFERROR(IF(($HI111)&gt;0,($HL111*cfg_TroyOz)/($HI111),""),"")</f>
        <v/>
      </c>
      <c r="HP111" s="56">
        <f>IFERROR(IF(($HJ111)&gt;0,($HM111*cfg_TroyOz)/($HJ111),""),"")</f>
        <v/>
      </c>
      <c r="HQ111" s="56">
        <f>IFERROR(IF(($HK111)&gt;0,($HN111*cfg_TroyOz)/($HK111),""),"")</f>
        <v/>
      </c>
      <c r="HR111" s="55">
        <f>SUMIFS(tblBudget[Waste_t],tblBudget[Month],$E111)</f>
        <v/>
      </c>
      <c r="HS111" s="55">
        <f>$HR111*$C111/$D111</f>
        <v/>
      </c>
      <c r="HT111" s="55">
        <f>SUMIFS(tblBudget[Waste_t],tblBudget[Month],"&lt;"&amp;$E111)+$HS111</f>
        <v/>
      </c>
      <c r="HU111" s="55">
        <f>SUMIFS(tblBudget[TMM_t],tblBudget[Month],$E111)</f>
        <v/>
      </c>
      <c r="HV111" s="55">
        <f>$HU111*$C111/$D111</f>
        <v/>
      </c>
      <c r="HW111" s="55">
        <f>SUMIFS(tblBudget[TMM_t],tblBudget[Month],"&lt;"&amp;$E111)+$HV111</f>
        <v/>
      </c>
      <c r="HX111" s="56">
        <f>IFERROR(IF(($HI111)&gt;0,($HR111)/($HI111),""),"")</f>
        <v/>
      </c>
      <c r="HY111" s="56">
        <f>IFERROR(IF(($HJ111)&gt;0,($HS111)/($HJ111),""),"")</f>
        <v/>
      </c>
      <c r="HZ111" s="56">
        <f>IFERROR(IF(($HK111)&gt;0,($HT111)/($HK111),""),"")</f>
        <v/>
      </c>
      <c r="IA111" s="55">
        <f>SUMIFS(tblBudget[Drill_m],tblBudget[Month],$E111)</f>
        <v/>
      </c>
      <c r="IB111" s="55">
        <f>$IA111*$C111/$D111</f>
        <v/>
      </c>
      <c r="IC111" s="55">
        <f>SUMIFS(tblBudget[Drill_m],tblBudget[Month],"&lt;"&amp;$E111)+$IB111</f>
        <v/>
      </c>
      <c r="ID111" s="55">
        <f>SUMIFS(tblBudget[Diesel_L],tblBudget[Month],$E111)</f>
        <v/>
      </c>
      <c r="IE111" s="55">
        <f>$ID111*$C111/$D111</f>
        <v/>
      </c>
      <c r="IF111" s="55">
        <f>SUMIFS(tblBudget[Diesel_L],tblBudget[Month],"&lt;"&amp;$E111)+$IE111</f>
        <v/>
      </c>
      <c r="IG111" s="55">
        <f>SUMIFS(tblBudget[Milled_t],tblBudget[Month],$E111)</f>
        <v/>
      </c>
      <c r="IH111" s="55">
        <f>$IG111*$C111/$D111</f>
        <v/>
      </c>
      <c r="II111" s="55">
        <f>SUMIFS(tblBudget[Milled_t],tblBudget[Month],"&lt;"&amp;$E111)+$IH111</f>
        <v/>
      </c>
      <c r="IJ111" s="55">
        <f>SUMIFS(tblBudget[Feed_oz],tblBudget[Month],$E111)</f>
        <v/>
      </c>
      <c r="IK111" s="55">
        <f>$IJ111*$C111/$D111</f>
        <v/>
      </c>
      <c r="IL111" s="55">
        <f>SUMIFS(tblBudget[Feed_oz],tblBudget[Month],"&lt;"&amp;$E111)+$IK111</f>
        <v/>
      </c>
      <c r="IM111" s="55">
        <f>SUMIFS(tblBudget[Recovered_oz],tblBudget[Month],$E111)</f>
        <v/>
      </c>
      <c r="IN111" s="55">
        <f>$IM111*$C111/$D111</f>
        <v/>
      </c>
      <c r="IO111" s="55">
        <f>SUMIFS(tblBudget[Recovered_oz],tblBudget[Month],"&lt;"&amp;$E111)+$IN111</f>
        <v/>
      </c>
      <c r="IP111" s="56">
        <f>IFERROR(IF(($IG111)&gt;0,($IJ111*cfg_TroyOz)/($IG111),""),"")</f>
        <v/>
      </c>
      <c r="IQ111" s="56">
        <f>IFERROR(IF(($IH111)&gt;0,($IK111*cfg_TroyOz)/($IH111),""),"")</f>
        <v/>
      </c>
      <c r="IR111" s="56">
        <f>IFERROR(IF(($II111)&gt;0,($IL111*cfg_TroyOz)/($II111),""),"")</f>
        <v/>
      </c>
      <c r="IS111" s="67">
        <f>IFERROR(IF(($IJ111)&gt;0,($IM111)/($IJ111),""),"")</f>
        <v/>
      </c>
      <c r="IT111" s="67">
        <f>IFERROR(IF(($IK111)&gt;0,($IN111)/($IK111),""),"")</f>
        <v/>
      </c>
      <c r="IU111" s="67">
        <f>IFERROR(IF(($IL111)&gt;0,($IO111)/($IL111),""),"")</f>
        <v/>
      </c>
      <c r="IV111" s="55">
        <f>SUMIFS(tblBudget[Gold_Poured_oz],tblBudget[Month],$E111)</f>
        <v/>
      </c>
      <c r="IW111" s="55">
        <f>$IV111*$C111/$D111</f>
        <v/>
      </c>
      <c r="IX111" s="55">
        <f>SUMIFS(tblBudget[Gold_Poured_oz],tblBudget[Month],"&lt;"&amp;$E111)+$IW111</f>
        <v/>
      </c>
      <c r="IY111" s="57">
        <f>SUMIFS(tblBudget[Hours_Worked],tblBudget[Month],$E111)</f>
        <v/>
      </c>
      <c r="IZ111" s="57">
        <f>$IY111*$C111/$D111</f>
        <v/>
      </c>
      <c r="JA111" s="57">
        <f>SUMIFS(tblBudget[Hours_Worked],tblBudget[Month],"&lt;"&amp;$E111)+$IZ111</f>
        <v/>
      </c>
    </row>
    <row r="112">
      <c r="A112" s="54" t="n">
        <v>46133</v>
      </c>
      <c r="B112">
        <f>MONTH($A112)</f>
        <v/>
      </c>
      <c r="C112">
        <f>DAY($A112)</f>
        <v/>
      </c>
      <c r="D112">
        <f>DAY(EOMONTH($A112,0))</f>
        <v/>
      </c>
      <c r="E112" s="54">
        <f>DATE(YEAR($A112),MONTH($A112),1)</f>
        <v/>
      </c>
      <c r="F112" s="55">
        <f>SUMIFS(tblMovement[Tonnes_t],tblMovement[Date],$A112,tblMovement[Is_Ore],1,tblMovement[Source_Type],"Pit")</f>
        <v/>
      </c>
      <c r="G112" s="55">
        <f>IF($B112=$B111,$G111,0)+$F112</f>
        <v/>
      </c>
      <c r="H112" s="55">
        <f>$H111+$F112</f>
        <v/>
      </c>
      <c r="I112" s="55">
        <f>SUMIFS(tblMovement[Ore_oz],tblMovement[Date],$A112,tblMovement[Source_Type],"Pit")</f>
        <v/>
      </c>
      <c r="J112" s="55">
        <f>IF($B112=$B111,$J111,0)+$I112</f>
        <v/>
      </c>
      <c r="K112" s="55">
        <f>$K111+$I112</f>
        <v/>
      </c>
      <c r="L112" s="56">
        <f>IFERROR(IF(($F112)&gt;0,($I112*cfg_TroyOz)/($F112),""),"")</f>
        <v/>
      </c>
      <c r="M112" s="56">
        <f>IFERROR(IF(($G112)&gt;0,($J112*cfg_TroyOz)/($G112),""),"")</f>
        <v/>
      </c>
      <c r="N112" s="56">
        <f>IFERROR(IF(($H112)&gt;0,($K112*cfg_TroyOz)/($H112),""),"")</f>
        <v/>
      </c>
      <c r="O112" s="55">
        <f>SUMIFS(tblMovement[Tonnes_t],tblMovement[Date],$A112,tblMovement[Is_Ore],0,tblMovement[Source_Type],"Pit")</f>
        <v/>
      </c>
      <c r="P112" s="55">
        <f>IF($B112=$B111,$P111,0)+$O112</f>
        <v/>
      </c>
      <c r="Q112" s="55">
        <f>$Q111+$O112</f>
        <v/>
      </c>
      <c r="R112" s="55">
        <f>$F112+$O112</f>
        <v/>
      </c>
      <c r="S112" s="55">
        <f>IF($B112=$B111,$S111,0)+$R112</f>
        <v/>
      </c>
      <c r="T112" s="55">
        <f>$T111+$R112</f>
        <v/>
      </c>
      <c r="U112" s="56">
        <f>IFERROR(IF(($F112)&gt;0,($O112)/($F112),""),"")</f>
        <v/>
      </c>
      <c r="V112" s="56">
        <f>IFERROR(IF(($G112)&gt;0,($P112)/($G112),""),"")</f>
        <v/>
      </c>
      <c r="W112" s="56">
        <f>IFERROR(IF(($H112)&gt;0,($Q112)/($H112),""),"")</f>
        <v/>
      </c>
      <c r="X112" s="55">
        <f>SUMIFS(tblMovement[Tonnes_t],tblMovement[Date],$A112,tblMovement[Source_Type],"Stockpile")</f>
        <v/>
      </c>
      <c r="Y112" s="55">
        <f>IF($B112=$B111,$Y111,0)+$X112</f>
        <v/>
      </c>
      <c r="Z112" s="55">
        <f>$Z111+$X112</f>
        <v/>
      </c>
      <c r="AA112" s="55">
        <f>SUMIFS(tblMiningDaily[Drill_m],tblMiningDaily[Date],$A112)</f>
        <v/>
      </c>
      <c r="AB112" s="55">
        <f>IF($B112=$B111,$AB111,0)+$AA112</f>
        <v/>
      </c>
      <c r="AC112" s="55">
        <f>$AC111+$AA112</f>
        <v/>
      </c>
      <c r="AD112" s="55">
        <f>SUMIFS(tblMiningDaily[Blast_t],tblMiningDaily[Date],$A112)</f>
        <v/>
      </c>
      <c r="AE112" s="55">
        <f>IF($B112=$B111,$AE111,0)+$AD112</f>
        <v/>
      </c>
      <c r="AF112" s="55">
        <f>$AF111+$AD112</f>
        <v/>
      </c>
      <c r="AG112" s="55">
        <f>SUMIFS(tblMiningDaily[Explosives_kg],tblMiningDaily[Date],$A112)</f>
        <v/>
      </c>
      <c r="AH112" s="55">
        <f>IF($B112=$B111,$AH111,0)+$AG112</f>
        <v/>
      </c>
      <c r="AI112" s="55">
        <f>$AI111+$AG112</f>
        <v/>
      </c>
      <c r="AJ112" s="56">
        <f>IFERROR(IF(($AD112)&gt;0,($AG112)/($AD112),""),"")</f>
        <v/>
      </c>
      <c r="AK112" s="56">
        <f>IFERROR(IF(($AE112)&gt;0,($AH112)/($AE112),""),"")</f>
        <v/>
      </c>
      <c r="AL112" s="56">
        <f>IFERROR(IF(($AF112)&gt;0,($AI112)/($AF112),""),"")</f>
        <v/>
      </c>
      <c r="AM112" s="55">
        <f>SUMIFS(tblMiningDaily[Diesel_L],tblMiningDaily[Date],$A112)</f>
        <v/>
      </c>
      <c r="AN112" s="55">
        <f>IF($B112=$B111,$AN111,0)+$AM112</f>
        <v/>
      </c>
      <c r="AO112" s="55">
        <f>$AO111+$AM112</f>
        <v/>
      </c>
      <c r="AP112" s="55">
        <f>SUMIFS(tblMiningDaily[Dewatering_m3],tblMiningDaily[Date],$A112)</f>
        <v/>
      </c>
      <c r="AQ112" s="55">
        <f>IF($B112=$B111,$AQ111,0)+$AP112</f>
        <v/>
      </c>
      <c r="AR112" s="55">
        <f>$AR111+$AP112</f>
        <v/>
      </c>
      <c r="AS112" s="57">
        <f>SUMIFS(tblFleet[Calendar_h],tblFleet[Date],$A112,tblFleet[Equipment_Class],"Excavator")</f>
        <v/>
      </c>
      <c r="AT112" s="57">
        <f>IF($B112=$B111,$AT111,0)+$AS112</f>
        <v/>
      </c>
      <c r="AU112" s="57">
        <f>$AU111+$AS112</f>
        <v/>
      </c>
      <c r="AV112" s="57">
        <f>SUMIFS(tblFleet[Available_h],tblFleet[Date],$A112,tblFleet[Equipment_Class],"Excavator")</f>
        <v/>
      </c>
      <c r="AW112" s="57">
        <f>IF($B112=$B111,$AW111,0)+$AV112</f>
        <v/>
      </c>
      <c r="AX112" s="57">
        <f>$AX111+$AV112</f>
        <v/>
      </c>
      <c r="AY112" s="57">
        <f>SUMIFS(tblFleet[Operating_h],tblFleet[Date],$A112,tblFleet[Equipment_Class],"Excavator")</f>
        <v/>
      </c>
      <c r="AZ112" s="57">
        <f>IF($B112=$B111,$AZ111,0)+$AY112</f>
        <v/>
      </c>
      <c r="BA112" s="57">
        <f>$BA111+$AY112</f>
        <v/>
      </c>
      <c r="BB112" s="67">
        <f>IFERROR(IF(($AS112)&gt;0,($AV112)/($AS112),""),"")</f>
        <v/>
      </c>
      <c r="BC112" s="67">
        <f>IFERROR(IF(($AT112)&gt;0,($AW112)/($AT112),""),"")</f>
        <v/>
      </c>
      <c r="BD112" s="67">
        <f>IFERROR(IF(($AU112)&gt;0,($AX112)/($AU112),""),"")</f>
        <v/>
      </c>
      <c r="BE112" s="67">
        <f>IFERROR(IF(($AV112)&gt;0,($AY112)/($AV112),""),"")</f>
        <v/>
      </c>
      <c r="BF112" s="67">
        <f>IFERROR(IF(($AW112)&gt;0,($AZ112)/($AW112),""),"")</f>
        <v/>
      </c>
      <c r="BG112" s="67">
        <f>IFERROR(IF(($AX112)&gt;0,($BA112)/($AX112),""),"")</f>
        <v/>
      </c>
      <c r="BH112" s="57">
        <f>SUMIFS(tblFleet[Calendar_h],tblFleet[Date],$A112,tblFleet[Equipment_Class],"Haul Truck")</f>
        <v/>
      </c>
      <c r="BI112" s="57">
        <f>IF($B112=$B111,$BI111,0)+$BH112</f>
        <v/>
      </c>
      <c r="BJ112" s="57">
        <f>$BJ111+$BH112</f>
        <v/>
      </c>
      <c r="BK112" s="57">
        <f>SUMIFS(tblFleet[Available_h],tblFleet[Date],$A112,tblFleet[Equipment_Class],"Haul Truck")</f>
        <v/>
      </c>
      <c r="BL112" s="57">
        <f>IF($B112=$B111,$BL111,0)+$BK112</f>
        <v/>
      </c>
      <c r="BM112" s="57">
        <f>$BM111+$BK112</f>
        <v/>
      </c>
      <c r="BN112" s="57">
        <f>SUMIFS(tblFleet[Operating_h],tblFleet[Date],$A112,tblFleet[Equipment_Class],"Haul Truck")</f>
        <v/>
      </c>
      <c r="BO112" s="57">
        <f>IF($B112=$B111,$BO111,0)+$BN112</f>
        <v/>
      </c>
      <c r="BP112" s="57">
        <f>$BP111+$BN112</f>
        <v/>
      </c>
      <c r="BQ112" s="67">
        <f>IFERROR(IF(($BH112)&gt;0,($BK112)/($BH112),""),"")</f>
        <v/>
      </c>
      <c r="BR112" s="67">
        <f>IFERROR(IF(($BI112)&gt;0,($BL112)/($BI112),""),"")</f>
        <v/>
      </c>
      <c r="BS112" s="67">
        <f>IFERROR(IF(($BJ112)&gt;0,($BM112)/($BJ112),""),"")</f>
        <v/>
      </c>
      <c r="BT112" s="67">
        <f>IFERROR(IF(($BK112)&gt;0,($BN112)/($BK112),""),"")</f>
        <v/>
      </c>
      <c r="BU112" s="67">
        <f>IFERROR(IF(($BL112)&gt;0,($BO112)/($BL112),""),"")</f>
        <v/>
      </c>
      <c r="BV112" s="67">
        <f>IFERROR(IF(($BM112)&gt;0,($BP112)/($BM112),""),"")</f>
        <v/>
      </c>
      <c r="BW112" s="55">
        <f>SUMIFS(tblPlant[Crushed_t],tblPlant[Date],$A112)</f>
        <v/>
      </c>
      <c r="BX112" s="55">
        <f>IF($B112=$B111,$BX111,0)+$BW112</f>
        <v/>
      </c>
      <c r="BY112" s="55">
        <f>$BY111+$BW112</f>
        <v/>
      </c>
      <c r="BZ112" s="55">
        <f>SUMIFS(tblPlant[Milled_t],tblPlant[Date],$A112)</f>
        <v/>
      </c>
      <c r="CA112" s="55">
        <f>IF($B112=$B111,$CA111,0)+$BZ112</f>
        <v/>
      </c>
      <c r="CB112" s="55">
        <f>$CB111+$BZ112</f>
        <v/>
      </c>
      <c r="CC112" s="55">
        <f>SUMIFS(tblPlant[Feed_oz],tblPlant[Date],$A112)</f>
        <v/>
      </c>
      <c r="CD112" s="55">
        <f>IF($B112=$B111,$CD111,0)+$CC112</f>
        <v/>
      </c>
      <c r="CE112" s="55">
        <f>$CE111+$CC112</f>
        <v/>
      </c>
      <c r="CF112" s="55">
        <f>SUMIFS(tblPlant[Tails_oz],tblPlant[Date],$A112)</f>
        <v/>
      </c>
      <c r="CG112" s="55">
        <f>IF($B112=$B111,$CG111,0)+$CF112</f>
        <v/>
      </c>
      <c r="CH112" s="55">
        <f>$CH111+$CF112</f>
        <v/>
      </c>
      <c r="CI112" s="55">
        <f>SUMIFS(tblPlant[Recovered_oz],tblPlant[Date],$A112)</f>
        <v/>
      </c>
      <c r="CJ112" s="55">
        <f>IF($B112=$B111,$CJ111,0)+$CI112</f>
        <v/>
      </c>
      <c r="CK112" s="55">
        <f>$CK111+$CI112</f>
        <v/>
      </c>
      <c r="CL112" s="56">
        <f>IFERROR(IF(($BZ112)&gt;0,($CC112*cfg_TroyOz)/($BZ112),""),"")</f>
        <v/>
      </c>
      <c r="CM112" s="56">
        <f>IFERROR(IF(($CA112)&gt;0,($CD112*cfg_TroyOz)/($CA112),""),"")</f>
        <v/>
      </c>
      <c r="CN112" s="56">
        <f>IFERROR(IF(($CB112)&gt;0,($CE112*cfg_TroyOz)/($CB112),""),"")</f>
        <v/>
      </c>
      <c r="CO112" s="56">
        <f>IFERROR(IF(($BZ112)&gt;0,($CF112*cfg_TroyOz)/($BZ112),""),"")</f>
        <v/>
      </c>
      <c r="CP112" s="56">
        <f>IFERROR(IF(($CA112)&gt;0,($CG112*cfg_TroyOz)/($CA112),""),"")</f>
        <v/>
      </c>
      <c r="CQ112" s="56">
        <f>IFERROR(IF(($CB112)&gt;0,($CH112*cfg_TroyOz)/($CB112),""),"")</f>
        <v/>
      </c>
      <c r="CR112" s="67">
        <f>IFERROR(IF(($CC112)&gt;0,($CI112)/($CC112),""),"")</f>
        <v/>
      </c>
      <c r="CS112" s="67">
        <f>IFERROR(IF(($CD112)&gt;0,($CJ112)/($CD112),""),"")</f>
        <v/>
      </c>
      <c r="CT112" s="67">
        <f>IFERROR(IF(($CE112)&gt;0,($CK112)/($CE112),""),"")</f>
        <v/>
      </c>
      <c r="CU112" s="55">
        <f>SUMIFS(tblPlant[Gravity_Gold_oz],tblPlant[Date],$A112)</f>
        <v/>
      </c>
      <c r="CV112" s="55">
        <f>IF($B112=$B111,$CV111,0)+$CU112</f>
        <v/>
      </c>
      <c r="CW112" s="55">
        <f>$CW111+$CU112</f>
        <v/>
      </c>
      <c r="CX112" s="55">
        <f>SUMIFS(tblPlant[Gold_Poured_oz],tblPlant[Date],$A112)</f>
        <v/>
      </c>
      <c r="CY112" s="55">
        <f>IF($B112=$B111,$CY111,0)+$CX112</f>
        <v/>
      </c>
      <c r="CZ112" s="55">
        <f>$CZ111+$CX112</f>
        <v/>
      </c>
      <c r="DA112" s="57">
        <f>SUMIFS(tblPlant[Mill_Run_h],tblPlant[Date],$A112)</f>
        <v/>
      </c>
      <c r="DB112" s="57">
        <f>IF($B112=$B111,$DB111,0)+$DA112</f>
        <v/>
      </c>
      <c r="DC112" s="57">
        <f>$DC111+$DA112</f>
        <v/>
      </c>
      <c r="DD112" s="57">
        <f>SUMIFS(tblPlant[Mill_Planned_Maint_h],tblPlant[Date],$A112)</f>
        <v/>
      </c>
      <c r="DE112" s="57">
        <f>IF($B112=$B111,$DE111,0)+$DD112</f>
        <v/>
      </c>
      <c r="DF112" s="57">
        <f>$DF111+$DD112</f>
        <v/>
      </c>
      <c r="DG112" s="57">
        <f>SUMIFS(tblPlant[Mill_Unplanned_Down_h],tblPlant[Date],$A112)</f>
        <v/>
      </c>
      <c r="DH112" s="57">
        <f>IF($B112=$B111,$DH111,0)+$DG112</f>
        <v/>
      </c>
      <c r="DI112" s="57">
        <f>$DI111+$DG112</f>
        <v/>
      </c>
      <c r="DJ112" s="57">
        <f>COUNTIFS(tblPlant[Date],$A112,tblPlant[Mill_Run_h],"&lt;&gt;")*24</f>
        <v/>
      </c>
      <c r="DK112" s="57">
        <f>IF($B112=$B111,$DK111,0)+$DJ112</f>
        <v/>
      </c>
      <c r="DL112" s="57">
        <f>$DL111+$DJ112</f>
        <v/>
      </c>
      <c r="DM112" s="57">
        <f>SUMIFS(tblPlant[Crusher_Run_h],tblPlant[Date],$A112)</f>
        <v/>
      </c>
      <c r="DN112" s="57">
        <f>IF($B112=$B111,$DN111,0)+$DM112</f>
        <v/>
      </c>
      <c r="DO112" s="57">
        <f>$DO111+$DM112</f>
        <v/>
      </c>
      <c r="DP112" s="55">
        <f>IFERROR(IF(($DA112)&gt;0,($BZ112)/($DA112),""),"")</f>
        <v/>
      </c>
      <c r="DQ112" s="55">
        <f>IFERROR(IF(($DB112)&gt;0,($CA112)/($DB112),""),"")</f>
        <v/>
      </c>
      <c r="DR112" s="55">
        <f>IFERROR(IF(($DC112)&gt;0,($CB112)/($DC112),""),"")</f>
        <v/>
      </c>
      <c r="DS112" s="67">
        <f>IFERROR(IF(($DJ112)&gt;0,($DJ112-$DD112-$DG112)/($DJ112),""),"")</f>
        <v/>
      </c>
      <c r="DT112" s="67">
        <f>IFERROR(IF(($DK112)&gt;0,($DK112-$DE112-$DH112)/($DK112),""),"")</f>
        <v/>
      </c>
      <c r="DU112" s="67">
        <f>IFERROR(IF(($DL112)&gt;0,($DL112-$DF112-$DI112)/($DL112),""),"")</f>
        <v/>
      </c>
      <c r="DV112" s="67">
        <f>IFERROR(IF(($DJ112-$DD112-$DG112)&gt;0,($DA112)/($DJ112-$DD112-$DG112),""),"")</f>
        <v/>
      </c>
      <c r="DW112" s="67">
        <f>IFERROR(IF(($DK112-$DE112-$DH112)&gt;0,($DB112)/($DK112-$DE112-$DH112),""),"")</f>
        <v/>
      </c>
      <c r="DX112" s="67">
        <f>IFERROR(IF(($DL112-$DF112-$DI112)&gt;0,($DC112)/($DL112-$DF112-$DI112),""),"")</f>
        <v/>
      </c>
      <c r="DY112" s="55">
        <f>SUMIFS(tblPlant[Cyanide_kg],tblPlant[Date],$A112)</f>
        <v/>
      </c>
      <c r="DZ112" s="55">
        <f>IF($B112=$B111,$DZ111,0)+$DY112</f>
        <v/>
      </c>
      <c r="EA112" s="55">
        <f>$EA111+$DY112</f>
        <v/>
      </c>
      <c r="EB112" s="55">
        <f>SUMIFS(tblPlant[Lime_kg],tblPlant[Date],$A112)</f>
        <v/>
      </c>
      <c r="EC112" s="55">
        <f>IF($B112=$B111,$EC111,0)+$EB112</f>
        <v/>
      </c>
      <c r="ED112" s="55">
        <f>$ED111+$EB112</f>
        <v/>
      </c>
      <c r="EE112" s="55">
        <f>SUMIFS(tblPlant[Grinding_Media_kg],tblPlant[Date],$A112)</f>
        <v/>
      </c>
      <c r="EF112" s="55">
        <f>IF($B112=$B111,$EF111,0)+$EE112</f>
        <v/>
      </c>
      <c r="EG112" s="55">
        <f>$EG111+$EE112</f>
        <v/>
      </c>
      <c r="EH112" s="55">
        <f>SUMIFS(tblPlant[Power_kWh],tblPlant[Date],$A112)</f>
        <v/>
      </c>
      <c r="EI112" s="55">
        <f>IF($B112=$B111,$EI111,0)+$EH112</f>
        <v/>
      </c>
      <c r="EJ112" s="55">
        <f>$EJ111+$EH112</f>
        <v/>
      </c>
      <c r="EK112" s="55">
        <f>SUMIFS(tblPlant[Raw_Water_m3],tblPlant[Date],$A112)</f>
        <v/>
      </c>
      <c r="EL112" s="55">
        <f>IF($B112=$B111,$EL111,0)+$EK112</f>
        <v/>
      </c>
      <c r="EM112" s="55">
        <f>$EM111+$EK112</f>
        <v/>
      </c>
      <c r="EN112" s="56">
        <f>IFERROR(IF(($BZ112)&gt;0,($DY112)/($BZ112),""),"")</f>
        <v/>
      </c>
      <c r="EO112" s="56">
        <f>IFERROR(IF(($CA112)&gt;0,($DZ112)/($CA112),""),"")</f>
        <v/>
      </c>
      <c r="EP112" s="56">
        <f>IFERROR(IF(($CB112)&gt;0,($EA112)/($CB112),""),"")</f>
        <v/>
      </c>
      <c r="EQ112" s="56">
        <f>IFERROR(IF(($BZ112)&gt;0,($EB112)/($BZ112),""),"")</f>
        <v/>
      </c>
      <c r="ER112" s="56">
        <f>IFERROR(IF(($CA112)&gt;0,($EC112)/($CA112),""),"")</f>
        <v/>
      </c>
      <c r="ES112" s="56">
        <f>IFERROR(IF(($CB112)&gt;0,($ED112)/($CB112),""),"")</f>
        <v/>
      </c>
      <c r="ET112" s="56">
        <f>IFERROR(IF(($BZ112)&gt;0,($EE112)/($BZ112),""),"")</f>
        <v/>
      </c>
      <c r="EU112" s="56">
        <f>IFERROR(IF(($CA112)&gt;0,($EF112)/($CA112),""),"")</f>
        <v/>
      </c>
      <c r="EV112" s="56">
        <f>IFERROR(IF(($CB112)&gt;0,($EG112)/($CB112),""),"")</f>
        <v/>
      </c>
      <c r="EW112" s="76">
        <f>IFERROR(IF(($BZ112)&gt;0,($EH112)/($BZ112),""),"")</f>
        <v/>
      </c>
      <c r="EX112" s="76">
        <f>IFERROR(IF(($CA112)&gt;0,($EI112)/($CA112),""),"")</f>
        <v/>
      </c>
      <c r="EY112" s="76">
        <f>IFERROR(IF(($CB112)&gt;0,($EJ112)/($CB112),""),"")</f>
        <v/>
      </c>
      <c r="EZ112" s="56">
        <f>IFERROR(IF(($BZ112)&gt;0,($EK112)/($BZ112),""),"")</f>
        <v/>
      </c>
      <c r="FA112" s="56">
        <f>IFERROR(IF(($CA112)&gt;0,($EL112)/($CA112),""),"")</f>
        <v/>
      </c>
      <c r="FB112" s="56">
        <f>IFERROR(IF(($CB112)&gt;0,($EM112)/($CB112),""),"")</f>
        <v/>
      </c>
      <c r="FC112" s="55">
        <f>IF(SUMIFS(tblPlant[GIC_oz],tblPlant[Date],$A112)&gt;0,SUMIFS(tblPlant[GIC_oz],tblPlant[Date],$A112),"")</f>
        <v/>
      </c>
      <c r="FD112" s="55">
        <f>SUMIFS(tblGold[Gold_oz],tblGold[Date],$A112,tblGold[Type],"Shipment")</f>
        <v/>
      </c>
      <c r="FE112" s="55">
        <f>IF($B112=$B111,$FE111,0)+$FD112</f>
        <v/>
      </c>
      <c r="FF112" s="55">
        <f>$FF111+$FD112</f>
        <v/>
      </c>
      <c r="FG112" s="55">
        <f>SUMIFS(tblGold[Gold_oz],tblGold[Date],$A112,tblGold[Type],"Sale")</f>
        <v/>
      </c>
      <c r="FH112" s="55">
        <f>IF($B112=$B111,$FH111,0)+$FG112</f>
        <v/>
      </c>
      <c r="FI112" s="55">
        <f>$FI111+$FG112</f>
        <v/>
      </c>
      <c r="FJ112" s="55">
        <f>SUMIFS(tblGold[Dore_kg],tblGold[Date],$A112,tblGold[Type],"Shipment")</f>
        <v/>
      </c>
      <c r="FK112" s="55">
        <f>IF($B112=$B111,$FK111,0)+$FJ112</f>
        <v/>
      </c>
      <c r="FL112" s="55">
        <f>$FL111+$FJ112</f>
        <v/>
      </c>
      <c r="FM112" s="57">
        <f>SUMIFS(tblSafety[Hours_Total],tblSafety[Date],$A112)</f>
        <v/>
      </c>
      <c r="FN112" s="57">
        <f>IF($B112=$B111,$FN111,0)+$FM112</f>
        <v/>
      </c>
      <c r="FO112" s="57">
        <f>$FO111+$FM112</f>
        <v/>
      </c>
      <c r="FP112" s="62">
        <f>SUMIFS(tblSafety[Fatality],tblSafety[Date],$A112)</f>
        <v/>
      </c>
      <c r="FQ112" s="62">
        <f>IF($B112=$B111,$FQ111,0)+$FP112</f>
        <v/>
      </c>
      <c r="FR112" s="62">
        <f>$FR111+$FP112</f>
        <v/>
      </c>
      <c r="FS112" s="62">
        <f>SUMIFS(tblSafety[LTI],tblSafety[Date],$A112)</f>
        <v/>
      </c>
      <c r="FT112" s="62">
        <f>IF($B112=$B111,$FT111,0)+$FS112</f>
        <v/>
      </c>
      <c r="FU112" s="62">
        <f>$FU111+$FS112</f>
        <v/>
      </c>
      <c r="FV112" s="62">
        <f>SUMIFS(tblSafety[RWI],tblSafety[Date],$A112)</f>
        <v/>
      </c>
      <c r="FW112" s="62">
        <f>IF($B112=$B111,$FW111,0)+$FV112</f>
        <v/>
      </c>
      <c r="FX112" s="62">
        <f>$FX111+$FV112</f>
        <v/>
      </c>
      <c r="FY112" s="62">
        <f>SUMIFS(tblSafety[MTI],tblSafety[Date],$A112)</f>
        <v/>
      </c>
      <c r="FZ112" s="62">
        <f>IF($B112=$B111,$FZ111,0)+$FY112</f>
        <v/>
      </c>
      <c r="GA112" s="62">
        <f>$GA111+$FY112</f>
        <v/>
      </c>
      <c r="GB112" s="62">
        <f>SUMIFS(tblSafety[FAI],tblSafety[Date],$A112)</f>
        <v/>
      </c>
      <c r="GC112" s="62">
        <f>IF($B112=$B111,$GC111,0)+$GB112</f>
        <v/>
      </c>
      <c r="GD112" s="62">
        <f>$GD111+$GB112</f>
        <v/>
      </c>
      <c r="GE112" s="62">
        <f>SUMIFS(tblSafety[Recordables],tblSafety[Date],$A112)</f>
        <v/>
      </c>
      <c r="GF112" s="62">
        <f>IF($B112=$B111,$GF111,0)+$GE112</f>
        <v/>
      </c>
      <c r="GG112" s="62">
        <f>$GG111+$GE112</f>
        <v/>
      </c>
      <c r="GH112" s="62">
        <f>SUMIFS(tblSafety[Near_Miss],tblSafety[Date],$A112)</f>
        <v/>
      </c>
      <c r="GI112" s="62">
        <f>IF($B112=$B111,$GI111,0)+$GH112</f>
        <v/>
      </c>
      <c r="GJ112" s="62">
        <f>$GJ111+$GH112</f>
        <v/>
      </c>
      <c r="GK112" s="62">
        <f>SUMIFS(tblSafety[Hazard_Reports],tblSafety[Date],$A112)</f>
        <v/>
      </c>
      <c r="GL112" s="62">
        <f>IF($B112=$B111,$GL111,0)+$GK112</f>
        <v/>
      </c>
      <c r="GM112" s="62">
        <f>$GM111+$GK112</f>
        <v/>
      </c>
      <c r="GN112" s="62">
        <f>SUMIFS(tblSafety[HPI],tblSafety[Date],$A112)</f>
        <v/>
      </c>
      <c r="GO112" s="62">
        <f>IF($B112=$B111,$GO111,0)+$GN112</f>
        <v/>
      </c>
      <c r="GP112" s="62">
        <f>$GP111+$GN112</f>
        <v/>
      </c>
      <c r="GQ112" s="62">
        <f>SUMIFS(tblSafety[Env_Incidents],tblSafety[Date],$A112)</f>
        <v/>
      </c>
      <c r="GR112" s="62">
        <f>IF($B112=$B111,$GR111,0)+$GQ112</f>
        <v/>
      </c>
      <c r="GS112" s="62">
        <f>$GS111+$GQ112</f>
        <v/>
      </c>
      <c r="GT112" s="62">
        <f>SUMIFS(tblSafety[Community_Incidents],tblSafety[Date],$A112)</f>
        <v/>
      </c>
      <c r="GU112" s="62">
        <f>IF($B112=$B111,$GU111,0)+$GT112</f>
        <v/>
      </c>
      <c r="GV112" s="62">
        <f>$GV111+$GT112</f>
        <v/>
      </c>
      <c r="GW112" s="62">
        <f>SUMIFS(tblSafety[Vehicle_Incidents],tblSafety[Date],$A112)</f>
        <v/>
      </c>
      <c r="GX112" s="62">
        <f>IF($B112=$B111,$GX111,0)+$GW112</f>
        <v/>
      </c>
      <c r="GY112" s="62">
        <f>$GY111+$GW112</f>
        <v/>
      </c>
      <c r="GZ112" s="62">
        <f>SUMIFS(tblSafety[Toolbox_Talks],tblSafety[Date],$A112)</f>
        <v/>
      </c>
      <c r="HA112" s="62">
        <f>IF($B112=$B111,$HA111,0)+$GZ112</f>
        <v/>
      </c>
      <c r="HB112" s="62">
        <f>$HB111+$GZ112</f>
        <v/>
      </c>
      <c r="HC112" s="62">
        <f>SUMIFS(tblSafety[Inspections],tblSafety[Date],$A112)</f>
        <v/>
      </c>
      <c r="HD112" s="62">
        <f>IF($B112=$B111,$HD111,0)+$HC112</f>
        <v/>
      </c>
      <c r="HE112" s="62">
        <f>$HE111+$HC112</f>
        <v/>
      </c>
      <c r="HF112" s="56">
        <f>IFERROR((SUMIFS(tblSafety[Recordables],tblSafety[Date],"&gt;="&amp;EDATE($E112,-12),tblSafety[Date],"&lt;="&amp;$A112)+SUMIFS(tblSafetyHistory[Recordables],tblSafetyHistory[Month],"&gt;="&amp;EDATE($E112,-12),tblSafetyHistory[Month],"&lt;"&amp;cfg_YearStart))/(SUMIFS(tblSafety[Hours_Total],tblSafety[Date],"&gt;="&amp;EDATE($E112,-12),tblSafety[Date],"&lt;="&amp;$A112)+SUMIFS(tblSafetyHistory[Hours_Total],tblSafetyHistory[Month],"&gt;="&amp;EDATE($E112,-12),tblSafetyHistory[Month],"&lt;"&amp;cfg_YearStart))*1000000,"")</f>
        <v/>
      </c>
      <c r="HG112" s="56">
        <f>IFERROR((SUMIFS(tblSafety[LTI],tblSafety[Date],"&gt;="&amp;EDATE($E112,-12),tblSafety[Date],"&lt;="&amp;$A112)+SUMIFS(tblSafetyHistory[LTI],tblSafetyHistory[Month],"&gt;="&amp;EDATE($E112,-12),tblSafetyHistory[Month],"&lt;"&amp;cfg_YearStart))/(SUMIFS(tblSafety[Hours_Total],tblSafety[Date],"&gt;="&amp;EDATE($E112,-12),tblSafety[Date],"&lt;="&amp;$A112)+SUMIFS(tblSafetyHistory[Hours_Total],tblSafetyHistory[Month],"&gt;="&amp;EDATE($E112,-12),tblSafetyHistory[Month],"&lt;"&amp;cfg_YearStart))*1000000,"")</f>
        <v/>
      </c>
      <c r="HH112" s="62">
        <f>IF(MAX(N(cfg_PriorLTIDate),_xlfn.MAXIFS(tblSafety[Date],tblSafety[LTI],"&gt;0",tblSafety[Date],"&lt;="&amp;$A112))=0,"",$A112-MAX(N(cfg_PriorLTIDate),_xlfn.MAXIFS(tblSafety[Date],tblSafety[LTI],"&gt;0",tblSafety[Date],"&lt;="&amp;$A112)))</f>
        <v/>
      </c>
      <c r="HI112" s="55">
        <f>SUMIFS(tblBudget[Ore_Mined_t],tblBudget[Month],$E112)</f>
        <v/>
      </c>
      <c r="HJ112" s="55">
        <f>$HI112*$C112/$D112</f>
        <v/>
      </c>
      <c r="HK112" s="55">
        <f>SUMIFS(tblBudget[Ore_Mined_t],tblBudget[Month],"&lt;"&amp;$E112)+$HJ112</f>
        <v/>
      </c>
      <c r="HL112" s="55">
        <f>SUMIFS(tblBudget[Ore_oz],tblBudget[Month],$E112)</f>
        <v/>
      </c>
      <c r="HM112" s="55">
        <f>$HL112*$C112/$D112</f>
        <v/>
      </c>
      <c r="HN112" s="55">
        <f>SUMIFS(tblBudget[Ore_oz],tblBudget[Month],"&lt;"&amp;$E112)+$HM112</f>
        <v/>
      </c>
      <c r="HO112" s="56">
        <f>IFERROR(IF(($HI112)&gt;0,($HL112*cfg_TroyOz)/($HI112),""),"")</f>
        <v/>
      </c>
      <c r="HP112" s="56">
        <f>IFERROR(IF(($HJ112)&gt;0,($HM112*cfg_TroyOz)/($HJ112),""),"")</f>
        <v/>
      </c>
      <c r="HQ112" s="56">
        <f>IFERROR(IF(($HK112)&gt;0,($HN112*cfg_TroyOz)/($HK112),""),"")</f>
        <v/>
      </c>
      <c r="HR112" s="55">
        <f>SUMIFS(tblBudget[Waste_t],tblBudget[Month],$E112)</f>
        <v/>
      </c>
      <c r="HS112" s="55">
        <f>$HR112*$C112/$D112</f>
        <v/>
      </c>
      <c r="HT112" s="55">
        <f>SUMIFS(tblBudget[Waste_t],tblBudget[Month],"&lt;"&amp;$E112)+$HS112</f>
        <v/>
      </c>
      <c r="HU112" s="55">
        <f>SUMIFS(tblBudget[TMM_t],tblBudget[Month],$E112)</f>
        <v/>
      </c>
      <c r="HV112" s="55">
        <f>$HU112*$C112/$D112</f>
        <v/>
      </c>
      <c r="HW112" s="55">
        <f>SUMIFS(tblBudget[TMM_t],tblBudget[Month],"&lt;"&amp;$E112)+$HV112</f>
        <v/>
      </c>
      <c r="HX112" s="56">
        <f>IFERROR(IF(($HI112)&gt;0,($HR112)/($HI112),""),"")</f>
        <v/>
      </c>
      <c r="HY112" s="56">
        <f>IFERROR(IF(($HJ112)&gt;0,($HS112)/($HJ112),""),"")</f>
        <v/>
      </c>
      <c r="HZ112" s="56">
        <f>IFERROR(IF(($HK112)&gt;0,($HT112)/($HK112),""),"")</f>
        <v/>
      </c>
      <c r="IA112" s="55">
        <f>SUMIFS(tblBudget[Drill_m],tblBudget[Month],$E112)</f>
        <v/>
      </c>
      <c r="IB112" s="55">
        <f>$IA112*$C112/$D112</f>
        <v/>
      </c>
      <c r="IC112" s="55">
        <f>SUMIFS(tblBudget[Drill_m],tblBudget[Month],"&lt;"&amp;$E112)+$IB112</f>
        <v/>
      </c>
      <c r="ID112" s="55">
        <f>SUMIFS(tblBudget[Diesel_L],tblBudget[Month],$E112)</f>
        <v/>
      </c>
      <c r="IE112" s="55">
        <f>$ID112*$C112/$D112</f>
        <v/>
      </c>
      <c r="IF112" s="55">
        <f>SUMIFS(tblBudget[Diesel_L],tblBudget[Month],"&lt;"&amp;$E112)+$IE112</f>
        <v/>
      </c>
      <c r="IG112" s="55">
        <f>SUMIFS(tblBudget[Milled_t],tblBudget[Month],$E112)</f>
        <v/>
      </c>
      <c r="IH112" s="55">
        <f>$IG112*$C112/$D112</f>
        <v/>
      </c>
      <c r="II112" s="55">
        <f>SUMIFS(tblBudget[Milled_t],tblBudget[Month],"&lt;"&amp;$E112)+$IH112</f>
        <v/>
      </c>
      <c r="IJ112" s="55">
        <f>SUMIFS(tblBudget[Feed_oz],tblBudget[Month],$E112)</f>
        <v/>
      </c>
      <c r="IK112" s="55">
        <f>$IJ112*$C112/$D112</f>
        <v/>
      </c>
      <c r="IL112" s="55">
        <f>SUMIFS(tblBudget[Feed_oz],tblBudget[Month],"&lt;"&amp;$E112)+$IK112</f>
        <v/>
      </c>
      <c r="IM112" s="55">
        <f>SUMIFS(tblBudget[Recovered_oz],tblBudget[Month],$E112)</f>
        <v/>
      </c>
      <c r="IN112" s="55">
        <f>$IM112*$C112/$D112</f>
        <v/>
      </c>
      <c r="IO112" s="55">
        <f>SUMIFS(tblBudget[Recovered_oz],tblBudget[Month],"&lt;"&amp;$E112)+$IN112</f>
        <v/>
      </c>
      <c r="IP112" s="56">
        <f>IFERROR(IF(($IG112)&gt;0,($IJ112*cfg_TroyOz)/($IG112),""),"")</f>
        <v/>
      </c>
      <c r="IQ112" s="56">
        <f>IFERROR(IF(($IH112)&gt;0,($IK112*cfg_TroyOz)/($IH112),""),"")</f>
        <v/>
      </c>
      <c r="IR112" s="56">
        <f>IFERROR(IF(($II112)&gt;0,($IL112*cfg_TroyOz)/($II112),""),"")</f>
        <v/>
      </c>
      <c r="IS112" s="67">
        <f>IFERROR(IF(($IJ112)&gt;0,($IM112)/($IJ112),""),"")</f>
        <v/>
      </c>
      <c r="IT112" s="67">
        <f>IFERROR(IF(($IK112)&gt;0,($IN112)/($IK112),""),"")</f>
        <v/>
      </c>
      <c r="IU112" s="67">
        <f>IFERROR(IF(($IL112)&gt;0,($IO112)/($IL112),""),"")</f>
        <v/>
      </c>
      <c r="IV112" s="55">
        <f>SUMIFS(tblBudget[Gold_Poured_oz],tblBudget[Month],$E112)</f>
        <v/>
      </c>
      <c r="IW112" s="55">
        <f>$IV112*$C112/$D112</f>
        <v/>
      </c>
      <c r="IX112" s="55">
        <f>SUMIFS(tblBudget[Gold_Poured_oz],tblBudget[Month],"&lt;"&amp;$E112)+$IW112</f>
        <v/>
      </c>
      <c r="IY112" s="57">
        <f>SUMIFS(tblBudget[Hours_Worked],tblBudget[Month],$E112)</f>
        <v/>
      </c>
      <c r="IZ112" s="57">
        <f>$IY112*$C112/$D112</f>
        <v/>
      </c>
      <c r="JA112" s="57">
        <f>SUMIFS(tblBudget[Hours_Worked],tblBudget[Month],"&lt;"&amp;$E112)+$IZ112</f>
        <v/>
      </c>
    </row>
    <row r="113">
      <c r="A113" s="54" t="n">
        <v>46134</v>
      </c>
      <c r="B113">
        <f>MONTH($A113)</f>
        <v/>
      </c>
      <c r="C113">
        <f>DAY($A113)</f>
        <v/>
      </c>
      <c r="D113">
        <f>DAY(EOMONTH($A113,0))</f>
        <v/>
      </c>
      <c r="E113" s="54">
        <f>DATE(YEAR($A113),MONTH($A113),1)</f>
        <v/>
      </c>
      <c r="F113" s="55">
        <f>SUMIFS(tblMovement[Tonnes_t],tblMovement[Date],$A113,tblMovement[Is_Ore],1,tblMovement[Source_Type],"Pit")</f>
        <v/>
      </c>
      <c r="G113" s="55">
        <f>IF($B113=$B112,$G112,0)+$F113</f>
        <v/>
      </c>
      <c r="H113" s="55">
        <f>$H112+$F113</f>
        <v/>
      </c>
      <c r="I113" s="55">
        <f>SUMIFS(tblMovement[Ore_oz],tblMovement[Date],$A113,tblMovement[Source_Type],"Pit")</f>
        <v/>
      </c>
      <c r="J113" s="55">
        <f>IF($B113=$B112,$J112,0)+$I113</f>
        <v/>
      </c>
      <c r="K113" s="55">
        <f>$K112+$I113</f>
        <v/>
      </c>
      <c r="L113" s="56">
        <f>IFERROR(IF(($F113)&gt;0,($I113*cfg_TroyOz)/($F113),""),"")</f>
        <v/>
      </c>
      <c r="M113" s="56">
        <f>IFERROR(IF(($G113)&gt;0,($J113*cfg_TroyOz)/($G113),""),"")</f>
        <v/>
      </c>
      <c r="N113" s="56">
        <f>IFERROR(IF(($H113)&gt;0,($K113*cfg_TroyOz)/($H113),""),"")</f>
        <v/>
      </c>
      <c r="O113" s="55">
        <f>SUMIFS(tblMovement[Tonnes_t],tblMovement[Date],$A113,tblMovement[Is_Ore],0,tblMovement[Source_Type],"Pit")</f>
        <v/>
      </c>
      <c r="P113" s="55">
        <f>IF($B113=$B112,$P112,0)+$O113</f>
        <v/>
      </c>
      <c r="Q113" s="55">
        <f>$Q112+$O113</f>
        <v/>
      </c>
      <c r="R113" s="55">
        <f>$F113+$O113</f>
        <v/>
      </c>
      <c r="S113" s="55">
        <f>IF($B113=$B112,$S112,0)+$R113</f>
        <v/>
      </c>
      <c r="T113" s="55">
        <f>$T112+$R113</f>
        <v/>
      </c>
      <c r="U113" s="56">
        <f>IFERROR(IF(($F113)&gt;0,($O113)/($F113),""),"")</f>
        <v/>
      </c>
      <c r="V113" s="56">
        <f>IFERROR(IF(($G113)&gt;0,($P113)/($G113),""),"")</f>
        <v/>
      </c>
      <c r="W113" s="56">
        <f>IFERROR(IF(($H113)&gt;0,($Q113)/($H113),""),"")</f>
        <v/>
      </c>
      <c r="X113" s="55">
        <f>SUMIFS(tblMovement[Tonnes_t],tblMovement[Date],$A113,tblMovement[Source_Type],"Stockpile")</f>
        <v/>
      </c>
      <c r="Y113" s="55">
        <f>IF($B113=$B112,$Y112,0)+$X113</f>
        <v/>
      </c>
      <c r="Z113" s="55">
        <f>$Z112+$X113</f>
        <v/>
      </c>
      <c r="AA113" s="55">
        <f>SUMIFS(tblMiningDaily[Drill_m],tblMiningDaily[Date],$A113)</f>
        <v/>
      </c>
      <c r="AB113" s="55">
        <f>IF($B113=$B112,$AB112,0)+$AA113</f>
        <v/>
      </c>
      <c r="AC113" s="55">
        <f>$AC112+$AA113</f>
        <v/>
      </c>
      <c r="AD113" s="55">
        <f>SUMIFS(tblMiningDaily[Blast_t],tblMiningDaily[Date],$A113)</f>
        <v/>
      </c>
      <c r="AE113" s="55">
        <f>IF($B113=$B112,$AE112,0)+$AD113</f>
        <v/>
      </c>
      <c r="AF113" s="55">
        <f>$AF112+$AD113</f>
        <v/>
      </c>
      <c r="AG113" s="55">
        <f>SUMIFS(tblMiningDaily[Explosives_kg],tblMiningDaily[Date],$A113)</f>
        <v/>
      </c>
      <c r="AH113" s="55">
        <f>IF($B113=$B112,$AH112,0)+$AG113</f>
        <v/>
      </c>
      <c r="AI113" s="55">
        <f>$AI112+$AG113</f>
        <v/>
      </c>
      <c r="AJ113" s="56">
        <f>IFERROR(IF(($AD113)&gt;0,($AG113)/($AD113),""),"")</f>
        <v/>
      </c>
      <c r="AK113" s="56">
        <f>IFERROR(IF(($AE113)&gt;0,($AH113)/($AE113),""),"")</f>
        <v/>
      </c>
      <c r="AL113" s="56">
        <f>IFERROR(IF(($AF113)&gt;0,($AI113)/($AF113),""),"")</f>
        <v/>
      </c>
      <c r="AM113" s="55">
        <f>SUMIFS(tblMiningDaily[Diesel_L],tblMiningDaily[Date],$A113)</f>
        <v/>
      </c>
      <c r="AN113" s="55">
        <f>IF($B113=$B112,$AN112,0)+$AM113</f>
        <v/>
      </c>
      <c r="AO113" s="55">
        <f>$AO112+$AM113</f>
        <v/>
      </c>
      <c r="AP113" s="55">
        <f>SUMIFS(tblMiningDaily[Dewatering_m3],tblMiningDaily[Date],$A113)</f>
        <v/>
      </c>
      <c r="AQ113" s="55">
        <f>IF($B113=$B112,$AQ112,0)+$AP113</f>
        <v/>
      </c>
      <c r="AR113" s="55">
        <f>$AR112+$AP113</f>
        <v/>
      </c>
      <c r="AS113" s="57">
        <f>SUMIFS(tblFleet[Calendar_h],tblFleet[Date],$A113,tblFleet[Equipment_Class],"Excavator")</f>
        <v/>
      </c>
      <c r="AT113" s="57">
        <f>IF($B113=$B112,$AT112,0)+$AS113</f>
        <v/>
      </c>
      <c r="AU113" s="57">
        <f>$AU112+$AS113</f>
        <v/>
      </c>
      <c r="AV113" s="57">
        <f>SUMIFS(tblFleet[Available_h],tblFleet[Date],$A113,tblFleet[Equipment_Class],"Excavator")</f>
        <v/>
      </c>
      <c r="AW113" s="57">
        <f>IF($B113=$B112,$AW112,0)+$AV113</f>
        <v/>
      </c>
      <c r="AX113" s="57">
        <f>$AX112+$AV113</f>
        <v/>
      </c>
      <c r="AY113" s="57">
        <f>SUMIFS(tblFleet[Operating_h],tblFleet[Date],$A113,tblFleet[Equipment_Class],"Excavator")</f>
        <v/>
      </c>
      <c r="AZ113" s="57">
        <f>IF($B113=$B112,$AZ112,0)+$AY113</f>
        <v/>
      </c>
      <c r="BA113" s="57">
        <f>$BA112+$AY113</f>
        <v/>
      </c>
      <c r="BB113" s="67">
        <f>IFERROR(IF(($AS113)&gt;0,($AV113)/($AS113),""),"")</f>
        <v/>
      </c>
      <c r="BC113" s="67">
        <f>IFERROR(IF(($AT113)&gt;0,($AW113)/($AT113),""),"")</f>
        <v/>
      </c>
      <c r="BD113" s="67">
        <f>IFERROR(IF(($AU113)&gt;0,($AX113)/($AU113),""),"")</f>
        <v/>
      </c>
      <c r="BE113" s="67">
        <f>IFERROR(IF(($AV113)&gt;0,($AY113)/($AV113),""),"")</f>
        <v/>
      </c>
      <c r="BF113" s="67">
        <f>IFERROR(IF(($AW113)&gt;0,($AZ113)/($AW113),""),"")</f>
        <v/>
      </c>
      <c r="BG113" s="67">
        <f>IFERROR(IF(($AX113)&gt;0,($BA113)/($AX113),""),"")</f>
        <v/>
      </c>
      <c r="BH113" s="57">
        <f>SUMIFS(tblFleet[Calendar_h],tblFleet[Date],$A113,tblFleet[Equipment_Class],"Haul Truck")</f>
        <v/>
      </c>
      <c r="BI113" s="57">
        <f>IF($B113=$B112,$BI112,0)+$BH113</f>
        <v/>
      </c>
      <c r="BJ113" s="57">
        <f>$BJ112+$BH113</f>
        <v/>
      </c>
      <c r="BK113" s="57">
        <f>SUMIFS(tblFleet[Available_h],tblFleet[Date],$A113,tblFleet[Equipment_Class],"Haul Truck")</f>
        <v/>
      </c>
      <c r="BL113" s="57">
        <f>IF($B113=$B112,$BL112,0)+$BK113</f>
        <v/>
      </c>
      <c r="BM113" s="57">
        <f>$BM112+$BK113</f>
        <v/>
      </c>
      <c r="BN113" s="57">
        <f>SUMIFS(tblFleet[Operating_h],tblFleet[Date],$A113,tblFleet[Equipment_Class],"Haul Truck")</f>
        <v/>
      </c>
      <c r="BO113" s="57">
        <f>IF($B113=$B112,$BO112,0)+$BN113</f>
        <v/>
      </c>
      <c r="BP113" s="57">
        <f>$BP112+$BN113</f>
        <v/>
      </c>
      <c r="BQ113" s="67">
        <f>IFERROR(IF(($BH113)&gt;0,($BK113)/($BH113),""),"")</f>
        <v/>
      </c>
      <c r="BR113" s="67">
        <f>IFERROR(IF(($BI113)&gt;0,($BL113)/($BI113),""),"")</f>
        <v/>
      </c>
      <c r="BS113" s="67">
        <f>IFERROR(IF(($BJ113)&gt;0,($BM113)/($BJ113),""),"")</f>
        <v/>
      </c>
      <c r="BT113" s="67">
        <f>IFERROR(IF(($BK113)&gt;0,($BN113)/($BK113),""),"")</f>
        <v/>
      </c>
      <c r="BU113" s="67">
        <f>IFERROR(IF(($BL113)&gt;0,($BO113)/($BL113),""),"")</f>
        <v/>
      </c>
      <c r="BV113" s="67">
        <f>IFERROR(IF(($BM113)&gt;0,($BP113)/($BM113),""),"")</f>
        <v/>
      </c>
      <c r="BW113" s="55">
        <f>SUMIFS(tblPlant[Crushed_t],tblPlant[Date],$A113)</f>
        <v/>
      </c>
      <c r="BX113" s="55">
        <f>IF($B113=$B112,$BX112,0)+$BW113</f>
        <v/>
      </c>
      <c r="BY113" s="55">
        <f>$BY112+$BW113</f>
        <v/>
      </c>
      <c r="BZ113" s="55">
        <f>SUMIFS(tblPlant[Milled_t],tblPlant[Date],$A113)</f>
        <v/>
      </c>
      <c r="CA113" s="55">
        <f>IF($B113=$B112,$CA112,0)+$BZ113</f>
        <v/>
      </c>
      <c r="CB113" s="55">
        <f>$CB112+$BZ113</f>
        <v/>
      </c>
      <c r="CC113" s="55">
        <f>SUMIFS(tblPlant[Feed_oz],tblPlant[Date],$A113)</f>
        <v/>
      </c>
      <c r="CD113" s="55">
        <f>IF($B113=$B112,$CD112,0)+$CC113</f>
        <v/>
      </c>
      <c r="CE113" s="55">
        <f>$CE112+$CC113</f>
        <v/>
      </c>
      <c r="CF113" s="55">
        <f>SUMIFS(tblPlant[Tails_oz],tblPlant[Date],$A113)</f>
        <v/>
      </c>
      <c r="CG113" s="55">
        <f>IF($B113=$B112,$CG112,0)+$CF113</f>
        <v/>
      </c>
      <c r="CH113" s="55">
        <f>$CH112+$CF113</f>
        <v/>
      </c>
      <c r="CI113" s="55">
        <f>SUMIFS(tblPlant[Recovered_oz],tblPlant[Date],$A113)</f>
        <v/>
      </c>
      <c r="CJ113" s="55">
        <f>IF($B113=$B112,$CJ112,0)+$CI113</f>
        <v/>
      </c>
      <c r="CK113" s="55">
        <f>$CK112+$CI113</f>
        <v/>
      </c>
      <c r="CL113" s="56">
        <f>IFERROR(IF(($BZ113)&gt;0,($CC113*cfg_TroyOz)/($BZ113),""),"")</f>
        <v/>
      </c>
      <c r="CM113" s="56">
        <f>IFERROR(IF(($CA113)&gt;0,($CD113*cfg_TroyOz)/($CA113),""),"")</f>
        <v/>
      </c>
      <c r="CN113" s="56">
        <f>IFERROR(IF(($CB113)&gt;0,($CE113*cfg_TroyOz)/($CB113),""),"")</f>
        <v/>
      </c>
      <c r="CO113" s="56">
        <f>IFERROR(IF(($BZ113)&gt;0,($CF113*cfg_TroyOz)/($BZ113),""),"")</f>
        <v/>
      </c>
      <c r="CP113" s="56">
        <f>IFERROR(IF(($CA113)&gt;0,($CG113*cfg_TroyOz)/($CA113),""),"")</f>
        <v/>
      </c>
      <c r="CQ113" s="56">
        <f>IFERROR(IF(($CB113)&gt;0,($CH113*cfg_TroyOz)/($CB113),""),"")</f>
        <v/>
      </c>
      <c r="CR113" s="67">
        <f>IFERROR(IF(($CC113)&gt;0,($CI113)/($CC113),""),"")</f>
        <v/>
      </c>
      <c r="CS113" s="67">
        <f>IFERROR(IF(($CD113)&gt;0,($CJ113)/($CD113),""),"")</f>
        <v/>
      </c>
      <c r="CT113" s="67">
        <f>IFERROR(IF(($CE113)&gt;0,($CK113)/($CE113),""),"")</f>
        <v/>
      </c>
      <c r="CU113" s="55">
        <f>SUMIFS(tblPlant[Gravity_Gold_oz],tblPlant[Date],$A113)</f>
        <v/>
      </c>
      <c r="CV113" s="55">
        <f>IF($B113=$B112,$CV112,0)+$CU113</f>
        <v/>
      </c>
      <c r="CW113" s="55">
        <f>$CW112+$CU113</f>
        <v/>
      </c>
      <c r="CX113" s="55">
        <f>SUMIFS(tblPlant[Gold_Poured_oz],tblPlant[Date],$A113)</f>
        <v/>
      </c>
      <c r="CY113" s="55">
        <f>IF($B113=$B112,$CY112,0)+$CX113</f>
        <v/>
      </c>
      <c r="CZ113" s="55">
        <f>$CZ112+$CX113</f>
        <v/>
      </c>
      <c r="DA113" s="57">
        <f>SUMIFS(tblPlant[Mill_Run_h],tblPlant[Date],$A113)</f>
        <v/>
      </c>
      <c r="DB113" s="57">
        <f>IF($B113=$B112,$DB112,0)+$DA113</f>
        <v/>
      </c>
      <c r="DC113" s="57">
        <f>$DC112+$DA113</f>
        <v/>
      </c>
      <c r="DD113" s="57">
        <f>SUMIFS(tblPlant[Mill_Planned_Maint_h],tblPlant[Date],$A113)</f>
        <v/>
      </c>
      <c r="DE113" s="57">
        <f>IF($B113=$B112,$DE112,0)+$DD113</f>
        <v/>
      </c>
      <c r="DF113" s="57">
        <f>$DF112+$DD113</f>
        <v/>
      </c>
      <c r="DG113" s="57">
        <f>SUMIFS(tblPlant[Mill_Unplanned_Down_h],tblPlant[Date],$A113)</f>
        <v/>
      </c>
      <c r="DH113" s="57">
        <f>IF($B113=$B112,$DH112,0)+$DG113</f>
        <v/>
      </c>
      <c r="DI113" s="57">
        <f>$DI112+$DG113</f>
        <v/>
      </c>
      <c r="DJ113" s="57">
        <f>COUNTIFS(tblPlant[Date],$A113,tblPlant[Mill_Run_h],"&lt;&gt;")*24</f>
        <v/>
      </c>
      <c r="DK113" s="57">
        <f>IF($B113=$B112,$DK112,0)+$DJ113</f>
        <v/>
      </c>
      <c r="DL113" s="57">
        <f>$DL112+$DJ113</f>
        <v/>
      </c>
      <c r="DM113" s="57">
        <f>SUMIFS(tblPlant[Crusher_Run_h],tblPlant[Date],$A113)</f>
        <v/>
      </c>
      <c r="DN113" s="57">
        <f>IF($B113=$B112,$DN112,0)+$DM113</f>
        <v/>
      </c>
      <c r="DO113" s="57">
        <f>$DO112+$DM113</f>
        <v/>
      </c>
      <c r="DP113" s="55">
        <f>IFERROR(IF(($DA113)&gt;0,($BZ113)/($DA113),""),"")</f>
        <v/>
      </c>
      <c r="DQ113" s="55">
        <f>IFERROR(IF(($DB113)&gt;0,($CA113)/($DB113),""),"")</f>
        <v/>
      </c>
      <c r="DR113" s="55">
        <f>IFERROR(IF(($DC113)&gt;0,($CB113)/($DC113),""),"")</f>
        <v/>
      </c>
      <c r="DS113" s="67">
        <f>IFERROR(IF(($DJ113)&gt;0,($DJ113-$DD113-$DG113)/($DJ113),""),"")</f>
        <v/>
      </c>
      <c r="DT113" s="67">
        <f>IFERROR(IF(($DK113)&gt;0,($DK113-$DE113-$DH113)/($DK113),""),"")</f>
        <v/>
      </c>
      <c r="DU113" s="67">
        <f>IFERROR(IF(($DL113)&gt;0,($DL113-$DF113-$DI113)/($DL113),""),"")</f>
        <v/>
      </c>
      <c r="DV113" s="67">
        <f>IFERROR(IF(($DJ113-$DD113-$DG113)&gt;0,($DA113)/($DJ113-$DD113-$DG113),""),"")</f>
        <v/>
      </c>
      <c r="DW113" s="67">
        <f>IFERROR(IF(($DK113-$DE113-$DH113)&gt;0,($DB113)/($DK113-$DE113-$DH113),""),"")</f>
        <v/>
      </c>
      <c r="DX113" s="67">
        <f>IFERROR(IF(($DL113-$DF113-$DI113)&gt;0,($DC113)/($DL113-$DF113-$DI113),""),"")</f>
        <v/>
      </c>
      <c r="DY113" s="55">
        <f>SUMIFS(tblPlant[Cyanide_kg],tblPlant[Date],$A113)</f>
        <v/>
      </c>
      <c r="DZ113" s="55">
        <f>IF($B113=$B112,$DZ112,0)+$DY113</f>
        <v/>
      </c>
      <c r="EA113" s="55">
        <f>$EA112+$DY113</f>
        <v/>
      </c>
      <c r="EB113" s="55">
        <f>SUMIFS(tblPlant[Lime_kg],tblPlant[Date],$A113)</f>
        <v/>
      </c>
      <c r="EC113" s="55">
        <f>IF($B113=$B112,$EC112,0)+$EB113</f>
        <v/>
      </c>
      <c r="ED113" s="55">
        <f>$ED112+$EB113</f>
        <v/>
      </c>
      <c r="EE113" s="55">
        <f>SUMIFS(tblPlant[Grinding_Media_kg],tblPlant[Date],$A113)</f>
        <v/>
      </c>
      <c r="EF113" s="55">
        <f>IF($B113=$B112,$EF112,0)+$EE113</f>
        <v/>
      </c>
      <c r="EG113" s="55">
        <f>$EG112+$EE113</f>
        <v/>
      </c>
      <c r="EH113" s="55">
        <f>SUMIFS(tblPlant[Power_kWh],tblPlant[Date],$A113)</f>
        <v/>
      </c>
      <c r="EI113" s="55">
        <f>IF($B113=$B112,$EI112,0)+$EH113</f>
        <v/>
      </c>
      <c r="EJ113" s="55">
        <f>$EJ112+$EH113</f>
        <v/>
      </c>
      <c r="EK113" s="55">
        <f>SUMIFS(tblPlant[Raw_Water_m3],tblPlant[Date],$A113)</f>
        <v/>
      </c>
      <c r="EL113" s="55">
        <f>IF($B113=$B112,$EL112,0)+$EK113</f>
        <v/>
      </c>
      <c r="EM113" s="55">
        <f>$EM112+$EK113</f>
        <v/>
      </c>
      <c r="EN113" s="56">
        <f>IFERROR(IF(($BZ113)&gt;0,($DY113)/($BZ113),""),"")</f>
        <v/>
      </c>
      <c r="EO113" s="56">
        <f>IFERROR(IF(($CA113)&gt;0,($DZ113)/($CA113),""),"")</f>
        <v/>
      </c>
      <c r="EP113" s="56">
        <f>IFERROR(IF(($CB113)&gt;0,($EA113)/($CB113),""),"")</f>
        <v/>
      </c>
      <c r="EQ113" s="56">
        <f>IFERROR(IF(($BZ113)&gt;0,($EB113)/($BZ113),""),"")</f>
        <v/>
      </c>
      <c r="ER113" s="56">
        <f>IFERROR(IF(($CA113)&gt;0,($EC113)/($CA113),""),"")</f>
        <v/>
      </c>
      <c r="ES113" s="56">
        <f>IFERROR(IF(($CB113)&gt;0,($ED113)/($CB113),""),"")</f>
        <v/>
      </c>
      <c r="ET113" s="56">
        <f>IFERROR(IF(($BZ113)&gt;0,($EE113)/($BZ113),""),"")</f>
        <v/>
      </c>
      <c r="EU113" s="56">
        <f>IFERROR(IF(($CA113)&gt;0,($EF113)/($CA113),""),"")</f>
        <v/>
      </c>
      <c r="EV113" s="56">
        <f>IFERROR(IF(($CB113)&gt;0,($EG113)/($CB113),""),"")</f>
        <v/>
      </c>
      <c r="EW113" s="76">
        <f>IFERROR(IF(($BZ113)&gt;0,($EH113)/($BZ113),""),"")</f>
        <v/>
      </c>
      <c r="EX113" s="76">
        <f>IFERROR(IF(($CA113)&gt;0,($EI113)/($CA113),""),"")</f>
        <v/>
      </c>
      <c r="EY113" s="76">
        <f>IFERROR(IF(($CB113)&gt;0,($EJ113)/($CB113),""),"")</f>
        <v/>
      </c>
      <c r="EZ113" s="56">
        <f>IFERROR(IF(($BZ113)&gt;0,($EK113)/($BZ113),""),"")</f>
        <v/>
      </c>
      <c r="FA113" s="56">
        <f>IFERROR(IF(($CA113)&gt;0,($EL113)/($CA113),""),"")</f>
        <v/>
      </c>
      <c r="FB113" s="56">
        <f>IFERROR(IF(($CB113)&gt;0,($EM113)/($CB113),""),"")</f>
        <v/>
      </c>
      <c r="FC113" s="55">
        <f>IF(SUMIFS(tblPlant[GIC_oz],tblPlant[Date],$A113)&gt;0,SUMIFS(tblPlant[GIC_oz],tblPlant[Date],$A113),"")</f>
        <v/>
      </c>
      <c r="FD113" s="55">
        <f>SUMIFS(tblGold[Gold_oz],tblGold[Date],$A113,tblGold[Type],"Shipment")</f>
        <v/>
      </c>
      <c r="FE113" s="55">
        <f>IF($B113=$B112,$FE112,0)+$FD113</f>
        <v/>
      </c>
      <c r="FF113" s="55">
        <f>$FF112+$FD113</f>
        <v/>
      </c>
      <c r="FG113" s="55">
        <f>SUMIFS(tblGold[Gold_oz],tblGold[Date],$A113,tblGold[Type],"Sale")</f>
        <v/>
      </c>
      <c r="FH113" s="55">
        <f>IF($B113=$B112,$FH112,0)+$FG113</f>
        <v/>
      </c>
      <c r="FI113" s="55">
        <f>$FI112+$FG113</f>
        <v/>
      </c>
      <c r="FJ113" s="55">
        <f>SUMIFS(tblGold[Dore_kg],tblGold[Date],$A113,tblGold[Type],"Shipment")</f>
        <v/>
      </c>
      <c r="FK113" s="55">
        <f>IF($B113=$B112,$FK112,0)+$FJ113</f>
        <v/>
      </c>
      <c r="FL113" s="55">
        <f>$FL112+$FJ113</f>
        <v/>
      </c>
      <c r="FM113" s="57">
        <f>SUMIFS(tblSafety[Hours_Total],tblSafety[Date],$A113)</f>
        <v/>
      </c>
      <c r="FN113" s="57">
        <f>IF($B113=$B112,$FN112,0)+$FM113</f>
        <v/>
      </c>
      <c r="FO113" s="57">
        <f>$FO112+$FM113</f>
        <v/>
      </c>
      <c r="FP113" s="62">
        <f>SUMIFS(tblSafety[Fatality],tblSafety[Date],$A113)</f>
        <v/>
      </c>
      <c r="FQ113" s="62">
        <f>IF($B113=$B112,$FQ112,0)+$FP113</f>
        <v/>
      </c>
      <c r="FR113" s="62">
        <f>$FR112+$FP113</f>
        <v/>
      </c>
      <c r="FS113" s="62">
        <f>SUMIFS(tblSafety[LTI],tblSafety[Date],$A113)</f>
        <v/>
      </c>
      <c r="FT113" s="62">
        <f>IF($B113=$B112,$FT112,0)+$FS113</f>
        <v/>
      </c>
      <c r="FU113" s="62">
        <f>$FU112+$FS113</f>
        <v/>
      </c>
      <c r="FV113" s="62">
        <f>SUMIFS(tblSafety[RWI],tblSafety[Date],$A113)</f>
        <v/>
      </c>
      <c r="FW113" s="62">
        <f>IF($B113=$B112,$FW112,0)+$FV113</f>
        <v/>
      </c>
      <c r="FX113" s="62">
        <f>$FX112+$FV113</f>
        <v/>
      </c>
      <c r="FY113" s="62">
        <f>SUMIFS(tblSafety[MTI],tblSafety[Date],$A113)</f>
        <v/>
      </c>
      <c r="FZ113" s="62">
        <f>IF($B113=$B112,$FZ112,0)+$FY113</f>
        <v/>
      </c>
      <c r="GA113" s="62">
        <f>$GA112+$FY113</f>
        <v/>
      </c>
      <c r="GB113" s="62">
        <f>SUMIFS(tblSafety[FAI],tblSafety[Date],$A113)</f>
        <v/>
      </c>
      <c r="GC113" s="62">
        <f>IF($B113=$B112,$GC112,0)+$GB113</f>
        <v/>
      </c>
      <c r="GD113" s="62">
        <f>$GD112+$GB113</f>
        <v/>
      </c>
      <c r="GE113" s="62">
        <f>SUMIFS(tblSafety[Recordables],tblSafety[Date],$A113)</f>
        <v/>
      </c>
      <c r="GF113" s="62">
        <f>IF($B113=$B112,$GF112,0)+$GE113</f>
        <v/>
      </c>
      <c r="GG113" s="62">
        <f>$GG112+$GE113</f>
        <v/>
      </c>
      <c r="GH113" s="62">
        <f>SUMIFS(tblSafety[Near_Miss],tblSafety[Date],$A113)</f>
        <v/>
      </c>
      <c r="GI113" s="62">
        <f>IF($B113=$B112,$GI112,0)+$GH113</f>
        <v/>
      </c>
      <c r="GJ113" s="62">
        <f>$GJ112+$GH113</f>
        <v/>
      </c>
      <c r="GK113" s="62">
        <f>SUMIFS(tblSafety[Hazard_Reports],tblSafety[Date],$A113)</f>
        <v/>
      </c>
      <c r="GL113" s="62">
        <f>IF($B113=$B112,$GL112,0)+$GK113</f>
        <v/>
      </c>
      <c r="GM113" s="62">
        <f>$GM112+$GK113</f>
        <v/>
      </c>
      <c r="GN113" s="62">
        <f>SUMIFS(tblSafety[HPI],tblSafety[Date],$A113)</f>
        <v/>
      </c>
      <c r="GO113" s="62">
        <f>IF($B113=$B112,$GO112,0)+$GN113</f>
        <v/>
      </c>
      <c r="GP113" s="62">
        <f>$GP112+$GN113</f>
        <v/>
      </c>
      <c r="GQ113" s="62">
        <f>SUMIFS(tblSafety[Env_Incidents],tblSafety[Date],$A113)</f>
        <v/>
      </c>
      <c r="GR113" s="62">
        <f>IF($B113=$B112,$GR112,0)+$GQ113</f>
        <v/>
      </c>
      <c r="GS113" s="62">
        <f>$GS112+$GQ113</f>
        <v/>
      </c>
      <c r="GT113" s="62">
        <f>SUMIFS(tblSafety[Community_Incidents],tblSafety[Date],$A113)</f>
        <v/>
      </c>
      <c r="GU113" s="62">
        <f>IF($B113=$B112,$GU112,0)+$GT113</f>
        <v/>
      </c>
      <c r="GV113" s="62">
        <f>$GV112+$GT113</f>
        <v/>
      </c>
      <c r="GW113" s="62">
        <f>SUMIFS(tblSafety[Vehicle_Incidents],tblSafety[Date],$A113)</f>
        <v/>
      </c>
      <c r="GX113" s="62">
        <f>IF($B113=$B112,$GX112,0)+$GW113</f>
        <v/>
      </c>
      <c r="GY113" s="62">
        <f>$GY112+$GW113</f>
        <v/>
      </c>
      <c r="GZ113" s="62">
        <f>SUMIFS(tblSafety[Toolbox_Talks],tblSafety[Date],$A113)</f>
        <v/>
      </c>
      <c r="HA113" s="62">
        <f>IF($B113=$B112,$HA112,0)+$GZ113</f>
        <v/>
      </c>
      <c r="HB113" s="62">
        <f>$HB112+$GZ113</f>
        <v/>
      </c>
      <c r="HC113" s="62">
        <f>SUMIFS(tblSafety[Inspections],tblSafety[Date],$A113)</f>
        <v/>
      </c>
      <c r="HD113" s="62">
        <f>IF($B113=$B112,$HD112,0)+$HC113</f>
        <v/>
      </c>
      <c r="HE113" s="62">
        <f>$HE112+$HC113</f>
        <v/>
      </c>
      <c r="HF113" s="56">
        <f>IFERROR((SUMIFS(tblSafety[Recordables],tblSafety[Date],"&gt;="&amp;EDATE($E113,-12),tblSafety[Date],"&lt;="&amp;$A113)+SUMIFS(tblSafetyHistory[Recordables],tblSafetyHistory[Month],"&gt;="&amp;EDATE($E113,-12),tblSafetyHistory[Month],"&lt;"&amp;cfg_YearStart))/(SUMIFS(tblSafety[Hours_Total],tblSafety[Date],"&gt;="&amp;EDATE($E113,-12),tblSafety[Date],"&lt;="&amp;$A113)+SUMIFS(tblSafetyHistory[Hours_Total],tblSafetyHistory[Month],"&gt;="&amp;EDATE($E113,-12),tblSafetyHistory[Month],"&lt;"&amp;cfg_YearStart))*1000000,"")</f>
        <v/>
      </c>
      <c r="HG113" s="56">
        <f>IFERROR((SUMIFS(tblSafety[LTI],tblSafety[Date],"&gt;="&amp;EDATE($E113,-12),tblSafety[Date],"&lt;="&amp;$A113)+SUMIFS(tblSafetyHistory[LTI],tblSafetyHistory[Month],"&gt;="&amp;EDATE($E113,-12),tblSafetyHistory[Month],"&lt;"&amp;cfg_YearStart))/(SUMIFS(tblSafety[Hours_Total],tblSafety[Date],"&gt;="&amp;EDATE($E113,-12),tblSafety[Date],"&lt;="&amp;$A113)+SUMIFS(tblSafetyHistory[Hours_Total],tblSafetyHistory[Month],"&gt;="&amp;EDATE($E113,-12),tblSafetyHistory[Month],"&lt;"&amp;cfg_YearStart))*1000000,"")</f>
        <v/>
      </c>
      <c r="HH113" s="62">
        <f>IF(MAX(N(cfg_PriorLTIDate),_xlfn.MAXIFS(tblSafety[Date],tblSafety[LTI],"&gt;0",tblSafety[Date],"&lt;="&amp;$A113))=0,"",$A113-MAX(N(cfg_PriorLTIDate),_xlfn.MAXIFS(tblSafety[Date],tblSafety[LTI],"&gt;0",tblSafety[Date],"&lt;="&amp;$A113)))</f>
        <v/>
      </c>
      <c r="HI113" s="55">
        <f>SUMIFS(tblBudget[Ore_Mined_t],tblBudget[Month],$E113)</f>
        <v/>
      </c>
      <c r="HJ113" s="55">
        <f>$HI113*$C113/$D113</f>
        <v/>
      </c>
      <c r="HK113" s="55">
        <f>SUMIFS(tblBudget[Ore_Mined_t],tblBudget[Month],"&lt;"&amp;$E113)+$HJ113</f>
        <v/>
      </c>
      <c r="HL113" s="55">
        <f>SUMIFS(tblBudget[Ore_oz],tblBudget[Month],$E113)</f>
        <v/>
      </c>
      <c r="HM113" s="55">
        <f>$HL113*$C113/$D113</f>
        <v/>
      </c>
      <c r="HN113" s="55">
        <f>SUMIFS(tblBudget[Ore_oz],tblBudget[Month],"&lt;"&amp;$E113)+$HM113</f>
        <v/>
      </c>
      <c r="HO113" s="56">
        <f>IFERROR(IF(($HI113)&gt;0,($HL113*cfg_TroyOz)/($HI113),""),"")</f>
        <v/>
      </c>
      <c r="HP113" s="56">
        <f>IFERROR(IF(($HJ113)&gt;0,($HM113*cfg_TroyOz)/($HJ113),""),"")</f>
        <v/>
      </c>
      <c r="HQ113" s="56">
        <f>IFERROR(IF(($HK113)&gt;0,($HN113*cfg_TroyOz)/($HK113),""),"")</f>
        <v/>
      </c>
      <c r="HR113" s="55">
        <f>SUMIFS(tblBudget[Waste_t],tblBudget[Month],$E113)</f>
        <v/>
      </c>
      <c r="HS113" s="55">
        <f>$HR113*$C113/$D113</f>
        <v/>
      </c>
      <c r="HT113" s="55">
        <f>SUMIFS(tblBudget[Waste_t],tblBudget[Month],"&lt;"&amp;$E113)+$HS113</f>
        <v/>
      </c>
      <c r="HU113" s="55">
        <f>SUMIFS(tblBudget[TMM_t],tblBudget[Month],$E113)</f>
        <v/>
      </c>
      <c r="HV113" s="55">
        <f>$HU113*$C113/$D113</f>
        <v/>
      </c>
      <c r="HW113" s="55">
        <f>SUMIFS(tblBudget[TMM_t],tblBudget[Month],"&lt;"&amp;$E113)+$HV113</f>
        <v/>
      </c>
      <c r="HX113" s="56">
        <f>IFERROR(IF(($HI113)&gt;0,($HR113)/($HI113),""),"")</f>
        <v/>
      </c>
      <c r="HY113" s="56">
        <f>IFERROR(IF(($HJ113)&gt;0,($HS113)/($HJ113),""),"")</f>
        <v/>
      </c>
      <c r="HZ113" s="56">
        <f>IFERROR(IF(($HK113)&gt;0,($HT113)/($HK113),""),"")</f>
        <v/>
      </c>
      <c r="IA113" s="55">
        <f>SUMIFS(tblBudget[Drill_m],tblBudget[Month],$E113)</f>
        <v/>
      </c>
      <c r="IB113" s="55">
        <f>$IA113*$C113/$D113</f>
        <v/>
      </c>
      <c r="IC113" s="55">
        <f>SUMIFS(tblBudget[Drill_m],tblBudget[Month],"&lt;"&amp;$E113)+$IB113</f>
        <v/>
      </c>
      <c r="ID113" s="55">
        <f>SUMIFS(tblBudget[Diesel_L],tblBudget[Month],$E113)</f>
        <v/>
      </c>
      <c r="IE113" s="55">
        <f>$ID113*$C113/$D113</f>
        <v/>
      </c>
      <c r="IF113" s="55">
        <f>SUMIFS(tblBudget[Diesel_L],tblBudget[Month],"&lt;"&amp;$E113)+$IE113</f>
        <v/>
      </c>
      <c r="IG113" s="55">
        <f>SUMIFS(tblBudget[Milled_t],tblBudget[Month],$E113)</f>
        <v/>
      </c>
      <c r="IH113" s="55">
        <f>$IG113*$C113/$D113</f>
        <v/>
      </c>
      <c r="II113" s="55">
        <f>SUMIFS(tblBudget[Milled_t],tblBudget[Month],"&lt;"&amp;$E113)+$IH113</f>
        <v/>
      </c>
      <c r="IJ113" s="55">
        <f>SUMIFS(tblBudget[Feed_oz],tblBudget[Month],$E113)</f>
        <v/>
      </c>
      <c r="IK113" s="55">
        <f>$IJ113*$C113/$D113</f>
        <v/>
      </c>
      <c r="IL113" s="55">
        <f>SUMIFS(tblBudget[Feed_oz],tblBudget[Month],"&lt;"&amp;$E113)+$IK113</f>
        <v/>
      </c>
      <c r="IM113" s="55">
        <f>SUMIFS(tblBudget[Recovered_oz],tblBudget[Month],$E113)</f>
        <v/>
      </c>
      <c r="IN113" s="55">
        <f>$IM113*$C113/$D113</f>
        <v/>
      </c>
      <c r="IO113" s="55">
        <f>SUMIFS(tblBudget[Recovered_oz],tblBudget[Month],"&lt;"&amp;$E113)+$IN113</f>
        <v/>
      </c>
      <c r="IP113" s="56">
        <f>IFERROR(IF(($IG113)&gt;0,($IJ113*cfg_TroyOz)/($IG113),""),"")</f>
        <v/>
      </c>
      <c r="IQ113" s="56">
        <f>IFERROR(IF(($IH113)&gt;0,($IK113*cfg_TroyOz)/($IH113),""),"")</f>
        <v/>
      </c>
      <c r="IR113" s="56">
        <f>IFERROR(IF(($II113)&gt;0,($IL113*cfg_TroyOz)/($II113),""),"")</f>
        <v/>
      </c>
      <c r="IS113" s="67">
        <f>IFERROR(IF(($IJ113)&gt;0,($IM113)/($IJ113),""),"")</f>
        <v/>
      </c>
      <c r="IT113" s="67">
        <f>IFERROR(IF(($IK113)&gt;0,($IN113)/($IK113),""),"")</f>
        <v/>
      </c>
      <c r="IU113" s="67">
        <f>IFERROR(IF(($IL113)&gt;0,($IO113)/($IL113),""),"")</f>
        <v/>
      </c>
      <c r="IV113" s="55">
        <f>SUMIFS(tblBudget[Gold_Poured_oz],tblBudget[Month],$E113)</f>
        <v/>
      </c>
      <c r="IW113" s="55">
        <f>$IV113*$C113/$D113</f>
        <v/>
      </c>
      <c r="IX113" s="55">
        <f>SUMIFS(tblBudget[Gold_Poured_oz],tblBudget[Month],"&lt;"&amp;$E113)+$IW113</f>
        <v/>
      </c>
      <c r="IY113" s="57">
        <f>SUMIFS(tblBudget[Hours_Worked],tblBudget[Month],$E113)</f>
        <v/>
      </c>
      <c r="IZ113" s="57">
        <f>$IY113*$C113/$D113</f>
        <v/>
      </c>
      <c r="JA113" s="57">
        <f>SUMIFS(tblBudget[Hours_Worked],tblBudget[Month],"&lt;"&amp;$E113)+$IZ113</f>
        <v/>
      </c>
    </row>
    <row r="114">
      <c r="A114" s="54" t="n">
        <v>46135</v>
      </c>
      <c r="B114">
        <f>MONTH($A114)</f>
        <v/>
      </c>
      <c r="C114">
        <f>DAY($A114)</f>
        <v/>
      </c>
      <c r="D114">
        <f>DAY(EOMONTH($A114,0))</f>
        <v/>
      </c>
      <c r="E114" s="54">
        <f>DATE(YEAR($A114),MONTH($A114),1)</f>
        <v/>
      </c>
      <c r="F114" s="55">
        <f>SUMIFS(tblMovement[Tonnes_t],tblMovement[Date],$A114,tblMovement[Is_Ore],1,tblMovement[Source_Type],"Pit")</f>
        <v/>
      </c>
      <c r="G114" s="55">
        <f>IF($B114=$B113,$G113,0)+$F114</f>
        <v/>
      </c>
      <c r="H114" s="55">
        <f>$H113+$F114</f>
        <v/>
      </c>
      <c r="I114" s="55">
        <f>SUMIFS(tblMovement[Ore_oz],tblMovement[Date],$A114,tblMovement[Source_Type],"Pit")</f>
        <v/>
      </c>
      <c r="J114" s="55">
        <f>IF($B114=$B113,$J113,0)+$I114</f>
        <v/>
      </c>
      <c r="K114" s="55">
        <f>$K113+$I114</f>
        <v/>
      </c>
      <c r="L114" s="56">
        <f>IFERROR(IF(($F114)&gt;0,($I114*cfg_TroyOz)/($F114),""),"")</f>
        <v/>
      </c>
      <c r="M114" s="56">
        <f>IFERROR(IF(($G114)&gt;0,($J114*cfg_TroyOz)/($G114),""),"")</f>
        <v/>
      </c>
      <c r="N114" s="56">
        <f>IFERROR(IF(($H114)&gt;0,($K114*cfg_TroyOz)/($H114),""),"")</f>
        <v/>
      </c>
      <c r="O114" s="55">
        <f>SUMIFS(tblMovement[Tonnes_t],tblMovement[Date],$A114,tblMovement[Is_Ore],0,tblMovement[Source_Type],"Pit")</f>
        <v/>
      </c>
      <c r="P114" s="55">
        <f>IF($B114=$B113,$P113,0)+$O114</f>
        <v/>
      </c>
      <c r="Q114" s="55">
        <f>$Q113+$O114</f>
        <v/>
      </c>
      <c r="R114" s="55">
        <f>$F114+$O114</f>
        <v/>
      </c>
      <c r="S114" s="55">
        <f>IF($B114=$B113,$S113,0)+$R114</f>
        <v/>
      </c>
      <c r="T114" s="55">
        <f>$T113+$R114</f>
        <v/>
      </c>
      <c r="U114" s="56">
        <f>IFERROR(IF(($F114)&gt;0,($O114)/($F114),""),"")</f>
        <v/>
      </c>
      <c r="V114" s="56">
        <f>IFERROR(IF(($G114)&gt;0,($P114)/($G114),""),"")</f>
        <v/>
      </c>
      <c r="W114" s="56">
        <f>IFERROR(IF(($H114)&gt;0,($Q114)/($H114),""),"")</f>
        <v/>
      </c>
      <c r="X114" s="55">
        <f>SUMIFS(tblMovement[Tonnes_t],tblMovement[Date],$A114,tblMovement[Source_Type],"Stockpile")</f>
        <v/>
      </c>
      <c r="Y114" s="55">
        <f>IF($B114=$B113,$Y113,0)+$X114</f>
        <v/>
      </c>
      <c r="Z114" s="55">
        <f>$Z113+$X114</f>
        <v/>
      </c>
      <c r="AA114" s="55">
        <f>SUMIFS(tblMiningDaily[Drill_m],tblMiningDaily[Date],$A114)</f>
        <v/>
      </c>
      <c r="AB114" s="55">
        <f>IF($B114=$B113,$AB113,0)+$AA114</f>
        <v/>
      </c>
      <c r="AC114" s="55">
        <f>$AC113+$AA114</f>
        <v/>
      </c>
      <c r="AD114" s="55">
        <f>SUMIFS(tblMiningDaily[Blast_t],tblMiningDaily[Date],$A114)</f>
        <v/>
      </c>
      <c r="AE114" s="55">
        <f>IF($B114=$B113,$AE113,0)+$AD114</f>
        <v/>
      </c>
      <c r="AF114" s="55">
        <f>$AF113+$AD114</f>
        <v/>
      </c>
      <c r="AG114" s="55">
        <f>SUMIFS(tblMiningDaily[Explosives_kg],tblMiningDaily[Date],$A114)</f>
        <v/>
      </c>
      <c r="AH114" s="55">
        <f>IF($B114=$B113,$AH113,0)+$AG114</f>
        <v/>
      </c>
      <c r="AI114" s="55">
        <f>$AI113+$AG114</f>
        <v/>
      </c>
      <c r="AJ114" s="56">
        <f>IFERROR(IF(($AD114)&gt;0,($AG114)/($AD114),""),"")</f>
        <v/>
      </c>
      <c r="AK114" s="56">
        <f>IFERROR(IF(($AE114)&gt;0,($AH114)/($AE114),""),"")</f>
        <v/>
      </c>
      <c r="AL114" s="56">
        <f>IFERROR(IF(($AF114)&gt;0,($AI114)/($AF114),""),"")</f>
        <v/>
      </c>
      <c r="AM114" s="55">
        <f>SUMIFS(tblMiningDaily[Diesel_L],tblMiningDaily[Date],$A114)</f>
        <v/>
      </c>
      <c r="AN114" s="55">
        <f>IF($B114=$B113,$AN113,0)+$AM114</f>
        <v/>
      </c>
      <c r="AO114" s="55">
        <f>$AO113+$AM114</f>
        <v/>
      </c>
      <c r="AP114" s="55">
        <f>SUMIFS(tblMiningDaily[Dewatering_m3],tblMiningDaily[Date],$A114)</f>
        <v/>
      </c>
      <c r="AQ114" s="55">
        <f>IF($B114=$B113,$AQ113,0)+$AP114</f>
        <v/>
      </c>
      <c r="AR114" s="55">
        <f>$AR113+$AP114</f>
        <v/>
      </c>
      <c r="AS114" s="57">
        <f>SUMIFS(tblFleet[Calendar_h],tblFleet[Date],$A114,tblFleet[Equipment_Class],"Excavator")</f>
        <v/>
      </c>
      <c r="AT114" s="57">
        <f>IF($B114=$B113,$AT113,0)+$AS114</f>
        <v/>
      </c>
      <c r="AU114" s="57">
        <f>$AU113+$AS114</f>
        <v/>
      </c>
      <c r="AV114" s="57">
        <f>SUMIFS(tblFleet[Available_h],tblFleet[Date],$A114,tblFleet[Equipment_Class],"Excavator")</f>
        <v/>
      </c>
      <c r="AW114" s="57">
        <f>IF($B114=$B113,$AW113,0)+$AV114</f>
        <v/>
      </c>
      <c r="AX114" s="57">
        <f>$AX113+$AV114</f>
        <v/>
      </c>
      <c r="AY114" s="57">
        <f>SUMIFS(tblFleet[Operating_h],tblFleet[Date],$A114,tblFleet[Equipment_Class],"Excavator")</f>
        <v/>
      </c>
      <c r="AZ114" s="57">
        <f>IF($B114=$B113,$AZ113,0)+$AY114</f>
        <v/>
      </c>
      <c r="BA114" s="57">
        <f>$BA113+$AY114</f>
        <v/>
      </c>
      <c r="BB114" s="67">
        <f>IFERROR(IF(($AS114)&gt;0,($AV114)/($AS114),""),"")</f>
        <v/>
      </c>
      <c r="BC114" s="67">
        <f>IFERROR(IF(($AT114)&gt;0,($AW114)/($AT114),""),"")</f>
        <v/>
      </c>
      <c r="BD114" s="67">
        <f>IFERROR(IF(($AU114)&gt;0,($AX114)/($AU114),""),"")</f>
        <v/>
      </c>
      <c r="BE114" s="67">
        <f>IFERROR(IF(($AV114)&gt;0,($AY114)/($AV114),""),"")</f>
        <v/>
      </c>
      <c r="BF114" s="67">
        <f>IFERROR(IF(($AW114)&gt;0,($AZ114)/($AW114),""),"")</f>
        <v/>
      </c>
      <c r="BG114" s="67">
        <f>IFERROR(IF(($AX114)&gt;0,($BA114)/($AX114),""),"")</f>
        <v/>
      </c>
      <c r="BH114" s="57">
        <f>SUMIFS(tblFleet[Calendar_h],tblFleet[Date],$A114,tblFleet[Equipment_Class],"Haul Truck")</f>
        <v/>
      </c>
      <c r="BI114" s="57">
        <f>IF($B114=$B113,$BI113,0)+$BH114</f>
        <v/>
      </c>
      <c r="BJ114" s="57">
        <f>$BJ113+$BH114</f>
        <v/>
      </c>
      <c r="BK114" s="57">
        <f>SUMIFS(tblFleet[Available_h],tblFleet[Date],$A114,tblFleet[Equipment_Class],"Haul Truck")</f>
        <v/>
      </c>
      <c r="BL114" s="57">
        <f>IF($B114=$B113,$BL113,0)+$BK114</f>
        <v/>
      </c>
      <c r="BM114" s="57">
        <f>$BM113+$BK114</f>
        <v/>
      </c>
      <c r="BN114" s="57">
        <f>SUMIFS(tblFleet[Operating_h],tblFleet[Date],$A114,tblFleet[Equipment_Class],"Haul Truck")</f>
        <v/>
      </c>
      <c r="BO114" s="57">
        <f>IF($B114=$B113,$BO113,0)+$BN114</f>
        <v/>
      </c>
      <c r="BP114" s="57">
        <f>$BP113+$BN114</f>
        <v/>
      </c>
      <c r="BQ114" s="67">
        <f>IFERROR(IF(($BH114)&gt;0,($BK114)/($BH114),""),"")</f>
        <v/>
      </c>
      <c r="BR114" s="67">
        <f>IFERROR(IF(($BI114)&gt;0,($BL114)/($BI114),""),"")</f>
        <v/>
      </c>
      <c r="BS114" s="67">
        <f>IFERROR(IF(($BJ114)&gt;0,($BM114)/($BJ114),""),"")</f>
        <v/>
      </c>
      <c r="BT114" s="67">
        <f>IFERROR(IF(($BK114)&gt;0,($BN114)/($BK114),""),"")</f>
        <v/>
      </c>
      <c r="BU114" s="67">
        <f>IFERROR(IF(($BL114)&gt;0,($BO114)/($BL114),""),"")</f>
        <v/>
      </c>
      <c r="BV114" s="67">
        <f>IFERROR(IF(($BM114)&gt;0,($BP114)/($BM114),""),"")</f>
        <v/>
      </c>
      <c r="BW114" s="55">
        <f>SUMIFS(tblPlant[Crushed_t],tblPlant[Date],$A114)</f>
        <v/>
      </c>
      <c r="BX114" s="55">
        <f>IF($B114=$B113,$BX113,0)+$BW114</f>
        <v/>
      </c>
      <c r="BY114" s="55">
        <f>$BY113+$BW114</f>
        <v/>
      </c>
      <c r="BZ114" s="55">
        <f>SUMIFS(tblPlant[Milled_t],tblPlant[Date],$A114)</f>
        <v/>
      </c>
      <c r="CA114" s="55">
        <f>IF($B114=$B113,$CA113,0)+$BZ114</f>
        <v/>
      </c>
      <c r="CB114" s="55">
        <f>$CB113+$BZ114</f>
        <v/>
      </c>
      <c r="CC114" s="55">
        <f>SUMIFS(tblPlant[Feed_oz],tblPlant[Date],$A114)</f>
        <v/>
      </c>
      <c r="CD114" s="55">
        <f>IF($B114=$B113,$CD113,0)+$CC114</f>
        <v/>
      </c>
      <c r="CE114" s="55">
        <f>$CE113+$CC114</f>
        <v/>
      </c>
      <c r="CF114" s="55">
        <f>SUMIFS(tblPlant[Tails_oz],tblPlant[Date],$A114)</f>
        <v/>
      </c>
      <c r="CG114" s="55">
        <f>IF($B114=$B113,$CG113,0)+$CF114</f>
        <v/>
      </c>
      <c r="CH114" s="55">
        <f>$CH113+$CF114</f>
        <v/>
      </c>
      <c r="CI114" s="55">
        <f>SUMIFS(tblPlant[Recovered_oz],tblPlant[Date],$A114)</f>
        <v/>
      </c>
      <c r="CJ114" s="55">
        <f>IF($B114=$B113,$CJ113,0)+$CI114</f>
        <v/>
      </c>
      <c r="CK114" s="55">
        <f>$CK113+$CI114</f>
        <v/>
      </c>
      <c r="CL114" s="56">
        <f>IFERROR(IF(($BZ114)&gt;0,($CC114*cfg_TroyOz)/($BZ114),""),"")</f>
        <v/>
      </c>
      <c r="CM114" s="56">
        <f>IFERROR(IF(($CA114)&gt;0,($CD114*cfg_TroyOz)/($CA114),""),"")</f>
        <v/>
      </c>
      <c r="CN114" s="56">
        <f>IFERROR(IF(($CB114)&gt;0,($CE114*cfg_TroyOz)/($CB114),""),"")</f>
        <v/>
      </c>
      <c r="CO114" s="56">
        <f>IFERROR(IF(($BZ114)&gt;0,($CF114*cfg_TroyOz)/($BZ114),""),"")</f>
        <v/>
      </c>
      <c r="CP114" s="56">
        <f>IFERROR(IF(($CA114)&gt;0,($CG114*cfg_TroyOz)/($CA114),""),"")</f>
        <v/>
      </c>
      <c r="CQ114" s="56">
        <f>IFERROR(IF(($CB114)&gt;0,($CH114*cfg_TroyOz)/($CB114),""),"")</f>
        <v/>
      </c>
      <c r="CR114" s="67">
        <f>IFERROR(IF(($CC114)&gt;0,($CI114)/($CC114),""),"")</f>
        <v/>
      </c>
      <c r="CS114" s="67">
        <f>IFERROR(IF(($CD114)&gt;0,($CJ114)/($CD114),""),"")</f>
        <v/>
      </c>
      <c r="CT114" s="67">
        <f>IFERROR(IF(($CE114)&gt;0,($CK114)/($CE114),""),"")</f>
        <v/>
      </c>
      <c r="CU114" s="55">
        <f>SUMIFS(tblPlant[Gravity_Gold_oz],tblPlant[Date],$A114)</f>
        <v/>
      </c>
      <c r="CV114" s="55">
        <f>IF($B114=$B113,$CV113,0)+$CU114</f>
        <v/>
      </c>
      <c r="CW114" s="55">
        <f>$CW113+$CU114</f>
        <v/>
      </c>
      <c r="CX114" s="55">
        <f>SUMIFS(tblPlant[Gold_Poured_oz],tblPlant[Date],$A114)</f>
        <v/>
      </c>
      <c r="CY114" s="55">
        <f>IF($B114=$B113,$CY113,0)+$CX114</f>
        <v/>
      </c>
      <c r="CZ114" s="55">
        <f>$CZ113+$CX114</f>
        <v/>
      </c>
      <c r="DA114" s="57">
        <f>SUMIFS(tblPlant[Mill_Run_h],tblPlant[Date],$A114)</f>
        <v/>
      </c>
      <c r="DB114" s="57">
        <f>IF($B114=$B113,$DB113,0)+$DA114</f>
        <v/>
      </c>
      <c r="DC114" s="57">
        <f>$DC113+$DA114</f>
        <v/>
      </c>
      <c r="DD114" s="57">
        <f>SUMIFS(tblPlant[Mill_Planned_Maint_h],tblPlant[Date],$A114)</f>
        <v/>
      </c>
      <c r="DE114" s="57">
        <f>IF($B114=$B113,$DE113,0)+$DD114</f>
        <v/>
      </c>
      <c r="DF114" s="57">
        <f>$DF113+$DD114</f>
        <v/>
      </c>
      <c r="DG114" s="57">
        <f>SUMIFS(tblPlant[Mill_Unplanned_Down_h],tblPlant[Date],$A114)</f>
        <v/>
      </c>
      <c r="DH114" s="57">
        <f>IF($B114=$B113,$DH113,0)+$DG114</f>
        <v/>
      </c>
      <c r="DI114" s="57">
        <f>$DI113+$DG114</f>
        <v/>
      </c>
      <c r="DJ114" s="57">
        <f>COUNTIFS(tblPlant[Date],$A114,tblPlant[Mill_Run_h],"&lt;&gt;")*24</f>
        <v/>
      </c>
      <c r="DK114" s="57">
        <f>IF($B114=$B113,$DK113,0)+$DJ114</f>
        <v/>
      </c>
      <c r="DL114" s="57">
        <f>$DL113+$DJ114</f>
        <v/>
      </c>
      <c r="DM114" s="57">
        <f>SUMIFS(tblPlant[Crusher_Run_h],tblPlant[Date],$A114)</f>
        <v/>
      </c>
      <c r="DN114" s="57">
        <f>IF($B114=$B113,$DN113,0)+$DM114</f>
        <v/>
      </c>
      <c r="DO114" s="57">
        <f>$DO113+$DM114</f>
        <v/>
      </c>
      <c r="DP114" s="55">
        <f>IFERROR(IF(($DA114)&gt;0,($BZ114)/($DA114),""),"")</f>
        <v/>
      </c>
      <c r="DQ114" s="55">
        <f>IFERROR(IF(($DB114)&gt;0,($CA114)/($DB114),""),"")</f>
        <v/>
      </c>
      <c r="DR114" s="55">
        <f>IFERROR(IF(($DC114)&gt;0,($CB114)/($DC114),""),"")</f>
        <v/>
      </c>
      <c r="DS114" s="67">
        <f>IFERROR(IF(($DJ114)&gt;0,($DJ114-$DD114-$DG114)/($DJ114),""),"")</f>
        <v/>
      </c>
      <c r="DT114" s="67">
        <f>IFERROR(IF(($DK114)&gt;0,($DK114-$DE114-$DH114)/($DK114),""),"")</f>
        <v/>
      </c>
      <c r="DU114" s="67">
        <f>IFERROR(IF(($DL114)&gt;0,($DL114-$DF114-$DI114)/($DL114),""),"")</f>
        <v/>
      </c>
      <c r="DV114" s="67">
        <f>IFERROR(IF(($DJ114-$DD114-$DG114)&gt;0,($DA114)/($DJ114-$DD114-$DG114),""),"")</f>
        <v/>
      </c>
      <c r="DW114" s="67">
        <f>IFERROR(IF(($DK114-$DE114-$DH114)&gt;0,($DB114)/($DK114-$DE114-$DH114),""),"")</f>
        <v/>
      </c>
      <c r="DX114" s="67">
        <f>IFERROR(IF(($DL114-$DF114-$DI114)&gt;0,($DC114)/($DL114-$DF114-$DI114),""),"")</f>
        <v/>
      </c>
      <c r="DY114" s="55">
        <f>SUMIFS(tblPlant[Cyanide_kg],tblPlant[Date],$A114)</f>
        <v/>
      </c>
      <c r="DZ114" s="55">
        <f>IF($B114=$B113,$DZ113,0)+$DY114</f>
        <v/>
      </c>
      <c r="EA114" s="55">
        <f>$EA113+$DY114</f>
        <v/>
      </c>
      <c r="EB114" s="55">
        <f>SUMIFS(tblPlant[Lime_kg],tblPlant[Date],$A114)</f>
        <v/>
      </c>
      <c r="EC114" s="55">
        <f>IF($B114=$B113,$EC113,0)+$EB114</f>
        <v/>
      </c>
      <c r="ED114" s="55">
        <f>$ED113+$EB114</f>
        <v/>
      </c>
      <c r="EE114" s="55">
        <f>SUMIFS(tblPlant[Grinding_Media_kg],tblPlant[Date],$A114)</f>
        <v/>
      </c>
      <c r="EF114" s="55">
        <f>IF($B114=$B113,$EF113,0)+$EE114</f>
        <v/>
      </c>
      <c r="EG114" s="55">
        <f>$EG113+$EE114</f>
        <v/>
      </c>
      <c r="EH114" s="55">
        <f>SUMIFS(tblPlant[Power_kWh],tblPlant[Date],$A114)</f>
        <v/>
      </c>
      <c r="EI114" s="55">
        <f>IF($B114=$B113,$EI113,0)+$EH114</f>
        <v/>
      </c>
      <c r="EJ114" s="55">
        <f>$EJ113+$EH114</f>
        <v/>
      </c>
      <c r="EK114" s="55">
        <f>SUMIFS(tblPlant[Raw_Water_m3],tblPlant[Date],$A114)</f>
        <v/>
      </c>
      <c r="EL114" s="55">
        <f>IF($B114=$B113,$EL113,0)+$EK114</f>
        <v/>
      </c>
      <c r="EM114" s="55">
        <f>$EM113+$EK114</f>
        <v/>
      </c>
      <c r="EN114" s="56">
        <f>IFERROR(IF(($BZ114)&gt;0,($DY114)/($BZ114),""),"")</f>
        <v/>
      </c>
      <c r="EO114" s="56">
        <f>IFERROR(IF(($CA114)&gt;0,($DZ114)/($CA114),""),"")</f>
        <v/>
      </c>
      <c r="EP114" s="56">
        <f>IFERROR(IF(($CB114)&gt;0,($EA114)/($CB114),""),"")</f>
        <v/>
      </c>
      <c r="EQ114" s="56">
        <f>IFERROR(IF(($BZ114)&gt;0,($EB114)/($BZ114),""),"")</f>
        <v/>
      </c>
      <c r="ER114" s="56">
        <f>IFERROR(IF(($CA114)&gt;0,($EC114)/($CA114),""),"")</f>
        <v/>
      </c>
      <c r="ES114" s="56">
        <f>IFERROR(IF(($CB114)&gt;0,($ED114)/($CB114),""),"")</f>
        <v/>
      </c>
      <c r="ET114" s="56">
        <f>IFERROR(IF(($BZ114)&gt;0,($EE114)/($BZ114),""),"")</f>
        <v/>
      </c>
      <c r="EU114" s="56">
        <f>IFERROR(IF(($CA114)&gt;0,($EF114)/($CA114),""),"")</f>
        <v/>
      </c>
      <c r="EV114" s="56">
        <f>IFERROR(IF(($CB114)&gt;0,($EG114)/($CB114),""),"")</f>
        <v/>
      </c>
      <c r="EW114" s="76">
        <f>IFERROR(IF(($BZ114)&gt;0,($EH114)/($BZ114),""),"")</f>
        <v/>
      </c>
      <c r="EX114" s="76">
        <f>IFERROR(IF(($CA114)&gt;0,($EI114)/($CA114),""),"")</f>
        <v/>
      </c>
      <c r="EY114" s="76">
        <f>IFERROR(IF(($CB114)&gt;0,($EJ114)/($CB114),""),"")</f>
        <v/>
      </c>
      <c r="EZ114" s="56">
        <f>IFERROR(IF(($BZ114)&gt;0,($EK114)/($BZ114),""),"")</f>
        <v/>
      </c>
      <c r="FA114" s="56">
        <f>IFERROR(IF(($CA114)&gt;0,($EL114)/($CA114),""),"")</f>
        <v/>
      </c>
      <c r="FB114" s="56">
        <f>IFERROR(IF(($CB114)&gt;0,($EM114)/($CB114),""),"")</f>
        <v/>
      </c>
      <c r="FC114" s="55">
        <f>IF(SUMIFS(tblPlant[GIC_oz],tblPlant[Date],$A114)&gt;0,SUMIFS(tblPlant[GIC_oz],tblPlant[Date],$A114),"")</f>
        <v/>
      </c>
      <c r="FD114" s="55">
        <f>SUMIFS(tblGold[Gold_oz],tblGold[Date],$A114,tblGold[Type],"Shipment")</f>
        <v/>
      </c>
      <c r="FE114" s="55">
        <f>IF($B114=$B113,$FE113,0)+$FD114</f>
        <v/>
      </c>
      <c r="FF114" s="55">
        <f>$FF113+$FD114</f>
        <v/>
      </c>
      <c r="FG114" s="55">
        <f>SUMIFS(tblGold[Gold_oz],tblGold[Date],$A114,tblGold[Type],"Sale")</f>
        <v/>
      </c>
      <c r="FH114" s="55">
        <f>IF($B114=$B113,$FH113,0)+$FG114</f>
        <v/>
      </c>
      <c r="FI114" s="55">
        <f>$FI113+$FG114</f>
        <v/>
      </c>
      <c r="FJ114" s="55">
        <f>SUMIFS(tblGold[Dore_kg],tblGold[Date],$A114,tblGold[Type],"Shipment")</f>
        <v/>
      </c>
      <c r="FK114" s="55">
        <f>IF($B114=$B113,$FK113,0)+$FJ114</f>
        <v/>
      </c>
      <c r="FL114" s="55">
        <f>$FL113+$FJ114</f>
        <v/>
      </c>
      <c r="FM114" s="57">
        <f>SUMIFS(tblSafety[Hours_Total],tblSafety[Date],$A114)</f>
        <v/>
      </c>
      <c r="FN114" s="57">
        <f>IF($B114=$B113,$FN113,0)+$FM114</f>
        <v/>
      </c>
      <c r="FO114" s="57">
        <f>$FO113+$FM114</f>
        <v/>
      </c>
      <c r="FP114" s="62">
        <f>SUMIFS(tblSafety[Fatality],tblSafety[Date],$A114)</f>
        <v/>
      </c>
      <c r="FQ114" s="62">
        <f>IF($B114=$B113,$FQ113,0)+$FP114</f>
        <v/>
      </c>
      <c r="FR114" s="62">
        <f>$FR113+$FP114</f>
        <v/>
      </c>
      <c r="FS114" s="62">
        <f>SUMIFS(tblSafety[LTI],tblSafety[Date],$A114)</f>
        <v/>
      </c>
      <c r="FT114" s="62">
        <f>IF($B114=$B113,$FT113,0)+$FS114</f>
        <v/>
      </c>
      <c r="FU114" s="62">
        <f>$FU113+$FS114</f>
        <v/>
      </c>
      <c r="FV114" s="62">
        <f>SUMIFS(tblSafety[RWI],tblSafety[Date],$A114)</f>
        <v/>
      </c>
      <c r="FW114" s="62">
        <f>IF($B114=$B113,$FW113,0)+$FV114</f>
        <v/>
      </c>
      <c r="FX114" s="62">
        <f>$FX113+$FV114</f>
        <v/>
      </c>
      <c r="FY114" s="62">
        <f>SUMIFS(tblSafety[MTI],tblSafety[Date],$A114)</f>
        <v/>
      </c>
      <c r="FZ114" s="62">
        <f>IF($B114=$B113,$FZ113,0)+$FY114</f>
        <v/>
      </c>
      <c r="GA114" s="62">
        <f>$GA113+$FY114</f>
        <v/>
      </c>
      <c r="GB114" s="62">
        <f>SUMIFS(tblSafety[FAI],tblSafety[Date],$A114)</f>
        <v/>
      </c>
      <c r="GC114" s="62">
        <f>IF($B114=$B113,$GC113,0)+$GB114</f>
        <v/>
      </c>
      <c r="GD114" s="62">
        <f>$GD113+$GB114</f>
        <v/>
      </c>
      <c r="GE114" s="62">
        <f>SUMIFS(tblSafety[Recordables],tblSafety[Date],$A114)</f>
        <v/>
      </c>
      <c r="GF114" s="62">
        <f>IF($B114=$B113,$GF113,0)+$GE114</f>
        <v/>
      </c>
      <c r="GG114" s="62">
        <f>$GG113+$GE114</f>
        <v/>
      </c>
      <c r="GH114" s="62">
        <f>SUMIFS(tblSafety[Near_Miss],tblSafety[Date],$A114)</f>
        <v/>
      </c>
      <c r="GI114" s="62">
        <f>IF($B114=$B113,$GI113,0)+$GH114</f>
        <v/>
      </c>
      <c r="GJ114" s="62">
        <f>$GJ113+$GH114</f>
        <v/>
      </c>
      <c r="GK114" s="62">
        <f>SUMIFS(tblSafety[Hazard_Reports],tblSafety[Date],$A114)</f>
        <v/>
      </c>
      <c r="GL114" s="62">
        <f>IF($B114=$B113,$GL113,0)+$GK114</f>
        <v/>
      </c>
      <c r="GM114" s="62">
        <f>$GM113+$GK114</f>
        <v/>
      </c>
      <c r="GN114" s="62">
        <f>SUMIFS(tblSafety[HPI],tblSafety[Date],$A114)</f>
        <v/>
      </c>
      <c r="GO114" s="62">
        <f>IF($B114=$B113,$GO113,0)+$GN114</f>
        <v/>
      </c>
      <c r="GP114" s="62">
        <f>$GP113+$GN114</f>
        <v/>
      </c>
      <c r="GQ114" s="62">
        <f>SUMIFS(tblSafety[Env_Incidents],tblSafety[Date],$A114)</f>
        <v/>
      </c>
      <c r="GR114" s="62">
        <f>IF($B114=$B113,$GR113,0)+$GQ114</f>
        <v/>
      </c>
      <c r="GS114" s="62">
        <f>$GS113+$GQ114</f>
        <v/>
      </c>
      <c r="GT114" s="62">
        <f>SUMIFS(tblSafety[Community_Incidents],tblSafety[Date],$A114)</f>
        <v/>
      </c>
      <c r="GU114" s="62">
        <f>IF($B114=$B113,$GU113,0)+$GT114</f>
        <v/>
      </c>
      <c r="GV114" s="62">
        <f>$GV113+$GT114</f>
        <v/>
      </c>
      <c r="GW114" s="62">
        <f>SUMIFS(tblSafety[Vehicle_Incidents],tblSafety[Date],$A114)</f>
        <v/>
      </c>
      <c r="GX114" s="62">
        <f>IF($B114=$B113,$GX113,0)+$GW114</f>
        <v/>
      </c>
      <c r="GY114" s="62">
        <f>$GY113+$GW114</f>
        <v/>
      </c>
      <c r="GZ114" s="62">
        <f>SUMIFS(tblSafety[Toolbox_Talks],tblSafety[Date],$A114)</f>
        <v/>
      </c>
      <c r="HA114" s="62">
        <f>IF($B114=$B113,$HA113,0)+$GZ114</f>
        <v/>
      </c>
      <c r="HB114" s="62">
        <f>$HB113+$GZ114</f>
        <v/>
      </c>
      <c r="HC114" s="62">
        <f>SUMIFS(tblSafety[Inspections],tblSafety[Date],$A114)</f>
        <v/>
      </c>
      <c r="HD114" s="62">
        <f>IF($B114=$B113,$HD113,0)+$HC114</f>
        <v/>
      </c>
      <c r="HE114" s="62">
        <f>$HE113+$HC114</f>
        <v/>
      </c>
      <c r="HF114" s="56">
        <f>IFERROR((SUMIFS(tblSafety[Recordables],tblSafety[Date],"&gt;="&amp;EDATE($E114,-12),tblSafety[Date],"&lt;="&amp;$A114)+SUMIFS(tblSafetyHistory[Recordables],tblSafetyHistory[Month],"&gt;="&amp;EDATE($E114,-12),tblSafetyHistory[Month],"&lt;"&amp;cfg_YearStart))/(SUMIFS(tblSafety[Hours_Total],tblSafety[Date],"&gt;="&amp;EDATE($E114,-12),tblSafety[Date],"&lt;="&amp;$A114)+SUMIFS(tblSafetyHistory[Hours_Total],tblSafetyHistory[Month],"&gt;="&amp;EDATE($E114,-12),tblSafetyHistory[Month],"&lt;"&amp;cfg_YearStart))*1000000,"")</f>
        <v/>
      </c>
      <c r="HG114" s="56">
        <f>IFERROR((SUMIFS(tblSafety[LTI],tblSafety[Date],"&gt;="&amp;EDATE($E114,-12),tblSafety[Date],"&lt;="&amp;$A114)+SUMIFS(tblSafetyHistory[LTI],tblSafetyHistory[Month],"&gt;="&amp;EDATE($E114,-12),tblSafetyHistory[Month],"&lt;"&amp;cfg_YearStart))/(SUMIFS(tblSafety[Hours_Total],tblSafety[Date],"&gt;="&amp;EDATE($E114,-12),tblSafety[Date],"&lt;="&amp;$A114)+SUMIFS(tblSafetyHistory[Hours_Total],tblSafetyHistory[Month],"&gt;="&amp;EDATE($E114,-12),tblSafetyHistory[Month],"&lt;"&amp;cfg_YearStart))*1000000,"")</f>
        <v/>
      </c>
      <c r="HH114" s="62">
        <f>IF(MAX(N(cfg_PriorLTIDate),_xlfn.MAXIFS(tblSafety[Date],tblSafety[LTI],"&gt;0",tblSafety[Date],"&lt;="&amp;$A114))=0,"",$A114-MAX(N(cfg_PriorLTIDate),_xlfn.MAXIFS(tblSafety[Date],tblSafety[LTI],"&gt;0",tblSafety[Date],"&lt;="&amp;$A114)))</f>
        <v/>
      </c>
      <c r="HI114" s="55">
        <f>SUMIFS(tblBudget[Ore_Mined_t],tblBudget[Month],$E114)</f>
        <v/>
      </c>
      <c r="HJ114" s="55">
        <f>$HI114*$C114/$D114</f>
        <v/>
      </c>
      <c r="HK114" s="55">
        <f>SUMIFS(tblBudget[Ore_Mined_t],tblBudget[Month],"&lt;"&amp;$E114)+$HJ114</f>
        <v/>
      </c>
      <c r="HL114" s="55">
        <f>SUMIFS(tblBudget[Ore_oz],tblBudget[Month],$E114)</f>
        <v/>
      </c>
      <c r="HM114" s="55">
        <f>$HL114*$C114/$D114</f>
        <v/>
      </c>
      <c r="HN114" s="55">
        <f>SUMIFS(tblBudget[Ore_oz],tblBudget[Month],"&lt;"&amp;$E114)+$HM114</f>
        <v/>
      </c>
      <c r="HO114" s="56">
        <f>IFERROR(IF(($HI114)&gt;0,($HL114*cfg_TroyOz)/($HI114),""),"")</f>
        <v/>
      </c>
      <c r="HP114" s="56">
        <f>IFERROR(IF(($HJ114)&gt;0,($HM114*cfg_TroyOz)/($HJ114),""),"")</f>
        <v/>
      </c>
      <c r="HQ114" s="56">
        <f>IFERROR(IF(($HK114)&gt;0,($HN114*cfg_TroyOz)/($HK114),""),"")</f>
        <v/>
      </c>
      <c r="HR114" s="55">
        <f>SUMIFS(tblBudget[Waste_t],tblBudget[Month],$E114)</f>
        <v/>
      </c>
      <c r="HS114" s="55">
        <f>$HR114*$C114/$D114</f>
        <v/>
      </c>
      <c r="HT114" s="55">
        <f>SUMIFS(tblBudget[Waste_t],tblBudget[Month],"&lt;"&amp;$E114)+$HS114</f>
        <v/>
      </c>
      <c r="HU114" s="55">
        <f>SUMIFS(tblBudget[TMM_t],tblBudget[Month],$E114)</f>
        <v/>
      </c>
      <c r="HV114" s="55">
        <f>$HU114*$C114/$D114</f>
        <v/>
      </c>
      <c r="HW114" s="55">
        <f>SUMIFS(tblBudget[TMM_t],tblBudget[Month],"&lt;"&amp;$E114)+$HV114</f>
        <v/>
      </c>
      <c r="HX114" s="56">
        <f>IFERROR(IF(($HI114)&gt;0,($HR114)/($HI114),""),"")</f>
        <v/>
      </c>
      <c r="HY114" s="56">
        <f>IFERROR(IF(($HJ114)&gt;0,($HS114)/($HJ114),""),"")</f>
        <v/>
      </c>
      <c r="HZ114" s="56">
        <f>IFERROR(IF(($HK114)&gt;0,($HT114)/($HK114),""),"")</f>
        <v/>
      </c>
      <c r="IA114" s="55">
        <f>SUMIFS(tblBudget[Drill_m],tblBudget[Month],$E114)</f>
        <v/>
      </c>
      <c r="IB114" s="55">
        <f>$IA114*$C114/$D114</f>
        <v/>
      </c>
      <c r="IC114" s="55">
        <f>SUMIFS(tblBudget[Drill_m],tblBudget[Month],"&lt;"&amp;$E114)+$IB114</f>
        <v/>
      </c>
      <c r="ID114" s="55">
        <f>SUMIFS(tblBudget[Diesel_L],tblBudget[Month],$E114)</f>
        <v/>
      </c>
      <c r="IE114" s="55">
        <f>$ID114*$C114/$D114</f>
        <v/>
      </c>
      <c r="IF114" s="55">
        <f>SUMIFS(tblBudget[Diesel_L],tblBudget[Month],"&lt;"&amp;$E114)+$IE114</f>
        <v/>
      </c>
      <c r="IG114" s="55">
        <f>SUMIFS(tblBudget[Milled_t],tblBudget[Month],$E114)</f>
        <v/>
      </c>
      <c r="IH114" s="55">
        <f>$IG114*$C114/$D114</f>
        <v/>
      </c>
      <c r="II114" s="55">
        <f>SUMIFS(tblBudget[Milled_t],tblBudget[Month],"&lt;"&amp;$E114)+$IH114</f>
        <v/>
      </c>
      <c r="IJ114" s="55">
        <f>SUMIFS(tblBudget[Feed_oz],tblBudget[Month],$E114)</f>
        <v/>
      </c>
      <c r="IK114" s="55">
        <f>$IJ114*$C114/$D114</f>
        <v/>
      </c>
      <c r="IL114" s="55">
        <f>SUMIFS(tblBudget[Feed_oz],tblBudget[Month],"&lt;"&amp;$E114)+$IK114</f>
        <v/>
      </c>
      <c r="IM114" s="55">
        <f>SUMIFS(tblBudget[Recovered_oz],tblBudget[Month],$E114)</f>
        <v/>
      </c>
      <c r="IN114" s="55">
        <f>$IM114*$C114/$D114</f>
        <v/>
      </c>
      <c r="IO114" s="55">
        <f>SUMIFS(tblBudget[Recovered_oz],tblBudget[Month],"&lt;"&amp;$E114)+$IN114</f>
        <v/>
      </c>
      <c r="IP114" s="56">
        <f>IFERROR(IF(($IG114)&gt;0,($IJ114*cfg_TroyOz)/($IG114),""),"")</f>
        <v/>
      </c>
      <c r="IQ114" s="56">
        <f>IFERROR(IF(($IH114)&gt;0,($IK114*cfg_TroyOz)/($IH114),""),"")</f>
        <v/>
      </c>
      <c r="IR114" s="56">
        <f>IFERROR(IF(($II114)&gt;0,($IL114*cfg_TroyOz)/($II114),""),"")</f>
        <v/>
      </c>
      <c r="IS114" s="67">
        <f>IFERROR(IF(($IJ114)&gt;0,($IM114)/($IJ114),""),"")</f>
        <v/>
      </c>
      <c r="IT114" s="67">
        <f>IFERROR(IF(($IK114)&gt;0,($IN114)/($IK114),""),"")</f>
        <v/>
      </c>
      <c r="IU114" s="67">
        <f>IFERROR(IF(($IL114)&gt;0,($IO114)/($IL114),""),"")</f>
        <v/>
      </c>
      <c r="IV114" s="55">
        <f>SUMIFS(tblBudget[Gold_Poured_oz],tblBudget[Month],$E114)</f>
        <v/>
      </c>
      <c r="IW114" s="55">
        <f>$IV114*$C114/$D114</f>
        <v/>
      </c>
      <c r="IX114" s="55">
        <f>SUMIFS(tblBudget[Gold_Poured_oz],tblBudget[Month],"&lt;"&amp;$E114)+$IW114</f>
        <v/>
      </c>
      <c r="IY114" s="57">
        <f>SUMIFS(tblBudget[Hours_Worked],tblBudget[Month],$E114)</f>
        <v/>
      </c>
      <c r="IZ114" s="57">
        <f>$IY114*$C114/$D114</f>
        <v/>
      </c>
      <c r="JA114" s="57">
        <f>SUMIFS(tblBudget[Hours_Worked],tblBudget[Month],"&lt;"&amp;$E114)+$IZ114</f>
        <v/>
      </c>
    </row>
    <row r="115">
      <c r="A115" s="54" t="n">
        <v>46136</v>
      </c>
      <c r="B115">
        <f>MONTH($A115)</f>
        <v/>
      </c>
      <c r="C115">
        <f>DAY($A115)</f>
        <v/>
      </c>
      <c r="D115">
        <f>DAY(EOMONTH($A115,0))</f>
        <v/>
      </c>
      <c r="E115" s="54">
        <f>DATE(YEAR($A115),MONTH($A115),1)</f>
        <v/>
      </c>
      <c r="F115" s="55">
        <f>SUMIFS(tblMovement[Tonnes_t],tblMovement[Date],$A115,tblMovement[Is_Ore],1,tblMovement[Source_Type],"Pit")</f>
        <v/>
      </c>
      <c r="G115" s="55">
        <f>IF($B115=$B114,$G114,0)+$F115</f>
        <v/>
      </c>
      <c r="H115" s="55">
        <f>$H114+$F115</f>
        <v/>
      </c>
      <c r="I115" s="55">
        <f>SUMIFS(tblMovement[Ore_oz],tblMovement[Date],$A115,tblMovement[Source_Type],"Pit")</f>
        <v/>
      </c>
      <c r="J115" s="55">
        <f>IF($B115=$B114,$J114,0)+$I115</f>
        <v/>
      </c>
      <c r="K115" s="55">
        <f>$K114+$I115</f>
        <v/>
      </c>
      <c r="L115" s="56">
        <f>IFERROR(IF(($F115)&gt;0,($I115*cfg_TroyOz)/($F115),""),"")</f>
        <v/>
      </c>
      <c r="M115" s="56">
        <f>IFERROR(IF(($G115)&gt;0,($J115*cfg_TroyOz)/($G115),""),"")</f>
        <v/>
      </c>
      <c r="N115" s="56">
        <f>IFERROR(IF(($H115)&gt;0,($K115*cfg_TroyOz)/($H115),""),"")</f>
        <v/>
      </c>
      <c r="O115" s="55">
        <f>SUMIFS(tblMovement[Tonnes_t],tblMovement[Date],$A115,tblMovement[Is_Ore],0,tblMovement[Source_Type],"Pit")</f>
        <v/>
      </c>
      <c r="P115" s="55">
        <f>IF($B115=$B114,$P114,0)+$O115</f>
        <v/>
      </c>
      <c r="Q115" s="55">
        <f>$Q114+$O115</f>
        <v/>
      </c>
      <c r="R115" s="55">
        <f>$F115+$O115</f>
        <v/>
      </c>
      <c r="S115" s="55">
        <f>IF($B115=$B114,$S114,0)+$R115</f>
        <v/>
      </c>
      <c r="T115" s="55">
        <f>$T114+$R115</f>
        <v/>
      </c>
      <c r="U115" s="56">
        <f>IFERROR(IF(($F115)&gt;0,($O115)/($F115),""),"")</f>
        <v/>
      </c>
      <c r="V115" s="56">
        <f>IFERROR(IF(($G115)&gt;0,($P115)/($G115),""),"")</f>
        <v/>
      </c>
      <c r="W115" s="56">
        <f>IFERROR(IF(($H115)&gt;0,($Q115)/($H115),""),"")</f>
        <v/>
      </c>
      <c r="X115" s="55">
        <f>SUMIFS(tblMovement[Tonnes_t],tblMovement[Date],$A115,tblMovement[Source_Type],"Stockpile")</f>
        <v/>
      </c>
      <c r="Y115" s="55">
        <f>IF($B115=$B114,$Y114,0)+$X115</f>
        <v/>
      </c>
      <c r="Z115" s="55">
        <f>$Z114+$X115</f>
        <v/>
      </c>
      <c r="AA115" s="55">
        <f>SUMIFS(tblMiningDaily[Drill_m],tblMiningDaily[Date],$A115)</f>
        <v/>
      </c>
      <c r="AB115" s="55">
        <f>IF($B115=$B114,$AB114,0)+$AA115</f>
        <v/>
      </c>
      <c r="AC115" s="55">
        <f>$AC114+$AA115</f>
        <v/>
      </c>
      <c r="AD115" s="55">
        <f>SUMIFS(tblMiningDaily[Blast_t],tblMiningDaily[Date],$A115)</f>
        <v/>
      </c>
      <c r="AE115" s="55">
        <f>IF($B115=$B114,$AE114,0)+$AD115</f>
        <v/>
      </c>
      <c r="AF115" s="55">
        <f>$AF114+$AD115</f>
        <v/>
      </c>
      <c r="AG115" s="55">
        <f>SUMIFS(tblMiningDaily[Explosives_kg],tblMiningDaily[Date],$A115)</f>
        <v/>
      </c>
      <c r="AH115" s="55">
        <f>IF($B115=$B114,$AH114,0)+$AG115</f>
        <v/>
      </c>
      <c r="AI115" s="55">
        <f>$AI114+$AG115</f>
        <v/>
      </c>
      <c r="AJ115" s="56">
        <f>IFERROR(IF(($AD115)&gt;0,($AG115)/($AD115),""),"")</f>
        <v/>
      </c>
      <c r="AK115" s="56">
        <f>IFERROR(IF(($AE115)&gt;0,($AH115)/($AE115),""),"")</f>
        <v/>
      </c>
      <c r="AL115" s="56">
        <f>IFERROR(IF(($AF115)&gt;0,($AI115)/($AF115),""),"")</f>
        <v/>
      </c>
      <c r="AM115" s="55">
        <f>SUMIFS(tblMiningDaily[Diesel_L],tblMiningDaily[Date],$A115)</f>
        <v/>
      </c>
      <c r="AN115" s="55">
        <f>IF($B115=$B114,$AN114,0)+$AM115</f>
        <v/>
      </c>
      <c r="AO115" s="55">
        <f>$AO114+$AM115</f>
        <v/>
      </c>
      <c r="AP115" s="55">
        <f>SUMIFS(tblMiningDaily[Dewatering_m3],tblMiningDaily[Date],$A115)</f>
        <v/>
      </c>
      <c r="AQ115" s="55">
        <f>IF($B115=$B114,$AQ114,0)+$AP115</f>
        <v/>
      </c>
      <c r="AR115" s="55">
        <f>$AR114+$AP115</f>
        <v/>
      </c>
      <c r="AS115" s="57">
        <f>SUMIFS(tblFleet[Calendar_h],tblFleet[Date],$A115,tblFleet[Equipment_Class],"Excavator")</f>
        <v/>
      </c>
      <c r="AT115" s="57">
        <f>IF($B115=$B114,$AT114,0)+$AS115</f>
        <v/>
      </c>
      <c r="AU115" s="57">
        <f>$AU114+$AS115</f>
        <v/>
      </c>
      <c r="AV115" s="57">
        <f>SUMIFS(tblFleet[Available_h],tblFleet[Date],$A115,tblFleet[Equipment_Class],"Excavator")</f>
        <v/>
      </c>
      <c r="AW115" s="57">
        <f>IF($B115=$B114,$AW114,0)+$AV115</f>
        <v/>
      </c>
      <c r="AX115" s="57">
        <f>$AX114+$AV115</f>
        <v/>
      </c>
      <c r="AY115" s="57">
        <f>SUMIFS(tblFleet[Operating_h],tblFleet[Date],$A115,tblFleet[Equipment_Class],"Excavator")</f>
        <v/>
      </c>
      <c r="AZ115" s="57">
        <f>IF($B115=$B114,$AZ114,0)+$AY115</f>
        <v/>
      </c>
      <c r="BA115" s="57">
        <f>$BA114+$AY115</f>
        <v/>
      </c>
      <c r="BB115" s="67">
        <f>IFERROR(IF(($AS115)&gt;0,($AV115)/($AS115),""),"")</f>
        <v/>
      </c>
      <c r="BC115" s="67">
        <f>IFERROR(IF(($AT115)&gt;0,($AW115)/($AT115),""),"")</f>
        <v/>
      </c>
      <c r="BD115" s="67">
        <f>IFERROR(IF(($AU115)&gt;0,($AX115)/($AU115),""),"")</f>
        <v/>
      </c>
      <c r="BE115" s="67">
        <f>IFERROR(IF(($AV115)&gt;0,($AY115)/($AV115),""),"")</f>
        <v/>
      </c>
      <c r="BF115" s="67">
        <f>IFERROR(IF(($AW115)&gt;0,($AZ115)/($AW115),""),"")</f>
        <v/>
      </c>
      <c r="BG115" s="67">
        <f>IFERROR(IF(($AX115)&gt;0,($BA115)/($AX115),""),"")</f>
        <v/>
      </c>
      <c r="BH115" s="57">
        <f>SUMIFS(tblFleet[Calendar_h],tblFleet[Date],$A115,tblFleet[Equipment_Class],"Haul Truck")</f>
        <v/>
      </c>
      <c r="BI115" s="57">
        <f>IF($B115=$B114,$BI114,0)+$BH115</f>
        <v/>
      </c>
      <c r="BJ115" s="57">
        <f>$BJ114+$BH115</f>
        <v/>
      </c>
      <c r="BK115" s="57">
        <f>SUMIFS(tblFleet[Available_h],tblFleet[Date],$A115,tblFleet[Equipment_Class],"Haul Truck")</f>
        <v/>
      </c>
      <c r="BL115" s="57">
        <f>IF($B115=$B114,$BL114,0)+$BK115</f>
        <v/>
      </c>
      <c r="BM115" s="57">
        <f>$BM114+$BK115</f>
        <v/>
      </c>
      <c r="BN115" s="57">
        <f>SUMIFS(tblFleet[Operating_h],tblFleet[Date],$A115,tblFleet[Equipment_Class],"Haul Truck")</f>
        <v/>
      </c>
      <c r="BO115" s="57">
        <f>IF($B115=$B114,$BO114,0)+$BN115</f>
        <v/>
      </c>
      <c r="BP115" s="57">
        <f>$BP114+$BN115</f>
        <v/>
      </c>
      <c r="BQ115" s="67">
        <f>IFERROR(IF(($BH115)&gt;0,($BK115)/($BH115),""),"")</f>
        <v/>
      </c>
      <c r="BR115" s="67">
        <f>IFERROR(IF(($BI115)&gt;0,($BL115)/($BI115),""),"")</f>
        <v/>
      </c>
      <c r="BS115" s="67">
        <f>IFERROR(IF(($BJ115)&gt;0,($BM115)/($BJ115),""),"")</f>
        <v/>
      </c>
      <c r="BT115" s="67">
        <f>IFERROR(IF(($BK115)&gt;0,($BN115)/($BK115),""),"")</f>
        <v/>
      </c>
      <c r="BU115" s="67">
        <f>IFERROR(IF(($BL115)&gt;0,($BO115)/($BL115),""),"")</f>
        <v/>
      </c>
      <c r="BV115" s="67">
        <f>IFERROR(IF(($BM115)&gt;0,($BP115)/($BM115),""),"")</f>
        <v/>
      </c>
      <c r="BW115" s="55">
        <f>SUMIFS(tblPlant[Crushed_t],tblPlant[Date],$A115)</f>
        <v/>
      </c>
      <c r="BX115" s="55">
        <f>IF($B115=$B114,$BX114,0)+$BW115</f>
        <v/>
      </c>
      <c r="BY115" s="55">
        <f>$BY114+$BW115</f>
        <v/>
      </c>
      <c r="BZ115" s="55">
        <f>SUMIFS(tblPlant[Milled_t],tblPlant[Date],$A115)</f>
        <v/>
      </c>
      <c r="CA115" s="55">
        <f>IF($B115=$B114,$CA114,0)+$BZ115</f>
        <v/>
      </c>
      <c r="CB115" s="55">
        <f>$CB114+$BZ115</f>
        <v/>
      </c>
      <c r="CC115" s="55">
        <f>SUMIFS(tblPlant[Feed_oz],tblPlant[Date],$A115)</f>
        <v/>
      </c>
      <c r="CD115" s="55">
        <f>IF($B115=$B114,$CD114,0)+$CC115</f>
        <v/>
      </c>
      <c r="CE115" s="55">
        <f>$CE114+$CC115</f>
        <v/>
      </c>
      <c r="CF115" s="55">
        <f>SUMIFS(tblPlant[Tails_oz],tblPlant[Date],$A115)</f>
        <v/>
      </c>
      <c r="CG115" s="55">
        <f>IF($B115=$B114,$CG114,0)+$CF115</f>
        <v/>
      </c>
      <c r="CH115" s="55">
        <f>$CH114+$CF115</f>
        <v/>
      </c>
      <c r="CI115" s="55">
        <f>SUMIFS(tblPlant[Recovered_oz],tblPlant[Date],$A115)</f>
        <v/>
      </c>
      <c r="CJ115" s="55">
        <f>IF($B115=$B114,$CJ114,0)+$CI115</f>
        <v/>
      </c>
      <c r="CK115" s="55">
        <f>$CK114+$CI115</f>
        <v/>
      </c>
      <c r="CL115" s="56">
        <f>IFERROR(IF(($BZ115)&gt;0,($CC115*cfg_TroyOz)/($BZ115),""),"")</f>
        <v/>
      </c>
      <c r="CM115" s="56">
        <f>IFERROR(IF(($CA115)&gt;0,($CD115*cfg_TroyOz)/($CA115),""),"")</f>
        <v/>
      </c>
      <c r="CN115" s="56">
        <f>IFERROR(IF(($CB115)&gt;0,($CE115*cfg_TroyOz)/($CB115),""),"")</f>
        <v/>
      </c>
      <c r="CO115" s="56">
        <f>IFERROR(IF(($BZ115)&gt;0,($CF115*cfg_TroyOz)/($BZ115),""),"")</f>
        <v/>
      </c>
      <c r="CP115" s="56">
        <f>IFERROR(IF(($CA115)&gt;0,($CG115*cfg_TroyOz)/($CA115),""),"")</f>
        <v/>
      </c>
      <c r="CQ115" s="56">
        <f>IFERROR(IF(($CB115)&gt;0,($CH115*cfg_TroyOz)/($CB115),""),"")</f>
        <v/>
      </c>
      <c r="CR115" s="67">
        <f>IFERROR(IF(($CC115)&gt;0,($CI115)/($CC115),""),"")</f>
        <v/>
      </c>
      <c r="CS115" s="67">
        <f>IFERROR(IF(($CD115)&gt;0,($CJ115)/($CD115),""),"")</f>
        <v/>
      </c>
      <c r="CT115" s="67">
        <f>IFERROR(IF(($CE115)&gt;0,($CK115)/($CE115),""),"")</f>
        <v/>
      </c>
      <c r="CU115" s="55">
        <f>SUMIFS(tblPlant[Gravity_Gold_oz],tblPlant[Date],$A115)</f>
        <v/>
      </c>
      <c r="CV115" s="55">
        <f>IF($B115=$B114,$CV114,0)+$CU115</f>
        <v/>
      </c>
      <c r="CW115" s="55">
        <f>$CW114+$CU115</f>
        <v/>
      </c>
      <c r="CX115" s="55">
        <f>SUMIFS(tblPlant[Gold_Poured_oz],tblPlant[Date],$A115)</f>
        <v/>
      </c>
      <c r="CY115" s="55">
        <f>IF($B115=$B114,$CY114,0)+$CX115</f>
        <v/>
      </c>
      <c r="CZ115" s="55">
        <f>$CZ114+$CX115</f>
        <v/>
      </c>
      <c r="DA115" s="57">
        <f>SUMIFS(tblPlant[Mill_Run_h],tblPlant[Date],$A115)</f>
        <v/>
      </c>
      <c r="DB115" s="57">
        <f>IF($B115=$B114,$DB114,0)+$DA115</f>
        <v/>
      </c>
      <c r="DC115" s="57">
        <f>$DC114+$DA115</f>
        <v/>
      </c>
      <c r="DD115" s="57">
        <f>SUMIFS(tblPlant[Mill_Planned_Maint_h],tblPlant[Date],$A115)</f>
        <v/>
      </c>
      <c r="DE115" s="57">
        <f>IF($B115=$B114,$DE114,0)+$DD115</f>
        <v/>
      </c>
      <c r="DF115" s="57">
        <f>$DF114+$DD115</f>
        <v/>
      </c>
      <c r="DG115" s="57">
        <f>SUMIFS(tblPlant[Mill_Unplanned_Down_h],tblPlant[Date],$A115)</f>
        <v/>
      </c>
      <c r="DH115" s="57">
        <f>IF($B115=$B114,$DH114,0)+$DG115</f>
        <v/>
      </c>
      <c r="DI115" s="57">
        <f>$DI114+$DG115</f>
        <v/>
      </c>
      <c r="DJ115" s="57">
        <f>COUNTIFS(tblPlant[Date],$A115,tblPlant[Mill_Run_h],"&lt;&gt;")*24</f>
        <v/>
      </c>
      <c r="DK115" s="57">
        <f>IF($B115=$B114,$DK114,0)+$DJ115</f>
        <v/>
      </c>
      <c r="DL115" s="57">
        <f>$DL114+$DJ115</f>
        <v/>
      </c>
      <c r="DM115" s="57">
        <f>SUMIFS(tblPlant[Crusher_Run_h],tblPlant[Date],$A115)</f>
        <v/>
      </c>
      <c r="DN115" s="57">
        <f>IF($B115=$B114,$DN114,0)+$DM115</f>
        <v/>
      </c>
      <c r="DO115" s="57">
        <f>$DO114+$DM115</f>
        <v/>
      </c>
      <c r="DP115" s="55">
        <f>IFERROR(IF(($DA115)&gt;0,($BZ115)/($DA115),""),"")</f>
        <v/>
      </c>
      <c r="DQ115" s="55">
        <f>IFERROR(IF(($DB115)&gt;0,($CA115)/($DB115),""),"")</f>
        <v/>
      </c>
      <c r="DR115" s="55">
        <f>IFERROR(IF(($DC115)&gt;0,($CB115)/($DC115),""),"")</f>
        <v/>
      </c>
      <c r="DS115" s="67">
        <f>IFERROR(IF(($DJ115)&gt;0,($DJ115-$DD115-$DG115)/($DJ115),""),"")</f>
        <v/>
      </c>
      <c r="DT115" s="67">
        <f>IFERROR(IF(($DK115)&gt;0,($DK115-$DE115-$DH115)/($DK115),""),"")</f>
        <v/>
      </c>
      <c r="DU115" s="67">
        <f>IFERROR(IF(($DL115)&gt;0,($DL115-$DF115-$DI115)/($DL115),""),"")</f>
        <v/>
      </c>
      <c r="DV115" s="67">
        <f>IFERROR(IF(($DJ115-$DD115-$DG115)&gt;0,($DA115)/($DJ115-$DD115-$DG115),""),"")</f>
        <v/>
      </c>
      <c r="DW115" s="67">
        <f>IFERROR(IF(($DK115-$DE115-$DH115)&gt;0,($DB115)/($DK115-$DE115-$DH115),""),"")</f>
        <v/>
      </c>
      <c r="DX115" s="67">
        <f>IFERROR(IF(($DL115-$DF115-$DI115)&gt;0,($DC115)/($DL115-$DF115-$DI115),""),"")</f>
        <v/>
      </c>
      <c r="DY115" s="55">
        <f>SUMIFS(tblPlant[Cyanide_kg],tblPlant[Date],$A115)</f>
        <v/>
      </c>
      <c r="DZ115" s="55">
        <f>IF($B115=$B114,$DZ114,0)+$DY115</f>
        <v/>
      </c>
      <c r="EA115" s="55">
        <f>$EA114+$DY115</f>
        <v/>
      </c>
      <c r="EB115" s="55">
        <f>SUMIFS(tblPlant[Lime_kg],tblPlant[Date],$A115)</f>
        <v/>
      </c>
      <c r="EC115" s="55">
        <f>IF($B115=$B114,$EC114,0)+$EB115</f>
        <v/>
      </c>
      <c r="ED115" s="55">
        <f>$ED114+$EB115</f>
        <v/>
      </c>
      <c r="EE115" s="55">
        <f>SUMIFS(tblPlant[Grinding_Media_kg],tblPlant[Date],$A115)</f>
        <v/>
      </c>
      <c r="EF115" s="55">
        <f>IF($B115=$B114,$EF114,0)+$EE115</f>
        <v/>
      </c>
      <c r="EG115" s="55">
        <f>$EG114+$EE115</f>
        <v/>
      </c>
      <c r="EH115" s="55">
        <f>SUMIFS(tblPlant[Power_kWh],tblPlant[Date],$A115)</f>
        <v/>
      </c>
      <c r="EI115" s="55">
        <f>IF($B115=$B114,$EI114,0)+$EH115</f>
        <v/>
      </c>
      <c r="EJ115" s="55">
        <f>$EJ114+$EH115</f>
        <v/>
      </c>
      <c r="EK115" s="55">
        <f>SUMIFS(tblPlant[Raw_Water_m3],tblPlant[Date],$A115)</f>
        <v/>
      </c>
      <c r="EL115" s="55">
        <f>IF($B115=$B114,$EL114,0)+$EK115</f>
        <v/>
      </c>
      <c r="EM115" s="55">
        <f>$EM114+$EK115</f>
        <v/>
      </c>
      <c r="EN115" s="56">
        <f>IFERROR(IF(($BZ115)&gt;0,($DY115)/($BZ115),""),"")</f>
        <v/>
      </c>
      <c r="EO115" s="56">
        <f>IFERROR(IF(($CA115)&gt;0,($DZ115)/($CA115),""),"")</f>
        <v/>
      </c>
      <c r="EP115" s="56">
        <f>IFERROR(IF(($CB115)&gt;0,($EA115)/($CB115),""),"")</f>
        <v/>
      </c>
      <c r="EQ115" s="56">
        <f>IFERROR(IF(($BZ115)&gt;0,($EB115)/($BZ115),""),"")</f>
        <v/>
      </c>
      <c r="ER115" s="56">
        <f>IFERROR(IF(($CA115)&gt;0,($EC115)/($CA115),""),"")</f>
        <v/>
      </c>
      <c r="ES115" s="56">
        <f>IFERROR(IF(($CB115)&gt;0,($ED115)/($CB115),""),"")</f>
        <v/>
      </c>
      <c r="ET115" s="56">
        <f>IFERROR(IF(($BZ115)&gt;0,($EE115)/($BZ115),""),"")</f>
        <v/>
      </c>
      <c r="EU115" s="56">
        <f>IFERROR(IF(($CA115)&gt;0,($EF115)/($CA115),""),"")</f>
        <v/>
      </c>
      <c r="EV115" s="56">
        <f>IFERROR(IF(($CB115)&gt;0,($EG115)/($CB115),""),"")</f>
        <v/>
      </c>
      <c r="EW115" s="76">
        <f>IFERROR(IF(($BZ115)&gt;0,($EH115)/($BZ115),""),"")</f>
        <v/>
      </c>
      <c r="EX115" s="76">
        <f>IFERROR(IF(($CA115)&gt;0,($EI115)/($CA115),""),"")</f>
        <v/>
      </c>
      <c r="EY115" s="76">
        <f>IFERROR(IF(($CB115)&gt;0,($EJ115)/($CB115),""),"")</f>
        <v/>
      </c>
      <c r="EZ115" s="56">
        <f>IFERROR(IF(($BZ115)&gt;0,($EK115)/($BZ115),""),"")</f>
        <v/>
      </c>
      <c r="FA115" s="56">
        <f>IFERROR(IF(($CA115)&gt;0,($EL115)/($CA115),""),"")</f>
        <v/>
      </c>
      <c r="FB115" s="56">
        <f>IFERROR(IF(($CB115)&gt;0,($EM115)/($CB115),""),"")</f>
        <v/>
      </c>
      <c r="FC115" s="55">
        <f>IF(SUMIFS(tblPlant[GIC_oz],tblPlant[Date],$A115)&gt;0,SUMIFS(tblPlant[GIC_oz],tblPlant[Date],$A115),"")</f>
        <v/>
      </c>
      <c r="FD115" s="55">
        <f>SUMIFS(tblGold[Gold_oz],tblGold[Date],$A115,tblGold[Type],"Shipment")</f>
        <v/>
      </c>
      <c r="FE115" s="55">
        <f>IF($B115=$B114,$FE114,0)+$FD115</f>
        <v/>
      </c>
      <c r="FF115" s="55">
        <f>$FF114+$FD115</f>
        <v/>
      </c>
      <c r="FG115" s="55">
        <f>SUMIFS(tblGold[Gold_oz],tblGold[Date],$A115,tblGold[Type],"Sale")</f>
        <v/>
      </c>
      <c r="FH115" s="55">
        <f>IF($B115=$B114,$FH114,0)+$FG115</f>
        <v/>
      </c>
      <c r="FI115" s="55">
        <f>$FI114+$FG115</f>
        <v/>
      </c>
      <c r="FJ115" s="55">
        <f>SUMIFS(tblGold[Dore_kg],tblGold[Date],$A115,tblGold[Type],"Shipment")</f>
        <v/>
      </c>
      <c r="FK115" s="55">
        <f>IF($B115=$B114,$FK114,0)+$FJ115</f>
        <v/>
      </c>
      <c r="FL115" s="55">
        <f>$FL114+$FJ115</f>
        <v/>
      </c>
      <c r="FM115" s="57">
        <f>SUMIFS(tblSafety[Hours_Total],tblSafety[Date],$A115)</f>
        <v/>
      </c>
      <c r="FN115" s="57">
        <f>IF($B115=$B114,$FN114,0)+$FM115</f>
        <v/>
      </c>
      <c r="FO115" s="57">
        <f>$FO114+$FM115</f>
        <v/>
      </c>
      <c r="FP115" s="62">
        <f>SUMIFS(tblSafety[Fatality],tblSafety[Date],$A115)</f>
        <v/>
      </c>
      <c r="FQ115" s="62">
        <f>IF($B115=$B114,$FQ114,0)+$FP115</f>
        <v/>
      </c>
      <c r="FR115" s="62">
        <f>$FR114+$FP115</f>
        <v/>
      </c>
      <c r="FS115" s="62">
        <f>SUMIFS(tblSafety[LTI],tblSafety[Date],$A115)</f>
        <v/>
      </c>
      <c r="FT115" s="62">
        <f>IF($B115=$B114,$FT114,0)+$FS115</f>
        <v/>
      </c>
      <c r="FU115" s="62">
        <f>$FU114+$FS115</f>
        <v/>
      </c>
      <c r="FV115" s="62">
        <f>SUMIFS(tblSafety[RWI],tblSafety[Date],$A115)</f>
        <v/>
      </c>
      <c r="FW115" s="62">
        <f>IF($B115=$B114,$FW114,0)+$FV115</f>
        <v/>
      </c>
      <c r="FX115" s="62">
        <f>$FX114+$FV115</f>
        <v/>
      </c>
      <c r="FY115" s="62">
        <f>SUMIFS(tblSafety[MTI],tblSafety[Date],$A115)</f>
        <v/>
      </c>
      <c r="FZ115" s="62">
        <f>IF($B115=$B114,$FZ114,0)+$FY115</f>
        <v/>
      </c>
      <c r="GA115" s="62">
        <f>$GA114+$FY115</f>
        <v/>
      </c>
      <c r="GB115" s="62">
        <f>SUMIFS(tblSafety[FAI],tblSafety[Date],$A115)</f>
        <v/>
      </c>
      <c r="GC115" s="62">
        <f>IF($B115=$B114,$GC114,0)+$GB115</f>
        <v/>
      </c>
      <c r="GD115" s="62">
        <f>$GD114+$GB115</f>
        <v/>
      </c>
      <c r="GE115" s="62">
        <f>SUMIFS(tblSafety[Recordables],tblSafety[Date],$A115)</f>
        <v/>
      </c>
      <c r="GF115" s="62">
        <f>IF($B115=$B114,$GF114,0)+$GE115</f>
        <v/>
      </c>
      <c r="GG115" s="62">
        <f>$GG114+$GE115</f>
        <v/>
      </c>
      <c r="GH115" s="62">
        <f>SUMIFS(tblSafety[Near_Miss],tblSafety[Date],$A115)</f>
        <v/>
      </c>
      <c r="GI115" s="62">
        <f>IF($B115=$B114,$GI114,0)+$GH115</f>
        <v/>
      </c>
      <c r="GJ115" s="62">
        <f>$GJ114+$GH115</f>
        <v/>
      </c>
      <c r="GK115" s="62">
        <f>SUMIFS(tblSafety[Hazard_Reports],tblSafety[Date],$A115)</f>
        <v/>
      </c>
      <c r="GL115" s="62">
        <f>IF($B115=$B114,$GL114,0)+$GK115</f>
        <v/>
      </c>
      <c r="GM115" s="62">
        <f>$GM114+$GK115</f>
        <v/>
      </c>
      <c r="GN115" s="62">
        <f>SUMIFS(tblSafety[HPI],tblSafety[Date],$A115)</f>
        <v/>
      </c>
      <c r="GO115" s="62">
        <f>IF($B115=$B114,$GO114,0)+$GN115</f>
        <v/>
      </c>
      <c r="GP115" s="62">
        <f>$GP114+$GN115</f>
        <v/>
      </c>
      <c r="GQ115" s="62">
        <f>SUMIFS(tblSafety[Env_Incidents],tblSafety[Date],$A115)</f>
        <v/>
      </c>
      <c r="GR115" s="62">
        <f>IF($B115=$B114,$GR114,0)+$GQ115</f>
        <v/>
      </c>
      <c r="GS115" s="62">
        <f>$GS114+$GQ115</f>
        <v/>
      </c>
      <c r="GT115" s="62">
        <f>SUMIFS(tblSafety[Community_Incidents],tblSafety[Date],$A115)</f>
        <v/>
      </c>
      <c r="GU115" s="62">
        <f>IF($B115=$B114,$GU114,0)+$GT115</f>
        <v/>
      </c>
      <c r="GV115" s="62">
        <f>$GV114+$GT115</f>
        <v/>
      </c>
      <c r="GW115" s="62">
        <f>SUMIFS(tblSafety[Vehicle_Incidents],tblSafety[Date],$A115)</f>
        <v/>
      </c>
      <c r="GX115" s="62">
        <f>IF($B115=$B114,$GX114,0)+$GW115</f>
        <v/>
      </c>
      <c r="GY115" s="62">
        <f>$GY114+$GW115</f>
        <v/>
      </c>
      <c r="GZ115" s="62">
        <f>SUMIFS(tblSafety[Toolbox_Talks],tblSafety[Date],$A115)</f>
        <v/>
      </c>
      <c r="HA115" s="62">
        <f>IF($B115=$B114,$HA114,0)+$GZ115</f>
        <v/>
      </c>
      <c r="HB115" s="62">
        <f>$HB114+$GZ115</f>
        <v/>
      </c>
      <c r="HC115" s="62">
        <f>SUMIFS(tblSafety[Inspections],tblSafety[Date],$A115)</f>
        <v/>
      </c>
      <c r="HD115" s="62">
        <f>IF($B115=$B114,$HD114,0)+$HC115</f>
        <v/>
      </c>
      <c r="HE115" s="62">
        <f>$HE114+$HC115</f>
        <v/>
      </c>
      <c r="HF115" s="56">
        <f>IFERROR((SUMIFS(tblSafety[Recordables],tblSafety[Date],"&gt;="&amp;EDATE($E115,-12),tblSafety[Date],"&lt;="&amp;$A115)+SUMIFS(tblSafetyHistory[Recordables],tblSafetyHistory[Month],"&gt;="&amp;EDATE($E115,-12),tblSafetyHistory[Month],"&lt;"&amp;cfg_YearStart))/(SUMIFS(tblSafety[Hours_Total],tblSafety[Date],"&gt;="&amp;EDATE($E115,-12),tblSafety[Date],"&lt;="&amp;$A115)+SUMIFS(tblSafetyHistory[Hours_Total],tblSafetyHistory[Month],"&gt;="&amp;EDATE($E115,-12),tblSafetyHistory[Month],"&lt;"&amp;cfg_YearStart))*1000000,"")</f>
        <v/>
      </c>
      <c r="HG115" s="56">
        <f>IFERROR((SUMIFS(tblSafety[LTI],tblSafety[Date],"&gt;="&amp;EDATE($E115,-12),tblSafety[Date],"&lt;="&amp;$A115)+SUMIFS(tblSafetyHistory[LTI],tblSafetyHistory[Month],"&gt;="&amp;EDATE($E115,-12),tblSafetyHistory[Month],"&lt;"&amp;cfg_YearStart))/(SUMIFS(tblSafety[Hours_Total],tblSafety[Date],"&gt;="&amp;EDATE($E115,-12),tblSafety[Date],"&lt;="&amp;$A115)+SUMIFS(tblSafetyHistory[Hours_Total],tblSafetyHistory[Month],"&gt;="&amp;EDATE($E115,-12),tblSafetyHistory[Month],"&lt;"&amp;cfg_YearStart))*1000000,"")</f>
        <v/>
      </c>
      <c r="HH115" s="62">
        <f>IF(MAX(N(cfg_PriorLTIDate),_xlfn.MAXIFS(tblSafety[Date],tblSafety[LTI],"&gt;0",tblSafety[Date],"&lt;="&amp;$A115))=0,"",$A115-MAX(N(cfg_PriorLTIDate),_xlfn.MAXIFS(tblSafety[Date],tblSafety[LTI],"&gt;0",tblSafety[Date],"&lt;="&amp;$A115)))</f>
        <v/>
      </c>
      <c r="HI115" s="55">
        <f>SUMIFS(tblBudget[Ore_Mined_t],tblBudget[Month],$E115)</f>
        <v/>
      </c>
      <c r="HJ115" s="55">
        <f>$HI115*$C115/$D115</f>
        <v/>
      </c>
      <c r="HK115" s="55">
        <f>SUMIFS(tblBudget[Ore_Mined_t],tblBudget[Month],"&lt;"&amp;$E115)+$HJ115</f>
        <v/>
      </c>
      <c r="HL115" s="55">
        <f>SUMIFS(tblBudget[Ore_oz],tblBudget[Month],$E115)</f>
        <v/>
      </c>
      <c r="HM115" s="55">
        <f>$HL115*$C115/$D115</f>
        <v/>
      </c>
      <c r="HN115" s="55">
        <f>SUMIFS(tblBudget[Ore_oz],tblBudget[Month],"&lt;"&amp;$E115)+$HM115</f>
        <v/>
      </c>
      <c r="HO115" s="56">
        <f>IFERROR(IF(($HI115)&gt;0,($HL115*cfg_TroyOz)/($HI115),""),"")</f>
        <v/>
      </c>
      <c r="HP115" s="56">
        <f>IFERROR(IF(($HJ115)&gt;0,($HM115*cfg_TroyOz)/($HJ115),""),"")</f>
        <v/>
      </c>
      <c r="HQ115" s="56">
        <f>IFERROR(IF(($HK115)&gt;0,($HN115*cfg_TroyOz)/($HK115),""),"")</f>
        <v/>
      </c>
      <c r="HR115" s="55">
        <f>SUMIFS(tblBudget[Waste_t],tblBudget[Month],$E115)</f>
        <v/>
      </c>
      <c r="HS115" s="55">
        <f>$HR115*$C115/$D115</f>
        <v/>
      </c>
      <c r="HT115" s="55">
        <f>SUMIFS(tblBudget[Waste_t],tblBudget[Month],"&lt;"&amp;$E115)+$HS115</f>
        <v/>
      </c>
      <c r="HU115" s="55">
        <f>SUMIFS(tblBudget[TMM_t],tblBudget[Month],$E115)</f>
        <v/>
      </c>
      <c r="HV115" s="55">
        <f>$HU115*$C115/$D115</f>
        <v/>
      </c>
      <c r="HW115" s="55">
        <f>SUMIFS(tblBudget[TMM_t],tblBudget[Month],"&lt;"&amp;$E115)+$HV115</f>
        <v/>
      </c>
      <c r="HX115" s="56">
        <f>IFERROR(IF(($HI115)&gt;0,($HR115)/($HI115),""),"")</f>
        <v/>
      </c>
      <c r="HY115" s="56">
        <f>IFERROR(IF(($HJ115)&gt;0,($HS115)/($HJ115),""),"")</f>
        <v/>
      </c>
      <c r="HZ115" s="56">
        <f>IFERROR(IF(($HK115)&gt;0,($HT115)/($HK115),""),"")</f>
        <v/>
      </c>
      <c r="IA115" s="55">
        <f>SUMIFS(tblBudget[Drill_m],tblBudget[Month],$E115)</f>
        <v/>
      </c>
      <c r="IB115" s="55">
        <f>$IA115*$C115/$D115</f>
        <v/>
      </c>
      <c r="IC115" s="55">
        <f>SUMIFS(tblBudget[Drill_m],tblBudget[Month],"&lt;"&amp;$E115)+$IB115</f>
        <v/>
      </c>
      <c r="ID115" s="55">
        <f>SUMIFS(tblBudget[Diesel_L],tblBudget[Month],$E115)</f>
        <v/>
      </c>
      <c r="IE115" s="55">
        <f>$ID115*$C115/$D115</f>
        <v/>
      </c>
      <c r="IF115" s="55">
        <f>SUMIFS(tblBudget[Diesel_L],tblBudget[Month],"&lt;"&amp;$E115)+$IE115</f>
        <v/>
      </c>
      <c r="IG115" s="55">
        <f>SUMIFS(tblBudget[Milled_t],tblBudget[Month],$E115)</f>
        <v/>
      </c>
      <c r="IH115" s="55">
        <f>$IG115*$C115/$D115</f>
        <v/>
      </c>
      <c r="II115" s="55">
        <f>SUMIFS(tblBudget[Milled_t],tblBudget[Month],"&lt;"&amp;$E115)+$IH115</f>
        <v/>
      </c>
      <c r="IJ115" s="55">
        <f>SUMIFS(tblBudget[Feed_oz],tblBudget[Month],$E115)</f>
        <v/>
      </c>
      <c r="IK115" s="55">
        <f>$IJ115*$C115/$D115</f>
        <v/>
      </c>
      <c r="IL115" s="55">
        <f>SUMIFS(tblBudget[Feed_oz],tblBudget[Month],"&lt;"&amp;$E115)+$IK115</f>
        <v/>
      </c>
      <c r="IM115" s="55">
        <f>SUMIFS(tblBudget[Recovered_oz],tblBudget[Month],$E115)</f>
        <v/>
      </c>
      <c r="IN115" s="55">
        <f>$IM115*$C115/$D115</f>
        <v/>
      </c>
      <c r="IO115" s="55">
        <f>SUMIFS(tblBudget[Recovered_oz],tblBudget[Month],"&lt;"&amp;$E115)+$IN115</f>
        <v/>
      </c>
      <c r="IP115" s="56">
        <f>IFERROR(IF(($IG115)&gt;0,($IJ115*cfg_TroyOz)/($IG115),""),"")</f>
        <v/>
      </c>
      <c r="IQ115" s="56">
        <f>IFERROR(IF(($IH115)&gt;0,($IK115*cfg_TroyOz)/($IH115),""),"")</f>
        <v/>
      </c>
      <c r="IR115" s="56">
        <f>IFERROR(IF(($II115)&gt;0,($IL115*cfg_TroyOz)/($II115),""),"")</f>
        <v/>
      </c>
      <c r="IS115" s="67">
        <f>IFERROR(IF(($IJ115)&gt;0,($IM115)/($IJ115),""),"")</f>
        <v/>
      </c>
      <c r="IT115" s="67">
        <f>IFERROR(IF(($IK115)&gt;0,($IN115)/($IK115),""),"")</f>
        <v/>
      </c>
      <c r="IU115" s="67">
        <f>IFERROR(IF(($IL115)&gt;0,($IO115)/($IL115),""),"")</f>
        <v/>
      </c>
      <c r="IV115" s="55">
        <f>SUMIFS(tblBudget[Gold_Poured_oz],tblBudget[Month],$E115)</f>
        <v/>
      </c>
      <c r="IW115" s="55">
        <f>$IV115*$C115/$D115</f>
        <v/>
      </c>
      <c r="IX115" s="55">
        <f>SUMIFS(tblBudget[Gold_Poured_oz],tblBudget[Month],"&lt;"&amp;$E115)+$IW115</f>
        <v/>
      </c>
      <c r="IY115" s="57">
        <f>SUMIFS(tblBudget[Hours_Worked],tblBudget[Month],$E115)</f>
        <v/>
      </c>
      <c r="IZ115" s="57">
        <f>$IY115*$C115/$D115</f>
        <v/>
      </c>
      <c r="JA115" s="57">
        <f>SUMIFS(tblBudget[Hours_Worked],tblBudget[Month],"&lt;"&amp;$E115)+$IZ115</f>
        <v/>
      </c>
    </row>
    <row r="116">
      <c r="A116" s="54" t="n">
        <v>46137</v>
      </c>
      <c r="B116">
        <f>MONTH($A116)</f>
        <v/>
      </c>
      <c r="C116">
        <f>DAY($A116)</f>
        <v/>
      </c>
      <c r="D116">
        <f>DAY(EOMONTH($A116,0))</f>
        <v/>
      </c>
      <c r="E116" s="54">
        <f>DATE(YEAR($A116),MONTH($A116),1)</f>
        <v/>
      </c>
      <c r="F116" s="55">
        <f>SUMIFS(tblMovement[Tonnes_t],tblMovement[Date],$A116,tblMovement[Is_Ore],1,tblMovement[Source_Type],"Pit")</f>
        <v/>
      </c>
      <c r="G116" s="55">
        <f>IF($B116=$B115,$G115,0)+$F116</f>
        <v/>
      </c>
      <c r="H116" s="55">
        <f>$H115+$F116</f>
        <v/>
      </c>
      <c r="I116" s="55">
        <f>SUMIFS(tblMovement[Ore_oz],tblMovement[Date],$A116,tblMovement[Source_Type],"Pit")</f>
        <v/>
      </c>
      <c r="J116" s="55">
        <f>IF($B116=$B115,$J115,0)+$I116</f>
        <v/>
      </c>
      <c r="K116" s="55">
        <f>$K115+$I116</f>
        <v/>
      </c>
      <c r="L116" s="56">
        <f>IFERROR(IF(($F116)&gt;0,($I116*cfg_TroyOz)/($F116),""),"")</f>
        <v/>
      </c>
      <c r="M116" s="56">
        <f>IFERROR(IF(($G116)&gt;0,($J116*cfg_TroyOz)/($G116),""),"")</f>
        <v/>
      </c>
      <c r="N116" s="56">
        <f>IFERROR(IF(($H116)&gt;0,($K116*cfg_TroyOz)/($H116),""),"")</f>
        <v/>
      </c>
      <c r="O116" s="55">
        <f>SUMIFS(tblMovement[Tonnes_t],tblMovement[Date],$A116,tblMovement[Is_Ore],0,tblMovement[Source_Type],"Pit")</f>
        <v/>
      </c>
      <c r="P116" s="55">
        <f>IF($B116=$B115,$P115,0)+$O116</f>
        <v/>
      </c>
      <c r="Q116" s="55">
        <f>$Q115+$O116</f>
        <v/>
      </c>
      <c r="R116" s="55">
        <f>$F116+$O116</f>
        <v/>
      </c>
      <c r="S116" s="55">
        <f>IF($B116=$B115,$S115,0)+$R116</f>
        <v/>
      </c>
      <c r="T116" s="55">
        <f>$T115+$R116</f>
        <v/>
      </c>
      <c r="U116" s="56">
        <f>IFERROR(IF(($F116)&gt;0,($O116)/($F116),""),"")</f>
        <v/>
      </c>
      <c r="V116" s="56">
        <f>IFERROR(IF(($G116)&gt;0,($P116)/($G116),""),"")</f>
        <v/>
      </c>
      <c r="W116" s="56">
        <f>IFERROR(IF(($H116)&gt;0,($Q116)/($H116),""),"")</f>
        <v/>
      </c>
      <c r="X116" s="55">
        <f>SUMIFS(tblMovement[Tonnes_t],tblMovement[Date],$A116,tblMovement[Source_Type],"Stockpile")</f>
        <v/>
      </c>
      <c r="Y116" s="55">
        <f>IF($B116=$B115,$Y115,0)+$X116</f>
        <v/>
      </c>
      <c r="Z116" s="55">
        <f>$Z115+$X116</f>
        <v/>
      </c>
      <c r="AA116" s="55">
        <f>SUMIFS(tblMiningDaily[Drill_m],tblMiningDaily[Date],$A116)</f>
        <v/>
      </c>
      <c r="AB116" s="55">
        <f>IF($B116=$B115,$AB115,0)+$AA116</f>
        <v/>
      </c>
      <c r="AC116" s="55">
        <f>$AC115+$AA116</f>
        <v/>
      </c>
      <c r="AD116" s="55">
        <f>SUMIFS(tblMiningDaily[Blast_t],tblMiningDaily[Date],$A116)</f>
        <v/>
      </c>
      <c r="AE116" s="55">
        <f>IF($B116=$B115,$AE115,0)+$AD116</f>
        <v/>
      </c>
      <c r="AF116" s="55">
        <f>$AF115+$AD116</f>
        <v/>
      </c>
      <c r="AG116" s="55">
        <f>SUMIFS(tblMiningDaily[Explosives_kg],tblMiningDaily[Date],$A116)</f>
        <v/>
      </c>
      <c r="AH116" s="55">
        <f>IF($B116=$B115,$AH115,0)+$AG116</f>
        <v/>
      </c>
      <c r="AI116" s="55">
        <f>$AI115+$AG116</f>
        <v/>
      </c>
      <c r="AJ116" s="56">
        <f>IFERROR(IF(($AD116)&gt;0,($AG116)/($AD116),""),"")</f>
        <v/>
      </c>
      <c r="AK116" s="56">
        <f>IFERROR(IF(($AE116)&gt;0,($AH116)/($AE116),""),"")</f>
        <v/>
      </c>
      <c r="AL116" s="56">
        <f>IFERROR(IF(($AF116)&gt;0,($AI116)/($AF116),""),"")</f>
        <v/>
      </c>
      <c r="AM116" s="55">
        <f>SUMIFS(tblMiningDaily[Diesel_L],tblMiningDaily[Date],$A116)</f>
        <v/>
      </c>
      <c r="AN116" s="55">
        <f>IF($B116=$B115,$AN115,0)+$AM116</f>
        <v/>
      </c>
      <c r="AO116" s="55">
        <f>$AO115+$AM116</f>
        <v/>
      </c>
      <c r="AP116" s="55">
        <f>SUMIFS(tblMiningDaily[Dewatering_m3],tblMiningDaily[Date],$A116)</f>
        <v/>
      </c>
      <c r="AQ116" s="55">
        <f>IF($B116=$B115,$AQ115,0)+$AP116</f>
        <v/>
      </c>
      <c r="AR116" s="55">
        <f>$AR115+$AP116</f>
        <v/>
      </c>
      <c r="AS116" s="57">
        <f>SUMIFS(tblFleet[Calendar_h],tblFleet[Date],$A116,tblFleet[Equipment_Class],"Excavator")</f>
        <v/>
      </c>
      <c r="AT116" s="57">
        <f>IF($B116=$B115,$AT115,0)+$AS116</f>
        <v/>
      </c>
      <c r="AU116" s="57">
        <f>$AU115+$AS116</f>
        <v/>
      </c>
      <c r="AV116" s="57">
        <f>SUMIFS(tblFleet[Available_h],tblFleet[Date],$A116,tblFleet[Equipment_Class],"Excavator")</f>
        <v/>
      </c>
      <c r="AW116" s="57">
        <f>IF($B116=$B115,$AW115,0)+$AV116</f>
        <v/>
      </c>
      <c r="AX116" s="57">
        <f>$AX115+$AV116</f>
        <v/>
      </c>
      <c r="AY116" s="57">
        <f>SUMIFS(tblFleet[Operating_h],tblFleet[Date],$A116,tblFleet[Equipment_Class],"Excavator")</f>
        <v/>
      </c>
      <c r="AZ116" s="57">
        <f>IF($B116=$B115,$AZ115,0)+$AY116</f>
        <v/>
      </c>
      <c r="BA116" s="57">
        <f>$BA115+$AY116</f>
        <v/>
      </c>
      <c r="BB116" s="67">
        <f>IFERROR(IF(($AS116)&gt;0,($AV116)/($AS116),""),"")</f>
        <v/>
      </c>
      <c r="BC116" s="67">
        <f>IFERROR(IF(($AT116)&gt;0,($AW116)/($AT116),""),"")</f>
        <v/>
      </c>
      <c r="BD116" s="67">
        <f>IFERROR(IF(($AU116)&gt;0,($AX116)/($AU116),""),"")</f>
        <v/>
      </c>
      <c r="BE116" s="67">
        <f>IFERROR(IF(($AV116)&gt;0,($AY116)/($AV116),""),"")</f>
        <v/>
      </c>
      <c r="BF116" s="67">
        <f>IFERROR(IF(($AW116)&gt;0,($AZ116)/($AW116),""),"")</f>
        <v/>
      </c>
      <c r="BG116" s="67">
        <f>IFERROR(IF(($AX116)&gt;0,($BA116)/($AX116),""),"")</f>
        <v/>
      </c>
      <c r="BH116" s="57">
        <f>SUMIFS(tblFleet[Calendar_h],tblFleet[Date],$A116,tblFleet[Equipment_Class],"Haul Truck")</f>
        <v/>
      </c>
      <c r="BI116" s="57">
        <f>IF($B116=$B115,$BI115,0)+$BH116</f>
        <v/>
      </c>
      <c r="BJ116" s="57">
        <f>$BJ115+$BH116</f>
        <v/>
      </c>
      <c r="BK116" s="57">
        <f>SUMIFS(tblFleet[Available_h],tblFleet[Date],$A116,tblFleet[Equipment_Class],"Haul Truck")</f>
        <v/>
      </c>
      <c r="BL116" s="57">
        <f>IF($B116=$B115,$BL115,0)+$BK116</f>
        <v/>
      </c>
      <c r="BM116" s="57">
        <f>$BM115+$BK116</f>
        <v/>
      </c>
      <c r="BN116" s="57">
        <f>SUMIFS(tblFleet[Operating_h],tblFleet[Date],$A116,tblFleet[Equipment_Class],"Haul Truck")</f>
        <v/>
      </c>
      <c r="BO116" s="57">
        <f>IF($B116=$B115,$BO115,0)+$BN116</f>
        <v/>
      </c>
      <c r="BP116" s="57">
        <f>$BP115+$BN116</f>
        <v/>
      </c>
      <c r="BQ116" s="67">
        <f>IFERROR(IF(($BH116)&gt;0,($BK116)/($BH116),""),"")</f>
        <v/>
      </c>
      <c r="BR116" s="67">
        <f>IFERROR(IF(($BI116)&gt;0,($BL116)/($BI116),""),"")</f>
        <v/>
      </c>
      <c r="BS116" s="67">
        <f>IFERROR(IF(($BJ116)&gt;0,($BM116)/($BJ116),""),"")</f>
        <v/>
      </c>
      <c r="BT116" s="67">
        <f>IFERROR(IF(($BK116)&gt;0,($BN116)/($BK116),""),"")</f>
        <v/>
      </c>
      <c r="BU116" s="67">
        <f>IFERROR(IF(($BL116)&gt;0,($BO116)/($BL116),""),"")</f>
        <v/>
      </c>
      <c r="BV116" s="67">
        <f>IFERROR(IF(($BM116)&gt;0,($BP116)/($BM116),""),"")</f>
        <v/>
      </c>
      <c r="BW116" s="55">
        <f>SUMIFS(tblPlant[Crushed_t],tblPlant[Date],$A116)</f>
        <v/>
      </c>
      <c r="BX116" s="55">
        <f>IF($B116=$B115,$BX115,0)+$BW116</f>
        <v/>
      </c>
      <c r="BY116" s="55">
        <f>$BY115+$BW116</f>
        <v/>
      </c>
      <c r="BZ116" s="55">
        <f>SUMIFS(tblPlant[Milled_t],tblPlant[Date],$A116)</f>
        <v/>
      </c>
      <c r="CA116" s="55">
        <f>IF($B116=$B115,$CA115,0)+$BZ116</f>
        <v/>
      </c>
      <c r="CB116" s="55">
        <f>$CB115+$BZ116</f>
        <v/>
      </c>
      <c r="CC116" s="55">
        <f>SUMIFS(tblPlant[Feed_oz],tblPlant[Date],$A116)</f>
        <v/>
      </c>
      <c r="CD116" s="55">
        <f>IF($B116=$B115,$CD115,0)+$CC116</f>
        <v/>
      </c>
      <c r="CE116" s="55">
        <f>$CE115+$CC116</f>
        <v/>
      </c>
      <c r="CF116" s="55">
        <f>SUMIFS(tblPlant[Tails_oz],tblPlant[Date],$A116)</f>
        <v/>
      </c>
      <c r="CG116" s="55">
        <f>IF($B116=$B115,$CG115,0)+$CF116</f>
        <v/>
      </c>
      <c r="CH116" s="55">
        <f>$CH115+$CF116</f>
        <v/>
      </c>
      <c r="CI116" s="55">
        <f>SUMIFS(tblPlant[Recovered_oz],tblPlant[Date],$A116)</f>
        <v/>
      </c>
      <c r="CJ116" s="55">
        <f>IF($B116=$B115,$CJ115,0)+$CI116</f>
        <v/>
      </c>
      <c r="CK116" s="55">
        <f>$CK115+$CI116</f>
        <v/>
      </c>
      <c r="CL116" s="56">
        <f>IFERROR(IF(($BZ116)&gt;0,($CC116*cfg_TroyOz)/($BZ116),""),"")</f>
        <v/>
      </c>
      <c r="CM116" s="56">
        <f>IFERROR(IF(($CA116)&gt;0,($CD116*cfg_TroyOz)/($CA116),""),"")</f>
        <v/>
      </c>
      <c r="CN116" s="56">
        <f>IFERROR(IF(($CB116)&gt;0,($CE116*cfg_TroyOz)/($CB116),""),"")</f>
        <v/>
      </c>
      <c r="CO116" s="56">
        <f>IFERROR(IF(($BZ116)&gt;0,($CF116*cfg_TroyOz)/($BZ116),""),"")</f>
        <v/>
      </c>
      <c r="CP116" s="56">
        <f>IFERROR(IF(($CA116)&gt;0,($CG116*cfg_TroyOz)/($CA116),""),"")</f>
        <v/>
      </c>
      <c r="CQ116" s="56">
        <f>IFERROR(IF(($CB116)&gt;0,($CH116*cfg_TroyOz)/($CB116),""),"")</f>
        <v/>
      </c>
      <c r="CR116" s="67">
        <f>IFERROR(IF(($CC116)&gt;0,($CI116)/($CC116),""),"")</f>
        <v/>
      </c>
      <c r="CS116" s="67">
        <f>IFERROR(IF(($CD116)&gt;0,($CJ116)/($CD116),""),"")</f>
        <v/>
      </c>
      <c r="CT116" s="67">
        <f>IFERROR(IF(($CE116)&gt;0,($CK116)/($CE116),""),"")</f>
        <v/>
      </c>
      <c r="CU116" s="55">
        <f>SUMIFS(tblPlant[Gravity_Gold_oz],tblPlant[Date],$A116)</f>
        <v/>
      </c>
      <c r="CV116" s="55">
        <f>IF($B116=$B115,$CV115,0)+$CU116</f>
        <v/>
      </c>
      <c r="CW116" s="55">
        <f>$CW115+$CU116</f>
        <v/>
      </c>
      <c r="CX116" s="55">
        <f>SUMIFS(tblPlant[Gold_Poured_oz],tblPlant[Date],$A116)</f>
        <v/>
      </c>
      <c r="CY116" s="55">
        <f>IF($B116=$B115,$CY115,0)+$CX116</f>
        <v/>
      </c>
      <c r="CZ116" s="55">
        <f>$CZ115+$CX116</f>
        <v/>
      </c>
      <c r="DA116" s="57">
        <f>SUMIFS(tblPlant[Mill_Run_h],tblPlant[Date],$A116)</f>
        <v/>
      </c>
      <c r="DB116" s="57">
        <f>IF($B116=$B115,$DB115,0)+$DA116</f>
        <v/>
      </c>
      <c r="DC116" s="57">
        <f>$DC115+$DA116</f>
        <v/>
      </c>
      <c r="DD116" s="57">
        <f>SUMIFS(tblPlant[Mill_Planned_Maint_h],tblPlant[Date],$A116)</f>
        <v/>
      </c>
      <c r="DE116" s="57">
        <f>IF($B116=$B115,$DE115,0)+$DD116</f>
        <v/>
      </c>
      <c r="DF116" s="57">
        <f>$DF115+$DD116</f>
        <v/>
      </c>
      <c r="DG116" s="57">
        <f>SUMIFS(tblPlant[Mill_Unplanned_Down_h],tblPlant[Date],$A116)</f>
        <v/>
      </c>
      <c r="DH116" s="57">
        <f>IF($B116=$B115,$DH115,0)+$DG116</f>
        <v/>
      </c>
      <c r="DI116" s="57">
        <f>$DI115+$DG116</f>
        <v/>
      </c>
      <c r="DJ116" s="57">
        <f>COUNTIFS(tblPlant[Date],$A116,tblPlant[Mill_Run_h],"&lt;&gt;")*24</f>
        <v/>
      </c>
      <c r="DK116" s="57">
        <f>IF($B116=$B115,$DK115,0)+$DJ116</f>
        <v/>
      </c>
      <c r="DL116" s="57">
        <f>$DL115+$DJ116</f>
        <v/>
      </c>
      <c r="DM116" s="57">
        <f>SUMIFS(tblPlant[Crusher_Run_h],tblPlant[Date],$A116)</f>
        <v/>
      </c>
      <c r="DN116" s="57">
        <f>IF($B116=$B115,$DN115,0)+$DM116</f>
        <v/>
      </c>
      <c r="DO116" s="57">
        <f>$DO115+$DM116</f>
        <v/>
      </c>
      <c r="DP116" s="55">
        <f>IFERROR(IF(($DA116)&gt;0,($BZ116)/($DA116),""),"")</f>
        <v/>
      </c>
      <c r="DQ116" s="55">
        <f>IFERROR(IF(($DB116)&gt;0,($CA116)/($DB116),""),"")</f>
        <v/>
      </c>
      <c r="DR116" s="55">
        <f>IFERROR(IF(($DC116)&gt;0,($CB116)/($DC116),""),"")</f>
        <v/>
      </c>
      <c r="DS116" s="67">
        <f>IFERROR(IF(($DJ116)&gt;0,($DJ116-$DD116-$DG116)/($DJ116),""),"")</f>
        <v/>
      </c>
      <c r="DT116" s="67">
        <f>IFERROR(IF(($DK116)&gt;0,($DK116-$DE116-$DH116)/($DK116),""),"")</f>
        <v/>
      </c>
      <c r="DU116" s="67">
        <f>IFERROR(IF(($DL116)&gt;0,($DL116-$DF116-$DI116)/($DL116),""),"")</f>
        <v/>
      </c>
      <c r="DV116" s="67">
        <f>IFERROR(IF(($DJ116-$DD116-$DG116)&gt;0,($DA116)/($DJ116-$DD116-$DG116),""),"")</f>
        <v/>
      </c>
      <c r="DW116" s="67">
        <f>IFERROR(IF(($DK116-$DE116-$DH116)&gt;0,($DB116)/($DK116-$DE116-$DH116),""),"")</f>
        <v/>
      </c>
      <c r="DX116" s="67">
        <f>IFERROR(IF(($DL116-$DF116-$DI116)&gt;0,($DC116)/($DL116-$DF116-$DI116),""),"")</f>
        <v/>
      </c>
      <c r="DY116" s="55">
        <f>SUMIFS(tblPlant[Cyanide_kg],tblPlant[Date],$A116)</f>
        <v/>
      </c>
      <c r="DZ116" s="55">
        <f>IF($B116=$B115,$DZ115,0)+$DY116</f>
        <v/>
      </c>
      <c r="EA116" s="55">
        <f>$EA115+$DY116</f>
        <v/>
      </c>
      <c r="EB116" s="55">
        <f>SUMIFS(tblPlant[Lime_kg],tblPlant[Date],$A116)</f>
        <v/>
      </c>
      <c r="EC116" s="55">
        <f>IF($B116=$B115,$EC115,0)+$EB116</f>
        <v/>
      </c>
      <c r="ED116" s="55">
        <f>$ED115+$EB116</f>
        <v/>
      </c>
      <c r="EE116" s="55">
        <f>SUMIFS(tblPlant[Grinding_Media_kg],tblPlant[Date],$A116)</f>
        <v/>
      </c>
      <c r="EF116" s="55">
        <f>IF($B116=$B115,$EF115,0)+$EE116</f>
        <v/>
      </c>
      <c r="EG116" s="55">
        <f>$EG115+$EE116</f>
        <v/>
      </c>
      <c r="EH116" s="55">
        <f>SUMIFS(tblPlant[Power_kWh],tblPlant[Date],$A116)</f>
        <v/>
      </c>
      <c r="EI116" s="55">
        <f>IF($B116=$B115,$EI115,0)+$EH116</f>
        <v/>
      </c>
      <c r="EJ116" s="55">
        <f>$EJ115+$EH116</f>
        <v/>
      </c>
      <c r="EK116" s="55">
        <f>SUMIFS(tblPlant[Raw_Water_m3],tblPlant[Date],$A116)</f>
        <v/>
      </c>
      <c r="EL116" s="55">
        <f>IF($B116=$B115,$EL115,0)+$EK116</f>
        <v/>
      </c>
      <c r="EM116" s="55">
        <f>$EM115+$EK116</f>
        <v/>
      </c>
      <c r="EN116" s="56">
        <f>IFERROR(IF(($BZ116)&gt;0,($DY116)/($BZ116),""),"")</f>
        <v/>
      </c>
      <c r="EO116" s="56">
        <f>IFERROR(IF(($CA116)&gt;0,($DZ116)/($CA116),""),"")</f>
        <v/>
      </c>
      <c r="EP116" s="56">
        <f>IFERROR(IF(($CB116)&gt;0,($EA116)/($CB116),""),"")</f>
        <v/>
      </c>
      <c r="EQ116" s="56">
        <f>IFERROR(IF(($BZ116)&gt;0,($EB116)/($BZ116),""),"")</f>
        <v/>
      </c>
      <c r="ER116" s="56">
        <f>IFERROR(IF(($CA116)&gt;0,($EC116)/($CA116),""),"")</f>
        <v/>
      </c>
      <c r="ES116" s="56">
        <f>IFERROR(IF(($CB116)&gt;0,($ED116)/($CB116),""),"")</f>
        <v/>
      </c>
      <c r="ET116" s="56">
        <f>IFERROR(IF(($BZ116)&gt;0,($EE116)/($BZ116),""),"")</f>
        <v/>
      </c>
      <c r="EU116" s="56">
        <f>IFERROR(IF(($CA116)&gt;0,($EF116)/($CA116),""),"")</f>
        <v/>
      </c>
      <c r="EV116" s="56">
        <f>IFERROR(IF(($CB116)&gt;0,($EG116)/($CB116),""),"")</f>
        <v/>
      </c>
      <c r="EW116" s="76">
        <f>IFERROR(IF(($BZ116)&gt;0,($EH116)/($BZ116),""),"")</f>
        <v/>
      </c>
      <c r="EX116" s="76">
        <f>IFERROR(IF(($CA116)&gt;0,($EI116)/($CA116),""),"")</f>
        <v/>
      </c>
      <c r="EY116" s="76">
        <f>IFERROR(IF(($CB116)&gt;0,($EJ116)/($CB116),""),"")</f>
        <v/>
      </c>
      <c r="EZ116" s="56">
        <f>IFERROR(IF(($BZ116)&gt;0,($EK116)/($BZ116),""),"")</f>
        <v/>
      </c>
      <c r="FA116" s="56">
        <f>IFERROR(IF(($CA116)&gt;0,($EL116)/($CA116),""),"")</f>
        <v/>
      </c>
      <c r="FB116" s="56">
        <f>IFERROR(IF(($CB116)&gt;0,($EM116)/($CB116),""),"")</f>
        <v/>
      </c>
      <c r="FC116" s="55">
        <f>IF(SUMIFS(tblPlant[GIC_oz],tblPlant[Date],$A116)&gt;0,SUMIFS(tblPlant[GIC_oz],tblPlant[Date],$A116),"")</f>
        <v/>
      </c>
      <c r="FD116" s="55">
        <f>SUMIFS(tblGold[Gold_oz],tblGold[Date],$A116,tblGold[Type],"Shipment")</f>
        <v/>
      </c>
      <c r="FE116" s="55">
        <f>IF($B116=$B115,$FE115,0)+$FD116</f>
        <v/>
      </c>
      <c r="FF116" s="55">
        <f>$FF115+$FD116</f>
        <v/>
      </c>
      <c r="FG116" s="55">
        <f>SUMIFS(tblGold[Gold_oz],tblGold[Date],$A116,tblGold[Type],"Sale")</f>
        <v/>
      </c>
      <c r="FH116" s="55">
        <f>IF($B116=$B115,$FH115,0)+$FG116</f>
        <v/>
      </c>
      <c r="FI116" s="55">
        <f>$FI115+$FG116</f>
        <v/>
      </c>
      <c r="FJ116" s="55">
        <f>SUMIFS(tblGold[Dore_kg],tblGold[Date],$A116,tblGold[Type],"Shipment")</f>
        <v/>
      </c>
      <c r="FK116" s="55">
        <f>IF($B116=$B115,$FK115,0)+$FJ116</f>
        <v/>
      </c>
      <c r="FL116" s="55">
        <f>$FL115+$FJ116</f>
        <v/>
      </c>
      <c r="FM116" s="57">
        <f>SUMIFS(tblSafety[Hours_Total],tblSafety[Date],$A116)</f>
        <v/>
      </c>
      <c r="FN116" s="57">
        <f>IF($B116=$B115,$FN115,0)+$FM116</f>
        <v/>
      </c>
      <c r="FO116" s="57">
        <f>$FO115+$FM116</f>
        <v/>
      </c>
      <c r="FP116" s="62">
        <f>SUMIFS(tblSafety[Fatality],tblSafety[Date],$A116)</f>
        <v/>
      </c>
      <c r="FQ116" s="62">
        <f>IF($B116=$B115,$FQ115,0)+$FP116</f>
        <v/>
      </c>
      <c r="FR116" s="62">
        <f>$FR115+$FP116</f>
        <v/>
      </c>
      <c r="FS116" s="62">
        <f>SUMIFS(tblSafety[LTI],tblSafety[Date],$A116)</f>
        <v/>
      </c>
      <c r="FT116" s="62">
        <f>IF($B116=$B115,$FT115,0)+$FS116</f>
        <v/>
      </c>
      <c r="FU116" s="62">
        <f>$FU115+$FS116</f>
        <v/>
      </c>
      <c r="FV116" s="62">
        <f>SUMIFS(tblSafety[RWI],tblSafety[Date],$A116)</f>
        <v/>
      </c>
      <c r="FW116" s="62">
        <f>IF($B116=$B115,$FW115,0)+$FV116</f>
        <v/>
      </c>
      <c r="FX116" s="62">
        <f>$FX115+$FV116</f>
        <v/>
      </c>
      <c r="FY116" s="62">
        <f>SUMIFS(tblSafety[MTI],tblSafety[Date],$A116)</f>
        <v/>
      </c>
      <c r="FZ116" s="62">
        <f>IF($B116=$B115,$FZ115,0)+$FY116</f>
        <v/>
      </c>
      <c r="GA116" s="62">
        <f>$GA115+$FY116</f>
        <v/>
      </c>
      <c r="GB116" s="62">
        <f>SUMIFS(tblSafety[FAI],tblSafety[Date],$A116)</f>
        <v/>
      </c>
      <c r="GC116" s="62">
        <f>IF($B116=$B115,$GC115,0)+$GB116</f>
        <v/>
      </c>
      <c r="GD116" s="62">
        <f>$GD115+$GB116</f>
        <v/>
      </c>
      <c r="GE116" s="62">
        <f>SUMIFS(tblSafety[Recordables],tblSafety[Date],$A116)</f>
        <v/>
      </c>
      <c r="GF116" s="62">
        <f>IF($B116=$B115,$GF115,0)+$GE116</f>
        <v/>
      </c>
      <c r="GG116" s="62">
        <f>$GG115+$GE116</f>
        <v/>
      </c>
      <c r="GH116" s="62">
        <f>SUMIFS(tblSafety[Near_Miss],tblSafety[Date],$A116)</f>
        <v/>
      </c>
      <c r="GI116" s="62">
        <f>IF($B116=$B115,$GI115,0)+$GH116</f>
        <v/>
      </c>
      <c r="GJ116" s="62">
        <f>$GJ115+$GH116</f>
        <v/>
      </c>
      <c r="GK116" s="62">
        <f>SUMIFS(tblSafety[Hazard_Reports],tblSafety[Date],$A116)</f>
        <v/>
      </c>
      <c r="GL116" s="62">
        <f>IF($B116=$B115,$GL115,0)+$GK116</f>
        <v/>
      </c>
      <c r="GM116" s="62">
        <f>$GM115+$GK116</f>
        <v/>
      </c>
      <c r="GN116" s="62">
        <f>SUMIFS(tblSafety[HPI],tblSafety[Date],$A116)</f>
        <v/>
      </c>
      <c r="GO116" s="62">
        <f>IF($B116=$B115,$GO115,0)+$GN116</f>
        <v/>
      </c>
      <c r="GP116" s="62">
        <f>$GP115+$GN116</f>
        <v/>
      </c>
      <c r="GQ116" s="62">
        <f>SUMIFS(tblSafety[Env_Incidents],tblSafety[Date],$A116)</f>
        <v/>
      </c>
      <c r="GR116" s="62">
        <f>IF($B116=$B115,$GR115,0)+$GQ116</f>
        <v/>
      </c>
      <c r="GS116" s="62">
        <f>$GS115+$GQ116</f>
        <v/>
      </c>
      <c r="GT116" s="62">
        <f>SUMIFS(tblSafety[Community_Incidents],tblSafety[Date],$A116)</f>
        <v/>
      </c>
      <c r="GU116" s="62">
        <f>IF($B116=$B115,$GU115,0)+$GT116</f>
        <v/>
      </c>
      <c r="GV116" s="62">
        <f>$GV115+$GT116</f>
        <v/>
      </c>
      <c r="GW116" s="62">
        <f>SUMIFS(tblSafety[Vehicle_Incidents],tblSafety[Date],$A116)</f>
        <v/>
      </c>
      <c r="GX116" s="62">
        <f>IF($B116=$B115,$GX115,0)+$GW116</f>
        <v/>
      </c>
      <c r="GY116" s="62">
        <f>$GY115+$GW116</f>
        <v/>
      </c>
      <c r="GZ116" s="62">
        <f>SUMIFS(tblSafety[Toolbox_Talks],tblSafety[Date],$A116)</f>
        <v/>
      </c>
      <c r="HA116" s="62">
        <f>IF($B116=$B115,$HA115,0)+$GZ116</f>
        <v/>
      </c>
      <c r="HB116" s="62">
        <f>$HB115+$GZ116</f>
        <v/>
      </c>
      <c r="HC116" s="62">
        <f>SUMIFS(tblSafety[Inspections],tblSafety[Date],$A116)</f>
        <v/>
      </c>
      <c r="HD116" s="62">
        <f>IF($B116=$B115,$HD115,0)+$HC116</f>
        <v/>
      </c>
      <c r="HE116" s="62">
        <f>$HE115+$HC116</f>
        <v/>
      </c>
      <c r="HF116" s="56">
        <f>IFERROR((SUMIFS(tblSafety[Recordables],tblSafety[Date],"&gt;="&amp;EDATE($E116,-12),tblSafety[Date],"&lt;="&amp;$A116)+SUMIFS(tblSafetyHistory[Recordables],tblSafetyHistory[Month],"&gt;="&amp;EDATE($E116,-12),tblSafetyHistory[Month],"&lt;"&amp;cfg_YearStart))/(SUMIFS(tblSafety[Hours_Total],tblSafety[Date],"&gt;="&amp;EDATE($E116,-12),tblSafety[Date],"&lt;="&amp;$A116)+SUMIFS(tblSafetyHistory[Hours_Total],tblSafetyHistory[Month],"&gt;="&amp;EDATE($E116,-12),tblSafetyHistory[Month],"&lt;"&amp;cfg_YearStart))*1000000,"")</f>
        <v/>
      </c>
      <c r="HG116" s="56">
        <f>IFERROR((SUMIFS(tblSafety[LTI],tblSafety[Date],"&gt;="&amp;EDATE($E116,-12),tblSafety[Date],"&lt;="&amp;$A116)+SUMIFS(tblSafetyHistory[LTI],tblSafetyHistory[Month],"&gt;="&amp;EDATE($E116,-12),tblSafetyHistory[Month],"&lt;"&amp;cfg_YearStart))/(SUMIFS(tblSafety[Hours_Total],tblSafety[Date],"&gt;="&amp;EDATE($E116,-12),tblSafety[Date],"&lt;="&amp;$A116)+SUMIFS(tblSafetyHistory[Hours_Total],tblSafetyHistory[Month],"&gt;="&amp;EDATE($E116,-12),tblSafetyHistory[Month],"&lt;"&amp;cfg_YearStart))*1000000,"")</f>
        <v/>
      </c>
      <c r="HH116" s="62">
        <f>IF(MAX(N(cfg_PriorLTIDate),_xlfn.MAXIFS(tblSafety[Date],tblSafety[LTI],"&gt;0",tblSafety[Date],"&lt;="&amp;$A116))=0,"",$A116-MAX(N(cfg_PriorLTIDate),_xlfn.MAXIFS(tblSafety[Date],tblSafety[LTI],"&gt;0",tblSafety[Date],"&lt;="&amp;$A116)))</f>
        <v/>
      </c>
      <c r="HI116" s="55">
        <f>SUMIFS(tblBudget[Ore_Mined_t],tblBudget[Month],$E116)</f>
        <v/>
      </c>
      <c r="HJ116" s="55">
        <f>$HI116*$C116/$D116</f>
        <v/>
      </c>
      <c r="HK116" s="55">
        <f>SUMIFS(tblBudget[Ore_Mined_t],tblBudget[Month],"&lt;"&amp;$E116)+$HJ116</f>
        <v/>
      </c>
      <c r="HL116" s="55">
        <f>SUMIFS(tblBudget[Ore_oz],tblBudget[Month],$E116)</f>
        <v/>
      </c>
      <c r="HM116" s="55">
        <f>$HL116*$C116/$D116</f>
        <v/>
      </c>
      <c r="HN116" s="55">
        <f>SUMIFS(tblBudget[Ore_oz],tblBudget[Month],"&lt;"&amp;$E116)+$HM116</f>
        <v/>
      </c>
      <c r="HO116" s="56">
        <f>IFERROR(IF(($HI116)&gt;0,($HL116*cfg_TroyOz)/($HI116),""),"")</f>
        <v/>
      </c>
      <c r="HP116" s="56">
        <f>IFERROR(IF(($HJ116)&gt;0,($HM116*cfg_TroyOz)/($HJ116),""),"")</f>
        <v/>
      </c>
      <c r="HQ116" s="56">
        <f>IFERROR(IF(($HK116)&gt;0,($HN116*cfg_TroyOz)/($HK116),""),"")</f>
        <v/>
      </c>
      <c r="HR116" s="55">
        <f>SUMIFS(tblBudget[Waste_t],tblBudget[Month],$E116)</f>
        <v/>
      </c>
      <c r="HS116" s="55">
        <f>$HR116*$C116/$D116</f>
        <v/>
      </c>
      <c r="HT116" s="55">
        <f>SUMIFS(tblBudget[Waste_t],tblBudget[Month],"&lt;"&amp;$E116)+$HS116</f>
        <v/>
      </c>
      <c r="HU116" s="55">
        <f>SUMIFS(tblBudget[TMM_t],tblBudget[Month],$E116)</f>
        <v/>
      </c>
      <c r="HV116" s="55">
        <f>$HU116*$C116/$D116</f>
        <v/>
      </c>
      <c r="HW116" s="55">
        <f>SUMIFS(tblBudget[TMM_t],tblBudget[Month],"&lt;"&amp;$E116)+$HV116</f>
        <v/>
      </c>
      <c r="HX116" s="56">
        <f>IFERROR(IF(($HI116)&gt;0,($HR116)/($HI116),""),"")</f>
        <v/>
      </c>
      <c r="HY116" s="56">
        <f>IFERROR(IF(($HJ116)&gt;0,($HS116)/($HJ116),""),"")</f>
        <v/>
      </c>
      <c r="HZ116" s="56">
        <f>IFERROR(IF(($HK116)&gt;0,($HT116)/($HK116),""),"")</f>
        <v/>
      </c>
      <c r="IA116" s="55">
        <f>SUMIFS(tblBudget[Drill_m],tblBudget[Month],$E116)</f>
        <v/>
      </c>
      <c r="IB116" s="55">
        <f>$IA116*$C116/$D116</f>
        <v/>
      </c>
      <c r="IC116" s="55">
        <f>SUMIFS(tblBudget[Drill_m],tblBudget[Month],"&lt;"&amp;$E116)+$IB116</f>
        <v/>
      </c>
      <c r="ID116" s="55">
        <f>SUMIFS(tblBudget[Diesel_L],tblBudget[Month],$E116)</f>
        <v/>
      </c>
      <c r="IE116" s="55">
        <f>$ID116*$C116/$D116</f>
        <v/>
      </c>
      <c r="IF116" s="55">
        <f>SUMIFS(tblBudget[Diesel_L],tblBudget[Month],"&lt;"&amp;$E116)+$IE116</f>
        <v/>
      </c>
      <c r="IG116" s="55">
        <f>SUMIFS(tblBudget[Milled_t],tblBudget[Month],$E116)</f>
        <v/>
      </c>
      <c r="IH116" s="55">
        <f>$IG116*$C116/$D116</f>
        <v/>
      </c>
      <c r="II116" s="55">
        <f>SUMIFS(tblBudget[Milled_t],tblBudget[Month],"&lt;"&amp;$E116)+$IH116</f>
        <v/>
      </c>
      <c r="IJ116" s="55">
        <f>SUMIFS(tblBudget[Feed_oz],tblBudget[Month],$E116)</f>
        <v/>
      </c>
      <c r="IK116" s="55">
        <f>$IJ116*$C116/$D116</f>
        <v/>
      </c>
      <c r="IL116" s="55">
        <f>SUMIFS(tblBudget[Feed_oz],tblBudget[Month],"&lt;"&amp;$E116)+$IK116</f>
        <v/>
      </c>
      <c r="IM116" s="55">
        <f>SUMIFS(tblBudget[Recovered_oz],tblBudget[Month],$E116)</f>
        <v/>
      </c>
      <c r="IN116" s="55">
        <f>$IM116*$C116/$D116</f>
        <v/>
      </c>
      <c r="IO116" s="55">
        <f>SUMIFS(tblBudget[Recovered_oz],tblBudget[Month],"&lt;"&amp;$E116)+$IN116</f>
        <v/>
      </c>
      <c r="IP116" s="56">
        <f>IFERROR(IF(($IG116)&gt;0,($IJ116*cfg_TroyOz)/($IG116),""),"")</f>
        <v/>
      </c>
      <c r="IQ116" s="56">
        <f>IFERROR(IF(($IH116)&gt;0,($IK116*cfg_TroyOz)/($IH116),""),"")</f>
        <v/>
      </c>
      <c r="IR116" s="56">
        <f>IFERROR(IF(($II116)&gt;0,($IL116*cfg_TroyOz)/($II116),""),"")</f>
        <v/>
      </c>
      <c r="IS116" s="67">
        <f>IFERROR(IF(($IJ116)&gt;0,($IM116)/($IJ116),""),"")</f>
        <v/>
      </c>
      <c r="IT116" s="67">
        <f>IFERROR(IF(($IK116)&gt;0,($IN116)/($IK116),""),"")</f>
        <v/>
      </c>
      <c r="IU116" s="67">
        <f>IFERROR(IF(($IL116)&gt;0,($IO116)/($IL116),""),"")</f>
        <v/>
      </c>
      <c r="IV116" s="55">
        <f>SUMIFS(tblBudget[Gold_Poured_oz],tblBudget[Month],$E116)</f>
        <v/>
      </c>
      <c r="IW116" s="55">
        <f>$IV116*$C116/$D116</f>
        <v/>
      </c>
      <c r="IX116" s="55">
        <f>SUMIFS(tblBudget[Gold_Poured_oz],tblBudget[Month],"&lt;"&amp;$E116)+$IW116</f>
        <v/>
      </c>
      <c r="IY116" s="57">
        <f>SUMIFS(tblBudget[Hours_Worked],tblBudget[Month],$E116)</f>
        <v/>
      </c>
      <c r="IZ116" s="57">
        <f>$IY116*$C116/$D116</f>
        <v/>
      </c>
      <c r="JA116" s="57">
        <f>SUMIFS(tblBudget[Hours_Worked],tblBudget[Month],"&lt;"&amp;$E116)+$IZ116</f>
        <v/>
      </c>
    </row>
    <row r="117">
      <c r="A117" s="54" t="n">
        <v>46138</v>
      </c>
      <c r="B117">
        <f>MONTH($A117)</f>
        <v/>
      </c>
      <c r="C117">
        <f>DAY($A117)</f>
        <v/>
      </c>
      <c r="D117">
        <f>DAY(EOMONTH($A117,0))</f>
        <v/>
      </c>
      <c r="E117" s="54">
        <f>DATE(YEAR($A117),MONTH($A117),1)</f>
        <v/>
      </c>
      <c r="F117" s="55">
        <f>SUMIFS(tblMovement[Tonnes_t],tblMovement[Date],$A117,tblMovement[Is_Ore],1,tblMovement[Source_Type],"Pit")</f>
        <v/>
      </c>
      <c r="G117" s="55">
        <f>IF($B117=$B116,$G116,0)+$F117</f>
        <v/>
      </c>
      <c r="H117" s="55">
        <f>$H116+$F117</f>
        <v/>
      </c>
      <c r="I117" s="55">
        <f>SUMIFS(tblMovement[Ore_oz],tblMovement[Date],$A117,tblMovement[Source_Type],"Pit")</f>
        <v/>
      </c>
      <c r="J117" s="55">
        <f>IF($B117=$B116,$J116,0)+$I117</f>
        <v/>
      </c>
      <c r="K117" s="55">
        <f>$K116+$I117</f>
        <v/>
      </c>
      <c r="L117" s="56">
        <f>IFERROR(IF(($F117)&gt;0,($I117*cfg_TroyOz)/($F117),""),"")</f>
        <v/>
      </c>
      <c r="M117" s="56">
        <f>IFERROR(IF(($G117)&gt;0,($J117*cfg_TroyOz)/($G117),""),"")</f>
        <v/>
      </c>
      <c r="N117" s="56">
        <f>IFERROR(IF(($H117)&gt;0,($K117*cfg_TroyOz)/($H117),""),"")</f>
        <v/>
      </c>
      <c r="O117" s="55">
        <f>SUMIFS(tblMovement[Tonnes_t],tblMovement[Date],$A117,tblMovement[Is_Ore],0,tblMovement[Source_Type],"Pit")</f>
        <v/>
      </c>
      <c r="P117" s="55">
        <f>IF($B117=$B116,$P116,0)+$O117</f>
        <v/>
      </c>
      <c r="Q117" s="55">
        <f>$Q116+$O117</f>
        <v/>
      </c>
      <c r="R117" s="55">
        <f>$F117+$O117</f>
        <v/>
      </c>
      <c r="S117" s="55">
        <f>IF($B117=$B116,$S116,0)+$R117</f>
        <v/>
      </c>
      <c r="T117" s="55">
        <f>$T116+$R117</f>
        <v/>
      </c>
      <c r="U117" s="56">
        <f>IFERROR(IF(($F117)&gt;0,($O117)/($F117),""),"")</f>
        <v/>
      </c>
      <c r="V117" s="56">
        <f>IFERROR(IF(($G117)&gt;0,($P117)/($G117),""),"")</f>
        <v/>
      </c>
      <c r="W117" s="56">
        <f>IFERROR(IF(($H117)&gt;0,($Q117)/($H117),""),"")</f>
        <v/>
      </c>
      <c r="X117" s="55">
        <f>SUMIFS(tblMovement[Tonnes_t],tblMovement[Date],$A117,tblMovement[Source_Type],"Stockpile")</f>
        <v/>
      </c>
      <c r="Y117" s="55">
        <f>IF($B117=$B116,$Y116,0)+$X117</f>
        <v/>
      </c>
      <c r="Z117" s="55">
        <f>$Z116+$X117</f>
        <v/>
      </c>
      <c r="AA117" s="55">
        <f>SUMIFS(tblMiningDaily[Drill_m],tblMiningDaily[Date],$A117)</f>
        <v/>
      </c>
      <c r="AB117" s="55">
        <f>IF($B117=$B116,$AB116,0)+$AA117</f>
        <v/>
      </c>
      <c r="AC117" s="55">
        <f>$AC116+$AA117</f>
        <v/>
      </c>
      <c r="AD117" s="55">
        <f>SUMIFS(tblMiningDaily[Blast_t],tblMiningDaily[Date],$A117)</f>
        <v/>
      </c>
      <c r="AE117" s="55">
        <f>IF($B117=$B116,$AE116,0)+$AD117</f>
        <v/>
      </c>
      <c r="AF117" s="55">
        <f>$AF116+$AD117</f>
        <v/>
      </c>
      <c r="AG117" s="55">
        <f>SUMIFS(tblMiningDaily[Explosives_kg],tblMiningDaily[Date],$A117)</f>
        <v/>
      </c>
      <c r="AH117" s="55">
        <f>IF($B117=$B116,$AH116,0)+$AG117</f>
        <v/>
      </c>
      <c r="AI117" s="55">
        <f>$AI116+$AG117</f>
        <v/>
      </c>
      <c r="AJ117" s="56">
        <f>IFERROR(IF(($AD117)&gt;0,($AG117)/($AD117),""),"")</f>
        <v/>
      </c>
      <c r="AK117" s="56">
        <f>IFERROR(IF(($AE117)&gt;0,($AH117)/($AE117),""),"")</f>
        <v/>
      </c>
      <c r="AL117" s="56">
        <f>IFERROR(IF(($AF117)&gt;0,($AI117)/($AF117),""),"")</f>
        <v/>
      </c>
      <c r="AM117" s="55">
        <f>SUMIFS(tblMiningDaily[Diesel_L],tblMiningDaily[Date],$A117)</f>
        <v/>
      </c>
      <c r="AN117" s="55">
        <f>IF($B117=$B116,$AN116,0)+$AM117</f>
        <v/>
      </c>
      <c r="AO117" s="55">
        <f>$AO116+$AM117</f>
        <v/>
      </c>
      <c r="AP117" s="55">
        <f>SUMIFS(tblMiningDaily[Dewatering_m3],tblMiningDaily[Date],$A117)</f>
        <v/>
      </c>
      <c r="AQ117" s="55">
        <f>IF($B117=$B116,$AQ116,0)+$AP117</f>
        <v/>
      </c>
      <c r="AR117" s="55">
        <f>$AR116+$AP117</f>
        <v/>
      </c>
      <c r="AS117" s="57">
        <f>SUMIFS(tblFleet[Calendar_h],tblFleet[Date],$A117,tblFleet[Equipment_Class],"Excavator")</f>
        <v/>
      </c>
      <c r="AT117" s="57">
        <f>IF($B117=$B116,$AT116,0)+$AS117</f>
        <v/>
      </c>
      <c r="AU117" s="57">
        <f>$AU116+$AS117</f>
        <v/>
      </c>
      <c r="AV117" s="57">
        <f>SUMIFS(tblFleet[Available_h],tblFleet[Date],$A117,tblFleet[Equipment_Class],"Excavator")</f>
        <v/>
      </c>
      <c r="AW117" s="57">
        <f>IF($B117=$B116,$AW116,0)+$AV117</f>
        <v/>
      </c>
      <c r="AX117" s="57">
        <f>$AX116+$AV117</f>
        <v/>
      </c>
      <c r="AY117" s="57">
        <f>SUMIFS(tblFleet[Operating_h],tblFleet[Date],$A117,tblFleet[Equipment_Class],"Excavator")</f>
        <v/>
      </c>
      <c r="AZ117" s="57">
        <f>IF($B117=$B116,$AZ116,0)+$AY117</f>
        <v/>
      </c>
      <c r="BA117" s="57">
        <f>$BA116+$AY117</f>
        <v/>
      </c>
      <c r="BB117" s="67">
        <f>IFERROR(IF(($AS117)&gt;0,($AV117)/($AS117),""),"")</f>
        <v/>
      </c>
      <c r="BC117" s="67">
        <f>IFERROR(IF(($AT117)&gt;0,($AW117)/($AT117),""),"")</f>
        <v/>
      </c>
      <c r="BD117" s="67">
        <f>IFERROR(IF(($AU117)&gt;0,($AX117)/($AU117),""),"")</f>
        <v/>
      </c>
      <c r="BE117" s="67">
        <f>IFERROR(IF(($AV117)&gt;0,($AY117)/($AV117),""),"")</f>
        <v/>
      </c>
      <c r="BF117" s="67">
        <f>IFERROR(IF(($AW117)&gt;0,($AZ117)/($AW117),""),"")</f>
        <v/>
      </c>
      <c r="BG117" s="67">
        <f>IFERROR(IF(($AX117)&gt;0,($BA117)/($AX117),""),"")</f>
        <v/>
      </c>
      <c r="BH117" s="57">
        <f>SUMIFS(tblFleet[Calendar_h],tblFleet[Date],$A117,tblFleet[Equipment_Class],"Haul Truck")</f>
        <v/>
      </c>
      <c r="BI117" s="57">
        <f>IF($B117=$B116,$BI116,0)+$BH117</f>
        <v/>
      </c>
      <c r="BJ117" s="57">
        <f>$BJ116+$BH117</f>
        <v/>
      </c>
      <c r="BK117" s="57">
        <f>SUMIFS(tblFleet[Available_h],tblFleet[Date],$A117,tblFleet[Equipment_Class],"Haul Truck")</f>
        <v/>
      </c>
      <c r="BL117" s="57">
        <f>IF($B117=$B116,$BL116,0)+$BK117</f>
        <v/>
      </c>
      <c r="BM117" s="57">
        <f>$BM116+$BK117</f>
        <v/>
      </c>
      <c r="BN117" s="57">
        <f>SUMIFS(tblFleet[Operating_h],tblFleet[Date],$A117,tblFleet[Equipment_Class],"Haul Truck")</f>
        <v/>
      </c>
      <c r="BO117" s="57">
        <f>IF($B117=$B116,$BO116,0)+$BN117</f>
        <v/>
      </c>
      <c r="BP117" s="57">
        <f>$BP116+$BN117</f>
        <v/>
      </c>
      <c r="BQ117" s="67">
        <f>IFERROR(IF(($BH117)&gt;0,($BK117)/($BH117),""),"")</f>
        <v/>
      </c>
      <c r="BR117" s="67">
        <f>IFERROR(IF(($BI117)&gt;0,($BL117)/($BI117),""),"")</f>
        <v/>
      </c>
      <c r="BS117" s="67">
        <f>IFERROR(IF(($BJ117)&gt;0,($BM117)/($BJ117),""),"")</f>
        <v/>
      </c>
      <c r="BT117" s="67">
        <f>IFERROR(IF(($BK117)&gt;0,($BN117)/($BK117),""),"")</f>
        <v/>
      </c>
      <c r="BU117" s="67">
        <f>IFERROR(IF(($BL117)&gt;0,($BO117)/($BL117),""),"")</f>
        <v/>
      </c>
      <c r="BV117" s="67">
        <f>IFERROR(IF(($BM117)&gt;0,($BP117)/($BM117),""),"")</f>
        <v/>
      </c>
      <c r="BW117" s="55">
        <f>SUMIFS(tblPlant[Crushed_t],tblPlant[Date],$A117)</f>
        <v/>
      </c>
      <c r="BX117" s="55">
        <f>IF($B117=$B116,$BX116,0)+$BW117</f>
        <v/>
      </c>
      <c r="BY117" s="55">
        <f>$BY116+$BW117</f>
        <v/>
      </c>
      <c r="BZ117" s="55">
        <f>SUMIFS(tblPlant[Milled_t],tblPlant[Date],$A117)</f>
        <v/>
      </c>
      <c r="CA117" s="55">
        <f>IF($B117=$B116,$CA116,0)+$BZ117</f>
        <v/>
      </c>
      <c r="CB117" s="55">
        <f>$CB116+$BZ117</f>
        <v/>
      </c>
      <c r="CC117" s="55">
        <f>SUMIFS(tblPlant[Feed_oz],tblPlant[Date],$A117)</f>
        <v/>
      </c>
      <c r="CD117" s="55">
        <f>IF($B117=$B116,$CD116,0)+$CC117</f>
        <v/>
      </c>
      <c r="CE117" s="55">
        <f>$CE116+$CC117</f>
        <v/>
      </c>
      <c r="CF117" s="55">
        <f>SUMIFS(tblPlant[Tails_oz],tblPlant[Date],$A117)</f>
        <v/>
      </c>
      <c r="CG117" s="55">
        <f>IF($B117=$B116,$CG116,0)+$CF117</f>
        <v/>
      </c>
      <c r="CH117" s="55">
        <f>$CH116+$CF117</f>
        <v/>
      </c>
      <c r="CI117" s="55">
        <f>SUMIFS(tblPlant[Recovered_oz],tblPlant[Date],$A117)</f>
        <v/>
      </c>
      <c r="CJ117" s="55">
        <f>IF($B117=$B116,$CJ116,0)+$CI117</f>
        <v/>
      </c>
      <c r="CK117" s="55">
        <f>$CK116+$CI117</f>
        <v/>
      </c>
      <c r="CL117" s="56">
        <f>IFERROR(IF(($BZ117)&gt;0,($CC117*cfg_TroyOz)/($BZ117),""),"")</f>
        <v/>
      </c>
      <c r="CM117" s="56">
        <f>IFERROR(IF(($CA117)&gt;0,($CD117*cfg_TroyOz)/($CA117),""),"")</f>
        <v/>
      </c>
      <c r="CN117" s="56">
        <f>IFERROR(IF(($CB117)&gt;0,($CE117*cfg_TroyOz)/($CB117),""),"")</f>
        <v/>
      </c>
      <c r="CO117" s="56">
        <f>IFERROR(IF(($BZ117)&gt;0,($CF117*cfg_TroyOz)/($BZ117),""),"")</f>
        <v/>
      </c>
      <c r="CP117" s="56">
        <f>IFERROR(IF(($CA117)&gt;0,($CG117*cfg_TroyOz)/($CA117),""),"")</f>
        <v/>
      </c>
      <c r="CQ117" s="56">
        <f>IFERROR(IF(($CB117)&gt;0,($CH117*cfg_TroyOz)/($CB117),""),"")</f>
        <v/>
      </c>
      <c r="CR117" s="67">
        <f>IFERROR(IF(($CC117)&gt;0,($CI117)/($CC117),""),"")</f>
        <v/>
      </c>
      <c r="CS117" s="67">
        <f>IFERROR(IF(($CD117)&gt;0,($CJ117)/($CD117),""),"")</f>
        <v/>
      </c>
      <c r="CT117" s="67">
        <f>IFERROR(IF(($CE117)&gt;0,($CK117)/($CE117),""),"")</f>
        <v/>
      </c>
      <c r="CU117" s="55">
        <f>SUMIFS(tblPlant[Gravity_Gold_oz],tblPlant[Date],$A117)</f>
        <v/>
      </c>
      <c r="CV117" s="55">
        <f>IF($B117=$B116,$CV116,0)+$CU117</f>
        <v/>
      </c>
      <c r="CW117" s="55">
        <f>$CW116+$CU117</f>
        <v/>
      </c>
      <c r="CX117" s="55">
        <f>SUMIFS(tblPlant[Gold_Poured_oz],tblPlant[Date],$A117)</f>
        <v/>
      </c>
      <c r="CY117" s="55">
        <f>IF($B117=$B116,$CY116,0)+$CX117</f>
        <v/>
      </c>
      <c r="CZ117" s="55">
        <f>$CZ116+$CX117</f>
        <v/>
      </c>
      <c r="DA117" s="57">
        <f>SUMIFS(tblPlant[Mill_Run_h],tblPlant[Date],$A117)</f>
        <v/>
      </c>
      <c r="DB117" s="57">
        <f>IF($B117=$B116,$DB116,0)+$DA117</f>
        <v/>
      </c>
      <c r="DC117" s="57">
        <f>$DC116+$DA117</f>
        <v/>
      </c>
      <c r="DD117" s="57">
        <f>SUMIFS(tblPlant[Mill_Planned_Maint_h],tblPlant[Date],$A117)</f>
        <v/>
      </c>
      <c r="DE117" s="57">
        <f>IF($B117=$B116,$DE116,0)+$DD117</f>
        <v/>
      </c>
      <c r="DF117" s="57">
        <f>$DF116+$DD117</f>
        <v/>
      </c>
      <c r="DG117" s="57">
        <f>SUMIFS(tblPlant[Mill_Unplanned_Down_h],tblPlant[Date],$A117)</f>
        <v/>
      </c>
      <c r="DH117" s="57">
        <f>IF($B117=$B116,$DH116,0)+$DG117</f>
        <v/>
      </c>
      <c r="DI117" s="57">
        <f>$DI116+$DG117</f>
        <v/>
      </c>
      <c r="DJ117" s="57">
        <f>COUNTIFS(tblPlant[Date],$A117,tblPlant[Mill_Run_h],"&lt;&gt;")*24</f>
        <v/>
      </c>
      <c r="DK117" s="57">
        <f>IF($B117=$B116,$DK116,0)+$DJ117</f>
        <v/>
      </c>
      <c r="DL117" s="57">
        <f>$DL116+$DJ117</f>
        <v/>
      </c>
      <c r="DM117" s="57">
        <f>SUMIFS(tblPlant[Crusher_Run_h],tblPlant[Date],$A117)</f>
        <v/>
      </c>
      <c r="DN117" s="57">
        <f>IF($B117=$B116,$DN116,0)+$DM117</f>
        <v/>
      </c>
      <c r="DO117" s="57">
        <f>$DO116+$DM117</f>
        <v/>
      </c>
      <c r="DP117" s="55">
        <f>IFERROR(IF(($DA117)&gt;0,($BZ117)/($DA117),""),"")</f>
        <v/>
      </c>
      <c r="DQ117" s="55">
        <f>IFERROR(IF(($DB117)&gt;0,($CA117)/($DB117),""),"")</f>
        <v/>
      </c>
      <c r="DR117" s="55">
        <f>IFERROR(IF(($DC117)&gt;0,($CB117)/($DC117),""),"")</f>
        <v/>
      </c>
      <c r="DS117" s="67">
        <f>IFERROR(IF(($DJ117)&gt;0,($DJ117-$DD117-$DG117)/($DJ117),""),"")</f>
        <v/>
      </c>
      <c r="DT117" s="67">
        <f>IFERROR(IF(($DK117)&gt;0,($DK117-$DE117-$DH117)/($DK117),""),"")</f>
        <v/>
      </c>
      <c r="DU117" s="67">
        <f>IFERROR(IF(($DL117)&gt;0,($DL117-$DF117-$DI117)/($DL117),""),"")</f>
        <v/>
      </c>
      <c r="DV117" s="67">
        <f>IFERROR(IF(($DJ117-$DD117-$DG117)&gt;0,($DA117)/($DJ117-$DD117-$DG117),""),"")</f>
        <v/>
      </c>
      <c r="DW117" s="67">
        <f>IFERROR(IF(($DK117-$DE117-$DH117)&gt;0,($DB117)/($DK117-$DE117-$DH117),""),"")</f>
        <v/>
      </c>
      <c r="DX117" s="67">
        <f>IFERROR(IF(($DL117-$DF117-$DI117)&gt;0,($DC117)/($DL117-$DF117-$DI117),""),"")</f>
        <v/>
      </c>
      <c r="DY117" s="55">
        <f>SUMIFS(tblPlant[Cyanide_kg],tblPlant[Date],$A117)</f>
        <v/>
      </c>
      <c r="DZ117" s="55">
        <f>IF($B117=$B116,$DZ116,0)+$DY117</f>
        <v/>
      </c>
      <c r="EA117" s="55">
        <f>$EA116+$DY117</f>
        <v/>
      </c>
      <c r="EB117" s="55">
        <f>SUMIFS(tblPlant[Lime_kg],tblPlant[Date],$A117)</f>
        <v/>
      </c>
      <c r="EC117" s="55">
        <f>IF($B117=$B116,$EC116,0)+$EB117</f>
        <v/>
      </c>
      <c r="ED117" s="55">
        <f>$ED116+$EB117</f>
        <v/>
      </c>
      <c r="EE117" s="55">
        <f>SUMIFS(tblPlant[Grinding_Media_kg],tblPlant[Date],$A117)</f>
        <v/>
      </c>
      <c r="EF117" s="55">
        <f>IF($B117=$B116,$EF116,0)+$EE117</f>
        <v/>
      </c>
      <c r="EG117" s="55">
        <f>$EG116+$EE117</f>
        <v/>
      </c>
      <c r="EH117" s="55">
        <f>SUMIFS(tblPlant[Power_kWh],tblPlant[Date],$A117)</f>
        <v/>
      </c>
      <c r="EI117" s="55">
        <f>IF($B117=$B116,$EI116,0)+$EH117</f>
        <v/>
      </c>
      <c r="EJ117" s="55">
        <f>$EJ116+$EH117</f>
        <v/>
      </c>
      <c r="EK117" s="55">
        <f>SUMIFS(tblPlant[Raw_Water_m3],tblPlant[Date],$A117)</f>
        <v/>
      </c>
      <c r="EL117" s="55">
        <f>IF($B117=$B116,$EL116,0)+$EK117</f>
        <v/>
      </c>
      <c r="EM117" s="55">
        <f>$EM116+$EK117</f>
        <v/>
      </c>
      <c r="EN117" s="56">
        <f>IFERROR(IF(($BZ117)&gt;0,($DY117)/($BZ117),""),"")</f>
        <v/>
      </c>
      <c r="EO117" s="56">
        <f>IFERROR(IF(($CA117)&gt;0,($DZ117)/($CA117),""),"")</f>
        <v/>
      </c>
      <c r="EP117" s="56">
        <f>IFERROR(IF(($CB117)&gt;0,($EA117)/($CB117),""),"")</f>
        <v/>
      </c>
      <c r="EQ117" s="56">
        <f>IFERROR(IF(($BZ117)&gt;0,($EB117)/($BZ117),""),"")</f>
        <v/>
      </c>
      <c r="ER117" s="56">
        <f>IFERROR(IF(($CA117)&gt;0,($EC117)/($CA117),""),"")</f>
        <v/>
      </c>
      <c r="ES117" s="56">
        <f>IFERROR(IF(($CB117)&gt;0,($ED117)/($CB117),""),"")</f>
        <v/>
      </c>
      <c r="ET117" s="56">
        <f>IFERROR(IF(($BZ117)&gt;0,($EE117)/($BZ117),""),"")</f>
        <v/>
      </c>
      <c r="EU117" s="56">
        <f>IFERROR(IF(($CA117)&gt;0,($EF117)/($CA117),""),"")</f>
        <v/>
      </c>
      <c r="EV117" s="56">
        <f>IFERROR(IF(($CB117)&gt;0,($EG117)/($CB117),""),"")</f>
        <v/>
      </c>
      <c r="EW117" s="76">
        <f>IFERROR(IF(($BZ117)&gt;0,($EH117)/($BZ117),""),"")</f>
        <v/>
      </c>
      <c r="EX117" s="76">
        <f>IFERROR(IF(($CA117)&gt;0,($EI117)/($CA117),""),"")</f>
        <v/>
      </c>
      <c r="EY117" s="76">
        <f>IFERROR(IF(($CB117)&gt;0,($EJ117)/($CB117),""),"")</f>
        <v/>
      </c>
      <c r="EZ117" s="56">
        <f>IFERROR(IF(($BZ117)&gt;0,($EK117)/($BZ117),""),"")</f>
        <v/>
      </c>
      <c r="FA117" s="56">
        <f>IFERROR(IF(($CA117)&gt;0,($EL117)/($CA117),""),"")</f>
        <v/>
      </c>
      <c r="FB117" s="56">
        <f>IFERROR(IF(($CB117)&gt;0,($EM117)/($CB117),""),"")</f>
        <v/>
      </c>
      <c r="FC117" s="55">
        <f>IF(SUMIFS(tblPlant[GIC_oz],tblPlant[Date],$A117)&gt;0,SUMIFS(tblPlant[GIC_oz],tblPlant[Date],$A117),"")</f>
        <v/>
      </c>
      <c r="FD117" s="55">
        <f>SUMIFS(tblGold[Gold_oz],tblGold[Date],$A117,tblGold[Type],"Shipment")</f>
        <v/>
      </c>
      <c r="FE117" s="55">
        <f>IF($B117=$B116,$FE116,0)+$FD117</f>
        <v/>
      </c>
      <c r="FF117" s="55">
        <f>$FF116+$FD117</f>
        <v/>
      </c>
      <c r="FG117" s="55">
        <f>SUMIFS(tblGold[Gold_oz],tblGold[Date],$A117,tblGold[Type],"Sale")</f>
        <v/>
      </c>
      <c r="FH117" s="55">
        <f>IF($B117=$B116,$FH116,0)+$FG117</f>
        <v/>
      </c>
      <c r="FI117" s="55">
        <f>$FI116+$FG117</f>
        <v/>
      </c>
      <c r="FJ117" s="55">
        <f>SUMIFS(tblGold[Dore_kg],tblGold[Date],$A117,tblGold[Type],"Shipment")</f>
        <v/>
      </c>
      <c r="FK117" s="55">
        <f>IF($B117=$B116,$FK116,0)+$FJ117</f>
        <v/>
      </c>
      <c r="FL117" s="55">
        <f>$FL116+$FJ117</f>
        <v/>
      </c>
      <c r="FM117" s="57">
        <f>SUMIFS(tblSafety[Hours_Total],tblSafety[Date],$A117)</f>
        <v/>
      </c>
      <c r="FN117" s="57">
        <f>IF($B117=$B116,$FN116,0)+$FM117</f>
        <v/>
      </c>
      <c r="FO117" s="57">
        <f>$FO116+$FM117</f>
        <v/>
      </c>
      <c r="FP117" s="62">
        <f>SUMIFS(tblSafety[Fatality],tblSafety[Date],$A117)</f>
        <v/>
      </c>
      <c r="FQ117" s="62">
        <f>IF($B117=$B116,$FQ116,0)+$FP117</f>
        <v/>
      </c>
      <c r="FR117" s="62">
        <f>$FR116+$FP117</f>
        <v/>
      </c>
      <c r="FS117" s="62">
        <f>SUMIFS(tblSafety[LTI],tblSafety[Date],$A117)</f>
        <v/>
      </c>
      <c r="FT117" s="62">
        <f>IF($B117=$B116,$FT116,0)+$FS117</f>
        <v/>
      </c>
      <c r="FU117" s="62">
        <f>$FU116+$FS117</f>
        <v/>
      </c>
      <c r="FV117" s="62">
        <f>SUMIFS(tblSafety[RWI],tblSafety[Date],$A117)</f>
        <v/>
      </c>
      <c r="FW117" s="62">
        <f>IF($B117=$B116,$FW116,0)+$FV117</f>
        <v/>
      </c>
      <c r="FX117" s="62">
        <f>$FX116+$FV117</f>
        <v/>
      </c>
      <c r="FY117" s="62">
        <f>SUMIFS(tblSafety[MTI],tblSafety[Date],$A117)</f>
        <v/>
      </c>
      <c r="FZ117" s="62">
        <f>IF($B117=$B116,$FZ116,0)+$FY117</f>
        <v/>
      </c>
      <c r="GA117" s="62">
        <f>$GA116+$FY117</f>
        <v/>
      </c>
      <c r="GB117" s="62">
        <f>SUMIFS(tblSafety[FAI],tblSafety[Date],$A117)</f>
        <v/>
      </c>
      <c r="GC117" s="62">
        <f>IF($B117=$B116,$GC116,0)+$GB117</f>
        <v/>
      </c>
      <c r="GD117" s="62">
        <f>$GD116+$GB117</f>
        <v/>
      </c>
      <c r="GE117" s="62">
        <f>SUMIFS(tblSafety[Recordables],tblSafety[Date],$A117)</f>
        <v/>
      </c>
      <c r="GF117" s="62">
        <f>IF($B117=$B116,$GF116,0)+$GE117</f>
        <v/>
      </c>
      <c r="GG117" s="62">
        <f>$GG116+$GE117</f>
        <v/>
      </c>
      <c r="GH117" s="62">
        <f>SUMIFS(tblSafety[Near_Miss],tblSafety[Date],$A117)</f>
        <v/>
      </c>
      <c r="GI117" s="62">
        <f>IF($B117=$B116,$GI116,0)+$GH117</f>
        <v/>
      </c>
      <c r="GJ117" s="62">
        <f>$GJ116+$GH117</f>
        <v/>
      </c>
      <c r="GK117" s="62">
        <f>SUMIFS(tblSafety[Hazard_Reports],tblSafety[Date],$A117)</f>
        <v/>
      </c>
      <c r="GL117" s="62">
        <f>IF($B117=$B116,$GL116,0)+$GK117</f>
        <v/>
      </c>
      <c r="GM117" s="62">
        <f>$GM116+$GK117</f>
        <v/>
      </c>
      <c r="GN117" s="62">
        <f>SUMIFS(tblSafety[HPI],tblSafety[Date],$A117)</f>
        <v/>
      </c>
      <c r="GO117" s="62">
        <f>IF($B117=$B116,$GO116,0)+$GN117</f>
        <v/>
      </c>
      <c r="GP117" s="62">
        <f>$GP116+$GN117</f>
        <v/>
      </c>
      <c r="GQ117" s="62">
        <f>SUMIFS(tblSafety[Env_Incidents],tblSafety[Date],$A117)</f>
        <v/>
      </c>
      <c r="GR117" s="62">
        <f>IF($B117=$B116,$GR116,0)+$GQ117</f>
        <v/>
      </c>
      <c r="GS117" s="62">
        <f>$GS116+$GQ117</f>
        <v/>
      </c>
      <c r="GT117" s="62">
        <f>SUMIFS(tblSafety[Community_Incidents],tblSafety[Date],$A117)</f>
        <v/>
      </c>
      <c r="GU117" s="62">
        <f>IF($B117=$B116,$GU116,0)+$GT117</f>
        <v/>
      </c>
      <c r="GV117" s="62">
        <f>$GV116+$GT117</f>
        <v/>
      </c>
      <c r="GW117" s="62">
        <f>SUMIFS(tblSafety[Vehicle_Incidents],tblSafety[Date],$A117)</f>
        <v/>
      </c>
      <c r="GX117" s="62">
        <f>IF($B117=$B116,$GX116,0)+$GW117</f>
        <v/>
      </c>
      <c r="GY117" s="62">
        <f>$GY116+$GW117</f>
        <v/>
      </c>
      <c r="GZ117" s="62">
        <f>SUMIFS(tblSafety[Toolbox_Talks],tblSafety[Date],$A117)</f>
        <v/>
      </c>
      <c r="HA117" s="62">
        <f>IF($B117=$B116,$HA116,0)+$GZ117</f>
        <v/>
      </c>
      <c r="HB117" s="62">
        <f>$HB116+$GZ117</f>
        <v/>
      </c>
      <c r="HC117" s="62">
        <f>SUMIFS(tblSafety[Inspections],tblSafety[Date],$A117)</f>
        <v/>
      </c>
      <c r="HD117" s="62">
        <f>IF($B117=$B116,$HD116,0)+$HC117</f>
        <v/>
      </c>
      <c r="HE117" s="62">
        <f>$HE116+$HC117</f>
        <v/>
      </c>
      <c r="HF117" s="56">
        <f>IFERROR((SUMIFS(tblSafety[Recordables],tblSafety[Date],"&gt;="&amp;EDATE($E117,-12),tblSafety[Date],"&lt;="&amp;$A117)+SUMIFS(tblSafetyHistory[Recordables],tblSafetyHistory[Month],"&gt;="&amp;EDATE($E117,-12),tblSafetyHistory[Month],"&lt;"&amp;cfg_YearStart))/(SUMIFS(tblSafety[Hours_Total],tblSafety[Date],"&gt;="&amp;EDATE($E117,-12),tblSafety[Date],"&lt;="&amp;$A117)+SUMIFS(tblSafetyHistory[Hours_Total],tblSafetyHistory[Month],"&gt;="&amp;EDATE($E117,-12),tblSafetyHistory[Month],"&lt;"&amp;cfg_YearStart))*1000000,"")</f>
        <v/>
      </c>
      <c r="HG117" s="56">
        <f>IFERROR((SUMIFS(tblSafety[LTI],tblSafety[Date],"&gt;="&amp;EDATE($E117,-12),tblSafety[Date],"&lt;="&amp;$A117)+SUMIFS(tblSafetyHistory[LTI],tblSafetyHistory[Month],"&gt;="&amp;EDATE($E117,-12),tblSafetyHistory[Month],"&lt;"&amp;cfg_YearStart))/(SUMIFS(tblSafety[Hours_Total],tblSafety[Date],"&gt;="&amp;EDATE($E117,-12),tblSafety[Date],"&lt;="&amp;$A117)+SUMIFS(tblSafetyHistory[Hours_Total],tblSafetyHistory[Month],"&gt;="&amp;EDATE($E117,-12),tblSafetyHistory[Month],"&lt;"&amp;cfg_YearStart))*1000000,"")</f>
        <v/>
      </c>
      <c r="HH117" s="62">
        <f>IF(MAX(N(cfg_PriorLTIDate),_xlfn.MAXIFS(tblSafety[Date],tblSafety[LTI],"&gt;0",tblSafety[Date],"&lt;="&amp;$A117))=0,"",$A117-MAX(N(cfg_PriorLTIDate),_xlfn.MAXIFS(tblSafety[Date],tblSafety[LTI],"&gt;0",tblSafety[Date],"&lt;="&amp;$A117)))</f>
        <v/>
      </c>
      <c r="HI117" s="55">
        <f>SUMIFS(tblBudget[Ore_Mined_t],tblBudget[Month],$E117)</f>
        <v/>
      </c>
      <c r="HJ117" s="55">
        <f>$HI117*$C117/$D117</f>
        <v/>
      </c>
      <c r="HK117" s="55">
        <f>SUMIFS(tblBudget[Ore_Mined_t],tblBudget[Month],"&lt;"&amp;$E117)+$HJ117</f>
        <v/>
      </c>
      <c r="HL117" s="55">
        <f>SUMIFS(tblBudget[Ore_oz],tblBudget[Month],$E117)</f>
        <v/>
      </c>
      <c r="HM117" s="55">
        <f>$HL117*$C117/$D117</f>
        <v/>
      </c>
      <c r="HN117" s="55">
        <f>SUMIFS(tblBudget[Ore_oz],tblBudget[Month],"&lt;"&amp;$E117)+$HM117</f>
        <v/>
      </c>
      <c r="HO117" s="56">
        <f>IFERROR(IF(($HI117)&gt;0,($HL117*cfg_TroyOz)/($HI117),""),"")</f>
        <v/>
      </c>
      <c r="HP117" s="56">
        <f>IFERROR(IF(($HJ117)&gt;0,($HM117*cfg_TroyOz)/($HJ117),""),"")</f>
        <v/>
      </c>
      <c r="HQ117" s="56">
        <f>IFERROR(IF(($HK117)&gt;0,($HN117*cfg_TroyOz)/($HK117),""),"")</f>
        <v/>
      </c>
      <c r="HR117" s="55">
        <f>SUMIFS(tblBudget[Waste_t],tblBudget[Month],$E117)</f>
        <v/>
      </c>
      <c r="HS117" s="55">
        <f>$HR117*$C117/$D117</f>
        <v/>
      </c>
      <c r="HT117" s="55">
        <f>SUMIFS(tblBudget[Waste_t],tblBudget[Month],"&lt;"&amp;$E117)+$HS117</f>
        <v/>
      </c>
      <c r="HU117" s="55">
        <f>SUMIFS(tblBudget[TMM_t],tblBudget[Month],$E117)</f>
        <v/>
      </c>
      <c r="HV117" s="55">
        <f>$HU117*$C117/$D117</f>
        <v/>
      </c>
      <c r="HW117" s="55">
        <f>SUMIFS(tblBudget[TMM_t],tblBudget[Month],"&lt;"&amp;$E117)+$HV117</f>
        <v/>
      </c>
      <c r="HX117" s="56">
        <f>IFERROR(IF(($HI117)&gt;0,($HR117)/($HI117),""),"")</f>
        <v/>
      </c>
      <c r="HY117" s="56">
        <f>IFERROR(IF(($HJ117)&gt;0,($HS117)/($HJ117),""),"")</f>
        <v/>
      </c>
      <c r="HZ117" s="56">
        <f>IFERROR(IF(($HK117)&gt;0,($HT117)/($HK117),""),"")</f>
        <v/>
      </c>
      <c r="IA117" s="55">
        <f>SUMIFS(tblBudget[Drill_m],tblBudget[Month],$E117)</f>
        <v/>
      </c>
      <c r="IB117" s="55">
        <f>$IA117*$C117/$D117</f>
        <v/>
      </c>
      <c r="IC117" s="55">
        <f>SUMIFS(tblBudget[Drill_m],tblBudget[Month],"&lt;"&amp;$E117)+$IB117</f>
        <v/>
      </c>
      <c r="ID117" s="55">
        <f>SUMIFS(tblBudget[Diesel_L],tblBudget[Month],$E117)</f>
        <v/>
      </c>
      <c r="IE117" s="55">
        <f>$ID117*$C117/$D117</f>
        <v/>
      </c>
      <c r="IF117" s="55">
        <f>SUMIFS(tblBudget[Diesel_L],tblBudget[Month],"&lt;"&amp;$E117)+$IE117</f>
        <v/>
      </c>
      <c r="IG117" s="55">
        <f>SUMIFS(tblBudget[Milled_t],tblBudget[Month],$E117)</f>
        <v/>
      </c>
      <c r="IH117" s="55">
        <f>$IG117*$C117/$D117</f>
        <v/>
      </c>
      <c r="II117" s="55">
        <f>SUMIFS(tblBudget[Milled_t],tblBudget[Month],"&lt;"&amp;$E117)+$IH117</f>
        <v/>
      </c>
      <c r="IJ117" s="55">
        <f>SUMIFS(tblBudget[Feed_oz],tblBudget[Month],$E117)</f>
        <v/>
      </c>
      <c r="IK117" s="55">
        <f>$IJ117*$C117/$D117</f>
        <v/>
      </c>
      <c r="IL117" s="55">
        <f>SUMIFS(tblBudget[Feed_oz],tblBudget[Month],"&lt;"&amp;$E117)+$IK117</f>
        <v/>
      </c>
      <c r="IM117" s="55">
        <f>SUMIFS(tblBudget[Recovered_oz],tblBudget[Month],$E117)</f>
        <v/>
      </c>
      <c r="IN117" s="55">
        <f>$IM117*$C117/$D117</f>
        <v/>
      </c>
      <c r="IO117" s="55">
        <f>SUMIFS(tblBudget[Recovered_oz],tblBudget[Month],"&lt;"&amp;$E117)+$IN117</f>
        <v/>
      </c>
      <c r="IP117" s="56">
        <f>IFERROR(IF(($IG117)&gt;0,($IJ117*cfg_TroyOz)/($IG117),""),"")</f>
        <v/>
      </c>
      <c r="IQ117" s="56">
        <f>IFERROR(IF(($IH117)&gt;0,($IK117*cfg_TroyOz)/($IH117),""),"")</f>
        <v/>
      </c>
      <c r="IR117" s="56">
        <f>IFERROR(IF(($II117)&gt;0,($IL117*cfg_TroyOz)/($II117),""),"")</f>
        <v/>
      </c>
      <c r="IS117" s="67">
        <f>IFERROR(IF(($IJ117)&gt;0,($IM117)/($IJ117),""),"")</f>
        <v/>
      </c>
      <c r="IT117" s="67">
        <f>IFERROR(IF(($IK117)&gt;0,($IN117)/($IK117),""),"")</f>
        <v/>
      </c>
      <c r="IU117" s="67">
        <f>IFERROR(IF(($IL117)&gt;0,($IO117)/($IL117),""),"")</f>
        <v/>
      </c>
      <c r="IV117" s="55">
        <f>SUMIFS(tblBudget[Gold_Poured_oz],tblBudget[Month],$E117)</f>
        <v/>
      </c>
      <c r="IW117" s="55">
        <f>$IV117*$C117/$D117</f>
        <v/>
      </c>
      <c r="IX117" s="55">
        <f>SUMIFS(tblBudget[Gold_Poured_oz],tblBudget[Month],"&lt;"&amp;$E117)+$IW117</f>
        <v/>
      </c>
      <c r="IY117" s="57">
        <f>SUMIFS(tblBudget[Hours_Worked],tblBudget[Month],$E117)</f>
        <v/>
      </c>
      <c r="IZ117" s="57">
        <f>$IY117*$C117/$D117</f>
        <v/>
      </c>
      <c r="JA117" s="57">
        <f>SUMIFS(tblBudget[Hours_Worked],tblBudget[Month],"&lt;"&amp;$E117)+$IZ117</f>
        <v/>
      </c>
    </row>
    <row r="118">
      <c r="A118" s="54" t="n">
        <v>46139</v>
      </c>
      <c r="B118">
        <f>MONTH($A118)</f>
        <v/>
      </c>
      <c r="C118">
        <f>DAY($A118)</f>
        <v/>
      </c>
      <c r="D118">
        <f>DAY(EOMONTH($A118,0))</f>
        <v/>
      </c>
      <c r="E118" s="54">
        <f>DATE(YEAR($A118),MONTH($A118),1)</f>
        <v/>
      </c>
      <c r="F118" s="55">
        <f>SUMIFS(tblMovement[Tonnes_t],tblMovement[Date],$A118,tblMovement[Is_Ore],1,tblMovement[Source_Type],"Pit")</f>
        <v/>
      </c>
      <c r="G118" s="55">
        <f>IF($B118=$B117,$G117,0)+$F118</f>
        <v/>
      </c>
      <c r="H118" s="55">
        <f>$H117+$F118</f>
        <v/>
      </c>
      <c r="I118" s="55">
        <f>SUMIFS(tblMovement[Ore_oz],tblMovement[Date],$A118,tblMovement[Source_Type],"Pit")</f>
        <v/>
      </c>
      <c r="J118" s="55">
        <f>IF($B118=$B117,$J117,0)+$I118</f>
        <v/>
      </c>
      <c r="K118" s="55">
        <f>$K117+$I118</f>
        <v/>
      </c>
      <c r="L118" s="56">
        <f>IFERROR(IF(($F118)&gt;0,($I118*cfg_TroyOz)/($F118),""),"")</f>
        <v/>
      </c>
      <c r="M118" s="56">
        <f>IFERROR(IF(($G118)&gt;0,($J118*cfg_TroyOz)/($G118),""),"")</f>
        <v/>
      </c>
      <c r="N118" s="56">
        <f>IFERROR(IF(($H118)&gt;0,($K118*cfg_TroyOz)/($H118),""),"")</f>
        <v/>
      </c>
      <c r="O118" s="55">
        <f>SUMIFS(tblMovement[Tonnes_t],tblMovement[Date],$A118,tblMovement[Is_Ore],0,tblMovement[Source_Type],"Pit")</f>
        <v/>
      </c>
      <c r="P118" s="55">
        <f>IF($B118=$B117,$P117,0)+$O118</f>
        <v/>
      </c>
      <c r="Q118" s="55">
        <f>$Q117+$O118</f>
        <v/>
      </c>
      <c r="R118" s="55">
        <f>$F118+$O118</f>
        <v/>
      </c>
      <c r="S118" s="55">
        <f>IF($B118=$B117,$S117,0)+$R118</f>
        <v/>
      </c>
      <c r="T118" s="55">
        <f>$T117+$R118</f>
        <v/>
      </c>
      <c r="U118" s="56">
        <f>IFERROR(IF(($F118)&gt;0,($O118)/($F118),""),"")</f>
        <v/>
      </c>
      <c r="V118" s="56">
        <f>IFERROR(IF(($G118)&gt;0,($P118)/($G118),""),"")</f>
        <v/>
      </c>
      <c r="W118" s="56">
        <f>IFERROR(IF(($H118)&gt;0,($Q118)/($H118),""),"")</f>
        <v/>
      </c>
      <c r="X118" s="55">
        <f>SUMIFS(tblMovement[Tonnes_t],tblMovement[Date],$A118,tblMovement[Source_Type],"Stockpile")</f>
        <v/>
      </c>
      <c r="Y118" s="55">
        <f>IF($B118=$B117,$Y117,0)+$X118</f>
        <v/>
      </c>
      <c r="Z118" s="55">
        <f>$Z117+$X118</f>
        <v/>
      </c>
      <c r="AA118" s="55">
        <f>SUMIFS(tblMiningDaily[Drill_m],tblMiningDaily[Date],$A118)</f>
        <v/>
      </c>
      <c r="AB118" s="55">
        <f>IF($B118=$B117,$AB117,0)+$AA118</f>
        <v/>
      </c>
      <c r="AC118" s="55">
        <f>$AC117+$AA118</f>
        <v/>
      </c>
      <c r="AD118" s="55">
        <f>SUMIFS(tblMiningDaily[Blast_t],tblMiningDaily[Date],$A118)</f>
        <v/>
      </c>
      <c r="AE118" s="55">
        <f>IF($B118=$B117,$AE117,0)+$AD118</f>
        <v/>
      </c>
      <c r="AF118" s="55">
        <f>$AF117+$AD118</f>
        <v/>
      </c>
      <c r="AG118" s="55">
        <f>SUMIFS(tblMiningDaily[Explosives_kg],tblMiningDaily[Date],$A118)</f>
        <v/>
      </c>
      <c r="AH118" s="55">
        <f>IF($B118=$B117,$AH117,0)+$AG118</f>
        <v/>
      </c>
      <c r="AI118" s="55">
        <f>$AI117+$AG118</f>
        <v/>
      </c>
      <c r="AJ118" s="56">
        <f>IFERROR(IF(($AD118)&gt;0,($AG118)/($AD118),""),"")</f>
        <v/>
      </c>
      <c r="AK118" s="56">
        <f>IFERROR(IF(($AE118)&gt;0,($AH118)/($AE118),""),"")</f>
        <v/>
      </c>
      <c r="AL118" s="56">
        <f>IFERROR(IF(($AF118)&gt;0,($AI118)/($AF118),""),"")</f>
        <v/>
      </c>
      <c r="AM118" s="55">
        <f>SUMIFS(tblMiningDaily[Diesel_L],tblMiningDaily[Date],$A118)</f>
        <v/>
      </c>
      <c r="AN118" s="55">
        <f>IF($B118=$B117,$AN117,0)+$AM118</f>
        <v/>
      </c>
      <c r="AO118" s="55">
        <f>$AO117+$AM118</f>
        <v/>
      </c>
      <c r="AP118" s="55">
        <f>SUMIFS(tblMiningDaily[Dewatering_m3],tblMiningDaily[Date],$A118)</f>
        <v/>
      </c>
      <c r="AQ118" s="55">
        <f>IF($B118=$B117,$AQ117,0)+$AP118</f>
        <v/>
      </c>
      <c r="AR118" s="55">
        <f>$AR117+$AP118</f>
        <v/>
      </c>
      <c r="AS118" s="57">
        <f>SUMIFS(tblFleet[Calendar_h],tblFleet[Date],$A118,tblFleet[Equipment_Class],"Excavator")</f>
        <v/>
      </c>
      <c r="AT118" s="57">
        <f>IF($B118=$B117,$AT117,0)+$AS118</f>
        <v/>
      </c>
      <c r="AU118" s="57">
        <f>$AU117+$AS118</f>
        <v/>
      </c>
      <c r="AV118" s="57">
        <f>SUMIFS(tblFleet[Available_h],tblFleet[Date],$A118,tblFleet[Equipment_Class],"Excavator")</f>
        <v/>
      </c>
      <c r="AW118" s="57">
        <f>IF($B118=$B117,$AW117,0)+$AV118</f>
        <v/>
      </c>
      <c r="AX118" s="57">
        <f>$AX117+$AV118</f>
        <v/>
      </c>
      <c r="AY118" s="57">
        <f>SUMIFS(tblFleet[Operating_h],tblFleet[Date],$A118,tblFleet[Equipment_Class],"Excavator")</f>
        <v/>
      </c>
      <c r="AZ118" s="57">
        <f>IF($B118=$B117,$AZ117,0)+$AY118</f>
        <v/>
      </c>
      <c r="BA118" s="57">
        <f>$BA117+$AY118</f>
        <v/>
      </c>
      <c r="BB118" s="67">
        <f>IFERROR(IF(($AS118)&gt;0,($AV118)/($AS118),""),"")</f>
        <v/>
      </c>
      <c r="BC118" s="67">
        <f>IFERROR(IF(($AT118)&gt;0,($AW118)/($AT118),""),"")</f>
        <v/>
      </c>
      <c r="BD118" s="67">
        <f>IFERROR(IF(($AU118)&gt;0,($AX118)/($AU118),""),"")</f>
        <v/>
      </c>
      <c r="BE118" s="67">
        <f>IFERROR(IF(($AV118)&gt;0,($AY118)/($AV118),""),"")</f>
        <v/>
      </c>
      <c r="BF118" s="67">
        <f>IFERROR(IF(($AW118)&gt;0,($AZ118)/($AW118),""),"")</f>
        <v/>
      </c>
      <c r="BG118" s="67">
        <f>IFERROR(IF(($AX118)&gt;0,($BA118)/($AX118),""),"")</f>
        <v/>
      </c>
      <c r="BH118" s="57">
        <f>SUMIFS(tblFleet[Calendar_h],tblFleet[Date],$A118,tblFleet[Equipment_Class],"Haul Truck")</f>
        <v/>
      </c>
      <c r="BI118" s="57">
        <f>IF($B118=$B117,$BI117,0)+$BH118</f>
        <v/>
      </c>
      <c r="BJ118" s="57">
        <f>$BJ117+$BH118</f>
        <v/>
      </c>
      <c r="BK118" s="57">
        <f>SUMIFS(tblFleet[Available_h],tblFleet[Date],$A118,tblFleet[Equipment_Class],"Haul Truck")</f>
        <v/>
      </c>
      <c r="BL118" s="57">
        <f>IF($B118=$B117,$BL117,0)+$BK118</f>
        <v/>
      </c>
      <c r="BM118" s="57">
        <f>$BM117+$BK118</f>
        <v/>
      </c>
      <c r="BN118" s="57">
        <f>SUMIFS(tblFleet[Operating_h],tblFleet[Date],$A118,tblFleet[Equipment_Class],"Haul Truck")</f>
        <v/>
      </c>
      <c r="BO118" s="57">
        <f>IF($B118=$B117,$BO117,0)+$BN118</f>
        <v/>
      </c>
      <c r="BP118" s="57">
        <f>$BP117+$BN118</f>
        <v/>
      </c>
      <c r="BQ118" s="67">
        <f>IFERROR(IF(($BH118)&gt;0,($BK118)/($BH118),""),"")</f>
        <v/>
      </c>
      <c r="BR118" s="67">
        <f>IFERROR(IF(($BI118)&gt;0,($BL118)/($BI118),""),"")</f>
        <v/>
      </c>
      <c r="BS118" s="67">
        <f>IFERROR(IF(($BJ118)&gt;0,($BM118)/($BJ118),""),"")</f>
        <v/>
      </c>
      <c r="BT118" s="67">
        <f>IFERROR(IF(($BK118)&gt;0,($BN118)/($BK118),""),"")</f>
        <v/>
      </c>
      <c r="BU118" s="67">
        <f>IFERROR(IF(($BL118)&gt;0,($BO118)/($BL118),""),"")</f>
        <v/>
      </c>
      <c r="BV118" s="67">
        <f>IFERROR(IF(($BM118)&gt;0,($BP118)/($BM118),""),"")</f>
        <v/>
      </c>
      <c r="BW118" s="55">
        <f>SUMIFS(tblPlant[Crushed_t],tblPlant[Date],$A118)</f>
        <v/>
      </c>
      <c r="BX118" s="55">
        <f>IF($B118=$B117,$BX117,0)+$BW118</f>
        <v/>
      </c>
      <c r="BY118" s="55">
        <f>$BY117+$BW118</f>
        <v/>
      </c>
      <c r="BZ118" s="55">
        <f>SUMIFS(tblPlant[Milled_t],tblPlant[Date],$A118)</f>
        <v/>
      </c>
      <c r="CA118" s="55">
        <f>IF($B118=$B117,$CA117,0)+$BZ118</f>
        <v/>
      </c>
      <c r="CB118" s="55">
        <f>$CB117+$BZ118</f>
        <v/>
      </c>
      <c r="CC118" s="55">
        <f>SUMIFS(tblPlant[Feed_oz],tblPlant[Date],$A118)</f>
        <v/>
      </c>
      <c r="CD118" s="55">
        <f>IF($B118=$B117,$CD117,0)+$CC118</f>
        <v/>
      </c>
      <c r="CE118" s="55">
        <f>$CE117+$CC118</f>
        <v/>
      </c>
      <c r="CF118" s="55">
        <f>SUMIFS(tblPlant[Tails_oz],tblPlant[Date],$A118)</f>
        <v/>
      </c>
      <c r="CG118" s="55">
        <f>IF($B118=$B117,$CG117,0)+$CF118</f>
        <v/>
      </c>
      <c r="CH118" s="55">
        <f>$CH117+$CF118</f>
        <v/>
      </c>
      <c r="CI118" s="55">
        <f>SUMIFS(tblPlant[Recovered_oz],tblPlant[Date],$A118)</f>
        <v/>
      </c>
      <c r="CJ118" s="55">
        <f>IF($B118=$B117,$CJ117,0)+$CI118</f>
        <v/>
      </c>
      <c r="CK118" s="55">
        <f>$CK117+$CI118</f>
        <v/>
      </c>
      <c r="CL118" s="56">
        <f>IFERROR(IF(($BZ118)&gt;0,($CC118*cfg_TroyOz)/($BZ118),""),"")</f>
        <v/>
      </c>
      <c r="CM118" s="56">
        <f>IFERROR(IF(($CA118)&gt;0,($CD118*cfg_TroyOz)/($CA118),""),"")</f>
        <v/>
      </c>
      <c r="CN118" s="56">
        <f>IFERROR(IF(($CB118)&gt;0,($CE118*cfg_TroyOz)/($CB118),""),"")</f>
        <v/>
      </c>
      <c r="CO118" s="56">
        <f>IFERROR(IF(($BZ118)&gt;0,($CF118*cfg_TroyOz)/($BZ118),""),"")</f>
        <v/>
      </c>
      <c r="CP118" s="56">
        <f>IFERROR(IF(($CA118)&gt;0,($CG118*cfg_TroyOz)/($CA118),""),"")</f>
        <v/>
      </c>
      <c r="CQ118" s="56">
        <f>IFERROR(IF(($CB118)&gt;0,($CH118*cfg_TroyOz)/($CB118),""),"")</f>
        <v/>
      </c>
      <c r="CR118" s="67">
        <f>IFERROR(IF(($CC118)&gt;0,($CI118)/($CC118),""),"")</f>
        <v/>
      </c>
      <c r="CS118" s="67">
        <f>IFERROR(IF(($CD118)&gt;0,($CJ118)/($CD118),""),"")</f>
        <v/>
      </c>
      <c r="CT118" s="67">
        <f>IFERROR(IF(($CE118)&gt;0,($CK118)/($CE118),""),"")</f>
        <v/>
      </c>
      <c r="CU118" s="55">
        <f>SUMIFS(tblPlant[Gravity_Gold_oz],tblPlant[Date],$A118)</f>
        <v/>
      </c>
      <c r="CV118" s="55">
        <f>IF($B118=$B117,$CV117,0)+$CU118</f>
        <v/>
      </c>
      <c r="CW118" s="55">
        <f>$CW117+$CU118</f>
        <v/>
      </c>
      <c r="CX118" s="55">
        <f>SUMIFS(tblPlant[Gold_Poured_oz],tblPlant[Date],$A118)</f>
        <v/>
      </c>
      <c r="CY118" s="55">
        <f>IF($B118=$B117,$CY117,0)+$CX118</f>
        <v/>
      </c>
      <c r="CZ118" s="55">
        <f>$CZ117+$CX118</f>
        <v/>
      </c>
      <c r="DA118" s="57">
        <f>SUMIFS(tblPlant[Mill_Run_h],tblPlant[Date],$A118)</f>
        <v/>
      </c>
      <c r="DB118" s="57">
        <f>IF($B118=$B117,$DB117,0)+$DA118</f>
        <v/>
      </c>
      <c r="DC118" s="57">
        <f>$DC117+$DA118</f>
        <v/>
      </c>
      <c r="DD118" s="57">
        <f>SUMIFS(tblPlant[Mill_Planned_Maint_h],tblPlant[Date],$A118)</f>
        <v/>
      </c>
      <c r="DE118" s="57">
        <f>IF($B118=$B117,$DE117,0)+$DD118</f>
        <v/>
      </c>
      <c r="DF118" s="57">
        <f>$DF117+$DD118</f>
        <v/>
      </c>
      <c r="DG118" s="57">
        <f>SUMIFS(tblPlant[Mill_Unplanned_Down_h],tblPlant[Date],$A118)</f>
        <v/>
      </c>
      <c r="DH118" s="57">
        <f>IF($B118=$B117,$DH117,0)+$DG118</f>
        <v/>
      </c>
      <c r="DI118" s="57">
        <f>$DI117+$DG118</f>
        <v/>
      </c>
      <c r="DJ118" s="57">
        <f>COUNTIFS(tblPlant[Date],$A118,tblPlant[Mill_Run_h],"&lt;&gt;")*24</f>
        <v/>
      </c>
      <c r="DK118" s="57">
        <f>IF($B118=$B117,$DK117,0)+$DJ118</f>
        <v/>
      </c>
      <c r="DL118" s="57">
        <f>$DL117+$DJ118</f>
        <v/>
      </c>
      <c r="DM118" s="57">
        <f>SUMIFS(tblPlant[Crusher_Run_h],tblPlant[Date],$A118)</f>
        <v/>
      </c>
      <c r="DN118" s="57">
        <f>IF($B118=$B117,$DN117,0)+$DM118</f>
        <v/>
      </c>
      <c r="DO118" s="57">
        <f>$DO117+$DM118</f>
        <v/>
      </c>
      <c r="DP118" s="55">
        <f>IFERROR(IF(($DA118)&gt;0,($BZ118)/($DA118),""),"")</f>
        <v/>
      </c>
      <c r="DQ118" s="55">
        <f>IFERROR(IF(($DB118)&gt;0,($CA118)/($DB118),""),"")</f>
        <v/>
      </c>
      <c r="DR118" s="55">
        <f>IFERROR(IF(($DC118)&gt;0,($CB118)/($DC118),""),"")</f>
        <v/>
      </c>
      <c r="DS118" s="67">
        <f>IFERROR(IF(($DJ118)&gt;0,($DJ118-$DD118-$DG118)/($DJ118),""),"")</f>
        <v/>
      </c>
      <c r="DT118" s="67">
        <f>IFERROR(IF(($DK118)&gt;0,($DK118-$DE118-$DH118)/($DK118),""),"")</f>
        <v/>
      </c>
      <c r="DU118" s="67">
        <f>IFERROR(IF(($DL118)&gt;0,($DL118-$DF118-$DI118)/($DL118),""),"")</f>
        <v/>
      </c>
      <c r="DV118" s="67">
        <f>IFERROR(IF(($DJ118-$DD118-$DG118)&gt;0,($DA118)/($DJ118-$DD118-$DG118),""),"")</f>
        <v/>
      </c>
      <c r="DW118" s="67">
        <f>IFERROR(IF(($DK118-$DE118-$DH118)&gt;0,($DB118)/($DK118-$DE118-$DH118),""),"")</f>
        <v/>
      </c>
      <c r="DX118" s="67">
        <f>IFERROR(IF(($DL118-$DF118-$DI118)&gt;0,($DC118)/($DL118-$DF118-$DI118),""),"")</f>
        <v/>
      </c>
      <c r="DY118" s="55">
        <f>SUMIFS(tblPlant[Cyanide_kg],tblPlant[Date],$A118)</f>
        <v/>
      </c>
      <c r="DZ118" s="55">
        <f>IF($B118=$B117,$DZ117,0)+$DY118</f>
        <v/>
      </c>
      <c r="EA118" s="55">
        <f>$EA117+$DY118</f>
        <v/>
      </c>
      <c r="EB118" s="55">
        <f>SUMIFS(tblPlant[Lime_kg],tblPlant[Date],$A118)</f>
        <v/>
      </c>
      <c r="EC118" s="55">
        <f>IF($B118=$B117,$EC117,0)+$EB118</f>
        <v/>
      </c>
      <c r="ED118" s="55">
        <f>$ED117+$EB118</f>
        <v/>
      </c>
      <c r="EE118" s="55">
        <f>SUMIFS(tblPlant[Grinding_Media_kg],tblPlant[Date],$A118)</f>
        <v/>
      </c>
      <c r="EF118" s="55">
        <f>IF($B118=$B117,$EF117,0)+$EE118</f>
        <v/>
      </c>
      <c r="EG118" s="55">
        <f>$EG117+$EE118</f>
        <v/>
      </c>
      <c r="EH118" s="55">
        <f>SUMIFS(tblPlant[Power_kWh],tblPlant[Date],$A118)</f>
        <v/>
      </c>
      <c r="EI118" s="55">
        <f>IF($B118=$B117,$EI117,0)+$EH118</f>
        <v/>
      </c>
      <c r="EJ118" s="55">
        <f>$EJ117+$EH118</f>
        <v/>
      </c>
      <c r="EK118" s="55">
        <f>SUMIFS(tblPlant[Raw_Water_m3],tblPlant[Date],$A118)</f>
        <v/>
      </c>
      <c r="EL118" s="55">
        <f>IF($B118=$B117,$EL117,0)+$EK118</f>
        <v/>
      </c>
      <c r="EM118" s="55">
        <f>$EM117+$EK118</f>
        <v/>
      </c>
      <c r="EN118" s="56">
        <f>IFERROR(IF(($BZ118)&gt;0,($DY118)/($BZ118),""),"")</f>
        <v/>
      </c>
      <c r="EO118" s="56">
        <f>IFERROR(IF(($CA118)&gt;0,($DZ118)/($CA118),""),"")</f>
        <v/>
      </c>
      <c r="EP118" s="56">
        <f>IFERROR(IF(($CB118)&gt;0,($EA118)/($CB118),""),"")</f>
        <v/>
      </c>
      <c r="EQ118" s="56">
        <f>IFERROR(IF(($BZ118)&gt;0,($EB118)/($BZ118),""),"")</f>
        <v/>
      </c>
      <c r="ER118" s="56">
        <f>IFERROR(IF(($CA118)&gt;0,($EC118)/($CA118),""),"")</f>
        <v/>
      </c>
      <c r="ES118" s="56">
        <f>IFERROR(IF(($CB118)&gt;0,($ED118)/($CB118),""),"")</f>
        <v/>
      </c>
      <c r="ET118" s="56">
        <f>IFERROR(IF(($BZ118)&gt;0,($EE118)/($BZ118),""),"")</f>
        <v/>
      </c>
      <c r="EU118" s="56">
        <f>IFERROR(IF(($CA118)&gt;0,($EF118)/($CA118),""),"")</f>
        <v/>
      </c>
      <c r="EV118" s="56">
        <f>IFERROR(IF(($CB118)&gt;0,($EG118)/($CB118),""),"")</f>
        <v/>
      </c>
      <c r="EW118" s="76">
        <f>IFERROR(IF(($BZ118)&gt;0,($EH118)/($BZ118),""),"")</f>
        <v/>
      </c>
      <c r="EX118" s="76">
        <f>IFERROR(IF(($CA118)&gt;0,($EI118)/($CA118),""),"")</f>
        <v/>
      </c>
      <c r="EY118" s="76">
        <f>IFERROR(IF(($CB118)&gt;0,($EJ118)/($CB118),""),"")</f>
        <v/>
      </c>
      <c r="EZ118" s="56">
        <f>IFERROR(IF(($BZ118)&gt;0,($EK118)/($BZ118),""),"")</f>
        <v/>
      </c>
      <c r="FA118" s="56">
        <f>IFERROR(IF(($CA118)&gt;0,($EL118)/($CA118),""),"")</f>
        <v/>
      </c>
      <c r="FB118" s="56">
        <f>IFERROR(IF(($CB118)&gt;0,($EM118)/($CB118),""),"")</f>
        <v/>
      </c>
      <c r="FC118" s="55">
        <f>IF(SUMIFS(tblPlant[GIC_oz],tblPlant[Date],$A118)&gt;0,SUMIFS(tblPlant[GIC_oz],tblPlant[Date],$A118),"")</f>
        <v/>
      </c>
      <c r="FD118" s="55">
        <f>SUMIFS(tblGold[Gold_oz],tblGold[Date],$A118,tblGold[Type],"Shipment")</f>
        <v/>
      </c>
      <c r="FE118" s="55">
        <f>IF($B118=$B117,$FE117,0)+$FD118</f>
        <v/>
      </c>
      <c r="FF118" s="55">
        <f>$FF117+$FD118</f>
        <v/>
      </c>
      <c r="FG118" s="55">
        <f>SUMIFS(tblGold[Gold_oz],tblGold[Date],$A118,tblGold[Type],"Sale")</f>
        <v/>
      </c>
      <c r="FH118" s="55">
        <f>IF($B118=$B117,$FH117,0)+$FG118</f>
        <v/>
      </c>
      <c r="FI118" s="55">
        <f>$FI117+$FG118</f>
        <v/>
      </c>
      <c r="FJ118" s="55">
        <f>SUMIFS(tblGold[Dore_kg],tblGold[Date],$A118,tblGold[Type],"Shipment")</f>
        <v/>
      </c>
      <c r="FK118" s="55">
        <f>IF($B118=$B117,$FK117,0)+$FJ118</f>
        <v/>
      </c>
      <c r="FL118" s="55">
        <f>$FL117+$FJ118</f>
        <v/>
      </c>
      <c r="FM118" s="57">
        <f>SUMIFS(tblSafety[Hours_Total],tblSafety[Date],$A118)</f>
        <v/>
      </c>
      <c r="FN118" s="57">
        <f>IF($B118=$B117,$FN117,0)+$FM118</f>
        <v/>
      </c>
      <c r="FO118" s="57">
        <f>$FO117+$FM118</f>
        <v/>
      </c>
      <c r="FP118" s="62">
        <f>SUMIFS(tblSafety[Fatality],tblSafety[Date],$A118)</f>
        <v/>
      </c>
      <c r="FQ118" s="62">
        <f>IF($B118=$B117,$FQ117,0)+$FP118</f>
        <v/>
      </c>
      <c r="FR118" s="62">
        <f>$FR117+$FP118</f>
        <v/>
      </c>
      <c r="FS118" s="62">
        <f>SUMIFS(tblSafety[LTI],tblSafety[Date],$A118)</f>
        <v/>
      </c>
      <c r="FT118" s="62">
        <f>IF($B118=$B117,$FT117,0)+$FS118</f>
        <v/>
      </c>
      <c r="FU118" s="62">
        <f>$FU117+$FS118</f>
        <v/>
      </c>
      <c r="FV118" s="62">
        <f>SUMIFS(tblSafety[RWI],tblSafety[Date],$A118)</f>
        <v/>
      </c>
      <c r="FW118" s="62">
        <f>IF($B118=$B117,$FW117,0)+$FV118</f>
        <v/>
      </c>
      <c r="FX118" s="62">
        <f>$FX117+$FV118</f>
        <v/>
      </c>
      <c r="FY118" s="62">
        <f>SUMIFS(tblSafety[MTI],tblSafety[Date],$A118)</f>
        <v/>
      </c>
      <c r="FZ118" s="62">
        <f>IF($B118=$B117,$FZ117,0)+$FY118</f>
        <v/>
      </c>
      <c r="GA118" s="62">
        <f>$GA117+$FY118</f>
        <v/>
      </c>
      <c r="GB118" s="62">
        <f>SUMIFS(tblSafety[FAI],tblSafety[Date],$A118)</f>
        <v/>
      </c>
      <c r="GC118" s="62">
        <f>IF($B118=$B117,$GC117,0)+$GB118</f>
        <v/>
      </c>
      <c r="GD118" s="62">
        <f>$GD117+$GB118</f>
        <v/>
      </c>
      <c r="GE118" s="62">
        <f>SUMIFS(tblSafety[Recordables],tblSafety[Date],$A118)</f>
        <v/>
      </c>
      <c r="GF118" s="62">
        <f>IF($B118=$B117,$GF117,0)+$GE118</f>
        <v/>
      </c>
      <c r="GG118" s="62">
        <f>$GG117+$GE118</f>
        <v/>
      </c>
      <c r="GH118" s="62">
        <f>SUMIFS(tblSafety[Near_Miss],tblSafety[Date],$A118)</f>
        <v/>
      </c>
      <c r="GI118" s="62">
        <f>IF($B118=$B117,$GI117,0)+$GH118</f>
        <v/>
      </c>
      <c r="GJ118" s="62">
        <f>$GJ117+$GH118</f>
        <v/>
      </c>
      <c r="GK118" s="62">
        <f>SUMIFS(tblSafety[Hazard_Reports],tblSafety[Date],$A118)</f>
        <v/>
      </c>
      <c r="GL118" s="62">
        <f>IF($B118=$B117,$GL117,0)+$GK118</f>
        <v/>
      </c>
      <c r="GM118" s="62">
        <f>$GM117+$GK118</f>
        <v/>
      </c>
      <c r="GN118" s="62">
        <f>SUMIFS(tblSafety[HPI],tblSafety[Date],$A118)</f>
        <v/>
      </c>
      <c r="GO118" s="62">
        <f>IF($B118=$B117,$GO117,0)+$GN118</f>
        <v/>
      </c>
      <c r="GP118" s="62">
        <f>$GP117+$GN118</f>
        <v/>
      </c>
      <c r="GQ118" s="62">
        <f>SUMIFS(tblSafety[Env_Incidents],tblSafety[Date],$A118)</f>
        <v/>
      </c>
      <c r="GR118" s="62">
        <f>IF($B118=$B117,$GR117,0)+$GQ118</f>
        <v/>
      </c>
      <c r="GS118" s="62">
        <f>$GS117+$GQ118</f>
        <v/>
      </c>
      <c r="GT118" s="62">
        <f>SUMIFS(tblSafety[Community_Incidents],tblSafety[Date],$A118)</f>
        <v/>
      </c>
      <c r="GU118" s="62">
        <f>IF($B118=$B117,$GU117,0)+$GT118</f>
        <v/>
      </c>
      <c r="GV118" s="62">
        <f>$GV117+$GT118</f>
        <v/>
      </c>
      <c r="GW118" s="62">
        <f>SUMIFS(tblSafety[Vehicle_Incidents],tblSafety[Date],$A118)</f>
        <v/>
      </c>
      <c r="GX118" s="62">
        <f>IF($B118=$B117,$GX117,0)+$GW118</f>
        <v/>
      </c>
      <c r="GY118" s="62">
        <f>$GY117+$GW118</f>
        <v/>
      </c>
      <c r="GZ118" s="62">
        <f>SUMIFS(tblSafety[Toolbox_Talks],tblSafety[Date],$A118)</f>
        <v/>
      </c>
      <c r="HA118" s="62">
        <f>IF($B118=$B117,$HA117,0)+$GZ118</f>
        <v/>
      </c>
      <c r="HB118" s="62">
        <f>$HB117+$GZ118</f>
        <v/>
      </c>
      <c r="HC118" s="62">
        <f>SUMIFS(tblSafety[Inspections],tblSafety[Date],$A118)</f>
        <v/>
      </c>
      <c r="HD118" s="62">
        <f>IF($B118=$B117,$HD117,0)+$HC118</f>
        <v/>
      </c>
      <c r="HE118" s="62">
        <f>$HE117+$HC118</f>
        <v/>
      </c>
      <c r="HF118" s="56">
        <f>IFERROR((SUMIFS(tblSafety[Recordables],tblSafety[Date],"&gt;="&amp;EDATE($E118,-12),tblSafety[Date],"&lt;="&amp;$A118)+SUMIFS(tblSafetyHistory[Recordables],tblSafetyHistory[Month],"&gt;="&amp;EDATE($E118,-12),tblSafetyHistory[Month],"&lt;"&amp;cfg_YearStart))/(SUMIFS(tblSafety[Hours_Total],tblSafety[Date],"&gt;="&amp;EDATE($E118,-12),tblSafety[Date],"&lt;="&amp;$A118)+SUMIFS(tblSafetyHistory[Hours_Total],tblSafetyHistory[Month],"&gt;="&amp;EDATE($E118,-12),tblSafetyHistory[Month],"&lt;"&amp;cfg_YearStart))*1000000,"")</f>
        <v/>
      </c>
      <c r="HG118" s="56">
        <f>IFERROR((SUMIFS(tblSafety[LTI],tblSafety[Date],"&gt;="&amp;EDATE($E118,-12),tblSafety[Date],"&lt;="&amp;$A118)+SUMIFS(tblSafetyHistory[LTI],tblSafetyHistory[Month],"&gt;="&amp;EDATE($E118,-12),tblSafetyHistory[Month],"&lt;"&amp;cfg_YearStart))/(SUMIFS(tblSafety[Hours_Total],tblSafety[Date],"&gt;="&amp;EDATE($E118,-12),tblSafety[Date],"&lt;="&amp;$A118)+SUMIFS(tblSafetyHistory[Hours_Total],tblSafetyHistory[Month],"&gt;="&amp;EDATE($E118,-12),tblSafetyHistory[Month],"&lt;"&amp;cfg_YearStart))*1000000,"")</f>
        <v/>
      </c>
      <c r="HH118" s="62">
        <f>IF(MAX(N(cfg_PriorLTIDate),_xlfn.MAXIFS(tblSafety[Date],tblSafety[LTI],"&gt;0",tblSafety[Date],"&lt;="&amp;$A118))=0,"",$A118-MAX(N(cfg_PriorLTIDate),_xlfn.MAXIFS(tblSafety[Date],tblSafety[LTI],"&gt;0",tblSafety[Date],"&lt;="&amp;$A118)))</f>
        <v/>
      </c>
      <c r="HI118" s="55">
        <f>SUMIFS(tblBudget[Ore_Mined_t],tblBudget[Month],$E118)</f>
        <v/>
      </c>
      <c r="HJ118" s="55">
        <f>$HI118*$C118/$D118</f>
        <v/>
      </c>
      <c r="HK118" s="55">
        <f>SUMIFS(tblBudget[Ore_Mined_t],tblBudget[Month],"&lt;"&amp;$E118)+$HJ118</f>
        <v/>
      </c>
      <c r="HL118" s="55">
        <f>SUMIFS(tblBudget[Ore_oz],tblBudget[Month],$E118)</f>
        <v/>
      </c>
      <c r="HM118" s="55">
        <f>$HL118*$C118/$D118</f>
        <v/>
      </c>
      <c r="HN118" s="55">
        <f>SUMIFS(tblBudget[Ore_oz],tblBudget[Month],"&lt;"&amp;$E118)+$HM118</f>
        <v/>
      </c>
      <c r="HO118" s="56">
        <f>IFERROR(IF(($HI118)&gt;0,($HL118*cfg_TroyOz)/($HI118),""),"")</f>
        <v/>
      </c>
      <c r="HP118" s="56">
        <f>IFERROR(IF(($HJ118)&gt;0,($HM118*cfg_TroyOz)/($HJ118),""),"")</f>
        <v/>
      </c>
      <c r="HQ118" s="56">
        <f>IFERROR(IF(($HK118)&gt;0,($HN118*cfg_TroyOz)/($HK118),""),"")</f>
        <v/>
      </c>
      <c r="HR118" s="55">
        <f>SUMIFS(tblBudget[Waste_t],tblBudget[Month],$E118)</f>
        <v/>
      </c>
      <c r="HS118" s="55">
        <f>$HR118*$C118/$D118</f>
        <v/>
      </c>
      <c r="HT118" s="55">
        <f>SUMIFS(tblBudget[Waste_t],tblBudget[Month],"&lt;"&amp;$E118)+$HS118</f>
        <v/>
      </c>
      <c r="HU118" s="55">
        <f>SUMIFS(tblBudget[TMM_t],tblBudget[Month],$E118)</f>
        <v/>
      </c>
      <c r="HV118" s="55">
        <f>$HU118*$C118/$D118</f>
        <v/>
      </c>
      <c r="HW118" s="55">
        <f>SUMIFS(tblBudget[TMM_t],tblBudget[Month],"&lt;"&amp;$E118)+$HV118</f>
        <v/>
      </c>
      <c r="HX118" s="56">
        <f>IFERROR(IF(($HI118)&gt;0,($HR118)/($HI118),""),"")</f>
        <v/>
      </c>
      <c r="HY118" s="56">
        <f>IFERROR(IF(($HJ118)&gt;0,($HS118)/($HJ118),""),"")</f>
        <v/>
      </c>
      <c r="HZ118" s="56">
        <f>IFERROR(IF(($HK118)&gt;0,($HT118)/($HK118),""),"")</f>
        <v/>
      </c>
      <c r="IA118" s="55">
        <f>SUMIFS(tblBudget[Drill_m],tblBudget[Month],$E118)</f>
        <v/>
      </c>
      <c r="IB118" s="55">
        <f>$IA118*$C118/$D118</f>
        <v/>
      </c>
      <c r="IC118" s="55">
        <f>SUMIFS(tblBudget[Drill_m],tblBudget[Month],"&lt;"&amp;$E118)+$IB118</f>
        <v/>
      </c>
      <c r="ID118" s="55">
        <f>SUMIFS(tblBudget[Diesel_L],tblBudget[Month],$E118)</f>
        <v/>
      </c>
      <c r="IE118" s="55">
        <f>$ID118*$C118/$D118</f>
        <v/>
      </c>
      <c r="IF118" s="55">
        <f>SUMIFS(tblBudget[Diesel_L],tblBudget[Month],"&lt;"&amp;$E118)+$IE118</f>
        <v/>
      </c>
      <c r="IG118" s="55">
        <f>SUMIFS(tblBudget[Milled_t],tblBudget[Month],$E118)</f>
        <v/>
      </c>
      <c r="IH118" s="55">
        <f>$IG118*$C118/$D118</f>
        <v/>
      </c>
      <c r="II118" s="55">
        <f>SUMIFS(tblBudget[Milled_t],tblBudget[Month],"&lt;"&amp;$E118)+$IH118</f>
        <v/>
      </c>
      <c r="IJ118" s="55">
        <f>SUMIFS(tblBudget[Feed_oz],tblBudget[Month],$E118)</f>
        <v/>
      </c>
      <c r="IK118" s="55">
        <f>$IJ118*$C118/$D118</f>
        <v/>
      </c>
      <c r="IL118" s="55">
        <f>SUMIFS(tblBudget[Feed_oz],tblBudget[Month],"&lt;"&amp;$E118)+$IK118</f>
        <v/>
      </c>
      <c r="IM118" s="55">
        <f>SUMIFS(tblBudget[Recovered_oz],tblBudget[Month],$E118)</f>
        <v/>
      </c>
      <c r="IN118" s="55">
        <f>$IM118*$C118/$D118</f>
        <v/>
      </c>
      <c r="IO118" s="55">
        <f>SUMIFS(tblBudget[Recovered_oz],tblBudget[Month],"&lt;"&amp;$E118)+$IN118</f>
        <v/>
      </c>
      <c r="IP118" s="56">
        <f>IFERROR(IF(($IG118)&gt;0,($IJ118*cfg_TroyOz)/($IG118),""),"")</f>
        <v/>
      </c>
      <c r="IQ118" s="56">
        <f>IFERROR(IF(($IH118)&gt;0,($IK118*cfg_TroyOz)/($IH118),""),"")</f>
        <v/>
      </c>
      <c r="IR118" s="56">
        <f>IFERROR(IF(($II118)&gt;0,($IL118*cfg_TroyOz)/($II118),""),"")</f>
        <v/>
      </c>
      <c r="IS118" s="67">
        <f>IFERROR(IF(($IJ118)&gt;0,($IM118)/($IJ118),""),"")</f>
        <v/>
      </c>
      <c r="IT118" s="67">
        <f>IFERROR(IF(($IK118)&gt;0,($IN118)/($IK118),""),"")</f>
        <v/>
      </c>
      <c r="IU118" s="67">
        <f>IFERROR(IF(($IL118)&gt;0,($IO118)/($IL118),""),"")</f>
        <v/>
      </c>
      <c r="IV118" s="55">
        <f>SUMIFS(tblBudget[Gold_Poured_oz],tblBudget[Month],$E118)</f>
        <v/>
      </c>
      <c r="IW118" s="55">
        <f>$IV118*$C118/$D118</f>
        <v/>
      </c>
      <c r="IX118" s="55">
        <f>SUMIFS(tblBudget[Gold_Poured_oz],tblBudget[Month],"&lt;"&amp;$E118)+$IW118</f>
        <v/>
      </c>
      <c r="IY118" s="57">
        <f>SUMIFS(tblBudget[Hours_Worked],tblBudget[Month],$E118)</f>
        <v/>
      </c>
      <c r="IZ118" s="57">
        <f>$IY118*$C118/$D118</f>
        <v/>
      </c>
      <c r="JA118" s="57">
        <f>SUMIFS(tblBudget[Hours_Worked],tblBudget[Month],"&lt;"&amp;$E118)+$IZ118</f>
        <v/>
      </c>
    </row>
    <row r="119">
      <c r="A119" s="54" t="n">
        <v>46140</v>
      </c>
      <c r="B119">
        <f>MONTH($A119)</f>
        <v/>
      </c>
      <c r="C119">
        <f>DAY($A119)</f>
        <v/>
      </c>
      <c r="D119">
        <f>DAY(EOMONTH($A119,0))</f>
        <v/>
      </c>
      <c r="E119" s="54">
        <f>DATE(YEAR($A119),MONTH($A119),1)</f>
        <v/>
      </c>
      <c r="F119" s="55">
        <f>SUMIFS(tblMovement[Tonnes_t],tblMovement[Date],$A119,tblMovement[Is_Ore],1,tblMovement[Source_Type],"Pit")</f>
        <v/>
      </c>
      <c r="G119" s="55">
        <f>IF($B119=$B118,$G118,0)+$F119</f>
        <v/>
      </c>
      <c r="H119" s="55">
        <f>$H118+$F119</f>
        <v/>
      </c>
      <c r="I119" s="55">
        <f>SUMIFS(tblMovement[Ore_oz],tblMovement[Date],$A119,tblMovement[Source_Type],"Pit")</f>
        <v/>
      </c>
      <c r="J119" s="55">
        <f>IF($B119=$B118,$J118,0)+$I119</f>
        <v/>
      </c>
      <c r="K119" s="55">
        <f>$K118+$I119</f>
        <v/>
      </c>
      <c r="L119" s="56">
        <f>IFERROR(IF(($F119)&gt;0,($I119*cfg_TroyOz)/($F119),""),"")</f>
        <v/>
      </c>
      <c r="M119" s="56">
        <f>IFERROR(IF(($G119)&gt;0,($J119*cfg_TroyOz)/($G119),""),"")</f>
        <v/>
      </c>
      <c r="N119" s="56">
        <f>IFERROR(IF(($H119)&gt;0,($K119*cfg_TroyOz)/($H119),""),"")</f>
        <v/>
      </c>
      <c r="O119" s="55">
        <f>SUMIFS(tblMovement[Tonnes_t],tblMovement[Date],$A119,tblMovement[Is_Ore],0,tblMovement[Source_Type],"Pit")</f>
        <v/>
      </c>
      <c r="P119" s="55">
        <f>IF($B119=$B118,$P118,0)+$O119</f>
        <v/>
      </c>
      <c r="Q119" s="55">
        <f>$Q118+$O119</f>
        <v/>
      </c>
      <c r="R119" s="55">
        <f>$F119+$O119</f>
        <v/>
      </c>
      <c r="S119" s="55">
        <f>IF($B119=$B118,$S118,0)+$R119</f>
        <v/>
      </c>
      <c r="T119" s="55">
        <f>$T118+$R119</f>
        <v/>
      </c>
      <c r="U119" s="56">
        <f>IFERROR(IF(($F119)&gt;0,($O119)/($F119),""),"")</f>
        <v/>
      </c>
      <c r="V119" s="56">
        <f>IFERROR(IF(($G119)&gt;0,($P119)/($G119),""),"")</f>
        <v/>
      </c>
      <c r="W119" s="56">
        <f>IFERROR(IF(($H119)&gt;0,($Q119)/($H119),""),"")</f>
        <v/>
      </c>
      <c r="X119" s="55">
        <f>SUMIFS(tblMovement[Tonnes_t],tblMovement[Date],$A119,tblMovement[Source_Type],"Stockpile")</f>
        <v/>
      </c>
      <c r="Y119" s="55">
        <f>IF($B119=$B118,$Y118,0)+$X119</f>
        <v/>
      </c>
      <c r="Z119" s="55">
        <f>$Z118+$X119</f>
        <v/>
      </c>
      <c r="AA119" s="55">
        <f>SUMIFS(tblMiningDaily[Drill_m],tblMiningDaily[Date],$A119)</f>
        <v/>
      </c>
      <c r="AB119" s="55">
        <f>IF($B119=$B118,$AB118,0)+$AA119</f>
        <v/>
      </c>
      <c r="AC119" s="55">
        <f>$AC118+$AA119</f>
        <v/>
      </c>
      <c r="AD119" s="55">
        <f>SUMIFS(tblMiningDaily[Blast_t],tblMiningDaily[Date],$A119)</f>
        <v/>
      </c>
      <c r="AE119" s="55">
        <f>IF($B119=$B118,$AE118,0)+$AD119</f>
        <v/>
      </c>
      <c r="AF119" s="55">
        <f>$AF118+$AD119</f>
        <v/>
      </c>
      <c r="AG119" s="55">
        <f>SUMIFS(tblMiningDaily[Explosives_kg],tblMiningDaily[Date],$A119)</f>
        <v/>
      </c>
      <c r="AH119" s="55">
        <f>IF($B119=$B118,$AH118,0)+$AG119</f>
        <v/>
      </c>
      <c r="AI119" s="55">
        <f>$AI118+$AG119</f>
        <v/>
      </c>
      <c r="AJ119" s="56">
        <f>IFERROR(IF(($AD119)&gt;0,($AG119)/($AD119),""),"")</f>
        <v/>
      </c>
      <c r="AK119" s="56">
        <f>IFERROR(IF(($AE119)&gt;0,($AH119)/($AE119),""),"")</f>
        <v/>
      </c>
      <c r="AL119" s="56">
        <f>IFERROR(IF(($AF119)&gt;0,($AI119)/($AF119),""),"")</f>
        <v/>
      </c>
      <c r="AM119" s="55">
        <f>SUMIFS(tblMiningDaily[Diesel_L],tblMiningDaily[Date],$A119)</f>
        <v/>
      </c>
      <c r="AN119" s="55">
        <f>IF($B119=$B118,$AN118,0)+$AM119</f>
        <v/>
      </c>
      <c r="AO119" s="55">
        <f>$AO118+$AM119</f>
        <v/>
      </c>
      <c r="AP119" s="55">
        <f>SUMIFS(tblMiningDaily[Dewatering_m3],tblMiningDaily[Date],$A119)</f>
        <v/>
      </c>
      <c r="AQ119" s="55">
        <f>IF($B119=$B118,$AQ118,0)+$AP119</f>
        <v/>
      </c>
      <c r="AR119" s="55">
        <f>$AR118+$AP119</f>
        <v/>
      </c>
      <c r="AS119" s="57">
        <f>SUMIFS(tblFleet[Calendar_h],tblFleet[Date],$A119,tblFleet[Equipment_Class],"Excavator")</f>
        <v/>
      </c>
      <c r="AT119" s="57">
        <f>IF($B119=$B118,$AT118,0)+$AS119</f>
        <v/>
      </c>
      <c r="AU119" s="57">
        <f>$AU118+$AS119</f>
        <v/>
      </c>
      <c r="AV119" s="57">
        <f>SUMIFS(tblFleet[Available_h],tblFleet[Date],$A119,tblFleet[Equipment_Class],"Excavator")</f>
        <v/>
      </c>
      <c r="AW119" s="57">
        <f>IF($B119=$B118,$AW118,0)+$AV119</f>
        <v/>
      </c>
      <c r="AX119" s="57">
        <f>$AX118+$AV119</f>
        <v/>
      </c>
      <c r="AY119" s="57">
        <f>SUMIFS(tblFleet[Operating_h],tblFleet[Date],$A119,tblFleet[Equipment_Class],"Excavator")</f>
        <v/>
      </c>
      <c r="AZ119" s="57">
        <f>IF($B119=$B118,$AZ118,0)+$AY119</f>
        <v/>
      </c>
      <c r="BA119" s="57">
        <f>$BA118+$AY119</f>
        <v/>
      </c>
      <c r="BB119" s="67">
        <f>IFERROR(IF(($AS119)&gt;0,($AV119)/($AS119),""),"")</f>
        <v/>
      </c>
      <c r="BC119" s="67">
        <f>IFERROR(IF(($AT119)&gt;0,($AW119)/($AT119),""),"")</f>
        <v/>
      </c>
      <c r="BD119" s="67">
        <f>IFERROR(IF(($AU119)&gt;0,($AX119)/($AU119),""),"")</f>
        <v/>
      </c>
      <c r="BE119" s="67">
        <f>IFERROR(IF(($AV119)&gt;0,($AY119)/($AV119),""),"")</f>
        <v/>
      </c>
      <c r="BF119" s="67">
        <f>IFERROR(IF(($AW119)&gt;0,($AZ119)/($AW119),""),"")</f>
        <v/>
      </c>
      <c r="BG119" s="67">
        <f>IFERROR(IF(($AX119)&gt;0,($BA119)/($AX119),""),"")</f>
        <v/>
      </c>
      <c r="BH119" s="57">
        <f>SUMIFS(tblFleet[Calendar_h],tblFleet[Date],$A119,tblFleet[Equipment_Class],"Haul Truck")</f>
        <v/>
      </c>
      <c r="BI119" s="57">
        <f>IF($B119=$B118,$BI118,0)+$BH119</f>
        <v/>
      </c>
      <c r="BJ119" s="57">
        <f>$BJ118+$BH119</f>
        <v/>
      </c>
      <c r="BK119" s="57">
        <f>SUMIFS(tblFleet[Available_h],tblFleet[Date],$A119,tblFleet[Equipment_Class],"Haul Truck")</f>
        <v/>
      </c>
      <c r="BL119" s="57">
        <f>IF($B119=$B118,$BL118,0)+$BK119</f>
        <v/>
      </c>
      <c r="BM119" s="57">
        <f>$BM118+$BK119</f>
        <v/>
      </c>
      <c r="BN119" s="57">
        <f>SUMIFS(tblFleet[Operating_h],tblFleet[Date],$A119,tblFleet[Equipment_Class],"Haul Truck")</f>
        <v/>
      </c>
      <c r="BO119" s="57">
        <f>IF($B119=$B118,$BO118,0)+$BN119</f>
        <v/>
      </c>
      <c r="BP119" s="57">
        <f>$BP118+$BN119</f>
        <v/>
      </c>
      <c r="BQ119" s="67">
        <f>IFERROR(IF(($BH119)&gt;0,($BK119)/($BH119),""),"")</f>
        <v/>
      </c>
      <c r="BR119" s="67">
        <f>IFERROR(IF(($BI119)&gt;0,($BL119)/($BI119),""),"")</f>
        <v/>
      </c>
      <c r="BS119" s="67">
        <f>IFERROR(IF(($BJ119)&gt;0,($BM119)/($BJ119),""),"")</f>
        <v/>
      </c>
      <c r="BT119" s="67">
        <f>IFERROR(IF(($BK119)&gt;0,($BN119)/($BK119),""),"")</f>
        <v/>
      </c>
      <c r="BU119" s="67">
        <f>IFERROR(IF(($BL119)&gt;0,($BO119)/($BL119),""),"")</f>
        <v/>
      </c>
      <c r="BV119" s="67">
        <f>IFERROR(IF(($BM119)&gt;0,($BP119)/($BM119),""),"")</f>
        <v/>
      </c>
      <c r="BW119" s="55">
        <f>SUMIFS(tblPlant[Crushed_t],tblPlant[Date],$A119)</f>
        <v/>
      </c>
      <c r="BX119" s="55">
        <f>IF($B119=$B118,$BX118,0)+$BW119</f>
        <v/>
      </c>
      <c r="BY119" s="55">
        <f>$BY118+$BW119</f>
        <v/>
      </c>
      <c r="BZ119" s="55">
        <f>SUMIFS(tblPlant[Milled_t],tblPlant[Date],$A119)</f>
        <v/>
      </c>
      <c r="CA119" s="55">
        <f>IF($B119=$B118,$CA118,0)+$BZ119</f>
        <v/>
      </c>
      <c r="CB119" s="55">
        <f>$CB118+$BZ119</f>
        <v/>
      </c>
      <c r="CC119" s="55">
        <f>SUMIFS(tblPlant[Feed_oz],tblPlant[Date],$A119)</f>
        <v/>
      </c>
      <c r="CD119" s="55">
        <f>IF($B119=$B118,$CD118,0)+$CC119</f>
        <v/>
      </c>
      <c r="CE119" s="55">
        <f>$CE118+$CC119</f>
        <v/>
      </c>
      <c r="CF119" s="55">
        <f>SUMIFS(tblPlant[Tails_oz],tblPlant[Date],$A119)</f>
        <v/>
      </c>
      <c r="CG119" s="55">
        <f>IF($B119=$B118,$CG118,0)+$CF119</f>
        <v/>
      </c>
      <c r="CH119" s="55">
        <f>$CH118+$CF119</f>
        <v/>
      </c>
      <c r="CI119" s="55">
        <f>SUMIFS(tblPlant[Recovered_oz],tblPlant[Date],$A119)</f>
        <v/>
      </c>
      <c r="CJ119" s="55">
        <f>IF($B119=$B118,$CJ118,0)+$CI119</f>
        <v/>
      </c>
      <c r="CK119" s="55">
        <f>$CK118+$CI119</f>
        <v/>
      </c>
      <c r="CL119" s="56">
        <f>IFERROR(IF(($BZ119)&gt;0,($CC119*cfg_TroyOz)/($BZ119),""),"")</f>
        <v/>
      </c>
      <c r="CM119" s="56">
        <f>IFERROR(IF(($CA119)&gt;0,($CD119*cfg_TroyOz)/($CA119),""),"")</f>
        <v/>
      </c>
      <c r="CN119" s="56">
        <f>IFERROR(IF(($CB119)&gt;0,($CE119*cfg_TroyOz)/($CB119),""),"")</f>
        <v/>
      </c>
      <c r="CO119" s="56">
        <f>IFERROR(IF(($BZ119)&gt;0,($CF119*cfg_TroyOz)/($BZ119),""),"")</f>
        <v/>
      </c>
      <c r="CP119" s="56">
        <f>IFERROR(IF(($CA119)&gt;0,($CG119*cfg_TroyOz)/($CA119),""),"")</f>
        <v/>
      </c>
      <c r="CQ119" s="56">
        <f>IFERROR(IF(($CB119)&gt;0,($CH119*cfg_TroyOz)/($CB119),""),"")</f>
        <v/>
      </c>
      <c r="CR119" s="67">
        <f>IFERROR(IF(($CC119)&gt;0,($CI119)/($CC119),""),"")</f>
        <v/>
      </c>
      <c r="CS119" s="67">
        <f>IFERROR(IF(($CD119)&gt;0,($CJ119)/($CD119),""),"")</f>
        <v/>
      </c>
      <c r="CT119" s="67">
        <f>IFERROR(IF(($CE119)&gt;0,($CK119)/($CE119),""),"")</f>
        <v/>
      </c>
      <c r="CU119" s="55">
        <f>SUMIFS(tblPlant[Gravity_Gold_oz],tblPlant[Date],$A119)</f>
        <v/>
      </c>
      <c r="CV119" s="55">
        <f>IF($B119=$B118,$CV118,0)+$CU119</f>
        <v/>
      </c>
      <c r="CW119" s="55">
        <f>$CW118+$CU119</f>
        <v/>
      </c>
      <c r="CX119" s="55">
        <f>SUMIFS(tblPlant[Gold_Poured_oz],tblPlant[Date],$A119)</f>
        <v/>
      </c>
      <c r="CY119" s="55">
        <f>IF($B119=$B118,$CY118,0)+$CX119</f>
        <v/>
      </c>
      <c r="CZ119" s="55">
        <f>$CZ118+$CX119</f>
        <v/>
      </c>
      <c r="DA119" s="57">
        <f>SUMIFS(tblPlant[Mill_Run_h],tblPlant[Date],$A119)</f>
        <v/>
      </c>
      <c r="DB119" s="57">
        <f>IF($B119=$B118,$DB118,0)+$DA119</f>
        <v/>
      </c>
      <c r="DC119" s="57">
        <f>$DC118+$DA119</f>
        <v/>
      </c>
      <c r="DD119" s="57">
        <f>SUMIFS(tblPlant[Mill_Planned_Maint_h],tblPlant[Date],$A119)</f>
        <v/>
      </c>
      <c r="DE119" s="57">
        <f>IF($B119=$B118,$DE118,0)+$DD119</f>
        <v/>
      </c>
      <c r="DF119" s="57">
        <f>$DF118+$DD119</f>
        <v/>
      </c>
      <c r="DG119" s="57">
        <f>SUMIFS(tblPlant[Mill_Unplanned_Down_h],tblPlant[Date],$A119)</f>
        <v/>
      </c>
      <c r="DH119" s="57">
        <f>IF($B119=$B118,$DH118,0)+$DG119</f>
        <v/>
      </c>
      <c r="DI119" s="57">
        <f>$DI118+$DG119</f>
        <v/>
      </c>
      <c r="DJ119" s="57">
        <f>COUNTIFS(tblPlant[Date],$A119,tblPlant[Mill_Run_h],"&lt;&gt;")*24</f>
        <v/>
      </c>
      <c r="DK119" s="57">
        <f>IF($B119=$B118,$DK118,0)+$DJ119</f>
        <v/>
      </c>
      <c r="DL119" s="57">
        <f>$DL118+$DJ119</f>
        <v/>
      </c>
      <c r="DM119" s="57">
        <f>SUMIFS(tblPlant[Crusher_Run_h],tblPlant[Date],$A119)</f>
        <v/>
      </c>
      <c r="DN119" s="57">
        <f>IF($B119=$B118,$DN118,0)+$DM119</f>
        <v/>
      </c>
      <c r="DO119" s="57">
        <f>$DO118+$DM119</f>
        <v/>
      </c>
      <c r="DP119" s="55">
        <f>IFERROR(IF(($DA119)&gt;0,($BZ119)/($DA119),""),"")</f>
        <v/>
      </c>
      <c r="DQ119" s="55">
        <f>IFERROR(IF(($DB119)&gt;0,($CA119)/($DB119),""),"")</f>
        <v/>
      </c>
      <c r="DR119" s="55">
        <f>IFERROR(IF(($DC119)&gt;0,($CB119)/($DC119),""),"")</f>
        <v/>
      </c>
      <c r="DS119" s="67">
        <f>IFERROR(IF(($DJ119)&gt;0,($DJ119-$DD119-$DG119)/($DJ119),""),"")</f>
        <v/>
      </c>
      <c r="DT119" s="67">
        <f>IFERROR(IF(($DK119)&gt;0,($DK119-$DE119-$DH119)/($DK119),""),"")</f>
        <v/>
      </c>
      <c r="DU119" s="67">
        <f>IFERROR(IF(($DL119)&gt;0,($DL119-$DF119-$DI119)/($DL119),""),"")</f>
        <v/>
      </c>
      <c r="DV119" s="67">
        <f>IFERROR(IF(($DJ119-$DD119-$DG119)&gt;0,($DA119)/($DJ119-$DD119-$DG119),""),"")</f>
        <v/>
      </c>
      <c r="DW119" s="67">
        <f>IFERROR(IF(($DK119-$DE119-$DH119)&gt;0,($DB119)/($DK119-$DE119-$DH119),""),"")</f>
        <v/>
      </c>
      <c r="DX119" s="67">
        <f>IFERROR(IF(($DL119-$DF119-$DI119)&gt;0,($DC119)/($DL119-$DF119-$DI119),""),"")</f>
        <v/>
      </c>
      <c r="DY119" s="55">
        <f>SUMIFS(tblPlant[Cyanide_kg],tblPlant[Date],$A119)</f>
        <v/>
      </c>
      <c r="DZ119" s="55">
        <f>IF($B119=$B118,$DZ118,0)+$DY119</f>
        <v/>
      </c>
      <c r="EA119" s="55">
        <f>$EA118+$DY119</f>
        <v/>
      </c>
      <c r="EB119" s="55">
        <f>SUMIFS(tblPlant[Lime_kg],tblPlant[Date],$A119)</f>
        <v/>
      </c>
      <c r="EC119" s="55">
        <f>IF($B119=$B118,$EC118,0)+$EB119</f>
        <v/>
      </c>
      <c r="ED119" s="55">
        <f>$ED118+$EB119</f>
        <v/>
      </c>
      <c r="EE119" s="55">
        <f>SUMIFS(tblPlant[Grinding_Media_kg],tblPlant[Date],$A119)</f>
        <v/>
      </c>
      <c r="EF119" s="55">
        <f>IF($B119=$B118,$EF118,0)+$EE119</f>
        <v/>
      </c>
      <c r="EG119" s="55">
        <f>$EG118+$EE119</f>
        <v/>
      </c>
      <c r="EH119" s="55">
        <f>SUMIFS(tblPlant[Power_kWh],tblPlant[Date],$A119)</f>
        <v/>
      </c>
      <c r="EI119" s="55">
        <f>IF($B119=$B118,$EI118,0)+$EH119</f>
        <v/>
      </c>
      <c r="EJ119" s="55">
        <f>$EJ118+$EH119</f>
        <v/>
      </c>
      <c r="EK119" s="55">
        <f>SUMIFS(tblPlant[Raw_Water_m3],tblPlant[Date],$A119)</f>
        <v/>
      </c>
      <c r="EL119" s="55">
        <f>IF($B119=$B118,$EL118,0)+$EK119</f>
        <v/>
      </c>
      <c r="EM119" s="55">
        <f>$EM118+$EK119</f>
        <v/>
      </c>
      <c r="EN119" s="56">
        <f>IFERROR(IF(($BZ119)&gt;0,($DY119)/($BZ119),""),"")</f>
        <v/>
      </c>
      <c r="EO119" s="56">
        <f>IFERROR(IF(($CA119)&gt;0,($DZ119)/($CA119),""),"")</f>
        <v/>
      </c>
      <c r="EP119" s="56">
        <f>IFERROR(IF(($CB119)&gt;0,($EA119)/($CB119),""),"")</f>
        <v/>
      </c>
      <c r="EQ119" s="56">
        <f>IFERROR(IF(($BZ119)&gt;0,($EB119)/($BZ119),""),"")</f>
        <v/>
      </c>
      <c r="ER119" s="56">
        <f>IFERROR(IF(($CA119)&gt;0,($EC119)/($CA119),""),"")</f>
        <v/>
      </c>
      <c r="ES119" s="56">
        <f>IFERROR(IF(($CB119)&gt;0,($ED119)/($CB119),""),"")</f>
        <v/>
      </c>
      <c r="ET119" s="56">
        <f>IFERROR(IF(($BZ119)&gt;0,($EE119)/($BZ119),""),"")</f>
        <v/>
      </c>
      <c r="EU119" s="56">
        <f>IFERROR(IF(($CA119)&gt;0,($EF119)/($CA119),""),"")</f>
        <v/>
      </c>
      <c r="EV119" s="56">
        <f>IFERROR(IF(($CB119)&gt;0,($EG119)/($CB119),""),"")</f>
        <v/>
      </c>
      <c r="EW119" s="76">
        <f>IFERROR(IF(($BZ119)&gt;0,($EH119)/($BZ119),""),"")</f>
        <v/>
      </c>
      <c r="EX119" s="76">
        <f>IFERROR(IF(($CA119)&gt;0,($EI119)/($CA119),""),"")</f>
        <v/>
      </c>
      <c r="EY119" s="76">
        <f>IFERROR(IF(($CB119)&gt;0,($EJ119)/($CB119),""),"")</f>
        <v/>
      </c>
      <c r="EZ119" s="56">
        <f>IFERROR(IF(($BZ119)&gt;0,($EK119)/($BZ119),""),"")</f>
        <v/>
      </c>
      <c r="FA119" s="56">
        <f>IFERROR(IF(($CA119)&gt;0,($EL119)/($CA119),""),"")</f>
        <v/>
      </c>
      <c r="FB119" s="56">
        <f>IFERROR(IF(($CB119)&gt;0,($EM119)/($CB119),""),"")</f>
        <v/>
      </c>
      <c r="FC119" s="55">
        <f>IF(SUMIFS(tblPlant[GIC_oz],tblPlant[Date],$A119)&gt;0,SUMIFS(tblPlant[GIC_oz],tblPlant[Date],$A119),"")</f>
        <v/>
      </c>
      <c r="FD119" s="55">
        <f>SUMIFS(tblGold[Gold_oz],tblGold[Date],$A119,tblGold[Type],"Shipment")</f>
        <v/>
      </c>
      <c r="FE119" s="55">
        <f>IF($B119=$B118,$FE118,0)+$FD119</f>
        <v/>
      </c>
      <c r="FF119" s="55">
        <f>$FF118+$FD119</f>
        <v/>
      </c>
      <c r="FG119" s="55">
        <f>SUMIFS(tblGold[Gold_oz],tblGold[Date],$A119,tblGold[Type],"Sale")</f>
        <v/>
      </c>
      <c r="FH119" s="55">
        <f>IF($B119=$B118,$FH118,0)+$FG119</f>
        <v/>
      </c>
      <c r="FI119" s="55">
        <f>$FI118+$FG119</f>
        <v/>
      </c>
      <c r="FJ119" s="55">
        <f>SUMIFS(tblGold[Dore_kg],tblGold[Date],$A119,tblGold[Type],"Shipment")</f>
        <v/>
      </c>
      <c r="FK119" s="55">
        <f>IF($B119=$B118,$FK118,0)+$FJ119</f>
        <v/>
      </c>
      <c r="FL119" s="55">
        <f>$FL118+$FJ119</f>
        <v/>
      </c>
      <c r="FM119" s="57">
        <f>SUMIFS(tblSafety[Hours_Total],tblSafety[Date],$A119)</f>
        <v/>
      </c>
      <c r="FN119" s="57">
        <f>IF($B119=$B118,$FN118,0)+$FM119</f>
        <v/>
      </c>
      <c r="FO119" s="57">
        <f>$FO118+$FM119</f>
        <v/>
      </c>
      <c r="FP119" s="62">
        <f>SUMIFS(tblSafety[Fatality],tblSafety[Date],$A119)</f>
        <v/>
      </c>
      <c r="FQ119" s="62">
        <f>IF($B119=$B118,$FQ118,0)+$FP119</f>
        <v/>
      </c>
      <c r="FR119" s="62">
        <f>$FR118+$FP119</f>
        <v/>
      </c>
      <c r="FS119" s="62">
        <f>SUMIFS(tblSafety[LTI],tblSafety[Date],$A119)</f>
        <v/>
      </c>
      <c r="FT119" s="62">
        <f>IF($B119=$B118,$FT118,0)+$FS119</f>
        <v/>
      </c>
      <c r="FU119" s="62">
        <f>$FU118+$FS119</f>
        <v/>
      </c>
      <c r="FV119" s="62">
        <f>SUMIFS(tblSafety[RWI],tblSafety[Date],$A119)</f>
        <v/>
      </c>
      <c r="FW119" s="62">
        <f>IF($B119=$B118,$FW118,0)+$FV119</f>
        <v/>
      </c>
      <c r="FX119" s="62">
        <f>$FX118+$FV119</f>
        <v/>
      </c>
      <c r="FY119" s="62">
        <f>SUMIFS(tblSafety[MTI],tblSafety[Date],$A119)</f>
        <v/>
      </c>
      <c r="FZ119" s="62">
        <f>IF($B119=$B118,$FZ118,0)+$FY119</f>
        <v/>
      </c>
      <c r="GA119" s="62">
        <f>$GA118+$FY119</f>
        <v/>
      </c>
      <c r="GB119" s="62">
        <f>SUMIFS(tblSafety[FAI],tblSafety[Date],$A119)</f>
        <v/>
      </c>
      <c r="GC119" s="62">
        <f>IF($B119=$B118,$GC118,0)+$GB119</f>
        <v/>
      </c>
      <c r="GD119" s="62">
        <f>$GD118+$GB119</f>
        <v/>
      </c>
      <c r="GE119" s="62">
        <f>SUMIFS(tblSafety[Recordables],tblSafety[Date],$A119)</f>
        <v/>
      </c>
      <c r="GF119" s="62">
        <f>IF($B119=$B118,$GF118,0)+$GE119</f>
        <v/>
      </c>
      <c r="GG119" s="62">
        <f>$GG118+$GE119</f>
        <v/>
      </c>
      <c r="GH119" s="62">
        <f>SUMIFS(tblSafety[Near_Miss],tblSafety[Date],$A119)</f>
        <v/>
      </c>
      <c r="GI119" s="62">
        <f>IF($B119=$B118,$GI118,0)+$GH119</f>
        <v/>
      </c>
      <c r="GJ119" s="62">
        <f>$GJ118+$GH119</f>
        <v/>
      </c>
      <c r="GK119" s="62">
        <f>SUMIFS(tblSafety[Hazard_Reports],tblSafety[Date],$A119)</f>
        <v/>
      </c>
      <c r="GL119" s="62">
        <f>IF($B119=$B118,$GL118,0)+$GK119</f>
        <v/>
      </c>
      <c r="GM119" s="62">
        <f>$GM118+$GK119</f>
        <v/>
      </c>
      <c r="GN119" s="62">
        <f>SUMIFS(tblSafety[HPI],tblSafety[Date],$A119)</f>
        <v/>
      </c>
      <c r="GO119" s="62">
        <f>IF($B119=$B118,$GO118,0)+$GN119</f>
        <v/>
      </c>
      <c r="GP119" s="62">
        <f>$GP118+$GN119</f>
        <v/>
      </c>
      <c r="GQ119" s="62">
        <f>SUMIFS(tblSafety[Env_Incidents],tblSafety[Date],$A119)</f>
        <v/>
      </c>
      <c r="GR119" s="62">
        <f>IF($B119=$B118,$GR118,0)+$GQ119</f>
        <v/>
      </c>
      <c r="GS119" s="62">
        <f>$GS118+$GQ119</f>
        <v/>
      </c>
      <c r="GT119" s="62">
        <f>SUMIFS(tblSafety[Community_Incidents],tblSafety[Date],$A119)</f>
        <v/>
      </c>
      <c r="GU119" s="62">
        <f>IF($B119=$B118,$GU118,0)+$GT119</f>
        <v/>
      </c>
      <c r="GV119" s="62">
        <f>$GV118+$GT119</f>
        <v/>
      </c>
      <c r="GW119" s="62">
        <f>SUMIFS(tblSafety[Vehicle_Incidents],tblSafety[Date],$A119)</f>
        <v/>
      </c>
      <c r="GX119" s="62">
        <f>IF($B119=$B118,$GX118,0)+$GW119</f>
        <v/>
      </c>
      <c r="GY119" s="62">
        <f>$GY118+$GW119</f>
        <v/>
      </c>
      <c r="GZ119" s="62">
        <f>SUMIFS(tblSafety[Toolbox_Talks],tblSafety[Date],$A119)</f>
        <v/>
      </c>
      <c r="HA119" s="62">
        <f>IF($B119=$B118,$HA118,0)+$GZ119</f>
        <v/>
      </c>
      <c r="HB119" s="62">
        <f>$HB118+$GZ119</f>
        <v/>
      </c>
      <c r="HC119" s="62">
        <f>SUMIFS(tblSafety[Inspections],tblSafety[Date],$A119)</f>
        <v/>
      </c>
      <c r="HD119" s="62">
        <f>IF($B119=$B118,$HD118,0)+$HC119</f>
        <v/>
      </c>
      <c r="HE119" s="62">
        <f>$HE118+$HC119</f>
        <v/>
      </c>
      <c r="HF119" s="56">
        <f>IFERROR((SUMIFS(tblSafety[Recordables],tblSafety[Date],"&gt;="&amp;EDATE($E119,-12),tblSafety[Date],"&lt;="&amp;$A119)+SUMIFS(tblSafetyHistory[Recordables],tblSafetyHistory[Month],"&gt;="&amp;EDATE($E119,-12),tblSafetyHistory[Month],"&lt;"&amp;cfg_YearStart))/(SUMIFS(tblSafety[Hours_Total],tblSafety[Date],"&gt;="&amp;EDATE($E119,-12),tblSafety[Date],"&lt;="&amp;$A119)+SUMIFS(tblSafetyHistory[Hours_Total],tblSafetyHistory[Month],"&gt;="&amp;EDATE($E119,-12),tblSafetyHistory[Month],"&lt;"&amp;cfg_YearStart))*1000000,"")</f>
        <v/>
      </c>
      <c r="HG119" s="56">
        <f>IFERROR((SUMIFS(tblSafety[LTI],tblSafety[Date],"&gt;="&amp;EDATE($E119,-12),tblSafety[Date],"&lt;="&amp;$A119)+SUMIFS(tblSafetyHistory[LTI],tblSafetyHistory[Month],"&gt;="&amp;EDATE($E119,-12),tblSafetyHistory[Month],"&lt;"&amp;cfg_YearStart))/(SUMIFS(tblSafety[Hours_Total],tblSafety[Date],"&gt;="&amp;EDATE($E119,-12),tblSafety[Date],"&lt;="&amp;$A119)+SUMIFS(tblSafetyHistory[Hours_Total],tblSafetyHistory[Month],"&gt;="&amp;EDATE($E119,-12),tblSafetyHistory[Month],"&lt;"&amp;cfg_YearStart))*1000000,"")</f>
        <v/>
      </c>
      <c r="HH119" s="62">
        <f>IF(MAX(N(cfg_PriorLTIDate),_xlfn.MAXIFS(tblSafety[Date],tblSafety[LTI],"&gt;0",tblSafety[Date],"&lt;="&amp;$A119))=0,"",$A119-MAX(N(cfg_PriorLTIDate),_xlfn.MAXIFS(tblSafety[Date],tblSafety[LTI],"&gt;0",tblSafety[Date],"&lt;="&amp;$A119)))</f>
        <v/>
      </c>
      <c r="HI119" s="55">
        <f>SUMIFS(tblBudget[Ore_Mined_t],tblBudget[Month],$E119)</f>
        <v/>
      </c>
      <c r="HJ119" s="55">
        <f>$HI119*$C119/$D119</f>
        <v/>
      </c>
      <c r="HK119" s="55">
        <f>SUMIFS(tblBudget[Ore_Mined_t],tblBudget[Month],"&lt;"&amp;$E119)+$HJ119</f>
        <v/>
      </c>
      <c r="HL119" s="55">
        <f>SUMIFS(tblBudget[Ore_oz],tblBudget[Month],$E119)</f>
        <v/>
      </c>
      <c r="HM119" s="55">
        <f>$HL119*$C119/$D119</f>
        <v/>
      </c>
      <c r="HN119" s="55">
        <f>SUMIFS(tblBudget[Ore_oz],tblBudget[Month],"&lt;"&amp;$E119)+$HM119</f>
        <v/>
      </c>
      <c r="HO119" s="56">
        <f>IFERROR(IF(($HI119)&gt;0,($HL119*cfg_TroyOz)/($HI119),""),"")</f>
        <v/>
      </c>
      <c r="HP119" s="56">
        <f>IFERROR(IF(($HJ119)&gt;0,($HM119*cfg_TroyOz)/($HJ119),""),"")</f>
        <v/>
      </c>
      <c r="HQ119" s="56">
        <f>IFERROR(IF(($HK119)&gt;0,($HN119*cfg_TroyOz)/($HK119),""),"")</f>
        <v/>
      </c>
      <c r="HR119" s="55">
        <f>SUMIFS(tblBudget[Waste_t],tblBudget[Month],$E119)</f>
        <v/>
      </c>
      <c r="HS119" s="55">
        <f>$HR119*$C119/$D119</f>
        <v/>
      </c>
      <c r="HT119" s="55">
        <f>SUMIFS(tblBudget[Waste_t],tblBudget[Month],"&lt;"&amp;$E119)+$HS119</f>
        <v/>
      </c>
      <c r="HU119" s="55">
        <f>SUMIFS(tblBudget[TMM_t],tblBudget[Month],$E119)</f>
        <v/>
      </c>
      <c r="HV119" s="55">
        <f>$HU119*$C119/$D119</f>
        <v/>
      </c>
      <c r="HW119" s="55">
        <f>SUMIFS(tblBudget[TMM_t],tblBudget[Month],"&lt;"&amp;$E119)+$HV119</f>
        <v/>
      </c>
      <c r="HX119" s="56">
        <f>IFERROR(IF(($HI119)&gt;0,($HR119)/($HI119),""),"")</f>
        <v/>
      </c>
      <c r="HY119" s="56">
        <f>IFERROR(IF(($HJ119)&gt;0,($HS119)/($HJ119),""),"")</f>
        <v/>
      </c>
      <c r="HZ119" s="56">
        <f>IFERROR(IF(($HK119)&gt;0,($HT119)/($HK119),""),"")</f>
        <v/>
      </c>
      <c r="IA119" s="55">
        <f>SUMIFS(tblBudget[Drill_m],tblBudget[Month],$E119)</f>
        <v/>
      </c>
      <c r="IB119" s="55">
        <f>$IA119*$C119/$D119</f>
        <v/>
      </c>
      <c r="IC119" s="55">
        <f>SUMIFS(tblBudget[Drill_m],tblBudget[Month],"&lt;"&amp;$E119)+$IB119</f>
        <v/>
      </c>
      <c r="ID119" s="55">
        <f>SUMIFS(tblBudget[Diesel_L],tblBudget[Month],$E119)</f>
        <v/>
      </c>
      <c r="IE119" s="55">
        <f>$ID119*$C119/$D119</f>
        <v/>
      </c>
      <c r="IF119" s="55">
        <f>SUMIFS(tblBudget[Diesel_L],tblBudget[Month],"&lt;"&amp;$E119)+$IE119</f>
        <v/>
      </c>
      <c r="IG119" s="55">
        <f>SUMIFS(tblBudget[Milled_t],tblBudget[Month],$E119)</f>
        <v/>
      </c>
      <c r="IH119" s="55">
        <f>$IG119*$C119/$D119</f>
        <v/>
      </c>
      <c r="II119" s="55">
        <f>SUMIFS(tblBudget[Milled_t],tblBudget[Month],"&lt;"&amp;$E119)+$IH119</f>
        <v/>
      </c>
      <c r="IJ119" s="55">
        <f>SUMIFS(tblBudget[Feed_oz],tblBudget[Month],$E119)</f>
        <v/>
      </c>
      <c r="IK119" s="55">
        <f>$IJ119*$C119/$D119</f>
        <v/>
      </c>
      <c r="IL119" s="55">
        <f>SUMIFS(tblBudget[Feed_oz],tblBudget[Month],"&lt;"&amp;$E119)+$IK119</f>
        <v/>
      </c>
      <c r="IM119" s="55">
        <f>SUMIFS(tblBudget[Recovered_oz],tblBudget[Month],$E119)</f>
        <v/>
      </c>
      <c r="IN119" s="55">
        <f>$IM119*$C119/$D119</f>
        <v/>
      </c>
      <c r="IO119" s="55">
        <f>SUMIFS(tblBudget[Recovered_oz],tblBudget[Month],"&lt;"&amp;$E119)+$IN119</f>
        <v/>
      </c>
      <c r="IP119" s="56">
        <f>IFERROR(IF(($IG119)&gt;0,($IJ119*cfg_TroyOz)/($IG119),""),"")</f>
        <v/>
      </c>
      <c r="IQ119" s="56">
        <f>IFERROR(IF(($IH119)&gt;0,($IK119*cfg_TroyOz)/($IH119),""),"")</f>
        <v/>
      </c>
      <c r="IR119" s="56">
        <f>IFERROR(IF(($II119)&gt;0,($IL119*cfg_TroyOz)/($II119),""),"")</f>
        <v/>
      </c>
      <c r="IS119" s="67">
        <f>IFERROR(IF(($IJ119)&gt;0,($IM119)/($IJ119),""),"")</f>
        <v/>
      </c>
      <c r="IT119" s="67">
        <f>IFERROR(IF(($IK119)&gt;0,($IN119)/($IK119),""),"")</f>
        <v/>
      </c>
      <c r="IU119" s="67">
        <f>IFERROR(IF(($IL119)&gt;0,($IO119)/($IL119),""),"")</f>
        <v/>
      </c>
      <c r="IV119" s="55">
        <f>SUMIFS(tblBudget[Gold_Poured_oz],tblBudget[Month],$E119)</f>
        <v/>
      </c>
      <c r="IW119" s="55">
        <f>$IV119*$C119/$D119</f>
        <v/>
      </c>
      <c r="IX119" s="55">
        <f>SUMIFS(tblBudget[Gold_Poured_oz],tblBudget[Month],"&lt;"&amp;$E119)+$IW119</f>
        <v/>
      </c>
      <c r="IY119" s="57">
        <f>SUMIFS(tblBudget[Hours_Worked],tblBudget[Month],$E119)</f>
        <v/>
      </c>
      <c r="IZ119" s="57">
        <f>$IY119*$C119/$D119</f>
        <v/>
      </c>
      <c r="JA119" s="57">
        <f>SUMIFS(tblBudget[Hours_Worked],tblBudget[Month],"&lt;"&amp;$E119)+$IZ119</f>
        <v/>
      </c>
    </row>
    <row r="120">
      <c r="A120" s="54" t="n">
        <v>46141</v>
      </c>
      <c r="B120">
        <f>MONTH($A120)</f>
        <v/>
      </c>
      <c r="C120">
        <f>DAY($A120)</f>
        <v/>
      </c>
      <c r="D120">
        <f>DAY(EOMONTH($A120,0))</f>
        <v/>
      </c>
      <c r="E120" s="54">
        <f>DATE(YEAR($A120),MONTH($A120),1)</f>
        <v/>
      </c>
      <c r="F120" s="55">
        <f>SUMIFS(tblMovement[Tonnes_t],tblMovement[Date],$A120,tblMovement[Is_Ore],1,tblMovement[Source_Type],"Pit")</f>
        <v/>
      </c>
      <c r="G120" s="55">
        <f>IF($B120=$B119,$G119,0)+$F120</f>
        <v/>
      </c>
      <c r="H120" s="55">
        <f>$H119+$F120</f>
        <v/>
      </c>
      <c r="I120" s="55">
        <f>SUMIFS(tblMovement[Ore_oz],tblMovement[Date],$A120,tblMovement[Source_Type],"Pit")</f>
        <v/>
      </c>
      <c r="J120" s="55">
        <f>IF($B120=$B119,$J119,0)+$I120</f>
        <v/>
      </c>
      <c r="K120" s="55">
        <f>$K119+$I120</f>
        <v/>
      </c>
      <c r="L120" s="56">
        <f>IFERROR(IF(($F120)&gt;0,($I120*cfg_TroyOz)/($F120),""),"")</f>
        <v/>
      </c>
      <c r="M120" s="56">
        <f>IFERROR(IF(($G120)&gt;0,($J120*cfg_TroyOz)/($G120),""),"")</f>
        <v/>
      </c>
      <c r="N120" s="56">
        <f>IFERROR(IF(($H120)&gt;0,($K120*cfg_TroyOz)/($H120),""),"")</f>
        <v/>
      </c>
      <c r="O120" s="55">
        <f>SUMIFS(tblMovement[Tonnes_t],tblMovement[Date],$A120,tblMovement[Is_Ore],0,tblMovement[Source_Type],"Pit")</f>
        <v/>
      </c>
      <c r="P120" s="55">
        <f>IF($B120=$B119,$P119,0)+$O120</f>
        <v/>
      </c>
      <c r="Q120" s="55">
        <f>$Q119+$O120</f>
        <v/>
      </c>
      <c r="R120" s="55">
        <f>$F120+$O120</f>
        <v/>
      </c>
      <c r="S120" s="55">
        <f>IF($B120=$B119,$S119,0)+$R120</f>
        <v/>
      </c>
      <c r="T120" s="55">
        <f>$T119+$R120</f>
        <v/>
      </c>
      <c r="U120" s="56">
        <f>IFERROR(IF(($F120)&gt;0,($O120)/($F120),""),"")</f>
        <v/>
      </c>
      <c r="V120" s="56">
        <f>IFERROR(IF(($G120)&gt;0,($P120)/($G120),""),"")</f>
        <v/>
      </c>
      <c r="W120" s="56">
        <f>IFERROR(IF(($H120)&gt;0,($Q120)/($H120),""),"")</f>
        <v/>
      </c>
      <c r="X120" s="55">
        <f>SUMIFS(tblMovement[Tonnes_t],tblMovement[Date],$A120,tblMovement[Source_Type],"Stockpile")</f>
        <v/>
      </c>
      <c r="Y120" s="55">
        <f>IF($B120=$B119,$Y119,0)+$X120</f>
        <v/>
      </c>
      <c r="Z120" s="55">
        <f>$Z119+$X120</f>
        <v/>
      </c>
      <c r="AA120" s="55">
        <f>SUMIFS(tblMiningDaily[Drill_m],tblMiningDaily[Date],$A120)</f>
        <v/>
      </c>
      <c r="AB120" s="55">
        <f>IF($B120=$B119,$AB119,0)+$AA120</f>
        <v/>
      </c>
      <c r="AC120" s="55">
        <f>$AC119+$AA120</f>
        <v/>
      </c>
      <c r="AD120" s="55">
        <f>SUMIFS(tblMiningDaily[Blast_t],tblMiningDaily[Date],$A120)</f>
        <v/>
      </c>
      <c r="AE120" s="55">
        <f>IF($B120=$B119,$AE119,0)+$AD120</f>
        <v/>
      </c>
      <c r="AF120" s="55">
        <f>$AF119+$AD120</f>
        <v/>
      </c>
      <c r="AG120" s="55">
        <f>SUMIFS(tblMiningDaily[Explosives_kg],tblMiningDaily[Date],$A120)</f>
        <v/>
      </c>
      <c r="AH120" s="55">
        <f>IF($B120=$B119,$AH119,0)+$AG120</f>
        <v/>
      </c>
      <c r="AI120" s="55">
        <f>$AI119+$AG120</f>
        <v/>
      </c>
      <c r="AJ120" s="56">
        <f>IFERROR(IF(($AD120)&gt;0,($AG120)/($AD120),""),"")</f>
        <v/>
      </c>
      <c r="AK120" s="56">
        <f>IFERROR(IF(($AE120)&gt;0,($AH120)/($AE120),""),"")</f>
        <v/>
      </c>
      <c r="AL120" s="56">
        <f>IFERROR(IF(($AF120)&gt;0,($AI120)/($AF120),""),"")</f>
        <v/>
      </c>
      <c r="AM120" s="55">
        <f>SUMIFS(tblMiningDaily[Diesel_L],tblMiningDaily[Date],$A120)</f>
        <v/>
      </c>
      <c r="AN120" s="55">
        <f>IF($B120=$B119,$AN119,0)+$AM120</f>
        <v/>
      </c>
      <c r="AO120" s="55">
        <f>$AO119+$AM120</f>
        <v/>
      </c>
      <c r="AP120" s="55">
        <f>SUMIFS(tblMiningDaily[Dewatering_m3],tblMiningDaily[Date],$A120)</f>
        <v/>
      </c>
      <c r="AQ120" s="55">
        <f>IF($B120=$B119,$AQ119,0)+$AP120</f>
        <v/>
      </c>
      <c r="AR120" s="55">
        <f>$AR119+$AP120</f>
        <v/>
      </c>
      <c r="AS120" s="57">
        <f>SUMIFS(tblFleet[Calendar_h],tblFleet[Date],$A120,tblFleet[Equipment_Class],"Excavator")</f>
        <v/>
      </c>
      <c r="AT120" s="57">
        <f>IF($B120=$B119,$AT119,0)+$AS120</f>
        <v/>
      </c>
      <c r="AU120" s="57">
        <f>$AU119+$AS120</f>
        <v/>
      </c>
      <c r="AV120" s="57">
        <f>SUMIFS(tblFleet[Available_h],tblFleet[Date],$A120,tblFleet[Equipment_Class],"Excavator")</f>
        <v/>
      </c>
      <c r="AW120" s="57">
        <f>IF($B120=$B119,$AW119,0)+$AV120</f>
        <v/>
      </c>
      <c r="AX120" s="57">
        <f>$AX119+$AV120</f>
        <v/>
      </c>
      <c r="AY120" s="57">
        <f>SUMIFS(tblFleet[Operating_h],tblFleet[Date],$A120,tblFleet[Equipment_Class],"Excavator")</f>
        <v/>
      </c>
      <c r="AZ120" s="57">
        <f>IF($B120=$B119,$AZ119,0)+$AY120</f>
        <v/>
      </c>
      <c r="BA120" s="57">
        <f>$BA119+$AY120</f>
        <v/>
      </c>
      <c r="BB120" s="67">
        <f>IFERROR(IF(($AS120)&gt;0,($AV120)/($AS120),""),"")</f>
        <v/>
      </c>
      <c r="BC120" s="67">
        <f>IFERROR(IF(($AT120)&gt;0,($AW120)/($AT120),""),"")</f>
        <v/>
      </c>
      <c r="BD120" s="67">
        <f>IFERROR(IF(($AU120)&gt;0,($AX120)/($AU120),""),"")</f>
        <v/>
      </c>
      <c r="BE120" s="67">
        <f>IFERROR(IF(($AV120)&gt;0,($AY120)/($AV120),""),"")</f>
        <v/>
      </c>
      <c r="BF120" s="67">
        <f>IFERROR(IF(($AW120)&gt;0,($AZ120)/($AW120),""),"")</f>
        <v/>
      </c>
      <c r="BG120" s="67">
        <f>IFERROR(IF(($AX120)&gt;0,($BA120)/($AX120),""),"")</f>
        <v/>
      </c>
      <c r="BH120" s="57">
        <f>SUMIFS(tblFleet[Calendar_h],tblFleet[Date],$A120,tblFleet[Equipment_Class],"Haul Truck")</f>
        <v/>
      </c>
      <c r="BI120" s="57">
        <f>IF($B120=$B119,$BI119,0)+$BH120</f>
        <v/>
      </c>
      <c r="BJ120" s="57">
        <f>$BJ119+$BH120</f>
        <v/>
      </c>
      <c r="BK120" s="57">
        <f>SUMIFS(tblFleet[Available_h],tblFleet[Date],$A120,tblFleet[Equipment_Class],"Haul Truck")</f>
        <v/>
      </c>
      <c r="BL120" s="57">
        <f>IF($B120=$B119,$BL119,0)+$BK120</f>
        <v/>
      </c>
      <c r="BM120" s="57">
        <f>$BM119+$BK120</f>
        <v/>
      </c>
      <c r="BN120" s="57">
        <f>SUMIFS(tblFleet[Operating_h],tblFleet[Date],$A120,tblFleet[Equipment_Class],"Haul Truck")</f>
        <v/>
      </c>
      <c r="BO120" s="57">
        <f>IF($B120=$B119,$BO119,0)+$BN120</f>
        <v/>
      </c>
      <c r="BP120" s="57">
        <f>$BP119+$BN120</f>
        <v/>
      </c>
      <c r="BQ120" s="67">
        <f>IFERROR(IF(($BH120)&gt;0,($BK120)/($BH120),""),"")</f>
        <v/>
      </c>
      <c r="BR120" s="67">
        <f>IFERROR(IF(($BI120)&gt;0,($BL120)/($BI120),""),"")</f>
        <v/>
      </c>
      <c r="BS120" s="67">
        <f>IFERROR(IF(($BJ120)&gt;0,($BM120)/($BJ120),""),"")</f>
        <v/>
      </c>
      <c r="BT120" s="67">
        <f>IFERROR(IF(($BK120)&gt;0,($BN120)/($BK120),""),"")</f>
        <v/>
      </c>
      <c r="BU120" s="67">
        <f>IFERROR(IF(($BL120)&gt;0,($BO120)/($BL120),""),"")</f>
        <v/>
      </c>
      <c r="BV120" s="67">
        <f>IFERROR(IF(($BM120)&gt;0,($BP120)/($BM120),""),"")</f>
        <v/>
      </c>
      <c r="BW120" s="55">
        <f>SUMIFS(tblPlant[Crushed_t],tblPlant[Date],$A120)</f>
        <v/>
      </c>
      <c r="BX120" s="55">
        <f>IF($B120=$B119,$BX119,0)+$BW120</f>
        <v/>
      </c>
      <c r="BY120" s="55">
        <f>$BY119+$BW120</f>
        <v/>
      </c>
      <c r="BZ120" s="55">
        <f>SUMIFS(tblPlant[Milled_t],tblPlant[Date],$A120)</f>
        <v/>
      </c>
      <c r="CA120" s="55">
        <f>IF($B120=$B119,$CA119,0)+$BZ120</f>
        <v/>
      </c>
      <c r="CB120" s="55">
        <f>$CB119+$BZ120</f>
        <v/>
      </c>
      <c r="CC120" s="55">
        <f>SUMIFS(tblPlant[Feed_oz],tblPlant[Date],$A120)</f>
        <v/>
      </c>
      <c r="CD120" s="55">
        <f>IF($B120=$B119,$CD119,0)+$CC120</f>
        <v/>
      </c>
      <c r="CE120" s="55">
        <f>$CE119+$CC120</f>
        <v/>
      </c>
      <c r="CF120" s="55">
        <f>SUMIFS(tblPlant[Tails_oz],tblPlant[Date],$A120)</f>
        <v/>
      </c>
      <c r="CG120" s="55">
        <f>IF($B120=$B119,$CG119,0)+$CF120</f>
        <v/>
      </c>
      <c r="CH120" s="55">
        <f>$CH119+$CF120</f>
        <v/>
      </c>
      <c r="CI120" s="55">
        <f>SUMIFS(tblPlant[Recovered_oz],tblPlant[Date],$A120)</f>
        <v/>
      </c>
      <c r="CJ120" s="55">
        <f>IF($B120=$B119,$CJ119,0)+$CI120</f>
        <v/>
      </c>
      <c r="CK120" s="55">
        <f>$CK119+$CI120</f>
        <v/>
      </c>
      <c r="CL120" s="56">
        <f>IFERROR(IF(($BZ120)&gt;0,($CC120*cfg_TroyOz)/($BZ120),""),"")</f>
        <v/>
      </c>
      <c r="CM120" s="56">
        <f>IFERROR(IF(($CA120)&gt;0,($CD120*cfg_TroyOz)/($CA120),""),"")</f>
        <v/>
      </c>
      <c r="CN120" s="56">
        <f>IFERROR(IF(($CB120)&gt;0,($CE120*cfg_TroyOz)/($CB120),""),"")</f>
        <v/>
      </c>
      <c r="CO120" s="56">
        <f>IFERROR(IF(($BZ120)&gt;0,($CF120*cfg_TroyOz)/($BZ120),""),"")</f>
        <v/>
      </c>
      <c r="CP120" s="56">
        <f>IFERROR(IF(($CA120)&gt;0,($CG120*cfg_TroyOz)/($CA120),""),"")</f>
        <v/>
      </c>
      <c r="CQ120" s="56">
        <f>IFERROR(IF(($CB120)&gt;0,($CH120*cfg_TroyOz)/($CB120),""),"")</f>
        <v/>
      </c>
      <c r="CR120" s="67">
        <f>IFERROR(IF(($CC120)&gt;0,($CI120)/($CC120),""),"")</f>
        <v/>
      </c>
      <c r="CS120" s="67">
        <f>IFERROR(IF(($CD120)&gt;0,($CJ120)/($CD120),""),"")</f>
        <v/>
      </c>
      <c r="CT120" s="67">
        <f>IFERROR(IF(($CE120)&gt;0,($CK120)/($CE120),""),"")</f>
        <v/>
      </c>
      <c r="CU120" s="55">
        <f>SUMIFS(tblPlant[Gravity_Gold_oz],tblPlant[Date],$A120)</f>
        <v/>
      </c>
      <c r="CV120" s="55">
        <f>IF($B120=$B119,$CV119,0)+$CU120</f>
        <v/>
      </c>
      <c r="CW120" s="55">
        <f>$CW119+$CU120</f>
        <v/>
      </c>
      <c r="CX120" s="55">
        <f>SUMIFS(tblPlant[Gold_Poured_oz],tblPlant[Date],$A120)</f>
        <v/>
      </c>
      <c r="CY120" s="55">
        <f>IF($B120=$B119,$CY119,0)+$CX120</f>
        <v/>
      </c>
      <c r="CZ120" s="55">
        <f>$CZ119+$CX120</f>
        <v/>
      </c>
      <c r="DA120" s="57">
        <f>SUMIFS(tblPlant[Mill_Run_h],tblPlant[Date],$A120)</f>
        <v/>
      </c>
      <c r="DB120" s="57">
        <f>IF($B120=$B119,$DB119,0)+$DA120</f>
        <v/>
      </c>
      <c r="DC120" s="57">
        <f>$DC119+$DA120</f>
        <v/>
      </c>
      <c r="DD120" s="57">
        <f>SUMIFS(tblPlant[Mill_Planned_Maint_h],tblPlant[Date],$A120)</f>
        <v/>
      </c>
      <c r="DE120" s="57">
        <f>IF($B120=$B119,$DE119,0)+$DD120</f>
        <v/>
      </c>
      <c r="DF120" s="57">
        <f>$DF119+$DD120</f>
        <v/>
      </c>
      <c r="DG120" s="57">
        <f>SUMIFS(tblPlant[Mill_Unplanned_Down_h],tblPlant[Date],$A120)</f>
        <v/>
      </c>
      <c r="DH120" s="57">
        <f>IF($B120=$B119,$DH119,0)+$DG120</f>
        <v/>
      </c>
      <c r="DI120" s="57">
        <f>$DI119+$DG120</f>
        <v/>
      </c>
      <c r="DJ120" s="57">
        <f>COUNTIFS(tblPlant[Date],$A120,tblPlant[Mill_Run_h],"&lt;&gt;")*24</f>
        <v/>
      </c>
      <c r="DK120" s="57">
        <f>IF($B120=$B119,$DK119,0)+$DJ120</f>
        <v/>
      </c>
      <c r="DL120" s="57">
        <f>$DL119+$DJ120</f>
        <v/>
      </c>
      <c r="DM120" s="57">
        <f>SUMIFS(tblPlant[Crusher_Run_h],tblPlant[Date],$A120)</f>
        <v/>
      </c>
      <c r="DN120" s="57">
        <f>IF($B120=$B119,$DN119,0)+$DM120</f>
        <v/>
      </c>
      <c r="DO120" s="57">
        <f>$DO119+$DM120</f>
        <v/>
      </c>
      <c r="DP120" s="55">
        <f>IFERROR(IF(($DA120)&gt;0,($BZ120)/($DA120),""),"")</f>
        <v/>
      </c>
      <c r="DQ120" s="55">
        <f>IFERROR(IF(($DB120)&gt;0,($CA120)/($DB120),""),"")</f>
        <v/>
      </c>
      <c r="DR120" s="55">
        <f>IFERROR(IF(($DC120)&gt;0,($CB120)/($DC120),""),"")</f>
        <v/>
      </c>
      <c r="DS120" s="67">
        <f>IFERROR(IF(($DJ120)&gt;0,($DJ120-$DD120-$DG120)/($DJ120),""),"")</f>
        <v/>
      </c>
      <c r="DT120" s="67">
        <f>IFERROR(IF(($DK120)&gt;0,($DK120-$DE120-$DH120)/($DK120),""),"")</f>
        <v/>
      </c>
      <c r="DU120" s="67">
        <f>IFERROR(IF(($DL120)&gt;0,($DL120-$DF120-$DI120)/($DL120),""),"")</f>
        <v/>
      </c>
      <c r="DV120" s="67">
        <f>IFERROR(IF(($DJ120-$DD120-$DG120)&gt;0,($DA120)/($DJ120-$DD120-$DG120),""),"")</f>
        <v/>
      </c>
      <c r="DW120" s="67">
        <f>IFERROR(IF(($DK120-$DE120-$DH120)&gt;0,($DB120)/($DK120-$DE120-$DH120),""),"")</f>
        <v/>
      </c>
      <c r="DX120" s="67">
        <f>IFERROR(IF(($DL120-$DF120-$DI120)&gt;0,($DC120)/($DL120-$DF120-$DI120),""),"")</f>
        <v/>
      </c>
      <c r="DY120" s="55">
        <f>SUMIFS(tblPlant[Cyanide_kg],tblPlant[Date],$A120)</f>
        <v/>
      </c>
      <c r="DZ120" s="55">
        <f>IF($B120=$B119,$DZ119,0)+$DY120</f>
        <v/>
      </c>
      <c r="EA120" s="55">
        <f>$EA119+$DY120</f>
        <v/>
      </c>
      <c r="EB120" s="55">
        <f>SUMIFS(tblPlant[Lime_kg],tblPlant[Date],$A120)</f>
        <v/>
      </c>
      <c r="EC120" s="55">
        <f>IF($B120=$B119,$EC119,0)+$EB120</f>
        <v/>
      </c>
      <c r="ED120" s="55">
        <f>$ED119+$EB120</f>
        <v/>
      </c>
      <c r="EE120" s="55">
        <f>SUMIFS(tblPlant[Grinding_Media_kg],tblPlant[Date],$A120)</f>
        <v/>
      </c>
      <c r="EF120" s="55">
        <f>IF($B120=$B119,$EF119,0)+$EE120</f>
        <v/>
      </c>
      <c r="EG120" s="55">
        <f>$EG119+$EE120</f>
        <v/>
      </c>
      <c r="EH120" s="55">
        <f>SUMIFS(tblPlant[Power_kWh],tblPlant[Date],$A120)</f>
        <v/>
      </c>
      <c r="EI120" s="55">
        <f>IF($B120=$B119,$EI119,0)+$EH120</f>
        <v/>
      </c>
      <c r="EJ120" s="55">
        <f>$EJ119+$EH120</f>
        <v/>
      </c>
      <c r="EK120" s="55">
        <f>SUMIFS(tblPlant[Raw_Water_m3],tblPlant[Date],$A120)</f>
        <v/>
      </c>
      <c r="EL120" s="55">
        <f>IF($B120=$B119,$EL119,0)+$EK120</f>
        <v/>
      </c>
      <c r="EM120" s="55">
        <f>$EM119+$EK120</f>
        <v/>
      </c>
      <c r="EN120" s="56">
        <f>IFERROR(IF(($BZ120)&gt;0,($DY120)/($BZ120),""),"")</f>
        <v/>
      </c>
      <c r="EO120" s="56">
        <f>IFERROR(IF(($CA120)&gt;0,($DZ120)/($CA120),""),"")</f>
        <v/>
      </c>
      <c r="EP120" s="56">
        <f>IFERROR(IF(($CB120)&gt;0,($EA120)/($CB120),""),"")</f>
        <v/>
      </c>
      <c r="EQ120" s="56">
        <f>IFERROR(IF(($BZ120)&gt;0,($EB120)/($BZ120),""),"")</f>
        <v/>
      </c>
      <c r="ER120" s="56">
        <f>IFERROR(IF(($CA120)&gt;0,($EC120)/($CA120),""),"")</f>
        <v/>
      </c>
      <c r="ES120" s="56">
        <f>IFERROR(IF(($CB120)&gt;0,($ED120)/($CB120),""),"")</f>
        <v/>
      </c>
      <c r="ET120" s="56">
        <f>IFERROR(IF(($BZ120)&gt;0,($EE120)/($BZ120),""),"")</f>
        <v/>
      </c>
      <c r="EU120" s="56">
        <f>IFERROR(IF(($CA120)&gt;0,($EF120)/($CA120),""),"")</f>
        <v/>
      </c>
      <c r="EV120" s="56">
        <f>IFERROR(IF(($CB120)&gt;0,($EG120)/($CB120),""),"")</f>
        <v/>
      </c>
      <c r="EW120" s="76">
        <f>IFERROR(IF(($BZ120)&gt;0,($EH120)/($BZ120),""),"")</f>
        <v/>
      </c>
      <c r="EX120" s="76">
        <f>IFERROR(IF(($CA120)&gt;0,($EI120)/($CA120),""),"")</f>
        <v/>
      </c>
      <c r="EY120" s="76">
        <f>IFERROR(IF(($CB120)&gt;0,($EJ120)/($CB120),""),"")</f>
        <v/>
      </c>
      <c r="EZ120" s="56">
        <f>IFERROR(IF(($BZ120)&gt;0,($EK120)/($BZ120),""),"")</f>
        <v/>
      </c>
      <c r="FA120" s="56">
        <f>IFERROR(IF(($CA120)&gt;0,($EL120)/($CA120),""),"")</f>
        <v/>
      </c>
      <c r="FB120" s="56">
        <f>IFERROR(IF(($CB120)&gt;0,($EM120)/($CB120),""),"")</f>
        <v/>
      </c>
      <c r="FC120" s="55">
        <f>IF(SUMIFS(tblPlant[GIC_oz],tblPlant[Date],$A120)&gt;0,SUMIFS(tblPlant[GIC_oz],tblPlant[Date],$A120),"")</f>
        <v/>
      </c>
      <c r="FD120" s="55">
        <f>SUMIFS(tblGold[Gold_oz],tblGold[Date],$A120,tblGold[Type],"Shipment")</f>
        <v/>
      </c>
      <c r="FE120" s="55">
        <f>IF($B120=$B119,$FE119,0)+$FD120</f>
        <v/>
      </c>
      <c r="FF120" s="55">
        <f>$FF119+$FD120</f>
        <v/>
      </c>
      <c r="FG120" s="55">
        <f>SUMIFS(tblGold[Gold_oz],tblGold[Date],$A120,tblGold[Type],"Sale")</f>
        <v/>
      </c>
      <c r="FH120" s="55">
        <f>IF($B120=$B119,$FH119,0)+$FG120</f>
        <v/>
      </c>
      <c r="FI120" s="55">
        <f>$FI119+$FG120</f>
        <v/>
      </c>
      <c r="FJ120" s="55">
        <f>SUMIFS(tblGold[Dore_kg],tblGold[Date],$A120,tblGold[Type],"Shipment")</f>
        <v/>
      </c>
      <c r="FK120" s="55">
        <f>IF($B120=$B119,$FK119,0)+$FJ120</f>
        <v/>
      </c>
      <c r="FL120" s="55">
        <f>$FL119+$FJ120</f>
        <v/>
      </c>
      <c r="FM120" s="57">
        <f>SUMIFS(tblSafety[Hours_Total],tblSafety[Date],$A120)</f>
        <v/>
      </c>
      <c r="FN120" s="57">
        <f>IF($B120=$B119,$FN119,0)+$FM120</f>
        <v/>
      </c>
      <c r="FO120" s="57">
        <f>$FO119+$FM120</f>
        <v/>
      </c>
      <c r="FP120" s="62">
        <f>SUMIFS(tblSafety[Fatality],tblSafety[Date],$A120)</f>
        <v/>
      </c>
      <c r="FQ120" s="62">
        <f>IF($B120=$B119,$FQ119,0)+$FP120</f>
        <v/>
      </c>
      <c r="FR120" s="62">
        <f>$FR119+$FP120</f>
        <v/>
      </c>
      <c r="FS120" s="62">
        <f>SUMIFS(tblSafety[LTI],tblSafety[Date],$A120)</f>
        <v/>
      </c>
      <c r="FT120" s="62">
        <f>IF($B120=$B119,$FT119,0)+$FS120</f>
        <v/>
      </c>
      <c r="FU120" s="62">
        <f>$FU119+$FS120</f>
        <v/>
      </c>
      <c r="FV120" s="62">
        <f>SUMIFS(tblSafety[RWI],tblSafety[Date],$A120)</f>
        <v/>
      </c>
      <c r="FW120" s="62">
        <f>IF($B120=$B119,$FW119,0)+$FV120</f>
        <v/>
      </c>
      <c r="FX120" s="62">
        <f>$FX119+$FV120</f>
        <v/>
      </c>
      <c r="FY120" s="62">
        <f>SUMIFS(tblSafety[MTI],tblSafety[Date],$A120)</f>
        <v/>
      </c>
      <c r="FZ120" s="62">
        <f>IF($B120=$B119,$FZ119,0)+$FY120</f>
        <v/>
      </c>
      <c r="GA120" s="62">
        <f>$GA119+$FY120</f>
        <v/>
      </c>
      <c r="GB120" s="62">
        <f>SUMIFS(tblSafety[FAI],tblSafety[Date],$A120)</f>
        <v/>
      </c>
      <c r="GC120" s="62">
        <f>IF($B120=$B119,$GC119,0)+$GB120</f>
        <v/>
      </c>
      <c r="GD120" s="62">
        <f>$GD119+$GB120</f>
        <v/>
      </c>
      <c r="GE120" s="62">
        <f>SUMIFS(tblSafety[Recordables],tblSafety[Date],$A120)</f>
        <v/>
      </c>
      <c r="GF120" s="62">
        <f>IF($B120=$B119,$GF119,0)+$GE120</f>
        <v/>
      </c>
      <c r="GG120" s="62">
        <f>$GG119+$GE120</f>
        <v/>
      </c>
      <c r="GH120" s="62">
        <f>SUMIFS(tblSafety[Near_Miss],tblSafety[Date],$A120)</f>
        <v/>
      </c>
      <c r="GI120" s="62">
        <f>IF($B120=$B119,$GI119,0)+$GH120</f>
        <v/>
      </c>
      <c r="GJ120" s="62">
        <f>$GJ119+$GH120</f>
        <v/>
      </c>
      <c r="GK120" s="62">
        <f>SUMIFS(tblSafety[Hazard_Reports],tblSafety[Date],$A120)</f>
        <v/>
      </c>
      <c r="GL120" s="62">
        <f>IF($B120=$B119,$GL119,0)+$GK120</f>
        <v/>
      </c>
      <c r="GM120" s="62">
        <f>$GM119+$GK120</f>
        <v/>
      </c>
      <c r="GN120" s="62">
        <f>SUMIFS(tblSafety[HPI],tblSafety[Date],$A120)</f>
        <v/>
      </c>
      <c r="GO120" s="62">
        <f>IF($B120=$B119,$GO119,0)+$GN120</f>
        <v/>
      </c>
      <c r="GP120" s="62">
        <f>$GP119+$GN120</f>
        <v/>
      </c>
      <c r="GQ120" s="62">
        <f>SUMIFS(tblSafety[Env_Incidents],tblSafety[Date],$A120)</f>
        <v/>
      </c>
      <c r="GR120" s="62">
        <f>IF($B120=$B119,$GR119,0)+$GQ120</f>
        <v/>
      </c>
      <c r="GS120" s="62">
        <f>$GS119+$GQ120</f>
        <v/>
      </c>
      <c r="GT120" s="62">
        <f>SUMIFS(tblSafety[Community_Incidents],tblSafety[Date],$A120)</f>
        <v/>
      </c>
      <c r="GU120" s="62">
        <f>IF($B120=$B119,$GU119,0)+$GT120</f>
        <v/>
      </c>
      <c r="GV120" s="62">
        <f>$GV119+$GT120</f>
        <v/>
      </c>
      <c r="GW120" s="62">
        <f>SUMIFS(tblSafety[Vehicle_Incidents],tblSafety[Date],$A120)</f>
        <v/>
      </c>
      <c r="GX120" s="62">
        <f>IF($B120=$B119,$GX119,0)+$GW120</f>
        <v/>
      </c>
      <c r="GY120" s="62">
        <f>$GY119+$GW120</f>
        <v/>
      </c>
      <c r="GZ120" s="62">
        <f>SUMIFS(tblSafety[Toolbox_Talks],tblSafety[Date],$A120)</f>
        <v/>
      </c>
      <c r="HA120" s="62">
        <f>IF($B120=$B119,$HA119,0)+$GZ120</f>
        <v/>
      </c>
      <c r="HB120" s="62">
        <f>$HB119+$GZ120</f>
        <v/>
      </c>
      <c r="HC120" s="62">
        <f>SUMIFS(tblSafety[Inspections],tblSafety[Date],$A120)</f>
        <v/>
      </c>
      <c r="HD120" s="62">
        <f>IF($B120=$B119,$HD119,0)+$HC120</f>
        <v/>
      </c>
      <c r="HE120" s="62">
        <f>$HE119+$HC120</f>
        <v/>
      </c>
      <c r="HF120" s="56">
        <f>IFERROR((SUMIFS(tblSafety[Recordables],tblSafety[Date],"&gt;="&amp;EDATE($E120,-12),tblSafety[Date],"&lt;="&amp;$A120)+SUMIFS(tblSafetyHistory[Recordables],tblSafetyHistory[Month],"&gt;="&amp;EDATE($E120,-12),tblSafetyHistory[Month],"&lt;"&amp;cfg_YearStart))/(SUMIFS(tblSafety[Hours_Total],tblSafety[Date],"&gt;="&amp;EDATE($E120,-12),tblSafety[Date],"&lt;="&amp;$A120)+SUMIFS(tblSafetyHistory[Hours_Total],tblSafetyHistory[Month],"&gt;="&amp;EDATE($E120,-12),tblSafetyHistory[Month],"&lt;"&amp;cfg_YearStart))*1000000,"")</f>
        <v/>
      </c>
      <c r="HG120" s="56">
        <f>IFERROR((SUMIFS(tblSafety[LTI],tblSafety[Date],"&gt;="&amp;EDATE($E120,-12),tblSafety[Date],"&lt;="&amp;$A120)+SUMIFS(tblSafetyHistory[LTI],tblSafetyHistory[Month],"&gt;="&amp;EDATE($E120,-12),tblSafetyHistory[Month],"&lt;"&amp;cfg_YearStart))/(SUMIFS(tblSafety[Hours_Total],tblSafety[Date],"&gt;="&amp;EDATE($E120,-12),tblSafety[Date],"&lt;="&amp;$A120)+SUMIFS(tblSafetyHistory[Hours_Total],tblSafetyHistory[Month],"&gt;="&amp;EDATE($E120,-12),tblSafetyHistory[Month],"&lt;"&amp;cfg_YearStart))*1000000,"")</f>
        <v/>
      </c>
      <c r="HH120" s="62">
        <f>IF(MAX(N(cfg_PriorLTIDate),_xlfn.MAXIFS(tblSafety[Date],tblSafety[LTI],"&gt;0",tblSafety[Date],"&lt;="&amp;$A120))=0,"",$A120-MAX(N(cfg_PriorLTIDate),_xlfn.MAXIFS(tblSafety[Date],tblSafety[LTI],"&gt;0",tblSafety[Date],"&lt;="&amp;$A120)))</f>
        <v/>
      </c>
      <c r="HI120" s="55">
        <f>SUMIFS(tblBudget[Ore_Mined_t],tblBudget[Month],$E120)</f>
        <v/>
      </c>
      <c r="HJ120" s="55">
        <f>$HI120*$C120/$D120</f>
        <v/>
      </c>
      <c r="HK120" s="55">
        <f>SUMIFS(tblBudget[Ore_Mined_t],tblBudget[Month],"&lt;"&amp;$E120)+$HJ120</f>
        <v/>
      </c>
      <c r="HL120" s="55">
        <f>SUMIFS(tblBudget[Ore_oz],tblBudget[Month],$E120)</f>
        <v/>
      </c>
      <c r="HM120" s="55">
        <f>$HL120*$C120/$D120</f>
        <v/>
      </c>
      <c r="HN120" s="55">
        <f>SUMIFS(tblBudget[Ore_oz],tblBudget[Month],"&lt;"&amp;$E120)+$HM120</f>
        <v/>
      </c>
      <c r="HO120" s="56">
        <f>IFERROR(IF(($HI120)&gt;0,($HL120*cfg_TroyOz)/($HI120),""),"")</f>
        <v/>
      </c>
      <c r="HP120" s="56">
        <f>IFERROR(IF(($HJ120)&gt;0,($HM120*cfg_TroyOz)/($HJ120),""),"")</f>
        <v/>
      </c>
      <c r="HQ120" s="56">
        <f>IFERROR(IF(($HK120)&gt;0,($HN120*cfg_TroyOz)/($HK120),""),"")</f>
        <v/>
      </c>
      <c r="HR120" s="55">
        <f>SUMIFS(tblBudget[Waste_t],tblBudget[Month],$E120)</f>
        <v/>
      </c>
      <c r="HS120" s="55">
        <f>$HR120*$C120/$D120</f>
        <v/>
      </c>
      <c r="HT120" s="55">
        <f>SUMIFS(tblBudget[Waste_t],tblBudget[Month],"&lt;"&amp;$E120)+$HS120</f>
        <v/>
      </c>
      <c r="HU120" s="55">
        <f>SUMIFS(tblBudget[TMM_t],tblBudget[Month],$E120)</f>
        <v/>
      </c>
      <c r="HV120" s="55">
        <f>$HU120*$C120/$D120</f>
        <v/>
      </c>
      <c r="HW120" s="55">
        <f>SUMIFS(tblBudget[TMM_t],tblBudget[Month],"&lt;"&amp;$E120)+$HV120</f>
        <v/>
      </c>
      <c r="HX120" s="56">
        <f>IFERROR(IF(($HI120)&gt;0,($HR120)/($HI120),""),"")</f>
        <v/>
      </c>
      <c r="HY120" s="56">
        <f>IFERROR(IF(($HJ120)&gt;0,($HS120)/($HJ120),""),"")</f>
        <v/>
      </c>
      <c r="HZ120" s="56">
        <f>IFERROR(IF(($HK120)&gt;0,($HT120)/($HK120),""),"")</f>
        <v/>
      </c>
      <c r="IA120" s="55">
        <f>SUMIFS(tblBudget[Drill_m],tblBudget[Month],$E120)</f>
        <v/>
      </c>
      <c r="IB120" s="55">
        <f>$IA120*$C120/$D120</f>
        <v/>
      </c>
      <c r="IC120" s="55">
        <f>SUMIFS(tblBudget[Drill_m],tblBudget[Month],"&lt;"&amp;$E120)+$IB120</f>
        <v/>
      </c>
      <c r="ID120" s="55">
        <f>SUMIFS(tblBudget[Diesel_L],tblBudget[Month],$E120)</f>
        <v/>
      </c>
      <c r="IE120" s="55">
        <f>$ID120*$C120/$D120</f>
        <v/>
      </c>
      <c r="IF120" s="55">
        <f>SUMIFS(tblBudget[Diesel_L],tblBudget[Month],"&lt;"&amp;$E120)+$IE120</f>
        <v/>
      </c>
      <c r="IG120" s="55">
        <f>SUMIFS(tblBudget[Milled_t],tblBudget[Month],$E120)</f>
        <v/>
      </c>
      <c r="IH120" s="55">
        <f>$IG120*$C120/$D120</f>
        <v/>
      </c>
      <c r="II120" s="55">
        <f>SUMIFS(tblBudget[Milled_t],tblBudget[Month],"&lt;"&amp;$E120)+$IH120</f>
        <v/>
      </c>
      <c r="IJ120" s="55">
        <f>SUMIFS(tblBudget[Feed_oz],tblBudget[Month],$E120)</f>
        <v/>
      </c>
      <c r="IK120" s="55">
        <f>$IJ120*$C120/$D120</f>
        <v/>
      </c>
      <c r="IL120" s="55">
        <f>SUMIFS(tblBudget[Feed_oz],tblBudget[Month],"&lt;"&amp;$E120)+$IK120</f>
        <v/>
      </c>
      <c r="IM120" s="55">
        <f>SUMIFS(tblBudget[Recovered_oz],tblBudget[Month],$E120)</f>
        <v/>
      </c>
      <c r="IN120" s="55">
        <f>$IM120*$C120/$D120</f>
        <v/>
      </c>
      <c r="IO120" s="55">
        <f>SUMIFS(tblBudget[Recovered_oz],tblBudget[Month],"&lt;"&amp;$E120)+$IN120</f>
        <v/>
      </c>
      <c r="IP120" s="56">
        <f>IFERROR(IF(($IG120)&gt;0,($IJ120*cfg_TroyOz)/($IG120),""),"")</f>
        <v/>
      </c>
      <c r="IQ120" s="56">
        <f>IFERROR(IF(($IH120)&gt;0,($IK120*cfg_TroyOz)/($IH120),""),"")</f>
        <v/>
      </c>
      <c r="IR120" s="56">
        <f>IFERROR(IF(($II120)&gt;0,($IL120*cfg_TroyOz)/($II120),""),"")</f>
        <v/>
      </c>
      <c r="IS120" s="67">
        <f>IFERROR(IF(($IJ120)&gt;0,($IM120)/($IJ120),""),"")</f>
        <v/>
      </c>
      <c r="IT120" s="67">
        <f>IFERROR(IF(($IK120)&gt;0,($IN120)/($IK120),""),"")</f>
        <v/>
      </c>
      <c r="IU120" s="67">
        <f>IFERROR(IF(($IL120)&gt;0,($IO120)/($IL120),""),"")</f>
        <v/>
      </c>
      <c r="IV120" s="55">
        <f>SUMIFS(tblBudget[Gold_Poured_oz],tblBudget[Month],$E120)</f>
        <v/>
      </c>
      <c r="IW120" s="55">
        <f>$IV120*$C120/$D120</f>
        <v/>
      </c>
      <c r="IX120" s="55">
        <f>SUMIFS(tblBudget[Gold_Poured_oz],tblBudget[Month],"&lt;"&amp;$E120)+$IW120</f>
        <v/>
      </c>
      <c r="IY120" s="57">
        <f>SUMIFS(tblBudget[Hours_Worked],tblBudget[Month],$E120)</f>
        <v/>
      </c>
      <c r="IZ120" s="57">
        <f>$IY120*$C120/$D120</f>
        <v/>
      </c>
      <c r="JA120" s="57">
        <f>SUMIFS(tblBudget[Hours_Worked],tblBudget[Month],"&lt;"&amp;$E120)+$IZ120</f>
        <v/>
      </c>
    </row>
    <row r="121">
      <c r="A121" s="54" t="n">
        <v>46142</v>
      </c>
      <c r="B121">
        <f>MONTH($A121)</f>
        <v/>
      </c>
      <c r="C121">
        <f>DAY($A121)</f>
        <v/>
      </c>
      <c r="D121">
        <f>DAY(EOMONTH($A121,0))</f>
        <v/>
      </c>
      <c r="E121" s="54">
        <f>DATE(YEAR($A121),MONTH($A121),1)</f>
        <v/>
      </c>
      <c r="F121" s="55">
        <f>SUMIFS(tblMovement[Tonnes_t],tblMovement[Date],$A121,tblMovement[Is_Ore],1,tblMovement[Source_Type],"Pit")</f>
        <v/>
      </c>
      <c r="G121" s="55">
        <f>IF($B121=$B120,$G120,0)+$F121</f>
        <v/>
      </c>
      <c r="H121" s="55">
        <f>$H120+$F121</f>
        <v/>
      </c>
      <c r="I121" s="55">
        <f>SUMIFS(tblMovement[Ore_oz],tblMovement[Date],$A121,tblMovement[Source_Type],"Pit")</f>
        <v/>
      </c>
      <c r="J121" s="55">
        <f>IF($B121=$B120,$J120,0)+$I121</f>
        <v/>
      </c>
      <c r="K121" s="55">
        <f>$K120+$I121</f>
        <v/>
      </c>
      <c r="L121" s="56">
        <f>IFERROR(IF(($F121)&gt;0,($I121*cfg_TroyOz)/($F121),""),"")</f>
        <v/>
      </c>
      <c r="M121" s="56">
        <f>IFERROR(IF(($G121)&gt;0,($J121*cfg_TroyOz)/($G121),""),"")</f>
        <v/>
      </c>
      <c r="N121" s="56">
        <f>IFERROR(IF(($H121)&gt;0,($K121*cfg_TroyOz)/($H121),""),"")</f>
        <v/>
      </c>
      <c r="O121" s="55">
        <f>SUMIFS(tblMovement[Tonnes_t],tblMovement[Date],$A121,tblMovement[Is_Ore],0,tblMovement[Source_Type],"Pit")</f>
        <v/>
      </c>
      <c r="P121" s="55">
        <f>IF($B121=$B120,$P120,0)+$O121</f>
        <v/>
      </c>
      <c r="Q121" s="55">
        <f>$Q120+$O121</f>
        <v/>
      </c>
      <c r="R121" s="55">
        <f>$F121+$O121</f>
        <v/>
      </c>
      <c r="S121" s="55">
        <f>IF($B121=$B120,$S120,0)+$R121</f>
        <v/>
      </c>
      <c r="T121" s="55">
        <f>$T120+$R121</f>
        <v/>
      </c>
      <c r="U121" s="56">
        <f>IFERROR(IF(($F121)&gt;0,($O121)/($F121),""),"")</f>
        <v/>
      </c>
      <c r="V121" s="56">
        <f>IFERROR(IF(($G121)&gt;0,($P121)/($G121),""),"")</f>
        <v/>
      </c>
      <c r="W121" s="56">
        <f>IFERROR(IF(($H121)&gt;0,($Q121)/($H121),""),"")</f>
        <v/>
      </c>
      <c r="X121" s="55">
        <f>SUMIFS(tblMovement[Tonnes_t],tblMovement[Date],$A121,tblMovement[Source_Type],"Stockpile")</f>
        <v/>
      </c>
      <c r="Y121" s="55">
        <f>IF($B121=$B120,$Y120,0)+$X121</f>
        <v/>
      </c>
      <c r="Z121" s="55">
        <f>$Z120+$X121</f>
        <v/>
      </c>
      <c r="AA121" s="55">
        <f>SUMIFS(tblMiningDaily[Drill_m],tblMiningDaily[Date],$A121)</f>
        <v/>
      </c>
      <c r="AB121" s="55">
        <f>IF($B121=$B120,$AB120,0)+$AA121</f>
        <v/>
      </c>
      <c r="AC121" s="55">
        <f>$AC120+$AA121</f>
        <v/>
      </c>
      <c r="AD121" s="55">
        <f>SUMIFS(tblMiningDaily[Blast_t],tblMiningDaily[Date],$A121)</f>
        <v/>
      </c>
      <c r="AE121" s="55">
        <f>IF($B121=$B120,$AE120,0)+$AD121</f>
        <v/>
      </c>
      <c r="AF121" s="55">
        <f>$AF120+$AD121</f>
        <v/>
      </c>
      <c r="AG121" s="55">
        <f>SUMIFS(tblMiningDaily[Explosives_kg],tblMiningDaily[Date],$A121)</f>
        <v/>
      </c>
      <c r="AH121" s="55">
        <f>IF($B121=$B120,$AH120,0)+$AG121</f>
        <v/>
      </c>
      <c r="AI121" s="55">
        <f>$AI120+$AG121</f>
        <v/>
      </c>
      <c r="AJ121" s="56">
        <f>IFERROR(IF(($AD121)&gt;0,($AG121)/($AD121),""),"")</f>
        <v/>
      </c>
      <c r="AK121" s="56">
        <f>IFERROR(IF(($AE121)&gt;0,($AH121)/($AE121),""),"")</f>
        <v/>
      </c>
      <c r="AL121" s="56">
        <f>IFERROR(IF(($AF121)&gt;0,($AI121)/($AF121),""),"")</f>
        <v/>
      </c>
      <c r="AM121" s="55">
        <f>SUMIFS(tblMiningDaily[Diesel_L],tblMiningDaily[Date],$A121)</f>
        <v/>
      </c>
      <c r="AN121" s="55">
        <f>IF($B121=$B120,$AN120,0)+$AM121</f>
        <v/>
      </c>
      <c r="AO121" s="55">
        <f>$AO120+$AM121</f>
        <v/>
      </c>
      <c r="AP121" s="55">
        <f>SUMIFS(tblMiningDaily[Dewatering_m3],tblMiningDaily[Date],$A121)</f>
        <v/>
      </c>
      <c r="AQ121" s="55">
        <f>IF($B121=$B120,$AQ120,0)+$AP121</f>
        <v/>
      </c>
      <c r="AR121" s="55">
        <f>$AR120+$AP121</f>
        <v/>
      </c>
      <c r="AS121" s="57">
        <f>SUMIFS(tblFleet[Calendar_h],tblFleet[Date],$A121,tblFleet[Equipment_Class],"Excavator")</f>
        <v/>
      </c>
      <c r="AT121" s="57">
        <f>IF($B121=$B120,$AT120,0)+$AS121</f>
        <v/>
      </c>
      <c r="AU121" s="57">
        <f>$AU120+$AS121</f>
        <v/>
      </c>
      <c r="AV121" s="57">
        <f>SUMIFS(tblFleet[Available_h],tblFleet[Date],$A121,tblFleet[Equipment_Class],"Excavator")</f>
        <v/>
      </c>
      <c r="AW121" s="57">
        <f>IF($B121=$B120,$AW120,0)+$AV121</f>
        <v/>
      </c>
      <c r="AX121" s="57">
        <f>$AX120+$AV121</f>
        <v/>
      </c>
      <c r="AY121" s="57">
        <f>SUMIFS(tblFleet[Operating_h],tblFleet[Date],$A121,tblFleet[Equipment_Class],"Excavator")</f>
        <v/>
      </c>
      <c r="AZ121" s="57">
        <f>IF($B121=$B120,$AZ120,0)+$AY121</f>
        <v/>
      </c>
      <c r="BA121" s="57">
        <f>$BA120+$AY121</f>
        <v/>
      </c>
      <c r="BB121" s="67">
        <f>IFERROR(IF(($AS121)&gt;0,($AV121)/($AS121),""),"")</f>
        <v/>
      </c>
      <c r="BC121" s="67">
        <f>IFERROR(IF(($AT121)&gt;0,($AW121)/($AT121),""),"")</f>
        <v/>
      </c>
      <c r="BD121" s="67">
        <f>IFERROR(IF(($AU121)&gt;0,($AX121)/($AU121),""),"")</f>
        <v/>
      </c>
      <c r="BE121" s="67">
        <f>IFERROR(IF(($AV121)&gt;0,($AY121)/($AV121),""),"")</f>
        <v/>
      </c>
      <c r="BF121" s="67">
        <f>IFERROR(IF(($AW121)&gt;0,($AZ121)/($AW121),""),"")</f>
        <v/>
      </c>
      <c r="BG121" s="67">
        <f>IFERROR(IF(($AX121)&gt;0,($BA121)/($AX121),""),"")</f>
        <v/>
      </c>
      <c r="BH121" s="57">
        <f>SUMIFS(tblFleet[Calendar_h],tblFleet[Date],$A121,tblFleet[Equipment_Class],"Haul Truck")</f>
        <v/>
      </c>
      <c r="BI121" s="57">
        <f>IF($B121=$B120,$BI120,0)+$BH121</f>
        <v/>
      </c>
      <c r="BJ121" s="57">
        <f>$BJ120+$BH121</f>
        <v/>
      </c>
      <c r="BK121" s="57">
        <f>SUMIFS(tblFleet[Available_h],tblFleet[Date],$A121,tblFleet[Equipment_Class],"Haul Truck")</f>
        <v/>
      </c>
      <c r="BL121" s="57">
        <f>IF($B121=$B120,$BL120,0)+$BK121</f>
        <v/>
      </c>
      <c r="BM121" s="57">
        <f>$BM120+$BK121</f>
        <v/>
      </c>
      <c r="BN121" s="57">
        <f>SUMIFS(tblFleet[Operating_h],tblFleet[Date],$A121,tblFleet[Equipment_Class],"Haul Truck")</f>
        <v/>
      </c>
      <c r="BO121" s="57">
        <f>IF($B121=$B120,$BO120,0)+$BN121</f>
        <v/>
      </c>
      <c r="BP121" s="57">
        <f>$BP120+$BN121</f>
        <v/>
      </c>
      <c r="BQ121" s="67">
        <f>IFERROR(IF(($BH121)&gt;0,($BK121)/($BH121),""),"")</f>
        <v/>
      </c>
      <c r="BR121" s="67">
        <f>IFERROR(IF(($BI121)&gt;0,($BL121)/($BI121),""),"")</f>
        <v/>
      </c>
      <c r="BS121" s="67">
        <f>IFERROR(IF(($BJ121)&gt;0,($BM121)/($BJ121),""),"")</f>
        <v/>
      </c>
      <c r="BT121" s="67">
        <f>IFERROR(IF(($BK121)&gt;0,($BN121)/($BK121),""),"")</f>
        <v/>
      </c>
      <c r="BU121" s="67">
        <f>IFERROR(IF(($BL121)&gt;0,($BO121)/($BL121),""),"")</f>
        <v/>
      </c>
      <c r="BV121" s="67">
        <f>IFERROR(IF(($BM121)&gt;0,($BP121)/($BM121),""),"")</f>
        <v/>
      </c>
      <c r="BW121" s="55">
        <f>SUMIFS(tblPlant[Crushed_t],tblPlant[Date],$A121)</f>
        <v/>
      </c>
      <c r="BX121" s="55">
        <f>IF($B121=$B120,$BX120,0)+$BW121</f>
        <v/>
      </c>
      <c r="BY121" s="55">
        <f>$BY120+$BW121</f>
        <v/>
      </c>
      <c r="BZ121" s="55">
        <f>SUMIFS(tblPlant[Milled_t],tblPlant[Date],$A121)</f>
        <v/>
      </c>
      <c r="CA121" s="55">
        <f>IF($B121=$B120,$CA120,0)+$BZ121</f>
        <v/>
      </c>
      <c r="CB121" s="55">
        <f>$CB120+$BZ121</f>
        <v/>
      </c>
      <c r="CC121" s="55">
        <f>SUMIFS(tblPlant[Feed_oz],tblPlant[Date],$A121)</f>
        <v/>
      </c>
      <c r="CD121" s="55">
        <f>IF($B121=$B120,$CD120,0)+$CC121</f>
        <v/>
      </c>
      <c r="CE121" s="55">
        <f>$CE120+$CC121</f>
        <v/>
      </c>
      <c r="CF121" s="55">
        <f>SUMIFS(tblPlant[Tails_oz],tblPlant[Date],$A121)</f>
        <v/>
      </c>
      <c r="CG121" s="55">
        <f>IF($B121=$B120,$CG120,0)+$CF121</f>
        <v/>
      </c>
      <c r="CH121" s="55">
        <f>$CH120+$CF121</f>
        <v/>
      </c>
      <c r="CI121" s="55">
        <f>SUMIFS(tblPlant[Recovered_oz],tblPlant[Date],$A121)</f>
        <v/>
      </c>
      <c r="CJ121" s="55">
        <f>IF($B121=$B120,$CJ120,0)+$CI121</f>
        <v/>
      </c>
      <c r="CK121" s="55">
        <f>$CK120+$CI121</f>
        <v/>
      </c>
      <c r="CL121" s="56">
        <f>IFERROR(IF(($BZ121)&gt;0,($CC121*cfg_TroyOz)/($BZ121),""),"")</f>
        <v/>
      </c>
      <c r="CM121" s="56">
        <f>IFERROR(IF(($CA121)&gt;0,($CD121*cfg_TroyOz)/($CA121),""),"")</f>
        <v/>
      </c>
      <c r="CN121" s="56">
        <f>IFERROR(IF(($CB121)&gt;0,($CE121*cfg_TroyOz)/($CB121),""),"")</f>
        <v/>
      </c>
      <c r="CO121" s="56">
        <f>IFERROR(IF(($BZ121)&gt;0,($CF121*cfg_TroyOz)/($BZ121),""),"")</f>
        <v/>
      </c>
      <c r="CP121" s="56">
        <f>IFERROR(IF(($CA121)&gt;0,($CG121*cfg_TroyOz)/($CA121),""),"")</f>
        <v/>
      </c>
      <c r="CQ121" s="56">
        <f>IFERROR(IF(($CB121)&gt;0,($CH121*cfg_TroyOz)/($CB121),""),"")</f>
        <v/>
      </c>
      <c r="CR121" s="67">
        <f>IFERROR(IF(($CC121)&gt;0,($CI121)/($CC121),""),"")</f>
        <v/>
      </c>
      <c r="CS121" s="67">
        <f>IFERROR(IF(($CD121)&gt;0,($CJ121)/($CD121),""),"")</f>
        <v/>
      </c>
      <c r="CT121" s="67">
        <f>IFERROR(IF(($CE121)&gt;0,($CK121)/($CE121),""),"")</f>
        <v/>
      </c>
      <c r="CU121" s="55">
        <f>SUMIFS(tblPlant[Gravity_Gold_oz],tblPlant[Date],$A121)</f>
        <v/>
      </c>
      <c r="CV121" s="55">
        <f>IF($B121=$B120,$CV120,0)+$CU121</f>
        <v/>
      </c>
      <c r="CW121" s="55">
        <f>$CW120+$CU121</f>
        <v/>
      </c>
      <c r="CX121" s="55">
        <f>SUMIFS(tblPlant[Gold_Poured_oz],tblPlant[Date],$A121)</f>
        <v/>
      </c>
      <c r="CY121" s="55">
        <f>IF($B121=$B120,$CY120,0)+$CX121</f>
        <v/>
      </c>
      <c r="CZ121" s="55">
        <f>$CZ120+$CX121</f>
        <v/>
      </c>
      <c r="DA121" s="57">
        <f>SUMIFS(tblPlant[Mill_Run_h],tblPlant[Date],$A121)</f>
        <v/>
      </c>
      <c r="DB121" s="57">
        <f>IF($B121=$B120,$DB120,0)+$DA121</f>
        <v/>
      </c>
      <c r="DC121" s="57">
        <f>$DC120+$DA121</f>
        <v/>
      </c>
      <c r="DD121" s="57">
        <f>SUMIFS(tblPlant[Mill_Planned_Maint_h],tblPlant[Date],$A121)</f>
        <v/>
      </c>
      <c r="DE121" s="57">
        <f>IF($B121=$B120,$DE120,0)+$DD121</f>
        <v/>
      </c>
      <c r="DF121" s="57">
        <f>$DF120+$DD121</f>
        <v/>
      </c>
      <c r="DG121" s="57">
        <f>SUMIFS(tblPlant[Mill_Unplanned_Down_h],tblPlant[Date],$A121)</f>
        <v/>
      </c>
      <c r="DH121" s="57">
        <f>IF($B121=$B120,$DH120,0)+$DG121</f>
        <v/>
      </c>
      <c r="DI121" s="57">
        <f>$DI120+$DG121</f>
        <v/>
      </c>
      <c r="DJ121" s="57">
        <f>COUNTIFS(tblPlant[Date],$A121,tblPlant[Mill_Run_h],"&lt;&gt;")*24</f>
        <v/>
      </c>
      <c r="DK121" s="57">
        <f>IF($B121=$B120,$DK120,0)+$DJ121</f>
        <v/>
      </c>
      <c r="DL121" s="57">
        <f>$DL120+$DJ121</f>
        <v/>
      </c>
      <c r="DM121" s="57">
        <f>SUMIFS(tblPlant[Crusher_Run_h],tblPlant[Date],$A121)</f>
        <v/>
      </c>
      <c r="DN121" s="57">
        <f>IF($B121=$B120,$DN120,0)+$DM121</f>
        <v/>
      </c>
      <c r="DO121" s="57">
        <f>$DO120+$DM121</f>
        <v/>
      </c>
      <c r="DP121" s="55">
        <f>IFERROR(IF(($DA121)&gt;0,($BZ121)/($DA121),""),"")</f>
        <v/>
      </c>
      <c r="DQ121" s="55">
        <f>IFERROR(IF(($DB121)&gt;0,($CA121)/($DB121),""),"")</f>
        <v/>
      </c>
      <c r="DR121" s="55">
        <f>IFERROR(IF(($DC121)&gt;0,($CB121)/($DC121),""),"")</f>
        <v/>
      </c>
      <c r="DS121" s="67">
        <f>IFERROR(IF(($DJ121)&gt;0,($DJ121-$DD121-$DG121)/($DJ121),""),"")</f>
        <v/>
      </c>
      <c r="DT121" s="67">
        <f>IFERROR(IF(($DK121)&gt;0,($DK121-$DE121-$DH121)/($DK121),""),"")</f>
        <v/>
      </c>
      <c r="DU121" s="67">
        <f>IFERROR(IF(($DL121)&gt;0,($DL121-$DF121-$DI121)/($DL121),""),"")</f>
        <v/>
      </c>
      <c r="DV121" s="67">
        <f>IFERROR(IF(($DJ121-$DD121-$DG121)&gt;0,($DA121)/($DJ121-$DD121-$DG121),""),"")</f>
        <v/>
      </c>
      <c r="DW121" s="67">
        <f>IFERROR(IF(($DK121-$DE121-$DH121)&gt;0,($DB121)/($DK121-$DE121-$DH121),""),"")</f>
        <v/>
      </c>
      <c r="DX121" s="67">
        <f>IFERROR(IF(($DL121-$DF121-$DI121)&gt;0,($DC121)/($DL121-$DF121-$DI121),""),"")</f>
        <v/>
      </c>
      <c r="DY121" s="55">
        <f>SUMIFS(tblPlant[Cyanide_kg],tblPlant[Date],$A121)</f>
        <v/>
      </c>
      <c r="DZ121" s="55">
        <f>IF($B121=$B120,$DZ120,0)+$DY121</f>
        <v/>
      </c>
      <c r="EA121" s="55">
        <f>$EA120+$DY121</f>
        <v/>
      </c>
      <c r="EB121" s="55">
        <f>SUMIFS(tblPlant[Lime_kg],tblPlant[Date],$A121)</f>
        <v/>
      </c>
      <c r="EC121" s="55">
        <f>IF($B121=$B120,$EC120,0)+$EB121</f>
        <v/>
      </c>
      <c r="ED121" s="55">
        <f>$ED120+$EB121</f>
        <v/>
      </c>
      <c r="EE121" s="55">
        <f>SUMIFS(tblPlant[Grinding_Media_kg],tblPlant[Date],$A121)</f>
        <v/>
      </c>
      <c r="EF121" s="55">
        <f>IF($B121=$B120,$EF120,0)+$EE121</f>
        <v/>
      </c>
      <c r="EG121" s="55">
        <f>$EG120+$EE121</f>
        <v/>
      </c>
      <c r="EH121" s="55">
        <f>SUMIFS(tblPlant[Power_kWh],tblPlant[Date],$A121)</f>
        <v/>
      </c>
      <c r="EI121" s="55">
        <f>IF($B121=$B120,$EI120,0)+$EH121</f>
        <v/>
      </c>
      <c r="EJ121" s="55">
        <f>$EJ120+$EH121</f>
        <v/>
      </c>
      <c r="EK121" s="55">
        <f>SUMIFS(tblPlant[Raw_Water_m3],tblPlant[Date],$A121)</f>
        <v/>
      </c>
      <c r="EL121" s="55">
        <f>IF($B121=$B120,$EL120,0)+$EK121</f>
        <v/>
      </c>
      <c r="EM121" s="55">
        <f>$EM120+$EK121</f>
        <v/>
      </c>
      <c r="EN121" s="56">
        <f>IFERROR(IF(($BZ121)&gt;0,($DY121)/($BZ121),""),"")</f>
        <v/>
      </c>
      <c r="EO121" s="56">
        <f>IFERROR(IF(($CA121)&gt;0,($DZ121)/($CA121),""),"")</f>
        <v/>
      </c>
      <c r="EP121" s="56">
        <f>IFERROR(IF(($CB121)&gt;0,($EA121)/($CB121),""),"")</f>
        <v/>
      </c>
      <c r="EQ121" s="56">
        <f>IFERROR(IF(($BZ121)&gt;0,($EB121)/($BZ121),""),"")</f>
        <v/>
      </c>
      <c r="ER121" s="56">
        <f>IFERROR(IF(($CA121)&gt;0,($EC121)/($CA121),""),"")</f>
        <v/>
      </c>
      <c r="ES121" s="56">
        <f>IFERROR(IF(($CB121)&gt;0,($ED121)/($CB121),""),"")</f>
        <v/>
      </c>
      <c r="ET121" s="56">
        <f>IFERROR(IF(($BZ121)&gt;0,($EE121)/($BZ121),""),"")</f>
        <v/>
      </c>
      <c r="EU121" s="56">
        <f>IFERROR(IF(($CA121)&gt;0,($EF121)/($CA121),""),"")</f>
        <v/>
      </c>
      <c r="EV121" s="56">
        <f>IFERROR(IF(($CB121)&gt;0,($EG121)/($CB121),""),"")</f>
        <v/>
      </c>
      <c r="EW121" s="76">
        <f>IFERROR(IF(($BZ121)&gt;0,($EH121)/($BZ121),""),"")</f>
        <v/>
      </c>
      <c r="EX121" s="76">
        <f>IFERROR(IF(($CA121)&gt;0,($EI121)/($CA121),""),"")</f>
        <v/>
      </c>
      <c r="EY121" s="76">
        <f>IFERROR(IF(($CB121)&gt;0,($EJ121)/($CB121),""),"")</f>
        <v/>
      </c>
      <c r="EZ121" s="56">
        <f>IFERROR(IF(($BZ121)&gt;0,($EK121)/($BZ121),""),"")</f>
        <v/>
      </c>
      <c r="FA121" s="56">
        <f>IFERROR(IF(($CA121)&gt;0,($EL121)/($CA121),""),"")</f>
        <v/>
      </c>
      <c r="FB121" s="56">
        <f>IFERROR(IF(($CB121)&gt;0,($EM121)/($CB121),""),"")</f>
        <v/>
      </c>
      <c r="FC121" s="55">
        <f>IF(SUMIFS(tblPlant[GIC_oz],tblPlant[Date],$A121)&gt;0,SUMIFS(tblPlant[GIC_oz],tblPlant[Date],$A121),"")</f>
        <v/>
      </c>
      <c r="FD121" s="55">
        <f>SUMIFS(tblGold[Gold_oz],tblGold[Date],$A121,tblGold[Type],"Shipment")</f>
        <v/>
      </c>
      <c r="FE121" s="55">
        <f>IF($B121=$B120,$FE120,0)+$FD121</f>
        <v/>
      </c>
      <c r="FF121" s="55">
        <f>$FF120+$FD121</f>
        <v/>
      </c>
      <c r="FG121" s="55">
        <f>SUMIFS(tblGold[Gold_oz],tblGold[Date],$A121,tblGold[Type],"Sale")</f>
        <v/>
      </c>
      <c r="FH121" s="55">
        <f>IF($B121=$B120,$FH120,0)+$FG121</f>
        <v/>
      </c>
      <c r="FI121" s="55">
        <f>$FI120+$FG121</f>
        <v/>
      </c>
      <c r="FJ121" s="55">
        <f>SUMIFS(tblGold[Dore_kg],tblGold[Date],$A121,tblGold[Type],"Shipment")</f>
        <v/>
      </c>
      <c r="FK121" s="55">
        <f>IF($B121=$B120,$FK120,0)+$FJ121</f>
        <v/>
      </c>
      <c r="FL121" s="55">
        <f>$FL120+$FJ121</f>
        <v/>
      </c>
      <c r="FM121" s="57">
        <f>SUMIFS(tblSafety[Hours_Total],tblSafety[Date],$A121)</f>
        <v/>
      </c>
      <c r="FN121" s="57">
        <f>IF($B121=$B120,$FN120,0)+$FM121</f>
        <v/>
      </c>
      <c r="FO121" s="57">
        <f>$FO120+$FM121</f>
        <v/>
      </c>
      <c r="FP121" s="62">
        <f>SUMIFS(tblSafety[Fatality],tblSafety[Date],$A121)</f>
        <v/>
      </c>
      <c r="FQ121" s="62">
        <f>IF($B121=$B120,$FQ120,0)+$FP121</f>
        <v/>
      </c>
      <c r="FR121" s="62">
        <f>$FR120+$FP121</f>
        <v/>
      </c>
      <c r="FS121" s="62">
        <f>SUMIFS(tblSafety[LTI],tblSafety[Date],$A121)</f>
        <v/>
      </c>
      <c r="FT121" s="62">
        <f>IF($B121=$B120,$FT120,0)+$FS121</f>
        <v/>
      </c>
      <c r="FU121" s="62">
        <f>$FU120+$FS121</f>
        <v/>
      </c>
      <c r="FV121" s="62">
        <f>SUMIFS(tblSafety[RWI],tblSafety[Date],$A121)</f>
        <v/>
      </c>
      <c r="FW121" s="62">
        <f>IF($B121=$B120,$FW120,0)+$FV121</f>
        <v/>
      </c>
      <c r="FX121" s="62">
        <f>$FX120+$FV121</f>
        <v/>
      </c>
      <c r="FY121" s="62">
        <f>SUMIFS(tblSafety[MTI],tblSafety[Date],$A121)</f>
        <v/>
      </c>
      <c r="FZ121" s="62">
        <f>IF($B121=$B120,$FZ120,0)+$FY121</f>
        <v/>
      </c>
      <c r="GA121" s="62">
        <f>$GA120+$FY121</f>
        <v/>
      </c>
      <c r="GB121" s="62">
        <f>SUMIFS(tblSafety[FAI],tblSafety[Date],$A121)</f>
        <v/>
      </c>
      <c r="GC121" s="62">
        <f>IF($B121=$B120,$GC120,0)+$GB121</f>
        <v/>
      </c>
      <c r="GD121" s="62">
        <f>$GD120+$GB121</f>
        <v/>
      </c>
      <c r="GE121" s="62">
        <f>SUMIFS(tblSafety[Recordables],tblSafety[Date],$A121)</f>
        <v/>
      </c>
      <c r="GF121" s="62">
        <f>IF($B121=$B120,$GF120,0)+$GE121</f>
        <v/>
      </c>
      <c r="GG121" s="62">
        <f>$GG120+$GE121</f>
        <v/>
      </c>
      <c r="GH121" s="62">
        <f>SUMIFS(tblSafety[Near_Miss],tblSafety[Date],$A121)</f>
        <v/>
      </c>
      <c r="GI121" s="62">
        <f>IF($B121=$B120,$GI120,0)+$GH121</f>
        <v/>
      </c>
      <c r="GJ121" s="62">
        <f>$GJ120+$GH121</f>
        <v/>
      </c>
      <c r="GK121" s="62">
        <f>SUMIFS(tblSafety[Hazard_Reports],tblSafety[Date],$A121)</f>
        <v/>
      </c>
      <c r="GL121" s="62">
        <f>IF($B121=$B120,$GL120,0)+$GK121</f>
        <v/>
      </c>
      <c r="GM121" s="62">
        <f>$GM120+$GK121</f>
        <v/>
      </c>
      <c r="GN121" s="62">
        <f>SUMIFS(tblSafety[HPI],tblSafety[Date],$A121)</f>
        <v/>
      </c>
      <c r="GO121" s="62">
        <f>IF($B121=$B120,$GO120,0)+$GN121</f>
        <v/>
      </c>
      <c r="GP121" s="62">
        <f>$GP120+$GN121</f>
        <v/>
      </c>
      <c r="GQ121" s="62">
        <f>SUMIFS(tblSafety[Env_Incidents],tblSafety[Date],$A121)</f>
        <v/>
      </c>
      <c r="GR121" s="62">
        <f>IF($B121=$B120,$GR120,0)+$GQ121</f>
        <v/>
      </c>
      <c r="GS121" s="62">
        <f>$GS120+$GQ121</f>
        <v/>
      </c>
      <c r="GT121" s="62">
        <f>SUMIFS(tblSafety[Community_Incidents],tblSafety[Date],$A121)</f>
        <v/>
      </c>
      <c r="GU121" s="62">
        <f>IF($B121=$B120,$GU120,0)+$GT121</f>
        <v/>
      </c>
      <c r="GV121" s="62">
        <f>$GV120+$GT121</f>
        <v/>
      </c>
      <c r="GW121" s="62">
        <f>SUMIFS(tblSafety[Vehicle_Incidents],tblSafety[Date],$A121)</f>
        <v/>
      </c>
      <c r="GX121" s="62">
        <f>IF($B121=$B120,$GX120,0)+$GW121</f>
        <v/>
      </c>
      <c r="GY121" s="62">
        <f>$GY120+$GW121</f>
        <v/>
      </c>
      <c r="GZ121" s="62">
        <f>SUMIFS(tblSafety[Toolbox_Talks],tblSafety[Date],$A121)</f>
        <v/>
      </c>
      <c r="HA121" s="62">
        <f>IF($B121=$B120,$HA120,0)+$GZ121</f>
        <v/>
      </c>
      <c r="HB121" s="62">
        <f>$HB120+$GZ121</f>
        <v/>
      </c>
      <c r="HC121" s="62">
        <f>SUMIFS(tblSafety[Inspections],tblSafety[Date],$A121)</f>
        <v/>
      </c>
      <c r="HD121" s="62">
        <f>IF($B121=$B120,$HD120,0)+$HC121</f>
        <v/>
      </c>
      <c r="HE121" s="62">
        <f>$HE120+$HC121</f>
        <v/>
      </c>
      <c r="HF121" s="56">
        <f>IFERROR((SUMIFS(tblSafety[Recordables],tblSafety[Date],"&gt;="&amp;EDATE($E121,-12),tblSafety[Date],"&lt;="&amp;$A121)+SUMIFS(tblSafetyHistory[Recordables],tblSafetyHistory[Month],"&gt;="&amp;EDATE($E121,-12),tblSafetyHistory[Month],"&lt;"&amp;cfg_YearStart))/(SUMIFS(tblSafety[Hours_Total],tblSafety[Date],"&gt;="&amp;EDATE($E121,-12),tblSafety[Date],"&lt;="&amp;$A121)+SUMIFS(tblSafetyHistory[Hours_Total],tblSafetyHistory[Month],"&gt;="&amp;EDATE($E121,-12),tblSafetyHistory[Month],"&lt;"&amp;cfg_YearStart))*1000000,"")</f>
        <v/>
      </c>
      <c r="HG121" s="56">
        <f>IFERROR((SUMIFS(tblSafety[LTI],tblSafety[Date],"&gt;="&amp;EDATE($E121,-12),tblSafety[Date],"&lt;="&amp;$A121)+SUMIFS(tblSafetyHistory[LTI],tblSafetyHistory[Month],"&gt;="&amp;EDATE($E121,-12),tblSafetyHistory[Month],"&lt;"&amp;cfg_YearStart))/(SUMIFS(tblSafety[Hours_Total],tblSafety[Date],"&gt;="&amp;EDATE($E121,-12),tblSafety[Date],"&lt;="&amp;$A121)+SUMIFS(tblSafetyHistory[Hours_Total],tblSafetyHistory[Month],"&gt;="&amp;EDATE($E121,-12),tblSafetyHistory[Month],"&lt;"&amp;cfg_YearStart))*1000000,"")</f>
        <v/>
      </c>
      <c r="HH121" s="62">
        <f>IF(MAX(N(cfg_PriorLTIDate),_xlfn.MAXIFS(tblSafety[Date],tblSafety[LTI],"&gt;0",tblSafety[Date],"&lt;="&amp;$A121))=0,"",$A121-MAX(N(cfg_PriorLTIDate),_xlfn.MAXIFS(tblSafety[Date],tblSafety[LTI],"&gt;0",tblSafety[Date],"&lt;="&amp;$A121)))</f>
        <v/>
      </c>
      <c r="HI121" s="55">
        <f>SUMIFS(tblBudget[Ore_Mined_t],tblBudget[Month],$E121)</f>
        <v/>
      </c>
      <c r="HJ121" s="55">
        <f>$HI121*$C121/$D121</f>
        <v/>
      </c>
      <c r="HK121" s="55">
        <f>SUMIFS(tblBudget[Ore_Mined_t],tblBudget[Month],"&lt;"&amp;$E121)+$HJ121</f>
        <v/>
      </c>
      <c r="HL121" s="55">
        <f>SUMIFS(tblBudget[Ore_oz],tblBudget[Month],$E121)</f>
        <v/>
      </c>
      <c r="HM121" s="55">
        <f>$HL121*$C121/$D121</f>
        <v/>
      </c>
      <c r="HN121" s="55">
        <f>SUMIFS(tblBudget[Ore_oz],tblBudget[Month],"&lt;"&amp;$E121)+$HM121</f>
        <v/>
      </c>
      <c r="HO121" s="56">
        <f>IFERROR(IF(($HI121)&gt;0,($HL121*cfg_TroyOz)/($HI121),""),"")</f>
        <v/>
      </c>
      <c r="HP121" s="56">
        <f>IFERROR(IF(($HJ121)&gt;0,($HM121*cfg_TroyOz)/($HJ121),""),"")</f>
        <v/>
      </c>
      <c r="HQ121" s="56">
        <f>IFERROR(IF(($HK121)&gt;0,($HN121*cfg_TroyOz)/($HK121),""),"")</f>
        <v/>
      </c>
      <c r="HR121" s="55">
        <f>SUMIFS(tblBudget[Waste_t],tblBudget[Month],$E121)</f>
        <v/>
      </c>
      <c r="HS121" s="55">
        <f>$HR121*$C121/$D121</f>
        <v/>
      </c>
      <c r="HT121" s="55">
        <f>SUMIFS(tblBudget[Waste_t],tblBudget[Month],"&lt;"&amp;$E121)+$HS121</f>
        <v/>
      </c>
      <c r="HU121" s="55">
        <f>SUMIFS(tblBudget[TMM_t],tblBudget[Month],$E121)</f>
        <v/>
      </c>
      <c r="HV121" s="55">
        <f>$HU121*$C121/$D121</f>
        <v/>
      </c>
      <c r="HW121" s="55">
        <f>SUMIFS(tblBudget[TMM_t],tblBudget[Month],"&lt;"&amp;$E121)+$HV121</f>
        <v/>
      </c>
      <c r="HX121" s="56">
        <f>IFERROR(IF(($HI121)&gt;0,($HR121)/($HI121),""),"")</f>
        <v/>
      </c>
      <c r="HY121" s="56">
        <f>IFERROR(IF(($HJ121)&gt;0,($HS121)/($HJ121),""),"")</f>
        <v/>
      </c>
      <c r="HZ121" s="56">
        <f>IFERROR(IF(($HK121)&gt;0,($HT121)/($HK121),""),"")</f>
        <v/>
      </c>
      <c r="IA121" s="55">
        <f>SUMIFS(tblBudget[Drill_m],tblBudget[Month],$E121)</f>
        <v/>
      </c>
      <c r="IB121" s="55">
        <f>$IA121*$C121/$D121</f>
        <v/>
      </c>
      <c r="IC121" s="55">
        <f>SUMIFS(tblBudget[Drill_m],tblBudget[Month],"&lt;"&amp;$E121)+$IB121</f>
        <v/>
      </c>
      <c r="ID121" s="55">
        <f>SUMIFS(tblBudget[Diesel_L],tblBudget[Month],$E121)</f>
        <v/>
      </c>
      <c r="IE121" s="55">
        <f>$ID121*$C121/$D121</f>
        <v/>
      </c>
      <c r="IF121" s="55">
        <f>SUMIFS(tblBudget[Diesel_L],tblBudget[Month],"&lt;"&amp;$E121)+$IE121</f>
        <v/>
      </c>
      <c r="IG121" s="55">
        <f>SUMIFS(tblBudget[Milled_t],tblBudget[Month],$E121)</f>
        <v/>
      </c>
      <c r="IH121" s="55">
        <f>$IG121*$C121/$D121</f>
        <v/>
      </c>
      <c r="II121" s="55">
        <f>SUMIFS(tblBudget[Milled_t],tblBudget[Month],"&lt;"&amp;$E121)+$IH121</f>
        <v/>
      </c>
      <c r="IJ121" s="55">
        <f>SUMIFS(tblBudget[Feed_oz],tblBudget[Month],$E121)</f>
        <v/>
      </c>
      <c r="IK121" s="55">
        <f>$IJ121*$C121/$D121</f>
        <v/>
      </c>
      <c r="IL121" s="55">
        <f>SUMIFS(tblBudget[Feed_oz],tblBudget[Month],"&lt;"&amp;$E121)+$IK121</f>
        <v/>
      </c>
      <c r="IM121" s="55">
        <f>SUMIFS(tblBudget[Recovered_oz],tblBudget[Month],$E121)</f>
        <v/>
      </c>
      <c r="IN121" s="55">
        <f>$IM121*$C121/$D121</f>
        <v/>
      </c>
      <c r="IO121" s="55">
        <f>SUMIFS(tblBudget[Recovered_oz],tblBudget[Month],"&lt;"&amp;$E121)+$IN121</f>
        <v/>
      </c>
      <c r="IP121" s="56">
        <f>IFERROR(IF(($IG121)&gt;0,($IJ121*cfg_TroyOz)/($IG121),""),"")</f>
        <v/>
      </c>
      <c r="IQ121" s="56">
        <f>IFERROR(IF(($IH121)&gt;0,($IK121*cfg_TroyOz)/($IH121),""),"")</f>
        <v/>
      </c>
      <c r="IR121" s="56">
        <f>IFERROR(IF(($II121)&gt;0,($IL121*cfg_TroyOz)/($II121),""),"")</f>
        <v/>
      </c>
      <c r="IS121" s="67">
        <f>IFERROR(IF(($IJ121)&gt;0,($IM121)/($IJ121),""),"")</f>
        <v/>
      </c>
      <c r="IT121" s="67">
        <f>IFERROR(IF(($IK121)&gt;0,($IN121)/($IK121),""),"")</f>
        <v/>
      </c>
      <c r="IU121" s="67">
        <f>IFERROR(IF(($IL121)&gt;0,($IO121)/($IL121),""),"")</f>
        <v/>
      </c>
      <c r="IV121" s="55">
        <f>SUMIFS(tblBudget[Gold_Poured_oz],tblBudget[Month],$E121)</f>
        <v/>
      </c>
      <c r="IW121" s="55">
        <f>$IV121*$C121/$D121</f>
        <v/>
      </c>
      <c r="IX121" s="55">
        <f>SUMIFS(tblBudget[Gold_Poured_oz],tblBudget[Month],"&lt;"&amp;$E121)+$IW121</f>
        <v/>
      </c>
      <c r="IY121" s="57">
        <f>SUMIFS(tblBudget[Hours_Worked],tblBudget[Month],$E121)</f>
        <v/>
      </c>
      <c r="IZ121" s="57">
        <f>$IY121*$C121/$D121</f>
        <v/>
      </c>
      <c r="JA121" s="57">
        <f>SUMIFS(tblBudget[Hours_Worked],tblBudget[Month],"&lt;"&amp;$E121)+$IZ121</f>
        <v/>
      </c>
    </row>
    <row r="122">
      <c r="A122" s="54" t="n">
        <v>46143</v>
      </c>
      <c r="B122">
        <f>MONTH($A122)</f>
        <v/>
      </c>
      <c r="C122">
        <f>DAY($A122)</f>
        <v/>
      </c>
      <c r="D122">
        <f>DAY(EOMONTH($A122,0))</f>
        <v/>
      </c>
      <c r="E122" s="54">
        <f>DATE(YEAR($A122),MONTH($A122),1)</f>
        <v/>
      </c>
      <c r="F122" s="55">
        <f>SUMIFS(tblMovement[Tonnes_t],tblMovement[Date],$A122,tblMovement[Is_Ore],1,tblMovement[Source_Type],"Pit")</f>
        <v/>
      </c>
      <c r="G122" s="55">
        <f>IF($B122=$B121,$G121,0)+$F122</f>
        <v/>
      </c>
      <c r="H122" s="55">
        <f>$H121+$F122</f>
        <v/>
      </c>
      <c r="I122" s="55">
        <f>SUMIFS(tblMovement[Ore_oz],tblMovement[Date],$A122,tblMovement[Source_Type],"Pit")</f>
        <v/>
      </c>
      <c r="J122" s="55">
        <f>IF($B122=$B121,$J121,0)+$I122</f>
        <v/>
      </c>
      <c r="K122" s="55">
        <f>$K121+$I122</f>
        <v/>
      </c>
      <c r="L122" s="56">
        <f>IFERROR(IF(($F122)&gt;0,($I122*cfg_TroyOz)/($F122),""),"")</f>
        <v/>
      </c>
      <c r="M122" s="56">
        <f>IFERROR(IF(($G122)&gt;0,($J122*cfg_TroyOz)/($G122),""),"")</f>
        <v/>
      </c>
      <c r="N122" s="56">
        <f>IFERROR(IF(($H122)&gt;0,($K122*cfg_TroyOz)/($H122),""),"")</f>
        <v/>
      </c>
      <c r="O122" s="55">
        <f>SUMIFS(tblMovement[Tonnes_t],tblMovement[Date],$A122,tblMovement[Is_Ore],0,tblMovement[Source_Type],"Pit")</f>
        <v/>
      </c>
      <c r="P122" s="55">
        <f>IF($B122=$B121,$P121,0)+$O122</f>
        <v/>
      </c>
      <c r="Q122" s="55">
        <f>$Q121+$O122</f>
        <v/>
      </c>
      <c r="R122" s="55">
        <f>$F122+$O122</f>
        <v/>
      </c>
      <c r="S122" s="55">
        <f>IF($B122=$B121,$S121,0)+$R122</f>
        <v/>
      </c>
      <c r="T122" s="55">
        <f>$T121+$R122</f>
        <v/>
      </c>
      <c r="U122" s="56">
        <f>IFERROR(IF(($F122)&gt;0,($O122)/($F122),""),"")</f>
        <v/>
      </c>
      <c r="V122" s="56">
        <f>IFERROR(IF(($G122)&gt;0,($P122)/($G122),""),"")</f>
        <v/>
      </c>
      <c r="W122" s="56">
        <f>IFERROR(IF(($H122)&gt;0,($Q122)/($H122),""),"")</f>
        <v/>
      </c>
      <c r="X122" s="55">
        <f>SUMIFS(tblMovement[Tonnes_t],tblMovement[Date],$A122,tblMovement[Source_Type],"Stockpile")</f>
        <v/>
      </c>
      <c r="Y122" s="55">
        <f>IF($B122=$B121,$Y121,0)+$X122</f>
        <v/>
      </c>
      <c r="Z122" s="55">
        <f>$Z121+$X122</f>
        <v/>
      </c>
      <c r="AA122" s="55">
        <f>SUMIFS(tblMiningDaily[Drill_m],tblMiningDaily[Date],$A122)</f>
        <v/>
      </c>
      <c r="AB122" s="55">
        <f>IF($B122=$B121,$AB121,0)+$AA122</f>
        <v/>
      </c>
      <c r="AC122" s="55">
        <f>$AC121+$AA122</f>
        <v/>
      </c>
      <c r="AD122" s="55">
        <f>SUMIFS(tblMiningDaily[Blast_t],tblMiningDaily[Date],$A122)</f>
        <v/>
      </c>
      <c r="AE122" s="55">
        <f>IF($B122=$B121,$AE121,0)+$AD122</f>
        <v/>
      </c>
      <c r="AF122" s="55">
        <f>$AF121+$AD122</f>
        <v/>
      </c>
      <c r="AG122" s="55">
        <f>SUMIFS(tblMiningDaily[Explosives_kg],tblMiningDaily[Date],$A122)</f>
        <v/>
      </c>
      <c r="AH122" s="55">
        <f>IF($B122=$B121,$AH121,0)+$AG122</f>
        <v/>
      </c>
      <c r="AI122" s="55">
        <f>$AI121+$AG122</f>
        <v/>
      </c>
      <c r="AJ122" s="56">
        <f>IFERROR(IF(($AD122)&gt;0,($AG122)/($AD122),""),"")</f>
        <v/>
      </c>
      <c r="AK122" s="56">
        <f>IFERROR(IF(($AE122)&gt;0,($AH122)/($AE122),""),"")</f>
        <v/>
      </c>
      <c r="AL122" s="56">
        <f>IFERROR(IF(($AF122)&gt;0,($AI122)/($AF122),""),"")</f>
        <v/>
      </c>
      <c r="AM122" s="55">
        <f>SUMIFS(tblMiningDaily[Diesel_L],tblMiningDaily[Date],$A122)</f>
        <v/>
      </c>
      <c r="AN122" s="55">
        <f>IF($B122=$B121,$AN121,0)+$AM122</f>
        <v/>
      </c>
      <c r="AO122" s="55">
        <f>$AO121+$AM122</f>
        <v/>
      </c>
      <c r="AP122" s="55">
        <f>SUMIFS(tblMiningDaily[Dewatering_m3],tblMiningDaily[Date],$A122)</f>
        <v/>
      </c>
      <c r="AQ122" s="55">
        <f>IF($B122=$B121,$AQ121,0)+$AP122</f>
        <v/>
      </c>
      <c r="AR122" s="55">
        <f>$AR121+$AP122</f>
        <v/>
      </c>
      <c r="AS122" s="57">
        <f>SUMIFS(tblFleet[Calendar_h],tblFleet[Date],$A122,tblFleet[Equipment_Class],"Excavator")</f>
        <v/>
      </c>
      <c r="AT122" s="57">
        <f>IF($B122=$B121,$AT121,0)+$AS122</f>
        <v/>
      </c>
      <c r="AU122" s="57">
        <f>$AU121+$AS122</f>
        <v/>
      </c>
      <c r="AV122" s="57">
        <f>SUMIFS(tblFleet[Available_h],tblFleet[Date],$A122,tblFleet[Equipment_Class],"Excavator")</f>
        <v/>
      </c>
      <c r="AW122" s="57">
        <f>IF($B122=$B121,$AW121,0)+$AV122</f>
        <v/>
      </c>
      <c r="AX122" s="57">
        <f>$AX121+$AV122</f>
        <v/>
      </c>
      <c r="AY122" s="57">
        <f>SUMIFS(tblFleet[Operating_h],tblFleet[Date],$A122,tblFleet[Equipment_Class],"Excavator")</f>
        <v/>
      </c>
      <c r="AZ122" s="57">
        <f>IF($B122=$B121,$AZ121,0)+$AY122</f>
        <v/>
      </c>
      <c r="BA122" s="57">
        <f>$BA121+$AY122</f>
        <v/>
      </c>
      <c r="BB122" s="67">
        <f>IFERROR(IF(($AS122)&gt;0,($AV122)/($AS122),""),"")</f>
        <v/>
      </c>
      <c r="BC122" s="67">
        <f>IFERROR(IF(($AT122)&gt;0,($AW122)/($AT122),""),"")</f>
        <v/>
      </c>
      <c r="BD122" s="67">
        <f>IFERROR(IF(($AU122)&gt;0,($AX122)/($AU122),""),"")</f>
        <v/>
      </c>
      <c r="BE122" s="67">
        <f>IFERROR(IF(($AV122)&gt;0,($AY122)/($AV122),""),"")</f>
        <v/>
      </c>
      <c r="BF122" s="67">
        <f>IFERROR(IF(($AW122)&gt;0,($AZ122)/($AW122),""),"")</f>
        <v/>
      </c>
      <c r="BG122" s="67">
        <f>IFERROR(IF(($AX122)&gt;0,($BA122)/($AX122),""),"")</f>
        <v/>
      </c>
      <c r="BH122" s="57">
        <f>SUMIFS(tblFleet[Calendar_h],tblFleet[Date],$A122,tblFleet[Equipment_Class],"Haul Truck")</f>
        <v/>
      </c>
      <c r="BI122" s="57">
        <f>IF($B122=$B121,$BI121,0)+$BH122</f>
        <v/>
      </c>
      <c r="BJ122" s="57">
        <f>$BJ121+$BH122</f>
        <v/>
      </c>
      <c r="BK122" s="57">
        <f>SUMIFS(tblFleet[Available_h],tblFleet[Date],$A122,tblFleet[Equipment_Class],"Haul Truck")</f>
        <v/>
      </c>
      <c r="BL122" s="57">
        <f>IF($B122=$B121,$BL121,0)+$BK122</f>
        <v/>
      </c>
      <c r="BM122" s="57">
        <f>$BM121+$BK122</f>
        <v/>
      </c>
      <c r="BN122" s="57">
        <f>SUMIFS(tblFleet[Operating_h],tblFleet[Date],$A122,tblFleet[Equipment_Class],"Haul Truck")</f>
        <v/>
      </c>
      <c r="BO122" s="57">
        <f>IF($B122=$B121,$BO121,0)+$BN122</f>
        <v/>
      </c>
      <c r="BP122" s="57">
        <f>$BP121+$BN122</f>
        <v/>
      </c>
      <c r="BQ122" s="67">
        <f>IFERROR(IF(($BH122)&gt;0,($BK122)/($BH122),""),"")</f>
        <v/>
      </c>
      <c r="BR122" s="67">
        <f>IFERROR(IF(($BI122)&gt;0,($BL122)/($BI122),""),"")</f>
        <v/>
      </c>
      <c r="BS122" s="67">
        <f>IFERROR(IF(($BJ122)&gt;0,($BM122)/($BJ122),""),"")</f>
        <v/>
      </c>
      <c r="BT122" s="67">
        <f>IFERROR(IF(($BK122)&gt;0,($BN122)/($BK122),""),"")</f>
        <v/>
      </c>
      <c r="BU122" s="67">
        <f>IFERROR(IF(($BL122)&gt;0,($BO122)/($BL122),""),"")</f>
        <v/>
      </c>
      <c r="BV122" s="67">
        <f>IFERROR(IF(($BM122)&gt;0,($BP122)/($BM122),""),"")</f>
        <v/>
      </c>
      <c r="BW122" s="55">
        <f>SUMIFS(tblPlant[Crushed_t],tblPlant[Date],$A122)</f>
        <v/>
      </c>
      <c r="BX122" s="55">
        <f>IF($B122=$B121,$BX121,0)+$BW122</f>
        <v/>
      </c>
      <c r="BY122" s="55">
        <f>$BY121+$BW122</f>
        <v/>
      </c>
      <c r="BZ122" s="55">
        <f>SUMIFS(tblPlant[Milled_t],tblPlant[Date],$A122)</f>
        <v/>
      </c>
      <c r="CA122" s="55">
        <f>IF($B122=$B121,$CA121,0)+$BZ122</f>
        <v/>
      </c>
      <c r="CB122" s="55">
        <f>$CB121+$BZ122</f>
        <v/>
      </c>
      <c r="CC122" s="55">
        <f>SUMIFS(tblPlant[Feed_oz],tblPlant[Date],$A122)</f>
        <v/>
      </c>
      <c r="CD122" s="55">
        <f>IF($B122=$B121,$CD121,0)+$CC122</f>
        <v/>
      </c>
      <c r="CE122" s="55">
        <f>$CE121+$CC122</f>
        <v/>
      </c>
      <c r="CF122" s="55">
        <f>SUMIFS(tblPlant[Tails_oz],tblPlant[Date],$A122)</f>
        <v/>
      </c>
      <c r="CG122" s="55">
        <f>IF($B122=$B121,$CG121,0)+$CF122</f>
        <v/>
      </c>
      <c r="CH122" s="55">
        <f>$CH121+$CF122</f>
        <v/>
      </c>
      <c r="CI122" s="55">
        <f>SUMIFS(tblPlant[Recovered_oz],tblPlant[Date],$A122)</f>
        <v/>
      </c>
      <c r="CJ122" s="55">
        <f>IF($B122=$B121,$CJ121,0)+$CI122</f>
        <v/>
      </c>
      <c r="CK122" s="55">
        <f>$CK121+$CI122</f>
        <v/>
      </c>
      <c r="CL122" s="56">
        <f>IFERROR(IF(($BZ122)&gt;0,($CC122*cfg_TroyOz)/($BZ122),""),"")</f>
        <v/>
      </c>
      <c r="CM122" s="56">
        <f>IFERROR(IF(($CA122)&gt;0,($CD122*cfg_TroyOz)/($CA122),""),"")</f>
        <v/>
      </c>
      <c r="CN122" s="56">
        <f>IFERROR(IF(($CB122)&gt;0,($CE122*cfg_TroyOz)/($CB122),""),"")</f>
        <v/>
      </c>
      <c r="CO122" s="56">
        <f>IFERROR(IF(($BZ122)&gt;0,($CF122*cfg_TroyOz)/($BZ122),""),"")</f>
        <v/>
      </c>
      <c r="CP122" s="56">
        <f>IFERROR(IF(($CA122)&gt;0,($CG122*cfg_TroyOz)/($CA122),""),"")</f>
        <v/>
      </c>
      <c r="CQ122" s="56">
        <f>IFERROR(IF(($CB122)&gt;0,($CH122*cfg_TroyOz)/($CB122),""),"")</f>
        <v/>
      </c>
      <c r="CR122" s="67">
        <f>IFERROR(IF(($CC122)&gt;0,($CI122)/($CC122),""),"")</f>
        <v/>
      </c>
      <c r="CS122" s="67">
        <f>IFERROR(IF(($CD122)&gt;0,($CJ122)/($CD122),""),"")</f>
        <v/>
      </c>
      <c r="CT122" s="67">
        <f>IFERROR(IF(($CE122)&gt;0,($CK122)/($CE122),""),"")</f>
        <v/>
      </c>
      <c r="CU122" s="55">
        <f>SUMIFS(tblPlant[Gravity_Gold_oz],tblPlant[Date],$A122)</f>
        <v/>
      </c>
      <c r="CV122" s="55">
        <f>IF($B122=$B121,$CV121,0)+$CU122</f>
        <v/>
      </c>
      <c r="CW122" s="55">
        <f>$CW121+$CU122</f>
        <v/>
      </c>
      <c r="CX122" s="55">
        <f>SUMIFS(tblPlant[Gold_Poured_oz],tblPlant[Date],$A122)</f>
        <v/>
      </c>
      <c r="CY122" s="55">
        <f>IF($B122=$B121,$CY121,0)+$CX122</f>
        <v/>
      </c>
      <c r="CZ122" s="55">
        <f>$CZ121+$CX122</f>
        <v/>
      </c>
      <c r="DA122" s="57">
        <f>SUMIFS(tblPlant[Mill_Run_h],tblPlant[Date],$A122)</f>
        <v/>
      </c>
      <c r="DB122" s="57">
        <f>IF($B122=$B121,$DB121,0)+$DA122</f>
        <v/>
      </c>
      <c r="DC122" s="57">
        <f>$DC121+$DA122</f>
        <v/>
      </c>
      <c r="DD122" s="57">
        <f>SUMIFS(tblPlant[Mill_Planned_Maint_h],tblPlant[Date],$A122)</f>
        <v/>
      </c>
      <c r="DE122" s="57">
        <f>IF($B122=$B121,$DE121,0)+$DD122</f>
        <v/>
      </c>
      <c r="DF122" s="57">
        <f>$DF121+$DD122</f>
        <v/>
      </c>
      <c r="DG122" s="57">
        <f>SUMIFS(tblPlant[Mill_Unplanned_Down_h],tblPlant[Date],$A122)</f>
        <v/>
      </c>
      <c r="DH122" s="57">
        <f>IF($B122=$B121,$DH121,0)+$DG122</f>
        <v/>
      </c>
      <c r="DI122" s="57">
        <f>$DI121+$DG122</f>
        <v/>
      </c>
      <c r="DJ122" s="57">
        <f>COUNTIFS(tblPlant[Date],$A122,tblPlant[Mill_Run_h],"&lt;&gt;")*24</f>
        <v/>
      </c>
      <c r="DK122" s="57">
        <f>IF($B122=$B121,$DK121,0)+$DJ122</f>
        <v/>
      </c>
      <c r="DL122" s="57">
        <f>$DL121+$DJ122</f>
        <v/>
      </c>
      <c r="DM122" s="57">
        <f>SUMIFS(tblPlant[Crusher_Run_h],tblPlant[Date],$A122)</f>
        <v/>
      </c>
      <c r="DN122" s="57">
        <f>IF($B122=$B121,$DN121,0)+$DM122</f>
        <v/>
      </c>
      <c r="DO122" s="57">
        <f>$DO121+$DM122</f>
        <v/>
      </c>
      <c r="DP122" s="55">
        <f>IFERROR(IF(($DA122)&gt;0,($BZ122)/($DA122),""),"")</f>
        <v/>
      </c>
      <c r="DQ122" s="55">
        <f>IFERROR(IF(($DB122)&gt;0,($CA122)/($DB122),""),"")</f>
        <v/>
      </c>
      <c r="DR122" s="55">
        <f>IFERROR(IF(($DC122)&gt;0,($CB122)/($DC122),""),"")</f>
        <v/>
      </c>
      <c r="DS122" s="67">
        <f>IFERROR(IF(($DJ122)&gt;0,($DJ122-$DD122-$DG122)/($DJ122),""),"")</f>
        <v/>
      </c>
      <c r="DT122" s="67">
        <f>IFERROR(IF(($DK122)&gt;0,($DK122-$DE122-$DH122)/($DK122),""),"")</f>
        <v/>
      </c>
      <c r="DU122" s="67">
        <f>IFERROR(IF(($DL122)&gt;0,($DL122-$DF122-$DI122)/($DL122),""),"")</f>
        <v/>
      </c>
      <c r="DV122" s="67">
        <f>IFERROR(IF(($DJ122-$DD122-$DG122)&gt;0,($DA122)/($DJ122-$DD122-$DG122),""),"")</f>
        <v/>
      </c>
      <c r="DW122" s="67">
        <f>IFERROR(IF(($DK122-$DE122-$DH122)&gt;0,($DB122)/($DK122-$DE122-$DH122),""),"")</f>
        <v/>
      </c>
      <c r="DX122" s="67">
        <f>IFERROR(IF(($DL122-$DF122-$DI122)&gt;0,($DC122)/($DL122-$DF122-$DI122),""),"")</f>
        <v/>
      </c>
      <c r="DY122" s="55">
        <f>SUMIFS(tblPlant[Cyanide_kg],tblPlant[Date],$A122)</f>
        <v/>
      </c>
      <c r="DZ122" s="55">
        <f>IF($B122=$B121,$DZ121,0)+$DY122</f>
        <v/>
      </c>
      <c r="EA122" s="55">
        <f>$EA121+$DY122</f>
        <v/>
      </c>
      <c r="EB122" s="55">
        <f>SUMIFS(tblPlant[Lime_kg],tblPlant[Date],$A122)</f>
        <v/>
      </c>
      <c r="EC122" s="55">
        <f>IF($B122=$B121,$EC121,0)+$EB122</f>
        <v/>
      </c>
      <c r="ED122" s="55">
        <f>$ED121+$EB122</f>
        <v/>
      </c>
      <c r="EE122" s="55">
        <f>SUMIFS(tblPlant[Grinding_Media_kg],tblPlant[Date],$A122)</f>
        <v/>
      </c>
      <c r="EF122" s="55">
        <f>IF($B122=$B121,$EF121,0)+$EE122</f>
        <v/>
      </c>
      <c r="EG122" s="55">
        <f>$EG121+$EE122</f>
        <v/>
      </c>
      <c r="EH122" s="55">
        <f>SUMIFS(tblPlant[Power_kWh],tblPlant[Date],$A122)</f>
        <v/>
      </c>
      <c r="EI122" s="55">
        <f>IF($B122=$B121,$EI121,0)+$EH122</f>
        <v/>
      </c>
      <c r="EJ122" s="55">
        <f>$EJ121+$EH122</f>
        <v/>
      </c>
      <c r="EK122" s="55">
        <f>SUMIFS(tblPlant[Raw_Water_m3],tblPlant[Date],$A122)</f>
        <v/>
      </c>
      <c r="EL122" s="55">
        <f>IF($B122=$B121,$EL121,0)+$EK122</f>
        <v/>
      </c>
      <c r="EM122" s="55">
        <f>$EM121+$EK122</f>
        <v/>
      </c>
      <c r="EN122" s="56">
        <f>IFERROR(IF(($BZ122)&gt;0,($DY122)/($BZ122),""),"")</f>
        <v/>
      </c>
      <c r="EO122" s="56">
        <f>IFERROR(IF(($CA122)&gt;0,($DZ122)/($CA122),""),"")</f>
        <v/>
      </c>
      <c r="EP122" s="56">
        <f>IFERROR(IF(($CB122)&gt;0,($EA122)/($CB122),""),"")</f>
        <v/>
      </c>
      <c r="EQ122" s="56">
        <f>IFERROR(IF(($BZ122)&gt;0,($EB122)/($BZ122),""),"")</f>
        <v/>
      </c>
      <c r="ER122" s="56">
        <f>IFERROR(IF(($CA122)&gt;0,($EC122)/($CA122),""),"")</f>
        <v/>
      </c>
      <c r="ES122" s="56">
        <f>IFERROR(IF(($CB122)&gt;0,($ED122)/($CB122),""),"")</f>
        <v/>
      </c>
      <c r="ET122" s="56">
        <f>IFERROR(IF(($BZ122)&gt;0,($EE122)/($BZ122),""),"")</f>
        <v/>
      </c>
      <c r="EU122" s="56">
        <f>IFERROR(IF(($CA122)&gt;0,($EF122)/($CA122),""),"")</f>
        <v/>
      </c>
      <c r="EV122" s="56">
        <f>IFERROR(IF(($CB122)&gt;0,($EG122)/($CB122),""),"")</f>
        <v/>
      </c>
      <c r="EW122" s="76">
        <f>IFERROR(IF(($BZ122)&gt;0,($EH122)/($BZ122),""),"")</f>
        <v/>
      </c>
      <c r="EX122" s="76">
        <f>IFERROR(IF(($CA122)&gt;0,($EI122)/($CA122),""),"")</f>
        <v/>
      </c>
      <c r="EY122" s="76">
        <f>IFERROR(IF(($CB122)&gt;0,($EJ122)/($CB122),""),"")</f>
        <v/>
      </c>
      <c r="EZ122" s="56">
        <f>IFERROR(IF(($BZ122)&gt;0,($EK122)/($BZ122),""),"")</f>
        <v/>
      </c>
      <c r="FA122" s="56">
        <f>IFERROR(IF(($CA122)&gt;0,($EL122)/($CA122),""),"")</f>
        <v/>
      </c>
      <c r="FB122" s="56">
        <f>IFERROR(IF(($CB122)&gt;0,($EM122)/($CB122),""),"")</f>
        <v/>
      </c>
      <c r="FC122" s="55">
        <f>IF(SUMIFS(tblPlant[GIC_oz],tblPlant[Date],$A122)&gt;0,SUMIFS(tblPlant[GIC_oz],tblPlant[Date],$A122),"")</f>
        <v/>
      </c>
      <c r="FD122" s="55">
        <f>SUMIFS(tblGold[Gold_oz],tblGold[Date],$A122,tblGold[Type],"Shipment")</f>
        <v/>
      </c>
      <c r="FE122" s="55">
        <f>IF($B122=$B121,$FE121,0)+$FD122</f>
        <v/>
      </c>
      <c r="FF122" s="55">
        <f>$FF121+$FD122</f>
        <v/>
      </c>
      <c r="FG122" s="55">
        <f>SUMIFS(tblGold[Gold_oz],tblGold[Date],$A122,tblGold[Type],"Sale")</f>
        <v/>
      </c>
      <c r="FH122" s="55">
        <f>IF($B122=$B121,$FH121,0)+$FG122</f>
        <v/>
      </c>
      <c r="FI122" s="55">
        <f>$FI121+$FG122</f>
        <v/>
      </c>
      <c r="FJ122" s="55">
        <f>SUMIFS(tblGold[Dore_kg],tblGold[Date],$A122,tblGold[Type],"Shipment")</f>
        <v/>
      </c>
      <c r="FK122" s="55">
        <f>IF($B122=$B121,$FK121,0)+$FJ122</f>
        <v/>
      </c>
      <c r="FL122" s="55">
        <f>$FL121+$FJ122</f>
        <v/>
      </c>
      <c r="FM122" s="57">
        <f>SUMIFS(tblSafety[Hours_Total],tblSafety[Date],$A122)</f>
        <v/>
      </c>
      <c r="FN122" s="57">
        <f>IF($B122=$B121,$FN121,0)+$FM122</f>
        <v/>
      </c>
      <c r="FO122" s="57">
        <f>$FO121+$FM122</f>
        <v/>
      </c>
      <c r="FP122" s="62">
        <f>SUMIFS(tblSafety[Fatality],tblSafety[Date],$A122)</f>
        <v/>
      </c>
      <c r="FQ122" s="62">
        <f>IF($B122=$B121,$FQ121,0)+$FP122</f>
        <v/>
      </c>
      <c r="FR122" s="62">
        <f>$FR121+$FP122</f>
        <v/>
      </c>
      <c r="FS122" s="62">
        <f>SUMIFS(tblSafety[LTI],tblSafety[Date],$A122)</f>
        <v/>
      </c>
      <c r="FT122" s="62">
        <f>IF($B122=$B121,$FT121,0)+$FS122</f>
        <v/>
      </c>
      <c r="FU122" s="62">
        <f>$FU121+$FS122</f>
        <v/>
      </c>
      <c r="FV122" s="62">
        <f>SUMIFS(tblSafety[RWI],tblSafety[Date],$A122)</f>
        <v/>
      </c>
      <c r="FW122" s="62">
        <f>IF($B122=$B121,$FW121,0)+$FV122</f>
        <v/>
      </c>
      <c r="FX122" s="62">
        <f>$FX121+$FV122</f>
        <v/>
      </c>
      <c r="FY122" s="62">
        <f>SUMIFS(tblSafety[MTI],tblSafety[Date],$A122)</f>
        <v/>
      </c>
      <c r="FZ122" s="62">
        <f>IF($B122=$B121,$FZ121,0)+$FY122</f>
        <v/>
      </c>
      <c r="GA122" s="62">
        <f>$GA121+$FY122</f>
        <v/>
      </c>
      <c r="GB122" s="62">
        <f>SUMIFS(tblSafety[FAI],tblSafety[Date],$A122)</f>
        <v/>
      </c>
      <c r="GC122" s="62">
        <f>IF($B122=$B121,$GC121,0)+$GB122</f>
        <v/>
      </c>
      <c r="GD122" s="62">
        <f>$GD121+$GB122</f>
        <v/>
      </c>
      <c r="GE122" s="62">
        <f>SUMIFS(tblSafety[Recordables],tblSafety[Date],$A122)</f>
        <v/>
      </c>
      <c r="GF122" s="62">
        <f>IF($B122=$B121,$GF121,0)+$GE122</f>
        <v/>
      </c>
      <c r="GG122" s="62">
        <f>$GG121+$GE122</f>
        <v/>
      </c>
      <c r="GH122" s="62">
        <f>SUMIFS(tblSafety[Near_Miss],tblSafety[Date],$A122)</f>
        <v/>
      </c>
      <c r="GI122" s="62">
        <f>IF($B122=$B121,$GI121,0)+$GH122</f>
        <v/>
      </c>
      <c r="GJ122" s="62">
        <f>$GJ121+$GH122</f>
        <v/>
      </c>
      <c r="GK122" s="62">
        <f>SUMIFS(tblSafety[Hazard_Reports],tblSafety[Date],$A122)</f>
        <v/>
      </c>
      <c r="GL122" s="62">
        <f>IF($B122=$B121,$GL121,0)+$GK122</f>
        <v/>
      </c>
      <c r="GM122" s="62">
        <f>$GM121+$GK122</f>
        <v/>
      </c>
      <c r="GN122" s="62">
        <f>SUMIFS(tblSafety[HPI],tblSafety[Date],$A122)</f>
        <v/>
      </c>
      <c r="GO122" s="62">
        <f>IF($B122=$B121,$GO121,0)+$GN122</f>
        <v/>
      </c>
      <c r="GP122" s="62">
        <f>$GP121+$GN122</f>
        <v/>
      </c>
      <c r="GQ122" s="62">
        <f>SUMIFS(tblSafety[Env_Incidents],tblSafety[Date],$A122)</f>
        <v/>
      </c>
      <c r="GR122" s="62">
        <f>IF($B122=$B121,$GR121,0)+$GQ122</f>
        <v/>
      </c>
      <c r="GS122" s="62">
        <f>$GS121+$GQ122</f>
        <v/>
      </c>
      <c r="GT122" s="62">
        <f>SUMIFS(tblSafety[Community_Incidents],tblSafety[Date],$A122)</f>
        <v/>
      </c>
      <c r="GU122" s="62">
        <f>IF($B122=$B121,$GU121,0)+$GT122</f>
        <v/>
      </c>
      <c r="GV122" s="62">
        <f>$GV121+$GT122</f>
        <v/>
      </c>
      <c r="GW122" s="62">
        <f>SUMIFS(tblSafety[Vehicle_Incidents],tblSafety[Date],$A122)</f>
        <v/>
      </c>
      <c r="GX122" s="62">
        <f>IF($B122=$B121,$GX121,0)+$GW122</f>
        <v/>
      </c>
      <c r="GY122" s="62">
        <f>$GY121+$GW122</f>
        <v/>
      </c>
      <c r="GZ122" s="62">
        <f>SUMIFS(tblSafety[Toolbox_Talks],tblSafety[Date],$A122)</f>
        <v/>
      </c>
      <c r="HA122" s="62">
        <f>IF($B122=$B121,$HA121,0)+$GZ122</f>
        <v/>
      </c>
      <c r="HB122" s="62">
        <f>$HB121+$GZ122</f>
        <v/>
      </c>
      <c r="HC122" s="62">
        <f>SUMIFS(tblSafety[Inspections],tblSafety[Date],$A122)</f>
        <v/>
      </c>
      <c r="HD122" s="62">
        <f>IF($B122=$B121,$HD121,0)+$HC122</f>
        <v/>
      </c>
      <c r="HE122" s="62">
        <f>$HE121+$HC122</f>
        <v/>
      </c>
      <c r="HF122" s="56">
        <f>IFERROR((SUMIFS(tblSafety[Recordables],tblSafety[Date],"&gt;="&amp;EDATE($E122,-12),tblSafety[Date],"&lt;="&amp;$A122)+SUMIFS(tblSafetyHistory[Recordables],tblSafetyHistory[Month],"&gt;="&amp;EDATE($E122,-12),tblSafetyHistory[Month],"&lt;"&amp;cfg_YearStart))/(SUMIFS(tblSafety[Hours_Total],tblSafety[Date],"&gt;="&amp;EDATE($E122,-12),tblSafety[Date],"&lt;="&amp;$A122)+SUMIFS(tblSafetyHistory[Hours_Total],tblSafetyHistory[Month],"&gt;="&amp;EDATE($E122,-12),tblSafetyHistory[Month],"&lt;"&amp;cfg_YearStart))*1000000,"")</f>
        <v/>
      </c>
      <c r="HG122" s="56">
        <f>IFERROR((SUMIFS(tblSafety[LTI],tblSafety[Date],"&gt;="&amp;EDATE($E122,-12),tblSafety[Date],"&lt;="&amp;$A122)+SUMIFS(tblSafetyHistory[LTI],tblSafetyHistory[Month],"&gt;="&amp;EDATE($E122,-12),tblSafetyHistory[Month],"&lt;"&amp;cfg_YearStart))/(SUMIFS(tblSafety[Hours_Total],tblSafety[Date],"&gt;="&amp;EDATE($E122,-12),tblSafety[Date],"&lt;="&amp;$A122)+SUMIFS(tblSafetyHistory[Hours_Total],tblSafetyHistory[Month],"&gt;="&amp;EDATE($E122,-12),tblSafetyHistory[Month],"&lt;"&amp;cfg_YearStart))*1000000,"")</f>
        <v/>
      </c>
      <c r="HH122" s="62">
        <f>IF(MAX(N(cfg_PriorLTIDate),_xlfn.MAXIFS(tblSafety[Date],tblSafety[LTI],"&gt;0",tblSafety[Date],"&lt;="&amp;$A122))=0,"",$A122-MAX(N(cfg_PriorLTIDate),_xlfn.MAXIFS(tblSafety[Date],tblSafety[LTI],"&gt;0",tblSafety[Date],"&lt;="&amp;$A122)))</f>
        <v/>
      </c>
      <c r="HI122" s="55">
        <f>SUMIFS(tblBudget[Ore_Mined_t],tblBudget[Month],$E122)</f>
        <v/>
      </c>
      <c r="HJ122" s="55">
        <f>$HI122*$C122/$D122</f>
        <v/>
      </c>
      <c r="HK122" s="55">
        <f>SUMIFS(tblBudget[Ore_Mined_t],tblBudget[Month],"&lt;"&amp;$E122)+$HJ122</f>
        <v/>
      </c>
      <c r="HL122" s="55">
        <f>SUMIFS(tblBudget[Ore_oz],tblBudget[Month],$E122)</f>
        <v/>
      </c>
      <c r="HM122" s="55">
        <f>$HL122*$C122/$D122</f>
        <v/>
      </c>
      <c r="HN122" s="55">
        <f>SUMIFS(tblBudget[Ore_oz],tblBudget[Month],"&lt;"&amp;$E122)+$HM122</f>
        <v/>
      </c>
      <c r="HO122" s="56">
        <f>IFERROR(IF(($HI122)&gt;0,($HL122*cfg_TroyOz)/($HI122),""),"")</f>
        <v/>
      </c>
      <c r="HP122" s="56">
        <f>IFERROR(IF(($HJ122)&gt;0,($HM122*cfg_TroyOz)/($HJ122),""),"")</f>
        <v/>
      </c>
      <c r="HQ122" s="56">
        <f>IFERROR(IF(($HK122)&gt;0,($HN122*cfg_TroyOz)/($HK122),""),"")</f>
        <v/>
      </c>
      <c r="HR122" s="55">
        <f>SUMIFS(tblBudget[Waste_t],tblBudget[Month],$E122)</f>
        <v/>
      </c>
      <c r="HS122" s="55">
        <f>$HR122*$C122/$D122</f>
        <v/>
      </c>
      <c r="HT122" s="55">
        <f>SUMIFS(tblBudget[Waste_t],tblBudget[Month],"&lt;"&amp;$E122)+$HS122</f>
        <v/>
      </c>
      <c r="HU122" s="55">
        <f>SUMIFS(tblBudget[TMM_t],tblBudget[Month],$E122)</f>
        <v/>
      </c>
      <c r="HV122" s="55">
        <f>$HU122*$C122/$D122</f>
        <v/>
      </c>
      <c r="HW122" s="55">
        <f>SUMIFS(tblBudget[TMM_t],tblBudget[Month],"&lt;"&amp;$E122)+$HV122</f>
        <v/>
      </c>
      <c r="HX122" s="56">
        <f>IFERROR(IF(($HI122)&gt;0,($HR122)/($HI122),""),"")</f>
        <v/>
      </c>
      <c r="HY122" s="56">
        <f>IFERROR(IF(($HJ122)&gt;0,($HS122)/($HJ122),""),"")</f>
        <v/>
      </c>
      <c r="HZ122" s="56">
        <f>IFERROR(IF(($HK122)&gt;0,($HT122)/($HK122),""),"")</f>
        <v/>
      </c>
      <c r="IA122" s="55">
        <f>SUMIFS(tblBudget[Drill_m],tblBudget[Month],$E122)</f>
        <v/>
      </c>
      <c r="IB122" s="55">
        <f>$IA122*$C122/$D122</f>
        <v/>
      </c>
      <c r="IC122" s="55">
        <f>SUMIFS(tblBudget[Drill_m],tblBudget[Month],"&lt;"&amp;$E122)+$IB122</f>
        <v/>
      </c>
      <c r="ID122" s="55">
        <f>SUMIFS(tblBudget[Diesel_L],tblBudget[Month],$E122)</f>
        <v/>
      </c>
      <c r="IE122" s="55">
        <f>$ID122*$C122/$D122</f>
        <v/>
      </c>
      <c r="IF122" s="55">
        <f>SUMIFS(tblBudget[Diesel_L],tblBudget[Month],"&lt;"&amp;$E122)+$IE122</f>
        <v/>
      </c>
      <c r="IG122" s="55">
        <f>SUMIFS(tblBudget[Milled_t],tblBudget[Month],$E122)</f>
        <v/>
      </c>
      <c r="IH122" s="55">
        <f>$IG122*$C122/$D122</f>
        <v/>
      </c>
      <c r="II122" s="55">
        <f>SUMIFS(tblBudget[Milled_t],tblBudget[Month],"&lt;"&amp;$E122)+$IH122</f>
        <v/>
      </c>
      <c r="IJ122" s="55">
        <f>SUMIFS(tblBudget[Feed_oz],tblBudget[Month],$E122)</f>
        <v/>
      </c>
      <c r="IK122" s="55">
        <f>$IJ122*$C122/$D122</f>
        <v/>
      </c>
      <c r="IL122" s="55">
        <f>SUMIFS(tblBudget[Feed_oz],tblBudget[Month],"&lt;"&amp;$E122)+$IK122</f>
        <v/>
      </c>
      <c r="IM122" s="55">
        <f>SUMIFS(tblBudget[Recovered_oz],tblBudget[Month],$E122)</f>
        <v/>
      </c>
      <c r="IN122" s="55">
        <f>$IM122*$C122/$D122</f>
        <v/>
      </c>
      <c r="IO122" s="55">
        <f>SUMIFS(tblBudget[Recovered_oz],tblBudget[Month],"&lt;"&amp;$E122)+$IN122</f>
        <v/>
      </c>
      <c r="IP122" s="56">
        <f>IFERROR(IF(($IG122)&gt;0,($IJ122*cfg_TroyOz)/($IG122),""),"")</f>
        <v/>
      </c>
      <c r="IQ122" s="56">
        <f>IFERROR(IF(($IH122)&gt;0,($IK122*cfg_TroyOz)/($IH122),""),"")</f>
        <v/>
      </c>
      <c r="IR122" s="56">
        <f>IFERROR(IF(($II122)&gt;0,($IL122*cfg_TroyOz)/($II122),""),"")</f>
        <v/>
      </c>
      <c r="IS122" s="67">
        <f>IFERROR(IF(($IJ122)&gt;0,($IM122)/($IJ122),""),"")</f>
        <v/>
      </c>
      <c r="IT122" s="67">
        <f>IFERROR(IF(($IK122)&gt;0,($IN122)/($IK122),""),"")</f>
        <v/>
      </c>
      <c r="IU122" s="67">
        <f>IFERROR(IF(($IL122)&gt;0,($IO122)/($IL122),""),"")</f>
        <v/>
      </c>
      <c r="IV122" s="55">
        <f>SUMIFS(tblBudget[Gold_Poured_oz],tblBudget[Month],$E122)</f>
        <v/>
      </c>
      <c r="IW122" s="55">
        <f>$IV122*$C122/$D122</f>
        <v/>
      </c>
      <c r="IX122" s="55">
        <f>SUMIFS(tblBudget[Gold_Poured_oz],tblBudget[Month],"&lt;"&amp;$E122)+$IW122</f>
        <v/>
      </c>
      <c r="IY122" s="57">
        <f>SUMIFS(tblBudget[Hours_Worked],tblBudget[Month],$E122)</f>
        <v/>
      </c>
      <c r="IZ122" s="57">
        <f>$IY122*$C122/$D122</f>
        <v/>
      </c>
      <c r="JA122" s="57">
        <f>SUMIFS(tblBudget[Hours_Worked],tblBudget[Month],"&lt;"&amp;$E122)+$IZ122</f>
        <v/>
      </c>
    </row>
    <row r="123">
      <c r="A123" s="54" t="n">
        <v>46144</v>
      </c>
      <c r="B123">
        <f>MONTH($A123)</f>
        <v/>
      </c>
      <c r="C123">
        <f>DAY($A123)</f>
        <v/>
      </c>
      <c r="D123">
        <f>DAY(EOMONTH($A123,0))</f>
        <v/>
      </c>
      <c r="E123" s="54">
        <f>DATE(YEAR($A123),MONTH($A123),1)</f>
        <v/>
      </c>
      <c r="F123" s="55">
        <f>SUMIFS(tblMovement[Tonnes_t],tblMovement[Date],$A123,tblMovement[Is_Ore],1,tblMovement[Source_Type],"Pit")</f>
        <v/>
      </c>
      <c r="G123" s="55">
        <f>IF($B123=$B122,$G122,0)+$F123</f>
        <v/>
      </c>
      <c r="H123" s="55">
        <f>$H122+$F123</f>
        <v/>
      </c>
      <c r="I123" s="55">
        <f>SUMIFS(tblMovement[Ore_oz],tblMovement[Date],$A123,tblMovement[Source_Type],"Pit")</f>
        <v/>
      </c>
      <c r="J123" s="55">
        <f>IF($B123=$B122,$J122,0)+$I123</f>
        <v/>
      </c>
      <c r="K123" s="55">
        <f>$K122+$I123</f>
        <v/>
      </c>
      <c r="L123" s="56">
        <f>IFERROR(IF(($F123)&gt;0,($I123*cfg_TroyOz)/($F123),""),"")</f>
        <v/>
      </c>
      <c r="M123" s="56">
        <f>IFERROR(IF(($G123)&gt;0,($J123*cfg_TroyOz)/($G123),""),"")</f>
        <v/>
      </c>
      <c r="N123" s="56">
        <f>IFERROR(IF(($H123)&gt;0,($K123*cfg_TroyOz)/($H123),""),"")</f>
        <v/>
      </c>
      <c r="O123" s="55">
        <f>SUMIFS(tblMovement[Tonnes_t],tblMovement[Date],$A123,tblMovement[Is_Ore],0,tblMovement[Source_Type],"Pit")</f>
        <v/>
      </c>
      <c r="P123" s="55">
        <f>IF($B123=$B122,$P122,0)+$O123</f>
        <v/>
      </c>
      <c r="Q123" s="55">
        <f>$Q122+$O123</f>
        <v/>
      </c>
      <c r="R123" s="55">
        <f>$F123+$O123</f>
        <v/>
      </c>
      <c r="S123" s="55">
        <f>IF($B123=$B122,$S122,0)+$R123</f>
        <v/>
      </c>
      <c r="T123" s="55">
        <f>$T122+$R123</f>
        <v/>
      </c>
      <c r="U123" s="56">
        <f>IFERROR(IF(($F123)&gt;0,($O123)/($F123),""),"")</f>
        <v/>
      </c>
      <c r="V123" s="56">
        <f>IFERROR(IF(($G123)&gt;0,($P123)/($G123),""),"")</f>
        <v/>
      </c>
      <c r="W123" s="56">
        <f>IFERROR(IF(($H123)&gt;0,($Q123)/($H123),""),"")</f>
        <v/>
      </c>
      <c r="X123" s="55">
        <f>SUMIFS(tblMovement[Tonnes_t],tblMovement[Date],$A123,tblMovement[Source_Type],"Stockpile")</f>
        <v/>
      </c>
      <c r="Y123" s="55">
        <f>IF($B123=$B122,$Y122,0)+$X123</f>
        <v/>
      </c>
      <c r="Z123" s="55">
        <f>$Z122+$X123</f>
        <v/>
      </c>
      <c r="AA123" s="55">
        <f>SUMIFS(tblMiningDaily[Drill_m],tblMiningDaily[Date],$A123)</f>
        <v/>
      </c>
      <c r="AB123" s="55">
        <f>IF($B123=$B122,$AB122,0)+$AA123</f>
        <v/>
      </c>
      <c r="AC123" s="55">
        <f>$AC122+$AA123</f>
        <v/>
      </c>
      <c r="AD123" s="55">
        <f>SUMIFS(tblMiningDaily[Blast_t],tblMiningDaily[Date],$A123)</f>
        <v/>
      </c>
      <c r="AE123" s="55">
        <f>IF($B123=$B122,$AE122,0)+$AD123</f>
        <v/>
      </c>
      <c r="AF123" s="55">
        <f>$AF122+$AD123</f>
        <v/>
      </c>
      <c r="AG123" s="55">
        <f>SUMIFS(tblMiningDaily[Explosives_kg],tblMiningDaily[Date],$A123)</f>
        <v/>
      </c>
      <c r="AH123" s="55">
        <f>IF($B123=$B122,$AH122,0)+$AG123</f>
        <v/>
      </c>
      <c r="AI123" s="55">
        <f>$AI122+$AG123</f>
        <v/>
      </c>
      <c r="AJ123" s="56">
        <f>IFERROR(IF(($AD123)&gt;0,($AG123)/($AD123),""),"")</f>
        <v/>
      </c>
      <c r="AK123" s="56">
        <f>IFERROR(IF(($AE123)&gt;0,($AH123)/($AE123),""),"")</f>
        <v/>
      </c>
      <c r="AL123" s="56">
        <f>IFERROR(IF(($AF123)&gt;0,($AI123)/($AF123),""),"")</f>
        <v/>
      </c>
      <c r="AM123" s="55">
        <f>SUMIFS(tblMiningDaily[Diesel_L],tblMiningDaily[Date],$A123)</f>
        <v/>
      </c>
      <c r="AN123" s="55">
        <f>IF($B123=$B122,$AN122,0)+$AM123</f>
        <v/>
      </c>
      <c r="AO123" s="55">
        <f>$AO122+$AM123</f>
        <v/>
      </c>
      <c r="AP123" s="55">
        <f>SUMIFS(tblMiningDaily[Dewatering_m3],tblMiningDaily[Date],$A123)</f>
        <v/>
      </c>
      <c r="AQ123" s="55">
        <f>IF($B123=$B122,$AQ122,0)+$AP123</f>
        <v/>
      </c>
      <c r="AR123" s="55">
        <f>$AR122+$AP123</f>
        <v/>
      </c>
      <c r="AS123" s="57">
        <f>SUMIFS(tblFleet[Calendar_h],tblFleet[Date],$A123,tblFleet[Equipment_Class],"Excavator")</f>
        <v/>
      </c>
      <c r="AT123" s="57">
        <f>IF($B123=$B122,$AT122,0)+$AS123</f>
        <v/>
      </c>
      <c r="AU123" s="57">
        <f>$AU122+$AS123</f>
        <v/>
      </c>
      <c r="AV123" s="57">
        <f>SUMIFS(tblFleet[Available_h],tblFleet[Date],$A123,tblFleet[Equipment_Class],"Excavator")</f>
        <v/>
      </c>
      <c r="AW123" s="57">
        <f>IF($B123=$B122,$AW122,0)+$AV123</f>
        <v/>
      </c>
      <c r="AX123" s="57">
        <f>$AX122+$AV123</f>
        <v/>
      </c>
      <c r="AY123" s="57">
        <f>SUMIFS(tblFleet[Operating_h],tblFleet[Date],$A123,tblFleet[Equipment_Class],"Excavator")</f>
        <v/>
      </c>
      <c r="AZ123" s="57">
        <f>IF($B123=$B122,$AZ122,0)+$AY123</f>
        <v/>
      </c>
      <c r="BA123" s="57">
        <f>$BA122+$AY123</f>
        <v/>
      </c>
      <c r="BB123" s="67">
        <f>IFERROR(IF(($AS123)&gt;0,($AV123)/($AS123),""),"")</f>
        <v/>
      </c>
      <c r="BC123" s="67">
        <f>IFERROR(IF(($AT123)&gt;0,($AW123)/($AT123),""),"")</f>
        <v/>
      </c>
      <c r="BD123" s="67">
        <f>IFERROR(IF(($AU123)&gt;0,($AX123)/($AU123),""),"")</f>
        <v/>
      </c>
      <c r="BE123" s="67">
        <f>IFERROR(IF(($AV123)&gt;0,($AY123)/($AV123),""),"")</f>
        <v/>
      </c>
      <c r="BF123" s="67">
        <f>IFERROR(IF(($AW123)&gt;0,($AZ123)/($AW123),""),"")</f>
        <v/>
      </c>
      <c r="BG123" s="67">
        <f>IFERROR(IF(($AX123)&gt;0,($BA123)/($AX123),""),"")</f>
        <v/>
      </c>
      <c r="BH123" s="57">
        <f>SUMIFS(tblFleet[Calendar_h],tblFleet[Date],$A123,tblFleet[Equipment_Class],"Haul Truck")</f>
        <v/>
      </c>
      <c r="BI123" s="57">
        <f>IF($B123=$B122,$BI122,0)+$BH123</f>
        <v/>
      </c>
      <c r="BJ123" s="57">
        <f>$BJ122+$BH123</f>
        <v/>
      </c>
      <c r="BK123" s="57">
        <f>SUMIFS(tblFleet[Available_h],tblFleet[Date],$A123,tblFleet[Equipment_Class],"Haul Truck")</f>
        <v/>
      </c>
      <c r="BL123" s="57">
        <f>IF($B123=$B122,$BL122,0)+$BK123</f>
        <v/>
      </c>
      <c r="BM123" s="57">
        <f>$BM122+$BK123</f>
        <v/>
      </c>
      <c r="BN123" s="57">
        <f>SUMIFS(tblFleet[Operating_h],tblFleet[Date],$A123,tblFleet[Equipment_Class],"Haul Truck")</f>
        <v/>
      </c>
      <c r="BO123" s="57">
        <f>IF($B123=$B122,$BO122,0)+$BN123</f>
        <v/>
      </c>
      <c r="BP123" s="57">
        <f>$BP122+$BN123</f>
        <v/>
      </c>
      <c r="BQ123" s="67">
        <f>IFERROR(IF(($BH123)&gt;0,($BK123)/($BH123),""),"")</f>
        <v/>
      </c>
      <c r="BR123" s="67">
        <f>IFERROR(IF(($BI123)&gt;0,($BL123)/($BI123),""),"")</f>
        <v/>
      </c>
      <c r="BS123" s="67">
        <f>IFERROR(IF(($BJ123)&gt;0,($BM123)/($BJ123),""),"")</f>
        <v/>
      </c>
      <c r="BT123" s="67">
        <f>IFERROR(IF(($BK123)&gt;0,($BN123)/($BK123),""),"")</f>
        <v/>
      </c>
      <c r="BU123" s="67">
        <f>IFERROR(IF(($BL123)&gt;0,($BO123)/($BL123),""),"")</f>
        <v/>
      </c>
      <c r="BV123" s="67">
        <f>IFERROR(IF(($BM123)&gt;0,($BP123)/($BM123),""),"")</f>
        <v/>
      </c>
      <c r="BW123" s="55">
        <f>SUMIFS(tblPlant[Crushed_t],tblPlant[Date],$A123)</f>
        <v/>
      </c>
      <c r="BX123" s="55">
        <f>IF($B123=$B122,$BX122,0)+$BW123</f>
        <v/>
      </c>
      <c r="BY123" s="55">
        <f>$BY122+$BW123</f>
        <v/>
      </c>
      <c r="BZ123" s="55">
        <f>SUMIFS(tblPlant[Milled_t],tblPlant[Date],$A123)</f>
        <v/>
      </c>
      <c r="CA123" s="55">
        <f>IF($B123=$B122,$CA122,0)+$BZ123</f>
        <v/>
      </c>
      <c r="CB123" s="55">
        <f>$CB122+$BZ123</f>
        <v/>
      </c>
      <c r="CC123" s="55">
        <f>SUMIFS(tblPlant[Feed_oz],tblPlant[Date],$A123)</f>
        <v/>
      </c>
      <c r="CD123" s="55">
        <f>IF($B123=$B122,$CD122,0)+$CC123</f>
        <v/>
      </c>
      <c r="CE123" s="55">
        <f>$CE122+$CC123</f>
        <v/>
      </c>
      <c r="CF123" s="55">
        <f>SUMIFS(tblPlant[Tails_oz],tblPlant[Date],$A123)</f>
        <v/>
      </c>
      <c r="CG123" s="55">
        <f>IF($B123=$B122,$CG122,0)+$CF123</f>
        <v/>
      </c>
      <c r="CH123" s="55">
        <f>$CH122+$CF123</f>
        <v/>
      </c>
      <c r="CI123" s="55">
        <f>SUMIFS(tblPlant[Recovered_oz],tblPlant[Date],$A123)</f>
        <v/>
      </c>
      <c r="CJ123" s="55">
        <f>IF($B123=$B122,$CJ122,0)+$CI123</f>
        <v/>
      </c>
      <c r="CK123" s="55">
        <f>$CK122+$CI123</f>
        <v/>
      </c>
      <c r="CL123" s="56">
        <f>IFERROR(IF(($BZ123)&gt;0,($CC123*cfg_TroyOz)/($BZ123),""),"")</f>
        <v/>
      </c>
      <c r="CM123" s="56">
        <f>IFERROR(IF(($CA123)&gt;0,($CD123*cfg_TroyOz)/($CA123),""),"")</f>
        <v/>
      </c>
      <c r="CN123" s="56">
        <f>IFERROR(IF(($CB123)&gt;0,($CE123*cfg_TroyOz)/($CB123),""),"")</f>
        <v/>
      </c>
      <c r="CO123" s="56">
        <f>IFERROR(IF(($BZ123)&gt;0,($CF123*cfg_TroyOz)/($BZ123),""),"")</f>
        <v/>
      </c>
      <c r="CP123" s="56">
        <f>IFERROR(IF(($CA123)&gt;0,($CG123*cfg_TroyOz)/($CA123),""),"")</f>
        <v/>
      </c>
      <c r="CQ123" s="56">
        <f>IFERROR(IF(($CB123)&gt;0,($CH123*cfg_TroyOz)/($CB123),""),"")</f>
        <v/>
      </c>
      <c r="CR123" s="67">
        <f>IFERROR(IF(($CC123)&gt;0,($CI123)/($CC123),""),"")</f>
        <v/>
      </c>
      <c r="CS123" s="67">
        <f>IFERROR(IF(($CD123)&gt;0,($CJ123)/($CD123),""),"")</f>
        <v/>
      </c>
      <c r="CT123" s="67">
        <f>IFERROR(IF(($CE123)&gt;0,($CK123)/($CE123),""),"")</f>
        <v/>
      </c>
      <c r="CU123" s="55">
        <f>SUMIFS(tblPlant[Gravity_Gold_oz],tblPlant[Date],$A123)</f>
        <v/>
      </c>
      <c r="CV123" s="55">
        <f>IF($B123=$B122,$CV122,0)+$CU123</f>
        <v/>
      </c>
      <c r="CW123" s="55">
        <f>$CW122+$CU123</f>
        <v/>
      </c>
      <c r="CX123" s="55">
        <f>SUMIFS(tblPlant[Gold_Poured_oz],tblPlant[Date],$A123)</f>
        <v/>
      </c>
      <c r="CY123" s="55">
        <f>IF($B123=$B122,$CY122,0)+$CX123</f>
        <v/>
      </c>
      <c r="CZ123" s="55">
        <f>$CZ122+$CX123</f>
        <v/>
      </c>
      <c r="DA123" s="57">
        <f>SUMIFS(tblPlant[Mill_Run_h],tblPlant[Date],$A123)</f>
        <v/>
      </c>
      <c r="DB123" s="57">
        <f>IF($B123=$B122,$DB122,0)+$DA123</f>
        <v/>
      </c>
      <c r="DC123" s="57">
        <f>$DC122+$DA123</f>
        <v/>
      </c>
      <c r="DD123" s="57">
        <f>SUMIFS(tblPlant[Mill_Planned_Maint_h],tblPlant[Date],$A123)</f>
        <v/>
      </c>
      <c r="DE123" s="57">
        <f>IF($B123=$B122,$DE122,0)+$DD123</f>
        <v/>
      </c>
      <c r="DF123" s="57">
        <f>$DF122+$DD123</f>
        <v/>
      </c>
      <c r="DG123" s="57">
        <f>SUMIFS(tblPlant[Mill_Unplanned_Down_h],tblPlant[Date],$A123)</f>
        <v/>
      </c>
      <c r="DH123" s="57">
        <f>IF($B123=$B122,$DH122,0)+$DG123</f>
        <v/>
      </c>
      <c r="DI123" s="57">
        <f>$DI122+$DG123</f>
        <v/>
      </c>
      <c r="DJ123" s="57">
        <f>COUNTIFS(tblPlant[Date],$A123,tblPlant[Mill_Run_h],"&lt;&gt;")*24</f>
        <v/>
      </c>
      <c r="DK123" s="57">
        <f>IF($B123=$B122,$DK122,0)+$DJ123</f>
        <v/>
      </c>
      <c r="DL123" s="57">
        <f>$DL122+$DJ123</f>
        <v/>
      </c>
      <c r="DM123" s="57">
        <f>SUMIFS(tblPlant[Crusher_Run_h],tblPlant[Date],$A123)</f>
        <v/>
      </c>
      <c r="DN123" s="57">
        <f>IF($B123=$B122,$DN122,0)+$DM123</f>
        <v/>
      </c>
      <c r="DO123" s="57">
        <f>$DO122+$DM123</f>
        <v/>
      </c>
      <c r="DP123" s="55">
        <f>IFERROR(IF(($DA123)&gt;0,($BZ123)/($DA123),""),"")</f>
        <v/>
      </c>
      <c r="DQ123" s="55">
        <f>IFERROR(IF(($DB123)&gt;0,($CA123)/($DB123),""),"")</f>
        <v/>
      </c>
      <c r="DR123" s="55">
        <f>IFERROR(IF(($DC123)&gt;0,($CB123)/($DC123),""),"")</f>
        <v/>
      </c>
      <c r="DS123" s="67">
        <f>IFERROR(IF(($DJ123)&gt;0,($DJ123-$DD123-$DG123)/($DJ123),""),"")</f>
        <v/>
      </c>
      <c r="DT123" s="67">
        <f>IFERROR(IF(($DK123)&gt;0,($DK123-$DE123-$DH123)/($DK123),""),"")</f>
        <v/>
      </c>
      <c r="DU123" s="67">
        <f>IFERROR(IF(($DL123)&gt;0,($DL123-$DF123-$DI123)/($DL123),""),"")</f>
        <v/>
      </c>
      <c r="DV123" s="67">
        <f>IFERROR(IF(($DJ123-$DD123-$DG123)&gt;0,($DA123)/($DJ123-$DD123-$DG123),""),"")</f>
        <v/>
      </c>
      <c r="DW123" s="67">
        <f>IFERROR(IF(($DK123-$DE123-$DH123)&gt;0,($DB123)/($DK123-$DE123-$DH123),""),"")</f>
        <v/>
      </c>
      <c r="DX123" s="67">
        <f>IFERROR(IF(($DL123-$DF123-$DI123)&gt;0,($DC123)/($DL123-$DF123-$DI123),""),"")</f>
        <v/>
      </c>
      <c r="DY123" s="55">
        <f>SUMIFS(tblPlant[Cyanide_kg],tblPlant[Date],$A123)</f>
        <v/>
      </c>
      <c r="DZ123" s="55">
        <f>IF($B123=$B122,$DZ122,0)+$DY123</f>
        <v/>
      </c>
      <c r="EA123" s="55">
        <f>$EA122+$DY123</f>
        <v/>
      </c>
      <c r="EB123" s="55">
        <f>SUMIFS(tblPlant[Lime_kg],tblPlant[Date],$A123)</f>
        <v/>
      </c>
      <c r="EC123" s="55">
        <f>IF($B123=$B122,$EC122,0)+$EB123</f>
        <v/>
      </c>
      <c r="ED123" s="55">
        <f>$ED122+$EB123</f>
        <v/>
      </c>
      <c r="EE123" s="55">
        <f>SUMIFS(tblPlant[Grinding_Media_kg],tblPlant[Date],$A123)</f>
        <v/>
      </c>
      <c r="EF123" s="55">
        <f>IF($B123=$B122,$EF122,0)+$EE123</f>
        <v/>
      </c>
      <c r="EG123" s="55">
        <f>$EG122+$EE123</f>
        <v/>
      </c>
      <c r="EH123" s="55">
        <f>SUMIFS(tblPlant[Power_kWh],tblPlant[Date],$A123)</f>
        <v/>
      </c>
      <c r="EI123" s="55">
        <f>IF($B123=$B122,$EI122,0)+$EH123</f>
        <v/>
      </c>
      <c r="EJ123" s="55">
        <f>$EJ122+$EH123</f>
        <v/>
      </c>
      <c r="EK123" s="55">
        <f>SUMIFS(tblPlant[Raw_Water_m3],tblPlant[Date],$A123)</f>
        <v/>
      </c>
      <c r="EL123" s="55">
        <f>IF($B123=$B122,$EL122,0)+$EK123</f>
        <v/>
      </c>
      <c r="EM123" s="55">
        <f>$EM122+$EK123</f>
        <v/>
      </c>
      <c r="EN123" s="56">
        <f>IFERROR(IF(($BZ123)&gt;0,($DY123)/($BZ123),""),"")</f>
        <v/>
      </c>
      <c r="EO123" s="56">
        <f>IFERROR(IF(($CA123)&gt;0,($DZ123)/($CA123),""),"")</f>
        <v/>
      </c>
      <c r="EP123" s="56">
        <f>IFERROR(IF(($CB123)&gt;0,($EA123)/($CB123),""),"")</f>
        <v/>
      </c>
      <c r="EQ123" s="56">
        <f>IFERROR(IF(($BZ123)&gt;0,($EB123)/($BZ123),""),"")</f>
        <v/>
      </c>
      <c r="ER123" s="56">
        <f>IFERROR(IF(($CA123)&gt;0,($EC123)/($CA123),""),"")</f>
        <v/>
      </c>
      <c r="ES123" s="56">
        <f>IFERROR(IF(($CB123)&gt;0,($ED123)/($CB123),""),"")</f>
        <v/>
      </c>
      <c r="ET123" s="56">
        <f>IFERROR(IF(($BZ123)&gt;0,($EE123)/($BZ123),""),"")</f>
        <v/>
      </c>
      <c r="EU123" s="56">
        <f>IFERROR(IF(($CA123)&gt;0,($EF123)/($CA123),""),"")</f>
        <v/>
      </c>
      <c r="EV123" s="56">
        <f>IFERROR(IF(($CB123)&gt;0,($EG123)/($CB123),""),"")</f>
        <v/>
      </c>
      <c r="EW123" s="76">
        <f>IFERROR(IF(($BZ123)&gt;0,($EH123)/($BZ123),""),"")</f>
        <v/>
      </c>
      <c r="EX123" s="76">
        <f>IFERROR(IF(($CA123)&gt;0,($EI123)/($CA123),""),"")</f>
        <v/>
      </c>
      <c r="EY123" s="76">
        <f>IFERROR(IF(($CB123)&gt;0,($EJ123)/($CB123),""),"")</f>
        <v/>
      </c>
      <c r="EZ123" s="56">
        <f>IFERROR(IF(($BZ123)&gt;0,($EK123)/($BZ123),""),"")</f>
        <v/>
      </c>
      <c r="FA123" s="56">
        <f>IFERROR(IF(($CA123)&gt;0,($EL123)/($CA123),""),"")</f>
        <v/>
      </c>
      <c r="FB123" s="56">
        <f>IFERROR(IF(($CB123)&gt;0,($EM123)/($CB123),""),"")</f>
        <v/>
      </c>
      <c r="FC123" s="55">
        <f>IF(SUMIFS(tblPlant[GIC_oz],tblPlant[Date],$A123)&gt;0,SUMIFS(tblPlant[GIC_oz],tblPlant[Date],$A123),"")</f>
        <v/>
      </c>
      <c r="FD123" s="55">
        <f>SUMIFS(tblGold[Gold_oz],tblGold[Date],$A123,tblGold[Type],"Shipment")</f>
        <v/>
      </c>
      <c r="FE123" s="55">
        <f>IF($B123=$B122,$FE122,0)+$FD123</f>
        <v/>
      </c>
      <c r="FF123" s="55">
        <f>$FF122+$FD123</f>
        <v/>
      </c>
      <c r="FG123" s="55">
        <f>SUMIFS(tblGold[Gold_oz],tblGold[Date],$A123,tblGold[Type],"Sale")</f>
        <v/>
      </c>
      <c r="FH123" s="55">
        <f>IF($B123=$B122,$FH122,0)+$FG123</f>
        <v/>
      </c>
      <c r="FI123" s="55">
        <f>$FI122+$FG123</f>
        <v/>
      </c>
      <c r="FJ123" s="55">
        <f>SUMIFS(tblGold[Dore_kg],tblGold[Date],$A123,tblGold[Type],"Shipment")</f>
        <v/>
      </c>
      <c r="FK123" s="55">
        <f>IF($B123=$B122,$FK122,0)+$FJ123</f>
        <v/>
      </c>
      <c r="FL123" s="55">
        <f>$FL122+$FJ123</f>
        <v/>
      </c>
      <c r="FM123" s="57">
        <f>SUMIFS(tblSafety[Hours_Total],tblSafety[Date],$A123)</f>
        <v/>
      </c>
      <c r="FN123" s="57">
        <f>IF($B123=$B122,$FN122,0)+$FM123</f>
        <v/>
      </c>
      <c r="FO123" s="57">
        <f>$FO122+$FM123</f>
        <v/>
      </c>
      <c r="FP123" s="62">
        <f>SUMIFS(tblSafety[Fatality],tblSafety[Date],$A123)</f>
        <v/>
      </c>
      <c r="FQ123" s="62">
        <f>IF($B123=$B122,$FQ122,0)+$FP123</f>
        <v/>
      </c>
      <c r="FR123" s="62">
        <f>$FR122+$FP123</f>
        <v/>
      </c>
      <c r="FS123" s="62">
        <f>SUMIFS(tblSafety[LTI],tblSafety[Date],$A123)</f>
        <v/>
      </c>
      <c r="FT123" s="62">
        <f>IF($B123=$B122,$FT122,0)+$FS123</f>
        <v/>
      </c>
      <c r="FU123" s="62">
        <f>$FU122+$FS123</f>
        <v/>
      </c>
      <c r="FV123" s="62">
        <f>SUMIFS(tblSafety[RWI],tblSafety[Date],$A123)</f>
        <v/>
      </c>
      <c r="FW123" s="62">
        <f>IF($B123=$B122,$FW122,0)+$FV123</f>
        <v/>
      </c>
      <c r="FX123" s="62">
        <f>$FX122+$FV123</f>
        <v/>
      </c>
      <c r="FY123" s="62">
        <f>SUMIFS(tblSafety[MTI],tblSafety[Date],$A123)</f>
        <v/>
      </c>
      <c r="FZ123" s="62">
        <f>IF($B123=$B122,$FZ122,0)+$FY123</f>
        <v/>
      </c>
      <c r="GA123" s="62">
        <f>$GA122+$FY123</f>
        <v/>
      </c>
      <c r="GB123" s="62">
        <f>SUMIFS(tblSafety[FAI],tblSafety[Date],$A123)</f>
        <v/>
      </c>
      <c r="GC123" s="62">
        <f>IF($B123=$B122,$GC122,0)+$GB123</f>
        <v/>
      </c>
      <c r="GD123" s="62">
        <f>$GD122+$GB123</f>
        <v/>
      </c>
      <c r="GE123" s="62">
        <f>SUMIFS(tblSafety[Recordables],tblSafety[Date],$A123)</f>
        <v/>
      </c>
      <c r="GF123" s="62">
        <f>IF($B123=$B122,$GF122,0)+$GE123</f>
        <v/>
      </c>
      <c r="GG123" s="62">
        <f>$GG122+$GE123</f>
        <v/>
      </c>
      <c r="GH123" s="62">
        <f>SUMIFS(tblSafety[Near_Miss],tblSafety[Date],$A123)</f>
        <v/>
      </c>
      <c r="GI123" s="62">
        <f>IF($B123=$B122,$GI122,0)+$GH123</f>
        <v/>
      </c>
      <c r="GJ123" s="62">
        <f>$GJ122+$GH123</f>
        <v/>
      </c>
      <c r="GK123" s="62">
        <f>SUMIFS(tblSafety[Hazard_Reports],tblSafety[Date],$A123)</f>
        <v/>
      </c>
      <c r="GL123" s="62">
        <f>IF($B123=$B122,$GL122,0)+$GK123</f>
        <v/>
      </c>
      <c r="GM123" s="62">
        <f>$GM122+$GK123</f>
        <v/>
      </c>
      <c r="GN123" s="62">
        <f>SUMIFS(tblSafety[HPI],tblSafety[Date],$A123)</f>
        <v/>
      </c>
      <c r="GO123" s="62">
        <f>IF($B123=$B122,$GO122,0)+$GN123</f>
        <v/>
      </c>
      <c r="GP123" s="62">
        <f>$GP122+$GN123</f>
        <v/>
      </c>
      <c r="GQ123" s="62">
        <f>SUMIFS(tblSafety[Env_Incidents],tblSafety[Date],$A123)</f>
        <v/>
      </c>
      <c r="GR123" s="62">
        <f>IF($B123=$B122,$GR122,0)+$GQ123</f>
        <v/>
      </c>
      <c r="GS123" s="62">
        <f>$GS122+$GQ123</f>
        <v/>
      </c>
      <c r="GT123" s="62">
        <f>SUMIFS(tblSafety[Community_Incidents],tblSafety[Date],$A123)</f>
        <v/>
      </c>
      <c r="GU123" s="62">
        <f>IF($B123=$B122,$GU122,0)+$GT123</f>
        <v/>
      </c>
      <c r="GV123" s="62">
        <f>$GV122+$GT123</f>
        <v/>
      </c>
      <c r="GW123" s="62">
        <f>SUMIFS(tblSafety[Vehicle_Incidents],tblSafety[Date],$A123)</f>
        <v/>
      </c>
      <c r="GX123" s="62">
        <f>IF($B123=$B122,$GX122,0)+$GW123</f>
        <v/>
      </c>
      <c r="GY123" s="62">
        <f>$GY122+$GW123</f>
        <v/>
      </c>
      <c r="GZ123" s="62">
        <f>SUMIFS(tblSafety[Toolbox_Talks],tblSafety[Date],$A123)</f>
        <v/>
      </c>
      <c r="HA123" s="62">
        <f>IF($B123=$B122,$HA122,0)+$GZ123</f>
        <v/>
      </c>
      <c r="HB123" s="62">
        <f>$HB122+$GZ123</f>
        <v/>
      </c>
      <c r="HC123" s="62">
        <f>SUMIFS(tblSafety[Inspections],tblSafety[Date],$A123)</f>
        <v/>
      </c>
      <c r="HD123" s="62">
        <f>IF($B123=$B122,$HD122,0)+$HC123</f>
        <v/>
      </c>
      <c r="HE123" s="62">
        <f>$HE122+$HC123</f>
        <v/>
      </c>
      <c r="HF123" s="56">
        <f>IFERROR((SUMIFS(tblSafety[Recordables],tblSafety[Date],"&gt;="&amp;EDATE($E123,-12),tblSafety[Date],"&lt;="&amp;$A123)+SUMIFS(tblSafetyHistory[Recordables],tblSafetyHistory[Month],"&gt;="&amp;EDATE($E123,-12),tblSafetyHistory[Month],"&lt;"&amp;cfg_YearStart))/(SUMIFS(tblSafety[Hours_Total],tblSafety[Date],"&gt;="&amp;EDATE($E123,-12),tblSafety[Date],"&lt;="&amp;$A123)+SUMIFS(tblSafetyHistory[Hours_Total],tblSafetyHistory[Month],"&gt;="&amp;EDATE($E123,-12),tblSafetyHistory[Month],"&lt;"&amp;cfg_YearStart))*1000000,"")</f>
        <v/>
      </c>
      <c r="HG123" s="56">
        <f>IFERROR((SUMIFS(tblSafety[LTI],tblSafety[Date],"&gt;="&amp;EDATE($E123,-12),tblSafety[Date],"&lt;="&amp;$A123)+SUMIFS(tblSafetyHistory[LTI],tblSafetyHistory[Month],"&gt;="&amp;EDATE($E123,-12),tblSafetyHistory[Month],"&lt;"&amp;cfg_YearStart))/(SUMIFS(tblSafety[Hours_Total],tblSafety[Date],"&gt;="&amp;EDATE($E123,-12),tblSafety[Date],"&lt;="&amp;$A123)+SUMIFS(tblSafetyHistory[Hours_Total],tblSafetyHistory[Month],"&gt;="&amp;EDATE($E123,-12),tblSafetyHistory[Month],"&lt;"&amp;cfg_YearStart))*1000000,"")</f>
        <v/>
      </c>
      <c r="HH123" s="62">
        <f>IF(MAX(N(cfg_PriorLTIDate),_xlfn.MAXIFS(tblSafety[Date],tblSafety[LTI],"&gt;0",tblSafety[Date],"&lt;="&amp;$A123))=0,"",$A123-MAX(N(cfg_PriorLTIDate),_xlfn.MAXIFS(tblSafety[Date],tblSafety[LTI],"&gt;0",tblSafety[Date],"&lt;="&amp;$A123)))</f>
        <v/>
      </c>
      <c r="HI123" s="55">
        <f>SUMIFS(tblBudget[Ore_Mined_t],tblBudget[Month],$E123)</f>
        <v/>
      </c>
      <c r="HJ123" s="55">
        <f>$HI123*$C123/$D123</f>
        <v/>
      </c>
      <c r="HK123" s="55">
        <f>SUMIFS(tblBudget[Ore_Mined_t],tblBudget[Month],"&lt;"&amp;$E123)+$HJ123</f>
        <v/>
      </c>
      <c r="HL123" s="55">
        <f>SUMIFS(tblBudget[Ore_oz],tblBudget[Month],$E123)</f>
        <v/>
      </c>
      <c r="HM123" s="55">
        <f>$HL123*$C123/$D123</f>
        <v/>
      </c>
      <c r="HN123" s="55">
        <f>SUMIFS(tblBudget[Ore_oz],tblBudget[Month],"&lt;"&amp;$E123)+$HM123</f>
        <v/>
      </c>
      <c r="HO123" s="56">
        <f>IFERROR(IF(($HI123)&gt;0,($HL123*cfg_TroyOz)/($HI123),""),"")</f>
        <v/>
      </c>
      <c r="HP123" s="56">
        <f>IFERROR(IF(($HJ123)&gt;0,($HM123*cfg_TroyOz)/($HJ123),""),"")</f>
        <v/>
      </c>
      <c r="HQ123" s="56">
        <f>IFERROR(IF(($HK123)&gt;0,($HN123*cfg_TroyOz)/($HK123),""),"")</f>
        <v/>
      </c>
      <c r="HR123" s="55">
        <f>SUMIFS(tblBudget[Waste_t],tblBudget[Month],$E123)</f>
        <v/>
      </c>
      <c r="HS123" s="55">
        <f>$HR123*$C123/$D123</f>
        <v/>
      </c>
      <c r="HT123" s="55">
        <f>SUMIFS(tblBudget[Waste_t],tblBudget[Month],"&lt;"&amp;$E123)+$HS123</f>
        <v/>
      </c>
      <c r="HU123" s="55">
        <f>SUMIFS(tblBudget[TMM_t],tblBudget[Month],$E123)</f>
        <v/>
      </c>
      <c r="HV123" s="55">
        <f>$HU123*$C123/$D123</f>
        <v/>
      </c>
      <c r="HW123" s="55">
        <f>SUMIFS(tblBudget[TMM_t],tblBudget[Month],"&lt;"&amp;$E123)+$HV123</f>
        <v/>
      </c>
      <c r="HX123" s="56">
        <f>IFERROR(IF(($HI123)&gt;0,($HR123)/($HI123),""),"")</f>
        <v/>
      </c>
      <c r="HY123" s="56">
        <f>IFERROR(IF(($HJ123)&gt;0,($HS123)/($HJ123),""),"")</f>
        <v/>
      </c>
      <c r="HZ123" s="56">
        <f>IFERROR(IF(($HK123)&gt;0,($HT123)/($HK123),""),"")</f>
        <v/>
      </c>
      <c r="IA123" s="55">
        <f>SUMIFS(tblBudget[Drill_m],tblBudget[Month],$E123)</f>
        <v/>
      </c>
      <c r="IB123" s="55">
        <f>$IA123*$C123/$D123</f>
        <v/>
      </c>
      <c r="IC123" s="55">
        <f>SUMIFS(tblBudget[Drill_m],tblBudget[Month],"&lt;"&amp;$E123)+$IB123</f>
        <v/>
      </c>
      <c r="ID123" s="55">
        <f>SUMIFS(tblBudget[Diesel_L],tblBudget[Month],$E123)</f>
        <v/>
      </c>
      <c r="IE123" s="55">
        <f>$ID123*$C123/$D123</f>
        <v/>
      </c>
      <c r="IF123" s="55">
        <f>SUMIFS(tblBudget[Diesel_L],tblBudget[Month],"&lt;"&amp;$E123)+$IE123</f>
        <v/>
      </c>
      <c r="IG123" s="55">
        <f>SUMIFS(tblBudget[Milled_t],tblBudget[Month],$E123)</f>
        <v/>
      </c>
      <c r="IH123" s="55">
        <f>$IG123*$C123/$D123</f>
        <v/>
      </c>
      <c r="II123" s="55">
        <f>SUMIFS(tblBudget[Milled_t],tblBudget[Month],"&lt;"&amp;$E123)+$IH123</f>
        <v/>
      </c>
      <c r="IJ123" s="55">
        <f>SUMIFS(tblBudget[Feed_oz],tblBudget[Month],$E123)</f>
        <v/>
      </c>
      <c r="IK123" s="55">
        <f>$IJ123*$C123/$D123</f>
        <v/>
      </c>
      <c r="IL123" s="55">
        <f>SUMIFS(tblBudget[Feed_oz],tblBudget[Month],"&lt;"&amp;$E123)+$IK123</f>
        <v/>
      </c>
      <c r="IM123" s="55">
        <f>SUMIFS(tblBudget[Recovered_oz],tblBudget[Month],$E123)</f>
        <v/>
      </c>
      <c r="IN123" s="55">
        <f>$IM123*$C123/$D123</f>
        <v/>
      </c>
      <c r="IO123" s="55">
        <f>SUMIFS(tblBudget[Recovered_oz],tblBudget[Month],"&lt;"&amp;$E123)+$IN123</f>
        <v/>
      </c>
      <c r="IP123" s="56">
        <f>IFERROR(IF(($IG123)&gt;0,($IJ123*cfg_TroyOz)/($IG123),""),"")</f>
        <v/>
      </c>
      <c r="IQ123" s="56">
        <f>IFERROR(IF(($IH123)&gt;0,($IK123*cfg_TroyOz)/($IH123),""),"")</f>
        <v/>
      </c>
      <c r="IR123" s="56">
        <f>IFERROR(IF(($II123)&gt;0,($IL123*cfg_TroyOz)/($II123),""),"")</f>
        <v/>
      </c>
      <c r="IS123" s="67">
        <f>IFERROR(IF(($IJ123)&gt;0,($IM123)/($IJ123),""),"")</f>
        <v/>
      </c>
      <c r="IT123" s="67">
        <f>IFERROR(IF(($IK123)&gt;0,($IN123)/($IK123),""),"")</f>
        <v/>
      </c>
      <c r="IU123" s="67">
        <f>IFERROR(IF(($IL123)&gt;0,($IO123)/($IL123),""),"")</f>
        <v/>
      </c>
      <c r="IV123" s="55">
        <f>SUMIFS(tblBudget[Gold_Poured_oz],tblBudget[Month],$E123)</f>
        <v/>
      </c>
      <c r="IW123" s="55">
        <f>$IV123*$C123/$D123</f>
        <v/>
      </c>
      <c r="IX123" s="55">
        <f>SUMIFS(tblBudget[Gold_Poured_oz],tblBudget[Month],"&lt;"&amp;$E123)+$IW123</f>
        <v/>
      </c>
      <c r="IY123" s="57">
        <f>SUMIFS(tblBudget[Hours_Worked],tblBudget[Month],$E123)</f>
        <v/>
      </c>
      <c r="IZ123" s="57">
        <f>$IY123*$C123/$D123</f>
        <v/>
      </c>
      <c r="JA123" s="57">
        <f>SUMIFS(tblBudget[Hours_Worked],tblBudget[Month],"&lt;"&amp;$E123)+$IZ123</f>
        <v/>
      </c>
    </row>
    <row r="124">
      <c r="A124" s="54" t="n">
        <v>46145</v>
      </c>
      <c r="B124">
        <f>MONTH($A124)</f>
        <v/>
      </c>
      <c r="C124">
        <f>DAY($A124)</f>
        <v/>
      </c>
      <c r="D124">
        <f>DAY(EOMONTH($A124,0))</f>
        <v/>
      </c>
      <c r="E124" s="54">
        <f>DATE(YEAR($A124),MONTH($A124),1)</f>
        <v/>
      </c>
      <c r="F124" s="55">
        <f>SUMIFS(tblMovement[Tonnes_t],tblMovement[Date],$A124,tblMovement[Is_Ore],1,tblMovement[Source_Type],"Pit")</f>
        <v/>
      </c>
      <c r="G124" s="55">
        <f>IF($B124=$B123,$G123,0)+$F124</f>
        <v/>
      </c>
      <c r="H124" s="55">
        <f>$H123+$F124</f>
        <v/>
      </c>
      <c r="I124" s="55">
        <f>SUMIFS(tblMovement[Ore_oz],tblMovement[Date],$A124,tblMovement[Source_Type],"Pit")</f>
        <v/>
      </c>
      <c r="J124" s="55">
        <f>IF($B124=$B123,$J123,0)+$I124</f>
        <v/>
      </c>
      <c r="K124" s="55">
        <f>$K123+$I124</f>
        <v/>
      </c>
      <c r="L124" s="56">
        <f>IFERROR(IF(($F124)&gt;0,($I124*cfg_TroyOz)/($F124),""),"")</f>
        <v/>
      </c>
      <c r="M124" s="56">
        <f>IFERROR(IF(($G124)&gt;0,($J124*cfg_TroyOz)/($G124),""),"")</f>
        <v/>
      </c>
      <c r="N124" s="56">
        <f>IFERROR(IF(($H124)&gt;0,($K124*cfg_TroyOz)/($H124),""),"")</f>
        <v/>
      </c>
      <c r="O124" s="55">
        <f>SUMIFS(tblMovement[Tonnes_t],tblMovement[Date],$A124,tblMovement[Is_Ore],0,tblMovement[Source_Type],"Pit")</f>
        <v/>
      </c>
      <c r="P124" s="55">
        <f>IF($B124=$B123,$P123,0)+$O124</f>
        <v/>
      </c>
      <c r="Q124" s="55">
        <f>$Q123+$O124</f>
        <v/>
      </c>
      <c r="R124" s="55">
        <f>$F124+$O124</f>
        <v/>
      </c>
      <c r="S124" s="55">
        <f>IF($B124=$B123,$S123,0)+$R124</f>
        <v/>
      </c>
      <c r="T124" s="55">
        <f>$T123+$R124</f>
        <v/>
      </c>
      <c r="U124" s="56">
        <f>IFERROR(IF(($F124)&gt;0,($O124)/($F124),""),"")</f>
        <v/>
      </c>
      <c r="V124" s="56">
        <f>IFERROR(IF(($G124)&gt;0,($P124)/($G124),""),"")</f>
        <v/>
      </c>
      <c r="W124" s="56">
        <f>IFERROR(IF(($H124)&gt;0,($Q124)/($H124),""),"")</f>
        <v/>
      </c>
      <c r="X124" s="55">
        <f>SUMIFS(tblMovement[Tonnes_t],tblMovement[Date],$A124,tblMovement[Source_Type],"Stockpile")</f>
        <v/>
      </c>
      <c r="Y124" s="55">
        <f>IF($B124=$B123,$Y123,0)+$X124</f>
        <v/>
      </c>
      <c r="Z124" s="55">
        <f>$Z123+$X124</f>
        <v/>
      </c>
      <c r="AA124" s="55">
        <f>SUMIFS(tblMiningDaily[Drill_m],tblMiningDaily[Date],$A124)</f>
        <v/>
      </c>
      <c r="AB124" s="55">
        <f>IF($B124=$B123,$AB123,0)+$AA124</f>
        <v/>
      </c>
      <c r="AC124" s="55">
        <f>$AC123+$AA124</f>
        <v/>
      </c>
      <c r="AD124" s="55">
        <f>SUMIFS(tblMiningDaily[Blast_t],tblMiningDaily[Date],$A124)</f>
        <v/>
      </c>
      <c r="AE124" s="55">
        <f>IF($B124=$B123,$AE123,0)+$AD124</f>
        <v/>
      </c>
      <c r="AF124" s="55">
        <f>$AF123+$AD124</f>
        <v/>
      </c>
      <c r="AG124" s="55">
        <f>SUMIFS(tblMiningDaily[Explosives_kg],tblMiningDaily[Date],$A124)</f>
        <v/>
      </c>
      <c r="AH124" s="55">
        <f>IF($B124=$B123,$AH123,0)+$AG124</f>
        <v/>
      </c>
      <c r="AI124" s="55">
        <f>$AI123+$AG124</f>
        <v/>
      </c>
      <c r="AJ124" s="56">
        <f>IFERROR(IF(($AD124)&gt;0,($AG124)/($AD124),""),"")</f>
        <v/>
      </c>
      <c r="AK124" s="56">
        <f>IFERROR(IF(($AE124)&gt;0,($AH124)/($AE124),""),"")</f>
        <v/>
      </c>
      <c r="AL124" s="56">
        <f>IFERROR(IF(($AF124)&gt;0,($AI124)/($AF124),""),"")</f>
        <v/>
      </c>
      <c r="AM124" s="55">
        <f>SUMIFS(tblMiningDaily[Diesel_L],tblMiningDaily[Date],$A124)</f>
        <v/>
      </c>
      <c r="AN124" s="55">
        <f>IF($B124=$B123,$AN123,0)+$AM124</f>
        <v/>
      </c>
      <c r="AO124" s="55">
        <f>$AO123+$AM124</f>
        <v/>
      </c>
      <c r="AP124" s="55">
        <f>SUMIFS(tblMiningDaily[Dewatering_m3],tblMiningDaily[Date],$A124)</f>
        <v/>
      </c>
      <c r="AQ124" s="55">
        <f>IF($B124=$B123,$AQ123,0)+$AP124</f>
        <v/>
      </c>
      <c r="AR124" s="55">
        <f>$AR123+$AP124</f>
        <v/>
      </c>
      <c r="AS124" s="57">
        <f>SUMIFS(tblFleet[Calendar_h],tblFleet[Date],$A124,tblFleet[Equipment_Class],"Excavator")</f>
        <v/>
      </c>
      <c r="AT124" s="57">
        <f>IF($B124=$B123,$AT123,0)+$AS124</f>
        <v/>
      </c>
      <c r="AU124" s="57">
        <f>$AU123+$AS124</f>
        <v/>
      </c>
      <c r="AV124" s="57">
        <f>SUMIFS(tblFleet[Available_h],tblFleet[Date],$A124,tblFleet[Equipment_Class],"Excavator")</f>
        <v/>
      </c>
      <c r="AW124" s="57">
        <f>IF($B124=$B123,$AW123,0)+$AV124</f>
        <v/>
      </c>
      <c r="AX124" s="57">
        <f>$AX123+$AV124</f>
        <v/>
      </c>
      <c r="AY124" s="57">
        <f>SUMIFS(tblFleet[Operating_h],tblFleet[Date],$A124,tblFleet[Equipment_Class],"Excavator")</f>
        <v/>
      </c>
      <c r="AZ124" s="57">
        <f>IF($B124=$B123,$AZ123,0)+$AY124</f>
        <v/>
      </c>
      <c r="BA124" s="57">
        <f>$BA123+$AY124</f>
        <v/>
      </c>
      <c r="BB124" s="67">
        <f>IFERROR(IF(($AS124)&gt;0,($AV124)/($AS124),""),"")</f>
        <v/>
      </c>
      <c r="BC124" s="67">
        <f>IFERROR(IF(($AT124)&gt;0,($AW124)/($AT124),""),"")</f>
        <v/>
      </c>
      <c r="BD124" s="67">
        <f>IFERROR(IF(($AU124)&gt;0,($AX124)/($AU124),""),"")</f>
        <v/>
      </c>
      <c r="BE124" s="67">
        <f>IFERROR(IF(($AV124)&gt;0,($AY124)/($AV124),""),"")</f>
        <v/>
      </c>
      <c r="BF124" s="67">
        <f>IFERROR(IF(($AW124)&gt;0,($AZ124)/($AW124),""),"")</f>
        <v/>
      </c>
      <c r="BG124" s="67">
        <f>IFERROR(IF(($AX124)&gt;0,($BA124)/($AX124),""),"")</f>
        <v/>
      </c>
      <c r="BH124" s="57">
        <f>SUMIFS(tblFleet[Calendar_h],tblFleet[Date],$A124,tblFleet[Equipment_Class],"Haul Truck")</f>
        <v/>
      </c>
      <c r="BI124" s="57">
        <f>IF($B124=$B123,$BI123,0)+$BH124</f>
        <v/>
      </c>
      <c r="BJ124" s="57">
        <f>$BJ123+$BH124</f>
        <v/>
      </c>
      <c r="BK124" s="57">
        <f>SUMIFS(tblFleet[Available_h],tblFleet[Date],$A124,tblFleet[Equipment_Class],"Haul Truck")</f>
        <v/>
      </c>
      <c r="BL124" s="57">
        <f>IF($B124=$B123,$BL123,0)+$BK124</f>
        <v/>
      </c>
      <c r="BM124" s="57">
        <f>$BM123+$BK124</f>
        <v/>
      </c>
      <c r="BN124" s="57">
        <f>SUMIFS(tblFleet[Operating_h],tblFleet[Date],$A124,tblFleet[Equipment_Class],"Haul Truck")</f>
        <v/>
      </c>
      <c r="BO124" s="57">
        <f>IF($B124=$B123,$BO123,0)+$BN124</f>
        <v/>
      </c>
      <c r="BP124" s="57">
        <f>$BP123+$BN124</f>
        <v/>
      </c>
      <c r="BQ124" s="67">
        <f>IFERROR(IF(($BH124)&gt;0,($BK124)/($BH124),""),"")</f>
        <v/>
      </c>
      <c r="BR124" s="67">
        <f>IFERROR(IF(($BI124)&gt;0,($BL124)/($BI124),""),"")</f>
        <v/>
      </c>
      <c r="BS124" s="67">
        <f>IFERROR(IF(($BJ124)&gt;0,($BM124)/($BJ124),""),"")</f>
        <v/>
      </c>
      <c r="BT124" s="67">
        <f>IFERROR(IF(($BK124)&gt;0,($BN124)/($BK124),""),"")</f>
        <v/>
      </c>
      <c r="BU124" s="67">
        <f>IFERROR(IF(($BL124)&gt;0,($BO124)/($BL124),""),"")</f>
        <v/>
      </c>
      <c r="BV124" s="67">
        <f>IFERROR(IF(($BM124)&gt;0,($BP124)/($BM124),""),"")</f>
        <v/>
      </c>
      <c r="BW124" s="55">
        <f>SUMIFS(tblPlant[Crushed_t],tblPlant[Date],$A124)</f>
        <v/>
      </c>
      <c r="BX124" s="55">
        <f>IF($B124=$B123,$BX123,0)+$BW124</f>
        <v/>
      </c>
      <c r="BY124" s="55">
        <f>$BY123+$BW124</f>
        <v/>
      </c>
      <c r="BZ124" s="55">
        <f>SUMIFS(tblPlant[Milled_t],tblPlant[Date],$A124)</f>
        <v/>
      </c>
      <c r="CA124" s="55">
        <f>IF($B124=$B123,$CA123,0)+$BZ124</f>
        <v/>
      </c>
      <c r="CB124" s="55">
        <f>$CB123+$BZ124</f>
        <v/>
      </c>
      <c r="CC124" s="55">
        <f>SUMIFS(tblPlant[Feed_oz],tblPlant[Date],$A124)</f>
        <v/>
      </c>
      <c r="CD124" s="55">
        <f>IF($B124=$B123,$CD123,0)+$CC124</f>
        <v/>
      </c>
      <c r="CE124" s="55">
        <f>$CE123+$CC124</f>
        <v/>
      </c>
      <c r="CF124" s="55">
        <f>SUMIFS(tblPlant[Tails_oz],tblPlant[Date],$A124)</f>
        <v/>
      </c>
      <c r="CG124" s="55">
        <f>IF($B124=$B123,$CG123,0)+$CF124</f>
        <v/>
      </c>
      <c r="CH124" s="55">
        <f>$CH123+$CF124</f>
        <v/>
      </c>
      <c r="CI124" s="55">
        <f>SUMIFS(tblPlant[Recovered_oz],tblPlant[Date],$A124)</f>
        <v/>
      </c>
      <c r="CJ124" s="55">
        <f>IF($B124=$B123,$CJ123,0)+$CI124</f>
        <v/>
      </c>
      <c r="CK124" s="55">
        <f>$CK123+$CI124</f>
        <v/>
      </c>
      <c r="CL124" s="56">
        <f>IFERROR(IF(($BZ124)&gt;0,($CC124*cfg_TroyOz)/($BZ124),""),"")</f>
        <v/>
      </c>
      <c r="CM124" s="56">
        <f>IFERROR(IF(($CA124)&gt;0,($CD124*cfg_TroyOz)/($CA124),""),"")</f>
        <v/>
      </c>
      <c r="CN124" s="56">
        <f>IFERROR(IF(($CB124)&gt;0,($CE124*cfg_TroyOz)/($CB124),""),"")</f>
        <v/>
      </c>
      <c r="CO124" s="56">
        <f>IFERROR(IF(($BZ124)&gt;0,($CF124*cfg_TroyOz)/($BZ124),""),"")</f>
        <v/>
      </c>
      <c r="CP124" s="56">
        <f>IFERROR(IF(($CA124)&gt;0,($CG124*cfg_TroyOz)/($CA124),""),"")</f>
        <v/>
      </c>
      <c r="CQ124" s="56">
        <f>IFERROR(IF(($CB124)&gt;0,($CH124*cfg_TroyOz)/($CB124),""),"")</f>
        <v/>
      </c>
      <c r="CR124" s="67">
        <f>IFERROR(IF(($CC124)&gt;0,($CI124)/($CC124),""),"")</f>
        <v/>
      </c>
      <c r="CS124" s="67">
        <f>IFERROR(IF(($CD124)&gt;0,($CJ124)/($CD124),""),"")</f>
        <v/>
      </c>
      <c r="CT124" s="67">
        <f>IFERROR(IF(($CE124)&gt;0,($CK124)/($CE124),""),"")</f>
        <v/>
      </c>
      <c r="CU124" s="55">
        <f>SUMIFS(tblPlant[Gravity_Gold_oz],tblPlant[Date],$A124)</f>
        <v/>
      </c>
      <c r="CV124" s="55">
        <f>IF($B124=$B123,$CV123,0)+$CU124</f>
        <v/>
      </c>
      <c r="CW124" s="55">
        <f>$CW123+$CU124</f>
        <v/>
      </c>
      <c r="CX124" s="55">
        <f>SUMIFS(tblPlant[Gold_Poured_oz],tblPlant[Date],$A124)</f>
        <v/>
      </c>
      <c r="CY124" s="55">
        <f>IF($B124=$B123,$CY123,0)+$CX124</f>
        <v/>
      </c>
      <c r="CZ124" s="55">
        <f>$CZ123+$CX124</f>
        <v/>
      </c>
      <c r="DA124" s="57">
        <f>SUMIFS(tblPlant[Mill_Run_h],tblPlant[Date],$A124)</f>
        <v/>
      </c>
      <c r="DB124" s="57">
        <f>IF($B124=$B123,$DB123,0)+$DA124</f>
        <v/>
      </c>
      <c r="DC124" s="57">
        <f>$DC123+$DA124</f>
        <v/>
      </c>
      <c r="DD124" s="57">
        <f>SUMIFS(tblPlant[Mill_Planned_Maint_h],tblPlant[Date],$A124)</f>
        <v/>
      </c>
      <c r="DE124" s="57">
        <f>IF($B124=$B123,$DE123,0)+$DD124</f>
        <v/>
      </c>
      <c r="DF124" s="57">
        <f>$DF123+$DD124</f>
        <v/>
      </c>
      <c r="DG124" s="57">
        <f>SUMIFS(tblPlant[Mill_Unplanned_Down_h],tblPlant[Date],$A124)</f>
        <v/>
      </c>
      <c r="DH124" s="57">
        <f>IF($B124=$B123,$DH123,0)+$DG124</f>
        <v/>
      </c>
      <c r="DI124" s="57">
        <f>$DI123+$DG124</f>
        <v/>
      </c>
      <c r="DJ124" s="57">
        <f>COUNTIFS(tblPlant[Date],$A124,tblPlant[Mill_Run_h],"&lt;&gt;")*24</f>
        <v/>
      </c>
      <c r="DK124" s="57">
        <f>IF($B124=$B123,$DK123,0)+$DJ124</f>
        <v/>
      </c>
      <c r="DL124" s="57">
        <f>$DL123+$DJ124</f>
        <v/>
      </c>
      <c r="DM124" s="57">
        <f>SUMIFS(tblPlant[Crusher_Run_h],tblPlant[Date],$A124)</f>
        <v/>
      </c>
      <c r="DN124" s="57">
        <f>IF($B124=$B123,$DN123,0)+$DM124</f>
        <v/>
      </c>
      <c r="DO124" s="57">
        <f>$DO123+$DM124</f>
        <v/>
      </c>
      <c r="DP124" s="55">
        <f>IFERROR(IF(($DA124)&gt;0,($BZ124)/($DA124),""),"")</f>
        <v/>
      </c>
      <c r="DQ124" s="55">
        <f>IFERROR(IF(($DB124)&gt;0,($CA124)/($DB124),""),"")</f>
        <v/>
      </c>
      <c r="DR124" s="55">
        <f>IFERROR(IF(($DC124)&gt;0,($CB124)/($DC124),""),"")</f>
        <v/>
      </c>
      <c r="DS124" s="67">
        <f>IFERROR(IF(($DJ124)&gt;0,($DJ124-$DD124-$DG124)/($DJ124),""),"")</f>
        <v/>
      </c>
      <c r="DT124" s="67">
        <f>IFERROR(IF(($DK124)&gt;0,($DK124-$DE124-$DH124)/($DK124),""),"")</f>
        <v/>
      </c>
      <c r="DU124" s="67">
        <f>IFERROR(IF(($DL124)&gt;0,($DL124-$DF124-$DI124)/($DL124),""),"")</f>
        <v/>
      </c>
      <c r="DV124" s="67">
        <f>IFERROR(IF(($DJ124-$DD124-$DG124)&gt;0,($DA124)/($DJ124-$DD124-$DG124),""),"")</f>
        <v/>
      </c>
      <c r="DW124" s="67">
        <f>IFERROR(IF(($DK124-$DE124-$DH124)&gt;0,($DB124)/($DK124-$DE124-$DH124),""),"")</f>
        <v/>
      </c>
      <c r="DX124" s="67">
        <f>IFERROR(IF(($DL124-$DF124-$DI124)&gt;0,($DC124)/($DL124-$DF124-$DI124),""),"")</f>
        <v/>
      </c>
      <c r="DY124" s="55">
        <f>SUMIFS(tblPlant[Cyanide_kg],tblPlant[Date],$A124)</f>
        <v/>
      </c>
      <c r="DZ124" s="55">
        <f>IF($B124=$B123,$DZ123,0)+$DY124</f>
        <v/>
      </c>
      <c r="EA124" s="55">
        <f>$EA123+$DY124</f>
        <v/>
      </c>
      <c r="EB124" s="55">
        <f>SUMIFS(tblPlant[Lime_kg],tblPlant[Date],$A124)</f>
        <v/>
      </c>
      <c r="EC124" s="55">
        <f>IF($B124=$B123,$EC123,0)+$EB124</f>
        <v/>
      </c>
      <c r="ED124" s="55">
        <f>$ED123+$EB124</f>
        <v/>
      </c>
      <c r="EE124" s="55">
        <f>SUMIFS(tblPlant[Grinding_Media_kg],tblPlant[Date],$A124)</f>
        <v/>
      </c>
      <c r="EF124" s="55">
        <f>IF($B124=$B123,$EF123,0)+$EE124</f>
        <v/>
      </c>
      <c r="EG124" s="55">
        <f>$EG123+$EE124</f>
        <v/>
      </c>
      <c r="EH124" s="55">
        <f>SUMIFS(tblPlant[Power_kWh],tblPlant[Date],$A124)</f>
        <v/>
      </c>
      <c r="EI124" s="55">
        <f>IF($B124=$B123,$EI123,0)+$EH124</f>
        <v/>
      </c>
      <c r="EJ124" s="55">
        <f>$EJ123+$EH124</f>
        <v/>
      </c>
      <c r="EK124" s="55">
        <f>SUMIFS(tblPlant[Raw_Water_m3],tblPlant[Date],$A124)</f>
        <v/>
      </c>
      <c r="EL124" s="55">
        <f>IF($B124=$B123,$EL123,0)+$EK124</f>
        <v/>
      </c>
      <c r="EM124" s="55">
        <f>$EM123+$EK124</f>
        <v/>
      </c>
      <c r="EN124" s="56">
        <f>IFERROR(IF(($BZ124)&gt;0,($DY124)/($BZ124),""),"")</f>
        <v/>
      </c>
      <c r="EO124" s="56">
        <f>IFERROR(IF(($CA124)&gt;0,($DZ124)/($CA124),""),"")</f>
        <v/>
      </c>
      <c r="EP124" s="56">
        <f>IFERROR(IF(($CB124)&gt;0,($EA124)/($CB124),""),"")</f>
        <v/>
      </c>
      <c r="EQ124" s="56">
        <f>IFERROR(IF(($BZ124)&gt;0,($EB124)/($BZ124),""),"")</f>
        <v/>
      </c>
      <c r="ER124" s="56">
        <f>IFERROR(IF(($CA124)&gt;0,($EC124)/($CA124),""),"")</f>
        <v/>
      </c>
      <c r="ES124" s="56">
        <f>IFERROR(IF(($CB124)&gt;0,($ED124)/($CB124),""),"")</f>
        <v/>
      </c>
      <c r="ET124" s="56">
        <f>IFERROR(IF(($BZ124)&gt;0,($EE124)/($BZ124),""),"")</f>
        <v/>
      </c>
      <c r="EU124" s="56">
        <f>IFERROR(IF(($CA124)&gt;0,($EF124)/($CA124),""),"")</f>
        <v/>
      </c>
      <c r="EV124" s="56">
        <f>IFERROR(IF(($CB124)&gt;0,($EG124)/($CB124),""),"")</f>
        <v/>
      </c>
      <c r="EW124" s="76">
        <f>IFERROR(IF(($BZ124)&gt;0,($EH124)/($BZ124),""),"")</f>
        <v/>
      </c>
      <c r="EX124" s="76">
        <f>IFERROR(IF(($CA124)&gt;0,($EI124)/($CA124),""),"")</f>
        <v/>
      </c>
      <c r="EY124" s="76">
        <f>IFERROR(IF(($CB124)&gt;0,($EJ124)/($CB124),""),"")</f>
        <v/>
      </c>
      <c r="EZ124" s="56">
        <f>IFERROR(IF(($BZ124)&gt;0,($EK124)/($BZ124),""),"")</f>
        <v/>
      </c>
      <c r="FA124" s="56">
        <f>IFERROR(IF(($CA124)&gt;0,($EL124)/($CA124),""),"")</f>
        <v/>
      </c>
      <c r="FB124" s="56">
        <f>IFERROR(IF(($CB124)&gt;0,($EM124)/($CB124),""),"")</f>
        <v/>
      </c>
      <c r="FC124" s="55">
        <f>IF(SUMIFS(tblPlant[GIC_oz],tblPlant[Date],$A124)&gt;0,SUMIFS(tblPlant[GIC_oz],tblPlant[Date],$A124),"")</f>
        <v/>
      </c>
      <c r="FD124" s="55">
        <f>SUMIFS(tblGold[Gold_oz],tblGold[Date],$A124,tblGold[Type],"Shipment")</f>
        <v/>
      </c>
      <c r="FE124" s="55">
        <f>IF($B124=$B123,$FE123,0)+$FD124</f>
        <v/>
      </c>
      <c r="FF124" s="55">
        <f>$FF123+$FD124</f>
        <v/>
      </c>
      <c r="FG124" s="55">
        <f>SUMIFS(tblGold[Gold_oz],tblGold[Date],$A124,tblGold[Type],"Sale")</f>
        <v/>
      </c>
      <c r="FH124" s="55">
        <f>IF($B124=$B123,$FH123,0)+$FG124</f>
        <v/>
      </c>
      <c r="FI124" s="55">
        <f>$FI123+$FG124</f>
        <v/>
      </c>
      <c r="FJ124" s="55">
        <f>SUMIFS(tblGold[Dore_kg],tblGold[Date],$A124,tblGold[Type],"Shipment")</f>
        <v/>
      </c>
      <c r="FK124" s="55">
        <f>IF($B124=$B123,$FK123,0)+$FJ124</f>
        <v/>
      </c>
      <c r="FL124" s="55">
        <f>$FL123+$FJ124</f>
        <v/>
      </c>
      <c r="FM124" s="57">
        <f>SUMIFS(tblSafety[Hours_Total],tblSafety[Date],$A124)</f>
        <v/>
      </c>
      <c r="FN124" s="57">
        <f>IF($B124=$B123,$FN123,0)+$FM124</f>
        <v/>
      </c>
      <c r="FO124" s="57">
        <f>$FO123+$FM124</f>
        <v/>
      </c>
      <c r="FP124" s="62">
        <f>SUMIFS(tblSafety[Fatality],tblSafety[Date],$A124)</f>
        <v/>
      </c>
      <c r="FQ124" s="62">
        <f>IF($B124=$B123,$FQ123,0)+$FP124</f>
        <v/>
      </c>
      <c r="FR124" s="62">
        <f>$FR123+$FP124</f>
        <v/>
      </c>
      <c r="FS124" s="62">
        <f>SUMIFS(tblSafety[LTI],tblSafety[Date],$A124)</f>
        <v/>
      </c>
      <c r="FT124" s="62">
        <f>IF($B124=$B123,$FT123,0)+$FS124</f>
        <v/>
      </c>
      <c r="FU124" s="62">
        <f>$FU123+$FS124</f>
        <v/>
      </c>
      <c r="FV124" s="62">
        <f>SUMIFS(tblSafety[RWI],tblSafety[Date],$A124)</f>
        <v/>
      </c>
      <c r="FW124" s="62">
        <f>IF($B124=$B123,$FW123,0)+$FV124</f>
        <v/>
      </c>
      <c r="FX124" s="62">
        <f>$FX123+$FV124</f>
        <v/>
      </c>
      <c r="FY124" s="62">
        <f>SUMIFS(tblSafety[MTI],tblSafety[Date],$A124)</f>
        <v/>
      </c>
      <c r="FZ124" s="62">
        <f>IF($B124=$B123,$FZ123,0)+$FY124</f>
        <v/>
      </c>
      <c r="GA124" s="62">
        <f>$GA123+$FY124</f>
        <v/>
      </c>
      <c r="GB124" s="62">
        <f>SUMIFS(tblSafety[FAI],tblSafety[Date],$A124)</f>
        <v/>
      </c>
      <c r="GC124" s="62">
        <f>IF($B124=$B123,$GC123,0)+$GB124</f>
        <v/>
      </c>
      <c r="GD124" s="62">
        <f>$GD123+$GB124</f>
        <v/>
      </c>
      <c r="GE124" s="62">
        <f>SUMIFS(tblSafety[Recordables],tblSafety[Date],$A124)</f>
        <v/>
      </c>
      <c r="GF124" s="62">
        <f>IF($B124=$B123,$GF123,0)+$GE124</f>
        <v/>
      </c>
      <c r="GG124" s="62">
        <f>$GG123+$GE124</f>
        <v/>
      </c>
      <c r="GH124" s="62">
        <f>SUMIFS(tblSafety[Near_Miss],tblSafety[Date],$A124)</f>
        <v/>
      </c>
      <c r="GI124" s="62">
        <f>IF($B124=$B123,$GI123,0)+$GH124</f>
        <v/>
      </c>
      <c r="GJ124" s="62">
        <f>$GJ123+$GH124</f>
        <v/>
      </c>
      <c r="GK124" s="62">
        <f>SUMIFS(tblSafety[Hazard_Reports],tblSafety[Date],$A124)</f>
        <v/>
      </c>
      <c r="GL124" s="62">
        <f>IF($B124=$B123,$GL123,0)+$GK124</f>
        <v/>
      </c>
      <c r="GM124" s="62">
        <f>$GM123+$GK124</f>
        <v/>
      </c>
      <c r="GN124" s="62">
        <f>SUMIFS(tblSafety[HPI],tblSafety[Date],$A124)</f>
        <v/>
      </c>
      <c r="GO124" s="62">
        <f>IF($B124=$B123,$GO123,0)+$GN124</f>
        <v/>
      </c>
      <c r="GP124" s="62">
        <f>$GP123+$GN124</f>
        <v/>
      </c>
      <c r="GQ124" s="62">
        <f>SUMIFS(tblSafety[Env_Incidents],tblSafety[Date],$A124)</f>
        <v/>
      </c>
      <c r="GR124" s="62">
        <f>IF($B124=$B123,$GR123,0)+$GQ124</f>
        <v/>
      </c>
      <c r="GS124" s="62">
        <f>$GS123+$GQ124</f>
        <v/>
      </c>
      <c r="GT124" s="62">
        <f>SUMIFS(tblSafety[Community_Incidents],tblSafety[Date],$A124)</f>
        <v/>
      </c>
      <c r="GU124" s="62">
        <f>IF($B124=$B123,$GU123,0)+$GT124</f>
        <v/>
      </c>
      <c r="GV124" s="62">
        <f>$GV123+$GT124</f>
        <v/>
      </c>
      <c r="GW124" s="62">
        <f>SUMIFS(tblSafety[Vehicle_Incidents],tblSafety[Date],$A124)</f>
        <v/>
      </c>
      <c r="GX124" s="62">
        <f>IF($B124=$B123,$GX123,0)+$GW124</f>
        <v/>
      </c>
      <c r="GY124" s="62">
        <f>$GY123+$GW124</f>
        <v/>
      </c>
      <c r="GZ124" s="62">
        <f>SUMIFS(tblSafety[Toolbox_Talks],tblSafety[Date],$A124)</f>
        <v/>
      </c>
      <c r="HA124" s="62">
        <f>IF($B124=$B123,$HA123,0)+$GZ124</f>
        <v/>
      </c>
      <c r="HB124" s="62">
        <f>$HB123+$GZ124</f>
        <v/>
      </c>
      <c r="HC124" s="62">
        <f>SUMIFS(tblSafety[Inspections],tblSafety[Date],$A124)</f>
        <v/>
      </c>
      <c r="HD124" s="62">
        <f>IF($B124=$B123,$HD123,0)+$HC124</f>
        <v/>
      </c>
      <c r="HE124" s="62">
        <f>$HE123+$HC124</f>
        <v/>
      </c>
      <c r="HF124" s="56">
        <f>IFERROR((SUMIFS(tblSafety[Recordables],tblSafety[Date],"&gt;="&amp;EDATE($E124,-12),tblSafety[Date],"&lt;="&amp;$A124)+SUMIFS(tblSafetyHistory[Recordables],tblSafetyHistory[Month],"&gt;="&amp;EDATE($E124,-12),tblSafetyHistory[Month],"&lt;"&amp;cfg_YearStart))/(SUMIFS(tblSafety[Hours_Total],tblSafety[Date],"&gt;="&amp;EDATE($E124,-12),tblSafety[Date],"&lt;="&amp;$A124)+SUMIFS(tblSafetyHistory[Hours_Total],tblSafetyHistory[Month],"&gt;="&amp;EDATE($E124,-12),tblSafetyHistory[Month],"&lt;"&amp;cfg_YearStart))*1000000,"")</f>
        <v/>
      </c>
      <c r="HG124" s="56">
        <f>IFERROR((SUMIFS(tblSafety[LTI],tblSafety[Date],"&gt;="&amp;EDATE($E124,-12),tblSafety[Date],"&lt;="&amp;$A124)+SUMIFS(tblSafetyHistory[LTI],tblSafetyHistory[Month],"&gt;="&amp;EDATE($E124,-12),tblSafetyHistory[Month],"&lt;"&amp;cfg_YearStart))/(SUMIFS(tblSafety[Hours_Total],tblSafety[Date],"&gt;="&amp;EDATE($E124,-12),tblSafety[Date],"&lt;="&amp;$A124)+SUMIFS(tblSafetyHistory[Hours_Total],tblSafetyHistory[Month],"&gt;="&amp;EDATE($E124,-12),tblSafetyHistory[Month],"&lt;"&amp;cfg_YearStart))*1000000,"")</f>
        <v/>
      </c>
      <c r="HH124" s="62">
        <f>IF(MAX(N(cfg_PriorLTIDate),_xlfn.MAXIFS(tblSafety[Date],tblSafety[LTI],"&gt;0",tblSafety[Date],"&lt;="&amp;$A124))=0,"",$A124-MAX(N(cfg_PriorLTIDate),_xlfn.MAXIFS(tblSafety[Date],tblSafety[LTI],"&gt;0",tblSafety[Date],"&lt;="&amp;$A124)))</f>
        <v/>
      </c>
      <c r="HI124" s="55">
        <f>SUMIFS(tblBudget[Ore_Mined_t],tblBudget[Month],$E124)</f>
        <v/>
      </c>
      <c r="HJ124" s="55">
        <f>$HI124*$C124/$D124</f>
        <v/>
      </c>
      <c r="HK124" s="55">
        <f>SUMIFS(tblBudget[Ore_Mined_t],tblBudget[Month],"&lt;"&amp;$E124)+$HJ124</f>
        <v/>
      </c>
      <c r="HL124" s="55">
        <f>SUMIFS(tblBudget[Ore_oz],tblBudget[Month],$E124)</f>
        <v/>
      </c>
      <c r="HM124" s="55">
        <f>$HL124*$C124/$D124</f>
        <v/>
      </c>
      <c r="HN124" s="55">
        <f>SUMIFS(tblBudget[Ore_oz],tblBudget[Month],"&lt;"&amp;$E124)+$HM124</f>
        <v/>
      </c>
      <c r="HO124" s="56">
        <f>IFERROR(IF(($HI124)&gt;0,($HL124*cfg_TroyOz)/($HI124),""),"")</f>
        <v/>
      </c>
      <c r="HP124" s="56">
        <f>IFERROR(IF(($HJ124)&gt;0,($HM124*cfg_TroyOz)/($HJ124),""),"")</f>
        <v/>
      </c>
      <c r="HQ124" s="56">
        <f>IFERROR(IF(($HK124)&gt;0,($HN124*cfg_TroyOz)/($HK124),""),"")</f>
        <v/>
      </c>
      <c r="HR124" s="55">
        <f>SUMIFS(tblBudget[Waste_t],tblBudget[Month],$E124)</f>
        <v/>
      </c>
      <c r="HS124" s="55">
        <f>$HR124*$C124/$D124</f>
        <v/>
      </c>
      <c r="HT124" s="55">
        <f>SUMIFS(tblBudget[Waste_t],tblBudget[Month],"&lt;"&amp;$E124)+$HS124</f>
        <v/>
      </c>
      <c r="HU124" s="55">
        <f>SUMIFS(tblBudget[TMM_t],tblBudget[Month],$E124)</f>
        <v/>
      </c>
      <c r="HV124" s="55">
        <f>$HU124*$C124/$D124</f>
        <v/>
      </c>
      <c r="HW124" s="55">
        <f>SUMIFS(tblBudget[TMM_t],tblBudget[Month],"&lt;"&amp;$E124)+$HV124</f>
        <v/>
      </c>
      <c r="HX124" s="56">
        <f>IFERROR(IF(($HI124)&gt;0,($HR124)/($HI124),""),"")</f>
        <v/>
      </c>
      <c r="HY124" s="56">
        <f>IFERROR(IF(($HJ124)&gt;0,($HS124)/($HJ124),""),"")</f>
        <v/>
      </c>
      <c r="HZ124" s="56">
        <f>IFERROR(IF(($HK124)&gt;0,($HT124)/($HK124),""),"")</f>
        <v/>
      </c>
      <c r="IA124" s="55">
        <f>SUMIFS(tblBudget[Drill_m],tblBudget[Month],$E124)</f>
        <v/>
      </c>
      <c r="IB124" s="55">
        <f>$IA124*$C124/$D124</f>
        <v/>
      </c>
      <c r="IC124" s="55">
        <f>SUMIFS(tblBudget[Drill_m],tblBudget[Month],"&lt;"&amp;$E124)+$IB124</f>
        <v/>
      </c>
      <c r="ID124" s="55">
        <f>SUMIFS(tblBudget[Diesel_L],tblBudget[Month],$E124)</f>
        <v/>
      </c>
      <c r="IE124" s="55">
        <f>$ID124*$C124/$D124</f>
        <v/>
      </c>
      <c r="IF124" s="55">
        <f>SUMIFS(tblBudget[Diesel_L],tblBudget[Month],"&lt;"&amp;$E124)+$IE124</f>
        <v/>
      </c>
      <c r="IG124" s="55">
        <f>SUMIFS(tblBudget[Milled_t],tblBudget[Month],$E124)</f>
        <v/>
      </c>
      <c r="IH124" s="55">
        <f>$IG124*$C124/$D124</f>
        <v/>
      </c>
      <c r="II124" s="55">
        <f>SUMIFS(tblBudget[Milled_t],tblBudget[Month],"&lt;"&amp;$E124)+$IH124</f>
        <v/>
      </c>
      <c r="IJ124" s="55">
        <f>SUMIFS(tblBudget[Feed_oz],tblBudget[Month],$E124)</f>
        <v/>
      </c>
      <c r="IK124" s="55">
        <f>$IJ124*$C124/$D124</f>
        <v/>
      </c>
      <c r="IL124" s="55">
        <f>SUMIFS(tblBudget[Feed_oz],tblBudget[Month],"&lt;"&amp;$E124)+$IK124</f>
        <v/>
      </c>
      <c r="IM124" s="55">
        <f>SUMIFS(tblBudget[Recovered_oz],tblBudget[Month],$E124)</f>
        <v/>
      </c>
      <c r="IN124" s="55">
        <f>$IM124*$C124/$D124</f>
        <v/>
      </c>
      <c r="IO124" s="55">
        <f>SUMIFS(tblBudget[Recovered_oz],tblBudget[Month],"&lt;"&amp;$E124)+$IN124</f>
        <v/>
      </c>
      <c r="IP124" s="56">
        <f>IFERROR(IF(($IG124)&gt;0,($IJ124*cfg_TroyOz)/($IG124),""),"")</f>
        <v/>
      </c>
      <c r="IQ124" s="56">
        <f>IFERROR(IF(($IH124)&gt;0,($IK124*cfg_TroyOz)/($IH124),""),"")</f>
        <v/>
      </c>
      <c r="IR124" s="56">
        <f>IFERROR(IF(($II124)&gt;0,($IL124*cfg_TroyOz)/($II124),""),"")</f>
        <v/>
      </c>
      <c r="IS124" s="67">
        <f>IFERROR(IF(($IJ124)&gt;0,($IM124)/($IJ124),""),"")</f>
        <v/>
      </c>
      <c r="IT124" s="67">
        <f>IFERROR(IF(($IK124)&gt;0,($IN124)/($IK124),""),"")</f>
        <v/>
      </c>
      <c r="IU124" s="67">
        <f>IFERROR(IF(($IL124)&gt;0,($IO124)/($IL124),""),"")</f>
        <v/>
      </c>
      <c r="IV124" s="55">
        <f>SUMIFS(tblBudget[Gold_Poured_oz],tblBudget[Month],$E124)</f>
        <v/>
      </c>
      <c r="IW124" s="55">
        <f>$IV124*$C124/$D124</f>
        <v/>
      </c>
      <c r="IX124" s="55">
        <f>SUMIFS(tblBudget[Gold_Poured_oz],tblBudget[Month],"&lt;"&amp;$E124)+$IW124</f>
        <v/>
      </c>
      <c r="IY124" s="57">
        <f>SUMIFS(tblBudget[Hours_Worked],tblBudget[Month],$E124)</f>
        <v/>
      </c>
      <c r="IZ124" s="57">
        <f>$IY124*$C124/$D124</f>
        <v/>
      </c>
      <c r="JA124" s="57">
        <f>SUMIFS(tblBudget[Hours_Worked],tblBudget[Month],"&lt;"&amp;$E124)+$IZ124</f>
        <v/>
      </c>
    </row>
    <row r="125">
      <c r="A125" s="54" t="n">
        <v>46146</v>
      </c>
      <c r="B125">
        <f>MONTH($A125)</f>
        <v/>
      </c>
      <c r="C125">
        <f>DAY($A125)</f>
        <v/>
      </c>
      <c r="D125">
        <f>DAY(EOMONTH($A125,0))</f>
        <v/>
      </c>
      <c r="E125" s="54">
        <f>DATE(YEAR($A125),MONTH($A125),1)</f>
        <v/>
      </c>
      <c r="F125" s="55">
        <f>SUMIFS(tblMovement[Tonnes_t],tblMovement[Date],$A125,tblMovement[Is_Ore],1,tblMovement[Source_Type],"Pit")</f>
        <v/>
      </c>
      <c r="G125" s="55">
        <f>IF($B125=$B124,$G124,0)+$F125</f>
        <v/>
      </c>
      <c r="H125" s="55">
        <f>$H124+$F125</f>
        <v/>
      </c>
      <c r="I125" s="55">
        <f>SUMIFS(tblMovement[Ore_oz],tblMovement[Date],$A125,tblMovement[Source_Type],"Pit")</f>
        <v/>
      </c>
      <c r="J125" s="55">
        <f>IF($B125=$B124,$J124,0)+$I125</f>
        <v/>
      </c>
      <c r="K125" s="55">
        <f>$K124+$I125</f>
        <v/>
      </c>
      <c r="L125" s="56">
        <f>IFERROR(IF(($F125)&gt;0,($I125*cfg_TroyOz)/($F125),""),"")</f>
        <v/>
      </c>
      <c r="M125" s="56">
        <f>IFERROR(IF(($G125)&gt;0,($J125*cfg_TroyOz)/($G125),""),"")</f>
        <v/>
      </c>
      <c r="N125" s="56">
        <f>IFERROR(IF(($H125)&gt;0,($K125*cfg_TroyOz)/($H125),""),"")</f>
        <v/>
      </c>
      <c r="O125" s="55">
        <f>SUMIFS(tblMovement[Tonnes_t],tblMovement[Date],$A125,tblMovement[Is_Ore],0,tblMovement[Source_Type],"Pit")</f>
        <v/>
      </c>
      <c r="P125" s="55">
        <f>IF($B125=$B124,$P124,0)+$O125</f>
        <v/>
      </c>
      <c r="Q125" s="55">
        <f>$Q124+$O125</f>
        <v/>
      </c>
      <c r="R125" s="55">
        <f>$F125+$O125</f>
        <v/>
      </c>
      <c r="S125" s="55">
        <f>IF($B125=$B124,$S124,0)+$R125</f>
        <v/>
      </c>
      <c r="T125" s="55">
        <f>$T124+$R125</f>
        <v/>
      </c>
      <c r="U125" s="56">
        <f>IFERROR(IF(($F125)&gt;0,($O125)/($F125),""),"")</f>
        <v/>
      </c>
      <c r="V125" s="56">
        <f>IFERROR(IF(($G125)&gt;0,($P125)/($G125),""),"")</f>
        <v/>
      </c>
      <c r="W125" s="56">
        <f>IFERROR(IF(($H125)&gt;0,($Q125)/($H125),""),"")</f>
        <v/>
      </c>
      <c r="X125" s="55">
        <f>SUMIFS(tblMovement[Tonnes_t],tblMovement[Date],$A125,tblMovement[Source_Type],"Stockpile")</f>
        <v/>
      </c>
      <c r="Y125" s="55">
        <f>IF($B125=$B124,$Y124,0)+$X125</f>
        <v/>
      </c>
      <c r="Z125" s="55">
        <f>$Z124+$X125</f>
        <v/>
      </c>
      <c r="AA125" s="55">
        <f>SUMIFS(tblMiningDaily[Drill_m],tblMiningDaily[Date],$A125)</f>
        <v/>
      </c>
      <c r="AB125" s="55">
        <f>IF($B125=$B124,$AB124,0)+$AA125</f>
        <v/>
      </c>
      <c r="AC125" s="55">
        <f>$AC124+$AA125</f>
        <v/>
      </c>
      <c r="AD125" s="55">
        <f>SUMIFS(tblMiningDaily[Blast_t],tblMiningDaily[Date],$A125)</f>
        <v/>
      </c>
      <c r="AE125" s="55">
        <f>IF($B125=$B124,$AE124,0)+$AD125</f>
        <v/>
      </c>
      <c r="AF125" s="55">
        <f>$AF124+$AD125</f>
        <v/>
      </c>
      <c r="AG125" s="55">
        <f>SUMIFS(tblMiningDaily[Explosives_kg],tblMiningDaily[Date],$A125)</f>
        <v/>
      </c>
      <c r="AH125" s="55">
        <f>IF($B125=$B124,$AH124,0)+$AG125</f>
        <v/>
      </c>
      <c r="AI125" s="55">
        <f>$AI124+$AG125</f>
        <v/>
      </c>
      <c r="AJ125" s="56">
        <f>IFERROR(IF(($AD125)&gt;0,($AG125)/($AD125),""),"")</f>
        <v/>
      </c>
      <c r="AK125" s="56">
        <f>IFERROR(IF(($AE125)&gt;0,($AH125)/($AE125),""),"")</f>
        <v/>
      </c>
      <c r="AL125" s="56">
        <f>IFERROR(IF(($AF125)&gt;0,($AI125)/($AF125),""),"")</f>
        <v/>
      </c>
      <c r="AM125" s="55">
        <f>SUMIFS(tblMiningDaily[Diesel_L],tblMiningDaily[Date],$A125)</f>
        <v/>
      </c>
      <c r="AN125" s="55">
        <f>IF($B125=$B124,$AN124,0)+$AM125</f>
        <v/>
      </c>
      <c r="AO125" s="55">
        <f>$AO124+$AM125</f>
        <v/>
      </c>
      <c r="AP125" s="55">
        <f>SUMIFS(tblMiningDaily[Dewatering_m3],tblMiningDaily[Date],$A125)</f>
        <v/>
      </c>
      <c r="AQ125" s="55">
        <f>IF($B125=$B124,$AQ124,0)+$AP125</f>
        <v/>
      </c>
      <c r="AR125" s="55">
        <f>$AR124+$AP125</f>
        <v/>
      </c>
      <c r="AS125" s="57">
        <f>SUMIFS(tblFleet[Calendar_h],tblFleet[Date],$A125,tblFleet[Equipment_Class],"Excavator")</f>
        <v/>
      </c>
      <c r="AT125" s="57">
        <f>IF($B125=$B124,$AT124,0)+$AS125</f>
        <v/>
      </c>
      <c r="AU125" s="57">
        <f>$AU124+$AS125</f>
        <v/>
      </c>
      <c r="AV125" s="57">
        <f>SUMIFS(tblFleet[Available_h],tblFleet[Date],$A125,tblFleet[Equipment_Class],"Excavator")</f>
        <v/>
      </c>
      <c r="AW125" s="57">
        <f>IF($B125=$B124,$AW124,0)+$AV125</f>
        <v/>
      </c>
      <c r="AX125" s="57">
        <f>$AX124+$AV125</f>
        <v/>
      </c>
      <c r="AY125" s="57">
        <f>SUMIFS(tblFleet[Operating_h],tblFleet[Date],$A125,tblFleet[Equipment_Class],"Excavator")</f>
        <v/>
      </c>
      <c r="AZ125" s="57">
        <f>IF($B125=$B124,$AZ124,0)+$AY125</f>
        <v/>
      </c>
      <c r="BA125" s="57">
        <f>$BA124+$AY125</f>
        <v/>
      </c>
      <c r="BB125" s="67">
        <f>IFERROR(IF(($AS125)&gt;0,($AV125)/($AS125),""),"")</f>
        <v/>
      </c>
      <c r="BC125" s="67">
        <f>IFERROR(IF(($AT125)&gt;0,($AW125)/($AT125),""),"")</f>
        <v/>
      </c>
      <c r="BD125" s="67">
        <f>IFERROR(IF(($AU125)&gt;0,($AX125)/($AU125),""),"")</f>
        <v/>
      </c>
      <c r="BE125" s="67">
        <f>IFERROR(IF(($AV125)&gt;0,($AY125)/($AV125),""),"")</f>
        <v/>
      </c>
      <c r="BF125" s="67">
        <f>IFERROR(IF(($AW125)&gt;0,($AZ125)/($AW125),""),"")</f>
        <v/>
      </c>
      <c r="BG125" s="67">
        <f>IFERROR(IF(($AX125)&gt;0,($BA125)/($AX125),""),"")</f>
        <v/>
      </c>
      <c r="BH125" s="57">
        <f>SUMIFS(tblFleet[Calendar_h],tblFleet[Date],$A125,tblFleet[Equipment_Class],"Haul Truck")</f>
        <v/>
      </c>
      <c r="BI125" s="57">
        <f>IF($B125=$B124,$BI124,0)+$BH125</f>
        <v/>
      </c>
      <c r="BJ125" s="57">
        <f>$BJ124+$BH125</f>
        <v/>
      </c>
      <c r="BK125" s="57">
        <f>SUMIFS(tblFleet[Available_h],tblFleet[Date],$A125,tblFleet[Equipment_Class],"Haul Truck")</f>
        <v/>
      </c>
      <c r="BL125" s="57">
        <f>IF($B125=$B124,$BL124,0)+$BK125</f>
        <v/>
      </c>
      <c r="BM125" s="57">
        <f>$BM124+$BK125</f>
        <v/>
      </c>
      <c r="BN125" s="57">
        <f>SUMIFS(tblFleet[Operating_h],tblFleet[Date],$A125,tblFleet[Equipment_Class],"Haul Truck")</f>
        <v/>
      </c>
      <c r="BO125" s="57">
        <f>IF($B125=$B124,$BO124,0)+$BN125</f>
        <v/>
      </c>
      <c r="BP125" s="57">
        <f>$BP124+$BN125</f>
        <v/>
      </c>
      <c r="BQ125" s="67">
        <f>IFERROR(IF(($BH125)&gt;0,($BK125)/($BH125),""),"")</f>
        <v/>
      </c>
      <c r="BR125" s="67">
        <f>IFERROR(IF(($BI125)&gt;0,($BL125)/($BI125),""),"")</f>
        <v/>
      </c>
      <c r="BS125" s="67">
        <f>IFERROR(IF(($BJ125)&gt;0,($BM125)/($BJ125),""),"")</f>
        <v/>
      </c>
      <c r="BT125" s="67">
        <f>IFERROR(IF(($BK125)&gt;0,($BN125)/($BK125),""),"")</f>
        <v/>
      </c>
      <c r="BU125" s="67">
        <f>IFERROR(IF(($BL125)&gt;0,($BO125)/($BL125),""),"")</f>
        <v/>
      </c>
      <c r="BV125" s="67">
        <f>IFERROR(IF(($BM125)&gt;0,($BP125)/($BM125),""),"")</f>
        <v/>
      </c>
      <c r="BW125" s="55">
        <f>SUMIFS(tblPlant[Crushed_t],tblPlant[Date],$A125)</f>
        <v/>
      </c>
      <c r="BX125" s="55">
        <f>IF($B125=$B124,$BX124,0)+$BW125</f>
        <v/>
      </c>
      <c r="BY125" s="55">
        <f>$BY124+$BW125</f>
        <v/>
      </c>
      <c r="BZ125" s="55">
        <f>SUMIFS(tblPlant[Milled_t],tblPlant[Date],$A125)</f>
        <v/>
      </c>
      <c r="CA125" s="55">
        <f>IF($B125=$B124,$CA124,0)+$BZ125</f>
        <v/>
      </c>
      <c r="CB125" s="55">
        <f>$CB124+$BZ125</f>
        <v/>
      </c>
      <c r="CC125" s="55">
        <f>SUMIFS(tblPlant[Feed_oz],tblPlant[Date],$A125)</f>
        <v/>
      </c>
      <c r="CD125" s="55">
        <f>IF($B125=$B124,$CD124,0)+$CC125</f>
        <v/>
      </c>
      <c r="CE125" s="55">
        <f>$CE124+$CC125</f>
        <v/>
      </c>
      <c r="CF125" s="55">
        <f>SUMIFS(tblPlant[Tails_oz],tblPlant[Date],$A125)</f>
        <v/>
      </c>
      <c r="CG125" s="55">
        <f>IF($B125=$B124,$CG124,0)+$CF125</f>
        <v/>
      </c>
      <c r="CH125" s="55">
        <f>$CH124+$CF125</f>
        <v/>
      </c>
      <c r="CI125" s="55">
        <f>SUMIFS(tblPlant[Recovered_oz],tblPlant[Date],$A125)</f>
        <v/>
      </c>
      <c r="CJ125" s="55">
        <f>IF($B125=$B124,$CJ124,0)+$CI125</f>
        <v/>
      </c>
      <c r="CK125" s="55">
        <f>$CK124+$CI125</f>
        <v/>
      </c>
      <c r="CL125" s="56">
        <f>IFERROR(IF(($BZ125)&gt;0,($CC125*cfg_TroyOz)/($BZ125),""),"")</f>
        <v/>
      </c>
      <c r="CM125" s="56">
        <f>IFERROR(IF(($CA125)&gt;0,($CD125*cfg_TroyOz)/($CA125),""),"")</f>
        <v/>
      </c>
      <c r="CN125" s="56">
        <f>IFERROR(IF(($CB125)&gt;0,($CE125*cfg_TroyOz)/($CB125),""),"")</f>
        <v/>
      </c>
      <c r="CO125" s="56">
        <f>IFERROR(IF(($BZ125)&gt;0,($CF125*cfg_TroyOz)/($BZ125),""),"")</f>
        <v/>
      </c>
      <c r="CP125" s="56">
        <f>IFERROR(IF(($CA125)&gt;0,($CG125*cfg_TroyOz)/($CA125),""),"")</f>
        <v/>
      </c>
      <c r="CQ125" s="56">
        <f>IFERROR(IF(($CB125)&gt;0,($CH125*cfg_TroyOz)/($CB125),""),"")</f>
        <v/>
      </c>
      <c r="CR125" s="67">
        <f>IFERROR(IF(($CC125)&gt;0,($CI125)/($CC125),""),"")</f>
        <v/>
      </c>
      <c r="CS125" s="67">
        <f>IFERROR(IF(($CD125)&gt;0,($CJ125)/($CD125),""),"")</f>
        <v/>
      </c>
      <c r="CT125" s="67">
        <f>IFERROR(IF(($CE125)&gt;0,($CK125)/($CE125),""),"")</f>
        <v/>
      </c>
      <c r="CU125" s="55">
        <f>SUMIFS(tblPlant[Gravity_Gold_oz],tblPlant[Date],$A125)</f>
        <v/>
      </c>
      <c r="CV125" s="55">
        <f>IF($B125=$B124,$CV124,0)+$CU125</f>
        <v/>
      </c>
      <c r="CW125" s="55">
        <f>$CW124+$CU125</f>
        <v/>
      </c>
      <c r="CX125" s="55">
        <f>SUMIFS(tblPlant[Gold_Poured_oz],tblPlant[Date],$A125)</f>
        <v/>
      </c>
      <c r="CY125" s="55">
        <f>IF($B125=$B124,$CY124,0)+$CX125</f>
        <v/>
      </c>
      <c r="CZ125" s="55">
        <f>$CZ124+$CX125</f>
        <v/>
      </c>
      <c r="DA125" s="57">
        <f>SUMIFS(tblPlant[Mill_Run_h],tblPlant[Date],$A125)</f>
        <v/>
      </c>
      <c r="DB125" s="57">
        <f>IF($B125=$B124,$DB124,0)+$DA125</f>
        <v/>
      </c>
      <c r="DC125" s="57">
        <f>$DC124+$DA125</f>
        <v/>
      </c>
      <c r="DD125" s="57">
        <f>SUMIFS(tblPlant[Mill_Planned_Maint_h],tblPlant[Date],$A125)</f>
        <v/>
      </c>
      <c r="DE125" s="57">
        <f>IF($B125=$B124,$DE124,0)+$DD125</f>
        <v/>
      </c>
      <c r="DF125" s="57">
        <f>$DF124+$DD125</f>
        <v/>
      </c>
      <c r="DG125" s="57">
        <f>SUMIFS(tblPlant[Mill_Unplanned_Down_h],tblPlant[Date],$A125)</f>
        <v/>
      </c>
      <c r="DH125" s="57">
        <f>IF($B125=$B124,$DH124,0)+$DG125</f>
        <v/>
      </c>
      <c r="DI125" s="57">
        <f>$DI124+$DG125</f>
        <v/>
      </c>
      <c r="DJ125" s="57">
        <f>COUNTIFS(tblPlant[Date],$A125,tblPlant[Mill_Run_h],"&lt;&gt;")*24</f>
        <v/>
      </c>
      <c r="DK125" s="57">
        <f>IF($B125=$B124,$DK124,0)+$DJ125</f>
        <v/>
      </c>
      <c r="DL125" s="57">
        <f>$DL124+$DJ125</f>
        <v/>
      </c>
      <c r="DM125" s="57">
        <f>SUMIFS(tblPlant[Crusher_Run_h],tblPlant[Date],$A125)</f>
        <v/>
      </c>
      <c r="DN125" s="57">
        <f>IF($B125=$B124,$DN124,0)+$DM125</f>
        <v/>
      </c>
      <c r="DO125" s="57">
        <f>$DO124+$DM125</f>
        <v/>
      </c>
      <c r="DP125" s="55">
        <f>IFERROR(IF(($DA125)&gt;0,($BZ125)/($DA125),""),"")</f>
        <v/>
      </c>
      <c r="DQ125" s="55">
        <f>IFERROR(IF(($DB125)&gt;0,($CA125)/($DB125),""),"")</f>
        <v/>
      </c>
      <c r="DR125" s="55">
        <f>IFERROR(IF(($DC125)&gt;0,($CB125)/($DC125),""),"")</f>
        <v/>
      </c>
      <c r="DS125" s="67">
        <f>IFERROR(IF(($DJ125)&gt;0,($DJ125-$DD125-$DG125)/($DJ125),""),"")</f>
        <v/>
      </c>
      <c r="DT125" s="67">
        <f>IFERROR(IF(($DK125)&gt;0,($DK125-$DE125-$DH125)/($DK125),""),"")</f>
        <v/>
      </c>
      <c r="DU125" s="67">
        <f>IFERROR(IF(($DL125)&gt;0,($DL125-$DF125-$DI125)/($DL125),""),"")</f>
        <v/>
      </c>
      <c r="DV125" s="67">
        <f>IFERROR(IF(($DJ125-$DD125-$DG125)&gt;0,($DA125)/($DJ125-$DD125-$DG125),""),"")</f>
        <v/>
      </c>
      <c r="DW125" s="67">
        <f>IFERROR(IF(($DK125-$DE125-$DH125)&gt;0,($DB125)/($DK125-$DE125-$DH125),""),"")</f>
        <v/>
      </c>
      <c r="DX125" s="67">
        <f>IFERROR(IF(($DL125-$DF125-$DI125)&gt;0,($DC125)/($DL125-$DF125-$DI125),""),"")</f>
        <v/>
      </c>
      <c r="DY125" s="55">
        <f>SUMIFS(tblPlant[Cyanide_kg],tblPlant[Date],$A125)</f>
        <v/>
      </c>
      <c r="DZ125" s="55">
        <f>IF($B125=$B124,$DZ124,0)+$DY125</f>
        <v/>
      </c>
      <c r="EA125" s="55">
        <f>$EA124+$DY125</f>
        <v/>
      </c>
      <c r="EB125" s="55">
        <f>SUMIFS(tblPlant[Lime_kg],tblPlant[Date],$A125)</f>
        <v/>
      </c>
      <c r="EC125" s="55">
        <f>IF($B125=$B124,$EC124,0)+$EB125</f>
        <v/>
      </c>
      <c r="ED125" s="55">
        <f>$ED124+$EB125</f>
        <v/>
      </c>
      <c r="EE125" s="55">
        <f>SUMIFS(tblPlant[Grinding_Media_kg],tblPlant[Date],$A125)</f>
        <v/>
      </c>
      <c r="EF125" s="55">
        <f>IF($B125=$B124,$EF124,0)+$EE125</f>
        <v/>
      </c>
      <c r="EG125" s="55">
        <f>$EG124+$EE125</f>
        <v/>
      </c>
      <c r="EH125" s="55">
        <f>SUMIFS(tblPlant[Power_kWh],tblPlant[Date],$A125)</f>
        <v/>
      </c>
      <c r="EI125" s="55">
        <f>IF($B125=$B124,$EI124,0)+$EH125</f>
        <v/>
      </c>
      <c r="EJ125" s="55">
        <f>$EJ124+$EH125</f>
        <v/>
      </c>
      <c r="EK125" s="55">
        <f>SUMIFS(tblPlant[Raw_Water_m3],tblPlant[Date],$A125)</f>
        <v/>
      </c>
      <c r="EL125" s="55">
        <f>IF($B125=$B124,$EL124,0)+$EK125</f>
        <v/>
      </c>
      <c r="EM125" s="55">
        <f>$EM124+$EK125</f>
        <v/>
      </c>
      <c r="EN125" s="56">
        <f>IFERROR(IF(($BZ125)&gt;0,($DY125)/($BZ125),""),"")</f>
        <v/>
      </c>
      <c r="EO125" s="56">
        <f>IFERROR(IF(($CA125)&gt;0,($DZ125)/($CA125),""),"")</f>
        <v/>
      </c>
      <c r="EP125" s="56">
        <f>IFERROR(IF(($CB125)&gt;0,($EA125)/($CB125),""),"")</f>
        <v/>
      </c>
      <c r="EQ125" s="56">
        <f>IFERROR(IF(($BZ125)&gt;0,($EB125)/($BZ125),""),"")</f>
        <v/>
      </c>
      <c r="ER125" s="56">
        <f>IFERROR(IF(($CA125)&gt;0,($EC125)/($CA125),""),"")</f>
        <v/>
      </c>
      <c r="ES125" s="56">
        <f>IFERROR(IF(($CB125)&gt;0,($ED125)/($CB125),""),"")</f>
        <v/>
      </c>
      <c r="ET125" s="56">
        <f>IFERROR(IF(($BZ125)&gt;0,($EE125)/($BZ125),""),"")</f>
        <v/>
      </c>
      <c r="EU125" s="56">
        <f>IFERROR(IF(($CA125)&gt;0,($EF125)/($CA125),""),"")</f>
        <v/>
      </c>
      <c r="EV125" s="56">
        <f>IFERROR(IF(($CB125)&gt;0,($EG125)/($CB125),""),"")</f>
        <v/>
      </c>
      <c r="EW125" s="76">
        <f>IFERROR(IF(($BZ125)&gt;0,($EH125)/($BZ125),""),"")</f>
        <v/>
      </c>
      <c r="EX125" s="76">
        <f>IFERROR(IF(($CA125)&gt;0,($EI125)/($CA125),""),"")</f>
        <v/>
      </c>
      <c r="EY125" s="76">
        <f>IFERROR(IF(($CB125)&gt;0,($EJ125)/($CB125),""),"")</f>
        <v/>
      </c>
      <c r="EZ125" s="56">
        <f>IFERROR(IF(($BZ125)&gt;0,($EK125)/($BZ125),""),"")</f>
        <v/>
      </c>
      <c r="FA125" s="56">
        <f>IFERROR(IF(($CA125)&gt;0,($EL125)/($CA125),""),"")</f>
        <v/>
      </c>
      <c r="FB125" s="56">
        <f>IFERROR(IF(($CB125)&gt;0,($EM125)/($CB125),""),"")</f>
        <v/>
      </c>
      <c r="FC125" s="55">
        <f>IF(SUMIFS(tblPlant[GIC_oz],tblPlant[Date],$A125)&gt;0,SUMIFS(tblPlant[GIC_oz],tblPlant[Date],$A125),"")</f>
        <v/>
      </c>
      <c r="FD125" s="55">
        <f>SUMIFS(tblGold[Gold_oz],tblGold[Date],$A125,tblGold[Type],"Shipment")</f>
        <v/>
      </c>
      <c r="FE125" s="55">
        <f>IF($B125=$B124,$FE124,0)+$FD125</f>
        <v/>
      </c>
      <c r="FF125" s="55">
        <f>$FF124+$FD125</f>
        <v/>
      </c>
      <c r="FG125" s="55">
        <f>SUMIFS(tblGold[Gold_oz],tblGold[Date],$A125,tblGold[Type],"Sale")</f>
        <v/>
      </c>
      <c r="FH125" s="55">
        <f>IF($B125=$B124,$FH124,0)+$FG125</f>
        <v/>
      </c>
      <c r="FI125" s="55">
        <f>$FI124+$FG125</f>
        <v/>
      </c>
      <c r="FJ125" s="55">
        <f>SUMIFS(tblGold[Dore_kg],tblGold[Date],$A125,tblGold[Type],"Shipment")</f>
        <v/>
      </c>
      <c r="FK125" s="55">
        <f>IF($B125=$B124,$FK124,0)+$FJ125</f>
        <v/>
      </c>
      <c r="FL125" s="55">
        <f>$FL124+$FJ125</f>
        <v/>
      </c>
      <c r="FM125" s="57">
        <f>SUMIFS(tblSafety[Hours_Total],tblSafety[Date],$A125)</f>
        <v/>
      </c>
      <c r="FN125" s="57">
        <f>IF($B125=$B124,$FN124,0)+$FM125</f>
        <v/>
      </c>
      <c r="FO125" s="57">
        <f>$FO124+$FM125</f>
        <v/>
      </c>
      <c r="FP125" s="62">
        <f>SUMIFS(tblSafety[Fatality],tblSafety[Date],$A125)</f>
        <v/>
      </c>
      <c r="FQ125" s="62">
        <f>IF($B125=$B124,$FQ124,0)+$FP125</f>
        <v/>
      </c>
      <c r="FR125" s="62">
        <f>$FR124+$FP125</f>
        <v/>
      </c>
      <c r="FS125" s="62">
        <f>SUMIFS(tblSafety[LTI],tblSafety[Date],$A125)</f>
        <v/>
      </c>
      <c r="FT125" s="62">
        <f>IF($B125=$B124,$FT124,0)+$FS125</f>
        <v/>
      </c>
      <c r="FU125" s="62">
        <f>$FU124+$FS125</f>
        <v/>
      </c>
      <c r="FV125" s="62">
        <f>SUMIFS(tblSafety[RWI],tblSafety[Date],$A125)</f>
        <v/>
      </c>
      <c r="FW125" s="62">
        <f>IF($B125=$B124,$FW124,0)+$FV125</f>
        <v/>
      </c>
      <c r="FX125" s="62">
        <f>$FX124+$FV125</f>
        <v/>
      </c>
      <c r="FY125" s="62">
        <f>SUMIFS(tblSafety[MTI],tblSafety[Date],$A125)</f>
        <v/>
      </c>
      <c r="FZ125" s="62">
        <f>IF($B125=$B124,$FZ124,0)+$FY125</f>
        <v/>
      </c>
      <c r="GA125" s="62">
        <f>$GA124+$FY125</f>
        <v/>
      </c>
      <c r="GB125" s="62">
        <f>SUMIFS(tblSafety[FAI],tblSafety[Date],$A125)</f>
        <v/>
      </c>
      <c r="GC125" s="62">
        <f>IF($B125=$B124,$GC124,0)+$GB125</f>
        <v/>
      </c>
      <c r="GD125" s="62">
        <f>$GD124+$GB125</f>
        <v/>
      </c>
      <c r="GE125" s="62">
        <f>SUMIFS(tblSafety[Recordables],tblSafety[Date],$A125)</f>
        <v/>
      </c>
      <c r="GF125" s="62">
        <f>IF($B125=$B124,$GF124,0)+$GE125</f>
        <v/>
      </c>
      <c r="GG125" s="62">
        <f>$GG124+$GE125</f>
        <v/>
      </c>
      <c r="GH125" s="62">
        <f>SUMIFS(tblSafety[Near_Miss],tblSafety[Date],$A125)</f>
        <v/>
      </c>
      <c r="GI125" s="62">
        <f>IF($B125=$B124,$GI124,0)+$GH125</f>
        <v/>
      </c>
      <c r="GJ125" s="62">
        <f>$GJ124+$GH125</f>
        <v/>
      </c>
      <c r="GK125" s="62">
        <f>SUMIFS(tblSafety[Hazard_Reports],tblSafety[Date],$A125)</f>
        <v/>
      </c>
      <c r="GL125" s="62">
        <f>IF($B125=$B124,$GL124,0)+$GK125</f>
        <v/>
      </c>
      <c r="GM125" s="62">
        <f>$GM124+$GK125</f>
        <v/>
      </c>
      <c r="GN125" s="62">
        <f>SUMIFS(tblSafety[HPI],tblSafety[Date],$A125)</f>
        <v/>
      </c>
      <c r="GO125" s="62">
        <f>IF($B125=$B124,$GO124,0)+$GN125</f>
        <v/>
      </c>
      <c r="GP125" s="62">
        <f>$GP124+$GN125</f>
        <v/>
      </c>
      <c r="GQ125" s="62">
        <f>SUMIFS(tblSafety[Env_Incidents],tblSafety[Date],$A125)</f>
        <v/>
      </c>
      <c r="GR125" s="62">
        <f>IF($B125=$B124,$GR124,0)+$GQ125</f>
        <v/>
      </c>
      <c r="GS125" s="62">
        <f>$GS124+$GQ125</f>
        <v/>
      </c>
      <c r="GT125" s="62">
        <f>SUMIFS(tblSafety[Community_Incidents],tblSafety[Date],$A125)</f>
        <v/>
      </c>
      <c r="GU125" s="62">
        <f>IF($B125=$B124,$GU124,0)+$GT125</f>
        <v/>
      </c>
      <c r="GV125" s="62">
        <f>$GV124+$GT125</f>
        <v/>
      </c>
      <c r="GW125" s="62">
        <f>SUMIFS(tblSafety[Vehicle_Incidents],tblSafety[Date],$A125)</f>
        <v/>
      </c>
      <c r="GX125" s="62">
        <f>IF($B125=$B124,$GX124,0)+$GW125</f>
        <v/>
      </c>
      <c r="GY125" s="62">
        <f>$GY124+$GW125</f>
        <v/>
      </c>
      <c r="GZ125" s="62">
        <f>SUMIFS(tblSafety[Toolbox_Talks],tblSafety[Date],$A125)</f>
        <v/>
      </c>
      <c r="HA125" s="62">
        <f>IF($B125=$B124,$HA124,0)+$GZ125</f>
        <v/>
      </c>
      <c r="HB125" s="62">
        <f>$HB124+$GZ125</f>
        <v/>
      </c>
      <c r="HC125" s="62">
        <f>SUMIFS(tblSafety[Inspections],tblSafety[Date],$A125)</f>
        <v/>
      </c>
      <c r="HD125" s="62">
        <f>IF($B125=$B124,$HD124,0)+$HC125</f>
        <v/>
      </c>
      <c r="HE125" s="62">
        <f>$HE124+$HC125</f>
        <v/>
      </c>
      <c r="HF125" s="56">
        <f>IFERROR((SUMIFS(tblSafety[Recordables],tblSafety[Date],"&gt;="&amp;EDATE($E125,-12),tblSafety[Date],"&lt;="&amp;$A125)+SUMIFS(tblSafetyHistory[Recordables],tblSafetyHistory[Month],"&gt;="&amp;EDATE($E125,-12),tblSafetyHistory[Month],"&lt;"&amp;cfg_YearStart))/(SUMIFS(tblSafety[Hours_Total],tblSafety[Date],"&gt;="&amp;EDATE($E125,-12),tblSafety[Date],"&lt;="&amp;$A125)+SUMIFS(tblSafetyHistory[Hours_Total],tblSafetyHistory[Month],"&gt;="&amp;EDATE($E125,-12),tblSafetyHistory[Month],"&lt;"&amp;cfg_YearStart))*1000000,"")</f>
        <v/>
      </c>
      <c r="HG125" s="56">
        <f>IFERROR((SUMIFS(tblSafety[LTI],tblSafety[Date],"&gt;="&amp;EDATE($E125,-12),tblSafety[Date],"&lt;="&amp;$A125)+SUMIFS(tblSafetyHistory[LTI],tblSafetyHistory[Month],"&gt;="&amp;EDATE($E125,-12),tblSafetyHistory[Month],"&lt;"&amp;cfg_YearStart))/(SUMIFS(tblSafety[Hours_Total],tblSafety[Date],"&gt;="&amp;EDATE($E125,-12),tblSafety[Date],"&lt;="&amp;$A125)+SUMIFS(tblSafetyHistory[Hours_Total],tblSafetyHistory[Month],"&gt;="&amp;EDATE($E125,-12),tblSafetyHistory[Month],"&lt;"&amp;cfg_YearStart))*1000000,"")</f>
        <v/>
      </c>
      <c r="HH125" s="62">
        <f>IF(MAX(N(cfg_PriorLTIDate),_xlfn.MAXIFS(tblSafety[Date],tblSafety[LTI],"&gt;0",tblSafety[Date],"&lt;="&amp;$A125))=0,"",$A125-MAX(N(cfg_PriorLTIDate),_xlfn.MAXIFS(tblSafety[Date],tblSafety[LTI],"&gt;0",tblSafety[Date],"&lt;="&amp;$A125)))</f>
        <v/>
      </c>
      <c r="HI125" s="55">
        <f>SUMIFS(tblBudget[Ore_Mined_t],tblBudget[Month],$E125)</f>
        <v/>
      </c>
      <c r="HJ125" s="55">
        <f>$HI125*$C125/$D125</f>
        <v/>
      </c>
      <c r="HK125" s="55">
        <f>SUMIFS(tblBudget[Ore_Mined_t],tblBudget[Month],"&lt;"&amp;$E125)+$HJ125</f>
        <v/>
      </c>
      <c r="HL125" s="55">
        <f>SUMIFS(tblBudget[Ore_oz],tblBudget[Month],$E125)</f>
        <v/>
      </c>
      <c r="HM125" s="55">
        <f>$HL125*$C125/$D125</f>
        <v/>
      </c>
      <c r="HN125" s="55">
        <f>SUMIFS(tblBudget[Ore_oz],tblBudget[Month],"&lt;"&amp;$E125)+$HM125</f>
        <v/>
      </c>
      <c r="HO125" s="56">
        <f>IFERROR(IF(($HI125)&gt;0,($HL125*cfg_TroyOz)/($HI125),""),"")</f>
        <v/>
      </c>
      <c r="HP125" s="56">
        <f>IFERROR(IF(($HJ125)&gt;0,($HM125*cfg_TroyOz)/($HJ125),""),"")</f>
        <v/>
      </c>
      <c r="HQ125" s="56">
        <f>IFERROR(IF(($HK125)&gt;0,($HN125*cfg_TroyOz)/($HK125),""),"")</f>
        <v/>
      </c>
      <c r="HR125" s="55">
        <f>SUMIFS(tblBudget[Waste_t],tblBudget[Month],$E125)</f>
        <v/>
      </c>
      <c r="HS125" s="55">
        <f>$HR125*$C125/$D125</f>
        <v/>
      </c>
      <c r="HT125" s="55">
        <f>SUMIFS(tblBudget[Waste_t],tblBudget[Month],"&lt;"&amp;$E125)+$HS125</f>
        <v/>
      </c>
      <c r="HU125" s="55">
        <f>SUMIFS(tblBudget[TMM_t],tblBudget[Month],$E125)</f>
        <v/>
      </c>
      <c r="HV125" s="55">
        <f>$HU125*$C125/$D125</f>
        <v/>
      </c>
      <c r="HW125" s="55">
        <f>SUMIFS(tblBudget[TMM_t],tblBudget[Month],"&lt;"&amp;$E125)+$HV125</f>
        <v/>
      </c>
      <c r="HX125" s="56">
        <f>IFERROR(IF(($HI125)&gt;0,($HR125)/($HI125),""),"")</f>
        <v/>
      </c>
      <c r="HY125" s="56">
        <f>IFERROR(IF(($HJ125)&gt;0,($HS125)/($HJ125),""),"")</f>
        <v/>
      </c>
      <c r="HZ125" s="56">
        <f>IFERROR(IF(($HK125)&gt;0,($HT125)/($HK125),""),"")</f>
        <v/>
      </c>
      <c r="IA125" s="55">
        <f>SUMIFS(tblBudget[Drill_m],tblBudget[Month],$E125)</f>
        <v/>
      </c>
      <c r="IB125" s="55">
        <f>$IA125*$C125/$D125</f>
        <v/>
      </c>
      <c r="IC125" s="55">
        <f>SUMIFS(tblBudget[Drill_m],tblBudget[Month],"&lt;"&amp;$E125)+$IB125</f>
        <v/>
      </c>
      <c r="ID125" s="55">
        <f>SUMIFS(tblBudget[Diesel_L],tblBudget[Month],$E125)</f>
        <v/>
      </c>
      <c r="IE125" s="55">
        <f>$ID125*$C125/$D125</f>
        <v/>
      </c>
      <c r="IF125" s="55">
        <f>SUMIFS(tblBudget[Diesel_L],tblBudget[Month],"&lt;"&amp;$E125)+$IE125</f>
        <v/>
      </c>
      <c r="IG125" s="55">
        <f>SUMIFS(tblBudget[Milled_t],tblBudget[Month],$E125)</f>
        <v/>
      </c>
      <c r="IH125" s="55">
        <f>$IG125*$C125/$D125</f>
        <v/>
      </c>
      <c r="II125" s="55">
        <f>SUMIFS(tblBudget[Milled_t],tblBudget[Month],"&lt;"&amp;$E125)+$IH125</f>
        <v/>
      </c>
      <c r="IJ125" s="55">
        <f>SUMIFS(tblBudget[Feed_oz],tblBudget[Month],$E125)</f>
        <v/>
      </c>
      <c r="IK125" s="55">
        <f>$IJ125*$C125/$D125</f>
        <v/>
      </c>
      <c r="IL125" s="55">
        <f>SUMIFS(tblBudget[Feed_oz],tblBudget[Month],"&lt;"&amp;$E125)+$IK125</f>
        <v/>
      </c>
      <c r="IM125" s="55">
        <f>SUMIFS(tblBudget[Recovered_oz],tblBudget[Month],$E125)</f>
        <v/>
      </c>
      <c r="IN125" s="55">
        <f>$IM125*$C125/$D125</f>
        <v/>
      </c>
      <c r="IO125" s="55">
        <f>SUMIFS(tblBudget[Recovered_oz],tblBudget[Month],"&lt;"&amp;$E125)+$IN125</f>
        <v/>
      </c>
      <c r="IP125" s="56">
        <f>IFERROR(IF(($IG125)&gt;0,($IJ125*cfg_TroyOz)/($IG125),""),"")</f>
        <v/>
      </c>
      <c r="IQ125" s="56">
        <f>IFERROR(IF(($IH125)&gt;0,($IK125*cfg_TroyOz)/($IH125),""),"")</f>
        <v/>
      </c>
      <c r="IR125" s="56">
        <f>IFERROR(IF(($II125)&gt;0,($IL125*cfg_TroyOz)/($II125),""),"")</f>
        <v/>
      </c>
      <c r="IS125" s="67">
        <f>IFERROR(IF(($IJ125)&gt;0,($IM125)/($IJ125),""),"")</f>
        <v/>
      </c>
      <c r="IT125" s="67">
        <f>IFERROR(IF(($IK125)&gt;0,($IN125)/($IK125),""),"")</f>
        <v/>
      </c>
      <c r="IU125" s="67">
        <f>IFERROR(IF(($IL125)&gt;0,($IO125)/($IL125),""),"")</f>
        <v/>
      </c>
      <c r="IV125" s="55">
        <f>SUMIFS(tblBudget[Gold_Poured_oz],tblBudget[Month],$E125)</f>
        <v/>
      </c>
      <c r="IW125" s="55">
        <f>$IV125*$C125/$D125</f>
        <v/>
      </c>
      <c r="IX125" s="55">
        <f>SUMIFS(tblBudget[Gold_Poured_oz],tblBudget[Month],"&lt;"&amp;$E125)+$IW125</f>
        <v/>
      </c>
      <c r="IY125" s="57">
        <f>SUMIFS(tblBudget[Hours_Worked],tblBudget[Month],$E125)</f>
        <v/>
      </c>
      <c r="IZ125" s="57">
        <f>$IY125*$C125/$D125</f>
        <v/>
      </c>
      <c r="JA125" s="57">
        <f>SUMIFS(tblBudget[Hours_Worked],tblBudget[Month],"&lt;"&amp;$E125)+$IZ125</f>
        <v/>
      </c>
    </row>
    <row r="126">
      <c r="A126" s="54" t="n">
        <v>46147</v>
      </c>
      <c r="B126">
        <f>MONTH($A126)</f>
        <v/>
      </c>
      <c r="C126">
        <f>DAY($A126)</f>
        <v/>
      </c>
      <c r="D126">
        <f>DAY(EOMONTH($A126,0))</f>
        <v/>
      </c>
      <c r="E126" s="54">
        <f>DATE(YEAR($A126),MONTH($A126),1)</f>
        <v/>
      </c>
      <c r="F126" s="55">
        <f>SUMIFS(tblMovement[Tonnes_t],tblMovement[Date],$A126,tblMovement[Is_Ore],1,tblMovement[Source_Type],"Pit")</f>
        <v/>
      </c>
      <c r="G126" s="55">
        <f>IF($B126=$B125,$G125,0)+$F126</f>
        <v/>
      </c>
      <c r="H126" s="55">
        <f>$H125+$F126</f>
        <v/>
      </c>
      <c r="I126" s="55">
        <f>SUMIFS(tblMovement[Ore_oz],tblMovement[Date],$A126,tblMovement[Source_Type],"Pit")</f>
        <v/>
      </c>
      <c r="J126" s="55">
        <f>IF($B126=$B125,$J125,0)+$I126</f>
        <v/>
      </c>
      <c r="K126" s="55">
        <f>$K125+$I126</f>
        <v/>
      </c>
      <c r="L126" s="56">
        <f>IFERROR(IF(($F126)&gt;0,($I126*cfg_TroyOz)/($F126),""),"")</f>
        <v/>
      </c>
      <c r="M126" s="56">
        <f>IFERROR(IF(($G126)&gt;0,($J126*cfg_TroyOz)/($G126),""),"")</f>
        <v/>
      </c>
      <c r="N126" s="56">
        <f>IFERROR(IF(($H126)&gt;0,($K126*cfg_TroyOz)/($H126),""),"")</f>
        <v/>
      </c>
      <c r="O126" s="55">
        <f>SUMIFS(tblMovement[Tonnes_t],tblMovement[Date],$A126,tblMovement[Is_Ore],0,tblMovement[Source_Type],"Pit")</f>
        <v/>
      </c>
      <c r="P126" s="55">
        <f>IF($B126=$B125,$P125,0)+$O126</f>
        <v/>
      </c>
      <c r="Q126" s="55">
        <f>$Q125+$O126</f>
        <v/>
      </c>
      <c r="R126" s="55">
        <f>$F126+$O126</f>
        <v/>
      </c>
      <c r="S126" s="55">
        <f>IF($B126=$B125,$S125,0)+$R126</f>
        <v/>
      </c>
      <c r="T126" s="55">
        <f>$T125+$R126</f>
        <v/>
      </c>
      <c r="U126" s="56">
        <f>IFERROR(IF(($F126)&gt;0,($O126)/($F126),""),"")</f>
        <v/>
      </c>
      <c r="V126" s="56">
        <f>IFERROR(IF(($G126)&gt;0,($P126)/($G126),""),"")</f>
        <v/>
      </c>
      <c r="W126" s="56">
        <f>IFERROR(IF(($H126)&gt;0,($Q126)/($H126),""),"")</f>
        <v/>
      </c>
      <c r="X126" s="55">
        <f>SUMIFS(tblMovement[Tonnes_t],tblMovement[Date],$A126,tblMovement[Source_Type],"Stockpile")</f>
        <v/>
      </c>
      <c r="Y126" s="55">
        <f>IF($B126=$B125,$Y125,0)+$X126</f>
        <v/>
      </c>
      <c r="Z126" s="55">
        <f>$Z125+$X126</f>
        <v/>
      </c>
      <c r="AA126" s="55">
        <f>SUMIFS(tblMiningDaily[Drill_m],tblMiningDaily[Date],$A126)</f>
        <v/>
      </c>
      <c r="AB126" s="55">
        <f>IF($B126=$B125,$AB125,0)+$AA126</f>
        <v/>
      </c>
      <c r="AC126" s="55">
        <f>$AC125+$AA126</f>
        <v/>
      </c>
      <c r="AD126" s="55">
        <f>SUMIFS(tblMiningDaily[Blast_t],tblMiningDaily[Date],$A126)</f>
        <v/>
      </c>
      <c r="AE126" s="55">
        <f>IF($B126=$B125,$AE125,0)+$AD126</f>
        <v/>
      </c>
      <c r="AF126" s="55">
        <f>$AF125+$AD126</f>
        <v/>
      </c>
      <c r="AG126" s="55">
        <f>SUMIFS(tblMiningDaily[Explosives_kg],tblMiningDaily[Date],$A126)</f>
        <v/>
      </c>
      <c r="AH126" s="55">
        <f>IF($B126=$B125,$AH125,0)+$AG126</f>
        <v/>
      </c>
      <c r="AI126" s="55">
        <f>$AI125+$AG126</f>
        <v/>
      </c>
      <c r="AJ126" s="56">
        <f>IFERROR(IF(($AD126)&gt;0,($AG126)/($AD126),""),"")</f>
        <v/>
      </c>
      <c r="AK126" s="56">
        <f>IFERROR(IF(($AE126)&gt;0,($AH126)/($AE126),""),"")</f>
        <v/>
      </c>
      <c r="AL126" s="56">
        <f>IFERROR(IF(($AF126)&gt;0,($AI126)/($AF126),""),"")</f>
        <v/>
      </c>
      <c r="AM126" s="55">
        <f>SUMIFS(tblMiningDaily[Diesel_L],tblMiningDaily[Date],$A126)</f>
        <v/>
      </c>
      <c r="AN126" s="55">
        <f>IF($B126=$B125,$AN125,0)+$AM126</f>
        <v/>
      </c>
      <c r="AO126" s="55">
        <f>$AO125+$AM126</f>
        <v/>
      </c>
      <c r="AP126" s="55">
        <f>SUMIFS(tblMiningDaily[Dewatering_m3],tblMiningDaily[Date],$A126)</f>
        <v/>
      </c>
      <c r="AQ126" s="55">
        <f>IF($B126=$B125,$AQ125,0)+$AP126</f>
        <v/>
      </c>
      <c r="AR126" s="55">
        <f>$AR125+$AP126</f>
        <v/>
      </c>
      <c r="AS126" s="57">
        <f>SUMIFS(tblFleet[Calendar_h],tblFleet[Date],$A126,tblFleet[Equipment_Class],"Excavator")</f>
        <v/>
      </c>
      <c r="AT126" s="57">
        <f>IF($B126=$B125,$AT125,0)+$AS126</f>
        <v/>
      </c>
      <c r="AU126" s="57">
        <f>$AU125+$AS126</f>
        <v/>
      </c>
      <c r="AV126" s="57">
        <f>SUMIFS(tblFleet[Available_h],tblFleet[Date],$A126,tblFleet[Equipment_Class],"Excavator")</f>
        <v/>
      </c>
      <c r="AW126" s="57">
        <f>IF($B126=$B125,$AW125,0)+$AV126</f>
        <v/>
      </c>
      <c r="AX126" s="57">
        <f>$AX125+$AV126</f>
        <v/>
      </c>
      <c r="AY126" s="57">
        <f>SUMIFS(tblFleet[Operating_h],tblFleet[Date],$A126,tblFleet[Equipment_Class],"Excavator")</f>
        <v/>
      </c>
      <c r="AZ126" s="57">
        <f>IF($B126=$B125,$AZ125,0)+$AY126</f>
        <v/>
      </c>
      <c r="BA126" s="57">
        <f>$BA125+$AY126</f>
        <v/>
      </c>
      <c r="BB126" s="67">
        <f>IFERROR(IF(($AS126)&gt;0,($AV126)/($AS126),""),"")</f>
        <v/>
      </c>
      <c r="BC126" s="67">
        <f>IFERROR(IF(($AT126)&gt;0,($AW126)/($AT126),""),"")</f>
        <v/>
      </c>
      <c r="BD126" s="67">
        <f>IFERROR(IF(($AU126)&gt;0,($AX126)/($AU126),""),"")</f>
        <v/>
      </c>
      <c r="BE126" s="67">
        <f>IFERROR(IF(($AV126)&gt;0,($AY126)/($AV126),""),"")</f>
        <v/>
      </c>
      <c r="BF126" s="67">
        <f>IFERROR(IF(($AW126)&gt;0,($AZ126)/($AW126),""),"")</f>
        <v/>
      </c>
      <c r="BG126" s="67">
        <f>IFERROR(IF(($AX126)&gt;0,($BA126)/($AX126),""),"")</f>
        <v/>
      </c>
      <c r="BH126" s="57">
        <f>SUMIFS(tblFleet[Calendar_h],tblFleet[Date],$A126,tblFleet[Equipment_Class],"Haul Truck")</f>
        <v/>
      </c>
      <c r="BI126" s="57">
        <f>IF($B126=$B125,$BI125,0)+$BH126</f>
        <v/>
      </c>
      <c r="BJ126" s="57">
        <f>$BJ125+$BH126</f>
        <v/>
      </c>
      <c r="BK126" s="57">
        <f>SUMIFS(tblFleet[Available_h],tblFleet[Date],$A126,tblFleet[Equipment_Class],"Haul Truck")</f>
        <v/>
      </c>
      <c r="BL126" s="57">
        <f>IF($B126=$B125,$BL125,0)+$BK126</f>
        <v/>
      </c>
      <c r="BM126" s="57">
        <f>$BM125+$BK126</f>
        <v/>
      </c>
      <c r="BN126" s="57">
        <f>SUMIFS(tblFleet[Operating_h],tblFleet[Date],$A126,tblFleet[Equipment_Class],"Haul Truck")</f>
        <v/>
      </c>
      <c r="BO126" s="57">
        <f>IF($B126=$B125,$BO125,0)+$BN126</f>
        <v/>
      </c>
      <c r="BP126" s="57">
        <f>$BP125+$BN126</f>
        <v/>
      </c>
      <c r="BQ126" s="67">
        <f>IFERROR(IF(($BH126)&gt;0,($BK126)/($BH126),""),"")</f>
        <v/>
      </c>
      <c r="BR126" s="67">
        <f>IFERROR(IF(($BI126)&gt;0,($BL126)/($BI126),""),"")</f>
        <v/>
      </c>
      <c r="BS126" s="67">
        <f>IFERROR(IF(($BJ126)&gt;0,($BM126)/($BJ126),""),"")</f>
        <v/>
      </c>
      <c r="BT126" s="67">
        <f>IFERROR(IF(($BK126)&gt;0,($BN126)/($BK126),""),"")</f>
        <v/>
      </c>
      <c r="BU126" s="67">
        <f>IFERROR(IF(($BL126)&gt;0,($BO126)/($BL126),""),"")</f>
        <v/>
      </c>
      <c r="BV126" s="67">
        <f>IFERROR(IF(($BM126)&gt;0,($BP126)/($BM126),""),"")</f>
        <v/>
      </c>
      <c r="BW126" s="55">
        <f>SUMIFS(tblPlant[Crushed_t],tblPlant[Date],$A126)</f>
        <v/>
      </c>
      <c r="BX126" s="55">
        <f>IF($B126=$B125,$BX125,0)+$BW126</f>
        <v/>
      </c>
      <c r="BY126" s="55">
        <f>$BY125+$BW126</f>
        <v/>
      </c>
      <c r="BZ126" s="55">
        <f>SUMIFS(tblPlant[Milled_t],tblPlant[Date],$A126)</f>
        <v/>
      </c>
      <c r="CA126" s="55">
        <f>IF($B126=$B125,$CA125,0)+$BZ126</f>
        <v/>
      </c>
      <c r="CB126" s="55">
        <f>$CB125+$BZ126</f>
        <v/>
      </c>
      <c r="CC126" s="55">
        <f>SUMIFS(tblPlant[Feed_oz],tblPlant[Date],$A126)</f>
        <v/>
      </c>
      <c r="CD126" s="55">
        <f>IF($B126=$B125,$CD125,0)+$CC126</f>
        <v/>
      </c>
      <c r="CE126" s="55">
        <f>$CE125+$CC126</f>
        <v/>
      </c>
      <c r="CF126" s="55">
        <f>SUMIFS(tblPlant[Tails_oz],tblPlant[Date],$A126)</f>
        <v/>
      </c>
      <c r="CG126" s="55">
        <f>IF($B126=$B125,$CG125,0)+$CF126</f>
        <v/>
      </c>
      <c r="CH126" s="55">
        <f>$CH125+$CF126</f>
        <v/>
      </c>
      <c r="CI126" s="55">
        <f>SUMIFS(tblPlant[Recovered_oz],tblPlant[Date],$A126)</f>
        <v/>
      </c>
      <c r="CJ126" s="55">
        <f>IF($B126=$B125,$CJ125,0)+$CI126</f>
        <v/>
      </c>
      <c r="CK126" s="55">
        <f>$CK125+$CI126</f>
        <v/>
      </c>
      <c r="CL126" s="56">
        <f>IFERROR(IF(($BZ126)&gt;0,($CC126*cfg_TroyOz)/($BZ126),""),"")</f>
        <v/>
      </c>
      <c r="CM126" s="56">
        <f>IFERROR(IF(($CA126)&gt;0,($CD126*cfg_TroyOz)/($CA126),""),"")</f>
        <v/>
      </c>
      <c r="CN126" s="56">
        <f>IFERROR(IF(($CB126)&gt;0,($CE126*cfg_TroyOz)/($CB126),""),"")</f>
        <v/>
      </c>
      <c r="CO126" s="56">
        <f>IFERROR(IF(($BZ126)&gt;0,($CF126*cfg_TroyOz)/($BZ126),""),"")</f>
        <v/>
      </c>
      <c r="CP126" s="56">
        <f>IFERROR(IF(($CA126)&gt;0,($CG126*cfg_TroyOz)/($CA126),""),"")</f>
        <v/>
      </c>
      <c r="CQ126" s="56">
        <f>IFERROR(IF(($CB126)&gt;0,($CH126*cfg_TroyOz)/($CB126),""),"")</f>
        <v/>
      </c>
      <c r="CR126" s="67">
        <f>IFERROR(IF(($CC126)&gt;0,($CI126)/($CC126),""),"")</f>
        <v/>
      </c>
      <c r="CS126" s="67">
        <f>IFERROR(IF(($CD126)&gt;0,($CJ126)/($CD126),""),"")</f>
        <v/>
      </c>
      <c r="CT126" s="67">
        <f>IFERROR(IF(($CE126)&gt;0,($CK126)/($CE126),""),"")</f>
        <v/>
      </c>
      <c r="CU126" s="55">
        <f>SUMIFS(tblPlant[Gravity_Gold_oz],tblPlant[Date],$A126)</f>
        <v/>
      </c>
      <c r="CV126" s="55">
        <f>IF($B126=$B125,$CV125,0)+$CU126</f>
        <v/>
      </c>
      <c r="CW126" s="55">
        <f>$CW125+$CU126</f>
        <v/>
      </c>
      <c r="CX126" s="55">
        <f>SUMIFS(tblPlant[Gold_Poured_oz],tblPlant[Date],$A126)</f>
        <v/>
      </c>
      <c r="CY126" s="55">
        <f>IF($B126=$B125,$CY125,0)+$CX126</f>
        <v/>
      </c>
      <c r="CZ126" s="55">
        <f>$CZ125+$CX126</f>
        <v/>
      </c>
      <c r="DA126" s="57">
        <f>SUMIFS(tblPlant[Mill_Run_h],tblPlant[Date],$A126)</f>
        <v/>
      </c>
      <c r="DB126" s="57">
        <f>IF($B126=$B125,$DB125,0)+$DA126</f>
        <v/>
      </c>
      <c r="DC126" s="57">
        <f>$DC125+$DA126</f>
        <v/>
      </c>
      <c r="DD126" s="57">
        <f>SUMIFS(tblPlant[Mill_Planned_Maint_h],tblPlant[Date],$A126)</f>
        <v/>
      </c>
      <c r="DE126" s="57">
        <f>IF($B126=$B125,$DE125,0)+$DD126</f>
        <v/>
      </c>
      <c r="DF126" s="57">
        <f>$DF125+$DD126</f>
        <v/>
      </c>
      <c r="DG126" s="57">
        <f>SUMIFS(tblPlant[Mill_Unplanned_Down_h],tblPlant[Date],$A126)</f>
        <v/>
      </c>
      <c r="DH126" s="57">
        <f>IF($B126=$B125,$DH125,0)+$DG126</f>
        <v/>
      </c>
      <c r="DI126" s="57">
        <f>$DI125+$DG126</f>
        <v/>
      </c>
      <c r="DJ126" s="57">
        <f>COUNTIFS(tblPlant[Date],$A126,tblPlant[Mill_Run_h],"&lt;&gt;")*24</f>
        <v/>
      </c>
      <c r="DK126" s="57">
        <f>IF($B126=$B125,$DK125,0)+$DJ126</f>
        <v/>
      </c>
      <c r="DL126" s="57">
        <f>$DL125+$DJ126</f>
        <v/>
      </c>
      <c r="DM126" s="57">
        <f>SUMIFS(tblPlant[Crusher_Run_h],tblPlant[Date],$A126)</f>
        <v/>
      </c>
      <c r="DN126" s="57">
        <f>IF($B126=$B125,$DN125,0)+$DM126</f>
        <v/>
      </c>
      <c r="DO126" s="57">
        <f>$DO125+$DM126</f>
        <v/>
      </c>
      <c r="DP126" s="55">
        <f>IFERROR(IF(($DA126)&gt;0,($BZ126)/($DA126),""),"")</f>
        <v/>
      </c>
      <c r="DQ126" s="55">
        <f>IFERROR(IF(($DB126)&gt;0,($CA126)/($DB126),""),"")</f>
        <v/>
      </c>
      <c r="DR126" s="55">
        <f>IFERROR(IF(($DC126)&gt;0,($CB126)/($DC126),""),"")</f>
        <v/>
      </c>
      <c r="DS126" s="67">
        <f>IFERROR(IF(($DJ126)&gt;0,($DJ126-$DD126-$DG126)/($DJ126),""),"")</f>
        <v/>
      </c>
      <c r="DT126" s="67">
        <f>IFERROR(IF(($DK126)&gt;0,($DK126-$DE126-$DH126)/($DK126),""),"")</f>
        <v/>
      </c>
      <c r="DU126" s="67">
        <f>IFERROR(IF(($DL126)&gt;0,($DL126-$DF126-$DI126)/($DL126),""),"")</f>
        <v/>
      </c>
      <c r="DV126" s="67">
        <f>IFERROR(IF(($DJ126-$DD126-$DG126)&gt;0,($DA126)/($DJ126-$DD126-$DG126),""),"")</f>
        <v/>
      </c>
      <c r="DW126" s="67">
        <f>IFERROR(IF(($DK126-$DE126-$DH126)&gt;0,($DB126)/($DK126-$DE126-$DH126),""),"")</f>
        <v/>
      </c>
      <c r="DX126" s="67">
        <f>IFERROR(IF(($DL126-$DF126-$DI126)&gt;0,($DC126)/($DL126-$DF126-$DI126),""),"")</f>
        <v/>
      </c>
      <c r="DY126" s="55">
        <f>SUMIFS(tblPlant[Cyanide_kg],tblPlant[Date],$A126)</f>
        <v/>
      </c>
      <c r="DZ126" s="55">
        <f>IF($B126=$B125,$DZ125,0)+$DY126</f>
        <v/>
      </c>
      <c r="EA126" s="55">
        <f>$EA125+$DY126</f>
        <v/>
      </c>
      <c r="EB126" s="55">
        <f>SUMIFS(tblPlant[Lime_kg],tblPlant[Date],$A126)</f>
        <v/>
      </c>
      <c r="EC126" s="55">
        <f>IF($B126=$B125,$EC125,0)+$EB126</f>
        <v/>
      </c>
      <c r="ED126" s="55">
        <f>$ED125+$EB126</f>
        <v/>
      </c>
      <c r="EE126" s="55">
        <f>SUMIFS(tblPlant[Grinding_Media_kg],tblPlant[Date],$A126)</f>
        <v/>
      </c>
      <c r="EF126" s="55">
        <f>IF($B126=$B125,$EF125,0)+$EE126</f>
        <v/>
      </c>
      <c r="EG126" s="55">
        <f>$EG125+$EE126</f>
        <v/>
      </c>
      <c r="EH126" s="55">
        <f>SUMIFS(tblPlant[Power_kWh],tblPlant[Date],$A126)</f>
        <v/>
      </c>
      <c r="EI126" s="55">
        <f>IF($B126=$B125,$EI125,0)+$EH126</f>
        <v/>
      </c>
      <c r="EJ126" s="55">
        <f>$EJ125+$EH126</f>
        <v/>
      </c>
      <c r="EK126" s="55">
        <f>SUMIFS(tblPlant[Raw_Water_m3],tblPlant[Date],$A126)</f>
        <v/>
      </c>
      <c r="EL126" s="55">
        <f>IF($B126=$B125,$EL125,0)+$EK126</f>
        <v/>
      </c>
      <c r="EM126" s="55">
        <f>$EM125+$EK126</f>
        <v/>
      </c>
      <c r="EN126" s="56">
        <f>IFERROR(IF(($BZ126)&gt;0,($DY126)/($BZ126),""),"")</f>
        <v/>
      </c>
      <c r="EO126" s="56">
        <f>IFERROR(IF(($CA126)&gt;0,($DZ126)/($CA126),""),"")</f>
        <v/>
      </c>
      <c r="EP126" s="56">
        <f>IFERROR(IF(($CB126)&gt;0,($EA126)/($CB126),""),"")</f>
        <v/>
      </c>
      <c r="EQ126" s="56">
        <f>IFERROR(IF(($BZ126)&gt;0,($EB126)/($BZ126),""),"")</f>
        <v/>
      </c>
      <c r="ER126" s="56">
        <f>IFERROR(IF(($CA126)&gt;0,($EC126)/($CA126),""),"")</f>
        <v/>
      </c>
      <c r="ES126" s="56">
        <f>IFERROR(IF(($CB126)&gt;0,($ED126)/($CB126),""),"")</f>
        <v/>
      </c>
      <c r="ET126" s="56">
        <f>IFERROR(IF(($BZ126)&gt;0,($EE126)/($BZ126),""),"")</f>
        <v/>
      </c>
      <c r="EU126" s="56">
        <f>IFERROR(IF(($CA126)&gt;0,($EF126)/($CA126),""),"")</f>
        <v/>
      </c>
      <c r="EV126" s="56">
        <f>IFERROR(IF(($CB126)&gt;0,($EG126)/($CB126),""),"")</f>
        <v/>
      </c>
      <c r="EW126" s="76">
        <f>IFERROR(IF(($BZ126)&gt;0,($EH126)/($BZ126),""),"")</f>
        <v/>
      </c>
      <c r="EX126" s="76">
        <f>IFERROR(IF(($CA126)&gt;0,($EI126)/($CA126),""),"")</f>
        <v/>
      </c>
      <c r="EY126" s="76">
        <f>IFERROR(IF(($CB126)&gt;0,($EJ126)/($CB126),""),"")</f>
        <v/>
      </c>
      <c r="EZ126" s="56">
        <f>IFERROR(IF(($BZ126)&gt;0,($EK126)/($BZ126),""),"")</f>
        <v/>
      </c>
      <c r="FA126" s="56">
        <f>IFERROR(IF(($CA126)&gt;0,($EL126)/($CA126),""),"")</f>
        <v/>
      </c>
      <c r="FB126" s="56">
        <f>IFERROR(IF(($CB126)&gt;0,($EM126)/($CB126),""),"")</f>
        <v/>
      </c>
      <c r="FC126" s="55">
        <f>IF(SUMIFS(tblPlant[GIC_oz],tblPlant[Date],$A126)&gt;0,SUMIFS(tblPlant[GIC_oz],tblPlant[Date],$A126),"")</f>
        <v/>
      </c>
      <c r="FD126" s="55">
        <f>SUMIFS(tblGold[Gold_oz],tblGold[Date],$A126,tblGold[Type],"Shipment")</f>
        <v/>
      </c>
      <c r="FE126" s="55">
        <f>IF($B126=$B125,$FE125,0)+$FD126</f>
        <v/>
      </c>
      <c r="FF126" s="55">
        <f>$FF125+$FD126</f>
        <v/>
      </c>
      <c r="FG126" s="55">
        <f>SUMIFS(tblGold[Gold_oz],tblGold[Date],$A126,tblGold[Type],"Sale")</f>
        <v/>
      </c>
      <c r="FH126" s="55">
        <f>IF($B126=$B125,$FH125,0)+$FG126</f>
        <v/>
      </c>
      <c r="FI126" s="55">
        <f>$FI125+$FG126</f>
        <v/>
      </c>
      <c r="FJ126" s="55">
        <f>SUMIFS(tblGold[Dore_kg],tblGold[Date],$A126,tblGold[Type],"Shipment")</f>
        <v/>
      </c>
      <c r="FK126" s="55">
        <f>IF($B126=$B125,$FK125,0)+$FJ126</f>
        <v/>
      </c>
      <c r="FL126" s="55">
        <f>$FL125+$FJ126</f>
        <v/>
      </c>
      <c r="FM126" s="57">
        <f>SUMIFS(tblSafety[Hours_Total],tblSafety[Date],$A126)</f>
        <v/>
      </c>
      <c r="FN126" s="57">
        <f>IF($B126=$B125,$FN125,0)+$FM126</f>
        <v/>
      </c>
      <c r="FO126" s="57">
        <f>$FO125+$FM126</f>
        <v/>
      </c>
      <c r="FP126" s="62">
        <f>SUMIFS(tblSafety[Fatality],tblSafety[Date],$A126)</f>
        <v/>
      </c>
      <c r="FQ126" s="62">
        <f>IF($B126=$B125,$FQ125,0)+$FP126</f>
        <v/>
      </c>
      <c r="FR126" s="62">
        <f>$FR125+$FP126</f>
        <v/>
      </c>
      <c r="FS126" s="62">
        <f>SUMIFS(tblSafety[LTI],tblSafety[Date],$A126)</f>
        <v/>
      </c>
      <c r="FT126" s="62">
        <f>IF($B126=$B125,$FT125,0)+$FS126</f>
        <v/>
      </c>
      <c r="FU126" s="62">
        <f>$FU125+$FS126</f>
        <v/>
      </c>
      <c r="FV126" s="62">
        <f>SUMIFS(tblSafety[RWI],tblSafety[Date],$A126)</f>
        <v/>
      </c>
      <c r="FW126" s="62">
        <f>IF($B126=$B125,$FW125,0)+$FV126</f>
        <v/>
      </c>
      <c r="FX126" s="62">
        <f>$FX125+$FV126</f>
        <v/>
      </c>
      <c r="FY126" s="62">
        <f>SUMIFS(tblSafety[MTI],tblSafety[Date],$A126)</f>
        <v/>
      </c>
      <c r="FZ126" s="62">
        <f>IF($B126=$B125,$FZ125,0)+$FY126</f>
        <v/>
      </c>
      <c r="GA126" s="62">
        <f>$GA125+$FY126</f>
        <v/>
      </c>
      <c r="GB126" s="62">
        <f>SUMIFS(tblSafety[FAI],tblSafety[Date],$A126)</f>
        <v/>
      </c>
      <c r="GC126" s="62">
        <f>IF($B126=$B125,$GC125,0)+$GB126</f>
        <v/>
      </c>
      <c r="GD126" s="62">
        <f>$GD125+$GB126</f>
        <v/>
      </c>
      <c r="GE126" s="62">
        <f>SUMIFS(tblSafety[Recordables],tblSafety[Date],$A126)</f>
        <v/>
      </c>
      <c r="GF126" s="62">
        <f>IF($B126=$B125,$GF125,0)+$GE126</f>
        <v/>
      </c>
      <c r="GG126" s="62">
        <f>$GG125+$GE126</f>
        <v/>
      </c>
      <c r="GH126" s="62">
        <f>SUMIFS(tblSafety[Near_Miss],tblSafety[Date],$A126)</f>
        <v/>
      </c>
      <c r="GI126" s="62">
        <f>IF($B126=$B125,$GI125,0)+$GH126</f>
        <v/>
      </c>
      <c r="GJ126" s="62">
        <f>$GJ125+$GH126</f>
        <v/>
      </c>
      <c r="GK126" s="62">
        <f>SUMIFS(tblSafety[Hazard_Reports],tblSafety[Date],$A126)</f>
        <v/>
      </c>
      <c r="GL126" s="62">
        <f>IF($B126=$B125,$GL125,0)+$GK126</f>
        <v/>
      </c>
      <c r="GM126" s="62">
        <f>$GM125+$GK126</f>
        <v/>
      </c>
      <c r="GN126" s="62">
        <f>SUMIFS(tblSafety[HPI],tblSafety[Date],$A126)</f>
        <v/>
      </c>
      <c r="GO126" s="62">
        <f>IF($B126=$B125,$GO125,0)+$GN126</f>
        <v/>
      </c>
      <c r="GP126" s="62">
        <f>$GP125+$GN126</f>
        <v/>
      </c>
      <c r="GQ126" s="62">
        <f>SUMIFS(tblSafety[Env_Incidents],tblSafety[Date],$A126)</f>
        <v/>
      </c>
      <c r="GR126" s="62">
        <f>IF($B126=$B125,$GR125,0)+$GQ126</f>
        <v/>
      </c>
      <c r="GS126" s="62">
        <f>$GS125+$GQ126</f>
        <v/>
      </c>
      <c r="GT126" s="62">
        <f>SUMIFS(tblSafety[Community_Incidents],tblSafety[Date],$A126)</f>
        <v/>
      </c>
      <c r="GU126" s="62">
        <f>IF($B126=$B125,$GU125,0)+$GT126</f>
        <v/>
      </c>
      <c r="GV126" s="62">
        <f>$GV125+$GT126</f>
        <v/>
      </c>
      <c r="GW126" s="62">
        <f>SUMIFS(tblSafety[Vehicle_Incidents],tblSafety[Date],$A126)</f>
        <v/>
      </c>
      <c r="GX126" s="62">
        <f>IF($B126=$B125,$GX125,0)+$GW126</f>
        <v/>
      </c>
      <c r="GY126" s="62">
        <f>$GY125+$GW126</f>
        <v/>
      </c>
      <c r="GZ126" s="62">
        <f>SUMIFS(tblSafety[Toolbox_Talks],tblSafety[Date],$A126)</f>
        <v/>
      </c>
      <c r="HA126" s="62">
        <f>IF($B126=$B125,$HA125,0)+$GZ126</f>
        <v/>
      </c>
      <c r="HB126" s="62">
        <f>$HB125+$GZ126</f>
        <v/>
      </c>
      <c r="HC126" s="62">
        <f>SUMIFS(tblSafety[Inspections],tblSafety[Date],$A126)</f>
        <v/>
      </c>
      <c r="HD126" s="62">
        <f>IF($B126=$B125,$HD125,0)+$HC126</f>
        <v/>
      </c>
      <c r="HE126" s="62">
        <f>$HE125+$HC126</f>
        <v/>
      </c>
      <c r="HF126" s="56">
        <f>IFERROR((SUMIFS(tblSafety[Recordables],tblSafety[Date],"&gt;="&amp;EDATE($E126,-12),tblSafety[Date],"&lt;="&amp;$A126)+SUMIFS(tblSafetyHistory[Recordables],tblSafetyHistory[Month],"&gt;="&amp;EDATE($E126,-12),tblSafetyHistory[Month],"&lt;"&amp;cfg_YearStart))/(SUMIFS(tblSafety[Hours_Total],tblSafety[Date],"&gt;="&amp;EDATE($E126,-12),tblSafety[Date],"&lt;="&amp;$A126)+SUMIFS(tblSafetyHistory[Hours_Total],tblSafetyHistory[Month],"&gt;="&amp;EDATE($E126,-12),tblSafetyHistory[Month],"&lt;"&amp;cfg_YearStart))*1000000,"")</f>
        <v/>
      </c>
      <c r="HG126" s="56">
        <f>IFERROR((SUMIFS(tblSafety[LTI],tblSafety[Date],"&gt;="&amp;EDATE($E126,-12),tblSafety[Date],"&lt;="&amp;$A126)+SUMIFS(tblSafetyHistory[LTI],tblSafetyHistory[Month],"&gt;="&amp;EDATE($E126,-12),tblSafetyHistory[Month],"&lt;"&amp;cfg_YearStart))/(SUMIFS(tblSafety[Hours_Total],tblSafety[Date],"&gt;="&amp;EDATE($E126,-12),tblSafety[Date],"&lt;="&amp;$A126)+SUMIFS(tblSafetyHistory[Hours_Total],tblSafetyHistory[Month],"&gt;="&amp;EDATE($E126,-12),tblSafetyHistory[Month],"&lt;"&amp;cfg_YearStart))*1000000,"")</f>
        <v/>
      </c>
      <c r="HH126" s="62">
        <f>IF(MAX(N(cfg_PriorLTIDate),_xlfn.MAXIFS(tblSafety[Date],tblSafety[LTI],"&gt;0",tblSafety[Date],"&lt;="&amp;$A126))=0,"",$A126-MAX(N(cfg_PriorLTIDate),_xlfn.MAXIFS(tblSafety[Date],tblSafety[LTI],"&gt;0",tblSafety[Date],"&lt;="&amp;$A126)))</f>
        <v/>
      </c>
      <c r="HI126" s="55">
        <f>SUMIFS(tblBudget[Ore_Mined_t],tblBudget[Month],$E126)</f>
        <v/>
      </c>
      <c r="HJ126" s="55">
        <f>$HI126*$C126/$D126</f>
        <v/>
      </c>
      <c r="HK126" s="55">
        <f>SUMIFS(tblBudget[Ore_Mined_t],tblBudget[Month],"&lt;"&amp;$E126)+$HJ126</f>
        <v/>
      </c>
      <c r="HL126" s="55">
        <f>SUMIFS(tblBudget[Ore_oz],tblBudget[Month],$E126)</f>
        <v/>
      </c>
      <c r="HM126" s="55">
        <f>$HL126*$C126/$D126</f>
        <v/>
      </c>
      <c r="HN126" s="55">
        <f>SUMIFS(tblBudget[Ore_oz],tblBudget[Month],"&lt;"&amp;$E126)+$HM126</f>
        <v/>
      </c>
      <c r="HO126" s="56">
        <f>IFERROR(IF(($HI126)&gt;0,($HL126*cfg_TroyOz)/($HI126),""),"")</f>
        <v/>
      </c>
      <c r="HP126" s="56">
        <f>IFERROR(IF(($HJ126)&gt;0,($HM126*cfg_TroyOz)/($HJ126),""),"")</f>
        <v/>
      </c>
      <c r="HQ126" s="56">
        <f>IFERROR(IF(($HK126)&gt;0,($HN126*cfg_TroyOz)/($HK126),""),"")</f>
        <v/>
      </c>
      <c r="HR126" s="55">
        <f>SUMIFS(tblBudget[Waste_t],tblBudget[Month],$E126)</f>
        <v/>
      </c>
      <c r="HS126" s="55">
        <f>$HR126*$C126/$D126</f>
        <v/>
      </c>
      <c r="HT126" s="55">
        <f>SUMIFS(tblBudget[Waste_t],tblBudget[Month],"&lt;"&amp;$E126)+$HS126</f>
        <v/>
      </c>
      <c r="HU126" s="55">
        <f>SUMIFS(tblBudget[TMM_t],tblBudget[Month],$E126)</f>
        <v/>
      </c>
      <c r="HV126" s="55">
        <f>$HU126*$C126/$D126</f>
        <v/>
      </c>
      <c r="HW126" s="55">
        <f>SUMIFS(tblBudget[TMM_t],tblBudget[Month],"&lt;"&amp;$E126)+$HV126</f>
        <v/>
      </c>
      <c r="HX126" s="56">
        <f>IFERROR(IF(($HI126)&gt;0,($HR126)/($HI126),""),"")</f>
        <v/>
      </c>
      <c r="HY126" s="56">
        <f>IFERROR(IF(($HJ126)&gt;0,($HS126)/($HJ126),""),"")</f>
        <v/>
      </c>
      <c r="HZ126" s="56">
        <f>IFERROR(IF(($HK126)&gt;0,($HT126)/($HK126),""),"")</f>
        <v/>
      </c>
      <c r="IA126" s="55">
        <f>SUMIFS(tblBudget[Drill_m],tblBudget[Month],$E126)</f>
        <v/>
      </c>
      <c r="IB126" s="55">
        <f>$IA126*$C126/$D126</f>
        <v/>
      </c>
      <c r="IC126" s="55">
        <f>SUMIFS(tblBudget[Drill_m],tblBudget[Month],"&lt;"&amp;$E126)+$IB126</f>
        <v/>
      </c>
      <c r="ID126" s="55">
        <f>SUMIFS(tblBudget[Diesel_L],tblBudget[Month],$E126)</f>
        <v/>
      </c>
      <c r="IE126" s="55">
        <f>$ID126*$C126/$D126</f>
        <v/>
      </c>
      <c r="IF126" s="55">
        <f>SUMIFS(tblBudget[Diesel_L],tblBudget[Month],"&lt;"&amp;$E126)+$IE126</f>
        <v/>
      </c>
      <c r="IG126" s="55">
        <f>SUMIFS(tblBudget[Milled_t],tblBudget[Month],$E126)</f>
        <v/>
      </c>
      <c r="IH126" s="55">
        <f>$IG126*$C126/$D126</f>
        <v/>
      </c>
      <c r="II126" s="55">
        <f>SUMIFS(tblBudget[Milled_t],tblBudget[Month],"&lt;"&amp;$E126)+$IH126</f>
        <v/>
      </c>
      <c r="IJ126" s="55">
        <f>SUMIFS(tblBudget[Feed_oz],tblBudget[Month],$E126)</f>
        <v/>
      </c>
      <c r="IK126" s="55">
        <f>$IJ126*$C126/$D126</f>
        <v/>
      </c>
      <c r="IL126" s="55">
        <f>SUMIFS(tblBudget[Feed_oz],tblBudget[Month],"&lt;"&amp;$E126)+$IK126</f>
        <v/>
      </c>
      <c r="IM126" s="55">
        <f>SUMIFS(tblBudget[Recovered_oz],tblBudget[Month],$E126)</f>
        <v/>
      </c>
      <c r="IN126" s="55">
        <f>$IM126*$C126/$D126</f>
        <v/>
      </c>
      <c r="IO126" s="55">
        <f>SUMIFS(tblBudget[Recovered_oz],tblBudget[Month],"&lt;"&amp;$E126)+$IN126</f>
        <v/>
      </c>
      <c r="IP126" s="56">
        <f>IFERROR(IF(($IG126)&gt;0,($IJ126*cfg_TroyOz)/($IG126),""),"")</f>
        <v/>
      </c>
      <c r="IQ126" s="56">
        <f>IFERROR(IF(($IH126)&gt;0,($IK126*cfg_TroyOz)/($IH126),""),"")</f>
        <v/>
      </c>
      <c r="IR126" s="56">
        <f>IFERROR(IF(($II126)&gt;0,($IL126*cfg_TroyOz)/($II126),""),"")</f>
        <v/>
      </c>
      <c r="IS126" s="67">
        <f>IFERROR(IF(($IJ126)&gt;0,($IM126)/($IJ126),""),"")</f>
        <v/>
      </c>
      <c r="IT126" s="67">
        <f>IFERROR(IF(($IK126)&gt;0,($IN126)/($IK126),""),"")</f>
        <v/>
      </c>
      <c r="IU126" s="67">
        <f>IFERROR(IF(($IL126)&gt;0,($IO126)/($IL126),""),"")</f>
        <v/>
      </c>
      <c r="IV126" s="55">
        <f>SUMIFS(tblBudget[Gold_Poured_oz],tblBudget[Month],$E126)</f>
        <v/>
      </c>
      <c r="IW126" s="55">
        <f>$IV126*$C126/$D126</f>
        <v/>
      </c>
      <c r="IX126" s="55">
        <f>SUMIFS(tblBudget[Gold_Poured_oz],tblBudget[Month],"&lt;"&amp;$E126)+$IW126</f>
        <v/>
      </c>
      <c r="IY126" s="57">
        <f>SUMIFS(tblBudget[Hours_Worked],tblBudget[Month],$E126)</f>
        <v/>
      </c>
      <c r="IZ126" s="57">
        <f>$IY126*$C126/$D126</f>
        <v/>
      </c>
      <c r="JA126" s="57">
        <f>SUMIFS(tblBudget[Hours_Worked],tblBudget[Month],"&lt;"&amp;$E126)+$IZ126</f>
        <v/>
      </c>
    </row>
    <row r="127">
      <c r="A127" s="54" t="n">
        <v>46148</v>
      </c>
      <c r="B127">
        <f>MONTH($A127)</f>
        <v/>
      </c>
      <c r="C127">
        <f>DAY($A127)</f>
        <v/>
      </c>
      <c r="D127">
        <f>DAY(EOMONTH($A127,0))</f>
        <v/>
      </c>
      <c r="E127" s="54">
        <f>DATE(YEAR($A127),MONTH($A127),1)</f>
        <v/>
      </c>
      <c r="F127" s="55">
        <f>SUMIFS(tblMovement[Tonnes_t],tblMovement[Date],$A127,tblMovement[Is_Ore],1,tblMovement[Source_Type],"Pit")</f>
        <v/>
      </c>
      <c r="G127" s="55">
        <f>IF($B127=$B126,$G126,0)+$F127</f>
        <v/>
      </c>
      <c r="H127" s="55">
        <f>$H126+$F127</f>
        <v/>
      </c>
      <c r="I127" s="55">
        <f>SUMIFS(tblMovement[Ore_oz],tblMovement[Date],$A127,tblMovement[Source_Type],"Pit")</f>
        <v/>
      </c>
      <c r="J127" s="55">
        <f>IF($B127=$B126,$J126,0)+$I127</f>
        <v/>
      </c>
      <c r="K127" s="55">
        <f>$K126+$I127</f>
        <v/>
      </c>
      <c r="L127" s="56">
        <f>IFERROR(IF(($F127)&gt;0,($I127*cfg_TroyOz)/($F127),""),"")</f>
        <v/>
      </c>
      <c r="M127" s="56">
        <f>IFERROR(IF(($G127)&gt;0,($J127*cfg_TroyOz)/($G127),""),"")</f>
        <v/>
      </c>
      <c r="N127" s="56">
        <f>IFERROR(IF(($H127)&gt;0,($K127*cfg_TroyOz)/($H127),""),"")</f>
        <v/>
      </c>
      <c r="O127" s="55">
        <f>SUMIFS(tblMovement[Tonnes_t],tblMovement[Date],$A127,tblMovement[Is_Ore],0,tblMovement[Source_Type],"Pit")</f>
        <v/>
      </c>
      <c r="P127" s="55">
        <f>IF($B127=$B126,$P126,0)+$O127</f>
        <v/>
      </c>
      <c r="Q127" s="55">
        <f>$Q126+$O127</f>
        <v/>
      </c>
      <c r="R127" s="55">
        <f>$F127+$O127</f>
        <v/>
      </c>
      <c r="S127" s="55">
        <f>IF($B127=$B126,$S126,0)+$R127</f>
        <v/>
      </c>
      <c r="T127" s="55">
        <f>$T126+$R127</f>
        <v/>
      </c>
      <c r="U127" s="56">
        <f>IFERROR(IF(($F127)&gt;0,($O127)/($F127),""),"")</f>
        <v/>
      </c>
      <c r="V127" s="56">
        <f>IFERROR(IF(($G127)&gt;0,($P127)/($G127),""),"")</f>
        <v/>
      </c>
      <c r="W127" s="56">
        <f>IFERROR(IF(($H127)&gt;0,($Q127)/($H127),""),"")</f>
        <v/>
      </c>
      <c r="X127" s="55">
        <f>SUMIFS(tblMovement[Tonnes_t],tblMovement[Date],$A127,tblMovement[Source_Type],"Stockpile")</f>
        <v/>
      </c>
      <c r="Y127" s="55">
        <f>IF($B127=$B126,$Y126,0)+$X127</f>
        <v/>
      </c>
      <c r="Z127" s="55">
        <f>$Z126+$X127</f>
        <v/>
      </c>
      <c r="AA127" s="55">
        <f>SUMIFS(tblMiningDaily[Drill_m],tblMiningDaily[Date],$A127)</f>
        <v/>
      </c>
      <c r="AB127" s="55">
        <f>IF($B127=$B126,$AB126,0)+$AA127</f>
        <v/>
      </c>
      <c r="AC127" s="55">
        <f>$AC126+$AA127</f>
        <v/>
      </c>
      <c r="AD127" s="55">
        <f>SUMIFS(tblMiningDaily[Blast_t],tblMiningDaily[Date],$A127)</f>
        <v/>
      </c>
      <c r="AE127" s="55">
        <f>IF($B127=$B126,$AE126,0)+$AD127</f>
        <v/>
      </c>
      <c r="AF127" s="55">
        <f>$AF126+$AD127</f>
        <v/>
      </c>
      <c r="AG127" s="55">
        <f>SUMIFS(tblMiningDaily[Explosives_kg],tblMiningDaily[Date],$A127)</f>
        <v/>
      </c>
      <c r="AH127" s="55">
        <f>IF($B127=$B126,$AH126,0)+$AG127</f>
        <v/>
      </c>
      <c r="AI127" s="55">
        <f>$AI126+$AG127</f>
        <v/>
      </c>
      <c r="AJ127" s="56">
        <f>IFERROR(IF(($AD127)&gt;0,($AG127)/($AD127),""),"")</f>
        <v/>
      </c>
      <c r="AK127" s="56">
        <f>IFERROR(IF(($AE127)&gt;0,($AH127)/($AE127),""),"")</f>
        <v/>
      </c>
      <c r="AL127" s="56">
        <f>IFERROR(IF(($AF127)&gt;0,($AI127)/($AF127),""),"")</f>
        <v/>
      </c>
      <c r="AM127" s="55">
        <f>SUMIFS(tblMiningDaily[Diesel_L],tblMiningDaily[Date],$A127)</f>
        <v/>
      </c>
      <c r="AN127" s="55">
        <f>IF($B127=$B126,$AN126,0)+$AM127</f>
        <v/>
      </c>
      <c r="AO127" s="55">
        <f>$AO126+$AM127</f>
        <v/>
      </c>
      <c r="AP127" s="55">
        <f>SUMIFS(tblMiningDaily[Dewatering_m3],tblMiningDaily[Date],$A127)</f>
        <v/>
      </c>
      <c r="AQ127" s="55">
        <f>IF($B127=$B126,$AQ126,0)+$AP127</f>
        <v/>
      </c>
      <c r="AR127" s="55">
        <f>$AR126+$AP127</f>
        <v/>
      </c>
      <c r="AS127" s="57">
        <f>SUMIFS(tblFleet[Calendar_h],tblFleet[Date],$A127,tblFleet[Equipment_Class],"Excavator")</f>
        <v/>
      </c>
      <c r="AT127" s="57">
        <f>IF($B127=$B126,$AT126,0)+$AS127</f>
        <v/>
      </c>
      <c r="AU127" s="57">
        <f>$AU126+$AS127</f>
        <v/>
      </c>
      <c r="AV127" s="57">
        <f>SUMIFS(tblFleet[Available_h],tblFleet[Date],$A127,tblFleet[Equipment_Class],"Excavator")</f>
        <v/>
      </c>
      <c r="AW127" s="57">
        <f>IF($B127=$B126,$AW126,0)+$AV127</f>
        <v/>
      </c>
      <c r="AX127" s="57">
        <f>$AX126+$AV127</f>
        <v/>
      </c>
      <c r="AY127" s="57">
        <f>SUMIFS(tblFleet[Operating_h],tblFleet[Date],$A127,tblFleet[Equipment_Class],"Excavator")</f>
        <v/>
      </c>
      <c r="AZ127" s="57">
        <f>IF($B127=$B126,$AZ126,0)+$AY127</f>
        <v/>
      </c>
      <c r="BA127" s="57">
        <f>$BA126+$AY127</f>
        <v/>
      </c>
      <c r="BB127" s="67">
        <f>IFERROR(IF(($AS127)&gt;0,($AV127)/($AS127),""),"")</f>
        <v/>
      </c>
      <c r="BC127" s="67">
        <f>IFERROR(IF(($AT127)&gt;0,($AW127)/($AT127),""),"")</f>
        <v/>
      </c>
      <c r="BD127" s="67">
        <f>IFERROR(IF(($AU127)&gt;0,($AX127)/($AU127),""),"")</f>
        <v/>
      </c>
      <c r="BE127" s="67">
        <f>IFERROR(IF(($AV127)&gt;0,($AY127)/($AV127),""),"")</f>
        <v/>
      </c>
      <c r="BF127" s="67">
        <f>IFERROR(IF(($AW127)&gt;0,($AZ127)/($AW127),""),"")</f>
        <v/>
      </c>
      <c r="BG127" s="67">
        <f>IFERROR(IF(($AX127)&gt;0,($BA127)/($AX127),""),"")</f>
        <v/>
      </c>
      <c r="BH127" s="57">
        <f>SUMIFS(tblFleet[Calendar_h],tblFleet[Date],$A127,tblFleet[Equipment_Class],"Haul Truck")</f>
        <v/>
      </c>
      <c r="BI127" s="57">
        <f>IF($B127=$B126,$BI126,0)+$BH127</f>
        <v/>
      </c>
      <c r="BJ127" s="57">
        <f>$BJ126+$BH127</f>
        <v/>
      </c>
      <c r="BK127" s="57">
        <f>SUMIFS(tblFleet[Available_h],tblFleet[Date],$A127,tblFleet[Equipment_Class],"Haul Truck")</f>
        <v/>
      </c>
      <c r="BL127" s="57">
        <f>IF($B127=$B126,$BL126,0)+$BK127</f>
        <v/>
      </c>
      <c r="BM127" s="57">
        <f>$BM126+$BK127</f>
        <v/>
      </c>
      <c r="BN127" s="57">
        <f>SUMIFS(tblFleet[Operating_h],tblFleet[Date],$A127,tblFleet[Equipment_Class],"Haul Truck")</f>
        <v/>
      </c>
      <c r="BO127" s="57">
        <f>IF($B127=$B126,$BO126,0)+$BN127</f>
        <v/>
      </c>
      <c r="BP127" s="57">
        <f>$BP126+$BN127</f>
        <v/>
      </c>
      <c r="BQ127" s="67">
        <f>IFERROR(IF(($BH127)&gt;0,($BK127)/($BH127),""),"")</f>
        <v/>
      </c>
      <c r="BR127" s="67">
        <f>IFERROR(IF(($BI127)&gt;0,($BL127)/($BI127),""),"")</f>
        <v/>
      </c>
      <c r="BS127" s="67">
        <f>IFERROR(IF(($BJ127)&gt;0,($BM127)/($BJ127),""),"")</f>
        <v/>
      </c>
      <c r="BT127" s="67">
        <f>IFERROR(IF(($BK127)&gt;0,($BN127)/($BK127),""),"")</f>
        <v/>
      </c>
      <c r="BU127" s="67">
        <f>IFERROR(IF(($BL127)&gt;0,($BO127)/($BL127),""),"")</f>
        <v/>
      </c>
      <c r="BV127" s="67">
        <f>IFERROR(IF(($BM127)&gt;0,($BP127)/($BM127),""),"")</f>
        <v/>
      </c>
      <c r="BW127" s="55">
        <f>SUMIFS(tblPlant[Crushed_t],tblPlant[Date],$A127)</f>
        <v/>
      </c>
      <c r="BX127" s="55">
        <f>IF($B127=$B126,$BX126,0)+$BW127</f>
        <v/>
      </c>
      <c r="BY127" s="55">
        <f>$BY126+$BW127</f>
        <v/>
      </c>
      <c r="BZ127" s="55">
        <f>SUMIFS(tblPlant[Milled_t],tblPlant[Date],$A127)</f>
        <v/>
      </c>
      <c r="CA127" s="55">
        <f>IF($B127=$B126,$CA126,0)+$BZ127</f>
        <v/>
      </c>
      <c r="CB127" s="55">
        <f>$CB126+$BZ127</f>
        <v/>
      </c>
      <c r="CC127" s="55">
        <f>SUMIFS(tblPlant[Feed_oz],tblPlant[Date],$A127)</f>
        <v/>
      </c>
      <c r="CD127" s="55">
        <f>IF($B127=$B126,$CD126,0)+$CC127</f>
        <v/>
      </c>
      <c r="CE127" s="55">
        <f>$CE126+$CC127</f>
        <v/>
      </c>
      <c r="CF127" s="55">
        <f>SUMIFS(tblPlant[Tails_oz],tblPlant[Date],$A127)</f>
        <v/>
      </c>
      <c r="CG127" s="55">
        <f>IF($B127=$B126,$CG126,0)+$CF127</f>
        <v/>
      </c>
      <c r="CH127" s="55">
        <f>$CH126+$CF127</f>
        <v/>
      </c>
      <c r="CI127" s="55">
        <f>SUMIFS(tblPlant[Recovered_oz],tblPlant[Date],$A127)</f>
        <v/>
      </c>
      <c r="CJ127" s="55">
        <f>IF($B127=$B126,$CJ126,0)+$CI127</f>
        <v/>
      </c>
      <c r="CK127" s="55">
        <f>$CK126+$CI127</f>
        <v/>
      </c>
      <c r="CL127" s="56">
        <f>IFERROR(IF(($BZ127)&gt;0,($CC127*cfg_TroyOz)/($BZ127),""),"")</f>
        <v/>
      </c>
      <c r="CM127" s="56">
        <f>IFERROR(IF(($CA127)&gt;0,($CD127*cfg_TroyOz)/($CA127),""),"")</f>
        <v/>
      </c>
      <c r="CN127" s="56">
        <f>IFERROR(IF(($CB127)&gt;0,($CE127*cfg_TroyOz)/($CB127),""),"")</f>
        <v/>
      </c>
      <c r="CO127" s="56">
        <f>IFERROR(IF(($BZ127)&gt;0,($CF127*cfg_TroyOz)/($BZ127),""),"")</f>
        <v/>
      </c>
      <c r="CP127" s="56">
        <f>IFERROR(IF(($CA127)&gt;0,($CG127*cfg_TroyOz)/($CA127),""),"")</f>
        <v/>
      </c>
      <c r="CQ127" s="56">
        <f>IFERROR(IF(($CB127)&gt;0,($CH127*cfg_TroyOz)/($CB127),""),"")</f>
        <v/>
      </c>
      <c r="CR127" s="67">
        <f>IFERROR(IF(($CC127)&gt;0,($CI127)/($CC127),""),"")</f>
        <v/>
      </c>
      <c r="CS127" s="67">
        <f>IFERROR(IF(($CD127)&gt;0,($CJ127)/($CD127),""),"")</f>
        <v/>
      </c>
      <c r="CT127" s="67">
        <f>IFERROR(IF(($CE127)&gt;0,($CK127)/($CE127),""),"")</f>
        <v/>
      </c>
      <c r="CU127" s="55">
        <f>SUMIFS(tblPlant[Gravity_Gold_oz],tblPlant[Date],$A127)</f>
        <v/>
      </c>
      <c r="CV127" s="55">
        <f>IF($B127=$B126,$CV126,0)+$CU127</f>
        <v/>
      </c>
      <c r="CW127" s="55">
        <f>$CW126+$CU127</f>
        <v/>
      </c>
      <c r="CX127" s="55">
        <f>SUMIFS(tblPlant[Gold_Poured_oz],tblPlant[Date],$A127)</f>
        <v/>
      </c>
      <c r="CY127" s="55">
        <f>IF($B127=$B126,$CY126,0)+$CX127</f>
        <v/>
      </c>
      <c r="CZ127" s="55">
        <f>$CZ126+$CX127</f>
        <v/>
      </c>
      <c r="DA127" s="57">
        <f>SUMIFS(tblPlant[Mill_Run_h],tblPlant[Date],$A127)</f>
        <v/>
      </c>
      <c r="DB127" s="57">
        <f>IF($B127=$B126,$DB126,0)+$DA127</f>
        <v/>
      </c>
      <c r="DC127" s="57">
        <f>$DC126+$DA127</f>
        <v/>
      </c>
      <c r="DD127" s="57">
        <f>SUMIFS(tblPlant[Mill_Planned_Maint_h],tblPlant[Date],$A127)</f>
        <v/>
      </c>
      <c r="DE127" s="57">
        <f>IF($B127=$B126,$DE126,0)+$DD127</f>
        <v/>
      </c>
      <c r="DF127" s="57">
        <f>$DF126+$DD127</f>
        <v/>
      </c>
      <c r="DG127" s="57">
        <f>SUMIFS(tblPlant[Mill_Unplanned_Down_h],tblPlant[Date],$A127)</f>
        <v/>
      </c>
      <c r="DH127" s="57">
        <f>IF($B127=$B126,$DH126,0)+$DG127</f>
        <v/>
      </c>
      <c r="DI127" s="57">
        <f>$DI126+$DG127</f>
        <v/>
      </c>
      <c r="DJ127" s="57">
        <f>COUNTIFS(tblPlant[Date],$A127,tblPlant[Mill_Run_h],"&lt;&gt;")*24</f>
        <v/>
      </c>
      <c r="DK127" s="57">
        <f>IF($B127=$B126,$DK126,0)+$DJ127</f>
        <v/>
      </c>
      <c r="DL127" s="57">
        <f>$DL126+$DJ127</f>
        <v/>
      </c>
      <c r="DM127" s="57">
        <f>SUMIFS(tblPlant[Crusher_Run_h],tblPlant[Date],$A127)</f>
        <v/>
      </c>
      <c r="DN127" s="57">
        <f>IF($B127=$B126,$DN126,0)+$DM127</f>
        <v/>
      </c>
      <c r="DO127" s="57">
        <f>$DO126+$DM127</f>
        <v/>
      </c>
      <c r="DP127" s="55">
        <f>IFERROR(IF(($DA127)&gt;0,($BZ127)/($DA127),""),"")</f>
        <v/>
      </c>
      <c r="DQ127" s="55">
        <f>IFERROR(IF(($DB127)&gt;0,($CA127)/($DB127),""),"")</f>
        <v/>
      </c>
      <c r="DR127" s="55">
        <f>IFERROR(IF(($DC127)&gt;0,($CB127)/($DC127),""),"")</f>
        <v/>
      </c>
      <c r="DS127" s="67">
        <f>IFERROR(IF(($DJ127)&gt;0,($DJ127-$DD127-$DG127)/($DJ127),""),"")</f>
        <v/>
      </c>
      <c r="DT127" s="67">
        <f>IFERROR(IF(($DK127)&gt;0,($DK127-$DE127-$DH127)/($DK127),""),"")</f>
        <v/>
      </c>
      <c r="DU127" s="67">
        <f>IFERROR(IF(($DL127)&gt;0,($DL127-$DF127-$DI127)/($DL127),""),"")</f>
        <v/>
      </c>
      <c r="DV127" s="67">
        <f>IFERROR(IF(($DJ127-$DD127-$DG127)&gt;0,($DA127)/($DJ127-$DD127-$DG127),""),"")</f>
        <v/>
      </c>
      <c r="DW127" s="67">
        <f>IFERROR(IF(($DK127-$DE127-$DH127)&gt;0,($DB127)/($DK127-$DE127-$DH127),""),"")</f>
        <v/>
      </c>
      <c r="DX127" s="67">
        <f>IFERROR(IF(($DL127-$DF127-$DI127)&gt;0,($DC127)/($DL127-$DF127-$DI127),""),"")</f>
        <v/>
      </c>
      <c r="DY127" s="55">
        <f>SUMIFS(tblPlant[Cyanide_kg],tblPlant[Date],$A127)</f>
        <v/>
      </c>
      <c r="DZ127" s="55">
        <f>IF($B127=$B126,$DZ126,0)+$DY127</f>
        <v/>
      </c>
      <c r="EA127" s="55">
        <f>$EA126+$DY127</f>
        <v/>
      </c>
      <c r="EB127" s="55">
        <f>SUMIFS(tblPlant[Lime_kg],tblPlant[Date],$A127)</f>
        <v/>
      </c>
      <c r="EC127" s="55">
        <f>IF($B127=$B126,$EC126,0)+$EB127</f>
        <v/>
      </c>
      <c r="ED127" s="55">
        <f>$ED126+$EB127</f>
        <v/>
      </c>
      <c r="EE127" s="55">
        <f>SUMIFS(tblPlant[Grinding_Media_kg],tblPlant[Date],$A127)</f>
        <v/>
      </c>
      <c r="EF127" s="55">
        <f>IF($B127=$B126,$EF126,0)+$EE127</f>
        <v/>
      </c>
      <c r="EG127" s="55">
        <f>$EG126+$EE127</f>
        <v/>
      </c>
      <c r="EH127" s="55">
        <f>SUMIFS(tblPlant[Power_kWh],tblPlant[Date],$A127)</f>
        <v/>
      </c>
      <c r="EI127" s="55">
        <f>IF($B127=$B126,$EI126,0)+$EH127</f>
        <v/>
      </c>
      <c r="EJ127" s="55">
        <f>$EJ126+$EH127</f>
        <v/>
      </c>
      <c r="EK127" s="55">
        <f>SUMIFS(tblPlant[Raw_Water_m3],tblPlant[Date],$A127)</f>
        <v/>
      </c>
      <c r="EL127" s="55">
        <f>IF($B127=$B126,$EL126,0)+$EK127</f>
        <v/>
      </c>
      <c r="EM127" s="55">
        <f>$EM126+$EK127</f>
        <v/>
      </c>
      <c r="EN127" s="56">
        <f>IFERROR(IF(($BZ127)&gt;0,($DY127)/($BZ127),""),"")</f>
        <v/>
      </c>
      <c r="EO127" s="56">
        <f>IFERROR(IF(($CA127)&gt;0,($DZ127)/($CA127),""),"")</f>
        <v/>
      </c>
      <c r="EP127" s="56">
        <f>IFERROR(IF(($CB127)&gt;0,($EA127)/($CB127),""),"")</f>
        <v/>
      </c>
      <c r="EQ127" s="56">
        <f>IFERROR(IF(($BZ127)&gt;0,($EB127)/($BZ127),""),"")</f>
        <v/>
      </c>
      <c r="ER127" s="56">
        <f>IFERROR(IF(($CA127)&gt;0,($EC127)/($CA127),""),"")</f>
        <v/>
      </c>
      <c r="ES127" s="56">
        <f>IFERROR(IF(($CB127)&gt;0,($ED127)/($CB127),""),"")</f>
        <v/>
      </c>
      <c r="ET127" s="56">
        <f>IFERROR(IF(($BZ127)&gt;0,($EE127)/($BZ127),""),"")</f>
        <v/>
      </c>
      <c r="EU127" s="56">
        <f>IFERROR(IF(($CA127)&gt;0,($EF127)/($CA127),""),"")</f>
        <v/>
      </c>
      <c r="EV127" s="56">
        <f>IFERROR(IF(($CB127)&gt;0,($EG127)/($CB127),""),"")</f>
        <v/>
      </c>
      <c r="EW127" s="76">
        <f>IFERROR(IF(($BZ127)&gt;0,($EH127)/($BZ127),""),"")</f>
        <v/>
      </c>
      <c r="EX127" s="76">
        <f>IFERROR(IF(($CA127)&gt;0,($EI127)/($CA127),""),"")</f>
        <v/>
      </c>
      <c r="EY127" s="76">
        <f>IFERROR(IF(($CB127)&gt;0,($EJ127)/($CB127),""),"")</f>
        <v/>
      </c>
      <c r="EZ127" s="56">
        <f>IFERROR(IF(($BZ127)&gt;0,($EK127)/($BZ127),""),"")</f>
        <v/>
      </c>
      <c r="FA127" s="56">
        <f>IFERROR(IF(($CA127)&gt;0,($EL127)/($CA127),""),"")</f>
        <v/>
      </c>
      <c r="FB127" s="56">
        <f>IFERROR(IF(($CB127)&gt;0,($EM127)/($CB127),""),"")</f>
        <v/>
      </c>
      <c r="FC127" s="55">
        <f>IF(SUMIFS(tblPlant[GIC_oz],tblPlant[Date],$A127)&gt;0,SUMIFS(tblPlant[GIC_oz],tblPlant[Date],$A127),"")</f>
        <v/>
      </c>
      <c r="FD127" s="55">
        <f>SUMIFS(tblGold[Gold_oz],tblGold[Date],$A127,tblGold[Type],"Shipment")</f>
        <v/>
      </c>
      <c r="FE127" s="55">
        <f>IF($B127=$B126,$FE126,0)+$FD127</f>
        <v/>
      </c>
      <c r="FF127" s="55">
        <f>$FF126+$FD127</f>
        <v/>
      </c>
      <c r="FG127" s="55">
        <f>SUMIFS(tblGold[Gold_oz],tblGold[Date],$A127,tblGold[Type],"Sale")</f>
        <v/>
      </c>
      <c r="FH127" s="55">
        <f>IF($B127=$B126,$FH126,0)+$FG127</f>
        <v/>
      </c>
      <c r="FI127" s="55">
        <f>$FI126+$FG127</f>
        <v/>
      </c>
      <c r="FJ127" s="55">
        <f>SUMIFS(tblGold[Dore_kg],tblGold[Date],$A127,tblGold[Type],"Shipment")</f>
        <v/>
      </c>
      <c r="FK127" s="55">
        <f>IF($B127=$B126,$FK126,0)+$FJ127</f>
        <v/>
      </c>
      <c r="FL127" s="55">
        <f>$FL126+$FJ127</f>
        <v/>
      </c>
      <c r="FM127" s="57">
        <f>SUMIFS(tblSafety[Hours_Total],tblSafety[Date],$A127)</f>
        <v/>
      </c>
      <c r="FN127" s="57">
        <f>IF($B127=$B126,$FN126,0)+$FM127</f>
        <v/>
      </c>
      <c r="FO127" s="57">
        <f>$FO126+$FM127</f>
        <v/>
      </c>
      <c r="FP127" s="62">
        <f>SUMIFS(tblSafety[Fatality],tblSafety[Date],$A127)</f>
        <v/>
      </c>
      <c r="FQ127" s="62">
        <f>IF($B127=$B126,$FQ126,0)+$FP127</f>
        <v/>
      </c>
      <c r="FR127" s="62">
        <f>$FR126+$FP127</f>
        <v/>
      </c>
      <c r="FS127" s="62">
        <f>SUMIFS(tblSafety[LTI],tblSafety[Date],$A127)</f>
        <v/>
      </c>
      <c r="FT127" s="62">
        <f>IF($B127=$B126,$FT126,0)+$FS127</f>
        <v/>
      </c>
      <c r="FU127" s="62">
        <f>$FU126+$FS127</f>
        <v/>
      </c>
      <c r="FV127" s="62">
        <f>SUMIFS(tblSafety[RWI],tblSafety[Date],$A127)</f>
        <v/>
      </c>
      <c r="FW127" s="62">
        <f>IF($B127=$B126,$FW126,0)+$FV127</f>
        <v/>
      </c>
      <c r="FX127" s="62">
        <f>$FX126+$FV127</f>
        <v/>
      </c>
      <c r="FY127" s="62">
        <f>SUMIFS(tblSafety[MTI],tblSafety[Date],$A127)</f>
        <v/>
      </c>
      <c r="FZ127" s="62">
        <f>IF($B127=$B126,$FZ126,0)+$FY127</f>
        <v/>
      </c>
      <c r="GA127" s="62">
        <f>$GA126+$FY127</f>
        <v/>
      </c>
      <c r="GB127" s="62">
        <f>SUMIFS(tblSafety[FAI],tblSafety[Date],$A127)</f>
        <v/>
      </c>
      <c r="GC127" s="62">
        <f>IF($B127=$B126,$GC126,0)+$GB127</f>
        <v/>
      </c>
      <c r="GD127" s="62">
        <f>$GD126+$GB127</f>
        <v/>
      </c>
      <c r="GE127" s="62">
        <f>SUMIFS(tblSafety[Recordables],tblSafety[Date],$A127)</f>
        <v/>
      </c>
      <c r="GF127" s="62">
        <f>IF($B127=$B126,$GF126,0)+$GE127</f>
        <v/>
      </c>
      <c r="GG127" s="62">
        <f>$GG126+$GE127</f>
        <v/>
      </c>
      <c r="GH127" s="62">
        <f>SUMIFS(tblSafety[Near_Miss],tblSafety[Date],$A127)</f>
        <v/>
      </c>
      <c r="GI127" s="62">
        <f>IF($B127=$B126,$GI126,0)+$GH127</f>
        <v/>
      </c>
      <c r="GJ127" s="62">
        <f>$GJ126+$GH127</f>
        <v/>
      </c>
      <c r="GK127" s="62">
        <f>SUMIFS(tblSafety[Hazard_Reports],tblSafety[Date],$A127)</f>
        <v/>
      </c>
      <c r="GL127" s="62">
        <f>IF($B127=$B126,$GL126,0)+$GK127</f>
        <v/>
      </c>
      <c r="GM127" s="62">
        <f>$GM126+$GK127</f>
        <v/>
      </c>
      <c r="GN127" s="62">
        <f>SUMIFS(tblSafety[HPI],tblSafety[Date],$A127)</f>
        <v/>
      </c>
      <c r="GO127" s="62">
        <f>IF($B127=$B126,$GO126,0)+$GN127</f>
        <v/>
      </c>
      <c r="GP127" s="62">
        <f>$GP126+$GN127</f>
        <v/>
      </c>
      <c r="GQ127" s="62">
        <f>SUMIFS(tblSafety[Env_Incidents],tblSafety[Date],$A127)</f>
        <v/>
      </c>
      <c r="GR127" s="62">
        <f>IF($B127=$B126,$GR126,0)+$GQ127</f>
        <v/>
      </c>
      <c r="GS127" s="62">
        <f>$GS126+$GQ127</f>
        <v/>
      </c>
      <c r="GT127" s="62">
        <f>SUMIFS(tblSafety[Community_Incidents],tblSafety[Date],$A127)</f>
        <v/>
      </c>
      <c r="GU127" s="62">
        <f>IF($B127=$B126,$GU126,0)+$GT127</f>
        <v/>
      </c>
      <c r="GV127" s="62">
        <f>$GV126+$GT127</f>
        <v/>
      </c>
      <c r="GW127" s="62">
        <f>SUMIFS(tblSafety[Vehicle_Incidents],tblSafety[Date],$A127)</f>
        <v/>
      </c>
      <c r="GX127" s="62">
        <f>IF($B127=$B126,$GX126,0)+$GW127</f>
        <v/>
      </c>
      <c r="GY127" s="62">
        <f>$GY126+$GW127</f>
        <v/>
      </c>
      <c r="GZ127" s="62">
        <f>SUMIFS(tblSafety[Toolbox_Talks],tblSafety[Date],$A127)</f>
        <v/>
      </c>
      <c r="HA127" s="62">
        <f>IF($B127=$B126,$HA126,0)+$GZ127</f>
        <v/>
      </c>
      <c r="HB127" s="62">
        <f>$HB126+$GZ127</f>
        <v/>
      </c>
      <c r="HC127" s="62">
        <f>SUMIFS(tblSafety[Inspections],tblSafety[Date],$A127)</f>
        <v/>
      </c>
      <c r="HD127" s="62">
        <f>IF($B127=$B126,$HD126,0)+$HC127</f>
        <v/>
      </c>
      <c r="HE127" s="62">
        <f>$HE126+$HC127</f>
        <v/>
      </c>
      <c r="HF127" s="56">
        <f>IFERROR((SUMIFS(tblSafety[Recordables],tblSafety[Date],"&gt;="&amp;EDATE($E127,-12),tblSafety[Date],"&lt;="&amp;$A127)+SUMIFS(tblSafetyHistory[Recordables],tblSafetyHistory[Month],"&gt;="&amp;EDATE($E127,-12),tblSafetyHistory[Month],"&lt;"&amp;cfg_YearStart))/(SUMIFS(tblSafety[Hours_Total],tblSafety[Date],"&gt;="&amp;EDATE($E127,-12),tblSafety[Date],"&lt;="&amp;$A127)+SUMIFS(tblSafetyHistory[Hours_Total],tblSafetyHistory[Month],"&gt;="&amp;EDATE($E127,-12),tblSafetyHistory[Month],"&lt;"&amp;cfg_YearStart))*1000000,"")</f>
        <v/>
      </c>
      <c r="HG127" s="56">
        <f>IFERROR((SUMIFS(tblSafety[LTI],tblSafety[Date],"&gt;="&amp;EDATE($E127,-12),tblSafety[Date],"&lt;="&amp;$A127)+SUMIFS(tblSafetyHistory[LTI],tblSafetyHistory[Month],"&gt;="&amp;EDATE($E127,-12),tblSafetyHistory[Month],"&lt;"&amp;cfg_YearStart))/(SUMIFS(tblSafety[Hours_Total],tblSafety[Date],"&gt;="&amp;EDATE($E127,-12),tblSafety[Date],"&lt;="&amp;$A127)+SUMIFS(tblSafetyHistory[Hours_Total],tblSafetyHistory[Month],"&gt;="&amp;EDATE($E127,-12),tblSafetyHistory[Month],"&lt;"&amp;cfg_YearStart))*1000000,"")</f>
        <v/>
      </c>
      <c r="HH127" s="62">
        <f>IF(MAX(N(cfg_PriorLTIDate),_xlfn.MAXIFS(tblSafety[Date],tblSafety[LTI],"&gt;0",tblSafety[Date],"&lt;="&amp;$A127))=0,"",$A127-MAX(N(cfg_PriorLTIDate),_xlfn.MAXIFS(tblSafety[Date],tblSafety[LTI],"&gt;0",tblSafety[Date],"&lt;="&amp;$A127)))</f>
        <v/>
      </c>
      <c r="HI127" s="55">
        <f>SUMIFS(tblBudget[Ore_Mined_t],tblBudget[Month],$E127)</f>
        <v/>
      </c>
      <c r="HJ127" s="55">
        <f>$HI127*$C127/$D127</f>
        <v/>
      </c>
      <c r="HK127" s="55">
        <f>SUMIFS(tblBudget[Ore_Mined_t],tblBudget[Month],"&lt;"&amp;$E127)+$HJ127</f>
        <v/>
      </c>
      <c r="HL127" s="55">
        <f>SUMIFS(tblBudget[Ore_oz],tblBudget[Month],$E127)</f>
        <v/>
      </c>
      <c r="HM127" s="55">
        <f>$HL127*$C127/$D127</f>
        <v/>
      </c>
      <c r="HN127" s="55">
        <f>SUMIFS(tblBudget[Ore_oz],tblBudget[Month],"&lt;"&amp;$E127)+$HM127</f>
        <v/>
      </c>
      <c r="HO127" s="56">
        <f>IFERROR(IF(($HI127)&gt;0,($HL127*cfg_TroyOz)/($HI127),""),"")</f>
        <v/>
      </c>
      <c r="HP127" s="56">
        <f>IFERROR(IF(($HJ127)&gt;0,($HM127*cfg_TroyOz)/($HJ127),""),"")</f>
        <v/>
      </c>
      <c r="HQ127" s="56">
        <f>IFERROR(IF(($HK127)&gt;0,($HN127*cfg_TroyOz)/($HK127),""),"")</f>
        <v/>
      </c>
      <c r="HR127" s="55">
        <f>SUMIFS(tblBudget[Waste_t],tblBudget[Month],$E127)</f>
        <v/>
      </c>
      <c r="HS127" s="55">
        <f>$HR127*$C127/$D127</f>
        <v/>
      </c>
      <c r="HT127" s="55">
        <f>SUMIFS(tblBudget[Waste_t],tblBudget[Month],"&lt;"&amp;$E127)+$HS127</f>
        <v/>
      </c>
      <c r="HU127" s="55">
        <f>SUMIFS(tblBudget[TMM_t],tblBudget[Month],$E127)</f>
        <v/>
      </c>
      <c r="HV127" s="55">
        <f>$HU127*$C127/$D127</f>
        <v/>
      </c>
      <c r="HW127" s="55">
        <f>SUMIFS(tblBudget[TMM_t],tblBudget[Month],"&lt;"&amp;$E127)+$HV127</f>
        <v/>
      </c>
      <c r="HX127" s="56">
        <f>IFERROR(IF(($HI127)&gt;0,($HR127)/($HI127),""),"")</f>
        <v/>
      </c>
      <c r="HY127" s="56">
        <f>IFERROR(IF(($HJ127)&gt;0,($HS127)/($HJ127),""),"")</f>
        <v/>
      </c>
      <c r="HZ127" s="56">
        <f>IFERROR(IF(($HK127)&gt;0,($HT127)/($HK127),""),"")</f>
        <v/>
      </c>
      <c r="IA127" s="55">
        <f>SUMIFS(tblBudget[Drill_m],tblBudget[Month],$E127)</f>
        <v/>
      </c>
      <c r="IB127" s="55">
        <f>$IA127*$C127/$D127</f>
        <v/>
      </c>
      <c r="IC127" s="55">
        <f>SUMIFS(tblBudget[Drill_m],tblBudget[Month],"&lt;"&amp;$E127)+$IB127</f>
        <v/>
      </c>
      <c r="ID127" s="55">
        <f>SUMIFS(tblBudget[Diesel_L],tblBudget[Month],$E127)</f>
        <v/>
      </c>
      <c r="IE127" s="55">
        <f>$ID127*$C127/$D127</f>
        <v/>
      </c>
      <c r="IF127" s="55">
        <f>SUMIFS(tblBudget[Diesel_L],tblBudget[Month],"&lt;"&amp;$E127)+$IE127</f>
        <v/>
      </c>
      <c r="IG127" s="55">
        <f>SUMIFS(tblBudget[Milled_t],tblBudget[Month],$E127)</f>
        <v/>
      </c>
      <c r="IH127" s="55">
        <f>$IG127*$C127/$D127</f>
        <v/>
      </c>
      <c r="II127" s="55">
        <f>SUMIFS(tblBudget[Milled_t],tblBudget[Month],"&lt;"&amp;$E127)+$IH127</f>
        <v/>
      </c>
      <c r="IJ127" s="55">
        <f>SUMIFS(tblBudget[Feed_oz],tblBudget[Month],$E127)</f>
        <v/>
      </c>
      <c r="IK127" s="55">
        <f>$IJ127*$C127/$D127</f>
        <v/>
      </c>
      <c r="IL127" s="55">
        <f>SUMIFS(tblBudget[Feed_oz],tblBudget[Month],"&lt;"&amp;$E127)+$IK127</f>
        <v/>
      </c>
      <c r="IM127" s="55">
        <f>SUMIFS(tblBudget[Recovered_oz],tblBudget[Month],$E127)</f>
        <v/>
      </c>
      <c r="IN127" s="55">
        <f>$IM127*$C127/$D127</f>
        <v/>
      </c>
      <c r="IO127" s="55">
        <f>SUMIFS(tblBudget[Recovered_oz],tblBudget[Month],"&lt;"&amp;$E127)+$IN127</f>
        <v/>
      </c>
      <c r="IP127" s="56">
        <f>IFERROR(IF(($IG127)&gt;0,($IJ127*cfg_TroyOz)/($IG127),""),"")</f>
        <v/>
      </c>
      <c r="IQ127" s="56">
        <f>IFERROR(IF(($IH127)&gt;0,($IK127*cfg_TroyOz)/($IH127),""),"")</f>
        <v/>
      </c>
      <c r="IR127" s="56">
        <f>IFERROR(IF(($II127)&gt;0,($IL127*cfg_TroyOz)/($II127),""),"")</f>
        <v/>
      </c>
      <c r="IS127" s="67">
        <f>IFERROR(IF(($IJ127)&gt;0,($IM127)/($IJ127),""),"")</f>
        <v/>
      </c>
      <c r="IT127" s="67">
        <f>IFERROR(IF(($IK127)&gt;0,($IN127)/($IK127),""),"")</f>
        <v/>
      </c>
      <c r="IU127" s="67">
        <f>IFERROR(IF(($IL127)&gt;0,($IO127)/($IL127),""),"")</f>
        <v/>
      </c>
      <c r="IV127" s="55">
        <f>SUMIFS(tblBudget[Gold_Poured_oz],tblBudget[Month],$E127)</f>
        <v/>
      </c>
      <c r="IW127" s="55">
        <f>$IV127*$C127/$D127</f>
        <v/>
      </c>
      <c r="IX127" s="55">
        <f>SUMIFS(tblBudget[Gold_Poured_oz],tblBudget[Month],"&lt;"&amp;$E127)+$IW127</f>
        <v/>
      </c>
      <c r="IY127" s="57">
        <f>SUMIFS(tblBudget[Hours_Worked],tblBudget[Month],$E127)</f>
        <v/>
      </c>
      <c r="IZ127" s="57">
        <f>$IY127*$C127/$D127</f>
        <v/>
      </c>
      <c r="JA127" s="57">
        <f>SUMIFS(tblBudget[Hours_Worked],tblBudget[Month],"&lt;"&amp;$E127)+$IZ127</f>
        <v/>
      </c>
    </row>
    <row r="128">
      <c r="A128" s="54" t="n">
        <v>46149</v>
      </c>
      <c r="B128">
        <f>MONTH($A128)</f>
        <v/>
      </c>
      <c r="C128">
        <f>DAY($A128)</f>
        <v/>
      </c>
      <c r="D128">
        <f>DAY(EOMONTH($A128,0))</f>
        <v/>
      </c>
      <c r="E128" s="54">
        <f>DATE(YEAR($A128),MONTH($A128),1)</f>
        <v/>
      </c>
      <c r="F128" s="55">
        <f>SUMIFS(tblMovement[Tonnes_t],tblMovement[Date],$A128,tblMovement[Is_Ore],1,tblMovement[Source_Type],"Pit")</f>
        <v/>
      </c>
      <c r="G128" s="55">
        <f>IF($B128=$B127,$G127,0)+$F128</f>
        <v/>
      </c>
      <c r="H128" s="55">
        <f>$H127+$F128</f>
        <v/>
      </c>
      <c r="I128" s="55">
        <f>SUMIFS(tblMovement[Ore_oz],tblMovement[Date],$A128,tblMovement[Source_Type],"Pit")</f>
        <v/>
      </c>
      <c r="J128" s="55">
        <f>IF($B128=$B127,$J127,0)+$I128</f>
        <v/>
      </c>
      <c r="K128" s="55">
        <f>$K127+$I128</f>
        <v/>
      </c>
      <c r="L128" s="56">
        <f>IFERROR(IF(($F128)&gt;0,($I128*cfg_TroyOz)/($F128),""),"")</f>
        <v/>
      </c>
      <c r="M128" s="56">
        <f>IFERROR(IF(($G128)&gt;0,($J128*cfg_TroyOz)/($G128),""),"")</f>
        <v/>
      </c>
      <c r="N128" s="56">
        <f>IFERROR(IF(($H128)&gt;0,($K128*cfg_TroyOz)/($H128),""),"")</f>
        <v/>
      </c>
      <c r="O128" s="55">
        <f>SUMIFS(tblMovement[Tonnes_t],tblMovement[Date],$A128,tblMovement[Is_Ore],0,tblMovement[Source_Type],"Pit")</f>
        <v/>
      </c>
      <c r="P128" s="55">
        <f>IF($B128=$B127,$P127,0)+$O128</f>
        <v/>
      </c>
      <c r="Q128" s="55">
        <f>$Q127+$O128</f>
        <v/>
      </c>
      <c r="R128" s="55">
        <f>$F128+$O128</f>
        <v/>
      </c>
      <c r="S128" s="55">
        <f>IF($B128=$B127,$S127,0)+$R128</f>
        <v/>
      </c>
      <c r="T128" s="55">
        <f>$T127+$R128</f>
        <v/>
      </c>
      <c r="U128" s="56">
        <f>IFERROR(IF(($F128)&gt;0,($O128)/($F128),""),"")</f>
        <v/>
      </c>
      <c r="V128" s="56">
        <f>IFERROR(IF(($G128)&gt;0,($P128)/($G128),""),"")</f>
        <v/>
      </c>
      <c r="W128" s="56">
        <f>IFERROR(IF(($H128)&gt;0,($Q128)/($H128),""),"")</f>
        <v/>
      </c>
      <c r="X128" s="55">
        <f>SUMIFS(tblMovement[Tonnes_t],tblMovement[Date],$A128,tblMovement[Source_Type],"Stockpile")</f>
        <v/>
      </c>
      <c r="Y128" s="55">
        <f>IF($B128=$B127,$Y127,0)+$X128</f>
        <v/>
      </c>
      <c r="Z128" s="55">
        <f>$Z127+$X128</f>
        <v/>
      </c>
      <c r="AA128" s="55">
        <f>SUMIFS(tblMiningDaily[Drill_m],tblMiningDaily[Date],$A128)</f>
        <v/>
      </c>
      <c r="AB128" s="55">
        <f>IF($B128=$B127,$AB127,0)+$AA128</f>
        <v/>
      </c>
      <c r="AC128" s="55">
        <f>$AC127+$AA128</f>
        <v/>
      </c>
      <c r="AD128" s="55">
        <f>SUMIFS(tblMiningDaily[Blast_t],tblMiningDaily[Date],$A128)</f>
        <v/>
      </c>
      <c r="AE128" s="55">
        <f>IF($B128=$B127,$AE127,0)+$AD128</f>
        <v/>
      </c>
      <c r="AF128" s="55">
        <f>$AF127+$AD128</f>
        <v/>
      </c>
      <c r="AG128" s="55">
        <f>SUMIFS(tblMiningDaily[Explosives_kg],tblMiningDaily[Date],$A128)</f>
        <v/>
      </c>
      <c r="AH128" s="55">
        <f>IF($B128=$B127,$AH127,0)+$AG128</f>
        <v/>
      </c>
      <c r="AI128" s="55">
        <f>$AI127+$AG128</f>
        <v/>
      </c>
      <c r="AJ128" s="56">
        <f>IFERROR(IF(($AD128)&gt;0,($AG128)/($AD128),""),"")</f>
        <v/>
      </c>
      <c r="AK128" s="56">
        <f>IFERROR(IF(($AE128)&gt;0,($AH128)/($AE128),""),"")</f>
        <v/>
      </c>
      <c r="AL128" s="56">
        <f>IFERROR(IF(($AF128)&gt;0,($AI128)/($AF128),""),"")</f>
        <v/>
      </c>
      <c r="AM128" s="55">
        <f>SUMIFS(tblMiningDaily[Diesel_L],tblMiningDaily[Date],$A128)</f>
        <v/>
      </c>
      <c r="AN128" s="55">
        <f>IF($B128=$B127,$AN127,0)+$AM128</f>
        <v/>
      </c>
      <c r="AO128" s="55">
        <f>$AO127+$AM128</f>
        <v/>
      </c>
      <c r="AP128" s="55">
        <f>SUMIFS(tblMiningDaily[Dewatering_m3],tblMiningDaily[Date],$A128)</f>
        <v/>
      </c>
      <c r="AQ128" s="55">
        <f>IF($B128=$B127,$AQ127,0)+$AP128</f>
        <v/>
      </c>
      <c r="AR128" s="55">
        <f>$AR127+$AP128</f>
        <v/>
      </c>
      <c r="AS128" s="57">
        <f>SUMIFS(tblFleet[Calendar_h],tblFleet[Date],$A128,tblFleet[Equipment_Class],"Excavator")</f>
        <v/>
      </c>
      <c r="AT128" s="57">
        <f>IF($B128=$B127,$AT127,0)+$AS128</f>
        <v/>
      </c>
      <c r="AU128" s="57">
        <f>$AU127+$AS128</f>
        <v/>
      </c>
      <c r="AV128" s="57">
        <f>SUMIFS(tblFleet[Available_h],tblFleet[Date],$A128,tblFleet[Equipment_Class],"Excavator")</f>
        <v/>
      </c>
      <c r="AW128" s="57">
        <f>IF($B128=$B127,$AW127,0)+$AV128</f>
        <v/>
      </c>
      <c r="AX128" s="57">
        <f>$AX127+$AV128</f>
        <v/>
      </c>
      <c r="AY128" s="57">
        <f>SUMIFS(tblFleet[Operating_h],tblFleet[Date],$A128,tblFleet[Equipment_Class],"Excavator")</f>
        <v/>
      </c>
      <c r="AZ128" s="57">
        <f>IF($B128=$B127,$AZ127,0)+$AY128</f>
        <v/>
      </c>
      <c r="BA128" s="57">
        <f>$BA127+$AY128</f>
        <v/>
      </c>
      <c r="BB128" s="67">
        <f>IFERROR(IF(($AS128)&gt;0,($AV128)/($AS128),""),"")</f>
        <v/>
      </c>
      <c r="BC128" s="67">
        <f>IFERROR(IF(($AT128)&gt;0,($AW128)/($AT128),""),"")</f>
        <v/>
      </c>
      <c r="BD128" s="67">
        <f>IFERROR(IF(($AU128)&gt;0,($AX128)/($AU128),""),"")</f>
        <v/>
      </c>
      <c r="BE128" s="67">
        <f>IFERROR(IF(($AV128)&gt;0,($AY128)/($AV128),""),"")</f>
        <v/>
      </c>
      <c r="BF128" s="67">
        <f>IFERROR(IF(($AW128)&gt;0,($AZ128)/($AW128),""),"")</f>
        <v/>
      </c>
      <c r="BG128" s="67">
        <f>IFERROR(IF(($AX128)&gt;0,($BA128)/($AX128),""),"")</f>
        <v/>
      </c>
      <c r="BH128" s="57">
        <f>SUMIFS(tblFleet[Calendar_h],tblFleet[Date],$A128,tblFleet[Equipment_Class],"Haul Truck")</f>
        <v/>
      </c>
      <c r="BI128" s="57">
        <f>IF($B128=$B127,$BI127,0)+$BH128</f>
        <v/>
      </c>
      <c r="BJ128" s="57">
        <f>$BJ127+$BH128</f>
        <v/>
      </c>
      <c r="BK128" s="57">
        <f>SUMIFS(tblFleet[Available_h],tblFleet[Date],$A128,tblFleet[Equipment_Class],"Haul Truck")</f>
        <v/>
      </c>
      <c r="BL128" s="57">
        <f>IF($B128=$B127,$BL127,0)+$BK128</f>
        <v/>
      </c>
      <c r="BM128" s="57">
        <f>$BM127+$BK128</f>
        <v/>
      </c>
      <c r="BN128" s="57">
        <f>SUMIFS(tblFleet[Operating_h],tblFleet[Date],$A128,tblFleet[Equipment_Class],"Haul Truck")</f>
        <v/>
      </c>
      <c r="BO128" s="57">
        <f>IF($B128=$B127,$BO127,0)+$BN128</f>
        <v/>
      </c>
      <c r="BP128" s="57">
        <f>$BP127+$BN128</f>
        <v/>
      </c>
      <c r="BQ128" s="67">
        <f>IFERROR(IF(($BH128)&gt;0,($BK128)/($BH128),""),"")</f>
        <v/>
      </c>
      <c r="BR128" s="67">
        <f>IFERROR(IF(($BI128)&gt;0,($BL128)/($BI128),""),"")</f>
        <v/>
      </c>
      <c r="BS128" s="67">
        <f>IFERROR(IF(($BJ128)&gt;0,($BM128)/($BJ128),""),"")</f>
        <v/>
      </c>
      <c r="BT128" s="67">
        <f>IFERROR(IF(($BK128)&gt;0,($BN128)/($BK128),""),"")</f>
        <v/>
      </c>
      <c r="BU128" s="67">
        <f>IFERROR(IF(($BL128)&gt;0,($BO128)/($BL128),""),"")</f>
        <v/>
      </c>
      <c r="BV128" s="67">
        <f>IFERROR(IF(($BM128)&gt;0,($BP128)/($BM128),""),"")</f>
        <v/>
      </c>
      <c r="BW128" s="55">
        <f>SUMIFS(tblPlant[Crushed_t],tblPlant[Date],$A128)</f>
        <v/>
      </c>
      <c r="BX128" s="55">
        <f>IF($B128=$B127,$BX127,0)+$BW128</f>
        <v/>
      </c>
      <c r="BY128" s="55">
        <f>$BY127+$BW128</f>
        <v/>
      </c>
      <c r="BZ128" s="55">
        <f>SUMIFS(tblPlant[Milled_t],tblPlant[Date],$A128)</f>
        <v/>
      </c>
      <c r="CA128" s="55">
        <f>IF($B128=$B127,$CA127,0)+$BZ128</f>
        <v/>
      </c>
      <c r="CB128" s="55">
        <f>$CB127+$BZ128</f>
        <v/>
      </c>
      <c r="CC128" s="55">
        <f>SUMIFS(tblPlant[Feed_oz],tblPlant[Date],$A128)</f>
        <v/>
      </c>
      <c r="CD128" s="55">
        <f>IF($B128=$B127,$CD127,0)+$CC128</f>
        <v/>
      </c>
      <c r="CE128" s="55">
        <f>$CE127+$CC128</f>
        <v/>
      </c>
      <c r="CF128" s="55">
        <f>SUMIFS(tblPlant[Tails_oz],tblPlant[Date],$A128)</f>
        <v/>
      </c>
      <c r="CG128" s="55">
        <f>IF($B128=$B127,$CG127,0)+$CF128</f>
        <v/>
      </c>
      <c r="CH128" s="55">
        <f>$CH127+$CF128</f>
        <v/>
      </c>
      <c r="CI128" s="55">
        <f>SUMIFS(tblPlant[Recovered_oz],tblPlant[Date],$A128)</f>
        <v/>
      </c>
      <c r="CJ128" s="55">
        <f>IF($B128=$B127,$CJ127,0)+$CI128</f>
        <v/>
      </c>
      <c r="CK128" s="55">
        <f>$CK127+$CI128</f>
        <v/>
      </c>
      <c r="CL128" s="56">
        <f>IFERROR(IF(($BZ128)&gt;0,($CC128*cfg_TroyOz)/($BZ128),""),"")</f>
        <v/>
      </c>
      <c r="CM128" s="56">
        <f>IFERROR(IF(($CA128)&gt;0,($CD128*cfg_TroyOz)/($CA128),""),"")</f>
        <v/>
      </c>
      <c r="CN128" s="56">
        <f>IFERROR(IF(($CB128)&gt;0,($CE128*cfg_TroyOz)/($CB128),""),"")</f>
        <v/>
      </c>
      <c r="CO128" s="56">
        <f>IFERROR(IF(($BZ128)&gt;0,($CF128*cfg_TroyOz)/($BZ128),""),"")</f>
        <v/>
      </c>
      <c r="CP128" s="56">
        <f>IFERROR(IF(($CA128)&gt;0,($CG128*cfg_TroyOz)/($CA128),""),"")</f>
        <v/>
      </c>
      <c r="CQ128" s="56">
        <f>IFERROR(IF(($CB128)&gt;0,($CH128*cfg_TroyOz)/($CB128),""),"")</f>
        <v/>
      </c>
      <c r="CR128" s="67">
        <f>IFERROR(IF(($CC128)&gt;0,($CI128)/($CC128),""),"")</f>
        <v/>
      </c>
      <c r="CS128" s="67">
        <f>IFERROR(IF(($CD128)&gt;0,($CJ128)/($CD128),""),"")</f>
        <v/>
      </c>
      <c r="CT128" s="67">
        <f>IFERROR(IF(($CE128)&gt;0,($CK128)/($CE128),""),"")</f>
        <v/>
      </c>
      <c r="CU128" s="55">
        <f>SUMIFS(tblPlant[Gravity_Gold_oz],tblPlant[Date],$A128)</f>
        <v/>
      </c>
      <c r="CV128" s="55">
        <f>IF($B128=$B127,$CV127,0)+$CU128</f>
        <v/>
      </c>
      <c r="CW128" s="55">
        <f>$CW127+$CU128</f>
        <v/>
      </c>
      <c r="CX128" s="55">
        <f>SUMIFS(tblPlant[Gold_Poured_oz],tblPlant[Date],$A128)</f>
        <v/>
      </c>
      <c r="CY128" s="55">
        <f>IF($B128=$B127,$CY127,0)+$CX128</f>
        <v/>
      </c>
      <c r="CZ128" s="55">
        <f>$CZ127+$CX128</f>
        <v/>
      </c>
      <c r="DA128" s="57">
        <f>SUMIFS(tblPlant[Mill_Run_h],tblPlant[Date],$A128)</f>
        <v/>
      </c>
      <c r="DB128" s="57">
        <f>IF($B128=$B127,$DB127,0)+$DA128</f>
        <v/>
      </c>
      <c r="DC128" s="57">
        <f>$DC127+$DA128</f>
        <v/>
      </c>
      <c r="DD128" s="57">
        <f>SUMIFS(tblPlant[Mill_Planned_Maint_h],tblPlant[Date],$A128)</f>
        <v/>
      </c>
      <c r="DE128" s="57">
        <f>IF($B128=$B127,$DE127,0)+$DD128</f>
        <v/>
      </c>
      <c r="DF128" s="57">
        <f>$DF127+$DD128</f>
        <v/>
      </c>
      <c r="DG128" s="57">
        <f>SUMIFS(tblPlant[Mill_Unplanned_Down_h],tblPlant[Date],$A128)</f>
        <v/>
      </c>
      <c r="DH128" s="57">
        <f>IF($B128=$B127,$DH127,0)+$DG128</f>
        <v/>
      </c>
      <c r="DI128" s="57">
        <f>$DI127+$DG128</f>
        <v/>
      </c>
      <c r="DJ128" s="57">
        <f>COUNTIFS(tblPlant[Date],$A128,tblPlant[Mill_Run_h],"&lt;&gt;")*24</f>
        <v/>
      </c>
      <c r="DK128" s="57">
        <f>IF($B128=$B127,$DK127,0)+$DJ128</f>
        <v/>
      </c>
      <c r="DL128" s="57">
        <f>$DL127+$DJ128</f>
        <v/>
      </c>
      <c r="DM128" s="57">
        <f>SUMIFS(tblPlant[Crusher_Run_h],tblPlant[Date],$A128)</f>
        <v/>
      </c>
      <c r="DN128" s="57">
        <f>IF($B128=$B127,$DN127,0)+$DM128</f>
        <v/>
      </c>
      <c r="DO128" s="57">
        <f>$DO127+$DM128</f>
        <v/>
      </c>
      <c r="DP128" s="55">
        <f>IFERROR(IF(($DA128)&gt;0,($BZ128)/($DA128),""),"")</f>
        <v/>
      </c>
      <c r="DQ128" s="55">
        <f>IFERROR(IF(($DB128)&gt;0,($CA128)/($DB128),""),"")</f>
        <v/>
      </c>
      <c r="DR128" s="55">
        <f>IFERROR(IF(($DC128)&gt;0,($CB128)/($DC128),""),"")</f>
        <v/>
      </c>
      <c r="DS128" s="67">
        <f>IFERROR(IF(($DJ128)&gt;0,($DJ128-$DD128-$DG128)/($DJ128),""),"")</f>
        <v/>
      </c>
      <c r="DT128" s="67">
        <f>IFERROR(IF(($DK128)&gt;0,($DK128-$DE128-$DH128)/($DK128),""),"")</f>
        <v/>
      </c>
      <c r="DU128" s="67">
        <f>IFERROR(IF(($DL128)&gt;0,($DL128-$DF128-$DI128)/($DL128),""),"")</f>
        <v/>
      </c>
      <c r="DV128" s="67">
        <f>IFERROR(IF(($DJ128-$DD128-$DG128)&gt;0,($DA128)/($DJ128-$DD128-$DG128),""),"")</f>
        <v/>
      </c>
      <c r="DW128" s="67">
        <f>IFERROR(IF(($DK128-$DE128-$DH128)&gt;0,($DB128)/($DK128-$DE128-$DH128),""),"")</f>
        <v/>
      </c>
      <c r="DX128" s="67">
        <f>IFERROR(IF(($DL128-$DF128-$DI128)&gt;0,($DC128)/($DL128-$DF128-$DI128),""),"")</f>
        <v/>
      </c>
      <c r="DY128" s="55">
        <f>SUMIFS(tblPlant[Cyanide_kg],tblPlant[Date],$A128)</f>
        <v/>
      </c>
      <c r="DZ128" s="55">
        <f>IF($B128=$B127,$DZ127,0)+$DY128</f>
        <v/>
      </c>
      <c r="EA128" s="55">
        <f>$EA127+$DY128</f>
        <v/>
      </c>
      <c r="EB128" s="55">
        <f>SUMIFS(tblPlant[Lime_kg],tblPlant[Date],$A128)</f>
        <v/>
      </c>
      <c r="EC128" s="55">
        <f>IF($B128=$B127,$EC127,0)+$EB128</f>
        <v/>
      </c>
      <c r="ED128" s="55">
        <f>$ED127+$EB128</f>
        <v/>
      </c>
      <c r="EE128" s="55">
        <f>SUMIFS(tblPlant[Grinding_Media_kg],tblPlant[Date],$A128)</f>
        <v/>
      </c>
      <c r="EF128" s="55">
        <f>IF($B128=$B127,$EF127,0)+$EE128</f>
        <v/>
      </c>
      <c r="EG128" s="55">
        <f>$EG127+$EE128</f>
        <v/>
      </c>
      <c r="EH128" s="55">
        <f>SUMIFS(tblPlant[Power_kWh],tblPlant[Date],$A128)</f>
        <v/>
      </c>
      <c r="EI128" s="55">
        <f>IF($B128=$B127,$EI127,0)+$EH128</f>
        <v/>
      </c>
      <c r="EJ128" s="55">
        <f>$EJ127+$EH128</f>
        <v/>
      </c>
      <c r="EK128" s="55">
        <f>SUMIFS(tblPlant[Raw_Water_m3],tblPlant[Date],$A128)</f>
        <v/>
      </c>
      <c r="EL128" s="55">
        <f>IF($B128=$B127,$EL127,0)+$EK128</f>
        <v/>
      </c>
      <c r="EM128" s="55">
        <f>$EM127+$EK128</f>
        <v/>
      </c>
      <c r="EN128" s="56">
        <f>IFERROR(IF(($BZ128)&gt;0,($DY128)/($BZ128),""),"")</f>
        <v/>
      </c>
      <c r="EO128" s="56">
        <f>IFERROR(IF(($CA128)&gt;0,($DZ128)/($CA128),""),"")</f>
        <v/>
      </c>
      <c r="EP128" s="56">
        <f>IFERROR(IF(($CB128)&gt;0,($EA128)/($CB128),""),"")</f>
        <v/>
      </c>
      <c r="EQ128" s="56">
        <f>IFERROR(IF(($BZ128)&gt;0,($EB128)/($BZ128),""),"")</f>
        <v/>
      </c>
      <c r="ER128" s="56">
        <f>IFERROR(IF(($CA128)&gt;0,($EC128)/($CA128),""),"")</f>
        <v/>
      </c>
      <c r="ES128" s="56">
        <f>IFERROR(IF(($CB128)&gt;0,($ED128)/($CB128),""),"")</f>
        <v/>
      </c>
      <c r="ET128" s="56">
        <f>IFERROR(IF(($BZ128)&gt;0,($EE128)/($BZ128),""),"")</f>
        <v/>
      </c>
      <c r="EU128" s="56">
        <f>IFERROR(IF(($CA128)&gt;0,($EF128)/($CA128),""),"")</f>
        <v/>
      </c>
      <c r="EV128" s="56">
        <f>IFERROR(IF(($CB128)&gt;0,($EG128)/($CB128),""),"")</f>
        <v/>
      </c>
      <c r="EW128" s="76">
        <f>IFERROR(IF(($BZ128)&gt;0,($EH128)/($BZ128),""),"")</f>
        <v/>
      </c>
      <c r="EX128" s="76">
        <f>IFERROR(IF(($CA128)&gt;0,($EI128)/($CA128),""),"")</f>
        <v/>
      </c>
      <c r="EY128" s="76">
        <f>IFERROR(IF(($CB128)&gt;0,($EJ128)/($CB128),""),"")</f>
        <v/>
      </c>
      <c r="EZ128" s="56">
        <f>IFERROR(IF(($BZ128)&gt;0,($EK128)/($BZ128),""),"")</f>
        <v/>
      </c>
      <c r="FA128" s="56">
        <f>IFERROR(IF(($CA128)&gt;0,($EL128)/($CA128),""),"")</f>
        <v/>
      </c>
      <c r="FB128" s="56">
        <f>IFERROR(IF(($CB128)&gt;0,($EM128)/($CB128),""),"")</f>
        <v/>
      </c>
      <c r="FC128" s="55">
        <f>IF(SUMIFS(tblPlant[GIC_oz],tblPlant[Date],$A128)&gt;0,SUMIFS(tblPlant[GIC_oz],tblPlant[Date],$A128),"")</f>
        <v/>
      </c>
      <c r="FD128" s="55">
        <f>SUMIFS(tblGold[Gold_oz],tblGold[Date],$A128,tblGold[Type],"Shipment")</f>
        <v/>
      </c>
      <c r="FE128" s="55">
        <f>IF($B128=$B127,$FE127,0)+$FD128</f>
        <v/>
      </c>
      <c r="FF128" s="55">
        <f>$FF127+$FD128</f>
        <v/>
      </c>
      <c r="FG128" s="55">
        <f>SUMIFS(tblGold[Gold_oz],tblGold[Date],$A128,tblGold[Type],"Sale")</f>
        <v/>
      </c>
      <c r="FH128" s="55">
        <f>IF($B128=$B127,$FH127,0)+$FG128</f>
        <v/>
      </c>
      <c r="FI128" s="55">
        <f>$FI127+$FG128</f>
        <v/>
      </c>
      <c r="FJ128" s="55">
        <f>SUMIFS(tblGold[Dore_kg],tblGold[Date],$A128,tblGold[Type],"Shipment")</f>
        <v/>
      </c>
      <c r="FK128" s="55">
        <f>IF($B128=$B127,$FK127,0)+$FJ128</f>
        <v/>
      </c>
      <c r="FL128" s="55">
        <f>$FL127+$FJ128</f>
        <v/>
      </c>
      <c r="FM128" s="57">
        <f>SUMIFS(tblSafety[Hours_Total],tblSafety[Date],$A128)</f>
        <v/>
      </c>
      <c r="FN128" s="57">
        <f>IF($B128=$B127,$FN127,0)+$FM128</f>
        <v/>
      </c>
      <c r="FO128" s="57">
        <f>$FO127+$FM128</f>
        <v/>
      </c>
      <c r="FP128" s="62">
        <f>SUMIFS(tblSafety[Fatality],tblSafety[Date],$A128)</f>
        <v/>
      </c>
      <c r="FQ128" s="62">
        <f>IF($B128=$B127,$FQ127,0)+$FP128</f>
        <v/>
      </c>
      <c r="FR128" s="62">
        <f>$FR127+$FP128</f>
        <v/>
      </c>
      <c r="FS128" s="62">
        <f>SUMIFS(tblSafety[LTI],tblSafety[Date],$A128)</f>
        <v/>
      </c>
      <c r="FT128" s="62">
        <f>IF($B128=$B127,$FT127,0)+$FS128</f>
        <v/>
      </c>
      <c r="FU128" s="62">
        <f>$FU127+$FS128</f>
        <v/>
      </c>
      <c r="FV128" s="62">
        <f>SUMIFS(tblSafety[RWI],tblSafety[Date],$A128)</f>
        <v/>
      </c>
      <c r="FW128" s="62">
        <f>IF($B128=$B127,$FW127,0)+$FV128</f>
        <v/>
      </c>
      <c r="FX128" s="62">
        <f>$FX127+$FV128</f>
        <v/>
      </c>
      <c r="FY128" s="62">
        <f>SUMIFS(tblSafety[MTI],tblSafety[Date],$A128)</f>
        <v/>
      </c>
      <c r="FZ128" s="62">
        <f>IF($B128=$B127,$FZ127,0)+$FY128</f>
        <v/>
      </c>
      <c r="GA128" s="62">
        <f>$GA127+$FY128</f>
        <v/>
      </c>
      <c r="GB128" s="62">
        <f>SUMIFS(tblSafety[FAI],tblSafety[Date],$A128)</f>
        <v/>
      </c>
      <c r="GC128" s="62">
        <f>IF($B128=$B127,$GC127,0)+$GB128</f>
        <v/>
      </c>
      <c r="GD128" s="62">
        <f>$GD127+$GB128</f>
        <v/>
      </c>
      <c r="GE128" s="62">
        <f>SUMIFS(tblSafety[Recordables],tblSafety[Date],$A128)</f>
        <v/>
      </c>
      <c r="GF128" s="62">
        <f>IF($B128=$B127,$GF127,0)+$GE128</f>
        <v/>
      </c>
      <c r="GG128" s="62">
        <f>$GG127+$GE128</f>
        <v/>
      </c>
      <c r="GH128" s="62">
        <f>SUMIFS(tblSafety[Near_Miss],tblSafety[Date],$A128)</f>
        <v/>
      </c>
      <c r="GI128" s="62">
        <f>IF($B128=$B127,$GI127,0)+$GH128</f>
        <v/>
      </c>
      <c r="GJ128" s="62">
        <f>$GJ127+$GH128</f>
        <v/>
      </c>
      <c r="GK128" s="62">
        <f>SUMIFS(tblSafety[Hazard_Reports],tblSafety[Date],$A128)</f>
        <v/>
      </c>
      <c r="GL128" s="62">
        <f>IF($B128=$B127,$GL127,0)+$GK128</f>
        <v/>
      </c>
      <c r="GM128" s="62">
        <f>$GM127+$GK128</f>
        <v/>
      </c>
      <c r="GN128" s="62">
        <f>SUMIFS(tblSafety[HPI],tblSafety[Date],$A128)</f>
        <v/>
      </c>
      <c r="GO128" s="62">
        <f>IF($B128=$B127,$GO127,0)+$GN128</f>
        <v/>
      </c>
      <c r="GP128" s="62">
        <f>$GP127+$GN128</f>
        <v/>
      </c>
      <c r="GQ128" s="62">
        <f>SUMIFS(tblSafety[Env_Incidents],tblSafety[Date],$A128)</f>
        <v/>
      </c>
      <c r="GR128" s="62">
        <f>IF($B128=$B127,$GR127,0)+$GQ128</f>
        <v/>
      </c>
      <c r="GS128" s="62">
        <f>$GS127+$GQ128</f>
        <v/>
      </c>
      <c r="GT128" s="62">
        <f>SUMIFS(tblSafety[Community_Incidents],tblSafety[Date],$A128)</f>
        <v/>
      </c>
      <c r="GU128" s="62">
        <f>IF($B128=$B127,$GU127,0)+$GT128</f>
        <v/>
      </c>
      <c r="GV128" s="62">
        <f>$GV127+$GT128</f>
        <v/>
      </c>
      <c r="GW128" s="62">
        <f>SUMIFS(tblSafety[Vehicle_Incidents],tblSafety[Date],$A128)</f>
        <v/>
      </c>
      <c r="GX128" s="62">
        <f>IF($B128=$B127,$GX127,0)+$GW128</f>
        <v/>
      </c>
      <c r="GY128" s="62">
        <f>$GY127+$GW128</f>
        <v/>
      </c>
      <c r="GZ128" s="62">
        <f>SUMIFS(tblSafety[Toolbox_Talks],tblSafety[Date],$A128)</f>
        <v/>
      </c>
      <c r="HA128" s="62">
        <f>IF($B128=$B127,$HA127,0)+$GZ128</f>
        <v/>
      </c>
      <c r="HB128" s="62">
        <f>$HB127+$GZ128</f>
        <v/>
      </c>
      <c r="HC128" s="62">
        <f>SUMIFS(tblSafety[Inspections],tblSafety[Date],$A128)</f>
        <v/>
      </c>
      <c r="HD128" s="62">
        <f>IF($B128=$B127,$HD127,0)+$HC128</f>
        <v/>
      </c>
      <c r="HE128" s="62">
        <f>$HE127+$HC128</f>
        <v/>
      </c>
      <c r="HF128" s="56">
        <f>IFERROR((SUMIFS(tblSafety[Recordables],tblSafety[Date],"&gt;="&amp;EDATE($E128,-12),tblSafety[Date],"&lt;="&amp;$A128)+SUMIFS(tblSafetyHistory[Recordables],tblSafetyHistory[Month],"&gt;="&amp;EDATE($E128,-12),tblSafetyHistory[Month],"&lt;"&amp;cfg_YearStart))/(SUMIFS(tblSafety[Hours_Total],tblSafety[Date],"&gt;="&amp;EDATE($E128,-12),tblSafety[Date],"&lt;="&amp;$A128)+SUMIFS(tblSafetyHistory[Hours_Total],tblSafetyHistory[Month],"&gt;="&amp;EDATE($E128,-12),tblSafetyHistory[Month],"&lt;"&amp;cfg_YearStart))*1000000,"")</f>
        <v/>
      </c>
      <c r="HG128" s="56">
        <f>IFERROR((SUMIFS(tblSafety[LTI],tblSafety[Date],"&gt;="&amp;EDATE($E128,-12),tblSafety[Date],"&lt;="&amp;$A128)+SUMIFS(tblSafetyHistory[LTI],tblSafetyHistory[Month],"&gt;="&amp;EDATE($E128,-12),tblSafetyHistory[Month],"&lt;"&amp;cfg_YearStart))/(SUMIFS(tblSafety[Hours_Total],tblSafety[Date],"&gt;="&amp;EDATE($E128,-12),tblSafety[Date],"&lt;="&amp;$A128)+SUMIFS(tblSafetyHistory[Hours_Total],tblSafetyHistory[Month],"&gt;="&amp;EDATE($E128,-12),tblSafetyHistory[Month],"&lt;"&amp;cfg_YearStart))*1000000,"")</f>
        <v/>
      </c>
      <c r="HH128" s="62">
        <f>IF(MAX(N(cfg_PriorLTIDate),_xlfn.MAXIFS(tblSafety[Date],tblSafety[LTI],"&gt;0",tblSafety[Date],"&lt;="&amp;$A128))=0,"",$A128-MAX(N(cfg_PriorLTIDate),_xlfn.MAXIFS(tblSafety[Date],tblSafety[LTI],"&gt;0",tblSafety[Date],"&lt;="&amp;$A128)))</f>
        <v/>
      </c>
      <c r="HI128" s="55">
        <f>SUMIFS(tblBudget[Ore_Mined_t],tblBudget[Month],$E128)</f>
        <v/>
      </c>
      <c r="HJ128" s="55">
        <f>$HI128*$C128/$D128</f>
        <v/>
      </c>
      <c r="HK128" s="55">
        <f>SUMIFS(tblBudget[Ore_Mined_t],tblBudget[Month],"&lt;"&amp;$E128)+$HJ128</f>
        <v/>
      </c>
      <c r="HL128" s="55">
        <f>SUMIFS(tblBudget[Ore_oz],tblBudget[Month],$E128)</f>
        <v/>
      </c>
      <c r="HM128" s="55">
        <f>$HL128*$C128/$D128</f>
        <v/>
      </c>
      <c r="HN128" s="55">
        <f>SUMIFS(tblBudget[Ore_oz],tblBudget[Month],"&lt;"&amp;$E128)+$HM128</f>
        <v/>
      </c>
      <c r="HO128" s="56">
        <f>IFERROR(IF(($HI128)&gt;0,($HL128*cfg_TroyOz)/($HI128),""),"")</f>
        <v/>
      </c>
      <c r="HP128" s="56">
        <f>IFERROR(IF(($HJ128)&gt;0,($HM128*cfg_TroyOz)/($HJ128),""),"")</f>
        <v/>
      </c>
      <c r="HQ128" s="56">
        <f>IFERROR(IF(($HK128)&gt;0,($HN128*cfg_TroyOz)/($HK128),""),"")</f>
        <v/>
      </c>
      <c r="HR128" s="55">
        <f>SUMIFS(tblBudget[Waste_t],tblBudget[Month],$E128)</f>
        <v/>
      </c>
      <c r="HS128" s="55">
        <f>$HR128*$C128/$D128</f>
        <v/>
      </c>
      <c r="HT128" s="55">
        <f>SUMIFS(tblBudget[Waste_t],tblBudget[Month],"&lt;"&amp;$E128)+$HS128</f>
        <v/>
      </c>
      <c r="HU128" s="55">
        <f>SUMIFS(tblBudget[TMM_t],tblBudget[Month],$E128)</f>
        <v/>
      </c>
      <c r="HV128" s="55">
        <f>$HU128*$C128/$D128</f>
        <v/>
      </c>
      <c r="HW128" s="55">
        <f>SUMIFS(tblBudget[TMM_t],tblBudget[Month],"&lt;"&amp;$E128)+$HV128</f>
        <v/>
      </c>
      <c r="HX128" s="56">
        <f>IFERROR(IF(($HI128)&gt;0,($HR128)/($HI128),""),"")</f>
        <v/>
      </c>
      <c r="HY128" s="56">
        <f>IFERROR(IF(($HJ128)&gt;0,($HS128)/($HJ128),""),"")</f>
        <v/>
      </c>
      <c r="HZ128" s="56">
        <f>IFERROR(IF(($HK128)&gt;0,($HT128)/($HK128),""),"")</f>
        <v/>
      </c>
      <c r="IA128" s="55">
        <f>SUMIFS(tblBudget[Drill_m],tblBudget[Month],$E128)</f>
        <v/>
      </c>
      <c r="IB128" s="55">
        <f>$IA128*$C128/$D128</f>
        <v/>
      </c>
      <c r="IC128" s="55">
        <f>SUMIFS(tblBudget[Drill_m],tblBudget[Month],"&lt;"&amp;$E128)+$IB128</f>
        <v/>
      </c>
      <c r="ID128" s="55">
        <f>SUMIFS(tblBudget[Diesel_L],tblBudget[Month],$E128)</f>
        <v/>
      </c>
      <c r="IE128" s="55">
        <f>$ID128*$C128/$D128</f>
        <v/>
      </c>
      <c r="IF128" s="55">
        <f>SUMIFS(tblBudget[Diesel_L],tblBudget[Month],"&lt;"&amp;$E128)+$IE128</f>
        <v/>
      </c>
      <c r="IG128" s="55">
        <f>SUMIFS(tblBudget[Milled_t],tblBudget[Month],$E128)</f>
        <v/>
      </c>
      <c r="IH128" s="55">
        <f>$IG128*$C128/$D128</f>
        <v/>
      </c>
      <c r="II128" s="55">
        <f>SUMIFS(tblBudget[Milled_t],tblBudget[Month],"&lt;"&amp;$E128)+$IH128</f>
        <v/>
      </c>
      <c r="IJ128" s="55">
        <f>SUMIFS(tblBudget[Feed_oz],tblBudget[Month],$E128)</f>
        <v/>
      </c>
      <c r="IK128" s="55">
        <f>$IJ128*$C128/$D128</f>
        <v/>
      </c>
      <c r="IL128" s="55">
        <f>SUMIFS(tblBudget[Feed_oz],tblBudget[Month],"&lt;"&amp;$E128)+$IK128</f>
        <v/>
      </c>
      <c r="IM128" s="55">
        <f>SUMIFS(tblBudget[Recovered_oz],tblBudget[Month],$E128)</f>
        <v/>
      </c>
      <c r="IN128" s="55">
        <f>$IM128*$C128/$D128</f>
        <v/>
      </c>
      <c r="IO128" s="55">
        <f>SUMIFS(tblBudget[Recovered_oz],tblBudget[Month],"&lt;"&amp;$E128)+$IN128</f>
        <v/>
      </c>
      <c r="IP128" s="56">
        <f>IFERROR(IF(($IG128)&gt;0,($IJ128*cfg_TroyOz)/($IG128),""),"")</f>
        <v/>
      </c>
      <c r="IQ128" s="56">
        <f>IFERROR(IF(($IH128)&gt;0,($IK128*cfg_TroyOz)/($IH128),""),"")</f>
        <v/>
      </c>
      <c r="IR128" s="56">
        <f>IFERROR(IF(($II128)&gt;0,($IL128*cfg_TroyOz)/($II128),""),"")</f>
        <v/>
      </c>
      <c r="IS128" s="67">
        <f>IFERROR(IF(($IJ128)&gt;0,($IM128)/($IJ128),""),"")</f>
        <v/>
      </c>
      <c r="IT128" s="67">
        <f>IFERROR(IF(($IK128)&gt;0,($IN128)/($IK128),""),"")</f>
        <v/>
      </c>
      <c r="IU128" s="67">
        <f>IFERROR(IF(($IL128)&gt;0,($IO128)/($IL128),""),"")</f>
        <v/>
      </c>
      <c r="IV128" s="55">
        <f>SUMIFS(tblBudget[Gold_Poured_oz],tblBudget[Month],$E128)</f>
        <v/>
      </c>
      <c r="IW128" s="55">
        <f>$IV128*$C128/$D128</f>
        <v/>
      </c>
      <c r="IX128" s="55">
        <f>SUMIFS(tblBudget[Gold_Poured_oz],tblBudget[Month],"&lt;"&amp;$E128)+$IW128</f>
        <v/>
      </c>
      <c r="IY128" s="57">
        <f>SUMIFS(tblBudget[Hours_Worked],tblBudget[Month],$E128)</f>
        <v/>
      </c>
      <c r="IZ128" s="57">
        <f>$IY128*$C128/$D128</f>
        <v/>
      </c>
      <c r="JA128" s="57">
        <f>SUMIFS(tblBudget[Hours_Worked],tblBudget[Month],"&lt;"&amp;$E128)+$IZ128</f>
        <v/>
      </c>
    </row>
    <row r="129">
      <c r="A129" s="54" t="n">
        <v>46150</v>
      </c>
      <c r="B129">
        <f>MONTH($A129)</f>
        <v/>
      </c>
      <c r="C129">
        <f>DAY($A129)</f>
        <v/>
      </c>
      <c r="D129">
        <f>DAY(EOMONTH($A129,0))</f>
        <v/>
      </c>
      <c r="E129" s="54">
        <f>DATE(YEAR($A129),MONTH($A129),1)</f>
        <v/>
      </c>
      <c r="F129" s="55">
        <f>SUMIFS(tblMovement[Tonnes_t],tblMovement[Date],$A129,tblMovement[Is_Ore],1,tblMovement[Source_Type],"Pit")</f>
        <v/>
      </c>
      <c r="G129" s="55">
        <f>IF($B129=$B128,$G128,0)+$F129</f>
        <v/>
      </c>
      <c r="H129" s="55">
        <f>$H128+$F129</f>
        <v/>
      </c>
      <c r="I129" s="55">
        <f>SUMIFS(tblMovement[Ore_oz],tblMovement[Date],$A129,tblMovement[Source_Type],"Pit")</f>
        <v/>
      </c>
      <c r="J129" s="55">
        <f>IF($B129=$B128,$J128,0)+$I129</f>
        <v/>
      </c>
      <c r="K129" s="55">
        <f>$K128+$I129</f>
        <v/>
      </c>
      <c r="L129" s="56">
        <f>IFERROR(IF(($F129)&gt;0,($I129*cfg_TroyOz)/($F129),""),"")</f>
        <v/>
      </c>
      <c r="M129" s="56">
        <f>IFERROR(IF(($G129)&gt;0,($J129*cfg_TroyOz)/($G129),""),"")</f>
        <v/>
      </c>
      <c r="N129" s="56">
        <f>IFERROR(IF(($H129)&gt;0,($K129*cfg_TroyOz)/($H129),""),"")</f>
        <v/>
      </c>
      <c r="O129" s="55">
        <f>SUMIFS(tblMovement[Tonnes_t],tblMovement[Date],$A129,tblMovement[Is_Ore],0,tblMovement[Source_Type],"Pit")</f>
        <v/>
      </c>
      <c r="P129" s="55">
        <f>IF($B129=$B128,$P128,0)+$O129</f>
        <v/>
      </c>
      <c r="Q129" s="55">
        <f>$Q128+$O129</f>
        <v/>
      </c>
      <c r="R129" s="55">
        <f>$F129+$O129</f>
        <v/>
      </c>
      <c r="S129" s="55">
        <f>IF($B129=$B128,$S128,0)+$R129</f>
        <v/>
      </c>
      <c r="T129" s="55">
        <f>$T128+$R129</f>
        <v/>
      </c>
      <c r="U129" s="56">
        <f>IFERROR(IF(($F129)&gt;0,($O129)/($F129),""),"")</f>
        <v/>
      </c>
      <c r="V129" s="56">
        <f>IFERROR(IF(($G129)&gt;0,($P129)/($G129),""),"")</f>
        <v/>
      </c>
      <c r="W129" s="56">
        <f>IFERROR(IF(($H129)&gt;0,($Q129)/($H129),""),"")</f>
        <v/>
      </c>
      <c r="X129" s="55">
        <f>SUMIFS(tblMovement[Tonnes_t],tblMovement[Date],$A129,tblMovement[Source_Type],"Stockpile")</f>
        <v/>
      </c>
      <c r="Y129" s="55">
        <f>IF($B129=$B128,$Y128,0)+$X129</f>
        <v/>
      </c>
      <c r="Z129" s="55">
        <f>$Z128+$X129</f>
        <v/>
      </c>
      <c r="AA129" s="55">
        <f>SUMIFS(tblMiningDaily[Drill_m],tblMiningDaily[Date],$A129)</f>
        <v/>
      </c>
      <c r="AB129" s="55">
        <f>IF($B129=$B128,$AB128,0)+$AA129</f>
        <v/>
      </c>
      <c r="AC129" s="55">
        <f>$AC128+$AA129</f>
        <v/>
      </c>
      <c r="AD129" s="55">
        <f>SUMIFS(tblMiningDaily[Blast_t],tblMiningDaily[Date],$A129)</f>
        <v/>
      </c>
      <c r="AE129" s="55">
        <f>IF($B129=$B128,$AE128,0)+$AD129</f>
        <v/>
      </c>
      <c r="AF129" s="55">
        <f>$AF128+$AD129</f>
        <v/>
      </c>
      <c r="AG129" s="55">
        <f>SUMIFS(tblMiningDaily[Explosives_kg],tblMiningDaily[Date],$A129)</f>
        <v/>
      </c>
      <c r="AH129" s="55">
        <f>IF($B129=$B128,$AH128,0)+$AG129</f>
        <v/>
      </c>
      <c r="AI129" s="55">
        <f>$AI128+$AG129</f>
        <v/>
      </c>
      <c r="AJ129" s="56">
        <f>IFERROR(IF(($AD129)&gt;0,($AG129)/($AD129),""),"")</f>
        <v/>
      </c>
      <c r="AK129" s="56">
        <f>IFERROR(IF(($AE129)&gt;0,($AH129)/($AE129),""),"")</f>
        <v/>
      </c>
      <c r="AL129" s="56">
        <f>IFERROR(IF(($AF129)&gt;0,($AI129)/($AF129),""),"")</f>
        <v/>
      </c>
      <c r="AM129" s="55">
        <f>SUMIFS(tblMiningDaily[Diesel_L],tblMiningDaily[Date],$A129)</f>
        <v/>
      </c>
      <c r="AN129" s="55">
        <f>IF($B129=$B128,$AN128,0)+$AM129</f>
        <v/>
      </c>
      <c r="AO129" s="55">
        <f>$AO128+$AM129</f>
        <v/>
      </c>
      <c r="AP129" s="55">
        <f>SUMIFS(tblMiningDaily[Dewatering_m3],tblMiningDaily[Date],$A129)</f>
        <v/>
      </c>
      <c r="AQ129" s="55">
        <f>IF($B129=$B128,$AQ128,0)+$AP129</f>
        <v/>
      </c>
      <c r="AR129" s="55">
        <f>$AR128+$AP129</f>
        <v/>
      </c>
      <c r="AS129" s="57">
        <f>SUMIFS(tblFleet[Calendar_h],tblFleet[Date],$A129,tblFleet[Equipment_Class],"Excavator")</f>
        <v/>
      </c>
      <c r="AT129" s="57">
        <f>IF($B129=$B128,$AT128,0)+$AS129</f>
        <v/>
      </c>
      <c r="AU129" s="57">
        <f>$AU128+$AS129</f>
        <v/>
      </c>
      <c r="AV129" s="57">
        <f>SUMIFS(tblFleet[Available_h],tblFleet[Date],$A129,tblFleet[Equipment_Class],"Excavator")</f>
        <v/>
      </c>
      <c r="AW129" s="57">
        <f>IF($B129=$B128,$AW128,0)+$AV129</f>
        <v/>
      </c>
      <c r="AX129" s="57">
        <f>$AX128+$AV129</f>
        <v/>
      </c>
      <c r="AY129" s="57">
        <f>SUMIFS(tblFleet[Operating_h],tblFleet[Date],$A129,tblFleet[Equipment_Class],"Excavator")</f>
        <v/>
      </c>
      <c r="AZ129" s="57">
        <f>IF($B129=$B128,$AZ128,0)+$AY129</f>
        <v/>
      </c>
      <c r="BA129" s="57">
        <f>$BA128+$AY129</f>
        <v/>
      </c>
      <c r="BB129" s="67">
        <f>IFERROR(IF(($AS129)&gt;0,($AV129)/($AS129),""),"")</f>
        <v/>
      </c>
      <c r="BC129" s="67">
        <f>IFERROR(IF(($AT129)&gt;0,($AW129)/($AT129),""),"")</f>
        <v/>
      </c>
      <c r="BD129" s="67">
        <f>IFERROR(IF(($AU129)&gt;0,($AX129)/($AU129),""),"")</f>
        <v/>
      </c>
      <c r="BE129" s="67">
        <f>IFERROR(IF(($AV129)&gt;0,($AY129)/($AV129),""),"")</f>
        <v/>
      </c>
      <c r="BF129" s="67">
        <f>IFERROR(IF(($AW129)&gt;0,($AZ129)/($AW129),""),"")</f>
        <v/>
      </c>
      <c r="BG129" s="67">
        <f>IFERROR(IF(($AX129)&gt;0,($BA129)/($AX129),""),"")</f>
        <v/>
      </c>
      <c r="BH129" s="57">
        <f>SUMIFS(tblFleet[Calendar_h],tblFleet[Date],$A129,tblFleet[Equipment_Class],"Haul Truck")</f>
        <v/>
      </c>
      <c r="BI129" s="57">
        <f>IF($B129=$B128,$BI128,0)+$BH129</f>
        <v/>
      </c>
      <c r="BJ129" s="57">
        <f>$BJ128+$BH129</f>
        <v/>
      </c>
      <c r="BK129" s="57">
        <f>SUMIFS(tblFleet[Available_h],tblFleet[Date],$A129,tblFleet[Equipment_Class],"Haul Truck")</f>
        <v/>
      </c>
      <c r="BL129" s="57">
        <f>IF($B129=$B128,$BL128,0)+$BK129</f>
        <v/>
      </c>
      <c r="BM129" s="57">
        <f>$BM128+$BK129</f>
        <v/>
      </c>
      <c r="BN129" s="57">
        <f>SUMIFS(tblFleet[Operating_h],tblFleet[Date],$A129,tblFleet[Equipment_Class],"Haul Truck")</f>
        <v/>
      </c>
      <c r="BO129" s="57">
        <f>IF($B129=$B128,$BO128,0)+$BN129</f>
        <v/>
      </c>
      <c r="BP129" s="57">
        <f>$BP128+$BN129</f>
        <v/>
      </c>
      <c r="BQ129" s="67">
        <f>IFERROR(IF(($BH129)&gt;0,($BK129)/($BH129),""),"")</f>
        <v/>
      </c>
      <c r="BR129" s="67">
        <f>IFERROR(IF(($BI129)&gt;0,($BL129)/($BI129),""),"")</f>
        <v/>
      </c>
      <c r="BS129" s="67">
        <f>IFERROR(IF(($BJ129)&gt;0,($BM129)/($BJ129),""),"")</f>
        <v/>
      </c>
      <c r="BT129" s="67">
        <f>IFERROR(IF(($BK129)&gt;0,($BN129)/($BK129),""),"")</f>
        <v/>
      </c>
      <c r="BU129" s="67">
        <f>IFERROR(IF(($BL129)&gt;0,($BO129)/($BL129),""),"")</f>
        <v/>
      </c>
      <c r="BV129" s="67">
        <f>IFERROR(IF(($BM129)&gt;0,($BP129)/($BM129),""),"")</f>
        <v/>
      </c>
      <c r="BW129" s="55">
        <f>SUMIFS(tblPlant[Crushed_t],tblPlant[Date],$A129)</f>
        <v/>
      </c>
      <c r="BX129" s="55">
        <f>IF($B129=$B128,$BX128,0)+$BW129</f>
        <v/>
      </c>
      <c r="BY129" s="55">
        <f>$BY128+$BW129</f>
        <v/>
      </c>
      <c r="BZ129" s="55">
        <f>SUMIFS(tblPlant[Milled_t],tblPlant[Date],$A129)</f>
        <v/>
      </c>
      <c r="CA129" s="55">
        <f>IF($B129=$B128,$CA128,0)+$BZ129</f>
        <v/>
      </c>
      <c r="CB129" s="55">
        <f>$CB128+$BZ129</f>
        <v/>
      </c>
      <c r="CC129" s="55">
        <f>SUMIFS(tblPlant[Feed_oz],tblPlant[Date],$A129)</f>
        <v/>
      </c>
      <c r="CD129" s="55">
        <f>IF($B129=$B128,$CD128,0)+$CC129</f>
        <v/>
      </c>
      <c r="CE129" s="55">
        <f>$CE128+$CC129</f>
        <v/>
      </c>
      <c r="CF129" s="55">
        <f>SUMIFS(tblPlant[Tails_oz],tblPlant[Date],$A129)</f>
        <v/>
      </c>
      <c r="CG129" s="55">
        <f>IF($B129=$B128,$CG128,0)+$CF129</f>
        <v/>
      </c>
      <c r="CH129" s="55">
        <f>$CH128+$CF129</f>
        <v/>
      </c>
      <c r="CI129" s="55">
        <f>SUMIFS(tblPlant[Recovered_oz],tblPlant[Date],$A129)</f>
        <v/>
      </c>
      <c r="CJ129" s="55">
        <f>IF($B129=$B128,$CJ128,0)+$CI129</f>
        <v/>
      </c>
      <c r="CK129" s="55">
        <f>$CK128+$CI129</f>
        <v/>
      </c>
      <c r="CL129" s="56">
        <f>IFERROR(IF(($BZ129)&gt;0,($CC129*cfg_TroyOz)/($BZ129),""),"")</f>
        <v/>
      </c>
      <c r="CM129" s="56">
        <f>IFERROR(IF(($CA129)&gt;0,($CD129*cfg_TroyOz)/($CA129),""),"")</f>
        <v/>
      </c>
      <c r="CN129" s="56">
        <f>IFERROR(IF(($CB129)&gt;0,($CE129*cfg_TroyOz)/($CB129),""),"")</f>
        <v/>
      </c>
      <c r="CO129" s="56">
        <f>IFERROR(IF(($BZ129)&gt;0,($CF129*cfg_TroyOz)/($BZ129),""),"")</f>
        <v/>
      </c>
      <c r="CP129" s="56">
        <f>IFERROR(IF(($CA129)&gt;0,($CG129*cfg_TroyOz)/($CA129),""),"")</f>
        <v/>
      </c>
      <c r="CQ129" s="56">
        <f>IFERROR(IF(($CB129)&gt;0,($CH129*cfg_TroyOz)/($CB129),""),"")</f>
        <v/>
      </c>
      <c r="CR129" s="67">
        <f>IFERROR(IF(($CC129)&gt;0,($CI129)/($CC129),""),"")</f>
        <v/>
      </c>
      <c r="CS129" s="67">
        <f>IFERROR(IF(($CD129)&gt;0,($CJ129)/($CD129),""),"")</f>
        <v/>
      </c>
      <c r="CT129" s="67">
        <f>IFERROR(IF(($CE129)&gt;0,($CK129)/($CE129),""),"")</f>
        <v/>
      </c>
      <c r="CU129" s="55">
        <f>SUMIFS(tblPlant[Gravity_Gold_oz],tblPlant[Date],$A129)</f>
        <v/>
      </c>
      <c r="CV129" s="55">
        <f>IF($B129=$B128,$CV128,0)+$CU129</f>
        <v/>
      </c>
      <c r="CW129" s="55">
        <f>$CW128+$CU129</f>
        <v/>
      </c>
      <c r="CX129" s="55">
        <f>SUMIFS(tblPlant[Gold_Poured_oz],tblPlant[Date],$A129)</f>
        <v/>
      </c>
      <c r="CY129" s="55">
        <f>IF($B129=$B128,$CY128,0)+$CX129</f>
        <v/>
      </c>
      <c r="CZ129" s="55">
        <f>$CZ128+$CX129</f>
        <v/>
      </c>
      <c r="DA129" s="57">
        <f>SUMIFS(tblPlant[Mill_Run_h],tblPlant[Date],$A129)</f>
        <v/>
      </c>
      <c r="DB129" s="57">
        <f>IF($B129=$B128,$DB128,0)+$DA129</f>
        <v/>
      </c>
      <c r="DC129" s="57">
        <f>$DC128+$DA129</f>
        <v/>
      </c>
      <c r="DD129" s="57">
        <f>SUMIFS(tblPlant[Mill_Planned_Maint_h],tblPlant[Date],$A129)</f>
        <v/>
      </c>
      <c r="DE129" s="57">
        <f>IF($B129=$B128,$DE128,0)+$DD129</f>
        <v/>
      </c>
      <c r="DF129" s="57">
        <f>$DF128+$DD129</f>
        <v/>
      </c>
      <c r="DG129" s="57">
        <f>SUMIFS(tblPlant[Mill_Unplanned_Down_h],tblPlant[Date],$A129)</f>
        <v/>
      </c>
      <c r="DH129" s="57">
        <f>IF($B129=$B128,$DH128,0)+$DG129</f>
        <v/>
      </c>
      <c r="DI129" s="57">
        <f>$DI128+$DG129</f>
        <v/>
      </c>
      <c r="DJ129" s="57">
        <f>COUNTIFS(tblPlant[Date],$A129,tblPlant[Mill_Run_h],"&lt;&gt;")*24</f>
        <v/>
      </c>
      <c r="DK129" s="57">
        <f>IF($B129=$B128,$DK128,0)+$DJ129</f>
        <v/>
      </c>
      <c r="DL129" s="57">
        <f>$DL128+$DJ129</f>
        <v/>
      </c>
      <c r="DM129" s="57">
        <f>SUMIFS(tblPlant[Crusher_Run_h],tblPlant[Date],$A129)</f>
        <v/>
      </c>
      <c r="DN129" s="57">
        <f>IF($B129=$B128,$DN128,0)+$DM129</f>
        <v/>
      </c>
      <c r="DO129" s="57">
        <f>$DO128+$DM129</f>
        <v/>
      </c>
      <c r="DP129" s="55">
        <f>IFERROR(IF(($DA129)&gt;0,($BZ129)/($DA129),""),"")</f>
        <v/>
      </c>
      <c r="DQ129" s="55">
        <f>IFERROR(IF(($DB129)&gt;0,($CA129)/($DB129),""),"")</f>
        <v/>
      </c>
      <c r="DR129" s="55">
        <f>IFERROR(IF(($DC129)&gt;0,($CB129)/($DC129),""),"")</f>
        <v/>
      </c>
      <c r="DS129" s="67">
        <f>IFERROR(IF(($DJ129)&gt;0,($DJ129-$DD129-$DG129)/($DJ129),""),"")</f>
        <v/>
      </c>
      <c r="DT129" s="67">
        <f>IFERROR(IF(($DK129)&gt;0,($DK129-$DE129-$DH129)/($DK129),""),"")</f>
        <v/>
      </c>
      <c r="DU129" s="67">
        <f>IFERROR(IF(($DL129)&gt;0,($DL129-$DF129-$DI129)/($DL129),""),"")</f>
        <v/>
      </c>
      <c r="DV129" s="67">
        <f>IFERROR(IF(($DJ129-$DD129-$DG129)&gt;0,($DA129)/($DJ129-$DD129-$DG129),""),"")</f>
        <v/>
      </c>
      <c r="DW129" s="67">
        <f>IFERROR(IF(($DK129-$DE129-$DH129)&gt;0,($DB129)/($DK129-$DE129-$DH129),""),"")</f>
        <v/>
      </c>
      <c r="DX129" s="67">
        <f>IFERROR(IF(($DL129-$DF129-$DI129)&gt;0,($DC129)/($DL129-$DF129-$DI129),""),"")</f>
        <v/>
      </c>
      <c r="DY129" s="55">
        <f>SUMIFS(tblPlant[Cyanide_kg],tblPlant[Date],$A129)</f>
        <v/>
      </c>
      <c r="DZ129" s="55">
        <f>IF($B129=$B128,$DZ128,0)+$DY129</f>
        <v/>
      </c>
      <c r="EA129" s="55">
        <f>$EA128+$DY129</f>
        <v/>
      </c>
      <c r="EB129" s="55">
        <f>SUMIFS(tblPlant[Lime_kg],tblPlant[Date],$A129)</f>
        <v/>
      </c>
      <c r="EC129" s="55">
        <f>IF($B129=$B128,$EC128,0)+$EB129</f>
        <v/>
      </c>
      <c r="ED129" s="55">
        <f>$ED128+$EB129</f>
        <v/>
      </c>
      <c r="EE129" s="55">
        <f>SUMIFS(tblPlant[Grinding_Media_kg],tblPlant[Date],$A129)</f>
        <v/>
      </c>
      <c r="EF129" s="55">
        <f>IF($B129=$B128,$EF128,0)+$EE129</f>
        <v/>
      </c>
      <c r="EG129" s="55">
        <f>$EG128+$EE129</f>
        <v/>
      </c>
      <c r="EH129" s="55">
        <f>SUMIFS(tblPlant[Power_kWh],tblPlant[Date],$A129)</f>
        <v/>
      </c>
      <c r="EI129" s="55">
        <f>IF($B129=$B128,$EI128,0)+$EH129</f>
        <v/>
      </c>
      <c r="EJ129" s="55">
        <f>$EJ128+$EH129</f>
        <v/>
      </c>
      <c r="EK129" s="55">
        <f>SUMIFS(tblPlant[Raw_Water_m3],tblPlant[Date],$A129)</f>
        <v/>
      </c>
      <c r="EL129" s="55">
        <f>IF($B129=$B128,$EL128,0)+$EK129</f>
        <v/>
      </c>
      <c r="EM129" s="55">
        <f>$EM128+$EK129</f>
        <v/>
      </c>
      <c r="EN129" s="56">
        <f>IFERROR(IF(($BZ129)&gt;0,($DY129)/($BZ129),""),"")</f>
        <v/>
      </c>
      <c r="EO129" s="56">
        <f>IFERROR(IF(($CA129)&gt;0,($DZ129)/($CA129),""),"")</f>
        <v/>
      </c>
      <c r="EP129" s="56">
        <f>IFERROR(IF(($CB129)&gt;0,($EA129)/($CB129),""),"")</f>
        <v/>
      </c>
      <c r="EQ129" s="56">
        <f>IFERROR(IF(($BZ129)&gt;0,($EB129)/($BZ129),""),"")</f>
        <v/>
      </c>
      <c r="ER129" s="56">
        <f>IFERROR(IF(($CA129)&gt;0,($EC129)/($CA129),""),"")</f>
        <v/>
      </c>
      <c r="ES129" s="56">
        <f>IFERROR(IF(($CB129)&gt;0,($ED129)/($CB129),""),"")</f>
        <v/>
      </c>
      <c r="ET129" s="56">
        <f>IFERROR(IF(($BZ129)&gt;0,($EE129)/($BZ129),""),"")</f>
        <v/>
      </c>
      <c r="EU129" s="56">
        <f>IFERROR(IF(($CA129)&gt;0,($EF129)/($CA129),""),"")</f>
        <v/>
      </c>
      <c r="EV129" s="56">
        <f>IFERROR(IF(($CB129)&gt;0,($EG129)/($CB129),""),"")</f>
        <v/>
      </c>
      <c r="EW129" s="76">
        <f>IFERROR(IF(($BZ129)&gt;0,($EH129)/($BZ129),""),"")</f>
        <v/>
      </c>
      <c r="EX129" s="76">
        <f>IFERROR(IF(($CA129)&gt;0,($EI129)/($CA129),""),"")</f>
        <v/>
      </c>
      <c r="EY129" s="76">
        <f>IFERROR(IF(($CB129)&gt;0,($EJ129)/($CB129),""),"")</f>
        <v/>
      </c>
      <c r="EZ129" s="56">
        <f>IFERROR(IF(($BZ129)&gt;0,($EK129)/($BZ129),""),"")</f>
        <v/>
      </c>
      <c r="FA129" s="56">
        <f>IFERROR(IF(($CA129)&gt;0,($EL129)/($CA129),""),"")</f>
        <v/>
      </c>
      <c r="FB129" s="56">
        <f>IFERROR(IF(($CB129)&gt;0,($EM129)/($CB129),""),"")</f>
        <v/>
      </c>
      <c r="FC129" s="55">
        <f>IF(SUMIFS(tblPlant[GIC_oz],tblPlant[Date],$A129)&gt;0,SUMIFS(tblPlant[GIC_oz],tblPlant[Date],$A129),"")</f>
        <v/>
      </c>
      <c r="FD129" s="55">
        <f>SUMIFS(tblGold[Gold_oz],tblGold[Date],$A129,tblGold[Type],"Shipment")</f>
        <v/>
      </c>
      <c r="FE129" s="55">
        <f>IF($B129=$B128,$FE128,0)+$FD129</f>
        <v/>
      </c>
      <c r="FF129" s="55">
        <f>$FF128+$FD129</f>
        <v/>
      </c>
      <c r="FG129" s="55">
        <f>SUMIFS(tblGold[Gold_oz],tblGold[Date],$A129,tblGold[Type],"Sale")</f>
        <v/>
      </c>
      <c r="FH129" s="55">
        <f>IF($B129=$B128,$FH128,0)+$FG129</f>
        <v/>
      </c>
      <c r="FI129" s="55">
        <f>$FI128+$FG129</f>
        <v/>
      </c>
      <c r="FJ129" s="55">
        <f>SUMIFS(tblGold[Dore_kg],tblGold[Date],$A129,tblGold[Type],"Shipment")</f>
        <v/>
      </c>
      <c r="FK129" s="55">
        <f>IF($B129=$B128,$FK128,0)+$FJ129</f>
        <v/>
      </c>
      <c r="FL129" s="55">
        <f>$FL128+$FJ129</f>
        <v/>
      </c>
      <c r="FM129" s="57">
        <f>SUMIFS(tblSafety[Hours_Total],tblSafety[Date],$A129)</f>
        <v/>
      </c>
      <c r="FN129" s="57">
        <f>IF($B129=$B128,$FN128,0)+$FM129</f>
        <v/>
      </c>
      <c r="FO129" s="57">
        <f>$FO128+$FM129</f>
        <v/>
      </c>
      <c r="FP129" s="62">
        <f>SUMIFS(tblSafety[Fatality],tblSafety[Date],$A129)</f>
        <v/>
      </c>
      <c r="FQ129" s="62">
        <f>IF($B129=$B128,$FQ128,0)+$FP129</f>
        <v/>
      </c>
      <c r="FR129" s="62">
        <f>$FR128+$FP129</f>
        <v/>
      </c>
      <c r="FS129" s="62">
        <f>SUMIFS(tblSafety[LTI],tblSafety[Date],$A129)</f>
        <v/>
      </c>
      <c r="FT129" s="62">
        <f>IF($B129=$B128,$FT128,0)+$FS129</f>
        <v/>
      </c>
      <c r="FU129" s="62">
        <f>$FU128+$FS129</f>
        <v/>
      </c>
      <c r="FV129" s="62">
        <f>SUMIFS(tblSafety[RWI],tblSafety[Date],$A129)</f>
        <v/>
      </c>
      <c r="FW129" s="62">
        <f>IF($B129=$B128,$FW128,0)+$FV129</f>
        <v/>
      </c>
      <c r="FX129" s="62">
        <f>$FX128+$FV129</f>
        <v/>
      </c>
      <c r="FY129" s="62">
        <f>SUMIFS(tblSafety[MTI],tblSafety[Date],$A129)</f>
        <v/>
      </c>
      <c r="FZ129" s="62">
        <f>IF($B129=$B128,$FZ128,0)+$FY129</f>
        <v/>
      </c>
      <c r="GA129" s="62">
        <f>$GA128+$FY129</f>
        <v/>
      </c>
      <c r="GB129" s="62">
        <f>SUMIFS(tblSafety[FAI],tblSafety[Date],$A129)</f>
        <v/>
      </c>
      <c r="GC129" s="62">
        <f>IF($B129=$B128,$GC128,0)+$GB129</f>
        <v/>
      </c>
      <c r="GD129" s="62">
        <f>$GD128+$GB129</f>
        <v/>
      </c>
      <c r="GE129" s="62">
        <f>SUMIFS(tblSafety[Recordables],tblSafety[Date],$A129)</f>
        <v/>
      </c>
      <c r="GF129" s="62">
        <f>IF($B129=$B128,$GF128,0)+$GE129</f>
        <v/>
      </c>
      <c r="GG129" s="62">
        <f>$GG128+$GE129</f>
        <v/>
      </c>
      <c r="GH129" s="62">
        <f>SUMIFS(tblSafety[Near_Miss],tblSafety[Date],$A129)</f>
        <v/>
      </c>
      <c r="GI129" s="62">
        <f>IF($B129=$B128,$GI128,0)+$GH129</f>
        <v/>
      </c>
      <c r="GJ129" s="62">
        <f>$GJ128+$GH129</f>
        <v/>
      </c>
      <c r="GK129" s="62">
        <f>SUMIFS(tblSafety[Hazard_Reports],tblSafety[Date],$A129)</f>
        <v/>
      </c>
      <c r="GL129" s="62">
        <f>IF($B129=$B128,$GL128,0)+$GK129</f>
        <v/>
      </c>
      <c r="GM129" s="62">
        <f>$GM128+$GK129</f>
        <v/>
      </c>
      <c r="GN129" s="62">
        <f>SUMIFS(tblSafety[HPI],tblSafety[Date],$A129)</f>
        <v/>
      </c>
      <c r="GO129" s="62">
        <f>IF($B129=$B128,$GO128,0)+$GN129</f>
        <v/>
      </c>
      <c r="GP129" s="62">
        <f>$GP128+$GN129</f>
        <v/>
      </c>
      <c r="GQ129" s="62">
        <f>SUMIFS(tblSafety[Env_Incidents],tblSafety[Date],$A129)</f>
        <v/>
      </c>
      <c r="GR129" s="62">
        <f>IF($B129=$B128,$GR128,0)+$GQ129</f>
        <v/>
      </c>
      <c r="GS129" s="62">
        <f>$GS128+$GQ129</f>
        <v/>
      </c>
      <c r="GT129" s="62">
        <f>SUMIFS(tblSafety[Community_Incidents],tblSafety[Date],$A129)</f>
        <v/>
      </c>
      <c r="GU129" s="62">
        <f>IF($B129=$B128,$GU128,0)+$GT129</f>
        <v/>
      </c>
      <c r="GV129" s="62">
        <f>$GV128+$GT129</f>
        <v/>
      </c>
      <c r="GW129" s="62">
        <f>SUMIFS(tblSafety[Vehicle_Incidents],tblSafety[Date],$A129)</f>
        <v/>
      </c>
      <c r="GX129" s="62">
        <f>IF($B129=$B128,$GX128,0)+$GW129</f>
        <v/>
      </c>
      <c r="GY129" s="62">
        <f>$GY128+$GW129</f>
        <v/>
      </c>
      <c r="GZ129" s="62">
        <f>SUMIFS(tblSafety[Toolbox_Talks],tblSafety[Date],$A129)</f>
        <v/>
      </c>
      <c r="HA129" s="62">
        <f>IF($B129=$B128,$HA128,0)+$GZ129</f>
        <v/>
      </c>
      <c r="HB129" s="62">
        <f>$HB128+$GZ129</f>
        <v/>
      </c>
      <c r="HC129" s="62">
        <f>SUMIFS(tblSafety[Inspections],tblSafety[Date],$A129)</f>
        <v/>
      </c>
      <c r="HD129" s="62">
        <f>IF($B129=$B128,$HD128,0)+$HC129</f>
        <v/>
      </c>
      <c r="HE129" s="62">
        <f>$HE128+$HC129</f>
        <v/>
      </c>
      <c r="HF129" s="56">
        <f>IFERROR((SUMIFS(tblSafety[Recordables],tblSafety[Date],"&gt;="&amp;EDATE($E129,-12),tblSafety[Date],"&lt;="&amp;$A129)+SUMIFS(tblSafetyHistory[Recordables],tblSafetyHistory[Month],"&gt;="&amp;EDATE($E129,-12),tblSafetyHistory[Month],"&lt;"&amp;cfg_YearStart))/(SUMIFS(tblSafety[Hours_Total],tblSafety[Date],"&gt;="&amp;EDATE($E129,-12),tblSafety[Date],"&lt;="&amp;$A129)+SUMIFS(tblSafetyHistory[Hours_Total],tblSafetyHistory[Month],"&gt;="&amp;EDATE($E129,-12),tblSafetyHistory[Month],"&lt;"&amp;cfg_YearStart))*1000000,"")</f>
        <v/>
      </c>
      <c r="HG129" s="56">
        <f>IFERROR((SUMIFS(tblSafety[LTI],tblSafety[Date],"&gt;="&amp;EDATE($E129,-12),tblSafety[Date],"&lt;="&amp;$A129)+SUMIFS(tblSafetyHistory[LTI],tblSafetyHistory[Month],"&gt;="&amp;EDATE($E129,-12),tblSafetyHistory[Month],"&lt;"&amp;cfg_YearStart))/(SUMIFS(tblSafety[Hours_Total],tblSafety[Date],"&gt;="&amp;EDATE($E129,-12),tblSafety[Date],"&lt;="&amp;$A129)+SUMIFS(tblSafetyHistory[Hours_Total],tblSafetyHistory[Month],"&gt;="&amp;EDATE($E129,-12),tblSafetyHistory[Month],"&lt;"&amp;cfg_YearStart))*1000000,"")</f>
        <v/>
      </c>
      <c r="HH129" s="62">
        <f>IF(MAX(N(cfg_PriorLTIDate),_xlfn.MAXIFS(tblSafety[Date],tblSafety[LTI],"&gt;0",tblSafety[Date],"&lt;="&amp;$A129))=0,"",$A129-MAX(N(cfg_PriorLTIDate),_xlfn.MAXIFS(tblSafety[Date],tblSafety[LTI],"&gt;0",tblSafety[Date],"&lt;="&amp;$A129)))</f>
        <v/>
      </c>
      <c r="HI129" s="55">
        <f>SUMIFS(tblBudget[Ore_Mined_t],tblBudget[Month],$E129)</f>
        <v/>
      </c>
      <c r="HJ129" s="55">
        <f>$HI129*$C129/$D129</f>
        <v/>
      </c>
      <c r="HK129" s="55">
        <f>SUMIFS(tblBudget[Ore_Mined_t],tblBudget[Month],"&lt;"&amp;$E129)+$HJ129</f>
        <v/>
      </c>
      <c r="HL129" s="55">
        <f>SUMIFS(tblBudget[Ore_oz],tblBudget[Month],$E129)</f>
        <v/>
      </c>
      <c r="HM129" s="55">
        <f>$HL129*$C129/$D129</f>
        <v/>
      </c>
      <c r="HN129" s="55">
        <f>SUMIFS(tblBudget[Ore_oz],tblBudget[Month],"&lt;"&amp;$E129)+$HM129</f>
        <v/>
      </c>
      <c r="HO129" s="56">
        <f>IFERROR(IF(($HI129)&gt;0,($HL129*cfg_TroyOz)/($HI129),""),"")</f>
        <v/>
      </c>
      <c r="HP129" s="56">
        <f>IFERROR(IF(($HJ129)&gt;0,($HM129*cfg_TroyOz)/($HJ129),""),"")</f>
        <v/>
      </c>
      <c r="HQ129" s="56">
        <f>IFERROR(IF(($HK129)&gt;0,($HN129*cfg_TroyOz)/($HK129),""),"")</f>
        <v/>
      </c>
      <c r="HR129" s="55">
        <f>SUMIFS(tblBudget[Waste_t],tblBudget[Month],$E129)</f>
        <v/>
      </c>
      <c r="HS129" s="55">
        <f>$HR129*$C129/$D129</f>
        <v/>
      </c>
      <c r="HT129" s="55">
        <f>SUMIFS(tblBudget[Waste_t],tblBudget[Month],"&lt;"&amp;$E129)+$HS129</f>
        <v/>
      </c>
      <c r="HU129" s="55">
        <f>SUMIFS(tblBudget[TMM_t],tblBudget[Month],$E129)</f>
        <v/>
      </c>
      <c r="HV129" s="55">
        <f>$HU129*$C129/$D129</f>
        <v/>
      </c>
      <c r="HW129" s="55">
        <f>SUMIFS(tblBudget[TMM_t],tblBudget[Month],"&lt;"&amp;$E129)+$HV129</f>
        <v/>
      </c>
      <c r="HX129" s="56">
        <f>IFERROR(IF(($HI129)&gt;0,($HR129)/($HI129),""),"")</f>
        <v/>
      </c>
      <c r="HY129" s="56">
        <f>IFERROR(IF(($HJ129)&gt;0,($HS129)/($HJ129),""),"")</f>
        <v/>
      </c>
      <c r="HZ129" s="56">
        <f>IFERROR(IF(($HK129)&gt;0,($HT129)/($HK129),""),"")</f>
        <v/>
      </c>
      <c r="IA129" s="55">
        <f>SUMIFS(tblBudget[Drill_m],tblBudget[Month],$E129)</f>
        <v/>
      </c>
      <c r="IB129" s="55">
        <f>$IA129*$C129/$D129</f>
        <v/>
      </c>
      <c r="IC129" s="55">
        <f>SUMIFS(tblBudget[Drill_m],tblBudget[Month],"&lt;"&amp;$E129)+$IB129</f>
        <v/>
      </c>
      <c r="ID129" s="55">
        <f>SUMIFS(tblBudget[Diesel_L],tblBudget[Month],$E129)</f>
        <v/>
      </c>
      <c r="IE129" s="55">
        <f>$ID129*$C129/$D129</f>
        <v/>
      </c>
      <c r="IF129" s="55">
        <f>SUMIFS(tblBudget[Diesel_L],tblBudget[Month],"&lt;"&amp;$E129)+$IE129</f>
        <v/>
      </c>
      <c r="IG129" s="55">
        <f>SUMIFS(tblBudget[Milled_t],tblBudget[Month],$E129)</f>
        <v/>
      </c>
      <c r="IH129" s="55">
        <f>$IG129*$C129/$D129</f>
        <v/>
      </c>
      <c r="II129" s="55">
        <f>SUMIFS(tblBudget[Milled_t],tblBudget[Month],"&lt;"&amp;$E129)+$IH129</f>
        <v/>
      </c>
      <c r="IJ129" s="55">
        <f>SUMIFS(tblBudget[Feed_oz],tblBudget[Month],$E129)</f>
        <v/>
      </c>
      <c r="IK129" s="55">
        <f>$IJ129*$C129/$D129</f>
        <v/>
      </c>
      <c r="IL129" s="55">
        <f>SUMIFS(tblBudget[Feed_oz],tblBudget[Month],"&lt;"&amp;$E129)+$IK129</f>
        <v/>
      </c>
      <c r="IM129" s="55">
        <f>SUMIFS(tblBudget[Recovered_oz],tblBudget[Month],$E129)</f>
        <v/>
      </c>
      <c r="IN129" s="55">
        <f>$IM129*$C129/$D129</f>
        <v/>
      </c>
      <c r="IO129" s="55">
        <f>SUMIFS(tblBudget[Recovered_oz],tblBudget[Month],"&lt;"&amp;$E129)+$IN129</f>
        <v/>
      </c>
      <c r="IP129" s="56">
        <f>IFERROR(IF(($IG129)&gt;0,($IJ129*cfg_TroyOz)/($IG129),""),"")</f>
        <v/>
      </c>
      <c r="IQ129" s="56">
        <f>IFERROR(IF(($IH129)&gt;0,($IK129*cfg_TroyOz)/($IH129),""),"")</f>
        <v/>
      </c>
      <c r="IR129" s="56">
        <f>IFERROR(IF(($II129)&gt;0,($IL129*cfg_TroyOz)/($II129),""),"")</f>
        <v/>
      </c>
      <c r="IS129" s="67">
        <f>IFERROR(IF(($IJ129)&gt;0,($IM129)/($IJ129),""),"")</f>
        <v/>
      </c>
      <c r="IT129" s="67">
        <f>IFERROR(IF(($IK129)&gt;0,($IN129)/($IK129),""),"")</f>
        <v/>
      </c>
      <c r="IU129" s="67">
        <f>IFERROR(IF(($IL129)&gt;0,($IO129)/($IL129),""),"")</f>
        <v/>
      </c>
      <c r="IV129" s="55">
        <f>SUMIFS(tblBudget[Gold_Poured_oz],tblBudget[Month],$E129)</f>
        <v/>
      </c>
      <c r="IW129" s="55">
        <f>$IV129*$C129/$D129</f>
        <v/>
      </c>
      <c r="IX129" s="55">
        <f>SUMIFS(tblBudget[Gold_Poured_oz],tblBudget[Month],"&lt;"&amp;$E129)+$IW129</f>
        <v/>
      </c>
      <c r="IY129" s="57">
        <f>SUMIFS(tblBudget[Hours_Worked],tblBudget[Month],$E129)</f>
        <v/>
      </c>
      <c r="IZ129" s="57">
        <f>$IY129*$C129/$D129</f>
        <v/>
      </c>
      <c r="JA129" s="57">
        <f>SUMIFS(tblBudget[Hours_Worked],tblBudget[Month],"&lt;"&amp;$E129)+$IZ129</f>
        <v/>
      </c>
    </row>
    <row r="130">
      <c r="A130" s="54" t="n">
        <v>46151</v>
      </c>
      <c r="B130">
        <f>MONTH($A130)</f>
        <v/>
      </c>
      <c r="C130">
        <f>DAY($A130)</f>
        <v/>
      </c>
      <c r="D130">
        <f>DAY(EOMONTH($A130,0))</f>
        <v/>
      </c>
      <c r="E130" s="54">
        <f>DATE(YEAR($A130),MONTH($A130),1)</f>
        <v/>
      </c>
      <c r="F130" s="55">
        <f>SUMIFS(tblMovement[Tonnes_t],tblMovement[Date],$A130,tblMovement[Is_Ore],1,tblMovement[Source_Type],"Pit")</f>
        <v/>
      </c>
      <c r="G130" s="55">
        <f>IF($B130=$B129,$G129,0)+$F130</f>
        <v/>
      </c>
      <c r="H130" s="55">
        <f>$H129+$F130</f>
        <v/>
      </c>
      <c r="I130" s="55">
        <f>SUMIFS(tblMovement[Ore_oz],tblMovement[Date],$A130,tblMovement[Source_Type],"Pit")</f>
        <v/>
      </c>
      <c r="J130" s="55">
        <f>IF($B130=$B129,$J129,0)+$I130</f>
        <v/>
      </c>
      <c r="K130" s="55">
        <f>$K129+$I130</f>
        <v/>
      </c>
      <c r="L130" s="56">
        <f>IFERROR(IF(($F130)&gt;0,($I130*cfg_TroyOz)/($F130),""),"")</f>
        <v/>
      </c>
      <c r="M130" s="56">
        <f>IFERROR(IF(($G130)&gt;0,($J130*cfg_TroyOz)/($G130),""),"")</f>
        <v/>
      </c>
      <c r="N130" s="56">
        <f>IFERROR(IF(($H130)&gt;0,($K130*cfg_TroyOz)/($H130),""),"")</f>
        <v/>
      </c>
      <c r="O130" s="55">
        <f>SUMIFS(tblMovement[Tonnes_t],tblMovement[Date],$A130,tblMovement[Is_Ore],0,tblMovement[Source_Type],"Pit")</f>
        <v/>
      </c>
      <c r="P130" s="55">
        <f>IF($B130=$B129,$P129,0)+$O130</f>
        <v/>
      </c>
      <c r="Q130" s="55">
        <f>$Q129+$O130</f>
        <v/>
      </c>
      <c r="R130" s="55">
        <f>$F130+$O130</f>
        <v/>
      </c>
      <c r="S130" s="55">
        <f>IF($B130=$B129,$S129,0)+$R130</f>
        <v/>
      </c>
      <c r="T130" s="55">
        <f>$T129+$R130</f>
        <v/>
      </c>
      <c r="U130" s="56">
        <f>IFERROR(IF(($F130)&gt;0,($O130)/($F130),""),"")</f>
        <v/>
      </c>
      <c r="V130" s="56">
        <f>IFERROR(IF(($G130)&gt;0,($P130)/($G130),""),"")</f>
        <v/>
      </c>
      <c r="W130" s="56">
        <f>IFERROR(IF(($H130)&gt;0,($Q130)/($H130),""),"")</f>
        <v/>
      </c>
      <c r="X130" s="55">
        <f>SUMIFS(tblMovement[Tonnes_t],tblMovement[Date],$A130,tblMovement[Source_Type],"Stockpile")</f>
        <v/>
      </c>
      <c r="Y130" s="55">
        <f>IF($B130=$B129,$Y129,0)+$X130</f>
        <v/>
      </c>
      <c r="Z130" s="55">
        <f>$Z129+$X130</f>
        <v/>
      </c>
      <c r="AA130" s="55">
        <f>SUMIFS(tblMiningDaily[Drill_m],tblMiningDaily[Date],$A130)</f>
        <v/>
      </c>
      <c r="AB130" s="55">
        <f>IF($B130=$B129,$AB129,0)+$AA130</f>
        <v/>
      </c>
      <c r="AC130" s="55">
        <f>$AC129+$AA130</f>
        <v/>
      </c>
      <c r="AD130" s="55">
        <f>SUMIFS(tblMiningDaily[Blast_t],tblMiningDaily[Date],$A130)</f>
        <v/>
      </c>
      <c r="AE130" s="55">
        <f>IF($B130=$B129,$AE129,0)+$AD130</f>
        <v/>
      </c>
      <c r="AF130" s="55">
        <f>$AF129+$AD130</f>
        <v/>
      </c>
      <c r="AG130" s="55">
        <f>SUMIFS(tblMiningDaily[Explosives_kg],tblMiningDaily[Date],$A130)</f>
        <v/>
      </c>
      <c r="AH130" s="55">
        <f>IF($B130=$B129,$AH129,0)+$AG130</f>
        <v/>
      </c>
      <c r="AI130" s="55">
        <f>$AI129+$AG130</f>
        <v/>
      </c>
      <c r="AJ130" s="56">
        <f>IFERROR(IF(($AD130)&gt;0,($AG130)/($AD130),""),"")</f>
        <v/>
      </c>
      <c r="AK130" s="56">
        <f>IFERROR(IF(($AE130)&gt;0,($AH130)/($AE130),""),"")</f>
        <v/>
      </c>
      <c r="AL130" s="56">
        <f>IFERROR(IF(($AF130)&gt;0,($AI130)/($AF130),""),"")</f>
        <v/>
      </c>
      <c r="AM130" s="55">
        <f>SUMIFS(tblMiningDaily[Diesel_L],tblMiningDaily[Date],$A130)</f>
        <v/>
      </c>
      <c r="AN130" s="55">
        <f>IF($B130=$B129,$AN129,0)+$AM130</f>
        <v/>
      </c>
      <c r="AO130" s="55">
        <f>$AO129+$AM130</f>
        <v/>
      </c>
      <c r="AP130" s="55">
        <f>SUMIFS(tblMiningDaily[Dewatering_m3],tblMiningDaily[Date],$A130)</f>
        <v/>
      </c>
      <c r="AQ130" s="55">
        <f>IF($B130=$B129,$AQ129,0)+$AP130</f>
        <v/>
      </c>
      <c r="AR130" s="55">
        <f>$AR129+$AP130</f>
        <v/>
      </c>
      <c r="AS130" s="57">
        <f>SUMIFS(tblFleet[Calendar_h],tblFleet[Date],$A130,tblFleet[Equipment_Class],"Excavator")</f>
        <v/>
      </c>
      <c r="AT130" s="57">
        <f>IF($B130=$B129,$AT129,0)+$AS130</f>
        <v/>
      </c>
      <c r="AU130" s="57">
        <f>$AU129+$AS130</f>
        <v/>
      </c>
      <c r="AV130" s="57">
        <f>SUMIFS(tblFleet[Available_h],tblFleet[Date],$A130,tblFleet[Equipment_Class],"Excavator")</f>
        <v/>
      </c>
      <c r="AW130" s="57">
        <f>IF($B130=$B129,$AW129,0)+$AV130</f>
        <v/>
      </c>
      <c r="AX130" s="57">
        <f>$AX129+$AV130</f>
        <v/>
      </c>
      <c r="AY130" s="57">
        <f>SUMIFS(tblFleet[Operating_h],tblFleet[Date],$A130,tblFleet[Equipment_Class],"Excavator")</f>
        <v/>
      </c>
      <c r="AZ130" s="57">
        <f>IF($B130=$B129,$AZ129,0)+$AY130</f>
        <v/>
      </c>
      <c r="BA130" s="57">
        <f>$BA129+$AY130</f>
        <v/>
      </c>
      <c r="BB130" s="67">
        <f>IFERROR(IF(($AS130)&gt;0,($AV130)/($AS130),""),"")</f>
        <v/>
      </c>
      <c r="BC130" s="67">
        <f>IFERROR(IF(($AT130)&gt;0,($AW130)/($AT130),""),"")</f>
        <v/>
      </c>
      <c r="BD130" s="67">
        <f>IFERROR(IF(($AU130)&gt;0,($AX130)/($AU130),""),"")</f>
        <v/>
      </c>
      <c r="BE130" s="67">
        <f>IFERROR(IF(($AV130)&gt;0,($AY130)/($AV130),""),"")</f>
        <v/>
      </c>
      <c r="BF130" s="67">
        <f>IFERROR(IF(($AW130)&gt;0,($AZ130)/($AW130),""),"")</f>
        <v/>
      </c>
      <c r="BG130" s="67">
        <f>IFERROR(IF(($AX130)&gt;0,($BA130)/($AX130),""),"")</f>
        <v/>
      </c>
      <c r="BH130" s="57">
        <f>SUMIFS(tblFleet[Calendar_h],tblFleet[Date],$A130,tblFleet[Equipment_Class],"Haul Truck")</f>
        <v/>
      </c>
      <c r="BI130" s="57">
        <f>IF($B130=$B129,$BI129,0)+$BH130</f>
        <v/>
      </c>
      <c r="BJ130" s="57">
        <f>$BJ129+$BH130</f>
        <v/>
      </c>
      <c r="BK130" s="57">
        <f>SUMIFS(tblFleet[Available_h],tblFleet[Date],$A130,tblFleet[Equipment_Class],"Haul Truck")</f>
        <v/>
      </c>
      <c r="BL130" s="57">
        <f>IF($B130=$B129,$BL129,0)+$BK130</f>
        <v/>
      </c>
      <c r="BM130" s="57">
        <f>$BM129+$BK130</f>
        <v/>
      </c>
      <c r="BN130" s="57">
        <f>SUMIFS(tblFleet[Operating_h],tblFleet[Date],$A130,tblFleet[Equipment_Class],"Haul Truck")</f>
        <v/>
      </c>
      <c r="BO130" s="57">
        <f>IF($B130=$B129,$BO129,0)+$BN130</f>
        <v/>
      </c>
      <c r="BP130" s="57">
        <f>$BP129+$BN130</f>
        <v/>
      </c>
      <c r="BQ130" s="67">
        <f>IFERROR(IF(($BH130)&gt;0,($BK130)/($BH130),""),"")</f>
        <v/>
      </c>
      <c r="BR130" s="67">
        <f>IFERROR(IF(($BI130)&gt;0,($BL130)/($BI130),""),"")</f>
        <v/>
      </c>
      <c r="BS130" s="67">
        <f>IFERROR(IF(($BJ130)&gt;0,($BM130)/($BJ130),""),"")</f>
        <v/>
      </c>
      <c r="BT130" s="67">
        <f>IFERROR(IF(($BK130)&gt;0,($BN130)/($BK130),""),"")</f>
        <v/>
      </c>
      <c r="BU130" s="67">
        <f>IFERROR(IF(($BL130)&gt;0,($BO130)/($BL130),""),"")</f>
        <v/>
      </c>
      <c r="BV130" s="67">
        <f>IFERROR(IF(($BM130)&gt;0,($BP130)/($BM130),""),"")</f>
        <v/>
      </c>
      <c r="BW130" s="55">
        <f>SUMIFS(tblPlant[Crushed_t],tblPlant[Date],$A130)</f>
        <v/>
      </c>
      <c r="BX130" s="55">
        <f>IF($B130=$B129,$BX129,0)+$BW130</f>
        <v/>
      </c>
      <c r="BY130" s="55">
        <f>$BY129+$BW130</f>
        <v/>
      </c>
      <c r="BZ130" s="55">
        <f>SUMIFS(tblPlant[Milled_t],tblPlant[Date],$A130)</f>
        <v/>
      </c>
      <c r="CA130" s="55">
        <f>IF($B130=$B129,$CA129,0)+$BZ130</f>
        <v/>
      </c>
      <c r="CB130" s="55">
        <f>$CB129+$BZ130</f>
        <v/>
      </c>
      <c r="CC130" s="55">
        <f>SUMIFS(tblPlant[Feed_oz],tblPlant[Date],$A130)</f>
        <v/>
      </c>
      <c r="CD130" s="55">
        <f>IF($B130=$B129,$CD129,0)+$CC130</f>
        <v/>
      </c>
      <c r="CE130" s="55">
        <f>$CE129+$CC130</f>
        <v/>
      </c>
      <c r="CF130" s="55">
        <f>SUMIFS(tblPlant[Tails_oz],tblPlant[Date],$A130)</f>
        <v/>
      </c>
      <c r="CG130" s="55">
        <f>IF($B130=$B129,$CG129,0)+$CF130</f>
        <v/>
      </c>
      <c r="CH130" s="55">
        <f>$CH129+$CF130</f>
        <v/>
      </c>
      <c r="CI130" s="55">
        <f>SUMIFS(tblPlant[Recovered_oz],tblPlant[Date],$A130)</f>
        <v/>
      </c>
      <c r="CJ130" s="55">
        <f>IF($B130=$B129,$CJ129,0)+$CI130</f>
        <v/>
      </c>
      <c r="CK130" s="55">
        <f>$CK129+$CI130</f>
        <v/>
      </c>
      <c r="CL130" s="56">
        <f>IFERROR(IF(($BZ130)&gt;0,($CC130*cfg_TroyOz)/($BZ130),""),"")</f>
        <v/>
      </c>
      <c r="CM130" s="56">
        <f>IFERROR(IF(($CA130)&gt;0,($CD130*cfg_TroyOz)/($CA130),""),"")</f>
        <v/>
      </c>
      <c r="CN130" s="56">
        <f>IFERROR(IF(($CB130)&gt;0,($CE130*cfg_TroyOz)/($CB130),""),"")</f>
        <v/>
      </c>
      <c r="CO130" s="56">
        <f>IFERROR(IF(($BZ130)&gt;0,($CF130*cfg_TroyOz)/($BZ130),""),"")</f>
        <v/>
      </c>
      <c r="CP130" s="56">
        <f>IFERROR(IF(($CA130)&gt;0,($CG130*cfg_TroyOz)/($CA130),""),"")</f>
        <v/>
      </c>
      <c r="CQ130" s="56">
        <f>IFERROR(IF(($CB130)&gt;0,($CH130*cfg_TroyOz)/($CB130),""),"")</f>
        <v/>
      </c>
      <c r="CR130" s="67">
        <f>IFERROR(IF(($CC130)&gt;0,($CI130)/($CC130),""),"")</f>
        <v/>
      </c>
      <c r="CS130" s="67">
        <f>IFERROR(IF(($CD130)&gt;0,($CJ130)/($CD130),""),"")</f>
        <v/>
      </c>
      <c r="CT130" s="67">
        <f>IFERROR(IF(($CE130)&gt;0,($CK130)/($CE130),""),"")</f>
        <v/>
      </c>
      <c r="CU130" s="55">
        <f>SUMIFS(tblPlant[Gravity_Gold_oz],tblPlant[Date],$A130)</f>
        <v/>
      </c>
      <c r="CV130" s="55">
        <f>IF($B130=$B129,$CV129,0)+$CU130</f>
        <v/>
      </c>
      <c r="CW130" s="55">
        <f>$CW129+$CU130</f>
        <v/>
      </c>
      <c r="CX130" s="55">
        <f>SUMIFS(tblPlant[Gold_Poured_oz],tblPlant[Date],$A130)</f>
        <v/>
      </c>
      <c r="CY130" s="55">
        <f>IF($B130=$B129,$CY129,0)+$CX130</f>
        <v/>
      </c>
      <c r="CZ130" s="55">
        <f>$CZ129+$CX130</f>
        <v/>
      </c>
      <c r="DA130" s="57">
        <f>SUMIFS(tblPlant[Mill_Run_h],tblPlant[Date],$A130)</f>
        <v/>
      </c>
      <c r="DB130" s="57">
        <f>IF($B130=$B129,$DB129,0)+$DA130</f>
        <v/>
      </c>
      <c r="DC130" s="57">
        <f>$DC129+$DA130</f>
        <v/>
      </c>
      <c r="DD130" s="57">
        <f>SUMIFS(tblPlant[Mill_Planned_Maint_h],tblPlant[Date],$A130)</f>
        <v/>
      </c>
      <c r="DE130" s="57">
        <f>IF($B130=$B129,$DE129,0)+$DD130</f>
        <v/>
      </c>
      <c r="DF130" s="57">
        <f>$DF129+$DD130</f>
        <v/>
      </c>
      <c r="DG130" s="57">
        <f>SUMIFS(tblPlant[Mill_Unplanned_Down_h],tblPlant[Date],$A130)</f>
        <v/>
      </c>
      <c r="DH130" s="57">
        <f>IF($B130=$B129,$DH129,0)+$DG130</f>
        <v/>
      </c>
      <c r="DI130" s="57">
        <f>$DI129+$DG130</f>
        <v/>
      </c>
      <c r="DJ130" s="57">
        <f>COUNTIFS(tblPlant[Date],$A130,tblPlant[Mill_Run_h],"&lt;&gt;")*24</f>
        <v/>
      </c>
      <c r="DK130" s="57">
        <f>IF($B130=$B129,$DK129,0)+$DJ130</f>
        <v/>
      </c>
      <c r="DL130" s="57">
        <f>$DL129+$DJ130</f>
        <v/>
      </c>
      <c r="DM130" s="57">
        <f>SUMIFS(tblPlant[Crusher_Run_h],tblPlant[Date],$A130)</f>
        <v/>
      </c>
      <c r="DN130" s="57">
        <f>IF($B130=$B129,$DN129,0)+$DM130</f>
        <v/>
      </c>
      <c r="DO130" s="57">
        <f>$DO129+$DM130</f>
        <v/>
      </c>
      <c r="DP130" s="55">
        <f>IFERROR(IF(($DA130)&gt;0,($BZ130)/($DA130),""),"")</f>
        <v/>
      </c>
      <c r="DQ130" s="55">
        <f>IFERROR(IF(($DB130)&gt;0,($CA130)/($DB130),""),"")</f>
        <v/>
      </c>
      <c r="DR130" s="55">
        <f>IFERROR(IF(($DC130)&gt;0,($CB130)/($DC130),""),"")</f>
        <v/>
      </c>
      <c r="DS130" s="67">
        <f>IFERROR(IF(($DJ130)&gt;0,($DJ130-$DD130-$DG130)/($DJ130),""),"")</f>
        <v/>
      </c>
      <c r="DT130" s="67">
        <f>IFERROR(IF(($DK130)&gt;0,($DK130-$DE130-$DH130)/($DK130),""),"")</f>
        <v/>
      </c>
      <c r="DU130" s="67">
        <f>IFERROR(IF(($DL130)&gt;0,($DL130-$DF130-$DI130)/($DL130),""),"")</f>
        <v/>
      </c>
      <c r="DV130" s="67">
        <f>IFERROR(IF(($DJ130-$DD130-$DG130)&gt;0,($DA130)/($DJ130-$DD130-$DG130),""),"")</f>
        <v/>
      </c>
      <c r="DW130" s="67">
        <f>IFERROR(IF(($DK130-$DE130-$DH130)&gt;0,($DB130)/($DK130-$DE130-$DH130),""),"")</f>
        <v/>
      </c>
      <c r="DX130" s="67">
        <f>IFERROR(IF(($DL130-$DF130-$DI130)&gt;0,($DC130)/($DL130-$DF130-$DI130),""),"")</f>
        <v/>
      </c>
      <c r="DY130" s="55">
        <f>SUMIFS(tblPlant[Cyanide_kg],tblPlant[Date],$A130)</f>
        <v/>
      </c>
      <c r="DZ130" s="55">
        <f>IF($B130=$B129,$DZ129,0)+$DY130</f>
        <v/>
      </c>
      <c r="EA130" s="55">
        <f>$EA129+$DY130</f>
        <v/>
      </c>
      <c r="EB130" s="55">
        <f>SUMIFS(tblPlant[Lime_kg],tblPlant[Date],$A130)</f>
        <v/>
      </c>
      <c r="EC130" s="55">
        <f>IF($B130=$B129,$EC129,0)+$EB130</f>
        <v/>
      </c>
      <c r="ED130" s="55">
        <f>$ED129+$EB130</f>
        <v/>
      </c>
      <c r="EE130" s="55">
        <f>SUMIFS(tblPlant[Grinding_Media_kg],tblPlant[Date],$A130)</f>
        <v/>
      </c>
      <c r="EF130" s="55">
        <f>IF($B130=$B129,$EF129,0)+$EE130</f>
        <v/>
      </c>
      <c r="EG130" s="55">
        <f>$EG129+$EE130</f>
        <v/>
      </c>
      <c r="EH130" s="55">
        <f>SUMIFS(tblPlant[Power_kWh],tblPlant[Date],$A130)</f>
        <v/>
      </c>
      <c r="EI130" s="55">
        <f>IF($B130=$B129,$EI129,0)+$EH130</f>
        <v/>
      </c>
      <c r="EJ130" s="55">
        <f>$EJ129+$EH130</f>
        <v/>
      </c>
      <c r="EK130" s="55">
        <f>SUMIFS(tblPlant[Raw_Water_m3],tblPlant[Date],$A130)</f>
        <v/>
      </c>
      <c r="EL130" s="55">
        <f>IF($B130=$B129,$EL129,0)+$EK130</f>
        <v/>
      </c>
      <c r="EM130" s="55">
        <f>$EM129+$EK130</f>
        <v/>
      </c>
      <c r="EN130" s="56">
        <f>IFERROR(IF(($BZ130)&gt;0,($DY130)/($BZ130),""),"")</f>
        <v/>
      </c>
      <c r="EO130" s="56">
        <f>IFERROR(IF(($CA130)&gt;0,($DZ130)/($CA130),""),"")</f>
        <v/>
      </c>
      <c r="EP130" s="56">
        <f>IFERROR(IF(($CB130)&gt;0,($EA130)/($CB130),""),"")</f>
        <v/>
      </c>
      <c r="EQ130" s="56">
        <f>IFERROR(IF(($BZ130)&gt;0,($EB130)/($BZ130),""),"")</f>
        <v/>
      </c>
      <c r="ER130" s="56">
        <f>IFERROR(IF(($CA130)&gt;0,($EC130)/($CA130),""),"")</f>
        <v/>
      </c>
      <c r="ES130" s="56">
        <f>IFERROR(IF(($CB130)&gt;0,($ED130)/($CB130),""),"")</f>
        <v/>
      </c>
      <c r="ET130" s="56">
        <f>IFERROR(IF(($BZ130)&gt;0,($EE130)/($BZ130),""),"")</f>
        <v/>
      </c>
      <c r="EU130" s="56">
        <f>IFERROR(IF(($CA130)&gt;0,($EF130)/($CA130),""),"")</f>
        <v/>
      </c>
      <c r="EV130" s="56">
        <f>IFERROR(IF(($CB130)&gt;0,($EG130)/($CB130),""),"")</f>
        <v/>
      </c>
      <c r="EW130" s="76">
        <f>IFERROR(IF(($BZ130)&gt;0,($EH130)/($BZ130),""),"")</f>
        <v/>
      </c>
      <c r="EX130" s="76">
        <f>IFERROR(IF(($CA130)&gt;0,($EI130)/($CA130),""),"")</f>
        <v/>
      </c>
      <c r="EY130" s="76">
        <f>IFERROR(IF(($CB130)&gt;0,($EJ130)/($CB130),""),"")</f>
        <v/>
      </c>
      <c r="EZ130" s="56">
        <f>IFERROR(IF(($BZ130)&gt;0,($EK130)/($BZ130),""),"")</f>
        <v/>
      </c>
      <c r="FA130" s="56">
        <f>IFERROR(IF(($CA130)&gt;0,($EL130)/($CA130),""),"")</f>
        <v/>
      </c>
      <c r="FB130" s="56">
        <f>IFERROR(IF(($CB130)&gt;0,($EM130)/($CB130),""),"")</f>
        <v/>
      </c>
      <c r="FC130" s="55">
        <f>IF(SUMIFS(tblPlant[GIC_oz],tblPlant[Date],$A130)&gt;0,SUMIFS(tblPlant[GIC_oz],tblPlant[Date],$A130),"")</f>
        <v/>
      </c>
      <c r="FD130" s="55">
        <f>SUMIFS(tblGold[Gold_oz],tblGold[Date],$A130,tblGold[Type],"Shipment")</f>
        <v/>
      </c>
      <c r="FE130" s="55">
        <f>IF($B130=$B129,$FE129,0)+$FD130</f>
        <v/>
      </c>
      <c r="FF130" s="55">
        <f>$FF129+$FD130</f>
        <v/>
      </c>
      <c r="FG130" s="55">
        <f>SUMIFS(tblGold[Gold_oz],tblGold[Date],$A130,tblGold[Type],"Sale")</f>
        <v/>
      </c>
      <c r="FH130" s="55">
        <f>IF($B130=$B129,$FH129,0)+$FG130</f>
        <v/>
      </c>
      <c r="FI130" s="55">
        <f>$FI129+$FG130</f>
        <v/>
      </c>
      <c r="FJ130" s="55">
        <f>SUMIFS(tblGold[Dore_kg],tblGold[Date],$A130,tblGold[Type],"Shipment")</f>
        <v/>
      </c>
      <c r="FK130" s="55">
        <f>IF($B130=$B129,$FK129,0)+$FJ130</f>
        <v/>
      </c>
      <c r="FL130" s="55">
        <f>$FL129+$FJ130</f>
        <v/>
      </c>
      <c r="FM130" s="57">
        <f>SUMIFS(tblSafety[Hours_Total],tblSafety[Date],$A130)</f>
        <v/>
      </c>
      <c r="FN130" s="57">
        <f>IF($B130=$B129,$FN129,0)+$FM130</f>
        <v/>
      </c>
      <c r="FO130" s="57">
        <f>$FO129+$FM130</f>
        <v/>
      </c>
      <c r="FP130" s="62">
        <f>SUMIFS(tblSafety[Fatality],tblSafety[Date],$A130)</f>
        <v/>
      </c>
      <c r="FQ130" s="62">
        <f>IF($B130=$B129,$FQ129,0)+$FP130</f>
        <v/>
      </c>
      <c r="FR130" s="62">
        <f>$FR129+$FP130</f>
        <v/>
      </c>
      <c r="FS130" s="62">
        <f>SUMIFS(tblSafety[LTI],tblSafety[Date],$A130)</f>
        <v/>
      </c>
      <c r="FT130" s="62">
        <f>IF($B130=$B129,$FT129,0)+$FS130</f>
        <v/>
      </c>
      <c r="FU130" s="62">
        <f>$FU129+$FS130</f>
        <v/>
      </c>
      <c r="FV130" s="62">
        <f>SUMIFS(tblSafety[RWI],tblSafety[Date],$A130)</f>
        <v/>
      </c>
      <c r="FW130" s="62">
        <f>IF($B130=$B129,$FW129,0)+$FV130</f>
        <v/>
      </c>
      <c r="FX130" s="62">
        <f>$FX129+$FV130</f>
        <v/>
      </c>
      <c r="FY130" s="62">
        <f>SUMIFS(tblSafety[MTI],tblSafety[Date],$A130)</f>
        <v/>
      </c>
      <c r="FZ130" s="62">
        <f>IF($B130=$B129,$FZ129,0)+$FY130</f>
        <v/>
      </c>
      <c r="GA130" s="62">
        <f>$GA129+$FY130</f>
        <v/>
      </c>
      <c r="GB130" s="62">
        <f>SUMIFS(tblSafety[FAI],tblSafety[Date],$A130)</f>
        <v/>
      </c>
      <c r="GC130" s="62">
        <f>IF($B130=$B129,$GC129,0)+$GB130</f>
        <v/>
      </c>
      <c r="GD130" s="62">
        <f>$GD129+$GB130</f>
        <v/>
      </c>
      <c r="GE130" s="62">
        <f>SUMIFS(tblSafety[Recordables],tblSafety[Date],$A130)</f>
        <v/>
      </c>
      <c r="GF130" s="62">
        <f>IF($B130=$B129,$GF129,0)+$GE130</f>
        <v/>
      </c>
      <c r="GG130" s="62">
        <f>$GG129+$GE130</f>
        <v/>
      </c>
      <c r="GH130" s="62">
        <f>SUMIFS(tblSafety[Near_Miss],tblSafety[Date],$A130)</f>
        <v/>
      </c>
      <c r="GI130" s="62">
        <f>IF($B130=$B129,$GI129,0)+$GH130</f>
        <v/>
      </c>
      <c r="GJ130" s="62">
        <f>$GJ129+$GH130</f>
        <v/>
      </c>
      <c r="GK130" s="62">
        <f>SUMIFS(tblSafety[Hazard_Reports],tblSafety[Date],$A130)</f>
        <v/>
      </c>
      <c r="GL130" s="62">
        <f>IF($B130=$B129,$GL129,0)+$GK130</f>
        <v/>
      </c>
      <c r="GM130" s="62">
        <f>$GM129+$GK130</f>
        <v/>
      </c>
      <c r="GN130" s="62">
        <f>SUMIFS(tblSafety[HPI],tblSafety[Date],$A130)</f>
        <v/>
      </c>
      <c r="GO130" s="62">
        <f>IF($B130=$B129,$GO129,0)+$GN130</f>
        <v/>
      </c>
      <c r="GP130" s="62">
        <f>$GP129+$GN130</f>
        <v/>
      </c>
      <c r="GQ130" s="62">
        <f>SUMIFS(tblSafety[Env_Incidents],tblSafety[Date],$A130)</f>
        <v/>
      </c>
      <c r="GR130" s="62">
        <f>IF($B130=$B129,$GR129,0)+$GQ130</f>
        <v/>
      </c>
      <c r="GS130" s="62">
        <f>$GS129+$GQ130</f>
        <v/>
      </c>
      <c r="GT130" s="62">
        <f>SUMIFS(tblSafety[Community_Incidents],tblSafety[Date],$A130)</f>
        <v/>
      </c>
      <c r="GU130" s="62">
        <f>IF($B130=$B129,$GU129,0)+$GT130</f>
        <v/>
      </c>
      <c r="GV130" s="62">
        <f>$GV129+$GT130</f>
        <v/>
      </c>
      <c r="GW130" s="62">
        <f>SUMIFS(tblSafety[Vehicle_Incidents],tblSafety[Date],$A130)</f>
        <v/>
      </c>
      <c r="GX130" s="62">
        <f>IF($B130=$B129,$GX129,0)+$GW130</f>
        <v/>
      </c>
      <c r="GY130" s="62">
        <f>$GY129+$GW130</f>
        <v/>
      </c>
      <c r="GZ130" s="62">
        <f>SUMIFS(tblSafety[Toolbox_Talks],tblSafety[Date],$A130)</f>
        <v/>
      </c>
      <c r="HA130" s="62">
        <f>IF($B130=$B129,$HA129,0)+$GZ130</f>
        <v/>
      </c>
      <c r="HB130" s="62">
        <f>$HB129+$GZ130</f>
        <v/>
      </c>
      <c r="HC130" s="62">
        <f>SUMIFS(tblSafety[Inspections],tblSafety[Date],$A130)</f>
        <v/>
      </c>
      <c r="HD130" s="62">
        <f>IF($B130=$B129,$HD129,0)+$HC130</f>
        <v/>
      </c>
      <c r="HE130" s="62">
        <f>$HE129+$HC130</f>
        <v/>
      </c>
      <c r="HF130" s="56">
        <f>IFERROR((SUMIFS(tblSafety[Recordables],tblSafety[Date],"&gt;="&amp;EDATE($E130,-12),tblSafety[Date],"&lt;="&amp;$A130)+SUMIFS(tblSafetyHistory[Recordables],tblSafetyHistory[Month],"&gt;="&amp;EDATE($E130,-12),tblSafetyHistory[Month],"&lt;"&amp;cfg_YearStart))/(SUMIFS(tblSafety[Hours_Total],tblSafety[Date],"&gt;="&amp;EDATE($E130,-12),tblSafety[Date],"&lt;="&amp;$A130)+SUMIFS(tblSafetyHistory[Hours_Total],tblSafetyHistory[Month],"&gt;="&amp;EDATE($E130,-12),tblSafetyHistory[Month],"&lt;"&amp;cfg_YearStart))*1000000,"")</f>
        <v/>
      </c>
      <c r="HG130" s="56">
        <f>IFERROR((SUMIFS(tblSafety[LTI],tblSafety[Date],"&gt;="&amp;EDATE($E130,-12),tblSafety[Date],"&lt;="&amp;$A130)+SUMIFS(tblSafetyHistory[LTI],tblSafetyHistory[Month],"&gt;="&amp;EDATE($E130,-12),tblSafetyHistory[Month],"&lt;"&amp;cfg_YearStart))/(SUMIFS(tblSafety[Hours_Total],tblSafety[Date],"&gt;="&amp;EDATE($E130,-12),tblSafety[Date],"&lt;="&amp;$A130)+SUMIFS(tblSafetyHistory[Hours_Total],tblSafetyHistory[Month],"&gt;="&amp;EDATE($E130,-12),tblSafetyHistory[Month],"&lt;"&amp;cfg_YearStart))*1000000,"")</f>
        <v/>
      </c>
      <c r="HH130" s="62">
        <f>IF(MAX(N(cfg_PriorLTIDate),_xlfn.MAXIFS(tblSafety[Date],tblSafety[LTI],"&gt;0",tblSafety[Date],"&lt;="&amp;$A130))=0,"",$A130-MAX(N(cfg_PriorLTIDate),_xlfn.MAXIFS(tblSafety[Date],tblSafety[LTI],"&gt;0",tblSafety[Date],"&lt;="&amp;$A130)))</f>
        <v/>
      </c>
      <c r="HI130" s="55">
        <f>SUMIFS(tblBudget[Ore_Mined_t],tblBudget[Month],$E130)</f>
        <v/>
      </c>
      <c r="HJ130" s="55">
        <f>$HI130*$C130/$D130</f>
        <v/>
      </c>
      <c r="HK130" s="55">
        <f>SUMIFS(tblBudget[Ore_Mined_t],tblBudget[Month],"&lt;"&amp;$E130)+$HJ130</f>
        <v/>
      </c>
      <c r="HL130" s="55">
        <f>SUMIFS(tblBudget[Ore_oz],tblBudget[Month],$E130)</f>
        <v/>
      </c>
      <c r="HM130" s="55">
        <f>$HL130*$C130/$D130</f>
        <v/>
      </c>
      <c r="HN130" s="55">
        <f>SUMIFS(tblBudget[Ore_oz],tblBudget[Month],"&lt;"&amp;$E130)+$HM130</f>
        <v/>
      </c>
      <c r="HO130" s="56">
        <f>IFERROR(IF(($HI130)&gt;0,($HL130*cfg_TroyOz)/($HI130),""),"")</f>
        <v/>
      </c>
      <c r="HP130" s="56">
        <f>IFERROR(IF(($HJ130)&gt;0,($HM130*cfg_TroyOz)/($HJ130),""),"")</f>
        <v/>
      </c>
      <c r="HQ130" s="56">
        <f>IFERROR(IF(($HK130)&gt;0,($HN130*cfg_TroyOz)/($HK130),""),"")</f>
        <v/>
      </c>
      <c r="HR130" s="55">
        <f>SUMIFS(tblBudget[Waste_t],tblBudget[Month],$E130)</f>
        <v/>
      </c>
      <c r="HS130" s="55">
        <f>$HR130*$C130/$D130</f>
        <v/>
      </c>
      <c r="HT130" s="55">
        <f>SUMIFS(tblBudget[Waste_t],tblBudget[Month],"&lt;"&amp;$E130)+$HS130</f>
        <v/>
      </c>
      <c r="HU130" s="55">
        <f>SUMIFS(tblBudget[TMM_t],tblBudget[Month],$E130)</f>
        <v/>
      </c>
      <c r="HV130" s="55">
        <f>$HU130*$C130/$D130</f>
        <v/>
      </c>
      <c r="HW130" s="55">
        <f>SUMIFS(tblBudget[TMM_t],tblBudget[Month],"&lt;"&amp;$E130)+$HV130</f>
        <v/>
      </c>
      <c r="HX130" s="56">
        <f>IFERROR(IF(($HI130)&gt;0,($HR130)/($HI130),""),"")</f>
        <v/>
      </c>
      <c r="HY130" s="56">
        <f>IFERROR(IF(($HJ130)&gt;0,($HS130)/($HJ130),""),"")</f>
        <v/>
      </c>
      <c r="HZ130" s="56">
        <f>IFERROR(IF(($HK130)&gt;0,($HT130)/($HK130),""),"")</f>
        <v/>
      </c>
      <c r="IA130" s="55">
        <f>SUMIFS(tblBudget[Drill_m],tblBudget[Month],$E130)</f>
        <v/>
      </c>
      <c r="IB130" s="55">
        <f>$IA130*$C130/$D130</f>
        <v/>
      </c>
      <c r="IC130" s="55">
        <f>SUMIFS(tblBudget[Drill_m],tblBudget[Month],"&lt;"&amp;$E130)+$IB130</f>
        <v/>
      </c>
      <c r="ID130" s="55">
        <f>SUMIFS(tblBudget[Diesel_L],tblBudget[Month],$E130)</f>
        <v/>
      </c>
      <c r="IE130" s="55">
        <f>$ID130*$C130/$D130</f>
        <v/>
      </c>
      <c r="IF130" s="55">
        <f>SUMIFS(tblBudget[Diesel_L],tblBudget[Month],"&lt;"&amp;$E130)+$IE130</f>
        <v/>
      </c>
      <c r="IG130" s="55">
        <f>SUMIFS(tblBudget[Milled_t],tblBudget[Month],$E130)</f>
        <v/>
      </c>
      <c r="IH130" s="55">
        <f>$IG130*$C130/$D130</f>
        <v/>
      </c>
      <c r="II130" s="55">
        <f>SUMIFS(tblBudget[Milled_t],tblBudget[Month],"&lt;"&amp;$E130)+$IH130</f>
        <v/>
      </c>
      <c r="IJ130" s="55">
        <f>SUMIFS(tblBudget[Feed_oz],tblBudget[Month],$E130)</f>
        <v/>
      </c>
      <c r="IK130" s="55">
        <f>$IJ130*$C130/$D130</f>
        <v/>
      </c>
      <c r="IL130" s="55">
        <f>SUMIFS(tblBudget[Feed_oz],tblBudget[Month],"&lt;"&amp;$E130)+$IK130</f>
        <v/>
      </c>
      <c r="IM130" s="55">
        <f>SUMIFS(tblBudget[Recovered_oz],tblBudget[Month],$E130)</f>
        <v/>
      </c>
      <c r="IN130" s="55">
        <f>$IM130*$C130/$D130</f>
        <v/>
      </c>
      <c r="IO130" s="55">
        <f>SUMIFS(tblBudget[Recovered_oz],tblBudget[Month],"&lt;"&amp;$E130)+$IN130</f>
        <v/>
      </c>
      <c r="IP130" s="56">
        <f>IFERROR(IF(($IG130)&gt;0,($IJ130*cfg_TroyOz)/($IG130),""),"")</f>
        <v/>
      </c>
      <c r="IQ130" s="56">
        <f>IFERROR(IF(($IH130)&gt;0,($IK130*cfg_TroyOz)/($IH130),""),"")</f>
        <v/>
      </c>
      <c r="IR130" s="56">
        <f>IFERROR(IF(($II130)&gt;0,($IL130*cfg_TroyOz)/($II130),""),"")</f>
        <v/>
      </c>
      <c r="IS130" s="67">
        <f>IFERROR(IF(($IJ130)&gt;0,($IM130)/($IJ130),""),"")</f>
        <v/>
      </c>
      <c r="IT130" s="67">
        <f>IFERROR(IF(($IK130)&gt;0,($IN130)/($IK130),""),"")</f>
        <v/>
      </c>
      <c r="IU130" s="67">
        <f>IFERROR(IF(($IL130)&gt;0,($IO130)/($IL130),""),"")</f>
        <v/>
      </c>
      <c r="IV130" s="55">
        <f>SUMIFS(tblBudget[Gold_Poured_oz],tblBudget[Month],$E130)</f>
        <v/>
      </c>
      <c r="IW130" s="55">
        <f>$IV130*$C130/$D130</f>
        <v/>
      </c>
      <c r="IX130" s="55">
        <f>SUMIFS(tblBudget[Gold_Poured_oz],tblBudget[Month],"&lt;"&amp;$E130)+$IW130</f>
        <v/>
      </c>
      <c r="IY130" s="57">
        <f>SUMIFS(tblBudget[Hours_Worked],tblBudget[Month],$E130)</f>
        <v/>
      </c>
      <c r="IZ130" s="57">
        <f>$IY130*$C130/$D130</f>
        <v/>
      </c>
      <c r="JA130" s="57">
        <f>SUMIFS(tblBudget[Hours_Worked],tblBudget[Month],"&lt;"&amp;$E130)+$IZ130</f>
        <v/>
      </c>
    </row>
    <row r="131">
      <c r="A131" s="54" t="n">
        <v>46152</v>
      </c>
      <c r="B131">
        <f>MONTH($A131)</f>
        <v/>
      </c>
      <c r="C131">
        <f>DAY($A131)</f>
        <v/>
      </c>
      <c r="D131">
        <f>DAY(EOMONTH($A131,0))</f>
        <v/>
      </c>
      <c r="E131" s="54">
        <f>DATE(YEAR($A131),MONTH($A131),1)</f>
        <v/>
      </c>
      <c r="F131" s="55">
        <f>SUMIFS(tblMovement[Tonnes_t],tblMovement[Date],$A131,tblMovement[Is_Ore],1,tblMovement[Source_Type],"Pit")</f>
        <v/>
      </c>
      <c r="G131" s="55">
        <f>IF($B131=$B130,$G130,0)+$F131</f>
        <v/>
      </c>
      <c r="H131" s="55">
        <f>$H130+$F131</f>
        <v/>
      </c>
      <c r="I131" s="55">
        <f>SUMIFS(tblMovement[Ore_oz],tblMovement[Date],$A131,tblMovement[Source_Type],"Pit")</f>
        <v/>
      </c>
      <c r="J131" s="55">
        <f>IF($B131=$B130,$J130,0)+$I131</f>
        <v/>
      </c>
      <c r="K131" s="55">
        <f>$K130+$I131</f>
        <v/>
      </c>
      <c r="L131" s="56">
        <f>IFERROR(IF(($F131)&gt;0,($I131*cfg_TroyOz)/($F131),""),"")</f>
        <v/>
      </c>
      <c r="M131" s="56">
        <f>IFERROR(IF(($G131)&gt;0,($J131*cfg_TroyOz)/($G131),""),"")</f>
        <v/>
      </c>
      <c r="N131" s="56">
        <f>IFERROR(IF(($H131)&gt;0,($K131*cfg_TroyOz)/($H131),""),"")</f>
        <v/>
      </c>
      <c r="O131" s="55">
        <f>SUMIFS(tblMovement[Tonnes_t],tblMovement[Date],$A131,tblMovement[Is_Ore],0,tblMovement[Source_Type],"Pit")</f>
        <v/>
      </c>
      <c r="P131" s="55">
        <f>IF($B131=$B130,$P130,0)+$O131</f>
        <v/>
      </c>
      <c r="Q131" s="55">
        <f>$Q130+$O131</f>
        <v/>
      </c>
      <c r="R131" s="55">
        <f>$F131+$O131</f>
        <v/>
      </c>
      <c r="S131" s="55">
        <f>IF($B131=$B130,$S130,0)+$R131</f>
        <v/>
      </c>
      <c r="T131" s="55">
        <f>$T130+$R131</f>
        <v/>
      </c>
      <c r="U131" s="56">
        <f>IFERROR(IF(($F131)&gt;0,($O131)/($F131),""),"")</f>
        <v/>
      </c>
      <c r="V131" s="56">
        <f>IFERROR(IF(($G131)&gt;0,($P131)/($G131),""),"")</f>
        <v/>
      </c>
      <c r="W131" s="56">
        <f>IFERROR(IF(($H131)&gt;0,($Q131)/($H131),""),"")</f>
        <v/>
      </c>
      <c r="X131" s="55">
        <f>SUMIFS(tblMovement[Tonnes_t],tblMovement[Date],$A131,tblMovement[Source_Type],"Stockpile")</f>
        <v/>
      </c>
      <c r="Y131" s="55">
        <f>IF($B131=$B130,$Y130,0)+$X131</f>
        <v/>
      </c>
      <c r="Z131" s="55">
        <f>$Z130+$X131</f>
        <v/>
      </c>
      <c r="AA131" s="55">
        <f>SUMIFS(tblMiningDaily[Drill_m],tblMiningDaily[Date],$A131)</f>
        <v/>
      </c>
      <c r="AB131" s="55">
        <f>IF($B131=$B130,$AB130,0)+$AA131</f>
        <v/>
      </c>
      <c r="AC131" s="55">
        <f>$AC130+$AA131</f>
        <v/>
      </c>
      <c r="AD131" s="55">
        <f>SUMIFS(tblMiningDaily[Blast_t],tblMiningDaily[Date],$A131)</f>
        <v/>
      </c>
      <c r="AE131" s="55">
        <f>IF($B131=$B130,$AE130,0)+$AD131</f>
        <v/>
      </c>
      <c r="AF131" s="55">
        <f>$AF130+$AD131</f>
        <v/>
      </c>
      <c r="AG131" s="55">
        <f>SUMIFS(tblMiningDaily[Explosives_kg],tblMiningDaily[Date],$A131)</f>
        <v/>
      </c>
      <c r="AH131" s="55">
        <f>IF($B131=$B130,$AH130,0)+$AG131</f>
        <v/>
      </c>
      <c r="AI131" s="55">
        <f>$AI130+$AG131</f>
        <v/>
      </c>
      <c r="AJ131" s="56">
        <f>IFERROR(IF(($AD131)&gt;0,($AG131)/($AD131),""),"")</f>
        <v/>
      </c>
      <c r="AK131" s="56">
        <f>IFERROR(IF(($AE131)&gt;0,($AH131)/($AE131),""),"")</f>
        <v/>
      </c>
      <c r="AL131" s="56">
        <f>IFERROR(IF(($AF131)&gt;0,($AI131)/($AF131),""),"")</f>
        <v/>
      </c>
      <c r="AM131" s="55">
        <f>SUMIFS(tblMiningDaily[Diesel_L],tblMiningDaily[Date],$A131)</f>
        <v/>
      </c>
      <c r="AN131" s="55">
        <f>IF($B131=$B130,$AN130,0)+$AM131</f>
        <v/>
      </c>
      <c r="AO131" s="55">
        <f>$AO130+$AM131</f>
        <v/>
      </c>
      <c r="AP131" s="55">
        <f>SUMIFS(tblMiningDaily[Dewatering_m3],tblMiningDaily[Date],$A131)</f>
        <v/>
      </c>
      <c r="AQ131" s="55">
        <f>IF($B131=$B130,$AQ130,0)+$AP131</f>
        <v/>
      </c>
      <c r="AR131" s="55">
        <f>$AR130+$AP131</f>
        <v/>
      </c>
      <c r="AS131" s="57">
        <f>SUMIFS(tblFleet[Calendar_h],tblFleet[Date],$A131,tblFleet[Equipment_Class],"Excavator")</f>
        <v/>
      </c>
      <c r="AT131" s="57">
        <f>IF($B131=$B130,$AT130,0)+$AS131</f>
        <v/>
      </c>
      <c r="AU131" s="57">
        <f>$AU130+$AS131</f>
        <v/>
      </c>
      <c r="AV131" s="57">
        <f>SUMIFS(tblFleet[Available_h],tblFleet[Date],$A131,tblFleet[Equipment_Class],"Excavator")</f>
        <v/>
      </c>
      <c r="AW131" s="57">
        <f>IF($B131=$B130,$AW130,0)+$AV131</f>
        <v/>
      </c>
      <c r="AX131" s="57">
        <f>$AX130+$AV131</f>
        <v/>
      </c>
      <c r="AY131" s="57">
        <f>SUMIFS(tblFleet[Operating_h],tblFleet[Date],$A131,tblFleet[Equipment_Class],"Excavator")</f>
        <v/>
      </c>
      <c r="AZ131" s="57">
        <f>IF($B131=$B130,$AZ130,0)+$AY131</f>
        <v/>
      </c>
      <c r="BA131" s="57">
        <f>$BA130+$AY131</f>
        <v/>
      </c>
      <c r="BB131" s="67">
        <f>IFERROR(IF(($AS131)&gt;0,($AV131)/($AS131),""),"")</f>
        <v/>
      </c>
      <c r="BC131" s="67">
        <f>IFERROR(IF(($AT131)&gt;0,($AW131)/($AT131),""),"")</f>
        <v/>
      </c>
      <c r="BD131" s="67">
        <f>IFERROR(IF(($AU131)&gt;0,($AX131)/($AU131),""),"")</f>
        <v/>
      </c>
      <c r="BE131" s="67">
        <f>IFERROR(IF(($AV131)&gt;0,($AY131)/($AV131),""),"")</f>
        <v/>
      </c>
      <c r="BF131" s="67">
        <f>IFERROR(IF(($AW131)&gt;0,($AZ131)/($AW131),""),"")</f>
        <v/>
      </c>
      <c r="BG131" s="67">
        <f>IFERROR(IF(($AX131)&gt;0,($BA131)/($AX131),""),"")</f>
        <v/>
      </c>
      <c r="BH131" s="57">
        <f>SUMIFS(tblFleet[Calendar_h],tblFleet[Date],$A131,tblFleet[Equipment_Class],"Haul Truck")</f>
        <v/>
      </c>
      <c r="BI131" s="57">
        <f>IF($B131=$B130,$BI130,0)+$BH131</f>
        <v/>
      </c>
      <c r="BJ131" s="57">
        <f>$BJ130+$BH131</f>
        <v/>
      </c>
      <c r="BK131" s="57">
        <f>SUMIFS(tblFleet[Available_h],tblFleet[Date],$A131,tblFleet[Equipment_Class],"Haul Truck")</f>
        <v/>
      </c>
      <c r="BL131" s="57">
        <f>IF($B131=$B130,$BL130,0)+$BK131</f>
        <v/>
      </c>
      <c r="BM131" s="57">
        <f>$BM130+$BK131</f>
        <v/>
      </c>
      <c r="BN131" s="57">
        <f>SUMIFS(tblFleet[Operating_h],tblFleet[Date],$A131,tblFleet[Equipment_Class],"Haul Truck")</f>
        <v/>
      </c>
      <c r="BO131" s="57">
        <f>IF($B131=$B130,$BO130,0)+$BN131</f>
        <v/>
      </c>
      <c r="BP131" s="57">
        <f>$BP130+$BN131</f>
        <v/>
      </c>
      <c r="BQ131" s="67">
        <f>IFERROR(IF(($BH131)&gt;0,($BK131)/($BH131),""),"")</f>
        <v/>
      </c>
      <c r="BR131" s="67">
        <f>IFERROR(IF(($BI131)&gt;0,($BL131)/($BI131),""),"")</f>
        <v/>
      </c>
      <c r="BS131" s="67">
        <f>IFERROR(IF(($BJ131)&gt;0,($BM131)/($BJ131),""),"")</f>
        <v/>
      </c>
      <c r="BT131" s="67">
        <f>IFERROR(IF(($BK131)&gt;0,($BN131)/($BK131),""),"")</f>
        <v/>
      </c>
      <c r="BU131" s="67">
        <f>IFERROR(IF(($BL131)&gt;0,($BO131)/($BL131),""),"")</f>
        <v/>
      </c>
      <c r="BV131" s="67">
        <f>IFERROR(IF(($BM131)&gt;0,($BP131)/($BM131),""),"")</f>
        <v/>
      </c>
      <c r="BW131" s="55">
        <f>SUMIFS(tblPlant[Crushed_t],tblPlant[Date],$A131)</f>
        <v/>
      </c>
      <c r="BX131" s="55">
        <f>IF($B131=$B130,$BX130,0)+$BW131</f>
        <v/>
      </c>
      <c r="BY131" s="55">
        <f>$BY130+$BW131</f>
        <v/>
      </c>
      <c r="BZ131" s="55">
        <f>SUMIFS(tblPlant[Milled_t],tblPlant[Date],$A131)</f>
        <v/>
      </c>
      <c r="CA131" s="55">
        <f>IF($B131=$B130,$CA130,0)+$BZ131</f>
        <v/>
      </c>
      <c r="CB131" s="55">
        <f>$CB130+$BZ131</f>
        <v/>
      </c>
      <c r="CC131" s="55">
        <f>SUMIFS(tblPlant[Feed_oz],tblPlant[Date],$A131)</f>
        <v/>
      </c>
      <c r="CD131" s="55">
        <f>IF($B131=$B130,$CD130,0)+$CC131</f>
        <v/>
      </c>
      <c r="CE131" s="55">
        <f>$CE130+$CC131</f>
        <v/>
      </c>
      <c r="CF131" s="55">
        <f>SUMIFS(tblPlant[Tails_oz],tblPlant[Date],$A131)</f>
        <v/>
      </c>
      <c r="CG131" s="55">
        <f>IF($B131=$B130,$CG130,0)+$CF131</f>
        <v/>
      </c>
      <c r="CH131" s="55">
        <f>$CH130+$CF131</f>
        <v/>
      </c>
      <c r="CI131" s="55">
        <f>SUMIFS(tblPlant[Recovered_oz],tblPlant[Date],$A131)</f>
        <v/>
      </c>
      <c r="CJ131" s="55">
        <f>IF($B131=$B130,$CJ130,0)+$CI131</f>
        <v/>
      </c>
      <c r="CK131" s="55">
        <f>$CK130+$CI131</f>
        <v/>
      </c>
      <c r="CL131" s="56">
        <f>IFERROR(IF(($BZ131)&gt;0,($CC131*cfg_TroyOz)/($BZ131),""),"")</f>
        <v/>
      </c>
      <c r="CM131" s="56">
        <f>IFERROR(IF(($CA131)&gt;0,($CD131*cfg_TroyOz)/($CA131),""),"")</f>
        <v/>
      </c>
      <c r="CN131" s="56">
        <f>IFERROR(IF(($CB131)&gt;0,($CE131*cfg_TroyOz)/($CB131),""),"")</f>
        <v/>
      </c>
      <c r="CO131" s="56">
        <f>IFERROR(IF(($BZ131)&gt;0,($CF131*cfg_TroyOz)/($BZ131),""),"")</f>
        <v/>
      </c>
      <c r="CP131" s="56">
        <f>IFERROR(IF(($CA131)&gt;0,($CG131*cfg_TroyOz)/($CA131),""),"")</f>
        <v/>
      </c>
      <c r="CQ131" s="56">
        <f>IFERROR(IF(($CB131)&gt;0,($CH131*cfg_TroyOz)/($CB131),""),"")</f>
        <v/>
      </c>
      <c r="CR131" s="67">
        <f>IFERROR(IF(($CC131)&gt;0,($CI131)/($CC131),""),"")</f>
        <v/>
      </c>
      <c r="CS131" s="67">
        <f>IFERROR(IF(($CD131)&gt;0,($CJ131)/($CD131),""),"")</f>
        <v/>
      </c>
      <c r="CT131" s="67">
        <f>IFERROR(IF(($CE131)&gt;0,($CK131)/($CE131),""),"")</f>
        <v/>
      </c>
      <c r="CU131" s="55">
        <f>SUMIFS(tblPlant[Gravity_Gold_oz],tblPlant[Date],$A131)</f>
        <v/>
      </c>
      <c r="CV131" s="55">
        <f>IF($B131=$B130,$CV130,0)+$CU131</f>
        <v/>
      </c>
      <c r="CW131" s="55">
        <f>$CW130+$CU131</f>
        <v/>
      </c>
      <c r="CX131" s="55">
        <f>SUMIFS(tblPlant[Gold_Poured_oz],tblPlant[Date],$A131)</f>
        <v/>
      </c>
      <c r="CY131" s="55">
        <f>IF($B131=$B130,$CY130,0)+$CX131</f>
        <v/>
      </c>
      <c r="CZ131" s="55">
        <f>$CZ130+$CX131</f>
        <v/>
      </c>
      <c r="DA131" s="57">
        <f>SUMIFS(tblPlant[Mill_Run_h],tblPlant[Date],$A131)</f>
        <v/>
      </c>
      <c r="DB131" s="57">
        <f>IF($B131=$B130,$DB130,0)+$DA131</f>
        <v/>
      </c>
      <c r="DC131" s="57">
        <f>$DC130+$DA131</f>
        <v/>
      </c>
      <c r="DD131" s="57">
        <f>SUMIFS(tblPlant[Mill_Planned_Maint_h],tblPlant[Date],$A131)</f>
        <v/>
      </c>
      <c r="DE131" s="57">
        <f>IF($B131=$B130,$DE130,0)+$DD131</f>
        <v/>
      </c>
      <c r="DF131" s="57">
        <f>$DF130+$DD131</f>
        <v/>
      </c>
      <c r="DG131" s="57">
        <f>SUMIFS(tblPlant[Mill_Unplanned_Down_h],tblPlant[Date],$A131)</f>
        <v/>
      </c>
      <c r="DH131" s="57">
        <f>IF($B131=$B130,$DH130,0)+$DG131</f>
        <v/>
      </c>
      <c r="DI131" s="57">
        <f>$DI130+$DG131</f>
        <v/>
      </c>
      <c r="DJ131" s="57">
        <f>COUNTIFS(tblPlant[Date],$A131,tblPlant[Mill_Run_h],"&lt;&gt;")*24</f>
        <v/>
      </c>
      <c r="DK131" s="57">
        <f>IF($B131=$B130,$DK130,0)+$DJ131</f>
        <v/>
      </c>
      <c r="DL131" s="57">
        <f>$DL130+$DJ131</f>
        <v/>
      </c>
      <c r="DM131" s="57">
        <f>SUMIFS(tblPlant[Crusher_Run_h],tblPlant[Date],$A131)</f>
        <v/>
      </c>
      <c r="DN131" s="57">
        <f>IF($B131=$B130,$DN130,0)+$DM131</f>
        <v/>
      </c>
      <c r="DO131" s="57">
        <f>$DO130+$DM131</f>
        <v/>
      </c>
      <c r="DP131" s="55">
        <f>IFERROR(IF(($DA131)&gt;0,($BZ131)/($DA131),""),"")</f>
        <v/>
      </c>
      <c r="DQ131" s="55">
        <f>IFERROR(IF(($DB131)&gt;0,($CA131)/($DB131),""),"")</f>
        <v/>
      </c>
      <c r="DR131" s="55">
        <f>IFERROR(IF(($DC131)&gt;0,($CB131)/($DC131),""),"")</f>
        <v/>
      </c>
      <c r="DS131" s="67">
        <f>IFERROR(IF(($DJ131)&gt;0,($DJ131-$DD131-$DG131)/($DJ131),""),"")</f>
        <v/>
      </c>
      <c r="DT131" s="67">
        <f>IFERROR(IF(($DK131)&gt;0,($DK131-$DE131-$DH131)/($DK131),""),"")</f>
        <v/>
      </c>
      <c r="DU131" s="67">
        <f>IFERROR(IF(($DL131)&gt;0,($DL131-$DF131-$DI131)/($DL131),""),"")</f>
        <v/>
      </c>
      <c r="DV131" s="67">
        <f>IFERROR(IF(($DJ131-$DD131-$DG131)&gt;0,($DA131)/($DJ131-$DD131-$DG131),""),"")</f>
        <v/>
      </c>
      <c r="DW131" s="67">
        <f>IFERROR(IF(($DK131-$DE131-$DH131)&gt;0,($DB131)/($DK131-$DE131-$DH131),""),"")</f>
        <v/>
      </c>
      <c r="DX131" s="67">
        <f>IFERROR(IF(($DL131-$DF131-$DI131)&gt;0,($DC131)/($DL131-$DF131-$DI131),""),"")</f>
        <v/>
      </c>
      <c r="DY131" s="55">
        <f>SUMIFS(tblPlant[Cyanide_kg],tblPlant[Date],$A131)</f>
        <v/>
      </c>
      <c r="DZ131" s="55">
        <f>IF($B131=$B130,$DZ130,0)+$DY131</f>
        <v/>
      </c>
      <c r="EA131" s="55">
        <f>$EA130+$DY131</f>
        <v/>
      </c>
      <c r="EB131" s="55">
        <f>SUMIFS(tblPlant[Lime_kg],tblPlant[Date],$A131)</f>
        <v/>
      </c>
      <c r="EC131" s="55">
        <f>IF($B131=$B130,$EC130,0)+$EB131</f>
        <v/>
      </c>
      <c r="ED131" s="55">
        <f>$ED130+$EB131</f>
        <v/>
      </c>
      <c r="EE131" s="55">
        <f>SUMIFS(tblPlant[Grinding_Media_kg],tblPlant[Date],$A131)</f>
        <v/>
      </c>
      <c r="EF131" s="55">
        <f>IF($B131=$B130,$EF130,0)+$EE131</f>
        <v/>
      </c>
      <c r="EG131" s="55">
        <f>$EG130+$EE131</f>
        <v/>
      </c>
      <c r="EH131" s="55">
        <f>SUMIFS(tblPlant[Power_kWh],tblPlant[Date],$A131)</f>
        <v/>
      </c>
      <c r="EI131" s="55">
        <f>IF($B131=$B130,$EI130,0)+$EH131</f>
        <v/>
      </c>
      <c r="EJ131" s="55">
        <f>$EJ130+$EH131</f>
        <v/>
      </c>
      <c r="EK131" s="55">
        <f>SUMIFS(tblPlant[Raw_Water_m3],tblPlant[Date],$A131)</f>
        <v/>
      </c>
      <c r="EL131" s="55">
        <f>IF($B131=$B130,$EL130,0)+$EK131</f>
        <v/>
      </c>
      <c r="EM131" s="55">
        <f>$EM130+$EK131</f>
        <v/>
      </c>
      <c r="EN131" s="56">
        <f>IFERROR(IF(($BZ131)&gt;0,($DY131)/($BZ131),""),"")</f>
        <v/>
      </c>
      <c r="EO131" s="56">
        <f>IFERROR(IF(($CA131)&gt;0,($DZ131)/($CA131),""),"")</f>
        <v/>
      </c>
      <c r="EP131" s="56">
        <f>IFERROR(IF(($CB131)&gt;0,($EA131)/($CB131),""),"")</f>
        <v/>
      </c>
      <c r="EQ131" s="56">
        <f>IFERROR(IF(($BZ131)&gt;0,($EB131)/($BZ131),""),"")</f>
        <v/>
      </c>
      <c r="ER131" s="56">
        <f>IFERROR(IF(($CA131)&gt;0,($EC131)/($CA131),""),"")</f>
        <v/>
      </c>
      <c r="ES131" s="56">
        <f>IFERROR(IF(($CB131)&gt;0,($ED131)/($CB131),""),"")</f>
        <v/>
      </c>
      <c r="ET131" s="56">
        <f>IFERROR(IF(($BZ131)&gt;0,($EE131)/($BZ131),""),"")</f>
        <v/>
      </c>
      <c r="EU131" s="56">
        <f>IFERROR(IF(($CA131)&gt;0,($EF131)/($CA131),""),"")</f>
        <v/>
      </c>
      <c r="EV131" s="56">
        <f>IFERROR(IF(($CB131)&gt;0,($EG131)/($CB131),""),"")</f>
        <v/>
      </c>
      <c r="EW131" s="76">
        <f>IFERROR(IF(($BZ131)&gt;0,($EH131)/($BZ131),""),"")</f>
        <v/>
      </c>
      <c r="EX131" s="76">
        <f>IFERROR(IF(($CA131)&gt;0,($EI131)/($CA131),""),"")</f>
        <v/>
      </c>
      <c r="EY131" s="76">
        <f>IFERROR(IF(($CB131)&gt;0,($EJ131)/($CB131),""),"")</f>
        <v/>
      </c>
      <c r="EZ131" s="56">
        <f>IFERROR(IF(($BZ131)&gt;0,($EK131)/($BZ131),""),"")</f>
        <v/>
      </c>
      <c r="FA131" s="56">
        <f>IFERROR(IF(($CA131)&gt;0,($EL131)/($CA131),""),"")</f>
        <v/>
      </c>
      <c r="FB131" s="56">
        <f>IFERROR(IF(($CB131)&gt;0,($EM131)/($CB131),""),"")</f>
        <v/>
      </c>
      <c r="FC131" s="55">
        <f>IF(SUMIFS(tblPlant[GIC_oz],tblPlant[Date],$A131)&gt;0,SUMIFS(tblPlant[GIC_oz],tblPlant[Date],$A131),"")</f>
        <v/>
      </c>
      <c r="FD131" s="55">
        <f>SUMIFS(tblGold[Gold_oz],tblGold[Date],$A131,tblGold[Type],"Shipment")</f>
        <v/>
      </c>
      <c r="FE131" s="55">
        <f>IF($B131=$B130,$FE130,0)+$FD131</f>
        <v/>
      </c>
      <c r="FF131" s="55">
        <f>$FF130+$FD131</f>
        <v/>
      </c>
      <c r="FG131" s="55">
        <f>SUMIFS(tblGold[Gold_oz],tblGold[Date],$A131,tblGold[Type],"Sale")</f>
        <v/>
      </c>
      <c r="FH131" s="55">
        <f>IF($B131=$B130,$FH130,0)+$FG131</f>
        <v/>
      </c>
      <c r="FI131" s="55">
        <f>$FI130+$FG131</f>
        <v/>
      </c>
      <c r="FJ131" s="55">
        <f>SUMIFS(tblGold[Dore_kg],tblGold[Date],$A131,tblGold[Type],"Shipment")</f>
        <v/>
      </c>
      <c r="FK131" s="55">
        <f>IF($B131=$B130,$FK130,0)+$FJ131</f>
        <v/>
      </c>
      <c r="FL131" s="55">
        <f>$FL130+$FJ131</f>
        <v/>
      </c>
      <c r="FM131" s="57">
        <f>SUMIFS(tblSafety[Hours_Total],tblSafety[Date],$A131)</f>
        <v/>
      </c>
      <c r="FN131" s="57">
        <f>IF($B131=$B130,$FN130,0)+$FM131</f>
        <v/>
      </c>
      <c r="FO131" s="57">
        <f>$FO130+$FM131</f>
        <v/>
      </c>
      <c r="FP131" s="62">
        <f>SUMIFS(tblSafety[Fatality],tblSafety[Date],$A131)</f>
        <v/>
      </c>
      <c r="FQ131" s="62">
        <f>IF($B131=$B130,$FQ130,0)+$FP131</f>
        <v/>
      </c>
      <c r="FR131" s="62">
        <f>$FR130+$FP131</f>
        <v/>
      </c>
      <c r="FS131" s="62">
        <f>SUMIFS(tblSafety[LTI],tblSafety[Date],$A131)</f>
        <v/>
      </c>
      <c r="FT131" s="62">
        <f>IF($B131=$B130,$FT130,0)+$FS131</f>
        <v/>
      </c>
      <c r="FU131" s="62">
        <f>$FU130+$FS131</f>
        <v/>
      </c>
      <c r="FV131" s="62">
        <f>SUMIFS(tblSafety[RWI],tblSafety[Date],$A131)</f>
        <v/>
      </c>
      <c r="FW131" s="62">
        <f>IF($B131=$B130,$FW130,0)+$FV131</f>
        <v/>
      </c>
      <c r="FX131" s="62">
        <f>$FX130+$FV131</f>
        <v/>
      </c>
      <c r="FY131" s="62">
        <f>SUMIFS(tblSafety[MTI],tblSafety[Date],$A131)</f>
        <v/>
      </c>
      <c r="FZ131" s="62">
        <f>IF($B131=$B130,$FZ130,0)+$FY131</f>
        <v/>
      </c>
      <c r="GA131" s="62">
        <f>$GA130+$FY131</f>
        <v/>
      </c>
      <c r="GB131" s="62">
        <f>SUMIFS(tblSafety[FAI],tblSafety[Date],$A131)</f>
        <v/>
      </c>
      <c r="GC131" s="62">
        <f>IF($B131=$B130,$GC130,0)+$GB131</f>
        <v/>
      </c>
      <c r="GD131" s="62">
        <f>$GD130+$GB131</f>
        <v/>
      </c>
      <c r="GE131" s="62">
        <f>SUMIFS(tblSafety[Recordables],tblSafety[Date],$A131)</f>
        <v/>
      </c>
      <c r="GF131" s="62">
        <f>IF($B131=$B130,$GF130,0)+$GE131</f>
        <v/>
      </c>
      <c r="GG131" s="62">
        <f>$GG130+$GE131</f>
        <v/>
      </c>
      <c r="GH131" s="62">
        <f>SUMIFS(tblSafety[Near_Miss],tblSafety[Date],$A131)</f>
        <v/>
      </c>
      <c r="GI131" s="62">
        <f>IF($B131=$B130,$GI130,0)+$GH131</f>
        <v/>
      </c>
      <c r="GJ131" s="62">
        <f>$GJ130+$GH131</f>
        <v/>
      </c>
      <c r="GK131" s="62">
        <f>SUMIFS(tblSafety[Hazard_Reports],tblSafety[Date],$A131)</f>
        <v/>
      </c>
      <c r="GL131" s="62">
        <f>IF($B131=$B130,$GL130,0)+$GK131</f>
        <v/>
      </c>
      <c r="GM131" s="62">
        <f>$GM130+$GK131</f>
        <v/>
      </c>
      <c r="GN131" s="62">
        <f>SUMIFS(tblSafety[HPI],tblSafety[Date],$A131)</f>
        <v/>
      </c>
      <c r="GO131" s="62">
        <f>IF($B131=$B130,$GO130,0)+$GN131</f>
        <v/>
      </c>
      <c r="GP131" s="62">
        <f>$GP130+$GN131</f>
        <v/>
      </c>
      <c r="GQ131" s="62">
        <f>SUMIFS(tblSafety[Env_Incidents],tblSafety[Date],$A131)</f>
        <v/>
      </c>
      <c r="GR131" s="62">
        <f>IF($B131=$B130,$GR130,0)+$GQ131</f>
        <v/>
      </c>
      <c r="GS131" s="62">
        <f>$GS130+$GQ131</f>
        <v/>
      </c>
      <c r="GT131" s="62">
        <f>SUMIFS(tblSafety[Community_Incidents],tblSafety[Date],$A131)</f>
        <v/>
      </c>
      <c r="GU131" s="62">
        <f>IF($B131=$B130,$GU130,0)+$GT131</f>
        <v/>
      </c>
      <c r="GV131" s="62">
        <f>$GV130+$GT131</f>
        <v/>
      </c>
      <c r="GW131" s="62">
        <f>SUMIFS(tblSafety[Vehicle_Incidents],tblSafety[Date],$A131)</f>
        <v/>
      </c>
      <c r="GX131" s="62">
        <f>IF($B131=$B130,$GX130,0)+$GW131</f>
        <v/>
      </c>
      <c r="GY131" s="62">
        <f>$GY130+$GW131</f>
        <v/>
      </c>
      <c r="GZ131" s="62">
        <f>SUMIFS(tblSafety[Toolbox_Talks],tblSafety[Date],$A131)</f>
        <v/>
      </c>
      <c r="HA131" s="62">
        <f>IF($B131=$B130,$HA130,0)+$GZ131</f>
        <v/>
      </c>
      <c r="HB131" s="62">
        <f>$HB130+$GZ131</f>
        <v/>
      </c>
      <c r="HC131" s="62">
        <f>SUMIFS(tblSafety[Inspections],tblSafety[Date],$A131)</f>
        <v/>
      </c>
      <c r="HD131" s="62">
        <f>IF($B131=$B130,$HD130,0)+$HC131</f>
        <v/>
      </c>
      <c r="HE131" s="62">
        <f>$HE130+$HC131</f>
        <v/>
      </c>
      <c r="HF131" s="56">
        <f>IFERROR((SUMIFS(tblSafety[Recordables],tblSafety[Date],"&gt;="&amp;EDATE($E131,-12),tblSafety[Date],"&lt;="&amp;$A131)+SUMIFS(tblSafetyHistory[Recordables],tblSafetyHistory[Month],"&gt;="&amp;EDATE($E131,-12),tblSafetyHistory[Month],"&lt;"&amp;cfg_YearStart))/(SUMIFS(tblSafety[Hours_Total],tblSafety[Date],"&gt;="&amp;EDATE($E131,-12),tblSafety[Date],"&lt;="&amp;$A131)+SUMIFS(tblSafetyHistory[Hours_Total],tblSafetyHistory[Month],"&gt;="&amp;EDATE($E131,-12),tblSafetyHistory[Month],"&lt;"&amp;cfg_YearStart))*1000000,"")</f>
        <v/>
      </c>
      <c r="HG131" s="56">
        <f>IFERROR((SUMIFS(tblSafety[LTI],tblSafety[Date],"&gt;="&amp;EDATE($E131,-12),tblSafety[Date],"&lt;="&amp;$A131)+SUMIFS(tblSafetyHistory[LTI],tblSafetyHistory[Month],"&gt;="&amp;EDATE($E131,-12),tblSafetyHistory[Month],"&lt;"&amp;cfg_YearStart))/(SUMIFS(tblSafety[Hours_Total],tblSafety[Date],"&gt;="&amp;EDATE($E131,-12),tblSafety[Date],"&lt;="&amp;$A131)+SUMIFS(tblSafetyHistory[Hours_Total],tblSafetyHistory[Month],"&gt;="&amp;EDATE($E131,-12),tblSafetyHistory[Month],"&lt;"&amp;cfg_YearStart))*1000000,"")</f>
        <v/>
      </c>
      <c r="HH131" s="62">
        <f>IF(MAX(N(cfg_PriorLTIDate),_xlfn.MAXIFS(tblSafety[Date],tblSafety[LTI],"&gt;0",tblSafety[Date],"&lt;="&amp;$A131))=0,"",$A131-MAX(N(cfg_PriorLTIDate),_xlfn.MAXIFS(tblSafety[Date],tblSafety[LTI],"&gt;0",tblSafety[Date],"&lt;="&amp;$A131)))</f>
        <v/>
      </c>
      <c r="HI131" s="55">
        <f>SUMIFS(tblBudget[Ore_Mined_t],tblBudget[Month],$E131)</f>
        <v/>
      </c>
      <c r="HJ131" s="55">
        <f>$HI131*$C131/$D131</f>
        <v/>
      </c>
      <c r="HK131" s="55">
        <f>SUMIFS(tblBudget[Ore_Mined_t],tblBudget[Month],"&lt;"&amp;$E131)+$HJ131</f>
        <v/>
      </c>
      <c r="HL131" s="55">
        <f>SUMIFS(tblBudget[Ore_oz],tblBudget[Month],$E131)</f>
        <v/>
      </c>
      <c r="HM131" s="55">
        <f>$HL131*$C131/$D131</f>
        <v/>
      </c>
      <c r="HN131" s="55">
        <f>SUMIFS(tblBudget[Ore_oz],tblBudget[Month],"&lt;"&amp;$E131)+$HM131</f>
        <v/>
      </c>
      <c r="HO131" s="56">
        <f>IFERROR(IF(($HI131)&gt;0,($HL131*cfg_TroyOz)/($HI131),""),"")</f>
        <v/>
      </c>
      <c r="HP131" s="56">
        <f>IFERROR(IF(($HJ131)&gt;0,($HM131*cfg_TroyOz)/($HJ131),""),"")</f>
        <v/>
      </c>
      <c r="HQ131" s="56">
        <f>IFERROR(IF(($HK131)&gt;0,($HN131*cfg_TroyOz)/($HK131),""),"")</f>
        <v/>
      </c>
      <c r="HR131" s="55">
        <f>SUMIFS(tblBudget[Waste_t],tblBudget[Month],$E131)</f>
        <v/>
      </c>
      <c r="HS131" s="55">
        <f>$HR131*$C131/$D131</f>
        <v/>
      </c>
      <c r="HT131" s="55">
        <f>SUMIFS(tblBudget[Waste_t],tblBudget[Month],"&lt;"&amp;$E131)+$HS131</f>
        <v/>
      </c>
      <c r="HU131" s="55">
        <f>SUMIFS(tblBudget[TMM_t],tblBudget[Month],$E131)</f>
        <v/>
      </c>
      <c r="HV131" s="55">
        <f>$HU131*$C131/$D131</f>
        <v/>
      </c>
      <c r="HW131" s="55">
        <f>SUMIFS(tblBudget[TMM_t],tblBudget[Month],"&lt;"&amp;$E131)+$HV131</f>
        <v/>
      </c>
      <c r="HX131" s="56">
        <f>IFERROR(IF(($HI131)&gt;0,($HR131)/($HI131),""),"")</f>
        <v/>
      </c>
      <c r="HY131" s="56">
        <f>IFERROR(IF(($HJ131)&gt;0,($HS131)/($HJ131),""),"")</f>
        <v/>
      </c>
      <c r="HZ131" s="56">
        <f>IFERROR(IF(($HK131)&gt;0,($HT131)/($HK131),""),"")</f>
        <v/>
      </c>
      <c r="IA131" s="55">
        <f>SUMIFS(tblBudget[Drill_m],tblBudget[Month],$E131)</f>
        <v/>
      </c>
      <c r="IB131" s="55">
        <f>$IA131*$C131/$D131</f>
        <v/>
      </c>
      <c r="IC131" s="55">
        <f>SUMIFS(tblBudget[Drill_m],tblBudget[Month],"&lt;"&amp;$E131)+$IB131</f>
        <v/>
      </c>
      <c r="ID131" s="55">
        <f>SUMIFS(tblBudget[Diesel_L],tblBudget[Month],$E131)</f>
        <v/>
      </c>
      <c r="IE131" s="55">
        <f>$ID131*$C131/$D131</f>
        <v/>
      </c>
      <c r="IF131" s="55">
        <f>SUMIFS(tblBudget[Diesel_L],tblBudget[Month],"&lt;"&amp;$E131)+$IE131</f>
        <v/>
      </c>
      <c r="IG131" s="55">
        <f>SUMIFS(tblBudget[Milled_t],tblBudget[Month],$E131)</f>
        <v/>
      </c>
      <c r="IH131" s="55">
        <f>$IG131*$C131/$D131</f>
        <v/>
      </c>
      <c r="II131" s="55">
        <f>SUMIFS(tblBudget[Milled_t],tblBudget[Month],"&lt;"&amp;$E131)+$IH131</f>
        <v/>
      </c>
      <c r="IJ131" s="55">
        <f>SUMIFS(tblBudget[Feed_oz],tblBudget[Month],$E131)</f>
        <v/>
      </c>
      <c r="IK131" s="55">
        <f>$IJ131*$C131/$D131</f>
        <v/>
      </c>
      <c r="IL131" s="55">
        <f>SUMIFS(tblBudget[Feed_oz],tblBudget[Month],"&lt;"&amp;$E131)+$IK131</f>
        <v/>
      </c>
      <c r="IM131" s="55">
        <f>SUMIFS(tblBudget[Recovered_oz],tblBudget[Month],$E131)</f>
        <v/>
      </c>
      <c r="IN131" s="55">
        <f>$IM131*$C131/$D131</f>
        <v/>
      </c>
      <c r="IO131" s="55">
        <f>SUMIFS(tblBudget[Recovered_oz],tblBudget[Month],"&lt;"&amp;$E131)+$IN131</f>
        <v/>
      </c>
      <c r="IP131" s="56">
        <f>IFERROR(IF(($IG131)&gt;0,($IJ131*cfg_TroyOz)/($IG131),""),"")</f>
        <v/>
      </c>
      <c r="IQ131" s="56">
        <f>IFERROR(IF(($IH131)&gt;0,($IK131*cfg_TroyOz)/($IH131),""),"")</f>
        <v/>
      </c>
      <c r="IR131" s="56">
        <f>IFERROR(IF(($II131)&gt;0,($IL131*cfg_TroyOz)/($II131),""),"")</f>
        <v/>
      </c>
      <c r="IS131" s="67">
        <f>IFERROR(IF(($IJ131)&gt;0,($IM131)/($IJ131),""),"")</f>
        <v/>
      </c>
      <c r="IT131" s="67">
        <f>IFERROR(IF(($IK131)&gt;0,($IN131)/($IK131),""),"")</f>
        <v/>
      </c>
      <c r="IU131" s="67">
        <f>IFERROR(IF(($IL131)&gt;0,($IO131)/($IL131),""),"")</f>
        <v/>
      </c>
      <c r="IV131" s="55">
        <f>SUMIFS(tblBudget[Gold_Poured_oz],tblBudget[Month],$E131)</f>
        <v/>
      </c>
      <c r="IW131" s="55">
        <f>$IV131*$C131/$D131</f>
        <v/>
      </c>
      <c r="IX131" s="55">
        <f>SUMIFS(tblBudget[Gold_Poured_oz],tblBudget[Month],"&lt;"&amp;$E131)+$IW131</f>
        <v/>
      </c>
      <c r="IY131" s="57">
        <f>SUMIFS(tblBudget[Hours_Worked],tblBudget[Month],$E131)</f>
        <v/>
      </c>
      <c r="IZ131" s="57">
        <f>$IY131*$C131/$D131</f>
        <v/>
      </c>
      <c r="JA131" s="57">
        <f>SUMIFS(tblBudget[Hours_Worked],tblBudget[Month],"&lt;"&amp;$E131)+$IZ131</f>
        <v/>
      </c>
    </row>
    <row r="132">
      <c r="A132" s="54" t="n">
        <v>46153</v>
      </c>
      <c r="B132">
        <f>MONTH($A132)</f>
        <v/>
      </c>
      <c r="C132">
        <f>DAY($A132)</f>
        <v/>
      </c>
      <c r="D132">
        <f>DAY(EOMONTH($A132,0))</f>
        <v/>
      </c>
      <c r="E132" s="54">
        <f>DATE(YEAR($A132),MONTH($A132),1)</f>
        <v/>
      </c>
      <c r="F132" s="55">
        <f>SUMIFS(tblMovement[Tonnes_t],tblMovement[Date],$A132,tblMovement[Is_Ore],1,tblMovement[Source_Type],"Pit")</f>
        <v/>
      </c>
      <c r="G132" s="55">
        <f>IF($B132=$B131,$G131,0)+$F132</f>
        <v/>
      </c>
      <c r="H132" s="55">
        <f>$H131+$F132</f>
        <v/>
      </c>
      <c r="I132" s="55">
        <f>SUMIFS(tblMovement[Ore_oz],tblMovement[Date],$A132,tblMovement[Source_Type],"Pit")</f>
        <v/>
      </c>
      <c r="J132" s="55">
        <f>IF($B132=$B131,$J131,0)+$I132</f>
        <v/>
      </c>
      <c r="K132" s="55">
        <f>$K131+$I132</f>
        <v/>
      </c>
      <c r="L132" s="56">
        <f>IFERROR(IF(($F132)&gt;0,($I132*cfg_TroyOz)/($F132),""),"")</f>
        <v/>
      </c>
      <c r="M132" s="56">
        <f>IFERROR(IF(($G132)&gt;0,($J132*cfg_TroyOz)/($G132),""),"")</f>
        <v/>
      </c>
      <c r="N132" s="56">
        <f>IFERROR(IF(($H132)&gt;0,($K132*cfg_TroyOz)/($H132),""),"")</f>
        <v/>
      </c>
      <c r="O132" s="55">
        <f>SUMIFS(tblMovement[Tonnes_t],tblMovement[Date],$A132,tblMovement[Is_Ore],0,tblMovement[Source_Type],"Pit")</f>
        <v/>
      </c>
      <c r="P132" s="55">
        <f>IF($B132=$B131,$P131,0)+$O132</f>
        <v/>
      </c>
      <c r="Q132" s="55">
        <f>$Q131+$O132</f>
        <v/>
      </c>
      <c r="R132" s="55">
        <f>$F132+$O132</f>
        <v/>
      </c>
      <c r="S132" s="55">
        <f>IF($B132=$B131,$S131,0)+$R132</f>
        <v/>
      </c>
      <c r="T132" s="55">
        <f>$T131+$R132</f>
        <v/>
      </c>
      <c r="U132" s="56">
        <f>IFERROR(IF(($F132)&gt;0,($O132)/($F132),""),"")</f>
        <v/>
      </c>
      <c r="V132" s="56">
        <f>IFERROR(IF(($G132)&gt;0,($P132)/($G132),""),"")</f>
        <v/>
      </c>
      <c r="W132" s="56">
        <f>IFERROR(IF(($H132)&gt;0,($Q132)/($H132),""),"")</f>
        <v/>
      </c>
      <c r="X132" s="55">
        <f>SUMIFS(tblMovement[Tonnes_t],tblMovement[Date],$A132,tblMovement[Source_Type],"Stockpile")</f>
        <v/>
      </c>
      <c r="Y132" s="55">
        <f>IF($B132=$B131,$Y131,0)+$X132</f>
        <v/>
      </c>
      <c r="Z132" s="55">
        <f>$Z131+$X132</f>
        <v/>
      </c>
      <c r="AA132" s="55">
        <f>SUMIFS(tblMiningDaily[Drill_m],tblMiningDaily[Date],$A132)</f>
        <v/>
      </c>
      <c r="AB132" s="55">
        <f>IF($B132=$B131,$AB131,0)+$AA132</f>
        <v/>
      </c>
      <c r="AC132" s="55">
        <f>$AC131+$AA132</f>
        <v/>
      </c>
      <c r="AD132" s="55">
        <f>SUMIFS(tblMiningDaily[Blast_t],tblMiningDaily[Date],$A132)</f>
        <v/>
      </c>
      <c r="AE132" s="55">
        <f>IF($B132=$B131,$AE131,0)+$AD132</f>
        <v/>
      </c>
      <c r="AF132" s="55">
        <f>$AF131+$AD132</f>
        <v/>
      </c>
      <c r="AG132" s="55">
        <f>SUMIFS(tblMiningDaily[Explosives_kg],tblMiningDaily[Date],$A132)</f>
        <v/>
      </c>
      <c r="AH132" s="55">
        <f>IF($B132=$B131,$AH131,0)+$AG132</f>
        <v/>
      </c>
      <c r="AI132" s="55">
        <f>$AI131+$AG132</f>
        <v/>
      </c>
      <c r="AJ132" s="56">
        <f>IFERROR(IF(($AD132)&gt;0,($AG132)/($AD132),""),"")</f>
        <v/>
      </c>
      <c r="AK132" s="56">
        <f>IFERROR(IF(($AE132)&gt;0,($AH132)/($AE132),""),"")</f>
        <v/>
      </c>
      <c r="AL132" s="56">
        <f>IFERROR(IF(($AF132)&gt;0,($AI132)/($AF132),""),"")</f>
        <v/>
      </c>
      <c r="AM132" s="55">
        <f>SUMIFS(tblMiningDaily[Diesel_L],tblMiningDaily[Date],$A132)</f>
        <v/>
      </c>
      <c r="AN132" s="55">
        <f>IF($B132=$B131,$AN131,0)+$AM132</f>
        <v/>
      </c>
      <c r="AO132" s="55">
        <f>$AO131+$AM132</f>
        <v/>
      </c>
      <c r="AP132" s="55">
        <f>SUMIFS(tblMiningDaily[Dewatering_m3],tblMiningDaily[Date],$A132)</f>
        <v/>
      </c>
      <c r="AQ132" s="55">
        <f>IF($B132=$B131,$AQ131,0)+$AP132</f>
        <v/>
      </c>
      <c r="AR132" s="55">
        <f>$AR131+$AP132</f>
        <v/>
      </c>
      <c r="AS132" s="57">
        <f>SUMIFS(tblFleet[Calendar_h],tblFleet[Date],$A132,tblFleet[Equipment_Class],"Excavator")</f>
        <v/>
      </c>
      <c r="AT132" s="57">
        <f>IF($B132=$B131,$AT131,0)+$AS132</f>
        <v/>
      </c>
      <c r="AU132" s="57">
        <f>$AU131+$AS132</f>
        <v/>
      </c>
      <c r="AV132" s="57">
        <f>SUMIFS(tblFleet[Available_h],tblFleet[Date],$A132,tblFleet[Equipment_Class],"Excavator")</f>
        <v/>
      </c>
      <c r="AW132" s="57">
        <f>IF($B132=$B131,$AW131,0)+$AV132</f>
        <v/>
      </c>
      <c r="AX132" s="57">
        <f>$AX131+$AV132</f>
        <v/>
      </c>
      <c r="AY132" s="57">
        <f>SUMIFS(tblFleet[Operating_h],tblFleet[Date],$A132,tblFleet[Equipment_Class],"Excavator")</f>
        <v/>
      </c>
      <c r="AZ132" s="57">
        <f>IF($B132=$B131,$AZ131,0)+$AY132</f>
        <v/>
      </c>
      <c r="BA132" s="57">
        <f>$BA131+$AY132</f>
        <v/>
      </c>
      <c r="BB132" s="67">
        <f>IFERROR(IF(($AS132)&gt;0,($AV132)/($AS132),""),"")</f>
        <v/>
      </c>
      <c r="BC132" s="67">
        <f>IFERROR(IF(($AT132)&gt;0,($AW132)/($AT132),""),"")</f>
        <v/>
      </c>
      <c r="BD132" s="67">
        <f>IFERROR(IF(($AU132)&gt;0,($AX132)/($AU132),""),"")</f>
        <v/>
      </c>
      <c r="BE132" s="67">
        <f>IFERROR(IF(($AV132)&gt;0,($AY132)/($AV132),""),"")</f>
        <v/>
      </c>
      <c r="BF132" s="67">
        <f>IFERROR(IF(($AW132)&gt;0,($AZ132)/($AW132),""),"")</f>
        <v/>
      </c>
      <c r="BG132" s="67">
        <f>IFERROR(IF(($AX132)&gt;0,($BA132)/($AX132),""),"")</f>
        <v/>
      </c>
      <c r="BH132" s="57">
        <f>SUMIFS(tblFleet[Calendar_h],tblFleet[Date],$A132,tblFleet[Equipment_Class],"Haul Truck")</f>
        <v/>
      </c>
      <c r="BI132" s="57">
        <f>IF($B132=$B131,$BI131,0)+$BH132</f>
        <v/>
      </c>
      <c r="BJ132" s="57">
        <f>$BJ131+$BH132</f>
        <v/>
      </c>
      <c r="BK132" s="57">
        <f>SUMIFS(tblFleet[Available_h],tblFleet[Date],$A132,tblFleet[Equipment_Class],"Haul Truck")</f>
        <v/>
      </c>
      <c r="BL132" s="57">
        <f>IF($B132=$B131,$BL131,0)+$BK132</f>
        <v/>
      </c>
      <c r="BM132" s="57">
        <f>$BM131+$BK132</f>
        <v/>
      </c>
      <c r="BN132" s="57">
        <f>SUMIFS(tblFleet[Operating_h],tblFleet[Date],$A132,tblFleet[Equipment_Class],"Haul Truck")</f>
        <v/>
      </c>
      <c r="BO132" s="57">
        <f>IF($B132=$B131,$BO131,0)+$BN132</f>
        <v/>
      </c>
      <c r="BP132" s="57">
        <f>$BP131+$BN132</f>
        <v/>
      </c>
      <c r="BQ132" s="67">
        <f>IFERROR(IF(($BH132)&gt;0,($BK132)/($BH132),""),"")</f>
        <v/>
      </c>
      <c r="BR132" s="67">
        <f>IFERROR(IF(($BI132)&gt;0,($BL132)/($BI132),""),"")</f>
        <v/>
      </c>
      <c r="BS132" s="67">
        <f>IFERROR(IF(($BJ132)&gt;0,($BM132)/($BJ132),""),"")</f>
        <v/>
      </c>
      <c r="BT132" s="67">
        <f>IFERROR(IF(($BK132)&gt;0,($BN132)/($BK132),""),"")</f>
        <v/>
      </c>
      <c r="BU132" s="67">
        <f>IFERROR(IF(($BL132)&gt;0,($BO132)/($BL132),""),"")</f>
        <v/>
      </c>
      <c r="BV132" s="67">
        <f>IFERROR(IF(($BM132)&gt;0,($BP132)/($BM132),""),"")</f>
        <v/>
      </c>
      <c r="BW132" s="55">
        <f>SUMIFS(tblPlant[Crushed_t],tblPlant[Date],$A132)</f>
        <v/>
      </c>
      <c r="BX132" s="55">
        <f>IF($B132=$B131,$BX131,0)+$BW132</f>
        <v/>
      </c>
      <c r="BY132" s="55">
        <f>$BY131+$BW132</f>
        <v/>
      </c>
      <c r="BZ132" s="55">
        <f>SUMIFS(tblPlant[Milled_t],tblPlant[Date],$A132)</f>
        <v/>
      </c>
      <c r="CA132" s="55">
        <f>IF($B132=$B131,$CA131,0)+$BZ132</f>
        <v/>
      </c>
      <c r="CB132" s="55">
        <f>$CB131+$BZ132</f>
        <v/>
      </c>
      <c r="CC132" s="55">
        <f>SUMIFS(tblPlant[Feed_oz],tblPlant[Date],$A132)</f>
        <v/>
      </c>
      <c r="CD132" s="55">
        <f>IF($B132=$B131,$CD131,0)+$CC132</f>
        <v/>
      </c>
      <c r="CE132" s="55">
        <f>$CE131+$CC132</f>
        <v/>
      </c>
      <c r="CF132" s="55">
        <f>SUMIFS(tblPlant[Tails_oz],tblPlant[Date],$A132)</f>
        <v/>
      </c>
      <c r="CG132" s="55">
        <f>IF($B132=$B131,$CG131,0)+$CF132</f>
        <v/>
      </c>
      <c r="CH132" s="55">
        <f>$CH131+$CF132</f>
        <v/>
      </c>
      <c r="CI132" s="55">
        <f>SUMIFS(tblPlant[Recovered_oz],tblPlant[Date],$A132)</f>
        <v/>
      </c>
      <c r="CJ132" s="55">
        <f>IF($B132=$B131,$CJ131,0)+$CI132</f>
        <v/>
      </c>
      <c r="CK132" s="55">
        <f>$CK131+$CI132</f>
        <v/>
      </c>
      <c r="CL132" s="56">
        <f>IFERROR(IF(($BZ132)&gt;0,($CC132*cfg_TroyOz)/($BZ132),""),"")</f>
        <v/>
      </c>
      <c r="CM132" s="56">
        <f>IFERROR(IF(($CA132)&gt;0,($CD132*cfg_TroyOz)/($CA132),""),"")</f>
        <v/>
      </c>
      <c r="CN132" s="56">
        <f>IFERROR(IF(($CB132)&gt;0,($CE132*cfg_TroyOz)/($CB132),""),"")</f>
        <v/>
      </c>
      <c r="CO132" s="56">
        <f>IFERROR(IF(($BZ132)&gt;0,($CF132*cfg_TroyOz)/($BZ132),""),"")</f>
        <v/>
      </c>
      <c r="CP132" s="56">
        <f>IFERROR(IF(($CA132)&gt;0,($CG132*cfg_TroyOz)/($CA132),""),"")</f>
        <v/>
      </c>
      <c r="CQ132" s="56">
        <f>IFERROR(IF(($CB132)&gt;0,($CH132*cfg_TroyOz)/($CB132),""),"")</f>
        <v/>
      </c>
      <c r="CR132" s="67">
        <f>IFERROR(IF(($CC132)&gt;0,($CI132)/($CC132),""),"")</f>
        <v/>
      </c>
      <c r="CS132" s="67">
        <f>IFERROR(IF(($CD132)&gt;0,($CJ132)/($CD132),""),"")</f>
        <v/>
      </c>
      <c r="CT132" s="67">
        <f>IFERROR(IF(($CE132)&gt;0,($CK132)/($CE132),""),"")</f>
        <v/>
      </c>
      <c r="CU132" s="55">
        <f>SUMIFS(tblPlant[Gravity_Gold_oz],tblPlant[Date],$A132)</f>
        <v/>
      </c>
      <c r="CV132" s="55">
        <f>IF($B132=$B131,$CV131,0)+$CU132</f>
        <v/>
      </c>
      <c r="CW132" s="55">
        <f>$CW131+$CU132</f>
        <v/>
      </c>
      <c r="CX132" s="55">
        <f>SUMIFS(tblPlant[Gold_Poured_oz],tblPlant[Date],$A132)</f>
        <v/>
      </c>
      <c r="CY132" s="55">
        <f>IF($B132=$B131,$CY131,0)+$CX132</f>
        <v/>
      </c>
      <c r="CZ132" s="55">
        <f>$CZ131+$CX132</f>
        <v/>
      </c>
      <c r="DA132" s="57">
        <f>SUMIFS(tblPlant[Mill_Run_h],tblPlant[Date],$A132)</f>
        <v/>
      </c>
      <c r="DB132" s="57">
        <f>IF($B132=$B131,$DB131,0)+$DA132</f>
        <v/>
      </c>
      <c r="DC132" s="57">
        <f>$DC131+$DA132</f>
        <v/>
      </c>
      <c r="DD132" s="57">
        <f>SUMIFS(tblPlant[Mill_Planned_Maint_h],tblPlant[Date],$A132)</f>
        <v/>
      </c>
      <c r="DE132" s="57">
        <f>IF($B132=$B131,$DE131,0)+$DD132</f>
        <v/>
      </c>
      <c r="DF132" s="57">
        <f>$DF131+$DD132</f>
        <v/>
      </c>
      <c r="DG132" s="57">
        <f>SUMIFS(tblPlant[Mill_Unplanned_Down_h],tblPlant[Date],$A132)</f>
        <v/>
      </c>
      <c r="DH132" s="57">
        <f>IF($B132=$B131,$DH131,0)+$DG132</f>
        <v/>
      </c>
      <c r="DI132" s="57">
        <f>$DI131+$DG132</f>
        <v/>
      </c>
      <c r="DJ132" s="57">
        <f>COUNTIFS(tblPlant[Date],$A132,tblPlant[Mill_Run_h],"&lt;&gt;")*24</f>
        <v/>
      </c>
      <c r="DK132" s="57">
        <f>IF($B132=$B131,$DK131,0)+$DJ132</f>
        <v/>
      </c>
      <c r="DL132" s="57">
        <f>$DL131+$DJ132</f>
        <v/>
      </c>
      <c r="DM132" s="57">
        <f>SUMIFS(tblPlant[Crusher_Run_h],tblPlant[Date],$A132)</f>
        <v/>
      </c>
      <c r="DN132" s="57">
        <f>IF($B132=$B131,$DN131,0)+$DM132</f>
        <v/>
      </c>
      <c r="DO132" s="57">
        <f>$DO131+$DM132</f>
        <v/>
      </c>
      <c r="DP132" s="55">
        <f>IFERROR(IF(($DA132)&gt;0,($BZ132)/($DA132),""),"")</f>
        <v/>
      </c>
      <c r="DQ132" s="55">
        <f>IFERROR(IF(($DB132)&gt;0,($CA132)/($DB132),""),"")</f>
        <v/>
      </c>
      <c r="DR132" s="55">
        <f>IFERROR(IF(($DC132)&gt;0,($CB132)/($DC132),""),"")</f>
        <v/>
      </c>
      <c r="DS132" s="67">
        <f>IFERROR(IF(($DJ132)&gt;0,($DJ132-$DD132-$DG132)/($DJ132),""),"")</f>
        <v/>
      </c>
      <c r="DT132" s="67">
        <f>IFERROR(IF(($DK132)&gt;0,($DK132-$DE132-$DH132)/($DK132),""),"")</f>
        <v/>
      </c>
      <c r="DU132" s="67">
        <f>IFERROR(IF(($DL132)&gt;0,($DL132-$DF132-$DI132)/($DL132),""),"")</f>
        <v/>
      </c>
      <c r="DV132" s="67">
        <f>IFERROR(IF(($DJ132-$DD132-$DG132)&gt;0,($DA132)/($DJ132-$DD132-$DG132),""),"")</f>
        <v/>
      </c>
      <c r="DW132" s="67">
        <f>IFERROR(IF(($DK132-$DE132-$DH132)&gt;0,($DB132)/($DK132-$DE132-$DH132),""),"")</f>
        <v/>
      </c>
      <c r="DX132" s="67">
        <f>IFERROR(IF(($DL132-$DF132-$DI132)&gt;0,($DC132)/($DL132-$DF132-$DI132),""),"")</f>
        <v/>
      </c>
      <c r="DY132" s="55">
        <f>SUMIFS(tblPlant[Cyanide_kg],tblPlant[Date],$A132)</f>
        <v/>
      </c>
      <c r="DZ132" s="55">
        <f>IF($B132=$B131,$DZ131,0)+$DY132</f>
        <v/>
      </c>
      <c r="EA132" s="55">
        <f>$EA131+$DY132</f>
        <v/>
      </c>
      <c r="EB132" s="55">
        <f>SUMIFS(tblPlant[Lime_kg],tblPlant[Date],$A132)</f>
        <v/>
      </c>
      <c r="EC132" s="55">
        <f>IF($B132=$B131,$EC131,0)+$EB132</f>
        <v/>
      </c>
      <c r="ED132" s="55">
        <f>$ED131+$EB132</f>
        <v/>
      </c>
      <c r="EE132" s="55">
        <f>SUMIFS(tblPlant[Grinding_Media_kg],tblPlant[Date],$A132)</f>
        <v/>
      </c>
      <c r="EF132" s="55">
        <f>IF($B132=$B131,$EF131,0)+$EE132</f>
        <v/>
      </c>
      <c r="EG132" s="55">
        <f>$EG131+$EE132</f>
        <v/>
      </c>
      <c r="EH132" s="55">
        <f>SUMIFS(tblPlant[Power_kWh],tblPlant[Date],$A132)</f>
        <v/>
      </c>
      <c r="EI132" s="55">
        <f>IF($B132=$B131,$EI131,0)+$EH132</f>
        <v/>
      </c>
      <c r="EJ132" s="55">
        <f>$EJ131+$EH132</f>
        <v/>
      </c>
      <c r="EK132" s="55">
        <f>SUMIFS(tblPlant[Raw_Water_m3],tblPlant[Date],$A132)</f>
        <v/>
      </c>
      <c r="EL132" s="55">
        <f>IF($B132=$B131,$EL131,0)+$EK132</f>
        <v/>
      </c>
      <c r="EM132" s="55">
        <f>$EM131+$EK132</f>
        <v/>
      </c>
      <c r="EN132" s="56">
        <f>IFERROR(IF(($BZ132)&gt;0,($DY132)/($BZ132),""),"")</f>
        <v/>
      </c>
      <c r="EO132" s="56">
        <f>IFERROR(IF(($CA132)&gt;0,($DZ132)/($CA132),""),"")</f>
        <v/>
      </c>
      <c r="EP132" s="56">
        <f>IFERROR(IF(($CB132)&gt;0,($EA132)/($CB132),""),"")</f>
        <v/>
      </c>
      <c r="EQ132" s="56">
        <f>IFERROR(IF(($BZ132)&gt;0,($EB132)/($BZ132),""),"")</f>
        <v/>
      </c>
      <c r="ER132" s="56">
        <f>IFERROR(IF(($CA132)&gt;0,($EC132)/($CA132),""),"")</f>
        <v/>
      </c>
      <c r="ES132" s="56">
        <f>IFERROR(IF(($CB132)&gt;0,($ED132)/($CB132),""),"")</f>
        <v/>
      </c>
      <c r="ET132" s="56">
        <f>IFERROR(IF(($BZ132)&gt;0,($EE132)/($BZ132),""),"")</f>
        <v/>
      </c>
      <c r="EU132" s="56">
        <f>IFERROR(IF(($CA132)&gt;0,($EF132)/($CA132),""),"")</f>
        <v/>
      </c>
      <c r="EV132" s="56">
        <f>IFERROR(IF(($CB132)&gt;0,($EG132)/($CB132),""),"")</f>
        <v/>
      </c>
      <c r="EW132" s="76">
        <f>IFERROR(IF(($BZ132)&gt;0,($EH132)/($BZ132),""),"")</f>
        <v/>
      </c>
      <c r="EX132" s="76">
        <f>IFERROR(IF(($CA132)&gt;0,($EI132)/($CA132),""),"")</f>
        <v/>
      </c>
      <c r="EY132" s="76">
        <f>IFERROR(IF(($CB132)&gt;0,($EJ132)/($CB132),""),"")</f>
        <v/>
      </c>
      <c r="EZ132" s="56">
        <f>IFERROR(IF(($BZ132)&gt;0,($EK132)/($BZ132),""),"")</f>
        <v/>
      </c>
      <c r="FA132" s="56">
        <f>IFERROR(IF(($CA132)&gt;0,($EL132)/($CA132),""),"")</f>
        <v/>
      </c>
      <c r="FB132" s="56">
        <f>IFERROR(IF(($CB132)&gt;0,($EM132)/($CB132),""),"")</f>
        <v/>
      </c>
      <c r="FC132" s="55">
        <f>IF(SUMIFS(tblPlant[GIC_oz],tblPlant[Date],$A132)&gt;0,SUMIFS(tblPlant[GIC_oz],tblPlant[Date],$A132),"")</f>
        <v/>
      </c>
      <c r="FD132" s="55">
        <f>SUMIFS(tblGold[Gold_oz],tblGold[Date],$A132,tblGold[Type],"Shipment")</f>
        <v/>
      </c>
      <c r="FE132" s="55">
        <f>IF($B132=$B131,$FE131,0)+$FD132</f>
        <v/>
      </c>
      <c r="FF132" s="55">
        <f>$FF131+$FD132</f>
        <v/>
      </c>
      <c r="FG132" s="55">
        <f>SUMIFS(tblGold[Gold_oz],tblGold[Date],$A132,tblGold[Type],"Sale")</f>
        <v/>
      </c>
      <c r="FH132" s="55">
        <f>IF($B132=$B131,$FH131,0)+$FG132</f>
        <v/>
      </c>
      <c r="FI132" s="55">
        <f>$FI131+$FG132</f>
        <v/>
      </c>
      <c r="FJ132" s="55">
        <f>SUMIFS(tblGold[Dore_kg],tblGold[Date],$A132,tblGold[Type],"Shipment")</f>
        <v/>
      </c>
      <c r="FK132" s="55">
        <f>IF($B132=$B131,$FK131,0)+$FJ132</f>
        <v/>
      </c>
      <c r="FL132" s="55">
        <f>$FL131+$FJ132</f>
        <v/>
      </c>
      <c r="FM132" s="57">
        <f>SUMIFS(tblSafety[Hours_Total],tblSafety[Date],$A132)</f>
        <v/>
      </c>
      <c r="FN132" s="57">
        <f>IF($B132=$B131,$FN131,0)+$FM132</f>
        <v/>
      </c>
      <c r="FO132" s="57">
        <f>$FO131+$FM132</f>
        <v/>
      </c>
      <c r="FP132" s="62">
        <f>SUMIFS(tblSafety[Fatality],tblSafety[Date],$A132)</f>
        <v/>
      </c>
      <c r="FQ132" s="62">
        <f>IF($B132=$B131,$FQ131,0)+$FP132</f>
        <v/>
      </c>
      <c r="FR132" s="62">
        <f>$FR131+$FP132</f>
        <v/>
      </c>
      <c r="FS132" s="62">
        <f>SUMIFS(tblSafety[LTI],tblSafety[Date],$A132)</f>
        <v/>
      </c>
      <c r="FT132" s="62">
        <f>IF($B132=$B131,$FT131,0)+$FS132</f>
        <v/>
      </c>
      <c r="FU132" s="62">
        <f>$FU131+$FS132</f>
        <v/>
      </c>
      <c r="FV132" s="62">
        <f>SUMIFS(tblSafety[RWI],tblSafety[Date],$A132)</f>
        <v/>
      </c>
      <c r="FW132" s="62">
        <f>IF($B132=$B131,$FW131,0)+$FV132</f>
        <v/>
      </c>
      <c r="FX132" s="62">
        <f>$FX131+$FV132</f>
        <v/>
      </c>
      <c r="FY132" s="62">
        <f>SUMIFS(tblSafety[MTI],tblSafety[Date],$A132)</f>
        <v/>
      </c>
      <c r="FZ132" s="62">
        <f>IF($B132=$B131,$FZ131,0)+$FY132</f>
        <v/>
      </c>
      <c r="GA132" s="62">
        <f>$GA131+$FY132</f>
        <v/>
      </c>
      <c r="GB132" s="62">
        <f>SUMIFS(tblSafety[FAI],tblSafety[Date],$A132)</f>
        <v/>
      </c>
      <c r="GC132" s="62">
        <f>IF($B132=$B131,$GC131,0)+$GB132</f>
        <v/>
      </c>
      <c r="GD132" s="62">
        <f>$GD131+$GB132</f>
        <v/>
      </c>
      <c r="GE132" s="62">
        <f>SUMIFS(tblSafety[Recordables],tblSafety[Date],$A132)</f>
        <v/>
      </c>
      <c r="GF132" s="62">
        <f>IF($B132=$B131,$GF131,0)+$GE132</f>
        <v/>
      </c>
      <c r="GG132" s="62">
        <f>$GG131+$GE132</f>
        <v/>
      </c>
      <c r="GH132" s="62">
        <f>SUMIFS(tblSafety[Near_Miss],tblSafety[Date],$A132)</f>
        <v/>
      </c>
      <c r="GI132" s="62">
        <f>IF($B132=$B131,$GI131,0)+$GH132</f>
        <v/>
      </c>
      <c r="GJ132" s="62">
        <f>$GJ131+$GH132</f>
        <v/>
      </c>
      <c r="GK132" s="62">
        <f>SUMIFS(tblSafety[Hazard_Reports],tblSafety[Date],$A132)</f>
        <v/>
      </c>
      <c r="GL132" s="62">
        <f>IF($B132=$B131,$GL131,0)+$GK132</f>
        <v/>
      </c>
      <c r="GM132" s="62">
        <f>$GM131+$GK132</f>
        <v/>
      </c>
      <c r="GN132" s="62">
        <f>SUMIFS(tblSafety[HPI],tblSafety[Date],$A132)</f>
        <v/>
      </c>
      <c r="GO132" s="62">
        <f>IF($B132=$B131,$GO131,0)+$GN132</f>
        <v/>
      </c>
      <c r="GP132" s="62">
        <f>$GP131+$GN132</f>
        <v/>
      </c>
      <c r="GQ132" s="62">
        <f>SUMIFS(tblSafety[Env_Incidents],tblSafety[Date],$A132)</f>
        <v/>
      </c>
      <c r="GR132" s="62">
        <f>IF($B132=$B131,$GR131,0)+$GQ132</f>
        <v/>
      </c>
      <c r="GS132" s="62">
        <f>$GS131+$GQ132</f>
        <v/>
      </c>
      <c r="GT132" s="62">
        <f>SUMIFS(tblSafety[Community_Incidents],tblSafety[Date],$A132)</f>
        <v/>
      </c>
      <c r="GU132" s="62">
        <f>IF($B132=$B131,$GU131,0)+$GT132</f>
        <v/>
      </c>
      <c r="GV132" s="62">
        <f>$GV131+$GT132</f>
        <v/>
      </c>
      <c r="GW132" s="62">
        <f>SUMIFS(tblSafety[Vehicle_Incidents],tblSafety[Date],$A132)</f>
        <v/>
      </c>
      <c r="GX132" s="62">
        <f>IF($B132=$B131,$GX131,0)+$GW132</f>
        <v/>
      </c>
      <c r="GY132" s="62">
        <f>$GY131+$GW132</f>
        <v/>
      </c>
      <c r="GZ132" s="62">
        <f>SUMIFS(tblSafety[Toolbox_Talks],tblSafety[Date],$A132)</f>
        <v/>
      </c>
      <c r="HA132" s="62">
        <f>IF($B132=$B131,$HA131,0)+$GZ132</f>
        <v/>
      </c>
      <c r="HB132" s="62">
        <f>$HB131+$GZ132</f>
        <v/>
      </c>
      <c r="HC132" s="62">
        <f>SUMIFS(tblSafety[Inspections],tblSafety[Date],$A132)</f>
        <v/>
      </c>
      <c r="HD132" s="62">
        <f>IF($B132=$B131,$HD131,0)+$HC132</f>
        <v/>
      </c>
      <c r="HE132" s="62">
        <f>$HE131+$HC132</f>
        <v/>
      </c>
      <c r="HF132" s="56">
        <f>IFERROR((SUMIFS(tblSafety[Recordables],tblSafety[Date],"&gt;="&amp;EDATE($E132,-12),tblSafety[Date],"&lt;="&amp;$A132)+SUMIFS(tblSafetyHistory[Recordables],tblSafetyHistory[Month],"&gt;="&amp;EDATE($E132,-12),tblSafetyHistory[Month],"&lt;"&amp;cfg_YearStart))/(SUMIFS(tblSafety[Hours_Total],tblSafety[Date],"&gt;="&amp;EDATE($E132,-12),tblSafety[Date],"&lt;="&amp;$A132)+SUMIFS(tblSafetyHistory[Hours_Total],tblSafetyHistory[Month],"&gt;="&amp;EDATE($E132,-12),tblSafetyHistory[Month],"&lt;"&amp;cfg_YearStart))*1000000,"")</f>
        <v/>
      </c>
      <c r="HG132" s="56">
        <f>IFERROR((SUMIFS(tblSafety[LTI],tblSafety[Date],"&gt;="&amp;EDATE($E132,-12),tblSafety[Date],"&lt;="&amp;$A132)+SUMIFS(tblSafetyHistory[LTI],tblSafetyHistory[Month],"&gt;="&amp;EDATE($E132,-12),tblSafetyHistory[Month],"&lt;"&amp;cfg_YearStart))/(SUMIFS(tblSafety[Hours_Total],tblSafety[Date],"&gt;="&amp;EDATE($E132,-12),tblSafety[Date],"&lt;="&amp;$A132)+SUMIFS(tblSafetyHistory[Hours_Total],tblSafetyHistory[Month],"&gt;="&amp;EDATE($E132,-12),tblSafetyHistory[Month],"&lt;"&amp;cfg_YearStart))*1000000,"")</f>
        <v/>
      </c>
      <c r="HH132" s="62">
        <f>IF(MAX(N(cfg_PriorLTIDate),_xlfn.MAXIFS(tblSafety[Date],tblSafety[LTI],"&gt;0",tblSafety[Date],"&lt;="&amp;$A132))=0,"",$A132-MAX(N(cfg_PriorLTIDate),_xlfn.MAXIFS(tblSafety[Date],tblSafety[LTI],"&gt;0",tblSafety[Date],"&lt;="&amp;$A132)))</f>
        <v/>
      </c>
      <c r="HI132" s="55">
        <f>SUMIFS(tblBudget[Ore_Mined_t],tblBudget[Month],$E132)</f>
        <v/>
      </c>
      <c r="HJ132" s="55">
        <f>$HI132*$C132/$D132</f>
        <v/>
      </c>
      <c r="HK132" s="55">
        <f>SUMIFS(tblBudget[Ore_Mined_t],tblBudget[Month],"&lt;"&amp;$E132)+$HJ132</f>
        <v/>
      </c>
      <c r="HL132" s="55">
        <f>SUMIFS(tblBudget[Ore_oz],tblBudget[Month],$E132)</f>
        <v/>
      </c>
      <c r="HM132" s="55">
        <f>$HL132*$C132/$D132</f>
        <v/>
      </c>
      <c r="HN132" s="55">
        <f>SUMIFS(tblBudget[Ore_oz],tblBudget[Month],"&lt;"&amp;$E132)+$HM132</f>
        <v/>
      </c>
      <c r="HO132" s="56">
        <f>IFERROR(IF(($HI132)&gt;0,($HL132*cfg_TroyOz)/($HI132),""),"")</f>
        <v/>
      </c>
      <c r="HP132" s="56">
        <f>IFERROR(IF(($HJ132)&gt;0,($HM132*cfg_TroyOz)/($HJ132),""),"")</f>
        <v/>
      </c>
      <c r="HQ132" s="56">
        <f>IFERROR(IF(($HK132)&gt;0,($HN132*cfg_TroyOz)/($HK132),""),"")</f>
        <v/>
      </c>
      <c r="HR132" s="55">
        <f>SUMIFS(tblBudget[Waste_t],tblBudget[Month],$E132)</f>
        <v/>
      </c>
      <c r="HS132" s="55">
        <f>$HR132*$C132/$D132</f>
        <v/>
      </c>
      <c r="HT132" s="55">
        <f>SUMIFS(tblBudget[Waste_t],tblBudget[Month],"&lt;"&amp;$E132)+$HS132</f>
        <v/>
      </c>
      <c r="HU132" s="55">
        <f>SUMIFS(tblBudget[TMM_t],tblBudget[Month],$E132)</f>
        <v/>
      </c>
      <c r="HV132" s="55">
        <f>$HU132*$C132/$D132</f>
        <v/>
      </c>
      <c r="HW132" s="55">
        <f>SUMIFS(tblBudget[TMM_t],tblBudget[Month],"&lt;"&amp;$E132)+$HV132</f>
        <v/>
      </c>
      <c r="HX132" s="56">
        <f>IFERROR(IF(($HI132)&gt;0,($HR132)/($HI132),""),"")</f>
        <v/>
      </c>
      <c r="HY132" s="56">
        <f>IFERROR(IF(($HJ132)&gt;0,($HS132)/($HJ132),""),"")</f>
        <v/>
      </c>
      <c r="HZ132" s="56">
        <f>IFERROR(IF(($HK132)&gt;0,($HT132)/($HK132),""),"")</f>
        <v/>
      </c>
      <c r="IA132" s="55">
        <f>SUMIFS(tblBudget[Drill_m],tblBudget[Month],$E132)</f>
        <v/>
      </c>
      <c r="IB132" s="55">
        <f>$IA132*$C132/$D132</f>
        <v/>
      </c>
      <c r="IC132" s="55">
        <f>SUMIFS(tblBudget[Drill_m],tblBudget[Month],"&lt;"&amp;$E132)+$IB132</f>
        <v/>
      </c>
      <c r="ID132" s="55">
        <f>SUMIFS(tblBudget[Diesel_L],tblBudget[Month],$E132)</f>
        <v/>
      </c>
      <c r="IE132" s="55">
        <f>$ID132*$C132/$D132</f>
        <v/>
      </c>
      <c r="IF132" s="55">
        <f>SUMIFS(tblBudget[Diesel_L],tblBudget[Month],"&lt;"&amp;$E132)+$IE132</f>
        <v/>
      </c>
      <c r="IG132" s="55">
        <f>SUMIFS(tblBudget[Milled_t],tblBudget[Month],$E132)</f>
        <v/>
      </c>
      <c r="IH132" s="55">
        <f>$IG132*$C132/$D132</f>
        <v/>
      </c>
      <c r="II132" s="55">
        <f>SUMIFS(tblBudget[Milled_t],tblBudget[Month],"&lt;"&amp;$E132)+$IH132</f>
        <v/>
      </c>
      <c r="IJ132" s="55">
        <f>SUMIFS(tblBudget[Feed_oz],tblBudget[Month],$E132)</f>
        <v/>
      </c>
      <c r="IK132" s="55">
        <f>$IJ132*$C132/$D132</f>
        <v/>
      </c>
      <c r="IL132" s="55">
        <f>SUMIFS(tblBudget[Feed_oz],tblBudget[Month],"&lt;"&amp;$E132)+$IK132</f>
        <v/>
      </c>
      <c r="IM132" s="55">
        <f>SUMIFS(tblBudget[Recovered_oz],tblBudget[Month],$E132)</f>
        <v/>
      </c>
      <c r="IN132" s="55">
        <f>$IM132*$C132/$D132</f>
        <v/>
      </c>
      <c r="IO132" s="55">
        <f>SUMIFS(tblBudget[Recovered_oz],tblBudget[Month],"&lt;"&amp;$E132)+$IN132</f>
        <v/>
      </c>
      <c r="IP132" s="56">
        <f>IFERROR(IF(($IG132)&gt;0,($IJ132*cfg_TroyOz)/($IG132),""),"")</f>
        <v/>
      </c>
      <c r="IQ132" s="56">
        <f>IFERROR(IF(($IH132)&gt;0,($IK132*cfg_TroyOz)/($IH132),""),"")</f>
        <v/>
      </c>
      <c r="IR132" s="56">
        <f>IFERROR(IF(($II132)&gt;0,($IL132*cfg_TroyOz)/($II132),""),"")</f>
        <v/>
      </c>
      <c r="IS132" s="67">
        <f>IFERROR(IF(($IJ132)&gt;0,($IM132)/($IJ132),""),"")</f>
        <v/>
      </c>
      <c r="IT132" s="67">
        <f>IFERROR(IF(($IK132)&gt;0,($IN132)/($IK132),""),"")</f>
        <v/>
      </c>
      <c r="IU132" s="67">
        <f>IFERROR(IF(($IL132)&gt;0,($IO132)/($IL132),""),"")</f>
        <v/>
      </c>
      <c r="IV132" s="55">
        <f>SUMIFS(tblBudget[Gold_Poured_oz],tblBudget[Month],$E132)</f>
        <v/>
      </c>
      <c r="IW132" s="55">
        <f>$IV132*$C132/$D132</f>
        <v/>
      </c>
      <c r="IX132" s="55">
        <f>SUMIFS(tblBudget[Gold_Poured_oz],tblBudget[Month],"&lt;"&amp;$E132)+$IW132</f>
        <v/>
      </c>
      <c r="IY132" s="57">
        <f>SUMIFS(tblBudget[Hours_Worked],tblBudget[Month],$E132)</f>
        <v/>
      </c>
      <c r="IZ132" s="57">
        <f>$IY132*$C132/$D132</f>
        <v/>
      </c>
      <c r="JA132" s="57">
        <f>SUMIFS(tblBudget[Hours_Worked],tblBudget[Month],"&lt;"&amp;$E132)+$IZ132</f>
        <v/>
      </c>
    </row>
    <row r="133">
      <c r="A133" s="54" t="n">
        <v>46154</v>
      </c>
      <c r="B133">
        <f>MONTH($A133)</f>
        <v/>
      </c>
      <c r="C133">
        <f>DAY($A133)</f>
        <v/>
      </c>
      <c r="D133">
        <f>DAY(EOMONTH($A133,0))</f>
        <v/>
      </c>
      <c r="E133" s="54">
        <f>DATE(YEAR($A133),MONTH($A133),1)</f>
        <v/>
      </c>
      <c r="F133" s="55">
        <f>SUMIFS(tblMovement[Tonnes_t],tblMovement[Date],$A133,tblMovement[Is_Ore],1,tblMovement[Source_Type],"Pit")</f>
        <v/>
      </c>
      <c r="G133" s="55">
        <f>IF($B133=$B132,$G132,0)+$F133</f>
        <v/>
      </c>
      <c r="H133" s="55">
        <f>$H132+$F133</f>
        <v/>
      </c>
      <c r="I133" s="55">
        <f>SUMIFS(tblMovement[Ore_oz],tblMovement[Date],$A133,tblMovement[Source_Type],"Pit")</f>
        <v/>
      </c>
      <c r="J133" s="55">
        <f>IF($B133=$B132,$J132,0)+$I133</f>
        <v/>
      </c>
      <c r="K133" s="55">
        <f>$K132+$I133</f>
        <v/>
      </c>
      <c r="L133" s="56">
        <f>IFERROR(IF(($F133)&gt;0,($I133*cfg_TroyOz)/($F133),""),"")</f>
        <v/>
      </c>
      <c r="M133" s="56">
        <f>IFERROR(IF(($G133)&gt;0,($J133*cfg_TroyOz)/($G133),""),"")</f>
        <v/>
      </c>
      <c r="N133" s="56">
        <f>IFERROR(IF(($H133)&gt;0,($K133*cfg_TroyOz)/($H133),""),"")</f>
        <v/>
      </c>
      <c r="O133" s="55">
        <f>SUMIFS(tblMovement[Tonnes_t],tblMovement[Date],$A133,tblMovement[Is_Ore],0,tblMovement[Source_Type],"Pit")</f>
        <v/>
      </c>
      <c r="P133" s="55">
        <f>IF($B133=$B132,$P132,0)+$O133</f>
        <v/>
      </c>
      <c r="Q133" s="55">
        <f>$Q132+$O133</f>
        <v/>
      </c>
      <c r="R133" s="55">
        <f>$F133+$O133</f>
        <v/>
      </c>
      <c r="S133" s="55">
        <f>IF($B133=$B132,$S132,0)+$R133</f>
        <v/>
      </c>
      <c r="T133" s="55">
        <f>$T132+$R133</f>
        <v/>
      </c>
      <c r="U133" s="56">
        <f>IFERROR(IF(($F133)&gt;0,($O133)/($F133),""),"")</f>
        <v/>
      </c>
      <c r="V133" s="56">
        <f>IFERROR(IF(($G133)&gt;0,($P133)/($G133),""),"")</f>
        <v/>
      </c>
      <c r="W133" s="56">
        <f>IFERROR(IF(($H133)&gt;0,($Q133)/($H133),""),"")</f>
        <v/>
      </c>
      <c r="X133" s="55">
        <f>SUMIFS(tblMovement[Tonnes_t],tblMovement[Date],$A133,tblMovement[Source_Type],"Stockpile")</f>
        <v/>
      </c>
      <c r="Y133" s="55">
        <f>IF($B133=$B132,$Y132,0)+$X133</f>
        <v/>
      </c>
      <c r="Z133" s="55">
        <f>$Z132+$X133</f>
        <v/>
      </c>
      <c r="AA133" s="55">
        <f>SUMIFS(tblMiningDaily[Drill_m],tblMiningDaily[Date],$A133)</f>
        <v/>
      </c>
      <c r="AB133" s="55">
        <f>IF($B133=$B132,$AB132,0)+$AA133</f>
        <v/>
      </c>
      <c r="AC133" s="55">
        <f>$AC132+$AA133</f>
        <v/>
      </c>
      <c r="AD133" s="55">
        <f>SUMIFS(tblMiningDaily[Blast_t],tblMiningDaily[Date],$A133)</f>
        <v/>
      </c>
      <c r="AE133" s="55">
        <f>IF($B133=$B132,$AE132,0)+$AD133</f>
        <v/>
      </c>
      <c r="AF133" s="55">
        <f>$AF132+$AD133</f>
        <v/>
      </c>
      <c r="AG133" s="55">
        <f>SUMIFS(tblMiningDaily[Explosives_kg],tblMiningDaily[Date],$A133)</f>
        <v/>
      </c>
      <c r="AH133" s="55">
        <f>IF($B133=$B132,$AH132,0)+$AG133</f>
        <v/>
      </c>
      <c r="AI133" s="55">
        <f>$AI132+$AG133</f>
        <v/>
      </c>
      <c r="AJ133" s="56">
        <f>IFERROR(IF(($AD133)&gt;0,($AG133)/($AD133),""),"")</f>
        <v/>
      </c>
      <c r="AK133" s="56">
        <f>IFERROR(IF(($AE133)&gt;0,($AH133)/($AE133),""),"")</f>
        <v/>
      </c>
      <c r="AL133" s="56">
        <f>IFERROR(IF(($AF133)&gt;0,($AI133)/($AF133),""),"")</f>
        <v/>
      </c>
      <c r="AM133" s="55">
        <f>SUMIFS(tblMiningDaily[Diesel_L],tblMiningDaily[Date],$A133)</f>
        <v/>
      </c>
      <c r="AN133" s="55">
        <f>IF($B133=$B132,$AN132,0)+$AM133</f>
        <v/>
      </c>
      <c r="AO133" s="55">
        <f>$AO132+$AM133</f>
        <v/>
      </c>
      <c r="AP133" s="55">
        <f>SUMIFS(tblMiningDaily[Dewatering_m3],tblMiningDaily[Date],$A133)</f>
        <v/>
      </c>
      <c r="AQ133" s="55">
        <f>IF($B133=$B132,$AQ132,0)+$AP133</f>
        <v/>
      </c>
      <c r="AR133" s="55">
        <f>$AR132+$AP133</f>
        <v/>
      </c>
      <c r="AS133" s="57">
        <f>SUMIFS(tblFleet[Calendar_h],tblFleet[Date],$A133,tblFleet[Equipment_Class],"Excavator")</f>
        <v/>
      </c>
      <c r="AT133" s="57">
        <f>IF($B133=$B132,$AT132,0)+$AS133</f>
        <v/>
      </c>
      <c r="AU133" s="57">
        <f>$AU132+$AS133</f>
        <v/>
      </c>
      <c r="AV133" s="57">
        <f>SUMIFS(tblFleet[Available_h],tblFleet[Date],$A133,tblFleet[Equipment_Class],"Excavator")</f>
        <v/>
      </c>
      <c r="AW133" s="57">
        <f>IF($B133=$B132,$AW132,0)+$AV133</f>
        <v/>
      </c>
      <c r="AX133" s="57">
        <f>$AX132+$AV133</f>
        <v/>
      </c>
      <c r="AY133" s="57">
        <f>SUMIFS(tblFleet[Operating_h],tblFleet[Date],$A133,tblFleet[Equipment_Class],"Excavator")</f>
        <v/>
      </c>
      <c r="AZ133" s="57">
        <f>IF($B133=$B132,$AZ132,0)+$AY133</f>
        <v/>
      </c>
      <c r="BA133" s="57">
        <f>$BA132+$AY133</f>
        <v/>
      </c>
      <c r="BB133" s="67">
        <f>IFERROR(IF(($AS133)&gt;0,($AV133)/($AS133),""),"")</f>
        <v/>
      </c>
      <c r="BC133" s="67">
        <f>IFERROR(IF(($AT133)&gt;0,($AW133)/($AT133),""),"")</f>
        <v/>
      </c>
      <c r="BD133" s="67">
        <f>IFERROR(IF(($AU133)&gt;0,($AX133)/($AU133),""),"")</f>
        <v/>
      </c>
      <c r="BE133" s="67">
        <f>IFERROR(IF(($AV133)&gt;0,($AY133)/($AV133),""),"")</f>
        <v/>
      </c>
      <c r="BF133" s="67">
        <f>IFERROR(IF(($AW133)&gt;0,($AZ133)/($AW133),""),"")</f>
        <v/>
      </c>
      <c r="BG133" s="67">
        <f>IFERROR(IF(($AX133)&gt;0,($BA133)/($AX133),""),"")</f>
        <v/>
      </c>
      <c r="BH133" s="57">
        <f>SUMIFS(tblFleet[Calendar_h],tblFleet[Date],$A133,tblFleet[Equipment_Class],"Haul Truck")</f>
        <v/>
      </c>
      <c r="BI133" s="57">
        <f>IF($B133=$B132,$BI132,0)+$BH133</f>
        <v/>
      </c>
      <c r="BJ133" s="57">
        <f>$BJ132+$BH133</f>
        <v/>
      </c>
      <c r="BK133" s="57">
        <f>SUMIFS(tblFleet[Available_h],tblFleet[Date],$A133,tblFleet[Equipment_Class],"Haul Truck")</f>
        <v/>
      </c>
      <c r="BL133" s="57">
        <f>IF($B133=$B132,$BL132,0)+$BK133</f>
        <v/>
      </c>
      <c r="BM133" s="57">
        <f>$BM132+$BK133</f>
        <v/>
      </c>
      <c r="BN133" s="57">
        <f>SUMIFS(tblFleet[Operating_h],tblFleet[Date],$A133,tblFleet[Equipment_Class],"Haul Truck")</f>
        <v/>
      </c>
      <c r="BO133" s="57">
        <f>IF($B133=$B132,$BO132,0)+$BN133</f>
        <v/>
      </c>
      <c r="BP133" s="57">
        <f>$BP132+$BN133</f>
        <v/>
      </c>
      <c r="BQ133" s="67">
        <f>IFERROR(IF(($BH133)&gt;0,($BK133)/($BH133),""),"")</f>
        <v/>
      </c>
      <c r="BR133" s="67">
        <f>IFERROR(IF(($BI133)&gt;0,($BL133)/($BI133),""),"")</f>
        <v/>
      </c>
      <c r="BS133" s="67">
        <f>IFERROR(IF(($BJ133)&gt;0,($BM133)/($BJ133),""),"")</f>
        <v/>
      </c>
      <c r="BT133" s="67">
        <f>IFERROR(IF(($BK133)&gt;0,($BN133)/($BK133),""),"")</f>
        <v/>
      </c>
      <c r="BU133" s="67">
        <f>IFERROR(IF(($BL133)&gt;0,($BO133)/($BL133),""),"")</f>
        <v/>
      </c>
      <c r="BV133" s="67">
        <f>IFERROR(IF(($BM133)&gt;0,($BP133)/($BM133),""),"")</f>
        <v/>
      </c>
      <c r="BW133" s="55">
        <f>SUMIFS(tblPlant[Crushed_t],tblPlant[Date],$A133)</f>
        <v/>
      </c>
      <c r="BX133" s="55">
        <f>IF($B133=$B132,$BX132,0)+$BW133</f>
        <v/>
      </c>
      <c r="BY133" s="55">
        <f>$BY132+$BW133</f>
        <v/>
      </c>
      <c r="BZ133" s="55">
        <f>SUMIFS(tblPlant[Milled_t],tblPlant[Date],$A133)</f>
        <v/>
      </c>
      <c r="CA133" s="55">
        <f>IF($B133=$B132,$CA132,0)+$BZ133</f>
        <v/>
      </c>
      <c r="CB133" s="55">
        <f>$CB132+$BZ133</f>
        <v/>
      </c>
      <c r="CC133" s="55">
        <f>SUMIFS(tblPlant[Feed_oz],tblPlant[Date],$A133)</f>
        <v/>
      </c>
      <c r="CD133" s="55">
        <f>IF($B133=$B132,$CD132,0)+$CC133</f>
        <v/>
      </c>
      <c r="CE133" s="55">
        <f>$CE132+$CC133</f>
        <v/>
      </c>
      <c r="CF133" s="55">
        <f>SUMIFS(tblPlant[Tails_oz],tblPlant[Date],$A133)</f>
        <v/>
      </c>
      <c r="CG133" s="55">
        <f>IF($B133=$B132,$CG132,0)+$CF133</f>
        <v/>
      </c>
      <c r="CH133" s="55">
        <f>$CH132+$CF133</f>
        <v/>
      </c>
      <c r="CI133" s="55">
        <f>SUMIFS(tblPlant[Recovered_oz],tblPlant[Date],$A133)</f>
        <v/>
      </c>
      <c r="CJ133" s="55">
        <f>IF($B133=$B132,$CJ132,0)+$CI133</f>
        <v/>
      </c>
      <c r="CK133" s="55">
        <f>$CK132+$CI133</f>
        <v/>
      </c>
      <c r="CL133" s="56">
        <f>IFERROR(IF(($BZ133)&gt;0,($CC133*cfg_TroyOz)/($BZ133),""),"")</f>
        <v/>
      </c>
      <c r="CM133" s="56">
        <f>IFERROR(IF(($CA133)&gt;0,($CD133*cfg_TroyOz)/($CA133),""),"")</f>
        <v/>
      </c>
      <c r="CN133" s="56">
        <f>IFERROR(IF(($CB133)&gt;0,($CE133*cfg_TroyOz)/($CB133),""),"")</f>
        <v/>
      </c>
      <c r="CO133" s="56">
        <f>IFERROR(IF(($BZ133)&gt;0,($CF133*cfg_TroyOz)/($BZ133),""),"")</f>
        <v/>
      </c>
      <c r="CP133" s="56">
        <f>IFERROR(IF(($CA133)&gt;0,($CG133*cfg_TroyOz)/($CA133),""),"")</f>
        <v/>
      </c>
      <c r="CQ133" s="56">
        <f>IFERROR(IF(($CB133)&gt;0,($CH133*cfg_TroyOz)/($CB133),""),"")</f>
        <v/>
      </c>
      <c r="CR133" s="67">
        <f>IFERROR(IF(($CC133)&gt;0,($CI133)/($CC133),""),"")</f>
        <v/>
      </c>
      <c r="CS133" s="67">
        <f>IFERROR(IF(($CD133)&gt;0,($CJ133)/($CD133),""),"")</f>
        <v/>
      </c>
      <c r="CT133" s="67">
        <f>IFERROR(IF(($CE133)&gt;0,($CK133)/($CE133),""),"")</f>
        <v/>
      </c>
      <c r="CU133" s="55">
        <f>SUMIFS(tblPlant[Gravity_Gold_oz],tblPlant[Date],$A133)</f>
        <v/>
      </c>
      <c r="CV133" s="55">
        <f>IF($B133=$B132,$CV132,0)+$CU133</f>
        <v/>
      </c>
      <c r="CW133" s="55">
        <f>$CW132+$CU133</f>
        <v/>
      </c>
      <c r="CX133" s="55">
        <f>SUMIFS(tblPlant[Gold_Poured_oz],tblPlant[Date],$A133)</f>
        <v/>
      </c>
      <c r="CY133" s="55">
        <f>IF($B133=$B132,$CY132,0)+$CX133</f>
        <v/>
      </c>
      <c r="CZ133" s="55">
        <f>$CZ132+$CX133</f>
        <v/>
      </c>
      <c r="DA133" s="57">
        <f>SUMIFS(tblPlant[Mill_Run_h],tblPlant[Date],$A133)</f>
        <v/>
      </c>
      <c r="DB133" s="57">
        <f>IF($B133=$B132,$DB132,0)+$DA133</f>
        <v/>
      </c>
      <c r="DC133" s="57">
        <f>$DC132+$DA133</f>
        <v/>
      </c>
      <c r="DD133" s="57">
        <f>SUMIFS(tblPlant[Mill_Planned_Maint_h],tblPlant[Date],$A133)</f>
        <v/>
      </c>
      <c r="DE133" s="57">
        <f>IF($B133=$B132,$DE132,0)+$DD133</f>
        <v/>
      </c>
      <c r="DF133" s="57">
        <f>$DF132+$DD133</f>
        <v/>
      </c>
      <c r="DG133" s="57">
        <f>SUMIFS(tblPlant[Mill_Unplanned_Down_h],tblPlant[Date],$A133)</f>
        <v/>
      </c>
      <c r="DH133" s="57">
        <f>IF($B133=$B132,$DH132,0)+$DG133</f>
        <v/>
      </c>
      <c r="DI133" s="57">
        <f>$DI132+$DG133</f>
        <v/>
      </c>
      <c r="DJ133" s="57">
        <f>COUNTIFS(tblPlant[Date],$A133,tblPlant[Mill_Run_h],"&lt;&gt;")*24</f>
        <v/>
      </c>
      <c r="DK133" s="57">
        <f>IF($B133=$B132,$DK132,0)+$DJ133</f>
        <v/>
      </c>
      <c r="DL133" s="57">
        <f>$DL132+$DJ133</f>
        <v/>
      </c>
      <c r="DM133" s="57">
        <f>SUMIFS(tblPlant[Crusher_Run_h],tblPlant[Date],$A133)</f>
        <v/>
      </c>
      <c r="DN133" s="57">
        <f>IF($B133=$B132,$DN132,0)+$DM133</f>
        <v/>
      </c>
      <c r="DO133" s="57">
        <f>$DO132+$DM133</f>
        <v/>
      </c>
      <c r="DP133" s="55">
        <f>IFERROR(IF(($DA133)&gt;0,($BZ133)/($DA133),""),"")</f>
        <v/>
      </c>
      <c r="DQ133" s="55">
        <f>IFERROR(IF(($DB133)&gt;0,($CA133)/($DB133),""),"")</f>
        <v/>
      </c>
      <c r="DR133" s="55">
        <f>IFERROR(IF(($DC133)&gt;0,($CB133)/($DC133),""),"")</f>
        <v/>
      </c>
      <c r="DS133" s="67">
        <f>IFERROR(IF(($DJ133)&gt;0,($DJ133-$DD133-$DG133)/($DJ133),""),"")</f>
        <v/>
      </c>
      <c r="DT133" s="67">
        <f>IFERROR(IF(($DK133)&gt;0,($DK133-$DE133-$DH133)/($DK133),""),"")</f>
        <v/>
      </c>
      <c r="DU133" s="67">
        <f>IFERROR(IF(($DL133)&gt;0,($DL133-$DF133-$DI133)/($DL133),""),"")</f>
        <v/>
      </c>
      <c r="DV133" s="67">
        <f>IFERROR(IF(($DJ133-$DD133-$DG133)&gt;0,($DA133)/($DJ133-$DD133-$DG133),""),"")</f>
        <v/>
      </c>
      <c r="DW133" s="67">
        <f>IFERROR(IF(($DK133-$DE133-$DH133)&gt;0,($DB133)/($DK133-$DE133-$DH133),""),"")</f>
        <v/>
      </c>
      <c r="DX133" s="67">
        <f>IFERROR(IF(($DL133-$DF133-$DI133)&gt;0,($DC133)/($DL133-$DF133-$DI133),""),"")</f>
        <v/>
      </c>
      <c r="DY133" s="55">
        <f>SUMIFS(tblPlant[Cyanide_kg],tblPlant[Date],$A133)</f>
        <v/>
      </c>
      <c r="DZ133" s="55">
        <f>IF($B133=$B132,$DZ132,0)+$DY133</f>
        <v/>
      </c>
      <c r="EA133" s="55">
        <f>$EA132+$DY133</f>
        <v/>
      </c>
      <c r="EB133" s="55">
        <f>SUMIFS(tblPlant[Lime_kg],tblPlant[Date],$A133)</f>
        <v/>
      </c>
      <c r="EC133" s="55">
        <f>IF($B133=$B132,$EC132,0)+$EB133</f>
        <v/>
      </c>
      <c r="ED133" s="55">
        <f>$ED132+$EB133</f>
        <v/>
      </c>
      <c r="EE133" s="55">
        <f>SUMIFS(tblPlant[Grinding_Media_kg],tblPlant[Date],$A133)</f>
        <v/>
      </c>
      <c r="EF133" s="55">
        <f>IF($B133=$B132,$EF132,0)+$EE133</f>
        <v/>
      </c>
      <c r="EG133" s="55">
        <f>$EG132+$EE133</f>
        <v/>
      </c>
      <c r="EH133" s="55">
        <f>SUMIFS(tblPlant[Power_kWh],tblPlant[Date],$A133)</f>
        <v/>
      </c>
      <c r="EI133" s="55">
        <f>IF($B133=$B132,$EI132,0)+$EH133</f>
        <v/>
      </c>
      <c r="EJ133" s="55">
        <f>$EJ132+$EH133</f>
        <v/>
      </c>
      <c r="EK133" s="55">
        <f>SUMIFS(tblPlant[Raw_Water_m3],tblPlant[Date],$A133)</f>
        <v/>
      </c>
      <c r="EL133" s="55">
        <f>IF($B133=$B132,$EL132,0)+$EK133</f>
        <v/>
      </c>
      <c r="EM133" s="55">
        <f>$EM132+$EK133</f>
        <v/>
      </c>
      <c r="EN133" s="56">
        <f>IFERROR(IF(($BZ133)&gt;0,($DY133)/($BZ133),""),"")</f>
        <v/>
      </c>
      <c r="EO133" s="56">
        <f>IFERROR(IF(($CA133)&gt;0,($DZ133)/($CA133),""),"")</f>
        <v/>
      </c>
      <c r="EP133" s="56">
        <f>IFERROR(IF(($CB133)&gt;0,($EA133)/($CB133),""),"")</f>
        <v/>
      </c>
      <c r="EQ133" s="56">
        <f>IFERROR(IF(($BZ133)&gt;0,($EB133)/($BZ133),""),"")</f>
        <v/>
      </c>
      <c r="ER133" s="56">
        <f>IFERROR(IF(($CA133)&gt;0,($EC133)/($CA133),""),"")</f>
        <v/>
      </c>
      <c r="ES133" s="56">
        <f>IFERROR(IF(($CB133)&gt;0,($ED133)/($CB133),""),"")</f>
        <v/>
      </c>
      <c r="ET133" s="56">
        <f>IFERROR(IF(($BZ133)&gt;0,($EE133)/($BZ133),""),"")</f>
        <v/>
      </c>
      <c r="EU133" s="56">
        <f>IFERROR(IF(($CA133)&gt;0,($EF133)/($CA133),""),"")</f>
        <v/>
      </c>
      <c r="EV133" s="56">
        <f>IFERROR(IF(($CB133)&gt;0,($EG133)/($CB133),""),"")</f>
        <v/>
      </c>
      <c r="EW133" s="76">
        <f>IFERROR(IF(($BZ133)&gt;0,($EH133)/($BZ133),""),"")</f>
        <v/>
      </c>
      <c r="EX133" s="76">
        <f>IFERROR(IF(($CA133)&gt;0,($EI133)/($CA133),""),"")</f>
        <v/>
      </c>
      <c r="EY133" s="76">
        <f>IFERROR(IF(($CB133)&gt;0,($EJ133)/($CB133),""),"")</f>
        <v/>
      </c>
      <c r="EZ133" s="56">
        <f>IFERROR(IF(($BZ133)&gt;0,($EK133)/($BZ133),""),"")</f>
        <v/>
      </c>
      <c r="FA133" s="56">
        <f>IFERROR(IF(($CA133)&gt;0,($EL133)/($CA133),""),"")</f>
        <v/>
      </c>
      <c r="FB133" s="56">
        <f>IFERROR(IF(($CB133)&gt;0,($EM133)/($CB133),""),"")</f>
        <v/>
      </c>
      <c r="FC133" s="55">
        <f>IF(SUMIFS(tblPlant[GIC_oz],tblPlant[Date],$A133)&gt;0,SUMIFS(tblPlant[GIC_oz],tblPlant[Date],$A133),"")</f>
        <v/>
      </c>
      <c r="FD133" s="55">
        <f>SUMIFS(tblGold[Gold_oz],tblGold[Date],$A133,tblGold[Type],"Shipment")</f>
        <v/>
      </c>
      <c r="FE133" s="55">
        <f>IF($B133=$B132,$FE132,0)+$FD133</f>
        <v/>
      </c>
      <c r="FF133" s="55">
        <f>$FF132+$FD133</f>
        <v/>
      </c>
      <c r="FG133" s="55">
        <f>SUMIFS(tblGold[Gold_oz],tblGold[Date],$A133,tblGold[Type],"Sale")</f>
        <v/>
      </c>
      <c r="FH133" s="55">
        <f>IF($B133=$B132,$FH132,0)+$FG133</f>
        <v/>
      </c>
      <c r="FI133" s="55">
        <f>$FI132+$FG133</f>
        <v/>
      </c>
      <c r="FJ133" s="55">
        <f>SUMIFS(tblGold[Dore_kg],tblGold[Date],$A133,tblGold[Type],"Shipment")</f>
        <v/>
      </c>
      <c r="FK133" s="55">
        <f>IF($B133=$B132,$FK132,0)+$FJ133</f>
        <v/>
      </c>
      <c r="FL133" s="55">
        <f>$FL132+$FJ133</f>
        <v/>
      </c>
      <c r="FM133" s="57">
        <f>SUMIFS(tblSafety[Hours_Total],tblSafety[Date],$A133)</f>
        <v/>
      </c>
      <c r="FN133" s="57">
        <f>IF($B133=$B132,$FN132,0)+$FM133</f>
        <v/>
      </c>
      <c r="FO133" s="57">
        <f>$FO132+$FM133</f>
        <v/>
      </c>
      <c r="FP133" s="62">
        <f>SUMIFS(tblSafety[Fatality],tblSafety[Date],$A133)</f>
        <v/>
      </c>
      <c r="FQ133" s="62">
        <f>IF($B133=$B132,$FQ132,0)+$FP133</f>
        <v/>
      </c>
      <c r="FR133" s="62">
        <f>$FR132+$FP133</f>
        <v/>
      </c>
      <c r="FS133" s="62">
        <f>SUMIFS(tblSafety[LTI],tblSafety[Date],$A133)</f>
        <v/>
      </c>
      <c r="FT133" s="62">
        <f>IF($B133=$B132,$FT132,0)+$FS133</f>
        <v/>
      </c>
      <c r="FU133" s="62">
        <f>$FU132+$FS133</f>
        <v/>
      </c>
      <c r="FV133" s="62">
        <f>SUMIFS(tblSafety[RWI],tblSafety[Date],$A133)</f>
        <v/>
      </c>
      <c r="FW133" s="62">
        <f>IF($B133=$B132,$FW132,0)+$FV133</f>
        <v/>
      </c>
      <c r="FX133" s="62">
        <f>$FX132+$FV133</f>
        <v/>
      </c>
      <c r="FY133" s="62">
        <f>SUMIFS(tblSafety[MTI],tblSafety[Date],$A133)</f>
        <v/>
      </c>
      <c r="FZ133" s="62">
        <f>IF($B133=$B132,$FZ132,0)+$FY133</f>
        <v/>
      </c>
      <c r="GA133" s="62">
        <f>$GA132+$FY133</f>
        <v/>
      </c>
      <c r="GB133" s="62">
        <f>SUMIFS(tblSafety[FAI],tblSafety[Date],$A133)</f>
        <v/>
      </c>
      <c r="GC133" s="62">
        <f>IF($B133=$B132,$GC132,0)+$GB133</f>
        <v/>
      </c>
      <c r="GD133" s="62">
        <f>$GD132+$GB133</f>
        <v/>
      </c>
      <c r="GE133" s="62">
        <f>SUMIFS(tblSafety[Recordables],tblSafety[Date],$A133)</f>
        <v/>
      </c>
      <c r="GF133" s="62">
        <f>IF($B133=$B132,$GF132,0)+$GE133</f>
        <v/>
      </c>
      <c r="GG133" s="62">
        <f>$GG132+$GE133</f>
        <v/>
      </c>
      <c r="GH133" s="62">
        <f>SUMIFS(tblSafety[Near_Miss],tblSafety[Date],$A133)</f>
        <v/>
      </c>
      <c r="GI133" s="62">
        <f>IF($B133=$B132,$GI132,0)+$GH133</f>
        <v/>
      </c>
      <c r="GJ133" s="62">
        <f>$GJ132+$GH133</f>
        <v/>
      </c>
      <c r="GK133" s="62">
        <f>SUMIFS(tblSafety[Hazard_Reports],tblSafety[Date],$A133)</f>
        <v/>
      </c>
      <c r="GL133" s="62">
        <f>IF($B133=$B132,$GL132,0)+$GK133</f>
        <v/>
      </c>
      <c r="GM133" s="62">
        <f>$GM132+$GK133</f>
        <v/>
      </c>
      <c r="GN133" s="62">
        <f>SUMIFS(tblSafety[HPI],tblSafety[Date],$A133)</f>
        <v/>
      </c>
      <c r="GO133" s="62">
        <f>IF($B133=$B132,$GO132,0)+$GN133</f>
        <v/>
      </c>
      <c r="GP133" s="62">
        <f>$GP132+$GN133</f>
        <v/>
      </c>
      <c r="GQ133" s="62">
        <f>SUMIFS(tblSafety[Env_Incidents],tblSafety[Date],$A133)</f>
        <v/>
      </c>
      <c r="GR133" s="62">
        <f>IF($B133=$B132,$GR132,0)+$GQ133</f>
        <v/>
      </c>
      <c r="GS133" s="62">
        <f>$GS132+$GQ133</f>
        <v/>
      </c>
      <c r="GT133" s="62">
        <f>SUMIFS(tblSafety[Community_Incidents],tblSafety[Date],$A133)</f>
        <v/>
      </c>
      <c r="GU133" s="62">
        <f>IF($B133=$B132,$GU132,0)+$GT133</f>
        <v/>
      </c>
      <c r="GV133" s="62">
        <f>$GV132+$GT133</f>
        <v/>
      </c>
      <c r="GW133" s="62">
        <f>SUMIFS(tblSafety[Vehicle_Incidents],tblSafety[Date],$A133)</f>
        <v/>
      </c>
      <c r="GX133" s="62">
        <f>IF($B133=$B132,$GX132,0)+$GW133</f>
        <v/>
      </c>
      <c r="GY133" s="62">
        <f>$GY132+$GW133</f>
        <v/>
      </c>
      <c r="GZ133" s="62">
        <f>SUMIFS(tblSafety[Toolbox_Talks],tblSafety[Date],$A133)</f>
        <v/>
      </c>
      <c r="HA133" s="62">
        <f>IF($B133=$B132,$HA132,0)+$GZ133</f>
        <v/>
      </c>
      <c r="HB133" s="62">
        <f>$HB132+$GZ133</f>
        <v/>
      </c>
      <c r="HC133" s="62">
        <f>SUMIFS(tblSafety[Inspections],tblSafety[Date],$A133)</f>
        <v/>
      </c>
      <c r="HD133" s="62">
        <f>IF($B133=$B132,$HD132,0)+$HC133</f>
        <v/>
      </c>
      <c r="HE133" s="62">
        <f>$HE132+$HC133</f>
        <v/>
      </c>
      <c r="HF133" s="56">
        <f>IFERROR((SUMIFS(tblSafety[Recordables],tblSafety[Date],"&gt;="&amp;EDATE($E133,-12),tblSafety[Date],"&lt;="&amp;$A133)+SUMIFS(tblSafetyHistory[Recordables],tblSafetyHistory[Month],"&gt;="&amp;EDATE($E133,-12),tblSafetyHistory[Month],"&lt;"&amp;cfg_YearStart))/(SUMIFS(tblSafety[Hours_Total],tblSafety[Date],"&gt;="&amp;EDATE($E133,-12),tblSafety[Date],"&lt;="&amp;$A133)+SUMIFS(tblSafetyHistory[Hours_Total],tblSafetyHistory[Month],"&gt;="&amp;EDATE($E133,-12),tblSafetyHistory[Month],"&lt;"&amp;cfg_YearStart))*1000000,"")</f>
        <v/>
      </c>
      <c r="HG133" s="56">
        <f>IFERROR((SUMIFS(tblSafety[LTI],tblSafety[Date],"&gt;="&amp;EDATE($E133,-12),tblSafety[Date],"&lt;="&amp;$A133)+SUMIFS(tblSafetyHistory[LTI],tblSafetyHistory[Month],"&gt;="&amp;EDATE($E133,-12),tblSafetyHistory[Month],"&lt;"&amp;cfg_YearStart))/(SUMIFS(tblSafety[Hours_Total],tblSafety[Date],"&gt;="&amp;EDATE($E133,-12),tblSafety[Date],"&lt;="&amp;$A133)+SUMIFS(tblSafetyHistory[Hours_Total],tblSafetyHistory[Month],"&gt;="&amp;EDATE($E133,-12),tblSafetyHistory[Month],"&lt;"&amp;cfg_YearStart))*1000000,"")</f>
        <v/>
      </c>
      <c r="HH133" s="62">
        <f>IF(MAX(N(cfg_PriorLTIDate),_xlfn.MAXIFS(tblSafety[Date],tblSafety[LTI],"&gt;0",tblSafety[Date],"&lt;="&amp;$A133))=0,"",$A133-MAX(N(cfg_PriorLTIDate),_xlfn.MAXIFS(tblSafety[Date],tblSafety[LTI],"&gt;0",tblSafety[Date],"&lt;="&amp;$A133)))</f>
        <v/>
      </c>
      <c r="HI133" s="55">
        <f>SUMIFS(tblBudget[Ore_Mined_t],tblBudget[Month],$E133)</f>
        <v/>
      </c>
      <c r="HJ133" s="55">
        <f>$HI133*$C133/$D133</f>
        <v/>
      </c>
      <c r="HK133" s="55">
        <f>SUMIFS(tblBudget[Ore_Mined_t],tblBudget[Month],"&lt;"&amp;$E133)+$HJ133</f>
        <v/>
      </c>
      <c r="HL133" s="55">
        <f>SUMIFS(tblBudget[Ore_oz],tblBudget[Month],$E133)</f>
        <v/>
      </c>
      <c r="HM133" s="55">
        <f>$HL133*$C133/$D133</f>
        <v/>
      </c>
      <c r="HN133" s="55">
        <f>SUMIFS(tblBudget[Ore_oz],tblBudget[Month],"&lt;"&amp;$E133)+$HM133</f>
        <v/>
      </c>
      <c r="HO133" s="56">
        <f>IFERROR(IF(($HI133)&gt;0,($HL133*cfg_TroyOz)/($HI133),""),"")</f>
        <v/>
      </c>
      <c r="HP133" s="56">
        <f>IFERROR(IF(($HJ133)&gt;0,($HM133*cfg_TroyOz)/($HJ133),""),"")</f>
        <v/>
      </c>
      <c r="HQ133" s="56">
        <f>IFERROR(IF(($HK133)&gt;0,($HN133*cfg_TroyOz)/($HK133),""),"")</f>
        <v/>
      </c>
      <c r="HR133" s="55">
        <f>SUMIFS(tblBudget[Waste_t],tblBudget[Month],$E133)</f>
        <v/>
      </c>
      <c r="HS133" s="55">
        <f>$HR133*$C133/$D133</f>
        <v/>
      </c>
      <c r="HT133" s="55">
        <f>SUMIFS(tblBudget[Waste_t],tblBudget[Month],"&lt;"&amp;$E133)+$HS133</f>
        <v/>
      </c>
      <c r="HU133" s="55">
        <f>SUMIFS(tblBudget[TMM_t],tblBudget[Month],$E133)</f>
        <v/>
      </c>
      <c r="HV133" s="55">
        <f>$HU133*$C133/$D133</f>
        <v/>
      </c>
      <c r="HW133" s="55">
        <f>SUMIFS(tblBudget[TMM_t],tblBudget[Month],"&lt;"&amp;$E133)+$HV133</f>
        <v/>
      </c>
      <c r="HX133" s="56">
        <f>IFERROR(IF(($HI133)&gt;0,($HR133)/($HI133),""),"")</f>
        <v/>
      </c>
      <c r="HY133" s="56">
        <f>IFERROR(IF(($HJ133)&gt;0,($HS133)/($HJ133),""),"")</f>
        <v/>
      </c>
      <c r="HZ133" s="56">
        <f>IFERROR(IF(($HK133)&gt;0,($HT133)/($HK133),""),"")</f>
        <v/>
      </c>
      <c r="IA133" s="55">
        <f>SUMIFS(tblBudget[Drill_m],tblBudget[Month],$E133)</f>
        <v/>
      </c>
      <c r="IB133" s="55">
        <f>$IA133*$C133/$D133</f>
        <v/>
      </c>
      <c r="IC133" s="55">
        <f>SUMIFS(tblBudget[Drill_m],tblBudget[Month],"&lt;"&amp;$E133)+$IB133</f>
        <v/>
      </c>
      <c r="ID133" s="55">
        <f>SUMIFS(tblBudget[Diesel_L],tblBudget[Month],$E133)</f>
        <v/>
      </c>
      <c r="IE133" s="55">
        <f>$ID133*$C133/$D133</f>
        <v/>
      </c>
      <c r="IF133" s="55">
        <f>SUMIFS(tblBudget[Diesel_L],tblBudget[Month],"&lt;"&amp;$E133)+$IE133</f>
        <v/>
      </c>
      <c r="IG133" s="55">
        <f>SUMIFS(tblBudget[Milled_t],tblBudget[Month],$E133)</f>
        <v/>
      </c>
      <c r="IH133" s="55">
        <f>$IG133*$C133/$D133</f>
        <v/>
      </c>
      <c r="II133" s="55">
        <f>SUMIFS(tblBudget[Milled_t],tblBudget[Month],"&lt;"&amp;$E133)+$IH133</f>
        <v/>
      </c>
      <c r="IJ133" s="55">
        <f>SUMIFS(tblBudget[Feed_oz],tblBudget[Month],$E133)</f>
        <v/>
      </c>
      <c r="IK133" s="55">
        <f>$IJ133*$C133/$D133</f>
        <v/>
      </c>
      <c r="IL133" s="55">
        <f>SUMIFS(tblBudget[Feed_oz],tblBudget[Month],"&lt;"&amp;$E133)+$IK133</f>
        <v/>
      </c>
      <c r="IM133" s="55">
        <f>SUMIFS(tblBudget[Recovered_oz],tblBudget[Month],$E133)</f>
        <v/>
      </c>
      <c r="IN133" s="55">
        <f>$IM133*$C133/$D133</f>
        <v/>
      </c>
      <c r="IO133" s="55">
        <f>SUMIFS(tblBudget[Recovered_oz],tblBudget[Month],"&lt;"&amp;$E133)+$IN133</f>
        <v/>
      </c>
      <c r="IP133" s="56">
        <f>IFERROR(IF(($IG133)&gt;0,($IJ133*cfg_TroyOz)/($IG133),""),"")</f>
        <v/>
      </c>
      <c r="IQ133" s="56">
        <f>IFERROR(IF(($IH133)&gt;0,($IK133*cfg_TroyOz)/($IH133),""),"")</f>
        <v/>
      </c>
      <c r="IR133" s="56">
        <f>IFERROR(IF(($II133)&gt;0,($IL133*cfg_TroyOz)/($II133),""),"")</f>
        <v/>
      </c>
      <c r="IS133" s="67">
        <f>IFERROR(IF(($IJ133)&gt;0,($IM133)/($IJ133),""),"")</f>
        <v/>
      </c>
      <c r="IT133" s="67">
        <f>IFERROR(IF(($IK133)&gt;0,($IN133)/($IK133),""),"")</f>
        <v/>
      </c>
      <c r="IU133" s="67">
        <f>IFERROR(IF(($IL133)&gt;0,($IO133)/($IL133),""),"")</f>
        <v/>
      </c>
      <c r="IV133" s="55">
        <f>SUMIFS(tblBudget[Gold_Poured_oz],tblBudget[Month],$E133)</f>
        <v/>
      </c>
      <c r="IW133" s="55">
        <f>$IV133*$C133/$D133</f>
        <v/>
      </c>
      <c r="IX133" s="55">
        <f>SUMIFS(tblBudget[Gold_Poured_oz],tblBudget[Month],"&lt;"&amp;$E133)+$IW133</f>
        <v/>
      </c>
      <c r="IY133" s="57">
        <f>SUMIFS(tblBudget[Hours_Worked],tblBudget[Month],$E133)</f>
        <v/>
      </c>
      <c r="IZ133" s="57">
        <f>$IY133*$C133/$D133</f>
        <v/>
      </c>
      <c r="JA133" s="57">
        <f>SUMIFS(tblBudget[Hours_Worked],tblBudget[Month],"&lt;"&amp;$E133)+$IZ133</f>
        <v/>
      </c>
    </row>
    <row r="134">
      <c r="A134" s="54" t="n">
        <v>46155</v>
      </c>
      <c r="B134">
        <f>MONTH($A134)</f>
        <v/>
      </c>
      <c r="C134">
        <f>DAY($A134)</f>
        <v/>
      </c>
      <c r="D134">
        <f>DAY(EOMONTH($A134,0))</f>
        <v/>
      </c>
      <c r="E134" s="54">
        <f>DATE(YEAR($A134),MONTH($A134),1)</f>
        <v/>
      </c>
      <c r="F134" s="55">
        <f>SUMIFS(tblMovement[Tonnes_t],tblMovement[Date],$A134,tblMovement[Is_Ore],1,tblMovement[Source_Type],"Pit")</f>
        <v/>
      </c>
      <c r="G134" s="55">
        <f>IF($B134=$B133,$G133,0)+$F134</f>
        <v/>
      </c>
      <c r="H134" s="55">
        <f>$H133+$F134</f>
        <v/>
      </c>
      <c r="I134" s="55">
        <f>SUMIFS(tblMovement[Ore_oz],tblMovement[Date],$A134,tblMovement[Source_Type],"Pit")</f>
        <v/>
      </c>
      <c r="J134" s="55">
        <f>IF($B134=$B133,$J133,0)+$I134</f>
        <v/>
      </c>
      <c r="K134" s="55">
        <f>$K133+$I134</f>
        <v/>
      </c>
      <c r="L134" s="56">
        <f>IFERROR(IF(($F134)&gt;0,($I134*cfg_TroyOz)/($F134),""),"")</f>
        <v/>
      </c>
      <c r="M134" s="56">
        <f>IFERROR(IF(($G134)&gt;0,($J134*cfg_TroyOz)/($G134),""),"")</f>
        <v/>
      </c>
      <c r="N134" s="56">
        <f>IFERROR(IF(($H134)&gt;0,($K134*cfg_TroyOz)/($H134),""),"")</f>
        <v/>
      </c>
      <c r="O134" s="55">
        <f>SUMIFS(tblMovement[Tonnes_t],tblMovement[Date],$A134,tblMovement[Is_Ore],0,tblMovement[Source_Type],"Pit")</f>
        <v/>
      </c>
      <c r="P134" s="55">
        <f>IF($B134=$B133,$P133,0)+$O134</f>
        <v/>
      </c>
      <c r="Q134" s="55">
        <f>$Q133+$O134</f>
        <v/>
      </c>
      <c r="R134" s="55">
        <f>$F134+$O134</f>
        <v/>
      </c>
      <c r="S134" s="55">
        <f>IF($B134=$B133,$S133,0)+$R134</f>
        <v/>
      </c>
      <c r="T134" s="55">
        <f>$T133+$R134</f>
        <v/>
      </c>
      <c r="U134" s="56">
        <f>IFERROR(IF(($F134)&gt;0,($O134)/($F134),""),"")</f>
        <v/>
      </c>
      <c r="V134" s="56">
        <f>IFERROR(IF(($G134)&gt;0,($P134)/($G134),""),"")</f>
        <v/>
      </c>
      <c r="W134" s="56">
        <f>IFERROR(IF(($H134)&gt;0,($Q134)/($H134),""),"")</f>
        <v/>
      </c>
      <c r="X134" s="55">
        <f>SUMIFS(tblMovement[Tonnes_t],tblMovement[Date],$A134,tblMovement[Source_Type],"Stockpile")</f>
        <v/>
      </c>
      <c r="Y134" s="55">
        <f>IF($B134=$B133,$Y133,0)+$X134</f>
        <v/>
      </c>
      <c r="Z134" s="55">
        <f>$Z133+$X134</f>
        <v/>
      </c>
      <c r="AA134" s="55">
        <f>SUMIFS(tblMiningDaily[Drill_m],tblMiningDaily[Date],$A134)</f>
        <v/>
      </c>
      <c r="AB134" s="55">
        <f>IF($B134=$B133,$AB133,0)+$AA134</f>
        <v/>
      </c>
      <c r="AC134" s="55">
        <f>$AC133+$AA134</f>
        <v/>
      </c>
      <c r="AD134" s="55">
        <f>SUMIFS(tblMiningDaily[Blast_t],tblMiningDaily[Date],$A134)</f>
        <v/>
      </c>
      <c r="AE134" s="55">
        <f>IF($B134=$B133,$AE133,0)+$AD134</f>
        <v/>
      </c>
      <c r="AF134" s="55">
        <f>$AF133+$AD134</f>
        <v/>
      </c>
      <c r="AG134" s="55">
        <f>SUMIFS(tblMiningDaily[Explosives_kg],tblMiningDaily[Date],$A134)</f>
        <v/>
      </c>
      <c r="AH134" s="55">
        <f>IF($B134=$B133,$AH133,0)+$AG134</f>
        <v/>
      </c>
      <c r="AI134" s="55">
        <f>$AI133+$AG134</f>
        <v/>
      </c>
      <c r="AJ134" s="56">
        <f>IFERROR(IF(($AD134)&gt;0,($AG134)/($AD134),""),"")</f>
        <v/>
      </c>
      <c r="AK134" s="56">
        <f>IFERROR(IF(($AE134)&gt;0,($AH134)/($AE134),""),"")</f>
        <v/>
      </c>
      <c r="AL134" s="56">
        <f>IFERROR(IF(($AF134)&gt;0,($AI134)/($AF134),""),"")</f>
        <v/>
      </c>
      <c r="AM134" s="55">
        <f>SUMIFS(tblMiningDaily[Diesel_L],tblMiningDaily[Date],$A134)</f>
        <v/>
      </c>
      <c r="AN134" s="55">
        <f>IF($B134=$B133,$AN133,0)+$AM134</f>
        <v/>
      </c>
      <c r="AO134" s="55">
        <f>$AO133+$AM134</f>
        <v/>
      </c>
      <c r="AP134" s="55">
        <f>SUMIFS(tblMiningDaily[Dewatering_m3],tblMiningDaily[Date],$A134)</f>
        <v/>
      </c>
      <c r="AQ134" s="55">
        <f>IF($B134=$B133,$AQ133,0)+$AP134</f>
        <v/>
      </c>
      <c r="AR134" s="55">
        <f>$AR133+$AP134</f>
        <v/>
      </c>
      <c r="AS134" s="57">
        <f>SUMIFS(tblFleet[Calendar_h],tblFleet[Date],$A134,tblFleet[Equipment_Class],"Excavator")</f>
        <v/>
      </c>
      <c r="AT134" s="57">
        <f>IF($B134=$B133,$AT133,0)+$AS134</f>
        <v/>
      </c>
      <c r="AU134" s="57">
        <f>$AU133+$AS134</f>
        <v/>
      </c>
      <c r="AV134" s="57">
        <f>SUMIFS(tblFleet[Available_h],tblFleet[Date],$A134,tblFleet[Equipment_Class],"Excavator")</f>
        <v/>
      </c>
      <c r="AW134" s="57">
        <f>IF($B134=$B133,$AW133,0)+$AV134</f>
        <v/>
      </c>
      <c r="AX134" s="57">
        <f>$AX133+$AV134</f>
        <v/>
      </c>
      <c r="AY134" s="57">
        <f>SUMIFS(tblFleet[Operating_h],tblFleet[Date],$A134,tblFleet[Equipment_Class],"Excavator")</f>
        <v/>
      </c>
      <c r="AZ134" s="57">
        <f>IF($B134=$B133,$AZ133,0)+$AY134</f>
        <v/>
      </c>
      <c r="BA134" s="57">
        <f>$BA133+$AY134</f>
        <v/>
      </c>
      <c r="BB134" s="67">
        <f>IFERROR(IF(($AS134)&gt;0,($AV134)/($AS134),""),"")</f>
        <v/>
      </c>
      <c r="BC134" s="67">
        <f>IFERROR(IF(($AT134)&gt;0,($AW134)/($AT134),""),"")</f>
        <v/>
      </c>
      <c r="BD134" s="67">
        <f>IFERROR(IF(($AU134)&gt;0,($AX134)/($AU134),""),"")</f>
        <v/>
      </c>
      <c r="BE134" s="67">
        <f>IFERROR(IF(($AV134)&gt;0,($AY134)/($AV134),""),"")</f>
        <v/>
      </c>
      <c r="BF134" s="67">
        <f>IFERROR(IF(($AW134)&gt;0,($AZ134)/($AW134),""),"")</f>
        <v/>
      </c>
      <c r="BG134" s="67">
        <f>IFERROR(IF(($AX134)&gt;0,($BA134)/($AX134),""),"")</f>
        <v/>
      </c>
      <c r="BH134" s="57">
        <f>SUMIFS(tblFleet[Calendar_h],tblFleet[Date],$A134,tblFleet[Equipment_Class],"Haul Truck")</f>
        <v/>
      </c>
      <c r="BI134" s="57">
        <f>IF($B134=$B133,$BI133,0)+$BH134</f>
        <v/>
      </c>
      <c r="BJ134" s="57">
        <f>$BJ133+$BH134</f>
        <v/>
      </c>
      <c r="BK134" s="57">
        <f>SUMIFS(tblFleet[Available_h],tblFleet[Date],$A134,tblFleet[Equipment_Class],"Haul Truck")</f>
        <v/>
      </c>
      <c r="BL134" s="57">
        <f>IF($B134=$B133,$BL133,0)+$BK134</f>
        <v/>
      </c>
      <c r="BM134" s="57">
        <f>$BM133+$BK134</f>
        <v/>
      </c>
      <c r="BN134" s="57">
        <f>SUMIFS(tblFleet[Operating_h],tblFleet[Date],$A134,tblFleet[Equipment_Class],"Haul Truck")</f>
        <v/>
      </c>
      <c r="BO134" s="57">
        <f>IF($B134=$B133,$BO133,0)+$BN134</f>
        <v/>
      </c>
      <c r="BP134" s="57">
        <f>$BP133+$BN134</f>
        <v/>
      </c>
      <c r="BQ134" s="67">
        <f>IFERROR(IF(($BH134)&gt;0,($BK134)/($BH134),""),"")</f>
        <v/>
      </c>
      <c r="BR134" s="67">
        <f>IFERROR(IF(($BI134)&gt;0,($BL134)/($BI134),""),"")</f>
        <v/>
      </c>
      <c r="BS134" s="67">
        <f>IFERROR(IF(($BJ134)&gt;0,($BM134)/($BJ134),""),"")</f>
        <v/>
      </c>
      <c r="BT134" s="67">
        <f>IFERROR(IF(($BK134)&gt;0,($BN134)/($BK134),""),"")</f>
        <v/>
      </c>
      <c r="BU134" s="67">
        <f>IFERROR(IF(($BL134)&gt;0,($BO134)/($BL134),""),"")</f>
        <v/>
      </c>
      <c r="BV134" s="67">
        <f>IFERROR(IF(($BM134)&gt;0,($BP134)/($BM134),""),"")</f>
        <v/>
      </c>
      <c r="BW134" s="55">
        <f>SUMIFS(tblPlant[Crushed_t],tblPlant[Date],$A134)</f>
        <v/>
      </c>
      <c r="BX134" s="55">
        <f>IF($B134=$B133,$BX133,0)+$BW134</f>
        <v/>
      </c>
      <c r="BY134" s="55">
        <f>$BY133+$BW134</f>
        <v/>
      </c>
      <c r="BZ134" s="55">
        <f>SUMIFS(tblPlant[Milled_t],tblPlant[Date],$A134)</f>
        <v/>
      </c>
      <c r="CA134" s="55">
        <f>IF($B134=$B133,$CA133,0)+$BZ134</f>
        <v/>
      </c>
      <c r="CB134" s="55">
        <f>$CB133+$BZ134</f>
        <v/>
      </c>
      <c r="CC134" s="55">
        <f>SUMIFS(tblPlant[Feed_oz],tblPlant[Date],$A134)</f>
        <v/>
      </c>
      <c r="CD134" s="55">
        <f>IF($B134=$B133,$CD133,0)+$CC134</f>
        <v/>
      </c>
      <c r="CE134" s="55">
        <f>$CE133+$CC134</f>
        <v/>
      </c>
      <c r="CF134" s="55">
        <f>SUMIFS(tblPlant[Tails_oz],tblPlant[Date],$A134)</f>
        <v/>
      </c>
      <c r="CG134" s="55">
        <f>IF($B134=$B133,$CG133,0)+$CF134</f>
        <v/>
      </c>
      <c r="CH134" s="55">
        <f>$CH133+$CF134</f>
        <v/>
      </c>
      <c r="CI134" s="55">
        <f>SUMIFS(tblPlant[Recovered_oz],tblPlant[Date],$A134)</f>
        <v/>
      </c>
      <c r="CJ134" s="55">
        <f>IF($B134=$B133,$CJ133,0)+$CI134</f>
        <v/>
      </c>
      <c r="CK134" s="55">
        <f>$CK133+$CI134</f>
        <v/>
      </c>
      <c r="CL134" s="56">
        <f>IFERROR(IF(($BZ134)&gt;0,($CC134*cfg_TroyOz)/($BZ134),""),"")</f>
        <v/>
      </c>
      <c r="CM134" s="56">
        <f>IFERROR(IF(($CA134)&gt;0,($CD134*cfg_TroyOz)/($CA134),""),"")</f>
        <v/>
      </c>
      <c r="CN134" s="56">
        <f>IFERROR(IF(($CB134)&gt;0,($CE134*cfg_TroyOz)/($CB134),""),"")</f>
        <v/>
      </c>
      <c r="CO134" s="56">
        <f>IFERROR(IF(($BZ134)&gt;0,($CF134*cfg_TroyOz)/($BZ134),""),"")</f>
        <v/>
      </c>
      <c r="CP134" s="56">
        <f>IFERROR(IF(($CA134)&gt;0,($CG134*cfg_TroyOz)/($CA134),""),"")</f>
        <v/>
      </c>
      <c r="CQ134" s="56">
        <f>IFERROR(IF(($CB134)&gt;0,($CH134*cfg_TroyOz)/($CB134),""),"")</f>
        <v/>
      </c>
      <c r="CR134" s="67">
        <f>IFERROR(IF(($CC134)&gt;0,($CI134)/($CC134),""),"")</f>
        <v/>
      </c>
      <c r="CS134" s="67">
        <f>IFERROR(IF(($CD134)&gt;0,($CJ134)/($CD134),""),"")</f>
        <v/>
      </c>
      <c r="CT134" s="67">
        <f>IFERROR(IF(($CE134)&gt;0,($CK134)/($CE134),""),"")</f>
        <v/>
      </c>
      <c r="CU134" s="55">
        <f>SUMIFS(tblPlant[Gravity_Gold_oz],tblPlant[Date],$A134)</f>
        <v/>
      </c>
      <c r="CV134" s="55">
        <f>IF($B134=$B133,$CV133,0)+$CU134</f>
        <v/>
      </c>
      <c r="CW134" s="55">
        <f>$CW133+$CU134</f>
        <v/>
      </c>
      <c r="CX134" s="55">
        <f>SUMIFS(tblPlant[Gold_Poured_oz],tblPlant[Date],$A134)</f>
        <v/>
      </c>
      <c r="CY134" s="55">
        <f>IF($B134=$B133,$CY133,0)+$CX134</f>
        <v/>
      </c>
      <c r="CZ134" s="55">
        <f>$CZ133+$CX134</f>
        <v/>
      </c>
      <c r="DA134" s="57">
        <f>SUMIFS(tblPlant[Mill_Run_h],tblPlant[Date],$A134)</f>
        <v/>
      </c>
      <c r="DB134" s="57">
        <f>IF($B134=$B133,$DB133,0)+$DA134</f>
        <v/>
      </c>
      <c r="DC134" s="57">
        <f>$DC133+$DA134</f>
        <v/>
      </c>
      <c r="DD134" s="57">
        <f>SUMIFS(tblPlant[Mill_Planned_Maint_h],tblPlant[Date],$A134)</f>
        <v/>
      </c>
      <c r="DE134" s="57">
        <f>IF($B134=$B133,$DE133,0)+$DD134</f>
        <v/>
      </c>
      <c r="DF134" s="57">
        <f>$DF133+$DD134</f>
        <v/>
      </c>
      <c r="DG134" s="57">
        <f>SUMIFS(tblPlant[Mill_Unplanned_Down_h],tblPlant[Date],$A134)</f>
        <v/>
      </c>
      <c r="DH134" s="57">
        <f>IF($B134=$B133,$DH133,0)+$DG134</f>
        <v/>
      </c>
      <c r="DI134" s="57">
        <f>$DI133+$DG134</f>
        <v/>
      </c>
      <c r="DJ134" s="57">
        <f>COUNTIFS(tblPlant[Date],$A134,tblPlant[Mill_Run_h],"&lt;&gt;")*24</f>
        <v/>
      </c>
      <c r="DK134" s="57">
        <f>IF($B134=$B133,$DK133,0)+$DJ134</f>
        <v/>
      </c>
      <c r="DL134" s="57">
        <f>$DL133+$DJ134</f>
        <v/>
      </c>
      <c r="DM134" s="57">
        <f>SUMIFS(tblPlant[Crusher_Run_h],tblPlant[Date],$A134)</f>
        <v/>
      </c>
      <c r="DN134" s="57">
        <f>IF($B134=$B133,$DN133,0)+$DM134</f>
        <v/>
      </c>
      <c r="DO134" s="57">
        <f>$DO133+$DM134</f>
        <v/>
      </c>
      <c r="DP134" s="55">
        <f>IFERROR(IF(($DA134)&gt;0,($BZ134)/($DA134),""),"")</f>
        <v/>
      </c>
      <c r="DQ134" s="55">
        <f>IFERROR(IF(($DB134)&gt;0,($CA134)/($DB134),""),"")</f>
        <v/>
      </c>
      <c r="DR134" s="55">
        <f>IFERROR(IF(($DC134)&gt;0,($CB134)/($DC134),""),"")</f>
        <v/>
      </c>
      <c r="DS134" s="67">
        <f>IFERROR(IF(($DJ134)&gt;0,($DJ134-$DD134-$DG134)/($DJ134),""),"")</f>
        <v/>
      </c>
      <c r="DT134" s="67">
        <f>IFERROR(IF(($DK134)&gt;0,($DK134-$DE134-$DH134)/($DK134),""),"")</f>
        <v/>
      </c>
      <c r="DU134" s="67">
        <f>IFERROR(IF(($DL134)&gt;0,($DL134-$DF134-$DI134)/($DL134),""),"")</f>
        <v/>
      </c>
      <c r="DV134" s="67">
        <f>IFERROR(IF(($DJ134-$DD134-$DG134)&gt;0,($DA134)/($DJ134-$DD134-$DG134),""),"")</f>
        <v/>
      </c>
      <c r="DW134" s="67">
        <f>IFERROR(IF(($DK134-$DE134-$DH134)&gt;0,($DB134)/($DK134-$DE134-$DH134),""),"")</f>
        <v/>
      </c>
      <c r="DX134" s="67">
        <f>IFERROR(IF(($DL134-$DF134-$DI134)&gt;0,($DC134)/($DL134-$DF134-$DI134),""),"")</f>
        <v/>
      </c>
      <c r="DY134" s="55">
        <f>SUMIFS(tblPlant[Cyanide_kg],tblPlant[Date],$A134)</f>
        <v/>
      </c>
      <c r="DZ134" s="55">
        <f>IF($B134=$B133,$DZ133,0)+$DY134</f>
        <v/>
      </c>
      <c r="EA134" s="55">
        <f>$EA133+$DY134</f>
        <v/>
      </c>
      <c r="EB134" s="55">
        <f>SUMIFS(tblPlant[Lime_kg],tblPlant[Date],$A134)</f>
        <v/>
      </c>
      <c r="EC134" s="55">
        <f>IF($B134=$B133,$EC133,0)+$EB134</f>
        <v/>
      </c>
      <c r="ED134" s="55">
        <f>$ED133+$EB134</f>
        <v/>
      </c>
      <c r="EE134" s="55">
        <f>SUMIFS(tblPlant[Grinding_Media_kg],tblPlant[Date],$A134)</f>
        <v/>
      </c>
      <c r="EF134" s="55">
        <f>IF($B134=$B133,$EF133,0)+$EE134</f>
        <v/>
      </c>
      <c r="EG134" s="55">
        <f>$EG133+$EE134</f>
        <v/>
      </c>
      <c r="EH134" s="55">
        <f>SUMIFS(tblPlant[Power_kWh],tblPlant[Date],$A134)</f>
        <v/>
      </c>
      <c r="EI134" s="55">
        <f>IF($B134=$B133,$EI133,0)+$EH134</f>
        <v/>
      </c>
      <c r="EJ134" s="55">
        <f>$EJ133+$EH134</f>
        <v/>
      </c>
      <c r="EK134" s="55">
        <f>SUMIFS(tblPlant[Raw_Water_m3],tblPlant[Date],$A134)</f>
        <v/>
      </c>
      <c r="EL134" s="55">
        <f>IF($B134=$B133,$EL133,0)+$EK134</f>
        <v/>
      </c>
      <c r="EM134" s="55">
        <f>$EM133+$EK134</f>
        <v/>
      </c>
      <c r="EN134" s="56">
        <f>IFERROR(IF(($BZ134)&gt;0,($DY134)/($BZ134),""),"")</f>
        <v/>
      </c>
      <c r="EO134" s="56">
        <f>IFERROR(IF(($CA134)&gt;0,($DZ134)/($CA134),""),"")</f>
        <v/>
      </c>
      <c r="EP134" s="56">
        <f>IFERROR(IF(($CB134)&gt;0,($EA134)/($CB134),""),"")</f>
        <v/>
      </c>
      <c r="EQ134" s="56">
        <f>IFERROR(IF(($BZ134)&gt;0,($EB134)/($BZ134),""),"")</f>
        <v/>
      </c>
      <c r="ER134" s="56">
        <f>IFERROR(IF(($CA134)&gt;0,($EC134)/($CA134),""),"")</f>
        <v/>
      </c>
      <c r="ES134" s="56">
        <f>IFERROR(IF(($CB134)&gt;0,($ED134)/($CB134),""),"")</f>
        <v/>
      </c>
      <c r="ET134" s="56">
        <f>IFERROR(IF(($BZ134)&gt;0,($EE134)/($BZ134),""),"")</f>
        <v/>
      </c>
      <c r="EU134" s="56">
        <f>IFERROR(IF(($CA134)&gt;0,($EF134)/($CA134),""),"")</f>
        <v/>
      </c>
      <c r="EV134" s="56">
        <f>IFERROR(IF(($CB134)&gt;0,($EG134)/($CB134),""),"")</f>
        <v/>
      </c>
      <c r="EW134" s="76">
        <f>IFERROR(IF(($BZ134)&gt;0,($EH134)/($BZ134),""),"")</f>
        <v/>
      </c>
      <c r="EX134" s="76">
        <f>IFERROR(IF(($CA134)&gt;0,($EI134)/($CA134),""),"")</f>
        <v/>
      </c>
      <c r="EY134" s="76">
        <f>IFERROR(IF(($CB134)&gt;0,($EJ134)/($CB134),""),"")</f>
        <v/>
      </c>
      <c r="EZ134" s="56">
        <f>IFERROR(IF(($BZ134)&gt;0,($EK134)/($BZ134),""),"")</f>
        <v/>
      </c>
      <c r="FA134" s="56">
        <f>IFERROR(IF(($CA134)&gt;0,($EL134)/($CA134),""),"")</f>
        <v/>
      </c>
      <c r="FB134" s="56">
        <f>IFERROR(IF(($CB134)&gt;0,($EM134)/($CB134),""),"")</f>
        <v/>
      </c>
      <c r="FC134" s="55">
        <f>IF(SUMIFS(tblPlant[GIC_oz],tblPlant[Date],$A134)&gt;0,SUMIFS(tblPlant[GIC_oz],tblPlant[Date],$A134),"")</f>
        <v/>
      </c>
      <c r="FD134" s="55">
        <f>SUMIFS(tblGold[Gold_oz],tblGold[Date],$A134,tblGold[Type],"Shipment")</f>
        <v/>
      </c>
      <c r="FE134" s="55">
        <f>IF($B134=$B133,$FE133,0)+$FD134</f>
        <v/>
      </c>
      <c r="FF134" s="55">
        <f>$FF133+$FD134</f>
        <v/>
      </c>
      <c r="FG134" s="55">
        <f>SUMIFS(tblGold[Gold_oz],tblGold[Date],$A134,tblGold[Type],"Sale")</f>
        <v/>
      </c>
      <c r="FH134" s="55">
        <f>IF($B134=$B133,$FH133,0)+$FG134</f>
        <v/>
      </c>
      <c r="FI134" s="55">
        <f>$FI133+$FG134</f>
        <v/>
      </c>
      <c r="FJ134" s="55">
        <f>SUMIFS(tblGold[Dore_kg],tblGold[Date],$A134,tblGold[Type],"Shipment")</f>
        <v/>
      </c>
      <c r="FK134" s="55">
        <f>IF($B134=$B133,$FK133,0)+$FJ134</f>
        <v/>
      </c>
      <c r="FL134" s="55">
        <f>$FL133+$FJ134</f>
        <v/>
      </c>
      <c r="FM134" s="57">
        <f>SUMIFS(tblSafety[Hours_Total],tblSafety[Date],$A134)</f>
        <v/>
      </c>
      <c r="FN134" s="57">
        <f>IF($B134=$B133,$FN133,0)+$FM134</f>
        <v/>
      </c>
      <c r="FO134" s="57">
        <f>$FO133+$FM134</f>
        <v/>
      </c>
      <c r="FP134" s="62">
        <f>SUMIFS(tblSafety[Fatality],tblSafety[Date],$A134)</f>
        <v/>
      </c>
      <c r="FQ134" s="62">
        <f>IF($B134=$B133,$FQ133,0)+$FP134</f>
        <v/>
      </c>
      <c r="FR134" s="62">
        <f>$FR133+$FP134</f>
        <v/>
      </c>
      <c r="FS134" s="62">
        <f>SUMIFS(tblSafety[LTI],tblSafety[Date],$A134)</f>
        <v/>
      </c>
      <c r="FT134" s="62">
        <f>IF($B134=$B133,$FT133,0)+$FS134</f>
        <v/>
      </c>
      <c r="FU134" s="62">
        <f>$FU133+$FS134</f>
        <v/>
      </c>
      <c r="FV134" s="62">
        <f>SUMIFS(tblSafety[RWI],tblSafety[Date],$A134)</f>
        <v/>
      </c>
      <c r="FW134" s="62">
        <f>IF($B134=$B133,$FW133,0)+$FV134</f>
        <v/>
      </c>
      <c r="FX134" s="62">
        <f>$FX133+$FV134</f>
        <v/>
      </c>
      <c r="FY134" s="62">
        <f>SUMIFS(tblSafety[MTI],tblSafety[Date],$A134)</f>
        <v/>
      </c>
      <c r="FZ134" s="62">
        <f>IF($B134=$B133,$FZ133,0)+$FY134</f>
        <v/>
      </c>
      <c r="GA134" s="62">
        <f>$GA133+$FY134</f>
        <v/>
      </c>
      <c r="GB134" s="62">
        <f>SUMIFS(tblSafety[FAI],tblSafety[Date],$A134)</f>
        <v/>
      </c>
      <c r="GC134" s="62">
        <f>IF($B134=$B133,$GC133,0)+$GB134</f>
        <v/>
      </c>
      <c r="GD134" s="62">
        <f>$GD133+$GB134</f>
        <v/>
      </c>
      <c r="GE134" s="62">
        <f>SUMIFS(tblSafety[Recordables],tblSafety[Date],$A134)</f>
        <v/>
      </c>
      <c r="GF134" s="62">
        <f>IF($B134=$B133,$GF133,0)+$GE134</f>
        <v/>
      </c>
      <c r="GG134" s="62">
        <f>$GG133+$GE134</f>
        <v/>
      </c>
      <c r="GH134" s="62">
        <f>SUMIFS(tblSafety[Near_Miss],tblSafety[Date],$A134)</f>
        <v/>
      </c>
      <c r="GI134" s="62">
        <f>IF($B134=$B133,$GI133,0)+$GH134</f>
        <v/>
      </c>
      <c r="GJ134" s="62">
        <f>$GJ133+$GH134</f>
        <v/>
      </c>
      <c r="GK134" s="62">
        <f>SUMIFS(tblSafety[Hazard_Reports],tblSafety[Date],$A134)</f>
        <v/>
      </c>
      <c r="GL134" s="62">
        <f>IF($B134=$B133,$GL133,0)+$GK134</f>
        <v/>
      </c>
      <c r="GM134" s="62">
        <f>$GM133+$GK134</f>
        <v/>
      </c>
      <c r="GN134" s="62">
        <f>SUMIFS(tblSafety[HPI],tblSafety[Date],$A134)</f>
        <v/>
      </c>
      <c r="GO134" s="62">
        <f>IF($B134=$B133,$GO133,0)+$GN134</f>
        <v/>
      </c>
      <c r="GP134" s="62">
        <f>$GP133+$GN134</f>
        <v/>
      </c>
      <c r="GQ134" s="62">
        <f>SUMIFS(tblSafety[Env_Incidents],tblSafety[Date],$A134)</f>
        <v/>
      </c>
      <c r="GR134" s="62">
        <f>IF($B134=$B133,$GR133,0)+$GQ134</f>
        <v/>
      </c>
      <c r="GS134" s="62">
        <f>$GS133+$GQ134</f>
        <v/>
      </c>
      <c r="GT134" s="62">
        <f>SUMIFS(tblSafety[Community_Incidents],tblSafety[Date],$A134)</f>
        <v/>
      </c>
      <c r="GU134" s="62">
        <f>IF($B134=$B133,$GU133,0)+$GT134</f>
        <v/>
      </c>
      <c r="GV134" s="62">
        <f>$GV133+$GT134</f>
        <v/>
      </c>
      <c r="GW134" s="62">
        <f>SUMIFS(tblSafety[Vehicle_Incidents],tblSafety[Date],$A134)</f>
        <v/>
      </c>
      <c r="GX134" s="62">
        <f>IF($B134=$B133,$GX133,0)+$GW134</f>
        <v/>
      </c>
      <c r="GY134" s="62">
        <f>$GY133+$GW134</f>
        <v/>
      </c>
      <c r="GZ134" s="62">
        <f>SUMIFS(tblSafety[Toolbox_Talks],tblSafety[Date],$A134)</f>
        <v/>
      </c>
      <c r="HA134" s="62">
        <f>IF($B134=$B133,$HA133,0)+$GZ134</f>
        <v/>
      </c>
      <c r="HB134" s="62">
        <f>$HB133+$GZ134</f>
        <v/>
      </c>
      <c r="HC134" s="62">
        <f>SUMIFS(tblSafety[Inspections],tblSafety[Date],$A134)</f>
        <v/>
      </c>
      <c r="HD134" s="62">
        <f>IF($B134=$B133,$HD133,0)+$HC134</f>
        <v/>
      </c>
      <c r="HE134" s="62">
        <f>$HE133+$HC134</f>
        <v/>
      </c>
      <c r="HF134" s="56">
        <f>IFERROR((SUMIFS(tblSafety[Recordables],tblSafety[Date],"&gt;="&amp;EDATE($E134,-12),tblSafety[Date],"&lt;="&amp;$A134)+SUMIFS(tblSafetyHistory[Recordables],tblSafetyHistory[Month],"&gt;="&amp;EDATE($E134,-12),tblSafetyHistory[Month],"&lt;"&amp;cfg_YearStart))/(SUMIFS(tblSafety[Hours_Total],tblSafety[Date],"&gt;="&amp;EDATE($E134,-12),tblSafety[Date],"&lt;="&amp;$A134)+SUMIFS(tblSafetyHistory[Hours_Total],tblSafetyHistory[Month],"&gt;="&amp;EDATE($E134,-12),tblSafetyHistory[Month],"&lt;"&amp;cfg_YearStart))*1000000,"")</f>
        <v/>
      </c>
      <c r="HG134" s="56">
        <f>IFERROR((SUMIFS(tblSafety[LTI],tblSafety[Date],"&gt;="&amp;EDATE($E134,-12),tblSafety[Date],"&lt;="&amp;$A134)+SUMIFS(tblSafetyHistory[LTI],tblSafetyHistory[Month],"&gt;="&amp;EDATE($E134,-12),tblSafetyHistory[Month],"&lt;"&amp;cfg_YearStart))/(SUMIFS(tblSafety[Hours_Total],tblSafety[Date],"&gt;="&amp;EDATE($E134,-12),tblSafety[Date],"&lt;="&amp;$A134)+SUMIFS(tblSafetyHistory[Hours_Total],tblSafetyHistory[Month],"&gt;="&amp;EDATE($E134,-12),tblSafetyHistory[Month],"&lt;"&amp;cfg_YearStart))*1000000,"")</f>
        <v/>
      </c>
      <c r="HH134" s="62">
        <f>IF(MAX(N(cfg_PriorLTIDate),_xlfn.MAXIFS(tblSafety[Date],tblSafety[LTI],"&gt;0",tblSafety[Date],"&lt;="&amp;$A134))=0,"",$A134-MAX(N(cfg_PriorLTIDate),_xlfn.MAXIFS(tblSafety[Date],tblSafety[LTI],"&gt;0",tblSafety[Date],"&lt;="&amp;$A134)))</f>
        <v/>
      </c>
      <c r="HI134" s="55">
        <f>SUMIFS(tblBudget[Ore_Mined_t],tblBudget[Month],$E134)</f>
        <v/>
      </c>
      <c r="HJ134" s="55">
        <f>$HI134*$C134/$D134</f>
        <v/>
      </c>
      <c r="HK134" s="55">
        <f>SUMIFS(tblBudget[Ore_Mined_t],tblBudget[Month],"&lt;"&amp;$E134)+$HJ134</f>
        <v/>
      </c>
      <c r="HL134" s="55">
        <f>SUMIFS(tblBudget[Ore_oz],tblBudget[Month],$E134)</f>
        <v/>
      </c>
      <c r="HM134" s="55">
        <f>$HL134*$C134/$D134</f>
        <v/>
      </c>
      <c r="HN134" s="55">
        <f>SUMIFS(tblBudget[Ore_oz],tblBudget[Month],"&lt;"&amp;$E134)+$HM134</f>
        <v/>
      </c>
      <c r="HO134" s="56">
        <f>IFERROR(IF(($HI134)&gt;0,($HL134*cfg_TroyOz)/($HI134),""),"")</f>
        <v/>
      </c>
      <c r="HP134" s="56">
        <f>IFERROR(IF(($HJ134)&gt;0,($HM134*cfg_TroyOz)/($HJ134),""),"")</f>
        <v/>
      </c>
      <c r="HQ134" s="56">
        <f>IFERROR(IF(($HK134)&gt;0,($HN134*cfg_TroyOz)/($HK134),""),"")</f>
        <v/>
      </c>
      <c r="HR134" s="55">
        <f>SUMIFS(tblBudget[Waste_t],tblBudget[Month],$E134)</f>
        <v/>
      </c>
      <c r="HS134" s="55">
        <f>$HR134*$C134/$D134</f>
        <v/>
      </c>
      <c r="HT134" s="55">
        <f>SUMIFS(tblBudget[Waste_t],tblBudget[Month],"&lt;"&amp;$E134)+$HS134</f>
        <v/>
      </c>
      <c r="HU134" s="55">
        <f>SUMIFS(tblBudget[TMM_t],tblBudget[Month],$E134)</f>
        <v/>
      </c>
      <c r="HV134" s="55">
        <f>$HU134*$C134/$D134</f>
        <v/>
      </c>
      <c r="HW134" s="55">
        <f>SUMIFS(tblBudget[TMM_t],tblBudget[Month],"&lt;"&amp;$E134)+$HV134</f>
        <v/>
      </c>
      <c r="HX134" s="56">
        <f>IFERROR(IF(($HI134)&gt;0,($HR134)/($HI134),""),"")</f>
        <v/>
      </c>
      <c r="HY134" s="56">
        <f>IFERROR(IF(($HJ134)&gt;0,($HS134)/($HJ134),""),"")</f>
        <v/>
      </c>
      <c r="HZ134" s="56">
        <f>IFERROR(IF(($HK134)&gt;0,($HT134)/($HK134),""),"")</f>
        <v/>
      </c>
      <c r="IA134" s="55">
        <f>SUMIFS(tblBudget[Drill_m],tblBudget[Month],$E134)</f>
        <v/>
      </c>
      <c r="IB134" s="55">
        <f>$IA134*$C134/$D134</f>
        <v/>
      </c>
      <c r="IC134" s="55">
        <f>SUMIFS(tblBudget[Drill_m],tblBudget[Month],"&lt;"&amp;$E134)+$IB134</f>
        <v/>
      </c>
      <c r="ID134" s="55">
        <f>SUMIFS(tblBudget[Diesel_L],tblBudget[Month],$E134)</f>
        <v/>
      </c>
      <c r="IE134" s="55">
        <f>$ID134*$C134/$D134</f>
        <v/>
      </c>
      <c r="IF134" s="55">
        <f>SUMIFS(tblBudget[Diesel_L],tblBudget[Month],"&lt;"&amp;$E134)+$IE134</f>
        <v/>
      </c>
      <c r="IG134" s="55">
        <f>SUMIFS(tblBudget[Milled_t],tblBudget[Month],$E134)</f>
        <v/>
      </c>
      <c r="IH134" s="55">
        <f>$IG134*$C134/$D134</f>
        <v/>
      </c>
      <c r="II134" s="55">
        <f>SUMIFS(tblBudget[Milled_t],tblBudget[Month],"&lt;"&amp;$E134)+$IH134</f>
        <v/>
      </c>
      <c r="IJ134" s="55">
        <f>SUMIFS(tblBudget[Feed_oz],tblBudget[Month],$E134)</f>
        <v/>
      </c>
      <c r="IK134" s="55">
        <f>$IJ134*$C134/$D134</f>
        <v/>
      </c>
      <c r="IL134" s="55">
        <f>SUMIFS(tblBudget[Feed_oz],tblBudget[Month],"&lt;"&amp;$E134)+$IK134</f>
        <v/>
      </c>
      <c r="IM134" s="55">
        <f>SUMIFS(tblBudget[Recovered_oz],tblBudget[Month],$E134)</f>
        <v/>
      </c>
      <c r="IN134" s="55">
        <f>$IM134*$C134/$D134</f>
        <v/>
      </c>
      <c r="IO134" s="55">
        <f>SUMIFS(tblBudget[Recovered_oz],tblBudget[Month],"&lt;"&amp;$E134)+$IN134</f>
        <v/>
      </c>
      <c r="IP134" s="56">
        <f>IFERROR(IF(($IG134)&gt;0,($IJ134*cfg_TroyOz)/($IG134),""),"")</f>
        <v/>
      </c>
      <c r="IQ134" s="56">
        <f>IFERROR(IF(($IH134)&gt;0,($IK134*cfg_TroyOz)/($IH134),""),"")</f>
        <v/>
      </c>
      <c r="IR134" s="56">
        <f>IFERROR(IF(($II134)&gt;0,($IL134*cfg_TroyOz)/($II134),""),"")</f>
        <v/>
      </c>
      <c r="IS134" s="67">
        <f>IFERROR(IF(($IJ134)&gt;0,($IM134)/($IJ134),""),"")</f>
        <v/>
      </c>
      <c r="IT134" s="67">
        <f>IFERROR(IF(($IK134)&gt;0,($IN134)/($IK134),""),"")</f>
        <v/>
      </c>
      <c r="IU134" s="67">
        <f>IFERROR(IF(($IL134)&gt;0,($IO134)/($IL134),""),"")</f>
        <v/>
      </c>
      <c r="IV134" s="55">
        <f>SUMIFS(tblBudget[Gold_Poured_oz],tblBudget[Month],$E134)</f>
        <v/>
      </c>
      <c r="IW134" s="55">
        <f>$IV134*$C134/$D134</f>
        <v/>
      </c>
      <c r="IX134" s="55">
        <f>SUMIFS(tblBudget[Gold_Poured_oz],tblBudget[Month],"&lt;"&amp;$E134)+$IW134</f>
        <v/>
      </c>
      <c r="IY134" s="57">
        <f>SUMIFS(tblBudget[Hours_Worked],tblBudget[Month],$E134)</f>
        <v/>
      </c>
      <c r="IZ134" s="57">
        <f>$IY134*$C134/$D134</f>
        <v/>
      </c>
      <c r="JA134" s="57">
        <f>SUMIFS(tblBudget[Hours_Worked],tblBudget[Month],"&lt;"&amp;$E134)+$IZ134</f>
        <v/>
      </c>
    </row>
    <row r="135">
      <c r="A135" s="54" t="n">
        <v>46156</v>
      </c>
      <c r="B135">
        <f>MONTH($A135)</f>
        <v/>
      </c>
      <c r="C135">
        <f>DAY($A135)</f>
        <v/>
      </c>
      <c r="D135">
        <f>DAY(EOMONTH($A135,0))</f>
        <v/>
      </c>
      <c r="E135" s="54">
        <f>DATE(YEAR($A135),MONTH($A135),1)</f>
        <v/>
      </c>
      <c r="F135" s="55">
        <f>SUMIFS(tblMovement[Tonnes_t],tblMovement[Date],$A135,tblMovement[Is_Ore],1,tblMovement[Source_Type],"Pit")</f>
        <v/>
      </c>
      <c r="G135" s="55">
        <f>IF($B135=$B134,$G134,0)+$F135</f>
        <v/>
      </c>
      <c r="H135" s="55">
        <f>$H134+$F135</f>
        <v/>
      </c>
      <c r="I135" s="55">
        <f>SUMIFS(tblMovement[Ore_oz],tblMovement[Date],$A135,tblMovement[Source_Type],"Pit")</f>
        <v/>
      </c>
      <c r="J135" s="55">
        <f>IF($B135=$B134,$J134,0)+$I135</f>
        <v/>
      </c>
      <c r="K135" s="55">
        <f>$K134+$I135</f>
        <v/>
      </c>
      <c r="L135" s="56">
        <f>IFERROR(IF(($F135)&gt;0,($I135*cfg_TroyOz)/($F135),""),"")</f>
        <v/>
      </c>
      <c r="M135" s="56">
        <f>IFERROR(IF(($G135)&gt;0,($J135*cfg_TroyOz)/($G135),""),"")</f>
        <v/>
      </c>
      <c r="N135" s="56">
        <f>IFERROR(IF(($H135)&gt;0,($K135*cfg_TroyOz)/($H135),""),"")</f>
        <v/>
      </c>
      <c r="O135" s="55">
        <f>SUMIFS(tblMovement[Tonnes_t],tblMovement[Date],$A135,tblMovement[Is_Ore],0,tblMovement[Source_Type],"Pit")</f>
        <v/>
      </c>
      <c r="P135" s="55">
        <f>IF($B135=$B134,$P134,0)+$O135</f>
        <v/>
      </c>
      <c r="Q135" s="55">
        <f>$Q134+$O135</f>
        <v/>
      </c>
      <c r="R135" s="55">
        <f>$F135+$O135</f>
        <v/>
      </c>
      <c r="S135" s="55">
        <f>IF($B135=$B134,$S134,0)+$R135</f>
        <v/>
      </c>
      <c r="T135" s="55">
        <f>$T134+$R135</f>
        <v/>
      </c>
      <c r="U135" s="56">
        <f>IFERROR(IF(($F135)&gt;0,($O135)/($F135),""),"")</f>
        <v/>
      </c>
      <c r="V135" s="56">
        <f>IFERROR(IF(($G135)&gt;0,($P135)/($G135),""),"")</f>
        <v/>
      </c>
      <c r="W135" s="56">
        <f>IFERROR(IF(($H135)&gt;0,($Q135)/($H135),""),"")</f>
        <v/>
      </c>
      <c r="X135" s="55">
        <f>SUMIFS(tblMovement[Tonnes_t],tblMovement[Date],$A135,tblMovement[Source_Type],"Stockpile")</f>
        <v/>
      </c>
      <c r="Y135" s="55">
        <f>IF($B135=$B134,$Y134,0)+$X135</f>
        <v/>
      </c>
      <c r="Z135" s="55">
        <f>$Z134+$X135</f>
        <v/>
      </c>
      <c r="AA135" s="55">
        <f>SUMIFS(tblMiningDaily[Drill_m],tblMiningDaily[Date],$A135)</f>
        <v/>
      </c>
      <c r="AB135" s="55">
        <f>IF($B135=$B134,$AB134,0)+$AA135</f>
        <v/>
      </c>
      <c r="AC135" s="55">
        <f>$AC134+$AA135</f>
        <v/>
      </c>
      <c r="AD135" s="55">
        <f>SUMIFS(tblMiningDaily[Blast_t],tblMiningDaily[Date],$A135)</f>
        <v/>
      </c>
      <c r="AE135" s="55">
        <f>IF($B135=$B134,$AE134,0)+$AD135</f>
        <v/>
      </c>
      <c r="AF135" s="55">
        <f>$AF134+$AD135</f>
        <v/>
      </c>
      <c r="AG135" s="55">
        <f>SUMIFS(tblMiningDaily[Explosives_kg],tblMiningDaily[Date],$A135)</f>
        <v/>
      </c>
      <c r="AH135" s="55">
        <f>IF($B135=$B134,$AH134,0)+$AG135</f>
        <v/>
      </c>
      <c r="AI135" s="55">
        <f>$AI134+$AG135</f>
        <v/>
      </c>
      <c r="AJ135" s="56">
        <f>IFERROR(IF(($AD135)&gt;0,($AG135)/($AD135),""),"")</f>
        <v/>
      </c>
      <c r="AK135" s="56">
        <f>IFERROR(IF(($AE135)&gt;0,($AH135)/($AE135),""),"")</f>
        <v/>
      </c>
      <c r="AL135" s="56">
        <f>IFERROR(IF(($AF135)&gt;0,($AI135)/($AF135),""),"")</f>
        <v/>
      </c>
      <c r="AM135" s="55">
        <f>SUMIFS(tblMiningDaily[Diesel_L],tblMiningDaily[Date],$A135)</f>
        <v/>
      </c>
      <c r="AN135" s="55">
        <f>IF($B135=$B134,$AN134,0)+$AM135</f>
        <v/>
      </c>
      <c r="AO135" s="55">
        <f>$AO134+$AM135</f>
        <v/>
      </c>
      <c r="AP135" s="55">
        <f>SUMIFS(tblMiningDaily[Dewatering_m3],tblMiningDaily[Date],$A135)</f>
        <v/>
      </c>
      <c r="AQ135" s="55">
        <f>IF($B135=$B134,$AQ134,0)+$AP135</f>
        <v/>
      </c>
      <c r="AR135" s="55">
        <f>$AR134+$AP135</f>
        <v/>
      </c>
      <c r="AS135" s="57">
        <f>SUMIFS(tblFleet[Calendar_h],tblFleet[Date],$A135,tblFleet[Equipment_Class],"Excavator")</f>
        <v/>
      </c>
      <c r="AT135" s="57">
        <f>IF($B135=$B134,$AT134,0)+$AS135</f>
        <v/>
      </c>
      <c r="AU135" s="57">
        <f>$AU134+$AS135</f>
        <v/>
      </c>
      <c r="AV135" s="57">
        <f>SUMIFS(tblFleet[Available_h],tblFleet[Date],$A135,tblFleet[Equipment_Class],"Excavator")</f>
        <v/>
      </c>
      <c r="AW135" s="57">
        <f>IF($B135=$B134,$AW134,0)+$AV135</f>
        <v/>
      </c>
      <c r="AX135" s="57">
        <f>$AX134+$AV135</f>
        <v/>
      </c>
      <c r="AY135" s="57">
        <f>SUMIFS(tblFleet[Operating_h],tblFleet[Date],$A135,tblFleet[Equipment_Class],"Excavator")</f>
        <v/>
      </c>
      <c r="AZ135" s="57">
        <f>IF($B135=$B134,$AZ134,0)+$AY135</f>
        <v/>
      </c>
      <c r="BA135" s="57">
        <f>$BA134+$AY135</f>
        <v/>
      </c>
      <c r="BB135" s="67">
        <f>IFERROR(IF(($AS135)&gt;0,($AV135)/($AS135),""),"")</f>
        <v/>
      </c>
      <c r="BC135" s="67">
        <f>IFERROR(IF(($AT135)&gt;0,($AW135)/($AT135),""),"")</f>
        <v/>
      </c>
      <c r="BD135" s="67">
        <f>IFERROR(IF(($AU135)&gt;0,($AX135)/($AU135),""),"")</f>
        <v/>
      </c>
      <c r="BE135" s="67">
        <f>IFERROR(IF(($AV135)&gt;0,($AY135)/($AV135),""),"")</f>
        <v/>
      </c>
      <c r="BF135" s="67">
        <f>IFERROR(IF(($AW135)&gt;0,($AZ135)/($AW135),""),"")</f>
        <v/>
      </c>
      <c r="BG135" s="67">
        <f>IFERROR(IF(($AX135)&gt;0,($BA135)/($AX135),""),"")</f>
        <v/>
      </c>
      <c r="BH135" s="57">
        <f>SUMIFS(tblFleet[Calendar_h],tblFleet[Date],$A135,tblFleet[Equipment_Class],"Haul Truck")</f>
        <v/>
      </c>
      <c r="BI135" s="57">
        <f>IF($B135=$B134,$BI134,0)+$BH135</f>
        <v/>
      </c>
      <c r="BJ135" s="57">
        <f>$BJ134+$BH135</f>
        <v/>
      </c>
      <c r="BK135" s="57">
        <f>SUMIFS(tblFleet[Available_h],tblFleet[Date],$A135,tblFleet[Equipment_Class],"Haul Truck")</f>
        <v/>
      </c>
      <c r="BL135" s="57">
        <f>IF($B135=$B134,$BL134,0)+$BK135</f>
        <v/>
      </c>
      <c r="BM135" s="57">
        <f>$BM134+$BK135</f>
        <v/>
      </c>
      <c r="BN135" s="57">
        <f>SUMIFS(tblFleet[Operating_h],tblFleet[Date],$A135,tblFleet[Equipment_Class],"Haul Truck")</f>
        <v/>
      </c>
      <c r="BO135" s="57">
        <f>IF($B135=$B134,$BO134,0)+$BN135</f>
        <v/>
      </c>
      <c r="BP135" s="57">
        <f>$BP134+$BN135</f>
        <v/>
      </c>
      <c r="BQ135" s="67">
        <f>IFERROR(IF(($BH135)&gt;0,($BK135)/($BH135),""),"")</f>
        <v/>
      </c>
      <c r="BR135" s="67">
        <f>IFERROR(IF(($BI135)&gt;0,($BL135)/($BI135),""),"")</f>
        <v/>
      </c>
      <c r="BS135" s="67">
        <f>IFERROR(IF(($BJ135)&gt;0,($BM135)/($BJ135),""),"")</f>
        <v/>
      </c>
      <c r="BT135" s="67">
        <f>IFERROR(IF(($BK135)&gt;0,($BN135)/($BK135),""),"")</f>
        <v/>
      </c>
      <c r="BU135" s="67">
        <f>IFERROR(IF(($BL135)&gt;0,($BO135)/($BL135),""),"")</f>
        <v/>
      </c>
      <c r="BV135" s="67">
        <f>IFERROR(IF(($BM135)&gt;0,($BP135)/($BM135),""),"")</f>
        <v/>
      </c>
      <c r="BW135" s="55">
        <f>SUMIFS(tblPlant[Crushed_t],tblPlant[Date],$A135)</f>
        <v/>
      </c>
      <c r="BX135" s="55">
        <f>IF($B135=$B134,$BX134,0)+$BW135</f>
        <v/>
      </c>
      <c r="BY135" s="55">
        <f>$BY134+$BW135</f>
        <v/>
      </c>
      <c r="BZ135" s="55">
        <f>SUMIFS(tblPlant[Milled_t],tblPlant[Date],$A135)</f>
        <v/>
      </c>
      <c r="CA135" s="55">
        <f>IF($B135=$B134,$CA134,0)+$BZ135</f>
        <v/>
      </c>
      <c r="CB135" s="55">
        <f>$CB134+$BZ135</f>
        <v/>
      </c>
      <c r="CC135" s="55">
        <f>SUMIFS(tblPlant[Feed_oz],tblPlant[Date],$A135)</f>
        <v/>
      </c>
      <c r="CD135" s="55">
        <f>IF($B135=$B134,$CD134,0)+$CC135</f>
        <v/>
      </c>
      <c r="CE135" s="55">
        <f>$CE134+$CC135</f>
        <v/>
      </c>
      <c r="CF135" s="55">
        <f>SUMIFS(tblPlant[Tails_oz],tblPlant[Date],$A135)</f>
        <v/>
      </c>
      <c r="CG135" s="55">
        <f>IF($B135=$B134,$CG134,0)+$CF135</f>
        <v/>
      </c>
      <c r="CH135" s="55">
        <f>$CH134+$CF135</f>
        <v/>
      </c>
      <c r="CI135" s="55">
        <f>SUMIFS(tblPlant[Recovered_oz],tblPlant[Date],$A135)</f>
        <v/>
      </c>
      <c r="CJ135" s="55">
        <f>IF($B135=$B134,$CJ134,0)+$CI135</f>
        <v/>
      </c>
      <c r="CK135" s="55">
        <f>$CK134+$CI135</f>
        <v/>
      </c>
      <c r="CL135" s="56">
        <f>IFERROR(IF(($BZ135)&gt;0,($CC135*cfg_TroyOz)/($BZ135),""),"")</f>
        <v/>
      </c>
      <c r="CM135" s="56">
        <f>IFERROR(IF(($CA135)&gt;0,($CD135*cfg_TroyOz)/($CA135),""),"")</f>
        <v/>
      </c>
      <c r="CN135" s="56">
        <f>IFERROR(IF(($CB135)&gt;0,($CE135*cfg_TroyOz)/($CB135),""),"")</f>
        <v/>
      </c>
      <c r="CO135" s="56">
        <f>IFERROR(IF(($BZ135)&gt;0,($CF135*cfg_TroyOz)/($BZ135),""),"")</f>
        <v/>
      </c>
      <c r="CP135" s="56">
        <f>IFERROR(IF(($CA135)&gt;0,($CG135*cfg_TroyOz)/($CA135),""),"")</f>
        <v/>
      </c>
      <c r="CQ135" s="56">
        <f>IFERROR(IF(($CB135)&gt;0,($CH135*cfg_TroyOz)/($CB135),""),"")</f>
        <v/>
      </c>
      <c r="CR135" s="67">
        <f>IFERROR(IF(($CC135)&gt;0,($CI135)/($CC135),""),"")</f>
        <v/>
      </c>
      <c r="CS135" s="67">
        <f>IFERROR(IF(($CD135)&gt;0,($CJ135)/($CD135),""),"")</f>
        <v/>
      </c>
      <c r="CT135" s="67">
        <f>IFERROR(IF(($CE135)&gt;0,($CK135)/($CE135),""),"")</f>
        <v/>
      </c>
      <c r="CU135" s="55">
        <f>SUMIFS(tblPlant[Gravity_Gold_oz],tblPlant[Date],$A135)</f>
        <v/>
      </c>
      <c r="CV135" s="55">
        <f>IF($B135=$B134,$CV134,0)+$CU135</f>
        <v/>
      </c>
      <c r="CW135" s="55">
        <f>$CW134+$CU135</f>
        <v/>
      </c>
      <c r="CX135" s="55">
        <f>SUMIFS(tblPlant[Gold_Poured_oz],tblPlant[Date],$A135)</f>
        <v/>
      </c>
      <c r="CY135" s="55">
        <f>IF($B135=$B134,$CY134,0)+$CX135</f>
        <v/>
      </c>
      <c r="CZ135" s="55">
        <f>$CZ134+$CX135</f>
        <v/>
      </c>
      <c r="DA135" s="57">
        <f>SUMIFS(tblPlant[Mill_Run_h],tblPlant[Date],$A135)</f>
        <v/>
      </c>
      <c r="DB135" s="57">
        <f>IF($B135=$B134,$DB134,0)+$DA135</f>
        <v/>
      </c>
      <c r="DC135" s="57">
        <f>$DC134+$DA135</f>
        <v/>
      </c>
      <c r="DD135" s="57">
        <f>SUMIFS(tblPlant[Mill_Planned_Maint_h],tblPlant[Date],$A135)</f>
        <v/>
      </c>
      <c r="DE135" s="57">
        <f>IF($B135=$B134,$DE134,0)+$DD135</f>
        <v/>
      </c>
      <c r="DF135" s="57">
        <f>$DF134+$DD135</f>
        <v/>
      </c>
      <c r="DG135" s="57">
        <f>SUMIFS(tblPlant[Mill_Unplanned_Down_h],tblPlant[Date],$A135)</f>
        <v/>
      </c>
      <c r="DH135" s="57">
        <f>IF($B135=$B134,$DH134,0)+$DG135</f>
        <v/>
      </c>
      <c r="DI135" s="57">
        <f>$DI134+$DG135</f>
        <v/>
      </c>
      <c r="DJ135" s="57">
        <f>COUNTIFS(tblPlant[Date],$A135,tblPlant[Mill_Run_h],"&lt;&gt;")*24</f>
        <v/>
      </c>
      <c r="DK135" s="57">
        <f>IF($B135=$B134,$DK134,0)+$DJ135</f>
        <v/>
      </c>
      <c r="DL135" s="57">
        <f>$DL134+$DJ135</f>
        <v/>
      </c>
      <c r="DM135" s="57">
        <f>SUMIFS(tblPlant[Crusher_Run_h],tblPlant[Date],$A135)</f>
        <v/>
      </c>
      <c r="DN135" s="57">
        <f>IF($B135=$B134,$DN134,0)+$DM135</f>
        <v/>
      </c>
      <c r="DO135" s="57">
        <f>$DO134+$DM135</f>
        <v/>
      </c>
      <c r="DP135" s="55">
        <f>IFERROR(IF(($DA135)&gt;0,($BZ135)/($DA135),""),"")</f>
        <v/>
      </c>
      <c r="DQ135" s="55">
        <f>IFERROR(IF(($DB135)&gt;0,($CA135)/($DB135),""),"")</f>
        <v/>
      </c>
      <c r="DR135" s="55">
        <f>IFERROR(IF(($DC135)&gt;0,($CB135)/($DC135),""),"")</f>
        <v/>
      </c>
      <c r="DS135" s="67">
        <f>IFERROR(IF(($DJ135)&gt;0,($DJ135-$DD135-$DG135)/($DJ135),""),"")</f>
        <v/>
      </c>
      <c r="DT135" s="67">
        <f>IFERROR(IF(($DK135)&gt;0,($DK135-$DE135-$DH135)/($DK135),""),"")</f>
        <v/>
      </c>
      <c r="DU135" s="67">
        <f>IFERROR(IF(($DL135)&gt;0,($DL135-$DF135-$DI135)/($DL135),""),"")</f>
        <v/>
      </c>
      <c r="DV135" s="67">
        <f>IFERROR(IF(($DJ135-$DD135-$DG135)&gt;0,($DA135)/($DJ135-$DD135-$DG135),""),"")</f>
        <v/>
      </c>
      <c r="DW135" s="67">
        <f>IFERROR(IF(($DK135-$DE135-$DH135)&gt;0,($DB135)/($DK135-$DE135-$DH135),""),"")</f>
        <v/>
      </c>
      <c r="DX135" s="67">
        <f>IFERROR(IF(($DL135-$DF135-$DI135)&gt;0,($DC135)/($DL135-$DF135-$DI135),""),"")</f>
        <v/>
      </c>
      <c r="DY135" s="55">
        <f>SUMIFS(tblPlant[Cyanide_kg],tblPlant[Date],$A135)</f>
        <v/>
      </c>
      <c r="DZ135" s="55">
        <f>IF($B135=$B134,$DZ134,0)+$DY135</f>
        <v/>
      </c>
      <c r="EA135" s="55">
        <f>$EA134+$DY135</f>
        <v/>
      </c>
      <c r="EB135" s="55">
        <f>SUMIFS(tblPlant[Lime_kg],tblPlant[Date],$A135)</f>
        <v/>
      </c>
      <c r="EC135" s="55">
        <f>IF($B135=$B134,$EC134,0)+$EB135</f>
        <v/>
      </c>
      <c r="ED135" s="55">
        <f>$ED134+$EB135</f>
        <v/>
      </c>
      <c r="EE135" s="55">
        <f>SUMIFS(tblPlant[Grinding_Media_kg],tblPlant[Date],$A135)</f>
        <v/>
      </c>
      <c r="EF135" s="55">
        <f>IF($B135=$B134,$EF134,0)+$EE135</f>
        <v/>
      </c>
      <c r="EG135" s="55">
        <f>$EG134+$EE135</f>
        <v/>
      </c>
      <c r="EH135" s="55">
        <f>SUMIFS(tblPlant[Power_kWh],tblPlant[Date],$A135)</f>
        <v/>
      </c>
      <c r="EI135" s="55">
        <f>IF($B135=$B134,$EI134,0)+$EH135</f>
        <v/>
      </c>
      <c r="EJ135" s="55">
        <f>$EJ134+$EH135</f>
        <v/>
      </c>
      <c r="EK135" s="55">
        <f>SUMIFS(tblPlant[Raw_Water_m3],tblPlant[Date],$A135)</f>
        <v/>
      </c>
      <c r="EL135" s="55">
        <f>IF($B135=$B134,$EL134,0)+$EK135</f>
        <v/>
      </c>
      <c r="EM135" s="55">
        <f>$EM134+$EK135</f>
        <v/>
      </c>
      <c r="EN135" s="56">
        <f>IFERROR(IF(($BZ135)&gt;0,($DY135)/($BZ135),""),"")</f>
        <v/>
      </c>
      <c r="EO135" s="56">
        <f>IFERROR(IF(($CA135)&gt;0,($DZ135)/($CA135),""),"")</f>
        <v/>
      </c>
      <c r="EP135" s="56">
        <f>IFERROR(IF(($CB135)&gt;0,($EA135)/($CB135),""),"")</f>
        <v/>
      </c>
      <c r="EQ135" s="56">
        <f>IFERROR(IF(($BZ135)&gt;0,($EB135)/($BZ135),""),"")</f>
        <v/>
      </c>
      <c r="ER135" s="56">
        <f>IFERROR(IF(($CA135)&gt;0,($EC135)/($CA135),""),"")</f>
        <v/>
      </c>
      <c r="ES135" s="56">
        <f>IFERROR(IF(($CB135)&gt;0,($ED135)/($CB135),""),"")</f>
        <v/>
      </c>
      <c r="ET135" s="56">
        <f>IFERROR(IF(($BZ135)&gt;0,($EE135)/($BZ135),""),"")</f>
        <v/>
      </c>
      <c r="EU135" s="56">
        <f>IFERROR(IF(($CA135)&gt;0,($EF135)/($CA135),""),"")</f>
        <v/>
      </c>
      <c r="EV135" s="56">
        <f>IFERROR(IF(($CB135)&gt;0,($EG135)/($CB135),""),"")</f>
        <v/>
      </c>
      <c r="EW135" s="76">
        <f>IFERROR(IF(($BZ135)&gt;0,($EH135)/($BZ135),""),"")</f>
        <v/>
      </c>
      <c r="EX135" s="76">
        <f>IFERROR(IF(($CA135)&gt;0,($EI135)/($CA135),""),"")</f>
        <v/>
      </c>
      <c r="EY135" s="76">
        <f>IFERROR(IF(($CB135)&gt;0,($EJ135)/($CB135),""),"")</f>
        <v/>
      </c>
      <c r="EZ135" s="56">
        <f>IFERROR(IF(($BZ135)&gt;0,($EK135)/($BZ135),""),"")</f>
        <v/>
      </c>
      <c r="FA135" s="56">
        <f>IFERROR(IF(($CA135)&gt;0,($EL135)/($CA135),""),"")</f>
        <v/>
      </c>
      <c r="FB135" s="56">
        <f>IFERROR(IF(($CB135)&gt;0,($EM135)/($CB135),""),"")</f>
        <v/>
      </c>
      <c r="FC135" s="55">
        <f>IF(SUMIFS(tblPlant[GIC_oz],tblPlant[Date],$A135)&gt;0,SUMIFS(tblPlant[GIC_oz],tblPlant[Date],$A135),"")</f>
        <v/>
      </c>
      <c r="FD135" s="55">
        <f>SUMIFS(tblGold[Gold_oz],tblGold[Date],$A135,tblGold[Type],"Shipment")</f>
        <v/>
      </c>
      <c r="FE135" s="55">
        <f>IF($B135=$B134,$FE134,0)+$FD135</f>
        <v/>
      </c>
      <c r="FF135" s="55">
        <f>$FF134+$FD135</f>
        <v/>
      </c>
      <c r="FG135" s="55">
        <f>SUMIFS(tblGold[Gold_oz],tblGold[Date],$A135,tblGold[Type],"Sale")</f>
        <v/>
      </c>
      <c r="FH135" s="55">
        <f>IF($B135=$B134,$FH134,0)+$FG135</f>
        <v/>
      </c>
      <c r="FI135" s="55">
        <f>$FI134+$FG135</f>
        <v/>
      </c>
      <c r="FJ135" s="55">
        <f>SUMIFS(tblGold[Dore_kg],tblGold[Date],$A135,tblGold[Type],"Shipment")</f>
        <v/>
      </c>
      <c r="FK135" s="55">
        <f>IF($B135=$B134,$FK134,0)+$FJ135</f>
        <v/>
      </c>
      <c r="FL135" s="55">
        <f>$FL134+$FJ135</f>
        <v/>
      </c>
      <c r="FM135" s="57">
        <f>SUMIFS(tblSafety[Hours_Total],tblSafety[Date],$A135)</f>
        <v/>
      </c>
      <c r="FN135" s="57">
        <f>IF($B135=$B134,$FN134,0)+$FM135</f>
        <v/>
      </c>
      <c r="FO135" s="57">
        <f>$FO134+$FM135</f>
        <v/>
      </c>
      <c r="FP135" s="62">
        <f>SUMIFS(tblSafety[Fatality],tblSafety[Date],$A135)</f>
        <v/>
      </c>
      <c r="FQ135" s="62">
        <f>IF($B135=$B134,$FQ134,0)+$FP135</f>
        <v/>
      </c>
      <c r="FR135" s="62">
        <f>$FR134+$FP135</f>
        <v/>
      </c>
      <c r="FS135" s="62">
        <f>SUMIFS(tblSafety[LTI],tblSafety[Date],$A135)</f>
        <v/>
      </c>
      <c r="FT135" s="62">
        <f>IF($B135=$B134,$FT134,0)+$FS135</f>
        <v/>
      </c>
      <c r="FU135" s="62">
        <f>$FU134+$FS135</f>
        <v/>
      </c>
      <c r="FV135" s="62">
        <f>SUMIFS(tblSafety[RWI],tblSafety[Date],$A135)</f>
        <v/>
      </c>
      <c r="FW135" s="62">
        <f>IF($B135=$B134,$FW134,0)+$FV135</f>
        <v/>
      </c>
      <c r="FX135" s="62">
        <f>$FX134+$FV135</f>
        <v/>
      </c>
      <c r="FY135" s="62">
        <f>SUMIFS(tblSafety[MTI],tblSafety[Date],$A135)</f>
        <v/>
      </c>
      <c r="FZ135" s="62">
        <f>IF($B135=$B134,$FZ134,0)+$FY135</f>
        <v/>
      </c>
      <c r="GA135" s="62">
        <f>$GA134+$FY135</f>
        <v/>
      </c>
      <c r="GB135" s="62">
        <f>SUMIFS(tblSafety[FAI],tblSafety[Date],$A135)</f>
        <v/>
      </c>
      <c r="GC135" s="62">
        <f>IF($B135=$B134,$GC134,0)+$GB135</f>
        <v/>
      </c>
      <c r="GD135" s="62">
        <f>$GD134+$GB135</f>
        <v/>
      </c>
      <c r="GE135" s="62">
        <f>SUMIFS(tblSafety[Recordables],tblSafety[Date],$A135)</f>
        <v/>
      </c>
      <c r="GF135" s="62">
        <f>IF($B135=$B134,$GF134,0)+$GE135</f>
        <v/>
      </c>
      <c r="GG135" s="62">
        <f>$GG134+$GE135</f>
        <v/>
      </c>
      <c r="GH135" s="62">
        <f>SUMIFS(tblSafety[Near_Miss],tblSafety[Date],$A135)</f>
        <v/>
      </c>
      <c r="GI135" s="62">
        <f>IF($B135=$B134,$GI134,0)+$GH135</f>
        <v/>
      </c>
      <c r="GJ135" s="62">
        <f>$GJ134+$GH135</f>
        <v/>
      </c>
      <c r="GK135" s="62">
        <f>SUMIFS(tblSafety[Hazard_Reports],tblSafety[Date],$A135)</f>
        <v/>
      </c>
      <c r="GL135" s="62">
        <f>IF($B135=$B134,$GL134,0)+$GK135</f>
        <v/>
      </c>
      <c r="GM135" s="62">
        <f>$GM134+$GK135</f>
        <v/>
      </c>
      <c r="GN135" s="62">
        <f>SUMIFS(tblSafety[HPI],tblSafety[Date],$A135)</f>
        <v/>
      </c>
      <c r="GO135" s="62">
        <f>IF($B135=$B134,$GO134,0)+$GN135</f>
        <v/>
      </c>
      <c r="GP135" s="62">
        <f>$GP134+$GN135</f>
        <v/>
      </c>
      <c r="GQ135" s="62">
        <f>SUMIFS(tblSafety[Env_Incidents],tblSafety[Date],$A135)</f>
        <v/>
      </c>
      <c r="GR135" s="62">
        <f>IF($B135=$B134,$GR134,0)+$GQ135</f>
        <v/>
      </c>
      <c r="GS135" s="62">
        <f>$GS134+$GQ135</f>
        <v/>
      </c>
      <c r="GT135" s="62">
        <f>SUMIFS(tblSafety[Community_Incidents],tblSafety[Date],$A135)</f>
        <v/>
      </c>
      <c r="GU135" s="62">
        <f>IF($B135=$B134,$GU134,0)+$GT135</f>
        <v/>
      </c>
      <c r="GV135" s="62">
        <f>$GV134+$GT135</f>
        <v/>
      </c>
      <c r="GW135" s="62">
        <f>SUMIFS(tblSafety[Vehicle_Incidents],tblSafety[Date],$A135)</f>
        <v/>
      </c>
      <c r="GX135" s="62">
        <f>IF($B135=$B134,$GX134,0)+$GW135</f>
        <v/>
      </c>
      <c r="GY135" s="62">
        <f>$GY134+$GW135</f>
        <v/>
      </c>
      <c r="GZ135" s="62">
        <f>SUMIFS(tblSafety[Toolbox_Talks],tblSafety[Date],$A135)</f>
        <v/>
      </c>
      <c r="HA135" s="62">
        <f>IF($B135=$B134,$HA134,0)+$GZ135</f>
        <v/>
      </c>
      <c r="HB135" s="62">
        <f>$HB134+$GZ135</f>
        <v/>
      </c>
      <c r="HC135" s="62">
        <f>SUMIFS(tblSafety[Inspections],tblSafety[Date],$A135)</f>
        <v/>
      </c>
      <c r="HD135" s="62">
        <f>IF($B135=$B134,$HD134,0)+$HC135</f>
        <v/>
      </c>
      <c r="HE135" s="62">
        <f>$HE134+$HC135</f>
        <v/>
      </c>
      <c r="HF135" s="56">
        <f>IFERROR((SUMIFS(tblSafety[Recordables],tblSafety[Date],"&gt;="&amp;EDATE($E135,-12),tblSafety[Date],"&lt;="&amp;$A135)+SUMIFS(tblSafetyHistory[Recordables],tblSafetyHistory[Month],"&gt;="&amp;EDATE($E135,-12),tblSafetyHistory[Month],"&lt;"&amp;cfg_YearStart))/(SUMIFS(tblSafety[Hours_Total],tblSafety[Date],"&gt;="&amp;EDATE($E135,-12),tblSafety[Date],"&lt;="&amp;$A135)+SUMIFS(tblSafetyHistory[Hours_Total],tblSafetyHistory[Month],"&gt;="&amp;EDATE($E135,-12),tblSafetyHistory[Month],"&lt;"&amp;cfg_YearStart))*1000000,"")</f>
        <v/>
      </c>
      <c r="HG135" s="56">
        <f>IFERROR((SUMIFS(tblSafety[LTI],tblSafety[Date],"&gt;="&amp;EDATE($E135,-12),tblSafety[Date],"&lt;="&amp;$A135)+SUMIFS(tblSafetyHistory[LTI],tblSafetyHistory[Month],"&gt;="&amp;EDATE($E135,-12),tblSafetyHistory[Month],"&lt;"&amp;cfg_YearStart))/(SUMIFS(tblSafety[Hours_Total],tblSafety[Date],"&gt;="&amp;EDATE($E135,-12),tblSafety[Date],"&lt;="&amp;$A135)+SUMIFS(tblSafetyHistory[Hours_Total],tblSafetyHistory[Month],"&gt;="&amp;EDATE($E135,-12),tblSafetyHistory[Month],"&lt;"&amp;cfg_YearStart))*1000000,"")</f>
        <v/>
      </c>
      <c r="HH135" s="62">
        <f>IF(MAX(N(cfg_PriorLTIDate),_xlfn.MAXIFS(tblSafety[Date],tblSafety[LTI],"&gt;0",tblSafety[Date],"&lt;="&amp;$A135))=0,"",$A135-MAX(N(cfg_PriorLTIDate),_xlfn.MAXIFS(tblSafety[Date],tblSafety[LTI],"&gt;0",tblSafety[Date],"&lt;="&amp;$A135)))</f>
        <v/>
      </c>
      <c r="HI135" s="55">
        <f>SUMIFS(tblBudget[Ore_Mined_t],tblBudget[Month],$E135)</f>
        <v/>
      </c>
      <c r="HJ135" s="55">
        <f>$HI135*$C135/$D135</f>
        <v/>
      </c>
      <c r="HK135" s="55">
        <f>SUMIFS(tblBudget[Ore_Mined_t],tblBudget[Month],"&lt;"&amp;$E135)+$HJ135</f>
        <v/>
      </c>
      <c r="HL135" s="55">
        <f>SUMIFS(tblBudget[Ore_oz],tblBudget[Month],$E135)</f>
        <v/>
      </c>
      <c r="HM135" s="55">
        <f>$HL135*$C135/$D135</f>
        <v/>
      </c>
      <c r="HN135" s="55">
        <f>SUMIFS(tblBudget[Ore_oz],tblBudget[Month],"&lt;"&amp;$E135)+$HM135</f>
        <v/>
      </c>
      <c r="HO135" s="56">
        <f>IFERROR(IF(($HI135)&gt;0,($HL135*cfg_TroyOz)/($HI135),""),"")</f>
        <v/>
      </c>
      <c r="HP135" s="56">
        <f>IFERROR(IF(($HJ135)&gt;0,($HM135*cfg_TroyOz)/($HJ135),""),"")</f>
        <v/>
      </c>
      <c r="HQ135" s="56">
        <f>IFERROR(IF(($HK135)&gt;0,($HN135*cfg_TroyOz)/($HK135),""),"")</f>
        <v/>
      </c>
      <c r="HR135" s="55">
        <f>SUMIFS(tblBudget[Waste_t],tblBudget[Month],$E135)</f>
        <v/>
      </c>
      <c r="HS135" s="55">
        <f>$HR135*$C135/$D135</f>
        <v/>
      </c>
      <c r="HT135" s="55">
        <f>SUMIFS(tblBudget[Waste_t],tblBudget[Month],"&lt;"&amp;$E135)+$HS135</f>
        <v/>
      </c>
      <c r="HU135" s="55">
        <f>SUMIFS(tblBudget[TMM_t],tblBudget[Month],$E135)</f>
        <v/>
      </c>
      <c r="HV135" s="55">
        <f>$HU135*$C135/$D135</f>
        <v/>
      </c>
      <c r="HW135" s="55">
        <f>SUMIFS(tblBudget[TMM_t],tblBudget[Month],"&lt;"&amp;$E135)+$HV135</f>
        <v/>
      </c>
      <c r="HX135" s="56">
        <f>IFERROR(IF(($HI135)&gt;0,($HR135)/($HI135),""),"")</f>
        <v/>
      </c>
      <c r="HY135" s="56">
        <f>IFERROR(IF(($HJ135)&gt;0,($HS135)/($HJ135),""),"")</f>
        <v/>
      </c>
      <c r="HZ135" s="56">
        <f>IFERROR(IF(($HK135)&gt;0,($HT135)/($HK135),""),"")</f>
        <v/>
      </c>
      <c r="IA135" s="55">
        <f>SUMIFS(tblBudget[Drill_m],tblBudget[Month],$E135)</f>
        <v/>
      </c>
      <c r="IB135" s="55">
        <f>$IA135*$C135/$D135</f>
        <v/>
      </c>
      <c r="IC135" s="55">
        <f>SUMIFS(tblBudget[Drill_m],tblBudget[Month],"&lt;"&amp;$E135)+$IB135</f>
        <v/>
      </c>
      <c r="ID135" s="55">
        <f>SUMIFS(tblBudget[Diesel_L],tblBudget[Month],$E135)</f>
        <v/>
      </c>
      <c r="IE135" s="55">
        <f>$ID135*$C135/$D135</f>
        <v/>
      </c>
      <c r="IF135" s="55">
        <f>SUMIFS(tblBudget[Diesel_L],tblBudget[Month],"&lt;"&amp;$E135)+$IE135</f>
        <v/>
      </c>
      <c r="IG135" s="55">
        <f>SUMIFS(tblBudget[Milled_t],tblBudget[Month],$E135)</f>
        <v/>
      </c>
      <c r="IH135" s="55">
        <f>$IG135*$C135/$D135</f>
        <v/>
      </c>
      <c r="II135" s="55">
        <f>SUMIFS(tblBudget[Milled_t],tblBudget[Month],"&lt;"&amp;$E135)+$IH135</f>
        <v/>
      </c>
      <c r="IJ135" s="55">
        <f>SUMIFS(tblBudget[Feed_oz],tblBudget[Month],$E135)</f>
        <v/>
      </c>
      <c r="IK135" s="55">
        <f>$IJ135*$C135/$D135</f>
        <v/>
      </c>
      <c r="IL135" s="55">
        <f>SUMIFS(tblBudget[Feed_oz],tblBudget[Month],"&lt;"&amp;$E135)+$IK135</f>
        <v/>
      </c>
      <c r="IM135" s="55">
        <f>SUMIFS(tblBudget[Recovered_oz],tblBudget[Month],$E135)</f>
        <v/>
      </c>
      <c r="IN135" s="55">
        <f>$IM135*$C135/$D135</f>
        <v/>
      </c>
      <c r="IO135" s="55">
        <f>SUMIFS(tblBudget[Recovered_oz],tblBudget[Month],"&lt;"&amp;$E135)+$IN135</f>
        <v/>
      </c>
      <c r="IP135" s="56">
        <f>IFERROR(IF(($IG135)&gt;0,($IJ135*cfg_TroyOz)/($IG135),""),"")</f>
        <v/>
      </c>
      <c r="IQ135" s="56">
        <f>IFERROR(IF(($IH135)&gt;0,($IK135*cfg_TroyOz)/($IH135),""),"")</f>
        <v/>
      </c>
      <c r="IR135" s="56">
        <f>IFERROR(IF(($II135)&gt;0,($IL135*cfg_TroyOz)/($II135),""),"")</f>
        <v/>
      </c>
      <c r="IS135" s="67">
        <f>IFERROR(IF(($IJ135)&gt;0,($IM135)/($IJ135),""),"")</f>
        <v/>
      </c>
      <c r="IT135" s="67">
        <f>IFERROR(IF(($IK135)&gt;0,($IN135)/($IK135),""),"")</f>
        <v/>
      </c>
      <c r="IU135" s="67">
        <f>IFERROR(IF(($IL135)&gt;0,($IO135)/($IL135),""),"")</f>
        <v/>
      </c>
      <c r="IV135" s="55">
        <f>SUMIFS(tblBudget[Gold_Poured_oz],tblBudget[Month],$E135)</f>
        <v/>
      </c>
      <c r="IW135" s="55">
        <f>$IV135*$C135/$D135</f>
        <v/>
      </c>
      <c r="IX135" s="55">
        <f>SUMIFS(tblBudget[Gold_Poured_oz],tblBudget[Month],"&lt;"&amp;$E135)+$IW135</f>
        <v/>
      </c>
      <c r="IY135" s="57">
        <f>SUMIFS(tblBudget[Hours_Worked],tblBudget[Month],$E135)</f>
        <v/>
      </c>
      <c r="IZ135" s="57">
        <f>$IY135*$C135/$D135</f>
        <v/>
      </c>
      <c r="JA135" s="57">
        <f>SUMIFS(tblBudget[Hours_Worked],tblBudget[Month],"&lt;"&amp;$E135)+$IZ135</f>
        <v/>
      </c>
    </row>
    <row r="136">
      <c r="A136" s="54" t="n">
        <v>46157</v>
      </c>
      <c r="B136">
        <f>MONTH($A136)</f>
        <v/>
      </c>
      <c r="C136">
        <f>DAY($A136)</f>
        <v/>
      </c>
      <c r="D136">
        <f>DAY(EOMONTH($A136,0))</f>
        <v/>
      </c>
      <c r="E136" s="54">
        <f>DATE(YEAR($A136),MONTH($A136),1)</f>
        <v/>
      </c>
      <c r="F136" s="55">
        <f>SUMIFS(tblMovement[Tonnes_t],tblMovement[Date],$A136,tblMovement[Is_Ore],1,tblMovement[Source_Type],"Pit")</f>
        <v/>
      </c>
      <c r="G136" s="55">
        <f>IF($B136=$B135,$G135,0)+$F136</f>
        <v/>
      </c>
      <c r="H136" s="55">
        <f>$H135+$F136</f>
        <v/>
      </c>
      <c r="I136" s="55">
        <f>SUMIFS(tblMovement[Ore_oz],tblMovement[Date],$A136,tblMovement[Source_Type],"Pit")</f>
        <v/>
      </c>
      <c r="J136" s="55">
        <f>IF($B136=$B135,$J135,0)+$I136</f>
        <v/>
      </c>
      <c r="K136" s="55">
        <f>$K135+$I136</f>
        <v/>
      </c>
      <c r="L136" s="56">
        <f>IFERROR(IF(($F136)&gt;0,($I136*cfg_TroyOz)/($F136),""),"")</f>
        <v/>
      </c>
      <c r="M136" s="56">
        <f>IFERROR(IF(($G136)&gt;0,($J136*cfg_TroyOz)/($G136),""),"")</f>
        <v/>
      </c>
      <c r="N136" s="56">
        <f>IFERROR(IF(($H136)&gt;0,($K136*cfg_TroyOz)/($H136),""),"")</f>
        <v/>
      </c>
      <c r="O136" s="55">
        <f>SUMIFS(tblMovement[Tonnes_t],tblMovement[Date],$A136,tblMovement[Is_Ore],0,tblMovement[Source_Type],"Pit")</f>
        <v/>
      </c>
      <c r="P136" s="55">
        <f>IF($B136=$B135,$P135,0)+$O136</f>
        <v/>
      </c>
      <c r="Q136" s="55">
        <f>$Q135+$O136</f>
        <v/>
      </c>
      <c r="R136" s="55">
        <f>$F136+$O136</f>
        <v/>
      </c>
      <c r="S136" s="55">
        <f>IF($B136=$B135,$S135,0)+$R136</f>
        <v/>
      </c>
      <c r="T136" s="55">
        <f>$T135+$R136</f>
        <v/>
      </c>
      <c r="U136" s="56">
        <f>IFERROR(IF(($F136)&gt;0,($O136)/($F136),""),"")</f>
        <v/>
      </c>
      <c r="V136" s="56">
        <f>IFERROR(IF(($G136)&gt;0,($P136)/($G136),""),"")</f>
        <v/>
      </c>
      <c r="W136" s="56">
        <f>IFERROR(IF(($H136)&gt;0,($Q136)/($H136),""),"")</f>
        <v/>
      </c>
      <c r="X136" s="55">
        <f>SUMIFS(tblMovement[Tonnes_t],tblMovement[Date],$A136,tblMovement[Source_Type],"Stockpile")</f>
        <v/>
      </c>
      <c r="Y136" s="55">
        <f>IF($B136=$B135,$Y135,0)+$X136</f>
        <v/>
      </c>
      <c r="Z136" s="55">
        <f>$Z135+$X136</f>
        <v/>
      </c>
      <c r="AA136" s="55">
        <f>SUMIFS(tblMiningDaily[Drill_m],tblMiningDaily[Date],$A136)</f>
        <v/>
      </c>
      <c r="AB136" s="55">
        <f>IF($B136=$B135,$AB135,0)+$AA136</f>
        <v/>
      </c>
      <c r="AC136" s="55">
        <f>$AC135+$AA136</f>
        <v/>
      </c>
      <c r="AD136" s="55">
        <f>SUMIFS(tblMiningDaily[Blast_t],tblMiningDaily[Date],$A136)</f>
        <v/>
      </c>
      <c r="AE136" s="55">
        <f>IF($B136=$B135,$AE135,0)+$AD136</f>
        <v/>
      </c>
      <c r="AF136" s="55">
        <f>$AF135+$AD136</f>
        <v/>
      </c>
      <c r="AG136" s="55">
        <f>SUMIFS(tblMiningDaily[Explosives_kg],tblMiningDaily[Date],$A136)</f>
        <v/>
      </c>
      <c r="AH136" s="55">
        <f>IF($B136=$B135,$AH135,0)+$AG136</f>
        <v/>
      </c>
      <c r="AI136" s="55">
        <f>$AI135+$AG136</f>
        <v/>
      </c>
      <c r="AJ136" s="56">
        <f>IFERROR(IF(($AD136)&gt;0,($AG136)/($AD136),""),"")</f>
        <v/>
      </c>
      <c r="AK136" s="56">
        <f>IFERROR(IF(($AE136)&gt;0,($AH136)/($AE136),""),"")</f>
        <v/>
      </c>
      <c r="AL136" s="56">
        <f>IFERROR(IF(($AF136)&gt;0,($AI136)/($AF136),""),"")</f>
        <v/>
      </c>
      <c r="AM136" s="55">
        <f>SUMIFS(tblMiningDaily[Diesel_L],tblMiningDaily[Date],$A136)</f>
        <v/>
      </c>
      <c r="AN136" s="55">
        <f>IF($B136=$B135,$AN135,0)+$AM136</f>
        <v/>
      </c>
      <c r="AO136" s="55">
        <f>$AO135+$AM136</f>
        <v/>
      </c>
      <c r="AP136" s="55">
        <f>SUMIFS(tblMiningDaily[Dewatering_m3],tblMiningDaily[Date],$A136)</f>
        <v/>
      </c>
      <c r="AQ136" s="55">
        <f>IF($B136=$B135,$AQ135,0)+$AP136</f>
        <v/>
      </c>
      <c r="AR136" s="55">
        <f>$AR135+$AP136</f>
        <v/>
      </c>
      <c r="AS136" s="57">
        <f>SUMIFS(tblFleet[Calendar_h],tblFleet[Date],$A136,tblFleet[Equipment_Class],"Excavator")</f>
        <v/>
      </c>
      <c r="AT136" s="57">
        <f>IF($B136=$B135,$AT135,0)+$AS136</f>
        <v/>
      </c>
      <c r="AU136" s="57">
        <f>$AU135+$AS136</f>
        <v/>
      </c>
      <c r="AV136" s="57">
        <f>SUMIFS(tblFleet[Available_h],tblFleet[Date],$A136,tblFleet[Equipment_Class],"Excavator")</f>
        <v/>
      </c>
      <c r="AW136" s="57">
        <f>IF($B136=$B135,$AW135,0)+$AV136</f>
        <v/>
      </c>
      <c r="AX136" s="57">
        <f>$AX135+$AV136</f>
        <v/>
      </c>
      <c r="AY136" s="57">
        <f>SUMIFS(tblFleet[Operating_h],tblFleet[Date],$A136,tblFleet[Equipment_Class],"Excavator")</f>
        <v/>
      </c>
      <c r="AZ136" s="57">
        <f>IF($B136=$B135,$AZ135,0)+$AY136</f>
        <v/>
      </c>
      <c r="BA136" s="57">
        <f>$BA135+$AY136</f>
        <v/>
      </c>
      <c r="BB136" s="67">
        <f>IFERROR(IF(($AS136)&gt;0,($AV136)/($AS136),""),"")</f>
        <v/>
      </c>
      <c r="BC136" s="67">
        <f>IFERROR(IF(($AT136)&gt;0,($AW136)/($AT136),""),"")</f>
        <v/>
      </c>
      <c r="BD136" s="67">
        <f>IFERROR(IF(($AU136)&gt;0,($AX136)/($AU136),""),"")</f>
        <v/>
      </c>
      <c r="BE136" s="67">
        <f>IFERROR(IF(($AV136)&gt;0,($AY136)/($AV136),""),"")</f>
        <v/>
      </c>
      <c r="BF136" s="67">
        <f>IFERROR(IF(($AW136)&gt;0,($AZ136)/($AW136),""),"")</f>
        <v/>
      </c>
      <c r="BG136" s="67">
        <f>IFERROR(IF(($AX136)&gt;0,($BA136)/($AX136),""),"")</f>
        <v/>
      </c>
      <c r="BH136" s="57">
        <f>SUMIFS(tblFleet[Calendar_h],tblFleet[Date],$A136,tblFleet[Equipment_Class],"Haul Truck")</f>
        <v/>
      </c>
      <c r="BI136" s="57">
        <f>IF($B136=$B135,$BI135,0)+$BH136</f>
        <v/>
      </c>
      <c r="BJ136" s="57">
        <f>$BJ135+$BH136</f>
        <v/>
      </c>
      <c r="BK136" s="57">
        <f>SUMIFS(tblFleet[Available_h],tblFleet[Date],$A136,tblFleet[Equipment_Class],"Haul Truck")</f>
        <v/>
      </c>
      <c r="BL136" s="57">
        <f>IF($B136=$B135,$BL135,0)+$BK136</f>
        <v/>
      </c>
      <c r="BM136" s="57">
        <f>$BM135+$BK136</f>
        <v/>
      </c>
      <c r="BN136" s="57">
        <f>SUMIFS(tblFleet[Operating_h],tblFleet[Date],$A136,tblFleet[Equipment_Class],"Haul Truck")</f>
        <v/>
      </c>
      <c r="BO136" s="57">
        <f>IF($B136=$B135,$BO135,0)+$BN136</f>
        <v/>
      </c>
      <c r="BP136" s="57">
        <f>$BP135+$BN136</f>
        <v/>
      </c>
      <c r="BQ136" s="67">
        <f>IFERROR(IF(($BH136)&gt;0,($BK136)/($BH136),""),"")</f>
        <v/>
      </c>
      <c r="BR136" s="67">
        <f>IFERROR(IF(($BI136)&gt;0,($BL136)/($BI136),""),"")</f>
        <v/>
      </c>
      <c r="BS136" s="67">
        <f>IFERROR(IF(($BJ136)&gt;0,($BM136)/($BJ136),""),"")</f>
        <v/>
      </c>
      <c r="BT136" s="67">
        <f>IFERROR(IF(($BK136)&gt;0,($BN136)/($BK136),""),"")</f>
        <v/>
      </c>
      <c r="BU136" s="67">
        <f>IFERROR(IF(($BL136)&gt;0,($BO136)/($BL136),""),"")</f>
        <v/>
      </c>
      <c r="BV136" s="67">
        <f>IFERROR(IF(($BM136)&gt;0,($BP136)/($BM136),""),"")</f>
        <v/>
      </c>
      <c r="BW136" s="55">
        <f>SUMIFS(tblPlant[Crushed_t],tblPlant[Date],$A136)</f>
        <v/>
      </c>
      <c r="BX136" s="55">
        <f>IF($B136=$B135,$BX135,0)+$BW136</f>
        <v/>
      </c>
      <c r="BY136" s="55">
        <f>$BY135+$BW136</f>
        <v/>
      </c>
      <c r="BZ136" s="55">
        <f>SUMIFS(tblPlant[Milled_t],tblPlant[Date],$A136)</f>
        <v/>
      </c>
      <c r="CA136" s="55">
        <f>IF($B136=$B135,$CA135,0)+$BZ136</f>
        <v/>
      </c>
      <c r="CB136" s="55">
        <f>$CB135+$BZ136</f>
        <v/>
      </c>
      <c r="CC136" s="55">
        <f>SUMIFS(tblPlant[Feed_oz],tblPlant[Date],$A136)</f>
        <v/>
      </c>
      <c r="CD136" s="55">
        <f>IF($B136=$B135,$CD135,0)+$CC136</f>
        <v/>
      </c>
      <c r="CE136" s="55">
        <f>$CE135+$CC136</f>
        <v/>
      </c>
      <c r="CF136" s="55">
        <f>SUMIFS(tblPlant[Tails_oz],tblPlant[Date],$A136)</f>
        <v/>
      </c>
      <c r="CG136" s="55">
        <f>IF($B136=$B135,$CG135,0)+$CF136</f>
        <v/>
      </c>
      <c r="CH136" s="55">
        <f>$CH135+$CF136</f>
        <v/>
      </c>
      <c r="CI136" s="55">
        <f>SUMIFS(tblPlant[Recovered_oz],tblPlant[Date],$A136)</f>
        <v/>
      </c>
      <c r="CJ136" s="55">
        <f>IF($B136=$B135,$CJ135,0)+$CI136</f>
        <v/>
      </c>
      <c r="CK136" s="55">
        <f>$CK135+$CI136</f>
        <v/>
      </c>
      <c r="CL136" s="56">
        <f>IFERROR(IF(($BZ136)&gt;0,($CC136*cfg_TroyOz)/($BZ136),""),"")</f>
        <v/>
      </c>
      <c r="CM136" s="56">
        <f>IFERROR(IF(($CA136)&gt;0,($CD136*cfg_TroyOz)/($CA136),""),"")</f>
        <v/>
      </c>
      <c r="CN136" s="56">
        <f>IFERROR(IF(($CB136)&gt;0,($CE136*cfg_TroyOz)/($CB136),""),"")</f>
        <v/>
      </c>
      <c r="CO136" s="56">
        <f>IFERROR(IF(($BZ136)&gt;0,($CF136*cfg_TroyOz)/($BZ136),""),"")</f>
        <v/>
      </c>
      <c r="CP136" s="56">
        <f>IFERROR(IF(($CA136)&gt;0,($CG136*cfg_TroyOz)/($CA136),""),"")</f>
        <v/>
      </c>
      <c r="CQ136" s="56">
        <f>IFERROR(IF(($CB136)&gt;0,($CH136*cfg_TroyOz)/($CB136),""),"")</f>
        <v/>
      </c>
      <c r="CR136" s="67">
        <f>IFERROR(IF(($CC136)&gt;0,($CI136)/($CC136),""),"")</f>
        <v/>
      </c>
      <c r="CS136" s="67">
        <f>IFERROR(IF(($CD136)&gt;0,($CJ136)/($CD136),""),"")</f>
        <v/>
      </c>
      <c r="CT136" s="67">
        <f>IFERROR(IF(($CE136)&gt;0,($CK136)/($CE136),""),"")</f>
        <v/>
      </c>
      <c r="CU136" s="55">
        <f>SUMIFS(tblPlant[Gravity_Gold_oz],tblPlant[Date],$A136)</f>
        <v/>
      </c>
      <c r="CV136" s="55">
        <f>IF($B136=$B135,$CV135,0)+$CU136</f>
        <v/>
      </c>
      <c r="CW136" s="55">
        <f>$CW135+$CU136</f>
        <v/>
      </c>
      <c r="CX136" s="55">
        <f>SUMIFS(tblPlant[Gold_Poured_oz],tblPlant[Date],$A136)</f>
        <v/>
      </c>
      <c r="CY136" s="55">
        <f>IF($B136=$B135,$CY135,0)+$CX136</f>
        <v/>
      </c>
      <c r="CZ136" s="55">
        <f>$CZ135+$CX136</f>
        <v/>
      </c>
      <c r="DA136" s="57">
        <f>SUMIFS(tblPlant[Mill_Run_h],tblPlant[Date],$A136)</f>
        <v/>
      </c>
      <c r="DB136" s="57">
        <f>IF($B136=$B135,$DB135,0)+$DA136</f>
        <v/>
      </c>
      <c r="DC136" s="57">
        <f>$DC135+$DA136</f>
        <v/>
      </c>
      <c r="DD136" s="57">
        <f>SUMIFS(tblPlant[Mill_Planned_Maint_h],tblPlant[Date],$A136)</f>
        <v/>
      </c>
      <c r="DE136" s="57">
        <f>IF($B136=$B135,$DE135,0)+$DD136</f>
        <v/>
      </c>
      <c r="DF136" s="57">
        <f>$DF135+$DD136</f>
        <v/>
      </c>
      <c r="DG136" s="57">
        <f>SUMIFS(tblPlant[Mill_Unplanned_Down_h],tblPlant[Date],$A136)</f>
        <v/>
      </c>
      <c r="DH136" s="57">
        <f>IF($B136=$B135,$DH135,0)+$DG136</f>
        <v/>
      </c>
      <c r="DI136" s="57">
        <f>$DI135+$DG136</f>
        <v/>
      </c>
      <c r="DJ136" s="57">
        <f>COUNTIFS(tblPlant[Date],$A136,tblPlant[Mill_Run_h],"&lt;&gt;")*24</f>
        <v/>
      </c>
      <c r="DK136" s="57">
        <f>IF($B136=$B135,$DK135,0)+$DJ136</f>
        <v/>
      </c>
      <c r="DL136" s="57">
        <f>$DL135+$DJ136</f>
        <v/>
      </c>
      <c r="DM136" s="57">
        <f>SUMIFS(tblPlant[Crusher_Run_h],tblPlant[Date],$A136)</f>
        <v/>
      </c>
      <c r="DN136" s="57">
        <f>IF($B136=$B135,$DN135,0)+$DM136</f>
        <v/>
      </c>
      <c r="DO136" s="57">
        <f>$DO135+$DM136</f>
        <v/>
      </c>
      <c r="DP136" s="55">
        <f>IFERROR(IF(($DA136)&gt;0,($BZ136)/($DA136),""),"")</f>
        <v/>
      </c>
      <c r="DQ136" s="55">
        <f>IFERROR(IF(($DB136)&gt;0,($CA136)/($DB136),""),"")</f>
        <v/>
      </c>
      <c r="DR136" s="55">
        <f>IFERROR(IF(($DC136)&gt;0,($CB136)/($DC136),""),"")</f>
        <v/>
      </c>
      <c r="DS136" s="67">
        <f>IFERROR(IF(($DJ136)&gt;0,($DJ136-$DD136-$DG136)/($DJ136),""),"")</f>
        <v/>
      </c>
      <c r="DT136" s="67">
        <f>IFERROR(IF(($DK136)&gt;0,($DK136-$DE136-$DH136)/($DK136),""),"")</f>
        <v/>
      </c>
      <c r="DU136" s="67">
        <f>IFERROR(IF(($DL136)&gt;0,($DL136-$DF136-$DI136)/($DL136),""),"")</f>
        <v/>
      </c>
      <c r="DV136" s="67">
        <f>IFERROR(IF(($DJ136-$DD136-$DG136)&gt;0,($DA136)/($DJ136-$DD136-$DG136),""),"")</f>
        <v/>
      </c>
      <c r="DW136" s="67">
        <f>IFERROR(IF(($DK136-$DE136-$DH136)&gt;0,($DB136)/($DK136-$DE136-$DH136),""),"")</f>
        <v/>
      </c>
      <c r="DX136" s="67">
        <f>IFERROR(IF(($DL136-$DF136-$DI136)&gt;0,($DC136)/($DL136-$DF136-$DI136),""),"")</f>
        <v/>
      </c>
      <c r="DY136" s="55">
        <f>SUMIFS(tblPlant[Cyanide_kg],tblPlant[Date],$A136)</f>
        <v/>
      </c>
      <c r="DZ136" s="55">
        <f>IF($B136=$B135,$DZ135,0)+$DY136</f>
        <v/>
      </c>
      <c r="EA136" s="55">
        <f>$EA135+$DY136</f>
        <v/>
      </c>
      <c r="EB136" s="55">
        <f>SUMIFS(tblPlant[Lime_kg],tblPlant[Date],$A136)</f>
        <v/>
      </c>
      <c r="EC136" s="55">
        <f>IF($B136=$B135,$EC135,0)+$EB136</f>
        <v/>
      </c>
      <c r="ED136" s="55">
        <f>$ED135+$EB136</f>
        <v/>
      </c>
      <c r="EE136" s="55">
        <f>SUMIFS(tblPlant[Grinding_Media_kg],tblPlant[Date],$A136)</f>
        <v/>
      </c>
      <c r="EF136" s="55">
        <f>IF($B136=$B135,$EF135,0)+$EE136</f>
        <v/>
      </c>
      <c r="EG136" s="55">
        <f>$EG135+$EE136</f>
        <v/>
      </c>
      <c r="EH136" s="55">
        <f>SUMIFS(tblPlant[Power_kWh],tblPlant[Date],$A136)</f>
        <v/>
      </c>
      <c r="EI136" s="55">
        <f>IF($B136=$B135,$EI135,0)+$EH136</f>
        <v/>
      </c>
      <c r="EJ136" s="55">
        <f>$EJ135+$EH136</f>
        <v/>
      </c>
      <c r="EK136" s="55">
        <f>SUMIFS(tblPlant[Raw_Water_m3],tblPlant[Date],$A136)</f>
        <v/>
      </c>
      <c r="EL136" s="55">
        <f>IF($B136=$B135,$EL135,0)+$EK136</f>
        <v/>
      </c>
      <c r="EM136" s="55">
        <f>$EM135+$EK136</f>
        <v/>
      </c>
      <c r="EN136" s="56">
        <f>IFERROR(IF(($BZ136)&gt;0,($DY136)/($BZ136),""),"")</f>
        <v/>
      </c>
      <c r="EO136" s="56">
        <f>IFERROR(IF(($CA136)&gt;0,($DZ136)/($CA136),""),"")</f>
        <v/>
      </c>
      <c r="EP136" s="56">
        <f>IFERROR(IF(($CB136)&gt;0,($EA136)/($CB136),""),"")</f>
        <v/>
      </c>
      <c r="EQ136" s="56">
        <f>IFERROR(IF(($BZ136)&gt;0,($EB136)/($BZ136),""),"")</f>
        <v/>
      </c>
      <c r="ER136" s="56">
        <f>IFERROR(IF(($CA136)&gt;0,($EC136)/($CA136),""),"")</f>
        <v/>
      </c>
      <c r="ES136" s="56">
        <f>IFERROR(IF(($CB136)&gt;0,($ED136)/($CB136),""),"")</f>
        <v/>
      </c>
      <c r="ET136" s="56">
        <f>IFERROR(IF(($BZ136)&gt;0,($EE136)/($BZ136),""),"")</f>
        <v/>
      </c>
      <c r="EU136" s="56">
        <f>IFERROR(IF(($CA136)&gt;0,($EF136)/($CA136),""),"")</f>
        <v/>
      </c>
      <c r="EV136" s="56">
        <f>IFERROR(IF(($CB136)&gt;0,($EG136)/($CB136),""),"")</f>
        <v/>
      </c>
      <c r="EW136" s="76">
        <f>IFERROR(IF(($BZ136)&gt;0,($EH136)/($BZ136),""),"")</f>
        <v/>
      </c>
      <c r="EX136" s="76">
        <f>IFERROR(IF(($CA136)&gt;0,($EI136)/($CA136),""),"")</f>
        <v/>
      </c>
      <c r="EY136" s="76">
        <f>IFERROR(IF(($CB136)&gt;0,($EJ136)/($CB136),""),"")</f>
        <v/>
      </c>
      <c r="EZ136" s="56">
        <f>IFERROR(IF(($BZ136)&gt;0,($EK136)/($BZ136),""),"")</f>
        <v/>
      </c>
      <c r="FA136" s="56">
        <f>IFERROR(IF(($CA136)&gt;0,($EL136)/($CA136),""),"")</f>
        <v/>
      </c>
      <c r="FB136" s="56">
        <f>IFERROR(IF(($CB136)&gt;0,($EM136)/($CB136),""),"")</f>
        <v/>
      </c>
      <c r="FC136" s="55">
        <f>IF(SUMIFS(tblPlant[GIC_oz],tblPlant[Date],$A136)&gt;0,SUMIFS(tblPlant[GIC_oz],tblPlant[Date],$A136),"")</f>
        <v/>
      </c>
      <c r="FD136" s="55">
        <f>SUMIFS(tblGold[Gold_oz],tblGold[Date],$A136,tblGold[Type],"Shipment")</f>
        <v/>
      </c>
      <c r="FE136" s="55">
        <f>IF($B136=$B135,$FE135,0)+$FD136</f>
        <v/>
      </c>
      <c r="FF136" s="55">
        <f>$FF135+$FD136</f>
        <v/>
      </c>
      <c r="FG136" s="55">
        <f>SUMIFS(tblGold[Gold_oz],tblGold[Date],$A136,tblGold[Type],"Sale")</f>
        <v/>
      </c>
      <c r="FH136" s="55">
        <f>IF($B136=$B135,$FH135,0)+$FG136</f>
        <v/>
      </c>
      <c r="FI136" s="55">
        <f>$FI135+$FG136</f>
        <v/>
      </c>
      <c r="FJ136" s="55">
        <f>SUMIFS(tblGold[Dore_kg],tblGold[Date],$A136,tblGold[Type],"Shipment")</f>
        <v/>
      </c>
      <c r="FK136" s="55">
        <f>IF($B136=$B135,$FK135,0)+$FJ136</f>
        <v/>
      </c>
      <c r="FL136" s="55">
        <f>$FL135+$FJ136</f>
        <v/>
      </c>
      <c r="FM136" s="57">
        <f>SUMIFS(tblSafety[Hours_Total],tblSafety[Date],$A136)</f>
        <v/>
      </c>
      <c r="FN136" s="57">
        <f>IF($B136=$B135,$FN135,0)+$FM136</f>
        <v/>
      </c>
      <c r="FO136" s="57">
        <f>$FO135+$FM136</f>
        <v/>
      </c>
      <c r="FP136" s="62">
        <f>SUMIFS(tblSafety[Fatality],tblSafety[Date],$A136)</f>
        <v/>
      </c>
      <c r="FQ136" s="62">
        <f>IF($B136=$B135,$FQ135,0)+$FP136</f>
        <v/>
      </c>
      <c r="FR136" s="62">
        <f>$FR135+$FP136</f>
        <v/>
      </c>
      <c r="FS136" s="62">
        <f>SUMIFS(tblSafety[LTI],tblSafety[Date],$A136)</f>
        <v/>
      </c>
      <c r="FT136" s="62">
        <f>IF($B136=$B135,$FT135,0)+$FS136</f>
        <v/>
      </c>
      <c r="FU136" s="62">
        <f>$FU135+$FS136</f>
        <v/>
      </c>
      <c r="FV136" s="62">
        <f>SUMIFS(tblSafety[RWI],tblSafety[Date],$A136)</f>
        <v/>
      </c>
      <c r="FW136" s="62">
        <f>IF($B136=$B135,$FW135,0)+$FV136</f>
        <v/>
      </c>
      <c r="FX136" s="62">
        <f>$FX135+$FV136</f>
        <v/>
      </c>
      <c r="FY136" s="62">
        <f>SUMIFS(tblSafety[MTI],tblSafety[Date],$A136)</f>
        <v/>
      </c>
      <c r="FZ136" s="62">
        <f>IF($B136=$B135,$FZ135,0)+$FY136</f>
        <v/>
      </c>
      <c r="GA136" s="62">
        <f>$GA135+$FY136</f>
        <v/>
      </c>
      <c r="GB136" s="62">
        <f>SUMIFS(tblSafety[FAI],tblSafety[Date],$A136)</f>
        <v/>
      </c>
      <c r="GC136" s="62">
        <f>IF($B136=$B135,$GC135,0)+$GB136</f>
        <v/>
      </c>
      <c r="GD136" s="62">
        <f>$GD135+$GB136</f>
        <v/>
      </c>
      <c r="GE136" s="62">
        <f>SUMIFS(tblSafety[Recordables],tblSafety[Date],$A136)</f>
        <v/>
      </c>
      <c r="GF136" s="62">
        <f>IF($B136=$B135,$GF135,0)+$GE136</f>
        <v/>
      </c>
      <c r="GG136" s="62">
        <f>$GG135+$GE136</f>
        <v/>
      </c>
      <c r="GH136" s="62">
        <f>SUMIFS(tblSafety[Near_Miss],tblSafety[Date],$A136)</f>
        <v/>
      </c>
      <c r="GI136" s="62">
        <f>IF($B136=$B135,$GI135,0)+$GH136</f>
        <v/>
      </c>
      <c r="GJ136" s="62">
        <f>$GJ135+$GH136</f>
        <v/>
      </c>
      <c r="GK136" s="62">
        <f>SUMIFS(tblSafety[Hazard_Reports],tblSafety[Date],$A136)</f>
        <v/>
      </c>
      <c r="GL136" s="62">
        <f>IF($B136=$B135,$GL135,0)+$GK136</f>
        <v/>
      </c>
      <c r="GM136" s="62">
        <f>$GM135+$GK136</f>
        <v/>
      </c>
      <c r="GN136" s="62">
        <f>SUMIFS(tblSafety[HPI],tblSafety[Date],$A136)</f>
        <v/>
      </c>
      <c r="GO136" s="62">
        <f>IF($B136=$B135,$GO135,0)+$GN136</f>
        <v/>
      </c>
      <c r="GP136" s="62">
        <f>$GP135+$GN136</f>
        <v/>
      </c>
      <c r="GQ136" s="62">
        <f>SUMIFS(tblSafety[Env_Incidents],tblSafety[Date],$A136)</f>
        <v/>
      </c>
      <c r="GR136" s="62">
        <f>IF($B136=$B135,$GR135,0)+$GQ136</f>
        <v/>
      </c>
      <c r="GS136" s="62">
        <f>$GS135+$GQ136</f>
        <v/>
      </c>
      <c r="GT136" s="62">
        <f>SUMIFS(tblSafety[Community_Incidents],tblSafety[Date],$A136)</f>
        <v/>
      </c>
      <c r="GU136" s="62">
        <f>IF($B136=$B135,$GU135,0)+$GT136</f>
        <v/>
      </c>
      <c r="GV136" s="62">
        <f>$GV135+$GT136</f>
        <v/>
      </c>
      <c r="GW136" s="62">
        <f>SUMIFS(tblSafety[Vehicle_Incidents],tblSafety[Date],$A136)</f>
        <v/>
      </c>
      <c r="GX136" s="62">
        <f>IF($B136=$B135,$GX135,0)+$GW136</f>
        <v/>
      </c>
      <c r="GY136" s="62">
        <f>$GY135+$GW136</f>
        <v/>
      </c>
      <c r="GZ136" s="62">
        <f>SUMIFS(tblSafety[Toolbox_Talks],tblSafety[Date],$A136)</f>
        <v/>
      </c>
      <c r="HA136" s="62">
        <f>IF($B136=$B135,$HA135,0)+$GZ136</f>
        <v/>
      </c>
      <c r="HB136" s="62">
        <f>$HB135+$GZ136</f>
        <v/>
      </c>
      <c r="HC136" s="62">
        <f>SUMIFS(tblSafety[Inspections],tblSafety[Date],$A136)</f>
        <v/>
      </c>
      <c r="HD136" s="62">
        <f>IF($B136=$B135,$HD135,0)+$HC136</f>
        <v/>
      </c>
      <c r="HE136" s="62">
        <f>$HE135+$HC136</f>
        <v/>
      </c>
      <c r="HF136" s="56">
        <f>IFERROR((SUMIFS(tblSafety[Recordables],tblSafety[Date],"&gt;="&amp;EDATE($E136,-12),tblSafety[Date],"&lt;="&amp;$A136)+SUMIFS(tblSafetyHistory[Recordables],tblSafetyHistory[Month],"&gt;="&amp;EDATE($E136,-12),tblSafetyHistory[Month],"&lt;"&amp;cfg_YearStart))/(SUMIFS(tblSafety[Hours_Total],tblSafety[Date],"&gt;="&amp;EDATE($E136,-12),tblSafety[Date],"&lt;="&amp;$A136)+SUMIFS(tblSafetyHistory[Hours_Total],tblSafetyHistory[Month],"&gt;="&amp;EDATE($E136,-12),tblSafetyHistory[Month],"&lt;"&amp;cfg_YearStart))*1000000,"")</f>
        <v/>
      </c>
      <c r="HG136" s="56">
        <f>IFERROR((SUMIFS(tblSafety[LTI],tblSafety[Date],"&gt;="&amp;EDATE($E136,-12),tblSafety[Date],"&lt;="&amp;$A136)+SUMIFS(tblSafetyHistory[LTI],tblSafetyHistory[Month],"&gt;="&amp;EDATE($E136,-12),tblSafetyHistory[Month],"&lt;"&amp;cfg_YearStart))/(SUMIFS(tblSafety[Hours_Total],tblSafety[Date],"&gt;="&amp;EDATE($E136,-12),tblSafety[Date],"&lt;="&amp;$A136)+SUMIFS(tblSafetyHistory[Hours_Total],tblSafetyHistory[Month],"&gt;="&amp;EDATE($E136,-12),tblSafetyHistory[Month],"&lt;"&amp;cfg_YearStart))*1000000,"")</f>
        <v/>
      </c>
      <c r="HH136" s="62">
        <f>IF(MAX(N(cfg_PriorLTIDate),_xlfn.MAXIFS(tblSafety[Date],tblSafety[LTI],"&gt;0",tblSafety[Date],"&lt;="&amp;$A136))=0,"",$A136-MAX(N(cfg_PriorLTIDate),_xlfn.MAXIFS(tblSafety[Date],tblSafety[LTI],"&gt;0",tblSafety[Date],"&lt;="&amp;$A136)))</f>
        <v/>
      </c>
      <c r="HI136" s="55">
        <f>SUMIFS(tblBudget[Ore_Mined_t],tblBudget[Month],$E136)</f>
        <v/>
      </c>
      <c r="HJ136" s="55">
        <f>$HI136*$C136/$D136</f>
        <v/>
      </c>
      <c r="HK136" s="55">
        <f>SUMIFS(tblBudget[Ore_Mined_t],tblBudget[Month],"&lt;"&amp;$E136)+$HJ136</f>
        <v/>
      </c>
      <c r="HL136" s="55">
        <f>SUMIFS(tblBudget[Ore_oz],tblBudget[Month],$E136)</f>
        <v/>
      </c>
      <c r="HM136" s="55">
        <f>$HL136*$C136/$D136</f>
        <v/>
      </c>
      <c r="HN136" s="55">
        <f>SUMIFS(tblBudget[Ore_oz],tblBudget[Month],"&lt;"&amp;$E136)+$HM136</f>
        <v/>
      </c>
      <c r="HO136" s="56">
        <f>IFERROR(IF(($HI136)&gt;0,($HL136*cfg_TroyOz)/($HI136),""),"")</f>
        <v/>
      </c>
      <c r="HP136" s="56">
        <f>IFERROR(IF(($HJ136)&gt;0,($HM136*cfg_TroyOz)/($HJ136),""),"")</f>
        <v/>
      </c>
      <c r="HQ136" s="56">
        <f>IFERROR(IF(($HK136)&gt;0,($HN136*cfg_TroyOz)/($HK136),""),"")</f>
        <v/>
      </c>
      <c r="HR136" s="55">
        <f>SUMIFS(tblBudget[Waste_t],tblBudget[Month],$E136)</f>
        <v/>
      </c>
      <c r="HS136" s="55">
        <f>$HR136*$C136/$D136</f>
        <v/>
      </c>
      <c r="HT136" s="55">
        <f>SUMIFS(tblBudget[Waste_t],tblBudget[Month],"&lt;"&amp;$E136)+$HS136</f>
        <v/>
      </c>
      <c r="HU136" s="55">
        <f>SUMIFS(tblBudget[TMM_t],tblBudget[Month],$E136)</f>
        <v/>
      </c>
      <c r="HV136" s="55">
        <f>$HU136*$C136/$D136</f>
        <v/>
      </c>
      <c r="HW136" s="55">
        <f>SUMIFS(tblBudget[TMM_t],tblBudget[Month],"&lt;"&amp;$E136)+$HV136</f>
        <v/>
      </c>
      <c r="HX136" s="56">
        <f>IFERROR(IF(($HI136)&gt;0,($HR136)/($HI136),""),"")</f>
        <v/>
      </c>
      <c r="HY136" s="56">
        <f>IFERROR(IF(($HJ136)&gt;0,($HS136)/($HJ136),""),"")</f>
        <v/>
      </c>
      <c r="HZ136" s="56">
        <f>IFERROR(IF(($HK136)&gt;0,($HT136)/($HK136),""),"")</f>
        <v/>
      </c>
      <c r="IA136" s="55">
        <f>SUMIFS(tblBudget[Drill_m],tblBudget[Month],$E136)</f>
        <v/>
      </c>
      <c r="IB136" s="55">
        <f>$IA136*$C136/$D136</f>
        <v/>
      </c>
      <c r="IC136" s="55">
        <f>SUMIFS(tblBudget[Drill_m],tblBudget[Month],"&lt;"&amp;$E136)+$IB136</f>
        <v/>
      </c>
      <c r="ID136" s="55">
        <f>SUMIFS(tblBudget[Diesel_L],tblBudget[Month],$E136)</f>
        <v/>
      </c>
      <c r="IE136" s="55">
        <f>$ID136*$C136/$D136</f>
        <v/>
      </c>
      <c r="IF136" s="55">
        <f>SUMIFS(tblBudget[Diesel_L],tblBudget[Month],"&lt;"&amp;$E136)+$IE136</f>
        <v/>
      </c>
      <c r="IG136" s="55">
        <f>SUMIFS(tblBudget[Milled_t],tblBudget[Month],$E136)</f>
        <v/>
      </c>
      <c r="IH136" s="55">
        <f>$IG136*$C136/$D136</f>
        <v/>
      </c>
      <c r="II136" s="55">
        <f>SUMIFS(tblBudget[Milled_t],tblBudget[Month],"&lt;"&amp;$E136)+$IH136</f>
        <v/>
      </c>
      <c r="IJ136" s="55">
        <f>SUMIFS(tblBudget[Feed_oz],tblBudget[Month],$E136)</f>
        <v/>
      </c>
      <c r="IK136" s="55">
        <f>$IJ136*$C136/$D136</f>
        <v/>
      </c>
      <c r="IL136" s="55">
        <f>SUMIFS(tblBudget[Feed_oz],tblBudget[Month],"&lt;"&amp;$E136)+$IK136</f>
        <v/>
      </c>
      <c r="IM136" s="55">
        <f>SUMIFS(tblBudget[Recovered_oz],tblBudget[Month],$E136)</f>
        <v/>
      </c>
      <c r="IN136" s="55">
        <f>$IM136*$C136/$D136</f>
        <v/>
      </c>
      <c r="IO136" s="55">
        <f>SUMIFS(tblBudget[Recovered_oz],tblBudget[Month],"&lt;"&amp;$E136)+$IN136</f>
        <v/>
      </c>
      <c r="IP136" s="56">
        <f>IFERROR(IF(($IG136)&gt;0,($IJ136*cfg_TroyOz)/($IG136),""),"")</f>
        <v/>
      </c>
      <c r="IQ136" s="56">
        <f>IFERROR(IF(($IH136)&gt;0,($IK136*cfg_TroyOz)/($IH136),""),"")</f>
        <v/>
      </c>
      <c r="IR136" s="56">
        <f>IFERROR(IF(($II136)&gt;0,($IL136*cfg_TroyOz)/($II136),""),"")</f>
        <v/>
      </c>
      <c r="IS136" s="67">
        <f>IFERROR(IF(($IJ136)&gt;0,($IM136)/($IJ136),""),"")</f>
        <v/>
      </c>
      <c r="IT136" s="67">
        <f>IFERROR(IF(($IK136)&gt;0,($IN136)/($IK136),""),"")</f>
        <v/>
      </c>
      <c r="IU136" s="67">
        <f>IFERROR(IF(($IL136)&gt;0,($IO136)/($IL136),""),"")</f>
        <v/>
      </c>
      <c r="IV136" s="55">
        <f>SUMIFS(tblBudget[Gold_Poured_oz],tblBudget[Month],$E136)</f>
        <v/>
      </c>
      <c r="IW136" s="55">
        <f>$IV136*$C136/$D136</f>
        <v/>
      </c>
      <c r="IX136" s="55">
        <f>SUMIFS(tblBudget[Gold_Poured_oz],tblBudget[Month],"&lt;"&amp;$E136)+$IW136</f>
        <v/>
      </c>
      <c r="IY136" s="57">
        <f>SUMIFS(tblBudget[Hours_Worked],tblBudget[Month],$E136)</f>
        <v/>
      </c>
      <c r="IZ136" s="57">
        <f>$IY136*$C136/$D136</f>
        <v/>
      </c>
      <c r="JA136" s="57">
        <f>SUMIFS(tblBudget[Hours_Worked],tblBudget[Month],"&lt;"&amp;$E136)+$IZ136</f>
        <v/>
      </c>
    </row>
    <row r="137">
      <c r="A137" s="54" t="n">
        <v>46158</v>
      </c>
      <c r="B137">
        <f>MONTH($A137)</f>
        <v/>
      </c>
      <c r="C137">
        <f>DAY($A137)</f>
        <v/>
      </c>
      <c r="D137">
        <f>DAY(EOMONTH($A137,0))</f>
        <v/>
      </c>
      <c r="E137" s="54">
        <f>DATE(YEAR($A137),MONTH($A137),1)</f>
        <v/>
      </c>
      <c r="F137" s="55">
        <f>SUMIFS(tblMovement[Tonnes_t],tblMovement[Date],$A137,tblMovement[Is_Ore],1,tblMovement[Source_Type],"Pit")</f>
        <v/>
      </c>
      <c r="G137" s="55">
        <f>IF($B137=$B136,$G136,0)+$F137</f>
        <v/>
      </c>
      <c r="H137" s="55">
        <f>$H136+$F137</f>
        <v/>
      </c>
      <c r="I137" s="55">
        <f>SUMIFS(tblMovement[Ore_oz],tblMovement[Date],$A137,tblMovement[Source_Type],"Pit")</f>
        <v/>
      </c>
      <c r="J137" s="55">
        <f>IF($B137=$B136,$J136,0)+$I137</f>
        <v/>
      </c>
      <c r="K137" s="55">
        <f>$K136+$I137</f>
        <v/>
      </c>
      <c r="L137" s="56">
        <f>IFERROR(IF(($F137)&gt;0,($I137*cfg_TroyOz)/($F137),""),"")</f>
        <v/>
      </c>
      <c r="M137" s="56">
        <f>IFERROR(IF(($G137)&gt;0,($J137*cfg_TroyOz)/($G137),""),"")</f>
        <v/>
      </c>
      <c r="N137" s="56">
        <f>IFERROR(IF(($H137)&gt;0,($K137*cfg_TroyOz)/($H137),""),"")</f>
        <v/>
      </c>
      <c r="O137" s="55">
        <f>SUMIFS(tblMovement[Tonnes_t],tblMovement[Date],$A137,tblMovement[Is_Ore],0,tblMovement[Source_Type],"Pit")</f>
        <v/>
      </c>
      <c r="P137" s="55">
        <f>IF($B137=$B136,$P136,0)+$O137</f>
        <v/>
      </c>
      <c r="Q137" s="55">
        <f>$Q136+$O137</f>
        <v/>
      </c>
      <c r="R137" s="55">
        <f>$F137+$O137</f>
        <v/>
      </c>
      <c r="S137" s="55">
        <f>IF($B137=$B136,$S136,0)+$R137</f>
        <v/>
      </c>
      <c r="T137" s="55">
        <f>$T136+$R137</f>
        <v/>
      </c>
      <c r="U137" s="56">
        <f>IFERROR(IF(($F137)&gt;0,($O137)/($F137),""),"")</f>
        <v/>
      </c>
      <c r="V137" s="56">
        <f>IFERROR(IF(($G137)&gt;0,($P137)/($G137),""),"")</f>
        <v/>
      </c>
      <c r="W137" s="56">
        <f>IFERROR(IF(($H137)&gt;0,($Q137)/($H137),""),"")</f>
        <v/>
      </c>
      <c r="X137" s="55">
        <f>SUMIFS(tblMovement[Tonnes_t],tblMovement[Date],$A137,tblMovement[Source_Type],"Stockpile")</f>
        <v/>
      </c>
      <c r="Y137" s="55">
        <f>IF($B137=$B136,$Y136,0)+$X137</f>
        <v/>
      </c>
      <c r="Z137" s="55">
        <f>$Z136+$X137</f>
        <v/>
      </c>
      <c r="AA137" s="55">
        <f>SUMIFS(tblMiningDaily[Drill_m],tblMiningDaily[Date],$A137)</f>
        <v/>
      </c>
      <c r="AB137" s="55">
        <f>IF($B137=$B136,$AB136,0)+$AA137</f>
        <v/>
      </c>
      <c r="AC137" s="55">
        <f>$AC136+$AA137</f>
        <v/>
      </c>
      <c r="AD137" s="55">
        <f>SUMIFS(tblMiningDaily[Blast_t],tblMiningDaily[Date],$A137)</f>
        <v/>
      </c>
      <c r="AE137" s="55">
        <f>IF($B137=$B136,$AE136,0)+$AD137</f>
        <v/>
      </c>
      <c r="AF137" s="55">
        <f>$AF136+$AD137</f>
        <v/>
      </c>
      <c r="AG137" s="55">
        <f>SUMIFS(tblMiningDaily[Explosives_kg],tblMiningDaily[Date],$A137)</f>
        <v/>
      </c>
      <c r="AH137" s="55">
        <f>IF($B137=$B136,$AH136,0)+$AG137</f>
        <v/>
      </c>
      <c r="AI137" s="55">
        <f>$AI136+$AG137</f>
        <v/>
      </c>
      <c r="AJ137" s="56">
        <f>IFERROR(IF(($AD137)&gt;0,($AG137)/($AD137),""),"")</f>
        <v/>
      </c>
      <c r="AK137" s="56">
        <f>IFERROR(IF(($AE137)&gt;0,($AH137)/($AE137),""),"")</f>
        <v/>
      </c>
      <c r="AL137" s="56">
        <f>IFERROR(IF(($AF137)&gt;0,($AI137)/($AF137),""),"")</f>
        <v/>
      </c>
      <c r="AM137" s="55">
        <f>SUMIFS(tblMiningDaily[Diesel_L],tblMiningDaily[Date],$A137)</f>
        <v/>
      </c>
      <c r="AN137" s="55">
        <f>IF($B137=$B136,$AN136,0)+$AM137</f>
        <v/>
      </c>
      <c r="AO137" s="55">
        <f>$AO136+$AM137</f>
        <v/>
      </c>
      <c r="AP137" s="55">
        <f>SUMIFS(tblMiningDaily[Dewatering_m3],tblMiningDaily[Date],$A137)</f>
        <v/>
      </c>
      <c r="AQ137" s="55">
        <f>IF($B137=$B136,$AQ136,0)+$AP137</f>
        <v/>
      </c>
      <c r="AR137" s="55">
        <f>$AR136+$AP137</f>
        <v/>
      </c>
      <c r="AS137" s="57">
        <f>SUMIFS(tblFleet[Calendar_h],tblFleet[Date],$A137,tblFleet[Equipment_Class],"Excavator")</f>
        <v/>
      </c>
      <c r="AT137" s="57">
        <f>IF($B137=$B136,$AT136,0)+$AS137</f>
        <v/>
      </c>
      <c r="AU137" s="57">
        <f>$AU136+$AS137</f>
        <v/>
      </c>
      <c r="AV137" s="57">
        <f>SUMIFS(tblFleet[Available_h],tblFleet[Date],$A137,tblFleet[Equipment_Class],"Excavator")</f>
        <v/>
      </c>
      <c r="AW137" s="57">
        <f>IF($B137=$B136,$AW136,0)+$AV137</f>
        <v/>
      </c>
      <c r="AX137" s="57">
        <f>$AX136+$AV137</f>
        <v/>
      </c>
      <c r="AY137" s="57">
        <f>SUMIFS(tblFleet[Operating_h],tblFleet[Date],$A137,tblFleet[Equipment_Class],"Excavator")</f>
        <v/>
      </c>
      <c r="AZ137" s="57">
        <f>IF($B137=$B136,$AZ136,0)+$AY137</f>
        <v/>
      </c>
      <c r="BA137" s="57">
        <f>$BA136+$AY137</f>
        <v/>
      </c>
      <c r="BB137" s="67">
        <f>IFERROR(IF(($AS137)&gt;0,($AV137)/($AS137),""),"")</f>
        <v/>
      </c>
      <c r="BC137" s="67">
        <f>IFERROR(IF(($AT137)&gt;0,($AW137)/($AT137),""),"")</f>
        <v/>
      </c>
      <c r="BD137" s="67">
        <f>IFERROR(IF(($AU137)&gt;0,($AX137)/($AU137),""),"")</f>
        <v/>
      </c>
      <c r="BE137" s="67">
        <f>IFERROR(IF(($AV137)&gt;0,($AY137)/($AV137),""),"")</f>
        <v/>
      </c>
      <c r="BF137" s="67">
        <f>IFERROR(IF(($AW137)&gt;0,($AZ137)/($AW137),""),"")</f>
        <v/>
      </c>
      <c r="BG137" s="67">
        <f>IFERROR(IF(($AX137)&gt;0,($BA137)/($AX137),""),"")</f>
        <v/>
      </c>
      <c r="BH137" s="57">
        <f>SUMIFS(tblFleet[Calendar_h],tblFleet[Date],$A137,tblFleet[Equipment_Class],"Haul Truck")</f>
        <v/>
      </c>
      <c r="BI137" s="57">
        <f>IF($B137=$B136,$BI136,0)+$BH137</f>
        <v/>
      </c>
      <c r="BJ137" s="57">
        <f>$BJ136+$BH137</f>
        <v/>
      </c>
      <c r="BK137" s="57">
        <f>SUMIFS(tblFleet[Available_h],tblFleet[Date],$A137,tblFleet[Equipment_Class],"Haul Truck")</f>
        <v/>
      </c>
      <c r="BL137" s="57">
        <f>IF($B137=$B136,$BL136,0)+$BK137</f>
        <v/>
      </c>
      <c r="BM137" s="57">
        <f>$BM136+$BK137</f>
        <v/>
      </c>
      <c r="BN137" s="57">
        <f>SUMIFS(tblFleet[Operating_h],tblFleet[Date],$A137,tblFleet[Equipment_Class],"Haul Truck")</f>
        <v/>
      </c>
      <c r="BO137" s="57">
        <f>IF($B137=$B136,$BO136,0)+$BN137</f>
        <v/>
      </c>
      <c r="BP137" s="57">
        <f>$BP136+$BN137</f>
        <v/>
      </c>
      <c r="BQ137" s="67">
        <f>IFERROR(IF(($BH137)&gt;0,($BK137)/($BH137),""),"")</f>
        <v/>
      </c>
      <c r="BR137" s="67">
        <f>IFERROR(IF(($BI137)&gt;0,($BL137)/($BI137),""),"")</f>
        <v/>
      </c>
      <c r="BS137" s="67">
        <f>IFERROR(IF(($BJ137)&gt;0,($BM137)/($BJ137),""),"")</f>
        <v/>
      </c>
      <c r="BT137" s="67">
        <f>IFERROR(IF(($BK137)&gt;0,($BN137)/($BK137),""),"")</f>
        <v/>
      </c>
      <c r="BU137" s="67">
        <f>IFERROR(IF(($BL137)&gt;0,($BO137)/($BL137),""),"")</f>
        <v/>
      </c>
      <c r="BV137" s="67">
        <f>IFERROR(IF(($BM137)&gt;0,($BP137)/($BM137),""),"")</f>
        <v/>
      </c>
      <c r="BW137" s="55">
        <f>SUMIFS(tblPlant[Crushed_t],tblPlant[Date],$A137)</f>
        <v/>
      </c>
      <c r="BX137" s="55">
        <f>IF($B137=$B136,$BX136,0)+$BW137</f>
        <v/>
      </c>
      <c r="BY137" s="55">
        <f>$BY136+$BW137</f>
        <v/>
      </c>
      <c r="BZ137" s="55">
        <f>SUMIFS(tblPlant[Milled_t],tblPlant[Date],$A137)</f>
        <v/>
      </c>
      <c r="CA137" s="55">
        <f>IF($B137=$B136,$CA136,0)+$BZ137</f>
        <v/>
      </c>
      <c r="CB137" s="55">
        <f>$CB136+$BZ137</f>
        <v/>
      </c>
      <c r="CC137" s="55">
        <f>SUMIFS(tblPlant[Feed_oz],tblPlant[Date],$A137)</f>
        <v/>
      </c>
      <c r="CD137" s="55">
        <f>IF($B137=$B136,$CD136,0)+$CC137</f>
        <v/>
      </c>
      <c r="CE137" s="55">
        <f>$CE136+$CC137</f>
        <v/>
      </c>
      <c r="CF137" s="55">
        <f>SUMIFS(tblPlant[Tails_oz],tblPlant[Date],$A137)</f>
        <v/>
      </c>
      <c r="CG137" s="55">
        <f>IF($B137=$B136,$CG136,0)+$CF137</f>
        <v/>
      </c>
      <c r="CH137" s="55">
        <f>$CH136+$CF137</f>
        <v/>
      </c>
      <c r="CI137" s="55">
        <f>SUMIFS(tblPlant[Recovered_oz],tblPlant[Date],$A137)</f>
        <v/>
      </c>
      <c r="CJ137" s="55">
        <f>IF($B137=$B136,$CJ136,0)+$CI137</f>
        <v/>
      </c>
      <c r="CK137" s="55">
        <f>$CK136+$CI137</f>
        <v/>
      </c>
      <c r="CL137" s="56">
        <f>IFERROR(IF(($BZ137)&gt;0,($CC137*cfg_TroyOz)/($BZ137),""),"")</f>
        <v/>
      </c>
      <c r="CM137" s="56">
        <f>IFERROR(IF(($CA137)&gt;0,($CD137*cfg_TroyOz)/($CA137),""),"")</f>
        <v/>
      </c>
      <c r="CN137" s="56">
        <f>IFERROR(IF(($CB137)&gt;0,($CE137*cfg_TroyOz)/($CB137),""),"")</f>
        <v/>
      </c>
      <c r="CO137" s="56">
        <f>IFERROR(IF(($BZ137)&gt;0,($CF137*cfg_TroyOz)/($BZ137),""),"")</f>
        <v/>
      </c>
      <c r="CP137" s="56">
        <f>IFERROR(IF(($CA137)&gt;0,($CG137*cfg_TroyOz)/($CA137),""),"")</f>
        <v/>
      </c>
      <c r="CQ137" s="56">
        <f>IFERROR(IF(($CB137)&gt;0,($CH137*cfg_TroyOz)/($CB137),""),"")</f>
        <v/>
      </c>
      <c r="CR137" s="67">
        <f>IFERROR(IF(($CC137)&gt;0,($CI137)/($CC137),""),"")</f>
        <v/>
      </c>
      <c r="CS137" s="67">
        <f>IFERROR(IF(($CD137)&gt;0,($CJ137)/($CD137),""),"")</f>
        <v/>
      </c>
      <c r="CT137" s="67">
        <f>IFERROR(IF(($CE137)&gt;0,($CK137)/($CE137),""),"")</f>
        <v/>
      </c>
      <c r="CU137" s="55">
        <f>SUMIFS(tblPlant[Gravity_Gold_oz],tblPlant[Date],$A137)</f>
        <v/>
      </c>
      <c r="CV137" s="55">
        <f>IF($B137=$B136,$CV136,0)+$CU137</f>
        <v/>
      </c>
      <c r="CW137" s="55">
        <f>$CW136+$CU137</f>
        <v/>
      </c>
      <c r="CX137" s="55">
        <f>SUMIFS(tblPlant[Gold_Poured_oz],tblPlant[Date],$A137)</f>
        <v/>
      </c>
      <c r="CY137" s="55">
        <f>IF($B137=$B136,$CY136,0)+$CX137</f>
        <v/>
      </c>
      <c r="CZ137" s="55">
        <f>$CZ136+$CX137</f>
        <v/>
      </c>
      <c r="DA137" s="57">
        <f>SUMIFS(tblPlant[Mill_Run_h],tblPlant[Date],$A137)</f>
        <v/>
      </c>
      <c r="DB137" s="57">
        <f>IF($B137=$B136,$DB136,0)+$DA137</f>
        <v/>
      </c>
      <c r="DC137" s="57">
        <f>$DC136+$DA137</f>
        <v/>
      </c>
      <c r="DD137" s="57">
        <f>SUMIFS(tblPlant[Mill_Planned_Maint_h],tblPlant[Date],$A137)</f>
        <v/>
      </c>
      <c r="DE137" s="57">
        <f>IF($B137=$B136,$DE136,0)+$DD137</f>
        <v/>
      </c>
      <c r="DF137" s="57">
        <f>$DF136+$DD137</f>
        <v/>
      </c>
      <c r="DG137" s="57">
        <f>SUMIFS(tblPlant[Mill_Unplanned_Down_h],tblPlant[Date],$A137)</f>
        <v/>
      </c>
      <c r="DH137" s="57">
        <f>IF($B137=$B136,$DH136,0)+$DG137</f>
        <v/>
      </c>
      <c r="DI137" s="57">
        <f>$DI136+$DG137</f>
        <v/>
      </c>
      <c r="DJ137" s="57">
        <f>COUNTIFS(tblPlant[Date],$A137,tblPlant[Mill_Run_h],"&lt;&gt;")*24</f>
        <v/>
      </c>
      <c r="DK137" s="57">
        <f>IF($B137=$B136,$DK136,0)+$DJ137</f>
        <v/>
      </c>
      <c r="DL137" s="57">
        <f>$DL136+$DJ137</f>
        <v/>
      </c>
      <c r="DM137" s="57">
        <f>SUMIFS(tblPlant[Crusher_Run_h],tblPlant[Date],$A137)</f>
        <v/>
      </c>
      <c r="DN137" s="57">
        <f>IF($B137=$B136,$DN136,0)+$DM137</f>
        <v/>
      </c>
      <c r="DO137" s="57">
        <f>$DO136+$DM137</f>
        <v/>
      </c>
      <c r="DP137" s="55">
        <f>IFERROR(IF(($DA137)&gt;0,($BZ137)/($DA137),""),"")</f>
        <v/>
      </c>
      <c r="DQ137" s="55">
        <f>IFERROR(IF(($DB137)&gt;0,($CA137)/($DB137),""),"")</f>
        <v/>
      </c>
      <c r="DR137" s="55">
        <f>IFERROR(IF(($DC137)&gt;0,($CB137)/($DC137),""),"")</f>
        <v/>
      </c>
      <c r="DS137" s="67">
        <f>IFERROR(IF(($DJ137)&gt;0,($DJ137-$DD137-$DG137)/($DJ137),""),"")</f>
        <v/>
      </c>
      <c r="DT137" s="67">
        <f>IFERROR(IF(($DK137)&gt;0,($DK137-$DE137-$DH137)/($DK137),""),"")</f>
        <v/>
      </c>
      <c r="DU137" s="67">
        <f>IFERROR(IF(($DL137)&gt;0,($DL137-$DF137-$DI137)/($DL137),""),"")</f>
        <v/>
      </c>
      <c r="DV137" s="67">
        <f>IFERROR(IF(($DJ137-$DD137-$DG137)&gt;0,($DA137)/($DJ137-$DD137-$DG137),""),"")</f>
        <v/>
      </c>
      <c r="DW137" s="67">
        <f>IFERROR(IF(($DK137-$DE137-$DH137)&gt;0,($DB137)/($DK137-$DE137-$DH137),""),"")</f>
        <v/>
      </c>
      <c r="DX137" s="67">
        <f>IFERROR(IF(($DL137-$DF137-$DI137)&gt;0,($DC137)/($DL137-$DF137-$DI137),""),"")</f>
        <v/>
      </c>
      <c r="DY137" s="55">
        <f>SUMIFS(tblPlant[Cyanide_kg],tblPlant[Date],$A137)</f>
        <v/>
      </c>
      <c r="DZ137" s="55">
        <f>IF($B137=$B136,$DZ136,0)+$DY137</f>
        <v/>
      </c>
      <c r="EA137" s="55">
        <f>$EA136+$DY137</f>
        <v/>
      </c>
      <c r="EB137" s="55">
        <f>SUMIFS(tblPlant[Lime_kg],tblPlant[Date],$A137)</f>
        <v/>
      </c>
      <c r="EC137" s="55">
        <f>IF($B137=$B136,$EC136,0)+$EB137</f>
        <v/>
      </c>
      <c r="ED137" s="55">
        <f>$ED136+$EB137</f>
        <v/>
      </c>
      <c r="EE137" s="55">
        <f>SUMIFS(tblPlant[Grinding_Media_kg],tblPlant[Date],$A137)</f>
        <v/>
      </c>
      <c r="EF137" s="55">
        <f>IF($B137=$B136,$EF136,0)+$EE137</f>
        <v/>
      </c>
      <c r="EG137" s="55">
        <f>$EG136+$EE137</f>
        <v/>
      </c>
      <c r="EH137" s="55">
        <f>SUMIFS(tblPlant[Power_kWh],tblPlant[Date],$A137)</f>
        <v/>
      </c>
      <c r="EI137" s="55">
        <f>IF($B137=$B136,$EI136,0)+$EH137</f>
        <v/>
      </c>
      <c r="EJ137" s="55">
        <f>$EJ136+$EH137</f>
        <v/>
      </c>
      <c r="EK137" s="55">
        <f>SUMIFS(tblPlant[Raw_Water_m3],tblPlant[Date],$A137)</f>
        <v/>
      </c>
      <c r="EL137" s="55">
        <f>IF($B137=$B136,$EL136,0)+$EK137</f>
        <v/>
      </c>
      <c r="EM137" s="55">
        <f>$EM136+$EK137</f>
        <v/>
      </c>
      <c r="EN137" s="56">
        <f>IFERROR(IF(($BZ137)&gt;0,($DY137)/($BZ137),""),"")</f>
        <v/>
      </c>
      <c r="EO137" s="56">
        <f>IFERROR(IF(($CA137)&gt;0,($DZ137)/($CA137),""),"")</f>
        <v/>
      </c>
      <c r="EP137" s="56">
        <f>IFERROR(IF(($CB137)&gt;0,($EA137)/($CB137),""),"")</f>
        <v/>
      </c>
      <c r="EQ137" s="56">
        <f>IFERROR(IF(($BZ137)&gt;0,($EB137)/($BZ137),""),"")</f>
        <v/>
      </c>
      <c r="ER137" s="56">
        <f>IFERROR(IF(($CA137)&gt;0,($EC137)/($CA137),""),"")</f>
        <v/>
      </c>
      <c r="ES137" s="56">
        <f>IFERROR(IF(($CB137)&gt;0,($ED137)/($CB137),""),"")</f>
        <v/>
      </c>
      <c r="ET137" s="56">
        <f>IFERROR(IF(($BZ137)&gt;0,($EE137)/($BZ137),""),"")</f>
        <v/>
      </c>
      <c r="EU137" s="56">
        <f>IFERROR(IF(($CA137)&gt;0,($EF137)/($CA137),""),"")</f>
        <v/>
      </c>
      <c r="EV137" s="56">
        <f>IFERROR(IF(($CB137)&gt;0,($EG137)/($CB137),""),"")</f>
        <v/>
      </c>
      <c r="EW137" s="76">
        <f>IFERROR(IF(($BZ137)&gt;0,($EH137)/($BZ137),""),"")</f>
        <v/>
      </c>
      <c r="EX137" s="76">
        <f>IFERROR(IF(($CA137)&gt;0,($EI137)/($CA137),""),"")</f>
        <v/>
      </c>
      <c r="EY137" s="76">
        <f>IFERROR(IF(($CB137)&gt;0,($EJ137)/($CB137),""),"")</f>
        <v/>
      </c>
      <c r="EZ137" s="56">
        <f>IFERROR(IF(($BZ137)&gt;0,($EK137)/($BZ137),""),"")</f>
        <v/>
      </c>
      <c r="FA137" s="56">
        <f>IFERROR(IF(($CA137)&gt;0,($EL137)/($CA137),""),"")</f>
        <v/>
      </c>
      <c r="FB137" s="56">
        <f>IFERROR(IF(($CB137)&gt;0,($EM137)/($CB137),""),"")</f>
        <v/>
      </c>
      <c r="FC137" s="55">
        <f>IF(SUMIFS(tblPlant[GIC_oz],tblPlant[Date],$A137)&gt;0,SUMIFS(tblPlant[GIC_oz],tblPlant[Date],$A137),"")</f>
        <v/>
      </c>
      <c r="FD137" s="55">
        <f>SUMIFS(tblGold[Gold_oz],tblGold[Date],$A137,tblGold[Type],"Shipment")</f>
        <v/>
      </c>
      <c r="FE137" s="55">
        <f>IF($B137=$B136,$FE136,0)+$FD137</f>
        <v/>
      </c>
      <c r="FF137" s="55">
        <f>$FF136+$FD137</f>
        <v/>
      </c>
      <c r="FG137" s="55">
        <f>SUMIFS(tblGold[Gold_oz],tblGold[Date],$A137,tblGold[Type],"Sale")</f>
        <v/>
      </c>
      <c r="FH137" s="55">
        <f>IF($B137=$B136,$FH136,0)+$FG137</f>
        <v/>
      </c>
      <c r="FI137" s="55">
        <f>$FI136+$FG137</f>
        <v/>
      </c>
      <c r="FJ137" s="55">
        <f>SUMIFS(tblGold[Dore_kg],tblGold[Date],$A137,tblGold[Type],"Shipment")</f>
        <v/>
      </c>
      <c r="FK137" s="55">
        <f>IF($B137=$B136,$FK136,0)+$FJ137</f>
        <v/>
      </c>
      <c r="FL137" s="55">
        <f>$FL136+$FJ137</f>
        <v/>
      </c>
      <c r="FM137" s="57">
        <f>SUMIFS(tblSafety[Hours_Total],tblSafety[Date],$A137)</f>
        <v/>
      </c>
      <c r="FN137" s="57">
        <f>IF($B137=$B136,$FN136,0)+$FM137</f>
        <v/>
      </c>
      <c r="FO137" s="57">
        <f>$FO136+$FM137</f>
        <v/>
      </c>
      <c r="FP137" s="62">
        <f>SUMIFS(tblSafety[Fatality],tblSafety[Date],$A137)</f>
        <v/>
      </c>
      <c r="FQ137" s="62">
        <f>IF($B137=$B136,$FQ136,0)+$FP137</f>
        <v/>
      </c>
      <c r="FR137" s="62">
        <f>$FR136+$FP137</f>
        <v/>
      </c>
      <c r="FS137" s="62">
        <f>SUMIFS(tblSafety[LTI],tblSafety[Date],$A137)</f>
        <v/>
      </c>
      <c r="FT137" s="62">
        <f>IF($B137=$B136,$FT136,0)+$FS137</f>
        <v/>
      </c>
      <c r="FU137" s="62">
        <f>$FU136+$FS137</f>
        <v/>
      </c>
      <c r="FV137" s="62">
        <f>SUMIFS(tblSafety[RWI],tblSafety[Date],$A137)</f>
        <v/>
      </c>
      <c r="FW137" s="62">
        <f>IF($B137=$B136,$FW136,0)+$FV137</f>
        <v/>
      </c>
      <c r="FX137" s="62">
        <f>$FX136+$FV137</f>
        <v/>
      </c>
      <c r="FY137" s="62">
        <f>SUMIFS(tblSafety[MTI],tblSafety[Date],$A137)</f>
        <v/>
      </c>
      <c r="FZ137" s="62">
        <f>IF($B137=$B136,$FZ136,0)+$FY137</f>
        <v/>
      </c>
      <c r="GA137" s="62">
        <f>$GA136+$FY137</f>
        <v/>
      </c>
      <c r="GB137" s="62">
        <f>SUMIFS(tblSafety[FAI],tblSafety[Date],$A137)</f>
        <v/>
      </c>
      <c r="GC137" s="62">
        <f>IF($B137=$B136,$GC136,0)+$GB137</f>
        <v/>
      </c>
      <c r="GD137" s="62">
        <f>$GD136+$GB137</f>
        <v/>
      </c>
      <c r="GE137" s="62">
        <f>SUMIFS(tblSafety[Recordables],tblSafety[Date],$A137)</f>
        <v/>
      </c>
      <c r="GF137" s="62">
        <f>IF($B137=$B136,$GF136,0)+$GE137</f>
        <v/>
      </c>
      <c r="GG137" s="62">
        <f>$GG136+$GE137</f>
        <v/>
      </c>
      <c r="GH137" s="62">
        <f>SUMIFS(tblSafety[Near_Miss],tblSafety[Date],$A137)</f>
        <v/>
      </c>
      <c r="GI137" s="62">
        <f>IF($B137=$B136,$GI136,0)+$GH137</f>
        <v/>
      </c>
      <c r="GJ137" s="62">
        <f>$GJ136+$GH137</f>
        <v/>
      </c>
      <c r="GK137" s="62">
        <f>SUMIFS(tblSafety[Hazard_Reports],tblSafety[Date],$A137)</f>
        <v/>
      </c>
      <c r="GL137" s="62">
        <f>IF($B137=$B136,$GL136,0)+$GK137</f>
        <v/>
      </c>
      <c r="GM137" s="62">
        <f>$GM136+$GK137</f>
        <v/>
      </c>
      <c r="GN137" s="62">
        <f>SUMIFS(tblSafety[HPI],tblSafety[Date],$A137)</f>
        <v/>
      </c>
      <c r="GO137" s="62">
        <f>IF($B137=$B136,$GO136,0)+$GN137</f>
        <v/>
      </c>
      <c r="GP137" s="62">
        <f>$GP136+$GN137</f>
        <v/>
      </c>
      <c r="GQ137" s="62">
        <f>SUMIFS(tblSafety[Env_Incidents],tblSafety[Date],$A137)</f>
        <v/>
      </c>
      <c r="GR137" s="62">
        <f>IF($B137=$B136,$GR136,0)+$GQ137</f>
        <v/>
      </c>
      <c r="GS137" s="62">
        <f>$GS136+$GQ137</f>
        <v/>
      </c>
      <c r="GT137" s="62">
        <f>SUMIFS(tblSafety[Community_Incidents],tblSafety[Date],$A137)</f>
        <v/>
      </c>
      <c r="GU137" s="62">
        <f>IF($B137=$B136,$GU136,0)+$GT137</f>
        <v/>
      </c>
      <c r="GV137" s="62">
        <f>$GV136+$GT137</f>
        <v/>
      </c>
      <c r="GW137" s="62">
        <f>SUMIFS(tblSafety[Vehicle_Incidents],tblSafety[Date],$A137)</f>
        <v/>
      </c>
      <c r="GX137" s="62">
        <f>IF($B137=$B136,$GX136,0)+$GW137</f>
        <v/>
      </c>
      <c r="GY137" s="62">
        <f>$GY136+$GW137</f>
        <v/>
      </c>
      <c r="GZ137" s="62">
        <f>SUMIFS(tblSafety[Toolbox_Talks],tblSafety[Date],$A137)</f>
        <v/>
      </c>
      <c r="HA137" s="62">
        <f>IF($B137=$B136,$HA136,0)+$GZ137</f>
        <v/>
      </c>
      <c r="HB137" s="62">
        <f>$HB136+$GZ137</f>
        <v/>
      </c>
      <c r="HC137" s="62">
        <f>SUMIFS(tblSafety[Inspections],tblSafety[Date],$A137)</f>
        <v/>
      </c>
      <c r="HD137" s="62">
        <f>IF($B137=$B136,$HD136,0)+$HC137</f>
        <v/>
      </c>
      <c r="HE137" s="62">
        <f>$HE136+$HC137</f>
        <v/>
      </c>
      <c r="HF137" s="56">
        <f>IFERROR((SUMIFS(tblSafety[Recordables],tblSafety[Date],"&gt;="&amp;EDATE($E137,-12),tblSafety[Date],"&lt;="&amp;$A137)+SUMIFS(tblSafetyHistory[Recordables],tblSafetyHistory[Month],"&gt;="&amp;EDATE($E137,-12),tblSafetyHistory[Month],"&lt;"&amp;cfg_YearStart))/(SUMIFS(tblSafety[Hours_Total],tblSafety[Date],"&gt;="&amp;EDATE($E137,-12),tblSafety[Date],"&lt;="&amp;$A137)+SUMIFS(tblSafetyHistory[Hours_Total],tblSafetyHistory[Month],"&gt;="&amp;EDATE($E137,-12),tblSafetyHistory[Month],"&lt;"&amp;cfg_YearStart))*1000000,"")</f>
        <v/>
      </c>
      <c r="HG137" s="56">
        <f>IFERROR((SUMIFS(tblSafety[LTI],tblSafety[Date],"&gt;="&amp;EDATE($E137,-12),tblSafety[Date],"&lt;="&amp;$A137)+SUMIFS(tblSafetyHistory[LTI],tblSafetyHistory[Month],"&gt;="&amp;EDATE($E137,-12),tblSafetyHistory[Month],"&lt;"&amp;cfg_YearStart))/(SUMIFS(tblSafety[Hours_Total],tblSafety[Date],"&gt;="&amp;EDATE($E137,-12),tblSafety[Date],"&lt;="&amp;$A137)+SUMIFS(tblSafetyHistory[Hours_Total],tblSafetyHistory[Month],"&gt;="&amp;EDATE($E137,-12),tblSafetyHistory[Month],"&lt;"&amp;cfg_YearStart))*1000000,"")</f>
        <v/>
      </c>
      <c r="HH137" s="62">
        <f>IF(MAX(N(cfg_PriorLTIDate),_xlfn.MAXIFS(tblSafety[Date],tblSafety[LTI],"&gt;0",tblSafety[Date],"&lt;="&amp;$A137))=0,"",$A137-MAX(N(cfg_PriorLTIDate),_xlfn.MAXIFS(tblSafety[Date],tblSafety[LTI],"&gt;0",tblSafety[Date],"&lt;="&amp;$A137)))</f>
        <v/>
      </c>
      <c r="HI137" s="55">
        <f>SUMIFS(tblBudget[Ore_Mined_t],tblBudget[Month],$E137)</f>
        <v/>
      </c>
      <c r="HJ137" s="55">
        <f>$HI137*$C137/$D137</f>
        <v/>
      </c>
      <c r="HK137" s="55">
        <f>SUMIFS(tblBudget[Ore_Mined_t],tblBudget[Month],"&lt;"&amp;$E137)+$HJ137</f>
        <v/>
      </c>
      <c r="HL137" s="55">
        <f>SUMIFS(tblBudget[Ore_oz],tblBudget[Month],$E137)</f>
        <v/>
      </c>
      <c r="HM137" s="55">
        <f>$HL137*$C137/$D137</f>
        <v/>
      </c>
      <c r="HN137" s="55">
        <f>SUMIFS(tblBudget[Ore_oz],tblBudget[Month],"&lt;"&amp;$E137)+$HM137</f>
        <v/>
      </c>
      <c r="HO137" s="56">
        <f>IFERROR(IF(($HI137)&gt;0,($HL137*cfg_TroyOz)/($HI137),""),"")</f>
        <v/>
      </c>
      <c r="HP137" s="56">
        <f>IFERROR(IF(($HJ137)&gt;0,($HM137*cfg_TroyOz)/($HJ137),""),"")</f>
        <v/>
      </c>
      <c r="HQ137" s="56">
        <f>IFERROR(IF(($HK137)&gt;0,($HN137*cfg_TroyOz)/($HK137),""),"")</f>
        <v/>
      </c>
      <c r="HR137" s="55">
        <f>SUMIFS(tblBudget[Waste_t],tblBudget[Month],$E137)</f>
        <v/>
      </c>
      <c r="HS137" s="55">
        <f>$HR137*$C137/$D137</f>
        <v/>
      </c>
      <c r="HT137" s="55">
        <f>SUMIFS(tblBudget[Waste_t],tblBudget[Month],"&lt;"&amp;$E137)+$HS137</f>
        <v/>
      </c>
      <c r="HU137" s="55">
        <f>SUMIFS(tblBudget[TMM_t],tblBudget[Month],$E137)</f>
        <v/>
      </c>
      <c r="HV137" s="55">
        <f>$HU137*$C137/$D137</f>
        <v/>
      </c>
      <c r="HW137" s="55">
        <f>SUMIFS(tblBudget[TMM_t],tblBudget[Month],"&lt;"&amp;$E137)+$HV137</f>
        <v/>
      </c>
      <c r="HX137" s="56">
        <f>IFERROR(IF(($HI137)&gt;0,($HR137)/($HI137),""),"")</f>
        <v/>
      </c>
      <c r="HY137" s="56">
        <f>IFERROR(IF(($HJ137)&gt;0,($HS137)/($HJ137),""),"")</f>
        <v/>
      </c>
      <c r="HZ137" s="56">
        <f>IFERROR(IF(($HK137)&gt;0,($HT137)/($HK137),""),"")</f>
        <v/>
      </c>
      <c r="IA137" s="55">
        <f>SUMIFS(tblBudget[Drill_m],tblBudget[Month],$E137)</f>
        <v/>
      </c>
      <c r="IB137" s="55">
        <f>$IA137*$C137/$D137</f>
        <v/>
      </c>
      <c r="IC137" s="55">
        <f>SUMIFS(tblBudget[Drill_m],tblBudget[Month],"&lt;"&amp;$E137)+$IB137</f>
        <v/>
      </c>
      <c r="ID137" s="55">
        <f>SUMIFS(tblBudget[Diesel_L],tblBudget[Month],$E137)</f>
        <v/>
      </c>
      <c r="IE137" s="55">
        <f>$ID137*$C137/$D137</f>
        <v/>
      </c>
      <c r="IF137" s="55">
        <f>SUMIFS(tblBudget[Diesel_L],tblBudget[Month],"&lt;"&amp;$E137)+$IE137</f>
        <v/>
      </c>
      <c r="IG137" s="55">
        <f>SUMIFS(tblBudget[Milled_t],tblBudget[Month],$E137)</f>
        <v/>
      </c>
      <c r="IH137" s="55">
        <f>$IG137*$C137/$D137</f>
        <v/>
      </c>
      <c r="II137" s="55">
        <f>SUMIFS(tblBudget[Milled_t],tblBudget[Month],"&lt;"&amp;$E137)+$IH137</f>
        <v/>
      </c>
      <c r="IJ137" s="55">
        <f>SUMIFS(tblBudget[Feed_oz],tblBudget[Month],$E137)</f>
        <v/>
      </c>
      <c r="IK137" s="55">
        <f>$IJ137*$C137/$D137</f>
        <v/>
      </c>
      <c r="IL137" s="55">
        <f>SUMIFS(tblBudget[Feed_oz],tblBudget[Month],"&lt;"&amp;$E137)+$IK137</f>
        <v/>
      </c>
      <c r="IM137" s="55">
        <f>SUMIFS(tblBudget[Recovered_oz],tblBudget[Month],$E137)</f>
        <v/>
      </c>
      <c r="IN137" s="55">
        <f>$IM137*$C137/$D137</f>
        <v/>
      </c>
      <c r="IO137" s="55">
        <f>SUMIFS(tblBudget[Recovered_oz],tblBudget[Month],"&lt;"&amp;$E137)+$IN137</f>
        <v/>
      </c>
      <c r="IP137" s="56">
        <f>IFERROR(IF(($IG137)&gt;0,($IJ137*cfg_TroyOz)/($IG137),""),"")</f>
        <v/>
      </c>
      <c r="IQ137" s="56">
        <f>IFERROR(IF(($IH137)&gt;0,($IK137*cfg_TroyOz)/($IH137),""),"")</f>
        <v/>
      </c>
      <c r="IR137" s="56">
        <f>IFERROR(IF(($II137)&gt;0,($IL137*cfg_TroyOz)/($II137),""),"")</f>
        <v/>
      </c>
      <c r="IS137" s="67">
        <f>IFERROR(IF(($IJ137)&gt;0,($IM137)/($IJ137),""),"")</f>
        <v/>
      </c>
      <c r="IT137" s="67">
        <f>IFERROR(IF(($IK137)&gt;0,($IN137)/($IK137),""),"")</f>
        <v/>
      </c>
      <c r="IU137" s="67">
        <f>IFERROR(IF(($IL137)&gt;0,($IO137)/($IL137),""),"")</f>
        <v/>
      </c>
      <c r="IV137" s="55">
        <f>SUMIFS(tblBudget[Gold_Poured_oz],tblBudget[Month],$E137)</f>
        <v/>
      </c>
      <c r="IW137" s="55">
        <f>$IV137*$C137/$D137</f>
        <v/>
      </c>
      <c r="IX137" s="55">
        <f>SUMIFS(tblBudget[Gold_Poured_oz],tblBudget[Month],"&lt;"&amp;$E137)+$IW137</f>
        <v/>
      </c>
      <c r="IY137" s="57">
        <f>SUMIFS(tblBudget[Hours_Worked],tblBudget[Month],$E137)</f>
        <v/>
      </c>
      <c r="IZ137" s="57">
        <f>$IY137*$C137/$D137</f>
        <v/>
      </c>
      <c r="JA137" s="57">
        <f>SUMIFS(tblBudget[Hours_Worked],tblBudget[Month],"&lt;"&amp;$E137)+$IZ137</f>
        <v/>
      </c>
    </row>
    <row r="138">
      <c r="A138" s="54" t="n">
        <v>46159</v>
      </c>
      <c r="B138">
        <f>MONTH($A138)</f>
        <v/>
      </c>
      <c r="C138">
        <f>DAY($A138)</f>
        <v/>
      </c>
      <c r="D138">
        <f>DAY(EOMONTH($A138,0))</f>
        <v/>
      </c>
      <c r="E138" s="54">
        <f>DATE(YEAR($A138),MONTH($A138),1)</f>
        <v/>
      </c>
      <c r="F138" s="55">
        <f>SUMIFS(tblMovement[Tonnes_t],tblMovement[Date],$A138,tblMovement[Is_Ore],1,tblMovement[Source_Type],"Pit")</f>
        <v/>
      </c>
      <c r="G138" s="55">
        <f>IF($B138=$B137,$G137,0)+$F138</f>
        <v/>
      </c>
      <c r="H138" s="55">
        <f>$H137+$F138</f>
        <v/>
      </c>
      <c r="I138" s="55">
        <f>SUMIFS(tblMovement[Ore_oz],tblMovement[Date],$A138,tblMovement[Source_Type],"Pit")</f>
        <v/>
      </c>
      <c r="J138" s="55">
        <f>IF($B138=$B137,$J137,0)+$I138</f>
        <v/>
      </c>
      <c r="K138" s="55">
        <f>$K137+$I138</f>
        <v/>
      </c>
      <c r="L138" s="56">
        <f>IFERROR(IF(($F138)&gt;0,($I138*cfg_TroyOz)/($F138),""),"")</f>
        <v/>
      </c>
      <c r="M138" s="56">
        <f>IFERROR(IF(($G138)&gt;0,($J138*cfg_TroyOz)/($G138),""),"")</f>
        <v/>
      </c>
      <c r="N138" s="56">
        <f>IFERROR(IF(($H138)&gt;0,($K138*cfg_TroyOz)/($H138),""),"")</f>
        <v/>
      </c>
      <c r="O138" s="55">
        <f>SUMIFS(tblMovement[Tonnes_t],tblMovement[Date],$A138,tblMovement[Is_Ore],0,tblMovement[Source_Type],"Pit")</f>
        <v/>
      </c>
      <c r="P138" s="55">
        <f>IF($B138=$B137,$P137,0)+$O138</f>
        <v/>
      </c>
      <c r="Q138" s="55">
        <f>$Q137+$O138</f>
        <v/>
      </c>
      <c r="R138" s="55">
        <f>$F138+$O138</f>
        <v/>
      </c>
      <c r="S138" s="55">
        <f>IF($B138=$B137,$S137,0)+$R138</f>
        <v/>
      </c>
      <c r="T138" s="55">
        <f>$T137+$R138</f>
        <v/>
      </c>
      <c r="U138" s="56">
        <f>IFERROR(IF(($F138)&gt;0,($O138)/($F138),""),"")</f>
        <v/>
      </c>
      <c r="V138" s="56">
        <f>IFERROR(IF(($G138)&gt;0,($P138)/($G138),""),"")</f>
        <v/>
      </c>
      <c r="W138" s="56">
        <f>IFERROR(IF(($H138)&gt;0,($Q138)/($H138),""),"")</f>
        <v/>
      </c>
      <c r="X138" s="55">
        <f>SUMIFS(tblMovement[Tonnes_t],tblMovement[Date],$A138,tblMovement[Source_Type],"Stockpile")</f>
        <v/>
      </c>
      <c r="Y138" s="55">
        <f>IF($B138=$B137,$Y137,0)+$X138</f>
        <v/>
      </c>
      <c r="Z138" s="55">
        <f>$Z137+$X138</f>
        <v/>
      </c>
      <c r="AA138" s="55">
        <f>SUMIFS(tblMiningDaily[Drill_m],tblMiningDaily[Date],$A138)</f>
        <v/>
      </c>
      <c r="AB138" s="55">
        <f>IF($B138=$B137,$AB137,0)+$AA138</f>
        <v/>
      </c>
      <c r="AC138" s="55">
        <f>$AC137+$AA138</f>
        <v/>
      </c>
      <c r="AD138" s="55">
        <f>SUMIFS(tblMiningDaily[Blast_t],tblMiningDaily[Date],$A138)</f>
        <v/>
      </c>
      <c r="AE138" s="55">
        <f>IF($B138=$B137,$AE137,0)+$AD138</f>
        <v/>
      </c>
      <c r="AF138" s="55">
        <f>$AF137+$AD138</f>
        <v/>
      </c>
      <c r="AG138" s="55">
        <f>SUMIFS(tblMiningDaily[Explosives_kg],tblMiningDaily[Date],$A138)</f>
        <v/>
      </c>
      <c r="AH138" s="55">
        <f>IF($B138=$B137,$AH137,0)+$AG138</f>
        <v/>
      </c>
      <c r="AI138" s="55">
        <f>$AI137+$AG138</f>
        <v/>
      </c>
      <c r="AJ138" s="56">
        <f>IFERROR(IF(($AD138)&gt;0,($AG138)/($AD138),""),"")</f>
        <v/>
      </c>
      <c r="AK138" s="56">
        <f>IFERROR(IF(($AE138)&gt;0,($AH138)/($AE138),""),"")</f>
        <v/>
      </c>
      <c r="AL138" s="56">
        <f>IFERROR(IF(($AF138)&gt;0,($AI138)/($AF138),""),"")</f>
        <v/>
      </c>
      <c r="AM138" s="55">
        <f>SUMIFS(tblMiningDaily[Diesel_L],tblMiningDaily[Date],$A138)</f>
        <v/>
      </c>
      <c r="AN138" s="55">
        <f>IF($B138=$B137,$AN137,0)+$AM138</f>
        <v/>
      </c>
      <c r="AO138" s="55">
        <f>$AO137+$AM138</f>
        <v/>
      </c>
      <c r="AP138" s="55">
        <f>SUMIFS(tblMiningDaily[Dewatering_m3],tblMiningDaily[Date],$A138)</f>
        <v/>
      </c>
      <c r="AQ138" s="55">
        <f>IF($B138=$B137,$AQ137,0)+$AP138</f>
        <v/>
      </c>
      <c r="AR138" s="55">
        <f>$AR137+$AP138</f>
        <v/>
      </c>
      <c r="AS138" s="57">
        <f>SUMIFS(tblFleet[Calendar_h],tblFleet[Date],$A138,tblFleet[Equipment_Class],"Excavator")</f>
        <v/>
      </c>
      <c r="AT138" s="57">
        <f>IF($B138=$B137,$AT137,0)+$AS138</f>
        <v/>
      </c>
      <c r="AU138" s="57">
        <f>$AU137+$AS138</f>
        <v/>
      </c>
      <c r="AV138" s="57">
        <f>SUMIFS(tblFleet[Available_h],tblFleet[Date],$A138,tblFleet[Equipment_Class],"Excavator")</f>
        <v/>
      </c>
      <c r="AW138" s="57">
        <f>IF($B138=$B137,$AW137,0)+$AV138</f>
        <v/>
      </c>
      <c r="AX138" s="57">
        <f>$AX137+$AV138</f>
        <v/>
      </c>
      <c r="AY138" s="57">
        <f>SUMIFS(tblFleet[Operating_h],tblFleet[Date],$A138,tblFleet[Equipment_Class],"Excavator")</f>
        <v/>
      </c>
      <c r="AZ138" s="57">
        <f>IF($B138=$B137,$AZ137,0)+$AY138</f>
        <v/>
      </c>
      <c r="BA138" s="57">
        <f>$BA137+$AY138</f>
        <v/>
      </c>
      <c r="BB138" s="67">
        <f>IFERROR(IF(($AS138)&gt;0,($AV138)/($AS138),""),"")</f>
        <v/>
      </c>
      <c r="BC138" s="67">
        <f>IFERROR(IF(($AT138)&gt;0,($AW138)/($AT138),""),"")</f>
        <v/>
      </c>
      <c r="BD138" s="67">
        <f>IFERROR(IF(($AU138)&gt;0,($AX138)/($AU138),""),"")</f>
        <v/>
      </c>
      <c r="BE138" s="67">
        <f>IFERROR(IF(($AV138)&gt;0,($AY138)/($AV138),""),"")</f>
        <v/>
      </c>
      <c r="BF138" s="67">
        <f>IFERROR(IF(($AW138)&gt;0,($AZ138)/($AW138),""),"")</f>
        <v/>
      </c>
      <c r="BG138" s="67">
        <f>IFERROR(IF(($AX138)&gt;0,($BA138)/($AX138),""),"")</f>
        <v/>
      </c>
      <c r="BH138" s="57">
        <f>SUMIFS(tblFleet[Calendar_h],tblFleet[Date],$A138,tblFleet[Equipment_Class],"Haul Truck")</f>
        <v/>
      </c>
      <c r="BI138" s="57">
        <f>IF($B138=$B137,$BI137,0)+$BH138</f>
        <v/>
      </c>
      <c r="BJ138" s="57">
        <f>$BJ137+$BH138</f>
        <v/>
      </c>
      <c r="BK138" s="57">
        <f>SUMIFS(tblFleet[Available_h],tblFleet[Date],$A138,tblFleet[Equipment_Class],"Haul Truck")</f>
        <v/>
      </c>
      <c r="BL138" s="57">
        <f>IF($B138=$B137,$BL137,0)+$BK138</f>
        <v/>
      </c>
      <c r="BM138" s="57">
        <f>$BM137+$BK138</f>
        <v/>
      </c>
      <c r="BN138" s="57">
        <f>SUMIFS(tblFleet[Operating_h],tblFleet[Date],$A138,tblFleet[Equipment_Class],"Haul Truck")</f>
        <v/>
      </c>
      <c r="BO138" s="57">
        <f>IF($B138=$B137,$BO137,0)+$BN138</f>
        <v/>
      </c>
      <c r="BP138" s="57">
        <f>$BP137+$BN138</f>
        <v/>
      </c>
      <c r="BQ138" s="67">
        <f>IFERROR(IF(($BH138)&gt;0,($BK138)/($BH138),""),"")</f>
        <v/>
      </c>
      <c r="BR138" s="67">
        <f>IFERROR(IF(($BI138)&gt;0,($BL138)/($BI138),""),"")</f>
        <v/>
      </c>
      <c r="BS138" s="67">
        <f>IFERROR(IF(($BJ138)&gt;0,($BM138)/($BJ138),""),"")</f>
        <v/>
      </c>
      <c r="BT138" s="67">
        <f>IFERROR(IF(($BK138)&gt;0,($BN138)/($BK138),""),"")</f>
        <v/>
      </c>
      <c r="BU138" s="67">
        <f>IFERROR(IF(($BL138)&gt;0,($BO138)/($BL138),""),"")</f>
        <v/>
      </c>
      <c r="BV138" s="67">
        <f>IFERROR(IF(($BM138)&gt;0,($BP138)/($BM138),""),"")</f>
        <v/>
      </c>
      <c r="BW138" s="55">
        <f>SUMIFS(tblPlant[Crushed_t],tblPlant[Date],$A138)</f>
        <v/>
      </c>
      <c r="BX138" s="55">
        <f>IF($B138=$B137,$BX137,0)+$BW138</f>
        <v/>
      </c>
      <c r="BY138" s="55">
        <f>$BY137+$BW138</f>
        <v/>
      </c>
      <c r="BZ138" s="55">
        <f>SUMIFS(tblPlant[Milled_t],tblPlant[Date],$A138)</f>
        <v/>
      </c>
      <c r="CA138" s="55">
        <f>IF($B138=$B137,$CA137,0)+$BZ138</f>
        <v/>
      </c>
      <c r="CB138" s="55">
        <f>$CB137+$BZ138</f>
        <v/>
      </c>
      <c r="CC138" s="55">
        <f>SUMIFS(tblPlant[Feed_oz],tblPlant[Date],$A138)</f>
        <v/>
      </c>
      <c r="CD138" s="55">
        <f>IF($B138=$B137,$CD137,0)+$CC138</f>
        <v/>
      </c>
      <c r="CE138" s="55">
        <f>$CE137+$CC138</f>
        <v/>
      </c>
      <c r="CF138" s="55">
        <f>SUMIFS(tblPlant[Tails_oz],tblPlant[Date],$A138)</f>
        <v/>
      </c>
      <c r="CG138" s="55">
        <f>IF($B138=$B137,$CG137,0)+$CF138</f>
        <v/>
      </c>
      <c r="CH138" s="55">
        <f>$CH137+$CF138</f>
        <v/>
      </c>
      <c r="CI138" s="55">
        <f>SUMIFS(tblPlant[Recovered_oz],tblPlant[Date],$A138)</f>
        <v/>
      </c>
      <c r="CJ138" s="55">
        <f>IF($B138=$B137,$CJ137,0)+$CI138</f>
        <v/>
      </c>
      <c r="CK138" s="55">
        <f>$CK137+$CI138</f>
        <v/>
      </c>
      <c r="CL138" s="56">
        <f>IFERROR(IF(($BZ138)&gt;0,($CC138*cfg_TroyOz)/($BZ138),""),"")</f>
        <v/>
      </c>
      <c r="CM138" s="56">
        <f>IFERROR(IF(($CA138)&gt;0,($CD138*cfg_TroyOz)/($CA138),""),"")</f>
        <v/>
      </c>
      <c r="CN138" s="56">
        <f>IFERROR(IF(($CB138)&gt;0,($CE138*cfg_TroyOz)/($CB138),""),"")</f>
        <v/>
      </c>
      <c r="CO138" s="56">
        <f>IFERROR(IF(($BZ138)&gt;0,($CF138*cfg_TroyOz)/($BZ138),""),"")</f>
        <v/>
      </c>
      <c r="CP138" s="56">
        <f>IFERROR(IF(($CA138)&gt;0,($CG138*cfg_TroyOz)/($CA138),""),"")</f>
        <v/>
      </c>
      <c r="CQ138" s="56">
        <f>IFERROR(IF(($CB138)&gt;0,($CH138*cfg_TroyOz)/($CB138),""),"")</f>
        <v/>
      </c>
      <c r="CR138" s="67">
        <f>IFERROR(IF(($CC138)&gt;0,($CI138)/($CC138),""),"")</f>
        <v/>
      </c>
      <c r="CS138" s="67">
        <f>IFERROR(IF(($CD138)&gt;0,($CJ138)/($CD138),""),"")</f>
        <v/>
      </c>
      <c r="CT138" s="67">
        <f>IFERROR(IF(($CE138)&gt;0,($CK138)/($CE138),""),"")</f>
        <v/>
      </c>
      <c r="CU138" s="55">
        <f>SUMIFS(tblPlant[Gravity_Gold_oz],tblPlant[Date],$A138)</f>
        <v/>
      </c>
      <c r="CV138" s="55">
        <f>IF($B138=$B137,$CV137,0)+$CU138</f>
        <v/>
      </c>
      <c r="CW138" s="55">
        <f>$CW137+$CU138</f>
        <v/>
      </c>
      <c r="CX138" s="55">
        <f>SUMIFS(tblPlant[Gold_Poured_oz],tblPlant[Date],$A138)</f>
        <v/>
      </c>
      <c r="CY138" s="55">
        <f>IF($B138=$B137,$CY137,0)+$CX138</f>
        <v/>
      </c>
      <c r="CZ138" s="55">
        <f>$CZ137+$CX138</f>
        <v/>
      </c>
      <c r="DA138" s="57">
        <f>SUMIFS(tblPlant[Mill_Run_h],tblPlant[Date],$A138)</f>
        <v/>
      </c>
      <c r="DB138" s="57">
        <f>IF($B138=$B137,$DB137,0)+$DA138</f>
        <v/>
      </c>
      <c r="DC138" s="57">
        <f>$DC137+$DA138</f>
        <v/>
      </c>
      <c r="DD138" s="57">
        <f>SUMIFS(tblPlant[Mill_Planned_Maint_h],tblPlant[Date],$A138)</f>
        <v/>
      </c>
      <c r="DE138" s="57">
        <f>IF($B138=$B137,$DE137,0)+$DD138</f>
        <v/>
      </c>
      <c r="DF138" s="57">
        <f>$DF137+$DD138</f>
        <v/>
      </c>
      <c r="DG138" s="57">
        <f>SUMIFS(tblPlant[Mill_Unplanned_Down_h],tblPlant[Date],$A138)</f>
        <v/>
      </c>
      <c r="DH138" s="57">
        <f>IF($B138=$B137,$DH137,0)+$DG138</f>
        <v/>
      </c>
      <c r="DI138" s="57">
        <f>$DI137+$DG138</f>
        <v/>
      </c>
      <c r="DJ138" s="57">
        <f>COUNTIFS(tblPlant[Date],$A138,tblPlant[Mill_Run_h],"&lt;&gt;")*24</f>
        <v/>
      </c>
      <c r="DK138" s="57">
        <f>IF($B138=$B137,$DK137,0)+$DJ138</f>
        <v/>
      </c>
      <c r="DL138" s="57">
        <f>$DL137+$DJ138</f>
        <v/>
      </c>
      <c r="DM138" s="57">
        <f>SUMIFS(tblPlant[Crusher_Run_h],tblPlant[Date],$A138)</f>
        <v/>
      </c>
      <c r="DN138" s="57">
        <f>IF($B138=$B137,$DN137,0)+$DM138</f>
        <v/>
      </c>
      <c r="DO138" s="57">
        <f>$DO137+$DM138</f>
        <v/>
      </c>
      <c r="DP138" s="55">
        <f>IFERROR(IF(($DA138)&gt;0,($BZ138)/($DA138),""),"")</f>
        <v/>
      </c>
      <c r="DQ138" s="55">
        <f>IFERROR(IF(($DB138)&gt;0,($CA138)/($DB138),""),"")</f>
        <v/>
      </c>
      <c r="DR138" s="55">
        <f>IFERROR(IF(($DC138)&gt;0,($CB138)/($DC138),""),"")</f>
        <v/>
      </c>
      <c r="DS138" s="67">
        <f>IFERROR(IF(($DJ138)&gt;0,($DJ138-$DD138-$DG138)/($DJ138),""),"")</f>
        <v/>
      </c>
      <c r="DT138" s="67">
        <f>IFERROR(IF(($DK138)&gt;0,($DK138-$DE138-$DH138)/($DK138),""),"")</f>
        <v/>
      </c>
      <c r="DU138" s="67">
        <f>IFERROR(IF(($DL138)&gt;0,($DL138-$DF138-$DI138)/($DL138),""),"")</f>
        <v/>
      </c>
      <c r="DV138" s="67">
        <f>IFERROR(IF(($DJ138-$DD138-$DG138)&gt;0,($DA138)/($DJ138-$DD138-$DG138),""),"")</f>
        <v/>
      </c>
      <c r="DW138" s="67">
        <f>IFERROR(IF(($DK138-$DE138-$DH138)&gt;0,($DB138)/($DK138-$DE138-$DH138),""),"")</f>
        <v/>
      </c>
      <c r="DX138" s="67">
        <f>IFERROR(IF(($DL138-$DF138-$DI138)&gt;0,($DC138)/($DL138-$DF138-$DI138),""),"")</f>
        <v/>
      </c>
      <c r="DY138" s="55">
        <f>SUMIFS(tblPlant[Cyanide_kg],tblPlant[Date],$A138)</f>
        <v/>
      </c>
      <c r="DZ138" s="55">
        <f>IF($B138=$B137,$DZ137,0)+$DY138</f>
        <v/>
      </c>
      <c r="EA138" s="55">
        <f>$EA137+$DY138</f>
        <v/>
      </c>
      <c r="EB138" s="55">
        <f>SUMIFS(tblPlant[Lime_kg],tblPlant[Date],$A138)</f>
        <v/>
      </c>
      <c r="EC138" s="55">
        <f>IF($B138=$B137,$EC137,0)+$EB138</f>
        <v/>
      </c>
      <c r="ED138" s="55">
        <f>$ED137+$EB138</f>
        <v/>
      </c>
      <c r="EE138" s="55">
        <f>SUMIFS(tblPlant[Grinding_Media_kg],tblPlant[Date],$A138)</f>
        <v/>
      </c>
      <c r="EF138" s="55">
        <f>IF($B138=$B137,$EF137,0)+$EE138</f>
        <v/>
      </c>
      <c r="EG138" s="55">
        <f>$EG137+$EE138</f>
        <v/>
      </c>
      <c r="EH138" s="55">
        <f>SUMIFS(tblPlant[Power_kWh],tblPlant[Date],$A138)</f>
        <v/>
      </c>
      <c r="EI138" s="55">
        <f>IF($B138=$B137,$EI137,0)+$EH138</f>
        <v/>
      </c>
      <c r="EJ138" s="55">
        <f>$EJ137+$EH138</f>
        <v/>
      </c>
      <c r="EK138" s="55">
        <f>SUMIFS(tblPlant[Raw_Water_m3],tblPlant[Date],$A138)</f>
        <v/>
      </c>
      <c r="EL138" s="55">
        <f>IF($B138=$B137,$EL137,0)+$EK138</f>
        <v/>
      </c>
      <c r="EM138" s="55">
        <f>$EM137+$EK138</f>
        <v/>
      </c>
      <c r="EN138" s="56">
        <f>IFERROR(IF(($BZ138)&gt;0,($DY138)/($BZ138),""),"")</f>
        <v/>
      </c>
      <c r="EO138" s="56">
        <f>IFERROR(IF(($CA138)&gt;0,($DZ138)/($CA138),""),"")</f>
        <v/>
      </c>
      <c r="EP138" s="56">
        <f>IFERROR(IF(($CB138)&gt;0,($EA138)/($CB138),""),"")</f>
        <v/>
      </c>
      <c r="EQ138" s="56">
        <f>IFERROR(IF(($BZ138)&gt;0,($EB138)/($BZ138),""),"")</f>
        <v/>
      </c>
      <c r="ER138" s="56">
        <f>IFERROR(IF(($CA138)&gt;0,($EC138)/($CA138),""),"")</f>
        <v/>
      </c>
      <c r="ES138" s="56">
        <f>IFERROR(IF(($CB138)&gt;0,($ED138)/($CB138),""),"")</f>
        <v/>
      </c>
      <c r="ET138" s="56">
        <f>IFERROR(IF(($BZ138)&gt;0,($EE138)/($BZ138),""),"")</f>
        <v/>
      </c>
      <c r="EU138" s="56">
        <f>IFERROR(IF(($CA138)&gt;0,($EF138)/($CA138),""),"")</f>
        <v/>
      </c>
      <c r="EV138" s="56">
        <f>IFERROR(IF(($CB138)&gt;0,($EG138)/($CB138),""),"")</f>
        <v/>
      </c>
      <c r="EW138" s="76">
        <f>IFERROR(IF(($BZ138)&gt;0,($EH138)/($BZ138),""),"")</f>
        <v/>
      </c>
      <c r="EX138" s="76">
        <f>IFERROR(IF(($CA138)&gt;0,($EI138)/($CA138),""),"")</f>
        <v/>
      </c>
      <c r="EY138" s="76">
        <f>IFERROR(IF(($CB138)&gt;0,($EJ138)/($CB138),""),"")</f>
        <v/>
      </c>
      <c r="EZ138" s="56">
        <f>IFERROR(IF(($BZ138)&gt;0,($EK138)/($BZ138),""),"")</f>
        <v/>
      </c>
      <c r="FA138" s="56">
        <f>IFERROR(IF(($CA138)&gt;0,($EL138)/($CA138),""),"")</f>
        <v/>
      </c>
      <c r="FB138" s="56">
        <f>IFERROR(IF(($CB138)&gt;0,($EM138)/($CB138),""),"")</f>
        <v/>
      </c>
      <c r="FC138" s="55">
        <f>IF(SUMIFS(tblPlant[GIC_oz],tblPlant[Date],$A138)&gt;0,SUMIFS(tblPlant[GIC_oz],tblPlant[Date],$A138),"")</f>
        <v/>
      </c>
      <c r="FD138" s="55">
        <f>SUMIFS(tblGold[Gold_oz],tblGold[Date],$A138,tblGold[Type],"Shipment")</f>
        <v/>
      </c>
      <c r="FE138" s="55">
        <f>IF($B138=$B137,$FE137,0)+$FD138</f>
        <v/>
      </c>
      <c r="FF138" s="55">
        <f>$FF137+$FD138</f>
        <v/>
      </c>
      <c r="FG138" s="55">
        <f>SUMIFS(tblGold[Gold_oz],tblGold[Date],$A138,tblGold[Type],"Sale")</f>
        <v/>
      </c>
      <c r="FH138" s="55">
        <f>IF($B138=$B137,$FH137,0)+$FG138</f>
        <v/>
      </c>
      <c r="FI138" s="55">
        <f>$FI137+$FG138</f>
        <v/>
      </c>
      <c r="FJ138" s="55">
        <f>SUMIFS(tblGold[Dore_kg],tblGold[Date],$A138,tblGold[Type],"Shipment")</f>
        <v/>
      </c>
      <c r="FK138" s="55">
        <f>IF($B138=$B137,$FK137,0)+$FJ138</f>
        <v/>
      </c>
      <c r="FL138" s="55">
        <f>$FL137+$FJ138</f>
        <v/>
      </c>
      <c r="FM138" s="57">
        <f>SUMIFS(tblSafety[Hours_Total],tblSafety[Date],$A138)</f>
        <v/>
      </c>
      <c r="FN138" s="57">
        <f>IF($B138=$B137,$FN137,0)+$FM138</f>
        <v/>
      </c>
      <c r="FO138" s="57">
        <f>$FO137+$FM138</f>
        <v/>
      </c>
      <c r="FP138" s="62">
        <f>SUMIFS(tblSafety[Fatality],tblSafety[Date],$A138)</f>
        <v/>
      </c>
      <c r="FQ138" s="62">
        <f>IF($B138=$B137,$FQ137,0)+$FP138</f>
        <v/>
      </c>
      <c r="FR138" s="62">
        <f>$FR137+$FP138</f>
        <v/>
      </c>
      <c r="FS138" s="62">
        <f>SUMIFS(tblSafety[LTI],tblSafety[Date],$A138)</f>
        <v/>
      </c>
      <c r="FT138" s="62">
        <f>IF($B138=$B137,$FT137,0)+$FS138</f>
        <v/>
      </c>
      <c r="FU138" s="62">
        <f>$FU137+$FS138</f>
        <v/>
      </c>
      <c r="FV138" s="62">
        <f>SUMIFS(tblSafety[RWI],tblSafety[Date],$A138)</f>
        <v/>
      </c>
      <c r="FW138" s="62">
        <f>IF($B138=$B137,$FW137,0)+$FV138</f>
        <v/>
      </c>
      <c r="FX138" s="62">
        <f>$FX137+$FV138</f>
        <v/>
      </c>
      <c r="FY138" s="62">
        <f>SUMIFS(tblSafety[MTI],tblSafety[Date],$A138)</f>
        <v/>
      </c>
      <c r="FZ138" s="62">
        <f>IF($B138=$B137,$FZ137,0)+$FY138</f>
        <v/>
      </c>
      <c r="GA138" s="62">
        <f>$GA137+$FY138</f>
        <v/>
      </c>
      <c r="GB138" s="62">
        <f>SUMIFS(tblSafety[FAI],tblSafety[Date],$A138)</f>
        <v/>
      </c>
      <c r="GC138" s="62">
        <f>IF($B138=$B137,$GC137,0)+$GB138</f>
        <v/>
      </c>
      <c r="GD138" s="62">
        <f>$GD137+$GB138</f>
        <v/>
      </c>
      <c r="GE138" s="62">
        <f>SUMIFS(tblSafety[Recordables],tblSafety[Date],$A138)</f>
        <v/>
      </c>
      <c r="GF138" s="62">
        <f>IF($B138=$B137,$GF137,0)+$GE138</f>
        <v/>
      </c>
      <c r="GG138" s="62">
        <f>$GG137+$GE138</f>
        <v/>
      </c>
      <c r="GH138" s="62">
        <f>SUMIFS(tblSafety[Near_Miss],tblSafety[Date],$A138)</f>
        <v/>
      </c>
      <c r="GI138" s="62">
        <f>IF($B138=$B137,$GI137,0)+$GH138</f>
        <v/>
      </c>
      <c r="GJ138" s="62">
        <f>$GJ137+$GH138</f>
        <v/>
      </c>
      <c r="GK138" s="62">
        <f>SUMIFS(tblSafety[Hazard_Reports],tblSafety[Date],$A138)</f>
        <v/>
      </c>
      <c r="GL138" s="62">
        <f>IF($B138=$B137,$GL137,0)+$GK138</f>
        <v/>
      </c>
      <c r="GM138" s="62">
        <f>$GM137+$GK138</f>
        <v/>
      </c>
      <c r="GN138" s="62">
        <f>SUMIFS(tblSafety[HPI],tblSafety[Date],$A138)</f>
        <v/>
      </c>
      <c r="GO138" s="62">
        <f>IF($B138=$B137,$GO137,0)+$GN138</f>
        <v/>
      </c>
      <c r="GP138" s="62">
        <f>$GP137+$GN138</f>
        <v/>
      </c>
      <c r="GQ138" s="62">
        <f>SUMIFS(tblSafety[Env_Incidents],tblSafety[Date],$A138)</f>
        <v/>
      </c>
      <c r="GR138" s="62">
        <f>IF($B138=$B137,$GR137,0)+$GQ138</f>
        <v/>
      </c>
      <c r="GS138" s="62">
        <f>$GS137+$GQ138</f>
        <v/>
      </c>
      <c r="GT138" s="62">
        <f>SUMIFS(tblSafety[Community_Incidents],tblSafety[Date],$A138)</f>
        <v/>
      </c>
      <c r="GU138" s="62">
        <f>IF($B138=$B137,$GU137,0)+$GT138</f>
        <v/>
      </c>
      <c r="GV138" s="62">
        <f>$GV137+$GT138</f>
        <v/>
      </c>
      <c r="GW138" s="62">
        <f>SUMIFS(tblSafety[Vehicle_Incidents],tblSafety[Date],$A138)</f>
        <v/>
      </c>
      <c r="GX138" s="62">
        <f>IF($B138=$B137,$GX137,0)+$GW138</f>
        <v/>
      </c>
      <c r="GY138" s="62">
        <f>$GY137+$GW138</f>
        <v/>
      </c>
      <c r="GZ138" s="62">
        <f>SUMIFS(tblSafety[Toolbox_Talks],tblSafety[Date],$A138)</f>
        <v/>
      </c>
      <c r="HA138" s="62">
        <f>IF($B138=$B137,$HA137,0)+$GZ138</f>
        <v/>
      </c>
      <c r="HB138" s="62">
        <f>$HB137+$GZ138</f>
        <v/>
      </c>
      <c r="HC138" s="62">
        <f>SUMIFS(tblSafety[Inspections],tblSafety[Date],$A138)</f>
        <v/>
      </c>
      <c r="HD138" s="62">
        <f>IF($B138=$B137,$HD137,0)+$HC138</f>
        <v/>
      </c>
      <c r="HE138" s="62">
        <f>$HE137+$HC138</f>
        <v/>
      </c>
      <c r="HF138" s="56">
        <f>IFERROR((SUMIFS(tblSafety[Recordables],tblSafety[Date],"&gt;="&amp;EDATE($E138,-12),tblSafety[Date],"&lt;="&amp;$A138)+SUMIFS(tblSafetyHistory[Recordables],tblSafetyHistory[Month],"&gt;="&amp;EDATE($E138,-12),tblSafetyHistory[Month],"&lt;"&amp;cfg_YearStart))/(SUMIFS(tblSafety[Hours_Total],tblSafety[Date],"&gt;="&amp;EDATE($E138,-12),tblSafety[Date],"&lt;="&amp;$A138)+SUMIFS(tblSafetyHistory[Hours_Total],tblSafetyHistory[Month],"&gt;="&amp;EDATE($E138,-12),tblSafetyHistory[Month],"&lt;"&amp;cfg_YearStart))*1000000,"")</f>
        <v/>
      </c>
      <c r="HG138" s="56">
        <f>IFERROR((SUMIFS(tblSafety[LTI],tblSafety[Date],"&gt;="&amp;EDATE($E138,-12),tblSafety[Date],"&lt;="&amp;$A138)+SUMIFS(tblSafetyHistory[LTI],tblSafetyHistory[Month],"&gt;="&amp;EDATE($E138,-12),tblSafetyHistory[Month],"&lt;"&amp;cfg_YearStart))/(SUMIFS(tblSafety[Hours_Total],tblSafety[Date],"&gt;="&amp;EDATE($E138,-12),tblSafety[Date],"&lt;="&amp;$A138)+SUMIFS(tblSafetyHistory[Hours_Total],tblSafetyHistory[Month],"&gt;="&amp;EDATE($E138,-12),tblSafetyHistory[Month],"&lt;"&amp;cfg_YearStart))*1000000,"")</f>
        <v/>
      </c>
      <c r="HH138" s="62">
        <f>IF(MAX(N(cfg_PriorLTIDate),_xlfn.MAXIFS(tblSafety[Date],tblSafety[LTI],"&gt;0",tblSafety[Date],"&lt;="&amp;$A138))=0,"",$A138-MAX(N(cfg_PriorLTIDate),_xlfn.MAXIFS(tblSafety[Date],tblSafety[LTI],"&gt;0",tblSafety[Date],"&lt;="&amp;$A138)))</f>
        <v/>
      </c>
      <c r="HI138" s="55">
        <f>SUMIFS(tblBudget[Ore_Mined_t],tblBudget[Month],$E138)</f>
        <v/>
      </c>
      <c r="HJ138" s="55">
        <f>$HI138*$C138/$D138</f>
        <v/>
      </c>
      <c r="HK138" s="55">
        <f>SUMIFS(tblBudget[Ore_Mined_t],tblBudget[Month],"&lt;"&amp;$E138)+$HJ138</f>
        <v/>
      </c>
      <c r="HL138" s="55">
        <f>SUMIFS(tblBudget[Ore_oz],tblBudget[Month],$E138)</f>
        <v/>
      </c>
      <c r="HM138" s="55">
        <f>$HL138*$C138/$D138</f>
        <v/>
      </c>
      <c r="HN138" s="55">
        <f>SUMIFS(tblBudget[Ore_oz],tblBudget[Month],"&lt;"&amp;$E138)+$HM138</f>
        <v/>
      </c>
      <c r="HO138" s="56">
        <f>IFERROR(IF(($HI138)&gt;0,($HL138*cfg_TroyOz)/($HI138),""),"")</f>
        <v/>
      </c>
      <c r="HP138" s="56">
        <f>IFERROR(IF(($HJ138)&gt;0,($HM138*cfg_TroyOz)/($HJ138),""),"")</f>
        <v/>
      </c>
      <c r="HQ138" s="56">
        <f>IFERROR(IF(($HK138)&gt;0,($HN138*cfg_TroyOz)/($HK138),""),"")</f>
        <v/>
      </c>
      <c r="HR138" s="55">
        <f>SUMIFS(tblBudget[Waste_t],tblBudget[Month],$E138)</f>
        <v/>
      </c>
      <c r="HS138" s="55">
        <f>$HR138*$C138/$D138</f>
        <v/>
      </c>
      <c r="HT138" s="55">
        <f>SUMIFS(tblBudget[Waste_t],tblBudget[Month],"&lt;"&amp;$E138)+$HS138</f>
        <v/>
      </c>
      <c r="HU138" s="55">
        <f>SUMIFS(tblBudget[TMM_t],tblBudget[Month],$E138)</f>
        <v/>
      </c>
      <c r="HV138" s="55">
        <f>$HU138*$C138/$D138</f>
        <v/>
      </c>
      <c r="HW138" s="55">
        <f>SUMIFS(tblBudget[TMM_t],tblBudget[Month],"&lt;"&amp;$E138)+$HV138</f>
        <v/>
      </c>
      <c r="HX138" s="56">
        <f>IFERROR(IF(($HI138)&gt;0,($HR138)/($HI138),""),"")</f>
        <v/>
      </c>
      <c r="HY138" s="56">
        <f>IFERROR(IF(($HJ138)&gt;0,($HS138)/($HJ138),""),"")</f>
        <v/>
      </c>
      <c r="HZ138" s="56">
        <f>IFERROR(IF(($HK138)&gt;0,($HT138)/($HK138),""),"")</f>
        <v/>
      </c>
      <c r="IA138" s="55">
        <f>SUMIFS(tblBudget[Drill_m],tblBudget[Month],$E138)</f>
        <v/>
      </c>
      <c r="IB138" s="55">
        <f>$IA138*$C138/$D138</f>
        <v/>
      </c>
      <c r="IC138" s="55">
        <f>SUMIFS(tblBudget[Drill_m],tblBudget[Month],"&lt;"&amp;$E138)+$IB138</f>
        <v/>
      </c>
      <c r="ID138" s="55">
        <f>SUMIFS(tblBudget[Diesel_L],tblBudget[Month],$E138)</f>
        <v/>
      </c>
      <c r="IE138" s="55">
        <f>$ID138*$C138/$D138</f>
        <v/>
      </c>
      <c r="IF138" s="55">
        <f>SUMIFS(tblBudget[Diesel_L],tblBudget[Month],"&lt;"&amp;$E138)+$IE138</f>
        <v/>
      </c>
      <c r="IG138" s="55">
        <f>SUMIFS(tblBudget[Milled_t],tblBudget[Month],$E138)</f>
        <v/>
      </c>
      <c r="IH138" s="55">
        <f>$IG138*$C138/$D138</f>
        <v/>
      </c>
      <c r="II138" s="55">
        <f>SUMIFS(tblBudget[Milled_t],tblBudget[Month],"&lt;"&amp;$E138)+$IH138</f>
        <v/>
      </c>
      <c r="IJ138" s="55">
        <f>SUMIFS(tblBudget[Feed_oz],tblBudget[Month],$E138)</f>
        <v/>
      </c>
      <c r="IK138" s="55">
        <f>$IJ138*$C138/$D138</f>
        <v/>
      </c>
      <c r="IL138" s="55">
        <f>SUMIFS(tblBudget[Feed_oz],tblBudget[Month],"&lt;"&amp;$E138)+$IK138</f>
        <v/>
      </c>
      <c r="IM138" s="55">
        <f>SUMIFS(tblBudget[Recovered_oz],tblBudget[Month],$E138)</f>
        <v/>
      </c>
      <c r="IN138" s="55">
        <f>$IM138*$C138/$D138</f>
        <v/>
      </c>
      <c r="IO138" s="55">
        <f>SUMIFS(tblBudget[Recovered_oz],tblBudget[Month],"&lt;"&amp;$E138)+$IN138</f>
        <v/>
      </c>
      <c r="IP138" s="56">
        <f>IFERROR(IF(($IG138)&gt;0,($IJ138*cfg_TroyOz)/($IG138),""),"")</f>
        <v/>
      </c>
      <c r="IQ138" s="56">
        <f>IFERROR(IF(($IH138)&gt;0,($IK138*cfg_TroyOz)/($IH138),""),"")</f>
        <v/>
      </c>
      <c r="IR138" s="56">
        <f>IFERROR(IF(($II138)&gt;0,($IL138*cfg_TroyOz)/($II138),""),"")</f>
        <v/>
      </c>
      <c r="IS138" s="67">
        <f>IFERROR(IF(($IJ138)&gt;0,($IM138)/($IJ138),""),"")</f>
        <v/>
      </c>
      <c r="IT138" s="67">
        <f>IFERROR(IF(($IK138)&gt;0,($IN138)/($IK138),""),"")</f>
        <v/>
      </c>
      <c r="IU138" s="67">
        <f>IFERROR(IF(($IL138)&gt;0,($IO138)/($IL138),""),"")</f>
        <v/>
      </c>
      <c r="IV138" s="55">
        <f>SUMIFS(tblBudget[Gold_Poured_oz],tblBudget[Month],$E138)</f>
        <v/>
      </c>
      <c r="IW138" s="55">
        <f>$IV138*$C138/$D138</f>
        <v/>
      </c>
      <c r="IX138" s="55">
        <f>SUMIFS(tblBudget[Gold_Poured_oz],tblBudget[Month],"&lt;"&amp;$E138)+$IW138</f>
        <v/>
      </c>
      <c r="IY138" s="57">
        <f>SUMIFS(tblBudget[Hours_Worked],tblBudget[Month],$E138)</f>
        <v/>
      </c>
      <c r="IZ138" s="57">
        <f>$IY138*$C138/$D138</f>
        <v/>
      </c>
      <c r="JA138" s="57">
        <f>SUMIFS(tblBudget[Hours_Worked],tblBudget[Month],"&lt;"&amp;$E138)+$IZ138</f>
        <v/>
      </c>
    </row>
    <row r="139">
      <c r="A139" s="54" t="n">
        <v>46160</v>
      </c>
      <c r="B139">
        <f>MONTH($A139)</f>
        <v/>
      </c>
      <c r="C139">
        <f>DAY($A139)</f>
        <v/>
      </c>
      <c r="D139">
        <f>DAY(EOMONTH($A139,0))</f>
        <v/>
      </c>
      <c r="E139" s="54">
        <f>DATE(YEAR($A139),MONTH($A139),1)</f>
        <v/>
      </c>
      <c r="F139" s="55">
        <f>SUMIFS(tblMovement[Tonnes_t],tblMovement[Date],$A139,tblMovement[Is_Ore],1,tblMovement[Source_Type],"Pit")</f>
        <v/>
      </c>
      <c r="G139" s="55">
        <f>IF($B139=$B138,$G138,0)+$F139</f>
        <v/>
      </c>
      <c r="H139" s="55">
        <f>$H138+$F139</f>
        <v/>
      </c>
      <c r="I139" s="55">
        <f>SUMIFS(tblMovement[Ore_oz],tblMovement[Date],$A139,tblMovement[Source_Type],"Pit")</f>
        <v/>
      </c>
      <c r="J139" s="55">
        <f>IF($B139=$B138,$J138,0)+$I139</f>
        <v/>
      </c>
      <c r="K139" s="55">
        <f>$K138+$I139</f>
        <v/>
      </c>
      <c r="L139" s="56">
        <f>IFERROR(IF(($F139)&gt;0,($I139*cfg_TroyOz)/($F139),""),"")</f>
        <v/>
      </c>
      <c r="M139" s="56">
        <f>IFERROR(IF(($G139)&gt;0,($J139*cfg_TroyOz)/($G139),""),"")</f>
        <v/>
      </c>
      <c r="N139" s="56">
        <f>IFERROR(IF(($H139)&gt;0,($K139*cfg_TroyOz)/($H139),""),"")</f>
        <v/>
      </c>
      <c r="O139" s="55">
        <f>SUMIFS(tblMovement[Tonnes_t],tblMovement[Date],$A139,tblMovement[Is_Ore],0,tblMovement[Source_Type],"Pit")</f>
        <v/>
      </c>
      <c r="P139" s="55">
        <f>IF($B139=$B138,$P138,0)+$O139</f>
        <v/>
      </c>
      <c r="Q139" s="55">
        <f>$Q138+$O139</f>
        <v/>
      </c>
      <c r="R139" s="55">
        <f>$F139+$O139</f>
        <v/>
      </c>
      <c r="S139" s="55">
        <f>IF($B139=$B138,$S138,0)+$R139</f>
        <v/>
      </c>
      <c r="T139" s="55">
        <f>$T138+$R139</f>
        <v/>
      </c>
      <c r="U139" s="56">
        <f>IFERROR(IF(($F139)&gt;0,($O139)/($F139),""),"")</f>
        <v/>
      </c>
      <c r="V139" s="56">
        <f>IFERROR(IF(($G139)&gt;0,($P139)/($G139),""),"")</f>
        <v/>
      </c>
      <c r="W139" s="56">
        <f>IFERROR(IF(($H139)&gt;0,($Q139)/($H139),""),"")</f>
        <v/>
      </c>
      <c r="X139" s="55">
        <f>SUMIFS(tblMovement[Tonnes_t],tblMovement[Date],$A139,tblMovement[Source_Type],"Stockpile")</f>
        <v/>
      </c>
      <c r="Y139" s="55">
        <f>IF($B139=$B138,$Y138,0)+$X139</f>
        <v/>
      </c>
      <c r="Z139" s="55">
        <f>$Z138+$X139</f>
        <v/>
      </c>
      <c r="AA139" s="55">
        <f>SUMIFS(tblMiningDaily[Drill_m],tblMiningDaily[Date],$A139)</f>
        <v/>
      </c>
      <c r="AB139" s="55">
        <f>IF($B139=$B138,$AB138,0)+$AA139</f>
        <v/>
      </c>
      <c r="AC139" s="55">
        <f>$AC138+$AA139</f>
        <v/>
      </c>
      <c r="AD139" s="55">
        <f>SUMIFS(tblMiningDaily[Blast_t],tblMiningDaily[Date],$A139)</f>
        <v/>
      </c>
      <c r="AE139" s="55">
        <f>IF($B139=$B138,$AE138,0)+$AD139</f>
        <v/>
      </c>
      <c r="AF139" s="55">
        <f>$AF138+$AD139</f>
        <v/>
      </c>
      <c r="AG139" s="55">
        <f>SUMIFS(tblMiningDaily[Explosives_kg],tblMiningDaily[Date],$A139)</f>
        <v/>
      </c>
      <c r="AH139" s="55">
        <f>IF($B139=$B138,$AH138,0)+$AG139</f>
        <v/>
      </c>
      <c r="AI139" s="55">
        <f>$AI138+$AG139</f>
        <v/>
      </c>
      <c r="AJ139" s="56">
        <f>IFERROR(IF(($AD139)&gt;0,($AG139)/($AD139),""),"")</f>
        <v/>
      </c>
      <c r="AK139" s="56">
        <f>IFERROR(IF(($AE139)&gt;0,($AH139)/($AE139),""),"")</f>
        <v/>
      </c>
      <c r="AL139" s="56">
        <f>IFERROR(IF(($AF139)&gt;0,($AI139)/($AF139),""),"")</f>
        <v/>
      </c>
      <c r="AM139" s="55">
        <f>SUMIFS(tblMiningDaily[Diesel_L],tblMiningDaily[Date],$A139)</f>
        <v/>
      </c>
      <c r="AN139" s="55">
        <f>IF($B139=$B138,$AN138,0)+$AM139</f>
        <v/>
      </c>
      <c r="AO139" s="55">
        <f>$AO138+$AM139</f>
        <v/>
      </c>
      <c r="AP139" s="55">
        <f>SUMIFS(tblMiningDaily[Dewatering_m3],tblMiningDaily[Date],$A139)</f>
        <v/>
      </c>
      <c r="AQ139" s="55">
        <f>IF($B139=$B138,$AQ138,0)+$AP139</f>
        <v/>
      </c>
      <c r="AR139" s="55">
        <f>$AR138+$AP139</f>
        <v/>
      </c>
      <c r="AS139" s="57">
        <f>SUMIFS(tblFleet[Calendar_h],tblFleet[Date],$A139,tblFleet[Equipment_Class],"Excavator")</f>
        <v/>
      </c>
      <c r="AT139" s="57">
        <f>IF($B139=$B138,$AT138,0)+$AS139</f>
        <v/>
      </c>
      <c r="AU139" s="57">
        <f>$AU138+$AS139</f>
        <v/>
      </c>
      <c r="AV139" s="57">
        <f>SUMIFS(tblFleet[Available_h],tblFleet[Date],$A139,tblFleet[Equipment_Class],"Excavator")</f>
        <v/>
      </c>
      <c r="AW139" s="57">
        <f>IF($B139=$B138,$AW138,0)+$AV139</f>
        <v/>
      </c>
      <c r="AX139" s="57">
        <f>$AX138+$AV139</f>
        <v/>
      </c>
      <c r="AY139" s="57">
        <f>SUMIFS(tblFleet[Operating_h],tblFleet[Date],$A139,tblFleet[Equipment_Class],"Excavator")</f>
        <v/>
      </c>
      <c r="AZ139" s="57">
        <f>IF($B139=$B138,$AZ138,0)+$AY139</f>
        <v/>
      </c>
      <c r="BA139" s="57">
        <f>$BA138+$AY139</f>
        <v/>
      </c>
      <c r="BB139" s="67">
        <f>IFERROR(IF(($AS139)&gt;0,($AV139)/($AS139),""),"")</f>
        <v/>
      </c>
      <c r="BC139" s="67">
        <f>IFERROR(IF(($AT139)&gt;0,($AW139)/($AT139),""),"")</f>
        <v/>
      </c>
      <c r="BD139" s="67">
        <f>IFERROR(IF(($AU139)&gt;0,($AX139)/($AU139),""),"")</f>
        <v/>
      </c>
      <c r="BE139" s="67">
        <f>IFERROR(IF(($AV139)&gt;0,($AY139)/($AV139),""),"")</f>
        <v/>
      </c>
      <c r="BF139" s="67">
        <f>IFERROR(IF(($AW139)&gt;0,($AZ139)/($AW139),""),"")</f>
        <v/>
      </c>
      <c r="BG139" s="67">
        <f>IFERROR(IF(($AX139)&gt;0,($BA139)/($AX139),""),"")</f>
        <v/>
      </c>
      <c r="BH139" s="57">
        <f>SUMIFS(tblFleet[Calendar_h],tblFleet[Date],$A139,tblFleet[Equipment_Class],"Haul Truck")</f>
        <v/>
      </c>
      <c r="BI139" s="57">
        <f>IF($B139=$B138,$BI138,0)+$BH139</f>
        <v/>
      </c>
      <c r="BJ139" s="57">
        <f>$BJ138+$BH139</f>
        <v/>
      </c>
      <c r="BK139" s="57">
        <f>SUMIFS(tblFleet[Available_h],tblFleet[Date],$A139,tblFleet[Equipment_Class],"Haul Truck")</f>
        <v/>
      </c>
      <c r="BL139" s="57">
        <f>IF($B139=$B138,$BL138,0)+$BK139</f>
        <v/>
      </c>
      <c r="BM139" s="57">
        <f>$BM138+$BK139</f>
        <v/>
      </c>
      <c r="BN139" s="57">
        <f>SUMIFS(tblFleet[Operating_h],tblFleet[Date],$A139,tblFleet[Equipment_Class],"Haul Truck")</f>
        <v/>
      </c>
      <c r="BO139" s="57">
        <f>IF($B139=$B138,$BO138,0)+$BN139</f>
        <v/>
      </c>
      <c r="BP139" s="57">
        <f>$BP138+$BN139</f>
        <v/>
      </c>
      <c r="BQ139" s="67">
        <f>IFERROR(IF(($BH139)&gt;0,($BK139)/($BH139),""),"")</f>
        <v/>
      </c>
      <c r="BR139" s="67">
        <f>IFERROR(IF(($BI139)&gt;0,($BL139)/($BI139),""),"")</f>
        <v/>
      </c>
      <c r="BS139" s="67">
        <f>IFERROR(IF(($BJ139)&gt;0,($BM139)/($BJ139),""),"")</f>
        <v/>
      </c>
      <c r="BT139" s="67">
        <f>IFERROR(IF(($BK139)&gt;0,($BN139)/($BK139),""),"")</f>
        <v/>
      </c>
      <c r="BU139" s="67">
        <f>IFERROR(IF(($BL139)&gt;0,($BO139)/($BL139),""),"")</f>
        <v/>
      </c>
      <c r="BV139" s="67">
        <f>IFERROR(IF(($BM139)&gt;0,($BP139)/($BM139),""),"")</f>
        <v/>
      </c>
      <c r="BW139" s="55">
        <f>SUMIFS(tblPlant[Crushed_t],tblPlant[Date],$A139)</f>
        <v/>
      </c>
      <c r="BX139" s="55">
        <f>IF($B139=$B138,$BX138,0)+$BW139</f>
        <v/>
      </c>
      <c r="BY139" s="55">
        <f>$BY138+$BW139</f>
        <v/>
      </c>
      <c r="BZ139" s="55">
        <f>SUMIFS(tblPlant[Milled_t],tblPlant[Date],$A139)</f>
        <v/>
      </c>
      <c r="CA139" s="55">
        <f>IF($B139=$B138,$CA138,0)+$BZ139</f>
        <v/>
      </c>
      <c r="CB139" s="55">
        <f>$CB138+$BZ139</f>
        <v/>
      </c>
      <c r="CC139" s="55">
        <f>SUMIFS(tblPlant[Feed_oz],tblPlant[Date],$A139)</f>
        <v/>
      </c>
      <c r="CD139" s="55">
        <f>IF($B139=$B138,$CD138,0)+$CC139</f>
        <v/>
      </c>
      <c r="CE139" s="55">
        <f>$CE138+$CC139</f>
        <v/>
      </c>
      <c r="CF139" s="55">
        <f>SUMIFS(tblPlant[Tails_oz],tblPlant[Date],$A139)</f>
        <v/>
      </c>
      <c r="CG139" s="55">
        <f>IF($B139=$B138,$CG138,0)+$CF139</f>
        <v/>
      </c>
      <c r="CH139" s="55">
        <f>$CH138+$CF139</f>
        <v/>
      </c>
      <c r="CI139" s="55">
        <f>SUMIFS(tblPlant[Recovered_oz],tblPlant[Date],$A139)</f>
        <v/>
      </c>
      <c r="CJ139" s="55">
        <f>IF($B139=$B138,$CJ138,0)+$CI139</f>
        <v/>
      </c>
      <c r="CK139" s="55">
        <f>$CK138+$CI139</f>
        <v/>
      </c>
      <c r="CL139" s="56">
        <f>IFERROR(IF(($BZ139)&gt;0,($CC139*cfg_TroyOz)/($BZ139),""),"")</f>
        <v/>
      </c>
      <c r="CM139" s="56">
        <f>IFERROR(IF(($CA139)&gt;0,($CD139*cfg_TroyOz)/($CA139),""),"")</f>
        <v/>
      </c>
      <c r="CN139" s="56">
        <f>IFERROR(IF(($CB139)&gt;0,($CE139*cfg_TroyOz)/($CB139),""),"")</f>
        <v/>
      </c>
      <c r="CO139" s="56">
        <f>IFERROR(IF(($BZ139)&gt;0,($CF139*cfg_TroyOz)/($BZ139),""),"")</f>
        <v/>
      </c>
      <c r="CP139" s="56">
        <f>IFERROR(IF(($CA139)&gt;0,($CG139*cfg_TroyOz)/($CA139),""),"")</f>
        <v/>
      </c>
      <c r="CQ139" s="56">
        <f>IFERROR(IF(($CB139)&gt;0,($CH139*cfg_TroyOz)/($CB139),""),"")</f>
        <v/>
      </c>
      <c r="CR139" s="67">
        <f>IFERROR(IF(($CC139)&gt;0,($CI139)/($CC139),""),"")</f>
        <v/>
      </c>
      <c r="CS139" s="67">
        <f>IFERROR(IF(($CD139)&gt;0,($CJ139)/($CD139),""),"")</f>
        <v/>
      </c>
      <c r="CT139" s="67">
        <f>IFERROR(IF(($CE139)&gt;0,($CK139)/($CE139),""),"")</f>
        <v/>
      </c>
      <c r="CU139" s="55">
        <f>SUMIFS(tblPlant[Gravity_Gold_oz],tblPlant[Date],$A139)</f>
        <v/>
      </c>
      <c r="CV139" s="55">
        <f>IF($B139=$B138,$CV138,0)+$CU139</f>
        <v/>
      </c>
      <c r="CW139" s="55">
        <f>$CW138+$CU139</f>
        <v/>
      </c>
      <c r="CX139" s="55">
        <f>SUMIFS(tblPlant[Gold_Poured_oz],tblPlant[Date],$A139)</f>
        <v/>
      </c>
      <c r="CY139" s="55">
        <f>IF($B139=$B138,$CY138,0)+$CX139</f>
        <v/>
      </c>
      <c r="CZ139" s="55">
        <f>$CZ138+$CX139</f>
        <v/>
      </c>
      <c r="DA139" s="57">
        <f>SUMIFS(tblPlant[Mill_Run_h],tblPlant[Date],$A139)</f>
        <v/>
      </c>
      <c r="DB139" s="57">
        <f>IF($B139=$B138,$DB138,0)+$DA139</f>
        <v/>
      </c>
      <c r="DC139" s="57">
        <f>$DC138+$DA139</f>
        <v/>
      </c>
      <c r="DD139" s="57">
        <f>SUMIFS(tblPlant[Mill_Planned_Maint_h],tblPlant[Date],$A139)</f>
        <v/>
      </c>
      <c r="DE139" s="57">
        <f>IF($B139=$B138,$DE138,0)+$DD139</f>
        <v/>
      </c>
      <c r="DF139" s="57">
        <f>$DF138+$DD139</f>
        <v/>
      </c>
      <c r="DG139" s="57">
        <f>SUMIFS(tblPlant[Mill_Unplanned_Down_h],tblPlant[Date],$A139)</f>
        <v/>
      </c>
      <c r="DH139" s="57">
        <f>IF($B139=$B138,$DH138,0)+$DG139</f>
        <v/>
      </c>
      <c r="DI139" s="57">
        <f>$DI138+$DG139</f>
        <v/>
      </c>
      <c r="DJ139" s="57">
        <f>COUNTIFS(tblPlant[Date],$A139,tblPlant[Mill_Run_h],"&lt;&gt;")*24</f>
        <v/>
      </c>
      <c r="DK139" s="57">
        <f>IF($B139=$B138,$DK138,0)+$DJ139</f>
        <v/>
      </c>
      <c r="DL139" s="57">
        <f>$DL138+$DJ139</f>
        <v/>
      </c>
      <c r="DM139" s="57">
        <f>SUMIFS(tblPlant[Crusher_Run_h],tblPlant[Date],$A139)</f>
        <v/>
      </c>
      <c r="DN139" s="57">
        <f>IF($B139=$B138,$DN138,0)+$DM139</f>
        <v/>
      </c>
      <c r="DO139" s="57">
        <f>$DO138+$DM139</f>
        <v/>
      </c>
      <c r="DP139" s="55">
        <f>IFERROR(IF(($DA139)&gt;0,($BZ139)/($DA139),""),"")</f>
        <v/>
      </c>
      <c r="DQ139" s="55">
        <f>IFERROR(IF(($DB139)&gt;0,($CA139)/($DB139),""),"")</f>
        <v/>
      </c>
      <c r="DR139" s="55">
        <f>IFERROR(IF(($DC139)&gt;0,($CB139)/($DC139),""),"")</f>
        <v/>
      </c>
      <c r="DS139" s="67">
        <f>IFERROR(IF(($DJ139)&gt;0,($DJ139-$DD139-$DG139)/($DJ139),""),"")</f>
        <v/>
      </c>
      <c r="DT139" s="67">
        <f>IFERROR(IF(($DK139)&gt;0,($DK139-$DE139-$DH139)/($DK139),""),"")</f>
        <v/>
      </c>
      <c r="DU139" s="67">
        <f>IFERROR(IF(($DL139)&gt;0,($DL139-$DF139-$DI139)/($DL139),""),"")</f>
        <v/>
      </c>
      <c r="DV139" s="67">
        <f>IFERROR(IF(($DJ139-$DD139-$DG139)&gt;0,($DA139)/($DJ139-$DD139-$DG139),""),"")</f>
        <v/>
      </c>
      <c r="DW139" s="67">
        <f>IFERROR(IF(($DK139-$DE139-$DH139)&gt;0,($DB139)/($DK139-$DE139-$DH139),""),"")</f>
        <v/>
      </c>
      <c r="DX139" s="67">
        <f>IFERROR(IF(($DL139-$DF139-$DI139)&gt;0,($DC139)/($DL139-$DF139-$DI139),""),"")</f>
        <v/>
      </c>
      <c r="DY139" s="55">
        <f>SUMIFS(tblPlant[Cyanide_kg],tblPlant[Date],$A139)</f>
        <v/>
      </c>
      <c r="DZ139" s="55">
        <f>IF($B139=$B138,$DZ138,0)+$DY139</f>
        <v/>
      </c>
      <c r="EA139" s="55">
        <f>$EA138+$DY139</f>
        <v/>
      </c>
      <c r="EB139" s="55">
        <f>SUMIFS(tblPlant[Lime_kg],tblPlant[Date],$A139)</f>
        <v/>
      </c>
      <c r="EC139" s="55">
        <f>IF($B139=$B138,$EC138,0)+$EB139</f>
        <v/>
      </c>
      <c r="ED139" s="55">
        <f>$ED138+$EB139</f>
        <v/>
      </c>
      <c r="EE139" s="55">
        <f>SUMIFS(tblPlant[Grinding_Media_kg],tblPlant[Date],$A139)</f>
        <v/>
      </c>
      <c r="EF139" s="55">
        <f>IF($B139=$B138,$EF138,0)+$EE139</f>
        <v/>
      </c>
      <c r="EG139" s="55">
        <f>$EG138+$EE139</f>
        <v/>
      </c>
      <c r="EH139" s="55">
        <f>SUMIFS(tblPlant[Power_kWh],tblPlant[Date],$A139)</f>
        <v/>
      </c>
      <c r="EI139" s="55">
        <f>IF($B139=$B138,$EI138,0)+$EH139</f>
        <v/>
      </c>
      <c r="EJ139" s="55">
        <f>$EJ138+$EH139</f>
        <v/>
      </c>
      <c r="EK139" s="55">
        <f>SUMIFS(tblPlant[Raw_Water_m3],tblPlant[Date],$A139)</f>
        <v/>
      </c>
      <c r="EL139" s="55">
        <f>IF($B139=$B138,$EL138,0)+$EK139</f>
        <v/>
      </c>
      <c r="EM139" s="55">
        <f>$EM138+$EK139</f>
        <v/>
      </c>
      <c r="EN139" s="56">
        <f>IFERROR(IF(($BZ139)&gt;0,($DY139)/($BZ139),""),"")</f>
        <v/>
      </c>
      <c r="EO139" s="56">
        <f>IFERROR(IF(($CA139)&gt;0,($DZ139)/($CA139),""),"")</f>
        <v/>
      </c>
      <c r="EP139" s="56">
        <f>IFERROR(IF(($CB139)&gt;0,($EA139)/($CB139),""),"")</f>
        <v/>
      </c>
      <c r="EQ139" s="56">
        <f>IFERROR(IF(($BZ139)&gt;0,($EB139)/($BZ139),""),"")</f>
        <v/>
      </c>
      <c r="ER139" s="56">
        <f>IFERROR(IF(($CA139)&gt;0,($EC139)/($CA139),""),"")</f>
        <v/>
      </c>
      <c r="ES139" s="56">
        <f>IFERROR(IF(($CB139)&gt;0,($ED139)/($CB139),""),"")</f>
        <v/>
      </c>
      <c r="ET139" s="56">
        <f>IFERROR(IF(($BZ139)&gt;0,($EE139)/($BZ139),""),"")</f>
        <v/>
      </c>
      <c r="EU139" s="56">
        <f>IFERROR(IF(($CA139)&gt;0,($EF139)/($CA139),""),"")</f>
        <v/>
      </c>
      <c r="EV139" s="56">
        <f>IFERROR(IF(($CB139)&gt;0,($EG139)/($CB139),""),"")</f>
        <v/>
      </c>
      <c r="EW139" s="76">
        <f>IFERROR(IF(($BZ139)&gt;0,($EH139)/($BZ139),""),"")</f>
        <v/>
      </c>
      <c r="EX139" s="76">
        <f>IFERROR(IF(($CA139)&gt;0,($EI139)/($CA139),""),"")</f>
        <v/>
      </c>
      <c r="EY139" s="76">
        <f>IFERROR(IF(($CB139)&gt;0,($EJ139)/($CB139),""),"")</f>
        <v/>
      </c>
      <c r="EZ139" s="56">
        <f>IFERROR(IF(($BZ139)&gt;0,($EK139)/($BZ139),""),"")</f>
        <v/>
      </c>
      <c r="FA139" s="56">
        <f>IFERROR(IF(($CA139)&gt;0,($EL139)/($CA139),""),"")</f>
        <v/>
      </c>
      <c r="FB139" s="56">
        <f>IFERROR(IF(($CB139)&gt;0,($EM139)/($CB139),""),"")</f>
        <v/>
      </c>
      <c r="FC139" s="55">
        <f>IF(SUMIFS(tblPlant[GIC_oz],tblPlant[Date],$A139)&gt;0,SUMIFS(tblPlant[GIC_oz],tblPlant[Date],$A139),"")</f>
        <v/>
      </c>
      <c r="FD139" s="55">
        <f>SUMIFS(tblGold[Gold_oz],tblGold[Date],$A139,tblGold[Type],"Shipment")</f>
        <v/>
      </c>
      <c r="FE139" s="55">
        <f>IF($B139=$B138,$FE138,0)+$FD139</f>
        <v/>
      </c>
      <c r="FF139" s="55">
        <f>$FF138+$FD139</f>
        <v/>
      </c>
      <c r="FG139" s="55">
        <f>SUMIFS(tblGold[Gold_oz],tblGold[Date],$A139,tblGold[Type],"Sale")</f>
        <v/>
      </c>
      <c r="FH139" s="55">
        <f>IF($B139=$B138,$FH138,0)+$FG139</f>
        <v/>
      </c>
      <c r="FI139" s="55">
        <f>$FI138+$FG139</f>
        <v/>
      </c>
      <c r="FJ139" s="55">
        <f>SUMIFS(tblGold[Dore_kg],tblGold[Date],$A139,tblGold[Type],"Shipment")</f>
        <v/>
      </c>
      <c r="FK139" s="55">
        <f>IF($B139=$B138,$FK138,0)+$FJ139</f>
        <v/>
      </c>
      <c r="FL139" s="55">
        <f>$FL138+$FJ139</f>
        <v/>
      </c>
      <c r="FM139" s="57">
        <f>SUMIFS(tblSafety[Hours_Total],tblSafety[Date],$A139)</f>
        <v/>
      </c>
      <c r="FN139" s="57">
        <f>IF($B139=$B138,$FN138,0)+$FM139</f>
        <v/>
      </c>
      <c r="FO139" s="57">
        <f>$FO138+$FM139</f>
        <v/>
      </c>
      <c r="FP139" s="62">
        <f>SUMIFS(tblSafety[Fatality],tblSafety[Date],$A139)</f>
        <v/>
      </c>
      <c r="FQ139" s="62">
        <f>IF($B139=$B138,$FQ138,0)+$FP139</f>
        <v/>
      </c>
      <c r="FR139" s="62">
        <f>$FR138+$FP139</f>
        <v/>
      </c>
      <c r="FS139" s="62">
        <f>SUMIFS(tblSafety[LTI],tblSafety[Date],$A139)</f>
        <v/>
      </c>
      <c r="FT139" s="62">
        <f>IF($B139=$B138,$FT138,0)+$FS139</f>
        <v/>
      </c>
      <c r="FU139" s="62">
        <f>$FU138+$FS139</f>
        <v/>
      </c>
      <c r="FV139" s="62">
        <f>SUMIFS(tblSafety[RWI],tblSafety[Date],$A139)</f>
        <v/>
      </c>
      <c r="FW139" s="62">
        <f>IF($B139=$B138,$FW138,0)+$FV139</f>
        <v/>
      </c>
      <c r="FX139" s="62">
        <f>$FX138+$FV139</f>
        <v/>
      </c>
      <c r="FY139" s="62">
        <f>SUMIFS(tblSafety[MTI],tblSafety[Date],$A139)</f>
        <v/>
      </c>
      <c r="FZ139" s="62">
        <f>IF($B139=$B138,$FZ138,0)+$FY139</f>
        <v/>
      </c>
      <c r="GA139" s="62">
        <f>$GA138+$FY139</f>
        <v/>
      </c>
      <c r="GB139" s="62">
        <f>SUMIFS(tblSafety[FAI],tblSafety[Date],$A139)</f>
        <v/>
      </c>
      <c r="GC139" s="62">
        <f>IF($B139=$B138,$GC138,0)+$GB139</f>
        <v/>
      </c>
      <c r="GD139" s="62">
        <f>$GD138+$GB139</f>
        <v/>
      </c>
      <c r="GE139" s="62">
        <f>SUMIFS(tblSafety[Recordables],tblSafety[Date],$A139)</f>
        <v/>
      </c>
      <c r="GF139" s="62">
        <f>IF($B139=$B138,$GF138,0)+$GE139</f>
        <v/>
      </c>
      <c r="GG139" s="62">
        <f>$GG138+$GE139</f>
        <v/>
      </c>
      <c r="GH139" s="62">
        <f>SUMIFS(tblSafety[Near_Miss],tblSafety[Date],$A139)</f>
        <v/>
      </c>
      <c r="GI139" s="62">
        <f>IF($B139=$B138,$GI138,0)+$GH139</f>
        <v/>
      </c>
      <c r="GJ139" s="62">
        <f>$GJ138+$GH139</f>
        <v/>
      </c>
      <c r="GK139" s="62">
        <f>SUMIFS(tblSafety[Hazard_Reports],tblSafety[Date],$A139)</f>
        <v/>
      </c>
      <c r="GL139" s="62">
        <f>IF($B139=$B138,$GL138,0)+$GK139</f>
        <v/>
      </c>
      <c r="GM139" s="62">
        <f>$GM138+$GK139</f>
        <v/>
      </c>
      <c r="GN139" s="62">
        <f>SUMIFS(tblSafety[HPI],tblSafety[Date],$A139)</f>
        <v/>
      </c>
      <c r="GO139" s="62">
        <f>IF($B139=$B138,$GO138,0)+$GN139</f>
        <v/>
      </c>
      <c r="GP139" s="62">
        <f>$GP138+$GN139</f>
        <v/>
      </c>
      <c r="GQ139" s="62">
        <f>SUMIFS(tblSafety[Env_Incidents],tblSafety[Date],$A139)</f>
        <v/>
      </c>
      <c r="GR139" s="62">
        <f>IF($B139=$B138,$GR138,0)+$GQ139</f>
        <v/>
      </c>
      <c r="GS139" s="62">
        <f>$GS138+$GQ139</f>
        <v/>
      </c>
      <c r="GT139" s="62">
        <f>SUMIFS(tblSafety[Community_Incidents],tblSafety[Date],$A139)</f>
        <v/>
      </c>
      <c r="GU139" s="62">
        <f>IF($B139=$B138,$GU138,0)+$GT139</f>
        <v/>
      </c>
      <c r="GV139" s="62">
        <f>$GV138+$GT139</f>
        <v/>
      </c>
      <c r="GW139" s="62">
        <f>SUMIFS(tblSafety[Vehicle_Incidents],tblSafety[Date],$A139)</f>
        <v/>
      </c>
      <c r="GX139" s="62">
        <f>IF($B139=$B138,$GX138,0)+$GW139</f>
        <v/>
      </c>
      <c r="GY139" s="62">
        <f>$GY138+$GW139</f>
        <v/>
      </c>
      <c r="GZ139" s="62">
        <f>SUMIFS(tblSafety[Toolbox_Talks],tblSafety[Date],$A139)</f>
        <v/>
      </c>
      <c r="HA139" s="62">
        <f>IF($B139=$B138,$HA138,0)+$GZ139</f>
        <v/>
      </c>
      <c r="HB139" s="62">
        <f>$HB138+$GZ139</f>
        <v/>
      </c>
      <c r="HC139" s="62">
        <f>SUMIFS(tblSafety[Inspections],tblSafety[Date],$A139)</f>
        <v/>
      </c>
      <c r="HD139" s="62">
        <f>IF($B139=$B138,$HD138,0)+$HC139</f>
        <v/>
      </c>
      <c r="HE139" s="62">
        <f>$HE138+$HC139</f>
        <v/>
      </c>
      <c r="HF139" s="56">
        <f>IFERROR((SUMIFS(tblSafety[Recordables],tblSafety[Date],"&gt;="&amp;EDATE($E139,-12),tblSafety[Date],"&lt;="&amp;$A139)+SUMIFS(tblSafetyHistory[Recordables],tblSafetyHistory[Month],"&gt;="&amp;EDATE($E139,-12),tblSafetyHistory[Month],"&lt;"&amp;cfg_YearStart))/(SUMIFS(tblSafety[Hours_Total],tblSafety[Date],"&gt;="&amp;EDATE($E139,-12),tblSafety[Date],"&lt;="&amp;$A139)+SUMIFS(tblSafetyHistory[Hours_Total],tblSafetyHistory[Month],"&gt;="&amp;EDATE($E139,-12),tblSafetyHistory[Month],"&lt;"&amp;cfg_YearStart))*1000000,"")</f>
        <v/>
      </c>
      <c r="HG139" s="56">
        <f>IFERROR((SUMIFS(tblSafety[LTI],tblSafety[Date],"&gt;="&amp;EDATE($E139,-12),tblSafety[Date],"&lt;="&amp;$A139)+SUMIFS(tblSafetyHistory[LTI],tblSafetyHistory[Month],"&gt;="&amp;EDATE($E139,-12),tblSafetyHistory[Month],"&lt;"&amp;cfg_YearStart))/(SUMIFS(tblSafety[Hours_Total],tblSafety[Date],"&gt;="&amp;EDATE($E139,-12),tblSafety[Date],"&lt;="&amp;$A139)+SUMIFS(tblSafetyHistory[Hours_Total],tblSafetyHistory[Month],"&gt;="&amp;EDATE($E139,-12),tblSafetyHistory[Month],"&lt;"&amp;cfg_YearStart))*1000000,"")</f>
        <v/>
      </c>
      <c r="HH139" s="62">
        <f>IF(MAX(N(cfg_PriorLTIDate),_xlfn.MAXIFS(tblSafety[Date],tblSafety[LTI],"&gt;0",tblSafety[Date],"&lt;="&amp;$A139))=0,"",$A139-MAX(N(cfg_PriorLTIDate),_xlfn.MAXIFS(tblSafety[Date],tblSafety[LTI],"&gt;0",tblSafety[Date],"&lt;="&amp;$A139)))</f>
        <v/>
      </c>
      <c r="HI139" s="55">
        <f>SUMIFS(tblBudget[Ore_Mined_t],tblBudget[Month],$E139)</f>
        <v/>
      </c>
      <c r="HJ139" s="55">
        <f>$HI139*$C139/$D139</f>
        <v/>
      </c>
      <c r="HK139" s="55">
        <f>SUMIFS(tblBudget[Ore_Mined_t],tblBudget[Month],"&lt;"&amp;$E139)+$HJ139</f>
        <v/>
      </c>
      <c r="HL139" s="55">
        <f>SUMIFS(tblBudget[Ore_oz],tblBudget[Month],$E139)</f>
        <v/>
      </c>
      <c r="HM139" s="55">
        <f>$HL139*$C139/$D139</f>
        <v/>
      </c>
      <c r="HN139" s="55">
        <f>SUMIFS(tblBudget[Ore_oz],tblBudget[Month],"&lt;"&amp;$E139)+$HM139</f>
        <v/>
      </c>
      <c r="HO139" s="56">
        <f>IFERROR(IF(($HI139)&gt;0,($HL139*cfg_TroyOz)/($HI139),""),"")</f>
        <v/>
      </c>
      <c r="HP139" s="56">
        <f>IFERROR(IF(($HJ139)&gt;0,($HM139*cfg_TroyOz)/($HJ139),""),"")</f>
        <v/>
      </c>
      <c r="HQ139" s="56">
        <f>IFERROR(IF(($HK139)&gt;0,($HN139*cfg_TroyOz)/($HK139),""),"")</f>
        <v/>
      </c>
      <c r="HR139" s="55">
        <f>SUMIFS(tblBudget[Waste_t],tblBudget[Month],$E139)</f>
        <v/>
      </c>
      <c r="HS139" s="55">
        <f>$HR139*$C139/$D139</f>
        <v/>
      </c>
      <c r="HT139" s="55">
        <f>SUMIFS(tblBudget[Waste_t],tblBudget[Month],"&lt;"&amp;$E139)+$HS139</f>
        <v/>
      </c>
      <c r="HU139" s="55">
        <f>SUMIFS(tblBudget[TMM_t],tblBudget[Month],$E139)</f>
        <v/>
      </c>
      <c r="HV139" s="55">
        <f>$HU139*$C139/$D139</f>
        <v/>
      </c>
      <c r="HW139" s="55">
        <f>SUMIFS(tblBudget[TMM_t],tblBudget[Month],"&lt;"&amp;$E139)+$HV139</f>
        <v/>
      </c>
      <c r="HX139" s="56">
        <f>IFERROR(IF(($HI139)&gt;0,($HR139)/($HI139),""),"")</f>
        <v/>
      </c>
      <c r="HY139" s="56">
        <f>IFERROR(IF(($HJ139)&gt;0,($HS139)/($HJ139),""),"")</f>
        <v/>
      </c>
      <c r="HZ139" s="56">
        <f>IFERROR(IF(($HK139)&gt;0,($HT139)/($HK139),""),"")</f>
        <v/>
      </c>
      <c r="IA139" s="55">
        <f>SUMIFS(tblBudget[Drill_m],tblBudget[Month],$E139)</f>
        <v/>
      </c>
      <c r="IB139" s="55">
        <f>$IA139*$C139/$D139</f>
        <v/>
      </c>
      <c r="IC139" s="55">
        <f>SUMIFS(tblBudget[Drill_m],tblBudget[Month],"&lt;"&amp;$E139)+$IB139</f>
        <v/>
      </c>
      <c r="ID139" s="55">
        <f>SUMIFS(tblBudget[Diesel_L],tblBudget[Month],$E139)</f>
        <v/>
      </c>
      <c r="IE139" s="55">
        <f>$ID139*$C139/$D139</f>
        <v/>
      </c>
      <c r="IF139" s="55">
        <f>SUMIFS(tblBudget[Diesel_L],tblBudget[Month],"&lt;"&amp;$E139)+$IE139</f>
        <v/>
      </c>
      <c r="IG139" s="55">
        <f>SUMIFS(tblBudget[Milled_t],tblBudget[Month],$E139)</f>
        <v/>
      </c>
      <c r="IH139" s="55">
        <f>$IG139*$C139/$D139</f>
        <v/>
      </c>
      <c r="II139" s="55">
        <f>SUMIFS(tblBudget[Milled_t],tblBudget[Month],"&lt;"&amp;$E139)+$IH139</f>
        <v/>
      </c>
      <c r="IJ139" s="55">
        <f>SUMIFS(tblBudget[Feed_oz],tblBudget[Month],$E139)</f>
        <v/>
      </c>
      <c r="IK139" s="55">
        <f>$IJ139*$C139/$D139</f>
        <v/>
      </c>
      <c r="IL139" s="55">
        <f>SUMIFS(tblBudget[Feed_oz],tblBudget[Month],"&lt;"&amp;$E139)+$IK139</f>
        <v/>
      </c>
      <c r="IM139" s="55">
        <f>SUMIFS(tblBudget[Recovered_oz],tblBudget[Month],$E139)</f>
        <v/>
      </c>
      <c r="IN139" s="55">
        <f>$IM139*$C139/$D139</f>
        <v/>
      </c>
      <c r="IO139" s="55">
        <f>SUMIFS(tblBudget[Recovered_oz],tblBudget[Month],"&lt;"&amp;$E139)+$IN139</f>
        <v/>
      </c>
      <c r="IP139" s="56">
        <f>IFERROR(IF(($IG139)&gt;0,($IJ139*cfg_TroyOz)/($IG139),""),"")</f>
        <v/>
      </c>
      <c r="IQ139" s="56">
        <f>IFERROR(IF(($IH139)&gt;0,($IK139*cfg_TroyOz)/($IH139),""),"")</f>
        <v/>
      </c>
      <c r="IR139" s="56">
        <f>IFERROR(IF(($II139)&gt;0,($IL139*cfg_TroyOz)/($II139),""),"")</f>
        <v/>
      </c>
      <c r="IS139" s="67">
        <f>IFERROR(IF(($IJ139)&gt;0,($IM139)/($IJ139),""),"")</f>
        <v/>
      </c>
      <c r="IT139" s="67">
        <f>IFERROR(IF(($IK139)&gt;0,($IN139)/($IK139),""),"")</f>
        <v/>
      </c>
      <c r="IU139" s="67">
        <f>IFERROR(IF(($IL139)&gt;0,($IO139)/($IL139),""),"")</f>
        <v/>
      </c>
      <c r="IV139" s="55">
        <f>SUMIFS(tblBudget[Gold_Poured_oz],tblBudget[Month],$E139)</f>
        <v/>
      </c>
      <c r="IW139" s="55">
        <f>$IV139*$C139/$D139</f>
        <v/>
      </c>
      <c r="IX139" s="55">
        <f>SUMIFS(tblBudget[Gold_Poured_oz],tblBudget[Month],"&lt;"&amp;$E139)+$IW139</f>
        <v/>
      </c>
      <c r="IY139" s="57">
        <f>SUMIFS(tblBudget[Hours_Worked],tblBudget[Month],$E139)</f>
        <v/>
      </c>
      <c r="IZ139" s="57">
        <f>$IY139*$C139/$D139</f>
        <v/>
      </c>
      <c r="JA139" s="57">
        <f>SUMIFS(tblBudget[Hours_Worked],tblBudget[Month],"&lt;"&amp;$E139)+$IZ139</f>
        <v/>
      </c>
    </row>
    <row r="140">
      <c r="A140" s="54" t="n">
        <v>46161</v>
      </c>
      <c r="B140">
        <f>MONTH($A140)</f>
        <v/>
      </c>
      <c r="C140">
        <f>DAY($A140)</f>
        <v/>
      </c>
      <c r="D140">
        <f>DAY(EOMONTH($A140,0))</f>
        <v/>
      </c>
      <c r="E140" s="54">
        <f>DATE(YEAR($A140),MONTH($A140),1)</f>
        <v/>
      </c>
      <c r="F140" s="55">
        <f>SUMIFS(tblMovement[Tonnes_t],tblMovement[Date],$A140,tblMovement[Is_Ore],1,tblMovement[Source_Type],"Pit")</f>
        <v/>
      </c>
      <c r="G140" s="55">
        <f>IF($B140=$B139,$G139,0)+$F140</f>
        <v/>
      </c>
      <c r="H140" s="55">
        <f>$H139+$F140</f>
        <v/>
      </c>
      <c r="I140" s="55">
        <f>SUMIFS(tblMovement[Ore_oz],tblMovement[Date],$A140,tblMovement[Source_Type],"Pit")</f>
        <v/>
      </c>
      <c r="J140" s="55">
        <f>IF($B140=$B139,$J139,0)+$I140</f>
        <v/>
      </c>
      <c r="K140" s="55">
        <f>$K139+$I140</f>
        <v/>
      </c>
      <c r="L140" s="56">
        <f>IFERROR(IF(($F140)&gt;0,($I140*cfg_TroyOz)/($F140),""),"")</f>
        <v/>
      </c>
      <c r="M140" s="56">
        <f>IFERROR(IF(($G140)&gt;0,($J140*cfg_TroyOz)/($G140),""),"")</f>
        <v/>
      </c>
      <c r="N140" s="56">
        <f>IFERROR(IF(($H140)&gt;0,($K140*cfg_TroyOz)/($H140),""),"")</f>
        <v/>
      </c>
      <c r="O140" s="55">
        <f>SUMIFS(tblMovement[Tonnes_t],tblMovement[Date],$A140,tblMovement[Is_Ore],0,tblMovement[Source_Type],"Pit")</f>
        <v/>
      </c>
      <c r="P140" s="55">
        <f>IF($B140=$B139,$P139,0)+$O140</f>
        <v/>
      </c>
      <c r="Q140" s="55">
        <f>$Q139+$O140</f>
        <v/>
      </c>
      <c r="R140" s="55">
        <f>$F140+$O140</f>
        <v/>
      </c>
      <c r="S140" s="55">
        <f>IF($B140=$B139,$S139,0)+$R140</f>
        <v/>
      </c>
      <c r="T140" s="55">
        <f>$T139+$R140</f>
        <v/>
      </c>
      <c r="U140" s="56">
        <f>IFERROR(IF(($F140)&gt;0,($O140)/($F140),""),"")</f>
        <v/>
      </c>
      <c r="V140" s="56">
        <f>IFERROR(IF(($G140)&gt;0,($P140)/($G140),""),"")</f>
        <v/>
      </c>
      <c r="W140" s="56">
        <f>IFERROR(IF(($H140)&gt;0,($Q140)/($H140),""),"")</f>
        <v/>
      </c>
      <c r="X140" s="55">
        <f>SUMIFS(tblMovement[Tonnes_t],tblMovement[Date],$A140,tblMovement[Source_Type],"Stockpile")</f>
        <v/>
      </c>
      <c r="Y140" s="55">
        <f>IF($B140=$B139,$Y139,0)+$X140</f>
        <v/>
      </c>
      <c r="Z140" s="55">
        <f>$Z139+$X140</f>
        <v/>
      </c>
      <c r="AA140" s="55">
        <f>SUMIFS(tblMiningDaily[Drill_m],tblMiningDaily[Date],$A140)</f>
        <v/>
      </c>
      <c r="AB140" s="55">
        <f>IF($B140=$B139,$AB139,0)+$AA140</f>
        <v/>
      </c>
      <c r="AC140" s="55">
        <f>$AC139+$AA140</f>
        <v/>
      </c>
      <c r="AD140" s="55">
        <f>SUMIFS(tblMiningDaily[Blast_t],tblMiningDaily[Date],$A140)</f>
        <v/>
      </c>
      <c r="AE140" s="55">
        <f>IF($B140=$B139,$AE139,0)+$AD140</f>
        <v/>
      </c>
      <c r="AF140" s="55">
        <f>$AF139+$AD140</f>
        <v/>
      </c>
      <c r="AG140" s="55">
        <f>SUMIFS(tblMiningDaily[Explosives_kg],tblMiningDaily[Date],$A140)</f>
        <v/>
      </c>
      <c r="AH140" s="55">
        <f>IF($B140=$B139,$AH139,0)+$AG140</f>
        <v/>
      </c>
      <c r="AI140" s="55">
        <f>$AI139+$AG140</f>
        <v/>
      </c>
      <c r="AJ140" s="56">
        <f>IFERROR(IF(($AD140)&gt;0,($AG140)/($AD140),""),"")</f>
        <v/>
      </c>
      <c r="AK140" s="56">
        <f>IFERROR(IF(($AE140)&gt;0,($AH140)/($AE140),""),"")</f>
        <v/>
      </c>
      <c r="AL140" s="56">
        <f>IFERROR(IF(($AF140)&gt;0,($AI140)/($AF140),""),"")</f>
        <v/>
      </c>
      <c r="AM140" s="55">
        <f>SUMIFS(tblMiningDaily[Diesel_L],tblMiningDaily[Date],$A140)</f>
        <v/>
      </c>
      <c r="AN140" s="55">
        <f>IF($B140=$B139,$AN139,0)+$AM140</f>
        <v/>
      </c>
      <c r="AO140" s="55">
        <f>$AO139+$AM140</f>
        <v/>
      </c>
      <c r="AP140" s="55">
        <f>SUMIFS(tblMiningDaily[Dewatering_m3],tblMiningDaily[Date],$A140)</f>
        <v/>
      </c>
      <c r="AQ140" s="55">
        <f>IF($B140=$B139,$AQ139,0)+$AP140</f>
        <v/>
      </c>
      <c r="AR140" s="55">
        <f>$AR139+$AP140</f>
        <v/>
      </c>
      <c r="AS140" s="57">
        <f>SUMIFS(tblFleet[Calendar_h],tblFleet[Date],$A140,tblFleet[Equipment_Class],"Excavator")</f>
        <v/>
      </c>
      <c r="AT140" s="57">
        <f>IF($B140=$B139,$AT139,0)+$AS140</f>
        <v/>
      </c>
      <c r="AU140" s="57">
        <f>$AU139+$AS140</f>
        <v/>
      </c>
      <c r="AV140" s="57">
        <f>SUMIFS(tblFleet[Available_h],tblFleet[Date],$A140,tblFleet[Equipment_Class],"Excavator")</f>
        <v/>
      </c>
      <c r="AW140" s="57">
        <f>IF($B140=$B139,$AW139,0)+$AV140</f>
        <v/>
      </c>
      <c r="AX140" s="57">
        <f>$AX139+$AV140</f>
        <v/>
      </c>
      <c r="AY140" s="57">
        <f>SUMIFS(tblFleet[Operating_h],tblFleet[Date],$A140,tblFleet[Equipment_Class],"Excavator")</f>
        <v/>
      </c>
      <c r="AZ140" s="57">
        <f>IF($B140=$B139,$AZ139,0)+$AY140</f>
        <v/>
      </c>
      <c r="BA140" s="57">
        <f>$BA139+$AY140</f>
        <v/>
      </c>
      <c r="BB140" s="67">
        <f>IFERROR(IF(($AS140)&gt;0,($AV140)/($AS140),""),"")</f>
        <v/>
      </c>
      <c r="BC140" s="67">
        <f>IFERROR(IF(($AT140)&gt;0,($AW140)/($AT140),""),"")</f>
        <v/>
      </c>
      <c r="BD140" s="67">
        <f>IFERROR(IF(($AU140)&gt;0,($AX140)/($AU140),""),"")</f>
        <v/>
      </c>
      <c r="BE140" s="67">
        <f>IFERROR(IF(($AV140)&gt;0,($AY140)/($AV140),""),"")</f>
        <v/>
      </c>
      <c r="BF140" s="67">
        <f>IFERROR(IF(($AW140)&gt;0,($AZ140)/($AW140),""),"")</f>
        <v/>
      </c>
      <c r="BG140" s="67">
        <f>IFERROR(IF(($AX140)&gt;0,($BA140)/($AX140),""),"")</f>
        <v/>
      </c>
      <c r="BH140" s="57">
        <f>SUMIFS(tblFleet[Calendar_h],tblFleet[Date],$A140,tblFleet[Equipment_Class],"Haul Truck")</f>
        <v/>
      </c>
      <c r="BI140" s="57">
        <f>IF($B140=$B139,$BI139,0)+$BH140</f>
        <v/>
      </c>
      <c r="BJ140" s="57">
        <f>$BJ139+$BH140</f>
        <v/>
      </c>
      <c r="BK140" s="57">
        <f>SUMIFS(tblFleet[Available_h],tblFleet[Date],$A140,tblFleet[Equipment_Class],"Haul Truck")</f>
        <v/>
      </c>
      <c r="BL140" s="57">
        <f>IF($B140=$B139,$BL139,0)+$BK140</f>
        <v/>
      </c>
      <c r="BM140" s="57">
        <f>$BM139+$BK140</f>
        <v/>
      </c>
      <c r="BN140" s="57">
        <f>SUMIFS(tblFleet[Operating_h],tblFleet[Date],$A140,tblFleet[Equipment_Class],"Haul Truck")</f>
        <v/>
      </c>
      <c r="BO140" s="57">
        <f>IF($B140=$B139,$BO139,0)+$BN140</f>
        <v/>
      </c>
      <c r="BP140" s="57">
        <f>$BP139+$BN140</f>
        <v/>
      </c>
      <c r="BQ140" s="67">
        <f>IFERROR(IF(($BH140)&gt;0,($BK140)/($BH140),""),"")</f>
        <v/>
      </c>
      <c r="BR140" s="67">
        <f>IFERROR(IF(($BI140)&gt;0,($BL140)/($BI140),""),"")</f>
        <v/>
      </c>
      <c r="BS140" s="67">
        <f>IFERROR(IF(($BJ140)&gt;0,($BM140)/($BJ140),""),"")</f>
        <v/>
      </c>
      <c r="BT140" s="67">
        <f>IFERROR(IF(($BK140)&gt;0,($BN140)/($BK140),""),"")</f>
        <v/>
      </c>
      <c r="BU140" s="67">
        <f>IFERROR(IF(($BL140)&gt;0,($BO140)/($BL140),""),"")</f>
        <v/>
      </c>
      <c r="BV140" s="67">
        <f>IFERROR(IF(($BM140)&gt;0,($BP140)/($BM140),""),"")</f>
        <v/>
      </c>
      <c r="BW140" s="55">
        <f>SUMIFS(tblPlant[Crushed_t],tblPlant[Date],$A140)</f>
        <v/>
      </c>
      <c r="BX140" s="55">
        <f>IF($B140=$B139,$BX139,0)+$BW140</f>
        <v/>
      </c>
      <c r="BY140" s="55">
        <f>$BY139+$BW140</f>
        <v/>
      </c>
      <c r="BZ140" s="55">
        <f>SUMIFS(tblPlant[Milled_t],tblPlant[Date],$A140)</f>
        <v/>
      </c>
      <c r="CA140" s="55">
        <f>IF($B140=$B139,$CA139,0)+$BZ140</f>
        <v/>
      </c>
      <c r="CB140" s="55">
        <f>$CB139+$BZ140</f>
        <v/>
      </c>
      <c r="CC140" s="55">
        <f>SUMIFS(tblPlant[Feed_oz],tblPlant[Date],$A140)</f>
        <v/>
      </c>
      <c r="CD140" s="55">
        <f>IF($B140=$B139,$CD139,0)+$CC140</f>
        <v/>
      </c>
      <c r="CE140" s="55">
        <f>$CE139+$CC140</f>
        <v/>
      </c>
      <c r="CF140" s="55">
        <f>SUMIFS(tblPlant[Tails_oz],tblPlant[Date],$A140)</f>
        <v/>
      </c>
      <c r="CG140" s="55">
        <f>IF($B140=$B139,$CG139,0)+$CF140</f>
        <v/>
      </c>
      <c r="CH140" s="55">
        <f>$CH139+$CF140</f>
        <v/>
      </c>
      <c r="CI140" s="55">
        <f>SUMIFS(tblPlant[Recovered_oz],tblPlant[Date],$A140)</f>
        <v/>
      </c>
      <c r="CJ140" s="55">
        <f>IF($B140=$B139,$CJ139,0)+$CI140</f>
        <v/>
      </c>
      <c r="CK140" s="55">
        <f>$CK139+$CI140</f>
        <v/>
      </c>
      <c r="CL140" s="56">
        <f>IFERROR(IF(($BZ140)&gt;0,($CC140*cfg_TroyOz)/($BZ140),""),"")</f>
        <v/>
      </c>
      <c r="CM140" s="56">
        <f>IFERROR(IF(($CA140)&gt;0,($CD140*cfg_TroyOz)/($CA140),""),"")</f>
        <v/>
      </c>
      <c r="CN140" s="56">
        <f>IFERROR(IF(($CB140)&gt;0,($CE140*cfg_TroyOz)/($CB140),""),"")</f>
        <v/>
      </c>
      <c r="CO140" s="56">
        <f>IFERROR(IF(($BZ140)&gt;0,($CF140*cfg_TroyOz)/($BZ140),""),"")</f>
        <v/>
      </c>
      <c r="CP140" s="56">
        <f>IFERROR(IF(($CA140)&gt;0,($CG140*cfg_TroyOz)/($CA140),""),"")</f>
        <v/>
      </c>
      <c r="CQ140" s="56">
        <f>IFERROR(IF(($CB140)&gt;0,($CH140*cfg_TroyOz)/($CB140),""),"")</f>
        <v/>
      </c>
      <c r="CR140" s="67">
        <f>IFERROR(IF(($CC140)&gt;0,($CI140)/($CC140),""),"")</f>
        <v/>
      </c>
      <c r="CS140" s="67">
        <f>IFERROR(IF(($CD140)&gt;0,($CJ140)/($CD140),""),"")</f>
        <v/>
      </c>
      <c r="CT140" s="67">
        <f>IFERROR(IF(($CE140)&gt;0,($CK140)/($CE140),""),"")</f>
        <v/>
      </c>
      <c r="CU140" s="55">
        <f>SUMIFS(tblPlant[Gravity_Gold_oz],tblPlant[Date],$A140)</f>
        <v/>
      </c>
      <c r="CV140" s="55">
        <f>IF($B140=$B139,$CV139,0)+$CU140</f>
        <v/>
      </c>
      <c r="CW140" s="55">
        <f>$CW139+$CU140</f>
        <v/>
      </c>
      <c r="CX140" s="55">
        <f>SUMIFS(tblPlant[Gold_Poured_oz],tblPlant[Date],$A140)</f>
        <v/>
      </c>
      <c r="CY140" s="55">
        <f>IF($B140=$B139,$CY139,0)+$CX140</f>
        <v/>
      </c>
      <c r="CZ140" s="55">
        <f>$CZ139+$CX140</f>
        <v/>
      </c>
      <c r="DA140" s="57">
        <f>SUMIFS(tblPlant[Mill_Run_h],tblPlant[Date],$A140)</f>
        <v/>
      </c>
      <c r="DB140" s="57">
        <f>IF($B140=$B139,$DB139,0)+$DA140</f>
        <v/>
      </c>
      <c r="DC140" s="57">
        <f>$DC139+$DA140</f>
        <v/>
      </c>
      <c r="DD140" s="57">
        <f>SUMIFS(tblPlant[Mill_Planned_Maint_h],tblPlant[Date],$A140)</f>
        <v/>
      </c>
      <c r="DE140" s="57">
        <f>IF($B140=$B139,$DE139,0)+$DD140</f>
        <v/>
      </c>
      <c r="DF140" s="57">
        <f>$DF139+$DD140</f>
        <v/>
      </c>
      <c r="DG140" s="57">
        <f>SUMIFS(tblPlant[Mill_Unplanned_Down_h],tblPlant[Date],$A140)</f>
        <v/>
      </c>
      <c r="DH140" s="57">
        <f>IF($B140=$B139,$DH139,0)+$DG140</f>
        <v/>
      </c>
      <c r="DI140" s="57">
        <f>$DI139+$DG140</f>
        <v/>
      </c>
      <c r="DJ140" s="57">
        <f>COUNTIFS(tblPlant[Date],$A140,tblPlant[Mill_Run_h],"&lt;&gt;")*24</f>
        <v/>
      </c>
      <c r="DK140" s="57">
        <f>IF($B140=$B139,$DK139,0)+$DJ140</f>
        <v/>
      </c>
      <c r="DL140" s="57">
        <f>$DL139+$DJ140</f>
        <v/>
      </c>
      <c r="DM140" s="57">
        <f>SUMIFS(tblPlant[Crusher_Run_h],tblPlant[Date],$A140)</f>
        <v/>
      </c>
      <c r="DN140" s="57">
        <f>IF($B140=$B139,$DN139,0)+$DM140</f>
        <v/>
      </c>
      <c r="DO140" s="57">
        <f>$DO139+$DM140</f>
        <v/>
      </c>
      <c r="DP140" s="55">
        <f>IFERROR(IF(($DA140)&gt;0,($BZ140)/($DA140),""),"")</f>
        <v/>
      </c>
      <c r="DQ140" s="55">
        <f>IFERROR(IF(($DB140)&gt;0,($CA140)/($DB140),""),"")</f>
        <v/>
      </c>
      <c r="DR140" s="55">
        <f>IFERROR(IF(($DC140)&gt;0,($CB140)/($DC140),""),"")</f>
        <v/>
      </c>
      <c r="DS140" s="67">
        <f>IFERROR(IF(($DJ140)&gt;0,($DJ140-$DD140-$DG140)/($DJ140),""),"")</f>
        <v/>
      </c>
      <c r="DT140" s="67">
        <f>IFERROR(IF(($DK140)&gt;0,($DK140-$DE140-$DH140)/($DK140),""),"")</f>
        <v/>
      </c>
      <c r="DU140" s="67">
        <f>IFERROR(IF(($DL140)&gt;0,($DL140-$DF140-$DI140)/($DL140),""),"")</f>
        <v/>
      </c>
      <c r="DV140" s="67">
        <f>IFERROR(IF(($DJ140-$DD140-$DG140)&gt;0,($DA140)/($DJ140-$DD140-$DG140),""),"")</f>
        <v/>
      </c>
      <c r="DW140" s="67">
        <f>IFERROR(IF(($DK140-$DE140-$DH140)&gt;0,($DB140)/($DK140-$DE140-$DH140),""),"")</f>
        <v/>
      </c>
      <c r="DX140" s="67">
        <f>IFERROR(IF(($DL140-$DF140-$DI140)&gt;0,($DC140)/($DL140-$DF140-$DI140),""),"")</f>
        <v/>
      </c>
      <c r="DY140" s="55">
        <f>SUMIFS(tblPlant[Cyanide_kg],tblPlant[Date],$A140)</f>
        <v/>
      </c>
      <c r="DZ140" s="55">
        <f>IF($B140=$B139,$DZ139,0)+$DY140</f>
        <v/>
      </c>
      <c r="EA140" s="55">
        <f>$EA139+$DY140</f>
        <v/>
      </c>
      <c r="EB140" s="55">
        <f>SUMIFS(tblPlant[Lime_kg],tblPlant[Date],$A140)</f>
        <v/>
      </c>
      <c r="EC140" s="55">
        <f>IF($B140=$B139,$EC139,0)+$EB140</f>
        <v/>
      </c>
      <c r="ED140" s="55">
        <f>$ED139+$EB140</f>
        <v/>
      </c>
      <c r="EE140" s="55">
        <f>SUMIFS(tblPlant[Grinding_Media_kg],tblPlant[Date],$A140)</f>
        <v/>
      </c>
      <c r="EF140" s="55">
        <f>IF($B140=$B139,$EF139,0)+$EE140</f>
        <v/>
      </c>
      <c r="EG140" s="55">
        <f>$EG139+$EE140</f>
        <v/>
      </c>
      <c r="EH140" s="55">
        <f>SUMIFS(tblPlant[Power_kWh],tblPlant[Date],$A140)</f>
        <v/>
      </c>
      <c r="EI140" s="55">
        <f>IF($B140=$B139,$EI139,0)+$EH140</f>
        <v/>
      </c>
      <c r="EJ140" s="55">
        <f>$EJ139+$EH140</f>
        <v/>
      </c>
      <c r="EK140" s="55">
        <f>SUMIFS(tblPlant[Raw_Water_m3],tblPlant[Date],$A140)</f>
        <v/>
      </c>
      <c r="EL140" s="55">
        <f>IF($B140=$B139,$EL139,0)+$EK140</f>
        <v/>
      </c>
      <c r="EM140" s="55">
        <f>$EM139+$EK140</f>
        <v/>
      </c>
      <c r="EN140" s="56">
        <f>IFERROR(IF(($BZ140)&gt;0,($DY140)/($BZ140),""),"")</f>
        <v/>
      </c>
      <c r="EO140" s="56">
        <f>IFERROR(IF(($CA140)&gt;0,($DZ140)/($CA140),""),"")</f>
        <v/>
      </c>
      <c r="EP140" s="56">
        <f>IFERROR(IF(($CB140)&gt;0,($EA140)/($CB140),""),"")</f>
        <v/>
      </c>
      <c r="EQ140" s="56">
        <f>IFERROR(IF(($BZ140)&gt;0,($EB140)/($BZ140),""),"")</f>
        <v/>
      </c>
      <c r="ER140" s="56">
        <f>IFERROR(IF(($CA140)&gt;0,($EC140)/($CA140),""),"")</f>
        <v/>
      </c>
      <c r="ES140" s="56">
        <f>IFERROR(IF(($CB140)&gt;0,($ED140)/($CB140),""),"")</f>
        <v/>
      </c>
      <c r="ET140" s="56">
        <f>IFERROR(IF(($BZ140)&gt;0,($EE140)/($BZ140),""),"")</f>
        <v/>
      </c>
      <c r="EU140" s="56">
        <f>IFERROR(IF(($CA140)&gt;0,($EF140)/($CA140),""),"")</f>
        <v/>
      </c>
      <c r="EV140" s="56">
        <f>IFERROR(IF(($CB140)&gt;0,($EG140)/($CB140),""),"")</f>
        <v/>
      </c>
      <c r="EW140" s="76">
        <f>IFERROR(IF(($BZ140)&gt;0,($EH140)/($BZ140),""),"")</f>
        <v/>
      </c>
      <c r="EX140" s="76">
        <f>IFERROR(IF(($CA140)&gt;0,($EI140)/($CA140),""),"")</f>
        <v/>
      </c>
      <c r="EY140" s="76">
        <f>IFERROR(IF(($CB140)&gt;0,($EJ140)/($CB140),""),"")</f>
        <v/>
      </c>
      <c r="EZ140" s="56">
        <f>IFERROR(IF(($BZ140)&gt;0,($EK140)/($BZ140),""),"")</f>
        <v/>
      </c>
      <c r="FA140" s="56">
        <f>IFERROR(IF(($CA140)&gt;0,($EL140)/($CA140),""),"")</f>
        <v/>
      </c>
      <c r="FB140" s="56">
        <f>IFERROR(IF(($CB140)&gt;0,($EM140)/($CB140),""),"")</f>
        <v/>
      </c>
      <c r="FC140" s="55">
        <f>IF(SUMIFS(tblPlant[GIC_oz],tblPlant[Date],$A140)&gt;0,SUMIFS(tblPlant[GIC_oz],tblPlant[Date],$A140),"")</f>
        <v/>
      </c>
      <c r="FD140" s="55">
        <f>SUMIFS(tblGold[Gold_oz],tblGold[Date],$A140,tblGold[Type],"Shipment")</f>
        <v/>
      </c>
      <c r="FE140" s="55">
        <f>IF($B140=$B139,$FE139,0)+$FD140</f>
        <v/>
      </c>
      <c r="FF140" s="55">
        <f>$FF139+$FD140</f>
        <v/>
      </c>
      <c r="FG140" s="55">
        <f>SUMIFS(tblGold[Gold_oz],tblGold[Date],$A140,tblGold[Type],"Sale")</f>
        <v/>
      </c>
      <c r="FH140" s="55">
        <f>IF($B140=$B139,$FH139,0)+$FG140</f>
        <v/>
      </c>
      <c r="FI140" s="55">
        <f>$FI139+$FG140</f>
        <v/>
      </c>
      <c r="FJ140" s="55">
        <f>SUMIFS(tblGold[Dore_kg],tblGold[Date],$A140,tblGold[Type],"Shipment")</f>
        <v/>
      </c>
      <c r="FK140" s="55">
        <f>IF($B140=$B139,$FK139,0)+$FJ140</f>
        <v/>
      </c>
      <c r="FL140" s="55">
        <f>$FL139+$FJ140</f>
        <v/>
      </c>
      <c r="FM140" s="57">
        <f>SUMIFS(tblSafety[Hours_Total],tblSafety[Date],$A140)</f>
        <v/>
      </c>
      <c r="FN140" s="57">
        <f>IF($B140=$B139,$FN139,0)+$FM140</f>
        <v/>
      </c>
      <c r="FO140" s="57">
        <f>$FO139+$FM140</f>
        <v/>
      </c>
      <c r="FP140" s="62">
        <f>SUMIFS(tblSafety[Fatality],tblSafety[Date],$A140)</f>
        <v/>
      </c>
      <c r="FQ140" s="62">
        <f>IF($B140=$B139,$FQ139,0)+$FP140</f>
        <v/>
      </c>
      <c r="FR140" s="62">
        <f>$FR139+$FP140</f>
        <v/>
      </c>
      <c r="FS140" s="62">
        <f>SUMIFS(tblSafety[LTI],tblSafety[Date],$A140)</f>
        <v/>
      </c>
      <c r="FT140" s="62">
        <f>IF($B140=$B139,$FT139,0)+$FS140</f>
        <v/>
      </c>
      <c r="FU140" s="62">
        <f>$FU139+$FS140</f>
        <v/>
      </c>
      <c r="FV140" s="62">
        <f>SUMIFS(tblSafety[RWI],tblSafety[Date],$A140)</f>
        <v/>
      </c>
      <c r="FW140" s="62">
        <f>IF($B140=$B139,$FW139,0)+$FV140</f>
        <v/>
      </c>
      <c r="FX140" s="62">
        <f>$FX139+$FV140</f>
        <v/>
      </c>
      <c r="FY140" s="62">
        <f>SUMIFS(tblSafety[MTI],tblSafety[Date],$A140)</f>
        <v/>
      </c>
      <c r="FZ140" s="62">
        <f>IF($B140=$B139,$FZ139,0)+$FY140</f>
        <v/>
      </c>
      <c r="GA140" s="62">
        <f>$GA139+$FY140</f>
        <v/>
      </c>
      <c r="GB140" s="62">
        <f>SUMIFS(tblSafety[FAI],tblSafety[Date],$A140)</f>
        <v/>
      </c>
      <c r="GC140" s="62">
        <f>IF($B140=$B139,$GC139,0)+$GB140</f>
        <v/>
      </c>
      <c r="GD140" s="62">
        <f>$GD139+$GB140</f>
        <v/>
      </c>
      <c r="GE140" s="62">
        <f>SUMIFS(tblSafety[Recordables],tblSafety[Date],$A140)</f>
        <v/>
      </c>
      <c r="GF140" s="62">
        <f>IF($B140=$B139,$GF139,0)+$GE140</f>
        <v/>
      </c>
      <c r="GG140" s="62">
        <f>$GG139+$GE140</f>
        <v/>
      </c>
      <c r="GH140" s="62">
        <f>SUMIFS(tblSafety[Near_Miss],tblSafety[Date],$A140)</f>
        <v/>
      </c>
      <c r="GI140" s="62">
        <f>IF($B140=$B139,$GI139,0)+$GH140</f>
        <v/>
      </c>
      <c r="GJ140" s="62">
        <f>$GJ139+$GH140</f>
        <v/>
      </c>
      <c r="GK140" s="62">
        <f>SUMIFS(tblSafety[Hazard_Reports],tblSafety[Date],$A140)</f>
        <v/>
      </c>
      <c r="GL140" s="62">
        <f>IF($B140=$B139,$GL139,0)+$GK140</f>
        <v/>
      </c>
      <c r="GM140" s="62">
        <f>$GM139+$GK140</f>
        <v/>
      </c>
      <c r="GN140" s="62">
        <f>SUMIFS(tblSafety[HPI],tblSafety[Date],$A140)</f>
        <v/>
      </c>
      <c r="GO140" s="62">
        <f>IF($B140=$B139,$GO139,0)+$GN140</f>
        <v/>
      </c>
      <c r="GP140" s="62">
        <f>$GP139+$GN140</f>
        <v/>
      </c>
      <c r="GQ140" s="62">
        <f>SUMIFS(tblSafety[Env_Incidents],tblSafety[Date],$A140)</f>
        <v/>
      </c>
      <c r="GR140" s="62">
        <f>IF($B140=$B139,$GR139,0)+$GQ140</f>
        <v/>
      </c>
      <c r="GS140" s="62">
        <f>$GS139+$GQ140</f>
        <v/>
      </c>
      <c r="GT140" s="62">
        <f>SUMIFS(tblSafety[Community_Incidents],tblSafety[Date],$A140)</f>
        <v/>
      </c>
      <c r="GU140" s="62">
        <f>IF($B140=$B139,$GU139,0)+$GT140</f>
        <v/>
      </c>
      <c r="GV140" s="62">
        <f>$GV139+$GT140</f>
        <v/>
      </c>
      <c r="GW140" s="62">
        <f>SUMIFS(tblSafety[Vehicle_Incidents],tblSafety[Date],$A140)</f>
        <v/>
      </c>
      <c r="GX140" s="62">
        <f>IF($B140=$B139,$GX139,0)+$GW140</f>
        <v/>
      </c>
      <c r="GY140" s="62">
        <f>$GY139+$GW140</f>
        <v/>
      </c>
      <c r="GZ140" s="62">
        <f>SUMIFS(tblSafety[Toolbox_Talks],tblSafety[Date],$A140)</f>
        <v/>
      </c>
      <c r="HA140" s="62">
        <f>IF($B140=$B139,$HA139,0)+$GZ140</f>
        <v/>
      </c>
      <c r="HB140" s="62">
        <f>$HB139+$GZ140</f>
        <v/>
      </c>
      <c r="HC140" s="62">
        <f>SUMIFS(tblSafety[Inspections],tblSafety[Date],$A140)</f>
        <v/>
      </c>
      <c r="HD140" s="62">
        <f>IF($B140=$B139,$HD139,0)+$HC140</f>
        <v/>
      </c>
      <c r="HE140" s="62">
        <f>$HE139+$HC140</f>
        <v/>
      </c>
      <c r="HF140" s="56">
        <f>IFERROR((SUMIFS(tblSafety[Recordables],tblSafety[Date],"&gt;="&amp;EDATE($E140,-12),tblSafety[Date],"&lt;="&amp;$A140)+SUMIFS(tblSafetyHistory[Recordables],tblSafetyHistory[Month],"&gt;="&amp;EDATE($E140,-12),tblSafetyHistory[Month],"&lt;"&amp;cfg_YearStart))/(SUMIFS(tblSafety[Hours_Total],tblSafety[Date],"&gt;="&amp;EDATE($E140,-12),tblSafety[Date],"&lt;="&amp;$A140)+SUMIFS(tblSafetyHistory[Hours_Total],tblSafetyHistory[Month],"&gt;="&amp;EDATE($E140,-12),tblSafetyHistory[Month],"&lt;"&amp;cfg_YearStart))*1000000,"")</f>
        <v/>
      </c>
      <c r="HG140" s="56">
        <f>IFERROR((SUMIFS(tblSafety[LTI],tblSafety[Date],"&gt;="&amp;EDATE($E140,-12),tblSafety[Date],"&lt;="&amp;$A140)+SUMIFS(tblSafetyHistory[LTI],tblSafetyHistory[Month],"&gt;="&amp;EDATE($E140,-12),tblSafetyHistory[Month],"&lt;"&amp;cfg_YearStart))/(SUMIFS(tblSafety[Hours_Total],tblSafety[Date],"&gt;="&amp;EDATE($E140,-12),tblSafety[Date],"&lt;="&amp;$A140)+SUMIFS(tblSafetyHistory[Hours_Total],tblSafetyHistory[Month],"&gt;="&amp;EDATE($E140,-12),tblSafetyHistory[Month],"&lt;"&amp;cfg_YearStart))*1000000,"")</f>
        <v/>
      </c>
      <c r="HH140" s="62">
        <f>IF(MAX(N(cfg_PriorLTIDate),_xlfn.MAXIFS(tblSafety[Date],tblSafety[LTI],"&gt;0",tblSafety[Date],"&lt;="&amp;$A140))=0,"",$A140-MAX(N(cfg_PriorLTIDate),_xlfn.MAXIFS(tblSafety[Date],tblSafety[LTI],"&gt;0",tblSafety[Date],"&lt;="&amp;$A140)))</f>
        <v/>
      </c>
      <c r="HI140" s="55">
        <f>SUMIFS(tblBudget[Ore_Mined_t],tblBudget[Month],$E140)</f>
        <v/>
      </c>
      <c r="HJ140" s="55">
        <f>$HI140*$C140/$D140</f>
        <v/>
      </c>
      <c r="HK140" s="55">
        <f>SUMIFS(tblBudget[Ore_Mined_t],tblBudget[Month],"&lt;"&amp;$E140)+$HJ140</f>
        <v/>
      </c>
      <c r="HL140" s="55">
        <f>SUMIFS(tblBudget[Ore_oz],tblBudget[Month],$E140)</f>
        <v/>
      </c>
      <c r="HM140" s="55">
        <f>$HL140*$C140/$D140</f>
        <v/>
      </c>
      <c r="HN140" s="55">
        <f>SUMIFS(tblBudget[Ore_oz],tblBudget[Month],"&lt;"&amp;$E140)+$HM140</f>
        <v/>
      </c>
      <c r="HO140" s="56">
        <f>IFERROR(IF(($HI140)&gt;0,($HL140*cfg_TroyOz)/($HI140),""),"")</f>
        <v/>
      </c>
      <c r="HP140" s="56">
        <f>IFERROR(IF(($HJ140)&gt;0,($HM140*cfg_TroyOz)/($HJ140),""),"")</f>
        <v/>
      </c>
      <c r="HQ140" s="56">
        <f>IFERROR(IF(($HK140)&gt;0,($HN140*cfg_TroyOz)/($HK140),""),"")</f>
        <v/>
      </c>
      <c r="HR140" s="55">
        <f>SUMIFS(tblBudget[Waste_t],tblBudget[Month],$E140)</f>
        <v/>
      </c>
      <c r="HS140" s="55">
        <f>$HR140*$C140/$D140</f>
        <v/>
      </c>
      <c r="HT140" s="55">
        <f>SUMIFS(tblBudget[Waste_t],tblBudget[Month],"&lt;"&amp;$E140)+$HS140</f>
        <v/>
      </c>
      <c r="HU140" s="55">
        <f>SUMIFS(tblBudget[TMM_t],tblBudget[Month],$E140)</f>
        <v/>
      </c>
      <c r="HV140" s="55">
        <f>$HU140*$C140/$D140</f>
        <v/>
      </c>
      <c r="HW140" s="55">
        <f>SUMIFS(tblBudget[TMM_t],tblBudget[Month],"&lt;"&amp;$E140)+$HV140</f>
        <v/>
      </c>
      <c r="HX140" s="56">
        <f>IFERROR(IF(($HI140)&gt;0,($HR140)/($HI140),""),"")</f>
        <v/>
      </c>
      <c r="HY140" s="56">
        <f>IFERROR(IF(($HJ140)&gt;0,($HS140)/($HJ140),""),"")</f>
        <v/>
      </c>
      <c r="HZ140" s="56">
        <f>IFERROR(IF(($HK140)&gt;0,($HT140)/($HK140),""),"")</f>
        <v/>
      </c>
      <c r="IA140" s="55">
        <f>SUMIFS(tblBudget[Drill_m],tblBudget[Month],$E140)</f>
        <v/>
      </c>
      <c r="IB140" s="55">
        <f>$IA140*$C140/$D140</f>
        <v/>
      </c>
      <c r="IC140" s="55">
        <f>SUMIFS(tblBudget[Drill_m],tblBudget[Month],"&lt;"&amp;$E140)+$IB140</f>
        <v/>
      </c>
      <c r="ID140" s="55">
        <f>SUMIFS(tblBudget[Diesel_L],tblBudget[Month],$E140)</f>
        <v/>
      </c>
      <c r="IE140" s="55">
        <f>$ID140*$C140/$D140</f>
        <v/>
      </c>
      <c r="IF140" s="55">
        <f>SUMIFS(tblBudget[Diesel_L],tblBudget[Month],"&lt;"&amp;$E140)+$IE140</f>
        <v/>
      </c>
      <c r="IG140" s="55">
        <f>SUMIFS(tblBudget[Milled_t],tblBudget[Month],$E140)</f>
        <v/>
      </c>
      <c r="IH140" s="55">
        <f>$IG140*$C140/$D140</f>
        <v/>
      </c>
      <c r="II140" s="55">
        <f>SUMIFS(tblBudget[Milled_t],tblBudget[Month],"&lt;"&amp;$E140)+$IH140</f>
        <v/>
      </c>
      <c r="IJ140" s="55">
        <f>SUMIFS(tblBudget[Feed_oz],tblBudget[Month],$E140)</f>
        <v/>
      </c>
      <c r="IK140" s="55">
        <f>$IJ140*$C140/$D140</f>
        <v/>
      </c>
      <c r="IL140" s="55">
        <f>SUMIFS(tblBudget[Feed_oz],tblBudget[Month],"&lt;"&amp;$E140)+$IK140</f>
        <v/>
      </c>
      <c r="IM140" s="55">
        <f>SUMIFS(tblBudget[Recovered_oz],tblBudget[Month],$E140)</f>
        <v/>
      </c>
      <c r="IN140" s="55">
        <f>$IM140*$C140/$D140</f>
        <v/>
      </c>
      <c r="IO140" s="55">
        <f>SUMIFS(tblBudget[Recovered_oz],tblBudget[Month],"&lt;"&amp;$E140)+$IN140</f>
        <v/>
      </c>
      <c r="IP140" s="56">
        <f>IFERROR(IF(($IG140)&gt;0,($IJ140*cfg_TroyOz)/($IG140),""),"")</f>
        <v/>
      </c>
      <c r="IQ140" s="56">
        <f>IFERROR(IF(($IH140)&gt;0,($IK140*cfg_TroyOz)/($IH140),""),"")</f>
        <v/>
      </c>
      <c r="IR140" s="56">
        <f>IFERROR(IF(($II140)&gt;0,($IL140*cfg_TroyOz)/($II140),""),"")</f>
        <v/>
      </c>
      <c r="IS140" s="67">
        <f>IFERROR(IF(($IJ140)&gt;0,($IM140)/($IJ140),""),"")</f>
        <v/>
      </c>
      <c r="IT140" s="67">
        <f>IFERROR(IF(($IK140)&gt;0,($IN140)/($IK140),""),"")</f>
        <v/>
      </c>
      <c r="IU140" s="67">
        <f>IFERROR(IF(($IL140)&gt;0,($IO140)/($IL140),""),"")</f>
        <v/>
      </c>
      <c r="IV140" s="55">
        <f>SUMIFS(tblBudget[Gold_Poured_oz],tblBudget[Month],$E140)</f>
        <v/>
      </c>
      <c r="IW140" s="55">
        <f>$IV140*$C140/$D140</f>
        <v/>
      </c>
      <c r="IX140" s="55">
        <f>SUMIFS(tblBudget[Gold_Poured_oz],tblBudget[Month],"&lt;"&amp;$E140)+$IW140</f>
        <v/>
      </c>
      <c r="IY140" s="57">
        <f>SUMIFS(tblBudget[Hours_Worked],tblBudget[Month],$E140)</f>
        <v/>
      </c>
      <c r="IZ140" s="57">
        <f>$IY140*$C140/$D140</f>
        <v/>
      </c>
      <c r="JA140" s="57">
        <f>SUMIFS(tblBudget[Hours_Worked],tblBudget[Month],"&lt;"&amp;$E140)+$IZ140</f>
        <v/>
      </c>
    </row>
    <row r="141">
      <c r="A141" s="54" t="n">
        <v>46162</v>
      </c>
      <c r="B141">
        <f>MONTH($A141)</f>
        <v/>
      </c>
      <c r="C141">
        <f>DAY($A141)</f>
        <v/>
      </c>
      <c r="D141">
        <f>DAY(EOMONTH($A141,0))</f>
        <v/>
      </c>
      <c r="E141" s="54">
        <f>DATE(YEAR($A141),MONTH($A141),1)</f>
        <v/>
      </c>
      <c r="F141" s="55">
        <f>SUMIFS(tblMovement[Tonnes_t],tblMovement[Date],$A141,tblMovement[Is_Ore],1,tblMovement[Source_Type],"Pit")</f>
        <v/>
      </c>
      <c r="G141" s="55">
        <f>IF($B141=$B140,$G140,0)+$F141</f>
        <v/>
      </c>
      <c r="H141" s="55">
        <f>$H140+$F141</f>
        <v/>
      </c>
      <c r="I141" s="55">
        <f>SUMIFS(tblMovement[Ore_oz],tblMovement[Date],$A141,tblMovement[Source_Type],"Pit")</f>
        <v/>
      </c>
      <c r="J141" s="55">
        <f>IF($B141=$B140,$J140,0)+$I141</f>
        <v/>
      </c>
      <c r="K141" s="55">
        <f>$K140+$I141</f>
        <v/>
      </c>
      <c r="L141" s="56">
        <f>IFERROR(IF(($F141)&gt;0,($I141*cfg_TroyOz)/($F141),""),"")</f>
        <v/>
      </c>
      <c r="M141" s="56">
        <f>IFERROR(IF(($G141)&gt;0,($J141*cfg_TroyOz)/($G141),""),"")</f>
        <v/>
      </c>
      <c r="N141" s="56">
        <f>IFERROR(IF(($H141)&gt;0,($K141*cfg_TroyOz)/($H141),""),"")</f>
        <v/>
      </c>
      <c r="O141" s="55">
        <f>SUMIFS(tblMovement[Tonnes_t],tblMovement[Date],$A141,tblMovement[Is_Ore],0,tblMovement[Source_Type],"Pit")</f>
        <v/>
      </c>
      <c r="P141" s="55">
        <f>IF($B141=$B140,$P140,0)+$O141</f>
        <v/>
      </c>
      <c r="Q141" s="55">
        <f>$Q140+$O141</f>
        <v/>
      </c>
      <c r="R141" s="55">
        <f>$F141+$O141</f>
        <v/>
      </c>
      <c r="S141" s="55">
        <f>IF($B141=$B140,$S140,0)+$R141</f>
        <v/>
      </c>
      <c r="T141" s="55">
        <f>$T140+$R141</f>
        <v/>
      </c>
      <c r="U141" s="56">
        <f>IFERROR(IF(($F141)&gt;0,($O141)/($F141),""),"")</f>
        <v/>
      </c>
      <c r="V141" s="56">
        <f>IFERROR(IF(($G141)&gt;0,($P141)/($G141),""),"")</f>
        <v/>
      </c>
      <c r="W141" s="56">
        <f>IFERROR(IF(($H141)&gt;0,($Q141)/($H141),""),"")</f>
        <v/>
      </c>
      <c r="X141" s="55">
        <f>SUMIFS(tblMovement[Tonnes_t],tblMovement[Date],$A141,tblMovement[Source_Type],"Stockpile")</f>
        <v/>
      </c>
      <c r="Y141" s="55">
        <f>IF($B141=$B140,$Y140,0)+$X141</f>
        <v/>
      </c>
      <c r="Z141" s="55">
        <f>$Z140+$X141</f>
        <v/>
      </c>
      <c r="AA141" s="55">
        <f>SUMIFS(tblMiningDaily[Drill_m],tblMiningDaily[Date],$A141)</f>
        <v/>
      </c>
      <c r="AB141" s="55">
        <f>IF($B141=$B140,$AB140,0)+$AA141</f>
        <v/>
      </c>
      <c r="AC141" s="55">
        <f>$AC140+$AA141</f>
        <v/>
      </c>
      <c r="AD141" s="55">
        <f>SUMIFS(tblMiningDaily[Blast_t],tblMiningDaily[Date],$A141)</f>
        <v/>
      </c>
      <c r="AE141" s="55">
        <f>IF($B141=$B140,$AE140,0)+$AD141</f>
        <v/>
      </c>
      <c r="AF141" s="55">
        <f>$AF140+$AD141</f>
        <v/>
      </c>
      <c r="AG141" s="55">
        <f>SUMIFS(tblMiningDaily[Explosives_kg],tblMiningDaily[Date],$A141)</f>
        <v/>
      </c>
      <c r="AH141" s="55">
        <f>IF($B141=$B140,$AH140,0)+$AG141</f>
        <v/>
      </c>
      <c r="AI141" s="55">
        <f>$AI140+$AG141</f>
        <v/>
      </c>
      <c r="AJ141" s="56">
        <f>IFERROR(IF(($AD141)&gt;0,($AG141)/($AD141),""),"")</f>
        <v/>
      </c>
      <c r="AK141" s="56">
        <f>IFERROR(IF(($AE141)&gt;0,($AH141)/($AE141),""),"")</f>
        <v/>
      </c>
      <c r="AL141" s="56">
        <f>IFERROR(IF(($AF141)&gt;0,($AI141)/($AF141),""),"")</f>
        <v/>
      </c>
      <c r="AM141" s="55">
        <f>SUMIFS(tblMiningDaily[Diesel_L],tblMiningDaily[Date],$A141)</f>
        <v/>
      </c>
      <c r="AN141" s="55">
        <f>IF($B141=$B140,$AN140,0)+$AM141</f>
        <v/>
      </c>
      <c r="AO141" s="55">
        <f>$AO140+$AM141</f>
        <v/>
      </c>
      <c r="AP141" s="55">
        <f>SUMIFS(tblMiningDaily[Dewatering_m3],tblMiningDaily[Date],$A141)</f>
        <v/>
      </c>
      <c r="AQ141" s="55">
        <f>IF($B141=$B140,$AQ140,0)+$AP141</f>
        <v/>
      </c>
      <c r="AR141" s="55">
        <f>$AR140+$AP141</f>
        <v/>
      </c>
      <c r="AS141" s="57">
        <f>SUMIFS(tblFleet[Calendar_h],tblFleet[Date],$A141,tblFleet[Equipment_Class],"Excavator")</f>
        <v/>
      </c>
      <c r="AT141" s="57">
        <f>IF($B141=$B140,$AT140,0)+$AS141</f>
        <v/>
      </c>
      <c r="AU141" s="57">
        <f>$AU140+$AS141</f>
        <v/>
      </c>
      <c r="AV141" s="57">
        <f>SUMIFS(tblFleet[Available_h],tblFleet[Date],$A141,tblFleet[Equipment_Class],"Excavator")</f>
        <v/>
      </c>
      <c r="AW141" s="57">
        <f>IF($B141=$B140,$AW140,0)+$AV141</f>
        <v/>
      </c>
      <c r="AX141" s="57">
        <f>$AX140+$AV141</f>
        <v/>
      </c>
      <c r="AY141" s="57">
        <f>SUMIFS(tblFleet[Operating_h],tblFleet[Date],$A141,tblFleet[Equipment_Class],"Excavator")</f>
        <v/>
      </c>
      <c r="AZ141" s="57">
        <f>IF($B141=$B140,$AZ140,0)+$AY141</f>
        <v/>
      </c>
      <c r="BA141" s="57">
        <f>$BA140+$AY141</f>
        <v/>
      </c>
      <c r="BB141" s="67">
        <f>IFERROR(IF(($AS141)&gt;0,($AV141)/($AS141),""),"")</f>
        <v/>
      </c>
      <c r="BC141" s="67">
        <f>IFERROR(IF(($AT141)&gt;0,($AW141)/($AT141),""),"")</f>
        <v/>
      </c>
      <c r="BD141" s="67">
        <f>IFERROR(IF(($AU141)&gt;0,($AX141)/($AU141),""),"")</f>
        <v/>
      </c>
      <c r="BE141" s="67">
        <f>IFERROR(IF(($AV141)&gt;0,($AY141)/($AV141),""),"")</f>
        <v/>
      </c>
      <c r="BF141" s="67">
        <f>IFERROR(IF(($AW141)&gt;0,($AZ141)/($AW141),""),"")</f>
        <v/>
      </c>
      <c r="BG141" s="67">
        <f>IFERROR(IF(($AX141)&gt;0,($BA141)/($AX141),""),"")</f>
        <v/>
      </c>
      <c r="BH141" s="57">
        <f>SUMIFS(tblFleet[Calendar_h],tblFleet[Date],$A141,tblFleet[Equipment_Class],"Haul Truck")</f>
        <v/>
      </c>
      <c r="BI141" s="57">
        <f>IF($B141=$B140,$BI140,0)+$BH141</f>
        <v/>
      </c>
      <c r="BJ141" s="57">
        <f>$BJ140+$BH141</f>
        <v/>
      </c>
      <c r="BK141" s="57">
        <f>SUMIFS(tblFleet[Available_h],tblFleet[Date],$A141,tblFleet[Equipment_Class],"Haul Truck")</f>
        <v/>
      </c>
      <c r="BL141" s="57">
        <f>IF($B141=$B140,$BL140,0)+$BK141</f>
        <v/>
      </c>
      <c r="BM141" s="57">
        <f>$BM140+$BK141</f>
        <v/>
      </c>
      <c r="BN141" s="57">
        <f>SUMIFS(tblFleet[Operating_h],tblFleet[Date],$A141,tblFleet[Equipment_Class],"Haul Truck")</f>
        <v/>
      </c>
      <c r="BO141" s="57">
        <f>IF($B141=$B140,$BO140,0)+$BN141</f>
        <v/>
      </c>
      <c r="BP141" s="57">
        <f>$BP140+$BN141</f>
        <v/>
      </c>
      <c r="BQ141" s="67">
        <f>IFERROR(IF(($BH141)&gt;0,($BK141)/($BH141),""),"")</f>
        <v/>
      </c>
      <c r="BR141" s="67">
        <f>IFERROR(IF(($BI141)&gt;0,($BL141)/($BI141),""),"")</f>
        <v/>
      </c>
      <c r="BS141" s="67">
        <f>IFERROR(IF(($BJ141)&gt;0,($BM141)/($BJ141),""),"")</f>
        <v/>
      </c>
      <c r="BT141" s="67">
        <f>IFERROR(IF(($BK141)&gt;0,($BN141)/($BK141),""),"")</f>
        <v/>
      </c>
      <c r="BU141" s="67">
        <f>IFERROR(IF(($BL141)&gt;0,($BO141)/($BL141),""),"")</f>
        <v/>
      </c>
      <c r="BV141" s="67">
        <f>IFERROR(IF(($BM141)&gt;0,($BP141)/($BM141),""),"")</f>
        <v/>
      </c>
      <c r="BW141" s="55">
        <f>SUMIFS(tblPlant[Crushed_t],tblPlant[Date],$A141)</f>
        <v/>
      </c>
      <c r="BX141" s="55">
        <f>IF($B141=$B140,$BX140,0)+$BW141</f>
        <v/>
      </c>
      <c r="BY141" s="55">
        <f>$BY140+$BW141</f>
        <v/>
      </c>
      <c r="BZ141" s="55">
        <f>SUMIFS(tblPlant[Milled_t],tblPlant[Date],$A141)</f>
        <v/>
      </c>
      <c r="CA141" s="55">
        <f>IF($B141=$B140,$CA140,0)+$BZ141</f>
        <v/>
      </c>
      <c r="CB141" s="55">
        <f>$CB140+$BZ141</f>
        <v/>
      </c>
      <c r="CC141" s="55">
        <f>SUMIFS(tblPlant[Feed_oz],tblPlant[Date],$A141)</f>
        <v/>
      </c>
      <c r="CD141" s="55">
        <f>IF($B141=$B140,$CD140,0)+$CC141</f>
        <v/>
      </c>
      <c r="CE141" s="55">
        <f>$CE140+$CC141</f>
        <v/>
      </c>
      <c r="CF141" s="55">
        <f>SUMIFS(tblPlant[Tails_oz],tblPlant[Date],$A141)</f>
        <v/>
      </c>
      <c r="CG141" s="55">
        <f>IF($B141=$B140,$CG140,0)+$CF141</f>
        <v/>
      </c>
      <c r="CH141" s="55">
        <f>$CH140+$CF141</f>
        <v/>
      </c>
      <c r="CI141" s="55">
        <f>SUMIFS(tblPlant[Recovered_oz],tblPlant[Date],$A141)</f>
        <v/>
      </c>
      <c r="CJ141" s="55">
        <f>IF($B141=$B140,$CJ140,0)+$CI141</f>
        <v/>
      </c>
      <c r="CK141" s="55">
        <f>$CK140+$CI141</f>
        <v/>
      </c>
      <c r="CL141" s="56">
        <f>IFERROR(IF(($BZ141)&gt;0,($CC141*cfg_TroyOz)/($BZ141),""),"")</f>
        <v/>
      </c>
      <c r="CM141" s="56">
        <f>IFERROR(IF(($CA141)&gt;0,($CD141*cfg_TroyOz)/($CA141),""),"")</f>
        <v/>
      </c>
      <c r="CN141" s="56">
        <f>IFERROR(IF(($CB141)&gt;0,($CE141*cfg_TroyOz)/($CB141),""),"")</f>
        <v/>
      </c>
      <c r="CO141" s="56">
        <f>IFERROR(IF(($BZ141)&gt;0,($CF141*cfg_TroyOz)/($BZ141),""),"")</f>
        <v/>
      </c>
      <c r="CP141" s="56">
        <f>IFERROR(IF(($CA141)&gt;0,($CG141*cfg_TroyOz)/($CA141),""),"")</f>
        <v/>
      </c>
      <c r="CQ141" s="56">
        <f>IFERROR(IF(($CB141)&gt;0,($CH141*cfg_TroyOz)/($CB141),""),"")</f>
        <v/>
      </c>
      <c r="CR141" s="67">
        <f>IFERROR(IF(($CC141)&gt;0,($CI141)/($CC141),""),"")</f>
        <v/>
      </c>
      <c r="CS141" s="67">
        <f>IFERROR(IF(($CD141)&gt;0,($CJ141)/($CD141),""),"")</f>
        <v/>
      </c>
      <c r="CT141" s="67">
        <f>IFERROR(IF(($CE141)&gt;0,($CK141)/($CE141),""),"")</f>
        <v/>
      </c>
      <c r="CU141" s="55">
        <f>SUMIFS(tblPlant[Gravity_Gold_oz],tblPlant[Date],$A141)</f>
        <v/>
      </c>
      <c r="CV141" s="55">
        <f>IF($B141=$B140,$CV140,0)+$CU141</f>
        <v/>
      </c>
      <c r="CW141" s="55">
        <f>$CW140+$CU141</f>
        <v/>
      </c>
      <c r="CX141" s="55">
        <f>SUMIFS(tblPlant[Gold_Poured_oz],tblPlant[Date],$A141)</f>
        <v/>
      </c>
      <c r="CY141" s="55">
        <f>IF($B141=$B140,$CY140,0)+$CX141</f>
        <v/>
      </c>
      <c r="CZ141" s="55">
        <f>$CZ140+$CX141</f>
        <v/>
      </c>
      <c r="DA141" s="57">
        <f>SUMIFS(tblPlant[Mill_Run_h],tblPlant[Date],$A141)</f>
        <v/>
      </c>
      <c r="DB141" s="57">
        <f>IF($B141=$B140,$DB140,0)+$DA141</f>
        <v/>
      </c>
      <c r="DC141" s="57">
        <f>$DC140+$DA141</f>
        <v/>
      </c>
      <c r="DD141" s="57">
        <f>SUMIFS(tblPlant[Mill_Planned_Maint_h],tblPlant[Date],$A141)</f>
        <v/>
      </c>
      <c r="DE141" s="57">
        <f>IF($B141=$B140,$DE140,0)+$DD141</f>
        <v/>
      </c>
      <c r="DF141" s="57">
        <f>$DF140+$DD141</f>
        <v/>
      </c>
      <c r="DG141" s="57">
        <f>SUMIFS(tblPlant[Mill_Unplanned_Down_h],tblPlant[Date],$A141)</f>
        <v/>
      </c>
      <c r="DH141" s="57">
        <f>IF($B141=$B140,$DH140,0)+$DG141</f>
        <v/>
      </c>
      <c r="DI141" s="57">
        <f>$DI140+$DG141</f>
        <v/>
      </c>
      <c r="DJ141" s="57">
        <f>COUNTIFS(tblPlant[Date],$A141,tblPlant[Mill_Run_h],"&lt;&gt;")*24</f>
        <v/>
      </c>
      <c r="DK141" s="57">
        <f>IF($B141=$B140,$DK140,0)+$DJ141</f>
        <v/>
      </c>
      <c r="DL141" s="57">
        <f>$DL140+$DJ141</f>
        <v/>
      </c>
      <c r="DM141" s="57">
        <f>SUMIFS(tblPlant[Crusher_Run_h],tblPlant[Date],$A141)</f>
        <v/>
      </c>
      <c r="DN141" s="57">
        <f>IF($B141=$B140,$DN140,0)+$DM141</f>
        <v/>
      </c>
      <c r="DO141" s="57">
        <f>$DO140+$DM141</f>
        <v/>
      </c>
      <c r="DP141" s="55">
        <f>IFERROR(IF(($DA141)&gt;0,($BZ141)/($DA141),""),"")</f>
        <v/>
      </c>
      <c r="DQ141" s="55">
        <f>IFERROR(IF(($DB141)&gt;0,($CA141)/($DB141),""),"")</f>
        <v/>
      </c>
      <c r="DR141" s="55">
        <f>IFERROR(IF(($DC141)&gt;0,($CB141)/($DC141),""),"")</f>
        <v/>
      </c>
      <c r="DS141" s="67">
        <f>IFERROR(IF(($DJ141)&gt;0,($DJ141-$DD141-$DG141)/($DJ141),""),"")</f>
        <v/>
      </c>
      <c r="DT141" s="67">
        <f>IFERROR(IF(($DK141)&gt;0,($DK141-$DE141-$DH141)/($DK141),""),"")</f>
        <v/>
      </c>
      <c r="DU141" s="67">
        <f>IFERROR(IF(($DL141)&gt;0,($DL141-$DF141-$DI141)/($DL141),""),"")</f>
        <v/>
      </c>
      <c r="DV141" s="67">
        <f>IFERROR(IF(($DJ141-$DD141-$DG141)&gt;0,($DA141)/($DJ141-$DD141-$DG141),""),"")</f>
        <v/>
      </c>
      <c r="DW141" s="67">
        <f>IFERROR(IF(($DK141-$DE141-$DH141)&gt;0,($DB141)/($DK141-$DE141-$DH141),""),"")</f>
        <v/>
      </c>
      <c r="DX141" s="67">
        <f>IFERROR(IF(($DL141-$DF141-$DI141)&gt;0,($DC141)/($DL141-$DF141-$DI141),""),"")</f>
        <v/>
      </c>
      <c r="DY141" s="55">
        <f>SUMIFS(tblPlant[Cyanide_kg],tblPlant[Date],$A141)</f>
        <v/>
      </c>
      <c r="DZ141" s="55">
        <f>IF($B141=$B140,$DZ140,0)+$DY141</f>
        <v/>
      </c>
      <c r="EA141" s="55">
        <f>$EA140+$DY141</f>
        <v/>
      </c>
      <c r="EB141" s="55">
        <f>SUMIFS(tblPlant[Lime_kg],tblPlant[Date],$A141)</f>
        <v/>
      </c>
      <c r="EC141" s="55">
        <f>IF($B141=$B140,$EC140,0)+$EB141</f>
        <v/>
      </c>
      <c r="ED141" s="55">
        <f>$ED140+$EB141</f>
        <v/>
      </c>
      <c r="EE141" s="55">
        <f>SUMIFS(tblPlant[Grinding_Media_kg],tblPlant[Date],$A141)</f>
        <v/>
      </c>
      <c r="EF141" s="55">
        <f>IF($B141=$B140,$EF140,0)+$EE141</f>
        <v/>
      </c>
      <c r="EG141" s="55">
        <f>$EG140+$EE141</f>
        <v/>
      </c>
      <c r="EH141" s="55">
        <f>SUMIFS(tblPlant[Power_kWh],tblPlant[Date],$A141)</f>
        <v/>
      </c>
      <c r="EI141" s="55">
        <f>IF($B141=$B140,$EI140,0)+$EH141</f>
        <v/>
      </c>
      <c r="EJ141" s="55">
        <f>$EJ140+$EH141</f>
        <v/>
      </c>
      <c r="EK141" s="55">
        <f>SUMIFS(tblPlant[Raw_Water_m3],tblPlant[Date],$A141)</f>
        <v/>
      </c>
      <c r="EL141" s="55">
        <f>IF($B141=$B140,$EL140,0)+$EK141</f>
        <v/>
      </c>
      <c r="EM141" s="55">
        <f>$EM140+$EK141</f>
        <v/>
      </c>
      <c r="EN141" s="56">
        <f>IFERROR(IF(($BZ141)&gt;0,($DY141)/($BZ141),""),"")</f>
        <v/>
      </c>
      <c r="EO141" s="56">
        <f>IFERROR(IF(($CA141)&gt;0,($DZ141)/($CA141),""),"")</f>
        <v/>
      </c>
      <c r="EP141" s="56">
        <f>IFERROR(IF(($CB141)&gt;0,($EA141)/($CB141),""),"")</f>
        <v/>
      </c>
      <c r="EQ141" s="56">
        <f>IFERROR(IF(($BZ141)&gt;0,($EB141)/($BZ141),""),"")</f>
        <v/>
      </c>
      <c r="ER141" s="56">
        <f>IFERROR(IF(($CA141)&gt;0,($EC141)/($CA141),""),"")</f>
        <v/>
      </c>
      <c r="ES141" s="56">
        <f>IFERROR(IF(($CB141)&gt;0,($ED141)/($CB141),""),"")</f>
        <v/>
      </c>
      <c r="ET141" s="56">
        <f>IFERROR(IF(($BZ141)&gt;0,($EE141)/($BZ141),""),"")</f>
        <v/>
      </c>
      <c r="EU141" s="56">
        <f>IFERROR(IF(($CA141)&gt;0,($EF141)/($CA141),""),"")</f>
        <v/>
      </c>
      <c r="EV141" s="56">
        <f>IFERROR(IF(($CB141)&gt;0,($EG141)/($CB141),""),"")</f>
        <v/>
      </c>
      <c r="EW141" s="76">
        <f>IFERROR(IF(($BZ141)&gt;0,($EH141)/($BZ141),""),"")</f>
        <v/>
      </c>
      <c r="EX141" s="76">
        <f>IFERROR(IF(($CA141)&gt;0,($EI141)/($CA141),""),"")</f>
        <v/>
      </c>
      <c r="EY141" s="76">
        <f>IFERROR(IF(($CB141)&gt;0,($EJ141)/($CB141),""),"")</f>
        <v/>
      </c>
      <c r="EZ141" s="56">
        <f>IFERROR(IF(($BZ141)&gt;0,($EK141)/($BZ141),""),"")</f>
        <v/>
      </c>
      <c r="FA141" s="56">
        <f>IFERROR(IF(($CA141)&gt;0,($EL141)/($CA141),""),"")</f>
        <v/>
      </c>
      <c r="FB141" s="56">
        <f>IFERROR(IF(($CB141)&gt;0,($EM141)/($CB141),""),"")</f>
        <v/>
      </c>
      <c r="FC141" s="55">
        <f>IF(SUMIFS(tblPlant[GIC_oz],tblPlant[Date],$A141)&gt;0,SUMIFS(tblPlant[GIC_oz],tblPlant[Date],$A141),"")</f>
        <v/>
      </c>
      <c r="FD141" s="55">
        <f>SUMIFS(tblGold[Gold_oz],tblGold[Date],$A141,tblGold[Type],"Shipment")</f>
        <v/>
      </c>
      <c r="FE141" s="55">
        <f>IF($B141=$B140,$FE140,0)+$FD141</f>
        <v/>
      </c>
      <c r="FF141" s="55">
        <f>$FF140+$FD141</f>
        <v/>
      </c>
      <c r="FG141" s="55">
        <f>SUMIFS(tblGold[Gold_oz],tblGold[Date],$A141,tblGold[Type],"Sale")</f>
        <v/>
      </c>
      <c r="FH141" s="55">
        <f>IF($B141=$B140,$FH140,0)+$FG141</f>
        <v/>
      </c>
      <c r="FI141" s="55">
        <f>$FI140+$FG141</f>
        <v/>
      </c>
      <c r="FJ141" s="55">
        <f>SUMIFS(tblGold[Dore_kg],tblGold[Date],$A141,tblGold[Type],"Shipment")</f>
        <v/>
      </c>
      <c r="FK141" s="55">
        <f>IF($B141=$B140,$FK140,0)+$FJ141</f>
        <v/>
      </c>
      <c r="FL141" s="55">
        <f>$FL140+$FJ141</f>
        <v/>
      </c>
      <c r="FM141" s="57">
        <f>SUMIFS(tblSafety[Hours_Total],tblSafety[Date],$A141)</f>
        <v/>
      </c>
      <c r="FN141" s="57">
        <f>IF($B141=$B140,$FN140,0)+$FM141</f>
        <v/>
      </c>
      <c r="FO141" s="57">
        <f>$FO140+$FM141</f>
        <v/>
      </c>
      <c r="FP141" s="62">
        <f>SUMIFS(tblSafety[Fatality],tblSafety[Date],$A141)</f>
        <v/>
      </c>
      <c r="FQ141" s="62">
        <f>IF($B141=$B140,$FQ140,0)+$FP141</f>
        <v/>
      </c>
      <c r="FR141" s="62">
        <f>$FR140+$FP141</f>
        <v/>
      </c>
      <c r="FS141" s="62">
        <f>SUMIFS(tblSafety[LTI],tblSafety[Date],$A141)</f>
        <v/>
      </c>
      <c r="FT141" s="62">
        <f>IF($B141=$B140,$FT140,0)+$FS141</f>
        <v/>
      </c>
      <c r="FU141" s="62">
        <f>$FU140+$FS141</f>
        <v/>
      </c>
      <c r="FV141" s="62">
        <f>SUMIFS(tblSafety[RWI],tblSafety[Date],$A141)</f>
        <v/>
      </c>
      <c r="FW141" s="62">
        <f>IF($B141=$B140,$FW140,0)+$FV141</f>
        <v/>
      </c>
      <c r="FX141" s="62">
        <f>$FX140+$FV141</f>
        <v/>
      </c>
      <c r="FY141" s="62">
        <f>SUMIFS(tblSafety[MTI],tblSafety[Date],$A141)</f>
        <v/>
      </c>
      <c r="FZ141" s="62">
        <f>IF($B141=$B140,$FZ140,0)+$FY141</f>
        <v/>
      </c>
      <c r="GA141" s="62">
        <f>$GA140+$FY141</f>
        <v/>
      </c>
      <c r="GB141" s="62">
        <f>SUMIFS(tblSafety[FAI],tblSafety[Date],$A141)</f>
        <v/>
      </c>
      <c r="GC141" s="62">
        <f>IF($B141=$B140,$GC140,0)+$GB141</f>
        <v/>
      </c>
      <c r="GD141" s="62">
        <f>$GD140+$GB141</f>
        <v/>
      </c>
      <c r="GE141" s="62">
        <f>SUMIFS(tblSafety[Recordables],tblSafety[Date],$A141)</f>
        <v/>
      </c>
      <c r="GF141" s="62">
        <f>IF($B141=$B140,$GF140,0)+$GE141</f>
        <v/>
      </c>
      <c r="GG141" s="62">
        <f>$GG140+$GE141</f>
        <v/>
      </c>
      <c r="GH141" s="62">
        <f>SUMIFS(tblSafety[Near_Miss],tblSafety[Date],$A141)</f>
        <v/>
      </c>
      <c r="GI141" s="62">
        <f>IF($B141=$B140,$GI140,0)+$GH141</f>
        <v/>
      </c>
      <c r="GJ141" s="62">
        <f>$GJ140+$GH141</f>
        <v/>
      </c>
      <c r="GK141" s="62">
        <f>SUMIFS(tblSafety[Hazard_Reports],tblSafety[Date],$A141)</f>
        <v/>
      </c>
      <c r="GL141" s="62">
        <f>IF($B141=$B140,$GL140,0)+$GK141</f>
        <v/>
      </c>
      <c r="GM141" s="62">
        <f>$GM140+$GK141</f>
        <v/>
      </c>
      <c r="GN141" s="62">
        <f>SUMIFS(tblSafety[HPI],tblSafety[Date],$A141)</f>
        <v/>
      </c>
      <c r="GO141" s="62">
        <f>IF($B141=$B140,$GO140,0)+$GN141</f>
        <v/>
      </c>
      <c r="GP141" s="62">
        <f>$GP140+$GN141</f>
        <v/>
      </c>
      <c r="GQ141" s="62">
        <f>SUMIFS(tblSafety[Env_Incidents],tblSafety[Date],$A141)</f>
        <v/>
      </c>
      <c r="GR141" s="62">
        <f>IF($B141=$B140,$GR140,0)+$GQ141</f>
        <v/>
      </c>
      <c r="GS141" s="62">
        <f>$GS140+$GQ141</f>
        <v/>
      </c>
      <c r="GT141" s="62">
        <f>SUMIFS(tblSafety[Community_Incidents],tblSafety[Date],$A141)</f>
        <v/>
      </c>
      <c r="GU141" s="62">
        <f>IF($B141=$B140,$GU140,0)+$GT141</f>
        <v/>
      </c>
      <c r="GV141" s="62">
        <f>$GV140+$GT141</f>
        <v/>
      </c>
      <c r="GW141" s="62">
        <f>SUMIFS(tblSafety[Vehicle_Incidents],tblSafety[Date],$A141)</f>
        <v/>
      </c>
      <c r="GX141" s="62">
        <f>IF($B141=$B140,$GX140,0)+$GW141</f>
        <v/>
      </c>
      <c r="GY141" s="62">
        <f>$GY140+$GW141</f>
        <v/>
      </c>
      <c r="GZ141" s="62">
        <f>SUMIFS(tblSafety[Toolbox_Talks],tblSafety[Date],$A141)</f>
        <v/>
      </c>
      <c r="HA141" s="62">
        <f>IF($B141=$B140,$HA140,0)+$GZ141</f>
        <v/>
      </c>
      <c r="HB141" s="62">
        <f>$HB140+$GZ141</f>
        <v/>
      </c>
      <c r="HC141" s="62">
        <f>SUMIFS(tblSafety[Inspections],tblSafety[Date],$A141)</f>
        <v/>
      </c>
      <c r="HD141" s="62">
        <f>IF($B141=$B140,$HD140,0)+$HC141</f>
        <v/>
      </c>
      <c r="HE141" s="62">
        <f>$HE140+$HC141</f>
        <v/>
      </c>
      <c r="HF141" s="56">
        <f>IFERROR((SUMIFS(tblSafety[Recordables],tblSafety[Date],"&gt;="&amp;EDATE($E141,-12),tblSafety[Date],"&lt;="&amp;$A141)+SUMIFS(tblSafetyHistory[Recordables],tblSafetyHistory[Month],"&gt;="&amp;EDATE($E141,-12),tblSafetyHistory[Month],"&lt;"&amp;cfg_YearStart))/(SUMIFS(tblSafety[Hours_Total],tblSafety[Date],"&gt;="&amp;EDATE($E141,-12),tblSafety[Date],"&lt;="&amp;$A141)+SUMIFS(tblSafetyHistory[Hours_Total],tblSafetyHistory[Month],"&gt;="&amp;EDATE($E141,-12),tblSafetyHistory[Month],"&lt;"&amp;cfg_YearStart))*1000000,"")</f>
        <v/>
      </c>
      <c r="HG141" s="56">
        <f>IFERROR((SUMIFS(tblSafety[LTI],tblSafety[Date],"&gt;="&amp;EDATE($E141,-12),tblSafety[Date],"&lt;="&amp;$A141)+SUMIFS(tblSafetyHistory[LTI],tblSafetyHistory[Month],"&gt;="&amp;EDATE($E141,-12),tblSafetyHistory[Month],"&lt;"&amp;cfg_YearStart))/(SUMIFS(tblSafety[Hours_Total],tblSafety[Date],"&gt;="&amp;EDATE($E141,-12),tblSafety[Date],"&lt;="&amp;$A141)+SUMIFS(tblSafetyHistory[Hours_Total],tblSafetyHistory[Month],"&gt;="&amp;EDATE($E141,-12),tblSafetyHistory[Month],"&lt;"&amp;cfg_YearStart))*1000000,"")</f>
        <v/>
      </c>
      <c r="HH141" s="62">
        <f>IF(MAX(N(cfg_PriorLTIDate),_xlfn.MAXIFS(tblSafety[Date],tblSafety[LTI],"&gt;0",tblSafety[Date],"&lt;="&amp;$A141))=0,"",$A141-MAX(N(cfg_PriorLTIDate),_xlfn.MAXIFS(tblSafety[Date],tblSafety[LTI],"&gt;0",tblSafety[Date],"&lt;="&amp;$A141)))</f>
        <v/>
      </c>
      <c r="HI141" s="55">
        <f>SUMIFS(tblBudget[Ore_Mined_t],tblBudget[Month],$E141)</f>
        <v/>
      </c>
      <c r="HJ141" s="55">
        <f>$HI141*$C141/$D141</f>
        <v/>
      </c>
      <c r="HK141" s="55">
        <f>SUMIFS(tblBudget[Ore_Mined_t],tblBudget[Month],"&lt;"&amp;$E141)+$HJ141</f>
        <v/>
      </c>
      <c r="HL141" s="55">
        <f>SUMIFS(tblBudget[Ore_oz],tblBudget[Month],$E141)</f>
        <v/>
      </c>
      <c r="HM141" s="55">
        <f>$HL141*$C141/$D141</f>
        <v/>
      </c>
      <c r="HN141" s="55">
        <f>SUMIFS(tblBudget[Ore_oz],tblBudget[Month],"&lt;"&amp;$E141)+$HM141</f>
        <v/>
      </c>
      <c r="HO141" s="56">
        <f>IFERROR(IF(($HI141)&gt;0,($HL141*cfg_TroyOz)/($HI141),""),"")</f>
        <v/>
      </c>
      <c r="HP141" s="56">
        <f>IFERROR(IF(($HJ141)&gt;0,($HM141*cfg_TroyOz)/($HJ141),""),"")</f>
        <v/>
      </c>
      <c r="HQ141" s="56">
        <f>IFERROR(IF(($HK141)&gt;0,($HN141*cfg_TroyOz)/($HK141),""),"")</f>
        <v/>
      </c>
      <c r="HR141" s="55">
        <f>SUMIFS(tblBudget[Waste_t],tblBudget[Month],$E141)</f>
        <v/>
      </c>
      <c r="HS141" s="55">
        <f>$HR141*$C141/$D141</f>
        <v/>
      </c>
      <c r="HT141" s="55">
        <f>SUMIFS(tblBudget[Waste_t],tblBudget[Month],"&lt;"&amp;$E141)+$HS141</f>
        <v/>
      </c>
      <c r="HU141" s="55">
        <f>SUMIFS(tblBudget[TMM_t],tblBudget[Month],$E141)</f>
        <v/>
      </c>
      <c r="HV141" s="55">
        <f>$HU141*$C141/$D141</f>
        <v/>
      </c>
      <c r="HW141" s="55">
        <f>SUMIFS(tblBudget[TMM_t],tblBudget[Month],"&lt;"&amp;$E141)+$HV141</f>
        <v/>
      </c>
      <c r="HX141" s="56">
        <f>IFERROR(IF(($HI141)&gt;0,($HR141)/($HI141),""),"")</f>
        <v/>
      </c>
      <c r="HY141" s="56">
        <f>IFERROR(IF(($HJ141)&gt;0,($HS141)/($HJ141),""),"")</f>
        <v/>
      </c>
      <c r="HZ141" s="56">
        <f>IFERROR(IF(($HK141)&gt;0,($HT141)/($HK141),""),"")</f>
        <v/>
      </c>
      <c r="IA141" s="55">
        <f>SUMIFS(tblBudget[Drill_m],tblBudget[Month],$E141)</f>
        <v/>
      </c>
      <c r="IB141" s="55">
        <f>$IA141*$C141/$D141</f>
        <v/>
      </c>
      <c r="IC141" s="55">
        <f>SUMIFS(tblBudget[Drill_m],tblBudget[Month],"&lt;"&amp;$E141)+$IB141</f>
        <v/>
      </c>
      <c r="ID141" s="55">
        <f>SUMIFS(tblBudget[Diesel_L],tblBudget[Month],$E141)</f>
        <v/>
      </c>
      <c r="IE141" s="55">
        <f>$ID141*$C141/$D141</f>
        <v/>
      </c>
      <c r="IF141" s="55">
        <f>SUMIFS(tblBudget[Diesel_L],tblBudget[Month],"&lt;"&amp;$E141)+$IE141</f>
        <v/>
      </c>
      <c r="IG141" s="55">
        <f>SUMIFS(tblBudget[Milled_t],tblBudget[Month],$E141)</f>
        <v/>
      </c>
      <c r="IH141" s="55">
        <f>$IG141*$C141/$D141</f>
        <v/>
      </c>
      <c r="II141" s="55">
        <f>SUMIFS(tblBudget[Milled_t],tblBudget[Month],"&lt;"&amp;$E141)+$IH141</f>
        <v/>
      </c>
      <c r="IJ141" s="55">
        <f>SUMIFS(tblBudget[Feed_oz],tblBudget[Month],$E141)</f>
        <v/>
      </c>
      <c r="IK141" s="55">
        <f>$IJ141*$C141/$D141</f>
        <v/>
      </c>
      <c r="IL141" s="55">
        <f>SUMIFS(tblBudget[Feed_oz],tblBudget[Month],"&lt;"&amp;$E141)+$IK141</f>
        <v/>
      </c>
      <c r="IM141" s="55">
        <f>SUMIFS(tblBudget[Recovered_oz],tblBudget[Month],$E141)</f>
        <v/>
      </c>
      <c r="IN141" s="55">
        <f>$IM141*$C141/$D141</f>
        <v/>
      </c>
      <c r="IO141" s="55">
        <f>SUMIFS(tblBudget[Recovered_oz],tblBudget[Month],"&lt;"&amp;$E141)+$IN141</f>
        <v/>
      </c>
      <c r="IP141" s="56">
        <f>IFERROR(IF(($IG141)&gt;0,($IJ141*cfg_TroyOz)/($IG141),""),"")</f>
        <v/>
      </c>
      <c r="IQ141" s="56">
        <f>IFERROR(IF(($IH141)&gt;0,($IK141*cfg_TroyOz)/($IH141),""),"")</f>
        <v/>
      </c>
      <c r="IR141" s="56">
        <f>IFERROR(IF(($II141)&gt;0,($IL141*cfg_TroyOz)/($II141),""),"")</f>
        <v/>
      </c>
      <c r="IS141" s="67">
        <f>IFERROR(IF(($IJ141)&gt;0,($IM141)/($IJ141),""),"")</f>
        <v/>
      </c>
      <c r="IT141" s="67">
        <f>IFERROR(IF(($IK141)&gt;0,($IN141)/($IK141),""),"")</f>
        <v/>
      </c>
      <c r="IU141" s="67">
        <f>IFERROR(IF(($IL141)&gt;0,($IO141)/($IL141),""),"")</f>
        <v/>
      </c>
      <c r="IV141" s="55">
        <f>SUMIFS(tblBudget[Gold_Poured_oz],tblBudget[Month],$E141)</f>
        <v/>
      </c>
      <c r="IW141" s="55">
        <f>$IV141*$C141/$D141</f>
        <v/>
      </c>
      <c r="IX141" s="55">
        <f>SUMIFS(tblBudget[Gold_Poured_oz],tblBudget[Month],"&lt;"&amp;$E141)+$IW141</f>
        <v/>
      </c>
      <c r="IY141" s="57">
        <f>SUMIFS(tblBudget[Hours_Worked],tblBudget[Month],$E141)</f>
        <v/>
      </c>
      <c r="IZ141" s="57">
        <f>$IY141*$C141/$D141</f>
        <v/>
      </c>
      <c r="JA141" s="57">
        <f>SUMIFS(tblBudget[Hours_Worked],tblBudget[Month],"&lt;"&amp;$E141)+$IZ141</f>
        <v/>
      </c>
    </row>
    <row r="142">
      <c r="A142" s="54" t="n">
        <v>46163</v>
      </c>
      <c r="B142">
        <f>MONTH($A142)</f>
        <v/>
      </c>
      <c r="C142">
        <f>DAY($A142)</f>
        <v/>
      </c>
      <c r="D142">
        <f>DAY(EOMONTH($A142,0))</f>
        <v/>
      </c>
      <c r="E142" s="54">
        <f>DATE(YEAR($A142),MONTH($A142),1)</f>
        <v/>
      </c>
      <c r="F142" s="55">
        <f>SUMIFS(tblMovement[Tonnes_t],tblMovement[Date],$A142,tblMovement[Is_Ore],1,tblMovement[Source_Type],"Pit")</f>
        <v/>
      </c>
      <c r="G142" s="55">
        <f>IF($B142=$B141,$G141,0)+$F142</f>
        <v/>
      </c>
      <c r="H142" s="55">
        <f>$H141+$F142</f>
        <v/>
      </c>
      <c r="I142" s="55">
        <f>SUMIFS(tblMovement[Ore_oz],tblMovement[Date],$A142,tblMovement[Source_Type],"Pit")</f>
        <v/>
      </c>
      <c r="J142" s="55">
        <f>IF($B142=$B141,$J141,0)+$I142</f>
        <v/>
      </c>
      <c r="K142" s="55">
        <f>$K141+$I142</f>
        <v/>
      </c>
      <c r="L142" s="56">
        <f>IFERROR(IF(($F142)&gt;0,($I142*cfg_TroyOz)/($F142),""),"")</f>
        <v/>
      </c>
      <c r="M142" s="56">
        <f>IFERROR(IF(($G142)&gt;0,($J142*cfg_TroyOz)/($G142),""),"")</f>
        <v/>
      </c>
      <c r="N142" s="56">
        <f>IFERROR(IF(($H142)&gt;0,($K142*cfg_TroyOz)/($H142),""),"")</f>
        <v/>
      </c>
      <c r="O142" s="55">
        <f>SUMIFS(tblMovement[Tonnes_t],tblMovement[Date],$A142,tblMovement[Is_Ore],0,tblMovement[Source_Type],"Pit")</f>
        <v/>
      </c>
      <c r="P142" s="55">
        <f>IF($B142=$B141,$P141,0)+$O142</f>
        <v/>
      </c>
      <c r="Q142" s="55">
        <f>$Q141+$O142</f>
        <v/>
      </c>
      <c r="R142" s="55">
        <f>$F142+$O142</f>
        <v/>
      </c>
      <c r="S142" s="55">
        <f>IF($B142=$B141,$S141,0)+$R142</f>
        <v/>
      </c>
      <c r="T142" s="55">
        <f>$T141+$R142</f>
        <v/>
      </c>
      <c r="U142" s="56">
        <f>IFERROR(IF(($F142)&gt;0,($O142)/($F142),""),"")</f>
        <v/>
      </c>
      <c r="V142" s="56">
        <f>IFERROR(IF(($G142)&gt;0,($P142)/($G142),""),"")</f>
        <v/>
      </c>
      <c r="W142" s="56">
        <f>IFERROR(IF(($H142)&gt;0,($Q142)/($H142),""),"")</f>
        <v/>
      </c>
      <c r="X142" s="55">
        <f>SUMIFS(tblMovement[Tonnes_t],tblMovement[Date],$A142,tblMovement[Source_Type],"Stockpile")</f>
        <v/>
      </c>
      <c r="Y142" s="55">
        <f>IF($B142=$B141,$Y141,0)+$X142</f>
        <v/>
      </c>
      <c r="Z142" s="55">
        <f>$Z141+$X142</f>
        <v/>
      </c>
      <c r="AA142" s="55">
        <f>SUMIFS(tblMiningDaily[Drill_m],tblMiningDaily[Date],$A142)</f>
        <v/>
      </c>
      <c r="AB142" s="55">
        <f>IF($B142=$B141,$AB141,0)+$AA142</f>
        <v/>
      </c>
      <c r="AC142" s="55">
        <f>$AC141+$AA142</f>
        <v/>
      </c>
      <c r="AD142" s="55">
        <f>SUMIFS(tblMiningDaily[Blast_t],tblMiningDaily[Date],$A142)</f>
        <v/>
      </c>
      <c r="AE142" s="55">
        <f>IF($B142=$B141,$AE141,0)+$AD142</f>
        <v/>
      </c>
      <c r="AF142" s="55">
        <f>$AF141+$AD142</f>
        <v/>
      </c>
      <c r="AG142" s="55">
        <f>SUMIFS(tblMiningDaily[Explosives_kg],tblMiningDaily[Date],$A142)</f>
        <v/>
      </c>
      <c r="AH142" s="55">
        <f>IF($B142=$B141,$AH141,0)+$AG142</f>
        <v/>
      </c>
      <c r="AI142" s="55">
        <f>$AI141+$AG142</f>
        <v/>
      </c>
      <c r="AJ142" s="56">
        <f>IFERROR(IF(($AD142)&gt;0,($AG142)/($AD142),""),"")</f>
        <v/>
      </c>
      <c r="AK142" s="56">
        <f>IFERROR(IF(($AE142)&gt;0,($AH142)/($AE142),""),"")</f>
        <v/>
      </c>
      <c r="AL142" s="56">
        <f>IFERROR(IF(($AF142)&gt;0,($AI142)/($AF142),""),"")</f>
        <v/>
      </c>
      <c r="AM142" s="55">
        <f>SUMIFS(tblMiningDaily[Diesel_L],tblMiningDaily[Date],$A142)</f>
        <v/>
      </c>
      <c r="AN142" s="55">
        <f>IF($B142=$B141,$AN141,0)+$AM142</f>
        <v/>
      </c>
      <c r="AO142" s="55">
        <f>$AO141+$AM142</f>
        <v/>
      </c>
      <c r="AP142" s="55">
        <f>SUMIFS(tblMiningDaily[Dewatering_m3],tblMiningDaily[Date],$A142)</f>
        <v/>
      </c>
      <c r="AQ142" s="55">
        <f>IF($B142=$B141,$AQ141,0)+$AP142</f>
        <v/>
      </c>
      <c r="AR142" s="55">
        <f>$AR141+$AP142</f>
        <v/>
      </c>
      <c r="AS142" s="57">
        <f>SUMIFS(tblFleet[Calendar_h],tblFleet[Date],$A142,tblFleet[Equipment_Class],"Excavator")</f>
        <v/>
      </c>
      <c r="AT142" s="57">
        <f>IF($B142=$B141,$AT141,0)+$AS142</f>
        <v/>
      </c>
      <c r="AU142" s="57">
        <f>$AU141+$AS142</f>
        <v/>
      </c>
      <c r="AV142" s="57">
        <f>SUMIFS(tblFleet[Available_h],tblFleet[Date],$A142,tblFleet[Equipment_Class],"Excavator")</f>
        <v/>
      </c>
      <c r="AW142" s="57">
        <f>IF($B142=$B141,$AW141,0)+$AV142</f>
        <v/>
      </c>
      <c r="AX142" s="57">
        <f>$AX141+$AV142</f>
        <v/>
      </c>
      <c r="AY142" s="57">
        <f>SUMIFS(tblFleet[Operating_h],tblFleet[Date],$A142,tblFleet[Equipment_Class],"Excavator")</f>
        <v/>
      </c>
      <c r="AZ142" s="57">
        <f>IF($B142=$B141,$AZ141,0)+$AY142</f>
        <v/>
      </c>
      <c r="BA142" s="57">
        <f>$BA141+$AY142</f>
        <v/>
      </c>
      <c r="BB142" s="67">
        <f>IFERROR(IF(($AS142)&gt;0,($AV142)/($AS142),""),"")</f>
        <v/>
      </c>
      <c r="BC142" s="67">
        <f>IFERROR(IF(($AT142)&gt;0,($AW142)/($AT142),""),"")</f>
        <v/>
      </c>
      <c r="BD142" s="67">
        <f>IFERROR(IF(($AU142)&gt;0,($AX142)/($AU142),""),"")</f>
        <v/>
      </c>
      <c r="BE142" s="67">
        <f>IFERROR(IF(($AV142)&gt;0,($AY142)/($AV142),""),"")</f>
        <v/>
      </c>
      <c r="BF142" s="67">
        <f>IFERROR(IF(($AW142)&gt;0,($AZ142)/($AW142),""),"")</f>
        <v/>
      </c>
      <c r="BG142" s="67">
        <f>IFERROR(IF(($AX142)&gt;0,($BA142)/($AX142),""),"")</f>
        <v/>
      </c>
      <c r="BH142" s="57">
        <f>SUMIFS(tblFleet[Calendar_h],tblFleet[Date],$A142,tblFleet[Equipment_Class],"Haul Truck")</f>
        <v/>
      </c>
      <c r="BI142" s="57">
        <f>IF($B142=$B141,$BI141,0)+$BH142</f>
        <v/>
      </c>
      <c r="BJ142" s="57">
        <f>$BJ141+$BH142</f>
        <v/>
      </c>
      <c r="BK142" s="57">
        <f>SUMIFS(tblFleet[Available_h],tblFleet[Date],$A142,tblFleet[Equipment_Class],"Haul Truck")</f>
        <v/>
      </c>
      <c r="BL142" s="57">
        <f>IF($B142=$B141,$BL141,0)+$BK142</f>
        <v/>
      </c>
      <c r="BM142" s="57">
        <f>$BM141+$BK142</f>
        <v/>
      </c>
      <c r="BN142" s="57">
        <f>SUMIFS(tblFleet[Operating_h],tblFleet[Date],$A142,tblFleet[Equipment_Class],"Haul Truck")</f>
        <v/>
      </c>
      <c r="BO142" s="57">
        <f>IF($B142=$B141,$BO141,0)+$BN142</f>
        <v/>
      </c>
      <c r="BP142" s="57">
        <f>$BP141+$BN142</f>
        <v/>
      </c>
      <c r="BQ142" s="67">
        <f>IFERROR(IF(($BH142)&gt;0,($BK142)/($BH142),""),"")</f>
        <v/>
      </c>
      <c r="BR142" s="67">
        <f>IFERROR(IF(($BI142)&gt;0,($BL142)/($BI142),""),"")</f>
        <v/>
      </c>
      <c r="BS142" s="67">
        <f>IFERROR(IF(($BJ142)&gt;0,($BM142)/($BJ142),""),"")</f>
        <v/>
      </c>
      <c r="BT142" s="67">
        <f>IFERROR(IF(($BK142)&gt;0,($BN142)/($BK142),""),"")</f>
        <v/>
      </c>
      <c r="BU142" s="67">
        <f>IFERROR(IF(($BL142)&gt;0,($BO142)/($BL142),""),"")</f>
        <v/>
      </c>
      <c r="BV142" s="67">
        <f>IFERROR(IF(($BM142)&gt;0,($BP142)/($BM142),""),"")</f>
        <v/>
      </c>
      <c r="BW142" s="55">
        <f>SUMIFS(tblPlant[Crushed_t],tblPlant[Date],$A142)</f>
        <v/>
      </c>
      <c r="BX142" s="55">
        <f>IF($B142=$B141,$BX141,0)+$BW142</f>
        <v/>
      </c>
      <c r="BY142" s="55">
        <f>$BY141+$BW142</f>
        <v/>
      </c>
      <c r="BZ142" s="55">
        <f>SUMIFS(tblPlant[Milled_t],tblPlant[Date],$A142)</f>
        <v/>
      </c>
      <c r="CA142" s="55">
        <f>IF($B142=$B141,$CA141,0)+$BZ142</f>
        <v/>
      </c>
      <c r="CB142" s="55">
        <f>$CB141+$BZ142</f>
        <v/>
      </c>
      <c r="CC142" s="55">
        <f>SUMIFS(tblPlant[Feed_oz],tblPlant[Date],$A142)</f>
        <v/>
      </c>
      <c r="CD142" s="55">
        <f>IF($B142=$B141,$CD141,0)+$CC142</f>
        <v/>
      </c>
      <c r="CE142" s="55">
        <f>$CE141+$CC142</f>
        <v/>
      </c>
      <c r="CF142" s="55">
        <f>SUMIFS(tblPlant[Tails_oz],tblPlant[Date],$A142)</f>
        <v/>
      </c>
      <c r="CG142" s="55">
        <f>IF($B142=$B141,$CG141,0)+$CF142</f>
        <v/>
      </c>
      <c r="CH142" s="55">
        <f>$CH141+$CF142</f>
        <v/>
      </c>
      <c r="CI142" s="55">
        <f>SUMIFS(tblPlant[Recovered_oz],tblPlant[Date],$A142)</f>
        <v/>
      </c>
      <c r="CJ142" s="55">
        <f>IF($B142=$B141,$CJ141,0)+$CI142</f>
        <v/>
      </c>
      <c r="CK142" s="55">
        <f>$CK141+$CI142</f>
        <v/>
      </c>
      <c r="CL142" s="56">
        <f>IFERROR(IF(($BZ142)&gt;0,($CC142*cfg_TroyOz)/($BZ142),""),"")</f>
        <v/>
      </c>
      <c r="CM142" s="56">
        <f>IFERROR(IF(($CA142)&gt;0,($CD142*cfg_TroyOz)/($CA142),""),"")</f>
        <v/>
      </c>
      <c r="CN142" s="56">
        <f>IFERROR(IF(($CB142)&gt;0,($CE142*cfg_TroyOz)/($CB142),""),"")</f>
        <v/>
      </c>
      <c r="CO142" s="56">
        <f>IFERROR(IF(($BZ142)&gt;0,($CF142*cfg_TroyOz)/($BZ142),""),"")</f>
        <v/>
      </c>
      <c r="CP142" s="56">
        <f>IFERROR(IF(($CA142)&gt;0,($CG142*cfg_TroyOz)/($CA142),""),"")</f>
        <v/>
      </c>
      <c r="CQ142" s="56">
        <f>IFERROR(IF(($CB142)&gt;0,($CH142*cfg_TroyOz)/($CB142),""),"")</f>
        <v/>
      </c>
      <c r="CR142" s="67">
        <f>IFERROR(IF(($CC142)&gt;0,($CI142)/($CC142),""),"")</f>
        <v/>
      </c>
      <c r="CS142" s="67">
        <f>IFERROR(IF(($CD142)&gt;0,($CJ142)/($CD142),""),"")</f>
        <v/>
      </c>
      <c r="CT142" s="67">
        <f>IFERROR(IF(($CE142)&gt;0,($CK142)/($CE142),""),"")</f>
        <v/>
      </c>
      <c r="CU142" s="55">
        <f>SUMIFS(tblPlant[Gravity_Gold_oz],tblPlant[Date],$A142)</f>
        <v/>
      </c>
      <c r="CV142" s="55">
        <f>IF($B142=$B141,$CV141,0)+$CU142</f>
        <v/>
      </c>
      <c r="CW142" s="55">
        <f>$CW141+$CU142</f>
        <v/>
      </c>
      <c r="CX142" s="55">
        <f>SUMIFS(tblPlant[Gold_Poured_oz],tblPlant[Date],$A142)</f>
        <v/>
      </c>
      <c r="CY142" s="55">
        <f>IF($B142=$B141,$CY141,0)+$CX142</f>
        <v/>
      </c>
      <c r="CZ142" s="55">
        <f>$CZ141+$CX142</f>
        <v/>
      </c>
      <c r="DA142" s="57">
        <f>SUMIFS(tblPlant[Mill_Run_h],tblPlant[Date],$A142)</f>
        <v/>
      </c>
      <c r="DB142" s="57">
        <f>IF($B142=$B141,$DB141,0)+$DA142</f>
        <v/>
      </c>
      <c r="DC142" s="57">
        <f>$DC141+$DA142</f>
        <v/>
      </c>
      <c r="DD142" s="57">
        <f>SUMIFS(tblPlant[Mill_Planned_Maint_h],tblPlant[Date],$A142)</f>
        <v/>
      </c>
      <c r="DE142" s="57">
        <f>IF($B142=$B141,$DE141,0)+$DD142</f>
        <v/>
      </c>
      <c r="DF142" s="57">
        <f>$DF141+$DD142</f>
        <v/>
      </c>
      <c r="DG142" s="57">
        <f>SUMIFS(tblPlant[Mill_Unplanned_Down_h],tblPlant[Date],$A142)</f>
        <v/>
      </c>
      <c r="DH142" s="57">
        <f>IF($B142=$B141,$DH141,0)+$DG142</f>
        <v/>
      </c>
      <c r="DI142" s="57">
        <f>$DI141+$DG142</f>
        <v/>
      </c>
      <c r="DJ142" s="57">
        <f>COUNTIFS(tblPlant[Date],$A142,tblPlant[Mill_Run_h],"&lt;&gt;")*24</f>
        <v/>
      </c>
      <c r="DK142" s="57">
        <f>IF($B142=$B141,$DK141,0)+$DJ142</f>
        <v/>
      </c>
      <c r="DL142" s="57">
        <f>$DL141+$DJ142</f>
        <v/>
      </c>
      <c r="DM142" s="57">
        <f>SUMIFS(tblPlant[Crusher_Run_h],tblPlant[Date],$A142)</f>
        <v/>
      </c>
      <c r="DN142" s="57">
        <f>IF($B142=$B141,$DN141,0)+$DM142</f>
        <v/>
      </c>
      <c r="DO142" s="57">
        <f>$DO141+$DM142</f>
        <v/>
      </c>
      <c r="DP142" s="55">
        <f>IFERROR(IF(($DA142)&gt;0,($BZ142)/($DA142),""),"")</f>
        <v/>
      </c>
      <c r="DQ142" s="55">
        <f>IFERROR(IF(($DB142)&gt;0,($CA142)/($DB142),""),"")</f>
        <v/>
      </c>
      <c r="DR142" s="55">
        <f>IFERROR(IF(($DC142)&gt;0,($CB142)/($DC142),""),"")</f>
        <v/>
      </c>
      <c r="DS142" s="67">
        <f>IFERROR(IF(($DJ142)&gt;0,($DJ142-$DD142-$DG142)/($DJ142),""),"")</f>
        <v/>
      </c>
      <c r="DT142" s="67">
        <f>IFERROR(IF(($DK142)&gt;0,($DK142-$DE142-$DH142)/($DK142),""),"")</f>
        <v/>
      </c>
      <c r="DU142" s="67">
        <f>IFERROR(IF(($DL142)&gt;0,($DL142-$DF142-$DI142)/($DL142),""),"")</f>
        <v/>
      </c>
      <c r="DV142" s="67">
        <f>IFERROR(IF(($DJ142-$DD142-$DG142)&gt;0,($DA142)/($DJ142-$DD142-$DG142),""),"")</f>
        <v/>
      </c>
      <c r="DW142" s="67">
        <f>IFERROR(IF(($DK142-$DE142-$DH142)&gt;0,($DB142)/($DK142-$DE142-$DH142),""),"")</f>
        <v/>
      </c>
      <c r="DX142" s="67">
        <f>IFERROR(IF(($DL142-$DF142-$DI142)&gt;0,($DC142)/($DL142-$DF142-$DI142),""),"")</f>
        <v/>
      </c>
      <c r="DY142" s="55">
        <f>SUMIFS(tblPlant[Cyanide_kg],tblPlant[Date],$A142)</f>
        <v/>
      </c>
      <c r="DZ142" s="55">
        <f>IF($B142=$B141,$DZ141,0)+$DY142</f>
        <v/>
      </c>
      <c r="EA142" s="55">
        <f>$EA141+$DY142</f>
        <v/>
      </c>
      <c r="EB142" s="55">
        <f>SUMIFS(tblPlant[Lime_kg],tblPlant[Date],$A142)</f>
        <v/>
      </c>
      <c r="EC142" s="55">
        <f>IF($B142=$B141,$EC141,0)+$EB142</f>
        <v/>
      </c>
      <c r="ED142" s="55">
        <f>$ED141+$EB142</f>
        <v/>
      </c>
      <c r="EE142" s="55">
        <f>SUMIFS(tblPlant[Grinding_Media_kg],tblPlant[Date],$A142)</f>
        <v/>
      </c>
      <c r="EF142" s="55">
        <f>IF($B142=$B141,$EF141,0)+$EE142</f>
        <v/>
      </c>
      <c r="EG142" s="55">
        <f>$EG141+$EE142</f>
        <v/>
      </c>
      <c r="EH142" s="55">
        <f>SUMIFS(tblPlant[Power_kWh],tblPlant[Date],$A142)</f>
        <v/>
      </c>
      <c r="EI142" s="55">
        <f>IF($B142=$B141,$EI141,0)+$EH142</f>
        <v/>
      </c>
      <c r="EJ142" s="55">
        <f>$EJ141+$EH142</f>
        <v/>
      </c>
      <c r="EK142" s="55">
        <f>SUMIFS(tblPlant[Raw_Water_m3],tblPlant[Date],$A142)</f>
        <v/>
      </c>
      <c r="EL142" s="55">
        <f>IF($B142=$B141,$EL141,0)+$EK142</f>
        <v/>
      </c>
      <c r="EM142" s="55">
        <f>$EM141+$EK142</f>
        <v/>
      </c>
      <c r="EN142" s="56">
        <f>IFERROR(IF(($BZ142)&gt;0,($DY142)/($BZ142),""),"")</f>
        <v/>
      </c>
      <c r="EO142" s="56">
        <f>IFERROR(IF(($CA142)&gt;0,($DZ142)/($CA142),""),"")</f>
        <v/>
      </c>
      <c r="EP142" s="56">
        <f>IFERROR(IF(($CB142)&gt;0,($EA142)/($CB142),""),"")</f>
        <v/>
      </c>
      <c r="EQ142" s="56">
        <f>IFERROR(IF(($BZ142)&gt;0,($EB142)/($BZ142),""),"")</f>
        <v/>
      </c>
      <c r="ER142" s="56">
        <f>IFERROR(IF(($CA142)&gt;0,($EC142)/($CA142),""),"")</f>
        <v/>
      </c>
      <c r="ES142" s="56">
        <f>IFERROR(IF(($CB142)&gt;0,($ED142)/($CB142),""),"")</f>
        <v/>
      </c>
      <c r="ET142" s="56">
        <f>IFERROR(IF(($BZ142)&gt;0,($EE142)/($BZ142),""),"")</f>
        <v/>
      </c>
      <c r="EU142" s="56">
        <f>IFERROR(IF(($CA142)&gt;0,($EF142)/($CA142),""),"")</f>
        <v/>
      </c>
      <c r="EV142" s="56">
        <f>IFERROR(IF(($CB142)&gt;0,($EG142)/($CB142),""),"")</f>
        <v/>
      </c>
      <c r="EW142" s="76">
        <f>IFERROR(IF(($BZ142)&gt;0,($EH142)/($BZ142),""),"")</f>
        <v/>
      </c>
      <c r="EX142" s="76">
        <f>IFERROR(IF(($CA142)&gt;0,($EI142)/($CA142),""),"")</f>
        <v/>
      </c>
      <c r="EY142" s="76">
        <f>IFERROR(IF(($CB142)&gt;0,($EJ142)/($CB142),""),"")</f>
        <v/>
      </c>
      <c r="EZ142" s="56">
        <f>IFERROR(IF(($BZ142)&gt;0,($EK142)/($BZ142),""),"")</f>
        <v/>
      </c>
      <c r="FA142" s="56">
        <f>IFERROR(IF(($CA142)&gt;0,($EL142)/($CA142),""),"")</f>
        <v/>
      </c>
      <c r="FB142" s="56">
        <f>IFERROR(IF(($CB142)&gt;0,($EM142)/($CB142),""),"")</f>
        <v/>
      </c>
      <c r="FC142" s="55">
        <f>IF(SUMIFS(tblPlant[GIC_oz],tblPlant[Date],$A142)&gt;0,SUMIFS(tblPlant[GIC_oz],tblPlant[Date],$A142),"")</f>
        <v/>
      </c>
      <c r="FD142" s="55">
        <f>SUMIFS(tblGold[Gold_oz],tblGold[Date],$A142,tblGold[Type],"Shipment")</f>
        <v/>
      </c>
      <c r="FE142" s="55">
        <f>IF($B142=$B141,$FE141,0)+$FD142</f>
        <v/>
      </c>
      <c r="FF142" s="55">
        <f>$FF141+$FD142</f>
        <v/>
      </c>
      <c r="FG142" s="55">
        <f>SUMIFS(tblGold[Gold_oz],tblGold[Date],$A142,tblGold[Type],"Sale")</f>
        <v/>
      </c>
      <c r="FH142" s="55">
        <f>IF($B142=$B141,$FH141,0)+$FG142</f>
        <v/>
      </c>
      <c r="FI142" s="55">
        <f>$FI141+$FG142</f>
        <v/>
      </c>
      <c r="FJ142" s="55">
        <f>SUMIFS(tblGold[Dore_kg],tblGold[Date],$A142,tblGold[Type],"Shipment")</f>
        <v/>
      </c>
      <c r="FK142" s="55">
        <f>IF($B142=$B141,$FK141,0)+$FJ142</f>
        <v/>
      </c>
      <c r="FL142" s="55">
        <f>$FL141+$FJ142</f>
        <v/>
      </c>
      <c r="FM142" s="57">
        <f>SUMIFS(tblSafety[Hours_Total],tblSafety[Date],$A142)</f>
        <v/>
      </c>
      <c r="FN142" s="57">
        <f>IF($B142=$B141,$FN141,0)+$FM142</f>
        <v/>
      </c>
      <c r="FO142" s="57">
        <f>$FO141+$FM142</f>
        <v/>
      </c>
      <c r="FP142" s="62">
        <f>SUMIFS(tblSafety[Fatality],tblSafety[Date],$A142)</f>
        <v/>
      </c>
      <c r="FQ142" s="62">
        <f>IF($B142=$B141,$FQ141,0)+$FP142</f>
        <v/>
      </c>
      <c r="FR142" s="62">
        <f>$FR141+$FP142</f>
        <v/>
      </c>
      <c r="FS142" s="62">
        <f>SUMIFS(tblSafety[LTI],tblSafety[Date],$A142)</f>
        <v/>
      </c>
      <c r="FT142" s="62">
        <f>IF($B142=$B141,$FT141,0)+$FS142</f>
        <v/>
      </c>
      <c r="FU142" s="62">
        <f>$FU141+$FS142</f>
        <v/>
      </c>
      <c r="FV142" s="62">
        <f>SUMIFS(tblSafety[RWI],tblSafety[Date],$A142)</f>
        <v/>
      </c>
      <c r="FW142" s="62">
        <f>IF($B142=$B141,$FW141,0)+$FV142</f>
        <v/>
      </c>
      <c r="FX142" s="62">
        <f>$FX141+$FV142</f>
        <v/>
      </c>
      <c r="FY142" s="62">
        <f>SUMIFS(tblSafety[MTI],tblSafety[Date],$A142)</f>
        <v/>
      </c>
      <c r="FZ142" s="62">
        <f>IF($B142=$B141,$FZ141,0)+$FY142</f>
        <v/>
      </c>
      <c r="GA142" s="62">
        <f>$GA141+$FY142</f>
        <v/>
      </c>
      <c r="GB142" s="62">
        <f>SUMIFS(tblSafety[FAI],tblSafety[Date],$A142)</f>
        <v/>
      </c>
      <c r="GC142" s="62">
        <f>IF($B142=$B141,$GC141,0)+$GB142</f>
        <v/>
      </c>
      <c r="GD142" s="62">
        <f>$GD141+$GB142</f>
        <v/>
      </c>
      <c r="GE142" s="62">
        <f>SUMIFS(tblSafety[Recordables],tblSafety[Date],$A142)</f>
        <v/>
      </c>
      <c r="GF142" s="62">
        <f>IF($B142=$B141,$GF141,0)+$GE142</f>
        <v/>
      </c>
      <c r="GG142" s="62">
        <f>$GG141+$GE142</f>
        <v/>
      </c>
      <c r="GH142" s="62">
        <f>SUMIFS(tblSafety[Near_Miss],tblSafety[Date],$A142)</f>
        <v/>
      </c>
      <c r="GI142" s="62">
        <f>IF($B142=$B141,$GI141,0)+$GH142</f>
        <v/>
      </c>
      <c r="GJ142" s="62">
        <f>$GJ141+$GH142</f>
        <v/>
      </c>
      <c r="GK142" s="62">
        <f>SUMIFS(tblSafety[Hazard_Reports],tblSafety[Date],$A142)</f>
        <v/>
      </c>
      <c r="GL142" s="62">
        <f>IF($B142=$B141,$GL141,0)+$GK142</f>
        <v/>
      </c>
      <c r="GM142" s="62">
        <f>$GM141+$GK142</f>
        <v/>
      </c>
      <c r="GN142" s="62">
        <f>SUMIFS(tblSafety[HPI],tblSafety[Date],$A142)</f>
        <v/>
      </c>
      <c r="GO142" s="62">
        <f>IF($B142=$B141,$GO141,0)+$GN142</f>
        <v/>
      </c>
      <c r="GP142" s="62">
        <f>$GP141+$GN142</f>
        <v/>
      </c>
      <c r="GQ142" s="62">
        <f>SUMIFS(tblSafety[Env_Incidents],tblSafety[Date],$A142)</f>
        <v/>
      </c>
      <c r="GR142" s="62">
        <f>IF($B142=$B141,$GR141,0)+$GQ142</f>
        <v/>
      </c>
      <c r="GS142" s="62">
        <f>$GS141+$GQ142</f>
        <v/>
      </c>
      <c r="GT142" s="62">
        <f>SUMIFS(tblSafety[Community_Incidents],tblSafety[Date],$A142)</f>
        <v/>
      </c>
      <c r="GU142" s="62">
        <f>IF($B142=$B141,$GU141,0)+$GT142</f>
        <v/>
      </c>
      <c r="GV142" s="62">
        <f>$GV141+$GT142</f>
        <v/>
      </c>
      <c r="GW142" s="62">
        <f>SUMIFS(tblSafety[Vehicle_Incidents],tblSafety[Date],$A142)</f>
        <v/>
      </c>
      <c r="GX142" s="62">
        <f>IF($B142=$B141,$GX141,0)+$GW142</f>
        <v/>
      </c>
      <c r="GY142" s="62">
        <f>$GY141+$GW142</f>
        <v/>
      </c>
      <c r="GZ142" s="62">
        <f>SUMIFS(tblSafety[Toolbox_Talks],tblSafety[Date],$A142)</f>
        <v/>
      </c>
      <c r="HA142" s="62">
        <f>IF($B142=$B141,$HA141,0)+$GZ142</f>
        <v/>
      </c>
      <c r="HB142" s="62">
        <f>$HB141+$GZ142</f>
        <v/>
      </c>
      <c r="HC142" s="62">
        <f>SUMIFS(tblSafety[Inspections],tblSafety[Date],$A142)</f>
        <v/>
      </c>
      <c r="HD142" s="62">
        <f>IF($B142=$B141,$HD141,0)+$HC142</f>
        <v/>
      </c>
      <c r="HE142" s="62">
        <f>$HE141+$HC142</f>
        <v/>
      </c>
      <c r="HF142" s="56">
        <f>IFERROR((SUMIFS(tblSafety[Recordables],tblSafety[Date],"&gt;="&amp;EDATE($E142,-12),tblSafety[Date],"&lt;="&amp;$A142)+SUMIFS(tblSafetyHistory[Recordables],tblSafetyHistory[Month],"&gt;="&amp;EDATE($E142,-12),tblSafetyHistory[Month],"&lt;"&amp;cfg_YearStart))/(SUMIFS(tblSafety[Hours_Total],tblSafety[Date],"&gt;="&amp;EDATE($E142,-12),tblSafety[Date],"&lt;="&amp;$A142)+SUMIFS(tblSafetyHistory[Hours_Total],tblSafetyHistory[Month],"&gt;="&amp;EDATE($E142,-12),tblSafetyHistory[Month],"&lt;"&amp;cfg_YearStart))*1000000,"")</f>
        <v/>
      </c>
      <c r="HG142" s="56">
        <f>IFERROR((SUMIFS(tblSafety[LTI],tblSafety[Date],"&gt;="&amp;EDATE($E142,-12),tblSafety[Date],"&lt;="&amp;$A142)+SUMIFS(tblSafetyHistory[LTI],tblSafetyHistory[Month],"&gt;="&amp;EDATE($E142,-12),tblSafetyHistory[Month],"&lt;"&amp;cfg_YearStart))/(SUMIFS(tblSafety[Hours_Total],tblSafety[Date],"&gt;="&amp;EDATE($E142,-12),tblSafety[Date],"&lt;="&amp;$A142)+SUMIFS(tblSafetyHistory[Hours_Total],tblSafetyHistory[Month],"&gt;="&amp;EDATE($E142,-12),tblSafetyHistory[Month],"&lt;"&amp;cfg_YearStart))*1000000,"")</f>
        <v/>
      </c>
      <c r="HH142" s="62">
        <f>IF(MAX(N(cfg_PriorLTIDate),_xlfn.MAXIFS(tblSafety[Date],tblSafety[LTI],"&gt;0",tblSafety[Date],"&lt;="&amp;$A142))=0,"",$A142-MAX(N(cfg_PriorLTIDate),_xlfn.MAXIFS(tblSafety[Date],tblSafety[LTI],"&gt;0",tblSafety[Date],"&lt;="&amp;$A142)))</f>
        <v/>
      </c>
      <c r="HI142" s="55">
        <f>SUMIFS(tblBudget[Ore_Mined_t],tblBudget[Month],$E142)</f>
        <v/>
      </c>
      <c r="HJ142" s="55">
        <f>$HI142*$C142/$D142</f>
        <v/>
      </c>
      <c r="HK142" s="55">
        <f>SUMIFS(tblBudget[Ore_Mined_t],tblBudget[Month],"&lt;"&amp;$E142)+$HJ142</f>
        <v/>
      </c>
      <c r="HL142" s="55">
        <f>SUMIFS(tblBudget[Ore_oz],tblBudget[Month],$E142)</f>
        <v/>
      </c>
      <c r="HM142" s="55">
        <f>$HL142*$C142/$D142</f>
        <v/>
      </c>
      <c r="HN142" s="55">
        <f>SUMIFS(tblBudget[Ore_oz],tblBudget[Month],"&lt;"&amp;$E142)+$HM142</f>
        <v/>
      </c>
      <c r="HO142" s="56">
        <f>IFERROR(IF(($HI142)&gt;0,($HL142*cfg_TroyOz)/($HI142),""),"")</f>
        <v/>
      </c>
      <c r="HP142" s="56">
        <f>IFERROR(IF(($HJ142)&gt;0,($HM142*cfg_TroyOz)/($HJ142),""),"")</f>
        <v/>
      </c>
      <c r="HQ142" s="56">
        <f>IFERROR(IF(($HK142)&gt;0,($HN142*cfg_TroyOz)/($HK142),""),"")</f>
        <v/>
      </c>
      <c r="HR142" s="55">
        <f>SUMIFS(tblBudget[Waste_t],tblBudget[Month],$E142)</f>
        <v/>
      </c>
      <c r="HS142" s="55">
        <f>$HR142*$C142/$D142</f>
        <v/>
      </c>
      <c r="HT142" s="55">
        <f>SUMIFS(tblBudget[Waste_t],tblBudget[Month],"&lt;"&amp;$E142)+$HS142</f>
        <v/>
      </c>
      <c r="HU142" s="55">
        <f>SUMIFS(tblBudget[TMM_t],tblBudget[Month],$E142)</f>
        <v/>
      </c>
      <c r="HV142" s="55">
        <f>$HU142*$C142/$D142</f>
        <v/>
      </c>
      <c r="HW142" s="55">
        <f>SUMIFS(tblBudget[TMM_t],tblBudget[Month],"&lt;"&amp;$E142)+$HV142</f>
        <v/>
      </c>
      <c r="HX142" s="56">
        <f>IFERROR(IF(($HI142)&gt;0,($HR142)/($HI142),""),"")</f>
        <v/>
      </c>
      <c r="HY142" s="56">
        <f>IFERROR(IF(($HJ142)&gt;0,($HS142)/($HJ142),""),"")</f>
        <v/>
      </c>
      <c r="HZ142" s="56">
        <f>IFERROR(IF(($HK142)&gt;0,($HT142)/($HK142),""),"")</f>
        <v/>
      </c>
      <c r="IA142" s="55">
        <f>SUMIFS(tblBudget[Drill_m],tblBudget[Month],$E142)</f>
        <v/>
      </c>
      <c r="IB142" s="55">
        <f>$IA142*$C142/$D142</f>
        <v/>
      </c>
      <c r="IC142" s="55">
        <f>SUMIFS(tblBudget[Drill_m],tblBudget[Month],"&lt;"&amp;$E142)+$IB142</f>
        <v/>
      </c>
      <c r="ID142" s="55">
        <f>SUMIFS(tblBudget[Diesel_L],tblBudget[Month],$E142)</f>
        <v/>
      </c>
      <c r="IE142" s="55">
        <f>$ID142*$C142/$D142</f>
        <v/>
      </c>
      <c r="IF142" s="55">
        <f>SUMIFS(tblBudget[Diesel_L],tblBudget[Month],"&lt;"&amp;$E142)+$IE142</f>
        <v/>
      </c>
      <c r="IG142" s="55">
        <f>SUMIFS(tblBudget[Milled_t],tblBudget[Month],$E142)</f>
        <v/>
      </c>
      <c r="IH142" s="55">
        <f>$IG142*$C142/$D142</f>
        <v/>
      </c>
      <c r="II142" s="55">
        <f>SUMIFS(tblBudget[Milled_t],tblBudget[Month],"&lt;"&amp;$E142)+$IH142</f>
        <v/>
      </c>
      <c r="IJ142" s="55">
        <f>SUMIFS(tblBudget[Feed_oz],tblBudget[Month],$E142)</f>
        <v/>
      </c>
      <c r="IK142" s="55">
        <f>$IJ142*$C142/$D142</f>
        <v/>
      </c>
      <c r="IL142" s="55">
        <f>SUMIFS(tblBudget[Feed_oz],tblBudget[Month],"&lt;"&amp;$E142)+$IK142</f>
        <v/>
      </c>
      <c r="IM142" s="55">
        <f>SUMIFS(tblBudget[Recovered_oz],tblBudget[Month],$E142)</f>
        <v/>
      </c>
      <c r="IN142" s="55">
        <f>$IM142*$C142/$D142</f>
        <v/>
      </c>
      <c r="IO142" s="55">
        <f>SUMIFS(tblBudget[Recovered_oz],tblBudget[Month],"&lt;"&amp;$E142)+$IN142</f>
        <v/>
      </c>
      <c r="IP142" s="56">
        <f>IFERROR(IF(($IG142)&gt;0,($IJ142*cfg_TroyOz)/($IG142),""),"")</f>
        <v/>
      </c>
      <c r="IQ142" s="56">
        <f>IFERROR(IF(($IH142)&gt;0,($IK142*cfg_TroyOz)/($IH142),""),"")</f>
        <v/>
      </c>
      <c r="IR142" s="56">
        <f>IFERROR(IF(($II142)&gt;0,($IL142*cfg_TroyOz)/($II142),""),"")</f>
        <v/>
      </c>
      <c r="IS142" s="67">
        <f>IFERROR(IF(($IJ142)&gt;0,($IM142)/($IJ142),""),"")</f>
        <v/>
      </c>
      <c r="IT142" s="67">
        <f>IFERROR(IF(($IK142)&gt;0,($IN142)/($IK142),""),"")</f>
        <v/>
      </c>
      <c r="IU142" s="67">
        <f>IFERROR(IF(($IL142)&gt;0,($IO142)/($IL142),""),"")</f>
        <v/>
      </c>
      <c r="IV142" s="55">
        <f>SUMIFS(tblBudget[Gold_Poured_oz],tblBudget[Month],$E142)</f>
        <v/>
      </c>
      <c r="IW142" s="55">
        <f>$IV142*$C142/$D142</f>
        <v/>
      </c>
      <c r="IX142" s="55">
        <f>SUMIFS(tblBudget[Gold_Poured_oz],tblBudget[Month],"&lt;"&amp;$E142)+$IW142</f>
        <v/>
      </c>
      <c r="IY142" s="57">
        <f>SUMIFS(tblBudget[Hours_Worked],tblBudget[Month],$E142)</f>
        <v/>
      </c>
      <c r="IZ142" s="57">
        <f>$IY142*$C142/$D142</f>
        <v/>
      </c>
      <c r="JA142" s="57">
        <f>SUMIFS(tblBudget[Hours_Worked],tblBudget[Month],"&lt;"&amp;$E142)+$IZ142</f>
        <v/>
      </c>
    </row>
    <row r="143">
      <c r="A143" s="54" t="n">
        <v>46164</v>
      </c>
      <c r="B143">
        <f>MONTH($A143)</f>
        <v/>
      </c>
      <c r="C143">
        <f>DAY($A143)</f>
        <v/>
      </c>
      <c r="D143">
        <f>DAY(EOMONTH($A143,0))</f>
        <v/>
      </c>
      <c r="E143" s="54">
        <f>DATE(YEAR($A143),MONTH($A143),1)</f>
        <v/>
      </c>
      <c r="F143" s="55">
        <f>SUMIFS(tblMovement[Tonnes_t],tblMovement[Date],$A143,tblMovement[Is_Ore],1,tblMovement[Source_Type],"Pit")</f>
        <v/>
      </c>
      <c r="G143" s="55">
        <f>IF($B143=$B142,$G142,0)+$F143</f>
        <v/>
      </c>
      <c r="H143" s="55">
        <f>$H142+$F143</f>
        <v/>
      </c>
      <c r="I143" s="55">
        <f>SUMIFS(tblMovement[Ore_oz],tblMovement[Date],$A143,tblMovement[Source_Type],"Pit")</f>
        <v/>
      </c>
      <c r="J143" s="55">
        <f>IF($B143=$B142,$J142,0)+$I143</f>
        <v/>
      </c>
      <c r="K143" s="55">
        <f>$K142+$I143</f>
        <v/>
      </c>
      <c r="L143" s="56">
        <f>IFERROR(IF(($F143)&gt;0,($I143*cfg_TroyOz)/($F143),""),"")</f>
        <v/>
      </c>
      <c r="M143" s="56">
        <f>IFERROR(IF(($G143)&gt;0,($J143*cfg_TroyOz)/($G143),""),"")</f>
        <v/>
      </c>
      <c r="N143" s="56">
        <f>IFERROR(IF(($H143)&gt;0,($K143*cfg_TroyOz)/($H143),""),"")</f>
        <v/>
      </c>
      <c r="O143" s="55">
        <f>SUMIFS(tblMovement[Tonnes_t],tblMovement[Date],$A143,tblMovement[Is_Ore],0,tblMovement[Source_Type],"Pit")</f>
        <v/>
      </c>
      <c r="P143" s="55">
        <f>IF($B143=$B142,$P142,0)+$O143</f>
        <v/>
      </c>
      <c r="Q143" s="55">
        <f>$Q142+$O143</f>
        <v/>
      </c>
      <c r="R143" s="55">
        <f>$F143+$O143</f>
        <v/>
      </c>
      <c r="S143" s="55">
        <f>IF($B143=$B142,$S142,0)+$R143</f>
        <v/>
      </c>
      <c r="T143" s="55">
        <f>$T142+$R143</f>
        <v/>
      </c>
      <c r="U143" s="56">
        <f>IFERROR(IF(($F143)&gt;0,($O143)/($F143),""),"")</f>
        <v/>
      </c>
      <c r="V143" s="56">
        <f>IFERROR(IF(($G143)&gt;0,($P143)/($G143),""),"")</f>
        <v/>
      </c>
      <c r="W143" s="56">
        <f>IFERROR(IF(($H143)&gt;0,($Q143)/($H143),""),"")</f>
        <v/>
      </c>
      <c r="X143" s="55">
        <f>SUMIFS(tblMovement[Tonnes_t],tblMovement[Date],$A143,tblMovement[Source_Type],"Stockpile")</f>
        <v/>
      </c>
      <c r="Y143" s="55">
        <f>IF($B143=$B142,$Y142,0)+$X143</f>
        <v/>
      </c>
      <c r="Z143" s="55">
        <f>$Z142+$X143</f>
        <v/>
      </c>
      <c r="AA143" s="55">
        <f>SUMIFS(tblMiningDaily[Drill_m],tblMiningDaily[Date],$A143)</f>
        <v/>
      </c>
      <c r="AB143" s="55">
        <f>IF($B143=$B142,$AB142,0)+$AA143</f>
        <v/>
      </c>
      <c r="AC143" s="55">
        <f>$AC142+$AA143</f>
        <v/>
      </c>
      <c r="AD143" s="55">
        <f>SUMIFS(tblMiningDaily[Blast_t],tblMiningDaily[Date],$A143)</f>
        <v/>
      </c>
      <c r="AE143" s="55">
        <f>IF($B143=$B142,$AE142,0)+$AD143</f>
        <v/>
      </c>
      <c r="AF143" s="55">
        <f>$AF142+$AD143</f>
        <v/>
      </c>
      <c r="AG143" s="55">
        <f>SUMIFS(tblMiningDaily[Explosives_kg],tblMiningDaily[Date],$A143)</f>
        <v/>
      </c>
      <c r="AH143" s="55">
        <f>IF($B143=$B142,$AH142,0)+$AG143</f>
        <v/>
      </c>
      <c r="AI143" s="55">
        <f>$AI142+$AG143</f>
        <v/>
      </c>
      <c r="AJ143" s="56">
        <f>IFERROR(IF(($AD143)&gt;0,($AG143)/($AD143),""),"")</f>
        <v/>
      </c>
      <c r="AK143" s="56">
        <f>IFERROR(IF(($AE143)&gt;0,($AH143)/($AE143),""),"")</f>
        <v/>
      </c>
      <c r="AL143" s="56">
        <f>IFERROR(IF(($AF143)&gt;0,($AI143)/($AF143),""),"")</f>
        <v/>
      </c>
      <c r="AM143" s="55">
        <f>SUMIFS(tblMiningDaily[Diesel_L],tblMiningDaily[Date],$A143)</f>
        <v/>
      </c>
      <c r="AN143" s="55">
        <f>IF($B143=$B142,$AN142,0)+$AM143</f>
        <v/>
      </c>
      <c r="AO143" s="55">
        <f>$AO142+$AM143</f>
        <v/>
      </c>
      <c r="AP143" s="55">
        <f>SUMIFS(tblMiningDaily[Dewatering_m3],tblMiningDaily[Date],$A143)</f>
        <v/>
      </c>
      <c r="AQ143" s="55">
        <f>IF($B143=$B142,$AQ142,0)+$AP143</f>
        <v/>
      </c>
      <c r="AR143" s="55">
        <f>$AR142+$AP143</f>
        <v/>
      </c>
      <c r="AS143" s="57">
        <f>SUMIFS(tblFleet[Calendar_h],tblFleet[Date],$A143,tblFleet[Equipment_Class],"Excavator")</f>
        <v/>
      </c>
      <c r="AT143" s="57">
        <f>IF($B143=$B142,$AT142,0)+$AS143</f>
        <v/>
      </c>
      <c r="AU143" s="57">
        <f>$AU142+$AS143</f>
        <v/>
      </c>
      <c r="AV143" s="57">
        <f>SUMIFS(tblFleet[Available_h],tblFleet[Date],$A143,tblFleet[Equipment_Class],"Excavator")</f>
        <v/>
      </c>
      <c r="AW143" s="57">
        <f>IF($B143=$B142,$AW142,0)+$AV143</f>
        <v/>
      </c>
      <c r="AX143" s="57">
        <f>$AX142+$AV143</f>
        <v/>
      </c>
      <c r="AY143" s="57">
        <f>SUMIFS(tblFleet[Operating_h],tblFleet[Date],$A143,tblFleet[Equipment_Class],"Excavator")</f>
        <v/>
      </c>
      <c r="AZ143" s="57">
        <f>IF($B143=$B142,$AZ142,0)+$AY143</f>
        <v/>
      </c>
      <c r="BA143" s="57">
        <f>$BA142+$AY143</f>
        <v/>
      </c>
      <c r="BB143" s="67">
        <f>IFERROR(IF(($AS143)&gt;0,($AV143)/($AS143),""),"")</f>
        <v/>
      </c>
      <c r="BC143" s="67">
        <f>IFERROR(IF(($AT143)&gt;0,($AW143)/($AT143),""),"")</f>
        <v/>
      </c>
      <c r="BD143" s="67">
        <f>IFERROR(IF(($AU143)&gt;0,($AX143)/($AU143),""),"")</f>
        <v/>
      </c>
      <c r="BE143" s="67">
        <f>IFERROR(IF(($AV143)&gt;0,($AY143)/($AV143),""),"")</f>
        <v/>
      </c>
      <c r="BF143" s="67">
        <f>IFERROR(IF(($AW143)&gt;0,($AZ143)/($AW143),""),"")</f>
        <v/>
      </c>
      <c r="BG143" s="67">
        <f>IFERROR(IF(($AX143)&gt;0,($BA143)/($AX143),""),"")</f>
        <v/>
      </c>
      <c r="BH143" s="57">
        <f>SUMIFS(tblFleet[Calendar_h],tblFleet[Date],$A143,tblFleet[Equipment_Class],"Haul Truck")</f>
        <v/>
      </c>
      <c r="BI143" s="57">
        <f>IF($B143=$B142,$BI142,0)+$BH143</f>
        <v/>
      </c>
      <c r="BJ143" s="57">
        <f>$BJ142+$BH143</f>
        <v/>
      </c>
      <c r="BK143" s="57">
        <f>SUMIFS(tblFleet[Available_h],tblFleet[Date],$A143,tblFleet[Equipment_Class],"Haul Truck")</f>
        <v/>
      </c>
      <c r="BL143" s="57">
        <f>IF($B143=$B142,$BL142,0)+$BK143</f>
        <v/>
      </c>
      <c r="BM143" s="57">
        <f>$BM142+$BK143</f>
        <v/>
      </c>
      <c r="BN143" s="57">
        <f>SUMIFS(tblFleet[Operating_h],tblFleet[Date],$A143,tblFleet[Equipment_Class],"Haul Truck")</f>
        <v/>
      </c>
      <c r="BO143" s="57">
        <f>IF($B143=$B142,$BO142,0)+$BN143</f>
        <v/>
      </c>
      <c r="BP143" s="57">
        <f>$BP142+$BN143</f>
        <v/>
      </c>
      <c r="BQ143" s="67">
        <f>IFERROR(IF(($BH143)&gt;0,($BK143)/($BH143),""),"")</f>
        <v/>
      </c>
      <c r="BR143" s="67">
        <f>IFERROR(IF(($BI143)&gt;0,($BL143)/($BI143),""),"")</f>
        <v/>
      </c>
      <c r="BS143" s="67">
        <f>IFERROR(IF(($BJ143)&gt;0,($BM143)/($BJ143),""),"")</f>
        <v/>
      </c>
      <c r="BT143" s="67">
        <f>IFERROR(IF(($BK143)&gt;0,($BN143)/($BK143),""),"")</f>
        <v/>
      </c>
      <c r="BU143" s="67">
        <f>IFERROR(IF(($BL143)&gt;0,($BO143)/($BL143),""),"")</f>
        <v/>
      </c>
      <c r="BV143" s="67">
        <f>IFERROR(IF(($BM143)&gt;0,($BP143)/($BM143),""),"")</f>
        <v/>
      </c>
      <c r="BW143" s="55">
        <f>SUMIFS(tblPlant[Crushed_t],tblPlant[Date],$A143)</f>
        <v/>
      </c>
      <c r="BX143" s="55">
        <f>IF($B143=$B142,$BX142,0)+$BW143</f>
        <v/>
      </c>
      <c r="BY143" s="55">
        <f>$BY142+$BW143</f>
        <v/>
      </c>
      <c r="BZ143" s="55">
        <f>SUMIFS(tblPlant[Milled_t],tblPlant[Date],$A143)</f>
        <v/>
      </c>
      <c r="CA143" s="55">
        <f>IF($B143=$B142,$CA142,0)+$BZ143</f>
        <v/>
      </c>
      <c r="CB143" s="55">
        <f>$CB142+$BZ143</f>
        <v/>
      </c>
      <c r="CC143" s="55">
        <f>SUMIFS(tblPlant[Feed_oz],tblPlant[Date],$A143)</f>
        <v/>
      </c>
      <c r="CD143" s="55">
        <f>IF($B143=$B142,$CD142,0)+$CC143</f>
        <v/>
      </c>
      <c r="CE143" s="55">
        <f>$CE142+$CC143</f>
        <v/>
      </c>
      <c r="CF143" s="55">
        <f>SUMIFS(tblPlant[Tails_oz],tblPlant[Date],$A143)</f>
        <v/>
      </c>
      <c r="CG143" s="55">
        <f>IF($B143=$B142,$CG142,0)+$CF143</f>
        <v/>
      </c>
      <c r="CH143" s="55">
        <f>$CH142+$CF143</f>
        <v/>
      </c>
      <c r="CI143" s="55">
        <f>SUMIFS(tblPlant[Recovered_oz],tblPlant[Date],$A143)</f>
        <v/>
      </c>
      <c r="CJ143" s="55">
        <f>IF($B143=$B142,$CJ142,0)+$CI143</f>
        <v/>
      </c>
      <c r="CK143" s="55">
        <f>$CK142+$CI143</f>
        <v/>
      </c>
      <c r="CL143" s="56">
        <f>IFERROR(IF(($BZ143)&gt;0,($CC143*cfg_TroyOz)/($BZ143),""),"")</f>
        <v/>
      </c>
      <c r="CM143" s="56">
        <f>IFERROR(IF(($CA143)&gt;0,($CD143*cfg_TroyOz)/($CA143),""),"")</f>
        <v/>
      </c>
      <c r="CN143" s="56">
        <f>IFERROR(IF(($CB143)&gt;0,($CE143*cfg_TroyOz)/($CB143),""),"")</f>
        <v/>
      </c>
      <c r="CO143" s="56">
        <f>IFERROR(IF(($BZ143)&gt;0,($CF143*cfg_TroyOz)/($BZ143),""),"")</f>
        <v/>
      </c>
      <c r="CP143" s="56">
        <f>IFERROR(IF(($CA143)&gt;0,($CG143*cfg_TroyOz)/($CA143),""),"")</f>
        <v/>
      </c>
      <c r="CQ143" s="56">
        <f>IFERROR(IF(($CB143)&gt;0,($CH143*cfg_TroyOz)/($CB143),""),"")</f>
        <v/>
      </c>
      <c r="CR143" s="67">
        <f>IFERROR(IF(($CC143)&gt;0,($CI143)/($CC143),""),"")</f>
        <v/>
      </c>
      <c r="CS143" s="67">
        <f>IFERROR(IF(($CD143)&gt;0,($CJ143)/($CD143),""),"")</f>
        <v/>
      </c>
      <c r="CT143" s="67">
        <f>IFERROR(IF(($CE143)&gt;0,($CK143)/($CE143),""),"")</f>
        <v/>
      </c>
      <c r="CU143" s="55">
        <f>SUMIFS(tblPlant[Gravity_Gold_oz],tblPlant[Date],$A143)</f>
        <v/>
      </c>
      <c r="CV143" s="55">
        <f>IF($B143=$B142,$CV142,0)+$CU143</f>
        <v/>
      </c>
      <c r="CW143" s="55">
        <f>$CW142+$CU143</f>
        <v/>
      </c>
      <c r="CX143" s="55">
        <f>SUMIFS(tblPlant[Gold_Poured_oz],tblPlant[Date],$A143)</f>
        <v/>
      </c>
      <c r="CY143" s="55">
        <f>IF($B143=$B142,$CY142,0)+$CX143</f>
        <v/>
      </c>
      <c r="CZ143" s="55">
        <f>$CZ142+$CX143</f>
        <v/>
      </c>
      <c r="DA143" s="57">
        <f>SUMIFS(tblPlant[Mill_Run_h],tblPlant[Date],$A143)</f>
        <v/>
      </c>
      <c r="DB143" s="57">
        <f>IF($B143=$B142,$DB142,0)+$DA143</f>
        <v/>
      </c>
      <c r="DC143" s="57">
        <f>$DC142+$DA143</f>
        <v/>
      </c>
      <c r="DD143" s="57">
        <f>SUMIFS(tblPlant[Mill_Planned_Maint_h],tblPlant[Date],$A143)</f>
        <v/>
      </c>
      <c r="DE143" s="57">
        <f>IF($B143=$B142,$DE142,0)+$DD143</f>
        <v/>
      </c>
      <c r="DF143" s="57">
        <f>$DF142+$DD143</f>
        <v/>
      </c>
      <c r="DG143" s="57">
        <f>SUMIFS(tblPlant[Mill_Unplanned_Down_h],tblPlant[Date],$A143)</f>
        <v/>
      </c>
      <c r="DH143" s="57">
        <f>IF($B143=$B142,$DH142,0)+$DG143</f>
        <v/>
      </c>
      <c r="DI143" s="57">
        <f>$DI142+$DG143</f>
        <v/>
      </c>
      <c r="DJ143" s="57">
        <f>COUNTIFS(tblPlant[Date],$A143,tblPlant[Mill_Run_h],"&lt;&gt;")*24</f>
        <v/>
      </c>
      <c r="DK143" s="57">
        <f>IF($B143=$B142,$DK142,0)+$DJ143</f>
        <v/>
      </c>
      <c r="DL143" s="57">
        <f>$DL142+$DJ143</f>
        <v/>
      </c>
      <c r="DM143" s="57">
        <f>SUMIFS(tblPlant[Crusher_Run_h],tblPlant[Date],$A143)</f>
        <v/>
      </c>
      <c r="DN143" s="57">
        <f>IF($B143=$B142,$DN142,0)+$DM143</f>
        <v/>
      </c>
      <c r="DO143" s="57">
        <f>$DO142+$DM143</f>
        <v/>
      </c>
      <c r="DP143" s="55">
        <f>IFERROR(IF(($DA143)&gt;0,($BZ143)/($DA143),""),"")</f>
        <v/>
      </c>
      <c r="DQ143" s="55">
        <f>IFERROR(IF(($DB143)&gt;0,($CA143)/($DB143),""),"")</f>
        <v/>
      </c>
      <c r="DR143" s="55">
        <f>IFERROR(IF(($DC143)&gt;0,($CB143)/($DC143),""),"")</f>
        <v/>
      </c>
      <c r="DS143" s="67">
        <f>IFERROR(IF(($DJ143)&gt;0,($DJ143-$DD143-$DG143)/($DJ143),""),"")</f>
        <v/>
      </c>
      <c r="DT143" s="67">
        <f>IFERROR(IF(($DK143)&gt;0,($DK143-$DE143-$DH143)/($DK143),""),"")</f>
        <v/>
      </c>
      <c r="DU143" s="67">
        <f>IFERROR(IF(($DL143)&gt;0,($DL143-$DF143-$DI143)/($DL143),""),"")</f>
        <v/>
      </c>
      <c r="DV143" s="67">
        <f>IFERROR(IF(($DJ143-$DD143-$DG143)&gt;0,($DA143)/($DJ143-$DD143-$DG143),""),"")</f>
        <v/>
      </c>
      <c r="DW143" s="67">
        <f>IFERROR(IF(($DK143-$DE143-$DH143)&gt;0,($DB143)/($DK143-$DE143-$DH143),""),"")</f>
        <v/>
      </c>
      <c r="DX143" s="67">
        <f>IFERROR(IF(($DL143-$DF143-$DI143)&gt;0,($DC143)/($DL143-$DF143-$DI143),""),"")</f>
        <v/>
      </c>
      <c r="DY143" s="55">
        <f>SUMIFS(tblPlant[Cyanide_kg],tblPlant[Date],$A143)</f>
        <v/>
      </c>
      <c r="DZ143" s="55">
        <f>IF($B143=$B142,$DZ142,0)+$DY143</f>
        <v/>
      </c>
      <c r="EA143" s="55">
        <f>$EA142+$DY143</f>
        <v/>
      </c>
      <c r="EB143" s="55">
        <f>SUMIFS(tblPlant[Lime_kg],tblPlant[Date],$A143)</f>
        <v/>
      </c>
      <c r="EC143" s="55">
        <f>IF($B143=$B142,$EC142,0)+$EB143</f>
        <v/>
      </c>
      <c r="ED143" s="55">
        <f>$ED142+$EB143</f>
        <v/>
      </c>
      <c r="EE143" s="55">
        <f>SUMIFS(tblPlant[Grinding_Media_kg],tblPlant[Date],$A143)</f>
        <v/>
      </c>
      <c r="EF143" s="55">
        <f>IF($B143=$B142,$EF142,0)+$EE143</f>
        <v/>
      </c>
      <c r="EG143" s="55">
        <f>$EG142+$EE143</f>
        <v/>
      </c>
      <c r="EH143" s="55">
        <f>SUMIFS(tblPlant[Power_kWh],tblPlant[Date],$A143)</f>
        <v/>
      </c>
      <c r="EI143" s="55">
        <f>IF($B143=$B142,$EI142,0)+$EH143</f>
        <v/>
      </c>
      <c r="EJ143" s="55">
        <f>$EJ142+$EH143</f>
        <v/>
      </c>
      <c r="EK143" s="55">
        <f>SUMIFS(tblPlant[Raw_Water_m3],tblPlant[Date],$A143)</f>
        <v/>
      </c>
      <c r="EL143" s="55">
        <f>IF($B143=$B142,$EL142,0)+$EK143</f>
        <v/>
      </c>
      <c r="EM143" s="55">
        <f>$EM142+$EK143</f>
        <v/>
      </c>
      <c r="EN143" s="56">
        <f>IFERROR(IF(($BZ143)&gt;0,($DY143)/($BZ143),""),"")</f>
        <v/>
      </c>
      <c r="EO143" s="56">
        <f>IFERROR(IF(($CA143)&gt;0,($DZ143)/($CA143),""),"")</f>
        <v/>
      </c>
      <c r="EP143" s="56">
        <f>IFERROR(IF(($CB143)&gt;0,($EA143)/($CB143),""),"")</f>
        <v/>
      </c>
      <c r="EQ143" s="56">
        <f>IFERROR(IF(($BZ143)&gt;0,($EB143)/($BZ143),""),"")</f>
        <v/>
      </c>
      <c r="ER143" s="56">
        <f>IFERROR(IF(($CA143)&gt;0,($EC143)/($CA143),""),"")</f>
        <v/>
      </c>
      <c r="ES143" s="56">
        <f>IFERROR(IF(($CB143)&gt;0,($ED143)/($CB143),""),"")</f>
        <v/>
      </c>
      <c r="ET143" s="56">
        <f>IFERROR(IF(($BZ143)&gt;0,($EE143)/($BZ143),""),"")</f>
        <v/>
      </c>
      <c r="EU143" s="56">
        <f>IFERROR(IF(($CA143)&gt;0,($EF143)/($CA143),""),"")</f>
        <v/>
      </c>
      <c r="EV143" s="56">
        <f>IFERROR(IF(($CB143)&gt;0,($EG143)/($CB143),""),"")</f>
        <v/>
      </c>
      <c r="EW143" s="76">
        <f>IFERROR(IF(($BZ143)&gt;0,($EH143)/($BZ143),""),"")</f>
        <v/>
      </c>
      <c r="EX143" s="76">
        <f>IFERROR(IF(($CA143)&gt;0,($EI143)/($CA143),""),"")</f>
        <v/>
      </c>
      <c r="EY143" s="76">
        <f>IFERROR(IF(($CB143)&gt;0,($EJ143)/($CB143),""),"")</f>
        <v/>
      </c>
      <c r="EZ143" s="56">
        <f>IFERROR(IF(($BZ143)&gt;0,($EK143)/($BZ143),""),"")</f>
        <v/>
      </c>
      <c r="FA143" s="56">
        <f>IFERROR(IF(($CA143)&gt;0,($EL143)/($CA143),""),"")</f>
        <v/>
      </c>
      <c r="FB143" s="56">
        <f>IFERROR(IF(($CB143)&gt;0,($EM143)/($CB143),""),"")</f>
        <v/>
      </c>
      <c r="FC143" s="55">
        <f>IF(SUMIFS(tblPlant[GIC_oz],tblPlant[Date],$A143)&gt;0,SUMIFS(tblPlant[GIC_oz],tblPlant[Date],$A143),"")</f>
        <v/>
      </c>
      <c r="FD143" s="55">
        <f>SUMIFS(tblGold[Gold_oz],tblGold[Date],$A143,tblGold[Type],"Shipment")</f>
        <v/>
      </c>
      <c r="FE143" s="55">
        <f>IF($B143=$B142,$FE142,0)+$FD143</f>
        <v/>
      </c>
      <c r="FF143" s="55">
        <f>$FF142+$FD143</f>
        <v/>
      </c>
      <c r="FG143" s="55">
        <f>SUMIFS(tblGold[Gold_oz],tblGold[Date],$A143,tblGold[Type],"Sale")</f>
        <v/>
      </c>
      <c r="FH143" s="55">
        <f>IF($B143=$B142,$FH142,0)+$FG143</f>
        <v/>
      </c>
      <c r="FI143" s="55">
        <f>$FI142+$FG143</f>
        <v/>
      </c>
      <c r="FJ143" s="55">
        <f>SUMIFS(tblGold[Dore_kg],tblGold[Date],$A143,tblGold[Type],"Shipment")</f>
        <v/>
      </c>
      <c r="FK143" s="55">
        <f>IF($B143=$B142,$FK142,0)+$FJ143</f>
        <v/>
      </c>
      <c r="FL143" s="55">
        <f>$FL142+$FJ143</f>
        <v/>
      </c>
      <c r="FM143" s="57">
        <f>SUMIFS(tblSafety[Hours_Total],tblSafety[Date],$A143)</f>
        <v/>
      </c>
      <c r="FN143" s="57">
        <f>IF($B143=$B142,$FN142,0)+$FM143</f>
        <v/>
      </c>
      <c r="FO143" s="57">
        <f>$FO142+$FM143</f>
        <v/>
      </c>
      <c r="FP143" s="62">
        <f>SUMIFS(tblSafety[Fatality],tblSafety[Date],$A143)</f>
        <v/>
      </c>
      <c r="FQ143" s="62">
        <f>IF($B143=$B142,$FQ142,0)+$FP143</f>
        <v/>
      </c>
      <c r="FR143" s="62">
        <f>$FR142+$FP143</f>
        <v/>
      </c>
      <c r="FS143" s="62">
        <f>SUMIFS(tblSafety[LTI],tblSafety[Date],$A143)</f>
        <v/>
      </c>
      <c r="FT143" s="62">
        <f>IF($B143=$B142,$FT142,0)+$FS143</f>
        <v/>
      </c>
      <c r="FU143" s="62">
        <f>$FU142+$FS143</f>
        <v/>
      </c>
      <c r="FV143" s="62">
        <f>SUMIFS(tblSafety[RWI],tblSafety[Date],$A143)</f>
        <v/>
      </c>
      <c r="FW143" s="62">
        <f>IF($B143=$B142,$FW142,0)+$FV143</f>
        <v/>
      </c>
      <c r="FX143" s="62">
        <f>$FX142+$FV143</f>
        <v/>
      </c>
      <c r="FY143" s="62">
        <f>SUMIFS(tblSafety[MTI],tblSafety[Date],$A143)</f>
        <v/>
      </c>
      <c r="FZ143" s="62">
        <f>IF($B143=$B142,$FZ142,0)+$FY143</f>
        <v/>
      </c>
      <c r="GA143" s="62">
        <f>$GA142+$FY143</f>
        <v/>
      </c>
      <c r="GB143" s="62">
        <f>SUMIFS(tblSafety[FAI],tblSafety[Date],$A143)</f>
        <v/>
      </c>
      <c r="GC143" s="62">
        <f>IF($B143=$B142,$GC142,0)+$GB143</f>
        <v/>
      </c>
      <c r="GD143" s="62">
        <f>$GD142+$GB143</f>
        <v/>
      </c>
      <c r="GE143" s="62">
        <f>SUMIFS(tblSafety[Recordables],tblSafety[Date],$A143)</f>
        <v/>
      </c>
      <c r="GF143" s="62">
        <f>IF($B143=$B142,$GF142,0)+$GE143</f>
        <v/>
      </c>
      <c r="GG143" s="62">
        <f>$GG142+$GE143</f>
        <v/>
      </c>
      <c r="GH143" s="62">
        <f>SUMIFS(tblSafety[Near_Miss],tblSafety[Date],$A143)</f>
        <v/>
      </c>
      <c r="GI143" s="62">
        <f>IF($B143=$B142,$GI142,0)+$GH143</f>
        <v/>
      </c>
      <c r="GJ143" s="62">
        <f>$GJ142+$GH143</f>
        <v/>
      </c>
      <c r="GK143" s="62">
        <f>SUMIFS(tblSafety[Hazard_Reports],tblSafety[Date],$A143)</f>
        <v/>
      </c>
      <c r="GL143" s="62">
        <f>IF($B143=$B142,$GL142,0)+$GK143</f>
        <v/>
      </c>
      <c r="GM143" s="62">
        <f>$GM142+$GK143</f>
        <v/>
      </c>
      <c r="GN143" s="62">
        <f>SUMIFS(tblSafety[HPI],tblSafety[Date],$A143)</f>
        <v/>
      </c>
      <c r="GO143" s="62">
        <f>IF($B143=$B142,$GO142,0)+$GN143</f>
        <v/>
      </c>
      <c r="GP143" s="62">
        <f>$GP142+$GN143</f>
        <v/>
      </c>
      <c r="GQ143" s="62">
        <f>SUMIFS(tblSafety[Env_Incidents],tblSafety[Date],$A143)</f>
        <v/>
      </c>
      <c r="GR143" s="62">
        <f>IF($B143=$B142,$GR142,0)+$GQ143</f>
        <v/>
      </c>
      <c r="GS143" s="62">
        <f>$GS142+$GQ143</f>
        <v/>
      </c>
      <c r="GT143" s="62">
        <f>SUMIFS(tblSafety[Community_Incidents],tblSafety[Date],$A143)</f>
        <v/>
      </c>
      <c r="GU143" s="62">
        <f>IF($B143=$B142,$GU142,0)+$GT143</f>
        <v/>
      </c>
      <c r="GV143" s="62">
        <f>$GV142+$GT143</f>
        <v/>
      </c>
      <c r="GW143" s="62">
        <f>SUMIFS(tblSafety[Vehicle_Incidents],tblSafety[Date],$A143)</f>
        <v/>
      </c>
      <c r="GX143" s="62">
        <f>IF($B143=$B142,$GX142,0)+$GW143</f>
        <v/>
      </c>
      <c r="GY143" s="62">
        <f>$GY142+$GW143</f>
        <v/>
      </c>
      <c r="GZ143" s="62">
        <f>SUMIFS(tblSafety[Toolbox_Talks],tblSafety[Date],$A143)</f>
        <v/>
      </c>
      <c r="HA143" s="62">
        <f>IF($B143=$B142,$HA142,0)+$GZ143</f>
        <v/>
      </c>
      <c r="HB143" s="62">
        <f>$HB142+$GZ143</f>
        <v/>
      </c>
      <c r="HC143" s="62">
        <f>SUMIFS(tblSafety[Inspections],tblSafety[Date],$A143)</f>
        <v/>
      </c>
      <c r="HD143" s="62">
        <f>IF($B143=$B142,$HD142,0)+$HC143</f>
        <v/>
      </c>
      <c r="HE143" s="62">
        <f>$HE142+$HC143</f>
        <v/>
      </c>
      <c r="HF143" s="56">
        <f>IFERROR((SUMIFS(tblSafety[Recordables],tblSafety[Date],"&gt;="&amp;EDATE($E143,-12),tblSafety[Date],"&lt;="&amp;$A143)+SUMIFS(tblSafetyHistory[Recordables],tblSafetyHistory[Month],"&gt;="&amp;EDATE($E143,-12),tblSafetyHistory[Month],"&lt;"&amp;cfg_YearStart))/(SUMIFS(tblSafety[Hours_Total],tblSafety[Date],"&gt;="&amp;EDATE($E143,-12),tblSafety[Date],"&lt;="&amp;$A143)+SUMIFS(tblSafetyHistory[Hours_Total],tblSafetyHistory[Month],"&gt;="&amp;EDATE($E143,-12),tblSafetyHistory[Month],"&lt;"&amp;cfg_YearStart))*1000000,"")</f>
        <v/>
      </c>
      <c r="HG143" s="56">
        <f>IFERROR((SUMIFS(tblSafety[LTI],tblSafety[Date],"&gt;="&amp;EDATE($E143,-12),tblSafety[Date],"&lt;="&amp;$A143)+SUMIFS(tblSafetyHistory[LTI],tblSafetyHistory[Month],"&gt;="&amp;EDATE($E143,-12),tblSafetyHistory[Month],"&lt;"&amp;cfg_YearStart))/(SUMIFS(tblSafety[Hours_Total],tblSafety[Date],"&gt;="&amp;EDATE($E143,-12),tblSafety[Date],"&lt;="&amp;$A143)+SUMIFS(tblSafetyHistory[Hours_Total],tblSafetyHistory[Month],"&gt;="&amp;EDATE($E143,-12),tblSafetyHistory[Month],"&lt;"&amp;cfg_YearStart))*1000000,"")</f>
        <v/>
      </c>
      <c r="HH143" s="62">
        <f>IF(MAX(N(cfg_PriorLTIDate),_xlfn.MAXIFS(tblSafety[Date],tblSafety[LTI],"&gt;0",tblSafety[Date],"&lt;="&amp;$A143))=0,"",$A143-MAX(N(cfg_PriorLTIDate),_xlfn.MAXIFS(tblSafety[Date],tblSafety[LTI],"&gt;0",tblSafety[Date],"&lt;="&amp;$A143)))</f>
        <v/>
      </c>
      <c r="HI143" s="55">
        <f>SUMIFS(tblBudget[Ore_Mined_t],tblBudget[Month],$E143)</f>
        <v/>
      </c>
      <c r="HJ143" s="55">
        <f>$HI143*$C143/$D143</f>
        <v/>
      </c>
      <c r="HK143" s="55">
        <f>SUMIFS(tblBudget[Ore_Mined_t],tblBudget[Month],"&lt;"&amp;$E143)+$HJ143</f>
        <v/>
      </c>
      <c r="HL143" s="55">
        <f>SUMIFS(tblBudget[Ore_oz],tblBudget[Month],$E143)</f>
        <v/>
      </c>
      <c r="HM143" s="55">
        <f>$HL143*$C143/$D143</f>
        <v/>
      </c>
      <c r="HN143" s="55">
        <f>SUMIFS(tblBudget[Ore_oz],tblBudget[Month],"&lt;"&amp;$E143)+$HM143</f>
        <v/>
      </c>
      <c r="HO143" s="56">
        <f>IFERROR(IF(($HI143)&gt;0,($HL143*cfg_TroyOz)/($HI143),""),"")</f>
        <v/>
      </c>
      <c r="HP143" s="56">
        <f>IFERROR(IF(($HJ143)&gt;0,($HM143*cfg_TroyOz)/($HJ143),""),"")</f>
        <v/>
      </c>
      <c r="HQ143" s="56">
        <f>IFERROR(IF(($HK143)&gt;0,($HN143*cfg_TroyOz)/($HK143),""),"")</f>
        <v/>
      </c>
      <c r="HR143" s="55">
        <f>SUMIFS(tblBudget[Waste_t],tblBudget[Month],$E143)</f>
        <v/>
      </c>
      <c r="HS143" s="55">
        <f>$HR143*$C143/$D143</f>
        <v/>
      </c>
      <c r="HT143" s="55">
        <f>SUMIFS(tblBudget[Waste_t],tblBudget[Month],"&lt;"&amp;$E143)+$HS143</f>
        <v/>
      </c>
      <c r="HU143" s="55">
        <f>SUMIFS(tblBudget[TMM_t],tblBudget[Month],$E143)</f>
        <v/>
      </c>
      <c r="HV143" s="55">
        <f>$HU143*$C143/$D143</f>
        <v/>
      </c>
      <c r="HW143" s="55">
        <f>SUMIFS(tblBudget[TMM_t],tblBudget[Month],"&lt;"&amp;$E143)+$HV143</f>
        <v/>
      </c>
      <c r="HX143" s="56">
        <f>IFERROR(IF(($HI143)&gt;0,($HR143)/($HI143),""),"")</f>
        <v/>
      </c>
      <c r="HY143" s="56">
        <f>IFERROR(IF(($HJ143)&gt;0,($HS143)/($HJ143),""),"")</f>
        <v/>
      </c>
      <c r="HZ143" s="56">
        <f>IFERROR(IF(($HK143)&gt;0,($HT143)/($HK143),""),"")</f>
        <v/>
      </c>
      <c r="IA143" s="55">
        <f>SUMIFS(tblBudget[Drill_m],tblBudget[Month],$E143)</f>
        <v/>
      </c>
      <c r="IB143" s="55">
        <f>$IA143*$C143/$D143</f>
        <v/>
      </c>
      <c r="IC143" s="55">
        <f>SUMIFS(tblBudget[Drill_m],tblBudget[Month],"&lt;"&amp;$E143)+$IB143</f>
        <v/>
      </c>
      <c r="ID143" s="55">
        <f>SUMIFS(tblBudget[Diesel_L],tblBudget[Month],$E143)</f>
        <v/>
      </c>
      <c r="IE143" s="55">
        <f>$ID143*$C143/$D143</f>
        <v/>
      </c>
      <c r="IF143" s="55">
        <f>SUMIFS(tblBudget[Diesel_L],tblBudget[Month],"&lt;"&amp;$E143)+$IE143</f>
        <v/>
      </c>
      <c r="IG143" s="55">
        <f>SUMIFS(tblBudget[Milled_t],tblBudget[Month],$E143)</f>
        <v/>
      </c>
      <c r="IH143" s="55">
        <f>$IG143*$C143/$D143</f>
        <v/>
      </c>
      <c r="II143" s="55">
        <f>SUMIFS(tblBudget[Milled_t],tblBudget[Month],"&lt;"&amp;$E143)+$IH143</f>
        <v/>
      </c>
      <c r="IJ143" s="55">
        <f>SUMIFS(tblBudget[Feed_oz],tblBudget[Month],$E143)</f>
        <v/>
      </c>
      <c r="IK143" s="55">
        <f>$IJ143*$C143/$D143</f>
        <v/>
      </c>
      <c r="IL143" s="55">
        <f>SUMIFS(tblBudget[Feed_oz],tblBudget[Month],"&lt;"&amp;$E143)+$IK143</f>
        <v/>
      </c>
      <c r="IM143" s="55">
        <f>SUMIFS(tblBudget[Recovered_oz],tblBudget[Month],$E143)</f>
        <v/>
      </c>
      <c r="IN143" s="55">
        <f>$IM143*$C143/$D143</f>
        <v/>
      </c>
      <c r="IO143" s="55">
        <f>SUMIFS(tblBudget[Recovered_oz],tblBudget[Month],"&lt;"&amp;$E143)+$IN143</f>
        <v/>
      </c>
      <c r="IP143" s="56">
        <f>IFERROR(IF(($IG143)&gt;0,($IJ143*cfg_TroyOz)/($IG143),""),"")</f>
        <v/>
      </c>
      <c r="IQ143" s="56">
        <f>IFERROR(IF(($IH143)&gt;0,($IK143*cfg_TroyOz)/($IH143),""),"")</f>
        <v/>
      </c>
      <c r="IR143" s="56">
        <f>IFERROR(IF(($II143)&gt;0,($IL143*cfg_TroyOz)/($II143),""),"")</f>
        <v/>
      </c>
      <c r="IS143" s="67">
        <f>IFERROR(IF(($IJ143)&gt;0,($IM143)/($IJ143),""),"")</f>
        <v/>
      </c>
      <c r="IT143" s="67">
        <f>IFERROR(IF(($IK143)&gt;0,($IN143)/($IK143),""),"")</f>
        <v/>
      </c>
      <c r="IU143" s="67">
        <f>IFERROR(IF(($IL143)&gt;0,($IO143)/($IL143),""),"")</f>
        <v/>
      </c>
      <c r="IV143" s="55">
        <f>SUMIFS(tblBudget[Gold_Poured_oz],tblBudget[Month],$E143)</f>
        <v/>
      </c>
      <c r="IW143" s="55">
        <f>$IV143*$C143/$D143</f>
        <v/>
      </c>
      <c r="IX143" s="55">
        <f>SUMIFS(tblBudget[Gold_Poured_oz],tblBudget[Month],"&lt;"&amp;$E143)+$IW143</f>
        <v/>
      </c>
      <c r="IY143" s="57">
        <f>SUMIFS(tblBudget[Hours_Worked],tblBudget[Month],$E143)</f>
        <v/>
      </c>
      <c r="IZ143" s="57">
        <f>$IY143*$C143/$D143</f>
        <v/>
      </c>
      <c r="JA143" s="57">
        <f>SUMIFS(tblBudget[Hours_Worked],tblBudget[Month],"&lt;"&amp;$E143)+$IZ143</f>
        <v/>
      </c>
    </row>
    <row r="144">
      <c r="A144" s="54" t="n">
        <v>46165</v>
      </c>
      <c r="B144">
        <f>MONTH($A144)</f>
        <v/>
      </c>
      <c r="C144">
        <f>DAY($A144)</f>
        <v/>
      </c>
      <c r="D144">
        <f>DAY(EOMONTH($A144,0))</f>
        <v/>
      </c>
      <c r="E144" s="54">
        <f>DATE(YEAR($A144),MONTH($A144),1)</f>
        <v/>
      </c>
      <c r="F144" s="55">
        <f>SUMIFS(tblMovement[Tonnes_t],tblMovement[Date],$A144,tblMovement[Is_Ore],1,tblMovement[Source_Type],"Pit")</f>
        <v/>
      </c>
      <c r="G144" s="55">
        <f>IF($B144=$B143,$G143,0)+$F144</f>
        <v/>
      </c>
      <c r="H144" s="55">
        <f>$H143+$F144</f>
        <v/>
      </c>
      <c r="I144" s="55">
        <f>SUMIFS(tblMovement[Ore_oz],tblMovement[Date],$A144,tblMovement[Source_Type],"Pit")</f>
        <v/>
      </c>
      <c r="J144" s="55">
        <f>IF($B144=$B143,$J143,0)+$I144</f>
        <v/>
      </c>
      <c r="K144" s="55">
        <f>$K143+$I144</f>
        <v/>
      </c>
      <c r="L144" s="56">
        <f>IFERROR(IF(($F144)&gt;0,($I144*cfg_TroyOz)/($F144),""),"")</f>
        <v/>
      </c>
      <c r="M144" s="56">
        <f>IFERROR(IF(($G144)&gt;0,($J144*cfg_TroyOz)/($G144),""),"")</f>
        <v/>
      </c>
      <c r="N144" s="56">
        <f>IFERROR(IF(($H144)&gt;0,($K144*cfg_TroyOz)/($H144),""),"")</f>
        <v/>
      </c>
      <c r="O144" s="55">
        <f>SUMIFS(tblMovement[Tonnes_t],tblMovement[Date],$A144,tblMovement[Is_Ore],0,tblMovement[Source_Type],"Pit")</f>
        <v/>
      </c>
      <c r="P144" s="55">
        <f>IF($B144=$B143,$P143,0)+$O144</f>
        <v/>
      </c>
      <c r="Q144" s="55">
        <f>$Q143+$O144</f>
        <v/>
      </c>
      <c r="R144" s="55">
        <f>$F144+$O144</f>
        <v/>
      </c>
      <c r="S144" s="55">
        <f>IF($B144=$B143,$S143,0)+$R144</f>
        <v/>
      </c>
      <c r="T144" s="55">
        <f>$T143+$R144</f>
        <v/>
      </c>
      <c r="U144" s="56">
        <f>IFERROR(IF(($F144)&gt;0,($O144)/($F144),""),"")</f>
        <v/>
      </c>
      <c r="V144" s="56">
        <f>IFERROR(IF(($G144)&gt;0,($P144)/($G144),""),"")</f>
        <v/>
      </c>
      <c r="W144" s="56">
        <f>IFERROR(IF(($H144)&gt;0,($Q144)/($H144),""),"")</f>
        <v/>
      </c>
      <c r="X144" s="55">
        <f>SUMIFS(tblMovement[Tonnes_t],tblMovement[Date],$A144,tblMovement[Source_Type],"Stockpile")</f>
        <v/>
      </c>
      <c r="Y144" s="55">
        <f>IF($B144=$B143,$Y143,0)+$X144</f>
        <v/>
      </c>
      <c r="Z144" s="55">
        <f>$Z143+$X144</f>
        <v/>
      </c>
      <c r="AA144" s="55">
        <f>SUMIFS(tblMiningDaily[Drill_m],tblMiningDaily[Date],$A144)</f>
        <v/>
      </c>
      <c r="AB144" s="55">
        <f>IF($B144=$B143,$AB143,0)+$AA144</f>
        <v/>
      </c>
      <c r="AC144" s="55">
        <f>$AC143+$AA144</f>
        <v/>
      </c>
      <c r="AD144" s="55">
        <f>SUMIFS(tblMiningDaily[Blast_t],tblMiningDaily[Date],$A144)</f>
        <v/>
      </c>
      <c r="AE144" s="55">
        <f>IF($B144=$B143,$AE143,0)+$AD144</f>
        <v/>
      </c>
      <c r="AF144" s="55">
        <f>$AF143+$AD144</f>
        <v/>
      </c>
      <c r="AG144" s="55">
        <f>SUMIFS(tblMiningDaily[Explosives_kg],tblMiningDaily[Date],$A144)</f>
        <v/>
      </c>
      <c r="AH144" s="55">
        <f>IF($B144=$B143,$AH143,0)+$AG144</f>
        <v/>
      </c>
      <c r="AI144" s="55">
        <f>$AI143+$AG144</f>
        <v/>
      </c>
      <c r="AJ144" s="56">
        <f>IFERROR(IF(($AD144)&gt;0,($AG144)/($AD144),""),"")</f>
        <v/>
      </c>
      <c r="AK144" s="56">
        <f>IFERROR(IF(($AE144)&gt;0,($AH144)/($AE144),""),"")</f>
        <v/>
      </c>
      <c r="AL144" s="56">
        <f>IFERROR(IF(($AF144)&gt;0,($AI144)/($AF144),""),"")</f>
        <v/>
      </c>
      <c r="AM144" s="55">
        <f>SUMIFS(tblMiningDaily[Diesel_L],tblMiningDaily[Date],$A144)</f>
        <v/>
      </c>
      <c r="AN144" s="55">
        <f>IF($B144=$B143,$AN143,0)+$AM144</f>
        <v/>
      </c>
      <c r="AO144" s="55">
        <f>$AO143+$AM144</f>
        <v/>
      </c>
      <c r="AP144" s="55">
        <f>SUMIFS(tblMiningDaily[Dewatering_m3],tblMiningDaily[Date],$A144)</f>
        <v/>
      </c>
      <c r="AQ144" s="55">
        <f>IF($B144=$B143,$AQ143,0)+$AP144</f>
        <v/>
      </c>
      <c r="AR144" s="55">
        <f>$AR143+$AP144</f>
        <v/>
      </c>
      <c r="AS144" s="57">
        <f>SUMIFS(tblFleet[Calendar_h],tblFleet[Date],$A144,tblFleet[Equipment_Class],"Excavator")</f>
        <v/>
      </c>
      <c r="AT144" s="57">
        <f>IF($B144=$B143,$AT143,0)+$AS144</f>
        <v/>
      </c>
      <c r="AU144" s="57">
        <f>$AU143+$AS144</f>
        <v/>
      </c>
      <c r="AV144" s="57">
        <f>SUMIFS(tblFleet[Available_h],tblFleet[Date],$A144,tblFleet[Equipment_Class],"Excavator")</f>
        <v/>
      </c>
      <c r="AW144" s="57">
        <f>IF($B144=$B143,$AW143,0)+$AV144</f>
        <v/>
      </c>
      <c r="AX144" s="57">
        <f>$AX143+$AV144</f>
        <v/>
      </c>
      <c r="AY144" s="57">
        <f>SUMIFS(tblFleet[Operating_h],tblFleet[Date],$A144,tblFleet[Equipment_Class],"Excavator")</f>
        <v/>
      </c>
      <c r="AZ144" s="57">
        <f>IF($B144=$B143,$AZ143,0)+$AY144</f>
        <v/>
      </c>
      <c r="BA144" s="57">
        <f>$BA143+$AY144</f>
        <v/>
      </c>
      <c r="BB144" s="67">
        <f>IFERROR(IF(($AS144)&gt;0,($AV144)/($AS144),""),"")</f>
        <v/>
      </c>
      <c r="BC144" s="67">
        <f>IFERROR(IF(($AT144)&gt;0,($AW144)/($AT144),""),"")</f>
        <v/>
      </c>
      <c r="BD144" s="67">
        <f>IFERROR(IF(($AU144)&gt;0,($AX144)/($AU144),""),"")</f>
        <v/>
      </c>
      <c r="BE144" s="67">
        <f>IFERROR(IF(($AV144)&gt;0,($AY144)/($AV144),""),"")</f>
        <v/>
      </c>
      <c r="BF144" s="67">
        <f>IFERROR(IF(($AW144)&gt;0,($AZ144)/($AW144),""),"")</f>
        <v/>
      </c>
      <c r="BG144" s="67">
        <f>IFERROR(IF(($AX144)&gt;0,($BA144)/($AX144),""),"")</f>
        <v/>
      </c>
      <c r="BH144" s="57">
        <f>SUMIFS(tblFleet[Calendar_h],tblFleet[Date],$A144,tblFleet[Equipment_Class],"Haul Truck")</f>
        <v/>
      </c>
      <c r="BI144" s="57">
        <f>IF($B144=$B143,$BI143,0)+$BH144</f>
        <v/>
      </c>
      <c r="BJ144" s="57">
        <f>$BJ143+$BH144</f>
        <v/>
      </c>
      <c r="BK144" s="57">
        <f>SUMIFS(tblFleet[Available_h],tblFleet[Date],$A144,tblFleet[Equipment_Class],"Haul Truck")</f>
        <v/>
      </c>
      <c r="BL144" s="57">
        <f>IF($B144=$B143,$BL143,0)+$BK144</f>
        <v/>
      </c>
      <c r="BM144" s="57">
        <f>$BM143+$BK144</f>
        <v/>
      </c>
      <c r="BN144" s="57">
        <f>SUMIFS(tblFleet[Operating_h],tblFleet[Date],$A144,tblFleet[Equipment_Class],"Haul Truck")</f>
        <v/>
      </c>
      <c r="BO144" s="57">
        <f>IF($B144=$B143,$BO143,0)+$BN144</f>
        <v/>
      </c>
      <c r="BP144" s="57">
        <f>$BP143+$BN144</f>
        <v/>
      </c>
      <c r="BQ144" s="67">
        <f>IFERROR(IF(($BH144)&gt;0,($BK144)/($BH144),""),"")</f>
        <v/>
      </c>
      <c r="BR144" s="67">
        <f>IFERROR(IF(($BI144)&gt;0,($BL144)/($BI144),""),"")</f>
        <v/>
      </c>
      <c r="BS144" s="67">
        <f>IFERROR(IF(($BJ144)&gt;0,($BM144)/($BJ144),""),"")</f>
        <v/>
      </c>
      <c r="BT144" s="67">
        <f>IFERROR(IF(($BK144)&gt;0,($BN144)/($BK144),""),"")</f>
        <v/>
      </c>
      <c r="BU144" s="67">
        <f>IFERROR(IF(($BL144)&gt;0,($BO144)/($BL144),""),"")</f>
        <v/>
      </c>
      <c r="BV144" s="67">
        <f>IFERROR(IF(($BM144)&gt;0,($BP144)/($BM144),""),"")</f>
        <v/>
      </c>
      <c r="BW144" s="55">
        <f>SUMIFS(tblPlant[Crushed_t],tblPlant[Date],$A144)</f>
        <v/>
      </c>
      <c r="BX144" s="55">
        <f>IF($B144=$B143,$BX143,0)+$BW144</f>
        <v/>
      </c>
      <c r="BY144" s="55">
        <f>$BY143+$BW144</f>
        <v/>
      </c>
      <c r="BZ144" s="55">
        <f>SUMIFS(tblPlant[Milled_t],tblPlant[Date],$A144)</f>
        <v/>
      </c>
      <c r="CA144" s="55">
        <f>IF($B144=$B143,$CA143,0)+$BZ144</f>
        <v/>
      </c>
      <c r="CB144" s="55">
        <f>$CB143+$BZ144</f>
        <v/>
      </c>
      <c r="CC144" s="55">
        <f>SUMIFS(tblPlant[Feed_oz],tblPlant[Date],$A144)</f>
        <v/>
      </c>
      <c r="CD144" s="55">
        <f>IF($B144=$B143,$CD143,0)+$CC144</f>
        <v/>
      </c>
      <c r="CE144" s="55">
        <f>$CE143+$CC144</f>
        <v/>
      </c>
      <c r="CF144" s="55">
        <f>SUMIFS(tblPlant[Tails_oz],tblPlant[Date],$A144)</f>
        <v/>
      </c>
      <c r="CG144" s="55">
        <f>IF($B144=$B143,$CG143,0)+$CF144</f>
        <v/>
      </c>
      <c r="CH144" s="55">
        <f>$CH143+$CF144</f>
        <v/>
      </c>
      <c r="CI144" s="55">
        <f>SUMIFS(tblPlant[Recovered_oz],tblPlant[Date],$A144)</f>
        <v/>
      </c>
      <c r="CJ144" s="55">
        <f>IF($B144=$B143,$CJ143,0)+$CI144</f>
        <v/>
      </c>
      <c r="CK144" s="55">
        <f>$CK143+$CI144</f>
        <v/>
      </c>
      <c r="CL144" s="56">
        <f>IFERROR(IF(($BZ144)&gt;0,($CC144*cfg_TroyOz)/($BZ144),""),"")</f>
        <v/>
      </c>
      <c r="CM144" s="56">
        <f>IFERROR(IF(($CA144)&gt;0,($CD144*cfg_TroyOz)/($CA144),""),"")</f>
        <v/>
      </c>
      <c r="CN144" s="56">
        <f>IFERROR(IF(($CB144)&gt;0,($CE144*cfg_TroyOz)/($CB144),""),"")</f>
        <v/>
      </c>
      <c r="CO144" s="56">
        <f>IFERROR(IF(($BZ144)&gt;0,($CF144*cfg_TroyOz)/($BZ144),""),"")</f>
        <v/>
      </c>
      <c r="CP144" s="56">
        <f>IFERROR(IF(($CA144)&gt;0,($CG144*cfg_TroyOz)/($CA144),""),"")</f>
        <v/>
      </c>
      <c r="CQ144" s="56">
        <f>IFERROR(IF(($CB144)&gt;0,($CH144*cfg_TroyOz)/($CB144),""),"")</f>
        <v/>
      </c>
      <c r="CR144" s="67">
        <f>IFERROR(IF(($CC144)&gt;0,($CI144)/($CC144),""),"")</f>
        <v/>
      </c>
      <c r="CS144" s="67">
        <f>IFERROR(IF(($CD144)&gt;0,($CJ144)/($CD144),""),"")</f>
        <v/>
      </c>
      <c r="CT144" s="67">
        <f>IFERROR(IF(($CE144)&gt;0,($CK144)/($CE144),""),"")</f>
        <v/>
      </c>
      <c r="CU144" s="55">
        <f>SUMIFS(tblPlant[Gravity_Gold_oz],tblPlant[Date],$A144)</f>
        <v/>
      </c>
      <c r="CV144" s="55">
        <f>IF($B144=$B143,$CV143,0)+$CU144</f>
        <v/>
      </c>
      <c r="CW144" s="55">
        <f>$CW143+$CU144</f>
        <v/>
      </c>
      <c r="CX144" s="55">
        <f>SUMIFS(tblPlant[Gold_Poured_oz],tblPlant[Date],$A144)</f>
        <v/>
      </c>
      <c r="CY144" s="55">
        <f>IF($B144=$B143,$CY143,0)+$CX144</f>
        <v/>
      </c>
      <c r="CZ144" s="55">
        <f>$CZ143+$CX144</f>
        <v/>
      </c>
      <c r="DA144" s="57">
        <f>SUMIFS(tblPlant[Mill_Run_h],tblPlant[Date],$A144)</f>
        <v/>
      </c>
      <c r="DB144" s="57">
        <f>IF($B144=$B143,$DB143,0)+$DA144</f>
        <v/>
      </c>
      <c r="DC144" s="57">
        <f>$DC143+$DA144</f>
        <v/>
      </c>
      <c r="DD144" s="57">
        <f>SUMIFS(tblPlant[Mill_Planned_Maint_h],tblPlant[Date],$A144)</f>
        <v/>
      </c>
      <c r="DE144" s="57">
        <f>IF($B144=$B143,$DE143,0)+$DD144</f>
        <v/>
      </c>
      <c r="DF144" s="57">
        <f>$DF143+$DD144</f>
        <v/>
      </c>
      <c r="DG144" s="57">
        <f>SUMIFS(tblPlant[Mill_Unplanned_Down_h],tblPlant[Date],$A144)</f>
        <v/>
      </c>
      <c r="DH144" s="57">
        <f>IF($B144=$B143,$DH143,0)+$DG144</f>
        <v/>
      </c>
      <c r="DI144" s="57">
        <f>$DI143+$DG144</f>
        <v/>
      </c>
      <c r="DJ144" s="57">
        <f>COUNTIFS(tblPlant[Date],$A144,tblPlant[Mill_Run_h],"&lt;&gt;")*24</f>
        <v/>
      </c>
      <c r="DK144" s="57">
        <f>IF($B144=$B143,$DK143,0)+$DJ144</f>
        <v/>
      </c>
      <c r="DL144" s="57">
        <f>$DL143+$DJ144</f>
        <v/>
      </c>
      <c r="DM144" s="57">
        <f>SUMIFS(tblPlant[Crusher_Run_h],tblPlant[Date],$A144)</f>
        <v/>
      </c>
      <c r="DN144" s="57">
        <f>IF($B144=$B143,$DN143,0)+$DM144</f>
        <v/>
      </c>
      <c r="DO144" s="57">
        <f>$DO143+$DM144</f>
        <v/>
      </c>
      <c r="DP144" s="55">
        <f>IFERROR(IF(($DA144)&gt;0,($BZ144)/($DA144),""),"")</f>
        <v/>
      </c>
      <c r="DQ144" s="55">
        <f>IFERROR(IF(($DB144)&gt;0,($CA144)/($DB144),""),"")</f>
        <v/>
      </c>
      <c r="DR144" s="55">
        <f>IFERROR(IF(($DC144)&gt;0,($CB144)/($DC144),""),"")</f>
        <v/>
      </c>
      <c r="DS144" s="67">
        <f>IFERROR(IF(($DJ144)&gt;0,($DJ144-$DD144-$DG144)/($DJ144),""),"")</f>
        <v/>
      </c>
      <c r="DT144" s="67">
        <f>IFERROR(IF(($DK144)&gt;0,($DK144-$DE144-$DH144)/($DK144),""),"")</f>
        <v/>
      </c>
      <c r="DU144" s="67">
        <f>IFERROR(IF(($DL144)&gt;0,($DL144-$DF144-$DI144)/($DL144),""),"")</f>
        <v/>
      </c>
      <c r="DV144" s="67">
        <f>IFERROR(IF(($DJ144-$DD144-$DG144)&gt;0,($DA144)/($DJ144-$DD144-$DG144),""),"")</f>
        <v/>
      </c>
      <c r="DW144" s="67">
        <f>IFERROR(IF(($DK144-$DE144-$DH144)&gt;0,($DB144)/($DK144-$DE144-$DH144),""),"")</f>
        <v/>
      </c>
      <c r="DX144" s="67">
        <f>IFERROR(IF(($DL144-$DF144-$DI144)&gt;0,($DC144)/($DL144-$DF144-$DI144),""),"")</f>
        <v/>
      </c>
      <c r="DY144" s="55">
        <f>SUMIFS(tblPlant[Cyanide_kg],tblPlant[Date],$A144)</f>
        <v/>
      </c>
      <c r="DZ144" s="55">
        <f>IF($B144=$B143,$DZ143,0)+$DY144</f>
        <v/>
      </c>
      <c r="EA144" s="55">
        <f>$EA143+$DY144</f>
        <v/>
      </c>
      <c r="EB144" s="55">
        <f>SUMIFS(tblPlant[Lime_kg],tblPlant[Date],$A144)</f>
        <v/>
      </c>
      <c r="EC144" s="55">
        <f>IF($B144=$B143,$EC143,0)+$EB144</f>
        <v/>
      </c>
      <c r="ED144" s="55">
        <f>$ED143+$EB144</f>
        <v/>
      </c>
      <c r="EE144" s="55">
        <f>SUMIFS(tblPlant[Grinding_Media_kg],tblPlant[Date],$A144)</f>
        <v/>
      </c>
      <c r="EF144" s="55">
        <f>IF($B144=$B143,$EF143,0)+$EE144</f>
        <v/>
      </c>
      <c r="EG144" s="55">
        <f>$EG143+$EE144</f>
        <v/>
      </c>
      <c r="EH144" s="55">
        <f>SUMIFS(tblPlant[Power_kWh],tblPlant[Date],$A144)</f>
        <v/>
      </c>
      <c r="EI144" s="55">
        <f>IF($B144=$B143,$EI143,0)+$EH144</f>
        <v/>
      </c>
      <c r="EJ144" s="55">
        <f>$EJ143+$EH144</f>
        <v/>
      </c>
      <c r="EK144" s="55">
        <f>SUMIFS(tblPlant[Raw_Water_m3],tblPlant[Date],$A144)</f>
        <v/>
      </c>
      <c r="EL144" s="55">
        <f>IF($B144=$B143,$EL143,0)+$EK144</f>
        <v/>
      </c>
      <c r="EM144" s="55">
        <f>$EM143+$EK144</f>
        <v/>
      </c>
      <c r="EN144" s="56">
        <f>IFERROR(IF(($BZ144)&gt;0,($DY144)/($BZ144),""),"")</f>
        <v/>
      </c>
      <c r="EO144" s="56">
        <f>IFERROR(IF(($CA144)&gt;0,($DZ144)/($CA144),""),"")</f>
        <v/>
      </c>
      <c r="EP144" s="56">
        <f>IFERROR(IF(($CB144)&gt;0,($EA144)/($CB144),""),"")</f>
        <v/>
      </c>
      <c r="EQ144" s="56">
        <f>IFERROR(IF(($BZ144)&gt;0,($EB144)/($BZ144),""),"")</f>
        <v/>
      </c>
      <c r="ER144" s="56">
        <f>IFERROR(IF(($CA144)&gt;0,($EC144)/($CA144),""),"")</f>
        <v/>
      </c>
      <c r="ES144" s="56">
        <f>IFERROR(IF(($CB144)&gt;0,($ED144)/($CB144),""),"")</f>
        <v/>
      </c>
      <c r="ET144" s="56">
        <f>IFERROR(IF(($BZ144)&gt;0,($EE144)/($BZ144),""),"")</f>
        <v/>
      </c>
      <c r="EU144" s="56">
        <f>IFERROR(IF(($CA144)&gt;0,($EF144)/($CA144),""),"")</f>
        <v/>
      </c>
      <c r="EV144" s="56">
        <f>IFERROR(IF(($CB144)&gt;0,($EG144)/($CB144),""),"")</f>
        <v/>
      </c>
      <c r="EW144" s="76">
        <f>IFERROR(IF(($BZ144)&gt;0,($EH144)/($BZ144),""),"")</f>
        <v/>
      </c>
      <c r="EX144" s="76">
        <f>IFERROR(IF(($CA144)&gt;0,($EI144)/($CA144),""),"")</f>
        <v/>
      </c>
      <c r="EY144" s="76">
        <f>IFERROR(IF(($CB144)&gt;0,($EJ144)/($CB144),""),"")</f>
        <v/>
      </c>
      <c r="EZ144" s="56">
        <f>IFERROR(IF(($BZ144)&gt;0,($EK144)/($BZ144),""),"")</f>
        <v/>
      </c>
      <c r="FA144" s="56">
        <f>IFERROR(IF(($CA144)&gt;0,($EL144)/($CA144),""),"")</f>
        <v/>
      </c>
      <c r="FB144" s="56">
        <f>IFERROR(IF(($CB144)&gt;0,($EM144)/($CB144),""),"")</f>
        <v/>
      </c>
      <c r="FC144" s="55">
        <f>IF(SUMIFS(tblPlant[GIC_oz],tblPlant[Date],$A144)&gt;0,SUMIFS(tblPlant[GIC_oz],tblPlant[Date],$A144),"")</f>
        <v/>
      </c>
      <c r="FD144" s="55">
        <f>SUMIFS(tblGold[Gold_oz],tblGold[Date],$A144,tblGold[Type],"Shipment")</f>
        <v/>
      </c>
      <c r="FE144" s="55">
        <f>IF($B144=$B143,$FE143,0)+$FD144</f>
        <v/>
      </c>
      <c r="FF144" s="55">
        <f>$FF143+$FD144</f>
        <v/>
      </c>
      <c r="FG144" s="55">
        <f>SUMIFS(tblGold[Gold_oz],tblGold[Date],$A144,tblGold[Type],"Sale")</f>
        <v/>
      </c>
      <c r="FH144" s="55">
        <f>IF($B144=$B143,$FH143,0)+$FG144</f>
        <v/>
      </c>
      <c r="FI144" s="55">
        <f>$FI143+$FG144</f>
        <v/>
      </c>
      <c r="FJ144" s="55">
        <f>SUMIFS(tblGold[Dore_kg],tblGold[Date],$A144,tblGold[Type],"Shipment")</f>
        <v/>
      </c>
      <c r="FK144" s="55">
        <f>IF($B144=$B143,$FK143,0)+$FJ144</f>
        <v/>
      </c>
      <c r="FL144" s="55">
        <f>$FL143+$FJ144</f>
        <v/>
      </c>
      <c r="FM144" s="57">
        <f>SUMIFS(tblSafety[Hours_Total],tblSafety[Date],$A144)</f>
        <v/>
      </c>
      <c r="FN144" s="57">
        <f>IF($B144=$B143,$FN143,0)+$FM144</f>
        <v/>
      </c>
      <c r="FO144" s="57">
        <f>$FO143+$FM144</f>
        <v/>
      </c>
      <c r="FP144" s="62">
        <f>SUMIFS(tblSafety[Fatality],tblSafety[Date],$A144)</f>
        <v/>
      </c>
      <c r="FQ144" s="62">
        <f>IF($B144=$B143,$FQ143,0)+$FP144</f>
        <v/>
      </c>
      <c r="FR144" s="62">
        <f>$FR143+$FP144</f>
        <v/>
      </c>
      <c r="FS144" s="62">
        <f>SUMIFS(tblSafety[LTI],tblSafety[Date],$A144)</f>
        <v/>
      </c>
      <c r="FT144" s="62">
        <f>IF($B144=$B143,$FT143,0)+$FS144</f>
        <v/>
      </c>
      <c r="FU144" s="62">
        <f>$FU143+$FS144</f>
        <v/>
      </c>
      <c r="FV144" s="62">
        <f>SUMIFS(tblSafety[RWI],tblSafety[Date],$A144)</f>
        <v/>
      </c>
      <c r="FW144" s="62">
        <f>IF($B144=$B143,$FW143,0)+$FV144</f>
        <v/>
      </c>
      <c r="FX144" s="62">
        <f>$FX143+$FV144</f>
        <v/>
      </c>
      <c r="FY144" s="62">
        <f>SUMIFS(tblSafety[MTI],tblSafety[Date],$A144)</f>
        <v/>
      </c>
      <c r="FZ144" s="62">
        <f>IF($B144=$B143,$FZ143,0)+$FY144</f>
        <v/>
      </c>
      <c r="GA144" s="62">
        <f>$GA143+$FY144</f>
        <v/>
      </c>
      <c r="GB144" s="62">
        <f>SUMIFS(tblSafety[FAI],tblSafety[Date],$A144)</f>
        <v/>
      </c>
      <c r="GC144" s="62">
        <f>IF($B144=$B143,$GC143,0)+$GB144</f>
        <v/>
      </c>
      <c r="GD144" s="62">
        <f>$GD143+$GB144</f>
        <v/>
      </c>
      <c r="GE144" s="62">
        <f>SUMIFS(tblSafety[Recordables],tblSafety[Date],$A144)</f>
        <v/>
      </c>
      <c r="GF144" s="62">
        <f>IF($B144=$B143,$GF143,0)+$GE144</f>
        <v/>
      </c>
      <c r="GG144" s="62">
        <f>$GG143+$GE144</f>
        <v/>
      </c>
      <c r="GH144" s="62">
        <f>SUMIFS(tblSafety[Near_Miss],tblSafety[Date],$A144)</f>
        <v/>
      </c>
      <c r="GI144" s="62">
        <f>IF($B144=$B143,$GI143,0)+$GH144</f>
        <v/>
      </c>
      <c r="GJ144" s="62">
        <f>$GJ143+$GH144</f>
        <v/>
      </c>
      <c r="GK144" s="62">
        <f>SUMIFS(tblSafety[Hazard_Reports],tblSafety[Date],$A144)</f>
        <v/>
      </c>
      <c r="GL144" s="62">
        <f>IF($B144=$B143,$GL143,0)+$GK144</f>
        <v/>
      </c>
      <c r="GM144" s="62">
        <f>$GM143+$GK144</f>
        <v/>
      </c>
      <c r="GN144" s="62">
        <f>SUMIFS(tblSafety[HPI],tblSafety[Date],$A144)</f>
        <v/>
      </c>
      <c r="GO144" s="62">
        <f>IF($B144=$B143,$GO143,0)+$GN144</f>
        <v/>
      </c>
      <c r="GP144" s="62">
        <f>$GP143+$GN144</f>
        <v/>
      </c>
      <c r="GQ144" s="62">
        <f>SUMIFS(tblSafety[Env_Incidents],tblSafety[Date],$A144)</f>
        <v/>
      </c>
      <c r="GR144" s="62">
        <f>IF($B144=$B143,$GR143,0)+$GQ144</f>
        <v/>
      </c>
      <c r="GS144" s="62">
        <f>$GS143+$GQ144</f>
        <v/>
      </c>
      <c r="GT144" s="62">
        <f>SUMIFS(tblSafety[Community_Incidents],tblSafety[Date],$A144)</f>
        <v/>
      </c>
      <c r="GU144" s="62">
        <f>IF($B144=$B143,$GU143,0)+$GT144</f>
        <v/>
      </c>
      <c r="GV144" s="62">
        <f>$GV143+$GT144</f>
        <v/>
      </c>
      <c r="GW144" s="62">
        <f>SUMIFS(tblSafety[Vehicle_Incidents],tblSafety[Date],$A144)</f>
        <v/>
      </c>
      <c r="GX144" s="62">
        <f>IF($B144=$B143,$GX143,0)+$GW144</f>
        <v/>
      </c>
      <c r="GY144" s="62">
        <f>$GY143+$GW144</f>
        <v/>
      </c>
      <c r="GZ144" s="62">
        <f>SUMIFS(tblSafety[Toolbox_Talks],tblSafety[Date],$A144)</f>
        <v/>
      </c>
      <c r="HA144" s="62">
        <f>IF($B144=$B143,$HA143,0)+$GZ144</f>
        <v/>
      </c>
      <c r="HB144" s="62">
        <f>$HB143+$GZ144</f>
        <v/>
      </c>
      <c r="HC144" s="62">
        <f>SUMIFS(tblSafety[Inspections],tblSafety[Date],$A144)</f>
        <v/>
      </c>
      <c r="HD144" s="62">
        <f>IF($B144=$B143,$HD143,0)+$HC144</f>
        <v/>
      </c>
      <c r="HE144" s="62">
        <f>$HE143+$HC144</f>
        <v/>
      </c>
      <c r="HF144" s="56">
        <f>IFERROR((SUMIFS(tblSafety[Recordables],tblSafety[Date],"&gt;="&amp;EDATE($E144,-12),tblSafety[Date],"&lt;="&amp;$A144)+SUMIFS(tblSafetyHistory[Recordables],tblSafetyHistory[Month],"&gt;="&amp;EDATE($E144,-12),tblSafetyHistory[Month],"&lt;"&amp;cfg_YearStart))/(SUMIFS(tblSafety[Hours_Total],tblSafety[Date],"&gt;="&amp;EDATE($E144,-12),tblSafety[Date],"&lt;="&amp;$A144)+SUMIFS(tblSafetyHistory[Hours_Total],tblSafetyHistory[Month],"&gt;="&amp;EDATE($E144,-12),tblSafetyHistory[Month],"&lt;"&amp;cfg_YearStart))*1000000,"")</f>
        <v/>
      </c>
      <c r="HG144" s="56">
        <f>IFERROR((SUMIFS(tblSafety[LTI],tblSafety[Date],"&gt;="&amp;EDATE($E144,-12),tblSafety[Date],"&lt;="&amp;$A144)+SUMIFS(tblSafetyHistory[LTI],tblSafetyHistory[Month],"&gt;="&amp;EDATE($E144,-12),tblSafetyHistory[Month],"&lt;"&amp;cfg_YearStart))/(SUMIFS(tblSafety[Hours_Total],tblSafety[Date],"&gt;="&amp;EDATE($E144,-12),tblSafety[Date],"&lt;="&amp;$A144)+SUMIFS(tblSafetyHistory[Hours_Total],tblSafetyHistory[Month],"&gt;="&amp;EDATE($E144,-12),tblSafetyHistory[Month],"&lt;"&amp;cfg_YearStart))*1000000,"")</f>
        <v/>
      </c>
      <c r="HH144" s="62">
        <f>IF(MAX(N(cfg_PriorLTIDate),_xlfn.MAXIFS(tblSafety[Date],tblSafety[LTI],"&gt;0",tblSafety[Date],"&lt;="&amp;$A144))=0,"",$A144-MAX(N(cfg_PriorLTIDate),_xlfn.MAXIFS(tblSafety[Date],tblSafety[LTI],"&gt;0",tblSafety[Date],"&lt;="&amp;$A144)))</f>
        <v/>
      </c>
      <c r="HI144" s="55">
        <f>SUMIFS(tblBudget[Ore_Mined_t],tblBudget[Month],$E144)</f>
        <v/>
      </c>
      <c r="HJ144" s="55">
        <f>$HI144*$C144/$D144</f>
        <v/>
      </c>
      <c r="HK144" s="55">
        <f>SUMIFS(tblBudget[Ore_Mined_t],tblBudget[Month],"&lt;"&amp;$E144)+$HJ144</f>
        <v/>
      </c>
      <c r="HL144" s="55">
        <f>SUMIFS(tblBudget[Ore_oz],tblBudget[Month],$E144)</f>
        <v/>
      </c>
      <c r="HM144" s="55">
        <f>$HL144*$C144/$D144</f>
        <v/>
      </c>
      <c r="HN144" s="55">
        <f>SUMIFS(tblBudget[Ore_oz],tblBudget[Month],"&lt;"&amp;$E144)+$HM144</f>
        <v/>
      </c>
      <c r="HO144" s="56">
        <f>IFERROR(IF(($HI144)&gt;0,($HL144*cfg_TroyOz)/($HI144),""),"")</f>
        <v/>
      </c>
      <c r="HP144" s="56">
        <f>IFERROR(IF(($HJ144)&gt;0,($HM144*cfg_TroyOz)/($HJ144),""),"")</f>
        <v/>
      </c>
      <c r="HQ144" s="56">
        <f>IFERROR(IF(($HK144)&gt;0,($HN144*cfg_TroyOz)/($HK144),""),"")</f>
        <v/>
      </c>
      <c r="HR144" s="55">
        <f>SUMIFS(tblBudget[Waste_t],tblBudget[Month],$E144)</f>
        <v/>
      </c>
      <c r="HS144" s="55">
        <f>$HR144*$C144/$D144</f>
        <v/>
      </c>
      <c r="HT144" s="55">
        <f>SUMIFS(tblBudget[Waste_t],tblBudget[Month],"&lt;"&amp;$E144)+$HS144</f>
        <v/>
      </c>
      <c r="HU144" s="55">
        <f>SUMIFS(tblBudget[TMM_t],tblBudget[Month],$E144)</f>
        <v/>
      </c>
      <c r="HV144" s="55">
        <f>$HU144*$C144/$D144</f>
        <v/>
      </c>
      <c r="HW144" s="55">
        <f>SUMIFS(tblBudget[TMM_t],tblBudget[Month],"&lt;"&amp;$E144)+$HV144</f>
        <v/>
      </c>
      <c r="HX144" s="56">
        <f>IFERROR(IF(($HI144)&gt;0,($HR144)/($HI144),""),"")</f>
        <v/>
      </c>
      <c r="HY144" s="56">
        <f>IFERROR(IF(($HJ144)&gt;0,($HS144)/($HJ144),""),"")</f>
        <v/>
      </c>
      <c r="HZ144" s="56">
        <f>IFERROR(IF(($HK144)&gt;0,($HT144)/($HK144),""),"")</f>
        <v/>
      </c>
      <c r="IA144" s="55">
        <f>SUMIFS(tblBudget[Drill_m],tblBudget[Month],$E144)</f>
        <v/>
      </c>
      <c r="IB144" s="55">
        <f>$IA144*$C144/$D144</f>
        <v/>
      </c>
      <c r="IC144" s="55">
        <f>SUMIFS(tblBudget[Drill_m],tblBudget[Month],"&lt;"&amp;$E144)+$IB144</f>
        <v/>
      </c>
      <c r="ID144" s="55">
        <f>SUMIFS(tblBudget[Diesel_L],tblBudget[Month],$E144)</f>
        <v/>
      </c>
      <c r="IE144" s="55">
        <f>$ID144*$C144/$D144</f>
        <v/>
      </c>
      <c r="IF144" s="55">
        <f>SUMIFS(tblBudget[Diesel_L],tblBudget[Month],"&lt;"&amp;$E144)+$IE144</f>
        <v/>
      </c>
      <c r="IG144" s="55">
        <f>SUMIFS(tblBudget[Milled_t],tblBudget[Month],$E144)</f>
        <v/>
      </c>
      <c r="IH144" s="55">
        <f>$IG144*$C144/$D144</f>
        <v/>
      </c>
      <c r="II144" s="55">
        <f>SUMIFS(tblBudget[Milled_t],tblBudget[Month],"&lt;"&amp;$E144)+$IH144</f>
        <v/>
      </c>
      <c r="IJ144" s="55">
        <f>SUMIFS(tblBudget[Feed_oz],tblBudget[Month],$E144)</f>
        <v/>
      </c>
      <c r="IK144" s="55">
        <f>$IJ144*$C144/$D144</f>
        <v/>
      </c>
      <c r="IL144" s="55">
        <f>SUMIFS(tblBudget[Feed_oz],tblBudget[Month],"&lt;"&amp;$E144)+$IK144</f>
        <v/>
      </c>
      <c r="IM144" s="55">
        <f>SUMIFS(tblBudget[Recovered_oz],tblBudget[Month],$E144)</f>
        <v/>
      </c>
      <c r="IN144" s="55">
        <f>$IM144*$C144/$D144</f>
        <v/>
      </c>
      <c r="IO144" s="55">
        <f>SUMIFS(tblBudget[Recovered_oz],tblBudget[Month],"&lt;"&amp;$E144)+$IN144</f>
        <v/>
      </c>
      <c r="IP144" s="56">
        <f>IFERROR(IF(($IG144)&gt;0,($IJ144*cfg_TroyOz)/($IG144),""),"")</f>
        <v/>
      </c>
      <c r="IQ144" s="56">
        <f>IFERROR(IF(($IH144)&gt;0,($IK144*cfg_TroyOz)/($IH144),""),"")</f>
        <v/>
      </c>
      <c r="IR144" s="56">
        <f>IFERROR(IF(($II144)&gt;0,($IL144*cfg_TroyOz)/($II144),""),"")</f>
        <v/>
      </c>
      <c r="IS144" s="67">
        <f>IFERROR(IF(($IJ144)&gt;0,($IM144)/($IJ144),""),"")</f>
        <v/>
      </c>
      <c r="IT144" s="67">
        <f>IFERROR(IF(($IK144)&gt;0,($IN144)/($IK144),""),"")</f>
        <v/>
      </c>
      <c r="IU144" s="67">
        <f>IFERROR(IF(($IL144)&gt;0,($IO144)/($IL144),""),"")</f>
        <v/>
      </c>
      <c r="IV144" s="55">
        <f>SUMIFS(tblBudget[Gold_Poured_oz],tblBudget[Month],$E144)</f>
        <v/>
      </c>
      <c r="IW144" s="55">
        <f>$IV144*$C144/$D144</f>
        <v/>
      </c>
      <c r="IX144" s="55">
        <f>SUMIFS(tblBudget[Gold_Poured_oz],tblBudget[Month],"&lt;"&amp;$E144)+$IW144</f>
        <v/>
      </c>
      <c r="IY144" s="57">
        <f>SUMIFS(tblBudget[Hours_Worked],tblBudget[Month],$E144)</f>
        <v/>
      </c>
      <c r="IZ144" s="57">
        <f>$IY144*$C144/$D144</f>
        <v/>
      </c>
      <c r="JA144" s="57">
        <f>SUMIFS(tblBudget[Hours_Worked],tblBudget[Month],"&lt;"&amp;$E144)+$IZ144</f>
        <v/>
      </c>
    </row>
    <row r="145">
      <c r="A145" s="54" t="n">
        <v>46166</v>
      </c>
      <c r="B145">
        <f>MONTH($A145)</f>
        <v/>
      </c>
      <c r="C145">
        <f>DAY($A145)</f>
        <v/>
      </c>
      <c r="D145">
        <f>DAY(EOMONTH($A145,0))</f>
        <v/>
      </c>
      <c r="E145" s="54">
        <f>DATE(YEAR($A145),MONTH($A145),1)</f>
        <v/>
      </c>
      <c r="F145" s="55">
        <f>SUMIFS(tblMovement[Tonnes_t],tblMovement[Date],$A145,tblMovement[Is_Ore],1,tblMovement[Source_Type],"Pit")</f>
        <v/>
      </c>
      <c r="G145" s="55">
        <f>IF($B145=$B144,$G144,0)+$F145</f>
        <v/>
      </c>
      <c r="H145" s="55">
        <f>$H144+$F145</f>
        <v/>
      </c>
      <c r="I145" s="55">
        <f>SUMIFS(tblMovement[Ore_oz],tblMovement[Date],$A145,tblMovement[Source_Type],"Pit")</f>
        <v/>
      </c>
      <c r="J145" s="55">
        <f>IF($B145=$B144,$J144,0)+$I145</f>
        <v/>
      </c>
      <c r="K145" s="55">
        <f>$K144+$I145</f>
        <v/>
      </c>
      <c r="L145" s="56">
        <f>IFERROR(IF(($F145)&gt;0,($I145*cfg_TroyOz)/($F145),""),"")</f>
        <v/>
      </c>
      <c r="M145" s="56">
        <f>IFERROR(IF(($G145)&gt;0,($J145*cfg_TroyOz)/($G145),""),"")</f>
        <v/>
      </c>
      <c r="N145" s="56">
        <f>IFERROR(IF(($H145)&gt;0,($K145*cfg_TroyOz)/($H145),""),"")</f>
        <v/>
      </c>
      <c r="O145" s="55">
        <f>SUMIFS(tblMovement[Tonnes_t],tblMovement[Date],$A145,tblMovement[Is_Ore],0,tblMovement[Source_Type],"Pit")</f>
        <v/>
      </c>
      <c r="P145" s="55">
        <f>IF($B145=$B144,$P144,0)+$O145</f>
        <v/>
      </c>
      <c r="Q145" s="55">
        <f>$Q144+$O145</f>
        <v/>
      </c>
      <c r="R145" s="55">
        <f>$F145+$O145</f>
        <v/>
      </c>
      <c r="S145" s="55">
        <f>IF($B145=$B144,$S144,0)+$R145</f>
        <v/>
      </c>
      <c r="T145" s="55">
        <f>$T144+$R145</f>
        <v/>
      </c>
      <c r="U145" s="56">
        <f>IFERROR(IF(($F145)&gt;0,($O145)/($F145),""),"")</f>
        <v/>
      </c>
      <c r="V145" s="56">
        <f>IFERROR(IF(($G145)&gt;0,($P145)/($G145),""),"")</f>
        <v/>
      </c>
      <c r="W145" s="56">
        <f>IFERROR(IF(($H145)&gt;0,($Q145)/($H145),""),"")</f>
        <v/>
      </c>
      <c r="X145" s="55">
        <f>SUMIFS(tblMovement[Tonnes_t],tblMovement[Date],$A145,tblMovement[Source_Type],"Stockpile")</f>
        <v/>
      </c>
      <c r="Y145" s="55">
        <f>IF($B145=$B144,$Y144,0)+$X145</f>
        <v/>
      </c>
      <c r="Z145" s="55">
        <f>$Z144+$X145</f>
        <v/>
      </c>
      <c r="AA145" s="55">
        <f>SUMIFS(tblMiningDaily[Drill_m],tblMiningDaily[Date],$A145)</f>
        <v/>
      </c>
      <c r="AB145" s="55">
        <f>IF($B145=$B144,$AB144,0)+$AA145</f>
        <v/>
      </c>
      <c r="AC145" s="55">
        <f>$AC144+$AA145</f>
        <v/>
      </c>
      <c r="AD145" s="55">
        <f>SUMIFS(tblMiningDaily[Blast_t],tblMiningDaily[Date],$A145)</f>
        <v/>
      </c>
      <c r="AE145" s="55">
        <f>IF($B145=$B144,$AE144,0)+$AD145</f>
        <v/>
      </c>
      <c r="AF145" s="55">
        <f>$AF144+$AD145</f>
        <v/>
      </c>
      <c r="AG145" s="55">
        <f>SUMIFS(tblMiningDaily[Explosives_kg],tblMiningDaily[Date],$A145)</f>
        <v/>
      </c>
      <c r="AH145" s="55">
        <f>IF($B145=$B144,$AH144,0)+$AG145</f>
        <v/>
      </c>
      <c r="AI145" s="55">
        <f>$AI144+$AG145</f>
        <v/>
      </c>
      <c r="AJ145" s="56">
        <f>IFERROR(IF(($AD145)&gt;0,($AG145)/($AD145),""),"")</f>
        <v/>
      </c>
      <c r="AK145" s="56">
        <f>IFERROR(IF(($AE145)&gt;0,($AH145)/($AE145),""),"")</f>
        <v/>
      </c>
      <c r="AL145" s="56">
        <f>IFERROR(IF(($AF145)&gt;0,($AI145)/($AF145),""),"")</f>
        <v/>
      </c>
      <c r="AM145" s="55">
        <f>SUMIFS(tblMiningDaily[Diesel_L],tblMiningDaily[Date],$A145)</f>
        <v/>
      </c>
      <c r="AN145" s="55">
        <f>IF($B145=$B144,$AN144,0)+$AM145</f>
        <v/>
      </c>
      <c r="AO145" s="55">
        <f>$AO144+$AM145</f>
        <v/>
      </c>
      <c r="AP145" s="55">
        <f>SUMIFS(tblMiningDaily[Dewatering_m3],tblMiningDaily[Date],$A145)</f>
        <v/>
      </c>
      <c r="AQ145" s="55">
        <f>IF($B145=$B144,$AQ144,0)+$AP145</f>
        <v/>
      </c>
      <c r="AR145" s="55">
        <f>$AR144+$AP145</f>
        <v/>
      </c>
      <c r="AS145" s="57">
        <f>SUMIFS(tblFleet[Calendar_h],tblFleet[Date],$A145,tblFleet[Equipment_Class],"Excavator")</f>
        <v/>
      </c>
      <c r="AT145" s="57">
        <f>IF($B145=$B144,$AT144,0)+$AS145</f>
        <v/>
      </c>
      <c r="AU145" s="57">
        <f>$AU144+$AS145</f>
        <v/>
      </c>
      <c r="AV145" s="57">
        <f>SUMIFS(tblFleet[Available_h],tblFleet[Date],$A145,tblFleet[Equipment_Class],"Excavator")</f>
        <v/>
      </c>
      <c r="AW145" s="57">
        <f>IF($B145=$B144,$AW144,0)+$AV145</f>
        <v/>
      </c>
      <c r="AX145" s="57">
        <f>$AX144+$AV145</f>
        <v/>
      </c>
      <c r="AY145" s="57">
        <f>SUMIFS(tblFleet[Operating_h],tblFleet[Date],$A145,tblFleet[Equipment_Class],"Excavator")</f>
        <v/>
      </c>
      <c r="AZ145" s="57">
        <f>IF($B145=$B144,$AZ144,0)+$AY145</f>
        <v/>
      </c>
      <c r="BA145" s="57">
        <f>$BA144+$AY145</f>
        <v/>
      </c>
      <c r="BB145" s="67">
        <f>IFERROR(IF(($AS145)&gt;0,($AV145)/($AS145),""),"")</f>
        <v/>
      </c>
      <c r="BC145" s="67">
        <f>IFERROR(IF(($AT145)&gt;0,($AW145)/($AT145),""),"")</f>
        <v/>
      </c>
      <c r="BD145" s="67">
        <f>IFERROR(IF(($AU145)&gt;0,($AX145)/($AU145),""),"")</f>
        <v/>
      </c>
      <c r="BE145" s="67">
        <f>IFERROR(IF(($AV145)&gt;0,($AY145)/($AV145),""),"")</f>
        <v/>
      </c>
      <c r="BF145" s="67">
        <f>IFERROR(IF(($AW145)&gt;0,($AZ145)/($AW145),""),"")</f>
        <v/>
      </c>
      <c r="BG145" s="67">
        <f>IFERROR(IF(($AX145)&gt;0,($BA145)/($AX145),""),"")</f>
        <v/>
      </c>
      <c r="BH145" s="57">
        <f>SUMIFS(tblFleet[Calendar_h],tblFleet[Date],$A145,tblFleet[Equipment_Class],"Haul Truck")</f>
        <v/>
      </c>
      <c r="BI145" s="57">
        <f>IF($B145=$B144,$BI144,0)+$BH145</f>
        <v/>
      </c>
      <c r="BJ145" s="57">
        <f>$BJ144+$BH145</f>
        <v/>
      </c>
      <c r="BK145" s="57">
        <f>SUMIFS(tblFleet[Available_h],tblFleet[Date],$A145,tblFleet[Equipment_Class],"Haul Truck")</f>
        <v/>
      </c>
      <c r="BL145" s="57">
        <f>IF($B145=$B144,$BL144,0)+$BK145</f>
        <v/>
      </c>
      <c r="BM145" s="57">
        <f>$BM144+$BK145</f>
        <v/>
      </c>
      <c r="BN145" s="57">
        <f>SUMIFS(tblFleet[Operating_h],tblFleet[Date],$A145,tblFleet[Equipment_Class],"Haul Truck")</f>
        <v/>
      </c>
      <c r="BO145" s="57">
        <f>IF($B145=$B144,$BO144,0)+$BN145</f>
        <v/>
      </c>
      <c r="BP145" s="57">
        <f>$BP144+$BN145</f>
        <v/>
      </c>
      <c r="BQ145" s="67">
        <f>IFERROR(IF(($BH145)&gt;0,($BK145)/($BH145),""),"")</f>
        <v/>
      </c>
      <c r="BR145" s="67">
        <f>IFERROR(IF(($BI145)&gt;0,($BL145)/($BI145),""),"")</f>
        <v/>
      </c>
      <c r="BS145" s="67">
        <f>IFERROR(IF(($BJ145)&gt;0,($BM145)/($BJ145),""),"")</f>
        <v/>
      </c>
      <c r="BT145" s="67">
        <f>IFERROR(IF(($BK145)&gt;0,($BN145)/($BK145),""),"")</f>
        <v/>
      </c>
      <c r="BU145" s="67">
        <f>IFERROR(IF(($BL145)&gt;0,($BO145)/($BL145),""),"")</f>
        <v/>
      </c>
      <c r="BV145" s="67">
        <f>IFERROR(IF(($BM145)&gt;0,($BP145)/($BM145),""),"")</f>
        <v/>
      </c>
      <c r="BW145" s="55">
        <f>SUMIFS(tblPlant[Crushed_t],tblPlant[Date],$A145)</f>
        <v/>
      </c>
      <c r="BX145" s="55">
        <f>IF($B145=$B144,$BX144,0)+$BW145</f>
        <v/>
      </c>
      <c r="BY145" s="55">
        <f>$BY144+$BW145</f>
        <v/>
      </c>
      <c r="BZ145" s="55">
        <f>SUMIFS(tblPlant[Milled_t],tblPlant[Date],$A145)</f>
        <v/>
      </c>
      <c r="CA145" s="55">
        <f>IF($B145=$B144,$CA144,0)+$BZ145</f>
        <v/>
      </c>
      <c r="CB145" s="55">
        <f>$CB144+$BZ145</f>
        <v/>
      </c>
      <c r="CC145" s="55">
        <f>SUMIFS(tblPlant[Feed_oz],tblPlant[Date],$A145)</f>
        <v/>
      </c>
      <c r="CD145" s="55">
        <f>IF($B145=$B144,$CD144,0)+$CC145</f>
        <v/>
      </c>
      <c r="CE145" s="55">
        <f>$CE144+$CC145</f>
        <v/>
      </c>
      <c r="CF145" s="55">
        <f>SUMIFS(tblPlant[Tails_oz],tblPlant[Date],$A145)</f>
        <v/>
      </c>
      <c r="CG145" s="55">
        <f>IF($B145=$B144,$CG144,0)+$CF145</f>
        <v/>
      </c>
      <c r="CH145" s="55">
        <f>$CH144+$CF145</f>
        <v/>
      </c>
      <c r="CI145" s="55">
        <f>SUMIFS(tblPlant[Recovered_oz],tblPlant[Date],$A145)</f>
        <v/>
      </c>
      <c r="CJ145" s="55">
        <f>IF($B145=$B144,$CJ144,0)+$CI145</f>
        <v/>
      </c>
      <c r="CK145" s="55">
        <f>$CK144+$CI145</f>
        <v/>
      </c>
      <c r="CL145" s="56">
        <f>IFERROR(IF(($BZ145)&gt;0,($CC145*cfg_TroyOz)/($BZ145),""),"")</f>
        <v/>
      </c>
      <c r="CM145" s="56">
        <f>IFERROR(IF(($CA145)&gt;0,($CD145*cfg_TroyOz)/($CA145),""),"")</f>
        <v/>
      </c>
      <c r="CN145" s="56">
        <f>IFERROR(IF(($CB145)&gt;0,($CE145*cfg_TroyOz)/($CB145),""),"")</f>
        <v/>
      </c>
      <c r="CO145" s="56">
        <f>IFERROR(IF(($BZ145)&gt;0,($CF145*cfg_TroyOz)/($BZ145),""),"")</f>
        <v/>
      </c>
      <c r="CP145" s="56">
        <f>IFERROR(IF(($CA145)&gt;0,($CG145*cfg_TroyOz)/($CA145),""),"")</f>
        <v/>
      </c>
      <c r="CQ145" s="56">
        <f>IFERROR(IF(($CB145)&gt;0,($CH145*cfg_TroyOz)/($CB145),""),"")</f>
        <v/>
      </c>
      <c r="CR145" s="67">
        <f>IFERROR(IF(($CC145)&gt;0,($CI145)/($CC145),""),"")</f>
        <v/>
      </c>
      <c r="CS145" s="67">
        <f>IFERROR(IF(($CD145)&gt;0,($CJ145)/($CD145),""),"")</f>
        <v/>
      </c>
      <c r="CT145" s="67">
        <f>IFERROR(IF(($CE145)&gt;0,($CK145)/($CE145),""),"")</f>
        <v/>
      </c>
      <c r="CU145" s="55">
        <f>SUMIFS(tblPlant[Gravity_Gold_oz],tblPlant[Date],$A145)</f>
        <v/>
      </c>
      <c r="CV145" s="55">
        <f>IF($B145=$B144,$CV144,0)+$CU145</f>
        <v/>
      </c>
      <c r="CW145" s="55">
        <f>$CW144+$CU145</f>
        <v/>
      </c>
      <c r="CX145" s="55">
        <f>SUMIFS(tblPlant[Gold_Poured_oz],tblPlant[Date],$A145)</f>
        <v/>
      </c>
      <c r="CY145" s="55">
        <f>IF($B145=$B144,$CY144,0)+$CX145</f>
        <v/>
      </c>
      <c r="CZ145" s="55">
        <f>$CZ144+$CX145</f>
        <v/>
      </c>
      <c r="DA145" s="57">
        <f>SUMIFS(tblPlant[Mill_Run_h],tblPlant[Date],$A145)</f>
        <v/>
      </c>
      <c r="DB145" s="57">
        <f>IF($B145=$B144,$DB144,0)+$DA145</f>
        <v/>
      </c>
      <c r="DC145" s="57">
        <f>$DC144+$DA145</f>
        <v/>
      </c>
      <c r="DD145" s="57">
        <f>SUMIFS(tblPlant[Mill_Planned_Maint_h],tblPlant[Date],$A145)</f>
        <v/>
      </c>
      <c r="DE145" s="57">
        <f>IF($B145=$B144,$DE144,0)+$DD145</f>
        <v/>
      </c>
      <c r="DF145" s="57">
        <f>$DF144+$DD145</f>
        <v/>
      </c>
      <c r="DG145" s="57">
        <f>SUMIFS(tblPlant[Mill_Unplanned_Down_h],tblPlant[Date],$A145)</f>
        <v/>
      </c>
      <c r="DH145" s="57">
        <f>IF($B145=$B144,$DH144,0)+$DG145</f>
        <v/>
      </c>
      <c r="DI145" s="57">
        <f>$DI144+$DG145</f>
        <v/>
      </c>
      <c r="DJ145" s="57">
        <f>COUNTIFS(tblPlant[Date],$A145,tblPlant[Mill_Run_h],"&lt;&gt;")*24</f>
        <v/>
      </c>
      <c r="DK145" s="57">
        <f>IF($B145=$B144,$DK144,0)+$DJ145</f>
        <v/>
      </c>
      <c r="DL145" s="57">
        <f>$DL144+$DJ145</f>
        <v/>
      </c>
      <c r="DM145" s="57">
        <f>SUMIFS(tblPlant[Crusher_Run_h],tblPlant[Date],$A145)</f>
        <v/>
      </c>
      <c r="DN145" s="57">
        <f>IF($B145=$B144,$DN144,0)+$DM145</f>
        <v/>
      </c>
      <c r="DO145" s="57">
        <f>$DO144+$DM145</f>
        <v/>
      </c>
      <c r="DP145" s="55">
        <f>IFERROR(IF(($DA145)&gt;0,($BZ145)/($DA145),""),"")</f>
        <v/>
      </c>
      <c r="DQ145" s="55">
        <f>IFERROR(IF(($DB145)&gt;0,($CA145)/($DB145),""),"")</f>
        <v/>
      </c>
      <c r="DR145" s="55">
        <f>IFERROR(IF(($DC145)&gt;0,($CB145)/($DC145),""),"")</f>
        <v/>
      </c>
      <c r="DS145" s="67">
        <f>IFERROR(IF(($DJ145)&gt;0,($DJ145-$DD145-$DG145)/($DJ145),""),"")</f>
        <v/>
      </c>
      <c r="DT145" s="67">
        <f>IFERROR(IF(($DK145)&gt;0,($DK145-$DE145-$DH145)/($DK145),""),"")</f>
        <v/>
      </c>
      <c r="DU145" s="67">
        <f>IFERROR(IF(($DL145)&gt;0,($DL145-$DF145-$DI145)/($DL145),""),"")</f>
        <v/>
      </c>
      <c r="DV145" s="67">
        <f>IFERROR(IF(($DJ145-$DD145-$DG145)&gt;0,($DA145)/($DJ145-$DD145-$DG145),""),"")</f>
        <v/>
      </c>
      <c r="DW145" s="67">
        <f>IFERROR(IF(($DK145-$DE145-$DH145)&gt;0,($DB145)/($DK145-$DE145-$DH145),""),"")</f>
        <v/>
      </c>
      <c r="DX145" s="67">
        <f>IFERROR(IF(($DL145-$DF145-$DI145)&gt;0,($DC145)/($DL145-$DF145-$DI145),""),"")</f>
        <v/>
      </c>
      <c r="DY145" s="55">
        <f>SUMIFS(tblPlant[Cyanide_kg],tblPlant[Date],$A145)</f>
        <v/>
      </c>
      <c r="DZ145" s="55">
        <f>IF($B145=$B144,$DZ144,0)+$DY145</f>
        <v/>
      </c>
      <c r="EA145" s="55">
        <f>$EA144+$DY145</f>
        <v/>
      </c>
      <c r="EB145" s="55">
        <f>SUMIFS(tblPlant[Lime_kg],tblPlant[Date],$A145)</f>
        <v/>
      </c>
      <c r="EC145" s="55">
        <f>IF($B145=$B144,$EC144,0)+$EB145</f>
        <v/>
      </c>
      <c r="ED145" s="55">
        <f>$ED144+$EB145</f>
        <v/>
      </c>
      <c r="EE145" s="55">
        <f>SUMIFS(tblPlant[Grinding_Media_kg],tblPlant[Date],$A145)</f>
        <v/>
      </c>
      <c r="EF145" s="55">
        <f>IF($B145=$B144,$EF144,0)+$EE145</f>
        <v/>
      </c>
      <c r="EG145" s="55">
        <f>$EG144+$EE145</f>
        <v/>
      </c>
      <c r="EH145" s="55">
        <f>SUMIFS(tblPlant[Power_kWh],tblPlant[Date],$A145)</f>
        <v/>
      </c>
      <c r="EI145" s="55">
        <f>IF($B145=$B144,$EI144,0)+$EH145</f>
        <v/>
      </c>
      <c r="EJ145" s="55">
        <f>$EJ144+$EH145</f>
        <v/>
      </c>
      <c r="EK145" s="55">
        <f>SUMIFS(tblPlant[Raw_Water_m3],tblPlant[Date],$A145)</f>
        <v/>
      </c>
      <c r="EL145" s="55">
        <f>IF($B145=$B144,$EL144,0)+$EK145</f>
        <v/>
      </c>
      <c r="EM145" s="55">
        <f>$EM144+$EK145</f>
        <v/>
      </c>
      <c r="EN145" s="56">
        <f>IFERROR(IF(($BZ145)&gt;0,($DY145)/($BZ145),""),"")</f>
        <v/>
      </c>
      <c r="EO145" s="56">
        <f>IFERROR(IF(($CA145)&gt;0,($DZ145)/($CA145),""),"")</f>
        <v/>
      </c>
      <c r="EP145" s="56">
        <f>IFERROR(IF(($CB145)&gt;0,($EA145)/($CB145),""),"")</f>
        <v/>
      </c>
      <c r="EQ145" s="56">
        <f>IFERROR(IF(($BZ145)&gt;0,($EB145)/($BZ145),""),"")</f>
        <v/>
      </c>
      <c r="ER145" s="56">
        <f>IFERROR(IF(($CA145)&gt;0,($EC145)/($CA145),""),"")</f>
        <v/>
      </c>
      <c r="ES145" s="56">
        <f>IFERROR(IF(($CB145)&gt;0,($ED145)/($CB145),""),"")</f>
        <v/>
      </c>
      <c r="ET145" s="56">
        <f>IFERROR(IF(($BZ145)&gt;0,($EE145)/($BZ145),""),"")</f>
        <v/>
      </c>
      <c r="EU145" s="56">
        <f>IFERROR(IF(($CA145)&gt;0,($EF145)/($CA145),""),"")</f>
        <v/>
      </c>
      <c r="EV145" s="56">
        <f>IFERROR(IF(($CB145)&gt;0,($EG145)/($CB145),""),"")</f>
        <v/>
      </c>
      <c r="EW145" s="76">
        <f>IFERROR(IF(($BZ145)&gt;0,($EH145)/($BZ145),""),"")</f>
        <v/>
      </c>
      <c r="EX145" s="76">
        <f>IFERROR(IF(($CA145)&gt;0,($EI145)/($CA145),""),"")</f>
        <v/>
      </c>
      <c r="EY145" s="76">
        <f>IFERROR(IF(($CB145)&gt;0,($EJ145)/($CB145),""),"")</f>
        <v/>
      </c>
      <c r="EZ145" s="56">
        <f>IFERROR(IF(($BZ145)&gt;0,($EK145)/($BZ145),""),"")</f>
        <v/>
      </c>
      <c r="FA145" s="56">
        <f>IFERROR(IF(($CA145)&gt;0,($EL145)/($CA145),""),"")</f>
        <v/>
      </c>
      <c r="FB145" s="56">
        <f>IFERROR(IF(($CB145)&gt;0,($EM145)/($CB145),""),"")</f>
        <v/>
      </c>
      <c r="FC145" s="55">
        <f>IF(SUMIFS(tblPlant[GIC_oz],tblPlant[Date],$A145)&gt;0,SUMIFS(tblPlant[GIC_oz],tblPlant[Date],$A145),"")</f>
        <v/>
      </c>
      <c r="FD145" s="55">
        <f>SUMIFS(tblGold[Gold_oz],tblGold[Date],$A145,tblGold[Type],"Shipment")</f>
        <v/>
      </c>
      <c r="FE145" s="55">
        <f>IF($B145=$B144,$FE144,0)+$FD145</f>
        <v/>
      </c>
      <c r="FF145" s="55">
        <f>$FF144+$FD145</f>
        <v/>
      </c>
      <c r="FG145" s="55">
        <f>SUMIFS(tblGold[Gold_oz],tblGold[Date],$A145,tblGold[Type],"Sale")</f>
        <v/>
      </c>
      <c r="FH145" s="55">
        <f>IF($B145=$B144,$FH144,0)+$FG145</f>
        <v/>
      </c>
      <c r="FI145" s="55">
        <f>$FI144+$FG145</f>
        <v/>
      </c>
      <c r="FJ145" s="55">
        <f>SUMIFS(tblGold[Dore_kg],tblGold[Date],$A145,tblGold[Type],"Shipment")</f>
        <v/>
      </c>
      <c r="FK145" s="55">
        <f>IF($B145=$B144,$FK144,0)+$FJ145</f>
        <v/>
      </c>
      <c r="FL145" s="55">
        <f>$FL144+$FJ145</f>
        <v/>
      </c>
      <c r="FM145" s="57">
        <f>SUMIFS(tblSafety[Hours_Total],tblSafety[Date],$A145)</f>
        <v/>
      </c>
      <c r="FN145" s="57">
        <f>IF($B145=$B144,$FN144,0)+$FM145</f>
        <v/>
      </c>
      <c r="FO145" s="57">
        <f>$FO144+$FM145</f>
        <v/>
      </c>
      <c r="FP145" s="62">
        <f>SUMIFS(tblSafety[Fatality],tblSafety[Date],$A145)</f>
        <v/>
      </c>
      <c r="FQ145" s="62">
        <f>IF($B145=$B144,$FQ144,0)+$FP145</f>
        <v/>
      </c>
      <c r="FR145" s="62">
        <f>$FR144+$FP145</f>
        <v/>
      </c>
      <c r="FS145" s="62">
        <f>SUMIFS(tblSafety[LTI],tblSafety[Date],$A145)</f>
        <v/>
      </c>
      <c r="FT145" s="62">
        <f>IF($B145=$B144,$FT144,0)+$FS145</f>
        <v/>
      </c>
      <c r="FU145" s="62">
        <f>$FU144+$FS145</f>
        <v/>
      </c>
      <c r="FV145" s="62">
        <f>SUMIFS(tblSafety[RWI],tblSafety[Date],$A145)</f>
        <v/>
      </c>
      <c r="FW145" s="62">
        <f>IF($B145=$B144,$FW144,0)+$FV145</f>
        <v/>
      </c>
      <c r="FX145" s="62">
        <f>$FX144+$FV145</f>
        <v/>
      </c>
      <c r="FY145" s="62">
        <f>SUMIFS(tblSafety[MTI],tblSafety[Date],$A145)</f>
        <v/>
      </c>
      <c r="FZ145" s="62">
        <f>IF($B145=$B144,$FZ144,0)+$FY145</f>
        <v/>
      </c>
      <c r="GA145" s="62">
        <f>$GA144+$FY145</f>
        <v/>
      </c>
      <c r="GB145" s="62">
        <f>SUMIFS(tblSafety[FAI],tblSafety[Date],$A145)</f>
        <v/>
      </c>
      <c r="GC145" s="62">
        <f>IF($B145=$B144,$GC144,0)+$GB145</f>
        <v/>
      </c>
      <c r="GD145" s="62">
        <f>$GD144+$GB145</f>
        <v/>
      </c>
      <c r="GE145" s="62">
        <f>SUMIFS(tblSafety[Recordables],tblSafety[Date],$A145)</f>
        <v/>
      </c>
      <c r="GF145" s="62">
        <f>IF($B145=$B144,$GF144,0)+$GE145</f>
        <v/>
      </c>
      <c r="GG145" s="62">
        <f>$GG144+$GE145</f>
        <v/>
      </c>
      <c r="GH145" s="62">
        <f>SUMIFS(tblSafety[Near_Miss],tblSafety[Date],$A145)</f>
        <v/>
      </c>
      <c r="GI145" s="62">
        <f>IF($B145=$B144,$GI144,0)+$GH145</f>
        <v/>
      </c>
      <c r="GJ145" s="62">
        <f>$GJ144+$GH145</f>
        <v/>
      </c>
      <c r="GK145" s="62">
        <f>SUMIFS(tblSafety[Hazard_Reports],tblSafety[Date],$A145)</f>
        <v/>
      </c>
      <c r="GL145" s="62">
        <f>IF($B145=$B144,$GL144,0)+$GK145</f>
        <v/>
      </c>
      <c r="GM145" s="62">
        <f>$GM144+$GK145</f>
        <v/>
      </c>
      <c r="GN145" s="62">
        <f>SUMIFS(tblSafety[HPI],tblSafety[Date],$A145)</f>
        <v/>
      </c>
      <c r="GO145" s="62">
        <f>IF($B145=$B144,$GO144,0)+$GN145</f>
        <v/>
      </c>
      <c r="GP145" s="62">
        <f>$GP144+$GN145</f>
        <v/>
      </c>
      <c r="GQ145" s="62">
        <f>SUMIFS(tblSafety[Env_Incidents],tblSafety[Date],$A145)</f>
        <v/>
      </c>
      <c r="GR145" s="62">
        <f>IF($B145=$B144,$GR144,0)+$GQ145</f>
        <v/>
      </c>
      <c r="GS145" s="62">
        <f>$GS144+$GQ145</f>
        <v/>
      </c>
      <c r="GT145" s="62">
        <f>SUMIFS(tblSafety[Community_Incidents],tblSafety[Date],$A145)</f>
        <v/>
      </c>
      <c r="GU145" s="62">
        <f>IF($B145=$B144,$GU144,0)+$GT145</f>
        <v/>
      </c>
      <c r="GV145" s="62">
        <f>$GV144+$GT145</f>
        <v/>
      </c>
      <c r="GW145" s="62">
        <f>SUMIFS(tblSafety[Vehicle_Incidents],tblSafety[Date],$A145)</f>
        <v/>
      </c>
      <c r="GX145" s="62">
        <f>IF($B145=$B144,$GX144,0)+$GW145</f>
        <v/>
      </c>
      <c r="GY145" s="62">
        <f>$GY144+$GW145</f>
        <v/>
      </c>
      <c r="GZ145" s="62">
        <f>SUMIFS(tblSafety[Toolbox_Talks],tblSafety[Date],$A145)</f>
        <v/>
      </c>
      <c r="HA145" s="62">
        <f>IF($B145=$B144,$HA144,0)+$GZ145</f>
        <v/>
      </c>
      <c r="HB145" s="62">
        <f>$HB144+$GZ145</f>
        <v/>
      </c>
      <c r="HC145" s="62">
        <f>SUMIFS(tblSafety[Inspections],tblSafety[Date],$A145)</f>
        <v/>
      </c>
      <c r="HD145" s="62">
        <f>IF($B145=$B144,$HD144,0)+$HC145</f>
        <v/>
      </c>
      <c r="HE145" s="62">
        <f>$HE144+$HC145</f>
        <v/>
      </c>
      <c r="HF145" s="56">
        <f>IFERROR((SUMIFS(tblSafety[Recordables],tblSafety[Date],"&gt;="&amp;EDATE($E145,-12),tblSafety[Date],"&lt;="&amp;$A145)+SUMIFS(tblSafetyHistory[Recordables],tblSafetyHistory[Month],"&gt;="&amp;EDATE($E145,-12),tblSafetyHistory[Month],"&lt;"&amp;cfg_YearStart))/(SUMIFS(tblSafety[Hours_Total],tblSafety[Date],"&gt;="&amp;EDATE($E145,-12),tblSafety[Date],"&lt;="&amp;$A145)+SUMIFS(tblSafetyHistory[Hours_Total],tblSafetyHistory[Month],"&gt;="&amp;EDATE($E145,-12),tblSafetyHistory[Month],"&lt;"&amp;cfg_YearStart))*1000000,"")</f>
        <v/>
      </c>
      <c r="HG145" s="56">
        <f>IFERROR((SUMIFS(tblSafety[LTI],tblSafety[Date],"&gt;="&amp;EDATE($E145,-12),tblSafety[Date],"&lt;="&amp;$A145)+SUMIFS(tblSafetyHistory[LTI],tblSafetyHistory[Month],"&gt;="&amp;EDATE($E145,-12),tblSafetyHistory[Month],"&lt;"&amp;cfg_YearStart))/(SUMIFS(tblSafety[Hours_Total],tblSafety[Date],"&gt;="&amp;EDATE($E145,-12),tblSafety[Date],"&lt;="&amp;$A145)+SUMIFS(tblSafetyHistory[Hours_Total],tblSafetyHistory[Month],"&gt;="&amp;EDATE($E145,-12),tblSafetyHistory[Month],"&lt;"&amp;cfg_YearStart))*1000000,"")</f>
        <v/>
      </c>
      <c r="HH145" s="62">
        <f>IF(MAX(N(cfg_PriorLTIDate),_xlfn.MAXIFS(tblSafety[Date],tblSafety[LTI],"&gt;0",tblSafety[Date],"&lt;="&amp;$A145))=0,"",$A145-MAX(N(cfg_PriorLTIDate),_xlfn.MAXIFS(tblSafety[Date],tblSafety[LTI],"&gt;0",tblSafety[Date],"&lt;="&amp;$A145)))</f>
        <v/>
      </c>
      <c r="HI145" s="55">
        <f>SUMIFS(tblBudget[Ore_Mined_t],tblBudget[Month],$E145)</f>
        <v/>
      </c>
      <c r="HJ145" s="55">
        <f>$HI145*$C145/$D145</f>
        <v/>
      </c>
      <c r="HK145" s="55">
        <f>SUMIFS(tblBudget[Ore_Mined_t],tblBudget[Month],"&lt;"&amp;$E145)+$HJ145</f>
        <v/>
      </c>
      <c r="HL145" s="55">
        <f>SUMIFS(tblBudget[Ore_oz],tblBudget[Month],$E145)</f>
        <v/>
      </c>
      <c r="HM145" s="55">
        <f>$HL145*$C145/$D145</f>
        <v/>
      </c>
      <c r="HN145" s="55">
        <f>SUMIFS(tblBudget[Ore_oz],tblBudget[Month],"&lt;"&amp;$E145)+$HM145</f>
        <v/>
      </c>
      <c r="HO145" s="56">
        <f>IFERROR(IF(($HI145)&gt;0,($HL145*cfg_TroyOz)/($HI145),""),"")</f>
        <v/>
      </c>
      <c r="HP145" s="56">
        <f>IFERROR(IF(($HJ145)&gt;0,($HM145*cfg_TroyOz)/($HJ145),""),"")</f>
        <v/>
      </c>
      <c r="HQ145" s="56">
        <f>IFERROR(IF(($HK145)&gt;0,($HN145*cfg_TroyOz)/($HK145),""),"")</f>
        <v/>
      </c>
      <c r="HR145" s="55">
        <f>SUMIFS(tblBudget[Waste_t],tblBudget[Month],$E145)</f>
        <v/>
      </c>
      <c r="HS145" s="55">
        <f>$HR145*$C145/$D145</f>
        <v/>
      </c>
      <c r="HT145" s="55">
        <f>SUMIFS(tblBudget[Waste_t],tblBudget[Month],"&lt;"&amp;$E145)+$HS145</f>
        <v/>
      </c>
      <c r="HU145" s="55">
        <f>SUMIFS(tblBudget[TMM_t],tblBudget[Month],$E145)</f>
        <v/>
      </c>
      <c r="HV145" s="55">
        <f>$HU145*$C145/$D145</f>
        <v/>
      </c>
      <c r="HW145" s="55">
        <f>SUMIFS(tblBudget[TMM_t],tblBudget[Month],"&lt;"&amp;$E145)+$HV145</f>
        <v/>
      </c>
      <c r="HX145" s="56">
        <f>IFERROR(IF(($HI145)&gt;0,($HR145)/($HI145),""),"")</f>
        <v/>
      </c>
      <c r="HY145" s="56">
        <f>IFERROR(IF(($HJ145)&gt;0,($HS145)/($HJ145),""),"")</f>
        <v/>
      </c>
      <c r="HZ145" s="56">
        <f>IFERROR(IF(($HK145)&gt;0,($HT145)/($HK145),""),"")</f>
        <v/>
      </c>
      <c r="IA145" s="55">
        <f>SUMIFS(tblBudget[Drill_m],tblBudget[Month],$E145)</f>
        <v/>
      </c>
      <c r="IB145" s="55">
        <f>$IA145*$C145/$D145</f>
        <v/>
      </c>
      <c r="IC145" s="55">
        <f>SUMIFS(tblBudget[Drill_m],tblBudget[Month],"&lt;"&amp;$E145)+$IB145</f>
        <v/>
      </c>
      <c r="ID145" s="55">
        <f>SUMIFS(tblBudget[Diesel_L],tblBudget[Month],$E145)</f>
        <v/>
      </c>
      <c r="IE145" s="55">
        <f>$ID145*$C145/$D145</f>
        <v/>
      </c>
      <c r="IF145" s="55">
        <f>SUMIFS(tblBudget[Diesel_L],tblBudget[Month],"&lt;"&amp;$E145)+$IE145</f>
        <v/>
      </c>
      <c r="IG145" s="55">
        <f>SUMIFS(tblBudget[Milled_t],tblBudget[Month],$E145)</f>
        <v/>
      </c>
      <c r="IH145" s="55">
        <f>$IG145*$C145/$D145</f>
        <v/>
      </c>
      <c r="II145" s="55">
        <f>SUMIFS(tblBudget[Milled_t],tblBudget[Month],"&lt;"&amp;$E145)+$IH145</f>
        <v/>
      </c>
      <c r="IJ145" s="55">
        <f>SUMIFS(tblBudget[Feed_oz],tblBudget[Month],$E145)</f>
        <v/>
      </c>
      <c r="IK145" s="55">
        <f>$IJ145*$C145/$D145</f>
        <v/>
      </c>
      <c r="IL145" s="55">
        <f>SUMIFS(tblBudget[Feed_oz],tblBudget[Month],"&lt;"&amp;$E145)+$IK145</f>
        <v/>
      </c>
      <c r="IM145" s="55">
        <f>SUMIFS(tblBudget[Recovered_oz],tblBudget[Month],$E145)</f>
        <v/>
      </c>
      <c r="IN145" s="55">
        <f>$IM145*$C145/$D145</f>
        <v/>
      </c>
      <c r="IO145" s="55">
        <f>SUMIFS(tblBudget[Recovered_oz],tblBudget[Month],"&lt;"&amp;$E145)+$IN145</f>
        <v/>
      </c>
      <c r="IP145" s="56">
        <f>IFERROR(IF(($IG145)&gt;0,($IJ145*cfg_TroyOz)/($IG145),""),"")</f>
        <v/>
      </c>
      <c r="IQ145" s="56">
        <f>IFERROR(IF(($IH145)&gt;0,($IK145*cfg_TroyOz)/($IH145),""),"")</f>
        <v/>
      </c>
      <c r="IR145" s="56">
        <f>IFERROR(IF(($II145)&gt;0,($IL145*cfg_TroyOz)/($II145),""),"")</f>
        <v/>
      </c>
      <c r="IS145" s="67">
        <f>IFERROR(IF(($IJ145)&gt;0,($IM145)/($IJ145),""),"")</f>
        <v/>
      </c>
      <c r="IT145" s="67">
        <f>IFERROR(IF(($IK145)&gt;0,($IN145)/($IK145),""),"")</f>
        <v/>
      </c>
      <c r="IU145" s="67">
        <f>IFERROR(IF(($IL145)&gt;0,($IO145)/($IL145),""),"")</f>
        <v/>
      </c>
      <c r="IV145" s="55">
        <f>SUMIFS(tblBudget[Gold_Poured_oz],tblBudget[Month],$E145)</f>
        <v/>
      </c>
      <c r="IW145" s="55">
        <f>$IV145*$C145/$D145</f>
        <v/>
      </c>
      <c r="IX145" s="55">
        <f>SUMIFS(tblBudget[Gold_Poured_oz],tblBudget[Month],"&lt;"&amp;$E145)+$IW145</f>
        <v/>
      </c>
      <c r="IY145" s="57">
        <f>SUMIFS(tblBudget[Hours_Worked],tblBudget[Month],$E145)</f>
        <v/>
      </c>
      <c r="IZ145" s="57">
        <f>$IY145*$C145/$D145</f>
        <v/>
      </c>
      <c r="JA145" s="57">
        <f>SUMIFS(tblBudget[Hours_Worked],tblBudget[Month],"&lt;"&amp;$E145)+$IZ145</f>
        <v/>
      </c>
    </row>
    <row r="146">
      <c r="A146" s="54" t="n">
        <v>46167</v>
      </c>
      <c r="B146">
        <f>MONTH($A146)</f>
        <v/>
      </c>
      <c r="C146">
        <f>DAY($A146)</f>
        <v/>
      </c>
      <c r="D146">
        <f>DAY(EOMONTH($A146,0))</f>
        <v/>
      </c>
      <c r="E146" s="54">
        <f>DATE(YEAR($A146),MONTH($A146),1)</f>
        <v/>
      </c>
      <c r="F146" s="55">
        <f>SUMIFS(tblMovement[Tonnes_t],tblMovement[Date],$A146,tblMovement[Is_Ore],1,tblMovement[Source_Type],"Pit")</f>
        <v/>
      </c>
      <c r="G146" s="55">
        <f>IF($B146=$B145,$G145,0)+$F146</f>
        <v/>
      </c>
      <c r="H146" s="55">
        <f>$H145+$F146</f>
        <v/>
      </c>
      <c r="I146" s="55">
        <f>SUMIFS(tblMovement[Ore_oz],tblMovement[Date],$A146,tblMovement[Source_Type],"Pit")</f>
        <v/>
      </c>
      <c r="J146" s="55">
        <f>IF($B146=$B145,$J145,0)+$I146</f>
        <v/>
      </c>
      <c r="K146" s="55">
        <f>$K145+$I146</f>
        <v/>
      </c>
      <c r="L146" s="56">
        <f>IFERROR(IF(($F146)&gt;0,($I146*cfg_TroyOz)/($F146),""),"")</f>
        <v/>
      </c>
      <c r="M146" s="56">
        <f>IFERROR(IF(($G146)&gt;0,($J146*cfg_TroyOz)/($G146),""),"")</f>
        <v/>
      </c>
      <c r="N146" s="56">
        <f>IFERROR(IF(($H146)&gt;0,($K146*cfg_TroyOz)/($H146),""),"")</f>
        <v/>
      </c>
      <c r="O146" s="55">
        <f>SUMIFS(tblMovement[Tonnes_t],tblMovement[Date],$A146,tblMovement[Is_Ore],0,tblMovement[Source_Type],"Pit")</f>
        <v/>
      </c>
      <c r="P146" s="55">
        <f>IF($B146=$B145,$P145,0)+$O146</f>
        <v/>
      </c>
      <c r="Q146" s="55">
        <f>$Q145+$O146</f>
        <v/>
      </c>
      <c r="R146" s="55">
        <f>$F146+$O146</f>
        <v/>
      </c>
      <c r="S146" s="55">
        <f>IF($B146=$B145,$S145,0)+$R146</f>
        <v/>
      </c>
      <c r="T146" s="55">
        <f>$T145+$R146</f>
        <v/>
      </c>
      <c r="U146" s="56">
        <f>IFERROR(IF(($F146)&gt;0,($O146)/($F146),""),"")</f>
        <v/>
      </c>
      <c r="V146" s="56">
        <f>IFERROR(IF(($G146)&gt;0,($P146)/($G146),""),"")</f>
        <v/>
      </c>
      <c r="W146" s="56">
        <f>IFERROR(IF(($H146)&gt;0,($Q146)/($H146),""),"")</f>
        <v/>
      </c>
      <c r="X146" s="55">
        <f>SUMIFS(tblMovement[Tonnes_t],tblMovement[Date],$A146,tblMovement[Source_Type],"Stockpile")</f>
        <v/>
      </c>
      <c r="Y146" s="55">
        <f>IF($B146=$B145,$Y145,0)+$X146</f>
        <v/>
      </c>
      <c r="Z146" s="55">
        <f>$Z145+$X146</f>
        <v/>
      </c>
      <c r="AA146" s="55">
        <f>SUMIFS(tblMiningDaily[Drill_m],tblMiningDaily[Date],$A146)</f>
        <v/>
      </c>
      <c r="AB146" s="55">
        <f>IF($B146=$B145,$AB145,0)+$AA146</f>
        <v/>
      </c>
      <c r="AC146" s="55">
        <f>$AC145+$AA146</f>
        <v/>
      </c>
      <c r="AD146" s="55">
        <f>SUMIFS(tblMiningDaily[Blast_t],tblMiningDaily[Date],$A146)</f>
        <v/>
      </c>
      <c r="AE146" s="55">
        <f>IF($B146=$B145,$AE145,0)+$AD146</f>
        <v/>
      </c>
      <c r="AF146" s="55">
        <f>$AF145+$AD146</f>
        <v/>
      </c>
      <c r="AG146" s="55">
        <f>SUMIFS(tblMiningDaily[Explosives_kg],tblMiningDaily[Date],$A146)</f>
        <v/>
      </c>
      <c r="AH146" s="55">
        <f>IF($B146=$B145,$AH145,0)+$AG146</f>
        <v/>
      </c>
      <c r="AI146" s="55">
        <f>$AI145+$AG146</f>
        <v/>
      </c>
      <c r="AJ146" s="56">
        <f>IFERROR(IF(($AD146)&gt;0,($AG146)/($AD146),""),"")</f>
        <v/>
      </c>
      <c r="AK146" s="56">
        <f>IFERROR(IF(($AE146)&gt;0,($AH146)/($AE146),""),"")</f>
        <v/>
      </c>
      <c r="AL146" s="56">
        <f>IFERROR(IF(($AF146)&gt;0,($AI146)/($AF146),""),"")</f>
        <v/>
      </c>
      <c r="AM146" s="55">
        <f>SUMIFS(tblMiningDaily[Diesel_L],tblMiningDaily[Date],$A146)</f>
        <v/>
      </c>
      <c r="AN146" s="55">
        <f>IF($B146=$B145,$AN145,0)+$AM146</f>
        <v/>
      </c>
      <c r="AO146" s="55">
        <f>$AO145+$AM146</f>
        <v/>
      </c>
      <c r="AP146" s="55">
        <f>SUMIFS(tblMiningDaily[Dewatering_m3],tblMiningDaily[Date],$A146)</f>
        <v/>
      </c>
      <c r="AQ146" s="55">
        <f>IF($B146=$B145,$AQ145,0)+$AP146</f>
        <v/>
      </c>
      <c r="AR146" s="55">
        <f>$AR145+$AP146</f>
        <v/>
      </c>
      <c r="AS146" s="57">
        <f>SUMIFS(tblFleet[Calendar_h],tblFleet[Date],$A146,tblFleet[Equipment_Class],"Excavator")</f>
        <v/>
      </c>
      <c r="AT146" s="57">
        <f>IF($B146=$B145,$AT145,0)+$AS146</f>
        <v/>
      </c>
      <c r="AU146" s="57">
        <f>$AU145+$AS146</f>
        <v/>
      </c>
      <c r="AV146" s="57">
        <f>SUMIFS(tblFleet[Available_h],tblFleet[Date],$A146,tblFleet[Equipment_Class],"Excavator")</f>
        <v/>
      </c>
      <c r="AW146" s="57">
        <f>IF($B146=$B145,$AW145,0)+$AV146</f>
        <v/>
      </c>
      <c r="AX146" s="57">
        <f>$AX145+$AV146</f>
        <v/>
      </c>
      <c r="AY146" s="57">
        <f>SUMIFS(tblFleet[Operating_h],tblFleet[Date],$A146,tblFleet[Equipment_Class],"Excavator")</f>
        <v/>
      </c>
      <c r="AZ146" s="57">
        <f>IF($B146=$B145,$AZ145,0)+$AY146</f>
        <v/>
      </c>
      <c r="BA146" s="57">
        <f>$BA145+$AY146</f>
        <v/>
      </c>
      <c r="BB146" s="67">
        <f>IFERROR(IF(($AS146)&gt;0,($AV146)/($AS146),""),"")</f>
        <v/>
      </c>
      <c r="BC146" s="67">
        <f>IFERROR(IF(($AT146)&gt;0,($AW146)/($AT146),""),"")</f>
        <v/>
      </c>
      <c r="BD146" s="67">
        <f>IFERROR(IF(($AU146)&gt;0,($AX146)/($AU146),""),"")</f>
        <v/>
      </c>
      <c r="BE146" s="67">
        <f>IFERROR(IF(($AV146)&gt;0,($AY146)/($AV146),""),"")</f>
        <v/>
      </c>
      <c r="BF146" s="67">
        <f>IFERROR(IF(($AW146)&gt;0,($AZ146)/($AW146),""),"")</f>
        <v/>
      </c>
      <c r="BG146" s="67">
        <f>IFERROR(IF(($AX146)&gt;0,($BA146)/($AX146),""),"")</f>
        <v/>
      </c>
      <c r="BH146" s="57">
        <f>SUMIFS(tblFleet[Calendar_h],tblFleet[Date],$A146,tblFleet[Equipment_Class],"Haul Truck")</f>
        <v/>
      </c>
      <c r="BI146" s="57">
        <f>IF($B146=$B145,$BI145,0)+$BH146</f>
        <v/>
      </c>
      <c r="BJ146" s="57">
        <f>$BJ145+$BH146</f>
        <v/>
      </c>
      <c r="BK146" s="57">
        <f>SUMIFS(tblFleet[Available_h],tblFleet[Date],$A146,tblFleet[Equipment_Class],"Haul Truck")</f>
        <v/>
      </c>
      <c r="BL146" s="57">
        <f>IF($B146=$B145,$BL145,0)+$BK146</f>
        <v/>
      </c>
      <c r="BM146" s="57">
        <f>$BM145+$BK146</f>
        <v/>
      </c>
      <c r="BN146" s="57">
        <f>SUMIFS(tblFleet[Operating_h],tblFleet[Date],$A146,tblFleet[Equipment_Class],"Haul Truck")</f>
        <v/>
      </c>
      <c r="BO146" s="57">
        <f>IF($B146=$B145,$BO145,0)+$BN146</f>
        <v/>
      </c>
      <c r="BP146" s="57">
        <f>$BP145+$BN146</f>
        <v/>
      </c>
      <c r="BQ146" s="67">
        <f>IFERROR(IF(($BH146)&gt;0,($BK146)/($BH146),""),"")</f>
        <v/>
      </c>
      <c r="BR146" s="67">
        <f>IFERROR(IF(($BI146)&gt;0,($BL146)/($BI146),""),"")</f>
        <v/>
      </c>
      <c r="BS146" s="67">
        <f>IFERROR(IF(($BJ146)&gt;0,($BM146)/($BJ146),""),"")</f>
        <v/>
      </c>
      <c r="BT146" s="67">
        <f>IFERROR(IF(($BK146)&gt;0,($BN146)/($BK146),""),"")</f>
        <v/>
      </c>
      <c r="BU146" s="67">
        <f>IFERROR(IF(($BL146)&gt;0,($BO146)/($BL146),""),"")</f>
        <v/>
      </c>
      <c r="BV146" s="67">
        <f>IFERROR(IF(($BM146)&gt;0,($BP146)/($BM146),""),"")</f>
        <v/>
      </c>
      <c r="BW146" s="55">
        <f>SUMIFS(tblPlant[Crushed_t],tblPlant[Date],$A146)</f>
        <v/>
      </c>
      <c r="BX146" s="55">
        <f>IF($B146=$B145,$BX145,0)+$BW146</f>
        <v/>
      </c>
      <c r="BY146" s="55">
        <f>$BY145+$BW146</f>
        <v/>
      </c>
      <c r="BZ146" s="55">
        <f>SUMIFS(tblPlant[Milled_t],tblPlant[Date],$A146)</f>
        <v/>
      </c>
      <c r="CA146" s="55">
        <f>IF($B146=$B145,$CA145,0)+$BZ146</f>
        <v/>
      </c>
      <c r="CB146" s="55">
        <f>$CB145+$BZ146</f>
        <v/>
      </c>
      <c r="CC146" s="55">
        <f>SUMIFS(tblPlant[Feed_oz],tblPlant[Date],$A146)</f>
        <v/>
      </c>
      <c r="CD146" s="55">
        <f>IF($B146=$B145,$CD145,0)+$CC146</f>
        <v/>
      </c>
      <c r="CE146" s="55">
        <f>$CE145+$CC146</f>
        <v/>
      </c>
      <c r="CF146" s="55">
        <f>SUMIFS(tblPlant[Tails_oz],tblPlant[Date],$A146)</f>
        <v/>
      </c>
      <c r="CG146" s="55">
        <f>IF($B146=$B145,$CG145,0)+$CF146</f>
        <v/>
      </c>
      <c r="CH146" s="55">
        <f>$CH145+$CF146</f>
        <v/>
      </c>
      <c r="CI146" s="55">
        <f>SUMIFS(tblPlant[Recovered_oz],tblPlant[Date],$A146)</f>
        <v/>
      </c>
      <c r="CJ146" s="55">
        <f>IF($B146=$B145,$CJ145,0)+$CI146</f>
        <v/>
      </c>
      <c r="CK146" s="55">
        <f>$CK145+$CI146</f>
        <v/>
      </c>
      <c r="CL146" s="56">
        <f>IFERROR(IF(($BZ146)&gt;0,($CC146*cfg_TroyOz)/($BZ146),""),"")</f>
        <v/>
      </c>
      <c r="CM146" s="56">
        <f>IFERROR(IF(($CA146)&gt;0,($CD146*cfg_TroyOz)/($CA146),""),"")</f>
        <v/>
      </c>
      <c r="CN146" s="56">
        <f>IFERROR(IF(($CB146)&gt;0,($CE146*cfg_TroyOz)/($CB146),""),"")</f>
        <v/>
      </c>
      <c r="CO146" s="56">
        <f>IFERROR(IF(($BZ146)&gt;0,($CF146*cfg_TroyOz)/($BZ146),""),"")</f>
        <v/>
      </c>
      <c r="CP146" s="56">
        <f>IFERROR(IF(($CA146)&gt;0,($CG146*cfg_TroyOz)/($CA146),""),"")</f>
        <v/>
      </c>
      <c r="CQ146" s="56">
        <f>IFERROR(IF(($CB146)&gt;0,($CH146*cfg_TroyOz)/($CB146),""),"")</f>
        <v/>
      </c>
      <c r="CR146" s="67">
        <f>IFERROR(IF(($CC146)&gt;0,($CI146)/($CC146),""),"")</f>
        <v/>
      </c>
      <c r="CS146" s="67">
        <f>IFERROR(IF(($CD146)&gt;0,($CJ146)/($CD146),""),"")</f>
        <v/>
      </c>
      <c r="CT146" s="67">
        <f>IFERROR(IF(($CE146)&gt;0,($CK146)/($CE146),""),"")</f>
        <v/>
      </c>
      <c r="CU146" s="55">
        <f>SUMIFS(tblPlant[Gravity_Gold_oz],tblPlant[Date],$A146)</f>
        <v/>
      </c>
      <c r="CV146" s="55">
        <f>IF($B146=$B145,$CV145,0)+$CU146</f>
        <v/>
      </c>
      <c r="CW146" s="55">
        <f>$CW145+$CU146</f>
        <v/>
      </c>
      <c r="CX146" s="55">
        <f>SUMIFS(tblPlant[Gold_Poured_oz],tblPlant[Date],$A146)</f>
        <v/>
      </c>
      <c r="CY146" s="55">
        <f>IF($B146=$B145,$CY145,0)+$CX146</f>
        <v/>
      </c>
      <c r="CZ146" s="55">
        <f>$CZ145+$CX146</f>
        <v/>
      </c>
      <c r="DA146" s="57">
        <f>SUMIFS(tblPlant[Mill_Run_h],tblPlant[Date],$A146)</f>
        <v/>
      </c>
      <c r="DB146" s="57">
        <f>IF($B146=$B145,$DB145,0)+$DA146</f>
        <v/>
      </c>
      <c r="DC146" s="57">
        <f>$DC145+$DA146</f>
        <v/>
      </c>
      <c r="DD146" s="57">
        <f>SUMIFS(tblPlant[Mill_Planned_Maint_h],tblPlant[Date],$A146)</f>
        <v/>
      </c>
      <c r="DE146" s="57">
        <f>IF($B146=$B145,$DE145,0)+$DD146</f>
        <v/>
      </c>
      <c r="DF146" s="57">
        <f>$DF145+$DD146</f>
        <v/>
      </c>
      <c r="DG146" s="57">
        <f>SUMIFS(tblPlant[Mill_Unplanned_Down_h],tblPlant[Date],$A146)</f>
        <v/>
      </c>
      <c r="DH146" s="57">
        <f>IF($B146=$B145,$DH145,0)+$DG146</f>
        <v/>
      </c>
      <c r="DI146" s="57">
        <f>$DI145+$DG146</f>
        <v/>
      </c>
      <c r="DJ146" s="57">
        <f>COUNTIFS(tblPlant[Date],$A146,tblPlant[Mill_Run_h],"&lt;&gt;")*24</f>
        <v/>
      </c>
      <c r="DK146" s="57">
        <f>IF($B146=$B145,$DK145,0)+$DJ146</f>
        <v/>
      </c>
      <c r="DL146" s="57">
        <f>$DL145+$DJ146</f>
        <v/>
      </c>
      <c r="DM146" s="57">
        <f>SUMIFS(tblPlant[Crusher_Run_h],tblPlant[Date],$A146)</f>
        <v/>
      </c>
      <c r="DN146" s="57">
        <f>IF($B146=$B145,$DN145,0)+$DM146</f>
        <v/>
      </c>
      <c r="DO146" s="57">
        <f>$DO145+$DM146</f>
        <v/>
      </c>
      <c r="DP146" s="55">
        <f>IFERROR(IF(($DA146)&gt;0,($BZ146)/($DA146),""),"")</f>
        <v/>
      </c>
      <c r="DQ146" s="55">
        <f>IFERROR(IF(($DB146)&gt;0,($CA146)/($DB146),""),"")</f>
        <v/>
      </c>
      <c r="DR146" s="55">
        <f>IFERROR(IF(($DC146)&gt;0,($CB146)/($DC146),""),"")</f>
        <v/>
      </c>
      <c r="DS146" s="67">
        <f>IFERROR(IF(($DJ146)&gt;0,($DJ146-$DD146-$DG146)/($DJ146),""),"")</f>
        <v/>
      </c>
      <c r="DT146" s="67">
        <f>IFERROR(IF(($DK146)&gt;0,($DK146-$DE146-$DH146)/($DK146),""),"")</f>
        <v/>
      </c>
      <c r="DU146" s="67">
        <f>IFERROR(IF(($DL146)&gt;0,($DL146-$DF146-$DI146)/($DL146),""),"")</f>
        <v/>
      </c>
      <c r="DV146" s="67">
        <f>IFERROR(IF(($DJ146-$DD146-$DG146)&gt;0,($DA146)/($DJ146-$DD146-$DG146),""),"")</f>
        <v/>
      </c>
      <c r="DW146" s="67">
        <f>IFERROR(IF(($DK146-$DE146-$DH146)&gt;0,($DB146)/($DK146-$DE146-$DH146),""),"")</f>
        <v/>
      </c>
      <c r="DX146" s="67">
        <f>IFERROR(IF(($DL146-$DF146-$DI146)&gt;0,($DC146)/($DL146-$DF146-$DI146),""),"")</f>
        <v/>
      </c>
      <c r="DY146" s="55">
        <f>SUMIFS(tblPlant[Cyanide_kg],tblPlant[Date],$A146)</f>
        <v/>
      </c>
      <c r="DZ146" s="55">
        <f>IF($B146=$B145,$DZ145,0)+$DY146</f>
        <v/>
      </c>
      <c r="EA146" s="55">
        <f>$EA145+$DY146</f>
        <v/>
      </c>
      <c r="EB146" s="55">
        <f>SUMIFS(tblPlant[Lime_kg],tblPlant[Date],$A146)</f>
        <v/>
      </c>
      <c r="EC146" s="55">
        <f>IF($B146=$B145,$EC145,0)+$EB146</f>
        <v/>
      </c>
      <c r="ED146" s="55">
        <f>$ED145+$EB146</f>
        <v/>
      </c>
      <c r="EE146" s="55">
        <f>SUMIFS(tblPlant[Grinding_Media_kg],tblPlant[Date],$A146)</f>
        <v/>
      </c>
      <c r="EF146" s="55">
        <f>IF($B146=$B145,$EF145,0)+$EE146</f>
        <v/>
      </c>
      <c r="EG146" s="55">
        <f>$EG145+$EE146</f>
        <v/>
      </c>
      <c r="EH146" s="55">
        <f>SUMIFS(tblPlant[Power_kWh],tblPlant[Date],$A146)</f>
        <v/>
      </c>
      <c r="EI146" s="55">
        <f>IF($B146=$B145,$EI145,0)+$EH146</f>
        <v/>
      </c>
      <c r="EJ146" s="55">
        <f>$EJ145+$EH146</f>
        <v/>
      </c>
      <c r="EK146" s="55">
        <f>SUMIFS(tblPlant[Raw_Water_m3],tblPlant[Date],$A146)</f>
        <v/>
      </c>
      <c r="EL146" s="55">
        <f>IF($B146=$B145,$EL145,0)+$EK146</f>
        <v/>
      </c>
      <c r="EM146" s="55">
        <f>$EM145+$EK146</f>
        <v/>
      </c>
      <c r="EN146" s="56">
        <f>IFERROR(IF(($BZ146)&gt;0,($DY146)/($BZ146),""),"")</f>
        <v/>
      </c>
      <c r="EO146" s="56">
        <f>IFERROR(IF(($CA146)&gt;0,($DZ146)/($CA146),""),"")</f>
        <v/>
      </c>
      <c r="EP146" s="56">
        <f>IFERROR(IF(($CB146)&gt;0,($EA146)/($CB146),""),"")</f>
        <v/>
      </c>
      <c r="EQ146" s="56">
        <f>IFERROR(IF(($BZ146)&gt;0,($EB146)/($BZ146),""),"")</f>
        <v/>
      </c>
      <c r="ER146" s="56">
        <f>IFERROR(IF(($CA146)&gt;0,($EC146)/($CA146),""),"")</f>
        <v/>
      </c>
      <c r="ES146" s="56">
        <f>IFERROR(IF(($CB146)&gt;0,($ED146)/($CB146),""),"")</f>
        <v/>
      </c>
      <c r="ET146" s="56">
        <f>IFERROR(IF(($BZ146)&gt;0,($EE146)/($BZ146),""),"")</f>
        <v/>
      </c>
      <c r="EU146" s="56">
        <f>IFERROR(IF(($CA146)&gt;0,($EF146)/($CA146),""),"")</f>
        <v/>
      </c>
      <c r="EV146" s="56">
        <f>IFERROR(IF(($CB146)&gt;0,($EG146)/($CB146),""),"")</f>
        <v/>
      </c>
      <c r="EW146" s="76">
        <f>IFERROR(IF(($BZ146)&gt;0,($EH146)/($BZ146),""),"")</f>
        <v/>
      </c>
      <c r="EX146" s="76">
        <f>IFERROR(IF(($CA146)&gt;0,($EI146)/($CA146),""),"")</f>
        <v/>
      </c>
      <c r="EY146" s="76">
        <f>IFERROR(IF(($CB146)&gt;0,($EJ146)/($CB146),""),"")</f>
        <v/>
      </c>
      <c r="EZ146" s="56">
        <f>IFERROR(IF(($BZ146)&gt;0,($EK146)/($BZ146),""),"")</f>
        <v/>
      </c>
      <c r="FA146" s="56">
        <f>IFERROR(IF(($CA146)&gt;0,($EL146)/($CA146),""),"")</f>
        <v/>
      </c>
      <c r="FB146" s="56">
        <f>IFERROR(IF(($CB146)&gt;0,($EM146)/($CB146),""),"")</f>
        <v/>
      </c>
      <c r="FC146" s="55">
        <f>IF(SUMIFS(tblPlant[GIC_oz],tblPlant[Date],$A146)&gt;0,SUMIFS(tblPlant[GIC_oz],tblPlant[Date],$A146),"")</f>
        <v/>
      </c>
      <c r="FD146" s="55">
        <f>SUMIFS(tblGold[Gold_oz],tblGold[Date],$A146,tblGold[Type],"Shipment")</f>
        <v/>
      </c>
      <c r="FE146" s="55">
        <f>IF($B146=$B145,$FE145,0)+$FD146</f>
        <v/>
      </c>
      <c r="FF146" s="55">
        <f>$FF145+$FD146</f>
        <v/>
      </c>
      <c r="FG146" s="55">
        <f>SUMIFS(tblGold[Gold_oz],tblGold[Date],$A146,tblGold[Type],"Sale")</f>
        <v/>
      </c>
      <c r="FH146" s="55">
        <f>IF($B146=$B145,$FH145,0)+$FG146</f>
        <v/>
      </c>
      <c r="FI146" s="55">
        <f>$FI145+$FG146</f>
        <v/>
      </c>
      <c r="FJ146" s="55">
        <f>SUMIFS(tblGold[Dore_kg],tblGold[Date],$A146,tblGold[Type],"Shipment")</f>
        <v/>
      </c>
      <c r="FK146" s="55">
        <f>IF($B146=$B145,$FK145,0)+$FJ146</f>
        <v/>
      </c>
      <c r="FL146" s="55">
        <f>$FL145+$FJ146</f>
        <v/>
      </c>
      <c r="FM146" s="57">
        <f>SUMIFS(tblSafety[Hours_Total],tblSafety[Date],$A146)</f>
        <v/>
      </c>
      <c r="FN146" s="57">
        <f>IF($B146=$B145,$FN145,0)+$FM146</f>
        <v/>
      </c>
      <c r="FO146" s="57">
        <f>$FO145+$FM146</f>
        <v/>
      </c>
      <c r="FP146" s="62">
        <f>SUMIFS(tblSafety[Fatality],tblSafety[Date],$A146)</f>
        <v/>
      </c>
      <c r="FQ146" s="62">
        <f>IF($B146=$B145,$FQ145,0)+$FP146</f>
        <v/>
      </c>
      <c r="FR146" s="62">
        <f>$FR145+$FP146</f>
        <v/>
      </c>
      <c r="FS146" s="62">
        <f>SUMIFS(tblSafety[LTI],tblSafety[Date],$A146)</f>
        <v/>
      </c>
      <c r="FT146" s="62">
        <f>IF($B146=$B145,$FT145,0)+$FS146</f>
        <v/>
      </c>
      <c r="FU146" s="62">
        <f>$FU145+$FS146</f>
        <v/>
      </c>
      <c r="FV146" s="62">
        <f>SUMIFS(tblSafety[RWI],tblSafety[Date],$A146)</f>
        <v/>
      </c>
      <c r="FW146" s="62">
        <f>IF($B146=$B145,$FW145,0)+$FV146</f>
        <v/>
      </c>
      <c r="FX146" s="62">
        <f>$FX145+$FV146</f>
        <v/>
      </c>
      <c r="FY146" s="62">
        <f>SUMIFS(tblSafety[MTI],tblSafety[Date],$A146)</f>
        <v/>
      </c>
      <c r="FZ146" s="62">
        <f>IF($B146=$B145,$FZ145,0)+$FY146</f>
        <v/>
      </c>
      <c r="GA146" s="62">
        <f>$GA145+$FY146</f>
        <v/>
      </c>
      <c r="GB146" s="62">
        <f>SUMIFS(tblSafety[FAI],tblSafety[Date],$A146)</f>
        <v/>
      </c>
      <c r="GC146" s="62">
        <f>IF($B146=$B145,$GC145,0)+$GB146</f>
        <v/>
      </c>
      <c r="GD146" s="62">
        <f>$GD145+$GB146</f>
        <v/>
      </c>
      <c r="GE146" s="62">
        <f>SUMIFS(tblSafety[Recordables],tblSafety[Date],$A146)</f>
        <v/>
      </c>
      <c r="GF146" s="62">
        <f>IF($B146=$B145,$GF145,0)+$GE146</f>
        <v/>
      </c>
      <c r="GG146" s="62">
        <f>$GG145+$GE146</f>
        <v/>
      </c>
      <c r="GH146" s="62">
        <f>SUMIFS(tblSafety[Near_Miss],tblSafety[Date],$A146)</f>
        <v/>
      </c>
      <c r="GI146" s="62">
        <f>IF($B146=$B145,$GI145,0)+$GH146</f>
        <v/>
      </c>
      <c r="GJ146" s="62">
        <f>$GJ145+$GH146</f>
        <v/>
      </c>
      <c r="GK146" s="62">
        <f>SUMIFS(tblSafety[Hazard_Reports],tblSafety[Date],$A146)</f>
        <v/>
      </c>
      <c r="GL146" s="62">
        <f>IF($B146=$B145,$GL145,0)+$GK146</f>
        <v/>
      </c>
      <c r="GM146" s="62">
        <f>$GM145+$GK146</f>
        <v/>
      </c>
      <c r="GN146" s="62">
        <f>SUMIFS(tblSafety[HPI],tblSafety[Date],$A146)</f>
        <v/>
      </c>
      <c r="GO146" s="62">
        <f>IF($B146=$B145,$GO145,0)+$GN146</f>
        <v/>
      </c>
      <c r="GP146" s="62">
        <f>$GP145+$GN146</f>
        <v/>
      </c>
      <c r="GQ146" s="62">
        <f>SUMIFS(tblSafety[Env_Incidents],tblSafety[Date],$A146)</f>
        <v/>
      </c>
      <c r="GR146" s="62">
        <f>IF($B146=$B145,$GR145,0)+$GQ146</f>
        <v/>
      </c>
      <c r="GS146" s="62">
        <f>$GS145+$GQ146</f>
        <v/>
      </c>
      <c r="GT146" s="62">
        <f>SUMIFS(tblSafety[Community_Incidents],tblSafety[Date],$A146)</f>
        <v/>
      </c>
      <c r="GU146" s="62">
        <f>IF($B146=$B145,$GU145,0)+$GT146</f>
        <v/>
      </c>
      <c r="GV146" s="62">
        <f>$GV145+$GT146</f>
        <v/>
      </c>
      <c r="GW146" s="62">
        <f>SUMIFS(tblSafety[Vehicle_Incidents],tblSafety[Date],$A146)</f>
        <v/>
      </c>
      <c r="GX146" s="62">
        <f>IF($B146=$B145,$GX145,0)+$GW146</f>
        <v/>
      </c>
      <c r="GY146" s="62">
        <f>$GY145+$GW146</f>
        <v/>
      </c>
      <c r="GZ146" s="62">
        <f>SUMIFS(tblSafety[Toolbox_Talks],tblSafety[Date],$A146)</f>
        <v/>
      </c>
      <c r="HA146" s="62">
        <f>IF($B146=$B145,$HA145,0)+$GZ146</f>
        <v/>
      </c>
      <c r="HB146" s="62">
        <f>$HB145+$GZ146</f>
        <v/>
      </c>
      <c r="HC146" s="62">
        <f>SUMIFS(tblSafety[Inspections],tblSafety[Date],$A146)</f>
        <v/>
      </c>
      <c r="HD146" s="62">
        <f>IF($B146=$B145,$HD145,0)+$HC146</f>
        <v/>
      </c>
      <c r="HE146" s="62">
        <f>$HE145+$HC146</f>
        <v/>
      </c>
      <c r="HF146" s="56">
        <f>IFERROR((SUMIFS(tblSafety[Recordables],tblSafety[Date],"&gt;="&amp;EDATE($E146,-12),tblSafety[Date],"&lt;="&amp;$A146)+SUMIFS(tblSafetyHistory[Recordables],tblSafetyHistory[Month],"&gt;="&amp;EDATE($E146,-12),tblSafetyHistory[Month],"&lt;"&amp;cfg_YearStart))/(SUMIFS(tblSafety[Hours_Total],tblSafety[Date],"&gt;="&amp;EDATE($E146,-12),tblSafety[Date],"&lt;="&amp;$A146)+SUMIFS(tblSafetyHistory[Hours_Total],tblSafetyHistory[Month],"&gt;="&amp;EDATE($E146,-12),tblSafetyHistory[Month],"&lt;"&amp;cfg_YearStart))*1000000,"")</f>
        <v/>
      </c>
      <c r="HG146" s="56">
        <f>IFERROR((SUMIFS(tblSafety[LTI],tblSafety[Date],"&gt;="&amp;EDATE($E146,-12),tblSafety[Date],"&lt;="&amp;$A146)+SUMIFS(tblSafetyHistory[LTI],tblSafetyHistory[Month],"&gt;="&amp;EDATE($E146,-12),tblSafetyHistory[Month],"&lt;"&amp;cfg_YearStart))/(SUMIFS(tblSafety[Hours_Total],tblSafety[Date],"&gt;="&amp;EDATE($E146,-12),tblSafety[Date],"&lt;="&amp;$A146)+SUMIFS(tblSafetyHistory[Hours_Total],tblSafetyHistory[Month],"&gt;="&amp;EDATE($E146,-12),tblSafetyHistory[Month],"&lt;"&amp;cfg_YearStart))*1000000,"")</f>
        <v/>
      </c>
      <c r="HH146" s="62">
        <f>IF(MAX(N(cfg_PriorLTIDate),_xlfn.MAXIFS(tblSafety[Date],tblSafety[LTI],"&gt;0",tblSafety[Date],"&lt;="&amp;$A146))=0,"",$A146-MAX(N(cfg_PriorLTIDate),_xlfn.MAXIFS(tblSafety[Date],tblSafety[LTI],"&gt;0",tblSafety[Date],"&lt;="&amp;$A146)))</f>
        <v/>
      </c>
      <c r="HI146" s="55">
        <f>SUMIFS(tblBudget[Ore_Mined_t],tblBudget[Month],$E146)</f>
        <v/>
      </c>
      <c r="HJ146" s="55">
        <f>$HI146*$C146/$D146</f>
        <v/>
      </c>
      <c r="HK146" s="55">
        <f>SUMIFS(tblBudget[Ore_Mined_t],tblBudget[Month],"&lt;"&amp;$E146)+$HJ146</f>
        <v/>
      </c>
      <c r="HL146" s="55">
        <f>SUMIFS(tblBudget[Ore_oz],tblBudget[Month],$E146)</f>
        <v/>
      </c>
      <c r="HM146" s="55">
        <f>$HL146*$C146/$D146</f>
        <v/>
      </c>
      <c r="HN146" s="55">
        <f>SUMIFS(tblBudget[Ore_oz],tblBudget[Month],"&lt;"&amp;$E146)+$HM146</f>
        <v/>
      </c>
      <c r="HO146" s="56">
        <f>IFERROR(IF(($HI146)&gt;0,($HL146*cfg_TroyOz)/($HI146),""),"")</f>
        <v/>
      </c>
      <c r="HP146" s="56">
        <f>IFERROR(IF(($HJ146)&gt;0,($HM146*cfg_TroyOz)/($HJ146),""),"")</f>
        <v/>
      </c>
      <c r="HQ146" s="56">
        <f>IFERROR(IF(($HK146)&gt;0,($HN146*cfg_TroyOz)/($HK146),""),"")</f>
        <v/>
      </c>
      <c r="HR146" s="55">
        <f>SUMIFS(tblBudget[Waste_t],tblBudget[Month],$E146)</f>
        <v/>
      </c>
      <c r="HS146" s="55">
        <f>$HR146*$C146/$D146</f>
        <v/>
      </c>
      <c r="HT146" s="55">
        <f>SUMIFS(tblBudget[Waste_t],tblBudget[Month],"&lt;"&amp;$E146)+$HS146</f>
        <v/>
      </c>
      <c r="HU146" s="55">
        <f>SUMIFS(tblBudget[TMM_t],tblBudget[Month],$E146)</f>
        <v/>
      </c>
      <c r="HV146" s="55">
        <f>$HU146*$C146/$D146</f>
        <v/>
      </c>
      <c r="HW146" s="55">
        <f>SUMIFS(tblBudget[TMM_t],tblBudget[Month],"&lt;"&amp;$E146)+$HV146</f>
        <v/>
      </c>
      <c r="HX146" s="56">
        <f>IFERROR(IF(($HI146)&gt;0,($HR146)/($HI146),""),"")</f>
        <v/>
      </c>
      <c r="HY146" s="56">
        <f>IFERROR(IF(($HJ146)&gt;0,($HS146)/($HJ146),""),"")</f>
        <v/>
      </c>
      <c r="HZ146" s="56">
        <f>IFERROR(IF(($HK146)&gt;0,($HT146)/($HK146),""),"")</f>
        <v/>
      </c>
      <c r="IA146" s="55">
        <f>SUMIFS(tblBudget[Drill_m],tblBudget[Month],$E146)</f>
        <v/>
      </c>
      <c r="IB146" s="55">
        <f>$IA146*$C146/$D146</f>
        <v/>
      </c>
      <c r="IC146" s="55">
        <f>SUMIFS(tblBudget[Drill_m],tblBudget[Month],"&lt;"&amp;$E146)+$IB146</f>
        <v/>
      </c>
      <c r="ID146" s="55">
        <f>SUMIFS(tblBudget[Diesel_L],tblBudget[Month],$E146)</f>
        <v/>
      </c>
      <c r="IE146" s="55">
        <f>$ID146*$C146/$D146</f>
        <v/>
      </c>
      <c r="IF146" s="55">
        <f>SUMIFS(tblBudget[Diesel_L],tblBudget[Month],"&lt;"&amp;$E146)+$IE146</f>
        <v/>
      </c>
      <c r="IG146" s="55">
        <f>SUMIFS(tblBudget[Milled_t],tblBudget[Month],$E146)</f>
        <v/>
      </c>
      <c r="IH146" s="55">
        <f>$IG146*$C146/$D146</f>
        <v/>
      </c>
      <c r="II146" s="55">
        <f>SUMIFS(tblBudget[Milled_t],tblBudget[Month],"&lt;"&amp;$E146)+$IH146</f>
        <v/>
      </c>
      <c r="IJ146" s="55">
        <f>SUMIFS(tblBudget[Feed_oz],tblBudget[Month],$E146)</f>
        <v/>
      </c>
      <c r="IK146" s="55">
        <f>$IJ146*$C146/$D146</f>
        <v/>
      </c>
      <c r="IL146" s="55">
        <f>SUMIFS(tblBudget[Feed_oz],tblBudget[Month],"&lt;"&amp;$E146)+$IK146</f>
        <v/>
      </c>
      <c r="IM146" s="55">
        <f>SUMIFS(tblBudget[Recovered_oz],tblBudget[Month],$E146)</f>
        <v/>
      </c>
      <c r="IN146" s="55">
        <f>$IM146*$C146/$D146</f>
        <v/>
      </c>
      <c r="IO146" s="55">
        <f>SUMIFS(tblBudget[Recovered_oz],tblBudget[Month],"&lt;"&amp;$E146)+$IN146</f>
        <v/>
      </c>
      <c r="IP146" s="56">
        <f>IFERROR(IF(($IG146)&gt;0,($IJ146*cfg_TroyOz)/($IG146),""),"")</f>
        <v/>
      </c>
      <c r="IQ146" s="56">
        <f>IFERROR(IF(($IH146)&gt;0,($IK146*cfg_TroyOz)/($IH146),""),"")</f>
        <v/>
      </c>
      <c r="IR146" s="56">
        <f>IFERROR(IF(($II146)&gt;0,($IL146*cfg_TroyOz)/($II146),""),"")</f>
        <v/>
      </c>
      <c r="IS146" s="67">
        <f>IFERROR(IF(($IJ146)&gt;0,($IM146)/($IJ146),""),"")</f>
        <v/>
      </c>
      <c r="IT146" s="67">
        <f>IFERROR(IF(($IK146)&gt;0,($IN146)/($IK146),""),"")</f>
        <v/>
      </c>
      <c r="IU146" s="67">
        <f>IFERROR(IF(($IL146)&gt;0,($IO146)/($IL146),""),"")</f>
        <v/>
      </c>
      <c r="IV146" s="55">
        <f>SUMIFS(tblBudget[Gold_Poured_oz],tblBudget[Month],$E146)</f>
        <v/>
      </c>
      <c r="IW146" s="55">
        <f>$IV146*$C146/$D146</f>
        <v/>
      </c>
      <c r="IX146" s="55">
        <f>SUMIFS(tblBudget[Gold_Poured_oz],tblBudget[Month],"&lt;"&amp;$E146)+$IW146</f>
        <v/>
      </c>
      <c r="IY146" s="57">
        <f>SUMIFS(tblBudget[Hours_Worked],tblBudget[Month],$E146)</f>
        <v/>
      </c>
      <c r="IZ146" s="57">
        <f>$IY146*$C146/$D146</f>
        <v/>
      </c>
      <c r="JA146" s="57">
        <f>SUMIFS(tblBudget[Hours_Worked],tblBudget[Month],"&lt;"&amp;$E146)+$IZ146</f>
        <v/>
      </c>
    </row>
    <row r="147">
      <c r="A147" s="54" t="n">
        <v>46168</v>
      </c>
      <c r="B147">
        <f>MONTH($A147)</f>
        <v/>
      </c>
      <c r="C147">
        <f>DAY($A147)</f>
        <v/>
      </c>
      <c r="D147">
        <f>DAY(EOMONTH($A147,0))</f>
        <v/>
      </c>
      <c r="E147" s="54">
        <f>DATE(YEAR($A147),MONTH($A147),1)</f>
        <v/>
      </c>
      <c r="F147" s="55">
        <f>SUMIFS(tblMovement[Tonnes_t],tblMovement[Date],$A147,tblMovement[Is_Ore],1,tblMovement[Source_Type],"Pit")</f>
        <v/>
      </c>
      <c r="G147" s="55">
        <f>IF($B147=$B146,$G146,0)+$F147</f>
        <v/>
      </c>
      <c r="H147" s="55">
        <f>$H146+$F147</f>
        <v/>
      </c>
      <c r="I147" s="55">
        <f>SUMIFS(tblMovement[Ore_oz],tblMovement[Date],$A147,tblMovement[Source_Type],"Pit")</f>
        <v/>
      </c>
      <c r="J147" s="55">
        <f>IF($B147=$B146,$J146,0)+$I147</f>
        <v/>
      </c>
      <c r="K147" s="55">
        <f>$K146+$I147</f>
        <v/>
      </c>
      <c r="L147" s="56">
        <f>IFERROR(IF(($F147)&gt;0,($I147*cfg_TroyOz)/($F147),""),"")</f>
        <v/>
      </c>
      <c r="M147" s="56">
        <f>IFERROR(IF(($G147)&gt;0,($J147*cfg_TroyOz)/($G147),""),"")</f>
        <v/>
      </c>
      <c r="N147" s="56">
        <f>IFERROR(IF(($H147)&gt;0,($K147*cfg_TroyOz)/($H147),""),"")</f>
        <v/>
      </c>
      <c r="O147" s="55">
        <f>SUMIFS(tblMovement[Tonnes_t],tblMovement[Date],$A147,tblMovement[Is_Ore],0,tblMovement[Source_Type],"Pit")</f>
        <v/>
      </c>
      <c r="P147" s="55">
        <f>IF($B147=$B146,$P146,0)+$O147</f>
        <v/>
      </c>
      <c r="Q147" s="55">
        <f>$Q146+$O147</f>
        <v/>
      </c>
      <c r="R147" s="55">
        <f>$F147+$O147</f>
        <v/>
      </c>
      <c r="S147" s="55">
        <f>IF($B147=$B146,$S146,0)+$R147</f>
        <v/>
      </c>
      <c r="T147" s="55">
        <f>$T146+$R147</f>
        <v/>
      </c>
      <c r="U147" s="56">
        <f>IFERROR(IF(($F147)&gt;0,($O147)/($F147),""),"")</f>
        <v/>
      </c>
      <c r="V147" s="56">
        <f>IFERROR(IF(($G147)&gt;0,($P147)/($G147),""),"")</f>
        <v/>
      </c>
      <c r="W147" s="56">
        <f>IFERROR(IF(($H147)&gt;0,($Q147)/($H147),""),"")</f>
        <v/>
      </c>
      <c r="X147" s="55">
        <f>SUMIFS(tblMovement[Tonnes_t],tblMovement[Date],$A147,tblMovement[Source_Type],"Stockpile")</f>
        <v/>
      </c>
      <c r="Y147" s="55">
        <f>IF($B147=$B146,$Y146,0)+$X147</f>
        <v/>
      </c>
      <c r="Z147" s="55">
        <f>$Z146+$X147</f>
        <v/>
      </c>
      <c r="AA147" s="55">
        <f>SUMIFS(tblMiningDaily[Drill_m],tblMiningDaily[Date],$A147)</f>
        <v/>
      </c>
      <c r="AB147" s="55">
        <f>IF($B147=$B146,$AB146,0)+$AA147</f>
        <v/>
      </c>
      <c r="AC147" s="55">
        <f>$AC146+$AA147</f>
        <v/>
      </c>
      <c r="AD147" s="55">
        <f>SUMIFS(tblMiningDaily[Blast_t],tblMiningDaily[Date],$A147)</f>
        <v/>
      </c>
      <c r="AE147" s="55">
        <f>IF($B147=$B146,$AE146,0)+$AD147</f>
        <v/>
      </c>
      <c r="AF147" s="55">
        <f>$AF146+$AD147</f>
        <v/>
      </c>
      <c r="AG147" s="55">
        <f>SUMIFS(tblMiningDaily[Explosives_kg],tblMiningDaily[Date],$A147)</f>
        <v/>
      </c>
      <c r="AH147" s="55">
        <f>IF($B147=$B146,$AH146,0)+$AG147</f>
        <v/>
      </c>
      <c r="AI147" s="55">
        <f>$AI146+$AG147</f>
        <v/>
      </c>
      <c r="AJ147" s="56">
        <f>IFERROR(IF(($AD147)&gt;0,($AG147)/($AD147),""),"")</f>
        <v/>
      </c>
      <c r="AK147" s="56">
        <f>IFERROR(IF(($AE147)&gt;0,($AH147)/($AE147),""),"")</f>
        <v/>
      </c>
      <c r="AL147" s="56">
        <f>IFERROR(IF(($AF147)&gt;0,($AI147)/($AF147),""),"")</f>
        <v/>
      </c>
      <c r="AM147" s="55">
        <f>SUMIFS(tblMiningDaily[Diesel_L],tblMiningDaily[Date],$A147)</f>
        <v/>
      </c>
      <c r="AN147" s="55">
        <f>IF($B147=$B146,$AN146,0)+$AM147</f>
        <v/>
      </c>
      <c r="AO147" s="55">
        <f>$AO146+$AM147</f>
        <v/>
      </c>
      <c r="AP147" s="55">
        <f>SUMIFS(tblMiningDaily[Dewatering_m3],tblMiningDaily[Date],$A147)</f>
        <v/>
      </c>
      <c r="AQ147" s="55">
        <f>IF($B147=$B146,$AQ146,0)+$AP147</f>
        <v/>
      </c>
      <c r="AR147" s="55">
        <f>$AR146+$AP147</f>
        <v/>
      </c>
      <c r="AS147" s="57">
        <f>SUMIFS(tblFleet[Calendar_h],tblFleet[Date],$A147,tblFleet[Equipment_Class],"Excavator")</f>
        <v/>
      </c>
      <c r="AT147" s="57">
        <f>IF($B147=$B146,$AT146,0)+$AS147</f>
        <v/>
      </c>
      <c r="AU147" s="57">
        <f>$AU146+$AS147</f>
        <v/>
      </c>
      <c r="AV147" s="57">
        <f>SUMIFS(tblFleet[Available_h],tblFleet[Date],$A147,tblFleet[Equipment_Class],"Excavator")</f>
        <v/>
      </c>
      <c r="AW147" s="57">
        <f>IF($B147=$B146,$AW146,0)+$AV147</f>
        <v/>
      </c>
      <c r="AX147" s="57">
        <f>$AX146+$AV147</f>
        <v/>
      </c>
      <c r="AY147" s="57">
        <f>SUMIFS(tblFleet[Operating_h],tblFleet[Date],$A147,tblFleet[Equipment_Class],"Excavator")</f>
        <v/>
      </c>
      <c r="AZ147" s="57">
        <f>IF($B147=$B146,$AZ146,0)+$AY147</f>
        <v/>
      </c>
      <c r="BA147" s="57">
        <f>$BA146+$AY147</f>
        <v/>
      </c>
      <c r="BB147" s="67">
        <f>IFERROR(IF(($AS147)&gt;0,($AV147)/($AS147),""),"")</f>
        <v/>
      </c>
      <c r="BC147" s="67">
        <f>IFERROR(IF(($AT147)&gt;0,($AW147)/($AT147),""),"")</f>
        <v/>
      </c>
      <c r="BD147" s="67">
        <f>IFERROR(IF(($AU147)&gt;0,($AX147)/($AU147),""),"")</f>
        <v/>
      </c>
      <c r="BE147" s="67">
        <f>IFERROR(IF(($AV147)&gt;0,($AY147)/($AV147),""),"")</f>
        <v/>
      </c>
      <c r="BF147" s="67">
        <f>IFERROR(IF(($AW147)&gt;0,($AZ147)/($AW147),""),"")</f>
        <v/>
      </c>
      <c r="BG147" s="67">
        <f>IFERROR(IF(($AX147)&gt;0,($BA147)/($AX147),""),"")</f>
        <v/>
      </c>
      <c r="BH147" s="57">
        <f>SUMIFS(tblFleet[Calendar_h],tblFleet[Date],$A147,tblFleet[Equipment_Class],"Haul Truck")</f>
        <v/>
      </c>
      <c r="BI147" s="57">
        <f>IF($B147=$B146,$BI146,0)+$BH147</f>
        <v/>
      </c>
      <c r="BJ147" s="57">
        <f>$BJ146+$BH147</f>
        <v/>
      </c>
      <c r="BK147" s="57">
        <f>SUMIFS(tblFleet[Available_h],tblFleet[Date],$A147,tblFleet[Equipment_Class],"Haul Truck")</f>
        <v/>
      </c>
      <c r="BL147" s="57">
        <f>IF($B147=$B146,$BL146,0)+$BK147</f>
        <v/>
      </c>
      <c r="BM147" s="57">
        <f>$BM146+$BK147</f>
        <v/>
      </c>
      <c r="BN147" s="57">
        <f>SUMIFS(tblFleet[Operating_h],tblFleet[Date],$A147,tblFleet[Equipment_Class],"Haul Truck")</f>
        <v/>
      </c>
      <c r="BO147" s="57">
        <f>IF($B147=$B146,$BO146,0)+$BN147</f>
        <v/>
      </c>
      <c r="BP147" s="57">
        <f>$BP146+$BN147</f>
        <v/>
      </c>
      <c r="BQ147" s="67">
        <f>IFERROR(IF(($BH147)&gt;0,($BK147)/($BH147),""),"")</f>
        <v/>
      </c>
      <c r="BR147" s="67">
        <f>IFERROR(IF(($BI147)&gt;0,($BL147)/($BI147),""),"")</f>
        <v/>
      </c>
      <c r="BS147" s="67">
        <f>IFERROR(IF(($BJ147)&gt;0,($BM147)/($BJ147),""),"")</f>
        <v/>
      </c>
      <c r="BT147" s="67">
        <f>IFERROR(IF(($BK147)&gt;0,($BN147)/($BK147),""),"")</f>
        <v/>
      </c>
      <c r="BU147" s="67">
        <f>IFERROR(IF(($BL147)&gt;0,($BO147)/($BL147),""),"")</f>
        <v/>
      </c>
      <c r="BV147" s="67">
        <f>IFERROR(IF(($BM147)&gt;0,($BP147)/($BM147),""),"")</f>
        <v/>
      </c>
      <c r="BW147" s="55">
        <f>SUMIFS(tblPlant[Crushed_t],tblPlant[Date],$A147)</f>
        <v/>
      </c>
      <c r="BX147" s="55">
        <f>IF($B147=$B146,$BX146,0)+$BW147</f>
        <v/>
      </c>
      <c r="BY147" s="55">
        <f>$BY146+$BW147</f>
        <v/>
      </c>
      <c r="BZ147" s="55">
        <f>SUMIFS(tblPlant[Milled_t],tblPlant[Date],$A147)</f>
        <v/>
      </c>
      <c r="CA147" s="55">
        <f>IF($B147=$B146,$CA146,0)+$BZ147</f>
        <v/>
      </c>
      <c r="CB147" s="55">
        <f>$CB146+$BZ147</f>
        <v/>
      </c>
      <c r="CC147" s="55">
        <f>SUMIFS(tblPlant[Feed_oz],tblPlant[Date],$A147)</f>
        <v/>
      </c>
      <c r="CD147" s="55">
        <f>IF($B147=$B146,$CD146,0)+$CC147</f>
        <v/>
      </c>
      <c r="CE147" s="55">
        <f>$CE146+$CC147</f>
        <v/>
      </c>
      <c r="CF147" s="55">
        <f>SUMIFS(tblPlant[Tails_oz],tblPlant[Date],$A147)</f>
        <v/>
      </c>
      <c r="CG147" s="55">
        <f>IF($B147=$B146,$CG146,0)+$CF147</f>
        <v/>
      </c>
      <c r="CH147" s="55">
        <f>$CH146+$CF147</f>
        <v/>
      </c>
      <c r="CI147" s="55">
        <f>SUMIFS(tblPlant[Recovered_oz],tblPlant[Date],$A147)</f>
        <v/>
      </c>
      <c r="CJ147" s="55">
        <f>IF($B147=$B146,$CJ146,0)+$CI147</f>
        <v/>
      </c>
      <c r="CK147" s="55">
        <f>$CK146+$CI147</f>
        <v/>
      </c>
      <c r="CL147" s="56">
        <f>IFERROR(IF(($BZ147)&gt;0,($CC147*cfg_TroyOz)/($BZ147),""),"")</f>
        <v/>
      </c>
      <c r="CM147" s="56">
        <f>IFERROR(IF(($CA147)&gt;0,($CD147*cfg_TroyOz)/($CA147),""),"")</f>
        <v/>
      </c>
      <c r="CN147" s="56">
        <f>IFERROR(IF(($CB147)&gt;0,($CE147*cfg_TroyOz)/($CB147),""),"")</f>
        <v/>
      </c>
      <c r="CO147" s="56">
        <f>IFERROR(IF(($BZ147)&gt;0,($CF147*cfg_TroyOz)/($BZ147),""),"")</f>
        <v/>
      </c>
      <c r="CP147" s="56">
        <f>IFERROR(IF(($CA147)&gt;0,($CG147*cfg_TroyOz)/($CA147),""),"")</f>
        <v/>
      </c>
      <c r="CQ147" s="56">
        <f>IFERROR(IF(($CB147)&gt;0,($CH147*cfg_TroyOz)/($CB147),""),"")</f>
        <v/>
      </c>
      <c r="CR147" s="67">
        <f>IFERROR(IF(($CC147)&gt;0,($CI147)/($CC147),""),"")</f>
        <v/>
      </c>
      <c r="CS147" s="67">
        <f>IFERROR(IF(($CD147)&gt;0,($CJ147)/($CD147),""),"")</f>
        <v/>
      </c>
      <c r="CT147" s="67">
        <f>IFERROR(IF(($CE147)&gt;0,($CK147)/($CE147),""),"")</f>
        <v/>
      </c>
      <c r="CU147" s="55">
        <f>SUMIFS(tblPlant[Gravity_Gold_oz],tblPlant[Date],$A147)</f>
        <v/>
      </c>
      <c r="CV147" s="55">
        <f>IF($B147=$B146,$CV146,0)+$CU147</f>
        <v/>
      </c>
      <c r="CW147" s="55">
        <f>$CW146+$CU147</f>
        <v/>
      </c>
      <c r="CX147" s="55">
        <f>SUMIFS(tblPlant[Gold_Poured_oz],tblPlant[Date],$A147)</f>
        <v/>
      </c>
      <c r="CY147" s="55">
        <f>IF($B147=$B146,$CY146,0)+$CX147</f>
        <v/>
      </c>
      <c r="CZ147" s="55">
        <f>$CZ146+$CX147</f>
        <v/>
      </c>
      <c r="DA147" s="57">
        <f>SUMIFS(tblPlant[Mill_Run_h],tblPlant[Date],$A147)</f>
        <v/>
      </c>
      <c r="DB147" s="57">
        <f>IF($B147=$B146,$DB146,0)+$DA147</f>
        <v/>
      </c>
      <c r="DC147" s="57">
        <f>$DC146+$DA147</f>
        <v/>
      </c>
      <c r="DD147" s="57">
        <f>SUMIFS(tblPlant[Mill_Planned_Maint_h],tblPlant[Date],$A147)</f>
        <v/>
      </c>
      <c r="DE147" s="57">
        <f>IF($B147=$B146,$DE146,0)+$DD147</f>
        <v/>
      </c>
      <c r="DF147" s="57">
        <f>$DF146+$DD147</f>
        <v/>
      </c>
      <c r="DG147" s="57">
        <f>SUMIFS(tblPlant[Mill_Unplanned_Down_h],tblPlant[Date],$A147)</f>
        <v/>
      </c>
      <c r="DH147" s="57">
        <f>IF($B147=$B146,$DH146,0)+$DG147</f>
        <v/>
      </c>
      <c r="DI147" s="57">
        <f>$DI146+$DG147</f>
        <v/>
      </c>
      <c r="DJ147" s="57">
        <f>COUNTIFS(tblPlant[Date],$A147,tblPlant[Mill_Run_h],"&lt;&gt;")*24</f>
        <v/>
      </c>
      <c r="DK147" s="57">
        <f>IF($B147=$B146,$DK146,0)+$DJ147</f>
        <v/>
      </c>
      <c r="DL147" s="57">
        <f>$DL146+$DJ147</f>
        <v/>
      </c>
      <c r="DM147" s="57">
        <f>SUMIFS(tblPlant[Crusher_Run_h],tblPlant[Date],$A147)</f>
        <v/>
      </c>
      <c r="DN147" s="57">
        <f>IF($B147=$B146,$DN146,0)+$DM147</f>
        <v/>
      </c>
      <c r="DO147" s="57">
        <f>$DO146+$DM147</f>
        <v/>
      </c>
      <c r="DP147" s="55">
        <f>IFERROR(IF(($DA147)&gt;0,($BZ147)/($DA147),""),"")</f>
        <v/>
      </c>
      <c r="DQ147" s="55">
        <f>IFERROR(IF(($DB147)&gt;0,($CA147)/($DB147),""),"")</f>
        <v/>
      </c>
      <c r="DR147" s="55">
        <f>IFERROR(IF(($DC147)&gt;0,($CB147)/($DC147),""),"")</f>
        <v/>
      </c>
      <c r="DS147" s="67">
        <f>IFERROR(IF(($DJ147)&gt;0,($DJ147-$DD147-$DG147)/($DJ147),""),"")</f>
        <v/>
      </c>
      <c r="DT147" s="67">
        <f>IFERROR(IF(($DK147)&gt;0,($DK147-$DE147-$DH147)/($DK147),""),"")</f>
        <v/>
      </c>
      <c r="DU147" s="67">
        <f>IFERROR(IF(($DL147)&gt;0,($DL147-$DF147-$DI147)/($DL147),""),"")</f>
        <v/>
      </c>
      <c r="DV147" s="67">
        <f>IFERROR(IF(($DJ147-$DD147-$DG147)&gt;0,($DA147)/($DJ147-$DD147-$DG147),""),"")</f>
        <v/>
      </c>
      <c r="DW147" s="67">
        <f>IFERROR(IF(($DK147-$DE147-$DH147)&gt;0,($DB147)/($DK147-$DE147-$DH147),""),"")</f>
        <v/>
      </c>
      <c r="DX147" s="67">
        <f>IFERROR(IF(($DL147-$DF147-$DI147)&gt;0,($DC147)/($DL147-$DF147-$DI147),""),"")</f>
        <v/>
      </c>
      <c r="DY147" s="55">
        <f>SUMIFS(tblPlant[Cyanide_kg],tblPlant[Date],$A147)</f>
        <v/>
      </c>
      <c r="DZ147" s="55">
        <f>IF($B147=$B146,$DZ146,0)+$DY147</f>
        <v/>
      </c>
      <c r="EA147" s="55">
        <f>$EA146+$DY147</f>
        <v/>
      </c>
      <c r="EB147" s="55">
        <f>SUMIFS(tblPlant[Lime_kg],tblPlant[Date],$A147)</f>
        <v/>
      </c>
      <c r="EC147" s="55">
        <f>IF($B147=$B146,$EC146,0)+$EB147</f>
        <v/>
      </c>
      <c r="ED147" s="55">
        <f>$ED146+$EB147</f>
        <v/>
      </c>
      <c r="EE147" s="55">
        <f>SUMIFS(tblPlant[Grinding_Media_kg],tblPlant[Date],$A147)</f>
        <v/>
      </c>
      <c r="EF147" s="55">
        <f>IF($B147=$B146,$EF146,0)+$EE147</f>
        <v/>
      </c>
      <c r="EG147" s="55">
        <f>$EG146+$EE147</f>
        <v/>
      </c>
      <c r="EH147" s="55">
        <f>SUMIFS(tblPlant[Power_kWh],tblPlant[Date],$A147)</f>
        <v/>
      </c>
      <c r="EI147" s="55">
        <f>IF($B147=$B146,$EI146,0)+$EH147</f>
        <v/>
      </c>
      <c r="EJ147" s="55">
        <f>$EJ146+$EH147</f>
        <v/>
      </c>
      <c r="EK147" s="55">
        <f>SUMIFS(tblPlant[Raw_Water_m3],tblPlant[Date],$A147)</f>
        <v/>
      </c>
      <c r="EL147" s="55">
        <f>IF($B147=$B146,$EL146,0)+$EK147</f>
        <v/>
      </c>
      <c r="EM147" s="55">
        <f>$EM146+$EK147</f>
        <v/>
      </c>
      <c r="EN147" s="56">
        <f>IFERROR(IF(($BZ147)&gt;0,($DY147)/($BZ147),""),"")</f>
        <v/>
      </c>
      <c r="EO147" s="56">
        <f>IFERROR(IF(($CA147)&gt;0,($DZ147)/($CA147),""),"")</f>
        <v/>
      </c>
      <c r="EP147" s="56">
        <f>IFERROR(IF(($CB147)&gt;0,($EA147)/($CB147),""),"")</f>
        <v/>
      </c>
      <c r="EQ147" s="56">
        <f>IFERROR(IF(($BZ147)&gt;0,($EB147)/($BZ147),""),"")</f>
        <v/>
      </c>
      <c r="ER147" s="56">
        <f>IFERROR(IF(($CA147)&gt;0,($EC147)/($CA147),""),"")</f>
        <v/>
      </c>
      <c r="ES147" s="56">
        <f>IFERROR(IF(($CB147)&gt;0,($ED147)/($CB147),""),"")</f>
        <v/>
      </c>
      <c r="ET147" s="56">
        <f>IFERROR(IF(($BZ147)&gt;0,($EE147)/($BZ147),""),"")</f>
        <v/>
      </c>
      <c r="EU147" s="56">
        <f>IFERROR(IF(($CA147)&gt;0,($EF147)/($CA147),""),"")</f>
        <v/>
      </c>
      <c r="EV147" s="56">
        <f>IFERROR(IF(($CB147)&gt;0,($EG147)/($CB147),""),"")</f>
        <v/>
      </c>
      <c r="EW147" s="76">
        <f>IFERROR(IF(($BZ147)&gt;0,($EH147)/($BZ147),""),"")</f>
        <v/>
      </c>
      <c r="EX147" s="76">
        <f>IFERROR(IF(($CA147)&gt;0,($EI147)/($CA147),""),"")</f>
        <v/>
      </c>
      <c r="EY147" s="76">
        <f>IFERROR(IF(($CB147)&gt;0,($EJ147)/($CB147),""),"")</f>
        <v/>
      </c>
      <c r="EZ147" s="56">
        <f>IFERROR(IF(($BZ147)&gt;0,($EK147)/($BZ147),""),"")</f>
        <v/>
      </c>
      <c r="FA147" s="56">
        <f>IFERROR(IF(($CA147)&gt;0,($EL147)/($CA147),""),"")</f>
        <v/>
      </c>
      <c r="FB147" s="56">
        <f>IFERROR(IF(($CB147)&gt;0,($EM147)/($CB147),""),"")</f>
        <v/>
      </c>
      <c r="FC147" s="55">
        <f>IF(SUMIFS(tblPlant[GIC_oz],tblPlant[Date],$A147)&gt;0,SUMIFS(tblPlant[GIC_oz],tblPlant[Date],$A147),"")</f>
        <v/>
      </c>
      <c r="FD147" s="55">
        <f>SUMIFS(tblGold[Gold_oz],tblGold[Date],$A147,tblGold[Type],"Shipment")</f>
        <v/>
      </c>
      <c r="FE147" s="55">
        <f>IF($B147=$B146,$FE146,0)+$FD147</f>
        <v/>
      </c>
      <c r="FF147" s="55">
        <f>$FF146+$FD147</f>
        <v/>
      </c>
      <c r="FG147" s="55">
        <f>SUMIFS(tblGold[Gold_oz],tblGold[Date],$A147,tblGold[Type],"Sale")</f>
        <v/>
      </c>
      <c r="FH147" s="55">
        <f>IF($B147=$B146,$FH146,0)+$FG147</f>
        <v/>
      </c>
      <c r="FI147" s="55">
        <f>$FI146+$FG147</f>
        <v/>
      </c>
      <c r="FJ147" s="55">
        <f>SUMIFS(tblGold[Dore_kg],tblGold[Date],$A147,tblGold[Type],"Shipment")</f>
        <v/>
      </c>
      <c r="FK147" s="55">
        <f>IF($B147=$B146,$FK146,0)+$FJ147</f>
        <v/>
      </c>
      <c r="FL147" s="55">
        <f>$FL146+$FJ147</f>
        <v/>
      </c>
      <c r="FM147" s="57">
        <f>SUMIFS(tblSafety[Hours_Total],tblSafety[Date],$A147)</f>
        <v/>
      </c>
      <c r="FN147" s="57">
        <f>IF($B147=$B146,$FN146,0)+$FM147</f>
        <v/>
      </c>
      <c r="FO147" s="57">
        <f>$FO146+$FM147</f>
        <v/>
      </c>
      <c r="FP147" s="62">
        <f>SUMIFS(tblSafety[Fatality],tblSafety[Date],$A147)</f>
        <v/>
      </c>
      <c r="FQ147" s="62">
        <f>IF($B147=$B146,$FQ146,0)+$FP147</f>
        <v/>
      </c>
      <c r="FR147" s="62">
        <f>$FR146+$FP147</f>
        <v/>
      </c>
      <c r="FS147" s="62">
        <f>SUMIFS(tblSafety[LTI],tblSafety[Date],$A147)</f>
        <v/>
      </c>
      <c r="FT147" s="62">
        <f>IF($B147=$B146,$FT146,0)+$FS147</f>
        <v/>
      </c>
      <c r="FU147" s="62">
        <f>$FU146+$FS147</f>
        <v/>
      </c>
      <c r="FV147" s="62">
        <f>SUMIFS(tblSafety[RWI],tblSafety[Date],$A147)</f>
        <v/>
      </c>
      <c r="FW147" s="62">
        <f>IF($B147=$B146,$FW146,0)+$FV147</f>
        <v/>
      </c>
      <c r="FX147" s="62">
        <f>$FX146+$FV147</f>
        <v/>
      </c>
      <c r="FY147" s="62">
        <f>SUMIFS(tblSafety[MTI],tblSafety[Date],$A147)</f>
        <v/>
      </c>
      <c r="FZ147" s="62">
        <f>IF($B147=$B146,$FZ146,0)+$FY147</f>
        <v/>
      </c>
      <c r="GA147" s="62">
        <f>$GA146+$FY147</f>
        <v/>
      </c>
      <c r="GB147" s="62">
        <f>SUMIFS(tblSafety[FAI],tblSafety[Date],$A147)</f>
        <v/>
      </c>
      <c r="GC147" s="62">
        <f>IF($B147=$B146,$GC146,0)+$GB147</f>
        <v/>
      </c>
      <c r="GD147" s="62">
        <f>$GD146+$GB147</f>
        <v/>
      </c>
      <c r="GE147" s="62">
        <f>SUMIFS(tblSafety[Recordables],tblSafety[Date],$A147)</f>
        <v/>
      </c>
      <c r="GF147" s="62">
        <f>IF($B147=$B146,$GF146,0)+$GE147</f>
        <v/>
      </c>
      <c r="GG147" s="62">
        <f>$GG146+$GE147</f>
        <v/>
      </c>
      <c r="GH147" s="62">
        <f>SUMIFS(tblSafety[Near_Miss],tblSafety[Date],$A147)</f>
        <v/>
      </c>
      <c r="GI147" s="62">
        <f>IF($B147=$B146,$GI146,0)+$GH147</f>
        <v/>
      </c>
      <c r="GJ147" s="62">
        <f>$GJ146+$GH147</f>
        <v/>
      </c>
      <c r="GK147" s="62">
        <f>SUMIFS(tblSafety[Hazard_Reports],tblSafety[Date],$A147)</f>
        <v/>
      </c>
      <c r="GL147" s="62">
        <f>IF($B147=$B146,$GL146,0)+$GK147</f>
        <v/>
      </c>
      <c r="GM147" s="62">
        <f>$GM146+$GK147</f>
        <v/>
      </c>
      <c r="GN147" s="62">
        <f>SUMIFS(tblSafety[HPI],tblSafety[Date],$A147)</f>
        <v/>
      </c>
      <c r="GO147" s="62">
        <f>IF($B147=$B146,$GO146,0)+$GN147</f>
        <v/>
      </c>
      <c r="GP147" s="62">
        <f>$GP146+$GN147</f>
        <v/>
      </c>
      <c r="GQ147" s="62">
        <f>SUMIFS(tblSafety[Env_Incidents],tblSafety[Date],$A147)</f>
        <v/>
      </c>
      <c r="GR147" s="62">
        <f>IF($B147=$B146,$GR146,0)+$GQ147</f>
        <v/>
      </c>
      <c r="GS147" s="62">
        <f>$GS146+$GQ147</f>
        <v/>
      </c>
      <c r="GT147" s="62">
        <f>SUMIFS(tblSafety[Community_Incidents],tblSafety[Date],$A147)</f>
        <v/>
      </c>
      <c r="GU147" s="62">
        <f>IF($B147=$B146,$GU146,0)+$GT147</f>
        <v/>
      </c>
      <c r="GV147" s="62">
        <f>$GV146+$GT147</f>
        <v/>
      </c>
      <c r="GW147" s="62">
        <f>SUMIFS(tblSafety[Vehicle_Incidents],tblSafety[Date],$A147)</f>
        <v/>
      </c>
      <c r="GX147" s="62">
        <f>IF($B147=$B146,$GX146,0)+$GW147</f>
        <v/>
      </c>
      <c r="GY147" s="62">
        <f>$GY146+$GW147</f>
        <v/>
      </c>
      <c r="GZ147" s="62">
        <f>SUMIFS(tblSafety[Toolbox_Talks],tblSafety[Date],$A147)</f>
        <v/>
      </c>
      <c r="HA147" s="62">
        <f>IF($B147=$B146,$HA146,0)+$GZ147</f>
        <v/>
      </c>
      <c r="HB147" s="62">
        <f>$HB146+$GZ147</f>
        <v/>
      </c>
      <c r="HC147" s="62">
        <f>SUMIFS(tblSafety[Inspections],tblSafety[Date],$A147)</f>
        <v/>
      </c>
      <c r="HD147" s="62">
        <f>IF($B147=$B146,$HD146,0)+$HC147</f>
        <v/>
      </c>
      <c r="HE147" s="62">
        <f>$HE146+$HC147</f>
        <v/>
      </c>
      <c r="HF147" s="56">
        <f>IFERROR((SUMIFS(tblSafety[Recordables],tblSafety[Date],"&gt;="&amp;EDATE($E147,-12),tblSafety[Date],"&lt;="&amp;$A147)+SUMIFS(tblSafetyHistory[Recordables],tblSafetyHistory[Month],"&gt;="&amp;EDATE($E147,-12),tblSafetyHistory[Month],"&lt;"&amp;cfg_YearStart))/(SUMIFS(tblSafety[Hours_Total],tblSafety[Date],"&gt;="&amp;EDATE($E147,-12),tblSafety[Date],"&lt;="&amp;$A147)+SUMIFS(tblSafetyHistory[Hours_Total],tblSafetyHistory[Month],"&gt;="&amp;EDATE($E147,-12),tblSafetyHistory[Month],"&lt;"&amp;cfg_YearStart))*1000000,"")</f>
        <v/>
      </c>
      <c r="HG147" s="56">
        <f>IFERROR((SUMIFS(tblSafety[LTI],tblSafety[Date],"&gt;="&amp;EDATE($E147,-12),tblSafety[Date],"&lt;="&amp;$A147)+SUMIFS(tblSafetyHistory[LTI],tblSafetyHistory[Month],"&gt;="&amp;EDATE($E147,-12),tblSafetyHistory[Month],"&lt;"&amp;cfg_YearStart))/(SUMIFS(tblSafety[Hours_Total],tblSafety[Date],"&gt;="&amp;EDATE($E147,-12),tblSafety[Date],"&lt;="&amp;$A147)+SUMIFS(tblSafetyHistory[Hours_Total],tblSafetyHistory[Month],"&gt;="&amp;EDATE($E147,-12),tblSafetyHistory[Month],"&lt;"&amp;cfg_YearStart))*1000000,"")</f>
        <v/>
      </c>
      <c r="HH147" s="62">
        <f>IF(MAX(N(cfg_PriorLTIDate),_xlfn.MAXIFS(tblSafety[Date],tblSafety[LTI],"&gt;0",tblSafety[Date],"&lt;="&amp;$A147))=0,"",$A147-MAX(N(cfg_PriorLTIDate),_xlfn.MAXIFS(tblSafety[Date],tblSafety[LTI],"&gt;0",tblSafety[Date],"&lt;="&amp;$A147)))</f>
        <v/>
      </c>
      <c r="HI147" s="55">
        <f>SUMIFS(tblBudget[Ore_Mined_t],tblBudget[Month],$E147)</f>
        <v/>
      </c>
      <c r="HJ147" s="55">
        <f>$HI147*$C147/$D147</f>
        <v/>
      </c>
      <c r="HK147" s="55">
        <f>SUMIFS(tblBudget[Ore_Mined_t],tblBudget[Month],"&lt;"&amp;$E147)+$HJ147</f>
        <v/>
      </c>
      <c r="HL147" s="55">
        <f>SUMIFS(tblBudget[Ore_oz],tblBudget[Month],$E147)</f>
        <v/>
      </c>
      <c r="HM147" s="55">
        <f>$HL147*$C147/$D147</f>
        <v/>
      </c>
      <c r="HN147" s="55">
        <f>SUMIFS(tblBudget[Ore_oz],tblBudget[Month],"&lt;"&amp;$E147)+$HM147</f>
        <v/>
      </c>
      <c r="HO147" s="56">
        <f>IFERROR(IF(($HI147)&gt;0,($HL147*cfg_TroyOz)/($HI147),""),"")</f>
        <v/>
      </c>
      <c r="HP147" s="56">
        <f>IFERROR(IF(($HJ147)&gt;0,($HM147*cfg_TroyOz)/($HJ147),""),"")</f>
        <v/>
      </c>
      <c r="HQ147" s="56">
        <f>IFERROR(IF(($HK147)&gt;0,($HN147*cfg_TroyOz)/($HK147),""),"")</f>
        <v/>
      </c>
      <c r="HR147" s="55">
        <f>SUMIFS(tblBudget[Waste_t],tblBudget[Month],$E147)</f>
        <v/>
      </c>
      <c r="HS147" s="55">
        <f>$HR147*$C147/$D147</f>
        <v/>
      </c>
      <c r="HT147" s="55">
        <f>SUMIFS(tblBudget[Waste_t],tblBudget[Month],"&lt;"&amp;$E147)+$HS147</f>
        <v/>
      </c>
      <c r="HU147" s="55">
        <f>SUMIFS(tblBudget[TMM_t],tblBudget[Month],$E147)</f>
        <v/>
      </c>
      <c r="HV147" s="55">
        <f>$HU147*$C147/$D147</f>
        <v/>
      </c>
      <c r="HW147" s="55">
        <f>SUMIFS(tblBudget[TMM_t],tblBudget[Month],"&lt;"&amp;$E147)+$HV147</f>
        <v/>
      </c>
      <c r="HX147" s="56">
        <f>IFERROR(IF(($HI147)&gt;0,($HR147)/($HI147),""),"")</f>
        <v/>
      </c>
      <c r="HY147" s="56">
        <f>IFERROR(IF(($HJ147)&gt;0,($HS147)/($HJ147),""),"")</f>
        <v/>
      </c>
      <c r="HZ147" s="56">
        <f>IFERROR(IF(($HK147)&gt;0,($HT147)/($HK147),""),"")</f>
        <v/>
      </c>
      <c r="IA147" s="55">
        <f>SUMIFS(tblBudget[Drill_m],tblBudget[Month],$E147)</f>
        <v/>
      </c>
      <c r="IB147" s="55">
        <f>$IA147*$C147/$D147</f>
        <v/>
      </c>
      <c r="IC147" s="55">
        <f>SUMIFS(tblBudget[Drill_m],tblBudget[Month],"&lt;"&amp;$E147)+$IB147</f>
        <v/>
      </c>
      <c r="ID147" s="55">
        <f>SUMIFS(tblBudget[Diesel_L],tblBudget[Month],$E147)</f>
        <v/>
      </c>
      <c r="IE147" s="55">
        <f>$ID147*$C147/$D147</f>
        <v/>
      </c>
      <c r="IF147" s="55">
        <f>SUMIFS(tblBudget[Diesel_L],tblBudget[Month],"&lt;"&amp;$E147)+$IE147</f>
        <v/>
      </c>
      <c r="IG147" s="55">
        <f>SUMIFS(tblBudget[Milled_t],tblBudget[Month],$E147)</f>
        <v/>
      </c>
      <c r="IH147" s="55">
        <f>$IG147*$C147/$D147</f>
        <v/>
      </c>
      <c r="II147" s="55">
        <f>SUMIFS(tblBudget[Milled_t],tblBudget[Month],"&lt;"&amp;$E147)+$IH147</f>
        <v/>
      </c>
      <c r="IJ147" s="55">
        <f>SUMIFS(tblBudget[Feed_oz],tblBudget[Month],$E147)</f>
        <v/>
      </c>
      <c r="IK147" s="55">
        <f>$IJ147*$C147/$D147</f>
        <v/>
      </c>
      <c r="IL147" s="55">
        <f>SUMIFS(tblBudget[Feed_oz],tblBudget[Month],"&lt;"&amp;$E147)+$IK147</f>
        <v/>
      </c>
      <c r="IM147" s="55">
        <f>SUMIFS(tblBudget[Recovered_oz],tblBudget[Month],$E147)</f>
        <v/>
      </c>
      <c r="IN147" s="55">
        <f>$IM147*$C147/$D147</f>
        <v/>
      </c>
      <c r="IO147" s="55">
        <f>SUMIFS(tblBudget[Recovered_oz],tblBudget[Month],"&lt;"&amp;$E147)+$IN147</f>
        <v/>
      </c>
      <c r="IP147" s="56">
        <f>IFERROR(IF(($IG147)&gt;0,($IJ147*cfg_TroyOz)/($IG147),""),"")</f>
        <v/>
      </c>
      <c r="IQ147" s="56">
        <f>IFERROR(IF(($IH147)&gt;0,($IK147*cfg_TroyOz)/($IH147),""),"")</f>
        <v/>
      </c>
      <c r="IR147" s="56">
        <f>IFERROR(IF(($II147)&gt;0,($IL147*cfg_TroyOz)/($II147),""),"")</f>
        <v/>
      </c>
      <c r="IS147" s="67">
        <f>IFERROR(IF(($IJ147)&gt;0,($IM147)/($IJ147),""),"")</f>
        <v/>
      </c>
      <c r="IT147" s="67">
        <f>IFERROR(IF(($IK147)&gt;0,($IN147)/($IK147),""),"")</f>
        <v/>
      </c>
      <c r="IU147" s="67">
        <f>IFERROR(IF(($IL147)&gt;0,($IO147)/($IL147),""),"")</f>
        <v/>
      </c>
      <c r="IV147" s="55">
        <f>SUMIFS(tblBudget[Gold_Poured_oz],tblBudget[Month],$E147)</f>
        <v/>
      </c>
      <c r="IW147" s="55">
        <f>$IV147*$C147/$D147</f>
        <v/>
      </c>
      <c r="IX147" s="55">
        <f>SUMIFS(tblBudget[Gold_Poured_oz],tblBudget[Month],"&lt;"&amp;$E147)+$IW147</f>
        <v/>
      </c>
      <c r="IY147" s="57">
        <f>SUMIFS(tblBudget[Hours_Worked],tblBudget[Month],$E147)</f>
        <v/>
      </c>
      <c r="IZ147" s="57">
        <f>$IY147*$C147/$D147</f>
        <v/>
      </c>
      <c r="JA147" s="57">
        <f>SUMIFS(tblBudget[Hours_Worked],tblBudget[Month],"&lt;"&amp;$E147)+$IZ147</f>
        <v/>
      </c>
    </row>
    <row r="148">
      <c r="A148" s="54" t="n">
        <v>46169</v>
      </c>
      <c r="B148">
        <f>MONTH($A148)</f>
        <v/>
      </c>
      <c r="C148">
        <f>DAY($A148)</f>
        <v/>
      </c>
      <c r="D148">
        <f>DAY(EOMONTH($A148,0))</f>
        <v/>
      </c>
      <c r="E148" s="54">
        <f>DATE(YEAR($A148),MONTH($A148),1)</f>
        <v/>
      </c>
      <c r="F148" s="55">
        <f>SUMIFS(tblMovement[Tonnes_t],tblMovement[Date],$A148,tblMovement[Is_Ore],1,tblMovement[Source_Type],"Pit")</f>
        <v/>
      </c>
      <c r="G148" s="55">
        <f>IF($B148=$B147,$G147,0)+$F148</f>
        <v/>
      </c>
      <c r="H148" s="55">
        <f>$H147+$F148</f>
        <v/>
      </c>
      <c r="I148" s="55">
        <f>SUMIFS(tblMovement[Ore_oz],tblMovement[Date],$A148,tblMovement[Source_Type],"Pit")</f>
        <v/>
      </c>
      <c r="J148" s="55">
        <f>IF($B148=$B147,$J147,0)+$I148</f>
        <v/>
      </c>
      <c r="K148" s="55">
        <f>$K147+$I148</f>
        <v/>
      </c>
      <c r="L148" s="56">
        <f>IFERROR(IF(($F148)&gt;0,($I148*cfg_TroyOz)/($F148),""),"")</f>
        <v/>
      </c>
      <c r="M148" s="56">
        <f>IFERROR(IF(($G148)&gt;0,($J148*cfg_TroyOz)/($G148),""),"")</f>
        <v/>
      </c>
      <c r="N148" s="56">
        <f>IFERROR(IF(($H148)&gt;0,($K148*cfg_TroyOz)/($H148),""),"")</f>
        <v/>
      </c>
      <c r="O148" s="55">
        <f>SUMIFS(tblMovement[Tonnes_t],tblMovement[Date],$A148,tblMovement[Is_Ore],0,tblMovement[Source_Type],"Pit")</f>
        <v/>
      </c>
      <c r="P148" s="55">
        <f>IF($B148=$B147,$P147,0)+$O148</f>
        <v/>
      </c>
      <c r="Q148" s="55">
        <f>$Q147+$O148</f>
        <v/>
      </c>
      <c r="R148" s="55">
        <f>$F148+$O148</f>
        <v/>
      </c>
      <c r="S148" s="55">
        <f>IF($B148=$B147,$S147,0)+$R148</f>
        <v/>
      </c>
      <c r="T148" s="55">
        <f>$T147+$R148</f>
        <v/>
      </c>
      <c r="U148" s="56">
        <f>IFERROR(IF(($F148)&gt;0,($O148)/($F148),""),"")</f>
        <v/>
      </c>
      <c r="V148" s="56">
        <f>IFERROR(IF(($G148)&gt;0,($P148)/($G148),""),"")</f>
        <v/>
      </c>
      <c r="W148" s="56">
        <f>IFERROR(IF(($H148)&gt;0,($Q148)/($H148),""),"")</f>
        <v/>
      </c>
      <c r="X148" s="55">
        <f>SUMIFS(tblMovement[Tonnes_t],tblMovement[Date],$A148,tblMovement[Source_Type],"Stockpile")</f>
        <v/>
      </c>
      <c r="Y148" s="55">
        <f>IF($B148=$B147,$Y147,0)+$X148</f>
        <v/>
      </c>
      <c r="Z148" s="55">
        <f>$Z147+$X148</f>
        <v/>
      </c>
      <c r="AA148" s="55">
        <f>SUMIFS(tblMiningDaily[Drill_m],tblMiningDaily[Date],$A148)</f>
        <v/>
      </c>
      <c r="AB148" s="55">
        <f>IF($B148=$B147,$AB147,0)+$AA148</f>
        <v/>
      </c>
      <c r="AC148" s="55">
        <f>$AC147+$AA148</f>
        <v/>
      </c>
      <c r="AD148" s="55">
        <f>SUMIFS(tblMiningDaily[Blast_t],tblMiningDaily[Date],$A148)</f>
        <v/>
      </c>
      <c r="AE148" s="55">
        <f>IF($B148=$B147,$AE147,0)+$AD148</f>
        <v/>
      </c>
      <c r="AF148" s="55">
        <f>$AF147+$AD148</f>
        <v/>
      </c>
      <c r="AG148" s="55">
        <f>SUMIFS(tblMiningDaily[Explosives_kg],tblMiningDaily[Date],$A148)</f>
        <v/>
      </c>
      <c r="AH148" s="55">
        <f>IF($B148=$B147,$AH147,0)+$AG148</f>
        <v/>
      </c>
      <c r="AI148" s="55">
        <f>$AI147+$AG148</f>
        <v/>
      </c>
      <c r="AJ148" s="56">
        <f>IFERROR(IF(($AD148)&gt;0,($AG148)/($AD148),""),"")</f>
        <v/>
      </c>
      <c r="AK148" s="56">
        <f>IFERROR(IF(($AE148)&gt;0,($AH148)/($AE148),""),"")</f>
        <v/>
      </c>
      <c r="AL148" s="56">
        <f>IFERROR(IF(($AF148)&gt;0,($AI148)/($AF148),""),"")</f>
        <v/>
      </c>
      <c r="AM148" s="55">
        <f>SUMIFS(tblMiningDaily[Diesel_L],tblMiningDaily[Date],$A148)</f>
        <v/>
      </c>
      <c r="AN148" s="55">
        <f>IF($B148=$B147,$AN147,0)+$AM148</f>
        <v/>
      </c>
      <c r="AO148" s="55">
        <f>$AO147+$AM148</f>
        <v/>
      </c>
      <c r="AP148" s="55">
        <f>SUMIFS(tblMiningDaily[Dewatering_m3],tblMiningDaily[Date],$A148)</f>
        <v/>
      </c>
      <c r="AQ148" s="55">
        <f>IF($B148=$B147,$AQ147,0)+$AP148</f>
        <v/>
      </c>
      <c r="AR148" s="55">
        <f>$AR147+$AP148</f>
        <v/>
      </c>
      <c r="AS148" s="57">
        <f>SUMIFS(tblFleet[Calendar_h],tblFleet[Date],$A148,tblFleet[Equipment_Class],"Excavator")</f>
        <v/>
      </c>
      <c r="AT148" s="57">
        <f>IF($B148=$B147,$AT147,0)+$AS148</f>
        <v/>
      </c>
      <c r="AU148" s="57">
        <f>$AU147+$AS148</f>
        <v/>
      </c>
      <c r="AV148" s="57">
        <f>SUMIFS(tblFleet[Available_h],tblFleet[Date],$A148,tblFleet[Equipment_Class],"Excavator")</f>
        <v/>
      </c>
      <c r="AW148" s="57">
        <f>IF($B148=$B147,$AW147,0)+$AV148</f>
        <v/>
      </c>
      <c r="AX148" s="57">
        <f>$AX147+$AV148</f>
        <v/>
      </c>
      <c r="AY148" s="57">
        <f>SUMIFS(tblFleet[Operating_h],tblFleet[Date],$A148,tblFleet[Equipment_Class],"Excavator")</f>
        <v/>
      </c>
      <c r="AZ148" s="57">
        <f>IF($B148=$B147,$AZ147,0)+$AY148</f>
        <v/>
      </c>
      <c r="BA148" s="57">
        <f>$BA147+$AY148</f>
        <v/>
      </c>
      <c r="BB148" s="67">
        <f>IFERROR(IF(($AS148)&gt;0,($AV148)/($AS148),""),"")</f>
        <v/>
      </c>
      <c r="BC148" s="67">
        <f>IFERROR(IF(($AT148)&gt;0,($AW148)/($AT148),""),"")</f>
        <v/>
      </c>
      <c r="BD148" s="67">
        <f>IFERROR(IF(($AU148)&gt;0,($AX148)/($AU148),""),"")</f>
        <v/>
      </c>
      <c r="BE148" s="67">
        <f>IFERROR(IF(($AV148)&gt;0,($AY148)/($AV148),""),"")</f>
        <v/>
      </c>
      <c r="BF148" s="67">
        <f>IFERROR(IF(($AW148)&gt;0,($AZ148)/($AW148),""),"")</f>
        <v/>
      </c>
      <c r="BG148" s="67">
        <f>IFERROR(IF(($AX148)&gt;0,($BA148)/($AX148),""),"")</f>
        <v/>
      </c>
      <c r="BH148" s="57">
        <f>SUMIFS(tblFleet[Calendar_h],tblFleet[Date],$A148,tblFleet[Equipment_Class],"Haul Truck")</f>
        <v/>
      </c>
      <c r="BI148" s="57">
        <f>IF($B148=$B147,$BI147,0)+$BH148</f>
        <v/>
      </c>
      <c r="BJ148" s="57">
        <f>$BJ147+$BH148</f>
        <v/>
      </c>
      <c r="BK148" s="57">
        <f>SUMIFS(tblFleet[Available_h],tblFleet[Date],$A148,tblFleet[Equipment_Class],"Haul Truck")</f>
        <v/>
      </c>
      <c r="BL148" s="57">
        <f>IF($B148=$B147,$BL147,0)+$BK148</f>
        <v/>
      </c>
      <c r="BM148" s="57">
        <f>$BM147+$BK148</f>
        <v/>
      </c>
      <c r="BN148" s="57">
        <f>SUMIFS(tblFleet[Operating_h],tblFleet[Date],$A148,tblFleet[Equipment_Class],"Haul Truck")</f>
        <v/>
      </c>
      <c r="BO148" s="57">
        <f>IF($B148=$B147,$BO147,0)+$BN148</f>
        <v/>
      </c>
      <c r="BP148" s="57">
        <f>$BP147+$BN148</f>
        <v/>
      </c>
      <c r="BQ148" s="67">
        <f>IFERROR(IF(($BH148)&gt;0,($BK148)/($BH148),""),"")</f>
        <v/>
      </c>
      <c r="BR148" s="67">
        <f>IFERROR(IF(($BI148)&gt;0,($BL148)/($BI148),""),"")</f>
        <v/>
      </c>
      <c r="BS148" s="67">
        <f>IFERROR(IF(($BJ148)&gt;0,($BM148)/($BJ148),""),"")</f>
        <v/>
      </c>
      <c r="BT148" s="67">
        <f>IFERROR(IF(($BK148)&gt;0,($BN148)/($BK148),""),"")</f>
        <v/>
      </c>
      <c r="BU148" s="67">
        <f>IFERROR(IF(($BL148)&gt;0,($BO148)/($BL148),""),"")</f>
        <v/>
      </c>
      <c r="BV148" s="67">
        <f>IFERROR(IF(($BM148)&gt;0,($BP148)/($BM148),""),"")</f>
        <v/>
      </c>
      <c r="BW148" s="55">
        <f>SUMIFS(tblPlant[Crushed_t],tblPlant[Date],$A148)</f>
        <v/>
      </c>
      <c r="BX148" s="55">
        <f>IF($B148=$B147,$BX147,0)+$BW148</f>
        <v/>
      </c>
      <c r="BY148" s="55">
        <f>$BY147+$BW148</f>
        <v/>
      </c>
      <c r="BZ148" s="55">
        <f>SUMIFS(tblPlant[Milled_t],tblPlant[Date],$A148)</f>
        <v/>
      </c>
      <c r="CA148" s="55">
        <f>IF($B148=$B147,$CA147,0)+$BZ148</f>
        <v/>
      </c>
      <c r="CB148" s="55">
        <f>$CB147+$BZ148</f>
        <v/>
      </c>
      <c r="CC148" s="55">
        <f>SUMIFS(tblPlant[Feed_oz],tblPlant[Date],$A148)</f>
        <v/>
      </c>
      <c r="CD148" s="55">
        <f>IF($B148=$B147,$CD147,0)+$CC148</f>
        <v/>
      </c>
      <c r="CE148" s="55">
        <f>$CE147+$CC148</f>
        <v/>
      </c>
      <c r="CF148" s="55">
        <f>SUMIFS(tblPlant[Tails_oz],tblPlant[Date],$A148)</f>
        <v/>
      </c>
      <c r="CG148" s="55">
        <f>IF($B148=$B147,$CG147,0)+$CF148</f>
        <v/>
      </c>
      <c r="CH148" s="55">
        <f>$CH147+$CF148</f>
        <v/>
      </c>
      <c r="CI148" s="55">
        <f>SUMIFS(tblPlant[Recovered_oz],tblPlant[Date],$A148)</f>
        <v/>
      </c>
      <c r="CJ148" s="55">
        <f>IF($B148=$B147,$CJ147,0)+$CI148</f>
        <v/>
      </c>
      <c r="CK148" s="55">
        <f>$CK147+$CI148</f>
        <v/>
      </c>
      <c r="CL148" s="56">
        <f>IFERROR(IF(($BZ148)&gt;0,($CC148*cfg_TroyOz)/($BZ148),""),"")</f>
        <v/>
      </c>
      <c r="CM148" s="56">
        <f>IFERROR(IF(($CA148)&gt;0,($CD148*cfg_TroyOz)/($CA148),""),"")</f>
        <v/>
      </c>
      <c r="CN148" s="56">
        <f>IFERROR(IF(($CB148)&gt;0,($CE148*cfg_TroyOz)/($CB148),""),"")</f>
        <v/>
      </c>
      <c r="CO148" s="56">
        <f>IFERROR(IF(($BZ148)&gt;0,($CF148*cfg_TroyOz)/($BZ148),""),"")</f>
        <v/>
      </c>
      <c r="CP148" s="56">
        <f>IFERROR(IF(($CA148)&gt;0,($CG148*cfg_TroyOz)/($CA148),""),"")</f>
        <v/>
      </c>
      <c r="CQ148" s="56">
        <f>IFERROR(IF(($CB148)&gt;0,($CH148*cfg_TroyOz)/($CB148),""),"")</f>
        <v/>
      </c>
      <c r="CR148" s="67">
        <f>IFERROR(IF(($CC148)&gt;0,($CI148)/($CC148),""),"")</f>
        <v/>
      </c>
      <c r="CS148" s="67">
        <f>IFERROR(IF(($CD148)&gt;0,($CJ148)/($CD148),""),"")</f>
        <v/>
      </c>
      <c r="CT148" s="67">
        <f>IFERROR(IF(($CE148)&gt;0,($CK148)/($CE148),""),"")</f>
        <v/>
      </c>
      <c r="CU148" s="55">
        <f>SUMIFS(tblPlant[Gravity_Gold_oz],tblPlant[Date],$A148)</f>
        <v/>
      </c>
      <c r="CV148" s="55">
        <f>IF($B148=$B147,$CV147,0)+$CU148</f>
        <v/>
      </c>
      <c r="CW148" s="55">
        <f>$CW147+$CU148</f>
        <v/>
      </c>
      <c r="CX148" s="55">
        <f>SUMIFS(tblPlant[Gold_Poured_oz],tblPlant[Date],$A148)</f>
        <v/>
      </c>
      <c r="CY148" s="55">
        <f>IF($B148=$B147,$CY147,0)+$CX148</f>
        <v/>
      </c>
      <c r="CZ148" s="55">
        <f>$CZ147+$CX148</f>
        <v/>
      </c>
      <c r="DA148" s="57">
        <f>SUMIFS(tblPlant[Mill_Run_h],tblPlant[Date],$A148)</f>
        <v/>
      </c>
      <c r="DB148" s="57">
        <f>IF($B148=$B147,$DB147,0)+$DA148</f>
        <v/>
      </c>
      <c r="DC148" s="57">
        <f>$DC147+$DA148</f>
        <v/>
      </c>
      <c r="DD148" s="57">
        <f>SUMIFS(tblPlant[Mill_Planned_Maint_h],tblPlant[Date],$A148)</f>
        <v/>
      </c>
      <c r="DE148" s="57">
        <f>IF($B148=$B147,$DE147,0)+$DD148</f>
        <v/>
      </c>
      <c r="DF148" s="57">
        <f>$DF147+$DD148</f>
        <v/>
      </c>
      <c r="DG148" s="57">
        <f>SUMIFS(tblPlant[Mill_Unplanned_Down_h],tblPlant[Date],$A148)</f>
        <v/>
      </c>
      <c r="DH148" s="57">
        <f>IF($B148=$B147,$DH147,0)+$DG148</f>
        <v/>
      </c>
      <c r="DI148" s="57">
        <f>$DI147+$DG148</f>
        <v/>
      </c>
      <c r="DJ148" s="57">
        <f>COUNTIFS(tblPlant[Date],$A148,tblPlant[Mill_Run_h],"&lt;&gt;")*24</f>
        <v/>
      </c>
      <c r="DK148" s="57">
        <f>IF($B148=$B147,$DK147,0)+$DJ148</f>
        <v/>
      </c>
      <c r="DL148" s="57">
        <f>$DL147+$DJ148</f>
        <v/>
      </c>
      <c r="DM148" s="57">
        <f>SUMIFS(tblPlant[Crusher_Run_h],tblPlant[Date],$A148)</f>
        <v/>
      </c>
      <c r="DN148" s="57">
        <f>IF($B148=$B147,$DN147,0)+$DM148</f>
        <v/>
      </c>
      <c r="DO148" s="57">
        <f>$DO147+$DM148</f>
        <v/>
      </c>
      <c r="DP148" s="55">
        <f>IFERROR(IF(($DA148)&gt;0,($BZ148)/($DA148),""),"")</f>
        <v/>
      </c>
      <c r="DQ148" s="55">
        <f>IFERROR(IF(($DB148)&gt;0,($CA148)/($DB148),""),"")</f>
        <v/>
      </c>
      <c r="DR148" s="55">
        <f>IFERROR(IF(($DC148)&gt;0,($CB148)/($DC148),""),"")</f>
        <v/>
      </c>
      <c r="DS148" s="67">
        <f>IFERROR(IF(($DJ148)&gt;0,($DJ148-$DD148-$DG148)/($DJ148),""),"")</f>
        <v/>
      </c>
      <c r="DT148" s="67">
        <f>IFERROR(IF(($DK148)&gt;0,($DK148-$DE148-$DH148)/($DK148),""),"")</f>
        <v/>
      </c>
      <c r="DU148" s="67">
        <f>IFERROR(IF(($DL148)&gt;0,($DL148-$DF148-$DI148)/($DL148),""),"")</f>
        <v/>
      </c>
      <c r="DV148" s="67">
        <f>IFERROR(IF(($DJ148-$DD148-$DG148)&gt;0,($DA148)/($DJ148-$DD148-$DG148),""),"")</f>
        <v/>
      </c>
      <c r="DW148" s="67">
        <f>IFERROR(IF(($DK148-$DE148-$DH148)&gt;0,($DB148)/($DK148-$DE148-$DH148),""),"")</f>
        <v/>
      </c>
      <c r="DX148" s="67">
        <f>IFERROR(IF(($DL148-$DF148-$DI148)&gt;0,($DC148)/($DL148-$DF148-$DI148),""),"")</f>
        <v/>
      </c>
      <c r="DY148" s="55">
        <f>SUMIFS(tblPlant[Cyanide_kg],tblPlant[Date],$A148)</f>
        <v/>
      </c>
      <c r="DZ148" s="55">
        <f>IF($B148=$B147,$DZ147,0)+$DY148</f>
        <v/>
      </c>
      <c r="EA148" s="55">
        <f>$EA147+$DY148</f>
        <v/>
      </c>
      <c r="EB148" s="55">
        <f>SUMIFS(tblPlant[Lime_kg],tblPlant[Date],$A148)</f>
        <v/>
      </c>
      <c r="EC148" s="55">
        <f>IF($B148=$B147,$EC147,0)+$EB148</f>
        <v/>
      </c>
      <c r="ED148" s="55">
        <f>$ED147+$EB148</f>
        <v/>
      </c>
      <c r="EE148" s="55">
        <f>SUMIFS(tblPlant[Grinding_Media_kg],tblPlant[Date],$A148)</f>
        <v/>
      </c>
      <c r="EF148" s="55">
        <f>IF($B148=$B147,$EF147,0)+$EE148</f>
        <v/>
      </c>
      <c r="EG148" s="55">
        <f>$EG147+$EE148</f>
        <v/>
      </c>
      <c r="EH148" s="55">
        <f>SUMIFS(tblPlant[Power_kWh],tblPlant[Date],$A148)</f>
        <v/>
      </c>
      <c r="EI148" s="55">
        <f>IF($B148=$B147,$EI147,0)+$EH148</f>
        <v/>
      </c>
      <c r="EJ148" s="55">
        <f>$EJ147+$EH148</f>
        <v/>
      </c>
      <c r="EK148" s="55">
        <f>SUMIFS(tblPlant[Raw_Water_m3],tblPlant[Date],$A148)</f>
        <v/>
      </c>
      <c r="EL148" s="55">
        <f>IF($B148=$B147,$EL147,0)+$EK148</f>
        <v/>
      </c>
      <c r="EM148" s="55">
        <f>$EM147+$EK148</f>
        <v/>
      </c>
      <c r="EN148" s="56">
        <f>IFERROR(IF(($BZ148)&gt;0,($DY148)/($BZ148),""),"")</f>
        <v/>
      </c>
      <c r="EO148" s="56">
        <f>IFERROR(IF(($CA148)&gt;0,($DZ148)/($CA148),""),"")</f>
        <v/>
      </c>
      <c r="EP148" s="56">
        <f>IFERROR(IF(($CB148)&gt;0,($EA148)/($CB148),""),"")</f>
        <v/>
      </c>
      <c r="EQ148" s="56">
        <f>IFERROR(IF(($BZ148)&gt;0,($EB148)/($BZ148),""),"")</f>
        <v/>
      </c>
      <c r="ER148" s="56">
        <f>IFERROR(IF(($CA148)&gt;0,($EC148)/($CA148),""),"")</f>
        <v/>
      </c>
      <c r="ES148" s="56">
        <f>IFERROR(IF(($CB148)&gt;0,($ED148)/($CB148),""),"")</f>
        <v/>
      </c>
      <c r="ET148" s="56">
        <f>IFERROR(IF(($BZ148)&gt;0,($EE148)/($BZ148),""),"")</f>
        <v/>
      </c>
      <c r="EU148" s="56">
        <f>IFERROR(IF(($CA148)&gt;0,($EF148)/($CA148),""),"")</f>
        <v/>
      </c>
      <c r="EV148" s="56">
        <f>IFERROR(IF(($CB148)&gt;0,($EG148)/($CB148),""),"")</f>
        <v/>
      </c>
      <c r="EW148" s="76">
        <f>IFERROR(IF(($BZ148)&gt;0,($EH148)/($BZ148),""),"")</f>
        <v/>
      </c>
      <c r="EX148" s="76">
        <f>IFERROR(IF(($CA148)&gt;0,($EI148)/($CA148),""),"")</f>
        <v/>
      </c>
      <c r="EY148" s="76">
        <f>IFERROR(IF(($CB148)&gt;0,($EJ148)/($CB148),""),"")</f>
        <v/>
      </c>
      <c r="EZ148" s="56">
        <f>IFERROR(IF(($BZ148)&gt;0,($EK148)/($BZ148),""),"")</f>
        <v/>
      </c>
      <c r="FA148" s="56">
        <f>IFERROR(IF(($CA148)&gt;0,($EL148)/($CA148),""),"")</f>
        <v/>
      </c>
      <c r="FB148" s="56">
        <f>IFERROR(IF(($CB148)&gt;0,($EM148)/($CB148),""),"")</f>
        <v/>
      </c>
      <c r="FC148" s="55">
        <f>IF(SUMIFS(tblPlant[GIC_oz],tblPlant[Date],$A148)&gt;0,SUMIFS(tblPlant[GIC_oz],tblPlant[Date],$A148),"")</f>
        <v/>
      </c>
      <c r="FD148" s="55">
        <f>SUMIFS(tblGold[Gold_oz],tblGold[Date],$A148,tblGold[Type],"Shipment")</f>
        <v/>
      </c>
      <c r="FE148" s="55">
        <f>IF($B148=$B147,$FE147,0)+$FD148</f>
        <v/>
      </c>
      <c r="FF148" s="55">
        <f>$FF147+$FD148</f>
        <v/>
      </c>
      <c r="FG148" s="55">
        <f>SUMIFS(tblGold[Gold_oz],tblGold[Date],$A148,tblGold[Type],"Sale")</f>
        <v/>
      </c>
      <c r="FH148" s="55">
        <f>IF($B148=$B147,$FH147,0)+$FG148</f>
        <v/>
      </c>
      <c r="FI148" s="55">
        <f>$FI147+$FG148</f>
        <v/>
      </c>
      <c r="FJ148" s="55">
        <f>SUMIFS(tblGold[Dore_kg],tblGold[Date],$A148,tblGold[Type],"Shipment")</f>
        <v/>
      </c>
      <c r="FK148" s="55">
        <f>IF($B148=$B147,$FK147,0)+$FJ148</f>
        <v/>
      </c>
      <c r="FL148" s="55">
        <f>$FL147+$FJ148</f>
        <v/>
      </c>
      <c r="FM148" s="57">
        <f>SUMIFS(tblSafety[Hours_Total],tblSafety[Date],$A148)</f>
        <v/>
      </c>
      <c r="FN148" s="57">
        <f>IF($B148=$B147,$FN147,0)+$FM148</f>
        <v/>
      </c>
      <c r="FO148" s="57">
        <f>$FO147+$FM148</f>
        <v/>
      </c>
      <c r="FP148" s="62">
        <f>SUMIFS(tblSafety[Fatality],tblSafety[Date],$A148)</f>
        <v/>
      </c>
      <c r="FQ148" s="62">
        <f>IF($B148=$B147,$FQ147,0)+$FP148</f>
        <v/>
      </c>
      <c r="FR148" s="62">
        <f>$FR147+$FP148</f>
        <v/>
      </c>
      <c r="FS148" s="62">
        <f>SUMIFS(tblSafety[LTI],tblSafety[Date],$A148)</f>
        <v/>
      </c>
      <c r="FT148" s="62">
        <f>IF($B148=$B147,$FT147,0)+$FS148</f>
        <v/>
      </c>
      <c r="FU148" s="62">
        <f>$FU147+$FS148</f>
        <v/>
      </c>
      <c r="FV148" s="62">
        <f>SUMIFS(tblSafety[RWI],tblSafety[Date],$A148)</f>
        <v/>
      </c>
      <c r="FW148" s="62">
        <f>IF($B148=$B147,$FW147,0)+$FV148</f>
        <v/>
      </c>
      <c r="FX148" s="62">
        <f>$FX147+$FV148</f>
        <v/>
      </c>
      <c r="FY148" s="62">
        <f>SUMIFS(tblSafety[MTI],tblSafety[Date],$A148)</f>
        <v/>
      </c>
      <c r="FZ148" s="62">
        <f>IF($B148=$B147,$FZ147,0)+$FY148</f>
        <v/>
      </c>
      <c r="GA148" s="62">
        <f>$GA147+$FY148</f>
        <v/>
      </c>
      <c r="GB148" s="62">
        <f>SUMIFS(tblSafety[FAI],tblSafety[Date],$A148)</f>
        <v/>
      </c>
      <c r="GC148" s="62">
        <f>IF($B148=$B147,$GC147,0)+$GB148</f>
        <v/>
      </c>
      <c r="GD148" s="62">
        <f>$GD147+$GB148</f>
        <v/>
      </c>
      <c r="GE148" s="62">
        <f>SUMIFS(tblSafety[Recordables],tblSafety[Date],$A148)</f>
        <v/>
      </c>
      <c r="GF148" s="62">
        <f>IF($B148=$B147,$GF147,0)+$GE148</f>
        <v/>
      </c>
      <c r="GG148" s="62">
        <f>$GG147+$GE148</f>
        <v/>
      </c>
      <c r="GH148" s="62">
        <f>SUMIFS(tblSafety[Near_Miss],tblSafety[Date],$A148)</f>
        <v/>
      </c>
      <c r="GI148" s="62">
        <f>IF($B148=$B147,$GI147,0)+$GH148</f>
        <v/>
      </c>
      <c r="GJ148" s="62">
        <f>$GJ147+$GH148</f>
        <v/>
      </c>
      <c r="GK148" s="62">
        <f>SUMIFS(tblSafety[Hazard_Reports],tblSafety[Date],$A148)</f>
        <v/>
      </c>
      <c r="GL148" s="62">
        <f>IF($B148=$B147,$GL147,0)+$GK148</f>
        <v/>
      </c>
      <c r="GM148" s="62">
        <f>$GM147+$GK148</f>
        <v/>
      </c>
      <c r="GN148" s="62">
        <f>SUMIFS(tblSafety[HPI],tblSafety[Date],$A148)</f>
        <v/>
      </c>
      <c r="GO148" s="62">
        <f>IF($B148=$B147,$GO147,0)+$GN148</f>
        <v/>
      </c>
      <c r="GP148" s="62">
        <f>$GP147+$GN148</f>
        <v/>
      </c>
      <c r="GQ148" s="62">
        <f>SUMIFS(tblSafety[Env_Incidents],tblSafety[Date],$A148)</f>
        <v/>
      </c>
      <c r="GR148" s="62">
        <f>IF($B148=$B147,$GR147,0)+$GQ148</f>
        <v/>
      </c>
      <c r="GS148" s="62">
        <f>$GS147+$GQ148</f>
        <v/>
      </c>
      <c r="GT148" s="62">
        <f>SUMIFS(tblSafety[Community_Incidents],tblSafety[Date],$A148)</f>
        <v/>
      </c>
      <c r="GU148" s="62">
        <f>IF($B148=$B147,$GU147,0)+$GT148</f>
        <v/>
      </c>
      <c r="GV148" s="62">
        <f>$GV147+$GT148</f>
        <v/>
      </c>
      <c r="GW148" s="62">
        <f>SUMIFS(tblSafety[Vehicle_Incidents],tblSafety[Date],$A148)</f>
        <v/>
      </c>
      <c r="GX148" s="62">
        <f>IF($B148=$B147,$GX147,0)+$GW148</f>
        <v/>
      </c>
      <c r="GY148" s="62">
        <f>$GY147+$GW148</f>
        <v/>
      </c>
      <c r="GZ148" s="62">
        <f>SUMIFS(tblSafety[Toolbox_Talks],tblSafety[Date],$A148)</f>
        <v/>
      </c>
      <c r="HA148" s="62">
        <f>IF($B148=$B147,$HA147,0)+$GZ148</f>
        <v/>
      </c>
      <c r="HB148" s="62">
        <f>$HB147+$GZ148</f>
        <v/>
      </c>
      <c r="HC148" s="62">
        <f>SUMIFS(tblSafety[Inspections],tblSafety[Date],$A148)</f>
        <v/>
      </c>
      <c r="HD148" s="62">
        <f>IF($B148=$B147,$HD147,0)+$HC148</f>
        <v/>
      </c>
      <c r="HE148" s="62">
        <f>$HE147+$HC148</f>
        <v/>
      </c>
      <c r="HF148" s="56">
        <f>IFERROR((SUMIFS(tblSafety[Recordables],tblSafety[Date],"&gt;="&amp;EDATE($E148,-12),tblSafety[Date],"&lt;="&amp;$A148)+SUMIFS(tblSafetyHistory[Recordables],tblSafetyHistory[Month],"&gt;="&amp;EDATE($E148,-12),tblSafetyHistory[Month],"&lt;"&amp;cfg_YearStart))/(SUMIFS(tblSafety[Hours_Total],tblSafety[Date],"&gt;="&amp;EDATE($E148,-12),tblSafety[Date],"&lt;="&amp;$A148)+SUMIFS(tblSafetyHistory[Hours_Total],tblSafetyHistory[Month],"&gt;="&amp;EDATE($E148,-12),tblSafetyHistory[Month],"&lt;"&amp;cfg_YearStart))*1000000,"")</f>
        <v/>
      </c>
      <c r="HG148" s="56">
        <f>IFERROR((SUMIFS(tblSafety[LTI],tblSafety[Date],"&gt;="&amp;EDATE($E148,-12),tblSafety[Date],"&lt;="&amp;$A148)+SUMIFS(tblSafetyHistory[LTI],tblSafetyHistory[Month],"&gt;="&amp;EDATE($E148,-12),tblSafetyHistory[Month],"&lt;"&amp;cfg_YearStart))/(SUMIFS(tblSafety[Hours_Total],tblSafety[Date],"&gt;="&amp;EDATE($E148,-12),tblSafety[Date],"&lt;="&amp;$A148)+SUMIFS(tblSafetyHistory[Hours_Total],tblSafetyHistory[Month],"&gt;="&amp;EDATE($E148,-12),tblSafetyHistory[Month],"&lt;"&amp;cfg_YearStart))*1000000,"")</f>
        <v/>
      </c>
      <c r="HH148" s="62">
        <f>IF(MAX(N(cfg_PriorLTIDate),_xlfn.MAXIFS(tblSafety[Date],tblSafety[LTI],"&gt;0",tblSafety[Date],"&lt;="&amp;$A148))=0,"",$A148-MAX(N(cfg_PriorLTIDate),_xlfn.MAXIFS(tblSafety[Date],tblSafety[LTI],"&gt;0",tblSafety[Date],"&lt;="&amp;$A148)))</f>
        <v/>
      </c>
      <c r="HI148" s="55">
        <f>SUMIFS(tblBudget[Ore_Mined_t],tblBudget[Month],$E148)</f>
        <v/>
      </c>
      <c r="HJ148" s="55">
        <f>$HI148*$C148/$D148</f>
        <v/>
      </c>
      <c r="HK148" s="55">
        <f>SUMIFS(tblBudget[Ore_Mined_t],tblBudget[Month],"&lt;"&amp;$E148)+$HJ148</f>
        <v/>
      </c>
      <c r="HL148" s="55">
        <f>SUMIFS(tblBudget[Ore_oz],tblBudget[Month],$E148)</f>
        <v/>
      </c>
      <c r="HM148" s="55">
        <f>$HL148*$C148/$D148</f>
        <v/>
      </c>
      <c r="HN148" s="55">
        <f>SUMIFS(tblBudget[Ore_oz],tblBudget[Month],"&lt;"&amp;$E148)+$HM148</f>
        <v/>
      </c>
      <c r="HO148" s="56">
        <f>IFERROR(IF(($HI148)&gt;0,($HL148*cfg_TroyOz)/($HI148),""),"")</f>
        <v/>
      </c>
      <c r="HP148" s="56">
        <f>IFERROR(IF(($HJ148)&gt;0,($HM148*cfg_TroyOz)/($HJ148),""),"")</f>
        <v/>
      </c>
      <c r="HQ148" s="56">
        <f>IFERROR(IF(($HK148)&gt;0,($HN148*cfg_TroyOz)/($HK148),""),"")</f>
        <v/>
      </c>
      <c r="HR148" s="55">
        <f>SUMIFS(tblBudget[Waste_t],tblBudget[Month],$E148)</f>
        <v/>
      </c>
      <c r="HS148" s="55">
        <f>$HR148*$C148/$D148</f>
        <v/>
      </c>
      <c r="HT148" s="55">
        <f>SUMIFS(tblBudget[Waste_t],tblBudget[Month],"&lt;"&amp;$E148)+$HS148</f>
        <v/>
      </c>
      <c r="HU148" s="55">
        <f>SUMIFS(tblBudget[TMM_t],tblBudget[Month],$E148)</f>
        <v/>
      </c>
      <c r="HV148" s="55">
        <f>$HU148*$C148/$D148</f>
        <v/>
      </c>
      <c r="HW148" s="55">
        <f>SUMIFS(tblBudget[TMM_t],tblBudget[Month],"&lt;"&amp;$E148)+$HV148</f>
        <v/>
      </c>
      <c r="HX148" s="56">
        <f>IFERROR(IF(($HI148)&gt;0,($HR148)/($HI148),""),"")</f>
        <v/>
      </c>
      <c r="HY148" s="56">
        <f>IFERROR(IF(($HJ148)&gt;0,($HS148)/($HJ148),""),"")</f>
        <v/>
      </c>
      <c r="HZ148" s="56">
        <f>IFERROR(IF(($HK148)&gt;0,($HT148)/($HK148),""),"")</f>
        <v/>
      </c>
      <c r="IA148" s="55">
        <f>SUMIFS(tblBudget[Drill_m],tblBudget[Month],$E148)</f>
        <v/>
      </c>
      <c r="IB148" s="55">
        <f>$IA148*$C148/$D148</f>
        <v/>
      </c>
      <c r="IC148" s="55">
        <f>SUMIFS(tblBudget[Drill_m],tblBudget[Month],"&lt;"&amp;$E148)+$IB148</f>
        <v/>
      </c>
      <c r="ID148" s="55">
        <f>SUMIFS(tblBudget[Diesel_L],tblBudget[Month],$E148)</f>
        <v/>
      </c>
      <c r="IE148" s="55">
        <f>$ID148*$C148/$D148</f>
        <v/>
      </c>
      <c r="IF148" s="55">
        <f>SUMIFS(tblBudget[Diesel_L],tblBudget[Month],"&lt;"&amp;$E148)+$IE148</f>
        <v/>
      </c>
      <c r="IG148" s="55">
        <f>SUMIFS(tblBudget[Milled_t],tblBudget[Month],$E148)</f>
        <v/>
      </c>
      <c r="IH148" s="55">
        <f>$IG148*$C148/$D148</f>
        <v/>
      </c>
      <c r="II148" s="55">
        <f>SUMIFS(tblBudget[Milled_t],tblBudget[Month],"&lt;"&amp;$E148)+$IH148</f>
        <v/>
      </c>
      <c r="IJ148" s="55">
        <f>SUMIFS(tblBudget[Feed_oz],tblBudget[Month],$E148)</f>
        <v/>
      </c>
      <c r="IK148" s="55">
        <f>$IJ148*$C148/$D148</f>
        <v/>
      </c>
      <c r="IL148" s="55">
        <f>SUMIFS(tblBudget[Feed_oz],tblBudget[Month],"&lt;"&amp;$E148)+$IK148</f>
        <v/>
      </c>
      <c r="IM148" s="55">
        <f>SUMIFS(tblBudget[Recovered_oz],tblBudget[Month],$E148)</f>
        <v/>
      </c>
      <c r="IN148" s="55">
        <f>$IM148*$C148/$D148</f>
        <v/>
      </c>
      <c r="IO148" s="55">
        <f>SUMIFS(tblBudget[Recovered_oz],tblBudget[Month],"&lt;"&amp;$E148)+$IN148</f>
        <v/>
      </c>
      <c r="IP148" s="56">
        <f>IFERROR(IF(($IG148)&gt;0,($IJ148*cfg_TroyOz)/($IG148),""),"")</f>
        <v/>
      </c>
      <c r="IQ148" s="56">
        <f>IFERROR(IF(($IH148)&gt;0,($IK148*cfg_TroyOz)/($IH148),""),"")</f>
        <v/>
      </c>
      <c r="IR148" s="56">
        <f>IFERROR(IF(($II148)&gt;0,($IL148*cfg_TroyOz)/($II148),""),"")</f>
        <v/>
      </c>
      <c r="IS148" s="67">
        <f>IFERROR(IF(($IJ148)&gt;0,($IM148)/($IJ148),""),"")</f>
        <v/>
      </c>
      <c r="IT148" s="67">
        <f>IFERROR(IF(($IK148)&gt;0,($IN148)/($IK148),""),"")</f>
        <v/>
      </c>
      <c r="IU148" s="67">
        <f>IFERROR(IF(($IL148)&gt;0,($IO148)/($IL148),""),"")</f>
        <v/>
      </c>
      <c r="IV148" s="55">
        <f>SUMIFS(tblBudget[Gold_Poured_oz],tblBudget[Month],$E148)</f>
        <v/>
      </c>
      <c r="IW148" s="55">
        <f>$IV148*$C148/$D148</f>
        <v/>
      </c>
      <c r="IX148" s="55">
        <f>SUMIFS(tblBudget[Gold_Poured_oz],tblBudget[Month],"&lt;"&amp;$E148)+$IW148</f>
        <v/>
      </c>
      <c r="IY148" s="57">
        <f>SUMIFS(tblBudget[Hours_Worked],tblBudget[Month],$E148)</f>
        <v/>
      </c>
      <c r="IZ148" s="57">
        <f>$IY148*$C148/$D148</f>
        <v/>
      </c>
      <c r="JA148" s="57">
        <f>SUMIFS(tblBudget[Hours_Worked],tblBudget[Month],"&lt;"&amp;$E148)+$IZ148</f>
        <v/>
      </c>
    </row>
    <row r="149">
      <c r="A149" s="54" t="n">
        <v>46170</v>
      </c>
      <c r="B149">
        <f>MONTH($A149)</f>
        <v/>
      </c>
      <c r="C149">
        <f>DAY($A149)</f>
        <v/>
      </c>
      <c r="D149">
        <f>DAY(EOMONTH($A149,0))</f>
        <v/>
      </c>
      <c r="E149" s="54">
        <f>DATE(YEAR($A149),MONTH($A149),1)</f>
        <v/>
      </c>
      <c r="F149" s="55">
        <f>SUMIFS(tblMovement[Tonnes_t],tblMovement[Date],$A149,tblMovement[Is_Ore],1,tblMovement[Source_Type],"Pit")</f>
        <v/>
      </c>
      <c r="G149" s="55">
        <f>IF($B149=$B148,$G148,0)+$F149</f>
        <v/>
      </c>
      <c r="H149" s="55">
        <f>$H148+$F149</f>
        <v/>
      </c>
      <c r="I149" s="55">
        <f>SUMIFS(tblMovement[Ore_oz],tblMovement[Date],$A149,tblMovement[Source_Type],"Pit")</f>
        <v/>
      </c>
      <c r="J149" s="55">
        <f>IF($B149=$B148,$J148,0)+$I149</f>
        <v/>
      </c>
      <c r="K149" s="55">
        <f>$K148+$I149</f>
        <v/>
      </c>
      <c r="L149" s="56">
        <f>IFERROR(IF(($F149)&gt;0,($I149*cfg_TroyOz)/($F149),""),"")</f>
        <v/>
      </c>
      <c r="M149" s="56">
        <f>IFERROR(IF(($G149)&gt;0,($J149*cfg_TroyOz)/($G149),""),"")</f>
        <v/>
      </c>
      <c r="N149" s="56">
        <f>IFERROR(IF(($H149)&gt;0,($K149*cfg_TroyOz)/($H149),""),"")</f>
        <v/>
      </c>
      <c r="O149" s="55">
        <f>SUMIFS(tblMovement[Tonnes_t],tblMovement[Date],$A149,tblMovement[Is_Ore],0,tblMovement[Source_Type],"Pit")</f>
        <v/>
      </c>
      <c r="P149" s="55">
        <f>IF($B149=$B148,$P148,0)+$O149</f>
        <v/>
      </c>
      <c r="Q149" s="55">
        <f>$Q148+$O149</f>
        <v/>
      </c>
      <c r="R149" s="55">
        <f>$F149+$O149</f>
        <v/>
      </c>
      <c r="S149" s="55">
        <f>IF($B149=$B148,$S148,0)+$R149</f>
        <v/>
      </c>
      <c r="T149" s="55">
        <f>$T148+$R149</f>
        <v/>
      </c>
      <c r="U149" s="56">
        <f>IFERROR(IF(($F149)&gt;0,($O149)/($F149),""),"")</f>
        <v/>
      </c>
      <c r="V149" s="56">
        <f>IFERROR(IF(($G149)&gt;0,($P149)/($G149),""),"")</f>
        <v/>
      </c>
      <c r="W149" s="56">
        <f>IFERROR(IF(($H149)&gt;0,($Q149)/($H149),""),"")</f>
        <v/>
      </c>
      <c r="X149" s="55">
        <f>SUMIFS(tblMovement[Tonnes_t],tblMovement[Date],$A149,tblMovement[Source_Type],"Stockpile")</f>
        <v/>
      </c>
      <c r="Y149" s="55">
        <f>IF($B149=$B148,$Y148,0)+$X149</f>
        <v/>
      </c>
      <c r="Z149" s="55">
        <f>$Z148+$X149</f>
        <v/>
      </c>
      <c r="AA149" s="55">
        <f>SUMIFS(tblMiningDaily[Drill_m],tblMiningDaily[Date],$A149)</f>
        <v/>
      </c>
      <c r="AB149" s="55">
        <f>IF($B149=$B148,$AB148,0)+$AA149</f>
        <v/>
      </c>
      <c r="AC149" s="55">
        <f>$AC148+$AA149</f>
        <v/>
      </c>
      <c r="AD149" s="55">
        <f>SUMIFS(tblMiningDaily[Blast_t],tblMiningDaily[Date],$A149)</f>
        <v/>
      </c>
      <c r="AE149" s="55">
        <f>IF($B149=$B148,$AE148,0)+$AD149</f>
        <v/>
      </c>
      <c r="AF149" s="55">
        <f>$AF148+$AD149</f>
        <v/>
      </c>
      <c r="AG149" s="55">
        <f>SUMIFS(tblMiningDaily[Explosives_kg],tblMiningDaily[Date],$A149)</f>
        <v/>
      </c>
      <c r="AH149" s="55">
        <f>IF($B149=$B148,$AH148,0)+$AG149</f>
        <v/>
      </c>
      <c r="AI149" s="55">
        <f>$AI148+$AG149</f>
        <v/>
      </c>
      <c r="AJ149" s="56">
        <f>IFERROR(IF(($AD149)&gt;0,($AG149)/($AD149),""),"")</f>
        <v/>
      </c>
      <c r="AK149" s="56">
        <f>IFERROR(IF(($AE149)&gt;0,($AH149)/($AE149),""),"")</f>
        <v/>
      </c>
      <c r="AL149" s="56">
        <f>IFERROR(IF(($AF149)&gt;0,($AI149)/($AF149),""),"")</f>
        <v/>
      </c>
      <c r="AM149" s="55">
        <f>SUMIFS(tblMiningDaily[Diesel_L],tblMiningDaily[Date],$A149)</f>
        <v/>
      </c>
      <c r="AN149" s="55">
        <f>IF($B149=$B148,$AN148,0)+$AM149</f>
        <v/>
      </c>
      <c r="AO149" s="55">
        <f>$AO148+$AM149</f>
        <v/>
      </c>
      <c r="AP149" s="55">
        <f>SUMIFS(tblMiningDaily[Dewatering_m3],tblMiningDaily[Date],$A149)</f>
        <v/>
      </c>
      <c r="AQ149" s="55">
        <f>IF($B149=$B148,$AQ148,0)+$AP149</f>
        <v/>
      </c>
      <c r="AR149" s="55">
        <f>$AR148+$AP149</f>
        <v/>
      </c>
      <c r="AS149" s="57">
        <f>SUMIFS(tblFleet[Calendar_h],tblFleet[Date],$A149,tblFleet[Equipment_Class],"Excavator")</f>
        <v/>
      </c>
      <c r="AT149" s="57">
        <f>IF($B149=$B148,$AT148,0)+$AS149</f>
        <v/>
      </c>
      <c r="AU149" s="57">
        <f>$AU148+$AS149</f>
        <v/>
      </c>
      <c r="AV149" s="57">
        <f>SUMIFS(tblFleet[Available_h],tblFleet[Date],$A149,tblFleet[Equipment_Class],"Excavator")</f>
        <v/>
      </c>
      <c r="AW149" s="57">
        <f>IF($B149=$B148,$AW148,0)+$AV149</f>
        <v/>
      </c>
      <c r="AX149" s="57">
        <f>$AX148+$AV149</f>
        <v/>
      </c>
      <c r="AY149" s="57">
        <f>SUMIFS(tblFleet[Operating_h],tblFleet[Date],$A149,tblFleet[Equipment_Class],"Excavator")</f>
        <v/>
      </c>
      <c r="AZ149" s="57">
        <f>IF($B149=$B148,$AZ148,0)+$AY149</f>
        <v/>
      </c>
      <c r="BA149" s="57">
        <f>$BA148+$AY149</f>
        <v/>
      </c>
      <c r="BB149" s="67">
        <f>IFERROR(IF(($AS149)&gt;0,($AV149)/($AS149),""),"")</f>
        <v/>
      </c>
      <c r="BC149" s="67">
        <f>IFERROR(IF(($AT149)&gt;0,($AW149)/($AT149),""),"")</f>
        <v/>
      </c>
      <c r="BD149" s="67">
        <f>IFERROR(IF(($AU149)&gt;0,($AX149)/($AU149),""),"")</f>
        <v/>
      </c>
      <c r="BE149" s="67">
        <f>IFERROR(IF(($AV149)&gt;0,($AY149)/($AV149),""),"")</f>
        <v/>
      </c>
      <c r="BF149" s="67">
        <f>IFERROR(IF(($AW149)&gt;0,($AZ149)/($AW149),""),"")</f>
        <v/>
      </c>
      <c r="BG149" s="67">
        <f>IFERROR(IF(($AX149)&gt;0,($BA149)/($AX149),""),"")</f>
        <v/>
      </c>
      <c r="BH149" s="57">
        <f>SUMIFS(tblFleet[Calendar_h],tblFleet[Date],$A149,tblFleet[Equipment_Class],"Haul Truck")</f>
        <v/>
      </c>
      <c r="BI149" s="57">
        <f>IF($B149=$B148,$BI148,0)+$BH149</f>
        <v/>
      </c>
      <c r="BJ149" s="57">
        <f>$BJ148+$BH149</f>
        <v/>
      </c>
      <c r="BK149" s="57">
        <f>SUMIFS(tblFleet[Available_h],tblFleet[Date],$A149,tblFleet[Equipment_Class],"Haul Truck")</f>
        <v/>
      </c>
      <c r="BL149" s="57">
        <f>IF($B149=$B148,$BL148,0)+$BK149</f>
        <v/>
      </c>
      <c r="BM149" s="57">
        <f>$BM148+$BK149</f>
        <v/>
      </c>
      <c r="BN149" s="57">
        <f>SUMIFS(tblFleet[Operating_h],tblFleet[Date],$A149,tblFleet[Equipment_Class],"Haul Truck")</f>
        <v/>
      </c>
      <c r="BO149" s="57">
        <f>IF($B149=$B148,$BO148,0)+$BN149</f>
        <v/>
      </c>
      <c r="BP149" s="57">
        <f>$BP148+$BN149</f>
        <v/>
      </c>
      <c r="BQ149" s="67">
        <f>IFERROR(IF(($BH149)&gt;0,($BK149)/($BH149),""),"")</f>
        <v/>
      </c>
      <c r="BR149" s="67">
        <f>IFERROR(IF(($BI149)&gt;0,($BL149)/($BI149),""),"")</f>
        <v/>
      </c>
      <c r="BS149" s="67">
        <f>IFERROR(IF(($BJ149)&gt;0,($BM149)/($BJ149),""),"")</f>
        <v/>
      </c>
      <c r="BT149" s="67">
        <f>IFERROR(IF(($BK149)&gt;0,($BN149)/($BK149),""),"")</f>
        <v/>
      </c>
      <c r="BU149" s="67">
        <f>IFERROR(IF(($BL149)&gt;0,($BO149)/($BL149),""),"")</f>
        <v/>
      </c>
      <c r="BV149" s="67">
        <f>IFERROR(IF(($BM149)&gt;0,($BP149)/($BM149),""),"")</f>
        <v/>
      </c>
      <c r="BW149" s="55">
        <f>SUMIFS(tblPlant[Crushed_t],tblPlant[Date],$A149)</f>
        <v/>
      </c>
      <c r="BX149" s="55">
        <f>IF($B149=$B148,$BX148,0)+$BW149</f>
        <v/>
      </c>
      <c r="BY149" s="55">
        <f>$BY148+$BW149</f>
        <v/>
      </c>
      <c r="BZ149" s="55">
        <f>SUMIFS(tblPlant[Milled_t],tblPlant[Date],$A149)</f>
        <v/>
      </c>
      <c r="CA149" s="55">
        <f>IF($B149=$B148,$CA148,0)+$BZ149</f>
        <v/>
      </c>
      <c r="CB149" s="55">
        <f>$CB148+$BZ149</f>
        <v/>
      </c>
      <c r="CC149" s="55">
        <f>SUMIFS(tblPlant[Feed_oz],tblPlant[Date],$A149)</f>
        <v/>
      </c>
      <c r="CD149" s="55">
        <f>IF($B149=$B148,$CD148,0)+$CC149</f>
        <v/>
      </c>
      <c r="CE149" s="55">
        <f>$CE148+$CC149</f>
        <v/>
      </c>
      <c r="CF149" s="55">
        <f>SUMIFS(tblPlant[Tails_oz],tblPlant[Date],$A149)</f>
        <v/>
      </c>
      <c r="CG149" s="55">
        <f>IF($B149=$B148,$CG148,0)+$CF149</f>
        <v/>
      </c>
      <c r="CH149" s="55">
        <f>$CH148+$CF149</f>
        <v/>
      </c>
      <c r="CI149" s="55">
        <f>SUMIFS(tblPlant[Recovered_oz],tblPlant[Date],$A149)</f>
        <v/>
      </c>
      <c r="CJ149" s="55">
        <f>IF($B149=$B148,$CJ148,0)+$CI149</f>
        <v/>
      </c>
      <c r="CK149" s="55">
        <f>$CK148+$CI149</f>
        <v/>
      </c>
      <c r="CL149" s="56">
        <f>IFERROR(IF(($BZ149)&gt;0,($CC149*cfg_TroyOz)/($BZ149),""),"")</f>
        <v/>
      </c>
      <c r="CM149" s="56">
        <f>IFERROR(IF(($CA149)&gt;0,($CD149*cfg_TroyOz)/($CA149),""),"")</f>
        <v/>
      </c>
      <c r="CN149" s="56">
        <f>IFERROR(IF(($CB149)&gt;0,($CE149*cfg_TroyOz)/($CB149),""),"")</f>
        <v/>
      </c>
      <c r="CO149" s="56">
        <f>IFERROR(IF(($BZ149)&gt;0,($CF149*cfg_TroyOz)/($BZ149),""),"")</f>
        <v/>
      </c>
      <c r="CP149" s="56">
        <f>IFERROR(IF(($CA149)&gt;0,($CG149*cfg_TroyOz)/($CA149),""),"")</f>
        <v/>
      </c>
      <c r="CQ149" s="56">
        <f>IFERROR(IF(($CB149)&gt;0,($CH149*cfg_TroyOz)/($CB149),""),"")</f>
        <v/>
      </c>
      <c r="CR149" s="67">
        <f>IFERROR(IF(($CC149)&gt;0,($CI149)/($CC149),""),"")</f>
        <v/>
      </c>
      <c r="CS149" s="67">
        <f>IFERROR(IF(($CD149)&gt;0,($CJ149)/($CD149),""),"")</f>
        <v/>
      </c>
      <c r="CT149" s="67">
        <f>IFERROR(IF(($CE149)&gt;0,($CK149)/($CE149),""),"")</f>
        <v/>
      </c>
      <c r="CU149" s="55">
        <f>SUMIFS(tblPlant[Gravity_Gold_oz],tblPlant[Date],$A149)</f>
        <v/>
      </c>
      <c r="CV149" s="55">
        <f>IF($B149=$B148,$CV148,0)+$CU149</f>
        <v/>
      </c>
      <c r="CW149" s="55">
        <f>$CW148+$CU149</f>
        <v/>
      </c>
      <c r="CX149" s="55">
        <f>SUMIFS(tblPlant[Gold_Poured_oz],tblPlant[Date],$A149)</f>
        <v/>
      </c>
      <c r="CY149" s="55">
        <f>IF($B149=$B148,$CY148,0)+$CX149</f>
        <v/>
      </c>
      <c r="CZ149" s="55">
        <f>$CZ148+$CX149</f>
        <v/>
      </c>
      <c r="DA149" s="57">
        <f>SUMIFS(tblPlant[Mill_Run_h],tblPlant[Date],$A149)</f>
        <v/>
      </c>
      <c r="DB149" s="57">
        <f>IF($B149=$B148,$DB148,0)+$DA149</f>
        <v/>
      </c>
      <c r="DC149" s="57">
        <f>$DC148+$DA149</f>
        <v/>
      </c>
      <c r="DD149" s="57">
        <f>SUMIFS(tblPlant[Mill_Planned_Maint_h],tblPlant[Date],$A149)</f>
        <v/>
      </c>
      <c r="DE149" s="57">
        <f>IF($B149=$B148,$DE148,0)+$DD149</f>
        <v/>
      </c>
      <c r="DF149" s="57">
        <f>$DF148+$DD149</f>
        <v/>
      </c>
      <c r="DG149" s="57">
        <f>SUMIFS(tblPlant[Mill_Unplanned_Down_h],tblPlant[Date],$A149)</f>
        <v/>
      </c>
      <c r="DH149" s="57">
        <f>IF($B149=$B148,$DH148,0)+$DG149</f>
        <v/>
      </c>
      <c r="DI149" s="57">
        <f>$DI148+$DG149</f>
        <v/>
      </c>
      <c r="DJ149" s="57">
        <f>COUNTIFS(tblPlant[Date],$A149,tblPlant[Mill_Run_h],"&lt;&gt;")*24</f>
        <v/>
      </c>
      <c r="DK149" s="57">
        <f>IF($B149=$B148,$DK148,0)+$DJ149</f>
        <v/>
      </c>
      <c r="DL149" s="57">
        <f>$DL148+$DJ149</f>
        <v/>
      </c>
      <c r="DM149" s="57">
        <f>SUMIFS(tblPlant[Crusher_Run_h],tblPlant[Date],$A149)</f>
        <v/>
      </c>
      <c r="DN149" s="57">
        <f>IF($B149=$B148,$DN148,0)+$DM149</f>
        <v/>
      </c>
      <c r="DO149" s="57">
        <f>$DO148+$DM149</f>
        <v/>
      </c>
      <c r="DP149" s="55">
        <f>IFERROR(IF(($DA149)&gt;0,($BZ149)/($DA149),""),"")</f>
        <v/>
      </c>
      <c r="DQ149" s="55">
        <f>IFERROR(IF(($DB149)&gt;0,($CA149)/($DB149),""),"")</f>
        <v/>
      </c>
      <c r="DR149" s="55">
        <f>IFERROR(IF(($DC149)&gt;0,($CB149)/($DC149),""),"")</f>
        <v/>
      </c>
      <c r="DS149" s="67">
        <f>IFERROR(IF(($DJ149)&gt;0,($DJ149-$DD149-$DG149)/($DJ149),""),"")</f>
        <v/>
      </c>
      <c r="DT149" s="67">
        <f>IFERROR(IF(($DK149)&gt;0,($DK149-$DE149-$DH149)/($DK149),""),"")</f>
        <v/>
      </c>
      <c r="DU149" s="67">
        <f>IFERROR(IF(($DL149)&gt;0,($DL149-$DF149-$DI149)/($DL149),""),"")</f>
        <v/>
      </c>
      <c r="DV149" s="67">
        <f>IFERROR(IF(($DJ149-$DD149-$DG149)&gt;0,($DA149)/($DJ149-$DD149-$DG149),""),"")</f>
        <v/>
      </c>
      <c r="DW149" s="67">
        <f>IFERROR(IF(($DK149-$DE149-$DH149)&gt;0,($DB149)/($DK149-$DE149-$DH149),""),"")</f>
        <v/>
      </c>
      <c r="DX149" s="67">
        <f>IFERROR(IF(($DL149-$DF149-$DI149)&gt;0,($DC149)/($DL149-$DF149-$DI149),""),"")</f>
        <v/>
      </c>
      <c r="DY149" s="55">
        <f>SUMIFS(tblPlant[Cyanide_kg],tblPlant[Date],$A149)</f>
        <v/>
      </c>
      <c r="DZ149" s="55">
        <f>IF($B149=$B148,$DZ148,0)+$DY149</f>
        <v/>
      </c>
      <c r="EA149" s="55">
        <f>$EA148+$DY149</f>
        <v/>
      </c>
      <c r="EB149" s="55">
        <f>SUMIFS(tblPlant[Lime_kg],tblPlant[Date],$A149)</f>
        <v/>
      </c>
      <c r="EC149" s="55">
        <f>IF($B149=$B148,$EC148,0)+$EB149</f>
        <v/>
      </c>
      <c r="ED149" s="55">
        <f>$ED148+$EB149</f>
        <v/>
      </c>
      <c r="EE149" s="55">
        <f>SUMIFS(tblPlant[Grinding_Media_kg],tblPlant[Date],$A149)</f>
        <v/>
      </c>
      <c r="EF149" s="55">
        <f>IF($B149=$B148,$EF148,0)+$EE149</f>
        <v/>
      </c>
      <c r="EG149" s="55">
        <f>$EG148+$EE149</f>
        <v/>
      </c>
      <c r="EH149" s="55">
        <f>SUMIFS(tblPlant[Power_kWh],tblPlant[Date],$A149)</f>
        <v/>
      </c>
      <c r="EI149" s="55">
        <f>IF($B149=$B148,$EI148,0)+$EH149</f>
        <v/>
      </c>
      <c r="EJ149" s="55">
        <f>$EJ148+$EH149</f>
        <v/>
      </c>
      <c r="EK149" s="55">
        <f>SUMIFS(tblPlant[Raw_Water_m3],tblPlant[Date],$A149)</f>
        <v/>
      </c>
      <c r="EL149" s="55">
        <f>IF($B149=$B148,$EL148,0)+$EK149</f>
        <v/>
      </c>
      <c r="EM149" s="55">
        <f>$EM148+$EK149</f>
        <v/>
      </c>
      <c r="EN149" s="56">
        <f>IFERROR(IF(($BZ149)&gt;0,($DY149)/($BZ149),""),"")</f>
        <v/>
      </c>
      <c r="EO149" s="56">
        <f>IFERROR(IF(($CA149)&gt;0,($DZ149)/($CA149),""),"")</f>
        <v/>
      </c>
      <c r="EP149" s="56">
        <f>IFERROR(IF(($CB149)&gt;0,($EA149)/($CB149),""),"")</f>
        <v/>
      </c>
      <c r="EQ149" s="56">
        <f>IFERROR(IF(($BZ149)&gt;0,($EB149)/($BZ149),""),"")</f>
        <v/>
      </c>
      <c r="ER149" s="56">
        <f>IFERROR(IF(($CA149)&gt;0,($EC149)/($CA149),""),"")</f>
        <v/>
      </c>
      <c r="ES149" s="56">
        <f>IFERROR(IF(($CB149)&gt;0,($ED149)/($CB149),""),"")</f>
        <v/>
      </c>
      <c r="ET149" s="56">
        <f>IFERROR(IF(($BZ149)&gt;0,($EE149)/($BZ149),""),"")</f>
        <v/>
      </c>
      <c r="EU149" s="56">
        <f>IFERROR(IF(($CA149)&gt;0,($EF149)/($CA149),""),"")</f>
        <v/>
      </c>
      <c r="EV149" s="56">
        <f>IFERROR(IF(($CB149)&gt;0,($EG149)/($CB149),""),"")</f>
        <v/>
      </c>
      <c r="EW149" s="76">
        <f>IFERROR(IF(($BZ149)&gt;0,($EH149)/($BZ149),""),"")</f>
        <v/>
      </c>
      <c r="EX149" s="76">
        <f>IFERROR(IF(($CA149)&gt;0,($EI149)/($CA149),""),"")</f>
        <v/>
      </c>
      <c r="EY149" s="76">
        <f>IFERROR(IF(($CB149)&gt;0,($EJ149)/($CB149),""),"")</f>
        <v/>
      </c>
      <c r="EZ149" s="56">
        <f>IFERROR(IF(($BZ149)&gt;0,($EK149)/($BZ149),""),"")</f>
        <v/>
      </c>
      <c r="FA149" s="56">
        <f>IFERROR(IF(($CA149)&gt;0,($EL149)/($CA149),""),"")</f>
        <v/>
      </c>
      <c r="FB149" s="56">
        <f>IFERROR(IF(($CB149)&gt;0,($EM149)/($CB149),""),"")</f>
        <v/>
      </c>
      <c r="FC149" s="55">
        <f>IF(SUMIFS(tblPlant[GIC_oz],tblPlant[Date],$A149)&gt;0,SUMIFS(tblPlant[GIC_oz],tblPlant[Date],$A149),"")</f>
        <v/>
      </c>
      <c r="FD149" s="55">
        <f>SUMIFS(tblGold[Gold_oz],tblGold[Date],$A149,tblGold[Type],"Shipment")</f>
        <v/>
      </c>
      <c r="FE149" s="55">
        <f>IF($B149=$B148,$FE148,0)+$FD149</f>
        <v/>
      </c>
      <c r="FF149" s="55">
        <f>$FF148+$FD149</f>
        <v/>
      </c>
      <c r="FG149" s="55">
        <f>SUMIFS(tblGold[Gold_oz],tblGold[Date],$A149,tblGold[Type],"Sale")</f>
        <v/>
      </c>
      <c r="FH149" s="55">
        <f>IF($B149=$B148,$FH148,0)+$FG149</f>
        <v/>
      </c>
      <c r="FI149" s="55">
        <f>$FI148+$FG149</f>
        <v/>
      </c>
      <c r="FJ149" s="55">
        <f>SUMIFS(tblGold[Dore_kg],tblGold[Date],$A149,tblGold[Type],"Shipment")</f>
        <v/>
      </c>
      <c r="FK149" s="55">
        <f>IF($B149=$B148,$FK148,0)+$FJ149</f>
        <v/>
      </c>
      <c r="FL149" s="55">
        <f>$FL148+$FJ149</f>
        <v/>
      </c>
      <c r="FM149" s="57">
        <f>SUMIFS(tblSafety[Hours_Total],tblSafety[Date],$A149)</f>
        <v/>
      </c>
      <c r="FN149" s="57">
        <f>IF($B149=$B148,$FN148,0)+$FM149</f>
        <v/>
      </c>
      <c r="FO149" s="57">
        <f>$FO148+$FM149</f>
        <v/>
      </c>
      <c r="FP149" s="62">
        <f>SUMIFS(tblSafety[Fatality],tblSafety[Date],$A149)</f>
        <v/>
      </c>
      <c r="FQ149" s="62">
        <f>IF($B149=$B148,$FQ148,0)+$FP149</f>
        <v/>
      </c>
      <c r="FR149" s="62">
        <f>$FR148+$FP149</f>
        <v/>
      </c>
      <c r="FS149" s="62">
        <f>SUMIFS(tblSafety[LTI],tblSafety[Date],$A149)</f>
        <v/>
      </c>
      <c r="FT149" s="62">
        <f>IF($B149=$B148,$FT148,0)+$FS149</f>
        <v/>
      </c>
      <c r="FU149" s="62">
        <f>$FU148+$FS149</f>
        <v/>
      </c>
      <c r="FV149" s="62">
        <f>SUMIFS(tblSafety[RWI],tblSafety[Date],$A149)</f>
        <v/>
      </c>
      <c r="FW149" s="62">
        <f>IF($B149=$B148,$FW148,0)+$FV149</f>
        <v/>
      </c>
      <c r="FX149" s="62">
        <f>$FX148+$FV149</f>
        <v/>
      </c>
      <c r="FY149" s="62">
        <f>SUMIFS(tblSafety[MTI],tblSafety[Date],$A149)</f>
        <v/>
      </c>
      <c r="FZ149" s="62">
        <f>IF($B149=$B148,$FZ148,0)+$FY149</f>
        <v/>
      </c>
      <c r="GA149" s="62">
        <f>$GA148+$FY149</f>
        <v/>
      </c>
      <c r="GB149" s="62">
        <f>SUMIFS(tblSafety[FAI],tblSafety[Date],$A149)</f>
        <v/>
      </c>
      <c r="GC149" s="62">
        <f>IF($B149=$B148,$GC148,0)+$GB149</f>
        <v/>
      </c>
      <c r="GD149" s="62">
        <f>$GD148+$GB149</f>
        <v/>
      </c>
      <c r="GE149" s="62">
        <f>SUMIFS(tblSafety[Recordables],tblSafety[Date],$A149)</f>
        <v/>
      </c>
      <c r="GF149" s="62">
        <f>IF($B149=$B148,$GF148,0)+$GE149</f>
        <v/>
      </c>
      <c r="GG149" s="62">
        <f>$GG148+$GE149</f>
        <v/>
      </c>
      <c r="GH149" s="62">
        <f>SUMIFS(tblSafety[Near_Miss],tblSafety[Date],$A149)</f>
        <v/>
      </c>
      <c r="GI149" s="62">
        <f>IF($B149=$B148,$GI148,0)+$GH149</f>
        <v/>
      </c>
      <c r="GJ149" s="62">
        <f>$GJ148+$GH149</f>
        <v/>
      </c>
      <c r="GK149" s="62">
        <f>SUMIFS(tblSafety[Hazard_Reports],tblSafety[Date],$A149)</f>
        <v/>
      </c>
      <c r="GL149" s="62">
        <f>IF($B149=$B148,$GL148,0)+$GK149</f>
        <v/>
      </c>
      <c r="GM149" s="62">
        <f>$GM148+$GK149</f>
        <v/>
      </c>
      <c r="GN149" s="62">
        <f>SUMIFS(tblSafety[HPI],tblSafety[Date],$A149)</f>
        <v/>
      </c>
      <c r="GO149" s="62">
        <f>IF($B149=$B148,$GO148,0)+$GN149</f>
        <v/>
      </c>
      <c r="GP149" s="62">
        <f>$GP148+$GN149</f>
        <v/>
      </c>
      <c r="GQ149" s="62">
        <f>SUMIFS(tblSafety[Env_Incidents],tblSafety[Date],$A149)</f>
        <v/>
      </c>
      <c r="GR149" s="62">
        <f>IF($B149=$B148,$GR148,0)+$GQ149</f>
        <v/>
      </c>
      <c r="GS149" s="62">
        <f>$GS148+$GQ149</f>
        <v/>
      </c>
      <c r="GT149" s="62">
        <f>SUMIFS(tblSafety[Community_Incidents],tblSafety[Date],$A149)</f>
        <v/>
      </c>
      <c r="GU149" s="62">
        <f>IF($B149=$B148,$GU148,0)+$GT149</f>
        <v/>
      </c>
      <c r="GV149" s="62">
        <f>$GV148+$GT149</f>
        <v/>
      </c>
      <c r="GW149" s="62">
        <f>SUMIFS(tblSafety[Vehicle_Incidents],tblSafety[Date],$A149)</f>
        <v/>
      </c>
      <c r="GX149" s="62">
        <f>IF($B149=$B148,$GX148,0)+$GW149</f>
        <v/>
      </c>
      <c r="GY149" s="62">
        <f>$GY148+$GW149</f>
        <v/>
      </c>
      <c r="GZ149" s="62">
        <f>SUMIFS(tblSafety[Toolbox_Talks],tblSafety[Date],$A149)</f>
        <v/>
      </c>
      <c r="HA149" s="62">
        <f>IF($B149=$B148,$HA148,0)+$GZ149</f>
        <v/>
      </c>
      <c r="HB149" s="62">
        <f>$HB148+$GZ149</f>
        <v/>
      </c>
      <c r="HC149" s="62">
        <f>SUMIFS(tblSafety[Inspections],tblSafety[Date],$A149)</f>
        <v/>
      </c>
      <c r="HD149" s="62">
        <f>IF($B149=$B148,$HD148,0)+$HC149</f>
        <v/>
      </c>
      <c r="HE149" s="62">
        <f>$HE148+$HC149</f>
        <v/>
      </c>
      <c r="HF149" s="56">
        <f>IFERROR((SUMIFS(tblSafety[Recordables],tblSafety[Date],"&gt;="&amp;EDATE($E149,-12),tblSafety[Date],"&lt;="&amp;$A149)+SUMIFS(tblSafetyHistory[Recordables],tblSafetyHistory[Month],"&gt;="&amp;EDATE($E149,-12),tblSafetyHistory[Month],"&lt;"&amp;cfg_YearStart))/(SUMIFS(tblSafety[Hours_Total],tblSafety[Date],"&gt;="&amp;EDATE($E149,-12),tblSafety[Date],"&lt;="&amp;$A149)+SUMIFS(tblSafetyHistory[Hours_Total],tblSafetyHistory[Month],"&gt;="&amp;EDATE($E149,-12),tblSafetyHistory[Month],"&lt;"&amp;cfg_YearStart))*1000000,"")</f>
        <v/>
      </c>
      <c r="HG149" s="56">
        <f>IFERROR((SUMIFS(tblSafety[LTI],tblSafety[Date],"&gt;="&amp;EDATE($E149,-12),tblSafety[Date],"&lt;="&amp;$A149)+SUMIFS(tblSafetyHistory[LTI],tblSafetyHistory[Month],"&gt;="&amp;EDATE($E149,-12),tblSafetyHistory[Month],"&lt;"&amp;cfg_YearStart))/(SUMIFS(tblSafety[Hours_Total],tblSafety[Date],"&gt;="&amp;EDATE($E149,-12),tblSafety[Date],"&lt;="&amp;$A149)+SUMIFS(tblSafetyHistory[Hours_Total],tblSafetyHistory[Month],"&gt;="&amp;EDATE($E149,-12),tblSafetyHistory[Month],"&lt;"&amp;cfg_YearStart))*1000000,"")</f>
        <v/>
      </c>
      <c r="HH149" s="62">
        <f>IF(MAX(N(cfg_PriorLTIDate),_xlfn.MAXIFS(tblSafety[Date],tblSafety[LTI],"&gt;0",tblSafety[Date],"&lt;="&amp;$A149))=0,"",$A149-MAX(N(cfg_PriorLTIDate),_xlfn.MAXIFS(tblSafety[Date],tblSafety[LTI],"&gt;0",tblSafety[Date],"&lt;="&amp;$A149)))</f>
        <v/>
      </c>
      <c r="HI149" s="55">
        <f>SUMIFS(tblBudget[Ore_Mined_t],tblBudget[Month],$E149)</f>
        <v/>
      </c>
      <c r="HJ149" s="55">
        <f>$HI149*$C149/$D149</f>
        <v/>
      </c>
      <c r="HK149" s="55">
        <f>SUMIFS(tblBudget[Ore_Mined_t],tblBudget[Month],"&lt;"&amp;$E149)+$HJ149</f>
        <v/>
      </c>
      <c r="HL149" s="55">
        <f>SUMIFS(tblBudget[Ore_oz],tblBudget[Month],$E149)</f>
        <v/>
      </c>
      <c r="HM149" s="55">
        <f>$HL149*$C149/$D149</f>
        <v/>
      </c>
      <c r="HN149" s="55">
        <f>SUMIFS(tblBudget[Ore_oz],tblBudget[Month],"&lt;"&amp;$E149)+$HM149</f>
        <v/>
      </c>
      <c r="HO149" s="56">
        <f>IFERROR(IF(($HI149)&gt;0,($HL149*cfg_TroyOz)/($HI149),""),"")</f>
        <v/>
      </c>
      <c r="HP149" s="56">
        <f>IFERROR(IF(($HJ149)&gt;0,($HM149*cfg_TroyOz)/($HJ149),""),"")</f>
        <v/>
      </c>
      <c r="HQ149" s="56">
        <f>IFERROR(IF(($HK149)&gt;0,($HN149*cfg_TroyOz)/($HK149),""),"")</f>
        <v/>
      </c>
      <c r="HR149" s="55">
        <f>SUMIFS(tblBudget[Waste_t],tblBudget[Month],$E149)</f>
        <v/>
      </c>
      <c r="HS149" s="55">
        <f>$HR149*$C149/$D149</f>
        <v/>
      </c>
      <c r="HT149" s="55">
        <f>SUMIFS(tblBudget[Waste_t],tblBudget[Month],"&lt;"&amp;$E149)+$HS149</f>
        <v/>
      </c>
      <c r="HU149" s="55">
        <f>SUMIFS(tblBudget[TMM_t],tblBudget[Month],$E149)</f>
        <v/>
      </c>
      <c r="HV149" s="55">
        <f>$HU149*$C149/$D149</f>
        <v/>
      </c>
      <c r="HW149" s="55">
        <f>SUMIFS(tblBudget[TMM_t],tblBudget[Month],"&lt;"&amp;$E149)+$HV149</f>
        <v/>
      </c>
      <c r="HX149" s="56">
        <f>IFERROR(IF(($HI149)&gt;0,($HR149)/($HI149),""),"")</f>
        <v/>
      </c>
      <c r="HY149" s="56">
        <f>IFERROR(IF(($HJ149)&gt;0,($HS149)/($HJ149),""),"")</f>
        <v/>
      </c>
      <c r="HZ149" s="56">
        <f>IFERROR(IF(($HK149)&gt;0,($HT149)/($HK149),""),"")</f>
        <v/>
      </c>
      <c r="IA149" s="55">
        <f>SUMIFS(tblBudget[Drill_m],tblBudget[Month],$E149)</f>
        <v/>
      </c>
      <c r="IB149" s="55">
        <f>$IA149*$C149/$D149</f>
        <v/>
      </c>
      <c r="IC149" s="55">
        <f>SUMIFS(tblBudget[Drill_m],tblBudget[Month],"&lt;"&amp;$E149)+$IB149</f>
        <v/>
      </c>
      <c r="ID149" s="55">
        <f>SUMIFS(tblBudget[Diesel_L],tblBudget[Month],$E149)</f>
        <v/>
      </c>
      <c r="IE149" s="55">
        <f>$ID149*$C149/$D149</f>
        <v/>
      </c>
      <c r="IF149" s="55">
        <f>SUMIFS(tblBudget[Diesel_L],tblBudget[Month],"&lt;"&amp;$E149)+$IE149</f>
        <v/>
      </c>
      <c r="IG149" s="55">
        <f>SUMIFS(tblBudget[Milled_t],tblBudget[Month],$E149)</f>
        <v/>
      </c>
      <c r="IH149" s="55">
        <f>$IG149*$C149/$D149</f>
        <v/>
      </c>
      <c r="II149" s="55">
        <f>SUMIFS(tblBudget[Milled_t],tblBudget[Month],"&lt;"&amp;$E149)+$IH149</f>
        <v/>
      </c>
      <c r="IJ149" s="55">
        <f>SUMIFS(tblBudget[Feed_oz],tblBudget[Month],$E149)</f>
        <v/>
      </c>
      <c r="IK149" s="55">
        <f>$IJ149*$C149/$D149</f>
        <v/>
      </c>
      <c r="IL149" s="55">
        <f>SUMIFS(tblBudget[Feed_oz],tblBudget[Month],"&lt;"&amp;$E149)+$IK149</f>
        <v/>
      </c>
      <c r="IM149" s="55">
        <f>SUMIFS(tblBudget[Recovered_oz],tblBudget[Month],$E149)</f>
        <v/>
      </c>
      <c r="IN149" s="55">
        <f>$IM149*$C149/$D149</f>
        <v/>
      </c>
      <c r="IO149" s="55">
        <f>SUMIFS(tblBudget[Recovered_oz],tblBudget[Month],"&lt;"&amp;$E149)+$IN149</f>
        <v/>
      </c>
      <c r="IP149" s="56">
        <f>IFERROR(IF(($IG149)&gt;0,($IJ149*cfg_TroyOz)/($IG149),""),"")</f>
        <v/>
      </c>
      <c r="IQ149" s="56">
        <f>IFERROR(IF(($IH149)&gt;0,($IK149*cfg_TroyOz)/($IH149),""),"")</f>
        <v/>
      </c>
      <c r="IR149" s="56">
        <f>IFERROR(IF(($II149)&gt;0,($IL149*cfg_TroyOz)/($II149),""),"")</f>
        <v/>
      </c>
      <c r="IS149" s="67">
        <f>IFERROR(IF(($IJ149)&gt;0,($IM149)/($IJ149),""),"")</f>
        <v/>
      </c>
      <c r="IT149" s="67">
        <f>IFERROR(IF(($IK149)&gt;0,($IN149)/($IK149),""),"")</f>
        <v/>
      </c>
      <c r="IU149" s="67">
        <f>IFERROR(IF(($IL149)&gt;0,($IO149)/($IL149),""),"")</f>
        <v/>
      </c>
      <c r="IV149" s="55">
        <f>SUMIFS(tblBudget[Gold_Poured_oz],tblBudget[Month],$E149)</f>
        <v/>
      </c>
      <c r="IW149" s="55">
        <f>$IV149*$C149/$D149</f>
        <v/>
      </c>
      <c r="IX149" s="55">
        <f>SUMIFS(tblBudget[Gold_Poured_oz],tblBudget[Month],"&lt;"&amp;$E149)+$IW149</f>
        <v/>
      </c>
      <c r="IY149" s="57">
        <f>SUMIFS(tblBudget[Hours_Worked],tblBudget[Month],$E149)</f>
        <v/>
      </c>
      <c r="IZ149" s="57">
        <f>$IY149*$C149/$D149</f>
        <v/>
      </c>
      <c r="JA149" s="57">
        <f>SUMIFS(tblBudget[Hours_Worked],tblBudget[Month],"&lt;"&amp;$E149)+$IZ149</f>
        <v/>
      </c>
    </row>
    <row r="150">
      <c r="A150" s="54" t="n">
        <v>46171</v>
      </c>
      <c r="B150">
        <f>MONTH($A150)</f>
        <v/>
      </c>
      <c r="C150">
        <f>DAY($A150)</f>
        <v/>
      </c>
      <c r="D150">
        <f>DAY(EOMONTH($A150,0))</f>
        <v/>
      </c>
      <c r="E150" s="54">
        <f>DATE(YEAR($A150),MONTH($A150),1)</f>
        <v/>
      </c>
      <c r="F150" s="55">
        <f>SUMIFS(tblMovement[Tonnes_t],tblMovement[Date],$A150,tblMovement[Is_Ore],1,tblMovement[Source_Type],"Pit")</f>
        <v/>
      </c>
      <c r="G150" s="55">
        <f>IF($B150=$B149,$G149,0)+$F150</f>
        <v/>
      </c>
      <c r="H150" s="55">
        <f>$H149+$F150</f>
        <v/>
      </c>
      <c r="I150" s="55">
        <f>SUMIFS(tblMovement[Ore_oz],tblMovement[Date],$A150,tblMovement[Source_Type],"Pit")</f>
        <v/>
      </c>
      <c r="J150" s="55">
        <f>IF($B150=$B149,$J149,0)+$I150</f>
        <v/>
      </c>
      <c r="K150" s="55">
        <f>$K149+$I150</f>
        <v/>
      </c>
      <c r="L150" s="56">
        <f>IFERROR(IF(($F150)&gt;0,($I150*cfg_TroyOz)/($F150),""),"")</f>
        <v/>
      </c>
      <c r="M150" s="56">
        <f>IFERROR(IF(($G150)&gt;0,($J150*cfg_TroyOz)/($G150),""),"")</f>
        <v/>
      </c>
      <c r="N150" s="56">
        <f>IFERROR(IF(($H150)&gt;0,($K150*cfg_TroyOz)/($H150),""),"")</f>
        <v/>
      </c>
      <c r="O150" s="55">
        <f>SUMIFS(tblMovement[Tonnes_t],tblMovement[Date],$A150,tblMovement[Is_Ore],0,tblMovement[Source_Type],"Pit")</f>
        <v/>
      </c>
      <c r="P150" s="55">
        <f>IF($B150=$B149,$P149,0)+$O150</f>
        <v/>
      </c>
      <c r="Q150" s="55">
        <f>$Q149+$O150</f>
        <v/>
      </c>
      <c r="R150" s="55">
        <f>$F150+$O150</f>
        <v/>
      </c>
      <c r="S150" s="55">
        <f>IF($B150=$B149,$S149,0)+$R150</f>
        <v/>
      </c>
      <c r="T150" s="55">
        <f>$T149+$R150</f>
        <v/>
      </c>
      <c r="U150" s="56">
        <f>IFERROR(IF(($F150)&gt;0,($O150)/($F150),""),"")</f>
        <v/>
      </c>
      <c r="V150" s="56">
        <f>IFERROR(IF(($G150)&gt;0,($P150)/($G150),""),"")</f>
        <v/>
      </c>
      <c r="W150" s="56">
        <f>IFERROR(IF(($H150)&gt;0,($Q150)/($H150),""),"")</f>
        <v/>
      </c>
      <c r="X150" s="55">
        <f>SUMIFS(tblMovement[Tonnes_t],tblMovement[Date],$A150,tblMovement[Source_Type],"Stockpile")</f>
        <v/>
      </c>
      <c r="Y150" s="55">
        <f>IF($B150=$B149,$Y149,0)+$X150</f>
        <v/>
      </c>
      <c r="Z150" s="55">
        <f>$Z149+$X150</f>
        <v/>
      </c>
      <c r="AA150" s="55">
        <f>SUMIFS(tblMiningDaily[Drill_m],tblMiningDaily[Date],$A150)</f>
        <v/>
      </c>
      <c r="AB150" s="55">
        <f>IF($B150=$B149,$AB149,0)+$AA150</f>
        <v/>
      </c>
      <c r="AC150" s="55">
        <f>$AC149+$AA150</f>
        <v/>
      </c>
      <c r="AD150" s="55">
        <f>SUMIFS(tblMiningDaily[Blast_t],tblMiningDaily[Date],$A150)</f>
        <v/>
      </c>
      <c r="AE150" s="55">
        <f>IF($B150=$B149,$AE149,0)+$AD150</f>
        <v/>
      </c>
      <c r="AF150" s="55">
        <f>$AF149+$AD150</f>
        <v/>
      </c>
      <c r="AG150" s="55">
        <f>SUMIFS(tblMiningDaily[Explosives_kg],tblMiningDaily[Date],$A150)</f>
        <v/>
      </c>
      <c r="AH150" s="55">
        <f>IF($B150=$B149,$AH149,0)+$AG150</f>
        <v/>
      </c>
      <c r="AI150" s="55">
        <f>$AI149+$AG150</f>
        <v/>
      </c>
      <c r="AJ150" s="56">
        <f>IFERROR(IF(($AD150)&gt;0,($AG150)/($AD150),""),"")</f>
        <v/>
      </c>
      <c r="AK150" s="56">
        <f>IFERROR(IF(($AE150)&gt;0,($AH150)/($AE150),""),"")</f>
        <v/>
      </c>
      <c r="AL150" s="56">
        <f>IFERROR(IF(($AF150)&gt;0,($AI150)/($AF150),""),"")</f>
        <v/>
      </c>
      <c r="AM150" s="55">
        <f>SUMIFS(tblMiningDaily[Diesel_L],tblMiningDaily[Date],$A150)</f>
        <v/>
      </c>
      <c r="AN150" s="55">
        <f>IF($B150=$B149,$AN149,0)+$AM150</f>
        <v/>
      </c>
      <c r="AO150" s="55">
        <f>$AO149+$AM150</f>
        <v/>
      </c>
      <c r="AP150" s="55">
        <f>SUMIFS(tblMiningDaily[Dewatering_m3],tblMiningDaily[Date],$A150)</f>
        <v/>
      </c>
      <c r="AQ150" s="55">
        <f>IF($B150=$B149,$AQ149,0)+$AP150</f>
        <v/>
      </c>
      <c r="AR150" s="55">
        <f>$AR149+$AP150</f>
        <v/>
      </c>
      <c r="AS150" s="57">
        <f>SUMIFS(tblFleet[Calendar_h],tblFleet[Date],$A150,tblFleet[Equipment_Class],"Excavator")</f>
        <v/>
      </c>
      <c r="AT150" s="57">
        <f>IF($B150=$B149,$AT149,0)+$AS150</f>
        <v/>
      </c>
      <c r="AU150" s="57">
        <f>$AU149+$AS150</f>
        <v/>
      </c>
      <c r="AV150" s="57">
        <f>SUMIFS(tblFleet[Available_h],tblFleet[Date],$A150,tblFleet[Equipment_Class],"Excavator")</f>
        <v/>
      </c>
      <c r="AW150" s="57">
        <f>IF($B150=$B149,$AW149,0)+$AV150</f>
        <v/>
      </c>
      <c r="AX150" s="57">
        <f>$AX149+$AV150</f>
        <v/>
      </c>
      <c r="AY150" s="57">
        <f>SUMIFS(tblFleet[Operating_h],tblFleet[Date],$A150,tblFleet[Equipment_Class],"Excavator")</f>
        <v/>
      </c>
      <c r="AZ150" s="57">
        <f>IF($B150=$B149,$AZ149,0)+$AY150</f>
        <v/>
      </c>
      <c r="BA150" s="57">
        <f>$BA149+$AY150</f>
        <v/>
      </c>
      <c r="BB150" s="67">
        <f>IFERROR(IF(($AS150)&gt;0,($AV150)/($AS150),""),"")</f>
        <v/>
      </c>
      <c r="BC150" s="67">
        <f>IFERROR(IF(($AT150)&gt;0,($AW150)/($AT150),""),"")</f>
        <v/>
      </c>
      <c r="BD150" s="67">
        <f>IFERROR(IF(($AU150)&gt;0,($AX150)/($AU150),""),"")</f>
        <v/>
      </c>
      <c r="BE150" s="67">
        <f>IFERROR(IF(($AV150)&gt;0,($AY150)/($AV150),""),"")</f>
        <v/>
      </c>
      <c r="BF150" s="67">
        <f>IFERROR(IF(($AW150)&gt;0,($AZ150)/($AW150),""),"")</f>
        <v/>
      </c>
      <c r="BG150" s="67">
        <f>IFERROR(IF(($AX150)&gt;0,($BA150)/($AX150),""),"")</f>
        <v/>
      </c>
      <c r="BH150" s="57">
        <f>SUMIFS(tblFleet[Calendar_h],tblFleet[Date],$A150,tblFleet[Equipment_Class],"Haul Truck")</f>
        <v/>
      </c>
      <c r="BI150" s="57">
        <f>IF($B150=$B149,$BI149,0)+$BH150</f>
        <v/>
      </c>
      <c r="BJ150" s="57">
        <f>$BJ149+$BH150</f>
        <v/>
      </c>
      <c r="BK150" s="57">
        <f>SUMIFS(tblFleet[Available_h],tblFleet[Date],$A150,tblFleet[Equipment_Class],"Haul Truck")</f>
        <v/>
      </c>
      <c r="BL150" s="57">
        <f>IF($B150=$B149,$BL149,0)+$BK150</f>
        <v/>
      </c>
      <c r="BM150" s="57">
        <f>$BM149+$BK150</f>
        <v/>
      </c>
      <c r="BN150" s="57">
        <f>SUMIFS(tblFleet[Operating_h],tblFleet[Date],$A150,tblFleet[Equipment_Class],"Haul Truck")</f>
        <v/>
      </c>
      <c r="BO150" s="57">
        <f>IF($B150=$B149,$BO149,0)+$BN150</f>
        <v/>
      </c>
      <c r="BP150" s="57">
        <f>$BP149+$BN150</f>
        <v/>
      </c>
      <c r="BQ150" s="67">
        <f>IFERROR(IF(($BH150)&gt;0,($BK150)/($BH150),""),"")</f>
        <v/>
      </c>
      <c r="BR150" s="67">
        <f>IFERROR(IF(($BI150)&gt;0,($BL150)/($BI150),""),"")</f>
        <v/>
      </c>
      <c r="BS150" s="67">
        <f>IFERROR(IF(($BJ150)&gt;0,($BM150)/($BJ150),""),"")</f>
        <v/>
      </c>
      <c r="BT150" s="67">
        <f>IFERROR(IF(($BK150)&gt;0,($BN150)/($BK150),""),"")</f>
        <v/>
      </c>
      <c r="BU150" s="67">
        <f>IFERROR(IF(($BL150)&gt;0,($BO150)/($BL150),""),"")</f>
        <v/>
      </c>
      <c r="BV150" s="67">
        <f>IFERROR(IF(($BM150)&gt;0,($BP150)/($BM150),""),"")</f>
        <v/>
      </c>
      <c r="BW150" s="55">
        <f>SUMIFS(tblPlant[Crushed_t],tblPlant[Date],$A150)</f>
        <v/>
      </c>
      <c r="BX150" s="55">
        <f>IF($B150=$B149,$BX149,0)+$BW150</f>
        <v/>
      </c>
      <c r="BY150" s="55">
        <f>$BY149+$BW150</f>
        <v/>
      </c>
      <c r="BZ150" s="55">
        <f>SUMIFS(tblPlant[Milled_t],tblPlant[Date],$A150)</f>
        <v/>
      </c>
      <c r="CA150" s="55">
        <f>IF($B150=$B149,$CA149,0)+$BZ150</f>
        <v/>
      </c>
      <c r="CB150" s="55">
        <f>$CB149+$BZ150</f>
        <v/>
      </c>
      <c r="CC150" s="55">
        <f>SUMIFS(tblPlant[Feed_oz],tblPlant[Date],$A150)</f>
        <v/>
      </c>
      <c r="CD150" s="55">
        <f>IF($B150=$B149,$CD149,0)+$CC150</f>
        <v/>
      </c>
      <c r="CE150" s="55">
        <f>$CE149+$CC150</f>
        <v/>
      </c>
      <c r="CF150" s="55">
        <f>SUMIFS(tblPlant[Tails_oz],tblPlant[Date],$A150)</f>
        <v/>
      </c>
      <c r="CG150" s="55">
        <f>IF($B150=$B149,$CG149,0)+$CF150</f>
        <v/>
      </c>
      <c r="CH150" s="55">
        <f>$CH149+$CF150</f>
        <v/>
      </c>
      <c r="CI150" s="55">
        <f>SUMIFS(tblPlant[Recovered_oz],tblPlant[Date],$A150)</f>
        <v/>
      </c>
      <c r="CJ150" s="55">
        <f>IF($B150=$B149,$CJ149,0)+$CI150</f>
        <v/>
      </c>
      <c r="CK150" s="55">
        <f>$CK149+$CI150</f>
        <v/>
      </c>
      <c r="CL150" s="56">
        <f>IFERROR(IF(($BZ150)&gt;0,($CC150*cfg_TroyOz)/($BZ150),""),"")</f>
        <v/>
      </c>
      <c r="CM150" s="56">
        <f>IFERROR(IF(($CA150)&gt;0,($CD150*cfg_TroyOz)/($CA150),""),"")</f>
        <v/>
      </c>
      <c r="CN150" s="56">
        <f>IFERROR(IF(($CB150)&gt;0,($CE150*cfg_TroyOz)/($CB150),""),"")</f>
        <v/>
      </c>
      <c r="CO150" s="56">
        <f>IFERROR(IF(($BZ150)&gt;0,($CF150*cfg_TroyOz)/($BZ150),""),"")</f>
        <v/>
      </c>
      <c r="CP150" s="56">
        <f>IFERROR(IF(($CA150)&gt;0,($CG150*cfg_TroyOz)/($CA150),""),"")</f>
        <v/>
      </c>
      <c r="CQ150" s="56">
        <f>IFERROR(IF(($CB150)&gt;0,($CH150*cfg_TroyOz)/($CB150),""),"")</f>
        <v/>
      </c>
      <c r="CR150" s="67">
        <f>IFERROR(IF(($CC150)&gt;0,($CI150)/($CC150),""),"")</f>
        <v/>
      </c>
      <c r="CS150" s="67">
        <f>IFERROR(IF(($CD150)&gt;0,($CJ150)/($CD150),""),"")</f>
        <v/>
      </c>
      <c r="CT150" s="67">
        <f>IFERROR(IF(($CE150)&gt;0,($CK150)/($CE150),""),"")</f>
        <v/>
      </c>
      <c r="CU150" s="55">
        <f>SUMIFS(tblPlant[Gravity_Gold_oz],tblPlant[Date],$A150)</f>
        <v/>
      </c>
      <c r="CV150" s="55">
        <f>IF($B150=$B149,$CV149,0)+$CU150</f>
        <v/>
      </c>
      <c r="CW150" s="55">
        <f>$CW149+$CU150</f>
        <v/>
      </c>
      <c r="CX150" s="55">
        <f>SUMIFS(tblPlant[Gold_Poured_oz],tblPlant[Date],$A150)</f>
        <v/>
      </c>
      <c r="CY150" s="55">
        <f>IF($B150=$B149,$CY149,0)+$CX150</f>
        <v/>
      </c>
      <c r="CZ150" s="55">
        <f>$CZ149+$CX150</f>
        <v/>
      </c>
      <c r="DA150" s="57">
        <f>SUMIFS(tblPlant[Mill_Run_h],tblPlant[Date],$A150)</f>
        <v/>
      </c>
      <c r="DB150" s="57">
        <f>IF($B150=$B149,$DB149,0)+$DA150</f>
        <v/>
      </c>
      <c r="DC150" s="57">
        <f>$DC149+$DA150</f>
        <v/>
      </c>
      <c r="DD150" s="57">
        <f>SUMIFS(tblPlant[Mill_Planned_Maint_h],tblPlant[Date],$A150)</f>
        <v/>
      </c>
      <c r="DE150" s="57">
        <f>IF($B150=$B149,$DE149,0)+$DD150</f>
        <v/>
      </c>
      <c r="DF150" s="57">
        <f>$DF149+$DD150</f>
        <v/>
      </c>
      <c r="DG150" s="57">
        <f>SUMIFS(tblPlant[Mill_Unplanned_Down_h],tblPlant[Date],$A150)</f>
        <v/>
      </c>
      <c r="DH150" s="57">
        <f>IF($B150=$B149,$DH149,0)+$DG150</f>
        <v/>
      </c>
      <c r="DI150" s="57">
        <f>$DI149+$DG150</f>
        <v/>
      </c>
      <c r="DJ150" s="57">
        <f>COUNTIFS(tblPlant[Date],$A150,tblPlant[Mill_Run_h],"&lt;&gt;")*24</f>
        <v/>
      </c>
      <c r="DK150" s="57">
        <f>IF($B150=$B149,$DK149,0)+$DJ150</f>
        <v/>
      </c>
      <c r="DL150" s="57">
        <f>$DL149+$DJ150</f>
        <v/>
      </c>
      <c r="DM150" s="57">
        <f>SUMIFS(tblPlant[Crusher_Run_h],tblPlant[Date],$A150)</f>
        <v/>
      </c>
      <c r="DN150" s="57">
        <f>IF($B150=$B149,$DN149,0)+$DM150</f>
        <v/>
      </c>
      <c r="DO150" s="57">
        <f>$DO149+$DM150</f>
        <v/>
      </c>
      <c r="DP150" s="55">
        <f>IFERROR(IF(($DA150)&gt;0,($BZ150)/($DA150),""),"")</f>
        <v/>
      </c>
      <c r="DQ150" s="55">
        <f>IFERROR(IF(($DB150)&gt;0,($CA150)/($DB150),""),"")</f>
        <v/>
      </c>
      <c r="DR150" s="55">
        <f>IFERROR(IF(($DC150)&gt;0,($CB150)/($DC150),""),"")</f>
        <v/>
      </c>
      <c r="DS150" s="67">
        <f>IFERROR(IF(($DJ150)&gt;0,($DJ150-$DD150-$DG150)/($DJ150),""),"")</f>
        <v/>
      </c>
      <c r="DT150" s="67">
        <f>IFERROR(IF(($DK150)&gt;0,($DK150-$DE150-$DH150)/($DK150),""),"")</f>
        <v/>
      </c>
      <c r="DU150" s="67">
        <f>IFERROR(IF(($DL150)&gt;0,($DL150-$DF150-$DI150)/($DL150),""),"")</f>
        <v/>
      </c>
      <c r="DV150" s="67">
        <f>IFERROR(IF(($DJ150-$DD150-$DG150)&gt;0,($DA150)/($DJ150-$DD150-$DG150),""),"")</f>
        <v/>
      </c>
      <c r="DW150" s="67">
        <f>IFERROR(IF(($DK150-$DE150-$DH150)&gt;0,($DB150)/($DK150-$DE150-$DH150),""),"")</f>
        <v/>
      </c>
      <c r="DX150" s="67">
        <f>IFERROR(IF(($DL150-$DF150-$DI150)&gt;0,($DC150)/($DL150-$DF150-$DI150),""),"")</f>
        <v/>
      </c>
      <c r="DY150" s="55">
        <f>SUMIFS(tblPlant[Cyanide_kg],tblPlant[Date],$A150)</f>
        <v/>
      </c>
      <c r="DZ150" s="55">
        <f>IF($B150=$B149,$DZ149,0)+$DY150</f>
        <v/>
      </c>
      <c r="EA150" s="55">
        <f>$EA149+$DY150</f>
        <v/>
      </c>
      <c r="EB150" s="55">
        <f>SUMIFS(tblPlant[Lime_kg],tblPlant[Date],$A150)</f>
        <v/>
      </c>
      <c r="EC150" s="55">
        <f>IF($B150=$B149,$EC149,0)+$EB150</f>
        <v/>
      </c>
      <c r="ED150" s="55">
        <f>$ED149+$EB150</f>
        <v/>
      </c>
      <c r="EE150" s="55">
        <f>SUMIFS(tblPlant[Grinding_Media_kg],tblPlant[Date],$A150)</f>
        <v/>
      </c>
      <c r="EF150" s="55">
        <f>IF($B150=$B149,$EF149,0)+$EE150</f>
        <v/>
      </c>
      <c r="EG150" s="55">
        <f>$EG149+$EE150</f>
        <v/>
      </c>
      <c r="EH150" s="55">
        <f>SUMIFS(tblPlant[Power_kWh],tblPlant[Date],$A150)</f>
        <v/>
      </c>
      <c r="EI150" s="55">
        <f>IF($B150=$B149,$EI149,0)+$EH150</f>
        <v/>
      </c>
      <c r="EJ150" s="55">
        <f>$EJ149+$EH150</f>
        <v/>
      </c>
      <c r="EK150" s="55">
        <f>SUMIFS(tblPlant[Raw_Water_m3],tblPlant[Date],$A150)</f>
        <v/>
      </c>
      <c r="EL150" s="55">
        <f>IF($B150=$B149,$EL149,0)+$EK150</f>
        <v/>
      </c>
      <c r="EM150" s="55">
        <f>$EM149+$EK150</f>
        <v/>
      </c>
      <c r="EN150" s="56">
        <f>IFERROR(IF(($BZ150)&gt;0,($DY150)/($BZ150),""),"")</f>
        <v/>
      </c>
      <c r="EO150" s="56">
        <f>IFERROR(IF(($CA150)&gt;0,($DZ150)/($CA150),""),"")</f>
        <v/>
      </c>
      <c r="EP150" s="56">
        <f>IFERROR(IF(($CB150)&gt;0,($EA150)/($CB150),""),"")</f>
        <v/>
      </c>
      <c r="EQ150" s="56">
        <f>IFERROR(IF(($BZ150)&gt;0,($EB150)/($BZ150),""),"")</f>
        <v/>
      </c>
      <c r="ER150" s="56">
        <f>IFERROR(IF(($CA150)&gt;0,($EC150)/($CA150),""),"")</f>
        <v/>
      </c>
      <c r="ES150" s="56">
        <f>IFERROR(IF(($CB150)&gt;0,($ED150)/($CB150),""),"")</f>
        <v/>
      </c>
      <c r="ET150" s="56">
        <f>IFERROR(IF(($BZ150)&gt;0,($EE150)/($BZ150),""),"")</f>
        <v/>
      </c>
      <c r="EU150" s="56">
        <f>IFERROR(IF(($CA150)&gt;0,($EF150)/($CA150),""),"")</f>
        <v/>
      </c>
      <c r="EV150" s="56">
        <f>IFERROR(IF(($CB150)&gt;0,($EG150)/($CB150),""),"")</f>
        <v/>
      </c>
      <c r="EW150" s="76">
        <f>IFERROR(IF(($BZ150)&gt;0,($EH150)/($BZ150),""),"")</f>
        <v/>
      </c>
      <c r="EX150" s="76">
        <f>IFERROR(IF(($CA150)&gt;0,($EI150)/($CA150),""),"")</f>
        <v/>
      </c>
      <c r="EY150" s="76">
        <f>IFERROR(IF(($CB150)&gt;0,($EJ150)/($CB150),""),"")</f>
        <v/>
      </c>
      <c r="EZ150" s="56">
        <f>IFERROR(IF(($BZ150)&gt;0,($EK150)/($BZ150),""),"")</f>
        <v/>
      </c>
      <c r="FA150" s="56">
        <f>IFERROR(IF(($CA150)&gt;0,($EL150)/($CA150),""),"")</f>
        <v/>
      </c>
      <c r="FB150" s="56">
        <f>IFERROR(IF(($CB150)&gt;0,($EM150)/($CB150),""),"")</f>
        <v/>
      </c>
      <c r="FC150" s="55">
        <f>IF(SUMIFS(tblPlant[GIC_oz],tblPlant[Date],$A150)&gt;0,SUMIFS(tblPlant[GIC_oz],tblPlant[Date],$A150),"")</f>
        <v/>
      </c>
      <c r="FD150" s="55">
        <f>SUMIFS(tblGold[Gold_oz],tblGold[Date],$A150,tblGold[Type],"Shipment")</f>
        <v/>
      </c>
      <c r="FE150" s="55">
        <f>IF($B150=$B149,$FE149,0)+$FD150</f>
        <v/>
      </c>
      <c r="FF150" s="55">
        <f>$FF149+$FD150</f>
        <v/>
      </c>
      <c r="FG150" s="55">
        <f>SUMIFS(tblGold[Gold_oz],tblGold[Date],$A150,tblGold[Type],"Sale")</f>
        <v/>
      </c>
      <c r="FH150" s="55">
        <f>IF($B150=$B149,$FH149,0)+$FG150</f>
        <v/>
      </c>
      <c r="FI150" s="55">
        <f>$FI149+$FG150</f>
        <v/>
      </c>
      <c r="FJ150" s="55">
        <f>SUMIFS(tblGold[Dore_kg],tblGold[Date],$A150,tblGold[Type],"Shipment")</f>
        <v/>
      </c>
      <c r="FK150" s="55">
        <f>IF($B150=$B149,$FK149,0)+$FJ150</f>
        <v/>
      </c>
      <c r="FL150" s="55">
        <f>$FL149+$FJ150</f>
        <v/>
      </c>
      <c r="FM150" s="57">
        <f>SUMIFS(tblSafety[Hours_Total],tblSafety[Date],$A150)</f>
        <v/>
      </c>
      <c r="FN150" s="57">
        <f>IF($B150=$B149,$FN149,0)+$FM150</f>
        <v/>
      </c>
      <c r="FO150" s="57">
        <f>$FO149+$FM150</f>
        <v/>
      </c>
      <c r="FP150" s="62">
        <f>SUMIFS(tblSafety[Fatality],tblSafety[Date],$A150)</f>
        <v/>
      </c>
      <c r="FQ150" s="62">
        <f>IF($B150=$B149,$FQ149,0)+$FP150</f>
        <v/>
      </c>
      <c r="FR150" s="62">
        <f>$FR149+$FP150</f>
        <v/>
      </c>
      <c r="FS150" s="62">
        <f>SUMIFS(tblSafety[LTI],tblSafety[Date],$A150)</f>
        <v/>
      </c>
      <c r="FT150" s="62">
        <f>IF($B150=$B149,$FT149,0)+$FS150</f>
        <v/>
      </c>
      <c r="FU150" s="62">
        <f>$FU149+$FS150</f>
        <v/>
      </c>
      <c r="FV150" s="62">
        <f>SUMIFS(tblSafety[RWI],tblSafety[Date],$A150)</f>
        <v/>
      </c>
      <c r="FW150" s="62">
        <f>IF($B150=$B149,$FW149,0)+$FV150</f>
        <v/>
      </c>
      <c r="FX150" s="62">
        <f>$FX149+$FV150</f>
        <v/>
      </c>
      <c r="FY150" s="62">
        <f>SUMIFS(tblSafety[MTI],tblSafety[Date],$A150)</f>
        <v/>
      </c>
      <c r="FZ150" s="62">
        <f>IF($B150=$B149,$FZ149,0)+$FY150</f>
        <v/>
      </c>
      <c r="GA150" s="62">
        <f>$GA149+$FY150</f>
        <v/>
      </c>
      <c r="GB150" s="62">
        <f>SUMIFS(tblSafety[FAI],tblSafety[Date],$A150)</f>
        <v/>
      </c>
      <c r="GC150" s="62">
        <f>IF($B150=$B149,$GC149,0)+$GB150</f>
        <v/>
      </c>
      <c r="GD150" s="62">
        <f>$GD149+$GB150</f>
        <v/>
      </c>
      <c r="GE150" s="62">
        <f>SUMIFS(tblSafety[Recordables],tblSafety[Date],$A150)</f>
        <v/>
      </c>
      <c r="GF150" s="62">
        <f>IF($B150=$B149,$GF149,0)+$GE150</f>
        <v/>
      </c>
      <c r="GG150" s="62">
        <f>$GG149+$GE150</f>
        <v/>
      </c>
      <c r="GH150" s="62">
        <f>SUMIFS(tblSafety[Near_Miss],tblSafety[Date],$A150)</f>
        <v/>
      </c>
      <c r="GI150" s="62">
        <f>IF($B150=$B149,$GI149,0)+$GH150</f>
        <v/>
      </c>
      <c r="GJ150" s="62">
        <f>$GJ149+$GH150</f>
        <v/>
      </c>
      <c r="GK150" s="62">
        <f>SUMIFS(tblSafety[Hazard_Reports],tblSafety[Date],$A150)</f>
        <v/>
      </c>
      <c r="GL150" s="62">
        <f>IF($B150=$B149,$GL149,0)+$GK150</f>
        <v/>
      </c>
      <c r="GM150" s="62">
        <f>$GM149+$GK150</f>
        <v/>
      </c>
      <c r="GN150" s="62">
        <f>SUMIFS(tblSafety[HPI],tblSafety[Date],$A150)</f>
        <v/>
      </c>
      <c r="GO150" s="62">
        <f>IF($B150=$B149,$GO149,0)+$GN150</f>
        <v/>
      </c>
      <c r="GP150" s="62">
        <f>$GP149+$GN150</f>
        <v/>
      </c>
      <c r="GQ150" s="62">
        <f>SUMIFS(tblSafety[Env_Incidents],tblSafety[Date],$A150)</f>
        <v/>
      </c>
      <c r="GR150" s="62">
        <f>IF($B150=$B149,$GR149,0)+$GQ150</f>
        <v/>
      </c>
      <c r="GS150" s="62">
        <f>$GS149+$GQ150</f>
        <v/>
      </c>
      <c r="GT150" s="62">
        <f>SUMIFS(tblSafety[Community_Incidents],tblSafety[Date],$A150)</f>
        <v/>
      </c>
      <c r="GU150" s="62">
        <f>IF($B150=$B149,$GU149,0)+$GT150</f>
        <v/>
      </c>
      <c r="GV150" s="62">
        <f>$GV149+$GT150</f>
        <v/>
      </c>
      <c r="GW150" s="62">
        <f>SUMIFS(tblSafety[Vehicle_Incidents],tblSafety[Date],$A150)</f>
        <v/>
      </c>
      <c r="GX150" s="62">
        <f>IF($B150=$B149,$GX149,0)+$GW150</f>
        <v/>
      </c>
      <c r="GY150" s="62">
        <f>$GY149+$GW150</f>
        <v/>
      </c>
      <c r="GZ150" s="62">
        <f>SUMIFS(tblSafety[Toolbox_Talks],tblSafety[Date],$A150)</f>
        <v/>
      </c>
      <c r="HA150" s="62">
        <f>IF($B150=$B149,$HA149,0)+$GZ150</f>
        <v/>
      </c>
      <c r="HB150" s="62">
        <f>$HB149+$GZ150</f>
        <v/>
      </c>
      <c r="HC150" s="62">
        <f>SUMIFS(tblSafety[Inspections],tblSafety[Date],$A150)</f>
        <v/>
      </c>
      <c r="HD150" s="62">
        <f>IF($B150=$B149,$HD149,0)+$HC150</f>
        <v/>
      </c>
      <c r="HE150" s="62">
        <f>$HE149+$HC150</f>
        <v/>
      </c>
      <c r="HF150" s="56">
        <f>IFERROR((SUMIFS(tblSafety[Recordables],tblSafety[Date],"&gt;="&amp;EDATE($E150,-12),tblSafety[Date],"&lt;="&amp;$A150)+SUMIFS(tblSafetyHistory[Recordables],tblSafetyHistory[Month],"&gt;="&amp;EDATE($E150,-12),tblSafetyHistory[Month],"&lt;"&amp;cfg_YearStart))/(SUMIFS(tblSafety[Hours_Total],tblSafety[Date],"&gt;="&amp;EDATE($E150,-12),tblSafety[Date],"&lt;="&amp;$A150)+SUMIFS(tblSafetyHistory[Hours_Total],tblSafetyHistory[Month],"&gt;="&amp;EDATE($E150,-12),tblSafetyHistory[Month],"&lt;"&amp;cfg_YearStart))*1000000,"")</f>
        <v/>
      </c>
      <c r="HG150" s="56">
        <f>IFERROR((SUMIFS(tblSafety[LTI],tblSafety[Date],"&gt;="&amp;EDATE($E150,-12),tblSafety[Date],"&lt;="&amp;$A150)+SUMIFS(tblSafetyHistory[LTI],tblSafetyHistory[Month],"&gt;="&amp;EDATE($E150,-12),tblSafetyHistory[Month],"&lt;"&amp;cfg_YearStart))/(SUMIFS(tblSafety[Hours_Total],tblSafety[Date],"&gt;="&amp;EDATE($E150,-12),tblSafety[Date],"&lt;="&amp;$A150)+SUMIFS(tblSafetyHistory[Hours_Total],tblSafetyHistory[Month],"&gt;="&amp;EDATE($E150,-12),tblSafetyHistory[Month],"&lt;"&amp;cfg_YearStart))*1000000,"")</f>
        <v/>
      </c>
      <c r="HH150" s="62">
        <f>IF(MAX(N(cfg_PriorLTIDate),_xlfn.MAXIFS(tblSafety[Date],tblSafety[LTI],"&gt;0",tblSafety[Date],"&lt;="&amp;$A150))=0,"",$A150-MAX(N(cfg_PriorLTIDate),_xlfn.MAXIFS(tblSafety[Date],tblSafety[LTI],"&gt;0",tblSafety[Date],"&lt;="&amp;$A150)))</f>
        <v/>
      </c>
      <c r="HI150" s="55">
        <f>SUMIFS(tblBudget[Ore_Mined_t],tblBudget[Month],$E150)</f>
        <v/>
      </c>
      <c r="HJ150" s="55">
        <f>$HI150*$C150/$D150</f>
        <v/>
      </c>
      <c r="HK150" s="55">
        <f>SUMIFS(tblBudget[Ore_Mined_t],tblBudget[Month],"&lt;"&amp;$E150)+$HJ150</f>
        <v/>
      </c>
      <c r="HL150" s="55">
        <f>SUMIFS(tblBudget[Ore_oz],tblBudget[Month],$E150)</f>
        <v/>
      </c>
      <c r="HM150" s="55">
        <f>$HL150*$C150/$D150</f>
        <v/>
      </c>
      <c r="HN150" s="55">
        <f>SUMIFS(tblBudget[Ore_oz],tblBudget[Month],"&lt;"&amp;$E150)+$HM150</f>
        <v/>
      </c>
      <c r="HO150" s="56">
        <f>IFERROR(IF(($HI150)&gt;0,($HL150*cfg_TroyOz)/($HI150),""),"")</f>
        <v/>
      </c>
      <c r="HP150" s="56">
        <f>IFERROR(IF(($HJ150)&gt;0,($HM150*cfg_TroyOz)/($HJ150),""),"")</f>
        <v/>
      </c>
      <c r="HQ150" s="56">
        <f>IFERROR(IF(($HK150)&gt;0,($HN150*cfg_TroyOz)/($HK150),""),"")</f>
        <v/>
      </c>
      <c r="HR150" s="55">
        <f>SUMIFS(tblBudget[Waste_t],tblBudget[Month],$E150)</f>
        <v/>
      </c>
      <c r="HS150" s="55">
        <f>$HR150*$C150/$D150</f>
        <v/>
      </c>
      <c r="HT150" s="55">
        <f>SUMIFS(tblBudget[Waste_t],tblBudget[Month],"&lt;"&amp;$E150)+$HS150</f>
        <v/>
      </c>
      <c r="HU150" s="55">
        <f>SUMIFS(tblBudget[TMM_t],tblBudget[Month],$E150)</f>
        <v/>
      </c>
      <c r="HV150" s="55">
        <f>$HU150*$C150/$D150</f>
        <v/>
      </c>
      <c r="HW150" s="55">
        <f>SUMIFS(tblBudget[TMM_t],tblBudget[Month],"&lt;"&amp;$E150)+$HV150</f>
        <v/>
      </c>
      <c r="HX150" s="56">
        <f>IFERROR(IF(($HI150)&gt;0,($HR150)/($HI150),""),"")</f>
        <v/>
      </c>
      <c r="HY150" s="56">
        <f>IFERROR(IF(($HJ150)&gt;0,($HS150)/($HJ150),""),"")</f>
        <v/>
      </c>
      <c r="HZ150" s="56">
        <f>IFERROR(IF(($HK150)&gt;0,($HT150)/($HK150),""),"")</f>
        <v/>
      </c>
      <c r="IA150" s="55">
        <f>SUMIFS(tblBudget[Drill_m],tblBudget[Month],$E150)</f>
        <v/>
      </c>
      <c r="IB150" s="55">
        <f>$IA150*$C150/$D150</f>
        <v/>
      </c>
      <c r="IC150" s="55">
        <f>SUMIFS(tblBudget[Drill_m],tblBudget[Month],"&lt;"&amp;$E150)+$IB150</f>
        <v/>
      </c>
      <c r="ID150" s="55">
        <f>SUMIFS(tblBudget[Diesel_L],tblBudget[Month],$E150)</f>
        <v/>
      </c>
      <c r="IE150" s="55">
        <f>$ID150*$C150/$D150</f>
        <v/>
      </c>
      <c r="IF150" s="55">
        <f>SUMIFS(tblBudget[Diesel_L],tblBudget[Month],"&lt;"&amp;$E150)+$IE150</f>
        <v/>
      </c>
      <c r="IG150" s="55">
        <f>SUMIFS(tblBudget[Milled_t],tblBudget[Month],$E150)</f>
        <v/>
      </c>
      <c r="IH150" s="55">
        <f>$IG150*$C150/$D150</f>
        <v/>
      </c>
      <c r="II150" s="55">
        <f>SUMIFS(tblBudget[Milled_t],tblBudget[Month],"&lt;"&amp;$E150)+$IH150</f>
        <v/>
      </c>
      <c r="IJ150" s="55">
        <f>SUMIFS(tblBudget[Feed_oz],tblBudget[Month],$E150)</f>
        <v/>
      </c>
      <c r="IK150" s="55">
        <f>$IJ150*$C150/$D150</f>
        <v/>
      </c>
      <c r="IL150" s="55">
        <f>SUMIFS(tblBudget[Feed_oz],tblBudget[Month],"&lt;"&amp;$E150)+$IK150</f>
        <v/>
      </c>
      <c r="IM150" s="55">
        <f>SUMIFS(tblBudget[Recovered_oz],tblBudget[Month],$E150)</f>
        <v/>
      </c>
      <c r="IN150" s="55">
        <f>$IM150*$C150/$D150</f>
        <v/>
      </c>
      <c r="IO150" s="55">
        <f>SUMIFS(tblBudget[Recovered_oz],tblBudget[Month],"&lt;"&amp;$E150)+$IN150</f>
        <v/>
      </c>
      <c r="IP150" s="56">
        <f>IFERROR(IF(($IG150)&gt;0,($IJ150*cfg_TroyOz)/($IG150),""),"")</f>
        <v/>
      </c>
      <c r="IQ150" s="56">
        <f>IFERROR(IF(($IH150)&gt;0,($IK150*cfg_TroyOz)/($IH150),""),"")</f>
        <v/>
      </c>
      <c r="IR150" s="56">
        <f>IFERROR(IF(($II150)&gt;0,($IL150*cfg_TroyOz)/($II150),""),"")</f>
        <v/>
      </c>
      <c r="IS150" s="67">
        <f>IFERROR(IF(($IJ150)&gt;0,($IM150)/($IJ150),""),"")</f>
        <v/>
      </c>
      <c r="IT150" s="67">
        <f>IFERROR(IF(($IK150)&gt;0,($IN150)/($IK150),""),"")</f>
        <v/>
      </c>
      <c r="IU150" s="67">
        <f>IFERROR(IF(($IL150)&gt;0,($IO150)/($IL150),""),"")</f>
        <v/>
      </c>
      <c r="IV150" s="55">
        <f>SUMIFS(tblBudget[Gold_Poured_oz],tblBudget[Month],$E150)</f>
        <v/>
      </c>
      <c r="IW150" s="55">
        <f>$IV150*$C150/$D150</f>
        <v/>
      </c>
      <c r="IX150" s="55">
        <f>SUMIFS(tblBudget[Gold_Poured_oz],tblBudget[Month],"&lt;"&amp;$E150)+$IW150</f>
        <v/>
      </c>
      <c r="IY150" s="57">
        <f>SUMIFS(tblBudget[Hours_Worked],tblBudget[Month],$E150)</f>
        <v/>
      </c>
      <c r="IZ150" s="57">
        <f>$IY150*$C150/$D150</f>
        <v/>
      </c>
      <c r="JA150" s="57">
        <f>SUMIFS(tblBudget[Hours_Worked],tblBudget[Month],"&lt;"&amp;$E150)+$IZ150</f>
        <v/>
      </c>
    </row>
    <row r="151">
      <c r="A151" s="54" t="n">
        <v>46172</v>
      </c>
      <c r="B151">
        <f>MONTH($A151)</f>
        <v/>
      </c>
      <c r="C151">
        <f>DAY($A151)</f>
        <v/>
      </c>
      <c r="D151">
        <f>DAY(EOMONTH($A151,0))</f>
        <v/>
      </c>
      <c r="E151" s="54">
        <f>DATE(YEAR($A151),MONTH($A151),1)</f>
        <v/>
      </c>
      <c r="F151" s="55">
        <f>SUMIFS(tblMovement[Tonnes_t],tblMovement[Date],$A151,tblMovement[Is_Ore],1,tblMovement[Source_Type],"Pit")</f>
        <v/>
      </c>
      <c r="G151" s="55">
        <f>IF($B151=$B150,$G150,0)+$F151</f>
        <v/>
      </c>
      <c r="H151" s="55">
        <f>$H150+$F151</f>
        <v/>
      </c>
      <c r="I151" s="55">
        <f>SUMIFS(tblMovement[Ore_oz],tblMovement[Date],$A151,tblMovement[Source_Type],"Pit")</f>
        <v/>
      </c>
      <c r="J151" s="55">
        <f>IF($B151=$B150,$J150,0)+$I151</f>
        <v/>
      </c>
      <c r="K151" s="55">
        <f>$K150+$I151</f>
        <v/>
      </c>
      <c r="L151" s="56">
        <f>IFERROR(IF(($F151)&gt;0,($I151*cfg_TroyOz)/($F151),""),"")</f>
        <v/>
      </c>
      <c r="M151" s="56">
        <f>IFERROR(IF(($G151)&gt;0,($J151*cfg_TroyOz)/($G151),""),"")</f>
        <v/>
      </c>
      <c r="N151" s="56">
        <f>IFERROR(IF(($H151)&gt;0,($K151*cfg_TroyOz)/($H151),""),"")</f>
        <v/>
      </c>
      <c r="O151" s="55">
        <f>SUMIFS(tblMovement[Tonnes_t],tblMovement[Date],$A151,tblMovement[Is_Ore],0,tblMovement[Source_Type],"Pit")</f>
        <v/>
      </c>
      <c r="P151" s="55">
        <f>IF($B151=$B150,$P150,0)+$O151</f>
        <v/>
      </c>
      <c r="Q151" s="55">
        <f>$Q150+$O151</f>
        <v/>
      </c>
      <c r="R151" s="55">
        <f>$F151+$O151</f>
        <v/>
      </c>
      <c r="S151" s="55">
        <f>IF($B151=$B150,$S150,0)+$R151</f>
        <v/>
      </c>
      <c r="T151" s="55">
        <f>$T150+$R151</f>
        <v/>
      </c>
      <c r="U151" s="56">
        <f>IFERROR(IF(($F151)&gt;0,($O151)/($F151),""),"")</f>
        <v/>
      </c>
      <c r="V151" s="56">
        <f>IFERROR(IF(($G151)&gt;0,($P151)/($G151),""),"")</f>
        <v/>
      </c>
      <c r="W151" s="56">
        <f>IFERROR(IF(($H151)&gt;0,($Q151)/($H151),""),"")</f>
        <v/>
      </c>
      <c r="X151" s="55">
        <f>SUMIFS(tblMovement[Tonnes_t],tblMovement[Date],$A151,tblMovement[Source_Type],"Stockpile")</f>
        <v/>
      </c>
      <c r="Y151" s="55">
        <f>IF($B151=$B150,$Y150,0)+$X151</f>
        <v/>
      </c>
      <c r="Z151" s="55">
        <f>$Z150+$X151</f>
        <v/>
      </c>
      <c r="AA151" s="55">
        <f>SUMIFS(tblMiningDaily[Drill_m],tblMiningDaily[Date],$A151)</f>
        <v/>
      </c>
      <c r="AB151" s="55">
        <f>IF($B151=$B150,$AB150,0)+$AA151</f>
        <v/>
      </c>
      <c r="AC151" s="55">
        <f>$AC150+$AA151</f>
        <v/>
      </c>
      <c r="AD151" s="55">
        <f>SUMIFS(tblMiningDaily[Blast_t],tblMiningDaily[Date],$A151)</f>
        <v/>
      </c>
      <c r="AE151" s="55">
        <f>IF($B151=$B150,$AE150,0)+$AD151</f>
        <v/>
      </c>
      <c r="AF151" s="55">
        <f>$AF150+$AD151</f>
        <v/>
      </c>
      <c r="AG151" s="55">
        <f>SUMIFS(tblMiningDaily[Explosives_kg],tblMiningDaily[Date],$A151)</f>
        <v/>
      </c>
      <c r="AH151" s="55">
        <f>IF($B151=$B150,$AH150,0)+$AG151</f>
        <v/>
      </c>
      <c r="AI151" s="55">
        <f>$AI150+$AG151</f>
        <v/>
      </c>
      <c r="AJ151" s="56">
        <f>IFERROR(IF(($AD151)&gt;0,($AG151)/($AD151),""),"")</f>
        <v/>
      </c>
      <c r="AK151" s="56">
        <f>IFERROR(IF(($AE151)&gt;0,($AH151)/($AE151),""),"")</f>
        <v/>
      </c>
      <c r="AL151" s="56">
        <f>IFERROR(IF(($AF151)&gt;0,($AI151)/($AF151),""),"")</f>
        <v/>
      </c>
      <c r="AM151" s="55">
        <f>SUMIFS(tblMiningDaily[Diesel_L],tblMiningDaily[Date],$A151)</f>
        <v/>
      </c>
      <c r="AN151" s="55">
        <f>IF($B151=$B150,$AN150,0)+$AM151</f>
        <v/>
      </c>
      <c r="AO151" s="55">
        <f>$AO150+$AM151</f>
        <v/>
      </c>
      <c r="AP151" s="55">
        <f>SUMIFS(tblMiningDaily[Dewatering_m3],tblMiningDaily[Date],$A151)</f>
        <v/>
      </c>
      <c r="AQ151" s="55">
        <f>IF($B151=$B150,$AQ150,0)+$AP151</f>
        <v/>
      </c>
      <c r="AR151" s="55">
        <f>$AR150+$AP151</f>
        <v/>
      </c>
      <c r="AS151" s="57">
        <f>SUMIFS(tblFleet[Calendar_h],tblFleet[Date],$A151,tblFleet[Equipment_Class],"Excavator")</f>
        <v/>
      </c>
      <c r="AT151" s="57">
        <f>IF($B151=$B150,$AT150,0)+$AS151</f>
        <v/>
      </c>
      <c r="AU151" s="57">
        <f>$AU150+$AS151</f>
        <v/>
      </c>
      <c r="AV151" s="57">
        <f>SUMIFS(tblFleet[Available_h],tblFleet[Date],$A151,tblFleet[Equipment_Class],"Excavator")</f>
        <v/>
      </c>
      <c r="AW151" s="57">
        <f>IF($B151=$B150,$AW150,0)+$AV151</f>
        <v/>
      </c>
      <c r="AX151" s="57">
        <f>$AX150+$AV151</f>
        <v/>
      </c>
      <c r="AY151" s="57">
        <f>SUMIFS(tblFleet[Operating_h],tblFleet[Date],$A151,tblFleet[Equipment_Class],"Excavator")</f>
        <v/>
      </c>
      <c r="AZ151" s="57">
        <f>IF($B151=$B150,$AZ150,0)+$AY151</f>
        <v/>
      </c>
      <c r="BA151" s="57">
        <f>$BA150+$AY151</f>
        <v/>
      </c>
      <c r="BB151" s="67">
        <f>IFERROR(IF(($AS151)&gt;0,($AV151)/($AS151),""),"")</f>
        <v/>
      </c>
      <c r="BC151" s="67">
        <f>IFERROR(IF(($AT151)&gt;0,($AW151)/($AT151),""),"")</f>
        <v/>
      </c>
      <c r="BD151" s="67">
        <f>IFERROR(IF(($AU151)&gt;0,($AX151)/($AU151),""),"")</f>
        <v/>
      </c>
      <c r="BE151" s="67">
        <f>IFERROR(IF(($AV151)&gt;0,($AY151)/($AV151),""),"")</f>
        <v/>
      </c>
      <c r="BF151" s="67">
        <f>IFERROR(IF(($AW151)&gt;0,($AZ151)/($AW151),""),"")</f>
        <v/>
      </c>
      <c r="BG151" s="67">
        <f>IFERROR(IF(($AX151)&gt;0,($BA151)/($AX151),""),"")</f>
        <v/>
      </c>
      <c r="BH151" s="57">
        <f>SUMIFS(tblFleet[Calendar_h],tblFleet[Date],$A151,tblFleet[Equipment_Class],"Haul Truck")</f>
        <v/>
      </c>
      <c r="BI151" s="57">
        <f>IF($B151=$B150,$BI150,0)+$BH151</f>
        <v/>
      </c>
      <c r="BJ151" s="57">
        <f>$BJ150+$BH151</f>
        <v/>
      </c>
      <c r="BK151" s="57">
        <f>SUMIFS(tblFleet[Available_h],tblFleet[Date],$A151,tblFleet[Equipment_Class],"Haul Truck")</f>
        <v/>
      </c>
      <c r="BL151" s="57">
        <f>IF($B151=$B150,$BL150,0)+$BK151</f>
        <v/>
      </c>
      <c r="BM151" s="57">
        <f>$BM150+$BK151</f>
        <v/>
      </c>
      <c r="BN151" s="57">
        <f>SUMIFS(tblFleet[Operating_h],tblFleet[Date],$A151,tblFleet[Equipment_Class],"Haul Truck")</f>
        <v/>
      </c>
      <c r="BO151" s="57">
        <f>IF($B151=$B150,$BO150,0)+$BN151</f>
        <v/>
      </c>
      <c r="BP151" s="57">
        <f>$BP150+$BN151</f>
        <v/>
      </c>
      <c r="BQ151" s="67">
        <f>IFERROR(IF(($BH151)&gt;0,($BK151)/($BH151),""),"")</f>
        <v/>
      </c>
      <c r="BR151" s="67">
        <f>IFERROR(IF(($BI151)&gt;0,($BL151)/($BI151),""),"")</f>
        <v/>
      </c>
      <c r="BS151" s="67">
        <f>IFERROR(IF(($BJ151)&gt;0,($BM151)/($BJ151),""),"")</f>
        <v/>
      </c>
      <c r="BT151" s="67">
        <f>IFERROR(IF(($BK151)&gt;0,($BN151)/($BK151),""),"")</f>
        <v/>
      </c>
      <c r="BU151" s="67">
        <f>IFERROR(IF(($BL151)&gt;0,($BO151)/($BL151),""),"")</f>
        <v/>
      </c>
      <c r="BV151" s="67">
        <f>IFERROR(IF(($BM151)&gt;0,($BP151)/($BM151),""),"")</f>
        <v/>
      </c>
      <c r="BW151" s="55">
        <f>SUMIFS(tblPlant[Crushed_t],tblPlant[Date],$A151)</f>
        <v/>
      </c>
      <c r="BX151" s="55">
        <f>IF($B151=$B150,$BX150,0)+$BW151</f>
        <v/>
      </c>
      <c r="BY151" s="55">
        <f>$BY150+$BW151</f>
        <v/>
      </c>
      <c r="BZ151" s="55">
        <f>SUMIFS(tblPlant[Milled_t],tblPlant[Date],$A151)</f>
        <v/>
      </c>
      <c r="CA151" s="55">
        <f>IF($B151=$B150,$CA150,0)+$BZ151</f>
        <v/>
      </c>
      <c r="CB151" s="55">
        <f>$CB150+$BZ151</f>
        <v/>
      </c>
      <c r="CC151" s="55">
        <f>SUMIFS(tblPlant[Feed_oz],tblPlant[Date],$A151)</f>
        <v/>
      </c>
      <c r="CD151" s="55">
        <f>IF($B151=$B150,$CD150,0)+$CC151</f>
        <v/>
      </c>
      <c r="CE151" s="55">
        <f>$CE150+$CC151</f>
        <v/>
      </c>
      <c r="CF151" s="55">
        <f>SUMIFS(tblPlant[Tails_oz],tblPlant[Date],$A151)</f>
        <v/>
      </c>
      <c r="CG151" s="55">
        <f>IF($B151=$B150,$CG150,0)+$CF151</f>
        <v/>
      </c>
      <c r="CH151" s="55">
        <f>$CH150+$CF151</f>
        <v/>
      </c>
      <c r="CI151" s="55">
        <f>SUMIFS(tblPlant[Recovered_oz],tblPlant[Date],$A151)</f>
        <v/>
      </c>
      <c r="CJ151" s="55">
        <f>IF($B151=$B150,$CJ150,0)+$CI151</f>
        <v/>
      </c>
      <c r="CK151" s="55">
        <f>$CK150+$CI151</f>
        <v/>
      </c>
      <c r="CL151" s="56">
        <f>IFERROR(IF(($BZ151)&gt;0,($CC151*cfg_TroyOz)/($BZ151),""),"")</f>
        <v/>
      </c>
      <c r="CM151" s="56">
        <f>IFERROR(IF(($CA151)&gt;0,($CD151*cfg_TroyOz)/($CA151),""),"")</f>
        <v/>
      </c>
      <c r="CN151" s="56">
        <f>IFERROR(IF(($CB151)&gt;0,($CE151*cfg_TroyOz)/($CB151),""),"")</f>
        <v/>
      </c>
      <c r="CO151" s="56">
        <f>IFERROR(IF(($BZ151)&gt;0,($CF151*cfg_TroyOz)/($BZ151),""),"")</f>
        <v/>
      </c>
      <c r="CP151" s="56">
        <f>IFERROR(IF(($CA151)&gt;0,($CG151*cfg_TroyOz)/($CA151),""),"")</f>
        <v/>
      </c>
      <c r="CQ151" s="56">
        <f>IFERROR(IF(($CB151)&gt;0,($CH151*cfg_TroyOz)/($CB151),""),"")</f>
        <v/>
      </c>
      <c r="CR151" s="67">
        <f>IFERROR(IF(($CC151)&gt;0,($CI151)/($CC151),""),"")</f>
        <v/>
      </c>
      <c r="CS151" s="67">
        <f>IFERROR(IF(($CD151)&gt;0,($CJ151)/($CD151),""),"")</f>
        <v/>
      </c>
      <c r="CT151" s="67">
        <f>IFERROR(IF(($CE151)&gt;0,($CK151)/($CE151),""),"")</f>
        <v/>
      </c>
      <c r="CU151" s="55">
        <f>SUMIFS(tblPlant[Gravity_Gold_oz],tblPlant[Date],$A151)</f>
        <v/>
      </c>
      <c r="CV151" s="55">
        <f>IF($B151=$B150,$CV150,0)+$CU151</f>
        <v/>
      </c>
      <c r="CW151" s="55">
        <f>$CW150+$CU151</f>
        <v/>
      </c>
      <c r="CX151" s="55">
        <f>SUMIFS(tblPlant[Gold_Poured_oz],tblPlant[Date],$A151)</f>
        <v/>
      </c>
      <c r="CY151" s="55">
        <f>IF($B151=$B150,$CY150,0)+$CX151</f>
        <v/>
      </c>
      <c r="CZ151" s="55">
        <f>$CZ150+$CX151</f>
        <v/>
      </c>
      <c r="DA151" s="57">
        <f>SUMIFS(tblPlant[Mill_Run_h],tblPlant[Date],$A151)</f>
        <v/>
      </c>
      <c r="DB151" s="57">
        <f>IF($B151=$B150,$DB150,0)+$DA151</f>
        <v/>
      </c>
      <c r="DC151" s="57">
        <f>$DC150+$DA151</f>
        <v/>
      </c>
      <c r="DD151" s="57">
        <f>SUMIFS(tblPlant[Mill_Planned_Maint_h],tblPlant[Date],$A151)</f>
        <v/>
      </c>
      <c r="DE151" s="57">
        <f>IF($B151=$B150,$DE150,0)+$DD151</f>
        <v/>
      </c>
      <c r="DF151" s="57">
        <f>$DF150+$DD151</f>
        <v/>
      </c>
      <c r="DG151" s="57">
        <f>SUMIFS(tblPlant[Mill_Unplanned_Down_h],tblPlant[Date],$A151)</f>
        <v/>
      </c>
      <c r="DH151" s="57">
        <f>IF($B151=$B150,$DH150,0)+$DG151</f>
        <v/>
      </c>
      <c r="DI151" s="57">
        <f>$DI150+$DG151</f>
        <v/>
      </c>
      <c r="DJ151" s="57">
        <f>COUNTIFS(tblPlant[Date],$A151,tblPlant[Mill_Run_h],"&lt;&gt;")*24</f>
        <v/>
      </c>
      <c r="DK151" s="57">
        <f>IF($B151=$B150,$DK150,0)+$DJ151</f>
        <v/>
      </c>
      <c r="DL151" s="57">
        <f>$DL150+$DJ151</f>
        <v/>
      </c>
      <c r="DM151" s="57">
        <f>SUMIFS(tblPlant[Crusher_Run_h],tblPlant[Date],$A151)</f>
        <v/>
      </c>
      <c r="DN151" s="57">
        <f>IF($B151=$B150,$DN150,0)+$DM151</f>
        <v/>
      </c>
      <c r="DO151" s="57">
        <f>$DO150+$DM151</f>
        <v/>
      </c>
      <c r="DP151" s="55">
        <f>IFERROR(IF(($DA151)&gt;0,($BZ151)/($DA151),""),"")</f>
        <v/>
      </c>
      <c r="DQ151" s="55">
        <f>IFERROR(IF(($DB151)&gt;0,($CA151)/($DB151),""),"")</f>
        <v/>
      </c>
      <c r="DR151" s="55">
        <f>IFERROR(IF(($DC151)&gt;0,($CB151)/($DC151),""),"")</f>
        <v/>
      </c>
      <c r="DS151" s="67">
        <f>IFERROR(IF(($DJ151)&gt;0,($DJ151-$DD151-$DG151)/($DJ151),""),"")</f>
        <v/>
      </c>
      <c r="DT151" s="67">
        <f>IFERROR(IF(($DK151)&gt;0,($DK151-$DE151-$DH151)/($DK151),""),"")</f>
        <v/>
      </c>
      <c r="DU151" s="67">
        <f>IFERROR(IF(($DL151)&gt;0,($DL151-$DF151-$DI151)/($DL151),""),"")</f>
        <v/>
      </c>
      <c r="DV151" s="67">
        <f>IFERROR(IF(($DJ151-$DD151-$DG151)&gt;0,($DA151)/($DJ151-$DD151-$DG151),""),"")</f>
        <v/>
      </c>
      <c r="DW151" s="67">
        <f>IFERROR(IF(($DK151-$DE151-$DH151)&gt;0,($DB151)/($DK151-$DE151-$DH151),""),"")</f>
        <v/>
      </c>
      <c r="DX151" s="67">
        <f>IFERROR(IF(($DL151-$DF151-$DI151)&gt;0,($DC151)/($DL151-$DF151-$DI151),""),"")</f>
        <v/>
      </c>
      <c r="DY151" s="55">
        <f>SUMIFS(tblPlant[Cyanide_kg],tblPlant[Date],$A151)</f>
        <v/>
      </c>
      <c r="DZ151" s="55">
        <f>IF($B151=$B150,$DZ150,0)+$DY151</f>
        <v/>
      </c>
      <c r="EA151" s="55">
        <f>$EA150+$DY151</f>
        <v/>
      </c>
      <c r="EB151" s="55">
        <f>SUMIFS(tblPlant[Lime_kg],tblPlant[Date],$A151)</f>
        <v/>
      </c>
      <c r="EC151" s="55">
        <f>IF($B151=$B150,$EC150,0)+$EB151</f>
        <v/>
      </c>
      <c r="ED151" s="55">
        <f>$ED150+$EB151</f>
        <v/>
      </c>
      <c r="EE151" s="55">
        <f>SUMIFS(tblPlant[Grinding_Media_kg],tblPlant[Date],$A151)</f>
        <v/>
      </c>
      <c r="EF151" s="55">
        <f>IF($B151=$B150,$EF150,0)+$EE151</f>
        <v/>
      </c>
      <c r="EG151" s="55">
        <f>$EG150+$EE151</f>
        <v/>
      </c>
      <c r="EH151" s="55">
        <f>SUMIFS(tblPlant[Power_kWh],tblPlant[Date],$A151)</f>
        <v/>
      </c>
      <c r="EI151" s="55">
        <f>IF($B151=$B150,$EI150,0)+$EH151</f>
        <v/>
      </c>
      <c r="EJ151" s="55">
        <f>$EJ150+$EH151</f>
        <v/>
      </c>
      <c r="EK151" s="55">
        <f>SUMIFS(tblPlant[Raw_Water_m3],tblPlant[Date],$A151)</f>
        <v/>
      </c>
      <c r="EL151" s="55">
        <f>IF($B151=$B150,$EL150,0)+$EK151</f>
        <v/>
      </c>
      <c r="EM151" s="55">
        <f>$EM150+$EK151</f>
        <v/>
      </c>
      <c r="EN151" s="56">
        <f>IFERROR(IF(($BZ151)&gt;0,($DY151)/($BZ151),""),"")</f>
        <v/>
      </c>
      <c r="EO151" s="56">
        <f>IFERROR(IF(($CA151)&gt;0,($DZ151)/($CA151),""),"")</f>
        <v/>
      </c>
      <c r="EP151" s="56">
        <f>IFERROR(IF(($CB151)&gt;0,($EA151)/($CB151),""),"")</f>
        <v/>
      </c>
      <c r="EQ151" s="56">
        <f>IFERROR(IF(($BZ151)&gt;0,($EB151)/($BZ151),""),"")</f>
        <v/>
      </c>
      <c r="ER151" s="56">
        <f>IFERROR(IF(($CA151)&gt;0,($EC151)/($CA151),""),"")</f>
        <v/>
      </c>
      <c r="ES151" s="56">
        <f>IFERROR(IF(($CB151)&gt;0,($ED151)/($CB151),""),"")</f>
        <v/>
      </c>
      <c r="ET151" s="56">
        <f>IFERROR(IF(($BZ151)&gt;0,($EE151)/($BZ151),""),"")</f>
        <v/>
      </c>
      <c r="EU151" s="56">
        <f>IFERROR(IF(($CA151)&gt;0,($EF151)/($CA151),""),"")</f>
        <v/>
      </c>
      <c r="EV151" s="56">
        <f>IFERROR(IF(($CB151)&gt;0,($EG151)/($CB151),""),"")</f>
        <v/>
      </c>
      <c r="EW151" s="76">
        <f>IFERROR(IF(($BZ151)&gt;0,($EH151)/($BZ151),""),"")</f>
        <v/>
      </c>
      <c r="EX151" s="76">
        <f>IFERROR(IF(($CA151)&gt;0,($EI151)/($CA151),""),"")</f>
        <v/>
      </c>
      <c r="EY151" s="76">
        <f>IFERROR(IF(($CB151)&gt;0,($EJ151)/($CB151),""),"")</f>
        <v/>
      </c>
      <c r="EZ151" s="56">
        <f>IFERROR(IF(($BZ151)&gt;0,($EK151)/($BZ151),""),"")</f>
        <v/>
      </c>
      <c r="FA151" s="56">
        <f>IFERROR(IF(($CA151)&gt;0,($EL151)/($CA151),""),"")</f>
        <v/>
      </c>
      <c r="FB151" s="56">
        <f>IFERROR(IF(($CB151)&gt;0,($EM151)/($CB151),""),"")</f>
        <v/>
      </c>
      <c r="FC151" s="55">
        <f>IF(SUMIFS(tblPlant[GIC_oz],tblPlant[Date],$A151)&gt;0,SUMIFS(tblPlant[GIC_oz],tblPlant[Date],$A151),"")</f>
        <v/>
      </c>
      <c r="FD151" s="55">
        <f>SUMIFS(tblGold[Gold_oz],tblGold[Date],$A151,tblGold[Type],"Shipment")</f>
        <v/>
      </c>
      <c r="FE151" s="55">
        <f>IF($B151=$B150,$FE150,0)+$FD151</f>
        <v/>
      </c>
      <c r="FF151" s="55">
        <f>$FF150+$FD151</f>
        <v/>
      </c>
      <c r="FG151" s="55">
        <f>SUMIFS(tblGold[Gold_oz],tblGold[Date],$A151,tblGold[Type],"Sale")</f>
        <v/>
      </c>
      <c r="FH151" s="55">
        <f>IF($B151=$B150,$FH150,0)+$FG151</f>
        <v/>
      </c>
      <c r="FI151" s="55">
        <f>$FI150+$FG151</f>
        <v/>
      </c>
      <c r="FJ151" s="55">
        <f>SUMIFS(tblGold[Dore_kg],tblGold[Date],$A151,tblGold[Type],"Shipment")</f>
        <v/>
      </c>
      <c r="FK151" s="55">
        <f>IF($B151=$B150,$FK150,0)+$FJ151</f>
        <v/>
      </c>
      <c r="FL151" s="55">
        <f>$FL150+$FJ151</f>
        <v/>
      </c>
      <c r="FM151" s="57">
        <f>SUMIFS(tblSafety[Hours_Total],tblSafety[Date],$A151)</f>
        <v/>
      </c>
      <c r="FN151" s="57">
        <f>IF($B151=$B150,$FN150,0)+$FM151</f>
        <v/>
      </c>
      <c r="FO151" s="57">
        <f>$FO150+$FM151</f>
        <v/>
      </c>
      <c r="FP151" s="62">
        <f>SUMIFS(tblSafety[Fatality],tblSafety[Date],$A151)</f>
        <v/>
      </c>
      <c r="FQ151" s="62">
        <f>IF($B151=$B150,$FQ150,0)+$FP151</f>
        <v/>
      </c>
      <c r="FR151" s="62">
        <f>$FR150+$FP151</f>
        <v/>
      </c>
      <c r="FS151" s="62">
        <f>SUMIFS(tblSafety[LTI],tblSafety[Date],$A151)</f>
        <v/>
      </c>
      <c r="FT151" s="62">
        <f>IF($B151=$B150,$FT150,0)+$FS151</f>
        <v/>
      </c>
      <c r="FU151" s="62">
        <f>$FU150+$FS151</f>
        <v/>
      </c>
      <c r="FV151" s="62">
        <f>SUMIFS(tblSafety[RWI],tblSafety[Date],$A151)</f>
        <v/>
      </c>
      <c r="FW151" s="62">
        <f>IF($B151=$B150,$FW150,0)+$FV151</f>
        <v/>
      </c>
      <c r="FX151" s="62">
        <f>$FX150+$FV151</f>
        <v/>
      </c>
      <c r="FY151" s="62">
        <f>SUMIFS(tblSafety[MTI],tblSafety[Date],$A151)</f>
        <v/>
      </c>
      <c r="FZ151" s="62">
        <f>IF($B151=$B150,$FZ150,0)+$FY151</f>
        <v/>
      </c>
      <c r="GA151" s="62">
        <f>$GA150+$FY151</f>
        <v/>
      </c>
      <c r="GB151" s="62">
        <f>SUMIFS(tblSafety[FAI],tblSafety[Date],$A151)</f>
        <v/>
      </c>
      <c r="GC151" s="62">
        <f>IF($B151=$B150,$GC150,0)+$GB151</f>
        <v/>
      </c>
      <c r="GD151" s="62">
        <f>$GD150+$GB151</f>
        <v/>
      </c>
      <c r="GE151" s="62">
        <f>SUMIFS(tblSafety[Recordables],tblSafety[Date],$A151)</f>
        <v/>
      </c>
      <c r="GF151" s="62">
        <f>IF($B151=$B150,$GF150,0)+$GE151</f>
        <v/>
      </c>
      <c r="GG151" s="62">
        <f>$GG150+$GE151</f>
        <v/>
      </c>
      <c r="GH151" s="62">
        <f>SUMIFS(tblSafety[Near_Miss],tblSafety[Date],$A151)</f>
        <v/>
      </c>
      <c r="GI151" s="62">
        <f>IF($B151=$B150,$GI150,0)+$GH151</f>
        <v/>
      </c>
      <c r="GJ151" s="62">
        <f>$GJ150+$GH151</f>
        <v/>
      </c>
      <c r="GK151" s="62">
        <f>SUMIFS(tblSafety[Hazard_Reports],tblSafety[Date],$A151)</f>
        <v/>
      </c>
      <c r="GL151" s="62">
        <f>IF($B151=$B150,$GL150,0)+$GK151</f>
        <v/>
      </c>
      <c r="GM151" s="62">
        <f>$GM150+$GK151</f>
        <v/>
      </c>
      <c r="GN151" s="62">
        <f>SUMIFS(tblSafety[HPI],tblSafety[Date],$A151)</f>
        <v/>
      </c>
      <c r="GO151" s="62">
        <f>IF($B151=$B150,$GO150,0)+$GN151</f>
        <v/>
      </c>
      <c r="GP151" s="62">
        <f>$GP150+$GN151</f>
        <v/>
      </c>
      <c r="GQ151" s="62">
        <f>SUMIFS(tblSafety[Env_Incidents],tblSafety[Date],$A151)</f>
        <v/>
      </c>
      <c r="GR151" s="62">
        <f>IF($B151=$B150,$GR150,0)+$GQ151</f>
        <v/>
      </c>
      <c r="GS151" s="62">
        <f>$GS150+$GQ151</f>
        <v/>
      </c>
      <c r="GT151" s="62">
        <f>SUMIFS(tblSafety[Community_Incidents],tblSafety[Date],$A151)</f>
        <v/>
      </c>
      <c r="GU151" s="62">
        <f>IF($B151=$B150,$GU150,0)+$GT151</f>
        <v/>
      </c>
      <c r="GV151" s="62">
        <f>$GV150+$GT151</f>
        <v/>
      </c>
      <c r="GW151" s="62">
        <f>SUMIFS(tblSafety[Vehicle_Incidents],tblSafety[Date],$A151)</f>
        <v/>
      </c>
      <c r="GX151" s="62">
        <f>IF($B151=$B150,$GX150,0)+$GW151</f>
        <v/>
      </c>
      <c r="GY151" s="62">
        <f>$GY150+$GW151</f>
        <v/>
      </c>
      <c r="GZ151" s="62">
        <f>SUMIFS(tblSafety[Toolbox_Talks],tblSafety[Date],$A151)</f>
        <v/>
      </c>
      <c r="HA151" s="62">
        <f>IF($B151=$B150,$HA150,0)+$GZ151</f>
        <v/>
      </c>
      <c r="HB151" s="62">
        <f>$HB150+$GZ151</f>
        <v/>
      </c>
      <c r="HC151" s="62">
        <f>SUMIFS(tblSafety[Inspections],tblSafety[Date],$A151)</f>
        <v/>
      </c>
      <c r="HD151" s="62">
        <f>IF($B151=$B150,$HD150,0)+$HC151</f>
        <v/>
      </c>
      <c r="HE151" s="62">
        <f>$HE150+$HC151</f>
        <v/>
      </c>
      <c r="HF151" s="56">
        <f>IFERROR((SUMIFS(tblSafety[Recordables],tblSafety[Date],"&gt;="&amp;EDATE($E151,-12),tblSafety[Date],"&lt;="&amp;$A151)+SUMIFS(tblSafetyHistory[Recordables],tblSafetyHistory[Month],"&gt;="&amp;EDATE($E151,-12),tblSafetyHistory[Month],"&lt;"&amp;cfg_YearStart))/(SUMIFS(tblSafety[Hours_Total],tblSafety[Date],"&gt;="&amp;EDATE($E151,-12),tblSafety[Date],"&lt;="&amp;$A151)+SUMIFS(tblSafetyHistory[Hours_Total],tblSafetyHistory[Month],"&gt;="&amp;EDATE($E151,-12),tblSafetyHistory[Month],"&lt;"&amp;cfg_YearStart))*1000000,"")</f>
        <v/>
      </c>
      <c r="HG151" s="56">
        <f>IFERROR((SUMIFS(tblSafety[LTI],tblSafety[Date],"&gt;="&amp;EDATE($E151,-12),tblSafety[Date],"&lt;="&amp;$A151)+SUMIFS(tblSafetyHistory[LTI],tblSafetyHistory[Month],"&gt;="&amp;EDATE($E151,-12),tblSafetyHistory[Month],"&lt;"&amp;cfg_YearStart))/(SUMIFS(tblSafety[Hours_Total],tblSafety[Date],"&gt;="&amp;EDATE($E151,-12),tblSafety[Date],"&lt;="&amp;$A151)+SUMIFS(tblSafetyHistory[Hours_Total],tblSafetyHistory[Month],"&gt;="&amp;EDATE($E151,-12),tblSafetyHistory[Month],"&lt;"&amp;cfg_YearStart))*1000000,"")</f>
        <v/>
      </c>
      <c r="HH151" s="62">
        <f>IF(MAX(N(cfg_PriorLTIDate),_xlfn.MAXIFS(tblSafety[Date],tblSafety[LTI],"&gt;0",tblSafety[Date],"&lt;="&amp;$A151))=0,"",$A151-MAX(N(cfg_PriorLTIDate),_xlfn.MAXIFS(tblSafety[Date],tblSafety[LTI],"&gt;0",tblSafety[Date],"&lt;="&amp;$A151)))</f>
        <v/>
      </c>
      <c r="HI151" s="55">
        <f>SUMIFS(tblBudget[Ore_Mined_t],tblBudget[Month],$E151)</f>
        <v/>
      </c>
      <c r="HJ151" s="55">
        <f>$HI151*$C151/$D151</f>
        <v/>
      </c>
      <c r="HK151" s="55">
        <f>SUMIFS(tblBudget[Ore_Mined_t],tblBudget[Month],"&lt;"&amp;$E151)+$HJ151</f>
        <v/>
      </c>
      <c r="HL151" s="55">
        <f>SUMIFS(tblBudget[Ore_oz],tblBudget[Month],$E151)</f>
        <v/>
      </c>
      <c r="HM151" s="55">
        <f>$HL151*$C151/$D151</f>
        <v/>
      </c>
      <c r="HN151" s="55">
        <f>SUMIFS(tblBudget[Ore_oz],tblBudget[Month],"&lt;"&amp;$E151)+$HM151</f>
        <v/>
      </c>
      <c r="HO151" s="56">
        <f>IFERROR(IF(($HI151)&gt;0,($HL151*cfg_TroyOz)/($HI151),""),"")</f>
        <v/>
      </c>
      <c r="HP151" s="56">
        <f>IFERROR(IF(($HJ151)&gt;0,($HM151*cfg_TroyOz)/($HJ151),""),"")</f>
        <v/>
      </c>
      <c r="HQ151" s="56">
        <f>IFERROR(IF(($HK151)&gt;0,($HN151*cfg_TroyOz)/($HK151),""),"")</f>
        <v/>
      </c>
      <c r="HR151" s="55">
        <f>SUMIFS(tblBudget[Waste_t],tblBudget[Month],$E151)</f>
        <v/>
      </c>
      <c r="HS151" s="55">
        <f>$HR151*$C151/$D151</f>
        <v/>
      </c>
      <c r="HT151" s="55">
        <f>SUMIFS(tblBudget[Waste_t],tblBudget[Month],"&lt;"&amp;$E151)+$HS151</f>
        <v/>
      </c>
      <c r="HU151" s="55">
        <f>SUMIFS(tblBudget[TMM_t],tblBudget[Month],$E151)</f>
        <v/>
      </c>
      <c r="HV151" s="55">
        <f>$HU151*$C151/$D151</f>
        <v/>
      </c>
      <c r="HW151" s="55">
        <f>SUMIFS(tblBudget[TMM_t],tblBudget[Month],"&lt;"&amp;$E151)+$HV151</f>
        <v/>
      </c>
      <c r="HX151" s="56">
        <f>IFERROR(IF(($HI151)&gt;0,($HR151)/($HI151),""),"")</f>
        <v/>
      </c>
      <c r="HY151" s="56">
        <f>IFERROR(IF(($HJ151)&gt;0,($HS151)/($HJ151),""),"")</f>
        <v/>
      </c>
      <c r="HZ151" s="56">
        <f>IFERROR(IF(($HK151)&gt;0,($HT151)/($HK151),""),"")</f>
        <v/>
      </c>
      <c r="IA151" s="55">
        <f>SUMIFS(tblBudget[Drill_m],tblBudget[Month],$E151)</f>
        <v/>
      </c>
      <c r="IB151" s="55">
        <f>$IA151*$C151/$D151</f>
        <v/>
      </c>
      <c r="IC151" s="55">
        <f>SUMIFS(tblBudget[Drill_m],tblBudget[Month],"&lt;"&amp;$E151)+$IB151</f>
        <v/>
      </c>
      <c r="ID151" s="55">
        <f>SUMIFS(tblBudget[Diesel_L],tblBudget[Month],$E151)</f>
        <v/>
      </c>
      <c r="IE151" s="55">
        <f>$ID151*$C151/$D151</f>
        <v/>
      </c>
      <c r="IF151" s="55">
        <f>SUMIFS(tblBudget[Diesel_L],tblBudget[Month],"&lt;"&amp;$E151)+$IE151</f>
        <v/>
      </c>
      <c r="IG151" s="55">
        <f>SUMIFS(tblBudget[Milled_t],tblBudget[Month],$E151)</f>
        <v/>
      </c>
      <c r="IH151" s="55">
        <f>$IG151*$C151/$D151</f>
        <v/>
      </c>
      <c r="II151" s="55">
        <f>SUMIFS(tblBudget[Milled_t],tblBudget[Month],"&lt;"&amp;$E151)+$IH151</f>
        <v/>
      </c>
      <c r="IJ151" s="55">
        <f>SUMIFS(tblBudget[Feed_oz],tblBudget[Month],$E151)</f>
        <v/>
      </c>
      <c r="IK151" s="55">
        <f>$IJ151*$C151/$D151</f>
        <v/>
      </c>
      <c r="IL151" s="55">
        <f>SUMIFS(tblBudget[Feed_oz],tblBudget[Month],"&lt;"&amp;$E151)+$IK151</f>
        <v/>
      </c>
      <c r="IM151" s="55">
        <f>SUMIFS(tblBudget[Recovered_oz],tblBudget[Month],$E151)</f>
        <v/>
      </c>
      <c r="IN151" s="55">
        <f>$IM151*$C151/$D151</f>
        <v/>
      </c>
      <c r="IO151" s="55">
        <f>SUMIFS(tblBudget[Recovered_oz],tblBudget[Month],"&lt;"&amp;$E151)+$IN151</f>
        <v/>
      </c>
      <c r="IP151" s="56">
        <f>IFERROR(IF(($IG151)&gt;0,($IJ151*cfg_TroyOz)/($IG151),""),"")</f>
        <v/>
      </c>
      <c r="IQ151" s="56">
        <f>IFERROR(IF(($IH151)&gt;0,($IK151*cfg_TroyOz)/($IH151),""),"")</f>
        <v/>
      </c>
      <c r="IR151" s="56">
        <f>IFERROR(IF(($II151)&gt;0,($IL151*cfg_TroyOz)/($II151),""),"")</f>
        <v/>
      </c>
      <c r="IS151" s="67">
        <f>IFERROR(IF(($IJ151)&gt;0,($IM151)/($IJ151),""),"")</f>
        <v/>
      </c>
      <c r="IT151" s="67">
        <f>IFERROR(IF(($IK151)&gt;0,($IN151)/($IK151),""),"")</f>
        <v/>
      </c>
      <c r="IU151" s="67">
        <f>IFERROR(IF(($IL151)&gt;0,($IO151)/($IL151),""),"")</f>
        <v/>
      </c>
      <c r="IV151" s="55">
        <f>SUMIFS(tblBudget[Gold_Poured_oz],tblBudget[Month],$E151)</f>
        <v/>
      </c>
      <c r="IW151" s="55">
        <f>$IV151*$C151/$D151</f>
        <v/>
      </c>
      <c r="IX151" s="55">
        <f>SUMIFS(tblBudget[Gold_Poured_oz],tblBudget[Month],"&lt;"&amp;$E151)+$IW151</f>
        <v/>
      </c>
      <c r="IY151" s="57">
        <f>SUMIFS(tblBudget[Hours_Worked],tblBudget[Month],$E151)</f>
        <v/>
      </c>
      <c r="IZ151" s="57">
        <f>$IY151*$C151/$D151</f>
        <v/>
      </c>
      <c r="JA151" s="57">
        <f>SUMIFS(tblBudget[Hours_Worked],tblBudget[Month],"&lt;"&amp;$E151)+$IZ151</f>
        <v/>
      </c>
    </row>
    <row r="152">
      <c r="A152" s="54" t="n">
        <v>46173</v>
      </c>
      <c r="B152">
        <f>MONTH($A152)</f>
        <v/>
      </c>
      <c r="C152">
        <f>DAY($A152)</f>
        <v/>
      </c>
      <c r="D152">
        <f>DAY(EOMONTH($A152,0))</f>
        <v/>
      </c>
      <c r="E152" s="54">
        <f>DATE(YEAR($A152),MONTH($A152),1)</f>
        <v/>
      </c>
      <c r="F152" s="55">
        <f>SUMIFS(tblMovement[Tonnes_t],tblMovement[Date],$A152,tblMovement[Is_Ore],1,tblMovement[Source_Type],"Pit")</f>
        <v/>
      </c>
      <c r="G152" s="55">
        <f>IF($B152=$B151,$G151,0)+$F152</f>
        <v/>
      </c>
      <c r="H152" s="55">
        <f>$H151+$F152</f>
        <v/>
      </c>
      <c r="I152" s="55">
        <f>SUMIFS(tblMovement[Ore_oz],tblMovement[Date],$A152,tblMovement[Source_Type],"Pit")</f>
        <v/>
      </c>
      <c r="J152" s="55">
        <f>IF($B152=$B151,$J151,0)+$I152</f>
        <v/>
      </c>
      <c r="K152" s="55">
        <f>$K151+$I152</f>
        <v/>
      </c>
      <c r="L152" s="56">
        <f>IFERROR(IF(($F152)&gt;0,($I152*cfg_TroyOz)/($F152),""),"")</f>
        <v/>
      </c>
      <c r="M152" s="56">
        <f>IFERROR(IF(($G152)&gt;0,($J152*cfg_TroyOz)/($G152),""),"")</f>
        <v/>
      </c>
      <c r="N152" s="56">
        <f>IFERROR(IF(($H152)&gt;0,($K152*cfg_TroyOz)/($H152),""),"")</f>
        <v/>
      </c>
      <c r="O152" s="55">
        <f>SUMIFS(tblMovement[Tonnes_t],tblMovement[Date],$A152,tblMovement[Is_Ore],0,tblMovement[Source_Type],"Pit")</f>
        <v/>
      </c>
      <c r="P152" s="55">
        <f>IF($B152=$B151,$P151,0)+$O152</f>
        <v/>
      </c>
      <c r="Q152" s="55">
        <f>$Q151+$O152</f>
        <v/>
      </c>
      <c r="R152" s="55">
        <f>$F152+$O152</f>
        <v/>
      </c>
      <c r="S152" s="55">
        <f>IF($B152=$B151,$S151,0)+$R152</f>
        <v/>
      </c>
      <c r="T152" s="55">
        <f>$T151+$R152</f>
        <v/>
      </c>
      <c r="U152" s="56">
        <f>IFERROR(IF(($F152)&gt;0,($O152)/($F152),""),"")</f>
        <v/>
      </c>
      <c r="V152" s="56">
        <f>IFERROR(IF(($G152)&gt;0,($P152)/($G152),""),"")</f>
        <v/>
      </c>
      <c r="W152" s="56">
        <f>IFERROR(IF(($H152)&gt;0,($Q152)/($H152),""),"")</f>
        <v/>
      </c>
      <c r="X152" s="55">
        <f>SUMIFS(tblMovement[Tonnes_t],tblMovement[Date],$A152,tblMovement[Source_Type],"Stockpile")</f>
        <v/>
      </c>
      <c r="Y152" s="55">
        <f>IF($B152=$B151,$Y151,0)+$X152</f>
        <v/>
      </c>
      <c r="Z152" s="55">
        <f>$Z151+$X152</f>
        <v/>
      </c>
      <c r="AA152" s="55">
        <f>SUMIFS(tblMiningDaily[Drill_m],tblMiningDaily[Date],$A152)</f>
        <v/>
      </c>
      <c r="AB152" s="55">
        <f>IF($B152=$B151,$AB151,0)+$AA152</f>
        <v/>
      </c>
      <c r="AC152" s="55">
        <f>$AC151+$AA152</f>
        <v/>
      </c>
      <c r="AD152" s="55">
        <f>SUMIFS(tblMiningDaily[Blast_t],tblMiningDaily[Date],$A152)</f>
        <v/>
      </c>
      <c r="AE152" s="55">
        <f>IF($B152=$B151,$AE151,0)+$AD152</f>
        <v/>
      </c>
      <c r="AF152" s="55">
        <f>$AF151+$AD152</f>
        <v/>
      </c>
      <c r="AG152" s="55">
        <f>SUMIFS(tblMiningDaily[Explosives_kg],tblMiningDaily[Date],$A152)</f>
        <v/>
      </c>
      <c r="AH152" s="55">
        <f>IF($B152=$B151,$AH151,0)+$AG152</f>
        <v/>
      </c>
      <c r="AI152" s="55">
        <f>$AI151+$AG152</f>
        <v/>
      </c>
      <c r="AJ152" s="56">
        <f>IFERROR(IF(($AD152)&gt;0,($AG152)/($AD152),""),"")</f>
        <v/>
      </c>
      <c r="AK152" s="56">
        <f>IFERROR(IF(($AE152)&gt;0,($AH152)/($AE152),""),"")</f>
        <v/>
      </c>
      <c r="AL152" s="56">
        <f>IFERROR(IF(($AF152)&gt;0,($AI152)/($AF152),""),"")</f>
        <v/>
      </c>
      <c r="AM152" s="55">
        <f>SUMIFS(tblMiningDaily[Diesel_L],tblMiningDaily[Date],$A152)</f>
        <v/>
      </c>
      <c r="AN152" s="55">
        <f>IF($B152=$B151,$AN151,0)+$AM152</f>
        <v/>
      </c>
      <c r="AO152" s="55">
        <f>$AO151+$AM152</f>
        <v/>
      </c>
      <c r="AP152" s="55">
        <f>SUMIFS(tblMiningDaily[Dewatering_m3],tblMiningDaily[Date],$A152)</f>
        <v/>
      </c>
      <c r="AQ152" s="55">
        <f>IF($B152=$B151,$AQ151,0)+$AP152</f>
        <v/>
      </c>
      <c r="AR152" s="55">
        <f>$AR151+$AP152</f>
        <v/>
      </c>
      <c r="AS152" s="57">
        <f>SUMIFS(tblFleet[Calendar_h],tblFleet[Date],$A152,tblFleet[Equipment_Class],"Excavator")</f>
        <v/>
      </c>
      <c r="AT152" s="57">
        <f>IF($B152=$B151,$AT151,0)+$AS152</f>
        <v/>
      </c>
      <c r="AU152" s="57">
        <f>$AU151+$AS152</f>
        <v/>
      </c>
      <c r="AV152" s="57">
        <f>SUMIFS(tblFleet[Available_h],tblFleet[Date],$A152,tblFleet[Equipment_Class],"Excavator")</f>
        <v/>
      </c>
      <c r="AW152" s="57">
        <f>IF($B152=$B151,$AW151,0)+$AV152</f>
        <v/>
      </c>
      <c r="AX152" s="57">
        <f>$AX151+$AV152</f>
        <v/>
      </c>
      <c r="AY152" s="57">
        <f>SUMIFS(tblFleet[Operating_h],tblFleet[Date],$A152,tblFleet[Equipment_Class],"Excavator")</f>
        <v/>
      </c>
      <c r="AZ152" s="57">
        <f>IF($B152=$B151,$AZ151,0)+$AY152</f>
        <v/>
      </c>
      <c r="BA152" s="57">
        <f>$BA151+$AY152</f>
        <v/>
      </c>
      <c r="BB152" s="67">
        <f>IFERROR(IF(($AS152)&gt;0,($AV152)/($AS152),""),"")</f>
        <v/>
      </c>
      <c r="BC152" s="67">
        <f>IFERROR(IF(($AT152)&gt;0,($AW152)/($AT152),""),"")</f>
        <v/>
      </c>
      <c r="BD152" s="67">
        <f>IFERROR(IF(($AU152)&gt;0,($AX152)/($AU152),""),"")</f>
        <v/>
      </c>
      <c r="BE152" s="67">
        <f>IFERROR(IF(($AV152)&gt;0,($AY152)/($AV152),""),"")</f>
        <v/>
      </c>
      <c r="BF152" s="67">
        <f>IFERROR(IF(($AW152)&gt;0,($AZ152)/($AW152),""),"")</f>
        <v/>
      </c>
      <c r="BG152" s="67">
        <f>IFERROR(IF(($AX152)&gt;0,($BA152)/($AX152),""),"")</f>
        <v/>
      </c>
      <c r="BH152" s="57">
        <f>SUMIFS(tblFleet[Calendar_h],tblFleet[Date],$A152,tblFleet[Equipment_Class],"Haul Truck")</f>
        <v/>
      </c>
      <c r="BI152" s="57">
        <f>IF($B152=$B151,$BI151,0)+$BH152</f>
        <v/>
      </c>
      <c r="BJ152" s="57">
        <f>$BJ151+$BH152</f>
        <v/>
      </c>
      <c r="BK152" s="57">
        <f>SUMIFS(tblFleet[Available_h],tblFleet[Date],$A152,tblFleet[Equipment_Class],"Haul Truck")</f>
        <v/>
      </c>
      <c r="BL152" s="57">
        <f>IF($B152=$B151,$BL151,0)+$BK152</f>
        <v/>
      </c>
      <c r="BM152" s="57">
        <f>$BM151+$BK152</f>
        <v/>
      </c>
      <c r="BN152" s="57">
        <f>SUMIFS(tblFleet[Operating_h],tblFleet[Date],$A152,tblFleet[Equipment_Class],"Haul Truck")</f>
        <v/>
      </c>
      <c r="BO152" s="57">
        <f>IF($B152=$B151,$BO151,0)+$BN152</f>
        <v/>
      </c>
      <c r="BP152" s="57">
        <f>$BP151+$BN152</f>
        <v/>
      </c>
      <c r="BQ152" s="67">
        <f>IFERROR(IF(($BH152)&gt;0,($BK152)/($BH152),""),"")</f>
        <v/>
      </c>
      <c r="BR152" s="67">
        <f>IFERROR(IF(($BI152)&gt;0,($BL152)/($BI152),""),"")</f>
        <v/>
      </c>
      <c r="BS152" s="67">
        <f>IFERROR(IF(($BJ152)&gt;0,($BM152)/($BJ152),""),"")</f>
        <v/>
      </c>
      <c r="BT152" s="67">
        <f>IFERROR(IF(($BK152)&gt;0,($BN152)/($BK152),""),"")</f>
        <v/>
      </c>
      <c r="BU152" s="67">
        <f>IFERROR(IF(($BL152)&gt;0,($BO152)/($BL152),""),"")</f>
        <v/>
      </c>
      <c r="BV152" s="67">
        <f>IFERROR(IF(($BM152)&gt;0,($BP152)/($BM152),""),"")</f>
        <v/>
      </c>
      <c r="BW152" s="55">
        <f>SUMIFS(tblPlant[Crushed_t],tblPlant[Date],$A152)</f>
        <v/>
      </c>
      <c r="BX152" s="55">
        <f>IF($B152=$B151,$BX151,0)+$BW152</f>
        <v/>
      </c>
      <c r="BY152" s="55">
        <f>$BY151+$BW152</f>
        <v/>
      </c>
      <c r="BZ152" s="55">
        <f>SUMIFS(tblPlant[Milled_t],tblPlant[Date],$A152)</f>
        <v/>
      </c>
      <c r="CA152" s="55">
        <f>IF($B152=$B151,$CA151,0)+$BZ152</f>
        <v/>
      </c>
      <c r="CB152" s="55">
        <f>$CB151+$BZ152</f>
        <v/>
      </c>
      <c r="CC152" s="55">
        <f>SUMIFS(tblPlant[Feed_oz],tblPlant[Date],$A152)</f>
        <v/>
      </c>
      <c r="CD152" s="55">
        <f>IF($B152=$B151,$CD151,0)+$CC152</f>
        <v/>
      </c>
      <c r="CE152" s="55">
        <f>$CE151+$CC152</f>
        <v/>
      </c>
      <c r="CF152" s="55">
        <f>SUMIFS(tblPlant[Tails_oz],tblPlant[Date],$A152)</f>
        <v/>
      </c>
      <c r="CG152" s="55">
        <f>IF($B152=$B151,$CG151,0)+$CF152</f>
        <v/>
      </c>
      <c r="CH152" s="55">
        <f>$CH151+$CF152</f>
        <v/>
      </c>
      <c r="CI152" s="55">
        <f>SUMIFS(tblPlant[Recovered_oz],tblPlant[Date],$A152)</f>
        <v/>
      </c>
      <c r="CJ152" s="55">
        <f>IF($B152=$B151,$CJ151,0)+$CI152</f>
        <v/>
      </c>
      <c r="CK152" s="55">
        <f>$CK151+$CI152</f>
        <v/>
      </c>
      <c r="CL152" s="56">
        <f>IFERROR(IF(($BZ152)&gt;0,($CC152*cfg_TroyOz)/($BZ152),""),"")</f>
        <v/>
      </c>
      <c r="CM152" s="56">
        <f>IFERROR(IF(($CA152)&gt;0,($CD152*cfg_TroyOz)/($CA152),""),"")</f>
        <v/>
      </c>
      <c r="CN152" s="56">
        <f>IFERROR(IF(($CB152)&gt;0,($CE152*cfg_TroyOz)/($CB152),""),"")</f>
        <v/>
      </c>
      <c r="CO152" s="56">
        <f>IFERROR(IF(($BZ152)&gt;0,($CF152*cfg_TroyOz)/($BZ152),""),"")</f>
        <v/>
      </c>
      <c r="CP152" s="56">
        <f>IFERROR(IF(($CA152)&gt;0,($CG152*cfg_TroyOz)/($CA152),""),"")</f>
        <v/>
      </c>
      <c r="CQ152" s="56">
        <f>IFERROR(IF(($CB152)&gt;0,($CH152*cfg_TroyOz)/($CB152),""),"")</f>
        <v/>
      </c>
      <c r="CR152" s="67">
        <f>IFERROR(IF(($CC152)&gt;0,($CI152)/($CC152),""),"")</f>
        <v/>
      </c>
      <c r="CS152" s="67">
        <f>IFERROR(IF(($CD152)&gt;0,($CJ152)/($CD152),""),"")</f>
        <v/>
      </c>
      <c r="CT152" s="67">
        <f>IFERROR(IF(($CE152)&gt;0,($CK152)/($CE152),""),"")</f>
        <v/>
      </c>
      <c r="CU152" s="55">
        <f>SUMIFS(tblPlant[Gravity_Gold_oz],tblPlant[Date],$A152)</f>
        <v/>
      </c>
      <c r="CV152" s="55">
        <f>IF($B152=$B151,$CV151,0)+$CU152</f>
        <v/>
      </c>
      <c r="CW152" s="55">
        <f>$CW151+$CU152</f>
        <v/>
      </c>
      <c r="CX152" s="55">
        <f>SUMIFS(tblPlant[Gold_Poured_oz],tblPlant[Date],$A152)</f>
        <v/>
      </c>
      <c r="CY152" s="55">
        <f>IF($B152=$B151,$CY151,0)+$CX152</f>
        <v/>
      </c>
      <c r="CZ152" s="55">
        <f>$CZ151+$CX152</f>
        <v/>
      </c>
      <c r="DA152" s="57">
        <f>SUMIFS(tblPlant[Mill_Run_h],tblPlant[Date],$A152)</f>
        <v/>
      </c>
      <c r="DB152" s="57">
        <f>IF($B152=$B151,$DB151,0)+$DA152</f>
        <v/>
      </c>
      <c r="DC152" s="57">
        <f>$DC151+$DA152</f>
        <v/>
      </c>
      <c r="DD152" s="57">
        <f>SUMIFS(tblPlant[Mill_Planned_Maint_h],tblPlant[Date],$A152)</f>
        <v/>
      </c>
      <c r="DE152" s="57">
        <f>IF($B152=$B151,$DE151,0)+$DD152</f>
        <v/>
      </c>
      <c r="DF152" s="57">
        <f>$DF151+$DD152</f>
        <v/>
      </c>
      <c r="DG152" s="57">
        <f>SUMIFS(tblPlant[Mill_Unplanned_Down_h],tblPlant[Date],$A152)</f>
        <v/>
      </c>
      <c r="DH152" s="57">
        <f>IF($B152=$B151,$DH151,0)+$DG152</f>
        <v/>
      </c>
      <c r="DI152" s="57">
        <f>$DI151+$DG152</f>
        <v/>
      </c>
      <c r="DJ152" s="57">
        <f>COUNTIFS(tblPlant[Date],$A152,tblPlant[Mill_Run_h],"&lt;&gt;")*24</f>
        <v/>
      </c>
      <c r="DK152" s="57">
        <f>IF($B152=$B151,$DK151,0)+$DJ152</f>
        <v/>
      </c>
      <c r="DL152" s="57">
        <f>$DL151+$DJ152</f>
        <v/>
      </c>
      <c r="DM152" s="57">
        <f>SUMIFS(tblPlant[Crusher_Run_h],tblPlant[Date],$A152)</f>
        <v/>
      </c>
      <c r="DN152" s="57">
        <f>IF($B152=$B151,$DN151,0)+$DM152</f>
        <v/>
      </c>
      <c r="DO152" s="57">
        <f>$DO151+$DM152</f>
        <v/>
      </c>
      <c r="DP152" s="55">
        <f>IFERROR(IF(($DA152)&gt;0,($BZ152)/($DA152),""),"")</f>
        <v/>
      </c>
      <c r="DQ152" s="55">
        <f>IFERROR(IF(($DB152)&gt;0,($CA152)/($DB152),""),"")</f>
        <v/>
      </c>
      <c r="DR152" s="55">
        <f>IFERROR(IF(($DC152)&gt;0,($CB152)/($DC152),""),"")</f>
        <v/>
      </c>
      <c r="DS152" s="67">
        <f>IFERROR(IF(($DJ152)&gt;0,($DJ152-$DD152-$DG152)/($DJ152),""),"")</f>
        <v/>
      </c>
      <c r="DT152" s="67">
        <f>IFERROR(IF(($DK152)&gt;0,($DK152-$DE152-$DH152)/($DK152),""),"")</f>
        <v/>
      </c>
      <c r="DU152" s="67">
        <f>IFERROR(IF(($DL152)&gt;0,($DL152-$DF152-$DI152)/($DL152),""),"")</f>
        <v/>
      </c>
      <c r="DV152" s="67">
        <f>IFERROR(IF(($DJ152-$DD152-$DG152)&gt;0,($DA152)/($DJ152-$DD152-$DG152),""),"")</f>
        <v/>
      </c>
      <c r="DW152" s="67">
        <f>IFERROR(IF(($DK152-$DE152-$DH152)&gt;0,($DB152)/($DK152-$DE152-$DH152),""),"")</f>
        <v/>
      </c>
      <c r="DX152" s="67">
        <f>IFERROR(IF(($DL152-$DF152-$DI152)&gt;0,($DC152)/($DL152-$DF152-$DI152),""),"")</f>
        <v/>
      </c>
      <c r="DY152" s="55">
        <f>SUMIFS(tblPlant[Cyanide_kg],tblPlant[Date],$A152)</f>
        <v/>
      </c>
      <c r="DZ152" s="55">
        <f>IF($B152=$B151,$DZ151,0)+$DY152</f>
        <v/>
      </c>
      <c r="EA152" s="55">
        <f>$EA151+$DY152</f>
        <v/>
      </c>
      <c r="EB152" s="55">
        <f>SUMIFS(tblPlant[Lime_kg],tblPlant[Date],$A152)</f>
        <v/>
      </c>
      <c r="EC152" s="55">
        <f>IF($B152=$B151,$EC151,0)+$EB152</f>
        <v/>
      </c>
      <c r="ED152" s="55">
        <f>$ED151+$EB152</f>
        <v/>
      </c>
      <c r="EE152" s="55">
        <f>SUMIFS(tblPlant[Grinding_Media_kg],tblPlant[Date],$A152)</f>
        <v/>
      </c>
      <c r="EF152" s="55">
        <f>IF($B152=$B151,$EF151,0)+$EE152</f>
        <v/>
      </c>
      <c r="EG152" s="55">
        <f>$EG151+$EE152</f>
        <v/>
      </c>
      <c r="EH152" s="55">
        <f>SUMIFS(tblPlant[Power_kWh],tblPlant[Date],$A152)</f>
        <v/>
      </c>
      <c r="EI152" s="55">
        <f>IF($B152=$B151,$EI151,0)+$EH152</f>
        <v/>
      </c>
      <c r="EJ152" s="55">
        <f>$EJ151+$EH152</f>
        <v/>
      </c>
      <c r="EK152" s="55">
        <f>SUMIFS(tblPlant[Raw_Water_m3],tblPlant[Date],$A152)</f>
        <v/>
      </c>
      <c r="EL152" s="55">
        <f>IF($B152=$B151,$EL151,0)+$EK152</f>
        <v/>
      </c>
      <c r="EM152" s="55">
        <f>$EM151+$EK152</f>
        <v/>
      </c>
      <c r="EN152" s="56">
        <f>IFERROR(IF(($BZ152)&gt;0,($DY152)/($BZ152),""),"")</f>
        <v/>
      </c>
      <c r="EO152" s="56">
        <f>IFERROR(IF(($CA152)&gt;0,($DZ152)/($CA152),""),"")</f>
        <v/>
      </c>
      <c r="EP152" s="56">
        <f>IFERROR(IF(($CB152)&gt;0,($EA152)/($CB152),""),"")</f>
        <v/>
      </c>
      <c r="EQ152" s="56">
        <f>IFERROR(IF(($BZ152)&gt;0,($EB152)/($BZ152),""),"")</f>
        <v/>
      </c>
      <c r="ER152" s="56">
        <f>IFERROR(IF(($CA152)&gt;0,($EC152)/($CA152),""),"")</f>
        <v/>
      </c>
      <c r="ES152" s="56">
        <f>IFERROR(IF(($CB152)&gt;0,($ED152)/($CB152),""),"")</f>
        <v/>
      </c>
      <c r="ET152" s="56">
        <f>IFERROR(IF(($BZ152)&gt;0,($EE152)/($BZ152),""),"")</f>
        <v/>
      </c>
      <c r="EU152" s="56">
        <f>IFERROR(IF(($CA152)&gt;0,($EF152)/($CA152),""),"")</f>
        <v/>
      </c>
      <c r="EV152" s="56">
        <f>IFERROR(IF(($CB152)&gt;0,($EG152)/($CB152),""),"")</f>
        <v/>
      </c>
      <c r="EW152" s="76">
        <f>IFERROR(IF(($BZ152)&gt;0,($EH152)/($BZ152),""),"")</f>
        <v/>
      </c>
      <c r="EX152" s="76">
        <f>IFERROR(IF(($CA152)&gt;0,($EI152)/($CA152),""),"")</f>
        <v/>
      </c>
      <c r="EY152" s="76">
        <f>IFERROR(IF(($CB152)&gt;0,($EJ152)/($CB152),""),"")</f>
        <v/>
      </c>
      <c r="EZ152" s="56">
        <f>IFERROR(IF(($BZ152)&gt;0,($EK152)/($BZ152),""),"")</f>
        <v/>
      </c>
      <c r="FA152" s="56">
        <f>IFERROR(IF(($CA152)&gt;0,($EL152)/($CA152),""),"")</f>
        <v/>
      </c>
      <c r="FB152" s="56">
        <f>IFERROR(IF(($CB152)&gt;0,($EM152)/($CB152),""),"")</f>
        <v/>
      </c>
      <c r="FC152" s="55">
        <f>IF(SUMIFS(tblPlant[GIC_oz],tblPlant[Date],$A152)&gt;0,SUMIFS(tblPlant[GIC_oz],tblPlant[Date],$A152),"")</f>
        <v/>
      </c>
      <c r="FD152" s="55">
        <f>SUMIFS(tblGold[Gold_oz],tblGold[Date],$A152,tblGold[Type],"Shipment")</f>
        <v/>
      </c>
      <c r="FE152" s="55">
        <f>IF($B152=$B151,$FE151,0)+$FD152</f>
        <v/>
      </c>
      <c r="FF152" s="55">
        <f>$FF151+$FD152</f>
        <v/>
      </c>
      <c r="FG152" s="55">
        <f>SUMIFS(tblGold[Gold_oz],tblGold[Date],$A152,tblGold[Type],"Sale")</f>
        <v/>
      </c>
      <c r="FH152" s="55">
        <f>IF($B152=$B151,$FH151,0)+$FG152</f>
        <v/>
      </c>
      <c r="FI152" s="55">
        <f>$FI151+$FG152</f>
        <v/>
      </c>
      <c r="FJ152" s="55">
        <f>SUMIFS(tblGold[Dore_kg],tblGold[Date],$A152,tblGold[Type],"Shipment")</f>
        <v/>
      </c>
      <c r="FK152" s="55">
        <f>IF($B152=$B151,$FK151,0)+$FJ152</f>
        <v/>
      </c>
      <c r="FL152" s="55">
        <f>$FL151+$FJ152</f>
        <v/>
      </c>
      <c r="FM152" s="57">
        <f>SUMIFS(tblSafety[Hours_Total],tblSafety[Date],$A152)</f>
        <v/>
      </c>
      <c r="FN152" s="57">
        <f>IF($B152=$B151,$FN151,0)+$FM152</f>
        <v/>
      </c>
      <c r="FO152" s="57">
        <f>$FO151+$FM152</f>
        <v/>
      </c>
      <c r="FP152" s="62">
        <f>SUMIFS(tblSafety[Fatality],tblSafety[Date],$A152)</f>
        <v/>
      </c>
      <c r="FQ152" s="62">
        <f>IF($B152=$B151,$FQ151,0)+$FP152</f>
        <v/>
      </c>
      <c r="FR152" s="62">
        <f>$FR151+$FP152</f>
        <v/>
      </c>
      <c r="FS152" s="62">
        <f>SUMIFS(tblSafety[LTI],tblSafety[Date],$A152)</f>
        <v/>
      </c>
      <c r="FT152" s="62">
        <f>IF($B152=$B151,$FT151,0)+$FS152</f>
        <v/>
      </c>
      <c r="FU152" s="62">
        <f>$FU151+$FS152</f>
        <v/>
      </c>
      <c r="FV152" s="62">
        <f>SUMIFS(tblSafety[RWI],tblSafety[Date],$A152)</f>
        <v/>
      </c>
      <c r="FW152" s="62">
        <f>IF($B152=$B151,$FW151,0)+$FV152</f>
        <v/>
      </c>
      <c r="FX152" s="62">
        <f>$FX151+$FV152</f>
        <v/>
      </c>
      <c r="FY152" s="62">
        <f>SUMIFS(tblSafety[MTI],tblSafety[Date],$A152)</f>
        <v/>
      </c>
      <c r="FZ152" s="62">
        <f>IF($B152=$B151,$FZ151,0)+$FY152</f>
        <v/>
      </c>
      <c r="GA152" s="62">
        <f>$GA151+$FY152</f>
        <v/>
      </c>
      <c r="GB152" s="62">
        <f>SUMIFS(tblSafety[FAI],tblSafety[Date],$A152)</f>
        <v/>
      </c>
      <c r="GC152" s="62">
        <f>IF($B152=$B151,$GC151,0)+$GB152</f>
        <v/>
      </c>
      <c r="GD152" s="62">
        <f>$GD151+$GB152</f>
        <v/>
      </c>
      <c r="GE152" s="62">
        <f>SUMIFS(tblSafety[Recordables],tblSafety[Date],$A152)</f>
        <v/>
      </c>
      <c r="GF152" s="62">
        <f>IF($B152=$B151,$GF151,0)+$GE152</f>
        <v/>
      </c>
      <c r="GG152" s="62">
        <f>$GG151+$GE152</f>
        <v/>
      </c>
      <c r="GH152" s="62">
        <f>SUMIFS(tblSafety[Near_Miss],tblSafety[Date],$A152)</f>
        <v/>
      </c>
      <c r="GI152" s="62">
        <f>IF($B152=$B151,$GI151,0)+$GH152</f>
        <v/>
      </c>
      <c r="GJ152" s="62">
        <f>$GJ151+$GH152</f>
        <v/>
      </c>
      <c r="GK152" s="62">
        <f>SUMIFS(tblSafety[Hazard_Reports],tblSafety[Date],$A152)</f>
        <v/>
      </c>
      <c r="GL152" s="62">
        <f>IF($B152=$B151,$GL151,0)+$GK152</f>
        <v/>
      </c>
      <c r="GM152" s="62">
        <f>$GM151+$GK152</f>
        <v/>
      </c>
      <c r="GN152" s="62">
        <f>SUMIFS(tblSafety[HPI],tblSafety[Date],$A152)</f>
        <v/>
      </c>
      <c r="GO152" s="62">
        <f>IF($B152=$B151,$GO151,0)+$GN152</f>
        <v/>
      </c>
      <c r="GP152" s="62">
        <f>$GP151+$GN152</f>
        <v/>
      </c>
      <c r="GQ152" s="62">
        <f>SUMIFS(tblSafety[Env_Incidents],tblSafety[Date],$A152)</f>
        <v/>
      </c>
      <c r="GR152" s="62">
        <f>IF($B152=$B151,$GR151,0)+$GQ152</f>
        <v/>
      </c>
      <c r="GS152" s="62">
        <f>$GS151+$GQ152</f>
        <v/>
      </c>
      <c r="GT152" s="62">
        <f>SUMIFS(tblSafety[Community_Incidents],tblSafety[Date],$A152)</f>
        <v/>
      </c>
      <c r="GU152" s="62">
        <f>IF($B152=$B151,$GU151,0)+$GT152</f>
        <v/>
      </c>
      <c r="GV152" s="62">
        <f>$GV151+$GT152</f>
        <v/>
      </c>
      <c r="GW152" s="62">
        <f>SUMIFS(tblSafety[Vehicle_Incidents],tblSafety[Date],$A152)</f>
        <v/>
      </c>
      <c r="GX152" s="62">
        <f>IF($B152=$B151,$GX151,0)+$GW152</f>
        <v/>
      </c>
      <c r="GY152" s="62">
        <f>$GY151+$GW152</f>
        <v/>
      </c>
      <c r="GZ152" s="62">
        <f>SUMIFS(tblSafety[Toolbox_Talks],tblSafety[Date],$A152)</f>
        <v/>
      </c>
      <c r="HA152" s="62">
        <f>IF($B152=$B151,$HA151,0)+$GZ152</f>
        <v/>
      </c>
      <c r="HB152" s="62">
        <f>$HB151+$GZ152</f>
        <v/>
      </c>
      <c r="HC152" s="62">
        <f>SUMIFS(tblSafety[Inspections],tblSafety[Date],$A152)</f>
        <v/>
      </c>
      <c r="HD152" s="62">
        <f>IF($B152=$B151,$HD151,0)+$HC152</f>
        <v/>
      </c>
      <c r="HE152" s="62">
        <f>$HE151+$HC152</f>
        <v/>
      </c>
      <c r="HF152" s="56">
        <f>IFERROR((SUMIFS(tblSafety[Recordables],tblSafety[Date],"&gt;="&amp;EDATE($E152,-12),tblSafety[Date],"&lt;="&amp;$A152)+SUMIFS(tblSafetyHistory[Recordables],tblSafetyHistory[Month],"&gt;="&amp;EDATE($E152,-12),tblSafetyHistory[Month],"&lt;"&amp;cfg_YearStart))/(SUMIFS(tblSafety[Hours_Total],tblSafety[Date],"&gt;="&amp;EDATE($E152,-12),tblSafety[Date],"&lt;="&amp;$A152)+SUMIFS(tblSafetyHistory[Hours_Total],tblSafetyHistory[Month],"&gt;="&amp;EDATE($E152,-12),tblSafetyHistory[Month],"&lt;"&amp;cfg_YearStart))*1000000,"")</f>
        <v/>
      </c>
      <c r="HG152" s="56">
        <f>IFERROR((SUMIFS(tblSafety[LTI],tblSafety[Date],"&gt;="&amp;EDATE($E152,-12),tblSafety[Date],"&lt;="&amp;$A152)+SUMIFS(tblSafetyHistory[LTI],tblSafetyHistory[Month],"&gt;="&amp;EDATE($E152,-12),tblSafetyHistory[Month],"&lt;"&amp;cfg_YearStart))/(SUMIFS(tblSafety[Hours_Total],tblSafety[Date],"&gt;="&amp;EDATE($E152,-12),tblSafety[Date],"&lt;="&amp;$A152)+SUMIFS(tblSafetyHistory[Hours_Total],tblSafetyHistory[Month],"&gt;="&amp;EDATE($E152,-12),tblSafetyHistory[Month],"&lt;"&amp;cfg_YearStart))*1000000,"")</f>
        <v/>
      </c>
      <c r="HH152" s="62">
        <f>IF(MAX(N(cfg_PriorLTIDate),_xlfn.MAXIFS(tblSafety[Date],tblSafety[LTI],"&gt;0",tblSafety[Date],"&lt;="&amp;$A152))=0,"",$A152-MAX(N(cfg_PriorLTIDate),_xlfn.MAXIFS(tblSafety[Date],tblSafety[LTI],"&gt;0",tblSafety[Date],"&lt;="&amp;$A152)))</f>
        <v/>
      </c>
      <c r="HI152" s="55">
        <f>SUMIFS(tblBudget[Ore_Mined_t],tblBudget[Month],$E152)</f>
        <v/>
      </c>
      <c r="HJ152" s="55">
        <f>$HI152*$C152/$D152</f>
        <v/>
      </c>
      <c r="HK152" s="55">
        <f>SUMIFS(tblBudget[Ore_Mined_t],tblBudget[Month],"&lt;"&amp;$E152)+$HJ152</f>
        <v/>
      </c>
      <c r="HL152" s="55">
        <f>SUMIFS(tblBudget[Ore_oz],tblBudget[Month],$E152)</f>
        <v/>
      </c>
      <c r="HM152" s="55">
        <f>$HL152*$C152/$D152</f>
        <v/>
      </c>
      <c r="HN152" s="55">
        <f>SUMIFS(tblBudget[Ore_oz],tblBudget[Month],"&lt;"&amp;$E152)+$HM152</f>
        <v/>
      </c>
      <c r="HO152" s="56">
        <f>IFERROR(IF(($HI152)&gt;0,($HL152*cfg_TroyOz)/($HI152),""),"")</f>
        <v/>
      </c>
      <c r="HP152" s="56">
        <f>IFERROR(IF(($HJ152)&gt;0,($HM152*cfg_TroyOz)/($HJ152),""),"")</f>
        <v/>
      </c>
      <c r="HQ152" s="56">
        <f>IFERROR(IF(($HK152)&gt;0,($HN152*cfg_TroyOz)/($HK152),""),"")</f>
        <v/>
      </c>
      <c r="HR152" s="55">
        <f>SUMIFS(tblBudget[Waste_t],tblBudget[Month],$E152)</f>
        <v/>
      </c>
      <c r="HS152" s="55">
        <f>$HR152*$C152/$D152</f>
        <v/>
      </c>
      <c r="HT152" s="55">
        <f>SUMIFS(tblBudget[Waste_t],tblBudget[Month],"&lt;"&amp;$E152)+$HS152</f>
        <v/>
      </c>
      <c r="HU152" s="55">
        <f>SUMIFS(tblBudget[TMM_t],tblBudget[Month],$E152)</f>
        <v/>
      </c>
      <c r="HV152" s="55">
        <f>$HU152*$C152/$D152</f>
        <v/>
      </c>
      <c r="HW152" s="55">
        <f>SUMIFS(tblBudget[TMM_t],tblBudget[Month],"&lt;"&amp;$E152)+$HV152</f>
        <v/>
      </c>
      <c r="HX152" s="56">
        <f>IFERROR(IF(($HI152)&gt;0,($HR152)/($HI152),""),"")</f>
        <v/>
      </c>
      <c r="HY152" s="56">
        <f>IFERROR(IF(($HJ152)&gt;0,($HS152)/($HJ152),""),"")</f>
        <v/>
      </c>
      <c r="HZ152" s="56">
        <f>IFERROR(IF(($HK152)&gt;0,($HT152)/($HK152),""),"")</f>
        <v/>
      </c>
      <c r="IA152" s="55">
        <f>SUMIFS(tblBudget[Drill_m],tblBudget[Month],$E152)</f>
        <v/>
      </c>
      <c r="IB152" s="55">
        <f>$IA152*$C152/$D152</f>
        <v/>
      </c>
      <c r="IC152" s="55">
        <f>SUMIFS(tblBudget[Drill_m],tblBudget[Month],"&lt;"&amp;$E152)+$IB152</f>
        <v/>
      </c>
      <c r="ID152" s="55">
        <f>SUMIFS(tblBudget[Diesel_L],tblBudget[Month],$E152)</f>
        <v/>
      </c>
      <c r="IE152" s="55">
        <f>$ID152*$C152/$D152</f>
        <v/>
      </c>
      <c r="IF152" s="55">
        <f>SUMIFS(tblBudget[Diesel_L],tblBudget[Month],"&lt;"&amp;$E152)+$IE152</f>
        <v/>
      </c>
      <c r="IG152" s="55">
        <f>SUMIFS(tblBudget[Milled_t],tblBudget[Month],$E152)</f>
        <v/>
      </c>
      <c r="IH152" s="55">
        <f>$IG152*$C152/$D152</f>
        <v/>
      </c>
      <c r="II152" s="55">
        <f>SUMIFS(tblBudget[Milled_t],tblBudget[Month],"&lt;"&amp;$E152)+$IH152</f>
        <v/>
      </c>
      <c r="IJ152" s="55">
        <f>SUMIFS(tblBudget[Feed_oz],tblBudget[Month],$E152)</f>
        <v/>
      </c>
      <c r="IK152" s="55">
        <f>$IJ152*$C152/$D152</f>
        <v/>
      </c>
      <c r="IL152" s="55">
        <f>SUMIFS(tblBudget[Feed_oz],tblBudget[Month],"&lt;"&amp;$E152)+$IK152</f>
        <v/>
      </c>
      <c r="IM152" s="55">
        <f>SUMIFS(tblBudget[Recovered_oz],tblBudget[Month],$E152)</f>
        <v/>
      </c>
      <c r="IN152" s="55">
        <f>$IM152*$C152/$D152</f>
        <v/>
      </c>
      <c r="IO152" s="55">
        <f>SUMIFS(tblBudget[Recovered_oz],tblBudget[Month],"&lt;"&amp;$E152)+$IN152</f>
        <v/>
      </c>
      <c r="IP152" s="56">
        <f>IFERROR(IF(($IG152)&gt;0,($IJ152*cfg_TroyOz)/($IG152),""),"")</f>
        <v/>
      </c>
      <c r="IQ152" s="56">
        <f>IFERROR(IF(($IH152)&gt;0,($IK152*cfg_TroyOz)/($IH152),""),"")</f>
        <v/>
      </c>
      <c r="IR152" s="56">
        <f>IFERROR(IF(($II152)&gt;0,($IL152*cfg_TroyOz)/($II152),""),"")</f>
        <v/>
      </c>
      <c r="IS152" s="67">
        <f>IFERROR(IF(($IJ152)&gt;0,($IM152)/($IJ152),""),"")</f>
        <v/>
      </c>
      <c r="IT152" s="67">
        <f>IFERROR(IF(($IK152)&gt;0,($IN152)/($IK152),""),"")</f>
        <v/>
      </c>
      <c r="IU152" s="67">
        <f>IFERROR(IF(($IL152)&gt;0,($IO152)/($IL152),""),"")</f>
        <v/>
      </c>
      <c r="IV152" s="55">
        <f>SUMIFS(tblBudget[Gold_Poured_oz],tblBudget[Month],$E152)</f>
        <v/>
      </c>
      <c r="IW152" s="55">
        <f>$IV152*$C152/$D152</f>
        <v/>
      </c>
      <c r="IX152" s="55">
        <f>SUMIFS(tblBudget[Gold_Poured_oz],tblBudget[Month],"&lt;"&amp;$E152)+$IW152</f>
        <v/>
      </c>
      <c r="IY152" s="57">
        <f>SUMIFS(tblBudget[Hours_Worked],tblBudget[Month],$E152)</f>
        <v/>
      </c>
      <c r="IZ152" s="57">
        <f>$IY152*$C152/$D152</f>
        <v/>
      </c>
      <c r="JA152" s="57">
        <f>SUMIFS(tblBudget[Hours_Worked],tblBudget[Month],"&lt;"&amp;$E152)+$IZ152</f>
        <v/>
      </c>
    </row>
    <row r="153">
      <c r="A153" s="54" t="n">
        <v>46174</v>
      </c>
      <c r="B153">
        <f>MONTH($A153)</f>
        <v/>
      </c>
      <c r="C153">
        <f>DAY($A153)</f>
        <v/>
      </c>
      <c r="D153">
        <f>DAY(EOMONTH($A153,0))</f>
        <v/>
      </c>
      <c r="E153" s="54">
        <f>DATE(YEAR($A153),MONTH($A153),1)</f>
        <v/>
      </c>
      <c r="F153" s="55">
        <f>SUMIFS(tblMovement[Tonnes_t],tblMovement[Date],$A153,tblMovement[Is_Ore],1,tblMovement[Source_Type],"Pit")</f>
        <v/>
      </c>
      <c r="G153" s="55">
        <f>IF($B153=$B152,$G152,0)+$F153</f>
        <v/>
      </c>
      <c r="H153" s="55">
        <f>$H152+$F153</f>
        <v/>
      </c>
      <c r="I153" s="55">
        <f>SUMIFS(tblMovement[Ore_oz],tblMovement[Date],$A153,tblMovement[Source_Type],"Pit")</f>
        <v/>
      </c>
      <c r="J153" s="55">
        <f>IF($B153=$B152,$J152,0)+$I153</f>
        <v/>
      </c>
      <c r="K153" s="55">
        <f>$K152+$I153</f>
        <v/>
      </c>
      <c r="L153" s="56">
        <f>IFERROR(IF(($F153)&gt;0,($I153*cfg_TroyOz)/($F153),""),"")</f>
        <v/>
      </c>
      <c r="M153" s="56">
        <f>IFERROR(IF(($G153)&gt;0,($J153*cfg_TroyOz)/($G153),""),"")</f>
        <v/>
      </c>
      <c r="N153" s="56">
        <f>IFERROR(IF(($H153)&gt;0,($K153*cfg_TroyOz)/($H153),""),"")</f>
        <v/>
      </c>
      <c r="O153" s="55">
        <f>SUMIFS(tblMovement[Tonnes_t],tblMovement[Date],$A153,tblMovement[Is_Ore],0,tblMovement[Source_Type],"Pit")</f>
        <v/>
      </c>
      <c r="P153" s="55">
        <f>IF($B153=$B152,$P152,0)+$O153</f>
        <v/>
      </c>
      <c r="Q153" s="55">
        <f>$Q152+$O153</f>
        <v/>
      </c>
      <c r="R153" s="55">
        <f>$F153+$O153</f>
        <v/>
      </c>
      <c r="S153" s="55">
        <f>IF($B153=$B152,$S152,0)+$R153</f>
        <v/>
      </c>
      <c r="T153" s="55">
        <f>$T152+$R153</f>
        <v/>
      </c>
      <c r="U153" s="56">
        <f>IFERROR(IF(($F153)&gt;0,($O153)/($F153),""),"")</f>
        <v/>
      </c>
      <c r="V153" s="56">
        <f>IFERROR(IF(($G153)&gt;0,($P153)/($G153),""),"")</f>
        <v/>
      </c>
      <c r="W153" s="56">
        <f>IFERROR(IF(($H153)&gt;0,($Q153)/($H153),""),"")</f>
        <v/>
      </c>
      <c r="X153" s="55">
        <f>SUMIFS(tblMovement[Tonnes_t],tblMovement[Date],$A153,tblMovement[Source_Type],"Stockpile")</f>
        <v/>
      </c>
      <c r="Y153" s="55">
        <f>IF($B153=$B152,$Y152,0)+$X153</f>
        <v/>
      </c>
      <c r="Z153" s="55">
        <f>$Z152+$X153</f>
        <v/>
      </c>
      <c r="AA153" s="55">
        <f>SUMIFS(tblMiningDaily[Drill_m],tblMiningDaily[Date],$A153)</f>
        <v/>
      </c>
      <c r="AB153" s="55">
        <f>IF($B153=$B152,$AB152,0)+$AA153</f>
        <v/>
      </c>
      <c r="AC153" s="55">
        <f>$AC152+$AA153</f>
        <v/>
      </c>
      <c r="AD153" s="55">
        <f>SUMIFS(tblMiningDaily[Blast_t],tblMiningDaily[Date],$A153)</f>
        <v/>
      </c>
      <c r="AE153" s="55">
        <f>IF($B153=$B152,$AE152,0)+$AD153</f>
        <v/>
      </c>
      <c r="AF153" s="55">
        <f>$AF152+$AD153</f>
        <v/>
      </c>
      <c r="AG153" s="55">
        <f>SUMIFS(tblMiningDaily[Explosives_kg],tblMiningDaily[Date],$A153)</f>
        <v/>
      </c>
      <c r="AH153" s="55">
        <f>IF($B153=$B152,$AH152,0)+$AG153</f>
        <v/>
      </c>
      <c r="AI153" s="55">
        <f>$AI152+$AG153</f>
        <v/>
      </c>
      <c r="AJ153" s="56">
        <f>IFERROR(IF(($AD153)&gt;0,($AG153)/($AD153),""),"")</f>
        <v/>
      </c>
      <c r="AK153" s="56">
        <f>IFERROR(IF(($AE153)&gt;0,($AH153)/($AE153),""),"")</f>
        <v/>
      </c>
      <c r="AL153" s="56">
        <f>IFERROR(IF(($AF153)&gt;0,($AI153)/($AF153),""),"")</f>
        <v/>
      </c>
      <c r="AM153" s="55">
        <f>SUMIFS(tblMiningDaily[Diesel_L],tblMiningDaily[Date],$A153)</f>
        <v/>
      </c>
      <c r="AN153" s="55">
        <f>IF($B153=$B152,$AN152,0)+$AM153</f>
        <v/>
      </c>
      <c r="AO153" s="55">
        <f>$AO152+$AM153</f>
        <v/>
      </c>
      <c r="AP153" s="55">
        <f>SUMIFS(tblMiningDaily[Dewatering_m3],tblMiningDaily[Date],$A153)</f>
        <v/>
      </c>
      <c r="AQ153" s="55">
        <f>IF($B153=$B152,$AQ152,0)+$AP153</f>
        <v/>
      </c>
      <c r="AR153" s="55">
        <f>$AR152+$AP153</f>
        <v/>
      </c>
      <c r="AS153" s="57">
        <f>SUMIFS(tblFleet[Calendar_h],tblFleet[Date],$A153,tblFleet[Equipment_Class],"Excavator")</f>
        <v/>
      </c>
      <c r="AT153" s="57">
        <f>IF($B153=$B152,$AT152,0)+$AS153</f>
        <v/>
      </c>
      <c r="AU153" s="57">
        <f>$AU152+$AS153</f>
        <v/>
      </c>
      <c r="AV153" s="57">
        <f>SUMIFS(tblFleet[Available_h],tblFleet[Date],$A153,tblFleet[Equipment_Class],"Excavator")</f>
        <v/>
      </c>
      <c r="AW153" s="57">
        <f>IF($B153=$B152,$AW152,0)+$AV153</f>
        <v/>
      </c>
      <c r="AX153" s="57">
        <f>$AX152+$AV153</f>
        <v/>
      </c>
      <c r="AY153" s="57">
        <f>SUMIFS(tblFleet[Operating_h],tblFleet[Date],$A153,tblFleet[Equipment_Class],"Excavator")</f>
        <v/>
      </c>
      <c r="AZ153" s="57">
        <f>IF($B153=$B152,$AZ152,0)+$AY153</f>
        <v/>
      </c>
      <c r="BA153" s="57">
        <f>$BA152+$AY153</f>
        <v/>
      </c>
      <c r="BB153" s="67">
        <f>IFERROR(IF(($AS153)&gt;0,($AV153)/($AS153),""),"")</f>
        <v/>
      </c>
      <c r="BC153" s="67">
        <f>IFERROR(IF(($AT153)&gt;0,($AW153)/($AT153),""),"")</f>
        <v/>
      </c>
      <c r="BD153" s="67">
        <f>IFERROR(IF(($AU153)&gt;0,($AX153)/($AU153),""),"")</f>
        <v/>
      </c>
      <c r="BE153" s="67">
        <f>IFERROR(IF(($AV153)&gt;0,($AY153)/($AV153),""),"")</f>
        <v/>
      </c>
      <c r="BF153" s="67">
        <f>IFERROR(IF(($AW153)&gt;0,($AZ153)/($AW153),""),"")</f>
        <v/>
      </c>
      <c r="BG153" s="67">
        <f>IFERROR(IF(($AX153)&gt;0,($BA153)/($AX153),""),"")</f>
        <v/>
      </c>
      <c r="BH153" s="57">
        <f>SUMIFS(tblFleet[Calendar_h],tblFleet[Date],$A153,tblFleet[Equipment_Class],"Haul Truck")</f>
        <v/>
      </c>
      <c r="BI153" s="57">
        <f>IF($B153=$B152,$BI152,0)+$BH153</f>
        <v/>
      </c>
      <c r="BJ153" s="57">
        <f>$BJ152+$BH153</f>
        <v/>
      </c>
      <c r="BK153" s="57">
        <f>SUMIFS(tblFleet[Available_h],tblFleet[Date],$A153,tblFleet[Equipment_Class],"Haul Truck")</f>
        <v/>
      </c>
      <c r="BL153" s="57">
        <f>IF($B153=$B152,$BL152,0)+$BK153</f>
        <v/>
      </c>
      <c r="BM153" s="57">
        <f>$BM152+$BK153</f>
        <v/>
      </c>
      <c r="BN153" s="57">
        <f>SUMIFS(tblFleet[Operating_h],tblFleet[Date],$A153,tblFleet[Equipment_Class],"Haul Truck")</f>
        <v/>
      </c>
      <c r="BO153" s="57">
        <f>IF($B153=$B152,$BO152,0)+$BN153</f>
        <v/>
      </c>
      <c r="BP153" s="57">
        <f>$BP152+$BN153</f>
        <v/>
      </c>
      <c r="BQ153" s="67">
        <f>IFERROR(IF(($BH153)&gt;0,($BK153)/($BH153),""),"")</f>
        <v/>
      </c>
      <c r="BR153" s="67">
        <f>IFERROR(IF(($BI153)&gt;0,($BL153)/($BI153),""),"")</f>
        <v/>
      </c>
      <c r="BS153" s="67">
        <f>IFERROR(IF(($BJ153)&gt;0,($BM153)/($BJ153),""),"")</f>
        <v/>
      </c>
      <c r="BT153" s="67">
        <f>IFERROR(IF(($BK153)&gt;0,($BN153)/($BK153),""),"")</f>
        <v/>
      </c>
      <c r="BU153" s="67">
        <f>IFERROR(IF(($BL153)&gt;0,($BO153)/($BL153),""),"")</f>
        <v/>
      </c>
      <c r="BV153" s="67">
        <f>IFERROR(IF(($BM153)&gt;0,($BP153)/($BM153),""),"")</f>
        <v/>
      </c>
      <c r="BW153" s="55">
        <f>SUMIFS(tblPlant[Crushed_t],tblPlant[Date],$A153)</f>
        <v/>
      </c>
      <c r="BX153" s="55">
        <f>IF($B153=$B152,$BX152,0)+$BW153</f>
        <v/>
      </c>
      <c r="BY153" s="55">
        <f>$BY152+$BW153</f>
        <v/>
      </c>
      <c r="BZ153" s="55">
        <f>SUMIFS(tblPlant[Milled_t],tblPlant[Date],$A153)</f>
        <v/>
      </c>
      <c r="CA153" s="55">
        <f>IF($B153=$B152,$CA152,0)+$BZ153</f>
        <v/>
      </c>
      <c r="CB153" s="55">
        <f>$CB152+$BZ153</f>
        <v/>
      </c>
      <c r="CC153" s="55">
        <f>SUMIFS(tblPlant[Feed_oz],tblPlant[Date],$A153)</f>
        <v/>
      </c>
      <c r="CD153" s="55">
        <f>IF($B153=$B152,$CD152,0)+$CC153</f>
        <v/>
      </c>
      <c r="CE153" s="55">
        <f>$CE152+$CC153</f>
        <v/>
      </c>
      <c r="CF153" s="55">
        <f>SUMIFS(tblPlant[Tails_oz],tblPlant[Date],$A153)</f>
        <v/>
      </c>
      <c r="CG153" s="55">
        <f>IF($B153=$B152,$CG152,0)+$CF153</f>
        <v/>
      </c>
      <c r="CH153" s="55">
        <f>$CH152+$CF153</f>
        <v/>
      </c>
      <c r="CI153" s="55">
        <f>SUMIFS(tblPlant[Recovered_oz],tblPlant[Date],$A153)</f>
        <v/>
      </c>
      <c r="CJ153" s="55">
        <f>IF($B153=$B152,$CJ152,0)+$CI153</f>
        <v/>
      </c>
      <c r="CK153" s="55">
        <f>$CK152+$CI153</f>
        <v/>
      </c>
      <c r="CL153" s="56">
        <f>IFERROR(IF(($BZ153)&gt;0,($CC153*cfg_TroyOz)/($BZ153),""),"")</f>
        <v/>
      </c>
      <c r="CM153" s="56">
        <f>IFERROR(IF(($CA153)&gt;0,($CD153*cfg_TroyOz)/($CA153),""),"")</f>
        <v/>
      </c>
      <c r="CN153" s="56">
        <f>IFERROR(IF(($CB153)&gt;0,($CE153*cfg_TroyOz)/($CB153),""),"")</f>
        <v/>
      </c>
      <c r="CO153" s="56">
        <f>IFERROR(IF(($BZ153)&gt;0,($CF153*cfg_TroyOz)/($BZ153),""),"")</f>
        <v/>
      </c>
      <c r="CP153" s="56">
        <f>IFERROR(IF(($CA153)&gt;0,($CG153*cfg_TroyOz)/($CA153),""),"")</f>
        <v/>
      </c>
      <c r="CQ153" s="56">
        <f>IFERROR(IF(($CB153)&gt;0,($CH153*cfg_TroyOz)/($CB153),""),"")</f>
        <v/>
      </c>
      <c r="CR153" s="67">
        <f>IFERROR(IF(($CC153)&gt;0,($CI153)/($CC153),""),"")</f>
        <v/>
      </c>
      <c r="CS153" s="67">
        <f>IFERROR(IF(($CD153)&gt;0,($CJ153)/($CD153),""),"")</f>
        <v/>
      </c>
      <c r="CT153" s="67">
        <f>IFERROR(IF(($CE153)&gt;0,($CK153)/($CE153),""),"")</f>
        <v/>
      </c>
      <c r="CU153" s="55">
        <f>SUMIFS(tblPlant[Gravity_Gold_oz],tblPlant[Date],$A153)</f>
        <v/>
      </c>
      <c r="CV153" s="55">
        <f>IF($B153=$B152,$CV152,0)+$CU153</f>
        <v/>
      </c>
      <c r="CW153" s="55">
        <f>$CW152+$CU153</f>
        <v/>
      </c>
      <c r="CX153" s="55">
        <f>SUMIFS(tblPlant[Gold_Poured_oz],tblPlant[Date],$A153)</f>
        <v/>
      </c>
      <c r="CY153" s="55">
        <f>IF($B153=$B152,$CY152,0)+$CX153</f>
        <v/>
      </c>
      <c r="CZ153" s="55">
        <f>$CZ152+$CX153</f>
        <v/>
      </c>
      <c r="DA153" s="57">
        <f>SUMIFS(tblPlant[Mill_Run_h],tblPlant[Date],$A153)</f>
        <v/>
      </c>
      <c r="DB153" s="57">
        <f>IF($B153=$B152,$DB152,0)+$DA153</f>
        <v/>
      </c>
      <c r="DC153" s="57">
        <f>$DC152+$DA153</f>
        <v/>
      </c>
      <c r="DD153" s="57">
        <f>SUMIFS(tblPlant[Mill_Planned_Maint_h],tblPlant[Date],$A153)</f>
        <v/>
      </c>
      <c r="DE153" s="57">
        <f>IF($B153=$B152,$DE152,0)+$DD153</f>
        <v/>
      </c>
      <c r="DF153" s="57">
        <f>$DF152+$DD153</f>
        <v/>
      </c>
      <c r="DG153" s="57">
        <f>SUMIFS(tblPlant[Mill_Unplanned_Down_h],tblPlant[Date],$A153)</f>
        <v/>
      </c>
      <c r="DH153" s="57">
        <f>IF($B153=$B152,$DH152,0)+$DG153</f>
        <v/>
      </c>
      <c r="DI153" s="57">
        <f>$DI152+$DG153</f>
        <v/>
      </c>
      <c r="DJ153" s="57">
        <f>COUNTIFS(tblPlant[Date],$A153,tblPlant[Mill_Run_h],"&lt;&gt;")*24</f>
        <v/>
      </c>
      <c r="DK153" s="57">
        <f>IF($B153=$B152,$DK152,0)+$DJ153</f>
        <v/>
      </c>
      <c r="DL153" s="57">
        <f>$DL152+$DJ153</f>
        <v/>
      </c>
      <c r="DM153" s="57">
        <f>SUMIFS(tblPlant[Crusher_Run_h],tblPlant[Date],$A153)</f>
        <v/>
      </c>
      <c r="DN153" s="57">
        <f>IF($B153=$B152,$DN152,0)+$DM153</f>
        <v/>
      </c>
      <c r="DO153" s="57">
        <f>$DO152+$DM153</f>
        <v/>
      </c>
      <c r="DP153" s="55">
        <f>IFERROR(IF(($DA153)&gt;0,($BZ153)/($DA153),""),"")</f>
        <v/>
      </c>
      <c r="DQ153" s="55">
        <f>IFERROR(IF(($DB153)&gt;0,($CA153)/($DB153),""),"")</f>
        <v/>
      </c>
      <c r="DR153" s="55">
        <f>IFERROR(IF(($DC153)&gt;0,($CB153)/($DC153),""),"")</f>
        <v/>
      </c>
      <c r="DS153" s="67">
        <f>IFERROR(IF(($DJ153)&gt;0,($DJ153-$DD153-$DG153)/($DJ153),""),"")</f>
        <v/>
      </c>
      <c r="DT153" s="67">
        <f>IFERROR(IF(($DK153)&gt;0,($DK153-$DE153-$DH153)/($DK153),""),"")</f>
        <v/>
      </c>
      <c r="DU153" s="67">
        <f>IFERROR(IF(($DL153)&gt;0,($DL153-$DF153-$DI153)/($DL153),""),"")</f>
        <v/>
      </c>
      <c r="DV153" s="67">
        <f>IFERROR(IF(($DJ153-$DD153-$DG153)&gt;0,($DA153)/($DJ153-$DD153-$DG153),""),"")</f>
        <v/>
      </c>
      <c r="DW153" s="67">
        <f>IFERROR(IF(($DK153-$DE153-$DH153)&gt;0,($DB153)/($DK153-$DE153-$DH153),""),"")</f>
        <v/>
      </c>
      <c r="DX153" s="67">
        <f>IFERROR(IF(($DL153-$DF153-$DI153)&gt;0,($DC153)/($DL153-$DF153-$DI153),""),"")</f>
        <v/>
      </c>
      <c r="DY153" s="55">
        <f>SUMIFS(tblPlant[Cyanide_kg],tblPlant[Date],$A153)</f>
        <v/>
      </c>
      <c r="DZ153" s="55">
        <f>IF($B153=$B152,$DZ152,0)+$DY153</f>
        <v/>
      </c>
      <c r="EA153" s="55">
        <f>$EA152+$DY153</f>
        <v/>
      </c>
      <c r="EB153" s="55">
        <f>SUMIFS(tblPlant[Lime_kg],tblPlant[Date],$A153)</f>
        <v/>
      </c>
      <c r="EC153" s="55">
        <f>IF($B153=$B152,$EC152,0)+$EB153</f>
        <v/>
      </c>
      <c r="ED153" s="55">
        <f>$ED152+$EB153</f>
        <v/>
      </c>
      <c r="EE153" s="55">
        <f>SUMIFS(tblPlant[Grinding_Media_kg],tblPlant[Date],$A153)</f>
        <v/>
      </c>
      <c r="EF153" s="55">
        <f>IF($B153=$B152,$EF152,0)+$EE153</f>
        <v/>
      </c>
      <c r="EG153" s="55">
        <f>$EG152+$EE153</f>
        <v/>
      </c>
      <c r="EH153" s="55">
        <f>SUMIFS(tblPlant[Power_kWh],tblPlant[Date],$A153)</f>
        <v/>
      </c>
      <c r="EI153" s="55">
        <f>IF($B153=$B152,$EI152,0)+$EH153</f>
        <v/>
      </c>
      <c r="EJ153" s="55">
        <f>$EJ152+$EH153</f>
        <v/>
      </c>
      <c r="EK153" s="55">
        <f>SUMIFS(tblPlant[Raw_Water_m3],tblPlant[Date],$A153)</f>
        <v/>
      </c>
      <c r="EL153" s="55">
        <f>IF($B153=$B152,$EL152,0)+$EK153</f>
        <v/>
      </c>
      <c r="EM153" s="55">
        <f>$EM152+$EK153</f>
        <v/>
      </c>
      <c r="EN153" s="56">
        <f>IFERROR(IF(($BZ153)&gt;0,($DY153)/($BZ153),""),"")</f>
        <v/>
      </c>
      <c r="EO153" s="56">
        <f>IFERROR(IF(($CA153)&gt;0,($DZ153)/($CA153),""),"")</f>
        <v/>
      </c>
      <c r="EP153" s="56">
        <f>IFERROR(IF(($CB153)&gt;0,($EA153)/($CB153),""),"")</f>
        <v/>
      </c>
      <c r="EQ153" s="56">
        <f>IFERROR(IF(($BZ153)&gt;0,($EB153)/($BZ153),""),"")</f>
        <v/>
      </c>
      <c r="ER153" s="56">
        <f>IFERROR(IF(($CA153)&gt;0,($EC153)/($CA153),""),"")</f>
        <v/>
      </c>
      <c r="ES153" s="56">
        <f>IFERROR(IF(($CB153)&gt;0,($ED153)/($CB153),""),"")</f>
        <v/>
      </c>
      <c r="ET153" s="56">
        <f>IFERROR(IF(($BZ153)&gt;0,($EE153)/($BZ153),""),"")</f>
        <v/>
      </c>
      <c r="EU153" s="56">
        <f>IFERROR(IF(($CA153)&gt;0,($EF153)/($CA153),""),"")</f>
        <v/>
      </c>
      <c r="EV153" s="56">
        <f>IFERROR(IF(($CB153)&gt;0,($EG153)/($CB153),""),"")</f>
        <v/>
      </c>
      <c r="EW153" s="76">
        <f>IFERROR(IF(($BZ153)&gt;0,($EH153)/($BZ153),""),"")</f>
        <v/>
      </c>
      <c r="EX153" s="76">
        <f>IFERROR(IF(($CA153)&gt;0,($EI153)/($CA153),""),"")</f>
        <v/>
      </c>
      <c r="EY153" s="76">
        <f>IFERROR(IF(($CB153)&gt;0,($EJ153)/($CB153),""),"")</f>
        <v/>
      </c>
      <c r="EZ153" s="56">
        <f>IFERROR(IF(($BZ153)&gt;0,($EK153)/($BZ153),""),"")</f>
        <v/>
      </c>
      <c r="FA153" s="56">
        <f>IFERROR(IF(($CA153)&gt;0,($EL153)/($CA153),""),"")</f>
        <v/>
      </c>
      <c r="FB153" s="56">
        <f>IFERROR(IF(($CB153)&gt;0,($EM153)/($CB153),""),"")</f>
        <v/>
      </c>
      <c r="FC153" s="55">
        <f>IF(SUMIFS(tblPlant[GIC_oz],tblPlant[Date],$A153)&gt;0,SUMIFS(tblPlant[GIC_oz],tblPlant[Date],$A153),"")</f>
        <v/>
      </c>
      <c r="FD153" s="55">
        <f>SUMIFS(tblGold[Gold_oz],tblGold[Date],$A153,tblGold[Type],"Shipment")</f>
        <v/>
      </c>
      <c r="FE153" s="55">
        <f>IF($B153=$B152,$FE152,0)+$FD153</f>
        <v/>
      </c>
      <c r="FF153" s="55">
        <f>$FF152+$FD153</f>
        <v/>
      </c>
      <c r="FG153" s="55">
        <f>SUMIFS(tblGold[Gold_oz],tblGold[Date],$A153,tblGold[Type],"Sale")</f>
        <v/>
      </c>
      <c r="FH153" s="55">
        <f>IF($B153=$B152,$FH152,0)+$FG153</f>
        <v/>
      </c>
      <c r="FI153" s="55">
        <f>$FI152+$FG153</f>
        <v/>
      </c>
      <c r="FJ153" s="55">
        <f>SUMIFS(tblGold[Dore_kg],tblGold[Date],$A153,tblGold[Type],"Shipment")</f>
        <v/>
      </c>
      <c r="FK153" s="55">
        <f>IF($B153=$B152,$FK152,0)+$FJ153</f>
        <v/>
      </c>
      <c r="FL153" s="55">
        <f>$FL152+$FJ153</f>
        <v/>
      </c>
      <c r="FM153" s="57">
        <f>SUMIFS(tblSafety[Hours_Total],tblSafety[Date],$A153)</f>
        <v/>
      </c>
      <c r="FN153" s="57">
        <f>IF($B153=$B152,$FN152,0)+$FM153</f>
        <v/>
      </c>
      <c r="FO153" s="57">
        <f>$FO152+$FM153</f>
        <v/>
      </c>
      <c r="FP153" s="62">
        <f>SUMIFS(tblSafety[Fatality],tblSafety[Date],$A153)</f>
        <v/>
      </c>
      <c r="FQ153" s="62">
        <f>IF($B153=$B152,$FQ152,0)+$FP153</f>
        <v/>
      </c>
      <c r="FR153" s="62">
        <f>$FR152+$FP153</f>
        <v/>
      </c>
      <c r="FS153" s="62">
        <f>SUMIFS(tblSafety[LTI],tblSafety[Date],$A153)</f>
        <v/>
      </c>
      <c r="FT153" s="62">
        <f>IF($B153=$B152,$FT152,0)+$FS153</f>
        <v/>
      </c>
      <c r="FU153" s="62">
        <f>$FU152+$FS153</f>
        <v/>
      </c>
      <c r="FV153" s="62">
        <f>SUMIFS(tblSafety[RWI],tblSafety[Date],$A153)</f>
        <v/>
      </c>
      <c r="FW153" s="62">
        <f>IF($B153=$B152,$FW152,0)+$FV153</f>
        <v/>
      </c>
      <c r="FX153" s="62">
        <f>$FX152+$FV153</f>
        <v/>
      </c>
      <c r="FY153" s="62">
        <f>SUMIFS(tblSafety[MTI],tblSafety[Date],$A153)</f>
        <v/>
      </c>
      <c r="FZ153" s="62">
        <f>IF($B153=$B152,$FZ152,0)+$FY153</f>
        <v/>
      </c>
      <c r="GA153" s="62">
        <f>$GA152+$FY153</f>
        <v/>
      </c>
      <c r="GB153" s="62">
        <f>SUMIFS(tblSafety[FAI],tblSafety[Date],$A153)</f>
        <v/>
      </c>
      <c r="GC153" s="62">
        <f>IF($B153=$B152,$GC152,0)+$GB153</f>
        <v/>
      </c>
      <c r="GD153" s="62">
        <f>$GD152+$GB153</f>
        <v/>
      </c>
      <c r="GE153" s="62">
        <f>SUMIFS(tblSafety[Recordables],tblSafety[Date],$A153)</f>
        <v/>
      </c>
      <c r="GF153" s="62">
        <f>IF($B153=$B152,$GF152,0)+$GE153</f>
        <v/>
      </c>
      <c r="GG153" s="62">
        <f>$GG152+$GE153</f>
        <v/>
      </c>
      <c r="GH153" s="62">
        <f>SUMIFS(tblSafety[Near_Miss],tblSafety[Date],$A153)</f>
        <v/>
      </c>
      <c r="GI153" s="62">
        <f>IF($B153=$B152,$GI152,0)+$GH153</f>
        <v/>
      </c>
      <c r="GJ153" s="62">
        <f>$GJ152+$GH153</f>
        <v/>
      </c>
      <c r="GK153" s="62">
        <f>SUMIFS(tblSafety[Hazard_Reports],tblSafety[Date],$A153)</f>
        <v/>
      </c>
      <c r="GL153" s="62">
        <f>IF($B153=$B152,$GL152,0)+$GK153</f>
        <v/>
      </c>
      <c r="GM153" s="62">
        <f>$GM152+$GK153</f>
        <v/>
      </c>
      <c r="GN153" s="62">
        <f>SUMIFS(tblSafety[HPI],tblSafety[Date],$A153)</f>
        <v/>
      </c>
      <c r="GO153" s="62">
        <f>IF($B153=$B152,$GO152,0)+$GN153</f>
        <v/>
      </c>
      <c r="GP153" s="62">
        <f>$GP152+$GN153</f>
        <v/>
      </c>
      <c r="GQ153" s="62">
        <f>SUMIFS(tblSafety[Env_Incidents],tblSafety[Date],$A153)</f>
        <v/>
      </c>
      <c r="GR153" s="62">
        <f>IF($B153=$B152,$GR152,0)+$GQ153</f>
        <v/>
      </c>
      <c r="GS153" s="62">
        <f>$GS152+$GQ153</f>
        <v/>
      </c>
      <c r="GT153" s="62">
        <f>SUMIFS(tblSafety[Community_Incidents],tblSafety[Date],$A153)</f>
        <v/>
      </c>
      <c r="GU153" s="62">
        <f>IF($B153=$B152,$GU152,0)+$GT153</f>
        <v/>
      </c>
      <c r="GV153" s="62">
        <f>$GV152+$GT153</f>
        <v/>
      </c>
      <c r="GW153" s="62">
        <f>SUMIFS(tblSafety[Vehicle_Incidents],tblSafety[Date],$A153)</f>
        <v/>
      </c>
      <c r="GX153" s="62">
        <f>IF($B153=$B152,$GX152,0)+$GW153</f>
        <v/>
      </c>
      <c r="GY153" s="62">
        <f>$GY152+$GW153</f>
        <v/>
      </c>
      <c r="GZ153" s="62">
        <f>SUMIFS(tblSafety[Toolbox_Talks],tblSafety[Date],$A153)</f>
        <v/>
      </c>
      <c r="HA153" s="62">
        <f>IF($B153=$B152,$HA152,0)+$GZ153</f>
        <v/>
      </c>
      <c r="HB153" s="62">
        <f>$HB152+$GZ153</f>
        <v/>
      </c>
      <c r="HC153" s="62">
        <f>SUMIFS(tblSafety[Inspections],tblSafety[Date],$A153)</f>
        <v/>
      </c>
      <c r="HD153" s="62">
        <f>IF($B153=$B152,$HD152,0)+$HC153</f>
        <v/>
      </c>
      <c r="HE153" s="62">
        <f>$HE152+$HC153</f>
        <v/>
      </c>
      <c r="HF153" s="56">
        <f>IFERROR((SUMIFS(tblSafety[Recordables],tblSafety[Date],"&gt;="&amp;EDATE($E153,-12),tblSafety[Date],"&lt;="&amp;$A153)+SUMIFS(tblSafetyHistory[Recordables],tblSafetyHistory[Month],"&gt;="&amp;EDATE($E153,-12),tblSafetyHistory[Month],"&lt;"&amp;cfg_YearStart))/(SUMIFS(tblSafety[Hours_Total],tblSafety[Date],"&gt;="&amp;EDATE($E153,-12),tblSafety[Date],"&lt;="&amp;$A153)+SUMIFS(tblSafetyHistory[Hours_Total],tblSafetyHistory[Month],"&gt;="&amp;EDATE($E153,-12),tblSafetyHistory[Month],"&lt;"&amp;cfg_YearStart))*1000000,"")</f>
        <v/>
      </c>
      <c r="HG153" s="56">
        <f>IFERROR((SUMIFS(tblSafety[LTI],tblSafety[Date],"&gt;="&amp;EDATE($E153,-12),tblSafety[Date],"&lt;="&amp;$A153)+SUMIFS(tblSafetyHistory[LTI],tblSafetyHistory[Month],"&gt;="&amp;EDATE($E153,-12),tblSafetyHistory[Month],"&lt;"&amp;cfg_YearStart))/(SUMIFS(tblSafety[Hours_Total],tblSafety[Date],"&gt;="&amp;EDATE($E153,-12),tblSafety[Date],"&lt;="&amp;$A153)+SUMIFS(tblSafetyHistory[Hours_Total],tblSafetyHistory[Month],"&gt;="&amp;EDATE($E153,-12),tblSafetyHistory[Month],"&lt;"&amp;cfg_YearStart))*1000000,"")</f>
        <v/>
      </c>
      <c r="HH153" s="62">
        <f>IF(MAX(N(cfg_PriorLTIDate),_xlfn.MAXIFS(tblSafety[Date],tblSafety[LTI],"&gt;0",tblSafety[Date],"&lt;="&amp;$A153))=0,"",$A153-MAX(N(cfg_PriorLTIDate),_xlfn.MAXIFS(tblSafety[Date],tblSafety[LTI],"&gt;0",tblSafety[Date],"&lt;="&amp;$A153)))</f>
        <v/>
      </c>
      <c r="HI153" s="55">
        <f>SUMIFS(tblBudget[Ore_Mined_t],tblBudget[Month],$E153)</f>
        <v/>
      </c>
      <c r="HJ153" s="55">
        <f>$HI153*$C153/$D153</f>
        <v/>
      </c>
      <c r="HK153" s="55">
        <f>SUMIFS(tblBudget[Ore_Mined_t],tblBudget[Month],"&lt;"&amp;$E153)+$HJ153</f>
        <v/>
      </c>
      <c r="HL153" s="55">
        <f>SUMIFS(tblBudget[Ore_oz],tblBudget[Month],$E153)</f>
        <v/>
      </c>
      <c r="HM153" s="55">
        <f>$HL153*$C153/$D153</f>
        <v/>
      </c>
      <c r="HN153" s="55">
        <f>SUMIFS(tblBudget[Ore_oz],tblBudget[Month],"&lt;"&amp;$E153)+$HM153</f>
        <v/>
      </c>
      <c r="HO153" s="56">
        <f>IFERROR(IF(($HI153)&gt;0,($HL153*cfg_TroyOz)/($HI153),""),"")</f>
        <v/>
      </c>
      <c r="HP153" s="56">
        <f>IFERROR(IF(($HJ153)&gt;0,($HM153*cfg_TroyOz)/($HJ153),""),"")</f>
        <v/>
      </c>
      <c r="HQ153" s="56">
        <f>IFERROR(IF(($HK153)&gt;0,($HN153*cfg_TroyOz)/($HK153),""),"")</f>
        <v/>
      </c>
      <c r="HR153" s="55">
        <f>SUMIFS(tblBudget[Waste_t],tblBudget[Month],$E153)</f>
        <v/>
      </c>
      <c r="HS153" s="55">
        <f>$HR153*$C153/$D153</f>
        <v/>
      </c>
      <c r="HT153" s="55">
        <f>SUMIFS(tblBudget[Waste_t],tblBudget[Month],"&lt;"&amp;$E153)+$HS153</f>
        <v/>
      </c>
      <c r="HU153" s="55">
        <f>SUMIFS(tblBudget[TMM_t],tblBudget[Month],$E153)</f>
        <v/>
      </c>
      <c r="HV153" s="55">
        <f>$HU153*$C153/$D153</f>
        <v/>
      </c>
      <c r="HW153" s="55">
        <f>SUMIFS(tblBudget[TMM_t],tblBudget[Month],"&lt;"&amp;$E153)+$HV153</f>
        <v/>
      </c>
      <c r="HX153" s="56">
        <f>IFERROR(IF(($HI153)&gt;0,($HR153)/($HI153),""),"")</f>
        <v/>
      </c>
      <c r="HY153" s="56">
        <f>IFERROR(IF(($HJ153)&gt;0,($HS153)/($HJ153),""),"")</f>
        <v/>
      </c>
      <c r="HZ153" s="56">
        <f>IFERROR(IF(($HK153)&gt;0,($HT153)/($HK153),""),"")</f>
        <v/>
      </c>
      <c r="IA153" s="55">
        <f>SUMIFS(tblBudget[Drill_m],tblBudget[Month],$E153)</f>
        <v/>
      </c>
      <c r="IB153" s="55">
        <f>$IA153*$C153/$D153</f>
        <v/>
      </c>
      <c r="IC153" s="55">
        <f>SUMIFS(tblBudget[Drill_m],tblBudget[Month],"&lt;"&amp;$E153)+$IB153</f>
        <v/>
      </c>
      <c r="ID153" s="55">
        <f>SUMIFS(tblBudget[Diesel_L],tblBudget[Month],$E153)</f>
        <v/>
      </c>
      <c r="IE153" s="55">
        <f>$ID153*$C153/$D153</f>
        <v/>
      </c>
      <c r="IF153" s="55">
        <f>SUMIFS(tblBudget[Diesel_L],tblBudget[Month],"&lt;"&amp;$E153)+$IE153</f>
        <v/>
      </c>
      <c r="IG153" s="55">
        <f>SUMIFS(tblBudget[Milled_t],tblBudget[Month],$E153)</f>
        <v/>
      </c>
      <c r="IH153" s="55">
        <f>$IG153*$C153/$D153</f>
        <v/>
      </c>
      <c r="II153" s="55">
        <f>SUMIFS(tblBudget[Milled_t],tblBudget[Month],"&lt;"&amp;$E153)+$IH153</f>
        <v/>
      </c>
      <c r="IJ153" s="55">
        <f>SUMIFS(tblBudget[Feed_oz],tblBudget[Month],$E153)</f>
        <v/>
      </c>
      <c r="IK153" s="55">
        <f>$IJ153*$C153/$D153</f>
        <v/>
      </c>
      <c r="IL153" s="55">
        <f>SUMIFS(tblBudget[Feed_oz],tblBudget[Month],"&lt;"&amp;$E153)+$IK153</f>
        <v/>
      </c>
      <c r="IM153" s="55">
        <f>SUMIFS(tblBudget[Recovered_oz],tblBudget[Month],$E153)</f>
        <v/>
      </c>
      <c r="IN153" s="55">
        <f>$IM153*$C153/$D153</f>
        <v/>
      </c>
      <c r="IO153" s="55">
        <f>SUMIFS(tblBudget[Recovered_oz],tblBudget[Month],"&lt;"&amp;$E153)+$IN153</f>
        <v/>
      </c>
      <c r="IP153" s="56">
        <f>IFERROR(IF(($IG153)&gt;0,($IJ153*cfg_TroyOz)/($IG153),""),"")</f>
        <v/>
      </c>
      <c r="IQ153" s="56">
        <f>IFERROR(IF(($IH153)&gt;0,($IK153*cfg_TroyOz)/($IH153),""),"")</f>
        <v/>
      </c>
      <c r="IR153" s="56">
        <f>IFERROR(IF(($II153)&gt;0,($IL153*cfg_TroyOz)/($II153),""),"")</f>
        <v/>
      </c>
      <c r="IS153" s="67">
        <f>IFERROR(IF(($IJ153)&gt;0,($IM153)/($IJ153),""),"")</f>
        <v/>
      </c>
      <c r="IT153" s="67">
        <f>IFERROR(IF(($IK153)&gt;0,($IN153)/($IK153),""),"")</f>
        <v/>
      </c>
      <c r="IU153" s="67">
        <f>IFERROR(IF(($IL153)&gt;0,($IO153)/($IL153),""),"")</f>
        <v/>
      </c>
      <c r="IV153" s="55">
        <f>SUMIFS(tblBudget[Gold_Poured_oz],tblBudget[Month],$E153)</f>
        <v/>
      </c>
      <c r="IW153" s="55">
        <f>$IV153*$C153/$D153</f>
        <v/>
      </c>
      <c r="IX153" s="55">
        <f>SUMIFS(tblBudget[Gold_Poured_oz],tblBudget[Month],"&lt;"&amp;$E153)+$IW153</f>
        <v/>
      </c>
      <c r="IY153" s="57">
        <f>SUMIFS(tblBudget[Hours_Worked],tblBudget[Month],$E153)</f>
        <v/>
      </c>
      <c r="IZ153" s="57">
        <f>$IY153*$C153/$D153</f>
        <v/>
      </c>
      <c r="JA153" s="57">
        <f>SUMIFS(tblBudget[Hours_Worked],tblBudget[Month],"&lt;"&amp;$E153)+$IZ153</f>
        <v/>
      </c>
    </row>
    <row r="154">
      <c r="A154" s="54" t="n">
        <v>46175</v>
      </c>
      <c r="B154">
        <f>MONTH($A154)</f>
        <v/>
      </c>
      <c r="C154">
        <f>DAY($A154)</f>
        <v/>
      </c>
      <c r="D154">
        <f>DAY(EOMONTH($A154,0))</f>
        <v/>
      </c>
      <c r="E154" s="54">
        <f>DATE(YEAR($A154),MONTH($A154),1)</f>
        <v/>
      </c>
      <c r="F154" s="55">
        <f>SUMIFS(tblMovement[Tonnes_t],tblMovement[Date],$A154,tblMovement[Is_Ore],1,tblMovement[Source_Type],"Pit")</f>
        <v/>
      </c>
      <c r="G154" s="55">
        <f>IF($B154=$B153,$G153,0)+$F154</f>
        <v/>
      </c>
      <c r="H154" s="55">
        <f>$H153+$F154</f>
        <v/>
      </c>
      <c r="I154" s="55">
        <f>SUMIFS(tblMovement[Ore_oz],tblMovement[Date],$A154,tblMovement[Source_Type],"Pit")</f>
        <v/>
      </c>
      <c r="J154" s="55">
        <f>IF($B154=$B153,$J153,0)+$I154</f>
        <v/>
      </c>
      <c r="K154" s="55">
        <f>$K153+$I154</f>
        <v/>
      </c>
      <c r="L154" s="56">
        <f>IFERROR(IF(($F154)&gt;0,($I154*cfg_TroyOz)/($F154),""),"")</f>
        <v/>
      </c>
      <c r="M154" s="56">
        <f>IFERROR(IF(($G154)&gt;0,($J154*cfg_TroyOz)/($G154),""),"")</f>
        <v/>
      </c>
      <c r="N154" s="56">
        <f>IFERROR(IF(($H154)&gt;0,($K154*cfg_TroyOz)/($H154),""),"")</f>
        <v/>
      </c>
      <c r="O154" s="55">
        <f>SUMIFS(tblMovement[Tonnes_t],tblMovement[Date],$A154,tblMovement[Is_Ore],0,tblMovement[Source_Type],"Pit")</f>
        <v/>
      </c>
      <c r="P154" s="55">
        <f>IF($B154=$B153,$P153,0)+$O154</f>
        <v/>
      </c>
      <c r="Q154" s="55">
        <f>$Q153+$O154</f>
        <v/>
      </c>
      <c r="R154" s="55">
        <f>$F154+$O154</f>
        <v/>
      </c>
      <c r="S154" s="55">
        <f>IF($B154=$B153,$S153,0)+$R154</f>
        <v/>
      </c>
      <c r="T154" s="55">
        <f>$T153+$R154</f>
        <v/>
      </c>
      <c r="U154" s="56">
        <f>IFERROR(IF(($F154)&gt;0,($O154)/($F154),""),"")</f>
        <v/>
      </c>
      <c r="V154" s="56">
        <f>IFERROR(IF(($G154)&gt;0,($P154)/($G154),""),"")</f>
        <v/>
      </c>
      <c r="W154" s="56">
        <f>IFERROR(IF(($H154)&gt;0,($Q154)/($H154),""),"")</f>
        <v/>
      </c>
      <c r="X154" s="55">
        <f>SUMIFS(tblMovement[Tonnes_t],tblMovement[Date],$A154,tblMovement[Source_Type],"Stockpile")</f>
        <v/>
      </c>
      <c r="Y154" s="55">
        <f>IF($B154=$B153,$Y153,0)+$X154</f>
        <v/>
      </c>
      <c r="Z154" s="55">
        <f>$Z153+$X154</f>
        <v/>
      </c>
      <c r="AA154" s="55">
        <f>SUMIFS(tblMiningDaily[Drill_m],tblMiningDaily[Date],$A154)</f>
        <v/>
      </c>
      <c r="AB154" s="55">
        <f>IF($B154=$B153,$AB153,0)+$AA154</f>
        <v/>
      </c>
      <c r="AC154" s="55">
        <f>$AC153+$AA154</f>
        <v/>
      </c>
      <c r="AD154" s="55">
        <f>SUMIFS(tblMiningDaily[Blast_t],tblMiningDaily[Date],$A154)</f>
        <v/>
      </c>
      <c r="AE154" s="55">
        <f>IF($B154=$B153,$AE153,0)+$AD154</f>
        <v/>
      </c>
      <c r="AF154" s="55">
        <f>$AF153+$AD154</f>
        <v/>
      </c>
      <c r="AG154" s="55">
        <f>SUMIFS(tblMiningDaily[Explosives_kg],tblMiningDaily[Date],$A154)</f>
        <v/>
      </c>
      <c r="AH154" s="55">
        <f>IF($B154=$B153,$AH153,0)+$AG154</f>
        <v/>
      </c>
      <c r="AI154" s="55">
        <f>$AI153+$AG154</f>
        <v/>
      </c>
      <c r="AJ154" s="56">
        <f>IFERROR(IF(($AD154)&gt;0,($AG154)/($AD154),""),"")</f>
        <v/>
      </c>
      <c r="AK154" s="56">
        <f>IFERROR(IF(($AE154)&gt;0,($AH154)/($AE154),""),"")</f>
        <v/>
      </c>
      <c r="AL154" s="56">
        <f>IFERROR(IF(($AF154)&gt;0,($AI154)/($AF154),""),"")</f>
        <v/>
      </c>
      <c r="AM154" s="55">
        <f>SUMIFS(tblMiningDaily[Diesel_L],tblMiningDaily[Date],$A154)</f>
        <v/>
      </c>
      <c r="AN154" s="55">
        <f>IF($B154=$B153,$AN153,0)+$AM154</f>
        <v/>
      </c>
      <c r="AO154" s="55">
        <f>$AO153+$AM154</f>
        <v/>
      </c>
      <c r="AP154" s="55">
        <f>SUMIFS(tblMiningDaily[Dewatering_m3],tblMiningDaily[Date],$A154)</f>
        <v/>
      </c>
      <c r="AQ154" s="55">
        <f>IF($B154=$B153,$AQ153,0)+$AP154</f>
        <v/>
      </c>
      <c r="AR154" s="55">
        <f>$AR153+$AP154</f>
        <v/>
      </c>
      <c r="AS154" s="57">
        <f>SUMIFS(tblFleet[Calendar_h],tblFleet[Date],$A154,tblFleet[Equipment_Class],"Excavator")</f>
        <v/>
      </c>
      <c r="AT154" s="57">
        <f>IF($B154=$B153,$AT153,0)+$AS154</f>
        <v/>
      </c>
      <c r="AU154" s="57">
        <f>$AU153+$AS154</f>
        <v/>
      </c>
      <c r="AV154" s="57">
        <f>SUMIFS(tblFleet[Available_h],tblFleet[Date],$A154,tblFleet[Equipment_Class],"Excavator")</f>
        <v/>
      </c>
      <c r="AW154" s="57">
        <f>IF($B154=$B153,$AW153,0)+$AV154</f>
        <v/>
      </c>
      <c r="AX154" s="57">
        <f>$AX153+$AV154</f>
        <v/>
      </c>
      <c r="AY154" s="57">
        <f>SUMIFS(tblFleet[Operating_h],tblFleet[Date],$A154,tblFleet[Equipment_Class],"Excavator")</f>
        <v/>
      </c>
      <c r="AZ154" s="57">
        <f>IF($B154=$B153,$AZ153,0)+$AY154</f>
        <v/>
      </c>
      <c r="BA154" s="57">
        <f>$BA153+$AY154</f>
        <v/>
      </c>
      <c r="BB154" s="67">
        <f>IFERROR(IF(($AS154)&gt;0,($AV154)/($AS154),""),"")</f>
        <v/>
      </c>
      <c r="BC154" s="67">
        <f>IFERROR(IF(($AT154)&gt;0,($AW154)/($AT154),""),"")</f>
        <v/>
      </c>
      <c r="BD154" s="67">
        <f>IFERROR(IF(($AU154)&gt;0,($AX154)/($AU154),""),"")</f>
        <v/>
      </c>
      <c r="BE154" s="67">
        <f>IFERROR(IF(($AV154)&gt;0,($AY154)/($AV154),""),"")</f>
        <v/>
      </c>
      <c r="BF154" s="67">
        <f>IFERROR(IF(($AW154)&gt;0,($AZ154)/($AW154),""),"")</f>
        <v/>
      </c>
      <c r="BG154" s="67">
        <f>IFERROR(IF(($AX154)&gt;0,($BA154)/($AX154),""),"")</f>
        <v/>
      </c>
      <c r="BH154" s="57">
        <f>SUMIFS(tblFleet[Calendar_h],tblFleet[Date],$A154,tblFleet[Equipment_Class],"Haul Truck")</f>
        <v/>
      </c>
      <c r="BI154" s="57">
        <f>IF($B154=$B153,$BI153,0)+$BH154</f>
        <v/>
      </c>
      <c r="BJ154" s="57">
        <f>$BJ153+$BH154</f>
        <v/>
      </c>
      <c r="BK154" s="57">
        <f>SUMIFS(tblFleet[Available_h],tblFleet[Date],$A154,tblFleet[Equipment_Class],"Haul Truck")</f>
        <v/>
      </c>
      <c r="BL154" s="57">
        <f>IF($B154=$B153,$BL153,0)+$BK154</f>
        <v/>
      </c>
      <c r="BM154" s="57">
        <f>$BM153+$BK154</f>
        <v/>
      </c>
      <c r="BN154" s="57">
        <f>SUMIFS(tblFleet[Operating_h],tblFleet[Date],$A154,tblFleet[Equipment_Class],"Haul Truck")</f>
        <v/>
      </c>
      <c r="BO154" s="57">
        <f>IF($B154=$B153,$BO153,0)+$BN154</f>
        <v/>
      </c>
      <c r="BP154" s="57">
        <f>$BP153+$BN154</f>
        <v/>
      </c>
      <c r="BQ154" s="67">
        <f>IFERROR(IF(($BH154)&gt;0,($BK154)/($BH154),""),"")</f>
        <v/>
      </c>
      <c r="BR154" s="67">
        <f>IFERROR(IF(($BI154)&gt;0,($BL154)/($BI154),""),"")</f>
        <v/>
      </c>
      <c r="BS154" s="67">
        <f>IFERROR(IF(($BJ154)&gt;0,($BM154)/($BJ154),""),"")</f>
        <v/>
      </c>
      <c r="BT154" s="67">
        <f>IFERROR(IF(($BK154)&gt;0,($BN154)/($BK154),""),"")</f>
        <v/>
      </c>
      <c r="BU154" s="67">
        <f>IFERROR(IF(($BL154)&gt;0,($BO154)/($BL154),""),"")</f>
        <v/>
      </c>
      <c r="BV154" s="67">
        <f>IFERROR(IF(($BM154)&gt;0,($BP154)/($BM154),""),"")</f>
        <v/>
      </c>
      <c r="BW154" s="55">
        <f>SUMIFS(tblPlant[Crushed_t],tblPlant[Date],$A154)</f>
        <v/>
      </c>
      <c r="BX154" s="55">
        <f>IF($B154=$B153,$BX153,0)+$BW154</f>
        <v/>
      </c>
      <c r="BY154" s="55">
        <f>$BY153+$BW154</f>
        <v/>
      </c>
      <c r="BZ154" s="55">
        <f>SUMIFS(tblPlant[Milled_t],tblPlant[Date],$A154)</f>
        <v/>
      </c>
      <c r="CA154" s="55">
        <f>IF($B154=$B153,$CA153,0)+$BZ154</f>
        <v/>
      </c>
      <c r="CB154" s="55">
        <f>$CB153+$BZ154</f>
        <v/>
      </c>
      <c r="CC154" s="55">
        <f>SUMIFS(tblPlant[Feed_oz],tblPlant[Date],$A154)</f>
        <v/>
      </c>
      <c r="CD154" s="55">
        <f>IF($B154=$B153,$CD153,0)+$CC154</f>
        <v/>
      </c>
      <c r="CE154" s="55">
        <f>$CE153+$CC154</f>
        <v/>
      </c>
      <c r="CF154" s="55">
        <f>SUMIFS(tblPlant[Tails_oz],tblPlant[Date],$A154)</f>
        <v/>
      </c>
      <c r="CG154" s="55">
        <f>IF($B154=$B153,$CG153,0)+$CF154</f>
        <v/>
      </c>
      <c r="CH154" s="55">
        <f>$CH153+$CF154</f>
        <v/>
      </c>
      <c r="CI154" s="55">
        <f>SUMIFS(tblPlant[Recovered_oz],tblPlant[Date],$A154)</f>
        <v/>
      </c>
      <c r="CJ154" s="55">
        <f>IF($B154=$B153,$CJ153,0)+$CI154</f>
        <v/>
      </c>
      <c r="CK154" s="55">
        <f>$CK153+$CI154</f>
        <v/>
      </c>
      <c r="CL154" s="56">
        <f>IFERROR(IF(($BZ154)&gt;0,($CC154*cfg_TroyOz)/($BZ154),""),"")</f>
        <v/>
      </c>
      <c r="CM154" s="56">
        <f>IFERROR(IF(($CA154)&gt;0,($CD154*cfg_TroyOz)/($CA154),""),"")</f>
        <v/>
      </c>
      <c r="CN154" s="56">
        <f>IFERROR(IF(($CB154)&gt;0,($CE154*cfg_TroyOz)/($CB154),""),"")</f>
        <v/>
      </c>
      <c r="CO154" s="56">
        <f>IFERROR(IF(($BZ154)&gt;0,($CF154*cfg_TroyOz)/($BZ154),""),"")</f>
        <v/>
      </c>
      <c r="CP154" s="56">
        <f>IFERROR(IF(($CA154)&gt;0,($CG154*cfg_TroyOz)/($CA154),""),"")</f>
        <v/>
      </c>
      <c r="CQ154" s="56">
        <f>IFERROR(IF(($CB154)&gt;0,($CH154*cfg_TroyOz)/($CB154),""),"")</f>
        <v/>
      </c>
      <c r="CR154" s="67">
        <f>IFERROR(IF(($CC154)&gt;0,($CI154)/($CC154),""),"")</f>
        <v/>
      </c>
      <c r="CS154" s="67">
        <f>IFERROR(IF(($CD154)&gt;0,($CJ154)/($CD154),""),"")</f>
        <v/>
      </c>
      <c r="CT154" s="67">
        <f>IFERROR(IF(($CE154)&gt;0,($CK154)/($CE154),""),"")</f>
        <v/>
      </c>
      <c r="CU154" s="55">
        <f>SUMIFS(tblPlant[Gravity_Gold_oz],tblPlant[Date],$A154)</f>
        <v/>
      </c>
      <c r="CV154" s="55">
        <f>IF($B154=$B153,$CV153,0)+$CU154</f>
        <v/>
      </c>
      <c r="CW154" s="55">
        <f>$CW153+$CU154</f>
        <v/>
      </c>
      <c r="CX154" s="55">
        <f>SUMIFS(tblPlant[Gold_Poured_oz],tblPlant[Date],$A154)</f>
        <v/>
      </c>
      <c r="CY154" s="55">
        <f>IF($B154=$B153,$CY153,0)+$CX154</f>
        <v/>
      </c>
      <c r="CZ154" s="55">
        <f>$CZ153+$CX154</f>
        <v/>
      </c>
      <c r="DA154" s="57">
        <f>SUMIFS(tblPlant[Mill_Run_h],tblPlant[Date],$A154)</f>
        <v/>
      </c>
      <c r="DB154" s="57">
        <f>IF($B154=$B153,$DB153,0)+$DA154</f>
        <v/>
      </c>
      <c r="DC154" s="57">
        <f>$DC153+$DA154</f>
        <v/>
      </c>
      <c r="DD154" s="57">
        <f>SUMIFS(tblPlant[Mill_Planned_Maint_h],tblPlant[Date],$A154)</f>
        <v/>
      </c>
      <c r="DE154" s="57">
        <f>IF($B154=$B153,$DE153,0)+$DD154</f>
        <v/>
      </c>
      <c r="DF154" s="57">
        <f>$DF153+$DD154</f>
        <v/>
      </c>
      <c r="DG154" s="57">
        <f>SUMIFS(tblPlant[Mill_Unplanned_Down_h],tblPlant[Date],$A154)</f>
        <v/>
      </c>
      <c r="DH154" s="57">
        <f>IF($B154=$B153,$DH153,0)+$DG154</f>
        <v/>
      </c>
      <c r="DI154" s="57">
        <f>$DI153+$DG154</f>
        <v/>
      </c>
      <c r="DJ154" s="57">
        <f>COUNTIFS(tblPlant[Date],$A154,tblPlant[Mill_Run_h],"&lt;&gt;")*24</f>
        <v/>
      </c>
      <c r="DK154" s="57">
        <f>IF($B154=$B153,$DK153,0)+$DJ154</f>
        <v/>
      </c>
      <c r="DL154" s="57">
        <f>$DL153+$DJ154</f>
        <v/>
      </c>
      <c r="DM154" s="57">
        <f>SUMIFS(tblPlant[Crusher_Run_h],tblPlant[Date],$A154)</f>
        <v/>
      </c>
      <c r="DN154" s="57">
        <f>IF($B154=$B153,$DN153,0)+$DM154</f>
        <v/>
      </c>
      <c r="DO154" s="57">
        <f>$DO153+$DM154</f>
        <v/>
      </c>
      <c r="DP154" s="55">
        <f>IFERROR(IF(($DA154)&gt;0,($BZ154)/($DA154),""),"")</f>
        <v/>
      </c>
      <c r="DQ154" s="55">
        <f>IFERROR(IF(($DB154)&gt;0,($CA154)/($DB154),""),"")</f>
        <v/>
      </c>
      <c r="DR154" s="55">
        <f>IFERROR(IF(($DC154)&gt;0,($CB154)/($DC154),""),"")</f>
        <v/>
      </c>
      <c r="DS154" s="67">
        <f>IFERROR(IF(($DJ154)&gt;0,($DJ154-$DD154-$DG154)/($DJ154),""),"")</f>
        <v/>
      </c>
      <c r="DT154" s="67">
        <f>IFERROR(IF(($DK154)&gt;0,($DK154-$DE154-$DH154)/($DK154),""),"")</f>
        <v/>
      </c>
      <c r="DU154" s="67">
        <f>IFERROR(IF(($DL154)&gt;0,($DL154-$DF154-$DI154)/($DL154),""),"")</f>
        <v/>
      </c>
      <c r="DV154" s="67">
        <f>IFERROR(IF(($DJ154-$DD154-$DG154)&gt;0,($DA154)/($DJ154-$DD154-$DG154),""),"")</f>
        <v/>
      </c>
      <c r="DW154" s="67">
        <f>IFERROR(IF(($DK154-$DE154-$DH154)&gt;0,($DB154)/($DK154-$DE154-$DH154),""),"")</f>
        <v/>
      </c>
      <c r="DX154" s="67">
        <f>IFERROR(IF(($DL154-$DF154-$DI154)&gt;0,($DC154)/($DL154-$DF154-$DI154),""),"")</f>
        <v/>
      </c>
      <c r="DY154" s="55">
        <f>SUMIFS(tblPlant[Cyanide_kg],tblPlant[Date],$A154)</f>
        <v/>
      </c>
      <c r="DZ154" s="55">
        <f>IF($B154=$B153,$DZ153,0)+$DY154</f>
        <v/>
      </c>
      <c r="EA154" s="55">
        <f>$EA153+$DY154</f>
        <v/>
      </c>
      <c r="EB154" s="55">
        <f>SUMIFS(tblPlant[Lime_kg],tblPlant[Date],$A154)</f>
        <v/>
      </c>
      <c r="EC154" s="55">
        <f>IF($B154=$B153,$EC153,0)+$EB154</f>
        <v/>
      </c>
      <c r="ED154" s="55">
        <f>$ED153+$EB154</f>
        <v/>
      </c>
      <c r="EE154" s="55">
        <f>SUMIFS(tblPlant[Grinding_Media_kg],tblPlant[Date],$A154)</f>
        <v/>
      </c>
      <c r="EF154" s="55">
        <f>IF($B154=$B153,$EF153,0)+$EE154</f>
        <v/>
      </c>
      <c r="EG154" s="55">
        <f>$EG153+$EE154</f>
        <v/>
      </c>
      <c r="EH154" s="55">
        <f>SUMIFS(tblPlant[Power_kWh],tblPlant[Date],$A154)</f>
        <v/>
      </c>
      <c r="EI154" s="55">
        <f>IF($B154=$B153,$EI153,0)+$EH154</f>
        <v/>
      </c>
      <c r="EJ154" s="55">
        <f>$EJ153+$EH154</f>
        <v/>
      </c>
      <c r="EK154" s="55">
        <f>SUMIFS(tblPlant[Raw_Water_m3],tblPlant[Date],$A154)</f>
        <v/>
      </c>
      <c r="EL154" s="55">
        <f>IF($B154=$B153,$EL153,0)+$EK154</f>
        <v/>
      </c>
      <c r="EM154" s="55">
        <f>$EM153+$EK154</f>
        <v/>
      </c>
      <c r="EN154" s="56">
        <f>IFERROR(IF(($BZ154)&gt;0,($DY154)/($BZ154),""),"")</f>
        <v/>
      </c>
      <c r="EO154" s="56">
        <f>IFERROR(IF(($CA154)&gt;0,($DZ154)/($CA154),""),"")</f>
        <v/>
      </c>
      <c r="EP154" s="56">
        <f>IFERROR(IF(($CB154)&gt;0,($EA154)/($CB154),""),"")</f>
        <v/>
      </c>
      <c r="EQ154" s="56">
        <f>IFERROR(IF(($BZ154)&gt;0,($EB154)/($BZ154),""),"")</f>
        <v/>
      </c>
      <c r="ER154" s="56">
        <f>IFERROR(IF(($CA154)&gt;0,($EC154)/($CA154),""),"")</f>
        <v/>
      </c>
      <c r="ES154" s="56">
        <f>IFERROR(IF(($CB154)&gt;0,($ED154)/($CB154),""),"")</f>
        <v/>
      </c>
      <c r="ET154" s="56">
        <f>IFERROR(IF(($BZ154)&gt;0,($EE154)/($BZ154),""),"")</f>
        <v/>
      </c>
      <c r="EU154" s="56">
        <f>IFERROR(IF(($CA154)&gt;0,($EF154)/($CA154),""),"")</f>
        <v/>
      </c>
      <c r="EV154" s="56">
        <f>IFERROR(IF(($CB154)&gt;0,($EG154)/($CB154),""),"")</f>
        <v/>
      </c>
      <c r="EW154" s="76">
        <f>IFERROR(IF(($BZ154)&gt;0,($EH154)/($BZ154),""),"")</f>
        <v/>
      </c>
      <c r="EX154" s="76">
        <f>IFERROR(IF(($CA154)&gt;0,($EI154)/($CA154),""),"")</f>
        <v/>
      </c>
      <c r="EY154" s="76">
        <f>IFERROR(IF(($CB154)&gt;0,($EJ154)/($CB154),""),"")</f>
        <v/>
      </c>
      <c r="EZ154" s="56">
        <f>IFERROR(IF(($BZ154)&gt;0,($EK154)/($BZ154),""),"")</f>
        <v/>
      </c>
      <c r="FA154" s="56">
        <f>IFERROR(IF(($CA154)&gt;0,($EL154)/($CA154),""),"")</f>
        <v/>
      </c>
      <c r="FB154" s="56">
        <f>IFERROR(IF(($CB154)&gt;0,($EM154)/($CB154),""),"")</f>
        <v/>
      </c>
      <c r="FC154" s="55">
        <f>IF(SUMIFS(tblPlant[GIC_oz],tblPlant[Date],$A154)&gt;0,SUMIFS(tblPlant[GIC_oz],tblPlant[Date],$A154),"")</f>
        <v/>
      </c>
      <c r="FD154" s="55">
        <f>SUMIFS(tblGold[Gold_oz],tblGold[Date],$A154,tblGold[Type],"Shipment")</f>
        <v/>
      </c>
      <c r="FE154" s="55">
        <f>IF($B154=$B153,$FE153,0)+$FD154</f>
        <v/>
      </c>
      <c r="FF154" s="55">
        <f>$FF153+$FD154</f>
        <v/>
      </c>
      <c r="FG154" s="55">
        <f>SUMIFS(tblGold[Gold_oz],tblGold[Date],$A154,tblGold[Type],"Sale")</f>
        <v/>
      </c>
      <c r="FH154" s="55">
        <f>IF($B154=$B153,$FH153,0)+$FG154</f>
        <v/>
      </c>
      <c r="FI154" s="55">
        <f>$FI153+$FG154</f>
        <v/>
      </c>
      <c r="FJ154" s="55">
        <f>SUMIFS(tblGold[Dore_kg],tblGold[Date],$A154,tblGold[Type],"Shipment")</f>
        <v/>
      </c>
      <c r="FK154" s="55">
        <f>IF($B154=$B153,$FK153,0)+$FJ154</f>
        <v/>
      </c>
      <c r="FL154" s="55">
        <f>$FL153+$FJ154</f>
        <v/>
      </c>
      <c r="FM154" s="57">
        <f>SUMIFS(tblSafety[Hours_Total],tblSafety[Date],$A154)</f>
        <v/>
      </c>
      <c r="FN154" s="57">
        <f>IF($B154=$B153,$FN153,0)+$FM154</f>
        <v/>
      </c>
      <c r="FO154" s="57">
        <f>$FO153+$FM154</f>
        <v/>
      </c>
      <c r="FP154" s="62">
        <f>SUMIFS(tblSafety[Fatality],tblSafety[Date],$A154)</f>
        <v/>
      </c>
      <c r="FQ154" s="62">
        <f>IF($B154=$B153,$FQ153,0)+$FP154</f>
        <v/>
      </c>
      <c r="FR154" s="62">
        <f>$FR153+$FP154</f>
        <v/>
      </c>
      <c r="FS154" s="62">
        <f>SUMIFS(tblSafety[LTI],tblSafety[Date],$A154)</f>
        <v/>
      </c>
      <c r="FT154" s="62">
        <f>IF($B154=$B153,$FT153,0)+$FS154</f>
        <v/>
      </c>
      <c r="FU154" s="62">
        <f>$FU153+$FS154</f>
        <v/>
      </c>
      <c r="FV154" s="62">
        <f>SUMIFS(tblSafety[RWI],tblSafety[Date],$A154)</f>
        <v/>
      </c>
      <c r="FW154" s="62">
        <f>IF($B154=$B153,$FW153,0)+$FV154</f>
        <v/>
      </c>
      <c r="FX154" s="62">
        <f>$FX153+$FV154</f>
        <v/>
      </c>
      <c r="FY154" s="62">
        <f>SUMIFS(tblSafety[MTI],tblSafety[Date],$A154)</f>
        <v/>
      </c>
      <c r="FZ154" s="62">
        <f>IF($B154=$B153,$FZ153,0)+$FY154</f>
        <v/>
      </c>
      <c r="GA154" s="62">
        <f>$GA153+$FY154</f>
        <v/>
      </c>
      <c r="GB154" s="62">
        <f>SUMIFS(tblSafety[FAI],tblSafety[Date],$A154)</f>
        <v/>
      </c>
      <c r="GC154" s="62">
        <f>IF($B154=$B153,$GC153,0)+$GB154</f>
        <v/>
      </c>
      <c r="GD154" s="62">
        <f>$GD153+$GB154</f>
        <v/>
      </c>
      <c r="GE154" s="62">
        <f>SUMIFS(tblSafety[Recordables],tblSafety[Date],$A154)</f>
        <v/>
      </c>
      <c r="GF154" s="62">
        <f>IF($B154=$B153,$GF153,0)+$GE154</f>
        <v/>
      </c>
      <c r="GG154" s="62">
        <f>$GG153+$GE154</f>
        <v/>
      </c>
      <c r="GH154" s="62">
        <f>SUMIFS(tblSafety[Near_Miss],tblSafety[Date],$A154)</f>
        <v/>
      </c>
      <c r="GI154" s="62">
        <f>IF($B154=$B153,$GI153,0)+$GH154</f>
        <v/>
      </c>
      <c r="GJ154" s="62">
        <f>$GJ153+$GH154</f>
        <v/>
      </c>
      <c r="GK154" s="62">
        <f>SUMIFS(tblSafety[Hazard_Reports],tblSafety[Date],$A154)</f>
        <v/>
      </c>
      <c r="GL154" s="62">
        <f>IF($B154=$B153,$GL153,0)+$GK154</f>
        <v/>
      </c>
      <c r="GM154" s="62">
        <f>$GM153+$GK154</f>
        <v/>
      </c>
      <c r="GN154" s="62">
        <f>SUMIFS(tblSafety[HPI],tblSafety[Date],$A154)</f>
        <v/>
      </c>
      <c r="GO154" s="62">
        <f>IF($B154=$B153,$GO153,0)+$GN154</f>
        <v/>
      </c>
      <c r="GP154" s="62">
        <f>$GP153+$GN154</f>
        <v/>
      </c>
      <c r="GQ154" s="62">
        <f>SUMIFS(tblSafety[Env_Incidents],tblSafety[Date],$A154)</f>
        <v/>
      </c>
      <c r="GR154" s="62">
        <f>IF($B154=$B153,$GR153,0)+$GQ154</f>
        <v/>
      </c>
      <c r="GS154" s="62">
        <f>$GS153+$GQ154</f>
        <v/>
      </c>
      <c r="GT154" s="62">
        <f>SUMIFS(tblSafety[Community_Incidents],tblSafety[Date],$A154)</f>
        <v/>
      </c>
      <c r="GU154" s="62">
        <f>IF($B154=$B153,$GU153,0)+$GT154</f>
        <v/>
      </c>
      <c r="GV154" s="62">
        <f>$GV153+$GT154</f>
        <v/>
      </c>
      <c r="GW154" s="62">
        <f>SUMIFS(tblSafety[Vehicle_Incidents],tblSafety[Date],$A154)</f>
        <v/>
      </c>
      <c r="GX154" s="62">
        <f>IF($B154=$B153,$GX153,0)+$GW154</f>
        <v/>
      </c>
      <c r="GY154" s="62">
        <f>$GY153+$GW154</f>
        <v/>
      </c>
      <c r="GZ154" s="62">
        <f>SUMIFS(tblSafety[Toolbox_Talks],tblSafety[Date],$A154)</f>
        <v/>
      </c>
      <c r="HA154" s="62">
        <f>IF($B154=$B153,$HA153,0)+$GZ154</f>
        <v/>
      </c>
      <c r="HB154" s="62">
        <f>$HB153+$GZ154</f>
        <v/>
      </c>
      <c r="HC154" s="62">
        <f>SUMIFS(tblSafety[Inspections],tblSafety[Date],$A154)</f>
        <v/>
      </c>
      <c r="HD154" s="62">
        <f>IF($B154=$B153,$HD153,0)+$HC154</f>
        <v/>
      </c>
      <c r="HE154" s="62">
        <f>$HE153+$HC154</f>
        <v/>
      </c>
      <c r="HF154" s="56">
        <f>IFERROR((SUMIFS(tblSafety[Recordables],tblSafety[Date],"&gt;="&amp;EDATE($E154,-12),tblSafety[Date],"&lt;="&amp;$A154)+SUMIFS(tblSafetyHistory[Recordables],tblSafetyHistory[Month],"&gt;="&amp;EDATE($E154,-12),tblSafetyHistory[Month],"&lt;"&amp;cfg_YearStart))/(SUMIFS(tblSafety[Hours_Total],tblSafety[Date],"&gt;="&amp;EDATE($E154,-12),tblSafety[Date],"&lt;="&amp;$A154)+SUMIFS(tblSafetyHistory[Hours_Total],tblSafetyHistory[Month],"&gt;="&amp;EDATE($E154,-12),tblSafetyHistory[Month],"&lt;"&amp;cfg_YearStart))*1000000,"")</f>
        <v/>
      </c>
      <c r="HG154" s="56">
        <f>IFERROR((SUMIFS(tblSafety[LTI],tblSafety[Date],"&gt;="&amp;EDATE($E154,-12),tblSafety[Date],"&lt;="&amp;$A154)+SUMIFS(tblSafetyHistory[LTI],tblSafetyHistory[Month],"&gt;="&amp;EDATE($E154,-12),tblSafetyHistory[Month],"&lt;"&amp;cfg_YearStart))/(SUMIFS(tblSafety[Hours_Total],tblSafety[Date],"&gt;="&amp;EDATE($E154,-12),tblSafety[Date],"&lt;="&amp;$A154)+SUMIFS(tblSafetyHistory[Hours_Total],tblSafetyHistory[Month],"&gt;="&amp;EDATE($E154,-12),tblSafetyHistory[Month],"&lt;"&amp;cfg_YearStart))*1000000,"")</f>
        <v/>
      </c>
      <c r="HH154" s="62">
        <f>IF(MAX(N(cfg_PriorLTIDate),_xlfn.MAXIFS(tblSafety[Date],tblSafety[LTI],"&gt;0",tblSafety[Date],"&lt;="&amp;$A154))=0,"",$A154-MAX(N(cfg_PriorLTIDate),_xlfn.MAXIFS(tblSafety[Date],tblSafety[LTI],"&gt;0",tblSafety[Date],"&lt;="&amp;$A154)))</f>
        <v/>
      </c>
      <c r="HI154" s="55">
        <f>SUMIFS(tblBudget[Ore_Mined_t],tblBudget[Month],$E154)</f>
        <v/>
      </c>
      <c r="HJ154" s="55">
        <f>$HI154*$C154/$D154</f>
        <v/>
      </c>
      <c r="HK154" s="55">
        <f>SUMIFS(tblBudget[Ore_Mined_t],tblBudget[Month],"&lt;"&amp;$E154)+$HJ154</f>
        <v/>
      </c>
      <c r="HL154" s="55">
        <f>SUMIFS(tblBudget[Ore_oz],tblBudget[Month],$E154)</f>
        <v/>
      </c>
      <c r="HM154" s="55">
        <f>$HL154*$C154/$D154</f>
        <v/>
      </c>
      <c r="HN154" s="55">
        <f>SUMIFS(tblBudget[Ore_oz],tblBudget[Month],"&lt;"&amp;$E154)+$HM154</f>
        <v/>
      </c>
      <c r="HO154" s="56">
        <f>IFERROR(IF(($HI154)&gt;0,($HL154*cfg_TroyOz)/($HI154),""),"")</f>
        <v/>
      </c>
      <c r="HP154" s="56">
        <f>IFERROR(IF(($HJ154)&gt;0,($HM154*cfg_TroyOz)/($HJ154),""),"")</f>
        <v/>
      </c>
      <c r="HQ154" s="56">
        <f>IFERROR(IF(($HK154)&gt;0,($HN154*cfg_TroyOz)/($HK154),""),"")</f>
        <v/>
      </c>
      <c r="HR154" s="55">
        <f>SUMIFS(tblBudget[Waste_t],tblBudget[Month],$E154)</f>
        <v/>
      </c>
      <c r="HS154" s="55">
        <f>$HR154*$C154/$D154</f>
        <v/>
      </c>
      <c r="HT154" s="55">
        <f>SUMIFS(tblBudget[Waste_t],tblBudget[Month],"&lt;"&amp;$E154)+$HS154</f>
        <v/>
      </c>
      <c r="HU154" s="55">
        <f>SUMIFS(tblBudget[TMM_t],tblBudget[Month],$E154)</f>
        <v/>
      </c>
      <c r="HV154" s="55">
        <f>$HU154*$C154/$D154</f>
        <v/>
      </c>
      <c r="HW154" s="55">
        <f>SUMIFS(tblBudget[TMM_t],tblBudget[Month],"&lt;"&amp;$E154)+$HV154</f>
        <v/>
      </c>
      <c r="HX154" s="56">
        <f>IFERROR(IF(($HI154)&gt;0,($HR154)/($HI154),""),"")</f>
        <v/>
      </c>
      <c r="HY154" s="56">
        <f>IFERROR(IF(($HJ154)&gt;0,($HS154)/($HJ154),""),"")</f>
        <v/>
      </c>
      <c r="HZ154" s="56">
        <f>IFERROR(IF(($HK154)&gt;0,($HT154)/($HK154),""),"")</f>
        <v/>
      </c>
      <c r="IA154" s="55">
        <f>SUMIFS(tblBudget[Drill_m],tblBudget[Month],$E154)</f>
        <v/>
      </c>
      <c r="IB154" s="55">
        <f>$IA154*$C154/$D154</f>
        <v/>
      </c>
      <c r="IC154" s="55">
        <f>SUMIFS(tblBudget[Drill_m],tblBudget[Month],"&lt;"&amp;$E154)+$IB154</f>
        <v/>
      </c>
      <c r="ID154" s="55">
        <f>SUMIFS(tblBudget[Diesel_L],tblBudget[Month],$E154)</f>
        <v/>
      </c>
      <c r="IE154" s="55">
        <f>$ID154*$C154/$D154</f>
        <v/>
      </c>
      <c r="IF154" s="55">
        <f>SUMIFS(tblBudget[Diesel_L],tblBudget[Month],"&lt;"&amp;$E154)+$IE154</f>
        <v/>
      </c>
      <c r="IG154" s="55">
        <f>SUMIFS(tblBudget[Milled_t],tblBudget[Month],$E154)</f>
        <v/>
      </c>
      <c r="IH154" s="55">
        <f>$IG154*$C154/$D154</f>
        <v/>
      </c>
      <c r="II154" s="55">
        <f>SUMIFS(tblBudget[Milled_t],tblBudget[Month],"&lt;"&amp;$E154)+$IH154</f>
        <v/>
      </c>
      <c r="IJ154" s="55">
        <f>SUMIFS(tblBudget[Feed_oz],tblBudget[Month],$E154)</f>
        <v/>
      </c>
      <c r="IK154" s="55">
        <f>$IJ154*$C154/$D154</f>
        <v/>
      </c>
      <c r="IL154" s="55">
        <f>SUMIFS(tblBudget[Feed_oz],tblBudget[Month],"&lt;"&amp;$E154)+$IK154</f>
        <v/>
      </c>
      <c r="IM154" s="55">
        <f>SUMIFS(tblBudget[Recovered_oz],tblBudget[Month],$E154)</f>
        <v/>
      </c>
      <c r="IN154" s="55">
        <f>$IM154*$C154/$D154</f>
        <v/>
      </c>
      <c r="IO154" s="55">
        <f>SUMIFS(tblBudget[Recovered_oz],tblBudget[Month],"&lt;"&amp;$E154)+$IN154</f>
        <v/>
      </c>
      <c r="IP154" s="56">
        <f>IFERROR(IF(($IG154)&gt;0,($IJ154*cfg_TroyOz)/($IG154),""),"")</f>
        <v/>
      </c>
      <c r="IQ154" s="56">
        <f>IFERROR(IF(($IH154)&gt;0,($IK154*cfg_TroyOz)/($IH154),""),"")</f>
        <v/>
      </c>
      <c r="IR154" s="56">
        <f>IFERROR(IF(($II154)&gt;0,($IL154*cfg_TroyOz)/($II154),""),"")</f>
        <v/>
      </c>
      <c r="IS154" s="67">
        <f>IFERROR(IF(($IJ154)&gt;0,($IM154)/($IJ154),""),"")</f>
        <v/>
      </c>
      <c r="IT154" s="67">
        <f>IFERROR(IF(($IK154)&gt;0,($IN154)/($IK154),""),"")</f>
        <v/>
      </c>
      <c r="IU154" s="67">
        <f>IFERROR(IF(($IL154)&gt;0,($IO154)/($IL154),""),"")</f>
        <v/>
      </c>
      <c r="IV154" s="55">
        <f>SUMIFS(tblBudget[Gold_Poured_oz],tblBudget[Month],$E154)</f>
        <v/>
      </c>
      <c r="IW154" s="55">
        <f>$IV154*$C154/$D154</f>
        <v/>
      </c>
      <c r="IX154" s="55">
        <f>SUMIFS(tblBudget[Gold_Poured_oz],tblBudget[Month],"&lt;"&amp;$E154)+$IW154</f>
        <v/>
      </c>
      <c r="IY154" s="57">
        <f>SUMIFS(tblBudget[Hours_Worked],tblBudget[Month],$E154)</f>
        <v/>
      </c>
      <c r="IZ154" s="57">
        <f>$IY154*$C154/$D154</f>
        <v/>
      </c>
      <c r="JA154" s="57">
        <f>SUMIFS(tblBudget[Hours_Worked],tblBudget[Month],"&lt;"&amp;$E154)+$IZ154</f>
        <v/>
      </c>
    </row>
    <row r="155">
      <c r="A155" s="54" t="n">
        <v>46176</v>
      </c>
      <c r="B155">
        <f>MONTH($A155)</f>
        <v/>
      </c>
      <c r="C155">
        <f>DAY($A155)</f>
        <v/>
      </c>
      <c r="D155">
        <f>DAY(EOMONTH($A155,0))</f>
        <v/>
      </c>
      <c r="E155" s="54">
        <f>DATE(YEAR($A155),MONTH($A155),1)</f>
        <v/>
      </c>
      <c r="F155" s="55">
        <f>SUMIFS(tblMovement[Tonnes_t],tblMovement[Date],$A155,tblMovement[Is_Ore],1,tblMovement[Source_Type],"Pit")</f>
        <v/>
      </c>
      <c r="G155" s="55">
        <f>IF($B155=$B154,$G154,0)+$F155</f>
        <v/>
      </c>
      <c r="H155" s="55">
        <f>$H154+$F155</f>
        <v/>
      </c>
      <c r="I155" s="55">
        <f>SUMIFS(tblMovement[Ore_oz],tblMovement[Date],$A155,tblMovement[Source_Type],"Pit")</f>
        <v/>
      </c>
      <c r="J155" s="55">
        <f>IF($B155=$B154,$J154,0)+$I155</f>
        <v/>
      </c>
      <c r="K155" s="55">
        <f>$K154+$I155</f>
        <v/>
      </c>
      <c r="L155" s="56">
        <f>IFERROR(IF(($F155)&gt;0,($I155*cfg_TroyOz)/($F155),""),"")</f>
        <v/>
      </c>
      <c r="M155" s="56">
        <f>IFERROR(IF(($G155)&gt;0,($J155*cfg_TroyOz)/($G155),""),"")</f>
        <v/>
      </c>
      <c r="N155" s="56">
        <f>IFERROR(IF(($H155)&gt;0,($K155*cfg_TroyOz)/($H155),""),"")</f>
        <v/>
      </c>
      <c r="O155" s="55">
        <f>SUMIFS(tblMovement[Tonnes_t],tblMovement[Date],$A155,tblMovement[Is_Ore],0,tblMovement[Source_Type],"Pit")</f>
        <v/>
      </c>
      <c r="P155" s="55">
        <f>IF($B155=$B154,$P154,0)+$O155</f>
        <v/>
      </c>
      <c r="Q155" s="55">
        <f>$Q154+$O155</f>
        <v/>
      </c>
      <c r="R155" s="55">
        <f>$F155+$O155</f>
        <v/>
      </c>
      <c r="S155" s="55">
        <f>IF($B155=$B154,$S154,0)+$R155</f>
        <v/>
      </c>
      <c r="T155" s="55">
        <f>$T154+$R155</f>
        <v/>
      </c>
      <c r="U155" s="56">
        <f>IFERROR(IF(($F155)&gt;0,($O155)/($F155),""),"")</f>
        <v/>
      </c>
      <c r="V155" s="56">
        <f>IFERROR(IF(($G155)&gt;0,($P155)/($G155),""),"")</f>
        <v/>
      </c>
      <c r="W155" s="56">
        <f>IFERROR(IF(($H155)&gt;0,($Q155)/($H155),""),"")</f>
        <v/>
      </c>
      <c r="X155" s="55">
        <f>SUMIFS(tblMovement[Tonnes_t],tblMovement[Date],$A155,tblMovement[Source_Type],"Stockpile")</f>
        <v/>
      </c>
      <c r="Y155" s="55">
        <f>IF($B155=$B154,$Y154,0)+$X155</f>
        <v/>
      </c>
      <c r="Z155" s="55">
        <f>$Z154+$X155</f>
        <v/>
      </c>
      <c r="AA155" s="55">
        <f>SUMIFS(tblMiningDaily[Drill_m],tblMiningDaily[Date],$A155)</f>
        <v/>
      </c>
      <c r="AB155" s="55">
        <f>IF($B155=$B154,$AB154,0)+$AA155</f>
        <v/>
      </c>
      <c r="AC155" s="55">
        <f>$AC154+$AA155</f>
        <v/>
      </c>
      <c r="AD155" s="55">
        <f>SUMIFS(tblMiningDaily[Blast_t],tblMiningDaily[Date],$A155)</f>
        <v/>
      </c>
      <c r="AE155" s="55">
        <f>IF($B155=$B154,$AE154,0)+$AD155</f>
        <v/>
      </c>
      <c r="AF155" s="55">
        <f>$AF154+$AD155</f>
        <v/>
      </c>
      <c r="AG155" s="55">
        <f>SUMIFS(tblMiningDaily[Explosives_kg],tblMiningDaily[Date],$A155)</f>
        <v/>
      </c>
      <c r="AH155" s="55">
        <f>IF($B155=$B154,$AH154,0)+$AG155</f>
        <v/>
      </c>
      <c r="AI155" s="55">
        <f>$AI154+$AG155</f>
        <v/>
      </c>
      <c r="AJ155" s="56">
        <f>IFERROR(IF(($AD155)&gt;0,($AG155)/($AD155),""),"")</f>
        <v/>
      </c>
      <c r="AK155" s="56">
        <f>IFERROR(IF(($AE155)&gt;0,($AH155)/($AE155),""),"")</f>
        <v/>
      </c>
      <c r="AL155" s="56">
        <f>IFERROR(IF(($AF155)&gt;0,($AI155)/($AF155),""),"")</f>
        <v/>
      </c>
      <c r="AM155" s="55">
        <f>SUMIFS(tblMiningDaily[Diesel_L],tblMiningDaily[Date],$A155)</f>
        <v/>
      </c>
      <c r="AN155" s="55">
        <f>IF($B155=$B154,$AN154,0)+$AM155</f>
        <v/>
      </c>
      <c r="AO155" s="55">
        <f>$AO154+$AM155</f>
        <v/>
      </c>
      <c r="AP155" s="55">
        <f>SUMIFS(tblMiningDaily[Dewatering_m3],tblMiningDaily[Date],$A155)</f>
        <v/>
      </c>
      <c r="AQ155" s="55">
        <f>IF($B155=$B154,$AQ154,0)+$AP155</f>
        <v/>
      </c>
      <c r="AR155" s="55">
        <f>$AR154+$AP155</f>
        <v/>
      </c>
      <c r="AS155" s="57">
        <f>SUMIFS(tblFleet[Calendar_h],tblFleet[Date],$A155,tblFleet[Equipment_Class],"Excavator")</f>
        <v/>
      </c>
      <c r="AT155" s="57">
        <f>IF($B155=$B154,$AT154,0)+$AS155</f>
        <v/>
      </c>
      <c r="AU155" s="57">
        <f>$AU154+$AS155</f>
        <v/>
      </c>
      <c r="AV155" s="57">
        <f>SUMIFS(tblFleet[Available_h],tblFleet[Date],$A155,tblFleet[Equipment_Class],"Excavator")</f>
        <v/>
      </c>
      <c r="AW155" s="57">
        <f>IF($B155=$B154,$AW154,0)+$AV155</f>
        <v/>
      </c>
      <c r="AX155" s="57">
        <f>$AX154+$AV155</f>
        <v/>
      </c>
      <c r="AY155" s="57">
        <f>SUMIFS(tblFleet[Operating_h],tblFleet[Date],$A155,tblFleet[Equipment_Class],"Excavator")</f>
        <v/>
      </c>
      <c r="AZ155" s="57">
        <f>IF($B155=$B154,$AZ154,0)+$AY155</f>
        <v/>
      </c>
      <c r="BA155" s="57">
        <f>$BA154+$AY155</f>
        <v/>
      </c>
      <c r="BB155" s="67">
        <f>IFERROR(IF(($AS155)&gt;0,($AV155)/($AS155),""),"")</f>
        <v/>
      </c>
      <c r="BC155" s="67">
        <f>IFERROR(IF(($AT155)&gt;0,($AW155)/($AT155),""),"")</f>
        <v/>
      </c>
      <c r="BD155" s="67">
        <f>IFERROR(IF(($AU155)&gt;0,($AX155)/($AU155),""),"")</f>
        <v/>
      </c>
      <c r="BE155" s="67">
        <f>IFERROR(IF(($AV155)&gt;0,($AY155)/($AV155),""),"")</f>
        <v/>
      </c>
      <c r="BF155" s="67">
        <f>IFERROR(IF(($AW155)&gt;0,($AZ155)/($AW155),""),"")</f>
        <v/>
      </c>
      <c r="BG155" s="67">
        <f>IFERROR(IF(($AX155)&gt;0,($BA155)/($AX155),""),"")</f>
        <v/>
      </c>
      <c r="BH155" s="57">
        <f>SUMIFS(tblFleet[Calendar_h],tblFleet[Date],$A155,tblFleet[Equipment_Class],"Haul Truck")</f>
        <v/>
      </c>
      <c r="BI155" s="57">
        <f>IF($B155=$B154,$BI154,0)+$BH155</f>
        <v/>
      </c>
      <c r="BJ155" s="57">
        <f>$BJ154+$BH155</f>
        <v/>
      </c>
      <c r="BK155" s="57">
        <f>SUMIFS(tblFleet[Available_h],tblFleet[Date],$A155,tblFleet[Equipment_Class],"Haul Truck")</f>
        <v/>
      </c>
      <c r="BL155" s="57">
        <f>IF($B155=$B154,$BL154,0)+$BK155</f>
        <v/>
      </c>
      <c r="BM155" s="57">
        <f>$BM154+$BK155</f>
        <v/>
      </c>
      <c r="BN155" s="57">
        <f>SUMIFS(tblFleet[Operating_h],tblFleet[Date],$A155,tblFleet[Equipment_Class],"Haul Truck")</f>
        <v/>
      </c>
      <c r="BO155" s="57">
        <f>IF($B155=$B154,$BO154,0)+$BN155</f>
        <v/>
      </c>
      <c r="BP155" s="57">
        <f>$BP154+$BN155</f>
        <v/>
      </c>
      <c r="BQ155" s="67">
        <f>IFERROR(IF(($BH155)&gt;0,($BK155)/($BH155),""),"")</f>
        <v/>
      </c>
      <c r="BR155" s="67">
        <f>IFERROR(IF(($BI155)&gt;0,($BL155)/($BI155),""),"")</f>
        <v/>
      </c>
      <c r="BS155" s="67">
        <f>IFERROR(IF(($BJ155)&gt;0,($BM155)/($BJ155),""),"")</f>
        <v/>
      </c>
      <c r="BT155" s="67">
        <f>IFERROR(IF(($BK155)&gt;0,($BN155)/($BK155),""),"")</f>
        <v/>
      </c>
      <c r="BU155" s="67">
        <f>IFERROR(IF(($BL155)&gt;0,($BO155)/($BL155),""),"")</f>
        <v/>
      </c>
      <c r="BV155" s="67">
        <f>IFERROR(IF(($BM155)&gt;0,($BP155)/($BM155),""),"")</f>
        <v/>
      </c>
      <c r="BW155" s="55">
        <f>SUMIFS(tblPlant[Crushed_t],tblPlant[Date],$A155)</f>
        <v/>
      </c>
      <c r="BX155" s="55">
        <f>IF($B155=$B154,$BX154,0)+$BW155</f>
        <v/>
      </c>
      <c r="BY155" s="55">
        <f>$BY154+$BW155</f>
        <v/>
      </c>
      <c r="BZ155" s="55">
        <f>SUMIFS(tblPlant[Milled_t],tblPlant[Date],$A155)</f>
        <v/>
      </c>
      <c r="CA155" s="55">
        <f>IF($B155=$B154,$CA154,0)+$BZ155</f>
        <v/>
      </c>
      <c r="CB155" s="55">
        <f>$CB154+$BZ155</f>
        <v/>
      </c>
      <c r="CC155" s="55">
        <f>SUMIFS(tblPlant[Feed_oz],tblPlant[Date],$A155)</f>
        <v/>
      </c>
      <c r="CD155" s="55">
        <f>IF($B155=$B154,$CD154,0)+$CC155</f>
        <v/>
      </c>
      <c r="CE155" s="55">
        <f>$CE154+$CC155</f>
        <v/>
      </c>
      <c r="CF155" s="55">
        <f>SUMIFS(tblPlant[Tails_oz],tblPlant[Date],$A155)</f>
        <v/>
      </c>
      <c r="CG155" s="55">
        <f>IF($B155=$B154,$CG154,0)+$CF155</f>
        <v/>
      </c>
      <c r="CH155" s="55">
        <f>$CH154+$CF155</f>
        <v/>
      </c>
      <c r="CI155" s="55">
        <f>SUMIFS(tblPlant[Recovered_oz],tblPlant[Date],$A155)</f>
        <v/>
      </c>
      <c r="CJ155" s="55">
        <f>IF($B155=$B154,$CJ154,0)+$CI155</f>
        <v/>
      </c>
      <c r="CK155" s="55">
        <f>$CK154+$CI155</f>
        <v/>
      </c>
      <c r="CL155" s="56">
        <f>IFERROR(IF(($BZ155)&gt;0,($CC155*cfg_TroyOz)/($BZ155),""),"")</f>
        <v/>
      </c>
      <c r="CM155" s="56">
        <f>IFERROR(IF(($CA155)&gt;0,($CD155*cfg_TroyOz)/($CA155),""),"")</f>
        <v/>
      </c>
      <c r="CN155" s="56">
        <f>IFERROR(IF(($CB155)&gt;0,($CE155*cfg_TroyOz)/($CB155),""),"")</f>
        <v/>
      </c>
      <c r="CO155" s="56">
        <f>IFERROR(IF(($BZ155)&gt;0,($CF155*cfg_TroyOz)/($BZ155),""),"")</f>
        <v/>
      </c>
      <c r="CP155" s="56">
        <f>IFERROR(IF(($CA155)&gt;0,($CG155*cfg_TroyOz)/($CA155),""),"")</f>
        <v/>
      </c>
      <c r="CQ155" s="56">
        <f>IFERROR(IF(($CB155)&gt;0,($CH155*cfg_TroyOz)/($CB155),""),"")</f>
        <v/>
      </c>
      <c r="CR155" s="67">
        <f>IFERROR(IF(($CC155)&gt;0,($CI155)/($CC155),""),"")</f>
        <v/>
      </c>
      <c r="CS155" s="67">
        <f>IFERROR(IF(($CD155)&gt;0,($CJ155)/($CD155),""),"")</f>
        <v/>
      </c>
      <c r="CT155" s="67">
        <f>IFERROR(IF(($CE155)&gt;0,($CK155)/($CE155),""),"")</f>
        <v/>
      </c>
      <c r="CU155" s="55">
        <f>SUMIFS(tblPlant[Gravity_Gold_oz],tblPlant[Date],$A155)</f>
        <v/>
      </c>
      <c r="CV155" s="55">
        <f>IF($B155=$B154,$CV154,0)+$CU155</f>
        <v/>
      </c>
      <c r="CW155" s="55">
        <f>$CW154+$CU155</f>
        <v/>
      </c>
      <c r="CX155" s="55">
        <f>SUMIFS(tblPlant[Gold_Poured_oz],tblPlant[Date],$A155)</f>
        <v/>
      </c>
      <c r="CY155" s="55">
        <f>IF($B155=$B154,$CY154,0)+$CX155</f>
        <v/>
      </c>
      <c r="CZ155" s="55">
        <f>$CZ154+$CX155</f>
        <v/>
      </c>
      <c r="DA155" s="57">
        <f>SUMIFS(tblPlant[Mill_Run_h],tblPlant[Date],$A155)</f>
        <v/>
      </c>
      <c r="DB155" s="57">
        <f>IF($B155=$B154,$DB154,0)+$DA155</f>
        <v/>
      </c>
      <c r="DC155" s="57">
        <f>$DC154+$DA155</f>
        <v/>
      </c>
      <c r="DD155" s="57">
        <f>SUMIFS(tblPlant[Mill_Planned_Maint_h],tblPlant[Date],$A155)</f>
        <v/>
      </c>
      <c r="DE155" s="57">
        <f>IF($B155=$B154,$DE154,0)+$DD155</f>
        <v/>
      </c>
      <c r="DF155" s="57">
        <f>$DF154+$DD155</f>
        <v/>
      </c>
      <c r="DG155" s="57">
        <f>SUMIFS(tblPlant[Mill_Unplanned_Down_h],tblPlant[Date],$A155)</f>
        <v/>
      </c>
      <c r="DH155" s="57">
        <f>IF($B155=$B154,$DH154,0)+$DG155</f>
        <v/>
      </c>
      <c r="DI155" s="57">
        <f>$DI154+$DG155</f>
        <v/>
      </c>
      <c r="DJ155" s="57">
        <f>COUNTIFS(tblPlant[Date],$A155,tblPlant[Mill_Run_h],"&lt;&gt;")*24</f>
        <v/>
      </c>
      <c r="DK155" s="57">
        <f>IF($B155=$B154,$DK154,0)+$DJ155</f>
        <v/>
      </c>
      <c r="DL155" s="57">
        <f>$DL154+$DJ155</f>
        <v/>
      </c>
      <c r="DM155" s="57">
        <f>SUMIFS(tblPlant[Crusher_Run_h],tblPlant[Date],$A155)</f>
        <v/>
      </c>
      <c r="DN155" s="57">
        <f>IF($B155=$B154,$DN154,0)+$DM155</f>
        <v/>
      </c>
      <c r="DO155" s="57">
        <f>$DO154+$DM155</f>
        <v/>
      </c>
      <c r="DP155" s="55">
        <f>IFERROR(IF(($DA155)&gt;0,($BZ155)/($DA155),""),"")</f>
        <v/>
      </c>
      <c r="DQ155" s="55">
        <f>IFERROR(IF(($DB155)&gt;0,($CA155)/($DB155),""),"")</f>
        <v/>
      </c>
      <c r="DR155" s="55">
        <f>IFERROR(IF(($DC155)&gt;0,($CB155)/($DC155),""),"")</f>
        <v/>
      </c>
      <c r="DS155" s="67">
        <f>IFERROR(IF(($DJ155)&gt;0,($DJ155-$DD155-$DG155)/($DJ155),""),"")</f>
        <v/>
      </c>
      <c r="DT155" s="67">
        <f>IFERROR(IF(($DK155)&gt;0,($DK155-$DE155-$DH155)/($DK155),""),"")</f>
        <v/>
      </c>
      <c r="DU155" s="67">
        <f>IFERROR(IF(($DL155)&gt;0,($DL155-$DF155-$DI155)/($DL155),""),"")</f>
        <v/>
      </c>
      <c r="DV155" s="67">
        <f>IFERROR(IF(($DJ155-$DD155-$DG155)&gt;0,($DA155)/($DJ155-$DD155-$DG155),""),"")</f>
        <v/>
      </c>
      <c r="DW155" s="67">
        <f>IFERROR(IF(($DK155-$DE155-$DH155)&gt;0,($DB155)/($DK155-$DE155-$DH155),""),"")</f>
        <v/>
      </c>
      <c r="DX155" s="67">
        <f>IFERROR(IF(($DL155-$DF155-$DI155)&gt;0,($DC155)/($DL155-$DF155-$DI155),""),"")</f>
        <v/>
      </c>
      <c r="DY155" s="55">
        <f>SUMIFS(tblPlant[Cyanide_kg],tblPlant[Date],$A155)</f>
        <v/>
      </c>
      <c r="DZ155" s="55">
        <f>IF($B155=$B154,$DZ154,0)+$DY155</f>
        <v/>
      </c>
      <c r="EA155" s="55">
        <f>$EA154+$DY155</f>
        <v/>
      </c>
      <c r="EB155" s="55">
        <f>SUMIFS(tblPlant[Lime_kg],tblPlant[Date],$A155)</f>
        <v/>
      </c>
      <c r="EC155" s="55">
        <f>IF($B155=$B154,$EC154,0)+$EB155</f>
        <v/>
      </c>
      <c r="ED155" s="55">
        <f>$ED154+$EB155</f>
        <v/>
      </c>
      <c r="EE155" s="55">
        <f>SUMIFS(tblPlant[Grinding_Media_kg],tblPlant[Date],$A155)</f>
        <v/>
      </c>
      <c r="EF155" s="55">
        <f>IF($B155=$B154,$EF154,0)+$EE155</f>
        <v/>
      </c>
      <c r="EG155" s="55">
        <f>$EG154+$EE155</f>
        <v/>
      </c>
      <c r="EH155" s="55">
        <f>SUMIFS(tblPlant[Power_kWh],tblPlant[Date],$A155)</f>
        <v/>
      </c>
      <c r="EI155" s="55">
        <f>IF($B155=$B154,$EI154,0)+$EH155</f>
        <v/>
      </c>
      <c r="EJ155" s="55">
        <f>$EJ154+$EH155</f>
        <v/>
      </c>
      <c r="EK155" s="55">
        <f>SUMIFS(tblPlant[Raw_Water_m3],tblPlant[Date],$A155)</f>
        <v/>
      </c>
      <c r="EL155" s="55">
        <f>IF($B155=$B154,$EL154,0)+$EK155</f>
        <v/>
      </c>
      <c r="EM155" s="55">
        <f>$EM154+$EK155</f>
        <v/>
      </c>
      <c r="EN155" s="56">
        <f>IFERROR(IF(($BZ155)&gt;0,($DY155)/($BZ155),""),"")</f>
        <v/>
      </c>
      <c r="EO155" s="56">
        <f>IFERROR(IF(($CA155)&gt;0,($DZ155)/($CA155),""),"")</f>
        <v/>
      </c>
      <c r="EP155" s="56">
        <f>IFERROR(IF(($CB155)&gt;0,($EA155)/($CB155),""),"")</f>
        <v/>
      </c>
      <c r="EQ155" s="56">
        <f>IFERROR(IF(($BZ155)&gt;0,($EB155)/($BZ155),""),"")</f>
        <v/>
      </c>
      <c r="ER155" s="56">
        <f>IFERROR(IF(($CA155)&gt;0,($EC155)/($CA155),""),"")</f>
        <v/>
      </c>
      <c r="ES155" s="56">
        <f>IFERROR(IF(($CB155)&gt;0,($ED155)/($CB155),""),"")</f>
        <v/>
      </c>
      <c r="ET155" s="56">
        <f>IFERROR(IF(($BZ155)&gt;0,($EE155)/($BZ155),""),"")</f>
        <v/>
      </c>
      <c r="EU155" s="56">
        <f>IFERROR(IF(($CA155)&gt;0,($EF155)/($CA155),""),"")</f>
        <v/>
      </c>
      <c r="EV155" s="56">
        <f>IFERROR(IF(($CB155)&gt;0,($EG155)/($CB155),""),"")</f>
        <v/>
      </c>
      <c r="EW155" s="76">
        <f>IFERROR(IF(($BZ155)&gt;0,($EH155)/($BZ155),""),"")</f>
        <v/>
      </c>
      <c r="EX155" s="76">
        <f>IFERROR(IF(($CA155)&gt;0,($EI155)/($CA155),""),"")</f>
        <v/>
      </c>
      <c r="EY155" s="76">
        <f>IFERROR(IF(($CB155)&gt;0,($EJ155)/($CB155),""),"")</f>
        <v/>
      </c>
      <c r="EZ155" s="56">
        <f>IFERROR(IF(($BZ155)&gt;0,($EK155)/($BZ155),""),"")</f>
        <v/>
      </c>
      <c r="FA155" s="56">
        <f>IFERROR(IF(($CA155)&gt;0,($EL155)/($CA155),""),"")</f>
        <v/>
      </c>
      <c r="FB155" s="56">
        <f>IFERROR(IF(($CB155)&gt;0,($EM155)/($CB155),""),"")</f>
        <v/>
      </c>
      <c r="FC155" s="55">
        <f>IF(SUMIFS(tblPlant[GIC_oz],tblPlant[Date],$A155)&gt;0,SUMIFS(tblPlant[GIC_oz],tblPlant[Date],$A155),"")</f>
        <v/>
      </c>
      <c r="FD155" s="55">
        <f>SUMIFS(tblGold[Gold_oz],tblGold[Date],$A155,tblGold[Type],"Shipment")</f>
        <v/>
      </c>
      <c r="FE155" s="55">
        <f>IF($B155=$B154,$FE154,0)+$FD155</f>
        <v/>
      </c>
      <c r="FF155" s="55">
        <f>$FF154+$FD155</f>
        <v/>
      </c>
      <c r="FG155" s="55">
        <f>SUMIFS(tblGold[Gold_oz],tblGold[Date],$A155,tblGold[Type],"Sale")</f>
        <v/>
      </c>
      <c r="FH155" s="55">
        <f>IF($B155=$B154,$FH154,0)+$FG155</f>
        <v/>
      </c>
      <c r="FI155" s="55">
        <f>$FI154+$FG155</f>
        <v/>
      </c>
      <c r="FJ155" s="55">
        <f>SUMIFS(tblGold[Dore_kg],tblGold[Date],$A155,tblGold[Type],"Shipment")</f>
        <v/>
      </c>
      <c r="FK155" s="55">
        <f>IF($B155=$B154,$FK154,0)+$FJ155</f>
        <v/>
      </c>
      <c r="FL155" s="55">
        <f>$FL154+$FJ155</f>
        <v/>
      </c>
      <c r="FM155" s="57">
        <f>SUMIFS(tblSafety[Hours_Total],tblSafety[Date],$A155)</f>
        <v/>
      </c>
      <c r="FN155" s="57">
        <f>IF($B155=$B154,$FN154,0)+$FM155</f>
        <v/>
      </c>
      <c r="FO155" s="57">
        <f>$FO154+$FM155</f>
        <v/>
      </c>
      <c r="FP155" s="62">
        <f>SUMIFS(tblSafety[Fatality],tblSafety[Date],$A155)</f>
        <v/>
      </c>
      <c r="FQ155" s="62">
        <f>IF($B155=$B154,$FQ154,0)+$FP155</f>
        <v/>
      </c>
      <c r="FR155" s="62">
        <f>$FR154+$FP155</f>
        <v/>
      </c>
      <c r="FS155" s="62">
        <f>SUMIFS(tblSafety[LTI],tblSafety[Date],$A155)</f>
        <v/>
      </c>
      <c r="FT155" s="62">
        <f>IF($B155=$B154,$FT154,0)+$FS155</f>
        <v/>
      </c>
      <c r="FU155" s="62">
        <f>$FU154+$FS155</f>
        <v/>
      </c>
      <c r="FV155" s="62">
        <f>SUMIFS(tblSafety[RWI],tblSafety[Date],$A155)</f>
        <v/>
      </c>
      <c r="FW155" s="62">
        <f>IF($B155=$B154,$FW154,0)+$FV155</f>
        <v/>
      </c>
      <c r="FX155" s="62">
        <f>$FX154+$FV155</f>
        <v/>
      </c>
      <c r="FY155" s="62">
        <f>SUMIFS(tblSafety[MTI],tblSafety[Date],$A155)</f>
        <v/>
      </c>
      <c r="FZ155" s="62">
        <f>IF($B155=$B154,$FZ154,0)+$FY155</f>
        <v/>
      </c>
      <c r="GA155" s="62">
        <f>$GA154+$FY155</f>
        <v/>
      </c>
      <c r="GB155" s="62">
        <f>SUMIFS(tblSafety[FAI],tblSafety[Date],$A155)</f>
        <v/>
      </c>
      <c r="GC155" s="62">
        <f>IF($B155=$B154,$GC154,0)+$GB155</f>
        <v/>
      </c>
      <c r="GD155" s="62">
        <f>$GD154+$GB155</f>
        <v/>
      </c>
      <c r="GE155" s="62">
        <f>SUMIFS(tblSafety[Recordables],tblSafety[Date],$A155)</f>
        <v/>
      </c>
      <c r="GF155" s="62">
        <f>IF($B155=$B154,$GF154,0)+$GE155</f>
        <v/>
      </c>
      <c r="GG155" s="62">
        <f>$GG154+$GE155</f>
        <v/>
      </c>
      <c r="GH155" s="62">
        <f>SUMIFS(tblSafety[Near_Miss],tblSafety[Date],$A155)</f>
        <v/>
      </c>
      <c r="GI155" s="62">
        <f>IF($B155=$B154,$GI154,0)+$GH155</f>
        <v/>
      </c>
      <c r="GJ155" s="62">
        <f>$GJ154+$GH155</f>
        <v/>
      </c>
      <c r="GK155" s="62">
        <f>SUMIFS(tblSafety[Hazard_Reports],tblSafety[Date],$A155)</f>
        <v/>
      </c>
      <c r="GL155" s="62">
        <f>IF($B155=$B154,$GL154,0)+$GK155</f>
        <v/>
      </c>
      <c r="GM155" s="62">
        <f>$GM154+$GK155</f>
        <v/>
      </c>
      <c r="GN155" s="62">
        <f>SUMIFS(tblSafety[HPI],tblSafety[Date],$A155)</f>
        <v/>
      </c>
      <c r="GO155" s="62">
        <f>IF($B155=$B154,$GO154,0)+$GN155</f>
        <v/>
      </c>
      <c r="GP155" s="62">
        <f>$GP154+$GN155</f>
        <v/>
      </c>
      <c r="GQ155" s="62">
        <f>SUMIFS(tblSafety[Env_Incidents],tblSafety[Date],$A155)</f>
        <v/>
      </c>
      <c r="GR155" s="62">
        <f>IF($B155=$B154,$GR154,0)+$GQ155</f>
        <v/>
      </c>
      <c r="GS155" s="62">
        <f>$GS154+$GQ155</f>
        <v/>
      </c>
      <c r="GT155" s="62">
        <f>SUMIFS(tblSafety[Community_Incidents],tblSafety[Date],$A155)</f>
        <v/>
      </c>
      <c r="GU155" s="62">
        <f>IF($B155=$B154,$GU154,0)+$GT155</f>
        <v/>
      </c>
      <c r="GV155" s="62">
        <f>$GV154+$GT155</f>
        <v/>
      </c>
      <c r="GW155" s="62">
        <f>SUMIFS(tblSafety[Vehicle_Incidents],tblSafety[Date],$A155)</f>
        <v/>
      </c>
      <c r="GX155" s="62">
        <f>IF($B155=$B154,$GX154,0)+$GW155</f>
        <v/>
      </c>
      <c r="GY155" s="62">
        <f>$GY154+$GW155</f>
        <v/>
      </c>
      <c r="GZ155" s="62">
        <f>SUMIFS(tblSafety[Toolbox_Talks],tblSafety[Date],$A155)</f>
        <v/>
      </c>
      <c r="HA155" s="62">
        <f>IF($B155=$B154,$HA154,0)+$GZ155</f>
        <v/>
      </c>
      <c r="HB155" s="62">
        <f>$HB154+$GZ155</f>
        <v/>
      </c>
      <c r="HC155" s="62">
        <f>SUMIFS(tblSafety[Inspections],tblSafety[Date],$A155)</f>
        <v/>
      </c>
      <c r="HD155" s="62">
        <f>IF($B155=$B154,$HD154,0)+$HC155</f>
        <v/>
      </c>
      <c r="HE155" s="62">
        <f>$HE154+$HC155</f>
        <v/>
      </c>
      <c r="HF155" s="56">
        <f>IFERROR((SUMIFS(tblSafety[Recordables],tblSafety[Date],"&gt;="&amp;EDATE($E155,-12),tblSafety[Date],"&lt;="&amp;$A155)+SUMIFS(tblSafetyHistory[Recordables],tblSafetyHistory[Month],"&gt;="&amp;EDATE($E155,-12),tblSafetyHistory[Month],"&lt;"&amp;cfg_YearStart))/(SUMIFS(tblSafety[Hours_Total],tblSafety[Date],"&gt;="&amp;EDATE($E155,-12),tblSafety[Date],"&lt;="&amp;$A155)+SUMIFS(tblSafetyHistory[Hours_Total],tblSafetyHistory[Month],"&gt;="&amp;EDATE($E155,-12),tblSafetyHistory[Month],"&lt;"&amp;cfg_YearStart))*1000000,"")</f>
        <v/>
      </c>
      <c r="HG155" s="56">
        <f>IFERROR((SUMIFS(tblSafety[LTI],tblSafety[Date],"&gt;="&amp;EDATE($E155,-12),tblSafety[Date],"&lt;="&amp;$A155)+SUMIFS(tblSafetyHistory[LTI],tblSafetyHistory[Month],"&gt;="&amp;EDATE($E155,-12),tblSafetyHistory[Month],"&lt;"&amp;cfg_YearStart))/(SUMIFS(tblSafety[Hours_Total],tblSafety[Date],"&gt;="&amp;EDATE($E155,-12),tblSafety[Date],"&lt;="&amp;$A155)+SUMIFS(tblSafetyHistory[Hours_Total],tblSafetyHistory[Month],"&gt;="&amp;EDATE($E155,-12),tblSafetyHistory[Month],"&lt;"&amp;cfg_YearStart))*1000000,"")</f>
        <v/>
      </c>
      <c r="HH155" s="62">
        <f>IF(MAX(N(cfg_PriorLTIDate),_xlfn.MAXIFS(tblSafety[Date],tblSafety[LTI],"&gt;0",tblSafety[Date],"&lt;="&amp;$A155))=0,"",$A155-MAX(N(cfg_PriorLTIDate),_xlfn.MAXIFS(tblSafety[Date],tblSafety[LTI],"&gt;0",tblSafety[Date],"&lt;="&amp;$A155)))</f>
        <v/>
      </c>
      <c r="HI155" s="55">
        <f>SUMIFS(tblBudget[Ore_Mined_t],tblBudget[Month],$E155)</f>
        <v/>
      </c>
      <c r="HJ155" s="55">
        <f>$HI155*$C155/$D155</f>
        <v/>
      </c>
      <c r="HK155" s="55">
        <f>SUMIFS(tblBudget[Ore_Mined_t],tblBudget[Month],"&lt;"&amp;$E155)+$HJ155</f>
        <v/>
      </c>
      <c r="HL155" s="55">
        <f>SUMIFS(tblBudget[Ore_oz],tblBudget[Month],$E155)</f>
        <v/>
      </c>
      <c r="HM155" s="55">
        <f>$HL155*$C155/$D155</f>
        <v/>
      </c>
      <c r="HN155" s="55">
        <f>SUMIFS(tblBudget[Ore_oz],tblBudget[Month],"&lt;"&amp;$E155)+$HM155</f>
        <v/>
      </c>
      <c r="HO155" s="56">
        <f>IFERROR(IF(($HI155)&gt;0,($HL155*cfg_TroyOz)/($HI155),""),"")</f>
        <v/>
      </c>
      <c r="HP155" s="56">
        <f>IFERROR(IF(($HJ155)&gt;0,($HM155*cfg_TroyOz)/($HJ155),""),"")</f>
        <v/>
      </c>
      <c r="HQ155" s="56">
        <f>IFERROR(IF(($HK155)&gt;0,($HN155*cfg_TroyOz)/($HK155),""),"")</f>
        <v/>
      </c>
      <c r="HR155" s="55">
        <f>SUMIFS(tblBudget[Waste_t],tblBudget[Month],$E155)</f>
        <v/>
      </c>
      <c r="HS155" s="55">
        <f>$HR155*$C155/$D155</f>
        <v/>
      </c>
      <c r="HT155" s="55">
        <f>SUMIFS(tblBudget[Waste_t],tblBudget[Month],"&lt;"&amp;$E155)+$HS155</f>
        <v/>
      </c>
      <c r="HU155" s="55">
        <f>SUMIFS(tblBudget[TMM_t],tblBudget[Month],$E155)</f>
        <v/>
      </c>
      <c r="HV155" s="55">
        <f>$HU155*$C155/$D155</f>
        <v/>
      </c>
      <c r="HW155" s="55">
        <f>SUMIFS(tblBudget[TMM_t],tblBudget[Month],"&lt;"&amp;$E155)+$HV155</f>
        <v/>
      </c>
      <c r="HX155" s="56">
        <f>IFERROR(IF(($HI155)&gt;0,($HR155)/($HI155),""),"")</f>
        <v/>
      </c>
      <c r="HY155" s="56">
        <f>IFERROR(IF(($HJ155)&gt;0,($HS155)/($HJ155),""),"")</f>
        <v/>
      </c>
      <c r="HZ155" s="56">
        <f>IFERROR(IF(($HK155)&gt;0,($HT155)/($HK155),""),"")</f>
        <v/>
      </c>
      <c r="IA155" s="55">
        <f>SUMIFS(tblBudget[Drill_m],tblBudget[Month],$E155)</f>
        <v/>
      </c>
      <c r="IB155" s="55">
        <f>$IA155*$C155/$D155</f>
        <v/>
      </c>
      <c r="IC155" s="55">
        <f>SUMIFS(tblBudget[Drill_m],tblBudget[Month],"&lt;"&amp;$E155)+$IB155</f>
        <v/>
      </c>
      <c r="ID155" s="55">
        <f>SUMIFS(tblBudget[Diesel_L],tblBudget[Month],$E155)</f>
        <v/>
      </c>
      <c r="IE155" s="55">
        <f>$ID155*$C155/$D155</f>
        <v/>
      </c>
      <c r="IF155" s="55">
        <f>SUMIFS(tblBudget[Diesel_L],tblBudget[Month],"&lt;"&amp;$E155)+$IE155</f>
        <v/>
      </c>
      <c r="IG155" s="55">
        <f>SUMIFS(tblBudget[Milled_t],tblBudget[Month],$E155)</f>
        <v/>
      </c>
      <c r="IH155" s="55">
        <f>$IG155*$C155/$D155</f>
        <v/>
      </c>
      <c r="II155" s="55">
        <f>SUMIFS(tblBudget[Milled_t],tblBudget[Month],"&lt;"&amp;$E155)+$IH155</f>
        <v/>
      </c>
      <c r="IJ155" s="55">
        <f>SUMIFS(tblBudget[Feed_oz],tblBudget[Month],$E155)</f>
        <v/>
      </c>
      <c r="IK155" s="55">
        <f>$IJ155*$C155/$D155</f>
        <v/>
      </c>
      <c r="IL155" s="55">
        <f>SUMIFS(tblBudget[Feed_oz],tblBudget[Month],"&lt;"&amp;$E155)+$IK155</f>
        <v/>
      </c>
      <c r="IM155" s="55">
        <f>SUMIFS(tblBudget[Recovered_oz],tblBudget[Month],$E155)</f>
        <v/>
      </c>
      <c r="IN155" s="55">
        <f>$IM155*$C155/$D155</f>
        <v/>
      </c>
      <c r="IO155" s="55">
        <f>SUMIFS(tblBudget[Recovered_oz],tblBudget[Month],"&lt;"&amp;$E155)+$IN155</f>
        <v/>
      </c>
      <c r="IP155" s="56">
        <f>IFERROR(IF(($IG155)&gt;0,($IJ155*cfg_TroyOz)/($IG155),""),"")</f>
        <v/>
      </c>
      <c r="IQ155" s="56">
        <f>IFERROR(IF(($IH155)&gt;0,($IK155*cfg_TroyOz)/($IH155),""),"")</f>
        <v/>
      </c>
      <c r="IR155" s="56">
        <f>IFERROR(IF(($II155)&gt;0,($IL155*cfg_TroyOz)/($II155),""),"")</f>
        <v/>
      </c>
      <c r="IS155" s="67">
        <f>IFERROR(IF(($IJ155)&gt;0,($IM155)/($IJ155),""),"")</f>
        <v/>
      </c>
      <c r="IT155" s="67">
        <f>IFERROR(IF(($IK155)&gt;0,($IN155)/($IK155),""),"")</f>
        <v/>
      </c>
      <c r="IU155" s="67">
        <f>IFERROR(IF(($IL155)&gt;0,($IO155)/($IL155),""),"")</f>
        <v/>
      </c>
      <c r="IV155" s="55">
        <f>SUMIFS(tblBudget[Gold_Poured_oz],tblBudget[Month],$E155)</f>
        <v/>
      </c>
      <c r="IW155" s="55">
        <f>$IV155*$C155/$D155</f>
        <v/>
      </c>
      <c r="IX155" s="55">
        <f>SUMIFS(tblBudget[Gold_Poured_oz],tblBudget[Month],"&lt;"&amp;$E155)+$IW155</f>
        <v/>
      </c>
      <c r="IY155" s="57">
        <f>SUMIFS(tblBudget[Hours_Worked],tblBudget[Month],$E155)</f>
        <v/>
      </c>
      <c r="IZ155" s="57">
        <f>$IY155*$C155/$D155</f>
        <v/>
      </c>
      <c r="JA155" s="57">
        <f>SUMIFS(tblBudget[Hours_Worked],tblBudget[Month],"&lt;"&amp;$E155)+$IZ155</f>
        <v/>
      </c>
    </row>
    <row r="156">
      <c r="A156" s="54" t="n">
        <v>46177</v>
      </c>
      <c r="B156">
        <f>MONTH($A156)</f>
        <v/>
      </c>
      <c r="C156">
        <f>DAY($A156)</f>
        <v/>
      </c>
      <c r="D156">
        <f>DAY(EOMONTH($A156,0))</f>
        <v/>
      </c>
      <c r="E156" s="54">
        <f>DATE(YEAR($A156),MONTH($A156),1)</f>
        <v/>
      </c>
      <c r="F156" s="55">
        <f>SUMIFS(tblMovement[Tonnes_t],tblMovement[Date],$A156,tblMovement[Is_Ore],1,tblMovement[Source_Type],"Pit")</f>
        <v/>
      </c>
      <c r="G156" s="55">
        <f>IF($B156=$B155,$G155,0)+$F156</f>
        <v/>
      </c>
      <c r="H156" s="55">
        <f>$H155+$F156</f>
        <v/>
      </c>
      <c r="I156" s="55">
        <f>SUMIFS(tblMovement[Ore_oz],tblMovement[Date],$A156,tblMovement[Source_Type],"Pit")</f>
        <v/>
      </c>
      <c r="J156" s="55">
        <f>IF($B156=$B155,$J155,0)+$I156</f>
        <v/>
      </c>
      <c r="K156" s="55">
        <f>$K155+$I156</f>
        <v/>
      </c>
      <c r="L156" s="56">
        <f>IFERROR(IF(($F156)&gt;0,($I156*cfg_TroyOz)/($F156),""),"")</f>
        <v/>
      </c>
      <c r="M156" s="56">
        <f>IFERROR(IF(($G156)&gt;0,($J156*cfg_TroyOz)/($G156),""),"")</f>
        <v/>
      </c>
      <c r="N156" s="56">
        <f>IFERROR(IF(($H156)&gt;0,($K156*cfg_TroyOz)/($H156),""),"")</f>
        <v/>
      </c>
      <c r="O156" s="55">
        <f>SUMIFS(tblMovement[Tonnes_t],tblMovement[Date],$A156,tblMovement[Is_Ore],0,tblMovement[Source_Type],"Pit")</f>
        <v/>
      </c>
      <c r="P156" s="55">
        <f>IF($B156=$B155,$P155,0)+$O156</f>
        <v/>
      </c>
      <c r="Q156" s="55">
        <f>$Q155+$O156</f>
        <v/>
      </c>
      <c r="R156" s="55">
        <f>$F156+$O156</f>
        <v/>
      </c>
      <c r="S156" s="55">
        <f>IF($B156=$B155,$S155,0)+$R156</f>
        <v/>
      </c>
      <c r="T156" s="55">
        <f>$T155+$R156</f>
        <v/>
      </c>
      <c r="U156" s="56">
        <f>IFERROR(IF(($F156)&gt;0,($O156)/($F156),""),"")</f>
        <v/>
      </c>
      <c r="V156" s="56">
        <f>IFERROR(IF(($G156)&gt;0,($P156)/($G156),""),"")</f>
        <v/>
      </c>
      <c r="W156" s="56">
        <f>IFERROR(IF(($H156)&gt;0,($Q156)/($H156),""),"")</f>
        <v/>
      </c>
      <c r="X156" s="55">
        <f>SUMIFS(tblMovement[Tonnes_t],tblMovement[Date],$A156,tblMovement[Source_Type],"Stockpile")</f>
        <v/>
      </c>
      <c r="Y156" s="55">
        <f>IF($B156=$B155,$Y155,0)+$X156</f>
        <v/>
      </c>
      <c r="Z156" s="55">
        <f>$Z155+$X156</f>
        <v/>
      </c>
      <c r="AA156" s="55">
        <f>SUMIFS(tblMiningDaily[Drill_m],tblMiningDaily[Date],$A156)</f>
        <v/>
      </c>
      <c r="AB156" s="55">
        <f>IF($B156=$B155,$AB155,0)+$AA156</f>
        <v/>
      </c>
      <c r="AC156" s="55">
        <f>$AC155+$AA156</f>
        <v/>
      </c>
      <c r="AD156" s="55">
        <f>SUMIFS(tblMiningDaily[Blast_t],tblMiningDaily[Date],$A156)</f>
        <v/>
      </c>
      <c r="AE156" s="55">
        <f>IF($B156=$B155,$AE155,0)+$AD156</f>
        <v/>
      </c>
      <c r="AF156" s="55">
        <f>$AF155+$AD156</f>
        <v/>
      </c>
      <c r="AG156" s="55">
        <f>SUMIFS(tblMiningDaily[Explosives_kg],tblMiningDaily[Date],$A156)</f>
        <v/>
      </c>
      <c r="AH156" s="55">
        <f>IF($B156=$B155,$AH155,0)+$AG156</f>
        <v/>
      </c>
      <c r="AI156" s="55">
        <f>$AI155+$AG156</f>
        <v/>
      </c>
      <c r="AJ156" s="56">
        <f>IFERROR(IF(($AD156)&gt;0,($AG156)/($AD156),""),"")</f>
        <v/>
      </c>
      <c r="AK156" s="56">
        <f>IFERROR(IF(($AE156)&gt;0,($AH156)/($AE156),""),"")</f>
        <v/>
      </c>
      <c r="AL156" s="56">
        <f>IFERROR(IF(($AF156)&gt;0,($AI156)/($AF156),""),"")</f>
        <v/>
      </c>
      <c r="AM156" s="55">
        <f>SUMIFS(tblMiningDaily[Diesel_L],tblMiningDaily[Date],$A156)</f>
        <v/>
      </c>
      <c r="AN156" s="55">
        <f>IF($B156=$B155,$AN155,0)+$AM156</f>
        <v/>
      </c>
      <c r="AO156" s="55">
        <f>$AO155+$AM156</f>
        <v/>
      </c>
      <c r="AP156" s="55">
        <f>SUMIFS(tblMiningDaily[Dewatering_m3],tblMiningDaily[Date],$A156)</f>
        <v/>
      </c>
      <c r="AQ156" s="55">
        <f>IF($B156=$B155,$AQ155,0)+$AP156</f>
        <v/>
      </c>
      <c r="AR156" s="55">
        <f>$AR155+$AP156</f>
        <v/>
      </c>
      <c r="AS156" s="57">
        <f>SUMIFS(tblFleet[Calendar_h],tblFleet[Date],$A156,tblFleet[Equipment_Class],"Excavator")</f>
        <v/>
      </c>
      <c r="AT156" s="57">
        <f>IF($B156=$B155,$AT155,0)+$AS156</f>
        <v/>
      </c>
      <c r="AU156" s="57">
        <f>$AU155+$AS156</f>
        <v/>
      </c>
      <c r="AV156" s="57">
        <f>SUMIFS(tblFleet[Available_h],tblFleet[Date],$A156,tblFleet[Equipment_Class],"Excavator")</f>
        <v/>
      </c>
      <c r="AW156" s="57">
        <f>IF($B156=$B155,$AW155,0)+$AV156</f>
        <v/>
      </c>
      <c r="AX156" s="57">
        <f>$AX155+$AV156</f>
        <v/>
      </c>
      <c r="AY156" s="57">
        <f>SUMIFS(tblFleet[Operating_h],tblFleet[Date],$A156,tblFleet[Equipment_Class],"Excavator")</f>
        <v/>
      </c>
      <c r="AZ156" s="57">
        <f>IF($B156=$B155,$AZ155,0)+$AY156</f>
        <v/>
      </c>
      <c r="BA156" s="57">
        <f>$BA155+$AY156</f>
        <v/>
      </c>
      <c r="BB156" s="67">
        <f>IFERROR(IF(($AS156)&gt;0,($AV156)/($AS156),""),"")</f>
        <v/>
      </c>
      <c r="BC156" s="67">
        <f>IFERROR(IF(($AT156)&gt;0,($AW156)/($AT156),""),"")</f>
        <v/>
      </c>
      <c r="BD156" s="67">
        <f>IFERROR(IF(($AU156)&gt;0,($AX156)/($AU156),""),"")</f>
        <v/>
      </c>
      <c r="BE156" s="67">
        <f>IFERROR(IF(($AV156)&gt;0,($AY156)/($AV156),""),"")</f>
        <v/>
      </c>
      <c r="BF156" s="67">
        <f>IFERROR(IF(($AW156)&gt;0,($AZ156)/($AW156),""),"")</f>
        <v/>
      </c>
      <c r="BG156" s="67">
        <f>IFERROR(IF(($AX156)&gt;0,($BA156)/($AX156),""),"")</f>
        <v/>
      </c>
      <c r="BH156" s="57">
        <f>SUMIFS(tblFleet[Calendar_h],tblFleet[Date],$A156,tblFleet[Equipment_Class],"Haul Truck")</f>
        <v/>
      </c>
      <c r="BI156" s="57">
        <f>IF($B156=$B155,$BI155,0)+$BH156</f>
        <v/>
      </c>
      <c r="BJ156" s="57">
        <f>$BJ155+$BH156</f>
        <v/>
      </c>
      <c r="BK156" s="57">
        <f>SUMIFS(tblFleet[Available_h],tblFleet[Date],$A156,tblFleet[Equipment_Class],"Haul Truck")</f>
        <v/>
      </c>
      <c r="BL156" s="57">
        <f>IF($B156=$B155,$BL155,0)+$BK156</f>
        <v/>
      </c>
      <c r="BM156" s="57">
        <f>$BM155+$BK156</f>
        <v/>
      </c>
      <c r="BN156" s="57">
        <f>SUMIFS(tblFleet[Operating_h],tblFleet[Date],$A156,tblFleet[Equipment_Class],"Haul Truck")</f>
        <v/>
      </c>
      <c r="BO156" s="57">
        <f>IF($B156=$B155,$BO155,0)+$BN156</f>
        <v/>
      </c>
      <c r="BP156" s="57">
        <f>$BP155+$BN156</f>
        <v/>
      </c>
      <c r="BQ156" s="67">
        <f>IFERROR(IF(($BH156)&gt;0,($BK156)/($BH156),""),"")</f>
        <v/>
      </c>
      <c r="BR156" s="67">
        <f>IFERROR(IF(($BI156)&gt;0,($BL156)/($BI156),""),"")</f>
        <v/>
      </c>
      <c r="BS156" s="67">
        <f>IFERROR(IF(($BJ156)&gt;0,($BM156)/($BJ156),""),"")</f>
        <v/>
      </c>
      <c r="BT156" s="67">
        <f>IFERROR(IF(($BK156)&gt;0,($BN156)/($BK156),""),"")</f>
        <v/>
      </c>
      <c r="BU156" s="67">
        <f>IFERROR(IF(($BL156)&gt;0,($BO156)/($BL156),""),"")</f>
        <v/>
      </c>
      <c r="BV156" s="67">
        <f>IFERROR(IF(($BM156)&gt;0,($BP156)/($BM156),""),"")</f>
        <v/>
      </c>
      <c r="BW156" s="55">
        <f>SUMIFS(tblPlant[Crushed_t],tblPlant[Date],$A156)</f>
        <v/>
      </c>
      <c r="BX156" s="55">
        <f>IF($B156=$B155,$BX155,0)+$BW156</f>
        <v/>
      </c>
      <c r="BY156" s="55">
        <f>$BY155+$BW156</f>
        <v/>
      </c>
      <c r="BZ156" s="55">
        <f>SUMIFS(tblPlant[Milled_t],tblPlant[Date],$A156)</f>
        <v/>
      </c>
      <c r="CA156" s="55">
        <f>IF($B156=$B155,$CA155,0)+$BZ156</f>
        <v/>
      </c>
      <c r="CB156" s="55">
        <f>$CB155+$BZ156</f>
        <v/>
      </c>
      <c r="CC156" s="55">
        <f>SUMIFS(tblPlant[Feed_oz],tblPlant[Date],$A156)</f>
        <v/>
      </c>
      <c r="CD156" s="55">
        <f>IF($B156=$B155,$CD155,0)+$CC156</f>
        <v/>
      </c>
      <c r="CE156" s="55">
        <f>$CE155+$CC156</f>
        <v/>
      </c>
      <c r="CF156" s="55">
        <f>SUMIFS(tblPlant[Tails_oz],tblPlant[Date],$A156)</f>
        <v/>
      </c>
      <c r="CG156" s="55">
        <f>IF($B156=$B155,$CG155,0)+$CF156</f>
        <v/>
      </c>
      <c r="CH156" s="55">
        <f>$CH155+$CF156</f>
        <v/>
      </c>
      <c r="CI156" s="55">
        <f>SUMIFS(tblPlant[Recovered_oz],tblPlant[Date],$A156)</f>
        <v/>
      </c>
      <c r="CJ156" s="55">
        <f>IF($B156=$B155,$CJ155,0)+$CI156</f>
        <v/>
      </c>
      <c r="CK156" s="55">
        <f>$CK155+$CI156</f>
        <v/>
      </c>
      <c r="CL156" s="56">
        <f>IFERROR(IF(($BZ156)&gt;0,($CC156*cfg_TroyOz)/($BZ156),""),"")</f>
        <v/>
      </c>
      <c r="CM156" s="56">
        <f>IFERROR(IF(($CA156)&gt;0,($CD156*cfg_TroyOz)/($CA156),""),"")</f>
        <v/>
      </c>
      <c r="CN156" s="56">
        <f>IFERROR(IF(($CB156)&gt;0,($CE156*cfg_TroyOz)/($CB156),""),"")</f>
        <v/>
      </c>
      <c r="CO156" s="56">
        <f>IFERROR(IF(($BZ156)&gt;0,($CF156*cfg_TroyOz)/($BZ156),""),"")</f>
        <v/>
      </c>
      <c r="CP156" s="56">
        <f>IFERROR(IF(($CA156)&gt;0,($CG156*cfg_TroyOz)/($CA156),""),"")</f>
        <v/>
      </c>
      <c r="CQ156" s="56">
        <f>IFERROR(IF(($CB156)&gt;0,($CH156*cfg_TroyOz)/($CB156),""),"")</f>
        <v/>
      </c>
      <c r="CR156" s="67">
        <f>IFERROR(IF(($CC156)&gt;0,($CI156)/($CC156),""),"")</f>
        <v/>
      </c>
      <c r="CS156" s="67">
        <f>IFERROR(IF(($CD156)&gt;0,($CJ156)/($CD156),""),"")</f>
        <v/>
      </c>
      <c r="CT156" s="67">
        <f>IFERROR(IF(($CE156)&gt;0,($CK156)/($CE156),""),"")</f>
        <v/>
      </c>
      <c r="CU156" s="55">
        <f>SUMIFS(tblPlant[Gravity_Gold_oz],tblPlant[Date],$A156)</f>
        <v/>
      </c>
      <c r="CV156" s="55">
        <f>IF($B156=$B155,$CV155,0)+$CU156</f>
        <v/>
      </c>
      <c r="CW156" s="55">
        <f>$CW155+$CU156</f>
        <v/>
      </c>
      <c r="CX156" s="55">
        <f>SUMIFS(tblPlant[Gold_Poured_oz],tblPlant[Date],$A156)</f>
        <v/>
      </c>
      <c r="CY156" s="55">
        <f>IF($B156=$B155,$CY155,0)+$CX156</f>
        <v/>
      </c>
      <c r="CZ156" s="55">
        <f>$CZ155+$CX156</f>
        <v/>
      </c>
      <c r="DA156" s="57">
        <f>SUMIFS(tblPlant[Mill_Run_h],tblPlant[Date],$A156)</f>
        <v/>
      </c>
      <c r="DB156" s="57">
        <f>IF($B156=$B155,$DB155,0)+$DA156</f>
        <v/>
      </c>
      <c r="DC156" s="57">
        <f>$DC155+$DA156</f>
        <v/>
      </c>
      <c r="DD156" s="57">
        <f>SUMIFS(tblPlant[Mill_Planned_Maint_h],tblPlant[Date],$A156)</f>
        <v/>
      </c>
      <c r="DE156" s="57">
        <f>IF($B156=$B155,$DE155,0)+$DD156</f>
        <v/>
      </c>
      <c r="DF156" s="57">
        <f>$DF155+$DD156</f>
        <v/>
      </c>
      <c r="DG156" s="57">
        <f>SUMIFS(tblPlant[Mill_Unplanned_Down_h],tblPlant[Date],$A156)</f>
        <v/>
      </c>
      <c r="DH156" s="57">
        <f>IF($B156=$B155,$DH155,0)+$DG156</f>
        <v/>
      </c>
      <c r="DI156" s="57">
        <f>$DI155+$DG156</f>
        <v/>
      </c>
      <c r="DJ156" s="57">
        <f>COUNTIFS(tblPlant[Date],$A156,tblPlant[Mill_Run_h],"&lt;&gt;")*24</f>
        <v/>
      </c>
      <c r="DK156" s="57">
        <f>IF($B156=$B155,$DK155,0)+$DJ156</f>
        <v/>
      </c>
      <c r="DL156" s="57">
        <f>$DL155+$DJ156</f>
        <v/>
      </c>
      <c r="DM156" s="57">
        <f>SUMIFS(tblPlant[Crusher_Run_h],tblPlant[Date],$A156)</f>
        <v/>
      </c>
      <c r="DN156" s="57">
        <f>IF($B156=$B155,$DN155,0)+$DM156</f>
        <v/>
      </c>
      <c r="DO156" s="57">
        <f>$DO155+$DM156</f>
        <v/>
      </c>
      <c r="DP156" s="55">
        <f>IFERROR(IF(($DA156)&gt;0,($BZ156)/($DA156),""),"")</f>
        <v/>
      </c>
      <c r="DQ156" s="55">
        <f>IFERROR(IF(($DB156)&gt;0,($CA156)/($DB156),""),"")</f>
        <v/>
      </c>
      <c r="DR156" s="55">
        <f>IFERROR(IF(($DC156)&gt;0,($CB156)/($DC156),""),"")</f>
        <v/>
      </c>
      <c r="DS156" s="67">
        <f>IFERROR(IF(($DJ156)&gt;0,($DJ156-$DD156-$DG156)/($DJ156),""),"")</f>
        <v/>
      </c>
      <c r="DT156" s="67">
        <f>IFERROR(IF(($DK156)&gt;0,($DK156-$DE156-$DH156)/($DK156),""),"")</f>
        <v/>
      </c>
      <c r="DU156" s="67">
        <f>IFERROR(IF(($DL156)&gt;0,($DL156-$DF156-$DI156)/($DL156),""),"")</f>
        <v/>
      </c>
      <c r="DV156" s="67">
        <f>IFERROR(IF(($DJ156-$DD156-$DG156)&gt;0,($DA156)/($DJ156-$DD156-$DG156),""),"")</f>
        <v/>
      </c>
      <c r="DW156" s="67">
        <f>IFERROR(IF(($DK156-$DE156-$DH156)&gt;0,($DB156)/($DK156-$DE156-$DH156),""),"")</f>
        <v/>
      </c>
      <c r="DX156" s="67">
        <f>IFERROR(IF(($DL156-$DF156-$DI156)&gt;0,($DC156)/($DL156-$DF156-$DI156),""),"")</f>
        <v/>
      </c>
      <c r="DY156" s="55">
        <f>SUMIFS(tblPlant[Cyanide_kg],tblPlant[Date],$A156)</f>
        <v/>
      </c>
      <c r="DZ156" s="55">
        <f>IF($B156=$B155,$DZ155,0)+$DY156</f>
        <v/>
      </c>
      <c r="EA156" s="55">
        <f>$EA155+$DY156</f>
        <v/>
      </c>
      <c r="EB156" s="55">
        <f>SUMIFS(tblPlant[Lime_kg],tblPlant[Date],$A156)</f>
        <v/>
      </c>
      <c r="EC156" s="55">
        <f>IF($B156=$B155,$EC155,0)+$EB156</f>
        <v/>
      </c>
      <c r="ED156" s="55">
        <f>$ED155+$EB156</f>
        <v/>
      </c>
      <c r="EE156" s="55">
        <f>SUMIFS(tblPlant[Grinding_Media_kg],tblPlant[Date],$A156)</f>
        <v/>
      </c>
      <c r="EF156" s="55">
        <f>IF($B156=$B155,$EF155,0)+$EE156</f>
        <v/>
      </c>
      <c r="EG156" s="55">
        <f>$EG155+$EE156</f>
        <v/>
      </c>
      <c r="EH156" s="55">
        <f>SUMIFS(tblPlant[Power_kWh],tblPlant[Date],$A156)</f>
        <v/>
      </c>
      <c r="EI156" s="55">
        <f>IF($B156=$B155,$EI155,0)+$EH156</f>
        <v/>
      </c>
      <c r="EJ156" s="55">
        <f>$EJ155+$EH156</f>
        <v/>
      </c>
      <c r="EK156" s="55">
        <f>SUMIFS(tblPlant[Raw_Water_m3],tblPlant[Date],$A156)</f>
        <v/>
      </c>
      <c r="EL156" s="55">
        <f>IF($B156=$B155,$EL155,0)+$EK156</f>
        <v/>
      </c>
      <c r="EM156" s="55">
        <f>$EM155+$EK156</f>
        <v/>
      </c>
      <c r="EN156" s="56">
        <f>IFERROR(IF(($BZ156)&gt;0,($DY156)/($BZ156),""),"")</f>
        <v/>
      </c>
      <c r="EO156" s="56">
        <f>IFERROR(IF(($CA156)&gt;0,($DZ156)/($CA156),""),"")</f>
        <v/>
      </c>
      <c r="EP156" s="56">
        <f>IFERROR(IF(($CB156)&gt;0,($EA156)/($CB156),""),"")</f>
        <v/>
      </c>
      <c r="EQ156" s="56">
        <f>IFERROR(IF(($BZ156)&gt;0,($EB156)/($BZ156),""),"")</f>
        <v/>
      </c>
      <c r="ER156" s="56">
        <f>IFERROR(IF(($CA156)&gt;0,($EC156)/($CA156),""),"")</f>
        <v/>
      </c>
      <c r="ES156" s="56">
        <f>IFERROR(IF(($CB156)&gt;0,($ED156)/($CB156),""),"")</f>
        <v/>
      </c>
      <c r="ET156" s="56">
        <f>IFERROR(IF(($BZ156)&gt;0,($EE156)/($BZ156),""),"")</f>
        <v/>
      </c>
      <c r="EU156" s="56">
        <f>IFERROR(IF(($CA156)&gt;0,($EF156)/($CA156),""),"")</f>
        <v/>
      </c>
      <c r="EV156" s="56">
        <f>IFERROR(IF(($CB156)&gt;0,($EG156)/($CB156),""),"")</f>
        <v/>
      </c>
      <c r="EW156" s="76">
        <f>IFERROR(IF(($BZ156)&gt;0,($EH156)/($BZ156),""),"")</f>
        <v/>
      </c>
      <c r="EX156" s="76">
        <f>IFERROR(IF(($CA156)&gt;0,($EI156)/($CA156),""),"")</f>
        <v/>
      </c>
      <c r="EY156" s="76">
        <f>IFERROR(IF(($CB156)&gt;0,($EJ156)/($CB156),""),"")</f>
        <v/>
      </c>
      <c r="EZ156" s="56">
        <f>IFERROR(IF(($BZ156)&gt;0,($EK156)/($BZ156),""),"")</f>
        <v/>
      </c>
      <c r="FA156" s="56">
        <f>IFERROR(IF(($CA156)&gt;0,($EL156)/($CA156),""),"")</f>
        <v/>
      </c>
      <c r="FB156" s="56">
        <f>IFERROR(IF(($CB156)&gt;0,($EM156)/($CB156),""),"")</f>
        <v/>
      </c>
      <c r="FC156" s="55">
        <f>IF(SUMIFS(tblPlant[GIC_oz],tblPlant[Date],$A156)&gt;0,SUMIFS(tblPlant[GIC_oz],tblPlant[Date],$A156),"")</f>
        <v/>
      </c>
      <c r="FD156" s="55">
        <f>SUMIFS(tblGold[Gold_oz],tblGold[Date],$A156,tblGold[Type],"Shipment")</f>
        <v/>
      </c>
      <c r="FE156" s="55">
        <f>IF($B156=$B155,$FE155,0)+$FD156</f>
        <v/>
      </c>
      <c r="FF156" s="55">
        <f>$FF155+$FD156</f>
        <v/>
      </c>
      <c r="FG156" s="55">
        <f>SUMIFS(tblGold[Gold_oz],tblGold[Date],$A156,tblGold[Type],"Sale")</f>
        <v/>
      </c>
      <c r="FH156" s="55">
        <f>IF($B156=$B155,$FH155,0)+$FG156</f>
        <v/>
      </c>
      <c r="FI156" s="55">
        <f>$FI155+$FG156</f>
        <v/>
      </c>
      <c r="FJ156" s="55">
        <f>SUMIFS(tblGold[Dore_kg],tblGold[Date],$A156,tblGold[Type],"Shipment")</f>
        <v/>
      </c>
      <c r="FK156" s="55">
        <f>IF($B156=$B155,$FK155,0)+$FJ156</f>
        <v/>
      </c>
      <c r="FL156" s="55">
        <f>$FL155+$FJ156</f>
        <v/>
      </c>
      <c r="FM156" s="57">
        <f>SUMIFS(tblSafety[Hours_Total],tblSafety[Date],$A156)</f>
        <v/>
      </c>
      <c r="FN156" s="57">
        <f>IF($B156=$B155,$FN155,0)+$FM156</f>
        <v/>
      </c>
      <c r="FO156" s="57">
        <f>$FO155+$FM156</f>
        <v/>
      </c>
      <c r="FP156" s="62">
        <f>SUMIFS(tblSafety[Fatality],tblSafety[Date],$A156)</f>
        <v/>
      </c>
      <c r="FQ156" s="62">
        <f>IF($B156=$B155,$FQ155,0)+$FP156</f>
        <v/>
      </c>
      <c r="FR156" s="62">
        <f>$FR155+$FP156</f>
        <v/>
      </c>
      <c r="FS156" s="62">
        <f>SUMIFS(tblSafety[LTI],tblSafety[Date],$A156)</f>
        <v/>
      </c>
      <c r="FT156" s="62">
        <f>IF($B156=$B155,$FT155,0)+$FS156</f>
        <v/>
      </c>
      <c r="FU156" s="62">
        <f>$FU155+$FS156</f>
        <v/>
      </c>
      <c r="FV156" s="62">
        <f>SUMIFS(tblSafety[RWI],tblSafety[Date],$A156)</f>
        <v/>
      </c>
      <c r="FW156" s="62">
        <f>IF($B156=$B155,$FW155,0)+$FV156</f>
        <v/>
      </c>
      <c r="FX156" s="62">
        <f>$FX155+$FV156</f>
        <v/>
      </c>
      <c r="FY156" s="62">
        <f>SUMIFS(tblSafety[MTI],tblSafety[Date],$A156)</f>
        <v/>
      </c>
      <c r="FZ156" s="62">
        <f>IF($B156=$B155,$FZ155,0)+$FY156</f>
        <v/>
      </c>
      <c r="GA156" s="62">
        <f>$GA155+$FY156</f>
        <v/>
      </c>
      <c r="GB156" s="62">
        <f>SUMIFS(tblSafety[FAI],tblSafety[Date],$A156)</f>
        <v/>
      </c>
      <c r="GC156" s="62">
        <f>IF($B156=$B155,$GC155,0)+$GB156</f>
        <v/>
      </c>
      <c r="GD156" s="62">
        <f>$GD155+$GB156</f>
        <v/>
      </c>
      <c r="GE156" s="62">
        <f>SUMIFS(tblSafety[Recordables],tblSafety[Date],$A156)</f>
        <v/>
      </c>
      <c r="GF156" s="62">
        <f>IF($B156=$B155,$GF155,0)+$GE156</f>
        <v/>
      </c>
      <c r="GG156" s="62">
        <f>$GG155+$GE156</f>
        <v/>
      </c>
      <c r="GH156" s="62">
        <f>SUMIFS(tblSafety[Near_Miss],tblSafety[Date],$A156)</f>
        <v/>
      </c>
      <c r="GI156" s="62">
        <f>IF($B156=$B155,$GI155,0)+$GH156</f>
        <v/>
      </c>
      <c r="GJ156" s="62">
        <f>$GJ155+$GH156</f>
        <v/>
      </c>
      <c r="GK156" s="62">
        <f>SUMIFS(tblSafety[Hazard_Reports],tblSafety[Date],$A156)</f>
        <v/>
      </c>
      <c r="GL156" s="62">
        <f>IF($B156=$B155,$GL155,0)+$GK156</f>
        <v/>
      </c>
      <c r="GM156" s="62">
        <f>$GM155+$GK156</f>
        <v/>
      </c>
      <c r="GN156" s="62">
        <f>SUMIFS(tblSafety[HPI],tblSafety[Date],$A156)</f>
        <v/>
      </c>
      <c r="GO156" s="62">
        <f>IF($B156=$B155,$GO155,0)+$GN156</f>
        <v/>
      </c>
      <c r="GP156" s="62">
        <f>$GP155+$GN156</f>
        <v/>
      </c>
      <c r="GQ156" s="62">
        <f>SUMIFS(tblSafety[Env_Incidents],tblSafety[Date],$A156)</f>
        <v/>
      </c>
      <c r="GR156" s="62">
        <f>IF($B156=$B155,$GR155,0)+$GQ156</f>
        <v/>
      </c>
      <c r="GS156" s="62">
        <f>$GS155+$GQ156</f>
        <v/>
      </c>
      <c r="GT156" s="62">
        <f>SUMIFS(tblSafety[Community_Incidents],tblSafety[Date],$A156)</f>
        <v/>
      </c>
      <c r="GU156" s="62">
        <f>IF($B156=$B155,$GU155,0)+$GT156</f>
        <v/>
      </c>
      <c r="GV156" s="62">
        <f>$GV155+$GT156</f>
        <v/>
      </c>
      <c r="GW156" s="62">
        <f>SUMIFS(tblSafety[Vehicle_Incidents],tblSafety[Date],$A156)</f>
        <v/>
      </c>
      <c r="GX156" s="62">
        <f>IF($B156=$B155,$GX155,0)+$GW156</f>
        <v/>
      </c>
      <c r="GY156" s="62">
        <f>$GY155+$GW156</f>
        <v/>
      </c>
      <c r="GZ156" s="62">
        <f>SUMIFS(tblSafety[Toolbox_Talks],tblSafety[Date],$A156)</f>
        <v/>
      </c>
      <c r="HA156" s="62">
        <f>IF($B156=$B155,$HA155,0)+$GZ156</f>
        <v/>
      </c>
      <c r="HB156" s="62">
        <f>$HB155+$GZ156</f>
        <v/>
      </c>
      <c r="HC156" s="62">
        <f>SUMIFS(tblSafety[Inspections],tblSafety[Date],$A156)</f>
        <v/>
      </c>
      <c r="HD156" s="62">
        <f>IF($B156=$B155,$HD155,0)+$HC156</f>
        <v/>
      </c>
      <c r="HE156" s="62">
        <f>$HE155+$HC156</f>
        <v/>
      </c>
      <c r="HF156" s="56">
        <f>IFERROR((SUMIFS(tblSafety[Recordables],tblSafety[Date],"&gt;="&amp;EDATE($E156,-12),tblSafety[Date],"&lt;="&amp;$A156)+SUMIFS(tblSafetyHistory[Recordables],tblSafetyHistory[Month],"&gt;="&amp;EDATE($E156,-12),tblSafetyHistory[Month],"&lt;"&amp;cfg_YearStart))/(SUMIFS(tblSafety[Hours_Total],tblSafety[Date],"&gt;="&amp;EDATE($E156,-12),tblSafety[Date],"&lt;="&amp;$A156)+SUMIFS(tblSafetyHistory[Hours_Total],tblSafetyHistory[Month],"&gt;="&amp;EDATE($E156,-12),tblSafetyHistory[Month],"&lt;"&amp;cfg_YearStart))*1000000,"")</f>
        <v/>
      </c>
      <c r="HG156" s="56">
        <f>IFERROR((SUMIFS(tblSafety[LTI],tblSafety[Date],"&gt;="&amp;EDATE($E156,-12),tblSafety[Date],"&lt;="&amp;$A156)+SUMIFS(tblSafetyHistory[LTI],tblSafetyHistory[Month],"&gt;="&amp;EDATE($E156,-12),tblSafetyHistory[Month],"&lt;"&amp;cfg_YearStart))/(SUMIFS(tblSafety[Hours_Total],tblSafety[Date],"&gt;="&amp;EDATE($E156,-12),tblSafety[Date],"&lt;="&amp;$A156)+SUMIFS(tblSafetyHistory[Hours_Total],tblSafetyHistory[Month],"&gt;="&amp;EDATE($E156,-12),tblSafetyHistory[Month],"&lt;"&amp;cfg_YearStart))*1000000,"")</f>
        <v/>
      </c>
      <c r="HH156" s="62">
        <f>IF(MAX(N(cfg_PriorLTIDate),_xlfn.MAXIFS(tblSafety[Date],tblSafety[LTI],"&gt;0",tblSafety[Date],"&lt;="&amp;$A156))=0,"",$A156-MAX(N(cfg_PriorLTIDate),_xlfn.MAXIFS(tblSafety[Date],tblSafety[LTI],"&gt;0",tblSafety[Date],"&lt;="&amp;$A156)))</f>
        <v/>
      </c>
      <c r="HI156" s="55">
        <f>SUMIFS(tblBudget[Ore_Mined_t],tblBudget[Month],$E156)</f>
        <v/>
      </c>
      <c r="HJ156" s="55">
        <f>$HI156*$C156/$D156</f>
        <v/>
      </c>
      <c r="HK156" s="55">
        <f>SUMIFS(tblBudget[Ore_Mined_t],tblBudget[Month],"&lt;"&amp;$E156)+$HJ156</f>
        <v/>
      </c>
      <c r="HL156" s="55">
        <f>SUMIFS(tblBudget[Ore_oz],tblBudget[Month],$E156)</f>
        <v/>
      </c>
      <c r="HM156" s="55">
        <f>$HL156*$C156/$D156</f>
        <v/>
      </c>
      <c r="HN156" s="55">
        <f>SUMIFS(tblBudget[Ore_oz],tblBudget[Month],"&lt;"&amp;$E156)+$HM156</f>
        <v/>
      </c>
      <c r="HO156" s="56">
        <f>IFERROR(IF(($HI156)&gt;0,($HL156*cfg_TroyOz)/($HI156),""),"")</f>
        <v/>
      </c>
      <c r="HP156" s="56">
        <f>IFERROR(IF(($HJ156)&gt;0,($HM156*cfg_TroyOz)/($HJ156),""),"")</f>
        <v/>
      </c>
      <c r="HQ156" s="56">
        <f>IFERROR(IF(($HK156)&gt;0,($HN156*cfg_TroyOz)/($HK156),""),"")</f>
        <v/>
      </c>
      <c r="HR156" s="55">
        <f>SUMIFS(tblBudget[Waste_t],tblBudget[Month],$E156)</f>
        <v/>
      </c>
      <c r="HS156" s="55">
        <f>$HR156*$C156/$D156</f>
        <v/>
      </c>
      <c r="HT156" s="55">
        <f>SUMIFS(tblBudget[Waste_t],tblBudget[Month],"&lt;"&amp;$E156)+$HS156</f>
        <v/>
      </c>
      <c r="HU156" s="55">
        <f>SUMIFS(tblBudget[TMM_t],tblBudget[Month],$E156)</f>
        <v/>
      </c>
      <c r="HV156" s="55">
        <f>$HU156*$C156/$D156</f>
        <v/>
      </c>
      <c r="HW156" s="55">
        <f>SUMIFS(tblBudget[TMM_t],tblBudget[Month],"&lt;"&amp;$E156)+$HV156</f>
        <v/>
      </c>
      <c r="HX156" s="56">
        <f>IFERROR(IF(($HI156)&gt;0,($HR156)/($HI156),""),"")</f>
        <v/>
      </c>
      <c r="HY156" s="56">
        <f>IFERROR(IF(($HJ156)&gt;0,($HS156)/($HJ156),""),"")</f>
        <v/>
      </c>
      <c r="HZ156" s="56">
        <f>IFERROR(IF(($HK156)&gt;0,($HT156)/($HK156),""),"")</f>
        <v/>
      </c>
      <c r="IA156" s="55">
        <f>SUMIFS(tblBudget[Drill_m],tblBudget[Month],$E156)</f>
        <v/>
      </c>
      <c r="IB156" s="55">
        <f>$IA156*$C156/$D156</f>
        <v/>
      </c>
      <c r="IC156" s="55">
        <f>SUMIFS(tblBudget[Drill_m],tblBudget[Month],"&lt;"&amp;$E156)+$IB156</f>
        <v/>
      </c>
      <c r="ID156" s="55">
        <f>SUMIFS(tblBudget[Diesel_L],tblBudget[Month],$E156)</f>
        <v/>
      </c>
      <c r="IE156" s="55">
        <f>$ID156*$C156/$D156</f>
        <v/>
      </c>
      <c r="IF156" s="55">
        <f>SUMIFS(tblBudget[Diesel_L],tblBudget[Month],"&lt;"&amp;$E156)+$IE156</f>
        <v/>
      </c>
      <c r="IG156" s="55">
        <f>SUMIFS(tblBudget[Milled_t],tblBudget[Month],$E156)</f>
        <v/>
      </c>
      <c r="IH156" s="55">
        <f>$IG156*$C156/$D156</f>
        <v/>
      </c>
      <c r="II156" s="55">
        <f>SUMIFS(tblBudget[Milled_t],tblBudget[Month],"&lt;"&amp;$E156)+$IH156</f>
        <v/>
      </c>
      <c r="IJ156" s="55">
        <f>SUMIFS(tblBudget[Feed_oz],tblBudget[Month],$E156)</f>
        <v/>
      </c>
      <c r="IK156" s="55">
        <f>$IJ156*$C156/$D156</f>
        <v/>
      </c>
      <c r="IL156" s="55">
        <f>SUMIFS(tblBudget[Feed_oz],tblBudget[Month],"&lt;"&amp;$E156)+$IK156</f>
        <v/>
      </c>
      <c r="IM156" s="55">
        <f>SUMIFS(tblBudget[Recovered_oz],tblBudget[Month],$E156)</f>
        <v/>
      </c>
      <c r="IN156" s="55">
        <f>$IM156*$C156/$D156</f>
        <v/>
      </c>
      <c r="IO156" s="55">
        <f>SUMIFS(tblBudget[Recovered_oz],tblBudget[Month],"&lt;"&amp;$E156)+$IN156</f>
        <v/>
      </c>
      <c r="IP156" s="56">
        <f>IFERROR(IF(($IG156)&gt;0,($IJ156*cfg_TroyOz)/($IG156),""),"")</f>
        <v/>
      </c>
      <c r="IQ156" s="56">
        <f>IFERROR(IF(($IH156)&gt;0,($IK156*cfg_TroyOz)/($IH156),""),"")</f>
        <v/>
      </c>
      <c r="IR156" s="56">
        <f>IFERROR(IF(($II156)&gt;0,($IL156*cfg_TroyOz)/($II156),""),"")</f>
        <v/>
      </c>
      <c r="IS156" s="67">
        <f>IFERROR(IF(($IJ156)&gt;0,($IM156)/($IJ156),""),"")</f>
        <v/>
      </c>
      <c r="IT156" s="67">
        <f>IFERROR(IF(($IK156)&gt;0,($IN156)/($IK156),""),"")</f>
        <v/>
      </c>
      <c r="IU156" s="67">
        <f>IFERROR(IF(($IL156)&gt;0,($IO156)/($IL156),""),"")</f>
        <v/>
      </c>
      <c r="IV156" s="55">
        <f>SUMIFS(tblBudget[Gold_Poured_oz],tblBudget[Month],$E156)</f>
        <v/>
      </c>
      <c r="IW156" s="55">
        <f>$IV156*$C156/$D156</f>
        <v/>
      </c>
      <c r="IX156" s="55">
        <f>SUMIFS(tblBudget[Gold_Poured_oz],tblBudget[Month],"&lt;"&amp;$E156)+$IW156</f>
        <v/>
      </c>
      <c r="IY156" s="57">
        <f>SUMIFS(tblBudget[Hours_Worked],tblBudget[Month],$E156)</f>
        <v/>
      </c>
      <c r="IZ156" s="57">
        <f>$IY156*$C156/$D156</f>
        <v/>
      </c>
      <c r="JA156" s="57">
        <f>SUMIFS(tblBudget[Hours_Worked],tblBudget[Month],"&lt;"&amp;$E156)+$IZ156</f>
        <v/>
      </c>
    </row>
    <row r="157">
      <c r="A157" s="54" t="n">
        <v>46178</v>
      </c>
      <c r="B157">
        <f>MONTH($A157)</f>
        <v/>
      </c>
      <c r="C157">
        <f>DAY($A157)</f>
        <v/>
      </c>
      <c r="D157">
        <f>DAY(EOMONTH($A157,0))</f>
        <v/>
      </c>
      <c r="E157" s="54">
        <f>DATE(YEAR($A157),MONTH($A157),1)</f>
        <v/>
      </c>
      <c r="F157" s="55">
        <f>SUMIFS(tblMovement[Tonnes_t],tblMovement[Date],$A157,tblMovement[Is_Ore],1,tblMovement[Source_Type],"Pit")</f>
        <v/>
      </c>
      <c r="G157" s="55">
        <f>IF($B157=$B156,$G156,0)+$F157</f>
        <v/>
      </c>
      <c r="H157" s="55">
        <f>$H156+$F157</f>
        <v/>
      </c>
      <c r="I157" s="55">
        <f>SUMIFS(tblMovement[Ore_oz],tblMovement[Date],$A157,tblMovement[Source_Type],"Pit")</f>
        <v/>
      </c>
      <c r="J157" s="55">
        <f>IF($B157=$B156,$J156,0)+$I157</f>
        <v/>
      </c>
      <c r="K157" s="55">
        <f>$K156+$I157</f>
        <v/>
      </c>
      <c r="L157" s="56">
        <f>IFERROR(IF(($F157)&gt;0,($I157*cfg_TroyOz)/($F157),""),"")</f>
        <v/>
      </c>
      <c r="M157" s="56">
        <f>IFERROR(IF(($G157)&gt;0,($J157*cfg_TroyOz)/($G157),""),"")</f>
        <v/>
      </c>
      <c r="N157" s="56">
        <f>IFERROR(IF(($H157)&gt;0,($K157*cfg_TroyOz)/($H157),""),"")</f>
        <v/>
      </c>
      <c r="O157" s="55">
        <f>SUMIFS(tblMovement[Tonnes_t],tblMovement[Date],$A157,tblMovement[Is_Ore],0,tblMovement[Source_Type],"Pit")</f>
        <v/>
      </c>
      <c r="P157" s="55">
        <f>IF($B157=$B156,$P156,0)+$O157</f>
        <v/>
      </c>
      <c r="Q157" s="55">
        <f>$Q156+$O157</f>
        <v/>
      </c>
      <c r="R157" s="55">
        <f>$F157+$O157</f>
        <v/>
      </c>
      <c r="S157" s="55">
        <f>IF($B157=$B156,$S156,0)+$R157</f>
        <v/>
      </c>
      <c r="T157" s="55">
        <f>$T156+$R157</f>
        <v/>
      </c>
      <c r="U157" s="56">
        <f>IFERROR(IF(($F157)&gt;0,($O157)/($F157),""),"")</f>
        <v/>
      </c>
      <c r="V157" s="56">
        <f>IFERROR(IF(($G157)&gt;0,($P157)/($G157),""),"")</f>
        <v/>
      </c>
      <c r="W157" s="56">
        <f>IFERROR(IF(($H157)&gt;0,($Q157)/($H157),""),"")</f>
        <v/>
      </c>
      <c r="X157" s="55">
        <f>SUMIFS(tblMovement[Tonnes_t],tblMovement[Date],$A157,tblMovement[Source_Type],"Stockpile")</f>
        <v/>
      </c>
      <c r="Y157" s="55">
        <f>IF($B157=$B156,$Y156,0)+$X157</f>
        <v/>
      </c>
      <c r="Z157" s="55">
        <f>$Z156+$X157</f>
        <v/>
      </c>
      <c r="AA157" s="55">
        <f>SUMIFS(tblMiningDaily[Drill_m],tblMiningDaily[Date],$A157)</f>
        <v/>
      </c>
      <c r="AB157" s="55">
        <f>IF($B157=$B156,$AB156,0)+$AA157</f>
        <v/>
      </c>
      <c r="AC157" s="55">
        <f>$AC156+$AA157</f>
        <v/>
      </c>
      <c r="AD157" s="55">
        <f>SUMIFS(tblMiningDaily[Blast_t],tblMiningDaily[Date],$A157)</f>
        <v/>
      </c>
      <c r="AE157" s="55">
        <f>IF($B157=$B156,$AE156,0)+$AD157</f>
        <v/>
      </c>
      <c r="AF157" s="55">
        <f>$AF156+$AD157</f>
        <v/>
      </c>
      <c r="AG157" s="55">
        <f>SUMIFS(tblMiningDaily[Explosives_kg],tblMiningDaily[Date],$A157)</f>
        <v/>
      </c>
      <c r="AH157" s="55">
        <f>IF($B157=$B156,$AH156,0)+$AG157</f>
        <v/>
      </c>
      <c r="AI157" s="55">
        <f>$AI156+$AG157</f>
        <v/>
      </c>
      <c r="AJ157" s="56">
        <f>IFERROR(IF(($AD157)&gt;0,($AG157)/($AD157),""),"")</f>
        <v/>
      </c>
      <c r="AK157" s="56">
        <f>IFERROR(IF(($AE157)&gt;0,($AH157)/($AE157),""),"")</f>
        <v/>
      </c>
      <c r="AL157" s="56">
        <f>IFERROR(IF(($AF157)&gt;0,($AI157)/($AF157),""),"")</f>
        <v/>
      </c>
      <c r="AM157" s="55">
        <f>SUMIFS(tblMiningDaily[Diesel_L],tblMiningDaily[Date],$A157)</f>
        <v/>
      </c>
      <c r="AN157" s="55">
        <f>IF($B157=$B156,$AN156,0)+$AM157</f>
        <v/>
      </c>
      <c r="AO157" s="55">
        <f>$AO156+$AM157</f>
        <v/>
      </c>
      <c r="AP157" s="55">
        <f>SUMIFS(tblMiningDaily[Dewatering_m3],tblMiningDaily[Date],$A157)</f>
        <v/>
      </c>
      <c r="AQ157" s="55">
        <f>IF($B157=$B156,$AQ156,0)+$AP157</f>
        <v/>
      </c>
      <c r="AR157" s="55">
        <f>$AR156+$AP157</f>
        <v/>
      </c>
      <c r="AS157" s="57">
        <f>SUMIFS(tblFleet[Calendar_h],tblFleet[Date],$A157,tblFleet[Equipment_Class],"Excavator")</f>
        <v/>
      </c>
      <c r="AT157" s="57">
        <f>IF($B157=$B156,$AT156,0)+$AS157</f>
        <v/>
      </c>
      <c r="AU157" s="57">
        <f>$AU156+$AS157</f>
        <v/>
      </c>
      <c r="AV157" s="57">
        <f>SUMIFS(tblFleet[Available_h],tblFleet[Date],$A157,tblFleet[Equipment_Class],"Excavator")</f>
        <v/>
      </c>
      <c r="AW157" s="57">
        <f>IF($B157=$B156,$AW156,0)+$AV157</f>
        <v/>
      </c>
      <c r="AX157" s="57">
        <f>$AX156+$AV157</f>
        <v/>
      </c>
      <c r="AY157" s="57">
        <f>SUMIFS(tblFleet[Operating_h],tblFleet[Date],$A157,tblFleet[Equipment_Class],"Excavator")</f>
        <v/>
      </c>
      <c r="AZ157" s="57">
        <f>IF($B157=$B156,$AZ156,0)+$AY157</f>
        <v/>
      </c>
      <c r="BA157" s="57">
        <f>$BA156+$AY157</f>
        <v/>
      </c>
      <c r="BB157" s="67">
        <f>IFERROR(IF(($AS157)&gt;0,($AV157)/($AS157),""),"")</f>
        <v/>
      </c>
      <c r="BC157" s="67">
        <f>IFERROR(IF(($AT157)&gt;0,($AW157)/($AT157),""),"")</f>
        <v/>
      </c>
      <c r="BD157" s="67">
        <f>IFERROR(IF(($AU157)&gt;0,($AX157)/($AU157),""),"")</f>
        <v/>
      </c>
      <c r="BE157" s="67">
        <f>IFERROR(IF(($AV157)&gt;0,($AY157)/($AV157),""),"")</f>
        <v/>
      </c>
      <c r="BF157" s="67">
        <f>IFERROR(IF(($AW157)&gt;0,($AZ157)/($AW157),""),"")</f>
        <v/>
      </c>
      <c r="BG157" s="67">
        <f>IFERROR(IF(($AX157)&gt;0,($BA157)/($AX157),""),"")</f>
        <v/>
      </c>
      <c r="BH157" s="57">
        <f>SUMIFS(tblFleet[Calendar_h],tblFleet[Date],$A157,tblFleet[Equipment_Class],"Haul Truck")</f>
        <v/>
      </c>
      <c r="BI157" s="57">
        <f>IF($B157=$B156,$BI156,0)+$BH157</f>
        <v/>
      </c>
      <c r="BJ157" s="57">
        <f>$BJ156+$BH157</f>
        <v/>
      </c>
      <c r="BK157" s="57">
        <f>SUMIFS(tblFleet[Available_h],tblFleet[Date],$A157,tblFleet[Equipment_Class],"Haul Truck")</f>
        <v/>
      </c>
      <c r="BL157" s="57">
        <f>IF($B157=$B156,$BL156,0)+$BK157</f>
        <v/>
      </c>
      <c r="BM157" s="57">
        <f>$BM156+$BK157</f>
        <v/>
      </c>
      <c r="BN157" s="57">
        <f>SUMIFS(tblFleet[Operating_h],tblFleet[Date],$A157,tblFleet[Equipment_Class],"Haul Truck")</f>
        <v/>
      </c>
      <c r="BO157" s="57">
        <f>IF($B157=$B156,$BO156,0)+$BN157</f>
        <v/>
      </c>
      <c r="BP157" s="57">
        <f>$BP156+$BN157</f>
        <v/>
      </c>
      <c r="BQ157" s="67">
        <f>IFERROR(IF(($BH157)&gt;0,($BK157)/($BH157),""),"")</f>
        <v/>
      </c>
      <c r="BR157" s="67">
        <f>IFERROR(IF(($BI157)&gt;0,($BL157)/($BI157),""),"")</f>
        <v/>
      </c>
      <c r="BS157" s="67">
        <f>IFERROR(IF(($BJ157)&gt;0,($BM157)/($BJ157),""),"")</f>
        <v/>
      </c>
      <c r="BT157" s="67">
        <f>IFERROR(IF(($BK157)&gt;0,($BN157)/($BK157),""),"")</f>
        <v/>
      </c>
      <c r="BU157" s="67">
        <f>IFERROR(IF(($BL157)&gt;0,($BO157)/($BL157),""),"")</f>
        <v/>
      </c>
      <c r="BV157" s="67">
        <f>IFERROR(IF(($BM157)&gt;0,($BP157)/($BM157),""),"")</f>
        <v/>
      </c>
      <c r="BW157" s="55">
        <f>SUMIFS(tblPlant[Crushed_t],tblPlant[Date],$A157)</f>
        <v/>
      </c>
      <c r="BX157" s="55">
        <f>IF($B157=$B156,$BX156,0)+$BW157</f>
        <v/>
      </c>
      <c r="BY157" s="55">
        <f>$BY156+$BW157</f>
        <v/>
      </c>
      <c r="BZ157" s="55">
        <f>SUMIFS(tblPlant[Milled_t],tblPlant[Date],$A157)</f>
        <v/>
      </c>
      <c r="CA157" s="55">
        <f>IF($B157=$B156,$CA156,0)+$BZ157</f>
        <v/>
      </c>
      <c r="CB157" s="55">
        <f>$CB156+$BZ157</f>
        <v/>
      </c>
      <c r="CC157" s="55">
        <f>SUMIFS(tblPlant[Feed_oz],tblPlant[Date],$A157)</f>
        <v/>
      </c>
      <c r="CD157" s="55">
        <f>IF($B157=$B156,$CD156,0)+$CC157</f>
        <v/>
      </c>
      <c r="CE157" s="55">
        <f>$CE156+$CC157</f>
        <v/>
      </c>
      <c r="CF157" s="55">
        <f>SUMIFS(tblPlant[Tails_oz],tblPlant[Date],$A157)</f>
        <v/>
      </c>
      <c r="CG157" s="55">
        <f>IF($B157=$B156,$CG156,0)+$CF157</f>
        <v/>
      </c>
      <c r="CH157" s="55">
        <f>$CH156+$CF157</f>
        <v/>
      </c>
      <c r="CI157" s="55">
        <f>SUMIFS(tblPlant[Recovered_oz],tblPlant[Date],$A157)</f>
        <v/>
      </c>
      <c r="CJ157" s="55">
        <f>IF($B157=$B156,$CJ156,0)+$CI157</f>
        <v/>
      </c>
      <c r="CK157" s="55">
        <f>$CK156+$CI157</f>
        <v/>
      </c>
      <c r="CL157" s="56">
        <f>IFERROR(IF(($BZ157)&gt;0,($CC157*cfg_TroyOz)/($BZ157),""),"")</f>
        <v/>
      </c>
      <c r="CM157" s="56">
        <f>IFERROR(IF(($CA157)&gt;0,($CD157*cfg_TroyOz)/($CA157),""),"")</f>
        <v/>
      </c>
      <c r="CN157" s="56">
        <f>IFERROR(IF(($CB157)&gt;0,($CE157*cfg_TroyOz)/($CB157),""),"")</f>
        <v/>
      </c>
      <c r="CO157" s="56">
        <f>IFERROR(IF(($BZ157)&gt;0,($CF157*cfg_TroyOz)/($BZ157),""),"")</f>
        <v/>
      </c>
      <c r="CP157" s="56">
        <f>IFERROR(IF(($CA157)&gt;0,($CG157*cfg_TroyOz)/($CA157),""),"")</f>
        <v/>
      </c>
      <c r="CQ157" s="56">
        <f>IFERROR(IF(($CB157)&gt;0,($CH157*cfg_TroyOz)/($CB157),""),"")</f>
        <v/>
      </c>
      <c r="CR157" s="67">
        <f>IFERROR(IF(($CC157)&gt;0,($CI157)/($CC157),""),"")</f>
        <v/>
      </c>
      <c r="CS157" s="67">
        <f>IFERROR(IF(($CD157)&gt;0,($CJ157)/($CD157),""),"")</f>
        <v/>
      </c>
      <c r="CT157" s="67">
        <f>IFERROR(IF(($CE157)&gt;0,($CK157)/($CE157),""),"")</f>
        <v/>
      </c>
      <c r="CU157" s="55">
        <f>SUMIFS(tblPlant[Gravity_Gold_oz],tblPlant[Date],$A157)</f>
        <v/>
      </c>
      <c r="CV157" s="55">
        <f>IF($B157=$B156,$CV156,0)+$CU157</f>
        <v/>
      </c>
      <c r="CW157" s="55">
        <f>$CW156+$CU157</f>
        <v/>
      </c>
      <c r="CX157" s="55">
        <f>SUMIFS(tblPlant[Gold_Poured_oz],tblPlant[Date],$A157)</f>
        <v/>
      </c>
      <c r="CY157" s="55">
        <f>IF($B157=$B156,$CY156,0)+$CX157</f>
        <v/>
      </c>
      <c r="CZ157" s="55">
        <f>$CZ156+$CX157</f>
        <v/>
      </c>
      <c r="DA157" s="57">
        <f>SUMIFS(tblPlant[Mill_Run_h],tblPlant[Date],$A157)</f>
        <v/>
      </c>
      <c r="DB157" s="57">
        <f>IF($B157=$B156,$DB156,0)+$DA157</f>
        <v/>
      </c>
      <c r="DC157" s="57">
        <f>$DC156+$DA157</f>
        <v/>
      </c>
      <c r="DD157" s="57">
        <f>SUMIFS(tblPlant[Mill_Planned_Maint_h],tblPlant[Date],$A157)</f>
        <v/>
      </c>
      <c r="DE157" s="57">
        <f>IF($B157=$B156,$DE156,0)+$DD157</f>
        <v/>
      </c>
      <c r="DF157" s="57">
        <f>$DF156+$DD157</f>
        <v/>
      </c>
      <c r="DG157" s="57">
        <f>SUMIFS(tblPlant[Mill_Unplanned_Down_h],tblPlant[Date],$A157)</f>
        <v/>
      </c>
      <c r="DH157" s="57">
        <f>IF($B157=$B156,$DH156,0)+$DG157</f>
        <v/>
      </c>
      <c r="DI157" s="57">
        <f>$DI156+$DG157</f>
        <v/>
      </c>
      <c r="DJ157" s="57">
        <f>COUNTIFS(tblPlant[Date],$A157,tblPlant[Mill_Run_h],"&lt;&gt;")*24</f>
        <v/>
      </c>
      <c r="DK157" s="57">
        <f>IF($B157=$B156,$DK156,0)+$DJ157</f>
        <v/>
      </c>
      <c r="DL157" s="57">
        <f>$DL156+$DJ157</f>
        <v/>
      </c>
      <c r="DM157" s="57">
        <f>SUMIFS(tblPlant[Crusher_Run_h],tblPlant[Date],$A157)</f>
        <v/>
      </c>
      <c r="DN157" s="57">
        <f>IF($B157=$B156,$DN156,0)+$DM157</f>
        <v/>
      </c>
      <c r="DO157" s="57">
        <f>$DO156+$DM157</f>
        <v/>
      </c>
      <c r="DP157" s="55">
        <f>IFERROR(IF(($DA157)&gt;0,($BZ157)/($DA157),""),"")</f>
        <v/>
      </c>
      <c r="DQ157" s="55">
        <f>IFERROR(IF(($DB157)&gt;0,($CA157)/($DB157),""),"")</f>
        <v/>
      </c>
      <c r="DR157" s="55">
        <f>IFERROR(IF(($DC157)&gt;0,($CB157)/($DC157),""),"")</f>
        <v/>
      </c>
      <c r="DS157" s="67">
        <f>IFERROR(IF(($DJ157)&gt;0,($DJ157-$DD157-$DG157)/($DJ157),""),"")</f>
        <v/>
      </c>
      <c r="DT157" s="67">
        <f>IFERROR(IF(($DK157)&gt;0,($DK157-$DE157-$DH157)/($DK157),""),"")</f>
        <v/>
      </c>
      <c r="DU157" s="67">
        <f>IFERROR(IF(($DL157)&gt;0,($DL157-$DF157-$DI157)/($DL157),""),"")</f>
        <v/>
      </c>
      <c r="DV157" s="67">
        <f>IFERROR(IF(($DJ157-$DD157-$DG157)&gt;0,($DA157)/($DJ157-$DD157-$DG157),""),"")</f>
        <v/>
      </c>
      <c r="DW157" s="67">
        <f>IFERROR(IF(($DK157-$DE157-$DH157)&gt;0,($DB157)/($DK157-$DE157-$DH157),""),"")</f>
        <v/>
      </c>
      <c r="DX157" s="67">
        <f>IFERROR(IF(($DL157-$DF157-$DI157)&gt;0,($DC157)/($DL157-$DF157-$DI157),""),"")</f>
        <v/>
      </c>
      <c r="DY157" s="55">
        <f>SUMIFS(tblPlant[Cyanide_kg],tblPlant[Date],$A157)</f>
        <v/>
      </c>
      <c r="DZ157" s="55">
        <f>IF($B157=$B156,$DZ156,0)+$DY157</f>
        <v/>
      </c>
      <c r="EA157" s="55">
        <f>$EA156+$DY157</f>
        <v/>
      </c>
      <c r="EB157" s="55">
        <f>SUMIFS(tblPlant[Lime_kg],tblPlant[Date],$A157)</f>
        <v/>
      </c>
      <c r="EC157" s="55">
        <f>IF($B157=$B156,$EC156,0)+$EB157</f>
        <v/>
      </c>
      <c r="ED157" s="55">
        <f>$ED156+$EB157</f>
        <v/>
      </c>
      <c r="EE157" s="55">
        <f>SUMIFS(tblPlant[Grinding_Media_kg],tblPlant[Date],$A157)</f>
        <v/>
      </c>
      <c r="EF157" s="55">
        <f>IF($B157=$B156,$EF156,0)+$EE157</f>
        <v/>
      </c>
      <c r="EG157" s="55">
        <f>$EG156+$EE157</f>
        <v/>
      </c>
      <c r="EH157" s="55">
        <f>SUMIFS(tblPlant[Power_kWh],tblPlant[Date],$A157)</f>
        <v/>
      </c>
      <c r="EI157" s="55">
        <f>IF($B157=$B156,$EI156,0)+$EH157</f>
        <v/>
      </c>
      <c r="EJ157" s="55">
        <f>$EJ156+$EH157</f>
        <v/>
      </c>
      <c r="EK157" s="55">
        <f>SUMIFS(tblPlant[Raw_Water_m3],tblPlant[Date],$A157)</f>
        <v/>
      </c>
      <c r="EL157" s="55">
        <f>IF($B157=$B156,$EL156,0)+$EK157</f>
        <v/>
      </c>
      <c r="EM157" s="55">
        <f>$EM156+$EK157</f>
        <v/>
      </c>
      <c r="EN157" s="56">
        <f>IFERROR(IF(($BZ157)&gt;0,($DY157)/($BZ157),""),"")</f>
        <v/>
      </c>
      <c r="EO157" s="56">
        <f>IFERROR(IF(($CA157)&gt;0,($DZ157)/($CA157),""),"")</f>
        <v/>
      </c>
      <c r="EP157" s="56">
        <f>IFERROR(IF(($CB157)&gt;0,($EA157)/($CB157),""),"")</f>
        <v/>
      </c>
      <c r="EQ157" s="56">
        <f>IFERROR(IF(($BZ157)&gt;0,($EB157)/($BZ157),""),"")</f>
        <v/>
      </c>
      <c r="ER157" s="56">
        <f>IFERROR(IF(($CA157)&gt;0,($EC157)/($CA157),""),"")</f>
        <v/>
      </c>
      <c r="ES157" s="56">
        <f>IFERROR(IF(($CB157)&gt;0,($ED157)/($CB157),""),"")</f>
        <v/>
      </c>
      <c r="ET157" s="56">
        <f>IFERROR(IF(($BZ157)&gt;0,($EE157)/($BZ157),""),"")</f>
        <v/>
      </c>
      <c r="EU157" s="56">
        <f>IFERROR(IF(($CA157)&gt;0,($EF157)/($CA157),""),"")</f>
        <v/>
      </c>
      <c r="EV157" s="56">
        <f>IFERROR(IF(($CB157)&gt;0,($EG157)/($CB157),""),"")</f>
        <v/>
      </c>
      <c r="EW157" s="76">
        <f>IFERROR(IF(($BZ157)&gt;0,($EH157)/($BZ157),""),"")</f>
        <v/>
      </c>
      <c r="EX157" s="76">
        <f>IFERROR(IF(($CA157)&gt;0,($EI157)/($CA157),""),"")</f>
        <v/>
      </c>
      <c r="EY157" s="76">
        <f>IFERROR(IF(($CB157)&gt;0,($EJ157)/($CB157),""),"")</f>
        <v/>
      </c>
      <c r="EZ157" s="56">
        <f>IFERROR(IF(($BZ157)&gt;0,($EK157)/($BZ157),""),"")</f>
        <v/>
      </c>
      <c r="FA157" s="56">
        <f>IFERROR(IF(($CA157)&gt;0,($EL157)/($CA157),""),"")</f>
        <v/>
      </c>
      <c r="FB157" s="56">
        <f>IFERROR(IF(($CB157)&gt;0,($EM157)/($CB157),""),"")</f>
        <v/>
      </c>
      <c r="FC157" s="55">
        <f>IF(SUMIFS(tblPlant[GIC_oz],tblPlant[Date],$A157)&gt;0,SUMIFS(tblPlant[GIC_oz],tblPlant[Date],$A157),"")</f>
        <v/>
      </c>
      <c r="FD157" s="55">
        <f>SUMIFS(tblGold[Gold_oz],tblGold[Date],$A157,tblGold[Type],"Shipment")</f>
        <v/>
      </c>
      <c r="FE157" s="55">
        <f>IF($B157=$B156,$FE156,0)+$FD157</f>
        <v/>
      </c>
      <c r="FF157" s="55">
        <f>$FF156+$FD157</f>
        <v/>
      </c>
      <c r="FG157" s="55">
        <f>SUMIFS(tblGold[Gold_oz],tblGold[Date],$A157,tblGold[Type],"Sale")</f>
        <v/>
      </c>
      <c r="FH157" s="55">
        <f>IF($B157=$B156,$FH156,0)+$FG157</f>
        <v/>
      </c>
      <c r="FI157" s="55">
        <f>$FI156+$FG157</f>
        <v/>
      </c>
      <c r="FJ157" s="55">
        <f>SUMIFS(tblGold[Dore_kg],tblGold[Date],$A157,tblGold[Type],"Shipment")</f>
        <v/>
      </c>
      <c r="FK157" s="55">
        <f>IF($B157=$B156,$FK156,0)+$FJ157</f>
        <v/>
      </c>
      <c r="FL157" s="55">
        <f>$FL156+$FJ157</f>
        <v/>
      </c>
      <c r="FM157" s="57">
        <f>SUMIFS(tblSafety[Hours_Total],tblSafety[Date],$A157)</f>
        <v/>
      </c>
      <c r="FN157" s="57">
        <f>IF($B157=$B156,$FN156,0)+$FM157</f>
        <v/>
      </c>
      <c r="FO157" s="57">
        <f>$FO156+$FM157</f>
        <v/>
      </c>
      <c r="FP157" s="62">
        <f>SUMIFS(tblSafety[Fatality],tblSafety[Date],$A157)</f>
        <v/>
      </c>
      <c r="FQ157" s="62">
        <f>IF($B157=$B156,$FQ156,0)+$FP157</f>
        <v/>
      </c>
      <c r="FR157" s="62">
        <f>$FR156+$FP157</f>
        <v/>
      </c>
      <c r="FS157" s="62">
        <f>SUMIFS(tblSafety[LTI],tblSafety[Date],$A157)</f>
        <v/>
      </c>
      <c r="FT157" s="62">
        <f>IF($B157=$B156,$FT156,0)+$FS157</f>
        <v/>
      </c>
      <c r="FU157" s="62">
        <f>$FU156+$FS157</f>
        <v/>
      </c>
      <c r="FV157" s="62">
        <f>SUMIFS(tblSafety[RWI],tblSafety[Date],$A157)</f>
        <v/>
      </c>
      <c r="FW157" s="62">
        <f>IF($B157=$B156,$FW156,0)+$FV157</f>
        <v/>
      </c>
      <c r="FX157" s="62">
        <f>$FX156+$FV157</f>
        <v/>
      </c>
      <c r="FY157" s="62">
        <f>SUMIFS(tblSafety[MTI],tblSafety[Date],$A157)</f>
        <v/>
      </c>
      <c r="FZ157" s="62">
        <f>IF($B157=$B156,$FZ156,0)+$FY157</f>
        <v/>
      </c>
      <c r="GA157" s="62">
        <f>$GA156+$FY157</f>
        <v/>
      </c>
      <c r="GB157" s="62">
        <f>SUMIFS(tblSafety[FAI],tblSafety[Date],$A157)</f>
        <v/>
      </c>
      <c r="GC157" s="62">
        <f>IF($B157=$B156,$GC156,0)+$GB157</f>
        <v/>
      </c>
      <c r="GD157" s="62">
        <f>$GD156+$GB157</f>
        <v/>
      </c>
      <c r="GE157" s="62">
        <f>SUMIFS(tblSafety[Recordables],tblSafety[Date],$A157)</f>
        <v/>
      </c>
      <c r="GF157" s="62">
        <f>IF($B157=$B156,$GF156,0)+$GE157</f>
        <v/>
      </c>
      <c r="GG157" s="62">
        <f>$GG156+$GE157</f>
        <v/>
      </c>
      <c r="GH157" s="62">
        <f>SUMIFS(tblSafety[Near_Miss],tblSafety[Date],$A157)</f>
        <v/>
      </c>
      <c r="GI157" s="62">
        <f>IF($B157=$B156,$GI156,0)+$GH157</f>
        <v/>
      </c>
      <c r="GJ157" s="62">
        <f>$GJ156+$GH157</f>
        <v/>
      </c>
      <c r="GK157" s="62">
        <f>SUMIFS(tblSafety[Hazard_Reports],tblSafety[Date],$A157)</f>
        <v/>
      </c>
      <c r="GL157" s="62">
        <f>IF($B157=$B156,$GL156,0)+$GK157</f>
        <v/>
      </c>
      <c r="GM157" s="62">
        <f>$GM156+$GK157</f>
        <v/>
      </c>
      <c r="GN157" s="62">
        <f>SUMIFS(tblSafety[HPI],tblSafety[Date],$A157)</f>
        <v/>
      </c>
      <c r="GO157" s="62">
        <f>IF($B157=$B156,$GO156,0)+$GN157</f>
        <v/>
      </c>
      <c r="GP157" s="62">
        <f>$GP156+$GN157</f>
        <v/>
      </c>
      <c r="GQ157" s="62">
        <f>SUMIFS(tblSafety[Env_Incidents],tblSafety[Date],$A157)</f>
        <v/>
      </c>
      <c r="GR157" s="62">
        <f>IF($B157=$B156,$GR156,0)+$GQ157</f>
        <v/>
      </c>
      <c r="GS157" s="62">
        <f>$GS156+$GQ157</f>
        <v/>
      </c>
      <c r="GT157" s="62">
        <f>SUMIFS(tblSafety[Community_Incidents],tblSafety[Date],$A157)</f>
        <v/>
      </c>
      <c r="GU157" s="62">
        <f>IF($B157=$B156,$GU156,0)+$GT157</f>
        <v/>
      </c>
      <c r="GV157" s="62">
        <f>$GV156+$GT157</f>
        <v/>
      </c>
      <c r="GW157" s="62">
        <f>SUMIFS(tblSafety[Vehicle_Incidents],tblSafety[Date],$A157)</f>
        <v/>
      </c>
      <c r="GX157" s="62">
        <f>IF($B157=$B156,$GX156,0)+$GW157</f>
        <v/>
      </c>
      <c r="GY157" s="62">
        <f>$GY156+$GW157</f>
        <v/>
      </c>
      <c r="GZ157" s="62">
        <f>SUMIFS(tblSafety[Toolbox_Talks],tblSafety[Date],$A157)</f>
        <v/>
      </c>
      <c r="HA157" s="62">
        <f>IF($B157=$B156,$HA156,0)+$GZ157</f>
        <v/>
      </c>
      <c r="HB157" s="62">
        <f>$HB156+$GZ157</f>
        <v/>
      </c>
      <c r="HC157" s="62">
        <f>SUMIFS(tblSafety[Inspections],tblSafety[Date],$A157)</f>
        <v/>
      </c>
      <c r="HD157" s="62">
        <f>IF($B157=$B156,$HD156,0)+$HC157</f>
        <v/>
      </c>
      <c r="HE157" s="62">
        <f>$HE156+$HC157</f>
        <v/>
      </c>
      <c r="HF157" s="56">
        <f>IFERROR((SUMIFS(tblSafety[Recordables],tblSafety[Date],"&gt;="&amp;EDATE($E157,-12),tblSafety[Date],"&lt;="&amp;$A157)+SUMIFS(tblSafetyHistory[Recordables],tblSafetyHistory[Month],"&gt;="&amp;EDATE($E157,-12),tblSafetyHistory[Month],"&lt;"&amp;cfg_YearStart))/(SUMIFS(tblSafety[Hours_Total],tblSafety[Date],"&gt;="&amp;EDATE($E157,-12),tblSafety[Date],"&lt;="&amp;$A157)+SUMIFS(tblSafetyHistory[Hours_Total],tblSafetyHistory[Month],"&gt;="&amp;EDATE($E157,-12),tblSafetyHistory[Month],"&lt;"&amp;cfg_YearStart))*1000000,"")</f>
        <v/>
      </c>
      <c r="HG157" s="56">
        <f>IFERROR((SUMIFS(tblSafety[LTI],tblSafety[Date],"&gt;="&amp;EDATE($E157,-12),tblSafety[Date],"&lt;="&amp;$A157)+SUMIFS(tblSafetyHistory[LTI],tblSafetyHistory[Month],"&gt;="&amp;EDATE($E157,-12),tblSafetyHistory[Month],"&lt;"&amp;cfg_YearStart))/(SUMIFS(tblSafety[Hours_Total],tblSafety[Date],"&gt;="&amp;EDATE($E157,-12),tblSafety[Date],"&lt;="&amp;$A157)+SUMIFS(tblSafetyHistory[Hours_Total],tblSafetyHistory[Month],"&gt;="&amp;EDATE($E157,-12),tblSafetyHistory[Month],"&lt;"&amp;cfg_YearStart))*1000000,"")</f>
        <v/>
      </c>
      <c r="HH157" s="62">
        <f>IF(MAX(N(cfg_PriorLTIDate),_xlfn.MAXIFS(tblSafety[Date],tblSafety[LTI],"&gt;0",tblSafety[Date],"&lt;="&amp;$A157))=0,"",$A157-MAX(N(cfg_PriorLTIDate),_xlfn.MAXIFS(tblSafety[Date],tblSafety[LTI],"&gt;0",tblSafety[Date],"&lt;="&amp;$A157)))</f>
        <v/>
      </c>
      <c r="HI157" s="55">
        <f>SUMIFS(tblBudget[Ore_Mined_t],tblBudget[Month],$E157)</f>
        <v/>
      </c>
      <c r="HJ157" s="55">
        <f>$HI157*$C157/$D157</f>
        <v/>
      </c>
      <c r="HK157" s="55">
        <f>SUMIFS(tblBudget[Ore_Mined_t],tblBudget[Month],"&lt;"&amp;$E157)+$HJ157</f>
        <v/>
      </c>
      <c r="HL157" s="55">
        <f>SUMIFS(tblBudget[Ore_oz],tblBudget[Month],$E157)</f>
        <v/>
      </c>
      <c r="HM157" s="55">
        <f>$HL157*$C157/$D157</f>
        <v/>
      </c>
      <c r="HN157" s="55">
        <f>SUMIFS(tblBudget[Ore_oz],tblBudget[Month],"&lt;"&amp;$E157)+$HM157</f>
        <v/>
      </c>
      <c r="HO157" s="56">
        <f>IFERROR(IF(($HI157)&gt;0,($HL157*cfg_TroyOz)/($HI157),""),"")</f>
        <v/>
      </c>
      <c r="HP157" s="56">
        <f>IFERROR(IF(($HJ157)&gt;0,($HM157*cfg_TroyOz)/($HJ157),""),"")</f>
        <v/>
      </c>
      <c r="HQ157" s="56">
        <f>IFERROR(IF(($HK157)&gt;0,($HN157*cfg_TroyOz)/($HK157),""),"")</f>
        <v/>
      </c>
      <c r="HR157" s="55">
        <f>SUMIFS(tblBudget[Waste_t],tblBudget[Month],$E157)</f>
        <v/>
      </c>
      <c r="HS157" s="55">
        <f>$HR157*$C157/$D157</f>
        <v/>
      </c>
      <c r="HT157" s="55">
        <f>SUMIFS(tblBudget[Waste_t],tblBudget[Month],"&lt;"&amp;$E157)+$HS157</f>
        <v/>
      </c>
      <c r="HU157" s="55">
        <f>SUMIFS(tblBudget[TMM_t],tblBudget[Month],$E157)</f>
        <v/>
      </c>
      <c r="HV157" s="55">
        <f>$HU157*$C157/$D157</f>
        <v/>
      </c>
      <c r="HW157" s="55">
        <f>SUMIFS(tblBudget[TMM_t],tblBudget[Month],"&lt;"&amp;$E157)+$HV157</f>
        <v/>
      </c>
      <c r="HX157" s="56">
        <f>IFERROR(IF(($HI157)&gt;0,($HR157)/($HI157),""),"")</f>
        <v/>
      </c>
      <c r="HY157" s="56">
        <f>IFERROR(IF(($HJ157)&gt;0,($HS157)/($HJ157),""),"")</f>
        <v/>
      </c>
      <c r="HZ157" s="56">
        <f>IFERROR(IF(($HK157)&gt;0,($HT157)/($HK157),""),"")</f>
        <v/>
      </c>
      <c r="IA157" s="55">
        <f>SUMIFS(tblBudget[Drill_m],tblBudget[Month],$E157)</f>
        <v/>
      </c>
      <c r="IB157" s="55">
        <f>$IA157*$C157/$D157</f>
        <v/>
      </c>
      <c r="IC157" s="55">
        <f>SUMIFS(tblBudget[Drill_m],tblBudget[Month],"&lt;"&amp;$E157)+$IB157</f>
        <v/>
      </c>
      <c r="ID157" s="55">
        <f>SUMIFS(tblBudget[Diesel_L],tblBudget[Month],$E157)</f>
        <v/>
      </c>
      <c r="IE157" s="55">
        <f>$ID157*$C157/$D157</f>
        <v/>
      </c>
      <c r="IF157" s="55">
        <f>SUMIFS(tblBudget[Diesel_L],tblBudget[Month],"&lt;"&amp;$E157)+$IE157</f>
        <v/>
      </c>
      <c r="IG157" s="55">
        <f>SUMIFS(tblBudget[Milled_t],tblBudget[Month],$E157)</f>
        <v/>
      </c>
      <c r="IH157" s="55">
        <f>$IG157*$C157/$D157</f>
        <v/>
      </c>
      <c r="II157" s="55">
        <f>SUMIFS(tblBudget[Milled_t],tblBudget[Month],"&lt;"&amp;$E157)+$IH157</f>
        <v/>
      </c>
      <c r="IJ157" s="55">
        <f>SUMIFS(tblBudget[Feed_oz],tblBudget[Month],$E157)</f>
        <v/>
      </c>
      <c r="IK157" s="55">
        <f>$IJ157*$C157/$D157</f>
        <v/>
      </c>
      <c r="IL157" s="55">
        <f>SUMIFS(tblBudget[Feed_oz],tblBudget[Month],"&lt;"&amp;$E157)+$IK157</f>
        <v/>
      </c>
      <c r="IM157" s="55">
        <f>SUMIFS(tblBudget[Recovered_oz],tblBudget[Month],$E157)</f>
        <v/>
      </c>
      <c r="IN157" s="55">
        <f>$IM157*$C157/$D157</f>
        <v/>
      </c>
      <c r="IO157" s="55">
        <f>SUMIFS(tblBudget[Recovered_oz],tblBudget[Month],"&lt;"&amp;$E157)+$IN157</f>
        <v/>
      </c>
      <c r="IP157" s="56">
        <f>IFERROR(IF(($IG157)&gt;0,($IJ157*cfg_TroyOz)/($IG157),""),"")</f>
        <v/>
      </c>
      <c r="IQ157" s="56">
        <f>IFERROR(IF(($IH157)&gt;0,($IK157*cfg_TroyOz)/($IH157),""),"")</f>
        <v/>
      </c>
      <c r="IR157" s="56">
        <f>IFERROR(IF(($II157)&gt;0,($IL157*cfg_TroyOz)/($II157),""),"")</f>
        <v/>
      </c>
      <c r="IS157" s="67">
        <f>IFERROR(IF(($IJ157)&gt;0,($IM157)/($IJ157),""),"")</f>
        <v/>
      </c>
      <c r="IT157" s="67">
        <f>IFERROR(IF(($IK157)&gt;0,($IN157)/($IK157),""),"")</f>
        <v/>
      </c>
      <c r="IU157" s="67">
        <f>IFERROR(IF(($IL157)&gt;0,($IO157)/($IL157),""),"")</f>
        <v/>
      </c>
      <c r="IV157" s="55">
        <f>SUMIFS(tblBudget[Gold_Poured_oz],tblBudget[Month],$E157)</f>
        <v/>
      </c>
      <c r="IW157" s="55">
        <f>$IV157*$C157/$D157</f>
        <v/>
      </c>
      <c r="IX157" s="55">
        <f>SUMIFS(tblBudget[Gold_Poured_oz],tblBudget[Month],"&lt;"&amp;$E157)+$IW157</f>
        <v/>
      </c>
      <c r="IY157" s="57">
        <f>SUMIFS(tblBudget[Hours_Worked],tblBudget[Month],$E157)</f>
        <v/>
      </c>
      <c r="IZ157" s="57">
        <f>$IY157*$C157/$D157</f>
        <v/>
      </c>
      <c r="JA157" s="57">
        <f>SUMIFS(tblBudget[Hours_Worked],tblBudget[Month],"&lt;"&amp;$E157)+$IZ157</f>
        <v/>
      </c>
    </row>
    <row r="158">
      <c r="A158" s="54" t="n">
        <v>46179</v>
      </c>
      <c r="B158">
        <f>MONTH($A158)</f>
        <v/>
      </c>
      <c r="C158">
        <f>DAY($A158)</f>
        <v/>
      </c>
      <c r="D158">
        <f>DAY(EOMONTH($A158,0))</f>
        <v/>
      </c>
      <c r="E158" s="54">
        <f>DATE(YEAR($A158),MONTH($A158),1)</f>
        <v/>
      </c>
      <c r="F158" s="55">
        <f>SUMIFS(tblMovement[Tonnes_t],tblMovement[Date],$A158,tblMovement[Is_Ore],1,tblMovement[Source_Type],"Pit")</f>
        <v/>
      </c>
      <c r="G158" s="55">
        <f>IF($B158=$B157,$G157,0)+$F158</f>
        <v/>
      </c>
      <c r="H158" s="55">
        <f>$H157+$F158</f>
        <v/>
      </c>
      <c r="I158" s="55">
        <f>SUMIFS(tblMovement[Ore_oz],tblMovement[Date],$A158,tblMovement[Source_Type],"Pit")</f>
        <v/>
      </c>
      <c r="J158" s="55">
        <f>IF($B158=$B157,$J157,0)+$I158</f>
        <v/>
      </c>
      <c r="K158" s="55">
        <f>$K157+$I158</f>
        <v/>
      </c>
      <c r="L158" s="56">
        <f>IFERROR(IF(($F158)&gt;0,($I158*cfg_TroyOz)/($F158),""),"")</f>
        <v/>
      </c>
      <c r="M158" s="56">
        <f>IFERROR(IF(($G158)&gt;0,($J158*cfg_TroyOz)/($G158),""),"")</f>
        <v/>
      </c>
      <c r="N158" s="56">
        <f>IFERROR(IF(($H158)&gt;0,($K158*cfg_TroyOz)/($H158),""),"")</f>
        <v/>
      </c>
      <c r="O158" s="55">
        <f>SUMIFS(tblMovement[Tonnes_t],tblMovement[Date],$A158,tblMovement[Is_Ore],0,tblMovement[Source_Type],"Pit")</f>
        <v/>
      </c>
      <c r="P158" s="55">
        <f>IF($B158=$B157,$P157,0)+$O158</f>
        <v/>
      </c>
      <c r="Q158" s="55">
        <f>$Q157+$O158</f>
        <v/>
      </c>
      <c r="R158" s="55">
        <f>$F158+$O158</f>
        <v/>
      </c>
      <c r="S158" s="55">
        <f>IF($B158=$B157,$S157,0)+$R158</f>
        <v/>
      </c>
      <c r="T158" s="55">
        <f>$T157+$R158</f>
        <v/>
      </c>
      <c r="U158" s="56">
        <f>IFERROR(IF(($F158)&gt;0,($O158)/($F158),""),"")</f>
        <v/>
      </c>
      <c r="V158" s="56">
        <f>IFERROR(IF(($G158)&gt;0,($P158)/($G158),""),"")</f>
        <v/>
      </c>
      <c r="W158" s="56">
        <f>IFERROR(IF(($H158)&gt;0,($Q158)/($H158),""),"")</f>
        <v/>
      </c>
      <c r="X158" s="55">
        <f>SUMIFS(tblMovement[Tonnes_t],tblMovement[Date],$A158,tblMovement[Source_Type],"Stockpile")</f>
        <v/>
      </c>
      <c r="Y158" s="55">
        <f>IF($B158=$B157,$Y157,0)+$X158</f>
        <v/>
      </c>
      <c r="Z158" s="55">
        <f>$Z157+$X158</f>
        <v/>
      </c>
      <c r="AA158" s="55">
        <f>SUMIFS(tblMiningDaily[Drill_m],tblMiningDaily[Date],$A158)</f>
        <v/>
      </c>
      <c r="AB158" s="55">
        <f>IF($B158=$B157,$AB157,0)+$AA158</f>
        <v/>
      </c>
      <c r="AC158" s="55">
        <f>$AC157+$AA158</f>
        <v/>
      </c>
      <c r="AD158" s="55">
        <f>SUMIFS(tblMiningDaily[Blast_t],tblMiningDaily[Date],$A158)</f>
        <v/>
      </c>
      <c r="AE158" s="55">
        <f>IF($B158=$B157,$AE157,0)+$AD158</f>
        <v/>
      </c>
      <c r="AF158" s="55">
        <f>$AF157+$AD158</f>
        <v/>
      </c>
      <c r="AG158" s="55">
        <f>SUMIFS(tblMiningDaily[Explosives_kg],tblMiningDaily[Date],$A158)</f>
        <v/>
      </c>
      <c r="AH158" s="55">
        <f>IF($B158=$B157,$AH157,0)+$AG158</f>
        <v/>
      </c>
      <c r="AI158" s="55">
        <f>$AI157+$AG158</f>
        <v/>
      </c>
      <c r="AJ158" s="56">
        <f>IFERROR(IF(($AD158)&gt;0,($AG158)/($AD158),""),"")</f>
        <v/>
      </c>
      <c r="AK158" s="56">
        <f>IFERROR(IF(($AE158)&gt;0,($AH158)/($AE158),""),"")</f>
        <v/>
      </c>
      <c r="AL158" s="56">
        <f>IFERROR(IF(($AF158)&gt;0,($AI158)/($AF158),""),"")</f>
        <v/>
      </c>
      <c r="AM158" s="55">
        <f>SUMIFS(tblMiningDaily[Diesel_L],tblMiningDaily[Date],$A158)</f>
        <v/>
      </c>
      <c r="AN158" s="55">
        <f>IF($B158=$B157,$AN157,0)+$AM158</f>
        <v/>
      </c>
      <c r="AO158" s="55">
        <f>$AO157+$AM158</f>
        <v/>
      </c>
      <c r="AP158" s="55">
        <f>SUMIFS(tblMiningDaily[Dewatering_m3],tblMiningDaily[Date],$A158)</f>
        <v/>
      </c>
      <c r="AQ158" s="55">
        <f>IF($B158=$B157,$AQ157,0)+$AP158</f>
        <v/>
      </c>
      <c r="AR158" s="55">
        <f>$AR157+$AP158</f>
        <v/>
      </c>
      <c r="AS158" s="57">
        <f>SUMIFS(tblFleet[Calendar_h],tblFleet[Date],$A158,tblFleet[Equipment_Class],"Excavator")</f>
        <v/>
      </c>
      <c r="AT158" s="57">
        <f>IF($B158=$B157,$AT157,0)+$AS158</f>
        <v/>
      </c>
      <c r="AU158" s="57">
        <f>$AU157+$AS158</f>
        <v/>
      </c>
      <c r="AV158" s="57">
        <f>SUMIFS(tblFleet[Available_h],tblFleet[Date],$A158,tblFleet[Equipment_Class],"Excavator")</f>
        <v/>
      </c>
      <c r="AW158" s="57">
        <f>IF($B158=$B157,$AW157,0)+$AV158</f>
        <v/>
      </c>
      <c r="AX158" s="57">
        <f>$AX157+$AV158</f>
        <v/>
      </c>
      <c r="AY158" s="57">
        <f>SUMIFS(tblFleet[Operating_h],tblFleet[Date],$A158,tblFleet[Equipment_Class],"Excavator")</f>
        <v/>
      </c>
      <c r="AZ158" s="57">
        <f>IF($B158=$B157,$AZ157,0)+$AY158</f>
        <v/>
      </c>
      <c r="BA158" s="57">
        <f>$BA157+$AY158</f>
        <v/>
      </c>
      <c r="BB158" s="67">
        <f>IFERROR(IF(($AS158)&gt;0,($AV158)/($AS158),""),"")</f>
        <v/>
      </c>
      <c r="BC158" s="67">
        <f>IFERROR(IF(($AT158)&gt;0,($AW158)/($AT158),""),"")</f>
        <v/>
      </c>
      <c r="BD158" s="67">
        <f>IFERROR(IF(($AU158)&gt;0,($AX158)/($AU158),""),"")</f>
        <v/>
      </c>
      <c r="BE158" s="67">
        <f>IFERROR(IF(($AV158)&gt;0,($AY158)/($AV158),""),"")</f>
        <v/>
      </c>
      <c r="BF158" s="67">
        <f>IFERROR(IF(($AW158)&gt;0,($AZ158)/($AW158),""),"")</f>
        <v/>
      </c>
      <c r="BG158" s="67">
        <f>IFERROR(IF(($AX158)&gt;0,($BA158)/($AX158),""),"")</f>
        <v/>
      </c>
      <c r="BH158" s="57">
        <f>SUMIFS(tblFleet[Calendar_h],tblFleet[Date],$A158,tblFleet[Equipment_Class],"Haul Truck")</f>
        <v/>
      </c>
      <c r="BI158" s="57">
        <f>IF($B158=$B157,$BI157,0)+$BH158</f>
        <v/>
      </c>
      <c r="BJ158" s="57">
        <f>$BJ157+$BH158</f>
        <v/>
      </c>
      <c r="BK158" s="57">
        <f>SUMIFS(tblFleet[Available_h],tblFleet[Date],$A158,tblFleet[Equipment_Class],"Haul Truck")</f>
        <v/>
      </c>
      <c r="BL158" s="57">
        <f>IF($B158=$B157,$BL157,0)+$BK158</f>
        <v/>
      </c>
      <c r="BM158" s="57">
        <f>$BM157+$BK158</f>
        <v/>
      </c>
      <c r="BN158" s="57">
        <f>SUMIFS(tblFleet[Operating_h],tblFleet[Date],$A158,tblFleet[Equipment_Class],"Haul Truck")</f>
        <v/>
      </c>
      <c r="BO158" s="57">
        <f>IF($B158=$B157,$BO157,0)+$BN158</f>
        <v/>
      </c>
      <c r="BP158" s="57">
        <f>$BP157+$BN158</f>
        <v/>
      </c>
      <c r="BQ158" s="67">
        <f>IFERROR(IF(($BH158)&gt;0,($BK158)/($BH158),""),"")</f>
        <v/>
      </c>
      <c r="BR158" s="67">
        <f>IFERROR(IF(($BI158)&gt;0,($BL158)/($BI158),""),"")</f>
        <v/>
      </c>
      <c r="BS158" s="67">
        <f>IFERROR(IF(($BJ158)&gt;0,($BM158)/($BJ158),""),"")</f>
        <v/>
      </c>
      <c r="BT158" s="67">
        <f>IFERROR(IF(($BK158)&gt;0,($BN158)/($BK158),""),"")</f>
        <v/>
      </c>
      <c r="BU158" s="67">
        <f>IFERROR(IF(($BL158)&gt;0,($BO158)/($BL158),""),"")</f>
        <v/>
      </c>
      <c r="BV158" s="67">
        <f>IFERROR(IF(($BM158)&gt;0,($BP158)/($BM158),""),"")</f>
        <v/>
      </c>
      <c r="BW158" s="55">
        <f>SUMIFS(tblPlant[Crushed_t],tblPlant[Date],$A158)</f>
        <v/>
      </c>
      <c r="BX158" s="55">
        <f>IF($B158=$B157,$BX157,0)+$BW158</f>
        <v/>
      </c>
      <c r="BY158" s="55">
        <f>$BY157+$BW158</f>
        <v/>
      </c>
      <c r="BZ158" s="55">
        <f>SUMIFS(tblPlant[Milled_t],tblPlant[Date],$A158)</f>
        <v/>
      </c>
      <c r="CA158" s="55">
        <f>IF($B158=$B157,$CA157,0)+$BZ158</f>
        <v/>
      </c>
      <c r="CB158" s="55">
        <f>$CB157+$BZ158</f>
        <v/>
      </c>
      <c r="CC158" s="55">
        <f>SUMIFS(tblPlant[Feed_oz],tblPlant[Date],$A158)</f>
        <v/>
      </c>
      <c r="CD158" s="55">
        <f>IF($B158=$B157,$CD157,0)+$CC158</f>
        <v/>
      </c>
      <c r="CE158" s="55">
        <f>$CE157+$CC158</f>
        <v/>
      </c>
      <c r="CF158" s="55">
        <f>SUMIFS(tblPlant[Tails_oz],tblPlant[Date],$A158)</f>
        <v/>
      </c>
      <c r="CG158" s="55">
        <f>IF($B158=$B157,$CG157,0)+$CF158</f>
        <v/>
      </c>
      <c r="CH158" s="55">
        <f>$CH157+$CF158</f>
        <v/>
      </c>
      <c r="CI158" s="55">
        <f>SUMIFS(tblPlant[Recovered_oz],tblPlant[Date],$A158)</f>
        <v/>
      </c>
      <c r="CJ158" s="55">
        <f>IF($B158=$B157,$CJ157,0)+$CI158</f>
        <v/>
      </c>
      <c r="CK158" s="55">
        <f>$CK157+$CI158</f>
        <v/>
      </c>
      <c r="CL158" s="56">
        <f>IFERROR(IF(($BZ158)&gt;0,($CC158*cfg_TroyOz)/($BZ158),""),"")</f>
        <v/>
      </c>
      <c r="CM158" s="56">
        <f>IFERROR(IF(($CA158)&gt;0,($CD158*cfg_TroyOz)/($CA158),""),"")</f>
        <v/>
      </c>
      <c r="CN158" s="56">
        <f>IFERROR(IF(($CB158)&gt;0,($CE158*cfg_TroyOz)/($CB158),""),"")</f>
        <v/>
      </c>
      <c r="CO158" s="56">
        <f>IFERROR(IF(($BZ158)&gt;0,($CF158*cfg_TroyOz)/($BZ158),""),"")</f>
        <v/>
      </c>
      <c r="CP158" s="56">
        <f>IFERROR(IF(($CA158)&gt;0,($CG158*cfg_TroyOz)/($CA158),""),"")</f>
        <v/>
      </c>
      <c r="CQ158" s="56">
        <f>IFERROR(IF(($CB158)&gt;0,($CH158*cfg_TroyOz)/($CB158),""),"")</f>
        <v/>
      </c>
      <c r="CR158" s="67">
        <f>IFERROR(IF(($CC158)&gt;0,($CI158)/($CC158),""),"")</f>
        <v/>
      </c>
      <c r="CS158" s="67">
        <f>IFERROR(IF(($CD158)&gt;0,($CJ158)/($CD158),""),"")</f>
        <v/>
      </c>
      <c r="CT158" s="67">
        <f>IFERROR(IF(($CE158)&gt;0,($CK158)/($CE158),""),"")</f>
        <v/>
      </c>
      <c r="CU158" s="55">
        <f>SUMIFS(tblPlant[Gravity_Gold_oz],tblPlant[Date],$A158)</f>
        <v/>
      </c>
      <c r="CV158" s="55">
        <f>IF($B158=$B157,$CV157,0)+$CU158</f>
        <v/>
      </c>
      <c r="CW158" s="55">
        <f>$CW157+$CU158</f>
        <v/>
      </c>
      <c r="CX158" s="55">
        <f>SUMIFS(tblPlant[Gold_Poured_oz],tblPlant[Date],$A158)</f>
        <v/>
      </c>
      <c r="CY158" s="55">
        <f>IF($B158=$B157,$CY157,0)+$CX158</f>
        <v/>
      </c>
      <c r="CZ158" s="55">
        <f>$CZ157+$CX158</f>
        <v/>
      </c>
      <c r="DA158" s="57">
        <f>SUMIFS(tblPlant[Mill_Run_h],tblPlant[Date],$A158)</f>
        <v/>
      </c>
      <c r="DB158" s="57">
        <f>IF($B158=$B157,$DB157,0)+$DA158</f>
        <v/>
      </c>
      <c r="DC158" s="57">
        <f>$DC157+$DA158</f>
        <v/>
      </c>
      <c r="DD158" s="57">
        <f>SUMIFS(tblPlant[Mill_Planned_Maint_h],tblPlant[Date],$A158)</f>
        <v/>
      </c>
      <c r="DE158" s="57">
        <f>IF($B158=$B157,$DE157,0)+$DD158</f>
        <v/>
      </c>
      <c r="DF158" s="57">
        <f>$DF157+$DD158</f>
        <v/>
      </c>
      <c r="DG158" s="57">
        <f>SUMIFS(tblPlant[Mill_Unplanned_Down_h],tblPlant[Date],$A158)</f>
        <v/>
      </c>
      <c r="DH158" s="57">
        <f>IF($B158=$B157,$DH157,0)+$DG158</f>
        <v/>
      </c>
      <c r="DI158" s="57">
        <f>$DI157+$DG158</f>
        <v/>
      </c>
      <c r="DJ158" s="57">
        <f>COUNTIFS(tblPlant[Date],$A158,tblPlant[Mill_Run_h],"&lt;&gt;")*24</f>
        <v/>
      </c>
      <c r="DK158" s="57">
        <f>IF($B158=$B157,$DK157,0)+$DJ158</f>
        <v/>
      </c>
      <c r="DL158" s="57">
        <f>$DL157+$DJ158</f>
        <v/>
      </c>
      <c r="DM158" s="57">
        <f>SUMIFS(tblPlant[Crusher_Run_h],tblPlant[Date],$A158)</f>
        <v/>
      </c>
      <c r="DN158" s="57">
        <f>IF($B158=$B157,$DN157,0)+$DM158</f>
        <v/>
      </c>
      <c r="DO158" s="57">
        <f>$DO157+$DM158</f>
        <v/>
      </c>
      <c r="DP158" s="55">
        <f>IFERROR(IF(($DA158)&gt;0,($BZ158)/($DA158),""),"")</f>
        <v/>
      </c>
      <c r="DQ158" s="55">
        <f>IFERROR(IF(($DB158)&gt;0,($CA158)/($DB158),""),"")</f>
        <v/>
      </c>
      <c r="DR158" s="55">
        <f>IFERROR(IF(($DC158)&gt;0,($CB158)/($DC158),""),"")</f>
        <v/>
      </c>
      <c r="DS158" s="67">
        <f>IFERROR(IF(($DJ158)&gt;0,($DJ158-$DD158-$DG158)/($DJ158),""),"")</f>
        <v/>
      </c>
      <c r="DT158" s="67">
        <f>IFERROR(IF(($DK158)&gt;0,($DK158-$DE158-$DH158)/($DK158),""),"")</f>
        <v/>
      </c>
      <c r="DU158" s="67">
        <f>IFERROR(IF(($DL158)&gt;0,($DL158-$DF158-$DI158)/($DL158),""),"")</f>
        <v/>
      </c>
      <c r="DV158" s="67">
        <f>IFERROR(IF(($DJ158-$DD158-$DG158)&gt;0,($DA158)/($DJ158-$DD158-$DG158),""),"")</f>
        <v/>
      </c>
      <c r="DW158" s="67">
        <f>IFERROR(IF(($DK158-$DE158-$DH158)&gt;0,($DB158)/($DK158-$DE158-$DH158),""),"")</f>
        <v/>
      </c>
      <c r="DX158" s="67">
        <f>IFERROR(IF(($DL158-$DF158-$DI158)&gt;0,($DC158)/($DL158-$DF158-$DI158),""),"")</f>
        <v/>
      </c>
      <c r="DY158" s="55">
        <f>SUMIFS(tblPlant[Cyanide_kg],tblPlant[Date],$A158)</f>
        <v/>
      </c>
      <c r="DZ158" s="55">
        <f>IF($B158=$B157,$DZ157,0)+$DY158</f>
        <v/>
      </c>
      <c r="EA158" s="55">
        <f>$EA157+$DY158</f>
        <v/>
      </c>
      <c r="EB158" s="55">
        <f>SUMIFS(tblPlant[Lime_kg],tblPlant[Date],$A158)</f>
        <v/>
      </c>
      <c r="EC158" s="55">
        <f>IF($B158=$B157,$EC157,0)+$EB158</f>
        <v/>
      </c>
      <c r="ED158" s="55">
        <f>$ED157+$EB158</f>
        <v/>
      </c>
      <c r="EE158" s="55">
        <f>SUMIFS(tblPlant[Grinding_Media_kg],tblPlant[Date],$A158)</f>
        <v/>
      </c>
      <c r="EF158" s="55">
        <f>IF($B158=$B157,$EF157,0)+$EE158</f>
        <v/>
      </c>
      <c r="EG158" s="55">
        <f>$EG157+$EE158</f>
        <v/>
      </c>
      <c r="EH158" s="55">
        <f>SUMIFS(tblPlant[Power_kWh],tblPlant[Date],$A158)</f>
        <v/>
      </c>
      <c r="EI158" s="55">
        <f>IF($B158=$B157,$EI157,0)+$EH158</f>
        <v/>
      </c>
      <c r="EJ158" s="55">
        <f>$EJ157+$EH158</f>
        <v/>
      </c>
      <c r="EK158" s="55">
        <f>SUMIFS(tblPlant[Raw_Water_m3],tblPlant[Date],$A158)</f>
        <v/>
      </c>
      <c r="EL158" s="55">
        <f>IF($B158=$B157,$EL157,0)+$EK158</f>
        <v/>
      </c>
      <c r="EM158" s="55">
        <f>$EM157+$EK158</f>
        <v/>
      </c>
      <c r="EN158" s="56">
        <f>IFERROR(IF(($BZ158)&gt;0,($DY158)/($BZ158),""),"")</f>
        <v/>
      </c>
      <c r="EO158" s="56">
        <f>IFERROR(IF(($CA158)&gt;0,($DZ158)/($CA158),""),"")</f>
        <v/>
      </c>
      <c r="EP158" s="56">
        <f>IFERROR(IF(($CB158)&gt;0,($EA158)/($CB158),""),"")</f>
        <v/>
      </c>
      <c r="EQ158" s="56">
        <f>IFERROR(IF(($BZ158)&gt;0,($EB158)/($BZ158),""),"")</f>
        <v/>
      </c>
      <c r="ER158" s="56">
        <f>IFERROR(IF(($CA158)&gt;0,($EC158)/($CA158),""),"")</f>
        <v/>
      </c>
      <c r="ES158" s="56">
        <f>IFERROR(IF(($CB158)&gt;0,($ED158)/($CB158),""),"")</f>
        <v/>
      </c>
      <c r="ET158" s="56">
        <f>IFERROR(IF(($BZ158)&gt;0,($EE158)/($BZ158),""),"")</f>
        <v/>
      </c>
      <c r="EU158" s="56">
        <f>IFERROR(IF(($CA158)&gt;0,($EF158)/($CA158),""),"")</f>
        <v/>
      </c>
      <c r="EV158" s="56">
        <f>IFERROR(IF(($CB158)&gt;0,($EG158)/($CB158),""),"")</f>
        <v/>
      </c>
      <c r="EW158" s="76">
        <f>IFERROR(IF(($BZ158)&gt;0,($EH158)/($BZ158),""),"")</f>
        <v/>
      </c>
      <c r="EX158" s="76">
        <f>IFERROR(IF(($CA158)&gt;0,($EI158)/($CA158),""),"")</f>
        <v/>
      </c>
      <c r="EY158" s="76">
        <f>IFERROR(IF(($CB158)&gt;0,($EJ158)/($CB158),""),"")</f>
        <v/>
      </c>
      <c r="EZ158" s="56">
        <f>IFERROR(IF(($BZ158)&gt;0,($EK158)/($BZ158),""),"")</f>
        <v/>
      </c>
      <c r="FA158" s="56">
        <f>IFERROR(IF(($CA158)&gt;0,($EL158)/($CA158),""),"")</f>
        <v/>
      </c>
      <c r="FB158" s="56">
        <f>IFERROR(IF(($CB158)&gt;0,($EM158)/($CB158),""),"")</f>
        <v/>
      </c>
      <c r="FC158" s="55">
        <f>IF(SUMIFS(tblPlant[GIC_oz],tblPlant[Date],$A158)&gt;0,SUMIFS(tblPlant[GIC_oz],tblPlant[Date],$A158),"")</f>
        <v/>
      </c>
      <c r="FD158" s="55">
        <f>SUMIFS(tblGold[Gold_oz],tblGold[Date],$A158,tblGold[Type],"Shipment")</f>
        <v/>
      </c>
      <c r="FE158" s="55">
        <f>IF($B158=$B157,$FE157,0)+$FD158</f>
        <v/>
      </c>
      <c r="FF158" s="55">
        <f>$FF157+$FD158</f>
        <v/>
      </c>
      <c r="FG158" s="55">
        <f>SUMIFS(tblGold[Gold_oz],tblGold[Date],$A158,tblGold[Type],"Sale")</f>
        <v/>
      </c>
      <c r="FH158" s="55">
        <f>IF($B158=$B157,$FH157,0)+$FG158</f>
        <v/>
      </c>
      <c r="FI158" s="55">
        <f>$FI157+$FG158</f>
        <v/>
      </c>
      <c r="FJ158" s="55">
        <f>SUMIFS(tblGold[Dore_kg],tblGold[Date],$A158,tblGold[Type],"Shipment")</f>
        <v/>
      </c>
      <c r="FK158" s="55">
        <f>IF($B158=$B157,$FK157,0)+$FJ158</f>
        <v/>
      </c>
      <c r="FL158" s="55">
        <f>$FL157+$FJ158</f>
        <v/>
      </c>
      <c r="FM158" s="57">
        <f>SUMIFS(tblSafety[Hours_Total],tblSafety[Date],$A158)</f>
        <v/>
      </c>
      <c r="FN158" s="57">
        <f>IF($B158=$B157,$FN157,0)+$FM158</f>
        <v/>
      </c>
      <c r="FO158" s="57">
        <f>$FO157+$FM158</f>
        <v/>
      </c>
      <c r="FP158" s="62">
        <f>SUMIFS(tblSafety[Fatality],tblSafety[Date],$A158)</f>
        <v/>
      </c>
      <c r="FQ158" s="62">
        <f>IF($B158=$B157,$FQ157,0)+$FP158</f>
        <v/>
      </c>
      <c r="FR158" s="62">
        <f>$FR157+$FP158</f>
        <v/>
      </c>
      <c r="FS158" s="62">
        <f>SUMIFS(tblSafety[LTI],tblSafety[Date],$A158)</f>
        <v/>
      </c>
      <c r="FT158" s="62">
        <f>IF($B158=$B157,$FT157,0)+$FS158</f>
        <v/>
      </c>
      <c r="FU158" s="62">
        <f>$FU157+$FS158</f>
        <v/>
      </c>
      <c r="FV158" s="62">
        <f>SUMIFS(tblSafety[RWI],tblSafety[Date],$A158)</f>
        <v/>
      </c>
      <c r="FW158" s="62">
        <f>IF($B158=$B157,$FW157,0)+$FV158</f>
        <v/>
      </c>
      <c r="FX158" s="62">
        <f>$FX157+$FV158</f>
        <v/>
      </c>
      <c r="FY158" s="62">
        <f>SUMIFS(tblSafety[MTI],tblSafety[Date],$A158)</f>
        <v/>
      </c>
      <c r="FZ158" s="62">
        <f>IF($B158=$B157,$FZ157,0)+$FY158</f>
        <v/>
      </c>
      <c r="GA158" s="62">
        <f>$GA157+$FY158</f>
        <v/>
      </c>
      <c r="GB158" s="62">
        <f>SUMIFS(tblSafety[FAI],tblSafety[Date],$A158)</f>
        <v/>
      </c>
      <c r="GC158" s="62">
        <f>IF($B158=$B157,$GC157,0)+$GB158</f>
        <v/>
      </c>
      <c r="GD158" s="62">
        <f>$GD157+$GB158</f>
        <v/>
      </c>
      <c r="GE158" s="62">
        <f>SUMIFS(tblSafety[Recordables],tblSafety[Date],$A158)</f>
        <v/>
      </c>
      <c r="GF158" s="62">
        <f>IF($B158=$B157,$GF157,0)+$GE158</f>
        <v/>
      </c>
      <c r="GG158" s="62">
        <f>$GG157+$GE158</f>
        <v/>
      </c>
      <c r="GH158" s="62">
        <f>SUMIFS(tblSafety[Near_Miss],tblSafety[Date],$A158)</f>
        <v/>
      </c>
      <c r="GI158" s="62">
        <f>IF($B158=$B157,$GI157,0)+$GH158</f>
        <v/>
      </c>
      <c r="GJ158" s="62">
        <f>$GJ157+$GH158</f>
        <v/>
      </c>
      <c r="GK158" s="62">
        <f>SUMIFS(tblSafety[Hazard_Reports],tblSafety[Date],$A158)</f>
        <v/>
      </c>
      <c r="GL158" s="62">
        <f>IF($B158=$B157,$GL157,0)+$GK158</f>
        <v/>
      </c>
      <c r="GM158" s="62">
        <f>$GM157+$GK158</f>
        <v/>
      </c>
      <c r="GN158" s="62">
        <f>SUMIFS(tblSafety[HPI],tblSafety[Date],$A158)</f>
        <v/>
      </c>
      <c r="GO158" s="62">
        <f>IF($B158=$B157,$GO157,0)+$GN158</f>
        <v/>
      </c>
      <c r="GP158" s="62">
        <f>$GP157+$GN158</f>
        <v/>
      </c>
      <c r="GQ158" s="62">
        <f>SUMIFS(tblSafety[Env_Incidents],tblSafety[Date],$A158)</f>
        <v/>
      </c>
      <c r="GR158" s="62">
        <f>IF($B158=$B157,$GR157,0)+$GQ158</f>
        <v/>
      </c>
      <c r="GS158" s="62">
        <f>$GS157+$GQ158</f>
        <v/>
      </c>
      <c r="GT158" s="62">
        <f>SUMIFS(tblSafety[Community_Incidents],tblSafety[Date],$A158)</f>
        <v/>
      </c>
      <c r="GU158" s="62">
        <f>IF($B158=$B157,$GU157,0)+$GT158</f>
        <v/>
      </c>
      <c r="GV158" s="62">
        <f>$GV157+$GT158</f>
        <v/>
      </c>
      <c r="GW158" s="62">
        <f>SUMIFS(tblSafety[Vehicle_Incidents],tblSafety[Date],$A158)</f>
        <v/>
      </c>
      <c r="GX158" s="62">
        <f>IF($B158=$B157,$GX157,0)+$GW158</f>
        <v/>
      </c>
      <c r="GY158" s="62">
        <f>$GY157+$GW158</f>
        <v/>
      </c>
      <c r="GZ158" s="62">
        <f>SUMIFS(tblSafety[Toolbox_Talks],tblSafety[Date],$A158)</f>
        <v/>
      </c>
      <c r="HA158" s="62">
        <f>IF($B158=$B157,$HA157,0)+$GZ158</f>
        <v/>
      </c>
      <c r="HB158" s="62">
        <f>$HB157+$GZ158</f>
        <v/>
      </c>
      <c r="HC158" s="62">
        <f>SUMIFS(tblSafety[Inspections],tblSafety[Date],$A158)</f>
        <v/>
      </c>
      <c r="HD158" s="62">
        <f>IF($B158=$B157,$HD157,0)+$HC158</f>
        <v/>
      </c>
      <c r="HE158" s="62">
        <f>$HE157+$HC158</f>
        <v/>
      </c>
      <c r="HF158" s="56">
        <f>IFERROR((SUMIFS(tblSafety[Recordables],tblSafety[Date],"&gt;="&amp;EDATE($E158,-12),tblSafety[Date],"&lt;="&amp;$A158)+SUMIFS(tblSafetyHistory[Recordables],tblSafetyHistory[Month],"&gt;="&amp;EDATE($E158,-12),tblSafetyHistory[Month],"&lt;"&amp;cfg_YearStart))/(SUMIFS(tblSafety[Hours_Total],tblSafety[Date],"&gt;="&amp;EDATE($E158,-12),tblSafety[Date],"&lt;="&amp;$A158)+SUMIFS(tblSafetyHistory[Hours_Total],tblSafetyHistory[Month],"&gt;="&amp;EDATE($E158,-12),tblSafetyHistory[Month],"&lt;"&amp;cfg_YearStart))*1000000,"")</f>
        <v/>
      </c>
      <c r="HG158" s="56">
        <f>IFERROR((SUMIFS(tblSafety[LTI],tblSafety[Date],"&gt;="&amp;EDATE($E158,-12),tblSafety[Date],"&lt;="&amp;$A158)+SUMIFS(tblSafetyHistory[LTI],tblSafetyHistory[Month],"&gt;="&amp;EDATE($E158,-12),tblSafetyHistory[Month],"&lt;"&amp;cfg_YearStart))/(SUMIFS(tblSafety[Hours_Total],tblSafety[Date],"&gt;="&amp;EDATE($E158,-12),tblSafety[Date],"&lt;="&amp;$A158)+SUMIFS(tblSafetyHistory[Hours_Total],tblSafetyHistory[Month],"&gt;="&amp;EDATE($E158,-12),tblSafetyHistory[Month],"&lt;"&amp;cfg_YearStart))*1000000,"")</f>
        <v/>
      </c>
      <c r="HH158" s="62">
        <f>IF(MAX(N(cfg_PriorLTIDate),_xlfn.MAXIFS(tblSafety[Date],tblSafety[LTI],"&gt;0",tblSafety[Date],"&lt;="&amp;$A158))=0,"",$A158-MAX(N(cfg_PriorLTIDate),_xlfn.MAXIFS(tblSafety[Date],tblSafety[LTI],"&gt;0",tblSafety[Date],"&lt;="&amp;$A158)))</f>
        <v/>
      </c>
      <c r="HI158" s="55">
        <f>SUMIFS(tblBudget[Ore_Mined_t],tblBudget[Month],$E158)</f>
        <v/>
      </c>
      <c r="HJ158" s="55">
        <f>$HI158*$C158/$D158</f>
        <v/>
      </c>
      <c r="HK158" s="55">
        <f>SUMIFS(tblBudget[Ore_Mined_t],tblBudget[Month],"&lt;"&amp;$E158)+$HJ158</f>
        <v/>
      </c>
      <c r="HL158" s="55">
        <f>SUMIFS(tblBudget[Ore_oz],tblBudget[Month],$E158)</f>
        <v/>
      </c>
      <c r="HM158" s="55">
        <f>$HL158*$C158/$D158</f>
        <v/>
      </c>
      <c r="HN158" s="55">
        <f>SUMIFS(tblBudget[Ore_oz],tblBudget[Month],"&lt;"&amp;$E158)+$HM158</f>
        <v/>
      </c>
      <c r="HO158" s="56">
        <f>IFERROR(IF(($HI158)&gt;0,($HL158*cfg_TroyOz)/($HI158),""),"")</f>
        <v/>
      </c>
      <c r="HP158" s="56">
        <f>IFERROR(IF(($HJ158)&gt;0,($HM158*cfg_TroyOz)/($HJ158),""),"")</f>
        <v/>
      </c>
      <c r="HQ158" s="56">
        <f>IFERROR(IF(($HK158)&gt;0,($HN158*cfg_TroyOz)/($HK158),""),"")</f>
        <v/>
      </c>
      <c r="HR158" s="55">
        <f>SUMIFS(tblBudget[Waste_t],tblBudget[Month],$E158)</f>
        <v/>
      </c>
      <c r="HS158" s="55">
        <f>$HR158*$C158/$D158</f>
        <v/>
      </c>
      <c r="HT158" s="55">
        <f>SUMIFS(tblBudget[Waste_t],tblBudget[Month],"&lt;"&amp;$E158)+$HS158</f>
        <v/>
      </c>
      <c r="HU158" s="55">
        <f>SUMIFS(tblBudget[TMM_t],tblBudget[Month],$E158)</f>
        <v/>
      </c>
      <c r="HV158" s="55">
        <f>$HU158*$C158/$D158</f>
        <v/>
      </c>
      <c r="HW158" s="55">
        <f>SUMIFS(tblBudget[TMM_t],tblBudget[Month],"&lt;"&amp;$E158)+$HV158</f>
        <v/>
      </c>
      <c r="HX158" s="56">
        <f>IFERROR(IF(($HI158)&gt;0,($HR158)/($HI158),""),"")</f>
        <v/>
      </c>
      <c r="HY158" s="56">
        <f>IFERROR(IF(($HJ158)&gt;0,($HS158)/($HJ158),""),"")</f>
        <v/>
      </c>
      <c r="HZ158" s="56">
        <f>IFERROR(IF(($HK158)&gt;0,($HT158)/($HK158),""),"")</f>
        <v/>
      </c>
      <c r="IA158" s="55">
        <f>SUMIFS(tblBudget[Drill_m],tblBudget[Month],$E158)</f>
        <v/>
      </c>
      <c r="IB158" s="55">
        <f>$IA158*$C158/$D158</f>
        <v/>
      </c>
      <c r="IC158" s="55">
        <f>SUMIFS(tblBudget[Drill_m],tblBudget[Month],"&lt;"&amp;$E158)+$IB158</f>
        <v/>
      </c>
      <c r="ID158" s="55">
        <f>SUMIFS(tblBudget[Diesel_L],tblBudget[Month],$E158)</f>
        <v/>
      </c>
      <c r="IE158" s="55">
        <f>$ID158*$C158/$D158</f>
        <v/>
      </c>
      <c r="IF158" s="55">
        <f>SUMIFS(tblBudget[Diesel_L],tblBudget[Month],"&lt;"&amp;$E158)+$IE158</f>
        <v/>
      </c>
      <c r="IG158" s="55">
        <f>SUMIFS(tblBudget[Milled_t],tblBudget[Month],$E158)</f>
        <v/>
      </c>
      <c r="IH158" s="55">
        <f>$IG158*$C158/$D158</f>
        <v/>
      </c>
      <c r="II158" s="55">
        <f>SUMIFS(tblBudget[Milled_t],tblBudget[Month],"&lt;"&amp;$E158)+$IH158</f>
        <v/>
      </c>
      <c r="IJ158" s="55">
        <f>SUMIFS(tblBudget[Feed_oz],tblBudget[Month],$E158)</f>
        <v/>
      </c>
      <c r="IK158" s="55">
        <f>$IJ158*$C158/$D158</f>
        <v/>
      </c>
      <c r="IL158" s="55">
        <f>SUMIFS(tblBudget[Feed_oz],tblBudget[Month],"&lt;"&amp;$E158)+$IK158</f>
        <v/>
      </c>
      <c r="IM158" s="55">
        <f>SUMIFS(tblBudget[Recovered_oz],tblBudget[Month],$E158)</f>
        <v/>
      </c>
      <c r="IN158" s="55">
        <f>$IM158*$C158/$D158</f>
        <v/>
      </c>
      <c r="IO158" s="55">
        <f>SUMIFS(tblBudget[Recovered_oz],tblBudget[Month],"&lt;"&amp;$E158)+$IN158</f>
        <v/>
      </c>
      <c r="IP158" s="56">
        <f>IFERROR(IF(($IG158)&gt;0,($IJ158*cfg_TroyOz)/($IG158),""),"")</f>
        <v/>
      </c>
      <c r="IQ158" s="56">
        <f>IFERROR(IF(($IH158)&gt;0,($IK158*cfg_TroyOz)/($IH158),""),"")</f>
        <v/>
      </c>
      <c r="IR158" s="56">
        <f>IFERROR(IF(($II158)&gt;0,($IL158*cfg_TroyOz)/($II158),""),"")</f>
        <v/>
      </c>
      <c r="IS158" s="67">
        <f>IFERROR(IF(($IJ158)&gt;0,($IM158)/($IJ158),""),"")</f>
        <v/>
      </c>
      <c r="IT158" s="67">
        <f>IFERROR(IF(($IK158)&gt;0,($IN158)/($IK158),""),"")</f>
        <v/>
      </c>
      <c r="IU158" s="67">
        <f>IFERROR(IF(($IL158)&gt;0,($IO158)/($IL158),""),"")</f>
        <v/>
      </c>
      <c r="IV158" s="55">
        <f>SUMIFS(tblBudget[Gold_Poured_oz],tblBudget[Month],$E158)</f>
        <v/>
      </c>
      <c r="IW158" s="55">
        <f>$IV158*$C158/$D158</f>
        <v/>
      </c>
      <c r="IX158" s="55">
        <f>SUMIFS(tblBudget[Gold_Poured_oz],tblBudget[Month],"&lt;"&amp;$E158)+$IW158</f>
        <v/>
      </c>
      <c r="IY158" s="57">
        <f>SUMIFS(tblBudget[Hours_Worked],tblBudget[Month],$E158)</f>
        <v/>
      </c>
      <c r="IZ158" s="57">
        <f>$IY158*$C158/$D158</f>
        <v/>
      </c>
      <c r="JA158" s="57">
        <f>SUMIFS(tblBudget[Hours_Worked],tblBudget[Month],"&lt;"&amp;$E158)+$IZ158</f>
        <v/>
      </c>
    </row>
    <row r="159">
      <c r="A159" s="54" t="n">
        <v>46180</v>
      </c>
      <c r="B159">
        <f>MONTH($A159)</f>
        <v/>
      </c>
      <c r="C159">
        <f>DAY($A159)</f>
        <v/>
      </c>
      <c r="D159">
        <f>DAY(EOMONTH($A159,0))</f>
        <v/>
      </c>
      <c r="E159" s="54">
        <f>DATE(YEAR($A159),MONTH($A159),1)</f>
        <v/>
      </c>
      <c r="F159" s="55">
        <f>SUMIFS(tblMovement[Tonnes_t],tblMovement[Date],$A159,tblMovement[Is_Ore],1,tblMovement[Source_Type],"Pit")</f>
        <v/>
      </c>
      <c r="G159" s="55">
        <f>IF($B159=$B158,$G158,0)+$F159</f>
        <v/>
      </c>
      <c r="H159" s="55">
        <f>$H158+$F159</f>
        <v/>
      </c>
      <c r="I159" s="55">
        <f>SUMIFS(tblMovement[Ore_oz],tblMovement[Date],$A159,tblMovement[Source_Type],"Pit")</f>
        <v/>
      </c>
      <c r="J159" s="55">
        <f>IF($B159=$B158,$J158,0)+$I159</f>
        <v/>
      </c>
      <c r="K159" s="55">
        <f>$K158+$I159</f>
        <v/>
      </c>
      <c r="L159" s="56">
        <f>IFERROR(IF(($F159)&gt;0,($I159*cfg_TroyOz)/($F159),""),"")</f>
        <v/>
      </c>
      <c r="M159" s="56">
        <f>IFERROR(IF(($G159)&gt;0,($J159*cfg_TroyOz)/($G159),""),"")</f>
        <v/>
      </c>
      <c r="N159" s="56">
        <f>IFERROR(IF(($H159)&gt;0,($K159*cfg_TroyOz)/($H159),""),"")</f>
        <v/>
      </c>
      <c r="O159" s="55">
        <f>SUMIFS(tblMovement[Tonnes_t],tblMovement[Date],$A159,tblMovement[Is_Ore],0,tblMovement[Source_Type],"Pit")</f>
        <v/>
      </c>
      <c r="P159" s="55">
        <f>IF($B159=$B158,$P158,0)+$O159</f>
        <v/>
      </c>
      <c r="Q159" s="55">
        <f>$Q158+$O159</f>
        <v/>
      </c>
      <c r="R159" s="55">
        <f>$F159+$O159</f>
        <v/>
      </c>
      <c r="S159" s="55">
        <f>IF($B159=$B158,$S158,0)+$R159</f>
        <v/>
      </c>
      <c r="T159" s="55">
        <f>$T158+$R159</f>
        <v/>
      </c>
      <c r="U159" s="56">
        <f>IFERROR(IF(($F159)&gt;0,($O159)/($F159),""),"")</f>
        <v/>
      </c>
      <c r="V159" s="56">
        <f>IFERROR(IF(($G159)&gt;0,($P159)/($G159),""),"")</f>
        <v/>
      </c>
      <c r="W159" s="56">
        <f>IFERROR(IF(($H159)&gt;0,($Q159)/($H159),""),"")</f>
        <v/>
      </c>
      <c r="X159" s="55">
        <f>SUMIFS(tblMovement[Tonnes_t],tblMovement[Date],$A159,tblMovement[Source_Type],"Stockpile")</f>
        <v/>
      </c>
      <c r="Y159" s="55">
        <f>IF($B159=$B158,$Y158,0)+$X159</f>
        <v/>
      </c>
      <c r="Z159" s="55">
        <f>$Z158+$X159</f>
        <v/>
      </c>
      <c r="AA159" s="55">
        <f>SUMIFS(tblMiningDaily[Drill_m],tblMiningDaily[Date],$A159)</f>
        <v/>
      </c>
      <c r="AB159" s="55">
        <f>IF($B159=$B158,$AB158,0)+$AA159</f>
        <v/>
      </c>
      <c r="AC159" s="55">
        <f>$AC158+$AA159</f>
        <v/>
      </c>
      <c r="AD159" s="55">
        <f>SUMIFS(tblMiningDaily[Blast_t],tblMiningDaily[Date],$A159)</f>
        <v/>
      </c>
      <c r="AE159" s="55">
        <f>IF($B159=$B158,$AE158,0)+$AD159</f>
        <v/>
      </c>
      <c r="AF159" s="55">
        <f>$AF158+$AD159</f>
        <v/>
      </c>
      <c r="AG159" s="55">
        <f>SUMIFS(tblMiningDaily[Explosives_kg],tblMiningDaily[Date],$A159)</f>
        <v/>
      </c>
      <c r="AH159" s="55">
        <f>IF($B159=$B158,$AH158,0)+$AG159</f>
        <v/>
      </c>
      <c r="AI159" s="55">
        <f>$AI158+$AG159</f>
        <v/>
      </c>
      <c r="AJ159" s="56">
        <f>IFERROR(IF(($AD159)&gt;0,($AG159)/($AD159),""),"")</f>
        <v/>
      </c>
      <c r="AK159" s="56">
        <f>IFERROR(IF(($AE159)&gt;0,($AH159)/($AE159),""),"")</f>
        <v/>
      </c>
      <c r="AL159" s="56">
        <f>IFERROR(IF(($AF159)&gt;0,($AI159)/($AF159),""),"")</f>
        <v/>
      </c>
      <c r="AM159" s="55">
        <f>SUMIFS(tblMiningDaily[Diesel_L],tblMiningDaily[Date],$A159)</f>
        <v/>
      </c>
      <c r="AN159" s="55">
        <f>IF($B159=$B158,$AN158,0)+$AM159</f>
        <v/>
      </c>
      <c r="AO159" s="55">
        <f>$AO158+$AM159</f>
        <v/>
      </c>
      <c r="AP159" s="55">
        <f>SUMIFS(tblMiningDaily[Dewatering_m3],tblMiningDaily[Date],$A159)</f>
        <v/>
      </c>
      <c r="AQ159" s="55">
        <f>IF($B159=$B158,$AQ158,0)+$AP159</f>
        <v/>
      </c>
      <c r="AR159" s="55">
        <f>$AR158+$AP159</f>
        <v/>
      </c>
      <c r="AS159" s="57">
        <f>SUMIFS(tblFleet[Calendar_h],tblFleet[Date],$A159,tblFleet[Equipment_Class],"Excavator")</f>
        <v/>
      </c>
      <c r="AT159" s="57">
        <f>IF($B159=$B158,$AT158,0)+$AS159</f>
        <v/>
      </c>
      <c r="AU159" s="57">
        <f>$AU158+$AS159</f>
        <v/>
      </c>
      <c r="AV159" s="57">
        <f>SUMIFS(tblFleet[Available_h],tblFleet[Date],$A159,tblFleet[Equipment_Class],"Excavator")</f>
        <v/>
      </c>
      <c r="AW159" s="57">
        <f>IF($B159=$B158,$AW158,0)+$AV159</f>
        <v/>
      </c>
      <c r="AX159" s="57">
        <f>$AX158+$AV159</f>
        <v/>
      </c>
      <c r="AY159" s="57">
        <f>SUMIFS(tblFleet[Operating_h],tblFleet[Date],$A159,tblFleet[Equipment_Class],"Excavator")</f>
        <v/>
      </c>
      <c r="AZ159" s="57">
        <f>IF($B159=$B158,$AZ158,0)+$AY159</f>
        <v/>
      </c>
      <c r="BA159" s="57">
        <f>$BA158+$AY159</f>
        <v/>
      </c>
      <c r="BB159" s="67">
        <f>IFERROR(IF(($AS159)&gt;0,($AV159)/($AS159),""),"")</f>
        <v/>
      </c>
      <c r="BC159" s="67">
        <f>IFERROR(IF(($AT159)&gt;0,($AW159)/($AT159),""),"")</f>
        <v/>
      </c>
      <c r="BD159" s="67">
        <f>IFERROR(IF(($AU159)&gt;0,($AX159)/($AU159),""),"")</f>
        <v/>
      </c>
      <c r="BE159" s="67">
        <f>IFERROR(IF(($AV159)&gt;0,($AY159)/($AV159),""),"")</f>
        <v/>
      </c>
      <c r="BF159" s="67">
        <f>IFERROR(IF(($AW159)&gt;0,($AZ159)/($AW159),""),"")</f>
        <v/>
      </c>
      <c r="BG159" s="67">
        <f>IFERROR(IF(($AX159)&gt;0,($BA159)/($AX159),""),"")</f>
        <v/>
      </c>
      <c r="BH159" s="57">
        <f>SUMIFS(tblFleet[Calendar_h],tblFleet[Date],$A159,tblFleet[Equipment_Class],"Haul Truck")</f>
        <v/>
      </c>
      <c r="BI159" s="57">
        <f>IF($B159=$B158,$BI158,0)+$BH159</f>
        <v/>
      </c>
      <c r="BJ159" s="57">
        <f>$BJ158+$BH159</f>
        <v/>
      </c>
      <c r="BK159" s="57">
        <f>SUMIFS(tblFleet[Available_h],tblFleet[Date],$A159,tblFleet[Equipment_Class],"Haul Truck")</f>
        <v/>
      </c>
      <c r="BL159" s="57">
        <f>IF($B159=$B158,$BL158,0)+$BK159</f>
        <v/>
      </c>
      <c r="BM159" s="57">
        <f>$BM158+$BK159</f>
        <v/>
      </c>
      <c r="BN159" s="57">
        <f>SUMIFS(tblFleet[Operating_h],tblFleet[Date],$A159,tblFleet[Equipment_Class],"Haul Truck")</f>
        <v/>
      </c>
      <c r="BO159" s="57">
        <f>IF($B159=$B158,$BO158,0)+$BN159</f>
        <v/>
      </c>
      <c r="BP159" s="57">
        <f>$BP158+$BN159</f>
        <v/>
      </c>
      <c r="BQ159" s="67">
        <f>IFERROR(IF(($BH159)&gt;0,($BK159)/($BH159),""),"")</f>
        <v/>
      </c>
      <c r="BR159" s="67">
        <f>IFERROR(IF(($BI159)&gt;0,($BL159)/($BI159),""),"")</f>
        <v/>
      </c>
      <c r="BS159" s="67">
        <f>IFERROR(IF(($BJ159)&gt;0,($BM159)/($BJ159),""),"")</f>
        <v/>
      </c>
      <c r="BT159" s="67">
        <f>IFERROR(IF(($BK159)&gt;0,($BN159)/($BK159),""),"")</f>
        <v/>
      </c>
      <c r="BU159" s="67">
        <f>IFERROR(IF(($BL159)&gt;0,($BO159)/($BL159),""),"")</f>
        <v/>
      </c>
      <c r="BV159" s="67">
        <f>IFERROR(IF(($BM159)&gt;0,($BP159)/($BM159),""),"")</f>
        <v/>
      </c>
      <c r="BW159" s="55">
        <f>SUMIFS(tblPlant[Crushed_t],tblPlant[Date],$A159)</f>
        <v/>
      </c>
      <c r="BX159" s="55">
        <f>IF($B159=$B158,$BX158,0)+$BW159</f>
        <v/>
      </c>
      <c r="BY159" s="55">
        <f>$BY158+$BW159</f>
        <v/>
      </c>
      <c r="BZ159" s="55">
        <f>SUMIFS(tblPlant[Milled_t],tblPlant[Date],$A159)</f>
        <v/>
      </c>
      <c r="CA159" s="55">
        <f>IF($B159=$B158,$CA158,0)+$BZ159</f>
        <v/>
      </c>
      <c r="CB159" s="55">
        <f>$CB158+$BZ159</f>
        <v/>
      </c>
      <c r="CC159" s="55">
        <f>SUMIFS(tblPlant[Feed_oz],tblPlant[Date],$A159)</f>
        <v/>
      </c>
      <c r="CD159" s="55">
        <f>IF($B159=$B158,$CD158,0)+$CC159</f>
        <v/>
      </c>
      <c r="CE159" s="55">
        <f>$CE158+$CC159</f>
        <v/>
      </c>
      <c r="CF159" s="55">
        <f>SUMIFS(tblPlant[Tails_oz],tblPlant[Date],$A159)</f>
        <v/>
      </c>
      <c r="CG159" s="55">
        <f>IF($B159=$B158,$CG158,0)+$CF159</f>
        <v/>
      </c>
      <c r="CH159" s="55">
        <f>$CH158+$CF159</f>
        <v/>
      </c>
      <c r="CI159" s="55">
        <f>SUMIFS(tblPlant[Recovered_oz],tblPlant[Date],$A159)</f>
        <v/>
      </c>
      <c r="CJ159" s="55">
        <f>IF($B159=$B158,$CJ158,0)+$CI159</f>
        <v/>
      </c>
      <c r="CK159" s="55">
        <f>$CK158+$CI159</f>
        <v/>
      </c>
      <c r="CL159" s="56">
        <f>IFERROR(IF(($BZ159)&gt;0,($CC159*cfg_TroyOz)/($BZ159),""),"")</f>
        <v/>
      </c>
      <c r="CM159" s="56">
        <f>IFERROR(IF(($CA159)&gt;0,($CD159*cfg_TroyOz)/($CA159),""),"")</f>
        <v/>
      </c>
      <c r="CN159" s="56">
        <f>IFERROR(IF(($CB159)&gt;0,($CE159*cfg_TroyOz)/($CB159),""),"")</f>
        <v/>
      </c>
      <c r="CO159" s="56">
        <f>IFERROR(IF(($BZ159)&gt;0,($CF159*cfg_TroyOz)/($BZ159),""),"")</f>
        <v/>
      </c>
      <c r="CP159" s="56">
        <f>IFERROR(IF(($CA159)&gt;0,($CG159*cfg_TroyOz)/($CA159),""),"")</f>
        <v/>
      </c>
      <c r="CQ159" s="56">
        <f>IFERROR(IF(($CB159)&gt;0,($CH159*cfg_TroyOz)/($CB159),""),"")</f>
        <v/>
      </c>
      <c r="CR159" s="67">
        <f>IFERROR(IF(($CC159)&gt;0,($CI159)/($CC159),""),"")</f>
        <v/>
      </c>
      <c r="CS159" s="67">
        <f>IFERROR(IF(($CD159)&gt;0,($CJ159)/($CD159),""),"")</f>
        <v/>
      </c>
      <c r="CT159" s="67">
        <f>IFERROR(IF(($CE159)&gt;0,($CK159)/($CE159),""),"")</f>
        <v/>
      </c>
      <c r="CU159" s="55">
        <f>SUMIFS(tblPlant[Gravity_Gold_oz],tblPlant[Date],$A159)</f>
        <v/>
      </c>
      <c r="CV159" s="55">
        <f>IF($B159=$B158,$CV158,0)+$CU159</f>
        <v/>
      </c>
      <c r="CW159" s="55">
        <f>$CW158+$CU159</f>
        <v/>
      </c>
      <c r="CX159" s="55">
        <f>SUMIFS(tblPlant[Gold_Poured_oz],tblPlant[Date],$A159)</f>
        <v/>
      </c>
      <c r="CY159" s="55">
        <f>IF($B159=$B158,$CY158,0)+$CX159</f>
        <v/>
      </c>
      <c r="CZ159" s="55">
        <f>$CZ158+$CX159</f>
        <v/>
      </c>
      <c r="DA159" s="57">
        <f>SUMIFS(tblPlant[Mill_Run_h],tblPlant[Date],$A159)</f>
        <v/>
      </c>
      <c r="DB159" s="57">
        <f>IF($B159=$B158,$DB158,0)+$DA159</f>
        <v/>
      </c>
      <c r="DC159" s="57">
        <f>$DC158+$DA159</f>
        <v/>
      </c>
      <c r="DD159" s="57">
        <f>SUMIFS(tblPlant[Mill_Planned_Maint_h],tblPlant[Date],$A159)</f>
        <v/>
      </c>
      <c r="DE159" s="57">
        <f>IF($B159=$B158,$DE158,0)+$DD159</f>
        <v/>
      </c>
      <c r="DF159" s="57">
        <f>$DF158+$DD159</f>
        <v/>
      </c>
      <c r="DG159" s="57">
        <f>SUMIFS(tblPlant[Mill_Unplanned_Down_h],tblPlant[Date],$A159)</f>
        <v/>
      </c>
      <c r="DH159" s="57">
        <f>IF($B159=$B158,$DH158,0)+$DG159</f>
        <v/>
      </c>
      <c r="DI159" s="57">
        <f>$DI158+$DG159</f>
        <v/>
      </c>
      <c r="DJ159" s="57">
        <f>COUNTIFS(tblPlant[Date],$A159,tblPlant[Mill_Run_h],"&lt;&gt;")*24</f>
        <v/>
      </c>
      <c r="DK159" s="57">
        <f>IF($B159=$B158,$DK158,0)+$DJ159</f>
        <v/>
      </c>
      <c r="DL159" s="57">
        <f>$DL158+$DJ159</f>
        <v/>
      </c>
      <c r="DM159" s="57">
        <f>SUMIFS(tblPlant[Crusher_Run_h],tblPlant[Date],$A159)</f>
        <v/>
      </c>
      <c r="DN159" s="57">
        <f>IF($B159=$B158,$DN158,0)+$DM159</f>
        <v/>
      </c>
      <c r="DO159" s="57">
        <f>$DO158+$DM159</f>
        <v/>
      </c>
      <c r="DP159" s="55">
        <f>IFERROR(IF(($DA159)&gt;0,($BZ159)/($DA159),""),"")</f>
        <v/>
      </c>
      <c r="DQ159" s="55">
        <f>IFERROR(IF(($DB159)&gt;0,($CA159)/($DB159),""),"")</f>
        <v/>
      </c>
      <c r="DR159" s="55">
        <f>IFERROR(IF(($DC159)&gt;0,($CB159)/($DC159),""),"")</f>
        <v/>
      </c>
      <c r="DS159" s="67">
        <f>IFERROR(IF(($DJ159)&gt;0,($DJ159-$DD159-$DG159)/($DJ159),""),"")</f>
        <v/>
      </c>
      <c r="DT159" s="67">
        <f>IFERROR(IF(($DK159)&gt;0,($DK159-$DE159-$DH159)/($DK159),""),"")</f>
        <v/>
      </c>
      <c r="DU159" s="67">
        <f>IFERROR(IF(($DL159)&gt;0,($DL159-$DF159-$DI159)/($DL159),""),"")</f>
        <v/>
      </c>
      <c r="DV159" s="67">
        <f>IFERROR(IF(($DJ159-$DD159-$DG159)&gt;0,($DA159)/($DJ159-$DD159-$DG159),""),"")</f>
        <v/>
      </c>
      <c r="DW159" s="67">
        <f>IFERROR(IF(($DK159-$DE159-$DH159)&gt;0,($DB159)/($DK159-$DE159-$DH159),""),"")</f>
        <v/>
      </c>
      <c r="DX159" s="67">
        <f>IFERROR(IF(($DL159-$DF159-$DI159)&gt;0,($DC159)/($DL159-$DF159-$DI159),""),"")</f>
        <v/>
      </c>
      <c r="DY159" s="55">
        <f>SUMIFS(tblPlant[Cyanide_kg],tblPlant[Date],$A159)</f>
        <v/>
      </c>
      <c r="DZ159" s="55">
        <f>IF($B159=$B158,$DZ158,0)+$DY159</f>
        <v/>
      </c>
      <c r="EA159" s="55">
        <f>$EA158+$DY159</f>
        <v/>
      </c>
      <c r="EB159" s="55">
        <f>SUMIFS(tblPlant[Lime_kg],tblPlant[Date],$A159)</f>
        <v/>
      </c>
      <c r="EC159" s="55">
        <f>IF($B159=$B158,$EC158,0)+$EB159</f>
        <v/>
      </c>
      <c r="ED159" s="55">
        <f>$ED158+$EB159</f>
        <v/>
      </c>
      <c r="EE159" s="55">
        <f>SUMIFS(tblPlant[Grinding_Media_kg],tblPlant[Date],$A159)</f>
        <v/>
      </c>
      <c r="EF159" s="55">
        <f>IF($B159=$B158,$EF158,0)+$EE159</f>
        <v/>
      </c>
      <c r="EG159" s="55">
        <f>$EG158+$EE159</f>
        <v/>
      </c>
      <c r="EH159" s="55">
        <f>SUMIFS(tblPlant[Power_kWh],tblPlant[Date],$A159)</f>
        <v/>
      </c>
      <c r="EI159" s="55">
        <f>IF($B159=$B158,$EI158,0)+$EH159</f>
        <v/>
      </c>
      <c r="EJ159" s="55">
        <f>$EJ158+$EH159</f>
        <v/>
      </c>
      <c r="EK159" s="55">
        <f>SUMIFS(tblPlant[Raw_Water_m3],tblPlant[Date],$A159)</f>
        <v/>
      </c>
      <c r="EL159" s="55">
        <f>IF($B159=$B158,$EL158,0)+$EK159</f>
        <v/>
      </c>
      <c r="EM159" s="55">
        <f>$EM158+$EK159</f>
        <v/>
      </c>
      <c r="EN159" s="56">
        <f>IFERROR(IF(($BZ159)&gt;0,($DY159)/($BZ159),""),"")</f>
        <v/>
      </c>
      <c r="EO159" s="56">
        <f>IFERROR(IF(($CA159)&gt;0,($DZ159)/($CA159),""),"")</f>
        <v/>
      </c>
      <c r="EP159" s="56">
        <f>IFERROR(IF(($CB159)&gt;0,($EA159)/($CB159),""),"")</f>
        <v/>
      </c>
      <c r="EQ159" s="56">
        <f>IFERROR(IF(($BZ159)&gt;0,($EB159)/($BZ159),""),"")</f>
        <v/>
      </c>
      <c r="ER159" s="56">
        <f>IFERROR(IF(($CA159)&gt;0,($EC159)/($CA159),""),"")</f>
        <v/>
      </c>
      <c r="ES159" s="56">
        <f>IFERROR(IF(($CB159)&gt;0,($ED159)/($CB159),""),"")</f>
        <v/>
      </c>
      <c r="ET159" s="56">
        <f>IFERROR(IF(($BZ159)&gt;0,($EE159)/($BZ159),""),"")</f>
        <v/>
      </c>
      <c r="EU159" s="56">
        <f>IFERROR(IF(($CA159)&gt;0,($EF159)/($CA159),""),"")</f>
        <v/>
      </c>
      <c r="EV159" s="56">
        <f>IFERROR(IF(($CB159)&gt;0,($EG159)/($CB159),""),"")</f>
        <v/>
      </c>
      <c r="EW159" s="76">
        <f>IFERROR(IF(($BZ159)&gt;0,($EH159)/($BZ159),""),"")</f>
        <v/>
      </c>
      <c r="EX159" s="76">
        <f>IFERROR(IF(($CA159)&gt;0,($EI159)/($CA159),""),"")</f>
        <v/>
      </c>
      <c r="EY159" s="76">
        <f>IFERROR(IF(($CB159)&gt;0,($EJ159)/($CB159),""),"")</f>
        <v/>
      </c>
      <c r="EZ159" s="56">
        <f>IFERROR(IF(($BZ159)&gt;0,($EK159)/($BZ159),""),"")</f>
        <v/>
      </c>
      <c r="FA159" s="56">
        <f>IFERROR(IF(($CA159)&gt;0,($EL159)/($CA159),""),"")</f>
        <v/>
      </c>
      <c r="FB159" s="56">
        <f>IFERROR(IF(($CB159)&gt;0,($EM159)/($CB159),""),"")</f>
        <v/>
      </c>
      <c r="FC159" s="55">
        <f>IF(SUMIFS(tblPlant[GIC_oz],tblPlant[Date],$A159)&gt;0,SUMIFS(tblPlant[GIC_oz],tblPlant[Date],$A159),"")</f>
        <v/>
      </c>
      <c r="FD159" s="55">
        <f>SUMIFS(tblGold[Gold_oz],tblGold[Date],$A159,tblGold[Type],"Shipment")</f>
        <v/>
      </c>
      <c r="FE159" s="55">
        <f>IF($B159=$B158,$FE158,0)+$FD159</f>
        <v/>
      </c>
      <c r="FF159" s="55">
        <f>$FF158+$FD159</f>
        <v/>
      </c>
      <c r="FG159" s="55">
        <f>SUMIFS(tblGold[Gold_oz],tblGold[Date],$A159,tblGold[Type],"Sale")</f>
        <v/>
      </c>
      <c r="FH159" s="55">
        <f>IF($B159=$B158,$FH158,0)+$FG159</f>
        <v/>
      </c>
      <c r="FI159" s="55">
        <f>$FI158+$FG159</f>
        <v/>
      </c>
      <c r="FJ159" s="55">
        <f>SUMIFS(tblGold[Dore_kg],tblGold[Date],$A159,tblGold[Type],"Shipment")</f>
        <v/>
      </c>
      <c r="FK159" s="55">
        <f>IF($B159=$B158,$FK158,0)+$FJ159</f>
        <v/>
      </c>
      <c r="FL159" s="55">
        <f>$FL158+$FJ159</f>
        <v/>
      </c>
      <c r="FM159" s="57">
        <f>SUMIFS(tblSafety[Hours_Total],tblSafety[Date],$A159)</f>
        <v/>
      </c>
      <c r="FN159" s="57">
        <f>IF($B159=$B158,$FN158,0)+$FM159</f>
        <v/>
      </c>
      <c r="FO159" s="57">
        <f>$FO158+$FM159</f>
        <v/>
      </c>
      <c r="FP159" s="62">
        <f>SUMIFS(tblSafety[Fatality],tblSafety[Date],$A159)</f>
        <v/>
      </c>
      <c r="FQ159" s="62">
        <f>IF($B159=$B158,$FQ158,0)+$FP159</f>
        <v/>
      </c>
      <c r="FR159" s="62">
        <f>$FR158+$FP159</f>
        <v/>
      </c>
      <c r="FS159" s="62">
        <f>SUMIFS(tblSafety[LTI],tblSafety[Date],$A159)</f>
        <v/>
      </c>
      <c r="FT159" s="62">
        <f>IF($B159=$B158,$FT158,0)+$FS159</f>
        <v/>
      </c>
      <c r="FU159" s="62">
        <f>$FU158+$FS159</f>
        <v/>
      </c>
      <c r="FV159" s="62">
        <f>SUMIFS(tblSafety[RWI],tblSafety[Date],$A159)</f>
        <v/>
      </c>
      <c r="FW159" s="62">
        <f>IF($B159=$B158,$FW158,0)+$FV159</f>
        <v/>
      </c>
      <c r="FX159" s="62">
        <f>$FX158+$FV159</f>
        <v/>
      </c>
      <c r="FY159" s="62">
        <f>SUMIFS(tblSafety[MTI],tblSafety[Date],$A159)</f>
        <v/>
      </c>
      <c r="FZ159" s="62">
        <f>IF($B159=$B158,$FZ158,0)+$FY159</f>
        <v/>
      </c>
      <c r="GA159" s="62">
        <f>$GA158+$FY159</f>
        <v/>
      </c>
      <c r="GB159" s="62">
        <f>SUMIFS(tblSafety[FAI],tblSafety[Date],$A159)</f>
        <v/>
      </c>
      <c r="GC159" s="62">
        <f>IF($B159=$B158,$GC158,0)+$GB159</f>
        <v/>
      </c>
      <c r="GD159" s="62">
        <f>$GD158+$GB159</f>
        <v/>
      </c>
      <c r="GE159" s="62">
        <f>SUMIFS(tblSafety[Recordables],tblSafety[Date],$A159)</f>
        <v/>
      </c>
      <c r="GF159" s="62">
        <f>IF($B159=$B158,$GF158,0)+$GE159</f>
        <v/>
      </c>
      <c r="GG159" s="62">
        <f>$GG158+$GE159</f>
        <v/>
      </c>
      <c r="GH159" s="62">
        <f>SUMIFS(tblSafety[Near_Miss],tblSafety[Date],$A159)</f>
        <v/>
      </c>
      <c r="GI159" s="62">
        <f>IF($B159=$B158,$GI158,0)+$GH159</f>
        <v/>
      </c>
      <c r="GJ159" s="62">
        <f>$GJ158+$GH159</f>
        <v/>
      </c>
      <c r="GK159" s="62">
        <f>SUMIFS(tblSafety[Hazard_Reports],tblSafety[Date],$A159)</f>
        <v/>
      </c>
      <c r="GL159" s="62">
        <f>IF($B159=$B158,$GL158,0)+$GK159</f>
        <v/>
      </c>
      <c r="GM159" s="62">
        <f>$GM158+$GK159</f>
        <v/>
      </c>
      <c r="GN159" s="62">
        <f>SUMIFS(tblSafety[HPI],tblSafety[Date],$A159)</f>
        <v/>
      </c>
      <c r="GO159" s="62">
        <f>IF($B159=$B158,$GO158,0)+$GN159</f>
        <v/>
      </c>
      <c r="GP159" s="62">
        <f>$GP158+$GN159</f>
        <v/>
      </c>
      <c r="GQ159" s="62">
        <f>SUMIFS(tblSafety[Env_Incidents],tblSafety[Date],$A159)</f>
        <v/>
      </c>
      <c r="GR159" s="62">
        <f>IF($B159=$B158,$GR158,0)+$GQ159</f>
        <v/>
      </c>
      <c r="GS159" s="62">
        <f>$GS158+$GQ159</f>
        <v/>
      </c>
      <c r="GT159" s="62">
        <f>SUMIFS(tblSafety[Community_Incidents],tblSafety[Date],$A159)</f>
        <v/>
      </c>
      <c r="GU159" s="62">
        <f>IF($B159=$B158,$GU158,0)+$GT159</f>
        <v/>
      </c>
      <c r="GV159" s="62">
        <f>$GV158+$GT159</f>
        <v/>
      </c>
      <c r="GW159" s="62">
        <f>SUMIFS(tblSafety[Vehicle_Incidents],tblSafety[Date],$A159)</f>
        <v/>
      </c>
      <c r="GX159" s="62">
        <f>IF($B159=$B158,$GX158,0)+$GW159</f>
        <v/>
      </c>
      <c r="GY159" s="62">
        <f>$GY158+$GW159</f>
        <v/>
      </c>
      <c r="GZ159" s="62">
        <f>SUMIFS(tblSafety[Toolbox_Talks],tblSafety[Date],$A159)</f>
        <v/>
      </c>
      <c r="HA159" s="62">
        <f>IF($B159=$B158,$HA158,0)+$GZ159</f>
        <v/>
      </c>
      <c r="HB159" s="62">
        <f>$HB158+$GZ159</f>
        <v/>
      </c>
      <c r="HC159" s="62">
        <f>SUMIFS(tblSafety[Inspections],tblSafety[Date],$A159)</f>
        <v/>
      </c>
      <c r="HD159" s="62">
        <f>IF($B159=$B158,$HD158,0)+$HC159</f>
        <v/>
      </c>
      <c r="HE159" s="62">
        <f>$HE158+$HC159</f>
        <v/>
      </c>
      <c r="HF159" s="56">
        <f>IFERROR((SUMIFS(tblSafety[Recordables],tblSafety[Date],"&gt;="&amp;EDATE($E159,-12),tblSafety[Date],"&lt;="&amp;$A159)+SUMIFS(tblSafetyHistory[Recordables],tblSafetyHistory[Month],"&gt;="&amp;EDATE($E159,-12),tblSafetyHistory[Month],"&lt;"&amp;cfg_YearStart))/(SUMIFS(tblSafety[Hours_Total],tblSafety[Date],"&gt;="&amp;EDATE($E159,-12),tblSafety[Date],"&lt;="&amp;$A159)+SUMIFS(tblSafetyHistory[Hours_Total],tblSafetyHistory[Month],"&gt;="&amp;EDATE($E159,-12),tblSafetyHistory[Month],"&lt;"&amp;cfg_YearStart))*1000000,"")</f>
        <v/>
      </c>
      <c r="HG159" s="56">
        <f>IFERROR((SUMIFS(tblSafety[LTI],tblSafety[Date],"&gt;="&amp;EDATE($E159,-12),tblSafety[Date],"&lt;="&amp;$A159)+SUMIFS(tblSafetyHistory[LTI],tblSafetyHistory[Month],"&gt;="&amp;EDATE($E159,-12),tblSafetyHistory[Month],"&lt;"&amp;cfg_YearStart))/(SUMIFS(tblSafety[Hours_Total],tblSafety[Date],"&gt;="&amp;EDATE($E159,-12),tblSafety[Date],"&lt;="&amp;$A159)+SUMIFS(tblSafetyHistory[Hours_Total],tblSafetyHistory[Month],"&gt;="&amp;EDATE($E159,-12),tblSafetyHistory[Month],"&lt;"&amp;cfg_YearStart))*1000000,"")</f>
        <v/>
      </c>
      <c r="HH159" s="62">
        <f>IF(MAX(N(cfg_PriorLTIDate),_xlfn.MAXIFS(tblSafety[Date],tblSafety[LTI],"&gt;0",tblSafety[Date],"&lt;="&amp;$A159))=0,"",$A159-MAX(N(cfg_PriorLTIDate),_xlfn.MAXIFS(tblSafety[Date],tblSafety[LTI],"&gt;0",tblSafety[Date],"&lt;="&amp;$A159)))</f>
        <v/>
      </c>
      <c r="HI159" s="55">
        <f>SUMIFS(tblBudget[Ore_Mined_t],tblBudget[Month],$E159)</f>
        <v/>
      </c>
      <c r="HJ159" s="55">
        <f>$HI159*$C159/$D159</f>
        <v/>
      </c>
      <c r="HK159" s="55">
        <f>SUMIFS(tblBudget[Ore_Mined_t],tblBudget[Month],"&lt;"&amp;$E159)+$HJ159</f>
        <v/>
      </c>
      <c r="HL159" s="55">
        <f>SUMIFS(tblBudget[Ore_oz],tblBudget[Month],$E159)</f>
        <v/>
      </c>
      <c r="HM159" s="55">
        <f>$HL159*$C159/$D159</f>
        <v/>
      </c>
      <c r="HN159" s="55">
        <f>SUMIFS(tblBudget[Ore_oz],tblBudget[Month],"&lt;"&amp;$E159)+$HM159</f>
        <v/>
      </c>
      <c r="HO159" s="56">
        <f>IFERROR(IF(($HI159)&gt;0,($HL159*cfg_TroyOz)/($HI159),""),"")</f>
        <v/>
      </c>
      <c r="HP159" s="56">
        <f>IFERROR(IF(($HJ159)&gt;0,($HM159*cfg_TroyOz)/($HJ159),""),"")</f>
        <v/>
      </c>
      <c r="HQ159" s="56">
        <f>IFERROR(IF(($HK159)&gt;0,($HN159*cfg_TroyOz)/($HK159),""),"")</f>
        <v/>
      </c>
      <c r="HR159" s="55">
        <f>SUMIFS(tblBudget[Waste_t],tblBudget[Month],$E159)</f>
        <v/>
      </c>
      <c r="HS159" s="55">
        <f>$HR159*$C159/$D159</f>
        <v/>
      </c>
      <c r="HT159" s="55">
        <f>SUMIFS(tblBudget[Waste_t],tblBudget[Month],"&lt;"&amp;$E159)+$HS159</f>
        <v/>
      </c>
      <c r="HU159" s="55">
        <f>SUMIFS(tblBudget[TMM_t],tblBudget[Month],$E159)</f>
        <v/>
      </c>
      <c r="HV159" s="55">
        <f>$HU159*$C159/$D159</f>
        <v/>
      </c>
      <c r="HW159" s="55">
        <f>SUMIFS(tblBudget[TMM_t],tblBudget[Month],"&lt;"&amp;$E159)+$HV159</f>
        <v/>
      </c>
      <c r="HX159" s="56">
        <f>IFERROR(IF(($HI159)&gt;0,($HR159)/($HI159),""),"")</f>
        <v/>
      </c>
      <c r="HY159" s="56">
        <f>IFERROR(IF(($HJ159)&gt;0,($HS159)/($HJ159),""),"")</f>
        <v/>
      </c>
      <c r="HZ159" s="56">
        <f>IFERROR(IF(($HK159)&gt;0,($HT159)/($HK159),""),"")</f>
        <v/>
      </c>
      <c r="IA159" s="55">
        <f>SUMIFS(tblBudget[Drill_m],tblBudget[Month],$E159)</f>
        <v/>
      </c>
      <c r="IB159" s="55">
        <f>$IA159*$C159/$D159</f>
        <v/>
      </c>
      <c r="IC159" s="55">
        <f>SUMIFS(tblBudget[Drill_m],tblBudget[Month],"&lt;"&amp;$E159)+$IB159</f>
        <v/>
      </c>
      <c r="ID159" s="55">
        <f>SUMIFS(tblBudget[Diesel_L],tblBudget[Month],$E159)</f>
        <v/>
      </c>
      <c r="IE159" s="55">
        <f>$ID159*$C159/$D159</f>
        <v/>
      </c>
      <c r="IF159" s="55">
        <f>SUMIFS(tblBudget[Diesel_L],tblBudget[Month],"&lt;"&amp;$E159)+$IE159</f>
        <v/>
      </c>
      <c r="IG159" s="55">
        <f>SUMIFS(tblBudget[Milled_t],tblBudget[Month],$E159)</f>
        <v/>
      </c>
      <c r="IH159" s="55">
        <f>$IG159*$C159/$D159</f>
        <v/>
      </c>
      <c r="II159" s="55">
        <f>SUMIFS(tblBudget[Milled_t],tblBudget[Month],"&lt;"&amp;$E159)+$IH159</f>
        <v/>
      </c>
      <c r="IJ159" s="55">
        <f>SUMIFS(tblBudget[Feed_oz],tblBudget[Month],$E159)</f>
        <v/>
      </c>
      <c r="IK159" s="55">
        <f>$IJ159*$C159/$D159</f>
        <v/>
      </c>
      <c r="IL159" s="55">
        <f>SUMIFS(tblBudget[Feed_oz],tblBudget[Month],"&lt;"&amp;$E159)+$IK159</f>
        <v/>
      </c>
      <c r="IM159" s="55">
        <f>SUMIFS(tblBudget[Recovered_oz],tblBudget[Month],$E159)</f>
        <v/>
      </c>
      <c r="IN159" s="55">
        <f>$IM159*$C159/$D159</f>
        <v/>
      </c>
      <c r="IO159" s="55">
        <f>SUMIFS(tblBudget[Recovered_oz],tblBudget[Month],"&lt;"&amp;$E159)+$IN159</f>
        <v/>
      </c>
      <c r="IP159" s="56">
        <f>IFERROR(IF(($IG159)&gt;0,($IJ159*cfg_TroyOz)/($IG159),""),"")</f>
        <v/>
      </c>
      <c r="IQ159" s="56">
        <f>IFERROR(IF(($IH159)&gt;0,($IK159*cfg_TroyOz)/($IH159),""),"")</f>
        <v/>
      </c>
      <c r="IR159" s="56">
        <f>IFERROR(IF(($II159)&gt;0,($IL159*cfg_TroyOz)/($II159),""),"")</f>
        <v/>
      </c>
      <c r="IS159" s="67">
        <f>IFERROR(IF(($IJ159)&gt;0,($IM159)/($IJ159),""),"")</f>
        <v/>
      </c>
      <c r="IT159" s="67">
        <f>IFERROR(IF(($IK159)&gt;0,($IN159)/($IK159),""),"")</f>
        <v/>
      </c>
      <c r="IU159" s="67">
        <f>IFERROR(IF(($IL159)&gt;0,($IO159)/($IL159),""),"")</f>
        <v/>
      </c>
      <c r="IV159" s="55">
        <f>SUMIFS(tblBudget[Gold_Poured_oz],tblBudget[Month],$E159)</f>
        <v/>
      </c>
      <c r="IW159" s="55">
        <f>$IV159*$C159/$D159</f>
        <v/>
      </c>
      <c r="IX159" s="55">
        <f>SUMIFS(tblBudget[Gold_Poured_oz],tblBudget[Month],"&lt;"&amp;$E159)+$IW159</f>
        <v/>
      </c>
      <c r="IY159" s="57">
        <f>SUMIFS(tblBudget[Hours_Worked],tblBudget[Month],$E159)</f>
        <v/>
      </c>
      <c r="IZ159" s="57">
        <f>$IY159*$C159/$D159</f>
        <v/>
      </c>
      <c r="JA159" s="57">
        <f>SUMIFS(tblBudget[Hours_Worked],tblBudget[Month],"&lt;"&amp;$E159)+$IZ159</f>
        <v/>
      </c>
    </row>
    <row r="160">
      <c r="A160" s="54" t="n">
        <v>46181</v>
      </c>
      <c r="B160">
        <f>MONTH($A160)</f>
        <v/>
      </c>
      <c r="C160">
        <f>DAY($A160)</f>
        <v/>
      </c>
      <c r="D160">
        <f>DAY(EOMONTH($A160,0))</f>
        <v/>
      </c>
      <c r="E160" s="54">
        <f>DATE(YEAR($A160),MONTH($A160),1)</f>
        <v/>
      </c>
      <c r="F160" s="55">
        <f>SUMIFS(tblMovement[Tonnes_t],tblMovement[Date],$A160,tblMovement[Is_Ore],1,tblMovement[Source_Type],"Pit")</f>
        <v/>
      </c>
      <c r="G160" s="55">
        <f>IF($B160=$B159,$G159,0)+$F160</f>
        <v/>
      </c>
      <c r="H160" s="55">
        <f>$H159+$F160</f>
        <v/>
      </c>
      <c r="I160" s="55">
        <f>SUMIFS(tblMovement[Ore_oz],tblMovement[Date],$A160,tblMovement[Source_Type],"Pit")</f>
        <v/>
      </c>
      <c r="J160" s="55">
        <f>IF($B160=$B159,$J159,0)+$I160</f>
        <v/>
      </c>
      <c r="K160" s="55">
        <f>$K159+$I160</f>
        <v/>
      </c>
      <c r="L160" s="56">
        <f>IFERROR(IF(($F160)&gt;0,($I160*cfg_TroyOz)/($F160),""),"")</f>
        <v/>
      </c>
      <c r="M160" s="56">
        <f>IFERROR(IF(($G160)&gt;0,($J160*cfg_TroyOz)/($G160),""),"")</f>
        <v/>
      </c>
      <c r="N160" s="56">
        <f>IFERROR(IF(($H160)&gt;0,($K160*cfg_TroyOz)/($H160),""),"")</f>
        <v/>
      </c>
      <c r="O160" s="55">
        <f>SUMIFS(tblMovement[Tonnes_t],tblMovement[Date],$A160,tblMovement[Is_Ore],0,tblMovement[Source_Type],"Pit")</f>
        <v/>
      </c>
      <c r="P160" s="55">
        <f>IF($B160=$B159,$P159,0)+$O160</f>
        <v/>
      </c>
      <c r="Q160" s="55">
        <f>$Q159+$O160</f>
        <v/>
      </c>
      <c r="R160" s="55">
        <f>$F160+$O160</f>
        <v/>
      </c>
      <c r="S160" s="55">
        <f>IF($B160=$B159,$S159,0)+$R160</f>
        <v/>
      </c>
      <c r="T160" s="55">
        <f>$T159+$R160</f>
        <v/>
      </c>
      <c r="U160" s="56">
        <f>IFERROR(IF(($F160)&gt;0,($O160)/($F160),""),"")</f>
        <v/>
      </c>
      <c r="V160" s="56">
        <f>IFERROR(IF(($G160)&gt;0,($P160)/($G160),""),"")</f>
        <v/>
      </c>
      <c r="W160" s="56">
        <f>IFERROR(IF(($H160)&gt;0,($Q160)/($H160),""),"")</f>
        <v/>
      </c>
      <c r="X160" s="55">
        <f>SUMIFS(tblMovement[Tonnes_t],tblMovement[Date],$A160,tblMovement[Source_Type],"Stockpile")</f>
        <v/>
      </c>
      <c r="Y160" s="55">
        <f>IF($B160=$B159,$Y159,0)+$X160</f>
        <v/>
      </c>
      <c r="Z160" s="55">
        <f>$Z159+$X160</f>
        <v/>
      </c>
      <c r="AA160" s="55">
        <f>SUMIFS(tblMiningDaily[Drill_m],tblMiningDaily[Date],$A160)</f>
        <v/>
      </c>
      <c r="AB160" s="55">
        <f>IF($B160=$B159,$AB159,0)+$AA160</f>
        <v/>
      </c>
      <c r="AC160" s="55">
        <f>$AC159+$AA160</f>
        <v/>
      </c>
      <c r="AD160" s="55">
        <f>SUMIFS(tblMiningDaily[Blast_t],tblMiningDaily[Date],$A160)</f>
        <v/>
      </c>
      <c r="AE160" s="55">
        <f>IF($B160=$B159,$AE159,0)+$AD160</f>
        <v/>
      </c>
      <c r="AF160" s="55">
        <f>$AF159+$AD160</f>
        <v/>
      </c>
      <c r="AG160" s="55">
        <f>SUMIFS(tblMiningDaily[Explosives_kg],tblMiningDaily[Date],$A160)</f>
        <v/>
      </c>
      <c r="AH160" s="55">
        <f>IF($B160=$B159,$AH159,0)+$AG160</f>
        <v/>
      </c>
      <c r="AI160" s="55">
        <f>$AI159+$AG160</f>
        <v/>
      </c>
      <c r="AJ160" s="56">
        <f>IFERROR(IF(($AD160)&gt;0,($AG160)/($AD160),""),"")</f>
        <v/>
      </c>
      <c r="AK160" s="56">
        <f>IFERROR(IF(($AE160)&gt;0,($AH160)/($AE160),""),"")</f>
        <v/>
      </c>
      <c r="AL160" s="56">
        <f>IFERROR(IF(($AF160)&gt;0,($AI160)/($AF160),""),"")</f>
        <v/>
      </c>
      <c r="AM160" s="55">
        <f>SUMIFS(tblMiningDaily[Diesel_L],tblMiningDaily[Date],$A160)</f>
        <v/>
      </c>
      <c r="AN160" s="55">
        <f>IF($B160=$B159,$AN159,0)+$AM160</f>
        <v/>
      </c>
      <c r="AO160" s="55">
        <f>$AO159+$AM160</f>
        <v/>
      </c>
      <c r="AP160" s="55">
        <f>SUMIFS(tblMiningDaily[Dewatering_m3],tblMiningDaily[Date],$A160)</f>
        <v/>
      </c>
      <c r="AQ160" s="55">
        <f>IF($B160=$B159,$AQ159,0)+$AP160</f>
        <v/>
      </c>
      <c r="AR160" s="55">
        <f>$AR159+$AP160</f>
        <v/>
      </c>
      <c r="AS160" s="57">
        <f>SUMIFS(tblFleet[Calendar_h],tblFleet[Date],$A160,tblFleet[Equipment_Class],"Excavator")</f>
        <v/>
      </c>
      <c r="AT160" s="57">
        <f>IF($B160=$B159,$AT159,0)+$AS160</f>
        <v/>
      </c>
      <c r="AU160" s="57">
        <f>$AU159+$AS160</f>
        <v/>
      </c>
      <c r="AV160" s="57">
        <f>SUMIFS(tblFleet[Available_h],tblFleet[Date],$A160,tblFleet[Equipment_Class],"Excavator")</f>
        <v/>
      </c>
      <c r="AW160" s="57">
        <f>IF($B160=$B159,$AW159,0)+$AV160</f>
        <v/>
      </c>
      <c r="AX160" s="57">
        <f>$AX159+$AV160</f>
        <v/>
      </c>
      <c r="AY160" s="57">
        <f>SUMIFS(tblFleet[Operating_h],tblFleet[Date],$A160,tblFleet[Equipment_Class],"Excavator")</f>
        <v/>
      </c>
      <c r="AZ160" s="57">
        <f>IF($B160=$B159,$AZ159,0)+$AY160</f>
        <v/>
      </c>
      <c r="BA160" s="57">
        <f>$BA159+$AY160</f>
        <v/>
      </c>
      <c r="BB160" s="67">
        <f>IFERROR(IF(($AS160)&gt;0,($AV160)/($AS160),""),"")</f>
        <v/>
      </c>
      <c r="BC160" s="67">
        <f>IFERROR(IF(($AT160)&gt;0,($AW160)/($AT160),""),"")</f>
        <v/>
      </c>
      <c r="BD160" s="67">
        <f>IFERROR(IF(($AU160)&gt;0,($AX160)/($AU160),""),"")</f>
        <v/>
      </c>
      <c r="BE160" s="67">
        <f>IFERROR(IF(($AV160)&gt;0,($AY160)/($AV160),""),"")</f>
        <v/>
      </c>
      <c r="BF160" s="67">
        <f>IFERROR(IF(($AW160)&gt;0,($AZ160)/($AW160),""),"")</f>
        <v/>
      </c>
      <c r="BG160" s="67">
        <f>IFERROR(IF(($AX160)&gt;0,($BA160)/($AX160),""),"")</f>
        <v/>
      </c>
      <c r="BH160" s="57">
        <f>SUMIFS(tblFleet[Calendar_h],tblFleet[Date],$A160,tblFleet[Equipment_Class],"Haul Truck")</f>
        <v/>
      </c>
      <c r="BI160" s="57">
        <f>IF($B160=$B159,$BI159,0)+$BH160</f>
        <v/>
      </c>
      <c r="BJ160" s="57">
        <f>$BJ159+$BH160</f>
        <v/>
      </c>
      <c r="BK160" s="57">
        <f>SUMIFS(tblFleet[Available_h],tblFleet[Date],$A160,tblFleet[Equipment_Class],"Haul Truck")</f>
        <v/>
      </c>
      <c r="BL160" s="57">
        <f>IF($B160=$B159,$BL159,0)+$BK160</f>
        <v/>
      </c>
      <c r="BM160" s="57">
        <f>$BM159+$BK160</f>
        <v/>
      </c>
      <c r="BN160" s="57">
        <f>SUMIFS(tblFleet[Operating_h],tblFleet[Date],$A160,tblFleet[Equipment_Class],"Haul Truck")</f>
        <v/>
      </c>
      <c r="BO160" s="57">
        <f>IF($B160=$B159,$BO159,0)+$BN160</f>
        <v/>
      </c>
      <c r="BP160" s="57">
        <f>$BP159+$BN160</f>
        <v/>
      </c>
      <c r="BQ160" s="67">
        <f>IFERROR(IF(($BH160)&gt;0,($BK160)/($BH160),""),"")</f>
        <v/>
      </c>
      <c r="BR160" s="67">
        <f>IFERROR(IF(($BI160)&gt;0,($BL160)/($BI160),""),"")</f>
        <v/>
      </c>
      <c r="BS160" s="67">
        <f>IFERROR(IF(($BJ160)&gt;0,($BM160)/($BJ160),""),"")</f>
        <v/>
      </c>
      <c r="BT160" s="67">
        <f>IFERROR(IF(($BK160)&gt;0,($BN160)/($BK160),""),"")</f>
        <v/>
      </c>
      <c r="BU160" s="67">
        <f>IFERROR(IF(($BL160)&gt;0,($BO160)/($BL160),""),"")</f>
        <v/>
      </c>
      <c r="BV160" s="67">
        <f>IFERROR(IF(($BM160)&gt;0,($BP160)/($BM160),""),"")</f>
        <v/>
      </c>
      <c r="BW160" s="55">
        <f>SUMIFS(tblPlant[Crushed_t],tblPlant[Date],$A160)</f>
        <v/>
      </c>
      <c r="BX160" s="55">
        <f>IF($B160=$B159,$BX159,0)+$BW160</f>
        <v/>
      </c>
      <c r="BY160" s="55">
        <f>$BY159+$BW160</f>
        <v/>
      </c>
      <c r="BZ160" s="55">
        <f>SUMIFS(tblPlant[Milled_t],tblPlant[Date],$A160)</f>
        <v/>
      </c>
      <c r="CA160" s="55">
        <f>IF($B160=$B159,$CA159,0)+$BZ160</f>
        <v/>
      </c>
      <c r="CB160" s="55">
        <f>$CB159+$BZ160</f>
        <v/>
      </c>
      <c r="CC160" s="55">
        <f>SUMIFS(tblPlant[Feed_oz],tblPlant[Date],$A160)</f>
        <v/>
      </c>
      <c r="CD160" s="55">
        <f>IF($B160=$B159,$CD159,0)+$CC160</f>
        <v/>
      </c>
      <c r="CE160" s="55">
        <f>$CE159+$CC160</f>
        <v/>
      </c>
      <c r="CF160" s="55">
        <f>SUMIFS(tblPlant[Tails_oz],tblPlant[Date],$A160)</f>
        <v/>
      </c>
      <c r="CG160" s="55">
        <f>IF($B160=$B159,$CG159,0)+$CF160</f>
        <v/>
      </c>
      <c r="CH160" s="55">
        <f>$CH159+$CF160</f>
        <v/>
      </c>
      <c r="CI160" s="55">
        <f>SUMIFS(tblPlant[Recovered_oz],tblPlant[Date],$A160)</f>
        <v/>
      </c>
      <c r="CJ160" s="55">
        <f>IF($B160=$B159,$CJ159,0)+$CI160</f>
        <v/>
      </c>
      <c r="CK160" s="55">
        <f>$CK159+$CI160</f>
        <v/>
      </c>
      <c r="CL160" s="56">
        <f>IFERROR(IF(($BZ160)&gt;0,($CC160*cfg_TroyOz)/($BZ160),""),"")</f>
        <v/>
      </c>
      <c r="CM160" s="56">
        <f>IFERROR(IF(($CA160)&gt;0,($CD160*cfg_TroyOz)/($CA160),""),"")</f>
        <v/>
      </c>
      <c r="CN160" s="56">
        <f>IFERROR(IF(($CB160)&gt;0,($CE160*cfg_TroyOz)/($CB160),""),"")</f>
        <v/>
      </c>
      <c r="CO160" s="56">
        <f>IFERROR(IF(($BZ160)&gt;0,($CF160*cfg_TroyOz)/($BZ160),""),"")</f>
        <v/>
      </c>
      <c r="CP160" s="56">
        <f>IFERROR(IF(($CA160)&gt;0,($CG160*cfg_TroyOz)/($CA160),""),"")</f>
        <v/>
      </c>
      <c r="CQ160" s="56">
        <f>IFERROR(IF(($CB160)&gt;0,($CH160*cfg_TroyOz)/($CB160),""),"")</f>
        <v/>
      </c>
      <c r="CR160" s="67">
        <f>IFERROR(IF(($CC160)&gt;0,($CI160)/($CC160),""),"")</f>
        <v/>
      </c>
      <c r="CS160" s="67">
        <f>IFERROR(IF(($CD160)&gt;0,($CJ160)/($CD160),""),"")</f>
        <v/>
      </c>
      <c r="CT160" s="67">
        <f>IFERROR(IF(($CE160)&gt;0,($CK160)/($CE160),""),"")</f>
        <v/>
      </c>
      <c r="CU160" s="55">
        <f>SUMIFS(tblPlant[Gravity_Gold_oz],tblPlant[Date],$A160)</f>
        <v/>
      </c>
      <c r="CV160" s="55">
        <f>IF($B160=$B159,$CV159,0)+$CU160</f>
        <v/>
      </c>
      <c r="CW160" s="55">
        <f>$CW159+$CU160</f>
        <v/>
      </c>
      <c r="CX160" s="55">
        <f>SUMIFS(tblPlant[Gold_Poured_oz],tblPlant[Date],$A160)</f>
        <v/>
      </c>
      <c r="CY160" s="55">
        <f>IF($B160=$B159,$CY159,0)+$CX160</f>
        <v/>
      </c>
      <c r="CZ160" s="55">
        <f>$CZ159+$CX160</f>
        <v/>
      </c>
      <c r="DA160" s="57">
        <f>SUMIFS(tblPlant[Mill_Run_h],tblPlant[Date],$A160)</f>
        <v/>
      </c>
      <c r="DB160" s="57">
        <f>IF($B160=$B159,$DB159,0)+$DA160</f>
        <v/>
      </c>
      <c r="DC160" s="57">
        <f>$DC159+$DA160</f>
        <v/>
      </c>
      <c r="DD160" s="57">
        <f>SUMIFS(tblPlant[Mill_Planned_Maint_h],tblPlant[Date],$A160)</f>
        <v/>
      </c>
      <c r="DE160" s="57">
        <f>IF($B160=$B159,$DE159,0)+$DD160</f>
        <v/>
      </c>
      <c r="DF160" s="57">
        <f>$DF159+$DD160</f>
        <v/>
      </c>
      <c r="DG160" s="57">
        <f>SUMIFS(tblPlant[Mill_Unplanned_Down_h],tblPlant[Date],$A160)</f>
        <v/>
      </c>
      <c r="DH160" s="57">
        <f>IF($B160=$B159,$DH159,0)+$DG160</f>
        <v/>
      </c>
      <c r="DI160" s="57">
        <f>$DI159+$DG160</f>
        <v/>
      </c>
      <c r="DJ160" s="57">
        <f>COUNTIFS(tblPlant[Date],$A160,tblPlant[Mill_Run_h],"&lt;&gt;")*24</f>
        <v/>
      </c>
      <c r="DK160" s="57">
        <f>IF($B160=$B159,$DK159,0)+$DJ160</f>
        <v/>
      </c>
      <c r="DL160" s="57">
        <f>$DL159+$DJ160</f>
        <v/>
      </c>
      <c r="DM160" s="57">
        <f>SUMIFS(tblPlant[Crusher_Run_h],tblPlant[Date],$A160)</f>
        <v/>
      </c>
      <c r="DN160" s="57">
        <f>IF($B160=$B159,$DN159,0)+$DM160</f>
        <v/>
      </c>
      <c r="DO160" s="57">
        <f>$DO159+$DM160</f>
        <v/>
      </c>
      <c r="DP160" s="55">
        <f>IFERROR(IF(($DA160)&gt;0,($BZ160)/($DA160),""),"")</f>
        <v/>
      </c>
      <c r="DQ160" s="55">
        <f>IFERROR(IF(($DB160)&gt;0,($CA160)/($DB160),""),"")</f>
        <v/>
      </c>
      <c r="DR160" s="55">
        <f>IFERROR(IF(($DC160)&gt;0,($CB160)/($DC160),""),"")</f>
        <v/>
      </c>
      <c r="DS160" s="67">
        <f>IFERROR(IF(($DJ160)&gt;0,($DJ160-$DD160-$DG160)/($DJ160),""),"")</f>
        <v/>
      </c>
      <c r="DT160" s="67">
        <f>IFERROR(IF(($DK160)&gt;0,($DK160-$DE160-$DH160)/($DK160),""),"")</f>
        <v/>
      </c>
      <c r="DU160" s="67">
        <f>IFERROR(IF(($DL160)&gt;0,($DL160-$DF160-$DI160)/($DL160),""),"")</f>
        <v/>
      </c>
      <c r="DV160" s="67">
        <f>IFERROR(IF(($DJ160-$DD160-$DG160)&gt;0,($DA160)/($DJ160-$DD160-$DG160),""),"")</f>
        <v/>
      </c>
      <c r="DW160" s="67">
        <f>IFERROR(IF(($DK160-$DE160-$DH160)&gt;0,($DB160)/($DK160-$DE160-$DH160),""),"")</f>
        <v/>
      </c>
      <c r="DX160" s="67">
        <f>IFERROR(IF(($DL160-$DF160-$DI160)&gt;0,($DC160)/($DL160-$DF160-$DI160),""),"")</f>
        <v/>
      </c>
      <c r="DY160" s="55">
        <f>SUMIFS(tblPlant[Cyanide_kg],tblPlant[Date],$A160)</f>
        <v/>
      </c>
      <c r="DZ160" s="55">
        <f>IF($B160=$B159,$DZ159,0)+$DY160</f>
        <v/>
      </c>
      <c r="EA160" s="55">
        <f>$EA159+$DY160</f>
        <v/>
      </c>
      <c r="EB160" s="55">
        <f>SUMIFS(tblPlant[Lime_kg],tblPlant[Date],$A160)</f>
        <v/>
      </c>
      <c r="EC160" s="55">
        <f>IF($B160=$B159,$EC159,0)+$EB160</f>
        <v/>
      </c>
      <c r="ED160" s="55">
        <f>$ED159+$EB160</f>
        <v/>
      </c>
      <c r="EE160" s="55">
        <f>SUMIFS(tblPlant[Grinding_Media_kg],tblPlant[Date],$A160)</f>
        <v/>
      </c>
      <c r="EF160" s="55">
        <f>IF($B160=$B159,$EF159,0)+$EE160</f>
        <v/>
      </c>
      <c r="EG160" s="55">
        <f>$EG159+$EE160</f>
        <v/>
      </c>
      <c r="EH160" s="55">
        <f>SUMIFS(tblPlant[Power_kWh],tblPlant[Date],$A160)</f>
        <v/>
      </c>
      <c r="EI160" s="55">
        <f>IF($B160=$B159,$EI159,0)+$EH160</f>
        <v/>
      </c>
      <c r="EJ160" s="55">
        <f>$EJ159+$EH160</f>
        <v/>
      </c>
      <c r="EK160" s="55">
        <f>SUMIFS(tblPlant[Raw_Water_m3],tblPlant[Date],$A160)</f>
        <v/>
      </c>
      <c r="EL160" s="55">
        <f>IF($B160=$B159,$EL159,0)+$EK160</f>
        <v/>
      </c>
      <c r="EM160" s="55">
        <f>$EM159+$EK160</f>
        <v/>
      </c>
      <c r="EN160" s="56">
        <f>IFERROR(IF(($BZ160)&gt;0,($DY160)/($BZ160),""),"")</f>
        <v/>
      </c>
      <c r="EO160" s="56">
        <f>IFERROR(IF(($CA160)&gt;0,($DZ160)/($CA160),""),"")</f>
        <v/>
      </c>
      <c r="EP160" s="56">
        <f>IFERROR(IF(($CB160)&gt;0,($EA160)/($CB160),""),"")</f>
        <v/>
      </c>
      <c r="EQ160" s="56">
        <f>IFERROR(IF(($BZ160)&gt;0,($EB160)/($BZ160),""),"")</f>
        <v/>
      </c>
      <c r="ER160" s="56">
        <f>IFERROR(IF(($CA160)&gt;0,($EC160)/($CA160),""),"")</f>
        <v/>
      </c>
      <c r="ES160" s="56">
        <f>IFERROR(IF(($CB160)&gt;0,($ED160)/($CB160),""),"")</f>
        <v/>
      </c>
      <c r="ET160" s="56">
        <f>IFERROR(IF(($BZ160)&gt;0,($EE160)/($BZ160),""),"")</f>
        <v/>
      </c>
      <c r="EU160" s="56">
        <f>IFERROR(IF(($CA160)&gt;0,($EF160)/($CA160),""),"")</f>
        <v/>
      </c>
      <c r="EV160" s="56">
        <f>IFERROR(IF(($CB160)&gt;0,($EG160)/($CB160),""),"")</f>
        <v/>
      </c>
      <c r="EW160" s="76">
        <f>IFERROR(IF(($BZ160)&gt;0,($EH160)/($BZ160),""),"")</f>
        <v/>
      </c>
      <c r="EX160" s="76">
        <f>IFERROR(IF(($CA160)&gt;0,($EI160)/($CA160),""),"")</f>
        <v/>
      </c>
      <c r="EY160" s="76">
        <f>IFERROR(IF(($CB160)&gt;0,($EJ160)/($CB160),""),"")</f>
        <v/>
      </c>
      <c r="EZ160" s="56">
        <f>IFERROR(IF(($BZ160)&gt;0,($EK160)/($BZ160),""),"")</f>
        <v/>
      </c>
      <c r="FA160" s="56">
        <f>IFERROR(IF(($CA160)&gt;0,($EL160)/($CA160),""),"")</f>
        <v/>
      </c>
      <c r="FB160" s="56">
        <f>IFERROR(IF(($CB160)&gt;0,($EM160)/($CB160),""),"")</f>
        <v/>
      </c>
      <c r="FC160" s="55">
        <f>IF(SUMIFS(tblPlant[GIC_oz],tblPlant[Date],$A160)&gt;0,SUMIFS(tblPlant[GIC_oz],tblPlant[Date],$A160),"")</f>
        <v/>
      </c>
      <c r="FD160" s="55">
        <f>SUMIFS(tblGold[Gold_oz],tblGold[Date],$A160,tblGold[Type],"Shipment")</f>
        <v/>
      </c>
      <c r="FE160" s="55">
        <f>IF($B160=$B159,$FE159,0)+$FD160</f>
        <v/>
      </c>
      <c r="FF160" s="55">
        <f>$FF159+$FD160</f>
        <v/>
      </c>
      <c r="FG160" s="55">
        <f>SUMIFS(tblGold[Gold_oz],tblGold[Date],$A160,tblGold[Type],"Sale")</f>
        <v/>
      </c>
      <c r="FH160" s="55">
        <f>IF($B160=$B159,$FH159,0)+$FG160</f>
        <v/>
      </c>
      <c r="FI160" s="55">
        <f>$FI159+$FG160</f>
        <v/>
      </c>
      <c r="FJ160" s="55">
        <f>SUMIFS(tblGold[Dore_kg],tblGold[Date],$A160,tblGold[Type],"Shipment")</f>
        <v/>
      </c>
      <c r="FK160" s="55">
        <f>IF($B160=$B159,$FK159,0)+$FJ160</f>
        <v/>
      </c>
      <c r="FL160" s="55">
        <f>$FL159+$FJ160</f>
        <v/>
      </c>
      <c r="FM160" s="57">
        <f>SUMIFS(tblSafety[Hours_Total],tblSafety[Date],$A160)</f>
        <v/>
      </c>
      <c r="FN160" s="57">
        <f>IF($B160=$B159,$FN159,0)+$FM160</f>
        <v/>
      </c>
      <c r="FO160" s="57">
        <f>$FO159+$FM160</f>
        <v/>
      </c>
      <c r="FP160" s="62">
        <f>SUMIFS(tblSafety[Fatality],tblSafety[Date],$A160)</f>
        <v/>
      </c>
      <c r="FQ160" s="62">
        <f>IF($B160=$B159,$FQ159,0)+$FP160</f>
        <v/>
      </c>
      <c r="FR160" s="62">
        <f>$FR159+$FP160</f>
        <v/>
      </c>
      <c r="FS160" s="62">
        <f>SUMIFS(tblSafety[LTI],tblSafety[Date],$A160)</f>
        <v/>
      </c>
      <c r="FT160" s="62">
        <f>IF($B160=$B159,$FT159,0)+$FS160</f>
        <v/>
      </c>
      <c r="FU160" s="62">
        <f>$FU159+$FS160</f>
        <v/>
      </c>
      <c r="FV160" s="62">
        <f>SUMIFS(tblSafety[RWI],tblSafety[Date],$A160)</f>
        <v/>
      </c>
      <c r="FW160" s="62">
        <f>IF($B160=$B159,$FW159,0)+$FV160</f>
        <v/>
      </c>
      <c r="FX160" s="62">
        <f>$FX159+$FV160</f>
        <v/>
      </c>
      <c r="FY160" s="62">
        <f>SUMIFS(tblSafety[MTI],tblSafety[Date],$A160)</f>
        <v/>
      </c>
      <c r="FZ160" s="62">
        <f>IF($B160=$B159,$FZ159,0)+$FY160</f>
        <v/>
      </c>
      <c r="GA160" s="62">
        <f>$GA159+$FY160</f>
        <v/>
      </c>
      <c r="GB160" s="62">
        <f>SUMIFS(tblSafety[FAI],tblSafety[Date],$A160)</f>
        <v/>
      </c>
      <c r="GC160" s="62">
        <f>IF($B160=$B159,$GC159,0)+$GB160</f>
        <v/>
      </c>
      <c r="GD160" s="62">
        <f>$GD159+$GB160</f>
        <v/>
      </c>
      <c r="GE160" s="62">
        <f>SUMIFS(tblSafety[Recordables],tblSafety[Date],$A160)</f>
        <v/>
      </c>
      <c r="GF160" s="62">
        <f>IF($B160=$B159,$GF159,0)+$GE160</f>
        <v/>
      </c>
      <c r="GG160" s="62">
        <f>$GG159+$GE160</f>
        <v/>
      </c>
      <c r="GH160" s="62">
        <f>SUMIFS(tblSafety[Near_Miss],tblSafety[Date],$A160)</f>
        <v/>
      </c>
      <c r="GI160" s="62">
        <f>IF($B160=$B159,$GI159,0)+$GH160</f>
        <v/>
      </c>
      <c r="GJ160" s="62">
        <f>$GJ159+$GH160</f>
        <v/>
      </c>
      <c r="GK160" s="62">
        <f>SUMIFS(tblSafety[Hazard_Reports],tblSafety[Date],$A160)</f>
        <v/>
      </c>
      <c r="GL160" s="62">
        <f>IF($B160=$B159,$GL159,0)+$GK160</f>
        <v/>
      </c>
      <c r="GM160" s="62">
        <f>$GM159+$GK160</f>
        <v/>
      </c>
      <c r="GN160" s="62">
        <f>SUMIFS(tblSafety[HPI],tblSafety[Date],$A160)</f>
        <v/>
      </c>
      <c r="GO160" s="62">
        <f>IF($B160=$B159,$GO159,0)+$GN160</f>
        <v/>
      </c>
      <c r="GP160" s="62">
        <f>$GP159+$GN160</f>
        <v/>
      </c>
      <c r="GQ160" s="62">
        <f>SUMIFS(tblSafety[Env_Incidents],tblSafety[Date],$A160)</f>
        <v/>
      </c>
      <c r="GR160" s="62">
        <f>IF($B160=$B159,$GR159,0)+$GQ160</f>
        <v/>
      </c>
      <c r="GS160" s="62">
        <f>$GS159+$GQ160</f>
        <v/>
      </c>
      <c r="GT160" s="62">
        <f>SUMIFS(tblSafety[Community_Incidents],tblSafety[Date],$A160)</f>
        <v/>
      </c>
      <c r="GU160" s="62">
        <f>IF($B160=$B159,$GU159,0)+$GT160</f>
        <v/>
      </c>
      <c r="GV160" s="62">
        <f>$GV159+$GT160</f>
        <v/>
      </c>
      <c r="GW160" s="62">
        <f>SUMIFS(tblSafety[Vehicle_Incidents],tblSafety[Date],$A160)</f>
        <v/>
      </c>
      <c r="GX160" s="62">
        <f>IF($B160=$B159,$GX159,0)+$GW160</f>
        <v/>
      </c>
      <c r="GY160" s="62">
        <f>$GY159+$GW160</f>
        <v/>
      </c>
      <c r="GZ160" s="62">
        <f>SUMIFS(tblSafety[Toolbox_Talks],tblSafety[Date],$A160)</f>
        <v/>
      </c>
      <c r="HA160" s="62">
        <f>IF($B160=$B159,$HA159,0)+$GZ160</f>
        <v/>
      </c>
      <c r="HB160" s="62">
        <f>$HB159+$GZ160</f>
        <v/>
      </c>
      <c r="HC160" s="62">
        <f>SUMIFS(tblSafety[Inspections],tblSafety[Date],$A160)</f>
        <v/>
      </c>
      <c r="HD160" s="62">
        <f>IF($B160=$B159,$HD159,0)+$HC160</f>
        <v/>
      </c>
      <c r="HE160" s="62">
        <f>$HE159+$HC160</f>
        <v/>
      </c>
      <c r="HF160" s="56">
        <f>IFERROR((SUMIFS(tblSafety[Recordables],tblSafety[Date],"&gt;="&amp;EDATE($E160,-12),tblSafety[Date],"&lt;="&amp;$A160)+SUMIFS(tblSafetyHistory[Recordables],tblSafetyHistory[Month],"&gt;="&amp;EDATE($E160,-12),tblSafetyHistory[Month],"&lt;"&amp;cfg_YearStart))/(SUMIFS(tblSafety[Hours_Total],tblSafety[Date],"&gt;="&amp;EDATE($E160,-12),tblSafety[Date],"&lt;="&amp;$A160)+SUMIFS(tblSafetyHistory[Hours_Total],tblSafetyHistory[Month],"&gt;="&amp;EDATE($E160,-12),tblSafetyHistory[Month],"&lt;"&amp;cfg_YearStart))*1000000,"")</f>
        <v/>
      </c>
      <c r="HG160" s="56">
        <f>IFERROR((SUMIFS(tblSafety[LTI],tblSafety[Date],"&gt;="&amp;EDATE($E160,-12),tblSafety[Date],"&lt;="&amp;$A160)+SUMIFS(tblSafetyHistory[LTI],tblSafetyHistory[Month],"&gt;="&amp;EDATE($E160,-12),tblSafetyHistory[Month],"&lt;"&amp;cfg_YearStart))/(SUMIFS(tblSafety[Hours_Total],tblSafety[Date],"&gt;="&amp;EDATE($E160,-12),tblSafety[Date],"&lt;="&amp;$A160)+SUMIFS(tblSafetyHistory[Hours_Total],tblSafetyHistory[Month],"&gt;="&amp;EDATE($E160,-12),tblSafetyHistory[Month],"&lt;"&amp;cfg_YearStart))*1000000,"")</f>
        <v/>
      </c>
      <c r="HH160" s="62">
        <f>IF(MAX(N(cfg_PriorLTIDate),_xlfn.MAXIFS(tblSafety[Date],tblSafety[LTI],"&gt;0",tblSafety[Date],"&lt;="&amp;$A160))=0,"",$A160-MAX(N(cfg_PriorLTIDate),_xlfn.MAXIFS(tblSafety[Date],tblSafety[LTI],"&gt;0",tblSafety[Date],"&lt;="&amp;$A160)))</f>
        <v/>
      </c>
      <c r="HI160" s="55">
        <f>SUMIFS(tblBudget[Ore_Mined_t],tblBudget[Month],$E160)</f>
        <v/>
      </c>
      <c r="HJ160" s="55">
        <f>$HI160*$C160/$D160</f>
        <v/>
      </c>
      <c r="HK160" s="55">
        <f>SUMIFS(tblBudget[Ore_Mined_t],tblBudget[Month],"&lt;"&amp;$E160)+$HJ160</f>
        <v/>
      </c>
      <c r="HL160" s="55">
        <f>SUMIFS(tblBudget[Ore_oz],tblBudget[Month],$E160)</f>
        <v/>
      </c>
      <c r="HM160" s="55">
        <f>$HL160*$C160/$D160</f>
        <v/>
      </c>
      <c r="HN160" s="55">
        <f>SUMIFS(tblBudget[Ore_oz],tblBudget[Month],"&lt;"&amp;$E160)+$HM160</f>
        <v/>
      </c>
      <c r="HO160" s="56">
        <f>IFERROR(IF(($HI160)&gt;0,($HL160*cfg_TroyOz)/($HI160),""),"")</f>
        <v/>
      </c>
      <c r="HP160" s="56">
        <f>IFERROR(IF(($HJ160)&gt;0,($HM160*cfg_TroyOz)/($HJ160),""),"")</f>
        <v/>
      </c>
      <c r="HQ160" s="56">
        <f>IFERROR(IF(($HK160)&gt;0,($HN160*cfg_TroyOz)/($HK160),""),"")</f>
        <v/>
      </c>
      <c r="HR160" s="55">
        <f>SUMIFS(tblBudget[Waste_t],tblBudget[Month],$E160)</f>
        <v/>
      </c>
      <c r="HS160" s="55">
        <f>$HR160*$C160/$D160</f>
        <v/>
      </c>
      <c r="HT160" s="55">
        <f>SUMIFS(tblBudget[Waste_t],tblBudget[Month],"&lt;"&amp;$E160)+$HS160</f>
        <v/>
      </c>
      <c r="HU160" s="55">
        <f>SUMIFS(tblBudget[TMM_t],tblBudget[Month],$E160)</f>
        <v/>
      </c>
      <c r="HV160" s="55">
        <f>$HU160*$C160/$D160</f>
        <v/>
      </c>
      <c r="HW160" s="55">
        <f>SUMIFS(tblBudget[TMM_t],tblBudget[Month],"&lt;"&amp;$E160)+$HV160</f>
        <v/>
      </c>
      <c r="HX160" s="56">
        <f>IFERROR(IF(($HI160)&gt;0,($HR160)/($HI160),""),"")</f>
        <v/>
      </c>
      <c r="HY160" s="56">
        <f>IFERROR(IF(($HJ160)&gt;0,($HS160)/($HJ160),""),"")</f>
        <v/>
      </c>
      <c r="HZ160" s="56">
        <f>IFERROR(IF(($HK160)&gt;0,($HT160)/($HK160),""),"")</f>
        <v/>
      </c>
      <c r="IA160" s="55">
        <f>SUMIFS(tblBudget[Drill_m],tblBudget[Month],$E160)</f>
        <v/>
      </c>
      <c r="IB160" s="55">
        <f>$IA160*$C160/$D160</f>
        <v/>
      </c>
      <c r="IC160" s="55">
        <f>SUMIFS(tblBudget[Drill_m],tblBudget[Month],"&lt;"&amp;$E160)+$IB160</f>
        <v/>
      </c>
      <c r="ID160" s="55">
        <f>SUMIFS(tblBudget[Diesel_L],tblBudget[Month],$E160)</f>
        <v/>
      </c>
      <c r="IE160" s="55">
        <f>$ID160*$C160/$D160</f>
        <v/>
      </c>
      <c r="IF160" s="55">
        <f>SUMIFS(tblBudget[Diesel_L],tblBudget[Month],"&lt;"&amp;$E160)+$IE160</f>
        <v/>
      </c>
      <c r="IG160" s="55">
        <f>SUMIFS(tblBudget[Milled_t],tblBudget[Month],$E160)</f>
        <v/>
      </c>
      <c r="IH160" s="55">
        <f>$IG160*$C160/$D160</f>
        <v/>
      </c>
      <c r="II160" s="55">
        <f>SUMIFS(tblBudget[Milled_t],tblBudget[Month],"&lt;"&amp;$E160)+$IH160</f>
        <v/>
      </c>
      <c r="IJ160" s="55">
        <f>SUMIFS(tblBudget[Feed_oz],tblBudget[Month],$E160)</f>
        <v/>
      </c>
      <c r="IK160" s="55">
        <f>$IJ160*$C160/$D160</f>
        <v/>
      </c>
      <c r="IL160" s="55">
        <f>SUMIFS(tblBudget[Feed_oz],tblBudget[Month],"&lt;"&amp;$E160)+$IK160</f>
        <v/>
      </c>
      <c r="IM160" s="55">
        <f>SUMIFS(tblBudget[Recovered_oz],tblBudget[Month],$E160)</f>
        <v/>
      </c>
      <c r="IN160" s="55">
        <f>$IM160*$C160/$D160</f>
        <v/>
      </c>
      <c r="IO160" s="55">
        <f>SUMIFS(tblBudget[Recovered_oz],tblBudget[Month],"&lt;"&amp;$E160)+$IN160</f>
        <v/>
      </c>
      <c r="IP160" s="56">
        <f>IFERROR(IF(($IG160)&gt;0,($IJ160*cfg_TroyOz)/($IG160),""),"")</f>
        <v/>
      </c>
      <c r="IQ160" s="56">
        <f>IFERROR(IF(($IH160)&gt;0,($IK160*cfg_TroyOz)/($IH160),""),"")</f>
        <v/>
      </c>
      <c r="IR160" s="56">
        <f>IFERROR(IF(($II160)&gt;0,($IL160*cfg_TroyOz)/($II160),""),"")</f>
        <v/>
      </c>
      <c r="IS160" s="67">
        <f>IFERROR(IF(($IJ160)&gt;0,($IM160)/($IJ160),""),"")</f>
        <v/>
      </c>
      <c r="IT160" s="67">
        <f>IFERROR(IF(($IK160)&gt;0,($IN160)/($IK160),""),"")</f>
        <v/>
      </c>
      <c r="IU160" s="67">
        <f>IFERROR(IF(($IL160)&gt;0,($IO160)/($IL160),""),"")</f>
        <v/>
      </c>
      <c r="IV160" s="55">
        <f>SUMIFS(tblBudget[Gold_Poured_oz],tblBudget[Month],$E160)</f>
        <v/>
      </c>
      <c r="IW160" s="55">
        <f>$IV160*$C160/$D160</f>
        <v/>
      </c>
      <c r="IX160" s="55">
        <f>SUMIFS(tblBudget[Gold_Poured_oz],tblBudget[Month],"&lt;"&amp;$E160)+$IW160</f>
        <v/>
      </c>
      <c r="IY160" s="57">
        <f>SUMIFS(tblBudget[Hours_Worked],tblBudget[Month],$E160)</f>
        <v/>
      </c>
      <c r="IZ160" s="57">
        <f>$IY160*$C160/$D160</f>
        <v/>
      </c>
      <c r="JA160" s="57">
        <f>SUMIFS(tblBudget[Hours_Worked],tblBudget[Month],"&lt;"&amp;$E160)+$IZ160</f>
        <v/>
      </c>
    </row>
    <row r="161">
      <c r="A161" s="54" t="n">
        <v>46182</v>
      </c>
      <c r="B161">
        <f>MONTH($A161)</f>
        <v/>
      </c>
      <c r="C161">
        <f>DAY($A161)</f>
        <v/>
      </c>
      <c r="D161">
        <f>DAY(EOMONTH($A161,0))</f>
        <v/>
      </c>
      <c r="E161" s="54">
        <f>DATE(YEAR($A161),MONTH($A161),1)</f>
        <v/>
      </c>
      <c r="F161" s="55">
        <f>SUMIFS(tblMovement[Tonnes_t],tblMovement[Date],$A161,tblMovement[Is_Ore],1,tblMovement[Source_Type],"Pit")</f>
        <v/>
      </c>
      <c r="G161" s="55">
        <f>IF($B161=$B160,$G160,0)+$F161</f>
        <v/>
      </c>
      <c r="H161" s="55">
        <f>$H160+$F161</f>
        <v/>
      </c>
      <c r="I161" s="55">
        <f>SUMIFS(tblMovement[Ore_oz],tblMovement[Date],$A161,tblMovement[Source_Type],"Pit")</f>
        <v/>
      </c>
      <c r="J161" s="55">
        <f>IF($B161=$B160,$J160,0)+$I161</f>
        <v/>
      </c>
      <c r="K161" s="55">
        <f>$K160+$I161</f>
        <v/>
      </c>
      <c r="L161" s="56">
        <f>IFERROR(IF(($F161)&gt;0,($I161*cfg_TroyOz)/($F161),""),"")</f>
        <v/>
      </c>
      <c r="M161" s="56">
        <f>IFERROR(IF(($G161)&gt;0,($J161*cfg_TroyOz)/($G161),""),"")</f>
        <v/>
      </c>
      <c r="N161" s="56">
        <f>IFERROR(IF(($H161)&gt;0,($K161*cfg_TroyOz)/($H161),""),"")</f>
        <v/>
      </c>
      <c r="O161" s="55">
        <f>SUMIFS(tblMovement[Tonnes_t],tblMovement[Date],$A161,tblMovement[Is_Ore],0,tblMovement[Source_Type],"Pit")</f>
        <v/>
      </c>
      <c r="P161" s="55">
        <f>IF($B161=$B160,$P160,0)+$O161</f>
        <v/>
      </c>
      <c r="Q161" s="55">
        <f>$Q160+$O161</f>
        <v/>
      </c>
      <c r="R161" s="55">
        <f>$F161+$O161</f>
        <v/>
      </c>
      <c r="S161" s="55">
        <f>IF($B161=$B160,$S160,0)+$R161</f>
        <v/>
      </c>
      <c r="T161" s="55">
        <f>$T160+$R161</f>
        <v/>
      </c>
      <c r="U161" s="56">
        <f>IFERROR(IF(($F161)&gt;0,($O161)/($F161),""),"")</f>
        <v/>
      </c>
      <c r="V161" s="56">
        <f>IFERROR(IF(($G161)&gt;0,($P161)/($G161),""),"")</f>
        <v/>
      </c>
      <c r="W161" s="56">
        <f>IFERROR(IF(($H161)&gt;0,($Q161)/($H161),""),"")</f>
        <v/>
      </c>
      <c r="X161" s="55">
        <f>SUMIFS(tblMovement[Tonnes_t],tblMovement[Date],$A161,tblMovement[Source_Type],"Stockpile")</f>
        <v/>
      </c>
      <c r="Y161" s="55">
        <f>IF($B161=$B160,$Y160,0)+$X161</f>
        <v/>
      </c>
      <c r="Z161" s="55">
        <f>$Z160+$X161</f>
        <v/>
      </c>
      <c r="AA161" s="55">
        <f>SUMIFS(tblMiningDaily[Drill_m],tblMiningDaily[Date],$A161)</f>
        <v/>
      </c>
      <c r="AB161" s="55">
        <f>IF($B161=$B160,$AB160,0)+$AA161</f>
        <v/>
      </c>
      <c r="AC161" s="55">
        <f>$AC160+$AA161</f>
        <v/>
      </c>
      <c r="AD161" s="55">
        <f>SUMIFS(tblMiningDaily[Blast_t],tblMiningDaily[Date],$A161)</f>
        <v/>
      </c>
      <c r="AE161" s="55">
        <f>IF($B161=$B160,$AE160,0)+$AD161</f>
        <v/>
      </c>
      <c r="AF161" s="55">
        <f>$AF160+$AD161</f>
        <v/>
      </c>
      <c r="AG161" s="55">
        <f>SUMIFS(tblMiningDaily[Explosives_kg],tblMiningDaily[Date],$A161)</f>
        <v/>
      </c>
      <c r="AH161" s="55">
        <f>IF($B161=$B160,$AH160,0)+$AG161</f>
        <v/>
      </c>
      <c r="AI161" s="55">
        <f>$AI160+$AG161</f>
        <v/>
      </c>
      <c r="AJ161" s="56">
        <f>IFERROR(IF(($AD161)&gt;0,($AG161)/($AD161),""),"")</f>
        <v/>
      </c>
      <c r="AK161" s="56">
        <f>IFERROR(IF(($AE161)&gt;0,($AH161)/($AE161),""),"")</f>
        <v/>
      </c>
      <c r="AL161" s="56">
        <f>IFERROR(IF(($AF161)&gt;0,($AI161)/($AF161),""),"")</f>
        <v/>
      </c>
      <c r="AM161" s="55">
        <f>SUMIFS(tblMiningDaily[Diesel_L],tblMiningDaily[Date],$A161)</f>
        <v/>
      </c>
      <c r="AN161" s="55">
        <f>IF($B161=$B160,$AN160,0)+$AM161</f>
        <v/>
      </c>
      <c r="AO161" s="55">
        <f>$AO160+$AM161</f>
        <v/>
      </c>
      <c r="AP161" s="55">
        <f>SUMIFS(tblMiningDaily[Dewatering_m3],tblMiningDaily[Date],$A161)</f>
        <v/>
      </c>
      <c r="AQ161" s="55">
        <f>IF($B161=$B160,$AQ160,0)+$AP161</f>
        <v/>
      </c>
      <c r="AR161" s="55">
        <f>$AR160+$AP161</f>
        <v/>
      </c>
      <c r="AS161" s="57">
        <f>SUMIFS(tblFleet[Calendar_h],tblFleet[Date],$A161,tblFleet[Equipment_Class],"Excavator")</f>
        <v/>
      </c>
      <c r="AT161" s="57">
        <f>IF($B161=$B160,$AT160,0)+$AS161</f>
        <v/>
      </c>
      <c r="AU161" s="57">
        <f>$AU160+$AS161</f>
        <v/>
      </c>
      <c r="AV161" s="57">
        <f>SUMIFS(tblFleet[Available_h],tblFleet[Date],$A161,tblFleet[Equipment_Class],"Excavator")</f>
        <v/>
      </c>
      <c r="AW161" s="57">
        <f>IF($B161=$B160,$AW160,0)+$AV161</f>
        <v/>
      </c>
      <c r="AX161" s="57">
        <f>$AX160+$AV161</f>
        <v/>
      </c>
      <c r="AY161" s="57">
        <f>SUMIFS(tblFleet[Operating_h],tblFleet[Date],$A161,tblFleet[Equipment_Class],"Excavator")</f>
        <v/>
      </c>
      <c r="AZ161" s="57">
        <f>IF($B161=$B160,$AZ160,0)+$AY161</f>
        <v/>
      </c>
      <c r="BA161" s="57">
        <f>$BA160+$AY161</f>
        <v/>
      </c>
      <c r="BB161" s="67">
        <f>IFERROR(IF(($AS161)&gt;0,($AV161)/($AS161),""),"")</f>
        <v/>
      </c>
      <c r="BC161" s="67">
        <f>IFERROR(IF(($AT161)&gt;0,($AW161)/($AT161),""),"")</f>
        <v/>
      </c>
      <c r="BD161" s="67">
        <f>IFERROR(IF(($AU161)&gt;0,($AX161)/($AU161),""),"")</f>
        <v/>
      </c>
      <c r="BE161" s="67">
        <f>IFERROR(IF(($AV161)&gt;0,($AY161)/($AV161),""),"")</f>
        <v/>
      </c>
      <c r="BF161" s="67">
        <f>IFERROR(IF(($AW161)&gt;0,($AZ161)/($AW161),""),"")</f>
        <v/>
      </c>
      <c r="BG161" s="67">
        <f>IFERROR(IF(($AX161)&gt;0,($BA161)/($AX161),""),"")</f>
        <v/>
      </c>
      <c r="BH161" s="57">
        <f>SUMIFS(tblFleet[Calendar_h],tblFleet[Date],$A161,tblFleet[Equipment_Class],"Haul Truck")</f>
        <v/>
      </c>
      <c r="BI161" s="57">
        <f>IF($B161=$B160,$BI160,0)+$BH161</f>
        <v/>
      </c>
      <c r="BJ161" s="57">
        <f>$BJ160+$BH161</f>
        <v/>
      </c>
      <c r="BK161" s="57">
        <f>SUMIFS(tblFleet[Available_h],tblFleet[Date],$A161,tblFleet[Equipment_Class],"Haul Truck")</f>
        <v/>
      </c>
      <c r="BL161" s="57">
        <f>IF($B161=$B160,$BL160,0)+$BK161</f>
        <v/>
      </c>
      <c r="BM161" s="57">
        <f>$BM160+$BK161</f>
        <v/>
      </c>
      <c r="BN161" s="57">
        <f>SUMIFS(tblFleet[Operating_h],tblFleet[Date],$A161,tblFleet[Equipment_Class],"Haul Truck")</f>
        <v/>
      </c>
      <c r="BO161" s="57">
        <f>IF($B161=$B160,$BO160,0)+$BN161</f>
        <v/>
      </c>
      <c r="BP161" s="57">
        <f>$BP160+$BN161</f>
        <v/>
      </c>
      <c r="BQ161" s="67">
        <f>IFERROR(IF(($BH161)&gt;0,($BK161)/($BH161),""),"")</f>
        <v/>
      </c>
      <c r="BR161" s="67">
        <f>IFERROR(IF(($BI161)&gt;0,($BL161)/($BI161),""),"")</f>
        <v/>
      </c>
      <c r="BS161" s="67">
        <f>IFERROR(IF(($BJ161)&gt;0,($BM161)/($BJ161),""),"")</f>
        <v/>
      </c>
      <c r="BT161" s="67">
        <f>IFERROR(IF(($BK161)&gt;0,($BN161)/($BK161),""),"")</f>
        <v/>
      </c>
      <c r="BU161" s="67">
        <f>IFERROR(IF(($BL161)&gt;0,($BO161)/($BL161),""),"")</f>
        <v/>
      </c>
      <c r="BV161" s="67">
        <f>IFERROR(IF(($BM161)&gt;0,($BP161)/($BM161),""),"")</f>
        <v/>
      </c>
      <c r="BW161" s="55">
        <f>SUMIFS(tblPlant[Crushed_t],tblPlant[Date],$A161)</f>
        <v/>
      </c>
      <c r="BX161" s="55">
        <f>IF($B161=$B160,$BX160,0)+$BW161</f>
        <v/>
      </c>
      <c r="BY161" s="55">
        <f>$BY160+$BW161</f>
        <v/>
      </c>
      <c r="BZ161" s="55">
        <f>SUMIFS(tblPlant[Milled_t],tblPlant[Date],$A161)</f>
        <v/>
      </c>
      <c r="CA161" s="55">
        <f>IF($B161=$B160,$CA160,0)+$BZ161</f>
        <v/>
      </c>
      <c r="CB161" s="55">
        <f>$CB160+$BZ161</f>
        <v/>
      </c>
      <c r="CC161" s="55">
        <f>SUMIFS(tblPlant[Feed_oz],tblPlant[Date],$A161)</f>
        <v/>
      </c>
      <c r="CD161" s="55">
        <f>IF($B161=$B160,$CD160,0)+$CC161</f>
        <v/>
      </c>
      <c r="CE161" s="55">
        <f>$CE160+$CC161</f>
        <v/>
      </c>
      <c r="CF161" s="55">
        <f>SUMIFS(tblPlant[Tails_oz],tblPlant[Date],$A161)</f>
        <v/>
      </c>
      <c r="CG161" s="55">
        <f>IF($B161=$B160,$CG160,0)+$CF161</f>
        <v/>
      </c>
      <c r="CH161" s="55">
        <f>$CH160+$CF161</f>
        <v/>
      </c>
      <c r="CI161" s="55">
        <f>SUMIFS(tblPlant[Recovered_oz],tblPlant[Date],$A161)</f>
        <v/>
      </c>
      <c r="CJ161" s="55">
        <f>IF($B161=$B160,$CJ160,0)+$CI161</f>
        <v/>
      </c>
      <c r="CK161" s="55">
        <f>$CK160+$CI161</f>
        <v/>
      </c>
      <c r="CL161" s="56">
        <f>IFERROR(IF(($BZ161)&gt;0,($CC161*cfg_TroyOz)/($BZ161),""),"")</f>
        <v/>
      </c>
      <c r="CM161" s="56">
        <f>IFERROR(IF(($CA161)&gt;0,($CD161*cfg_TroyOz)/($CA161),""),"")</f>
        <v/>
      </c>
      <c r="CN161" s="56">
        <f>IFERROR(IF(($CB161)&gt;0,($CE161*cfg_TroyOz)/($CB161),""),"")</f>
        <v/>
      </c>
      <c r="CO161" s="56">
        <f>IFERROR(IF(($BZ161)&gt;0,($CF161*cfg_TroyOz)/($BZ161),""),"")</f>
        <v/>
      </c>
      <c r="CP161" s="56">
        <f>IFERROR(IF(($CA161)&gt;0,($CG161*cfg_TroyOz)/($CA161),""),"")</f>
        <v/>
      </c>
      <c r="CQ161" s="56">
        <f>IFERROR(IF(($CB161)&gt;0,($CH161*cfg_TroyOz)/($CB161),""),"")</f>
        <v/>
      </c>
      <c r="CR161" s="67">
        <f>IFERROR(IF(($CC161)&gt;0,($CI161)/($CC161),""),"")</f>
        <v/>
      </c>
      <c r="CS161" s="67">
        <f>IFERROR(IF(($CD161)&gt;0,($CJ161)/($CD161),""),"")</f>
        <v/>
      </c>
      <c r="CT161" s="67">
        <f>IFERROR(IF(($CE161)&gt;0,($CK161)/($CE161),""),"")</f>
        <v/>
      </c>
      <c r="CU161" s="55">
        <f>SUMIFS(tblPlant[Gravity_Gold_oz],tblPlant[Date],$A161)</f>
        <v/>
      </c>
      <c r="CV161" s="55">
        <f>IF($B161=$B160,$CV160,0)+$CU161</f>
        <v/>
      </c>
      <c r="CW161" s="55">
        <f>$CW160+$CU161</f>
        <v/>
      </c>
      <c r="CX161" s="55">
        <f>SUMIFS(tblPlant[Gold_Poured_oz],tblPlant[Date],$A161)</f>
        <v/>
      </c>
      <c r="CY161" s="55">
        <f>IF($B161=$B160,$CY160,0)+$CX161</f>
        <v/>
      </c>
      <c r="CZ161" s="55">
        <f>$CZ160+$CX161</f>
        <v/>
      </c>
      <c r="DA161" s="57">
        <f>SUMIFS(tblPlant[Mill_Run_h],tblPlant[Date],$A161)</f>
        <v/>
      </c>
      <c r="DB161" s="57">
        <f>IF($B161=$B160,$DB160,0)+$DA161</f>
        <v/>
      </c>
      <c r="DC161" s="57">
        <f>$DC160+$DA161</f>
        <v/>
      </c>
      <c r="DD161" s="57">
        <f>SUMIFS(tblPlant[Mill_Planned_Maint_h],tblPlant[Date],$A161)</f>
        <v/>
      </c>
      <c r="DE161" s="57">
        <f>IF($B161=$B160,$DE160,0)+$DD161</f>
        <v/>
      </c>
      <c r="DF161" s="57">
        <f>$DF160+$DD161</f>
        <v/>
      </c>
      <c r="DG161" s="57">
        <f>SUMIFS(tblPlant[Mill_Unplanned_Down_h],tblPlant[Date],$A161)</f>
        <v/>
      </c>
      <c r="DH161" s="57">
        <f>IF($B161=$B160,$DH160,0)+$DG161</f>
        <v/>
      </c>
      <c r="DI161" s="57">
        <f>$DI160+$DG161</f>
        <v/>
      </c>
      <c r="DJ161" s="57">
        <f>COUNTIFS(tblPlant[Date],$A161,tblPlant[Mill_Run_h],"&lt;&gt;")*24</f>
        <v/>
      </c>
      <c r="DK161" s="57">
        <f>IF($B161=$B160,$DK160,0)+$DJ161</f>
        <v/>
      </c>
      <c r="DL161" s="57">
        <f>$DL160+$DJ161</f>
        <v/>
      </c>
      <c r="DM161" s="57">
        <f>SUMIFS(tblPlant[Crusher_Run_h],tblPlant[Date],$A161)</f>
        <v/>
      </c>
      <c r="DN161" s="57">
        <f>IF($B161=$B160,$DN160,0)+$DM161</f>
        <v/>
      </c>
      <c r="DO161" s="57">
        <f>$DO160+$DM161</f>
        <v/>
      </c>
      <c r="DP161" s="55">
        <f>IFERROR(IF(($DA161)&gt;0,($BZ161)/($DA161),""),"")</f>
        <v/>
      </c>
      <c r="DQ161" s="55">
        <f>IFERROR(IF(($DB161)&gt;0,($CA161)/($DB161),""),"")</f>
        <v/>
      </c>
      <c r="DR161" s="55">
        <f>IFERROR(IF(($DC161)&gt;0,($CB161)/($DC161),""),"")</f>
        <v/>
      </c>
      <c r="DS161" s="67">
        <f>IFERROR(IF(($DJ161)&gt;0,($DJ161-$DD161-$DG161)/($DJ161),""),"")</f>
        <v/>
      </c>
      <c r="DT161" s="67">
        <f>IFERROR(IF(($DK161)&gt;0,($DK161-$DE161-$DH161)/($DK161),""),"")</f>
        <v/>
      </c>
      <c r="DU161" s="67">
        <f>IFERROR(IF(($DL161)&gt;0,($DL161-$DF161-$DI161)/($DL161),""),"")</f>
        <v/>
      </c>
      <c r="DV161" s="67">
        <f>IFERROR(IF(($DJ161-$DD161-$DG161)&gt;0,($DA161)/($DJ161-$DD161-$DG161),""),"")</f>
        <v/>
      </c>
      <c r="DW161" s="67">
        <f>IFERROR(IF(($DK161-$DE161-$DH161)&gt;0,($DB161)/($DK161-$DE161-$DH161),""),"")</f>
        <v/>
      </c>
      <c r="DX161" s="67">
        <f>IFERROR(IF(($DL161-$DF161-$DI161)&gt;0,($DC161)/($DL161-$DF161-$DI161),""),"")</f>
        <v/>
      </c>
      <c r="DY161" s="55">
        <f>SUMIFS(tblPlant[Cyanide_kg],tblPlant[Date],$A161)</f>
        <v/>
      </c>
      <c r="DZ161" s="55">
        <f>IF($B161=$B160,$DZ160,0)+$DY161</f>
        <v/>
      </c>
      <c r="EA161" s="55">
        <f>$EA160+$DY161</f>
        <v/>
      </c>
      <c r="EB161" s="55">
        <f>SUMIFS(tblPlant[Lime_kg],tblPlant[Date],$A161)</f>
        <v/>
      </c>
      <c r="EC161" s="55">
        <f>IF($B161=$B160,$EC160,0)+$EB161</f>
        <v/>
      </c>
      <c r="ED161" s="55">
        <f>$ED160+$EB161</f>
        <v/>
      </c>
      <c r="EE161" s="55">
        <f>SUMIFS(tblPlant[Grinding_Media_kg],tblPlant[Date],$A161)</f>
        <v/>
      </c>
      <c r="EF161" s="55">
        <f>IF($B161=$B160,$EF160,0)+$EE161</f>
        <v/>
      </c>
      <c r="EG161" s="55">
        <f>$EG160+$EE161</f>
        <v/>
      </c>
      <c r="EH161" s="55">
        <f>SUMIFS(tblPlant[Power_kWh],tblPlant[Date],$A161)</f>
        <v/>
      </c>
      <c r="EI161" s="55">
        <f>IF($B161=$B160,$EI160,0)+$EH161</f>
        <v/>
      </c>
      <c r="EJ161" s="55">
        <f>$EJ160+$EH161</f>
        <v/>
      </c>
      <c r="EK161" s="55">
        <f>SUMIFS(tblPlant[Raw_Water_m3],tblPlant[Date],$A161)</f>
        <v/>
      </c>
      <c r="EL161" s="55">
        <f>IF($B161=$B160,$EL160,0)+$EK161</f>
        <v/>
      </c>
      <c r="EM161" s="55">
        <f>$EM160+$EK161</f>
        <v/>
      </c>
      <c r="EN161" s="56">
        <f>IFERROR(IF(($BZ161)&gt;0,($DY161)/($BZ161),""),"")</f>
        <v/>
      </c>
      <c r="EO161" s="56">
        <f>IFERROR(IF(($CA161)&gt;0,($DZ161)/($CA161),""),"")</f>
        <v/>
      </c>
      <c r="EP161" s="56">
        <f>IFERROR(IF(($CB161)&gt;0,($EA161)/($CB161),""),"")</f>
        <v/>
      </c>
      <c r="EQ161" s="56">
        <f>IFERROR(IF(($BZ161)&gt;0,($EB161)/($BZ161),""),"")</f>
        <v/>
      </c>
      <c r="ER161" s="56">
        <f>IFERROR(IF(($CA161)&gt;0,($EC161)/($CA161),""),"")</f>
        <v/>
      </c>
      <c r="ES161" s="56">
        <f>IFERROR(IF(($CB161)&gt;0,($ED161)/($CB161),""),"")</f>
        <v/>
      </c>
      <c r="ET161" s="56">
        <f>IFERROR(IF(($BZ161)&gt;0,($EE161)/($BZ161),""),"")</f>
        <v/>
      </c>
      <c r="EU161" s="56">
        <f>IFERROR(IF(($CA161)&gt;0,($EF161)/($CA161),""),"")</f>
        <v/>
      </c>
      <c r="EV161" s="56">
        <f>IFERROR(IF(($CB161)&gt;0,($EG161)/($CB161),""),"")</f>
        <v/>
      </c>
      <c r="EW161" s="76">
        <f>IFERROR(IF(($BZ161)&gt;0,($EH161)/($BZ161),""),"")</f>
        <v/>
      </c>
      <c r="EX161" s="76">
        <f>IFERROR(IF(($CA161)&gt;0,($EI161)/($CA161),""),"")</f>
        <v/>
      </c>
      <c r="EY161" s="76">
        <f>IFERROR(IF(($CB161)&gt;0,($EJ161)/($CB161),""),"")</f>
        <v/>
      </c>
      <c r="EZ161" s="56">
        <f>IFERROR(IF(($BZ161)&gt;0,($EK161)/($BZ161),""),"")</f>
        <v/>
      </c>
      <c r="FA161" s="56">
        <f>IFERROR(IF(($CA161)&gt;0,($EL161)/($CA161),""),"")</f>
        <v/>
      </c>
      <c r="FB161" s="56">
        <f>IFERROR(IF(($CB161)&gt;0,($EM161)/($CB161),""),"")</f>
        <v/>
      </c>
      <c r="FC161" s="55">
        <f>IF(SUMIFS(tblPlant[GIC_oz],tblPlant[Date],$A161)&gt;0,SUMIFS(tblPlant[GIC_oz],tblPlant[Date],$A161),"")</f>
        <v/>
      </c>
      <c r="FD161" s="55">
        <f>SUMIFS(tblGold[Gold_oz],tblGold[Date],$A161,tblGold[Type],"Shipment")</f>
        <v/>
      </c>
      <c r="FE161" s="55">
        <f>IF($B161=$B160,$FE160,0)+$FD161</f>
        <v/>
      </c>
      <c r="FF161" s="55">
        <f>$FF160+$FD161</f>
        <v/>
      </c>
      <c r="FG161" s="55">
        <f>SUMIFS(tblGold[Gold_oz],tblGold[Date],$A161,tblGold[Type],"Sale")</f>
        <v/>
      </c>
      <c r="FH161" s="55">
        <f>IF($B161=$B160,$FH160,0)+$FG161</f>
        <v/>
      </c>
      <c r="FI161" s="55">
        <f>$FI160+$FG161</f>
        <v/>
      </c>
      <c r="FJ161" s="55">
        <f>SUMIFS(tblGold[Dore_kg],tblGold[Date],$A161,tblGold[Type],"Shipment")</f>
        <v/>
      </c>
      <c r="FK161" s="55">
        <f>IF($B161=$B160,$FK160,0)+$FJ161</f>
        <v/>
      </c>
      <c r="FL161" s="55">
        <f>$FL160+$FJ161</f>
        <v/>
      </c>
      <c r="FM161" s="57">
        <f>SUMIFS(tblSafety[Hours_Total],tblSafety[Date],$A161)</f>
        <v/>
      </c>
      <c r="FN161" s="57">
        <f>IF($B161=$B160,$FN160,0)+$FM161</f>
        <v/>
      </c>
      <c r="FO161" s="57">
        <f>$FO160+$FM161</f>
        <v/>
      </c>
      <c r="FP161" s="62">
        <f>SUMIFS(tblSafety[Fatality],tblSafety[Date],$A161)</f>
        <v/>
      </c>
      <c r="FQ161" s="62">
        <f>IF($B161=$B160,$FQ160,0)+$FP161</f>
        <v/>
      </c>
      <c r="FR161" s="62">
        <f>$FR160+$FP161</f>
        <v/>
      </c>
      <c r="FS161" s="62">
        <f>SUMIFS(tblSafety[LTI],tblSafety[Date],$A161)</f>
        <v/>
      </c>
      <c r="FT161" s="62">
        <f>IF($B161=$B160,$FT160,0)+$FS161</f>
        <v/>
      </c>
      <c r="FU161" s="62">
        <f>$FU160+$FS161</f>
        <v/>
      </c>
      <c r="FV161" s="62">
        <f>SUMIFS(tblSafety[RWI],tblSafety[Date],$A161)</f>
        <v/>
      </c>
      <c r="FW161" s="62">
        <f>IF($B161=$B160,$FW160,0)+$FV161</f>
        <v/>
      </c>
      <c r="FX161" s="62">
        <f>$FX160+$FV161</f>
        <v/>
      </c>
      <c r="FY161" s="62">
        <f>SUMIFS(tblSafety[MTI],tblSafety[Date],$A161)</f>
        <v/>
      </c>
      <c r="FZ161" s="62">
        <f>IF($B161=$B160,$FZ160,0)+$FY161</f>
        <v/>
      </c>
      <c r="GA161" s="62">
        <f>$GA160+$FY161</f>
        <v/>
      </c>
      <c r="GB161" s="62">
        <f>SUMIFS(tblSafety[FAI],tblSafety[Date],$A161)</f>
        <v/>
      </c>
      <c r="GC161" s="62">
        <f>IF($B161=$B160,$GC160,0)+$GB161</f>
        <v/>
      </c>
      <c r="GD161" s="62">
        <f>$GD160+$GB161</f>
        <v/>
      </c>
      <c r="GE161" s="62">
        <f>SUMIFS(tblSafety[Recordables],tblSafety[Date],$A161)</f>
        <v/>
      </c>
      <c r="GF161" s="62">
        <f>IF($B161=$B160,$GF160,0)+$GE161</f>
        <v/>
      </c>
      <c r="GG161" s="62">
        <f>$GG160+$GE161</f>
        <v/>
      </c>
      <c r="GH161" s="62">
        <f>SUMIFS(tblSafety[Near_Miss],tblSafety[Date],$A161)</f>
        <v/>
      </c>
      <c r="GI161" s="62">
        <f>IF($B161=$B160,$GI160,0)+$GH161</f>
        <v/>
      </c>
      <c r="GJ161" s="62">
        <f>$GJ160+$GH161</f>
        <v/>
      </c>
      <c r="GK161" s="62">
        <f>SUMIFS(tblSafety[Hazard_Reports],tblSafety[Date],$A161)</f>
        <v/>
      </c>
      <c r="GL161" s="62">
        <f>IF($B161=$B160,$GL160,0)+$GK161</f>
        <v/>
      </c>
      <c r="GM161" s="62">
        <f>$GM160+$GK161</f>
        <v/>
      </c>
      <c r="GN161" s="62">
        <f>SUMIFS(tblSafety[HPI],tblSafety[Date],$A161)</f>
        <v/>
      </c>
      <c r="GO161" s="62">
        <f>IF($B161=$B160,$GO160,0)+$GN161</f>
        <v/>
      </c>
      <c r="GP161" s="62">
        <f>$GP160+$GN161</f>
        <v/>
      </c>
      <c r="GQ161" s="62">
        <f>SUMIFS(tblSafety[Env_Incidents],tblSafety[Date],$A161)</f>
        <v/>
      </c>
      <c r="GR161" s="62">
        <f>IF($B161=$B160,$GR160,0)+$GQ161</f>
        <v/>
      </c>
      <c r="GS161" s="62">
        <f>$GS160+$GQ161</f>
        <v/>
      </c>
      <c r="GT161" s="62">
        <f>SUMIFS(tblSafety[Community_Incidents],tblSafety[Date],$A161)</f>
        <v/>
      </c>
      <c r="GU161" s="62">
        <f>IF($B161=$B160,$GU160,0)+$GT161</f>
        <v/>
      </c>
      <c r="GV161" s="62">
        <f>$GV160+$GT161</f>
        <v/>
      </c>
      <c r="GW161" s="62">
        <f>SUMIFS(tblSafety[Vehicle_Incidents],tblSafety[Date],$A161)</f>
        <v/>
      </c>
      <c r="GX161" s="62">
        <f>IF($B161=$B160,$GX160,0)+$GW161</f>
        <v/>
      </c>
      <c r="GY161" s="62">
        <f>$GY160+$GW161</f>
        <v/>
      </c>
      <c r="GZ161" s="62">
        <f>SUMIFS(tblSafety[Toolbox_Talks],tblSafety[Date],$A161)</f>
        <v/>
      </c>
      <c r="HA161" s="62">
        <f>IF($B161=$B160,$HA160,0)+$GZ161</f>
        <v/>
      </c>
      <c r="HB161" s="62">
        <f>$HB160+$GZ161</f>
        <v/>
      </c>
      <c r="HC161" s="62">
        <f>SUMIFS(tblSafety[Inspections],tblSafety[Date],$A161)</f>
        <v/>
      </c>
      <c r="HD161" s="62">
        <f>IF($B161=$B160,$HD160,0)+$HC161</f>
        <v/>
      </c>
      <c r="HE161" s="62">
        <f>$HE160+$HC161</f>
        <v/>
      </c>
      <c r="HF161" s="56">
        <f>IFERROR((SUMIFS(tblSafety[Recordables],tblSafety[Date],"&gt;="&amp;EDATE($E161,-12),tblSafety[Date],"&lt;="&amp;$A161)+SUMIFS(tblSafetyHistory[Recordables],tblSafetyHistory[Month],"&gt;="&amp;EDATE($E161,-12),tblSafetyHistory[Month],"&lt;"&amp;cfg_YearStart))/(SUMIFS(tblSafety[Hours_Total],tblSafety[Date],"&gt;="&amp;EDATE($E161,-12),tblSafety[Date],"&lt;="&amp;$A161)+SUMIFS(tblSafetyHistory[Hours_Total],tblSafetyHistory[Month],"&gt;="&amp;EDATE($E161,-12),tblSafetyHistory[Month],"&lt;"&amp;cfg_YearStart))*1000000,"")</f>
        <v/>
      </c>
      <c r="HG161" s="56">
        <f>IFERROR((SUMIFS(tblSafety[LTI],tblSafety[Date],"&gt;="&amp;EDATE($E161,-12),tblSafety[Date],"&lt;="&amp;$A161)+SUMIFS(tblSafetyHistory[LTI],tblSafetyHistory[Month],"&gt;="&amp;EDATE($E161,-12),tblSafetyHistory[Month],"&lt;"&amp;cfg_YearStart))/(SUMIFS(tblSafety[Hours_Total],tblSafety[Date],"&gt;="&amp;EDATE($E161,-12),tblSafety[Date],"&lt;="&amp;$A161)+SUMIFS(tblSafetyHistory[Hours_Total],tblSafetyHistory[Month],"&gt;="&amp;EDATE($E161,-12),tblSafetyHistory[Month],"&lt;"&amp;cfg_YearStart))*1000000,"")</f>
        <v/>
      </c>
      <c r="HH161" s="62">
        <f>IF(MAX(N(cfg_PriorLTIDate),_xlfn.MAXIFS(tblSafety[Date],tblSafety[LTI],"&gt;0",tblSafety[Date],"&lt;="&amp;$A161))=0,"",$A161-MAX(N(cfg_PriorLTIDate),_xlfn.MAXIFS(tblSafety[Date],tblSafety[LTI],"&gt;0",tblSafety[Date],"&lt;="&amp;$A161)))</f>
        <v/>
      </c>
      <c r="HI161" s="55">
        <f>SUMIFS(tblBudget[Ore_Mined_t],tblBudget[Month],$E161)</f>
        <v/>
      </c>
      <c r="HJ161" s="55">
        <f>$HI161*$C161/$D161</f>
        <v/>
      </c>
      <c r="HK161" s="55">
        <f>SUMIFS(tblBudget[Ore_Mined_t],tblBudget[Month],"&lt;"&amp;$E161)+$HJ161</f>
        <v/>
      </c>
      <c r="HL161" s="55">
        <f>SUMIFS(tblBudget[Ore_oz],tblBudget[Month],$E161)</f>
        <v/>
      </c>
      <c r="HM161" s="55">
        <f>$HL161*$C161/$D161</f>
        <v/>
      </c>
      <c r="HN161" s="55">
        <f>SUMIFS(tblBudget[Ore_oz],tblBudget[Month],"&lt;"&amp;$E161)+$HM161</f>
        <v/>
      </c>
      <c r="HO161" s="56">
        <f>IFERROR(IF(($HI161)&gt;0,($HL161*cfg_TroyOz)/($HI161),""),"")</f>
        <v/>
      </c>
      <c r="HP161" s="56">
        <f>IFERROR(IF(($HJ161)&gt;0,($HM161*cfg_TroyOz)/($HJ161),""),"")</f>
        <v/>
      </c>
      <c r="HQ161" s="56">
        <f>IFERROR(IF(($HK161)&gt;0,($HN161*cfg_TroyOz)/($HK161),""),"")</f>
        <v/>
      </c>
      <c r="HR161" s="55">
        <f>SUMIFS(tblBudget[Waste_t],tblBudget[Month],$E161)</f>
        <v/>
      </c>
      <c r="HS161" s="55">
        <f>$HR161*$C161/$D161</f>
        <v/>
      </c>
      <c r="HT161" s="55">
        <f>SUMIFS(tblBudget[Waste_t],tblBudget[Month],"&lt;"&amp;$E161)+$HS161</f>
        <v/>
      </c>
      <c r="HU161" s="55">
        <f>SUMIFS(tblBudget[TMM_t],tblBudget[Month],$E161)</f>
        <v/>
      </c>
      <c r="HV161" s="55">
        <f>$HU161*$C161/$D161</f>
        <v/>
      </c>
      <c r="HW161" s="55">
        <f>SUMIFS(tblBudget[TMM_t],tblBudget[Month],"&lt;"&amp;$E161)+$HV161</f>
        <v/>
      </c>
      <c r="HX161" s="56">
        <f>IFERROR(IF(($HI161)&gt;0,($HR161)/($HI161),""),"")</f>
        <v/>
      </c>
      <c r="HY161" s="56">
        <f>IFERROR(IF(($HJ161)&gt;0,($HS161)/($HJ161),""),"")</f>
        <v/>
      </c>
      <c r="HZ161" s="56">
        <f>IFERROR(IF(($HK161)&gt;0,($HT161)/($HK161),""),"")</f>
        <v/>
      </c>
      <c r="IA161" s="55">
        <f>SUMIFS(tblBudget[Drill_m],tblBudget[Month],$E161)</f>
        <v/>
      </c>
      <c r="IB161" s="55">
        <f>$IA161*$C161/$D161</f>
        <v/>
      </c>
      <c r="IC161" s="55">
        <f>SUMIFS(tblBudget[Drill_m],tblBudget[Month],"&lt;"&amp;$E161)+$IB161</f>
        <v/>
      </c>
      <c r="ID161" s="55">
        <f>SUMIFS(tblBudget[Diesel_L],tblBudget[Month],$E161)</f>
        <v/>
      </c>
      <c r="IE161" s="55">
        <f>$ID161*$C161/$D161</f>
        <v/>
      </c>
      <c r="IF161" s="55">
        <f>SUMIFS(tblBudget[Diesel_L],tblBudget[Month],"&lt;"&amp;$E161)+$IE161</f>
        <v/>
      </c>
      <c r="IG161" s="55">
        <f>SUMIFS(tblBudget[Milled_t],tblBudget[Month],$E161)</f>
        <v/>
      </c>
      <c r="IH161" s="55">
        <f>$IG161*$C161/$D161</f>
        <v/>
      </c>
      <c r="II161" s="55">
        <f>SUMIFS(tblBudget[Milled_t],tblBudget[Month],"&lt;"&amp;$E161)+$IH161</f>
        <v/>
      </c>
      <c r="IJ161" s="55">
        <f>SUMIFS(tblBudget[Feed_oz],tblBudget[Month],$E161)</f>
        <v/>
      </c>
      <c r="IK161" s="55">
        <f>$IJ161*$C161/$D161</f>
        <v/>
      </c>
      <c r="IL161" s="55">
        <f>SUMIFS(tblBudget[Feed_oz],tblBudget[Month],"&lt;"&amp;$E161)+$IK161</f>
        <v/>
      </c>
      <c r="IM161" s="55">
        <f>SUMIFS(tblBudget[Recovered_oz],tblBudget[Month],$E161)</f>
        <v/>
      </c>
      <c r="IN161" s="55">
        <f>$IM161*$C161/$D161</f>
        <v/>
      </c>
      <c r="IO161" s="55">
        <f>SUMIFS(tblBudget[Recovered_oz],tblBudget[Month],"&lt;"&amp;$E161)+$IN161</f>
        <v/>
      </c>
      <c r="IP161" s="56">
        <f>IFERROR(IF(($IG161)&gt;0,($IJ161*cfg_TroyOz)/($IG161),""),"")</f>
        <v/>
      </c>
      <c r="IQ161" s="56">
        <f>IFERROR(IF(($IH161)&gt;0,($IK161*cfg_TroyOz)/($IH161),""),"")</f>
        <v/>
      </c>
      <c r="IR161" s="56">
        <f>IFERROR(IF(($II161)&gt;0,($IL161*cfg_TroyOz)/($II161),""),"")</f>
        <v/>
      </c>
      <c r="IS161" s="67">
        <f>IFERROR(IF(($IJ161)&gt;0,($IM161)/($IJ161),""),"")</f>
        <v/>
      </c>
      <c r="IT161" s="67">
        <f>IFERROR(IF(($IK161)&gt;0,($IN161)/($IK161),""),"")</f>
        <v/>
      </c>
      <c r="IU161" s="67">
        <f>IFERROR(IF(($IL161)&gt;0,($IO161)/($IL161),""),"")</f>
        <v/>
      </c>
      <c r="IV161" s="55">
        <f>SUMIFS(tblBudget[Gold_Poured_oz],tblBudget[Month],$E161)</f>
        <v/>
      </c>
      <c r="IW161" s="55">
        <f>$IV161*$C161/$D161</f>
        <v/>
      </c>
      <c r="IX161" s="55">
        <f>SUMIFS(tblBudget[Gold_Poured_oz],tblBudget[Month],"&lt;"&amp;$E161)+$IW161</f>
        <v/>
      </c>
      <c r="IY161" s="57">
        <f>SUMIFS(tblBudget[Hours_Worked],tblBudget[Month],$E161)</f>
        <v/>
      </c>
      <c r="IZ161" s="57">
        <f>$IY161*$C161/$D161</f>
        <v/>
      </c>
      <c r="JA161" s="57">
        <f>SUMIFS(tblBudget[Hours_Worked],tblBudget[Month],"&lt;"&amp;$E161)+$IZ161</f>
        <v/>
      </c>
    </row>
    <row r="162">
      <c r="A162" s="54" t="n">
        <v>46183</v>
      </c>
      <c r="B162">
        <f>MONTH($A162)</f>
        <v/>
      </c>
      <c r="C162">
        <f>DAY($A162)</f>
        <v/>
      </c>
      <c r="D162">
        <f>DAY(EOMONTH($A162,0))</f>
        <v/>
      </c>
      <c r="E162" s="54">
        <f>DATE(YEAR($A162),MONTH($A162),1)</f>
        <v/>
      </c>
      <c r="F162" s="55">
        <f>SUMIFS(tblMovement[Tonnes_t],tblMovement[Date],$A162,tblMovement[Is_Ore],1,tblMovement[Source_Type],"Pit")</f>
        <v/>
      </c>
      <c r="G162" s="55">
        <f>IF($B162=$B161,$G161,0)+$F162</f>
        <v/>
      </c>
      <c r="H162" s="55">
        <f>$H161+$F162</f>
        <v/>
      </c>
      <c r="I162" s="55">
        <f>SUMIFS(tblMovement[Ore_oz],tblMovement[Date],$A162,tblMovement[Source_Type],"Pit")</f>
        <v/>
      </c>
      <c r="J162" s="55">
        <f>IF($B162=$B161,$J161,0)+$I162</f>
        <v/>
      </c>
      <c r="K162" s="55">
        <f>$K161+$I162</f>
        <v/>
      </c>
      <c r="L162" s="56">
        <f>IFERROR(IF(($F162)&gt;0,($I162*cfg_TroyOz)/($F162),""),"")</f>
        <v/>
      </c>
      <c r="M162" s="56">
        <f>IFERROR(IF(($G162)&gt;0,($J162*cfg_TroyOz)/($G162),""),"")</f>
        <v/>
      </c>
      <c r="N162" s="56">
        <f>IFERROR(IF(($H162)&gt;0,($K162*cfg_TroyOz)/($H162),""),"")</f>
        <v/>
      </c>
      <c r="O162" s="55">
        <f>SUMIFS(tblMovement[Tonnes_t],tblMovement[Date],$A162,tblMovement[Is_Ore],0,tblMovement[Source_Type],"Pit")</f>
        <v/>
      </c>
      <c r="P162" s="55">
        <f>IF($B162=$B161,$P161,0)+$O162</f>
        <v/>
      </c>
      <c r="Q162" s="55">
        <f>$Q161+$O162</f>
        <v/>
      </c>
      <c r="R162" s="55">
        <f>$F162+$O162</f>
        <v/>
      </c>
      <c r="S162" s="55">
        <f>IF($B162=$B161,$S161,0)+$R162</f>
        <v/>
      </c>
      <c r="T162" s="55">
        <f>$T161+$R162</f>
        <v/>
      </c>
      <c r="U162" s="56">
        <f>IFERROR(IF(($F162)&gt;0,($O162)/($F162),""),"")</f>
        <v/>
      </c>
      <c r="V162" s="56">
        <f>IFERROR(IF(($G162)&gt;0,($P162)/($G162),""),"")</f>
        <v/>
      </c>
      <c r="W162" s="56">
        <f>IFERROR(IF(($H162)&gt;0,($Q162)/($H162),""),"")</f>
        <v/>
      </c>
      <c r="X162" s="55">
        <f>SUMIFS(tblMovement[Tonnes_t],tblMovement[Date],$A162,tblMovement[Source_Type],"Stockpile")</f>
        <v/>
      </c>
      <c r="Y162" s="55">
        <f>IF($B162=$B161,$Y161,0)+$X162</f>
        <v/>
      </c>
      <c r="Z162" s="55">
        <f>$Z161+$X162</f>
        <v/>
      </c>
      <c r="AA162" s="55">
        <f>SUMIFS(tblMiningDaily[Drill_m],tblMiningDaily[Date],$A162)</f>
        <v/>
      </c>
      <c r="AB162" s="55">
        <f>IF($B162=$B161,$AB161,0)+$AA162</f>
        <v/>
      </c>
      <c r="AC162" s="55">
        <f>$AC161+$AA162</f>
        <v/>
      </c>
      <c r="AD162" s="55">
        <f>SUMIFS(tblMiningDaily[Blast_t],tblMiningDaily[Date],$A162)</f>
        <v/>
      </c>
      <c r="AE162" s="55">
        <f>IF($B162=$B161,$AE161,0)+$AD162</f>
        <v/>
      </c>
      <c r="AF162" s="55">
        <f>$AF161+$AD162</f>
        <v/>
      </c>
      <c r="AG162" s="55">
        <f>SUMIFS(tblMiningDaily[Explosives_kg],tblMiningDaily[Date],$A162)</f>
        <v/>
      </c>
      <c r="AH162" s="55">
        <f>IF($B162=$B161,$AH161,0)+$AG162</f>
        <v/>
      </c>
      <c r="AI162" s="55">
        <f>$AI161+$AG162</f>
        <v/>
      </c>
      <c r="AJ162" s="56">
        <f>IFERROR(IF(($AD162)&gt;0,($AG162)/($AD162),""),"")</f>
        <v/>
      </c>
      <c r="AK162" s="56">
        <f>IFERROR(IF(($AE162)&gt;0,($AH162)/($AE162),""),"")</f>
        <v/>
      </c>
      <c r="AL162" s="56">
        <f>IFERROR(IF(($AF162)&gt;0,($AI162)/($AF162),""),"")</f>
        <v/>
      </c>
      <c r="AM162" s="55">
        <f>SUMIFS(tblMiningDaily[Diesel_L],tblMiningDaily[Date],$A162)</f>
        <v/>
      </c>
      <c r="AN162" s="55">
        <f>IF($B162=$B161,$AN161,0)+$AM162</f>
        <v/>
      </c>
      <c r="AO162" s="55">
        <f>$AO161+$AM162</f>
        <v/>
      </c>
      <c r="AP162" s="55">
        <f>SUMIFS(tblMiningDaily[Dewatering_m3],tblMiningDaily[Date],$A162)</f>
        <v/>
      </c>
      <c r="AQ162" s="55">
        <f>IF($B162=$B161,$AQ161,0)+$AP162</f>
        <v/>
      </c>
      <c r="AR162" s="55">
        <f>$AR161+$AP162</f>
        <v/>
      </c>
      <c r="AS162" s="57">
        <f>SUMIFS(tblFleet[Calendar_h],tblFleet[Date],$A162,tblFleet[Equipment_Class],"Excavator")</f>
        <v/>
      </c>
      <c r="AT162" s="57">
        <f>IF($B162=$B161,$AT161,0)+$AS162</f>
        <v/>
      </c>
      <c r="AU162" s="57">
        <f>$AU161+$AS162</f>
        <v/>
      </c>
      <c r="AV162" s="57">
        <f>SUMIFS(tblFleet[Available_h],tblFleet[Date],$A162,tblFleet[Equipment_Class],"Excavator")</f>
        <v/>
      </c>
      <c r="AW162" s="57">
        <f>IF($B162=$B161,$AW161,0)+$AV162</f>
        <v/>
      </c>
      <c r="AX162" s="57">
        <f>$AX161+$AV162</f>
        <v/>
      </c>
      <c r="AY162" s="57">
        <f>SUMIFS(tblFleet[Operating_h],tblFleet[Date],$A162,tblFleet[Equipment_Class],"Excavator")</f>
        <v/>
      </c>
      <c r="AZ162" s="57">
        <f>IF($B162=$B161,$AZ161,0)+$AY162</f>
        <v/>
      </c>
      <c r="BA162" s="57">
        <f>$BA161+$AY162</f>
        <v/>
      </c>
      <c r="BB162" s="67">
        <f>IFERROR(IF(($AS162)&gt;0,($AV162)/($AS162),""),"")</f>
        <v/>
      </c>
      <c r="BC162" s="67">
        <f>IFERROR(IF(($AT162)&gt;0,($AW162)/($AT162),""),"")</f>
        <v/>
      </c>
      <c r="BD162" s="67">
        <f>IFERROR(IF(($AU162)&gt;0,($AX162)/($AU162),""),"")</f>
        <v/>
      </c>
      <c r="BE162" s="67">
        <f>IFERROR(IF(($AV162)&gt;0,($AY162)/($AV162),""),"")</f>
        <v/>
      </c>
      <c r="BF162" s="67">
        <f>IFERROR(IF(($AW162)&gt;0,($AZ162)/($AW162),""),"")</f>
        <v/>
      </c>
      <c r="BG162" s="67">
        <f>IFERROR(IF(($AX162)&gt;0,($BA162)/($AX162),""),"")</f>
        <v/>
      </c>
      <c r="BH162" s="57">
        <f>SUMIFS(tblFleet[Calendar_h],tblFleet[Date],$A162,tblFleet[Equipment_Class],"Haul Truck")</f>
        <v/>
      </c>
      <c r="BI162" s="57">
        <f>IF($B162=$B161,$BI161,0)+$BH162</f>
        <v/>
      </c>
      <c r="BJ162" s="57">
        <f>$BJ161+$BH162</f>
        <v/>
      </c>
      <c r="BK162" s="57">
        <f>SUMIFS(tblFleet[Available_h],tblFleet[Date],$A162,tblFleet[Equipment_Class],"Haul Truck")</f>
        <v/>
      </c>
      <c r="BL162" s="57">
        <f>IF($B162=$B161,$BL161,0)+$BK162</f>
        <v/>
      </c>
      <c r="BM162" s="57">
        <f>$BM161+$BK162</f>
        <v/>
      </c>
      <c r="BN162" s="57">
        <f>SUMIFS(tblFleet[Operating_h],tblFleet[Date],$A162,tblFleet[Equipment_Class],"Haul Truck")</f>
        <v/>
      </c>
      <c r="BO162" s="57">
        <f>IF($B162=$B161,$BO161,0)+$BN162</f>
        <v/>
      </c>
      <c r="BP162" s="57">
        <f>$BP161+$BN162</f>
        <v/>
      </c>
      <c r="BQ162" s="67">
        <f>IFERROR(IF(($BH162)&gt;0,($BK162)/($BH162),""),"")</f>
        <v/>
      </c>
      <c r="BR162" s="67">
        <f>IFERROR(IF(($BI162)&gt;0,($BL162)/($BI162),""),"")</f>
        <v/>
      </c>
      <c r="BS162" s="67">
        <f>IFERROR(IF(($BJ162)&gt;0,($BM162)/($BJ162),""),"")</f>
        <v/>
      </c>
      <c r="BT162" s="67">
        <f>IFERROR(IF(($BK162)&gt;0,($BN162)/($BK162),""),"")</f>
        <v/>
      </c>
      <c r="BU162" s="67">
        <f>IFERROR(IF(($BL162)&gt;0,($BO162)/($BL162),""),"")</f>
        <v/>
      </c>
      <c r="BV162" s="67">
        <f>IFERROR(IF(($BM162)&gt;0,($BP162)/($BM162),""),"")</f>
        <v/>
      </c>
      <c r="BW162" s="55">
        <f>SUMIFS(tblPlant[Crushed_t],tblPlant[Date],$A162)</f>
        <v/>
      </c>
      <c r="BX162" s="55">
        <f>IF($B162=$B161,$BX161,0)+$BW162</f>
        <v/>
      </c>
      <c r="BY162" s="55">
        <f>$BY161+$BW162</f>
        <v/>
      </c>
      <c r="BZ162" s="55">
        <f>SUMIFS(tblPlant[Milled_t],tblPlant[Date],$A162)</f>
        <v/>
      </c>
      <c r="CA162" s="55">
        <f>IF($B162=$B161,$CA161,0)+$BZ162</f>
        <v/>
      </c>
      <c r="CB162" s="55">
        <f>$CB161+$BZ162</f>
        <v/>
      </c>
      <c r="CC162" s="55">
        <f>SUMIFS(tblPlant[Feed_oz],tblPlant[Date],$A162)</f>
        <v/>
      </c>
      <c r="CD162" s="55">
        <f>IF($B162=$B161,$CD161,0)+$CC162</f>
        <v/>
      </c>
      <c r="CE162" s="55">
        <f>$CE161+$CC162</f>
        <v/>
      </c>
      <c r="CF162" s="55">
        <f>SUMIFS(tblPlant[Tails_oz],tblPlant[Date],$A162)</f>
        <v/>
      </c>
      <c r="CG162" s="55">
        <f>IF($B162=$B161,$CG161,0)+$CF162</f>
        <v/>
      </c>
      <c r="CH162" s="55">
        <f>$CH161+$CF162</f>
        <v/>
      </c>
      <c r="CI162" s="55">
        <f>SUMIFS(tblPlant[Recovered_oz],tblPlant[Date],$A162)</f>
        <v/>
      </c>
      <c r="CJ162" s="55">
        <f>IF($B162=$B161,$CJ161,0)+$CI162</f>
        <v/>
      </c>
      <c r="CK162" s="55">
        <f>$CK161+$CI162</f>
        <v/>
      </c>
      <c r="CL162" s="56">
        <f>IFERROR(IF(($BZ162)&gt;0,($CC162*cfg_TroyOz)/($BZ162),""),"")</f>
        <v/>
      </c>
      <c r="CM162" s="56">
        <f>IFERROR(IF(($CA162)&gt;0,($CD162*cfg_TroyOz)/($CA162),""),"")</f>
        <v/>
      </c>
      <c r="CN162" s="56">
        <f>IFERROR(IF(($CB162)&gt;0,($CE162*cfg_TroyOz)/($CB162),""),"")</f>
        <v/>
      </c>
      <c r="CO162" s="56">
        <f>IFERROR(IF(($BZ162)&gt;0,($CF162*cfg_TroyOz)/($BZ162),""),"")</f>
        <v/>
      </c>
      <c r="CP162" s="56">
        <f>IFERROR(IF(($CA162)&gt;0,($CG162*cfg_TroyOz)/($CA162),""),"")</f>
        <v/>
      </c>
      <c r="CQ162" s="56">
        <f>IFERROR(IF(($CB162)&gt;0,($CH162*cfg_TroyOz)/($CB162),""),"")</f>
        <v/>
      </c>
      <c r="CR162" s="67">
        <f>IFERROR(IF(($CC162)&gt;0,($CI162)/($CC162),""),"")</f>
        <v/>
      </c>
      <c r="CS162" s="67">
        <f>IFERROR(IF(($CD162)&gt;0,($CJ162)/($CD162),""),"")</f>
        <v/>
      </c>
      <c r="CT162" s="67">
        <f>IFERROR(IF(($CE162)&gt;0,($CK162)/($CE162),""),"")</f>
        <v/>
      </c>
      <c r="CU162" s="55">
        <f>SUMIFS(tblPlant[Gravity_Gold_oz],tblPlant[Date],$A162)</f>
        <v/>
      </c>
      <c r="CV162" s="55">
        <f>IF($B162=$B161,$CV161,0)+$CU162</f>
        <v/>
      </c>
      <c r="CW162" s="55">
        <f>$CW161+$CU162</f>
        <v/>
      </c>
      <c r="CX162" s="55">
        <f>SUMIFS(tblPlant[Gold_Poured_oz],tblPlant[Date],$A162)</f>
        <v/>
      </c>
      <c r="CY162" s="55">
        <f>IF($B162=$B161,$CY161,0)+$CX162</f>
        <v/>
      </c>
      <c r="CZ162" s="55">
        <f>$CZ161+$CX162</f>
        <v/>
      </c>
      <c r="DA162" s="57">
        <f>SUMIFS(tblPlant[Mill_Run_h],tblPlant[Date],$A162)</f>
        <v/>
      </c>
      <c r="DB162" s="57">
        <f>IF($B162=$B161,$DB161,0)+$DA162</f>
        <v/>
      </c>
      <c r="DC162" s="57">
        <f>$DC161+$DA162</f>
        <v/>
      </c>
      <c r="DD162" s="57">
        <f>SUMIFS(tblPlant[Mill_Planned_Maint_h],tblPlant[Date],$A162)</f>
        <v/>
      </c>
      <c r="DE162" s="57">
        <f>IF($B162=$B161,$DE161,0)+$DD162</f>
        <v/>
      </c>
      <c r="DF162" s="57">
        <f>$DF161+$DD162</f>
        <v/>
      </c>
      <c r="DG162" s="57">
        <f>SUMIFS(tblPlant[Mill_Unplanned_Down_h],tblPlant[Date],$A162)</f>
        <v/>
      </c>
      <c r="DH162" s="57">
        <f>IF($B162=$B161,$DH161,0)+$DG162</f>
        <v/>
      </c>
      <c r="DI162" s="57">
        <f>$DI161+$DG162</f>
        <v/>
      </c>
      <c r="DJ162" s="57">
        <f>COUNTIFS(tblPlant[Date],$A162,tblPlant[Mill_Run_h],"&lt;&gt;")*24</f>
        <v/>
      </c>
      <c r="DK162" s="57">
        <f>IF($B162=$B161,$DK161,0)+$DJ162</f>
        <v/>
      </c>
      <c r="DL162" s="57">
        <f>$DL161+$DJ162</f>
        <v/>
      </c>
      <c r="DM162" s="57">
        <f>SUMIFS(tblPlant[Crusher_Run_h],tblPlant[Date],$A162)</f>
        <v/>
      </c>
      <c r="DN162" s="57">
        <f>IF($B162=$B161,$DN161,0)+$DM162</f>
        <v/>
      </c>
      <c r="DO162" s="57">
        <f>$DO161+$DM162</f>
        <v/>
      </c>
      <c r="DP162" s="55">
        <f>IFERROR(IF(($DA162)&gt;0,($BZ162)/($DA162),""),"")</f>
        <v/>
      </c>
      <c r="DQ162" s="55">
        <f>IFERROR(IF(($DB162)&gt;0,($CA162)/($DB162),""),"")</f>
        <v/>
      </c>
      <c r="DR162" s="55">
        <f>IFERROR(IF(($DC162)&gt;0,($CB162)/($DC162),""),"")</f>
        <v/>
      </c>
      <c r="DS162" s="67">
        <f>IFERROR(IF(($DJ162)&gt;0,($DJ162-$DD162-$DG162)/($DJ162),""),"")</f>
        <v/>
      </c>
      <c r="DT162" s="67">
        <f>IFERROR(IF(($DK162)&gt;0,($DK162-$DE162-$DH162)/($DK162),""),"")</f>
        <v/>
      </c>
      <c r="DU162" s="67">
        <f>IFERROR(IF(($DL162)&gt;0,($DL162-$DF162-$DI162)/($DL162),""),"")</f>
        <v/>
      </c>
      <c r="DV162" s="67">
        <f>IFERROR(IF(($DJ162-$DD162-$DG162)&gt;0,($DA162)/($DJ162-$DD162-$DG162),""),"")</f>
        <v/>
      </c>
      <c r="DW162" s="67">
        <f>IFERROR(IF(($DK162-$DE162-$DH162)&gt;0,($DB162)/($DK162-$DE162-$DH162),""),"")</f>
        <v/>
      </c>
      <c r="DX162" s="67">
        <f>IFERROR(IF(($DL162-$DF162-$DI162)&gt;0,($DC162)/($DL162-$DF162-$DI162),""),"")</f>
        <v/>
      </c>
      <c r="DY162" s="55">
        <f>SUMIFS(tblPlant[Cyanide_kg],tblPlant[Date],$A162)</f>
        <v/>
      </c>
      <c r="DZ162" s="55">
        <f>IF($B162=$B161,$DZ161,0)+$DY162</f>
        <v/>
      </c>
      <c r="EA162" s="55">
        <f>$EA161+$DY162</f>
        <v/>
      </c>
      <c r="EB162" s="55">
        <f>SUMIFS(tblPlant[Lime_kg],tblPlant[Date],$A162)</f>
        <v/>
      </c>
      <c r="EC162" s="55">
        <f>IF($B162=$B161,$EC161,0)+$EB162</f>
        <v/>
      </c>
      <c r="ED162" s="55">
        <f>$ED161+$EB162</f>
        <v/>
      </c>
      <c r="EE162" s="55">
        <f>SUMIFS(tblPlant[Grinding_Media_kg],tblPlant[Date],$A162)</f>
        <v/>
      </c>
      <c r="EF162" s="55">
        <f>IF($B162=$B161,$EF161,0)+$EE162</f>
        <v/>
      </c>
      <c r="EG162" s="55">
        <f>$EG161+$EE162</f>
        <v/>
      </c>
      <c r="EH162" s="55">
        <f>SUMIFS(tblPlant[Power_kWh],tblPlant[Date],$A162)</f>
        <v/>
      </c>
      <c r="EI162" s="55">
        <f>IF($B162=$B161,$EI161,0)+$EH162</f>
        <v/>
      </c>
      <c r="EJ162" s="55">
        <f>$EJ161+$EH162</f>
        <v/>
      </c>
      <c r="EK162" s="55">
        <f>SUMIFS(tblPlant[Raw_Water_m3],tblPlant[Date],$A162)</f>
        <v/>
      </c>
      <c r="EL162" s="55">
        <f>IF($B162=$B161,$EL161,0)+$EK162</f>
        <v/>
      </c>
      <c r="EM162" s="55">
        <f>$EM161+$EK162</f>
        <v/>
      </c>
      <c r="EN162" s="56">
        <f>IFERROR(IF(($BZ162)&gt;0,($DY162)/($BZ162),""),"")</f>
        <v/>
      </c>
      <c r="EO162" s="56">
        <f>IFERROR(IF(($CA162)&gt;0,($DZ162)/($CA162),""),"")</f>
        <v/>
      </c>
      <c r="EP162" s="56">
        <f>IFERROR(IF(($CB162)&gt;0,($EA162)/($CB162),""),"")</f>
        <v/>
      </c>
      <c r="EQ162" s="56">
        <f>IFERROR(IF(($BZ162)&gt;0,($EB162)/($BZ162),""),"")</f>
        <v/>
      </c>
      <c r="ER162" s="56">
        <f>IFERROR(IF(($CA162)&gt;0,($EC162)/($CA162),""),"")</f>
        <v/>
      </c>
      <c r="ES162" s="56">
        <f>IFERROR(IF(($CB162)&gt;0,($ED162)/($CB162),""),"")</f>
        <v/>
      </c>
      <c r="ET162" s="56">
        <f>IFERROR(IF(($BZ162)&gt;0,($EE162)/($BZ162),""),"")</f>
        <v/>
      </c>
      <c r="EU162" s="56">
        <f>IFERROR(IF(($CA162)&gt;0,($EF162)/($CA162),""),"")</f>
        <v/>
      </c>
      <c r="EV162" s="56">
        <f>IFERROR(IF(($CB162)&gt;0,($EG162)/($CB162),""),"")</f>
        <v/>
      </c>
      <c r="EW162" s="76">
        <f>IFERROR(IF(($BZ162)&gt;0,($EH162)/($BZ162),""),"")</f>
        <v/>
      </c>
      <c r="EX162" s="76">
        <f>IFERROR(IF(($CA162)&gt;0,($EI162)/($CA162),""),"")</f>
        <v/>
      </c>
      <c r="EY162" s="76">
        <f>IFERROR(IF(($CB162)&gt;0,($EJ162)/($CB162),""),"")</f>
        <v/>
      </c>
      <c r="EZ162" s="56">
        <f>IFERROR(IF(($BZ162)&gt;0,($EK162)/($BZ162),""),"")</f>
        <v/>
      </c>
      <c r="FA162" s="56">
        <f>IFERROR(IF(($CA162)&gt;0,($EL162)/($CA162),""),"")</f>
        <v/>
      </c>
      <c r="FB162" s="56">
        <f>IFERROR(IF(($CB162)&gt;0,($EM162)/($CB162),""),"")</f>
        <v/>
      </c>
      <c r="FC162" s="55">
        <f>IF(SUMIFS(tblPlant[GIC_oz],tblPlant[Date],$A162)&gt;0,SUMIFS(tblPlant[GIC_oz],tblPlant[Date],$A162),"")</f>
        <v/>
      </c>
      <c r="FD162" s="55">
        <f>SUMIFS(tblGold[Gold_oz],tblGold[Date],$A162,tblGold[Type],"Shipment")</f>
        <v/>
      </c>
      <c r="FE162" s="55">
        <f>IF($B162=$B161,$FE161,0)+$FD162</f>
        <v/>
      </c>
      <c r="FF162" s="55">
        <f>$FF161+$FD162</f>
        <v/>
      </c>
      <c r="FG162" s="55">
        <f>SUMIFS(tblGold[Gold_oz],tblGold[Date],$A162,tblGold[Type],"Sale")</f>
        <v/>
      </c>
      <c r="FH162" s="55">
        <f>IF($B162=$B161,$FH161,0)+$FG162</f>
        <v/>
      </c>
      <c r="FI162" s="55">
        <f>$FI161+$FG162</f>
        <v/>
      </c>
      <c r="FJ162" s="55">
        <f>SUMIFS(tblGold[Dore_kg],tblGold[Date],$A162,tblGold[Type],"Shipment")</f>
        <v/>
      </c>
      <c r="FK162" s="55">
        <f>IF($B162=$B161,$FK161,0)+$FJ162</f>
        <v/>
      </c>
      <c r="FL162" s="55">
        <f>$FL161+$FJ162</f>
        <v/>
      </c>
      <c r="FM162" s="57">
        <f>SUMIFS(tblSafety[Hours_Total],tblSafety[Date],$A162)</f>
        <v/>
      </c>
      <c r="FN162" s="57">
        <f>IF($B162=$B161,$FN161,0)+$FM162</f>
        <v/>
      </c>
      <c r="FO162" s="57">
        <f>$FO161+$FM162</f>
        <v/>
      </c>
      <c r="FP162" s="62">
        <f>SUMIFS(tblSafety[Fatality],tblSafety[Date],$A162)</f>
        <v/>
      </c>
      <c r="FQ162" s="62">
        <f>IF($B162=$B161,$FQ161,0)+$FP162</f>
        <v/>
      </c>
      <c r="FR162" s="62">
        <f>$FR161+$FP162</f>
        <v/>
      </c>
      <c r="FS162" s="62">
        <f>SUMIFS(tblSafety[LTI],tblSafety[Date],$A162)</f>
        <v/>
      </c>
      <c r="FT162" s="62">
        <f>IF($B162=$B161,$FT161,0)+$FS162</f>
        <v/>
      </c>
      <c r="FU162" s="62">
        <f>$FU161+$FS162</f>
        <v/>
      </c>
      <c r="FV162" s="62">
        <f>SUMIFS(tblSafety[RWI],tblSafety[Date],$A162)</f>
        <v/>
      </c>
      <c r="FW162" s="62">
        <f>IF($B162=$B161,$FW161,0)+$FV162</f>
        <v/>
      </c>
      <c r="FX162" s="62">
        <f>$FX161+$FV162</f>
        <v/>
      </c>
      <c r="FY162" s="62">
        <f>SUMIFS(tblSafety[MTI],tblSafety[Date],$A162)</f>
        <v/>
      </c>
      <c r="FZ162" s="62">
        <f>IF($B162=$B161,$FZ161,0)+$FY162</f>
        <v/>
      </c>
      <c r="GA162" s="62">
        <f>$GA161+$FY162</f>
        <v/>
      </c>
      <c r="GB162" s="62">
        <f>SUMIFS(tblSafety[FAI],tblSafety[Date],$A162)</f>
        <v/>
      </c>
      <c r="GC162" s="62">
        <f>IF($B162=$B161,$GC161,0)+$GB162</f>
        <v/>
      </c>
      <c r="GD162" s="62">
        <f>$GD161+$GB162</f>
        <v/>
      </c>
      <c r="GE162" s="62">
        <f>SUMIFS(tblSafety[Recordables],tblSafety[Date],$A162)</f>
        <v/>
      </c>
      <c r="GF162" s="62">
        <f>IF($B162=$B161,$GF161,0)+$GE162</f>
        <v/>
      </c>
      <c r="GG162" s="62">
        <f>$GG161+$GE162</f>
        <v/>
      </c>
      <c r="GH162" s="62">
        <f>SUMIFS(tblSafety[Near_Miss],tblSafety[Date],$A162)</f>
        <v/>
      </c>
      <c r="GI162" s="62">
        <f>IF($B162=$B161,$GI161,0)+$GH162</f>
        <v/>
      </c>
      <c r="GJ162" s="62">
        <f>$GJ161+$GH162</f>
        <v/>
      </c>
      <c r="GK162" s="62">
        <f>SUMIFS(tblSafety[Hazard_Reports],tblSafety[Date],$A162)</f>
        <v/>
      </c>
      <c r="GL162" s="62">
        <f>IF($B162=$B161,$GL161,0)+$GK162</f>
        <v/>
      </c>
      <c r="GM162" s="62">
        <f>$GM161+$GK162</f>
        <v/>
      </c>
      <c r="GN162" s="62">
        <f>SUMIFS(tblSafety[HPI],tblSafety[Date],$A162)</f>
        <v/>
      </c>
      <c r="GO162" s="62">
        <f>IF($B162=$B161,$GO161,0)+$GN162</f>
        <v/>
      </c>
      <c r="GP162" s="62">
        <f>$GP161+$GN162</f>
        <v/>
      </c>
      <c r="GQ162" s="62">
        <f>SUMIFS(tblSafety[Env_Incidents],tblSafety[Date],$A162)</f>
        <v/>
      </c>
      <c r="GR162" s="62">
        <f>IF($B162=$B161,$GR161,0)+$GQ162</f>
        <v/>
      </c>
      <c r="GS162" s="62">
        <f>$GS161+$GQ162</f>
        <v/>
      </c>
      <c r="GT162" s="62">
        <f>SUMIFS(tblSafety[Community_Incidents],tblSafety[Date],$A162)</f>
        <v/>
      </c>
      <c r="GU162" s="62">
        <f>IF($B162=$B161,$GU161,0)+$GT162</f>
        <v/>
      </c>
      <c r="GV162" s="62">
        <f>$GV161+$GT162</f>
        <v/>
      </c>
      <c r="GW162" s="62">
        <f>SUMIFS(tblSafety[Vehicle_Incidents],tblSafety[Date],$A162)</f>
        <v/>
      </c>
      <c r="GX162" s="62">
        <f>IF($B162=$B161,$GX161,0)+$GW162</f>
        <v/>
      </c>
      <c r="GY162" s="62">
        <f>$GY161+$GW162</f>
        <v/>
      </c>
      <c r="GZ162" s="62">
        <f>SUMIFS(tblSafety[Toolbox_Talks],tblSafety[Date],$A162)</f>
        <v/>
      </c>
      <c r="HA162" s="62">
        <f>IF($B162=$B161,$HA161,0)+$GZ162</f>
        <v/>
      </c>
      <c r="HB162" s="62">
        <f>$HB161+$GZ162</f>
        <v/>
      </c>
      <c r="HC162" s="62">
        <f>SUMIFS(tblSafety[Inspections],tblSafety[Date],$A162)</f>
        <v/>
      </c>
      <c r="HD162" s="62">
        <f>IF($B162=$B161,$HD161,0)+$HC162</f>
        <v/>
      </c>
      <c r="HE162" s="62">
        <f>$HE161+$HC162</f>
        <v/>
      </c>
      <c r="HF162" s="56">
        <f>IFERROR((SUMIFS(tblSafety[Recordables],tblSafety[Date],"&gt;="&amp;EDATE($E162,-12),tblSafety[Date],"&lt;="&amp;$A162)+SUMIFS(tblSafetyHistory[Recordables],tblSafetyHistory[Month],"&gt;="&amp;EDATE($E162,-12),tblSafetyHistory[Month],"&lt;"&amp;cfg_YearStart))/(SUMIFS(tblSafety[Hours_Total],tblSafety[Date],"&gt;="&amp;EDATE($E162,-12),tblSafety[Date],"&lt;="&amp;$A162)+SUMIFS(tblSafetyHistory[Hours_Total],tblSafetyHistory[Month],"&gt;="&amp;EDATE($E162,-12),tblSafetyHistory[Month],"&lt;"&amp;cfg_YearStart))*1000000,"")</f>
        <v/>
      </c>
      <c r="HG162" s="56">
        <f>IFERROR((SUMIFS(tblSafety[LTI],tblSafety[Date],"&gt;="&amp;EDATE($E162,-12),tblSafety[Date],"&lt;="&amp;$A162)+SUMIFS(tblSafetyHistory[LTI],tblSafetyHistory[Month],"&gt;="&amp;EDATE($E162,-12),tblSafetyHistory[Month],"&lt;"&amp;cfg_YearStart))/(SUMIFS(tblSafety[Hours_Total],tblSafety[Date],"&gt;="&amp;EDATE($E162,-12),tblSafety[Date],"&lt;="&amp;$A162)+SUMIFS(tblSafetyHistory[Hours_Total],tblSafetyHistory[Month],"&gt;="&amp;EDATE($E162,-12),tblSafetyHistory[Month],"&lt;"&amp;cfg_YearStart))*1000000,"")</f>
        <v/>
      </c>
      <c r="HH162" s="62">
        <f>IF(MAX(N(cfg_PriorLTIDate),_xlfn.MAXIFS(tblSafety[Date],tblSafety[LTI],"&gt;0",tblSafety[Date],"&lt;="&amp;$A162))=0,"",$A162-MAX(N(cfg_PriorLTIDate),_xlfn.MAXIFS(tblSafety[Date],tblSafety[LTI],"&gt;0",tblSafety[Date],"&lt;="&amp;$A162)))</f>
        <v/>
      </c>
      <c r="HI162" s="55">
        <f>SUMIFS(tblBudget[Ore_Mined_t],tblBudget[Month],$E162)</f>
        <v/>
      </c>
      <c r="HJ162" s="55">
        <f>$HI162*$C162/$D162</f>
        <v/>
      </c>
      <c r="HK162" s="55">
        <f>SUMIFS(tblBudget[Ore_Mined_t],tblBudget[Month],"&lt;"&amp;$E162)+$HJ162</f>
        <v/>
      </c>
      <c r="HL162" s="55">
        <f>SUMIFS(tblBudget[Ore_oz],tblBudget[Month],$E162)</f>
        <v/>
      </c>
      <c r="HM162" s="55">
        <f>$HL162*$C162/$D162</f>
        <v/>
      </c>
      <c r="HN162" s="55">
        <f>SUMIFS(tblBudget[Ore_oz],tblBudget[Month],"&lt;"&amp;$E162)+$HM162</f>
        <v/>
      </c>
      <c r="HO162" s="56">
        <f>IFERROR(IF(($HI162)&gt;0,($HL162*cfg_TroyOz)/($HI162),""),"")</f>
        <v/>
      </c>
      <c r="HP162" s="56">
        <f>IFERROR(IF(($HJ162)&gt;0,($HM162*cfg_TroyOz)/($HJ162),""),"")</f>
        <v/>
      </c>
      <c r="HQ162" s="56">
        <f>IFERROR(IF(($HK162)&gt;0,($HN162*cfg_TroyOz)/($HK162),""),"")</f>
        <v/>
      </c>
      <c r="HR162" s="55">
        <f>SUMIFS(tblBudget[Waste_t],tblBudget[Month],$E162)</f>
        <v/>
      </c>
      <c r="HS162" s="55">
        <f>$HR162*$C162/$D162</f>
        <v/>
      </c>
      <c r="HT162" s="55">
        <f>SUMIFS(tblBudget[Waste_t],tblBudget[Month],"&lt;"&amp;$E162)+$HS162</f>
        <v/>
      </c>
      <c r="HU162" s="55">
        <f>SUMIFS(tblBudget[TMM_t],tblBudget[Month],$E162)</f>
        <v/>
      </c>
      <c r="HV162" s="55">
        <f>$HU162*$C162/$D162</f>
        <v/>
      </c>
      <c r="HW162" s="55">
        <f>SUMIFS(tblBudget[TMM_t],tblBudget[Month],"&lt;"&amp;$E162)+$HV162</f>
        <v/>
      </c>
      <c r="HX162" s="56">
        <f>IFERROR(IF(($HI162)&gt;0,($HR162)/($HI162),""),"")</f>
        <v/>
      </c>
      <c r="HY162" s="56">
        <f>IFERROR(IF(($HJ162)&gt;0,($HS162)/($HJ162),""),"")</f>
        <v/>
      </c>
      <c r="HZ162" s="56">
        <f>IFERROR(IF(($HK162)&gt;0,($HT162)/($HK162),""),"")</f>
        <v/>
      </c>
      <c r="IA162" s="55">
        <f>SUMIFS(tblBudget[Drill_m],tblBudget[Month],$E162)</f>
        <v/>
      </c>
      <c r="IB162" s="55">
        <f>$IA162*$C162/$D162</f>
        <v/>
      </c>
      <c r="IC162" s="55">
        <f>SUMIFS(tblBudget[Drill_m],tblBudget[Month],"&lt;"&amp;$E162)+$IB162</f>
        <v/>
      </c>
      <c r="ID162" s="55">
        <f>SUMIFS(tblBudget[Diesel_L],tblBudget[Month],$E162)</f>
        <v/>
      </c>
      <c r="IE162" s="55">
        <f>$ID162*$C162/$D162</f>
        <v/>
      </c>
      <c r="IF162" s="55">
        <f>SUMIFS(tblBudget[Diesel_L],tblBudget[Month],"&lt;"&amp;$E162)+$IE162</f>
        <v/>
      </c>
      <c r="IG162" s="55">
        <f>SUMIFS(tblBudget[Milled_t],tblBudget[Month],$E162)</f>
        <v/>
      </c>
      <c r="IH162" s="55">
        <f>$IG162*$C162/$D162</f>
        <v/>
      </c>
      <c r="II162" s="55">
        <f>SUMIFS(tblBudget[Milled_t],tblBudget[Month],"&lt;"&amp;$E162)+$IH162</f>
        <v/>
      </c>
      <c r="IJ162" s="55">
        <f>SUMIFS(tblBudget[Feed_oz],tblBudget[Month],$E162)</f>
        <v/>
      </c>
      <c r="IK162" s="55">
        <f>$IJ162*$C162/$D162</f>
        <v/>
      </c>
      <c r="IL162" s="55">
        <f>SUMIFS(tblBudget[Feed_oz],tblBudget[Month],"&lt;"&amp;$E162)+$IK162</f>
        <v/>
      </c>
      <c r="IM162" s="55">
        <f>SUMIFS(tblBudget[Recovered_oz],tblBudget[Month],$E162)</f>
        <v/>
      </c>
      <c r="IN162" s="55">
        <f>$IM162*$C162/$D162</f>
        <v/>
      </c>
      <c r="IO162" s="55">
        <f>SUMIFS(tblBudget[Recovered_oz],tblBudget[Month],"&lt;"&amp;$E162)+$IN162</f>
        <v/>
      </c>
      <c r="IP162" s="56">
        <f>IFERROR(IF(($IG162)&gt;0,($IJ162*cfg_TroyOz)/($IG162),""),"")</f>
        <v/>
      </c>
      <c r="IQ162" s="56">
        <f>IFERROR(IF(($IH162)&gt;0,($IK162*cfg_TroyOz)/($IH162),""),"")</f>
        <v/>
      </c>
      <c r="IR162" s="56">
        <f>IFERROR(IF(($II162)&gt;0,($IL162*cfg_TroyOz)/($II162),""),"")</f>
        <v/>
      </c>
      <c r="IS162" s="67">
        <f>IFERROR(IF(($IJ162)&gt;0,($IM162)/($IJ162),""),"")</f>
        <v/>
      </c>
      <c r="IT162" s="67">
        <f>IFERROR(IF(($IK162)&gt;0,($IN162)/($IK162),""),"")</f>
        <v/>
      </c>
      <c r="IU162" s="67">
        <f>IFERROR(IF(($IL162)&gt;0,($IO162)/($IL162),""),"")</f>
        <v/>
      </c>
      <c r="IV162" s="55">
        <f>SUMIFS(tblBudget[Gold_Poured_oz],tblBudget[Month],$E162)</f>
        <v/>
      </c>
      <c r="IW162" s="55">
        <f>$IV162*$C162/$D162</f>
        <v/>
      </c>
      <c r="IX162" s="55">
        <f>SUMIFS(tblBudget[Gold_Poured_oz],tblBudget[Month],"&lt;"&amp;$E162)+$IW162</f>
        <v/>
      </c>
      <c r="IY162" s="57">
        <f>SUMIFS(tblBudget[Hours_Worked],tblBudget[Month],$E162)</f>
        <v/>
      </c>
      <c r="IZ162" s="57">
        <f>$IY162*$C162/$D162</f>
        <v/>
      </c>
      <c r="JA162" s="57">
        <f>SUMIFS(tblBudget[Hours_Worked],tblBudget[Month],"&lt;"&amp;$E162)+$IZ162</f>
        <v/>
      </c>
    </row>
    <row r="163">
      <c r="A163" s="54" t="n">
        <v>46184</v>
      </c>
      <c r="B163">
        <f>MONTH($A163)</f>
        <v/>
      </c>
      <c r="C163">
        <f>DAY($A163)</f>
        <v/>
      </c>
      <c r="D163">
        <f>DAY(EOMONTH($A163,0))</f>
        <v/>
      </c>
      <c r="E163" s="54">
        <f>DATE(YEAR($A163),MONTH($A163),1)</f>
        <v/>
      </c>
      <c r="F163" s="55">
        <f>SUMIFS(tblMovement[Tonnes_t],tblMovement[Date],$A163,tblMovement[Is_Ore],1,tblMovement[Source_Type],"Pit")</f>
        <v/>
      </c>
      <c r="G163" s="55">
        <f>IF($B163=$B162,$G162,0)+$F163</f>
        <v/>
      </c>
      <c r="H163" s="55">
        <f>$H162+$F163</f>
        <v/>
      </c>
      <c r="I163" s="55">
        <f>SUMIFS(tblMovement[Ore_oz],tblMovement[Date],$A163,tblMovement[Source_Type],"Pit")</f>
        <v/>
      </c>
      <c r="J163" s="55">
        <f>IF($B163=$B162,$J162,0)+$I163</f>
        <v/>
      </c>
      <c r="K163" s="55">
        <f>$K162+$I163</f>
        <v/>
      </c>
      <c r="L163" s="56">
        <f>IFERROR(IF(($F163)&gt;0,($I163*cfg_TroyOz)/($F163),""),"")</f>
        <v/>
      </c>
      <c r="M163" s="56">
        <f>IFERROR(IF(($G163)&gt;0,($J163*cfg_TroyOz)/($G163),""),"")</f>
        <v/>
      </c>
      <c r="N163" s="56">
        <f>IFERROR(IF(($H163)&gt;0,($K163*cfg_TroyOz)/($H163),""),"")</f>
        <v/>
      </c>
      <c r="O163" s="55">
        <f>SUMIFS(tblMovement[Tonnes_t],tblMovement[Date],$A163,tblMovement[Is_Ore],0,tblMovement[Source_Type],"Pit")</f>
        <v/>
      </c>
      <c r="P163" s="55">
        <f>IF($B163=$B162,$P162,0)+$O163</f>
        <v/>
      </c>
      <c r="Q163" s="55">
        <f>$Q162+$O163</f>
        <v/>
      </c>
      <c r="R163" s="55">
        <f>$F163+$O163</f>
        <v/>
      </c>
      <c r="S163" s="55">
        <f>IF($B163=$B162,$S162,0)+$R163</f>
        <v/>
      </c>
      <c r="T163" s="55">
        <f>$T162+$R163</f>
        <v/>
      </c>
      <c r="U163" s="56">
        <f>IFERROR(IF(($F163)&gt;0,($O163)/($F163),""),"")</f>
        <v/>
      </c>
      <c r="V163" s="56">
        <f>IFERROR(IF(($G163)&gt;0,($P163)/($G163),""),"")</f>
        <v/>
      </c>
      <c r="W163" s="56">
        <f>IFERROR(IF(($H163)&gt;0,($Q163)/($H163),""),"")</f>
        <v/>
      </c>
      <c r="X163" s="55">
        <f>SUMIFS(tblMovement[Tonnes_t],tblMovement[Date],$A163,tblMovement[Source_Type],"Stockpile")</f>
        <v/>
      </c>
      <c r="Y163" s="55">
        <f>IF($B163=$B162,$Y162,0)+$X163</f>
        <v/>
      </c>
      <c r="Z163" s="55">
        <f>$Z162+$X163</f>
        <v/>
      </c>
      <c r="AA163" s="55">
        <f>SUMIFS(tblMiningDaily[Drill_m],tblMiningDaily[Date],$A163)</f>
        <v/>
      </c>
      <c r="AB163" s="55">
        <f>IF($B163=$B162,$AB162,0)+$AA163</f>
        <v/>
      </c>
      <c r="AC163" s="55">
        <f>$AC162+$AA163</f>
        <v/>
      </c>
      <c r="AD163" s="55">
        <f>SUMIFS(tblMiningDaily[Blast_t],tblMiningDaily[Date],$A163)</f>
        <v/>
      </c>
      <c r="AE163" s="55">
        <f>IF($B163=$B162,$AE162,0)+$AD163</f>
        <v/>
      </c>
      <c r="AF163" s="55">
        <f>$AF162+$AD163</f>
        <v/>
      </c>
      <c r="AG163" s="55">
        <f>SUMIFS(tblMiningDaily[Explosives_kg],tblMiningDaily[Date],$A163)</f>
        <v/>
      </c>
      <c r="AH163" s="55">
        <f>IF($B163=$B162,$AH162,0)+$AG163</f>
        <v/>
      </c>
      <c r="AI163" s="55">
        <f>$AI162+$AG163</f>
        <v/>
      </c>
      <c r="AJ163" s="56">
        <f>IFERROR(IF(($AD163)&gt;0,($AG163)/($AD163),""),"")</f>
        <v/>
      </c>
      <c r="AK163" s="56">
        <f>IFERROR(IF(($AE163)&gt;0,($AH163)/($AE163),""),"")</f>
        <v/>
      </c>
      <c r="AL163" s="56">
        <f>IFERROR(IF(($AF163)&gt;0,($AI163)/($AF163),""),"")</f>
        <v/>
      </c>
      <c r="AM163" s="55">
        <f>SUMIFS(tblMiningDaily[Diesel_L],tblMiningDaily[Date],$A163)</f>
        <v/>
      </c>
      <c r="AN163" s="55">
        <f>IF($B163=$B162,$AN162,0)+$AM163</f>
        <v/>
      </c>
      <c r="AO163" s="55">
        <f>$AO162+$AM163</f>
        <v/>
      </c>
      <c r="AP163" s="55">
        <f>SUMIFS(tblMiningDaily[Dewatering_m3],tblMiningDaily[Date],$A163)</f>
        <v/>
      </c>
      <c r="AQ163" s="55">
        <f>IF($B163=$B162,$AQ162,0)+$AP163</f>
        <v/>
      </c>
      <c r="AR163" s="55">
        <f>$AR162+$AP163</f>
        <v/>
      </c>
      <c r="AS163" s="57">
        <f>SUMIFS(tblFleet[Calendar_h],tblFleet[Date],$A163,tblFleet[Equipment_Class],"Excavator")</f>
        <v/>
      </c>
      <c r="AT163" s="57">
        <f>IF($B163=$B162,$AT162,0)+$AS163</f>
        <v/>
      </c>
      <c r="AU163" s="57">
        <f>$AU162+$AS163</f>
        <v/>
      </c>
      <c r="AV163" s="57">
        <f>SUMIFS(tblFleet[Available_h],tblFleet[Date],$A163,tblFleet[Equipment_Class],"Excavator")</f>
        <v/>
      </c>
      <c r="AW163" s="57">
        <f>IF($B163=$B162,$AW162,0)+$AV163</f>
        <v/>
      </c>
      <c r="AX163" s="57">
        <f>$AX162+$AV163</f>
        <v/>
      </c>
      <c r="AY163" s="57">
        <f>SUMIFS(tblFleet[Operating_h],tblFleet[Date],$A163,tblFleet[Equipment_Class],"Excavator")</f>
        <v/>
      </c>
      <c r="AZ163" s="57">
        <f>IF($B163=$B162,$AZ162,0)+$AY163</f>
        <v/>
      </c>
      <c r="BA163" s="57">
        <f>$BA162+$AY163</f>
        <v/>
      </c>
      <c r="BB163" s="67">
        <f>IFERROR(IF(($AS163)&gt;0,($AV163)/($AS163),""),"")</f>
        <v/>
      </c>
      <c r="BC163" s="67">
        <f>IFERROR(IF(($AT163)&gt;0,($AW163)/($AT163),""),"")</f>
        <v/>
      </c>
      <c r="BD163" s="67">
        <f>IFERROR(IF(($AU163)&gt;0,($AX163)/($AU163),""),"")</f>
        <v/>
      </c>
      <c r="BE163" s="67">
        <f>IFERROR(IF(($AV163)&gt;0,($AY163)/($AV163),""),"")</f>
        <v/>
      </c>
      <c r="BF163" s="67">
        <f>IFERROR(IF(($AW163)&gt;0,($AZ163)/($AW163),""),"")</f>
        <v/>
      </c>
      <c r="BG163" s="67">
        <f>IFERROR(IF(($AX163)&gt;0,($BA163)/($AX163),""),"")</f>
        <v/>
      </c>
      <c r="BH163" s="57">
        <f>SUMIFS(tblFleet[Calendar_h],tblFleet[Date],$A163,tblFleet[Equipment_Class],"Haul Truck")</f>
        <v/>
      </c>
      <c r="BI163" s="57">
        <f>IF($B163=$B162,$BI162,0)+$BH163</f>
        <v/>
      </c>
      <c r="BJ163" s="57">
        <f>$BJ162+$BH163</f>
        <v/>
      </c>
      <c r="BK163" s="57">
        <f>SUMIFS(tblFleet[Available_h],tblFleet[Date],$A163,tblFleet[Equipment_Class],"Haul Truck")</f>
        <v/>
      </c>
      <c r="BL163" s="57">
        <f>IF($B163=$B162,$BL162,0)+$BK163</f>
        <v/>
      </c>
      <c r="BM163" s="57">
        <f>$BM162+$BK163</f>
        <v/>
      </c>
      <c r="BN163" s="57">
        <f>SUMIFS(tblFleet[Operating_h],tblFleet[Date],$A163,tblFleet[Equipment_Class],"Haul Truck")</f>
        <v/>
      </c>
      <c r="BO163" s="57">
        <f>IF($B163=$B162,$BO162,0)+$BN163</f>
        <v/>
      </c>
      <c r="BP163" s="57">
        <f>$BP162+$BN163</f>
        <v/>
      </c>
      <c r="BQ163" s="67">
        <f>IFERROR(IF(($BH163)&gt;0,($BK163)/($BH163),""),"")</f>
        <v/>
      </c>
      <c r="BR163" s="67">
        <f>IFERROR(IF(($BI163)&gt;0,($BL163)/($BI163),""),"")</f>
        <v/>
      </c>
      <c r="BS163" s="67">
        <f>IFERROR(IF(($BJ163)&gt;0,($BM163)/($BJ163),""),"")</f>
        <v/>
      </c>
      <c r="BT163" s="67">
        <f>IFERROR(IF(($BK163)&gt;0,($BN163)/($BK163),""),"")</f>
        <v/>
      </c>
      <c r="BU163" s="67">
        <f>IFERROR(IF(($BL163)&gt;0,($BO163)/($BL163),""),"")</f>
        <v/>
      </c>
      <c r="BV163" s="67">
        <f>IFERROR(IF(($BM163)&gt;0,($BP163)/($BM163),""),"")</f>
        <v/>
      </c>
      <c r="BW163" s="55">
        <f>SUMIFS(tblPlant[Crushed_t],tblPlant[Date],$A163)</f>
        <v/>
      </c>
      <c r="BX163" s="55">
        <f>IF($B163=$B162,$BX162,0)+$BW163</f>
        <v/>
      </c>
      <c r="BY163" s="55">
        <f>$BY162+$BW163</f>
        <v/>
      </c>
      <c r="BZ163" s="55">
        <f>SUMIFS(tblPlant[Milled_t],tblPlant[Date],$A163)</f>
        <v/>
      </c>
      <c r="CA163" s="55">
        <f>IF($B163=$B162,$CA162,0)+$BZ163</f>
        <v/>
      </c>
      <c r="CB163" s="55">
        <f>$CB162+$BZ163</f>
        <v/>
      </c>
      <c r="CC163" s="55">
        <f>SUMIFS(tblPlant[Feed_oz],tblPlant[Date],$A163)</f>
        <v/>
      </c>
      <c r="CD163" s="55">
        <f>IF($B163=$B162,$CD162,0)+$CC163</f>
        <v/>
      </c>
      <c r="CE163" s="55">
        <f>$CE162+$CC163</f>
        <v/>
      </c>
      <c r="CF163" s="55">
        <f>SUMIFS(tblPlant[Tails_oz],tblPlant[Date],$A163)</f>
        <v/>
      </c>
      <c r="CG163" s="55">
        <f>IF($B163=$B162,$CG162,0)+$CF163</f>
        <v/>
      </c>
      <c r="CH163" s="55">
        <f>$CH162+$CF163</f>
        <v/>
      </c>
      <c r="CI163" s="55">
        <f>SUMIFS(tblPlant[Recovered_oz],tblPlant[Date],$A163)</f>
        <v/>
      </c>
      <c r="CJ163" s="55">
        <f>IF($B163=$B162,$CJ162,0)+$CI163</f>
        <v/>
      </c>
      <c r="CK163" s="55">
        <f>$CK162+$CI163</f>
        <v/>
      </c>
      <c r="CL163" s="56">
        <f>IFERROR(IF(($BZ163)&gt;0,($CC163*cfg_TroyOz)/($BZ163),""),"")</f>
        <v/>
      </c>
      <c r="CM163" s="56">
        <f>IFERROR(IF(($CA163)&gt;0,($CD163*cfg_TroyOz)/($CA163),""),"")</f>
        <v/>
      </c>
      <c r="CN163" s="56">
        <f>IFERROR(IF(($CB163)&gt;0,($CE163*cfg_TroyOz)/($CB163),""),"")</f>
        <v/>
      </c>
      <c r="CO163" s="56">
        <f>IFERROR(IF(($BZ163)&gt;0,($CF163*cfg_TroyOz)/($BZ163),""),"")</f>
        <v/>
      </c>
      <c r="CP163" s="56">
        <f>IFERROR(IF(($CA163)&gt;0,($CG163*cfg_TroyOz)/($CA163),""),"")</f>
        <v/>
      </c>
      <c r="CQ163" s="56">
        <f>IFERROR(IF(($CB163)&gt;0,($CH163*cfg_TroyOz)/($CB163),""),"")</f>
        <v/>
      </c>
      <c r="CR163" s="67">
        <f>IFERROR(IF(($CC163)&gt;0,($CI163)/($CC163),""),"")</f>
        <v/>
      </c>
      <c r="CS163" s="67">
        <f>IFERROR(IF(($CD163)&gt;0,($CJ163)/($CD163),""),"")</f>
        <v/>
      </c>
      <c r="CT163" s="67">
        <f>IFERROR(IF(($CE163)&gt;0,($CK163)/($CE163),""),"")</f>
        <v/>
      </c>
      <c r="CU163" s="55">
        <f>SUMIFS(tblPlant[Gravity_Gold_oz],tblPlant[Date],$A163)</f>
        <v/>
      </c>
      <c r="CV163" s="55">
        <f>IF($B163=$B162,$CV162,0)+$CU163</f>
        <v/>
      </c>
      <c r="CW163" s="55">
        <f>$CW162+$CU163</f>
        <v/>
      </c>
      <c r="CX163" s="55">
        <f>SUMIFS(tblPlant[Gold_Poured_oz],tblPlant[Date],$A163)</f>
        <v/>
      </c>
      <c r="CY163" s="55">
        <f>IF($B163=$B162,$CY162,0)+$CX163</f>
        <v/>
      </c>
      <c r="CZ163" s="55">
        <f>$CZ162+$CX163</f>
        <v/>
      </c>
      <c r="DA163" s="57">
        <f>SUMIFS(tblPlant[Mill_Run_h],tblPlant[Date],$A163)</f>
        <v/>
      </c>
      <c r="DB163" s="57">
        <f>IF($B163=$B162,$DB162,0)+$DA163</f>
        <v/>
      </c>
      <c r="DC163" s="57">
        <f>$DC162+$DA163</f>
        <v/>
      </c>
      <c r="DD163" s="57">
        <f>SUMIFS(tblPlant[Mill_Planned_Maint_h],tblPlant[Date],$A163)</f>
        <v/>
      </c>
      <c r="DE163" s="57">
        <f>IF($B163=$B162,$DE162,0)+$DD163</f>
        <v/>
      </c>
      <c r="DF163" s="57">
        <f>$DF162+$DD163</f>
        <v/>
      </c>
      <c r="DG163" s="57">
        <f>SUMIFS(tblPlant[Mill_Unplanned_Down_h],tblPlant[Date],$A163)</f>
        <v/>
      </c>
      <c r="DH163" s="57">
        <f>IF($B163=$B162,$DH162,0)+$DG163</f>
        <v/>
      </c>
      <c r="DI163" s="57">
        <f>$DI162+$DG163</f>
        <v/>
      </c>
      <c r="DJ163" s="57">
        <f>COUNTIFS(tblPlant[Date],$A163,tblPlant[Mill_Run_h],"&lt;&gt;")*24</f>
        <v/>
      </c>
      <c r="DK163" s="57">
        <f>IF($B163=$B162,$DK162,0)+$DJ163</f>
        <v/>
      </c>
      <c r="DL163" s="57">
        <f>$DL162+$DJ163</f>
        <v/>
      </c>
      <c r="DM163" s="57">
        <f>SUMIFS(tblPlant[Crusher_Run_h],tblPlant[Date],$A163)</f>
        <v/>
      </c>
      <c r="DN163" s="57">
        <f>IF($B163=$B162,$DN162,0)+$DM163</f>
        <v/>
      </c>
      <c r="DO163" s="57">
        <f>$DO162+$DM163</f>
        <v/>
      </c>
      <c r="DP163" s="55">
        <f>IFERROR(IF(($DA163)&gt;0,($BZ163)/($DA163),""),"")</f>
        <v/>
      </c>
      <c r="DQ163" s="55">
        <f>IFERROR(IF(($DB163)&gt;0,($CA163)/($DB163),""),"")</f>
        <v/>
      </c>
      <c r="DR163" s="55">
        <f>IFERROR(IF(($DC163)&gt;0,($CB163)/($DC163),""),"")</f>
        <v/>
      </c>
      <c r="DS163" s="67">
        <f>IFERROR(IF(($DJ163)&gt;0,($DJ163-$DD163-$DG163)/($DJ163),""),"")</f>
        <v/>
      </c>
      <c r="DT163" s="67">
        <f>IFERROR(IF(($DK163)&gt;0,($DK163-$DE163-$DH163)/($DK163),""),"")</f>
        <v/>
      </c>
      <c r="DU163" s="67">
        <f>IFERROR(IF(($DL163)&gt;0,($DL163-$DF163-$DI163)/($DL163),""),"")</f>
        <v/>
      </c>
      <c r="DV163" s="67">
        <f>IFERROR(IF(($DJ163-$DD163-$DG163)&gt;0,($DA163)/($DJ163-$DD163-$DG163),""),"")</f>
        <v/>
      </c>
      <c r="DW163" s="67">
        <f>IFERROR(IF(($DK163-$DE163-$DH163)&gt;0,($DB163)/($DK163-$DE163-$DH163),""),"")</f>
        <v/>
      </c>
      <c r="DX163" s="67">
        <f>IFERROR(IF(($DL163-$DF163-$DI163)&gt;0,($DC163)/($DL163-$DF163-$DI163),""),"")</f>
        <v/>
      </c>
      <c r="DY163" s="55">
        <f>SUMIFS(tblPlant[Cyanide_kg],tblPlant[Date],$A163)</f>
        <v/>
      </c>
      <c r="DZ163" s="55">
        <f>IF($B163=$B162,$DZ162,0)+$DY163</f>
        <v/>
      </c>
      <c r="EA163" s="55">
        <f>$EA162+$DY163</f>
        <v/>
      </c>
      <c r="EB163" s="55">
        <f>SUMIFS(tblPlant[Lime_kg],tblPlant[Date],$A163)</f>
        <v/>
      </c>
      <c r="EC163" s="55">
        <f>IF($B163=$B162,$EC162,0)+$EB163</f>
        <v/>
      </c>
      <c r="ED163" s="55">
        <f>$ED162+$EB163</f>
        <v/>
      </c>
      <c r="EE163" s="55">
        <f>SUMIFS(tblPlant[Grinding_Media_kg],tblPlant[Date],$A163)</f>
        <v/>
      </c>
      <c r="EF163" s="55">
        <f>IF($B163=$B162,$EF162,0)+$EE163</f>
        <v/>
      </c>
      <c r="EG163" s="55">
        <f>$EG162+$EE163</f>
        <v/>
      </c>
      <c r="EH163" s="55">
        <f>SUMIFS(tblPlant[Power_kWh],tblPlant[Date],$A163)</f>
        <v/>
      </c>
      <c r="EI163" s="55">
        <f>IF($B163=$B162,$EI162,0)+$EH163</f>
        <v/>
      </c>
      <c r="EJ163" s="55">
        <f>$EJ162+$EH163</f>
        <v/>
      </c>
      <c r="EK163" s="55">
        <f>SUMIFS(tblPlant[Raw_Water_m3],tblPlant[Date],$A163)</f>
        <v/>
      </c>
      <c r="EL163" s="55">
        <f>IF($B163=$B162,$EL162,0)+$EK163</f>
        <v/>
      </c>
      <c r="EM163" s="55">
        <f>$EM162+$EK163</f>
        <v/>
      </c>
      <c r="EN163" s="56">
        <f>IFERROR(IF(($BZ163)&gt;0,($DY163)/($BZ163),""),"")</f>
        <v/>
      </c>
      <c r="EO163" s="56">
        <f>IFERROR(IF(($CA163)&gt;0,($DZ163)/($CA163),""),"")</f>
        <v/>
      </c>
      <c r="EP163" s="56">
        <f>IFERROR(IF(($CB163)&gt;0,($EA163)/($CB163),""),"")</f>
        <v/>
      </c>
      <c r="EQ163" s="56">
        <f>IFERROR(IF(($BZ163)&gt;0,($EB163)/($BZ163),""),"")</f>
        <v/>
      </c>
      <c r="ER163" s="56">
        <f>IFERROR(IF(($CA163)&gt;0,($EC163)/($CA163),""),"")</f>
        <v/>
      </c>
      <c r="ES163" s="56">
        <f>IFERROR(IF(($CB163)&gt;0,($ED163)/($CB163),""),"")</f>
        <v/>
      </c>
      <c r="ET163" s="56">
        <f>IFERROR(IF(($BZ163)&gt;0,($EE163)/($BZ163),""),"")</f>
        <v/>
      </c>
      <c r="EU163" s="56">
        <f>IFERROR(IF(($CA163)&gt;0,($EF163)/($CA163),""),"")</f>
        <v/>
      </c>
      <c r="EV163" s="56">
        <f>IFERROR(IF(($CB163)&gt;0,($EG163)/($CB163),""),"")</f>
        <v/>
      </c>
      <c r="EW163" s="76">
        <f>IFERROR(IF(($BZ163)&gt;0,($EH163)/($BZ163),""),"")</f>
        <v/>
      </c>
      <c r="EX163" s="76">
        <f>IFERROR(IF(($CA163)&gt;0,($EI163)/($CA163),""),"")</f>
        <v/>
      </c>
      <c r="EY163" s="76">
        <f>IFERROR(IF(($CB163)&gt;0,($EJ163)/($CB163),""),"")</f>
        <v/>
      </c>
      <c r="EZ163" s="56">
        <f>IFERROR(IF(($BZ163)&gt;0,($EK163)/($BZ163),""),"")</f>
        <v/>
      </c>
      <c r="FA163" s="56">
        <f>IFERROR(IF(($CA163)&gt;0,($EL163)/($CA163),""),"")</f>
        <v/>
      </c>
      <c r="FB163" s="56">
        <f>IFERROR(IF(($CB163)&gt;0,($EM163)/($CB163),""),"")</f>
        <v/>
      </c>
      <c r="FC163" s="55">
        <f>IF(SUMIFS(tblPlant[GIC_oz],tblPlant[Date],$A163)&gt;0,SUMIFS(tblPlant[GIC_oz],tblPlant[Date],$A163),"")</f>
        <v/>
      </c>
      <c r="FD163" s="55">
        <f>SUMIFS(tblGold[Gold_oz],tblGold[Date],$A163,tblGold[Type],"Shipment")</f>
        <v/>
      </c>
      <c r="FE163" s="55">
        <f>IF($B163=$B162,$FE162,0)+$FD163</f>
        <v/>
      </c>
      <c r="FF163" s="55">
        <f>$FF162+$FD163</f>
        <v/>
      </c>
      <c r="FG163" s="55">
        <f>SUMIFS(tblGold[Gold_oz],tblGold[Date],$A163,tblGold[Type],"Sale")</f>
        <v/>
      </c>
      <c r="FH163" s="55">
        <f>IF($B163=$B162,$FH162,0)+$FG163</f>
        <v/>
      </c>
      <c r="FI163" s="55">
        <f>$FI162+$FG163</f>
        <v/>
      </c>
      <c r="FJ163" s="55">
        <f>SUMIFS(tblGold[Dore_kg],tblGold[Date],$A163,tblGold[Type],"Shipment")</f>
        <v/>
      </c>
      <c r="FK163" s="55">
        <f>IF($B163=$B162,$FK162,0)+$FJ163</f>
        <v/>
      </c>
      <c r="FL163" s="55">
        <f>$FL162+$FJ163</f>
        <v/>
      </c>
      <c r="FM163" s="57">
        <f>SUMIFS(tblSafety[Hours_Total],tblSafety[Date],$A163)</f>
        <v/>
      </c>
      <c r="FN163" s="57">
        <f>IF($B163=$B162,$FN162,0)+$FM163</f>
        <v/>
      </c>
      <c r="FO163" s="57">
        <f>$FO162+$FM163</f>
        <v/>
      </c>
      <c r="FP163" s="62">
        <f>SUMIFS(tblSafety[Fatality],tblSafety[Date],$A163)</f>
        <v/>
      </c>
      <c r="FQ163" s="62">
        <f>IF($B163=$B162,$FQ162,0)+$FP163</f>
        <v/>
      </c>
      <c r="FR163" s="62">
        <f>$FR162+$FP163</f>
        <v/>
      </c>
      <c r="FS163" s="62">
        <f>SUMIFS(tblSafety[LTI],tblSafety[Date],$A163)</f>
        <v/>
      </c>
      <c r="FT163" s="62">
        <f>IF($B163=$B162,$FT162,0)+$FS163</f>
        <v/>
      </c>
      <c r="FU163" s="62">
        <f>$FU162+$FS163</f>
        <v/>
      </c>
      <c r="FV163" s="62">
        <f>SUMIFS(tblSafety[RWI],tblSafety[Date],$A163)</f>
        <v/>
      </c>
      <c r="FW163" s="62">
        <f>IF($B163=$B162,$FW162,0)+$FV163</f>
        <v/>
      </c>
      <c r="FX163" s="62">
        <f>$FX162+$FV163</f>
        <v/>
      </c>
      <c r="FY163" s="62">
        <f>SUMIFS(tblSafety[MTI],tblSafety[Date],$A163)</f>
        <v/>
      </c>
      <c r="FZ163" s="62">
        <f>IF($B163=$B162,$FZ162,0)+$FY163</f>
        <v/>
      </c>
      <c r="GA163" s="62">
        <f>$GA162+$FY163</f>
        <v/>
      </c>
      <c r="GB163" s="62">
        <f>SUMIFS(tblSafety[FAI],tblSafety[Date],$A163)</f>
        <v/>
      </c>
      <c r="GC163" s="62">
        <f>IF($B163=$B162,$GC162,0)+$GB163</f>
        <v/>
      </c>
      <c r="GD163" s="62">
        <f>$GD162+$GB163</f>
        <v/>
      </c>
      <c r="GE163" s="62">
        <f>SUMIFS(tblSafety[Recordables],tblSafety[Date],$A163)</f>
        <v/>
      </c>
      <c r="GF163" s="62">
        <f>IF($B163=$B162,$GF162,0)+$GE163</f>
        <v/>
      </c>
      <c r="GG163" s="62">
        <f>$GG162+$GE163</f>
        <v/>
      </c>
      <c r="GH163" s="62">
        <f>SUMIFS(tblSafety[Near_Miss],tblSafety[Date],$A163)</f>
        <v/>
      </c>
      <c r="GI163" s="62">
        <f>IF($B163=$B162,$GI162,0)+$GH163</f>
        <v/>
      </c>
      <c r="GJ163" s="62">
        <f>$GJ162+$GH163</f>
        <v/>
      </c>
      <c r="GK163" s="62">
        <f>SUMIFS(tblSafety[Hazard_Reports],tblSafety[Date],$A163)</f>
        <v/>
      </c>
      <c r="GL163" s="62">
        <f>IF($B163=$B162,$GL162,0)+$GK163</f>
        <v/>
      </c>
      <c r="GM163" s="62">
        <f>$GM162+$GK163</f>
        <v/>
      </c>
      <c r="GN163" s="62">
        <f>SUMIFS(tblSafety[HPI],tblSafety[Date],$A163)</f>
        <v/>
      </c>
      <c r="GO163" s="62">
        <f>IF($B163=$B162,$GO162,0)+$GN163</f>
        <v/>
      </c>
      <c r="GP163" s="62">
        <f>$GP162+$GN163</f>
        <v/>
      </c>
      <c r="GQ163" s="62">
        <f>SUMIFS(tblSafety[Env_Incidents],tblSafety[Date],$A163)</f>
        <v/>
      </c>
      <c r="GR163" s="62">
        <f>IF($B163=$B162,$GR162,0)+$GQ163</f>
        <v/>
      </c>
      <c r="GS163" s="62">
        <f>$GS162+$GQ163</f>
        <v/>
      </c>
      <c r="GT163" s="62">
        <f>SUMIFS(tblSafety[Community_Incidents],tblSafety[Date],$A163)</f>
        <v/>
      </c>
      <c r="GU163" s="62">
        <f>IF($B163=$B162,$GU162,0)+$GT163</f>
        <v/>
      </c>
      <c r="GV163" s="62">
        <f>$GV162+$GT163</f>
        <v/>
      </c>
      <c r="GW163" s="62">
        <f>SUMIFS(tblSafety[Vehicle_Incidents],tblSafety[Date],$A163)</f>
        <v/>
      </c>
      <c r="GX163" s="62">
        <f>IF($B163=$B162,$GX162,0)+$GW163</f>
        <v/>
      </c>
      <c r="GY163" s="62">
        <f>$GY162+$GW163</f>
        <v/>
      </c>
      <c r="GZ163" s="62">
        <f>SUMIFS(tblSafety[Toolbox_Talks],tblSafety[Date],$A163)</f>
        <v/>
      </c>
      <c r="HA163" s="62">
        <f>IF($B163=$B162,$HA162,0)+$GZ163</f>
        <v/>
      </c>
      <c r="HB163" s="62">
        <f>$HB162+$GZ163</f>
        <v/>
      </c>
      <c r="HC163" s="62">
        <f>SUMIFS(tblSafety[Inspections],tblSafety[Date],$A163)</f>
        <v/>
      </c>
      <c r="HD163" s="62">
        <f>IF($B163=$B162,$HD162,0)+$HC163</f>
        <v/>
      </c>
      <c r="HE163" s="62">
        <f>$HE162+$HC163</f>
        <v/>
      </c>
      <c r="HF163" s="56">
        <f>IFERROR((SUMIFS(tblSafety[Recordables],tblSafety[Date],"&gt;="&amp;EDATE($E163,-12),tblSafety[Date],"&lt;="&amp;$A163)+SUMIFS(tblSafetyHistory[Recordables],tblSafetyHistory[Month],"&gt;="&amp;EDATE($E163,-12),tblSafetyHistory[Month],"&lt;"&amp;cfg_YearStart))/(SUMIFS(tblSafety[Hours_Total],tblSafety[Date],"&gt;="&amp;EDATE($E163,-12),tblSafety[Date],"&lt;="&amp;$A163)+SUMIFS(tblSafetyHistory[Hours_Total],tblSafetyHistory[Month],"&gt;="&amp;EDATE($E163,-12),tblSafetyHistory[Month],"&lt;"&amp;cfg_YearStart))*1000000,"")</f>
        <v/>
      </c>
      <c r="HG163" s="56">
        <f>IFERROR((SUMIFS(tblSafety[LTI],tblSafety[Date],"&gt;="&amp;EDATE($E163,-12),tblSafety[Date],"&lt;="&amp;$A163)+SUMIFS(tblSafetyHistory[LTI],tblSafetyHistory[Month],"&gt;="&amp;EDATE($E163,-12),tblSafetyHistory[Month],"&lt;"&amp;cfg_YearStart))/(SUMIFS(tblSafety[Hours_Total],tblSafety[Date],"&gt;="&amp;EDATE($E163,-12),tblSafety[Date],"&lt;="&amp;$A163)+SUMIFS(tblSafetyHistory[Hours_Total],tblSafetyHistory[Month],"&gt;="&amp;EDATE($E163,-12),tblSafetyHistory[Month],"&lt;"&amp;cfg_YearStart))*1000000,"")</f>
        <v/>
      </c>
      <c r="HH163" s="62">
        <f>IF(MAX(N(cfg_PriorLTIDate),_xlfn.MAXIFS(tblSafety[Date],tblSafety[LTI],"&gt;0",tblSafety[Date],"&lt;="&amp;$A163))=0,"",$A163-MAX(N(cfg_PriorLTIDate),_xlfn.MAXIFS(tblSafety[Date],tblSafety[LTI],"&gt;0",tblSafety[Date],"&lt;="&amp;$A163)))</f>
        <v/>
      </c>
      <c r="HI163" s="55">
        <f>SUMIFS(tblBudget[Ore_Mined_t],tblBudget[Month],$E163)</f>
        <v/>
      </c>
      <c r="HJ163" s="55">
        <f>$HI163*$C163/$D163</f>
        <v/>
      </c>
      <c r="HK163" s="55">
        <f>SUMIFS(tblBudget[Ore_Mined_t],tblBudget[Month],"&lt;"&amp;$E163)+$HJ163</f>
        <v/>
      </c>
      <c r="HL163" s="55">
        <f>SUMIFS(tblBudget[Ore_oz],tblBudget[Month],$E163)</f>
        <v/>
      </c>
      <c r="HM163" s="55">
        <f>$HL163*$C163/$D163</f>
        <v/>
      </c>
      <c r="HN163" s="55">
        <f>SUMIFS(tblBudget[Ore_oz],tblBudget[Month],"&lt;"&amp;$E163)+$HM163</f>
        <v/>
      </c>
      <c r="HO163" s="56">
        <f>IFERROR(IF(($HI163)&gt;0,($HL163*cfg_TroyOz)/($HI163),""),"")</f>
        <v/>
      </c>
      <c r="HP163" s="56">
        <f>IFERROR(IF(($HJ163)&gt;0,($HM163*cfg_TroyOz)/($HJ163),""),"")</f>
        <v/>
      </c>
      <c r="HQ163" s="56">
        <f>IFERROR(IF(($HK163)&gt;0,($HN163*cfg_TroyOz)/($HK163),""),"")</f>
        <v/>
      </c>
      <c r="HR163" s="55">
        <f>SUMIFS(tblBudget[Waste_t],tblBudget[Month],$E163)</f>
        <v/>
      </c>
      <c r="HS163" s="55">
        <f>$HR163*$C163/$D163</f>
        <v/>
      </c>
      <c r="HT163" s="55">
        <f>SUMIFS(tblBudget[Waste_t],tblBudget[Month],"&lt;"&amp;$E163)+$HS163</f>
        <v/>
      </c>
      <c r="HU163" s="55">
        <f>SUMIFS(tblBudget[TMM_t],tblBudget[Month],$E163)</f>
        <v/>
      </c>
      <c r="HV163" s="55">
        <f>$HU163*$C163/$D163</f>
        <v/>
      </c>
      <c r="HW163" s="55">
        <f>SUMIFS(tblBudget[TMM_t],tblBudget[Month],"&lt;"&amp;$E163)+$HV163</f>
        <v/>
      </c>
      <c r="HX163" s="56">
        <f>IFERROR(IF(($HI163)&gt;0,($HR163)/($HI163),""),"")</f>
        <v/>
      </c>
      <c r="HY163" s="56">
        <f>IFERROR(IF(($HJ163)&gt;0,($HS163)/($HJ163),""),"")</f>
        <v/>
      </c>
      <c r="HZ163" s="56">
        <f>IFERROR(IF(($HK163)&gt;0,($HT163)/($HK163),""),"")</f>
        <v/>
      </c>
      <c r="IA163" s="55">
        <f>SUMIFS(tblBudget[Drill_m],tblBudget[Month],$E163)</f>
        <v/>
      </c>
      <c r="IB163" s="55">
        <f>$IA163*$C163/$D163</f>
        <v/>
      </c>
      <c r="IC163" s="55">
        <f>SUMIFS(tblBudget[Drill_m],tblBudget[Month],"&lt;"&amp;$E163)+$IB163</f>
        <v/>
      </c>
      <c r="ID163" s="55">
        <f>SUMIFS(tblBudget[Diesel_L],tblBudget[Month],$E163)</f>
        <v/>
      </c>
      <c r="IE163" s="55">
        <f>$ID163*$C163/$D163</f>
        <v/>
      </c>
      <c r="IF163" s="55">
        <f>SUMIFS(tblBudget[Diesel_L],tblBudget[Month],"&lt;"&amp;$E163)+$IE163</f>
        <v/>
      </c>
      <c r="IG163" s="55">
        <f>SUMIFS(tblBudget[Milled_t],tblBudget[Month],$E163)</f>
        <v/>
      </c>
      <c r="IH163" s="55">
        <f>$IG163*$C163/$D163</f>
        <v/>
      </c>
      <c r="II163" s="55">
        <f>SUMIFS(tblBudget[Milled_t],tblBudget[Month],"&lt;"&amp;$E163)+$IH163</f>
        <v/>
      </c>
      <c r="IJ163" s="55">
        <f>SUMIFS(tblBudget[Feed_oz],tblBudget[Month],$E163)</f>
        <v/>
      </c>
      <c r="IK163" s="55">
        <f>$IJ163*$C163/$D163</f>
        <v/>
      </c>
      <c r="IL163" s="55">
        <f>SUMIFS(tblBudget[Feed_oz],tblBudget[Month],"&lt;"&amp;$E163)+$IK163</f>
        <v/>
      </c>
      <c r="IM163" s="55">
        <f>SUMIFS(tblBudget[Recovered_oz],tblBudget[Month],$E163)</f>
        <v/>
      </c>
      <c r="IN163" s="55">
        <f>$IM163*$C163/$D163</f>
        <v/>
      </c>
      <c r="IO163" s="55">
        <f>SUMIFS(tblBudget[Recovered_oz],tblBudget[Month],"&lt;"&amp;$E163)+$IN163</f>
        <v/>
      </c>
      <c r="IP163" s="56">
        <f>IFERROR(IF(($IG163)&gt;0,($IJ163*cfg_TroyOz)/($IG163),""),"")</f>
        <v/>
      </c>
      <c r="IQ163" s="56">
        <f>IFERROR(IF(($IH163)&gt;0,($IK163*cfg_TroyOz)/($IH163),""),"")</f>
        <v/>
      </c>
      <c r="IR163" s="56">
        <f>IFERROR(IF(($II163)&gt;0,($IL163*cfg_TroyOz)/($II163),""),"")</f>
        <v/>
      </c>
      <c r="IS163" s="67">
        <f>IFERROR(IF(($IJ163)&gt;0,($IM163)/($IJ163),""),"")</f>
        <v/>
      </c>
      <c r="IT163" s="67">
        <f>IFERROR(IF(($IK163)&gt;0,($IN163)/($IK163),""),"")</f>
        <v/>
      </c>
      <c r="IU163" s="67">
        <f>IFERROR(IF(($IL163)&gt;0,($IO163)/($IL163),""),"")</f>
        <v/>
      </c>
      <c r="IV163" s="55">
        <f>SUMIFS(tblBudget[Gold_Poured_oz],tblBudget[Month],$E163)</f>
        <v/>
      </c>
      <c r="IW163" s="55">
        <f>$IV163*$C163/$D163</f>
        <v/>
      </c>
      <c r="IX163" s="55">
        <f>SUMIFS(tblBudget[Gold_Poured_oz],tblBudget[Month],"&lt;"&amp;$E163)+$IW163</f>
        <v/>
      </c>
      <c r="IY163" s="57">
        <f>SUMIFS(tblBudget[Hours_Worked],tblBudget[Month],$E163)</f>
        <v/>
      </c>
      <c r="IZ163" s="57">
        <f>$IY163*$C163/$D163</f>
        <v/>
      </c>
      <c r="JA163" s="57">
        <f>SUMIFS(tblBudget[Hours_Worked],tblBudget[Month],"&lt;"&amp;$E163)+$IZ163</f>
        <v/>
      </c>
    </row>
    <row r="164">
      <c r="A164" s="54" t="n">
        <v>46185</v>
      </c>
      <c r="B164">
        <f>MONTH($A164)</f>
        <v/>
      </c>
      <c r="C164">
        <f>DAY($A164)</f>
        <v/>
      </c>
      <c r="D164">
        <f>DAY(EOMONTH($A164,0))</f>
        <v/>
      </c>
      <c r="E164" s="54">
        <f>DATE(YEAR($A164),MONTH($A164),1)</f>
        <v/>
      </c>
      <c r="F164" s="55">
        <f>SUMIFS(tblMovement[Tonnes_t],tblMovement[Date],$A164,tblMovement[Is_Ore],1,tblMovement[Source_Type],"Pit")</f>
        <v/>
      </c>
      <c r="G164" s="55">
        <f>IF($B164=$B163,$G163,0)+$F164</f>
        <v/>
      </c>
      <c r="H164" s="55">
        <f>$H163+$F164</f>
        <v/>
      </c>
      <c r="I164" s="55">
        <f>SUMIFS(tblMovement[Ore_oz],tblMovement[Date],$A164,tblMovement[Source_Type],"Pit")</f>
        <v/>
      </c>
      <c r="J164" s="55">
        <f>IF($B164=$B163,$J163,0)+$I164</f>
        <v/>
      </c>
      <c r="K164" s="55">
        <f>$K163+$I164</f>
        <v/>
      </c>
      <c r="L164" s="56">
        <f>IFERROR(IF(($F164)&gt;0,($I164*cfg_TroyOz)/($F164),""),"")</f>
        <v/>
      </c>
      <c r="M164" s="56">
        <f>IFERROR(IF(($G164)&gt;0,($J164*cfg_TroyOz)/($G164),""),"")</f>
        <v/>
      </c>
      <c r="N164" s="56">
        <f>IFERROR(IF(($H164)&gt;0,($K164*cfg_TroyOz)/($H164),""),"")</f>
        <v/>
      </c>
      <c r="O164" s="55">
        <f>SUMIFS(tblMovement[Tonnes_t],tblMovement[Date],$A164,tblMovement[Is_Ore],0,tblMovement[Source_Type],"Pit")</f>
        <v/>
      </c>
      <c r="P164" s="55">
        <f>IF($B164=$B163,$P163,0)+$O164</f>
        <v/>
      </c>
      <c r="Q164" s="55">
        <f>$Q163+$O164</f>
        <v/>
      </c>
      <c r="R164" s="55">
        <f>$F164+$O164</f>
        <v/>
      </c>
      <c r="S164" s="55">
        <f>IF($B164=$B163,$S163,0)+$R164</f>
        <v/>
      </c>
      <c r="T164" s="55">
        <f>$T163+$R164</f>
        <v/>
      </c>
      <c r="U164" s="56">
        <f>IFERROR(IF(($F164)&gt;0,($O164)/($F164),""),"")</f>
        <v/>
      </c>
      <c r="V164" s="56">
        <f>IFERROR(IF(($G164)&gt;0,($P164)/($G164),""),"")</f>
        <v/>
      </c>
      <c r="W164" s="56">
        <f>IFERROR(IF(($H164)&gt;0,($Q164)/($H164),""),"")</f>
        <v/>
      </c>
      <c r="X164" s="55">
        <f>SUMIFS(tblMovement[Tonnes_t],tblMovement[Date],$A164,tblMovement[Source_Type],"Stockpile")</f>
        <v/>
      </c>
      <c r="Y164" s="55">
        <f>IF($B164=$B163,$Y163,0)+$X164</f>
        <v/>
      </c>
      <c r="Z164" s="55">
        <f>$Z163+$X164</f>
        <v/>
      </c>
      <c r="AA164" s="55">
        <f>SUMIFS(tblMiningDaily[Drill_m],tblMiningDaily[Date],$A164)</f>
        <v/>
      </c>
      <c r="AB164" s="55">
        <f>IF($B164=$B163,$AB163,0)+$AA164</f>
        <v/>
      </c>
      <c r="AC164" s="55">
        <f>$AC163+$AA164</f>
        <v/>
      </c>
      <c r="AD164" s="55">
        <f>SUMIFS(tblMiningDaily[Blast_t],tblMiningDaily[Date],$A164)</f>
        <v/>
      </c>
      <c r="AE164" s="55">
        <f>IF($B164=$B163,$AE163,0)+$AD164</f>
        <v/>
      </c>
      <c r="AF164" s="55">
        <f>$AF163+$AD164</f>
        <v/>
      </c>
      <c r="AG164" s="55">
        <f>SUMIFS(tblMiningDaily[Explosives_kg],tblMiningDaily[Date],$A164)</f>
        <v/>
      </c>
      <c r="AH164" s="55">
        <f>IF($B164=$B163,$AH163,0)+$AG164</f>
        <v/>
      </c>
      <c r="AI164" s="55">
        <f>$AI163+$AG164</f>
        <v/>
      </c>
      <c r="AJ164" s="56">
        <f>IFERROR(IF(($AD164)&gt;0,($AG164)/($AD164),""),"")</f>
        <v/>
      </c>
      <c r="AK164" s="56">
        <f>IFERROR(IF(($AE164)&gt;0,($AH164)/($AE164),""),"")</f>
        <v/>
      </c>
      <c r="AL164" s="56">
        <f>IFERROR(IF(($AF164)&gt;0,($AI164)/($AF164),""),"")</f>
        <v/>
      </c>
      <c r="AM164" s="55">
        <f>SUMIFS(tblMiningDaily[Diesel_L],tblMiningDaily[Date],$A164)</f>
        <v/>
      </c>
      <c r="AN164" s="55">
        <f>IF($B164=$B163,$AN163,0)+$AM164</f>
        <v/>
      </c>
      <c r="AO164" s="55">
        <f>$AO163+$AM164</f>
        <v/>
      </c>
      <c r="AP164" s="55">
        <f>SUMIFS(tblMiningDaily[Dewatering_m3],tblMiningDaily[Date],$A164)</f>
        <v/>
      </c>
      <c r="AQ164" s="55">
        <f>IF($B164=$B163,$AQ163,0)+$AP164</f>
        <v/>
      </c>
      <c r="AR164" s="55">
        <f>$AR163+$AP164</f>
        <v/>
      </c>
      <c r="AS164" s="57">
        <f>SUMIFS(tblFleet[Calendar_h],tblFleet[Date],$A164,tblFleet[Equipment_Class],"Excavator")</f>
        <v/>
      </c>
      <c r="AT164" s="57">
        <f>IF($B164=$B163,$AT163,0)+$AS164</f>
        <v/>
      </c>
      <c r="AU164" s="57">
        <f>$AU163+$AS164</f>
        <v/>
      </c>
      <c r="AV164" s="57">
        <f>SUMIFS(tblFleet[Available_h],tblFleet[Date],$A164,tblFleet[Equipment_Class],"Excavator")</f>
        <v/>
      </c>
      <c r="AW164" s="57">
        <f>IF($B164=$B163,$AW163,0)+$AV164</f>
        <v/>
      </c>
      <c r="AX164" s="57">
        <f>$AX163+$AV164</f>
        <v/>
      </c>
      <c r="AY164" s="57">
        <f>SUMIFS(tblFleet[Operating_h],tblFleet[Date],$A164,tblFleet[Equipment_Class],"Excavator")</f>
        <v/>
      </c>
      <c r="AZ164" s="57">
        <f>IF($B164=$B163,$AZ163,0)+$AY164</f>
        <v/>
      </c>
      <c r="BA164" s="57">
        <f>$BA163+$AY164</f>
        <v/>
      </c>
      <c r="BB164" s="67">
        <f>IFERROR(IF(($AS164)&gt;0,($AV164)/($AS164),""),"")</f>
        <v/>
      </c>
      <c r="BC164" s="67">
        <f>IFERROR(IF(($AT164)&gt;0,($AW164)/($AT164),""),"")</f>
        <v/>
      </c>
      <c r="BD164" s="67">
        <f>IFERROR(IF(($AU164)&gt;0,($AX164)/($AU164),""),"")</f>
        <v/>
      </c>
      <c r="BE164" s="67">
        <f>IFERROR(IF(($AV164)&gt;0,($AY164)/($AV164),""),"")</f>
        <v/>
      </c>
      <c r="BF164" s="67">
        <f>IFERROR(IF(($AW164)&gt;0,($AZ164)/($AW164),""),"")</f>
        <v/>
      </c>
      <c r="BG164" s="67">
        <f>IFERROR(IF(($AX164)&gt;0,($BA164)/($AX164),""),"")</f>
        <v/>
      </c>
      <c r="BH164" s="57">
        <f>SUMIFS(tblFleet[Calendar_h],tblFleet[Date],$A164,tblFleet[Equipment_Class],"Haul Truck")</f>
        <v/>
      </c>
      <c r="BI164" s="57">
        <f>IF($B164=$B163,$BI163,0)+$BH164</f>
        <v/>
      </c>
      <c r="BJ164" s="57">
        <f>$BJ163+$BH164</f>
        <v/>
      </c>
      <c r="BK164" s="57">
        <f>SUMIFS(tblFleet[Available_h],tblFleet[Date],$A164,tblFleet[Equipment_Class],"Haul Truck")</f>
        <v/>
      </c>
      <c r="BL164" s="57">
        <f>IF($B164=$B163,$BL163,0)+$BK164</f>
        <v/>
      </c>
      <c r="BM164" s="57">
        <f>$BM163+$BK164</f>
        <v/>
      </c>
      <c r="BN164" s="57">
        <f>SUMIFS(tblFleet[Operating_h],tblFleet[Date],$A164,tblFleet[Equipment_Class],"Haul Truck")</f>
        <v/>
      </c>
      <c r="BO164" s="57">
        <f>IF($B164=$B163,$BO163,0)+$BN164</f>
        <v/>
      </c>
      <c r="BP164" s="57">
        <f>$BP163+$BN164</f>
        <v/>
      </c>
      <c r="BQ164" s="67">
        <f>IFERROR(IF(($BH164)&gt;0,($BK164)/($BH164),""),"")</f>
        <v/>
      </c>
      <c r="BR164" s="67">
        <f>IFERROR(IF(($BI164)&gt;0,($BL164)/($BI164),""),"")</f>
        <v/>
      </c>
      <c r="BS164" s="67">
        <f>IFERROR(IF(($BJ164)&gt;0,($BM164)/($BJ164),""),"")</f>
        <v/>
      </c>
      <c r="BT164" s="67">
        <f>IFERROR(IF(($BK164)&gt;0,($BN164)/($BK164),""),"")</f>
        <v/>
      </c>
      <c r="BU164" s="67">
        <f>IFERROR(IF(($BL164)&gt;0,($BO164)/($BL164),""),"")</f>
        <v/>
      </c>
      <c r="BV164" s="67">
        <f>IFERROR(IF(($BM164)&gt;0,($BP164)/($BM164),""),"")</f>
        <v/>
      </c>
      <c r="BW164" s="55">
        <f>SUMIFS(tblPlant[Crushed_t],tblPlant[Date],$A164)</f>
        <v/>
      </c>
      <c r="BX164" s="55">
        <f>IF($B164=$B163,$BX163,0)+$BW164</f>
        <v/>
      </c>
      <c r="BY164" s="55">
        <f>$BY163+$BW164</f>
        <v/>
      </c>
      <c r="BZ164" s="55">
        <f>SUMIFS(tblPlant[Milled_t],tblPlant[Date],$A164)</f>
        <v/>
      </c>
      <c r="CA164" s="55">
        <f>IF($B164=$B163,$CA163,0)+$BZ164</f>
        <v/>
      </c>
      <c r="CB164" s="55">
        <f>$CB163+$BZ164</f>
        <v/>
      </c>
      <c r="CC164" s="55">
        <f>SUMIFS(tblPlant[Feed_oz],tblPlant[Date],$A164)</f>
        <v/>
      </c>
      <c r="CD164" s="55">
        <f>IF($B164=$B163,$CD163,0)+$CC164</f>
        <v/>
      </c>
      <c r="CE164" s="55">
        <f>$CE163+$CC164</f>
        <v/>
      </c>
      <c r="CF164" s="55">
        <f>SUMIFS(tblPlant[Tails_oz],tblPlant[Date],$A164)</f>
        <v/>
      </c>
      <c r="CG164" s="55">
        <f>IF($B164=$B163,$CG163,0)+$CF164</f>
        <v/>
      </c>
      <c r="CH164" s="55">
        <f>$CH163+$CF164</f>
        <v/>
      </c>
      <c r="CI164" s="55">
        <f>SUMIFS(tblPlant[Recovered_oz],tblPlant[Date],$A164)</f>
        <v/>
      </c>
      <c r="CJ164" s="55">
        <f>IF($B164=$B163,$CJ163,0)+$CI164</f>
        <v/>
      </c>
      <c r="CK164" s="55">
        <f>$CK163+$CI164</f>
        <v/>
      </c>
      <c r="CL164" s="56">
        <f>IFERROR(IF(($BZ164)&gt;0,($CC164*cfg_TroyOz)/($BZ164),""),"")</f>
        <v/>
      </c>
      <c r="CM164" s="56">
        <f>IFERROR(IF(($CA164)&gt;0,($CD164*cfg_TroyOz)/($CA164),""),"")</f>
        <v/>
      </c>
      <c r="CN164" s="56">
        <f>IFERROR(IF(($CB164)&gt;0,($CE164*cfg_TroyOz)/($CB164),""),"")</f>
        <v/>
      </c>
      <c r="CO164" s="56">
        <f>IFERROR(IF(($BZ164)&gt;0,($CF164*cfg_TroyOz)/($BZ164),""),"")</f>
        <v/>
      </c>
      <c r="CP164" s="56">
        <f>IFERROR(IF(($CA164)&gt;0,($CG164*cfg_TroyOz)/($CA164),""),"")</f>
        <v/>
      </c>
      <c r="CQ164" s="56">
        <f>IFERROR(IF(($CB164)&gt;0,($CH164*cfg_TroyOz)/($CB164),""),"")</f>
        <v/>
      </c>
      <c r="CR164" s="67">
        <f>IFERROR(IF(($CC164)&gt;0,($CI164)/($CC164),""),"")</f>
        <v/>
      </c>
      <c r="CS164" s="67">
        <f>IFERROR(IF(($CD164)&gt;0,($CJ164)/($CD164),""),"")</f>
        <v/>
      </c>
      <c r="CT164" s="67">
        <f>IFERROR(IF(($CE164)&gt;0,($CK164)/($CE164),""),"")</f>
        <v/>
      </c>
      <c r="CU164" s="55">
        <f>SUMIFS(tblPlant[Gravity_Gold_oz],tblPlant[Date],$A164)</f>
        <v/>
      </c>
      <c r="CV164" s="55">
        <f>IF($B164=$B163,$CV163,0)+$CU164</f>
        <v/>
      </c>
      <c r="CW164" s="55">
        <f>$CW163+$CU164</f>
        <v/>
      </c>
      <c r="CX164" s="55">
        <f>SUMIFS(tblPlant[Gold_Poured_oz],tblPlant[Date],$A164)</f>
        <v/>
      </c>
      <c r="CY164" s="55">
        <f>IF($B164=$B163,$CY163,0)+$CX164</f>
        <v/>
      </c>
      <c r="CZ164" s="55">
        <f>$CZ163+$CX164</f>
        <v/>
      </c>
      <c r="DA164" s="57">
        <f>SUMIFS(tblPlant[Mill_Run_h],tblPlant[Date],$A164)</f>
        <v/>
      </c>
      <c r="DB164" s="57">
        <f>IF($B164=$B163,$DB163,0)+$DA164</f>
        <v/>
      </c>
      <c r="DC164" s="57">
        <f>$DC163+$DA164</f>
        <v/>
      </c>
      <c r="DD164" s="57">
        <f>SUMIFS(tblPlant[Mill_Planned_Maint_h],tblPlant[Date],$A164)</f>
        <v/>
      </c>
      <c r="DE164" s="57">
        <f>IF($B164=$B163,$DE163,0)+$DD164</f>
        <v/>
      </c>
      <c r="DF164" s="57">
        <f>$DF163+$DD164</f>
        <v/>
      </c>
      <c r="DG164" s="57">
        <f>SUMIFS(tblPlant[Mill_Unplanned_Down_h],tblPlant[Date],$A164)</f>
        <v/>
      </c>
      <c r="DH164" s="57">
        <f>IF($B164=$B163,$DH163,0)+$DG164</f>
        <v/>
      </c>
      <c r="DI164" s="57">
        <f>$DI163+$DG164</f>
        <v/>
      </c>
      <c r="DJ164" s="57">
        <f>COUNTIFS(tblPlant[Date],$A164,tblPlant[Mill_Run_h],"&lt;&gt;")*24</f>
        <v/>
      </c>
      <c r="DK164" s="57">
        <f>IF($B164=$B163,$DK163,0)+$DJ164</f>
        <v/>
      </c>
      <c r="DL164" s="57">
        <f>$DL163+$DJ164</f>
        <v/>
      </c>
      <c r="DM164" s="57">
        <f>SUMIFS(tblPlant[Crusher_Run_h],tblPlant[Date],$A164)</f>
        <v/>
      </c>
      <c r="DN164" s="57">
        <f>IF($B164=$B163,$DN163,0)+$DM164</f>
        <v/>
      </c>
      <c r="DO164" s="57">
        <f>$DO163+$DM164</f>
        <v/>
      </c>
      <c r="DP164" s="55">
        <f>IFERROR(IF(($DA164)&gt;0,($BZ164)/($DA164),""),"")</f>
        <v/>
      </c>
      <c r="DQ164" s="55">
        <f>IFERROR(IF(($DB164)&gt;0,($CA164)/($DB164),""),"")</f>
        <v/>
      </c>
      <c r="DR164" s="55">
        <f>IFERROR(IF(($DC164)&gt;0,($CB164)/($DC164),""),"")</f>
        <v/>
      </c>
      <c r="DS164" s="67">
        <f>IFERROR(IF(($DJ164)&gt;0,($DJ164-$DD164-$DG164)/($DJ164),""),"")</f>
        <v/>
      </c>
      <c r="DT164" s="67">
        <f>IFERROR(IF(($DK164)&gt;0,($DK164-$DE164-$DH164)/($DK164),""),"")</f>
        <v/>
      </c>
      <c r="DU164" s="67">
        <f>IFERROR(IF(($DL164)&gt;0,($DL164-$DF164-$DI164)/($DL164),""),"")</f>
        <v/>
      </c>
      <c r="DV164" s="67">
        <f>IFERROR(IF(($DJ164-$DD164-$DG164)&gt;0,($DA164)/($DJ164-$DD164-$DG164),""),"")</f>
        <v/>
      </c>
      <c r="DW164" s="67">
        <f>IFERROR(IF(($DK164-$DE164-$DH164)&gt;0,($DB164)/($DK164-$DE164-$DH164),""),"")</f>
        <v/>
      </c>
      <c r="DX164" s="67">
        <f>IFERROR(IF(($DL164-$DF164-$DI164)&gt;0,($DC164)/($DL164-$DF164-$DI164),""),"")</f>
        <v/>
      </c>
      <c r="DY164" s="55">
        <f>SUMIFS(tblPlant[Cyanide_kg],tblPlant[Date],$A164)</f>
        <v/>
      </c>
      <c r="DZ164" s="55">
        <f>IF($B164=$B163,$DZ163,0)+$DY164</f>
        <v/>
      </c>
      <c r="EA164" s="55">
        <f>$EA163+$DY164</f>
        <v/>
      </c>
      <c r="EB164" s="55">
        <f>SUMIFS(tblPlant[Lime_kg],tblPlant[Date],$A164)</f>
        <v/>
      </c>
      <c r="EC164" s="55">
        <f>IF($B164=$B163,$EC163,0)+$EB164</f>
        <v/>
      </c>
      <c r="ED164" s="55">
        <f>$ED163+$EB164</f>
        <v/>
      </c>
      <c r="EE164" s="55">
        <f>SUMIFS(tblPlant[Grinding_Media_kg],tblPlant[Date],$A164)</f>
        <v/>
      </c>
      <c r="EF164" s="55">
        <f>IF($B164=$B163,$EF163,0)+$EE164</f>
        <v/>
      </c>
      <c r="EG164" s="55">
        <f>$EG163+$EE164</f>
        <v/>
      </c>
      <c r="EH164" s="55">
        <f>SUMIFS(tblPlant[Power_kWh],tblPlant[Date],$A164)</f>
        <v/>
      </c>
      <c r="EI164" s="55">
        <f>IF($B164=$B163,$EI163,0)+$EH164</f>
        <v/>
      </c>
      <c r="EJ164" s="55">
        <f>$EJ163+$EH164</f>
        <v/>
      </c>
      <c r="EK164" s="55">
        <f>SUMIFS(tblPlant[Raw_Water_m3],tblPlant[Date],$A164)</f>
        <v/>
      </c>
      <c r="EL164" s="55">
        <f>IF($B164=$B163,$EL163,0)+$EK164</f>
        <v/>
      </c>
      <c r="EM164" s="55">
        <f>$EM163+$EK164</f>
        <v/>
      </c>
      <c r="EN164" s="56">
        <f>IFERROR(IF(($BZ164)&gt;0,($DY164)/($BZ164),""),"")</f>
        <v/>
      </c>
      <c r="EO164" s="56">
        <f>IFERROR(IF(($CA164)&gt;0,($DZ164)/($CA164),""),"")</f>
        <v/>
      </c>
      <c r="EP164" s="56">
        <f>IFERROR(IF(($CB164)&gt;0,($EA164)/($CB164),""),"")</f>
        <v/>
      </c>
      <c r="EQ164" s="56">
        <f>IFERROR(IF(($BZ164)&gt;0,($EB164)/($BZ164),""),"")</f>
        <v/>
      </c>
      <c r="ER164" s="56">
        <f>IFERROR(IF(($CA164)&gt;0,($EC164)/($CA164),""),"")</f>
        <v/>
      </c>
      <c r="ES164" s="56">
        <f>IFERROR(IF(($CB164)&gt;0,($ED164)/($CB164),""),"")</f>
        <v/>
      </c>
      <c r="ET164" s="56">
        <f>IFERROR(IF(($BZ164)&gt;0,($EE164)/($BZ164),""),"")</f>
        <v/>
      </c>
      <c r="EU164" s="56">
        <f>IFERROR(IF(($CA164)&gt;0,($EF164)/($CA164),""),"")</f>
        <v/>
      </c>
      <c r="EV164" s="56">
        <f>IFERROR(IF(($CB164)&gt;0,($EG164)/($CB164),""),"")</f>
        <v/>
      </c>
      <c r="EW164" s="76">
        <f>IFERROR(IF(($BZ164)&gt;0,($EH164)/($BZ164),""),"")</f>
        <v/>
      </c>
      <c r="EX164" s="76">
        <f>IFERROR(IF(($CA164)&gt;0,($EI164)/($CA164),""),"")</f>
        <v/>
      </c>
      <c r="EY164" s="76">
        <f>IFERROR(IF(($CB164)&gt;0,($EJ164)/($CB164),""),"")</f>
        <v/>
      </c>
      <c r="EZ164" s="56">
        <f>IFERROR(IF(($BZ164)&gt;0,($EK164)/($BZ164),""),"")</f>
        <v/>
      </c>
      <c r="FA164" s="56">
        <f>IFERROR(IF(($CA164)&gt;0,($EL164)/($CA164),""),"")</f>
        <v/>
      </c>
      <c r="FB164" s="56">
        <f>IFERROR(IF(($CB164)&gt;0,($EM164)/($CB164),""),"")</f>
        <v/>
      </c>
      <c r="FC164" s="55">
        <f>IF(SUMIFS(tblPlant[GIC_oz],tblPlant[Date],$A164)&gt;0,SUMIFS(tblPlant[GIC_oz],tblPlant[Date],$A164),"")</f>
        <v/>
      </c>
      <c r="FD164" s="55">
        <f>SUMIFS(tblGold[Gold_oz],tblGold[Date],$A164,tblGold[Type],"Shipment")</f>
        <v/>
      </c>
      <c r="FE164" s="55">
        <f>IF($B164=$B163,$FE163,0)+$FD164</f>
        <v/>
      </c>
      <c r="FF164" s="55">
        <f>$FF163+$FD164</f>
        <v/>
      </c>
      <c r="FG164" s="55">
        <f>SUMIFS(tblGold[Gold_oz],tblGold[Date],$A164,tblGold[Type],"Sale")</f>
        <v/>
      </c>
      <c r="FH164" s="55">
        <f>IF($B164=$B163,$FH163,0)+$FG164</f>
        <v/>
      </c>
      <c r="FI164" s="55">
        <f>$FI163+$FG164</f>
        <v/>
      </c>
      <c r="FJ164" s="55">
        <f>SUMIFS(tblGold[Dore_kg],tblGold[Date],$A164,tblGold[Type],"Shipment")</f>
        <v/>
      </c>
      <c r="FK164" s="55">
        <f>IF($B164=$B163,$FK163,0)+$FJ164</f>
        <v/>
      </c>
      <c r="FL164" s="55">
        <f>$FL163+$FJ164</f>
        <v/>
      </c>
      <c r="FM164" s="57">
        <f>SUMIFS(tblSafety[Hours_Total],tblSafety[Date],$A164)</f>
        <v/>
      </c>
      <c r="FN164" s="57">
        <f>IF($B164=$B163,$FN163,0)+$FM164</f>
        <v/>
      </c>
      <c r="FO164" s="57">
        <f>$FO163+$FM164</f>
        <v/>
      </c>
      <c r="FP164" s="62">
        <f>SUMIFS(tblSafety[Fatality],tblSafety[Date],$A164)</f>
        <v/>
      </c>
      <c r="FQ164" s="62">
        <f>IF($B164=$B163,$FQ163,0)+$FP164</f>
        <v/>
      </c>
      <c r="FR164" s="62">
        <f>$FR163+$FP164</f>
        <v/>
      </c>
      <c r="FS164" s="62">
        <f>SUMIFS(tblSafety[LTI],tblSafety[Date],$A164)</f>
        <v/>
      </c>
      <c r="FT164" s="62">
        <f>IF($B164=$B163,$FT163,0)+$FS164</f>
        <v/>
      </c>
      <c r="FU164" s="62">
        <f>$FU163+$FS164</f>
        <v/>
      </c>
      <c r="FV164" s="62">
        <f>SUMIFS(tblSafety[RWI],tblSafety[Date],$A164)</f>
        <v/>
      </c>
      <c r="FW164" s="62">
        <f>IF($B164=$B163,$FW163,0)+$FV164</f>
        <v/>
      </c>
      <c r="FX164" s="62">
        <f>$FX163+$FV164</f>
        <v/>
      </c>
      <c r="FY164" s="62">
        <f>SUMIFS(tblSafety[MTI],tblSafety[Date],$A164)</f>
        <v/>
      </c>
      <c r="FZ164" s="62">
        <f>IF($B164=$B163,$FZ163,0)+$FY164</f>
        <v/>
      </c>
      <c r="GA164" s="62">
        <f>$GA163+$FY164</f>
        <v/>
      </c>
      <c r="GB164" s="62">
        <f>SUMIFS(tblSafety[FAI],tblSafety[Date],$A164)</f>
        <v/>
      </c>
      <c r="GC164" s="62">
        <f>IF($B164=$B163,$GC163,0)+$GB164</f>
        <v/>
      </c>
      <c r="GD164" s="62">
        <f>$GD163+$GB164</f>
        <v/>
      </c>
      <c r="GE164" s="62">
        <f>SUMIFS(tblSafety[Recordables],tblSafety[Date],$A164)</f>
        <v/>
      </c>
      <c r="GF164" s="62">
        <f>IF($B164=$B163,$GF163,0)+$GE164</f>
        <v/>
      </c>
      <c r="GG164" s="62">
        <f>$GG163+$GE164</f>
        <v/>
      </c>
      <c r="GH164" s="62">
        <f>SUMIFS(tblSafety[Near_Miss],tblSafety[Date],$A164)</f>
        <v/>
      </c>
      <c r="GI164" s="62">
        <f>IF($B164=$B163,$GI163,0)+$GH164</f>
        <v/>
      </c>
      <c r="GJ164" s="62">
        <f>$GJ163+$GH164</f>
        <v/>
      </c>
      <c r="GK164" s="62">
        <f>SUMIFS(tblSafety[Hazard_Reports],tblSafety[Date],$A164)</f>
        <v/>
      </c>
      <c r="GL164" s="62">
        <f>IF($B164=$B163,$GL163,0)+$GK164</f>
        <v/>
      </c>
      <c r="GM164" s="62">
        <f>$GM163+$GK164</f>
        <v/>
      </c>
      <c r="GN164" s="62">
        <f>SUMIFS(tblSafety[HPI],tblSafety[Date],$A164)</f>
        <v/>
      </c>
      <c r="GO164" s="62">
        <f>IF($B164=$B163,$GO163,0)+$GN164</f>
        <v/>
      </c>
      <c r="GP164" s="62">
        <f>$GP163+$GN164</f>
        <v/>
      </c>
      <c r="GQ164" s="62">
        <f>SUMIFS(tblSafety[Env_Incidents],tblSafety[Date],$A164)</f>
        <v/>
      </c>
      <c r="GR164" s="62">
        <f>IF($B164=$B163,$GR163,0)+$GQ164</f>
        <v/>
      </c>
      <c r="GS164" s="62">
        <f>$GS163+$GQ164</f>
        <v/>
      </c>
      <c r="GT164" s="62">
        <f>SUMIFS(tblSafety[Community_Incidents],tblSafety[Date],$A164)</f>
        <v/>
      </c>
      <c r="GU164" s="62">
        <f>IF($B164=$B163,$GU163,0)+$GT164</f>
        <v/>
      </c>
      <c r="GV164" s="62">
        <f>$GV163+$GT164</f>
        <v/>
      </c>
      <c r="GW164" s="62">
        <f>SUMIFS(tblSafety[Vehicle_Incidents],tblSafety[Date],$A164)</f>
        <v/>
      </c>
      <c r="GX164" s="62">
        <f>IF($B164=$B163,$GX163,0)+$GW164</f>
        <v/>
      </c>
      <c r="GY164" s="62">
        <f>$GY163+$GW164</f>
        <v/>
      </c>
      <c r="GZ164" s="62">
        <f>SUMIFS(tblSafety[Toolbox_Talks],tblSafety[Date],$A164)</f>
        <v/>
      </c>
      <c r="HA164" s="62">
        <f>IF($B164=$B163,$HA163,0)+$GZ164</f>
        <v/>
      </c>
      <c r="HB164" s="62">
        <f>$HB163+$GZ164</f>
        <v/>
      </c>
      <c r="HC164" s="62">
        <f>SUMIFS(tblSafety[Inspections],tblSafety[Date],$A164)</f>
        <v/>
      </c>
      <c r="HD164" s="62">
        <f>IF($B164=$B163,$HD163,0)+$HC164</f>
        <v/>
      </c>
      <c r="HE164" s="62">
        <f>$HE163+$HC164</f>
        <v/>
      </c>
      <c r="HF164" s="56">
        <f>IFERROR((SUMIFS(tblSafety[Recordables],tblSafety[Date],"&gt;="&amp;EDATE($E164,-12),tblSafety[Date],"&lt;="&amp;$A164)+SUMIFS(tblSafetyHistory[Recordables],tblSafetyHistory[Month],"&gt;="&amp;EDATE($E164,-12),tblSafetyHistory[Month],"&lt;"&amp;cfg_YearStart))/(SUMIFS(tblSafety[Hours_Total],tblSafety[Date],"&gt;="&amp;EDATE($E164,-12),tblSafety[Date],"&lt;="&amp;$A164)+SUMIFS(tblSafetyHistory[Hours_Total],tblSafetyHistory[Month],"&gt;="&amp;EDATE($E164,-12),tblSafetyHistory[Month],"&lt;"&amp;cfg_YearStart))*1000000,"")</f>
        <v/>
      </c>
      <c r="HG164" s="56">
        <f>IFERROR((SUMIFS(tblSafety[LTI],tblSafety[Date],"&gt;="&amp;EDATE($E164,-12),tblSafety[Date],"&lt;="&amp;$A164)+SUMIFS(tblSafetyHistory[LTI],tblSafetyHistory[Month],"&gt;="&amp;EDATE($E164,-12),tblSafetyHistory[Month],"&lt;"&amp;cfg_YearStart))/(SUMIFS(tblSafety[Hours_Total],tblSafety[Date],"&gt;="&amp;EDATE($E164,-12),tblSafety[Date],"&lt;="&amp;$A164)+SUMIFS(tblSafetyHistory[Hours_Total],tblSafetyHistory[Month],"&gt;="&amp;EDATE($E164,-12),tblSafetyHistory[Month],"&lt;"&amp;cfg_YearStart))*1000000,"")</f>
        <v/>
      </c>
      <c r="HH164" s="62">
        <f>IF(MAX(N(cfg_PriorLTIDate),_xlfn.MAXIFS(tblSafety[Date],tblSafety[LTI],"&gt;0",tblSafety[Date],"&lt;="&amp;$A164))=0,"",$A164-MAX(N(cfg_PriorLTIDate),_xlfn.MAXIFS(tblSafety[Date],tblSafety[LTI],"&gt;0",tblSafety[Date],"&lt;="&amp;$A164)))</f>
        <v/>
      </c>
      <c r="HI164" s="55">
        <f>SUMIFS(tblBudget[Ore_Mined_t],tblBudget[Month],$E164)</f>
        <v/>
      </c>
      <c r="HJ164" s="55">
        <f>$HI164*$C164/$D164</f>
        <v/>
      </c>
      <c r="HK164" s="55">
        <f>SUMIFS(tblBudget[Ore_Mined_t],tblBudget[Month],"&lt;"&amp;$E164)+$HJ164</f>
        <v/>
      </c>
      <c r="HL164" s="55">
        <f>SUMIFS(tblBudget[Ore_oz],tblBudget[Month],$E164)</f>
        <v/>
      </c>
      <c r="HM164" s="55">
        <f>$HL164*$C164/$D164</f>
        <v/>
      </c>
      <c r="HN164" s="55">
        <f>SUMIFS(tblBudget[Ore_oz],tblBudget[Month],"&lt;"&amp;$E164)+$HM164</f>
        <v/>
      </c>
      <c r="HO164" s="56">
        <f>IFERROR(IF(($HI164)&gt;0,($HL164*cfg_TroyOz)/($HI164),""),"")</f>
        <v/>
      </c>
      <c r="HP164" s="56">
        <f>IFERROR(IF(($HJ164)&gt;0,($HM164*cfg_TroyOz)/($HJ164),""),"")</f>
        <v/>
      </c>
      <c r="HQ164" s="56">
        <f>IFERROR(IF(($HK164)&gt;0,($HN164*cfg_TroyOz)/($HK164),""),"")</f>
        <v/>
      </c>
      <c r="HR164" s="55">
        <f>SUMIFS(tblBudget[Waste_t],tblBudget[Month],$E164)</f>
        <v/>
      </c>
      <c r="HS164" s="55">
        <f>$HR164*$C164/$D164</f>
        <v/>
      </c>
      <c r="HT164" s="55">
        <f>SUMIFS(tblBudget[Waste_t],tblBudget[Month],"&lt;"&amp;$E164)+$HS164</f>
        <v/>
      </c>
      <c r="HU164" s="55">
        <f>SUMIFS(tblBudget[TMM_t],tblBudget[Month],$E164)</f>
        <v/>
      </c>
      <c r="HV164" s="55">
        <f>$HU164*$C164/$D164</f>
        <v/>
      </c>
      <c r="HW164" s="55">
        <f>SUMIFS(tblBudget[TMM_t],tblBudget[Month],"&lt;"&amp;$E164)+$HV164</f>
        <v/>
      </c>
      <c r="HX164" s="56">
        <f>IFERROR(IF(($HI164)&gt;0,($HR164)/($HI164),""),"")</f>
        <v/>
      </c>
      <c r="HY164" s="56">
        <f>IFERROR(IF(($HJ164)&gt;0,($HS164)/($HJ164),""),"")</f>
        <v/>
      </c>
      <c r="HZ164" s="56">
        <f>IFERROR(IF(($HK164)&gt;0,($HT164)/($HK164),""),"")</f>
        <v/>
      </c>
      <c r="IA164" s="55">
        <f>SUMIFS(tblBudget[Drill_m],tblBudget[Month],$E164)</f>
        <v/>
      </c>
      <c r="IB164" s="55">
        <f>$IA164*$C164/$D164</f>
        <v/>
      </c>
      <c r="IC164" s="55">
        <f>SUMIFS(tblBudget[Drill_m],tblBudget[Month],"&lt;"&amp;$E164)+$IB164</f>
        <v/>
      </c>
      <c r="ID164" s="55">
        <f>SUMIFS(tblBudget[Diesel_L],tblBudget[Month],$E164)</f>
        <v/>
      </c>
      <c r="IE164" s="55">
        <f>$ID164*$C164/$D164</f>
        <v/>
      </c>
      <c r="IF164" s="55">
        <f>SUMIFS(tblBudget[Diesel_L],tblBudget[Month],"&lt;"&amp;$E164)+$IE164</f>
        <v/>
      </c>
      <c r="IG164" s="55">
        <f>SUMIFS(tblBudget[Milled_t],tblBudget[Month],$E164)</f>
        <v/>
      </c>
      <c r="IH164" s="55">
        <f>$IG164*$C164/$D164</f>
        <v/>
      </c>
      <c r="II164" s="55">
        <f>SUMIFS(tblBudget[Milled_t],tblBudget[Month],"&lt;"&amp;$E164)+$IH164</f>
        <v/>
      </c>
      <c r="IJ164" s="55">
        <f>SUMIFS(tblBudget[Feed_oz],tblBudget[Month],$E164)</f>
        <v/>
      </c>
      <c r="IK164" s="55">
        <f>$IJ164*$C164/$D164</f>
        <v/>
      </c>
      <c r="IL164" s="55">
        <f>SUMIFS(tblBudget[Feed_oz],tblBudget[Month],"&lt;"&amp;$E164)+$IK164</f>
        <v/>
      </c>
      <c r="IM164" s="55">
        <f>SUMIFS(tblBudget[Recovered_oz],tblBudget[Month],$E164)</f>
        <v/>
      </c>
      <c r="IN164" s="55">
        <f>$IM164*$C164/$D164</f>
        <v/>
      </c>
      <c r="IO164" s="55">
        <f>SUMIFS(tblBudget[Recovered_oz],tblBudget[Month],"&lt;"&amp;$E164)+$IN164</f>
        <v/>
      </c>
      <c r="IP164" s="56">
        <f>IFERROR(IF(($IG164)&gt;0,($IJ164*cfg_TroyOz)/($IG164),""),"")</f>
        <v/>
      </c>
      <c r="IQ164" s="56">
        <f>IFERROR(IF(($IH164)&gt;0,($IK164*cfg_TroyOz)/($IH164),""),"")</f>
        <v/>
      </c>
      <c r="IR164" s="56">
        <f>IFERROR(IF(($II164)&gt;0,($IL164*cfg_TroyOz)/($II164),""),"")</f>
        <v/>
      </c>
      <c r="IS164" s="67">
        <f>IFERROR(IF(($IJ164)&gt;0,($IM164)/($IJ164),""),"")</f>
        <v/>
      </c>
      <c r="IT164" s="67">
        <f>IFERROR(IF(($IK164)&gt;0,($IN164)/($IK164),""),"")</f>
        <v/>
      </c>
      <c r="IU164" s="67">
        <f>IFERROR(IF(($IL164)&gt;0,($IO164)/($IL164),""),"")</f>
        <v/>
      </c>
      <c r="IV164" s="55">
        <f>SUMIFS(tblBudget[Gold_Poured_oz],tblBudget[Month],$E164)</f>
        <v/>
      </c>
      <c r="IW164" s="55">
        <f>$IV164*$C164/$D164</f>
        <v/>
      </c>
      <c r="IX164" s="55">
        <f>SUMIFS(tblBudget[Gold_Poured_oz],tblBudget[Month],"&lt;"&amp;$E164)+$IW164</f>
        <v/>
      </c>
      <c r="IY164" s="57">
        <f>SUMIFS(tblBudget[Hours_Worked],tblBudget[Month],$E164)</f>
        <v/>
      </c>
      <c r="IZ164" s="57">
        <f>$IY164*$C164/$D164</f>
        <v/>
      </c>
      <c r="JA164" s="57">
        <f>SUMIFS(tblBudget[Hours_Worked],tblBudget[Month],"&lt;"&amp;$E164)+$IZ164</f>
        <v/>
      </c>
    </row>
    <row r="165">
      <c r="A165" s="54" t="n">
        <v>46186</v>
      </c>
      <c r="B165">
        <f>MONTH($A165)</f>
        <v/>
      </c>
      <c r="C165">
        <f>DAY($A165)</f>
        <v/>
      </c>
      <c r="D165">
        <f>DAY(EOMONTH($A165,0))</f>
        <v/>
      </c>
      <c r="E165" s="54">
        <f>DATE(YEAR($A165),MONTH($A165),1)</f>
        <v/>
      </c>
      <c r="F165" s="55">
        <f>SUMIFS(tblMovement[Tonnes_t],tblMovement[Date],$A165,tblMovement[Is_Ore],1,tblMovement[Source_Type],"Pit")</f>
        <v/>
      </c>
      <c r="G165" s="55">
        <f>IF($B165=$B164,$G164,0)+$F165</f>
        <v/>
      </c>
      <c r="H165" s="55">
        <f>$H164+$F165</f>
        <v/>
      </c>
      <c r="I165" s="55">
        <f>SUMIFS(tblMovement[Ore_oz],tblMovement[Date],$A165,tblMovement[Source_Type],"Pit")</f>
        <v/>
      </c>
      <c r="J165" s="55">
        <f>IF($B165=$B164,$J164,0)+$I165</f>
        <v/>
      </c>
      <c r="K165" s="55">
        <f>$K164+$I165</f>
        <v/>
      </c>
      <c r="L165" s="56">
        <f>IFERROR(IF(($F165)&gt;0,($I165*cfg_TroyOz)/($F165),""),"")</f>
        <v/>
      </c>
      <c r="M165" s="56">
        <f>IFERROR(IF(($G165)&gt;0,($J165*cfg_TroyOz)/($G165),""),"")</f>
        <v/>
      </c>
      <c r="N165" s="56">
        <f>IFERROR(IF(($H165)&gt;0,($K165*cfg_TroyOz)/($H165),""),"")</f>
        <v/>
      </c>
      <c r="O165" s="55">
        <f>SUMIFS(tblMovement[Tonnes_t],tblMovement[Date],$A165,tblMovement[Is_Ore],0,tblMovement[Source_Type],"Pit")</f>
        <v/>
      </c>
      <c r="P165" s="55">
        <f>IF($B165=$B164,$P164,0)+$O165</f>
        <v/>
      </c>
      <c r="Q165" s="55">
        <f>$Q164+$O165</f>
        <v/>
      </c>
      <c r="R165" s="55">
        <f>$F165+$O165</f>
        <v/>
      </c>
      <c r="S165" s="55">
        <f>IF($B165=$B164,$S164,0)+$R165</f>
        <v/>
      </c>
      <c r="T165" s="55">
        <f>$T164+$R165</f>
        <v/>
      </c>
      <c r="U165" s="56">
        <f>IFERROR(IF(($F165)&gt;0,($O165)/($F165),""),"")</f>
        <v/>
      </c>
      <c r="V165" s="56">
        <f>IFERROR(IF(($G165)&gt;0,($P165)/($G165),""),"")</f>
        <v/>
      </c>
      <c r="W165" s="56">
        <f>IFERROR(IF(($H165)&gt;0,($Q165)/($H165),""),"")</f>
        <v/>
      </c>
      <c r="X165" s="55">
        <f>SUMIFS(tblMovement[Tonnes_t],tblMovement[Date],$A165,tblMovement[Source_Type],"Stockpile")</f>
        <v/>
      </c>
      <c r="Y165" s="55">
        <f>IF($B165=$B164,$Y164,0)+$X165</f>
        <v/>
      </c>
      <c r="Z165" s="55">
        <f>$Z164+$X165</f>
        <v/>
      </c>
      <c r="AA165" s="55">
        <f>SUMIFS(tblMiningDaily[Drill_m],tblMiningDaily[Date],$A165)</f>
        <v/>
      </c>
      <c r="AB165" s="55">
        <f>IF($B165=$B164,$AB164,0)+$AA165</f>
        <v/>
      </c>
      <c r="AC165" s="55">
        <f>$AC164+$AA165</f>
        <v/>
      </c>
      <c r="AD165" s="55">
        <f>SUMIFS(tblMiningDaily[Blast_t],tblMiningDaily[Date],$A165)</f>
        <v/>
      </c>
      <c r="AE165" s="55">
        <f>IF($B165=$B164,$AE164,0)+$AD165</f>
        <v/>
      </c>
      <c r="AF165" s="55">
        <f>$AF164+$AD165</f>
        <v/>
      </c>
      <c r="AG165" s="55">
        <f>SUMIFS(tblMiningDaily[Explosives_kg],tblMiningDaily[Date],$A165)</f>
        <v/>
      </c>
      <c r="AH165" s="55">
        <f>IF($B165=$B164,$AH164,0)+$AG165</f>
        <v/>
      </c>
      <c r="AI165" s="55">
        <f>$AI164+$AG165</f>
        <v/>
      </c>
      <c r="AJ165" s="56">
        <f>IFERROR(IF(($AD165)&gt;0,($AG165)/($AD165),""),"")</f>
        <v/>
      </c>
      <c r="AK165" s="56">
        <f>IFERROR(IF(($AE165)&gt;0,($AH165)/($AE165),""),"")</f>
        <v/>
      </c>
      <c r="AL165" s="56">
        <f>IFERROR(IF(($AF165)&gt;0,($AI165)/($AF165),""),"")</f>
        <v/>
      </c>
      <c r="AM165" s="55">
        <f>SUMIFS(tblMiningDaily[Diesel_L],tblMiningDaily[Date],$A165)</f>
        <v/>
      </c>
      <c r="AN165" s="55">
        <f>IF($B165=$B164,$AN164,0)+$AM165</f>
        <v/>
      </c>
      <c r="AO165" s="55">
        <f>$AO164+$AM165</f>
        <v/>
      </c>
      <c r="AP165" s="55">
        <f>SUMIFS(tblMiningDaily[Dewatering_m3],tblMiningDaily[Date],$A165)</f>
        <v/>
      </c>
      <c r="AQ165" s="55">
        <f>IF($B165=$B164,$AQ164,0)+$AP165</f>
        <v/>
      </c>
      <c r="AR165" s="55">
        <f>$AR164+$AP165</f>
        <v/>
      </c>
      <c r="AS165" s="57">
        <f>SUMIFS(tblFleet[Calendar_h],tblFleet[Date],$A165,tblFleet[Equipment_Class],"Excavator")</f>
        <v/>
      </c>
      <c r="AT165" s="57">
        <f>IF($B165=$B164,$AT164,0)+$AS165</f>
        <v/>
      </c>
      <c r="AU165" s="57">
        <f>$AU164+$AS165</f>
        <v/>
      </c>
      <c r="AV165" s="57">
        <f>SUMIFS(tblFleet[Available_h],tblFleet[Date],$A165,tblFleet[Equipment_Class],"Excavator")</f>
        <v/>
      </c>
      <c r="AW165" s="57">
        <f>IF($B165=$B164,$AW164,0)+$AV165</f>
        <v/>
      </c>
      <c r="AX165" s="57">
        <f>$AX164+$AV165</f>
        <v/>
      </c>
      <c r="AY165" s="57">
        <f>SUMIFS(tblFleet[Operating_h],tblFleet[Date],$A165,tblFleet[Equipment_Class],"Excavator")</f>
        <v/>
      </c>
      <c r="AZ165" s="57">
        <f>IF($B165=$B164,$AZ164,0)+$AY165</f>
        <v/>
      </c>
      <c r="BA165" s="57">
        <f>$BA164+$AY165</f>
        <v/>
      </c>
      <c r="BB165" s="67">
        <f>IFERROR(IF(($AS165)&gt;0,($AV165)/($AS165),""),"")</f>
        <v/>
      </c>
      <c r="BC165" s="67">
        <f>IFERROR(IF(($AT165)&gt;0,($AW165)/($AT165),""),"")</f>
        <v/>
      </c>
      <c r="BD165" s="67">
        <f>IFERROR(IF(($AU165)&gt;0,($AX165)/($AU165),""),"")</f>
        <v/>
      </c>
      <c r="BE165" s="67">
        <f>IFERROR(IF(($AV165)&gt;0,($AY165)/($AV165),""),"")</f>
        <v/>
      </c>
      <c r="BF165" s="67">
        <f>IFERROR(IF(($AW165)&gt;0,($AZ165)/($AW165),""),"")</f>
        <v/>
      </c>
      <c r="BG165" s="67">
        <f>IFERROR(IF(($AX165)&gt;0,($BA165)/($AX165),""),"")</f>
        <v/>
      </c>
      <c r="BH165" s="57">
        <f>SUMIFS(tblFleet[Calendar_h],tblFleet[Date],$A165,tblFleet[Equipment_Class],"Haul Truck")</f>
        <v/>
      </c>
      <c r="BI165" s="57">
        <f>IF($B165=$B164,$BI164,0)+$BH165</f>
        <v/>
      </c>
      <c r="BJ165" s="57">
        <f>$BJ164+$BH165</f>
        <v/>
      </c>
      <c r="BK165" s="57">
        <f>SUMIFS(tblFleet[Available_h],tblFleet[Date],$A165,tblFleet[Equipment_Class],"Haul Truck")</f>
        <v/>
      </c>
      <c r="BL165" s="57">
        <f>IF($B165=$B164,$BL164,0)+$BK165</f>
        <v/>
      </c>
      <c r="BM165" s="57">
        <f>$BM164+$BK165</f>
        <v/>
      </c>
      <c r="BN165" s="57">
        <f>SUMIFS(tblFleet[Operating_h],tblFleet[Date],$A165,tblFleet[Equipment_Class],"Haul Truck")</f>
        <v/>
      </c>
      <c r="BO165" s="57">
        <f>IF($B165=$B164,$BO164,0)+$BN165</f>
        <v/>
      </c>
      <c r="BP165" s="57">
        <f>$BP164+$BN165</f>
        <v/>
      </c>
      <c r="BQ165" s="67">
        <f>IFERROR(IF(($BH165)&gt;0,($BK165)/($BH165),""),"")</f>
        <v/>
      </c>
      <c r="BR165" s="67">
        <f>IFERROR(IF(($BI165)&gt;0,($BL165)/($BI165),""),"")</f>
        <v/>
      </c>
      <c r="BS165" s="67">
        <f>IFERROR(IF(($BJ165)&gt;0,($BM165)/($BJ165),""),"")</f>
        <v/>
      </c>
      <c r="BT165" s="67">
        <f>IFERROR(IF(($BK165)&gt;0,($BN165)/($BK165),""),"")</f>
        <v/>
      </c>
      <c r="BU165" s="67">
        <f>IFERROR(IF(($BL165)&gt;0,($BO165)/($BL165),""),"")</f>
        <v/>
      </c>
      <c r="BV165" s="67">
        <f>IFERROR(IF(($BM165)&gt;0,($BP165)/($BM165),""),"")</f>
        <v/>
      </c>
      <c r="BW165" s="55">
        <f>SUMIFS(tblPlant[Crushed_t],tblPlant[Date],$A165)</f>
        <v/>
      </c>
      <c r="BX165" s="55">
        <f>IF($B165=$B164,$BX164,0)+$BW165</f>
        <v/>
      </c>
      <c r="BY165" s="55">
        <f>$BY164+$BW165</f>
        <v/>
      </c>
      <c r="BZ165" s="55">
        <f>SUMIFS(tblPlant[Milled_t],tblPlant[Date],$A165)</f>
        <v/>
      </c>
      <c r="CA165" s="55">
        <f>IF($B165=$B164,$CA164,0)+$BZ165</f>
        <v/>
      </c>
      <c r="CB165" s="55">
        <f>$CB164+$BZ165</f>
        <v/>
      </c>
      <c r="CC165" s="55">
        <f>SUMIFS(tblPlant[Feed_oz],tblPlant[Date],$A165)</f>
        <v/>
      </c>
      <c r="CD165" s="55">
        <f>IF($B165=$B164,$CD164,0)+$CC165</f>
        <v/>
      </c>
      <c r="CE165" s="55">
        <f>$CE164+$CC165</f>
        <v/>
      </c>
      <c r="CF165" s="55">
        <f>SUMIFS(tblPlant[Tails_oz],tblPlant[Date],$A165)</f>
        <v/>
      </c>
      <c r="CG165" s="55">
        <f>IF($B165=$B164,$CG164,0)+$CF165</f>
        <v/>
      </c>
      <c r="CH165" s="55">
        <f>$CH164+$CF165</f>
        <v/>
      </c>
      <c r="CI165" s="55">
        <f>SUMIFS(tblPlant[Recovered_oz],tblPlant[Date],$A165)</f>
        <v/>
      </c>
      <c r="CJ165" s="55">
        <f>IF($B165=$B164,$CJ164,0)+$CI165</f>
        <v/>
      </c>
      <c r="CK165" s="55">
        <f>$CK164+$CI165</f>
        <v/>
      </c>
      <c r="CL165" s="56">
        <f>IFERROR(IF(($BZ165)&gt;0,($CC165*cfg_TroyOz)/($BZ165),""),"")</f>
        <v/>
      </c>
      <c r="CM165" s="56">
        <f>IFERROR(IF(($CA165)&gt;0,($CD165*cfg_TroyOz)/($CA165),""),"")</f>
        <v/>
      </c>
      <c r="CN165" s="56">
        <f>IFERROR(IF(($CB165)&gt;0,($CE165*cfg_TroyOz)/($CB165),""),"")</f>
        <v/>
      </c>
      <c r="CO165" s="56">
        <f>IFERROR(IF(($BZ165)&gt;0,($CF165*cfg_TroyOz)/($BZ165),""),"")</f>
        <v/>
      </c>
      <c r="CP165" s="56">
        <f>IFERROR(IF(($CA165)&gt;0,($CG165*cfg_TroyOz)/($CA165),""),"")</f>
        <v/>
      </c>
      <c r="CQ165" s="56">
        <f>IFERROR(IF(($CB165)&gt;0,($CH165*cfg_TroyOz)/($CB165),""),"")</f>
        <v/>
      </c>
      <c r="CR165" s="67">
        <f>IFERROR(IF(($CC165)&gt;0,($CI165)/($CC165),""),"")</f>
        <v/>
      </c>
      <c r="CS165" s="67">
        <f>IFERROR(IF(($CD165)&gt;0,($CJ165)/($CD165),""),"")</f>
        <v/>
      </c>
      <c r="CT165" s="67">
        <f>IFERROR(IF(($CE165)&gt;0,($CK165)/($CE165),""),"")</f>
        <v/>
      </c>
      <c r="CU165" s="55">
        <f>SUMIFS(tblPlant[Gravity_Gold_oz],tblPlant[Date],$A165)</f>
        <v/>
      </c>
      <c r="CV165" s="55">
        <f>IF($B165=$B164,$CV164,0)+$CU165</f>
        <v/>
      </c>
      <c r="CW165" s="55">
        <f>$CW164+$CU165</f>
        <v/>
      </c>
      <c r="CX165" s="55">
        <f>SUMIFS(tblPlant[Gold_Poured_oz],tblPlant[Date],$A165)</f>
        <v/>
      </c>
      <c r="CY165" s="55">
        <f>IF($B165=$B164,$CY164,0)+$CX165</f>
        <v/>
      </c>
      <c r="CZ165" s="55">
        <f>$CZ164+$CX165</f>
        <v/>
      </c>
      <c r="DA165" s="57">
        <f>SUMIFS(tblPlant[Mill_Run_h],tblPlant[Date],$A165)</f>
        <v/>
      </c>
      <c r="DB165" s="57">
        <f>IF($B165=$B164,$DB164,0)+$DA165</f>
        <v/>
      </c>
      <c r="DC165" s="57">
        <f>$DC164+$DA165</f>
        <v/>
      </c>
      <c r="DD165" s="57">
        <f>SUMIFS(tblPlant[Mill_Planned_Maint_h],tblPlant[Date],$A165)</f>
        <v/>
      </c>
      <c r="DE165" s="57">
        <f>IF($B165=$B164,$DE164,0)+$DD165</f>
        <v/>
      </c>
      <c r="DF165" s="57">
        <f>$DF164+$DD165</f>
        <v/>
      </c>
      <c r="DG165" s="57">
        <f>SUMIFS(tblPlant[Mill_Unplanned_Down_h],tblPlant[Date],$A165)</f>
        <v/>
      </c>
      <c r="DH165" s="57">
        <f>IF($B165=$B164,$DH164,0)+$DG165</f>
        <v/>
      </c>
      <c r="DI165" s="57">
        <f>$DI164+$DG165</f>
        <v/>
      </c>
      <c r="DJ165" s="57">
        <f>COUNTIFS(tblPlant[Date],$A165,tblPlant[Mill_Run_h],"&lt;&gt;")*24</f>
        <v/>
      </c>
      <c r="DK165" s="57">
        <f>IF($B165=$B164,$DK164,0)+$DJ165</f>
        <v/>
      </c>
      <c r="DL165" s="57">
        <f>$DL164+$DJ165</f>
        <v/>
      </c>
      <c r="DM165" s="57">
        <f>SUMIFS(tblPlant[Crusher_Run_h],tblPlant[Date],$A165)</f>
        <v/>
      </c>
      <c r="DN165" s="57">
        <f>IF($B165=$B164,$DN164,0)+$DM165</f>
        <v/>
      </c>
      <c r="DO165" s="57">
        <f>$DO164+$DM165</f>
        <v/>
      </c>
      <c r="DP165" s="55">
        <f>IFERROR(IF(($DA165)&gt;0,($BZ165)/($DA165),""),"")</f>
        <v/>
      </c>
      <c r="DQ165" s="55">
        <f>IFERROR(IF(($DB165)&gt;0,($CA165)/($DB165),""),"")</f>
        <v/>
      </c>
      <c r="DR165" s="55">
        <f>IFERROR(IF(($DC165)&gt;0,($CB165)/($DC165),""),"")</f>
        <v/>
      </c>
      <c r="DS165" s="67">
        <f>IFERROR(IF(($DJ165)&gt;0,($DJ165-$DD165-$DG165)/($DJ165),""),"")</f>
        <v/>
      </c>
      <c r="DT165" s="67">
        <f>IFERROR(IF(($DK165)&gt;0,($DK165-$DE165-$DH165)/($DK165),""),"")</f>
        <v/>
      </c>
      <c r="DU165" s="67">
        <f>IFERROR(IF(($DL165)&gt;0,($DL165-$DF165-$DI165)/($DL165),""),"")</f>
        <v/>
      </c>
      <c r="DV165" s="67">
        <f>IFERROR(IF(($DJ165-$DD165-$DG165)&gt;0,($DA165)/($DJ165-$DD165-$DG165),""),"")</f>
        <v/>
      </c>
      <c r="DW165" s="67">
        <f>IFERROR(IF(($DK165-$DE165-$DH165)&gt;0,($DB165)/($DK165-$DE165-$DH165),""),"")</f>
        <v/>
      </c>
      <c r="DX165" s="67">
        <f>IFERROR(IF(($DL165-$DF165-$DI165)&gt;0,($DC165)/($DL165-$DF165-$DI165),""),"")</f>
        <v/>
      </c>
      <c r="DY165" s="55">
        <f>SUMIFS(tblPlant[Cyanide_kg],tblPlant[Date],$A165)</f>
        <v/>
      </c>
      <c r="DZ165" s="55">
        <f>IF($B165=$B164,$DZ164,0)+$DY165</f>
        <v/>
      </c>
      <c r="EA165" s="55">
        <f>$EA164+$DY165</f>
        <v/>
      </c>
      <c r="EB165" s="55">
        <f>SUMIFS(tblPlant[Lime_kg],tblPlant[Date],$A165)</f>
        <v/>
      </c>
      <c r="EC165" s="55">
        <f>IF($B165=$B164,$EC164,0)+$EB165</f>
        <v/>
      </c>
      <c r="ED165" s="55">
        <f>$ED164+$EB165</f>
        <v/>
      </c>
      <c r="EE165" s="55">
        <f>SUMIFS(tblPlant[Grinding_Media_kg],tblPlant[Date],$A165)</f>
        <v/>
      </c>
      <c r="EF165" s="55">
        <f>IF($B165=$B164,$EF164,0)+$EE165</f>
        <v/>
      </c>
      <c r="EG165" s="55">
        <f>$EG164+$EE165</f>
        <v/>
      </c>
      <c r="EH165" s="55">
        <f>SUMIFS(tblPlant[Power_kWh],tblPlant[Date],$A165)</f>
        <v/>
      </c>
      <c r="EI165" s="55">
        <f>IF($B165=$B164,$EI164,0)+$EH165</f>
        <v/>
      </c>
      <c r="EJ165" s="55">
        <f>$EJ164+$EH165</f>
        <v/>
      </c>
      <c r="EK165" s="55">
        <f>SUMIFS(tblPlant[Raw_Water_m3],tblPlant[Date],$A165)</f>
        <v/>
      </c>
      <c r="EL165" s="55">
        <f>IF($B165=$B164,$EL164,0)+$EK165</f>
        <v/>
      </c>
      <c r="EM165" s="55">
        <f>$EM164+$EK165</f>
        <v/>
      </c>
      <c r="EN165" s="56">
        <f>IFERROR(IF(($BZ165)&gt;0,($DY165)/($BZ165),""),"")</f>
        <v/>
      </c>
      <c r="EO165" s="56">
        <f>IFERROR(IF(($CA165)&gt;0,($DZ165)/($CA165),""),"")</f>
        <v/>
      </c>
      <c r="EP165" s="56">
        <f>IFERROR(IF(($CB165)&gt;0,($EA165)/($CB165),""),"")</f>
        <v/>
      </c>
      <c r="EQ165" s="56">
        <f>IFERROR(IF(($BZ165)&gt;0,($EB165)/($BZ165),""),"")</f>
        <v/>
      </c>
      <c r="ER165" s="56">
        <f>IFERROR(IF(($CA165)&gt;0,($EC165)/($CA165),""),"")</f>
        <v/>
      </c>
      <c r="ES165" s="56">
        <f>IFERROR(IF(($CB165)&gt;0,($ED165)/($CB165),""),"")</f>
        <v/>
      </c>
      <c r="ET165" s="56">
        <f>IFERROR(IF(($BZ165)&gt;0,($EE165)/($BZ165),""),"")</f>
        <v/>
      </c>
      <c r="EU165" s="56">
        <f>IFERROR(IF(($CA165)&gt;0,($EF165)/($CA165),""),"")</f>
        <v/>
      </c>
      <c r="EV165" s="56">
        <f>IFERROR(IF(($CB165)&gt;0,($EG165)/($CB165),""),"")</f>
        <v/>
      </c>
      <c r="EW165" s="76">
        <f>IFERROR(IF(($BZ165)&gt;0,($EH165)/($BZ165),""),"")</f>
        <v/>
      </c>
      <c r="EX165" s="76">
        <f>IFERROR(IF(($CA165)&gt;0,($EI165)/($CA165),""),"")</f>
        <v/>
      </c>
      <c r="EY165" s="76">
        <f>IFERROR(IF(($CB165)&gt;0,($EJ165)/($CB165),""),"")</f>
        <v/>
      </c>
      <c r="EZ165" s="56">
        <f>IFERROR(IF(($BZ165)&gt;0,($EK165)/($BZ165),""),"")</f>
        <v/>
      </c>
      <c r="FA165" s="56">
        <f>IFERROR(IF(($CA165)&gt;0,($EL165)/($CA165),""),"")</f>
        <v/>
      </c>
      <c r="FB165" s="56">
        <f>IFERROR(IF(($CB165)&gt;0,($EM165)/($CB165),""),"")</f>
        <v/>
      </c>
      <c r="FC165" s="55">
        <f>IF(SUMIFS(tblPlant[GIC_oz],tblPlant[Date],$A165)&gt;0,SUMIFS(tblPlant[GIC_oz],tblPlant[Date],$A165),"")</f>
        <v/>
      </c>
      <c r="FD165" s="55">
        <f>SUMIFS(tblGold[Gold_oz],tblGold[Date],$A165,tblGold[Type],"Shipment")</f>
        <v/>
      </c>
      <c r="FE165" s="55">
        <f>IF($B165=$B164,$FE164,0)+$FD165</f>
        <v/>
      </c>
      <c r="FF165" s="55">
        <f>$FF164+$FD165</f>
        <v/>
      </c>
      <c r="FG165" s="55">
        <f>SUMIFS(tblGold[Gold_oz],tblGold[Date],$A165,tblGold[Type],"Sale")</f>
        <v/>
      </c>
      <c r="FH165" s="55">
        <f>IF($B165=$B164,$FH164,0)+$FG165</f>
        <v/>
      </c>
      <c r="FI165" s="55">
        <f>$FI164+$FG165</f>
        <v/>
      </c>
      <c r="FJ165" s="55">
        <f>SUMIFS(tblGold[Dore_kg],tblGold[Date],$A165,tblGold[Type],"Shipment")</f>
        <v/>
      </c>
      <c r="FK165" s="55">
        <f>IF($B165=$B164,$FK164,0)+$FJ165</f>
        <v/>
      </c>
      <c r="FL165" s="55">
        <f>$FL164+$FJ165</f>
        <v/>
      </c>
      <c r="FM165" s="57">
        <f>SUMIFS(tblSafety[Hours_Total],tblSafety[Date],$A165)</f>
        <v/>
      </c>
      <c r="FN165" s="57">
        <f>IF($B165=$B164,$FN164,0)+$FM165</f>
        <v/>
      </c>
      <c r="FO165" s="57">
        <f>$FO164+$FM165</f>
        <v/>
      </c>
      <c r="FP165" s="62">
        <f>SUMIFS(tblSafety[Fatality],tblSafety[Date],$A165)</f>
        <v/>
      </c>
      <c r="FQ165" s="62">
        <f>IF($B165=$B164,$FQ164,0)+$FP165</f>
        <v/>
      </c>
      <c r="FR165" s="62">
        <f>$FR164+$FP165</f>
        <v/>
      </c>
      <c r="FS165" s="62">
        <f>SUMIFS(tblSafety[LTI],tblSafety[Date],$A165)</f>
        <v/>
      </c>
      <c r="FT165" s="62">
        <f>IF($B165=$B164,$FT164,0)+$FS165</f>
        <v/>
      </c>
      <c r="FU165" s="62">
        <f>$FU164+$FS165</f>
        <v/>
      </c>
      <c r="FV165" s="62">
        <f>SUMIFS(tblSafety[RWI],tblSafety[Date],$A165)</f>
        <v/>
      </c>
      <c r="FW165" s="62">
        <f>IF($B165=$B164,$FW164,0)+$FV165</f>
        <v/>
      </c>
      <c r="FX165" s="62">
        <f>$FX164+$FV165</f>
        <v/>
      </c>
      <c r="FY165" s="62">
        <f>SUMIFS(tblSafety[MTI],tblSafety[Date],$A165)</f>
        <v/>
      </c>
      <c r="FZ165" s="62">
        <f>IF($B165=$B164,$FZ164,0)+$FY165</f>
        <v/>
      </c>
      <c r="GA165" s="62">
        <f>$GA164+$FY165</f>
        <v/>
      </c>
      <c r="GB165" s="62">
        <f>SUMIFS(tblSafety[FAI],tblSafety[Date],$A165)</f>
        <v/>
      </c>
      <c r="GC165" s="62">
        <f>IF($B165=$B164,$GC164,0)+$GB165</f>
        <v/>
      </c>
      <c r="GD165" s="62">
        <f>$GD164+$GB165</f>
        <v/>
      </c>
      <c r="GE165" s="62">
        <f>SUMIFS(tblSafety[Recordables],tblSafety[Date],$A165)</f>
        <v/>
      </c>
      <c r="GF165" s="62">
        <f>IF($B165=$B164,$GF164,0)+$GE165</f>
        <v/>
      </c>
      <c r="GG165" s="62">
        <f>$GG164+$GE165</f>
        <v/>
      </c>
      <c r="GH165" s="62">
        <f>SUMIFS(tblSafety[Near_Miss],tblSafety[Date],$A165)</f>
        <v/>
      </c>
      <c r="GI165" s="62">
        <f>IF($B165=$B164,$GI164,0)+$GH165</f>
        <v/>
      </c>
      <c r="GJ165" s="62">
        <f>$GJ164+$GH165</f>
        <v/>
      </c>
      <c r="GK165" s="62">
        <f>SUMIFS(tblSafety[Hazard_Reports],tblSafety[Date],$A165)</f>
        <v/>
      </c>
      <c r="GL165" s="62">
        <f>IF($B165=$B164,$GL164,0)+$GK165</f>
        <v/>
      </c>
      <c r="GM165" s="62">
        <f>$GM164+$GK165</f>
        <v/>
      </c>
      <c r="GN165" s="62">
        <f>SUMIFS(tblSafety[HPI],tblSafety[Date],$A165)</f>
        <v/>
      </c>
      <c r="GO165" s="62">
        <f>IF($B165=$B164,$GO164,0)+$GN165</f>
        <v/>
      </c>
      <c r="GP165" s="62">
        <f>$GP164+$GN165</f>
        <v/>
      </c>
      <c r="GQ165" s="62">
        <f>SUMIFS(tblSafety[Env_Incidents],tblSafety[Date],$A165)</f>
        <v/>
      </c>
      <c r="GR165" s="62">
        <f>IF($B165=$B164,$GR164,0)+$GQ165</f>
        <v/>
      </c>
      <c r="GS165" s="62">
        <f>$GS164+$GQ165</f>
        <v/>
      </c>
      <c r="GT165" s="62">
        <f>SUMIFS(tblSafety[Community_Incidents],tblSafety[Date],$A165)</f>
        <v/>
      </c>
      <c r="GU165" s="62">
        <f>IF($B165=$B164,$GU164,0)+$GT165</f>
        <v/>
      </c>
      <c r="GV165" s="62">
        <f>$GV164+$GT165</f>
        <v/>
      </c>
      <c r="GW165" s="62">
        <f>SUMIFS(tblSafety[Vehicle_Incidents],tblSafety[Date],$A165)</f>
        <v/>
      </c>
      <c r="GX165" s="62">
        <f>IF($B165=$B164,$GX164,0)+$GW165</f>
        <v/>
      </c>
      <c r="GY165" s="62">
        <f>$GY164+$GW165</f>
        <v/>
      </c>
      <c r="GZ165" s="62">
        <f>SUMIFS(tblSafety[Toolbox_Talks],tblSafety[Date],$A165)</f>
        <v/>
      </c>
      <c r="HA165" s="62">
        <f>IF($B165=$B164,$HA164,0)+$GZ165</f>
        <v/>
      </c>
      <c r="HB165" s="62">
        <f>$HB164+$GZ165</f>
        <v/>
      </c>
      <c r="HC165" s="62">
        <f>SUMIFS(tblSafety[Inspections],tblSafety[Date],$A165)</f>
        <v/>
      </c>
      <c r="HD165" s="62">
        <f>IF($B165=$B164,$HD164,0)+$HC165</f>
        <v/>
      </c>
      <c r="HE165" s="62">
        <f>$HE164+$HC165</f>
        <v/>
      </c>
      <c r="HF165" s="56">
        <f>IFERROR((SUMIFS(tblSafety[Recordables],tblSafety[Date],"&gt;="&amp;EDATE($E165,-12),tblSafety[Date],"&lt;="&amp;$A165)+SUMIFS(tblSafetyHistory[Recordables],tblSafetyHistory[Month],"&gt;="&amp;EDATE($E165,-12),tblSafetyHistory[Month],"&lt;"&amp;cfg_YearStart))/(SUMIFS(tblSafety[Hours_Total],tblSafety[Date],"&gt;="&amp;EDATE($E165,-12),tblSafety[Date],"&lt;="&amp;$A165)+SUMIFS(tblSafetyHistory[Hours_Total],tblSafetyHistory[Month],"&gt;="&amp;EDATE($E165,-12),tblSafetyHistory[Month],"&lt;"&amp;cfg_YearStart))*1000000,"")</f>
        <v/>
      </c>
      <c r="HG165" s="56">
        <f>IFERROR((SUMIFS(tblSafety[LTI],tblSafety[Date],"&gt;="&amp;EDATE($E165,-12),tblSafety[Date],"&lt;="&amp;$A165)+SUMIFS(tblSafetyHistory[LTI],tblSafetyHistory[Month],"&gt;="&amp;EDATE($E165,-12),tblSafetyHistory[Month],"&lt;"&amp;cfg_YearStart))/(SUMIFS(tblSafety[Hours_Total],tblSafety[Date],"&gt;="&amp;EDATE($E165,-12),tblSafety[Date],"&lt;="&amp;$A165)+SUMIFS(tblSafetyHistory[Hours_Total],tblSafetyHistory[Month],"&gt;="&amp;EDATE($E165,-12),tblSafetyHistory[Month],"&lt;"&amp;cfg_YearStart))*1000000,"")</f>
        <v/>
      </c>
      <c r="HH165" s="62">
        <f>IF(MAX(N(cfg_PriorLTIDate),_xlfn.MAXIFS(tblSafety[Date],tblSafety[LTI],"&gt;0",tblSafety[Date],"&lt;="&amp;$A165))=0,"",$A165-MAX(N(cfg_PriorLTIDate),_xlfn.MAXIFS(tblSafety[Date],tblSafety[LTI],"&gt;0",tblSafety[Date],"&lt;="&amp;$A165)))</f>
        <v/>
      </c>
      <c r="HI165" s="55">
        <f>SUMIFS(tblBudget[Ore_Mined_t],tblBudget[Month],$E165)</f>
        <v/>
      </c>
      <c r="HJ165" s="55">
        <f>$HI165*$C165/$D165</f>
        <v/>
      </c>
      <c r="HK165" s="55">
        <f>SUMIFS(tblBudget[Ore_Mined_t],tblBudget[Month],"&lt;"&amp;$E165)+$HJ165</f>
        <v/>
      </c>
      <c r="HL165" s="55">
        <f>SUMIFS(tblBudget[Ore_oz],tblBudget[Month],$E165)</f>
        <v/>
      </c>
      <c r="HM165" s="55">
        <f>$HL165*$C165/$D165</f>
        <v/>
      </c>
      <c r="HN165" s="55">
        <f>SUMIFS(tblBudget[Ore_oz],tblBudget[Month],"&lt;"&amp;$E165)+$HM165</f>
        <v/>
      </c>
      <c r="HO165" s="56">
        <f>IFERROR(IF(($HI165)&gt;0,($HL165*cfg_TroyOz)/($HI165),""),"")</f>
        <v/>
      </c>
      <c r="HP165" s="56">
        <f>IFERROR(IF(($HJ165)&gt;0,($HM165*cfg_TroyOz)/($HJ165),""),"")</f>
        <v/>
      </c>
      <c r="HQ165" s="56">
        <f>IFERROR(IF(($HK165)&gt;0,($HN165*cfg_TroyOz)/($HK165),""),"")</f>
        <v/>
      </c>
      <c r="HR165" s="55">
        <f>SUMIFS(tblBudget[Waste_t],tblBudget[Month],$E165)</f>
        <v/>
      </c>
      <c r="HS165" s="55">
        <f>$HR165*$C165/$D165</f>
        <v/>
      </c>
      <c r="HT165" s="55">
        <f>SUMIFS(tblBudget[Waste_t],tblBudget[Month],"&lt;"&amp;$E165)+$HS165</f>
        <v/>
      </c>
      <c r="HU165" s="55">
        <f>SUMIFS(tblBudget[TMM_t],tblBudget[Month],$E165)</f>
        <v/>
      </c>
      <c r="HV165" s="55">
        <f>$HU165*$C165/$D165</f>
        <v/>
      </c>
      <c r="HW165" s="55">
        <f>SUMIFS(tblBudget[TMM_t],tblBudget[Month],"&lt;"&amp;$E165)+$HV165</f>
        <v/>
      </c>
      <c r="HX165" s="56">
        <f>IFERROR(IF(($HI165)&gt;0,($HR165)/($HI165),""),"")</f>
        <v/>
      </c>
      <c r="HY165" s="56">
        <f>IFERROR(IF(($HJ165)&gt;0,($HS165)/($HJ165),""),"")</f>
        <v/>
      </c>
      <c r="HZ165" s="56">
        <f>IFERROR(IF(($HK165)&gt;0,($HT165)/($HK165),""),"")</f>
        <v/>
      </c>
      <c r="IA165" s="55">
        <f>SUMIFS(tblBudget[Drill_m],tblBudget[Month],$E165)</f>
        <v/>
      </c>
      <c r="IB165" s="55">
        <f>$IA165*$C165/$D165</f>
        <v/>
      </c>
      <c r="IC165" s="55">
        <f>SUMIFS(tblBudget[Drill_m],tblBudget[Month],"&lt;"&amp;$E165)+$IB165</f>
        <v/>
      </c>
      <c r="ID165" s="55">
        <f>SUMIFS(tblBudget[Diesel_L],tblBudget[Month],$E165)</f>
        <v/>
      </c>
      <c r="IE165" s="55">
        <f>$ID165*$C165/$D165</f>
        <v/>
      </c>
      <c r="IF165" s="55">
        <f>SUMIFS(tblBudget[Diesel_L],tblBudget[Month],"&lt;"&amp;$E165)+$IE165</f>
        <v/>
      </c>
      <c r="IG165" s="55">
        <f>SUMIFS(tblBudget[Milled_t],tblBudget[Month],$E165)</f>
        <v/>
      </c>
      <c r="IH165" s="55">
        <f>$IG165*$C165/$D165</f>
        <v/>
      </c>
      <c r="II165" s="55">
        <f>SUMIFS(tblBudget[Milled_t],tblBudget[Month],"&lt;"&amp;$E165)+$IH165</f>
        <v/>
      </c>
      <c r="IJ165" s="55">
        <f>SUMIFS(tblBudget[Feed_oz],tblBudget[Month],$E165)</f>
        <v/>
      </c>
      <c r="IK165" s="55">
        <f>$IJ165*$C165/$D165</f>
        <v/>
      </c>
      <c r="IL165" s="55">
        <f>SUMIFS(tblBudget[Feed_oz],tblBudget[Month],"&lt;"&amp;$E165)+$IK165</f>
        <v/>
      </c>
      <c r="IM165" s="55">
        <f>SUMIFS(tblBudget[Recovered_oz],tblBudget[Month],$E165)</f>
        <v/>
      </c>
      <c r="IN165" s="55">
        <f>$IM165*$C165/$D165</f>
        <v/>
      </c>
      <c r="IO165" s="55">
        <f>SUMIFS(tblBudget[Recovered_oz],tblBudget[Month],"&lt;"&amp;$E165)+$IN165</f>
        <v/>
      </c>
      <c r="IP165" s="56">
        <f>IFERROR(IF(($IG165)&gt;0,($IJ165*cfg_TroyOz)/($IG165),""),"")</f>
        <v/>
      </c>
      <c r="IQ165" s="56">
        <f>IFERROR(IF(($IH165)&gt;0,($IK165*cfg_TroyOz)/($IH165),""),"")</f>
        <v/>
      </c>
      <c r="IR165" s="56">
        <f>IFERROR(IF(($II165)&gt;0,($IL165*cfg_TroyOz)/($II165),""),"")</f>
        <v/>
      </c>
      <c r="IS165" s="67">
        <f>IFERROR(IF(($IJ165)&gt;0,($IM165)/($IJ165),""),"")</f>
        <v/>
      </c>
      <c r="IT165" s="67">
        <f>IFERROR(IF(($IK165)&gt;0,($IN165)/($IK165),""),"")</f>
        <v/>
      </c>
      <c r="IU165" s="67">
        <f>IFERROR(IF(($IL165)&gt;0,($IO165)/($IL165),""),"")</f>
        <v/>
      </c>
      <c r="IV165" s="55">
        <f>SUMIFS(tblBudget[Gold_Poured_oz],tblBudget[Month],$E165)</f>
        <v/>
      </c>
      <c r="IW165" s="55">
        <f>$IV165*$C165/$D165</f>
        <v/>
      </c>
      <c r="IX165" s="55">
        <f>SUMIFS(tblBudget[Gold_Poured_oz],tblBudget[Month],"&lt;"&amp;$E165)+$IW165</f>
        <v/>
      </c>
      <c r="IY165" s="57">
        <f>SUMIFS(tblBudget[Hours_Worked],tblBudget[Month],$E165)</f>
        <v/>
      </c>
      <c r="IZ165" s="57">
        <f>$IY165*$C165/$D165</f>
        <v/>
      </c>
      <c r="JA165" s="57">
        <f>SUMIFS(tblBudget[Hours_Worked],tblBudget[Month],"&lt;"&amp;$E165)+$IZ165</f>
        <v/>
      </c>
    </row>
    <row r="166">
      <c r="A166" s="54" t="n">
        <v>46187</v>
      </c>
      <c r="B166">
        <f>MONTH($A166)</f>
        <v/>
      </c>
      <c r="C166">
        <f>DAY($A166)</f>
        <v/>
      </c>
      <c r="D166">
        <f>DAY(EOMONTH($A166,0))</f>
        <v/>
      </c>
      <c r="E166" s="54">
        <f>DATE(YEAR($A166),MONTH($A166),1)</f>
        <v/>
      </c>
      <c r="F166" s="55">
        <f>SUMIFS(tblMovement[Tonnes_t],tblMovement[Date],$A166,tblMovement[Is_Ore],1,tblMovement[Source_Type],"Pit")</f>
        <v/>
      </c>
      <c r="G166" s="55">
        <f>IF($B166=$B165,$G165,0)+$F166</f>
        <v/>
      </c>
      <c r="H166" s="55">
        <f>$H165+$F166</f>
        <v/>
      </c>
      <c r="I166" s="55">
        <f>SUMIFS(tblMovement[Ore_oz],tblMovement[Date],$A166,tblMovement[Source_Type],"Pit")</f>
        <v/>
      </c>
      <c r="J166" s="55">
        <f>IF($B166=$B165,$J165,0)+$I166</f>
        <v/>
      </c>
      <c r="K166" s="55">
        <f>$K165+$I166</f>
        <v/>
      </c>
      <c r="L166" s="56">
        <f>IFERROR(IF(($F166)&gt;0,($I166*cfg_TroyOz)/($F166),""),"")</f>
        <v/>
      </c>
      <c r="M166" s="56">
        <f>IFERROR(IF(($G166)&gt;0,($J166*cfg_TroyOz)/($G166),""),"")</f>
        <v/>
      </c>
      <c r="N166" s="56">
        <f>IFERROR(IF(($H166)&gt;0,($K166*cfg_TroyOz)/($H166),""),"")</f>
        <v/>
      </c>
      <c r="O166" s="55">
        <f>SUMIFS(tblMovement[Tonnes_t],tblMovement[Date],$A166,tblMovement[Is_Ore],0,tblMovement[Source_Type],"Pit")</f>
        <v/>
      </c>
      <c r="P166" s="55">
        <f>IF($B166=$B165,$P165,0)+$O166</f>
        <v/>
      </c>
      <c r="Q166" s="55">
        <f>$Q165+$O166</f>
        <v/>
      </c>
      <c r="R166" s="55">
        <f>$F166+$O166</f>
        <v/>
      </c>
      <c r="S166" s="55">
        <f>IF($B166=$B165,$S165,0)+$R166</f>
        <v/>
      </c>
      <c r="T166" s="55">
        <f>$T165+$R166</f>
        <v/>
      </c>
      <c r="U166" s="56">
        <f>IFERROR(IF(($F166)&gt;0,($O166)/($F166),""),"")</f>
        <v/>
      </c>
      <c r="V166" s="56">
        <f>IFERROR(IF(($G166)&gt;0,($P166)/($G166),""),"")</f>
        <v/>
      </c>
      <c r="W166" s="56">
        <f>IFERROR(IF(($H166)&gt;0,($Q166)/($H166),""),"")</f>
        <v/>
      </c>
      <c r="X166" s="55">
        <f>SUMIFS(tblMovement[Tonnes_t],tblMovement[Date],$A166,tblMovement[Source_Type],"Stockpile")</f>
        <v/>
      </c>
      <c r="Y166" s="55">
        <f>IF($B166=$B165,$Y165,0)+$X166</f>
        <v/>
      </c>
      <c r="Z166" s="55">
        <f>$Z165+$X166</f>
        <v/>
      </c>
      <c r="AA166" s="55">
        <f>SUMIFS(tblMiningDaily[Drill_m],tblMiningDaily[Date],$A166)</f>
        <v/>
      </c>
      <c r="AB166" s="55">
        <f>IF($B166=$B165,$AB165,0)+$AA166</f>
        <v/>
      </c>
      <c r="AC166" s="55">
        <f>$AC165+$AA166</f>
        <v/>
      </c>
      <c r="AD166" s="55">
        <f>SUMIFS(tblMiningDaily[Blast_t],tblMiningDaily[Date],$A166)</f>
        <v/>
      </c>
      <c r="AE166" s="55">
        <f>IF($B166=$B165,$AE165,0)+$AD166</f>
        <v/>
      </c>
      <c r="AF166" s="55">
        <f>$AF165+$AD166</f>
        <v/>
      </c>
      <c r="AG166" s="55">
        <f>SUMIFS(tblMiningDaily[Explosives_kg],tblMiningDaily[Date],$A166)</f>
        <v/>
      </c>
      <c r="AH166" s="55">
        <f>IF($B166=$B165,$AH165,0)+$AG166</f>
        <v/>
      </c>
      <c r="AI166" s="55">
        <f>$AI165+$AG166</f>
        <v/>
      </c>
      <c r="AJ166" s="56">
        <f>IFERROR(IF(($AD166)&gt;0,($AG166)/($AD166),""),"")</f>
        <v/>
      </c>
      <c r="AK166" s="56">
        <f>IFERROR(IF(($AE166)&gt;0,($AH166)/($AE166),""),"")</f>
        <v/>
      </c>
      <c r="AL166" s="56">
        <f>IFERROR(IF(($AF166)&gt;0,($AI166)/($AF166),""),"")</f>
        <v/>
      </c>
      <c r="AM166" s="55">
        <f>SUMIFS(tblMiningDaily[Diesel_L],tblMiningDaily[Date],$A166)</f>
        <v/>
      </c>
      <c r="AN166" s="55">
        <f>IF($B166=$B165,$AN165,0)+$AM166</f>
        <v/>
      </c>
      <c r="AO166" s="55">
        <f>$AO165+$AM166</f>
        <v/>
      </c>
      <c r="AP166" s="55">
        <f>SUMIFS(tblMiningDaily[Dewatering_m3],tblMiningDaily[Date],$A166)</f>
        <v/>
      </c>
      <c r="AQ166" s="55">
        <f>IF($B166=$B165,$AQ165,0)+$AP166</f>
        <v/>
      </c>
      <c r="AR166" s="55">
        <f>$AR165+$AP166</f>
        <v/>
      </c>
      <c r="AS166" s="57">
        <f>SUMIFS(tblFleet[Calendar_h],tblFleet[Date],$A166,tblFleet[Equipment_Class],"Excavator")</f>
        <v/>
      </c>
      <c r="AT166" s="57">
        <f>IF($B166=$B165,$AT165,0)+$AS166</f>
        <v/>
      </c>
      <c r="AU166" s="57">
        <f>$AU165+$AS166</f>
        <v/>
      </c>
      <c r="AV166" s="57">
        <f>SUMIFS(tblFleet[Available_h],tblFleet[Date],$A166,tblFleet[Equipment_Class],"Excavator")</f>
        <v/>
      </c>
      <c r="AW166" s="57">
        <f>IF($B166=$B165,$AW165,0)+$AV166</f>
        <v/>
      </c>
      <c r="AX166" s="57">
        <f>$AX165+$AV166</f>
        <v/>
      </c>
      <c r="AY166" s="57">
        <f>SUMIFS(tblFleet[Operating_h],tblFleet[Date],$A166,tblFleet[Equipment_Class],"Excavator")</f>
        <v/>
      </c>
      <c r="AZ166" s="57">
        <f>IF($B166=$B165,$AZ165,0)+$AY166</f>
        <v/>
      </c>
      <c r="BA166" s="57">
        <f>$BA165+$AY166</f>
        <v/>
      </c>
      <c r="BB166" s="67">
        <f>IFERROR(IF(($AS166)&gt;0,($AV166)/($AS166),""),"")</f>
        <v/>
      </c>
      <c r="BC166" s="67">
        <f>IFERROR(IF(($AT166)&gt;0,($AW166)/($AT166),""),"")</f>
        <v/>
      </c>
      <c r="BD166" s="67">
        <f>IFERROR(IF(($AU166)&gt;0,($AX166)/($AU166),""),"")</f>
        <v/>
      </c>
      <c r="BE166" s="67">
        <f>IFERROR(IF(($AV166)&gt;0,($AY166)/($AV166),""),"")</f>
        <v/>
      </c>
      <c r="BF166" s="67">
        <f>IFERROR(IF(($AW166)&gt;0,($AZ166)/($AW166),""),"")</f>
        <v/>
      </c>
      <c r="BG166" s="67">
        <f>IFERROR(IF(($AX166)&gt;0,($BA166)/($AX166),""),"")</f>
        <v/>
      </c>
      <c r="BH166" s="57">
        <f>SUMIFS(tblFleet[Calendar_h],tblFleet[Date],$A166,tblFleet[Equipment_Class],"Haul Truck")</f>
        <v/>
      </c>
      <c r="BI166" s="57">
        <f>IF($B166=$B165,$BI165,0)+$BH166</f>
        <v/>
      </c>
      <c r="BJ166" s="57">
        <f>$BJ165+$BH166</f>
        <v/>
      </c>
      <c r="BK166" s="57">
        <f>SUMIFS(tblFleet[Available_h],tblFleet[Date],$A166,tblFleet[Equipment_Class],"Haul Truck")</f>
        <v/>
      </c>
      <c r="BL166" s="57">
        <f>IF($B166=$B165,$BL165,0)+$BK166</f>
        <v/>
      </c>
      <c r="BM166" s="57">
        <f>$BM165+$BK166</f>
        <v/>
      </c>
      <c r="BN166" s="57">
        <f>SUMIFS(tblFleet[Operating_h],tblFleet[Date],$A166,tblFleet[Equipment_Class],"Haul Truck")</f>
        <v/>
      </c>
      <c r="BO166" s="57">
        <f>IF($B166=$B165,$BO165,0)+$BN166</f>
        <v/>
      </c>
      <c r="BP166" s="57">
        <f>$BP165+$BN166</f>
        <v/>
      </c>
      <c r="BQ166" s="67">
        <f>IFERROR(IF(($BH166)&gt;0,($BK166)/($BH166),""),"")</f>
        <v/>
      </c>
      <c r="BR166" s="67">
        <f>IFERROR(IF(($BI166)&gt;0,($BL166)/($BI166),""),"")</f>
        <v/>
      </c>
      <c r="BS166" s="67">
        <f>IFERROR(IF(($BJ166)&gt;0,($BM166)/($BJ166),""),"")</f>
        <v/>
      </c>
      <c r="BT166" s="67">
        <f>IFERROR(IF(($BK166)&gt;0,($BN166)/($BK166),""),"")</f>
        <v/>
      </c>
      <c r="BU166" s="67">
        <f>IFERROR(IF(($BL166)&gt;0,($BO166)/($BL166),""),"")</f>
        <v/>
      </c>
      <c r="BV166" s="67">
        <f>IFERROR(IF(($BM166)&gt;0,($BP166)/($BM166),""),"")</f>
        <v/>
      </c>
      <c r="BW166" s="55">
        <f>SUMIFS(tblPlant[Crushed_t],tblPlant[Date],$A166)</f>
        <v/>
      </c>
      <c r="BX166" s="55">
        <f>IF($B166=$B165,$BX165,0)+$BW166</f>
        <v/>
      </c>
      <c r="BY166" s="55">
        <f>$BY165+$BW166</f>
        <v/>
      </c>
      <c r="BZ166" s="55">
        <f>SUMIFS(tblPlant[Milled_t],tblPlant[Date],$A166)</f>
        <v/>
      </c>
      <c r="CA166" s="55">
        <f>IF($B166=$B165,$CA165,0)+$BZ166</f>
        <v/>
      </c>
      <c r="CB166" s="55">
        <f>$CB165+$BZ166</f>
        <v/>
      </c>
      <c r="CC166" s="55">
        <f>SUMIFS(tblPlant[Feed_oz],tblPlant[Date],$A166)</f>
        <v/>
      </c>
      <c r="CD166" s="55">
        <f>IF($B166=$B165,$CD165,0)+$CC166</f>
        <v/>
      </c>
      <c r="CE166" s="55">
        <f>$CE165+$CC166</f>
        <v/>
      </c>
      <c r="CF166" s="55">
        <f>SUMIFS(tblPlant[Tails_oz],tblPlant[Date],$A166)</f>
        <v/>
      </c>
      <c r="CG166" s="55">
        <f>IF($B166=$B165,$CG165,0)+$CF166</f>
        <v/>
      </c>
      <c r="CH166" s="55">
        <f>$CH165+$CF166</f>
        <v/>
      </c>
      <c r="CI166" s="55">
        <f>SUMIFS(tblPlant[Recovered_oz],tblPlant[Date],$A166)</f>
        <v/>
      </c>
      <c r="CJ166" s="55">
        <f>IF($B166=$B165,$CJ165,0)+$CI166</f>
        <v/>
      </c>
      <c r="CK166" s="55">
        <f>$CK165+$CI166</f>
        <v/>
      </c>
      <c r="CL166" s="56">
        <f>IFERROR(IF(($BZ166)&gt;0,($CC166*cfg_TroyOz)/($BZ166),""),"")</f>
        <v/>
      </c>
      <c r="CM166" s="56">
        <f>IFERROR(IF(($CA166)&gt;0,($CD166*cfg_TroyOz)/($CA166),""),"")</f>
        <v/>
      </c>
      <c r="CN166" s="56">
        <f>IFERROR(IF(($CB166)&gt;0,($CE166*cfg_TroyOz)/($CB166),""),"")</f>
        <v/>
      </c>
      <c r="CO166" s="56">
        <f>IFERROR(IF(($BZ166)&gt;0,($CF166*cfg_TroyOz)/($BZ166),""),"")</f>
        <v/>
      </c>
      <c r="CP166" s="56">
        <f>IFERROR(IF(($CA166)&gt;0,($CG166*cfg_TroyOz)/($CA166),""),"")</f>
        <v/>
      </c>
      <c r="CQ166" s="56">
        <f>IFERROR(IF(($CB166)&gt;0,($CH166*cfg_TroyOz)/($CB166),""),"")</f>
        <v/>
      </c>
      <c r="CR166" s="67">
        <f>IFERROR(IF(($CC166)&gt;0,($CI166)/($CC166),""),"")</f>
        <v/>
      </c>
      <c r="CS166" s="67">
        <f>IFERROR(IF(($CD166)&gt;0,($CJ166)/($CD166),""),"")</f>
        <v/>
      </c>
      <c r="CT166" s="67">
        <f>IFERROR(IF(($CE166)&gt;0,($CK166)/($CE166),""),"")</f>
        <v/>
      </c>
      <c r="CU166" s="55">
        <f>SUMIFS(tblPlant[Gravity_Gold_oz],tblPlant[Date],$A166)</f>
        <v/>
      </c>
      <c r="CV166" s="55">
        <f>IF($B166=$B165,$CV165,0)+$CU166</f>
        <v/>
      </c>
      <c r="CW166" s="55">
        <f>$CW165+$CU166</f>
        <v/>
      </c>
      <c r="CX166" s="55">
        <f>SUMIFS(tblPlant[Gold_Poured_oz],tblPlant[Date],$A166)</f>
        <v/>
      </c>
      <c r="CY166" s="55">
        <f>IF($B166=$B165,$CY165,0)+$CX166</f>
        <v/>
      </c>
      <c r="CZ166" s="55">
        <f>$CZ165+$CX166</f>
        <v/>
      </c>
      <c r="DA166" s="57">
        <f>SUMIFS(tblPlant[Mill_Run_h],tblPlant[Date],$A166)</f>
        <v/>
      </c>
      <c r="DB166" s="57">
        <f>IF($B166=$B165,$DB165,0)+$DA166</f>
        <v/>
      </c>
      <c r="DC166" s="57">
        <f>$DC165+$DA166</f>
        <v/>
      </c>
      <c r="DD166" s="57">
        <f>SUMIFS(tblPlant[Mill_Planned_Maint_h],tblPlant[Date],$A166)</f>
        <v/>
      </c>
      <c r="DE166" s="57">
        <f>IF($B166=$B165,$DE165,0)+$DD166</f>
        <v/>
      </c>
      <c r="DF166" s="57">
        <f>$DF165+$DD166</f>
        <v/>
      </c>
      <c r="DG166" s="57">
        <f>SUMIFS(tblPlant[Mill_Unplanned_Down_h],tblPlant[Date],$A166)</f>
        <v/>
      </c>
      <c r="DH166" s="57">
        <f>IF($B166=$B165,$DH165,0)+$DG166</f>
        <v/>
      </c>
      <c r="DI166" s="57">
        <f>$DI165+$DG166</f>
        <v/>
      </c>
      <c r="DJ166" s="57">
        <f>COUNTIFS(tblPlant[Date],$A166,tblPlant[Mill_Run_h],"&lt;&gt;")*24</f>
        <v/>
      </c>
      <c r="DK166" s="57">
        <f>IF($B166=$B165,$DK165,0)+$DJ166</f>
        <v/>
      </c>
      <c r="DL166" s="57">
        <f>$DL165+$DJ166</f>
        <v/>
      </c>
      <c r="DM166" s="57">
        <f>SUMIFS(tblPlant[Crusher_Run_h],tblPlant[Date],$A166)</f>
        <v/>
      </c>
      <c r="DN166" s="57">
        <f>IF($B166=$B165,$DN165,0)+$DM166</f>
        <v/>
      </c>
      <c r="DO166" s="57">
        <f>$DO165+$DM166</f>
        <v/>
      </c>
      <c r="DP166" s="55">
        <f>IFERROR(IF(($DA166)&gt;0,($BZ166)/($DA166),""),"")</f>
        <v/>
      </c>
      <c r="DQ166" s="55">
        <f>IFERROR(IF(($DB166)&gt;0,($CA166)/($DB166),""),"")</f>
        <v/>
      </c>
      <c r="DR166" s="55">
        <f>IFERROR(IF(($DC166)&gt;0,($CB166)/($DC166),""),"")</f>
        <v/>
      </c>
      <c r="DS166" s="67">
        <f>IFERROR(IF(($DJ166)&gt;0,($DJ166-$DD166-$DG166)/($DJ166),""),"")</f>
        <v/>
      </c>
      <c r="DT166" s="67">
        <f>IFERROR(IF(($DK166)&gt;0,($DK166-$DE166-$DH166)/($DK166),""),"")</f>
        <v/>
      </c>
      <c r="DU166" s="67">
        <f>IFERROR(IF(($DL166)&gt;0,($DL166-$DF166-$DI166)/($DL166),""),"")</f>
        <v/>
      </c>
      <c r="DV166" s="67">
        <f>IFERROR(IF(($DJ166-$DD166-$DG166)&gt;0,($DA166)/($DJ166-$DD166-$DG166),""),"")</f>
        <v/>
      </c>
      <c r="DW166" s="67">
        <f>IFERROR(IF(($DK166-$DE166-$DH166)&gt;0,($DB166)/($DK166-$DE166-$DH166),""),"")</f>
        <v/>
      </c>
      <c r="DX166" s="67">
        <f>IFERROR(IF(($DL166-$DF166-$DI166)&gt;0,($DC166)/($DL166-$DF166-$DI166),""),"")</f>
        <v/>
      </c>
      <c r="DY166" s="55">
        <f>SUMIFS(tblPlant[Cyanide_kg],tblPlant[Date],$A166)</f>
        <v/>
      </c>
      <c r="DZ166" s="55">
        <f>IF($B166=$B165,$DZ165,0)+$DY166</f>
        <v/>
      </c>
      <c r="EA166" s="55">
        <f>$EA165+$DY166</f>
        <v/>
      </c>
      <c r="EB166" s="55">
        <f>SUMIFS(tblPlant[Lime_kg],tblPlant[Date],$A166)</f>
        <v/>
      </c>
      <c r="EC166" s="55">
        <f>IF($B166=$B165,$EC165,0)+$EB166</f>
        <v/>
      </c>
      <c r="ED166" s="55">
        <f>$ED165+$EB166</f>
        <v/>
      </c>
      <c r="EE166" s="55">
        <f>SUMIFS(tblPlant[Grinding_Media_kg],tblPlant[Date],$A166)</f>
        <v/>
      </c>
      <c r="EF166" s="55">
        <f>IF($B166=$B165,$EF165,0)+$EE166</f>
        <v/>
      </c>
      <c r="EG166" s="55">
        <f>$EG165+$EE166</f>
        <v/>
      </c>
      <c r="EH166" s="55">
        <f>SUMIFS(tblPlant[Power_kWh],tblPlant[Date],$A166)</f>
        <v/>
      </c>
      <c r="EI166" s="55">
        <f>IF($B166=$B165,$EI165,0)+$EH166</f>
        <v/>
      </c>
      <c r="EJ166" s="55">
        <f>$EJ165+$EH166</f>
        <v/>
      </c>
      <c r="EK166" s="55">
        <f>SUMIFS(tblPlant[Raw_Water_m3],tblPlant[Date],$A166)</f>
        <v/>
      </c>
      <c r="EL166" s="55">
        <f>IF($B166=$B165,$EL165,0)+$EK166</f>
        <v/>
      </c>
      <c r="EM166" s="55">
        <f>$EM165+$EK166</f>
        <v/>
      </c>
      <c r="EN166" s="56">
        <f>IFERROR(IF(($BZ166)&gt;0,($DY166)/($BZ166),""),"")</f>
        <v/>
      </c>
      <c r="EO166" s="56">
        <f>IFERROR(IF(($CA166)&gt;0,($DZ166)/($CA166),""),"")</f>
        <v/>
      </c>
      <c r="EP166" s="56">
        <f>IFERROR(IF(($CB166)&gt;0,($EA166)/($CB166),""),"")</f>
        <v/>
      </c>
      <c r="EQ166" s="56">
        <f>IFERROR(IF(($BZ166)&gt;0,($EB166)/($BZ166),""),"")</f>
        <v/>
      </c>
      <c r="ER166" s="56">
        <f>IFERROR(IF(($CA166)&gt;0,($EC166)/($CA166),""),"")</f>
        <v/>
      </c>
      <c r="ES166" s="56">
        <f>IFERROR(IF(($CB166)&gt;0,($ED166)/($CB166),""),"")</f>
        <v/>
      </c>
      <c r="ET166" s="56">
        <f>IFERROR(IF(($BZ166)&gt;0,($EE166)/($BZ166),""),"")</f>
        <v/>
      </c>
      <c r="EU166" s="56">
        <f>IFERROR(IF(($CA166)&gt;0,($EF166)/($CA166),""),"")</f>
        <v/>
      </c>
      <c r="EV166" s="56">
        <f>IFERROR(IF(($CB166)&gt;0,($EG166)/($CB166),""),"")</f>
        <v/>
      </c>
      <c r="EW166" s="76">
        <f>IFERROR(IF(($BZ166)&gt;0,($EH166)/($BZ166),""),"")</f>
        <v/>
      </c>
      <c r="EX166" s="76">
        <f>IFERROR(IF(($CA166)&gt;0,($EI166)/($CA166),""),"")</f>
        <v/>
      </c>
      <c r="EY166" s="76">
        <f>IFERROR(IF(($CB166)&gt;0,($EJ166)/($CB166),""),"")</f>
        <v/>
      </c>
      <c r="EZ166" s="56">
        <f>IFERROR(IF(($BZ166)&gt;0,($EK166)/($BZ166),""),"")</f>
        <v/>
      </c>
      <c r="FA166" s="56">
        <f>IFERROR(IF(($CA166)&gt;0,($EL166)/($CA166),""),"")</f>
        <v/>
      </c>
      <c r="FB166" s="56">
        <f>IFERROR(IF(($CB166)&gt;0,($EM166)/($CB166),""),"")</f>
        <v/>
      </c>
      <c r="FC166" s="55">
        <f>IF(SUMIFS(tblPlant[GIC_oz],tblPlant[Date],$A166)&gt;0,SUMIFS(tblPlant[GIC_oz],tblPlant[Date],$A166),"")</f>
        <v/>
      </c>
      <c r="FD166" s="55">
        <f>SUMIFS(tblGold[Gold_oz],tblGold[Date],$A166,tblGold[Type],"Shipment")</f>
        <v/>
      </c>
      <c r="FE166" s="55">
        <f>IF($B166=$B165,$FE165,0)+$FD166</f>
        <v/>
      </c>
      <c r="FF166" s="55">
        <f>$FF165+$FD166</f>
        <v/>
      </c>
      <c r="FG166" s="55">
        <f>SUMIFS(tblGold[Gold_oz],tblGold[Date],$A166,tblGold[Type],"Sale")</f>
        <v/>
      </c>
      <c r="FH166" s="55">
        <f>IF($B166=$B165,$FH165,0)+$FG166</f>
        <v/>
      </c>
      <c r="FI166" s="55">
        <f>$FI165+$FG166</f>
        <v/>
      </c>
      <c r="FJ166" s="55">
        <f>SUMIFS(tblGold[Dore_kg],tblGold[Date],$A166,tblGold[Type],"Shipment")</f>
        <v/>
      </c>
      <c r="FK166" s="55">
        <f>IF($B166=$B165,$FK165,0)+$FJ166</f>
        <v/>
      </c>
      <c r="FL166" s="55">
        <f>$FL165+$FJ166</f>
        <v/>
      </c>
      <c r="FM166" s="57">
        <f>SUMIFS(tblSafety[Hours_Total],tblSafety[Date],$A166)</f>
        <v/>
      </c>
      <c r="FN166" s="57">
        <f>IF($B166=$B165,$FN165,0)+$FM166</f>
        <v/>
      </c>
      <c r="FO166" s="57">
        <f>$FO165+$FM166</f>
        <v/>
      </c>
      <c r="FP166" s="62">
        <f>SUMIFS(tblSafety[Fatality],tblSafety[Date],$A166)</f>
        <v/>
      </c>
      <c r="FQ166" s="62">
        <f>IF($B166=$B165,$FQ165,0)+$FP166</f>
        <v/>
      </c>
      <c r="FR166" s="62">
        <f>$FR165+$FP166</f>
        <v/>
      </c>
      <c r="FS166" s="62">
        <f>SUMIFS(tblSafety[LTI],tblSafety[Date],$A166)</f>
        <v/>
      </c>
      <c r="FT166" s="62">
        <f>IF($B166=$B165,$FT165,0)+$FS166</f>
        <v/>
      </c>
      <c r="FU166" s="62">
        <f>$FU165+$FS166</f>
        <v/>
      </c>
      <c r="FV166" s="62">
        <f>SUMIFS(tblSafety[RWI],tblSafety[Date],$A166)</f>
        <v/>
      </c>
      <c r="FW166" s="62">
        <f>IF($B166=$B165,$FW165,0)+$FV166</f>
        <v/>
      </c>
      <c r="FX166" s="62">
        <f>$FX165+$FV166</f>
        <v/>
      </c>
      <c r="FY166" s="62">
        <f>SUMIFS(tblSafety[MTI],tblSafety[Date],$A166)</f>
        <v/>
      </c>
      <c r="FZ166" s="62">
        <f>IF($B166=$B165,$FZ165,0)+$FY166</f>
        <v/>
      </c>
      <c r="GA166" s="62">
        <f>$GA165+$FY166</f>
        <v/>
      </c>
      <c r="GB166" s="62">
        <f>SUMIFS(tblSafety[FAI],tblSafety[Date],$A166)</f>
        <v/>
      </c>
      <c r="GC166" s="62">
        <f>IF($B166=$B165,$GC165,0)+$GB166</f>
        <v/>
      </c>
      <c r="GD166" s="62">
        <f>$GD165+$GB166</f>
        <v/>
      </c>
      <c r="GE166" s="62">
        <f>SUMIFS(tblSafety[Recordables],tblSafety[Date],$A166)</f>
        <v/>
      </c>
      <c r="GF166" s="62">
        <f>IF($B166=$B165,$GF165,0)+$GE166</f>
        <v/>
      </c>
      <c r="GG166" s="62">
        <f>$GG165+$GE166</f>
        <v/>
      </c>
      <c r="GH166" s="62">
        <f>SUMIFS(tblSafety[Near_Miss],tblSafety[Date],$A166)</f>
        <v/>
      </c>
      <c r="GI166" s="62">
        <f>IF($B166=$B165,$GI165,0)+$GH166</f>
        <v/>
      </c>
      <c r="GJ166" s="62">
        <f>$GJ165+$GH166</f>
        <v/>
      </c>
      <c r="GK166" s="62">
        <f>SUMIFS(tblSafety[Hazard_Reports],tblSafety[Date],$A166)</f>
        <v/>
      </c>
      <c r="GL166" s="62">
        <f>IF($B166=$B165,$GL165,0)+$GK166</f>
        <v/>
      </c>
      <c r="GM166" s="62">
        <f>$GM165+$GK166</f>
        <v/>
      </c>
      <c r="GN166" s="62">
        <f>SUMIFS(tblSafety[HPI],tblSafety[Date],$A166)</f>
        <v/>
      </c>
      <c r="GO166" s="62">
        <f>IF($B166=$B165,$GO165,0)+$GN166</f>
        <v/>
      </c>
      <c r="GP166" s="62">
        <f>$GP165+$GN166</f>
        <v/>
      </c>
      <c r="GQ166" s="62">
        <f>SUMIFS(tblSafety[Env_Incidents],tblSafety[Date],$A166)</f>
        <v/>
      </c>
      <c r="GR166" s="62">
        <f>IF($B166=$B165,$GR165,0)+$GQ166</f>
        <v/>
      </c>
      <c r="GS166" s="62">
        <f>$GS165+$GQ166</f>
        <v/>
      </c>
      <c r="GT166" s="62">
        <f>SUMIFS(tblSafety[Community_Incidents],tblSafety[Date],$A166)</f>
        <v/>
      </c>
      <c r="GU166" s="62">
        <f>IF($B166=$B165,$GU165,0)+$GT166</f>
        <v/>
      </c>
      <c r="GV166" s="62">
        <f>$GV165+$GT166</f>
        <v/>
      </c>
      <c r="GW166" s="62">
        <f>SUMIFS(tblSafety[Vehicle_Incidents],tblSafety[Date],$A166)</f>
        <v/>
      </c>
      <c r="GX166" s="62">
        <f>IF($B166=$B165,$GX165,0)+$GW166</f>
        <v/>
      </c>
      <c r="GY166" s="62">
        <f>$GY165+$GW166</f>
        <v/>
      </c>
      <c r="GZ166" s="62">
        <f>SUMIFS(tblSafety[Toolbox_Talks],tblSafety[Date],$A166)</f>
        <v/>
      </c>
      <c r="HA166" s="62">
        <f>IF($B166=$B165,$HA165,0)+$GZ166</f>
        <v/>
      </c>
      <c r="HB166" s="62">
        <f>$HB165+$GZ166</f>
        <v/>
      </c>
      <c r="HC166" s="62">
        <f>SUMIFS(tblSafety[Inspections],tblSafety[Date],$A166)</f>
        <v/>
      </c>
      <c r="HD166" s="62">
        <f>IF($B166=$B165,$HD165,0)+$HC166</f>
        <v/>
      </c>
      <c r="HE166" s="62">
        <f>$HE165+$HC166</f>
        <v/>
      </c>
      <c r="HF166" s="56">
        <f>IFERROR((SUMIFS(tblSafety[Recordables],tblSafety[Date],"&gt;="&amp;EDATE($E166,-12),tblSafety[Date],"&lt;="&amp;$A166)+SUMIFS(tblSafetyHistory[Recordables],tblSafetyHistory[Month],"&gt;="&amp;EDATE($E166,-12),tblSafetyHistory[Month],"&lt;"&amp;cfg_YearStart))/(SUMIFS(tblSafety[Hours_Total],tblSafety[Date],"&gt;="&amp;EDATE($E166,-12),tblSafety[Date],"&lt;="&amp;$A166)+SUMIFS(tblSafetyHistory[Hours_Total],tblSafetyHistory[Month],"&gt;="&amp;EDATE($E166,-12),tblSafetyHistory[Month],"&lt;"&amp;cfg_YearStart))*1000000,"")</f>
        <v/>
      </c>
      <c r="HG166" s="56">
        <f>IFERROR((SUMIFS(tblSafety[LTI],tblSafety[Date],"&gt;="&amp;EDATE($E166,-12),tblSafety[Date],"&lt;="&amp;$A166)+SUMIFS(tblSafetyHistory[LTI],tblSafetyHistory[Month],"&gt;="&amp;EDATE($E166,-12),tblSafetyHistory[Month],"&lt;"&amp;cfg_YearStart))/(SUMIFS(tblSafety[Hours_Total],tblSafety[Date],"&gt;="&amp;EDATE($E166,-12),tblSafety[Date],"&lt;="&amp;$A166)+SUMIFS(tblSafetyHistory[Hours_Total],tblSafetyHistory[Month],"&gt;="&amp;EDATE($E166,-12),tblSafetyHistory[Month],"&lt;"&amp;cfg_YearStart))*1000000,"")</f>
        <v/>
      </c>
      <c r="HH166" s="62">
        <f>IF(MAX(N(cfg_PriorLTIDate),_xlfn.MAXIFS(tblSafety[Date],tblSafety[LTI],"&gt;0",tblSafety[Date],"&lt;="&amp;$A166))=0,"",$A166-MAX(N(cfg_PriorLTIDate),_xlfn.MAXIFS(tblSafety[Date],tblSafety[LTI],"&gt;0",tblSafety[Date],"&lt;="&amp;$A166)))</f>
        <v/>
      </c>
      <c r="HI166" s="55">
        <f>SUMIFS(tblBudget[Ore_Mined_t],tblBudget[Month],$E166)</f>
        <v/>
      </c>
      <c r="HJ166" s="55">
        <f>$HI166*$C166/$D166</f>
        <v/>
      </c>
      <c r="HK166" s="55">
        <f>SUMIFS(tblBudget[Ore_Mined_t],tblBudget[Month],"&lt;"&amp;$E166)+$HJ166</f>
        <v/>
      </c>
      <c r="HL166" s="55">
        <f>SUMIFS(tblBudget[Ore_oz],tblBudget[Month],$E166)</f>
        <v/>
      </c>
      <c r="HM166" s="55">
        <f>$HL166*$C166/$D166</f>
        <v/>
      </c>
      <c r="HN166" s="55">
        <f>SUMIFS(tblBudget[Ore_oz],tblBudget[Month],"&lt;"&amp;$E166)+$HM166</f>
        <v/>
      </c>
      <c r="HO166" s="56">
        <f>IFERROR(IF(($HI166)&gt;0,($HL166*cfg_TroyOz)/($HI166),""),"")</f>
        <v/>
      </c>
      <c r="HP166" s="56">
        <f>IFERROR(IF(($HJ166)&gt;0,($HM166*cfg_TroyOz)/($HJ166),""),"")</f>
        <v/>
      </c>
      <c r="HQ166" s="56">
        <f>IFERROR(IF(($HK166)&gt;0,($HN166*cfg_TroyOz)/($HK166),""),"")</f>
        <v/>
      </c>
      <c r="HR166" s="55">
        <f>SUMIFS(tblBudget[Waste_t],tblBudget[Month],$E166)</f>
        <v/>
      </c>
      <c r="HS166" s="55">
        <f>$HR166*$C166/$D166</f>
        <v/>
      </c>
      <c r="HT166" s="55">
        <f>SUMIFS(tblBudget[Waste_t],tblBudget[Month],"&lt;"&amp;$E166)+$HS166</f>
        <v/>
      </c>
      <c r="HU166" s="55">
        <f>SUMIFS(tblBudget[TMM_t],tblBudget[Month],$E166)</f>
        <v/>
      </c>
      <c r="HV166" s="55">
        <f>$HU166*$C166/$D166</f>
        <v/>
      </c>
      <c r="HW166" s="55">
        <f>SUMIFS(tblBudget[TMM_t],tblBudget[Month],"&lt;"&amp;$E166)+$HV166</f>
        <v/>
      </c>
      <c r="HX166" s="56">
        <f>IFERROR(IF(($HI166)&gt;0,($HR166)/($HI166),""),"")</f>
        <v/>
      </c>
      <c r="HY166" s="56">
        <f>IFERROR(IF(($HJ166)&gt;0,($HS166)/($HJ166),""),"")</f>
        <v/>
      </c>
      <c r="HZ166" s="56">
        <f>IFERROR(IF(($HK166)&gt;0,($HT166)/($HK166),""),"")</f>
        <v/>
      </c>
      <c r="IA166" s="55">
        <f>SUMIFS(tblBudget[Drill_m],tblBudget[Month],$E166)</f>
        <v/>
      </c>
      <c r="IB166" s="55">
        <f>$IA166*$C166/$D166</f>
        <v/>
      </c>
      <c r="IC166" s="55">
        <f>SUMIFS(tblBudget[Drill_m],tblBudget[Month],"&lt;"&amp;$E166)+$IB166</f>
        <v/>
      </c>
      <c r="ID166" s="55">
        <f>SUMIFS(tblBudget[Diesel_L],tblBudget[Month],$E166)</f>
        <v/>
      </c>
      <c r="IE166" s="55">
        <f>$ID166*$C166/$D166</f>
        <v/>
      </c>
      <c r="IF166" s="55">
        <f>SUMIFS(tblBudget[Diesel_L],tblBudget[Month],"&lt;"&amp;$E166)+$IE166</f>
        <v/>
      </c>
      <c r="IG166" s="55">
        <f>SUMIFS(tblBudget[Milled_t],tblBudget[Month],$E166)</f>
        <v/>
      </c>
      <c r="IH166" s="55">
        <f>$IG166*$C166/$D166</f>
        <v/>
      </c>
      <c r="II166" s="55">
        <f>SUMIFS(tblBudget[Milled_t],tblBudget[Month],"&lt;"&amp;$E166)+$IH166</f>
        <v/>
      </c>
      <c r="IJ166" s="55">
        <f>SUMIFS(tblBudget[Feed_oz],tblBudget[Month],$E166)</f>
        <v/>
      </c>
      <c r="IK166" s="55">
        <f>$IJ166*$C166/$D166</f>
        <v/>
      </c>
      <c r="IL166" s="55">
        <f>SUMIFS(tblBudget[Feed_oz],tblBudget[Month],"&lt;"&amp;$E166)+$IK166</f>
        <v/>
      </c>
      <c r="IM166" s="55">
        <f>SUMIFS(tblBudget[Recovered_oz],tblBudget[Month],$E166)</f>
        <v/>
      </c>
      <c r="IN166" s="55">
        <f>$IM166*$C166/$D166</f>
        <v/>
      </c>
      <c r="IO166" s="55">
        <f>SUMIFS(tblBudget[Recovered_oz],tblBudget[Month],"&lt;"&amp;$E166)+$IN166</f>
        <v/>
      </c>
      <c r="IP166" s="56">
        <f>IFERROR(IF(($IG166)&gt;0,($IJ166*cfg_TroyOz)/($IG166),""),"")</f>
        <v/>
      </c>
      <c r="IQ166" s="56">
        <f>IFERROR(IF(($IH166)&gt;0,($IK166*cfg_TroyOz)/($IH166),""),"")</f>
        <v/>
      </c>
      <c r="IR166" s="56">
        <f>IFERROR(IF(($II166)&gt;0,($IL166*cfg_TroyOz)/($II166),""),"")</f>
        <v/>
      </c>
      <c r="IS166" s="67">
        <f>IFERROR(IF(($IJ166)&gt;0,($IM166)/($IJ166),""),"")</f>
        <v/>
      </c>
      <c r="IT166" s="67">
        <f>IFERROR(IF(($IK166)&gt;0,($IN166)/($IK166),""),"")</f>
        <v/>
      </c>
      <c r="IU166" s="67">
        <f>IFERROR(IF(($IL166)&gt;0,($IO166)/($IL166),""),"")</f>
        <v/>
      </c>
      <c r="IV166" s="55">
        <f>SUMIFS(tblBudget[Gold_Poured_oz],tblBudget[Month],$E166)</f>
        <v/>
      </c>
      <c r="IW166" s="55">
        <f>$IV166*$C166/$D166</f>
        <v/>
      </c>
      <c r="IX166" s="55">
        <f>SUMIFS(tblBudget[Gold_Poured_oz],tblBudget[Month],"&lt;"&amp;$E166)+$IW166</f>
        <v/>
      </c>
      <c r="IY166" s="57">
        <f>SUMIFS(tblBudget[Hours_Worked],tblBudget[Month],$E166)</f>
        <v/>
      </c>
      <c r="IZ166" s="57">
        <f>$IY166*$C166/$D166</f>
        <v/>
      </c>
      <c r="JA166" s="57">
        <f>SUMIFS(tblBudget[Hours_Worked],tblBudget[Month],"&lt;"&amp;$E166)+$IZ166</f>
        <v/>
      </c>
    </row>
    <row r="167">
      <c r="A167" s="54" t="n">
        <v>46188</v>
      </c>
      <c r="B167">
        <f>MONTH($A167)</f>
        <v/>
      </c>
      <c r="C167">
        <f>DAY($A167)</f>
        <v/>
      </c>
      <c r="D167">
        <f>DAY(EOMONTH($A167,0))</f>
        <v/>
      </c>
      <c r="E167" s="54">
        <f>DATE(YEAR($A167),MONTH($A167),1)</f>
        <v/>
      </c>
      <c r="F167" s="55">
        <f>SUMIFS(tblMovement[Tonnes_t],tblMovement[Date],$A167,tblMovement[Is_Ore],1,tblMovement[Source_Type],"Pit")</f>
        <v/>
      </c>
      <c r="G167" s="55">
        <f>IF($B167=$B166,$G166,0)+$F167</f>
        <v/>
      </c>
      <c r="H167" s="55">
        <f>$H166+$F167</f>
        <v/>
      </c>
      <c r="I167" s="55">
        <f>SUMIFS(tblMovement[Ore_oz],tblMovement[Date],$A167,tblMovement[Source_Type],"Pit")</f>
        <v/>
      </c>
      <c r="J167" s="55">
        <f>IF($B167=$B166,$J166,0)+$I167</f>
        <v/>
      </c>
      <c r="K167" s="55">
        <f>$K166+$I167</f>
        <v/>
      </c>
      <c r="L167" s="56">
        <f>IFERROR(IF(($F167)&gt;0,($I167*cfg_TroyOz)/($F167),""),"")</f>
        <v/>
      </c>
      <c r="M167" s="56">
        <f>IFERROR(IF(($G167)&gt;0,($J167*cfg_TroyOz)/($G167),""),"")</f>
        <v/>
      </c>
      <c r="N167" s="56">
        <f>IFERROR(IF(($H167)&gt;0,($K167*cfg_TroyOz)/($H167),""),"")</f>
        <v/>
      </c>
      <c r="O167" s="55">
        <f>SUMIFS(tblMovement[Tonnes_t],tblMovement[Date],$A167,tblMovement[Is_Ore],0,tblMovement[Source_Type],"Pit")</f>
        <v/>
      </c>
      <c r="P167" s="55">
        <f>IF($B167=$B166,$P166,0)+$O167</f>
        <v/>
      </c>
      <c r="Q167" s="55">
        <f>$Q166+$O167</f>
        <v/>
      </c>
      <c r="R167" s="55">
        <f>$F167+$O167</f>
        <v/>
      </c>
      <c r="S167" s="55">
        <f>IF($B167=$B166,$S166,0)+$R167</f>
        <v/>
      </c>
      <c r="T167" s="55">
        <f>$T166+$R167</f>
        <v/>
      </c>
      <c r="U167" s="56">
        <f>IFERROR(IF(($F167)&gt;0,($O167)/($F167),""),"")</f>
        <v/>
      </c>
      <c r="V167" s="56">
        <f>IFERROR(IF(($G167)&gt;0,($P167)/($G167),""),"")</f>
        <v/>
      </c>
      <c r="W167" s="56">
        <f>IFERROR(IF(($H167)&gt;0,($Q167)/($H167),""),"")</f>
        <v/>
      </c>
      <c r="X167" s="55">
        <f>SUMIFS(tblMovement[Tonnes_t],tblMovement[Date],$A167,tblMovement[Source_Type],"Stockpile")</f>
        <v/>
      </c>
      <c r="Y167" s="55">
        <f>IF($B167=$B166,$Y166,0)+$X167</f>
        <v/>
      </c>
      <c r="Z167" s="55">
        <f>$Z166+$X167</f>
        <v/>
      </c>
      <c r="AA167" s="55">
        <f>SUMIFS(tblMiningDaily[Drill_m],tblMiningDaily[Date],$A167)</f>
        <v/>
      </c>
      <c r="AB167" s="55">
        <f>IF($B167=$B166,$AB166,0)+$AA167</f>
        <v/>
      </c>
      <c r="AC167" s="55">
        <f>$AC166+$AA167</f>
        <v/>
      </c>
      <c r="AD167" s="55">
        <f>SUMIFS(tblMiningDaily[Blast_t],tblMiningDaily[Date],$A167)</f>
        <v/>
      </c>
      <c r="AE167" s="55">
        <f>IF($B167=$B166,$AE166,0)+$AD167</f>
        <v/>
      </c>
      <c r="AF167" s="55">
        <f>$AF166+$AD167</f>
        <v/>
      </c>
      <c r="AG167" s="55">
        <f>SUMIFS(tblMiningDaily[Explosives_kg],tblMiningDaily[Date],$A167)</f>
        <v/>
      </c>
      <c r="AH167" s="55">
        <f>IF($B167=$B166,$AH166,0)+$AG167</f>
        <v/>
      </c>
      <c r="AI167" s="55">
        <f>$AI166+$AG167</f>
        <v/>
      </c>
      <c r="AJ167" s="56">
        <f>IFERROR(IF(($AD167)&gt;0,($AG167)/($AD167),""),"")</f>
        <v/>
      </c>
      <c r="AK167" s="56">
        <f>IFERROR(IF(($AE167)&gt;0,($AH167)/($AE167),""),"")</f>
        <v/>
      </c>
      <c r="AL167" s="56">
        <f>IFERROR(IF(($AF167)&gt;0,($AI167)/($AF167),""),"")</f>
        <v/>
      </c>
      <c r="AM167" s="55">
        <f>SUMIFS(tblMiningDaily[Diesel_L],tblMiningDaily[Date],$A167)</f>
        <v/>
      </c>
      <c r="AN167" s="55">
        <f>IF($B167=$B166,$AN166,0)+$AM167</f>
        <v/>
      </c>
      <c r="AO167" s="55">
        <f>$AO166+$AM167</f>
        <v/>
      </c>
      <c r="AP167" s="55">
        <f>SUMIFS(tblMiningDaily[Dewatering_m3],tblMiningDaily[Date],$A167)</f>
        <v/>
      </c>
      <c r="AQ167" s="55">
        <f>IF($B167=$B166,$AQ166,0)+$AP167</f>
        <v/>
      </c>
      <c r="AR167" s="55">
        <f>$AR166+$AP167</f>
        <v/>
      </c>
      <c r="AS167" s="57">
        <f>SUMIFS(tblFleet[Calendar_h],tblFleet[Date],$A167,tblFleet[Equipment_Class],"Excavator")</f>
        <v/>
      </c>
      <c r="AT167" s="57">
        <f>IF($B167=$B166,$AT166,0)+$AS167</f>
        <v/>
      </c>
      <c r="AU167" s="57">
        <f>$AU166+$AS167</f>
        <v/>
      </c>
      <c r="AV167" s="57">
        <f>SUMIFS(tblFleet[Available_h],tblFleet[Date],$A167,tblFleet[Equipment_Class],"Excavator")</f>
        <v/>
      </c>
      <c r="AW167" s="57">
        <f>IF($B167=$B166,$AW166,0)+$AV167</f>
        <v/>
      </c>
      <c r="AX167" s="57">
        <f>$AX166+$AV167</f>
        <v/>
      </c>
      <c r="AY167" s="57">
        <f>SUMIFS(tblFleet[Operating_h],tblFleet[Date],$A167,tblFleet[Equipment_Class],"Excavator")</f>
        <v/>
      </c>
      <c r="AZ167" s="57">
        <f>IF($B167=$B166,$AZ166,0)+$AY167</f>
        <v/>
      </c>
      <c r="BA167" s="57">
        <f>$BA166+$AY167</f>
        <v/>
      </c>
      <c r="BB167" s="67">
        <f>IFERROR(IF(($AS167)&gt;0,($AV167)/($AS167),""),"")</f>
        <v/>
      </c>
      <c r="BC167" s="67">
        <f>IFERROR(IF(($AT167)&gt;0,($AW167)/($AT167),""),"")</f>
        <v/>
      </c>
      <c r="BD167" s="67">
        <f>IFERROR(IF(($AU167)&gt;0,($AX167)/($AU167),""),"")</f>
        <v/>
      </c>
      <c r="BE167" s="67">
        <f>IFERROR(IF(($AV167)&gt;0,($AY167)/($AV167),""),"")</f>
        <v/>
      </c>
      <c r="BF167" s="67">
        <f>IFERROR(IF(($AW167)&gt;0,($AZ167)/($AW167),""),"")</f>
        <v/>
      </c>
      <c r="BG167" s="67">
        <f>IFERROR(IF(($AX167)&gt;0,($BA167)/($AX167),""),"")</f>
        <v/>
      </c>
      <c r="BH167" s="57">
        <f>SUMIFS(tblFleet[Calendar_h],tblFleet[Date],$A167,tblFleet[Equipment_Class],"Haul Truck")</f>
        <v/>
      </c>
      <c r="BI167" s="57">
        <f>IF($B167=$B166,$BI166,0)+$BH167</f>
        <v/>
      </c>
      <c r="BJ167" s="57">
        <f>$BJ166+$BH167</f>
        <v/>
      </c>
      <c r="BK167" s="57">
        <f>SUMIFS(tblFleet[Available_h],tblFleet[Date],$A167,tblFleet[Equipment_Class],"Haul Truck")</f>
        <v/>
      </c>
      <c r="BL167" s="57">
        <f>IF($B167=$B166,$BL166,0)+$BK167</f>
        <v/>
      </c>
      <c r="BM167" s="57">
        <f>$BM166+$BK167</f>
        <v/>
      </c>
      <c r="BN167" s="57">
        <f>SUMIFS(tblFleet[Operating_h],tblFleet[Date],$A167,tblFleet[Equipment_Class],"Haul Truck")</f>
        <v/>
      </c>
      <c r="BO167" s="57">
        <f>IF($B167=$B166,$BO166,0)+$BN167</f>
        <v/>
      </c>
      <c r="BP167" s="57">
        <f>$BP166+$BN167</f>
        <v/>
      </c>
      <c r="BQ167" s="67">
        <f>IFERROR(IF(($BH167)&gt;0,($BK167)/($BH167),""),"")</f>
        <v/>
      </c>
      <c r="BR167" s="67">
        <f>IFERROR(IF(($BI167)&gt;0,($BL167)/($BI167),""),"")</f>
        <v/>
      </c>
      <c r="BS167" s="67">
        <f>IFERROR(IF(($BJ167)&gt;0,($BM167)/($BJ167),""),"")</f>
        <v/>
      </c>
      <c r="BT167" s="67">
        <f>IFERROR(IF(($BK167)&gt;0,($BN167)/($BK167),""),"")</f>
        <v/>
      </c>
      <c r="BU167" s="67">
        <f>IFERROR(IF(($BL167)&gt;0,($BO167)/($BL167),""),"")</f>
        <v/>
      </c>
      <c r="BV167" s="67">
        <f>IFERROR(IF(($BM167)&gt;0,($BP167)/($BM167),""),"")</f>
        <v/>
      </c>
      <c r="BW167" s="55">
        <f>SUMIFS(tblPlant[Crushed_t],tblPlant[Date],$A167)</f>
        <v/>
      </c>
      <c r="BX167" s="55">
        <f>IF($B167=$B166,$BX166,0)+$BW167</f>
        <v/>
      </c>
      <c r="BY167" s="55">
        <f>$BY166+$BW167</f>
        <v/>
      </c>
      <c r="BZ167" s="55">
        <f>SUMIFS(tblPlant[Milled_t],tblPlant[Date],$A167)</f>
        <v/>
      </c>
      <c r="CA167" s="55">
        <f>IF($B167=$B166,$CA166,0)+$BZ167</f>
        <v/>
      </c>
      <c r="CB167" s="55">
        <f>$CB166+$BZ167</f>
        <v/>
      </c>
      <c r="CC167" s="55">
        <f>SUMIFS(tblPlant[Feed_oz],tblPlant[Date],$A167)</f>
        <v/>
      </c>
      <c r="CD167" s="55">
        <f>IF($B167=$B166,$CD166,0)+$CC167</f>
        <v/>
      </c>
      <c r="CE167" s="55">
        <f>$CE166+$CC167</f>
        <v/>
      </c>
      <c r="CF167" s="55">
        <f>SUMIFS(tblPlant[Tails_oz],tblPlant[Date],$A167)</f>
        <v/>
      </c>
      <c r="CG167" s="55">
        <f>IF($B167=$B166,$CG166,0)+$CF167</f>
        <v/>
      </c>
      <c r="CH167" s="55">
        <f>$CH166+$CF167</f>
        <v/>
      </c>
      <c r="CI167" s="55">
        <f>SUMIFS(tblPlant[Recovered_oz],tblPlant[Date],$A167)</f>
        <v/>
      </c>
      <c r="CJ167" s="55">
        <f>IF($B167=$B166,$CJ166,0)+$CI167</f>
        <v/>
      </c>
      <c r="CK167" s="55">
        <f>$CK166+$CI167</f>
        <v/>
      </c>
      <c r="CL167" s="56">
        <f>IFERROR(IF(($BZ167)&gt;0,($CC167*cfg_TroyOz)/($BZ167),""),"")</f>
        <v/>
      </c>
      <c r="CM167" s="56">
        <f>IFERROR(IF(($CA167)&gt;0,($CD167*cfg_TroyOz)/($CA167),""),"")</f>
        <v/>
      </c>
      <c r="CN167" s="56">
        <f>IFERROR(IF(($CB167)&gt;0,($CE167*cfg_TroyOz)/($CB167),""),"")</f>
        <v/>
      </c>
      <c r="CO167" s="56">
        <f>IFERROR(IF(($BZ167)&gt;0,($CF167*cfg_TroyOz)/($BZ167),""),"")</f>
        <v/>
      </c>
      <c r="CP167" s="56">
        <f>IFERROR(IF(($CA167)&gt;0,($CG167*cfg_TroyOz)/($CA167),""),"")</f>
        <v/>
      </c>
      <c r="CQ167" s="56">
        <f>IFERROR(IF(($CB167)&gt;0,($CH167*cfg_TroyOz)/($CB167),""),"")</f>
        <v/>
      </c>
      <c r="CR167" s="67">
        <f>IFERROR(IF(($CC167)&gt;0,($CI167)/($CC167),""),"")</f>
        <v/>
      </c>
      <c r="CS167" s="67">
        <f>IFERROR(IF(($CD167)&gt;0,($CJ167)/($CD167),""),"")</f>
        <v/>
      </c>
      <c r="CT167" s="67">
        <f>IFERROR(IF(($CE167)&gt;0,($CK167)/($CE167),""),"")</f>
        <v/>
      </c>
      <c r="CU167" s="55">
        <f>SUMIFS(tblPlant[Gravity_Gold_oz],tblPlant[Date],$A167)</f>
        <v/>
      </c>
      <c r="CV167" s="55">
        <f>IF($B167=$B166,$CV166,0)+$CU167</f>
        <v/>
      </c>
      <c r="CW167" s="55">
        <f>$CW166+$CU167</f>
        <v/>
      </c>
      <c r="CX167" s="55">
        <f>SUMIFS(tblPlant[Gold_Poured_oz],tblPlant[Date],$A167)</f>
        <v/>
      </c>
      <c r="CY167" s="55">
        <f>IF($B167=$B166,$CY166,0)+$CX167</f>
        <v/>
      </c>
      <c r="CZ167" s="55">
        <f>$CZ166+$CX167</f>
        <v/>
      </c>
      <c r="DA167" s="57">
        <f>SUMIFS(tblPlant[Mill_Run_h],tblPlant[Date],$A167)</f>
        <v/>
      </c>
      <c r="DB167" s="57">
        <f>IF($B167=$B166,$DB166,0)+$DA167</f>
        <v/>
      </c>
      <c r="DC167" s="57">
        <f>$DC166+$DA167</f>
        <v/>
      </c>
      <c r="DD167" s="57">
        <f>SUMIFS(tblPlant[Mill_Planned_Maint_h],tblPlant[Date],$A167)</f>
        <v/>
      </c>
      <c r="DE167" s="57">
        <f>IF($B167=$B166,$DE166,0)+$DD167</f>
        <v/>
      </c>
      <c r="DF167" s="57">
        <f>$DF166+$DD167</f>
        <v/>
      </c>
      <c r="DG167" s="57">
        <f>SUMIFS(tblPlant[Mill_Unplanned_Down_h],tblPlant[Date],$A167)</f>
        <v/>
      </c>
      <c r="DH167" s="57">
        <f>IF($B167=$B166,$DH166,0)+$DG167</f>
        <v/>
      </c>
      <c r="DI167" s="57">
        <f>$DI166+$DG167</f>
        <v/>
      </c>
      <c r="DJ167" s="57">
        <f>COUNTIFS(tblPlant[Date],$A167,tblPlant[Mill_Run_h],"&lt;&gt;")*24</f>
        <v/>
      </c>
      <c r="DK167" s="57">
        <f>IF($B167=$B166,$DK166,0)+$DJ167</f>
        <v/>
      </c>
      <c r="DL167" s="57">
        <f>$DL166+$DJ167</f>
        <v/>
      </c>
      <c r="DM167" s="57">
        <f>SUMIFS(tblPlant[Crusher_Run_h],tblPlant[Date],$A167)</f>
        <v/>
      </c>
      <c r="DN167" s="57">
        <f>IF($B167=$B166,$DN166,0)+$DM167</f>
        <v/>
      </c>
      <c r="DO167" s="57">
        <f>$DO166+$DM167</f>
        <v/>
      </c>
      <c r="DP167" s="55">
        <f>IFERROR(IF(($DA167)&gt;0,($BZ167)/($DA167),""),"")</f>
        <v/>
      </c>
      <c r="DQ167" s="55">
        <f>IFERROR(IF(($DB167)&gt;0,($CA167)/($DB167),""),"")</f>
        <v/>
      </c>
      <c r="DR167" s="55">
        <f>IFERROR(IF(($DC167)&gt;0,($CB167)/($DC167),""),"")</f>
        <v/>
      </c>
      <c r="DS167" s="67">
        <f>IFERROR(IF(($DJ167)&gt;0,($DJ167-$DD167-$DG167)/($DJ167),""),"")</f>
        <v/>
      </c>
      <c r="DT167" s="67">
        <f>IFERROR(IF(($DK167)&gt;0,($DK167-$DE167-$DH167)/($DK167),""),"")</f>
        <v/>
      </c>
      <c r="DU167" s="67">
        <f>IFERROR(IF(($DL167)&gt;0,($DL167-$DF167-$DI167)/($DL167),""),"")</f>
        <v/>
      </c>
      <c r="DV167" s="67">
        <f>IFERROR(IF(($DJ167-$DD167-$DG167)&gt;0,($DA167)/($DJ167-$DD167-$DG167),""),"")</f>
        <v/>
      </c>
      <c r="DW167" s="67">
        <f>IFERROR(IF(($DK167-$DE167-$DH167)&gt;0,($DB167)/($DK167-$DE167-$DH167),""),"")</f>
        <v/>
      </c>
      <c r="DX167" s="67">
        <f>IFERROR(IF(($DL167-$DF167-$DI167)&gt;0,($DC167)/($DL167-$DF167-$DI167),""),"")</f>
        <v/>
      </c>
      <c r="DY167" s="55">
        <f>SUMIFS(tblPlant[Cyanide_kg],tblPlant[Date],$A167)</f>
        <v/>
      </c>
      <c r="DZ167" s="55">
        <f>IF($B167=$B166,$DZ166,0)+$DY167</f>
        <v/>
      </c>
      <c r="EA167" s="55">
        <f>$EA166+$DY167</f>
        <v/>
      </c>
      <c r="EB167" s="55">
        <f>SUMIFS(tblPlant[Lime_kg],tblPlant[Date],$A167)</f>
        <v/>
      </c>
      <c r="EC167" s="55">
        <f>IF($B167=$B166,$EC166,0)+$EB167</f>
        <v/>
      </c>
      <c r="ED167" s="55">
        <f>$ED166+$EB167</f>
        <v/>
      </c>
      <c r="EE167" s="55">
        <f>SUMIFS(tblPlant[Grinding_Media_kg],tblPlant[Date],$A167)</f>
        <v/>
      </c>
      <c r="EF167" s="55">
        <f>IF($B167=$B166,$EF166,0)+$EE167</f>
        <v/>
      </c>
      <c r="EG167" s="55">
        <f>$EG166+$EE167</f>
        <v/>
      </c>
      <c r="EH167" s="55">
        <f>SUMIFS(tblPlant[Power_kWh],tblPlant[Date],$A167)</f>
        <v/>
      </c>
      <c r="EI167" s="55">
        <f>IF($B167=$B166,$EI166,0)+$EH167</f>
        <v/>
      </c>
      <c r="EJ167" s="55">
        <f>$EJ166+$EH167</f>
        <v/>
      </c>
      <c r="EK167" s="55">
        <f>SUMIFS(tblPlant[Raw_Water_m3],tblPlant[Date],$A167)</f>
        <v/>
      </c>
      <c r="EL167" s="55">
        <f>IF($B167=$B166,$EL166,0)+$EK167</f>
        <v/>
      </c>
      <c r="EM167" s="55">
        <f>$EM166+$EK167</f>
        <v/>
      </c>
      <c r="EN167" s="56">
        <f>IFERROR(IF(($BZ167)&gt;0,($DY167)/($BZ167),""),"")</f>
        <v/>
      </c>
      <c r="EO167" s="56">
        <f>IFERROR(IF(($CA167)&gt;0,($DZ167)/($CA167),""),"")</f>
        <v/>
      </c>
      <c r="EP167" s="56">
        <f>IFERROR(IF(($CB167)&gt;0,($EA167)/($CB167),""),"")</f>
        <v/>
      </c>
      <c r="EQ167" s="56">
        <f>IFERROR(IF(($BZ167)&gt;0,($EB167)/($BZ167),""),"")</f>
        <v/>
      </c>
      <c r="ER167" s="56">
        <f>IFERROR(IF(($CA167)&gt;0,($EC167)/($CA167),""),"")</f>
        <v/>
      </c>
      <c r="ES167" s="56">
        <f>IFERROR(IF(($CB167)&gt;0,($ED167)/($CB167),""),"")</f>
        <v/>
      </c>
      <c r="ET167" s="56">
        <f>IFERROR(IF(($BZ167)&gt;0,($EE167)/($BZ167),""),"")</f>
        <v/>
      </c>
      <c r="EU167" s="56">
        <f>IFERROR(IF(($CA167)&gt;0,($EF167)/($CA167),""),"")</f>
        <v/>
      </c>
      <c r="EV167" s="56">
        <f>IFERROR(IF(($CB167)&gt;0,($EG167)/($CB167),""),"")</f>
        <v/>
      </c>
      <c r="EW167" s="76">
        <f>IFERROR(IF(($BZ167)&gt;0,($EH167)/($BZ167),""),"")</f>
        <v/>
      </c>
      <c r="EX167" s="76">
        <f>IFERROR(IF(($CA167)&gt;0,($EI167)/($CA167),""),"")</f>
        <v/>
      </c>
      <c r="EY167" s="76">
        <f>IFERROR(IF(($CB167)&gt;0,($EJ167)/($CB167),""),"")</f>
        <v/>
      </c>
      <c r="EZ167" s="56">
        <f>IFERROR(IF(($BZ167)&gt;0,($EK167)/($BZ167),""),"")</f>
        <v/>
      </c>
      <c r="FA167" s="56">
        <f>IFERROR(IF(($CA167)&gt;0,($EL167)/($CA167),""),"")</f>
        <v/>
      </c>
      <c r="FB167" s="56">
        <f>IFERROR(IF(($CB167)&gt;0,($EM167)/($CB167),""),"")</f>
        <v/>
      </c>
      <c r="FC167" s="55">
        <f>IF(SUMIFS(tblPlant[GIC_oz],tblPlant[Date],$A167)&gt;0,SUMIFS(tblPlant[GIC_oz],tblPlant[Date],$A167),"")</f>
        <v/>
      </c>
      <c r="FD167" s="55">
        <f>SUMIFS(tblGold[Gold_oz],tblGold[Date],$A167,tblGold[Type],"Shipment")</f>
        <v/>
      </c>
      <c r="FE167" s="55">
        <f>IF($B167=$B166,$FE166,0)+$FD167</f>
        <v/>
      </c>
      <c r="FF167" s="55">
        <f>$FF166+$FD167</f>
        <v/>
      </c>
      <c r="FG167" s="55">
        <f>SUMIFS(tblGold[Gold_oz],tblGold[Date],$A167,tblGold[Type],"Sale")</f>
        <v/>
      </c>
      <c r="FH167" s="55">
        <f>IF($B167=$B166,$FH166,0)+$FG167</f>
        <v/>
      </c>
      <c r="FI167" s="55">
        <f>$FI166+$FG167</f>
        <v/>
      </c>
      <c r="FJ167" s="55">
        <f>SUMIFS(tblGold[Dore_kg],tblGold[Date],$A167,tblGold[Type],"Shipment")</f>
        <v/>
      </c>
      <c r="FK167" s="55">
        <f>IF($B167=$B166,$FK166,0)+$FJ167</f>
        <v/>
      </c>
      <c r="FL167" s="55">
        <f>$FL166+$FJ167</f>
        <v/>
      </c>
      <c r="FM167" s="57">
        <f>SUMIFS(tblSafety[Hours_Total],tblSafety[Date],$A167)</f>
        <v/>
      </c>
      <c r="FN167" s="57">
        <f>IF($B167=$B166,$FN166,0)+$FM167</f>
        <v/>
      </c>
      <c r="FO167" s="57">
        <f>$FO166+$FM167</f>
        <v/>
      </c>
      <c r="FP167" s="62">
        <f>SUMIFS(tblSafety[Fatality],tblSafety[Date],$A167)</f>
        <v/>
      </c>
      <c r="FQ167" s="62">
        <f>IF($B167=$B166,$FQ166,0)+$FP167</f>
        <v/>
      </c>
      <c r="FR167" s="62">
        <f>$FR166+$FP167</f>
        <v/>
      </c>
      <c r="FS167" s="62">
        <f>SUMIFS(tblSafety[LTI],tblSafety[Date],$A167)</f>
        <v/>
      </c>
      <c r="FT167" s="62">
        <f>IF($B167=$B166,$FT166,0)+$FS167</f>
        <v/>
      </c>
      <c r="FU167" s="62">
        <f>$FU166+$FS167</f>
        <v/>
      </c>
      <c r="FV167" s="62">
        <f>SUMIFS(tblSafety[RWI],tblSafety[Date],$A167)</f>
        <v/>
      </c>
      <c r="FW167" s="62">
        <f>IF($B167=$B166,$FW166,0)+$FV167</f>
        <v/>
      </c>
      <c r="FX167" s="62">
        <f>$FX166+$FV167</f>
        <v/>
      </c>
      <c r="FY167" s="62">
        <f>SUMIFS(tblSafety[MTI],tblSafety[Date],$A167)</f>
        <v/>
      </c>
      <c r="FZ167" s="62">
        <f>IF($B167=$B166,$FZ166,0)+$FY167</f>
        <v/>
      </c>
      <c r="GA167" s="62">
        <f>$GA166+$FY167</f>
        <v/>
      </c>
      <c r="GB167" s="62">
        <f>SUMIFS(tblSafety[FAI],tblSafety[Date],$A167)</f>
        <v/>
      </c>
      <c r="GC167" s="62">
        <f>IF($B167=$B166,$GC166,0)+$GB167</f>
        <v/>
      </c>
      <c r="GD167" s="62">
        <f>$GD166+$GB167</f>
        <v/>
      </c>
      <c r="GE167" s="62">
        <f>SUMIFS(tblSafety[Recordables],tblSafety[Date],$A167)</f>
        <v/>
      </c>
      <c r="GF167" s="62">
        <f>IF($B167=$B166,$GF166,0)+$GE167</f>
        <v/>
      </c>
      <c r="GG167" s="62">
        <f>$GG166+$GE167</f>
        <v/>
      </c>
      <c r="GH167" s="62">
        <f>SUMIFS(tblSafety[Near_Miss],tblSafety[Date],$A167)</f>
        <v/>
      </c>
      <c r="GI167" s="62">
        <f>IF($B167=$B166,$GI166,0)+$GH167</f>
        <v/>
      </c>
      <c r="GJ167" s="62">
        <f>$GJ166+$GH167</f>
        <v/>
      </c>
      <c r="GK167" s="62">
        <f>SUMIFS(tblSafety[Hazard_Reports],tblSafety[Date],$A167)</f>
        <v/>
      </c>
      <c r="GL167" s="62">
        <f>IF($B167=$B166,$GL166,0)+$GK167</f>
        <v/>
      </c>
      <c r="GM167" s="62">
        <f>$GM166+$GK167</f>
        <v/>
      </c>
      <c r="GN167" s="62">
        <f>SUMIFS(tblSafety[HPI],tblSafety[Date],$A167)</f>
        <v/>
      </c>
      <c r="GO167" s="62">
        <f>IF($B167=$B166,$GO166,0)+$GN167</f>
        <v/>
      </c>
      <c r="GP167" s="62">
        <f>$GP166+$GN167</f>
        <v/>
      </c>
      <c r="GQ167" s="62">
        <f>SUMIFS(tblSafety[Env_Incidents],tblSafety[Date],$A167)</f>
        <v/>
      </c>
      <c r="GR167" s="62">
        <f>IF($B167=$B166,$GR166,0)+$GQ167</f>
        <v/>
      </c>
      <c r="GS167" s="62">
        <f>$GS166+$GQ167</f>
        <v/>
      </c>
      <c r="GT167" s="62">
        <f>SUMIFS(tblSafety[Community_Incidents],tblSafety[Date],$A167)</f>
        <v/>
      </c>
      <c r="GU167" s="62">
        <f>IF($B167=$B166,$GU166,0)+$GT167</f>
        <v/>
      </c>
      <c r="GV167" s="62">
        <f>$GV166+$GT167</f>
        <v/>
      </c>
      <c r="GW167" s="62">
        <f>SUMIFS(tblSafety[Vehicle_Incidents],tblSafety[Date],$A167)</f>
        <v/>
      </c>
      <c r="GX167" s="62">
        <f>IF($B167=$B166,$GX166,0)+$GW167</f>
        <v/>
      </c>
      <c r="GY167" s="62">
        <f>$GY166+$GW167</f>
        <v/>
      </c>
      <c r="GZ167" s="62">
        <f>SUMIFS(tblSafety[Toolbox_Talks],tblSafety[Date],$A167)</f>
        <v/>
      </c>
      <c r="HA167" s="62">
        <f>IF($B167=$B166,$HA166,0)+$GZ167</f>
        <v/>
      </c>
      <c r="HB167" s="62">
        <f>$HB166+$GZ167</f>
        <v/>
      </c>
      <c r="HC167" s="62">
        <f>SUMIFS(tblSafety[Inspections],tblSafety[Date],$A167)</f>
        <v/>
      </c>
      <c r="HD167" s="62">
        <f>IF($B167=$B166,$HD166,0)+$HC167</f>
        <v/>
      </c>
      <c r="HE167" s="62">
        <f>$HE166+$HC167</f>
        <v/>
      </c>
      <c r="HF167" s="56">
        <f>IFERROR((SUMIFS(tblSafety[Recordables],tblSafety[Date],"&gt;="&amp;EDATE($E167,-12),tblSafety[Date],"&lt;="&amp;$A167)+SUMIFS(tblSafetyHistory[Recordables],tblSafetyHistory[Month],"&gt;="&amp;EDATE($E167,-12),tblSafetyHistory[Month],"&lt;"&amp;cfg_YearStart))/(SUMIFS(tblSafety[Hours_Total],tblSafety[Date],"&gt;="&amp;EDATE($E167,-12),tblSafety[Date],"&lt;="&amp;$A167)+SUMIFS(tblSafetyHistory[Hours_Total],tblSafetyHistory[Month],"&gt;="&amp;EDATE($E167,-12),tblSafetyHistory[Month],"&lt;"&amp;cfg_YearStart))*1000000,"")</f>
        <v/>
      </c>
      <c r="HG167" s="56">
        <f>IFERROR((SUMIFS(tblSafety[LTI],tblSafety[Date],"&gt;="&amp;EDATE($E167,-12),tblSafety[Date],"&lt;="&amp;$A167)+SUMIFS(tblSafetyHistory[LTI],tblSafetyHistory[Month],"&gt;="&amp;EDATE($E167,-12),tblSafetyHistory[Month],"&lt;"&amp;cfg_YearStart))/(SUMIFS(tblSafety[Hours_Total],tblSafety[Date],"&gt;="&amp;EDATE($E167,-12),tblSafety[Date],"&lt;="&amp;$A167)+SUMIFS(tblSafetyHistory[Hours_Total],tblSafetyHistory[Month],"&gt;="&amp;EDATE($E167,-12),tblSafetyHistory[Month],"&lt;"&amp;cfg_YearStart))*1000000,"")</f>
        <v/>
      </c>
      <c r="HH167" s="62">
        <f>IF(MAX(N(cfg_PriorLTIDate),_xlfn.MAXIFS(tblSafety[Date],tblSafety[LTI],"&gt;0",tblSafety[Date],"&lt;="&amp;$A167))=0,"",$A167-MAX(N(cfg_PriorLTIDate),_xlfn.MAXIFS(tblSafety[Date],tblSafety[LTI],"&gt;0",tblSafety[Date],"&lt;="&amp;$A167)))</f>
        <v/>
      </c>
      <c r="HI167" s="55">
        <f>SUMIFS(tblBudget[Ore_Mined_t],tblBudget[Month],$E167)</f>
        <v/>
      </c>
      <c r="HJ167" s="55">
        <f>$HI167*$C167/$D167</f>
        <v/>
      </c>
      <c r="HK167" s="55">
        <f>SUMIFS(tblBudget[Ore_Mined_t],tblBudget[Month],"&lt;"&amp;$E167)+$HJ167</f>
        <v/>
      </c>
      <c r="HL167" s="55">
        <f>SUMIFS(tblBudget[Ore_oz],tblBudget[Month],$E167)</f>
        <v/>
      </c>
      <c r="HM167" s="55">
        <f>$HL167*$C167/$D167</f>
        <v/>
      </c>
      <c r="HN167" s="55">
        <f>SUMIFS(tblBudget[Ore_oz],tblBudget[Month],"&lt;"&amp;$E167)+$HM167</f>
        <v/>
      </c>
      <c r="HO167" s="56">
        <f>IFERROR(IF(($HI167)&gt;0,($HL167*cfg_TroyOz)/($HI167),""),"")</f>
        <v/>
      </c>
      <c r="HP167" s="56">
        <f>IFERROR(IF(($HJ167)&gt;0,($HM167*cfg_TroyOz)/($HJ167),""),"")</f>
        <v/>
      </c>
      <c r="HQ167" s="56">
        <f>IFERROR(IF(($HK167)&gt;0,($HN167*cfg_TroyOz)/($HK167),""),"")</f>
        <v/>
      </c>
      <c r="HR167" s="55">
        <f>SUMIFS(tblBudget[Waste_t],tblBudget[Month],$E167)</f>
        <v/>
      </c>
      <c r="HS167" s="55">
        <f>$HR167*$C167/$D167</f>
        <v/>
      </c>
      <c r="HT167" s="55">
        <f>SUMIFS(tblBudget[Waste_t],tblBudget[Month],"&lt;"&amp;$E167)+$HS167</f>
        <v/>
      </c>
      <c r="HU167" s="55">
        <f>SUMIFS(tblBudget[TMM_t],tblBudget[Month],$E167)</f>
        <v/>
      </c>
      <c r="HV167" s="55">
        <f>$HU167*$C167/$D167</f>
        <v/>
      </c>
      <c r="HW167" s="55">
        <f>SUMIFS(tblBudget[TMM_t],tblBudget[Month],"&lt;"&amp;$E167)+$HV167</f>
        <v/>
      </c>
      <c r="HX167" s="56">
        <f>IFERROR(IF(($HI167)&gt;0,($HR167)/($HI167),""),"")</f>
        <v/>
      </c>
      <c r="HY167" s="56">
        <f>IFERROR(IF(($HJ167)&gt;0,($HS167)/($HJ167),""),"")</f>
        <v/>
      </c>
      <c r="HZ167" s="56">
        <f>IFERROR(IF(($HK167)&gt;0,($HT167)/($HK167),""),"")</f>
        <v/>
      </c>
      <c r="IA167" s="55">
        <f>SUMIFS(tblBudget[Drill_m],tblBudget[Month],$E167)</f>
        <v/>
      </c>
      <c r="IB167" s="55">
        <f>$IA167*$C167/$D167</f>
        <v/>
      </c>
      <c r="IC167" s="55">
        <f>SUMIFS(tblBudget[Drill_m],tblBudget[Month],"&lt;"&amp;$E167)+$IB167</f>
        <v/>
      </c>
      <c r="ID167" s="55">
        <f>SUMIFS(tblBudget[Diesel_L],tblBudget[Month],$E167)</f>
        <v/>
      </c>
      <c r="IE167" s="55">
        <f>$ID167*$C167/$D167</f>
        <v/>
      </c>
      <c r="IF167" s="55">
        <f>SUMIFS(tblBudget[Diesel_L],tblBudget[Month],"&lt;"&amp;$E167)+$IE167</f>
        <v/>
      </c>
      <c r="IG167" s="55">
        <f>SUMIFS(tblBudget[Milled_t],tblBudget[Month],$E167)</f>
        <v/>
      </c>
      <c r="IH167" s="55">
        <f>$IG167*$C167/$D167</f>
        <v/>
      </c>
      <c r="II167" s="55">
        <f>SUMIFS(tblBudget[Milled_t],tblBudget[Month],"&lt;"&amp;$E167)+$IH167</f>
        <v/>
      </c>
      <c r="IJ167" s="55">
        <f>SUMIFS(tblBudget[Feed_oz],tblBudget[Month],$E167)</f>
        <v/>
      </c>
      <c r="IK167" s="55">
        <f>$IJ167*$C167/$D167</f>
        <v/>
      </c>
      <c r="IL167" s="55">
        <f>SUMIFS(tblBudget[Feed_oz],tblBudget[Month],"&lt;"&amp;$E167)+$IK167</f>
        <v/>
      </c>
      <c r="IM167" s="55">
        <f>SUMIFS(tblBudget[Recovered_oz],tblBudget[Month],$E167)</f>
        <v/>
      </c>
      <c r="IN167" s="55">
        <f>$IM167*$C167/$D167</f>
        <v/>
      </c>
      <c r="IO167" s="55">
        <f>SUMIFS(tblBudget[Recovered_oz],tblBudget[Month],"&lt;"&amp;$E167)+$IN167</f>
        <v/>
      </c>
      <c r="IP167" s="56">
        <f>IFERROR(IF(($IG167)&gt;0,($IJ167*cfg_TroyOz)/($IG167),""),"")</f>
        <v/>
      </c>
      <c r="IQ167" s="56">
        <f>IFERROR(IF(($IH167)&gt;0,($IK167*cfg_TroyOz)/($IH167),""),"")</f>
        <v/>
      </c>
      <c r="IR167" s="56">
        <f>IFERROR(IF(($II167)&gt;0,($IL167*cfg_TroyOz)/($II167),""),"")</f>
        <v/>
      </c>
      <c r="IS167" s="67">
        <f>IFERROR(IF(($IJ167)&gt;0,($IM167)/($IJ167),""),"")</f>
        <v/>
      </c>
      <c r="IT167" s="67">
        <f>IFERROR(IF(($IK167)&gt;0,($IN167)/($IK167),""),"")</f>
        <v/>
      </c>
      <c r="IU167" s="67">
        <f>IFERROR(IF(($IL167)&gt;0,($IO167)/($IL167),""),"")</f>
        <v/>
      </c>
      <c r="IV167" s="55">
        <f>SUMIFS(tblBudget[Gold_Poured_oz],tblBudget[Month],$E167)</f>
        <v/>
      </c>
      <c r="IW167" s="55">
        <f>$IV167*$C167/$D167</f>
        <v/>
      </c>
      <c r="IX167" s="55">
        <f>SUMIFS(tblBudget[Gold_Poured_oz],tblBudget[Month],"&lt;"&amp;$E167)+$IW167</f>
        <v/>
      </c>
      <c r="IY167" s="57">
        <f>SUMIFS(tblBudget[Hours_Worked],tblBudget[Month],$E167)</f>
        <v/>
      </c>
      <c r="IZ167" s="57">
        <f>$IY167*$C167/$D167</f>
        <v/>
      </c>
      <c r="JA167" s="57">
        <f>SUMIFS(tblBudget[Hours_Worked],tblBudget[Month],"&lt;"&amp;$E167)+$IZ167</f>
        <v/>
      </c>
    </row>
    <row r="168">
      <c r="A168" s="54" t="n">
        <v>46189</v>
      </c>
      <c r="B168">
        <f>MONTH($A168)</f>
        <v/>
      </c>
      <c r="C168">
        <f>DAY($A168)</f>
        <v/>
      </c>
      <c r="D168">
        <f>DAY(EOMONTH($A168,0))</f>
        <v/>
      </c>
      <c r="E168" s="54">
        <f>DATE(YEAR($A168),MONTH($A168),1)</f>
        <v/>
      </c>
      <c r="F168" s="55">
        <f>SUMIFS(tblMovement[Tonnes_t],tblMovement[Date],$A168,tblMovement[Is_Ore],1,tblMovement[Source_Type],"Pit")</f>
        <v/>
      </c>
      <c r="G168" s="55">
        <f>IF($B168=$B167,$G167,0)+$F168</f>
        <v/>
      </c>
      <c r="H168" s="55">
        <f>$H167+$F168</f>
        <v/>
      </c>
      <c r="I168" s="55">
        <f>SUMIFS(tblMovement[Ore_oz],tblMovement[Date],$A168,tblMovement[Source_Type],"Pit")</f>
        <v/>
      </c>
      <c r="J168" s="55">
        <f>IF($B168=$B167,$J167,0)+$I168</f>
        <v/>
      </c>
      <c r="K168" s="55">
        <f>$K167+$I168</f>
        <v/>
      </c>
      <c r="L168" s="56">
        <f>IFERROR(IF(($F168)&gt;0,($I168*cfg_TroyOz)/($F168),""),"")</f>
        <v/>
      </c>
      <c r="M168" s="56">
        <f>IFERROR(IF(($G168)&gt;0,($J168*cfg_TroyOz)/($G168),""),"")</f>
        <v/>
      </c>
      <c r="N168" s="56">
        <f>IFERROR(IF(($H168)&gt;0,($K168*cfg_TroyOz)/($H168),""),"")</f>
        <v/>
      </c>
      <c r="O168" s="55">
        <f>SUMIFS(tblMovement[Tonnes_t],tblMovement[Date],$A168,tblMovement[Is_Ore],0,tblMovement[Source_Type],"Pit")</f>
        <v/>
      </c>
      <c r="P168" s="55">
        <f>IF($B168=$B167,$P167,0)+$O168</f>
        <v/>
      </c>
      <c r="Q168" s="55">
        <f>$Q167+$O168</f>
        <v/>
      </c>
      <c r="R168" s="55">
        <f>$F168+$O168</f>
        <v/>
      </c>
      <c r="S168" s="55">
        <f>IF($B168=$B167,$S167,0)+$R168</f>
        <v/>
      </c>
      <c r="T168" s="55">
        <f>$T167+$R168</f>
        <v/>
      </c>
      <c r="U168" s="56">
        <f>IFERROR(IF(($F168)&gt;0,($O168)/($F168),""),"")</f>
        <v/>
      </c>
      <c r="V168" s="56">
        <f>IFERROR(IF(($G168)&gt;0,($P168)/($G168),""),"")</f>
        <v/>
      </c>
      <c r="W168" s="56">
        <f>IFERROR(IF(($H168)&gt;0,($Q168)/($H168),""),"")</f>
        <v/>
      </c>
      <c r="X168" s="55">
        <f>SUMIFS(tblMovement[Tonnes_t],tblMovement[Date],$A168,tblMovement[Source_Type],"Stockpile")</f>
        <v/>
      </c>
      <c r="Y168" s="55">
        <f>IF($B168=$B167,$Y167,0)+$X168</f>
        <v/>
      </c>
      <c r="Z168" s="55">
        <f>$Z167+$X168</f>
        <v/>
      </c>
      <c r="AA168" s="55">
        <f>SUMIFS(tblMiningDaily[Drill_m],tblMiningDaily[Date],$A168)</f>
        <v/>
      </c>
      <c r="AB168" s="55">
        <f>IF($B168=$B167,$AB167,0)+$AA168</f>
        <v/>
      </c>
      <c r="AC168" s="55">
        <f>$AC167+$AA168</f>
        <v/>
      </c>
      <c r="AD168" s="55">
        <f>SUMIFS(tblMiningDaily[Blast_t],tblMiningDaily[Date],$A168)</f>
        <v/>
      </c>
      <c r="AE168" s="55">
        <f>IF($B168=$B167,$AE167,0)+$AD168</f>
        <v/>
      </c>
      <c r="AF168" s="55">
        <f>$AF167+$AD168</f>
        <v/>
      </c>
      <c r="AG168" s="55">
        <f>SUMIFS(tblMiningDaily[Explosives_kg],tblMiningDaily[Date],$A168)</f>
        <v/>
      </c>
      <c r="AH168" s="55">
        <f>IF($B168=$B167,$AH167,0)+$AG168</f>
        <v/>
      </c>
      <c r="AI168" s="55">
        <f>$AI167+$AG168</f>
        <v/>
      </c>
      <c r="AJ168" s="56">
        <f>IFERROR(IF(($AD168)&gt;0,($AG168)/($AD168),""),"")</f>
        <v/>
      </c>
      <c r="AK168" s="56">
        <f>IFERROR(IF(($AE168)&gt;0,($AH168)/($AE168),""),"")</f>
        <v/>
      </c>
      <c r="AL168" s="56">
        <f>IFERROR(IF(($AF168)&gt;0,($AI168)/($AF168),""),"")</f>
        <v/>
      </c>
      <c r="AM168" s="55">
        <f>SUMIFS(tblMiningDaily[Diesel_L],tblMiningDaily[Date],$A168)</f>
        <v/>
      </c>
      <c r="AN168" s="55">
        <f>IF($B168=$B167,$AN167,0)+$AM168</f>
        <v/>
      </c>
      <c r="AO168" s="55">
        <f>$AO167+$AM168</f>
        <v/>
      </c>
      <c r="AP168" s="55">
        <f>SUMIFS(tblMiningDaily[Dewatering_m3],tblMiningDaily[Date],$A168)</f>
        <v/>
      </c>
      <c r="AQ168" s="55">
        <f>IF($B168=$B167,$AQ167,0)+$AP168</f>
        <v/>
      </c>
      <c r="AR168" s="55">
        <f>$AR167+$AP168</f>
        <v/>
      </c>
      <c r="AS168" s="57">
        <f>SUMIFS(tblFleet[Calendar_h],tblFleet[Date],$A168,tblFleet[Equipment_Class],"Excavator")</f>
        <v/>
      </c>
      <c r="AT168" s="57">
        <f>IF($B168=$B167,$AT167,0)+$AS168</f>
        <v/>
      </c>
      <c r="AU168" s="57">
        <f>$AU167+$AS168</f>
        <v/>
      </c>
      <c r="AV168" s="57">
        <f>SUMIFS(tblFleet[Available_h],tblFleet[Date],$A168,tblFleet[Equipment_Class],"Excavator")</f>
        <v/>
      </c>
      <c r="AW168" s="57">
        <f>IF($B168=$B167,$AW167,0)+$AV168</f>
        <v/>
      </c>
      <c r="AX168" s="57">
        <f>$AX167+$AV168</f>
        <v/>
      </c>
      <c r="AY168" s="57">
        <f>SUMIFS(tblFleet[Operating_h],tblFleet[Date],$A168,tblFleet[Equipment_Class],"Excavator")</f>
        <v/>
      </c>
      <c r="AZ168" s="57">
        <f>IF($B168=$B167,$AZ167,0)+$AY168</f>
        <v/>
      </c>
      <c r="BA168" s="57">
        <f>$BA167+$AY168</f>
        <v/>
      </c>
      <c r="BB168" s="67">
        <f>IFERROR(IF(($AS168)&gt;0,($AV168)/($AS168),""),"")</f>
        <v/>
      </c>
      <c r="BC168" s="67">
        <f>IFERROR(IF(($AT168)&gt;0,($AW168)/($AT168),""),"")</f>
        <v/>
      </c>
      <c r="BD168" s="67">
        <f>IFERROR(IF(($AU168)&gt;0,($AX168)/($AU168),""),"")</f>
        <v/>
      </c>
      <c r="BE168" s="67">
        <f>IFERROR(IF(($AV168)&gt;0,($AY168)/($AV168),""),"")</f>
        <v/>
      </c>
      <c r="BF168" s="67">
        <f>IFERROR(IF(($AW168)&gt;0,($AZ168)/($AW168),""),"")</f>
        <v/>
      </c>
      <c r="BG168" s="67">
        <f>IFERROR(IF(($AX168)&gt;0,($BA168)/($AX168),""),"")</f>
        <v/>
      </c>
      <c r="BH168" s="57">
        <f>SUMIFS(tblFleet[Calendar_h],tblFleet[Date],$A168,tblFleet[Equipment_Class],"Haul Truck")</f>
        <v/>
      </c>
      <c r="BI168" s="57">
        <f>IF($B168=$B167,$BI167,0)+$BH168</f>
        <v/>
      </c>
      <c r="BJ168" s="57">
        <f>$BJ167+$BH168</f>
        <v/>
      </c>
      <c r="BK168" s="57">
        <f>SUMIFS(tblFleet[Available_h],tblFleet[Date],$A168,tblFleet[Equipment_Class],"Haul Truck")</f>
        <v/>
      </c>
      <c r="BL168" s="57">
        <f>IF($B168=$B167,$BL167,0)+$BK168</f>
        <v/>
      </c>
      <c r="BM168" s="57">
        <f>$BM167+$BK168</f>
        <v/>
      </c>
      <c r="BN168" s="57">
        <f>SUMIFS(tblFleet[Operating_h],tblFleet[Date],$A168,tblFleet[Equipment_Class],"Haul Truck")</f>
        <v/>
      </c>
      <c r="BO168" s="57">
        <f>IF($B168=$B167,$BO167,0)+$BN168</f>
        <v/>
      </c>
      <c r="BP168" s="57">
        <f>$BP167+$BN168</f>
        <v/>
      </c>
      <c r="BQ168" s="67">
        <f>IFERROR(IF(($BH168)&gt;0,($BK168)/($BH168),""),"")</f>
        <v/>
      </c>
      <c r="BR168" s="67">
        <f>IFERROR(IF(($BI168)&gt;0,($BL168)/($BI168),""),"")</f>
        <v/>
      </c>
      <c r="BS168" s="67">
        <f>IFERROR(IF(($BJ168)&gt;0,($BM168)/($BJ168),""),"")</f>
        <v/>
      </c>
      <c r="BT168" s="67">
        <f>IFERROR(IF(($BK168)&gt;0,($BN168)/($BK168),""),"")</f>
        <v/>
      </c>
      <c r="BU168" s="67">
        <f>IFERROR(IF(($BL168)&gt;0,($BO168)/($BL168),""),"")</f>
        <v/>
      </c>
      <c r="BV168" s="67">
        <f>IFERROR(IF(($BM168)&gt;0,($BP168)/($BM168),""),"")</f>
        <v/>
      </c>
      <c r="BW168" s="55">
        <f>SUMIFS(tblPlant[Crushed_t],tblPlant[Date],$A168)</f>
        <v/>
      </c>
      <c r="BX168" s="55">
        <f>IF($B168=$B167,$BX167,0)+$BW168</f>
        <v/>
      </c>
      <c r="BY168" s="55">
        <f>$BY167+$BW168</f>
        <v/>
      </c>
      <c r="BZ168" s="55">
        <f>SUMIFS(tblPlant[Milled_t],tblPlant[Date],$A168)</f>
        <v/>
      </c>
      <c r="CA168" s="55">
        <f>IF($B168=$B167,$CA167,0)+$BZ168</f>
        <v/>
      </c>
      <c r="CB168" s="55">
        <f>$CB167+$BZ168</f>
        <v/>
      </c>
      <c r="CC168" s="55">
        <f>SUMIFS(tblPlant[Feed_oz],tblPlant[Date],$A168)</f>
        <v/>
      </c>
      <c r="CD168" s="55">
        <f>IF($B168=$B167,$CD167,0)+$CC168</f>
        <v/>
      </c>
      <c r="CE168" s="55">
        <f>$CE167+$CC168</f>
        <v/>
      </c>
      <c r="CF168" s="55">
        <f>SUMIFS(tblPlant[Tails_oz],tblPlant[Date],$A168)</f>
        <v/>
      </c>
      <c r="CG168" s="55">
        <f>IF($B168=$B167,$CG167,0)+$CF168</f>
        <v/>
      </c>
      <c r="CH168" s="55">
        <f>$CH167+$CF168</f>
        <v/>
      </c>
      <c r="CI168" s="55">
        <f>SUMIFS(tblPlant[Recovered_oz],tblPlant[Date],$A168)</f>
        <v/>
      </c>
      <c r="CJ168" s="55">
        <f>IF($B168=$B167,$CJ167,0)+$CI168</f>
        <v/>
      </c>
      <c r="CK168" s="55">
        <f>$CK167+$CI168</f>
        <v/>
      </c>
      <c r="CL168" s="56">
        <f>IFERROR(IF(($BZ168)&gt;0,($CC168*cfg_TroyOz)/($BZ168),""),"")</f>
        <v/>
      </c>
      <c r="CM168" s="56">
        <f>IFERROR(IF(($CA168)&gt;0,($CD168*cfg_TroyOz)/($CA168),""),"")</f>
        <v/>
      </c>
      <c r="CN168" s="56">
        <f>IFERROR(IF(($CB168)&gt;0,($CE168*cfg_TroyOz)/($CB168),""),"")</f>
        <v/>
      </c>
      <c r="CO168" s="56">
        <f>IFERROR(IF(($BZ168)&gt;0,($CF168*cfg_TroyOz)/($BZ168),""),"")</f>
        <v/>
      </c>
      <c r="CP168" s="56">
        <f>IFERROR(IF(($CA168)&gt;0,($CG168*cfg_TroyOz)/($CA168),""),"")</f>
        <v/>
      </c>
      <c r="CQ168" s="56">
        <f>IFERROR(IF(($CB168)&gt;0,($CH168*cfg_TroyOz)/($CB168),""),"")</f>
        <v/>
      </c>
      <c r="CR168" s="67">
        <f>IFERROR(IF(($CC168)&gt;0,($CI168)/($CC168),""),"")</f>
        <v/>
      </c>
      <c r="CS168" s="67">
        <f>IFERROR(IF(($CD168)&gt;0,($CJ168)/($CD168),""),"")</f>
        <v/>
      </c>
      <c r="CT168" s="67">
        <f>IFERROR(IF(($CE168)&gt;0,($CK168)/($CE168),""),"")</f>
        <v/>
      </c>
      <c r="CU168" s="55">
        <f>SUMIFS(tblPlant[Gravity_Gold_oz],tblPlant[Date],$A168)</f>
        <v/>
      </c>
      <c r="CV168" s="55">
        <f>IF($B168=$B167,$CV167,0)+$CU168</f>
        <v/>
      </c>
      <c r="CW168" s="55">
        <f>$CW167+$CU168</f>
        <v/>
      </c>
      <c r="CX168" s="55">
        <f>SUMIFS(tblPlant[Gold_Poured_oz],tblPlant[Date],$A168)</f>
        <v/>
      </c>
      <c r="CY168" s="55">
        <f>IF($B168=$B167,$CY167,0)+$CX168</f>
        <v/>
      </c>
      <c r="CZ168" s="55">
        <f>$CZ167+$CX168</f>
        <v/>
      </c>
      <c r="DA168" s="57">
        <f>SUMIFS(tblPlant[Mill_Run_h],tblPlant[Date],$A168)</f>
        <v/>
      </c>
      <c r="DB168" s="57">
        <f>IF($B168=$B167,$DB167,0)+$DA168</f>
        <v/>
      </c>
      <c r="DC168" s="57">
        <f>$DC167+$DA168</f>
        <v/>
      </c>
      <c r="DD168" s="57">
        <f>SUMIFS(tblPlant[Mill_Planned_Maint_h],tblPlant[Date],$A168)</f>
        <v/>
      </c>
      <c r="DE168" s="57">
        <f>IF($B168=$B167,$DE167,0)+$DD168</f>
        <v/>
      </c>
      <c r="DF168" s="57">
        <f>$DF167+$DD168</f>
        <v/>
      </c>
      <c r="DG168" s="57">
        <f>SUMIFS(tblPlant[Mill_Unplanned_Down_h],tblPlant[Date],$A168)</f>
        <v/>
      </c>
      <c r="DH168" s="57">
        <f>IF($B168=$B167,$DH167,0)+$DG168</f>
        <v/>
      </c>
      <c r="DI168" s="57">
        <f>$DI167+$DG168</f>
        <v/>
      </c>
      <c r="DJ168" s="57">
        <f>COUNTIFS(tblPlant[Date],$A168,tblPlant[Mill_Run_h],"&lt;&gt;")*24</f>
        <v/>
      </c>
      <c r="DK168" s="57">
        <f>IF($B168=$B167,$DK167,0)+$DJ168</f>
        <v/>
      </c>
      <c r="DL168" s="57">
        <f>$DL167+$DJ168</f>
        <v/>
      </c>
      <c r="DM168" s="57">
        <f>SUMIFS(tblPlant[Crusher_Run_h],tblPlant[Date],$A168)</f>
        <v/>
      </c>
      <c r="DN168" s="57">
        <f>IF($B168=$B167,$DN167,0)+$DM168</f>
        <v/>
      </c>
      <c r="DO168" s="57">
        <f>$DO167+$DM168</f>
        <v/>
      </c>
      <c r="DP168" s="55">
        <f>IFERROR(IF(($DA168)&gt;0,($BZ168)/($DA168),""),"")</f>
        <v/>
      </c>
      <c r="DQ168" s="55">
        <f>IFERROR(IF(($DB168)&gt;0,($CA168)/($DB168),""),"")</f>
        <v/>
      </c>
      <c r="DR168" s="55">
        <f>IFERROR(IF(($DC168)&gt;0,($CB168)/($DC168),""),"")</f>
        <v/>
      </c>
      <c r="DS168" s="67">
        <f>IFERROR(IF(($DJ168)&gt;0,($DJ168-$DD168-$DG168)/($DJ168),""),"")</f>
        <v/>
      </c>
      <c r="DT168" s="67">
        <f>IFERROR(IF(($DK168)&gt;0,($DK168-$DE168-$DH168)/($DK168),""),"")</f>
        <v/>
      </c>
      <c r="DU168" s="67">
        <f>IFERROR(IF(($DL168)&gt;0,($DL168-$DF168-$DI168)/($DL168),""),"")</f>
        <v/>
      </c>
      <c r="DV168" s="67">
        <f>IFERROR(IF(($DJ168-$DD168-$DG168)&gt;0,($DA168)/($DJ168-$DD168-$DG168),""),"")</f>
        <v/>
      </c>
      <c r="DW168" s="67">
        <f>IFERROR(IF(($DK168-$DE168-$DH168)&gt;0,($DB168)/($DK168-$DE168-$DH168),""),"")</f>
        <v/>
      </c>
      <c r="DX168" s="67">
        <f>IFERROR(IF(($DL168-$DF168-$DI168)&gt;0,($DC168)/($DL168-$DF168-$DI168),""),"")</f>
        <v/>
      </c>
      <c r="DY168" s="55">
        <f>SUMIFS(tblPlant[Cyanide_kg],tblPlant[Date],$A168)</f>
        <v/>
      </c>
      <c r="DZ168" s="55">
        <f>IF($B168=$B167,$DZ167,0)+$DY168</f>
        <v/>
      </c>
      <c r="EA168" s="55">
        <f>$EA167+$DY168</f>
        <v/>
      </c>
      <c r="EB168" s="55">
        <f>SUMIFS(tblPlant[Lime_kg],tblPlant[Date],$A168)</f>
        <v/>
      </c>
      <c r="EC168" s="55">
        <f>IF($B168=$B167,$EC167,0)+$EB168</f>
        <v/>
      </c>
      <c r="ED168" s="55">
        <f>$ED167+$EB168</f>
        <v/>
      </c>
      <c r="EE168" s="55">
        <f>SUMIFS(tblPlant[Grinding_Media_kg],tblPlant[Date],$A168)</f>
        <v/>
      </c>
      <c r="EF168" s="55">
        <f>IF($B168=$B167,$EF167,0)+$EE168</f>
        <v/>
      </c>
      <c r="EG168" s="55">
        <f>$EG167+$EE168</f>
        <v/>
      </c>
      <c r="EH168" s="55">
        <f>SUMIFS(tblPlant[Power_kWh],tblPlant[Date],$A168)</f>
        <v/>
      </c>
      <c r="EI168" s="55">
        <f>IF($B168=$B167,$EI167,0)+$EH168</f>
        <v/>
      </c>
      <c r="EJ168" s="55">
        <f>$EJ167+$EH168</f>
        <v/>
      </c>
      <c r="EK168" s="55">
        <f>SUMIFS(tblPlant[Raw_Water_m3],tblPlant[Date],$A168)</f>
        <v/>
      </c>
      <c r="EL168" s="55">
        <f>IF($B168=$B167,$EL167,0)+$EK168</f>
        <v/>
      </c>
      <c r="EM168" s="55">
        <f>$EM167+$EK168</f>
        <v/>
      </c>
      <c r="EN168" s="56">
        <f>IFERROR(IF(($BZ168)&gt;0,($DY168)/($BZ168),""),"")</f>
        <v/>
      </c>
      <c r="EO168" s="56">
        <f>IFERROR(IF(($CA168)&gt;0,($DZ168)/($CA168),""),"")</f>
        <v/>
      </c>
      <c r="EP168" s="56">
        <f>IFERROR(IF(($CB168)&gt;0,($EA168)/($CB168),""),"")</f>
        <v/>
      </c>
      <c r="EQ168" s="56">
        <f>IFERROR(IF(($BZ168)&gt;0,($EB168)/($BZ168),""),"")</f>
        <v/>
      </c>
      <c r="ER168" s="56">
        <f>IFERROR(IF(($CA168)&gt;0,($EC168)/($CA168),""),"")</f>
        <v/>
      </c>
      <c r="ES168" s="56">
        <f>IFERROR(IF(($CB168)&gt;0,($ED168)/($CB168),""),"")</f>
        <v/>
      </c>
      <c r="ET168" s="56">
        <f>IFERROR(IF(($BZ168)&gt;0,($EE168)/($BZ168),""),"")</f>
        <v/>
      </c>
      <c r="EU168" s="56">
        <f>IFERROR(IF(($CA168)&gt;0,($EF168)/($CA168),""),"")</f>
        <v/>
      </c>
      <c r="EV168" s="56">
        <f>IFERROR(IF(($CB168)&gt;0,($EG168)/($CB168),""),"")</f>
        <v/>
      </c>
      <c r="EW168" s="76">
        <f>IFERROR(IF(($BZ168)&gt;0,($EH168)/($BZ168),""),"")</f>
        <v/>
      </c>
      <c r="EX168" s="76">
        <f>IFERROR(IF(($CA168)&gt;0,($EI168)/($CA168),""),"")</f>
        <v/>
      </c>
      <c r="EY168" s="76">
        <f>IFERROR(IF(($CB168)&gt;0,($EJ168)/($CB168),""),"")</f>
        <v/>
      </c>
      <c r="EZ168" s="56">
        <f>IFERROR(IF(($BZ168)&gt;0,($EK168)/($BZ168),""),"")</f>
        <v/>
      </c>
      <c r="FA168" s="56">
        <f>IFERROR(IF(($CA168)&gt;0,($EL168)/($CA168),""),"")</f>
        <v/>
      </c>
      <c r="FB168" s="56">
        <f>IFERROR(IF(($CB168)&gt;0,($EM168)/($CB168),""),"")</f>
        <v/>
      </c>
      <c r="FC168" s="55">
        <f>IF(SUMIFS(tblPlant[GIC_oz],tblPlant[Date],$A168)&gt;0,SUMIFS(tblPlant[GIC_oz],tblPlant[Date],$A168),"")</f>
        <v/>
      </c>
      <c r="FD168" s="55">
        <f>SUMIFS(tblGold[Gold_oz],tblGold[Date],$A168,tblGold[Type],"Shipment")</f>
        <v/>
      </c>
      <c r="FE168" s="55">
        <f>IF($B168=$B167,$FE167,0)+$FD168</f>
        <v/>
      </c>
      <c r="FF168" s="55">
        <f>$FF167+$FD168</f>
        <v/>
      </c>
      <c r="FG168" s="55">
        <f>SUMIFS(tblGold[Gold_oz],tblGold[Date],$A168,tblGold[Type],"Sale")</f>
        <v/>
      </c>
      <c r="FH168" s="55">
        <f>IF($B168=$B167,$FH167,0)+$FG168</f>
        <v/>
      </c>
      <c r="FI168" s="55">
        <f>$FI167+$FG168</f>
        <v/>
      </c>
      <c r="FJ168" s="55">
        <f>SUMIFS(tblGold[Dore_kg],tblGold[Date],$A168,tblGold[Type],"Shipment")</f>
        <v/>
      </c>
      <c r="FK168" s="55">
        <f>IF($B168=$B167,$FK167,0)+$FJ168</f>
        <v/>
      </c>
      <c r="FL168" s="55">
        <f>$FL167+$FJ168</f>
        <v/>
      </c>
      <c r="FM168" s="57">
        <f>SUMIFS(tblSafety[Hours_Total],tblSafety[Date],$A168)</f>
        <v/>
      </c>
      <c r="FN168" s="57">
        <f>IF($B168=$B167,$FN167,0)+$FM168</f>
        <v/>
      </c>
      <c r="FO168" s="57">
        <f>$FO167+$FM168</f>
        <v/>
      </c>
      <c r="FP168" s="62">
        <f>SUMIFS(tblSafety[Fatality],tblSafety[Date],$A168)</f>
        <v/>
      </c>
      <c r="FQ168" s="62">
        <f>IF($B168=$B167,$FQ167,0)+$FP168</f>
        <v/>
      </c>
      <c r="FR168" s="62">
        <f>$FR167+$FP168</f>
        <v/>
      </c>
      <c r="FS168" s="62">
        <f>SUMIFS(tblSafety[LTI],tblSafety[Date],$A168)</f>
        <v/>
      </c>
      <c r="FT168" s="62">
        <f>IF($B168=$B167,$FT167,0)+$FS168</f>
        <v/>
      </c>
      <c r="FU168" s="62">
        <f>$FU167+$FS168</f>
        <v/>
      </c>
      <c r="FV168" s="62">
        <f>SUMIFS(tblSafety[RWI],tblSafety[Date],$A168)</f>
        <v/>
      </c>
      <c r="FW168" s="62">
        <f>IF($B168=$B167,$FW167,0)+$FV168</f>
        <v/>
      </c>
      <c r="FX168" s="62">
        <f>$FX167+$FV168</f>
        <v/>
      </c>
      <c r="FY168" s="62">
        <f>SUMIFS(tblSafety[MTI],tblSafety[Date],$A168)</f>
        <v/>
      </c>
      <c r="FZ168" s="62">
        <f>IF($B168=$B167,$FZ167,0)+$FY168</f>
        <v/>
      </c>
      <c r="GA168" s="62">
        <f>$GA167+$FY168</f>
        <v/>
      </c>
      <c r="GB168" s="62">
        <f>SUMIFS(tblSafety[FAI],tblSafety[Date],$A168)</f>
        <v/>
      </c>
      <c r="GC168" s="62">
        <f>IF($B168=$B167,$GC167,0)+$GB168</f>
        <v/>
      </c>
      <c r="GD168" s="62">
        <f>$GD167+$GB168</f>
        <v/>
      </c>
      <c r="GE168" s="62">
        <f>SUMIFS(tblSafety[Recordables],tblSafety[Date],$A168)</f>
        <v/>
      </c>
      <c r="GF168" s="62">
        <f>IF($B168=$B167,$GF167,0)+$GE168</f>
        <v/>
      </c>
      <c r="GG168" s="62">
        <f>$GG167+$GE168</f>
        <v/>
      </c>
      <c r="GH168" s="62">
        <f>SUMIFS(tblSafety[Near_Miss],tblSafety[Date],$A168)</f>
        <v/>
      </c>
      <c r="GI168" s="62">
        <f>IF($B168=$B167,$GI167,0)+$GH168</f>
        <v/>
      </c>
      <c r="GJ168" s="62">
        <f>$GJ167+$GH168</f>
        <v/>
      </c>
      <c r="GK168" s="62">
        <f>SUMIFS(tblSafety[Hazard_Reports],tblSafety[Date],$A168)</f>
        <v/>
      </c>
      <c r="GL168" s="62">
        <f>IF($B168=$B167,$GL167,0)+$GK168</f>
        <v/>
      </c>
      <c r="GM168" s="62">
        <f>$GM167+$GK168</f>
        <v/>
      </c>
      <c r="GN168" s="62">
        <f>SUMIFS(tblSafety[HPI],tblSafety[Date],$A168)</f>
        <v/>
      </c>
      <c r="GO168" s="62">
        <f>IF($B168=$B167,$GO167,0)+$GN168</f>
        <v/>
      </c>
      <c r="GP168" s="62">
        <f>$GP167+$GN168</f>
        <v/>
      </c>
      <c r="GQ168" s="62">
        <f>SUMIFS(tblSafety[Env_Incidents],tblSafety[Date],$A168)</f>
        <v/>
      </c>
      <c r="GR168" s="62">
        <f>IF($B168=$B167,$GR167,0)+$GQ168</f>
        <v/>
      </c>
      <c r="GS168" s="62">
        <f>$GS167+$GQ168</f>
        <v/>
      </c>
      <c r="GT168" s="62">
        <f>SUMIFS(tblSafety[Community_Incidents],tblSafety[Date],$A168)</f>
        <v/>
      </c>
      <c r="GU168" s="62">
        <f>IF($B168=$B167,$GU167,0)+$GT168</f>
        <v/>
      </c>
      <c r="GV168" s="62">
        <f>$GV167+$GT168</f>
        <v/>
      </c>
      <c r="GW168" s="62">
        <f>SUMIFS(tblSafety[Vehicle_Incidents],tblSafety[Date],$A168)</f>
        <v/>
      </c>
      <c r="GX168" s="62">
        <f>IF($B168=$B167,$GX167,0)+$GW168</f>
        <v/>
      </c>
      <c r="GY168" s="62">
        <f>$GY167+$GW168</f>
        <v/>
      </c>
      <c r="GZ168" s="62">
        <f>SUMIFS(tblSafety[Toolbox_Talks],tblSafety[Date],$A168)</f>
        <v/>
      </c>
      <c r="HA168" s="62">
        <f>IF($B168=$B167,$HA167,0)+$GZ168</f>
        <v/>
      </c>
      <c r="HB168" s="62">
        <f>$HB167+$GZ168</f>
        <v/>
      </c>
      <c r="HC168" s="62">
        <f>SUMIFS(tblSafety[Inspections],tblSafety[Date],$A168)</f>
        <v/>
      </c>
      <c r="HD168" s="62">
        <f>IF($B168=$B167,$HD167,0)+$HC168</f>
        <v/>
      </c>
      <c r="HE168" s="62">
        <f>$HE167+$HC168</f>
        <v/>
      </c>
      <c r="HF168" s="56">
        <f>IFERROR((SUMIFS(tblSafety[Recordables],tblSafety[Date],"&gt;="&amp;EDATE($E168,-12),tblSafety[Date],"&lt;="&amp;$A168)+SUMIFS(tblSafetyHistory[Recordables],tblSafetyHistory[Month],"&gt;="&amp;EDATE($E168,-12),tblSafetyHistory[Month],"&lt;"&amp;cfg_YearStart))/(SUMIFS(tblSafety[Hours_Total],tblSafety[Date],"&gt;="&amp;EDATE($E168,-12),tblSafety[Date],"&lt;="&amp;$A168)+SUMIFS(tblSafetyHistory[Hours_Total],tblSafetyHistory[Month],"&gt;="&amp;EDATE($E168,-12),tblSafetyHistory[Month],"&lt;"&amp;cfg_YearStart))*1000000,"")</f>
        <v/>
      </c>
      <c r="HG168" s="56">
        <f>IFERROR((SUMIFS(tblSafety[LTI],tblSafety[Date],"&gt;="&amp;EDATE($E168,-12),tblSafety[Date],"&lt;="&amp;$A168)+SUMIFS(tblSafetyHistory[LTI],tblSafetyHistory[Month],"&gt;="&amp;EDATE($E168,-12),tblSafetyHistory[Month],"&lt;"&amp;cfg_YearStart))/(SUMIFS(tblSafety[Hours_Total],tblSafety[Date],"&gt;="&amp;EDATE($E168,-12),tblSafety[Date],"&lt;="&amp;$A168)+SUMIFS(tblSafetyHistory[Hours_Total],tblSafetyHistory[Month],"&gt;="&amp;EDATE($E168,-12),tblSafetyHistory[Month],"&lt;"&amp;cfg_YearStart))*1000000,"")</f>
        <v/>
      </c>
      <c r="HH168" s="62">
        <f>IF(MAX(N(cfg_PriorLTIDate),_xlfn.MAXIFS(tblSafety[Date],tblSafety[LTI],"&gt;0",tblSafety[Date],"&lt;="&amp;$A168))=0,"",$A168-MAX(N(cfg_PriorLTIDate),_xlfn.MAXIFS(tblSafety[Date],tblSafety[LTI],"&gt;0",tblSafety[Date],"&lt;="&amp;$A168)))</f>
        <v/>
      </c>
      <c r="HI168" s="55">
        <f>SUMIFS(tblBudget[Ore_Mined_t],tblBudget[Month],$E168)</f>
        <v/>
      </c>
      <c r="HJ168" s="55">
        <f>$HI168*$C168/$D168</f>
        <v/>
      </c>
      <c r="HK168" s="55">
        <f>SUMIFS(tblBudget[Ore_Mined_t],tblBudget[Month],"&lt;"&amp;$E168)+$HJ168</f>
        <v/>
      </c>
      <c r="HL168" s="55">
        <f>SUMIFS(tblBudget[Ore_oz],tblBudget[Month],$E168)</f>
        <v/>
      </c>
      <c r="HM168" s="55">
        <f>$HL168*$C168/$D168</f>
        <v/>
      </c>
      <c r="HN168" s="55">
        <f>SUMIFS(tblBudget[Ore_oz],tblBudget[Month],"&lt;"&amp;$E168)+$HM168</f>
        <v/>
      </c>
      <c r="HO168" s="56">
        <f>IFERROR(IF(($HI168)&gt;0,($HL168*cfg_TroyOz)/($HI168),""),"")</f>
        <v/>
      </c>
      <c r="HP168" s="56">
        <f>IFERROR(IF(($HJ168)&gt;0,($HM168*cfg_TroyOz)/($HJ168),""),"")</f>
        <v/>
      </c>
      <c r="HQ168" s="56">
        <f>IFERROR(IF(($HK168)&gt;0,($HN168*cfg_TroyOz)/($HK168),""),"")</f>
        <v/>
      </c>
      <c r="HR168" s="55">
        <f>SUMIFS(tblBudget[Waste_t],tblBudget[Month],$E168)</f>
        <v/>
      </c>
      <c r="HS168" s="55">
        <f>$HR168*$C168/$D168</f>
        <v/>
      </c>
      <c r="HT168" s="55">
        <f>SUMIFS(tblBudget[Waste_t],tblBudget[Month],"&lt;"&amp;$E168)+$HS168</f>
        <v/>
      </c>
      <c r="HU168" s="55">
        <f>SUMIFS(tblBudget[TMM_t],tblBudget[Month],$E168)</f>
        <v/>
      </c>
      <c r="HV168" s="55">
        <f>$HU168*$C168/$D168</f>
        <v/>
      </c>
      <c r="HW168" s="55">
        <f>SUMIFS(tblBudget[TMM_t],tblBudget[Month],"&lt;"&amp;$E168)+$HV168</f>
        <v/>
      </c>
      <c r="HX168" s="56">
        <f>IFERROR(IF(($HI168)&gt;0,($HR168)/($HI168),""),"")</f>
        <v/>
      </c>
      <c r="HY168" s="56">
        <f>IFERROR(IF(($HJ168)&gt;0,($HS168)/($HJ168),""),"")</f>
        <v/>
      </c>
      <c r="HZ168" s="56">
        <f>IFERROR(IF(($HK168)&gt;0,($HT168)/($HK168),""),"")</f>
        <v/>
      </c>
      <c r="IA168" s="55">
        <f>SUMIFS(tblBudget[Drill_m],tblBudget[Month],$E168)</f>
        <v/>
      </c>
      <c r="IB168" s="55">
        <f>$IA168*$C168/$D168</f>
        <v/>
      </c>
      <c r="IC168" s="55">
        <f>SUMIFS(tblBudget[Drill_m],tblBudget[Month],"&lt;"&amp;$E168)+$IB168</f>
        <v/>
      </c>
      <c r="ID168" s="55">
        <f>SUMIFS(tblBudget[Diesel_L],tblBudget[Month],$E168)</f>
        <v/>
      </c>
      <c r="IE168" s="55">
        <f>$ID168*$C168/$D168</f>
        <v/>
      </c>
      <c r="IF168" s="55">
        <f>SUMIFS(tblBudget[Diesel_L],tblBudget[Month],"&lt;"&amp;$E168)+$IE168</f>
        <v/>
      </c>
      <c r="IG168" s="55">
        <f>SUMIFS(tblBudget[Milled_t],tblBudget[Month],$E168)</f>
        <v/>
      </c>
      <c r="IH168" s="55">
        <f>$IG168*$C168/$D168</f>
        <v/>
      </c>
      <c r="II168" s="55">
        <f>SUMIFS(tblBudget[Milled_t],tblBudget[Month],"&lt;"&amp;$E168)+$IH168</f>
        <v/>
      </c>
      <c r="IJ168" s="55">
        <f>SUMIFS(tblBudget[Feed_oz],tblBudget[Month],$E168)</f>
        <v/>
      </c>
      <c r="IK168" s="55">
        <f>$IJ168*$C168/$D168</f>
        <v/>
      </c>
      <c r="IL168" s="55">
        <f>SUMIFS(tblBudget[Feed_oz],tblBudget[Month],"&lt;"&amp;$E168)+$IK168</f>
        <v/>
      </c>
      <c r="IM168" s="55">
        <f>SUMIFS(tblBudget[Recovered_oz],tblBudget[Month],$E168)</f>
        <v/>
      </c>
      <c r="IN168" s="55">
        <f>$IM168*$C168/$D168</f>
        <v/>
      </c>
      <c r="IO168" s="55">
        <f>SUMIFS(tblBudget[Recovered_oz],tblBudget[Month],"&lt;"&amp;$E168)+$IN168</f>
        <v/>
      </c>
      <c r="IP168" s="56">
        <f>IFERROR(IF(($IG168)&gt;0,($IJ168*cfg_TroyOz)/($IG168),""),"")</f>
        <v/>
      </c>
      <c r="IQ168" s="56">
        <f>IFERROR(IF(($IH168)&gt;0,($IK168*cfg_TroyOz)/($IH168),""),"")</f>
        <v/>
      </c>
      <c r="IR168" s="56">
        <f>IFERROR(IF(($II168)&gt;0,($IL168*cfg_TroyOz)/($II168),""),"")</f>
        <v/>
      </c>
      <c r="IS168" s="67">
        <f>IFERROR(IF(($IJ168)&gt;0,($IM168)/($IJ168),""),"")</f>
        <v/>
      </c>
      <c r="IT168" s="67">
        <f>IFERROR(IF(($IK168)&gt;0,($IN168)/($IK168),""),"")</f>
        <v/>
      </c>
      <c r="IU168" s="67">
        <f>IFERROR(IF(($IL168)&gt;0,($IO168)/($IL168),""),"")</f>
        <v/>
      </c>
      <c r="IV168" s="55">
        <f>SUMIFS(tblBudget[Gold_Poured_oz],tblBudget[Month],$E168)</f>
        <v/>
      </c>
      <c r="IW168" s="55">
        <f>$IV168*$C168/$D168</f>
        <v/>
      </c>
      <c r="IX168" s="55">
        <f>SUMIFS(tblBudget[Gold_Poured_oz],tblBudget[Month],"&lt;"&amp;$E168)+$IW168</f>
        <v/>
      </c>
      <c r="IY168" s="57">
        <f>SUMIFS(tblBudget[Hours_Worked],tblBudget[Month],$E168)</f>
        <v/>
      </c>
      <c r="IZ168" s="57">
        <f>$IY168*$C168/$D168</f>
        <v/>
      </c>
      <c r="JA168" s="57">
        <f>SUMIFS(tblBudget[Hours_Worked],tblBudget[Month],"&lt;"&amp;$E168)+$IZ168</f>
        <v/>
      </c>
    </row>
    <row r="169">
      <c r="A169" s="54" t="n">
        <v>46190</v>
      </c>
      <c r="B169">
        <f>MONTH($A169)</f>
        <v/>
      </c>
      <c r="C169">
        <f>DAY($A169)</f>
        <v/>
      </c>
      <c r="D169">
        <f>DAY(EOMONTH($A169,0))</f>
        <v/>
      </c>
      <c r="E169" s="54">
        <f>DATE(YEAR($A169),MONTH($A169),1)</f>
        <v/>
      </c>
      <c r="F169" s="55">
        <f>SUMIFS(tblMovement[Tonnes_t],tblMovement[Date],$A169,tblMovement[Is_Ore],1,tblMovement[Source_Type],"Pit")</f>
        <v/>
      </c>
      <c r="G169" s="55">
        <f>IF($B169=$B168,$G168,0)+$F169</f>
        <v/>
      </c>
      <c r="H169" s="55">
        <f>$H168+$F169</f>
        <v/>
      </c>
      <c r="I169" s="55">
        <f>SUMIFS(tblMovement[Ore_oz],tblMovement[Date],$A169,tblMovement[Source_Type],"Pit")</f>
        <v/>
      </c>
      <c r="J169" s="55">
        <f>IF($B169=$B168,$J168,0)+$I169</f>
        <v/>
      </c>
      <c r="K169" s="55">
        <f>$K168+$I169</f>
        <v/>
      </c>
      <c r="L169" s="56">
        <f>IFERROR(IF(($F169)&gt;0,($I169*cfg_TroyOz)/($F169),""),"")</f>
        <v/>
      </c>
      <c r="M169" s="56">
        <f>IFERROR(IF(($G169)&gt;0,($J169*cfg_TroyOz)/($G169),""),"")</f>
        <v/>
      </c>
      <c r="N169" s="56">
        <f>IFERROR(IF(($H169)&gt;0,($K169*cfg_TroyOz)/($H169),""),"")</f>
        <v/>
      </c>
      <c r="O169" s="55">
        <f>SUMIFS(tblMovement[Tonnes_t],tblMovement[Date],$A169,tblMovement[Is_Ore],0,tblMovement[Source_Type],"Pit")</f>
        <v/>
      </c>
      <c r="P169" s="55">
        <f>IF($B169=$B168,$P168,0)+$O169</f>
        <v/>
      </c>
      <c r="Q169" s="55">
        <f>$Q168+$O169</f>
        <v/>
      </c>
      <c r="R169" s="55">
        <f>$F169+$O169</f>
        <v/>
      </c>
      <c r="S169" s="55">
        <f>IF($B169=$B168,$S168,0)+$R169</f>
        <v/>
      </c>
      <c r="T169" s="55">
        <f>$T168+$R169</f>
        <v/>
      </c>
      <c r="U169" s="56">
        <f>IFERROR(IF(($F169)&gt;0,($O169)/($F169),""),"")</f>
        <v/>
      </c>
      <c r="V169" s="56">
        <f>IFERROR(IF(($G169)&gt;0,($P169)/($G169),""),"")</f>
        <v/>
      </c>
      <c r="W169" s="56">
        <f>IFERROR(IF(($H169)&gt;0,($Q169)/($H169),""),"")</f>
        <v/>
      </c>
      <c r="X169" s="55">
        <f>SUMIFS(tblMovement[Tonnes_t],tblMovement[Date],$A169,tblMovement[Source_Type],"Stockpile")</f>
        <v/>
      </c>
      <c r="Y169" s="55">
        <f>IF($B169=$B168,$Y168,0)+$X169</f>
        <v/>
      </c>
      <c r="Z169" s="55">
        <f>$Z168+$X169</f>
        <v/>
      </c>
      <c r="AA169" s="55">
        <f>SUMIFS(tblMiningDaily[Drill_m],tblMiningDaily[Date],$A169)</f>
        <v/>
      </c>
      <c r="AB169" s="55">
        <f>IF($B169=$B168,$AB168,0)+$AA169</f>
        <v/>
      </c>
      <c r="AC169" s="55">
        <f>$AC168+$AA169</f>
        <v/>
      </c>
      <c r="AD169" s="55">
        <f>SUMIFS(tblMiningDaily[Blast_t],tblMiningDaily[Date],$A169)</f>
        <v/>
      </c>
      <c r="AE169" s="55">
        <f>IF($B169=$B168,$AE168,0)+$AD169</f>
        <v/>
      </c>
      <c r="AF169" s="55">
        <f>$AF168+$AD169</f>
        <v/>
      </c>
      <c r="AG169" s="55">
        <f>SUMIFS(tblMiningDaily[Explosives_kg],tblMiningDaily[Date],$A169)</f>
        <v/>
      </c>
      <c r="AH169" s="55">
        <f>IF($B169=$B168,$AH168,0)+$AG169</f>
        <v/>
      </c>
      <c r="AI169" s="55">
        <f>$AI168+$AG169</f>
        <v/>
      </c>
      <c r="AJ169" s="56">
        <f>IFERROR(IF(($AD169)&gt;0,($AG169)/($AD169),""),"")</f>
        <v/>
      </c>
      <c r="AK169" s="56">
        <f>IFERROR(IF(($AE169)&gt;0,($AH169)/($AE169),""),"")</f>
        <v/>
      </c>
      <c r="AL169" s="56">
        <f>IFERROR(IF(($AF169)&gt;0,($AI169)/($AF169),""),"")</f>
        <v/>
      </c>
      <c r="AM169" s="55">
        <f>SUMIFS(tblMiningDaily[Diesel_L],tblMiningDaily[Date],$A169)</f>
        <v/>
      </c>
      <c r="AN169" s="55">
        <f>IF($B169=$B168,$AN168,0)+$AM169</f>
        <v/>
      </c>
      <c r="AO169" s="55">
        <f>$AO168+$AM169</f>
        <v/>
      </c>
      <c r="AP169" s="55">
        <f>SUMIFS(tblMiningDaily[Dewatering_m3],tblMiningDaily[Date],$A169)</f>
        <v/>
      </c>
      <c r="AQ169" s="55">
        <f>IF($B169=$B168,$AQ168,0)+$AP169</f>
        <v/>
      </c>
      <c r="AR169" s="55">
        <f>$AR168+$AP169</f>
        <v/>
      </c>
      <c r="AS169" s="57">
        <f>SUMIFS(tblFleet[Calendar_h],tblFleet[Date],$A169,tblFleet[Equipment_Class],"Excavator")</f>
        <v/>
      </c>
      <c r="AT169" s="57">
        <f>IF($B169=$B168,$AT168,0)+$AS169</f>
        <v/>
      </c>
      <c r="AU169" s="57">
        <f>$AU168+$AS169</f>
        <v/>
      </c>
      <c r="AV169" s="57">
        <f>SUMIFS(tblFleet[Available_h],tblFleet[Date],$A169,tblFleet[Equipment_Class],"Excavator")</f>
        <v/>
      </c>
      <c r="AW169" s="57">
        <f>IF($B169=$B168,$AW168,0)+$AV169</f>
        <v/>
      </c>
      <c r="AX169" s="57">
        <f>$AX168+$AV169</f>
        <v/>
      </c>
      <c r="AY169" s="57">
        <f>SUMIFS(tblFleet[Operating_h],tblFleet[Date],$A169,tblFleet[Equipment_Class],"Excavator")</f>
        <v/>
      </c>
      <c r="AZ169" s="57">
        <f>IF($B169=$B168,$AZ168,0)+$AY169</f>
        <v/>
      </c>
      <c r="BA169" s="57">
        <f>$BA168+$AY169</f>
        <v/>
      </c>
      <c r="BB169" s="67">
        <f>IFERROR(IF(($AS169)&gt;0,($AV169)/($AS169),""),"")</f>
        <v/>
      </c>
      <c r="BC169" s="67">
        <f>IFERROR(IF(($AT169)&gt;0,($AW169)/($AT169),""),"")</f>
        <v/>
      </c>
      <c r="BD169" s="67">
        <f>IFERROR(IF(($AU169)&gt;0,($AX169)/($AU169),""),"")</f>
        <v/>
      </c>
      <c r="BE169" s="67">
        <f>IFERROR(IF(($AV169)&gt;0,($AY169)/($AV169),""),"")</f>
        <v/>
      </c>
      <c r="BF169" s="67">
        <f>IFERROR(IF(($AW169)&gt;0,($AZ169)/($AW169),""),"")</f>
        <v/>
      </c>
      <c r="BG169" s="67">
        <f>IFERROR(IF(($AX169)&gt;0,($BA169)/($AX169),""),"")</f>
        <v/>
      </c>
      <c r="BH169" s="57">
        <f>SUMIFS(tblFleet[Calendar_h],tblFleet[Date],$A169,tblFleet[Equipment_Class],"Haul Truck")</f>
        <v/>
      </c>
      <c r="BI169" s="57">
        <f>IF($B169=$B168,$BI168,0)+$BH169</f>
        <v/>
      </c>
      <c r="BJ169" s="57">
        <f>$BJ168+$BH169</f>
        <v/>
      </c>
      <c r="BK169" s="57">
        <f>SUMIFS(tblFleet[Available_h],tblFleet[Date],$A169,tblFleet[Equipment_Class],"Haul Truck")</f>
        <v/>
      </c>
      <c r="BL169" s="57">
        <f>IF($B169=$B168,$BL168,0)+$BK169</f>
        <v/>
      </c>
      <c r="BM169" s="57">
        <f>$BM168+$BK169</f>
        <v/>
      </c>
      <c r="BN169" s="57">
        <f>SUMIFS(tblFleet[Operating_h],tblFleet[Date],$A169,tblFleet[Equipment_Class],"Haul Truck")</f>
        <v/>
      </c>
      <c r="BO169" s="57">
        <f>IF($B169=$B168,$BO168,0)+$BN169</f>
        <v/>
      </c>
      <c r="BP169" s="57">
        <f>$BP168+$BN169</f>
        <v/>
      </c>
      <c r="BQ169" s="67">
        <f>IFERROR(IF(($BH169)&gt;0,($BK169)/($BH169),""),"")</f>
        <v/>
      </c>
      <c r="BR169" s="67">
        <f>IFERROR(IF(($BI169)&gt;0,($BL169)/($BI169),""),"")</f>
        <v/>
      </c>
      <c r="BS169" s="67">
        <f>IFERROR(IF(($BJ169)&gt;0,($BM169)/($BJ169),""),"")</f>
        <v/>
      </c>
      <c r="BT169" s="67">
        <f>IFERROR(IF(($BK169)&gt;0,($BN169)/($BK169),""),"")</f>
        <v/>
      </c>
      <c r="BU169" s="67">
        <f>IFERROR(IF(($BL169)&gt;0,($BO169)/($BL169),""),"")</f>
        <v/>
      </c>
      <c r="BV169" s="67">
        <f>IFERROR(IF(($BM169)&gt;0,($BP169)/($BM169),""),"")</f>
        <v/>
      </c>
      <c r="BW169" s="55">
        <f>SUMIFS(tblPlant[Crushed_t],tblPlant[Date],$A169)</f>
        <v/>
      </c>
      <c r="BX169" s="55">
        <f>IF($B169=$B168,$BX168,0)+$BW169</f>
        <v/>
      </c>
      <c r="BY169" s="55">
        <f>$BY168+$BW169</f>
        <v/>
      </c>
      <c r="BZ169" s="55">
        <f>SUMIFS(tblPlant[Milled_t],tblPlant[Date],$A169)</f>
        <v/>
      </c>
      <c r="CA169" s="55">
        <f>IF($B169=$B168,$CA168,0)+$BZ169</f>
        <v/>
      </c>
      <c r="CB169" s="55">
        <f>$CB168+$BZ169</f>
        <v/>
      </c>
      <c r="CC169" s="55">
        <f>SUMIFS(tblPlant[Feed_oz],tblPlant[Date],$A169)</f>
        <v/>
      </c>
      <c r="CD169" s="55">
        <f>IF($B169=$B168,$CD168,0)+$CC169</f>
        <v/>
      </c>
      <c r="CE169" s="55">
        <f>$CE168+$CC169</f>
        <v/>
      </c>
      <c r="CF169" s="55">
        <f>SUMIFS(tblPlant[Tails_oz],tblPlant[Date],$A169)</f>
        <v/>
      </c>
      <c r="CG169" s="55">
        <f>IF($B169=$B168,$CG168,0)+$CF169</f>
        <v/>
      </c>
      <c r="CH169" s="55">
        <f>$CH168+$CF169</f>
        <v/>
      </c>
      <c r="CI169" s="55">
        <f>SUMIFS(tblPlant[Recovered_oz],tblPlant[Date],$A169)</f>
        <v/>
      </c>
      <c r="CJ169" s="55">
        <f>IF($B169=$B168,$CJ168,0)+$CI169</f>
        <v/>
      </c>
      <c r="CK169" s="55">
        <f>$CK168+$CI169</f>
        <v/>
      </c>
      <c r="CL169" s="56">
        <f>IFERROR(IF(($BZ169)&gt;0,($CC169*cfg_TroyOz)/($BZ169),""),"")</f>
        <v/>
      </c>
      <c r="CM169" s="56">
        <f>IFERROR(IF(($CA169)&gt;0,($CD169*cfg_TroyOz)/($CA169),""),"")</f>
        <v/>
      </c>
      <c r="CN169" s="56">
        <f>IFERROR(IF(($CB169)&gt;0,($CE169*cfg_TroyOz)/($CB169),""),"")</f>
        <v/>
      </c>
      <c r="CO169" s="56">
        <f>IFERROR(IF(($BZ169)&gt;0,($CF169*cfg_TroyOz)/($BZ169),""),"")</f>
        <v/>
      </c>
      <c r="CP169" s="56">
        <f>IFERROR(IF(($CA169)&gt;0,($CG169*cfg_TroyOz)/($CA169),""),"")</f>
        <v/>
      </c>
      <c r="CQ169" s="56">
        <f>IFERROR(IF(($CB169)&gt;0,($CH169*cfg_TroyOz)/($CB169),""),"")</f>
        <v/>
      </c>
      <c r="CR169" s="67">
        <f>IFERROR(IF(($CC169)&gt;0,($CI169)/($CC169),""),"")</f>
        <v/>
      </c>
      <c r="CS169" s="67">
        <f>IFERROR(IF(($CD169)&gt;0,($CJ169)/($CD169),""),"")</f>
        <v/>
      </c>
      <c r="CT169" s="67">
        <f>IFERROR(IF(($CE169)&gt;0,($CK169)/($CE169),""),"")</f>
        <v/>
      </c>
      <c r="CU169" s="55">
        <f>SUMIFS(tblPlant[Gravity_Gold_oz],tblPlant[Date],$A169)</f>
        <v/>
      </c>
      <c r="CV169" s="55">
        <f>IF($B169=$B168,$CV168,0)+$CU169</f>
        <v/>
      </c>
      <c r="CW169" s="55">
        <f>$CW168+$CU169</f>
        <v/>
      </c>
      <c r="CX169" s="55">
        <f>SUMIFS(tblPlant[Gold_Poured_oz],tblPlant[Date],$A169)</f>
        <v/>
      </c>
      <c r="CY169" s="55">
        <f>IF($B169=$B168,$CY168,0)+$CX169</f>
        <v/>
      </c>
      <c r="CZ169" s="55">
        <f>$CZ168+$CX169</f>
        <v/>
      </c>
      <c r="DA169" s="57">
        <f>SUMIFS(tblPlant[Mill_Run_h],tblPlant[Date],$A169)</f>
        <v/>
      </c>
      <c r="DB169" s="57">
        <f>IF($B169=$B168,$DB168,0)+$DA169</f>
        <v/>
      </c>
      <c r="DC169" s="57">
        <f>$DC168+$DA169</f>
        <v/>
      </c>
      <c r="DD169" s="57">
        <f>SUMIFS(tblPlant[Mill_Planned_Maint_h],tblPlant[Date],$A169)</f>
        <v/>
      </c>
      <c r="DE169" s="57">
        <f>IF($B169=$B168,$DE168,0)+$DD169</f>
        <v/>
      </c>
      <c r="DF169" s="57">
        <f>$DF168+$DD169</f>
        <v/>
      </c>
      <c r="DG169" s="57">
        <f>SUMIFS(tblPlant[Mill_Unplanned_Down_h],tblPlant[Date],$A169)</f>
        <v/>
      </c>
      <c r="DH169" s="57">
        <f>IF($B169=$B168,$DH168,0)+$DG169</f>
        <v/>
      </c>
      <c r="DI169" s="57">
        <f>$DI168+$DG169</f>
        <v/>
      </c>
      <c r="DJ169" s="57">
        <f>COUNTIFS(tblPlant[Date],$A169,tblPlant[Mill_Run_h],"&lt;&gt;")*24</f>
        <v/>
      </c>
      <c r="DK169" s="57">
        <f>IF($B169=$B168,$DK168,0)+$DJ169</f>
        <v/>
      </c>
      <c r="DL169" s="57">
        <f>$DL168+$DJ169</f>
        <v/>
      </c>
      <c r="DM169" s="57">
        <f>SUMIFS(tblPlant[Crusher_Run_h],tblPlant[Date],$A169)</f>
        <v/>
      </c>
      <c r="DN169" s="57">
        <f>IF($B169=$B168,$DN168,0)+$DM169</f>
        <v/>
      </c>
      <c r="DO169" s="57">
        <f>$DO168+$DM169</f>
        <v/>
      </c>
      <c r="DP169" s="55">
        <f>IFERROR(IF(($DA169)&gt;0,($BZ169)/($DA169),""),"")</f>
        <v/>
      </c>
      <c r="DQ169" s="55">
        <f>IFERROR(IF(($DB169)&gt;0,($CA169)/($DB169),""),"")</f>
        <v/>
      </c>
      <c r="DR169" s="55">
        <f>IFERROR(IF(($DC169)&gt;0,($CB169)/($DC169),""),"")</f>
        <v/>
      </c>
      <c r="DS169" s="67">
        <f>IFERROR(IF(($DJ169)&gt;0,($DJ169-$DD169-$DG169)/($DJ169),""),"")</f>
        <v/>
      </c>
      <c r="DT169" s="67">
        <f>IFERROR(IF(($DK169)&gt;0,($DK169-$DE169-$DH169)/($DK169),""),"")</f>
        <v/>
      </c>
      <c r="DU169" s="67">
        <f>IFERROR(IF(($DL169)&gt;0,($DL169-$DF169-$DI169)/($DL169),""),"")</f>
        <v/>
      </c>
      <c r="DV169" s="67">
        <f>IFERROR(IF(($DJ169-$DD169-$DG169)&gt;0,($DA169)/($DJ169-$DD169-$DG169),""),"")</f>
        <v/>
      </c>
      <c r="DW169" s="67">
        <f>IFERROR(IF(($DK169-$DE169-$DH169)&gt;0,($DB169)/($DK169-$DE169-$DH169),""),"")</f>
        <v/>
      </c>
      <c r="DX169" s="67">
        <f>IFERROR(IF(($DL169-$DF169-$DI169)&gt;0,($DC169)/($DL169-$DF169-$DI169),""),"")</f>
        <v/>
      </c>
      <c r="DY169" s="55">
        <f>SUMIFS(tblPlant[Cyanide_kg],tblPlant[Date],$A169)</f>
        <v/>
      </c>
      <c r="DZ169" s="55">
        <f>IF($B169=$B168,$DZ168,0)+$DY169</f>
        <v/>
      </c>
      <c r="EA169" s="55">
        <f>$EA168+$DY169</f>
        <v/>
      </c>
      <c r="EB169" s="55">
        <f>SUMIFS(tblPlant[Lime_kg],tblPlant[Date],$A169)</f>
        <v/>
      </c>
      <c r="EC169" s="55">
        <f>IF($B169=$B168,$EC168,0)+$EB169</f>
        <v/>
      </c>
      <c r="ED169" s="55">
        <f>$ED168+$EB169</f>
        <v/>
      </c>
      <c r="EE169" s="55">
        <f>SUMIFS(tblPlant[Grinding_Media_kg],tblPlant[Date],$A169)</f>
        <v/>
      </c>
      <c r="EF169" s="55">
        <f>IF($B169=$B168,$EF168,0)+$EE169</f>
        <v/>
      </c>
      <c r="EG169" s="55">
        <f>$EG168+$EE169</f>
        <v/>
      </c>
      <c r="EH169" s="55">
        <f>SUMIFS(tblPlant[Power_kWh],tblPlant[Date],$A169)</f>
        <v/>
      </c>
      <c r="EI169" s="55">
        <f>IF($B169=$B168,$EI168,0)+$EH169</f>
        <v/>
      </c>
      <c r="EJ169" s="55">
        <f>$EJ168+$EH169</f>
        <v/>
      </c>
      <c r="EK169" s="55">
        <f>SUMIFS(tblPlant[Raw_Water_m3],tblPlant[Date],$A169)</f>
        <v/>
      </c>
      <c r="EL169" s="55">
        <f>IF($B169=$B168,$EL168,0)+$EK169</f>
        <v/>
      </c>
      <c r="EM169" s="55">
        <f>$EM168+$EK169</f>
        <v/>
      </c>
      <c r="EN169" s="56">
        <f>IFERROR(IF(($BZ169)&gt;0,($DY169)/($BZ169),""),"")</f>
        <v/>
      </c>
      <c r="EO169" s="56">
        <f>IFERROR(IF(($CA169)&gt;0,($DZ169)/($CA169),""),"")</f>
        <v/>
      </c>
      <c r="EP169" s="56">
        <f>IFERROR(IF(($CB169)&gt;0,($EA169)/($CB169),""),"")</f>
        <v/>
      </c>
      <c r="EQ169" s="56">
        <f>IFERROR(IF(($BZ169)&gt;0,($EB169)/($BZ169),""),"")</f>
        <v/>
      </c>
      <c r="ER169" s="56">
        <f>IFERROR(IF(($CA169)&gt;0,($EC169)/($CA169),""),"")</f>
        <v/>
      </c>
      <c r="ES169" s="56">
        <f>IFERROR(IF(($CB169)&gt;0,($ED169)/($CB169),""),"")</f>
        <v/>
      </c>
      <c r="ET169" s="56">
        <f>IFERROR(IF(($BZ169)&gt;0,($EE169)/($BZ169),""),"")</f>
        <v/>
      </c>
      <c r="EU169" s="56">
        <f>IFERROR(IF(($CA169)&gt;0,($EF169)/($CA169),""),"")</f>
        <v/>
      </c>
      <c r="EV169" s="56">
        <f>IFERROR(IF(($CB169)&gt;0,($EG169)/($CB169),""),"")</f>
        <v/>
      </c>
      <c r="EW169" s="76">
        <f>IFERROR(IF(($BZ169)&gt;0,($EH169)/($BZ169),""),"")</f>
        <v/>
      </c>
      <c r="EX169" s="76">
        <f>IFERROR(IF(($CA169)&gt;0,($EI169)/($CA169),""),"")</f>
        <v/>
      </c>
      <c r="EY169" s="76">
        <f>IFERROR(IF(($CB169)&gt;0,($EJ169)/($CB169),""),"")</f>
        <v/>
      </c>
      <c r="EZ169" s="56">
        <f>IFERROR(IF(($BZ169)&gt;0,($EK169)/($BZ169),""),"")</f>
        <v/>
      </c>
      <c r="FA169" s="56">
        <f>IFERROR(IF(($CA169)&gt;0,($EL169)/($CA169),""),"")</f>
        <v/>
      </c>
      <c r="FB169" s="56">
        <f>IFERROR(IF(($CB169)&gt;0,($EM169)/($CB169),""),"")</f>
        <v/>
      </c>
      <c r="FC169" s="55">
        <f>IF(SUMIFS(tblPlant[GIC_oz],tblPlant[Date],$A169)&gt;0,SUMIFS(tblPlant[GIC_oz],tblPlant[Date],$A169),"")</f>
        <v/>
      </c>
      <c r="FD169" s="55">
        <f>SUMIFS(tblGold[Gold_oz],tblGold[Date],$A169,tblGold[Type],"Shipment")</f>
        <v/>
      </c>
      <c r="FE169" s="55">
        <f>IF($B169=$B168,$FE168,0)+$FD169</f>
        <v/>
      </c>
      <c r="FF169" s="55">
        <f>$FF168+$FD169</f>
        <v/>
      </c>
      <c r="FG169" s="55">
        <f>SUMIFS(tblGold[Gold_oz],tblGold[Date],$A169,tblGold[Type],"Sale")</f>
        <v/>
      </c>
      <c r="FH169" s="55">
        <f>IF($B169=$B168,$FH168,0)+$FG169</f>
        <v/>
      </c>
      <c r="FI169" s="55">
        <f>$FI168+$FG169</f>
        <v/>
      </c>
      <c r="FJ169" s="55">
        <f>SUMIFS(tblGold[Dore_kg],tblGold[Date],$A169,tblGold[Type],"Shipment")</f>
        <v/>
      </c>
      <c r="FK169" s="55">
        <f>IF($B169=$B168,$FK168,0)+$FJ169</f>
        <v/>
      </c>
      <c r="FL169" s="55">
        <f>$FL168+$FJ169</f>
        <v/>
      </c>
      <c r="FM169" s="57">
        <f>SUMIFS(tblSafety[Hours_Total],tblSafety[Date],$A169)</f>
        <v/>
      </c>
      <c r="FN169" s="57">
        <f>IF($B169=$B168,$FN168,0)+$FM169</f>
        <v/>
      </c>
      <c r="FO169" s="57">
        <f>$FO168+$FM169</f>
        <v/>
      </c>
      <c r="FP169" s="62">
        <f>SUMIFS(tblSafety[Fatality],tblSafety[Date],$A169)</f>
        <v/>
      </c>
      <c r="FQ169" s="62">
        <f>IF($B169=$B168,$FQ168,0)+$FP169</f>
        <v/>
      </c>
      <c r="FR169" s="62">
        <f>$FR168+$FP169</f>
        <v/>
      </c>
      <c r="FS169" s="62">
        <f>SUMIFS(tblSafety[LTI],tblSafety[Date],$A169)</f>
        <v/>
      </c>
      <c r="FT169" s="62">
        <f>IF($B169=$B168,$FT168,0)+$FS169</f>
        <v/>
      </c>
      <c r="FU169" s="62">
        <f>$FU168+$FS169</f>
        <v/>
      </c>
      <c r="FV169" s="62">
        <f>SUMIFS(tblSafety[RWI],tblSafety[Date],$A169)</f>
        <v/>
      </c>
      <c r="FW169" s="62">
        <f>IF($B169=$B168,$FW168,0)+$FV169</f>
        <v/>
      </c>
      <c r="FX169" s="62">
        <f>$FX168+$FV169</f>
        <v/>
      </c>
      <c r="FY169" s="62">
        <f>SUMIFS(tblSafety[MTI],tblSafety[Date],$A169)</f>
        <v/>
      </c>
      <c r="FZ169" s="62">
        <f>IF($B169=$B168,$FZ168,0)+$FY169</f>
        <v/>
      </c>
      <c r="GA169" s="62">
        <f>$GA168+$FY169</f>
        <v/>
      </c>
      <c r="GB169" s="62">
        <f>SUMIFS(tblSafety[FAI],tblSafety[Date],$A169)</f>
        <v/>
      </c>
      <c r="GC169" s="62">
        <f>IF($B169=$B168,$GC168,0)+$GB169</f>
        <v/>
      </c>
      <c r="GD169" s="62">
        <f>$GD168+$GB169</f>
        <v/>
      </c>
      <c r="GE169" s="62">
        <f>SUMIFS(tblSafety[Recordables],tblSafety[Date],$A169)</f>
        <v/>
      </c>
      <c r="GF169" s="62">
        <f>IF($B169=$B168,$GF168,0)+$GE169</f>
        <v/>
      </c>
      <c r="GG169" s="62">
        <f>$GG168+$GE169</f>
        <v/>
      </c>
      <c r="GH169" s="62">
        <f>SUMIFS(tblSafety[Near_Miss],tblSafety[Date],$A169)</f>
        <v/>
      </c>
      <c r="GI169" s="62">
        <f>IF($B169=$B168,$GI168,0)+$GH169</f>
        <v/>
      </c>
      <c r="GJ169" s="62">
        <f>$GJ168+$GH169</f>
        <v/>
      </c>
      <c r="GK169" s="62">
        <f>SUMIFS(tblSafety[Hazard_Reports],tblSafety[Date],$A169)</f>
        <v/>
      </c>
      <c r="GL169" s="62">
        <f>IF($B169=$B168,$GL168,0)+$GK169</f>
        <v/>
      </c>
      <c r="GM169" s="62">
        <f>$GM168+$GK169</f>
        <v/>
      </c>
      <c r="GN169" s="62">
        <f>SUMIFS(tblSafety[HPI],tblSafety[Date],$A169)</f>
        <v/>
      </c>
      <c r="GO169" s="62">
        <f>IF($B169=$B168,$GO168,0)+$GN169</f>
        <v/>
      </c>
      <c r="GP169" s="62">
        <f>$GP168+$GN169</f>
        <v/>
      </c>
      <c r="GQ169" s="62">
        <f>SUMIFS(tblSafety[Env_Incidents],tblSafety[Date],$A169)</f>
        <v/>
      </c>
      <c r="GR169" s="62">
        <f>IF($B169=$B168,$GR168,0)+$GQ169</f>
        <v/>
      </c>
      <c r="GS169" s="62">
        <f>$GS168+$GQ169</f>
        <v/>
      </c>
      <c r="GT169" s="62">
        <f>SUMIFS(tblSafety[Community_Incidents],tblSafety[Date],$A169)</f>
        <v/>
      </c>
      <c r="GU169" s="62">
        <f>IF($B169=$B168,$GU168,0)+$GT169</f>
        <v/>
      </c>
      <c r="GV169" s="62">
        <f>$GV168+$GT169</f>
        <v/>
      </c>
      <c r="GW169" s="62">
        <f>SUMIFS(tblSafety[Vehicle_Incidents],tblSafety[Date],$A169)</f>
        <v/>
      </c>
      <c r="GX169" s="62">
        <f>IF($B169=$B168,$GX168,0)+$GW169</f>
        <v/>
      </c>
      <c r="GY169" s="62">
        <f>$GY168+$GW169</f>
        <v/>
      </c>
      <c r="GZ169" s="62">
        <f>SUMIFS(tblSafety[Toolbox_Talks],tblSafety[Date],$A169)</f>
        <v/>
      </c>
      <c r="HA169" s="62">
        <f>IF($B169=$B168,$HA168,0)+$GZ169</f>
        <v/>
      </c>
      <c r="HB169" s="62">
        <f>$HB168+$GZ169</f>
        <v/>
      </c>
      <c r="HC169" s="62">
        <f>SUMIFS(tblSafety[Inspections],tblSafety[Date],$A169)</f>
        <v/>
      </c>
      <c r="HD169" s="62">
        <f>IF($B169=$B168,$HD168,0)+$HC169</f>
        <v/>
      </c>
      <c r="HE169" s="62">
        <f>$HE168+$HC169</f>
        <v/>
      </c>
      <c r="HF169" s="56">
        <f>IFERROR((SUMIFS(tblSafety[Recordables],tblSafety[Date],"&gt;="&amp;EDATE($E169,-12),tblSafety[Date],"&lt;="&amp;$A169)+SUMIFS(tblSafetyHistory[Recordables],tblSafetyHistory[Month],"&gt;="&amp;EDATE($E169,-12),tblSafetyHistory[Month],"&lt;"&amp;cfg_YearStart))/(SUMIFS(tblSafety[Hours_Total],tblSafety[Date],"&gt;="&amp;EDATE($E169,-12),tblSafety[Date],"&lt;="&amp;$A169)+SUMIFS(tblSafetyHistory[Hours_Total],tblSafetyHistory[Month],"&gt;="&amp;EDATE($E169,-12),tblSafetyHistory[Month],"&lt;"&amp;cfg_YearStart))*1000000,"")</f>
        <v/>
      </c>
      <c r="HG169" s="56">
        <f>IFERROR((SUMIFS(tblSafety[LTI],tblSafety[Date],"&gt;="&amp;EDATE($E169,-12),tblSafety[Date],"&lt;="&amp;$A169)+SUMIFS(tblSafetyHistory[LTI],tblSafetyHistory[Month],"&gt;="&amp;EDATE($E169,-12),tblSafetyHistory[Month],"&lt;"&amp;cfg_YearStart))/(SUMIFS(tblSafety[Hours_Total],tblSafety[Date],"&gt;="&amp;EDATE($E169,-12),tblSafety[Date],"&lt;="&amp;$A169)+SUMIFS(tblSafetyHistory[Hours_Total],tblSafetyHistory[Month],"&gt;="&amp;EDATE($E169,-12),tblSafetyHistory[Month],"&lt;"&amp;cfg_YearStart))*1000000,"")</f>
        <v/>
      </c>
      <c r="HH169" s="62">
        <f>IF(MAX(N(cfg_PriorLTIDate),_xlfn.MAXIFS(tblSafety[Date],tblSafety[LTI],"&gt;0",tblSafety[Date],"&lt;="&amp;$A169))=0,"",$A169-MAX(N(cfg_PriorLTIDate),_xlfn.MAXIFS(tblSafety[Date],tblSafety[LTI],"&gt;0",tblSafety[Date],"&lt;="&amp;$A169)))</f>
        <v/>
      </c>
      <c r="HI169" s="55">
        <f>SUMIFS(tblBudget[Ore_Mined_t],tblBudget[Month],$E169)</f>
        <v/>
      </c>
      <c r="HJ169" s="55">
        <f>$HI169*$C169/$D169</f>
        <v/>
      </c>
      <c r="HK169" s="55">
        <f>SUMIFS(tblBudget[Ore_Mined_t],tblBudget[Month],"&lt;"&amp;$E169)+$HJ169</f>
        <v/>
      </c>
      <c r="HL169" s="55">
        <f>SUMIFS(tblBudget[Ore_oz],tblBudget[Month],$E169)</f>
        <v/>
      </c>
      <c r="HM169" s="55">
        <f>$HL169*$C169/$D169</f>
        <v/>
      </c>
      <c r="HN169" s="55">
        <f>SUMIFS(tblBudget[Ore_oz],tblBudget[Month],"&lt;"&amp;$E169)+$HM169</f>
        <v/>
      </c>
      <c r="HO169" s="56">
        <f>IFERROR(IF(($HI169)&gt;0,($HL169*cfg_TroyOz)/($HI169),""),"")</f>
        <v/>
      </c>
      <c r="HP169" s="56">
        <f>IFERROR(IF(($HJ169)&gt;0,($HM169*cfg_TroyOz)/($HJ169),""),"")</f>
        <v/>
      </c>
      <c r="HQ169" s="56">
        <f>IFERROR(IF(($HK169)&gt;0,($HN169*cfg_TroyOz)/($HK169),""),"")</f>
        <v/>
      </c>
      <c r="HR169" s="55">
        <f>SUMIFS(tblBudget[Waste_t],tblBudget[Month],$E169)</f>
        <v/>
      </c>
      <c r="HS169" s="55">
        <f>$HR169*$C169/$D169</f>
        <v/>
      </c>
      <c r="HT169" s="55">
        <f>SUMIFS(tblBudget[Waste_t],tblBudget[Month],"&lt;"&amp;$E169)+$HS169</f>
        <v/>
      </c>
      <c r="HU169" s="55">
        <f>SUMIFS(tblBudget[TMM_t],tblBudget[Month],$E169)</f>
        <v/>
      </c>
      <c r="HV169" s="55">
        <f>$HU169*$C169/$D169</f>
        <v/>
      </c>
      <c r="HW169" s="55">
        <f>SUMIFS(tblBudget[TMM_t],tblBudget[Month],"&lt;"&amp;$E169)+$HV169</f>
        <v/>
      </c>
      <c r="HX169" s="56">
        <f>IFERROR(IF(($HI169)&gt;0,($HR169)/($HI169),""),"")</f>
        <v/>
      </c>
      <c r="HY169" s="56">
        <f>IFERROR(IF(($HJ169)&gt;0,($HS169)/($HJ169),""),"")</f>
        <v/>
      </c>
      <c r="HZ169" s="56">
        <f>IFERROR(IF(($HK169)&gt;0,($HT169)/($HK169),""),"")</f>
        <v/>
      </c>
      <c r="IA169" s="55">
        <f>SUMIFS(tblBudget[Drill_m],tblBudget[Month],$E169)</f>
        <v/>
      </c>
      <c r="IB169" s="55">
        <f>$IA169*$C169/$D169</f>
        <v/>
      </c>
      <c r="IC169" s="55">
        <f>SUMIFS(tblBudget[Drill_m],tblBudget[Month],"&lt;"&amp;$E169)+$IB169</f>
        <v/>
      </c>
      <c r="ID169" s="55">
        <f>SUMIFS(tblBudget[Diesel_L],tblBudget[Month],$E169)</f>
        <v/>
      </c>
      <c r="IE169" s="55">
        <f>$ID169*$C169/$D169</f>
        <v/>
      </c>
      <c r="IF169" s="55">
        <f>SUMIFS(tblBudget[Diesel_L],tblBudget[Month],"&lt;"&amp;$E169)+$IE169</f>
        <v/>
      </c>
      <c r="IG169" s="55">
        <f>SUMIFS(tblBudget[Milled_t],tblBudget[Month],$E169)</f>
        <v/>
      </c>
      <c r="IH169" s="55">
        <f>$IG169*$C169/$D169</f>
        <v/>
      </c>
      <c r="II169" s="55">
        <f>SUMIFS(tblBudget[Milled_t],tblBudget[Month],"&lt;"&amp;$E169)+$IH169</f>
        <v/>
      </c>
      <c r="IJ169" s="55">
        <f>SUMIFS(tblBudget[Feed_oz],tblBudget[Month],$E169)</f>
        <v/>
      </c>
      <c r="IK169" s="55">
        <f>$IJ169*$C169/$D169</f>
        <v/>
      </c>
      <c r="IL169" s="55">
        <f>SUMIFS(tblBudget[Feed_oz],tblBudget[Month],"&lt;"&amp;$E169)+$IK169</f>
        <v/>
      </c>
      <c r="IM169" s="55">
        <f>SUMIFS(tblBudget[Recovered_oz],tblBudget[Month],$E169)</f>
        <v/>
      </c>
      <c r="IN169" s="55">
        <f>$IM169*$C169/$D169</f>
        <v/>
      </c>
      <c r="IO169" s="55">
        <f>SUMIFS(tblBudget[Recovered_oz],tblBudget[Month],"&lt;"&amp;$E169)+$IN169</f>
        <v/>
      </c>
      <c r="IP169" s="56">
        <f>IFERROR(IF(($IG169)&gt;0,($IJ169*cfg_TroyOz)/($IG169),""),"")</f>
        <v/>
      </c>
      <c r="IQ169" s="56">
        <f>IFERROR(IF(($IH169)&gt;0,($IK169*cfg_TroyOz)/($IH169),""),"")</f>
        <v/>
      </c>
      <c r="IR169" s="56">
        <f>IFERROR(IF(($II169)&gt;0,($IL169*cfg_TroyOz)/($II169),""),"")</f>
        <v/>
      </c>
      <c r="IS169" s="67">
        <f>IFERROR(IF(($IJ169)&gt;0,($IM169)/($IJ169),""),"")</f>
        <v/>
      </c>
      <c r="IT169" s="67">
        <f>IFERROR(IF(($IK169)&gt;0,($IN169)/($IK169),""),"")</f>
        <v/>
      </c>
      <c r="IU169" s="67">
        <f>IFERROR(IF(($IL169)&gt;0,($IO169)/($IL169),""),"")</f>
        <v/>
      </c>
      <c r="IV169" s="55">
        <f>SUMIFS(tblBudget[Gold_Poured_oz],tblBudget[Month],$E169)</f>
        <v/>
      </c>
      <c r="IW169" s="55">
        <f>$IV169*$C169/$D169</f>
        <v/>
      </c>
      <c r="IX169" s="55">
        <f>SUMIFS(tblBudget[Gold_Poured_oz],tblBudget[Month],"&lt;"&amp;$E169)+$IW169</f>
        <v/>
      </c>
      <c r="IY169" s="57">
        <f>SUMIFS(tblBudget[Hours_Worked],tblBudget[Month],$E169)</f>
        <v/>
      </c>
      <c r="IZ169" s="57">
        <f>$IY169*$C169/$D169</f>
        <v/>
      </c>
      <c r="JA169" s="57">
        <f>SUMIFS(tblBudget[Hours_Worked],tblBudget[Month],"&lt;"&amp;$E169)+$IZ169</f>
        <v/>
      </c>
    </row>
    <row r="170">
      <c r="A170" s="54" t="n">
        <v>46191</v>
      </c>
      <c r="B170">
        <f>MONTH($A170)</f>
        <v/>
      </c>
      <c r="C170">
        <f>DAY($A170)</f>
        <v/>
      </c>
      <c r="D170">
        <f>DAY(EOMONTH($A170,0))</f>
        <v/>
      </c>
      <c r="E170" s="54">
        <f>DATE(YEAR($A170),MONTH($A170),1)</f>
        <v/>
      </c>
      <c r="F170" s="55">
        <f>SUMIFS(tblMovement[Tonnes_t],tblMovement[Date],$A170,tblMovement[Is_Ore],1,tblMovement[Source_Type],"Pit")</f>
        <v/>
      </c>
      <c r="G170" s="55">
        <f>IF($B170=$B169,$G169,0)+$F170</f>
        <v/>
      </c>
      <c r="H170" s="55">
        <f>$H169+$F170</f>
        <v/>
      </c>
      <c r="I170" s="55">
        <f>SUMIFS(tblMovement[Ore_oz],tblMovement[Date],$A170,tblMovement[Source_Type],"Pit")</f>
        <v/>
      </c>
      <c r="J170" s="55">
        <f>IF($B170=$B169,$J169,0)+$I170</f>
        <v/>
      </c>
      <c r="K170" s="55">
        <f>$K169+$I170</f>
        <v/>
      </c>
      <c r="L170" s="56">
        <f>IFERROR(IF(($F170)&gt;0,($I170*cfg_TroyOz)/($F170),""),"")</f>
        <v/>
      </c>
      <c r="M170" s="56">
        <f>IFERROR(IF(($G170)&gt;0,($J170*cfg_TroyOz)/($G170),""),"")</f>
        <v/>
      </c>
      <c r="N170" s="56">
        <f>IFERROR(IF(($H170)&gt;0,($K170*cfg_TroyOz)/($H170),""),"")</f>
        <v/>
      </c>
      <c r="O170" s="55">
        <f>SUMIFS(tblMovement[Tonnes_t],tblMovement[Date],$A170,tblMovement[Is_Ore],0,tblMovement[Source_Type],"Pit")</f>
        <v/>
      </c>
      <c r="P170" s="55">
        <f>IF($B170=$B169,$P169,0)+$O170</f>
        <v/>
      </c>
      <c r="Q170" s="55">
        <f>$Q169+$O170</f>
        <v/>
      </c>
      <c r="R170" s="55">
        <f>$F170+$O170</f>
        <v/>
      </c>
      <c r="S170" s="55">
        <f>IF($B170=$B169,$S169,0)+$R170</f>
        <v/>
      </c>
      <c r="T170" s="55">
        <f>$T169+$R170</f>
        <v/>
      </c>
      <c r="U170" s="56">
        <f>IFERROR(IF(($F170)&gt;0,($O170)/($F170),""),"")</f>
        <v/>
      </c>
      <c r="V170" s="56">
        <f>IFERROR(IF(($G170)&gt;0,($P170)/($G170),""),"")</f>
        <v/>
      </c>
      <c r="W170" s="56">
        <f>IFERROR(IF(($H170)&gt;0,($Q170)/($H170),""),"")</f>
        <v/>
      </c>
      <c r="X170" s="55">
        <f>SUMIFS(tblMovement[Tonnes_t],tblMovement[Date],$A170,tblMovement[Source_Type],"Stockpile")</f>
        <v/>
      </c>
      <c r="Y170" s="55">
        <f>IF($B170=$B169,$Y169,0)+$X170</f>
        <v/>
      </c>
      <c r="Z170" s="55">
        <f>$Z169+$X170</f>
        <v/>
      </c>
      <c r="AA170" s="55">
        <f>SUMIFS(tblMiningDaily[Drill_m],tblMiningDaily[Date],$A170)</f>
        <v/>
      </c>
      <c r="AB170" s="55">
        <f>IF($B170=$B169,$AB169,0)+$AA170</f>
        <v/>
      </c>
      <c r="AC170" s="55">
        <f>$AC169+$AA170</f>
        <v/>
      </c>
      <c r="AD170" s="55">
        <f>SUMIFS(tblMiningDaily[Blast_t],tblMiningDaily[Date],$A170)</f>
        <v/>
      </c>
      <c r="AE170" s="55">
        <f>IF($B170=$B169,$AE169,0)+$AD170</f>
        <v/>
      </c>
      <c r="AF170" s="55">
        <f>$AF169+$AD170</f>
        <v/>
      </c>
      <c r="AG170" s="55">
        <f>SUMIFS(tblMiningDaily[Explosives_kg],tblMiningDaily[Date],$A170)</f>
        <v/>
      </c>
      <c r="AH170" s="55">
        <f>IF($B170=$B169,$AH169,0)+$AG170</f>
        <v/>
      </c>
      <c r="AI170" s="55">
        <f>$AI169+$AG170</f>
        <v/>
      </c>
      <c r="AJ170" s="56">
        <f>IFERROR(IF(($AD170)&gt;0,($AG170)/($AD170),""),"")</f>
        <v/>
      </c>
      <c r="AK170" s="56">
        <f>IFERROR(IF(($AE170)&gt;0,($AH170)/($AE170),""),"")</f>
        <v/>
      </c>
      <c r="AL170" s="56">
        <f>IFERROR(IF(($AF170)&gt;0,($AI170)/($AF170),""),"")</f>
        <v/>
      </c>
      <c r="AM170" s="55">
        <f>SUMIFS(tblMiningDaily[Diesel_L],tblMiningDaily[Date],$A170)</f>
        <v/>
      </c>
      <c r="AN170" s="55">
        <f>IF($B170=$B169,$AN169,0)+$AM170</f>
        <v/>
      </c>
      <c r="AO170" s="55">
        <f>$AO169+$AM170</f>
        <v/>
      </c>
      <c r="AP170" s="55">
        <f>SUMIFS(tblMiningDaily[Dewatering_m3],tblMiningDaily[Date],$A170)</f>
        <v/>
      </c>
      <c r="AQ170" s="55">
        <f>IF($B170=$B169,$AQ169,0)+$AP170</f>
        <v/>
      </c>
      <c r="AR170" s="55">
        <f>$AR169+$AP170</f>
        <v/>
      </c>
      <c r="AS170" s="57">
        <f>SUMIFS(tblFleet[Calendar_h],tblFleet[Date],$A170,tblFleet[Equipment_Class],"Excavator")</f>
        <v/>
      </c>
      <c r="AT170" s="57">
        <f>IF($B170=$B169,$AT169,0)+$AS170</f>
        <v/>
      </c>
      <c r="AU170" s="57">
        <f>$AU169+$AS170</f>
        <v/>
      </c>
      <c r="AV170" s="57">
        <f>SUMIFS(tblFleet[Available_h],tblFleet[Date],$A170,tblFleet[Equipment_Class],"Excavator")</f>
        <v/>
      </c>
      <c r="AW170" s="57">
        <f>IF($B170=$B169,$AW169,0)+$AV170</f>
        <v/>
      </c>
      <c r="AX170" s="57">
        <f>$AX169+$AV170</f>
        <v/>
      </c>
      <c r="AY170" s="57">
        <f>SUMIFS(tblFleet[Operating_h],tblFleet[Date],$A170,tblFleet[Equipment_Class],"Excavator")</f>
        <v/>
      </c>
      <c r="AZ170" s="57">
        <f>IF($B170=$B169,$AZ169,0)+$AY170</f>
        <v/>
      </c>
      <c r="BA170" s="57">
        <f>$BA169+$AY170</f>
        <v/>
      </c>
      <c r="BB170" s="67">
        <f>IFERROR(IF(($AS170)&gt;0,($AV170)/($AS170),""),"")</f>
        <v/>
      </c>
      <c r="BC170" s="67">
        <f>IFERROR(IF(($AT170)&gt;0,($AW170)/($AT170),""),"")</f>
        <v/>
      </c>
      <c r="BD170" s="67">
        <f>IFERROR(IF(($AU170)&gt;0,($AX170)/($AU170),""),"")</f>
        <v/>
      </c>
      <c r="BE170" s="67">
        <f>IFERROR(IF(($AV170)&gt;0,($AY170)/($AV170),""),"")</f>
        <v/>
      </c>
      <c r="BF170" s="67">
        <f>IFERROR(IF(($AW170)&gt;0,($AZ170)/($AW170),""),"")</f>
        <v/>
      </c>
      <c r="BG170" s="67">
        <f>IFERROR(IF(($AX170)&gt;0,($BA170)/($AX170),""),"")</f>
        <v/>
      </c>
      <c r="BH170" s="57">
        <f>SUMIFS(tblFleet[Calendar_h],tblFleet[Date],$A170,tblFleet[Equipment_Class],"Haul Truck")</f>
        <v/>
      </c>
      <c r="BI170" s="57">
        <f>IF($B170=$B169,$BI169,0)+$BH170</f>
        <v/>
      </c>
      <c r="BJ170" s="57">
        <f>$BJ169+$BH170</f>
        <v/>
      </c>
      <c r="BK170" s="57">
        <f>SUMIFS(tblFleet[Available_h],tblFleet[Date],$A170,tblFleet[Equipment_Class],"Haul Truck")</f>
        <v/>
      </c>
      <c r="BL170" s="57">
        <f>IF($B170=$B169,$BL169,0)+$BK170</f>
        <v/>
      </c>
      <c r="BM170" s="57">
        <f>$BM169+$BK170</f>
        <v/>
      </c>
      <c r="BN170" s="57">
        <f>SUMIFS(tblFleet[Operating_h],tblFleet[Date],$A170,tblFleet[Equipment_Class],"Haul Truck")</f>
        <v/>
      </c>
      <c r="BO170" s="57">
        <f>IF($B170=$B169,$BO169,0)+$BN170</f>
        <v/>
      </c>
      <c r="BP170" s="57">
        <f>$BP169+$BN170</f>
        <v/>
      </c>
      <c r="BQ170" s="67">
        <f>IFERROR(IF(($BH170)&gt;0,($BK170)/($BH170),""),"")</f>
        <v/>
      </c>
      <c r="BR170" s="67">
        <f>IFERROR(IF(($BI170)&gt;0,($BL170)/($BI170),""),"")</f>
        <v/>
      </c>
      <c r="BS170" s="67">
        <f>IFERROR(IF(($BJ170)&gt;0,($BM170)/($BJ170),""),"")</f>
        <v/>
      </c>
      <c r="BT170" s="67">
        <f>IFERROR(IF(($BK170)&gt;0,($BN170)/($BK170),""),"")</f>
        <v/>
      </c>
      <c r="BU170" s="67">
        <f>IFERROR(IF(($BL170)&gt;0,($BO170)/($BL170),""),"")</f>
        <v/>
      </c>
      <c r="BV170" s="67">
        <f>IFERROR(IF(($BM170)&gt;0,($BP170)/($BM170),""),"")</f>
        <v/>
      </c>
      <c r="BW170" s="55">
        <f>SUMIFS(tblPlant[Crushed_t],tblPlant[Date],$A170)</f>
        <v/>
      </c>
      <c r="BX170" s="55">
        <f>IF($B170=$B169,$BX169,0)+$BW170</f>
        <v/>
      </c>
      <c r="BY170" s="55">
        <f>$BY169+$BW170</f>
        <v/>
      </c>
      <c r="BZ170" s="55">
        <f>SUMIFS(tblPlant[Milled_t],tblPlant[Date],$A170)</f>
        <v/>
      </c>
      <c r="CA170" s="55">
        <f>IF($B170=$B169,$CA169,0)+$BZ170</f>
        <v/>
      </c>
      <c r="CB170" s="55">
        <f>$CB169+$BZ170</f>
        <v/>
      </c>
      <c r="CC170" s="55">
        <f>SUMIFS(tblPlant[Feed_oz],tblPlant[Date],$A170)</f>
        <v/>
      </c>
      <c r="CD170" s="55">
        <f>IF($B170=$B169,$CD169,0)+$CC170</f>
        <v/>
      </c>
      <c r="CE170" s="55">
        <f>$CE169+$CC170</f>
        <v/>
      </c>
      <c r="CF170" s="55">
        <f>SUMIFS(tblPlant[Tails_oz],tblPlant[Date],$A170)</f>
        <v/>
      </c>
      <c r="CG170" s="55">
        <f>IF($B170=$B169,$CG169,0)+$CF170</f>
        <v/>
      </c>
      <c r="CH170" s="55">
        <f>$CH169+$CF170</f>
        <v/>
      </c>
      <c r="CI170" s="55">
        <f>SUMIFS(tblPlant[Recovered_oz],tblPlant[Date],$A170)</f>
        <v/>
      </c>
      <c r="CJ170" s="55">
        <f>IF($B170=$B169,$CJ169,0)+$CI170</f>
        <v/>
      </c>
      <c r="CK170" s="55">
        <f>$CK169+$CI170</f>
        <v/>
      </c>
      <c r="CL170" s="56">
        <f>IFERROR(IF(($BZ170)&gt;0,($CC170*cfg_TroyOz)/($BZ170),""),"")</f>
        <v/>
      </c>
      <c r="CM170" s="56">
        <f>IFERROR(IF(($CA170)&gt;0,($CD170*cfg_TroyOz)/($CA170),""),"")</f>
        <v/>
      </c>
      <c r="CN170" s="56">
        <f>IFERROR(IF(($CB170)&gt;0,($CE170*cfg_TroyOz)/($CB170),""),"")</f>
        <v/>
      </c>
      <c r="CO170" s="56">
        <f>IFERROR(IF(($BZ170)&gt;0,($CF170*cfg_TroyOz)/($BZ170),""),"")</f>
        <v/>
      </c>
      <c r="CP170" s="56">
        <f>IFERROR(IF(($CA170)&gt;0,($CG170*cfg_TroyOz)/($CA170),""),"")</f>
        <v/>
      </c>
      <c r="CQ170" s="56">
        <f>IFERROR(IF(($CB170)&gt;0,($CH170*cfg_TroyOz)/($CB170),""),"")</f>
        <v/>
      </c>
      <c r="CR170" s="67">
        <f>IFERROR(IF(($CC170)&gt;0,($CI170)/($CC170),""),"")</f>
        <v/>
      </c>
      <c r="CS170" s="67">
        <f>IFERROR(IF(($CD170)&gt;0,($CJ170)/($CD170),""),"")</f>
        <v/>
      </c>
      <c r="CT170" s="67">
        <f>IFERROR(IF(($CE170)&gt;0,($CK170)/($CE170),""),"")</f>
        <v/>
      </c>
      <c r="CU170" s="55">
        <f>SUMIFS(tblPlant[Gravity_Gold_oz],tblPlant[Date],$A170)</f>
        <v/>
      </c>
      <c r="CV170" s="55">
        <f>IF($B170=$B169,$CV169,0)+$CU170</f>
        <v/>
      </c>
      <c r="CW170" s="55">
        <f>$CW169+$CU170</f>
        <v/>
      </c>
      <c r="CX170" s="55">
        <f>SUMIFS(tblPlant[Gold_Poured_oz],tblPlant[Date],$A170)</f>
        <v/>
      </c>
      <c r="CY170" s="55">
        <f>IF($B170=$B169,$CY169,0)+$CX170</f>
        <v/>
      </c>
      <c r="CZ170" s="55">
        <f>$CZ169+$CX170</f>
        <v/>
      </c>
      <c r="DA170" s="57">
        <f>SUMIFS(tblPlant[Mill_Run_h],tblPlant[Date],$A170)</f>
        <v/>
      </c>
      <c r="DB170" s="57">
        <f>IF($B170=$B169,$DB169,0)+$DA170</f>
        <v/>
      </c>
      <c r="DC170" s="57">
        <f>$DC169+$DA170</f>
        <v/>
      </c>
      <c r="DD170" s="57">
        <f>SUMIFS(tblPlant[Mill_Planned_Maint_h],tblPlant[Date],$A170)</f>
        <v/>
      </c>
      <c r="DE170" s="57">
        <f>IF($B170=$B169,$DE169,0)+$DD170</f>
        <v/>
      </c>
      <c r="DF170" s="57">
        <f>$DF169+$DD170</f>
        <v/>
      </c>
      <c r="DG170" s="57">
        <f>SUMIFS(tblPlant[Mill_Unplanned_Down_h],tblPlant[Date],$A170)</f>
        <v/>
      </c>
      <c r="DH170" s="57">
        <f>IF($B170=$B169,$DH169,0)+$DG170</f>
        <v/>
      </c>
      <c r="DI170" s="57">
        <f>$DI169+$DG170</f>
        <v/>
      </c>
      <c r="DJ170" s="57">
        <f>COUNTIFS(tblPlant[Date],$A170,tblPlant[Mill_Run_h],"&lt;&gt;")*24</f>
        <v/>
      </c>
      <c r="DK170" s="57">
        <f>IF($B170=$B169,$DK169,0)+$DJ170</f>
        <v/>
      </c>
      <c r="DL170" s="57">
        <f>$DL169+$DJ170</f>
        <v/>
      </c>
      <c r="DM170" s="57">
        <f>SUMIFS(tblPlant[Crusher_Run_h],tblPlant[Date],$A170)</f>
        <v/>
      </c>
      <c r="DN170" s="57">
        <f>IF($B170=$B169,$DN169,0)+$DM170</f>
        <v/>
      </c>
      <c r="DO170" s="57">
        <f>$DO169+$DM170</f>
        <v/>
      </c>
      <c r="DP170" s="55">
        <f>IFERROR(IF(($DA170)&gt;0,($BZ170)/($DA170),""),"")</f>
        <v/>
      </c>
      <c r="DQ170" s="55">
        <f>IFERROR(IF(($DB170)&gt;0,($CA170)/($DB170),""),"")</f>
        <v/>
      </c>
      <c r="DR170" s="55">
        <f>IFERROR(IF(($DC170)&gt;0,($CB170)/($DC170),""),"")</f>
        <v/>
      </c>
      <c r="DS170" s="67">
        <f>IFERROR(IF(($DJ170)&gt;0,($DJ170-$DD170-$DG170)/($DJ170),""),"")</f>
        <v/>
      </c>
      <c r="DT170" s="67">
        <f>IFERROR(IF(($DK170)&gt;0,($DK170-$DE170-$DH170)/($DK170),""),"")</f>
        <v/>
      </c>
      <c r="DU170" s="67">
        <f>IFERROR(IF(($DL170)&gt;0,($DL170-$DF170-$DI170)/($DL170),""),"")</f>
        <v/>
      </c>
      <c r="DV170" s="67">
        <f>IFERROR(IF(($DJ170-$DD170-$DG170)&gt;0,($DA170)/($DJ170-$DD170-$DG170),""),"")</f>
        <v/>
      </c>
      <c r="DW170" s="67">
        <f>IFERROR(IF(($DK170-$DE170-$DH170)&gt;0,($DB170)/($DK170-$DE170-$DH170),""),"")</f>
        <v/>
      </c>
      <c r="DX170" s="67">
        <f>IFERROR(IF(($DL170-$DF170-$DI170)&gt;0,($DC170)/($DL170-$DF170-$DI170),""),"")</f>
        <v/>
      </c>
      <c r="DY170" s="55">
        <f>SUMIFS(tblPlant[Cyanide_kg],tblPlant[Date],$A170)</f>
        <v/>
      </c>
      <c r="DZ170" s="55">
        <f>IF($B170=$B169,$DZ169,0)+$DY170</f>
        <v/>
      </c>
      <c r="EA170" s="55">
        <f>$EA169+$DY170</f>
        <v/>
      </c>
      <c r="EB170" s="55">
        <f>SUMIFS(tblPlant[Lime_kg],tblPlant[Date],$A170)</f>
        <v/>
      </c>
      <c r="EC170" s="55">
        <f>IF($B170=$B169,$EC169,0)+$EB170</f>
        <v/>
      </c>
      <c r="ED170" s="55">
        <f>$ED169+$EB170</f>
        <v/>
      </c>
      <c r="EE170" s="55">
        <f>SUMIFS(tblPlant[Grinding_Media_kg],tblPlant[Date],$A170)</f>
        <v/>
      </c>
      <c r="EF170" s="55">
        <f>IF($B170=$B169,$EF169,0)+$EE170</f>
        <v/>
      </c>
      <c r="EG170" s="55">
        <f>$EG169+$EE170</f>
        <v/>
      </c>
      <c r="EH170" s="55">
        <f>SUMIFS(tblPlant[Power_kWh],tblPlant[Date],$A170)</f>
        <v/>
      </c>
      <c r="EI170" s="55">
        <f>IF($B170=$B169,$EI169,0)+$EH170</f>
        <v/>
      </c>
      <c r="EJ170" s="55">
        <f>$EJ169+$EH170</f>
        <v/>
      </c>
      <c r="EK170" s="55">
        <f>SUMIFS(tblPlant[Raw_Water_m3],tblPlant[Date],$A170)</f>
        <v/>
      </c>
      <c r="EL170" s="55">
        <f>IF($B170=$B169,$EL169,0)+$EK170</f>
        <v/>
      </c>
      <c r="EM170" s="55">
        <f>$EM169+$EK170</f>
        <v/>
      </c>
      <c r="EN170" s="56">
        <f>IFERROR(IF(($BZ170)&gt;0,($DY170)/($BZ170),""),"")</f>
        <v/>
      </c>
      <c r="EO170" s="56">
        <f>IFERROR(IF(($CA170)&gt;0,($DZ170)/($CA170),""),"")</f>
        <v/>
      </c>
      <c r="EP170" s="56">
        <f>IFERROR(IF(($CB170)&gt;0,($EA170)/($CB170),""),"")</f>
        <v/>
      </c>
      <c r="EQ170" s="56">
        <f>IFERROR(IF(($BZ170)&gt;0,($EB170)/($BZ170),""),"")</f>
        <v/>
      </c>
      <c r="ER170" s="56">
        <f>IFERROR(IF(($CA170)&gt;0,($EC170)/($CA170),""),"")</f>
        <v/>
      </c>
      <c r="ES170" s="56">
        <f>IFERROR(IF(($CB170)&gt;0,($ED170)/($CB170),""),"")</f>
        <v/>
      </c>
      <c r="ET170" s="56">
        <f>IFERROR(IF(($BZ170)&gt;0,($EE170)/($BZ170),""),"")</f>
        <v/>
      </c>
      <c r="EU170" s="56">
        <f>IFERROR(IF(($CA170)&gt;0,($EF170)/($CA170),""),"")</f>
        <v/>
      </c>
      <c r="EV170" s="56">
        <f>IFERROR(IF(($CB170)&gt;0,($EG170)/($CB170),""),"")</f>
        <v/>
      </c>
      <c r="EW170" s="76">
        <f>IFERROR(IF(($BZ170)&gt;0,($EH170)/($BZ170),""),"")</f>
        <v/>
      </c>
      <c r="EX170" s="76">
        <f>IFERROR(IF(($CA170)&gt;0,($EI170)/($CA170),""),"")</f>
        <v/>
      </c>
      <c r="EY170" s="76">
        <f>IFERROR(IF(($CB170)&gt;0,($EJ170)/($CB170),""),"")</f>
        <v/>
      </c>
      <c r="EZ170" s="56">
        <f>IFERROR(IF(($BZ170)&gt;0,($EK170)/($BZ170),""),"")</f>
        <v/>
      </c>
      <c r="FA170" s="56">
        <f>IFERROR(IF(($CA170)&gt;0,($EL170)/($CA170),""),"")</f>
        <v/>
      </c>
      <c r="FB170" s="56">
        <f>IFERROR(IF(($CB170)&gt;0,($EM170)/($CB170),""),"")</f>
        <v/>
      </c>
      <c r="FC170" s="55">
        <f>IF(SUMIFS(tblPlant[GIC_oz],tblPlant[Date],$A170)&gt;0,SUMIFS(tblPlant[GIC_oz],tblPlant[Date],$A170),"")</f>
        <v/>
      </c>
      <c r="FD170" s="55">
        <f>SUMIFS(tblGold[Gold_oz],tblGold[Date],$A170,tblGold[Type],"Shipment")</f>
        <v/>
      </c>
      <c r="FE170" s="55">
        <f>IF($B170=$B169,$FE169,0)+$FD170</f>
        <v/>
      </c>
      <c r="FF170" s="55">
        <f>$FF169+$FD170</f>
        <v/>
      </c>
      <c r="FG170" s="55">
        <f>SUMIFS(tblGold[Gold_oz],tblGold[Date],$A170,tblGold[Type],"Sale")</f>
        <v/>
      </c>
      <c r="FH170" s="55">
        <f>IF($B170=$B169,$FH169,0)+$FG170</f>
        <v/>
      </c>
      <c r="FI170" s="55">
        <f>$FI169+$FG170</f>
        <v/>
      </c>
      <c r="FJ170" s="55">
        <f>SUMIFS(tblGold[Dore_kg],tblGold[Date],$A170,tblGold[Type],"Shipment")</f>
        <v/>
      </c>
      <c r="FK170" s="55">
        <f>IF($B170=$B169,$FK169,0)+$FJ170</f>
        <v/>
      </c>
      <c r="FL170" s="55">
        <f>$FL169+$FJ170</f>
        <v/>
      </c>
      <c r="FM170" s="57">
        <f>SUMIFS(tblSafety[Hours_Total],tblSafety[Date],$A170)</f>
        <v/>
      </c>
      <c r="FN170" s="57">
        <f>IF($B170=$B169,$FN169,0)+$FM170</f>
        <v/>
      </c>
      <c r="FO170" s="57">
        <f>$FO169+$FM170</f>
        <v/>
      </c>
      <c r="FP170" s="62">
        <f>SUMIFS(tblSafety[Fatality],tblSafety[Date],$A170)</f>
        <v/>
      </c>
      <c r="FQ170" s="62">
        <f>IF($B170=$B169,$FQ169,0)+$FP170</f>
        <v/>
      </c>
      <c r="FR170" s="62">
        <f>$FR169+$FP170</f>
        <v/>
      </c>
      <c r="FS170" s="62">
        <f>SUMIFS(tblSafety[LTI],tblSafety[Date],$A170)</f>
        <v/>
      </c>
      <c r="FT170" s="62">
        <f>IF($B170=$B169,$FT169,0)+$FS170</f>
        <v/>
      </c>
      <c r="FU170" s="62">
        <f>$FU169+$FS170</f>
        <v/>
      </c>
      <c r="FV170" s="62">
        <f>SUMIFS(tblSafety[RWI],tblSafety[Date],$A170)</f>
        <v/>
      </c>
      <c r="FW170" s="62">
        <f>IF($B170=$B169,$FW169,0)+$FV170</f>
        <v/>
      </c>
      <c r="FX170" s="62">
        <f>$FX169+$FV170</f>
        <v/>
      </c>
      <c r="FY170" s="62">
        <f>SUMIFS(tblSafety[MTI],tblSafety[Date],$A170)</f>
        <v/>
      </c>
      <c r="FZ170" s="62">
        <f>IF($B170=$B169,$FZ169,0)+$FY170</f>
        <v/>
      </c>
      <c r="GA170" s="62">
        <f>$GA169+$FY170</f>
        <v/>
      </c>
      <c r="GB170" s="62">
        <f>SUMIFS(tblSafety[FAI],tblSafety[Date],$A170)</f>
        <v/>
      </c>
      <c r="GC170" s="62">
        <f>IF($B170=$B169,$GC169,0)+$GB170</f>
        <v/>
      </c>
      <c r="GD170" s="62">
        <f>$GD169+$GB170</f>
        <v/>
      </c>
      <c r="GE170" s="62">
        <f>SUMIFS(tblSafety[Recordables],tblSafety[Date],$A170)</f>
        <v/>
      </c>
      <c r="GF170" s="62">
        <f>IF($B170=$B169,$GF169,0)+$GE170</f>
        <v/>
      </c>
      <c r="GG170" s="62">
        <f>$GG169+$GE170</f>
        <v/>
      </c>
      <c r="GH170" s="62">
        <f>SUMIFS(tblSafety[Near_Miss],tblSafety[Date],$A170)</f>
        <v/>
      </c>
      <c r="GI170" s="62">
        <f>IF($B170=$B169,$GI169,0)+$GH170</f>
        <v/>
      </c>
      <c r="GJ170" s="62">
        <f>$GJ169+$GH170</f>
        <v/>
      </c>
      <c r="GK170" s="62">
        <f>SUMIFS(tblSafety[Hazard_Reports],tblSafety[Date],$A170)</f>
        <v/>
      </c>
      <c r="GL170" s="62">
        <f>IF($B170=$B169,$GL169,0)+$GK170</f>
        <v/>
      </c>
      <c r="GM170" s="62">
        <f>$GM169+$GK170</f>
        <v/>
      </c>
      <c r="GN170" s="62">
        <f>SUMIFS(tblSafety[HPI],tblSafety[Date],$A170)</f>
        <v/>
      </c>
      <c r="GO170" s="62">
        <f>IF($B170=$B169,$GO169,0)+$GN170</f>
        <v/>
      </c>
      <c r="GP170" s="62">
        <f>$GP169+$GN170</f>
        <v/>
      </c>
      <c r="GQ170" s="62">
        <f>SUMIFS(tblSafety[Env_Incidents],tblSafety[Date],$A170)</f>
        <v/>
      </c>
      <c r="GR170" s="62">
        <f>IF($B170=$B169,$GR169,0)+$GQ170</f>
        <v/>
      </c>
      <c r="GS170" s="62">
        <f>$GS169+$GQ170</f>
        <v/>
      </c>
      <c r="GT170" s="62">
        <f>SUMIFS(tblSafety[Community_Incidents],tblSafety[Date],$A170)</f>
        <v/>
      </c>
      <c r="GU170" s="62">
        <f>IF($B170=$B169,$GU169,0)+$GT170</f>
        <v/>
      </c>
      <c r="GV170" s="62">
        <f>$GV169+$GT170</f>
        <v/>
      </c>
      <c r="GW170" s="62">
        <f>SUMIFS(tblSafety[Vehicle_Incidents],tblSafety[Date],$A170)</f>
        <v/>
      </c>
      <c r="GX170" s="62">
        <f>IF($B170=$B169,$GX169,0)+$GW170</f>
        <v/>
      </c>
      <c r="GY170" s="62">
        <f>$GY169+$GW170</f>
        <v/>
      </c>
      <c r="GZ170" s="62">
        <f>SUMIFS(tblSafety[Toolbox_Talks],tblSafety[Date],$A170)</f>
        <v/>
      </c>
      <c r="HA170" s="62">
        <f>IF($B170=$B169,$HA169,0)+$GZ170</f>
        <v/>
      </c>
      <c r="HB170" s="62">
        <f>$HB169+$GZ170</f>
        <v/>
      </c>
      <c r="HC170" s="62">
        <f>SUMIFS(tblSafety[Inspections],tblSafety[Date],$A170)</f>
        <v/>
      </c>
      <c r="HD170" s="62">
        <f>IF($B170=$B169,$HD169,0)+$HC170</f>
        <v/>
      </c>
      <c r="HE170" s="62">
        <f>$HE169+$HC170</f>
        <v/>
      </c>
      <c r="HF170" s="56">
        <f>IFERROR((SUMIFS(tblSafety[Recordables],tblSafety[Date],"&gt;="&amp;EDATE($E170,-12),tblSafety[Date],"&lt;="&amp;$A170)+SUMIFS(tblSafetyHistory[Recordables],tblSafetyHistory[Month],"&gt;="&amp;EDATE($E170,-12),tblSafetyHistory[Month],"&lt;"&amp;cfg_YearStart))/(SUMIFS(tblSafety[Hours_Total],tblSafety[Date],"&gt;="&amp;EDATE($E170,-12),tblSafety[Date],"&lt;="&amp;$A170)+SUMIFS(tblSafetyHistory[Hours_Total],tblSafetyHistory[Month],"&gt;="&amp;EDATE($E170,-12),tblSafetyHistory[Month],"&lt;"&amp;cfg_YearStart))*1000000,"")</f>
        <v/>
      </c>
      <c r="HG170" s="56">
        <f>IFERROR((SUMIFS(tblSafety[LTI],tblSafety[Date],"&gt;="&amp;EDATE($E170,-12),tblSafety[Date],"&lt;="&amp;$A170)+SUMIFS(tblSafetyHistory[LTI],tblSafetyHistory[Month],"&gt;="&amp;EDATE($E170,-12),tblSafetyHistory[Month],"&lt;"&amp;cfg_YearStart))/(SUMIFS(tblSafety[Hours_Total],tblSafety[Date],"&gt;="&amp;EDATE($E170,-12),tblSafety[Date],"&lt;="&amp;$A170)+SUMIFS(tblSafetyHistory[Hours_Total],tblSafetyHistory[Month],"&gt;="&amp;EDATE($E170,-12),tblSafetyHistory[Month],"&lt;"&amp;cfg_YearStart))*1000000,"")</f>
        <v/>
      </c>
      <c r="HH170" s="62">
        <f>IF(MAX(N(cfg_PriorLTIDate),_xlfn.MAXIFS(tblSafety[Date],tblSafety[LTI],"&gt;0",tblSafety[Date],"&lt;="&amp;$A170))=0,"",$A170-MAX(N(cfg_PriorLTIDate),_xlfn.MAXIFS(tblSafety[Date],tblSafety[LTI],"&gt;0",tblSafety[Date],"&lt;="&amp;$A170)))</f>
        <v/>
      </c>
      <c r="HI170" s="55">
        <f>SUMIFS(tblBudget[Ore_Mined_t],tblBudget[Month],$E170)</f>
        <v/>
      </c>
      <c r="HJ170" s="55">
        <f>$HI170*$C170/$D170</f>
        <v/>
      </c>
      <c r="HK170" s="55">
        <f>SUMIFS(tblBudget[Ore_Mined_t],tblBudget[Month],"&lt;"&amp;$E170)+$HJ170</f>
        <v/>
      </c>
      <c r="HL170" s="55">
        <f>SUMIFS(tblBudget[Ore_oz],tblBudget[Month],$E170)</f>
        <v/>
      </c>
      <c r="HM170" s="55">
        <f>$HL170*$C170/$D170</f>
        <v/>
      </c>
      <c r="HN170" s="55">
        <f>SUMIFS(tblBudget[Ore_oz],tblBudget[Month],"&lt;"&amp;$E170)+$HM170</f>
        <v/>
      </c>
      <c r="HO170" s="56">
        <f>IFERROR(IF(($HI170)&gt;0,($HL170*cfg_TroyOz)/($HI170),""),"")</f>
        <v/>
      </c>
      <c r="HP170" s="56">
        <f>IFERROR(IF(($HJ170)&gt;0,($HM170*cfg_TroyOz)/($HJ170),""),"")</f>
        <v/>
      </c>
      <c r="HQ170" s="56">
        <f>IFERROR(IF(($HK170)&gt;0,($HN170*cfg_TroyOz)/($HK170),""),"")</f>
        <v/>
      </c>
      <c r="HR170" s="55">
        <f>SUMIFS(tblBudget[Waste_t],tblBudget[Month],$E170)</f>
        <v/>
      </c>
      <c r="HS170" s="55">
        <f>$HR170*$C170/$D170</f>
        <v/>
      </c>
      <c r="HT170" s="55">
        <f>SUMIFS(tblBudget[Waste_t],tblBudget[Month],"&lt;"&amp;$E170)+$HS170</f>
        <v/>
      </c>
      <c r="HU170" s="55">
        <f>SUMIFS(tblBudget[TMM_t],tblBudget[Month],$E170)</f>
        <v/>
      </c>
      <c r="HV170" s="55">
        <f>$HU170*$C170/$D170</f>
        <v/>
      </c>
      <c r="HW170" s="55">
        <f>SUMIFS(tblBudget[TMM_t],tblBudget[Month],"&lt;"&amp;$E170)+$HV170</f>
        <v/>
      </c>
      <c r="HX170" s="56">
        <f>IFERROR(IF(($HI170)&gt;0,($HR170)/($HI170),""),"")</f>
        <v/>
      </c>
      <c r="HY170" s="56">
        <f>IFERROR(IF(($HJ170)&gt;0,($HS170)/($HJ170),""),"")</f>
        <v/>
      </c>
      <c r="HZ170" s="56">
        <f>IFERROR(IF(($HK170)&gt;0,($HT170)/($HK170),""),"")</f>
        <v/>
      </c>
      <c r="IA170" s="55">
        <f>SUMIFS(tblBudget[Drill_m],tblBudget[Month],$E170)</f>
        <v/>
      </c>
      <c r="IB170" s="55">
        <f>$IA170*$C170/$D170</f>
        <v/>
      </c>
      <c r="IC170" s="55">
        <f>SUMIFS(tblBudget[Drill_m],tblBudget[Month],"&lt;"&amp;$E170)+$IB170</f>
        <v/>
      </c>
      <c r="ID170" s="55">
        <f>SUMIFS(tblBudget[Diesel_L],tblBudget[Month],$E170)</f>
        <v/>
      </c>
      <c r="IE170" s="55">
        <f>$ID170*$C170/$D170</f>
        <v/>
      </c>
      <c r="IF170" s="55">
        <f>SUMIFS(tblBudget[Diesel_L],tblBudget[Month],"&lt;"&amp;$E170)+$IE170</f>
        <v/>
      </c>
      <c r="IG170" s="55">
        <f>SUMIFS(tblBudget[Milled_t],tblBudget[Month],$E170)</f>
        <v/>
      </c>
      <c r="IH170" s="55">
        <f>$IG170*$C170/$D170</f>
        <v/>
      </c>
      <c r="II170" s="55">
        <f>SUMIFS(tblBudget[Milled_t],tblBudget[Month],"&lt;"&amp;$E170)+$IH170</f>
        <v/>
      </c>
      <c r="IJ170" s="55">
        <f>SUMIFS(tblBudget[Feed_oz],tblBudget[Month],$E170)</f>
        <v/>
      </c>
      <c r="IK170" s="55">
        <f>$IJ170*$C170/$D170</f>
        <v/>
      </c>
      <c r="IL170" s="55">
        <f>SUMIFS(tblBudget[Feed_oz],tblBudget[Month],"&lt;"&amp;$E170)+$IK170</f>
        <v/>
      </c>
      <c r="IM170" s="55">
        <f>SUMIFS(tblBudget[Recovered_oz],tblBudget[Month],$E170)</f>
        <v/>
      </c>
      <c r="IN170" s="55">
        <f>$IM170*$C170/$D170</f>
        <v/>
      </c>
      <c r="IO170" s="55">
        <f>SUMIFS(tblBudget[Recovered_oz],tblBudget[Month],"&lt;"&amp;$E170)+$IN170</f>
        <v/>
      </c>
      <c r="IP170" s="56">
        <f>IFERROR(IF(($IG170)&gt;0,($IJ170*cfg_TroyOz)/($IG170),""),"")</f>
        <v/>
      </c>
      <c r="IQ170" s="56">
        <f>IFERROR(IF(($IH170)&gt;0,($IK170*cfg_TroyOz)/($IH170),""),"")</f>
        <v/>
      </c>
      <c r="IR170" s="56">
        <f>IFERROR(IF(($II170)&gt;0,($IL170*cfg_TroyOz)/($II170),""),"")</f>
        <v/>
      </c>
      <c r="IS170" s="67">
        <f>IFERROR(IF(($IJ170)&gt;0,($IM170)/($IJ170),""),"")</f>
        <v/>
      </c>
      <c r="IT170" s="67">
        <f>IFERROR(IF(($IK170)&gt;0,($IN170)/($IK170),""),"")</f>
        <v/>
      </c>
      <c r="IU170" s="67">
        <f>IFERROR(IF(($IL170)&gt;0,($IO170)/($IL170),""),"")</f>
        <v/>
      </c>
      <c r="IV170" s="55">
        <f>SUMIFS(tblBudget[Gold_Poured_oz],tblBudget[Month],$E170)</f>
        <v/>
      </c>
      <c r="IW170" s="55">
        <f>$IV170*$C170/$D170</f>
        <v/>
      </c>
      <c r="IX170" s="55">
        <f>SUMIFS(tblBudget[Gold_Poured_oz],tblBudget[Month],"&lt;"&amp;$E170)+$IW170</f>
        <v/>
      </c>
      <c r="IY170" s="57">
        <f>SUMIFS(tblBudget[Hours_Worked],tblBudget[Month],$E170)</f>
        <v/>
      </c>
      <c r="IZ170" s="57">
        <f>$IY170*$C170/$D170</f>
        <v/>
      </c>
      <c r="JA170" s="57">
        <f>SUMIFS(tblBudget[Hours_Worked],tblBudget[Month],"&lt;"&amp;$E170)+$IZ170</f>
        <v/>
      </c>
    </row>
    <row r="171">
      <c r="A171" s="54" t="n">
        <v>46192</v>
      </c>
      <c r="B171">
        <f>MONTH($A171)</f>
        <v/>
      </c>
      <c r="C171">
        <f>DAY($A171)</f>
        <v/>
      </c>
      <c r="D171">
        <f>DAY(EOMONTH($A171,0))</f>
        <v/>
      </c>
      <c r="E171" s="54">
        <f>DATE(YEAR($A171),MONTH($A171),1)</f>
        <v/>
      </c>
      <c r="F171" s="55">
        <f>SUMIFS(tblMovement[Tonnes_t],tblMovement[Date],$A171,tblMovement[Is_Ore],1,tblMovement[Source_Type],"Pit")</f>
        <v/>
      </c>
      <c r="G171" s="55">
        <f>IF($B171=$B170,$G170,0)+$F171</f>
        <v/>
      </c>
      <c r="H171" s="55">
        <f>$H170+$F171</f>
        <v/>
      </c>
      <c r="I171" s="55">
        <f>SUMIFS(tblMovement[Ore_oz],tblMovement[Date],$A171,tblMovement[Source_Type],"Pit")</f>
        <v/>
      </c>
      <c r="J171" s="55">
        <f>IF($B171=$B170,$J170,0)+$I171</f>
        <v/>
      </c>
      <c r="K171" s="55">
        <f>$K170+$I171</f>
        <v/>
      </c>
      <c r="L171" s="56">
        <f>IFERROR(IF(($F171)&gt;0,($I171*cfg_TroyOz)/($F171),""),"")</f>
        <v/>
      </c>
      <c r="M171" s="56">
        <f>IFERROR(IF(($G171)&gt;0,($J171*cfg_TroyOz)/($G171),""),"")</f>
        <v/>
      </c>
      <c r="N171" s="56">
        <f>IFERROR(IF(($H171)&gt;0,($K171*cfg_TroyOz)/($H171),""),"")</f>
        <v/>
      </c>
      <c r="O171" s="55">
        <f>SUMIFS(tblMovement[Tonnes_t],tblMovement[Date],$A171,tblMovement[Is_Ore],0,tblMovement[Source_Type],"Pit")</f>
        <v/>
      </c>
      <c r="P171" s="55">
        <f>IF($B171=$B170,$P170,0)+$O171</f>
        <v/>
      </c>
      <c r="Q171" s="55">
        <f>$Q170+$O171</f>
        <v/>
      </c>
      <c r="R171" s="55">
        <f>$F171+$O171</f>
        <v/>
      </c>
      <c r="S171" s="55">
        <f>IF($B171=$B170,$S170,0)+$R171</f>
        <v/>
      </c>
      <c r="T171" s="55">
        <f>$T170+$R171</f>
        <v/>
      </c>
      <c r="U171" s="56">
        <f>IFERROR(IF(($F171)&gt;0,($O171)/($F171),""),"")</f>
        <v/>
      </c>
      <c r="V171" s="56">
        <f>IFERROR(IF(($G171)&gt;0,($P171)/($G171),""),"")</f>
        <v/>
      </c>
      <c r="W171" s="56">
        <f>IFERROR(IF(($H171)&gt;0,($Q171)/($H171),""),"")</f>
        <v/>
      </c>
      <c r="X171" s="55">
        <f>SUMIFS(tblMovement[Tonnes_t],tblMovement[Date],$A171,tblMovement[Source_Type],"Stockpile")</f>
        <v/>
      </c>
      <c r="Y171" s="55">
        <f>IF($B171=$B170,$Y170,0)+$X171</f>
        <v/>
      </c>
      <c r="Z171" s="55">
        <f>$Z170+$X171</f>
        <v/>
      </c>
      <c r="AA171" s="55">
        <f>SUMIFS(tblMiningDaily[Drill_m],tblMiningDaily[Date],$A171)</f>
        <v/>
      </c>
      <c r="AB171" s="55">
        <f>IF($B171=$B170,$AB170,0)+$AA171</f>
        <v/>
      </c>
      <c r="AC171" s="55">
        <f>$AC170+$AA171</f>
        <v/>
      </c>
      <c r="AD171" s="55">
        <f>SUMIFS(tblMiningDaily[Blast_t],tblMiningDaily[Date],$A171)</f>
        <v/>
      </c>
      <c r="AE171" s="55">
        <f>IF($B171=$B170,$AE170,0)+$AD171</f>
        <v/>
      </c>
      <c r="AF171" s="55">
        <f>$AF170+$AD171</f>
        <v/>
      </c>
      <c r="AG171" s="55">
        <f>SUMIFS(tblMiningDaily[Explosives_kg],tblMiningDaily[Date],$A171)</f>
        <v/>
      </c>
      <c r="AH171" s="55">
        <f>IF($B171=$B170,$AH170,0)+$AG171</f>
        <v/>
      </c>
      <c r="AI171" s="55">
        <f>$AI170+$AG171</f>
        <v/>
      </c>
      <c r="AJ171" s="56">
        <f>IFERROR(IF(($AD171)&gt;0,($AG171)/($AD171),""),"")</f>
        <v/>
      </c>
      <c r="AK171" s="56">
        <f>IFERROR(IF(($AE171)&gt;0,($AH171)/($AE171),""),"")</f>
        <v/>
      </c>
      <c r="AL171" s="56">
        <f>IFERROR(IF(($AF171)&gt;0,($AI171)/($AF171),""),"")</f>
        <v/>
      </c>
      <c r="AM171" s="55">
        <f>SUMIFS(tblMiningDaily[Diesel_L],tblMiningDaily[Date],$A171)</f>
        <v/>
      </c>
      <c r="AN171" s="55">
        <f>IF($B171=$B170,$AN170,0)+$AM171</f>
        <v/>
      </c>
      <c r="AO171" s="55">
        <f>$AO170+$AM171</f>
        <v/>
      </c>
      <c r="AP171" s="55">
        <f>SUMIFS(tblMiningDaily[Dewatering_m3],tblMiningDaily[Date],$A171)</f>
        <v/>
      </c>
      <c r="AQ171" s="55">
        <f>IF($B171=$B170,$AQ170,0)+$AP171</f>
        <v/>
      </c>
      <c r="AR171" s="55">
        <f>$AR170+$AP171</f>
        <v/>
      </c>
      <c r="AS171" s="57">
        <f>SUMIFS(tblFleet[Calendar_h],tblFleet[Date],$A171,tblFleet[Equipment_Class],"Excavator")</f>
        <v/>
      </c>
      <c r="AT171" s="57">
        <f>IF($B171=$B170,$AT170,0)+$AS171</f>
        <v/>
      </c>
      <c r="AU171" s="57">
        <f>$AU170+$AS171</f>
        <v/>
      </c>
      <c r="AV171" s="57">
        <f>SUMIFS(tblFleet[Available_h],tblFleet[Date],$A171,tblFleet[Equipment_Class],"Excavator")</f>
        <v/>
      </c>
      <c r="AW171" s="57">
        <f>IF($B171=$B170,$AW170,0)+$AV171</f>
        <v/>
      </c>
      <c r="AX171" s="57">
        <f>$AX170+$AV171</f>
        <v/>
      </c>
      <c r="AY171" s="57">
        <f>SUMIFS(tblFleet[Operating_h],tblFleet[Date],$A171,tblFleet[Equipment_Class],"Excavator")</f>
        <v/>
      </c>
      <c r="AZ171" s="57">
        <f>IF($B171=$B170,$AZ170,0)+$AY171</f>
        <v/>
      </c>
      <c r="BA171" s="57">
        <f>$BA170+$AY171</f>
        <v/>
      </c>
      <c r="BB171" s="67">
        <f>IFERROR(IF(($AS171)&gt;0,($AV171)/($AS171),""),"")</f>
        <v/>
      </c>
      <c r="BC171" s="67">
        <f>IFERROR(IF(($AT171)&gt;0,($AW171)/($AT171),""),"")</f>
        <v/>
      </c>
      <c r="BD171" s="67">
        <f>IFERROR(IF(($AU171)&gt;0,($AX171)/($AU171),""),"")</f>
        <v/>
      </c>
      <c r="BE171" s="67">
        <f>IFERROR(IF(($AV171)&gt;0,($AY171)/($AV171),""),"")</f>
        <v/>
      </c>
      <c r="BF171" s="67">
        <f>IFERROR(IF(($AW171)&gt;0,($AZ171)/($AW171),""),"")</f>
        <v/>
      </c>
      <c r="BG171" s="67">
        <f>IFERROR(IF(($AX171)&gt;0,($BA171)/($AX171),""),"")</f>
        <v/>
      </c>
      <c r="BH171" s="57">
        <f>SUMIFS(tblFleet[Calendar_h],tblFleet[Date],$A171,tblFleet[Equipment_Class],"Haul Truck")</f>
        <v/>
      </c>
      <c r="BI171" s="57">
        <f>IF($B171=$B170,$BI170,0)+$BH171</f>
        <v/>
      </c>
      <c r="BJ171" s="57">
        <f>$BJ170+$BH171</f>
        <v/>
      </c>
      <c r="BK171" s="57">
        <f>SUMIFS(tblFleet[Available_h],tblFleet[Date],$A171,tblFleet[Equipment_Class],"Haul Truck")</f>
        <v/>
      </c>
      <c r="BL171" s="57">
        <f>IF($B171=$B170,$BL170,0)+$BK171</f>
        <v/>
      </c>
      <c r="BM171" s="57">
        <f>$BM170+$BK171</f>
        <v/>
      </c>
      <c r="BN171" s="57">
        <f>SUMIFS(tblFleet[Operating_h],tblFleet[Date],$A171,tblFleet[Equipment_Class],"Haul Truck")</f>
        <v/>
      </c>
      <c r="BO171" s="57">
        <f>IF($B171=$B170,$BO170,0)+$BN171</f>
        <v/>
      </c>
      <c r="BP171" s="57">
        <f>$BP170+$BN171</f>
        <v/>
      </c>
      <c r="BQ171" s="67">
        <f>IFERROR(IF(($BH171)&gt;0,($BK171)/($BH171),""),"")</f>
        <v/>
      </c>
      <c r="BR171" s="67">
        <f>IFERROR(IF(($BI171)&gt;0,($BL171)/($BI171),""),"")</f>
        <v/>
      </c>
      <c r="BS171" s="67">
        <f>IFERROR(IF(($BJ171)&gt;0,($BM171)/($BJ171),""),"")</f>
        <v/>
      </c>
      <c r="BT171" s="67">
        <f>IFERROR(IF(($BK171)&gt;0,($BN171)/($BK171),""),"")</f>
        <v/>
      </c>
      <c r="BU171" s="67">
        <f>IFERROR(IF(($BL171)&gt;0,($BO171)/($BL171),""),"")</f>
        <v/>
      </c>
      <c r="BV171" s="67">
        <f>IFERROR(IF(($BM171)&gt;0,($BP171)/($BM171),""),"")</f>
        <v/>
      </c>
      <c r="BW171" s="55">
        <f>SUMIFS(tblPlant[Crushed_t],tblPlant[Date],$A171)</f>
        <v/>
      </c>
      <c r="BX171" s="55">
        <f>IF($B171=$B170,$BX170,0)+$BW171</f>
        <v/>
      </c>
      <c r="BY171" s="55">
        <f>$BY170+$BW171</f>
        <v/>
      </c>
      <c r="BZ171" s="55">
        <f>SUMIFS(tblPlant[Milled_t],tblPlant[Date],$A171)</f>
        <v/>
      </c>
      <c r="CA171" s="55">
        <f>IF($B171=$B170,$CA170,0)+$BZ171</f>
        <v/>
      </c>
      <c r="CB171" s="55">
        <f>$CB170+$BZ171</f>
        <v/>
      </c>
      <c r="CC171" s="55">
        <f>SUMIFS(tblPlant[Feed_oz],tblPlant[Date],$A171)</f>
        <v/>
      </c>
      <c r="CD171" s="55">
        <f>IF($B171=$B170,$CD170,0)+$CC171</f>
        <v/>
      </c>
      <c r="CE171" s="55">
        <f>$CE170+$CC171</f>
        <v/>
      </c>
      <c r="CF171" s="55">
        <f>SUMIFS(tblPlant[Tails_oz],tblPlant[Date],$A171)</f>
        <v/>
      </c>
      <c r="CG171" s="55">
        <f>IF($B171=$B170,$CG170,0)+$CF171</f>
        <v/>
      </c>
      <c r="CH171" s="55">
        <f>$CH170+$CF171</f>
        <v/>
      </c>
      <c r="CI171" s="55">
        <f>SUMIFS(tblPlant[Recovered_oz],tblPlant[Date],$A171)</f>
        <v/>
      </c>
      <c r="CJ171" s="55">
        <f>IF($B171=$B170,$CJ170,0)+$CI171</f>
        <v/>
      </c>
      <c r="CK171" s="55">
        <f>$CK170+$CI171</f>
        <v/>
      </c>
      <c r="CL171" s="56">
        <f>IFERROR(IF(($BZ171)&gt;0,($CC171*cfg_TroyOz)/($BZ171),""),"")</f>
        <v/>
      </c>
      <c r="CM171" s="56">
        <f>IFERROR(IF(($CA171)&gt;0,($CD171*cfg_TroyOz)/($CA171),""),"")</f>
        <v/>
      </c>
      <c r="CN171" s="56">
        <f>IFERROR(IF(($CB171)&gt;0,($CE171*cfg_TroyOz)/($CB171),""),"")</f>
        <v/>
      </c>
      <c r="CO171" s="56">
        <f>IFERROR(IF(($BZ171)&gt;0,($CF171*cfg_TroyOz)/($BZ171),""),"")</f>
        <v/>
      </c>
      <c r="CP171" s="56">
        <f>IFERROR(IF(($CA171)&gt;0,($CG171*cfg_TroyOz)/($CA171),""),"")</f>
        <v/>
      </c>
      <c r="CQ171" s="56">
        <f>IFERROR(IF(($CB171)&gt;0,($CH171*cfg_TroyOz)/($CB171),""),"")</f>
        <v/>
      </c>
      <c r="CR171" s="67">
        <f>IFERROR(IF(($CC171)&gt;0,($CI171)/($CC171),""),"")</f>
        <v/>
      </c>
      <c r="CS171" s="67">
        <f>IFERROR(IF(($CD171)&gt;0,($CJ171)/($CD171),""),"")</f>
        <v/>
      </c>
      <c r="CT171" s="67">
        <f>IFERROR(IF(($CE171)&gt;0,($CK171)/($CE171),""),"")</f>
        <v/>
      </c>
      <c r="CU171" s="55">
        <f>SUMIFS(tblPlant[Gravity_Gold_oz],tblPlant[Date],$A171)</f>
        <v/>
      </c>
      <c r="CV171" s="55">
        <f>IF($B171=$B170,$CV170,0)+$CU171</f>
        <v/>
      </c>
      <c r="CW171" s="55">
        <f>$CW170+$CU171</f>
        <v/>
      </c>
      <c r="CX171" s="55">
        <f>SUMIFS(tblPlant[Gold_Poured_oz],tblPlant[Date],$A171)</f>
        <v/>
      </c>
      <c r="CY171" s="55">
        <f>IF($B171=$B170,$CY170,0)+$CX171</f>
        <v/>
      </c>
      <c r="CZ171" s="55">
        <f>$CZ170+$CX171</f>
        <v/>
      </c>
      <c r="DA171" s="57">
        <f>SUMIFS(tblPlant[Mill_Run_h],tblPlant[Date],$A171)</f>
        <v/>
      </c>
      <c r="DB171" s="57">
        <f>IF($B171=$B170,$DB170,0)+$DA171</f>
        <v/>
      </c>
      <c r="DC171" s="57">
        <f>$DC170+$DA171</f>
        <v/>
      </c>
      <c r="DD171" s="57">
        <f>SUMIFS(tblPlant[Mill_Planned_Maint_h],tblPlant[Date],$A171)</f>
        <v/>
      </c>
      <c r="DE171" s="57">
        <f>IF($B171=$B170,$DE170,0)+$DD171</f>
        <v/>
      </c>
      <c r="DF171" s="57">
        <f>$DF170+$DD171</f>
        <v/>
      </c>
      <c r="DG171" s="57">
        <f>SUMIFS(tblPlant[Mill_Unplanned_Down_h],tblPlant[Date],$A171)</f>
        <v/>
      </c>
      <c r="DH171" s="57">
        <f>IF($B171=$B170,$DH170,0)+$DG171</f>
        <v/>
      </c>
      <c r="DI171" s="57">
        <f>$DI170+$DG171</f>
        <v/>
      </c>
      <c r="DJ171" s="57">
        <f>COUNTIFS(tblPlant[Date],$A171,tblPlant[Mill_Run_h],"&lt;&gt;")*24</f>
        <v/>
      </c>
      <c r="DK171" s="57">
        <f>IF($B171=$B170,$DK170,0)+$DJ171</f>
        <v/>
      </c>
      <c r="DL171" s="57">
        <f>$DL170+$DJ171</f>
        <v/>
      </c>
      <c r="DM171" s="57">
        <f>SUMIFS(tblPlant[Crusher_Run_h],tblPlant[Date],$A171)</f>
        <v/>
      </c>
      <c r="DN171" s="57">
        <f>IF($B171=$B170,$DN170,0)+$DM171</f>
        <v/>
      </c>
      <c r="DO171" s="57">
        <f>$DO170+$DM171</f>
        <v/>
      </c>
      <c r="DP171" s="55">
        <f>IFERROR(IF(($DA171)&gt;0,($BZ171)/($DA171),""),"")</f>
        <v/>
      </c>
      <c r="DQ171" s="55">
        <f>IFERROR(IF(($DB171)&gt;0,($CA171)/($DB171),""),"")</f>
        <v/>
      </c>
      <c r="DR171" s="55">
        <f>IFERROR(IF(($DC171)&gt;0,($CB171)/($DC171),""),"")</f>
        <v/>
      </c>
      <c r="DS171" s="67">
        <f>IFERROR(IF(($DJ171)&gt;0,($DJ171-$DD171-$DG171)/($DJ171),""),"")</f>
        <v/>
      </c>
      <c r="DT171" s="67">
        <f>IFERROR(IF(($DK171)&gt;0,($DK171-$DE171-$DH171)/($DK171),""),"")</f>
        <v/>
      </c>
      <c r="DU171" s="67">
        <f>IFERROR(IF(($DL171)&gt;0,($DL171-$DF171-$DI171)/($DL171),""),"")</f>
        <v/>
      </c>
      <c r="DV171" s="67">
        <f>IFERROR(IF(($DJ171-$DD171-$DG171)&gt;0,($DA171)/($DJ171-$DD171-$DG171),""),"")</f>
        <v/>
      </c>
      <c r="DW171" s="67">
        <f>IFERROR(IF(($DK171-$DE171-$DH171)&gt;0,($DB171)/($DK171-$DE171-$DH171),""),"")</f>
        <v/>
      </c>
      <c r="DX171" s="67">
        <f>IFERROR(IF(($DL171-$DF171-$DI171)&gt;0,($DC171)/($DL171-$DF171-$DI171),""),"")</f>
        <v/>
      </c>
      <c r="DY171" s="55">
        <f>SUMIFS(tblPlant[Cyanide_kg],tblPlant[Date],$A171)</f>
        <v/>
      </c>
      <c r="DZ171" s="55">
        <f>IF($B171=$B170,$DZ170,0)+$DY171</f>
        <v/>
      </c>
      <c r="EA171" s="55">
        <f>$EA170+$DY171</f>
        <v/>
      </c>
      <c r="EB171" s="55">
        <f>SUMIFS(tblPlant[Lime_kg],tblPlant[Date],$A171)</f>
        <v/>
      </c>
      <c r="EC171" s="55">
        <f>IF($B171=$B170,$EC170,0)+$EB171</f>
        <v/>
      </c>
      <c r="ED171" s="55">
        <f>$ED170+$EB171</f>
        <v/>
      </c>
      <c r="EE171" s="55">
        <f>SUMIFS(tblPlant[Grinding_Media_kg],tblPlant[Date],$A171)</f>
        <v/>
      </c>
      <c r="EF171" s="55">
        <f>IF($B171=$B170,$EF170,0)+$EE171</f>
        <v/>
      </c>
      <c r="EG171" s="55">
        <f>$EG170+$EE171</f>
        <v/>
      </c>
      <c r="EH171" s="55">
        <f>SUMIFS(tblPlant[Power_kWh],tblPlant[Date],$A171)</f>
        <v/>
      </c>
      <c r="EI171" s="55">
        <f>IF($B171=$B170,$EI170,0)+$EH171</f>
        <v/>
      </c>
      <c r="EJ171" s="55">
        <f>$EJ170+$EH171</f>
        <v/>
      </c>
      <c r="EK171" s="55">
        <f>SUMIFS(tblPlant[Raw_Water_m3],tblPlant[Date],$A171)</f>
        <v/>
      </c>
      <c r="EL171" s="55">
        <f>IF($B171=$B170,$EL170,0)+$EK171</f>
        <v/>
      </c>
      <c r="EM171" s="55">
        <f>$EM170+$EK171</f>
        <v/>
      </c>
      <c r="EN171" s="56">
        <f>IFERROR(IF(($BZ171)&gt;0,($DY171)/($BZ171),""),"")</f>
        <v/>
      </c>
      <c r="EO171" s="56">
        <f>IFERROR(IF(($CA171)&gt;0,($DZ171)/($CA171),""),"")</f>
        <v/>
      </c>
      <c r="EP171" s="56">
        <f>IFERROR(IF(($CB171)&gt;0,($EA171)/($CB171),""),"")</f>
        <v/>
      </c>
      <c r="EQ171" s="56">
        <f>IFERROR(IF(($BZ171)&gt;0,($EB171)/($BZ171),""),"")</f>
        <v/>
      </c>
      <c r="ER171" s="56">
        <f>IFERROR(IF(($CA171)&gt;0,($EC171)/($CA171),""),"")</f>
        <v/>
      </c>
      <c r="ES171" s="56">
        <f>IFERROR(IF(($CB171)&gt;0,($ED171)/($CB171),""),"")</f>
        <v/>
      </c>
      <c r="ET171" s="56">
        <f>IFERROR(IF(($BZ171)&gt;0,($EE171)/($BZ171),""),"")</f>
        <v/>
      </c>
      <c r="EU171" s="56">
        <f>IFERROR(IF(($CA171)&gt;0,($EF171)/($CA171),""),"")</f>
        <v/>
      </c>
      <c r="EV171" s="56">
        <f>IFERROR(IF(($CB171)&gt;0,($EG171)/($CB171),""),"")</f>
        <v/>
      </c>
      <c r="EW171" s="76">
        <f>IFERROR(IF(($BZ171)&gt;0,($EH171)/($BZ171),""),"")</f>
        <v/>
      </c>
      <c r="EX171" s="76">
        <f>IFERROR(IF(($CA171)&gt;0,($EI171)/($CA171),""),"")</f>
        <v/>
      </c>
      <c r="EY171" s="76">
        <f>IFERROR(IF(($CB171)&gt;0,($EJ171)/($CB171),""),"")</f>
        <v/>
      </c>
      <c r="EZ171" s="56">
        <f>IFERROR(IF(($BZ171)&gt;0,($EK171)/($BZ171),""),"")</f>
        <v/>
      </c>
      <c r="FA171" s="56">
        <f>IFERROR(IF(($CA171)&gt;0,($EL171)/($CA171),""),"")</f>
        <v/>
      </c>
      <c r="FB171" s="56">
        <f>IFERROR(IF(($CB171)&gt;0,($EM171)/($CB171),""),"")</f>
        <v/>
      </c>
      <c r="FC171" s="55">
        <f>IF(SUMIFS(tblPlant[GIC_oz],tblPlant[Date],$A171)&gt;0,SUMIFS(tblPlant[GIC_oz],tblPlant[Date],$A171),"")</f>
        <v/>
      </c>
      <c r="FD171" s="55">
        <f>SUMIFS(tblGold[Gold_oz],tblGold[Date],$A171,tblGold[Type],"Shipment")</f>
        <v/>
      </c>
      <c r="FE171" s="55">
        <f>IF($B171=$B170,$FE170,0)+$FD171</f>
        <v/>
      </c>
      <c r="FF171" s="55">
        <f>$FF170+$FD171</f>
        <v/>
      </c>
      <c r="FG171" s="55">
        <f>SUMIFS(tblGold[Gold_oz],tblGold[Date],$A171,tblGold[Type],"Sale")</f>
        <v/>
      </c>
      <c r="FH171" s="55">
        <f>IF($B171=$B170,$FH170,0)+$FG171</f>
        <v/>
      </c>
      <c r="FI171" s="55">
        <f>$FI170+$FG171</f>
        <v/>
      </c>
      <c r="FJ171" s="55">
        <f>SUMIFS(tblGold[Dore_kg],tblGold[Date],$A171,tblGold[Type],"Shipment")</f>
        <v/>
      </c>
      <c r="FK171" s="55">
        <f>IF($B171=$B170,$FK170,0)+$FJ171</f>
        <v/>
      </c>
      <c r="FL171" s="55">
        <f>$FL170+$FJ171</f>
        <v/>
      </c>
      <c r="FM171" s="57">
        <f>SUMIFS(tblSafety[Hours_Total],tblSafety[Date],$A171)</f>
        <v/>
      </c>
      <c r="FN171" s="57">
        <f>IF($B171=$B170,$FN170,0)+$FM171</f>
        <v/>
      </c>
      <c r="FO171" s="57">
        <f>$FO170+$FM171</f>
        <v/>
      </c>
      <c r="FP171" s="62">
        <f>SUMIFS(tblSafety[Fatality],tblSafety[Date],$A171)</f>
        <v/>
      </c>
      <c r="FQ171" s="62">
        <f>IF($B171=$B170,$FQ170,0)+$FP171</f>
        <v/>
      </c>
      <c r="FR171" s="62">
        <f>$FR170+$FP171</f>
        <v/>
      </c>
      <c r="FS171" s="62">
        <f>SUMIFS(tblSafety[LTI],tblSafety[Date],$A171)</f>
        <v/>
      </c>
      <c r="FT171" s="62">
        <f>IF($B171=$B170,$FT170,0)+$FS171</f>
        <v/>
      </c>
      <c r="FU171" s="62">
        <f>$FU170+$FS171</f>
        <v/>
      </c>
      <c r="FV171" s="62">
        <f>SUMIFS(tblSafety[RWI],tblSafety[Date],$A171)</f>
        <v/>
      </c>
      <c r="FW171" s="62">
        <f>IF($B171=$B170,$FW170,0)+$FV171</f>
        <v/>
      </c>
      <c r="FX171" s="62">
        <f>$FX170+$FV171</f>
        <v/>
      </c>
      <c r="FY171" s="62">
        <f>SUMIFS(tblSafety[MTI],tblSafety[Date],$A171)</f>
        <v/>
      </c>
      <c r="FZ171" s="62">
        <f>IF($B171=$B170,$FZ170,0)+$FY171</f>
        <v/>
      </c>
      <c r="GA171" s="62">
        <f>$GA170+$FY171</f>
        <v/>
      </c>
      <c r="GB171" s="62">
        <f>SUMIFS(tblSafety[FAI],tblSafety[Date],$A171)</f>
        <v/>
      </c>
      <c r="GC171" s="62">
        <f>IF($B171=$B170,$GC170,0)+$GB171</f>
        <v/>
      </c>
      <c r="GD171" s="62">
        <f>$GD170+$GB171</f>
        <v/>
      </c>
      <c r="GE171" s="62">
        <f>SUMIFS(tblSafety[Recordables],tblSafety[Date],$A171)</f>
        <v/>
      </c>
      <c r="GF171" s="62">
        <f>IF($B171=$B170,$GF170,0)+$GE171</f>
        <v/>
      </c>
      <c r="GG171" s="62">
        <f>$GG170+$GE171</f>
        <v/>
      </c>
      <c r="GH171" s="62">
        <f>SUMIFS(tblSafety[Near_Miss],tblSafety[Date],$A171)</f>
        <v/>
      </c>
      <c r="GI171" s="62">
        <f>IF($B171=$B170,$GI170,0)+$GH171</f>
        <v/>
      </c>
      <c r="GJ171" s="62">
        <f>$GJ170+$GH171</f>
        <v/>
      </c>
      <c r="GK171" s="62">
        <f>SUMIFS(tblSafety[Hazard_Reports],tblSafety[Date],$A171)</f>
        <v/>
      </c>
      <c r="GL171" s="62">
        <f>IF($B171=$B170,$GL170,0)+$GK171</f>
        <v/>
      </c>
      <c r="GM171" s="62">
        <f>$GM170+$GK171</f>
        <v/>
      </c>
      <c r="GN171" s="62">
        <f>SUMIFS(tblSafety[HPI],tblSafety[Date],$A171)</f>
        <v/>
      </c>
      <c r="GO171" s="62">
        <f>IF($B171=$B170,$GO170,0)+$GN171</f>
        <v/>
      </c>
      <c r="GP171" s="62">
        <f>$GP170+$GN171</f>
        <v/>
      </c>
      <c r="GQ171" s="62">
        <f>SUMIFS(tblSafety[Env_Incidents],tblSafety[Date],$A171)</f>
        <v/>
      </c>
      <c r="GR171" s="62">
        <f>IF($B171=$B170,$GR170,0)+$GQ171</f>
        <v/>
      </c>
      <c r="GS171" s="62">
        <f>$GS170+$GQ171</f>
        <v/>
      </c>
      <c r="GT171" s="62">
        <f>SUMIFS(tblSafety[Community_Incidents],tblSafety[Date],$A171)</f>
        <v/>
      </c>
      <c r="GU171" s="62">
        <f>IF($B171=$B170,$GU170,0)+$GT171</f>
        <v/>
      </c>
      <c r="GV171" s="62">
        <f>$GV170+$GT171</f>
        <v/>
      </c>
      <c r="GW171" s="62">
        <f>SUMIFS(tblSafety[Vehicle_Incidents],tblSafety[Date],$A171)</f>
        <v/>
      </c>
      <c r="GX171" s="62">
        <f>IF($B171=$B170,$GX170,0)+$GW171</f>
        <v/>
      </c>
      <c r="GY171" s="62">
        <f>$GY170+$GW171</f>
        <v/>
      </c>
      <c r="GZ171" s="62">
        <f>SUMIFS(tblSafety[Toolbox_Talks],tblSafety[Date],$A171)</f>
        <v/>
      </c>
      <c r="HA171" s="62">
        <f>IF($B171=$B170,$HA170,0)+$GZ171</f>
        <v/>
      </c>
      <c r="HB171" s="62">
        <f>$HB170+$GZ171</f>
        <v/>
      </c>
      <c r="HC171" s="62">
        <f>SUMIFS(tblSafety[Inspections],tblSafety[Date],$A171)</f>
        <v/>
      </c>
      <c r="HD171" s="62">
        <f>IF($B171=$B170,$HD170,0)+$HC171</f>
        <v/>
      </c>
      <c r="HE171" s="62">
        <f>$HE170+$HC171</f>
        <v/>
      </c>
      <c r="HF171" s="56">
        <f>IFERROR((SUMIFS(tblSafety[Recordables],tblSafety[Date],"&gt;="&amp;EDATE($E171,-12),tblSafety[Date],"&lt;="&amp;$A171)+SUMIFS(tblSafetyHistory[Recordables],tblSafetyHistory[Month],"&gt;="&amp;EDATE($E171,-12),tblSafetyHistory[Month],"&lt;"&amp;cfg_YearStart))/(SUMIFS(tblSafety[Hours_Total],tblSafety[Date],"&gt;="&amp;EDATE($E171,-12),tblSafety[Date],"&lt;="&amp;$A171)+SUMIFS(tblSafetyHistory[Hours_Total],tblSafetyHistory[Month],"&gt;="&amp;EDATE($E171,-12),tblSafetyHistory[Month],"&lt;"&amp;cfg_YearStart))*1000000,"")</f>
        <v/>
      </c>
      <c r="HG171" s="56">
        <f>IFERROR((SUMIFS(tblSafety[LTI],tblSafety[Date],"&gt;="&amp;EDATE($E171,-12),tblSafety[Date],"&lt;="&amp;$A171)+SUMIFS(tblSafetyHistory[LTI],tblSafetyHistory[Month],"&gt;="&amp;EDATE($E171,-12),tblSafetyHistory[Month],"&lt;"&amp;cfg_YearStart))/(SUMIFS(tblSafety[Hours_Total],tblSafety[Date],"&gt;="&amp;EDATE($E171,-12),tblSafety[Date],"&lt;="&amp;$A171)+SUMIFS(tblSafetyHistory[Hours_Total],tblSafetyHistory[Month],"&gt;="&amp;EDATE($E171,-12),tblSafetyHistory[Month],"&lt;"&amp;cfg_YearStart))*1000000,"")</f>
        <v/>
      </c>
      <c r="HH171" s="62">
        <f>IF(MAX(N(cfg_PriorLTIDate),_xlfn.MAXIFS(tblSafety[Date],tblSafety[LTI],"&gt;0",tblSafety[Date],"&lt;="&amp;$A171))=0,"",$A171-MAX(N(cfg_PriorLTIDate),_xlfn.MAXIFS(tblSafety[Date],tblSafety[LTI],"&gt;0",tblSafety[Date],"&lt;="&amp;$A171)))</f>
        <v/>
      </c>
      <c r="HI171" s="55">
        <f>SUMIFS(tblBudget[Ore_Mined_t],tblBudget[Month],$E171)</f>
        <v/>
      </c>
      <c r="HJ171" s="55">
        <f>$HI171*$C171/$D171</f>
        <v/>
      </c>
      <c r="HK171" s="55">
        <f>SUMIFS(tblBudget[Ore_Mined_t],tblBudget[Month],"&lt;"&amp;$E171)+$HJ171</f>
        <v/>
      </c>
      <c r="HL171" s="55">
        <f>SUMIFS(tblBudget[Ore_oz],tblBudget[Month],$E171)</f>
        <v/>
      </c>
      <c r="HM171" s="55">
        <f>$HL171*$C171/$D171</f>
        <v/>
      </c>
      <c r="HN171" s="55">
        <f>SUMIFS(tblBudget[Ore_oz],tblBudget[Month],"&lt;"&amp;$E171)+$HM171</f>
        <v/>
      </c>
      <c r="HO171" s="56">
        <f>IFERROR(IF(($HI171)&gt;0,($HL171*cfg_TroyOz)/($HI171),""),"")</f>
        <v/>
      </c>
      <c r="HP171" s="56">
        <f>IFERROR(IF(($HJ171)&gt;0,($HM171*cfg_TroyOz)/($HJ171),""),"")</f>
        <v/>
      </c>
      <c r="HQ171" s="56">
        <f>IFERROR(IF(($HK171)&gt;0,($HN171*cfg_TroyOz)/($HK171),""),"")</f>
        <v/>
      </c>
      <c r="HR171" s="55">
        <f>SUMIFS(tblBudget[Waste_t],tblBudget[Month],$E171)</f>
        <v/>
      </c>
      <c r="HS171" s="55">
        <f>$HR171*$C171/$D171</f>
        <v/>
      </c>
      <c r="HT171" s="55">
        <f>SUMIFS(tblBudget[Waste_t],tblBudget[Month],"&lt;"&amp;$E171)+$HS171</f>
        <v/>
      </c>
      <c r="HU171" s="55">
        <f>SUMIFS(tblBudget[TMM_t],tblBudget[Month],$E171)</f>
        <v/>
      </c>
      <c r="HV171" s="55">
        <f>$HU171*$C171/$D171</f>
        <v/>
      </c>
      <c r="HW171" s="55">
        <f>SUMIFS(tblBudget[TMM_t],tblBudget[Month],"&lt;"&amp;$E171)+$HV171</f>
        <v/>
      </c>
      <c r="HX171" s="56">
        <f>IFERROR(IF(($HI171)&gt;0,($HR171)/($HI171),""),"")</f>
        <v/>
      </c>
      <c r="HY171" s="56">
        <f>IFERROR(IF(($HJ171)&gt;0,($HS171)/($HJ171),""),"")</f>
        <v/>
      </c>
      <c r="HZ171" s="56">
        <f>IFERROR(IF(($HK171)&gt;0,($HT171)/($HK171),""),"")</f>
        <v/>
      </c>
      <c r="IA171" s="55">
        <f>SUMIFS(tblBudget[Drill_m],tblBudget[Month],$E171)</f>
        <v/>
      </c>
      <c r="IB171" s="55">
        <f>$IA171*$C171/$D171</f>
        <v/>
      </c>
      <c r="IC171" s="55">
        <f>SUMIFS(tblBudget[Drill_m],tblBudget[Month],"&lt;"&amp;$E171)+$IB171</f>
        <v/>
      </c>
      <c r="ID171" s="55">
        <f>SUMIFS(tblBudget[Diesel_L],tblBudget[Month],$E171)</f>
        <v/>
      </c>
      <c r="IE171" s="55">
        <f>$ID171*$C171/$D171</f>
        <v/>
      </c>
      <c r="IF171" s="55">
        <f>SUMIFS(tblBudget[Diesel_L],tblBudget[Month],"&lt;"&amp;$E171)+$IE171</f>
        <v/>
      </c>
      <c r="IG171" s="55">
        <f>SUMIFS(tblBudget[Milled_t],tblBudget[Month],$E171)</f>
        <v/>
      </c>
      <c r="IH171" s="55">
        <f>$IG171*$C171/$D171</f>
        <v/>
      </c>
      <c r="II171" s="55">
        <f>SUMIFS(tblBudget[Milled_t],tblBudget[Month],"&lt;"&amp;$E171)+$IH171</f>
        <v/>
      </c>
      <c r="IJ171" s="55">
        <f>SUMIFS(tblBudget[Feed_oz],tblBudget[Month],$E171)</f>
        <v/>
      </c>
      <c r="IK171" s="55">
        <f>$IJ171*$C171/$D171</f>
        <v/>
      </c>
      <c r="IL171" s="55">
        <f>SUMIFS(tblBudget[Feed_oz],tblBudget[Month],"&lt;"&amp;$E171)+$IK171</f>
        <v/>
      </c>
      <c r="IM171" s="55">
        <f>SUMIFS(tblBudget[Recovered_oz],tblBudget[Month],$E171)</f>
        <v/>
      </c>
      <c r="IN171" s="55">
        <f>$IM171*$C171/$D171</f>
        <v/>
      </c>
      <c r="IO171" s="55">
        <f>SUMIFS(tblBudget[Recovered_oz],tblBudget[Month],"&lt;"&amp;$E171)+$IN171</f>
        <v/>
      </c>
      <c r="IP171" s="56">
        <f>IFERROR(IF(($IG171)&gt;0,($IJ171*cfg_TroyOz)/($IG171),""),"")</f>
        <v/>
      </c>
      <c r="IQ171" s="56">
        <f>IFERROR(IF(($IH171)&gt;0,($IK171*cfg_TroyOz)/($IH171),""),"")</f>
        <v/>
      </c>
      <c r="IR171" s="56">
        <f>IFERROR(IF(($II171)&gt;0,($IL171*cfg_TroyOz)/($II171),""),"")</f>
        <v/>
      </c>
      <c r="IS171" s="67">
        <f>IFERROR(IF(($IJ171)&gt;0,($IM171)/($IJ171),""),"")</f>
        <v/>
      </c>
      <c r="IT171" s="67">
        <f>IFERROR(IF(($IK171)&gt;0,($IN171)/($IK171),""),"")</f>
        <v/>
      </c>
      <c r="IU171" s="67">
        <f>IFERROR(IF(($IL171)&gt;0,($IO171)/($IL171),""),"")</f>
        <v/>
      </c>
      <c r="IV171" s="55">
        <f>SUMIFS(tblBudget[Gold_Poured_oz],tblBudget[Month],$E171)</f>
        <v/>
      </c>
      <c r="IW171" s="55">
        <f>$IV171*$C171/$D171</f>
        <v/>
      </c>
      <c r="IX171" s="55">
        <f>SUMIFS(tblBudget[Gold_Poured_oz],tblBudget[Month],"&lt;"&amp;$E171)+$IW171</f>
        <v/>
      </c>
      <c r="IY171" s="57">
        <f>SUMIFS(tblBudget[Hours_Worked],tblBudget[Month],$E171)</f>
        <v/>
      </c>
      <c r="IZ171" s="57">
        <f>$IY171*$C171/$D171</f>
        <v/>
      </c>
      <c r="JA171" s="57">
        <f>SUMIFS(tblBudget[Hours_Worked],tblBudget[Month],"&lt;"&amp;$E171)+$IZ171</f>
        <v/>
      </c>
    </row>
    <row r="172">
      <c r="A172" s="54" t="n">
        <v>46193</v>
      </c>
      <c r="B172">
        <f>MONTH($A172)</f>
        <v/>
      </c>
      <c r="C172">
        <f>DAY($A172)</f>
        <v/>
      </c>
      <c r="D172">
        <f>DAY(EOMONTH($A172,0))</f>
        <v/>
      </c>
      <c r="E172" s="54">
        <f>DATE(YEAR($A172),MONTH($A172),1)</f>
        <v/>
      </c>
      <c r="F172" s="55">
        <f>SUMIFS(tblMovement[Tonnes_t],tblMovement[Date],$A172,tblMovement[Is_Ore],1,tblMovement[Source_Type],"Pit")</f>
        <v/>
      </c>
      <c r="G172" s="55">
        <f>IF($B172=$B171,$G171,0)+$F172</f>
        <v/>
      </c>
      <c r="H172" s="55">
        <f>$H171+$F172</f>
        <v/>
      </c>
      <c r="I172" s="55">
        <f>SUMIFS(tblMovement[Ore_oz],tblMovement[Date],$A172,tblMovement[Source_Type],"Pit")</f>
        <v/>
      </c>
      <c r="J172" s="55">
        <f>IF($B172=$B171,$J171,0)+$I172</f>
        <v/>
      </c>
      <c r="K172" s="55">
        <f>$K171+$I172</f>
        <v/>
      </c>
      <c r="L172" s="56">
        <f>IFERROR(IF(($F172)&gt;0,($I172*cfg_TroyOz)/($F172),""),"")</f>
        <v/>
      </c>
      <c r="M172" s="56">
        <f>IFERROR(IF(($G172)&gt;0,($J172*cfg_TroyOz)/($G172),""),"")</f>
        <v/>
      </c>
      <c r="N172" s="56">
        <f>IFERROR(IF(($H172)&gt;0,($K172*cfg_TroyOz)/($H172),""),"")</f>
        <v/>
      </c>
      <c r="O172" s="55">
        <f>SUMIFS(tblMovement[Tonnes_t],tblMovement[Date],$A172,tblMovement[Is_Ore],0,tblMovement[Source_Type],"Pit")</f>
        <v/>
      </c>
      <c r="P172" s="55">
        <f>IF($B172=$B171,$P171,0)+$O172</f>
        <v/>
      </c>
      <c r="Q172" s="55">
        <f>$Q171+$O172</f>
        <v/>
      </c>
      <c r="R172" s="55">
        <f>$F172+$O172</f>
        <v/>
      </c>
      <c r="S172" s="55">
        <f>IF($B172=$B171,$S171,0)+$R172</f>
        <v/>
      </c>
      <c r="T172" s="55">
        <f>$T171+$R172</f>
        <v/>
      </c>
      <c r="U172" s="56">
        <f>IFERROR(IF(($F172)&gt;0,($O172)/($F172),""),"")</f>
        <v/>
      </c>
      <c r="V172" s="56">
        <f>IFERROR(IF(($G172)&gt;0,($P172)/($G172),""),"")</f>
        <v/>
      </c>
      <c r="W172" s="56">
        <f>IFERROR(IF(($H172)&gt;0,($Q172)/($H172),""),"")</f>
        <v/>
      </c>
      <c r="X172" s="55">
        <f>SUMIFS(tblMovement[Tonnes_t],tblMovement[Date],$A172,tblMovement[Source_Type],"Stockpile")</f>
        <v/>
      </c>
      <c r="Y172" s="55">
        <f>IF($B172=$B171,$Y171,0)+$X172</f>
        <v/>
      </c>
      <c r="Z172" s="55">
        <f>$Z171+$X172</f>
        <v/>
      </c>
      <c r="AA172" s="55">
        <f>SUMIFS(tblMiningDaily[Drill_m],tblMiningDaily[Date],$A172)</f>
        <v/>
      </c>
      <c r="AB172" s="55">
        <f>IF($B172=$B171,$AB171,0)+$AA172</f>
        <v/>
      </c>
      <c r="AC172" s="55">
        <f>$AC171+$AA172</f>
        <v/>
      </c>
      <c r="AD172" s="55">
        <f>SUMIFS(tblMiningDaily[Blast_t],tblMiningDaily[Date],$A172)</f>
        <v/>
      </c>
      <c r="AE172" s="55">
        <f>IF($B172=$B171,$AE171,0)+$AD172</f>
        <v/>
      </c>
      <c r="AF172" s="55">
        <f>$AF171+$AD172</f>
        <v/>
      </c>
      <c r="AG172" s="55">
        <f>SUMIFS(tblMiningDaily[Explosives_kg],tblMiningDaily[Date],$A172)</f>
        <v/>
      </c>
      <c r="AH172" s="55">
        <f>IF($B172=$B171,$AH171,0)+$AG172</f>
        <v/>
      </c>
      <c r="AI172" s="55">
        <f>$AI171+$AG172</f>
        <v/>
      </c>
      <c r="AJ172" s="56">
        <f>IFERROR(IF(($AD172)&gt;0,($AG172)/($AD172),""),"")</f>
        <v/>
      </c>
      <c r="AK172" s="56">
        <f>IFERROR(IF(($AE172)&gt;0,($AH172)/($AE172),""),"")</f>
        <v/>
      </c>
      <c r="AL172" s="56">
        <f>IFERROR(IF(($AF172)&gt;0,($AI172)/($AF172),""),"")</f>
        <v/>
      </c>
      <c r="AM172" s="55">
        <f>SUMIFS(tblMiningDaily[Diesel_L],tblMiningDaily[Date],$A172)</f>
        <v/>
      </c>
      <c r="AN172" s="55">
        <f>IF($B172=$B171,$AN171,0)+$AM172</f>
        <v/>
      </c>
      <c r="AO172" s="55">
        <f>$AO171+$AM172</f>
        <v/>
      </c>
      <c r="AP172" s="55">
        <f>SUMIFS(tblMiningDaily[Dewatering_m3],tblMiningDaily[Date],$A172)</f>
        <v/>
      </c>
      <c r="AQ172" s="55">
        <f>IF($B172=$B171,$AQ171,0)+$AP172</f>
        <v/>
      </c>
      <c r="AR172" s="55">
        <f>$AR171+$AP172</f>
        <v/>
      </c>
      <c r="AS172" s="57">
        <f>SUMIFS(tblFleet[Calendar_h],tblFleet[Date],$A172,tblFleet[Equipment_Class],"Excavator")</f>
        <v/>
      </c>
      <c r="AT172" s="57">
        <f>IF($B172=$B171,$AT171,0)+$AS172</f>
        <v/>
      </c>
      <c r="AU172" s="57">
        <f>$AU171+$AS172</f>
        <v/>
      </c>
      <c r="AV172" s="57">
        <f>SUMIFS(tblFleet[Available_h],tblFleet[Date],$A172,tblFleet[Equipment_Class],"Excavator")</f>
        <v/>
      </c>
      <c r="AW172" s="57">
        <f>IF($B172=$B171,$AW171,0)+$AV172</f>
        <v/>
      </c>
      <c r="AX172" s="57">
        <f>$AX171+$AV172</f>
        <v/>
      </c>
      <c r="AY172" s="57">
        <f>SUMIFS(tblFleet[Operating_h],tblFleet[Date],$A172,tblFleet[Equipment_Class],"Excavator")</f>
        <v/>
      </c>
      <c r="AZ172" s="57">
        <f>IF($B172=$B171,$AZ171,0)+$AY172</f>
        <v/>
      </c>
      <c r="BA172" s="57">
        <f>$BA171+$AY172</f>
        <v/>
      </c>
      <c r="BB172" s="67">
        <f>IFERROR(IF(($AS172)&gt;0,($AV172)/($AS172),""),"")</f>
        <v/>
      </c>
      <c r="BC172" s="67">
        <f>IFERROR(IF(($AT172)&gt;0,($AW172)/($AT172),""),"")</f>
        <v/>
      </c>
      <c r="BD172" s="67">
        <f>IFERROR(IF(($AU172)&gt;0,($AX172)/($AU172),""),"")</f>
        <v/>
      </c>
      <c r="BE172" s="67">
        <f>IFERROR(IF(($AV172)&gt;0,($AY172)/($AV172),""),"")</f>
        <v/>
      </c>
      <c r="BF172" s="67">
        <f>IFERROR(IF(($AW172)&gt;0,($AZ172)/($AW172),""),"")</f>
        <v/>
      </c>
      <c r="BG172" s="67">
        <f>IFERROR(IF(($AX172)&gt;0,($BA172)/($AX172),""),"")</f>
        <v/>
      </c>
      <c r="BH172" s="57">
        <f>SUMIFS(tblFleet[Calendar_h],tblFleet[Date],$A172,tblFleet[Equipment_Class],"Haul Truck")</f>
        <v/>
      </c>
      <c r="BI172" s="57">
        <f>IF($B172=$B171,$BI171,0)+$BH172</f>
        <v/>
      </c>
      <c r="BJ172" s="57">
        <f>$BJ171+$BH172</f>
        <v/>
      </c>
      <c r="BK172" s="57">
        <f>SUMIFS(tblFleet[Available_h],tblFleet[Date],$A172,tblFleet[Equipment_Class],"Haul Truck")</f>
        <v/>
      </c>
      <c r="BL172" s="57">
        <f>IF($B172=$B171,$BL171,0)+$BK172</f>
        <v/>
      </c>
      <c r="BM172" s="57">
        <f>$BM171+$BK172</f>
        <v/>
      </c>
      <c r="BN172" s="57">
        <f>SUMIFS(tblFleet[Operating_h],tblFleet[Date],$A172,tblFleet[Equipment_Class],"Haul Truck")</f>
        <v/>
      </c>
      <c r="BO172" s="57">
        <f>IF($B172=$B171,$BO171,0)+$BN172</f>
        <v/>
      </c>
      <c r="BP172" s="57">
        <f>$BP171+$BN172</f>
        <v/>
      </c>
      <c r="BQ172" s="67">
        <f>IFERROR(IF(($BH172)&gt;0,($BK172)/($BH172),""),"")</f>
        <v/>
      </c>
      <c r="BR172" s="67">
        <f>IFERROR(IF(($BI172)&gt;0,($BL172)/($BI172),""),"")</f>
        <v/>
      </c>
      <c r="BS172" s="67">
        <f>IFERROR(IF(($BJ172)&gt;0,($BM172)/($BJ172),""),"")</f>
        <v/>
      </c>
      <c r="BT172" s="67">
        <f>IFERROR(IF(($BK172)&gt;0,($BN172)/($BK172),""),"")</f>
        <v/>
      </c>
      <c r="BU172" s="67">
        <f>IFERROR(IF(($BL172)&gt;0,($BO172)/($BL172),""),"")</f>
        <v/>
      </c>
      <c r="BV172" s="67">
        <f>IFERROR(IF(($BM172)&gt;0,($BP172)/($BM172),""),"")</f>
        <v/>
      </c>
      <c r="BW172" s="55">
        <f>SUMIFS(tblPlant[Crushed_t],tblPlant[Date],$A172)</f>
        <v/>
      </c>
      <c r="BX172" s="55">
        <f>IF($B172=$B171,$BX171,0)+$BW172</f>
        <v/>
      </c>
      <c r="BY172" s="55">
        <f>$BY171+$BW172</f>
        <v/>
      </c>
      <c r="BZ172" s="55">
        <f>SUMIFS(tblPlant[Milled_t],tblPlant[Date],$A172)</f>
        <v/>
      </c>
      <c r="CA172" s="55">
        <f>IF($B172=$B171,$CA171,0)+$BZ172</f>
        <v/>
      </c>
      <c r="CB172" s="55">
        <f>$CB171+$BZ172</f>
        <v/>
      </c>
      <c r="CC172" s="55">
        <f>SUMIFS(tblPlant[Feed_oz],tblPlant[Date],$A172)</f>
        <v/>
      </c>
      <c r="CD172" s="55">
        <f>IF($B172=$B171,$CD171,0)+$CC172</f>
        <v/>
      </c>
      <c r="CE172" s="55">
        <f>$CE171+$CC172</f>
        <v/>
      </c>
      <c r="CF172" s="55">
        <f>SUMIFS(tblPlant[Tails_oz],tblPlant[Date],$A172)</f>
        <v/>
      </c>
      <c r="CG172" s="55">
        <f>IF($B172=$B171,$CG171,0)+$CF172</f>
        <v/>
      </c>
      <c r="CH172" s="55">
        <f>$CH171+$CF172</f>
        <v/>
      </c>
      <c r="CI172" s="55">
        <f>SUMIFS(tblPlant[Recovered_oz],tblPlant[Date],$A172)</f>
        <v/>
      </c>
      <c r="CJ172" s="55">
        <f>IF($B172=$B171,$CJ171,0)+$CI172</f>
        <v/>
      </c>
      <c r="CK172" s="55">
        <f>$CK171+$CI172</f>
        <v/>
      </c>
      <c r="CL172" s="56">
        <f>IFERROR(IF(($BZ172)&gt;0,($CC172*cfg_TroyOz)/($BZ172),""),"")</f>
        <v/>
      </c>
      <c r="CM172" s="56">
        <f>IFERROR(IF(($CA172)&gt;0,($CD172*cfg_TroyOz)/($CA172),""),"")</f>
        <v/>
      </c>
      <c r="CN172" s="56">
        <f>IFERROR(IF(($CB172)&gt;0,($CE172*cfg_TroyOz)/($CB172),""),"")</f>
        <v/>
      </c>
      <c r="CO172" s="56">
        <f>IFERROR(IF(($BZ172)&gt;0,($CF172*cfg_TroyOz)/($BZ172),""),"")</f>
        <v/>
      </c>
      <c r="CP172" s="56">
        <f>IFERROR(IF(($CA172)&gt;0,($CG172*cfg_TroyOz)/($CA172),""),"")</f>
        <v/>
      </c>
      <c r="CQ172" s="56">
        <f>IFERROR(IF(($CB172)&gt;0,($CH172*cfg_TroyOz)/($CB172),""),"")</f>
        <v/>
      </c>
      <c r="CR172" s="67">
        <f>IFERROR(IF(($CC172)&gt;0,($CI172)/($CC172),""),"")</f>
        <v/>
      </c>
      <c r="CS172" s="67">
        <f>IFERROR(IF(($CD172)&gt;0,($CJ172)/($CD172),""),"")</f>
        <v/>
      </c>
      <c r="CT172" s="67">
        <f>IFERROR(IF(($CE172)&gt;0,($CK172)/($CE172),""),"")</f>
        <v/>
      </c>
      <c r="CU172" s="55">
        <f>SUMIFS(tblPlant[Gravity_Gold_oz],tblPlant[Date],$A172)</f>
        <v/>
      </c>
      <c r="CV172" s="55">
        <f>IF($B172=$B171,$CV171,0)+$CU172</f>
        <v/>
      </c>
      <c r="CW172" s="55">
        <f>$CW171+$CU172</f>
        <v/>
      </c>
      <c r="CX172" s="55">
        <f>SUMIFS(tblPlant[Gold_Poured_oz],tblPlant[Date],$A172)</f>
        <v/>
      </c>
      <c r="CY172" s="55">
        <f>IF($B172=$B171,$CY171,0)+$CX172</f>
        <v/>
      </c>
      <c r="CZ172" s="55">
        <f>$CZ171+$CX172</f>
        <v/>
      </c>
      <c r="DA172" s="57">
        <f>SUMIFS(tblPlant[Mill_Run_h],tblPlant[Date],$A172)</f>
        <v/>
      </c>
      <c r="DB172" s="57">
        <f>IF($B172=$B171,$DB171,0)+$DA172</f>
        <v/>
      </c>
      <c r="DC172" s="57">
        <f>$DC171+$DA172</f>
        <v/>
      </c>
      <c r="DD172" s="57">
        <f>SUMIFS(tblPlant[Mill_Planned_Maint_h],tblPlant[Date],$A172)</f>
        <v/>
      </c>
      <c r="DE172" s="57">
        <f>IF($B172=$B171,$DE171,0)+$DD172</f>
        <v/>
      </c>
      <c r="DF172" s="57">
        <f>$DF171+$DD172</f>
        <v/>
      </c>
      <c r="DG172" s="57">
        <f>SUMIFS(tblPlant[Mill_Unplanned_Down_h],tblPlant[Date],$A172)</f>
        <v/>
      </c>
      <c r="DH172" s="57">
        <f>IF($B172=$B171,$DH171,0)+$DG172</f>
        <v/>
      </c>
      <c r="DI172" s="57">
        <f>$DI171+$DG172</f>
        <v/>
      </c>
      <c r="DJ172" s="57">
        <f>COUNTIFS(tblPlant[Date],$A172,tblPlant[Mill_Run_h],"&lt;&gt;")*24</f>
        <v/>
      </c>
      <c r="DK172" s="57">
        <f>IF($B172=$B171,$DK171,0)+$DJ172</f>
        <v/>
      </c>
      <c r="DL172" s="57">
        <f>$DL171+$DJ172</f>
        <v/>
      </c>
      <c r="DM172" s="57">
        <f>SUMIFS(tblPlant[Crusher_Run_h],tblPlant[Date],$A172)</f>
        <v/>
      </c>
      <c r="DN172" s="57">
        <f>IF($B172=$B171,$DN171,0)+$DM172</f>
        <v/>
      </c>
      <c r="DO172" s="57">
        <f>$DO171+$DM172</f>
        <v/>
      </c>
      <c r="DP172" s="55">
        <f>IFERROR(IF(($DA172)&gt;0,($BZ172)/($DA172),""),"")</f>
        <v/>
      </c>
      <c r="DQ172" s="55">
        <f>IFERROR(IF(($DB172)&gt;0,($CA172)/($DB172),""),"")</f>
        <v/>
      </c>
      <c r="DR172" s="55">
        <f>IFERROR(IF(($DC172)&gt;0,($CB172)/($DC172),""),"")</f>
        <v/>
      </c>
      <c r="DS172" s="67">
        <f>IFERROR(IF(($DJ172)&gt;0,($DJ172-$DD172-$DG172)/($DJ172),""),"")</f>
        <v/>
      </c>
      <c r="DT172" s="67">
        <f>IFERROR(IF(($DK172)&gt;0,($DK172-$DE172-$DH172)/($DK172),""),"")</f>
        <v/>
      </c>
      <c r="DU172" s="67">
        <f>IFERROR(IF(($DL172)&gt;0,($DL172-$DF172-$DI172)/($DL172),""),"")</f>
        <v/>
      </c>
      <c r="DV172" s="67">
        <f>IFERROR(IF(($DJ172-$DD172-$DG172)&gt;0,($DA172)/($DJ172-$DD172-$DG172),""),"")</f>
        <v/>
      </c>
      <c r="DW172" s="67">
        <f>IFERROR(IF(($DK172-$DE172-$DH172)&gt;0,($DB172)/($DK172-$DE172-$DH172),""),"")</f>
        <v/>
      </c>
      <c r="DX172" s="67">
        <f>IFERROR(IF(($DL172-$DF172-$DI172)&gt;0,($DC172)/($DL172-$DF172-$DI172),""),"")</f>
        <v/>
      </c>
      <c r="DY172" s="55">
        <f>SUMIFS(tblPlant[Cyanide_kg],tblPlant[Date],$A172)</f>
        <v/>
      </c>
      <c r="DZ172" s="55">
        <f>IF($B172=$B171,$DZ171,0)+$DY172</f>
        <v/>
      </c>
      <c r="EA172" s="55">
        <f>$EA171+$DY172</f>
        <v/>
      </c>
      <c r="EB172" s="55">
        <f>SUMIFS(tblPlant[Lime_kg],tblPlant[Date],$A172)</f>
        <v/>
      </c>
      <c r="EC172" s="55">
        <f>IF($B172=$B171,$EC171,0)+$EB172</f>
        <v/>
      </c>
      <c r="ED172" s="55">
        <f>$ED171+$EB172</f>
        <v/>
      </c>
      <c r="EE172" s="55">
        <f>SUMIFS(tblPlant[Grinding_Media_kg],tblPlant[Date],$A172)</f>
        <v/>
      </c>
      <c r="EF172" s="55">
        <f>IF($B172=$B171,$EF171,0)+$EE172</f>
        <v/>
      </c>
      <c r="EG172" s="55">
        <f>$EG171+$EE172</f>
        <v/>
      </c>
      <c r="EH172" s="55">
        <f>SUMIFS(tblPlant[Power_kWh],tblPlant[Date],$A172)</f>
        <v/>
      </c>
      <c r="EI172" s="55">
        <f>IF($B172=$B171,$EI171,0)+$EH172</f>
        <v/>
      </c>
      <c r="EJ172" s="55">
        <f>$EJ171+$EH172</f>
        <v/>
      </c>
      <c r="EK172" s="55">
        <f>SUMIFS(tblPlant[Raw_Water_m3],tblPlant[Date],$A172)</f>
        <v/>
      </c>
      <c r="EL172" s="55">
        <f>IF($B172=$B171,$EL171,0)+$EK172</f>
        <v/>
      </c>
      <c r="EM172" s="55">
        <f>$EM171+$EK172</f>
        <v/>
      </c>
      <c r="EN172" s="56">
        <f>IFERROR(IF(($BZ172)&gt;0,($DY172)/($BZ172),""),"")</f>
        <v/>
      </c>
      <c r="EO172" s="56">
        <f>IFERROR(IF(($CA172)&gt;0,($DZ172)/($CA172),""),"")</f>
        <v/>
      </c>
      <c r="EP172" s="56">
        <f>IFERROR(IF(($CB172)&gt;0,($EA172)/($CB172),""),"")</f>
        <v/>
      </c>
      <c r="EQ172" s="56">
        <f>IFERROR(IF(($BZ172)&gt;0,($EB172)/($BZ172),""),"")</f>
        <v/>
      </c>
      <c r="ER172" s="56">
        <f>IFERROR(IF(($CA172)&gt;0,($EC172)/($CA172),""),"")</f>
        <v/>
      </c>
      <c r="ES172" s="56">
        <f>IFERROR(IF(($CB172)&gt;0,($ED172)/($CB172),""),"")</f>
        <v/>
      </c>
      <c r="ET172" s="56">
        <f>IFERROR(IF(($BZ172)&gt;0,($EE172)/($BZ172),""),"")</f>
        <v/>
      </c>
      <c r="EU172" s="56">
        <f>IFERROR(IF(($CA172)&gt;0,($EF172)/($CA172),""),"")</f>
        <v/>
      </c>
      <c r="EV172" s="56">
        <f>IFERROR(IF(($CB172)&gt;0,($EG172)/($CB172),""),"")</f>
        <v/>
      </c>
      <c r="EW172" s="76">
        <f>IFERROR(IF(($BZ172)&gt;0,($EH172)/($BZ172),""),"")</f>
        <v/>
      </c>
      <c r="EX172" s="76">
        <f>IFERROR(IF(($CA172)&gt;0,($EI172)/($CA172),""),"")</f>
        <v/>
      </c>
      <c r="EY172" s="76">
        <f>IFERROR(IF(($CB172)&gt;0,($EJ172)/($CB172),""),"")</f>
        <v/>
      </c>
      <c r="EZ172" s="56">
        <f>IFERROR(IF(($BZ172)&gt;0,($EK172)/($BZ172),""),"")</f>
        <v/>
      </c>
      <c r="FA172" s="56">
        <f>IFERROR(IF(($CA172)&gt;0,($EL172)/($CA172),""),"")</f>
        <v/>
      </c>
      <c r="FB172" s="56">
        <f>IFERROR(IF(($CB172)&gt;0,($EM172)/($CB172),""),"")</f>
        <v/>
      </c>
      <c r="FC172" s="55">
        <f>IF(SUMIFS(tblPlant[GIC_oz],tblPlant[Date],$A172)&gt;0,SUMIFS(tblPlant[GIC_oz],tblPlant[Date],$A172),"")</f>
        <v/>
      </c>
      <c r="FD172" s="55">
        <f>SUMIFS(tblGold[Gold_oz],tblGold[Date],$A172,tblGold[Type],"Shipment")</f>
        <v/>
      </c>
      <c r="FE172" s="55">
        <f>IF($B172=$B171,$FE171,0)+$FD172</f>
        <v/>
      </c>
      <c r="FF172" s="55">
        <f>$FF171+$FD172</f>
        <v/>
      </c>
      <c r="FG172" s="55">
        <f>SUMIFS(tblGold[Gold_oz],tblGold[Date],$A172,tblGold[Type],"Sale")</f>
        <v/>
      </c>
      <c r="FH172" s="55">
        <f>IF($B172=$B171,$FH171,0)+$FG172</f>
        <v/>
      </c>
      <c r="FI172" s="55">
        <f>$FI171+$FG172</f>
        <v/>
      </c>
      <c r="FJ172" s="55">
        <f>SUMIFS(tblGold[Dore_kg],tblGold[Date],$A172,tblGold[Type],"Shipment")</f>
        <v/>
      </c>
      <c r="FK172" s="55">
        <f>IF($B172=$B171,$FK171,0)+$FJ172</f>
        <v/>
      </c>
      <c r="FL172" s="55">
        <f>$FL171+$FJ172</f>
        <v/>
      </c>
      <c r="FM172" s="57">
        <f>SUMIFS(tblSafety[Hours_Total],tblSafety[Date],$A172)</f>
        <v/>
      </c>
      <c r="FN172" s="57">
        <f>IF($B172=$B171,$FN171,0)+$FM172</f>
        <v/>
      </c>
      <c r="FO172" s="57">
        <f>$FO171+$FM172</f>
        <v/>
      </c>
      <c r="FP172" s="62">
        <f>SUMIFS(tblSafety[Fatality],tblSafety[Date],$A172)</f>
        <v/>
      </c>
      <c r="FQ172" s="62">
        <f>IF($B172=$B171,$FQ171,0)+$FP172</f>
        <v/>
      </c>
      <c r="FR172" s="62">
        <f>$FR171+$FP172</f>
        <v/>
      </c>
      <c r="FS172" s="62">
        <f>SUMIFS(tblSafety[LTI],tblSafety[Date],$A172)</f>
        <v/>
      </c>
      <c r="FT172" s="62">
        <f>IF($B172=$B171,$FT171,0)+$FS172</f>
        <v/>
      </c>
      <c r="FU172" s="62">
        <f>$FU171+$FS172</f>
        <v/>
      </c>
      <c r="FV172" s="62">
        <f>SUMIFS(tblSafety[RWI],tblSafety[Date],$A172)</f>
        <v/>
      </c>
      <c r="FW172" s="62">
        <f>IF($B172=$B171,$FW171,0)+$FV172</f>
        <v/>
      </c>
      <c r="FX172" s="62">
        <f>$FX171+$FV172</f>
        <v/>
      </c>
      <c r="FY172" s="62">
        <f>SUMIFS(tblSafety[MTI],tblSafety[Date],$A172)</f>
        <v/>
      </c>
      <c r="FZ172" s="62">
        <f>IF($B172=$B171,$FZ171,0)+$FY172</f>
        <v/>
      </c>
      <c r="GA172" s="62">
        <f>$GA171+$FY172</f>
        <v/>
      </c>
      <c r="GB172" s="62">
        <f>SUMIFS(tblSafety[FAI],tblSafety[Date],$A172)</f>
        <v/>
      </c>
      <c r="GC172" s="62">
        <f>IF($B172=$B171,$GC171,0)+$GB172</f>
        <v/>
      </c>
      <c r="GD172" s="62">
        <f>$GD171+$GB172</f>
        <v/>
      </c>
      <c r="GE172" s="62">
        <f>SUMIFS(tblSafety[Recordables],tblSafety[Date],$A172)</f>
        <v/>
      </c>
      <c r="GF172" s="62">
        <f>IF($B172=$B171,$GF171,0)+$GE172</f>
        <v/>
      </c>
      <c r="GG172" s="62">
        <f>$GG171+$GE172</f>
        <v/>
      </c>
      <c r="GH172" s="62">
        <f>SUMIFS(tblSafety[Near_Miss],tblSafety[Date],$A172)</f>
        <v/>
      </c>
      <c r="GI172" s="62">
        <f>IF($B172=$B171,$GI171,0)+$GH172</f>
        <v/>
      </c>
      <c r="GJ172" s="62">
        <f>$GJ171+$GH172</f>
        <v/>
      </c>
      <c r="GK172" s="62">
        <f>SUMIFS(tblSafety[Hazard_Reports],tblSafety[Date],$A172)</f>
        <v/>
      </c>
      <c r="GL172" s="62">
        <f>IF($B172=$B171,$GL171,0)+$GK172</f>
        <v/>
      </c>
      <c r="GM172" s="62">
        <f>$GM171+$GK172</f>
        <v/>
      </c>
      <c r="GN172" s="62">
        <f>SUMIFS(tblSafety[HPI],tblSafety[Date],$A172)</f>
        <v/>
      </c>
      <c r="GO172" s="62">
        <f>IF($B172=$B171,$GO171,0)+$GN172</f>
        <v/>
      </c>
      <c r="GP172" s="62">
        <f>$GP171+$GN172</f>
        <v/>
      </c>
      <c r="GQ172" s="62">
        <f>SUMIFS(tblSafety[Env_Incidents],tblSafety[Date],$A172)</f>
        <v/>
      </c>
      <c r="GR172" s="62">
        <f>IF($B172=$B171,$GR171,0)+$GQ172</f>
        <v/>
      </c>
      <c r="GS172" s="62">
        <f>$GS171+$GQ172</f>
        <v/>
      </c>
      <c r="GT172" s="62">
        <f>SUMIFS(tblSafety[Community_Incidents],tblSafety[Date],$A172)</f>
        <v/>
      </c>
      <c r="GU172" s="62">
        <f>IF($B172=$B171,$GU171,0)+$GT172</f>
        <v/>
      </c>
      <c r="GV172" s="62">
        <f>$GV171+$GT172</f>
        <v/>
      </c>
      <c r="GW172" s="62">
        <f>SUMIFS(tblSafety[Vehicle_Incidents],tblSafety[Date],$A172)</f>
        <v/>
      </c>
      <c r="GX172" s="62">
        <f>IF($B172=$B171,$GX171,0)+$GW172</f>
        <v/>
      </c>
      <c r="GY172" s="62">
        <f>$GY171+$GW172</f>
        <v/>
      </c>
      <c r="GZ172" s="62">
        <f>SUMIFS(tblSafety[Toolbox_Talks],tblSafety[Date],$A172)</f>
        <v/>
      </c>
      <c r="HA172" s="62">
        <f>IF($B172=$B171,$HA171,0)+$GZ172</f>
        <v/>
      </c>
      <c r="HB172" s="62">
        <f>$HB171+$GZ172</f>
        <v/>
      </c>
      <c r="HC172" s="62">
        <f>SUMIFS(tblSafety[Inspections],tblSafety[Date],$A172)</f>
        <v/>
      </c>
      <c r="HD172" s="62">
        <f>IF($B172=$B171,$HD171,0)+$HC172</f>
        <v/>
      </c>
      <c r="HE172" s="62">
        <f>$HE171+$HC172</f>
        <v/>
      </c>
      <c r="HF172" s="56">
        <f>IFERROR((SUMIFS(tblSafety[Recordables],tblSafety[Date],"&gt;="&amp;EDATE($E172,-12),tblSafety[Date],"&lt;="&amp;$A172)+SUMIFS(tblSafetyHistory[Recordables],tblSafetyHistory[Month],"&gt;="&amp;EDATE($E172,-12),tblSafetyHistory[Month],"&lt;"&amp;cfg_YearStart))/(SUMIFS(tblSafety[Hours_Total],tblSafety[Date],"&gt;="&amp;EDATE($E172,-12),tblSafety[Date],"&lt;="&amp;$A172)+SUMIFS(tblSafetyHistory[Hours_Total],tblSafetyHistory[Month],"&gt;="&amp;EDATE($E172,-12),tblSafetyHistory[Month],"&lt;"&amp;cfg_YearStart))*1000000,"")</f>
        <v/>
      </c>
      <c r="HG172" s="56">
        <f>IFERROR((SUMIFS(tblSafety[LTI],tblSafety[Date],"&gt;="&amp;EDATE($E172,-12),tblSafety[Date],"&lt;="&amp;$A172)+SUMIFS(tblSafetyHistory[LTI],tblSafetyHistory[Month],"&gt;="&amp;EDATE($E172,-12),tblSafetyHistory[Month],"&lt;"&amp;cfg_YearStart))/(SUMIFS(tblSafety[Hours_Total],tblSafety[Date],"&gt;="&amp;EDATE($E172,-12),tblSafety[Date],"&lt;="&amp;$A172)+SUMIFS(tblSafetyHistory[Hours_Total],tblSafetyHistory[Month],"&gt;="&amp;EDATE($E172,-12),tblSafetyHistory[Month],"&lt;"&amp;cfg_YearStart))*1000000,"")</f>
        <v/>
      </c>
      <c r="HH172" s="62">
        <f>IF(MAX(N(cfg_PriorLTIDate),_xlfn.MAXIFS(tblSafety[Date],tblSafety[LTI],"&gt;0",tblSafety[Date],"&lt;="&amp;$A172))=0,"",$A172-MAX(N(cfg_PriorLTIDate),_xlfn.MAXIFS(tblSafety[Date],tblSafety[LTI],"&gt;0",tblSafety[Date],"&lt;="&amp;$A172)))</f>
        <v/>
      </c>
      <c r="HI172" s="55">
        <f>SUMIFS(tblBudget[Ore_Mined_t],tblBudget[Month],$E172)</f>
        <v/>
      </c>
      <c r="HJ172" s="55">
        <f>$HI172*$C172/$D172</f>
        <v/>
      </c>
      <c r="HK172" s="55">
        <f>SUMIFS(tblBudget[Ore_Mined_t],tblBudget[Month],"&lt;"&amp;$E172)+$HJ172</f>
        <v/>
      </c>
      <c r="HL172" s="55">
        <f>SUMIFS(tblBudget[Ore_oz],tblBudget[Month],$E172)</f>
        <v/>
      </c>
      <c r="HM172" s="55">
        <f>$HL172*$C172/$D172</f>
        <v/>
      </c>
      <c r="HN172" s="55">
        <f>SUMIFS(tblBudget[Ore_oz],tblBudget[Month],"&lt;"&amp;$E172)+$HM172</f>
        <v/>
      </c>
      <c r="HO172" s="56">
        <f>IFERROR(IF(($HI172)&gt;0,($HL172*cfg_TroyOz)/($HI172),""),"")</f>
        <v/>
      </c>
      <c r="HP172" s="56">
        <f>IFERROR(IF(($HJ172)&gt;0,($HM172*cfg_TroyOz)/($HJ172),""),"")</f>
        <v/>
      </c>
      <c r="HQ172" s="56">
        <f>IFERROR(IF(($HK172)&gt;0,($HN172*cfg_TroyOz)/($HK172),""),"")</f>
        <v/>
      </c>
      <c r="HR172" s="55">
        <f>SUMIFS(tblBudget[Waste_t],tblBudget[Month],$E172)</f>
        <v/>
      </c>
      <c r="HS172" s="55">
        <f>$HR172*$C172/$D172</f>
        <v/>
      </c>
      <c r="HT172" s="55">
        <f>SUMIFS(tblBudget[Waste_t],tblBudget[Month],"&lt;"&amp;$E172)+$HS172</f>
        <v/>
      </c>
      <c r="HU172" s="55">
        <f>SUMIFS(tblBudget[TMM_t],tblBudget[Month],$E172)</f>
        <v/>
      </c>
      <c r="HV172" s="55">
        <f>$HU172*$C172/$D172</f>
        <v/>
      </c>
      <c r="HW172" s="55">
        <f>SUMIFS(tblBudget[TMM_t],tblBudget[Month],"&lt;"&amp;$E172)+$HV172</f>
        <v/>
      </c>
      <c r="HX172" s="56">
        <f>IFERROR(IF(($HI172)&gt;0,($HR172)/($HI172),""),"")</f>
        <v/>
      </c>
      <c r="HY172" s="56">
        <f>IFERROR(IF(($HJ172)&gt;0,($HS172)/($HJ172),""),"")</f>
        <v/>
      </c>
      <c r="HZ172" s="56">
        <f>IFERROR(IF(($HK172)&gt;0,($HT172)/($HK172),""),"")</f>
        <v/>
      </c>
      <c r="IA172" s="55">
        <f>SUMIFS(tblBudget[Drill_m],tblBudget[Month],$E172)</f>
        <v/>
      </c>
      <c r="IB172" s="55">
        <f>$IA172*$C172/$D172</f>
        <v/>
      </c>
      <c r="IC172" s="55">
        <f>SUMIFS(tblBudget[Drill_m],tblBudget[Month],"&lt;"&amp;$E172)+$IB172</f>
        <v/>
      </c>
      <c r="ID172" s="55">
        <f>SUMIFS(tblBudget[Diesel_L],tblBudget[Month],$E172)</f>
        <v/>
      </c>
      <c r="IE172" s="55">
        <f>$ID172*$C172/$D172</f>
        <v/>
      </c>
      <c r="IF172" s="55">
        <f>SUMIFS(tblBudget[Diesel_L],tblBudget[Month],"&lt;"&amp;$E172)+$IE172</f>
        <v/>
      </c>
      <c r="IG172" s="55">
        <f>SUMIFS(tblBudget[Milled_t],tblBudget[Month],$E172)</f>
        <v/>
      </c>
      <c r="IH172" s="55">
        <f>$IG172*$C172/$D172</f>
        <v/>
      </c>
      <c r="II172" s="55">
        <f>SUMIFS(tblBudget[Milled_t],tblBudget[Month],"&lt;"&amp;$E172)+$IH172</f>
        <v/>
      </c>
      <c r="IJ172" s="55">
        <f>SUMIFS(tblBudget[Feed_oz],tblBudget[Month],$E172)</f>
        <v/>
      </c>
      <c r="IK172" s="55">
        <f>$IJ172*$C172/$D172</f>
        <v/>
      </c>
      <c r="IL172" s="55">
        <f>SUMIFS(tblBudget[Feed_oz],tblBudget[Month],"&lt;"&amp;$E172)+$IK172</f>
        <v/>
      </c>
      <c r="IM172" s="55">
        <f>SUMIFS(tblBudget[Recovered_oz],tblBudget[Month],$E172)</f>
        <v/>
      </c>
      <c r="IN172" s="55">
        <f>$IM172*$C172/$D172</f>
        <v/>
      </c>
      <c r="IO172" s="55">
        <f>SUMIFS(tblBudget[Recovered_oz],tblBudget[Month],"&lt;"&amp;$E172)+$IN172</f>
        <v/>
      </c>
      <c r="IP172" s="56">
        <f>IFERROR(IF(($IG172)&gt;0,($IJ172*cfg_TroyOz)/($IG172),""),"")</f>
        <v/>
      </c>
      <c r="IQ172" s="56">
        <f>IFERROR(IF(($IH172)&gt;0,($IK172*cfg_TroyOz)/($IH172),""),"")</f>
        <v/>
      </c>
      <c r="IR172" s="56">
        <f>IFERROR(IF(($II172)&gt;0,($IL172*cfg_TroyOz)/($II172),""),"")</f>
        <v/>
      </c>
      <c r="IS172" s="67">
        <f>IFERROR(IF(($IJ172)&gt;0,($IM172)/($IJ172),""),"")</f>
        <v/>
      </c>
      <c r="IT172" s="67">
        <f>IFERROR(IF(($IK172)&gt;0,($IN172)/($IK172),""),"")</f>
        <v/>
      </c>
      <c r="IU172" s="67">
        <f>IFERROR(IF(($IL172)&gt;0,($IO172)/($IL172),""),"")</f>
        <v/>
      </c>
      <c r="IV172" s="55">
        <f>SUMIFS(tblBudget[Gold_Poured_oz],tblBudget[Month],$E172)</f>
        <v/>
      </c>
      <c r="IW172" s="55">
        <f>$IV172*$C172/$D172</f>
        <v/>
      </c>
      <c r="IX172" s="55">
        <f>SUMIFS(tblBudget[Gold_Poured_oz],tblBudget[Month],"&lt;"&amp;$E172)+$IW172</f>
        <v/>
      </c>
      <c r="IY172" s="57">
        <f>SUMIFS(tblBudget[Hours_Worked],tblBudget[Month],$E172)</f>
        <v/>
      </c>
      <c r="IZ172" s="57">
        <f>$IY172*$C172/$D172</f>
        <v/>
      </c>
      <c r="JA172" s="57">
        <f>SUMIFS(tblBudget[Hours_Worked],tblBudget[Month],"&lt;"&amp;$E172)+$IZ172</f>
        <v/>
      </c>
    </row>
    <row r="173">
      <c r="A173" s="54" t="n">
        <v>46194</v>
      </c>
      <c r="B173">
        <f>MONTH($A173)</f>
        <v/>
      </c>
      <c r="C173">
        <f>DAY($A173)</f>
        <v/>
      </c>
      <c r="D173">
        <f>DAY(EOMONTH($A173,0))</f>
        <v/>
      </c>
      <c r="E173" s="54">
        <f>DATE(YEAR($A173),MONTH($A173),1)</f>
        <v/>
      </c>
      <c r="F173" s="55">
        <f>SUMIFS(tblMovement[Tonnes_t],tblMovement[Date],$A173,tblMovement[Is_Ore],1,tblMovement[Source_Type],"Pit")</f>
        <v/>
      </c>
      <c r="G173" s="55">
        <f>IF($B173=$B172,$G172,0)+$F173</f>
        <v/>
      </c>
      <c r="H173" s="55">
        <f>$H172+$F173</f>
        <v/>
      </c>
      <c r="I173" s="55">
        <f>SUMIFS(tblMovement[Ore_oz],tblMovement[Date],$A173,tblMovement[Source_Type],"Pit")</f>
        <v/>
      </c>
      <c r="J173" s="55">
        <f>IF($B173=$B172,$J172,0)+$I173</f>
        <v/>
      </c>
      <c r="K173" s="55">
        <f>$K172+$I173</f>
        <v/>
      </c>
      <c r="L173" s="56">
        <f>IFERROR(IF(($F173)&gt;0,($I173*cfg_TroyOz)/($F173),""),"")</f>
        <v/>
      </c>
      <c r="M173" s="56">
        <f>IFERROR(IF(($G173)&gt;0,($J173*cfg_TroyOz)/($G173),""),"")</f>
        <v/>
      </c>
      <c r="N173" s="56">
        <f>IFERROR(IF(($H173)&gt;0,($K173*cfg_TroyOz)/($H173),""),"")</f>
        <v/>
      </c>
      <c r="O173" s="55">
        <f>SUMIFS(tblMovement[Tonnes_t],tblMovement[Date],$A173,tblMovement[Is_Ore],0,tblMovement[Source_Type],"Pit")</f>
        <v/>
      </c>
      <c r="P173" s="55">
        <f>IF($B173=$B172,$P172,0)+$O173</f>
        <v/>
      </c>
      <c r="Q173" s="55">
        <f>$Q172+$O173</f>
        <v/>
      </c>
      <c r="R173" s="55">
        <f>$F173+$O173</f>
        <v/>
      </c>
      <c r="S173" s="55">
        <f>IF($B173=$B172,$S172,0)+$R173</f>
        <v/>
      </c>
      <c r="T173" s="55">
        <f>$T172+$R173</f>
        <v/>
      </c>
      <c r="U173" s="56">
        <f>IFERROR(IF(($F173)&gt;0,($O173)/($F173),""),"")</f>
        <v/>
      </c>
      <c r="V173" s="56">
        <f>IFERROR(IF(($G173)&gt;0,($P173)/($G173),""),"")</f>
        <v/>
      </c>
      <c r="W173" s="56">
        <f>IFERROR(IF(($H173)&gt;0,($Q173)/($H173),""),"")</f>
        <v/>
      </c>
      <c r="X173" s="55">
        <f>SUMIFS(tblMovement[Tonnes_t],tblMovement[Date],$A173,tblMovement[Source_Type],"Stockpile")</f>
        <v/>
      </c>
      <c r="Y173" s="55">
        <f>IF($B173=$B172,$Y172,0)+$X173</f>
        <v/>
      </c>
      <c r="Z173" s="55">
        <f>$Z172+$X173</f>
        <v/>
      </c>
      <c r="AA173" s="55">
        <f>SUMIFS(tblMiningDaily[Drill_m],tblMiningDaily[Date],$A173)</f>
        <v/>
      </c>
      <c r="AB173" s="55">
        <f>IF($B173=$B172,$AB172,0)+$AA173</f>
        <v/>
      </c>
      <c r="AC173" s="55">
        <f>$AC172+$AA173</f>
        <v/>
      </c>
      <c r="AD173" s="55">
        <f>SUMIFS(tblMiningDaily[Blast_t],tblMiningDaily[Date],$A173)</f>
        <v/>
      </c>
      <c r="AE173" s="55">
        <f>IF($B173=$B172,$AE172,0)+$AD173</f>
        <v/>
      </c>
      <c r="AF173" s="55">
        <f>$AF172+$AD173</f>
        <v/>
      </c>
      <c r="AG173" s="55">
        <f>SUMIFS(tblMiningDaily[Explosives_kg],tblMiningDaily[Date],$A173)</f>
        <v/>
      </c>
      <c r="AH173" s="55">
        <f>IF($B173=$B172,$AH172,0)+$AG173</f>
        <v/>
      </c>
      <c r="AI173" s="55">
        <f>$AI172+$AG173</f>
        <v/>
      </c>
      <c r="AJ173" s="56">
        <f>IFERROR(IF(($AD173)&gt;0,($AG173)/($AD173),""),"")</f>
        <v/>
      </c>
      <c r="AK173" s="56">
        <f>IFERROR(IF(($AE173)&gt;0,($AH173)/($AE173),""),"")</f>
        <v/>
      </c>
      <c r="AL173" s="56">
        <f>IFERROR(IF(($AF173)&gt;0,($AI173)/($AF173),""),"")</f>
        <v/>
      </c>
      <c r="AM173" s="55">
        <f>SUMIFS(tblMiningDaily[Diesel_L],tblMiningDaily[Date],$A173)</f>
        <v/>
      </c>
      <c r="AN173" s="55">
        <f>IF($B173=$B172,$AN172,0)+$AM173</f>
        <v/>
      </c>
      <c r="AO173" s="55">
        <f>$AO172+$AM173</f>
        <v/>
      </c>
      <c r="AP173" s="55">
        <f>SUMIFS(tblMiningDaily[Dewatering_m3],tblMiningDaily[Date],$A173)</f>
        <v/>
      </c>
      <c r="AQ173" s="55">
        <f>IF($B173=$B172,$AQ172,0)+$AP173</f>
        <v/>
      </c>
      <c r="AR173" s="55">
        <f>$AR172+$AP173</f>
        <v/>
      </c>
      <c r="AS173" s="57">
        <f>SUMIFS(tblFleet[Calendar_h],tblFleet[Date],$A173,tblFleet[Equipment_Class],"Excavator")</f>
        <v/>
      </c>
      <c r="AT173" s="57">
        <f>IF($B173=$B172,$AT172,0)+$AS173</f>
        <v/>
      </c>
      <c r="AU173" s="57">
        <f>$AU172+$AS173</f>
        <v/>
      </c>
      <c r="AV173" s="57">
        <f>SUMIFS(tblFleet[Available_h],tblFleet[Date],$A173,tblFleet[Equipment_Class],"Excavator")</f>
        <v/>
      </c>
      <c r="AW173" s="57">
        <f>IF($B173=$B172,$AW172,0)+$AV173</f>
        <v/>
      </c>
      <c r="AX173" s="57">
        <f>$AX172+$AV173</f>
        <v/>
      </c>
      <c r="AY173" s="57">
        <f>SUMIFS(tblFleet[Operating_h],tblFleet[Date],$A173,tblFleet[Equipment_Class],"Excavator")</f>
        <v/>
      </c>
      <c r="AZ173" s="57">
        <f>IF($B173=$B172,$AZ172,0)+$AY173</f>
        <v/>
      </c>
      <c r="BA173" s="57">
        <f>$BA172+$AY173</f>
        <v/>
      </c>
      <c r="BB173" s="67">
        <f>IFERROR(IF(($AS173)&gt;0,($AV173)/($AS173),""),"")</f>
        <v/>
      </c>
      <c r="BC173" s="67">
        <f>IFERROR(IF(($AT173)&gt;0,($AW173)/($AT173),""),"")</f>
        <v/>
      </c>
      <c r="BD173" s="67">
        <f>IFERROR(IF(($AU173)&gt;0,($AX173)/($AU173),""),"")</f>
        <v/>
      </c>
      <c r="BE173" s="67">
        <f>IFERROR(IF(($AV173)&gt;0,($AY173)/($AV173),""),"")</f>
        <v/>
      </c>
      <c r="BF173" s="67">
        <f>IFERROR(IF(($AW173)&gt;0,($AZ173)/($AW173),""),"")</f>
        <v/>
      </c>
      <c r="BG173" s="67">
        <f>IFERROR(IF(($AX173)&gt;0,($BA173)/($AX173),""),"")</f>
        <v/>
      </c>
      <c r="BH173" s="57">
        <f>SUMIFS(tblFleet[Calendar_h],tblFleet[Date],$A173,tblFleet[Equipment_Class],"Haul Truck")</f>
        <v/>
      </c>
      <c r="BI173" s="57">
        <f>IF($B173=$B172,$BI172,0)+$BH173</f>
        <v/>
      </c>
      <c r="BJ173" s="57">
        <f>$BJ172+$BH173</f>
        <v/>
      </c>
      <c r="BK173" s="57">
        <f>SUMIFS(tblFleet[Available_h],tblFleet[Date],$A173,tblFleet[Equipment_Class],"Haul Truck")</f>
        <v/>
      </c>
      <c r="BL173" s="57">
        <f>IF($B173=$B172,$BL172,0)+$BK173</f>
        <v/>
      </c>
      <c r="BM173" s="57">
        <f>$BM172+$BK173</f>
        <v/>
      </c>
      <c r="BN173" s="57">
        <f>SUMIFS(tblFleet[Operating_h],tblFleet[Date],$A173,tblFleet[Equipment_Class],"Haul Truck")</f>
        <v/>
      </c>
      <c r="BO173" s="57">
        <f>IF($B173=$B172,$BO172,0)+$BN173</f>
        <v/>
      </c>
      <c r="BP173" s="57">
        <f>$BP172+$BN173</f>
        <v/>
      </c>
      <c r="BQ173" s="67">
        <f>IFERROR(IF(($BH173)&gt;0,($BK173)/($BH173),""),"")</f>
        <v/>
      </c>
      <c r="BR173" s="67">
        <f>IFERROR(IF(($BI173)&gt;0,($BL173)/($BI173),""),"")</f>
        <v/>
      </c>
      <c r="BS173" s="67">
        <f>IFERROR(IF(($BJ173)&gt;0,($BM173)/($BJ173),""),"")</f>
        <v/>
      </c>
      <c r="BT173" s="67">
        <f>IFERROR(IF(($BK173)&gt;0,($BN173)/($BK173),""),"")</f>
        <v/>
      </c>
      <c r="BU173" s="67">
        <f>IFERROR(IF(($BL173)&gt;0,($BO173)/($BL173),""),"")</f>
        <v/>
      </c>
      <c r="BV173" s="67">
        <f>IFERROR(IF(($BM173)&gt;0,($BP173)/($BM173),""),"")</f>
        <v/>
      </c>
      <c r="BW173" s="55">
        <f>SUMIFS(tblPlant[Crushed_t],tblPlant[Date],$A173)</f>
        <v/>
      </c>
      <c r="BX173" s="55">
        <f>IF($B173=$B172,$BX172,0)+$BW173</f>
        <v/>
      </c>
      <c r="BY173" s="55">
        <f>$BY172+$BW173</f>
        <v/>
      </c>
      <c r="BZ173" s="55">
        <f>SUMIFS(tblPlant[Milled_t],tblPlant[Date],$A173)</f>
        <v/>
      </c>
      <c r="CA173" s="55">
        <f>IF($B173=$B172,$CA172,0)+$BZ173</f>
        <v/>
      </c>
      <c r="CB173" s="55">
        <f>$CB172+$BZ173</f>
        <v/>
      </c>
      <c r="CC173" s="55">
        <f>SUMIFS(tblPlant[Feed_oz],tblPlant[Date],$A173)</f>
        <v/>
      </c>
      <c r="CD173" s="55">
        <f>IF($B173=$B172,$CD172,0)+$CC173</f>
        <v/>
      </c>
      <c r="CE173" s="55">
        <f>$CE172+$CC173</f>
        <v/>
      </c>
      <c r="CF173" s="55">
        <f>SUMIFS(tblPlant[Tails_oz],tblPlant[Date],$A173)</f>
        <v/>
      </c>
      <c r="CG173" s="55">
        <f>IF($B173=$B172,$CG172,0)+$CF173</f>
        <v/>
      </c>
      <c r="CH173" s="55">
        <f>$CH172+$CF173</f>
        <v/>
      </c>
      <c r="CI173" s="55">
        <f>SUMIFS(tblPlant[Recovered_oz],tblPlant[Date],$A173)</f>
        <v/>
      </c>
      <c r="CJ173" s="55">
        <f>IF($B173=$B172,$CJ172,0)+$CI173</f>
        <v/>
      </c>
      <c r="CK173" s="55">
        <f>$CK172+$CI173</f>
        <v/>
      </c>
      <c r="CL173" s="56">
        <f>IFERROR(IF(($BZ173)&gt;0,($CC173*cfg_TroyOz)/($BZ173),""),"")</f>
        <v/>
      </c>
      <c r="CM173" s="56">
        <f>IFERROR(IF(($CA173)&gt;0,($CD173*cfg_TroyOz)/($CA173),""),"")</f>
        <v/>
      </c>
      <c r="CN173" s="56">
        <f>IFERROR(IF(($CB173)&gt;0,($CE173*cfg_TroyOz)/($CB173),""),"")</f>
        <v/>
      </c>
      <c r="CO173" s="56">
        <f>IFERROR(IF(($BZ173)&gt;0,($CF173*cfg_TroyOz)/($BZ173),""),"")</f>
        <v/>
      </c>
      <c r="CP173" s="56">
        <f>IFERROR(IF(($CA173)&gt;0,($CG173*cfg_TroyOz)/($CA173),""),"")</f>
        <v/>
      </c>
      <c r="CQ173" s="56">
        <f>IFERROR(IF(($CB173)&gt;0,($CH173*cfg_TroyOz)/($CB173),""),"")</f>
        <v/>
      </c>
      <c r="CR173" s="67">
        <f>IFERROR(IF(($CC173)&gt;0,($CI173)/($CC173),""),"")</f>
        <v/>
      </c>
      <c r="CS173" s="67">
        <f>IFERROR(IF(($CD173)&gt;0,($CJ173)/($CD173),""),"")</f>
        <v/>
      </c>
      <c r="CT173" s="67">
        <f>IFERROR(IF(($CE173)&gt;0,($CK173)/($CE173),""),"")</f>
        <v/>
      </c>
      <c r="CU173" s="55">
        <f>SUMIFS(tblPlant[Gravity_Gold_oz],tblPlant[Date],$A173)</f>
        <v/>
      </c>
      <c r="CV173" s="55">
        <f>IF($B173=$B172,$CV172,0)+$CU173</f>
        <v/>
      </c>
      <c r="CW173" s="55">
        <f>$CW172+$CU173</f>
        <v/>
      </c>
      <c r="CX173" s="55">
        <f>SUMIFS(tblPlant[Gold_Poured_oz],tblPlant[Date],$A173)</f>
        <v/>
      </c>
      <c r="CY173" s="55">
        <f>IF($B173=$B172,$CY172,0)+$CX173</f>
        <v/>
      </c>
      <c r="CZ173" s="55">
        <f>$CZ172+$CX173</f>
        <v/>
      </c>
      <c r="DA173" s="57">
        <f>SUMIFS(tblPlant[Mill_Run_h],tblPlant[Date],$A173)</f>
        <v/>
      </c>
      <c r="DB173" s="57">
        <f>IF($B173=$B172,$DB172,0)+$DA173</f>
        <v/>
      </c>
      <c r="DC173" s="57">
        <f>$DC172+$DA173</f>
        <v/>
      </c>
      <c r="DD173" s="57">
        <f>SUMIFS(tblPlant[Mill_Planned_Maint_h],tblPlant[Date],$A173)</f>
        <v/>
      </c>
      <c r="DE173" s="57">
        <f>IF($B173=$B172,$DE172,0)+$DD173</f>
        <v/>
      </c>
      <c r="DF173" s="57">
        <f>$DF172+$DD173</f>
        <v/>
      </c>
      <c r="DG173" s="57">
        <f>SUMIFS(tblPlant[Mill_Unplanned_Down_h],tblPlant[Date],$A173)</f>
        <v/>
      </c>
      <c r="DH173" s="57">
        <f>IF($B173=$B172,$DH172,0)+$DG173</f>
        <v/>
      </c>
      <c r="DI173" s="57">
        <f>$DI172+$DG173</f>
        <v/>
      </c>
      <c r="DJ173" s="57">
        <f>COUNTIFS(tblPlant[Date],$A173,tblPlant[Mill_Run_h],"&lt;&gt;")*24</f>
        <v/>
      </c>
      <c r="DK173" s="57">
        <f>IF($B173=$B172,$DK172,0)+$DJ173</f>
        <v/>
      </c>
      <c r="DL173" s="57">
        <f>$DL172+$DJ173</f>
        <v/>
      </c>
      <c r="DM173" s="57">
        <f>SUMIFS(tblPlant[Crusher_Run_h],tblPlant[Date],$A173)</f>
        <v/>
      </c>
      <c r="DN173" s="57">
        <f>IF($B173=$B172,$DN172,0)+$DM173</f>
        <v/>
      </c>
      <c r="DO173" s="57">
        <f>$DO172+$DM173</f>
        <v/>
      </c>
      <c r="DP173" s="55">
        <f>IFERROR(IF(($DA173)&gt;0,($BZ173)/($DA173),""),"")</f>
        <v/>
      </c>
      <c r="DQ173" s="55">
        <f>IFERROR(IF(($DB173)&gt;0,($CA173)/($DB173),""),"")</f>
        <v/>
      </c>
      <c r="DR173" s="55">
        <f>IFERROR(IF(($DC173)&gt;0,($CB173)/($DC173),""),"")</f>
        <v/>
      </c>
      <c r="DS173" s="67">
        <f>IFERROR(IF(($DJ173)&gt;0,($DJ173-$DD173-$DG173)/($DJ173),""),"")</f>
        <v/>
      </c>
      <c r="DT173" s="67">
        <f>IFERROR(IF(($DK173)&gt;0,($DK173-$DE173-$DH173)/($DK173),""),"")</f>
        <v/>
      </c>
      <c r="DU173" s="67">
        <f>IFERROR(IF(($DL173)&gt;0,($DL173-$DF173-$DI173)/($DL173),""),"")</f>
        <v/>
      </c>
      <c r="DV173" s="67">
        <f>IFERROR(IF(($DJ173-$DD173-$DG173)&gt;0,($DA173)/($DJ173-$DD173-$DG173),""),"")</f>
        <v/>
      </c>
      <c r="DW173" s="67">
        <f>IFERROR(IF(($DK173-$DE173-$DH173)&gt;0,($DB173)/($DK173-$DE173-$DH173),""),"")</f>
        <v/>
      </c>
      <c r="DX173" s="67">
        <f>IFERROR(IF(($DL173-$DF173-$DI173)&gt;0,($DC173)/($DL173-$DF173-$DI173),""),"")</f>
        <v/>
      </c>
      <c r="DY173" s="55">
        <f>SUMIFS(tblPlant[Cyanide_kg],tblPlant[Date],$A173)</f>
        <v/>
      </c>
      <c r="DZ173" s="55">
        <f>IF($B173=$B172,$DZ172,0)+$DY173</f>
        <v/>
      </c>
      <c r="EA173" s="55">
        <f>$EA172+$DY173</f>
        <v/>
      </c>
      <c r="EB173" s="55">
        <f>SUMIFS(tblPlant[Lime_kg],tblPlant[Date],$A173)</f>
        <v/>
      </c>
      <c r="EC173" s="55">
        <f>IF($B173=$B172,$EC172,0)+$EB173</f>
        <v/>
      </c>
      <c r="ED173" s="55">
        <f>$ED172+$EB173</f>
        <v/>
      </c>
      <c r="EE173" s="55">
        <f>SUMIFS(tblPlant[Grinding_Media_kg],tblPlant[Date],$A173)</f>
        <v/>
      </c>
      <c r="EF173" s="55">
        <f>IF($B173=$B172,$EF172,0)+$EE173</f>
        <v/>
      </c>
      <c r="EG173" s="55">
        <f>$EG172+$EE173</f>
        <v/>
      </c>
      <c r="EH173" s="55">
        <f>SUMIFS(tblPlant[Power_kWh],tblPlant[Date],$A173)</f>
        <v/>
      </c>
      <c r="EI173" s="55">
        <f>IF($B173=$B172,$EI172,0)+$EH173</f>
        <v/>
      </c>
      <c r="EJ173" s="55">
        <f>$EJ172+$EH173</f>
        <v/>
      </c>
      <c r="EK173" s="55">
        <f>SUMIFS(tblPlant[Raw_Water_m3],tblPlant[Date],$A173)</f>
        <v/>
      </c>
      <c r="EL173" s="55">
        <f>IF($B173=$B172,$EL172,0)+$EK173</f>
        <v/>
      </c>
      <c r="EM173" s="55">
        <f>$EM172+$EK173</f>
        <v/>
      </c>
      <c r="EN173" s="56">
        <f>IFERROR(IF(($BZ173)&gt;0,($DY173)/($BZ173),""),"")</f>
        <v/>
      </c>
      <c r="EO173" s="56">
        <f>IFERROR(IF(($CA173)&gt;0,($DZ173)/($CA173),""),"")</f>
        <v/>
      </c>
      <c r="EP173" s="56">
        <f>IFERROR(IF(($CB173)&gt;0,($EA173)/($CB173),""),"")</f>
        <v/>
      </c>
      <c r="EQ173" s="56">
        <f>IFERROR(IF(($BZ173)&gt;0,($EB173)/($BZ173),""),"")</f>
        <v/>
      </c>
      <c r="ER173" s="56">
        <f>IFERROR(IF(($CA173)&gt;0,($EC173)/($CA173),""),"")</f>
        <v/>
      </c>
      <c r="ES173" s="56">
        <f>IFERROR(IF(($CB173)&gt;0,($ED173)/($CB173),""),"")</f>
        <v/>
      </c>
      <c r="ET173" s="56">
        <f>IFERROR(IF(($BZ173)&gt;0,($EE173)/($BZ173),""),"")</f>
        <v/>
      </c>
      <c r="EU173" s="56">
        <f>IFERROR(IF(($CA173)&gt;0,($EF173)/($CA173),""),"")</f>
        <v/>
      </c>
      <c r="EV173" s="56">
        <f>IFERROR(IF(($CB173)&gt;0,($EG173)/($CB173),""),"")</f>
        <v/>
      </c>
      <c r="EW173" s="76">
        <f>IFERROR(IF(($BZ173)&gt;0,($EH173)/($BZ173),""),"")</f>
        <v/>
      </c>
      <c r="EX173" s="76">
        <f>IFERROR(IF(($CA173)&gt;0,($EI173)/($CA173),""),"")</f>
        <v/>
      </c>
      <c r="EY173" s="76">
        <f>IFERROR(IF(($CB173)&gt;0,($EJ173)/($CB173),""),"")</f>
        <v/>
      </c>
      <c r="EZ173" s="56">
        <f>IFERROR(IF(($BZ173)&gt;0,($EK173)/($BZ173),""),"")</f>
        <v/>
      </c>
      <c r="FA173" s="56">
        <f>IFERROR(IF(($CA173)&gt;0,($EL173)/($CA173),""),"")</f>
        <v/>
      </c>
      <c r="FB173" s="56">
        <f>IFERROR(IF(($CB173)&gt;0,($EM173)/($CB173),""),"")</f>
        <v/>
      </c>
      <c r="FC173" s="55">
        <f>IF(SUMIFS(tblPlant[GIC_oz],tblPlant[Date],$A173)&gt;0,SUMIFS(tblPlant[GIC_oz],tblPlant[Date],$A173),"")</f>
        <v/>
      </c>
      <c r="FD173" s="55">
        <f>SUMIFS(tblGold[Gold_oz],tblGold[Date],$A173,tblGold[Type],"Shipment")</f>
        <v/>
      </c>
      <c r="FE173" s="55">
        <f>IF($B173=$B172,$FE172,0)+$FD173</f>
        <v/>
      </c>
      <c r="FF173" s="55">
        <f>$FF172+$FD173</f>
        <v/>
      </c>
      <c r="FG173" s="55">
        <f>SUMIFS(tblGold[Gold_oz],tblGold[Date],$A173,tblGold[Type],"Sale")</f>
        <v/>
      </c>
      <c r="FH173" s="55">
        <f>IF($B173=$B172,$FH172,0)+$FG173</f>
        <v/>
      </c>
      <c r="FI173" s="55">
        <f>$FI172+$FG173</f>
        <v/>
      </c>
      <c r="FJ173" s="55">
        <f>SUMIFS(tblGold[Dore_kg],tblGold[Date],$A173,tblGold[Type],"Shipment")</f>
        <v/>
      </c>
      <c r="FK173" s="55">
        <f>IF($B173=$B172,$FK172,0)+$FJ173</f>
        <v/>
      </c>
      <c r="FL173" s="55">
        <f>$FL172+$FJ173</f>
        <v/>
      </c>
      <c r="FM173" s="57">
        <f>SUMIFS(tblSafety[Hours_Total],tblSafety[Date],$A173)</f>
        <v/>
      </c>
      <c r="FN173" s="57">
        <f>IF($B173=$B172,$FN172,0)+$FM173</f>
        <v/>
      </c>
      <c r="FO173" s="57">
        <f>$FO172+$FM173</f>
        <v/>
      </c>
      <c r="FP173" s="62">
        <f>SUMIFS(tblSafety[Fatality],tblSafety[Date],$A173)</f>
        <v/>
      </c>
      <c r="FQ173" s="62">
        <f>IF($B173=$B172,$FQ172,0)+$FP173</f>
        <v/>
      </c>
      <c r="FR173" s="62">
        <f>$FR172+$FP173</f>
        <v/>
      </c>
      <c r="FS173" s="62">
        <f>SUMIFS(tblSafety[LTI],tblSafety[Date],$A173)</f>
        <v/>
      </c>
      <c r="FT173" s="62">
        <f>IF($B173=$B172,$FT172,0)+$FS173</f>
        <v/>
      </c>
      <c r="FU173" s="62">
        <f>$FU172+$FS173</f>
        <v/>
      </c>
      <c r="FV173" s="62">
        <f>SUMIFS(tblSafety[RWI],tblSafety[Date],$A173)</f>
        <v/>
      </c>
      <c r="FW173" s="62">
        <f>IF($B173=$B172,$FW172,0)+$FV173</f>
        <v/>
      </c>
      <c r="FX173" s="62">
        <f>$FX172+$FV173</f>
        <v/>
      </c>
      <c r="FY173" s="62">
        <f>SUMIFS(tblSafety[MTI],tblSafety[Date],$A173)</f>
        <v/>
      </c>
      <c r="FZ173" s="62">
        <f>IF($B173=$B172,$FZ172,0)+$FY173</f>
        <v/>
      </c>
      <c r="GA173" s="62">
        <f>$GA172+$FY173</f>
        <v/>
      </c>
      <c r="GB173" s="62">
        <f>SUMIFS(tblSafety[FAI],tblSafety[Date],$A173)</f>
        <v/>
      </c>
      <c r="GC173" s="62">
        <f>IF($B173=$B172,$GC172,0)+$GB173</f>
        <v/>
      </c>
      <c r="GD173" s="62">
        <f>$GD172+$GB173</f>
        <v/>
      </c>
      <c r="GE173" s="62">
        <f>SUMIFS(tblSafety[Recordables],tblSafety[Date],$A173)</f>
        <v/>
      </c>
      <c r="GF173" s="62">
        <f>IF($B173=$B172,$GF172,0)+$GE173</f>
        <v/>
      </c>
      <c r="GG173" s="62">
        <f>$GG172+$GE173</f>
        <v/>
      </c>
      <c r="GH173" s="62">
        <f>SUMIFS(tblSafety[Near_Miss],tblSafety[Date],$A173)</f>
        <v/>
      </c>
      <c r="GI173" s="62">
        <f>IF($B173=$B172,$GI172,0)+$GH173</f>
        <v/>
      </c>
      <c r="GJ173" s="62">
        <f>$GJ172+$GH173</f>
        <v/>
      </c>
      <c r="GK173" s="62">
        <f>SUMIFS(tblSafety[Hazard_Reports],tblSafety[Date],$A173)</f>
        <v/>
      </c>
      <c r="GL173" s="62">
        <f>IF($B173=$B172,$GL172,0)+$GK173</f>
        <v/>
      </c>
      <c r="GM173" s="62">
        <f>$GM172+$GK173</f>
        <v/>
      </c>
      <c r="GN173" s="62">
        <f>SUMIFS(tblSafety[HPI],tblSafety[Date],$A173)</f>
        <v/>
      </c>
      <c r="GO173" s="62">
        <f>IF($B173=$B172,$GO172,0)+$GN173</f>
        <v/>
      </c>
      <c r="GP173" s="62">
        <f>$GP172+$GN173</f>
        <v/>
      </c>
      <c r="GQ173" s="62">
        <f>SUMIFS(tblSafety[Env_Incidents],tblSafety[Date],$A173)</f>
        <v/>
      </c>
      <c r="GR173" s="62">
        <f>IF($B173=$B172,$GR172,0)+$GQ173</f>
        <v/>
      </c>
      <c r="GS173" s="62">
        <f>$GS172+$GQ173</f>
        <v/>
      </c>
      <c r="GT173" s="62">
        <f>SUMIFS(tblSafety[Community_Incidents],tblSafety[Date],$A173)</f>
        <v/>
      </c>
      <c r="GU173" s="62">
        <f>IF($B173=$B172,$GU172,0)+$GT173</f>
        <v/>
      </c>
      <c r="GV173" s="62">
        <f>$GV172+$GT173</f>
        <v/>
      </c>
      <c r="GW173" s="62">
        <f>SUMIFS(tblSafety[Vehicle_Incidents],tblSafety[Date],$A173)</f>
        <v/>
      </c>
      <c r="GX173" s="62">
        <f>IF($B173=$B172,$GX172,0)+$GW173</f>
        <v/>
      </c>
      <c r="GY173" s="62">
        <f>$GY172+$GW173</f>
        <v/>
      </c>
      <c r="GZ173" s="62">
        <f>SUMIFS(tblSafety[Toolbox_Talks],tblSafety[Date],$A173)</f>
        <v/>
      </c>
      <c r="HA173" s="62">
        <f>IF($B173=$B172,$HA172,0)+$GZ173</f>
        <v/>
      </c>
      <c r="HB173" s="62">
        <f>$HB172+$GZ173</f>
        <v/>
      </c>
      <c r="HC173" s="62">
        <f>SUMIFS(tblSafety[Inspections],tblSafety[Date],$A173)</f>
        <v/>
      </c>
      <c r="HD173" s="62">
        <f>IF($B173=$B172,$HD172,0)+$HC173</f>
        <v/>
      </c>
      <c r="HE173" s="62">
        <f>$HE172+$HC173</f>
        <v/>
      </c>
      <c r="HF173" s="56">
        <f>IFERROR((SUMIFS(tblSafety[Recordables],tblSafety[Date],"&gt;="&amp;EDATE($E173,-12),tblSafety[Date],"&lt;="&amp;$A173)+SUMIFS(tblSafetyHistory[Recordables],tblSafetyHistory[Month],"&gt;="&amp;EDATE($E173,-12),tblSafetyHistory[Month],"&lt;"&amp;cfg_YearStart))/(SUMIFS(tblSafety[Hours_Total],tblSafety[Date],"&gt;="&amp;EDATE($E173,-12),tblSafety[Date],"&lt;="&amp;$A173)+SUMIFS(tblSafetyHistory[Hours_Total],tblSafetyHistory[Month],"&gt;="&amp;EDATE($E173,-12),tblSafetyHistory[Month],"&lt;"&amp;cfg_YearStart))*1000000,"")</f>
        <v/>
      </c>
      <c r="HG173" s="56">
        <f>IFERROR((SUMIFS(tblSafety[LTI],tblSafety[Date],"&gt;="&amp;EDATE($E173,-12),tblSafety[Date],"&lt;="&amp;$A173)+SUMIFS(tblSafetyHistory[LTI],tblSafetyHistory[Month],"&gt;="&amp;EDATE($E173,-12),tblSafetyHistory[Month],"&lt;"&amp;cfg_YearStart))/(SUMIFS(tblSafety[Hours_Total],tblSafety[Date],"&gt;="&amp;EDATE($E173,-12),tblSafety[Date],"&lt;="&amp;$A173)+SUMIFS(tblSafetyHistory[Hours_Total],tblSafetyHistory[Month],"&gt;="&amp;EDATE($E173,-12),tblSafetyHistory[Month],"&lt;"&amp;cfg_YearStart))*1000000,"")</f>
        <v/>
      </c>
      <c r="HH173" s="62">
        <f>IF(MAX(N(cfg_PriorLTIDate),_xlfn.MAXIFS(tblSafety[Date],tblSafety[LTI],"&gt;0",tblSafety[Date],"&lt;="&amp;$A173))=0,"",$A173-MAX(N(cfg_PriorLTIDate),_xlfn.MAXIFS(tblSafety[Date],tblSafety[LTI],"&gt;0",tblSafety[Date],"&lt;="&amp;$A173)))</f>
        <v/>
      </c>
      <c r="HI173" s="55">
        <f>SUMIFS(tblBudget[Ore_Mined_t],tblBudget[Month],$E173)</f>
        <v/>
      </c>
      <c r="HJ173" s="55">
        <f>$HI173*$C173/$D173</f>
        <v/>
      </c>
      <c r="HK173" s="55">
        <f>SUMIFS(tblBudget[Ore_Mined_t],tblBudget[Month],"&lt;"&amp;$E173)+$HJ173</f>
        <v/>
      </c>
      <c r="HL173" s="55">
        <f>SUMIFS(tblBudget[Ore_oz],tblBudget[Month],$E173)</f>
        <v/>
      </c>
      <c r="HM173" s="55">
        <f>$HL173*$C173/$D173</f>
        <v/>
      </c>
      <c r="HN173" s="55">
        <f>SUMIFS(tblBudget[Ore_oz],tblBudget[Month],"&lt;"&amp;$E173)+$HM173</f>
        <v/>
      </c>
      <c r="HO173" s="56">
        <f>IFERROR(IF(($HI173)&gt;0,($HL173*cfg_TroyOz)/($HI173),""),"")</f>
        <v/>
      </c>
      <c r="HP173" s="56">
        <f>IFERROR(IF(($HJ173)&gt;0,($HM173*cfg_TroyOz)/($HJ173),""),"")</f>
        <v/>
      </c>
      <c r="HQ173" s="56">
        <f>IFERROR(IF(($HK173)&gt;0,($HN173*cfg_TroyOz)/($HK173),""),"")</f>
        <v/>
      </c>
      <c r="HR173" s="55">
        <f>SUMIFS(tblBudget[Waste_t],tblBudget[Month],$E173)</f>
        <v/>
      </c>
      <c r="HS173" s="55">
        <f>$HR173*$C173/$D173</f>
        <v/>
      </c>
      <c r="HT173" s="55">
        <f>SUMIFS(tblBudget[Waste_t],tblBudget[Month],"&lt;"&amp;$E173)+$HS173</f>
        <v/>
      </c>
      <c r="HU173" s="55">
        <f>SUMIFS(tblBudget[TMM_t],tblBudget[Month],$E173)</f>
        <v/>
      </c>
      <c r="HV173" s="55">
        <f>$HU173*$C173/$D173</f>
        <v/>
      </c>
      <c r="HW173" s="55">
        <f>SUMIFS(tblBudget[TMM_t],tblBudget[Month],"&lt;"&amp;$E173)+$HV173</f>
        <v/>
      </c>
      <c r="HX173" s="56">
        <f>IFERROR(IF(($HI173)&gt;0,($HR173)/($HI173),""),"")</f>
        <v/>
      </c>
      <c r="HY173" s="56">
        <f>IFERROR(IF(($HJ173)&gt;0,($HS173)/($HJ173),""),"")</f>
        <v/>
      </c>
      <c r="HZ173" s="56">
        <f>IFERROR(IF(($HK173)&gt;0,($HT173)/($HK173),""),"")</f>
        <v/>
      </c>
      <c r="IA173" s="55">
        <f>SUMIFS(tblBudget[Drill_m],tblBudget[Month],$E173)</f>
        <v/>
      </c>
      <c r="IB173" s="55">
        <f>$IA173*$C173/$D173</f>
        <v/>
      </c>
      <c r="IC173" s="55">
        <f>SUMIFS(tblBudget[Drill_m],tblBudget[Month],"&lt;"&amp;$E173)+$IB173</f>
        <v/>
      </c>
      <c r="ID173" s="55">
        <f>SUMIFS(tblBudget[Diesel_L],tblBudget[Month],$E173)</f>
        <v/>
      </c>
      <c r="IE173" s="55">
        <f>$ID173*$C173/$D173</f>
        <v/>
      </c>
      <c r="IF173" s="55">
        <f>SUMIFS(tblBudget[Diesel_L],tblBudget[Month],"&lt;"&amp;$E173)+$IE173</f>
        <v/>
      </c>
      <c r="IG173" s="55">
        <f>SUMIFS(tblBudget[Milled_t],tblBudget[Month],$E173)</f>
        <v/>
      </c>
      <c r="IH173" s="55">
        <f>$IG173*$C173/$D173</f>
        <v/>
      </c>
      <c r="II173" s="55">
        <f>SUMIFS(tblBudget[Milled_t],tblBudget[Month],"&lt;"&amp;$E173)+$IH173</f>
        <v/>
      </c>
      <c r="IJ173" s="55">
        <f>SUMIFS(tblBudget[Feed_oz],tblBudget[Month],$E173)</f>
        <v/>
      </c>
      <c r="IK173" s="55">
        <f>$IJ173*$C173/$D173</f>
        <v/>
      </c>
      <c r="IL173" s="55">
        <f>SUMIFS(tblBudget[Feed_oz],tblBudget[Month],"&lt;"&amp;$E173)+$IK173</f>
        <v/>
      </c>
      <c r="IM173" s="55">
        <f>SUMIFS(tblBudget[Recovered_oz],tblBudget[Month],$E173)</f>
        <v/>
      </c>
      <c r="IN173" s="55">
        <f>$IM173*$C173/$D173</f>
        <v/>
      </c>
      <c r="IO173" s="55">
        <f>SUMIFS(tblBudget[Recovered_oz],tblBudget[Month],"&lt;"&amp;$E173)+$IN173</f>
        <v/>
      </c>
      <c r="IP173" s="56">
        <f>IFERROR(IF(($IG173)&gt;0,($IJ173*cfg_TroyOz)/($IG173),""),"")</f>
        <v/>
      </c>
      <c r="IQ173" s="56">
        <f>IFERROR(IF(($IH173)&gt;0,($IK173*cfg_TroyOz)/($IH173),""),"")</f>
        <v/>
      </c>
      <c r="IR173" s="56">
        <f>IFERROR(IF(($II173)&gt;0,($IL173*cfg_TroyOz)/($II173),""),"")</f>
        <v/>
      </c>
      <c r="IS173" s="67">
        <f>IFERROR(IF(($IJ173)&gt;0,($IM173)/($IJ173),""),"")</f>
        <v/>
      </c>
      <c r="IT173" s="67">
        <f>IFERROR(IF(($IK173)&gt;0,($IN173)/($IK173),""),"")</f>
        <v/>
      </c>
      <c r="IU173" s="67">
        <f>IFERROR(IF(($IL173)&gt;0,($IO173)/($IL173),""),"")</f>
        <v/>
      </c>
      <c r="IV173" s="55">
        <f>SUMIFS(tblBudget[Gold_Poured_oz],tblBudget[Month],$E173)</f>
        <v/>
      </c>
      <c r="IW173" s="55">
        <f>$IV173*$C173/$D173</f>
        <v/>
      </c>
      <c r="IX173" s="55">
        <f>SUMIFS(tblBudget[Gold_Poured_oz],tblBudget[Month],"&lt;"&amp;$E173)+$IW173</f>
        <v/>
      </c>
      <c r="IY173" s="57">
        <f>SUMIFS(tblBudget[Hours_Worked],tblBudget[Month],$E173)</f>
        <v/>
      </c>
      <c r="IZ173" s="57">
        <f>$IY173*$C173/$D173</f>
        <v/>
      </c>
      <c r="JA173" s="57">
        <f>SUMIFS(tblBudget[Hours_Worked],tblBudget[Month],"&lt;"&amp;$E173)+$IZ173</f>
        <v/>
      </c>
    </row>
    <row r="174">
      <c r="A174" s="54" t="n">
        <v>46195</v>
      </c>
      <c r="B174">
        <f>MONTH($A174)</f>
        <v/>
      </c>
      <c r="C174">
        <f>DAY($A174)</f>
        <v/>
      </c>
      <c r="D174">
        <f>DAY(EOMONTH($A174,0))</f>
        <v/>
      </c>
      <c r="E174" s="54">
        <f>DATE(YEAR($A174),MONTH($A174),1)</f>
        <v/>
      </c>
      <c r="F174" s="55">
        <f>SUMIFS(tblMovement[Tonnes_t],tblMovement[Date],$A174,tblMovement[Is_Ore],1,tblMovement[Source_Type],"Pit")</f>
        <v/>
      </c>
      <c r="G174" s="55">
        <f>IF($B174=$B173,$G173,0)+$F174</f>
        <v/>
      </c>
      <c r="H174" s="55">
        <f>$H173+$F174</f>
        <v/>
      </c>
      <c r="I174" s="55">
        <f>SUMIFS(tblMovement[Ore_oz],tblMovement[Date],$A174,tblMovement[Source_Type],"Pit")</f>
        <v/>
      </c>
      <c r="J174" s="55">
        <f>IF($B174=$B173,$J173,0)+$I174</f>
        <v/>
      </c>
      <c r="K174" s="55">
        <f>$K173+$I174</f>
        <v/>
      </c>
      <c r="L174" s="56">
        <f>IFERROR(IF(($F174)&gt;0,($I174*cfg_TroyOz)/($F174),""),"")</f>
        <v/>
      </c>
      <c r="M174" s="56">
        <f>IFERROR(IF(($G174)&gt;0,($J174*cfg_TroyOz)/($G174),""),"")</f>
        <v/>
      </c>
      <c r="N174" s="56">
        <f>IFERROR(IF(($H174)&gt;0,($K174*cfg_TroyOz)/($H174),""),"")</f>
        <v/>
      </c>
      <c r="O174" s="55">
        <f>SUMIFS(tblMovement[Tonnes_t],tblMovement[Date],$A174,tblMovement[Is_Ore],0,tblMovement[Source_Type],"Pit")</f>
        <v/>
      </c>
      <c r="P174" s="55">
        <f>IF($B174=$B173,$P173,0)+$O174</f>
        <v/>
      </c>
      <c r="Q174" s="55">
        <f>$Q173+$O174</f>
        <v/>
      </c>
      <c r="R174" s="55">
        <f>$F174+$O174</f>
        <v/>
      </c>
      <c r="S174" s="55">
        <f>IF($B174=$B173,$S173,0)+$R174</f>
        <v/>
      </c>
      <c r="T174" s="55">
        <f>$T173+$R174</f>
        <v/>
      </c>
      <c r="U174" s="56">
        <f>IFERROR(IF(($F174)&gt;0,($O174)/($F174),""),"")</f>
        <v/>
      </c>
      <c r="V174" s="56">
        <f>IFERROR(IF(($G174)&gt;0,($P174)/($G174),""),"")</f>
        <v/>
      </c>
      <c r="W174" s="56">
        <f>IFERROR(IF(($H174)&gt;0,($Q174)/($H174),""),"")</f>
        <v/>
      </c>
      <c r="X174" s="55">
        <f>SUMIFS(tblMovement[Tonnes_t],tblMovement[Date],$A174,tblMovement[Source_Type],"Stockpile")</f>
        <v/>
      </c>
      <c r="Y174" s="55">
        <f>IF($B174=$B173,$Y173,0)+$X174</f>
        <v/>
      </c>
      <c r="Z174" s="55">
        <f>$Z173+$X174</f>
        <v/>
      </c>
      <c r="AA174" s="55">
        <f>SUMIFS(tblMiningDaily[Drill_m],tblMiningDaily[Date],$A174)</f>
        <v/>
      </c>
      <c r="AB174" s="55">
        <f>IF($B174=$B173,$AB173,0)+$AA174</f>
        <v/>
      </c>
      <c r="AC174" s="55">
        <f>$AC173+$AA174</f>
        <v/>
      </c>
      <c r="AD174" s="55">
        <f>SUMIFS(tblMiningDaily[Blast_t],tblMiningDaily[Date],$A174)</f>
        <v/>
      </c>
      <c r="AE174" s="55">
        <f>IF($B174=$B173,$AE173,0)+$AD174</f>
        <v/>
      </c>
      <c r="AF174" s="55">
        <f>$AF173+$AD174</f>
        <v/>
      </c>
      <c r="AG174" s="55">
        <f>SUMIFS(tblMiningDaily[Explosives_kg],tblMiningDaily[Date],$A174)</f>
        <v/>
      </c>
      <c r="AH174" s="55">
        <f>IF($B174=$B173,$AH173,0)+$AG174</f>
        <v/>
      </c>
      <c r="AI174" s="55">
        <f>$AI173+$AG174</f>
        <v/>
      </c>
      <c r="AJ174" s="56">
        <f>IFERROR(IF(($AD174)&gt;0,($AG174)/($AD174),""),"")</f>
        <v/>
      </c>
      <c r="AK174" s="56">
        <f>IFERROR(IF(($AE174)&gt;0,($AH174)/($AE174),""),"")</f>
        <v/>
      </c>
      <c r="AL174" s="56">
        <f>IFERROR(IF(($AF174)&gt;0,($AI174)/($AF174),""),"")</f>
        <v/>
      </c>
      <c r="AM174" s="55">
        <f>SUMIFS(tblMiningDaily[Diesel_L],tblMiningDaily[Date],$A174)</f>
        <v/>
      </c>
      <c r="AN174" s="55">
        <f>IF($B174=$B173,$AN173,0)+$AM174</f>
        <v/>
      </c>
      <c r="AO174" s="55">
        <f>$AO173+$AM174</f>
        <v/>
      </c>
      <c r="AP174" s="55">
        <f>SUMIFS(tblMiningDaily[Dewatering_m3],tblMiningDaily[Date],$A174)</f>
        <v/>
      </c>
      <c r="AQ174" s="55">
        <f>IF($B174=$B173,$AQ173,0)+$AP174</f>
        <v/>
      </c>
      <c r="AR174" s="55">
        <f>$AR173+$AP174</f>
        <v/>
      </c>
      <c r="AS174" s="57">
        <f>SUMIFS(tblFleet[Calendar_h],tblFleet[Date],$A174,tblFleet[Equipment_Class],"Excavator")</f>
        <v/>
      </c>
      <c r="AT174" s="57">
        <f>IF($B174=$B173,$AT173,0)+$AS174</f>
        <v/>
      </c>
      <c r="AU174" s="57">
        <f>$AU173+$AS174</f>
        <v/>
      </c>
      <c r="AV174" s="57">
        <f>SUMIFS(tblFleet[Available_h],tblFleet[Date],$A174,tblFleet[Equipment_Class],"Excavator")</f>
        <v/>
      </c>
      <c r="AW174" s="57">
        <f>IF($B174=$B173,$AW173,0)+$AV174</f>
        <v/>
      </c>
      <c r="AX174" s="57">
        <f>$AX173+$AV174</f>
        <v/>
      </c>
      <c r="AY174" s="57">
        <f>SUMIFS(tblFleet[Operating_h],tblFleet[Date],$A174,tblFleet[Equipment_Class],"Excavator")</f>
        <v/>
      </c>
      <c r="AZ174" s="57">
        <f>IF($B174=$B173,$AZ173,0)+$AY174</f>
        <v/>
      </c>
      <c r="BA174" s="57">
        <f>$BA173+$AY174</f>
        <v/>
      </c>
      <c r="BB174" s="67">
        <f>IFERROR(IF(($AS174)&gt;0,($AV174)/($AS174),""),"")</f>
        <v/>
      </c>
      <c r="BC174" s="67">
        <f>IFERROR(IF(($AT174)&gt;0,($AW174)/($AT174),""),"")</f>
        <v/>
      </c>
      <c r="BD174" s="67">
        <f>IFERROR(IF(($AU174)&gt;0,($AX174)/($AU174),""),"")</f>
        <v/>
      </c>
      <c r="BE174" s="67">
        <f>IFERROR(IF(($AV174)&gt;0,($AY174)/($AV174),""),"")</f>
        <v/>
      </c>
      <c r="BF174" s="67">
        <f>IFERROR(IF(($AW174)&gt;0,($AZ174)/($AW174),""),"")</f>
        <v/>
      </c>
      <c r="BG174" s="67">
        <f>IFERROR(IF(($AX174)&gt;0,($BA174)/($AX174),""),"")</f>
        <v/>
      </c>
      <c r="BH174" s="57">
        <f>SUMIFS(tblFleet[Calendar_h],tblFleet[Date],$A174,tblFleet[Equipment_Class],"Haul Truck")</f>
        <v/>
      </c>
      <c r="BI174" s="57">
        <f>IF($B174=$B173,$BI173,0)+$BH174</f>
        <v/>
      </c>
      <c r="BJ174" s="57">
        <f>$BJ173+$BH174</f>
        <v/>
      </c>
      <c r="BK174" s="57">
        <f>SUMIFS(tblFleet[Available_h],tblFleet[Date],$A174,tblFleet[Equipment_Class],"Haul Truck")</f>
        <v/>
      </c>
      <c r="BL174" s="57">
        <f>IF($B174=$B173,$BL173,0)+$BK174</f>
        <v/>
      </c>
      <c r="BM174" s="57">
        <f>$BM173+$BK174</f>
        <v/>
      </c>
      <c r="BN174" s="57">
        <f>SUMIFS(tblFleet[Operating_h],tblFleet[Date],$A174,tblFleet[Equipment_Class],"Haul Truck")</f>
        <v/>
      </c>
      <c r="BO174" s="57">
        <f>IF($B174=$B173,$BO173,0)+$BN174</f>
        <v/>
      </c>
      <c r="BP174" s="57">
        <f>$BP173+$BN174</f>
        <v/>
      </c>
      <c r="BQ174" s="67">
        <f>IFERROR(IF(($BH174)&gt;0,($BK174)/($BH174),""),"")</f>
        <v/>
      </c>
      <c r="BR174" s="67">
        <f>IFERROR(IF(($BI174)&gt;0,($BL174)/($BI174),""),"")</f>
        <v/>
      </c>
      <c r="BS174" s="67">
        <f>IFERROR(IF(($BJ174)&gt;0,($BM174)/($BJ174),""),"")</f>
        <v/>
      </c>
      <c r="BT174" s="67">
        <f>IFERROR(IF(($BK174)&gt;0,($BN174)/($BK174),""),"")</f>
        <v/>
      </c>
      <c r="BU174" s="67">
        <f>IFERROR(IF(($BL174)&gt;0,($BO174)/($BL174),""),"")</f>
        <v/>
      </c>
      <c r="BV174" s="67">
        <f>IFERROR(IF(($BM174)&gt;0,($BP174)/($BM174),""),"")</f>
        <v/>
      </c>
      <c r="BW174" s="55">
        <f>SUMIFS(tblPlant[Crushed_t],tblPlant[Date],$A174)</f>
        <v/>
      </c>
      <c r="BX174" s="55">
        <f>IF($B174=$B173,$BX173,0)+$BW174</f>
        <v/>
      </c>
      <c r="BY174" s="55">
        <f>$BY173+$BW174</f>
        <v/>
      </c>
      <c r="BZ174" s="55">
        <f>SUMIFS(tblPlant[Milled_t],tblPlant[Date],$A174)</f>
        <v/>
      </c>
      <c r="CA174" s="55">
        <f>IF($B174=$B173,$CA173,0)+$BZ174</f>
        <v/>
      </c>
      <c r="CB174" s="55">
        <f>$CB173+$BZ174</f>
        <v/>
      </c>
      <c r="CC174" s="55">
        <f>SUMIFS(tblPlant[Feed_oz],tblPlant[Date],$A174)</f>
        <v/>
      </c>
      <c r="CD174" s="55">
        <f>IF($B174=$B173,$CD173,0)+$CC174</f>
        <v/>
      </c>
      <c r="CE174" s="55">
        <f>$CE173+$CC174</f>
        <v/>
      </c>
      <c r="CF174" s="55">
        <f>SUMIFS(tblPlant[Tails_oz],tblPlant[Date],$A174)</f>
        <v/>
      </c>
      <c r="CG174" s="55">
        <f>IF($B174=$B173,$CG173,0)+$CF174</f>
        <v/>
      </c>
      <c r="CH174" s="55">
        <f>$CH173+$CF174</f>
        <v/>
      </c>
      <c r="CI174" s="55">
        <f>SUMIFS(tblPlant[Recovered_oz],tblPlant[Date],$A174)</f>
        <v/>
      </c>
      <c r="CJ174" s="55">
        <f>IF($B174=$B173,$CJ173,0)+$CI174</f>
        <v/>
      </c>
      <c r="CK174" s="55">
        <f>$CK173+$CI174</f>
        <v/>
      </c>
      <c r="CL174" s="56">
        <f>IFERROR(IF(($BZ174)&gt;0,($CC174*cfg_TroyOz)/($BZ174),""),"")</f>
        <v/>
      </c>
      <c r="CM174" s="56">
        <f>IFERROR(IF(($CA174)&gt;0,($CD174*cfg_TroyOz)/($CA174),""),"")</f>
        <v/>
      </c>
      <c r="CN174" s="56">
        <f>IFERROR(IF(($CB174)&gt;0,($CE174*cfg_TroyOz)/($CB174),""),"")</f>
        <v/>
      </c>
      <c r="CO174" s="56">
        <f>IFERROR(IF(($BZ174)&gt;0,($CF174*cfg_TroyOz)/($BZ174),""),"")</f>
        <v/>
      </c>
      <c r="CP174" s="56">
        <f>IFERROR(IF(($CA174)&gt;0,($CG174*cfg_TroyOz)/($CA174),""),"")</f>
        <v/>
      </c>
      <c r="CQ174" s="56">
        <f>IFERROR(IF(($CB174)&gt;0,($CH174*cfg_TroyOz)/($CB174),""),"")</f>
        <v/>
      </c>
      <c r="CR174" s="67">
        <f>IFERROR(IF(($CC174)&gt;0,($CI174)/($CC174),""),"")</f>
        <v/>
      </c>
      <c r="CS174" s="67">
        <f>IFERROR(IF(($CD174)&gt;0,($CJ174)/($CD174),""),"")</f>
        <v/>
      </c>
      <c r="CT174" s="67">
        <f>IFERROR(IF(($CE174)&gt;0,($CK174)/($CE174),""),"")</f>
        <v/>
      </c>
      <c r="CU174" s="55">
        <f>SUMIFS(tblPlant[Gravity_Gold_oz],tblPlant[Date],$A174)</f>
        <v/>
      </c>
      <c r="CV174" s="55">
        <f>IF($B174=$B173,$CV173,0)+$CU174</f>
        <v/>
      </c>
      <c r="CW174" s="55">
        <f>$CW173+$CU174</f>
        <v/>
      </c>
      <c r="CX174" s="55">
        <f>SUMIFS(tblPlant[Gold_Poured_oz],tblPlant[Date],$A174)</f>
        <v/>
      </c>
      <c r="CY174" s="55">
        <f>IF($B174=$B173,$CY173,0)+$CX174</f>
        <v/>
      </c>
      <c r="CZ174" s="55">
        <f>$CZ173+$CX174</f>
        <v/>
      </c>
      <c r="DA174" s="57">
        <f>SUMIFS(tblPlant[Mill_Run_h],tblPlant[Date],$A174)</f>
        <v/>
      </c>
      <c r="DB174" s="57">
        <f>IF($B174=$B173,$DB173,0)+$DA174</f>
        <v/>
      </c>
      <c r="DC174" s="57">
        <f>$DC173+$DA174</f>
        <v/>
      </c>
      <c r="DD174" s="57">
        <f>SUMIFS(tblPlant[Mill_Planned_Maint_h],tblPlant[Date],$A174)</f>
        <v/>
      </c>
      <c r="DE174" s="57">
        <f>IF($B174=$B173,$DE173,0)+$DD174</f>
        <v/>
      </c>
      <c r="DF174" s="57">
        <f>$DF173+$DD174</f>
        <v/>
      </c>
      <c r="DG174" s="57">
        <f>SUMIFS(tblPlant[Mill_Unplanned_Down_h],tblPlant[Date],$A174)</f>
        <v/>
      </c>
      <c r="DH174" s="57">
        <f>IF($B174=$B173,$DH173,0)+$DG174</f>
        <v/>
      </c>
      <c r="DI174" s="57">
        <f>$DI173+$DG174</f>
        <v/>
      </c>
      <c r="DJ174" s="57">
        <f>COUNTIFS(tblPlant[Date],$A174,tblPlant[Mill_Run_h],"&lt;&gt;")*24</f>
        <v/>
      </c>
      <c r="DK174" s="57">
        <f>IF($B174=$B173,$DK173,0)+$DJ174</f>
        <v/>
      </c>
      <c r="DL174" s="57">
        <f>$DL173+$DJ174</f>
        <v/>
      </c>
      <c r="DM174" s="57">
        <f>SUMIFS(tblPlant[Crusher_Run_h],tblPlant[Date],$A174)</f>
        <v/>
      </c>
      <c r="DN174" s="57">
        <f>IF($B174=$B173,$DN173,0)+$DM174</f>
        <v/>
      </c>
      <c r="DO174" s="57">
        <f>$DO173+$DM174</f>
        <v/>
      </c>
      <c r="DP174" s="55">
        <f>IFERROR(IF(($DA174)&gt;0,($BZ174)/($DA174),""),"")</f>
        <v/>
      </c>
      <c r="DQ174" s="55">
        <f>IFERROR(IF(($DB174)&gt;0,($CA174)/($DB174),""),"")</f>
        <v/>
      </c>
      <c r="DR174" s="55">
        <f>IFERROR(IF(($DC174)&gt;0,($CB174)/($DC174),""),"")</f>
        <v/>
      </c>
      <c r="DS174" s="67">
        <f>IFERROR(IF(($DJ174)&gt;0,($DJ174-$DD174-$DG174)/($DJ174),""),"")</f>
        <v/>
      </c>
      <c r="DT174" s="67">
        <f>IFERROR(IF(($DK174)&gt;0,($DK174-$DE174-$DH174)/($DK174),""),"")</f>
        <v/>
      </c>
      <c r="DU174" s="67">
        <f>IFERROR(IF(($DL174)&gt;0,($DL174-$DF174-$DI174)/($DL174),""),"")</f>
        <v/>
      </c>
      <c r="DV174" s="67">
        <f>IFERROR(IF(($DJ174-$DD174-$DG174)&gt;0,($DA174)/($DJ174-$DD174-$DG174),""),"")</f>
        <v/>
      </c>
      <c r="DW174" s="67">
        <f>IFERROR(IF(($DK174-$DE174-$DH174)&gt;0,($DB174)/($DK174-$DE174-$DH174),""),"")</f>
        <v/>
      </c>
      <c r="DX174" s="67">
        <f>IFERROR(IF(($DL174-$DF174-$DI174)&gt;0,($DC174)/($DL174-$DF174-$DI174),""),"")</f>
        <v/>
      </c>
      <c r="DY174" s="55">
        <f>SUMIFS(tblPlant[Cyanide_kg],tblPlant[Date],$A174)</f>
        <v/>
      </c>
      <c r="DZ174" s="55">
        <f>IF($B174=$B173,$DZ173,0)+$DY174</f>
        <v/>
      </c>
      <c r="EA174" s="55">
        <f>$EA173+$DY174</f>
        <v/>
      </c>
      <c r="EB174" s="55">
        <f>SUMIFS(tblPlant[Lime_kg],tblPlant[Date],$A174)</f>
        <v/>
      </c>
      <c r="EC174" s="55">
        <f>IF($B174=$B173,$EC173,0)+$EB174</f>
        <v/>
      </c>
      <c r="ED174" s="55">
        <f>$ED173+$EB174</f>
        <v/>
      </c>
      <c r="EE174" s="55">
        <f>SUMIFS(tblPlant[Grinding_Media_kg],tblPlant[Date],$A174)</f>
        <v/>
      </c>
      <c r="EF174" s="55">
        <f>IF($B174=$B173,$EF173,0)+$EE174</f>
        <v/>
      </c>
      <c r="EG174" s="55">
        <f>$EG173+$EE174</f>
        <v/>
      </c>
      <c r="EH174" s="55">
        <f>SUMIFS(tblPlant[Power_kWh],tblPlant[Date],$A174)</f>
        <v/>
      </c>
      <c r="EI174" s="55">
        <f>IF($B174=$B173,$EI173,0)+$EH174</f>
        <v/>
      </c>
      <c r="EJ174" s="55">
        <f>$EJ173+$EH174</f>
        <v/>
      </c>
      <c r="EK174" s="55">
        <f>SUMIFS(tblPlant[Raw_Water_m3],tblPlant[Date],$A174)</f>
        <v/>
      </c>
      <c r="EL174" s="55">
        <f>IF($B174=$B173,$EL173,0)+$EK174</f>
        <v/>
      </c>
      <c r="EM174" s="55">
        <f>$EM173+$EK174</f>
        <v/>
      </c>
      <c r="EN174" s="56">
        <f>IFERROR(IF(($BZ174)&gt;0,($DY174)/($BZ174),""),"")</f>
        <v/>
      </c>
      <c r="EO174" s="56">
        <f>IFERROR(IF(($CA174)&gt;0,($DZ174)/($CA174),""),"")</f>
        <v/>
      </c>
      <c r="EP174" s="56">
        <f>IFERROR(IF(($CB174)&gt;0,($EA174)/($CB174),""),"")</f>
        <v/>
      </c>
      <c r="EQ174" s="56">
        <f>IFERROR(IF(($BZ174)&gt;0,($EB174)/($BZ174),""),"")</f>
        <v/>
      </c>
      <c r="ER174" s="56">
        <f>IFERROR(IF(($CA174)&gt;0,($EC174)/($CA174),""),"")</f>
        <v/>
      </c>
      <c r="ES174" s="56">
        <f>IFERROR(IF(($CB174)&gt;0,($ED174)/($CB174),""),"")</f>
        <v/>
      </c>
      <c r="ET174" s="56">
        <f>IFERROR(IF(($BZ174)&gt;0,($EE174)/($BZ174),""),"")</f>
        <v/>
      </c>
      <c r="EU174" s="56">
        <f>IFERROR(IF(($CA174)&gt;0,($EF174)/($CA174),""),"")</f>
        <v/>
      </c>
      <c r="EV174" s="56">
        <f>IFERROR(IF(($CB174)&gt;0,($EG174)/($CB174),""),"")</f>
        <v/>
      </c>
      <c r="EW174" s="76">
        <f>IFERROR(IF(($BZ174)&gt;0,($EH174)/($BZ174),""),"")</f>
        <v/>
      </c>
      <c r="EX174" s="76">
        <f>IFERROR(IF(($CA174)&gt;0,($EI174)/($CA174),""),"")</f>
        <v/>
      </c>
      <c r="EY174" s="76">
        <f>IFERROR(IF(($CB174)&gt;0,($EJ174)/($CB174),""),"")</f>
        <v/>
      </c>
      <c r="EZ174" s="56">
        <f>IFERROR(IF(($BZ174)&gt;0,($EK174)/($BZ174),""),"")</f>
        <v/>
      </c>
      <c r="FA174" s="56">
        <f>IFERROR(IF(($CA174)&gt;0,($EL174)/($CA174),""),"")</f>
        <v/>
      </c>
      <c r="FB174" s="56">
        <f>IFERROR(IF(($CB174)&gt;0,($EM174)/($CB174),""),"")</f>
        <v/>
      </c>
      <c r="FC174" s="55">
        <f>IF(SUMIFS(tblPlant[GIC_oz],tblPlant[Date],$A174)&gt;0,SUMIFS(tblPlant[GIC_oz],tblPlant[Date],$A174),"")</f>
        <v/>
      </c>
      <c r="FD174" s="55">
        <f>SUMIFS(tblGold[Gold_oz],tblGold[Date],$A174,tblGold[Type],"Shipment")</f>
        <v/>
      </c>
      <c r="FE174" s="55">
        <f>IF($B174=$B173,$FE173,0)+$FD174</f>
        <v/>
      </c>
      <c r="FF174" s="55">
        <f>$FF173+$FD174</f>
        <v/>
      </c>
      <c r="FG174" s="55">
        <f>SUMIFS(tblGold[Gold_oz],tblGold[Date],$A174,tblGold[Type],"Sale")</f>
        <v/>
      </c>
      <c r="FH174" s="55">
        <f>IF($B174=$B173,$FH173,0)+$FG174</f>
        <v/>
      </c>
      <c r="FI174" s="55">
        <f>$FI173+$FG174</f>
        <v/>
      </c>
      <c r="FJ174" s="55">
        <f>SUMIFS(tblGold[Dore_kg],tblGold[Date],$A174,tblGold[Type],"Shipment")</f>
        <v/>
      </c>
      <c r="FK174" s="55">
        <f>IF($B174=$B173,$FK173,0)+$FJ174</f>
        <v/>
      </c>
      <c r="FL174" s="55">
        <f>$FL173+$FJ174</f>
        <v/>
      </c>
      <c r="FM174" s="57">
        <f>SUMIFS(tblSafety[Hours_Total],tblSafety[Date],$A174)</f>
        <v/>
      </c>
      <c r="FN174" s="57">
        <f>IF($B174=$B173,$FN173,0)+$FM174</f>
        <v/>
      </c>
      <c r="FO174" s="57">
        <f>$FO173+$FM174</f>
        <v/>
      </c>
      <c r="FP174" s="62">
        <f>SUMIFS(tblSafety[Fatality],tblSafety[Date],$A174)</f>
        <v/>
      </c>
      <c r="FQ174" s="62">
        <f>IF($B174=$B173,$FQ173,0)+$FP174</f>
        <v/>
      </c>
      <c r="FR174" s="62">
        <f>$FR173+$FP174</f>
        <v/>
      </c>
      <c r="FS174" s="62">
        <f>SUMIFS(tblSafety[LTI],tblSafety[Date],$A174)</f>
        <v/>
      </c>
      <c r="FT174" s="62">
        <f>IF($B174=$B173,$FT173,0)+$FS174</f>
        <v/>
      </c>
      <c r="FU174" s="62">
        <f>$FU173+$FS174</f>
        <v/>
      </c>
      <c r="FV174" s="62">
        <f>SUMIFS(tblSafety[RWI],tblSafety[Date],$A174)</f>
        <v/>
      </c>
      <c r="FW174" s="62">
        <f>IF($B174=$B173,$FW173,0)+$FV174</f>
        <v/>
      </c>
      <c r="FX174" s="62">
        <f>$FX173+$FV174</f>
        <v/>
      </c>
      <c r="FY174" s="62">
        <f>SUMIFS(tblSafety[MTI],tblSafety[Date],$A174)</f>
        <v/>
      </c>
      <c r="FZ174" s="62">
        <f>IF($B174=$B173,$FZ173,0)+$FY174</f>
        <v/>
      </c>
      <c r="GA174" s="62">
        <f>$GA173+$FY174</f>
        <v/>
      </c>
      <c r="GB174" s="62">
        <f>SUMIFS(tblSafety[FAI],tblSafety[Date],$A174)</f>
        <v/>
      </c>
      <c r="GC174" s="62">
        <f>IF($B174=$B173,$GC173,0)+$GB174</f>
        <v/>
      </c>
      <c r="GD174" s="62">
        <f>$GD173+$GB174</f>
        <v/>
      </c>
      <c r="GE174" s="62">
        <f>SUMIFS(tblSafety[Recordables],tblSafety[Date],$A174)</f>
        <v/>
      </c>
      <c r="GF174" s="62">
        <f>IF($B174=$B173,$GF173,0)+$GE174</f>
        <v/>
      </c>
      <c r="GG174" s="62">
        <f>$GG173+$GE174</f>
        <v/>
      </c>
      <c r="GH174" s="62">
        <f>SUMIFS(tblSafety[Near_Miss],tblSafety[Date],$A174)</f>
        <v/>
      </c>
      <c r="GI174" s="62">
        <f>IF($B174=$B173,$GI173,0)+$GH174</f>
        <v/>
      </c>
      <c r="GJ174" s="62">
        <f>$GJ173+$GH174</f>
        <v/>
      </c>
      <c r="GK174" s="62">
        <f>SUMIFS(tblSafety[Hazard_Reports],tblSafety[Date],$A174)</f>
        <v/>
      </c>
      <c r="GL174" s="62">
        <f>IF($B174=$B173,$GL173,0)+$GK174</f>
        <v/>
      </c>
      <c r="GM174" s="62">
        <f>$GM173+$GK174</f>
        <v/>
      </c>
      <c r="GN174" s="62">
        <f>SUMIFS(tblSafety[HPI],tblSafety[Date],$A174)</f>
        <v/>
      </c>
      <c r="GO174" s="62">
        <f>IF($B174=$B173,$GO173,0)+$GN174</f>
        <v/>
      </c>
      <c r="GP174" s="62">
        <f>$GP173+$GN174</f>
        <v/>
      </c>
      <c r="GQ174" s="62">
        <f>SUMIFS(tblSafety[Env_Incidents],tblSafety[Date],$A174)</f>
        <v/>
      </c>
      <c r="GR174" s="62">
        <f>IF($B174=$B173,$GR173,0)+$GQ174</f>
        <v/>
      </c>
      <c r="GS174" s="62">
        <f>$GS173+$GQ174</f>
        <v/>
      </c>
      <c r="GT174" s="62">
        <f>SUMIFS(tblSafety[Community_Incidents],tblSafety[Date],$A174)</f>
        <v/>
      </c>
      <c r="GU174" s="62">
        <f>IF($B174=$B173,$GU173,0)+$GT174</f>
        <v/>
      </c>
      <c r="GV174" s="62">
        <f>$GV173+$GT174</f>
        <v/>
      </c>
      <c r="GW174" s="62">
        <f>SUMIFS(tblSafety[Vehicle_Incidents],tblSafety[Date],$A174)</f>
        <v/>
      </c>
      <c r="GX174" s="62">
        <f>IF($B174=$B173,$GX173,0)+$GW174</f>
        <v/>
      </c>
      <c r="GY174" s="62">
        <f>$GY173+$GW174</f>
        <v/>
      </c>
      <c r="GZ174" s="62">
        <f>SUMIFS(tblSafety[Toolbox_Talks],tblSafety[Date],$A174)</f>
        <v/>
      </c>
      <c r="HA174" s="62">
        <f>IF($B174=$B173,$HA173,0)+$GZ174</f>
        <v/>
      </c>
      <c r="HB174" s="62">
        <f>$HB173+$GZ174</f>
        <v/>
      </c>
      <c r="HC174" s="62">
        <f>SUMIFS(tblSafety[Inspections],tblSafety[Date],$A174)</f>
        <v/>
      </c>
      <c r="HD174" s="62">
        <f>IF($B174=$B173,$HD173,0)+$HC174</f>
        <v/>
      </c>
      <c r="HE174" s="62">
        <f>$HE173+$HC174</f>
        <v/>
      </c>
      <c r="HF174" s="56">
        <f>IFERROR((SUMIFS(tblSafety[Recordables],tblSafety[Date],"&gt;="&amp;EDATE($E174,-12),tblSafety[Date],"&lt;="&amp;$A174)+SUMIFS(tblSafetyHistory[Recordables],tblSafetyHistory[Month],"&gt;="&amp;EDATE($E174,-12),tblSafetyHistory[Month],"&lt;"&amp;cfg_YearStart))/(SUMIFS(tblSafety[Hours_Total],tblSafety[Date],"&gt;="&amp;EDATE($E174,-12),tblSafety[Date],"&lt;="&amp;$A174)+SUMIFS(tblSafetyHistory[Hours_Total],tblSafetyHistory[Month],"&gt;="&amp;EDATE($E174,-12),tblSafetyHistory[Month],"&lt;"&amp;cfg_YearStart))*1000000,"")</f>
        <v/>
      </c>
      <c r="HG174" s="56">
        <f>IFERROR((SUMIFS(tblSafety[LTI],tblSafety[Date],"&gt;="&amp;EDATE($E174,-12),tblSafety[Date],"&lt;="&amp;$A174)+SUMIFS(tblSafetyHistory[LTI],tblSafetyHistory[Month],"&gt;="&amp;EDATE($E174,-12),tblSafetyHistory[Month],"&lt;"&amp;cfg_YearStart))/(SUMIFS(tblSafety[Hours_Total],tblSafety[Date],"&gt;="&amp;EDATE($E174,-12),tblSafety[Date],"&lt;="&amp;$A174)+SUMIFS(tblSafetyHistory[Hours_Total],tblSafetyHistory[Month],"&gt;="&amp;EDATE($E174,-12),tblSafetyHistory[Month],"&lt;"&amp;cfg_YearStart))*1000000,"")</f>
        <v/>
      </c>
      <c r="HH174" s="62">
        <f>IF(MAX(N(cfg_PriorLTIDate),_xlfn.MAXIFS(tblSafety[Date],tblSafety[LTI],"&gt;0",tblSafety[Date],"&lt;="&amp;$A174))=0,"",$A174-MAX(N(cfg_PriorLTIDate),_xlfn.MAXIFS(tblSafety[Date],tblSafety[LTI],"&gt;0",tblSafety[Date],"&lt;="&amp;$A174)))</f>
        <v/>
      </c>
      <c r="HI174" s="55">
        <f>SUMIFS(tblBudget[Ore_Mined_t],tblBudget[Month],$E174)</f>
        <v/>
      </c>
      <c r="HJ174" s="55">
        <f>$HI174*$C174/$D174</f>
        <v/>
      </c>
      <c r="HK174" s="55">
        <f>SUMIFS(tblBudget[Ore_Mined_t],tblBudget[Month],"&lt;"&amp;$E174)+$HJ174</f>
        <v/>
      </c>
      <c r="HL174" s="55">
        <f>SUMIFS(tblBudget[Ore_oz],tblBudget[Month],$E174)</f>
        <v/>
      </c>
      <c r="HM174" s="55">
        <f>$HL174*$C174/$D174</f>
        <v/>
      </c>
      <c r="HN174" s="55">
        <f>SUMIFS(tblBudget[Ore_oz],tblBudget[Month],"&lt;"&amp;$E174)+$HM174</f>
        <v/>
      </c>
      <c r="HO174" s="56">
        <f>IFERROR(IF(($HI174)&gt;0,($HL174*cfg_TroyOz)/($HI174),""),"")</f>
        <v/>
      </c>
      <c r="HP174" s="56">
        <f>IFERROR(IF(($HJ174)&gt;0,($HM174*cfg_TroyOz)/($HJ174),""),"")</f>
        <v/>
      </c>
      <c r="HQ174" s="56">
        <f>IFERROR(IF(($HK174)&gt;0,($HN174*cfg_TroyOz)/($HK174),""),"")</f>
        <v/>
      </c>
      <c r="HR174" s="55">
        <f>SUMIFS(tblBudget[Waste_t],tblBudget[Month],$E174)</f>
        <v/>
      </c>
      <c r="HS174" s="55">
        <f>$HR174*$C174/$D174</f>
        <v/>
      </c>
      <c r="HT174" s="55">
        <f>SUMIFS(tblBudget[Waste_t],tblBudget[Month],"&lt;"&amp;$E174)+$HS174</f>
        <v/>
      </c>
      <c r="HU174" s="55">
        <f>SUMIFS(tblBudget[TMM_t],tblBudget[Month],$E174)</f>
        <v/>
      </c>
      <c r="HV174" s="55">
        <f>$HU174*$C174/$D174</f>
        <v/>
      </c>
      <c r="HW174" s="55">
        <f>SUMIFS(tblBudget[TMM_t],tblBudget[Month],"&lt;"&amp;$E174)+$HV174</f>
        <v/>
      </c>
      <c r="HX174" s="56">
        <f>IFERROR(IF(($HI174)&gt;0,($HR174)/($HI174),""),"")</f>
        <v/>
      </c>
      <c r="HY174" s="56">
        <f>IFERROR(IF(($HJ174)&gt;0,($HS174)/($HJ174),""),"")</f>
        <v/>
      </c>
      <c r="HZ174" s="56">
        <f>IFERROR(IF(($HK174)&gt;0,($HT174)/($HK174),""),"")</f>
        <v/>
      </c>
      <c r="IA174" s="55">
        <f>SUMIFS(tblBudget[Drill_m],tblBudget[Month],$E174)</f>
        <v/>
      </c>
      <c r="IB174" s="55">
        <f>$IA174*$C174/$D174</f>
        <v/>
      </c>
      <c r="IC174" s="55">
        <f>SUMIFS(tblBudget[Drill_m],tblBudget[Month],"&lt;"&amp;$E174)+$IB174</f>
        <v/>
      </c>
      <c r="ID174" s="55">
        <f>SUMIFS(tblBudget[Diesel_L],tblBudget[Month],$E174)</f>
        <v/>
      </c>
      <c r="IE174" s="55">
        <f>$ID174*$C174/$D174</f>
        <v/>
      </c>
      <c r="IF174" s="55">
        <f>SUMIFS(tblBudget[Diesel_L],tblBudget[Month],"&lt;"&amp;$E174)+$IE174</f>
        <v/>
      </c>
      <c r="IG174" s="55">
        <f>SUMIFS(tblBudget[Milled_t],tblBudget[Month],$E174)</f>
        <v/>
      </c>
      <c r="IH174" s="55">
        <f>$IG174*$C174/$D174</f>
        <v/>
      </c>
      <c r="II174" s="55">
        <f>SUMIFS(tblBudget[Milled_t],tblBudget[Month],"&lt;"&amp;$E174)+$IH174</f>
        <v/>
      </c>
      <c r="IJ174" s="55">
        <f>SUMIFS(tblBudget[Feed_oz],tblBudget[Month],$E174)</f>
        <v/>
      </c>
      <c r="IK174" s="55">
        <f>$IJ174*$C174/$D174</f>
        <v/>
      </c>
      <c r="IL174" s="55">
        <f>SUMIFS(tblBudget[Feed_oz],tblBudget[Month],"&lt;"&amp;$E174)+$IK174</f>
        <v/>
      </c>
      <c r="IM174" s="55">
        <f>SUMIFS(tblBudget[Recovered_oz],tblBudget[Month],$E174)</f>
        <v/>
      </c>
      <c r="IN174" s="55">
        <f>$IM174*$C174/$D174</f>
        <v/>
      </c>
      <c r="IO174" s="55">
        <f>SUMIFS(tblBudget[Recovered_oz],tblBudget[Month],"&lt;"&amp;$E174)+$IN174</f>
        <v/>
      </c>
      <c r="IP174" s="56">
        <f>IFERROR(IF(($IG174)&gt;0,($IJ174*cfg_TroyOz)/($IG174),""),"")</f>
        <v/>
      </c>
      <c r="IQ174" s="56">
        <f>IFERROR(IF(($IH174)&gt;0,($IK174*cfg_TroyOz)/($IH174),""),"")</f>
        <v/>
      </c>
      <c r="IR174" s="56">
        <f>IFERROR(IF(($II174)&gt;0,($IL174*cfg_TroyOz)/($II174),""),"")</f>
        <v/>
      </c>
      <c r="IS174" s="67">
        <f>IFERROR(IF(($IJ174)&gt;0,($IM174)/($IJ174),""),"")</f>
        <v/>
      </c>
      <c r="IT174" s="67">
        <f>IFERROR(IF(($IK174)&gt;0,($IN174)/($IK174),""),"")</f>
        <v/>
      </c>
      <c r="IU174" s="67">
        <f>IFERROR(IF(($IL174)&gt;0,($IO174)/($IL174),""),"")</f>
        <v/>
      </c>
      <c r="IV174" s="55">
        <f>SUMIFS(tblBudget[Gold_Poured_oz],tblBudget[Month],$E174)</f>
        <v/>
      </c>
      <c r="IW174" s="55">
        <f>$IV174*$C174/$D174</f>
        <v/>
      </c>
      <c r="IX174" s="55">
        <f>SUMIFS(tblBudget[Gold_Poured_oz],tblBudget[Month],"&lt;"&amp;$E174)+$IW174</f>
        <v/>
      </c>
      <c r="IY174" s="57">
        <f>SUMIFS(tblBudget[Hours_Worked],tblBudget[Month],$E174)</f>
        <v/>
      </c>
      <c r="IZ174" s="57">
        <f>$IY174*$C174/$D174</f>
        <v/>
      </c>
      <c r="JA174" s="57">
        <f>SUMIFS(tblBudget[Hours_Worked],tblBudget[Month],"&lt;"&amp;$E174)+$IZ174</f>
        <v/>
      </c>
    </row>
    <row r="175">
      <c r="A175" s="54" t="n">
        <v>46196</v>
      </c>
      <c r="B175">
        <f>MONTH($A175)</f>
        <v/>
      </c>
      <c r="C175">
        <f>DAY($A175)</f>
        <v/>
      </c>
      <c r="D175">
        <f>DAY(EOMONTH($A175,0))</f>
        <v/>
      </c>
      <c r="E175" s="54">
        <f>DATE(YEAR($A175),MONTH($A175),1)</f>
        <v/>
      </c>
      <c r="F175" s="55">
        <f>SUMIFS(tblMovement[Tonnes_t],tblMovement[Date],$A175,tblMovement[Is_Ore],1,tblMovement[Source_Type],"Pit")</f>
        <v/>
      </c>
      <c r="G175" s="55">
        <f>IF($B175=$B174,$G174,0)+$F175</f>
        <v/>
      </c>
      <c r="H175" s="55">
        <f>$H174+$F175</f>
        <v/>
      </c>
      <c r="I175" s="55">
        <f>SUMIFS(tblMovement[Ore_oz],tblMovement[Date],$A175,tblMovement[Source_Type],"Pit")</f>
        <v/>
      </c>
      <c r="J175" s="55">
        <f>IF($B175=$B174,$J174,0)+$I175</f>
        <v/>
      </c>
      <c r="K175" s="55">
        <f>$K174+$I175</f>
        <v/>
      </c>
      <c r="L175" s="56">
        <f>IFERROR(IF(($F175)&gt;0,($I175*cfg_TroyOz)/($F175),""),"")</f>
        <v/>
      </c>
      <c r="M175" s="56">
        <f>IFERROR(IF(($G175)&gt;0,($J175*cfg_TroyOz)/($G175),""),"")</f>
        <v/>
      </c>
      <c r="N175" s="56">
        <f>IFERROR(IF(($H175)&gt;0,($K175*cfg_TroyOz)/($H175),""),"")</f>
        <v/>
      </c>
      <c r="O175" s="55">
        <f>SUMIFS(tblMovement[Tonnes_t],tblMovement[Date],$A175,tblMovement[Is_Ore],0,tblMovement[Source_Type],"Pit")</f>
        <v/>
      </c>
      <c r="P175" s="55">
        <f>IF($B175=$B174,$P174,0)+$O175</f>
        <v/>
      </c>
      <c r="Q175" s="55">
        <f>$Q174+$O175</f>
        <v/>
      </c>
      <c r="R175" s="55">
        <f>$F175+$O175</f>
        <v/>
      </c>
      <c r="S175" s="55">
        <f>IF($B175=$B174,$S174,0)+$R175</f>
        <v/>
      </c>
      <c r="T175" s="55">
        <f>$T174+$R175</f>
        <v/>
      </c>
      <c r="U175" s="56">
        <f>IFERROR(IF(($F175)&gt;0,($O175)/($F175),""),"")</f>
        <v/>
      </c>
      <c r="V175" s="56">
        <f>IFERROR(IF(($G175)&gt;0,($P175)/($G175),""),"")</f>
        <v/>
      </c>
      <c r="W175" s="56">
        <f>IFERROR(IF(($H175)&gt;0,($Q175)/($H175),""),"")</f>
        <v/>
      </c>
      <c r="X175" s="55">
        <f>SUMIFS(tblMovement[Tonnes_t],tblMovement[Date],$A175,tblMovement[Source_Type],"Stockpile")</f>
        <v/>
      </c>
      <c r="Y175" s="55">
        <f>IF($B175=$B174,$Y174,0)+$X175</f>
        <v/>
      </c>
      <c r="Z175" s="55">
        <f>$Z174+$X175</f>
        <v/>
      </c>
      <c r="AA175" s="55">
        <f>SUMIFS(tblMiningDaily[Drill_m],tblMiningDaily[Date],$A175)</f>
        <v/>
      </c>
      <c r="AB175" s="55">
        <f>IF($B175=$B174,$AB174,0)+$AA175</f>
        <v/>
      </c>
      <c r="AC175" s="55">
        <f>$AC174+$AA175</f>
        <v/>
      </c>
      <c r="AD175" s="55">
        <f>SUMIFS(tblMiningDaily[Blast_t],tblMiningDaily[Date],$A175)</f>
        <v/>
      </c>
      <c r="AE175" s="55">
        <f>IF($B175=$B174,$AE174,0)+$AD175</f>
        <v/>
      </c>
      <c r="AF175" s="55">
        <f>$AF174+$AD175</f>
        <v/>
      </c>
      <c r="AG175" s="55">
        <f>SUMIFS(tblMiningDaily[Explosives_kg],tblMiningDaily[Date],$A175)</f>
        <v/>
      </c>
      <c r="AH175" s="55">
        <f>IF($B175=$B174,$AH174,0)+$AG175</f>
        <v/>
      </c>
      <c r="AI175" s="55">
        <f>$AI174+$AG175</f>
        <v/>
      </c>
      <c r="AJ175" s="56">
        <f>IFERROR(IF(($AD175)&gt;0,($AG175)/($AD175),""),"")</f>
        <v/>
      </c>
      <c r="AK175" s="56">
        <f>IFERROR(IF(($AE175)&gt;0,($AH175)/($AE175),""),"")</f>
        <v/>
      </c>
      <c r="AL175" s="56">
        <f>IFERROR(IF(($AF175)&gt;0,($AI175)/($AF175),""),"")</f>
        <v/>
      </c>
      <c r="AM175" s="55">
        <f>SUMIFS(tblMiningDaily[Diesel_L],tblMiningDaily[Date],$A175)</f>
        <v/>
      </c>
      <c r="AN175" s="55">
        <f>IF($B175=$B174,$AN174,0)+$AM175</f>
        <v/>
      </c>
      <c r="AO175" s="55">
        <f>$AO174+$AM175</f>
        <v/>
      </c>
      <c r="AP175" s="55">
        <f>SUMIFS(tblMiningDaily[Dewatering_m3],tblMiningDaily[Date],$A175)</f>
        <v/>
      </c>
      <c r="AQ175" s="55">
        <f>IF($B175=$B174,$AQ174,0)+$AP175</f>
        <v/>
      </c>
      <c r="AR175" s="55">
        <f>$AR174+$AP175</f>
        <v/>
      </c>
      <c r="AS175" s="57">
        <f>SUMIFS(tblFleet[Calendar_h],tblFleet[Date],$A175,tblFleet[Equipment_Class],"Excavator")</f>
        <v/>
      </c>
      <c r="AT175" s="57">
        <f>IF($B175=$B174,$AT174,0)+$AS175</f>
        <v/>
      </c>
      <c r="AU175" s="57">
        <f>$AU174+$AS175</f>
        <v/>
      </c>
      <c r="AV175" s="57">
        <f>SUMIFS(tblFleet[Available_h],tblFleet[Date],$A175,tblFleet[Equipment_Class],"Excavator")</f>
        <v/>
      </c>
      <c r="AW175" s="57">
        <f>IF($B175=$B174,$AW174,0)+$AV175</f>
        <v/>
      </c>
      <c r="AX175" s="57">
        <f>$AX174+$AV175</f>
        <v/>
      </c>
      <c r="AY175" s="57">
        <f>SUMIFS(tblFleet[Operating_h],tblFleet[Date],$A175,tblFleet[Equipment_Class],"Excavator")</f>
        <v/>
      </c>
      <c r="AZ175" s="57">
        <f>IF($B175=$B174,$AZ174,0)+$AY175</f>
        <v/>
      </c>
      <c r="BA175" s="57">
        <f>$BA174+$AY175</f>
        <v/>
      </c>
      <c r="BB175" s="67">
        <f>IFERROR(IF(($AS175)&gt;0,($AV175)/($AS175),""),"")</f>
        <v/>
      </c>
      <c r="BC175" s="67">
        <f>IFERROR(IF(($AT175)&gt;0,($AW175)/($AT175),""),"")</f>
        <v/>
      </c>
      <c r="BD175" s="67">
        <f>IFERROR(IF(($AU175)&gt;0,($AX175)/($AU175),""),"")</f>
        <v/>
      </c>
      <c r="BE175" s="67">
        <f>IFERROR(IF(($AV175)&gt;0,($AY175)/($AV175),""),"")</f>
        <v/>
      </c>
      <c r="BF175" s="67">
        <f>IFERROR(IF(($AW175)&gt;0,($AZ175)/($AW175),""),"")</f>
        <v/>
      </c>
      <c r="BG175" s="67">
        <f>IFERROR(IF(($AX175)&gt;0,($BA175)/($AX175),""),"")</f>
        <v/>
      </c>
      <c r="BH175" s="57">
        <f>SUMIFS(tblFleet[Calendar_h],tblFleet[Date],$A175,tblFleet[Equipment_Class],"Haul Truck")</f>
        <v/>
      </c>
      <c r="BI175" s="57">
        <f>IF($B175=$B174,$BI174,0)+$BH175</f>
        <v/>
      </c>
      <c r="BJ175" s="57">
        <f>$BJ174+$BH175</f>
        <v/>
      </c>
      <c r="BK175" s="57">
        <f>SUMIFS(tblFleet[Available_h],tblFleet[Date],$A175,tblFleet[Equipment_Class],"Haul Truck")</f>
        <v/>
      </c>
      <c r="BL175" s="57">
        <f>IF($B175=$B174,$BL174,0)+$BK175</f>
        <v/>
      </c>
      <c r="BM175" s="57">
        <f>$BM174+$BK175</f>
        <v/>
      </c>
      <c r="BN175" s="57">
        <f>SUMIFS(tblFleet[Operating_h],tblFleet[Date],$A175,tblFleet[Equipment_Class],"Haul Truck")</f>
        <v/>
      </c>
      <c r="BO175" s="57">
        <f>IF($B175=$B174,$BO174,0)+$BN175</f>
        <v/>
      </c>
      <c r="BP175" s="57">
        <f>$BP174+$BN175</f>
        <v/>
      </c>
      <c r="BQ175" s="67">
        <f>IFERROR(IF(($BH175)&gt;0,($BK175)/($BH175),""),"")</f>
        <v/>
      </c>
      <c r="BR175" s="67">
        <f>IFERROR(IF(($BI175)&gt;0,($BL175)/($BI175),""),"")</f>
        <v/>
      </c>
      <c r="BS175" s="67">
        <f>IFERROR(IF(($BJ175)&gt;0,($BM175)/($BJ175),""),"")</f>
        <v/>
      </c>
      <c r="BT175" s="67">
        <f>IFERROR(IF(($BK175)&gt;0,($BN175)/($BK175),""),"")</f>
        <v/>
      </c>
      <c r="BU175" s="67">
        <f>IFERROR(IF(($BL175)&gt;0,($BO175)/($BL175),""),"")</f>
        <v/>
      </c>
      <c r="BV175" s="67">
        <f>IFERROR(IF(($BM175)&gt;0,($BP175)/($BM175),""),"")</f>
        <v/>
      </c>
      <c r="BW175" s="55">
        <f>SUMIFS(tblPlant[Crushed_t],tblPlant[Date],$A175)</f>
        <v/>
      </c>
      <c r="BX175" s="55">
        <f>IF($B175=$B174,$BX174,0)+$BW175</f>
        <v/>
      </c>
      <c r="BY175" s="55">
        <f>$BY174+$BW175</f>
        <v/>
      </c>
      <c r="BZ175" s="55">
        <f>SUMIFS(tblPlant[Milled_t],tblPlant[Date],$A175)</f>
        <v/>
      </c>
      <c r="CA175" s="55">
        <f>IF($B175=$B174,$CA174,0)+$BZ175</f>
        <v/>
      </c>
      <c r="CB175" s="55">
        <f>$CB174+$BZ175</f>
        <v/>
      </c>
      <c r="CC175" s="55">
        <f>SUMIFS(tblPlant[Feed_oz],tblPlant[Date],$A175)</f>
        <v/>
      </c>
      <c r="CD175" s="55">
        <f>IF($B175=$B174,$CD174,0)+$CC175</f>
        <v/>
      </c>
      <c r="CE175" s="55">
        <f>$CE174+$CC175</f>
        <v/>
      </c>
      <c r="CF175" s="55">
        <f>SUMIFS(tblPlant[Tails_oz],tblPlant[Date],$A175)</f>
        <v/>
      </c>
      <c r="CG175" s="55">
        <f>IF($B175=$B174,$CG174,0)+$CF175</f>
        <v/>
      </c>
      <c r="CH175" s="55">
        <f>$CH174+$CF175</f>
        <v/>
      </c>
      <c r="CI175" s="55">
        <f>SUMIFS(tblPlant[Recovered_oz],tblPlant[Date],$A175)</f>
        <v/>
      </c>
      <c r="CJ175" s="55">
        <f>IF($B175=$B174,$CJ174,0)+$CI175</f>
        <v/>
      </c>
      <c r="CK175" s="55">
        <f>$CK174+$CI175</f>
        <v/>
      </c>
      <c r="CL175" s="56">
        <f>IFERROR(IF(($BZ175)&gt;0,($CC175*cfg_TroyOz)/($BZ175),""),"")</f>
        <v/>
      </c>
      <c r="CM175" s="56">
        <f>IFERROR(IF(($CA175)&gt;0,($CD175*cfg_TroyOz)/($CA175),""),"")</f>
        <v/>
      </c>
      <c r="CN175" s="56">
        <f>IFERROR(IF(($CB175)&gt;0,($CE175*cfg_TroyOz)/($CB175),""),"")</f>
        <v/>
      </c>
      <c r="CO175" s="56">
        <f>IFERROR(IF(($BZ175)&gt;0,($CF175*cfg_TroyOz)/($BZ175),""),"")</f>
        <v/>
      </c>
      <c r="CP175" s="56">
        <f>IFERROR(IF(($CA175)&gt;0,($CG175*cfg_TroyOz)/($CA175),""),"")</f>
        <v/>
      </c>
      <c r="CQ175" s="56">
        <f>IFERROR(IF(($CB175)&gt;0,($CH175*cfg_TroyOz)/($CB175),""),"")</f>
        <v/>
      </c>
      <c r="CR175" s="67">
        <f>IFERROR(IF(($CC175)&gt;0,($CI175)/($CC175),""),"")</f>
        <v/>
      </c>
      <c r="CS175" s="67">
        <f>IFERROR(IF(($CD175)&gt;0,($CJ175)/($CD175),""),"")</f>
        <v/>
      </c>
      <c r="CT175" s="67">
        <f>IFERROR(IF(($CE175)&gt;0,($CK175)/($CE175),""),"")</f>
        <v/>
      </c>
      <c r="CU175" s="55">
        <f>SUMIFS(tblPlant[Gravity_Gold_oz],tblPlant[Date],$A175)</f>
        <v/>
      </c>
      <c r="CV175" s="55">
        <f>IF($B175=$B174,$CV174,0)+$CU175</f>
        <v/>
      </c>
      <c r="CW175" s="55">
        <f>$CW174+$CU175</f>
        <v/>
      </c>
      <c r="CX175" s="55">
        <f>SUMIFS(tblPlant[Gold_Poured_oz],tblPlant[Date],$A175)</f>
        <v/>
      </c>
      <c r="CY175" s="55">
        <f>IF($B175=$B174,$CY174,0)+$CX175</f>
        <v/>
      </c>
      <c r="CZ175" s="55">
        <f>$CZ174+$CX175</f>
        <v/>
      </c>
      <c r="DA175" s="57">
        <f>SUMIFS(tblPlant[Mill_Run_h],tblPlant[Date],$A175)</f>
        <v/>
      </c>
      <c r="DB175" s="57">
        <f>IF($B175=$B174,$DB174,0)+$DA175</f>
        <v/>
      </c>
      <c r="DC175" s="57">
        <f>$DC174+$DA175</f>
        <v/>
      </c>
      <c r="DD175" s="57">
        <f>SUMIFS(tblPlant[Mill_Planned_Maint_h],tblPlant[Date],$A175)</f>
        <v/>
      </c>
      <c r="DE175" s="57">
        <f>IF($B175=$B174,$DE174,0)+$DD175</f>
        <v/>
      </c>
      <c r="DF175" s="57">
        <f>$DF174+$DD175</f>
        <v/>
      </c>
      <c r="DG175" s="57">
        <f>SUMIFS(tblPlant[Mill_Unplanned_Down_h],tblPlant[Date],$A175)</f>
        <v/>
      </c>
      <c r="DH175" s="57">
        <f>IF($B175=$B174,$DH174,0)+$DG175</f>
        <v/>
      </c>
      <c r="DI175" s="57">
        <f>$DI174+$DG175</f>
        <v/>
      </c>
      <c r="DJ175" s="57">
        <f>COUNTIFS(tblPlant[Date],$A175,tblPlant[Mill_Run_h],"&lt;&gt;")*24</f>
        <v/>
      </c>
      <c r="DK175" s="57">
        <f>IF($B175=$B174,$DK174,0)+$DJ175</f>
        <v/>
      </c>
      <c r="DL175" s="57">
        <f>$DL174+$DJ175</f>
        <v/>
      </c>
      <c r="DM175" s="57">
        <f>SUMIFS(tblPlant[Crusher_Run_h],tblPlant[Date],$A175)</f>
        <v/>
      </c>
      <c r="DN175" s="57">
        <f>IF($B175=$B174,$DN174,0)+$DM175</f>
        <v/>
      </c>
      <c r="DO175" s="57">
        <f>$DO174+$DM175</f>
        <v/>
      </c>
      <c r="DP175" s="55">
        <f>IFERROR(IF(($DA175)&gt;0,($BZ175)/($DA175),""),"")</f>
        <v/>
      </c>
      <c r="DQ175" s="55">
        <f>IFERROR(IF(($DB175)&gt;0,($CA175)/($DB175),""),"")</f>
        <v/>
      </c>
      <c r="DR175" s="55">
        <f>IFERROR(IF(($DC175)&gt;0,($CB175)/($DC175),""),"")</f>
        <v/>
      </c>
      <c r="DS175" s="67">
        <f>IFERROR(IF(($DJ175)&gt;0,($DJ175-$DD175-$DG175)/($DJ175),""),"")</f>
        <v/>
      </c>
      <c r="DT175" s="67">
        <f>IFERROR(IF(($DK175)&gt;0,($DK175-$DE175-$DH175)/($DK175),""),"")</f>
        <v/>
      </c>
      <c r="DU175" s="67">
        <f>IFERROR(IF(($DL175)&gt;0,($DL175-$DF175-$DI175)/($DL175),""),"")</f>
        <v/>
      </c>
      <c r="DV175" s="67">
        <f>IFERROR(IF(($DJ175-$DD175-$DG175)&gt;0,($DA175)/($DJ175-$DD175-$DG175),""),"")</f>
        <v/>
      </c>
      <c r="DW175" s="67">
        <f>IFERROR(IF(($DK175-$DE175-$DH175)&gt;0,($DB175)/($DK175-$DE175-$DH175),""),"")</f>
        <v/>
      </c>
      <c r="DX175" s="67">
        <f>IFERROR(IF(($DL175-$DF175-$DI175)&gt;0,($DC175)/($DL175-$DF175-$DI175),""),"")</f>
        <v/>
      </c>
      <c r="DY175" s="55">
        <f>SUMIFS(tblPlant[Cyanide_kg],tblPlant[Date],$A175)</f>
        <v/>
      </c>
      <c r="DZ175" s="55">
        <f>IF($B175=$B174,$DZ174,0)+$DY175</f>
        <v/>
      </c>
      <c r="EA175" s="55">
        <f>$EA174+$DY175</f>
        <v/>
      </c>
      <c r="EB175" s="55">
        <f>SUMIFS(tblPlant[Lime_kg],tblPlant[Date],$A175)</f>
        <v/>
      </c>
      <c r="EC175" s="55">
        <f>IF($B175=$B174,$EC174,0)+$EB175</f>
        <v/>
      </c>
      <c r="ED175" s="55">
        <f>$ED174+$EB175</f>
        <v/>
      </c>
      <c r="EE175" s="55">
        <f>SUMIFS(tblPlant[Grinding_Media_kg],tblPlant[Date],$A175)</f>
        <v/>
      </c>
      <c r="EF175" s="55">
        <f>IF($B175=$B174,$EF174,0)+$EE175</f>
        <v/>
      </c>
      <c r="EG175" s="55">
        <f>$EG174+$EE175</f>
        <v/>
      </c>
      <c r="EH175" s="55">
        <f>SUMIFS(tblPlant[Power_kWh],tblPlant[Date],$A175)</f>
        <v/>
      </c>
      <c r="EI175" s="55">
        <f>IF($B175=$B174,$EI174,0)+$EH175</f>
        <v/>
      </c>
      <c r="EJ175" s="55">
        <f>$EJ174+$EH175</f>
        <v/>
      </c>
      <c r="EK175" s="55">
        <f>SUMIFS(tblPlant[Raw_Water_m3],tblPlant[Date],$A175)</f>
        <v/>
      </c>
      <c r="EL175" s="55">
        <f>IF($B175=$B174,$EL174,0)+$EK175</f>
        <v/>
      </c>
      <c r="EM175" s="55">
        <f>$EM174+$EK175</f>
        <v/>
      </c>
      <c r="EN175" s="56">
        <f>IFERROR(IF(($BZ175)&gt;0,($DY175)/($BZ175),""),"")</f>
        <v/>
      </c>
      <c r="EO175" s="56">
        <f>IFERROR(IF(($CA175)&gt;0,($DZ175)/($CA175),""),"")</f>
        <v/>
      </c>
      <c r="EP175" s="56">
        <f>IFERROR(IF(($CB175)&gt;0,($EA175)/($CB175),""),"")</f>
        <v/>
      </c>
      <c r="EQ175" s="56">
        <f>IFERROR(IF(($BZ175)&gt;0,($EB175)/($BZ175),""),"")</f>
        <v/>
      </c>
      <c r="ER175" s="56">
        <f>IFERROR(IF(($CA175)&gt;0,($EC175)/($CA175),""),"")</f>
        <v/>
      </c>
      <c r="ES175" s="56">
        <f>IFERROR(IF(($CB175)&gt;0,($ED175)/($CB175),""),"")</f>
        <v/>
      </c>
      <c r="ET175" s="56">
        <f>IFERROR(IF(($BZ175)&gt;0,($EE175)/($BZ175),""),"")</f>
        <v/>
      </c>
      <c r="EU175" s="56">
        <f>IFERROR(IF(($CA175)&gt;0,($EF175)/($CA175),""),"")</f>
        <v/>
      </c>
      <c r="EV175" s="56">
        <f>IFERROR(IF(($CB175)&gt;0,($EG175)/($CB175),""),"")</f>
        <v/>
      </c>
      <c r="EW175" s="76">
        <f>IFERROR(IF(($BZ175)&gt;0,($EH175)/($BZ175),""),"")</f>
        <v/>
      </c>
      <c r="EX175" s="76">
        <f>IFERROR(IF(($CA175)&gt;0,($EI175)/($CA175),""),"")</f>
        <v/>
      </c>
      <c r="EY175" s="76">
        <f>IFERROR(IF(($CB175)&gt;0,($EJ175)/($CB175),""),"")</f>
        <v/>
      </c>
      <c r="EZ175" s="56">
        <f>IFERROR(IF(($BZ175)&gt;0,($EK175)/($BZ175),""),"")</f>
        <v/>
      </c>
      <c r="FA175" s="56">
        <f>IFERROR(IF(($CA175)&gt;0,($EL175)/($CA175),""),"")</f>
        <v/>
      </c>
      <c r="FB175" s="56">
        <f>IFERROR(IF(($CB175)&gt;0,($EM175)/($CB175),""),"")</f>
        <v/>
      </c>
      <c r="FC175" s="55">
        <f>IF(SUMIFS(tblPlant[GIC_oz],tblPlant[Date],$A175)&gt;0,SUMIFS(tblPlant[GIC_oz],tblPlant[Date],$A175),"")</f>
        <v/>
      </c>
      <c r="FD175" s="55">
        <f>SUMIFS(tblGold[Gold_oz],tblGold[Date],$A175,tblGold[Type],"Shipment")</f>
        <v/>
      </c>
      <c r="FE175" s="55">
        <f>IF($B175=$B174,$FE174,0)+$FD175</f>
        <v/>
      </c>
      <c r="FF175" s="55">
        <f>$FF174+$FD175</f>
        <v/>
      </c>
      <c r="FG175" s="55">
        <f>SUMIFS(tblGold[Gold_oz],tblGold[Date],$A175,tblGold[Type],"Sale")</f>
        <v/>
      </c>
      <c r="FH175" s="55">
        <f>IF($B175=$B174,$FH174,0)+$FG175</f>
        <v/>
      </c>
      <c r="FI175" s="55">
        <f>$FI174+$FG175</f>
        <v/>
      </c>
      <c r="FJ175" s="55">
        <f>SUMIFS(tblGold[Dore_kg],tblGold[Date],$A175,tblGold[Type],"Shipment")</f>
        <v/>
      </c>
      <c r="FK175" s="55">
        <f>IF($B175=$B174,$FK174,0)+$FJ175</f>
        <v/>
      </c>
      <c r="FL175" s="55">
        <f>$FL174+$FJ175</f>
        <v/>
      </c>
      <c r="FM175" s="57">
        <f>SUMIFS(tblSafety[Hours_Total],tblSafety[Date],$A175)</f>
        <v/>
      </c>
      <c r="FN175" s="57">
        <f>IF($B175=$B174,$FN174,0)+$FM175</f>
        <v/>
      </c>
      <c r="FO175" s="57">
        <f>$FO174+$FM175</f>
        <v/>
      </c>
      <c r="FP175" s="62">
        <f>SUMIFS(tblSafety[Fatality],tblSafety[Date],$A175)</f>
        <v/>
      </c>
      <c r="FQ175" s="62">
        <f>IF($B175=$B174,$FQ174,0)+$FP175</f>
        <v/>
      </c>
      <c r="FR175" s="62">
        <f>$FR174+$FP175</f>
        <v/>
      </c>
      <c r="FS175" s="62">
        <f>SUMIFS(tblSafety[LTI],tblSafety[Date],$A175)</f>
        <v/>
      </c>
      <c r="FT175" s="62">
        <f>IF($B175=$B174,$FT174,0)+$FS175</f>
        <v/>
      </c>
      <c r="FU175" s="62">
        <f>$FU174+$FS175</f>
        <v/>
      </c>
      <c r="FV175" s="62">
        <f>SUMIFS(tblSafety[RWI],tblSafety[Date],$A175)</f>
        <v/>
      </c>
      <c r="FW175" s="62">
        <f>IF($B175=$B174,$FW174,0)+$FV175</f>
        <v/>
      </c>
      <c r="FX175" s="62">
        <f>$FX174+$FV175</f>
        <v/>
      </c>
      <c r="FY175" s="62">
        <f>SUMIFS(tblSafety[MTI],tblSafety[Date],$A175)</f>
        <v/>
      </c>
      <c r="FZ175" s="62">
        <f>IF($B175=$B174,$FZ174,0)+$FY175</f>
        <v/>
      </c>
      <c r="GA175" s="62">
        <f>$GA174+$FY175</f>
        <v/>
      </c>
      <c r="GB175" s="62">
        <f>SUMIFS(tblSafety[FAI],tblSafety[Date],$A175)</f>
        <v/>
      </c>
      <c r="GC175" s="62">
        <f>IF($B175=$B174,$GC174,0)+$GB175</f>
        <v/>
      </c>
      <c r="GD175" s="62">
        <f>$GD174+$GB175</f>
        <v/>
      </c>
      <c r="GE175" s="62">
        <f>SUMIFS(tblSafety[Recordables],tblSafety[Date],$A175)</f>
        <v/>
      </c>
      <c r="GF175" s="62">
        <f>IF($B175=$B174,$GF174,0)+$GE175</f>
        <v/>
      </c>
      <c r="GG175" s="62">
        <f>$GG174+$GE175</f>
        <v/>
      </c>
      <c r="GH175" s="62">
        <f>SUMIFS(tblSafety[Near_Miss],tblSafety[Date],$A175)</f>
        <v/>
      </c>
      <c r="GI175" s="62">
        <f>IF($B175=$B174,$GI174,0)+$GH175</f>
        <v/>
      </c>
      <c r="GJ175" s="62">
        <f>$GJ174+$GH175</f>
        <v/>
      </c>
      <c r="GK175" s="62">
        <f>SUMIFS(tblSafety[Hazard_Reports],tblSafety[Date],$A175)</f>
        <v/>
      </c>
      <c r="GL175" s="62">
        <f>IF($B175=$B174,$GL174,0)+$GK175</f>
        <v/>
      </c>
      <c r="GM175" s="62">
        <f>$GM174+$GK175</f>
        <v/>
      </c>
      <c r="GN175" s="62">
        <f>SUMIFS(tblSafety[HPI],tblSafety[Date],$A175)</f>
        <v/>
      </c>
      <c r="GO175" s="62">
        <f>IF($B175=$B174,$GO174,0)+$GN175</f>
        <v/>
      </c>
      <c r="GP175" s="62">
        <f>$GP174+$GN175</f>
        <v/>
      </c>
      <c r="GQ175" s="62">
        <f>SUMIFS(tblSafety[Env_Incidents],tblSafety[Date],$A175)</f>
        <v/>
      </c>
      <c r="GR175" s="62">
        <f>IF($B175=$B174,$GR174,0)+$GQ175</f>
        <v/>
      </c>
      <c r="GS175" s="62">
        <f>$GS174+$GQ175</f>
        <v/>
      </c>
      <c r="GT175" s="62">
        <f>SUMIFS(tblSafety[Community_Incidents],tblSafety[Date],$A175)</f>
        <v/>
      </c>
      <c r="GU175" s="62">
        <f>IF($B175=$B174,$GU174,0)+$GT175</f>
        <v/>
      </c>
      <c r="GV175" s="62">
        <f>$GV174+$GT175</f>
        <v/>
      </c>
      <c r="GW175" s="62">
        <f>SUMIFS(tblSafety[Vehicle_Incidents],tblSafety[Date],$A175)</f>
        <v/>
      </c>
      <c r="GX175" s="62">
        <f>IF($B175=$B174,$GX174,0)+$GW175</f>
        <v/>
      </c>
      <c r="GY175" s="62">
        <f>$GY174+$GW175</f>
        <v/>
      </c>
      <c r="GZ175" s="62">
        <f>SUMIFS(tblSafety[Toolbox_Talks],tblSafety[Date],$A175)</f>
        <v/>
      </c>
      <c r="HA175" s="62">
        <f>IF($B175=$B174,$HA174,0)+$GZ175</f>
        <v/>
      </c>
      <c r="HB175" s="62">
        <f>$HB174+$GZ175</f>
        <v/>
      </c>
      <c r="HC175" s="62">
        <f>SUMIFS(tblSafety[Inspections],tblSafety[Date],$A175)</f>
        <v/>
      </c>
      <c r="HD175" s="62">
        <f>IF($B175=$B174,$HD174,0)+$HC175</f>
        <v/>
      </c>
      <c r="HE175" s="62">
        <f>$HE174+$HC175</f>
        <v/>
      </c>
      <c r="HF175" s="56">
        <f>IFERROR((SUMIFS(tblSafety[Recordables],tblSafety[Date],"&gt;="&amp;EDATE($E175,-12),tblSafety[Date],"&lt;="&amp;$A175)+SUMIFS(tblSafetyHistory[Recordables],tblSafetyHistory[Month],"&gt;="&amp;EDATE($E175,-12),tblSafetyHistory[Month],"&lt;"&amp;cfg_YearStart))/(SUMIFS(tblSafety[Hours_Total],tblSafety[Date],"&gt;="&amp;EDATE($E175,-12),tblSafety[Date],"&lt;="&amp;$A175)+SUMIFS(tblSafetyHistory[Hours_Total],tblSafetyHistory[Month],"&gt;="&amp;EDATE($E175,-12),tblSafetyHistory[Month],"&lt;"&amp;cfg_YearStart))*1000000,"")</f>
        <v/>
      </c>
      <c r="HG175" s="56">
        <f>IFERROR((SUMIFS(tblSafety[LTI],tblSafety[Date],"&gt;="&amp;EDATE($E175,-12),tblSafety[Date],"&lt;="&amp;$A175)+SUMIFS(tblSafetyHistory[LTI],tblSafetyHistory[Month],"&gt;="&amp;EDATE($E175,-12),tblSafetyHistory[Month],"&lt;"&amp;cfg_YearStart))/(SUMIFS(tblSafety[Hours_Total],tblSafety[Date],"&gt;="&amp;EDATE($E175,-12),tblSafety[Date],"&lt;="&amp;$A175)+SUMIFS(tblSafetyHistory[Hours_Total],tblSafetyHistory[Month],"&gt;="&amp;EDATE($E175,-12),tblSafetyHistory[Month],"&lt;"&amp;cfg_YearStart))*1000000,"")</f>
        <v/>
      </c>
      <c r="HH175" s="62">
        <f>IF(MAX(N(cfg_PriorLTIDate),_xlfn.MAXIFS(tblSafety[Date],tblSafety[LTI],"&gt;0",tblSafety[Date],"&lt;="&amp;$A175))=0,"",$A175-MAX(N(cfg_PriorLTIDate),_xlfn.MAXIFS(tblSafety[Date],tblSafety[LTI],"&gt;0",tblSafety[Date],"&lt;="&amp;$A175)))</f>
        <v/>
      </c>
      <c r="HI175" s="55">
        <f>SUMIFS(tblBudget[Ore_Mined_t],tblBudget[Month],$E175)</f>
        <v/>
      </c>
      <c r="HJ175" s="55">
        <f>$HI175*$C175/$D175</f>
        <v/>
      </c>
      <c r="HK175" s="55">
        <f>SUMIFS(tblBudget[Ore_Mined_t],tblBudget[Month],"&lt;"&amp;$E175)+$HJ175</f>
        <v/>
      </c>
      <c r="HL175" s="55">
        <f>SUMIFS(tblBudget[Ore_oz],tblBudget[Month],$E175)</f>
        <v/>
      </c>
      <c r="HM175" s="55">
        <f>$HL175*$C175/$D175</f>
        <v/>
      </c>
      <c r="HN175" s="55">
        <f>SUMIFS(tblBudget[Ore_oz],tblBudget[Month],"&lt;"&amp;$E175)+$HM175</f>
        <v/>
      </c>
      <c r="HO175" s="56">
        <f>IFERROR(IF(($HI175)&gt;0,($HL175*cfg_TroyOz)/($HI175),""),"")</f>
        <v/>
      </c>
      <c r="HP175" s="56">
        <f>IFERROR(IF(($HJ175)&gt;0,($HM175*cfg_TroyOz)/($HJ175),""),"")</f>
        <v/>
      </c>
      <c r="HQ175" s="56">
        <f>IFERROR(IF(($HK175)&gt;0,($HN175*cfg_TroyOz)/($HK175),""),"")</f>
        <v/>
      </c>
      <c r="HR175" s="55">
        <f>SUMIFS(tblBudget[Waste_t],tblBudget[Month],$E175)</f>
        <v/>
      </c>
      <c r="HS175" s="55">
        <f>$HR175*$C175/$D175</f>
        <v/>
      </c>
      <c r="HT175" s="55">
        <f>SUMIFS(tblBudget[Waste_t],tblBudget[Month],"&lt;"&amp;$E175)+$HS175</f>
        <v/>
      </c>
      <c r="HU175" s="55">
        <f>SUMIFS(tblBudget[TMM_t],tblBudget[Month],$E175)</f>
        <v/>
      </c>
      <c r="HV175" s="55">
        <f>$HU175*$C175/$D175</f>
        <v/>
      </c>
      <c r="HW175" s="55">
        <f>SUMIFS(tblBudget[TMM_t],tblBudget[Month],"&lt;"&amp;$E175)+$HV175</f>
        <v/>
      </c>
      <c r="HX175" s="56">
        <f>IFERROR(IF(($HI175)&gt;0,($HR175)/($HI175),""),"")</f>
        <v/>
      </c>
      <c r="HY175" s="56">
        <f>IFERROR(IF(($HJ175)&gt;0,($HS175)/($HJ175),""),"")</f>
        <v/>
      </c>
      <c r="HZ175" s="56">
        <f>IFERROR(IF(($HK175)&gt;0,($HT175)/($HK175),""),"")</f>
        <v/>
      </c>
      <c r="IA175" s="55">
        <f>SUMIFS(tblBudget[Drill_m],tblBudget[Month],$E175)</f>
        <v/>
      </c>
      <c r="IB175" s="55">
        <f>$IA175*$C175/$D175</f>
        <v/>
      </c>
      <c r="IC175" s="55">
        <f>SUMIFS(tblBudget[Drill_m],tblBudget[Month],"&lt;"&amp;$E175)+$IB175</f>
        <v/>
      </c>
      <c r="ID175" s="55">
        <f>SUMIFS(tblBudget[Diesel_L],tblBudget[Month],$E175)</f>
        <v/>
      </c>
      <c r="IE175" s="55">
        <f>$ID175*$C175/$D175</f>
        <v/>
      </c>
      <c r="IF175" s="55">
        <f>SUMIFS(tblBudget[Diesel_L],tblBudget[Month],"&lt;"&amp;$E175)+$IE175</f>
        <v/>
      </c>
      <c r="IG175" s="55">
        <f>SUMIFS(tblBudget[Milled_t],tblBudget[Month],$E175)</f>
        <v/>
      </c>
      <c r="IH175" s="55">
        <f>$IG175*$C175/$D175</f>
        <v/>
      </c>
      <c r="II175" s="55">
        <f>SUMIFS(tblBudget[Milled_t],tblBudget[Month],"&lt;"&amp;$E175)+$IH175</f>
        <v/>
      </c>
      <c r="IJ175" s="55">
        <f>SUMIFS(tblBudget[Feed_oz],tblBudget[Month],$E175)</f>
        <v/>
      </c>
      <c r="IK175" s="55">
        <f>$IJ175*$C175/$D175</f>
        <v/>
      </c>
      <c r="IL175" s="55">
        <f>SUMIFS(tblBudget[Feed_oz],tblBudget[Month],"&lt;"&amp;$E175)+$IK175</f>
        <v/>
      </c>
      <c r="IM175" s="55">
        <f>SUMIFS(tblBudget[Recovered_oz],tblBudget[Month],$E175)</f>
        <v/>
      </c>
      <c r="IN175" s="55">
        <f>$IM175*$C175/$D175</f>
        <v/>
      </c>
      <c r="IO175" s="55">
        <f>SUMIFS(tblBudget[Recovered_oz],tblBudget[Month],"&lt;"&amp;$E175)+$IN175</f>
        <v/>
      </c>
      <c r="IP175" s="56">
        <f>IFERROR(IF(($IG175)&gt;0,($IJ175*cfg_TroyOz)/($IG175),""),"")</f>
        <v/>
      </c>
      <c r="IQ175" s="56">
        <f>IFERROR(IF(($IH175)&gt;0,($IK175*cfg_TroyOz)/($IH175),""),"")</f>
        <v/>
      </c>
      <c r="IR175" s="56">
        <f>IFERROR(IF(($II175)&gt;0,($IL175*cfg_TroyOz)/($II175),""),"")</f>
        <v/>
      </c>
      <c r="IS175" s="67">
        <f>IFERROR(IF(($IJ175)&gt;0,($IM175)/($IJ175),""),"")</f>
        <v/>
      </c>
      <c r="IT175" s="67">
        <f>IFERROR(IF(($IK175)&gt;0,($IN175)/($IK175),""),"")</f>
        <v/>
      </c>
      <c r="IU175" s="67">
        <f>IFERROR(IF(($IL175)&gt;0,($IO175)/($IL175),""),"")</f>
        <v/>
      </c>
      <c r="IV175" s="55">
        <f>SUMIFS(tblBudget[Gold_Poured_oz],tblBudget[Month],$E175)</f>
        <v/>
      </c>
      <c r="IW175" s="55">
        <f>$IV175*$C175/$D175</f>
        <v/>
      </c>
      <c r="IX175" s="55">
        <f>SUMIFS(tblBudget[Gold_Poured_oz],tblBudget[Month],"&lt;"&amp;$E175)+$IW175</f>
        <v/>
      </c>
      <c r="IY175" s="57">
        <f>SUMIFS(tblBudget[Hours_Worked],tblBudget[Month],$E175)</f>
        <v/>
      </c>
      <c r="IZ175" s="57">
        <f>$IY175*$C175/$D175</f>
        <v/>
      </c>
      <c r="JA175" s="57">
        <f>SUMIFS(tblBudget[Hours_Worked],tblBudget[Month],"&lt;"&amp;$E175)+$IZ175</f>
        <v/>
      </c>
    </row>
    <row r="176">
      <c r="A176" s="54" t="n">
        <v>46197</v>
      </c>
      <c r="B176">
        <f>MONTH($A176)</f>
        <v/>
      </c>
      <c r="C176">
        <f>DAY($A176)</f>
        <v/>
      </c>
      <c r="D176">
        <f>DAY(EOMONTH($A176,0))</f>
        <v/>
      </c>
      <c r="E176" s="54">
        <f>DATE(YEAR($A176),MONTH($A176),1)</f>
        <v/>
      </c>
      <c r="F176" s="55">
        <f>SUMIFS(tblMovement[Tonnes_t],tblMovement[Date],$A176,tblMovement[Is_Ore],1,tblMovement[Source_Type],"Pit")</f>
        <v/>
      </c>
      <c r="G176" s="55">
        <f>IF($B176=$B175,$G175,0)+$F176</f>
        <v/>
      </c>
      <c r="H176" s="55">
        <f>$H175+$F176</f>
        <v/>
      </c>
      <c r="I176" s="55">
        <f>SUMIFS(tblMovement[Ore_oz],tblMovement[Date],$A176,tblMovement[Source_Type],"Pit")</f>
        <v/>
      </c>
      <c r="J176" s="55">
        <f>IF($B176=$B175,$J175,0)+$I176</f>
        <v/>
      </c>
      <c r="K176" s="55">
        <f>$K175+$I176</f>
        <v/>
      </c>
      <c r="L176" s="56">
        <f>IFERROR(IF(($F176)&gt;0,($I176*cfg_TroyOz)/($F176),""),"")</f>
        <v/>
      </c>
      <c r="M176" s="56">
        <f>IFERROR(IF(($G176)&gt;0,($J176*cfg_TroyOz)/($G176),""),"")</f>
        <v/>
      </c>
      <c r="N176" s="56">
        <f>IFERROR(IF(($H176)&gt;0,($K176*cfg_TroyOz)/($H176),""),"")</f>
        <v/>
      </c>
      <c r="O176" s="55">
        <f>SUMIFS(tblMovement[Tonnes_t],tblMovement[Date],$A176,tblMovement[Is_Ore],0,tblMovement[Source_Type],"Pit")</f>
        <v/>
      </c>
      <c r="P176" s="55">
        <f>IF($B176=$B175,$P175,0)+$O176</f>
        <v/>
      </c>
      <c r="Q176" s="55">
        <f>$Q175+$O176</f>
        <v/>
      </c>
      <c r="R176" s="55">
        <f>$F176+$O176</f>
        <v/>
      </c>
      <c r="S176" s="55">
        <f>IF($B176=$B175,$S175,0)+$R176</f>
        <v/>
      </c>
      <c r="T176" s="55">
        <f>$T175+$R176</f>
        <v/>
      </c>
      <c r="U176" s="56">
        <f>IFERROR(IF(($F176)&gt;0,($O176)/($F176),""),"")</f>
        <v/>
      </c>
      <c r="V176" s="56">
        <f>IFERROR(IF(($G176)&gt;0,($P176)/($G176),""),"")</f>
        <v/>
      </c>
      <c r="W176" s="56">
        <f>IFERROR(IF(($H176)&gt;0,($Q176)/($H176),""),"")</f>
        <v/>
      </c>
      <c r="X176" s="55">
        <f>SUMIFS(tblMovement[Tonnes_t],tblMovement[Date],$A176,tblMovement[Source_Type],"Stockpile")</f>
        <v/>
      </c>
      <c r="Y176" s="55">
        <f>IF($B176=$B175,$Y175,0)+$X176</f>
        <v/>
      </c>
      <c r="Z176" s="55">
        <f>$Z175+$X176</f>
        <v/>
      </c>
      <c r="AA176" s="55">
        <f>SUMIFS(tblMiningDaily[Drill_m],tblMiningDaily[Date],$A176)</f>
        <v/>
      </c>
      <c r="AB176" s="55">
        <f>IF($B176=$B175,$AB175,0)+$AA176</f>
        <v/>
      </c>
      <c r="AC176" s="55">
        <f>$AC175+$AA176</f>
        <v/>
      </c>
      <c r="AD176" s="55">
        <f>SUMIFS(tblMiningDaily[Blast_t],tblMiningDaily[Date],$A176)</f>
        <v/>
      </c>
      <c r="AE176" s="55">
        <f>IF($B176=$B175,$AE175,0)+$AD176</f>
        <v/>
      </c>
      <c r="AF176" s="55">
        <f>$AF175+$AD176</f>
        <v/>
      </c>
      <c r="AG176" s="55">
        <f>SUMIFS(tblMiningDaily[Explosives_kg],tblMiningDaily[Date],$A176)</f>
        <v/>
      </c>
      <c r="AH176" s="55">
        <f>IF($B176=$B175,$AH175,0)+$AG176</f>
        <v/>
      </c>
      <c r="AI176" s="55">
        <f>$AI175+$AG176</f>
        <v/>
      </c>
      <c r="AJ176" s="56">
        <f>IFERROR(IF(($AD176)&gt;0,($AG176)/($AD176),""),"")</f>
        <v/>
      </c>
      <c r="AK176" s="56">
        <f>IFERROR(IF(($AE176)&gt;0,($AH176)/($AE176),""),"")</f>
        <v/>
      </c>
      <c r="AL176" s="56">
        <f>IFERROR(IF(($AF176)&gt;0,($AI176)/($AF176),""),"")</f>
        <v/>
      </c>
      <c r="AM176" s="55">
        <f>SUMIFS(tblMiningDaily[Diesel_L],tblMiningDaily[Date],$A176)</f>
        <v/>
      </c>
      <c r="AN176" s="55">
        <f>IF($B176=$B175,$AN175,0)+$AM176</f>
        <v/>
      </c>
      <c r="AO176" s="55">
        <f>$AO175+$AM176</f>
        <v/>
      </c>
      <c r="AP176" s="55">
        <f>SUMIFS(tblMiningDaily[Dewatering_m3],tblMiningDaily[Date],$A176)</f>
        <v/>
      </c>
      <c r="AQ176" s="55">
        <f>IF($B176=$B175,$AQ175,0)+$AP176</f>
        <v/>
      </c>
      <c r="AR176" s="55">
        <f>$AR175+$AP176</f>
        <v/>
      </c>
      <c r="AS176" s="57">
        <f>SUMIFS(tblFleet[Calendar_h],tblFleet[Date],$A176,tblFleet[Equipment_Class],"Excavator")</f>
        <v/>
      </c>
      <c r="AT176" s="57">
        <f>IF($B176=$B175,$AT175,0)+$AS176</f>
        <v/>
      </c>
      <c r="AU176" s="57">
        <f>$AU175+$AS176</f>
        <v/>
      </c>
      <c r="AV176" s="57">
        <f>SUMIFS(tblFleet[Available_h],tblFleet[Date],$A176,tblFleet[Equipment_Class],"Excavator")</f>
        <v/>
      </c>
      <c r="AW176" s="57">
        <f>IF($B176=$B175,$AW175,0)+$AV176</f>
        <v/>
      </c>
      <c r="AX176" s="57">
        <f>$AX175+$AV176</f>
        <v/>
      </c>
      <c r="AY176" s="57">
        <f>SUMIFS(tblFleet[Operating_h],tblFleet[Date],$A176,tblFleet[Equipment_Class],"Excavator")</f>
        <v/>
      </c>
      <c r="AZ176" s="57">
        <f>IF($B176=$B175,$AZ175,0)+$AY176</f>
        <v/>
      </c>
      <c r="BA176" s="57">
        <f>$BA175+$AY176</f>
        <v/>
      </c>
      <c r="BB176" s="67">
        <f>IFERROR(IF(($AS176)&gt;0,($AV176)/($AS176),""),"")</f>
        <v/>
      </c>
      <c r="BC176" s="67">
        <f>IFERROR(IF(($AT176)&gt;0,($AW176)/($AT176),""),"")</f>
        <v/>
      </c>
      <c r="BD176" s="67">
        <f>IFERROR(IF(($AU176)&gt;0,($AX176)/($AU176),""),"")</f>
        <v/>
      </c>
      <c r="BE176" s="67">
        <f>IFERROR(IF(($AV176)&gt;0,($AY176)/($AV176),""),"")</f>
        <v/>
      </c>
      <c r="BF176" s="67">
        <f>IFERROR(IF(($AW176)&gt;0,($AZ176)/($AW176),""),"")</f>
        <v/>
      </c>
      <c r="BG176" s="67">
        <f>IFERROR(IF(($AX176)&gt;0,($BA176)/($AX176),""),"")</f>
        <v/>
      </c>
      <c r="BH176" s="57">
        <f>SUMIFS(tblFleet[Calendar_h],tblFleet[Date],$A176,tblFleet[Equipment_Class],"Haul Truck")</f>
        <v/>
      </c>
      <c r="BI176" s="57">
        <f>IF($B176=$B175,$BI175,0)+$BH176</f>
        <v/>
      </c>
      <c r="BJ176" s="57">
        <f>$BJ175+$BH176</f>
        <v/>
      </c>
      <c r="BK176" s="57">
        <f>SUMIFS(tblFleet[Available_h],tblFleet[Date],$A176,tblFleet[Equipment_Class],"Haul Truck")</f>
        <v/>
      </c>
      <c r="BL176" s="57">
        <f>IF($B176=$B175,$BL175,0)+$BK176</f>
        <v/>
      </c>
      <c r="BM176" s="57">
        <f>$BM175+$BK176</f>
        <v/>
      </c>
      <c r="BN176" s="57">
        <f>SUMIFS(tblFleet[Operating_h],tblFleet[Date],$A176,tblFleet[Equipment_Class],"Haul Truck")</f>
        <v/>
      </c>
      <c r="BO176" s="57">
        <f>IF($B176=$B175,$BO175,0)+$BN176</f>
        <v/>
      </c>
      <c r="BP176" s="57">
        <f>$BP175+$BN176</f>
        <v/>
      </c>
      <c r="BQ176" s="67">
        <f>IFERROR(IF(($BH176)&gt;0,($BK176)/($BH176),""),"")</f>
        <v/>
      </c>
      <c r="BR176" s="67">
        <f>IFERROR(IF(($BI176)&gt;0,($BL176)/($BI176),""),"")</f>
        <v/>
      </c>
      <c r="BS176" s="67">
        <f>IFERROR(IF(($BJ176)&gt;0,($BM176)/($BJ176),""),"")</f>
        <v/>
      </c>
      <c r="BT176" s="67">
        <f>IFERROR(IF(($BK176)&gt;0,($BN176)/($BK176),""),"")</f>
        <v/>
      </c>
      <c r="BU176" s="67">
        <f>IFERROR(IF(($BL176)&gt;0,($BO176)/($BL176),""),"")</f>
        <v/>
      </c>
      <c r="BV176" s="67">
        <f>IFERROR(IF(($BM176)&gt;0,($BP176)/($BM176),""),"")</f>
        <v/>
      </c>
      <c r="BW176" s="55">
        <f>SUMIFS(tblPlant[Crushed_t],tblPlant[Date],$A176)</f>
        <v/>
      </c>
      <c r="BX176" s="55">
        <f>IF($B176=$B175,$BX175,0)+$BW176</f>
        <v/>
      </c>
      <c r="BY176" s="55">
        <f>$BY175+$BW176</f>
        <v/>
      </c>
      <c r="BZ176" s="55">
        <f>SUMIFS(tblPlant[Milled_t],tblPlant[Date],$A176)</f>
        <v/>
      </c>
      <c r="CA176" s="55">
        <f>IF($B176=$B175,$CA175,0)+$BZ176</f>
        <v/>
      </c>
      <c r="CB176" s="55">
        <f>$CB175+$BZ176</f>
        <v/>
      </c>
      <c r="CC176" s="55">
        <f>SUMIFS(tblPlant[Feed_oz],tblPlant[Date],$A176)</f>
        <v/>
      </c>
      <c r="CD176" s="55">
        <f>IF($B176=$B175,$CD175,0)+$CC176</f>
        <v/>
      </c>
      <c r="CE176" s="55">
        <f>$CE175+$CC176</f>
        <v/>
      </c>
      <c r="CF176" s="55">
        <f>SUMIFS(tblPlant[Tails_oz],tblPlant[Date],$A176)</f>
        <v/>
      </c>
      <c r="CG176" s="55">
        <f>IF($B176=$B175,$CG175,0)+$CF176</f>
        <v/>
      </c>
      <c r="CH176" s="55">
        <f>$CH175+$CF176</f>
        <v/>
      </c>
      <c r="CI176" s="55">
        <f>SUMIFS(tblPlant[Recovered_oz],tblPlant[Date],$A176)</f>
        <v/>
      </c>
      <c r="CJ176" s="55">
        <f>IF($B176=$B175,$CJ175,0)+$CI176</f>
        <v/>
      </c>
      <c r="CK176" s="55">
        <f>$CK175+$CI176</f>
        <v/>
      </c>
      <c r="CL176" s="56">
        <f>IFERROR(IF(($BZ176)&gt;0,($CC176*cfg_TroyOz)/($BZ176),""),"")</f>
        <v/>
      </c>
      <c r="CM176" s="56">
        <f>IFERROR(IF(($CA176)&gt;0,($CD176*cfg_TroyOz)/($CA176),""),"")</f>
        <v/>
      </c>
      <c r="CN176" s="56">
        <f>IFERROR(IF(($CB176)&gt;0,($CE176*cfg_TroyOz)/($CB176),""),"")</f>
        <v/>
      </c>
      <c r="CO176" s="56">
        <f>IFERROR(IF(($BZ176)&gt;0,($CF176*cfg_TroyOz)/($BZ176),""),"")</f>
        <v/>
      </c>
      <c r="CP176" s="56">
        <f>IFERROR(IF(($CA176)&gt;0,($CG176*cfg_TroyOz)/($CA176),""),"")</f>
        <v/>
      </c>
      <c r="CQ176" s="56">
        <f>IFERROR(IF(($CB176)&gt;0,($CH176*cfg_TroyOz)/($CB176),""),"")</f>
        <v/>
      </c>
      <c r="CR176" s="67">
        <f>IFERROR(IF(($CC176)&gt;0,($CI176)/($CC176),""),"")</f>
        <v/>
      </c>
      <c r="CS176" s="67">
        <f>IFERROR(IF(($CD176)&gt;0,($CJ176)/($CD176),""),"")</f>
        <v/>
      </c>
      <c r="CT176" s="67">
        <f>IFERROR(IF(($CE176)&gt;0,($CK176)/($CE176),""),"")</f>
        <v/>
      </c>
      <c r="CU176" s="55">
        <f>SUMIFS(tblPlant[Gravity_Gold_oz],tblPlant[Date],$A176)</f>
        <v/>
      </c>
      <c r="CV176" s="55">
        <f>IF($B176=$B175,$CV175,0)+$CU176</f>
        <v/>
      </c>
      <c r="CW176" s="55">
        <f>$CW175+$CU176</f>
        <v/>
      </c>
      <c r="CX176" s="55">
        <f>SUMIFS(tblPlant[Gold_Poured_oz],tblPlant[Date],$A176)</f>
        <v/>
      </c>
      <c r="CY176" s="55">
        <f>IF($B176=$B175,$CY175,0)+$CX176</f>
        <v/>
      </c>
      <c r="CZ176" s="55">
        <f>$CZ175+$CX176</f>
        <v/>
      </c>
      <c r="DA176" s="57">
        <f>SUMIFS(tblPlant[Mill_Run_h],tblPlant[Date],$A176)</f>
        <v/>
      </c>
      <c r="DB176" s="57">
        <f>IF($B176=$B175,$DB175,0)+$DA176</f>
        <v/>
      </c>
      <c r="DC176" s="57">
        <f>$DC175+$DA176</f>
        <v/>
      </c>
      <c r="DD176" s="57">
        <f>SUMIFS(tblPlant[Mill_Planned_Maint_h],tblPlant[Date],$A176)</f>
        <v/>
      </c>
      <c r="DE176" s="57">
        <f>IF($B176=$B175,$DE175,0)+$DD176</f>
        <v/>
      </c>
      <c r="DF176" s="57">
        <f>$DF175+$DD176</f>
        <v/>
      </c>
      <c r="DG176" s="57">
        <f>SUMIFS(tblPlant[Mill_Unplanned_Down_h],tblPlant[Date],$A176)</f>
        <v/>
      </c>
      <c r="DH176" s="57">
        <f>IF($B176=$B175,$DH175,0)+$DG176</f>
        <v/>
      </c>
      <c r="DI176" s="57">
        <f>$DI175+$DG176</f>
        <v/>
      </c>
      <c r="DJ176" s="57">
        <f>COUNTIFS(tblPlant[Date],$A176,tblPlant[Mill_Run_h],"&lt;&gt;")*24</f>
        <v/>
      </c>
      <c r="DK176" s="57">
        <f>IF($B176=$B175,$DK175,0)+$DJ176</f>
        <v/>
      </c>
      <c r="DL176" s="57">
        <f>$DL175+$DJ176</f>
        <v/>
      </c>
      <c r="DM176" s="57">
        <f>SUMIFS(tblPlant[Crusher_Run_h],tblPlant[Date],$A176)</f>
        <v/>
      </c>
      <c r="DN176" s="57">
        <f>IF($B176=$B175,$DN175,0)+$DM176</f>
        <v/>
      </c>
      <c r="DO176" s="57">
        <f>$DO175+$DM176</f>
        <v/>
      </c>
      <c r="DP176" s="55">
        <f>IFERROR(IF(($DA176)&gt;0,($BZ176)/($DA176),""),"")</f>
        <v/>
      </c>
      <c r="DQ176" s="55">
        <f>IFERROR(IF(($DB176)&gt;0,($CA176)/($DB176),""),"")</f>
        <v/>
      </c>
      <c r="DR176" s="55">
        <f>IFERROR(IF(($DC176)&gt;0,($CB176)/($DC176),""),"")</f>
        <v/>
      </c>
      <c r="DS176" s="67">
        <f>IFERROR(IF(($DJ176)&gt;0,($DJ176-$DD176-$DG176)/($DJ176),""),"")</f>
        <v/>
      </c>
      <c r="DT176" s="67">
        <f>IFERROR(IF(($DK176)&gt;0,($DK176-$DE176-$DH176)/($DK176),""),"")</f>
        <v/>
      </c>
      <c r="DU176" s="67">
        <f>IFERROR(IF(($DL176)&gt;0,($DL176-$DF176-$DI176)/($DL176),""),"")</f>
        <v/>
      </c>
      <c r="DV176" s="67">
        <f>IFERROR(IF(($DJ176-$DD176-$DG176)&gt;0,($DA176)/($DJ176-$DD176-$DG176),""),"")</f>
        <v/>
      </c>
      <c r="DW176" s="67">
        <f>IFERROR(IF(($DK176-$DE176-$DH176)&gt;0,($DB176)/($DK176-$DE176-$DH176),""),"")</f>
        <v/>
      </c>
      <c r="DX176" s="67">
        <f>IFERROR(IF(($DL176-$DF176-$DI176)&gt;0,($DC176)/($DL176-$DF176-$DI176),""),"")</f>
        <v/>
      </c>
      <c r="DY176" s="55">
        <f>SUMIFS(tblPlant[Cyanide_kg],tblPlant[Date],$A176)</f>
        <v/>
      </c>
      <c r="DZ176" s="55">
        <f>IF($B176=$B175,$DZ175,0)+$DY176</f>
        <v/>
      </c>
      <c r="EA176" s="55">
        <f>$EA175+$DY176</f>
        <v/>
      </c>
      <c r="EB176" s="55">
        <f>SUMIFS(tblPlant[Lime_kg],tblPlant[Date],$A176)</f>
        <v/>
      </c>
      <c r="EC176" s="55">
        <f>IF($B176=$B175,$EC175,0)+$EB176</f>
        <v/>
      </c>
      <c r="ED176" s="55">
        <f>$ED175+$EB176</f>
        <v/>
      </c>
      <c r="EE176" s="55">
        <f>SUMIFS(tblPlant[Grinding_Media_kg],tblPlant[Date],$A176)</f>
        <v/>
      </c>
      <c r="EF176" s="55">
        <f>IF($B176=$B175,$EF175,0)+$EE176</f>
        <v/>
      </c>
      <c r="EG176" s="55">
        <f>$EG175+$EE176</f>
        <v/>
      </c>
      <c r="EH176" s="55">
        <f>SUMIFS(tblPlant[Power_kWh],tblPlant[Date],$A176)</f>
        <v/>
      </c>
      <c r="EI176" s="55">
        <f>IF($B176=$B175,$EI175,0)+$EH176</f>
        <v/>
      </c>
      <c r="EJ176" s="55">
        <f>$EJ175+$EH176</f>
        <v/>
      </c>
      <c r="EK176" s="55">
        <f>SUMIFS(tblPlant[Raw_Water_m3],tblPlant[Date],$A176)</f>
        <v/>
      </c>
      <c r="EL176" s="55">
        <f>IF($B176=$B175,$EL175,0)+$EK176</f>
        <v/>
      </c>
      <c r="EM176" s="55">
        <f>$EM175+$EK176</f>
        <v/>
      </c>
      <c r="EN176" s="56">
        <f>IFERROR(IF(($BZ176)&gt;0,($DY176)/($BZ176),""),"")</f>
        <v/>
      </c>
      <c r="EO176" s="56">
        <f>IFERROR(IF(($CA176)&gt;0,($DZ176)/($CA176),""),"")</f>
        <v/>
      </c>
      <c r="EP176" s="56">
        <f>IFERROR(IF(($CB176)&gt;0,($EA176)/($CB176),""),"")</f>
        <v/>
      </c>
      <c r="EQ176" s="56">
        <f>IFERROR(IF(($BZ176)&gt;0,($EB176)/($BZ176),""),"")</f>
        <v/>
      </c>
      <c r="ER176" s="56">
        <f>IFERROR(IF(($CA176)&gt;0,($EC176)/($CA176),""),"")</f>
        <v/>
      </c>
      <c r="ES176" s="56">
        <f>IFERROR(IF(($CB176)&gt;0,($ED176)/($CB176),""),"")</f>
        <v/>
      </c>
      <c r="ET176" s="56">
        <f>IFERROR(IF(($BZ176)&gt;0,($EE176)/($BZ176),""),"")</f>
        <v/>
      </c>
      <c r="EU176" s="56">
        <f>IFERROR(IF(($CA176)&gt;0,($EF176)/($CA176),""),"")</f>
        <v/>
      </c>
      <c r="EV176" s="56">
        <f>IFERROR(IF(($CB176)&gt;0,($EG176)/($CB176),""),"")</f>
        <v/>
      </c>
      <c r="EW176" s="76">
        <f>IFERROR(IF(($BZ176)&gt;0,($EH176)/($BZ176),""),"")</f>
        <v/>
      </c>
      <c r="EX176" s="76">
        <f>IFERROR(IF(($CA176)&gt;0,($EI176)/($CA176),""),"")</f>
        <v/>
      </c>
      <c r="EY176" s="76">
        <f>IFERROR(IF(($CB176)&gt;0,($EJ176)/($CB176),""),"")</f>
        <v/>
      </c>
      <c r="EZ176" s="56">
        <f>IFERROR(IF(($BZ176)&gt;0,($EK176)/($BZ176),""),"")</f>
        <v/>
      </c>
      <c r="FA176" s="56">
        <f>IFERROR(IF(($CA176)&gt;0,($EL176)/($CA176),""),"")</f>
        <v/>
      </c>
      <c r="FB176" s="56">
        <f>IFERROR(IF(($CB176)&gt;0,($EM176)/($CB176),""),"")</f>
        <v/>
      </c>
      <c r="FC176" s="55">
        <f>IF(SUMIFS(tblPlant[GIC_oz],tblPlant[Date],$A176)&gt;0,SUMIFS(tblPlant[GIC_oz],tblPlant[Date],$A176),"")</f>
        <v/>
      </c>
      <c r="FD176" s="55">
        <f>SUMIFS(tblGold[Gold_oz],tblGold[Date],$A176,tblGold[Type],"Shipment")</f>
        <v/>
      </c>
      <c r="FE176" s="55">
        <f>IF($B176=$B175,$FE175,0)+$FD176</f>
        <v/>
      </c>
      <c r="FF176" s="55">
        <f>$FF175+$FD176</f>
        <v/>
      </c>
      <c r="FG176" s="55">
        <f>SUMIFS(tblGold[Gold_oz],tblGold[Date],$A176,tblGold[Type],"Sale")</f>
        <v/>
      </c>
      <c r="FH176" s="55">
        <f>IF($B176=$B175,$FH175,0)+$FG176</f>
        <v/>
      </c>
      <c r="FI176" s="55">
        <f>$FI175+$FG176</f>
        <v/>
      </c>
      <c r="FJ176" s="55">
        <f>SUMIFS(tblGold[Dore_kg],tblGold[Date],$A176,tblGold[Type],"Shipment")</f>
        <v/>
      </c>
      <c r="FK176" s="55">
        <f>IF($B176=$B175,$FK175,0)+$FJ176</f>
        <v/>
      </c>
      <c r="FL176" s="55">
        <f>$FL175+$FJ176</f>
        <v/>
      </c>
      <c r="FM176" s="57">
        <f>SUMIFS(tblSafety[Hours_Total],tblSafety[Date],$A176)</f>
        <v/>
      </c>
      <c r="FN176" s="57">
        <f>IF($B176=$B175,$FN175,0)+$FM176</f>
        <v/>
      </c>
      <c r="FO176" s="57">
        <f>$FO175+$FM176</f>
        <v/>
      </c>
      <c r="FP176" s="62">
        <f>SUMIFS(tblSafety[Fatality],tblSafety[Date],$A176)</f>
        <v/>
      </c>
      <c r="FQ176" s="62">
        <f>IF($B176=$B175,$FQ175,0)+$FP176</f>
        <v/>
      </c>
      <c r="FR176" s="62">
        <f>$FR175+$FP176</f>
        <v/>
      </c>
      <c r="FS176" s="62">
        <f>SUMIFS(tblSafety[LTI],tblSafety[Date],$A176)</f>
        <v/>
      </c>
      <c r="FT176" s="62">
        <f>IF($B176=$B175,$FT175,0)+$FS176</f>
        <v/>
      </c>
      <c r="FU176" s="62">
        <f>$FU175+$FS176</f>
        <v/>
      </c>
      <c r="FV176" s="62">
        <f>SUMIFS(tblSafety[RWI],tblSafety[Date],$A176)</f>
        <v/>
      </c>
      <c r="FW176" s="62">
        <f>IF($B176=$B175,$FW175,0)+$FV176</f>
        <v/>
      </c>
      <c r="FX176" s="62">
        <f>$FX175+$FV176</f>
        <v/>
      </c>
      <c r="FY176" s="62">
        <f>SUMIFS(tblSafety[MTI],tblSafety[Date],$A176)</f>
        <v/>
      </c>
      <c r="FZ176" s="62">
        <f>IF($B176=$B175,$FZ175,0)+$FY176</f>
        <v/>
      </c>
      <c r="GA176" s="62">
        <f>$GA175+$FY176</f>
        <v/>
      </c>
      <c r="GB176" s="62">
        <f>SUMIFS(tblSafety[FAI],tblSafety[Date],$A176)</f>
        <v/>
      </c>
      <c r="GC176" s="62">
        <f>IF($B176=$B175,$GC175,0)+$GB176</f>
        <v/>
      </c>
      <c r="GD176" s="62">
        <f>$GD175+$GB176</f>
        <v/>
      </c>
      <c r="GE176" s="62">
        <f>SUMIFS(tblSafety[Recordables],tblSafety[Date],$A176)</f>
        <v/>
      </c>
      <c r="GF176" s="62">
        <f>IF($B176=$B175,$GF175,0)+$GE176</f>
        <v/>
      </c>
      <c r="GG176" s="62">
        <f>$GG175+$GE176</f>
        <v/>
      </c>
      <c r="GH176" s="62">
        <f>SUMIFS(tblSafety[Near_Miss],tblSafety[Date],$A176)</f>
        <v/>
      </c>
      <c r="GI176" s="62">
        <f>IF($B176=$B175,$GI175,0)+$GH176</f>
        <v/>
      </c>
      <c r="GJ176" s="62">
        <f>$GJ175+$GH176</f>
        <v/>
      </c>
      <c r="GK176" s="62">
        <f>SUMIFS(tblSafety[Hazard_Reports],tblSafety[Date],$A176)</f>
        <v/>
      </c>
      <c r="GL176" s="62">
        <f>IF($B176=$B175,$GL175,0)+$GK176</f>
        <v/>
      </c>
      <c r="GM176" s="62">
        <f>$GM175+$GK176</f>
        <v/>
      </c>
      <c r="GN176" s="62">
        <f>SUMIFS(tblSafety[HPI],tblSafety[Date],$A176)</f>
        <v/>
      </c>
      <c r="GO176" s="62">
        <f>IF($B176=$B175,$GO175,0)+$GN176</f>
        <v/>
      </c>
      <c r="GP176" s="62">
        <f>$GP175+$GN176</f>
        <v/>
      </c>
      <c r="GQ176" s="62">
        <f>SUMIFS(tblSafety[Env_Incidents],tblSafety[Date],$A176)</f>
        <v/>
      </c>
      <c r="GR176" s="62">
        <f>IF($B176=$B175,$GR175,0)+$GQ176</f>
        <v/>
      </c>
      <c r="GS176" s="62">
        <f>$GS175+$GQ176</f>
        <v/>
      </c>
      <c r="GT176" s="62">
        <f>SUMIFS(tblSafety[Community_Incidents],tblSafety[Date],$A176)</f>
        <v/>
      </c>
      <c r="GU176" s="62">
        <f>IF($B176=$B175,$GU175,0)+$GT176</f>
        <v/>
      </c>
      <c r="GV176" s="62">
        <f>$GV175+$GT176</f>
        <v/>
      </c>
      <c r="GW176" s="62">
        <f>SUMIFS(tblSafety[Vehicle_Incidents],tblSafety[Date],$A176)</f>
        <v/>
      </c>
      <c r="GX176" s="62">
        <f>IF($B176=$B175,$GX175,0)+$GW176</f>
        <v/>
      </c>
      <c r="GY176" s="62">
        <f>$GY175+$GW176</f>
        <v/>
      </c>
      <c r="GZ176" s="62">
        <f>SUMIFS(tblSafety[Toolbox_Talks],tblSafety[Date],$A176)</f>
        <v/>
      </c>
      <c r="HA176" s="62">
        <f>IF($B176=$B175,$HA175,0)+$GZ176</f>
        <v/>
      </c>
      <c r="HB176" s="62">
        <f>$HB175+$GZ176</f>
        <v/>
      </c>
      <c r="HC176" s="62">
        <f>SUMIFS(tblSafety[Inspections],tblSafety[Date],$A176)</f>
        <v/>
      </c>
      <c r="HD176" s="62">
        <f>IF($B176=$B175,$HD175,0)+$HC176</f>
        <v/>
      </c>
      <c r="HE176" s="62">
        <f>$HE175+$HC176</f>
        <v/>
      </c>
      <c r="HF176" s="56">
        <f>IFERROR((SUMIFS(tblSafety[Recordables],tblSafety[Date],"&gt;="&amp;EDATE($E176,-12),tblSafety[Date],"&lt;="&amp;$A176)+SUMIFS(tblSafetyHistory[Recordables],tblSafetyHistory[Month],"&gt;="&amp;EDATE($E176,-12),tblSafetyHistory[Month],"&lt;"&amp;cfg_YearStart))/(SUMIFS(tblSafety[Hours_Total],tblSafety[Date],"&gt;="&amp;EDATE($E176,-12),tblSafety[Date],"&lt;="&amp;$A176)+SUMIFS(tblSafetyHistory[Hours_Total],tblSafetyHistory[Month],"&gt;="&amp;EDATE($E176,-12),tblSafetyHistory[Month],"&lt;"&amp;cfg_YearStart))*1000000,"")</f>
        <v/>
      </c>
      <c r="HG176" s="56">
        <f>IFERROR((SUMIFS(tblSafety[LTI],tblSafety[Date],"&gt;="&amp;EDATE($E176,-12),tblSafety[Date],"&lt;="&amp;$A176)+SUMIFS(tblSafetyHistory[LTI],tblSafetyHistory[Month],"&gt;="&amp;EDATE($E176,-12),tblSafetyHistory[Month],"&lt;"&amp;cfg_YearStart))/(SUMIFS(tblSafety[Hours_Total],tblSafety[Date],"&gt;="&amp;EDATE($E176,-12),tblSafety[Date],"&lt;="&amp;$A176)+SUMIFS(tblSafetyHistory[Hours_Total],tblSafetyHistory[Month],"&gt;="&amp;EDATE($E176,-12),tblSafetyHistory[Month],"&lt;"&amp;cfg_YearStart))*1000000,"")</f>
        <v/>
      </c>
      <c r="HH176" s="62">
        <f>IF(MAX(N(cfg_PriorLTIDate),_xlfn.MAXIFS(tblSafety[Date],tblSafety[LTI],"&gt;0",tblSafety[Date],"&lt;="&amp;$A176))=0,"",$A176-MAX(N(cfg_PriorLTIDate),_xlfn.MAXIFS(tblSafety[Date],tblSafety[LTI],"&gt;0",tblSafety[Date],"&lt;="&amp;$A176)))</f>
        <v/>
      </c>
      <c r="HI176" s="55">
        <f>SUMIFS(tblBudget[Ore_Mined_t],tblBudget[Month],$E176)</f>
        <v/>
      </c>
      <c r="HJ176" s="55">
        <f>$HI176*$C176/$D176</f>
        <v/>
      </c>
      <c r="HK176" s="55">
        <f>SUMIFS(tblBudget[Ore_Mined_t],tblBudget[Month],"&lt;"&amp;$E176)+$HJ176</f>
        <v/>
      </c>
      <c r="HL176" s="55">
        <f>SUMIFS(tblBudget[Ore_oz],tblBudget[Month],$E176)</f>
        <v/>
      </c>
      <c r="HM176" s="55">
        <f>$HL176*$C176/$D176</f>
        <v/>
      </c>
      <c r="HN176" s="55">
        <f>SUMIFS(tblBudget[Ore_oz],tblBudget[Month],"&lt;"&amp;$E176)+$HM176</f>
        <v/>
      </c>
      <c r="HO176" s="56">
        <f>IFERROR(IF(($HI176)&gt;0,($HL176*cfg_TroyOz)/($HI176),""),"")</f>
        <v/>
      </c>
      <c r="HP176" s="56">
        <f>IFERROR(IF(($HJ176)&gt;0,($HM176*cfg_TroyOz)/($HJ176),""),"")</f>
        <v/>
      </c>
      <c r="HQ176" s="56">
        <f>IFERROR(IF(($HK176)&gt;0,($HN176*cfg_TroyOz)/($HK176),""),"")</f>
        <v/>
      </c>
      <c r="HR176" s="55">
        <f>SUMIFS(tblBudget[Waste_t],tblBudget[Month],$E176)</f>
        <v/>
      </c>
      <c r="HS176" s="55">
        <f>$HR176*$C176/$D176</f>
        <v/>
      </c>
      <c r="HT176" s="55">
        <f>SUMIFS(tblBudget[Waste_t],tblBudget[Month],"&lt;"&amp;$E176)+$HS176</f>
        <v/>
      </c>
      <c r="HU176" s="55">
        <f>SUMIFS(tblBudget[TMM_t],tblBudget[Month],$E176)</f>
        <v/>
      </c>
      <c r="HV176" s="55">
        <f>$HU176*$C176/$D176</f>
        <v/>
      </c>
      <c r="HW176" s="55">
        <f>SUMIFS(tblBudget[TMM_t],tblBudget[Month],"&lt;"&amp;$E176)+$HV176</f>
        <v/>
      </c>
      <c r="HX176" s="56">
        <f>IFERROR(IF(($HI176)&gt;0,($HR176)/($HI176),""),"")</f>
        <v/>
      </c>
      <c r="HY176" s="56">
        <f>IFERROR(IF(($HJ176)&gt;0,($HS176)/($HJ176),""),"")</f>
        <v/>
      </c>
      <c r="HZ176" s="56">
        <f>IFERROR(IF(($HK176)&gt;0,($HT176)/($HK176),""),"")</f>
        <v/>
      </c>
      <c r="IA176" s="55">
        <f>SUMIFS(tblBudget[Drill_m],tblBudget[Month],$E176)</f>
        <v/>
      </c>
      <c r="IB176" s="55">
        <f>$IA176*$C176/$D176</f>
        <v/>
      </c>
      <c r="IC176" s="55">
        <f>SUMIFS(tblBudget[Drill_m],tblBudget[Month],"&lt;"&amp;$E176)+$IB176</f>
        <v/>
      </c>
      <c r="ID176" s="55">
        <f>SUMIFS(tblBudget[Diesel_L],tblBudget[Month],$E176)</f>
        <v/>
      </c>
      <c r="IE176" s="55">
        <f>$ID176*$C176/$D176</f>
        <v/>
      </c>
      <c r="IF176" s="55">
        <f>SUMIFS(tblBudget[Diesel_L],tblBudget[Month],"&lt;"&amp;$E176)+$IE176</f>
        <v/>
      </c>
      <c r="IG176" s="55">
        <f>SUMIFS(tblBudget[Milled_t],tblBudget[Month],$E176)</f>
        <v/>
      </c>
      <c r="IH176" s="55">
        <f>$IG176*$C176/$D176</f>
        <v/>
      </c>
      <c r="II176" s="55">
        <f>SUMIFS(tblBudget[Milled_t],tblBudget[Month],"&lt;"&amp;$E176)+$IH176</f>
        <v/>
      </c>
      <c r="IJ176" s="55">
        <f>SUMIFS(tblBudget[Feed_oz],tblBudget[Month],$E176)</f>
        <v/>
      </c>
      <c r="IK176" s="55">
        <f>$IJ176*$C176/$D176</f>
        <v/>
      </c>
      <c r="IL176" s="55">
        <f>SUMIFS(tblBudget[Feed_oz],tblBudget[Month],"&lt;"&amp;$E176)+$IK176</f>
        <v/>
      </c>
      <c r="IM176" s="55">
        <f>SUMIFS(tblBudget[Recovered_oz],tblBudget[Month],$E176)</f>
        <v/>
      </c>
      <c r="IN176" s="55">
        <f>$IM176*$C176/$D176</f>
        <v/>
      </c>
      <c r="IO176" s="55">
        <f>SUMIFS(tblBudget[Recovered_oz],tblBudget[Month],"&lt;"&amp;$E176)+$IN176</f>
        <v/>
      </c>
      <c r="IP176" s="56">
        <f>IFERROR(IF(($IG176)&gt;0,($IJ176*cfg_TroyOz)/($IG176),""),"")</f>
        <v/>
      </c>
      <c r="IQ176" s="56">
        <f>IFERROR(IF(($IH176)&gt;0,($IK176*cfg_TroyOz)/($IH176),""),"")</f>
        <v/>
      </c>
      <c r="IR176" s="56">
        <f>IFERROR(IF(($II176)&gt;0,($IL176*cfg_TroyOz)/($II176),""),"")</f>
        <v/>
      </c>
      <c r="IS176" s="67">
        <f>IFERROR(IF(($IJ176)&gt;0,($IM176)/($IJ176),""),"")</f>
        <v/>
      </c>
      <c r="IT176" s="67">
        <f>IFERROR(IF(($IK176)&gt;0,($IN176)/($IK176),""),"")</f>
        <v/>
      </c>
      <c r="IU176" s="67">
        <f>IFERROR(IF(($IL176)&gt;0,($IO176)/($IL176),""),"")</f>
        <v/>
      </c>
      <c r="IV176" s="55">
        <f>SUMIFS(tblBudget[Gold_Poured_oz],tblBudget[Month],$E176)</f>
        <v/>
      </c>
      <c r="IW176" s="55">
        <f>$IV176*$C176/$D176</f>
        <v/>
      </c>
      <c r="IX176" s="55">
        <f>SUMIFS(tblBudget[Gold_Poured_oz],tblBudget[Month],"&lt;"&amp;$E176)+$IW176</f>
        <v/>
      </c>
      <c r="IY176" s="57">
        <f>SUMIFS(tblBudget[Hours_Worked],tblBudget[Month],$E176)</f>
        <v/>
      </c>
      <c r="IZ176" s="57">
        <f>$IY176*$C176/$D176</f>
        <v/>
      </c>
      <c r="JA176" s="57">
        <f>SUMIFS(tblBudget[Hours_Worked],tblBudget[Month],"&lt;"&amp;$E176)+$IZ176</f>
        <v/>
      </c>
    </row>
    <row r="177">
      <c r="A177" s="54" t="n">
        <v>46198</v>
      </c>
      <c r="B177">
        <f>MONTH($A177)</f>
        <v/>
      </c>
      <c r="C177">
        <f>DAY($A177)</f>
        <v/>
      </c>
      <c r="D177">
        <f>DAY(EOMONTH($A177,0))</f>
        <v/>
      </c>
      <c r="E177" s="54">
        <f>DATE(YEAR($A177),MONTH($A177),1)</f>
        <v/>
      </c>
      <c r="F177" s="55">
        <f>SUMIFS(tblMovement[Tonnes_t],tblMovement[Date],$A177,tblMovement[Is_Ore],1,tblMovement[Source_Type],"Pit")</f>
        <v/>
      </c>
      <c r="G177" s="55">
        <f>IF($B177=$B176,$G176,0)+$F177</f>
        <v/>
      </c>
      <c r="H177" s="55">
        <f>$H176+$F177</f>
        <v/>
      </c>
      <c r="I177" s="55">
        <f>SUMIFS(tblMovement[Ore_oz],tblMovement[Date],$A177,tblMovement[Source_Type],"Pit")</f>
        <v/>
      </c>
      <c r="J177" s="55">
        <f>IF($B177=$B176,$J176,0)+$I177</f>
        <v/>
      </c>
      <c r="K177" s="55">
        <f>$K176+$I177</f>
        <v/>
      </c>
      <c r="L177" s="56">
        <f>IFERROR(IF(($F177)&gt;0,($I177*cfg_TroyOz)/($F177),""),"")</f>
        <v/>
      </c>
      <c r="M177" s="56">
        <f>IFERROR(IF(($G177)&gt;0,($J177*cfg_TroyOz)/($G177),""),"")</f>
        <v/>
      </c>
      <c r="N177" s="56">
        <f>IFERROR(IF(($H177)&gt;0,($K177*cfg_TroyOz)/($H177),""),"")</f>
        <v/>
      </c>
      <c r="O177" s="55">
        <f>SUMIFS(tblMovement[Tonnes_t],tblMovement[Date],$A177,tblMovement[Is_Ore],0,tblMovement[Source_Type],"Pit")</f>
        <v/>
      </c>
      <c r="P177" s="55">
        <f>IF($B177=$B176,$P176,0)+$O177</f>
        <v/>
      </c>
      <c r="Q177" s="55">
        <f>$Q176+$O177</f>
        <v/>
      </c>
      <c r="R177" s="55">
        <f>$F177+$O177</f>
        <v/>
      </c>
      <c r="S177" s="55">
        <f>IF($B177=$B176,$S176,0)+$R177</f>
        <v/>
      </c>
      <c r="T177" s="55">
        <f>$T176+$R177</f>
        <v/>
      </c>
      <c r="U177" s="56">
        <f>IFERROR(IF(($F177)&gt;0,($O177)/($F177),""),"")</f>
        <v/>
      </c>
      <c r="V177" s="56">
        <f>IFERROR(IF(($G177)&gt;0,($P177)/($G177),""),"")</f>
        <v/>
      </c>
      <c r="W177" s="56">
        <f>IFERROR(IF(($H177)&gt;0,($Q177)/($H177),""),"")</f>
        <v/>
      </c>
      <c r="X177" s="55">
        <f>SUMIFS(tblMovement[Tonnes_t],tblMovement[Date],$A177,tblMovement[Source_Type],"Stockpile")</f>
        <v/>
      </c>
      <c r="Y177" s="55">
        <f>IF($B177=$B176,$Y176,0)+$X177</f>
        <v/>
      </c>
      <c r="Z177" s="55">
        <f>$Z176+$X177</f>
        <v/>
      </c>
      <c r="AA177" s="55">
        <f>SUMIFS(tblMiningDaily[Drill_m],tblMiningDaily[Date],$A177)</f>
        <v/>
      </c>
      <c r="AB177" s="55">
        <f>IF($B177=$B176,$AB176,0)+$AA177</f>
        <v/>
      </c>
      <c r="AC177" s="55">
        <f>$AC176+$AA177</f>
        <v/>
      </c>
      <c r="AD177" s="55">
        <f>SUMIFS(tblMiningDaily[Blast_t],tblMiningDaily[Date],$A177)</f>
        <v/>
      </c>
      <c r="AE177" s="55">
        <f>IF($B177=$B176,$AE176,0)+$AD177</f>
        <v/>
      </c>
      <c r="AF177" s="55">
        <f>$AF176+$AD177</f>
        <v/>
      </c>
      <c r="AG177" s="55">
        <f>SUMIFS(tblMiningDaily[Explosives_kg],tblMiningDaily[Date],$A177)</f>
        <v/>
      </c>
      <c r="AH177" s="55">
        <f>IF($B177=$B176,$AH176,0)+$AG177</f>
        <v/>
      </c>
      <c r="AI177" s="55">
        <f>$AI176+$AG177</f>
        <v/>
      </c>
      <c r="AJ177" s="56">
        <f>IFERROR(IF(($AD177)&gt;0,($AG177)/($AD177),""),"")</f>
        <v/>
      </c>
      <c r="AK177" s="56">
        <f>IFERROR(IF(($AE177)&gt;0,($AH177)/($AE177),""),"")</f>
        <v/>
      </c>
      <c r="AL177" s="56">
        <f>IFERROR(IF(($AF177)&gt;0,($AI177)/($AF177),""),"")</f>
        <v/>
      </c>
      <c r="AM177" s="55">
        <f>SUMIFS(tblMiningDaily[Diesel_L],tblMiningDaily[Date],$A177)</f>
        <v/>
      </c>
      <c r="AN177" s="55">
        <f>IF($B177=$B176,$AN176,0)+$AM177</f>
        <v/>
      </c>
      <c r="AO177" s="55">
        <f>$AO176+$AM177</f>
        <v/>
      </c>
      <c r="AP177" s="55">
        <f>SUMIFS(tblMiningDaily[Dewatering_m3],tblMiningDaily[Date],$A177)</f>
        <v/>
      </c>
      <c r="AQ177" s="55">
        <f>IF($B177=$B176,$AQ176,0)+$AP177</f>
        <v/>
      </c>
      <c r="AR177" s="55">
        <f>$AR176+$AP177</f>
        <v/>
      </c>
      <c r="AS177" s="57">
        <f>SUMIFS(tblFleet[Calendar_h],tblFleet[Date],$A177,tblFleet[Equipment_Class],"Excavator")</f>
        <v/>
      </c>
      <c r="AT177" s="57">
        <f>IF($B177=$B176,$AT176,0)+$AS177</f>
        <v/>
      </c>
      <c r="AU177" s="57">
        <f>$AU176+$AS177</f>
        <v/>
      </c>
      <c r="AV177" s="57">
        <f>SUMIFS(tblFleet[Available_h],tblFleet[Date],$A177,tblFleet[Equipment_Class],"Excavator")</f>
        <v/>
      </c>
      <c r="AW177" s="57">
        <f>IF($B177=$B176,$AW176,0)+$AV177</f>
        <v/>
      </c>
      <c r="AX177" s="57">
        <f>$AX176+$AV177</f>
        <v/>
      </c>
      <c r="AY177" s="57">
        <f>SUMIFS(tblFleet[Operating_h],tblFleet[Date],$A177,tblFleet[Equipment_Class],"Excavator")</f>
        <v/>
      </c>
      <c r="AZ177" s="57">
        <f>IF($B177=$B176,$AZ176,0)+$AY177</f>
        <v/>
      </c>
      <c r="BA177" s="57">
        <f>$BA176+$AY177</f>
        <v/>
      </c>
      <c r="BB177" s="67">
        <f>IFERROR(IF(($AS177)&gt;0,($AV177)/($AS177),""),"")</f>
        <v/>
      </c>
      <c r="BC177" s="67">
        <f>IFERROR(IF(($AT177)&gt;0,($AW177)/($AT177),""),"")</f>
        <v/>
      </c>
      <c r="BD177" s="67">
        <f>IFERROR(IF(($AU177)&gt;0,($AX177)/($AU177),""),"")</f>
        <v/>
      </c>
      <c r="BE177" s="67">
        <f>IFERROR(IF(($AV177)&gt;0,($AY177)/($AV177),""),"")</f>
        <v/>
      </c>
      <c r="BF177" s="67">
        <f>IFERROR(IF(($AW177)&gt;0,($AZ177)/($AW177),""),"")</f>
        <v/>
      </c>
      <c r="BG177" s="67">
        <f>IFERROR(IF(($AX177)&gt;0,($BA177)/($AX177),""),"")</f>
        <v/>
      </c>
      <c r="BH177" s="57">
        <f>SUMIFS(tblFleet[Calendar_h],tblFleet[Date],$A177,tblFleet[Equipment_Class],"Haul Truck")</f>
        <v/>
      </c>
      <c r="BI177" s="57">
        <f>IF($B177=$B176,$BI176,0)+$BH177</f>
        <v/>
      </c>
      <c r="BJ177" s="57">
        <f>$BJ176+$BH177</f>
        <v/>
      </c>
      <c r="BK177" s="57">
        <f>SUMIFS(tblFleet[Available_h],tblFleet[Date],$A177,tblFleet[Equipment_Class],"Haul Truck")</f>
        <v/>
      </c>
      <c r="BL177" s="57">
        <f>IF($B177=$B176,$BL176,0)+$BK177</f>
        <v/>
      </c>
      <c r="BM177" s="57">
        <f>$BM176+$BK177</f>
        <v/>
      </c>
      <c r="BN177" s="57">
        <f>SUMIFS(tblFleet[Operating_h],tblFleet[Date],$A177,tblFleet[Equipment_Class],"Haul Truck")</f>
        <v/>
      </c>
      <c r="BO177" s="57">
        <f>IF($B177=$B176,$BO176,0)+$BN177</f>
        <v/>
      </c>
      <c r="BP177" s="57">
        <f>$BP176+$BN177</f>
        <v/>
      </c>
      <c r="BQ177" s="67">
        <f>IFERROR(IF(($BH177)&gt;0,($BK177)/($BH177),""),"")</f>
        <v/>
      </c>
      <c r="BR177" s="67">
        <f>IFERROR(IF(($BI177)&gt;0,($BL177)/($BI177),""),"")</f>
        <v/>
      </c>
      <c r="BS177" s="67">
        <f>IFERROR(IF(($BJ177)&gt;0,($BM177)/($BJ177),""),"")</f>
        <v/>
      </c>
      <c r="BT177" s="67">
        <f>IFERROR(IF(($BK177)&gt;0,($BN177)/($BK177),""),"")</f>
        <v/>
      </c>
      <c r="BU177" s="67">
        <f>IFERROR(IF(($BL177)&gt;0,($BO177)/($BL177),""),"")</f>
        <v/>
      </c>
      <c r="BV177" s="67">
        <f>IFERROR(IF(($BM177)&gt;0,($BP177)/($BM177),""),"")</f>
        <v/>
      </c>
      <c r="BW177" s="55">
        <f>SUMIFS(tblPlant[Crushed_t],tblPlant[Date],$A177)</f>
        <v/>
      </c>
      <c r="BX177" s="55">
        <f>IF($B177=$B176,$BX176,0)+$BW177</f>
        <v/>
      </c>
      <c r="BY177" s="55">
        <f>$BY176+$BW177</f>
        <v/>
      </c>
      <c r="BZ177" s="55">
        <f>SUMIFS(tblPlant[Milled_t],tblPlant[Date],$A177)</f>
        <v/>
      </c>
      <c r="CA177" s="55">
        <f>IF($B177=$B176,$CA176,0)+$BZ177</f>
        <v/>
      </c>
      <c r="CB177" s="55">
        <f>$CB176+$BZ177</f>
        <v/>
      </c>
      <c r="CC177" s="55">
        <f>SUMIFS(tblPlant[Feed_oz],tblPlant[Date],$A177)</f>
        <v/>
      </c>
      <c r="CD177" s="55">
        <f>IF($B177=$B176,$CD176,0)+$CC177</f>
        <v/>
      </c>
      <c r="CE177" s="55">
        <f>$CE176+$CC177</f>
        <v/>
      </c>
      <c r="CF177" s="55">
        <f>SUMIFS(tblPlant[Tails_oz],tblPlant[Date],$A177)</f>
        <v/>
      </c>
      <c r="CG177" s="55">
        <f>IF($B177=$B176,$CG176,0)+$CF177</f>
        <v/>
      </c>
      <c r="CH177" s="55">
        <f>$CH176+$CF177</f>
        <v/>
      </c>
      <c r="CI177" s="55">
        <f>SUMIFS(tblPlant[Recovered_oz],tblPlant[Date],$A177)</f>
        <v/>
      </c>
      <c r="CJ177" s="55">
        <f>IF($B177=$B176,$CJ176,0)+$CI177</f>
        <v/>
      </c>
      <c r="CK177" s="55">
        <f>$CK176+$CI177</f>
        <v/>
      </c>
      <c r="CL177" s="56">
        <f>IFERROR(IF(($BZ177)&gt;0,($CC177*cfg_TroyOz)/($BZ177),""),"")</f>
        <v/>
      </c>
      <c r="CM177" s="56">
        <f>IFERROR(IF(($CA177)&gt;0,($CD177*cfg_TroyOz)/($CA177),""),"")</f>
        <v/>
      </c>
      <c r="CN177" s="56">
        <f>IFERROR(IF(($CB177)&gt;0,($CE177*cfg_TroyOz)/($CB177),""),"")</f>
        <v/>
      </c>
      <c r="CO177" s="56">
        <f>IFERROR(IF(($BZ177)&gt;0,($CF177*cfg_TroyOz)/($BZ177),""),"")</f>
        <v/>
      </c>
      <c r="CP177" s="56">
        <f>IFERROR(IF(($CA177)&gt;0,($CG177*cfg_TroyOz)/($CA177),""),"")</f>
        <v/>
      </c>
      <c r="CQ177" s="56">
        <f>IFERROR(IF(($CB177)&gt;0,($CH177*cfg_TroyOz)/($CB177),""),"")</f>
        <v/>
      </c>
      <c r="CR177" s="67">
        <f>IFERROR(IF(($CC177)&gt;0,($CI177)/($CC177),""),"")</f>
        <v/>
      </c>
      <c r="CS177" s="67">
        <f>IFERROR(IF(($CD177)&gt;0,($CJ177)/($CD177),""),"")</f>
        <v/>
      </c>
      <c r="CT177" s="67">
        <f>IFERROR(IF(($CE177)&gt;0,($CK177)/($CE177),""),"")</f>
        <v/>
      </c>
      <c r="CU177" s="55">
        <f>SUMIFS(tblPlant[Gravity_Gold_oz],tblPlant[Date],$A177)</f>
        <v/>
      </c>
      <c r="CV177" s="55">
        <f>IF($B177=$B176,$CV176,0)+$CU177</f>
        <v/>
      </c>
      <c r="CW177" s="55">
        <f>$CW176+$CU177</f>
        <v/>
      </c>
      <c r="CX177" s="55">
        <f>SUMIFS(tblPlant[Gold_Poured_oz],tblPlant[Date],$A177)</f>
        <v/>
      </c>
      <c r="CY177" s="55">
        <f>IF($B177=$B176,$CY176,0)+$CX177</f>
        <v/>
      </c>
      <c r="CZ177" s="55">
        <f>$CZ176+$CX177</f>
        <v/>
      </c>
      <c r="DA177" s="57">
        <f>SUMIFS(tblPlant[Mill_Run_h],tblPlant[Date],$A177)</f>
        <v/>
      </c>
      <c r="DB177" s="57">
        <f>IF($B177=$B176,$DB176,0)+$DA177</f>
        <v/>
      </c>
      <c r="DC177" s="57">
        <f>$DC176+$DA177</f>
        <v/>
      </c>
      <c r="DD177" s="57">
        <f>SUMIFS(tblPlant[Mill_Planned_Maint_h],tblPlant[Date],$A177)</f>
        <v/>
      </c>
      <c r="DE177" s="57">
        <f>IF($B177=$B176,$DE176,0)+$DD177</f>
        <v/>
      </c>
      <c r="DF177" s="57">
        <f>$DF176+$DD177</f>
        <v/>
      </c>
      <c r="DG177" s="57">
        <f>SUMIFS(tblPlant[Mill_Unplanned_Down_h],tblPlant[Date],$A177)</f>
        <v/>
      </c>
      <c r="DH177" s="57">
        <f>IF($B177=$B176,$DH176,0)+$DG177</f>
        <v/>
      </c>
      <c r="DI177" s="57">
        <f>$DI176+$DG177</f>
        <v/>
      </c>
      <c r="DJ177" s="57">
        <f>COUNTIFS(tblPlant[Date],$A177,tblPlant[Mill_Run_h],"&lt;&gt;")*24</f>
        <v/>
      </c>
      <c r="DK177" s="57">
        <f>IF($B177=$B176,$DK176,0)+$DJ177</f>
        <v/>
      </c>
      <c r="DL177" s="57">
        <f>$DL176+$DJ177</f>
        <v/>
      </c>
      <c r="DM177" s="57">
        <f>SUMIFS(tblPlant[Crusher_Run_h],tblPlant[Date],$A177)</f>
        <v/>
      </c>
      <c r="DN177" s="57">
        <f>IF($B177=$B176,$DN176,0)+$DM177</f>
        <v/>
      </c>
      <c r="DO177" s="57">
        <f>$DO176+$DM177</f>
        <v/>
      </c>
      <c r="DP177" s="55">
        <f>IFERROR(IF(($DA177)&gt;0,($BZ177)/($DA177),""),"")</f>
        <v/>
      </c>
      <c r="DQ177" s="55">
        <f>IFERROR(IF(($DB177)&gt;0,($CA177)/($DB177),""),"")</f>
        <v/>
      </c>
      <c r="DR177" s="55">
        <f>IFERROR(IF(($DC177)&gt;0,($CB177)/($DC177),""),"")</f>
        <v/>
      </c>
      <c r="DS177" s="67">
        <f>IFERROR(IF(($DJ177)&gt;0,($DJ177-$DD177-$DG177)/($DJ177),""),"")</f>
        <v/>
      </c>
      <c r="DT177" s="67">
        <f>IFERROR(IF(($DK177)&gt;0,($DK177-$DE177-$DH177)/($DK177),""),"")</f>
        <v/>
      </c>
      <c r="DU177" s="67">
        <f>IFERROR(IF(($DL177)&gt;0,($DL177-$DF177-$DI177)/($DL177),""),"")</f>
        <v/>
      </c>
      <c r="DV177" s="67">
        <f>IFERROR(IF(($DJ177-$DD177-$DG177)&gt;0,($DA177)/($DJ177-$DD177-$DG177),""),"")</f>
        <v/>
      </c>
      <c r="DW177" s="67">
        <f>IFERROR(IF(($DK177-$DE177-$DH177)&gt;0,($DB177)/($DK177-$DE177-$DH177),""),"")</f>
        <v/>
      </c>
      <c r="DX177" s="67">
        <f>IFERROR(IF(($DL177-$DF177-$DI177)&gt;0,($DC177)/($DL177-$DF177-$DI177),""),"")</f>
        <v/>
      </c>
      <c r="DY177" s="55">
        <f>SUMIFS(tblPlant[Cyanide_kg],tblPlant[Date],$A177)</f>
        <v/>
      </c>
      <c r="DZ177" s="55">
        <f>IF($B177=$B176,$DZ176,0)+$DY177</f>
        <v/>
      </c>
      <c r="EA177" s="55">
        <f>$EA176+$DY177</f>
        <v/>
      </c>
      <c r="EB177" s="55">
        <f>SUMIFS(tblPlant[Lime_kg],tblPlant[Date],$A177)</f>
        <v/>
      </c>
      <c r="EC177" s="55">
        <f>IF($B177=$B176,$EC176,0)+$EB177</f>
        <v/>
      </c>
      <c r="ED177" s="55">
        <f>$ED176+$EB177</f>
        <v/>
      </c>
      <c r="EE177" s="55">
        <f>SUMIFS(tblPlant[Grinding_Media_kg],tblPlant[Date],$A177)</f>
        <v/>
      </c>
      <c r="EF177" s="55">
        <f>IF($B177=$B176,$EF176,0)+$EE177</f>
        <v/>
      </c>
      <c r="EG177" s="55">
        <f>$EG176+$EE177</f>
        <v/>
      </c>
      <c r="EH177" s="55">
        <f>SUMIFS(tblPlant[Power_kWh],tblPlant[Date],$A177)</f>
        <v/>
      </c>
      <c r="EI177" s="55">
        <f>IF($B177=$B176,$EI176,0)+$EH177</f>
        <v/>
      </c>
      <c r="EJ177" s="55">
        <f>$EJ176+$EH177</f>
        <v/>
      </c>
      <c r="EK177" s="55">
        <f>SUMIFS(tblPlant[Raw_Water_m3],tblPlant[Date],$A177)</f>
        <v/>
      </c>
      <c r="EL177" s="55">
        <f>IF($B177=$B176,$EL176,0)+$EK177</f>
        <v/>
      </c>
      <c r="EM177" s="55">
        <f>$EM176+$EK177</f>
        <v/>
      </c>
      <c r="EN177" s="56">
        <f>IFERROR(IF(($BZ177)&gt;0,($DY177)/($BZ177),""),"")</f>
        <v/>
      </c>
      <c r="EO177" s="56">
        <f>IFERROR(IF(($CA177)&gt;0,($DZ177)/($CA177),""),"")</f>
        <v/>
      </c>
      <c r="EP177" s="56">
        <f>IFERROR(IF(($CB177)&gt;0,($EA177)/($CB177),""),"")</f>
        <v/>
      </c>
      <c r="EQ177" s="56">
        <f>IFERROR(IF(($BZ177)&gt;0,($EB177)/($BZ177),""),"")</f>
        <v/>
      </c>
      <c r="ER177" s="56">
        <f>IFERROR(IF(($CA177)&gt;0,($EC177)/($CA177),""),"")</f>
        <v/>
      </c>
      <c r="ES177" s="56">
        <f>IFERROR(IF(($CB177)&gt;0,($ED177)/($CB177),""),"")</f>
        <v/>
      </c>
      <c r="ET177" s="56">
        <f>IFERROR(IF(($BZ177)&gt;0,($EE177)/($BZ177),""),"")</f>
        <v/>
      </c>
      <c r="EU177" s="56">
        <f>IFERROR(IF(($CA177)&gt;0,($EF177)/($CA177),""),"")</f>
        <v/>
      </c>
      <c r="EV177" s="56">
        <f>IFERROR(IF(($CB177)&gt;0,($EG177)/($CB177),""),"")</f>
        <v/>
      </c>
      <c r="EW177" s="76">
        <f>IFERROR(IF(($BZ177)&gt;0,($EH177)/($BZ177),""),"")</f>
        <v/>
      </c>
      <c r="EX177" s="76">
        <f>IFERROR(IF(($CA177)&gt;0,($EI177)/($CA177),""),"")</f>
        <v/>
      </c>
      <c r="EY177" s="76">
        <f>IFERROR(IF(($CB177)&gt;0,($EJ177)/($CB177),""),"")</f>
        <v/>
      </c>
      <c r="EZ177" s="56">
        <f>IFERROR(IF(($BZ177)&gt;0,($EK177)/($BZ177),""),"")</f>
        <v/>
      </c>
      <c r="FA177" s="56">
        <f>IFERROR(IF(($CA177)&gt;0,($EL177)/($CA177),""),"")</f>
        <v/>
      </c>
      <c r="FB177" s="56">
        <f>IFERROR(IF(($CB177)&gt;0,($EM177)/($CB177),""),"")</f>
        <v/>
      </c>
      <c r="FC177" s="55">
        <f>IF(SUMIFS(tblPlant[GIC_oz],tblPlant[Date],$A177)&gt;0,SUMIFS(tblPlant[GIC_oz],tblPlant[Date],$A177),"")</f>
        <v/>
      </c>
      <c r="FD177" s="55">
        <f>SUMIFS(tblGold[Gold_oz],tblGold[Date],$A177,tblGold[Type],"Shipment")</f>
        <v/>
      </c>
      <c r="FE177" s="55">
        <f>IF($B177=$B176,$FE176,0)+$FD177</f>
        <v/>
      </c>
      <c r="FF177" s="55">
        <f>$FF176+$FD177</f>
        <v/>
      </c>
      <c r="FG177" s="55">
        <f>SUMIFS(tblGold[Gold_oz],tblGold[Date],$A177,tblGold[Type],"Sale")</f>
        <v/>
      </c>
      <c r="FH177" s="55">
        <f>IF($B177=$B176,$FH176,0)+$FG177</f>
        <v/>
      </c>
      <c r="FI177" s="55">
        <f>$FI176+$FG177</f>
        <v/>
      </c>
      <c r="FJ177" s="55">
        <f>SUMIFS(tblGold[Dore_kg],tblGold[Date],$A177,tblGold[Type],"Shipment")</f>
        <v/>
      </c>
      <c r="FK177" s="55">
        <f>IF($B177=$B176,$FK176,0)+$FJ177</f>
        <v/>
      </c>
      <c r="FL177" s="55">
        <f>$FL176+$FJ177</f>
        <v/>
      </c>
      <c r="FM177" s="57">
        <f>SUMIFS(tblSafety[Hours_Total],tblSafety[Date],$A177)</f>
        <v/>
      </c>
      <c r="FN177" s="57">
        <f>IF($B177=$B176,$FN176,0)+$FM177</f>
        <v/>
      </c>
      <c r="FO177" s="57">
        <f>$FO176+$FM177</f>
        <v/>
      </c>
      <c r="FP177" s="62">
        <f>SUMIFS(tblSafety[Fatality],tblSafety[Date],$A177)</f>
        <v/>
      </c>
      <c r="FQ177" s="62">
        <f>IF($B177=$B176,$FQ176,0)+$FP177</f>
        <v/>
      </c>
      <c r="FR177" s="62">
        <f>$FR176+$FP177</f>
        <v/>
      </c>
      <c r="FS177" s="62">
        <f>SUMIFS(tblSafety[LTI],tblSafety[Date],$A177)</f>
        <v/>
      </c>
      <c r="FT177" s="62">
        <f>IF($B177=$B176,$FT176,0)+$FS177</f>
        <v/>
      </c>
      <c r="FU177" s="62">
        <f>$FU176+$FS177</f>
        <v/>
      </c>
      <c r="FV177" s="62">
        <f>SUMIFS(tblSafety[RWI],tblSafety[Date],$A177)</f>
        <v/>
      </c>
      <c r="FW177" s="62">
        <f>IF($B177=$B176,$FW176,0)+$FV177</f>
        <v/>
      </c>
      <c r="FX177" s="62">
        <f>$FX176+$FV177</f>
        <v/>
      </c>
      <c r="FY177" s="62">
        <f>SUMIFS(tblSafety[MTI],tblSafety[Date],$A177)</f>
        <v/>
      </c>
      <c r="FZ177" s="62">
        <f>IF($B177=$B176,$FZ176,0)+$FY177</f>
        <v/>
      </c>
      <c r="GA177" s="62">
        <f>$GA176+$FY177</f>
        <v/>
      </c>
      <c r="GB177" s="62">
        <f>SUMIFS(tblSafety[FAI],tblSafety[Date],$A177)</f>
        <v/>
      </c>
      <c r="GC177" s="62">
        <f>IF($B177=$B176,$GC176,0)+$GB177</f>
        <v/>
      </c>
      <c r="GD177" s="62">
        <f>$GD176+$GB177</f>
        <v/>
      </c>
      <c r="GE177" s="62">
        <f>SUMIFS(tblSafety[Recordables],tblSafety[Date],$A177)</f>
        <v/>
      </c>
      <c r="GF177" s="62">
        <f>IF($B177=$B176,$GF176,0)+$GE177</f>
        <v/>
      </c>
      <c r="GG177" s="62">
        <f>$GG176+$GE177</f>
        <v/>
      </c>
      <c r="GH177" s="62">
        <f>SUMIFS(tblSafety[Near_Miss],tblSafety[Date],$A177)</f>
        <v/>
      </c>
      <c r="GI177" s="62">
        <f>IF($B177=$B176,$GI176,0)+$GH177</f>
        <v/>
      </c>
      <c r="GJ177" s="62">
        <f>$GJ176+$GH177</f>
        <v/>
      </c>
      <c r="GK177" s="62">
        <f>SUMIFS(tblSafety[Hazard_Reports],tblSafety[Date],$A177)</f>
        <v/>
      </c>
      <c r="GL177" s="62">
        <f>IF($B177=$B176,$GL176,0)+$GK177</f>
        <v/>
      </c>
      <c r="GM177" s="62">
        <f>$GM176+$GK177</f>
        <v/>
      </c>
      <c r="GN177" s="62">
        <f>SUMIFS(tblSafety[HPI],tblSafety[Date],$A177)</f>
        <v/>
      </c>
      <c r="GO177" s="62">
        <f>IF($B177=$B176,$GO176,0)+$GN177</f>
        <v/>
      </c>
      <c r="GP177" s="62">
        <f>$GP176+$GN177</f>
        <v/>
      </c>
      <c r="GQ177" s="62">
        <f>SUMIFS(tblSafety[Env_Incidents],tblSafety[Date],$A177)</f>
        <v/>
      </c>
      <c r="GR177" s="62">
        <f>IF($B177=$B176,$GR176,0)+$GQ177</f>
        <v/>
      </c>
      <c r="GS177" s="62">
        <f>$GS176+$GQ177</f>
        <v/>
      </c>
      <c r="GT177" s="62">
        <f>SUMIFS(tblSafety[Community_Incidents],tblSafety[Date],$A177)</f>
        <v/>
      </c>
      <c r="GU177" s="62">
        <f>IF($B177=$B176,$GU176,0)+$GT177</f>
        <v/>
      </c>
      <c r="GV177" s="62">
        <f>$GV176+$GT177</f>
        <v/>
      </c>
      <c r="GW177" s="62">
        <f>SUMIFS(tblSafety[Vehicle_Incidents],tblSafety[Date],$A177)</f>
        <v/>
      </c>
      <c r="GX177" s="62">
        <f>IF($B177=$B176,$GX176,0)+$GW177</f>
        <v/>
      </c>
      <c r="GY177" s="62">
        <f>$GY176+$GW177</f>
        <v/>
      </c>
      <c r="GZ177" s="62">
        <f>SUMIFS(tblSafety[Toolbox_Talks],tblSafety[Date],$A177)</f>
        <v/>
      </c>
      <c r="HA177" s="62">
        <f>IF($B177=$B176,$HA176,0)+$GZ177</f>
        <v/>
      </c>
      <c r="HB177" s="62">
        <f>$HB176+$GZ177</f>
        <v/>
      </c>
      <c r="HC177" s="62">
        <f>SUMIFS(tblSafety[Inspections],tblSafety[Date],$A177)</f>
        <v/>
      </c>
      <c r="HD177" s="62">
        <f>IF($B177=$B176,$HD176,0)+$HC177</f>
        <v/>
      </c>
      <c r="HE177" s="62">
        <f>$HE176+$HC177</f>
        <v/>
      </c>
      <c r="HF177" s="56">
        <f>IFERROR((SUMIFS(tblSafety[Recordables],tblSafety[Date],"&gt;="&amp;EDATE($E177,-12),tblSafety[Date],"&lt;="&amp;$A177)+SUMIFS(tblSafetyHistory[Recordables],tblSafetyHistory[Month],"&gt;="&amp;EDATE($E177,-12),tblSafetyHistory[Month],"&lt;"&amp;cfg_YearStart))/(SUMIFS(tblSafety[Hours_Total],tblSafety[Date],"&gt;="&amp;EDATE($E177,-12),tblSafety[Date],"&lt;="&amp;$A177)+SUMIFS(tblSafetyHistory[Hours_Total],tblSafetyHistory[Month],"&gt;="&amp;EDATE($E177,-12),tblSafetyHistory[Month],"&lt;"&amp;cfg_YearStart))*1000000,"")</f>
        <v/>
      </c>
      <c r="HG177" s="56">
        <f>IFERROR((SUMIFS(tblSafety[LTI],tblSafety[Date],"&gt;="&amp;EDATE($E177,-12),tblSafety[Date],"&lt;="&amp;$A177)+SUMIFS(tblSafetyHistory[LTI],tblSafetyHistory[Month],"&gt;="&amp;EDATE($E177,-12),tblSafetyHistory[Month],"&lt;"&amp;cfg_YearStart))/(SUMIFS(tblSafety[Hours_Total],tblSafety[Date],"&gt;="&amp;EDATE($E177,-12),tblSafety[Date],"&lt;="&amp;$A177)+SUMIFS(tblSafetyHistory[Hours_Total],tblSafetyHistory[Month],"&gt;="&amp;EDATE($E177,-12),tblSafetyHistory[Month],"&lt;"&amp;cfg_YearStart))*1000000,"")</f>
        <v/>
      </c>
      <c r="HH177" s="62">
        <f>IF(MAX(N(cfg_PriorLTIDate),_xlfn.MAXIFS(tblSafety[Date],tblSafety[LTI],"&gt;0",tblSafety[Date],"&lt;="&amp;$A177))=0,"",$A177-MAX(N(cfg_PriorLTIDate),_xlfn.MAXIFS(tblSafety[Date],tblSafety[LTI],"&gt;0",tblSafety[Date],"&lt;="&amp;$A177)))</f>
        <v/>
      </c>
      <c r="HI177" s="55">
        <f>SUMIFS(tblBudget[Ore_Mined_t],tblBudget[Month],$E177)</f>
        <v/>
      </c>
      <c r="HJ177" s="55">
        <f>$HI177*$C177/$D177</f>
        <v/>
      </c>
      <c r="HK177" s="55">
        <f>SUMIFS(tblBudget[Ore_Mined_t],tblBudget[Month],"&lt;"&amp;$E177)+$HJ177</f>
        <v/>
      </c>
      <c r="HL177" s="55">
        <f>SUMIFS(tblBudget[Ore_oz],tblBudget[Month],$E177)</f>
        <v/>
      </c>
      <c r="HM177" s="55">
        <f>$HL177*$C177/$D177</f>
        <v/>
      </c>
      <c r="HN177" s="55">
        <f>SUMIFS(tblBudget[Ore_oz],tblBudget[Month],"&lt;"&amp;$E177)+$HM177</f>
        <v/>
      </c>
      <c r="HO177" s="56">
        <f>IFERROR(IF(($HI177)&gt;0,($HL177*cfg_TroyOz)/($HI177),""),"")</f>
        <v/>
      </c>
      <c r="HP177" s="56">
        <f>IFERROR(IF(($HJ177)&gt;0,($HM177*cfg_TroyOz)/($HJ177),""),"")</f>
        <v/>
      </c>
      <c r="HQ177" s="56">
        <f>IFERROR(IF(($HK177)&gt;0,($HN177*cfg_TroyOz)/($HK177),""),"")</f>
        <v/>
      </c>
      <c r="HR177" s="55">
        <f>SUMIFS(tblBudget[Waste_t],tblBudget[Month],$E177)</f>
        <v/>
      </c>
      <c r="HS177" s="55">
        <f>$HR177*$C177/$D177</f>
        <v/>
      </c>
      <c r="HT177" s="55">
        <f>SUMIFS(tblBudget[Waste_t],tblBudget[Month],"&lt;"&amp;$E177)+$HS177</f>
        <v/>
      </c>
      <c r="HU177" s="55">
        <f>SUMIFS(tblBudget[TMM_t],tblBudget[Month],$E177)</f>
        <v/>
      </c>
      <c r="HV177" s="55">
        <f>$HU177*$C177/$D177</f>
        <v/>
      </c>
      <c r="HW177" s="55">
        <f>SUMIFS(tblBudget[TMM_t],tblBudget[Month],"&lt;"&amp;$E177)+$HV177</f>
        <v/>
      </c>
      <c r="HX177" s="56">
        <f>IFERROR(IF(($HI177)&gt;0,($HR177)/($HI177),""),"")</f>
        <v/>
      </c>
      <c r="HY177" s="56">
        <f>IFERROR(IF(($HJ177)&gt;0,($HS177)/($HJ177),""),"")</f>
        <v/>
      </c>
      <c r="HZ177" s="56">
        <f>IFERROR(IF(($HK177)&gt;0,($HT177)/($HK177),""),"")</f>
        <v/>
      </c>
      <c r="IA177" s="55">
        <f>SUMIFS(tblBudget[Drill_m],tblBudget[Month],$E177)</f>
        <v/>
      </c>
      <c r="IB177" s="55">
        <f>$IA177*$C177/$D177</f>
        <v/>
      </c>
      <c r="IC177" s="55">
        <f>SUMIFS(tblBudget[Drill_m],tblBudget[Month],"&lt;"&amp;$E177)+$IB177</f>
        <v/>
      </c>
      <c r="ID177" s="55">
        <f>SUMIFS(tblBudget[Diesel_L],tblBudget[Month],$E177)</f>
        <v/>
      </c>
      <c r="IE177" s="55">
        <f>$ID177*$C177/$D177</f>
        <v/>
      </c>
      <c r="IF177" s="55">
        <f>SUMIFS(tblBudget[Diesel_L],tblBudget[Month],"&lt;"&amp;$E177)+$IE177</f>
        <v/>
      </c>
      <c r="IG177" s="55">
        <f>SUMIFS(tblBudget[Milled_t],tblBudget[Month],$E177)</f>
        <v/>
      </c>
      <c r="IH177" s="55">
        <f>$IG177*$C177/$D177</f>
        <v/>
      </c>
      <c r="II177" s="55">
        <f>SUMIFS(tblBudget[Milled_t],tblBudget[Month],"&lt;"&amp;$E177)+$IH177</f>
        <v/>
      </c>
      <c r="IJ177" s="55">
        <f>SUMIFS(tblBudget[Feed_oz],tblBudget[Month],$E177)</f>
        <v/>
      </c>
      <c r="IK177" s="55">
        <f>$IJ177*$C177/$D177</f>
        <v/>
      </c>
      <c r="IL177" s="55">
        <f>SUMIFS(tblBudget[Feed_oz],tblBudget[Month],"&lt;"&amp;$E177)+$IK177</f>
        <v/>
      </c>
      <c r="IM177" s="55">
        <f>SUMIFS(tblBudget[Recovered_oz],tblBudget[Month],$E177)</f>
        <v/>
      </c>
      <c r="IN177" s="55">
        <f>$IM177*$C177/$D177</f>
        <v/>
      </c>
      <c r="IO177" s="55">
        <f>SUMIFS(tblBudget[Recovered_oz],tblBudget[Month],"&lt;"&amp;$E177)+$IN177</f>
        <v/>
      </c>
      <c r="IP177" s="56">
        <f>IFERROR(IF(($IG177)&gt;0,($IJ177*cfg_TroyOz)/($IG177),""),"")</f>
        <v/>
      </c>
      <c r="IQ177" s="56">
        <f>IFERROR(IF(($IH177)&gt;0,($IK177*cfg_TroyOz)/($IH177),""),"")</f>
        <v/>
      </c>
      <c r="IR177" s="56">
        <f>IFERROR(IF(($II177)&gt;0,($IL177*cfg_TroyOz)/($II177),""),"")</f>
        <v/>
      </c>
      <c r="IS177" s="67">
        <f>IFERROR(IF(($IJ177)&gt;0,($IM177)/($IJ177),""),"")</f>
        <v/>
      </c>
      <c r="IT177" s="67">
        <f>IFERROR(IF(($IK177)&gt;0,($IN177)/($IK177),""),"")</f>
        <v/>
      </c>
      <c r="IU177" s="67">
        <f>IFERROR(IF(($IL177)&gt;0,($IO177)/($IL177),""),"")</f>
        <v/>
      </c>
      <c r="IV177" s="55">
        <f>SUMIFS(tblBudget[Gold_Poured_oz],tblBudget[Month],$E177)</f>
        <v/>
      </c>
      <c r="IW177" s="55">
        <f>$IV177*$C177/$D177</f>
        <v/>
      </c>
      <c r="IX177" s="55">
        <f>SUMIFS(tblBudget[Gold_Poured_oz],tblBudget[Month],"&lt;"&amp;$E177)+$IW177</f>
        <v/>
      </c>
      <c r="IY177" s="57">
        <f>SUMIFS(tblBudget[Hours_Worked],tblBudget[Month],$E177)</f>
        <v/>
      </c>
      <c r="IZ177" s="57">
        <f>$IY177*$C177/$D177</f>
        <v/>
      </c>
      <c r="JA177" s="57">
        <f>SUMIFS(tblBudget[Hours_Worked],tblBudget[Month],"&lt;"&amp;$E177)+$IZ177</f>
        <v/>
      </c>
    </row>
    <row r="178">
      <c r="A178" s="54" t="n">
        <v>46199</v>
      </c>
      <c r="B178">
        <f>MONTH($A178)</f>
        <v/>
      </c>
      <c r="C178">
        <f>DAY($A178)</f>
        <v/>
      </c>
      <c r="D178">
        <f>DAY(EOMONTH($A178,0))</f>
        <v/>
      </c>
      <c r="E178" s="54">
        <f>DATE(YEAR($A178),MONTH($A178),1)</f>
        <v/>
      </c>
      <c r="F178" s="55">
        <f>SUMIFS(tblMovement[Tonnes_t],tblMovement[Date],$A178,tblMovement[Is_Ore],1,tblMovement[Source_Type],"Pit")</f>
        <v/>
      </c>
      <c r="G178" s="55">
        <f>IF($B178=$B177,$G177,0)+$F178</f>
        <v/>
      </c>
      <c r="H178" s="55">
        <f>$H177+$F178</f>
        <v/>
      </c>
      <c r="I178" s="55">
        <f>SUMIFS(tblMovement[Ore_oz],tblMovement[Date],$A178,tblMovement[Source_Type],"Pit")</f>
        <v/>
      </c>
      <c r="J178" s="55">
        <f>IF($B178=$B177,$J177,0)+$I178</f>
        <v/>
      </c>
      <c r="K178" s="55">
        <f>$K177+$I178</f>
        <v/>
      </c>
      <c r="L178" s="56">
        <f>IFERROR(IF(($F178)&gt;0,($I178*cfg_TroyOz)/($F178),""),"")</f>
        <v/>
      </c>
      <c r="M178" s="56">
        <f>IFERROR(IF(($G178)&gt;0,($J178*cfg_TroyOz)/($G178),""),"")</f>
        <v/>
      </c>
      <c r="N178" s="56">
        <f>IFERROR(IF(($H178)&gt;0,($K178*cfg_TroyOz)/($H178),""),"")</f>
        <v/>
      </c>
      <c r="O178" s="55">
        <f>SUMIFS(tblMovement[Tonnes_t],tblMovement[Date],$A178,tblMovement[Is_Ore],0,tblMovement[Source_Type],"Pit")</f>
        <v/>
      </c>
      <c r="P178" s="55">
        <f>IF($B178=$B177,$P177,0)+$O178</f>
        <v/>
      </c>
      <c r="Q178" s="55">
        <f>$Q177+$O178</f>
        <v/>
      </c>
      <c r="R178" s="55">
        <f>$F178+$O178</f>
        <v/>
      </c>
      <c r="S178" s="55">
        <f>IF($B178=$B177,$S177,0)+$R178</f>
        <v/>
      </c>
      <c r="T178" s="55">
        <f>$T177+$R178</f>
        <v/>
      </c>
      <c r="U178" s="56">
        <f>IFERROR(IF(($F178)&gt;0,($O178)/($F178),""),"")</f>
        <v/>
      </c>
      <c r="V178" s="56">
        <f>IFERROR(IF(($G178)&gt;0,($P178)/($G178),""),"")</f>
        <v/>
      </c>
      <c r="W178" s="56">
        <f>IFERROR(IF(($H178)&gt;0,($Q178)/($H178),""),"")</f>
        <v/>
      </c>
      <c r="X178" s="55">
        <f>SUMIFS(tblMovement[Tonnes_t],tblMovement[Date],$A178,tblMovement[Source_Type],"Stockpile")</f>
        <v/>
      </c>
      <c r="Y178" s="55">
        <f>IF($B178=$B177,$Y177,0)+$X178</f>
        <v/>
      </c>
      <c r="Z178" s="55">
        <f>$Z177+$X178</f>
        <v/>
      </c>
      <c r="AA178" s="55">
        <f>SUMIFS(tblMiningDaily[Drill_m],tblMiningDaily[Date],$A178)</f>
        <v/>
      </c>
      <c r="AB178" s="55">
        <f>IF($B178=$B177,$AB177,0)+$AA178</f>
        <v/>
      </c>
      <c r="AC178" s="55">
        <f>$AC177+$AA178</f>
        <v/>
      </c>
      <c r="AD178" s="55">
        <f>SUMIFS(tblMiningDaily[Blast_t],tblMiningDaily[Date],$A178)</f>
        <v/>
      </c>
      <c r="AE178" s="55">
        <f>IF($B178=$B177,$AE177,0)+$AD178</f>
        <v/>
      </c>
      <c r="AF178" s="55">
        <f>$AF177+$AD178</f>
        <v/>
      </c>
      <c r="AG178" s="55">
        <f>SUMIFS(tblMiningDaily[Explosives_kg],tblMiningDaily[Date],$A178)</f>
        <v/>
      </c>
      <c r="AH178" s="55">
        <f>IF($B178=$B177,$AH177,0)+$AG178</f>
        <v/>
      </c>
      <c r="AI178" s="55">
        <f>$AI177+$AG178</f>
        <v/>
      </c>
      <c r="AJ178" s="56">
        <f>IFERROR(IF(($AD178)&gt;0,($AG178)/($AD178),""),"")</f>
        <v/>
      </c>
      <c r="AK178" s="56">
        <f>IFERROR(IF(($AE178)&gt;0,($AH178)/($AE178),""),"")</f>
        <v/>
      </c>
      <c r="AL178" s="56">
        <f>IFERROR(IF(($AF178)&gt;0,($AI178)/($AF178),""),"")</f>
        <v/>
      </c>
      <c r="AM178" s="55">
        <f>SUMIFS(tblMiningDaily[Diesel_L],tblMiningDaily[Date],$A178)</f>
        <v/>
      </c>
      <c r="AN178" s="55">
        <f>IF($B178=$B177,$AN177,0)+$AM178</f>
        <v/>
      </c>
      <c r="AO178" s="55">
        <f>$AO177+$AM178</f>
        <v/>
      </c>
      <c r="AP178" s="55">
        <f>SUMIFS(tblMiningDaily[Dewatering_m3],tblMiningDaily[Date],$A178)</f>
        <v/>
      </c>
      <c r="AQ178" s="55">
        <f>IF($B178=$B177,$AQ177,0)+$AP178</f>
        <v/>
      </c>
      <c r="AR178" s="55">
        <f>$AR177+$AP178</f>
        <v/>
      </c>
      <c r="AS178" s="57">
        <f>SUMIFS(tblFleet[Calendar_h],tblFleet[Date],$A178,tblFleet[Equipment_Class],"Excavator")</f>
        <v/>
      </c>
      <c r="AT178" s="57">
        <f>IF($B178=$B177,$AT177,0)+$AS178</f>
        <v/>
      </c>
      <c r="AU178" s="57">
        <f>$AU177+$AS178</f>
        <v/>
      </c>
      <c r="AV178" s="57">
        <f>SUMIFS(tblFleet[Available_h],tblFleet[Date],$A178,tblFleet[Equipment_Class],"Excavator")</f>
        <v/>
      </c>
      <c r="AW178" s="57">
        <f>IF($B178=$B177,$AW177,0)+$AV178</f>
        <v/>
      </c>
      <c r="AX178" s="57">
        <f>$AX177+$AV178</f>
        <v/>
      </c>
      <c r="AY178" s="57">
        <f>SUMIFS(tblFleet[Operating_h],tblFleet[Date],$A178,tblFleet[Equipment_Class],"Excavator")</f>
        <v/>
      </c>
      <c r="AZ178" s="57">
        <f>IF($B178=$B177,$AZ177,0)+$AY178</f>
        <v/>
      </c>
      <c r="BA178" s="57">
        <f>$BA177+$AY178</f>
        <v/>
      </c>
      <c r="BB178" s="67">
        <f>IFERROR(IF(($AS178)&gt;0,($AV178)/($AS178),""),"")</f>
        <v/>
      </c>
      <c r="BC178" s="67">
        <f>IFERROR(IF(($AT178)&gt;0,($AW178)/($AT178),""),"")</f>
        <v/>
      </c>
      <c r="BD178" s="67">
        <f>IFERROR(IF(($AU178)&gt;0,($AX178)/($AU178),""),"")</f>
        <v/>
      </c>
      <c r="BE178" s="67">
        <f>IFERROR(IF(($AV178)&gt;0,($AY178)/($AV178),""),"")</f>
        <v/>
      </c>
      <c r="BF178" s="67">
        <f>IFERROR(IF(($AW178)&gt;0,($AZ178)/($AW178),""),"")</f>
        <v/>
      </c>
      <c r="BG178" s="67">
        <f>IFERROR(IF(($AX178)&gt;0,($BA178)/($AX178),""),"")</f>
        <v/>
      </c>
      <c r="BH178" s="57">
        <f>SUMIFS(tblFleet[Calendar_h],tblFleet[Date],$A178,tblFleet[Equipment_Class],"Haul Truck")</f>
        <v/>
      </c>
      <c r="BI178" s="57">
        <f>IF($B178=$B177,$BI177,0)+$BH178</f>
        <v/>
      </c>
      <c r="BJ178" s="57">
        <f>$BJ177+$BH178</f>
        <v/>
      </c>
      <c r="BK178" s="57">
        <f>SUMIFS(tblFleet[Available_h],tblFleet[Date],$A178,tblFleet[Equipment_Class],"Haul Truck")</f>
        <v/>
      </c>
      <c r="BL178" s="57">
        <f>IF($B178=$B177,$BL177,0)+$BK178</f>
        <v/>
      </c>
      <c r="BM178" s="57">
        <f>$BM177+$BK178</f>
        <v/>
      </c>
      <c r="BN178" s="57">
        <f>SUMIFS(tblFleet[Operating_h],tblFleet[Date],$A178,tblFleet[Equipment_Class],"Haul Truck")</f>
        <v/>
      </c>
      <c r="BO178" s="57">
        <f>IF($B178=$B177,$BO177,0)+$BN178</f>
        <v/>
      </c>
      <c r="BP178" s="57">
        <f>$BP177+$BN178</f>
        <v/>
      </c>
      <c r="BQ178" s="67">
        <f>IFERROR(IF(($BH178)&gt;0,($BK178)/($BH178),""),"")</f>
        <v/>
      </c>
      <c r="BR178" s="67">
        <f>IFERROR(IF(($BI178)&gt;0,($BL178)/($BI178),""),"")</f>
        <v/>
      </c>
      <c r="BS178" s="67">
        <f>IFERROR(IF(($BJ178)&gt;0,($BM178)/($BJ178),""),"")</f>
        <v/>
      </c>
      <c r="BT178" s="67">
        <f>IFERROR(IF(($BK178)&gt;0,($BN178)/($BK178),""),"")</f>
        <v/>
      </c>
      <c r="BU178" s="67">
        <f>IFERROR(IF(($BL178)&gt;0,($BO178)/($BL178),""),"")</f>
        <v/>
      </c>
      <c r="BV178" s="67">
        <f>IFERROR(IF(($BM178)&gt;0,($BP178)/($BM178),""),"")</f>
        <v/>
      </c>
      <c r="BW178" s="55">
        <f>SUMIFS(tblPlant[Crushed_t],tblPlant[Date],$A178)</f>
        <v/>
      </c>
      <c r="BX178" s="55">
        <f>IF($B178=$B177,$BX177,0)+$BW178</f>
        <v/>
      </c>
      <c r="BY178" s="55">
        <f>$BY177+$BW178</f>
        <v/>
      </c>
      <c r="BZ178" s="55">
        <f>SUMIFS(tblPlant[Milled_t],tblPlant[Date],$A178)</f>
        <v/>
      </c>
      <c r="CA178" s="55">
        <f>IF($B178=$B177,$CA177,0)+$BZ178</f>
        <v/>
      </c>
      <c r="CB178" s="55">
        <f>$CB177+$BZ178</f>
        <v/>
      </c>
      <c r="CC178" s="55">
        <f>SUMIFS(tblPlant[Feed_oz],tblPlant[Date],$A178)</f>
        <v/>
      </c>
      <c r="CD178" s="55">
        <f>IF($B178=$B177,$CD177,0)+$CC178</f>
        <v/>
      </c>
      <c r="CE178" s="55">
        <f>$CE177+$CC178</f>
        <v/>
      </c>
      <c r="CF178" s="55">
        <f>SUMIFS(tblPlant[Tails_oz],tblPlant[Date],$A178)</f>
        <v/>
      </c>
      <c r="CG178" s="55">
        <f>IF($B178=$B177,$CG177,0)+$CF178</f>
        <v/>
      </c>
      <c r="CH178" s="55">
        <f>$CH177+$CF178</f>
        <v/>
      </c>
      <c r="CI178" s="55">
        <f>SUMIFS(tblPlant[Recovered_oz],tblPlant[Date],$A178)</f>
        <v/>
      </c>
      <c r="CJ178" s="55">
        <f>IF($B178=$B177,$CJ177,0)+$CI178</f>
        <v/>
      </c>
      <c r="CK178" s="55">
        <f>$CK177+$CI178</f>
        <v/>
      </c>
      <c r="CL178" s="56">
        <f>IFERROR(IF(($BZ178)&gt;0,($CC178*cfg_TroyOz)/($BZ178),""),"")</f>
        <v/>
      </c>
      <c r="CM178" s="56">
        <f>IFERROR(IF(($CA178)&gt;0,($CD178*cfg_TroyOz)/($CA178),""),"")</f>
        <v/>
      </c>
      <c r="CN178" s="56">
        <f>IFERROR(IF(($CB178)&gt;0,($CE178*cfg_TroyOz)/($CB178),""),"")</f>
        <v/>
      </c>
      <c r="CO178" s="56">
        <f>IFERROR(IF(($BZ178)&gt;0,($CF178*cfg_TroyOz)/($BZ178),""),"")</f>
        <v/>
      </c>
      <c r="CP178" s="56">
        <f>IFERROR(IF(($CA178)&gt;0,($CG178*cfg_TroyOz)/($CA178),""),"")</f>
        <v/>
      </c>
      <c r="CQ178" s="56">
        <f>IFERROR(IF(($CB178)&gt;0,($CH178*cfg_TroyOz)/($CB178),""),"")</f>
        <v/>
      </c>
      <c r="CR178" s="67">
        <f>IFERROR(IF(($CC178)&gt;0,($CI178)/($CC178),""),"")</f>
        <v/>
      </c>
      <c r="CS178" s="67">
        <f>IFERROR(IF(($CD178)&gt;0,($CJ178)/($CD178),""),"")</f>
        <v/>
      </c>
      <c r="CT178" s="67">
        <f>IFERROR(IF(($CE178)&gt;0,($CK178)/($CE178),""),"")</f>
        <v/>
      </c>
      <c r="CU178" s="55">
        <f>SUMIFS(tblPlant[Gravity_Gold_oz],tblPlant[Date],$A178)</f>
        <v/>
      </c>
      <c r="CV178" s="55">
        <f>IF($B178=$B177,$CV177,0)+$CU178</f>
        <v/>
      </c>
      <c r="CW178" s="55">
        <f>$CW177+$CU178</f>
        <v/>
      </c>
      <c r="CX178" s="55">
        <f>SUMIFS(tblPlant[Gold_Poured_oz],tblPlant[Date],$A178)</f>
        <v/>
      </c>
      <c r="CY178" s="55">
        <f>IF($B178=$B177,$CY177,0)+$CX178</f>
        <v/>
      </c>
      <c r="CZ178" s="55">
        <f>$CZ177+$CX178</f>
        <v/>
      </c>
      <c r="DA178" s="57">
        <f>SUMIFS(tblPlant[Mill_Run_h],tblPlant[Date],$A178)</f>
        <v/>
      </c>
      <c r="DB178" s="57">
        <f>IF($B178=$B177,$DB177,0)+$DA178</f>
        <v/>
      </c>
      <c r="DC178" s="57">
        <f>$DC177+$DA178</f>
        <v/>
      </c>
      <c r="DD178" s="57">
        <f>SUMIFS(tblPlant[Mill_Planned_Maint_h],tblPlant[Date],$A178)</f>
        <v/>
      </c>
      <c r="DE178" s="57">
        <f>IF($B178=$B177,$DE177,0)+$DD178</f>
        <v/>
      </c>
      <c r="DF178" s="57">
        <f>$DF177+$DD178</f>
        <v/>
      </c>
      <c r="DG178" s="57">
        <f>SUMIFS(tblPlant[Mill_Unplanned_Down_h],tblPlant[Date],$A178)</f>
        <v/>
      </c>
      <c r="DH178" s="57">
        <f>IF($B178=$B177,$DH177,0)+$DG178</f>
        <v/>
      </c>
      <c r="DI178" s="57">
        <f>$DI177+$DG178</f>
        <v/>
      </c>
      <c r="DJ178" s="57">
        <f>COUNTIFS(tblPlant[Date],$A178,tblPlant[Mill_Run_h],"&lt;&gt;")*24</f>
        <v/>
      </c>
      <c r="DK178" s="57">
        <f>IF($B178=$B177,$DK177,0)+$DJ178</f>
        <v/>
      </c>
      <c r="DL178" s="57">
        <f>$DL177+$DJ178</f>
        <v/>
      </c>
      <c r="DM178" s="57">
        <f>SUMIFS(tblPlant[Crusher_Run_h],tblPlant[Date],$A178)</f>
        <v/>
      </c>
      <c r="DN178" s="57">
        <f>IF($B178=$B177,$DN177,0)+$DM178</f>
        <v/>
      </c>
      <c r="DO178" s="57">
        <f>$DO177+$DM178</f>
        <v/>
      </c>
      <c r="DP178" s="55">
        <f>IFERROR(IF(($DA178)&gt;0,($BZ178)/($DA178),""),"")</f>
        <v/>
      </c>
      <c r="DQ178" s="55">
        <f>IFERROR(IF(($DB178)&gt;0,($CA178)/($DB178),""),"")</f>
        <v/>
      </c>
      <c r="DR178" s="55">
        <f>IFERROR(IF(($DC178)&gt;0,($CB178)/($DC178),""),"")</f>
        <v/>
      </c>
      <c r="DS178" s="67">
        <f>IFERROR(IF(($DJ178)&gt;0,($DJ178-$DD178-$DG178)/($DJ178),""),"")</f>
        <v/>
      </c>
      <c r="DT178" s="67">
        <f>IFERROR(IF(($DK178)&gt;0,($DK178-$DE178-$DH178)/($DK178),""),"")</f>
        <v/>
      </c>
      <c r="DU178" s="67">
        <f>IFERROR(IF(($DL178)&gt;0,($DL178-$DF178-$DI178)/($DL178),""),"")</f>
        <v/>
      </c>
      <c r="DV178" s="67">
        <f>IFERROR(IF(($DJ178-$DD178-$DG178)&gt;0,($DA178)/($DJ178-$DD178-$DG178),""),"")</f>
        <v/>
      </c>
      <c r="DW178" s="67">
        <f>IFERROR(IF(($DK178-$DE178-$DH178)&gt;0,($DB178)/($DK178-$DE178-$DH178),""),"")</f>
        <v/>
      </c>
      <c r="DX178" s="67">
        <f>IFERROR(IF(($DL178-$DF178-$DI178)&gt;0,($DC178)/($DL178-$DF178-$DI178),""),"")</f>
        <v/>
      </c>
      <c r="DY178" s="55">
        <f>SUMIFS(tblPlant[Cyanide_kg],tblPlant[Date],$A178)</f>
        <v/>
      </c>
      <c r="DZ178" s="55">
        <f>IF($B178=$B177,$DZ177,0)+$DY178</f>
        <v/>
      </c>
      <c r="EA178" s="55">
        <f>$EA177+$DY178</f>
        <v/>
      </c>
      <c r="EB178" s="55">
        <f>SUMIFS(tblPlant[Lime_kg],tblPlant[Date],$A178)</f>
        <v/>
      </c>
      <c r="EC178" s="55">
        <f>IF($B178=$B177,$EC177,0)+$EB178</f>
        <v/>
      </c>
      <c r="ED178" s="55">
        <f>$ED177+$EB178</f>
        <v/>
      </c>
      <c r="EE178" s="55">
        <f>SUMIFS(tblPlant[Grinding_Media_kg],tblPlant[Date],$A178)</f>
        <v/>
      </c>
      <c r="EF178" s="55">
        <f>IF($B178=$B177,$EF177,0)+$EE178</f>
        <v/>
      </c>
      <c r="EG178" s="55">
        <f>$EG177+$EE178</f>
        <v/>
      </c>
      <c r="EH178" s="55">
        <f>SUMIFS(tblPlant[Power_kWh],tblPlant[Date],$A178)</f>
        <v/>
      </c>
      <c r="EI178" s="55">
        <f>IF($B178=$B177,$EI177,0)+$EH178</f>
        <v/>
      </c>
      <c r="EJ178" s="55">
        <f>$EJ177+$EH178</f>
        <v/>
      </c>
      <c r="EK178" s="55">
        <f>SUMIFS(tblPlant[Raw_Water_m3],tblPlant[Date],$A178)</f>
        <v/>
      </c>
      <c r="EL178" s="55">
        <f>IF($B178=$B177,$EL177,0)+$EK178</f>
        <v/>
      </c>
      <c r="EM178" s="55">
        <f>$EM177+$EK178</f>
        <v/>
      </c>
      <c r="EN178" s="56">
        <f>IFERROR(IF(($BZ178)&gt;0,($DY178)/($BZ178),""),"")</f>
        <v/>
      </c>
      <c r="EO178" s="56">
        <f>IFERROR(IF(($CA178)&gt;0,($DZ178)/($CA178),""),"")</f>
        <v/>
      </c>
      <c r="EP178" s="56">
        <f>IFERROR(IF(($CB178)&gt;0,($EA178)/($CB178),""),"")</f>
        <v/>
      </c>
      <c r="EQ178" s="56">
        <f>IFERROR(IF(($BZ178)&gt;0,($EB178)/($BZ178),""),"")</f>
        <v/>
      </c>
      <c r="ER178" s="56">
        <f>IFERROR(IF(($CA178)&gt;0,($EC178)/($CA178),""),"")</f>
        <v/>
      </c>
      <c r="ES178" s="56">
        <f>IFERROR(IF(($CB178)&gt;0,($ED178)/($CB178),""),"")</f>
        <v/>
      </c>
      <c r="ET178" s="56">
        <f>IFERROR(IF(($BZ178)&gt;0,($EE178)/($BZ178),""),"")</f>
        <v/>
      </c>
      <c r="EU178" s="56">
        <f>IFERROR(IF(($CA178)&gt;0,($EF178)/($CA178),""),"")</f>
        <v/>
      </c>
      <c r="EV178" s="56">
        <f>IFERROR(IF(($CB178)&gt;0,($EG178)/($CB178),""),"")</f>
        <v/>
      </c>
      <c r="EW178" s="76">
        <f>IFERROR(IF(($BZ178)&gt;0,($EH178)/($BZ178),""),"")</f>
        <v/>
      </c>
      <c r="EX178" s="76">
        <f>IFERROR(IF(($CA178)&gt;0,($EI178)/($CA178),""),"")</f>
        <v/>
      </c>
      <c r="EY178" s="76">
        <f>IFERROR(IF(($CB178)&gt;0,($EJ178)/($CB178),""),"")</f>
        <v/>
      </c>
      <c r="EZ178" s="56">
        <f>IFERROR(IF(($BZ178)&gt;0,($EK178)/($BZ178),""),"")</f>
        <v/>
      </c>
      <c r="FA178" s="56">
        <f>IFERROR(IF(($CA178)&gt;0,($EL178)/($CA178),""),"")</f>
        <v/>
      </c>
      <c r="FB178" s="56">
        <f>IFERROR(IF(($CB178)&gt;0,($EM178)/($CB178),""),"")</f>
        <v/>
      </c>
      <c r="FC178" s="55">
        <f>IF(SUMIFS(tblPlant[GIC_oz],tblPlant[Date],$A178)&gt;0,SUMIFS(tblPlant[GIC_oz],tblPlant[Date],$A178),"")</f>
        <v/>
      </c>
      <c r="FD178" s="55">
        <f>SUMIFS(tblGold[Gold_oz],tblGold[Date],$A178,tblGold[Type],"Shipment")</f>
        <v/>
      </c>
      <c r="FE178" s="55">
        <f>IF($B178=$B177,$FE177,0)+$FD178</f>
        <v/>
      </c>
      <c r="FF178" s="55">
        <f>$FF177+$FD178</f>
        <v/>
      </c>
      <c r="FG178" s="55">
        <f>SUMIFS(tblGold[Gold_oz],tblGold[Date],$A178,tblGold[Type],"Sale")</f>
        <v/>
      </c>
      <c r="FH178" s="55">
        <f>IF($B178=$B177,$FH177,0)+$FG178</f>
        <v/>
      </c>
      <c r="FI178" s="55">
        <f>$FI177+$FG178</f>
        <v/>
      </c>
      <c r="FJ178" s="55">
        <f>SUMIFS(tblGold[Dore_kg],tblGold[Date],$A178,tblGold[Type],"Shipment")</f>
        <v/>
      </c>
      <c r="FK178" s="55">
        <f>IF($B178=$B177,$FK177,0)+$FJ178</f>
        <v/>
      </c>
      <c r="FL178" s="55">
        <f>$FL177+$FJ178</f>
        <v/>
      </c>
      <c r="FM178" s="57">
        <f>SUMIFS(tblSafety[Hours_Total],tblSafety[Date],$A178)</f>
        <v/>
      </c>
      <c r="FN178" s="57">
        <f>IF($B178=$B177,$FN177,0)+$FM178</f>
        <v/>
      </c>
      <c r="FO178" s="57">
        <f>$FO177+$FM178</f>
        <v/>
      </c>
      <c r="FP178" s="62">
        <f>SUMIFS(tblSafety[Fatality],tblSafety[Date],$A178)</f>
        <v/>
      </c>
      <c r="FQ178" s="62">
        <f>IF($B178=$B177,$FQ177,0)+$FP178</f>
        <v/>
      </c>
      <c r="FR178" s="62">
        <f>$FR177+$FP178</f>
        <v/>
      </c>
      <c r="FS178" s="62">
        <f>SUMIFS(tblSafety[LTI],tblSafety[Date],$A178)</f>
        <v/>
      </c>
      <c r="FT178" s="62">
        <f>IF($B178=$B177,$FT177,0)+$FS178</f>
        <v/>
      </c>
      <c r="FU178" s="62">
        <f>$FU177+$FS178</f>
        <v/>
      </c>
      <c r="FV178" s="62">
        <f>SUMIFS(tblSafety[RWI],tblSafety[Date],$A178)</f>
        <v/>
      </c>
      <c r="FW178" s="62">
        <f>IF($B178=$B177,$FW177,0)+$FV178</f>
        <v/>
      </c>
      <c r="FX178" s="62">
        <f>$FX177+$FV178</f>
        <v/>
      </c>
      <c r="FY178" s="62">
        <f>SUMIFS(tblSafety[MTI],tblSafety[Date],$A178)</f>
        <v/>
      </c>
      <c r="FZ178" s="62">
        <f>IF($B178=$B177,$FZ177,0)+$FY178</f>
        <v/>
      </c>
      <c r="GA178" s="62">
        <f>$GA177+$FY178</f>
        <v/>
      </c>
      <c r="GB178" s="62">
        <f>SUMIFS(tblSafety[FAI],tblSafety[Date],$A178)</f>
        <v/>
      </c>
      <c r="GC178" s="62">
        <f>IF($B178=$B177,$GC177,0)+$GB178</f>
        <v/>
      </c>
      <c r="GD178" s="62">
        <f>$GD177+$GB178</f>
        <v/>
      </c>
      <c r="GE178" s="62">
        <f>SUMIFS(tblSafety[Recordables],tblSafety[Date],$A178)</f>
        <v/>
      </c>
      <c r="GF178" s="62">
        <f>IF($B178=$B177,$GF177,0)+$GE178</f>
        <v/>
      </c>
      <c r="GG178" s="62">
        <f>$GG177+$GE178</f>
        <v/>
      </c>
      <c r="GH178" s="62">
        <f>SUMIFS(tblSafety[Near_Miss],tblSafety[Date],$A178)</f>
        <v/>
      </c>
      <c r="GI178" s="62">
        <f>IF($B178=$B177,$GI177,0)+$GH178</f>
        <v/>
      </c>
      <c r="GJ178" s="62">
        <f>$GJ177+$GH178</f>
        <v/>
      </c>
      <c r="GK178" s="62">
        <f>SUMIFS(tblSafety[Hazard_Reports],tblSafety[Date],$A178)</f>
        <v/>
      </c>
      <c r="GL178" s="62">
        <f>IF($B178=$B177,$GL177,0)+$GK178</f>
        <v/>
      </c>
      <c r="GM178" s="62">
        <f>$GM177+$GK178</f>
        <v/>
      </c>
      <c r="GN178" s="62">
        <f>SUMIFS(tblSafety[HPI],tblSafety[Date],$A178)</f>
        <v/>
      </c>
      <c r="GO178" s="62">
        <f>IF($B178=$B177,$GO177,0)+$GN178</f>
        <v/>
      </c>
      <c r="GP178" s="62">
        <f>$GP177+$GN178</f>
        <v/>
      </c>
      <c r="GQ178" s="62">
        <f>SUMIFS(tblSafety[Env_Incidents],tblSafety[Date],$A178)</f>
        <v/>
      </c>
      <c r="GR178" s="62">
        <f>IF($B178=$B177,$GR177,0)+$GQ178</f>
        <v/>
      </c>
      <c r="GS178" s="62">
        <f>$GS177+$GQ178</f>
        <v/>
      </c>
      <c r="GT178" s="62">
        <f>SUMIFS(tblSafety[Community_Incidents],tblSafety[Date],$A178)</f>
        <v/>
      </c>
      <c r="GU178" s="62">
        <f>IF($B178=$B177,$GU177,0)+$GT178</f>
        <v/>
      </c>
      <c r="GV178" s="62">
        <f>$GV177+$GT178</f>
        <v/>
      </c>
      <c r="GW178" s="62">
        <f>SUMIFS(tblSafety[Vehicle_Incidents],tblSafety[Date],$A178)</f>
        <v/>
      </c>
      <c r="GX178" s="62">
        <f>IF($B178=$B177,$GX177,0)+$GW178</f>
        <v/>
      </c>
      <c r="GY178" s="62">
        <f>$GY177+$GW178</f>
        <v/>
      </c>
      <c r="GZ178" s="62">
        <f>SUMIFS(tblSafety[Toolbox_Talks],tblSafety[Date],$A178)</f>
        <v/>
      </c>
      <c r="HA178" s="62">
        <f>IF($B178=$B177,$HA177,0)+$GZ178</f>
        <v/>
      </c>
      <c r="HB178" s="62">
        <f>$HB177+$GZ178</f>
        <v/>
      </c>
      <c r="HC178" s="62">
        <f>SUMIFS(tblSafety[Inspections],tblSafety[Date],$A178)</f>
        <v/>
      </c>
      <c r="HD178" s="62">
        <f>IF($B178=$B177,$HD177,0)+$HC178</f>
        <v/>
      </c>
      <c r="HE178" s="62">
        <f>$HE177+$HC178</f>
        <v/>
      </c>
      <c r="HF178" s="56">
        <f>IFERROR((SUMIFS(tblSafety[Recordables],tblSafety[Date],"&gt;="&amp;EDATE($E178,-12),tblSafety[Date],"&lt;="&amp;$A178)+SUMIFS(tblSafetyHistory[Recordables],tblSafetyHistory[Month],"&gt;="&amp;EDATE($E178,-12),tblSafetyHistory[Month],"&lt;"&amp;cfg_YearStart))/(SUMIFS(tblSafety[Hours_Total],tblSafety[Date],"&gt;="&amp;EDATE($E178,-12),tblSafety[Date],"&lt;="&amp;$A178)+SUMIFS(tblSafetyHistory[Hours_Total],tblSafetyHistory[Month],"&gt;="&amp;EDATE($E178,-12),tblSafetyHistory[Month],"&lt;"&amp;cfg_YearStart))*1000000,"")</f>
        <v/>
      </c>
      <c r="HG178" s="56">
        <f>IFERROR((SUMIFS(tblSafety[LTI],tblSafety[Date],"&gt;="&amp;EDATE($E178,-12),tblSafety[Date],"&lt;="&amp;$A178)+SUMIFS(tblSafetyHistory[LTI],tblSafetyHistory[Month],"&gt;="&amp;EDATE($E178,-12),tblSafetyHistory[Month],"&lt;"&amp;cfg_YearStart))/(SUMIFS(tblSafety[Hours_Total],tblSafety[Date],"&gt;="&amp;EDATE($E178,-12),tblSafety[Date],"&lt;="&amp;$A178)+SUMIFS(tblSafetyHistory[Hours_Total],tblSafetyHistory[Month],"&gt;="&amp;EDATE($E178,-12),tblSafetyHistory[Month],"&lt;"&amp;cfg_YearStart))*1000000,"")</f>
        <v/>
      </c>
      <c r="HH178" s="62">
        <f>IF(MAX(N(cfg_PriorLTIDate),_xlfn.MAXIFS(tblSafety[Date],tblSafety[LTI],"&gt;0",tblSafety[Date],"&lt;="&amp;$A178))=0,"",$A178-MAX(N(cfg_PriorLTIDate),_xlfn.MAXIFS(tblSafety[Date],tblSafety[LTI],"&gt;0",tblSafety[Date],"&lt;="&amp;$A178)))</f>
        <v/>
      </c>
      <c r="HI178" s="55">
        <f>SUMIFS(tblBudget[Ore_Mined_t],tblBudget[Month],$E178)</f>
        <v/>
      </c>
      <c r="HJ178" s="55">
        <f>$HI178*$C178/$D178</f>
        <v/>
      </c>
      <c r="HK178" s="55">
        <f>SUMIFS(tblBudget[Ore_Mined_t],tblBudget[Month],"&lt;"&amp;$E178)+$HJ178</f>
        <v/>
      </c>
      <c r="HL178" s="55">
        <f>SUMIFS(tblBudget[Ore_oz],tblBudget[Month],$E178)</f>
        <v/>
      </c>
      <c r="HM178" s="55">
        <f>$HL178*$C178/$D178</f>
        <v/>
      </c>
      <c r="HN178" s="55">
        <f>SUMIFS(tblBudget[Ore_oz],tblBudget[Month],"&lt;"&amp;$E178)+$HM178</f>
        <v/>
      </c>
      <c r="HO178" s="56">
        <f>IFERROR(IF(($HI178)&gt;0,($HL178*cfg_TroyOz)/($HI178),""),"")</f>
        <v/>
      </c>
      <c r="HP178" s="56">
        <f>IFERROR(IF(($HJ178)&gt;0,($HM178*cfg_TroyOz)/($HJ178),""),"")</f>
        <v/>
      </c>
      <c r="HQ178" s="56">
        <f>IFERROR(IF(($HK178)&gt;0,($HN178*cfg_TroyOz)/($HK178),""),"")</f>
        <v/>
      </c>
      <c r="HR178" s="55">
        <f>SUMIFS(tblBudget[Waste_t],tblBudget[Month],$E178)</f>
        <v/>
      </c>
      <c r="HS178" s="55">
        <f>$HR178*$C178/$D178</f>
        <v/>
      </c>
      <c r="HT178" s="55">
        <f>SUMIFS(tblBudget[Waste_t],tblBudget[Month],"&lt;"&amp;$E178)+$HS178</f>
        <v/>
      </c>
      <c r="HU178" s="55">
        <f>SUMIFS(tblBudget[TMM_t],tblBudget[Month],$E178)</f>
        <v/>
      </c>
      <c r="HV178" s="55">
        <f>$HU178*$C178/$D178</f>
        <v/>
      </c>
      <c r="HW178" s="55">
        <f>SUMIFS(tblBudget[TMM_t],tblBudget[Month],"&lt;"&amp;$E178)+$HV178</f>
        <v/>
      </c>
      <c r="HX178" s="56">
        <f>IFERROR(IF(($HI178)&gt;0,($HR178)/($HI178),""),"")</f>
        <v/>
      </c>
      <c r="HY178" s="56">
        <f>IFERROR(IF(($HJ178)&gt;0,($HS178)/($HJ178),""),"")</f>
        <v/>
      </c>
      <c r="HZ178" s="56">
        <f>IFERROR(IF(($HK178)&gt;0,($HT178)/($HK178),""),"")</f>
        <v/>
      </c>
      <c r="IA178" s="55">
        <f>SUMIFS(tblBudget[Drill_m],tblBudget[Month],$E178)</f>
        <v/>
      </c>
      <c r="IB178" s="55">
        <f>$IA178*$C178/$D178</f>
        <v/>
      </c>
      <c r="IC178" s="55">
        <f>SUMIFS(tblBudget[Drill_m],tblBudget[Month],"&lt;"&amp;$E178)+$IB178</f>
        <v/>
      </c>
      <c r="ID178" s="55">
        <f>SUMIFS(tblBudget[Diesel_L],tblBudget[Month],$E178)</f>
        <v/>
      </c>
      <c r="IE178" s="55">
        <f>$ID178*$C178/$D178</f>
        <v/>
      </c>
      <c r="IF178" s="55">
        <f>SUMIFS(tblBudget[Diesel_L],tblBudget[Month],"&lt;"&amp;$E178)+$IE178</f>
        <v/>
      </c>
      <c r="IG178" s="55">
        <f>SUMIFS(tblBudget[Milled_t],tblBudget[Month],$E178)</f>
        <v/>
      </c>
      <c r="IH178" s="55">
        <f>$IG178*$C178/$D178</f>
        <v/>
      </c>
      <c r="II178" s="55">
        <f>SUMIFS(tblBudget[Milled_t],tblBudget[Month],"&lt;"&amp;$E178)+$IH178</f>
        <v/>
      </c>
      <c r="IJ178" s="55">
        <f>SUMIFS(tblBudget[Feed_oz],tblBudget[Month],$E178)</f>
        <v/>
      </c>
      <c r="IK178" s="55">
        <f>$IJ178*$C178/$D178</f>
        <v/>
      </c>
      <c r="IL178" s="55">
        <f>SUMIFS(tblBudget[Feed_oz],tblBudget[Month],"&lt;"&amp;$E178)+$IK178</f>
        <v/>
      </c>
      <c r="IM178" s="55">
        <f>SUMIFS(tblBudget[Recovered_oz],tblBudget[Month],$E178)</f>
        <v/>
      </c>
      <c r="IN178" s="55">
        <f>$IM178*$C178/$D178</f>
        <v/>
      </c>
      <c r="IO178" s="55">
        <f>SUMIFS(tblBudget[Recovered_oz],tblBudget[Month],"&lt;"&amp;$E178)+$IN178</f>
        <v/>
      </c>
      <c r="IP178" s="56">
        <f>IFERROR(IF(($IG178)&gt;0,($IJ178*cfg_TroyOz)/($IG178),""),"")</f>
        <v/>
      </c>
      <c r="IQ178" s="56">
        <f>IFERROR(IF(($IH178)&gt;0,($IK178*cfg_TroyOz)/($IH178),""),"")</f>
        <v/>
      </c>
      <c r="IR178" s="56">
        <f>IFERROR(IF(($II178)&gt;0,($IL178*cfg_TroyOz)/($II178),""),"")</f>
        <v/>
      </c>
      <c r="IS178" s="67">
        <f>IFERROR(IF(($IJ178)&gt;0,($IM178)/($IJ178),""),"")</f>
        <v/>
      </c>
      <c r="IT178" s="67">
        <f>IFERROR(IF(($IK178)&gt;0,($IN178)/($IK178),""),"")</f>
        <v/>
      </c>
      <c r="IU178" s="67">
        <f>IFERROR(IF(($IL178)&gt;0,($IO178)/($IL178),""),"")</f>
        <v/>
      </c>
      <c r="IV178" s="55">
        <f>SUMIFS(tblBudget[Gold_Poured_oz],tblBudget[Month],$E178)</f>
        <v/>
      </c>
      <c r="IW178" s="55">
        <f>$IV178*$C178/$D178</f>
        <v/>
      </c>
      <c r="IX178" s="55">
        <f>SUMIFS(tblBudget[Gold_Poured_oz],tblBudget[Month],"&lt;"&amp;$E178)+$IW178</f>
        <v/>
      </c>
      <c r="IY178" s="57">
        <f>SUMIFS(tblBudget[Hours_Worked],tblBudget[Month],$E178)</f>
        <v/>
      </c>
      <c r="IZ178" s="57">
        <f>$IY178*$C178/$D178</f>
        <v/>
      </c>
      <c r="JA178" s="57">
        <f>SUMIFS(tblBudget[Hours_Worked],tblBudget[Month],"&lt;"&amp;$E178)+$IZ178</f>
        <v/>
      </c>
    </row>
    <row r="179">
      <c r="A179" s="54" t="n">
        <v>46200</v>
      </c>
      <c r="B179">
        <f>MONTH($A179)</f>
        <v/>
      </c>
      <c r="C179">
        <f>DAY($A179)</f>
        <v/>
      </c>
      <c r="D179">
        <f>DAY(EOMONTH($A179,0))</f>
        <v/>
      </c>
      <c r="E179" s="54">
        <f>DATE(YEAR($A179),MONTH($A179),1)</f>
        <v/>
      </c>
      <c r="F179" s="55">
        <f>SUMIFS(tblMovement[Tonnes_t],tblMovement[Date],$A179,tblMovement[Is_Ore],1,tblMovement[Source_Type],"Pit")</f>
        <v/>
      </c>
      <c r="G179" s="55">
        <f>IF($B179=$B178,$G178,0)+$F179</f>
        <v/>
      </c>
      <c r="H179" s="55">
        <f>$H178+$F179</f>
        <v/>
      </c>
      <c r="I179" s="55">
        <f>SUMIFS(tblMovement[Ore_oz],tblMovement[Date],$A179,tblMovement[Source_Type],"Pit")</f>
        <v/>
      </c>
      <c r="J179" s="55">
        <f>IF($B179=$B178,$J178,0)+$I179</f>
        <v/>
      </c>
      <c r="K179" s="55">
        <f>$K178+$I179</f>
        <v/>
      </c>
      <c r="L179" s="56">
        <f>IFERROR(IF(($F179)&gt;0,($I179*cfg_TroyOz)/($F179),""),"")</f>
        <v/>
      </c>
      <c r="M179" s="56">
        <f>IFERROR(IF(($G179)&gt;0,($J179*cfg_TroyOz)/($G179),""),"")</f>
        <v/>
      </c>
      <c r="N179" s="56">
        <f>IFERROR(IF(($H179)&gt;0,($K179*cfg_TroyOz)/($H179),""),"")</f>
        <v/>
      </c>
      <c r="O179" s="55">
        <f>SUMIFS(tblMovement[Tonnes_t],tblMovement[Date],$A179,tblMovement[Is_Ore],0,tblMovement[Source_Type],"Pit")</f>
        <v/>
      </c>
      <c r="P179" s="55">
        <f>IF($B179=$B178,$P178,0)+$O179</f>
        <v/>
      </c>
      <c r="Q179" s="55">
        <f>$Q178+$O179</f>
        <v/>
      </c>
      <c r="R179" s="55">
        <f>$F179+$O179</f>
        <v/>
      </c>
      <c r="S179" s="55">
        <f>IF($B179=$B178,$S178,0)+$R179</f>
        <v/>
      </c>
      <c r="T179" s="55">
        <f>$T178+$R179</f>
        <v/>
      </c>
      <c r="U179" s="56">
        <f>IFERROR(IF(($F179)&gt;0,($O179)/($F179),""),"")</f>
        <v/>
      </c>
      <c r="V179" s="56">
        <f>IFERROR(IF(($G179)&gt;0,($P179)/($G179),""),"")</f>
        <v/>
      </c>
      <c r="W179" s="56">
        <f>IFERROR(IF(($H179)&gt;0,($Q179)/($H179),""),"")</f>
        <v/>
      </c>
      <c r="X179" s="55">
        <f>SUMIFS(tblMovement[Tonnes_t],tblMovement[Date],$A179,tblMovement[Source_Type],"Stockpile")</f>
        <v/>
      </c>
      <c r="Y179" s="55">
        <f>IF($B179=$B178,$Y178,0)+$X179</f>
        <v/>
      </c>
      <c r="Z179" s="55">
        <f>$Z178+$X179</f>
        <v/>
      </c>
      <c r="AA179" s="55">
        <f>SUMIFS(tblMiningDaily[Drill_m],tblMiningDaily[Date],$A179)</f>
        <v/>
      </c>
      <c r="AB179" s="55">
        <f>IF($B179=$B178,$AB178,0)+$AA179</f>
        <v/>
      </c>
      <c r="AC179" s="55">
        <f>$AC178+$AA179</f>
        <v/>
      </c>
      <c r="AD179" s="55">
        <f>SUMIFS(tblMiningDaily[Blast_t],tblMiningDaily[Date],$A179)</f>
        <v/>
      </c>
      <c r="AE179" s="55">
        <f>IF($B179=$B178,$AE178,0)+$AD179</f>
        <v/>
      </c>
      <c r="AF179" s="55">
        <f>$AF178+$AD179</f>
        <v/>
      </c>
      <c r="AG179" s="55">
        <f>SUMIFS(tblMiningDaily[Explosives_kg],tblMiningDaily[Date],$A179)</f>
        <v/>
      </c>
      <c r="AH179" s="55">
        <f>IF($B179=$B178,$AH178,0)+$AG179</f>
        <v/>
      </c>
      <c r="AI179" s="55">
        <f>$AI178+$AG179</f>
        <v/>
      </c>
      <c r="AJ179" s="56">
        <f>IFERROR(IF(($AD179)&gt;0,($AG179)/($AD179),""),"")</f>
        <v/>
      </c>
      <c r="AK179" s="56">
        <f>IFERROR(IF(($AE179)&gt;0,($AH179)/($AE179),""),"")</f>
        <v/>
      </c>
      <c r="AL179" s="56">
        <f>IFERROR(IF(($AF179)&gt;0,($AI179)/($AF179),""),"")</f>
        <v/>
      </c>
      <c r="AM179" s="55">
        <f>SUMIFS(tblMiningDaily[Diesel_L],tblMiningDaily[Date],$A179)</f>
        <v/>
      </c>
      <c r="AN179" s="55">
        <f>IF($B179=$B178,$AN178,0)+$AM179</f>
        <v/>
      </c>
      <c r="AO179" s="55">
        <f>$AO178+$AM179</f>
        <v/>
      </c>
      <c r="AP179" s="55">
        <f>SUMIFS(tblMiningDaily[Dewatering_m3],tblMiningDaily[Date],$A179)</f>
        <v/>
      </c>
      <c r="AQ179" s="55">
        <f>IF($B179=$B178,$AQ178,0)+$AP179</f>
        <v/>
      </c>
      <c r="AR179" s="55">
        <f>$AR178+$AP179</f>
        <v/>
      </c>
      <c r="AS179" s="57">
        <f>SUMIFS(tblFleet[Calendar_h],tblFleet[Date],$A179,tblFleet[Equipment_Class],"Excavator")</f>
        <v/>
      </c>
      <c r="AT179" s="57">
        <f>IF($B179=$B178,$AT178,0)+$AS179</f>
        <v/>
      </c>
      <c r="AU179" s="57">
        <f>$AU178+$AS179</f>
        <v/>
      </c>
      <c r="AV179" s="57">
        <f>SUMIFS(tblFleet[Available_h],tblFleet[Date],$A179,tblFleet[Equipment_Class],"Excavator")</f>
        <v/>
      </c>
      <c r="AW179" s="57">
        <f>IF($B179=$B178,$AW178,0)+$AV179</f>
        <v/>
      </c>
      <c r="AX179" s="57">
        <f>$AX178+$AV179</f>
        <v/>
      </c>
      <c r="AY179" s="57">
        <f>SUMIFS(tblFleet[Operating_h],tblFleet[Date],$A179,tblFleet[Equipment_Class],"Excavator")</f>
        <v/>
      </c>
      <c r="AZ179" s="57">
        <f>IF($B179=$B178,$AZ178,0)+$AY179</f>
        <v/>
      </c>
      <c r="BA179" s="57">
        <f>$BA178+$AY179</f>
        <v/>
      </c>
      <c r="BB179" s="67">
        <f>IFERROR(IF(($AS179)&gt;0,($AV179)/($AS179),""),"")</f>
        <v/>
      </c>
      <c r="BC179" s="67">
        <f>IFERROR(IF(($AT179)&gt;0,($AW179)/($AT179),""),"")</f>
        <v/>
      </c>
      <c r="BD179" s="67">
        <f>IFERROR(IF(($AU179)&gt;0,($AX179)/($AU179),""),"")</f>
        <v/>
      </c>
      <c r="BE179" s="67">
        <f>IFERROR(IF(($AV179)&gt;0,($AY179)/($AV179),""),"")</f>
        <v/>
      </c>
      <c r="BF179" s="67">
        <f>IFERROR(IF(($AW179)&gt;0,($AZ179)/($AW179),""),"")</f>
        <v/>
      </c>
      <c r="BG179" s="67">
        <f>IFERROR(IF(($AX179)&gt;0,($BA179)/($AX179),""),"")</f>
        <v/>
      </c>
      <c r="BH179" s="57">
        <f>SUMIFS(tblFleet[Calendar_h],tblFleet[Date],$A179,tblFleet[Equipment_Class],"Haul Truck")</f>
        <v/>
      </c>
      <c r="BI179" s="57">
        <f>IF($B179=$B178,$BI178,0)+$BH179</f>
        <v/>
      </c>
      <c r="BJ179" s="57">
        <f>$BJ178+$BH179</f>
        <v/>
      </c>
      <c r="BK179" s="57">
        <f>SUMIFS(tblFleet[Available_h],tblFleet[Date],$A179,tblFleet[Equipment_Class],"Haul Truck")</f>
        <v/>
      </c>
      <c r="BL179" s="57">
        <f>IF($B179=$B178,$BL178,0)+$BK179</f>
        <v/>
      </c>
      <c r="BM179" s="57">
        <f>$BM178+$BK179</f>
        <v/>
      </c>
      <c r="BN179" s="57">
        <f>SUMIFS(tblFleet[Operating_h],tblFleet[Date],$A179,tblFleet[Equipment_Class],"Haul Truck")</f>
        <v/>
      </c>
      <c r="BO179" s="57">
        <f>IF($B179=$B178,$BO178,0)+$BN179</f>
        <v/>
      </c>
      <c r="BP179" s="57">
        <f>$BP178+$BN179</f>
        <v/>
      </c>
      <c r="BQ179" s="67">
        <f>IFERROR(IF(($BH179)&gt;0,($BK179)/($BH179),""),"")</f>
        <v/>
      </c>
      <c r="BR179" s="67">
        <f>IFERROR(IF(($BI179)&gt;0,($BL179)/($BI179),""),"")</f>
        <v/>
      </c>
      <c r="BS179" s="67">
        <f>IFERROR(IF(($BJ179)&gt;0,($BM179)/($BJ179),""),"")</f>
        <v/>
      </c>
      <c r="BT179" s="67">
        <f>IFERROR(IF(($BK179)&gt;0,($BN179)/($BK179),""),"")</f>
        <v/>
      </c>
      <c r="BU179" s="67">
        <f>IFERROR(IF(($BL179)&gt;0,($BO179)/($BL179),""),"")</f>
        <v/>
      </c>
      <c r="BV179" s="67">
        <f>IFERROR(IF(($BM179)&gt;0,($BP179)/($BM179),""),"")</f>
        <v/>
      </c>
      <c r="BW179" s="55">
        <f>SUMIFS(tblPlant[Crushed_t],tblPlant[Date],$A179)</f>
        <v/>
      </c>
      <c r="BX179" s="55">
        <f>IF($B179=$B178,$BX178,0)+$BW179</f>
        <v/>
      </c>
      <c r="BY179" s="55">
        <f>$BY178+$BW179</f>
        <v/>
      </c>
      <c r="BZ179" s="55">
        <f>SUMIFS(tblPlant[Milled_t],tblPlant[Date],$A179)</f>
        <v/>
      </c>
      <c r="CA179" s="55">
        <f>IF($B179=$B178,$CA178,0)+$BZ179</f>
        <v/>
      </c>
      <c r="CB179" s="55">
        <f>$CB178+$BZ179</f>
        <v/>
      </c>
      <c r="CC179" s="55">
        <f>SUMIFS(tblPlant[Feed_oz],tblPlant[Date],$A179)</f>
        <v/>
      </c>
      <c r="CD179" s="55">
        <f>IF($B179=$B178,$CD178,0)+$CC179</f>
        <v/>
      </c>
      <c r="CE179" s="55">
        <f>$CE178+$CC179</f>
        <v/>
      </c>
      <c r="CF179" s="55">
        <f>SUMIFS(tblPlant[Tails_oz],tblPlant[Date],$A179)</f>
        <v/>
      </c>
      <c r="CG179" s="55">
        <f>IF($B179=$B178,$CG178,0)+$CF179</f>
        <v/>
      </c>
      <c r="CH179" s="55">
        <f>$CH178+$CF179</f>
        <v/>
      </c>
      <c r="CI179" s="55">
        <f>SUMIFS(tblPlant[Recovered_oz],tblPlant[Date],$A179)</f>
        <v/>
      </c>
      <c r="CJ179" s="55">
        <f>IF($B179=$B178,$CJ178,0)+$CI179</f>
        <v/>
      </c>
      <c r="CK179" s="55">
        <f>$CK178+$CI179</f>
        <v/>
      </c>
      <c r="CL179" s="56">
        <f>IFERROR(IF(($BZ179)&gt;0,($CC179*cfg_TroyOz)/($BZ179),""),"")</f>
        <v/>
      </c>
      <c r="CM179" s="56">
        <f>IFERROR(IF(($CA179)&gt;0,($CD179*cfg_TroyOz)/($CA179),""),"")</f>
        <v/>
      </c>
      <c r="CN179" s="56">
        <f>IFERROR(IF(($CB179)&gt;0,($CE179*cfg_TroyOz)/($CB179),""),"")</f>
        <v/>
      </c>
      <c r="CO179" s="56">
        <f>IFERROR(IF(($BZ179)&gt;0,($CF179*cfg_TroyOz)/($BZ179),""),"")</f>
        <v/>
      </c>
      <c r="CP179" s="56">
        <f>IFERROR(IF(($CA179)&gt;0,($CG179*cfg_TroyOz)/($CA179),""),"")</f>
        <v/>
      </c>
      <c r="CQ179" s="56">
        <f>IFERROR(IF(($CB179)&gt;0,($CH179*cfg_TroyOz)/($CB179),""),"")</f>
        <v/>
      </c>
      <c r="CR179" s="67">
        <f>IFERROR(IF(($CC179)&gt;0,($CI179)/($CC179),""),"")</f>
        <v/>
      </c>
      <c r="CS179" s="67">
        <f>IFERROR(IF(($CD179)&gt;0,($CJ179)/($CD179),""),"")</f>
        <v/>
      </c>
      <c r="CT179" s="67">
        <f>IFERROR(IF(($CE179)&gt;0,($CK179)/($CE179),""),"")</f>
        <v/>
      </c>
      <c r="CU179" s="55">
        <f>SUMIFS(tblPlant[Gravity_Gold_oz],tblPlant[Date],$A179)</f>
        <v/>
      </c>
      <c r="CV179" s="55">
        <f>IF($B179=$B178,$CV178,0)+$CU179</f>
        <v/>
      </c>
      <c r="CW179" s="55">
        <f>$CW178+$CU179</f>
        <v/>
      </c>
      <c r="CX179" s="55">
        <f>SUMIFS(tblPlant[Gold_Poured_oz],tblPlant[Date],$A179)</f>
        <v/>
      </c>
      <c r="CY179" s="55">
        <f>IF($B179=$B178,$CY178,0)+$CX179</f>
        <v/>
      </c>
      <c r="CZ179" s="55">
        <f>$CZ178+$CX179</f>
        <v/>
      </c>
      <c r="DA179" s="57">
        <f>SUMIFS(tblPlant[Mill_Run_h],tblPlant[Date],$A179)</f>
        <v/>
      </c>
      <c r="DB179" s="57">
        <f>IF($B179=$B178,$DB178,0)+$DA179</f>
        <v/>
      </c>
      <c r="DC179" s="57">
        <f>$DC178+$DA179</f>
        <v/>
      </c>
      <c r="DD179" s="57">
        <f>SUMIFS(tblPlant[Mill_Planned_Maint_h],tblPlant[Date],$A179)</f>
        <v/>
      </c>
      <c r="DE179" s="57">
        <f>IF($B179=$B178,$DE178,0)+$DD179</f>
        <v/>
      </c>
      <c r="DF179" s="57">
        <f>$DF178+$DD179</f>
        <v/>
      </c>
      <c r="DG179" s="57">
        <f>SUMIFS(tblPlant[Mill_Unplanned_Down_h],tblPlant[Date],$A179)</f>
        <v/>
      </c>
      <c r="DH179" s="57">
        <f>IF($B179=$B178,$DH178,0)+$DG179</f>
        <v/>
      </c>
      <c r="DI179" s="57">
        <f>$DI178+$DG179</f>
        <v/>
      </c>
      <c r="DJ179" s="57">
        <f>COUNTIFS(tblPlant[Date],$A179,tblPlant[Mill_Run_h],"&lt;&gt;")*24</f>
        <v/>
      </c>
      <c r="DK179" s="57">
        <f>IF($B179=$B178,$DK178,0)+$DJ179</f>
        <v/>
      </c>
      <c r="DL179" s="57">
        <f>$DL178+$DJ179</f>
        <v/>
      </c>
      <c r="DM179" s="57">
        <f>SUMIFS(tblPlant[Crusher_Run_h],tblPlant[Date],$A179)</f>
        <v/>
      </c>
      <c r="DN179" s="57">
        <f>IF($B179=$B178,$DN178,0)+$DM179</f>
        <v/>
      </c>
      <c r="DO179" s="57">
        <f>$DO178+$DM179</f>
        <v/>
      </c>
      <c r="DP179" s="55">
        <f>IFERROR(IF(($DA179)&gt;0,($BZ179)/($DA179),""),"")</f>
        <v/>
      </c>
      <c r="DQ179" s="55">
        <f>IFERROR(IF(($DB179)&gt;0,($CA179)/($DB179),""),"")</f>
        <v/>
      </c>
      <c r="DR179" s="55">
        <f>IFERROR(IF(($DC179)&gt;0,($CB179)/($DC179),""),"")</f>
        <v/>
      </c>
      <c r="DS179" s="67">
        <f>IFERROR(IF(($DJ179)&gt;0,($DJ179-$DD179-$DG179)/($DJ179),""),"")</f>
        <v/>
      </c>
      <c r="DT179" s="67">
        <f>IFERROR(IF(($DK179)&gt;0,($DK179-$DE179-$DH179)/($DK179),""),"")</f>
        <v/>
      </c>
      <c r="DU179" s="67">
        <f>IFERROR(IF(($DL179)&gt;0,($DL179-$DF179-$DI179)/($DL179),""),"")</f>
        <v/>
      </c>
      <c r="DV179" s="67">
        <f>IFERROR(IF(($DJ179-$DD179-$DG179)&gt;0,($DA179)/($DJ179-$DD179-$DG179),""),"")</f>
        <v/>
      </c>
      <c r="DW179" s="67">
        <f>IFERROR(IF(($DK179-$DE179-$DH179)&gt;0,($DB179)/($DK179-$DE179-$DH179),""),"")</f>
        <v/>
      </c>
      <c r="DX179" s="67">
        <f>IFERROR(IF(($DL179-$DF179-$DI179)&gt;0,($DC179)/($DL179-$DF179-$DI179),""),"")</f>
        <v/>
      </c>
      <c r="DY179" s="55">
        <f>SUMIFS(tblPlant[Cyanide_kg],tblPlant[Date],$A179)</f>
        <v/>
      </c>
      <c r="DZ179" s="55">
        <f>IF($B179=$B178,$DZ178,0)+$DY179</f>
        <v/>
      </c>
      <c r="EA179" s="55">
        <f>$EA178+$DY179</f>
        <v/>
      </c>
      <c r="EB179" s="55">
        <f>SUMIFS(tblPlant[Lime_kg],tblPlant[Date],$A179)</f>
        <v/>
      </c>
      <c r="EC179" s="55">
        <f>IF($B179=$B178,$EC178,0)+$EB179</f>
        <v/>
      </c>
      <c r="ED179" s="55">
        <f>$ED178+$EB179</f>
        <v/>
      </c>
      <c r="EE179" s="55">
        <f>SUMIFS(tblPlant[Grinding_Media_kg],tblPlant[Date],$A179)</f>
        <v/>
      </c>
      <c r="EF179" s="55">
        <f>IF($B179=$B178,$EF178,0)+$EE179</f>
        <v/>
      </c>
      <c r="EG179" s="55">
        <f>$EG178+$EE179</f>
        <v/>
      </c>
      <c r="EH179" s="55">
        <f>SUMIFS(tblPlant[Power_kWh],tblPlant[Date],$A179)</f>
        <v/>
      </c>
      <c r="EI179" s="55">
        <f>IF($B179=$B178,$EI178,0)+$EH179</f>
        <v/>
      </c>
      <c r="EJ179" s="55">
        <f>$EJ178+$EH179</f>
        <v/>
      </c>
      <c r="EK179" s="55">
        <f>SUMIFS(tblPlant[Raw_Water_m3],tblPlant[Date],$A179)</f>
        <v/>
      </c>
      <c r="EL179" s="55">
        <f>IF($B179=$B178,$EL178,0)+$EK179</f>
        <v/>
      </c>
      <c r="EM179" s="55">
        <f>$EM178+$EK179</f>
        <v/>
      </c>
      <c r="EN179" s="56">
        <f>IFERROR(IF(($BZ179)&gt;0,($DY179)/($BZ179),""),"")</f>
        <v/>
      </c>
      <c r="EO179" s="56">
        <f>IFERROR(IF(($CA179)&gt;0,($DZ179)/($CA179),""),"")</f>
        <v/>
      </c>
      <c r="EP179" s="56">
        <f>IFERROR(IF(($CB179)&gt;0,($EA179)/($CB179),""),"")</f>
        <v/>
      </c>
      <c r="EQ179" s="56">
        <f>IFERROR(IF(($BZ179)&gt;0,($EB179)/($BZ179),""),"")</f>
        <v/>
      </c>
      <c r="ER179" s="56">
        <f>IFERROR(IF(($CA179)&gt;0,($EC179)/($CA179),""),"")</f>
        <v/>
      </c>
      <c r="ES179" s="56">
        <f>IFERROR(IF(($CB179)&gt;0,($ED179)/($CB179),""),"")</f>
        <v/>
      </c>
      <c r="ET179" s="56">
        <f>IFERROR(IF(($BZ179)&gt;0,($EE179)/($BZ179),""),"")</f>
        <v/>
      </c>
      <c r="EU179" s="56">
        <f>IFERROR(IF(($CA179)&gt;0,($EF179)/($CA179),""),"")</f>
        <v/>
      </c>
      <c r="EV179" s="56">
        <f>IFERROR(IF(($CB179)&gt;0,($EG179)/($CB179),""),"")</f>
        <v/>
      </c>
      <c r="EW179" s="76">
        <f>IFERROR(IF(($BZ179)&gt;0,($EH179)/($BZ179),""),"")</f>
        <v/>
      </c>
      <c r="EX179" s="76">
        <f>IFERROR(IF(($CA179)&gt;0,($EI179)/($CA179),""),"")</f>
        <v/>
      </c>
      <c r="EY179" s="76">
        <f>IFERROR(IF(($CB179)&gt;0,($EJ179)/($CB179),""),"")</f>
        <v/>
      </c>
      <c r="EZ179" s="56">
        <f>IFERROR(IF(($BZ179)&gt;0,($EK179)/($BZ179),""),"")</f>
        <v/>
      </c>
      <c r="FA179" s="56">
        <f>IFERROR(IF(($CA179)&gt;0,($EL179)/($CA179),""),"")</f>
        <v/>
      </c>
      <c r="FB179" s="56">
        <f>IFERROR(IF(($CB179)&gt;0,($EM179)/($CB179),""),"")</f>
        <v/>
      </c>
      <c r="FC179" s="55">
        <f>IF(SUMIFS(tblPlant[GIC_oz],tblPlant[Date],$A179)&gt;0,SUMIFS(tblPlant[GIC_oz],tblPlant[Date],$A179),"")</f>
        <v/>
      </c>
      <c r="FD179" s="55">
        <f>SUMIFS(tblGold[Gold_oz],tblGold[Date],$A179,tblGold[Type],"Shipment")</f>
        <v/>
      </c>
      <c r="FE179" s="55">
        <f>IF($B179=$B178,$FE178,0)+$FD179</f>
        <v/>
      </c>
      <c r="FF179" s="55">
        <f>$FF178+$FD179</f>
        <v/>
      </c>
      <c r="FG179" s="55">
        <f>SUMIFS(tblGold[Gold_oz],tblGold[Date],$A179,tblGold[Type],"Sale")</f>
        <v/>
      </c>
      <c r="FH179" s="55">
        <f>IF($B179=$B178,$FH178,0)+$FG179</f>
        <v/>
      </c>
      <c r="FI179" s="55">
        <f>$FI178+$FG179</f>
        <v/>
      </c>
      <c r="FJ179" s="55">
        <f>SUMIFS(tblGold[Dore_kg],tblGold[Date],$A179,tblGold[Type],"Shipment")</f>
        <v/>
      </c>
      <c r="FK179" s="55">
        <f>IF($B179=$B178,$FK178,0)+$FJ179</f>
        <v/>
      </c>
      <c r="FL179" s="55">
        <f>$FL178+$FJ179</f>
        <v/>
      </c>
      <c r="FM179" s="57">
        <f>SUMIFS(tblSafety[Hours_Total],tblSafety[Date],$A179)</f>
        <v/>
      </c>
      <c r="FN179" s="57">
        <f>IF($B179=$B178,$FN178,0)+$FM179</f>
        <v/>
      </c>
      <c r="FO179" s="57">
        <f>$FO178+$FM179</f>
        <v/>
      </c>
      <c r="FP179" s="62">
        <f>SUMIFS(tblSafety[Fatality],tblSafety[Date],$A179)</f>
        <v/>
      </c>
      <c r="FQ179" s="62">
        <f>IF($B179=$B178,$FQ178,0)+$FP179</f>
        <v/>
      </c>
      <c r="FR179" s="62">
        <f>$FR178+$FP179</f>
        <v/>
      </c>
      <c r="FS179" s="62">
        <f>SUMIFS(tblSafety[LTI],tblSafety[Date],$A179)</f>
        <v/>
      </c>
      <c r="FT179" s="62">
        <f>IF($B179=$B178,$FT178,0)+$FS179</f>
        <v/>
      </c>
      <c r="FU179" s="62">
        <f>$FU178+$FS179</f>
        <v/>
      </c>
      <c r="FV179" s="62">
        <f>SUMIFS(tblSafety[RWI],tblSafety[Date],$A179)</f>
        <v/>
      </c>
      <c r="FW179" s="62">
        <f>IF($B179=$B178,$FW178,0)+$FV179</f>
        <v/>
      </c>
      <c r="FX179" s="62">
        <f>$FX178+$FV179</f>
        <v/>
      </c>
      <c r="FY179" s="62">
        <f>SUMIFS(tblSafety[MTI],tblSafety[Date],$A179)</f>
        <v/>
      </c>
      <c r="FZ179" s="62">
        <f>IF($B179=$B178,$FZ178,0)+$FY179</f>
        <v/>
      </c>
      <c r="GA179" s="62">
        <f>$GA178+$FY179</f>
        <v/>
      </c>
      <c r="GB179" s="62">
        <f>SUMIFS(tblSafety[FAI],tblSafety[Date],$A179)</f>
        <v/>
      </c>
      <c r="GC179" s="62">
        <f>IF($B179=$B178,$GC178,0)+$GB179</f>
        <v/>
      </c>
      <c r="GD179" s="62">
        <f>$GD178+$GB179</f>
        <v/>
      </c>
      <c r="GE179" s="62">
        <f>SUMIFS(tblSafety[Recordables],tblSafety[Date],$A179)</f>
        <v/>
      </c>
      <c r="GF179" s="62">
        <f>IF($B179=$B178,$GF178,0)+$GE179</f>
        <v/>
      </c>
      <c r="GG179" s="62">
        <f>$GG178+$GE179</f>
        <v/>
      </c>
      <c r="GH179" s="62">
        <f>SUMIFS(tblSafety[Near_Miss],tblSafety[Date],$A179)</f>
        <v/>
      </c>
      <c r="GI179" s="62">
        <f>IF($B179=$B178,$GI178,0)+$GH179</f>
        <v/>
      </c>
      <c r="GJ179" s="62">
        <f>$GJ178+$GH179</f>
        <v/>
      </c>
      <c r="GK179" s="62">
        <f>SUMIFS(tblSafety[Hazard_Reports],tblSafety[Date],$A179)</f>
        <v/>
      </c>
      <c r="GL179" s="62">
        <f>IF($B179=$B178,$GL178,0)+$GK179</f>
        <v/>
      </c>
      <c r="GM179" s="62">
        <f>$GM178+$GK179</f>
        <v/>
      </c>
      <c r="GN179" s="62">
        <f>SUMIFS(tblSafety[HPI],tblSafety[Date],$A179)</f>
        <v/>
      </c>
      <c r="GO179" s="62">
        <f>IF($B179=$B178,$GO178,0)+$GN179</f>
        <v/>
      </c>
      <c r="GP179" s="62">
        <f>$GP178+$GN179</f>
        <v/>
      </c>
      <c r="GQ179" s="62">
        <f>SUMIFS(tblSafety[Env_Incidents],tblSafety[Date],$A179)</f>
        <v/>
      </c>
      <c r="GR179" s="62">
        <f>IF($B179=$B178,$GR178,0)+$GQ179</f>
        <v/>
      </c>
      <c r="GS179" s="62">
        <f>$GS178+$GQ179</f>
        <v/>
      </c>
      <c r="GT179" s="62">
        <f>SUMIFS(tblSafety[Community_Incidents],tblSafety[Date],$A179)</f>
        <v/>
      </c>
      <c r="GU179" s="62">
        <f>IF($B179=$B178,$GU178,0)+$GT179</f>
        <v/>
      </c>
      <c r="GV179" s="62">
        <f>$GV178+$GT179</f>
        <v/>
      </c>
      <c r="GW179" s="62">
        <f>SUMIFS(tblSafety[Vehicle_Incidents],tblSafety[Date],$A179)</f>
        <v/>
      </c>
      <c r="GX179" s="62">
        <f>IF($B179=$B178,$GX178,0)+$GW179</f>
        <v/>
      </c>
      <c r="GY179" s="62">
        <f>$GY178+$GW179</f>
        <v/>
      </c>
      <c r="GZ179" s="62">
        <f>SUMIFS(tblSafety[Toolbox_Talks],tblSafety[Date],$A179)</f>
        <v/>
      </c>
      <c r="HA179" s="62">
        <f>IF($B179=$B178,$HA178,0)+$GZ179</f>
        <v/>
      </c>
      <c r="HB179" s="62">
        <f>$HB178+$GZ179</f>
        <v/>
      </c>
      <c r="HC179" s="62">
        <f>SUMIFS(tblSafety[Inspections],tblSafety[Date],$A179)</f>
        <v/>
      </c>
      <c r="HD179" s="62">
        <f>IF($B179=$B178,$HD178,0)+$HC179</f>
        <v/>
      </c>
      <c r="HE179" s="62">
        <f>$HE178+$HC179</f>
        <v/>
      </c>
      <c r="HF179" s="56">
        <f>IFERROR((SUMIFS(tblSafety[Recordables],tblSafety[Date],"&gt;="&amp;EDATE($E179,-12),tblSafety[Date],"&lt;="&amp;$A179)+SUMIFS(tblSafetyHistory[Recordables],tblSafetyHistory[Month],"&gt;="&amp;EDATE($E179,-12),tblSafetyHistory[Month],"&lt;"&amp;cfg_YearStart))/(SUMIFS(tblSafety[Hours_Total],tblSafety[Date],"&gt;="&amp;EDATE($E179,-12),tblSafety[Date],"&lt;="&amp;$A179)+SUMIFS(tblSafetyHistory[Hours_Total],tblSafetyHistory[Month],"&gt;="&amp;EDATE($E179,-12),tblSafetyHistory[Month],"&lt;"&amp;cfg_YearStart))*1000000,"")</f>
        <v/>
      </c>
      <c r="HG179" s="56">
        <f>IFERROR((SUMIFS(tblSafety[LTI],tblSafety[Date],"&gt;="&amp;EDATE($E179,-12),tblSafety[Date],"&lt;="&amp;$A179)+SUMIFS(tblSafetyHistory[LTI],tblSafetyHistory[Month],"&gt;="&amp;EDATE($E179,-12),tblSafetyHistory[Month],"&lt;"&amp;cfg_YearStart))/(SUMIFS(tblSafety[Hours_Total],tblSafety[Date],"&gt;="&amp;EDATE($E179,-12),tblSafety[Date],"&lt;="&amp;$A179)+SUMIFS(tblSafetyHistory[Hours_Total],tblSafetyHistory[Month],"&gt;="&amp;EDATE($E179,-12),tblSafetyHistory[Month],"&lt;"&amp;cfg_YearStart))*1000000,"")</f>
        <v/>
      </c>
      <c r="HH179" s="62">
        <f>IF(MAX(N(cfg_PriorLTIDate),_xlfn.MAXIFS(tblSafety[Date],tblSafety[LTI],"&gt;0",tblSafety[Date],"&lt;="&amp;$A179))=0,"",$A179-MAX(N(cfg_PriorLTIDate),_xlfn.MAXIFS(tblSafety[Date],tblSafety[LTI],"&gt;0",tblSafety[Date],"&lt;="&amp;$A179)))</f>
        <v/>
      </c>
      <c r="HI179" s="55">
        <f>SUMIFS(tblBudget[Ore_Mined_t],tblBudget[Month],$E179)</f>
        <v/>
      </c>
      <c r="HJ179" s="55">
        <f>$HI179*$C179/$D179</f>
        <v/>
      </c>
      <c r="HK179" s="55">
        <f>SUMIFS(tblBudget[Ore_Mined_t],tblBudget[Month],"&lt;"&amp;$E179)+$HJ179</f>
        <v/>
      </c>
      <c r="HL179" s="55">
        <f>SUMIFS(tblBudget[Ore_oz],tblBudget[Month],$E179)</f>
        <v/>
      </c>
      <c r="HM179" s="55">
        <f>$HL179*$C179/$D179</f>
        <v/>
      </c>
      <c r="HN179" s="55">
        <f>SUMIFS(tblBudget[Ore_oz],tblBudget[Month],"&lt;"&amp;$E179)+$HM179</f>
        <v/>
      </c>
      <c r="HO179" s="56">
        <f>IFERROR(IF(($HI179)&gt;0,($HL179*cfg_TroyOz)/($HI179),""),"")</f>
        <v/>
      </c>
      <c r="HP179" s="56">
        <f>IFERROR(IF(($HJ179)&gt;0,($HM179*cfg_TroyOz)/($HJ179),""),"")</f>
        <v/>
      </c>
      <c r="HQ179" s="56">
        <f>IFERROR(IF(($HK179)&gt;0,($HN179*cfg_TroyOz)/($HK179),""),"")</f>
        <v/>
      </c>
      <c r="HR179" s="55">
        <f>SUMIFS(tblBudget[Waste_t],tblBudget[Month],$E179)</f>
        <v/>
      </c>
      <c r="HS179" s="55">
        <f>$HR179*$C179/$D179</f>
        <v/>
      </c>
      <c r="HT179" s="55">
        <f>SUMIFS(tblBudget[Waste_t],tblBudget[Month],"&lt;"&amp;$E179)+$HS179</f>
        <v/>
      </c>
      <c r="HU179" s="55">
        <f>SUMIFS(tblBudget[TMM_t],tblBudget[Month],$E179)</f>
        <v/>
      </c>
      <c r="HV179" s="55">
        <f>$HU179*$C179/$D179</f>
        <v/>
      </c>
      <c r="HW179" s="55">
        <f>SUMIFS(tblBudget[TMM_t],tblBudget[Month],"&lt;"&amp;$E179)+$HV179</f>
        <v/>
      </c>
      <c r="HX179" s="56">
        <f>IFERROR(IF(($HI179)&gt;0,($HR179)/($HI179),""),"")</f>
        <v/>
      </c>
      <c r="HY179" s="56">
        <f>IFERROR(IF(($HJ179)&gt;0,($HS179)/($HJ179),""),"")</f>
        <v/>
      </c>
      <c r="HZ179" s="56">
        <f>IFERROR(IF(($HK179)&gt;0,($HT179)/($HK179),""),"")</f>
        <v/>
      </c>
      <c r="IA179" s="55">
        <f>SUMIFS(tblBudget[Drill_m],tblBudget[Month],$E179)</f>
        <v/>
      </c>
      <c r="IB179" s="55">
        <f>$IA179*$C179/$D179</f>
        <v/>
      </c>
      <c r="IC179" s="55">
        <f>SUMIFS(tblBudget[Drill_m],tblBudget[Month],"&lt;"&amp;$E179)+$IB179</f>
        <v/>
      </c>
      <c r="ID179" s="55">
        <f>SUMIFS(tblBudget[Diesel_L],tblBudget[Month],$E179)</f>
        <v/>
      </c>
      <c r="IE179" s="55">
        <f>$ID179*$C179/$D179</f>
        <v/>
      </c>
      <c r="IF179" s="55">
        <f>SUMIFS(tblBudget[Diesel_L],tblBudget[Month],"&lt;"&amp;$E179)+$IE179</f>
        <v/>
      </c>
      <c r="IG179" s="55">
        <f>SUMIFS(tblBudget[Milled_t],tblBudget[Month],$E179)</f>
        <v/>
      </c>
      <c r="IH179" s="55">
        <f>$IG179*$C179/$D179</f>
        <v/>
      </c>
      <c r="II179" s="55">
        <f>SUMIFS(tblBudget[Milled_t],tblBudget[Month],"&lt;"&amp;$E179)+$IH179</f>
        <v/>
      </c>
      <c r="IJ179" s="55">
        <f>SUMIFS(tblBudget[Feed_oz],tblBudget[Month],$E179)</f>
        <v/>
      </c>
      <c r="IK179" s="55">
        <f>$IJ179*$C179/$D179</f>
        <v/>
      </c>
      <c r="IL179" s="55">
        <f>SUMIFS(tblBudget[Feed_oz],tblBudget[Month],"&lt;"&amp;$E179)+$IK179</f>
        <v/>
      </c>
      <c r="IM179" s="55">
        <f>SUMIFS(tblBudget[Recovered_oz],tblBudget[Month],$E179)</f>
        <v/>
      </c>
      <c r="IN179" s="55">
        <f>$IM179*$C179/$D179</f>
        <v/>
      </c>
      <c r="IO179" s="55">
        <f>SUMIFS(tblBudget[Recovered_oz],tblBudget[Month],"&lt;"&amp;$E179)+$IN179</f>
        <v/>
      </c>
      <c r="IP179" s="56">
        <f>IFERROR(IF(($IG179)&gt;0,($IJ179*cfg_TroyOz)/($IG179),""),"")</f>
        <v/>
      </c>
      <c r="IQ179" s="56">
        <f>IFERROR(IF(($IH179)&gt;0,($IK179*cfg_TroyOz)/($IH179),""),"")</f>
        <v/>
      </c>
      <c r="IR179" s="56">
        <f>IFERROR(IF(($II179)&gt;0,($IL179*cfg_TroyOz)/($II179),""),"")</f>
        <v/>
      </c>
      <c r="IS179" s="67">
        <f>IFERROR(IF(($IJ179)&gt;0,($IM179)/($IJ179),""),"")</f>
        <v/>
      </c>
      <c r="IT179" s="67">
        <f>IFERROR(IF(($IK179)&gt;0,($IN179)/($IK179),""),"")</f>
        <v/>
      </c>
      <c r="IU179" s="67">
        <f>IFERROR(IF(($IL179)&gt;0,($IO179)/($IL179),""),"")</f>
        <v/>
      </c>
      <c r="IV179" s="55">
        <f>SUMIFS(tblBudget[Gold_Poured_oz],tblBudget[Month],$E179)</f>
        <v/>
      </c>
      <c r="IW179" s="55">
        <f>$IV179*$C179/$D179</f>
        <v/>
      </c>
      <c r="IX179" s="55">
        <f>SUMIFS(tblBudget[Gold_Poured_oz],tblBudget[Month],"&lt;"&amp;$E179)+$IW179</f>
        <v/>
      </c>
      <c r="IY179" s="57">
        <f>SUMIFS(tblBudget[Hours_Worked],tblBudget[Month],$E179)</f>
        <v/>
      </c>
      <c r="IZ179" s="57">
        <f>$IY179*$C179/$D179</f>
        <v/>
      </c>
      <c r="JA179" s="57">
        <f>SUMIFS(tblBudget[Hours_Worked],tblBudget[Month],"&lt;"&amp;$E179)+$IZ179</f>
        <v/>
      </c>
    </row>
    <row r="180">
      <c r="A180" s="54" t="n">
        <v>46201</v>
      </c>
      <c r="B180">
        <f>MONTH($A180)</f>
        <v/>
      </c>
      <c r="C180">
        <f>DAY($A180)</f>
        <v/>
      </c>
      <c r="D180">
        <f>DAY(EOMONTH($A180,0))</f>
        <v/>
      </c>
      <c r="E180" s="54">
        <f>DATE(YEAR($A180),MONTH($A180),1)</f>
        <v/>
      </c>
      <c r="F180" s="55">
        <f>SUMIFS(tblMovement[Tonnes_t],tblMovement[Date],$A180,tblMovement[Is_Ore],1,tblMovement[Source_Type],"Pit")</f>
        <v/>
      </c>
      <c r="G180" s="55">
        <f>IF($B180=$B179,$G179,0)+$F180</f>
        <v/>
      </c>
      <c r="H180" s="55">
        <f>$H179+$F180</f>
        <v/>
      </c>
      <c r="I180" s="55">
        <f>SUMIFS(tblMovement[Ore_oz],tblMovement[Date],$A180,tblMovement[Source_Type],"Pit")</f>
        <v/>
      </c>
      <c r="J180" s="55">
        <f>IF($B180=$B179,$J179,0)+$I180</f>
        <v/>
      </c>
      <c r="K180" s="55">
        <f>$K179+$I180</f>
        <v/>
      </c>
      <c r="L180" s="56">
        <f>IFERROR(IF(($F180)&gt;0,($I180*cfg_TroyOz)/($F180),""),"")</f>
        <v/>
      </c>
      <c r="M180" s="56">
        <f>IFERROR(IF(($G180)&gt;0,($J180*cfg_TroyOz)/($G180),""),"")</f>
        <v/>
      </c>
      <c r="N180" s="56">
        <f>IFERROR(IF(($H180)&gt;0,($K180*cfg_TroyOz)/($H180),""),"")</f>
        <v/>
      </c>
      <c r="O180" s="55">
        <f>SUMIFS(tblMovement[Tonnes_t],tblMovement[Date],$A180,tblMovement[Is_Ore],0,tblMovement[Source_Type],"Pit")</f>
        <v/>
      </c>
      <c r="P180" s="55">
        <f>IF($B180=$B179,$P179,0)+$O180</f>
        <v/>
      </c>
      <c r="Q180" s="55">
        <f>$Q179+$O180</f>
        <v/>
      </c>
      <c r="R180" s="55">
        <f>$F180+$O180</f>
        <v/>
      </c>
      <c r="S180" s="55">
        <f>IF($B180=$B179,$S179,0)+$R180</f>
        <v/>
      </c>
      <c r="T180" s="55">
        <f>$T179+$R180</f>
        <v/>
      </c>
      <c r="U180" s="56">
        <f>IFERROR(IF(($F180)&gt;0,($O180)/($F180),""),"")</f>
        <v/>
      </c>
      <c r="V180" s="56">
        <f>IFERROR(IF(($G180)&gt;0,($P180)/($G180),""),"")</f>
        <v/>
      </c>
      <c r="W180" s="56">
        <f>IFERROR(IF(($H180)&gt;0,($Q180)/($H180),""),"")</f>
        <v/>
      </c>
      <c r="X180" s="55">
        <f>SUMIFS(tblMovement[Tonnes_t],tblMovement[Date],$A180,tblMovement[Source_Type],"Stockpile")</f>
        <v/>
      </c>
      <c r="Y180" s="55">
        <f>IF($B180=$B179,$Y179,0)+$X180</f>
        <v/>
      </c>
      <c r="Z180" s="55">
        <f>$Z179+$X180</f>
        <v/>
      </c>
      <c r="AA180" s="55">
        <f>SUMIFS(tblMiningDaily[Drill_m],tblMiningDaily[Date],$A180)</f>
        <v/>
      </c>
      <c r="AB180" s="55">
        <f>IF($B180=$B179,$AB179,0)+$AA180</f>
        <v/>
      </c>
      <c r="AC180" s="55">
        <f>$AC179+$AA180</f>
        <v/>
      </c>
      <c r="AD180" s="55">
        <f>SUMIFS(tblMiningDaily[Blast_t],tblMiningDaily[Date],$A180)</f>
        <v/>
      </c>
      <c r="AE180" s="55">
        <f>IF($B180=$B179,$AE179,0)+$AD180</f>
        <v/>
      </c>
      <c r="AF180" s="55">
        <f>$AF179+$AD180</f>
        <v/>
      </c>
      <c r="AG180" s="55">
        <f>SUMIFS(tblMiningDaily[Explosives_kg],tblMiningDaily[Date],$A180)</f>
        <v/>
      </c>
      <c r="AH180" s="55">
        <f>IF($B180=$B179,$AH179,0)+$AG180</f>
        <v/>
      </c>
      <c r="AI180" s="55">
        <f>$AI179+$AG180</f>
        <v/>
      </c>
      <c r="AJ180" s="56">
        <f>IFERROR(IF(($AD180)&gt;0,($AG180)/($AD180),""),"")</f>
        <v/>
      </c>
      <c r="AK180" s="56">
        <f>IFERROR(IF(($AE180)&gt;0,($AH180)/($AE180),""),"")</f>
        <v/>
      </c>
      <c r="AL180" s="56">
        <f>IFERROR(IF(($AF180)&gt;0,($AI180)/($AF180),""),"")</f>
        <v/>
      </c>
      <c r="AM180" s="55">
        <f>SUMIFS(tblMiningDaily[Diesel_L],tblMiningDaily[Date],$A180)</f>
        <v/>
      </c>
      <c r="AN180" s="55">
        <f>IF($B180=$B179,$AN179,0)+$AM180</f>
        <v/>
      </c>
      <c r="AO180" s="55">
        <f>$AO179+$AM180</f>
        <v/>
      </c>
      <c r="AP180" s="55">
        <f>SUMIFS(tblMiningDaily[Dewatering_m3],tblMiningDaily[Date],$A180)</f>
        <v/>
      </c>
      <c r="AQ180" s="55">
        <f>IF($B180=$B179,$AQ179,0)+$AP180</f>
        <v/>
      </c>
      <c r="AR180" s="55">
        <f>$AR179+$AP180</f>
        <v/>
      </c>
      <c r="AS180" s="57">
        <f>SUMIFS(tblFleet[Calendar_h],tblFleet[Date],$A180,tblFleet[Equipment_Class],"Excavator")</f>
        <v/>
      </c>
      <c r="AT180" s="57">
        <f>IF($B180=$B179,$AT179,0)+$AS180</f>
        <v/>
      </c>
      <c r="AU180" s="57">
        <f>$AU179+$AS180</f>
        <v/>
      </c>
      <c r="AV180" s="57">
        <f>SUMIFS(tblFleet[Available_h],tblFleet[Date],$A180,tblFleet[Equipment_Class],"Excavator")</f>
        <v/>
      </c>
      <c r="AW180" s="57">
        <f>IF($B180=$B179,$AW179,0)+$AV180</f>
        <v/>
      </c>
      <c r="AX180" s="57">
        <f>$AX179+$AV180</f>
        <v/>
      </c>
      <c r="AY180" s="57">
        <f>SUMIFS(tblFleet[Operating_h],tblFleet[Date],$A180,tblFleet[Equipment_Class],"Excavator")</f>
        <v/>
      </c>
      <c r="AZ180" s="57">
        <f>IF($B180=$B179,$AZ179,0)+$AY180</f>
        <v/>
      </c>
      <c r="BA180" s="57">
        <f>$BA179+$AY180</f>
        <v/>
      </c>
      <c r="BB180" s="67">
        <f>IFERROR(IF(($AS180)&gt;0,($AV180)/($AS180),""),"")</f>
        <v/>
      </c>
      <c r="BC180" s="67">
        <f>IFERROR(IF(($AT180)&gt;0,($AW180)/($AT180),""),"")</f>
        <v/>
      </c>
      <c r="BD180" s="67">
        <f>IFERROR(IF(($AU180)&gt;0,($AX180)/($AU180),""),"")</f>
        <v/>
      </c>
      <c r="BE180" s="67">
        <f>IFERROR(IF(($AV180)&gt;0,($AY180)/($AV180),""),"")</f>
        <v/>
      </c>
      <c r="BF180" s="67">
        <f>IFERROR(IF(($AW180)&gt;0,($AZ180)/($AW180),""),"")</f>
        <v/>
      </c>
      <c r="BG180" s="67">
        <f>IFERROR(IF(($AX180)&gt;0,($BA180)/($AX180),""),"")</f>
        <v/>
      </c>
      <c r="BH180" s="57">
        <f>SUMIFS(tblFleet[Calendar_h],tblFleet[Date],$A180,tblFleet[Equipment_Class],"Haul Truck")</f>
        <v/>
      </c>
      <c r="BI180" s="57">
        <f>IF($B180=$B179,$BI179,0)+$BH180</f>
        <v/>
      </c>
      <c r="BJ180" s="57">
        <f>$BJ179+$BH180</f>
        <v/>
      </c>
      <c r="BK180" s="57">
        <f>SUMIFS(tblFleet[Available_h],tblFleet[Date],$A180,tblFleet[Equipment_Class],"Haul Truck")</f>
        <v/>
      </c>
      <c r="BL180" s="57">
        <f>IF($B180=$B179,$BL179,0)+$BK180</f>
        <v/>
      </c>
      <c r="BM180" s="57">
        <f>$BM179+$BK180</f>
        <v/>
      </c>
      <c r="BN180" s="57">
        <f>SUMIFS(tblFleet[Operating_h],tblFleet[Date],$A180,tblFleet[Equipment_Class],"Haul Truck")</f>
        <v/>
      </c>
      <c r="BO180" s="57">
        <f>IF($B180=$B179,$BO179,0)+$BN180</f>
        <v/>
      </c>
      <c r="BP180" s="57">
        <f>$BP179+$BN180</f>
        <v/>
      </c>
      <c r="BQ180" s="67">
        <f>IFERROR(IF(($BH180)&gt;0,($BK180)/($BH180),""),"")</f>
        <v/>
      </c>
      <c r="BR180" s="67">
        <f>IFERROR(IF(($BI180)&gt;0,($BL180)/($BI180),""),"")</f>
        <v/>
      </c>
      <c r="BS180" s="67">
        <f>IFERROR(IF(($BJ180)&gt;0,($BM180)/($BJ180),""),"")</f>
        <v/>
      </c>
      <c r="BT180" s="67">
        <f>IFERROR(IF(($BK180)&gt;0,($BN180)/($BK180),""),"")</f>
        <v/>
      </c>
      <c r="BU180" s="67">
        <f>IFERROR(IF(($BL180)&gt;0,($BO180)/($BL180),""),"")</f>
        <v/>
      </c>
      <c r="BV180" s="67">
        <f>IFERROR(IF(($BM180)&gt;0,($BP180)/($BM180),""),"")</f>
        <v/>
      </c>
      <c r="BW180" s="55">
        <f>SUMIFS(tblPlant[Crushed_t],tblPlant[Date],$A180)</f>
        <v/>
      </c>
      <c r="BX180" s="55">
        <f>IF($B180=$B179,$BX179,0)+$BW180</f>
        <v/>
      </c>
      <c r="BY180" s="55">
        <f>$BY179+$BW180</f>
        <v/>
      </c>
      <c r="BZ180" s="55">
        <f>SUMIFS(tblPlant[Milled_t],tblPlant[Date],$A180)</f>
        <v/>
      </c>
      <c r="CA180" s="55">
        <f>IF($B180=$B179,$CA179,0)+$BZ180</f>
        <v/>
      </c>
      <c r="CB180" s="55">
        <f>$CB179+$BZ180</f>
        <v/>
      </c>
      <c r="CC180" s="55">
        <f>SUMIFS(tblPlant[Feed_oz],tblPlant[Date],$A180)</f>
        <v/>
      </c>
      <c r="CD180" s="55">
        <f>IF($B180=$B179,$CD179,0)+$CC180</f>
        <v/>
      </c>
      <c r="CE180" s="55">
        <f>$CE179+$CC180</f>
        <v/>
      </c>
      <c r="CF180" s="55">
        <f>SUMIFS(tblPlant[Tails_oz],tblPlant[Date],$A180)</f>
        <v/>
      </c>
      <c r="CG180" s="55">
        <f>IF($B180=$B179,$CG179,0)+$CF180</f>
        <v/>
      </c>
      <c r="CH180" s="55">
        <f>$CH179+$CF180</f>
        <v/>
      </c>
      <c r="CI180" s="55">
        <f>SUMIFS(tblPlant[Recovered_oz],tblPlant[Date],$A180)</f>
        <v/>
      </c>
      <c r="CJ180" s="55">
        <f>IF($B180=$B179,$CJ179,0)+$CI180</f>
        <v/>
      </c>
      <c r="CK180" s="55">
        <f>$CK179+$CI180</f>
        <v/>
      </c>
      <c r="CL180" s="56">
        <f>IFERROR(IF(($BZ180)&gt;0,($CC180*cfg_TroyOz)/($BZ180),""),"")</f>
        <v/>
      </c>
      <c r="CM180" s="56">
        <f>IFERROR(IF(($CA180)&gt;0,($CD180*cfg_TroyOz)/($CA180),""),"")</f>
        <v/>
      </c>
      <c r="CN180" s="56">
        <f>IFERROR(IF(($CB180)&gt;0,($CE180*cfg_TroyOz)/($CB180),""),"")</f>
        <v/>
      </c>
      <c r="CO180" s="56">
        <f>IFERROR(IF(($BZ180)&gt;0,($CF180*cfg_TroyOz)/($BZ180),""),"")</f>
        <v/>
      </c>
      <c r="CP180" s="56">
        <f>IFERROR(IF(($CA180)&gt;0,($CG180*cfg_TroyOz)/($CA180),""),"")</f>
        <v/>
      </c>
      <c r="CQ180" s="56">
        <f>IFERROR(IF(($CB180)&gt;0,($CH180*cfg_TroyOz)/($CB180),""),"")</f>
        <v/>
      </c>
      <c r="CR180" s="67">
        <f>IFERROR(IF(($CC180)&gt;0,($CI180)/($CC180),""),"")</f>
        <v/>
      </c>
      <c r="CS180" s="67">
        <f>IFERROR(IF(($CD180)&gt;0,($CJ180)/($CD180),""),"")</f>
        <v/>
      </c>
      <c r="CT180" s="67">
        <f>IFERROR(IF(($CE180)&gt;0,($CK180)/($CE180),""),"")</f>
        <v/>
      </c>
      <c r="CU180" s="55">
        <f>SUMIFS(tblPlant[Gravity_Gold_oz],tblPlant[Date],$A180)</f>
        <v/>
      </c>
      <c r="CV180" s="55">
        <f>IF($B180=$B179,$CV179,0)+$CU180</f>
        <v/>
      </c>
      <c r="CW180" s="55">
        <f>$CW179+$CU180</f>
        <v/>
      </c>
      <c r="CX180" s="55">
        <f>SUMIFS(tblPlant[Gold_Poured_oz],tblPlant[Date],$A180)</f>
        <v/>
      </c>
      <c r="CY180" s="55">
        <f>IF($B180=$B179,$CY179,0)+$CX180</f>
        <v/>
      </c>
      <c r="CZ180" s="55">
        <f>$CZ179+$CX180</f>
        <v/>
      </c>
      <c r="DA180" s="57">
        <f>SUMIFS(tblPlant[Mill_Run_h],tblPlant[Date],$A180)</f>
        <v/>
      </c>
      <c r="DB180" s="57">
        <f>IF($B180=$B179,$DB179,0)+$DA180</f>
        <v/>
      </c>
      <c r="DC180" s="57">
        <f>$DC179+$DA180</f>
        <v/>
      </c>
      <c r="DD180" s="57">
        <f>SUMIFS(tblPlant[Mill_Planned_Maint_h],tblPlant[Date],$A180)</f>
        <v/>
      </c>
      <c r="DE180" s="57">
        <f>IF($B180=$B179,$DE179,0)+$DD180</f>
        <v/>
      </c>
      <c r="DF180" s="57">
        <f>$DF179+$DD180</f>
        <v/>
      </c>
      <c r="DG180" s="57">
        <f>SUMIFS(tblPlant[Mill_Unplanned_Down_h],tblPlant[Date],$A180)</f>
        <v/>
      </c>
      <c r="DH180" s="57">
        <f>IF($B180=$B179,$DH179,0)+$DG180</f>
        <v/>
      </c>
      <c r="DI180" s="57">
        <f>$DI179+$DG180</f>
        <v/>
      </c>
      <c r="DJ180" s="57">
        <f>COUNTIFS(tblPlant[Date],$A180,tblPlant[Mill_Run_h],"&lt;&gt;")*24</f>
        <v/>
      </c>
      <c r="DK180" s="57">
        <f>IF($B180=$B179,$DK179,0)+$DJ180</f>
        <v/>
      </c>
      <c r="DL180" s="57">
        <f>$DL179+$DJ180</f>
        <v/>
      </c>
      <c r="DM180" s="57">
        <f>SUMIFS(tblPlant[Crusher_Run_h],tblPlant[Date],$A180)</f>
        <v/>
      </c>
      <c r="DN180" s="57">
        <f>IF($B180=$B179,$DN179,0)+$DM180</f>
        <v/>
      </c>
      <c r="DO180" s="57">
        <f>$DO179+$DM180</f>
        <v/>
      </c>
      <c r="DP180" s="55">
        <f>IFERROR(IF(($DA180)&gt;0,($BZ180)/($DA180),""),"")</f>
        <v/>
      </c>
      <c r="DQ180" s="55">
        <f>IFERROR(IF(($DB180)&gt;0,($CA180)/($DB180),""),"")</f>
        <v/>
      </c>
      <c r="DR180" s="55">
        <f>IFERROR(IF(($DC180)&gt;0,($CB180)/($DC180),""),"")</f>
        <v/>
      </c>
      <c r="DS180" s="67">
        <f>IFERROR(IF(($DJ180)&gt;0,($DJ180-$DD180-$DG180)/($DJ180),""),"")</f>
        <v/>
      </c>
      <c r="DT180" s="67">
        <f>IFERROR(IF(($DK180)&gt;0,($DK180-$DE180-$DH180)/($DK180),""),"")</f>
        <v/>
      </c>
      <c r="DU180" s="67">
        <f>IFERROR(IF(($DL180)&gt;0,($DL180-$DF180-$DI180)/($DL180),""),"")</f>
        <v/>
      </c>
      <c r="DV180" s="67">
        <f>IFERROR(IF(($DJ180-$DD180-$DG180)&gt;0,($DA180)/($DJ180-$DD180-$DG180),""),"")</f>
        <v/>
      </c>
      <c r="DW180" s="67">
        <f>IFERROR(IF(($DK180-$DE180-$DH180)&gt;0,($DB180)/($DK180-$DE180-$DH180),""),"")</f>
        <v/>
      </c>
      <c r="DX180" s="67">
        <f>IFERROR(IF(($DL180-$DF180-$DI180)&gt;0,($DC180)/($DL180-$DF180-$DI180),""),"")</f>
        <v/>
      </c>
      <c r="DY180" s="55">
        <f>SUMIFS(tblPlant[Cyanide_kg],tblPlant[Date],$A180)</f>
        <v/>
      </c>
      <c r="DZ180" s="55">
        <f>IF($B180=$B179,$DZ179,0)+$DY180</f>
        <v/>
      </c>
      <c r="EA180" s="55">
        <f>$EA179+$DY180</f>
        <v/>
      </c>
      <c r="EB180" s="55">
        <f>SUMIFS(tblPlant[Lime_kg],tblPlant[Date],$A180)</f>
        <v/>
      </c>
      <c r="EC180" s="55">
        <f>IF($B180=$B179,$EC179,0)+$EB180</f>
        <v/>
      </c>
      <c r="ED180" s="55">
        <f>$ED179+$EB180</f>
        <v/>
      </c>
      <c r="EE180" s="55">
        <f>SUMIFS(tblPlant[Grinding_Media_kg],tblPlant[Date],$A180)</f>
        <v/>
      </c>
      <c r="EF180" s="55">
        <f>IF($B180=$B179,$EF179,0)+$EE180</f>
        <v/>
      </c>
      <c r="EG180" s="55">
        <f>$EG179+$EE180</f>
        <v/>
      </c>
      <c r="EH180" s="55">
        <f>SUMIFS(tblPlant[Power_kWh],tblPlant[Date],$A180)</f>
        <v/>
      </c>
      <c r="EI180" s="55">
        <f>IF($B180=$B179,$EI179,0)+$EH180</f>
        <v/>
      </c>
      <c r="EJ180" s="55">
        <f>$EJ179+$EH180</f>
        <v/>
      </c>
      <c r="EK180" s="55">
        <f>SUMIFS(tblPlant[Raw_Water_m3],tblPlant[Date],$A180)</f>
        <v/>
      </c>
      <c r="EL180" s="55">
        <f>IF($B180=$B179,$EL179,0)+$EK180</f>
        <v/>
      </c>
      <c r="EM180" s="55">
        <f>$EM179+$EK180</f>
        <v/>
      </c>
      <c r="EN180" s="56">
        <f>IFERROR(IF(($BZ180)&gt;0,($DY180)/($BZ180),""),"")</f>
        <v/>
      </c>
      <c r="EO180" s="56">
        <f>IFERROR(IF(($CA180)&gt;0,($DZ180)/($CA180),""),"")</f>
        <v/>
      </c>
      <c r="EP180" s="56">
        <f>IFERROR(IF(($CB180)&gt;0,($EA180)/($CB180),""),"")</f>
        <v/>
      </c>
      <c r="EQ180" s="56">
        <f>IFERROR(IF(($BZ180)&gt;0,($EB180)/($BZ180),""),"")</f>
        <v/>
      </c>
      <c r="ER180" s="56">
        <f>IFERROR(IF(($CA180)&gt;0,($EC180)/($CA180),""),"")</f>
        <v/>
      </c>
      <c r="ES180" s="56">
        <f>IFERROR(IF(($CB180)&gt;0,($ED180)/($CB180),""),"")</f>
        <v/>
      </c>
      <c r="ET180" s="56">
        <f>IFERROR(IF(($BZ180)&gt;0,($EE180)/($BZ180),""),"")</f>
        <v/>
      </c>
      <c r="EU180" s="56">
        <f>IFERROR(IF(($CA180)&gt;0,($EF180)/($CA180),""),"")</f>
        <v/>
      </c>
      <c r="EV180" s="56">
        <f>IFERROR(IF(($CB180)&gt;0,($EG180)/($CB180),""),"")</f>
        <v/>
      </c>
      <c r="EW180" s="76">
        <f>IFERROR(IF(($BZ180)&gt;0,($EH180)/($BZ180),""),"")</f>
        <v/>
      </c>
      <c r="EX180" s="76">
        <f>IFERROR(IF(($CA180)&gt;0,($EI180)/($CA180),""),"")</f>
        <v/>
      </c>
      <c r="EY180" s="76">
        <f>IFERROR(IF(($CB180)&gt;0,($EJ180)/($CB180),""),"")</f>
        <v/>
      </c>
      <c r="EZ180" s="56">
        <f>IFERROR(IF(($BZ180)&gt;0,($EK180)/($BZ180),""),"")</f>
        <v/>
      </c>
      <c r="FA180" s="56">
        <f>IFERROR(IF(($CA180)&gt;0,($EL180)/($CA180),""),"")</f>
        <v/>
      </c>
      <c r="FB180" s="56">
        <f>IFERROR(IF(($CB180)&gt;0,($EM180)/($CB180),""),"")</f>
        <v/>
      </c>
      <c r="FC180" s="55">
        <f>IF(SUMIFS(tblPlant[GIC_oz],tblPlant[Date],$A180)&gt;0,SUMIFS(tblPlant[GIC_oz],tblPlant[Date],$A180),"")</f>
        <v/>
      </c>
      <c r="FD180" s="55">
        <f>SUMIFS(tblGold[Gold_oz],tblGold[Date],$A180,tblGold[Type],"Shipment")</f>
        <v/>
      </c>
      <c r="FE180" s="55">
        <f>IF($B180=$B179,$FE179,0)+$FD180</f>
        <v/>
      </c>
      <c r="FF180" s="55">
        <f>$FF179+$FD180</f>
        <v/>
      </c>
      <c r="FG180" s="55">
        <f>SUMIFS(tblGold[Gold_oz],tblGold[Date],$A180,tblGold[Type],"Sale")</f>
        <v/>
      </c>
      <c r="FH180" s="55">
        <f>IF($B180=$B179,$FH179,0)+$FG180</f>
        <v/>
      </c>
      <c r="FI180" s="55">
        <f>$FI179+$FG180</f>
        <v/>
      </c>
      <c r="FJ180" s="55">
        <f>SUMIFS(tblGold[Dore_kg],tblGold[Date],$A180,tblGold[Type],"Shipment")</f>
        <v/>
      </c>
      <c r="FK180" s="55">
        <f>IF($B180=$B179,$FK179,0)+$FJ180</f>
        <v/>
      </c>
      <c r="FL180" s="55">
        <f>$FL179+$FJ180</f>
        <v/>
      </c>
      <c r="FM180" s="57">
        <f>SUMIFS(tblSafety[Hours_Total],tblSafety[Date],$A180)</f>
        <v/>
      </c>
      <c r="FN180" s="57">
        <f>IF($B180=$B179,$FN179,0)+$FM180</f>
        <v/>
      </c>
      <c r="FO180" s="57">
        <f>$FO179+$FM180</f>
        <v/>
      </c>
      <c r="FP180" s="62">
        <f>SUMIFS(tblSafety[Fatality],tblSafety[Date],$A180)</f>
        <v/>
      </c>
      <c r="FQ180" s="62">
        <f>IF($B180=$B179,$FQ179,0)+$FP180</f>
        <v/>
      </c>
      <c r="FR180" s="62">
        <f>$FR179+$FP180</f>
        <v/>
      </c>
      <c r="FS180" s="62">
        <f>SUMIFS(tblSafety[LTI],tblSafety[Date],$A180)</f>
        <v/>
      </c>
      <c r="FT180" s="62">
        <f>IF($B180=$B179,$FT179,0)+$FS180</f>
        <v/>
      </c>
      <c r="FU180" s="62">
        <f>$FU179+$FS180</f>
        <v/>
      </c>
      <c r="FV180" s="62">
        <f>SUMIFS(tblSafety[RWI],tblSafety[Date],$A180)</f>
        <v/>
      </c>
      <c r="FW180" s="62">
        <f>IF($B180=$B179,$FW179,0)+$FV180</f>
        <v/>
      </c>
      <c r="FX180" s="62">
        <f>$FX179+$FV180</f>
        <v/>
      </c>
      <c r="FY180" s="62">
        <f>SUMIFS(tblSafety[MTI],tblSafety[Date],$A180)</f>
        <v/>
      </c>
      <c r="FZ180" s="62">
        <f>IF($B180=$B179,$FZ179,0)+$FY180</f>
        <v/>
      </c>
      <c r="GA180" s="62">
        <f>$GA179+$FY180</f>
        <v/>
      </c>
      <c r="GB180" s="62">
        <f>SUMIFS(tblSafety[FAI],tblSafety[Date],$A180)</f>
        <v/>
      </c>
      <c r="GC180" s="62">
        <f>IF($B180=$B179,$GC179,0)+$GB180</f>
        <v/>
      </c>
      <c r="GD180" s="62">
        <f>$GD179+$GB180</f>
        <v/>
      </c>
      <c r="GE180" s="62">
        <f>SUMIFS(tblSafety[Recordables],tblSafety[Date],$A180)</f>
        <v/>
      </c>
      <c r="GF180" s="62">
        <f>IF($B180=$B179,$GF179,0)+$GE180</f>
        <v/>
      </c>
      <c r="GG180" s="62">
        <f>$GG179+$GE180</f>
        <v/>
      </c>
      <c r="GH180" s="62">
        <f>SUMIFS(tblSafety[Near_Miss],tblSafety[Date],$A180)</f>
        <v/>
      </c>
      <c r="GI180" s="62">
        <f>IF($B180=$B179,$GI179,0)+$GH180</f>
        <v/>
      </c>
      <c r="GJ180" s="62">
        <f>$GJ179+$GH180</f>
        <v/>
      </c>
      <c r="GK180" s="62">
        <f>SUMIFS(tblSafety[Hazard_Reports],tblSafety[Date],$A180)</f>
        <v/>
      </c>
      <c r="GL180" s="62">
        <f>IF($B180=$B179,$GL179,0)+$GK180</f>
        <v/>
      </c>
      <c r="GM180" s="62">
        <f>$GM179+$GK180</f>
        <v/>
      </c>
      <c r="GN180" s="62">
        <f>SUMIFS(tblSafety[HPI],tblSafety[Date],$A180)</f>
        <v/>
      </c>
      <c r="GO180" s="62">
        <f>IF($B180=$B179,$GO179,0)+$GN180</f>
        <v/>
      </c>
      <c r="GP180" s="62">
        <f>$GP179+$GN180</f>
        <v/>
      </c>
      <c r="GQ180" s="62">
        <f>SUMIFS(tblSafety[Env_Incidents],tblSafety[Date],$A180)</f>
        <v/>
      </c>
      <c r="GR180" s="62">
        <f>IF($B180=$B179,$GR179,0)+$GQ180</f>
        <v/>
      </c>
      <c r="GS180" s="62">
        <f>$GS179+$GQ180</f>
        <v/>
      </c>
      <c r="GT180" s="62">
        <f>SUMIFS(tblSafety[Community_Incidents],tblSafety[Date],$A180)</f>
        <v/>
      </c>
      <c r="GU180" s="62">
        <f>IF($B180=$B179,$GU179,0)+$GT180</f>
        <v/>
      </c>
      <c r="GV180" s="62">
        <f>$GV179+$GT180</f>
        <v/>
      </c>
      <c r="GW180" s="62">
        <f>SUMIFS(tblSafety[Vehicle_Incidents],tblSafety[Date],$A180)</f>
        <v/>
      </c>
      <c r="GX180" s="62">
        <f>IF($B180=$B179,$GX179,0)+$GW180</f>
        <v/>
      </c>
      <c r="GY180" s="62">
        <f>$GY179+$GW180</f>
        <v/>
      </c>
      <c r="GZ180" s="62">
        <f>SUMIFS(tblSafety[Toolbox_Talks],tblSafety[Date],$A180)</f>
        <v/>
      </c>
      <c r="HA180" s="62">
        <f>IF($B180=$B179,$HA179,0)+$GZ180</f>
        <v/>
      </c>
      <c r="HB180" s="62">
        <f>$HB179+$GZ180</f>
        <v/>
      </c>
      <c r="HC180" s="62">
        <f>SUMIFS(tblSafety[Inspections],tblSafety[Date],$A180)</f>
        <v/>
      </c>
      <c r="HD180" s="62">
        <f>IF($B180=$B179,$HD179,0)+$HC180</f>
        <v/>
      </c>
      <c r="HE180" s="62">
        <f>$HE179+$HC180</f>
        <v/>
      </c>
      <c r="HF180" s="56">
        <f>IFERROR((SUMIFS(tblSafety[Recordables],tblSafety[Date],"&gt;="&amp;EDATE($E180,-12),tblSafety[Date],"&lt;="&amp;$A180)+SUMIFS(tblSafetyHistory[Recordables],tblSafetyHistory[Month],"&gt;="&amp;EDATE($E180,-12),tblSafetyHistory[Month],"&lt;"&amp;cfg_YearStart))/(SUMIFS(tblSafety[Hours_Total],tblSafety[Date],"&gt;="&amp;EDATE($E180,-12),tblSafety[Date],"&lt;="&amp;$A180)+SUMIFS(tblSafetyHistory[Hours_Total],tblSafetyHistory[Month],"&gt;="&amp;EDATE($E180,-12),tblSafetyHistory[Month],"&lt;"&amp;cfg_YearStart))*1000000,"")</f>
        <v/>
      </c>
      <c r="HG180" s="56">
        <f>IFERROR((SUMIFS(tblSafety[LTI],tblSafety[Date],"&gt;="&amp;EDATE($E180,-12),tblSafety[Date],"&lt;="&amp;$A180)+SUMIFS(tblSafetyHistory[LTI],tblSafetyHistory[Month],"&gt;="&amp;EDATE($E180,-12),tblSafetyHistory[Month],"&lt;"&amp;cfg_YearStart))/(SUMIFS(tblSafety[Hours_Total],tblSafety[Date],"&gt;="&amp;EDATE($E180,-12),tblSafety[Date],"&lt;="&amp;$A180)+SUMIFS(tblSafetyHistory[Hours_Total],tblSafetyHistory[Month],"&gt;="&amp;EDATE($E180,-12),tblSafetyHistory[Month],"&lt;"&amp;cfg_YearStart))*1000000,"")</f>
        <v/>
      </c>
      <c r="HH180" s="62">
        <f>IF(MAX(N(cfg_PriorLTIDate),_xlfn.MAXIFS(tblSafety[Date],tblSafety[LTI],"&gt;0",tblSafety[Date],"&lt;="&amp;$A180))=0,"",$A180-MAX(N(cfg_PriorLTIDate),_xlfn.MAXIFS(tblSafety[Date],tblSafety[LTI],"&gt;0",tblSafety[Date],"&lt;="&amp;$A180)))</f>
        <v/>
      </c>
      <c r="HI180" s="55">
        <f>SUMIFS(tblBudget[Ore_Mined_t],tblBudget[Month],$E180)</f>
        <v/>
      </c>
      <c r="HJ180" s="55">
        <f>$HI180*$C180/$D180</f>
        <v/>
      </c>
      <c r="HK180" s="55">
        <f>SUMIFS(tblBudget[Ore_Mined_t],tblBudget[Month],"&lt;"&amp;$E180)+$HJ180</f>
        <v/>
      </c>
      <c r="HL180" s="55">
        <f>SUMIFS(tblBudget[Ore_oz],tblBudget[Month],$E180)</f>
        <v/>
      </c>
      <c r="HM180" s="55">
        <f>$HL180*$C180/$D180</f>
        <v/>
      </c>
      <c r="HN180" s="55">
        <f>SUMIFS(tblBudget[Ore_oz],tblBudget[Month],"&lt;"&amp;$E180)+$HM180</f>
        <v/>
      </c>
      <c r="HO180" s="56">
        <f>IFERROR(IF(($HI180)&gt;0,($HL180*cfg_TroyOz)/($HI180),""),"")</f>
        <v/>
      </c>
      <c r="HP180" s="56">
        <f>IFERROR(IF(($HJ180)&gt;0,($HM180*cfg_TroyOz)/($HJ180),""),"")</f>
        <v/>
      </c>
      <c r="HQ180" s="56">
        <f>IFERROR(IF(($HK180)&gt;0,($HN180*cfg_TroyOz)/($HK180),""),"")</f>
        <v/>
      </c>
      <c r="HR180" s="55">
        <f>SUMIFS(tblBudget[Waste_t],tblBudget[Month],$E180)</f>
        <v/>
      </c>
      <c r="HS180" s="55">
        <f>$HR180*$C180/$D180</f>
        <v/>
      </c>
      <c r="HT180" s="55">
        <f>SUMIFS(tblBudget[Waste_t],tblBudget[Month],"&lt;"&amp;$E180)+$HS180</f>
        <v/>
      </c>
      <c r="HU180" s="55">
        <f>SUMIFS(tblBudget[TMM_t],tblBudget[Month],$E180)</f>
        <v/>
      </c>
      <c r="HV180" s="55">
        <f>$HU180*$C180/$D180</f>
        <v/>
      </c>
      <c r="HW180" s="55">
        <f>SUMIFS(tblBudget[TMM_t],tblBudget[Month],"&lt;"&amp;$E180)+$HV180</f>
        <v/>
      </c>
      <c r="HX180" s="56">
        <f>IFERROR(IF(($HI180)&gt;0,($HR180)/($HI180),""),"")</f>
        <v/>
      </c>
      <c r="HY180" s="56">
        <f>IFERROR(IF(($HJ180)&gt;0,($HS180)/($HJ180),""),"")</f>
        <v/>
      </c>
      <c r="HZ180" s="56">
        <f>IFERROR(IF(($HK180)&gt;0,($HT180)/($HK180),""),"")</f>
        <v/>
      </c>
      <c r="IA180" s="55">
        <f>SUMIFS(tblBudget[Drill_m],tblBudget[Month],$E180)</f>
        <v/>
      </c>
      <c r="IB180" s="55">
        <f>$IA180*$C180/$D180</f>
        <v/>
      </c>
      <c r="IC180" s="55">
        <f>SUMIFS(tblBudget[Drill_m],tblBudget[Month],"&lt;"&amp;$E180)+$IB180</f>
        <v/>
      </c>
      <c r="ID180" s="55">
        <f>SUMIFS(tblBudget[Diesel_L],tblBudget[Month],$E180)</f>
        <v/>
      </c>
      <c r="IE180" s="55">
        <f>$ID180*$C180/$D180</f>
        <v/>
      </c>
      <c r="IF180" s="55">
        <f>SUMIFS(tblBudget[Diesel_L],tblBudget[Month],"&lt;"&amp;$E180)+$IE180</f>
        <v/>
      </c>
      <c r="IG180" s="55">
        <f>SUMIFS(tblBudget[Milled_t],tblBudget[Month],$E180)</f>
        <v/>
      </c>
      <c r="IH180" s="55">
        <f>$IG180*$C180/$D180</f>
        <v/>
      </c>
      <c r="II180" s="55">
        <f>SUMIFS(tblBudget[Milled_t],tblBudget[Month],"&lt;"&amp;$E180)+$IH180</f>
        <v/>
      </c>
      <c r="IJ180" s="55">
        <f>SUMIFS(tblBudget[Feed_oz],tblBudget[Month],$E180)</f>
        <v/>
      </c>
      <c r="IK180" s="55">
        <f>$IJ180*$C180/$D180</f>
        <v/>
      </c>
      <c r="IL180" s="55">
        <f>SUMIFS(tblBudget[Feed_oz],tblBudget[Month],"&lt;"&amp;$E180)+$IK180</f>
        <v/>
      </c>
      <c r="IM180" s="55">
        <f>SUMIFS(tblBudget[Recovered_oz],tblBudget[Month],$E180)</f>
        <v/>
      </c>
      <c r="IN180" s="55">
        <f>$IM180*$C180/$D180</f>
        <v/>
      </c>
      <c r="IO180" s="55">
        <f>SUMIFS(tblBudget[Recovered_oz],tblBudget[Month],"&lt;"&amp;$E180)+$IN180</f>
        <v/>
      </c>
      <c r="IP180" s="56">
        <f>IFERROR(IF(($IG180)&gt;0,($IJ180*cfg_TroyOz)/($IG180),""),"")</f>
        <v/>
      </c>
      <c r="IQ180" s="56">
        <f>IFERROR(IF(($IH180)&gt;0,($IK180*cfg_TroyOz)/($IH180),""),"")</f>
        <v/>
      </c>
      <c r="IR180" s="56">
        <f>IFERROR(IF(($II180)&gt;0,($IL180*cfg_TroyOz)/($II180),""),"")</f>
        <v/>
      </c>
      <c r="IS180" s="67">
        <f>IFERROR(IF(($IJ180)&gt;0,($IM180)/($IJ180),""),"")</f>
        <v/>
      </c>
      <c r="IT180" s="67">
        <f>IFERROR(IF(($IK180)&gt;0,($IN180)/($IK180),""),"")</f>
        <v/>
      </c>
      <c r="IU180" s="67">
        <f>IFERROR(IF(($IL180)&gt;0,($IO180)/($IL180),""),"")</f>
        <v/>
      </c>
      <c r="IV180" s="55">
        <f>SUMIFS(tblBudget[Gold_Poured_oz],tblBudget[Month],$E180)</f>
        <v/>
      </c>
      <c r="IW180" s="55">
        <f>$IV180*$C180/$D180</f>
        <v/>
      </c>
      <c r="IX180" s="55">
        <f>SUMIFS(tblBudget[Gold_Poured_oz],tblBudget[Month],"&lt;"&amp;$E180)+$IW180</f>
        <v/>
      </c>
      <c r="IY180" s="57">
        <f>SUMIFS(tblBudget[Hours_Worked],tblBudget[Month],$E180)</f>
        <v/>
      </c>
      <c r="IZ180" s="57">
        <f>$IY180*$C180/$D180</f>
        <v/>
      </c>
      <c r="JA180" s="57">
        <f>SUMIFS(tblBudget[Hours_Worked],tblBudget[Month],"&lt;"&amp;$E180)+$IZ180</f>
        <v/>
      </c>
    </row>
    <row r="181">
      <c r="A181" s="54" t="n">
        <v>46202</v>
      </c>
      <c r="B181">
        <f>MONTH($A181)</f>
        <v/>
      </c>
      <c r="C181">
        <f>DAY($A181)</f>
        <v/>
      </c>
      <c r="D181">
        <f>DAY(EOMONTH($A181,0))</f>
        <v/>
      </c>
      <c r="E181" s="54">
        <f>DATE(YEAR($A181),MONTH($A181),1)</f>
        <v/>
      </c>
      <c r="F181" s="55">
        <f>SUMIFS(tblMovement[Tonnes_t],tblMovement[Date],$A181,tblMovement[Is_Ore],1,tblMovement[Source_Type],"Pit")</f>
        <v/>
      </c>
      <c r="G181" s="55">
        <f>IF($B181=$B180,$G180,0)+$F181</f>
        <v/>
      </c>
      <c r="H181" s="55">
        <f>$H180+$F181</f>
        <v/>
      </c>
      <c r="I181" s="55">
        <f>SUMIFS(tblMovement[Ore_oz],tblMovement[Date],$A181,tblMovement[Source_Type],"Pit")</f>
        <v/>
      </c>
      <c r="J181" s="55">
        <f>IF($B181=$B180,$J180,0)+$I181</f>
        <v/>
      </c>
      <c r="K181" s="55">
        <f>$K180+$I181</f>
        <v/>
      </c>
      <c r="L181" s="56">
        <f>IFERROR(IF(($F181)&gt;0,($I181*cfg_TroyOz)/($F181),""),"")</f>
        <v/>
      </c>
      <c r="M181" s="56">
        <f>IFERROR(IF(($G181)&gt;0,($J181*cfg_TroyOz)/($G181),""),"")</f>
        <v/>
      </c>
      <c r="N181" s="56">
        <f>IFERROR(IF(($H181)&gt;0,($K181*cfg_TroyOz)/($H181),""),"")</f>
        <v/>
      </c>
      <c r="O181" s="55">
        <f>SUMIFS(tblMovement[Tonnes_t],tblMovement[Date],$A181,tblMovement[Is_Ore],0,tblMovement[Source_Type],"Pit")</f>
        <v/>
      </c>
      <c r="P181" s="55">
        <f>IF($B181=$B180,$P180,0)+$O181</f>
        <v/>
      </c>
      <c r="Q181" s="55">
        <f>$Q180+$O181</f>
        <v/>
      </c>
      <c r="R181" s="55">
        <f>$F181+$O181</f>
        <v/>
      </c>
      <c r="S181" s="55">
        <f>IF($B181=$B180,$S180,0)+$R181</f>
        <v/>
      </c>
      <c r="T181" s="55">
        <f>$T180+$R181</f>
        <v/>
      </c>
      <c r="U181" s="56">
        <f>IFERROR(IF(($F181)&gt;0,($O181)/($F181),""),"")</f>
        <v/>
      </c>
      <c r="V181" s="56">
        <f>IFERROR(IF(($G181)&gt;0,($P181)/($G181),""),"")</f>
        <v/>
      </c>
      <c r="W181" s="56">
        <f>IFERROR(IF(($H181)&gt;0,($Q181)/($H181),""),"")</f>
        <v/>
      </c>
      <c r="X181" s="55">
        <f>SUMIFS(tblMovement[Tonnes_t],tblMovement[Date],$A181,tblMovement[Source_Type],"Stockpile")</f>
        <v/>
      </c>
      <c r="Y181" s="55">
        <f>IF($B181=$B180,$Y180,0)+$X181</f>
        <v/>
      </c>
      <c r="Z181" s="55">
        <f>$Z180+$X181</f>
        <v/>
      </c>
      <c r="AA181" s="55">
        <f>SUMIFS(tblMiningDaily[Drill_m],tblMiningDaily[Date],$A181)</f>
        <v/>
      </c>
      <c r="AB181" s="55">
        <f>IF($B181=$B180,$AB180,0)+$AA181</f>
        <v/>
      </c>
      <c r="AC181" s="55">
        <f>$AC180+$AA181</f>
        <v/>
      </c>
      <c r="AD181" s="55">
        <f>SUMIFS(tblMiningDaily[Blast_t],tblMiningDaily[Date],$A181)</f>
        <v/>
      </c>
      <c r="AE181" s="55">
        <f>IF($B181=$B180,$AE180,0)+$AD181</f>
        <v/>
      </c>
      <c r="AF181" s="55">
        <f>$AF180+$AD181</f>
        <v/>
      </c>
      <c r="AG181" s="55">
        <f>SUMIFS(tblMiningDaily[Explosives_kg],tblMiningDaily[Date],$A181)</f>
        <v/>
      </c>
      <c r="AH181" s="55">
        <f>IF($B181=$B180,$AH180,0)+$AG181</f>
        <v/>
      </c>
      <c r="AI181" s="55">
        <f>$AI180+$AG181</f>
        <v/>
      </c>
      <c r="AJ181" s="56">
        <f>IFERROR(IF(($AD181)&gt;0,($AG181)/($AD181),""),"")</f>
        <v/>
      </c>
      <c r="AK181" s="56">
        <f>IFERROR(IF(($AE181)&gt;0,($AH181)/($AE181),""),"")</f>
        <v/>
      </c>
      <c r="AL181" s="56">
        <f>IFERROR(IF(($AF181)&gt;0,($AI181)/($AF181),""),"")</f>
        <v/>
      </c>
      <c r="AM181" s="55">
        <f>SUMIFS(tblMiningDaily[Diesel_L],tblMiningDaily[Date],$A181)</f>
        <v/>
      </c>
      <c r="AN181" s="55">
        <f>IF($B181=$B180,$AN180,0)+$AM181</f>
        <v/>
      </c>
      <c r="AO181" s="55">
        <f>$AO180+$AM181</f>
        <v/>
      </c>
      <c r="AP181" s="55">
        <f>SUMIFS(tblMiningDaily[Dewatering_m3],tblMiningDaily[Date],$A181)</f>
        <v/>
      </c>
      <c r="AQ181" s="55">
        <f>IF($B181=$B180,$AQ180,0)+$AP181</f>
        <v/>
      </c>
      <c r="AR181" s="55">
        <f>$AR180+$AP181</f>
        <v/>
      </c>
      <c r="AS181" s="57">
        <f>SUMIFS(tblFleet[Calendar_h],tblFleet[Date],$A181,tblFleet[Equipment_Class],"Excavator")</f>
        <v/>
      </c>
      <c r="AT181" s="57">
        <f>IF($B181=$B180,$AT180,0)+$AS181</f>
        <v/>
      </c>
      <c r="AU181" s="57">
        <f>$AU180+$AS181</f>
        <v/>
      </c>
      <c r="AV181" s="57">
        <f>SUMIFS(tblFleet[Available_h],tblFleet[Date],$A181,tblFleet[Equipment_Class],"Excavator")</f>
        <v/>
      </c>
      <c r="AW181" s="57">
        <f>IF($B181=$B180,$AW180,0)+$AV181</f>
        <v/>
      </c>
      <c r="AX181" s="57">
        <f>$AX180+$AV181</f>
        <v/>
      </c>
      <c r="AY181" s="57">
        <f>SUMIFS(tblFleet[Operating_h],tblFleet[Date],$A181,tblFleet[Equipment_Class],"Excavator")</f>
        <v/>
      </c>
      <c r="AZ181" s="57">
        <f>IF($B181=$B180,$AZ180,0)+$AY181</f>
        <v/>
      </c>
      <c r="BA181" s="57">
        <f>$BA180+$AY181</f>
        <v/>
      </c>
      <c r="BB181" s="67">
        <f>IFERROR(IF(($AS181)&gt;0,($AV181)/($AS181),""),"")</f>
        <v/>
      </c>
      <c r="BC181" s="67">
        <f>IFERROR(IF(($AT181)&gt;0,($AW181)/($AT181),""),"")</f>
        <v/>
      </c>
      <c r="BD181" s="67">
        <f>IFERROR(IF(($AU181)&gt;0,($AX181)/($AU181),""),"")</f>
        <v/>
      </c>
      <c r="BE181" s="67">
        <f>IFERROR(IF(($AV181)&gt;0,($AY181)/($AV181),""),"")</f>
        <v/>
      </c>
      <c r="BF181" s="67">
        <f>IFERROR(IF(($AW181)&gt;0,($AZ181)/($AW181),""),"")</f>
        <v/>
      </c>
      <c r="BG181" s="67">
        <f>IFERROR(IF(($AX181)&gt;0,($BA181)/($AX181),""),"")</f>
        <v/>
      </c>
      <c r="BH181" s="57">
        <f>SUMIFS(tblFleet[Calendar_h],tblFleet[Date],$A181,tblFleet[Equipment_Class],"Haul Truck")</f>
        <v/>
      </c>
      <c r="BI181" s="57">
        <f>IF($B181=$B180,$BI180,0)+$BH181</f>
        <v/>
      </c>
      <c r="BJ181" s="57">
        <f>$BJ180+$BH181</f>
        <v/>
      </c>
      <c r="BK181" s="57">
        <f>SUMIFS(tblFleet[Available_h],tblFleet[Date],$A181,tblFleet[Equipment_Class],"Haul Truck")</f>
        <v/>
      </c>
      <c r="BL181" s="57">
        <f>IF($B181=$B180,$BL180,0)+$BK181</f>
        <v/>
      </c>
      <c r="BM181" s="57">
        <f>$BM180+$BK181</f>
        <v/>
      </c>
      <c r="BN181" s="57">
        <f>SUMIFS(tblFleet[Operating_h],tblFleet[Date],$A181,tblFleet[Equipment_Class],"Haul Truck")</f>
        <v/>
      </c>
      <c r="BO181" s="57">
        <f>IF($B181=$B180,$BO180,0)+$BN181</f>
        <v/>
      </c>
      <c r="BP181" s="57">
        <f>$BP180+$BN181</f>
        <v/>
      </c>
      <c r="BQ181" s="67">
        <f>IFERROR(IF(($BH181)&gt;0,($BK181)/($BH181),""),"")</f>
        <v/>
      </c>
      <c r="BR181" s="67">
        <f>IFERROR(IF(($BI181)&gt;0,($BL181)/($BI181),""),"")</f>
        <v/>
      </c>
      <c r="BS181" s="67">
        <f>IFERROR(IF(($BJ181)&gt;0,($BM181)/($BJ181),""),"")</f>
        <v/>
      </c>
      <c r="BT181" s="67">
        <f>IFERROR(IF(($BK181)&gt;0,($BN181)/($BK181),""),"")</f>
        <v/>
      </c>
      <c r="BU181" s="67">
        <f>IFERROR(IF(($BL181)&gt;0,($BO181)/($BL181),""),"")</f>
        <v/>
      </c>
      <c r="BV181" s="67">
        <f>IFERROR(IF(($BM181)&gt;0,($BP181)/($BM181),""),"")</f>
        <v/>
      </c>
      <c r="BW181" s="55">
        <f>SUMIFS(tblPlant[Crushed_t],tblPlant[Date],$A181)</f>
        <v/>
      </c>
      <c r="BX181" s="55">
        <f>IF($B181=$B180,$BX180,0)+$BW181</f>
        <v/>
      </c>
      <c r="BY181" s="55">
        <f>$BY180+$BW181</f>
        <v/>
      </c>
      <c r="BZ181" s="55">
        <f>SUMIFS(tblPlant[Milled_t],tblPlant[Date],$A181)</f>
        <v/>
      </c>
      <c r="CA181" s="55">
        <f>IF($B181=$B180,$CA180,0)+$BZ181</f>
        <v/>
      </c>
      <c r="CB181" s="55">
        <f>$CB180+$BZ181</f>
        <v/>
      </c>
      <c r="CC181" s="55">
        <f>SUMIFS(tblPlant[Feed_oz],tblPlant[Date],$A181)</f>
        <v/>
      </c>
      <c r="CD181" s="55">
        <f>IF($B181=$B180,$CD180,0)+$CC181</f>
        <v/>
      </c>
      <c r="CE181" s="55">
        <f>$CE180+$CC181</f>
        <v/>
      </c>
      <c r="CF181" s="55">
        <f>SUMIFS(tblPlant[Tails_oz],tblPlant[Date],$A181)</f>
        <v/>
      </c>
      <c r="CG181" s="55">
        <f>IF($B181=$B180,$CG180,0)+$CF181</f>
        <v/>
      </c>
      <c r="CH181" s="55">
        <f>$CH180+$CF181</f>
        <v/>
      </c>
      <c r="CI181" s="55">
        <f>SUMIFS(tblPlant[Recovered_oz],tblPlant[Date],$A181)</f>
        <v/>
      </c>
      <c r="CJ181" s="55">
        <f>IF($B181=$B180,$CJ180,0)+$CI181</f>
        <v/>
      </c>
      <c r="CK181" s="55">
        <f>$CK180+$CI181</f>
        <v/>
      </c>
      <c r="CL181" s="56">
        <f>IFERROR(IF(($BZ181)&gt;0,($CC181*cfg_TroyOz)/($BZ181),""),"")</f>
        <v/>
      </c>
      <c r="CM181" s="56">
        <f>IFERROR(IF(($CA181)&gt;0,($CD181*cfg_TroyOz)/($CA181),""),"")</f>
        <v/>
      </c>
      <c r="CN181" s="56">
        <f>IFERROR(IF(($CB181)&gt;0,($CE181*cfg_TroyOz)/($CB181),""),"")</f>
        <v/>
      </c>
      <c r="CO181" s="56">
        <f>IFERROR(IF(($BZ181)&gt;0,($CF181*cfg_TroyOz)/($BZ181),""),"")</f>
        <v/>
      </c>
      <c r="CP181" s="56">
        <f>IFERROR(IF(($CA181)&gt;0,($CG181*cfg_TroyOz)/($CA181),""),"")</f>
        <v/>
      </c>
      <c r="CQ181" s="56">
        <f>IFERROR(IF(($CB181)&gt;0,($CH181*cfg_TroyOz)/($CB181),""),"")</f>
        <v/>
      </c>
      <c r="CR181" s="67">
        <f>IFERROR(IF(($CC181)&gt;0,($CI181)/($CC181),""),"")</f>
        <v/>
      </c>
      <c r="CS181" s="67">
        <f>IFERROR(IF(($CD181)&gt;0,($CJ181)/($CD181),""),"")</f>
        <v/>
      </c>
      <c r="CT181" s="67">
        <f>IFERROR(IF(($CE181)&gt;0,($CK181)/($CE181),""),"")</f>
        <v/>
      </c>
      <c r="CU181" s="55">
        <f>SUMIFS(tblPlant[Gravity_Gold_oz],tblPlant[Date],$A181)</f>
        <v/>
      </c>
      <c r="CV181" s="55">
        <f>IF($B181=$B180,$CV180,0)+$CU181</f>
        <v/>
      </c>
      <c r="CW181" s="55">
        <f>$CW180+$CU181</f>
        <v/>
      </c>
      <c r="CX181" s="55">
        <f>SUMIFS(tblPlant[Gold_Poured_oz],tblPlant[Date],$A181)</f>
        <v/>
      </c>
      <c r="CY181" s="55">
        <f>IF($B181=$B180,$CY180,0)+$CX181</f>
        <v/>
      </c>
      <c r="CZ181" s="55">
        <f>$CZ180+$CX181</f>
        <v/>
      </c>
      <c r="DA181" s="57">
        <f>SUMIFS(tblPlant[Mill_Run_h],tblPlant[Date],$A181)</f>
        <v/>
      </c>
      <c r="DB181" s="57">
        <f>IF($B181=$B180,$DB180,0)+$DA181</f>
        <v/>
      </c>
      <c r="DC181" s="57">
        <f>$DC180+$DA181</f>
        <v/>
      </c>
      <c r="DD181" s="57">
        <f>SUMIFS(tblPlant[Mill_Planned_Maint_h],tblPlant[Date],$A181)</f>
        <v/>
      </c>
      <c r="DE181" s="57">
        <f>IF($B181=$B180,$DE180,0)+$DD181</f>
        <v/>
      </c>
      <c r="DF181" s="57">
        <f>$DF180+$DD181</f>
        <v/>
      </c>
      <c r="DG181" s="57">
        <f>SUMIFS(tblPlant[Mill_Unplanned_Down_h],tblPlant[Date],$A181)</f>
        <v/>
      </c>
      <c r="DH181" s="57">
        <f>IF($B181=$B180,$DH180,0)+$DG181</f>
        <v/>
      </c>
      <c r="DI181" s="57">
        <f>$DI180+$DG181</f>
        <v/>
      </c>
      <c r="DJ181" s="57">
        <f>COUNTIFS(tblPlant[Date],$A181,tblPlant[Mill_Run_h],"&lt;&gt;")*24</f>
        <v/>
      </c>
      <c r="DK181" s="57">
        <f>IF($B181=$B180,$DK180,0)+$DJ181</f>
        <v/>
      </c>
      <c r="DL181" s="57">
        <f>$DL180+$DJ181</f>
        <v/>
      </c>
      <c r="DM181" s="57">
        <f>SUMIFS(tblPlant[Crusher_Run_h],tblPlant[Date],$A181)</f>
        <v/>
      </c>
      <c r="DN181" s="57">
        <f>IF($B181=$B180,$DN180,0)+$DM181</f>
        <v/>
      </c>
      <c r="DO181" s="57">
        <f>$DO180+$DM181</f>
        <v/>
      </c>
      <c r="DP181" s="55">
        <f>IFERROR(IF(($DA181)&gt;0,($BZ181)/($DA181),""),"")</f>
        <v/>
      </c>
      <c r="DQ181" s="55">
        <f>IFERROR(IF(($DB181)&gt;0,($CA181)/($DB181),""),"")</f>
        <v/>
      </c>
      <c r="DR181" s="55">
        <f>IFERROR(IF(($DC181)&gt;0,($CB181)/($DC181),""),"")</f>
        <v/>
      </c>
      <c r="DS181" s="67">
        <f>IFERROR(IF(($DJ181)&gt;0,($DJ181-$DD181-$DG181)/($DJ181),""),"")</f>
        <v/>
      </c>
      <c r="DT181" s="67">
        <f>IFERROR(IF(($DK181)&gt;0,($DK181-$DE181-$DH181)/($DK181),""),"")</f>
        <v/>
      </c>
      <c r="DU181" s="67">
        <f>IFERROR(IF(($DL181)&gt;0,($DL181-$DF181-$DI181)/($DL181),""),"")</f>
        <v/>
      </c>
      <c r="DV181" s="67">
        <f>IFERROR(IF(($DJ181-$DD181-$DG181)&gt;0,($DA181)/($DJ181-$DD181-$DG181),""),"")</f>
        <v/>
      </c>
      <c r="DW181" s="67">
        <f>IFERROR(IF(($DK181-$DE181-$DH181)&gt;0,($DB181)/($DK181-$DE181-$DH181),""),"")</f>
        <v/>
      </c>
      <c r="DX181" s="67">
        <f>IFERROR(IF(($DL181-$DF181-$DI181)&gt;0,($DC181)/($DL181-$DF181-$DI181),""),"")</f>
        <v/>
      </c>
      <c r="DY181" s="55">
        <f>SUMIFS(tblPlant[Cyanide_kg],tblPlant[Date],$A181)</f>
        <v/>
      </c>
      <c r="DZ181" s="55">
        <f>IF($B181=$B180,$DZ180,0)+$DY181</f>
        <v/>
      </c>
      <c r="EA181" s="55">
        <f>$EA180+$DY181</f>
        <v/>
      </c>
      <c r="EB181" s="55">
        <f>SUMIFS(tblPlant[Lime_kg],tblPlant[Date],$A181)</f>
        <v/>
      </c>
      <c r="EC181" s="55">
        <f>IF($B181=$B180,$EC180,0)+$EB181</f>
        <v/>
      </c>
      <c r="ED181" s="55">
        <f>$ED180+$EB181</f>
        <v/>
      </c>
      <c r="EE181" s="55">
        <f>SUMIFS(tblPlant[Grinding_Media_kg],tblPlant[Date],$A181)</f>
        <v/>
      </c>
      <c r="EF181" s="55">
        <f>IF($B181=$B180,$EF180,0)+$EE181</f>
        <v/>
      </c>
      <c r="EG181" s="55">
        <f>$EG180+$EE181</f>
        <v/>
      </c>
      <c r="EH181" s="55">
        <f>SUMIFS(tblPlant[Power_kWh],tblPlant[Date],$A181)</f>
        <v/>
      </c>
      <c r="EI181" s="55">
        <f>IF($B181=$B180,$EI180,0)+$EH181</f>
        <v/>
      </c>
      <c r="EJ181" s="55">
        <f>$EJ180+$EH181</f>
        <v/>
      </c>
      <c r="EK181" s="55">
        <f>SUMIFS(tblPlant[Raw_Water_m3],tblPlant[Date],$A181)</f>
        <v/>
      </c>
      <c r="EL181" s="55">
        <f>IF($B181=$B180,$EL180,0)+$EK181</f>
        <v/>
      </c>
      <c r="EM181" s="55">
        <f>$EM180+$EK181</f>
        <v/>
      </c>
      <c r="EN181" s="56">
        <f>IFERROR(IF(($BZ181)&gt;0,($DY181)/($BZ181),""),"")</f>
        <v/>
      </c>
      <c r="EO181" s="56">
        <f>IFERROR(IF(($CA181)&gt;0,($DZ181)/($CA181),""),"")</f>
        <v/>
      </c>
      <c r="EP181" s="56">
        <f>IFERROR(IF(($CB181)&gt;0,($EA181)/($CB181),""),"")</f>
        <v/>
      </c>
      <c r="EQ181" s="56">
        <f>IFERROR(IF(($BZ181)&gt;0,($EB181)/($BZ181),""),"")</f>
        <v/>
      </c>
      <c r="ER181" s="56">
        <f>IFERROR(IF(($CA181)&gt;0,($EC181)/($CA181),""),"")</f>
        <v/>
      </c>
      <c r="ES181" s="56">
        <f>IFERROR(IF(($CB181)&gt;0,($ED181)/($CB181),""),"")</f>
        <v/>
      </c>
      <c r="ET181" s="56">
        <f>IFERROR(IF(($BZ181)&gt;0,($EE181)/($BZ181),""),"")</f>
        <v/>
      </c>
      <c r="EU181" s="56">
        <f>IFERROR(IF(($CA181)&gt;0,($EF181)/($CA181),""),"")</f>
        <v/>
      </c>
      <c r="EV181" s="56">
        <f>IFERROR(IF(($CB181)&gt;0,($EG181)/($CB181),""),"")</f>
        <v/>
      </c>
      <c r="EW181" s="76">
        <f>IFERROR(IF(($BZ181)&gt;0,($EH181)/($BZ181),""),"")</f>
        <v/>
      </c>
      <c r="EX181" s="76">
        <f>IFERROR(IF(($CA181)&gt;0,($EI181)/($CA181),""),"")</f>
        <v/>
      </c>
      <c r="EY181" s="76">
        <f>IFERROR(IF(($CB181)&gt;0,($EJ181)/($CB181),""),"")</f>
        <v/>
      </c>
      <c r="EZ181" s="56">
        <f>IFERROR(IF(($BZ181)&gt;0,($EK181)/($BZ181),""),"")</f>
        <v/>
      </c>
      <c r="FA181" s="56">
        <f>IFERROR(IF(($CA181)&gt;0,($EL181)/($CA181),""),"")</f>
        <v/>
      </c>
      <c r="FB181" s="56">
        <f>IFERROR(IF(($CB181)&gt;0,($EM181)/($CB181),""),"")</f>
        <v/>
      </c>
      <c r="FC181" s="55">
        <f>IF(SUMIFS(tblPlant[GIC_oz],tblPlant[Date],$A181)&gt;0,SUMIFS(tblPlant[GIC_oz],tblPlant[Date],$A181),"")</f>
        <v/>
      </c>
      <c r="FD181" s="55">
        <f>SUMIFS(tblGold[Gold_oz],tblGold[Date],$A181,tblGold[Type],"Shipment")</f>
        <v/>
      </c>
      <c r="FE181" s="55">
        <f>IF($B181=$B180,$FE180,0)+$FD181</f>
        <v/>
      </c>
      <c r="FF181" s="55">
        <f>$FF180+$FD181</f>
        <v/>
      </c>
      <c r="FG181" s="55">
        <f>SUMIFS(tblGold[Gold_oz],tblGold[Date],$A181,tblGold[Type],"Sale")</f>
        <v/>
      </c>
      <c r="FH181" s="55">
        <f>IF($B181=$B180,$FH180,0)+$FG181</f>
        <v/>
      </c>
      <c r="FI181" s="55">
        <f>$FI180+$FG181</f>
        <v/>
      </c>
      <c r="FJ181" s="55">
        <f>SUMIFS(tblGold[Dore_kg],tblGold[Date],$A181,tblGold[Type],"Shipment")</f>
        <v/>
      </c>
      <c r="FK181" s="55">
        <f>IF($B181=$B180,$FK180,0)+$FJ181</f>
        <v/>
      </c>
      <c r="FL181" s="55">
        <f>$FL180+$FJ181</f>
        <v/>
      </c>
      <c r="FM181" s="57">
        <f>SUMIFS(tblSafety[Hours_Total],tblSafety[Date],$A181)</f>
        <v/>
      </c>
      <c r="FN181" s="57">
        <f>IF($B181=$B180,$FN180,0)+$FM181</f>
        <v/>
      </c>
      <c r="FO181" s="57">
        <f>$FO180+$FM181</f>
        <v/>
      </c>
      <c r="FP181" s="62">
        <f>SUMIFS(tblSafety[Fatality],tblSafety[Date],$A181)</f>
        <v/>
      </c>
      <c r="FQ181" s="62">
        <f>IF($B181=$B180,$FQ180,0)+$FP181</f>
        <v/>
      </c>
      <c r="FR181" s="62">
        <f>$FR180+$FP181</f>
        <v/>
      </c>
      <c r="FS181" s="62">
        <f>SUMIFS(tblSafety[LTI],tblSafety[Date],$A181)</f>
        <v/>
      </c>
      <c r="FT181" s="62">
        <f>IF($B181=$B180,$FT180,0)+$FS181</f>
        <v/>
      </c>
      <c r="FU181" s="62">
        <f>$FU180+$FS181</f>
        <v/>
      </c>
      <c r="FV181" s="62">
        <f>SUMIFS(tblSafety[RWI],tblSafety[Date],$A181)</f>
        <v/>
      </c>
      <c r="FW181" s="62">
        <f>IF($B181=$B180,$FW180,0)+$FV181</f>
        <v/>
      </c>
      <c r="FX181" s="62">
        <f>$FX180+$FV181</f>
        <v/>
      </c>
      <c r="FY181" s="62">
        <f>SUMIFS(tblSafety[MTI],tblSafety[Date],$A181)</f>
        <v/>
      </c>
      <c r="FZ181" s="62">
        <f>IF($B181=$B180,$FZ180,0)+$FY181</f>
        <v/>
      </c>
      <c r="GA181" s="62">
        <f>$GA180+$FY181</f>
        <v/>
      </c>
      <c r="GB181" s="62">
        <f>SUMIFS(tblSafety[FAI],tblSafety[Date],$A181)</f>
        <v/>
      </c>
      <c r="GC181" s="62">
        <f>IF($B181=$B180,$GC180,0)+$GB181</f>
        <v/>
      </c>
      <c r="GD181" s="62">
        <f>$GD180+$GB181</f>
        <v/>
      </c>
      <c r="GE181" s="62">
        <f>SUMIFS(tblSafety[Recordables],tblSafety[Date],$A181)</f>
        <v/>
      </c>
      <c r="GF181" s="62">
        <f>IF($B181=$B180,$GF180,0)+$GE181</f>
        <v/>
      </c>
      <c r="GG181" s="62">
        <f>$GG180+$GE181</f>
        <v/>
      </c>
      <c r="GH181" s="62">
        <f>SUMIFS(tblSafety[Near_Miss],tblSafety[Date],$A181)</f>
        <v/>
      </c>
      <c r="GI181" s="62">
        <f>IF($B181=$B180,$GI180,0)+$GH181</f>
        <v/>
      </c>
      <c r="GJ181" s="62">
        <f>$GJ180+$GH181</f>
        <v/>
      </c>
      <c r="GK181" s="62">
        <f>SUMIFS(tblSafety[Hazard_Reports],tblSafety[Date],$A181)</f>
        <v/>
      </c>
      <c r="GL181" s="62">
        <f>IF($B181=$B180,$GL180,0)+$GK181</f>
        <v/>
      </c>
      <c r="GM181" s="62">
        <f>$GM180+$GK181</f>
        <v/>
      </c>
      <c r="GN181" s="62">
        <f>SUMIFS(tblSafety[HPI],tblSafety[Date],$A181)</f>
        <v/>
      </c>
      <c r="GO181" s="62">
        <f>IF($B181=$B180,$GO180,0)+$GN181</f>
        <v/>
      </c>
      <c r="GP181" s="62">
        <f>$GP180+$GN181</f>
        <v/>
      </c>
      <c r="GQ181" s="62">
        <f>SUMIFS(tblSafety[Env_Incidents],tblSafety[Date],$A181)</f>
        <v/>
      </c>
      <c r="GR181" s="62">
        <f>IF($B181=$B180,$GR180,0)+$GQ181</f>
        <v/>
      </c>
      <c r="GS181" s="62">
        <f>$GS180+$GQ181</f>
        <v/>
      </c>
      <c r="GT181" s="62">
        <f>SUMIFS(tblSafety[Community_Incidents],tblSafety[Date],$A181)</f>
        <v/>
      </c>
      <c r="GU181" s="62">
        <f>IF($B181=$B180,$GU180,0)+$GT181</f>
        <v/>
      </c>
      <c r="GV181" s="62">
        <f>$GV180+$GT181</f>
        <v/>
      </c>
      <c r="GW181" s="62">
        <f>SUMIFS(tblSafety[Vehicle_Incidents],tblSafety[Date],$A181)</f>
        <v/>
      </c>
      <c r="GX181" s="62">
        <f>IF($B181=$B180,$GX180,0)+$GW181</f>
        <v/>
      </c>
      <c r="GY181" s="62">
        <f>$GY180+$GW181</f>
        <v/>
      </c>
      <c r="GZ181" s="62">
        <f>SUMIFS(tblSafety[Toolbox_Talks],tblSafety[Date],$A181)</f>
        <v/>
      </c>
      <c r="HA181" s="62">
        <f>IF($B181=$B180,$HA180,0)+$GZ181</f>
        <v/>
      </c>
      <c r="HB181" s="62">
        <f>$HB180+$GZ181</f>
        <v/>
      </c>
      <c r="HC181" s="62">
        <f>SUMIFS(tblSafety[Inspections],tblSafety[Date],$A181)</f>
        <v/>
      </c>
      <c r="HD181" s="62">
        <f>IF($B181=$B180,$HD180,0)+$HC181</f>
        <v/>
      </c>
      <c r="HE181" s="62">
        <f>$HE180+$HC181</f>
        <v/>
      </c>
      <c r="HF181" s="56">
        <f>IFERROR((SUMIFS(tblSafety[Recordables],tblSafety[Date],"&gt;="&amp;EDATE($E181,-12),tblSafety[Date],"&lt;="&amp;$A181)+SUMIFS(tblSafetyHistory[Recordables],tblSafetyHistory[Month],"&gt;="&amp;EDATE($E181,-12),tblSafetyHistory[Month],"&lt;"&amp;cfg_YearStart))/(SUMIFS(tblSafety[Hours_Total],tblSafety[Date],"&gt;="&amp;EDATE($E181,-12),tblSafety[Date],"&lt;="&amp;$A181)+SUMIFS(tblSafetyHistory[Hours_Total],tblSafetyHistory[Month],"&gt;="&amp;EDATE($E181,-12),tblSafetyHistory[Month],"&lt;"&amp;cfg_YearStart))*1000000,"")</f>
        <v/>
      </c>
      <c r="HG181" s="56">
        <f>IFERROR((SUMIFS(tblSafety[LTI],tblSafety[Date],"&gt;="&amp;EDATE($E181,-12),tblSafety[Date],"&lt;="&amp;$A181)+SUMIFS(tblSafetyHistory[LTI],tblSafetyHistory[Month],"&gt;="&amp;EDATE($E181,-12),tblSafetyHistory[Month],"&lt;"&amp;cfg_YearStart))/(SUMIFS(tblSafety[Hours_Total],tblSafety[Date],"&gt;="&amp;EDATE($E181,-12),tblSafety[Date],"&lt;="&amp;$A181)+SUMIFS(tblSafetyHistory[Hours_Total],tblSafetyHistory[Month],"&gt;="&amp;EDATE($E181,-12),tblSafetyHistory[Month],"&lt;"&amp;cfg_YearStart))*1000000,"")</f>
        <v/>
      </c>
      <c r="HH181" s="62">
        <f>IF(MAX(N(cfg_PriorLTIDate),_xlfn.MAXIFS(tblSafety[Date],tblSafety[LTI],"&gt;0",tblSafety[Date],"&lt;="&amp;$A181))=0,"",$A181-MAX(N(cfg_PriorLTIDate),_xlfn.MAXIFS(tblSafety[Date],tblSafety[LTI],"&gt;0",tblSafety[Date],"&lt;="&amp;$A181)))</f>
        <v/>
      </c>
      <c r="HI181" s="55">
        <f>SUMIFS(tblBudget[Ore_Mined_t],tblBudget[Month],$E181)</f>
        <v/>
      </c>
      <c r="HJ181" s="55">
        <f>$HI181*$C181/$D181</f>
        <v/>
      </c>
      <c r="HK181" s="55">
        <f>SUMIFS(tblBudget[Ore_Mined_t],tblBudget[Month],"&lt;"&amp;$E181)+$HJ181</f>
        <v/>
      </c>
      <c r="HL181" s="55">
        <f>SUMIFS(tblBudget[Ore_oz],tblBudget[Month],$E181)</f>
        <v/>
      </c>
      <c r="HM181" s="55">
        <f>$HL181*$C181/$D181</f>
        <v/>
      </c>
      <c r="HN181" s="55">
        <f>SUMIFS(tblBudget[Ore_oz],tblBudget[Month],"&lt;"&amp;$E181)+$HM181</f>
        <v/>
      </c>
      <c r="HO181" s="56">
        <f>IFERROR(IF(($HI181)&gt;0,($HL181*cfg_TroyOz)/($HI181),""),"")</f>
        <v/>
      </c>
      <c r="HP181" s="56">
        <f>IFERROR(IF(($HJ181)&gt;0,($HM181*cfg_TroyOz)/($HJ181),""),"")</f>
        <v/>
      </c>
      <c r="HQ181" s="56">
        <f>IFERROR(IF(($HK181)&gt;0,($HN181*cfg_TroyOz)/($HK181),""),"")</f>
        <v/>
      </c>
      <c r="HR181" s="55">
        <f>SUMIFS(tblBudget[Waste_t],tblBudget[Month],$E181)</f>
        <v/>
      </c>
      <c r="HS181" s="55">
        <f>$HR181*$C181/$D181</f>
        <v/>
      </c>
      <c r="HT181" s="55">
        <f>SUMIFS(tblBudget[Waste_t],tblBudget[Month],"&lt;"&amp;$E181)+$HS181</f>
        <v/>
      </c>
      <c r="HU181" s="55">
        <f>SUMIFS(tblBudget[TMM_t],tblBudget[Month],$E181)</f>
        <v/>
      </c>
      <c r="HV181" s="55">
        <f>$HU181*$C181/$D181</f>
        <v/>
      </c>
      <c r="HW181" s="55">
        <f>SUMIFS(tblBudget[TMM_t],tblBudget[Month],"&lt;"&amp;$E181)+$HV181</f>
        <v/>
      </c>
      <c r="HX181" s="56">
        <f>IFERROR(IF(($HI181)&gt;0,($HR181)/($HI181),""),"")</f>
        <v/>
      </c>
      <c r="HY181" s="56">
        <f>IFERROR(IF(($HJ181)&gt;0,($HS181)/($HJ181),""),"")</f>
        <v/>
      </c>
      <c r="HZ181" s="56">
        <f>IFERROR(IF(($HK181)&gt;0,($HT181)/($HK181),""),"")</f>
        <v/>
      </c>
      <c r="IA181" s="55">
        <f>SUMIFS(tblBudget[Drill_m],tblBudget[Month],$E181)</f>
        <v/>
      </c>
      <c r="IB181" s="55">
        <f>$IA181*$C181/$D181</f>
        <v/>
      </c>
      <c r="IC181" s="55">
        <f>SUMIFS(tblBudget[Drill_m],tblBudget[Month],"&lt;"&amp;$E181)+$IB181</f>
        <v/>
      </c>
      <c r="ID181" s="55">
        <f>SUMIFS(tblBudget[Diesel_L],tblBudget[Month],$E181)</f>
        <v/>
      </c>
      <c r="IE181" s="55">
        <f>$ID181*$C181/$D181</f>
        <v/>
      </c>
      <c r="IF181" s="55">
        <f>SUMIFS(tblBudget[Diesel_L],tblBudget[Month],"&lt;"&amp;$E181)+$IE181</f>
        <v/>
      </c>
      <c r="IG181" s="55">
        <f>SUMIFS(tblBudget[Milled_t],tblBudget[Month],$E181)</f>
        <v/>
      </c>
      <c r="IH181" s="55">
        <f>$IG181*$C181/$D181</f>
        <v/>
      </c>
      <c r="II181" s="55">
        <f>SUMIFS(tblBudget[Milled_t],tblBudget[Month],"&lt;"&amp;$E181)+$IH181</f>
        <v/>
      </c>
      <c r="IJ181" s="55">
        <f>SUMIFS(tblBudget[Feed_oz],tblBudget[Month],$E181)</f>
        <v/>
      </c>
      <c r="IK181" s="55">
        <f>$IJ181*$C181/$D181</f>
        <v/>
      </c>
      <c r="IL181" s="55">
        <f>SUMIFS(tblBudget[Feed_oz],tblBudget[Month],"&lt;"&amp;$E181)+$IK181</f>
        <v/>
      </c>
      <c r="IM181" s="55">
        <f>SUMIFS(tblBudget[Recovered_oz],tblBudget[Month],$E181)</f>
        <v/>
      </c>
      <c r="IN181" s="55">
        <f>$IM181*$C181/$D181</f>
        <v/>
      </c>
      <c r="IO181" s="55">
        <f>SUMIFS(tblBudget[Recovered_oz],tblBudget[Month],"&lt;"&amp;$E181)+$IN181</f>
        <v/>
      </c>
      <c r="IP181" s="56">
        <f>IFERROR(IF(($IG181)&gt;0,($IJ181*cfg_TroyOz)/($IG181),""),"")</f>
        <v/>
      </c>
      <c r="IQ181" s="56">
        <f>IFERROR(IF(($IH181)&gt;0,($IK181*cfg_TroyOz)/($IH181),""),"")</f>
        <v/>
      </c>
      <c r="IR181" s="56">
        <f>IFERROR(IF(($II181)&gt;0,($IL181*cfg_TroyOz)/($II181),""),"")</f>
        <v/>
      </c>
      <c r="IS181" s="67">
        <f>IFERROR(IF(($IJ181)&gt;0,($IM181)/($IJ181),""),"")</f>
        <v/>
      </c>
      <c r="IT181" s="67">
        <f>IFERROR(IF(($IK181)&gt;0,($IN181)/($IK181),""),"")</f>
        <v/>
      </c>
      <c r="IU181" s="67">
        <f>IFERROR(IF(($IL181)&gt;0,($IO181)/($IL181),""),"")</f>
        <v/>
      </c>
      <c r="IV181" s="55">
        <f>SUMIFS(tblBudget[Gold_Poured_oz],tblBudget[Month],$E181)</f>
        <v/>
      </c>
      <c r="IW181" s="55">
        <f>$IV181*$C181/$D181</f>
        <v/>
      </c>
      <c r="IX181" s="55">
        <f>SUMIFS(tblBudget[Gold_Poured_oz],tblBudget[Month],"&lt;"&amp;$E181)+$IW181</f>
        <v/>
      </c>
      <c r="IY181" s="57">
        <f>SUMIFS(tblBudget[Hours_Worked],tblBudget[Month],$E181)</f>
        <v/>
      </c>
      <c r="IZ181" s="57">
        <f>$IY181*$C181/$D181</f>
        <v/>
      </c>
      <c r="JA181" s="57">
        <f>SUMIFS(tblBudget[Hours_Worked],tblBudget[Month],"&lt;"&amp;$E181)+$IZ181</f>
        <v/>
      </c>
    </row>
    <row r="182">
      <c r="A182" s="54" t="n">
        <v>46203</v>
      </c>
      <c r="B182">
        <f>MONTH($A182)</f>
        <v/>
      </c>
      <c r="C182">
        <f>DAY($A182)</f>
        <v/>
      </c>
      <c r="D182">
        <f>DAY(EOMONTH($A182,0))</f>
        <v/>
      </c>
      <c r="E182" s="54">
        <f>DATE(YEAR($A182),MONTH($A182),1)</f>
        <v/>
      </c>
      <c r="F182" s="55">
        <f>SUMIFS(tblMovement[Tonnes_t],tblMovement[Date],$A182,tblMovement[Is_Ore],1,tblMovement[Source_Type],"Pit")</f>
        <v/>
      </c>
      <c r="G182" s="55">
        <f>IF($B182=$B181,$G181,0)+$F182</f>
        <v/>
      </c>
      <c r="H182" s="55">
        <f>$H181+$F182</f>
        <v/>
      </c>
      <c r="I182" s="55">
        <f>SUMIFS(tblMovement[Ore_oz],tblMovement[Date],$A182,tblMovement[Source_Type],"Pit")</f>
        <v/>
      </c>
      <c r="J182" s="55">
        <f>IF($B182=$B181,$J181,0)+$I182</f>
        <v/>
      </c>
      <c r="K182" s="55">
        <f>$K181+$I182</f>
        <v/>
      </c>
      <c r="L182" s="56">
        <f>IFERROR(IF(($F182)&gt;0,($I182*cfg_TroyOz)/($F182),""),"")</f>
        <v/>
      </c>
      <c r="M182" s="56">
        <f>IFERROR(IF(($G182)&gt;0,($J182*cfg_TroyOz)/($G182),""),"")</f>
        <v/>
      </c>
      <c r="N182" s="56">
        <f>IFERROR(IF(($H182)&gt;0,($K182*cfg_TroyOz)/($H182),""),"")</f>
        <v/>
      </c>
      <c r="O182" s="55">
        <f>SUMIFS(tblMovement[Tonnes_t],tblMovement[Date],$A182,tblMovement[Is_Ore],0,tblMovement[Source_Type],"Pit")</f>
        <v/>
      </c>
      <c r="P182" s="55">
        <f>IF($B182=$B181,$P181,0)+$O182</f>
        <v/>
      </c>
      <c r="Q182" s="55">
        <f>$Q181+$O182</f>
        <v/>
      </c>
      <c r="R182" s="55">
        <f>$F182+$O182</f>
        <v/>
      </c>
      <c r="S182" s="55">
        <f>IF($B182=$B181,$S181,0)+$R182</f>
        <v/>
      </c>
      <c r="T182" s="55">
        <f>$T181+$R182</f>
        <v/>
      </c>
      <c r="U182" s="56">
        <f>IFERROR(IF(($F182)&gt;0,($O182)/($F182),""),"")</f>
        <v/>
      </c>
      <c r="V182" s="56">
        <f>IFERROR(IF(($G182)&gt;0,($P182)/($G182),""),"")</f>
        <v/>
      </c>
      <c r="W182" s="56">
        <f>IFERROR(IF(($H182)&gt;0,($Q182)/($H182),""),"")</f>
        <v/>
      </c>
      <c r="X182" s="55">
        <f>SUMIFS(tblMovement[Tonnes_t],tblMovement[Date],$A182,tblMovement[Source_Type],"Stockpile")</f>
        <v/>
      </c>
      <c r="Y182" s="55">
        <f>IF($B182=$B181,$Y181,0)+$X182</f>
        <v/>
      </c>
      <c r="Z182" s="55">
        <f>$Z181+$X182</f>
        <v/>
      </c>
      <c r="AA182" s="55">
        <f>SUMIFS(tblMiningDaily[Drill_m],tblMiningDaily[Date],$A182)</f>
        <v/>
      </c>
      <c r="AB182" s="55">
        <f>IF($B182=$B181,$AB181,0)+$AA182</f>
        <v/>
      </c>
      <c r="AC182" s="55">
        <f>$AC181+$AA182</f>
        <v/>
      </c>
      <c r="AD182" s="55">
        <f>SUMIFS(tblMiningDaily[Blast_t],tblMiningDaily[Date],$A182)</f>
        <v/>
      </c>
      <c r="AE182" s="55">
        <f>IF($B182=$B181,$AE181,0)+$AD182</f>
        <v/>
      </c>
      <c r="AF182" s="55">
        <f>$AF181+$AD182</f>
        <v/>
      </c>
      <c r="AG182" s="55">
        <f>SUMIFS(tblMiningDaily[Explosives_kg],tblMiningDaily[Date],$A182)</f>
        <v/>
      </c>
      <c r="AH182" s="55">
        <f>IF($B182=$B181,$AH181,0)+$AG182</f>
        <v/>
      </c>
      <c r="AI182" s="55">
        <f>$AI181+$AG182</f>
        <v/>
      </c>
      <c r="AJ182" s="56">
        <f>IFERROR(IF(($AD182)&gt;0,($AG182)/($AD182),""),"")</f>
        <v/>
      </c>
      <c r="AK182" s="56">
        <f>IFERROR(IF(($AE182)&gt;0,($AH182)/($AE182),""),"")</f>
        <v/>
      </c>
      <c r="AL182" s="56">
        <f>IFERROR(IF(($AF182)&gt;0,($AI182)/($AF182),""),"")</f>
        <v/>
      </c>
      <c r="AM182" s="55">
        <f>SUMIFS(tblMiningDaily[Diesel_L],tblMiningDaily[Date],$A182)</f>
        <v/>
      </c>
      <c r="AN182" s="55">
        <f>IF($B182=$B181,$AN181,0)+$AM182</f>
        <v/>
      </c>
      <c r="AO182" s="55">
        <f>$AO181+$AM182</f>
        <v/>
      </c>
      <c r="AP182" s="55">
        <f>SUMIFS(tblMiningDaily[Dewatering_m3],tblMiningDaily[Date],$A182)</f>
        <v/>
      </c>
      <c r="AQ182" s="55">
        <f>IF($B182=$B181,$AQ181,0)+$AP182</f>
        <v/>
      </c>
      <c r="AR182" s="55">
        <f>$AR181+$AP182</f>
        <v/>
      </c>
      <c r="AS182" s="57">
        <f>SUMIFS(tblFleet[Calendar_h],tblFleet[Date],$A182,tblFleet[Equipment_Class],"Excavator")</f>
        <v/>
      </c>
      <c r="AT182" s="57">
        <f>IF($B182=$B181,$AT181,0)+$AS182</f>
        <v/>
      </c>
      <c r="AU182" s="57">
        <f>$AU181+$AS182</f>
        <v/>
      </c>
      <c r="AV182" s="57">
        <f>SUMIFS(tblFleet[Available_h],tblFleet[Date],$A182,tblFleet[Equipment_Class],"Excavator")</f>
        <v/>
      </c>
      <c r="AW182" s="57">
        <f>IF($B182=$B181,$AW181,0)+$AV182</f>
        <v/>
      </c>
      <c r="AX182" s="57">
        <f>$AX181+$AV182</f>
        <v/>
      </c>
      <c r="AY182" s="57">
        <f>SUMIFS(tblFleet[Operating_h],tblFleet[Date],$A182,tblFleet[Equipment_Class],"Excavator")</f>
        <v/>
      </c>
      <c r="AZ182" s="57">
        <f>IF($B182=$B181,$AZ181,0)+$AY182</f>
        <v/>
      </c>
      <c r="BA182" s="57">
        <f>$BA181+$AY182</f>
        <v/>
      </c>
      <c r="BB182" s="67">
        <f>IFERROR(IF(($AS182)&gt;0,($AV182)/($AS182),""),"")</f>
        <v/>
      </c>
      <c r="BC182" s="67">
        <f>IFERROR(IF(($AT182)&gt;0,($AW182)/($AT182),""),"")</f>
        <v/>
      </c>
      <c r="BD182" s="67">
        <f>IFERROR(IF(($AU182)&gt;0,($AX182)/($AU182),""),"")</f>
        <v/>
      </c>
      <c r="BE182" s="67">
        <f>IFERROR(IF(($AV182)&gt;0,($AY182)/($AV182),""),"")</f>
        <v/>
      </c>
      <c r="BF182" s="67">
        <f>IFERROR(IF(($AW182)&gt;0,($AZ182)/($AW182),""),"")</f>
        <v/>
      </c>
      <c r="BG182" s="67">
        <f>IFERROR(IF(($AX182)&gt;0,($BA182)/($AX182),""),"")</f>
        <v/>
      </c>
      <c r="BH182" s="57">
        <f>SUMIFS(tblFleet[Calendar_h],tblFleet[Date],$A182,tblFleet[Equipment_Class],"Haul Truck")</f>
        <v/>
      </c>
      <c r="BI182" s="57">
        <f>IF($B182=$B181,$BI181,0)+$BH182</f>
        <v/>
      </c>
      <c r="BJ182" s="57">
        <f>$BJ181+$BH182</f>
        <v/>
      </c>
      <c r="BK182" s="57">
        <f>SUMIFS(tblFleet[Available_h],tblFleet[Date],$A182,tblFleet[Equipment_Class],"Haul Truck")</f>
        <v/>
      </c>
      <c r="BL182" s="57">
        <f>IF($B182=$B181,$BL181,0)+$BK182</f>
        <v/>
      </c>
      <c r="BM182" s="57">
        <f>$BM181+$BK182</f>
        <v/>
      </c>
      <c r="BN182" s="57">
        <f>SUMIFS(tblFleet[Operating_h],tblFleet[Date],$A182,tblFleet[Equipment_Class],"Haul Truck")</f>
        <v/>
      </c>
      <c r="BO182" s="57">
        <f>IF($B182=$B181,$BO181,0)+$BN182</f>
        <v/>
      </c>
      <c r="BP182" s="57">
        <f>$BP181+$BN182</f>
        <v/>
      </c>
      <c r="BQ182" s="67">
        <f>IFERROR(IF(($BH182)&gt;0,($BK182)/($BH182),""),"")</f>
        <v/>
      </c>
      <c r="BR182" s="67">
        <f>IFERROR(IF(($BI182)&gt;0,($BL182)/($BI182),""),"")</f>
        <v/>
      </c>
      <c r="BS182" s="67">
        <f>IFERROR(IF(($BJ182)&gt;0,($BM182)/($BJ182),""),"")</f>
        <v/>
      </c>
      <c r="BT182" s="67">
        <f>IFERROR(IF(($BK182)&gt;0,($BN182)/($BK182),""),"")</f>
        <v/>
      </c>
      <c r="BU182" s="67">
        <f>IFERROR(IF(($BL182)&gt;0,($BO182)/($BL182),""),"")</f>
        <v/>
      </c>
      <c r="BV182" s="67">
        <f>IFERROR(IF(($BM182)&gt;0,($BP182)/($BM182),""),"")</f>
        <v/>
      </c>
      <c r="BW182" s="55">
        <f>SUMIFS(tblPlant[Crushed_t],tblPlant[Date],$A182)</f>
        <v/>
      </c>
      <c r="BX182" s="55">
        <f>IF($B182=$B181,$BX181,0)+$BW182</f>
        <v/>
      </c>
      <c r="BY182" s="55">
        <f>$BY181+$BW182</f>
        <v/>
      </c>
      <c r="BZ182" s="55">
        <f>SUMIFS(tblPlant[Milled_t],tblPlant[Date],$A182)</f>
        <v/>
      </c>
      <c r="CA182" s="55">
        <f>IF($B182=$B181,$CA181,0)+$BZ182</f>
        <v/>
      </c>
      <c r="CB182" s="55">
        <f>$CB181+$BZ182</f>
        <v/>
      </c>
      <c r="CC182" s="55">
        <f>SUMIFS(tblPlant[Feed_oz],tblPlant[Date],$A182)</f>
        <v/>
      </c>
      <c r="CD182" s="55">
        <f>IF($B182=$B181,$CD181,0)+$CC182</f>
        <v/>
      </c>
      <c r="CE182" s="55">
        <f>$CE181+$CC182</f>
        <v/>
      </c>
      <c r="CF182" s="55">
        <f>SUMIFS(tblPlant[Tails_oz],tblPlant[Date],$A182)</f>
        <v/>
      </c>
      <c r="CG182" s="55">
        <f>IF($B182=$B181,$CG181,0)+$CF182</f>
        <v/>
      </c>
      <c r="CH182" s="55">
        <f>$CH181+$CF182</f>
        <v/>
      </c>
      <c r="CI182" s="55">
        <f>SUMIFS(tblPlant[Recovered_oz],tblPlant[Date],$A182)</f>
        <v/>
      </c>
      <c r="CJ182" s="55">
        <f>IF($B182=$B181,$CJ181,0)+$CI182</f>
        <v/>
      </c>
      <c r="CK182" s="55">
        <f>$CK181+$CI182</f>
        <v/>
      </c>
      <c r="CL182" s="56">
        <f>IFERROR(IF(($BZ182)&gt;0,($CC182*cfg_TroyOz)/($BZ182),""),"")</f>
        <v/>
      </c>
      <c r="CM182" s="56">
        <f>IFERROR(IF(($CA182)&gt;0,($CD182*cfg_TroyOz)/($CA182),""),"")</f>
        <v/>
      </c>
      <c r="CN182" s="56">
        <f>IFERROR(IF(($CB182)&gt;0,($CE182*cfg_TroyOz)/($CB182),""),"")</f>
        <v/>
      </c>
      <c r="CO182" s="56">
        <f>IFERROR(IF(($BZ182)&gt;0,($CF182*cfg_TroyOz)/($BZ182),""),"")</f>
        <v/>
      </c>
      <c r="CP182" s="56">
        <f>IFERROR(IF(($CA182)&gt;0,($CG182*cfg_TroyOz)/($CA182),""),"")</f>
        <v/>
      </c>
      <c r="CQ182" s="56">
        <f>IFERROR(IF(($CB182)&gt;0,($CH182*cfg_TroyOz)/($CB182),""),"")</f>
        <v/>
      </c>
      <c r="CR182" s="67">
        <f>IFERROR(IF(($CC182)&gt;0,($CI182)/($CC182),""),"")</f>
        <v/>
      </c>
      <c r="CS182" s="67">
        <f>IFERROR(IF(($CD182)&gt;0,($CJ182)/($CD182),""),"")</f>
        <v/>
      </c>
      <c r="CT182" s="67">
        <f>IFERROR(IF(($CE182)&gt;0,($CK182)/($CE182),""),"")</f>
        <v/>
      </c>
      <c r="CU182" s="55">
        <f>SUMIFS(tblPlant[Gravity_Gold_oz],tblPlant[Date],$A182)</f>
        <v/>
      </c>
      <c r="CV182" s="55">
        <f>IF($B182=$B181,$CV181,0)+$CU182</f>
        <v/>
      </c>
      <c r="CW182" s="55">
        <f>$CW181+$CU182</f>
        <v/>
      </c>
      <c r="CX182" s="55">
        <f>SUMIFS(tblPlant[Gold_Poured_oz],tblPlant[Date],$A182)</f>
        <v/>
      </c>
      <c r="CY182" s="55">
        <f>IF($B182=$B181,$CY181,0)+$CX182</f>
        <v/>
      </c>
      <c r="CZ182" s="55">
        <f>$CZ181+$CX182</f>
        <v/>
      </c>
      <c r="DA182" s="57">
        <f>SUMIFS(tblPlant[Mill_Run_h],tblPlant[Date],$A182)</f>
        <v/>
      </c>
      <c r="DB182" s="57">
        <f>IF($B182=$B181,$DB181,0)+$DA182</f>
        <v/>
      </c>
      <c r="DC182" s="57">
        <f>$DC181+$DA182</f>
        <v/>
      </c>
      <c r="DD182" s="57">
        <f>SUMIFS(tblPlant[Mill_Planned_Maint_h],tblPlant[Date],$A182)</f>
        <v/>
      </c>
      <c r="DE182" s="57">
        <f>IF($B182=$B181,$DE181,0)+$DD182</f>
        <v/>
      </c>
      <c r="DF182" s="57">
        <f>$DF181+$DD182</f>
        <v/>
      </c>
      <c r="DG182" s="57">
        <f>SUMIFS(tblPlant[Mill_Unplanned_Down_h],tblPlant[Date],$A182)</f>
        <v/>
      </c>
      <c r="DH182" s="57">
        <f>IF($B182=$B181,$DH181,0)+$DG182</f>
        <v/>
      </c>
      <c r="DI182" s="57">
        <f>$DI181+$DG182</f>
        <v/>
      </c>
      <c r="DJ182" s="57">
        <f>COUNTIFS(tblPlant[Date],$A182,tblPlant[Mill_Run_h],"&lt;&gt;")*24</f>
        <v/>
      </c>
      <c r="DK182" s="57">
        <f>IF($B182=$B181,$DK181,0)+$DJ182</f>
        <v/>
      </c>
      <c r="DL182" s="57">
        <f>$DL181+$DJ182</f>
        <v/>
      </c>
      <c r="DM182" s="57">
        <f>SUMIFS(tblPlant[Crusher_Run_h],tblPlant[Date],$A182)</f>
        <v/>
      </c>
      <c r="DN182" s="57">
        <f>IF($B182=$B181,$DN181,0)+$DM182</f>
        <v/>
      </c>
      <c r="DO182" s="57">
        <f>$DO181+$DM182</f>
        <v/>
      </c>
      <c r="DP182" s="55">
        <f>IFERROR(IF(($DA182)&gt;0,($BZ182)/($DA182),""),"")</f>
        <v/>
      </c>
      <c r="DQ182" s="55">
        <f>IFERROR(IF(($DB182)&gt;0,($CA182)/($DB182),""),"")</f>
        <v/>
      </c>
      <c r="DR182" s="55">
        <f>IFERROR(IF(($DC182)&gt;0,($CB182)/($DC182),""),"")</f>
        <v/>
      </c>
      <c r="DS182" s="67">
        <f>IFERROR(IF(($DJ182)&gt;0,($DJ182-$DD182-$DG182)/($DJ182),""),"")</f>
        <v/>
      </c>
      <c r="DT182" s="67">
        <f>IFERROR(IF(($DK182)&gt;0,($DK182-$DE182-$DH182)/($DK182),""),"")</f>
        <v/>
      </c>
      <c r="DU182" s="67">
        <f>IFERROR(IF(($DL182)&gt;0,($DL182-$DF182-$DI182)/($DL182),""),"")</f>
        <v/>
      </c>
      <c r="DV182" s="67">
        <f>IFERROR(IF(($DJ182-$DD182-$DG182)&gt;0,($DA182)/($DJ182-$DD182-$DG182),""),"")</f>
        <v/>
      </c>
      <c r="DW182" s="67">
        <f>IFERROR(IF(($DK182-$DE182-$DH182)&gt;0,($DB182)/($DK182-$DE182-$DH182),""),"")</f>
        <v/>
      </c>
      <c r="DX182" s="67">
        <f>IFERROR(IF(($DL182-$DF182-$DI182)&gt;0,($DC182)/($DL182-$DF182-$DI182),""),"")</f>
        <v/>
      </c>
      <c r="DY182" s="55">
        <f>SUMIFS(tblPlant[Cyanide_kg],tblPlant[Date],$A182)</f>
        <v/>
      </c>
      <c r="DZ182" s="55">
        <f>IF($B182=$B181,$DZ181,0)+$DY182</f>
        <v/>
      </c>
      <c r="EA182" s="55">
        <f>$EA181+$DY182</f>
        <v/>
      </c>
      <c r="EB182" s="55">
        <f>SUMIFS(tblPlant[Lime_kg],tblPlant[Date],$A182)</f>
        <v/>
      </c>
      <c r="EC182" s="55">
        <f>IF($B182=$B181,$EC181,0)+$EB182</f>
        <v/>
      </c>
      <c r="ED182" s="55">
        <f>$ED181+$EB182</f>
        <v/>
      </c>
      <c r="EE182" s="55">
        <f>SUMIFS(tblPlant[Grinding_Media_kg],tblPlant[Date],$A182)</f>
        <v/>
      </c>
      <c r="EF182" s="55">
        <f>IF($B182=$B181,$EF181,0)+$EE182</f>
        <v/>
      </c>
      <c r="EG182" s="55">
        <f>$EG181+$EE182</f>
        <v/>
      </c>
      <c r="EH182" s="55">
        <f>SUMIFS(tblPlant[Power_kWh],tblPlant[Date],$A182)</f>
        <v/>
      </c>
      <c r="EI182" s="55">
        <f>IF($B182=$B181,$EI181,0)+$EH182</f>
        <v/>
      </c>
      <c r="EJ182" s="55">
        <f>$EJ181+$EH182</f>
        <v/>
      </c>
      <c r="EK182" s="55">
        <f>SUMIFS(tblPlant[Raw_Water_m3],tblPlant[Date],$A182)</f>
        <v/>
      </c>
      <c r="EL182" s="55">
        <f>IF($B182=$B181,$EL181,0)+$EK182</f>
        <v/>
      </c>
      <c r="EM182" s="55">
        <f>$EM181+$EK182</f>
        <v/>
      </c>
      <c r="EN182" s="56">
        <f>IFERROR(IF(($BZ182)&gt;0,($DY182)/($BZ182),""),"")</f>
        <v/>
      </c>
      <c r="EO182" s="56">
        <f>IFERROR(IF(($CA182)&gt;0,($DZ182)/($CA182),""),"")</f>
        <v/>
      </c>
      <c r="EP182" s="56">
        <f>IFERROR(IF(($CB182)&gt;0,($EA182)/($CB182),""),"")</f>
        <v/>
      </c>
      <c r="EQ182" s="56">
        <f>IFERROR(IF(($BZ182)&gt;0,($EB182)/($BZ182),""),"")</f>
        <v/>
      </c>
      <c r="ER182" s="56">
        <f>IFERROR(IF(($CA182)&gt;0,($EC182)/($CA182),""),"")</f>
        <v/>
      </c>
      <c r="ES182" s="56">
        <f>IFERROR(IF(($CB182)&gt;0,($ED182)/($CB182),""),"")</f>
        <v/>
      </c>
      <c r="ET182" s="56">
        <f>IFERROR(IF(($BZ182)&gt;0,($EE182)/($BZ182),""),"")</f>
        <v/>
      </c>
      <c r="EU182" s="56">
        <f>IFERROR(IF(($CA182)&gt;0,($EF182)/($CA182),""),"")</f>
        <v/>
      </c>
      <c r="EV182" s="56">
        <f>IFERROR(IF(($CB182)&gt;0,($EG182)/($CB182),""),"")</f>
        <v/>
      </c>
      <c r="EW182" s="76">
        <f>IFERROR(IF(($BZ182)&gt;0,($EH182)/($BZ182),""),"")</f>
        <v/>
      </c>
      <c r="EX182" s="76">
        <f>IFERROR(IF(($CA182)&gt;0,($EI182)/($CA182),""),"")</f>
        <v/>
      </c>
      <c r="EY182" s="76">
        <f>IFERROR(IF(($CB182)&gt;0,($EJ182)/($CB182),""),"")</f>
        <v/>
      </c>
      <c r="EZ182" s="56">
        <f>IFERROR(IF(($BZ182)&gt;0,($EK182)/($BZ182),""),"")</f>
        <v/>
      </c>
      <c r="FA182" s="56">
        <f>IFERROR(IF(($CA182)&gt;0,($EL182)/($CA182),""),"")</f>
        <v/>
      </c>
      <c r="FB182" s="56">
        <f>IFERROR(IF(($CB182)&gt;0,($EM182)/($CB182),""),"")</f>
        <v/>
      </c>
      <c r="FC182" s="55">
        <f>IF(SUMIFS(tblPlant[GIC_oz],tblPlant[Date],$A182)&gt;0,SUMIFS(tblPlant[GIC_oz],tblPlant[Date],$A182),"")</f>
        <v/>
      </c>
      <c r="FD182" s="55">
        <f>SUMIFS(tblGold[Gold_oz],tblGold[Date],$A182,tblGold[Type],"Shipment")</f>
        <v/>
      </c>
      <c r="FE182" s="55">
        <f>IF($B182=$B181,$FE181,0)+$FD182</f>
        <v/>
      </c>
      <c r="FF182" s="55">
        <f>$FF181+$FD182</f>
        <v/>
      </c>
      <c r="FG182" s="55">
        <f>SUMIFS(tblGold[Gold_oz],tblGold[Date],$A182,tblGold[Type],"Sale")</f>
        <v/>
      </c>
      <c r="FH182" s="55">
        <f>IF($B182=$B181,$FH181,0)+$FG182</f>
        <v/>
      </c>
      <c r="FI182" s="55">
        <f>$FI181+$FG182</f>
        <v/>
      </c>
      <c r="FJ182" s="55">
        <f>SUMIFS(tblGold[Dore_kg],tblGold[Date],$A182,tblGold[Type],"Shipment")</f>
        <v/>
      </c>
      <c r="FK182" s="55">
        <f>IF($B182=$B181,$FK181,0)+$FJ182</f>
        <v/>
      </c>
      <c r="FL182" s="55">
        <f>$FL181+$FJ182</f>
        <v/>
      </c>
      <c r="FM182" s="57">
        <f>SUMIFS(tblSafety[Hours_Total],tblSafety[Date],$A182)</f>
        <v/>
      </c>
      <c r="FN182" s="57">
        <f>IF($B182=$B181,$FN181,0)+$FM182</f>
        <v/>
      </c>
      <c r="FO182" s="57">
        <f>$FO181+$FM182</f>
        <v/>
      </c>
      <c r="FP182" s="62">
        <f>SUMIFS(tblSafety[Fatality],tblSafety[Date],$A182)</f>
        <v/>
      </c>
      <c r="FQ182" s="62">
        <f>IF($B182=$B181,$FQ181,0)+$FP182</f>
        <v/>
      </c>
      <c r="FR182" s="62">
        <f>$FR181+$FP182</f>
        <v/>
      </c>
      <c r="FS182" s="62">
        <f>SUMIFS(tblSafety[LTI],tblSafety[Date],$A182)</f>
        <v/>
      </c>
      <c r="FT182" s="62">
        <f>IF($B182=$B181,$FT181,0)+$FS182</f>
        <v/>
      </c>
      <c r="FU182" s="62">
        <f>$FU181+$FS182</f>
        <v/>
      </c>
      <c r="FV182" s="62">
        <f>SUMIFS(tblSafety[RWI],tblSafety[Date],$A182)</f>
        <v/>
      </c>
      <c r="FW182" s="62">
        <f>IF($B182=$B181,$FW181,0)+$FV182</f>
        <v/>
      </c>
      <c r="FX182" s="62">
        <f>$FX181+$FV182</f>
        <v/>
      </c>
      <c r="FY182" s="62">
        <f>SUMIFS(tblSafety[MTI],tblSafety[Date],$A182)</f>
        <v/>
      </c>
      <c r="FZ182" s="62">
        <f>IF($B182=$B181,$FZ181,0)+$FY182</f>
        <v/>
      </c>
      <c r="GA182" s="62">
        <f>$GA181+$FY182</f>
        <v/>
      </c>
      <c r="GB182" s="62">
        <f>SUMIFS(tblSafety[FAI],tblSafety[Date],$A182)</f>
        <v/>
      </c>
      <c r="GC182" s="62">
        <f>IF($B182=$B181,$GC181,0)+$GB182</f>
        <v/>
      </c>
      <c r="GD182" s="62">
        <f>$GD181+$GB182</f>
        <v/>
      </c>
      <c r="GE182" s="62">
        <f>SUMIFS(tblSafety[Recordables],tblSafety[Date],$A182)</f>
        <v/>
      </c>
      <c r="GF182" s="62">
        <f>IF($B182=$B181,$GF181,0)+$GE182</f>
        <v/>
      </c>
      <c r="GG182" s="62">
        <f>$GG181+$GE182</f>
        <v/>
      </c>
      <c r="GH182" s="62">
        <f>SUMIFS(tblSafety[Near_Miss],tblSafety[Date],$A182)</f>
        <v/>
      </c>
      <c r="GI182" s="62">
        <f>IF($B182=$B181,$GI181,0)+$GH182</f>
        <v/>
      </c>
      <c r="GJ182" s="62">
        <f>$GJ181+$GH182</f>
        <v/>
      </c>
      <c r="GK182" s="62">
        <f>SUMIFS(tblSafety[Hazard_Reports],tblSafety[Date],$A182)</f>
        <v/>
      </c>
      <c r="GL182" s="62">
        <f>IF($B182=$B181,$GL181,0)+$GK182</f>
        <v/>
      </c>
      <c r="GM182" s="62">
        <f>$GM181+$GK182</f>
        <v/>
      </c>
      <c r="GN182" s="62">
        <f>SUMIFS(tblSafety[HPI],tblSafety[Date],$A182)</f>
        <v/>
      </c>
      <c r="GO182" s="62">
        <f>IF($B182=$B181,$GO181,0)+$GN182</f>
        <v/>
      </c>
      <c r="GP182" s="62">
        <f>$GP181+$GN182</f>
        <v/>
      </c>
      <c r="GQ182" s="62">
        <f>SUMIFS(tblSafety[Env_Incidents],tblSafety[Date],$A182)</f>
        <v/>
      </c>
      <c r="GR182" s="62">
        <f>IF($B182=$B181,$GR181,0)+$GQ182</f>
        <v/>
      </c>
      <c r="GS182" s="62">
        <f>$GS181+$GQ182</f>
        <v/>
      </c>
      <c r="GT182" s="62">
        <f>SUMIFS(tblSafety[Community_Incidents],tblSafety[Date],$A182)</f>
        <v/>
      </c>
      <c r="GU182" s="62">
        <f>IF($B182=$B181,$GU181,0)+$GT182</f>
        <v/>
      </c>
      <c r="GV182" s="62">
        <f>$GV181+$GT182</f>
        <v/>
      </c>
      <c r="GW182" s="62">
        <f>SUMIFS(tblSafety[Vehicle_Incidents],tblSafety[Date],$A182)</f>
        <v/>
      </c>
      <c r="GX182" s="62">
        <f>IF($B182=$B181,$GX181,0)+$GW182</f>
        <v/>
      </c>
      <c r="GY182" s="62">
        <f>$GY181+$GW182</f>
        <v/>
      </c>
      <c r="GZ182" s="62">
        <f>SUMIFS(tblSafety[Toolbox_Talks],tblSafety[Date],$A182)</f>
        <v/>
      </c>
      <c r="HA182" s="62">
        <f>IF($B182=$B181,$HA181,0)+$GZ182</f>
        <v/>
      </c>
      <c r="HB182" s="62">
        <f>$HB181+$GZ182</f>
        <v/>
      </c>
      <c r="HC182" s="62">
        <f>SUMIFS(tblSafety[Inspections],tblSafety[Date],$A182)</f>
        <v/>
      </c>
      <c r="HD182" s="62">
        <f>IF($B182=$B181,$HD181,0)+$HC182</f>
        <v/>
      </c>
      <c r="HE182" s="62">
        <f>$HE181+$HC182</f>
        <v/>
      </c>
      <c r="HF182" s="56">
        <f>IFERROR((SUMIFS(tblSafety[Recordables],tblSafety[Date],"&gt;="&amp;EDATE($E182,-12),tblSafety[Date],"&lt;="&amp;$A182)+SUMIFS(tblSafetyHistory[Recordables],tblSafetyHistory[Month],"&gt;="&amp;EDATE($E182,-12),tblSafetyHistory[Month],"&lt;"&amp;cfg_YearStart))/(SUMIFS(tblSafety[Hours_Total],tblSafety[Date],"&gt;="&amp;EDATE($E182,-12),tblSafety[Date],"&lt;="&amp;$A182)+SUMIFS(tblSafetyHistory[Hours_Total],tblSafetyHistory[Month],"&gt;="&amp;EDATE($E182,-12),tblSafetyHistory[Month],"&lt;"&amp;cfg_YearStart))*1000000,"")</f>
        <v/>
      </c>
      <c r="HG182" s="56">
        <f>IFERROR((SUMIFS(tblSafety[LTI],tblSafety[Date],"&gt;="&amp;EDATE($E182,-12),tblSafety[Date],"&lt;="&amp;$A182)+SUMIFS(tblSafetyHistory[LTI],tblSafetyHistory[Month],"&gt;="&amp;EDATE($E182,-12),tblSafetyHistory[Month],"&lt;"&amp;cfg_YearStart))/(SUMIFS(tblSafety[Hours_Total],tblSafety[Date],"&gt;="&amp;EDATE($E182,-12),tblSafety[Date],"&lt;="&amp;$A182)+SUMIFS(tblSafetyHistory[Hours_Total],tblSafetyHistory[Month],"&gt;="&amp;EDATE($E182,-12),tblSafetyHistory[Month],"&lt;"&amp;cfg_YearStart))*1000000,"")</f>
        <v/>
      </c>
      <c r="HH182" s="62">
        <f>IF(MAX(N(cfg_PriorLTIDate),_xlfn.MAXIFS(tblSafety[Date],tblSafety[LTI],"&gt;0",tblSafety[Date],"&lt;="&amp;$A182))=0,"",$A182-MAX(N(cfg_PriorLTIDate),_xlfn.MAXIFS(tblSafety[Date],tblSafety[LTI],"&gt;0",tblSafety[Date],"&lt;="&amp;$A182)))</f>
        <v/>
      </c>
      <c r="HI182" s="55">
        <f>SUMIFS(tblBudget[Ore_Mined_t],tblBudget[Month],$E182)</f>
        <v/>
      </c>
      <c r="HJ182" s="55">
        <f>$HI182*$C182/$D182</f>
        <v/>
      </c>
      <c r="HK182" s="55">
        <f>SUMIFS(tblBudget[Ore_Mined_t],tblBudget[Month],"&lt;"&amp;$E182)+$HJ182</f>
        <v/>
      </c>
      <c r="HL182" s="55">
        <f>SUMIFS(tblBudget[Ore_oz],tblBudget[Month],$E182)</f>
        <v/>
      </c>
      <c r="HM182" s="55">
        <f>$HL182*$C182/$D182</f>
        <v/>
      </c>
      <c r="HN182" s="55">
        <f>SUMIFS(tblBudget[Ore_oz],tblBudget[Month],"&lt;"&amp;$E182)+$HM182</f>
        <v/>
      </c>
      <c r="HO182" s="56">
        <f>IFERROR(IF(($HI182)&gt;0,($HL182*cfg_TroyOz)/($HI182),""),"")</f>
        <v/>
      </c>
      <c r="HP182" s="56">
        <f>IFERROR(IF(($HJ182)&gt;0,($HM182*cfg_TroyOz)/($HJ182),""),"")</f>
        <v/>
      </c>
      <c r="HQ182" s="56">
        <f>IFERROR(IF(($HK182)&gt;0,($HN182*cfg_TroyOz)/($HK182),""),"")</f>
        <v/>
      </c>
      <c r="HR182" s="55">
        <f>SUMIFS(tblBudget[Waste_t],tblBudget[Month],$E182)</f>
        <v/>
      </c>
      <c r="HS182" s="55">
        <f>$HR182*$C182/$D182</f>
        <v/>
      </c>
      <c r="HT182" s="55">
        <f>SUMIFS(tblBudget[Waste_t],tblBudget[Month],"&lt;"&amp;$E182)+$HS182</f>
        <v/>
      </c>
      <c r="HU182" s="55">
        <f>SUMIFS(tblBudget[TMM_t],tblBudget[Month],$E182)</f>
        <v/>
      </c>
      <c r="HV182" s="55">
        <f>$HU182*$C182/$D182</f>
        <v/>
      </c>
      <c r="HW182" s="55">
        <f>SUMIFS(tblBudget[TMM_t],tblBudget[Month],"&lt;"&amp;$E182)+$HV182</f>
        <v/>
      </c>
      <c r="HX182" s="56">
        <f>IFERROR(IF(($HI182)&gt;0,($HR182)/($HI182),""),"")</f>
        <v/>
      </c>
      <c r="HY182" s="56">
        <f>IFERROR(IF(($HJ182)&gt;0,($HS182)/($HJ182),""),"")</f>
        <v/>
      </c>
      <c r="HZ182" s="56">
        <f>IFERROR(IF(($HK182)&gt;0,($HT182)/($HK182),""),"")</f>
        <v/>
      </c>
      <c r="IA182" s="55">
        <f>SUMIFS(tblBudget[Drill_m],tblBudget[Month],$E182)</f>
        <v/>
      </c>
      <c r="IB182" s="55">
        <f>$IA182*$C182/$D182</f>
        <v/>
      </c>
      <c r="IC182" s="55">
        <f>SUMIFS(tblBudget[Drill_m],tblBudget[Month],"&lt;"&amp;$E182)+$IB182</f>
        <v/>
      </c>
      <c r="ID182" s="55">
        <f>SUMIFS(tblBudget[Diesel_L],tblBudget[Month],$E182)</f>
        <v/>
      </c>
      <c r="IE182" s="55">
        <f>$ID182*$C182/$D182</f>
        <v/>
      </c>
      <c r="IF182" s="55">
        <f>SUMIFS(tblBudget[Diesel_L],tblBudget[Month],"&lt;"&amp;$E182)+$IE182</f>
        <v/>
      </c>
      <c r="IG182" s="55">
        <f>SUMIFS(tblBudget[Milled_t],tblBudget[Month],$E182)</f>
        <v/>
      </c>
      <c r="IH182" s="55">
        <f>$IG182*$C182/$D182</f>
        <v/>
      </c>
      <c r="II182" s="55">
        <f>SUMIFS(tblBudget[Milled_t],tblBudget[Month],"&lt;"&amp;$E182)+$IH182</f>
        <v/>
      </c>
      <c r="IJ182" s="55">
        <f>SUMIFS(tblBudget[Feed_oz],tblBudget[Month],$E182)</f>
        <v/>
      </c>
      <c r="IK182" s="55">
        <f>$IJ182*$C182/$D182</f>
        <v/>
      </c>
      <c r="IL182" s="55">
        <f>SUMIFS(tblBudget[Feed_oz],tblBudget[Month],"&lt;"&amp;$E182)+$IK182</f>
        <v/>
      </c>
      <c r="IM182" s="55">
        <f>SUMIFS(tblBudget[Recovered_oz],tblBudget[Month],$E182)</f>
        <v/>
      </c>
      <c r="IN182" s="55">
        <f>$IM182*$C182/$D182</f>
        <v/>
      </c>
      <c r="IO182" s="55">
        <f>SUMIFS(tblBudget[Recovered_oz],tblBudget[Month],"&lt;"&amp;$E182)+$IN182</f>
        <v/>
      </c>
      <c r="IP182" s="56">
        <f>IFERROR(IF(($IG182)&gt;0,($IJ182*cfg_TroyOz)/($IG182),""),"")</f>
        <v/>
      </c>
      <c r="IQ182" s="56">
        <f>IFERROR(IF(($IH182)&gt;0,($IK182*cfg_TroyOz)/($IH182),""),"")</f>
        <v/>
      </c>
      <c r="IR182" s="56">
        <f>IFERROR(IF(($II182)&gt;0,($IL182*cfg_TroyOz)/($II182),""),"")</f>
        <v/>
      </c>
      <c r="IS182" s="67">
        <f>IFERROR(IF(($IJ182)&gt;0,($IM182)/($IJ182),""),"")</f>
        <v/>
      </c>
      <c r="IT182" s="67">
        <f>IFERROR(IF(($IK182)&gt;0,($IN182)/($IK182),""),"")</f>
        <v/>
      </c>
      <c r="IU182" s="67">
        <f>IFERROR(IF(($IL182)&gt;0,($IO182)/($IL182),""),"")</f>
        <v/>
      </c>
      <c r="IV182" s="55">
        <f>SUMIFS(tblBudget[Gold_Poured_oz],tblBudget[Month],$E182)</f>
        <v/>
      </c>
      <c r="IW182" s="55">
        <f>$IV182*$C182/$D182</f>
        <v/>
      </c>
      <c r="IX182" s="55">
        <f>SUMIFS(tblBudget[Gold_Poured_oz],tblBudget[Month],"&lt;"&amp;$E182)+$IW182</f>
        <v/>
      </c>
      <c r="IY182" s="57">
        <f>SUMIFS(tblBudget[Hours_Worked],tblBudget[Month],$E182)</f>
        <v/>
      </c>
      <c r="IZ182" s="57">
        <f>$IY182*$C182/$D182</f>
        <v/>
      </c>
      <c r="JA182" s="57">
        <f>SUMIFS(tblBudget[Hours_Worked],tblBudget[Month],"&lt;"&amp;$E182)+$IZ182</f>
        <v/>
      </c>
    </row>
    <row r="183">
      <c r="A183" s="54" t="n">
        <v>46204</v>
      </c>
      <c r="B183">
        <f>MONTH($A183)</f>
        <v/>
      </c>
      <c r="C183">
        <f>DAY($A183)</f>
        <v/>
      </c>
      <c r="D183">
        <f>DAY(EOMONTH($A183,0))</f>
        <v/>
      </c>
      <c r="E183" s="54">
        <f>DATE(YEAR($A183),MONTH($A183),1)</f>
        <v/>
      </c>
      <c r="F183" s="55">
        <f>SUMIFS(tblMovement[Tonnes_t],tblMovement[Date],$A183,tblMovement[Is_Ore],1,tblMovement[Source_Type],"Pit")</f>
        <v/>
      </c>
      <c r="G183" s="55">
        <f>IF($B183=$B182,$G182,0)+$F183</f>
        <v/>
      </c>
      <c r="H183" s="55">
        <f>$H182+$F183</f>
        <v/>
      </c>
      <c r="I183" s="55">
        <f>SUMIFS(tblMovement[Ore_oz],tblMovement[Date],$A183,tblMovement[Source_Type],"Pit")</f>
        <v/>
      </c>
      <c r="J183" s="55">
        <f>IF($B183=$B182,$J182,0)+$I183</f>
        <v/>
      </c>
      <c r="K183" s="55">
        <f>$K182+$I183</f>
        <v/>
      </c>
      <c r="L183" s="56">
        <f>IFERROR(IF(($F183)&gt;0,($I183*cfg_TroyOz)/($F183),""),"")</f>
        <v/>
      </c>
      <c r="M183" s="56">
        <f>IFERROR(IF(($G183)&gt;0,($J183*cfg_TroyOz)/($G183),""),"")</f>
        <v/>
      </c>
      <c r="N183" s="56">
        <f>IFERROR(IF(($H183)&gt;0,($K183*cfg_TroyOz)/($H183),""),"")</f>
        <v/>
      </c>
      <c r="O183" s="55">
        <f>SUMIFS(tblMovement[Tonnes_t],tblMovement[Date],$A183,tblMovement[Is_Ore],0,tblMovement[Source_Type],"Pit")</f>
        <v/>
      </c>
      <c r="P183" s="55">
        <f>IF($B183=$B182,$P182,0)+$O183</f>
        <v/>
      </c>
      <c r="Q183" s="55">
        <f>$Q182+$O183</f>
        <v/>
      </c>
      <c r="R183" s="55">
        <f>$F183+$O183</f>
        <v/>
      </c>
      <c r="S183" s="55">
        <f>IF($B183=$B182,$S182,0)+$R183</f>
        <v/>
      </c>
      <c r="T183" s="55">
        <f>$T182+$R183</f>
        <v/>
      </c>
      <c r="U183" s="56">
        <f>IFERROR(IF(($F183)&gt;0,($O183)/($F183),""),"")</f>
        <v/>
      </c>
      <c r="V183" s="56">
        <f>IFERROR(IF(($G183)&gt;0,($P183)/($G183),""),"")</f>
        <v/>
      </c>
      <c r="W183" s="56">
        <f>IFERROR(IF(($H183)&gt;0,($Q183)/($H183),""),"")</f>
        <v/>
      </c>
      <c r="X183" s="55">
        <f>SUMIFS(tblMovement[Tonnes_t],tblMovement[Date],$A183,tblMovement[Source_Type],"Stockpile")</f>
        <v/>
      </c>
      <c r="Y183" s="55">
        <f>IF($B183=$B182,$Y182,0)+$X183</f>
        <v/>
      </c>
      <c r="Z183" s="55">
        <f>$Z182+$X183</f>
        <v/>
      </c>
      <c r="AA183" s="55">
        <f>SUMIFS(tblMiningDaily[Drill_m],tblMiningDaily[Date],$A183)</f>
        <v/>
      </c>
      <c r="AB183" s="55">
        <f>IF($B183=$B182,$AB182,0)+$AA183</f>
        <v/>
      </c>
      <c r="AC183" s="55">
        <f>$AC182+$AA183</f>
        <v/>
      </c>
      <c r="AD183" s="55">
        <f>SUMIFS(tblMiningDaily[Blast_t],tblMiningDaily[Date],$A183)</f>
        <v/>
      </c>
      <c r="AE183" s="55">
        <f>IF($B183=$B182,$AE182,0)+$AD183</f>
        <v/>
      </c>
      <c r="AF183" s="55">
        <f>$AF182+$AD183</f>
        <v/>
      </c>
      <c r="AG183" s="55">
        <f>SUMIFS(tblMiningDaily[Explosives_kg],tblMiningDaily[Date],$A183)</f>
        <v/>
      </c>
      <c r="AH183" s="55">
        <f>IF($B183=$B182,$AH182,0)+$AG183</f>
        <v/>
      </c>
      <c r="AI183" s="55">
        <f>$AI182+$AG183</f>
        <v/>
      </c>
      <c r="AJ183" s="56">
        <f>IFERROR(IF(($AD183)&gt;0,($AG183)/($AD183),""),"")</f>
        <v/>
      </c>
      <c r="AK183" s="56">
        <f>IFERROR(IF(($AE183)&gt;0,($AH183)/($AE183),""),"")</f>
        <v/>
      </c>
      <c r="AL183" s="56">
        <f>IFERROR(IF(($AF183)&gt;0,($AI183)/($AF183),""),"")</f>
        <v/>
      </c>
      <c r="AM183" s="55">
        <f>SUMIFS(tblMiningDaily[Diesel_L],tblMiningDaily[Date],$A183)</f>
        <v/>
      </c>
      <c r="AN183" s="55">
        <f>IF($B183=$B182,$AN182,0)+$AM183</f>
        <v/>
      </c>
      <c r="AO183" s="55">
        <f>$AO182+$AM183</f>
        <v/>
      </c>
      <c r="AP183" s="55">
        <f>SUMIFS(tblMiningDaily[Dewatering_m3],tblMiningDaily[Date],$A183)</f>
        <v/>
      </c>
      <c r="AQ183" s="55">
        <f>IF($B183=$B182,$AQ182,0)+$AP183</f>
        <v/>
      </c>
      <c r="AR183" s="55">
        <f>$AR182+$AP183</f>
        <v/>
      </c>
      <c r="AS183" s="57">
        <f>SUMIFS(tblFleet[Calendar_h],tblFleet[Date],$A183,tblFleet[Equipment_Class],"Excavator")</f>
        <v/>
      </c>
      <c r="AT183" s="57">
        <f>IF($B183=$B182,$AT182,0)+$AS183</f>
        <v/>
      </c>
      <c r="AU183" s="57">
        <f>$AU182+$AS183</f>
        <v/>
      </c>
      <c r="AV183" s="57">
        <f>SUMIFS(tblFleet[Available_h],tblFleet[Date],$A183,tblFleet[Equipment_Class],"Excavator")</f>
        <v/>
      </c>
      <c r="AW183" s="57">
        <f>IF($B183=$B182,$AW182,0)+$AV183</f>
        <v/>
      </c>
      <c r="AX183" s="57">
        <f>$AX182+$AV183</f>
        <v/>
      </c>
      <c r="AY183" s="57">
        <f>SUMIFS(tblFleet[Operating_h],tblFleet[Date],$A183,tblFleet[Equipment_Class],"Excavator")</f>
        <v/>
      </c>
      <c r="AZ183" s="57">
        <f>IF($B183=$B182,$AZ182,0)+$AY183</f>
        <v/>
      </c>
      <c r="BA183" s="57">
        <f>$BA182+$AY183</f>
        <v/>
      </c>
      <c r="BB183" s="67">
        <f>IFERROR(IF(($AS183)&gt;0,($AV183)/($AS183),""),"")</f>
        <v/>
      </c>
      <c r="BC183" s="67">
        <f>IFERROR(IF(($AT183)&gt;0,($AW183)/($AT183),""),"")</f>
        <v/>
      </c>
      <c r="BD183" s="67">
        <f>IFERROR(IF(($AU183)&gt;0,($AX183)/($AU183),""),"")</f>
        <v/>
      </c>
      <c r="BE183" s="67">
        <f>IFERROR(IF(($AV183)&gt;0,($AY183)/($AV183),""),"")</f>
        <v/>
      </c>
      <c r="BF183" s="67">
        <f>IFERROR(IF(($AW183)&gt;0,($AZ183)/($AW183),""),"")</f>
        <v/>
      </c>
      <c r="BG183" s="67">
        <f>IFERROR(IF(($AX183)&gt;0,($BA183)/($AX183),""),"")</f>
        <v/>
      </c>
      <c r="BH183" s="57">
        <f>SUMIFS(tblFleet[Calendar_h],tblFleet[Date],$A183,tblFleet[Equipment_Class],"Haul Truck")</f>
        <v/>
      </c>
      <c r="BI183" s="57">
        <f>IF($B183=$B182,$BI182,0)+$BH183</f>
        <v/>
      </c>
      <c r="BJ183" s="57">
        <f>$BJ182+$BH183</f>
        <v/>
      </c>
      <c r="BK183" s="57">
        <f>SUMIFS(tblFleet[Available_h],tblFleet[Date],$A183,tblFleet[Equipment_Class],"Haul Truck")</f>
        <v/>
      </c>
      <c r="BL183" s="57">
        <f>IF($B183=$B182,$BL182,0)+$BK183</f>
        <v/>
      </c>
      <c r="BM183" s="57">
        <f>$BM182+$BK183</f>
        <v/>
      </c>
      <c r="BN183" s="57">
        <f>SUMIFS(tblFleet[Operating_h],tblFleet[Date],$A183,tblFleet[Equipment_Class],"Haul Truck")</f>
        <v/>
      </c>
      <c r="BO183" s="57">
        <f>IF($B183=$B182,$BO182,0)+$BN183</f>
        <v/>
      </c>
      <c r="BP183" s="57">
        <f>$BP182+$BN183</f>
        <v/>
      </c>
      <c r="BQ183" s="67">
        <f>IFERROR(IF(($BH183)&gt;0,($BK183)/($BH183),""),"")</f>
        <v/>
      </c>
      <c r="BR183" s="67">
        <f>IFERROR(IF(($BI183)&gt;0,($BL183)/($BI183),""),"")</f>
        <v/>
      </c>
      <c r="BS183" s="67">
        <f>IFERROR(IF(($BJ183)&gt;0,($BM183)/($BJ183),""),"")</f>
        <v/>
      </c>
      <c r="BT183" s="67">
        <f>IFERROR(IF(($BK183)&gt;0,($BN183)/($BK183),""),"")</f>
        <v/>
      </c>
      <c r="BU183" s="67">
        <f>IFERROR(IF(($BL183)&gt;0,($BO183)/($BL183),""),"")</f>
        <v/>
      </c>
      <c r="BV183" s="67">
        <f>IFERROR(IF(($BM183)&gt;0,($BP183)/($BM183),""),"")</f>
        <v/>
      </c>
      <c r="BW183" s="55">
        <f>SUMIFS(tblPlant[Crushed_t],tblPlant[Date],$A183)</f>
        <v/>
      </c>
      <c r="BX183" s="55">
        <f>IF($B183=$B182,$BX182,0)+$BW183</f>
        <v/>
      </c>
      <c r="BY183" s="55">
        <f>$BY182+$BW183</f>
        <v/>
      </c>
      <c r="BZ183" s="55">
        <f>SUMIFS(tblPlant[Milled_t],tblPlant[Date],$A183)</f>
        <v/>
      </c>
      <c r="CA183" s="55">
        <f>IF($B183=$B182,$CA182,0)+$BZ183</f>
        <v/>
      </c>
      <c r="CB183" s="55">
        <f>$CB182+$BZ183</f>
        <v/>
      </c>
      <c r="CC183" s="55">
        <f>SUMIFS(tblPlant[Feed_oz],tblPlant[Date],$A183)</f>
        <v/>
      </c>
      <c r="CD183" s="55">
        <f>IF($B183=$B182,$CD182,0)+$CC183</f>
        <v/>
      </c>
      <c r="CE183" s="55">
        <f>$CE182+$CC183</f>
        <v/>
      </c>
      <c r="CF183" s="55">
        <f>SUMIFS(tblPlant[Tails_oz],tblPlant[Date],$A183)</f>
        <v/>
      </c>
      <c r="CG183" s="55">
        <f>IF($B183=$B182,$CG182,0)+$CF183</f>
        <v/>
      </c>
      <c r="CH183" s="55">
        <f>$CH182+$CF183</f>
        <v/>
      </c>
      <c r="CI183" s="55">
        <f>SUMIFS(tblPlant[Recovered_oz],tblPlant[Date],$A183)</f>
        <v/>
      </c>
      <c r="CJ183" s="55">
        <f>IF($B183=$B182,$CJ182,0)+$CI183</f>
        <v/>
      </c>
      <c r="CK183" s="55">
        <f>$CK182+$CI183</f>
        <v/>
      </c>
      <c r="CL183" s="56">
        <f>IFERROR(IF(($BZ183)&gt;0,($CC183*cfg_TroyOz)/($BZ183),""),"")</f>
        <v/>
      </c>
      <c r="CM183" s="56">
        <f>IFERROR(IF(($CA183)&gt;0,($CD183*cfg_TroyOz)/($CA183),""),"")</f>
        <v/>
      </c>
      <c r="CN183" s="56">
        <f>IFERROR(IF(($CB183)&gt;0,($CE183*cfg_TroyOz)/($CB183),""),"")</f>
        <v/>
      </c>
      <c r="CO183" s="56">
        <f>IFERROR(IF(($BZ183)&gt;0,($CF183*cfg_TroyOz)/($BZ183),""),"")</f>
        <v/>
      </c>
      <c r="CP183" s="56">
        <f>IFERROR(IF(($CA183)&gt;0,($CG183*cfg_TroyOz)/($CA183),""),"")</f>
        <v/>
      </c>
      <c r="CQ183" s="56">
        <f>IFERROR(IF(($CB183)&gt;0,($CH183*cfg_TroyOz)/($CB183),""),"")</f>
        <v/>
      </c>
      <c r="CR183" s="67">
        <f>IFERROR(IF(($CC183)&gt;0,($CI183)/($CC183),""),"")</f>
        <v/>
      </c>
      <c r="CS183" s="67">
        <f>IFERROR(IF(($CD183)&gt;0,($CJ183)/($CD183),""),"")</f>
        <v/>
      </c>
      <c r="CT183" s="67">
        <f>IFERROR(IF(($CE183)&gt;0,($CK183)/($CE183),""),"")</f>
        <v/>
      </c>
      <c r="CU183" s="55">
        <f>SUMIFS(tblPlant[Gravity_Gold_oz],tblPlant[Date],$A183)</f>
        <v/>
      </c>
      <c r="CV183" s="55">
        <f>IF($B183=$B182,$CV182,0)+$CU183</f>
        <v/>
      </c>
      <c r="CW183" s="55">
        <f>$CW182+$CU183</f>
        <v/>
      </c>
      <c r="CX183" s="55">
        <f>SUMIFS(tblPlant[Gold_Poured_oz],tblPlant[Date],$A183)</f>
        <v/>
      </c>
      <c r="CY183" s="55">
        <f>IF($B183=$B182,$CY182,0)+$CX183</f>
        <v/>
      </c>
      <c r="CZ183" s="55">
        <f>$CZ182+$CX183</f>
        <v/>
      </c>
      <c r="DA183" s="57">
        <f>SUMIFS(tblPlant[Mill_Run_h],tblPlant[Date],$A183)</f>
        <v/>
      </c>
      <c r="DB183" s="57">
        <f>IF($B183=$B182,$DB182,0)+$DA183</f>
        <v/>
      </c>
      <c r="DC183" s="57">
        <f>$DC182+$DA183</f>
        <v/>
      </c>
      <c r="DD183" s="57">
        <f>SUMIFS(tblPlant[Mill_Planned_Maint_h],tblPlant[Date],$A183)</f>
        <v/>
      </c>
      <c r="DE183" s="57">
        <f>IF($B183=$B182,$DE182,0)+$DD183</f>
        <v/>
      </c>
      <c r="DF183" s="57">
        <f>$DF182+$DD183</f>
        <v/>
      </c>
      <c r="DG183" s="57">
        <f>SUMIFS(tblPlant[Mill_Unplanned_Down_h],tblPlant[Date],$A183)</f>
        <v/>
      </c>
      <c r="DH183" s="57">
        <f>IF($B183=$B182,$DH182,0)+$DG183</f>
        <v/>
      </c>
      <c r="DI183" s="57">
        <f>$DI182+$DG183</f>
        <v/>
      </c>
      <c r="DJ183" s="57">
        <f>COUNTIFS(tblPlant[Date],$A183,tblPlant[Mill_Run_h],"&lt;&gt;")*24</f>
        <v/>
      </c>
      <c r="DK183" s="57">
        <f>IF($B183=$B182,$DK182,0)+$DJ183</f>
        <v/>
      </c>
      <c r="DL183" s="57">
        <f>$DL182+$DJ183</f>
        <v/>
      </c>
      <c r="DM183" s="57">
        <f>SUMIFS(tblPlant[Crusher_Run_h],tblPlant[Date],$A183)</f>
        <v/>
      </c>
      <c r="DN183" s="57">
        <f>IF($B183=$B182,$DN182,0)+$DM183</f>
        <v/>
      </c>
      <c r="DO183" s="57">
        <f>$DO182+$DM183</f>
        <v/>
      </c>
      <c r="DP183" s="55">
        <f>IFERROR(IF(($DA183)&gt;0,($BZ183)/($DA183),""),"")</f>
        <v/>
      </c>
      <c r="DQ183" s="55">
        <f>IFERROR(IF(($DB183)&gt;0,($CA183)/($DB183),""),"")</f>
        <v/>
      </c>
      <c r="DR183" s="55">
        <f>IFERROR(IF(($DC183)&gt;0,($CB183)/($DC183),""),"")</f>
        <v/>
      </c>
      <c r="DS183" s="67">
        <f>IFERROR(IF(($DJ183)&gt;0,($DJ183-$DD183-$DG183)/($DJ183),""),"")</f>
        <v/>
      </c>
      <c r="DT183" s="67">
        <f>IFERROR(IF(($DK183)&gt;0,($DK183-$DE183-$DH183)/($DK183),""),"")</f>
        <v/>
      </c>
      <c r="DU183" s="67">
        <f>IFERROR(IF(($DL183)&gt;0,($DL183-$DF183-$DI183)/($DL183),""),"")</f>
        <v/>
      </c>
      <c r="DV183" s="67">
        <f>IFERROR(IF(($DJ183-$DD183-$DG183)&gt;0,($DA183)/($DJ183-$DD183-$DG183),""),"")</f>
        <v/>
      </c>
      <c r="DW183" s="67">
        <f>IFERROR(IF(($DK183-$DE183-$DH183)&gt;0,($DB183)/($DK183-$DE183-$DH183),""),"")</f>
        <v/>
      </c>
      <c r="DX183" s="67">
        <f>IFERROR(IF(($DL183-$DF183-$DI183)&gt;0,($DC183)/($DL183-$DF183-$DI183),""),"")</f>
        <v/>
      </c>
      <c r="DY183" s="55">
        <f>SUMIFS(tblPlant[Cyanide_kg],tblPlant[Date],$A183)</f>
        <v/>
      </c>
      <c r="DZ183" s="55">
        <f>IF($B183=$B182,$DZ182,0)+$DY183</f>
        <v/>
      </c>
      <c r="EA183" s="55">
        <f>$EA182+$DY183</f>
        <v/>
      </c>
      <c r="EB183" s="55">
        <f>SUMIFS(tblPlant[Lime_kg],tblPlant[Date],$A183)</f>
        <v/>
      </c>
      <c r="EC183" s="55">
        <f>IF($B183=$B182,$EC182,0)+$EB183</f>
        <v/>
      </c>
      <c r="ED183" s="55">
        <f>$ED182+$EB183</f>
        <v/>
      </c>
      <c r="EE183" s="55">
        <f>SUMIFS(tblPlant[Grinding_Media_kg],tblPlant[Date],$A183)</f>
        <v/>
      </c>
      <c r="EF183" s="55">
        <f>IF($B183=$B182,$EF182,0)+$EE183</f>
        <v/>
      </c>
      <c r="EG183" s="55">
        <f>$EG182+$EE183</f>
        <v/>
      </c>
      <c r="EH183" s="55">
        <f>SUMIFS(tblPlant[Power_kWh],tblPlant[Date],$A183)</f>
        <v/>
      </c>
      <c r="EI183" s="55">
        <f>IF($B183=$B182,$EI182,0)+$EH183</f>
        <v/>
      </c>
      <c r="EJ183" s="55">
        <f>$EJ182+$EH183</f>
        <v/>
      </c>
      <c r="EK183" s="55">
        <f>SUMIFS(tblPlant[Raw_Water_m3],tblPlant[Date],$A183)</f>
        <v/>
      </c>
      <c r="EL183" s="55">
        <f>IF($B183=$B182,$EL182,0)+$EK183</f>
        <v/>
      </c>
      <c r="EM183" s="55">
        <f>$EM182+$EK183</f>
        <v/>
      </c>
      <c r="EN183" s="56">
        <f>IFERROR(IF(($BZ183)&gt;0,($DY183)/($BZ183),""),"")</f>
        <v/>
      </c>
      <c r="EO183" s="56">
        <f>IFERROR(IF(($CA183)&gt;0,($DZ183)/($CA183),""),"")</f>
        <v/>
      </c>
      <c r="EP183" s="56">
        <f>IFERROR(IF(($CB183)&gt;0,($EA183)/($CB183),""),"")</f>
        <v/>
      </c>
      <c r="EQ183" s="56">
        <f>IFERROR(IF(($BZ183)&gt;0,($EB183)/($BZ183),""),"")</f>
        <v/>
      </c>
      <c r="ER183" s="56">
        <f>IFERROR(IF(($CA183)&gt;0,($EC183)/($CA183),""),"")</f>
        <v/>
      </c>
      <c r="ES183" s="56">
        <f>IFERROR(IF(($CB183)&gt;0,($ED183)/($CB183),""),"")</f>
        <v/>
      </c>
      <c r="ET183" s="56">
        <f>IFERROR(IF(($BZ183)&gt;0,($EE183)/($BZ183),""),"")</f>
        <v/>
      </c>
      <c r="EU183" s="56">
        <f>IFERROR(IF(($CA183)&gt;0,($EF183)/($CA183),""),"")</f>
        <v/>
      </c>
      <c r="EV183" s="56">
        <f>IFERROR(IF(($CB183)&gt;0,($EG183)/($CB183),""),"")</f>
        <v/>
      </c>
      <c r="EW183" s="76">
        <f>IFERROR(IF(($BZ183)&gt;0,($EH183)/($BZ183),""),"")</f>
        <v/>
      </c>
      <c r="EX183" s="76">
        <f>IFERROR(IF(($CA183)&gt;0,($EI183)/($CA183),""),"")</f>
        <v/>
      </c>
      <c r="EY183" s="76">
        <f>IFERROR(IF(($CB183)&gt;0,($EJ183)/($CB183),""),"")</f>
        <v/>
      </c>
      <c r="EZ183" s="56">
        <f>IFERROR(IF(($BZ183)&gt;0,($EK183)/($BZ183),""),"")</f>
        <v/>
      </c>
      <c r="FA183" s="56">
        <f>IFERROR(IF(($CA183)&gt;0,($EL183)/($CA183),""),"")</f>
        <v/>
      </c>
      <c r="FB183" s="56">
        <f>IFERROR(IF(($CB183)&gt;0,($EM183)/($CB183),""),"")</f>
        <v/>
      </c>
      <c r="FC183" s="55">
        <f>IF(SUMIFS(tblPlant[GIC_oz],tblPlant[Date],$A183)&gt;0,SUMIFS(tblPlant[GIC_oz],tblPlant[Date],$A183),"")</f>
        <v/>
      </c>
      <c r="FD183" s="55">
        <f>SUMIFS(tblGold[Gold_oz],tblGold[Date],$A183,tblGold[Type],"Shipment")</f>
        <v/>
      </c>
      <c r="FE183" s="55">
        <f>IF($B183=$B182,$FE182,0)+$FD183</f>
        <v/>
      </c>
      <c r="FF183" s="55">
        <f>$FF182+$FD183</f>
        <v/>
      </c>
      <c r="FG183" s="55">
        <f>SUMIFS(tblGold[Gold_oz],tblGold[Date],$A183,tblGold[Type],"Sale")</f>
        <v/>
      </c>
      <c r="FH183" s="55">
        <f>IF($B183=$B182,$FH182,0)+$FG183</f>
        <v/>
      </c>
      <c r="FI183" s="55">
        <f>$FI182+$FG183</f>
        <v/>
      </c>
      <c r="FJ183" s="55">
        <f>SUMIFS(tblGold[Dore_kg],tblGold[Date],$A183,tblGold[Type],"Shipment")</f>
        <v/>
      </c>
      <c r="FK183" s="55">
        <f>IF($B183=$B182,$FK182,0)+$FJ183</f>
        <v/>
      </c>
      <c r="FL183" s="55">
        <f>$FL182+$FJ183</f>
        <v/>
      </c>
      <c r="FM183" s="57">
        <f>SUMIFS(tblSafety[Hours_Total],tblSafety[Date],$A183)</f>
        <v/>
      </c>
      <c r="FN183" s="57">
        <f>IF($B183=$B182,$FN182,0)+$FM183</f>
        <v/>
      </c>
      <c r="FO183" s="57">
        <f>$FO182+$FM183</f>
        <v/>
      </c>
      <c r="FP183" s="62">
        <f>SUMIFS(tblSafety[Fatality],tblSafety[Date],$A183)</f>
        <v/>
      </c>
      <c r="FQ183" s="62">
        <f>IF($B183=$B182,$FQ182,0)+$FP183</f>
        <v/>
      </c>
      <c r="FR183" s="62">
        <f>$FR182+$FP183</f>
        <v/>
      </c>
      <c r="FS183" s="62">
        <f>SUMIFS(tblSafety[LTI],tblSafety[Date],$A183)</f>
        <v/>
      </c>
      <c r="FT183" s="62">
        <f>IF($B183=$B182,$FT182,0)+$FS183</f>
        <v/>
      </c>
      <c r="FU183" s="62">
        <f>$FU182+$FS183</f>
        <v/>
      </c>
      <c r="FV183" s="62">
        <f>SUMIFS(tblSafety[RWI],tblSafety[Date],$A183)</f>
        <v/>
      </c>
      <c r="FW183" s="62">
        <f>IF($B183=$B182,$FW182,0)+$FV183</f>
        <v/>
      </c>
      <c r="FX183" s="62">
        <f>$FX182+$FV183</f>
        <v/>
      </c>
      <c r="FY183" s="62">
        <f>SUMIFS(tblSafety[MTI],tblSafety[Date],$A183)</f>
        <v/>
      </c>
      <c r="FZ183" s="62">
        <f>IF($B183=$B182,$FZ182,0)+$FY183</f>
        <v/>
      </c>
      <c r="GA183" s="62">
        <f>$GA182+$FY183</f>
        <v/>
      </c>
      <c r="GB183" s="62">
        <f>SUMIFS(tblSafety[FAI],tblSafety[Date],$A183)</f>
        <v/>
      </c>
      <c r="GC183" s="62">
        <f>IF($B183=$B182,$GC182,0)+$GB183</f>
        <v/>
      </c>
      <c r="GD183" s="62">
        <f>$GD182+$GB183</f>
        <v/>
      </c>
      <c r="GE183" s="62">
        <f>SUMIFS(tblSafety[Recordables],tblSafety[Date],$A183)</f>
        <v/>
      </c>
      <c r="GF183" s="62">
        <f>IF($B183=$B182,$GF182,0)+$GE183</f>
        <v/>
      </c>
      <c r="GG183" s="62">
        <f>$GG182+$GE183</f>
        <v/>
      </c>
      <c r="GH183" s="62">
        <f>SUMIFS(tblSafety[Near_Miss],tblSafety[Date],$A183)</f>
        <v/>
      </c>
      <c r="GI183" s="62">
        <f>IF($B183=$B182,$GI182,0)+$GH183</f>
        <v/>
      </c>
      <c r="GJ183" s="62">
        <f>$GJ182+$GH183</f>
        <v/>
      </c>
      <c r="GK183" s="62">
        <f>SUMIFS(tblSafety[Hazard_Reports],tblSafety[Date],$A183)</f>
        <v/>
      </c>
      <c r="GL183" s="62">
        <f>IF($B183=$B182,$GL182,0)+$GK183</f>
        <v/>
      </c>
      <c r="GM183" s="62">
        <f>$GM182+$GK183</f>
        <v/>
      </c>
      <c r="GN183" s="62">
        <f>SUMIFS(tblSafety[HPI],tblSafety[Date],$A183)</f>
        <v/>
      </c>
      <c r="GO183" s="62">
        <f>IF($B183=$B182,$GO182,0)+$GN183</f>
        <v/>
      </c>
      <c r="GP183" s="62">
        <f>$GP182+$GN183</f>
        <v/>
      </c>
      <c r="GQ183" s="62">
        <f>SUMIFS(tblSafety[Env_Incidents],tblSafety[Date],$A183)</f>
        <v/>
      </c>
      <c r="GR183" s="62">
        <f>IF($B183=$B182,$GR182,0)+$GQ183</f>
        <v/>
      </c>
      <c r="GS183" s="62">
        <f>$GS182+$GQ183</f>
        <v/>
      </c>
      <c r="GT183" s="62">
        <f>SUMIFS(tblSafety[Community_Incidents],tblSafety[Date],$A183)</f>
        <v/>
      </c>
      <c r="GU183" s="62">
        <f>IF($B183=$B182,$GU182,0)+$GT183</f>
        <v/>
      </c>
      <c r="GV183" s="62">
        <f>$GV182+$GT183</f>
        <v/>
      </c>
      <c r="GW183" s="62">
        <f>SUMIFS(tblSafety[Vehicle_Incidents],tblSafety[Date],$A183)</f>
        <v/>
      </c>
      <c r="GX183" s="62">
        <f>IF($B183=$B182,$GX182,0)+$GW183</f>
        <v/>
      </c>
      <c r="GY183" s="62">
        <f>$GY182+$GW183</f>
        <v/>
      </c>
      <c r="GZ183" s="62">
        <f>SUMIFS(tblSafety[Toolbox_Talks],tblSafety[Date],$A183)</f>
        <v/>
      </c>
      <c r="HA183" s="62">
        <f>IF($B183=$B182,$HA182,0)+$GZ183</f>
        <v/>
      </c>
      <c r="HB183" s="62">
        <f>$HB182+$GZ183</f>
        <v/>
      </c>
      <c r="HC183" s="62">
        <f>SUMIFS(tblSafety[Inspections],tblSafety[Date],$A183)</f>
        <v/>
      </c>
      <c r="HD183" s="62">
        <f>IF($B183=$B182,$HD182,0)+$HC183</f>
        <v/>
      </c>
      <c r="HE183" s="62">
        <f>$HE182+$HC183</f>
        <v/>
      </c>
      <c r="HF183" s="56">
        <f>IFERROR((SUMIFS(tblSafety[Recordables],tblSafety[Date],"&gt;="&amp;EDATE($E183,-12),tblSafety[Date],"&lt;="&amp;$A183)+SUMIFS(tblSafetyHistory[Recordables],tblSafetyHistory[Month],"&gt;="&amp;EDATE($E183,-12),tblSafetyHistory[Month],"&lt;"&amp;cfg_YearStart))/(SUMIFS(tblSafety[Hours_Total],tblSafety[Date],"&gt;="&amp;EDATE($E183,-12),tblSafety[Date],"&lt;="&amp;$A183)+SUMIFS(tblSafetyHistory[Hours_Total],tblSafetyHistory[Month],"&gt;="&amp;EDATE($E183,-12),tblSafetyHistory[Month],"&lt;"&amp;cfg_YearStart))*1000000,"")</f>
        <v/>
      </c>
      <c r="HG183" s="56">
        <f>IFERROR((SUMIFS(tblSafety[LTI],tblSafety[Date],"&gt;="&amp;EDATE($E183,-12),tblSafety[Date],"&lt;="&amp;$A183)+SUMIFS(tblSafetyHistory[LTI],tblSafetyHistory[Month],"&gt;="&amp;EDATE($E183,-12),tblSafetyHistory[Month],"&lt;"&amp;cfg_YearStart))/(SUMIFS(tblSafety[Hours_Total],tblSafety[Date],"&gt;="&amp;EDATE($E183,-12),tblSafety[Date],"&lt;="&amp;$A183)+SUMIFS(tblSafetyHistory[Hours_Total],tblSafetyHistory[Month],"&gt;="&amp;EDATE($E183,-12),tblSafetyHistory[Month],"&lt;"&amp;cfg_YearStart))*1000000,"")</f>
        <v/>
      </c>
      <c r="HH183" s="62">
        <f>IF(MAX(N(cfg_PriorLTIDate),_xlfn.MAXIFS(tblSafety[Date],tblSafety[LTI],"&gt;0",tblSafety[Date],"&lt;="&amp;$A183))=0,"",$A183-MAX(N(cfg_PriorLTIDate),_xlfn.MAXIFS(tblSafety[Date],tblSafety[LTI],"&gt;0",tblSafety[Date],"&lt;="&amp;$A183)))</f>
        <v/>
      </c>
      <c r="HI183" s="55">
        <f>SUMIFS(tblBudget[Ore_Mined_t],tblBudget[Month],$E183)</f>
        <v/>
      </c>
      <c r="HJ183" s="55">
        <f>$HI183*$C183/$D183</f>
        <v/>
      </c>
      <c r="HK183" s="55">
        <f>SUMIFS(tblBudget[Ore_Mined_t],tblBudget[Month],"&lt;"&amp;$E183)+$HJ183</f>
        <v/>
      </c>
      <c r="HL183" s="55">
        <f>SUMIFS(tblBudget[Ore_oz],tblBudget[Month],$E183)</f>
        <v/>
      </c>
      <c r="HM183" s="55">
        <f>$HL183*$C183/$D183</f>
        <v/>
      </c>
      <c r="HN183" s="55">
        <f>SUMIFS(tblBudget[Ore_oz],tblBudget[Month],"&lt;"&amp;$E183)+$HM183</f>
        <v/>
      </c>
      <c r="HO183" s="56">
        <f>IFERROR(IF(($HI183)&gt;0,($HL183*cfg_TroyOz)/($HI183),""),"")</f>
        <v/>
      </c>
      <c r="HP183" s="56">
        <f>IFERROR(IF(($HJ183)&gt;0,($HM183*cfg_TroyOz)/($HJ183),""),"")</f>
        <v/>
      </c>
      <c r="HQ183" s="56">
        <f>IFERROR(IF(($HK183)&gt;0,($HN183*cfg_TroyOz)/($HK183),""),"")</f>
        <v/>
      </c>
      <c r="HR183" s="55">
        <f>SUMIFS(tblBudget[Waste_t],tblBudget[Month],$E183)</f>
        <v/>
      </c>
      <c r="HS183" s="55">
        <f>$HR183*$C183/$D183</f>
        <v/>
      </c>
      <c r="HT183" s="55">
        <f>SUMIFS(tblBudget[Waste_t],tblBudget[Month],"&lt;"&amp;$E183)+$HS183</f>
        <v/>
      </c>
      <c r="HU183" s="55">
        <f>SUMIFS(tblBudget[TMM_t],tblBudget[Month],$E183)</f>
        <v/>
      </c>
      <c r="HV183" s="55">
        <f>$HU183*$C183/$D183</f>
        <v/>
      </c>
      <c r="HW183" s="55">
        <f>SUMIFS(tblBudget[TMM_t],tblBudget[Month],"&lt;"&amp;$E183)+$HV183</f>
        <v/>
      </c>
      <c r="HX183" s="56">
        <f>IFERROR(IF(($HI183)&gt;0,($HR183)/($HI183),""),"")</f>
        <v/>
      </c>
      <c r="HY183" s="56">
        <f>IFERROR(IF(($HJ183)&gt;0,($HS183)/($HJ183),""),"")</f>
        <v/>
      </c>
      <c r="HZ183" s="56">
        <f>IFERROR(IF(($HK183)&gt;0,($HT183)/($HK183),""),"")</f>
        <v/>
      </c>
      <c r="IA183" s="55">
        <f>SUMIFS(tblBudget[Drill_m],tblBudget[Month],$E183)</f>
        <v/>
      </c>
      <c r="IB183" s="55">
        <f>$IA183*$C183/$D183</f>
        <v/>
      </c>
      <c r="IC183" s="55">
        <f>SUMIFS(tblBudget[Drill_m],tblBudget[Month],"&lt;"&amp;$E183)+$IB183</f>
        <v/>
      </c>
      <c r="ID183" s="55">
        <f>SUMIFS(tblBudget[Diesel_L],tblBudget[Month],$E183)</f>
        <v/>
      </c>
      <c r="IE183" s="55">
        <f>$ID183*$C183/$D183</f>
        <v/>
      </c>
      <c r="IF183" s="55">
        <f>SUMIFS(tblBudget[Diesel_L],tblBudget[Month],"&lt;"&amp;$E183)+$IE183</f>
        <v/>
      </c>
      <c r="IG183" s="55">
        <f>SUMIFS(tblBudget[Milled_t],tblBudget[Month],$E183)</f>
        <v/>
      </c>
      <c r="IH183" s="55">
        <f>$IG183*$C183/$D183</f>
        <v/>
      </c>
      <c r="II183" s="55">
        <f>SUMIFS(tblBudget[Milled_t],tblBudget[Month],"&lt;"&amp;$E183)+$IH183</f>
        <v/>
      </c>
      <c r="IJ183" s="55">
        <f>SUMIFS(tblBudget[Feed_oz],tblBudget[Month],$E183)</f>
        <v/>
      </c>
      <c r="IK183" s="55">
        <f>$IJ183*$C183/$D183</f>
        <v/>
      </c>
      <c r="IL183" s="55">
        <f>SUMIFS(tblBudget[Feed_oz],tblBudget[Month],"&lt;"&amp;$E183)+$IK183</f>
        <v/>
      </c>
      <c r="IM183" s="55">
        <f>SUMIFS(tblBudget[Recovered_oz],tblBudget[Month],$E183)</f>
        <v/>
      </c>
      <c r="IN183" s="55">
        <f>$IM183*$C183/$D183</f>
        <v/>
      </c>
      <c r="IO183" s="55">
        <f>SUMIFS(tblBudget[Recovered_oz],tblBudget[Month],"&lt;"&amp;$E183)+$IN183</f>
        <v/>
      </c>
      <c r="IP183" s="56">
        <f>IFERROR(IF(($IG183)&gt;0,($IJ183*cfg_TroyOz)/($IG183),""),"")</f>
        <v/>
      </c>
      <c r="IQ183" s="56">
        <f>IFERROR(IF(($IH183)&gt;0,($IK183*cfg_TroyOz)/($IH183),""),"")</f>
        <v/>
      </c>
      <c r="IR183" s="56">
        <f>IFERROR(IF(($II183)&gt;0,($IL183*cfg_TroyOz)/($II183),""),"")</f>
        <v/>
      </c>
      <c r="IS183" s="67">
        <f>IFERROR(IF(($IJ183)&gt;0,($IM183)/($IJ183),""),"")</f>
        <v/>
      </c>
      <c r="IT183" s="67">
        <f>IFERROR(IF(($IK183)&gt;0,($IN183)/($IK183),""),"")</f>
        <v/>
      </c>
      <c r="IU183" s="67">
        <f>IFERROR(IF(($IL183)&gt;0,($IO183)/($IL183),""),"")</f>
        <v/>
      </c>
      <c r="IV183" s="55">
        <f>SUMIFS(tblBudget[Gold_Poured_oz],tblBudget[Month],$E183)</f>
        <v/>
      </c>
      <c r="IW183" s="55">
        <f>$IV183*$C183/$D183</f>
        <v/>
      </c>
      <c r="IX183" s="55">
        <f>SUMIFS(tblBudget[Gold_Poured_oz],tblBudget[Month],"&lt;"&amp;$E183)+$IW183</f>
        <v/>
      </c>
      <c r="IY183" s="57">
        <f>SUMIFS(tblBudget[Hours_Worked],tblBudget[Month],$E183)</f>
        <v/>
      </c>
      <c r="IZ183" s="57">
        <f>$IY183*$C183/$D183</f>
        <v/>
      </c>
      <c r="JA183" s="57">
        <f>SUMIFS(tblBudget[Hours_Worked],tblBudget[Month],"&lt;"&amp;$E183)+$IZ183</f>
        <v/>
      </c>
    </row>
    <row r="184">
      <c r="A184" s="54" t="n">
        <v>46205</v>
      </c>
      <c r="B184">
        <f>MONTH($A184)</f>
        <v/>
      </c>
      <c r="C184">
        <f>DAY($A184)</f>
        <v/>
      </c>
      <c r="D184">
        <f>DAY(EOMONTH($A184,0))</f>
        <v/>
      </c>
      <c r="E184" s="54">
        <f>DATE(YEAR($A184),MONTH($A184),1)</f>
        <v/>
      </c>
      <c r="F184" s="55">
        <f>SUMIFS(tblMovement[Tonnes_t],tblMovement[Date],$A184,tblMovement[Is_Ore],1,tblMovement[Source_Type],"Pit")</f>
        <v/>
      </c>
      <c r="G184" s="55">
        <f>IF($B184=$B183,$G183,0)+$F184</f>
        <v/>
      </c>
      <c r="H184" s="55">
        <f>$H183+$F184</f>
        <v/>
      </c>
      <c r="I184" s="55">
        <f>SUMIFS(tblMovement[Ore_oz],tblMovement[Date],$A184,tblMovement[Source_Type],"Pit")</f>
        <v/>
      </c>
      <c r="J184" s="55">
        <f>IF($B184=$B183,$J183,0)+$I184</f>
        <v/>
      </c>
      <c r="K184" s="55">
        <f>$K183+$I184</f>
        <v/>
      </c>
      <c r="L184" s="56">
        <f>IFERROR(IF(($F184)&gt;0,($I184*cfg_TroyOz)/($F184),""),"")</f>
        <v/>
      </c>
      <c r="M184" s="56">
        <f>IFERROR(IF(($G184)&gt;0,($J184*cfg_TroyOz)/($G184),""),"")</f>
        <v/>
      </c>
      <c r="N184" s="56">
        <f>IFERROR(IF(($H184)&gt;0,($K184*cfg_TroyOz)/($H184),""),"")</f>
        <v/>
      </c>
      <c r="O184" s="55">
        <f>SUMIFS(tblMovement[Tonnes_t],tblMovement[Date],$A184,tblMovement[Is_Ore],0,tblMovement[Source_Type],"Pit")</f>
        <v/>
      </c>
      <c r="P184" s="55">
        <f>IF($B184=$B183,$P183,0)+$O184</f>
        <v/>
      </c>
      <c r="Q184" s="55">
        <f>$Q183+$O184</f>
        <v/>
      </c>
      <c r="R184" s="55">
        <f>$F184+$O184</f>
        <v/>
      </c>
      <c r="S184" s="55">
        <f>IF($B184=$B183,$S183,0)+$R184</f>
        <v/>
      </c>
      <c r="T184" s="55">
        <f>$T183+$R184</f>
        <v/>
      </c>
      <c r="U184" s="56">
        <f>IFERROR(IF(($F184)&gt;0,($O184)/($F184),""),"")</f>
        <v/>
      </c>
      <c r="V184" s="56">
        <f>IFERROR(IF(($G184)&gt;0,($P184)/($G184),""),"")</f>
        <v/>
      </c>
      <c r="W184" s="56">
        <f>IFERROR(IF(($H184)&gt;0,($Q184)/($H184),""),"")</f>
        <v/>
      </c>
      <c r="X184" s="55">
        <f>SUMIFS(tblMovement[Tonnes_t],tblMovement[Date],$A184,tblMovement[Source_Type],"Stockpile")</f>
        <v/>
      </c>
      <c r="Y184" s="55">
        <f>IF($B184=$B183,$Y183,0)+$X184</f>
        <v/>
      </c>
      <c r="Z184" s="55">
        <f>$Z183+$X184</f>
        <v/>
      </c>
      <c r="AA184" s="55">
        <f>SUMIFS(tblMiningDaily[Drill_m],tblMiningDaily[Date],$A184)</f>
        <v/>
      </c>
      <c r="AB184" s="55">
        <f>IF($B184=$B183,$AB183,0)+$AA184</f>
        <v/>
      </c>
      <c r="AC184" s="55">
        <f>$AC183+$AA184</f>
        <v/>
      </c>
      <c r="AD184" s="55">
        <f>SUMIFS(tblMiningDaily[Blast_t],tblMiningDaily[Date],$A184)</f>
        <v/>
      </c>
      <c r="AE184" s="55">
        <f>IF($B184=$B183,$AE183,0)+$AD184</f>
        <v/>
      </c>
      <c r="AF184" s="55">
        <f>$AF183+$AD184</f>
        <v/>
      </c>
      <c r="AG184" s="55">
        <f>SUMIFS(tblMiningDaily[Explosives_kg],tblMiningDaily[Date],$A184)</f>
        <v/>
      </c>
      <c r="AH184" s="55">
        <f>IF($B184=$B183,$AH183,0)+$AG184</f>
        <v/>
      </c>
      <c r="AI184" s="55">
        <f>$AI183+$AG184</f>
        <v/>
      </c>
      <c r="AJ184" s="56">
        <f>IFERROR(IF(($AD184)&gt;0,($AG184)/($AD184),""),"")</f>
        <v/>
      </c>
      <c r="AK184" s="56">
        <f>IFERROR(IF(($AE184)&gt;0,($AH184)/($AE184),""),"")</f>
        <v/>
      </c>
      <c r="AL184" s="56">
        <f>IFERROR(IF(($AF184)&gt;0,($AI184)/($AF184),""),"")</f>
        <v/>
      </c>
      <c r="AM184" s="55">
        <f>SUMIFS(tblMiningDaily[Diesel_L],tblMiningDaily[Date],$A184)</f>
        <v/>
      </c>
      <c r="AN184" s="55">
        <f>IF($B184=$B183,$AN183,0)+$AM184</f>
        <v/>
      </c>
      <c r="AO184" s="55">
        <f>$AO183+$AM184</f>
        <v/>
      </c>
      <c r="AP184" s="55">
        <f>SUMIFS(tblMiningDaily[Dewatering_m3],tblMiningDaily[Date],$A184)</f>
        <v/>
      </c>
      <c r="AQ184" s="55">
        <f>IF($B184=$B183,$AQ183,0)+$AP184</f>
        <v/>
      </c>
      <c r="AR184" s="55">
        <f>$AR183+$AP184</f>
        <v/>
      </c>
      <c r="AS184" s="57">
        <f>SUMIFS(tblFleet[Calendar_h],tblFleet[Date],$A184,tblFleet[Equipment_Class],"Excavator")</f>
        <v/>
      </c>
      <c r="AT184" s="57">
        <f>IF($B184=$B183,$AT183,0)+$AS184</f>
        <v/>
      </c>
      <c r="AU184" s="57">
        <f>$AU183+$AS184</f>
        <v/>
      </c>
      <c r="AV184" s="57">
        <f>SUMIFS(tblFleet[Available_h],tblFleet[Date],$A184,tblFleet[Equipment_Class],"Excavator")</f>
        <v/>
      </c>
      <c r="AW184" s="57">
        <f>IF($B184=$B183,$AW183,0)+$AV184</f>
        <v/>
      </c>
      <c r="AX184" s="57">
        <f>$AX183+$AV184</f>
        <v/>
      </c>
      <c r="AY184" s="57">
        <f>SUMIFS(tblFleet[Operating_h],tblFleet[Date],$A184,tblFleet[Equipment_Class],"Excavator")</f>
        <v/>
      </c>
      <c r="AZ184" s="57">
        <f>IF($B184=$B183,$AZ183,0)+$AY184</f>
        <v/>
      </c>
      <c r="BA184" s="57">
        <f>$BA183+$AY184</f>
        <v/>
      </c>
      <c r="BB184" s="67">
        <f>IFERROR(IF(($AS184)&gt;0,($AV184)/($AS184),""),"")</f>
        <v/>
      </c>
      <c r="BC184" s="67">
        <f>IFERROR(IF(($AT184)&gt;0,($AW184)/($AT184),""),"")</f>
        <v/>
      </c>
      <c r="BD184" s="67">
        <f>IFERROR(IF(($AU184)&gt;0,($AX184)/($AU184),""),"")</f>
        <v/>
      </c>
      <c r="BE184" s="67">
        <f>IFERROR(IF(($AV184)&gt;0,($AY184)/($AV184),""),"")</f>
        <v/>
      </c>
      <c r="BF184" s="67">
        <f>IFERROR(IF(($AW184)&gt;0,($AZ184)/($AW184),""),"")</f>
        <v/>
      </c>
      <c r="BG184" s="67">
        <f>IFERROR(IF(($AX184)&gt;0,($BA184)/($AX184),""),"")</f>
        <v/>
      </c>
      <c r="BH184" s="57">
        <f>SUMIFS(tblFleet[Calendar_h],tblFleet[Date],$A184,tblFleet[Equipment_Class],"Haul Truck")</f>
        <v/>
      </c>
      <c r="BI184" s="57">
        <f>IF($B184=$B183,$BI183,0)+$BH184</f>
        <v/>
      </c>
      <c r="BJ184" s="57">
        <f>$BJ183+$BH184</f>
        <v/>
      </c>
      <c r="BK184" s="57">
        <f>SUMIFS(tblFleet[Available_h],tblFleet[Date],$A184,tblFleet[Equipment_Class],"Haul Truck")</f>
        <v/>
      </c>
      <c r="BL184" s="57">
        <f>IF($B184=$B183,$BL183,0)+$BK184</f>
        <v/>
      </c>
      <c r="BM184" s="57">
        <f>$BM183+$BK184</f>
        <v/>
      </c>
      <c r="BN184" s="57">
        <f>SUMIFS(tblFleet[Operating_h],tblFleet[Date],$A184,tblFleet[Equipment_Class],"Haul Truck")</f>
        <v/>
      </c>
      <c r="BO184" s="57">
        <f>IF($B184=$B183,$BO183,0)+$BN184</f>
        <v/>
      </c>
      <c r="BP184" s="57">
        <f>$BP183+$BN184</f>
        <v/>
      </c>
      <c r="BQ184" s="67">
        <f>IFERROR(IF(($BH184)&gt;0,($BK184)/($BH184),""),"")</f>
        <v/>
      </c>
      <c r="BR184" s="67">
        <f>IFERROR(IF(($BI184)&gt;0,($BL184)/($BI184),""),"")</f>
        <v/>
      </c>
      <c r="BS184" s="67">
        <f>IFERROR(IF(($BJ184)&gt;0,($BM184)/($BJ184),""),"")</f>
        <v/>
      </c>
      <c r="BT184" s="67">
        <f>IFERROR(IF(($BK184)&gt;0,($BN184)/($BK184),""),"")</f>
        <v/>
      </c>
      <c r="BU184" s="67">
        <f>IFERROR(IF(($BL184)&gt;0,($BO184)/($BL184),""),"")</f>
        <v/>
      </c>
      <c r="BV184" s="67">
        <f>IFERROR(IF(($BM184)&gt;0,($BP184)/($BM184),""),"")</f>
        <v/>
      </c>
      <c r="BW184" s="55">
        <f>SUMIFS(tblPlant[Crushed_t],tblPlant[Date],$A184)</f>
        <v/>
      </c>
      <c r="BX184" s="55">
        <f>IF($B184=$B183,$BX183,0)+$BW184</f>
        <v/>
      </c>
      <c r="BY184" s="55">
        <f>$BY183+$BW184</f>
        <v/>
      </c>
      <c r="BZ184" s="55">
        <f>SUMIFS(tblPlant[Milled_t],tblPlant[Date],$A184)</f>
        <v/>
      </c>
      <c r="CA184" s="55">
        <f>IF($B184=$B183,$CA183,0)+$BZ184</f>
        <v/>
      </c>
      <c r="CB184" s="55">
        <f>$CB183+$BZ184</f>
        <v/>
      </c>
      <c r="CC184" s="55">
        <f>SUMIFS(tblPlant[Feed_oz],tblPlant[Date],$A184)</f>
        <v/>
      </c>
      <c r="CD184" s="55">
        <f>IF($B184=$B183,$CD183,0)+$CC184</f>
        <v/>
      </c>
      <c r="CE184" s="55">
        <f>$CE183+$CC184</f>
        <v/>
      </c>
      <c r="CF184" s="55">
        <f>SUMIFS(tblPlant[Tails_oz],tblPlant[Date],$A184)</f>
        <v/>
      </c>
      <c r="CG184" s="55">
        <f>IF($B184=$B183,$CG183,0)+$CF184</f>
        <v/>
      </c>
      <c r="CH184" s="55">
        <f>$CH183+$CF184</f>
        <v/>
      </c>
      <c r="CI184" s="55">
        <f>SUMIFS(tblPlant[Recovered_oz],tblPlant[Date],$A184)</f>
        <v/>
      </c>
      <c r="CJ184" s="55">
        <f>IF($B184=$B183,$CJ183,0)+$CI184</f>
        <v/>
      </c>
      <c r="CK184" s="55">
        <f>$CK183+$CI184</f>
        <v/>
      </c>
      <c r="CL184" s="56">
        <f>IFERROR(IF(($BZ184)&gt;0,($CC184*cfg_TroyOz)/($BZ184),""),"")</f>
        <v/>
      </c>
      <c r="CM184" s="56">
        <f>IFERROR(IF(($CA184)&gt;0,($CD184*cfg_TroyOz)/($CA184),""),"")</f>
        <v/>
      </c>
      <c r="CN184" s="56">
        <f>IFERROR(IF(($CB184)&gt;0,($CE184*cfg_TroyOz)/($CB184),""),"")</f>
        <v/>
      </c>
      <c r="CO184" s="56">
        <f>IFERROR(IF(($BZ184)&gt;0,($CF184*cfg_TroyOz)/($BZ184),""),"")</f>
        <v/>
      </c>
      <c r="CP184" s="56">
        <f>IFERROR(IF(($CA184)&gt;0,($CG184*cfg_TroyOz)/($CA184),""),"")</f>
        <v/>
      </c>
      <c r="CQ184" s="56">
        <f>IFERROR(IF(($CB184)&gt;0,($CH184*cfg_TroyOz)/($CB184),""),"")</f>
        <v/>
      </c>
      <c r="CR184" s="67">
        <f>IFERROR(IF(($CC184)&gt;0,($CI184)/($CC184),""),"")</f>
        <v/>
      </c>
      <c r="CS184" s="67">
        <f>IFERROR(IF(($CD184)&gt;0,($CJ184)/($CD184),""),"")</f>
        <v/>
      </c>
      <c r="CT184" s="67">
        <f>IFERROR(IF(($CE184)&gt;0,($CK184)/($CE184),""),"")</f>
        <v/>
      </c>
      <c r="CU184" s="55">
        <f>SUMIFS(tblPlant[Gravity_Gold_oz],tblPlant[Date],$A184)</f>
        <v/>
      </c>
      <c r="CV184" s="55">
        <f>IF($B184=$B183,$CV183,0)+$CU184</f>
        <v/>
      </c>
      <c r="CW184" s="55">
        <f>$CW183+$CU184</f>
        <v/>
      </c>
      <c r="CX184" s="55">
        <f>SUMIFS(tblPlant[Gold_Poured_oz],tblPlant[Date],$A184)</f>
        <v/>
      </c>
      <c r="CY184" s="55">
        <f>IF($B184=$B183,$CY183,0)+$CX184</f>
        <v/>
      </c>
      <c r="CZ184" s="55">
        <f>$CZ183+$CX184</f>
        <v/>
      </c>
      <c r="DA184" s="57">
        <f>SUMIFS(tblPlant[Mill_Run_h],tblPlant[Date],$A184)</f>
        <v/>
      </c>
      <c r="DB184" s="57">
        <f>IF($B184=$B183,$DB183,0)+$DA184</f>
        <v/>
      </c>
      <c r="DC184" s="57">
        <f>$DC183+$DA184</f>
        <v/>
      </c>
      <c r="DD184" s="57">
        <f>SUMIFS(tblPlant[Mill_Planned_Maint_h],tblPlant[Date],$A184)</f>
        <v/>
      </c>
      <c r="DE184" s="57">
        <f>IF($B184=$B183,$DE183,0)+$DD184</f>
        <v/>
      </c>
      <c r="DF184" s="57">
        <f>$DF183+$DD184</f>
        <v/>
      </c>
      <c r="DG184" s="57">
        <f>SUMIFS(tblPlant[Mill_Unplanned_Down_h],tblPlant[Date],$A184)</f>
        <v/>
      </c>
      <c r="DH184" s="57">
        <f>IF($B184=$B183,$DH183,0)+$DG184</f>
        <v/>
      </c>
      <c r="DI184" s="57">
        <f>$DI183+$DG184</f>
        <v/>
      </c>
      <c r="DJ184" s="57">
        <f>COUNTIFS(tblPlant[Date],$A184,tblPlant[Mill_Run_h],"&lt;&gt;")*24</f>
        <v/>
      </c>
      <c r="DK184" s="57">
        <f>IF($B184=$B183,$DK183,0)+$DJ184</f>
        <v/>
      </c>
      <c r="DL184" s="57">
        <f>$DL183+$DJ184</f>
        <v/>
      </c>
      <c r="DM184" s="57">
        <f>SUMIFS(tblPlant[Crusher_Run_h],tblPlant[Date],$A184)</f>
        <v/>
      </c>
      <c r="DN184" s="57">
        <f>IF($B184=$B183,$DN183,0)+$DM184</f>
        <v/>
      </c>
      <c r="DO184" s="57">
        <f>$DO183+$DM184</f>
        <v/>
      </c>
      <c r="DP184" s="55">
        <f>IFERROR(IF(($DA184)&gt;0,($BZ184)/($DA184),""),"")</f>
        <v/>
      </c>
      <c r="DQ184" s="55">
        <f>IFERROR(IF(($DB184)&gt;0,($CA184)/($DB184),""),"")</f>
        <v/>
      </c>
      <c r="DR184" s="55">
        <f>IFERROR(IF(($DC184)&gt;0,($CB184)/($DC184),""),"")</f>
        <v/>
      </c>
      <c r="DS184" s="67">
        <f>IFERROR(IF(($DJ184)&gt;0,($DJ184-$DD184-$DG184)/($DJ184),""),"")</f>
        <v/>
      </c>
      <c r="DT184" s="67">
        <f>IFERROR(IF(($DK184)&gt;0,($DK184-$DE184-$DH184)/($DK184),""),"")</f>
        <v/>
      </c>
      <c r="DU184" s="67">
        <f>IFERROR(IF(($DL184)&gt;0,($DL184-$DF184-$DI184)/($DL184),""),"")</f>
        <v/>
      </c>
      <c r="DV184" s="67">
        <f>IFERROR(IF(($DJ184-$DD184-$DG184)&gt;0,($DA184)/($DJ184-$DD184-$DG184),""),"")</f>
        <v/>
      </c>
      <c r="DW184" s="67">
        <f>IFERROR(IF(($DK184-$DE184-$DH184)&gt;0,($DB184)/($DK184-$DE184-$DH184),""),"")</f>
        <v/>
      </c>
      <c r="DX184" s="67">
        <f>IFERROR(IF(($DL184-$DF184-$DI184)&gt;0,($DC184)/($DL184-$DF184-$DI184),""),"")</f>
        <v/>
      </c>
      <c r="DY184" s="55">
        <f>SUMIFS(tblPlant[Cyanide_kg],tblPlant[Date],$A184)</f>
        <v/>
      </c>
      <c r="DZ184" s="55">
        <f>IF($B184=$B183,$DZ183,0)+$DY184</f>
        <v/>
      </c>
      <c r="EA184" s="55">
        <f>$EA183+$DY184</f>
        <v/>
      </c>
      <c r="EB184" s="55">
        <f>SUMIFS(tblPlant[Lime_kg],tblPlant[Date],$A184)</f>
        <v/>
      </c>
      <c r="EC184" s="55">
        <f>IF($B184=$B183,$EC183,0)+$EB184</f>
        <v/>
      </c>
      <c r="ED184" s="55">
        <f>$ED183+$EB184</f>
        <v/>
      </c>
      <c r="EE184" s="55">
        <f>SUMIFS(tblPlant[Grinding_Media_kg],tblPlant[Date],$A184)</f>
        <v/>
      </c>
      <c r="EF184" s="55">
        <f>IF($B184=$B183,$EF183,0)+$EE184</f>
        <v/>
      </c>
      <c r="EG184" s="55">
        <f>$EG183+$EE184</f>
        <v/>
      </c>
      <c r="EH184" s="55">
        <f>SUMIFS(tblPlant[Power_kWh],tblPlant[Date],$A184)</f>
        <v/>
      </c>
      <c r="EI184" s="55">
        <f>IF($B184=$B183,$EI183,0)+$EH184</f>
        <v/>
      </c>
      <c r="EJ184" s="55">
        <f>$EJ183+$EH184</f>
        <v/>
      </c>
      <c r="EK184" s="55">
        <f>SUMIFS(tblPlant[Raw_Water_m3],tblPlant[Date],$A184)</f>
        <v/>
      </c>
      <c r="EL184" s="55">
        <f>IF($B184=$B183,$EL183,0)+$EK184</f>
        <v/>
      </c>
      <c r="EM184" s="55">
        <f>$EM183+$EK184</f>
        <v/>
      </c>
      <c r="EN184" s="56">
        <f>IFERROR(IF(($BZ184)&gt;0,($DY184)/($BZ184),""),"")</f>
        <v/>
      </c>
      <c r="EO184" s="56">
        <f>IFERROR(IF(($CA184)&gt;0,($DZ184)/($CA184),""),"")</f>
        <v/>
      </c>
      <c r="EP184" s="56">
        <f>IFERROR(IF(($CB184)&gt;0,($EA184)/($CB184),""),"")</f>
        <v/>
      </c>
      <c r="EQ184" s="56">
        <f>IFERROR(IF(($BZ184)&gt;0,($EB184)/($BZ184),""),"")</f>
        <v/>
      </c>
      <c r="ER184" s="56">
        <f>IFERROR(IF(($CA184)&gt;0,($EC184)/($CA184),""),"")</f>
        <v/>
      </c>
      <c r="ES184" s="56">
        <f>IFERROR(IF(($CB184)&gt;0,($ED184)/($CB184),""),"")</f>
        <v/>
      </c>
      <c r="ET184" s="56">
        <f>IFERROR(IF(($BZ184)&gt;0,($EE184)/($BZ184),""),"")</f>
        <v/>
      </c>
      <c r="EU184" s="56">
        <f>IFERROR(IF(($CA184)&gt;0,($EF184)/($CA184),""),"")</f>
        <v/>
      </c>
      <c r="EV184" s="56">
        <f>IFERROR(IF(($CB184)&gt;0,($EG184)/($CB184),""),"")</f>
        <v/>
      </c>
      <c r="EW184" s="76">
        <f>IFERROR(IF(($BZ184)&gt;0,($EH184)/($BZ184),""),"")</f>
        <v/>
      </c>
      <c r="EX184" s="76">
        <f>IFERROR(IF(($CA184)&gt;0,($EI184)/($CA184),""),"")</f>
        <v/>
      </c>
      <c r="EY184" s="76">
        <f>IFERROR(IF(($CB184)&gt;0,($EJ184)/($CB184),""),"")</f>
        <v/>
      </c>
      <c r="EZ184" s="56">
        <f>IFERROR(IF(($BZ184)&gt;0,($EK184)/($BZ184),""),"")</f>
        <v/>
      </c>
      <c r="FA184" s="56">
        <f>IFERROR(IF(($CA184)&gt;0,($EL184)/($CA184),""),"")</f>
        <v/>
      </c>
      <c r="FB184" s="56">
        <f>IFERROR(IF(($CB184)&gt;0,($EM184)/($CB184),""),"")</f>
        <v/>
      </c>
      <c r="FC184" s="55">
        <f>IF(SUMIFS(tblPlant[GIC_oz],tblPlant[Date],$A184)&gt;0,SUMIFS(tblPlant[GIC_oz],tblPlant[Date],$A184),"")</f>
        <v/>
      </c>
      <c r="FD184" s="55">
        <f>SUMIFS(tblGold[Gold_oz],tblGold[Date],$A184,tblGold[Type],"Shipment")</f>
        <v/>
      </c>
      <c r="FE184" s="55">
        <f>IF($B184=$B183,$FE183,0)+$FD184</f>
        <v/>
      </c>
      <c r="FF184" s="55">
        <f>$FF183+$FD184</f>
        <v/>
      </c>
      <c r="FG184" s="55">
        <f>SUMIFS(tblGold[Gold_oz],tblGold[Date],$A184,tblGold[Type],"Sale")</f>
        <v/>
      </c>
      <c r="FH184" s="55">
        <f>IF($B184=$B183,$FH183,0)+$FG184</f>
        <v/>
      </c>
      <c r="FI184" s="55">
        <f>$FI183+$FG184</f>
        <v/>
      </c>
      <c r="FJ184" s="55">
        <f>SUMIFS(tblGold[Dore_kg],tblGold[Date],$A184,tblGold[Type],"Shipment")</f>
        <v/>
      </c>
      <c r="FK184" s="55">
        <f>IF($B184=$B183,$FK183,0)+$FJ184</f>
        <v/>
      </c>
      <c r="FL184" s="55">
        <f>$FL183+$FJ184</f>
        <v/>
      </c>
      <c r="FM184" s="57">
        <f>SUMIFS(tblSafety[Hours_Total],tblSafety[Date],$A184)</f>
        <v/>
      </c>
      <c r="FN184" s="57">
        <f>IF($B184=$B183,$FN183,0)+$FM184</f>
        <v/>
      </c>
      <c r="FO184" s="57">
        <f>$FO183+$FM184</f>
        <v/>
      </c>
      <c r="FP184" s="62">
        <f>SUMIFS(tblSafety[Fatality],tblSafety[Date],$A184)</f>
        <v/>
      </c>
      <c r="FQ184" s="62">
        <f>IF($B184=$B183,$FQ183,0)+$FP184</f>
        <v/>
      </c>
      <c r="FR184" s="62">
        <f>$FR183+$FP184</f>
        <v/>
      </c>
      <c r="FS184" s="62">
        <f>SUMIFS(tblSafety[LTI],tblSafety[Date],$A184)</f>
        <v/>
      </c>
      <c r="FT184" s="62">
        <f>IF($B184=$B183,$FT183,0)+$FS184</f>
        <v/>
      </c>
      <c r="FU184" s="62">
        <f>$FU183+$FS184</f>
        <v/>
      </c>
      <c r="FV184" s="62">
        <f>SUMIFS(tblSafety[RWI],tblSafety[Date],$A184)</f>
        <v/>
      </c>
      <c r="FW184" s="62">
        <f>IF($B184=$B183,$FW183,0)+$FV184</f>
        <v/>
      </c>
      <c r="FX184" s="62">
        <f>$FX183+$FV184</f>
        <v/>
      </c>
      <c r="FY184" s="62">
        <f>SUMIFS(tblSafety[MTI],tblSafety[Date],$A184)</f>
        <v/>
      </c>
      <c r="FZ184" s="62">
        <f>IF($B184=$B183,$FZ183,0)+$FY184</f>
        <v/>
      </c>
      <c r="GA184" s="62">
        <f>$GA183+$FY184</f>
        <v/>
      </c>
      <c r="GB184" s="62">
        <f>SUMIFS(tblSafety[FAI],tblSafety[Date],$A184)</f>
        <v/>
      </c>
      <c r="GC184" s="62">
        <f>IF($B184=$B183,$GC183,0)+$GB184</f>
        <v/>
      </c>
      <c r="GD184" s="62">
        <f>$GD183+$GB184</f>
        <v/>
      </c>
      <c r="GE184" s="62">
        <f>SUMIFS(tblSafety[Recordables],tblSafety[Date],$A184)</f>
        <v/>
      </c>
      <c r="GF184" s="62">
        <f>IF($B184=$B183,$GF183,0)+$GE184</f>
        <v/>
      </c>
      <c r="GG184" s="62">
        <f>$GG183+$GE184</f>
        <v/>
      </c>
      <c r="GH184" s="62">
        <f>SUMIFS(tblSafety[Near_Miss],tblSafety[Date],$A184)</f>
        <v/>
      </c>
      <c r="GI184" s="62">
        <f>IF($B184=$B183,$GI183,0)+$GH184</f>
        <v/>
      </c>
      <c r="GJ184" s="62">
        <f>$GJ183+$GH184</f>
        <v/>
      </c>
      <c r="GK184" s="62">
        <f>SUMIFS(tblSafety[Hazard_Reports],tblSafety[Date],$A184)</f>
        <v/>
      </c>
      <c r="GL184" s="62">
        <f>IF($B184=$B183,$GL183,0)+$GK184</f>
        <v/>
      </c>
      <c r="GM184" s="62">
        <f>$GM183+$GK184</f>
        <v/>
      </c>
      <c r="GN184" s="62">
        <f>SUMIFS(tblSafety[HPI],tblSafety[Date],$A184)</f>
        <v/>
      </c>
      <c r="GO184" s="62">
        <f>IF($B184=$B183,$GO183,0)+$GN184</f>
        <v/>
      </c>
      <c r="GP184" s="62">
        <f>$GP183+$GN184</f>
        <v/>
      </c>
      <c r="GQ184" s="62">
        <f>SUMIFS(tblSafety[Env_Incidents],tblSafety[Date],$A184)</f>
        <v/>
      </c>
      <c r="GR184" s="62">
        <f>IF($B184=$B183,$GR183,0)+$GQ184</f>
        <v/>
      </c>
      <c r="GS184" s="62">
        <f>$GS183+$GQ184</f>
        <v/>
      </c>
      <c r="GT184" s="62">
        <f>SUMIFS(tblSafety[Community_Incidents],tblSafety[Date],$A184)</f>
        <v/>
      </c>
      <c r="GU184" s="62">
        <f>IF($B184=$B183,$GU183,0)+$GT184</f>
        <v/>
      </c>
      <c r="GV184" s="62">
        <f>$GV183+$GT184</f>
        <v/>
      </c>
      <c r="GW184" s="62">
        <f>SUMIFS(tblSafety[Vehicle_Incidents],tblSafety[Date],$A184)</f>
        <v/>
      </c>
      <c r="GX184" s="62">
        <f>IF($B184=$B183,$GX183,0)+$GW184</f>
        <v/>
      </c>
      <c r="GY184" s="62">
        <f>$GY183+$GW184</f>
        <v/>
      </c>
      <c r="GZ184" s="62">
        <f>SUMIFS(tblSafety[Toolbox_Talks],tblSafety[Date],$A184)</f>
        <v/>
      </c>
      <c r="HA184" s="62">
        <f>IF($B184=$B183,$HA183,0)+$GZ184</f>
        <v/>
      </c>
      <c r="HB184" s="62">
        <f>$HB183+$GZ184</f>
        <v/>
      </c>
      <c r="HC184" s="62">
        <f>SUMIFS(tblSafety[Inspections],tblSafety[Date],$A184)</f>
        <v/>
      </c>
      <c r="HD184" s="62">
        <f>IF($B184=$B183,$HD183,0)+$HC184</f>
        <v/>
      </c>
      <c r="HE184" s="62">
        <f>$HE183+$HC184</f>
        <v/>
      </c>
      <c r="HF184" s="56">
        <f>IFERROR((SUMIFS(tblSafety[Recordables],tblSafety[Date],"&gt;="&amp;EDATE($E184,-12),tblSafety[Date],"&lt;="&amp;$A184)+SUMIFS(tblSafetyHistory[Recordables],tblSafetyHistory[Month],"&gt;="&amp;EDATE($E184,-12),tblSafetyHistory[Month],"&lt;"&amp;cfg_YearStart))/(SUMIFS(tblSafety[Hours_Total],tblSafety[Date],"&gt;="&amp;EDATE($E184,-12),tblSafety[Date],"&lt;="&amp;$A184)+SUMIFS(tblSafetyHistory[Hours_Total],tblSafetyHistory[Month],"&gt;="&amp;EDATE($E184,-12),tblSafetyHistory[Month],"&lt;"&amp;cfg_YearStart))*1000000,"")</f>
        <v/>
      </c>
      <c r="HG184" s="56">
        <f>IFERROR((SUMIFS(tblSafety[LTI],tblSafety[Date],"&gt;="&amp;EDATE($E184,-12),tblSafety[Date],"&lt;="&amp;$A184)+SUMIFS(tblSafetyHistory[LTI],tblSafetyHistory[Month],"&gt;="&amp;EDATE($E184,-12),tblSafetyHistory[Month],"&lt;"&amp;cfg_YearStart))/(SUMIFS(tblSafety[Hours_Total],tblSafety[Date],"&gt;="&amp;EDATE($E184,-12),tblSafety[Date],"&lt;="&amp;$A184)+SUMIFS(tblSafetyHistory[Hours_Total],tblSafetyHistory[Month],"&gt;="&amp;EDATE($E184,-12),tblSafetyHistory[Month],"&lt;"&amp;cfg_YearStart))*1000000,"")</f>
        <v/>
      </c>
      <c r="HH184" s="62">
        <f>IF(MAX(N(cfg_PriorLTIDate),_xlfn.MAXIFS(tblSafety[Date],tblSafety[LTI],"&gt;0",tblSafety[Date],"&lt;="&amp;$A184))=0,"",$A184-MAX(N(cfg_PriorLTIDate),_xlfn.MAXIFS(tblSafety[Date],tblSafety[LTI],"&gt;0",tblSafety[Date],"&lt;="&amp;$A184)))</f>
        <v/>
      </c>
      <c r="HI184" s="55">
        <f>SUMIFS(tblBudget[Ore_Mined_t],tblBudget[Month],$E184)</f>
        <v/>
      </c>
      <c r="HJ184" s="55">
        <f>$HI184*$C184/$D184</f>
        <v/>
      </c>
      <c r="HK184" s="55">
        <f>SUMIFS(tblBudget[Ore_Mined_t],tblBudget[Month],"&lt;"&amp;$E184)+$HJ184</f>
        <v/>
      </c>
      <c r="HL184" s="55">
        <f>SUMIFS(tblBudget[Ore_oz],tblBudget[Month],$E184)</f>
        <v/>
      </c>
      <c r="HM184" s="55">
        <f>$HL184*$C184/$D184</f>
        <v/>
      </c>
      <c r="HN184" s="55">
        <f>SUMIFS(tblBudget[Ore_oz],tblBudget[Month],"&lt;"&amp;$E184)+$HM184</f>
        <v/>
      </c>
      <c r="HO184" s="56">
        <f>IFERROR(IF(($HI184)&gt;0,($HL184*cfg_TroyOz)/($HI184),""),"")</f>
        <v/>
      </c>
      <c r="HP184" s="56">
        <f>IFERROR(IF(($HJ184)&gt;0,($HM184*cfg_TroyOz)/($HJ184),""),"")</f>
        <v/>
      </c>
      <c r="HQ184" s="56">
        <f>IFERROR(IF(($HK184)&gt;0,($HN184*cfg_TroyOz)/($HK184),""),"")</f>
        <v/>
      </c>
      <c r="HR184" s="55">
        <f>SUMIFS(tblBudget[Waste_t],tblBudget[Month],$E184)</f>
        <v/>
      </c>
      <c r="HS184" s="55">
        <f>$HR184*$C184/$D184</f>
        <v/>
      </c>
      <c r="HT184" s="55">
        <f>SUMIFS(tblBudget[Waste_t],tblBudget[Month],"&lt;"&amp;$E184)+$HS184</f>
        <v/>
      </c>
      <c r="HU184" s="55">
        <f>SUMIFS(tblBudget[TMM_t],tblBudget[Month],$E184)</f>
        <v/>
      </c>
      <c r="HV184" s="55">
        <f>$HU184*$C184/$D184</f>
        <v/>
      </c>
      <c r="HW184" s="55">
        <f>SUMIFS(tblBudget[TMM_t],tblBudget[Month],"&lt;"&amp;$E184)+$HV184</f>
        <v/>
      </c>
      <c r="HX184" s="56">
        <f>IFERROR(IF(($HI184)&gt;0,($HR184)/($HI184),""),"")</f>
        <v/>
      </c>
      <c r="HY184" s="56">
        <f>IFERROR(IF(($HJ184)&gt;0,($HS184)/($HJ184),""),"")</f>
        <v/>
      </c>
      <c r="HZ184" s="56">
        <f>IFERROR(IF(($HK184)&gt;0,($HT184)/($HK184),""),"")</f>
        <v/>
      </c>
      <c r="IA184" s="55">
        <f>SUMIFS(tblBudget[Drill_m],tblBudget[Month],$E184)</f>
        <v/>
      </c>
      <c r="IB184" s="55">
        <f>$IA184*$C184/$D184</f>
        <v/>
      </c>
      <c r="IC184" s="55">
        <f>SUMIFS(tblBudget[Drill_m],tblBudget[Month],"&lt;"&amp;$E184)+$IB184</f>
        <v/>
      </c>
      <c r="ID184" s="55">
        <f>SUMIFS(tblBudget[Diesel_L],tblBudget[Month],$E184)</f>
        <v/>
      </c>
      <c r="IE184" s="55">
        <f>$ID184*$C184/$D184</f>
        <v/>
      </c>
      <c r="IF184" s="55">
        <f>SUMIFS(tblBudget[Diesel_L],tblBudget[Month],"&lt;"&amp;$E184)+$IE184</f>
        <v/>
      </c>
      <c r="IG184" s="55">
        <f>SUMIFS(tblBudget[Milled_t],tblBudget[Month],$E184)</f>
        <v/>
      </c>
      <c r="IH184" s="55">
        <f>$IG184*$C184/$D184</f>
        <v/>
      </c>
      <c r="II184" s="55">
        <f>SUMIFS(tblBudget[Milled_t],tblBudget[Month],"&lt;"&amp;$E184)+$IH184</f>
        <v/>
      </c>
      <c r="IJ184" s="55">
        <f>SUMIFS(tblBudget[Feed_oz],tblBudget[Month],$E184)</f>
        <v/>
      </c>
      <c r="IK184" s="55">
        <f>$IJ184*$C184/$D184</f>
        <v/>
      </c>
      <c r="IL184" s="55">
        <f>SUMIFS(tblBudget[Feed_oz],tblBudget[Month],"&lt;"&amp;$E184)+$IK184</f>
        <v/>
      </c>
      <c r="IM184" s="55">
        <f>SUMIFS(tblBudget[Recovered_oz],tblBudget[Month],$E184)</f>
        <v/>
      </c>
      <c r="IN184" s="55">
        <f>$IM184*$C184/$D184</f>
        <v/>
      </c>
      <c r="IO184" s="55">
        <f>SUMIFS(tblBudget[Recovered_oz],tblBudget[Month],"&lt;"&amp;$E184)+$IN184</f>
        <v/>
      </c>
      <c r="IP184" s="56">
        <f>IFERROR(IF(($IG184)&gt;0,($IJ184*cfg_TroyOz)/($IG184),""),"")</f>
        <v/>
      </c>
      <c r="IQ184" s="56">
        <f>IFERROR(IF(($IH184)&gt;0,($IK184*cfg_TroyOz)/($IH184),""),"")</f>
        <v/>
      </c>
      <c r="IR184" s="56">
        <f>IFERROR(IF(($II184)&gt;0,($IL184*cfg_TroyOz)/($II184),""),"")</f>
        <v/>
      </c>
      <c r="IS184" s="67">
        <f>IFERROR(IF(($IJ184)&gt;0,($IM184)/($IJ184),""),"")</f>
        <v/>
      </c>
      <c r="IT184" s="67">
        <f>IFERROR(IF(($IK184)&gt;0,($IN184)/($IK184),""),"")</f>
        <v/>
      </c>
      <c r="IU184" s="67">
        <f>IFERROR(IF(($IL184)&gt;0,($IO184)/($IL184),""),"")</f>
        <v/>
      </c>
      <c r="IV184" s="55">
        <f>SUMIFS(tblBudget[Gold_Poured_oz],tblBudget[Month],$E184)</f>
        <v/>
      </c>
      <c r="IW184" s="55">
        <f>$IV184*$C184/$D184</f>
        <v/>
      </c>
      <c r="IX184" s="55">
        <f>SUMIFS(tblBudget[Gold_Poured_oz],tblBudget[Month],"&lt;"&amp;$E184)+$IW184</f>
        <v/>
      </c>
      <c r="IY184" s="57">
        <f>SUMIFS(tblBudget[Hours_Worked],tblBudget[Month],$E184)</f>
        <v/>
      </c>
      <c r="IZ184" s="57">
        <f>$IY184*$C184/$D184</f>
        <v/>
      </c>
      <c r="JA184" s="57">
        <f>SUMIFS(tblBudget[Hours_Worked],tblBudget[Month],"&lt;"&amp;$E184)+$IZ184</f>
        <v/>
      </c>
    </row>
    <row r="185">
      <c r="A185" s="54" t="n">
        <v>46206</v>
      </c>
      <c r="B185">
        <f>MONTH($A185)</f>
        <v/>
      </c>
      <c r="C185">
        <f>DAY($A185)</f>
        <v/>
      </c>
      <c r="D185">
        <f>DAY(EOMONTH($A185,0))</f>
        <v/>
      </c>
      <c r="E185" s="54">
        <f>DATE(YEAR($A185),MONTH($A185),1)</f>
        <v/>
      </c>
      <c r="F185" s="55">
        <f>SUMIFS(tblMovement[Tonnes_t],tblMovement[Date],$A185,tblMovement[Is_Ore],1,tblMovement[Source_Type],"Pit")</f>
        <v/>
      </c>
      <c r="G185" s="55">
        <f>IF($B185=$B184,$G184,0)+$F185</f>
        <v/>
      </c>
      <c r="H185" s="55">
        <f>$H184+$F185</f>
        <v/>
      </c>
      <c r="I185" s="55">
        <f>SUMIFS(tblMovement[Ore_oz],tblMovement[Date],$A185,tblMovement[Source_Type],"Pit")</f>
        <v/>
      </c>
      <c r="J185" s="55">
        <f>IF($B185=$B184,$J184,0)+$I185</f>
        <v/>
      </c>
      <c r="K185" s="55">
        <f>$K184+$I185</f>
        <v/>
      </c>
      <c r="L185" s="56">
        <f>IFERROR(IF(($F185)&gt;0,($I185*cfg_TroyOz)/($F185),""),"")</f>
        <v/>
      </c>
      <c r="M185" s="56">
        <f>IFERROR(IF(($G185)&gt;0,($J185*cfg_TroyOz)/($G185),""),"")</f>
        <v/>
      </c>
      <c r="N185" s="56">
        <f>IFERROR(IF(($H185)&gt;0,($K185*cfg_TroyOz)/($H185),""),"")</f>
        <v/>
      </c>
      <c r="O185" s="55">
        <f>SUMIFS(tblMovement[Tonnes_t],tblMovement[Date],$A185,tblMovement[Is_Ore],0,tblMovement[Source_Type],"Pit")</f>
        <v/>
      </c>
      <c r="P185" s="55">
        <f>IF($B185=$B184,$P184,0)+$O185</f>
        <v/>
      </c>
      <c r="Q185" s="55">
        <f>$Q184+$O185</f>
        <v/>
      </c>
      <c r="R185" s="55">
        <f>$F185+$O185</f>
        <v/>
      </c>
      <c r="S185" s="55">
        <f>IF($B185=$B184,$S184,0)+$R185</f>
        <v/>
      </c>
      <c r="T185" s="55">
        <f>$T184+$R185</f>
        <v/>
      </c>
      <c r="U185" s="56">
        <f>IFERROR(IF(($F185)&gt;0,($O185)/($F185),""),"")</f>
        <v/>
      </c>
      <c r="V185" s="56">
        <f>IFERROR(IF(($G185)&gt;0,($P185)/($G185),""),"")</f>
        <v/>
      </c>
      <c r="W185" s="56">
        <f>IFERROR(IF(($H185)&gt;0,($Q185)/($H185),""),"")</f>
        <v/>
      </c>
      <c r="X185" s="55">
        <f>SUMIFS(tblMovement[Tonnes_t],tblMovement[Date],$A185,tblMovement[Source_Type],"Stockpile")</f>
        <v/>
      </c>
      <c r="Y185" s="55">
        <f>IF($B185=$B184,$Y184,0)+$X185</f>
        <v/>
      </c>
      <c r="Z185" s="55">
        <f>$Z184+$X185</f>
        <v/>
      </c>
      <c r="AA185" s="55">
        <f>SUMIFS(tblMiningDaily[Drill_m],tblMiningDaily[Date],$A185)</f>
        <v/>
      </c>
      <c r="AB185" s="55">
        <f>IF($B185=$B184,$AB184,0)+$AA185</f>
        <v/>
      </c>
      <c r="AC185" s="55">
        <f>$AC184+$AA185</f>
        <v/>
      </c>
      <c r="AD185" s="55">
        <f>SUMIFS(tblMiningDaily[Blast_t],tblMiningDaily[Date],$A185)</f>
        <v/>
      </c>
      <c r="AE185" s="55">
        <f>IF($B185=$B184,$AE184,0)+$AD185</f>
        <v/>
      </c>
      <c r="AF185" s="55">
        <f>$AF184+$AD185</f>
        <v/>
      </c>
      <c r="AG185" s="55">
        <f>SUMIFS(tblMiningDaily[Explosives_kg],tblMiningDaily[Date],$A185)</f>
        <v/>
      </c>
      <c r="AH185" s="55">
        <f>IF($B185=$B184,$AH184,0)+$AG185</f>
        <v/>
      </c>
      <c r="AI185" s="55">
        <f>$AI184+$AG185</f>
        <v/>
      </c>
      <c r="AJ185" s="56">
        <f>IFERROR(IF(($AD185)&gt;0,($AG185)/($AD185),""),"")</f>
        <v/>
      </c>
      <c r="AK185" s="56">
        <f>IFERROR(IF(($AE185)&gt;0,($AH185)/($AE185),""),"")</f>
        <v/>
      </c>
      <c r="AL185" s="56">
        <f>IFERROR(IF(($AF185)&gt;0,($AI185)/($AF185),""),"")</f>
        <v/>
      </c>
      <c r="AM185" s="55">
        <f>SUMIFS(tblMiningDaily[Diesel_L],tblMiningDaily[Date],$A185)</f>
        <v/>
      </c>
      <c r="AN185" s="55">
        <f>IF($B185=$B184,$AN184,0)+$AM185</f>
        <v/>
      </c>
      <c r="AO185" s="55">
        <f>$AO184+$AM185</f>
        <v/>
      </c>
      <c r="AP185" s="55">
        <f>SUMIFS(tblMiningDaily[Dewatering_m3],tblMiningDaily[Date],$A185)</f>
        <v/>
      </c>
      <c r="AQ185" s="55">
        <f>IF($B185=$B184,$AQ184,0)+$AP185</f>
        <v/>
      </c>
      <c r="AR185" s="55">
        <f>$AR184+$AP185</f>
        <v/>
      </c>
      <c r="AS185" s="57">
        <f>SUMIFS(tblFleet[Calendar_h],tblFleet[Date],$A185,tblFleet[Equipment_Class],"Excavator")</f>
        <v/>
      </c>
      <c r="AT185" s="57">
        <f>IF($B185=$B184,$AT184,0)+$AS185</f>
        <v/>
      </c>
      <c r="AU185" s="57">
        <f>$AU184+$AS185</f>
        <v/>
      </c>
      <c r="AV185" s="57">
        <f>SUMIFS(tblFleet[Available_h],tblFleet[Date],$A185,tblFleet[Equipment_Class],"Excavator")</f>
        <v/>
      </c>
      <c r="AW185" s="57">
        <f>IF($B185=$B184,$AW184,0)+$AV185</f>
        <v/>
      </c>
      <c r="AX185" s="57">
        <f>$AX184+$AV185</f>
        <v/>
      </c>
      <c r="AY185" s="57">
        <f>SUMIFS(tblFleet[Operating_h],tblFleet[Date],$A185,tblFleet[Equipment_Class],"Excavator")</f>
        <v/>
      </c>
      <c r="AZ185" s="57">
        <f>IF($B185=$B184,$AZ184,0)+$AY185</f>
        <v/>
      </c>
      <c r="BA185" s="57">
        <f>$BA184+$AY185</f>
        <v/>
      </c>
      <c r="BB185" s="67">
        <f>IFERROR(IF(($AS185)&gt;0,($AV185)/($AS185),""),"")</f>
        <v/>
      </c>
      <c r="BC185" s="67">
        <f>IFERROR(IF(($AT185)&gt;0,($AW185)/($AT185),""),"")</f>
        <v/>
      </c>
      <c r="BD185" s="67">
        <f>IFERROR(IF(($AU185)&gt;0,($AX185)/($AU185),""),"")</f>
        <v/>
      </c>
      <c r="BE185" s="67">
        <f>IFERROR(IF(($AV185)&gt;0,($AY185)/($AV185),""),"")</f>
        <v/>
      </c>
      <c r="BF185" s="67">
        <f>IFERROR(IF(($AW185)&gt;0,($AZ185)/($AW185),""),"")</f>
        <v/>
      </c>
      <c r="BG185" s="67">
        <f>IFERROR(IF(($AX185)&gt;0,($BA185)/($AX185),""),"")</f>
        <v/>
      </c>
      <c r="BH185" s="57">
        <f>SUMIFS(tblFleet[Calendar_h],tblFleet[Date],$A185,tblFleet[Equipment_Class],"Haul Truck")</f>
        <v/>
      </c>
      <c r="BI185" s="57">
        <f>IF($B185=$B184,$BI184,0)+$BH185</f>
        <v/>
      </c>
      <c r="BJ185" s="57">
        <f>$BJ184+$BH185</f>
        <v/>
      </c>
      <c r="BK185" s="57">
        <f>SUMIFS(tblFleet[Available_h],tblFleet[Date],$A185,tblFleet[Equipment_Class],"Haul Truck")</f>
        <v/>
      </c>
      <c r="BL185" s="57">
        <f>IF($B185=$B184,$BL184,0)+$BK185</f>
        <v/>
      </c>
      <c r="BM185" s="57">
        <f>$BM184+$BK185</f>
        <v/>
      </c>
      <c r="BN185" s="57">
        <f>SUMIFS(tblFleet[Operating_h],tblFleet[Date],$A185,tblFleet[Equipment_Class],"Haul Truck")</f>
        <v/>
      </c>
      <c r="BO185" s="57">
        <f>IF($B185=$B184,$BO184,0)+$BN185</f>
        <v/>
      </c>
      <c r="BP185" s="57">
        <f>$BP184+$BN185</f>
        <v/>
      </c>
      <c r="BQ185" s="67">
        <f>IFERROR(IF(($BH185)&gt;0,($BK185)/($BH185),""),"")</f>
        <v/>
      </c>
      <c r="BR185" s="67">
        <f>IFERROR(IF(($BI185)&gt;0,($BL185)/($BI185),""),"")</f>
        <v/>
      </c>
      <c r="BS185" s="67">
        <f>IFERROR(IF(($BJ185)&gt;0,($BM185)/($BJ185),""),"")</f>
        <v/>
      </c>
      <c r="BT185" s="67">
        <f>IFERROR(IF(($BK185)&gt;0,($BN185)/($BK185),""),"")</f>
        <v/>
      </c>
      <c r="BU185" s="67">
        <f>IFERROR(IF(($BL185)&gt;0,($BO185)/($BL185),""),"")</f>
        <v/>
      </c>
      <c r="BV185" s="67">
        <f>IFERROR(IF(($BM185)&gt;0,($BP185)/($BM185),""),"")</f>
        <v/>
      </c>
      <c r="BW185" s="55">
        <f>SUMIFS(tblPlant[Crushed_t],tblPlant[Date],$A185)</f>
        <v/>
      </c>
      <c r="BX185" s="55">
        <f>IF($B185=$B184,$BX184,0)+$BW185</f>
        <v/>
      </c>
      <c r="BY185" s="55">
        <f>$BY184+$BW185</f>
        <v/>
      </c>
      <c r="BZ185" s="55">
        <f>SUMIFS(tblPlant[Milled_t],tblPlant[Date],$A185)</f>
        <v/>
      </c>
      <c r="CA185" s="55">
        <f>IF($B185=$B184,$CA184,0)+$BZ185</f>
        <v/>
      </c>
      <c r="CB185" s="55">
        <f>$CB184+$BZ185</f>
        <v/>
      </c>
      <c r="CC185" s="55">
        <f>SUMIFS(tblPlant[Feed_oz],tblPlant[Date],$A185)</f>
        <v/>
      </c>
      <c r="CD185" s="55">
        <f>IF($B185=$B184,$CD184,0)+$CC185</f>
        <v/>
      </c>
      <c r="CE185" s="55">
        <f>$CE184+$CC185</f>
        <v/>
      </c>
      <c r="CF185" s="55">
        <f>SUMIFS(tblPlant[Tails_oz],tblPlant[Date],$A185)</f>
        <v/>
      </c>
      <c r="CG185" s="55">
        <f>IF($B185=$B184,$CG184,0)+$CF185</f>
        <v/>
      </c>
      <c r="CH185" s="55">
        <f>$CH184+$CF185</f>
        <v/>
      </c>
      <c r="CI185" s="55">
        <f>SUMIFS(tblPlant[Recovered_oz],tblPlant[Date],$A185)</f>
        <v/>
      </c>
      <c r="CJ185" s="55">
        <f>IF($B185=$B184,$CJ184,0)+$CI185</f>
        <v/>
      </c>
      <c r="CK185" s="55">
        <f>$CK184+$CI185</f>
        <v/>
      </c>
      <c r="CL185" s="56">
        <f>IFERROR(IF(($BZ185)&gt;0,($CC185*cfg_TroyOz)/($BZ185),""),"")</f>
        <v/>
      </c>
      <c r="CM185" s="56">
        <f>IFERROR(IF(($CA185)&gt;0,($CD185*cfg_TroyOz)/($CA185),""),"")</f>
        <v/>
      </c>
      <c r="CN185" s="56">
        <f>IFERROR(IF(($CB185)&gt;0,($CE185*cfg_TroyOz)/($CB185),""),"")</f>
        <v/>
      </c>
      <c r="CO185" s="56">
        <f>IFERROR(IF(($BZ185)&gt;0,($CF185*cfg_TroyOz)/($BZ185),""),"")</f>
        <v/>
      </c>
      <c r="CP185" s="56">
        <f>IFERROR(IF(($CA185)&gt;0,($CG185*cfg_TroyOz)/($CA185),""),"")</f>
        <v/>
      </c>
      <c r="CQ185" s="56">
        <f>IFERROR(IF(($CB185)&gt;0,($CH185*cfg_TroyOz)/($CB185),""),"")</f>
        <v/>
      </c>
      <c r="CR185" s="67">
        <f>IFERROR(IF(($CC185)&gt;0,($CI185)/($CC185),""),"")</f>
        <v/>
      </c>
      <c r="CS185" s="67">
        <f>IFERROR(IF(($CD185)&gt;0,($CJ185)/($CD185),""),"")</f>
        <v/>
      </c>
      <c r="CT185" s="67">
        <f>IFERROR(IF(($CE185)&gt;0,($CK185)/($CE185),""),"")</f>
        <v/>
      </c>
      <c r="CU185" s="55">
        <f>SUMIFS(tblPlant[Gravity_Gold_oz],tblPlant[Date],$A185)</f>
        <v/>
      </c>
      <c r="CV185" s="55">
        <f>IF($B185=$B184,$CV184,0)+$CU185</f>
        <v/>
      </c>
      <c r="CW185" s="55">
        <f>$CW184+$CU185</f>
        <v/>
      </c>
      <c r="CX185" s="55">
        <f>SUMIFS(tblPlant[Gold_Poured_oz],tblPlant[Date],$A185)</f>
        <v/>
      </c>
      <c r="CY185" s="55">
        <f>IF($B185=$B184,$CY184,0)+$CX185</f>
        <v/>
      </c>
      <c r="CZ185" s="55">
        <f>$CZ184+$CX185</f>
        <v/>
      </c>
      <c r="DA185" s="57">
        <f>SUMIFS(tblPlant[Mill_Run_h],tblPlant[Date],$A185)</f>
        <v/>
      </c>
      <c r="DB185" s="57">
        <f>IF($B185=$B184,$DB184,0)+$DA185</f>
        <v/>
      </c>
      <c r="DC185" s="57">
        <f>$DC184+$DA185</f>
        <v/>
      </c>
      <c r="DD185" s="57">
        <f>SUMIFS(tblPlant[Mill_Planned_Maint_h],tblPlant[Date],$A185)</f>
        <v/>
      </c>
      <c r="DE185" s="57">
        <f>IF($B185=$B184,$DE184,0)+$DD185</f>
        <v/>
      </c>
      <c r="DF185" s="57">
        <f>$DF184+$DD185</f>
        <v/>
      </c>
      <c r="DG185" s="57">
        <f>SUMIFS(tblPlant[Mill_Unplanned_Down_h],tblPlant[Date],$A185)</f>
        <v/>
      </c>
      <c r="DH185" s="57">
        <f>IF($B185=$B184,$DH184,0)+$DG185</f>
        <v/>
      </c>
      <c r="DI185" s="57">
        <f>$DI184+$DG185</f>
        <v/>
      </c>
      <c r="DJ185" s="57">
        <f>COUNTIFS(tblPlant[Date],$A185,tblPlant[Mill_Run_h],"&lt;&gt;")*24</f>
        <v/>
      </c>
      <c r="DK185" s="57">
        <f>IF($B185=$B184,$DK184,0)+$DJ185</f>
        <v/>
      </c>
      <c r="DL185" s="57">
        <f>$DL184+$DJ185</f>
        <v/>
      </c>
      <c r="DM185" s="57">
        <f>SUMIFS(tblPlant[Crusher_Run_h],tblPlant[Date],$A185)</f>
        <v/>
      </c>
      <c r="DN185" s="57">
        <f>IF($B185=$B184,$DN184,0)+$DM185</f>
        <v/>
      </c>
      <c r="DO185" s="57">
        <f>$DO184+$DM185</f>
        <v/>
      </c>
      <c r="DP185" s="55">
        <f>IFERROR(IF(($DA185)&gt;0,($BZ185)/($DA185),""),"")</f>
        <v/>
      </c>
      <c r="DQ185" s="55">
        <f>IFERROR(IF(($DB185)&gt;0,($CA185)/($DB185),""),"")</f>
        <v/>
      </c>
      <c r="DR185" s="55">
        <f>IFERROR(IF(($DC185)&gt;0,($CB185)/($DC185),""),"")</f>
        <v/>
      </c>
      <c r="DS185" s="67">
        <f>IFERROR(IF(($DJ185)&gt;0,($DJ185-$DD185-$DG185)/($DJ185),""),"")</f>
        <v/>
      </c>
      <c r="DT185" s="67">
        <f>IFERROR(IF(($DK185)&gt;0,($DK185-$DE185-$DH185)/($DK185),""),"")</f>
        <v/>
      </c>
      <c r="DU185" s="67">
        <f>IFERROR(IF(($DL185)&gt;0,($DL185-$DF185-$DI185)/($DL185),""),"")</f>
        <v/>
      </c>
      <c r="DV185" s="67">
        <f>IFERROR(IF(($DJ185-$DD185-$DG185)&gt;0,($DA185)/($DJ185-$DD185-$DG185),""),"")</f>
        <v/>
      </c>
      <c r="DW185" s="67">
        <f>IFERROR(IF(($DK185-$DE185-$DH185)&gt;0,($DB185)/($DK185-$DE185-$DH185),""),"")</f>
        <v/>
      </c>
      <c r="DX185" s="67">
        <f>IFERROR(IF(($DL185-$DF185-$DI185)&gt;0,($DC185)/($DL185-$DF185-$DI185),""),"")</f>
        <v/>
      </c>
      <c r="DY185" s="55">
        <f>SUMIFS(tblPlant[Cyanide_kg],tblPlant[Date],$A185)</f>
        <v/>
      </c>
      <c r="DZ185" s="55">
        <f>IF($B185=$B184,$DZ184,0)+$DY185</f>
        <v/>
      </c>
      <c r="EA185" s="55">
        <f>$EA184+$DY185</f>
        <v/>
      </c>
      <c r="EB185" s="55">
        <f>SUMIFS(tblPlant[Lime_kg],tblPlant[Date],$A185)</f>
        <v/>
      </c>
      <c r="EC185" s="55">
        <f>IF($B185=$B184,$EC184,0)+$EB185</f>
        <v/>
      </c>
      <c r="ED185" s="55">
        <f>$ED184+$EB185</f>
        <v/>
      </c>
      <c r="EE185" s="55">
        <f>SUMIFS(tblPlant[Grinding_Media_kg],tblPlant[Date],$A185)</f>
        <v/>
      </c>
      <c r="EF185" s="55">
        <f>IF($B185=$B184,$EF184,0)+$EE185</f>
        <v/>
      </c>
      <c r="EG185" s="55">
        <f>$EG184+$EE185</f>
        <v/>
      </c>
      <c r="EH185" s="55">
        <f>SUMIFS(tblPlant[Power_kWh],tblPlant[Date],$A185)</f>
        <v/>
      </c>
      <c r="EI185" s="55">
        <f>IF($B185=$B184,$EI184,0)+$EH185</f>
        <v/>
      </c>
      <c r="EJ185" s="55">
        <f>$EJ184+$EH185</f>
        <v/>
      </c>
      <c r="EK185" s="55">
        <f>SUMIFS(tblPlant[Raw_Water_m3],tblPlant[Date],$A185)</f>
        <v/>
      </c>
      <c r="EL185" s="55">
        <f>IF($B185=$B184,$EL184,0)+$EK185</f>
        <v/>
      </c>
      <c r="EM185" s="55">
        <f>$EM184+$EK185</f>
        <v/>
      </c>
      <c r="EN185" s="56">
        <f>IFERROR(IF(($BZ185)&gt;0,($DY185)/($BZ185),""),"")</f>
        <v/>
      </c>
      <c r="EO185" s="56">
        <f>IFERROR(IF(($CA185)&gt;0,($DZ185)/($CA185),""),"")</f>
        <v/>
      </c>
      <c r="EP185" s="56">
        <f>IFERROR(IF(($CB185)&gt;0,($EA185)/($CB185),""),"")</f>
        <v/>
      </c>
      <c r="EQ185" s="56">
        <f>IFERROR(IF(($BZ185)&gt;0,($EB185)/($BZ185),""),"")</f>
        <v/>
      </c>
      <c r="ER185" s="56">
        <f>IFERROR(IF(($CA185)&gt;0,($EC185)/($CA185),""),"")</f>
        <v/>
      </c>
      <c r="ES185" s="56">
        <f>IFERROR(IF(($CB185)&gt;0,($ED185)/($CB185),""),"")</f>
        <v/>
      </c>
      <c r="ET185" s="56">
        <f>IFERROR(IF(($BZ185)&gt;0,($EE185)/($BZ185),""),"")</f>
        <v/>
      </c>
      <c r="EU185" s="56">
        <f>IFERROR(IF(($CA185)&gt;0,($EF185)/($CA185),""),"")</f>
        <v/>
      </c>
      <c r="EV185" s="56">
        <f>IFERROR(IF(($CB185)&gt;0,($EG185)/($CB185),""),"")</f>
        <v/>
      </c>
      <c r="EW185" s="76">
        <f>IFERROR(IF(($BZ185)&gt;0,($EH185)/($BZ185),""),"")</f>
        <v/>
      </c>
      <c r="EX185" s="76">
        <f>IFERROR(IF(($CA185)&gt;0,($EI185)/($CA185),""),"")</f>
        <v/>
      </c>
      <c r="EY185" s="76">
        <f>IFERROR(IF(($CB185)&gt;0,($EJ185)/($CB185),""),"")</f>
        <v/>
      </c>
      <c r="EZ185" s="56">
        <f>IFERROR(IF(($BZ185)&gt;0,($EK185)/($BZ185),""),"")</f>
        <v/>
      </c>
      <c r="FA185" s="56">
        <f>IFERROR(IF(($CA185)&gt;0,($EL185)/($CA185),""),"")</f>
        <v/>
      </c>
      <c r="FB185" s="56">
        <f>IFERROR(IF(($CB185)&gt;0,($EM185)/($CB185),""),"")</f>
        <v/>
      </c>
      <c r="FC185" s="55">
        <f>IF(SUMIFS(tblPlant[GIC_oz],tblPlant[Date],$A185)&gt;0,SUMIFS(tblPlant[GIC_oz],tblPlant[Date],$A185),"")</f>
        <v/>
      </c>
      <c r="FD185" s="55">
        <f>SUMIFS(tblGold[Gold_oz],tblGold[Date],$A185,tblGold[Type],"Shipment")</f>
        <v/>
      </c>
      <c r="FE185" s="55">
        <f>IF($B185=$B184,$FE184,0)+$FD185</f>
        <v/>
      </c>
      <c r="FF185" s="55">
        <f>$FF184+$FD185</f>
        <v/>
      </c>
      <c r="FG185" s="55">
        <f>SUMIFS(tblGold[Gold_oz],tblGold[Date],$A185,tblGold[Type],"Sale")</f>
        <v/>
      </c>
      <c r="FH185" s="55">
        <f>IF($B185=$B184,$FH184,0)+$FG185</f>
        <v/>
      </c>
      <c r="FI185" s="55">
        <f>$FI184+$FG185</f>
        <v/>
      </c>
      <c r="FJ185" s="55">
        <f>SUMIFS(tblGold[Dore_kg],tblGold[Date],$A185,tblGold[Type],"Shipment")</f>
        <v/>
      </c>
      <c r="FK185" s="55">
        <f>IF($B185=$B184,$FK184,0)+$FJ185</f>
        <v/>
      </c>
      <c r="FL185" s="55">
        <f>$FL184+$FJ185</f>
        <v/>
      </c>
      <c r="FM185" s="57">
        <f>SUMIFS(tblSafety[Hours_Total],tblSafety[Date],$A185)</f>
        <v/>
      </c>
      <c r="FN185" s="57">
        <f>IF($B185=$B184,$FN184,0)+$FM185</f>
        <v/>
      </c>
      <c r="FO185" s="57">
        <f>$FO184+$FM185</f>
        <v/>
      </c>
      <c r="FP185" s="62">
        <f>SUMIFS(tblSafety[Fatality],tblSafety[Date],$A185)</f>
        <v/>
      </c>
      <c r="FQ185" s="62">
        <f>IF($B185=$B184,$FQ184,0)+$FP185</f>
        <v/>
      </c>
      <c r="FR185" s="62">
        <f>$FR184+$FP185</f>
        <v/>
      </c>
      <c r="FS185" s="62">
        <f>SUMIFS(tblSafety[LTI],tblSafety[Date],$A185)</f>
        <v/>
      </c>
      <c r="FT185" s="62">
        <f>IF($B185=$B184,$FT184,0)+$FS185</f>
        <v/>
      </c>
      <c r="FU185" s="62">
        <f>$FU184+$FS185</f>
        <v/>
      </c>
      <c r="FV185" s="62">
        <f>SUMIFS(tblSafety[RWI],tblSafety[Date],$A185)</f>
        <v/>
      </c>
      <c r="FW185" s="62">
        <f>IF($B185=$B184,$FW184,0)+$FV185</f>
        <v/>
      </c>
      <c r="FX185" s="62">
        <f>$FX184+$FV185</f>
        <v/>
      </c>
      <c r="FY185" s="62">
        <f>SUMIFS(tblSafety[MTI],tblSafety[Date],$A185)</f>
        <v/>
      </c>
      <c r="FZ185" s="62">
        <f>IF($B185=$B184,$FZ184,0)+$FY185</f>
        <v/>
      </c>
      <c r="GA185" s="62">
        <f>$GA184+$FY185</f>
        <v/>
      </c>
      <c r="GB185" s="62">
        <f>SUMIFS(tblSafety[FAI],tblSafety[Date],$A185)</f>
        <v/>
      </c>
      <c r="GC185" s="62">
        <f>IF($B185=$B184,$GC184,0)+$GB185</f>
        <v/>
      </c>
      <c r="GD185" s="62">
        <f>$GD184+$GB185</f>
        <v/>
      </c>
      <c r="GE185" s="62">
        <f>SUMIFS(tblSafety[Recordables],tblSafety[Date],$A185)</f>
        <v/>
      </c>
      <c r="GF185" s="62">
        <f>IF($B185=$B184,$GF184,0)+$GE185</f>
        <v/>
      </c>
      <c r="GG185" s="62">
        <f>$GG184+$GE185</f>
        <v/>
      </c>
      <c r="GH185" s="62">
        <f>SUMIFS(tblSafety[Near_Miss],tblSafety[Date],$A185)</f>
        <v/>
      </c>
      <c r="GI185" s="62">
        <f>IF($B185=$B184,$GI184,0)+$GH185</f>
        <v/>
      </c>
      <c r="GJ185" s="62">
        <f>$GJ184+$GH185</f>
        <v/>
      </c>
      <c r="GK185" s="62">
        <f>SUMIFS(tblSafety[Hazard_Reports],tblSafety[Date],$A185)</f>
        <v/>
      </c>
      <c r="GL185" s="62">
        <f>IF($B185=$B184,$GL184,0)+$GK185</f>
        <v/>
      </c>
      <c r="GM185" s="62">
        <f>$GM184+$GK185</f>
        <v/>
      </c>
      <c r="GN185" s="62">
        <f>SUMIFS(tblSafety[HPI],tblSafety[Date],$A185)</f>
        <v/>
      </c>
      <c r="GO185" s="62">
        <f>IF($B185=$B184,$GO184,0)+$GN185</f>
        <v/>
      </c>
      <c r="GP185" s="62">
        <f>$GP184+$GN185</f>
        <v/>
      </c>
      <c r="GQ185" s="62">
        <f>SUMIFS(tblSafety[Env_Incidents],tblSafety[Date],$A185)</f>
        <v/>
      </c>
      <c r="GR185" s="62">
        <f>IF($B185=$B184,$GR184,0)+$GQ185</f>
        <v/>
      </c>
      <c r="GS185" s="62">
        <f>$GS184+$GQ185</f>
        <v/>
      </c>
      <c r="GT185" s="62">
        <f>SUMIFS(tblSafety[Community_Incidents],tblSafety[Date],$A185)</f>
        <v/>
      </c>
      <c r="GU185" s="62">
        <f>IF($B185=$B184,$GU184,0)+$GT185</f>
        <v/>
      </c>
      <c r="GV185" s="62">
        <f>$GV184+$GT185</f>
        <v/>
      </c>
      <c r="GW185" s="62">
        <f>SUMIFS(tblSafety[Vehicle_Incidents],tblSafety[Date],$A185)</f>
        <v/>
      </c>
      <c r="GX185" s="62">
        <f>IF($B185=$B184,$GX184,0)+$GW185</f>
        <v/>
      </c>
      <c r="GY185" s="62">
        <f>$GY184+$GW185</f>
        <v/>
      </c>
      <c r="GZ185" s="62">
        <f>SUMIFS(tblSafety[Toolbox_Talks],tblSafety[Date],$A185)</f>
        <v/>
      </c>
      <c r="HA185" s="62">
        <f>IF($B185=$B184,$HA184,0)+$GZ185</f>
        <v/>
      </c>
      <c r="HB185" s="62">
        <f>$HB184+$GZ185</f>
        <v/>
      </c>
      <c r="HC185" s="62">
        <f>SUMIFS(tblSafety[Inspections],tblSafety[Date],$A185)</f>
        <v/>
      </c>
      <c r="HD185" s="62">
        <f>IF($B185=$B184,$HD184,0)+$HC185</f>
        <v/>
      </c>
      <c r="HE185" s="62">
        <f>$HE184+$HC185</f>
        <v/>
      </c>
      <c r="HF185" s="56">
        <f>IFERROR((SUMIFS(tblSafety[Recordables],tblSafety[Date],"&gt;="&amp;EDATE($E185,-12),tblSafety[Date],"&lt;="&amp;$A185)+SUMIFS(tblSafetyHistory[Recordables],tblSafetyHistory[Month],"&gt;="&amp;EDATE($E185,-12),tblSafetyHistory[Month],"&lt;"&amp;cfg_YearStart))/(SUMIFS(tblSafety[Hours_Total],tblSafety[Date],"&gt;="&amp;EDATE($E185,-12),tblSafety[Date],"&lt;="&amp;$A185)+SUMIFS(tblSafetyHistory[Hours_Total],tblSafetyHistory[Month],"&gt;="&amp;EDATE($E185,-12),tblSafetyHistory[Month],"&lt;"&amp;cfg_YearStart))*1000000,"")</f>
        <v/>
      </c>
      <c r="HG185" s="56">
        <f>IFERROR((SUMIFS(tblSafety[LTI],tblSafety[Date],"&gt;="&amp;EDATE($E185,-12),tblSafety[Date],"&lt;="&amp;$A185)+SUMIFS(tblSafetyHistory[LTI],tblSafetyHistory[Month],"&gt;="&amp;EDATE($E185,-12),tblSafetyHistory[Month],"&lt;"&amp;cfg_YearStart))/(SUMIFS(tblSafety[Hours_Total],tblSafety[Date],"&gt;="&amp;EDATE($E185,-12),tblSafety[Date],"&lt;="&amp;$A185)+SUMIFS(tblSafetyHistory[Hours_Total],tblSafetyHistory[Month],"&gt;="&amp;EDATE($E185,-12),tblSafetyHistory[Month],"&lt;"&amp;cfg_YearStart))*1000000,"")</f>
        <v/>
      </c>
      <c r="HH185" s="62">
        <f>IF(MAX(N(cfg_PriorLTIDate),_xlfn.MAXIFS(tblSafety[Date],tblSafety[LTI],"&gt;0",tblSafety[Date],"&lt;="&amp;$A185))=0,"",$A185-MAX(N(cfg_PriorLTIDate),_xlfn.MAXIFS(tblSafety[Date],tblSafety[LTI],"&gt;0",tblSafety[Date],"&lt;="&amp;$A185)))</f>
        <v/>
      </c>
      <c r="HI185" s="55">
        <f>SUMIFS(tblBudget[Ore_Mined_t],tblBudget[Month],$E185)</f>
        <v/>
      </c>
      <c r="HJ185" s="55">
        <f>$HI185*$C185/$D185</f>
        <v/>
      </c>
      <c r="HK185" s="55">
        <f>SUMIFS(tblBudget[Ore_Mined_t],tblBudget[Month],"&lt;"&amp;$E185)+$HJ185</f>
        <v/>
      </c>
      <c r="HL185" s="55">
        <f>SUMIFS(tblBudget[Ore_oz],tblBudget[Month],$E185)</f>
        <v/>
      </c>
      <c r="HM185" s="55">
        <f>$HL185*$C185/$D185</f>
        <v/>
      </c>
      <c r="HN185" s="55">
        <f>SUMIFS(tblBudget[Ore_oz],tblBudget[Month],"&lt;"&amp;$E185)+$HM185</f>
        <v/>
      </c>
      <c r="HO185" s="56">
        <f>IFERROR(IF(($HI185)&gt;0,($HL185*cfg_TroyOz)/($HI185),""),"")</f>
        <v/>
      </c>
      <c r="HP185" s="56">
        <f>IFERROR(IF(($HJ185)&gt;0,($HM185*cfg_TroyOz)/($HJ185),""),"")</f>
        <v/>
      </c>
      <c r="HQ185" s="56">
        <f>IFERROR(IF(($HK185)&gt;0,($HN185*cfg_TroyOz)/($HK185),""),"")</f>
        <v/>
      </c>
      <c r="HR185" s="55">
        <f>SUMIFS(tblBudget[Waste_t],tblBudget[Month],$E185)</f>
        <v/>
      </c>
      <c r="HS185" s="55">
        <f>$HR185*$C185/$D185</f>
        <v/>
      </c>
      <c r="HT185" s="55">
        <f>SUMIFS(tblBudget[Waste_t],tblBudget[Month],"&lt;"&amp;$E185)+$HS185</f>
        <v/>
      </c>
      <c r="HU185" s="55">
        <f>SUMIFS(tblBudget[TMM_t],tblBudget[Month],$E185)</f>
        <v/>
      </c>
      <c r="HV185" s="55">
        <f>$HU185*$C185/$D185</f>
        <v/>
      </c>
      <c r="HW185" s="55">
        <f>SUMIFS(tblBudget[TMM_t],tblBudget[Month],"&lt;"&amp;$E185)+$HV185</f>
        <v/>
      </c>
      <c r="HX185" s="56">
        <f>IFERROR(IF(($HI185)&gt;0,($HR185)/($HI185),""),"")</f>
        <v/>
      </c>
      <c r="HY185" s="56">
        <f>IFERROR(IF(($HJ185)&gt;0,($HS185)/($HJ185),""),"")</f>
        <v/>
      </c>
      <c r="HZ185" s="56">
        <f>IFERROR(IF(($HK185)&gt;0,($HT185)/($HK185),""),"")</f>
        <v/>
      </c>
      <c r="IA185" s="55">
        <f>SUMIFS(tblBudget[Drill_m],tblBudget[Month],$E185)</f>
        <v/>
      </c>
      <c r="IB185" s="55">
        <f>$IA185*$C185/$D185</f>
        <v/>
      </c>
      <c r="IC185" s="55">
        <f>SUMIFS(tblBudget[Drill_m],tblBudget[Month],"&lt;"&amp;$E185)+$IB185</f>
        <v/>
      </c>
      <c r="ID185" s="55">
        <f>SUMIFS(tblBudget[Diesel_L],tblBudget[Month],$E185)</f>
        <v/>
      </c>
      <c r="IE185" s="55">
        <f>$ID185*$C185/$D185</f>
        <v/>
      </c>
      <c r="IF185" s="55">
        <f>SUMIFS(tblBudget[Diesel_L],tblBudget[Month],"&lt;"&amp;$E185)+$IE185</f>
        <v/>
      </c>
      <c r="IG185" s="55">
        <f>SUMIFS(tblBudget[Milled_t],tblBudget[Month],$E185)</f>
        <v/>
      </c>
      <c r="IH185" s="55">
        <f>$IG185*$C185/$D185</f>
        <v/>
      </c>
      <c r="II185" s="55">
        <f>SUMIFS(tblBudget[Milled_t],tblBudget[Month],"&lt;"&amp;$E185)+$IH185</f>
        <v/>
      </c>
      <c r="IJ185" s="55">
        <f>SUMIFS(tblBudget[Feed_oz],tblBudget[Month],$E185)</f>
        <v/>
      </c>
      <c r="IK185" s="55">
        <f>$IJ185*$C185/$D185</f>
        <v/>
      </c>
      <c r="IL185" s="55">
        <f>SUMIFS(tblBudget[Feed_oz],tblBudget[Month],"&lt;"&amp;$E185)+$IK185</f>
        <v/>
      </c>
      <c r="IM185" s="55">
        <f>SUMIFS(tblBudget[Recovered_oz],tblBudget[Month],$E185)</f>
        <v/>
      </c>
      <c r="IN185" s="55">
        <f>$IM185*$C185/$D185</f>
        <v/>
      </c>
      <c r="IO185" s="55">
        <f>SUMIFS(tblBudget[Recovered_oz],tblBudget[Month],"&lt;"&amp;$E185)+$IN185</f>
        <v/>
      </c>
      <c r="IP185" s="56">
        <f>IFERROR(IF(($IG185)&gt;0,($IJ185*cfg_TroyOz)/($IG185),""),"")</f>
        <v/>
      </c>
      <c r="IQ185" s="56">
        <f>IFERROR(IF(($IH185)&gt;0,($IK185*cfg_TroyOz)/($IH185),""),"")</f>
        <v/>
      </c>
      <c r="IR185" s="56">
        <f>IFERROR(IF(($II185)&gt;0,($IL185*cfg_TroyOz)/($II185),""),"")</f>
        <v/>
      </c>
      <c r="IS185" s="67">
        <f>IFERROR(IF(($IJ185)&gt;0,($IM185)/($IJ185),""),"")</f>
        <v/>
      </c>
      <c r="IT185" s="67">
        <f>IFERROR(IF(($IK185)&gt;0,($IN185)/($IK185),""),"")</f>
        <v/>
      </c>
      <c r="IU185" s="67">
        <f>IFERROR(IF(($IL185)&gt;0,($IO185)/($IL185),""),"")</f>
        <v/>
      </c>
      <c r="IV185" s="55">
        <f>SUMIFS(tblBudget[Gold_Poured_oz],tblBudget[Month],$E185)</f>
        <v/>
      </c>
      <c r="IW185" s="55">
        <f>$IV185*$C185/$D185</f>
        <v/>
      </c>
      <c r="IX185" s="55">
        <f>SUMIFS(tblBudget[Gold_Poured_oz],tblBudget[Month],"&lt;"&amp;$E185)+$IW185</f>
        <v/>
      </c>
      <c r="IY185" s="57">
        <f>SUMIFS(tblBudget[Hours_Worked],tblBudget[Month],$E185)</f>
        <v/>
      </c>
      <c r="IZ185" s="57">
        <f>$IY185*$C185/$D185</f>
        <v/>
      </c>
      <c r="JA185" s="57">
        <f>SUMIFS(tblBudget[Hours_Worked],tblBudget[Month],"&lt;"&amp;$E185)+$IZ185</f>
        <v/>
      </c>
    </row>
    <row r="186">
      <c r="A186" s="54" t="n">
        <v>46207</v>
      </c>
      <c r="B186">
        <f>MONTH($A186)</f>
        <v/>
      </c>
      <c r="C186">
        <f>DAY($A186)</f>
        <v/>
      </c>
      <c r="D186">
        <f>DAY(EOMONTH($A186,0))</f>
        <v/>
      </c>
      <c r="E186" s="54">
        <f>DATE(YEAR($A186),MONTH($A186),1)</f>
        <v/>
      </c>
      <c r="F186" s="55">
        <f>SUMIFS(tblMovement[Tonnes_t],tblMovement[Date],$A186,tblMovement[Is_Ore],1,tblMovement[Source_Type],"Pit")</f>
        <v/>
      </c>
      <c r="G186" s="55">
        <f>IF($B186=$B185,$G185,0)+$F186</f>
        <v/>
      </c>
      <c r="H186" s="55">
        <f>$H185+$F186</f>
        <v/>
      </c>
      <c r="I186" s="55">
        <f>SUMIFS(tblMovement[Ore_oz],tblMovement[Date],$A186,tblMovement[Source_Type],"Pit")</f>
        <v/>
      </c>
      <c r="J186" s="55">
        <f>IF($B186=$B185,$J185,0)+$I186</f>
        <v/>
      </c>
      <c r="K186" s="55">
        <f>$K185+$I186</f>
        <v/>
      </c>
      <c r="L186" s="56">
        <f>IFERROR(IF(($F186)&gt;0,($I186*cfg_TroyOz)/($F186),""),"")</f>
        <v/>
      </c>
      <c r="M186" s="56">
        <f>IFERROR(IF(($G186)&gt;0,($J186*cfg_TroyOz)/($G186),""),"")</f>
        <v/>
      </c>
      <c r="N186" s="56">
        <f>IFERROR(IF(($H186)&gt;0,($K186*cfg_TroyOz)/($H186),""),"")</f>
        <v/>
      </c>
      <c r="O186" s="55">
        <f>SUMIFS(tblMovement[Tonnes_t],tblMovement[Date],$A186,tblMovement[Is_Ore],0,tblMovement[Source_Type],"Pit")</f>
        <v/>
      </c>
      <c r="P186" s="55">
        <f>IF($B186=$B185,$P185,0)+$O186</f>
        <v/>
      </c>
      <c r="Q186" s="55">
        <f>$Q185+$O186</f>
        <v/>
      </c>
      <c r="R186" s="55">
        <f>$F186+$O186</f>
        <v/>
      </c>
      <c r="S186" s="55">
        <f>IF($B186=$B185,$S185,0)+$R186</f>
        <v/>
      </c>
      <c r="T186" s="55">
        <f>$T185+$R186</f>
        <v/>
      </c>
      <c r="U186" s="56">
        <f>IFERROR(IF(($F186)&gt;0,($O186)/($F186),""),"")</f>
        <v/>
      </c>
      <c r="V186" s="56">
        <f>IFERROR(IF(($G186)&gt;0,($P186)/($G186),""),"")</f>
        <v/>
      </c>
      <c r="W186" s="56">
        <f>IFERROR(IF(($H186)&gt;0,($Q186)/($H186),""),"")</f>
        <v/>
      </c>
      <c r="X186" s="55">
        <f>SUMIFS(tblMovement[Tonnes_t],tblMovement[Date],$A186,tblMovement[Source_Type],"Stockpile")</f>
        <v/>
      </c>
      <c r="Y186" s="55">
        <f>IF($B186=$B185,$Y185,0)+$X186</f>
        <v/>
      </c>
      <c r="Z186" s="55">
        <f>$Z185+$X186</f>
        <v/>
      </c>
      <c r="AA186" s="55">
        <f>SUMIFS(tblMiningDaily[Drill_m],tblMiningDaily[Date],$A186)</f>
        <v/>
      </c>
      <c r="AB186" s="55">
        <f>IF($B186=$B185,$AB185,0)+$AA186</f>
        <v/>
      </c>
      <c r="AC186" s="55">
        <f>$AC185+$AA186</f>
        <v/>
      </c>
      <c r="AD186" s="55">
        <f>SUMIFS(tblMiningDaily[Blast_t],tblMiningDaily[Date],$A186)</f>
        <v/>
      </c>
      <c r="AE186" s="55">
        <f>IF($B186=$B185,$AE185,0)+$AD186</f>
        <v/>
      </c>
      <c r="AF186" s="55">
        <f>$AF185+$AD186</f>
        <v/>
      </c>
      <c r="AG186" s="55">
        <f>SUMIFS(tblMiningDaily[Explosives_kg],tblMiningDaily[Date],$A186)</f>
        <v/>
      </c>
      <c r="AH186" s="55">
        <f>IF($B186=$B185,$AH185,0)+$AG186</f>
        <v/>
      </c>
      <c r="AI186" s="55">
        <f>$AI185+$AG186</f>
        <v/>
      </c>
      <c r="AJ186" s="56">
        <f>IFERROR(IF(($AD186)&gt;0,($AG186)/($AD186),""),"")</f>
        <v/>
      </c>
      <c r="AK186" s="56">
        <f>IFERROR(IF(($AE186)&gt;0,($AH186)/($AE186),""),"")</f>
        <v/>
      </c>
      <c r="AL186" s="56">
        <f>IFERROR(IF(($AF186)&gt;0,($AI186)/($AF186),""),"")</f>
        <v/>
      </c>
      <c r="AM186" s="55">
        <f>SUMIFS(tblMiningDaily[Diesel_L],tblMiningDaily[Date],$A186)</f>
        <v/>
      </c>
      <c r="AN186" s="55">
        <f>IF($B186=$B185,$AN185,0)+$AM186</f>
        <v/>
      </c>
      <c r="AO186" s="55">
        <f>$AO185+$AM186</f>
        <v/>
      </c>
      <c r="AP186" s="55">
        <f>SUMIFS(tblMiningDaily[Dewatering_m3],tblMiningDaily[Date],$A186)</f>
        <v/>
      </c>
      <c r="AQ186" s="55">
        <f>IF($B186=$B185,$AQ185,0)+$AP186</f>
        <v/>
      </c>
      <c r="AR186" s="55">
        <f>$AR185+$AP186</f>
        <v/>
      </c>
      <c r="AS186" s="57">
        <f>SUMIFS(tblFleet[Calendar_h],tblFleet[Date],$A186,tblFleet[Equipment_Class],"Excavator")</f>
        <v/>
      </c>
      <c r="AT186" s="57">
        <f>IF($B186=$B185,$AT185,0)+$AS186</f>
        <v/>
      </c>
      <c r="AU186" s="57">
        <f>$AU185+$AS186</f>
        <v/>
      </c>
      <c r="AV186" s="57">
        <f>SUMIFS(tblFleet[Available_h],tblFleet[Date],$A186,tblFleet[Equipment_Class],"Excavator")</f>
        <v/>
      </c>
      <c r="AW186" s="57">
        <f>IF($B186=$B185,$AW185,0)+$AV186</f>
        <v/>
      </c>
      <c r="AX186" s="57">
        <f>$AX185+$AV186</f>
        <v/>
      </c>
      <c r="AY186" s="57">
        <f>SUMIFS(tblFleet[Operating_h],tblFleet[Date],$A186,tblFleet[Equipment_Class],"Excavator")</f>
        <v/>
      </c>
      <c r="AZ186" s="57">
        <f>IF($B186=$B185,$AZ185,0)+$AY186</f>
        <v/>
      </c>
      <c r="BA186" s="57">
        <f>$BA185+$AY186</f>
        <v/>
      </c>
      <c r="BB186" s="67">
        <f>IFERROR(IF(($AS186)&gt;0,($AV186)/($AS186),""),"")</f>
        <v/>
      </c>
      <c r="BC186" s="67">
        <f>IFERROR(IF(($AT186)&gt;0,($AW186)/($AT186),""),"")</f>
        <v/>
      </c>
      <c r="BD186" s="67">
        <f>IFERROR(IF(($AU186)&gt;0,($AX186)/($AU186),""),"")</f>
        <v/>
      </c>
      <c r="BE186" s="67">
        <f>IFERROR(IF(($AV186)&gt;0,($AY186)/($AV186),""),"")</f>
        <v/>
      </c>
      <c r="BF186" s="67">
        <f>IFERROR(IF(($AW186)&gt;0,($AZ186)/($AW186),""),"")</f>
        <v/>
      </c>
      <c r="BG186" s="67">
        <f>IFERROR(IF(($AX186)&gt;0,($BA186)/($AX186),""),"")</f>
        <v/>
      </c>
      <c r="BH186" s="57">
        <f>SUMIFS(tblFleet[Calendar_h],tblFleet[Date],$A186,tblFleet[Equipment_Class],"Haul Truck")</f>
        <v/>
      </c>
      <c r="BI186" s="57">
        <f>IF($B186=$B185,$BI185,0)+$BH186</f>
        <v/>
      </c>
      <c r="BJ186" s="57">
        <f>$BJ185+$BH186</f>
        <v/>
      </c>
      <c r="BK186" s="57">
        <f>SUMIFS(tblFleet[Available_h],tblFleet[Date],$A186,tblFleet[Equipment_Class],"Haul Truck")</f>
        <v/>
      </c>
      <c r="BL186" s="57">
        <f>IF($B186=$B185,$BL185,0)+$BK186</f>
        <v/>
      </c>
      <c r="BM186" s="57">
        <f>$BM185+$BK186</f>
        <v/>
      </c>
      <c r="BN186" s="57">
        <f>SUMIFS(tblFleet[Operating_h],tblFleet[Date],$A186,tblFleet[Equipment_Class],"Haul Truck")</f>
        <v/>
      </c>
      <c r="BO186" s="57">
        <f>IF($B186=$B185,$BO185,0)+$BN186</f>
        <v/>
      </c>
      <c r="BP186" s="57">
        <f>$BP185+$BN186</f>
        <v/>
      </c>
      <c r="BQ186" s="67">
        <f>IFERROR(IF(($BH186)&gt;0,($BK186)/($BH186),""),"")</f>
        <v/>
      </c>
      <c r="BR186" s="67">
        <f>IFERROR(IF(($BI186)&gt;0,($BL186)/($BI186),""),"")</f>
        <v/>
      </c>
      <c r="BS186" s="67">
        <f>IFERROR(IF(($BJ186)&gt;0,($BM186)/($BJ186),""),"")</f>
        <v/>
      </c>
      <c r="BT186" s="67">
        <f>IFERROR(IF(($BK186)&gt;0,($BN186)/($BK186),""),"")</f>
        <v/>
      </c>
      <c r="BU186" s="67">
        <f>IFERROR(IF(($BL186)&gt;0,($BO186)/($BL186),""),"")</f>
        <v/>
      </c>
      <c r="BV186" s="67">
        <f>IFERROR(IF(($BM186)&gt;0,($BP186)/($BM186),""),"")</f>
        <v/>
      </c>
      <c r="BW186" s="55">
        <f>SUMIFS(tblPlant[Crushed_t],tblPlant[Date],$A186)</f>
        <v/>
      </c>
      <c r="BX186" s="55">
        <f>IF($B186=$B185,$BX185,0)+$BW186</f>
        <v/>
      </c>
      <c r="BY186" s="55">
        <f>$BY185+$BW186</f>
        <v/>
      </c>
      <c r="BZ186" s="55">
        <f>SUMIFS(tblPlant[Milled_t],tblPlant[Date],$A186)</f>
        <v/>
      </c>
      <c r="CA186" s="55">
        <f>IF($B186=$B185,$CA185,0)+$BZ186</f>
        <v/>
      </c>
      <c r="CB186" s="55">
        <f>$CB185+$BZ186</f>
        <v/>
      </c>
      <c r="CC186" s="55">
        <f>SUMIFS(tblPlant[Feed_oz],tblPlant[Date],$A186)</f>
        <v/>
      </c>
      <c r="CD186" s="55">
        <f>IF($B186=$B185,$CD185,0)+$CC186</f>
        <v/>
      </c>
      <c r="CE186" s="55">
        <f>$CE185+$CC186</f>
        <v/>
      </c>
      <c r="CF186" s="55">
        <f>SUMIFS(tblPlant[Tails_oz],tblPlant[Date],$A186)</f>
        <v/>
      </c>
      <c r="CG186" s="55">
        <f>IF($B186=$B185,$CG185,0)+$CF186</f>
        <v/>
      </c>
      <c r="CH186" s="55">
        <f>$CH185+$CF186</f>
        <v/>
      </c>
      <c r="CI186" s="55">
        <f>SUMIFS(tblPlant[Recovered_oz],tblPlant[Date],$A186)</f>
        <v/>
      </c>
      <c r="CJ186" s="55">
        <f>IF($B186=$B185,$CJ185,0)+$CI186</f>
        <v/>
      </c>
      <c r="CK186" s="55">
        <f>$CK185+$CI186</f>
        <v/>
      </c>
      <c r="CL186" s="56">
        <f>IFERROR(IF(($BZ186)&gt;0,($CC186*cfg_TroyOz)/($BZ186),""),"")</f>
        <v/>
      </c>
      <c r="CM186" s="56">
        <f>IFERROR(IF(($CA186)&gt;0,($CD186*cfg_TroyOz)/($CA186),""),"")</f>
        <v/>
      </c>
      <c r="CN186" s="56">
        <f>IFERROR(IF(($CB186)&gt;0,($CE186*cfg_TroyOz)/($CB186),""),"")</f>
        <v/>
      </c>
      <c r="CO186" s="56">
        <f>IFERROR(IF(($BZ186)&gt;0,($CF186*cfg_TroyOz)/($BZ186),""),"")</f>
        <v/>
      </c>
      <c r="CP186" s="56">
        <f>IFERROR(IF(($CA186)&gt;0,($CG186*cfg_TroyOz)/($CA186),""),"")</f>
        <v/>
      </c>
      <c r="CQ186" s="56">
        <f>IFERROR(IF(($CB186)&gt;0,($CH186*cfg_TroyOz)/($CB186),""),"")</f>
        <v/>
      </c>
      <c r="CR186" s="67">
        <f>IFERROR(IF(($CC186)&gt;0,($CI186)/($CC186),""),"")</f>
        <v/>
      </c>
      <c r="CS186" s="67">
        <f>IFERROR(IF(($CD186)&gt;0,($CJ186)/($CD186),""),"")</f>
        <v/>
      </c>
      <c r="CT186" s="67">
        <f>IFERROR(IF(($CE186)&gt;0,($CK186)/($CE186),""),"")</f>
        <v/>
      </c>
      <c r="CU186" s="55">
        <f>SUMIFS(tblPlant[Gravity_Gold_oz],tblPlant[Date],$A186)</f>
        <v/>
      </c>
      <c r="CV186" s="55">
        <f>IF($B186=$B185,$CV185,0)+$CU186</f>
        <v/>
      </c>
      <c r="CW186" s="55">
        <f>$CW185+$CU186</f>
        <v/>
      </c>
      <c r="CX186" s="55">
        <f>SUMIFS(tblPlant[Gold_Poured_oz],tblPlant[Date],$A186)</f>
        <v/>
      </c>
      <c r="CY186" s="55">
        <f>IF($B186=$B185,$CY185,0)+$CX186</f>
        <v/>
      </c>
      <c r="CZ186" s="55">
        <f>$CZ185+$CX186</f>
        <v/>
      </c>
      <c r="DA186" s="57">
        <f>SUMIFS(tblPlant[Mill_Run_h],tblPlant[Date],$A186)</f>
        <v/>
      </c>
      <c r="DB186" s="57">
        <f>IF($B186=$B185,$DB185,0)+$DA186</f>
        <v/>
      </c>
      <c r="DC186" s="57">
        <f>$DC185+$DA186</f>
        <v/>
      </c>
      <c r="DD186" s="57">
        <f>SUMIFS(tblPlant[Mill_Planned_Maint_h],tblPlant[Date],$A186)</f>
        <v/>
      </c>
      <c r="DE186" s="57">
        <f>IF($B186=$B185,$DE185,0)+$DD186</f>
        <v/>
      </c>
      <c r="DF186" s="57">
        <f>$DF185+$DD186</f>
        <v/>
      </c>
      <c r="DG186" s="57">
        <f>SUMIFS(tblPlant[Mill_Unplanned_Down_h],tblPlant[Date],$A186)</f>
        <v/>
      </c>
      <c r="DH186" s="57">
        <f>IF($B186=$B185,$DH185,0)+$DG186</f>
        <v/>
      </c>
      <c r="DI186" s="57">
        <f>$DI185+$DG186</f>
        <v/>
      </c>
      <c r="DJ186" s="57">
        <f>COUNTIFS(tblPlant[Date],$A186,tblPlant[Mill_Run_h],"&lt;&gt;")*24</f>
        <v/>
      </c>
      <c r="DK186" s="57">
        <f>IF($B186=$B185,$DK185,0)+$DJ186</f>
        <v/>
      </c>
      <c r="DL186" s="57">
        <f>$DL185+$DJ186</f>
        <v/>
      </c>
      <c r="DM186" s="57">
        <f>SUMIFS(tblPlant[Crusher_Run_h],tblPlant[Date],$A186)</f>
        <v/>
      </c>
      <c r="DN186" s="57">
        <f>IF($B186=$B185,$DN185,0)+$DM186</f>
        <v/>
      </c>
      <c r="DO186" s="57">
        <f>$DO185+$DM186</f>
        <v/>
      </c>
      <c r="DP186" s="55">
        <f>IFERROR(IF(($DA186)&gt;0,($BZ186)/($DA186),""),"")</f>
        <v/>
      </c>
      <c r="DQ186" s="55">
        <f>IFERROR(IF(($DB186)&gt;0,($CA186)/($DB186),""),"")</f>
        <v/>
      </c>
      <c r="DR186" s="55">
        <f>IFERROR(IF(($DC186)&gt;0,($CB186)/($DC186),""),"")</f>
        <v/>
      </c>
      <c r="DS186" s="67">
        <f>IFERROR(IF(($DJ186)&gt;0,($DJ186-$DD186-$DG186)/($DJ186),""),"")</f>
        <v/>
      </c>
      <c r="DT186" s="67">
        <f>IFERROR(IF(($DK186)&gt;0,($DK186-$DE186-$DH186)/($DK186),""),"")</f>
        <v/>
      </c>
      <c r="DU186" s="67">
        <f>IFERROR(IF(($DL186)&gt;0,($DL186-$DF186-$DI186)/($DL186),""),"")</f>
        <v/>
      </c>
      <c r="DV186" s="67">
        <f>IFERROR(IF(($DJ186-$DD186-$DG186)&gt;0,($DA186)/($DJ186-$DD186-$DG186),""),"")</f>
        <v/>
      </c>
      <c r="DW186" s="67">
        <f>IFERROR(IF(($DK186-$DE186-$DH186)&gt;0,($DB186)/($DK186-$DE186-$DH186),""),"")</f>
        <v/>
      </c>
      <c r="DX186" s="67">
        <f>IFERROR(IF(($DL186-$DF186-$DI186)&gt;0,($DC186)/($DL186-$DF186-$DI186),""),"")</f>
        <v/>
      </c>
      <c r="DY186" s="55">
        <f>SUMIFS(tblPlant[Cyanide_kg],tblPlant[Date],$A186)</f>
        <v/>
      </c>
      <c r="DZ186" s="55">
        <f>IF($B186=$B185,$DZ185,0)+$DY186</f>
        <v/>
      </c>
      <c r="EA186" s="55">
        <f>$EA185+$DY186</f>
        <v/>
      </c>
      <c r="EB186" s="55">
        <f>SUMIFS(tblPlant[Lime_kg],tblPlant[Date],$A186)</f>
        <v/>
      </c>
      <c r="EC186" s="55">
        <f>IF($B186=$B185,$EC185,0)+$EB186</f>
        <v/>
      </c>
      <c r="ED186" s="55">
        <f>$ED185+$EB186</f>
        <v/>
      </c>
      <c r="EE186" s="55">
        <f>SUMIFS(tblPlant[Grinding_Media_kg],tblPlant[Date],$A186)</f>
        <v/>
      </c>
      <c r="EF186" s="55">
        <f>IF($B186=$B185,$EF185,0)+$EE186</f>
        <v/>
      </c>
      <c r="EG186" s="55">
        <f>$EG185+$EE186</f>
        <v/>
      </c>
      <c r="EH186" s="55">
        <f>SUMIFS(tblPlant[Power_kWh],tblPlant[Date],$A186)</f>
        <v/>
      </c>
      <c r="EI186" s="55">
        <f>IF($B186=$B185,$EI185,0)+$EH186</f>
        <v/>
      </c>
      <c r="EJ186" s="55">
        <f>$EJ185+$EH186</f>
        <v/>
      </c>
      <c r="EK186" s="55">
        <f>SUMIFS(tblPlant[Raw_Water_m3],tblPlant[Date],$A186)</f>
        <v/>
      </c>
      <c r="EL186" s="55">
        <f>IF($B186=$B185,$EL185,0)+$EK186</f>
        <v/>
      </c>
      <c r="EM186" s="55">
        <f>$EM185+$EK186</f>
        <v/>
      </c>
      <c r="EN186" s="56">
        <f>IFERROR(IF(($BZ186)&gt;0,($DY186)/($BZ186),""),"")</f>
        <v/>
      </c>
      <c r="EO186" s="56">
        <f>IFERROR(IF(($CA186)&gt;0,($DZ186)/($CA186),""),"")</f>
        <v/>
      </c>
      <c r="EP186" s="56">
        <f>IFERROR(IF(($CB186)&gt;0,($EA186)/($CB186),""),"")</f>
        <v/>
      </c>
      <c r="EQ186" s="56">
        <f>IFERROR(IF(($BZ186)&gt;0,($EB186)/($BZ186),""),"")</f>
        <v/>
      </c>
      <c r="ER186" s="56">
        <f>IFERROR(IF(($CA186)&gt;0,($EC186)/($CA186),""),"")</f>
        <v/>
      </c>
      <c r="ES186" s="56">
        <f>IFERROR(IF(($CB186)&gt;0,($ED186)/($CB186),""),"")</f>
        <v/>
      </c>
      <c r="ET186" s="56">
        <f>IFERROR(IF(($BZ186)&gt;0,($EE186)/($BZ186),""),"")</f>
        <v/>
      </c>
      <c r="EU186" s="56">
        <f>IFERROR(IF(($CA186)&gt;0,($EF186)/($CA186),""),"")</f>
        <v/>
      </c>
      <c r="EV186" s="56">
        <f>IFERROR(IF(($CB186)&gt;0,($EG186)/($CB186),""),"")</f>
        <v/>
      </c>
      <c r="EW186" s="76">
        <f>IFERROR(IF(($BZ186)&gt;0,($EH186)/($BZ186),""),"")</f>
        <v/>
      </c>
      <c r="EX186" s="76">
        <f>IFERROR(IF(($CA186)&gt;0,($EI186)/($CA186),""),"")</f>
        <v/>
      </c>
      <c r="EY186" s="76">
        <f>IFERROR(IF(($CB186)&gt;0,($EJ186)/($CB186),""),"")</f>
        <v/>
      </c>
      <c r="EZ186" s="56">
        <f>IFERROR(IF(($BZ186)&gt;0,($EK186)/($BZ186),""),"")</f>
        <v/>
      </c>
      <c r="FA186" s="56">
        <f>IFERROR(IF(($CA186)&gt;0,($EL186)/($CA186),""),"")</f>
        <v/>
      </c>
      <c r="FB186" s="56">
        <f>IFERROR(IF(($CB186)&gt;0,($EM186)/($CB186),""),"")</f>
        <v/>
      </c>
      <c r="FC186" s="55">
        <f>IF(SUMIFS(tblPlant[GIC_oz],tblPlant[Date],$A186)&gt;0,SUMIFS(tblPlant[GIC_oz],tblPlant[Date],$A186),"")</f>
        <v/>
      </c>
      <c r="FD186" s="55">
        <f>SUMIFS(tblGold[Gold_oz],tblGold[Date],$A186,tblGold[Type],"Shipment")</f>
        <v/>
      </c>
      <c r="FE186" s="55">
        <f>IF($B186=$B185,$FE185,0)+$FD186</f>
        <v/>
      </c>
      <c r="FF186" s="55">
        <f>$FF185+$FD186</f>
        <v/>
      </c>
      <c r="FG186" s="55">
        <f>SUMIFS(tblGold[Gold_oz],tblGold[Date],$A186,tblGold[Type],"Sale")</f>
        <v/>
      </c>
      <c r="FH186" s="55">
        <f>IF($B186=$B185,$FH185,0)+$FG186</f>
        <v/>
      </c>
      <c r="FI186" s="55">
        <f>$FI185+$FG186</f>
        <v/>
      </c>
      <c r="FJ186" s="55">
        <f>SUMIFS(tblGold[Dore_kg],tblGold[Date],$A186,tblGold[Type],"Shipment")</f>
        <v/>
      </c>
      <c r="FK186" s="55">
        <f>IF($B186=$B185,$FK185,0)+$FJ186</f>
        <v/>
      </c>
      <c r="FL186" s="55">
        <f>$FL185+$FJ186</f>
        <v/>
      </c>
      <c r="FM186" s="57">
        <f>SUMIFS(tblSafety[Hours_Total],tblSafety[Date],$A186)</f>
        <v/>
      </c>
      <c r="FN186" s="57">
        <f>IF($B186=$B185,$FN185,0)+$FM186</f>
        <v/>
      </c>
      <c r="FO186" s="57">
        <f>$FO185+$FM186</f>
        <v/>
      </c>
      <c r="FP186" s="62">
        <f>SUMIFS(tblSafety[Fatality],tblSafety[Date],$A186)</f>
        <v/>
      </c>
      <c r="FQ186" s="62">
        <f>IF($B186=$B185,$FQ185,0)+$FP186</f>
        <v/>
      </c>
      <c r="FR186" s="62">
        <f>$FR185+$FP186</f>
        <v/>
      </c>
      <c r="FS186" s="62">
        <f>SUMIFS(tblSafety[LTI],tblSafety[Date],$A186)</f>
        <v/>
      </c>
      <c r="FT186" s="62">
        <f>IF($B186=$B185,$FT185,0)+$FS186</f>
        <v/>
      </c>
      <c r="FU186" s="62">
        <f>$FU185+$FS186</f>
        <v/>
      </c>
      <c r="FV186" s="62">
        <f>SUMIFS(tblSafety[RWI],tblSafety[Date],$A186)</f>
        <v/>
      </c>
      <c r="FW186" s="62">
        <f>IF($B186=$B185,$FW185,0)+$FV186</f>
        <v/>
      </c>
      <c r="FX186" s="62">
        <f>$FX185+$FV186</f>
        <v/>
      </c>
      <c r="FY186" s="62">
        <f>SUMIFS(tblSafety[MTI],tblSafety[Date],$A186)</f>
        <v/>
      </c>
      <c r="FZ186" s="62">
        <f>IF($B186=$B185,$FZ185,0)+$FY186</f>
        <v/>
      </c>
      <c r="GA186" s="62">
        <f>$GA185+$FY186</f>
        <v/>
      </c>
      <c r="GB186" s="62">
        <f>SUMIFS(tblSafety[FAI],tblSafety[Date],$A186)</f>
        <v/>
      </c>
      <c r="GC186" s="62">
        <f>IF($B186=$B185,$GC185,0)+$GB186</f>
        <v/>
      </c>
      <c r="GD186" s="62">
        <f>$GD185+$GB186</f>
        <v/>
      </c>
      <c r="GE186" s="62">
        <f>SUMIFS(tblSafety[Recordables],tblSafety[Date],$A186)</f>
        <v/>
      </c>
      <c r="GF186" s="62">
        <f>IF($B186=$B185,$GF185,0)+$GE186</f>
        <v/>
      </c>
      <c r="GG186" s="62">
        <f>$GG185+$GE186</f>
        <v/>
      </c>
      <c r="GH186" s="62">
        <f>SUMIFS(tblSafety[Near_Miss],tblSafety[Date],$A186)</f>
        <v/>
      </c>
      <c r="GI186" s="62">
        <f>IF($B186=$B185,$GI185,0)+$GH186</f>
        <v/>
      </c>
      <c r="GJ186" s="62">
        <f>$GJ185+$GH186</f>
        <v/>
      </c>
      <c r="GK186" s="62">
        <f>SUMIFS(tblSafety[Hazard_Reports],tblSafety[Date],$A186)</f>
        <v/>
      </c>
      <c r="GL186" s="62">
        <f>IF($B186=$B185,$GL185,0)+$GK186</f>
        <v/>
      </c>
      <c r="GM186" s="62">
        <f>$GM185+$GK186</f>
        <v/>
      </c>
      <c r="GN186" s="62">
        <f>SUMIFS(tblSafety[HPI],tblSafety[Date],$A186)</f>
        <v/>
      </c>
      <c r="GO186" s="62">
        <f>IF($B186=$B185,$GO185,0)+$GN186</f>
        <v/>
      </c>
      <c r="GP186" s="62">
        <f>$GP185+$GN186</f>
        <v/>
      </c>
      <c r="GQ186" s="62">
        <f>SUMIFS(tblSafety[Env_Incidents],tblSafety[Date],$A186)</f>
        <v/>
      </c>
      <c r="GR186" s="62">
        <f>IF($B186=$B185,$GR185,0)+$GQ186</f>
        <v/>
      </c>
      <c r="GS186" s="62">
        <f>$GS185+$GQ186</f>
        <v/>
      </c>
      <c r="GT186" s="62">
        <f>SUMIFS(tblSafety[Community_Incidents],tblSafety[Date],$A186)</f>
        <v/>
      </c>
      <c r="GU186" s="62">
        <f>IF($B186=$B185,$GU185,0)+$GT186</f>
        <v/>
      </c>
      <c r="GV186" s="62">
        <f>$GV185+$GT186</f>
        <v/>
      </c>
      <c r="GW186" s="62">
        <f>SUMIFS(tblSafety[Vehicle_Incidents],tblSafety[Date],$A186)</f>
        <v/>
      </c>
      <c r="GX186" s="62">
        <f>IF($B186=$B185,$GX185,0)+$GW186</f>
        <v/>
      </c>
      <c r="GY186" s="62">
        <f>$GY185+$GW186</f>
        <v/>
      </c>
      <c r="GZ186" s="62">
        <f>SUMIFS(tblSafety[Toolbox_Talks],tblSafety[Date],$A186)</f>
        <v/>
      </c>
      <c r="HA186" s="62">
        <f>IF($B186=$B185,$HA185,0)+$GZ186</f>
        <v/>
      </c>
      <c r="HB186" s="62">
        <f>$HB185+$GZ186</f>
        <v/>
      </c>
      <c r="HC186" s="62">
        <f>SUMIFS(tblSafety[Inspections],tblSafety[Date],$A186)</f>
        <v/>
      </c>
      <c r="HD186" s="62">
        <f>IF($B186=$B185,$HD185,0)+$HC186</f>
        <v/>
      </c>
      <c r="HE186" s="62">
        <f>$HE185+$HC186</f>
        <v/>
      </c>
      <c r="HF186" s="56">
        <f>IFERROR((SUMIFS(tblSafety[Recordables],tblSafety[Date],"&gt;="&amp;EDATE($E186,-12),tblSafety[Date],"&lt;="&amp;$A186)+SUMIFS(tblSafetyHistory[Recordables],tblSafetyHistory[Month],"&gt;="&amp;EDATE($E186,-12),tblSafetyHistory[Month],"&lt;"&amp;cfg_YearStart))/(SUMIFS(tblSafety[Hours_Total],tblSafety[Date],"&gt;="&amp;EDATE($E186,-12),tblSafety[Date],"&lt;="&amp;$A186)+SUMIFS(tblSafetyHistory[Hours_Total],tblSafetyHistory[Month],"&gt;="&amp;EDATE($E186,-12),tblSafetyHistory[Month],"&lt;"&amp;cfg_YearStart))*1000000,"")</f>
        <v/>
      </c>
      <c r="HG186" s="56">
        <f>IFERROR((SUMIFS(tblSafety[LTI],tblSafety[Date],"&gt;="&amp;EDATE($E186,-12),tblSafety[Date],"&lt;="&amp;$A186)+SUMIFS(tblSafetyHistory[LTI],tblSafetyHistory[Month],"&gt;="&amp;EDATE($E186,-12),tblSafetyHistory[Month],"&lt;"&amp;cfg_YearStart))/(SUMIFS(tblSafety[Hours_Total],tblSafety[Date],"&gt;="&amp;EDATE($E186,-12),tblSafety[Date],"&lt;="&amp;$A186)+SUMIFS(tblSafetyHistory[Hours_Total],tblSafetyHistory[Month],"&gt;="&amp;EDATE($E186,-12),tblSafetyHistory[Month],"&lt;"&amp;cfg_YearStart))*1000000,"")</f>
        <v/>
      </c>
      <c r="HH186" s="62">
        <f>IF(MAX(N(cfg_PriorLTIDate),_xlfn.MAXIFS(tblSafety[Date],tblSafety[LTI],"&gt;0",tblSafety[Date],"&lt;="&amp;$A186))=0,"",$A186-MAX(N(cfg_PriorLTIDate),_xlfn.MAXIFS(tblSafety[Date],tblSafety[LTI],"&gt;0",tblSafety[Date],"&lt;="&amp;$A186)))</f>
        <v/>
      </c>
      <c r="HI186" s="55">
        <f>SUMIFS(tblBudget[Ore_Mined_t],tblBudget[Month],$E186)</f>
        <v/>
      </c>
      <c r="HJ186" s="55">
        <f>$HI186*$C186/$D186</f>
        <v/>
      </c>
      <c r="HK186" s="55">
        <f>SUMIFS(tblBudget[Ore_Mined_t],tblBudget[Month],"&lt;"&amp;$E186)+$HJ186</f>
        <v/>
      </c>
      <c r="HL186" s="55">
        <f>SUMIFS(tblBudget[Ore_oz],tblBudget[Month],$E186)</f>
        <v/>
      </c>
      <c r="HM186" s="55">
        <f>$HL186*$C186/$D186</f>
        <v/>
      </c>
      <c r="HN186" s="55">
        <f>SUMIFS(tblBudget[Ore_oz],tblBudget[Month],"&lt;"&amp;$E186)+$HM186</f>
        <v/>
      </c>
      <c r="HO186" s="56">
        <f>IFERROR(IF(($HI186)&gt;0,($HL186*cfg_TroyOz)/($HI186),""),"")</f>
        <v/>
      </c>
      <c r="HP186" s="56">
        <f>IFERROR(IF(($HJ186)&gt;0,($HM186*cfg_TroyOz)/($HJ186),""),"")</f>
        <v/>
      </c>
      <c r="HQ186" s="56">
        <f>IFERROR(IF(($HK186)&gt;0,($HN186*cfg_TroyOz)/($HK186),""),"")</f>
        <v/>
      </c>
      <c r="HR186" s="55">
        <f>SUMIFS(tblBudget[Waste_t],tblBudget[Month],$E186)</f>
        <v/>
      </c>
      <c r="HS186" s="55">
        <f>$HR186*$C186/$D186</f>
        <v/>
      </c>
      <c r="HT186" s="55">
        <f>SUMIFS(tblBudget[Waste_t],tblBudget[Month],"&lt;"&amp;$E186)+$HS186</f>
        <v/>
      </c>
      <c r="HU186" s="55">
        <f>SUMIFS(tblBudget[TMM_t],tblBudget[Month],$E186)</f>
        <v/>
      </c>
      <c r="HV186" s="55">
        <f>$HU186*$C186/$D186</f>
        <v/>
      </c>
      <c r="HW186" s="55">
        <f>SUMIFS(tblBudget[TMM_t],tblBudget[Month],"&lt;"&amp;$E186)+$HV186</f>
        <v/>
      </c>
      <c r="HX186" s="56">
        <f>IFERROR(IF(($HI186)&gt;0,($HR186)/($HI186),""),"")</f>
        <v/>
      </c>
      <c r="HY186" s="56">
        <f>IFERROR(IF(($HJ186)&gt;0,($HS186)/($HJ186),""),"")</f>
        <v/>
      </c>
      <c r="HZ186" s="56">
        <f>IFERROR(IF(($HK186)&gt;0,($HT186)/($HK186),""),"")</f>
        <v/>
      </c>
      <c r="IA186" s="55">
        <f>SUMIFS(tblBudget[Drill_m],tblBudget[Month],$E186)</f>
        <v/>
      </c>
      <c r="IB186" s="55">
        <f>$IA186*$C186/$D186</f>
        <v/>
      </c>
      <c r="IC186" s="55">
        <f>SUMIFS(tblBudget[Drill_m],tblBudget[Month],"&lt;"&amp;$E186)+$IB186</f>
        <v/>
      </c>
      <c r="ID186" s="55">
        <f>SUMIFS(tblBudget[Diesel_L],tblBudget[Month],$E186)</f>
        <v/>
      </c>
      <c r="IE186" s="55">
        <f>$ID186*$C186/$D186</f>
        <v/>
      </c>
      <c r="IF186" s="55">
        <f>SUMIFS(tblBudget[Diesel_L],tblBudget[Month],"&lt;"&amp;$E186)+$IE186</f>
        <v/>
      </c>
      <c r="IG186" s="55">
        <f>SUMIFS(tblBudget[Milled_t],tblBudget[Month],$E186)</f>
        <v/>
      </c>
      <c r="IH186" s="55">
        <f>$IG186*$C186/$D186</f>
        <v/>
      </c>
      <c r="II186" s="55">
        <f>SUMIFS(tblBudget[Milled_t],tblBudget[Month],"&lt;"&amp;$E186)+$IH186</f>
        <v/>
      </c>
      <c r="IJ186" s="55">
        <f>SUMIFS(tblBudget[Feed_oz],tblBudget[Month],$E186)</f>
        <v/>
      </c>
      <c r="IK186" s="55">
        <f>$IJ186*$C186/$D186</f>
        <v/>
      </c>
      <c r="IL186" s="55">
        <f>SUMIFS(tblBudget[Feed_oz],tblBudget[Month],"&lt;"&amp;$E186)+$IK186</f>
        <v/>
      </c>
      <c r="IM186" s="55">
        <f>SUMIFS(tblBudget[Recovered_oz],tblBudget[Month],$E186)</f>
        <v/>
      </c>
      <c r="IN186" s="55">
        <f>$IM186*$C186/$D186</f>
        <v/>
      </c>
      <c r="IO186" s="55">
        <f>SUMIFS(tblBudget[Recovered_oz],tblBudget[Month],"&lt;"&amp;$E186)+$IN186</f>
        <v/>
      </c>
      <c r="IP186" s="56">
        <f>IFERROR(IF(($IG186)&gt;0,($IJ186*cfg_TroyOz)/($IG186),""),"")</f>
        <v/>
      </c>
      <c r="IQ186" s="56">
        <f>IFERROR(IF(($IH186)&gt;0,($IK186*cfg_TroyOz)/($IH186),""),"")</f>
        <v/>
      </c>
      <c r="IR186" s="56">
        <f>IFERROR(IF(($II186)&gt;0,($IL186*cfg_TroyOz)/($II186),""),"")</f>
        <v/>
      </c>
      <c r="IS186" s="67">
        <f>IFERROR(IF(($IJ186)&gt;0,($IM186)/($IJ186),""),"")</f>
        <v/>
      </c>
      <c r="IT186" s="67">
        <f>IFERROR(IF(($IK186)&gt;0,($IN186)/($IK186),""),"")</f>
        <v/>
      </c>
      <c r="IU186" s="67">
        <f>IFERROR(IF(($IL186)&gt;0,($IO186)/($IL186),""),"")</f>
        <v/>
      </c>
      <c r="IV186" s="55">
        <f>SUMIFS(tblBudget[Gold_Poured_oz],tblBudget[Month],$E186)</f>
        <v/>
      </c>
      <c r="IW186" s="55">
        <f>$IV186*$C186/$D186</f>
        <v/>
      </c>
      <c r="IX186" s="55">
        <f>SUMIFS(tblBudget[Gold_Poured_oz],tblBudget[Month],"&lt;"&amp;$E186)+$IW186</f>
        <v/>
      </c>
      <c r="IY186" s="57">
        <f>SUMIFS(tblBudget[Hours_Worked],tblBudget[Month],$E186)</f>
        <v/>
      </c>
      <c r="IZ186" s="57">
        <f>$IY186*$C186/$D186</f>
        <v/>
      </c>
      <c r="JA186" s="57">
        <f>SUMIFS(tblBudget[Hours_Worked],tblBudget[Month],"&lt;"&amp;$E186)+$IZ186</f>
        <v/>
      </c>
    </row>
    <row r="187">
      <c r="A187" s="54" t="n">
        <v>46208</v>
      </c>
      <c r="B187">
        <f>MONTH($A187)</f>
        <v/>
      </c>
      <c r="C187">
        <f>DAY($A187)</f>
        <v/>
      </c>
      <c r="D187">
        <f>DAY(EOMONTH($A187,0))</f>
        <v/>
      </c>
      <c r="E187" s="54">
        <f>DATE(YEAR($A187),MONTH($A187),1)</f>
        <v/>
      </c>
      <c r="F187" s="55">
        <f>SUMIFS(tblMovement[Tonnes_t],tblMovement[Date],$A187,tblMovement[Is_Ore],1,tblMovement[Source_Type],"Pit")</f>
        <v/>
      </c>
      <c r="G187" s="55">
        <f>IF($B187=$B186,$G186,0)+$F187</f>
        <v/>
      </c>
      <c r="H187" s="55">
        <f>$H186+$F187</f>
        <v/>
      </c>
      <c r="I187" s="55">
        <f>SUMIFS(tblMovement[Ore_oz],tblMovement[Date],$A187,tblMovement[Source_Type],"Pit")</f>
        <v/>
      </c>
      <c r="J187" s="55">
        <f>IF($B187=$B186,$J186,0)+$I187</f>
        <v/>
      </c>
      <c r="K187" s="55">
        <f>$K186+$I187</f>
        <v/>
      </c>
      <c r="L187" s="56">
        <f>IFERROR(IF(($F187)&gt;0,($I187*cfg_TroyOz)/($F187),""),"")</f>
        <v/>
      </c>
      <c r="M187" s="56">
        <f>IFERROR(IF(($G187)&gt;0,($J187*cfg_TroyOz)/($G187),""),"")</f>
        <v/>
      </c>
      <c r="N187" s="56">
        <f>IFERROR(IF(($H187)&gt;0,($K187*cfg_TroyOz)/($H187),""),"")</f>
        <v/>
      </c>
      <c r="O187" s="55">
        <f>SUMIFS(tblMovement[Tonnes_t],tblMovement[Date],$A187,tblMovement[Is_Ore],0,tblMovement[Source_Type],"Pit")</f>
        <v/>
      </c>
      <c r="P187" s="55">
        <f>IF($B187=$B186,$P186,0)+$O187</f>
        <v/>
      </c>
      <c r="Q187" s="55">
        <f>$Q186+$O187</f>
        <v/>
      </c>
      <c r="R187" s="55">
        <f>$F187+$O187</f>
        <v/>
      </c>
      <c r="S187" s="55">
        <f>IF($B187=$B186,$S186,0)+$R187</f>
        <v/>
      </c>
      <c r="T187" s="55">
        <f>$T186+$R187</f>
        <v/>
      </c>
      <c r="U187" s="56">
        <f>IFERROR(IF(($F187)&gt;0,($O187)/($F187),""),"")</f>
        <v/>
      </c>
      <c r="V187" s="56">
        <f>IFERROR(IF(($G187)&gt;0,($P187)/($G187),""),"")</f>
        <v/>
      </c>
      <c r="W187" s="56">
        <f>IFERROR(IF(($H187)&gt;0,($Q187)/($H187),""),"")</f>
        <v/>
      </c>
      <c r="X187" s="55">
        <f>SUMIFS(tblMovement[Tonnes_t],tblMovement[Date],$A187,tblMovement[Source_Type],"Stockpile")</f>
        <v/>
      </c>
      <c r="Y187" s="55">
        <f>IF($B187=$B186,$Y186,0)+$X187</f>
        <v/>
      </c>
      <c r="Z187" s="55">
        <f>$Z186+$X187</f>
        <v/>
      </c>
      <c r="AA187" s="55">
        <f>SUMIFS(tblMiningDaily[Drill_m],tblMiningDaily[Date],$A187)</f>
        <v/>
      </c>
      <c r="AB187" s="55">
        <f>IF($B187=$B186,$AB186,0)+$AA187</f>
        <v/>
      </c>
      <c r="AC187" s="55">
        <f>$AC186+$AA187</f>
        <v/>
      </c>
      <c r="AD187" s="55">
        <f>SUMIFS(tblMiningDaily[Blast_t],tblMiningDaily[Date],$A187)</f>
        <v/>
      </c>
      <c r="AE187" s="55">
        <f>IF($B187=$B186,$AE186,0)+$AD187</f>
        <v/>
      </c>
      <c r="AF187" s="55">
        <f>$AF186+$AD187</f>
        <v/>
      </c>
      <c r="AG187" s="55">
        <f>SUMIFS(tblMiningDaily[Explosives_kg],tblMiningDaily[Date],$A187)</f>
        <v/>
      </c>
      <c r="AH187" s="55">
        <f>IF($B187=$B186,$AH186,0)+$AG187</f>
        <v/>
      </c>
      <c r="AI187" s="55">
        <f>$AI186+$AG187</f>
        <v/>
      </c>
      <c r="AJ187" s="56">
        <f>IFERROR(IF(($AD187)&gt;0,($AG187)/($AD187),""),"")</f>
        <v/>
      </c>
      <c r="AK187" s="56">
        <f>IFERROR(IF(($AE187)&gt;0,($AH187)/($AE187),""),"")</f>
        <v/>
      </c>
      <c r="AL187" s="56">
        <f>IFERROR(IF(($AF187)&gt;0,($AI187)/($AF187),""),"")</f>
        <v/>
      </c>
      <c r="AM187" s="55">
        <f>SUMIFS(tblMiningDaily[Diesel_L],tblMiningDaily[Date],$A187)</f>
        <v/>
      </c>
      <c r="AN187" s="55">
        <f>IF($B187=$B186,$AN186,0)+$AM187</f>
        <v/>
      </c>
      <c r="AO187" s="55">
        <f>$AO186+$AM187</f>
        <v/>
      </c>
      <c r="AP187" s="55">
        <f>SUMIFS(tblMiningDaily[Dewatering_m3],tblMiningDaily[Date],$A187)</f>
        <v/>
      </c>
      <c r="AQ187" s="55">
        <f>IF($B187=$B186,$AQ186,0)+$AP187</f>
        <v/>
      </c>
      <c r="AR187" s="55">
        <f>$AR186+$AP187</f>
        <v/>
      </c>
      <c r="AS187" s="57">
        <f>SUMIFS(tblFleet[Calendar_h],tblFleet[Date],$A187,tblFleet[Equipment_Class],"Excavator")</f>
        <v/>
      </c>
      <c r="AT187" s="57">
        <f>IF($B187=$B186,$AT186,0)+$AS187</f>
        <v/>
      </c>
      <c r="AU187" s="57">
        <f>$AU186+$AS187</f>
        <v/>
      </c>
      <c r="AV187" s="57">
        <f>SUMIFS(tblFleet[Available_h],tblFleet[Date],$A187,tblFleet[Equipment_Class],"Excavator")</f>
        <v/>
      </c>
      <c r="AW187" s="57">
        <f>IF($B187=$B186,$AW186,0)+$AV187</f>
        <v/>
      </c>
      <c r="AX187" s="57">
        <f>$AX186+$AV187</f>
        <v/>
      </c>
      <c r="AY187" s="57">
        <f>SUMIFS(tblFleet[Operating_h],tblFleet[Date],$A187,tblFleet[Equipment_Class],"Excavator")</f>
        <v/>
      </c>
      <c r="AZ187" s="57">
        <f>IF($B187=$B186,$AZ186,0)+$AY187</f>
        <v/>
      </c>
      <c r="BA187" s="57">
        <f>$BA186+$AY187</f>
        <v/>
      </c>
      <c r="BB187" s="67">
        <f>IFERROR(IF(($AS187)&gt;0,($AV187)/($AS187),""),"")</f>
        <v/>
      </c>
      <c r="BC187" s="67">
        <f>IFERROR(IF(($AT187)&gt;0,($AW187)/($AT187),""),"")</f>
        <v/>
      </c>
      <c r="BD187" s="67">
        <f>IFERROR(IF(($AU187)&gt;0,($AX187)/($AU187),""),"")</f>
        <v/>
      </c>
      <c r="BE187" s="67">
        <f>IFERROR(IF(($AV187)&gt;0,($AY187)/($AV187),""),"")</f>
        <v/>
      </c>
      <c r="BF187" s="67">
        <f>IFERROR(IF(($AW187)&gt;0,($AZ187)/($AW187),""),"")</f>
        <v/>
      </c>
      <c r="BG187" s="67">
        <f>IFERROR(IF(($AX187)&gt;0,($BA187)/($AX187),""),"")</f>
        <v/>
      </c>
      <c r="BH187" s="57">
        <f>SUMIFS(tblFleet[Calendar_h],tblFleet[Date],$A187,tblFleet[Equipment_Class],"Haul Truck")</f>
        <v/>
      </c>
      <c r="BI187" s="57">
        <f>IF($B187=$B186,$BI186,0)+$BH187</f>
        <v/>
      </c>
      <c r="BJ187" s="57">
        <f>$BJ186+$BH187</f>
        <v/>
      </c>
      <c r="BK187" s="57">
        <f>SUMIFS(tblFleet[Available_h],tblFleet[Date],$A187,tblFleet[Equipment_Class],"Haul Truck")</f>
        <v/>
      </c>
      <c r="BL187" s="57">
        <f>IF($B187=$B186,$BL186,0)+$BK187</f>
        <v/>
      </c>
      <c r="BM187" s="57">
        <f>$BM186+$BK187</f>
        <v/>
      </c>
      <c r="BN187" s="57">
        <f>SUMIFS(tblFleet[Operating_h],tblFleet[Date],$A187,tblFleet[Equipment_Class],"Haul Truck")</f>
        <v/>
      </c>
      <c r="BO187" s="57">
        <f>IF($B187=$B186,$BO186,0)+$BN187</f>
        <v/>
      </c>
      <c r="BP187" s="57">
        <f>$BP186+$BN187</f>
        <v/>
      </c>
      <c r="BQ187" s="67">
        <f>IFERROR(IF(($BH187)&gt;0,($BK187)/($BH187),""),"")</f>
        <v/>
      </c>
      <c r="BR187" s="67">
        <f>IFERROR(IF(($BI187)&gt;0,($BL187)/($BI187),""),"")</f>
        <v/>
      </c>
      <c r="BS187" s="67">
        <f>IFERROR(IF(($BJ187)&gt;0,($BM187)/($BJ187),""),"")</f>
        <v/>
      </c>
      <c r="BT187" s="67">
        <f>IFERROR(IF(($BK187)&gt;0,($BN187)/($BK187),""),"")</f>
        <v/>
      </c>
      <c r="BU187" s="67">
        <f>IFERROR(IF(($BL187)&gt;0,($BO187)/($BL187),""),"")</f>
        <v/>
      </c>
      <c r="BV187" s="67">
        <f>IFERROR(IF(($BM187)&gt;0,($BP187)/($BM187),""),"")</f>
        <v/>
      </c>
      <c r="BW187" s="55">
        <f>SUMIFS(tblPlant[Crushed_t],tblPlant[Date],$A187)</f>
        <v/>
      </c>
      <c r="BX187" s="55">
        <f>IF($B187=$B186,$BX186,0)+$BW187</f>
        <v/>
      </c>
      <c r="BY187" s="55">
        <f>$BY186+$BW187</f>
        <v/>
      </c>
      <c r="BZ187" s="55">
        <f>SUMIFS(tblPlant[Milled_t],tblPlant[Date],$A187)</f>
        <v/>
      </c>
      <c r="CA187" s="55">
        <f>IF($B187=$B186,$CA186,0)+$BZ187</f>
        <v/>
      </c>
      <c r="CB187" s="55">
        <f>$CB186+$BZ187</f>
        <v/>
      </c>
      <c r="CC187" s="55">
        <f>SUMIFS(tblPlant[Feed_oz],tblPlant[Date],$A187)</f>
        <v/>
      </c>
      <c r="CD187" s="55">
        <f>IF($B187=$B186,$CD186,0)+$CC187</f>
        <v/>
      </c>
      <c r="CE187" s="55">
        <f>$CE186+$CC187</f>
        <v/>
      </c>
      <c r="CF187" s="55">
        <f>SUMIFS(tblPlant[Tails_oz],tblPlant[Date],$A187)</f>
        <v/>
      </c>
      <c r="CG187" s="55">
        <f>IF($B187=$B186,$CG186,0)+$CF187</f>
        <v/>
      </c>
      <c r="CH187" s="55">
        <f>$CH186+$CF187</f>
        <v/>
      </c>
      <c r="CI187" s="55">
        <f>SUMIFS(tblPlant[Recovered_oz],tblPlant[Date],$A187)</f>
        <v/>
      </c>
      <c r="CJ187" s="55">
        <f>IF($B187=$B186,$CJ186,0)+$CI187</f>
        <v/>
      </c>
      <c r="CK187" s="55">
        <f>$CK186+$CI187</f>
        <v/>
      </c>
      <c r="CL187" s="56">
        <f>IFERROR(IF(($BZ187)&gt;0,($CC187*cfg_TroyOz)/($BZ187),""),"")</f>
        <v/>
      </c>
      <c r="CM187" s="56">
        <f>IFERROR(IF(($CA187)&gt;0,($CD187*cfg_TroyOz)/($CA187),""),"")</f>
        <v/>
      </c>
      <c r="CN187" s="56">
        <f>IFERROR(IF(($CB187)&gt;0,($CE187*cfg_TroyOz)/($CB187),""),"")</f>
        <v/>
      </c>
      <c r="CO187" s="56">
        <f>IFERROR(IF(($BZ187)&gt;0,($CF187*cfg_TroyOz)/($BZ187),""),"")</f>
        <v/>
      </c>
      <c r="CP187" s="56">
        <f>IFERROR(IF(($CA187)&gt;0,($CG187*cfg_TroyOz)/($CA187),""),"")</f>
        <v/>
      </c>
      <c r="CQ187" s="56">
        <f>IFERROR(IF(($CB187)&gt;0,($CH187*cfg_TroyOz)/($CB187),""),"")</f>
        <v/>
      </c>
      <c r="CR187" s="67">
        <f>IFERROR(IF(($CC187)&gt;0,($CI187)/($CC187),""),"")</f>
        <v/>
      </c>
      <c r="CS187" s="67">
        <f>IFERROR(IF(($CD187)&gt;0,($CJ187)/($CD187),""),"")</f>
        <v/>
      </c>
      <c r="CT187" s="67">
        <f>IFERROR(IF(($CE187)&gt;0,($CK187)/($CE187),""),"")</f>
        <v/>
      </c>
      <c r="CU187" s="55">
        <f>SUMIFS(tblPlant[Gravity_Gold_oz],tblPlant[Date],$A187)</f>
        <v/>
      </c>
      <c r="CV187" s="55">
        <f>IF($B187=$B186,$CV186,0)+$CU187</f>
        <v/>
      </c>
      <c r="CW187" s="55">
        <f>$CW186+$CU187</f>
        <v/>
      </c>
      <c r="CX187" s="55">
        <f>SUMIFS(tblPlant[Gold_Poured_oz],tblPlant[Date],$A187)</f>
        <v/>
      </c>
      <c r="CY187" s="55">
        <f>IF($B187=$B186,$CY186,0)+$CX187</f>
        <v/>
      </c>
      <c r="CZ187" s="55">
        <f>$CZ186+$CX187</f>
        <v/>
      </c>
      <c r="DA187" s="57">
        <f>SUMIFS(tblPlant[Mill_Run_h],tblPlant[Date],$A187)</f>
        <v/>
      </c>
      <c r="DB187" s="57">
        <f>IF($B187=$B186,$DB186,0)+$DA187</f>
        <v/>
      </c>
      <c r="DC187" s="57">
        <f>$DC186+$DA187</f>
        <v/>
      </c>
      <c r="DD187" s="57">
        <f>SUMIFS(tblPlant[Mill_Planned_Maint_h],tblPlant[Date],$A187)</f>
        <v/>
      </c>
      <c r="DE187" s="57">
        <f>IF($B187=$B186,$DE186,0)+$DD187</f>
        <v/>
      </c>
      <c r="DF187" s="57">
        <f>$DF186+$DD187</f>
        <v/>
      </c>
      <c r="DG187" s="57">
        <f>SUMIFS(tblPlant[Mill_Unplanned_Down_h],tblPlant[Date],$A187)</f>
        <v/>
      </c>
      <c r="DH187" s="57">
        <f>IF($B187=$B186,$DH186,0)+$DG187</f>
        <v/>
      </c>
      <c r="DI187" s="57">
        <f>$DI186+$DG187</f>
        <v/>
      </c>
      <c r="DJ187" s="57">
        <f>COUNTIFS(tblPlant[Date],$A187,tblPlant[Mill_Run_h],"&lt;&gt;")*24</f>
        <v/>
      </c>
      <c r="DK187" s="57">
        <f>IF($B187=$B186,$DK186,0)+$DJ187</f>
        <v/>
      </c>
      <c r="DL187" s="57">
        <f>$DL186+$DJ187</f>
        <v/>
      </c>
      <c r="DM187" s="57">
        <f>SUMIFS(tblPlant[Crusher_Run_h],tblPlant[Date],$A187)</f>
        <v/>
      </c>
      <c r="DN187" s="57">
        <f>IF($B187=$B186,$DN186,0)+$DM187</f>
        <v/>
      </c>
      <c r="DO187" s="57">
        <f>$DO186+$DM187</f>
        <v/>
      </c>
      <c r="DP187" s="55">
        <f>IFERROR(IF(($DA187)&gt;0,($BZ187)/($DA187),""),"")</f>
        <v/>
      </c>
      <c r="DQ187" s="55">
        <f>IFERROR(IF(($DB187)&gt;0,($CA187)/($DB187),""),"")</f>
        <v/>
      </c>
      <c r="DR187" s="55">
        <f>IFERROR(IF(($DC187)&gt;0,($CB187)/($DC187),""),"")</f>
        <v/>
      </c>
      <c r="DS187" s="67">
        <f>IFERROR(IF(($DJ187)&gt;0,($DJ187-$DD187-$DG187)/($DJ187),""),"")</f>
        <v/>
      </c>
      <c r="DT187" s="67">
        <f>IFERROR(IF(($DK187)&gt;0,($DK187-$DE187-$DH187)/($DK187),""),"")</f>
        <v/>
      </c>
      <c r="DU187" s="67">
        <f>IFERROR(IF(($DL187)&gt;0,($DL187-$DF187-$DI187)/($DL187),""),"")</f>
        <v/>
      </c>
      <c r="DV187" s="67">
        <f>IFERROR(IF(($DJ187-$DD187-$DG187)&gt;0,($DA187)/($DJ187-$DD187-$DG187),""),"")</f>
        <v/>
      </c>
      <c r="DW187" s="67">
        <f>IFERROR(IF(($DK187-$DE187-$DH187)&gt;0,($DB187)/($DK187-$DE187-$DH187),""),"")</f>
        <v/>
      </c>
      <c r="DX187" s="67">
        <f>IFERROR(IF(($DL187-$DF187-$DI187)&gt;0,($DC187)/($DL187-$DF187-$DI187),""),"")</f>
        <v/>
      </c>
      <c r="DY187" s="55">
        <f>SUMIFS(tblPlant[Cyanide_kg],tblPlant[Date],$A187)</f>
        <v/>
      </c>
      <c r="DZ187" s="55">
        <f>IF($B187=$B186,$DZ186,0)+$DY187</f>
        <v/>
      </c>
      <c r="EA187" s="55">
        <f>$EA186+$DY187</f>
        <v/>
      </c>
      <c r="EB187" s="55">
        <f>SUMIFS(tblPlant[Lime_kg],tblPlant[Date],$A187)</f>
        <v/>
      </c>
      <c r="EC187" s="55">
        <f>IF($B187=$B186,$EC186,0)+$EB187</f>
        <v/>
      </c>
      <c r="ED187" s="55">
        <f>$ED186+$EB187</f>
        <v/>
      </c>
      <c r="EE187" s="55">
        <f>SUMIFS(tblPlant[Grinding_Media_kg],tblPlant[Date],$A187)</f>
        <v/>
      </c>
      <c r="EF187" s="55">
        <f>IF($B187=$B186,$EF186,0)+$EE187</f>
        <v/>
      </c>
      <c r="EG187" s="55">
        <f>$EG186+$EE187</f>
        <v/>
      </c>
      <c r="EH187" s="55">
        <f>SUMIFS(tblPlant[Power_kWh],tblPlant[Date],$A187)</f>
        <v/>
      </c>
      <c r="EI187" s="55">
        <f>IF($B187=$B186,$EI186,0)+$EH187</f>
        <v/>
      </c>
      <c r="EJ187" s="55">
        <f>$EJ186+$EH187</f>
        <v/>
      </c>
      <c r="EK187" s="55">
        <f>SUMIFS(tblPlant[Raw_Water_m3],tblPlant[Date],$A187)</f>
        <v/>
      </c>
      <c r="EL187" s="55">
        <f>IF($B187=$B186,$EL186,0)+$EK187</f>
        <v/>
      </c>
      <c r="EM187" s="55">
        <f>$EM186+$EK187</f>
        <v/>
      </c>
      <c r="EN187" s="56">
        <f>IFERROR(IF(($BZ187)&gt;0,($DY187)/($BZ187),""),"")</f>
        <v/>
      </c>
      <c r="EO187" s="56">
        <f>IFERROR(IF(($CA187)&gt;0,($DZ187)/($CA187),""),"")</f>
        <v/>
      </c>
      <c r="EP187" s="56">
        <f>IFERROR(IF(($CB187)&gt;0,($EA187)/($CB187),""),"")</f>
        <v/>
      </c>
      <c r="EQ187" s="56">
        <f>IFERROR(IF(($BZ187)&gt;0,($EB187)/($BZ187),""),"")</f>
        <v/>
      </c>
      <c r="ER187" s="56">
        <f>IFERROR(IF(($CA187)&gt;0,($EC187)/($CA187),""),"")</f>
        <v/>
      </c>
      <c r="ES187" s="56">
        <f>IFERROR(IF(($CB187)&gt;0,($ED187)/($CB187),""),"")</f>
        <v/>
      </c>
      <c r="ET187" s="56">
        <f>IFERROR(IF(($BZ187)&gt;0,($EE187)/($BZ187),""),"")</f>
        <v/>
      </c>
      <c r="EU187" s="56">
        <f>IFERROR(IF(($CA187)&gt;0,($EF187)/($CA187),""),"")</f>
        <v/>
      </c>
      <c r="EV187" s="56">
        <f>IFERROR(IF(($CB187)&gt;0,($EG187)/($CB187),""),"")</f>
        <v/>
      </c>
      <c r="EW187" s="76">
        <f>IFERROR(IF(($BZ187)&gt;0,($EH187)/($BZ187),""),"")</f>
        <v/>
      </c>
      <c r="EX187" s="76">
        <f>IFERROR(IF(($CA187)&gt;0,($EI187)/($CA187),""),"")</f>
        <v/>
      </c>
      <c r="EY187" s="76">
        <f>IFERROR(IF(($CB187)&gt;0,($EJ187)/($CB187),""),"")</f>
        <v/>
      </c>
      <c r="EZ187" s="56">
        <f>IFERROR(IF(($BZ187)&gt;0,($EK187)/($BZ187),""),"")</f>
        <v/>
      </c>
      <c r="FA187" s="56">
        <f>IFERROR(IF(($CA187)&gt;0,($EL187)/($CA187),""),"")</f>
        <v/>
      </c>
      <c r="FB187" s="56">
        <f>IFERROR(IF(($CB187)&gt;0,($EM187)/($CB187),""),"")</f>
        <v/>
      </c>
      <c r="FC187" s="55">
        <f>IF(SUMIFS(tblPlant[GIC_oz],tblPlant[Date],$A187)&gt;0,SUMIFS(tblPlant[GIC_oz],tblPlant[Date],$A187),"")</f>
        <v/>
      </c>
      <c r="FD187" s="55">
        <f>SUMIFS(tblGold[Gold_oz],tblGold[Date],$A187,tblGold[Type],"Shipment")</f>
        <v/>
      </c>
      <c r="FE187" s="55">
        <f>IF($B187=$B186,$FE186,0)+$FD187</f>
        <v/>
      </c>
      <c r="FF187" s="55">
        <f>$FF186+$FD187</f>
        <v/>
      </c>
      <c r="FG187" s="55">
        <f>SUMIFS(tblGold[Gold_oz],tblGold[Date],$A187,tblGold[Type],"Sale")</f>
        <v/>
      </c>
      <c r="FH187" s="55">
        <f>IF($B187=$B186,$FH186,0)+$FG187</f>
        <v/>
      </c>
      <c r="FI187" s="55">
        <f>$FI186+$FG187</f>
        <v/>
      </c>
      <c r="FJ187" s="55">
        <f>SUMIFS(tblGold[Dore_kg],tblGold[Date],$A187,tblGold[Type],"Shipment")</f>
        <v/>
      </c>
      <c r="FK187" s="55">
        <f>IF($B187=$B186,$FK186,0)+$FJ187</f>
        <v/>
      </c>
      <c r="FL187" s="55">
        <f>$FL186+$FJ187</f>
        <v/>
      </c>
      <c r="FM187" s="57">
        <f>SUMIFS(tblSafety[Hours_Total],tblSafety[Date],$A187)</f>
        <v/>
      </c>
      <c r="FN187" s="57">
        <f>IF($B187=$B186,$FN186,0)+$FM187</f>
        <v/>
      </c>
      <c r="FO187" s="57">
        <f>$FO186+$FM187</f>
        <v/>
      </c>
      <c r="FP187" s="62">
        <f>SUMIFS(tblSafety[Fatality],tblSafety[Date],$A187)</f>
        <v/>
      </c>
      <c r="FQ187" s="62">
        <f>IF($B187=$B186,$FQ186,0)+$FP187</f>
        <v/>
      </c>
      <c r="FR187" s="62">
        <f>$FR186+$FP187</f>
        <v/>
      </c>
      <c r="FS187" s="62">
        <f>SUMIFS(tblSafety[LTI],tblSafety[Date],$A187)</f>
        <v/>
      </c>
      <c r="FT187" s="62">
        <f>IF($B187=$B186,$FT186,0)+$FS187</f>
        <v/>
      </c>
      <c r="FU187" s="62">
        <f>$FU186+$FS187</f>
        <v/>
      </c>
      <c r="FV187" s="62">
        <f>SUMIFS(tblSafety[RWI],tblSafety[Date],$A187)</f>
        <v/>
      </c>
      <c r="FW187" s="62">
        <f>IF($B187=$B186,$FW186,0)+$FV187</f>
        <v/>
      </c>
      <c r="FX187" s="62">
        <f>$FX186+$FV187</f>
        <v/>
      </c>
      <c r="FY187" s="62">
        <f>SUMIFS(tblSafety[MTI],tblSafety[Date],$A187)</f>
        <v/>
      </c>
      <c r="FZ187" s="62">
        <f>IF($B187=$B186,$FZ186,0)+$FY187</f>
        <v/>
      </c>
      <c r="GA187" s="62">
        <f>$GA186+$FY187</f>
        <v/>
      </c>
      <c r="GB187" s="62">
        <f>SUMIFS(tblSafety[FAI],tblSafety[Date],$A187)</f>
        <v/>
      </c>
      <c r="GC187" s="62">
        <f>IF($B187=$B186,$GC186,0)+$GB187</f>
        <v/>
      </c>
      <c r="GD187" s="62">
        <f>$GD186+$GB187</f>
        <v/>
      </c>
      <c r="GE187" s="62">
        <f>SUMIFS(tblSafety[Recordables],tblSafety[Date],$A187)</f>
        <v/>
      </c>
      <c r="GF187" s="62">
        <f>IF($B187=$B186,$GF186,0)+$GE187</f>
        <v/>
      </c>
      <c r="GG187" s="62">
        <f>$GG186+$GE187</f>
        <v/>
      </c>
      <c r="GH187" s="62">
        <f>SUMIFS(tblSafety[Near_Miss],tblSafety[Date],$A187)</f>
        <v/>
      </c>
      <c r="GI187" s="62">
        <f>IF($B187=$B186,$GI186,0)+$GH187</f>
        <v/>
      </c>
      <c r="GJ187" s="62">
        <f>$GJ186+$GH187</f>
        <v/>
      </c>
      <c r="GK187" s="62">
        <f>SUMIFS(tblSafety[Hazard_Reports],tblSafety[Date],$A187)</f>
        <v/>
      </c>
      <c r="GL187" s="62">
        <f>IF($B187=$B186,$GL186,0)+$GK187</f>
        <v/>
      </c>
      <c r="GM187" s="62">
        <f>$GM186+$GK187</f>
        <v/>
      </c>
      <c r="GN187" s="62">
        <f>SUMIFS(tblSafety[HPI],tblSafety[Date],$A187)</f>
        <v/>
      </c>
      <c r="GO187" s="62">
        <f>IF($B187=$B186,$GO186,0)+$GN187</f>
        <v/>
      </c>
      <c r="GP187" s="62">
        <f>$GP186+$GN187</f>
        <v/>
      </c>
      <c r="GQ187" s="62">
        <f>SUMIFS(tblSafety[Env_Incidents],tblSafety[Date],$A187)</f>
        <v/>
      </c>
      <c r="GR187" s="62">
        <f>IF($B187=$B186,$GR186,0)+$GQ187</f>
        <v/>
      </c>
      <c r="GS187" s="62">
        <f>$GS186+$GQ187</f>
        <v/>
      </c>
      <c r="GT187" s="62">
        <f>SUMIFS(tblSafety[Community_Incidents],tblSafety[Date],$A187)</f>
        <v/>
      </c>
      <c r="GU187" s="62">
        <f>IF($B187=$B186,$GU186,0)+$GT187</f>
        <v/>
      </c>
      <c r="GV187" s="62">
        <f>$GV186+$GT187</f>
        <v/>
      </c>
      <c r="GW187" s="62">
        <f>SUMIFS(tblSafety[Vehicle_Incidents],tblSafety[Date],$A187)</f>
        <v/>
      </c>
      <c r="GX187" s="62">
        <f>IF($B187=$B186,$GX186,0)+$GW187</f>
        <v/>
      </c>
      <c r="GY187" s="62">
        <f>$GY186+$GW187</f>
        <v/>
      </c>
      <c r="GZ187" s="62">
        <f>SUMIFS(tblSafety[Toolbox_Talks],tblSafety[Date],$A187)</f>
        <v/>
      </c>
      <c r="HA187" s="62">
        <f>IF($B187=$B186,$HA186,0)+$GZ187</f>
        <v/>
      </c>
      <c r="HB187" s="62">
        <f>$HB186+$GZ187</f>
        <v/>
      </c>
      <c r="HC187" s="62">
        <f>SUMIFS(tblSafety[Inspections],tblSafety[Date],$A187)</f>
        <v/>
      </c>
      <c r="HD187" s="62">
        <f>IF($B187=$B186,$HD186,0)+$HC187</f>
        <v/>
      </c>
      <c r="HE187" s="62">
        <f>$HE186+$HC187</f>
        <v/>
      </c>
      <c r="HF187" s="56">
        <f>IFERROR((SUMIFS(tblSafety[Recordables],tblSafety[Date],"&gt;="&amp;EDATE($E187,-12),tblSafety[Date],"&lt;="&amp;$A187)+SUMIFS(tblSafetyHistory[Recordables],tblSafetyHistory[Month],"&gt;="&amp;EDATE($E187,-12),tblSafetyHistory[Month],"&lt;"&amp;cfg_YearStart))/(SUMIFS(tblSafety[Hours_Total],tblSafety[Date],"&gt;="&amp;EDATE($E187,-12),tblSafety[Date],"&lt;="&amp;$A187)+SUMIFS(tblSafetyHistory[Hours_Total],tblSafetyHistory[Month],"&gt;="&amp;EDATE($E187,-12),tblSafetyHistory[Month],"&lt;"&amp;cfg_YearStart))*1000000,"")</f>
        <v/>
      </c>
      <c r="HG187" s="56">
        <f>IFERROR((SUMIFS(tblSafety[LTI],tblSafety[Date],"&gt;="&amp;EDATE($E187,-12),tblSafety[Date],"&lt;="&amp;$A187)+SUMIFS(tblSafetyHistory[LTI],tblSafetyHistory[Month],"&gt;="&amp;EDATE($E187,-12),tblSafetyHistory[Month],"&lt;"&amp;cfg_YearStart))/(SUMIFS(tblSafety[Hours_Total],tblSafety[Date],"&gt;="&amp;EDATE($E187,-12),tblSafety[Date],"&lt;="&amp;$A187)+SUMIFS(tblSafetyHistory[Hours_Total],tblSafetyHistory[Month],"&gt;="&amp;EDATE($E187,-12),tblSafetyHistory[Month],"&lt;"&amp;cfg_YearStart))*1000000,"")</f>
        <v/>
      </c>
      <c r="HH187" s="62">
        <f>IF(MAX(N(cfg_PriorLTIDate),_xlfn.MAXIFS(tblSafety[Date],tblSafety[LTI],"&gt;0",tblSafety[Date],"&lt;="&amp;$A187))=0,"",$A187-MAX(N(cfg_PriorLTIDate),_xlfn.MAXIFS(tblSafety[Date],tblSafety[LTI],"&gt;0",tblSafety[Date],"&lt;="&amp;$A187)))</f>
        <v/>
      </c>
      <c r="HI187" s="55">
        <f>SUMIFS(tblBudget[Ore_Mined_t],tblBudget[Month],$E187)</f>
        <v/>
      </c>
      <c r="HJ187" s="55">
        <f>$HI187*$C187/$D187</f>
        <v/>
      </c>
      <c r="HK187" s="55">
        <f>SUMIFS(tblBudget[Ore_Mined_t],tblBudget[Month],"&lt;"&amp;$E187)+$HJ187</f>
        <v/>
      </c>
      <c r="HL187" s="55">
        <f>SUMIFS(tblBudget[Ore_oz],tblBudget[Month],$E187)</f>
        <v/>
      </c>
      <c r="HM187" s="55">
        <f>$HL187*$C187/$D187</f>
        <v/>
      </c>
      <c r="HN187" s="55">
        <f>SUMIFS(tblBudget[Ore_oz],tblBudget[Month],"&lt;"&amp;$E187)+$HM187</f>
        <v/>
      </c>
      <c r="HO187" s="56">
        <f>IFERROR(IF(($HI187)&gt;0,($HL187*cfg_TroyOz)/($HI187),""),"")</f>
        <v/>
      </c>
      <c r="HP187" s="56">
        <f>IFERROR(IF(($HJ187)&gt;0,($HM187*cfg_TroyOz)/($HJ187),""),"")</f>
        <v/>
      </c>
      <c r="HQ187" s="56">
        <f>IFERROR(IF(($HK187)&gt;0,($HN187*cfg_TroyOz)/($HK187),""),"")</f>
        <v/>
      </c>
      <c r="HR187" s="55">
        <f>SUMIFS(tblBudget[Waste_t],tblBudget[Month],$E187)</f>
        <v/>
      </c>
      <c r="HS187" s="55">
        <f>$HR187*$C187/$D187</f>
        <v/>
      </c>
      <c r="HT187" s="55">
        <f>SUMIFS(tblBudget[Waste_t],tblBudget[Month],"&lt;"&amp;$E187)+$HS187</f>
        <v/>
      </c>
      <c r="HU187" s="55">
        <f>SUMIFS(tblBudget[TMM_t],tblBudget[Month],$E187)</f>
        <v/>
      </c>
      <c r="HV187" s="55">
        <f>$HU187*$C187/$D187</f>
        <v/>
      </c>
      <c r="HW187" s="55">
        <f>SUMIFS(tblBudget[TMM_t],tblBudget[Month],"&lt;"&amp;$E187)+$HV187</f>
        <v/>
      </c>
      <c r="HX187" s="56">
        <f>IFERROR(IF(($HI187)&gt;0,($HR187)/($HI187),""),"")</f>
        <v/>
      </c>
      <c r="HY187" s="56">
        <f>IFERROR(IF(($HJ187)&gt;0,($HS187)/($HJ187),""),"")</f>
        <v/>
      </c>
      <c r="HZ187" s="56">
        <f>IFERROR(IF(($HK187)&gt;0,($HT187)/($HK187),""),"")</f>
        <v/>
      </c>
      <c r="IA187" s="55">
        <f>SUMIFS(tblBudget[Drill_m],tblBudget[Month],$E187)</f>
        <v/>
      </c>
      <c r="IB187" s="55">
        <f>$IA187*$C187/$D187</f>
        <v/>
      </c>
      <c r="IC187" s="55">
        <f>SUMIFS(tblBudget[Drill_m],tblBudget[Month],"&lt;"&amp;$E187)+$IB187</f>
        <v/>
      </c>
      <c r="ID187" s="55">
        <f>SUMIFS(tblBudget[Diesel_L],tblBudget[Month],$E187)</f>
        <v/>
      </c>
      <c r="IE187" s="55">
        <f>$ID187*$C187/$D187</f>
        <v/>
      </c>
      <c r="IF187" s="55">
        <f>SUMIFS(tblBudget[Diesel_L],tblBudget[Month],"&lt;"&amp;$E187)+$IE187</f>
        <v/>
      </c>
      <c r="IG187" s="55">
        <f>SUMIFS(tblBudget[Milled_t],tblBudget[Month],$E187)</f>
        <v/>
      </c>
      <c r="IH187" s="55">
        <f>$IG187*$C187/$D187</f>
        <v/>
      </c>
      <c r="II187" s="55">
        <f>SUMIFS(tblBudget[Milled_t],tblBudget[Month],"&lt;"&amp;$E187)+$IH187</f>
        <v/>
      </c>
      <c r="IJ187" s="55">
        <f>SUMIFS(tblBudget[Feed_oz],tblBudget[Month],$E187)</f>
        <v/>
      </c>
      <c r="IK187" s="55">
        <f>$IJ187*$C187/$D187</f>
        <v/>
      </c>
      <c r="IL187" s="55">
        <f>SUMIFS(tblBudget[Feed_oz],tblBudget[Month],"&lt;"&amp;$E187)+$IK187</f>
        <v/>
      </c>
      <c r="IM187" s="55">
        <f>SUMIFS(tblBudget[Recovered_oz],tblBudget[Month],$E187)</f>
        <v/>
      </c>
      <c r="IN187" s="55">
        <f>$IM187*$C187/$D187</f>
        <v/>
      </c>
      <c r="IO187" s="55">
        <f>SUMIFS(tblBudget[Recovered_oz],tblBudget[Month],"&lt;"&amp;$E187)+$IN187</f>
        <v/>
      </c>
      <c r="IP187" s="56">
        <f>IFERROR(IF(($IG187)&gt;0,($IJ187*cfg_TroyOz)/($IG187),""),"")</f>
        <v/>
      </c>
      <c r="IQ187" s="56">
        <f>IFERROR(IF(($IH187)&gt;0,($IK187*cfg_TroyOz)/($IH187),""),"")</f>
        <v/>
      </c>
      <c r="IR187" s="56">
        <f>IFERROR(IF(($II187)&gt;0,($IL187*cfg_TroyOz)/($II187),""),"")</f>
        <v/>
      </c>
      <c r="IS187" s="67">
        <f>IFERROR(IF(($IJ187)&gt;0,($IM187)/($IJ187),""),"")</f>
        <v/>
      </c>
      <c r="IT187" s="67">
        <f>IFERROR(IF(($IK187)&gt;0,($IN187)/($IK187),""),"")</f>
        <v/>
      </c>
      <c r="IU187" s="67">
        <f>IFERROR(IF(($IL187)&gt;0,($IO187)/($IL187),""),"")</f>
        <v/>
      </c>
      <c r="IV187" s="55">
        <f>SUMIFS(tblBudget[Gold_Poured_oz],tblBudget[Month],$E187)</f>
        <v/>
      </c>
      <c r="IW187" s="55">
        <f>$IV187*$C187/$D187</f>
        <v/>
      </c>
      <c r="IX187" s="55">
        <f>SUMIFS(tblBudget[Gold_Poured_oz],tblBudget[Month],"&lt;"&amp;$E187)+$IW187</f>
        <v/>
      </c>
      <c r="IY187" s="57">
        <f>SUMIFS(tblBudget[Hours_Worked],tblBudget[Month],$E187)</f>
        <v/>
      </c>
      <c r="IZ187" s="57">
        <f>$IY187*$C187/$D187</f>
        <v/>
      </c>
      <c r="JA187" s="57">
        <f>SUMIFS(tblBudget[Hours_Worked],tblBudget[Month],"&lt;"&amp;$E187)+$IZ187</f>
        <v/>
      </c>
    </row>
    <row r="188">
      <c r="A188" s="54" t="n">
        <v>46209</v>
      </c>
      <c r="B188">
        <f>MONTH($A188)</f>
        <v/>
      </c>
      <c r="C188">
        <f>DAY($A188)</f>
        <v/>
      </c>
      <c r="D188">
        <f>DAY(EOMONTH($A188,0))</f>
        <v/>
      </c>
      <c r="E188" s="54">
        <f>DATE(YEAR($A188),MONTH($A188),1)</f>
        <v/>
      </c>
      <c r="F188" s="55">
        <f>SUMIFS(tblMovement[Tonnes_t],tblMovement[Date],$A188,tblMovement[Is_Ore],1,tblMovement[Source_Type],"Pit")</f>
        <v/>
      </c>
      <c r="G188" s="55">
        <f>IF($B188=$B187,$G187,0)+$F188</f>
        <v/>
      </c>
      <c r="H188" s="55">
        <f>$H187+$F188</f>
        <v/>
      </c>
      <c r="I188" s="55">
        <f>SUMIFS(tblMovement[Ore_oz],tblMovement[Date],$A188,tblMovement[Source_Type],"Pit")</f>
        <v/>
      </c>
      <c r="J188" s="55">
        <f>IF($B188=$B187,$J187,0)+$I188</f>
        <v/>
      </c>
      <c r="K188" s="55">
        <f>$K187+$I188</f>
        <v/>
      </c>
      <c r="L188" s="56">
        <f>IFERROR(IF(($F188)&gt;0,($I188*cfg_TroyOz)/($F188),""),"")</f>
        <v/>
      </c>
      <c r="M188" s="56">
        <f>IFERROR(IF(($G188)&gt;0,($J188*cfg_TroyOz)/($G188),""),"")</f>
        <v/>
      </c>
      <c r="N188" s="56">
        <f>IFERROR(IF(($H188)&gt;0,($K188*cfg_TroyOz)/($H188),""),"")</f>
        <v/>
      </c>
      <c r="O188" s="55">
        <f>SUMIFS(tblMovement[Tonnes_t],tblMovement[Date],$A188,tblMovement[Is_Ore],0,tblMovement[Source_Type],"Pit")</f>
        <v/>
      </c>
      <c r="P188" s="55">
        <f>IF($B188=$B187,$P187,0)+$O188</f>
        <v/>
      </c>
      <c r="Q188" s="55">
        <f>$Q187+$O188</f>
        <v/>
      </c>
      <c r="R188" s="55">
        <f>$F188+$O188</f>
        <v/>
      </c>
      <c r="S188" s="55">
        <f>IF($B188=$B187,$S187,0)+$R188</f>
        <v/>
      </c>
      <c r="T188" s="55">
        <f>$T187+$R188</f>
        <v/>
      </c>
      <c r="U188" s="56">
        <f>IFERROR(IF(($F188)&gt;0,($O188)/($F188),""),"")</f>
        <v/>
      </c>
      <c r="V188" s="56">
        <f>IFERROR(IF(($G188)&gt;0,($P188)/($G188),""),"")</f>
        <v/>
      </c>
      <c r="W188" s="56">
        <f>IFERROR(IF(($H188)&gt;0,($Q188)/($H188),""),"")</f>
        <v/>
      </c>
      <c r="X188" s="55">
        <f>SUMIFS(tblMovement[Tonnes_t],tblMovement[Date],$A188,tblMovement[Source_Type],"Stockpile")</f>
        <v/>
      </c>
      <c r="Y188" s="55">
        <f>IF($B188=$B187,$Y187,0)+$X188</f>
        <v/>
      </c>
      <c r="Z188" s="55">
        <f>$Z187+$X188</f>
        <v/>
      </c>
      <c r="AA188" s="55">
        <f>SUMIFS(tblMiningDaily[Drill_m],tblMiningDaily[Date],$A188)</f>
        <v/>
      </c>
      <c r="AB188" s="55">
        <f>IF($B188=$B187,$AB187,0)+$AA188</f>
        <v/>
      </c>
      <c r="AC188" s="55">
        <f>$AC187+$AA188</f>
        <v/>
      </c>
      <c r="AD188" s="55">
        <f>SUMIFS(tblMiningDaily[Blast_t],tblMiningDaily[Date],$A188)</f>
        <v/>
      </c>
      <c r="AE188" s="55">
        <f>IF($B188=$B187,$AE187,0)+$AD188</f>
        <v/>
      </c>
      <c r="AF188" s="55">
        <f>$AF187+$AD188</f>
        <v/>
      </c>
      <c r="AG188" s="55">
        <f>SUMIFS(tblMiningDaily[Explosives_kg],tblMiningDaily[Date],$A188)</f>
        <v/>
      </c>
      <c r="AH188" s="55">
        <f>IF($B188=$B187,$AH187,0)+$AG188</f>
        <v/>
      </c>
      <c r="AI188" s="55">
        <f>$AI187+$AG188</f>
        <v/>
      </c>
      <c r="AJ188" s="56">
        <f>IFERROR(IF(($AD188)&gt;0,($AG188)/($AD188),""),"")</f>
        <v/>
      </c>
      <c r="AK188" s="56">
        <f>IFERROR(IF(($AE188)&gt;0,($AH188)/($AE188),""),"")</f>
        <v/>
      </c>
      <c r="AL188" s="56">
        <f>IFERROR(IF(($AF188)&gt;0,($AI188)/($AF188),""),"")</f>
        <v/>
      </c>
      <c r="AM188" s="55">
        <f>SUMIFS(tblMiningDaily[Diesel_L],tblMiningDaily[Date],$A188)</f>
        <v/>
      </c>
      <c r="AN188" s="55">
        <f>IF($B188=$B187,$AN187,0)+$AM188</f>
        <v/>
      </c>
      <c r="AO188" s="55">
        <f>$AO187+$AM188</f>
        <v/>
      </c>
      <c r="AP188" s="55">
        <f>SUMIFS(tblMiningDaily[Dewatering_m3],tblMiningDaily[Date],$A188)</f>
        <v/>
      </c>
      <c r="AQ188" s="55">
        <f>IF($B188=$B187,$AQ187,0)+$AP188</f>
        <v/>
      </c>
      <c r="AR188" s="55">
        <f>$AR187+$AP188</f>
        <v/>
      </c>
      <c r="AS188" s="57">
        <f>SUMIFS(tblFleet[Calendar_h],tblFleet[Date],$A188,tblFleet[Equipment_Class],"Excavator")</f>
        <v/>
      </c>
      <c r="AT188" s="57">
        <f>IF($B188=$B187,$AT187,0)+$AS188</f>
        <v/>
      </c>
      <c r="AU188" s="57">
        <f>$AU187+$AS188</f>
        <v/>
      </c>
      <c r="AV188" s="57">
        <f>SUMIFS(tblFleet[Available_h],tblFleet[Date],$A188,tblFleet[Equipment_Class],"Excavator")</f>
        <v/>
      </c>
      <c r="AW188" s="57">
        <f>IF($B188=$B187,$AW187,0)+$AV188</f>
        <v/>
      </c>
      <c r="AX188" s="57">
        <f>$AX187+$AV188</f>
        <v/>
      </c>
      <c r="AY188" s="57">
        <f>SUMIFS(tblFleet[Operating_h],tblFleet[Date],$A188,tblFleet[Equipment_Class],"Excavator")</f>
        <v/>
      </c>
      <c r="AZ188" s="57">
        <f>IF($B188=$B187,$AZ187,0)+$AY188</f>
        <v/>
      </c>
      <c r="BA188" s="57">
        <f>$BA187+$AY188</f>
        <v/>
      </c>
      <c r="BB188" s="67">
        <f>IFERROR(IF(($AS188)&gt;0,($AV188)/($AS188),""),"")</f>
        <v/>
      </c>
      <c r="BC188" s="67">
        <f>IFERROR(IF(($AT188)&gt;0,($AW188)/($AT188),""),"")</f>
        <v/>
      </c>
      <c r="BD188" s="67">
        <f>IFERROR(IF(($AU188)&gt;0,($AX188)/($AU188),""),"")</f>
        <v/>
      </c>
      <c r="BE188" s="67">
        <f>IFERROR(IF(($AV188)&gt;0,($AY188)/($AV188),""),"")</f>
        <v/>
      </c>
      <c r="BF188" s="67">
        <f>IFERROR(IF(($AW188)&gt;0,($AZ188)/($AW188),""),"")</f>
        <v/>
      </c>
      <c r="BG188" s="67">
        <f>IFERROR(IF(($AX188)&gt;0,($BA188)/($AX188),""),"")</f>
        <v/>
      </c>
      <c r="BH188" s="57">
        <f>SUMIFS(tblFleet[Calendar_h],tblFleet[Date],$A188,tblFleet[Equipment_Class],"Haul Truck")</f>
        <v/>
      </c>
      <c r="BI188" s="57">
        <f>IF($B188=$B187,$BI187,0)+$BH188</f>
        <v/>
      </c>
      <c r="BJ188" s="57">
        <f>$BJ187+$BH188</f>
        <v/>
      </c>
      <c r="BK188" s="57">
        <f>SUMIFS(tblFleet[Available_h],tblFleet[Date],$A188,tblFleet[Equipment_Class],"Haul Truck")</f>
        <v/>
      </c>
      <c r="BL188" s="57">
        <f>IF($B188=$B187,$BL187,0)+$BK188</f>
        <v/>
      </c>
      <c r="BM188" s="57">
        <f>$BM187+$BK188</f>
        <v/>
      </c>
      <c r="BN188" s="57">
        <f>SUMIFS(tblFleet[Operating_h],tblFleet[Date],$A188,tblFleet[Equipment_Class],"Haul Truck")</f>
        <v/>
      </c>
      <c r="BO188" s="57">
        <f>IF($B188=$B187,$BO187,0)+$BN188</f>
        <v/>
      </c>
      <c r="BP188" s="57">
        <f>$BP187+$BN188</f>
        <v/>
      </c>
      <c r="BQ188" s="67">
        <f>IFERROR(IF(($BH188)&gt;0,($BK188)/($BH188),""),"")</f>
        <v/>
      </c>
      <c r="BR188" s="67">
        <f>IFERROR(IF(($BI188)&gt;0,($BL188)/($BI188),""),"")</f>
        <v/>
      </c>
      <c r="BS188" s="67">
        <f>IFERROR(IF(($BJ188)&gt;0,($BM188)/($BJ188),""),"")</f>
        <v/>
      </c>
      <c r="BT188" s="67">
        <f>IFERROR(IF(($BK188)&gt;0,($BN188)/($BK188),""),"")</f>
        <v/>
      </c>
      <c r="BU188" s="67">
        <f>IFERROR(IF(($BL188)&gt;0,($BO188)/($BL188),""),"")</f>
        <v/>
      </c>
      <c r="BV188" s="67">
        <f>IFERROR(IF(($BM188)&gt;0,($BP188)/($BM188),""),"")</f>
        <v/>
      </c>
      <c r="BW188" s="55">
        <f>SUMIFS(tblPlant[Crushed_t],tblPlant[Date],$A188)</f>
        <v/>
      </c>
      <c r="BX188" s="55">
        <f>IF($B188=$B187,$BX187,0)+$BW188</f>
        <v/>
      </c>
      <c r="BY188" s="55">
        <f>$BY187+$BW188</f>
        <v/>
      </c>
      <c r="BZ188" s="55">
        <f>SUMIFS(tblPlant[Milled_t],tblPlant[Date],$A188)</f>
        <v/>
      </c>
      <c r="CA188" s="55">
        <f>IF($B188=$B187,$CA187,0)+$BZ188</f>
        <v/>
      </c>
      <c r="CB188" s="55">
        <f>$CB187+$BZ188</f>
        <v/>
      </c>
      <c r="CC188" s="55">
        <f>SUMIFS(tblPlant[Feed_oz],tblPlant[Date],$A188)</f>
        <v/>
      </c>
      <c r="CD188" s="55">
        <f>IF($B188=$B187,$CD187,0)+$CC188</f>
        <v/>
      </c>
      <c r="CE188" s="55">
        <f>$CE187+$CC188</f>
        <v/>
      </c>
      <c r="CF188" s="55">
        <f>SUMIFS(tblPlant[Tails_oz],tblPlant[Date],$A188)</f>
        <v/>
      </c>
      <c r="CG188" s="55">
        <f>IF($B188=$B187,$CG187,0)+$CF188</f>
        <v/>
      </c>
      <c r="CH188" s="55">
        <f>$CH187+$CF188</f>
        <v/>
      </c>
      <c r="CI188" s="55">
        <f>SUMIFS(tblPlant[Recovered_oz],tblPlant[Date],$A188)</f>
        <v/>
      </c>
      <c r="CJ188" s="55">
        <f>IF($B188=$B187,$CJ187,0)+$CI188</f>
        <v/>
      </c>
      <c r="CK188" s="55">
        <f>$CK187+$CI188</f>
        <v/>
      </c>
      <c r="CL188" s="56">
        <f>IFERROR(IF(($BZ188)&gt;0,($CC188*cfg_TroyOz)/($BZ188),""),"")</f>
        <v/>
      </c>
      <c r="CM188" s="56">
        <f>IFERROR(IF(($CA188)&gt;0,($CD188*cfg_TroyOz)/($CA188),""),"")</f>
        <v/>
      </c>
      <c r="CN188" s="56">
        <f>IFERROR(IF(($CB188)&gt;0,($CE188*cfg_TroyOz)/($CB188),""),"")</f>
        <v/>
      </c>
      <c r="CO188" s="56">
        <f>IFERROR(IF(($BZ188)&gt;0,($CF188*cfg_TroyOz)/($BZ188),""),"")</f>
        <v/>
      </c>
      <c r="CP188" s="56">
        <f>IFERROR(IF(($CA188)&gt;0,($CG188*cfg_TroyOz)/($CA188),""),"")</f>
        <v/>
      </c>
      <c r="CQ188" s="56">
        <f>IFERROR(IF(($CB188)&gt;0,($CH188*cfg_TroyOz)/($CB188),""),"")</f>
        <v/>
      </c>
      <c r="CR188" s="67">
        <f>IFERROR(IF(($CC188)&gt;0,($CI188)/($CC188),""),"")</f>
        <v/>
      </c>
      <c r="CS188" s="67">
        <f>IFERROR(IF(($CD188)&gt;0,($CJ188)/($CD188),""),"")</f>
        <v/>
      </c>
      <c r="CT188" s="67">
        <f>IFERROR(IF(($CE188)&gt;0,($CK188)/($CE188),""),"")</f>
        <v/>
      </c>
      <c r="CU188" s="55">
        <f>SUMIFS(tblPlant[Gravity_Gold_oz],tblPlant[Date],$A188)</f>
        <v/>
      </c>
      <c r="CV188" s="55">
        <f>IF($B188=$B187,$CV187,0)+$CU188</f>
        <v/>
      </c>
      <c r="CW188" s="55">
        <f>$CW187+$CU188</f>
        <v/>
      </c>
      <c r="CX188" s="55">
        <f>SUMIFS(tblPlant[Gold_Poured_oz],tblPlant[Date],$A188)</f>
        <v/>
      </c>
      <c r="CY188" s="55">
        <f>IF($B188=$B187,$CY187,0)+$CX188</f>
        <v/>
      </c>
      <c r="CZ188" s="55">
        <f>$CZ187+$CX188</f>
        <v/>
      </c>
      <c r="DA188" s="57">
        <f>SUMIFS(tblPlant[Mill_Run_h],tblPlant[Date],$A188)</f>
        <v/>
      </c>
      <c r="DB188" s="57">
        <f>IF($B188=$B187,$DB187,0)+$DA188</f>
        <v/>
      </c>
      <c r="DC188" s="57">
        <f>$DC187+$DA188</f>
        <v/>
      </c>
      <c r="DD188" s="57">
        <f>SUMIFS(tblPlant[Mill_Planned_Maint_h],tblPlant[Date],$A188)</f>
        <v/>
      </c>
      <c r="DE188" s="57">
        <f>IF($B188=$B187,$DE187,0)+$DD188</f>
        <v/>
      </c>
      <c r="DF188" s="57">
        <f>$DF187+$DD188</f>
        <v/>
      </c>
      <c r="DG188" s="57">
        <f>SUMIFS(tblPlant[Mill_Unplanned_Down_h],tblPlant[Date],$A188)</f>
        <v/>
      </c>
      <c r="DH188" s="57">
        <f>IF($B188=$B187,$DH187,0)+$DG188</f>
        <v/>
      </c>
      <c r="DI188" s="57">
        <f>$DI187+$DG188</f>
        <v/>
      </c>
      <c r="DJ188" s="57">
        <f>COUNTIFS(tblPlant[Date],$A188,tblPlant[Mill_Run_h],"&lt;&gt;")*24</f>
        <v/>
      </c>
      <c r="DK188" s="57">
        <f>IF($B188=$B187,$DK187,0)+$DJ188</f>
        <v/>
      </c>
      <c r="DL188" s="57">
        <f>$DL187+$DJ188</f>
        <v/>
      </c>
      <c r="DM188" s="57">
        <f>SUMIFS(tblPlant[Crusher_Run_h],tblPlant[Date],$A188)</f>
        <v/>
      </c>
      <c r="DN188" s="57">
        <f>IF($B188=$B187,$DN187,0)+$DM188</f>
        <v/>
      </c>
      <c r="DO188" s="57">
        <f>$DO187+$DM188</f>
        <v/>
      </c>
      <c r="DP188" s="55">
        <f>IFERROR(IF(($DA188)&gt;0,($BZ188)/($DA188),""),"")</f>
        <v/>
      </c>
      <c r="DQ188" s="55">
        <f>IFERROR(IF(($DB188)&gt;0,($CA188)/($DB188),""),"")</f>
        <v/>
      </c>
      <c r="DR188" s="55">
        <f>IFERROR(IF(($DC188)&gt;0,($CB188)/($DC188),""),"")</f>
        <v/>
      </c>
      <c r="DS188" s="67">
        <f>IFERROR(IF(($DJ188)&gt;0,($DJ188-$DD188-$DG188)/($DJ188),""),"")</f>
        <v/>
      </c>
      <c r="DT188" s="67">
        <f>IFERROR(IF(($DK188)&gt;0,($DK188-$DE188-$DH188)/($DK188),""),"")</f>
        <v/>
      </c>
      <c r="DU188" s="67">
        <f>IFERROR(IF(($DL188)&gt;0,($DL188-$DF188-$DI188)/($DL188),""),"")</f>
        <v/>
      </c>
      <c r="DV188" s="67">
        <f>IFERROR(IF(($DJ188-$DD188-$DG188)&gt;0,($DA188)/($DJ188-$DD188-$DG188),""),"")</f>
        <v/>
      </c>
      <c r="DW188" s="67">
        <f>IFERROR(IF(($DK188-$DE188-$DH188)&gt;0,($DB188)/($DK188-$DE188-$DH188),""),"")</f>
        <v/>
      </c>
      <c r="DX188" s="67">
        <f>IFERROR(IF(($DL188-$DF188-$DI188)&gt;0,($DC188)/($DL188-$DF188-$DI188),""),"")</f>
        <v/>
      </c>
      <c r="DY188" s="55">
        <f>SUMIFS(tblPlant[Cyanide_kg],tblPlant[Date],$A188)</f>
        <v/>
      </c>
      <c r="DZ188" s="55">
        <f>IF($B188=$B187,$DZ187,0)+$DY188</f>
        <v/>
      </c>
      <c r="EA188" s="55">
        <f>$EA187+$DY188</f>
        <v/>
      </c>
      <c r="EB188" s="55">
        <f>SUMIFS(tblPlant[Lime_kg],tblPlant[Date],$A188)</f>
        <v/>
      </c>
      <c r="EC188" s="55">
        <f>IF($B188=$B187,$EC187,0)+$EB188</f>
        <v/>
      </c>
      <c r="ED188" s="55">
        <f>$ED187+$EB188</f>
        <v/>
      </c>
      <c r="EE188" s="55">
        <f>SUMIFS(tblPlant[Grinding_Media_kg],tblPlant[Date],$A188)</f>
        <v/>
      </c>
      <c r="EF188" s="55">
        <f>IF($B188=$B187,$EF187,0)+$EE188</f>
        <v/>
      </c>
      <c r="EG188" s="55">
        <f>$EG187+$EE188</f>
        <v/>
      </c>
      <c r="EH188" s="55">
        <f>SUMIFS(tblPlant[Power_kWh],tblPlant[Date],$A188)</f>
        <v/>
      </c>
      <c r="EI188" s="55">
        <f>IF($B188=$B187,$EI187,0)+$EH188</f>
        <v/>
      </c>
      <c r="EJ188" s="55">
        <f>$EJ187+$EH188</f>
        <v/>
      </c>
      <c r="EK188" s="55">
        <f>SUMIFS(tblPlant[Raw_Water_m3],tblPlant[Date],$A188)</f>
        <v/>
      </c>
      <c r="EL188" s="55">
        <f>IF($B188=$B187,$EL187,0)+$EK188</f>
        <v/>
      </c>
      <c r="EM188" s="55">
        <f>$EM187+$EK188</f>
        <v/>
      </c>
      <c r="EN188" s="56">
        <f>IFERROR(IF(($BZ188)&gt;0,($DY188)/($BZ188),""),"")</f>
        <v/>
      </c>
      <c r="EO188" s="56">
        <f>IFERROR(IF(($CA188)&gt;0,($DZ188)/($CA188),""),"")</f>
        <v/>
      </c>
      <c r="EP188" s="56">
        <f>IFERROR(IF(($CB188)&gt;0,($EA188)/($CB188),""),"")</f>
        <v/>
      </c>
      <c r="EQ188" s="56">
        <f>IFERROR(IF(($BZ188)&gt;0,($EB188)/($BZ188),""),"")</f>
        <v/>
      </c>
      <c r="ER188" s="56">
        <f>IFERROR(IF(($CA188)&gt;0,($EC188)/($CA188),""),"")</f>
        <v/>
      </c>
      <c r="ES188" s="56">
        <f>IFERROR(IF(($CB188)&gt;0,($ED188)/($CB188),""),"")</f>
        <v/>
      </c>
      <c r="ET188" s="56">
        <f>IFERROR(IF(($BZ188)&gt;0,($EE188)/($BZ188),""),"")</f>
        <v/>
      </c>
      <c r="EU188" s="56">
        <f>IFERROR(IF(($CA188)&gt;0,($EF188)/($CA188),""),"")</f>
        <v/>
      </c>
      <c r="EV188" s="56">
        <f>IFERROR(IF(($CB188)&gt;0,($EG188)/($CB188),""),"")</f>
        <v/>
      </c>
      <c r="EW188" s="76">
        <f>IFERROR(IF(($BZ188)&gt;0,($EH188)/($BZ188),""),"")</f>
        <v/>
      </c>
      <c r="EX188" s="76">
        <f>IFERROR(IF(($CA188)&gt;0,($EI188)/($CA188),""),"")</f>
        <v/>
      </c>
      <c r="EY188" s="76">
        <f>IFERROR(IF(($CB188)&gt;0,($EJ188)/($CB188),""),"")</f>
        <v/>
      </c>
      <c r="EZ188" s="56">
        <f>IFERROR(IF(($BZ188)&gt;0,($EK188)/($BZ188),""),"")</f>
        <v/>
      </c>
      <c r="FA188" s="56">
        <f>IFERROR(IF(($CA188)&gt;0,($EL188)/($CA188),""),"")</f>
        <v/>
      </c>
      <c r="FB188" s="56">
        <f>IFERROR(IF(($CB188)&gt;0,($EM188)/($CB188),""),"")</f>
        <v/>
      </c>
      <c r="FC188" s="55">
        <f>IF(SUMIFS(tblPlant[GIC_oz],tblPlant[Date],$A188)&gt;0,SUMIFS(tblPlant[GIC_oz],tblPlant[Date],$A188),"")</f>
        <v/>
      </c>
      <c r="FD188" s="55">
        <f>SUMIFS(tblGold[Gold_oz],tblGold[Date],$A188,tblGold[Type],"Shipment")</f>
        <v/>
      </c>
      <c r="FE188" s="55">
        <f>IF($B188=$B187,$FE187,0)+$FD188</f>
        <v/>
      </c>
      <c r="FF188" s="55">
        <f>$FF187+$FD188</f>
        <v/>
      </c>
      <c r="FG188" s="55">
        <f>SUMIFS(tblGold[Gold_oz],tblGold[Date],$A188,tblGold[Type],"Sale")</f>
        <v/>
      </c>
      <c r="FH188" s="55">
        <f>IF($B188=$B187,$FH187,0)+$FG188</f>
        <v/>
      </c>
      <c r="FI188" s="55">
        <f>$FI187+$FG188</f>
        <v/>
      </c>
      <c r="FJ188" s="55">
        <f>SUMIFS(tblGold[Dore_kg],tblGold[Date],$A188,tblGold[Type],"Shipment")</f>
        <v/>
      </c>
      <c r="FK188" s="55">
        <f>IF($B188=$B187,$FK187,0)+$FJ188</f>
        <v/>
      </c>
      <c r="FL188" s="55">
        <f>$FL187+$FJ188</f>
        <v/>
      </c>
      <c r="FM188" s="57">
        <f>SUMIFS(tblSafety[Hours_Total],tblSafety[Date],$A188)</f>
        <v/>
      </c>
      <c r="FN188" s="57">
        <f>IF($B188=$B187,$FN187,0)+$FM188</f>
        <v/>
      </c>
      <c r="FO188" s="57">
        <f>$FO187+$FM188</f>
        <v/>
      </c>
      <c r="FP188" s="62">
        <f>SUMIFS(tblSafety[Fatality],tblSafety[Date],$A188)</f>
        <v/>
      </c>
      <c r="FQ188" s="62">
        <f>IF($B188=$B187,$FQ187,0)+$FP188</f>
        <v/>
      </c>
      <c r="FR188" s="62">
        <f>$FR187+$FP188</f>
        <v/>
      </c>
      <c r="FS188" s="62">
        <f>SUMIFS(tblSafety[LTI],tblSafety[Date],$A188)</f>
        <v/>
      </c>
      <c r="FT188" s="62">
        <f>IF($B188=$B187,$FT187,0)+$FS188</f>
        <v/>
      </c>
      <c r="FU188" s="62">
        <f>$FU187+$FS188</f>
        <v/>
      </c>
      <c r="FV188" s="62">
        <f>SUMIFS(tblSafety[RWI],tblSafety[Date],$A188)</f>
        <v/>
      </c>
      <c r="FW188" s="62">
        <f>IF($B188=$B187,$FW187,0)+$FV188</f>
        <v/>
      </c>
      <c r="FX188" s="62">
        <f>$FX187+$FV188</f>
        <v/>
      </c>
      <c r="FY188" s="62">
        <f>SUMIFS(tblSafety[MTI],tblSafety[Date],$A188)</f>
        <v/>
      </c>
      <c r="FZ188" s="62">
        <f>IF($B188=$B187,$FZ187,0)+$FY188</f>
        <v/>
      </c>
      <c r="GA188" s="62">
        <f>$GA187+$FY188</f>
        <v/>
      </c>
      <c r="GB188" s="62">
        <f>SUMIFS(tblSafety[FAI],tblSafety[Date],$A188)</f>
        <v/>
      </c>
      <c r="GC188" s="62">
        <f>IF($B188=$B187,$GC187,0)+$GB188</f>
        <v/>
      </c>
      <c r="GD188" s="62">
        <f>$GD187+$GB188</f>
        <v/>
      </c>
      <c r="GE188" s="62">
        <f>SUMIFS(tblSafety[Recordables],tblSafety[Date],$A188)</f>
        <v/>
      </c>
      <c r="GF188" s="62">
        <f>IF($B188=$B187,$GF187,0)+$GE188</f>
        <v/>
      </c>
      <c r="GG188" s="62">
        <f>$GG187+$GE188</f>
        <v/>
      </c>
      <c r="GH188" s="62">
        <f>SUMIFS(tblSafety[Near_Miss],tblSafety[Date],$A188)</f>
        <v/>
      </c>
      <c r="GI188" s="62">
        <f>IF($B188=$B187,$GI187,0)+$GH188</f>
        <v/>
      </c>
      <c r="GJ188" s="62">
        <f>$GJ187+$GH188</f>
        <v/>
      </c>
      <c r="GK188" s="62">
        <f>SUMIFS(tblSafety[Hazard_Reports],tblSafety[Date],$A188)</f>
        <v/>
      </c>
      <c r="GL188" s="62">
        <f>IF($B188=$B187,$GL187,0)+$GK188</f>
        <v/>
      </c>
      <c r="GM188" s="62">
        <f>$GM187+$GK188</f>
        <v/>
      </c>
      <c r="GN188" s="62">
        <f>SUMIFS(tblSafety[HPI],tblSafety[Date],$A188)</f>
        <v/>
      </c>
      <c r="GO188" s="62">
        <f>IF($B188=$B187,$GO187,0)+$GN188</f>
        <v/>
      </c>
      <c r="GP188" s="62">
        <f>$GP187+$GN188</f>
        <v/>
      </c>
      <c r="GQ188" s="62">
        <f>SUMIFS(tblSafety[Env_Incidents],tblSafety[Date],$A188)</f>
        <v/>
      </c>
      <c r="GR188" s="62">
        <f>IF($B188=$B187,$GR187,0)+$GQ188</f>
        <v/>
      </c>
      <c r="GS188" s="62">
        <f>$GS187+$GQ188</f>
        <v/>
      </c>
      <c r="GT188" s="62">
        <f>SUMIFS(tblSafety[Community_Incidents],tblSafety[Date],$A188)</f>
        <v/>
      </c>
      <c r="GU188" s="62">
        <f>IF($B188=$B187,$GU187,0)+$GT188</f>
        <v/>
      </c>
      <c r="GV188" s="62">
        <f>$GV187+$GT188</f>
        <v/>
      </c>
      <c r="GW188" s="62">
        <f>SUMIFS(tblSafety[Vehicle_Incidents],tblSafety[Date],$A188)</f>
        <v/>
      </c>
      <c r="GX188" s="62">
        <f>IF($B188=$B187,$GX187,0)+$GW188</f>
        <v/>
      </c>
      <c r="GY188" s="62">
        <f>$GY187+$GW188</f>
        <v/>
      </c>
      <c r="GZ188" s="62">
        <f>SUMIFS(tblSafety[Toolbox_Talks],tblSafety[Date],$A188)</f>
        <v/>
      </c>
      <c r="HA188" s="62">
        <f>IF($B188=$B187,$HA187,0)+$GZ188</f>
        <v/>
      </c>
      <c r="HB188" s="62">
        <f>$HB187+$GZ188</f>
        <v/>
      </c>
      <c r="HC188" s="62">
        <f>SUMIFS(tblSafety[Inspections],tblSafety[Date],$A188)</f>
        <v/>
      </c>
      <c r="HD188" s="62">
        <f>IF($B188=$B187,$HD187,0)+$HC188</f>
        <v/>
      </c>
      <c r="HE188" s="62">
        <f>$HE187+$HC188</f>
        <v/>
      </c>
      <c r="HF188" s="56">
        <f>IFERROR((SUMIFS(tblSafety[Recordables],tblSafety[Date],"&gt;="&amp;EDATE($E188,-12),tblSafety[Date],"&lt;="&amp;$A188)+SUMIFS(tblSafetyHistory[Recordables],tblSafetyHistory[Month],"&gt;="&amp;EDATE($E188,-12),tblSafetyHistory[Month],"&lt;"&amp;cfg_YearStart))/(SUMIFS(tblSafety[Hours_Total],tblSafety[Date],"&gt;="&amp;EDATE($E188,-12),tblSafety[Date],"&lt;="&amp;$A188)+SUMIFS(tblSafetyHistory[Hours_Total],tblSafetyHistory[Month],"&gt;="&amp;EDATE($E188,-12),tblSafetyHistory[Month],"&lt;"&amp;cfg_YearStart))*1000000,"")</f>
        <v/>
      </c>
      <c r="HG188" s="56">
        <f>IFERROR((SUMIFS(tblSafety[LTI],tblSafety[Date],"&gt;="&amp;EDATE($E188,-12),tblSafety[Date],"&lt;="&amp;$A188)+SUMIFS(tblSafetyHistory[LTI],tblSafetyHistory[Month],"&gt;="&amp;EDATE($E188,-12),tblSafetyHistory[Month],"&lt;"&amp;cfg_YearStart))/(SUMIFS(tblSafety[Hours_Total],tblSafety[Date],"&gt;="&amp;EDATE($E188,-12),tblSafety[Date],"&lt;="&amp;$A188)+SUMIFS(tblSafetyHistory[Hours_Total],tblSafetyHistory[Month],"&gt;="&amp;EDATE($E188,-12),tblSafetyHistory[Month],"&lt;"&amp;cfg_YearStart))*1000000,"")</f>
        <v/>
      </c>
      <c r="HH188" s="62">
        <f>IF(MAX(N(cfg_PriorLTIDate),_xlfn.MAXIFS(tblSafety[Date],tblSafety[LTI],"&gt;0",tblSafety[Date],"&lt;="&amp;$A188))=0,"",$A188-MAX(N(cfg_PriorLTIDate),_xlfn.MAXIFS(tblSafety[Date],tblSafety[LTI],"&gt;0",tblSafety[Date],"&lt;="&amp;$A188)))</f>
        <v/>
      </c>
      <c r="HI188" s="55">
        <f>SUMIFS(tblBudget[Ore_Mined_t],tblBudget[Month],$E188)</f>
        <v/>
      </c>
      <c r="HJ188" s="55">
        <f>$HI188*$C188/$D188</f>
        <v/>
      </c>
      <c r="HK188" s="55">
        <f>SUMIFS(tblBudget[Ore_Mined_t],tblBudget[Month],"&lt;"&amp;$E188)+$HJ188</f>
        <v/>
      </c>
      <c r="HL188" s="55">
        <f>SUMIFS(tblBudget[Ore_oz],tblBudget[Month],$E188)</f>
        <v/>
      </c>
      <c r="HM188" s="55">
        <f>$HL188*$C188/$D188</f>
        <v/>
      </c>
      <c r="HN188" s="55">
        <f>SUMIFS(tblBudget[Ore_oz],tblBudget[Month],"&lt;"&amp;$E188)+$HM188</f>
        <v/>
      </c>
      <c r="HO188" s="56">
        <f>IFERROR(IF(($HI188)&gt;0,($HL188*cfg_TroyOz)/($HI188),""),"")</f>
        <v/>
      </c>
      <c r="HP188" s="56">
        <f>IFERROR(IF(($HJ188)&gt;0,($HM188*cfg_TroyOz)/($HJ188),""),"")</f>
        <v/>
      </c>
      <c r="HQ188" s="56">
        <f>IFERROR(IF(($HK188)&gt;0,($HN188*cfg_TroyOz)/($HK188),""),"")</f>
        <v/>
      </c>
      <c r="HR188" s="55">
        <f>SUMIFS(tblBudget[Waste_t],tblBudget[Month],$E188)</f>
        <v/>
      </c>
      <c r="HS188" s="55">
        <f>$HR188*$C188/$D188</f>
        <v/>
      </c>
      <c r="HT188" s="55">
        <f>SUMIFS(tblBudget[Waste_t],tblBudget[Month],"&lt;"&amp;$E188)+$HS188</f>
        <v/>
      </c>
      <c r="HU188" s="55">
        <f>SUMIFS(tblBudget[TMM_t],tblBudget[Month],$E188)</f>
        <v/>
      </c>
      <c r="HV188" s="55">
        <f>$HU188*$C188/$D188</f>
        <v/>
      </c>
      <c r="HW188" s="55">
        <f>SUMIFS(tblBudget[TMM_t],tblBudget[Month],"&lt;"&amp;$E188)+$HV188</f>
        <v/>
      </c>
      <c r="HX188" s="56">
        <f>IFERROR(IF(($HI188)&gt;0,($HR188)/($HI188),""),"")</f>
        <v/>
      </c>
      <c r="HY188" s="56">
        <f>IFERROR(IF(($HJ188)&gt;0,($HS188)/($HJ188),""),"")</f>
        <v/>
      </c>
      <c r="HZ188" s="56">
        <f>IFERROR(IF(($HK188)&gt;0,($HT188)/($HK188),""),"")</f>
        <v/>
      </c>
      <c r="IA188" s="55">
        <f>SUMIFS(tblBudget[Drill_m],tblBudget[Month],$E188)</f>
        <v/>
      </c>
      <c r="IB188" s="55">
        <f>$IA188*$C188/$D188</f>
        <v/>
      </c>
      <c r="IC188" s="55">
        <f>SUMIFS(tblBudget[Drill_m],tblBudget[Month],"&lt;"&amp;$E188)+$IB188</f>
        <v/>
      </c>
      <c r="ID188" s="55">
        <f>SUMIFS(tblBudget[Diesel_L],tblBudget[Month],$E188)</f>
        <v/>
      </c>
      <c r="IE188" s="55">
        <f>$ID188*$C188/$D188</f>
        <v/>
      </c>
      <c r="IF188" s="55">
        <f>SUMIFS(tblBudget[Diesel_L],tblBudget[Month],"&lt;"&amp;$E188)+$IE188</f>
        <v/>
      </c>
      <c r="IG188" s="55">
        <f>SUMIFS(tblBudget[Milled_t],tblBudget[Month],$E188)</f>
        <v/>
      </c>
      <c r="IH188" s="55">
        <f>$IG188*$C188/$D188</f>
        <v/>
      </c>
      <c r="II188" s="55">
        <f>SUMIFS(tblBudget[Milled_t],tblBudget[Month],"&lt;"&amp;$E188)+$IH188</f>
        <v/>
      </c>
      <c r="IJ188" s="55">
        <f>SUMIFS(tblBudget[Feed_oz],tblBudget[Month],$E188)</f>
        <v/>
      </c>
      <c r="IK188" s="55">
        <f>$IJ188*$C188/$D188</f>
        <v/>
      </c>
      <c r="IL188" s="55">
        <f>SUMIFS(tblBudget[Feed_oz],tblBudget[Month],"&lt;"&amp;$E188)+$IK188</f>
        <v/>
      </c>
      <c r="IM188" s="55">
        <f>SUMIFS(tblBudget[Recovered_oz],tblBudget[Month],$E188)</f>
        <v/>
      </c>
      <c r="IN188" s="55">
        <f>$IM188*$C188/$D188</f>
        <v/>
      </c>
      <c r="IO188" s="55">
        <f>SUMIFS(tblBudget[Recovered_oz],tblBudget[Month],"&lt;"&amp;$E188)+$IN188</f>
        <v/>
      </c>
      <c r="IP188" s="56">
        <f>IFERROR(IF(($IG188)&gt;0,($IJ188*cfg_TroyOz)/($IG188),""),"")</f>
        <v/>
      </c>
      <c r="IQ188" s="56">
        <f>IFERROR(IF(($IH188)&gt;0,($IK188*cfg_TroyOz)/($IH188),""),"")</f>
        <v/>
      </c>
      <c r="IR188" s="56">
        <f>IFERROR(IF(($II188)&gt;0,($IL188*cfg_TroyOz)/($II188),""),"")</f>
        <v/>
      </c>
      <c r="IS188" s="67">
        <f>IFERROR(IF(($IJ188)&gt;0,($IM188)/($IJ188),""),"")</f>
        <v/>
      </c>
      <c r="IT188" s="67">
        <f>IFERROR(IF(($IK188)&gt;0,($IN188)/($IK188),""),"")</f>
        <v/>
      </c>
      <c r="IU188" s="67">
        <f>IFERROR(IF(($IL188)&gt;0,($IO188)/($IL188),""),"")</f>
        <v/>
      </c>
      <c r="IV188" s="55">
        <f>SUMIFS(tblBudget[Gold_Poured_oz],tblBudget[Month],$E188)</f>
        <v/>
      </c>
      <c r="IW188" s="55">
        <f>$IV188*$C188/$D188</f>
        <v/>
      </c>
      <c r="IX188" s="55">
        <f>SUMIFS(tblBudget[Gold_Poured_oz],tblBudget[Month],"&lt;"&amp;$E188)+$IW188</f>
        <v/>
      </c>
      <c r="IY188" s="57">
        <f>SUMIFS(tblBudget[Hours_Worked],tblBudget[Month],$E188)</f>
        <v/>
      </c>
      <c r="IZ188" s="57">
        <f>$IY188*$C188/$D188</f>
        <v/>
      </c>
      <c r="JA188" s="57">
        <f>SUMIFS(tblBudget[Hours_Worked],tblBudget[Month],"&lt;"&amp;$E188)+$IZ188</f>
        <v/>
      </c>
    </row>
    <row r="189">
      <c r="A189" s="54" t="n">
        <v>46210</v>
      </c>
      <c r="B189">
        <f>MONTH($A189)</f>
        <v/>
      </c>
      <c r="C189">
        <f>DAY($A189)</f>
        <v/>
      </c>
      <c r="D189">
        <f>DAY(EOMONTH($A189,0))</f>
        <v/>
      </c>
      <c r="E189" s="54">
        <f>DATE(YEAR($A189),MONTH($A189),1)</f>
        <v/>
      </c>
      <c r="F189" s="55">
        <f>SUMIFS(tblMovement[Tonnes_t],tblMovement[Date],$A189,tblMovement[Is_Ore],1,tblMovement[Source_Type],"Pit")</f>
        <v/>
      </c>
      <c r="G189" s="55">
        <f>IF($B189=$B188,$G188,0)+$F189</f>
        <v/>
      </c>
      <c r="H189" s="55">
        <f>$H188+$F189</f>
        <v/>
      </c>
      <c r="I189" s="55">
        <f>SUMIFS(tblMovement[Ore_oz],tblMovement[Date],$A189,tblMovement[Source_Type],"Pit")</f>
        <v/>
      </c>
      <c r="J189" s="55">
        <f>IF($B189=$B188,$J188,0)+$I189</f>
        <v/>
      </c>
      <c r="K189" s="55">
        <f>$K188+$I189</f>
        <v/>
      </c>
      <c r="L189" s="56">
        <f>IFERROR(IF(($F189)&gt;0,($I189*cfg_TroyOz)/($F189),""),"")</f>
        <v/>
      </c>
      <c r="M189" s="56">
        <f>IFERROR(IF(($G189)&gt;0,($J189*cfg_TroyOz)/($G189),""),"")</f>
        <v/>
      </c>
      <c r="N189" s="56">
        <f>IFERROR(IF(($H189)&gt;0,($K189*cfg_TroyOz)/($H189),""),"")</f>
        <v/>
      </c>
      <c r="O189" s="55">
        <f>SUMIFS(tblMovement[Tonnes_t],tblMovement[Date],$A189,tblMovement[Is_Ore],0,tblMovement[Source_Type],"Pit")</f>
        <v/>
      </c>
      <c r="P189" s="55">
        <f>IF($B189=$B188,$P188,0)+$O189</f>
        <v/>
      </c>
      <c r="Q189" s="55">
        <f>$Q188+$O189</f>
        <v/>
      </c>
      <c r="R189" s="55">
        <f>$F189+$O189</f>
        <v/>
      </c>
      <c r="S189" s="55">
        <f>IF($B189=$B188,$S188,0)+$R189</f>
        <v/>
      </c>
      <c r="T189" s="55">
        <f>$T188+$R189</f>
        <v/>
      </c>
      <c r="U189" s="56">
        <f>IFERROR(IF(($F189)&gt;0,($O189)/($F189),""),"")</f>
        <v/>
      </c>
      <c r="V189" s="56">
        <f>IFERROR(IF(($G189)&gt;0,($P189)/($G189),""),"")</f>
        <v/>
      </c>
      <c r="W189" s="56">
        <f>IFERROR(IF(($H189)&gt;0,($Q189)/($H189),""),"")</f>
        <v/>
      </c>
      <c r="X189" s="55">
        <f>SUMIFS(tblMovement[Tonnes_t],tblMovement[Date],$A189,tblMovement[Source_Type],"Stockpile")</f>
        <v/>
      </c>
      <c r="Y189" s="55">
        <f>IF($B189=$B188,$Y188,0)+$X189</f>
        <v/>
      </c>
      <c r="Z189" s="55">
        <f>$Z188+$X189</f>
        <v/>
      </c>
      <c r="AA189" s="55">
        <f>SUMIFS(tblMiningDaily[Drill_m],tblMiningDaily[Date],$A189)</f>
        <v/>
      </c>
      <c r="AB189" s="55">
        <f>IF($B189=$B188,$AB188,0)+$AA189</f>
        <v/>
      </c>
      <c r="AC189" s="55">
        <f>$AC188+$AA189</f>
        <v/>
      </c>
      <c r="AD189" s="55">
        <f>SUMIFS(tblMiningDaily[Blast_t],tblMiningDaily[Date],$A189)</f>
        <v/>
      </c>
      <c r="AE189" s="55">
        <f>IF($B189=$B188,$AE188,0)+$AD189</f>
        <v/>
      </c>
      <c r="AF189" s="55">
        <f>$AF188+$AD189</f>
        <v/>
      </c>
      <c r="AG189" s="55">
        <f>SUMIFS(tblMiningDaily[Explosives_kg],tblMiningDaily[Date],$A189)</f>
        <v/>
      </c>
      <c r="AH189" s="55">
        <f>IF($B189=$B188,$AH188,0)+$AG189</f>
        <v/>
      </c>
      <c r="AI189" s="55">
        <f>$AI188+$AG189</f>
        <v/>
      </c>
      <c r="AJ189" s="56">
        <f>IFERROR(IF(($AD189)&gt;0,($AG189)/($AD189),""),"")</f>
        <v/>
      </c>
      <c r="AK189" s="56">
        <f>IFERROR(IF(($AE189)&gt;0,($AH189)/($AE189),""),"")</f>
        <v/>
      </c>
      <c r="AL189" s="56">
        <f>IFERROR(IF(($AF189)&gt;0,($AI189)/($AF189),""),"")</f>
        <v/>
      </c>
      <c r="AM189" s="55">
        <f>SUMIFS(tblMiningDaily[Diesel_L],tblMiningDaily[Date],$A189)</f>
        <v/>
      </c>
      <c r="AN189" s="55">
        <f>IF($B189=$B188,$AN188,0)+$AM189</f>
        <v/>
      </c>
      <c r="AO189" s="55">
        <f>$AO188+$AM189</f>
        <v/>
      </c>
      <c r="AP189" s="55">
        <f>SUMIFS(tblMiningDaily[Dewatering_m3],tblMiningDaily[Date],$A189)</f>
        <v/>
      </c>
      <c r="AQ189" s="55">
        <f>IF($B189=$B188,$AQ188,0)+$AP189</f>
        <v/>
      </c>
      <c r="AR189" s="55">
        <f>$AR188+$AP189</f>
        <v/>
      </c>
      <c r="AS189" s="57">
        <f>SUMIFS(tblFleet[Calendar_h],tblFleet[Date],$A189,tblFleet[Equipment_Class],"Excavator")</f>
        <v/>
      </c>
      <c r="AT189" s="57">
        <f>IF($B189=$B188,$AT188,0)+$AS189</f>
        <v/>
      </c>
      <c r="AU189" s="57">
        <f>$AU188+$AS189</f>
        <v/>
      </c>
      <c r="AV189" s="57">
        <f>SUMIFS(tblFleet[Available_h],tblFleet[Date],$A189,tblFleet[Equipment_Class],"Excavator")</f>
        <v/>
      </c>
      <c r="AW189" s="57">
        <f>IF($B189=$B188,$AW188,0)+$AV189</f>
        <v/>
      </c>
      <c r="AX189" s="57">
        <f>$AX188+$AV189</f>
        <v/>
      </c>
      <c r="AY189" s="57">
        <f>SUMIFS(tblFleet[Operating_h],tblFleet[Date],$A189,tblFleet[Equipment_Class],"Excavator")</f>
        <v/>
      </c>
      <c r="AZ189" s="57">
        <f>IF($B189=$B188,$AZ188,0)+$AY189</f>
        <v/>
      </c>
      <c r="BA189" s="57">
        <f>$BA188+$AY189</f>
        <v/>
      </c>
      <c r="BB189" s="67">
        <f>IFERROR(IF(($AS189)&gt;0,($AV189)/($AS189),""),"")</f>
        <v/>
      </c>
      <c r="BC189" s="67">
        <f>IFERROR(IF(($AT189)&gt;0,($AW189)/($AT189),""),"")</f>
        <v/>
      </c>
      <c r="BD189" s="67">
        <f>IFERROR(IF(($AU189)&gt;0,($AX189)/($AU189),""),"")</f>
        <v/>
      </c>
      <c r="BE189" s="67">
        <f>IFERROR(IF(($AV189)&gt;0,($AY189)/($AV189),""),"")</f>
        <v/>
      </c>
      <c r="BF189" s="67">
        <f>IFERROR(IF(($AW189)&gt;0,($AZ189)/($AW189),""),"")</f>
        <v/>
      </c>
      <c r="BG189" s="67">
        <f>IFERROR(IF(($AX189)&gt;0,($BA189)/($AX189),""),"")</f>
        <v/>
      </c>
      <c r="BH189" s="57">
        <f>SUMIFS(tblFleet[Calendar_h],tblFleet[Date],$A189,tblFleet[Equipment_Class],"Haul Truck")</f>
        <v/>
      </c>
      <c r="BI189" s="57">
        <f>IF($B189=$B188,$BI188,0)+$BH189</f>
        <v/>
      </c>
      <c r="BJ189" s="57">
        <f>$BJ188+$BH189</f>
        <v/>
      </c>
      <c r="BK189" s="57">
        <f>SUMIFS(tblFleet[Available_h],tblFleet[Date],$A189,tblFleet[Equipment_Class],"Haul Truck")</f>
        <v/>
      </c>
      <c r="BL189" s="57">
        <f>IF($B189=$B188,$BL188,0)+$BK189</f>
        <v/>
      </c>
      <c r="BM189" s="57">
        <f>$BM188+$BK189</f>
        <v/>
      </c>
      <c r="BN189" s="57">
        <f>SUMIFS(tblFleet[Operating_h],tblFleet[Date],$A189,tblFleet[Equipment_Class],"Haul Truck")</f>
        <v/>
      </c>
      <c r="BO189" s="57">
        <f>IF($B189=$B188,$BO188,0)+$BN189</f>
        <v/>
      </c>
      <c r="BP189" s="57">
        <f>$BP188+$BN189</f>
        <v/>
      </c>
      <c r="BQ189" s="67">
        <f>IFERROR(IF(($BH189)&gt;0,($BK189)/($BH189),""),"")</f>
        <v/>
      </c>
      <c r="BR189" s="67">
        <f>IFERROR(IF(($BI189)&gt;0,($BL189)/($BI189),""),"")</f>
        <v/>
      </c>
      <c r="BS189" s="67">
        <f>IFERROR(IF(($BJ189)&gt;0,($BM189)/($BJ189),""),"")</f>
        <v/>
      </c>
      <c r="BT189" s="67">
        <f>IFERROR(IF(($BK189)&gt;0,($BN189)/($BK189),""),"")</f>
        <v/>
      </c>
      <c r="BU189" s="67">
        <f>IFERROR(IF(($BL189)&gt;0,($BO189)/($BL189),""),"")</f>
        <v/>
      </c>
      <c r="BV189" s="67">
        <f>IFERROR(IF(($BM189)&gt;0,($BP189)/($BM189),""),"")</f>
        <v/>
      </c>
      <c r="BW189" s="55">
        <f>SUMIFS(tblPlant[Crushed_t],tblPlant[Date],$A189)</f>
        <v/>
      </c>
      <c r="BX189" s="55">
        <f>IF($B189=$B188,$BX188,0)+$BW189</f>
        <v/>
      </c>
      <c r="BY189" s="55">
        <f>$BY188+$BW189</f>
        <v/>
      </c>
      <c r="BZ189" s="55">
        <f>SUMIFS(tblPlant[Milled_t],tblPlant[Date],$A189)</f>
        <v/>
      </c>
      <c r="CA189" s="55">
        <f>IF($B189=$B188,$CA188,0)+$BZ189</f>
        <v/>
      </c>
      <c r="CB189" s="55">
        <f>$CB188+$BZ189</f>
        <v/>
      </c>
      <c r="CC189" s="55">
        <f>SUMIFS(tblPlant[Feed_oz],tblPlant[Date],$A189)</f>
        <v/>
      </c>
      <c r="CD189" s="55">
        <f>IF($B189=$B188,$CD188,0)+$CC189</f>
        <v/>
      </c>
      <c r="CE189" s="55">
        <f>$CE188+$CC189</f>
        <v/>
      </c>
      <c r="CF189" s="55">
        <f>SUMIFS(tblPlant[Tails_oz],tblPlant[Date],$A189)</f>
        <v/>
      </c>
      <c r="CG189" s="55">
        <f>IF($B189=$B188,$CG188,0)+$CF189</f>
        <v/>
      </c>
      <c r="CH189" s="55">
        <f>$CH188+$CF189</f>
        <v/>
      </c>
      <c r="CI189" s="55">
        <f>SUMIFS(tblPlant[Recovered_oz],tblPlant[Date],$A189)</f>
        <v/>
      </c>
      <c r="CJ189" s="55">
        <f>IF($B189=$B188,$CJ188,0)+$CI189</f>
        <v/>
      </c>
      <c r="CK189" s="55">
        <f>$CK188+$CI189</f>
        <v/>
      </c>
      <c r="CL189" s="56">
        <f>IFERROR(IF(($BZ189)&gt;0,($CC189*cfg_TroyOz)/($BZ189),""),"")</f>
        <v/>
      </c>
      <c r="CM189" s="56">
        <f>IFERROR(IF(($CA189)&gt;0,($CD189*cfg_TroyOz)/($CA189),""),"")</f>
        <v/>
      </c>
      <c r="CN189" s="56">
        <f>IFERROR(IF(($CB189)&gt;0,($CE189*cfg_TroyOz)/($CB189),""),"")</f>
        <v/>
      </c>
      <c r="CO189" s="56">
        <f>IFERROR(IF(($BZ189)&gt;0,($CF189*cfg_TroyOz)/($BZ189),""),"")</f>
        <v/>
      </c>
      <c r="CP189" s="56">
        <f>IFERROR(IF(($CA189)&gt;0,($CG189*cfg_TroyOz)/($CA189),""),"")</f>
        <v/>
      </c>
      <c r="CQ189" s="56">
        <f>IFERROR(IF(($CB189)&gt;0,($CH189*cfg_TroyOz)/($CB189),""),"")</f>
        <v/>
      </c>
      <c r="CR189" s="67">
        <f>IFERROR(IF(($CC189)&gt;0,($CI189)/($CC189),""),"")</f>
        <v/>
      </c>
      <c r="CS189" s="67">
        <f>IFERROR(IF(($CD189)&gt;0,($CJ189)/($CD189),""),"")</f>
        <v/>
      </c>
      <c r="CT189" s="67">
        <f>IFERROR(IF(($CE189)&gt;0,($CK189)/($CE189),""),"")</f>
        <v/>
      </c>
      <c r="CU189" s="55">
        <f>SUMIFS(tblPlant[Gravity_Gold_oz],tblPlant[Date],$A189)</f>
        <v/>
      </c>
      <c r="CV189" s="55">
        <f>IF($B189=$B188,$CV188,0)+$CU189</f>
        <v/>
      </c>
      <c r="CW189" s="55">
        <f>$CW188+$CU189</f>
        <v/>
      </c>
      <c r="CX189" s="55">
        <f>SUMIFS(tblPlant[Gold_Poured_oz],tblPlant[Date],$A189)</f>
        <v/>
      </c>
      <c r="CY189" s="55">
        <f>IF($B189=$B188,$CY188,0)+$CX189</f>
        <v/>
      </c>
      <c r="CZ189" s="55">
        <f>$CZ188+$CX189</f>
        <v/>
      </c>
      <c r="DA189" s="57">
        <f>SUMIFS(tblPlant[Mill_Run_h],tblPlant[Date],$A189)</f>
        <v/>
      </c>
      <c r="DB189" s="57">
        <f>IF($B189=$B188,$DB188,0)+$DA189</f>
        <v/>
      </c>
      <c r="DC189" s="57">
        <f>$DC188+$DA189</f>
        <v/>
      </c>
      <c r="DD189" s="57">
        <f>SUMIFS(tblPlant[Mill_Planned_Maint_h],tblPlant[Date],$A189)</f>
        <v/>
      </c>
      <c r="DE189" s="57">
        <f>IF($B189=$B188,$DE188,0)+$DD189</f>
        <v/>
      </c>
      <c r="DF189" s="57">
        <f>$DF188+$DD189</f>
        <v/>
      </c>
      <c r="DG189" s="57">
        <f>SUMIFS(tblPlant[Mill_Unplanned_Down_h],tblPlant[Date],$A189)</f>
        <v/>
      </c>
      <c r="DH189" s="57">
        <f>IF($B189=$B188,$DH188,0)+$DG189</f>
        <v/>
      </c>
      <c r="DI189" s="57">
        <f>$DI188+$DG189</f>
        <v/>
      </c>
      <c r="DJ189" s="57">
        <f>COUNTIFS(tblPlant[Date],$A189,tblPlant[Mill_Run_h],"&lt;&gt;")*24</f>
        <v/>
      </c>
      <c r="DK189" s="57">
        <f>IF($B189=$B188,$DK188,0)+$DJ189</f>
        <v/>
      </c>
      <c r="DL189" s="57">
        <f>$DL188+$DJ189</f>
        <v/>
      </c>
      <c r="DM189" s="57">
        <f>SUMIFS(tblPlant[Crusher_Run_h],tblPlant[Date],$A189)</f>
        <v/>
      </c>
      <c r="DN189" s="57">
        <f>IF($B189=$B188,$DN188,0)+$DM189</f>
        <v/>
      </c>
      <c r="DO189" s="57">
        <f>$DO188+$DM189</f>
        <v/>
      </c>
      <c r="DP189" s="55">
        <f>IFERROR(IF(($DA189)&gt;0,($BZ189)/($DA189),""),"")</f>
        <v/>
      </c>
      <c r="DQ189" s="55">
        <f>IFERROR(IF(($DB189)&gt;0,($CA189)/($DB189),""),"")</f>
        <v/>
      </c>
      <c r="DR189" s="55">
        <f>IFERROR(IF(($DC189)&gt;0,($CB189)/($DC189),""),"")</f>
        <v/>
      </c>
      <c r="DS189" s="67">
        <f>IFERROR(IF(($DJ189)&gt;0,($DJ189-$DD189-$DG189)/($DJ189),""),"")</f>
        <v/>
      </c>
      <c r="DT189" s="67">
        <f>IFERROR(IF(($DK189)&gt;0,($DK189-$DE189-$DH189)/($DK189),""),"")</f>
        <v/>
      </c>
      <c r="DU189" s="67">
        <f>IFERROR(IF(($DL189)&gt;0,($DL189-$DF189-$DI189)/($DL189),""),"")</f>
        <v/>
      </c>
      <c r="DV189" s="67">
        <f>IFERROR(IF(($DJ189-$DD189-$DG189)&gt;0,($DA189)/($DJ189-$DD189-$DG189),""),"")</f>
        <v/>
      </c>
      <c r="DW189" s="67">
        <f>IFERROR(IF(($DK189-$DE189-$DH189)&gt;0,($DB189)/($DK189-$DE189-$DH189),""),"")</f>
        <v/>
      </c>
      <c r="DX189" s="67">
        <f>IFERROR(IF(($DL189-$DF189-$DI189)&gt;0,($DC189)/($DL189-$DF189-$DI189),""),"")</f>
        <v/>
      </c>
      <c r="DY189" s="55">
        <f>SUMIFS(tblPlant[Cyanide_kg],tblPlant[Date],$A189)</f>
        <v/>
      </c>
      <c r="DZ189" s="55">
        <f>IF($B189=$B188,$DZ188,0)+$DY189</f>
        <v/>
      </c>
      <c r="EA189" s="55">
        <f>$EA188+$DY189</f>
        <v/>
      </c>
      <c r="EB189" s="55">
        <f>SUMIFS(tblPlant[Lime_kg],tblPlant[Date],$A189)</f>
        <v/>
      </c>
      <c r="EC189" s="55">
        <f>IF($B189=$B188,$EC188,0)+$EB189</f>
        <v/>
      </c>
      <c r="ED189" s="55">
        <f>$ED188+$EB189</f>
        <v/>
      </c>
      <c r="EE189" s="55">
        <f>SUMIFS(tblPlant[Grinding_Media_kg],tblPlant[Date],$A189)</f>
        <v/>
      </c>
      <c r="EF189" s="55">
        <f>IF($B189=$B188,$EF188,0)+$EE189</f>
        <v/>
      </c>
      <c r="EG189" s="55">
        <f>$EG188+$EE189</f>
        <v/>
      </c>
      <c r="EH189" s="55">
        <f>SUMIFS(tblPlant[Power_kWh],tblPlant[Date],$A189)</f>
        <v/>
      </c>
      <c r="EI189" s="55">
        <f>IF($B189=$B188,$EI188,0)+$EH189</f>
        <v/>
      </c>
      <c r="EJ189" s="55">
        <f>$EJ188+$EH189</f>
        <v/>
      </c>
      <c r="EK189" s="55">
        <f>SUMIFS(tblPlant[Raw_Water_m3],tblPlant[Date],$A189)</f>
        <v/>
      </c>
      <c r="EL189" s="55">
        <f>IF($B189=$B188,$EL188,0)+$EK189</f>
        <v/>
      </c>
      <c r="EM189" s="55">
        <f>$EM188+$EK189</f>
        <v/>
      </c>
      <c r="EN189" s="56">
        <f>IFERROR(IF(($BZ189)&gt;0,($DY189)/($BZ189),""),"")</f>
        <v/>
      </c>
      <c r="EO189" s="56">
        <f>IFERROR(IF(($CA189)&gt;0,($DZ189)/($CA189),""),"")</f>
        <v/>
      </c>
      <c r="EP189" s="56">
        <f>IFERROR(IF(($CB189)&gt;0,($EA189)/($CB189),""),"")</f>
        <v/>
      </c>
      <c r="EQ189" s="56">
        <f>IFERROR(IF(($BZ189)&gt;0,($EB189)/($BZ189),""),"")</f>
        <v/>
      </c>
      <c r="ER189" s="56">
        <f>IFERROR(IF(($CA189)&gt;0,($EC189)/($CA189),""),"")</f>
        <v/>
      </c>
      <c r="ES189" s="56">
        <f>IFERROR(IF(($CB189)&gt;0,($ED189)/($CB189),""),"")</f>
        <v/>
      </c>
      <c r="ET189" s="56">
        <f>IFERROR(IF(($BZ189)&gt;0,($EE189)/($BZ189),""),"")</f>
        <v/>
      </c>
      <c r="EU189" s="56">
        <f>IFERROR(IF(($CA189)&gt;0,($EF189)/($CA189),""),"")</f>
        <v/>
      </c>
      <c r="EV189" s="56">
        <f>IFERROR(IF(($CB189)&gt;0,($EG189)/($CB189),""),"")</f>
        <v/>
      </c>
      <c r="EW189" s="76">
        <f>IFERROR(IF(($BZ189)&gt;0,($EH189)/($BZ189),""),"")</f>
        <v/>
      </c>
      <c r="EX189" s="76">
        <f>IFERROR(IF(($CA189)&gt;0,($EI189)/($CA189),""),"")</f>
        <v/>
      </c>
      <c r="EY189" s="76">
        <f>IFERROR(IF(($CB189)&gt;0,($EJ189)/($CB189),""),"")</f>
        <v/>
      </c>
      <c r="EZ189" s="56">
        <f>IFERROR(IF(($BZ189)&gt;0,($EK189)/($BZ189),""),"")</f>
        <v/>
      </c>
      <c r="FA189" s="56">
        <f>IFERROR(IF(($CA189)&gt;0,($EL189)/($CA189),""),"")</f>
        <v/>
      </c>
      <c r="FB189" s="56">
        <f>IFERROR(IF(($CB189)&gt;0,($EM189)/($CB189),""),"")</f>
        <v/>
      </c>
      <c r="FC189" s="55">
        <f>IF(SUMIFS(tblPlant[GIC_oz],tblPlant[Date],$A189)&gt;0,SUMIFS(tblPlant[GIC_oz],tblPlant[Date],$A189),"")</f>
        <v/>
      </c>
      <c r="FD189" s="55">
        <f>SUMIFS(tblGold[Gold_oz],tblGold[Date],$A189,tblGold[Type],"Shipment")</f>
        <v/>
      </c>
      <c r="FE189" s="55">
        <f>IF($B189=$B188,$FE188,0)+$FD189</f>
        <v/>
      </c>
      <c r="FF189" s="55">
        <f>$FF188+$FD189</f>
        <v/>
      </c>
      <c r="FG189" s="55">
        <f>SUMIFS(tblGold[Gold_oz],tblGold[Date],$A189,tblGold[Type],"Sale")</f>
        <v/>
      </c>
      <c r="FH189" s="55">
        <f>IF($B189=$B188,$FH188,0)+$FG189</f>
        <v/>
      </c>
      <c r="FI189" s="55">
        <f>$FI188+$FG189</f>
        <v/>
      </c>
      <c r="FJ189" s="55">
        <f>SUMIFS(tblGold[Dore_kg],tblGold[Date],$A189,tblGold[Type],"Shipment")</f>
        <v/>
      </c>
      <c r="FK189" s="55">
        <f>IF($B189=$B188,$FK188,0)+$FJ189</f>
        <v/>
      </c>
      <c r="FL189" s="55">
        <f>$FL188+$FJ189</f>
        <v/>
      </c>
      <c r="FM189" s="57">
        <f>SUMIFS(tblSafety[Hours_Total],tblSafety[Date],$A189)</f>
        <v/>
      </c>
      <c r="FN189" s="57">
        <f>IF($B189=$B188,$FN188,0)+$FM189</f>
        <v/>
      </c>
      <c r="FO189" s="57">
        <f>$FO188+$FM189</f>
        <v/>
      </c>
      <c r="FP189" s="62">
        <f>SUMIFS(tblSafety[Fatality],tblSafety[Date],$A189)</f>
        <v/>
      </c>
      <c r="FQ189" s="62">
        <f>IF($B189=$B188,$FQ188,0)+$FP189</f>
        <v/>
      </c>
      <c r="FR189" s="62">
        <f>$FR188+$FP189</f>
        <v/>
      </c>
      <c r="FS189" s="62">
        <f>SUMIFS(tblSafety[LTI],tblSafety[Date],$A189)</f>
        <v/>
      </c>
      <c r="FT189" s="62">
        <f>IF($B189=$B188,$FT188,0)+$FS189</f>
        <v/>
      </c>
      <c r="FU189" s="62">
        <f>$FU188+$FS189</f>
        <v/>
      </c>
      <c r="FV189" s="62">
        <f>SUMIFS(tblSafety[RWI],tblSafety[Date],$A189)</f>
        <v/>
      </c>
      <c r="FW189" s="62">
        <f>IF($B189=$B188,$FW188,0)+$FV189</f>
        <v/>
      </c>
      <c r="FX189" s="62">
        <f>$FX188+$FV189</f>
        <v/>
      </c>
      <c r="FY189" s="62">
        <f>SUMIFS(tblSafety[MTI],tblSafety[Date],$A189)</f>
        <v/>
      </c>
      <c r="FZ189" s="62">
        <f>IF($B189=$B188,$FZ188,0)+$FY189</f>
        <v/>
      </c>
      <c r="GA189" s="62">
        <f>$GA188+$FY189</f>
        <v/>
      </c>
      <c r="GB189" s="62">
        <f>SUMIFS(tblSafety[FAI],tblSafety[Date],$A189)</f>
        <v/>
      </c>
      <c r="GC189" s="62">
        <f>IF($B189=$B188,$GC188,0)+$GB189</f>
        <v/>
      </c>
      <c r="GD189" s="62">
        <f>$GD188+$GB189</f>
        <v/>
      </c>
      <c r="GE189" s="62">
        <f>SUMIFS(tblSafety[Recordables],tblSafety[Date],$A189)</f>
        <v/>
      </c>
      <c r="GF189" s="62">
        <f>IF($B189=$B188,$GF188,0)+$GE189</f>
        <v/>
      </c>
      <c r="GG189" s="62">
        <f>$GG188+$GE189</f>
        <v/>
      </c>
      <c r="GH189" s="62">
        <f>SUMIFS(tblSafety[Near_Miss],tblSafety[Date],$A189)</f>
        <v/>
      </c>
      <c r="GI189" s="62">
        <f>IF($B189=$B188,$GI188,0)+$GH189</f>
        <v/>
      </c>
      <c r="GJ189" s="62">
        <f>$GJ188+$GH189</f>
        <v/>
      </c>
      <c r="GK189" s="62">
        <f>SUMIFS(tblSafety[Hazard_Reports],tblSafety[Date],$A189)</f>
        <v/>
      </c>
      <c r="GL189" s="62">
        <f>IF($B189=$B188,$GL188,0)+$GK189</f>
        <v/>
      </c>
      <c r="GM189" s="62">
        <f>$GM188+$GK189</f>
        <v/>
      </c>
      <c r="GN189" s="62">
        <f>SUMIFS(tblSafety[HPI],tblSafety[Date],$A189)</f>
        <v/>
      </c>
      <c r="GO189" s="62">
        <f>IF($B189=$B188,$GO188,0)+$GN189</f>
        <v/>
      </c>
      <c r="GP189" s="62">
        <f>$GP188+$GN189</f>
        <v/>
      </c>
      <c r="GQ189" s="62">
        <f>SUMIFS(tblSafety[Env_Incidents],tblSafety[Date],$A189)</f>
        <v/>
      </c>
      <c r="GR189" s="62">
        <f>IF($B189=$B188,$GR188,0)+$GQ189</f>
        <v/>
      </c>
      <c r="GS189" s="62">
        <f>$GS188+$GQ189</f>
        <v/>
      </c>
      <c r="GT189" s="62">
        <f>SUMIFS(tblSafety[Community_Incidents],tblSafety[Date],$A189)</f>
        <v/>
      </c>
      <c r="GU189" s="62">
        <f>IF($B189=$B188,$GU188,0)+$GT189</f>
        <v/>
      </c>
      <c r="GV189" s="62">
        <f>$GV188+$GT189</f>
        <v/>
      </c>
      <c r="GW189" s="62">
        <f>SUMIFS(tblSafety[Vehicle_Incidents],tblSafety[Date],$A189)</f>
        <v/>
      </c>
      <c r="GX189" s="62">
        <f>IF($B189=$B188,$GX188,0)+$GW189</f>
        <v/>
      </c>
      <c r="GY189" s="62">
        <f>$GY188+$GW189</f>
        <v/>
      </c>
      <c r="GZ189" s="62">
        <f>SUMIFS(tblSafety[Toolbox_Talks],tblSafety[Date],$A189)</f>
        <v/>
      </c>
      <c r="HA189" s="62">
        <f>IF($B189=$B188,$HA188,0)+$GZ189</f>
        <v/>
      </c>
      <c r="HB189" s="62">
        <f>$HB188+$GZ189</f>
        <v/>
      </c>
      <c r="HC189" s="62">
        <f>SUMIFS(tblSafety[Inspections],tblSafety[Date],$A189)</f>
        <v/>
      </c>
      <c r="HD189" s="62">
        <f>IF($B189=$B188,$HD188,0)+$HC189</f>
        <v/>
      </c>
      <c r="HE189" s="62">
        <f>$HE188+$HC189</f>
        <v/>
      </c>
      <c r="HF189" s="56">
        <f>IFERROR((SUMIFS(tblSafety[Recordables],tblSafety[Date],"&gt;="&amp;EDATE($E189,-12),tblSafety[Date],"&lt;="&amp;$A189)+SUMIFS(tblSafetyHistory[Recordables],tblSafetyHistory[Month],"&gt;="&amp;EDATE($E189,-12),tblSafetyHistory[Month],"&lt;"&amp;cfg_YearStart))/(SUMIFS(tblSafety[Hours_Total],tblSafety[Date],"&gt;="&amp;EDATE($E189,-12),tblSafety[Date],"&lt;="&amp;$A189)+SUMIFS(tblSafetyHistory[Hours_Total],tblSafetyHistory[Month],"&gt;="&amp;EDATE($E189,-12),tblSafetyHistory[Month],"&lt;"&amp;cfg_YearStart))*1000000,"")</f>
        <v/>
      </c>
      <c r="HG189" s="56">
        <f>IFERROR((SUMIFS(tblSafety[LTI],tblSafety[Date],"&gt;="&amp;EDATE($E189,-12),tblSafety[Date],"&lt;="&amp;$A189)+SUMIFS(tblSafetyHistory[LTI],tblSafetyHistory[Month],"&gt;="&amp;EDATE($E189,-12),tblSafetyHistory[Month],"&lt;"&amp;cfg_YearStart))/(SUMIFS(tblSafety[Hours_Total],tblSafety[Date],"&gt;="&amp;EDATE($E189,-12),tblSafety[Date],"&lt;="&amp;$A189)+SUMIFS(tblSafetyHistory[Hours_Total],tblSafetyHistory[Month],"&gt;="&amp;EDATE($E189,-12),tblSafetyHistory[Month],"&lt;"&amp;cfg_YearStart))*1000000,"")</f>
        <v/>
      </c>
      <c r="HH189" s="62">
        <f>IF(MAX(N(cfg_PriorLTIDate),_xlfn.MAXIFS(tblSafety[Date],tblSafety[LTI],"&gt;0",tblSafety[Date],"&lt;="&amp;$A189))=0,"",$A189-MAX(N(cfg_PriorLTIDate),_xlfn.MAXIFS(tblSafety[Date],tblSafety[LTI],"&gt;0",tblSafety[Date],"&lt;="&amp;$A189)))</f>
        <v/>
      </c>
      <c r="HI189" s="55">
        <f>SUMIFS(tblBudget[Ore_Mined_t],tblBudget[Month],$E189)</f>
        <v/>
      </c>
      <c r="HJ189" s="55">
        <f>$HI189*$C189/$D189</f>
        <v/>
      </c>
      <c r="HK189" s="55">
        <f>SUMIFS(tblBudget[Ore_Mined_t],tblBudget[Month],"&lt;"&amp;$E189)+$HJ189</f>
        <v/>
      </c>
      <c r="HL189" s="55">
        <f>SUMIFS(tblBudget[Ore_oz],tblBudget[Month],$E189)</f>
        <v/>
      </c>
      <c r="HM189" s="55">
        <f>$HL189*$C189/$D189</f>
        <v/>
      </c>
      <c r="HN189" s="55">
        <f>SUMIFS(tblBudget[Ore_oz],tblBudget[Month],"&lt;"&amp;$E189)+$HM189</f>
        <v/>
      </c>
      <c r="HO189" s="56">
        <f>IFERROR(IF(($HI189)&gt;0,($HL189*cfg_TroyOz)/($HI189),""),"")</f>
        <v/>
      </c>
      <c r="HP189" s="56">
        <f>IFERROR(IF(($HJ189)&gt;0,($HM189*cfg_TroyOz)/($HJ189),""),"")</f>
        <v/>
      </c>
      <c r="HQ189" s="56">
        <f>IFERROR(IF(($HK189)&gt;0,($HN189*cfg_TroyOz)/($HK189),""),"")</f>
        <v/>
      </c>
      <c r="HR189" s="55">
        <f>SUMIFS(tblBudget[Waste_t],tblBudget[Month],$E189)</f>
        <v/>
      </c>
      <c r="HS189" s="55">
        <f>$HR189*$C189/$D189</f>
        <v/>
      </c>
      <c r="HT189" s="55">
        <f>SUMIFS(tblBudget[Waste_t],tblBudget[Month],"&lt;"&amp;$E189)+$HS189</f>
        <v/>
      </c>
      <c r="HU189" s="55">
        <f>SUMIFS(tblBudget[TMM_t],tblBudget[Month],$E189)</f>
        <v/>
      </c>
      <c r="HV189" s="55">
        <f>$HU189*$C189/$D189</f>
        <v/>
      </c>
      <c r="HW189" s="55">
        <f>SUMIFS(tblBudget[TMM_t],tblBudget[Month],"&lt;"&amp;$E189)+$HV189</f>
        <v/>
      </c>
      <c r="HX189" s="56">
        <f>IFERROR(IF(($HI189)&gt;0,($HR189)/($HI189),""),"")</f>
        <v/>
      </c>
      <c r="HY189" s="56">
        <f>IFERROR(IF(($HJ189)&gt;0,($HS189)/($HJ189),""),"")</f>
        <v/>
      </c>
      <c r="HZ189" s="56">
        <f>IFERROR(IF(($HK189)&gt;0,($HT189)/($HK189),""),"")</f>
        <v/>
      </c>
      <c r="IA189" s="55">
        <f>SUMIFS(tblBudget[Drill_m],tblBudget[Month],$E189)</f>
        <v/>
      </c>
      <c r="IB189" s="55">
        <f>$IA189*$C189/$D189</f>
        <v/>
      </c>
      <c r="IC189" s="55">
        <f>SUMIFS(tblBudget[Drill_m],tblBudget[Month],"&lt;"&amp;$E189)+$IB189</f>
        <v/>
      </c>
      <c r="ID189" s="55">
        <f>SUMIFS(tblBudget[Diesel_L],tblBudget[Month],$E189)</f>
        <v/>
      </c>
      <c r="IE189" s="55">
        <f>$ID189*$C189/$D189</f>
        <v/>
      </c>
      <c r="IF189" s="55">
        <f>SUMIFS(tblBudget[Diesel_L],tblBudget[Month],"&lt;"&amp;$E189)+$IE189</f>
        <v/>
      </c>
      <c r="IG189" s="55">
        <f>SUMIFS(tblBudget[Milled_t],tblBudget[Month],$E189)</f>
        <v/>
      </c>
      <c r="IH189" s="55">
        <f>$IG189*$C189/$D189</f>
        <v/>
      </c>
      <c r="II189" s="55">
        <f>SUMIFS(tblBudget[Milled_t],tblBudget[Month],"&lt;"&amp;$E189)+$IH189</f>
        <v/>
      </c>
      <c r="IJ189" s="55">
        <f>SUMIFS(tblBudget[Feed_oz],tblBudget[Month],$E189)</f>
        <v/>
      </c>
      <c r="IK189" s="55">
        <f>$IJ189*$C189/$D189</f>
        <v/>
      </c>
      <c r="IL189" s="55">
        <f>SUMIFS(tblBudget[Feed_oz],tblBudget[Month],"&lt;"&amp;$E189)+$IK189</f>
        <v/>
      </c>
      <c r="IM189" s="55">
        <f>SUMIFS(tblBudget[Recovered_oz],tblBudget[Month],$E189)</f>
        <v/>
      </c>
      <c r="IN189" s="55">
        <f>$IM189*$C189/$D189</f>
        <v/>
      </c>
      <c r="IO189" s="55">
        <f>SUMIFS(tblBudget[Recovered_oz],tblBudget[Month],"&lt;"&amp;$E189)+$IN189</f>
        <v/>
      </c>
      <c r="IP189" s="56">
        <f>IFERROR(IF(($IG189)&gt;0,($IJ189*cfg_TroyOz)/($IG189),""),"")</f>
        <v/>
      </c>
      <c r="IQ189" s="56">
        <f>IFERROR(IF(($IH189)&gt;0,($IK189*cfg_TroyOz)/($IH189),""),"")</f>
        <v/>
      </c>
      <c r="IR189" s="56">
        <f>IFERROR(IF(($II189)&gt;0,($IL189*cfg_TroyOz)/($II189),""),"")</f>
        <v/>
      </c>
      <c r="IS189" s="67">
        <f>IFERROR(IF(($IJ189)&gt;0,($IM189)/($IJ189),""),"")</f>
        <v/>
      </c>
      <c r="IT189" s="67">
        <f>IFERROR(IF(($IK189)&gt;0,($IN189)/($IK189),""),"")</f>
        <v/>
      </c>
      <c r="IU189" s="67">
        <f>IFERROR(IF(($IL189)&gt;0,($IO189)/($IL189),""),"")</f>
        <v/>
      </c>
      <c r="IV189" s="55">
        <f>SUMIFS(tblBudget[Gold_Poured_oz],tblBudget[Month],$E189)</f>
        <v/>
      </c>
      <c r="IW189" s="55">
        <f>$IV189*$C189/$D189</f>
        <v/>
      </c>
      <c r="IX189" s="55">
        <f>SUMIFS(tblBudget[Gold_Poured_oz],tblBudget[Month],"&lt;"&amp;$E189)+$IW189</f>
        <v/>
      </c>
      <c r="IY189" s="57">
        <f>SUMIFS(tblBudget[Hours_Worked],tblBudget[Month],$E189)</f>
        <v/>
      </c>
      <c r="IZ189" s="57">
        <f>$IY189*$C189/$D189</f>
        <v/>
      </c>
      <c r="JA189" s="57">
        <f>SUMIFS(tblBudget[Hours_Worked],tblBudget[Month],"&lt;"&amp;$E189)+$IZ189</f>
        <v/>
      </c>
    </row>
    <row r="190">
      <c r="A190" s="54" t="n">
        <v>46211</v>
      </c>
      <c r="B190">
        <f>MONTH($A190)</f>
        <v/>
      </c>
      <c r="C190">
        <f>DAY($A190)</f>
        <v/>
      </c>
      <c r="D190">
        <f>DAY(EOMONTH($A190,0))</f>
        <v/>
      </c>
      <c r="E190" s="54">
        <f>DATE(YEAR($A190),MONTH($A190),1)</f>
        <v/>
      </c>
      <c r="F190" s="55">
        <f>SUMIFS(tblMovement[Tonnes_t],tblMovement[Date],$A190,tblMovement[Is_Ore],1,tblMovement[Source_Type],"Pit")</f>
        <v/>
      </c>
      <c r="G190" s="55">
        <f>IF($B190=$B189,$G189,0)+$F190</f>
        <v/>
      </c>
      <c r="H190" s="55">
        <f>$H189+$F190</f>
        <v/>
      </c>
      <c r="I190" s="55">
        <f>SUMIFS(tblMovement[Ore_oz],tblMovement[Date],$A190,tblMovement[Source_Type],"Pit")</f>
        <v/>
      </c>
      <c r="J190" s="55">
        <f>IF($B190=$B189,$J189,0)+$I190</f>
        <v/>
      </c>
      <c r="K190" s="55">
        <f>$K189+$I190</f>
        <v/>
      </c>
      <c r="L190" s="56">
        <f>IFERROR(IF(($F190)&gt;0,($I190*cfg_TroyOz)/($F190),""),"")</f>
        <v/>
      </c>
      <c r="M190" s="56">
        <f>IFERROR(IF(($G190)&gt;0,($J190*cfg_TroyOz)/($G190),""),"")</f>
        <v/>
      </c>
      <c r="N190" s="56">
        <f>IFERROR(IF(($H190)&gt;0,($K190*cfg_TroyOz)/($H190),""),"")</f>
        <v/>
      </c>
      <c r="O190" s="55">
        <f>SUMIFS(tblMovement[Tonnes_t],tblMovement[Date],$A190,tblMovement[Is_Ore],0,tblMovement[Source_Type],"Pit")</f>
        <v/>
      </c>
      <c r="P190" s="55">
        <f>IF($B190=$B189,$P189,0)+$O190</f>
        <v/>
      </c>
      <c r="Q190" s="55">
        <f>$Q189+$O190</f>
        <v/>
      </c>
      <c r="R190" s="55">
        <f>$F190+$O190</f>
        <v/>
      </c>
      <c r="S190" s="55">
        <f>IF($B190=$B189,$S189,0)+$R190</f>
        <v/>
      </c>
      <c r="T190" s="55">
        <f>$T189+$R190</f>
        <v/>
      </c>
      <c r="U190" s="56">
        <f>IFERROR(IF(($F190)&gt;0,($O190)/($F190),""),"")</f>
        <v/>
      </c>
      <c r="V190" s="56">
        <f>IFERROR(IF(($G190)&gt;0,($P190)/($G190),""),"")</f>
        <v/>
      </c>
      <c r="W190" s="56">
        <f>IFERROR(IF(($H190)&gt;0,($Q190)/($H190),""),"")</f>
        <v/>
      </c>
      <c r="X190" s="55">
        <f>SUMIFS(tblMovement[Tonnes_t],tblMovement[Date],$A190,tblMovement[Source_Type],"Stockpile")</f>
        <v/>
      </c>
      <c r="Y190" s="55">
        <f>IF($B190=$B189,$Y189,0)+$X190</f>
        <v/>
      </c>
      <c r="Z190" s="55">
        <f>$Z189+$X190</f>
        <v/>
      </c>
      <c r="AA190" s="55">
        <f>SUMIFS(tblMiningDaily[Drill_m],tblMiningDaily[Date],$A190)</f>
        <v/>
      </c>
      <c r="AB190" s="55">
        <f>IF($B190=$B189,$AB189,0)+$AA190</f>
        <v/>
      </c>
      <c r="AC190" s="55">
        <f>$AC189+$AA190</f>
        <v/>
      </c>
      <c r="AD190" s="55">
        <f>SUMIFS(tblMiningDaily[Blast_t],tblMiningDaily[Date],$A190)</f>
        <v/>
      </c>
      <c r="AE190" s="55">
        <f>IF($B190=$B189,$AE189,0)+$AD190</f>
        <v/>
      </c>
      <c r="AF190" s="55">
        <f>$AF189+$AD190</f>
        <v/>
      </c>
      <c r="AG190" s="55">
        <f>SUMIFS(tblMiningDaily[Explosives_kg],tblMiningDaily[Date],$A190)</f>
        <v/>
      </c>
      <c r="AH190" s="55">
        <f>IF($B190=$B189,$AH189,0)+$AG190</f>
        <v/>
      </c>
      <c r="AI190" s="55">
        <f>$AI189+$AG190</f>
        <v/>
      </c>
      <c r="AJ190" s="56">
        <f>IFERROR(IF(($AD190)&gt;0,($AG190)/($AD190),""),"")</f>
        <v/>
      </c>
      <c r="AK190" s="56">
        <f>IFERROR(IF(($AE190)&gt;0,($AH190)/($AE190),""),"")</f>
        <v/>
      </c>
      <c r="AL190" s="56">
        <f>IFERROR(IF(($AF190)&gt;0,($AI190)/($AF190),""),"")</f>
        <v/>
      </c>
      <c r="AM190" s="55">
        <f>SUMIFS(tblMiningDaily[Diesel_L],tblMiningDaily[Date],$A190)</f>
        <v/>
      </c>
      <c r="AN190" s="55">
        <f>IF($B190=$B189,$AN189,0)+$AM190</f>
        <v/>
      </c>
      <c r="AO190" s="55">
        <f>$AO189+$AM190</f>
        <v/>
      </c>
      <c r="AP190" s="55">
        <f>SUMIFS(tblMiningDaily[Dewatering_m3],tblMiningDaily[Date],$A190)</f>
        <v/>
      </c>
      <c r="AQ190" s="55">
        <f>IF($B190=$B189,$AQ189,0)+$AP190</f>
        <v/>
      </c>
      <c r="AR190" s="55">
        <f>$AR189+$AP190</f>
        <v/>
      </c>
      <c r="AS190" s="57">
        <f>SUMIFS(tblFleet[Calendar_h],tblFleet[Date],$A190,tblFleet[Equipment_Class],"Excavator")</f>
        <v/>
      </c>
      <c r="AT190" s="57">
        <f>IF($B190=$B189,$AT189,0)+$AS190</f>
        <v/>
      </c>
      <c r="AU190" s="57">
        <f>$AU189+$AS190</f>
        <v/>
      </c>
      <c r="AV190" s="57">
        <f>SUMIFS(tblFleet[Available_h],tblFleet[Date],$A190,tblFleet[Equipment_Class],"Excavator")</f>
        <v/>
      </c>
      <c r="AW190" s="57">
        <f>IF($B190=$B189,$AW189,0)+$AV190</f>
        <v/>
      </c>
      <c r="AX190" s="57">
        <f>$AX189+$AV190</f>
        <v/>
      </c>
      <c r="AY190" s="57">
        <f>SUMIFS(tblFleet[Operating_h],tblFleet[Date],$A190,tblFleet[Equipment_Class],"Excavator")</f>
        <v/>
      </c>
      <c r="AZ190" s="57">
        <f>IF($B190=$B189,$AZ189,0)+$AY190</f>
        <v/>
      </c>
      <c r="BA190" s="57">
        <f>$BA189+$AY190</f>
        <v/>
      </c>
      <c r="BB190" s="67">
        <f>IFERROR(IF(($AS190)&gt;0,($AV190)/($AS190),""),"")</f>
        <v/>
      </c>
      <c r="BC190" s="67">
        <f>IFERROR(IF(($AT190)&gt;0,($AW190)/($AT190),""),"")</f>
        <v/>
      </c>
      <c r="BD190" s="67">
        <f>IFERROR(IF(($AU190)&gt;0,($AX190)/($AU190),""),"")</f>
        <v/>
      </c>
      <c r="BE190" s="67">
        <f>IFERROR(IF(($AV190)&gt;0,($AY190)/($AV190),""),"")</f>
        <v/>
      </c>
      <c r="BF190" s="67">
        <f>IFERROR(IF(($AW190)&gt;0,($AZ190)/($AW190),""),"")</f>
        <v/>
      </c>
      <c r="BG190" s="67">
        <f>IFERROR(IF(($AX190)&gt;0,($BA190)/($AX190),""),"")</f>
        <v/>
      </c>
      <c r="BH190" s="57">
        <f>SUMIFS(tblFleet[Calendar_h],tblFleet[Date],$A190,tblFleet[Equipment_Class],"Haul Truck")</f>
        <v/>
      </c>
      <c r="BI190" s="57">
        <f>IF($B190=$B189,$BI189,0)+$BH190</f>
        <v/>
      </c>
      <c r="BJ190" s="57">
        <f>$BJ189+$BH190</f>
        <v/>
      </c>
      <c r="BK190" s="57">
        <f>SUMIFS(tblFleet[Available_h],tblFleet[Date],$A190,tblFleet[Equipment_Class],"Haul Truck")</f>
        <v/>
      </c>
      <c r="BL190" s="57">
        <f>IF($B190=$B189,$BL189,0)+$BK190</f>
        <v/>
      </c>
      <c r="BM190" s="57">
        <f>$BM189+$BK190</f>
        <v/>
      </c>
      <c r="BN190" s="57">
        <f>SUMIFS(tblFleet[Operating_h],tblFleet[Date],$A190,tblFleet[Equipment_Class],"Haul Truck")</f>
        <v/>
      </c>
      <c r="BO190" s="57">
        <f>IF($B190=$B189,$BO189,0)+$BN190</f>
        <v/>
      </c>
      <c r="BP190" s="57">
        <f>$BP189+$BN190</f>
        <v/>
      </c>
      <c r="BQ190" s="67">
        <f>IFERROR(IF(($BH190)&gt;0,($BK190)/($BH190),""),"")</f>
        <v/>
      </c>
      <c r="BR190" s="67">
        <f>IFERROR(IF(($BI190)&gt;0,($BL190)/($BI190),""),"")</f>
        <v/>
      </c>
      <c r="BS190" s="67">
        <f>IFERROR(IF(($BJ190)&gt;0,($BM190)/($BJ190),""),"")</f>
        <v/>
      </c>
      <c r="BT190" s="67">
        <f>IFERROR(IF(($BK190)&gt;0,($BN190)/($BK190),""),"")</f>
        <v/>
      </c>
      <c r="BU190" s="67">
        <f>IFERROR(IF(($BL190)&gt;0,($BO190)/($BL190),""),"")</f>
        <v/>
      </c>
      <c r="BV190" s="67">
        <f>IFERROR(IF(($BM190)&gt;0,($BP190)/($BM190),""),"")</f>
        <v/>
      </c>
      <c r="BW190" s="55">
        <f>SUMIFS(tblPlant[Crushed_t],tblPlant[Date],$A190)</f>
        <v/>
      </c>
      <c r="BX190" s="55">
        <f>IF($B190=$B189,$BX189,0)+$BW190</f>
        <v/>
      </c>
      <c r="BY190" s="55">
        <f>$BY189+$BW190</f>
        <v/>
      </c>
      <c r="BZ190" s="55">
        <f>SUMIFS(tblPlant[Milled_t],tblPlant[Date],$A190)</f>
        <v/>
      </c>
      <c r="CA190" s="55">
        <f>IF($B190=$B189,$CA189,0)+$BZ190</f>
        <v/>
      </c>
      <c r="CB190" s="55">
        <f>$CB189+$BZ190</f>
        <v/>
      </c>
      <c r="CC190" s="55">
        <f>SUMIFS(tblPlant[Feed_oz],tblPlant[Date],$A190)</f>
        <v/>
      </c>
      <c r="CD190" s="55">
        <f>IF($B190=$B189,$CD189,0)+$CC190</f>
        <v/>
      </c>
      <c r="CE190" s="55">
        <f>$CE189+$CC190</f>
        <v/>
      </c>
      <c r="CF190" s="55">
        <f>SUMIFS(tblPlant[Tails_oz],tblPlant[Date],$A190)</f>
        <v/>
      </c>
      <c r="CG190" s="55">
        <f>IF($B190=$B189,$CG189,0)+$CF190</f>
        <v/>
      </c>
      <c r="CH190" s="55">
        <f>$CH189+$CF190</f>
        <v/>
      </c>
      <c r="CI190" s="55">
        <f>SUMIFS(tblPlant[Recovered_oz],tblPlant[Date],$A190)</f>
        <v/>
      </c>
      <c r="CJ190" s="55">
        <f>IF($B190=$B189,$CJ189,0)+$CI190</f>
        <v/>
      </c>
      <c r="CK190" s="55">
        <f>$CK189+$CI190</f>
        <v/>
      </c>
      <c r="CL190" s="56">
        <f>IFERROR(IF(($BZ190)&gt;0,($CC190*cfg_TroyOz)/($BZ190),""),"")</f>
        <v/>
      </c>
      <c r="CM190" s="56">
        <f>IFERROR(IF(($CA190)&gt;0,($CD190*cfg_TroyOz)/($CA190),""),"")</f>
        <v/>
      </c>
      <c r="CN190" s="56">
        <f>IFERROR(IF(($CB190)&gt;0,($CE190*cfg_TroyOz)/($CB190),""),"")</f>
        <v/>
      </c>
      <c r="CO190" s="56">
        <f>IFERROR(IF(($BZ190)&gt;0,($CF190*cfg_TroyOz)/($BZ190),""),"")</f>
        <v/>
      </c>
      <c r="CP190" s="56">
        <f>IFERROR(IF(($CA190)&gt;0,($CG190*cfg_TroyOz)/($CA190),""),"")</f>
        <v/>
      </c>
      <c r="CQ190" s="56">
        <f>IFERROR(IF(($CB190)&gt;0,($CH190*cfg_TroyOz)/($CB190),""),"")</f>
        <v/>
      </c>
      <c r="CR190" s="67">
        <f>IFERROR(IF(($CC190)&gt;0,($CI190)/($CC190),""),"")</f>
        <v/>
      </c>
      <c r="CS190" s="67">
        <f>IFERROR(IF(($CD190)&gt;0,($CJ190)/($CD190),""),"")</f>
        <v/>
      </c>
      <c r="CT190" s="67">
        <f>IFERROR(IF(($CE190)&gt;0,($CK190)/($CE190),""),"")</f>
        <v/>
      </c>
      <c r="CU190" s="55">
        <f>SUMIFS(tblPlant[Gravity_Gold_oz],tblPlant[Date],$A190)</f>
        <v/>
      </c>
      <c r="CV190" s="55">
        <f>IF($B190=$B189,$CV189,0)+$CU190</f>
        <v/>
      </c>
      <c r="CW190" s="55">
        <f>$CW189+$CU190</f>
        <v/>
      </c>
      <c r="CX190" s="55">
        <f>SUMIFS(tblPlant[Gold_Poured_oz],tblPlant[Date],$A190)</f>
        <v/>
      </c>
      <c r="CY190" s="55">
        <f>IF($B190=$B189,$CY189,0)+$CX190</f>
        <v/>
      </c>
      <c r="CZ190" s="55">
        <f>$CZ189+$CX190</f>
        <v/>
      </c>
      <c r="DA190" s="57">
        <f>SUMIFS(tblPlant[Mill_Run_h],tblPlant[Date],$A190)</f>
        <v/>
      </c>
      <c r="DB190" s="57">
        <f>IF($B190=$B189,$DB189,0)+$DA190</f>
        <v/>
      </c>
      <c r="DC190" s="57">
        <f>$DC189+$DA190</f>
        <v/>
      </c>
      <c r="DD190" s="57">
        <f>SUMIFS(tblPlant[Mill_Planned_Maint_h],tblPlant[Date],$A190)</f>
        <v/>
      </c>
      <c r="DE190" s="57">
        <f>IF($B190=$B189,$DE189,0)+$DD190</f>
        <v/>
      </c>
      <c r="DF190" s="57">
        <f>$DF189+$DD190</f>
        <v/>
      </c>
      <c r="DG190" s="57">
        <f>SUMIFS(tblPlant[Mill_Unplanned_Down_h],tblPlant[Date],$A190)</f>
        <v/>
      </c>
      <c r="DH190" s="57">
        <f>IF($B190=$B189,$DH189,0)+$DG190</f>
        <v/>
      </c>
      <c r="DI190" s="57">
        <f>$DI189+$DG190</f>
        <v/>
      </c>
      <c r="DJ190" s="57">
        <f>COUNTIFS(tblPlant[Date],$A190,tblPlant[Mill_Run_h],"&lt;&gt;")*24</f>
        <v/>
      </c>
      <c r="DK190" s="57">
        <f>IF($B190=$B189,$DK189,0)+$DJ190</f>
        <v/>
      </c>
      <c r="DL190" s="57">
        <f>$DL189+$DJ190</f>
        <v/>
      </c>
      <c r="DM190" s="57">
        <f>SUMIFS(tblPlant[Crusher_Run_h],tblPlant[Date],$A190)</f>
        <v/>
      </c>
      <c r="DN190" s="57">
        <f>IF($B190=$B189,$DN189,0)+$DM190</f>
        <v/>
      </c>
      <c r="DO190" s="57">
        <f>$DO189+$DM190</f>
        <v/>
      </c>
      <c r="DP190" s="55">
        <f>IFERROR(IF(($DA190)&gt;0,($BZ190)/($DA190),""),"")</f>
        <v/>
      </c>
      <c r="DQ190" s="55">
        <f>IFERROR(IF(($DB190)&gt;0,($CA190)/($DB190),""),"")</f>
        <v/>
      </c>
      <c r="DR190" s="55">
        <f>IFERROR(IF(($DC190)&gt;0,($CB190)/($DC190),""),"")</f>
        <v/>
      </c>
      <c r="DS190" s="67">
        <f>IFERROR(IF(($DJ190)&gt;0,($DJ190-$DD190-$DG190)/($DJ190),""),"")</f>
        <v/>
      </c>
      <c r="DT190" s="67">
        <f>IFERROR(IF(($DK190)&gt;0,($DK190-$DE190-$DH190)/($DK190),""),"")</f>
        <v/>
      </c>
      <c r="DU190" s="67">
        <f>IFERROR(IF(($DL190)&gt;0,($DL190-$DF190-$DI190)/($DL190),""),"")</f>
        <v/>
      </c>
      <c r="DV190" s="67">
        <f>IFERROR(IF(($DJ190-$DD190-$DG190)&gt;0,($DA190)/($DJ190-$DD190-$DG190),""),"")</f>
        <v/>
      </c>
      <c r="DW190" s="67">
        <f>IFERROR(IF(($DK190-$DE190-$DH190)&gt;0,($DB190)/($DK190-$DE190-$DH190),""),"")</f>
        <v/>
      </c>
      <c r="DX190" s="67">
        <f>IFERROR(IF(($DL190-$DF190-$DI190)&gt;0,($DC190)/($DL190-$DF190-$DI190),""),"")</f>
        <v/>
      </c>
      <c r="DY190" s="55">
        <f>SUMIFS(tblPlant[Cyanide_kg],tblPlant[Date],$A190)</f>
        <v/>
      </c>
      <c r="DZ190" s="55">
        <f>IF($B190=$B189,$DZ189,0)+$DY190</f>
        <v/>
      </c>
      <c r="EA190" s="55">
        <f>$EA189+$DY190</f>
        <v/>
      </c>
      <c r="EB190" s="55">
        <f>SUMIFS(tblPlant[Lime_kg],tblPlant[Date],$A190)</f>
        <v/>
      </c>
      <c r="EC190" s="55">
        <f>IF($B190=$B189,$EC189,0)+$EB190</f>
        <v/>
      </c>
      <c r="ED190" s="55">
        <f>$ED189+$EB190</f>
        <v/>
      </c>
      <c r="EE190" s="55">
        <f>SUMIFS(tblPlant[Grinding_Media_kg],tblPlant[Date],$A190)</f>
        <v/>
      </c>
      <c r="EF190" s="55">
        <f>IF($B190=$B189,$EF189,0)+$EE190</f>
        <v/>
      </c>
      <c r="EG190" s="55">
        <f>$EG189+$EE190</f>
        <v/>
      </c>
      <c r="EH190" s="55">
        <f>SUMIFS(tblPlant[Power_kWh],tblPlant[Date],$A190)</f>
        <v/>
      </c>
      <c r="EI190" s="55">
        <f>IF($B190=$B189,$EI189,0)+$EH190</f>
        <v/>
      </c>
      <c r="EJ190" s="55">
        <f>$EJ189+$EH190</f>
        <v/>
      </c>
      <c r="EK190" s="55">
        <f>SUMIFS(tblPlant[Raw_Water_m3],tblPlant[Date],$A190)</f>
        <v/>
      </c>
      <c r="EL190" s="55">
        <f>IF($B190=$B189,$EL189,0)+$EK190</f>
        <v/>
      </c>
      <c r="EM190" s="55">
        <f>$EM189+$EK190</f>
        <v/>
      </c>
      <c r="EN190" s="56">
        <f>IFERROR(IF(($BZ190)&gt;0,($DY190)/($BZ190),""),"")</f>
        <v/>
      </c>
      <c r="EO190" s="56">
        <f>IFERROR(IF(($CA190)&gt;0,($DZ190)/($CA190),""),"")</f>
        <v/>
      </c>
      <c r="EP190" s="56">
        <f>IFERROR(IF(($CB190)&gt;0,($EA190)/($CB190),""),"")</f>
        <v/>
      </c>
      <c r="EQ190" s="56">
        <f>IFERROR(IF(($BZ190)&gt;0,($EB190)/($BZ190),""),"")</f>
        <v/>
      </c>
      <c r="ER190" s="56">
        <f>IFERROR(IF(($CA190)&gt;0,($EC190)/($CA190),""),"")</f>
        <v/>
      </c>
      <c r="ES190" s="56">
        <f>IFERROR(IF(($CB190)&gt;0,($ED190)/($CB190),""),"")</f>
        <v/>
      </c>
      <c r="ET190" s="56">
        <f>IFERROR(IF(($BZ190)&gt;0,($EE190)/($BZ190),""),"")</f>
        <v/>
      </c>
      <c r="EU190" s="56">
        <f>IFERROR(IF(($CA190)&gt;0,($EF190)/($CA190),""),"")</f>
        <v/>
      </c>
      <c r="EV190" s="56">
        <f>IFERROR(IF(($CB190)&gt;0,($EG190)/($CB190),""),"")</f>
        <v/>
      </c>
      <c r="EW190" s="76">
        <f>IFERROR(IF(($BZ190)&gt;0,($EH190)/($BZ190),""),"")</f>
        <v/>
      </c>
      <c r="EX190" s="76">
        <f>IFERROR(IF(($CA190)&gt;0,($EI190)/($CA190),""),"")</f>
        <v/>
      </c>
      <c r="EY190" s="76">
        <f>IFERROR(IF(($CB190)&gt;0,($EJ190)/($CB190),""),"")</f>
        <v/>
      </c>
      <c r="EZ190" s="56">
        <f>IFERROR(IF(($BZ190)&gt;0,($EK190)/($BZ190),""),"")</f>
        <v/>
      </c>
      <c r="FA190" s="56">
        <f>IFERROR(IF(($CA190)&gt;0,($EL190)/($CA190),""),"")</f>
        <v/>
      </c>
      <c r="FB190" s="56">
        <f>IFERROR(IF(($CB190)&gt;0,($EM190)/($CB190),""),"")</f>
        <v/>
      </c>
      <c r="FC190" s="55">
        <f>IF(SUMIFS(tblPlant[GIC_oz],tblPlant[Date],$A190)&gt;0,SUMIFS(tblPlant[GIC_oz],tblPlant[Date],$A190),"")</f>
        <v/>
      </c>
      <c r="FD190" s="55">
        <f>SUMIFS(tblGold[Gold_oz],tblGold[Date],$A190,tblGold[Type],"Shipment")</f>
        <v/>
      </c>
      <c r="FE190" s="55">
        <f>IF($B190=$B189,$FE189,0)+$FD190</f>
        <v/>
      </c>
      <c r="FF190" s="55">
        <f>$FF189+$FD190</f>
        <v/>
      </c>
      <c r="FG190" s="55">
        <f>SUMIFS(tblGold[Gold_oz],tblGold[Date],$A190,tblGold[Type],"Sale")</f>
        <v/>
      </c>
      <c r="FH190" s="55">
        <f>IF($B190=$B189,$FH189,0)+$FG190</f>
        <v/>
      </c>
      <c r="FI190" s="55">
        <f>$FI189+$FG190</f>
        <v/>
      </c>
      <c r="FJ190" s="55">
        <f>SUMIFS(tblGold[Dore_kg],tblGold[Date],$A190,tblGold[Type],"Shipment")</f>
        <v/>
      </c>
      <c r="FK190" s="55">
        <f>IF($B190=$B189,$FK189,0)+$FJ190</f>
        <v/>
      </c>
      <c r="FL190" s="55">
        <f>$FL189+$FJ190</f>
        <v/>
      </c>
      <c r="FM190" s="57">
        <f>SUMIFS(tblSafety[Hours_Total],tblSafety[Date],$A190)</f>
        <v/>
      </c>
      <c r="FN190" s="57">
        <f>IF($B190=$B189,$FN189,0)+$FM190</f>
        <v/>
      </c>
      <c r="FO190" s="57">
        <f>$FO189+$FM190</f>
        <v/>
      </c>
      <c r="FP190" s="62">
        <f>SUMIFS(tblSafety[Fatality],tblSafety[Date],$A190)</f>
        <v/>
      </c>
      <c r="FQ190" s="62">
        <f>IF($B190=$B189,$FQ189,0)+$FP190</f>
        <v/>
      </c>
      <c r="FR190" s="62">
        <f>$FR189+$FP190</f>
        <v/>
      </c>
      <c r="FS190" s="62">
        <f>SUMIFS(tblSafety[LTI],tblSafety[Date],$A190)</f>
        <v/>
      </c>
      <c r="FT190" s="62">
        <f>IF($B190=$B189,$FT189,0)+$FS190</f>
        <v/>
      </c>
      <c r="FU190" s="62">
        <f>$FU189+$FS190</f>
        <v/>
      </c>
      <c r="FV190" s="62">
        <f>SUMIFS(tblSafety[RWI],tblSafety[Date],$A190)</f>
        <v/>
      </c>
      <c r="FW190" s="62">
        <f>IF($B190=$B189,$FW189,0)+$FV190</f>
        <v/>
      </c>
      <c r="FX190" s="62">
        <f>$FX189+$FV190</f>
        <v/>
      </c>
      <c r="FY190" s="62">
        <f>SUMIFS(tblSafety[MTI],tblSafety[Date],$A190)</f>
        <v/>
      </c>
      <c r="FZ190" s="62">
        <f>IF($B190=$B189,$FZ189,0)+$FY190</f>
        <v/>
      </c>
      <c r="GA190" s="62">
        <f>$GA189+$FY190</f>
        <v/>
      </c>
      <c r="GB190" s="62">
        <f>SUMIFS(tblSafety[FAI],tblSafety[Date],$A190)</f>
        <v/>
      </c>
      <c r="GC190" s="62">
        <f>IF($B190=$B189,$GC189,0)+$GB190</f>
        <v/>
      </c>
      <c r="GD190" s="62">
        <f>$GD189+$GB190</f>
        <v/>
      </c>
      <c r="GE190" s="62">
        <f>SUMIFS(tblSafety[Recordables],tblSafety[Date],$A190)</f>
        <v/>
      </c>
      <c r="GF190" s="62">
        <f>IF($B190=$B189,$GF189,0)+$GE190</f>
        <v/>
      </c>
      <c r="GG190" s="62">
        <f>$GG189+$GE190</f>
        <v/>
      </c>
      <c r="GH190" s="62">
        <f>SUMIFS(tblSafety[Near_Miss],tblSafety[Date],$A190)</f>
        <v/>
      </c>
      <c r="GI190" s="62">
        <f>IF($B190=$B189,$GI189,0)+$GH190</f>
        <v/>
      </c>
      <c r="GJ190" s="62">
        <f>$GJ189+$GH190</f>
        <v/>
      </c>
      <c r="GK190" s="62">
        <f>SUMIFS(tblSafety[Hazard_Reports],tblSafety[Date],$A190)</f>
        <v/>
      </c>
      <c r="GL190" s="62">
        <f>IF($B190=$B189,$GL189,0)+$GK190</f>
        <v/>
      </c>
      <c r="GM190" s="62">
        <f>$GM189+$GK190</f>
        <v/>
      </c>
      <c r="GN190" s="62">
        <f>SUMIFS(tblSafety[HPI],tblSafety[Date],$A190)</f>
        <v/>
      </c>
      <c r="GO190" s="62">
        <f>IF($B190=$B189,$GO189,0)+$GN190</f>
        <v/>
      </c>
      <c r="GP190" s="62">
        <f>$GP189+$GN190</f>
        <v/>
      </c>
      <c r="GQ190" s="62">
        <f>SUMIFS(tblSafety[Env_Incidents],tblSafety[Date],$A190)</f>
        <v/>
      </c>
      <c r="GR190" s="62">
        <f>IF($B190=$B189,$GR189,0)+$GQ190</f>
        <v/>
      </c>
      <c r="GS190" s="62">
        <f>$GS189+$GQ190</f>
        <v/>
      </c>
      <c r="GT190" s="62">
        <f>SUMIFS(tblSafety[Community_Incidents],tblSafety[Date],$A190)</f>
        <v/>
      </c>
      <c r="GU190" s="62">
        <f>IF($B190=$B189,$GU189,0)+$GT190</f>
        <v/>
      </c>
      <c r="GV190" s="62">
        <f>$GV189+$GT190</f>
        <v/>
      </c>
      <c r="GW190" s="62">
        <f>SUMIFS(tblSafety[Vehicle_Incidents],tblSafety[Date],$A190)</f>
        <v/>
      </c>
      <c r="GX190" s="62">
        <f>IF($B190=$B189,$GX189,0)+$GW190</f>
        <v/>
      </c>
      <c r="GY190" s="62">
        <f>$GY189+$GW190</f>
        <v/>
      </c>
      <c r="GZ190" s="62">
        <f>SUMIFS(tblSafety[Toolbox_Talks],tblSafety[Date],$A190)</f>
        <v/>
      </c>
      <c r="HA190" s="62">
        <f>IF($B190=$B189,$HA189,0)+$GZ190</f>
        <v/>
      </c>
      <c r="HB190" s="62">
        <f>$HB189+$GZ190</f>
        <v/>
      </c>
      <c r="HC190" s="62">
        <f>SUMIFS(tblSafety[Inspections],tblSafety[Date],$A190)</f>
        <v/>
      </c>
      <c r="HD190" s="62">
        <f>IF($B190=$B189,$HD189,0)+$HC190</f>
        <v/>
      </c>
      <c r="HE190" s="62">
        <f>$HE189+$HC190</f>
        <v/>
      </c>
      <c r="HF190" s="56">
        <f>IFERROR((SUMIFS(tblSafety[Recordables],tblSafety[Date],"&gt;="&amp;EDATE($E190,-12),tblSafety[Date],"&lt;="&amp;$A190)+SUMIFS(tblSafetyHistory[Recordables],tblSafetyHistory[Month],"&gt;="&amp;EDATE($E190,-12),tblSafetyHistory[Month],"&lt;"&amp;cfg_YearStart))/(SUMIFS(tblSafety[Hours_Total],tblSafety[Date],"&gt;="&amp;EDATE($E190,-12),tblSafety[Date],"&lt;="&amp;$A190)+SUMIFS(tblSafetyHistory[Hours_Total],tblSafetyHistory[Month],"&gt;="&amp;EDATE($E190,-12),tblSafetyHistory[Month],"&lt;"&amp;cfg_YearStart))*1000000,"")</f>
        <v/>
      </c>
      <c r="HG190" s="56">
        <f>IFERROR((SUMIFS(tblSafety[LTI],tblSafety[Date],"&gt;="&amp;EDATE($E190,-12),tblSafety[Date],"&lt;="&amp;$A190)+SUMIFS(tblSafetyHistory[LTI],tblSafetyHistory[Month],"&gt;="&amp;EDATE($E190,-12),tblSafetyHistory[Month],"&lt;"&amp;cfg_YearStart))/(SUMIFS(tblSafety[Hours_Total],tblSafety[Date],"&gt;="&amp;EDATE($E190,-12),tblSafety[Date],"&lt;="&amp;$A190)+SUMIFS(tblSafetyHistory[Hours_Total],tblSafetyHistory[Month],"&gt;="&amp;EDATE($E190,-12),tblSafetyHistory[Month],"&lt;"&amp;cfg_YearStart))*1000000,"")</f>
        <v/>
      </c>
      <c r="HH190" s="62">
        <f>IF(MAX(N(cfg_PriorLTIDate),_xlfn.MAXIFS(tblSafety[Date],tblSafety[LTI],"&gt;0",tblSafety[Date],"&lt;="&amp;$A190))=0,"",$A190-MAX(N(cfg_PriorLTIDate),_xlfn.MAXIFS(tblSafety[Date],tblSafety[LTI],"&gt;0",tblSafety[Date],"&lt;="&amp;$A190)))</f>
        <v/>
      </c>
      <c r="HI190" s="55">
        <f>SUMIFS(tblBudget[Ore_Mined_t],tblBudget[Month],$E190)</f>
        <v/>
      </c>
      <c r="HJ190" s="55">
        <f>$HI190*$C190/$D190</f>
        <v/>
      </c>
      <c r="HK190" s="55">
        <f>SUMIFS(tblBudget[Ore_Mined_t],tblBudget[Month],"&lt;"&amp;$E190)+$HJ190</f>
        <v/>
      </c>
      <c r="HL190" s="55">
        <f>SUMIFS(tblBudget[Ore_oz],tblBudget[Month],$E190)</f>
        <v/>
      </c>
      <c r="HM190" s="55">
        <f>$HL190*$C190/$D190</f>
        <v/>
      </c>
      <c r="HN190" s="55">
        <f>SUMIFS(tblBudget[Ore_oz],tblBudget[Month],"&lt;"&amp;$E190)+$HM190</f>
        <v/>
      </c>
      <c r="HO190" s="56">
        <f>IFERROR(IF(($HI190)&gt;0,($HL190*cfg_TroyOz)/($HI190),""),"")</f>
        <v/>
      </c>
      <c r="HP190" s="56">
        <f>IFERROR(IF(($HJ190)&gt;0,($HM190*cfg_TroyOz)/($HJ190),""),"")</f>
        <v/>
      </c>
      <c r="HQ190" s="56">
        <f>IFERROR(IF(($HK190)&gt;0,($HN190*cfg_TroyOz)/($HK190),""),"")</f>
        <v/>
      </c>
      <c r="HR190" s="55">
        <f>SUMIFS(tblBudget[Waste_t],tblBudget[Month],$E190)</f>
        <v/>
      </c>
      <c r="HS190" s="55">
        <f>$HR190*$C190/$D190</f>
        <v/>
      </c>
      <c r="HT190" s="55">
        <f>SUMIFS(tblBudget[Waste_t],tblBudget[Month],"&lt;"&amp;$E190)+$HS190</f>
        <v/>
      </c>
      <c r="HU190" s="55">
        <f>SUMIFS(tblBudget[TMM_t],tblBudget[Month],$E190)</f>
        <v/>
      </c>
      <c r="HV190" s="55">
        <f>$HU190*$C190/$D190</f>
        <v/>
      </c>
      <c r="HW190" s="55">
        <f>SUMIFS(tblBudget[TMM_t],tblBudget[Month],"&lt;"&amp;$E190)+$HV190</f>
        <v/>
      </c>
      <c r="HX190" s="56">
        <f>IFERROR(IF(($HI190)&gt;0,($HR190)/($HI190),""),"")</f>
        <v/>
      </c>
      <c r="HY190" s="56">
        <f>IFERROR(IF(($HJ190)&gt;0,($HS190)/($HJ190),""),"")</f>
        <v/>
      </c>
      <c r="HZ190" s="56">
        <f>IFERROR(IF(($HK190)&gt;0,($HT190)/($HK190),""),"")</f>
        <v/>
      </c>
      <c r="IA190" s="55">
        <f>SUMIFS(tblBudget[Drill_m],tblBudget[Month],$E190)</f>
        <v/>
      </c>
      <c r="IB190" s="55">
        <f>$IA190*$C190/$D190</f>
        <v/>
      </c>
      <c r="IC190" s="55">
        <f>SUMIFS(tblBudget[Drill_m],tblBudget[Month],"&lt;"&amp;$E190)+$IB190</f>
        <v/>
      </c>
      <c r="ID190" s="55">
        <f>SUMIFS(tblBudget[Diesel_L],tblBudget[Month],$E190)</f>
        <v/>
      </c>
      <c r="IE190" s="55">
        <f>$ID190*$C190/$D190</f>
        <v/>
      </c>
      <c r="IF190" s="55">
        <f>SUMIFS(tblBudget[Diesel_L],tblBudget[Month],"&lt;"&amp;$E190)+$IE190</f>
        <v/>
      </c>
      <c r="IG190" s="55">
        <f>SUMIFS(tblBudget[Milled_t],tblBudget[Month],$E190)</f>
        <v/>
      </c>
      <c r="IH190" s="55">
        <f>$IG190*$C190/$D190</f>
        <v/>
      </c>
      <c r="II190" s="55">
        <f>SUMIFS(tblBudget[Milled_t],tblBudget[Month],"&lt;"&amp;$E190)+$IH190</f>
        <v/>
      </c>
      <c r="IJ190" s="55">
        <f>SUMIFS(tblBudget[Feed_oz],tblBudget[Month],$E190)</f>
        <v/>
      </c>
      <c r="IK190" s="55">
        <f>$IJ190*$C190/$D190</f>
        <v/>
      </c>
      <c r="IL190" s="55">
        <f>SUMIFS(tblBudget[Feed_oz],tblBudget[Month],"&lt;"&amp;$E190)+$IK190</f>
        <v/>
      </c>
      <c r="IM190" s="55">
        <f>SUMIFS(tblBudget[Recovered_oz],tblBudget[Month],$E190)</f>
        <v/>
      </c>
      <c r="IN190" s="55">
        <f>$IM190*$C190/$D190</f>
        <v/>
      </c>
      <c r="IO190" s="55">
        <f>SUMIFS(tblBudget[Recovered_oz],tblBudget[Month],"&lt;"&amp;$E190)+$IN190</f>
        <v/>
      </c>
      <c r="IP190" s="56">
        <f>IFERROR(IF(($IG190)&gt;0,($IJ190*cfg_TroyOz)/($IG190),""),"")</f>
        <v/>
      </c>
      <c r="IQ190" s="56">
        <f>IFERROR(IF(($IH190)&gt;0,($IK190*cfg_TroyOz)/($IH190),""),"")</f>
        <v/>
      </c>
      <c r="IR190" s="56">
        <f>IFERROR(IF(($II190)&gt;0,($IL190*cfg_TroyOz)/($II190),""),"")</f>
        <v/>
      </c>
      <c r="IS190" s="67">
        <f>IFERROR(IF(($IJ190)&gt;0,($IM190)/($IJ190),""),"")</f>
        <v/>
      </c>
      <c r="IT190" s="67">
        <f>IFERROR(IF(($IK190)&gt;0,($IN190)/($IK190),""),"")</f>
        <v/>
      </c>
      <c r="IU190" s="67">
        <f>IFERROR(IF(($IL190)&gt;0,($IO190)/($IL190),""),"")</f>
        <v/>
      </c>
      <c r="IV190" s="55">
        <f>SUMIFS(tblBudget[Gold_Poured_oz],tblBudget[Month],$E190)</f>
        <v/>
      </c>
      <c r="IW190" s="55">
        <f>$IV190*$C190/$D190</f>
        <v/>
      </c>
      <c r="IX190" s="55">
        <f>SUMIFS(tblBudget[Gold_Poured_oz],tblBudget[Month],"&lt;"&amp;$E190)+$IW190</f>
        <v/>
      </c>
      <c r="IY190" s="57">
        <f>SUMIFS(tblBudget[Hours_Worked],tblBudget[Month],$E190)</f>
        <v/>
      </c>
      <c r="IZ190" s="57">
        <f>$IY190*$C190/$D190</f>
        <v/>
      </c>
      <c r="JA190" s="57">
        <f>SUMIFS(tblBudget[Hours_Worked],tblBudget[Month],"&lt;"&amp;$E190)+$IZ190</f>
        <v/>
      </c>
    </row>
    <row r="191">
      <c r="A191" s="54" t="n">
        <v>46212</v>
      </c>
      <c r="B191">
        <f>MONTH($A191)</f>
        <v/>
      </c>
      <c r="C191">
        <f>DAY($A191)</f>
        <v/>
      </c>
      <c r="D191">
        <f>DAY(EOMONTH($A191,0))</f>
        <v/>
      </c>
      <c r="E191" s="54">
        <f>DATE(YEAR($A191),MONTH($A191),1)</f>
        <v/>
      </c>
      <c r="F191" s="55">
        <f>SUMIFS(tblMovement[Tonnes_t],tblMovement[Date],$A191,tblMovement[Is_Ore],1,tblMovement[Source_Type],"Pit")</f>
        <v/>
      </c>
      <c r="G191" s="55">
        <f>IF($B191=$B190,$G190,0)+$F191</f>
        <v/>
      </c>
      <c r="H191" s="55">
        <f>$H190+$F191</f>
        <v/>
      </c>
      <c r="I191" s="55">
        <f>SUMIFS(tblMovement[Ore_oz],tblMovement[Date],$A191,tblMovement[Source_Type],"Pit")</f>
        <v/>
      </c>
      <c r="J191" s="55">
        <f>IF($B191=$B190,$J190,0)+$I191</f>
        <v/>
      </c>
      <c r="K191" s="55">
        <f>$K190+$I191</f>
        <v/>
      </c>
      <c r="L191" s="56">
        <f>IFERROR(IF(($F191)&gt;0,($I191*cfg_TroyOz)/($F191),""),"")</f>
        <v/>
      </c>
      <c r="M191" s="56">
        <f>IFERROR(IF(($G191)&gt;0,($J191*cfg_TroyOz)/($G191),""),"")</f>
        <v/>
      </c>
      <c r="N191" s="56">
        <f>IFERROR(IF(($H191)&gt;0,($K191*cfg_TroyOz)/($H191),""),"")</f>
        <v/>
      </c>
      <c r="O191" s="55">
        <f>SUMIFS(tblMovement[Tonnes_t],tblMovement[Date],$A191,tblMovement[Is_Ore],0,tblMovement[Source_Type],"Pit")</f>
        <v/>
      </c>
      <c r="P191" s="55">
        <f>IF($B191=$B190,$P190,0)+$O191</f>
        <v/>
      </c>
      <c r="Q191" s="55">
        <f>$Q190+$O191</f>
        <v/>
      </c>
      <c r="R191" s="55">
        <f>$F191+$O191</f>
        <v/>
      </c>
      <c r="S191" s="55">
        <f>IF($B191=$B190,$S190,0)+$R191</f>
        <v/>
      </c>
      <c r="T191" s="55">
        <f>$T190+$R191</f>
        <v/>
      </c>
      <c r="U191" s="56">
        <f>IFERROR(IF(($F191)&gt;0,($O191)/($F191),""),"")</f>
        <v/>
      </c>
      <c r="V191" s="56">
        <f>IFERROR(IF(($G191)&gt;0,($P191)/($G191),""),"")</f>
        <v/>
      </c>
      <c r="W191" s="56">
        <f>IFERROR(IF(($H191)&gt;0,($Q191)/($H191),""),"")</f>
        <v/>
      </c>
      <c r="X191" s="55">
        <f>SUMIFS(tblMovement[Tonnes_t],tblMovement[Date],$A191,tblMovement[Source_Type],"Stockpile")</f>
        <v/>
      </c>
      <c r="Y191" s="55">
        <f>IF($B191=$B190,$Y190,0)+$X191</f>
        <v/>
      </c>
      <c r="Z191" s="55">
        <f>$Z190+$X191</f>
        <v/>
      </c>
      <c r="AA191" s="55">
        <f>SUMIFS(tblMiningDaily[Drill_m],tblMiningDaily[Date],$A191)</f>
        <v/>
      </c>
      <c r="AB191" s="55">
        <f>IF($B191=$B190,$AB190,0)+$AA191</f>
        <v/>
      </c>
      <c r="AC191" s="55">
        <f>$AC190+$AA191</f>
        <v/>
      </c>
      <c r="AD191" s="55">
        <f>SUMIFS(tblMiningDaily[Blast_t],tblMiningDaily[Date],$A191)</f>
        <v/>
      </c>
      <c r="AE191" s="55">
        <f>IF($B191=$B190,$AE190,0)+$AD191</f>
        <v/>
      </c>
      <c r="AF191" s="55">
        <f>$AF190+$AD191</f>
        <v/>
      </c>
      <c r="AG191" s="55">
        <f>SUMIFS(tblMiningDaily[Explosives_kg],tblMiningDaily[Date],$A191)</f>
        <v/>
      </c>
      <c r="AH191" s="55">
        <f>IF($B191=$B190,$AH190,0)+$AG191</f>
        <v/>
      </c>
      <c r="AI191" s="55">
        <f>$AI190+$AG191</f>
        <v/>
      </c>
      <c r="AJ191" s="56">
        <f>IFERROR(IF(($AD191)&gt;0,($AG191)/($AD191),""),"")</f>
        <v/>
      </c>
      <c r="AK191" s="56">
        <f>IFERROR(IF(($AE191)&gt;0,($AH191)/($AE191),""),"")</f>
        <v/>
      </c>
      <c r="AL191" s="56">
        <f>IFERROR(IF(($AF191)&gt;0,($AI191)/($AF191),""),"")</f>
        <v/>
      </c>
      <c r="AM191" s="55">
        <f>SUMIFS(tblMiningDaily[Diesel_L],tblMiningDaily[Date],$A191)</f>
        <v/>
      </c>
      <c r="AN191" s="55">
        <f>IF($B191=$B190,$AN190,0)+$AM191</f>
        <v/>
      </c>
      <c r="AO191" s="55">
        <f>$AO190+$AM191</f>
        <v/>
      </c>
      <c r="AP191" s="55">
        <f>SUMIFS(tblMiningDaily[Dewatering_m3],tblMiningDaily[Date],$A191)</f>
        <v/>
      </c>
      <c r="AQ191" s="55">
        <f>IF($B191=$B190,$AQ190,0)+$AP191</f>
        <v/>
      </c>
      <c r="AR191" s="55">
        <f>$AR190+$AP191</f>
        <v/>
      </c>
      <c r="AS191" s="57">
        <f>SUMIFS(tblFleet[Calendar_h],tblFleet[Date],$A191,tblFleet[Equipment_Class],"Excavator")</f>
        <v/>
      </c>
      <c r="AT191" s="57">
        <f>IF($B191=$B190,$AT190,0)+$AS191</f>
        <v/>
      </c>
      <c r="AU191" s="57">
        <f>$AU190+$AS191</f>
        <v/>
      </c>
      <c r="AV191" s="57">
        <f>SUMIFS(tblFleet[Available_h],tblFleet[Date],$A191,tblFleet[Equipment_Class],"Excavator")</f>
        <v/>
      </c>
      <c r="AW191" s="57">
        <f>IF($B191=$B190,$AW190,0)+$AV191</f>
        <v/>
      </c>
      <c r="AX191" s="57">
        <f>$AX190+$AV191</f>
        <v/>
      </c>
      <c r="AY191" s="57">
        <f>SUMIFS(tblFleet[Operating_h],tblFleet[Date],$A191,tblFleet[Equipment_Class],"Excavator")</f>
        <v/>
      </c>
      <c r="AZ191" s="57">
        <f>IF($B191=$B190,$AZ190,0)+$AY191</f>
        <v/>
      </c>
      <c r="BA191" s="57">
        <f>$BA190+$AY191</f>
        <v/>
      </c>
      <c r="BB191" s="67">
        <f>IFERROR(IF(($AS191)&gt;0,($AV191)/($AS191),""),"")</f>
        <v/>
      </c>
      <c r="BC191" s="67">
        <f>IFERROR(IF(($AT191)&gt;0,($AW191)/($AT191),""),"")</f>
        <v/>
      </c>
      <c r="BD191" s="67">
        <f>IFERROR(IF(($AU191)&gt;0,($AX191)/($AU191),""),"")</f>
        <v/>
      </c>
      <c r="BE191" s="67">
        <f>IFERROR(IF(($AV191)&gt;0,($AY191)/($AV191),""),"")</f>
        <v/>
      </c>
      <c r="BF191" s="67">
        <f>IFERROR(IF(($AW191)&gt;0,($AZ191)/($AW191),""),"")</f>
        <v/>
      </c>
      <c r="BG191" s="67">
        <f>IFERROR(IF(($AX191)&gt;0,($BA191)/($AX191),""),"")</f>
        <v/>
      </c>
      <c r="BH191" s="57">
        <f>SUMIFS(tblFleet[Calendar_h],tblFleet[Date],$A191,tblFleet[Equipment_Class],"Haul Truck")</f>
        <v/>
      </c>
      <c r="BI191" s="57">
        <f>IF($B191=$B190,$BI190,0)+$BH191</f>
        <v/>
      </c>
      <c r="BJ191" s="57">
        <f>$BJ190+$BH191</f>
        <v/>
      </c>
      <c r="BK191" s="57">
        <f>SUMIFS(tblFleet[Available_h],tblFleet[Date],$A191,tblFleet[Equipment_Class],"Haul Truck")</f>
        <v/>
      </c>
      <c r="BL191" s="57">
        <f>IF($B191=$B190,$BL190,0)+$BK191</f>
        <v/>
      </c>
      <c r="BM191" s="57">
        <f>$BM190+$BK191</f>
        <v/>
      </c>
      <c r="BN191" s="57">
        <f>SUMIFS(tblFleet[Operating_h],tblFleet[Date],$A191,tblFleet[Equipment_Class],"Haul Truck")</f>
        <v/>
      </c>
      <c r="BO191" s="57">
        <f>IF($B191=$B190,$BO190,0)+$BN191</f>
        <v/>
      </c>
      <c r="BP191" s="57">
        <f>$BP190+$BN191</f>
        <v/>
      </c>
      <c r="BQ191" s="67">
        <f>IFERROR(IF(($BH191)&gt;0,($BK191)/($BH191),""),"")</f>
        <v/>
      </c>
      <c r="BR191" s="67">
        <f>IFERROR(IF(($BI191)&gt;0,($BL191)/($BI191),""),"")</f>
        <v/>
      </c>
      <c r="BS191" s="67">
        <f>IFERROR(IF(($BJ191)&gt;0,($BM191)/($BJ191),""),"")</f>
        <v/>
      </c>
      <c r="BT191" s="67">
        <f>IFERROR(IF(($BK191)&gt;0,($BN191)/($BK191),""),"")</f>
        <v/>
      </c>
      <c r="BU191" s="67">
        <f>IFERROR(IF(($BL191)&gt;0,($BO191)/($BL191),""),"")</f>
        <v/>
      </c>
      <c r="BV191" s="67">
        <f>IFERROR(IF(($BM191)&gt;0,($BP191)/($BM191),""),"")</f>
        <v/>
      </c>
      <c r="BW191" s="55">
        <f>SUMIFS(tblPlant[Crushed_t],tblPlant[Date],$A191)</f>
        <v/>
      </c>
      <c r="BX191" s="55">
        <f>IF($B191=$B190,$BX190,0)+$BW191</f>
        <v/>
      </c>
      <c r="BY191" s="55">
        <f>$BY190+$BW191</f>
        <v/>
      </c>
      <c r="BZ191" s="55">
        <f>SUMIFS(tblPlant[Milled_t],tblPlant[Date],$A191)</f>
        <v/>
      </c>
      <c r="CA191" s="55">
        <f>IF($B191=$B190,$CA190,0)+$BZ191</f>
        <v/>
      </c>
      <c r="CB191" s="55">
        <f>$CB190+$BZ191</f>
        <v/>
      </c>
      <c r="CC191" s="55">
        <f>SUMIFS(tblPlant[Feed_oz],tblPlant[Date],$A191)</f>
        <v/>
      </c>
      <c r="CD191" s="55">
        <f>IF($B191=$B190,$CD190,0)+$CC191</f>
        <v/>
      </c>
      <c r="CE191" s="55">
        <f>$CE190+$CC191</f>
        <v/>
      </c>
      <c r="CF191" s="55">
        <f>SUMIFS(tblPlant[Tails_oz],tblPlant[Date],$A191)</f>
        <v/>
      </c>
      <c r="CG191" s="55">
        <f>IF($B191=$B190,$CG190,0)+$CF191</f>
        <v/>
      </c>
      <c r="CH191" s="55">
        <f>$CH190+$CF191</f>
        <v/>
      </c>
      <c r="CI191" s="55">
        <f>SUMIFS(tblPlant[Recovered_oz],tblPlant[Date],$A191)</f>
        <v/>
      </c>
      <c r="CJ191" s="55">
        <f>IF($B191=$B190,$CJ190,0)+$CI191</f>
        <v/>
      </c>
      <c r="CK191" s="55">
        <f>$CK190+$CI191</f>
        <v/>
      </c>
      <c r="CL191" s="56">
        <f>IFERROR(IF(($BZ191)&gt;0,($CC191*cfg_TroyOz)/($BZ191),""),"")</f>
        <v/>
      </c>
      <c r="CM191" s="56">
        <f>IFERROR(IF(($CA191)&gt;0,($CD191*cfg_TroyOz)/($CA191),""),"")</f>
        <v/>
      </c>
      <c r="CN191" s="56">
        <f>IFERROR(IF(($CB191)&gt;0,($CE191*cfg_TroyOz)/($CB191),""),"")</f>
        <v/>
      </c>
      <c r="CO191" s="56">
        <f>IFERROR(IF(($BZ191)&gt;0,($CF191*cfg_TroyOz)/($BZ191),""),"")</f>
        <v/>
      </c>
      <c r="CP191" s="56">
        <f>IFERROR(IF(($CA191)&gt;0,($CG191*cfg_TroyOz)/($CA191),""),"")</f>
        <v/>
      </c>
      <c r="CQ191" s="56">
        <f>IFERROR(IF(($CB191)&gt;0,($CH191*cfg_TroyOz)/($CB191),""),"")</f>
        <v/>
      </c>
      <c r="CR191" s="67">
        <f>IFERROR(IF(($CC191)&gt;0,($CI191)/($CC191),""),"")</f>
        <v/>
      </c>
      <c r="CS191" s="67">
        <f>IFERROR(IF(($CD191)&gt;0,($CJ191)/($CD191),""),"")</f>
        <v/>
      </c>
      <c r="CT191" s="67">
        <f>IFERROR(IF(($CE191)&gt;0,($CK191)/($CE191),""),"")</f>
        <v/>
      </c>
      <c r="CU191" s="55">
        <f>SUMIFS(tblPlant[Gravity_Gold_oz],tblPlant[Date],$A191)</f>
        <v/>
      </c>
      <c r="CV191" s="55">
        <f>IF($B191=$B190,$CV190,0)+$CU191</f>
        <v/>
      </c>
      <c r="CW191" s="55">
        <f>$CW190+$CU191</f>
        <v/>
      </c>
      <c r="CX191" s="55">
        <f>SUMIFS(tblPlant[Gold_Poured_oz],tblPlant[Date],$A191)</f>
        <v/>
      </c>
      <c r="CY191" s="55">
        <f>IF($B191=$B190,$CY190,0)+$CX191</f>
        <v/>
      </c>
      <c r="CZ191" s="55">
        <f>$CZ190+$CX191</f>
        <v/>
      </c>
      <c r="DA191" s="57">
        <f>SUMIFS(tblPlant[Mill_Run_h],tblPlant[Date],$A191)</f>
        <v/>
      </c>
      <c r="DB191" s="57">
        <f>IF($B191=$B190,$DB190,0)+$DA191</f>
        <v/>
      </c>
      <c r="DC191" s="57">
        <f>$DC190+$DA191</f>
        <v/>
      </c>
      <c r="DD191" s="57">
        <f>SUMIFS(tblPlant[Mill_Planned_Maint_h],tblPlant[Date],$A191)</f>
        <v/>
      </c>
      <c r="DE191" s="57">
        <f>IF($B191=$B190,$DE190,0)+$DD191</f>
        <v/>
      </c>
      <c r="DF191" s="57">
        <f>$DF190+$DD191</f>
        <v/>
      </c>
      <c r="DG191" s="57">
        <f>SUMIFS(tblPlant[Mill_Unplanned_Down_h],tblPlant[Date],$A191)</f>
        <v/>
      </c>
      <c r="DH191" s="57">
        <f>IF($B191=$B190,$DH190,0)+$DG191</f>
        <v/>
      </c>
      <c r="DI191" s="57">
        <f>$DI190+$DG191</f>
        <v/>
      </c>
      <c r="DJ191" s="57">
        <f>COUNTIFS(tblPlant[Date],$A191,tblPlant[Mill_Run_h],"&lt;&gt;")*24</f>
        <v/>
      </c>
      <c r="DK191" s="57">
        <f>IF($B191=$B190,$DK190,0)+$DJ191</f>
        <v/>
      </c>
      <c r="DL191" s="57">
        <f>$DL190+$DJ191</f>
        <v/>
      </c>
      <c r="DM191" s="57">
        <f>SUMIFS(tblPlant[Crusher_Run_h],tblPlant[Date],$A191)</f>
        <v/>
      </c>
      <c r="DN191" s="57">
        <f>IF($B191=$B190,$DN190,0)+$DM191</f>
        <v/>
      </c>
      <c r="DO191" s="57">
        <f>$DO190+$DM191</f>
        <v/>
      </c>
      <c r="DP191" s="55">
        <f>IFERROR(IF(($DA191)&gt;0,($BZ191)/($DA191),""),"")</f>
        <v/>
      </c>
      <c r="DQ191" s="55">
        <f>IFERROR(IF(($DB191)&gt;0,($CA191)/($DB191),""),"")</f>
        <v/>
      </c>
      <c r="DR191" s="55">
        <f>IFERROR(IF(($DC191)&gt;0,($CB191)/($DC191),""),"")</f>
        <v/>
      </c>
      <c r="DS191" s="67">
        <f>IFERROR(IF(($DJ191)&gt;0,($DJ191-$DD191-$DG191)/($DJ191),""),"")</f>
        <v/>
      </c>
      <c r="DT191" s="67">
        <f>IFERROR(IF(($DK191)&gt;0,($DK191-$DE191-$DH191)/($DK191),""),"")</f>
        <v/>
      </c>
      <c r="DU191" s="67">
        <f>IFERROR(IF(($DL191)&gt;0,($DL191-$DF191-$DI191)/($DL191),""),"")</f>
        <v/>
      </c>
      <c r="DV191" s="67">
        <f>IFERROR(IF(($DJ191-$DD191-$DG191)&gt;0,($DA191)/($DJ191-$DD191-$DG191),""),"")</f>
        <v/>
      </c>
      <c r="DW191" s="67">
        <f>IFERROR(IF(($DK191-$DE191-$DH191)&gt;0,($DB191)/($DK191-$DE191-$DH191),""),"")</f>
        <v/>
      </c>
      <c r="DX191" s="67">
        <f>IFERROR(IF(($DL191-$DF191-$DI191)&gt;0,($DC191)/($DL191-$DF191-$DI191),""),"")</f>
        <v/>
      </c>
      <c r="DY191" s="55">
        <f>SUMIFS(tblPlant[Cyanide_kg],tblPlant[Date],$A191)</f>
        <v/>
      </c>
      <c r="DZ191" s="55">
        <f>IF($B191=$B190,$DZ190,0)+$DY191</f>
        <v/>
      </c>
      <c r="EA191" s="55">
        <f>$EA190+$DY191</f>
        <v/>
      </c>
      <c r="EB191" s="55">
        <f>SUMIFS(tblPlant[Lime_kg],tblPlant[Date],$A191)</f>
        <v/>
      </c>
      <c r="EC191" s="55">
        <f>IF($B191=$B190,$EC190,0)+$EB191</f>
        <v/>
      </c>
      <c r="ED191" s="55">
        <f>$ED190+$EB191</f>
        <v/>
      </c>
      <c r="EE191" s="55">
        <f>SUMIFS(tblPlant[Grinding_Media_kg],tblPlant[Date],$A191)</f>
        <v/>
      </c>
      <c r="EF191" s="55">
        <f>IF($B191=$B190,$EF190,0)+$EE191</f>
        <v/>
      </c>
      <c r="EG191" s="55">
        <f>$EG190+$EE191</f>
        <v/>
      </c>
      <c r="EH191" s="55">
        <f>SUMIFS(tblPlant[Power_kWh],tblPlant[Date],$A191)</f>
        <v/>
      </c>
      <c r="EI191" s="55">
        <f>IF($B191=$B190,$EI190,0)+$EH191</f>
        <v/>
      </c>
      <c r="EJ191" s="55">
        <f>$EJ190+$EH191</f>
        <v/>
      </c>
      <c r="EK191" s="55">
        <f>SUMIFS(tblPlant[Raw_Water_m3],tblPlant[Date],$A191)</f>
        <v/>
      </c>
      <c r="EL191" s="55">
        <f>IF($B191=$B190,$EL190,0)+$EK191</f>
        <v/>
      </c>
      <c r="EM191" s="55">
        <f>$EM190+$EK191</f>
        <v/>
      </c>
      <c r="EN191" s="56">
        <f>IFERROR(IF(($BZ191)&gt;0,($DY191)/($BZ191),""),"")</f>
        <v/>
      </c>
      <c r="EO191" s="56">
        <f>IFERROR(IF(($CA191)&gt;0,($DZ191)/($CA191),""),"")</f>
        <v/>
      </c>
      <c r="EP191" s="56">
        <f>IFERROR(IF(($CB191)&gt;0,($EA191)/($CB191),""),"")</f>
        <v/>
      </c>
      <c r="EQ191" s="56">
        <f>IFERROR(IF(($BZ191)&gt;0,($EB191)/($BZ191),""),"")</f>
        <v/>
      </c>
      <c r="ER191" s="56">
        <f>IFERROR(IF(($CA191)&gt;0,($EC191)/($CA191),""),"")</f>
        <v/>
      </c>
      <c r="ES191" s="56">
        <f>IFERROR(IF(($CB191)&gt;0,($ED191)/($CB191),""),"")</f>
        <v/>
      </c>
      <c r="ET191" s="56">
        <f>IFERROR(IF(($BZ191)&gt;0,($EE191)/($BZ191),""),"")</f>
        <v/>
      </c>
      <c r="EU191" s="56">
        <f>IFERROR(IF(($CA191)&gt;0,($EF191)/($CA191),""),"")</f>
        <v/>
      </c>
      <c r="EV191" s="56">
        <f>IFERROR(IF(($CB191)&gt;0,($EG191)/($CB191),""),"")</f>
        <v/>
      </c>
      <c r="EW191" s="76">
        <f>IFERROR(IF(($BZ191)&gt;0,($EH191)/($BZ191),""),"")</f>
        <v/>
      </c>
      <c r="EX191" s="76">
        <f>IFERROR(IF(($CA191)&gt;0,($EI191)/($CA191),""),"")</f>
        <v/>
      </c>
      <c r="EY191" s="76">
        <f>IFERROR(IF(($CB191)&gt;0,($EJ191)/($CB191),""),"")</f>
        <v/>
      </c>
      <c r="EZ191" s="56">
        <f>IFERROR(IF(($BZ191)&gt;0,($EK191)/($BZ191),""),"")</f>
        <v/>
      </c>
      <c r="FA191" s="56">
        <f>IFERROR(IF(($CA191)&gt;0,($EL191)/($CA191),""),"")</f>
        <v/>
      </c>
      <c r="FB191" s="56">
        <f>IFERROR(IF(($CB191)&gt;0,($EM191)/($CB191),""),"")</f>
        <v/>
      </c>
      <c r="FC191" s="55">
        <f>IF(SUMIFS(tblPlant[GIC_oz],tblPlant[Date],$A191)&gt;0,SUMIFS(tblPlant[GIC_oz],tblPlant[Date],$A191),"")</f>
        <v/>
      </c>
      <c r="FD191" s="55">
        <f>SUMIFS(tblGold[Gold_oz],tblGold[Date],$A191,tblGold[Type],"Shipment")</f>
        <v/>
      </c>
      <c r="FE191" s="55">
        <f>IF($B191=$B190,$FE190,0)+$FD191</f>
        <v/>
      </c>
      <c r="FF191" s="55">
        <f>$FF190+$FD191</f>
        <v/>
      </c>
      <c r="FG191" s="55">
        <f>SUMIFS(tblGold[Gold_oz],tblGold[Date],$A191,tblGold[Type],"Sale")</f>
        <v/>
      </c>
      <c r="FH191" s="55">
        <f>IF($B191=$B190,$FH190,0)+$FG191</f>
        <v/>
      </c>
      <c r="FI191" s="55">
        <f>$FI190+$FG191</f>
        <v/>
      </c>
      <c r="FJ191" s="55">
        <f>SUMIFS(tblGold[Dore_kg],tblGold[Date],$A191,tblGold[Type],"Shipment")</f>
        <v/>
      </c>
      <c r="FK191" s="55">
        <f>IF($B191=$B190,$FK190,0)+$FJ191</f>
        <v/>
      </c>
      <c r="FL191" s="55">
        <f>$FL190+$FJ191</f>
        <v/>
      </c>
      <c r="FM191" s="57">
        <f>SUMIFS(tblSafety[Hours_Total],tblSafety[Date],$A191)</f>
        <v/>
      </c>
      <c r="FN191" s="57">
        <f>IF($B191=$B190,$FN190,0)+$FM191</f>
        <v/>
      </c>
      <c r="FO191" s="57">
        <f>$FO190+$FM191</f>
        <v/>
      </c>
      <c r="FP191" s="62">
        <f>SUMIFS(tblSafety[Fatality],tblSafety[Date],$A191)</f>
        <v/>
      </c>
      <c r="FQ191" s="62">
        <f>IF($B191=$B190,$FQ190,0)+$FP191</f>
        <v/>
      </c>
      <c r="FR191" s="62">
        <f>$FR190+$FP191</f>
        <v/>
      </c>
      <c r="FS191" s="62">
        <f>SUMIFS(tblSafety[LTI],tblSafety[Date],$A191)</f>
        <v/>
      </c>
      <c r="FT191" s="62">
        <f>IF($B191=$B190,$FT190,0)+$FS191</f>
        <v/>
      </c>
      <c r="FU191" s="62">
        <f>$FU190+$FS191</f>
        <v/>
      </c>
      <c r="FV191" s="62">
        <f>SUMIFS(tblSafety[RWI],tblSafety[Date],$A191)</f>
        <v/>
      </c>
      <c r="FW191" s="62">
        <f>IF($B191=$B190,$FW190,0)+$FV191</f>
        <v/>
      </c>
      <c r="FX191" s="62">
        <f>$FX190+$FV191</f>
        <v/>
      </c>
      <c r="FY191" s="62">
        <f>SUMIFS(tblSafety[MTI],tblSafety[Date],$A191)</f>
        <v/>
      </c>
      <c r="FZ191" s="62">
        <f>IF($B191=$B190,$FZ190,0)+$FY191</f>
        <v/>
      </c>
      <c r="GA191" s="62">
        <f>$GA190+$FY191</f>
        <v/>
      </c>
      <c r="GB191" s="62">
        <f>SUMIFS(tblSafety[FAI],tblSafety[Date],$A191)</f>
        <v/>
      </c>
      <c r="GC191" s="62">
        <f>IF($B191=$B190,$GC190,0)+$GB191</f>
        <v/>
      </c>
      <c r="GD191" s="62">
        <f>$GD190+$GB191</f>
        <v/>
      </c>
      <c r="GE191" s="62">
        <f>SUMIFS(tblSafety[Recordables],tblSafety[Date],$A191)</f>
        <v/>
      </c>
      <c r="GF191" s="62">
        <f>IF($B191=$B190,$GF190,0)+$GE191</f>
        <v/>
      </c>
      <c r="GG191" s="62">
        <f>$GG190+$GE191</f>
        <v/>
      </c>
      <c r="GH191" s="62">
        <f>SUMIFS(tblSafety[Near_Miss],tblSafety[Date],$A191)</f>
        <v/>
      </c>
      <c r="GI191" s="62">
        <f>IF($B191=$B190,$GI190,0)+$GH191</f>
        <v/>
      </c>
      <c r="GJ191" s="62">
        <f>$GJ190+$GH191</f>
        <v/>
      </c>
      <c r="GK191" s="62">
        <f>SUMIFS(tblSafety[Hazard_Reports],tblSafety[Date],$A191)</f>
        <v/>
      </c>
      <c r="GL191" s="62">
        <f>IF($B191=$B190,$GL190,0)+$GK191</f>
        <v/>
      </c>
      <c r="GM191" s="62">
        <f>$GM190+$GK191</f>
        <v/>
      </c>
      <c r="GN191" s="62">
        <f>SUMIFS(tblSafety[HPI],tblSafety[Date],$A191)</f>
        <v/>
      </c>
      <c r="GO191" s="62">
        <f>IF($B191=$B190,$GO190,0)+$GN191</f>
        <v/>
      </c>
      <c r="GP191" s="62">
        <f>$GP190+$GN191</f>
        <v/>
      </c>
      <c r="GQ191" s="62">
        <f>SUMIFS(tblSafety[Env_Incidents],tblSafety[Date],$A191)</f>
        <v/>
      </c>
      <c r="GR191" s="62">
        <f>IF($B191=$B190,$GR190,0)+$GQ191</f>
        <v/>
      </c>
      <c r="GS191" s="62">
        <f>$GS190+$GQ191</f>
        <v/>
      </c>
      <c r="GT191" s="62">
        <f>SUMIFS(tblSafety[Community_Incidents],tblSafety[Date],$A191)</f>
        <v/>
      </c>
      <c r="GU191" s="62">
        <f>IF($B191=$B190,$GU190,0)+$GT191</f>
        <v/>
      </c>
      <c r="GV191" s="62">
        <f>$GV190+$GT191</f>
        <v/>
      </c>
      <c r="GW191" s="62">
        <f>SUMIFS(tblSafety[Vehicle_Incidents],tblSafety[Date],$A191)</f>
        <v/>
      </c>
      <c r="GX191" s="62">
        <f>IF($B191=$B190,$GX190,0)+$GW191</f>
        <v/>
      </c>
      <c r="GY191" s="62">
        <f>$GY190+$GW191</f>
        <v/>
      </c>
      <c r="GZ191" s="62">
        <f>SUMIFS(tblSafety[Toolbox_Talks],tblSafety[Date],$A191)</f>
        <v/>
      </c>
      <c r="HA191" s="62">
        <f>IF($B191=$B190,$HA190,0)+$GZ191</f>
        <v/>
      </c>
      <c r="HB191" s="62">
        <f>$HB190+$GZ191</f>
        <v/>
      </c>
      <c r="HC191" s="62">
        <f>SUMIFS(tblSafety[Inspections],tblSafety[Date],$A191)</f>
        <v/>
      </c>
      <c r="HD191" s="62">
        <f>IF($B191=$B190,$HD190,0)+$HC191</f>
        <v/>
      </c>
      <c r="HE191" s="62">
        <f>$HE190+$HC191</f>
        <v/>
      </c>
      <c r="HF191" s="56">
        <f>IFERROR((SUMIFS(tblSafety[Recordables],tblSafety[Date],"&gt;="&amp;EDATE($E191,-12),tblSafety[Date],"&lt;="&amp;$A191)+SUMIFS(tblSafetyHistory[Recordables],tblSafetyHistory[Month],"&gt;="&amp;EDATE($E191,-12),tblSafetyHistory[Month],"&lt;"&amp;cfg_YearStart))/(SUMIFS(tblSafety[Hours_Total],tblSafety[Date],"&gt;="&amp;EDATE($E191,-12),tblSafety[Date],"&lt;="&amp;$A191)+SUMIFS(tblSafetyHistory[Hours_Total],tblSafetyHistory[Month],"&gt;="&amp;EDATE($E191,-12),tblSafetyHistory[Month],"&lt;"&amp;cfg_YearStart))*1000000,"")</f>
        <v/>
      </c>
      <c r="HG191" s="56">
        <f>IFERROR((SUMIFS(tblSafety[LTI],tblSafety[Date],"&gt;="&amp;EDATE($E191,-12),tblSafety[Date],"&lt;="&amp;$A191)+SUMIFS(tblSafetyHistory[LTI],tblSafetyHistory[Month],"&gt;="&amp;EDATE($E191,-12),tblSafetyHistory[Month],"&lt;"&amp;cfg_YearStart))/(SUMIFS(tblSafety[Hours_Total],tblSafety[Date],"&gt;="&amp;EDATE($E191,-12),tblSafety[Date],"&lt;="&amp;$A191)+SUMIFS(tblSafetyHistory[Hours_Total],tblSafetyHistory[Month],"&gt;="&amp;EDATE($E191,-12),tblSafetyHistory[Month],"&lt;"&amp;cfg_YearStart))*1000000,"")</f>
        <v/>
      </c>
      <c r="HH191" s="62">
        <f>IF(MAX(N(cfg_PriorLTIDate),_xlfn.MAXIFS(tblSafety[Date],tblSafety[LTI],"&gt;0",tblSafety[Date],"&lt;="&amp;$A191))=0,"",$A191-MAX(N(cfg_PriorLTIDate),_xlfn.MAXIFS(tblSafety[Date],tblSafety[LTI],"&gt;0",tblSafety[Date],"&lt;="&amp;$A191)))</f>
        <v/>
      </c>
      <c r="HI191" s="55">
        <f>SUMIFS(tblBudget[Ore_Mined_t],tblBudget[Month],$E191)</f>
        <v/>
      </c>
      <c r="HJ191" s="55">
        <f>$HI191*$C191/$D191</f>
        <v/>
      </c>
      <c r="HK191" s="55">
        <f>SUMIFS(tblBudget[Ore_Mined_t],tblBudget[Month],"&lt;"&amp;$E191)+$HJ191</f>
        <v/>
      </c>
      <c r="HL191" s="55">
        <f>SUMIFS(tblBudget[Ore_oz],tblBudget[Month],$E191)</f>
        <v/>
      </c>
      <c r="HM191" s="55">
        <f>$HL191*$C191/$D191</f>
        <v/>
      </c>
      <c r="HN191" s="55">
        <f>SUMIFS(tblBudget[Ore_oz],tblBudget[Month],"&lt;"&amp;$E191)+$HM191</f>
        <v/>
      </c>
      <c r="HO191" s="56">
        <f>IFERROR(IF(($HI191)&gt;0,($HL191*cfg_TroyOz)/($HI191),""),"")</f>
        <v/>
      </c>
      <c r="HP191" s="56">
        <f>IFERROR(IF(($HJ191)&gt;0,($HM191*cfg_TroyOz)/($HJ191),""),"")</f>
        <v/>
      </c>
      <c r="HQ191" s="56">
        <f>IFERROR(IF(($HK191)&gt;0,($HN191*cfg_TroyOz)/($HK191),""),"")</f>
        <v/>
      </c>
      <c r="HR191" s="55">
        <f>SUMIFS(tblBudget[Waste_t],tblBudget[Month],$E191)</f>
        <v/>
      </c>
      <c r="HS191" s="55">
        <f>$HR191*$C191/$D191</f>
        <v/>
      </c>
      <c r="HT191" s="55">
        <f>SUMIFS(tblBudget[Waste_t],tblBudget[Month],"&lt;"&amp;$E191)+$HS191</f>
        <v/>
      </c>
      <c r="HU191" s="55">
        <f>SUMIFS(tblBudget[TMM_t],tblBudget[Month],$E191)</f>
        <v/>
      </c>
      <c r="HV191" s="55">
        <f>$HU191*$C191/$D191</f>
        <v/>
      </c>
      <c r="HW191" s="55">
        <f>SUMIFS(tblBudget[TMM_t],tblBudget[Month],"&lt;"&amp;$E191)+$HV191</f>
        <v/>
      </c>
      <c r="HX191" s="56">
        <f>IFERROR(IF(($HI191)&gt;0,($HR191)/($HI191),""),"")</f>
        <v/>
      </c>
      <c r="HY191" s="56">
        <f>IFERROR(IF(($HJ191)&gt;0,($HS191)/($HJ191),""),"")</f>
        <v/>
      </c>
      <c r="HZ191" s="56">
        <f>IFERROR(IF(($HK191)&gt;0,($HT191)/($HK191),""),"")</f>
        <v/>
      </c>
      <c r="IA191" s="55">
        <f>SUMIFS(tblBudget[Drill_m],tblBudget[Month],$E191)</f>
        <v/>
      </c>
      <c r="IB191" s="55">
        <f>$IA191*$C191/$D191</f>
        <v/>
      </c>
      <c r="IC191" s="55">
        <f>SUMIFS(tblBudget[Drill_m],tblBudget[Month],"&lt;"&amp;$E191)+$IB191</f>
        <v/>
      </c>
      <c r="ID191" s="55">
        <f>SUMIFS(tblBudget[Diesel_L],tblBudget[Month],$E191)</f>
        <v/>
      </c>
      <c r="IE191" s="55">
        <f>$ID191*$C191/$D191</f>
        <v/>
      </c>
      <c r="IF191" s="55">
        <f>SUMIFS(tblBudget[Diesel_L],tblBudget[Month],"&lt;"&amp;$E191)+$IE191</f>
        <v/>
      </c>
      <c r="IG191" s="55">
        <f>SUMIFS(tblBudget[Milled_t],tblBudget[Month],$E191)</f>
        <v/>
      </c>
      <c r="IH191" s="55">
        <f>$IG191*$C191/$D191</f>
        <v/>
      </c>
      <c r="II191" s="55">
        <f>SUMIFS(tblBudget[Milled_t],tblBudget[Month],"&lt;"&amp;$E191)+$IH191</f>
        <v/>
      </c>
      <c r="IJ191" s="55">
        <f>SUMIFS(tblBudget[Feed_oz],tblBudget[Month],$E191)</f>
        <v/>
      </c>
      <c r="IK191" s="55">
        <f>$IJ191*$C191/$D191</f>
        <v/>
      </c>
      <c r="IL191" s="55">
        <f>SUMIFS(tblBudget[Feed_oz],tblBudget[Month],"&lt;"&amp;$E191)+$IK191</f>
        <v/>
      </c>
      <c r="IM191" s="55">
        <f>SUMIFS(tblBudget[Recovered_oz],tblBudget[Month],$E191)</f>
        <v/>
      </c>
      <c r="IN191" s="55">
        <f>$IM191*$C191/$D191</f>
        <v/>
      </c>
      <c r="IO191" s="55">
        <f>SUMIFS(tblBudget[Recovered_oz],tblBudget[Month],"&lt;"&amp;$E191)+$IN191</f>
        <v/>
      </c>
      <c r="IP191" s="56">
        <f>IFERROR(IF(($IG191)&gt;0,($IJ191*cfg_TroyOz)/($IG191),""),"")</f>
        <v/>
      </c>
      <c r="IQ191" s="56">
        <f>IFERROR(IF(($IH191)&gt;0,($IK191*cfg_TroyOz)/($IH191),""),"")</f>
        <v/>
      </c>
      <c r="IR191" s="56">
        <f>IFERROR(IF(($II191)&gt;0,($IL191*cfg_TroyOz)/($II191),""),"")</f>
        <v/>
      </c>
      <c r="IS191" s="67">
        <f>IFERROR(IF(($IJ191)&gt;0,($IM191)/($IJ191),""),"")</f>
        <v/>
      </c>
      <c r="IT191" s="67">
        <f>IFERROR(IF(($IK191)&gt;0,($IN191)/($IK191),""),"")</f>
        <v/>
      </c>
      <c r="IU191" s="67">
        <f>IFERROR(IF(($IL191)&gt;0,($IO191)/($IL191),""),"")</f>
        <v/>
      </c>
      <c r="IV191" s="55">
        <f>SUMIFS(tblBudget[Gold_Poured_oz],tblBudget[Month],$E191)</f>
        <v/>
      </c>
      <c r="IW191" s="55">
        <f>$IV191*$C191/$D191</f>
        <v/>
      </c>
      <c r="IX191" s="55">
        <f>SUMIFS(tblBudget[Gold_Poured_oz],tblBudget[Month],"&lt;"&amp;$E191)+$IW191</f>
        <v/>
      </c>
      <c r="IY191" s="57">
        <f>SUMIFS(tblBudget[Hours_Worked],tblBudget[Month],$E191)</f>
        <v/>
      </c>
      <c r="IZ191" s="57">
        <f>$IY191*$C191/$D191</f>
        <v/>
      </c>
      <c r="JA191" s="57">
        <f>SUMIFS(tblBudget[Hours_Worked],tblBudget[Month],"&lt;"&amp;$E191)+$IZ191</f>
        <v/>
      </c>
    </row>
    <row r="192">
      <c r="A192" s="54" t="n">
        <v>46213</v>
      </c>
      <c r="B192">
        <f>MONTH($A192)</f>
        <v/>
      </c>
      <c r="C192">
        <f>DAY($A192)</f>
        <v/>
      </c>
      <c r="D192">
        <f>DAY(EOMONTH($A192,0))</f>
        <v/>
      </c>
      <c r="E192" s="54">
        <f>DATE(YEAR($A192),MONTH($A192),1)</f>
        <v/>
      </c>
      <c r="F192" s="55">
        <f>SUMIFS(tblMovement[Tonnes_t],tblMovement[Date],$A192,tblMovement[Is_Ore],1,tblMovement[Source_Type],"Pit")</f>
        <v/>
      </c>
      <c r="G192" s="55">
        <f>IF($B192=$B191,$G191,0)+$F192</f>
        <v/>
      </c>
      <c r="H192" s="55">
        <f>$H191+$F192</f>
        <v/>
      </c>
      <c r="I192" s="55">
        <f>SUMIFS(tblMovement[Ore_oz],tblMovement[Date],$A192,tblMovement[Source_Type],"Pit")</f>
        <v/>
      </c>
      <c r="J192" s="55">
        <f>IF($B192=$B191,$J191,0)+$I192</f>
        <v/>
      </c>
      <c r="K192" s="55">
        <f>$K191+$I192</f>
        <v/>
      </c>
      <c r="L192" s="56">
        <f>IFERROR(IF(($F192)&gt;0,($I192*cfg_TroyOz)/($F192),""),"")</f>
        <v/>
      </c>
      <c r="M192" s="56">
        <f>IFERROR(IF(($G192)&gt;0,($J192*cfg_TroyOz)/($G192),""),"")</f>
        <v/>
      </c>
      <c r="N192" s="56">
        <f>IFERROR(IF(($H192)&gt;0,($K192*cfg_TroyOz)/($H192),""),"")</f>
        <v/>
      </c>
      <c r="O192" s="55">
        <f>SUMIFS(tblMovement[Tonnes_t],tblMovement[Date],$A192,tblMovement[Is_Ore],0,tblMovement[Source_Type],"Pit")</f>
        <v/>
      </c>
      <c r="P192" s="55">
        <f>IF($B192=$B191,$P191,0)+$O192</f>
        <v/>
      </c>
      <c r="Q192" s="55">
        <f>$Q191+$O192</f>
        <v/>
      </c>
      <c r="R192" s="55">
        <f>$F192+$O192</f>
        <v/>
      </c>
      <c r="S192" s="55">
        <f>IF($B192=$B191,$S191,0)+$R192</f>
        <v/>
      </c>
      <c r="T192" s="55">
        <f>$T191+$R192</f>
        <v/>
      </c>
      <c r="U192" s="56">
        <f>IFERROR(IF(($F192)&gt;0,($O192)/($F192),""),"")</f>
        <v/>
      </c>
      <c r="V192" s="56">
        <f>IFERROR(IF(($G192)&gt;0,($P192)/($G192),""),"")</f>
        <v/>
      </c>
      <c r="W192" s="56">
        <f>IFERROR(IF(($H192)&gt;0,($Q192)/($H192),""),"")</f>
        <v/>
      </c>
      <c r="X192" s="55">
        <f>SUMIFS(tblMovement[Tonnes_t],tblMovement[Date],$A192,tblMovement[Source_Type],"Stockpile")</f>
        <v/>
      </c>
      <c r="Y192" s="55">
        <f>IF($B192=$B191,$Y191,0)+$X192</f>
        <v/>
      </c>
      <c r="Z192" s="55">
        <f>$Z191+$X192</f>
        <v/>
      </c>
      <c r="AA192" s="55">
        <f>SUMIFS(tblMiningDaily[Drill_m],tblMiningDaily[Date],$A192)</f>
        <v/>
      </c>
      <c r="AB192" s="55">
        <f>IF($B192=$B191,$AB191,0)+$AA192</f>
        <v/>
      </c>
      <c r="AC192" s="55">
        <f>$AC191+$AA192</f>
        <v/>
      </c>
      <c r="AD192" s="55">
        <f>SUMIFS(tblMiningDaily[Blast_t],tblMiningDaily[Date],$A192)</f>
        <v/>
      </c>
      <c r="AE192" s="55">
        <f>IF($B192=$B191,$AE191,0)+$AD192</f>
        <v/>
      </c>
      <c r="AF192" s="55">
        <f>$AF191+$AD192</f>
        <v/>
      </c>
      <c r="AG192" s="55">
        <f>SUMIFS(tblMiningDaily[Explosives_kg],tblMiningDaily[Date],$A192)</f>
        <v/>
      </c>
      <c r="AH192" s="55">
        <f>IF($B192=$B191,$AH191,0)+$AG192</f>
        <v/>
      </c>
      <c r="AI192" s="55">
        <f>$AI191+$AG192</f>
        <v/>
      </c>
      <c r="AJ192" s="56">
        <f>IFERROR(IF(($AD192)&gt;0,($AG192)/($AD192),""),"")</f>
        <v/>
      </c>
      <c r="AK192" s="56">
        <f>IFERROR(IF(($AE192)&gt;0,($AH192)/($AE192),""),"")</f>
        <v/>
      </c>
      <c r="AL192" s="56">
        <f>IFERROR(IF(($AF192)&gt;0,($AI192)/($AF192),""),"")</f>
        <v/>
      </c>
      <c r="AM192" s="55">
        <f>SUMIFS(tblMiningDaily[Diesel_L],tblMiningDaily[Date],$A192)</f>
        <v/>
      </c>
      <c r="AN192" s="55">
        <f>IF($B192=$B191,$AN191,0)+$AM192</f>
        <v/>
      </c>
      <c r="AO192" s="55">
        <f>$AO191+$AM192</f>
        <v/>
      </c>
      <c r="AP192" s="55">
        <f>SUMIFS(tblMiningDaily[Dewatering_m3],tblMiningDaily[Date],$A192)</f>
        <v/>
      </c>
      <c r="AQ192" s="55">
        <f>IF($B192=$B191,$AQ191,0)+$AP192</f>
        <v/>
      </c>
      <c r="AR192" s="55">
        <f>$AR191+$AP192</f>
        <v/>
      </c>
      <c r="AS192" s="57">
        <f>SUMIFS(tblFleet[Calendar_h],tblFleet[Date],$A192,tblFleet[Equipment_Class],"Excavator")</f>
        <v/>
      </c>
      <c r="AT192" s="57">
        <f>IF($B192=$B191,$AT191,0)+$AS192</f>
        <v/>
      </c>
      <c r="AU192" s="57">
        <f>$AU191+$AS192</f>
        <v/>
      </c>
      <c r="AV192" s="57">
        <f>SUMIFS(tblFleet[Available_h],tblFleet[Date],$A192,tblFleet[Equipment_Class],"Excavator")</f>
        <v/>
      </c>
      <c r="AW192" s="57">
        <f>IF($B192=$B191,$AW191,0)+$AV192</f>
        <v/>
      </c>
      <c r="AX192" s="57">
        <f>$AX191+$AV192</f>
        <v/>
      </c>
      <c r="AY192" s="57">
        <f>SUMIFS(tblFleet[Operating_h],tblFleet[Date],$A192,tblFleet[Equipment_Class],"Excavator")</f>
        <v/>
      </c>
      <c r="AZ192" s="57">
        <f>IF($B192=$B191,$AZ191,0)+$AY192</f>
        <v/>
      </c>
      <c r="BA192" s="57">
        <f>$BA191+$AY192</f>
        <v/>
      </c>
      <c r="BB192" s="67">
        <f>IFERROR(IF(($AS192)&gt;0,($AV192)/($AS192),""),"")</f>
        <v/>
      </c>
      <c r="BC192" s="67">
        <f>IFERROR(IF(($AT192)&gt;0,($AW192)/($AT192),""),"")</f>
        <v/>
      </c>
      <c r="BD192" s="67">
        <f>IFERROR(IF(($AU192)&gt;0,($AX192)/($AU192),""),"")</f>
        <v/>
      </c>
      <c r="BE192" s="67">
        <f>IFERROR(IF(($AV192)&gt;0,($AY192)/($AV192),""),"")</f>
        <v/>
      </c>
      <c r="BF192" s="67">
        <f>IFERROR(IF(($AW192)&gt;0,($AZ192)/($AW192),""),"")</f>
        <v/>
      </c>
      <c r="BG192" s="67">
        <f>IFERROR(IF(($AX192)&gt;0,($BA192)/($AX192),""),"")</f>
        <v/>
      </c>
      <c r="BH192" s="57">
        <f>SUMIFS(tblFleet[Calendar_h],tblFleet[Date],$A192,tblFleet[Equipment_Class],"Haul Truck")</f>
        <v/>
      </c>
      <c r="BI192" s="57">
        <f>IF($B192=$B191,$BI191,0)+$BH192</f>
        <v/>
      </c>
      <c r="BJ192" s="57">
        <f>$BJ191+$BH192</f>
        <v/>
      </c>
      <c r="BK192" s="57">
        <f>SUMIFS(tblFleet[Available_h],tblFleet[Date],$A192,tblFleet[Equipment_Class],"Haul Truck")</f>
        <v/>
      </c>
      <c r="BL192" s="57">
        <f>IF($B192=$B191,$BL191,0)+$BK192</f>
        <v/>
      </c>
      <c r="BM192" s="57">
        <f>$BM191+$BK192</f>
        <v/>
      </c>
      <c r="BN192" s="57">
        <f>SUMIFS(tblFleet[Operating_h],tblFleet[Date],$A192,tblFleet[Equipment_Class],"Haul Truck")</f>
        <v/>
      </c>
      <c r="BO192" s="57">
        <f>IF($B192=$B191,$BO191,0)+$BN192</f>
        <v/>
      </c>
      <c r="BP192" s="57">
        <f>$BP191+$BN192</f>
        <v/>
      </c>
      <c r="BQ192" s="67">
        <f>IFERROR(IF(($BH192)&gt;0,($BK192)/($BH192),""),"")</f>
        <v/>
      </c>
      <c r="BR192" s="67">
        <f>IFERROR(IF(($BI192)&gt;0,($BL192)/($BI192),""),"")</f>
        <v/>
      </c>
      <c r="BS192" s="67">
        <f>IFERROR(IF(($BJ192)&gt;0,($BM192)/($BJ192),""),"")</f>
        <v/>
      </c>
      <c r="BT192" s="67">
        <f>IFERROR(IF(($BK192)&gt;0,($BN192)/($BK192),""),"")</f>
        <v/>
      </c>
      <c r="BU192" s="67">
        <f>IFERROR(IF(($BL192)&gt;0,($BO192)/($BL192),""),"")</f>
        <v/>
      </c>
      <c r="BV192" s="67">
        <f>IFERROR(IF(($BM192)&gt;0,($BP192)/($BM192),""),"")</f>
        <v/>
      </c>
      <c r="BW192" s="55">
        <f>SUMIFS(tblPlant[Crushed_t],tblPlant[Date],$A192)</f>
        <v/>
      </c>
      <c r="BX192" s="55">
        <f>IF($B192=$B191,$BX191,0)+$BW192</f>
        <v/>
      </c>
      <c r="BY192" s="55">
        <f>$BY191+$BW192</f>
        <v/>
      </c>
      <c r="BZ192" s="55">
        <f>SUMIFS(tblPlant[Milled_t],tblPlant[Date],$A192)</f>
        <v/>
      </c>
      <c r="CA192" s="55">
        <f>IF($B192=$B191,$CA191,0)+$BZ192</f>
        <v/>
      </c>
      <c r="CB192" s="55">
        <f>$CB191+$BZ192</f>
        <v/>
      </c>
      <c r="CC192" s="55">
        <f>SUMIFS(tblPlant[Feed_oz],tblPlant[Date],$A192)</f>
        <v/>
      </c>
      <c r="CD192" s="55">
        <f>IF($B192=$B191,$CD191,0)+$CC192</f>
        <v/>
      </c>
      <c r="CE192" s="55">
        <f>$CE191+$CC192</f>
        <v/>
      </c>
      <c r="CF192" s="55">
        <f>SUMIFS(tblPlant[Tails_oz],tblPlant[Date],$A192)</f>
        <v/>
      </c>
      <c r="CG192" s="55">
        <f>IF($B192=$B191,$CG191,0)+$CF192</f>
        <v/>
      </c>
      <c r="CH192" s="55">
        <f>$CH191+$CF192</f>
        <v/>
      </c>
      <c r="CI192" s="55">
        <f>SUMIFS(tblPlant[Recovered_oz],tblPlant[Date],$A192)</f>
        <v/>
      </c>
      <c r="CJ192" s="55">
        <f>IF($B192=$B191,$CJ191,0)+$CI192</f>
        <v/>
      </c>
      <c r="CK192" s="55">
        <f>$CK191+$CI192</f>
        <v/>
      </c>
      <c r="CL192" s="56">
        <f>IFERROR(IF(($BZ192)&gt;0,($CC192*cfg_TroyOz)/($BZ192),""),"")</f>
        <v/>
      </c>
      <c r="CM192" s="56">
        <f>IFERROR(IF(($CA192)&gt;0,($CD192*cfg_TroyOz)/($CA192),""),"")</f>
        <v/>
      </c>
      <c r="CN192" s="56">
        <f>IFERROR(IF(($CB192)&gt;0,($CE192*cfg_TroyOz)/($CB192),""),"")</f>
        <v/>
      </c>
      <c r="CO192" s="56">
        <f>IFERROR(IF(($BZ192)&gt;0,($CF192*cfg_TroyOz)/($BZ192),""),"")</f>
        <v/>
      </c>
      <c r="CP192" s="56">
        <f>IFERROR(IF(($CA192)&gt;0,($CG192*cfg_TroyOz)/($CA192),""),"")</f>
        <v/>
      </c>
      <c r="CQ192" s="56">
        <f>IFERROR(IF(($CB192)&gt;0,($CH192*cfg_TroyOz)/($CB192),""),"")</f>
        <v/>
      </c>
      <c r="CR192" s="67">
        <f>IFERROR(IF(($CC192)&gt;0,($CI192)/($CC192),""),"")</f>
        <v/>
      </c>
      <c r="CS192" s="67">
        <f>IFERROR(IF(($CD192)&gt;0,($CJ192)/($CD192),""),"")</f>
        <v/>
      </c>
      <c r="CT192" s="67">
        <f>IFERROR(IF(($CE192)&gt;0,($CK192)/($CE192),""),"")</f>
        <v/>
      </c>
      <c r="CU192" s="55">
        <f>SUMIFS(tblPlant[Gravity_Gold_oz],tblPlant[Date],$A192)</f>
        <v/>
      </c>
      <c r="CV192" s="55">
        <f>IF($B192=$B191,$CV191,0)+$CU192</f>
        <v/>
      </c>
      <c r="CW192" s="55">
        <f>$CW191+$CU192</f>
        <v/>
      </c>
      <c r="CX192" s="55">
        <f>SUMIFS(tblPlant[Gold_Poured_oz],tblPlant[Date],$A192)</f>
        <v/>
      </c>
      <c r="CY192" s="55">
        <f>IF($B192=$B191,$CY191,0)+$CX192</f>
        <v/>
      </c>
      <c r="CZ192" s="55">
        <f>$CZ191+$CX192</f>
        <v/>
      </c>
      <c r="DA192" s="57">
        <f>SUMIFS(tblPlant[Mill_Run_h],tblPlant[Date],$A192)</f>
        <v/>
      </c>
      <c r="DB192" s="57">
        <f>IF($B192=$B191,$DB191,0)+$DA192</f>
        <v/>
      </c>
      <c r="DC192" s="57">
        <f>$DC191+$DA192</f>
        <v/>
      </c>
      <c r="DD192" s="57">
        <f>SUMIFS(tblPlant[Mill_Planned_Maint_h],tblPlant[Date],$A192)</f>
        <v/>
      </c>
      <c r="DE192" s="57">
        <f>IF($B192=$B191,$DE191,0)+$DD192</f>
        <v/>
      </c>
      <c r="DF192" s="57">
        <f>$DF191+$DD192</f>
        <v/>
      </c>
      <c r="DG192" s="57">
        <f>SUMIFS(tblPlant[Mill_Unplanned_Down_h],tblPlant[Date],$A192)</f>
        <v/>
      </c>
      <c r="DH192" s="57">
        <f>IF($B192=$B191,$DH191,0)+$DG192</f>
        <v/>
      </c>
      <c r="DI192" s="57">
        <f>$DI191+$DG192</f>
        <v/>
      </c>
      <c r="DJ192" s="57">
        <f>COUNTIFS(tblPlant[Date],$A192,tblPlant[Mill_Run_h],"&lt;&gt;")*24</f>
        <v/>
      </c>
      <c r="DK192" s="57">
        <f>IF($B192=$B191,$DK191,0)+$DJ192</f>
        <v/>
      </c>
      <c r="DL192" s="57">
        <f>$DL191+$DJ192</f>
        <v/>
      </c>
      <c r="DM192" s="57">
        <f>SUMIFS(tblPlant[Crusher_Run_h],tblPlant[Date],$A192)</f>
        <v/>
      </c>
      <c r="DN192" s="57">
        <f>IF($B192=$B191,$DN191,0)+$DM192</f>
        <v/>
      </c>
      <c r="DO192" s="57">
        <f>$DO191+$DM192</f>
        <v/>
      </c>
      <c r="DP192" s="55">
        <f>IFERROR(IF(($DA192)&gt;0,($BZ192)/($DA192),""),"")</f>
        <v/>
      </c>
      <c r="DQ192" s="55">
        <f>IFERROR(IF(($DB192)&gt;0,($CA192)/($DB192),""),"")</f>
        <v/>
      </c>
      <c r="DR192" s="55">
        <f>IFERROR(IF(($DC192)&gt;0,($CB192)/($DC192),""),"")</f>
        <v/>
      </c>
      <c r="DS192" s="67">
        <f>IFERROR(IF(($DJ192)&gt;0,($DJ192-$DD192-$DG192)/($DJ192),""),"")</f>
        <v/>
      </c>
      <c r="DT192" s="67">
        <f>IFERROR(IF(($DK192)&gt;0,($DK192-$DE192-$DH192)/($DK192),""),"")</f>
        <v/>
      </c>
      <c r="DU192" s="67">
        <f>IFERROR(IF(($DL192)&gt;0,($DL192-$DF192-$DI192)/($DL192),""),"")</f>
        <v/>
      </c>
      <c r="DV192" s="67">
        <f>IFERROR(IF(($DJ192-$DD192-$DG192)&gt;0,($DA192)/($DJ192-$DD192-$DG192),""),"")</f>
        <v/>
      </c>
      <c r="DW192" s="67">
        <f>IFERROR(IF(($DK192-$DE192-$DH192)&gt;0,($DB192)/($DK192-$DE192-$DH192),""),"")</f>
        <v/>
      </c>
      <c r="DX192" s="67">
        <f>IFERROR(IF(($DL192-$DF192-$DI192)&gt;0,($DC192)/($DL192-$DF192-$DI192),""),"")</f>
        <v/>
      </c>
      <c r="DY192" s="55">
        <f>SUMIFS(tblPlant[Cyanide_kg],tblPlant[Date],$A192)</f>
        <v/>
      </c>
      <c r="DZ192" s="55">
        <f>IF($B192=$B191,$DZ191,0)+$DY192</f>
        <v/>
      </c>
      <c r="EA192" s="55">
        <f>$EA191+$DY192</f>
        <v/>
      </c>
      <c r="EB192" s="55">
        <f>SUMIFS(tblPlant[Lime_kg],tblPlant[Date],$A192)</f>
        <v/>
      </c>
      <c r="EC192" s="55">
        <f>IF($B192=$B191,$EC191,0)+$EB192</f>
        <v/>
      </c>
      <c r="ED192" s="55">
        <f>$ED191+$EB192</f>
        <v/>
      </c>
      <c r="EE192" s="55">
        <f>SUMIFS(tblPlant[Grinding_Media_kg],tblPlant[Date],$A192)</f>
        <v/>
      </c>
      <c r="EF192" s="55">
        <f>IF($B192=$B191,$EF191,0)+$EE192</f>
        <v/>
      </c>
      <c r="EG192" s="55">
        <f>$EG191+$EE192</f>
        <v/>
      </c>
      <c r="EH192" s="55">
        <f>SUMIFS(tblPlant[Power_kWh],tblPlant[Date],$A192)</f>
        <v/>
      </c>
      <c r="EI192" s="55">
        <f>IF($B192=$B191,$EI191,0)+$EH192</f>
        <v/>
      </c>
      <c r="EJ192" s="55">
        <f>$EJ191+$EH192</f>
        <v/>
      </c>
      <c r="EK192" s="55">
        <f>SUMIFS(tblPlant[Raw_Water_m3],tblPlant[Date],$A192)</f>
        <v/>
      </c>
      <c r="EL192" s="55">
        <f>IF($B192=$B191,$EL191,0)+$EK192</f>
        <v/>
      </c>
      <c r="EM192" s="55">
        <f>$EM191+$EK192</f>
        <v/>
      </c>
      <c r="EN192" s="56">
        <f>IFERROR(IF(($BZ192)&gt;0,($DY192)/($BZ192),""),"")</f>
        <v/>
      </c>
      <c r="EO192" s="56">
        <f>IFERROR(IF(($CA192)&gt;0,($DZ192)/($CA192),""),"")</f>
        <v/>
      </c>
      <c r="EP192" s="56">
        <f>IFERROR(IF(($CB192)&gt;0,($EA192)/($CB192),""),"")</f>
        <v/>
      </c>
      <c r="EQ192" s="56">
        <f>IFERROR(IF(($BZ192)&gt;0,($EB192)/($BZ192),""),"")</f>
        <v/>
      </c>
      <c r="ER192" s="56">
        <f>IFERROR(IF(($CA192)&gt;0,($EC192)/($CA192),""),"")</f>
        <v/>
      </c>
      <c r="ES192" s="56">
        <f>IFERROR(IF(($CB192)&gt;0,($ED192)/($CB192),""),"")</f>
        <v/>
      </c>
      <c r="ET192" s="56">
        <f>IFERROR(IF(($BZ192)&gt;0,($EE192)/($BZ192),""),"")</f>
        <v/>
      </c>
      <c r="EU192" s="56">
        <f>IFERROR(IF(($CA192)&gt;0,($EF192)/($CA192),""),"")</f>
        <v/>
      </c>
      <c r="EV192" s="56">
        <f>IFERROR(IF(($CB192)&gt;0,($EG192)/($CB192),""),"")</f>
        <v/>
      </c>
      <c r="EW192" s="76">
        <f>IFERROR(IF(($BZ192)&gt;0,($EH192)/($BZ192),""),"")</f>
        <v/>
      </c>
      <c r="EX192" s="76">
        <f>IFERROR(IF(($CA192)&gt;0,($EI192)/($CA192),""),"")</f>
        <v/>
      </c>
      <c r="EY192" s="76">
        <f>IFERROR(IF(($CB192)&gt;0,($EJ192)/($CB192),""),"")</f>
        <v/>
      </c>
      <c r="EZ192" s="56">
        <f>IFERROR(IF(($BZ192)&gt;0,($EK192)/($BZ192),""),"")</f>
        <v/>
      </c>
      <c r="FA192" s="56">
        <f>IFERROR(IF(($CA192)&gt;0,($EL192)/($CA192),""),"")</f>
        <v/>
      </c>
      <c r="FB192" s="56">
        <f>IFERROR(IF(($CB192)&gt;0,($EM192)/($CB192),""),"")</f>
        <v/>
      </c>
      <c r="FC192" s="55">
        <f>IF(SUMIFS(tblPlant[GIC_oz],tblPlant[Date],$A192)&gt;0,SUMIFS(tblPlant[GIC_oz],tblPlant[Date],$A192),"")</f>
        <v/>
      </c>
      <c r="FD192" s="55">
        <f>SUMIFS(tblGold[Gold_oz],tblGold[Date],$A192,tblGold[Type],"Shipment")</f>
        <v/>
      </c>
      <c r="FE192" s="55">
        <f>IF($B192=$B191,$FE191,0)+$FD192</f>
        <v/>
      </c>
      <c r="FF192" s="55">
        <f>$FF191+$FD192</f>
        <v/>
      </c>
      <c r="FG192" s="55">
        <f>SUMIFS(tblGold[Gold_oz],tblGold[Date],$A192,tblGold[Type],"Sale")</f>
        <v/>
      </c>
      <c r="FH192" s="55">
        <f>IF($B192=$B191,$FH191,0)+$FG192</f>
        <v/>
      </c>
      <c r="FI192" s="55">
        <f>$FI191+$FG192</f>
        <v/>
      </c>
      <c r="FJ192" s="55">
        <f>SUMIFS(tblGold[Dore_kg],tblGold[Date],$A192,tblGold[Type],"Shipment")</f>
        <v/>
      </c>
      <c r="FK192" s="55">
        <f>IF($B192=$B191,$FK191,0)+$FJ192</f>
        <v/>
      </c>
      <c r="FL192" s="55">
        <f>$FL191+$FJ192</f>
        <v/>
      </c>
      <c r="FM192" s="57">
        <f>SUMIFS(tblSafety[Hours_Total],tblSafety[Date],$A192)</f>
        <v/>
      </c>
      <c r="FN192" s="57">
        <f>IF($B192=$B191,$FN191,0)+$FM192</f>
        <v/>
      </c>
      <c r="FO192" s="57">
        <f>$FO191+$FM192</f>
        <v/>
      </c>
      <c r="FP192" s="62">
        <f>SUMIFS(tblSafety[Fatality],tblSafety[Date],$A192)</f>
        <v/>
      </c>
      <c r="FQ192" s="62">
        <f>IF($B192=$B191,$FQ191,0)+$FP192</f>
        <v/>
      </c>
      <c r="FR192" s="62">
        <f>$FR191+$FP192</f>
        <v/>
      </c>
      <c r="FS192" s="62">
        <f>SUMIFS(tblSafety[LTI],tblSafety[Date],$A192)</f>
        <v/>
      </c>
      <c r="FT192" s="62">
        <f>IF($B192=$B191,$FT191,0)+$FS192</f>
        <v/>
      </c>
      <c r="FU192" s="62">
        <f>$FU191+$FS192</f>
        <v/>
      </c>
      <c r="FV192" s="62">
        <f>SUMIFS(tblSafety[RWI],tblSafety[Date],$A192)</f>
        <v/>
      </c>
      <c r="FW192" s="62">
        <f>IF($B192=$B191,$FW191,0)+$FV192</f>
        <v/>
      </c>
      <c r="FX192" s="62">
        <f>$FX191+$FV192</f>
        <v/>
      </c>
      <c r="FY192" s="62">
        <f>SUMIFS(tblSafety[MTI],tblSafety[Date],$A192)</f>
        <v/>
      </c>
      <c r="FZ192" s="62">
        <f>IF($B192=$B191,$FZ191,0)+$FY192</f>
        <v/>
      </c>
      <c r="GA192" s="62">
        <f>$GA191+$FY192</f>
        <v/>
      </c>
      <c r="GB192" s="62">
        <f>SUMIFS(tblSafety[FAI],tblSafety[Date],$A192)</f>
        <v/>
      </c>
      <c r="GC192" s="62">
        <f>IF($B192=$B191,$GC191,0)+$GB192</f>
        <v/>
      </c>
      <c r="GD192" s="62">
        <f>$GD191+$GB192</f>
        <v/>
      </c>
      <c r="GE192" s="62">
        <f>SUMIFS(tblSafety[Recordables],tblSafety[Date],$A192)</f>
        <v/>
      </c>
      <c r="GF192" s="62">
        <f>IF($B192=$B191,$GF191,0)+$GE192</f>
        <v/>
      </c>
      <c r="GG192" s="62">
        <f>$GG191+$GE192</f>
        <v/>
      </c>
      <c r="GH192" s="62">
        <f>SUMIFS(tblSafety[Near_Miss],tblSafety[Date],$A192)</f>
        <v/>
      </c>
      <c r="GI192" s="62">
        <f>IF($B192=$B191,$GI191,0)+$GH192</f>
        <v/>
      </c>
      <c r="GJ192" s="62">
        <f>$GJ191+$GH192</f>
        <v/>
      </c>
      <c r="GK192" s="62">
        <f>SUMIFS(tblSafety[Hazard_Reports],tblSafety[Date],$A192)</f>
        <v/>
      </c>
      <c r="GL192" s="62">
        <f>IF($B192=$B191,$GL191,0)+$GK192</f>
        <v/>
      </c>
      <c r="GM192" s="62">
        <f>$GM191+$GK192</f>
        <v/>
      </c>
      <c r="GN192" s="62">
        <f>SUMIFS(tblSafety[HPI],tblSafety[Date],$A192)</f>
        <v/>
      </c>
      <c r="GO192" s="62">
        <f>IF($B192=$B191,$GO191,0)+$GN192</f>
        <v/>
      </c>
      <c r="GP192" s="62">
        <f>$GP191+$GN192</f>
        <v/>
      </c>
      <c r="GQ192" s="62">
        <f>SUMIFS(tblSafety[Env_Incidents],tblSafety[Date],$A192)</f>
        <v/>
      </c>
      <c r="GR192" s="62">
        <f>IF($B192=$B191,$GR191,0)+$GQ192</f>
        <v/>
      </c>
      <c r="GS192" s="62">
        <f>$GS191+$GQ192</f>
        <v/>
      </c>
      <c r="GT192" s="62">
        <f>SUMIFS(tblSafety[Community_Incidents],tblSafety[Date],$A192)</f>
        <v/>
      </c>
      <c r="GU192" s="62">
        <f>IF($B192=$B191,$GU191,0)+$GT192</f>
        <v/>
      </c>
      <c r="GV192" s="62">
        <f>$GV191+$GT192</f>
        <v/>
      </c>
      <c r="GW192" s="62">
        <f>SUMIFS(tblSafety[Vehicle_Incidents],tblSafety[Date],$A192)</f>
        <v/>
      </c>
      <c r="GX192" s="62">
        <f>IF($B192=$B191,$GX191,0)+$GW192</f>
        <v/>
      </c>
      <c r="GY192" s="62">
        <f>$GY191+$GW192</f>
        <v/>
      </c>
      <c r="GZ192" s="62">
        <f>SUMIFS(tblSafety[Toolbox_Talks],tblSafety[Date],$A192)</f>
        <v/>
      </c>
      <c r="HA192" s="62">
        <f>IF($B192=$B191,$HA191,0)+$GZ192</f>
        <v/>
      </c>
      <c r="HB192" s="62">
        <f>$HB191+$GZ192</f>
        <v/>
      </c>
      <c r="HC192" s="62">
        <f>SUMIFS(tblSafety[Inspections],tblSafety[Date],$A192)</f>
        <v/>
      </c>
      <c r="HD192" s="62">
        <f>IF($B192=$B191,$HD191,0)+$HC192</f>
        <v/>
      </c>
      <c r="HE192" s="62">
        <f>$HE191+$HC192</f>
        <v/>
      </c>
      <c r="HF192" s="56">
        <f>IFERROR((SUMIFS(tblSafety[Recordables],tblSafety[Date],"&gt;="&amp;EDATE($E192,-12),tblSafety[Date],"&lt;="&amp;$A192)+SUMIFS(tblSafetyHistory[Recordables],tblSafetyHistory[Month],"&gt;="&amp;EDATE($E192,-12),tblSafetyHistory[Month],"&lt;"&amp;cfg_YearStart))/(SUMIFS(tblSafety[Hours_Total],tblSafety[Date],"&gt;="&amp;EDATE($E192,-12),tblSafety[Date],"&lt;="&amp;$A192)+SUMIFS(tblSafetyHistory[Hours_Total],tblSafetyHistory[Month],"&gt;="&amp;EDATE($E192,-12),tblSafetyHistory[Month],"&lt;"&amp;cfg_YearStart))*1000000,"")</f>
        <v/>
      </c>
      <c r="HG192" s="56">
        <f>IFERROR((SUMIFS(tblSafety[LTI],tblSafety[Date],"&gt;="&amp;EDATE($E192,-12),tblSafety[Date],"&lt;="&amp;$A192)+SUMIFS(tblSafetyHistory[LTI],tblSafetyHistory[Month],"&gt;="&amp;EDATE($E192,-12),tblSafetyHistory[Month],"&lt;"&amp;cfg_YearStart))/(SUMIFS(tblSafety[Hours_Total],tblSafety[Date],"&gt;="&amp;EDATE($E192,-12),tblSafety[Date],"&lt;="&amp;$A192)+SUMIFS(tblSafetyHistory[Hours_Total],tblSafetyHistory[Month],"&gt;="&amp;EDATE($E192,-12),tblSafetyHistory[Month],"&lt;"&amp;cfg_YearStart))*1000000,"")</f>
        <v/>
      </c>
      <c r="HH192" s="62">
        <f>IF(MAX(N(cfg_PriorLTIDate),_xlfn.MAXIFS(tblSafety[Date],tblSafety[LTI],"&gt;0",tblSafety[Date],"&lt;="&amp;$A192))=0,"",$A192-MAX(N(cfg_PriorLTIDate),_xlfn.MAXIFS(tblSafety[Date],tblSafety[LTI],"&gt;0",tblSafety[Date],"&lt;="&amp;$A192)))</f>
        <v/>
      </c>
      <c r="HI192" s="55">
        <f>SUMIFS(tblBudget[Ore_Mined_t],tblBudget[Month],$E192)</f>
        <v/>
      </c>
      <c r="HJ192" s="55">
        <f>$HI192*$C192/$D192</f>
        <v/>
      </c>
      <c r="HK192" s="55">
        <f>SUMIFS(tblBudget[Ore_Mined_t],tblBudget[Month],"&lt;"&amp;$E192)+$HJ192</f>
        <v/>
      </c>
      <c r="HL192" s="55">
        <f>SUMIFS(tblBudget[Ore_oz],tblBudget[Month],$E192)</f>
        <v/>
      </c>
      <c r="HM192" s="55">
        <f>$HL192*$C192/$D192</f>
        <v/>
      </c>
      <c r="HN192" s="55">
        <f>SUMIFS(tblBudget[Ore_oz],tblBudget[Month],"&lt;"&amp;$E192)+$HM192</f>
        <v/>
      </c>
      <c r="HO192" s="56">
        <f>IFERROR(IF(($HI192)&gt;0,($HL192*cfg_TroyOz)/($HI192),""),"")</f>
        <v/>
      </c>
      <c r="HP192" s="56">
        <f>IFERROR(IF(($HJ192)&gt;0,($HM192*cfg_TroyOz)/($HJ192),""),"")</f>
        <v/>
      </c>
      <c r="HQ192" s="56">
        <f>IFERROR(IF(($HK192)&gt;0,($HN192*cfg_TroyOz)/($HK192),""),"")</f>
        <v/>
      </c>
      <c r="HR192" s="55">
        <f>SUMIFS(tblBudget[Waste_t],tblBudget[Month],$E192)</f>
        <v/>
      </c>
      <c r="HS192" s="55">
        <f>$HR192*$C192/$D192</f>
        <v/>
      </c>
      <c r="HT192" s="55">
        <f>SUMIFS(tblBudget[Waste_t],tblBudget[Month],"&lt;"&amp;$E192)+$HS192</f>
        <v/>
      </c>
      <c r="HU192" s="55">
        <f>SUMIFS(tblBudget[TMM_t],tblBudget[Month],$E192)</f>
        <v/>
      </c>
      <c r="HV192" s="55">
        <f>$HU192*$C192/$D192</f>
        <v/>
      </c>
      <c r="HW192" s="55">
        <f>SUMIFS(tblBudget[TMM_t],tblBudget[Month],"&lt;"&amp;$E192)+$HV192</f>
        <v/>
      </c>
      <c r="HX192" s="56">
        <f>IFERROR(IF(($HI192)&gt;0,($HR192)/($HI192),""),"")</f>
        <v/>
      </c>
      <c r="HY192" s="56">
        <f>IFERROR(IF(($HJ192)&gt;0,($HS192)/($HJ192),""),"")</f>
        <v/>
      </c>
      <c r="HZ192" s="56">
        <f>IFERROR(IF(($HK192)&gt;0,($HT192)/($HK192),""),"")</f>
        <v/>
      </c>
      <c r="IA192" s="55">
        <f>SUMIFS(tblBudget[Drill_m],tblBudget[Month],$E192)</f>
        <v/>
      </c>
      <c r="IB192" s="55">
        <f>$IA192*$C192/$D192</f>
        <v/>
      </c>
      <c r="IC192" s="55">
        <f>SUMIFS(tblBudget[Drill_m],tblBudget[Month],"&lt;"&amp;$E192)+$IB192</f>
        <v/>
      </c>
      <c r="ID192" s="55">
        <f>SUMIFS(tblBudget[Diesel_L],tblBudget[Month],$E192)</f>
        <v/>
      </c>
      <c r="IE192" s="55">
        <f>$ID192*$C192/$D192</f>
        <v/>
      </c>
      <c r="IF192" s="55">
        <f>SUMIFS(tblBudget[Diesel_L],tblBudget[Month],"&lt;"&amp;$E192)+$IE192</f>
        <v/>
      </c>
      <c r="IG192" s="55">
        <f>SUMIFS(tblBudget[Milled_t],tblBudget[Month],$E192)</f>
        <v/>
      </c>
      <c r="IH192" s="55">
        <f>$IG192*$C192/$D192</f>
        <v/>
      </c>
      <c r="II192" s="55">
        <f>SUMIFS(tblBudget[Milled_t],tblBudget[Month],"&lt;"&amp;$E192)+$IH192</f>
        <v/>
      </c>
      <c r="IJ192" s="55">
        <f>SUMIFS(tblBudget[Feed_oz],tblBudget[Month],$E192)</f>
        <v/>
      </c>
      <c r="IK192" s="55">
        <f>$IJ192*$C192/$D192</f>
        <v/>
      </c>
      <c r="IL192" s="55">
        <f>SUMIFS(tblBudget[Feed_oz],tblBudget[Month],"&lt;"&amp;$E192)+$IK192</f>
        <v/>
      </c>
      <c r="IM192" s="55">
        <f>SUMIFS(tblBudget[Recovered_oz],tblBudget[Month],$E192)</f>
        <v/>
      </c>
      <c r="IN192" s="55">
        <f>$IM192*$C192/$D192</f>
        <v/>
      </c>
      <c r="IO192" s="55">
        <f>SUMIFS(tblBudget[Recovered_oz],tblBudget[Month],"&lt;"&amp;$E192)+$IN192</f>
        <v/>
      </c>
      <c r="IP192" s="56">
        <f>IFERROR(IF(($IG192)&gt;0,($IJ192*cfg_TroyOz)/($IG192),""),"")</f>
        <v/>
      </c>
      <c r="IQ192" s="56">
        <f>IFERROR(IF(($IH192)&gt;0,($IK192*cfg_TroyOz)/($IH192),""),"")</f>
        <v/>
      </c>
      <c r="IR192" s="56">
        <f>IFERROR(IF(($II192)&gt;0,($IL192*cfg_TroyOz)/($II192),""),"")</f>
        <v/>
      </c>
      <c r="IS192" s="67">
        <f>IFERROR(IF(($IJ192)&gt;0,($IM192)/($IJ192),""),"")</f>
        <v/>
      </c>
      <c r="IT192" s="67">
        <f>IFERROR(IF(($IK192)&gt;0,($IN192)/($IK192),""),"")</f>
        <v/>
      </c>
      <c r="IU192" s="67">
        <f>IFERROR(IF(($IL192)&gt;0,($IO192)/($IL192),""),"")</f>
        <v/>
      </c>
      <c r="IV192" s="55">
        <f>SUMIFS(tblBudget[Gold_Poured_oz],tblBudget[Month],$E192)</f>
        <v/>
      </c>
      <c r="IW192" s="55">
        <f>$IV192*$C192/$D192</f>
        <v/>
      </c>
      <c r="IX192" s="55">
        <f>SUMIFS(tblBudget[Gold_Poured_oz],tblBudget[Month],"&lt;"&amp;$E192)+$IW192</f>
        <v/>
      </c>
      <c r="IY192" s="57">
        <f>SUMIFS(tblBudget[Hours_Worked],tblBudget[Month],$E192)</f>
        <v/>
      </c>
      <c r="IZ192" s="57">
        <f>$IY192*$C192/$D192</f>
        <v/>
      </c>
      <c r="JA192" s="57">
        <f>SUMIFS(tblBudget[Hours_Worked],tblBudget[Month],"&lt;"&amp;$E192)+$IZ192</f>
        <v/>
      </c>
    </row>
    <row r="193">
      <c r="A193" s="54" t="n">
        <v>46214</v>
      </c>
      <c r="B193">
        <f>MONTH($A193)</f>
        <v/>
      </c>
      <c r="C193">
        <f>DAY($A193)</f>
        <v/>
      </c>
      <c r="D193">
        <f>DAY(EOMONTH($A193,0))</f>
        <v/>
      </c>
      <c r="E193" s="54">
        <f>DATE(YEAR($A193),MONTH($A193),1)</f>
        <v/>
      </c>
      <c r="F193" s="55">
        <f>SUMIFS(tblMovement[Tonnes_t],tblMovement[Date],$A193,tblMovement[Is_Ore],1,tblMovement[Source_Type],"Pit")</f>
        <v/>
      </c>
      <c r="G193" s="55">
        <f>IF($B193=$B192,$G192,0)+$F193</f>
        <v/>
      </c>
      <c r="H193" s="55">
        <f>$H192+$F193</f>
        <v/>
      </c>
      <c r="I193" s="55">
        <f>SUMIFS(tblMovement[Ore_oz],tblMovement[Date],$A193,tblMovement[Source_Type],"Pit")</f>
        <v/>
      </c>
      <c r="J193" s="55">
        <f>IF($B193=$B192,$J192,0)+$I193</f>
        <v/>
      </c>
      <c r="K193" s="55">
        <f>$K192+$I193</f>
        <v/>
      </c>
      <c r="L193" s="56">
        <f>IFERROR(IF(($F193)&gt;0,($I193*cfg_TroyOz)/($F193),""),"")</f>
        <v/>
      </c>
      <c r="M193" s="56">
        <f>IFERROR(IF(($G193)&gt;0,($J193*cfg_TroyOz)/($G193),""),"")</f>
        <v/>
      </c>
      <c r="N193" s="56">
        <f>IFERROR(IF(($H193)&gt;0,($K193*cfg_TroyOz)/($H193),""),"")</f>
        <v/>
      </c>
      <c r="O193" s="55">
        <f>SUMIFS(tblMovement[Tonnes_t],tblMovement[Date],$A193,tblMovement[Is_Ore],0,tblMovement[Source_Type],"Pit")</f>
        <v/>
      </c>
      <c r="P193" s="55">
        <f>IF($B193=$B192,$P192,0)+$O193</f>
        <v/>
      </c>
      <c r="Q193" s="55">
        <f>$Q192+$O193</f>
        <v/>
      </c>
      <c r="R193" s="55">
        <f>$F193+$O193</f>
        <v/>
      </c>
      <c r="S193" s="55">
        <f>IF($B193=$B192,$S192,0)+$R193</f>
        <v/>
      </c>
      <c r="T193" s="55">
        <f>$T192+$R193</f>
        <v/>
      </c>
      <c r="U193" s="56">
        <f>IFERROR(IF(($F193)&gt;0,($O193)/($F193),""),"")</f>
        <v/>
      </c>
      <c r="V193" s="56">
        <f>IFERROR(IF(($G193)&gt;0,($P193)/($G193),""),"")</f>
        <v/>
      </c>
      <c r="W193" s="56">
        <f>IFERROR(IF(($H193)&gt;0,($Q193)/($H193),""),"")</f>
        <v/>
      </c>
      <c r="X193" s="55">
        <f>SUMIFS(tblMovement[Tonnes_t],tblMovement[Date],$A193,tblMovement[Source_Type],"Stockpile")</f>
        <v/>
      </c>
      <c r="Y193" s="55">
        <f>IF($B193=$B192,$Y192,0)+$X193</f>
        <v/>
      </c>
      <c r="Z193" s="55">
        <f>$Z192+$X193</f>
        <v/>
      </c>
      <c r="AA193" s="55">
        <f>SUMIFS(tblMiningDaily[Drill_m],tblMiningDaily[Date],$A193)</f>
        <v/>
      </c>
      <c r="AB193" s="55">
        <f>IF($B193=$B192,$AB192,0)+$AA193</f>
        <v/>
      </c>
      <c r="AC193" s="55">
        <f>$AC192+$AA193</f>
        <v/>
      </c>
      <c r="AD193" s="55">
        <f>SUMIFS(tblMiningDaily[Blast_t],tblMiningDaily[Date],$A193)</f>
        <v/>
      </c>
      <c r="AE193" s="55">
        <f>IF($B193=$B192,$AE192,0)+$AD193</f>
        <v/>
      </c>
      <c r="AF193" s="55">
        <f>$AF192+$AD193</f>
        <v/>
      </c>
      <c r="AG193" s="55">
        <f>SUMIFS(tblMiningDaily[Explosives_kg],tblMiningDaily[Date],$A193)</f>
        <v/>
      </c>
      <c r="AH193" s="55">
        <f>IF($B193=$B192,$AH192,0)+$AG193</f>
        <v/>
      </c>
      <c r="AI193" s="55">
        <f>$AI192+$AG193</f>
        <v/>
      </c>
      <c r="AJ193" s="56">
        <f>IFERROR(IF(($AD193)&gt;0,($AG193)/($AD193),""),"")</f>
        <v/>
      </c>
      <c r="AK193" s="56">
        <f>IFERROR(IF(($AE193)&gt;0,($AH193)/($AE193),""),"")</f>
        <v/>
      </c>
      <c r="AL193" s="56">
        <f>IFERROR(IF(($AF193)&gt;0,($AI193)/($AF193),""),"")</f>
        <v/>
      </c>
      <c r="AM193" s="55">
        <f>SUMIFS(tblMiningDaily[Diesel_L],tblMiningDaily[Date],$A193)</f>
        <v/>
      </c>
      <c r="AN193" s="55">
        <f>IF($B193=$B192,$AN192,0)+$AM193</f>
        <v/>
      </c>
      <c r="AO193" s="55">
        <f>$AO192+$AM193</f>
        <v/>
      </c>
      <c r="AP193" s="55">
        <f>SUMIFS(tblMiningDaily[Dewatering_m3],tblMiningDaily[Date],$A193)</f>
        <v/>
      </c>
      <c r="AQ193" s="55">
        <f>IF($B193=$B192,$AQ192,0)+$AP193</f>
        <v/>
      </c>
      <c r="AR193" s="55">
        <f>$AR192+$AP193</f>
        <v/>
      </c>
      <c r="AS193" s="57">
        <f>SUMIFS(tblFleet[Calendar_h],tblFleet[Date],$A193,tblFleet[Equipment_Class],"Excavator")</f>
        <v/>
      </c>
      <c r="AT193" s="57">
        <f>IF($B193=$B192,$AT192,0)+$AS193</f>
        <v/>
      </c>
      <c r="AU193" s="57">
        <f>$AU192+$AS193</f>
        <v/>
      </c>
      <c r="AV193" s="57">
        <f>SUMIFS(tblFleet[Available_h],tblFleet[Date],$A193,tblFleet[Equipment_Class],"Excavator")</f>
        <v/>
      </c>
      <c r="AW193" s="57">
        <f>IF($B193=$B192,$AW192,0)+$AV193</f>
        <v/>
      </c>
      <c r="AX193" s="57">
        <f>$AX192+$AV193</f>
        <v/>
      </c>
      <c r="AY193" s="57">
        <f>SUMIFS(tblFleet[Operating_h],tblFleet[Date],$A193,tblFleet[Equipment_Class],"Excavator")</f>
        <v/>
      </c>
      <c r="AZ193" s="57">
        <f>IF($B193=$B192,$AZ192,0)+$AY193</f>
        <v/>
      </c>
      <c r="BA193" s="57">
        <f>$BA192+$AY193</f>
        <v/>
      </c>
      <c r="BB193" s="67">
        <f>IFERROR(IF(($AS193)&gt;0,($AV193)/($AS193),""),"")</f>
        <v/>
      </c>
      <c r="BC193" s="67">
        <f>IFERROR(IF(($AT193)&gt;0,($AW193)/($AT193),""),"")</f>
        <v/>
      </c>
      <c r="BD193" s="67">
        <f>IFERROR(IF(($AU193)&gt;0,($AX193)/($AU193),""),"")</f>
        <v/>
      </c>
      <c r="BE193" s="67">
        <f>IFERROR(IF(($AV193)&gt;0,($AY193)/($AV193),""),"")</f>
        <v/>
      </c>
      <c r="BF193" s="67">
        <f>IFERROR(IF(($AW193)&gt;0,($AZ193)/($AW193),""),"")</f>
        <v/>
      </c>
      <c r="BG193" s="67">
        <f>IFERROR(IF(($AX193)&gt;0,($BA193)/($AX193),""),"")</f>
        <v/>
      </c>
      <c r="BH193" s="57">
        <f>SUMIFS(tblFleet[Calendar_h],tblFleet[Date],$A193,tblFleet[Equipment_Class],"Haul Truck")</f>
        <v/>
      </c>
      <c r="BI193" s="57">
        <f>IF($B193=$B192,$BI192,0)+$BH193</f>
        <v/>
      </c>
      <c r="BJ193" s="57">
        <f>$BJ192+$BH193</f>
        <v/>
      </c>
      <c r="BK193" s="57">
        <f>SUMIFS(tblFleet[Available_h],tblFleet[Date],$A193,tblFleet[Equipment_Class],"Haul Truck")</f>
        <v/>
      </c>
      <c r="BL193" s="57">
        <f>IF($B193=$B192,$BL192,0)+$BK193</f>
        <v/>
      </c>
      <c r="BM193" s="57">
        <f>$BM192+$BK193</f>
        <v/>
      </c>
      <c r="BN193" s="57">
        <f>SUMIFS(tblFleet[Operating_h],tblFleet[Date],$A193,tblFleet[Equipment_Class],"Haul Truck")</f>
        <v/>
      </c>
      <c r="BO193" s="57">
        <f>IF($B193=$B192,$BO192,0)+$BN193</f>
        <v/>
      </c>
      <c r="BP193" s="57">
        <f>$BP192+$BN193</f>
        <v/>
      </c>
      <c r="BQ193" s="67">
        <f>IFERROR(IF(($BH193)&gt;0,($BK193)/($BH193),""),"")</f>
        <v/>
      </c>
      <c r="BR193" s="67">
        <f>IFERROR(IF(($BI193)&gt;0,($BL193)/($BI193),""),"")</f>
        <v/>
      </c>
      <c r="BS193" s="67">
        <f>IFERROR(IF(($BJ193)&gt;0,($BM193)/($BJ193),""),"")</f>
        <v/>
      </c>
      <c r="BT193" s="67">
        <f>IFERROR(IF(($BK193)&gt;0,($BN193)/($BK193),""),"")</f>
        <v/>
      </c>
      <c r="BU193" s="67">
        <f>IFERROR(IF(($BL193)&gt;0,($BO193)/($BL193),""),"")</f>
        <v/>
      </c>
      <c r="BV193" s="67">
        <f>IFERROR(IF(($BM193)&gt;0,($BP193)/($BM193),""),"")</f>
        <v/>
      </c>
      <c r="BW193" s="55">
        <f>SUMIFS(tblPlant[Crushed_t],tblPlant[Date],$A193)</f>
        <v/>
      </c>
      <c r="BX193" s="55">
        <f>IF($B193=$B192,$BX192,0)+$BW193</f>
        <v/>
      </c>
      <c r="BY193" s="55">
        <f>$BY192+$BW193</f>
        <v/>
      </c>
      <c r="BZ193" s="55">
        <f>SUMIFS(tblPlant[Milled_t],tblPlant[Date],$A193)</f>
        <v/>
      </c>
      <c r="CA193" s="55">
        <f>IF($B193=$B192,$CA192,0)+$BZ193</f>
        <v/>
      </c>
      <c r="CB193" s="55">
        <f>$CB192+$BZ193</f>
        <v/>
      </c>
      <c r="CC193" s="55">
        <f>SUMIFS(tblPlant[Feed_oz],tblPlant[Date],$A193)</f>
        <v/>
      </c>
      <c r="CD193" s="55">
        <f>IF($B193=$B192,$CD192,0)+$CC193</f>
        <v/>
      </c>
      <c r="CE193" s="55">
        <f>$CE192+$CC193</f>
        <v/>
      </c>
      <c r="CF193" s="55">
        <f>SUMIFS(tblPlant[Tails_oz],tblPlant[Date],$A193)</f>
        <v/>
      </c>
      <c r="CG193" s="55">
        <f>IF($B193=$B192,$CG192,0)+$CF193</f>
        <v/>
      </c>
      <c r="CH193" s="55">
        <f>$CH192+$CF193</f>
        <v/>
      </c>
      <c r="CI193" s="55">
        <f>SUMIFS(tblPlant[Recovered_oz],tblPlant[Date],$A193)</f>
        <v/>
      </c>
      <c r="CJ193" s="55">
        <f>IF($B193=$B192,$CJ192,0)+$CI193</f>
        <v/>
      </c>
      <c r="CK193" s="55">
        <f>$CK192+$CI193</f>
        <v/>
      </c>
      <c r="CL193" s="56">
        <f>IFERROR(IF(($BZ193)&gt;0,($CC193*cfg_TroyOz)/($BZ193),""),"")</f>
        <v/>
      </c>
      <c r="CM193" s="56">
        <f>IFERROR(IF(($CA193)&gt;0,($CD193*cfg_TroyOz)/($CA193),""),"")</f>
        <v/>
      </c>
      <c r="CN193" s="56">
        <f>IFERROR(IF(($CB193)&gt;0,($CE193*cfg_TroyOz)/($CB193),""),"")</f>
        <v/>
      </c>
      <c r="CO193" s="56">
        <f>IFERROR(IF(($BZ193)&gt;0,($CF193*cfg_TroyOz)/($BZ193),""),"")</f>
        <v/>
      </c>
      <c r="CP193" s="56">
        <f>IFERROR(IF(($CA193)&gt;0,($CG193*cfg_TroyOz)/($CA193),""),"")</f>
        <v/>
      </c>
      <c r="CQ193" s="56">
        <f>IFERROR(IF(($CB193)&gt;0,($CH193*cfg_TroyOz)/($CB193),""),"")</f>
        <v/>
      </c>
      <c r="CR193" s="67">
        <f>IFERROR(IF(($CC193)&gt;0,($CI193)/($CC193),""),"")</f>
        <v/>
      </c>
      <c r="CS193" s="67">
        <f>IFERROR(IF(($CD193)&gt;0,($CJ193)/($CD193),""),"")</f>
        <v/>
      </c>
      <c r="CT193" s="67">
        <f>IFERROR(IF(($CE193)&gt;0,($CK193)/($CE193),""),"")</f>
        <v/>
      </c>
      <c r="CU193" s="55">
        <f>SUMIFS(tblPlant[Gravity_Gold_oz],tblPlant[Date],$A193)</f>
        <v/>
      </c>
      <c r="CV193" s="55">
        <f>IF($B193=$B192,$CV192,0)+$CU193</f>
        <v/>
      </c>
      <c r="CW193" s="55">
        <f>$CW192+$CU193</f>
        <v/>
      </c>
      <c r="CX193" s="55">
        <f>SUMIFS(tblPlant[Gold_Poured_oz],tblPlant[Date],$A193)</f>
        <v/>
      </c>
      <c r="CY193" s="55">
        <f>IF($B193=$B192,$CY192,0)+$CX193</f>
        <v/>
      </c>
      <c r="CZ193" s="55">
        <f>$CZ192+$CX193</f>
        <v/>
      </c>
      <c r="DA193" s="57">
        <f>SUMIFS(tblPlant[Mill_Run_h],tblPlant[Date],$A193)</f>
        <v/>
      </c>
      <c r="DB193" s="57">
        <f>IF($B193=$B192,$DB192,0)+$DA193</f>
        <v/>
      </c>
      <c r="DC193" s="57">
        <f>$DC192+$DA193</f>
        <v/>
      </c>
      <c r="DD193" s="57">
        <f>SUMIFS(tblPlant[Mill_Planned_Maint_h],tblPlant[Date],$A193)</f>
        <v/>
      </c>
      <c r="DE193" s="57">
        <f>IF($B193=$B192,$DE192,0)+$DD193</f>
        <v/>
      </c>
      <c r="DF193" s="57">
        <f>$DF192+$DD193</f>
        <v/>
      </c>
      <c r="DG193" s="57">
        <f>SUMIFS(tblPlant[Mill_Unplanned_Down_h],tblPlant[Date],$A193)</f>
        <v/>
      </c>
      <c r="DH193" s="57">
        <f>IF($B193=$B192,$DH192,0)+$DG193</f>
        <v/>
      </c>
      <c r="DI193" s="57">
        <f>$DI192+$DG193</f>
        <v/>
      </c>
      <c r="DJ193" s="57">
        <f>COUNTIFS(tblPlant[Date],$A193,tblPlant[Mill_Run_h],"&lt;&gt;")*24</f>
        <v/>
      </c>
      <c r="DK193" s="57">
        <f>IF($B193=$B192,$DK192,0)+$DJ193</f>
        <v/>
      </c>
      <c r="DL193" s="57">
        <f>$DL192+$DJ193</f>
        <v/>
      </c>
      <c r="DM193" s="57">
        <f>SUMIFS(tblPlant[Crusher_Run_h],tblPlant[Date],$A193)</f>
        <v/>
      </c>
      <c r="DN193" s="57">
        <f>IF($B193=$B192,$DN192,0)+$DM193</f>
        <v/>
      </c>
      <c r="DO193" s="57">
        <f>$DO192+$DM193</f>
        <v/>
      </c>
      <c r="DP193" s="55">
        <f>IFERROR(IF(($DA193)&gt;0,($BZ193)/($DA193),""),"")</f>
        <v/>
      </c>
      <c r="DQ193" s="55">
        <f>IFERROR(IF(($DB193)&gt;0,($CA193)/($DB193),""),"")</f>
        <v/>
      </c>
      <c r="DR193" s="55">
        <f>IFERROR(IF(($DC193)&gt;0,($CB193)/($DC193),""),"")</f>
        <v/>
      </c>
      <c r="DS193" s="67">
        <f>IFERROR(IF(($DJ193)&gt;0,($DJ193-$DD193-$DG193)/($DJ193),""),"")</f>
        <v/>
      </c>
      <c r="DT193" s="67">
        <f>IFERROR(IF(($DK193)&gt;0,($DK193-$DE193-$DH193)/($DK193),""),"")</f>
        <v/>
      </c>
      <c r="DU193" s="67">
        <f>IFERROR(IF(($DL193)&gt;0,($DL193-$DF193-$DI193)/($DL193),""),"")</f>
        <v/>
      </c>
      <c r="DV193" s="67">
        <f>IFERROR(IF(($DJ193-$DD193-$DG193)&gt;0,($DA193)/($DJ193-$DD193-$DG193),""),"")</f>
        <v/>
      </c>
      <c r="DW193" s="67">
        <f>IFERROR(IF(($DK193-$DE193-$DH193)&gt;0,($DB193)/($DK193-$DE193-$DH193),""),"")</f>
        <v/>
      </c>
      <c r="DX193" s="67">
        <f>IFERROR(IF(($DL193-$DF193-$DI193)&gt;0,($DC193)/($DL193-$DF193-$DI193),""),"")</f>
        <v/>
      </c>
      <c r="DY193" s="55">
        <f>SUMIFS(tblPlant[Cyanide_kg],tblPlant[Date],$A193)</f>
        <v/>
      </c>
      <c r="DZ193" s="55">
        <f>IF($B193=$B192,$DZ192,0)+$DY193</f>
        <v/>
      </c>
      <c r="EA193" s="55">
        <f>$EA192+$DY193</f>
        <v/>
      </c>
      <c r="EB193" s="55">
        <f>SUMIFS(tblPlant[Lime_kg],tblPlant[Date],$A193)</f>
        <v/>
      </c>
      <c r="EC193" s="55">
        <f>IF($B193=$B192,$EC192,0)+$EB193</f>
        <v/>
      </c>
      <c r="ED193" s="55">
        <f>$ED192+$EB193</f>
        <v/>
      </c>
      <c r="EE193" s="55">
        <f>SUMIFS(tblPlant[Grinding_Media_kg],tblPlant[Date],$A193)</f>
        <v/>
      </c>
      <c r="EF193" s="55">
        <f>IF($B193=$B192,$EF192,0)+$EE193</f>
        <v/>
      </c>
      <c r="EG193" s="55">
        <f>$EG192+$EE193</f>
        <v/>
      </c>
      <c r="EH193" s="55">
        <f>SUMIFS(tblPlant[Power_kWh],tblPlant[Date],$A193)</f>
        <v/>
      </c>
      <c r="EI193" s="55">
        <f>IF($B193=$B192,$EI192,0)+$EH193</f>
        <v/>
      </c>
      <c r="EJ193" s="55">
        <f>$EJ192+$EH193</f>
        <v/>
      </c>
      <c r="EK193" s="55">
        <f>SUMIFS(tblPlant[Raw_Water_m3],tblPlant[Date],$A193)</f>
        <v/>
      </c>
      <c r="EL193" s="55">
        <f>IF($B193=$B192,$EL192,0)+$EK193</f>
        <v/>
      </c>
      <c r="EM193" s="55">
        <f>$EM192+$EK193</f>
        <v/>
      </c>
      <c r="EN193" s="56">
        <f>IFERROR(IF(($BZ193)&gt;0,($DY193)/($BZ193),""),"")</f>
        <v/>
      </c>
      <c r="EO193" s="56">
        <f>IFERROR(IF(($CA193)&gt;0,($DZ193)/($CA193),""),"")</f>
        <v/>
      </c>
      <c r="EP193" s="56">
        <f>IFERROR(IF(($CB193)&gt;0,($EA193)/($CB193),""),"")</f>
        <v/>
      </c>
      <c r="EQ193" s="56">
        <f>IFERROR(IF(($BZ193)&gt;0,($EB193)/($BZ193),""),"")</f>
        <v/>
      </c>
      <c r="ER193" s="56">
        <f>IFERROR(IF(($CA193)&gt;0,($EC193)/($CA193),""),"")</f>
        <v/>
      </c>
      <c r="ES193" s="56">
        <f>IFERROR(IF(($CB193)&gt;0,($ED193)/($CB193),""),"")</f>
        <v/>
      </c>
      <c r="ET193" s="56">
        <f>IFERROR(IF(($BZ193)&gt;0,($EE193)/($BZ193),""),"")</f>
        <v/>
      </c>
      <c r="EU193" s="56">
        <f>IFERROR(IF(($CA193)&gt;0,($EF193)/($CA193),""),"")</f>
        <v/>
      </c>
      <c r="EV193" s="56">
        <f>IFERROR(IF(($CB193)&gt;0,($EG193)/($CB193),""),"")</f>
        <v/>
      </c>
      <c r="EW193" s="76">
        <f>IFERROR(IF(($BZ193)&gt;0,($EH193)/($BZ193),""),"")</f>
        <v/>
      </c>
      <c r="EX193" s="76">
        <f>IFERROR(IF(($CA193)&gt;0,($EI193)/($CA193),""),"")</f>
        <v/>
      </c>
      <c r="EY193" s="76">
        <f>IFERROR(IF(($CB193)&gt;0,($EJ193)/($CB193),""),"")</f>
        <v/>
      </c>
      <c r="EZ193" s="56">
        <f>IFERROR(IF(($BZ193)&gt;0,($EK193)/($BZ193),""),"")</f>
        <v/>
      </c>
      <c r="FA193" s="56">
        <f>IFERROR(IF(($CA193)&gt;0,($EL193)/($CA193),""),"")</f>
        <v/>
      </c>
      <c r="FB193" s="56">
        <f>IFERROR(IF(($CB193)&gt;0,($EM193)/($CB193),""),"")</f>
        <v/>
      </c>
      <c r="FC193" s="55">
        <f>IF(SUMIFS(tblPlant[GIC_oz],tblPlant[Date],$A193)&gt;0,SUMIFS(tblPlant[GIC_oz],tblPlant[Date],$A193),"")</f>
        <v/>
      </c>
      <c r="FD193" s="55">
        <f>SUMIFS(tblGold[Gold_oz],tblGold[Date],$A193,tblGold[Type],"Shipment")</f>
        <v/>
      </c>
      <c r="FE193" s="55">
        <f>IF($B193=$B192,$FE192,0)+$FD193</f>
        <v/>
      </c>
      <c r="FF193" s="55">
        <f>$FF192+$FD193</f>
        <v/>
      </c>
      <c r="FG193" s="55">
        <f>SUMIFS(tblGold[Gold_oz],tblGold[Date],$A193,tblGold[Type],"Sale")</f>
        <v/>
      </c>
      <c r="FH193" s="55">
        <f>IF($B193=$B192,$FH192,0)+$FG193</f>
        <v/>
      </c>
      <c r="FI193" s="55">
        <f>$FI192+$FG193</f>
        <v/>
      </c>
      <c r="FJ193" s="55">
        <f>SUMIFS(tblGold[Dore_kg],tblGold[Date],$A193,tblGold[Type],"Shipment")</f>
        <v/>
      </c>
      <c r="FK193" s="55">
        <f>IF($B193=$B192,$FK192,0)+$FJ193</f>
        <v/>
      </c>
      <c r="FL193" s="55">
        <f>$FL192+$FJ193</f>
        <v/>
      </c>
      <c r="FM193" s="57">
        <f>SUMIFS(tblSafety[Hours_Total],tblSafety[Date],$A193)</f>
        <v/>
      </c>
      <c r="FN193" s="57">
        <f>IF($B193=$B192,$FN192,0)+$FM193</f>
        <v/>
      </c>
      <c r="FO193" s="57">
        <f>$FO192+$FM193</f>
        <v/>
      </c>
      <c r="FP193" s="62">
        <f>SUMIFS(tblSafety[Fatality],tblSafety[Date],$A193)</f>
        <v/>
      </c>
      <c r="FQ193" s="62">
        <f>IF($B193=$B192,$FQ192,0)+$FP193</f>
        <v/>
      </c>
      <c r="FR193" s="62">
        <f>$FR192+$FP193</f>
        <v/>
      </c>
      <c r="FS193" s="62">
        <f>SUMIFS(tblSafety[LTI],tblSafety[Date],$A193)</f>
        <v/>
      </c>
      <c r="FT193" s="62">
        <f>IF($B193=$B192,$FT192,0)+$FS193</f>
        <v/>
      </c>
      <c r="FU193" s="62">
        <f>$FU192+$FS193</f>
        <v/>
      </c>
      <c r="FV193" s="62">
        <f>SUMIFS(tblSafety[RWI],tblSafety[Date],$A193)</f>
        <v/>
      </c>
      <c r="FW193" s="62">
        <f>IF($B193=$B192,$FW192,0)+$FV193</f>
        <v/>
      </c>
      <c r="FX193" s="62">
        <f>$FX192+$FV193</f>
        <v/>
      </c>
      <c r="FY193" s="62">
        <f>SUMIFS(tblSafety[MTI],tblSafety[Date],$A193)</f>
        <v/>
      </c>
      <c r="FZ193" s="62">
        <f>IF($B193=$B192,$FZ192,0)+$FY193</f>
        <v/>
      </c>
      <c r="GA193" s="62">
        <f>$GA192+$FY193</f>
        <v/>
      </c>
      <c r="GB193" s="62">
        <f>SUMIFS(tblSafety[FAI],tblSafety[Date],$A193)</f>
        <v/>
      </c>
      <c r="GC193" s="62">
        <f>IF($B193=$B192,$GC192,0)+$GB193</f>
        <v/>
      </c>
      <c r="GD193" s="62">
        <f>$GD192+$GB193</f>
        <v/>
      </c>
      <c r="GE193" s="62">
        <f>SUMIFS(tblSafety[Recordables],tblSafety[Date],$A193)</f>
        <v/>
      </c>
      <c r="GF193" s="62">
        <f>IF($B193=$B192,$GF192,0)+$GE193</f>
        <v/>
      </c>
      <c r="GG193" s="62">
        <f>$GG192+$GE193</f>
        <v/>
      </c>
      <c r="GH193" s="62">
        <f>SUMIFS(tblSafety[Near_Miss],tblSafety[Date],$A193)</f>
        <v/>
      </c>
      <c r="GI193" s="62">
        <f>IF($B193=$B192,$GI192,0)+$GH193</f>
        <v/>
      </c>
      <c r="GJ193" s="62">
        <f>$GJ192+$GH193</f>
        <v/>
      </c>
      <c r="GK193" s="62">
        <f>SUMIFS(tblSafety[Hazard_Reports],tblSafety[Date],$A193)</f>
        <v/>
      </c>
      <c r="GL193" s="62">
        <f>IF($B193=$B192,$GL192,0)+$GK193</f>
        <v/>
      </c>
      <c r="GM193" s="62">
        <f>$GM192+$GK193</f>
        <v/>
      </c>
      <c r="GN193" s="62">
        <f>SUMIFS(tblSafety[HPI],tblSafety[Date],$A193)</f>
        <v/>
      </c>
      <c r="GO193" s="62">
        <f>IF($B193=$B192,$GO192,0)+$GN193</f>
        <v/>
      </c>
      <c r="GP193" s="62">
        <f>$GP192+$GN193</f>
        <v/>
      </c>
      <c r="GQ193" s="62">
        <f>SUMIFS(tblSafety[Env_Incidents],tblSafety[Date],$A193)</f>
        <v/>
      </c>
      <c r="GR193" s="62">
        <f>IF($B193=$B192,$GR192,0)+$GQ193</f>
        <v/>
      </c>
      <c r="GS193" s="62">
        <f>$GS192+$GQ193</f>
        <v/>
      </c>
      <c r="GT193" s="62">
        <f>SUMIFS(tblSafety[Community_Incidents],tblSafety[Date],$A193)</f>
        <v/>
      </c>
      <c r="GU193" s="62">
        <f>IF($B193=$B192,$GU192,0)+$GT193</f>
        <v/>
      </c>
      <c r="GV193" s="62">
        <f>$GV192+$GT193</f>
        <v/>
      </c>
      <c r="GW193" s="62">
        <f>SUMIFS(tblSafety[Vehicle_Incidents],tblSafety[Date],$A193)</f>
        <v/>
      </c>
      <c r="GX193" s="62">
        <f>IF($B193=$B192,$GX192,0)+$GW193</f>
        <v/>
      </c>
      <c r="GY193" s="62">
        <f>$GY192+$GW193</f>
        <v/>
      </c>
      <c r="GZ193" s="62">
        <f>SUMIFS(tblSafety[Toolbox_Talks],tblSafety[Date],$A193)</f>
        <v/>
      </c>
      <c r="HA193" s="62">
        <f>IF($B193=$B192,$HA192,0)+$GZ193</f>
        <v/>
      </c>
      <c r="HB193" s="62">
        <f>$HB192+$GZ193</f>
        <v/>
      </c>
      <c r="HC193" s="62">
        <f>SUMIFS(tblSafety[Inspections],tblSafety[Date],$A193)</f>
        <v/>
      </c>
      <c r="HD193" s="62">
        <f>IF($B193=$B192,$HD192,0)+$HC193</f>
        <v/>
      </c>
      <c r="HE193" s="62">
        <f>$HE192+$HC193</f>
        <v/>
      </c>
      <c r="HF193" s="56">
        <f>IFERROR((SUMIFS(tblSafety[Recordables],tblSafety[Date],"&gt;="&amp;EDATE($E193,-12),tblSafety[Date],"&lt;="&amp;$A193)+SUMIFS(tblSafetyHistory[Recordables],tblSafetyHistory[Month],"&gt;="&amp;EDATE($E193,-12),tblSafetyHistory[Month],"&lt;"&amp;cfg_YearStart))/(SUMIFS(tblSafety[Hours_Total],tblSafety[Date],"&gt;="&amp;EDATE($E193,-12),tblSafety[Date],"&lt;="&amp;$A193)+SUMIFS(tblSafetyHistory[Hours_Total],tblSafetyHistory[Month],"&gt;="&amp;EDATE($E193,-12),tblSafetyHistory[Month],"&lt;"&amp;cfg_YearStart))*1000000,"")</f>
        <v/>
      </c>
      <c r="HG193" s="56">
        <f>IFERROR((SUMIFS(tblSafety[LTI],tblSafety[Date],"&gt;="&amp;EDATE($E193,-12),tblSafety[Date],"&lt;="&amp;$A193)+SUMIFS(tblSafetyHistory[LTI],tblSafetyHistory[Month],"&gt;="&amp;EDATE($E193,-12),tblSafetyHistory[Month],"&lt;"&amp;cfg_YearStart))/(SUMIFS(tblSafety[Hours_Total],tblSafety[Date],"&gt;="&amp;EDATE($E193,-12),tblSafety[Date],"&lt;="&amp;$A193)+SUMIFS(tblSafetyHistory[Hours_Total],tblSafetyHistory[Month],"&gt;="&amp;EDATE($E193,-12),tblSafetyHistory[Month],"&lt;"&amp;cfg_YearStart))*1000000,"")</f>
        <v/>
      </c>
      <c r="HH193" s="62">
        <f>IF(MAX(N(cfg_PriorLTIDate),_xlfn.MAXIFS(tblSafety[Date],tblSafety[LTI],"&gt;0",tblSafety[Date],"&lt;="&amp;$A193))=0,"",$A193-MAX(N(cfg_PriorLTIDate),_xlfn.MAXIFS(tblSafety[Date],tblSafety[LTI],"&gt;0",tblSafety[Date],"&lt;="&amp;$A193)))</f>
        <v/>
      </c>
      <c r="HI193" s="55">
        <f>SUMIFS(tblBudget[Ore_Mined_t],tblBudget[Month],$E193)</f>
        <v/>
      </c>
      <c r="HJ193" s="55">
        <f>$HI193*$C193/$D193</f>
        <v/>
      </c>
      <c r="HK193" s="55">
        <f>SUMIFS(tblBudget[Ore_Mined_t],tblBudget[Month],"&lt;"&amp;$E193)+$HJ193</f>
        <v/>
      </c>
      <c r="HL193" s="55">
        <f>SUMIFS(tblBudget[Ore_oz],tblBudget[Month],$E193)</f>
        <v/>
      </c>
      <c r="HM193" s="55">
        <f>$HL193*$C193/$D193</f>
        <v/>
      </c>
      <c r="HN193" s="55">
        <f>SUMIFS(tblBudget[Ore_oz],tblBudget[Month],"&lt;"&amp;$E193)+$HM193</f>
        <v/>
      </c>
      <c r="HO193" s="56">
        <f>IFERROR(IF(($HI193)&gt;0,($HL193*cfg_TroyOz)/($HI193),""),"")</f>
        <v/>
      </c>
      <c r="HP193" s="56">
        <f>IFERROR(IF(($HJ193)&gt;0,($HM193*cfg_TroyOz)/($HJ193),""),"")</f>
        <v/>
      </c>
      <c r="HQ193" s="56">
        <f>IFERROR(IF(($HK193)&gt;0,($HN193*cfg_TroyOz)/($HK193),""),"")</f>
        <v/>
      </c>
      <c r="HR193" s="55">
        <f>SUMIFS(tblBudget[Waste_t],tblBudget[Month],$E193)</f>
        <v/>
      </c>
      <c r="HS193" s="55">
        <f>$HR193*$C193/$D193</f>
        <v/>
      </c>
      <c r="HT193" s="55">
        <f>SUMIFS(tblBudget[Waste_t],tblBudget[Month],"&lt;"&amp;$E193)+$HS193</f>
        <v/>
      </c>
      <c r="HU193" s="55">
        <f>SUMIFS(tblBudget[TMM_t],tblBudget[Month],$E193)</f>
        <v/>
      </c>
      <c r="HV193" s="55">
        <f>$HU193*$C193/$D193</f>
        <v/>
      </c>
      <c r="HW193" s="55">
        <f>SUMIFS(tblBudget[TMM_t],tblBudget[Month],"&lt;"&amp;$E193)+$HV193</f>
        <v/>
      </c>
      <c r="HX193" s="56">
        <f>IFERROR(IF(($HI193)&gt;0,($HR193)/($HI193),""),"")</f>
        <v/>
      </c>
      <c r="HY193" s="56">
        <f>IFERROR(IF(($HJ193)&gt;0,($HS193)/($HJ193),""),"")</f>
        <v/>
      </c>
      <c r="HZ193" s="56">
        <f>IFERROR(IF(($HK193)&gt;0,($HT193)/($HK193),""),"")</f>
        <v/>
      </c>
      <c r="IA193" s="55">
        <f>SUMIFS(tblBudget[Drill_m],tblBudget[Month],$E193)</f>
        <v/>
      </c>
      <c r="IB193" s="55">
        <f>$IA193*$C193/$D193</f>
        <v/>
      </c>
      <c r="IC193" s="55">
        <f>SUMIFS(tblBudget[Drill_m],tblBudget[Month],"&lt;"&amp;$E193)+$IB193</f>
        <v/>
      </c>
      <c r="ID193" s="55">
        <f>SUMIFS(tblBudget[Diesel_L],tblBudget[Month],$E193)</f>
        <v/>
      </c>
      <c r="IE193" s="55">
        <f>$ID193*$C193/$D193</f>
        <v/>
      </c>
      <c r="IF193" s="55">
        <f>SUMIFS(tblBudget[Diesel_L],tblBudget[Month],"&lt;"&amp;$E193)+$IE193</f>
        <v/>
      </c>
      <c r="IG193" s="55">
        <f>SUMIFS(tblBudget[Milled_t],tblBudget[Month],$E193)</f>
        <v/>
      </c>
      <c r="IH193" s="55">
        <f>$IG193*$C193/$D193</f>
        <v/>
      </c>
      <c r="II193" s="55">
        <f>SUMIFS(tblBudget[Milled_t],tblBudget[Month],"&lt;"&amp;$E193)+$IH193</f>
        <v/>
      </c>
      <c r="IJ193" s="55">
        <f>SUMIFS(tblBudget[Feed_oz],tblBudget[Month],$E193)</f>
        <v/>
      </c>
      <c r="IK193" s="55">
        <f>$IJ193*$C193/$D193</f>
        <v/>
      </c>
      <c r="IL193" s="55">
        <f>SUMIFS(tblBudget[Feed_oz],tblBudget[Month],"&lt;"&amp;$E193)+$IK193</f>
        <v/>
      </c>
      <c r="IM193" s="55">
        <f>SUMIFS(tblBudget[Recovered_oz],tblBudget[Month],$E193)</f>
        <v/>
      </c>
      <c r="IN193" s="55">
        <f>$IM193*$C193/$D193</f>
        <v/>
      </c>
      <c r="IO193" s="55">
        <f>SUMIFS(tblBudget[Recovered_oz],tblBudget[Month],"&lt;"&amp;$E193)+$IN193</f>
        <v/>
      </c>
      <c r="IP193" s="56">
        <f>IFERROR(IF(($IG193)&gt;0,($IJ193*cfg_TroyOz)/($IG193),""),"")</f>
        <v/>
      </c>
      <c r="IQ193" s="56">
        <f>IFERROR(IF(($IH193)&gt;0,($IK193*cfg_TroyOz)/($IH193),""),"")</f>
        <v/>
      </c>
      <c r="IR193" s="56">
        <f>IFERROR(IF(($II193)&gt;0,($IL193*cfg_TroyOz)/($II193),""),"")</f>
        <v/>
      </c>
      <c r="IS193" s="67">
        <f>IFERROR(IF(($IJ193)&gt;0,($IM193)/($IJ193),""),"")</f>
        <v/>
      </c>
      <c r="IT193" s="67">
        <f>IFERROR(IF(($IK193)&gt;0,($IN193)/($IK193),""),"")</f>
        <v/>
      </c>
      <c r="IU193" s="67">
        <f>IFERROR(IF(($IL193)&gt;0,($IO193)/($IL193),""),"")</f>
        <v/>
      </c>
      <c r="IV193" s="55">
        <f>SUMIFS(tblBudget[Gold_Poured_oz],tblBudget[Month],$E193)</f>
        <v/>
      </c>
      <c r="IW193" s="55">
        <f>$IV193*$C193/$D193</f>
        <v/>
      </c>
      <c r="IX193" s="55">
        <f>SUMIFS(tblBudget[Gold_Poured_oz],tblBudget[Month],"&lt;"&amp;$E193)+$IW193</f>
        <v/>
      </c>
      <c r="IY193" s="57">
        <f>SUMIFS(tblBudget[Hours_Worked],tblBudget[Month],$E193)</f>
        <v/>
      </c>
      <c r="IZ193" s="57">
        <f>$IY193*$C193/$D193</f>
        <v/>
      </c>
      <c r="JA193" s="57">
        <f>SUMIFS(tblBudget[Hours_Worked],tblBudget[Month],"&lt;"&amp;$E193)+$IZ193</f>
        <v/>
      </c>
    </row>
    <row r="194">
      <c r="A194" s="54" t="n">
        <v>46215</v>
      </c>
      <c r="B194">
        <f>MONTH($A194)</f>
        <v/>
      </c>
      <c r="C194">
        <f>DAY($A194)</f>
        <v/>
      </c>
      <c r="D194">
        <f>DAY(EOMONTH($A194,0))</f>
        <v/>
      </c>
      <c r="E194" s="54">
        <f>DATE(YEAR($A194),MONTH($A194),1)</f>
        <v/>
      </c>
      <c r="F194" s="55">
        <f>SUMIFS(tblMovement[Tonnes_t],tblMovement[Date],$A194,tblMovement[Is_Ore],1,tblMovement[Source_Type],"Pit")</f>
        <v/>
      </c>
      <c r="G194" s="55">
        <f>IF($B194=$B193,$G193,0)+$F194</f>
        <v/>
      </c>
      <c r="H194" s="55">
        <f>$H193+$F194</f>
        <v/>
      </c>
      <c r="I194" s="55">
        <f>SUMIFS(tblMovement[Ore_oz],tblMovement[Date],$A194,tblMovement[Source_Type],"Pit")</f>
        <v/>
      </c>
      <c r="J194" s="55">
        <f>IF($B194=$B193,$J193,0)+$I194</f>
        <v/>
      </c>
      <c r="K194" s="55">
        <f>$K193+$I194</f>
        <v/>
      </c>
      <c r="L194" s="56">
        <f>IFERROR(IF(($F194)&gt;0,($I194*cfg_TroyOz)/($F194),""),"")</f>
        <v/>
      </c>
      <c r="M194" s="56">
        <f>IFERROR(IF(($G194)&gt;0,($J194*cfg_TroyOz)/($G194),""),"")</f>
        <v/>
      </c>
      <c r="N194" s="56">
        <f>IFERROR(IF(($H194)&gt;0,($K194*cfg_TroyOz)/($H194),""),"")</f>
        <v/>
      </c>
      <c r="O194" s="55">
        <f>SUMIFS(tblMovement[Tonnes_t],tblMovement[Date],$A194,tblMovement[Is_Ore],0,tblMovement[Source_Type],"Pit")</f>
        <v/>
      </c>
      <c r="P194" s="55">
        <f>IF($B194=$B193,$P193,0)+$O194</f>
        <v/>
      </c>
      <c r="Q194" s="55">
        <f>$Q193+$O194</f>
        <v/>
      </c>
      <c r="R194" s="55">
        <f>$F194+$O194</f>
        <v/>
      </c>
      <c r="S194" s="55">
        <f>IF($B194=$B193,$S193,0)+$R194</f>
        <v/>
      </c>
      <c r="T194" s="55">
        <f>$T193+$R194</f>
        <v/>
      </c>
      <c r="U194" s="56">
        <f>IFERROR(IF(($F194)&gt;0,($O194)/($F194),""),"")</f>
        <v/>
      </c>
      <c r="V194" s="56">
        <f>IFERROR(IF(($G194)&gt;0,($P194)/($G194),""),"")</f>
        <v/>
      </c>
      <c r="W194" s="56">
        <f>IFERROR(IF(($H194)&gt;0,($Q194)/($H194),""),"")</f>
        <v/>
      </c>
      <c r="X194" s="55">
        <f>SUMIFS(tblMovement[Tonnes_t],tblMovement[Date],$A194,tblMovement[Source_Type],"Stockpile")</f>
        <v/>
      </c>
      <c r="Y194" s="55">
        <f>IF($B194=$B193,$Y193,0)+$X194</f>
        <v/>
      </c>
      <c r="Z194" s="55">
        <f>$Z193+$X194</f>
        <v/>
      </c>
      <c r="AA194" s="55">
        <f>SUMIFS(tblMiningDaily[Drill_m],tblMiningDaily[Date],$A194)</f>
        <v/>
      </c>
      <c r="AB194" s="55">
        <f>IF($B194=$B193,$AB193,0)+$AA194</f>
        <v/>
      </c>
      <c r="AC194" s="55">
        <f>$AC193+$AA194</f>
        <v/>
      </c>
      <c r="AD194" s="55">
        <f>SUMIFS(tblMiningDaily[Blast_t],tblMiningDaily[Date],$A194)</f>
        <v/>
      </c>
      <c r="AE194" s="55">
        <f>IF($B194=$B193,$AE193,0)+$AD194</f>
        <v/>
      </c>
      <c r="AF194" s="55">
        <f>$AF193+$AD194</f>
        <v/>
      </c>
      <c r="AG194" s="55">
        <f>SUMIFS(tblMiningDaily[Explosives_kg],tblMiningDaily[Date],$A194)</f>
        <v/>
      </c>
      <c r="AH194" s="55">
        <f>IF($B194=$B193,$AH193,0)+$AG194</f>
        <v/>
      </c>
      <c r="AI194" s="55">
        <f>$AI193+$AG194</f>
        <v/>
      </c>
      <c r="AJ194" s="56">
        <f>IFERROR(IF(($AD194)&gt;0,($AG194)/($AD194),""),"")</f>
        <v/>
      </c>
      <c r="AK194" s="56">
        <f>IFERROR(IF(($AE194)&gt;0,($AH194)/($AE194),""),"")</f>
        <v/>
      </c>
      <c r="AL194" s="56">
        <f>IFERROR(IF(($AF194)&gt;0,($AI194)/($AF194),""),"")</f>
        <v/>
      </c>
      <c r="AM194" s="55">
        <f>SUMIFS(tblMiningDaily[Diesel_L],tblMiningDaily[Date],$A194)</f>
        <v/>
      </c>
      <c r="AN194" s="55">
        <f>IF($B194=$B193,$AN193,0)+$AM194</f>
        <v/>
      </c>
      <c r="AO194" s="55">
        <f>$AO193+$AM194</f>
        <v/>
      </c>
      <c r="AP194" s="55">
        <f>SUMIFS(tblMiningDaily[Dewatering_m3],tblMiningDaily[Date],$A194)</f>
        <v/>
      </c>
      <c r="AQ194" s="55">
        <f>IF($B194=$B193,$AQ193,0)+$AP194</f>
        <v/>
      </c>
      <c r="AR194" s="55">
        <f>$AR193+$AP194</f>
        <v/>
      </c>
      <c r="AS194" s="57">
        <f>SUMIFS(tblFleet[Calendar_h],tblFleet[Date],$A194,tblFleet[Equipment_Class],"Excavator")</f>
        <v/>
      </c>
      <c r="AT194" s="57">
        <f>IF($B194=$B193,$AT193,0)+$AS194</f>
        <v/>
      </c>
      <c r="AU194" s="57">
        <f>$AU193+$AS194</f>
        <v/>
      </c>
      <c r="AV194" s="57">
        <f>SUMIFS(tblFleet[Available_h],tblFleet[Date],$A194,tblFleet[Equipment_Class],"Excavator")</f>
        <v/>
      </c>
      <c r="AW194" s="57">
        <f>IF($B194=$B193,$AW193,0)+$AV194</f>
        <v/>
      </c>
      <c r="AX194" s="57">
        <f>$AX193+$AV194</f>
        <v/>
      </c>
      <c r="AY194" s="57">
        <f>SUMIFS(tblFleet[Operating_h],tblFleet[Date],$A194,tblFleet[Equipment_Class],"Excavator")</f>
        <v/>
      </c>
      <c r="AZ194" s="57">
        <f>IF($B194=$B193,$AZ193,0)+$AY194</f>
        <v/>
      </c>
      <c r="BA194" s="57">
        <f>$BA193+$AY194</f>
        <v/>
      </c>
      <c r="BB194" s="67">
        <f>IFERROR(IF(($AS194)&gt;0,($AV194)/($AS194),""),"")</f>
        <v/>
      </c>
      <c r="BC194" s="67">
        <f>IFERROR(IF(($AT194)&gt;0,($AW194)/($AT194),""),"")</f>
        <v/>
      </c>
      <c r="BD194" s="67">
        <f>IFERROR(IF(($AU194)&gt;0,($AX194)/($AU194),""),"")</f>
        <v/>
      </c>
      <c r="BE194" s="67">
        <f>IFERROR(IF(($AV194)&gt;0,($AY194)/($AV194),""),"")</f>
        <v/>
      </c>
      <c r="BF194" s="67">
        <f>IFERROR(IF(($AW194)&gt;0,($AZ194)/($AW194),""),"")</f>
        <v/>
      </c>
      <c r="BG194" s="67">
        <f>IFERROR(IF(($AX194)&gt;0,($BA194)/($AX194),""),"")</f>
        <v/>
      </c>
      <c r="BH194" s="57">
        <f>SUMIFS(tblFleet[Calendar_h],tblFleet[Date],$A194,tblFleet[Equipment_Class],"Haul Truck")</f>
        <v/>
      </c>
      <c r="BI194" s="57">
        <f>IF($B194=$B193,$BI193,0)+$BH194</f>
        <v/>
      </c>
      <c r="BJ194" s="57">
        <f>$BJ193+$BH194</f>
        <v/>
      </c>
      <c r="BK194" s="57">
        <f>SUMIFS(tblFleet[Available_h],tblFleet[Date],$A194,tblFleet[Equipment_Class],"Haul Truck")</f>
        <v/>
      </c>
      <c r="BL194" s="57">
        <f>IF($B194=$B193,$BL193,0)+$BK194</f>
        <v/>
      </c>
      <c r="BM194" s="57">
        <f>$BM193+$BK194</f>
        <v/>
      </c>
      <c r="BN194" s="57">
        <f>SUMIFS(tblFleet[Operating_h],tblFleet[Date],$A194,tblFleet[Equipment_Class],"Haul Truck")</f>
        <v/>
      </c>
      <c r="BO194" s="57">
        <f>IF($B194=$B193,$BO193,0)+$BN194</f>
        <v/>
      </c>
      <c r="BP194" s="57">
        <f>$BP193+$BN194</f>
        <v/>
      </c>
      <c r="BQ194" s="67">
        <f>IFERROR(IF(($BH194)&gt;0,($BK194)/($BH194),""),"")</f>
        <v/>
      </c>
      <c r="BR194" s="67">
        <f>IFERROR(IF(($BI194)&gt;0,($BL194)/($BI194),""),"")</f>
        <v/>
      </c>
      <c r="BS194" s="67">
        <f>IFERROR(IF(($BJ194)&gt;0,($BM194)/($BJ194),""),"")</f>
        <v/>
      </c>
      <c r="BT194" s="67">
        <f>IFERROR(IF(($BK194)&gt;0,($BN194)/($BK194),""),"")</f>
        <v/>
      </c>
      <c r="BU194" s="67">
        <f>IFERROR(IF(($BL194)&gt;0,($BO194)/($BL194),""),"")</f>
        <v/>
      </c>
      <c r="BV194" s="67">
        <f>IFERROR(IF(($BM194)&gt;0,($BP194)/($BM194),""),"")</f>
        <v/>
      </c>
      <c r="BW194" s="55">
        <f>SUMIFS(tblPlant[Crushed_t],tblPlant[Date],$A194)</f>
        <v/>
      </c>
      <c r="BX194" s="55">
        <f>IF($B194=$B193,$BX193,0)+$BW194</f>
        <v/>
      </c>
      <c r="BY194" s="55">
        <f>$BY193+$BW194</f>
        <v/>
      </c>
      <c r="BZ194" s="55">
        <f>SUMIFS(tblPlant[Milled_t],tblPlant[Date],$A194)</f>
        <v/>
      </c>
      <c r="CA194" s="55">
        <f>IF($B194=$B193,$CA193,0)+$BZ194</f>
        <v/>
      </c>
      <c r="CB194" s="55">
        <f>$CB193+$BZ194</f>
        <v/>
      </c>
      <c r="CC194" s="55">
        <f>SUMIFS(tblPlant[Feed_oz],tblPlant[Date],$A194)</f>
        <v/>
      </c>
      <c r="CD194" s="55">
        <f>IF($B194=$B193,$CD193,0)+$CC194</f>
        <v/>
      </c>
      <c r="CE194" s="55">
        <f>$CE193+$CC194</f>
        <v/>
      </c>
      <c r="CF194" s="55">
        <f>SUMIFS(tblPlant[Tails_oz],tblPlant[Date],$A194)</f>
        <v/>
      </c>
      <c r="CG194" s="55">
        <f>IF($B194=$B193,$CG193,0)+$CF194</f>
        <v/>
      </c>
      <c r="CH194" s="55">
        <f>$CH193+$CF194</f>
        <v/>
      </c>
      <c r="CI194" s="55">
        <f>SUMIFS(tblPlant[Recovered_oz],tblPlant[Date],$A194)</f>
        <v/>
      </c>
      <c r="CJ194" s="55">
        <f>IF($B194=$B193,$CJ193,0)+$CI194</f>
        <v/>
      </c>
      <c r="CK194" s="55">
        <f>$CK193+$CI194</f>
        <v/>
      </c>
      <c r="CL194" s="56">
        <f>IFERROR(IF(($BZ194)&gt;0,($CC194*cfg_TroyOz)/($BZ194),""),"")</f>
        <v/>
      </c>
      <c r="CM194" s="56">
        <f>IFERROR(IF(($CA194)&gt;0,($CD194*cfg_TroyOz)/($CA194),""),"")</f>
        <v/>
      </c>
      <c r="CN194" s="56">
        <f>IFERROR(IF(($CB194)&gt;0,($CE194*cfg_TroyOz)/($CB194),""),"")</f>
        <v/>
      </c>
      <c r="CO194" s="56">
        <f>IFERROR(IF(($BZ194)&gt;0,($CF194*cfg_TroyOz)/($BZ194),""),"")</f>
        <v/>
      </c>
      <c r="CP194" s="56">
        <f>IFERROR(IF(($CA194)&gt;0,($CG194*cfg_TroyOz)/($CA194),""),"")</f>
        <v/>
      </c>
      <c r="CQ194" s="56">
        <f>IFERROR(IF(($CB194)&gt;0,($CH194*cfg_TroyOz)/($CB194),""),"")</f>
        <v/>
      </c>
      <c r="CR194" s="67">
        <f>IFERROR(IF(($CC194)&gt;0,($CI194)/($CC194),""),"")</f>
        <v/>
      </c>
      <c r="CS194" s="67">
        <f>IFERROR(IF(($CD194)&gt;0,($CJ194)/($CD194),""),"")</f>
        <v/>
      </c>
      <c r="CT194" s="67">
        <f>IFERROR(IF(($CE194)&gt;0,($CK194)/($CE194),""),"")</f>
        <v/>
      </c>
      <c r="CU194" s="55">
        <f>SUMIFS(tblPlant[Gravity_Gold_oz],tblPlant[Date],$A194)</f>
        <v/>
      </c>
      <c r="CV194" s="55">
        <f>IF($B194=$B193,$CV193,0)+$CU194</f>
        <v/>
      </c>
      <c r="CW194" s="55">
        <f>$CW193+$CU194</f>
        <v/>
      </c>
      <c r="CX194" s="55">
        <f>SUMIFS(tblPlant[Gold_Poured_oz],tblPlant[Date],$A194)</f>
        <v/>
      </c>
      <c r="CY194" s="55">
        <f>IF($B194=$B193,$CY193,0)+$CX194</f>
        <v/>
      </c>
      <c r="CZ194" s="55">
        <f>$CZ193+$CX194</f>
        <v/>
      </c>
      <c r="DA194" s="57">
        <f>SUMIFS(tblPlant[Mill_Run_h],tblPlant[Date],$A194)</f>
        <v/>
      </c>
      <c r="DB194" s="57">
        <f>IF($B194=$B193,$DB193,0)+$DA194</f>
        <v/>
      </c>
      <c r="DC194" s="57">
        <f>$DC193+$DA194</f>
        <v/>
      </c>
      <c r="DD194" s="57">
        <f>SUMIFS(tblPlant[Mill_Planned_Maint_h],tblPlant[Date],$A194)</f>
        <v/>
      </c>
      <c r="DE194" s="57">
        <f>IF($B194=$B193,$DE193,0)+$DD194</f>
        <v/>
      </c>
      <c r="DF194" s="57">
        <f>$DF193+$DD194</f>
        <v/>
      </c>
      <c r="DG194" s="57">
        <f>SUMIFS(tblPlant[Mill_Unplanned_Down_h],tblPlant[Date],$A194)</f>
        <v/>
      </c>
      <c r="DH194" s="57">
        <f>IF($B194=$B193,$DH193,0)+$DG194</f>
        <v/>
      </c>
      <c r="DI194" s="57">
        <f>$DI193+$DG194</f>
        <v/>
      </c>
      <c r="DJ194" s="57">
        <f>COUNTIFS(tblPlant[Date],$A194,tblPlant[Mill_Run_h],"&lt;&gt;")*24</f>
        <v/>
      </c>
      <c r="DK194" s="57">
        <f>IF($B194=$B193,$DK193,0)+$DJ194</f>
        <v/>
      </c>
      <c r="DL194" s="57">
        <f>$DL193+$DJ194</f>
        <v/>
      </c>
      <c r="DM194" s="57">
        <f>SUMIFS(tblPlant[Crusher_Run_h],tblPlant[Date],$A194)</f>
        <v/>
      </c>
      <c r="DN194" s="57">
        <f>IF($B194=$B193,$DN193,0)+$DM194</f>
        <v/>
      </c>
      <c r="DO194" s="57">
        <f>$DO193+$DM194</f>
        <v/>
      </c>
      <c r="DP194" s="55">
        <f>IFERROR(IF(($DA194)&gt;0,($BZ194)/($DA194),""),"")</f>
        <v/>
      </c>
      <c r="DQ194" s="55">
        <f>IFERROR(IF(($DB194)&gt;0,($CA194)/($DB194),""),"")</f>
        <v/>
      </c>
      <c r="DR194" s="55">
        <f>IFERROR(IF(($DC194)&gt;0,($CB194)/($DC194),""),"")</f>
        <v/>
      </c>
      <c r="DS194" s="67">
        <f>IFERROR(IF(($DJ194)&gt;0,($DJ194-$DD194-$DG194)/($DJ194),""),"")</f>
        <v/>
      </c>
      <c r="DT194" s="67">
        <f>IFERROR(IF(($DK194)&gt;0,($DK194-$DE194-$DH194)/($DK194),""),"")</f>
        <v/>
      </c>
      <c r="DU194" s="67">
        <f>IFERROR(IF(($DL194)&gt;0,($DL194-$DF194-$DI194)/($DL194),""),"")</f>
        <v/>
      </c>
      <c r="DV194" s="67">
        <f>IFERROR(IF(($DJ194-$DD194-$DG194)&gt;0,($DA194)/($DJ194-$DD194-$DG194),""),"")</f>
        <v/>
      </c>
      <c r="DW194" s="67">
        <f>IFERROR(IF(($DK194-$DE194-$DH194)&gt;0,($DB194)/($DK194-$DE194-$DH194),""),"")</f>
        <v/>
      </c>
      <c r="DX194" s="67">
        <f>IFERROR(IF(($DL194-$DF194-$DI194)&gt;0,($DC194)/($DL194-$DF194-$DI194),""),"")</f>
        <v/>
      </c>
      <c r="DY194" s="55">
        <f>SUMIFS(tblPlant[Cyanide_kg],tblPlant[Date],$A194)</f>
        <v/>
      </c>
      <c r="DZ194" s="55">
        <f>IF($B194=$B193,$DZ193,0)+$DY194</f>
        <v/>
      </c>
      <c r="EA194" s="55">
        <f>$EA193+$DY194</f>
        <v/>
      </c>
      <c r="EB194" s="55">
        <f>SUMIFS(tblPlant[Lime_kg],tblPlant[Date],$A194)</f>
        <v/>
      </c>
      <c r="EC194" s="55">
        <f>IF($B194=$B193,$EC193,0)+$EB194</f>
        <v/>
      </c>
      <c r="ED194" s="55">
        <f>$ED193+$EB194</f>
        <v/>
      </c>
      <c r="EE194" s="55">
        <f>SUMIFS(tblPlant[Grinding_Media_kg],tblPlant[Date],$A194)</f>
        <v/>
      </c>
      <c r="EF194" s="55">
        <f>IF($B194=$B193,$EF193,0)+$EE194</f>
        <v/>
      </c>
      <c r="EG194" s="55">
        <f>$EG193+$EE194</f>
        <v/>
      </c>
      <c r="EH194" s="55">
        <f>SUMIFS(tblPlant[Power_kWh],tblPlant[Date],$A194)</f>
        <v/>
      </c>
      <c r="EI194" s="55">
        <f>IF($B194=$B193,$EI193,0)+$EH194</f>
        <v/>
      </c>
      <c r="EJ194" s="55">
        <f>$EJ193+$EH194</f>
        <v/>
      </c>
      <c r="EK194" s="55">
        <f>SUMIFS(tblPlant[Raw_Water_m3],tblPlant[Date],$A194)</f>
        <v/>
      </c>
      <c r="EL194" s="55">
        <f>IF($B194=$B193,$EL193,0)+$EK194</f>
        <v/>
      </c>
      <c r="EM194" s="55">
        <f>$EM193+$EK194</f>
        <v/>
      </c>
      <c r="EN194" s="56">
        <f>IFERROR(IF(($BZ194)&gt;0,($DY194)/($BZ194),""),"")</f>
        <v/>
      </c>
      <c r="EO194" s="56">
        <f>IFERROR(IF(($CA194)&gt;0,($DZ194)/($CA194),""),"")</f>
        <v/>
      </c>
      <c r="EP194" s="56">
        <f>IFERROR(IF(($CB194)&gt;0,($EA194)/($CB194),""),"")</f>
        <v/>
      </c>
      <c r="EQ194" s="56">
        <f>IFERROR(IF(($BZ194)&gt;0,($EB194)/($BZ194),""),"")</f>
        <v/>
      </c>
      <c r="ER194" s="56">
        <f>IFERROR(IF(($CA194)&gt;0,($EC194)/($CA194),""),"")</f>
        <v/>
      </c>
      <c r="ES194" s="56">
        <f>IFERROR(IF(($CB194)&gt;0,($ED194)/($CB194),""),"")</f>
        <v/>
      </c>
      <c r="ET194" s="56">
        <f>IFERROR(IF(($BZ194)&gt;0,($EE194)/($BZ194),""),"")</f>
        <v/>
      </c>
      <c r="EU194" s="56">
        <f>IFERROR(IF(($CA194)&gt;0,($EF194)/($CA194),""),"")</f>
        <v/>
      </c>
      <c r="EV194" s="56">
        <f>IFERROR(IF(($CB194)&gt;0,($EG194)/($CB194),""),"")</f>
        <v/>
      </c>
      <c r="EW194" s="76">
        <f>IFERROR(IF(($BZ194)&gt;0,($EH194)/($BZ194),""),"")</f>
        <v/>
      </c>
      <c r="EX194" s="76">
        <f>IFERROR(IF(($CA194)&gt;0,($EI194)/($CA194),""),"")</f>
        <v/>
      </c>
      <c r="EY194" s="76">
        <f>IFERROR(IF(($CB194)&gt;0,($EJ194)/($CB194),""),"")</f>
        <v/>
      </c>
      <c r="EZ194" s="56">
        <f>IFERROR(IF(($BZ194)&gt;0,($EK194)/($BZ194),""),"")</f>
        <v/>
      </c>
      <c r="FA194" s="56">
        <f>IFERROR(IF(($CA194)&gt;0,($EL194)/($CA194),""),"")</f>
        <v/>
      </c>
      <c r="FB194" s="56">
        <f>IFERROR(IF(($CB194)&gt;0,($EM194)/($CB194),""),"")</f>
        <v/>
      </c>
      <c r="FC194" s="55">
        <f>IF(SUMIFS(tblPlant[GIC_oz],tblPlant[Date],$A194)&gt;0,SUMIFS(tblPlant[GIC_oz],tblPlant[Date],$A194),"")</f>
        <v/>
      </c>
      <c r="FD194" s="55">
        <f>SUMIFS(tblGold[Gold_oz],tblGold[Date],$A194,tblGold[Type],"Shipment")</f>
        <v/>
      </c>
      <c r="FE194" s="55">
        <f>IF($B194=$B193,$FE193,0)+$FD194</f>
        <v/>
      </c>
      <c r="FF194" s="55">
        <f>$FF193+$FD194</f>
        <v/>
      </c>
      <c r="FG194" s="55">
        <f>SUMIFS(tblGold[Gold_oz],tblGold[Date],$A194,tblGold[Type],"Sale")</f>
        <v/>
      </c>
      <c r="FH194" s="55">
        <f>IF($B194=$B193,$FH193,0)+$FG194</f>
        <v/>
      </c>
      <c r="FI194" s="55">
        <f>$FI193+$FG194</f>
        <v/>
      </c>
      <c r="FJ194" s="55">
        <f>SUMIFS(tblGold[Dore_kg],tblGold[Date],$A194,tblGold[Type],"Shipment")</f>
        <v/>
      </c>
      <c r="FK194" s="55">
        <f>IF($B194=$B193,$FK193,0)+$FJ194</f>
        <v/>
      </c>
      <c r="FL194" s="55">
        <f>$FL193+$FJ194</f>
        <v/>
      </c>
      <c r="FM194" s="57">
        <f>SUMIFS(tblSafety[Hours_Total],tblSafety[Date],$A194)</f>
        <v/>
      </c>
      <c r="FN194" s="57">
        <f>IF($B194=$B193,$FN193,0)+$FM194</f>
        <v/>
      </c>
      <c r="FO194" s="57">
        <f>$FO193+$FM194</f>
        <v/>
      </c>
      <c r="FP194" s="62">
        <f>SUMIFS(tblSafety[Fatality],tblSafety[Date],$A194)</f>
        <v/>
      </c>
      <c r="FQ194" s="62">
        <f>IF($B194=$B193,$FQ193,0)+$FP194</f>
        <v/>
      </c>
      <c r="FR194" s="62">
        <f>$FR193+$FP194</f>
        <v/>
      </c>
      <c r="FS194" s="62">
        <f>SUMIFS(tblSafety[LTI],tblSafety[Date],$A194)</f>
        <v/>
      </c>
      <c r="FT194" s="62">
        <f>IF($B194=$B193,$FT193,0)+$FS194</f>
        <v/>
      </c>
      <c r="FU194" s="62">
        <f>$FU193+$FS194</f>
        <v/>
      </c>
      <c r="FV194" s="62">
        <f>SUMIFS(tblSafety[RWI],tblSafety[Date],$A194)</f>
        <v/>
      </c>
      <c r="FW194" s="62">
        <f>IF($B194=$B193,$FW193,0)+$FV194</f>
        <v/>
      </c>
      <c r="FX194" s="62">
        <f>$FX193+$FV194</f>
        <v/>
      </c>
      <c r="FY194" s="62">
        <f>SUMIFS(tblSafety[MTI],tblSafety[Date],$A194)</f>
        <v/>
      </c>
      <c r="FZ194" s="62">
        <f>IF($B194=$B193,$FZ193,0)+$FY194</f>
        <v/>
      </c>
      <c r="GA194" s="62">
        <f>$GA193+$FY194</f>
        <v/>
      </c>
      <c r="GB194" s="62">
        <f>SUMIFS(tblSafety[FAI],tblSafety[Date],$A194)</f>
        <v/>
      </c>
      <c r="GC194" s="62">
        <f>IF($B194=$B193,$GC193,0)+$GB194</f>
        <v/>
      </c>
      <c r="GD194" s="62">
        <f>$GD193+$GB194</f>
        <v/>
      </c>
      <c r="GE194" s="62">
        <f>SUMIFS(tblSafety[Recordables],tblSafety[Date],$A194)</f>
        <v/>
      </c>
      <c r="GF194" s="62">
        <f>IF($B194=$B193,$GF193,0)+$GE194</f>
        <v/>
      </c>
      <c r="GG194" s="62">
        <f>$GG193+$GE194</f>
        <v/>
      </c>
      <c r="GH194" s="62">
        <f>SUMIFS(tblSafety[Near_Miss],tblSafety[Date],$A194)</f>
        <v/>
      </c>
      <c r="GI194" s="62">
        <f>IF($B194=$B193,$GI193,0)+$GH194</f>
        <v/>
      </c>
      <c r="GJ194" s="62">
        <f>$GJ193+$GH194</f>
        <v/>
      </c>
      <c r="GK194" s="62">
        <f>SUMIFS(tblSafety[Hazard_Reports],tblSafety[Date],$A194)</f>
        <v/>
      </c>
      <c r="GL194" s="62">
        <f>IF($B194=$B193,$GL193,0)+$GK194</f>
        <v/>
      </c>
      <c r="GM194" s="62">
        <f>$GM193+$GK194</f>
        <v/>
      </c>
      <c r="GN194" s="62">
        <f>SUMIFS(tblSafety[HPI],tblSafety[Date],$A194)</f>
        <v/>
      </c>
      <c r="GO194" s="62">
        <f>IF($B194=$B193,$GO193,0)+$GN194</f>
        <v/>
      </c>
      <c r="GP194" s="62">
        <f>$GP193+$GN194</f>
        <v/>
      </c>
      <c r="GQ194" s="62">
        <f>SUMIFS(tblSafety[Env_Incidents],tblSafety[Date],$A194)</f>
        <v/>
      </c>
      <c r="GR194" s="62">
        <f>IF($B194=$B193,$GR193,0)+$GQ194</f>
        <v/>
      </c>
      <c r="GS194" s="62">
        <f>$GS193+$GQ194</f>
        <v/>
      </c>
      <c r="GT194" s="62">
        <f>SUMIFS(tblSafety[Community_Incidents],tblSafety[Date],$A194)</f>
        <v/>
      </c>
      <c r="GU194" s="62">
        <f>IF($B194=$B193,$GU193,0)+$GT194</f>
        <v/>
      </c>
      <c r="GV194" s="62">
        <f>$GV193+$GT194</f>
        <v/>
      </c>
      <c r="GW194" s="62">
        <f>SUMIFS(tblSafety[Vehicle_Incidents],tblSafety[Date],$A194)</f>
        <v/>
      </c>
      <c r="GX194" s="62">
        <f>IF($B194=$B193,$GX193,0)+$GW194</f>
        <v/>
      </c>
      <c r="GY194" s="62">
        <f>$GY193+$GW194</f>
        <v/>
      </c>
      <c r="GZ194" s="62">
        <f>SUMIFS(tblSafety[Toolbox_Talks],tblSafety[Date],$A194)</f>
        <v/>
      </c>
      <c r="HA194" s="62">
        <f>IF($B194=$B193,$HA193,0)+$GZ194</f>
        <v/>
      </c>
      <c r="HB194" s="62">
        <f>$HB193+$GZ194</f>
        <v/>
      </c>
      <c r="HC194" s="62">
        <f>SUMIFS(tblSafety[Inspections],tblSafety[Date],$A194)</f>
        <v/>
      </c>
      <c r="HD194" s="62">
        <f>IF($B194=$B193,$HD193,0)+$HC194</f>
        <v/>
      </c>
      <c r="HE194" s="62">
        <f>$HE193+$HC194</f>
        <v/>
      </c>
      <c r="HF194" s="56">
        <f>IFERROR((SUMIFS(tblSafety[Recordables],tblSafety[Date],"&gt;="&amp;EDATE($E194,-12),tblSafety[Date],"&lt;="&amp;$A194)+SUMIFS(tblSafetyHistory[Recordables],tblSafetyHistory[Month],"&gt;="&amp;EDATE($E194,-12),tblSafetyHistory[Month],"&lt;"&amp;cfg_YearStart))/(SUMIFS(tblSafety[Hours_Total],tblSafety[Date],"&gt;="&amp;EDATE($E194,-12),tblSafety[Date],"&lt;="&amp;$A194)+SUMIFS(tblSafetyHistory[Hours_Total],tblSafetyHistory[Month],"&gt;="&amp;EDATE($E194,-12),tblSafetyHistory[Month],"&lt;"&amp;cfg_YearStart))*1000000,"")</f>
        <v/>
      </c>
      <c r="HG194" s="56">
        <f>IFERROR((SUMIFS(tblSafety[LTI],tblSafety[Date],"&gt;="&amp;EDATE($E194,-12),tblSafety[Date],"&lt;="&amp;$A194)+SUMIFS(tblSafetyHistory[LTI],tblSafetyHistory[Month],"&gt;="&amp;EDATE($E194,-12),tblSafetyHistory[Month],"&lt;"&amp;cfg_YearStart))/(SUMIFS(tblSafety[Hours_Total],tblSafety[Date],"&gt;="&amp;EDATE($E194,-12),tblSafety[Date],"&lt;="&amp;$A194)+SUMIFS(tblSafetyHistory[Hours_Total],tblSafetyHistory[Month],"&gt;="&amp;EDATE($E194,-12),tblSafetyHistory[Month],"&lt;"&amp;cfg_YearStart))*1000000,"")</f>
        <v/>
      </c>
      <c r="HH194" s="62">
        <f>IF(MAX(N(cfg_PriorLTIDate),_xlfn.MAXIFS(tblSafety[Date],tblSafety[LTI],"&gt;0",tblSafety[Date],"&lt;="&amp;$A194))=0,"",$A194-MAX(N(cfg_PriorLTIDate),_xlfn.MAXIFS(tblSafety[Date],tblSafety[LTI],"&gt;0",tblSafety[Date],"&lt;="&amp;$A194)))</f>
        <v/>
      </c>
      <c r="HI194" s="55">
        <f>SUMIFS(tblBudget[Ore_Mined_t],tblBudget[Month],$E194)</f>
        <v/>
      </c>
      <c r="HJ194" s="55">
        <f>$HI194*$C194/$D194</f>
        <v/>
      </c>
      <c r="HK194" s="55">
        <f>SUMIFS(tblBudget[Ore_Mined_t],tblBudget[Month],"&lt;"&amp;$E194)+$HJ194</f>
        <v/>
      </c>
      <c r="HL194" s="55">
        <f>SUMIFS(tblBudget[Ore_oz],tblBudget[Month],$E194)</f>
        <v/>
      </c>
      <c r="HM194" s="55">
        <f>$HL194*$C194/$D194</f>
        <v/>
      </c>
      <c r="HN194" s="55">
        <f>SUMIFS(tblBudget[Ore_oz],tblBudget[Month],"&lt;"&amp;$E194)+$HM194</f>
        <v/>
      </c>
      <c r="HO194" s="56">
        <f>IFERROR(IF(($HI194)&gt;0,($HL194*cfg_TroyOz)/($HI194),""),"")</f>
        <v/>
      </c>
      <c r="HP194" s="56">
        <f>IFERROR(IF(($HJ194)&gt;0,($HM194*cfg_TroyOz)/($HJ194),""),"")</f>
        <v/>
      </c>
      <c r="HQ194" s="56">
        <f>IFERROR(IF(($HK194)&gt;0,($HN194*cfg_TroyOz)/($HK194),""),"")</f>
        <v/>
      </c>
      <c r="HR194" s="55">
        <f>SUMIFS(tblBudget[Waste_t],tblBudget[Month],$E194)</f>
        <v/>
      </c>
      <c r="HS194" s="55">
        <f>$HR194*$C194/$D194</f>
        <v/>
      </c>
      <c r="HT194" s="55">
        <f>SUMIFS(tblBudget[Waste_t],tblBudget[Month],"&lt;"&amp;$E194)+$HS194</f>
        <v/>
      </c>
      <c r="HU194" s="55">
        <f>SUMIFS(tblBudget[TMM_t],tblBudget[Month],$E194)</f>
        <v/>
      </c>
      <c r="HV194" s="55">
        <f>$HU194*$C194/$D194</f>
        <v/>
      </c>
      <c r="HW194" s="55">
        <f>SUMIFS(tblBudget[TMM_t],tblBudget[Month],"&lt;"&amp;$E194)+$HV194</f>
        <v/>
      </c>
      <c r="HX194" s="56">
        <f>IFERROR(IF(($HI194)&gt;0,($HR194)/($HI194),""),"")</f>
        <v/>
      </c>
      <c r="HY194" s="56">
        <f>IFERROR(IF(($HJ194)&gt;0,($HS194)/($HJ194),""),"")</f>
        <v/>
      </c>
      <c r="HZ194" s="56">
        <f>IFERROR(IF(($HK194)&gt;0,($HT194)/($HK194),""),"")</f>
        <v/>
      </c>
      <c r="IA194" s="55">
        <f>SUMIFS(tblBudget[Drill_m],tblBudget[Month],$E194)</f>
        <v/>
      </c>
      <c r="IB194" s="55">
        <f>$IA194*$C194/$D194</f>
        <v/>
      </c>
      <c r="IC194" s="55">
        <f>SUMIFS(tblBudget[Drill_m],tblBudget[Month],"&lt;"&amp;$E194)+$IB194</f>
        <v/>
      </c>
      <c r="ID194" s="55">
        <f>SUMIFS(tblBudget[Diesel_L],tblBudget[Month],$E194)</f>
        <v/>
      </c>
      <c r="IE194" s="55">
        <f>$ID194*$C194/$D194</f>
        <v/>
      </c>
      <c r="IF194" s="55">
        <f>SUMIFS(tblBudget[Diesel_L],tblBudget[Month],"&lt;"&amp;$E194)+$IE194</f>
        <v/>
      </c>
      <c r="IG194" s="55">
        <f>SUMIFS(tblBudget[Milled_t],tblBudget[Month],$E194)</f>
        <v/>
      </c>
      <c r="IH194" s="55">
        <f>$IG194*$C194/$D194</f>
        <v/>
      </c>
      <c r="II194" s="55">
        <f>SUMIFS(tblBudget[Milled_t],tblBudget[Month],"&lt;"&amp;$E194)+$IH194</f>
        <v/>
      </c>
      <c r="IJ194" s="55">
        <f>SUMIFS(tblBudget[Feed_oz],tblBudget[Month],$E194)</f>
        <v/>
      </c>
      <c r="IK194" s="55">
        <f>$IJ194*$C194/$D194</f>
        <v/>
      </c>
      <c r="IL194" s="55">
        <f>SUMIFS(tblBudget[Feed_oz],tblBudget[Month],"&lt;"&amp;$E194)+$IK194</f>
        <v/>
      </c>
      <c r="IM194" s="55">
        <f>SUMIFS(tblBudget[Recovered_oz],tblBudget[Month],$E194)</f>
        <v/>
      </c>
      <c r="IN194" s="55">
        <f>$IM194*$C194/$D194</f>
        <v/>
      </c>
      <c r="IO194" s="55">
        <f>SUMIFS(tblBudget[Recovered_oz],tblBudget[Month],"&lt;"&amp;$E194)+$IN194</f>
        <v/>
      </c>
      <c r="IP194" s="56">
        <f>IFERROR(IF(($IG194)&gt;0,($IJ194*cfg_TroyOz)/($IG194),""),"")</f>
        <v/>
      </c>
      <c r="IQ194" s="56">
        <f>IFERROR(IF(($IH194)&gt;0,($IK194*cfg_TroyOz)/($IH194),""),"")</f>
        <v/>
      </c>
      <c r="IR194" s="56">
        <f>IFERROR(IF(($II194)&gt;0,($IL194*cfg_TroyOz)/($II194),""),"")</f>
        <v/>
      </c>
      <c r="IS194" s="67">
        <f>IFERROR(IF(($IJ194)&gt;0,($IM194)/($IJ194),""),"")</f>
        <v/>
      </c>
      <c r="IT194" s="67">
        <f>IFERROR(IF(($IK194)&gt;0,($IN194)/($IK194),""),"")</f>
        <v/>
      </c>
      <c r="IU194" s="67">
        <f>IFERROR(IF(($IL194)&gt;0,($IO194)/($IL194),""),"")</f>
        <v/>
      </c>
      <c r="IV194" s="55">
        <f>SUMIFS(tblBudget[Gold_Poured_oz],tblBudget[Month],$E194)</f>
        <v/>
      </c>
      <c r="IW194" s="55">
        <f>$IV194*$C194/$D194</f>
        <v/>
      </c>
      <c r="IX194" s="55">
        <f>SUMIFS(tblBudget[Gold_Poured_oz],tblBudget[Month],"&lt;"&amp;$E194)+$IW194</f>
        <v/>
      </c>
      <c r="IY194" s="57">
        <f>SUMIFS(tblBudget[Hours_Worked],tblBudget[Month],$E194)</f>
        <v/>
      </c>
      <c r="IZ194" s="57">
        <f>$IY194*$C194/$D194</f>
        <v/>
      </c>
      <c r="JA194" s="57">
        <f>SUMIFS(tblBudget[Hours_Worked],tblBudget[Month],"&lt;"&amp;$E194)+$IZ194</f>
        <v/>
      </c>
    </row>
    <row r="195">
      <c r="A195" s="54" t="n">
        <v>46216</v>
      </c>
      <c r="B195">
        <f>MONTH($A195)</f>
        <v/>
      </c>
      <c r="C195">
        <f>DAY($A195)</f>
        <v/>
      </c>
      <c r="D195">
        <f>DAY(EOMONTH($A195,0))</f>
        <v/>
      </c>
      <c r="E195" s="54">
        <f>DATE(YEAR($A195),MONTH($A195),1)</f>
        <v/>
      </c>
      <c r="F195" s="55">
        <f>SUMIFS(tblMovement[Tonnes_t],tblMovement[Date],$A195,tblMovement[Is_Ore],1,tblMovement[Source_Type],"Pit")</f>
        <v/>
      </c>
      <c r="G195" s="55">
        <f>IF($B195=$B194,$G194,0)+$F195</f>
        <v/>
      </c>
      <c r="H195" s="55">
        <f>$H194+$F195</f>
        <v/>
      </c>
      <c r="I195" s="55">
        <f>SUMIFS(tblMovement[Ore_oz],tblMovement[Date],$A195,tblMovement[Source_Type],"Pit")</f>
        <v/>
      </c>
      <c r="J195" s="55">
        <f>IF($B195=$B194,$J194,0)+$I195</f>
        <v/>
      </c>
      <c r="K195" s="55">
        <f>$K194+$I195</f>
        <v/>
      </c>
      <c r="L195" s="56">
        <f>IFERROR(IF(($F195)&gt;0,($I195*cfg_TroyOz)/($F195),""),"")</f>
        <v/>
      </c>
      <c r="M195" s="56">
        <f>IFERROR(IF(($G195)&gt;0,($J195*cfg_TroyOz)/($G195),""),"")</f>
        <v/>
      </c>
      <c r="N195" s="56">
        <f>IFERROR(IF(($H195)&gt;0,($K195*cfg_TroyOz)/($H195),""),"")</f>
        <v/>
      </c>
      <c r="O195" s="55">
        <f>SUMIFS(tblMovement[Tonnes_t],tblMovement[Date],$A195,tblMovement[Is_Ore],0,tblMovement[Source_Type],"Pit")</f>
        <v/>
      </c>
      <c r="P195" s="55">
        <f>IF($B195=$B194,$P194,0)+$O195</f>
        <v/>
      </c>
      <c r="Q195" s="55">
        <f>$Q194+$O195</f>
        <v/>
      </c>
      <c r="R195" s="55">
        <f>$F195+$O195</f>
        <v/>
      </c>
      <c r="S195" s="55">
        <f>IF($B195=$B194,$S194,0)+$R195</f>
        <v/>
      </c>
      <c r="T195" s="55">
        <f>$T194+$R195</f>
        <v/>
      </c>
      <c r="U195" s="56">
        <f>IFERROR(IF(($F195)&gt;0,($O195)/($F195),""),"")</f>
        <v/>
      </c>
      <c r="V195" s="56">
        <f>IFERROR(IF(($G195)&gt;0,($P195)/($G195),""),"")</f>
        <v/>
      </c>
      <c r="W195" s="56">
        <f>IFERROR(IF(($H195)&gt;0,($Q195)/($H195),""),"")</f>
        <v/>
      </c>
      <c r="X195" s="55">
        <f>SUMIFS(tblMovement[Tonnes_t],tblMovement[Date],$A195,tblMovement[Source_Type],"Stockpile")</f>
        <v/>
      </c>
      <c r="Y195" s="55">
        <f>IF($B195=$B194,$Y194,0)+$X195</f>
        <v/>
      </c>
      <c r="Z195" s="55">
        <f>$Z194+$X195</f>
        <v/>
      </c>
      <c r="AA195" s="55">
        <f>SUMIFS(tblMiningDaily[Drill_m],tblMiningDaily[Date],$A195)</f>
        <v/>
      </c>
      <c r="AB195" s="55">
        <f>IF($B195=$B194,$AB194,0)+$AA195</f>
        <v/>
      </c>
      <c r="AC195" s="55">
        <f>$AC194+$AA195</f>
        <v/>
      </c>
      <c r="AD195" s="55">
        <f>SUMIFS(tblMiningDaily[Blast_t],tblMiningDaily[Date],$A195)</f>
        <v/>
      </c>
      <c r="AE195" s="55">
        <f>IF($B195=$B194,$AE194,0)+$AD195</f>
        <v/>
      </c>
      <c r="AF195" s="55">
        <f>$AF194+$AD195</f>
        <v/>
      </c>
      <c r="AG195" s="55">
        <f>SUMIFS(tblMiningDaily[Explosives_kg],tblMiningDaily[Date],$A195)</f>
        <v/>
      </c>
      <c r="AH195" s="55">
        <f>IF($B195=$B194,$AH194,0)+$AG195</f>
        <v/>
      </c>
      <c r="AI195" s="55">
        <f>$AI194+$AG195</f>
        <v/>
      </c>
      <c r="AJ195" s="56">
        <f>IFERROR(IF(($AD195)&gt;0,($AG195)/($AD195),""),"")</f>
        <v/>
      </c>
      <c r="AK195" s="56">
        <f>IFERROR(IF(($AE195)&gt;0,($AH195)/($AE195),""),"")</f>
        <v/>
      </c>
      <c r="AL195" s="56">
        <f>IFERROR(IF(($AF195)&gt;0,($AI195)/($AF195),""),"")</f>
        <v/>
      </c>
      <c r="AM195" s="55">
        <f>SUMIFS(tblMiningDaily[Diesel_L],tblMiningDaily[Date],$A195)</f>
        <v/>
      </c>
      <c r="AN195" s="55">
        <f>IF($B195=$B194,$AN194,0)+$AM195</f>
        <v/>
      </c>
      <c r="AO195" s="55">
        <f>$AO194+$AM195</f>
        <v/>
      </c>
      <c r="AP195" s="55">
        <f>SUMIFS(tblMiningDaily[Dewatering_m3],tblMiningDaily[Date],$A195)</f>
        <v/>
      </c>
      <c r="AQ195" s="55">
        <f>IF($B195=$B194,$AQ194,0)+$AP195</f>
        <v/>
      </c>
      <c r="AR195" s="55">
        <f>$AR194+$AP195</f>
        <v/>
      </c>
      <c r="AS195" s="57">
        <f>SUMIFS(tblFleet[Calendar_h],tblFleet[Date],$A195,tblFleet[Equipment_Class],"Excavator")</f>
        <v/>
      </c>
      <c r="AT195" s="57">
        <f>IF($B195=$B194,$AT194,0)+$AS195</f>
        <v/>
      </c>
      <c r="AU195" s="57">
        <f>$AU194+$AS195</f>
        <v/>
      </c>
      <c r="AV195" s="57">
        <f>SUMIFS(tblFleet[Available_h],tblFleet[Date],$A195,tblFleet[Equipment_Class],"Excavator")</f>
        <v/>
      </c>
      <c r="AW195" s="57">
        <f>IF($B195=$B194,$AW194,0)+$AV195</f>
        <v/>
      </c>
      <c r="AX195" s="57">
        <f>$AX194+$AV195</f>
        <v/>
      </c>
      <c r="AY195" s="57">
        <f>SUMIFS(tblFleet[Operating_h],tblFleet[Date],$A195,tblFleet[Equipment_Class],"Excavator")</f>
        <v/>
      </c>
      <c r="AZ195" s="57">
        <f>IF($B195=$B194,$AZ194,0)+$AY195</f>
        <v/>
      </c>
      <c r="BA195" s="57">
        <f>$BA194+$AY195</f>
        <v/>
      </c>
      <c r="BB195" s="67">
        <f>IFERROR(IF(($AS195)&gt;0,($AV195)/($AS195),""),"")</f>
        <v/>
      </c>
      <c r="BC195" s="67">
        <f>IFERROR(IF(($AT195)&gt;0,($AW195)/($AT195),""),"")</f>
        <v/>
      </c>
      <c r="BD195" s="67">
        <f>IFERROR(IF(($AU195)&gt;0,($AX195)/($AU195),""),"")</f>
        <v/>
      </c>
      <c r="BE195" s="67">
        <f>IFERROR(IF(($AV195)&gt;0,($AY195)/($AV195),""),"")</f>
        <v/>
      </c>
      <c r="BF195" s="67">
        <f>IFERROR(IF(($AW195)&gt;0,($AZ195)/($AW195),""),"")</f>
        <v/>
      </c>
      <c r="BG195" s="67">
        <f>IFERROR(IF(($AX195)&gt;0,($BA195)/($AX195),""),"")</f>
        <v/>
      </c>
      <c r="BH195" s="57">
        <f>SUMIFS(tblFleet[Calendar_h],tblFleet[Date],$A195,tblFleet[Equipment_Class],"Haul Truck")</f>
        <v/>
      </c>
      <c r="BI195" s="57">
        <f>IF($B195=$B194,$BI194,0)+$BH195</f>
        <v/>
      </c>
      <c r="BJ195" s="57">
        <f>$BJ194+$BH195</f>
        <v/>
      </c>
      <c r="BK195" s="57">
        <f>SUMIFS(tblFleet[Available_h],tblFleet[Date],$A195,tblFleet[Equipment_Class],"Haul Truck")</f>
        <v/>
      </c>
      <c r="BL195" s="57">
        <f>IF($B195=$B194,$BL194,0)+$BK195</f>
        <v/>
      </c>
      <c r="BM195" s="57">
        <f>$BM194+$BK195</f>
        <v/>
      </c>
      <c r="BN195" s="57">
        <f>SUMIFS(tblFleet[Operating_h],tblFleet[Date],$A195,tblFleet[Equipment_Class],"Haul Truck")</f>
        <v/>
      </c>
      <c r="BO195" s="57">
        <f>IF($B195=$B194,$BO194,0)+$BN195</f>
        <v/>
      </c>
      <c r="BP195" s="57">
        <f>$BP194+$BN195</f>
        <v/>
      </c>
      <c r="BQ195" s="67">
        <f>IFERROR(IF(($BH195)&gt;0,($BK195)/($BH195),""),"")</f>
        <v/>
      </c>
      <c r="BR195" s="67">
        <f>IFERROR(IF(($BI195)&gt;0,($BL195)/($BI195),""),"")</f>
        <v/>
      </c>
      <c r="BS195" s="67">
        <f>IFERROR(IF(($BJ195)&gt;0,($BM195)/($BJ195),""),"")</f>
        <v/>
      </c>
      <c r="BT195" s="67">
        <f>IFERROR(IF(($BK195)&gt;0,($BN195)/($BK195),""),"")</f>
        <v/>
      </c>
      <c r="BU195" s="67">
        <f>IFERROR(IF(($BL195)&gt;0,($BO195)/($BL195),""),"")</f>
        <v/>
      </c>
      <c r="BV195" s="67">
        <f>IFERROR(IF(($BM195)&gt;0,($BP195)/($BM195),""),"")</f>
        <v/>
      </c>
      <c r="BW195" s="55">
        <f>SUMIFS(tblPlant[Crushed_t],tblPlant[Date],$A195)</f>
        <v/>
      </c>
      <c r="BX195" s="55">
        <f>IF($B195=$B194,$BX194,0)+$BW195</f>
        <v/>
      </c>
      <c r="BY195" s="55">
        <f>$BY194+$BW195</f>
        <v/>
      </c>
      <c r="BZ195" s="55">
        <f>SUMIFS(tblPlant[Milled_t],tblPlant[Date],$A195)</f>
        <v/>
      </c>
      <c r="CA195" s="55">
        <f>IF($B195=$B194,$CA194,0)+$BZ195</f>
        <v/>
      </c>
      <c r="CB195" s="55">
        <f>$CB194+$BZ195</f>
        <v/>
      </c>
      <c r="CC195" s="55">
        <f>SUMIFS(tblPlant[Feed_oz],tblPlant[Date],$A195)</f>
        <v/>
      </c>
      <c r="CD195" s="55">
        <f>IF($B195=$B194,$CD194,0)+$CC195</f>
        <v/>
      </c>
      <c r="CE195" s="55">
        <f>$CE194+$CC195</f>
        <v/>
      </c>
      <c r="CF195" s="55">
        <f>SUMIFS(tblPlant[Tails_oz],tblPlant[Date],$A195)</f>
        <v/>
      </c>
      <c r="CG195" s="55">
        <f>IF($B195=$B194,$CG194,0)+$CF195</f>
        <v/>
      </c>
      <c r="CH195" s="55">
        <f>$CH194+$CF195</f>
        <v/>
      </c>
      <c r="CI195" s="55">
        <f>SUMIFS(tblPlant[Recovered_oz],tblPlant[Date],$A195)</f>
        <v/>
      </c>
      <c r="CJ195" s="55">
        <f>IF($B195=$B194,$CJ194,0)+$CI195</f>
        <v/>
      </c>
      <c r="CK195" s="55">
        <f>$CK194+$CI195</f>
        <v/>
      </c>
      <c r="CL195" s="56">
        <f>IFERROR(IF(($BZ195)&gt;0,($CC195*cfg_TroyOz)/($BZ195),""),"")</f>
        <v/>
      </c>
      <c r="CM195" s="56">
        <f>IFERROR(IF(($CA195)&gt;0,($CD195*cfg_TroyOz)/($CA195),""),"")</f>
        <v/>
      </c>
      <c r="CN195" s="56">
        <f>IFERROR(IF(($CB195)&gt;0,($CE195*cfg_TroyOz)/($CB195),""),"")</f>
        <v/>
      </c>
      <c r="CO195" s="56">
        <f>IFERROR(IF(($BZ195)&gt;0,($CF195*cfg_TroyOz)/($BZ195),""),"")</f>
        <v/>
      </c>
      <c r="CP195" s="56">
        <f>IFERROR(IF(($CA195)&gt;0,($CG195*cfg_TroyOz)/($CA195),""),"")</f>
        <v/>
      </c>
      <c r="CQ195" s="56">
        <f>IFERROR(IF(($CB195)&gt;0,($CH195*cfg_TroyOz)/($CB195),""),"")</f>
        <v/>
      </c>
      <c r="CR195" s="67">
        <f>IFERROR(IF(($CC195)&gt;0,($CI195)/($CC195),""),"")</f>
        <v/>
      </c>
      <c r="CS195" s="67">
        <f>IFERROR(IF(($CD195)&gt;0,($CJ195)/($CD195),""),"")</f>
        <v/>
      </c>
      <c r="CT195" s="67">
        <f>IFERROR(IF(($CE195)&gt;0,($CK195)/($CE195),""),"")</f>
        <v/>
      </c>
      <c r="CU195" s="55">
        <f>SUMIFS(tblPlant[Gravity_Gold_oz],tblPlant[Date],$A195)</f>
        <v/>
      </c>
      <c r="CV195" s="55">
        <f>IF($B195=$B194,$CV194,0)+$CU195</f>
        <v/>
      </c>
      <c r="CW195" s="55">
        <f>$CW194+$CU195</f>
        <v/>
      </c>
      <c r="CX195" s="55">
        <f>SUMIFS(tblPlant[Gold_Poured_oz],tblPlant[Date],$A195)</f>
        <v/>
      </c>
      <c r="CY195" s="55">
        <f>IF($B195=$B194,$CY194,0)+$CX195</f>
        <v/>
      </c>
      <c r="CZ195" s="55">
        <f>$CZ194+$CX195</f>
        <v/>
      </c>
      <c r="DA195" s="57">
        <f>SUMIFS(tblPlant[Mill_Run_h],tblPlant[Date],$A195)</f>
        <v/>
      </c>
      <c r="DB195" s="57">
        <f>IF($B195=$B194,$DB194,0)+$DA195</f>
        <v/>
      </c>
      <c r="DC195" s="57">
        <f>$DC194+$DA195</f>
        <v/>
      </c>
      <c r="DD195" s="57">
        <f>SUMIFS(tblPlant[Mill_Planned_Maint_h],tblPlant[Date],$A195)</f>
        <v/>
      </c>
      <c r="DE195" s="57">
        <f>IF($B195=$B194,$DE194,0)+$DD195</f>
        <v/>
      </c>
      <c r="DF195" s="57">
        <f>$DF194+$DD195</f>
        <v/>
      </c>
      <c r="DG195" s="57">
        <f>SUMIFS(tblPlant[Mill_Unplanned_Down_h],tblPlant[Date],$A195)</f>
        <v/>
      </c>
      <c r="DH195" s="57">
        <f>IF($B195=$B194,$DH194,0)+$DG195</f>
        <v/>
      </c>
      <c r="DI195" s="57">
        <f>$DI194+$DG195</f>
        <v/>
      </c>
      <c r="DJ195" s="57">
        <f>COUNTIFS(tblPlant[Date],$A195,tblPlant[Mill_Run_h],"&lt;&gt;")*24</f>
        <v/>
      </c>
      <c r="DK195" s="57">
        <f>IF($B195=$B194,$DK194,0)+$DJ195</f>
        <v/>
      </c>
      <c r="DL195" s="57">
        <f>$DL194+$DJ195</f>
        <v/>
      </c>
      <c r="DM195" s="57">
        <f>SUMIFS(tblPlant[Crusher_Run_h],tblPlant[Date],$A195)</f>
        <v/>
      </c>
      <c r="DN195" s="57">
        <f>IF($B195=$B194,$DN194,0)+$DM195</f>
        <v/>
      </c>
      <c r="DO195" s="57">
        <f>$DO194+$DM195</f>
        <v/>
      </c>
      <c r="DP195" s="55">
        <f>IFERROR(IF(($DA195)&gt;0,($BZ195)/($DA195),""),"")</f>
        <v/>
      </c>
      <c r="DQ195" s="55">
        <f>IFERROR(IF(($DB195)&gt;0,($CA195)/($DB195),""),"")</f>
        <v/>
      </c>
      <c r="DR195" s="55">
        <f>IFERROR(IF(($DC195)&gt;0,($CB195)/($DC195),""),"")</f>
        <v/>
      </c>
      <c r="DS195" s="67">
        <f>IFERROR(IF(($DJ195)&gt;0,($DJ195-$DD195-$DG195)/($DJ195),""),"")</f>
        <v/>
      </c>
      <c r="DT195" s="67">
        <f>IFERROR(IF(($DK195)&gt;0,($DK195-$DE195-$DH195)/($DK195),""),"")</f>
        <v/>
      </c>
      <c r="DU195" s="67">
        <f>IFERROR(IF(($DL195)&gt;0,($DL195-$DF195-$DI195)/($DL195),""),"")</f>
        <v/>
      </c>
      <c r="DV195" s="67">
        <f>IFERROR(IF(($DJ195-$DD195-$DG195)&gt;0,($DA195)/($DJ195-$DD195-$DG195),""),"")</f>
        <v/>
      </c>
      <c r="DW195" s="67">
        <f>IFERROR(IF(($DK195-$DE195-$DH195)&gt;0,($DB195)/($DK195-$DE195-$DH195),""),"")</f>
        <v/>
      </c>
      <c r="DX195" s="67">
        <f>IFERROR(IF(($DL195-$DF195-$DI195)&gt;0,($DC195)/($DL195-$DF195-$DI195),""),"")</f>
        <v/>
      </c>
      <c r="DY195" s="55">
        <f>SUMIFS(tblPlant[Cyanide_kg],tblPlant[Date],$A195)</f>
        <v/>
      </c>
      <c r="DZ195" s="55">
        <f>IF($B195=$B194,$DZ194,0)+$DY195</f>
        <v/>
      </c>
      <c r="EA195" s="55">
        <f>$EA194+$DY195</f>
        <v/>
      </c>
      <c r="EB195" s="55">
        <f>SUMIFS(tblPlant[Lime_kg],tblPlant[Date],$A195)</f>
        <v/>
      </c>
      <c r="EC195" s="55">
        <f>IF($B195=$B194,$EC194,0)+$EB195</f>
        <v/>
      </c>
      <c r="ED195" s="55">
        <f>$ED194+$EB195</f>
        <v/>
      </c>
      <c r="EE195" s="55">
        <f>SUMIFS(tblPlant[Grinding_Media_kg],tblPlant[Date],$A195)</f>
        <v/>
      </c>
      <c r="EF195" s="55">
        <f>IF($B195=$B194,$EF194,0)+$EE195</f>
        <v/>
      </c>
      <c r="EG195" s="55">
        <f>$EG194+$EE195</f>
        <v/>
      </c>
      <c r="EH195" s="55">
        <f>SUMIFS(tblPlant[Power_kWh],tblPlant[Date],$A195)</f>
        <v/>
      </c>
      <c r="EI195" s="55">
        <f>IF($B195=$B194,$EI194,0)+$EH195</f>
        <v/>
      </c>
      <c r="EJ195" s="55">
        <f>$EJ194+$EH195</f>
        <v/>
      </c>
      <c r="EK195" s="55">
        <f>SUMIFS(tblPlant[Raw_Water_m3],tblPlant[Date],$A195)</f>
        <v/>
      </c>
      <c r="EL195" s="55">
        <f>IF($B195=$B194,$EL194,0)+$EK195</f>
        <v/>
      </c>
      <c r="EM195" s="55">
        <f>$EM194+$EK195</f>
        <v/>
      </c>
      <c r="EN195" s="56">
        <f>IFERROR(IF(($BZ195)&gt;0,($DY195)/($BZ195),""),"")</f>
        <v/>
      </c>
      <c r="EO195" s="56">
        <f>IFERROR(IF(($CA195)&gt;0,($DZ195)/($CA195),""),"")</f>
        <v/>
      </c>
      <c r="EP195" s="56">
        <f>IFERROR(IF(($CB195)&gt;0,($EA195)/($CB195),""),"")</f>
        <v/>
      </c>
      <c r="EQ195" s="56">
        <f>IFERROR(IF(($BZ195)&gt;0,($EB195)/($BZ195),""),"")</f>
        <v/>
      </c>
      <c r="ER195" s="56">
        <f>IFERROR(IF(($CA195)&gt;0,($EC195)/($CA195),""),"")</f>
        <v/>
      </c>
      <c r="ES195" s="56">
        <f>IFERROR(IF(($CB195)&gt;0,($ED195)/($CB195),""),"")</f>
        <v/>
      </c>
      <c r="ET195" s="56">
        <f>IFERROR(IF(($BZ195)&gt;0,($EE195)/($BZ195),""),"")</f>
        <v/>
      </c>
      <c r="EU195" s="56">
        <f>IFERROR(IF(($CA195)&gt;0,($EF195)/($CA195),""),"")</f>
        <v/>
      </c>
      <c r="EV195" s="56">
        <f>IFERROR(IF(($CB195)&gt;0,($EG195)/($CB195),""),"")</f>
        <v/>
      </c>
      <c r="EW195" s="76">
        <f>IFERROR(IF(($BZ195)&gt;0,($EH195)/($BZ195),""),"")</f>
        <v/>
      </c>
      <c r="EX195" s="76">
        <f>IFERROR(IF(($CA195)&gt;0,($EI195)/($CA195),""),"")</f>
        <v/>
      </c>
      <c r="EY195" s="76">
        <f>IFERROR(IF(($CB195)&gt;0,($EJ195)/($CB195),""),"")</f>
        <v/>
      </c>
      <c r="EZ195" s="56">
        <f>IFERROR(IF(($BZ195)&gt;0,($EK195)/($BZ195),""),"")</f>
        <v/>
      </c>
      <c r="FA195" s="56">
        <f>IFERROR(IF(($CA195)&gt;0,($EL195)/($CA195),""),"")</f>
        <v/>
      </c>
      <c r="FB195" s="56">
        <f>IFERROR(IF(($CB195)&gt;0,($EM195)/($CB195),""),"")</f>
        <v/>
      </c>
      <c r="FC195" s="55">
        <f>IF(SUMIFS(tblPlant[GIC_oz],tblPlant[Date],$A195)&gt;0,SUMIFS(tblPlant[GIC_oz],tblPlant[Date],$A195),"")</f>
        <v/>
      </c>
      <c r="FD195" s="55">
        <f>SUMIFS(tblGold[Gold_oz],tblGold[Date],$A195,tblGold[Type],"Shipment")</f>
        <v/>
      </c>
      <c r="FE195" s="55">
        <f>IF($B195=$B194,$FE194,0)+$FD195</f>
        <v/>
      </c>
      <c r="FF195" s="55">
        <f>$FF194+$FD195</f>
        <v/>
      </c>
      <c r="FG195" s="55">
        <f>SUMIFS(tblGold[Gold_oz],tblGold[Date],$A195,tblGold[Type],"Sale")</f>
        <v/>
      </c>
      <c r="FH195" s="55">
        <f>IF($B195=$B194,$FH194,0)+$FG195</f>
        <v/>
      </c>
      <c r="FI195" s="55">
        <f>$FI194+$FG195</f>
        <v/>
      </c>
      <c r="FJ195" s="55">
        <f>SUMIFS(tblGold[Dore_kg],tblGold[Date],$A195,tblGold[Type],"Shipment")</f>
        <v/>
      </c>
      <c r="FK195" s="55">
        <f>IF($B195=$B194,$FK194,0)+$FJ195</f>
        <v/>
      </c>
      <c r="FL195" s="55">
        <f>$FL194+$FJ195</f>
        <v/>
      </c>
      <c r="FM195" s="57">
        <f>SUMIFS(tblSafety[Hours_Total],tblSafety[Date],$A195)</f>
        <v/>
      </c>
      <c r="FN195" s="57">
        <f>IF($B195=$B194,$FN194,0)+$FM195</f>
        <v/>
      </c>
      <c r="FO195" s="57">
        <f>$FO194+$FM195</f>
        <v/>
      </c>
      <c r="FP195" s="62">
        <f>SUMIFS(tblSafety[Fatality],tblSafety[Date],$A195)</f>
        <v/>
      </c>
      <c r="FQ195" s="62">
        <f>IF($B195=$B194,$FQ194,0)+$FP195</f>
        <v/>
      </c>
      <c r="FR195" s="62">
        <f>$FR194+$FP195</f>
        <v/>
      </c>
      <c r="FS195" s="62">
        <f>SUMIFS(tblSafety[LTI],tblSafety[Date],$A195)</f>
        <v/>
      </c>
      <c r="FT195" s="62">
        <f>IF($B195=$B194,$FT194,0)+$FS195</f>
        <v/>
      </c>
      <c r="FU195" s="62">
        <f>$FU194+$FS195</f>
        <v/>
      </c>
      <c r="FV195" s="62">
        <f>SUMIFS(tblSafety[RWI],tblSafety[Date],$A195)</f>
        <v/>
      </c>
      <c r="FW195" s="62">
        <f>IF($B195=$B194,$FW194,0)+$FV195</f>
        <v/>
      </c>
      <c r="FX195" s="62">
        <f>$FX194+$FV195</f>
        <v/>
      </c>
      <c r="FY195" s="62">
        <f>SUMIFS(tblSafety[MTI],tblSafety[Date],$A195)</f>
        <v/>
      </c>
      <c r="FZ195" s="62">
        <f>IF($B195=$B194,$FZ194,0)+$FY195</f>
        <v/>
      </c>
      <c r="GA195" s="62">
        <f>$GA194+$FY195</f>
        <v/>
      </c>
      <c r="GB195" s="62">
        <f>SUMIFS(tblSafety[FAI],tblSafety[Date],$A195)</f>
        <v/>
      </c>
      <c r="GC195" s="62">
        <f>IF($B195=$B194,$GC194,0)+$GB195</f>
        <v/>
      </c>
      <c r="GD195" s="62">
        <f>$GD194+$GB195</f>
        <v/>
      </c>
      <c r="GE195" s="62">
        <f>SUMIFS(tblSafety[Recordables],tblSafety[Date],$A195)</f>
        <v/>
      </c>
      <c r="GF195" s="62">
        <f>IF($B195=$B194,$GF194,0)+$GE195</f>
        <v/>
      </c>
      <c r="GG195" s="62">
        <f>$GG194+$GE195</f>
        <v/>
      </c>
      <c r="GH195" s="62">
        <f>SUMIFS(tblSafety[Near_Miss],tblSafety[Date],$A195)</f>
        <v/>
      </c>
      <c r="GI195" s="62">
        <f>IF($B195=$B194,$GI194,0)+$GH195</f>
        <v/>
      </c>
      <c r="GJ195" s="62">
        <f>$GJ194+$GH195</f>
        <v/>
      </c>
      <c r="GK195" s="62">
        <f>SUMIFS(tblSafety[Hazard_Reports],tblSafety[Date],$A195)</f>
        <v/>
      </c>
      <c r="GL195" s="62">
        <f>IF($B195=$B194,$GL194,0)+$GK195</f>
        <v/>
      </c>
      <c r="GM195" s="62">
        <f>$GM194+$GK195</f>
        <v/>
      </c>
      <c r="GN195" s="62">
        <f>SUMIFS(tblSafety[HPI],tblSafety[Date],$A195)</f>
        <v/>
      </c>
      <c r="GO195" s="62">
        <f>IF($B195=$B194,$GO194,0)+$GN195</f>
        <v/>
      </c>
      <c r="GP195" s="62">
        <f>$GP194+$GN195</f>
        <v/>
      </c>
      <c r="GQ195" s="62">
        <f>SUMIFS(tblSafety[Env_Incidents],tblSafety[Date],$A195)</f>
        <v/>
      </c>
      <c r="GR195" s="62">
        <f>IF($B195=$B194,$GR194,0)+$GQ195</f>
        <v/>
      </c>
      <c r="GS195" s="62">
        <f>$GS194+$GQ195</f>
        <v/>
      </c>
      <c r="GT195" s="62">
        <f>SUMIFS(tblSafety[Community_Incidents],tblSafety[Date],$A195)</f>
        <v/>
      </c>
      <c r="GU195" s="62">
        <f>IF($B195=$B194,$GU194,0)+$GT195</f>
        <v/>
      </c>
      <c r="GV195" s="62">
        <f>$GV194+$GT195</f>
        <v/>
      </c>
      <c r="GW195" s="62">
        <f>SUMIFS(tblSafety[Vehicle_Incidents],tblSafety[Date],$A195)</f>
        <v/>
      </c>
      <c r="GX195" s="62">
        <f>IF($B195=$B194,$GX194,0)+$GW195</f>
        <v/>
      </c>
      <c r="GY195" s="62">
        <f>$GY194+$GW195</f>
        <v/>
      </c>
      <c r="GZ195" s="62">
        <f>SUMIFS(tblSafety[Toolbox_Talks],tblSafety[Date],$A195)</f>
        <v/>
      </c>
      <c r="HA195" s="62">
        <f>IF($B195=$B194,$HA194,0)+$GZ195</f>
        <v/>
      </c>
      <c r="HB195" s="62">
        <f>$HB194+$GZ195</f>
        <v/>
      </c>
      <c r="HC195" s="62">
        <f>SUMIFS(tblSafety[Inspections],tblSafety[Date],$A195)</f>
        <v/>
      </c>
      <c r="HD195" s="62">
        <f>IF($B195=$B194,$HD194,0)+$HC195</f>
        <v/>
      </c>
      <c r="HE195" s="62">
        <f>$HE194+$HC195</f>
        <v/>
      </c>
      <c r="HF195" s="56">
        <f>IFERROR((SUMIFS(tblSafety[Recordables],tblSafety[Date],"&gt;="&amp;EDATE($E195,-12),tblSafety[Date],"&lt;="&amp;$A195)+SUMIFS(tblSafetyHistory[Recordables],tblSafetyHistory[Month],"&gt;="&amp;EDATE($E195,-12),tblSafetyHistory[Month],"&lt;"&amp;cfg_YearStart))/(SUMIFS(tblSafety[Hours_Total],tblSafety[Date],"&gt;="&amp;EDATE($E195,-12),tblSafety[Date],"&lt;="&amp;$A195)+SUMIFS(tblSafetyHistory[Hours_Total],tblSafetyHistory[Month],"&gt;="&amp;EDATE($E195,-12),tblSafetyHistory[Month],"&lt;"&amp;cfg_YearStart))*1000000,"")</f>
        <v/>
      </c>
      <c r="HG195" s="56">
        <f>IFERROR((SUMIFS(tblSafety[LTI],tblSafety[Date],"&gt;="&amp;EDATE($E195,-12),tblSafety[Date],"&lt;="&amp;$A195)+SUMIFS(tblSafetyHistory[LTI],tblSafetyHistory[Month],"&gt;="&amp;EDATE($E195,-12),tblSafetyHistory[Month],"&lt;"&amp;cfg_YearStart))/(SUMIFS(tblSafety[Hours_Total],tblSafety[Date],"&gt;="&amp;EDATE($E195,-12),tblSafety[Date],"&lt;="&amp;$A195)+SUMIFS(tblSafetyHistory[Hours_Total],tblSafetyHistory[Month],"&gt;="&amp;EDATE($E195,-12),tblSafetyHistory[Month],"&lt;"&amp;cfg_YearStart))*1000000,"")</f>
        <v/>
      </c>
      <c r="HH195" s="62">
        <f>IF(MAX(N(cfg_PriorLTIDate),_xlfn.MAXIFS(tblSafety[Date],tblSafety[LTI],"&gt;0",tblSafety[Date],"&lt;="&amp;$A195))=0,"",$A195-MAX(N(cfg_PriorLTIDate),_xlfn.MAXIFS(tblSafety[Date],tblSafety[LTI],"&gt;0",tblSafety[Date],"&lt;="&amp;$A195)))</f>
        <v/>
      </c>
      <c r="HI195" s="55">
        <f>SUMIFS(tblBudget[Ore_Mined_t],tblBudget[Month],$E195)</f>
        <v/>
      </c>
      <c r="HJ195" s="55">
        <f>$HI195*$C195/$D195</f>
        <v/>
      </c>
      <c r="HK195" s="55">
        <f>SUMIFS(tblBudget[Ore_Mined_t],tblBudget[Month],"&lt;"&amp;$E195)+$HJ195</f>
        <v/>
      </c>
      <c r="HL195" s="55">
        <f>SUMIFS(tblBudget[Ore_oz],tblBudget[Month],$E195)</f>
        <v/>
      </c>
      <c r="HM195" s="55">
        <f>$HL195*$C195/$D195</f>
        <v/>
      </c>
      <c r="HN195" s="55">
        <f>SUMIFS(tblBudget[Ore_oz],tblBudget[Month],"&lt;"&amp;$E195)+$HM195</f>
        <v/>
      </c>
      <c r="HO195" s="56">
        <f>IFERROR(IF(($HI195)&gt;0,($HL195*cfg_TroyOz)/($HI195),""),"")</f>
        <v/>
      </c>
      <c r="HP195" s="56">
        <f>IFERROR(IF(($HJ195)&gt;0,($HM195*cfg_TroyOz)/($HJ195),""),"")</f>
        <v/>
      </c>
      <c r="HQ195" s="56">
        <f>IFERROR(IF(($HK195)&gt;0,($HN195*cfg_TroyOz)/($HK195),""),"")</f>
        <v/>
      </c>
      <c r="HR195" s="55">
        <f>SUMIFS(tblBudget[Waste_t],tblBudget[Month],$E195)</f>
        <v/>
      </c>
      <c r="HS195" s="55">
        <f>$HR195*$C195/$D195</f>
        <v/>
      </c>
      <c r="HT195" s="55">
        <f>SUMIFS(tblBudget[Waste_t],tblBudget[Month],"&lt;"&amp;$E195)+$HS195</f>
        <v/>
      </c>
      <c r="HU195" s="55">
        <f>SUMIFS(tblBudget[TMM_t],tblBudget[Month],$E195)</f>
        <v/>
      </c>
      <c r="HV195" s="55">
        <f>$HU195*$C195/$D195</f>
        <v/>
      </c>
      <c r="HW195" s="55">
        <f>SUMIFS(tblBudget[TMM_t],tblBudget[Month],"&lt;"&amp;$E195)+$HV195</f>
        <v/>
      </c>
      <c r="HX195" s="56">
        <f>IFERROR(IF(($HI195)&gt;0,($HR195)/($HI195),""),"")</f>
        <v/>
      </c>
      <c r="HY195" s="56">
        <f>IFERROR(IF(($HJ195)&gt;0,($HS195)/($HJ195),""),"")</f>
        <v/>
      </c>
      <c r="HZ195" s="56">
        <f>IFERROR(IF(($HK195)&gt;0,($HT195)/($HK195),""),"")</f>
        <v/>
      </c>
      <c r="IA195" s="55">
        <f>SUMIFS(tblBudget[Drill_m],tblBudget[Month],$E195)</f>
        <v/>
      </c>
      <c r="IB195" s="55">
        <f>$IA195*$C195/$D195</f>
        <v/>
      </c>
      <c r="IC195" s="55">
        <f>SUMIFS(tblBudget[Drill_m],tblBudget[Month],"&lt;"&amp;$E195)+$IB195</f>
        <v/>
      </c>
      <c r="ID195" s="55">
        <f>SUMIFS(tblBudget[Diesel_L],tblBudget[Month],$E195)</f>
        <v/>
      </c>
      <c r="IE195" s="55">
        <f>$ID195*$C195/$D195</f>
        <v/>
      </c>
      <c r="IF195" s="55">
        <f>SUMIFS(tblBudget[Diesel_L],tblBudget[Month],"&lt;"&amp;$E195)+$IE195</f>
        <v/>
      </c>
      <c r="IG195" s="55">
        <f>SUMIFS(tblBudget[Milled_t],tblBudget[Month],$E195)</f>
        <v/>
      </c>
      <c r="IH195" s="55">
        <f>$IG195*$C195/$D195</f>
        <v/>
      </c>
      <c r="II195" s="55">
        <f>SUMIFS(tblBudget[Milled_t],tblBudget[Month],"&lt;"&amp;$E195)+$IH195</f>
        <v/>
      </c>
      <c r="IJ195" s="55">
        <f>SUMIFS(tblBudget[Feed_oz],tblBudget[Month],$E195)</f>
        <v/>
      </c>
      <c r="IK195" s="55">
        <f>$IJ195*$C195/$D195</f>
        <v/>
      </c>
      <c r="IL195" s="55">
        <f>SUMIFS(tblBudget[Feed_oz],tblBudget[Month],"&lt;"&amp;$E195)+$IK195</f>
        <v/>
      </c>
      <c r="IM195" s="55">
        <f>SUMIFS(tblBudget[Recovered_oz],tblBudget[Month],$E195)</f>
        <v/>
      </c>
      <c r="IN195" s="55">
        <f>$IM195*$C195/$D195</f>
        <v/>
      </c>
      <c r="IO195" s="55">
        <f>SUMIFS(tblBudget[Recovered_oz],tblBudget[Month],"&lt;"&amp;$E195)+$IN195</f>
        <v/>
      </c>
      <c r="IP195" s="56">
        <f>IFERROR(IF(($IG195)&gt;0,($IJ195*cfg_TroyOz)/($IG195),""),"")</f>
        <v/>
      </c>
      <c r="IQ195" s="56">
        <f>IFERROR(IF(($IH195)&gt;0,($IK195*cfg_TroyOz)/($IH195),""),"")</f>
        <v/>
      </c>
      <c r="IR195" s="56">
        <f>IFERROR(IF(($II195)&gt;0,($IL195*cfg_TroyOz)/($II195),""),"")</f>
        <v/>
      </c>
      <c r="IS195" s="67">
        <f>IFERROR(IF(($IJ195)&gt;0,($IM195)/($IJ195),""),"")</f>
        <v/>
      </c>
      <c r="IT195" s="67">
        <f>IFERROR(IF(($IK195)&gt;0,($IN195)/($IK195),""),"")</f>
        <v/>
      </c>
      <c r="IU195" s="67">
        <f>IFERROR(IF(($IL195)&gt;0,($IO195)/($IL195),""),"")</f>
        <v/>
      </c>
      <c r="IV195" s="55">
        <f>SUMIFS(tblBudget[Gold_Poured_oz],tblBudget[Month],$E195)</f>
        <v/>
      </c>
      <c r="IW195" s="55">
        <f>$IV195*$C195/$D195</f>
        <v/>
      </c>
      <c r="IX195" s="55">
        <f>SUMIFS(tblBudget[Gold_Poured_oz],tblBudget[Month],"&lt;"&amp;$E195)+$IW195</f>
        <v/>
      </c>
      <c r="IY195" s="57">
        <f>SUMIFS(tblBudget[Hours_Worked],tblBudget[Month],$E195)</f>
        <v/>
      </c>
      <c r="IZ195" s="57">
        <f>$IY195*$C195/$D195</f>
        <v/>
      </c>
      <c r="JA195" s="57">
        <f>SUMIFS(tblBudget[Hours_Worked],tblBudget[Month],"&lt;"&amp;$E195)+$IZ195</f>
        <v/>
      </c>
    </row>
    <row r="196">
      <c r="A196" s="54" t="n">
        <v>46217</v>
      </c>
      <c r="B196">
        <f>MONTH($A196)</f>
        <v/>
      </c>
      <c r="C196">
        <f>DAY($A196)</f>
        <v/>
      </c>
      <c r="D196">
        <f>DAY(EOMONTH($A196,0))</f>
        <v/>
      </c>
      <c r="E196" s="54">
        <f>DATE(YEAR($A196),MONTH($A196),1)</f>
        <v/>
      </c>
      <c r="F196" s="55">
        <f>SUMIFS(tblMovement[Tonnes_t],tblMovement[Date],$A196,tblMovement[Is_Ore],1,tblMovement[Source_Type],"Pit")</f>
        <v/>
      </c>
      <c r="G196" s="55">
        <f>IF($B196=$B195,$G195,0)+$F196</f>
        <v/>
      </c>
      <c r="H196" s="55">
        <f>$H195+$F196</f>
        <v/>
      </c>
      <c r="I196" s="55">
        <f>SUMIFS(tblMovement[Ore_oz],tblMovement[Date],$A196,tblMovement[Source_Type],"Pit")</f>
        <v/>
      </c>
      <c r="J196" s="55">
        <f>IF($B196=$B195,$J195,0)+$I196</f>
        <v/>
      </c>
      <c r="K196" s="55">
        <f>$K195+$I196</f>
        <v/>
      </c>
      <c r="L196" s="56">
        <f>IFERROR(IF(($F196)&gt;0,($I196*cfg_TroyOz)/($F196),""),"")</f>
        <v/>
      </c>
      <c r="M196" s="56">
        <f>IFERROR(IF(($G196)&gt;0,($J196*cfg_TroyOz)/($G196),""),"")</f>
        <v/>
      </c>
      <c r="N196" s="56">
        <f>IFERROR(IF(($H196)&gt;0,($K196*cfg_TroyOz)/($H196),""),"")</f>
        <v/>
      </c>
      <c r="O196" s="55">
        <f>SUMIFS(tblMovement[Tonnes_t],tblMovement[Date],$A196,tblMovement[Is_Ore],0,tblMovement[Source_Type],"Pit")</f>
        <v/>
      </c>
      <c r="P196" s="55">
        <f>IF($B196=$B195,$P195,0)+$O196</f>
        <v/>
      </c>
      <c r="Q196" s="55">
        <f>$Q195+$O196</f>
        <v/>
      </c>
      <c r="R196" s="55">
        <f>$F196+$O196</f>
        <v/>
      </c>
      <c r="S196" s="55">
        <f>IF($B196=$B195,$S195,0)+$R196</f>
        <v/>
      </c>
      <c r="T196" s="55">
        <f>$T195+$R196</f>
        <v/>
      </c>
      <c r="U196" s="56">
        <f>IFERROR(IF(($F196)&gt;0,($O196)/($F196),""),"")</f>
        <v/>
      </c>
      <c r="V196" s="56">
        <f>IFERROR(IF(($G196)&gt;0,($P196)/($G196),""),"")</f>
        <v/>
      </c>
      <c r="W196" s="56">
        <f>IFERROR(IF(($H196)&gt;0,($Q196)/($H196),""),"")</f>
        <v/>
      </c>
      <c r="X196" s="55">
        <f>SUMIFS(tblMovement[Tonnes_t],tblMovement[Date],$A196,tblMovement[Source_Type],"Stockpile")</f>
        <v/>
      </c>
      <c r="Y196" s="55">
        <f>IF($B196=$B195,$Y195,0)+$X196</f>
        <v/>
      </c>
      <c r="Z196" s="55">
        <f>$Z195+$X196</f>
        <v/>
      </c>
      <c r="AA196" s="55">
        <f>SUMIFS(tblMiningDaily[Drill_m],tblMiningDaily[Date],$A196)</f>
        <v/>
      </c>
      <c r="AB196" s="55">
        <f>IF($B196=$B195,$AB195,0)+$AA196</f>
        <v/>
      </c>
      <c r="AC196" s="55">
        <f>$AC195+$AA196</f>
        <v/>
      </c>
      <c r="AD196" s="55">
        <f>SUMIFS(tblMiningDaily[Blast_t],tblMiningDaily[Date],$A196)</f>
        <v/>
      </c>
      <c r="AE196" s="55">
        <f>IF($B196=$B195,$AE195,0)+$AD196</f>
        <v/>
      </c>
      <c r="AF196" s="55">
        <f>$AF195+$AD196</f>
        <v/>
      </c>
      <c r="AG196" s="55">
        <f>SUMIFS(tblMiningDaily[Explosives_kg],tblMiningDaily[Date],$A196)</f>
        <v/>
      </c>
      <c r="AH196" s="55">
        <f>IF($B196=$B195,$AH195,0)+$AG196</f>
        <v/>
      </c>
      <c r="AI196" s="55">
        <f>$AI195+$AG196</f>
        <v/>
      </c>
      <c r="AJ196" s="56">
        <f>IFERROR(IF(($AD196)&gt;0,($AG196)/($AD196),""),"")</f>
        <v/>
      </c>
      <c r="AK196" s="56">
        <f>IFERROR(IF(($AE196)&gt;0,($AH196)/($AE196),""),"")</f>
        <v/>
      </c>
      <c r="AL196" s="56">
        <f>IFERROR(IF(($AF196)&gt;0,($AI196)/($AF196),""),"")</f>
        <v/>
      </c>
      <c r="AM196" s="55">
        <f>SUMIFS(tblMiningDaily[Diesel_L],tblMiningDaily[Date],$A196)</f>
        <v/>
      </c>
      <c r="AN196" s="55">
        <f>IF($B196=$B195,$AN195,0)+$AM196</f>
        <v/>
      </c>
      <c r="AO196" s="55">
        <f>$AO195+$AM196</f>
        <v/>
      </c>
      <c r="AP196" s="55">
        <f>SUMIFS(tblMiningDaily[Dewatering_m3],tblMiningDaily[Date],$A196)</f>
        <v/>
      </c>
      <c r="AQ196" s="55">
        <f>IF($B196=$B195,$AQ195,0)+$AP196</f>
        <v/>
      </c>
      <c r="AR196" s="55">
        <f>$AR195+$AP196</f>
        <v/>
      </c>
      <c r="AS196" s="57">
        <f>SUMIFS(tblFleet[Calendar_h],tblFleet[Date],$A196,tblFleet[Equipment_Class],"Excavator")</f>
        <v/>
      </c>
      <c r="AT196" s="57">
        <f>IF($B196=$B195,$AT195,0)+$AS196</f>
        <v/>
      </c>
      <c r="AU196" s="57">
        <f>$AU195+$AS196</f>
        <v/>
      </c>
      <c r="AV196" s="57">
        <f>SUMIFS(tblFleet[Available_h],tblFleet[Date],$A196,tblFleet[Equipment_Class],"Excavator")</f>
        <v/>
      </c>
      <c r="AW196" s="57">
        <f>IF($B196=$B195,$AW195,0)+$AV196</f>
        <v/>
      </c>
      <c r="AX196" s="57">
        <f>$AX195+$AV196</f>
        <v/>
      </c>
      <c r="AY196" s="57">
        <f>SUMIFS(tblFleet[Operating_h],tblFleet[Date],$A196,tblFleet[Equipment_Class],"Excavator")</f>
        <v/>
      </c>
      <c r="AZ196" s="57">
        <f>IF($B196=$B195,$AZ195,0)+$AY196</f>
        <v/>
      </c>
      <c r="BA196" s="57">
        <f>$BA195+$AY196</f>
        <v/>
      </c>
      <c r="BB196" s="67">
        <f>IFERROR(IF(($AS196)&gt;0,($AV196)/($AS196),""),"")</f>
        <v/>
      </c>
      <c r="BC196" s="67">
        <f>IFERROR(IF(($AT196)&gt;0,($AW196)/($AT196),""),"")</f>
        <v/>
      </c>
      <c r="BD196" s="67">
        <f>IFERROR(IF(($AU196)&gt;0,($AX196)/($AU196),""),"")</f>
        <v/>
      </c>
      <c r="BE196" s="67">
        <f>IFERROR(IF(($AV196)&gt;0,($AY196)/($AV196),""),"")</f>
        <v/>
      </c>
      <c r="BF196" s="67">
        <f>IFERROR(IF(($AW196)&gt;0,($AZ196)/($AW196),""),"")</f>
        <v/>
      </c>
      <c r="BG196" s="67">
        <f>IFERROR(IF(($AX196)&gt;0,($BA196)/($AX196),""),"")</f>
        <v/>
      </c>
      <c r="BH196" s="57">
        <f>SUMIFS(tblFleet[Calendar_h],tblFleet[Date],$A196,tblFleet[Equipment_Class],"Haul Truck")</f>
        <v/>
      </c>
      <c r="BI196" s="57">
        <f>IF($B196=$B195,$BI195,0)+$BH196</f>
        <v/>
      </c>
      <c r="BJ196" s="57">
        <f>$BJ195+$BH196</f>
        <v/>
      </c>
      <c r="BK196" s="57">
        <f>SUMIFS(tblFleet[Available_h],tblFleet[Date],$A196,tblFleet[Equipment_Class],"Haul Truck")</f>
        <v/>
      </c>
      <c r="BL196" s="57">
        <f>IF($B196=$B195,$BL195,0)+$BK196</f>
        <v/>
      </c>
      <c r="BM196" s="57">
        <f>$BM195+$BK196</f>
        <v/>
      </c>
      <c r="BN196" s="57">
        <f>SUMIFS(tblFleet[Operating_h],tblFleet[Date],$A196,tblFleet[Equipment_Class],"Haul Truck")</f>
        <v/>
      </c>
      <c r="BO196" s="57">
        <f>IF($B196=$B195,$BO195,0)+$BN196</f>
        <v/>
      </c>
      <c r="BP196" s="57">
        <f>$BP195+$BN196</f>
        <v/>
      </c>
      <c r="BQ196" s="67">
        <f>IFERROR(IF(($BH196)&gt;0,($BK196)/($BH196),""),"")</f>
        <v/>
      </c>
      <c r="BR196" s="67">
        <f>IFERROR(IF(($BI196)&gt;0,($BL196)/($BI196),""),"")</f>
        <v/>
      </c>
      <c r="BS196" s="67">
        <f>IFERROR(IF(($BJ196)&gt;0,($BM196)/($BJ196),""),"")</f>
        <v/>
      </c>
      <c r="BT196" s="67">
        <f>IFERROR(IF(($BK196)&gt;0,($BN196)/($BK196),""),"")</f>
        <v/>
      </c>
      <c r="BU196" s="67">
        <f>IFERROR(IF(($BL196)&gt;0,($BO196)/($BL196),""),"")</f>
        <v/>
      </c>
      <c r="BV196" s="67">
        <f>IFERROR(IF(($BM196)&gt;0,($BP196)/($BM196),""),"")</f>
        <v/>
      </c>
      <c r="BW196" s="55">
        <f>SUMIFS(tblPlant[Crushed_t],tblPlant[Date],$A196)</f>
        <v/>
      </c>
      <c r="BX196" s="55">
        <f>IF($B196=$B195,$BX195,0)+$BW196</f>
        <v/>
      </c>
      <c r="BY196" s="55">
        <f>$BY195+$BW196</f>
        <v/>
      </c>
      <c r="BZ196" s="55">
        <f>SUMIFS(tblPlant[Milled_t],tblPlant[Date],$A196)</f>
        <v/>
      </c>
      <c r="CA196" s="55">
        <f>IF($B196=$B195,$CA195,0)+$BZ196</f>
        <v/>
      </c>
      <c r="CB196" s="55">
        <f>$CB195+$BZ196</f>
        <v/>
      </c>
      <c r="CC196" s="55">
        <f>SUMIFS(tblPlant[Feed_oz],tblPlant[Date],$A196)</f>
        <v/>
      </c>
      <c r="CD196" s="55">
        <f>IF($B196=$B195,$CD195,0)+$CC196</f>
        <v/>
      </c>
      <c r="CE196" s="55">
        <f>$CE195+$CC196</f>
        <v/>
      </c>
      <c r="CF196" s="55">
        <f>SUMIFS(tblPlant[Tails_oz],tblPlant[Date],$A196)</f>
        <v/>
      </c>
      <c r="CG196" s="55">
        <f>IF($B196=$B195,$CG195,0)+$CF196</f>
        <v/>
      </c>
      <c r="CH196" s="55">
        <f>$CH195+$CF196</f>
        <v/>
      </c>
      <c r="CI196" s="55">
        <f>SUMIFS(tblPlant[Recovered_oz],tblPlant[Date],$A196)</f>
        <v/>
      </c>
      <c r="CJ196" s="55">
        <f>IF($B196=$B195,$CJ195,0)+$CI196</f>
        <v/>
      </c>
      <c r="CK196" s="55">
        <f>$CK195+$CI196</f>
        <v/>
      </c>
      <c r="CL196" s="56">
        <f>IFERROR(IF(($BZ196)&gt;0,($CC196*cfg_TroyOz)/($BZ196),""),"")</f>
        <v/>
      </c>
      <c r="CM196" s="56">
        <f>IFERROR(IF(($CA196)&gt;0,($CD196*cfg_TroyOz)/($CA196),""),"")</f>
        <v/>
      </c>
      <c r="CN196" s="56">
        <f>IFERROR(IF(($CB196)&gt;0,($CE196*cfg_TroyOz)/($CB196),""),"")</f>
        <v/>
      </c>
      <c r="CO196" s="56">
        <f>IFERROR(IF(($BZ196)&gt;0,($CF196*cfg_TroyOz)/($BZ196),""),"")</f>
        <v/>
      </c>
      <c r="CP196" s="56">
        <f>IFERROR(IF(($CA196)&gt;0,($CG196*cfg_TroyOz)/($CA196),""),"")</f>
        <v/>
      </c>
      <c r="CQ196" s="56">
        <f>IFERROR(IF(($CB196)&gt;0,($CH196*cfg_TroyOz)/($CB196),""),"")</f>
        <v/>
      </c>
      <c r="CR196" s="67">
        <f>IFERROR(IF(($CC196)&gt;0,($CI196)/($CC196),""),"")</f>
        <v/>
      </c>
      <c r="CS196" s="67">
        <f>IFERROR(IF(($CD196)&gt;0,($CJ196)/($CD196),""),"")</f>
        <v/>
      </c>
      <c r="CT196" s="67">
        <f>IFERROR(IF(($CE196)&gt;0,($CK196)/($CE196),""),"")</f>
        <v/>
      </c>
      <c r="CU196" s="55">
        <f>SUMIFS(tblPlant[Gravity_Gold_oz],tblPlant[Date],$A196)</f>
        <v/>
      </c>
      <c r="CV196" s="55">
        <f>IF($B196=$B195,$CV195,0)+$CU196</f>
        <v/>
      </c>
      <c r="CW196" s="55">
        <f>$CW195+$CU196</f>
        <v/>
      </c>
      <c r="CX196" s="55">
        <f>SUMIFS(tblPlant[Gold_Poured_oz],tblPlant[Date],$A196)</f>
        <v/>
      </c>
      <c r="CY196" s="55">
        <f>IF($B196=$B195,$CY195,0)+$CX196</f>
        <v/>
      </c>
      <c r="CZ196" s="55">
        <f>$CZ195+$CX196</f>
        <v/>
      </c>
      <c r="DA196" s="57">
        <f>SUMIFS(tblPlant[Mill_Run_h],tblPlant[Date],$A196)</f>
        <v/>
      </c>
      <c r="DB196" s="57">
        <f>IF($B196=$B195,$DB195,0)+$DA196</f>
        <v/>
      </c>
      <c r="DC196" s="57">
        <f>$DC195+$DA196</f>
        <v/>
      </c>
      <c r="DD196" s="57">
        <f>SUMIFS(tblPlant[Mill_Planned_Maint_h],tblPlant[Date],$A196)</f>
        <v/>
      </c>
      <c r="DE196" s="57">
        <f>IF($B196=$B195,$DE195,0)+$DD196</f>
        <v/>
      </c>
      <c r="DF196" s="57">
        <f>$DF195+$DD196</f>
        <v/>
      </c>
      <c r="DG196" s="57">
        <f>SUMIFS(tblPlant[Mill_Unplanned_Down_h],tblPlant[Date],$A196)</f>
        <v/>
      </c>
      <c r="DH196" s="57">
        <f>IF($B196=$B195,$DH195,0)+$DG196</f>
        <v/>
      </c>
      <c r="DI196" s="57">
        <f>$DI195+$DG196</f>
        <v/>
      </c>
      <c r="DJ196" s="57">
        <f>COUNTIFS(tblPlant[Date],$A196,tblPlant[Mill_Run_h],"&lt;&gt;")*24</f>
        <v/>
      </c>
      <c r="DK196" s="57">
        <f>IF($B196=$B195,$DK195,0)+$DJ196</f>
        <v/>
      </c>
      <c r="DL196" s="57">
        <f>$DL195+$DJ196</f>
        <v/>
      </c>
      <c r="DM196" s="57">
        <f>SUMIFS(tblPlant[Crusher_Run_h],tblPlant[Date],$A196)</f>
        <v/>
      </c>
      <c r="DN196" s="57">
        <f>IF($B196=$B195,$DN195,0)+$DM196</f>
        <v/>
      </c>
      <c r="DO196" s="57">
        <f>$DO195+$DM196</f>
        <v/>
      </c>
      <c r="DP196" s="55">
        <f>IFERROR(IF(($DA196)&gt;0,($BZ196)/($DA196),""),"")</f>
        <v/>
      </c>
      <c r="DQ196" s="55">
        <f>IFERROR(IF(($DB196)&gt;0,($CA196)/($DB196),""),"")</f>
        <v/>
      </c>
      <c r="DR196" s="55">
        <f>IFERROR(IF(($DC196)&gt;0,($CB196)/($DC196),""),"")</f>
        <v/>
      </c>
      <c r="DS196" s="67">
        <f>IFERROR(IF(($DJ196)&gt;0,($DJ196-$DD196-$DG196)/($DJ196),""),"")</f>
        <v/>
      </c>
      <c r="DT196" s="67">
        <f>IFERROR(IF(($DK196)&gt;0,($DK196-$DE196-$DH196)/($DK196),""),"")</f>
        <v/>
      </c>
      <c r="DU196" s="67">
        <f>IFERROR(IF(($DL196)&gt;0,($DL196-$DF196-$DI196)/($DL196),""),"")</f>
        <v/>
      </c>
      <c r="DV196" s="67">
        <f>IFERROR(IF(($DJ196-$DD196-$DG196)&gt;0,($DA196)/($DJ196-$DD196-$DG196),""),"")</f>
        <v/>
      </c>
      <c r="DW196" s="67">
        <f>IFERROR(IF(($DK196-$DE196-$DH196)&gt;0,($DB196)/($DK196-$DE196-$DH196),""),"")</f>
        <v/>
      </c>
      <c r="DX196" s="67">
        <f>IFERROR(IF(($DL196-$DF196-$DI196)&gt;0,($DC196)/($DL196-$DF196-$DI196),""),"")</f>
        <v/>
      </c>
      <c r="DY196" s="55">
        <f>SUMIFS(tblPlant[Cyanide_kg],tblPlant[Date],$A196)</f>
        <v/>
      </c>
      <c r="DZ196" s="55">
        <f>IF($B196=$B195,$DZ195,0)+$DY196</f>
        <v/>
      </c>
      <c r="EA196" s="55">
        <f>$EA195+$DY196</f>
        <v/>
      </c>
      <c r="EB196" s="55">
        <f>SUMIFS(tblPlant[Lime_kg],tblPlant[Date],$A196)</f>
        <v/>
      </c>
      <c r="EC196" s="55">
        <f>IF($B196=$B195,$EC195,0)+$EB196</f>
        <v/>
      </c>
      <c r="ED196" s="55">
        <f>$ED195+$EB196</f>
        <v/>
      </c>
      <c r="EE196" s="55">
        <f>SUMIFS(tblPlant[Grinding_Media_kg],tblPlant[Date],$A196)</f>
        <v/>
      </c>
      <c r="EF196" s="55">
        <f>IF($B196=$B195,$EF195,0)+$EE196</f>
        <v/>
      </c>
      <c r="EG196" s="55">
        <f>$EG195+$EE196</f>
        <v/>
      </c>
      <c r="EH196" s="55">
        <f>SUMIFS(tblPlant[Power_kWh],tblPlant[Date],$A196)</f>
        <v/>
      </c>
      <c r="EI196" s="55">
        <f>IF($B196=$B195,$EI195,0)+$EH196</f>
        <v/>
      </c>
      <c r="EJ196" s="55">
        <f>$EJ195+$EH196</f>
        <v/>
      </c>
      <c r="EK196" s="55">
        <f>SUMIFS(tblPlant[Raw_Water_m3],tblPlant[Date],$A196)</f>
        <v/>
      </c>
      <c r="EL196" s="55">
        <f>IF($B196=$B195,$EL195,0)+$EK196</f>
        <v/>
      </c>
      <c r="EM196" s="55">
        <f>$EM195+$EK196</f>
        <v/>
      </c>
      <c r="EN196" s="56">
        <f>IFERROR(IF(($BZ196)&gt;0,($DY196)/($BZ196),""),"")</f>
        <v/>
      </c>
      <c r="EO196" s="56">
        <f>IFERROR(IF(($CA196)&gt;0,($DZ196)/($CA196),""),"")</f>
        <v/>
      </c>
      <c r="EP196" s="56">
        <f>IFERROR(IF(($CB196)&gt;0,($EA196)/($CB196),""),"")</f>
        <v/>
      </c>
      <c r="EQ196" s="56">
        <f>IFERROR(IF(($BZ196)&gt;0,($EB196)/($BZ196),""),"")</f>
        <v/>
      </c>
      <c r="ER196" s="56">
        <f>IFERROR(IF(($CA196)&gt;0,($EC196)/($CA196),""),"")</f>
        <v/>
      </c>
      <c r="ES196" s="56">
        <f>IFERROR(IF(($CB196)&gt;0,($ED196)/($CB196),""),"")</f>
        <v/>
      </c>
      <c r="ET196" s="56">
        <f>IFERROR(IF(($BZ196)&gt;0,($EE196)/($BZ196),""),"")</f>
        <v/>
      </c>
      <c r="EU196" s="56">
        <f>IFERROR(IF(($CA196)&gt;0,($EF196)/($CA196),""),"")</f>
        <v/>
      </c>
      <c r="EV196" s="56">
        <f>IFERROR(IF(($CB196)&gt;0,($EG196)/($CB196),""),"")</f>
        <v/>
      </c>
      <c r="EW196" s="76">
        <f>IFERROR(IF(($BZ196)&gt;0,($EH196)/($BZ196),""),"")</f>
        <v/>
      </c>
      <c r="EX196" s="76">
        <f>IFERROR(IF(($CA196)&gt;0,($EI196)/($CA196),""),"")</f>
        <v/>
      </c>
      <c r="EY196" s="76">
        <f>IFERROR(IF(($CB196)&gt;0,($EJ196)/($CB196),""),"")</f>
        <v/>
      </c>
      <c r="EZ196" s="56">
        <f>IFERROR(IF(($BZ196)&gt;0,($EK196)/($BZ196),""),"")</f>
        <v/>
      </c>
      <c r="FA196" s="56">
        <f>IFERROR(IF(($CA196)&gt;0,($EL196)/($CA196),""),"")</f>
        <v/>
      </c>
      <c r="FB196" s="56">
        <f>IFERROR(IF(($CB196)&gt;0,($EM196)/($CB196),""),"")</f>
        <v/>
      </c>
      <c r="FC196" s="55">
        <f>IF(SUMIFS(tblPlant[GIC_oz],tblPlant[Date],$A196)&gt;0,SUMIFS(tblPlant[GIC_oz],tblPlant[Date],$A196),"")</f>
        <v/>
      </c>
      <c r="FD196" s="55">
        <f>SUMIFS(tblGold[Gold_oz],tblGold[Date],$A196,tblGold[Type],"Shipment")</f>
        <v/>
      </c>
      <c r="FE196" s="55">
        <f>IF($B196=$B195,$FE195,0)+$FD196</f>
        <v/>
      </c>
      <c r="FF196" s="55">
        <f>$FF195+$FD196</f>
        <v/>
      </c>
      <c r="FG196" s="55">
        <f>SUMIFS(tblGold[Gold_oz],tblGold[Date],$A196,tblGold[Type],"Sale")</f>
        <v/>
      </c>
      <c r="FH196" s="55">
        <f>IF($B196=$B195,$FH195,0)+$FG196</f>
        <v/>
      </c>
      <c r="FI196" s="55">
        <f>$FI195+$FG196</f>
        <v/>
      </c>
      <c r="FJ196" s="55">
        <f>SUMIFS(tblGold[Dore_kg],tblGold[Date],$A196,tblGold[Type],"Shipment")</f>
        <v/>
      </c>
      <c r="FK196" s="55">
        <f>IF($B196=$B195,$FK195,0)+$FJ196</f>
        <v/>
      </c>
      <c r="FL196" s="55">
        <f>$FL195+$FJ196</f>
        <v/>
      </c>
      <c r="FM196" s="57">
        <f>SUMIFS(tblSafety[Hours_Total],tblSafety[Date],$A196)</f>
        <v/>
      </c>
      <c r="FN196" s="57">
        <f>IF($B196=$B195,$FN195,0)+$FM196</f>
        <v/>
      </c>
      <c r="FO196" s="57">
        <f>$FO195+$FM196</f>
        <v/>
      </c>
      <c r="FP196" s="62">
        <f>SUMIFS(tblSafety[Fatality],tblSafety[Date],$A196)</f>
        <v/>
      </c>
      <c r="FQ196" s="62">
        <f>IF($B196=$B195,$FQ195,0)+$FP196</f>
        <v/>
      </c>
      <c r="FR196" s="62">
        <f>$FR195+$FP196</f>
        <v/>
      </c>
      <c r="FS196" s="62">
        <f>SUMIFS(tblSafety[LTI],tblSafety[Date],$A196)</f>
        <v/>
      </c>
      <c r="FT196" s="62">
        <f>IF($B196=$B195,$FT195,0)+$FS196</f>
        <v/>
      </c>
      <c r="FU196" s="62">
        <f>$FU195+$FS196</f>
        <v/>
      </c>
      <c r="FV196" s="62">
        <f>SUMIFS(tblSafety[RWI],tblSafety[Date],$A196)</f>
        <v/>
      </c>
      <c r="FW196" s="62">
        <f>IF($B196=$B195,$FW195,0)+$FV196</f>
        <v/>
      </c>
      <c r="FX196" s="62">
        <f>$FX195+$FV196</f>
        <v/>
      </c>
      <c r="FY196" s="62">
        <f>SUMIFS(tblSafety[MTI],tblSafety[Date],$A196)</f>
        <v/>
      </c>
      <c r="FZ196" s="62">
        <f>IF($B196=$B195,$FZ195,0)+$FY196</f>
        <v/>
      </c>
      <c r="GA196" s="62">
        <f>$GA195+$FY196</f>
        <v/>
      </c>
      <c r="GB196" s="62">
        <f>SUMIFS(tblSafety[FAI],tblSafety[Date],$A196)</f>
        <v/>
      </c>
      <c r="GC196" s="62">
        <f>IF($B196=$B195,$GC195,0)+$GB196</f>
        <v/>
      </c>
      <c r="GD196" s="62">
        <f>$GD195+$GB196</f>
        <v/>
      </c>
      <c r="GE196" s="62">
        <f>SUMIFS(tblSafety[Recordables],tblSafety[Date],$A196)</f>
        <v/>
      </c>
      <c r="GF196" s="62">
        <f>IF($B196=$B195,$GF195,0)+$GE196</f>
        <v/>
      </c>
      <c r="GG196" s="62">
        <f>$GG195+$GE196</f>
        <v/>
      </c>
      <c r="GH196" s="62">
        <f>SUMIFS(tblSafety[Near_Miss],tblSafety[Date],$A196)</f>
        <v/>
      </c>
      <c r="GI196" s="62">
        <f>IF($B196=$B195,$GI195,0)+$GH196</f>
        <v/>
      </c>
      <c r="GJ196" s="62">
        <f>$GJ195+$GH196</f>
        <v/>
      </c>
      <c r="GK196" s="62">
        <f>SUMIFS(tblSafety[Hazard_Reports],tblSafety[Date],$A196)</f>
        <v/>
      </c>
      <c r="GL196" s="62">
        <f>IF($B196=$B195,$GL195,0)+$GK196</f>
        <v/>
      </c>
      <c r="GM196" s="62">
        <f>$GM195+$GK196</f>
        <v/>
      </c>
      <c r="GN196" s="62">
        <f>SUMIFS(tblSafety[HPI],tblSafety[Date],$A196)</f>
        <v/>
      </c>
      <c r="GO196" s="62">
        <f>IF($B196=$B195,$GO195,0)+$GN196</f>
        <v/>
      </c>
      <c r="GP196" s="62">
        <f>$GP195+$GN196</f>
        <v/>
      </c>
      <c r="GQ196" s="62">
        <f>SUMIFS(tblSafety[Env_Incidents],tblSafety[Date],$A196)</f>
        <v/>
      </c>
      <c r="GR196" s="62">
        <f>IF($B196=$B195,$GR195,0)+$GQ196</f>
        <v/>
      </c>
      <c r="GS196" s="62">
        <f>$GS195+$GQ196</f>
        <v/>
      </c>
      <c r="GT196" s="62">
        <f>SUMIFS(tblSafety[Community_Incidents],tblSafety[Date],$A196)</f>
        <v/>
      </c>
      <c r="GU196" s="62">
        <f>IF($B196=$B195,$GU195,0)+$GT196</f>
        <v/>
      </c>
      <c r="GV196" s="62">
        <f>$GV195+$GT196</f>
        <v/>
      </c>
      <c r="GW196" s="62">
        <f>SUMIFS(tblSafety[Vehicle_Incidents],tblSafety[Date],$A196)</f>
        <v/>
      </c>
      <c r="GX196" s="62">
        <f>IF($B196=$B195,$GX195,0)+$GW196</f>
        <v/>
      </c>
      <c r="GY196" s="62">
        <f>$GY195+$GW196</f>
        <v/>
      </c>
      <c r="GZ196" s="62">
        <f>SUMIFS(tblSafety[Toolbox_Talks],tblSafety[Date],$A196)</f>
        <v/>
      </c>
      <c r="HA196" s="62">
        <f>IF($B196=$B195,$HA195,0)+$GZ196</f>
        <v/>
      </c>
      <c r="HB196" s="62">
        <f>$HB195+$GZ196</f>
        <v/>
      </c>
      <c r="HC196" s="62">
        <f>SUMIFS(tblSafety[Inspections],tblSafety[Date],$A196)</f>
        <v/>
      </c>
      <c r="HD196" s="62">
        <f>IF($B196=$B195,$HD195,0)+$HC196</f>
        <v/>
      </c>
      <c r="HE196" s="62">
        <f>$HE195+$HC196</f>
        <v/>
      </c>
      <c r="HF196" s="56">
        <f>IFERROR((SUMIFS(tblSafety[Recordables],tblSafety[Date],"&gt;="&amp;EDATE($E196,-12),tblSafety[Date],"&lt;="&amp;$A196)+SUMIFS(tblSafetyHistory[Recordables],tblSafetyHistory[Month],"&gt;="&amp;EDATE($E196,-12),tblSafetyHistory[Month],"&lt;"&amp;cfg_YearStart))/(SUMIFS(tblSafety[Hours_Total],tblSafety[Date],"&gt;="&amp;EDATE($E196,-12),tblSafety[Date],"&lt;="&amp;$A196)+SUMIFS(tblSafetyHistory[Hours_Total],tblSafetyHistory[Month],"&gt;="&amp;EDATE($E196,-12),tblSafetyHistory[Month],"&lt;"&amp;cfg_YearStart))*1000000,"")</f>
        <v/>
      </c>
      <c r="HG196" s="56">
        <f>IFERROR((SUMIFS(tblSafety[LTI],tblSafety[Date],"&gt;="&amp;EDATE($E196,-12),tblSafety[Date],"&lt;="&amp;$A196)+SUMIFS(tblSafetyHistory[LTI],tblSafetyHistory[Month],"&gt;="&amp;EDATE($E196,-12),tblSafetyHistory[Month],"&lt;"&amp;cfg_YearStart))/(SUMIFS(tblSafety[Hours_Total],tblSafety[Date],"&gt;="&amp;EDATE($E196,-12),tblSafety[Date],"&lt;="&amp;$A196)+SUMIFS(tblSafetyHistory[Hours_Total],tblSafetyHistory[Month],"&gt;="&amp;EDATE($E196,-12),tblSafetyHistory[Month],"&lt;"&amp;cfg_YearStart))*1000000,"")</f>
        <v/>
      </c>
      <c r="HH196" s="62">
        <f>IF(MAX(N(cfg_PriorLTIDate),_xlfn.MAXIFS(tblSafety[Date],tblSafety[LTI],"&gt;0",tblSafety[Date],"&lt;="&amp;$A196))=0,"",$A196-MAX(N(cfg_PriorLTIDate),_xlfn.MAXIFS(tblSafety[Date],tblSafety[LTI],"&gt;0",tblSafety[Date],"&lt;="&amp;$A196)))</f>
        <v/>
      </c>
      <c r="HI196" s="55">
        <f>SUMIFS(tblBudget[Ore_Mined_t],tblBudget[Month],$E196)</f>
        <v/>
      </c>
      <c r="HJ196" s="55">
        <f>$HI196*$C196/$D196</f>
        <v/>
      </c>
      <c r="HK196" s="55">
        <f>SUMIFS(tblBudget[Ore_Mined_t],tblBudget[Month],"&lt;"&amp;$E196)+$HJ196</f>
        <v/>
      </c>
      <c r="HL196" s="55">
        <f>SUMIFS(tblBudget[Ore_oz],tblBudget[Month],$E196)</f>
        <v/>
      </c>
      <c r="HM196" s="55">
        <f>$HL196*$C196/$D196</f>
        <v/>
      </c>
      <c r="HN196" s="55">
        <f>SUMIFS(tblBudget[Ore_oz],tblBudget[Month],"&lt;"&amp;$E196)+$HM196</f>
        <v/>
      </c>
      <c r="HO196" s="56">
        <f>IFERROR(IF(($HI196)&gt;0,($HL196*cfg_TroyOz)/($HI196),""),"")</f>
        <v/>
      </c>
      <c r="HP196" s="56">
        <f>IFERROR(IF(($HJ196)&gt;0,($HM196*cfg_TroyOz)/($HJ196),""),"")</f>
        <v/>
      </c>
      <c r="HQ196" s="56">
        <f>IFERROR(IF(($HK196)&gt;0,($HN196*cfg_TroyOz)/($HK196),""),"")</f>
        <v/>
      </c>
      <c r="HR196" s="55">
        <f>SUMIFS(tblBudget[Waste_t],tblBudget[Month],$E196)</f>
        <v/>
      </c>
      <c r="HS196" s="55">
        <f>$HR196*$C196/$D196</f>
        <v/>
      </c>
      <c r="HT196" s="55">
        <f>SUMIFS(tblBudget[Waste_t],tblBudget[Month],"&lt;"&amp;$E196)+$HS196</f>
        <v/>
      </c>
      <c r="HU196" s="55">
        <f>SUMIFS(tblBudget[TMM_t],tblBudget[Month],$E196)</f>
        <v/>
      </c>
      <c r="HV196" s="55">
        <f>$HU196*$C196/$D196</f>
        <v/>
      </c>
      <c r="HW196" s="55">
        <f>SUMIFS(tblBudget[TMM_t],tblBudget[Month],"&lt;"&amp;$E196)+$HV196</f>
        <v/>
      </c>
      <c r="HX196" s="56">
        <f>IFERROR(IF(($HI196)&gt;0,($HR196)/($HI196),""),"")</f>
        <v/>
      </c>
      <c r="HY196" s="56">
        <f>IFERROR(IF(($HJ196)&gt;0,($HS196)/($HJ196),""),"")</f>
        <v/>
      </c>
      <c r="HZ196" s="56">
        <f>IFERROR(IF(($HK196)&gt;0,($HT196)/($HK196),""),"")</f>
        <v/>
      </c>
      <c r="IA196" s="55">
        <f>SUMIFS(tblBudget[Drill_m],tblBudget[Month],$E196)</f>
        <v/>
      </c>
      <c r="IB196" s="55">
        <f>$IA196*$C196/$D196</f>
        <v/>
      </c>
      <c r="IC196" s="55">
        <f>SUMIFS(tblBudget[Drill_m],tblBudget[Month],"&lt;"&amp;$E196)+$IB196</f>
        <v/>
      </c>
      <c r="ID196" s="55">
        <f>SUMIFS(tblBudget[Diesel_L],tblBudget[Month],$E196)</f>
        <v/>
      </c>
      <c r="IE196" s="55">
        <f>$ID196*$C196/$D196</f>
        <v/>
      </c>
      <c r="IF196" s="55">
        <f>SUMIFS(tblBudget[Diesel_L],tblBudget[Month],"&lt;"&amp;$E196)+$IE196</f>
        <v/>
      </c>
      <c r="IG196" s="55">
        <f>SUMIFS(tblBudget[Milled_t],tblBudget[Month],$E196)</f>
        <v/>
      </c>
      <c r="IH196" s="55">
        <f>$IG196*$C196/$D196</f>
        <v/>
      </c>
      <c r="II196" s="55">
        <f>SUMIFS(tblBudget[Milled_t],tblBudget[Month],"&lt;"&amp;$E196)+$IH196</f>
        <v/>
      </c>
      <c r="IJ196" s="55">
        <f>SUMIFS(tblBudget[Feed_oz],tblBudget[Month],$E196)</f>
        <v/>
      </c>
      <c r="IK196" s="55">
        <f>$IJ196*$C196/$D196</f>
        <v/>
      </c>
      <c r="IL196" s="55">
        <f>SUMIFS(tblBudget[Feed_oz],tblBudget[Month],"&lt;"&amp;$E196)+$IK196</f>
        <v/>
      </c>
      <c r="IM196" s="55">
        <f>SUMIFS(tblBudget[Recovered_oz],tblBudget[Month],$E196)</f>
        <v/>
      </c>
      <c r="IN196" s="55">
        <f>$IM196*$C196/$D196</f>
        <v/>
      </c>
      <c r="IO196" s="55">
        <f>SUMIFS(tblBudget[Recovered_oz],tblBudget[Month],"&lt;"&amp;$E196)+$IN196</f>
        <v/>
      </c>
      <c r="IP196" s="56">
        <f>IFERROR(IF(($IG196)&gt;0,($IJ196*cfg_TroyOz)/($IG196),""),"")</f>
        <v/>
      </c>
      <c r="IQ196" s="56">
        <f>IFERROR(IF(($IH196)&gt;0,($IK196*cfg_TroyOz)/($IH196),""),"")</f>
        <v/>
      </c>
      <c r="IR196" s="56">
        <f>IFERROR(IF(($II196)&gt;0,($IL196*cfg_TroyOz)/($II196),""),"")</f>
        <v/>
      </c>
      <c r="IS196" s="67">
        <f>IFERROR(IF(($IJ196)&gt;0,($IM196)/($IJ196),""),"")</f>
        <v/>
      </c>
      <c r="IT196" s="67">
        <f>IFERROR(IF(($IK196)&gt;0,($IN196)/($IK196),""),"")</f>
        <v/>
      </c>
      <c r="IU196" s="67">
        <f>IFERROR(IF(($IL196)&gt;0,($IO196)/($IL196),""),"")</f>
        <v/>
      </c>
      <c r="IV196" s="55">
        <f>SUMIFS(tblBudget[Gold_Poured_oz],tblBudget[Month],$E196)</f>
        <v/>
      </c>
      <c r="IW196" s="55">
        <f>$IV196*$C196/$D196</f>
        <v/>
      </c>
      <c r="IX196" s="55">
        <f>SUMIFS(tblBudget[Gold_Poured_oz],tblBudget[Month],"&lt;"&amp;$E196)+$IW196</f>
        <v/>
      </c>
      <c r="IY196" s="57">
        <f>SUMIFS(tblBudget[Hours_Worked],tblBudget[Month],$E196)</f>
        <v/>
      </c>
      <c r="IZ196" s="57">
        <f>$IY196*$C196/$D196</f>
        <v/>
      </c>
      <c r="JA196" s="57">
        <f>SUMIFS(tblBudget[Hours_Worked],tblBudget[Month],"&lt;"&amp;$E196)+$IZ196</f>
        <v/>
      </c>
    </row>
    <row r="197">
      <c r="A197" s="54" t="n">
        <v>46218</v>
      </c>
      <c r="B197">
        <f>MONTH($A197)</f>
        <v/>
      </c>
      <c r="C197">
        <f>DAY($A197)</f>
        <v/>
      </c>
      <c r="D197">
        <f>DAY(EOMONTH($A197,0))</f>
        <v/>
      </c>
      <c r="E197" s="54">
        <f>DATE(YEAR($A197),MONTH($A197),1)</f>
        <v/>
      </c>
      <c r="F197" s="55">
        <f>SUMIFS(tblMovement[Tonnes_t],tblMovement[Date],$A197,tblMovement[Is_Ore],1,tblMovement[Source_Type],"Pit")</f>
        <v/>
      </c>
      <c r="G197" s="55">
        <f>IF($B197=$B196,$G196,0)+$F197</f>
        <v/>
      </c>
      <c r="H197" s="55">
        <f>$H196+$F197</f>
        <v/>
      </c>
      <c r="I197" s="55">
        <f>SUMIFS(tblMovement[Ore_oz],tblMovement[Date],$A197,tblMovement[Source_Type],"Pit")</f>
        <v/>
      </c>
      <c r="J197" s="55">
        <f>IF($B197=$B196,$J196,0)+$I197</f>
        <v/>
      </c>
      <c r="K197" s="55">
        <f>$K196+$I197</f>
        <v/>
      </c>
      <c r="L197" s="56">
        <f>IFERROR(IF(($F197)&gt;0,($I197*cfg_TroyOz)/($F197),""),"")</f>
        <v/>
      </c>
      <c r="M197" s="56">
        <f>IFERROR(IF(($G197)&gt;0,($J197*cfg_TroyOz)/($G197),""),"")</f>
        <v/>
      </c>
      <c r="N197" s="56">
        <f>IFERROR(IF(($H197)&gt;0,($K197*cfg_TroyOz)/($H197),""),"")</f>
        <v/>
      </c>
      <c r="O197" s="55">
        <f>SUMIFS(tblMovement[Tonnes_t],tblMovement[Date],$A197,tblMovement[Is_Ore],0,tblMovement[Source_Type],"Pit")</f>
        <v/>
      </c>
      <c r="P197" s="55">
        <f>IF($B197=$B196,$P196,0)+$O197</f>
        <v/>
      </c>
      <c r="Q197" s="55">
        <f>$Q196+$O197</f>
        <v/>
      </c>
      <c r="R197" s="55">
        <f>$F197+$O197</f>
        <v/>
      </c>
      <c r="S197" s="55">
        <f>IF($B197=$B196,$S196,0)+$R197</f>
        <v/>
      </c>
      <c r="T197" s="55">
        <f>$T196+$R197</f>
        <v/>
      </c>
      <c r="U197" s="56">
        <f>IFERROR(IF(($F197)&gt;0,($O197)/($F197),""),"")</f>
        <v/>
      </c>
      <c r="V197" s="56">
        <f>IFERROR(IF(($G197)&gt;0,($P197)/($G197),""),"")</f>
        <v/>
      </c>
      <c r="W197" s="56">
        <f>IFERROR(IF(($H197)&gt;0,($Q197)/($H197),""),"")</f>
        <v/>
      </c>
      <c r="X197" s="55">
        <f>SUMIFS(tblMovement[Tonnes_t],tblMovement[Date],$A197,tblMovement[Source_Type],"Stockpile")</f>
        <v/>
      </c>
      <c r="Y197" s="55">
        <f>IF($B197=$B196,$Y196,0)+$X197</f>
        <v/>
      </c>
      <c r="Z197" s="55">
        <f>$Z196+$X197</f>
        <v/>
      </c>
      <c r="AA197" s="55">
        <f>SUMIFS(tblMiningDaily[Drill_m],tblMiningDaily[Date],$A197)</f>
        <v/>
      </c>
      <c r="AB197" s="55">
        <f>IF($B197=$B196,$AB196,0)+$AA197</f>
        <v/>
      </c>
      <c r="AC197" s="55">
        <f>$AC196+$AA197</f>
        <v/>
      </c>
      <c r="AD197" s="55">
        <f>SUMIFS(tblMiningDaily[Blast_t],tblMiningDaily[Date],$A197)</f>
        <v/>
      </c>
      <c r="AE197" s="55">
        <f>IF($B197=$B196,$AE196,0)+$AD197</f>
        <v/>
      </c>
      <c r="AF197" s="55">
        <f>$AF196+$AD197</f>
        <v/>
      </c>
      <c r="AG197" s="55">
        <f>SUMIFS(tblMiningDaily[Explosives_kg],tblMiningDaily[Date],$A197)</f>
        <v/>
      </c>
      <c r="AH197" s="55">
        <f>IF($B197=$B196,$AH196,0)+$AG197</f>
        <v/>
      </c>
      <c r="AI197" s="55">
        <f>$AI196+$AG197</f>
        <v/>
      </c>
      <c r="AJ197" s="56">
        <f>IFERROR(IF(($AD197)&gt;0,($AG197)/($AD197),""),"")</f>
        <v/>
      </c>
      <c r="AK197" s="56">
        <f>IFERROR(IF(($AE197)&gt;0,($AH197)/($AE197),""),"")</f>
        <v/>
      </c>
      <c r="AL197" s="56">
        <f>IFERROR(IF(($AF197)&gt;0,($AI197)/($AF197),""),"")</f>
        <v/>
      </c>
      <c r="AM197" s="55">
        <f>SUMIFS(tblMiningDaily[Diesel_L],tblMiningDaily[Date],$A197)</f>
        <v/>
      </c>
      <c r="AN197" s="55">
        <f>IF($B197=$B196,$AN196,0)+$AM197</f>
        <v/>
      </c>
      <c r="AO197" s="55">
        <f>$AO196+$AM197</f>
        <v/>
      </c>
      <c r="AP197" s="55">
        <f>SUMIFS(tblMiningDaily[Dewatering_m3],tblMiningDaily[Date],$A197)</f>
        <v/>
      </c>
      <c r="AQ197" s="55">
        <f>IF($B197=$B196,$AQ196,0)+$AP197</f>
        <v/>
      </c>
      <c r="AR197" s="55">
        <f>$AR196+$AP197</f>
        <v/>
      </c>
      <c r="AS197" s="57">
        <f>SUMIFS(tblFleet[Calendar_h],tblFleet[Date],$A197,tblFleet[Equipment_Class],"Excavator")</f>
        <v/>
      </c>
      <c r="AT197" s="57">
        <f>IF($B197=$B196,$AT196,0)+$AS197</f>
        <v/>
      </c>
      <c r="AU197" s="57">
        <f>$AU196+$AS197</f>
        <v/>
      </c>
      <c r="AV197" s="57">
        <f>SUMIFS(tblFleet[Available_h],tblFleet[Date],$A197,tblFleet[Equipment_Class],"Excavator")</f>
        <v/>
      </c>
      <c r="AW197" s="57">
        <f>IF($B197=$B196,$AW196,0)+$AV197</f>
        <v/>
      </c>
      <c r="AX197" s="57">
        <f>$AX196+$AV197</f>
        <v/>
      </c>
      <c r="AY197" s="57">
        <f>SUMIFS(tblFleet[Operating_h],tblFleet[Date],$A197,tblFleet[Equipment_Class],"Excavator")</f>
        <v/>
      </c>
      <c r="AZ197" s="57">
        <f>IF($B197=$B196,$AZ196,0)+$AY197</f>
        <v/>
      </c>
      <c r="BA197" s="57">
        <f>$BA196+$AY197</f>
        <v/>
      </c>
      <c r="BB197" s="67">
        <f>IFERROR(IF(($AS197)&gt;0,($AV197)/($AS197),""),"")</f>
        <v/>
      </c>
      <c r="BC197" s="67">
        <f>IFERROR(IF(($AT197)&gt;0,($AW197)/($AT197),""),"")</f>
        <v/>
      </c>
      <c r="BD197" s="67">
        <f>IFERROR(IF(($AU197)&gt;0,($AX197)/($AU197),""),"")</f>
        <v/>
      </c>
      <c r="BE197" s="67">
        <f>IFERROR(IF(($AV197)&gt;0,($AY197)/($AV197),""),"")</f>
        <v/>
      </c>
      <c r="BF197" s="67">
        <f>IFERROR(IF(($AW197)&gt;0,($AZ197)/($AW197),""),"")</f>
        <v/>
      </c>
      <c r="BG197" s="67">
        <f>IFERROR(IF(($AX197)&gt;0,($BA197)/($AX197),""),"")</f>
        <v/>
      </c>
      <c r="BH197" s="57">
        <f>SUMIFS(tblFleet[Calendar_h],tblFleet[Date],$A197,tblFleet[Equipment_Class],"Haul Truck")</f>
        <v/>
      </c>
      <c r="BI197" s="57">
        <f>IF($B197=$B196,$BI196,0)+$BH197</f>
        <v/>
      </c>
      <c r="BJ197" s="57">
        <f>$BJ196+$BH197</f>
        <v/>
      </c>
      <c r="BK197" s="57">
        <f>SUMIFS(tblFleet[Available_h],tblFleet[Date],$A197,tblFleet[Equipment_Class],"Haul Truck")</f>
        <v/>
      </c>
      <c r="BL197" s="57">
        <f>IF($B197=$B196,$BL196,0)+$BK197</f>
        <v/>
      </c>
      <c r="BM197" s="57">
        <f>$BM196+$BK197</f>
        <v/>
      </c>
      <c r="BN197" s="57">
        <f>SUMIFS(tblFleet[Operating_h],tblFleet[Date],$A197,tblFleet[Equipment_Class],"Haul Truck")</f>
        <v/>
      </c>
      <c r="BO197" s="57">
        <f>IF($B197=$B196,$BO196,0)+$BN197</f>
        <v/>
      </c>
      <c r="BP197" s="57">
        <f>$BP196+$BN197</f>
        <v/>
      </c>
      <c r="BQ197" s="67">
        <f>IFERROR(IF(($BH197)&gt;0,($BK197)/($BH197),""),"")</f>
        <v/>
      </c>
      <c r="BR197" s="67">
        <f>IFERROR(IF(($BI197)&gt;0,($BL197)/($BI197),""),"")</f>
        <v/>
      </c>
      <c r="BS197" s="67">
        <f>IFERROR(IF(($BJ197)&gt;0,($BM197)/($BJ197),""),"")</f>
        <v/>
      </c>
      <c r="BT197" s="67">
        <f>IFERROR(IF(($BK197)&gt;0,($BN197)/($BK197),""),"")</f>
        <v/>
      </c>
      <c r="BU197" s="67">
        <f>IFERROR(IF(($BL197)&gt;0,($BO197)/($BL197),""),"")</f>
        <v/>
      </c>
      <c r="BV197" s="67">
        <f>IFERROR(IF(($BM197)&gt;0,($BP197)/($BM197),""),"")</f>
        <v/>
      </c>
      <c r="BW197" s="55">
        <f>SUMIFS(tblPlant[Crushed_t],tblPlant[Date],$A197)</f>
        <v/>
      </c>
      <c r="BX197" s="55">
        <f>IF($B197=$B196,$BX196,0)+$BW197</f>
        <v/>
      </c>
      <c r="BY197" s="55">
        <f>$BY196+$BW197</f>
        <v/>
      </c>
      <c r="BZ197" s="55">
        <f>SUMIFS(tblPlant[Milled_t],tblPlant[Date],$A197)</f>
        <v/>
      </c>
      <c r="CA197" s="55">
        <f>IF($B197=$B196,$CA196,0)+$BZ197</f>
        <v/>
      </c>
      <c r="CB197" s="55">
        <f>$CB196+$BZ197</f>
        <v/>
      </c>
      <c r="CC197" s="55">
        <f>SUMIFS(tblPlant[Feed_oz],tblPlant[Date],$A197)</f>
        <v/>
      </c>
      <c r="CD197" s="55">
        <f>IF($B197=$B196,$CD196,0)+$CC197</f>
        <v/>
      </c>
      <c r="CE197" s="55">
        <f>$CE196+$CC197</f>
        <v/>
      </c>
      <c r="CF197" s="55">
        <f>SUMIFS(tblPlant[Tails_oz],tblPlant[Date],$A197)</f>
        <v/>
      </c>
      <c r="CG197" s="55">
        <f>IF($B197=$B196,$CG196,0)+$CF197</f>
        <v/>
      </c>
      <c r="CH197" s="55">
        <f>$CH196+$CF197</f>
        <v/>
      </c>
      <c r="CI197" s="55">
        <f>SUMIFS(tblPlant[Recovered_oz],tblPlant[Date],$A197)</f>
        <v/>
      </c>
      <c r="CJ197" s="55">
        <f>IF($B197=$B196,$CJ196,0)+$CI197</f>
        <v/>
      </c>
      <c r="CK197" s="55">
        <f>$CK196+$CI197</f>
        <v/>
      </c>
      <c r="CL197" s="56">
        <f>IFERROR(IF(($BZ197)&gt;0,($CC197*cfg_TroyOz)/($BZ197),""),"")</f>
        <v/>
      </c>
      <c r="CM197" s="56">
        <f>IFERROR(IF(($CA197)&gt;0,($CD197*cfg_TroyOz)/($CA197),""),"")</f>
        <v/>
      </c>
      <c r="CN197" s="56">
        <f>IFERROR(IF(($CB197)&gt;0,($CE197*cfg_TroyOz)/($CB197),""),"")</f>
        <v/>
      </c>
      <c r="CO197" s="56">
        <f>IFERROR(IF(($BZ197)&gt;0,($CF197*cfg_TroyOz)/($BZ197),""),"")</f>
        <v/>
      </c>
      <c r="CP197" s="56">
        <f>IFERROR(IF(($CA197)&gt;0,($CG197*cfg_TroyOz)/($CA197),""),"")</f>
        <v/>
      </c>
      <c r="CQ197" s="56">
        <f>IFERROR(IF(($CB197)&gt;0,($CH197*cfg_TroyOz)/($CB197),""),"")</f>
        <v/>
      </c>
      <c r="CR197" s="67">
        <f>IFERROR(IF(($CC197)&gt;0,($CI197)/($CC197),""),"")</f>
        <v/>
      </c>
      <c r="CS197" s="67">
        <f>IFERROR(IF(($CD197)&gt;0,($CJ197)/($CD197),""),"")</f>
        <v/>
      </c>
      <c r="CT197" s="67">
        <f>IFERROR(IF(($CE197)&gt;0,($CK197)/($CE197),""),"")</f>
        <v/>
      </c>
      <c r="CU197" s="55">
        <f>SUMIFS(tblPlant[Gravity_Gold_oz],tblPlant[Date],$A197)</f>
        <v/>
      </c>
      <c r="CV197" s="55">
        <f>IF($B197=$B196,$CV196,0)+$CU197</f>
        <v/>
      </c>
      <c r="CW197" s="55">
        <f>$CW196+$CU197</f>
        <v/>
      </c>
      <c r="CX197" s="55">
        <f>SUMIFS(tblPlant[Gold_Poured_oz],tblPlant[Date],$A197)</f>
        <v/>
      </c>
      <c r="CY197" s="55">
        <f>IF($B197=$B196,$CY196,0)+$CX197</f>
        <v/>
      </c>
      <c r="CZ197" s="55">
        <f>$CZ196+$CX197</f>
        <v/>
      </c>
      <c r="DA197" s="57">
        <f>SUMIFS(tblPlant[Mill_Run_h],tblPlant[Date],$A197)</f>
        <v/>
      </c>
      <c r="DB197" s="57">
        <f>IF($B197=$B196,$DB196,0)+$DA197</f>
        <v/>
      </c>
      <c r="DC197" s="57">
        <f>$DC196+$DA197</f>
        <v/>
      </c>
      <c r="DD197" s="57">
        <f>SUMIFS(tblPlant[Mill_Planned_Maint_h],tblPlant[Date],$A197)</f>
        <v/>
      </c>
      <c r="DE197" s="57">
        <f>IF($B197=$B196,$DE196,0)+$DD197</f>
        <v/>
      </c>
      <c r="DF197" s="57">
        <f>$DF196+$DD197</f>
        <v/>
      </c>
      <c r="DG197" s="57">
        <f>SUMIFS(tblPlant[Mill_Unplanned_Down_h],tblPlant[Date],$A197)</f>
        <v/>
      </c>
      <c r="DH197" s="57">
        <f>IF($B197=$B196,$DH196,0)+$DG197</f>
        <v/>
      </c>
      <c r="DI197" s="57">
        <f>$DI196+$DG197</f>
        <v/>
      </c>
      <c r="DJ197" s="57">
        <f>COUNTIFS(tblPlant[Date],$A197,tblPlant[Mill_Run_h],"&lt;&gt;")*24</f>
        <v/>
      </c>
      <c r="DK197" s="57">
        <f>IF($B197=$B196,$DK196,0)+$DJ197</f>
        <v/>
      </c>
      <c r="DL197" s="57">
        <f>$DL196+$DJ197</f>
        <v/>
      </c>
      <c r="DM197" s="57">
        <f>SUMIFS(tblPlant[Crusher_Run_h],tblPlant[Date],$A197)</f>
        <v/>
      </c>
      <c r="DN197" s="57">
        <f>IF($B197=$B196,$DN196,0)+$DM197</f>
        <v/>
      </c>
      <c r="DO197" s="57">
        <f>$DO196+$DM197</f>
        <v/>
      </c>
      <c r="DP197" s="55">
        <f>IFERROR(IF(($DA197)&gt;0,($BZ197)/($DA197),""),"")</f>
        <v/>
      </c>
      <c r="DQ197" s="55">
        <f>IFERROR(IF(($DB197)&gt;0,($CA197)/($DB197),""),"")</f>
        <v/>
      </c>
      <c r="DR197" s="55">
        <f>IFERROR(IF(($DC197)&gt;0,($CB197)/($DC197),""),"")</f>
        <v/>
      </c>
      <c r="DS197" s="67">
        <f>IFERROR(IF(($DJ197)&gt;0,($DJ197-$DD197-$DG197)/($DJ197),""),"")</f>
        <v/>
      </c>
      <c r="DT197" s="67">
        <f>IFERROR(IF(($DK197)&gt;0,($DK197-$DE197-$DH197)/($DK197),""),"")</f>
        <v/>
      </c>
      <c r="DU197" s="67">
        <f>IFERROR(IF(($DL197)&gt;0,($DL197-$DF197-$DI197)/($DL197),""),"")</f>
        <v/>
      </c>
      <c r="DV197" s="67">
        <f>IFERROR(IF(($DJ197-$DD197-$DG197)&gt;0,($DA197)/($DJ197-$DD197-$DG197),""),"")</f>
        <v/>
      </c>
      <c r="DW197" s="67">
        <f>IFERROR(IF(($DK197-$DE197-$DH197)&gt;0,($DB197)/($DK197-$DE197-$DH197),""),"")</f>
        <v/>
      </c>
      <c r="DX197" s="67">
        <f>IFERROR(IF(($DL197-$DF197-$DI197)&gt;0,($DC197)/($DL197-$DF197-$DI197),""),"")</f>
        <v/>
      </c>
      <c r="DY197" s="55">
        <f>SUMIFS(tblPlant[Cyanide_kg],tblPlant[Date],$A197)</f>
        <v/>
      </c>
      <c r="DZ197" s="55">
        <f>IF($B197=$B196,$DZ196,0)+$DY197</f>
        <v/>
      </c>
      <c r="EA197" s="55">
        <f>$EA196+$DY197</f>
        <v/>
      </c>
      <c r="EB197" s="55">
        <f>SUMIFS(tblPlant[Lime_kg],tblPlant[Date],$A197)</f>
        <v/>
      </c>
      <c r="EC197" s="55">
        <f>IF($B197=$B196,$EC196,0)+$EB197</f>
        <v/>
      </c>
      <c r="ED197" s="55">
        <f>$ED196+$EB197</f>
        <v/>
      </c>
      <c r="EE197" s="55">
        <f>SUMIFS(tblPlant[Grinding_Media_kg],tblPlant[Date],$A197)</f>
        <v/>
      </c>
      <c r="EF197" s="55">
        <f>IF($B197=$B196,$EF196,0)+$EE197</f>
        <v/>
      </c>
      <c r="EG197" s="55">
        <f>$EG196+$EE197</f>
        <v/>
      </c>
      <c r="EH197" s="55">
        <f>SUMIFS(tblPlant[Power_kWh],tblPlant[Date],$A197)</f>
        <v/>
      </c>
      <c r="EI197" s="55">
        <f>IF($B197=$B196,$EI196,0)+$EH197</f>
        <v/>
      </c>
      <c r="EJ197" s="55">
        <f>$EJ196+$EH197</f>
        <v/>
      </c>
      <c r="EK197" s="55">
        <f>SUMIFS(tblPlant[Raw_Water_m3],tblPlant[Date],$A197)</f>
        <v/>
      </c>
      <c r="EL197" s="55">
        <f>IF($B197=$B196,$EL196,0)+$EK197</f>
        <v/>
      </c>
      <c r="EM197" s="55">
        <f>$EM196+$EK197</f>
        <v/>
      </c>
      <c r="EN197" s="56">
        <f>IFERROR(IF(($BZ197)&gt;0,($DY197)/($BZ197),""),"")</f>
        <v/>
      </c>
      <c r="EO197" s="56">
        <f>IFERROR(IF(($CA197)&gt;0,($DZ197)/($CA197),""),"")</f>
        <v/>
      </c>
      <c r="EP197" s="56">
        <f>IFERROR(IF(($CB197)&gt;0,($EA197)/($CB197),""),"")</f>
        <v/>
      </c>
      <c r="EQ197" s="56">
        <f>IFERROR(IF(($BZ197)&gt;0,($EB197)/($BZ197),""),"")</f>
        <v/>
      </c>
      <c r="ER197" s="56">
        <f>IFERROR(IF(($CA197)&gt;0,($EC197)/($CA197),""),"")</f>
        <v/>
      </c>
      <c r="ES197" s="56">
        <f>IFERROR(IF(($CB197)&gt;0,($ED197)/($CB197),""),"")</f>
        <v/>
      </c>
      <c r="ET197" s="56">
        <f>IFERROR(IF(($BZ197)&gt;0,($EE197)/($BZ197),""),"")</f>
        <v/>
      </c>
      <c r="EU197" s="56">
        <f>IFERROR(IF(($CA197)&gt;0,($EF197)/($CA197),""),"")</f>
        <v/>
      </c>
      <c r="EV197" s="56">
        <f>IFERROR(IF(($CB197)&gt;0,($EG197)/($CB197),""),"")</f>
        <v/>
      </c>
      <c r="EW197" s="76">
        <f>IFERROR(IF(($BZ197)&gt;0,($EH197)/($BZ197),""),"")</f>
        <v/>
      </c>
      <c r="EX197" s="76">
        <f>IFERROR(IF(($CA197)&gt;0,($EI197)/($CA197),""),"")</f>
        <v/>
      </c>
      <c r="EY197" s="76">
        <f>IFERROR(IF(($CB197)&gt;0,($EJ197)/($CB197),""),"")</f>
        <v/>
      </c>
      <c r="EZ197" s="56">
        <f>IFERROR(IF(($BZ197)&gt;0,($EK197)/($BZ197),""),"")</f>
        <v/>
      </c>
      <c r="FA197" s="56">
        <f>IFERROR(IF(($CA197)&gt;0,($EL197)/($CA197),""),"")</f>
        <v/>
      </c>
      <c r="FB197" s="56">
        <f>IFERROR(IF(($CB197)&gt;0,($EM197)/($CB197),""),"")</f>
        <v/>
      </c>
      <c r="FC197" s="55">
        <f>IF(SUMIFS(tblPlant[GIC_oz],tblPlant[Date],$A197)&gt;0,SUMIFS(tblPlant[GIC_oz],tblPlant[Date],$A197),"")</f>
        <v/>
      </c>
      <c r="FD197" s="55">
        <f>SUMIFS(tblGold[Gold_oz],tblGold[Date],$A197,tblGold[Type],"Shipment")</f>
        <v/>
      </c>
      <c r="FE197" s="55">
        <f>IF($B197=$B196,$FE196,0)+$FD197</f>
        <v/>
      </c>
      <c r="FF197" s="55">
        <f>$FF196+$FD197</f>
        <v/>
      </c>
      <c r="FG197" s="55">
        <f>SUMIFS(tblGold[Gold_oz],tblGold[Date],$A197,tblGold[Type],"Sale")</f>
        <v/>
      </c>
      <c r="FH197" s="55">
        <f>IF($B197=$B196,$FH196,0)+$FG197</f>
        <v/>
      </c>
      <c r="FI197" s="55">
        <f>$FI196+$FG197</f>
        <v/>
      </c>
      <c r="FJ197" s="55">
        <f>SUMIFS(tblGold[Dore_kg],tblGold[Date],$A197,tblGold[Type],"Shipment")</f>
        <v/>
      </c>
      <c r="FK197" s="55">
        <f>IF($B197=$B196,$FK196,0)+$FJ197</f>
        <v/>
      </c>
      <c r="FL197" s="55">
        <f>$FL196+$FJ197</f>
        <v/>
      </c>
      <c r="FM197" s="57">
        <f>SUMIFS(tblSafety[Hours_Total],tblSafety[Date],$A197)</f>
        <v/>
      </c>
      <c r="FN197" s="57">
        <f>IF($B197=$B196,$FN196,0)+$FM197</f>
        <v/>
      </c>
      <c r="FO197" s="57">
        <f>$FO196+$FM197</f>
        <v/>
      </c>
      <c r="FP197" s="62">
        <f>SUMIFS(tblSafety[Fatality],tblSafety[Date],$A197)</f>
        <v/>
      </c>
      <c r="FQ197" s="62">
        <f>IF($B197=$B196,$FQ196,0)+$FP197</f>
        <v/>
      </c>
      <c r="FR197" s="62">
        <f>$FR196+$FP197</f>
        <v/>
      </c>
      <c r="FS197" s="62">
        <f>SUMIFS(tblSafety[LTI],tblSafety[Date],$A197)</f>
        <v/>
      </c>
      <c r="FT197" s="62">
        <f>IF($B197=$B196,$FT196,0)+$FS197</f>
        <v/>
      </c>
      <c r="FU197" s="62">
        <f>$FU196+$FS197</f>
        <v/>
      </c>
      <c r="FV197" s="62">
        <f>SUMIFS(tblSafety[RWI],tblSafety[Date],$A197)</f>
        <v/>
      </c>
      <c r="FW197" s="62">
        <f>IF($B197=$B196,$FW196,0)+$FV197</f>
        <v/>
      </c>
      <c r="FX197" s="62">
        <f>$FX196+$FV197</f>
        <v/>
      </c>
      <c r="FY197" s="62">
        <f>SUMIFS(tblSafety[MTI],tblSafety[Date],$A197)</f>
        <v/>
      </c>
      <c r="FZ197" s="62">
        <f>IF($B197=$B196,$FZ196,0)+$FY197</f>
        <v/>
      </c>
      <c r="GA197" s="62">
        <f>$GA196+$FY197</f>
        <v/>
      </c>
      <c r="GB197" s="62">
        <f>SUMIFS(tblSafety[FAI],tblSafety[Date],$A197)</f>
        <v/>
      </c>
      <c r="GC197" s="62">
        <f>IF($B197=$B196,$GC196,0)+$GB197</f>
        <v/>
      </c>
      <c r="GD197" s="62">
        <f>$GD196+$GB197</f>
        <v/>
      </c>
      <c r="GE197" s="62">
        <f>SUMIFS(tblSafety[Recordables],tblSafety[Date],$A197)</f>
        <v/>
      </c>
      <c r="GF197" s="62">
        <f>IF($B197=$B196,$GF196,0)+$GE197</f>
        <v/>
      </c>
      <c r="GG197" s="62">
        <f>$GG196+$GE197</f>
        <v/>
      </c>
      <c r="GH197" s="62">
        <f>SUMIFS(tblSafety[Near_Miss],tblSafety[Date],$A197)</f>
        <v/>
      </c>
      <c r="GI197" s="62">
        <f>IF($B197=$B196,$GI196,0)+$GH197</f>
        <v/>
      </c>
      <c r="GJ197" s="62">
        <f>$GJ196+$GH197</f>
        <v/>
      </c>
      <c r="GK197" s="62">
        <f>SUMIFS(tblSafety[Hazard_Reports],tblSafety[Date],$A197)</f>
        <v/>
      </c>
      <c r="GL197" s="62">
        <f>IF($B197=$B196,$GL196,0)+$GK197</f>
        <v/>
      </c>
      <c r="GM197" s="62">
        <f>$GM196+$GK197</f>
        <v/>
      </c>
      <c r="GN197" s="62">
        <f>SUMIFS(tblSafety[HPI],tblSafety[Date],$A197)</f>
        <v/>
      </c>
      <c r="GO197" s="62">
        <f>IF($B197=$B196,$GO196,0)+$GN197</f>
        <v/>
      </c>
      <c r="GP197" s="62">
        <f>$GP196+$GN197</f>
        <v/>
      </c>
      <c r="GQ197" s="62">
        <f>SUMIFS(tblSafety[Env_Incidents],tblSafety[Date],$A197)</f>
        <v/>
      </c>
      <c r="GR197" s="62">
        <f>IF($B197=$B196,$GR196,0)+$GQ197</f>
        <v/>
      </c>
      <c r="GS197" s="62">
        <f>$GS196+$GQ197</f>
        <v/>
      </c>
      <c r="GT197" s="62">
        <f>SUMIFS(tblSafety[Community_Incidents],tblSafety[Date],$A197)</f>
        <v/>
      </c>
      <c r="GU197" s="62">
        <f>IF($B197=$B196,$GU196,0)+$GT197</f>
        <v/>
      </c>
      <c r="GV197" s="62">
        <f>$GV196+$GT197</f>
        <v/>
      </c>
      <c r="GW197" s="62">
        <f>SUMIFS(tblSafety[Vehicle_Incidents],tblSafety[Date],$A197)</f>
        <v/>
      </c>
      <c r="GX197" s="62">
        <f>IF($B197=$B196,$GX196,0)+$GW197</f>
        <v/>
      </c>
      <c r="GY197" s="62">
        <f>$GY196+$GW197</f>
        <v/>
      </c>
      <c r="GZ197" s="62">
        <f>SUMIFS(tblSafety[Toolbox_Talks],tblSafety[Date],$A197)</f>
        <v/>
      </c>
      <c r="HA197" s="62">
        <f>IF($B197=$B196,$HA196,0)+$GZ197</f>
        <v/>
      </c>
      <c r="HB197" s="62">
        <f>$HB196+$GZ197</f>
        <v/>
      </c>
      <c r="HC197" s="62">
        <f>SUMIFS(tblSafety[Inspections],tblSafety[Date],$A197)</f>
        <v/>
      </c>
      <c r="HD197" s="62">
        <f>IF($B197=$B196,$HD196,0)+$HC197</f>
        <v/>
      </c>
      <c r="HE197" s="62">
        <f>$HE196+$HC197</f>
        <v/>
      </c>
      <c r="HF197" s="56">
        <f>IFERROR((SUMIFS(tblSafety[Recordables],tblSafety[Date],"&gt;="&amp;EDATE($E197,-12),tblSafety[Date],"&lt;="&amp;$A197)+SUMIFS(tblSafetyHistory[Recordables],tblSafetyHistory[Month],"&gt;="&amp;EDATE($E197,-12),tblSafetyHistory[Month],"&lt;"&amp;cfg_YearStart))/(SUMIFS(tblSafety[Hours_Total],tblSafety[Date],"&gt;="&amp;EDATE($E197,-12),tblSafety[Date],"&lt;="&amp;$A197)+SUMIFS(tblSafetyHistory[Hours_Total],tblSafetyHistory[Month],"&gt;="&amp;EDATE($E197,-12),tblSafetyHistory[Month],"&lt;"&amp;cfg_YearStart))*1000000,"")</f>
        <v/>
      </c>
      <c r="HG197" s="56">
        <f>IFERROR((SUMIFS(tblSafety[LTI],tblSafety[Date],"&gt;="&amp;EDATE($E197,-12),tblSafety[Date],"&lt;="&amp;$A197)+SUMIFS(tblSafetyHistory[LTI],tblSafetyHistory[Month],"&gt;="&amp;EDATE($E197,-12),tblSafetyHistory[Month],"&lt;"&amp;cfg_YearStart))/(SUMIFS(tblSafety[Hours_Total],tblSafety[Date],"&gt;="&amp;EDATE($E197,-12),tblSafety[Date],"&lt;="&amp;$A197)+SUMIFS(tblSafetyHistory[Hours_Total],tblSafetyHistory[Month],"&gt;="&amp;EDATE($E197,-12),tblSafetyHistory[Month],"&lt;"&amp;cfg_YearStart))*1000000,"")</f>
        <v/>
      </c>
      <c r="HH197" s="62">
        <f>IF(MAX(N(cfg_PriorLTIDate),_xlfn.MAXIFS(tblSafety[Date],tblSafety[LTI],"&gt;0",tblSafety[Date],"&lt;="&amp;$A197))=0,"",$A197-MAX(N(cfg_PriorLTIDate),_xlfn.MAXIFS(tblSafety[Date],tblSafety[LTI],"&gt;0",tblSafety[Date],"&lt;="&amp;$A197)))</f>
        <v/>
      </c>
      <c r="HI197" s="55">
        <f>SUMIFS(tblBudget[Ore_Mined_t],tblBudget[Month],$E197)</f>
        <v/>
      </c>
      <c r="HJ197" s="55">
        <f>$HI197*$C197/$D197</f>
        <v/>
      </c>
      <c r="HK197" s="55">
        <f>SUMIFS(tblBudget[Ore_Mined_t],tblBudget[Month],"&lt;"&amp;$E197)+$HJ197</f>
        <v/>
      </c>
      <c r="HL197" s="55">
        <f>SUMIFS(tblBudget[Ore_oz],tblBudget[Month],$E197)</f>
        <v/>
      </c>
      <c r="HM197" s="55">
        <f>$HL197*$C197/$D197</f>
        <v/>
      </c>
      <c r="HN197" s="55">
        <f>SUMIFS(tblBudget[Ore_oz],tblBudget[Month],"&lt;"&amp;$E197)+$HM197</f>
        <v/>
      </c>
      <c r="HO197" s="56">
        <f>IFERROR(IF(($HI197)&gt;0,($HL197*cfg_TroyOz)/($HI197),""),"")</f>
        <v/>
      </c>
      <c r="HP197" s="56">
        <f>IFERROR(IF(($HJ197)&gt;0,($HM197*cfg_TroyOz)/($HJ197),""),"")</f>
        <v/>
      </c>
      <c r="HQ197" s="56">
        <f>IFERROR(IF(($HK197)&gt;0,($HN197*cfg_TroyOz)/($HK197),""),"")</f>
        <v/>
      </c>
      <c r="HR197" s="55">
        <f>SUMIFS(tblBudget[Waste_t],tblBudget[Month],$E197)</f>
        <v/>
      </c>
      <c r="HS197" s="55">
        <f>$HR197*$C197/$D197</f>
        <v/>
      </c>
      <c r="HT197" s="55">
        <f>SUMIFS(tblBudget[Waste_t],tblBudget[Month],"&lt;"&amp;$E197)+$HS197</f>
        <v/>
      </c>
      <c r="HU197" s="55">
        <f>SUMIFS(tblBudget[TMM_t],tblBudget[Month],$E197)</f>
        <v/>
      </c>
      <c r="HV197" s="55">
        <f>$HU197*$C197/$D197</f>
        <v/>
      </c>
      <c r="HW197" s="55">
        <f>SUMIFS(tblBudget[TMM_t],tblBudget[Month],"&lt;"&amp;$E197)+$HV197</f>
        <v/>
      </c>
      <c r="HX197" s="56">
        <f>IFERROR(IF(($HI197)&gt;0,($HR197)/($HI197),""),"")</f>
        <v/>
      </c>
      <c r="HY197" s="56">
        <f>IFERROR(IF(($HJ197)&gt;0,($HS197)/($HJ197),""),"")</f>
        <v/>
      </c>
      <c r="HZ197" s="56">
        <f>IFERROR(IF(($HK197)&gt;0,($HT197)/($HK197),""),"")</f>
        <v/>
      </c>
      <c r="IA197" s="55">
        <f>SUMIFS(tblBudget[Drill_m],tblBudget[Month],$E197)</f>
        <v/>
      </c>
      <c r="IB197" s="55">
        <f>$IA197*$C197/$D197</f>
        <v/>
      </c>
      <c r="IC197" s="55">
        <f>SUMIFS(tblBudget[Drill_m],tblBudget[Month],"&lt;"&amp;$E197)+$IB197</f>
        <v/>
      </c>
      <c r="ID197" s="55">
        <f>SUMIFS(tblBudget[Diesel_L],tblBudget[Month],$E197)</f>
        <v/>
      </c>
      <c r="IE197" s="55">
        <f>$ID197*$C197/$D197</f>
        <v/>
      </c>
      <c r="IF197" s="55">
        <f>SUMIFS(tblBudget[Diesel_L],tblBudget[Month],"&lt;"&amp;$E197)+$IE197</f>
        <v/>
      </c>
      <c r="IG197" s="55">
        <f>SUMIFS(tblBudget[Milled_t],tblBudget[Month],$E197)</f>
        <v/>
      </c>
      <c r="IH197" s="55">
        <f>$IG197*$C197/$D197</f>
        <v/>
      </c>
      <c r="II197" s="55">
        <f>SUMIFS(tblBudget[Milled_t],tblBudget[Month],"&lt;"&amp;$E197)+$IH197</f>
        <v/>
      </c>
      <c r="IJ197" s="55">
        <f>SUMIFS(tblBudget[Feed_oz],tblBudget[Month],$E197)</f>
        <v/>
      </c>
      <c r="IK197" s="55">
        <f>$IJ197*$C197/$D197</f>
        <v/>
      </c>
      <c r="IL197" s="55">
        <f>SUMIFS(tblBudget[Feed_oz],tblBudget[Month],"&lt;"&amp;$E197)+$IK197</f>
        <v/>
      </c>
      <c r="IM197" s="55">
        <f>SUMIFS(tblBudget[Recovered_oz],tblBudget[Month],$E197)</f>
        <v/>
      </c>
      <c r="IN197" s="55">
        <f>$IM197*$C197/$D197</f>
        <v/>
      </c>
      <c r="IO197" s="55">
        <f>SUMIFS(tblBudget[Recovered_oz],tblBudget[Month],"&lt;"&amp;$E197)+$IN197</f>
        <v/>
      </c>
      <c r="IP197" s="56">
        <f>IFERROR(IF(($IG197)&gt;0,($IJ197*cfg_TroyOz)/($IG197),""),"")</f>
        <v/>
      </c>
      <c r="IQ197" s="56">
        <f>IFERROR(IF(($IH197)&gt;0,($IK197*cfg_TroyOz)/($IH197),""),"")</f>
        <v/>
      </c>
      <c r="IR197" s="56">
        <f>IFERROR(IF(($II197)&gt;0,($IL197*cfg_TroyOz)/($II197),""),"")</f>
        <v/>
      </c>
      <c r="IS197" s="67">
        <f>IFERROR(IF(($IJ197)&gt;0,($IM197)/($IJ197),""),"")</f>
        <v/>
      </c>
      <c r="IT197" s="67">
        <f>IFERROR(IF(($IK197)&gt;0,($IN197)/($IK197),""),"")</f>
        <v/>
      </c>
      <c r="IU197" s="67">
        <f>IFERROR(IF(($IL197)&gt;0,($IO197)/($IL197),""),"")</f>
        <v/>
      </c>
      <c r="IV197" s="55">
        <f>SUMIFS(tblBudget[Gold_Poured_oz],tblBudget[Month],$E197)</f>
        <v/>
      </c>
      <c r="IW197" s="55">
        <f>$IV197*$C197/$D197</f>
        <v/>
      </c>
      <c r="IX197" s="55">
        <f>SUMIFS(tblBudget[Gold_Poured_oz],tblBudget[Month],"&lt;"&amp;$E197)+$IW197</f>
        <v/>
      </c>
      <c r="IY197" s="57">
        <f>SUMIFS(tblBudget[Hours_Worked],tblBudget[Month],$E197)</f>
        <v/>
      </c>
      <c r="IZ197" s="57">
        <f>$IY197*$C197/$D197</f>
        <v/>
      </c>
      <c r="JA197" s="57">
        <f>SUMIFS(tblBudget[Hours_Worked],tblBudget[Month],"&lt;"&amp;$E197)+$IZ197</f>
        <v/>
      </c>
    </row>
    <row r="198">
      <c r="A198" s="54" t="n">
        <v>46219</v>
      </c>
      <c r="B198">
        <f>MONTH($A198)</f>
        <v/>
      </c>
      <c r="C198">
        <f>DAY($A198)</f>
        <v/>
      </c>
      <c r="D198">
        <f>DAY(EOMONTH($A198,0))</f>
        <v/>
      </c>
      <c r="E198" s="54">
        <f>DATE(YEAR($A198),MONTH($A198),1)</f>
        <v/>
      </c>
      <c r="F198" s="55">
        <f>SUMIFS(tblMovement[Tonnes_t],tblMovement[Date],$A198,tblMovement[Is_Ore],1,tblMovement[Source_Type],"Pit")</f>
        <v/>
      </c>
      <c r="G198" s="55">
        <f>IF($B198=$B197,$G197,0)+$F198</f>
        <v/>
      </c>
      <c r="H198" s="55">
        <f>$H197+$F198</f>
        <v/>
      </c>
      <c r="I198" s="55">
        <f>SUMIFS(tblMovement[Ore_oz],tblMovement[Date],$A198,tblMovement[Source_Type],"Pit")</f>
        <v/>
      </c>
      <c r="J198" s="55">
        <f>IF($B198=$B197,$J197,0)+$I198</f>
        <v/>
      </c>
      <c r="K198" s="55">
        <f>$K197+$I198</f>
        <v/>
      </c>
      <c r="L198" s="56">
        <f>IFERROR(IF(($F198)&gt;0,($I198*cfg_TroyOz)/($F198),""),"")</f>
        <v/>
      </c>
      <c r="M198" s="56">
        <f>IFERROR(IF(($G198)&gt;0,($J198*cfg_TroyOz)/($G198),""),"")</f>
        <v/>
      </c>
      <c r="N198" s="56">
        <f>IFERROR(IF(($H198)&gt;0,($K198*cfg_TroyOz)/($H198),""),"")</f>
        <v/>
      </c>
      <c r="O198" s="55">
        <f>SUMIFS(tblMovement[Tonnes_t],tblMovement[Date],$A198,tblMovement[Is_Ore],0,tblMovement[Source_Type],"Pit")</f>
        <v/>
      </c>
      <c r="P198" s="55">
        <f>IF($B198=$B197,$P197,0)+$O198</f>
        <v/>
      </c>
      <c r="Q198" s="55">
        <f>$Q197+$O198</f>
        <v/>
      </c>
      <c r="R198" s="55">
        <f>$F198+$O198</f>
        <v/>
      </c>
      <c r="S198" s="55">
        <f>IF($B198=$B197,$S197,0)+$R198</f>
        <v/>
      </c>
      <c r="T198" s="55">
        <f>$T197+$R198</f>
        <v/>
      </c>
      <c r="U198" s="56">
        <f>IFERROR(IF(($F198)&gt;0,($O198)/($F198),""),"")</f>
        <v/>
      </c>
      <c r="V198" s="56">
        <f>IFERROR(IF(($G198)&gt;0,($P198)/($G198),""),"")</f>
        <v/>
      </c>
      <c r="W198" s="56">
        <f>IFERROR(IF(($H198)&gt;0,($Q198)/($H198),""),"")</f>
        <v/>
      </c>
      <c r="X198" s="55">
        <f>SUMIFS(tblMovement[Tonnes_t],tblMovement[Date],$A198,tblMovement[Source_Type],"Stockpile")</f>
        <v/>
      </c>
      <c r="Y198" s="55">
        <f>IF($B198=$B197,$Y197,0)+$X198</f>
        <v/>
      </c>
      <c r="Z198" s="55">
        <f>$Z197+$X198</f>
        <v/>
      </c>
      <c r="AA198" s="55">
        <f>SUMIFS(tblMiningDaily[Drill_m],tblMiningDaily[Date],$A198)</f>
        <v/>
      </c>
      <c r="AB198" s="55">
        <f>IF($B198=$B197,$AB197,0)+$AA198</f>
        <v/>
      </c>
      <c r="AC198" s="55">
        <f>$AC197+$AA198</f>
        <v/>
      </c>
      <c r="AD198" s="55">
        <f>SUMIFS(tblMiningDaily[Blast_t],tblMiningDaily[Date],$A198)</f>
        <v/>
      </c>
      <c r="AE198" s="55">
        <f>IF($B198=$B197,$AE197,0)+$AD198</f>
        <v/>
      </c>
      <c r="AF198" s="55">
        <f>$AF197+$AD198</f>
        <v/>
      </c>
      <c r="AG198" s="55">
        <f>SUMIFS(tblMiningDaily[Explosives_kg],tblMiningDaily[Date],$A198)</f>
        <v/>
      </c>
      <c r="AH198" s="55">
        <f>IF($B198=$B197,$AH197,0)+$AG198</f>
        <v/>
      </c>
      <c r="AI198" s="55">
        <f>$AI197+$AG198</f>
        <v/>
      </c>
      <c r="AJ198" s="56">
        <f>IFERROR(IF(($AD198)&gt;0,($AG198)/($AD198),""),"")</f>
        <v/>
      </c>
      <c r="AK198" s="56">
        <f>IFERROR(IF(($AE198)&gt;0,($AH198)/($AE198),""),"")</f>
        <v/>
      </c>
      <c r="AL198" s="56">
        <f>IFERROR(IF(($AF198)&gt;0,($AI198)/($AF198),""),"")</f>
        <v/>
      </c>
      <c r="AM198" s="55">
        <f>SUMIFS(tblMiningDaily[Diesel_L],tblMiningDaily[Date],$A198)</f>
        <v/>
      </c>
      <c r="AN198" s="55">
        <f>IF($B198=$B197,$AN197,0)+$AM198</f>
        <v/>
      </c>
      <c r="AO198" s="55">
        <f>$AO197+$AM198</f>
        <v/>
      </c>
      <c r="AP198" s="55">
        <f>SUMIFS(tblMiningDaily[Dewatering_m3],tblMiningDaily[Date],$A198)</f>
        <v/>
      </c>
      <c r="AQ198" s="55">
        <f>IF($B198=$B197,$AQ197,0)+$AP198</f>
        <v/>
      </c>
      <c r="AR198" s="55">
        <f>$AR197+$AP198</f>
        <v/>
      </c>
      <c r="AS198" s="57">
        <f>SUMIFS(tblFleet[Calendar_h],tblFleet[Date],$A198,tblFleet[Equipment_Class],"Excavator")</f>
        <v/>
      </c>
      <c r="AT198" s="57">
        <f>IF($B198=$B197,$AT197,0)+$AS198</f>
        <v/>
      </c>
      <c r="AU198" s="57">
        <f>$AU197+$AS198</f>
        <v/>
      </c>
      <c r="AV198" s="57">
        <f>SUMIFS(tblFleet[Available_h],tblFleet[Date],$A198,tblFleet[Equipment_Class],"Excavator")</f>
        <v/>
      </c>
      <c r="AW198" s="57">
        <f>IF($B198=$B197,$AW197,0)+$AV198</f>
        <v/>
      </c>
      <c r="AX198" s="57">
        <f>$AX197+$AV198</f>
        <v/>
      </c>
      <c r="AY198" s="57">
        <f>SUMIFS(tblFleet[Operating_h],tblFleet[Date],$A198,tblFleet[Equipment_Class],"Excavator")</f>
        <v/>
      </c>
      <c r="AZ198" s="57">
        <f>IF($B198=$B197,$AZ197,0)+$AY198</f>
        <v/>
      </c>
      <c r="BA198" s="57">
        <f>$BA197+$AY198</f>
        <v/>
      </c>
      <c r="BB198" s="67">
        <f>IFERROR(IF(($AS198)&gt;0,($AV198)/($AS198),""),"")</f>
        <v/>
      </c>
      <c r="BC198" s="67">
        <f>IFERROR(IF(($AT198)&gt;0,($AW198)/($AT198),""),"")</f>
        <v/>
      </c>
      <c r="BD198" s="67">
        <f>IFERROR(IF(($AU198)&gt;0,($AX198)/($AU198),""),"")</f>
        <v/>
      </c>
      <c r="BE198" s="67">
        <f>IFERROR(IF(($AV198)&gt;0,($AY198)/($AV198),""),"")</f>
        <v/>
      </c>
      <c r="BF198" s="67">
        <f>IFERROR(IF(($AW198)&gt;0,($AZ198)/($AW198),""),"")</f>
        <v/>
      </c>
      <c r="BG198" s="67">
        <f>IFERROR(IF(($AX198)&gt;0,($BA198)/($AX198),""),"")</f>
        <v/>
      </c>
      <c r="BH198" s="57">
        <f>SUMIFS(tblFleet[Calendar_h],tblFleet[Date],$A198,tblFleet[Equipment_Class],"Haul Truck")</f>
        <v/>
      </c>
      <c r="BI198" s="57">
        <f>IF($B198=$B197,$BI197,0)+$BH198</f>
        <v/>
      </c>
      <c r="BJ198" s="57">
        <f>$BJ197+$BH198</f>
        <v/>
      </c>
      <c r="BK198" s="57">
        <f>SUMIFS(tblFleet[Available_h],tblFleet[Date],$A198,tblFleet[Equipment_Class],"Haul Truck")</f>
        <v/>
      </c>
      <c r="BL198" s="57">
        <f>IF($B198=$B197,$BL197,0)+$BK198</f>
        <v/>
      </c>
      <c r="BM198" s="57">
        <f>$BM197+$BK198</f>
        <v/>
      </c>
      <c r="BN198" s="57">
        <f>SUMIFS(tblFleet[Operating_h],tblFleet[Date],$A198,tblFleet[Equipment_Class],"Haul Truck")</f>
        <v/>
      </c>
      <c r="BO198" s="57">
        <f>IF($B198=$B197,$BO197,0)+$BN198</f>
        <v/>
      </c>
      <c r="BP198" s="57">
        <f>$BP197+$BN198</f>
        <v/>
      </c>
      <c r="BQ198" s="67">
        <f>IFERROR(IF(($BH198)&gt;0,($BK198)/($BH198),""),"")</f>
        <v/>
      </c>
      <c r="BR198" s="67">
        <f>IFERROR(IF(($BI198)&gt;0,($BL198)/($BI198),""),"")</f>
        <v/>
      </c>
      <c r="BS198" s="67">
        <f>IFERROR(IF(($BJ198)&gt;0,($BM198)/($BJ198),""),"")</f>
        <v/>
      </c>
      <c r="BT198" s="67">
        <f>IFERROR(IF(($BK198)&gt;0,($BN198)/($BK198),""),"")</f>
        <v/>
      </c>
      <c r="BU198" s="67">
        <f>IFERROR(IF(($BL198)&gt;0,($BO198)/($BL198),""),"")</f>
        <v/>
      </c>
      <c r="BV198" s="67">
        <f>IFERROR(IF(($BM198)&gt;0,($BP198)/($BM198),""),"")</f>
        <v/>
      </c>
      <c r="BW198" s="55">
        <f>SUMIFS(tblPlant[Crushed_t],tblPlant[Date],$A198)</f>
        <v/>
      </c>
      <c r="BX198" s="55">
        <f>IF($B198=$B197,$BX197,0)+$BW198</f>
        <v/>
      </c>
      <c r="BY198" s="55">
        <f>$BY197+$BW198</f>
        <v/>
      </c>
      <c r="BZ198" s="55">
        <f>SUMIFS(tblPlant[Milled_t],tblPlant[Date],$A198)</f>
        <v/>
      </c>
      <c r="CA198" s="55">
        <f>IF($B198=$B197,$CA197,0)+$BZ198</f>
        <v/>
      </c>
      <c r="CB198" s="55">
        <f>$CB197+$BZ198</f>
        <v/>
      </c>
      <c r="CC198" s="55">
        <f>SUMIFS(tblPlant[Feed_oz],tblPlant[Date],$A198)</f>
        <v/>
      </c>
      <c r="CD198" s="55">
        <f>IF($B198=$B197,$CD197,0)+$CC198</f>
        <v/>
      </c>
      <c r="CE198" s="55">
        <f>$CE197+$CC198</f>
        <v/>
      </c>
      <c r="CF198" s="55">
        <f>SUMIFS(tblPlant[Tails_oz],tblPlant[Date],$A198)</f>
        <v/>
      </c>
      <c r="CG198" s="55">
        <f>IF($B198=$B197,$CG197,0)+$CF198</f>
        <v/>
      </c>
      <c r="CH198" s="55">
        <f>$CH197+$CF198</f>
        <v/>
      </c>
      <c r="CI198" s="55">
        <f>SUMIFS(tblPlant[Recovered_oz],tblPlant[Date],$A198)</f>
        <v/>
      </c>
      <c r="CJ198" s="55">
        <f>IF($B198=$B197,$CJ197,0)+$CI198</f>
        <v/>
      </c>
      <c r="CK198" s="55">
        <f>$CK197+$CI198</f>
        <v/>
      </c>
      <c r="CL198" s="56">
        <f>IFERROR(IF(($BZ198)&gt;0,($CC198*cfg_TroyOz)/($BZ198),""),"")</f>
        <v/>
      </c>
      <c r="CM198" s="56">
        <f>IFERROR(IF(($CA198)&gt;0,($CD198*cfg_TroyOz)/($CA198),""),"")</f>
        <v/>
      </c>
      <c r="CN198" s="56">
        <f>IFERROR(IF(($CB198)&gt;0,($CE198*cfg_TroyOz)/($CB198),""),"")</f>
        <v/>
      </c>
      <c r="CO198" s="56">
        <f>IFERROR(IF(($BZ198)&gt;0,($CF198*cfg_TroyOz)/($BZ198),""),"")</f>
        <v/>
      </c>
      <c r="CP198" s="56">
        <f>IFERROR(IF(($CA198)&gt;0,($CG198*cfg_TroyOz)/($CA198),""),"")</f>
        <v/>
      </c>
      <c r="CQ198" s="56">
        <f>IFERROR(IF(($CB198)&gt;0,($CH198*cfg_TroyOz)/($CB198),""),"")</f>
        <v/>
      </c>
      <c r="CR198" s="67">
        <f>IFERROR(IF(($CC198)&gt;0,($CI198)/($CC198),""),"")</f>
        <v/>
      </c>
      <c r="CS198" s="67">
        <f>IFERROR(IF(($CD198)&gt;0,($CJ198)/($CD198),""),"")</f>
        <v/>
      </c>
      <c r="CT198" s="67">
        <f>IFERROR(IF(($CE198)&gt;0,($CK198)/($CE198),""),"")</f>
        <v/>
      </c>
      <c r="CU198" s="55">
        <f>SUMIFS(tblPlant[Gravity_Gold_oz],tblPlant[Date],$A198)</f>
        <v/>
      </c>
      <c r="CV198" s="55">
        <f>IF($B198=$B197,$CV197,0)+$CU198</f>
        <v/>
      </c>
      <c r="CW198" s="55">
        <f>$CW197+$CU198</f>
        <v/>
      </c>
      <c r="CX198" s="55">
        <f>SUMIFS(tblPlant[Gold_Poured_oz],tblPlant[Date],$A198)</f>
        <v/>
      </c>
      <c r="CY198" s="55">
        <f>IF($B198=$B197,$CY197,0)+$CX198</f>
        <v/>
      </c>
      <c r="CZ198" s="55">
        <f>$CZ197+$CX198</f>
        <v/>
      </c>
      <c r="DA198" s="57">
        <f>SUMIFS(tblPlant[Mill_Run_h],tblPlant[Date],$A198)</f>
        <v/>
      </c>
      <c r="DB198" s="57">
        <f>IF($B198=$B197,$DB197,0)+$DA198</f>
        <v/>
      </c>
      <c r="DC198" s="57">
        <f>$DC197+$DA198</f>
        <v/>
      </c>
      <c r="DD198" s="57">
        <f>SUMIFS(tblPlant[Mill_Planned_Maint_h],tblPlant[Date],$A198)</f>
        <v/>
      </c>
      <c r="DE198" s="57">
        <f>IF($B198=$B197,$DE197,0)+$DD198</f>
        <v/>
      </c>
      <c r="DF198" s="57">
        <f>$DF197+$DD198</f>
        <v/>
      </c>
      <c r="DG198" s="57">
        <f>SUMIFS(tblPlant[Mill_Unplanned_Down_h],tblPlant[Date],$A198)</f>
        <v/>
      </c>
      <c r="DH198" s="57">
        <f>IF($B198=$B197,$DH197,0)+$DG198</f>
        <v/>
      </c>
      <c r="DI198" s="57">
        <f>$DI197+$DG198</f>
        <v/>
      </c>
      <c r="DJ198" s="57">
        <f>COUNTIFS(tblPlant[Date],$A198,tblPlant[Mill_Run_h],"&lt;&gt;")*24</f>
        <v/>
      </c>
      <c r="DK198" s="57">
        <f>IF($B198=$B197,$DK197,0)+$DJ198</f>
        <v/>
      </c>
      <c r="DL198" s="57">
        <f>$DL197+$DJ198</f>
        <v/>
      </c>
      <c r="DM198" s="57">
        <f>SUMIFS(tblPlant[Crusher_Run_h],tblPlant[Date],$A198)</f>
        <v/>
      </c>
      <c r="DN198" s="57">
        <f>IF($B198=$B197,$DN197,0)+$DM198</f>
        <v/>
      </c>
      <c r="DO198" s="57">
        <f>$DO197+$DM198</f>
        <v/>
      </c>
      <c r="DP198" s="55">
        <f>IFERROR(IF(($DA198)&gt;0,($BZ198)/($DA198),""),"")</f>
        <v/>
      </c>
      <c r="DQ198" s="55">
        <f>IFERROR(IF(($DB198)&gt;0,($CA198)/($DB198),""),"")</f>
        <v/>
      </c>
      <c r="DR198" s="55">
        <f>IFERROR(IF(($DC198)&gt;0,($CB198)/($DC198),""),"")</f>
        <v/>
      </c>
      <c r="DS198" s="67">
        <f>IFERROR(IF(($DJ198)&gt;0,($DJ198-$DD198-$DG198)/($DJ198),""),"")</f>
        <v/>
      </c>
      <c r="DT198" s="67">
        <f>IFERROR(IF(($DK198)&gt;0,($DK198-$DE198-$DH198)/($DK198),""),"")</f>
        <v/>
      </c>
      <c r="DU198" s="67">
        <f>IFERROR(IF(($DL198)&gt;0,($DL198-$DF198-$DI198)/($DL198),""),"")</f>
        <v/>
      </c>
      <c r="DV198" s="67">
        <f>IFERROR(IF(($DJ198-$DD198-$DG198)&gt;0,($DA198)/($DJ198-$DD198-$DG198),""),"")</f>
        <v/>
      </c>
      <c r="DW198" s="67">
        <f>IFERROR(IF(($DK198-$DE198-$DH198)&gt;0,($DB198)/($DK198-$DE198-$DH198),""),"")</f>
        <v/>
      </c>
      <c r="DX198" s="67">
        <f>IFERROR(IF(($DL198-$DF198-$DI198)&gt;0,($DC198)/($DL198-$DF198-$DI198),""),"")</f>
        <v/>
      </c>
      <c r="DY198" s="55">
        <f>SUMIFS(tblPlant[Cyanide_kg],tblPlant[Date],$A198)</f>
        <v/>
      </c>
      <c r="DZ198" s="55">
        <f>IF($B198=$B197,$DZ197,0)+$DY198</f>
        <v/>
      </c>
      <c r="EA198" s="55">
        <f>$EA197+$DY198</f>
        <v/>
      </c>
      <c r="EB198" s="55">
        <f>SUMIFS(tblPlant[Lime_kg],tblPlant[Date],$A198)</f>
        <v/>
      </c>
      <c r="EC198" s="55">
        <f>IF($B198=$B197,$EC197,0)+$EB198</f>
        <v/>
      </c>
      <c r="ED198" s="55">
        <f>$ED197+$EB198</f>
        <v/>
      </c>
      <c r="EE198" s="55">
        <f>SUMIFS(tblPlant[Grinding_Media_kg],tblPlant[Date],$A198)</f>
        <v/>
      </c>
      <c r="EF198" s="55">
        <f>IF($B198=$B197,$EF197,0)+$EE198</f>
        <v/>
      </c>
      <c r="EG198" s="55">
        <f>$EG197+$EE198</f>
        <v/>
      </c>
      <c r="EH198" s="55">
        <f>SUMIFS(tblPlant[Power_kWh],tblPlant[Date],$A198)</f>
        <v/>
      </c>
      <c r="EI198" s="55">
        <f>IF($B198=$B197,$EI197,0)+$EH198</f>
        <v/>
      </c>
      <c r="EJ198" s="55">
        <f>$EJ197+$EH198</f>
        <v/>
      </c>
      <c r="EK198" s="55">
        <f>SUMIFS(tblPlant[Raw_Water_m3],tblPlant[Date],$A198)</f>
        <v/>
      </c>
      <c r="EL198" s="55">
        <f>IF($B198=$B197,$EL197,0)+$EK198</f>
        <v/>
      </c>
      <c r="EM198" s="55">
        <f>$EM197+$EK198</f>
        <v/>
      </c>
      <c r="EN198" s="56">
        <f>IFERROR(IF(($BZ198)&gt;0,($DY198)/($BZ198),""),"")</f>
        <v/>
      </c>
      <c r="EO198" s="56">
        <f>IFERROR(IF(($CA198)&gt;0,($DZ198)/($CA198),""),"")</f>
        <v/>
      </c>
      <c r="EP198" s="56">
        <f>IFERROR(IF(($CB198)&gt;0,($EA198)/($CB198),""),"")</f>
        <v/>
      </c>
      <c r="EQ198" s="56">
        <f>IFERROR(IF(($BZ198)&gt;0,($EB198)/($BZ198),""),"")</f>
        <v/>
      </c>
      <c r="ER198" s="56">
        <f>IFERROR(IF(($CA198)&gt;0,($EC198)/($CA198),""),"")</f>
        <v/>
      </c>
      <c r="ES198" s="56">
        <f>IFERROR(IF(($CB198)&gt;0,($ED198)/($CB198),""),"")</f>
        <v/>
      </c>
      <c r="ET198" s="56">
        <f>IFERROR(IF(($BZ198)&gt;0,($EE198)/($BZ198),""),"")</f>
        <v/>
      </c>
      <c r="EU198" s="56">
        <f>IFERROR(IF(($CA198)&gt;0,($EF198)/($CA198),""),"")</f>
        <v/>
      </c>
      <c r="EV198" s="56">
        <f>IFERROR(IF(($CB198)&gt;0,($EG198)/($CB198),""),"")</f>
        <v/>
      </c>
      <c r="EW198" s="76">
        <f>IFERROR(IF(($BZ198)&gt;0,($EH198)/($BZ198),""),"")</f>
        <v/>
      </c>
      <c r="EX198" s="76">
        <f>IFERROR(IF(($CA198)&gt;0,($EI198)/($CA198),""),"")</f>
        <v/>
      </c>
      <c r="EY198" s="76">
        <f>IFERROR(IF(($CB198)&gt;0,($EJ198)/($CB198),""),"")</f>
        <v/>
      </c>
      <c r="EZ198" s="56">
        <f>IFERROR(IF(($BZ198)&gt;0,($EK198)/($BZ198),""),"")</f>
        <v/>
      </c>
      <c r="FA198" s="56">
        <f>IFERROR(IF(($CA198)&gt;0,($EL198)/($CA198),""),"")</f>
        <v/>
      </c>
      <c r="FB198" s="56">
        <f>IFERROR(IF(($CB198)&gt;0,($EM198)/($CB198),""),"")</f>
        <v/>
      </c>
      <c r="FC198" s="55">
        <f>IF(SUMIFS(tblPlant[GIC_oz],tblPlant[Date],$A198)&gt;0,SUMIFS(tblPlant[GIC_oz],tblPlant[Date],$A198),"")</f>
        <v/>
      </c>
      <c r="FD198" s="55">
        <f>SUMIFS(tblGold[Gold_oz],tblGold[Date],$A198,tblGold[Type],"Shipment")</f>
        <v/>
      </c>
      <c r="FE198" s="55">
        <f>IF($B198=$B197,$FE197,0)+$FD198</f>
        <v/>
      </c>
      <c r="FF198" s="55">
        <f>$FF197+$FD198</f>
        <v/>
      </c>
      <c r="FG198" s="55">
        <f>SUMIFS(tblGold[Gold_oz],tblGold[Date],$A198,tblGold[Type],"Sale")</f>
        <v/>
      </c>
      <c r="FH198" s="55">
        <f>IF($B198=$B197,$FH197,0)+$FG198</f>
        <v/>
      </c>
      <c r="FI198" s="55">
        <f>$FI197+$FG198</f>
        <v/>
      </c>
      <c r="FJ198" s="55">
        <f>SUMIFS(tblGold[Dore_kg],tblGold[Date],$A198,tblGold[Type],"Shipment")</f>
        <v/>
      </c>
      <c r="FK198" s="55">
        <f>IF($B198=$B197,$FK197,0)+$FJ198</f>
        <v/>
      </c>
      <c r="FL198" s="55">
        <f>$FL197+$FJ198</f>
        <v/>
      </c>
      <c r="FM198" s="57">
        <f>SUMIFS(tblSafety[Hours_Total],tblSafety[Date],$A198)</f>
        <v/>
      </c>
      <c r="FN198" s="57">
        <f>IF($B198=$B197,$FN197,0)+$FM198</f>
        <v/>
      </c>
      <c r="FO198" s="57">
        <f>$FO197+$FM198</f>
        <v/>
      </c>
      <c r="FP198" s="62">
        <f>SUMIFS(tblSafety[Fatality],tblSafety[Date],$A198)</f>
        <v/>
      </c>
      <c r="FQ198" s="62">
        <f>IF($B198=$B197,$FQ197,0)+$FP198</f>
        <v/>
      </c>
      <c r="FR198" s="62">
        <f>$FR197+$FP198</f>
        <v/>
      </c>
      <c r="FS198" s="62">
        <f>SUMIFS(tblSafety[LTI],tblSafety[Date],$A198)</f>
        <v/>
      </c>
      <c r="FT198" s="62">
        <f>IF($B198=$B197,$FT197,0)+$FS198</f>
        <v/>
      </c>
      <c r="FU198" s="62">
        <f>$FU197+$FS198</f>
        <v/>
      </c>
      <c r="FV198" s="62">
        <f>SUMIFS(tblSafety[RWI],tblSafety[Date],$A198)</f>
        <v/>
      </c>
      <c r="FW198" s="62">
        <f>IF($B198=$B197,$FW197,0)+$FV198</f>
        <v/>
      </c>
      <c r="FX198" s="62">
        <f>$FX197+$FV198</f>
        <v/>
      </c>
      <c r="FY198" s="62">
        <f>SUMIFS(tblSafety[MTI],tblSafety[Date],$A198)</f>
        <v/>
      </c>
      <c r="FZ198" s="62">
        <f>IF($B198=$B197,$FZ197,0)+$FY198</f>
        <v/>
      </c>
      <c r="GA198" s="62">
        <f>$GA197+$FY198</f>
        <v/>
      </c>
      <c r="GB198" s="62">
        <f>SUMIFS(tblSafety[FAI],tblSafety[Date],$A198)</f>
        <v/>
      </c>
      <c r="GC198" s="62">
        <f>IF($B198=$B197,$GC197,0)+$GB198</f>
        <v/>
      </c>
      <c r="GD198" s="62">
        <f>$GD197+$GB198</f>
        <v/>
      </c>
      <c r="GE198" s="62">
        <f>SUMIFS(tblSafety[Recordables],tblSafety[Date],$A198)</f>
        <v/>
      </c>
      <c r="GF198" s="62">
        <f>IF($B198=$B197,$GF197,0)+$GE198</f>
        <v/>
      </c>
      <c r="GG198" s="62">
        <f>$GG197+$GE198</f>
        <v/>
      </c>
      <c r="GH198" s="62">
        <f>SUMIFS(tblSafety[Near_Miss],tblSafety[Date],$A198)</f>
        <v/>
      </c>
      <c r="GI198" s="62">
        <f>IF($B198=$B197,$GI197,0)+$GH198</f>
        <v/>
      </c>
      <c r="GJ198" s="62">
        <f>$GJ197+$GH198</f>
        <v/>
      </c>
      <c r="GK198" s="62">
        <f>SUMIFS(tblSafety[Hazard_Reports],tblSafety[Date],$A198)</f>
        <v/>
      </c>
      <c r="GL198" s="62">
        <f>IF($B198=$B197,$GL197,0)+$GK198</f>
        <v/>
      </c>
      <c r="GM198" s="62">
        <f>$GM197+$GK198</f>
        <v/>
      </c>
      <c r="GN198" s="62">
        <f>SUMIFS(tblSafety[HPI],tblSafety[Date],$A198)</f>
        <v/>
      </c>
      <c r="GO198" s="62">
        <f>IF($B198=$B197,$GO197,0)+$GN198</f>
        <v/>
      </c>
      <c r="GP198" s="62">
        <f>$GP197+$GN198</f>
        <v/>
      </c>
      <c r="GQ198" s="62">
        <f>SUMIFS(tblSafety[Env_Incidents],tblSafety[Date],$A198)</f>
        <v/>
      </c>
      <c r="GR198" s="62">
        <f>IF($B198=$B197,$GR197,0)+$GQ198</f>
        <v/>
      </c>
      <c r="GS198" s="62">
        <f>$GS197+$GQ198</f>
        <v/>
      </c>
      <c r="GT198" s="62">
        <f>SUMIFS(tblSafety[Community_Incidents],tblSafety[Date],$A198)</f>
        <v/>
      </c>
      <c r="GU198" s="62">
        <f>IF($B198=$B197,$GU197,0)+$GT198</f>
        <v/>
      </c>
      <c r="GV198" s="62">
        <f>$GV197+$GT198</f>
        <v/>
      </c>
      <c r="GW198" s="62">
        <f>SUMIFS(tblSafety[Vehicle_Incidents],tblSafety[Date],$A198)</f>
        <v/>
      </c>
      <c r="GX198" s="62">
        <f>IF($B198=$B197,$GX197,0)+$GW198</f>
        <v/>
      </c>
      <c r="GY198" s="62">
        <f>$GY197+$GW198</f>
        <v/>
      </c>
      <c r="GZ198" s="62">
        <f>SUMIFS(tblSafety[Toolbox_Talks],tblSafety[Date],$A198)</f>
        <v/>
      </c>
      <c r="HA198" s="62">
        <f>IF($B198=$B197,$HA197,0)+$GZ198</f>
        <v/>
      </c>
      <c r="HB198" s="62">
        <f>$HB197+$GZ198</f>
        <v/>
      </c>
      <c r="HC198" s="62">
        <f>SUMIFS(tblSafety[Inspections],tblSafety[Date],$A198)</f>
        <v/>
      </c>
      <c r="HD198" s="62">
        <f>IF($B198=$B197,$HD197,0)+$HC198</f>
        <v/>
      </c>
      <c r="HE198" s="62">
        <f>$HE197+$HC198</f>
        <v/>
      </c>
      <c r="HF198" s="56">
        <f>IFERROR((SUMIFS(tblSafety[Recordables],tblSafety[Date],"&gt;="&amp;EDATE($E198,-12),tblSafety[Date],"&lt;="&amp;$A198)+SUMIFS(tblSafetyHistory[Recordables],tblSafetyHistory[Month],"&gt;="&amp;EDATE($E198,-12),tblSafetyHistory[Month],"&lt;"&amp;cfg_YearStart))/(SUMIFS(tblSafety[Hours_Total],tblSafety[Date],"&gt;="&amp;EDATE($E198,-12),tblSafety[Date],"&lt;="&amp;$A198)+SUMIFS(tblSafetyHistory[Hours_Total],tblSafetyHistory[Month],"&gt;="&amp;EDATE($E198,-12),tblSafetyHistory[Month],"&lt;"&amp;cfg_YearStart))*1000000,"")</f>
        <v/>
      </c>
      <c r="HG198" s="56">
        <f>IFERROR((SUMIFS(tblSafety[LTI],tblSafety[Date],"&gt;="&amp;EDATE($E198,-12),tblSafety[Date],"&lt;="&amp;$A198)+SUMIFS(tblSafetyHistory[LTI],tblSafetyHistory[Month],"&gt;="&amp;EDATE($E198,-12),tblSafetyHistory[Month],"&lt;"&amp;cfg_YearStart))/(SUMIFS(tblSafety[Hours_Total],tblSafety[Date],"&gt;="&amp;EDATE($E198,-12),tblSafety[Date],"&lt;="&amp;$A198)+SUMIFS(tblSafetyHistory[Hours_Total],tblSafetyHistory[Month],"&gt;="&amp;EDATE($E198,-12),tblSafetyHistory[Month],"&lt;"&amp;cfg_YearStart))*1000000,"")</f>
        <v/>
      </c>
      <c r="HH198" s="62">
        <f>IF(MAX(N(cfg_PriorLTIDate),_xlfn.MAXIFS(tblSafety[Date],tblSafety[LTI],"&gt;0",tblSafety[Date],"&lt;="&amp;$A198))=0,"",$A198-MAX(N(cfg_PriorLTIDate),_xlfn.MAXIFS(tblSafety[Date],tblSafety[LTI],"&gt;0",tblSafety[Date],"&lt;="&amp;$A198)))</f>
        <v/>
      </c>
      <c r="HI198" s="55">
        <f>SUMIFS(tblBudget[Ore_Mined_t],tblBudget[Month],$E198)</f>
        <v/>
      </c>
      <c r="HJ198" s="55">
        <f>$HI198*$C198/$D198</f>
        <v/>
      </c>
      <c r="HK198" s="55">
        <f>SUMIFS(tblBudget[Ore_Mined_t],tblBudget[Month],"&lt;"&amp;$E198)+$HJ198</f>
        <v/>
      </c>
      <c r="HL198" s="55">
        <f>SUMIFS(tblBudget[Ore_oz],tblBudget[Month],$E198)</f>
        <v/>
      </c>
      <c r="HM198" s="55">
        <f>$HL198*$C198/$D198</f>
        <v/>
      </c>
      <c r="HN198" s="55">
        <f>SUMIFS(tblBudget[Ore_oz],tblBudget[Month],"&lt;"&amp;$E198)+$HM198</f>
        <v/>
      </c>
      <c r="HO198" s="56">
        <f>IFERROR(IF(($HI198)&gt;0,($HL198*cfg_TroyOz)/($HI198),""),"")</f>
        <v/>
      </c>
      <c r="HP198" s="56">
        <f>IFERROR(IF(($HJ198)&gt;0,($HM198*cfg_TroyOz)/($HJ198),""),"")</f>
        <v/>
      </c>
      <c r="HQ198" s="56">
        <f>IFERROR(IF(($HK198)&gt;0,($HN198*cfg_TroyOz)/($HK198),""),"")</f>
        <v/>
      </c>
      <c r="HR198" s="55">
        <f>SUMIFS(tblBudget[Waste_t],tblBudget[Month],$E198)</f>
        <v/>
      </c>
      <c r="HS198" s="55">
        <f>$HR198*$C198/$D198</f>
        <v/>
      </c>
      <c r="HT198" s="55">
        <f>SUMIFS(tblBudget[Waste_t],tblBudget[Month],"&lt;"&amp;$E198)+$HS198</f>
        <v/>
      </c>
      <c r="HU198" s="55">
        <f>SUMIFS(tblBudget[TMM_t],tblBudget[Month],$E198)</f>
        <v/>
      </c>
      <c r="HV198" s="55">
        <f>$HU198*$C198/$D198</f>
        <v/>
      </c>
      <c r="HW198" s="55">
        <f>SUMIFS(tblBudget[TMM_t],tblBudget[Month],"&lt;"&amp;$E198)+$HV198</f>
        <v/>
      </c>
      <c r="HX198" s="56">
        <f>IFERROR(IF(($HI198)&gt;0,($HR198)/($HI198),""),"")</f>
        <v/>
      </c>
      <c r="HY198" s="56">
        <f>IFERROR(IF(($HJ198)&gt;0,($HS198)/($HJ198),""),"")</f>
        <v/>
      </c>
      <c r="HZ198" s="56">
        <f>IFERROR(IF(($HK198)&gt;0,($HT198)/($HK198),""),"")</f>
        <v/>
      </c>
      <c r="IA198" s="55">
        <f>SUMIFS(tblBudget[Drill_m],tblBudget[Month],$E198)</f>
        <v/>
      </c>
      <c r="IB198" s="55">
        <f>$IA198*$C198/$D198</f>
        <v/>
      </c>
      <c r="IC198" s="55">
        <f>SUMIFS(tblBudget[Drill_m],tblBudget[Month],"&lt;"&amp;$E198)+$IB198</f>
        <v/>
      </c>
      <c r="ID198" s="55">
        <f>SUMIFS(tblBudget[Diesel_L],tblBudget[Month],$E198)</f>
        <v/>
      </c>
      <c r="IE198" s="55">
        <f>$ID198*$C198/$D198</f>
        <v/>
      </c>
      <c r="IF198" s="55">
        <f>SUMIFS(tblBudget[Diesel_L],tblBudget[Month],"&lt;"&amp;$E198)+$IE198</f>
        <v/>
      </c>
      <c r="IG198" s="55">
        <f>SUMIFS(tblBudget[Milled_t],tblBudget[Month],$E198)</f>
        <v/>
      </c>
      <c r="IH198" s="55">
        <f>$IG198*$C198/$D198</f>
        <v/>
      </c>
      <c r="II198" s="55">
        <f>SUMIFS(tblBudget[Milled_t],tblBudget[Month],"&lt;"&amp;$E198)+$IH198</f>
        <v/>
      </c>
      <c r="IJ198" s="55">
        <f>SUMIFS(tblBudget[Feed_oz],tblBudget[Month],$E198)</f>
        <v/>
      </c>
      <c r="IK198" s="55">
        <f>$IJ198*$C198/$D198</f>
        <v/>
      </c>
      <c r="IL198" s="55">
        <f>SUMIFS(tblBudget[Feed_oz],tblBudget[Month],"&lt;"&amp;$E198)+$IK198</f>
        <v/>
      </c>
      <c r="IM198" s="55">
        <f>SUMIFS(tblBudget[Recovered_oz],tblBudget[Month],$E198)</f>
        <v/>
      </c>
      <c r="IN198" s="55">
        <f>$IM198*$C198/$D198</f>
        <v/>
      </c>
      <c r="IO198" s="55">
        <f>SUMIFS(tblBudget[Recovered_oz],tblBudget[Month],"&lt;"&amp;$E198)+$IN198</f>
        <v/>
      </c>
      <c r="IP198" s="56">
        <f>IFERROR(IF(($IG198)&gt;0,($IJ198*cfg_TroyOz)/($IG198),""),"")</f>
        <v/>
      </c>
      <c r="IQ198" s="56">
        <f>IFERROR(IF(($IH198)&gt;0,($IK198*cfg_TroyOz)/($IH198),""),"")</f>
        <v/>
      </c>
      <c r="IR198" s="56">
        <f>IFERROR(IF(($II198)&gt;0,($IL198*cfg_TroyOz)/($II198),""),"")</f>
        <v/>
      </c>
      <c r="IS198" s="67">
        <f>IFERROR(IF(($IJ198)&gt;0,($IM198)/($IJ198),""),"")</f>
        <v/>
      </c>
      <c r="IT198" s="67">
        <f>IFERROR(IF(($IK198)&gt;0,($IN198)/($IK198),""),"")</f>
        <v/>
      </c>
      <c r="IU198" s="67">
        <f>IFERROR(IF(($IL198)&gt;0,($IO198)/($IL198),""),"")</f>
        <v/>
      </c>
      <c r="IV198" s="55">
        <f>SUMIFS(tblBudget[Gold_Poured_oz],tblBudget[Month],$E198)</f>
        <v/>
      </c>
      <c r="IW198" s="55">
        <f>$IV198*$C198/$D198</f>
        <v/>
      </c>
      <c r="IX198" s="55">
        <f>SUMIFS(tblBudget[Gold_Poured_oz],tblBudget[Month],"&lt;"&amp;$E198)+$IW198</f>
        <v/>
      </c>
      <c r="IY198" s="57">
        <f>SUMIFS(tblBudget[Hours_Worked],tblBudget[Month],$E198)</f>
        <v/>
      </c>
      <c r="IZ198" s="57">
        <f>$IY198*$C198/$D198</f>
        <v/>
      </c>
      <c r="JA198" s="57">
        <f>SUMIFS(tblBudget[Hours_Worked],tblBudget[Month],"&lt;"&amp;$E198)+$IZ198</f>
        <v/>
      </c>
    </row>
    <row r="199">
      <c r="A199" s="54" t="n">
        <v>46220</v>
      </c>
      <c r="B199">
        <f>MONTH($A199)</f>
        <v/>
      </c>
      <c r="C199">
        <f>DAY($A199)</f>
        <v/>
      </c>
      <c r="D199">
        <f>DAY(EOMONTH($A199,0))</f>
        <v/>
      </c>
      <c r="E199" s="54">
        <f>DATE(YEAR($A199),MONTH($A199),1)</f>
        <v/>
      </c>
      <c r="F199" s="55">
        <f>SUMIFS(tblMovement[Tonnes_t],tblMovement[Date],$A199,tblMovement[Is_Ore],1,tblMovement[Source_Type],"Pit")</f>
        <v/>
      </c>
      <c r="G199" s="55">
        <f>IF($B199=$B198,$G198,0)+$F199</f>
        <v/>
      </c>
      <c r="H199" s="55">
        <f>$H198+$F199</f>
        <v/>
      </c>
      <c r="I199" s="55">
        <f>SUMIFS(tblMovement[Ore_oz],tblMovement[Date],$A199,tblMovement[Source_Type],"Pit")</f>
        <v/>
      </c>
      <c r="J199" s="55">
        <f>IF($B199=$B198,$J198,0)+$I199</f>
        <v/>
      </c>
      <c r="K199" s="55">
        <f>$K198+$I199</f>
        <v/>
      </c>
      <c r="L199" s="56">
        <f>IFERROR(IF(($F199)&gt;0,($I199*cfg_TroyOz)/($F199),""),"")</f>
        <v/>
      </c>
      <c r="M199" s="56">
        <f>IFERROR(IF(($G199)&gt;0,($J199*cfg_TroyOz)/($G199),""),"")</f>
        <v/>
      </c>
      <c r="N199" s="56">
        <f>IFERROR(IF(($H199)&gt;0,($K199*cfg_TroyOz)/($H199),""),"")</f>
        <v/>
      </c>
      <c r="O199" s="55">
        <f>SUMIFS(tblMovement[Tonnes_t],tblMovement[Date],$A199,tblMovement[Is_Ore],0,tblMovement[Source_Type],"Pit")</f>
        <v/>
      </c>
      <c r="P199" s="55">
        <f>IF($B199=$B198,$P198,0)+$O199</f>
        <v/>
      </c>
      <c r="Q199" s="55">
        <f>$Q198+$O199</f>
        <v/>
      </c>
      <c r="R199" s="55">
        <f>$F199+$O199</f>
        <v/>
      </c>
      <c r="S199" s="55">
        <f>IF($B199=$B198,$S198,0)+$R199</f>
        <v/>
      </c>
      <c r="T199" s="55">
        <f>$T198+$R199</f>
        <v/>
      </c>
      <c r="U199" s="56">
        <f>IFERROR(IF(($F199)&gt;0,($O199)/($F199),""),"")</f>
        <v/>
      </c>
      <c r="V199" s="56">
        <f>IFERROR(IF(($G199)&gt;0,($P199)/($G199),""),"")</f>
        <v/>
      </c>
      <c r="W199" s="56">
        <f>IFERROR(IF(($H199)&gt;0,($Q199)/($H199),""),"")</f>
        <v/>
      </c>
      <c r="X199" s="55">
        <f>SUMIFS(tblMovement[Tonnes_t],tblMovement[Date],$A199,tblMovement[Source_Type],"Stockpile")</f>
        <v/>
      </c>
      <c r="Y199" s="55">
        <f>IF($B199=$B198,$Y198,0)+$X199</f>
        <v/>
      </c>
      <c r="Z199" s="55">
        <f>$Z198+$X199</f>
        <v/>
      </c>
      <c r="AA199" s="55">
        <f>SUMIFS(tblMiningDaily[Drill_m],tblMiningDaily[Date],$A199)</f>
        <v/>
      </c>
      <c r="AB199" s="55">
        <f>IF($B199=$B198,$AB198,0)+$AA199</f>
        <v/>
      </c>
      <c r="AC199" s="55">
        <f>$AC198+$AA199</f>
        <v/>
      </c>
      <c r="AD199" s="55">
        <f>SUMIFS(tblMiningDaily[Blast_t],tblMiningDaily[Date],$A199)</f>
        <v/>
      </c>
      <c r="AE199" s="55">
        <f>IF($B199=$B198,$AE198,0)+$AD199</f>
        <v/>
      </c>
      <c r="AF199" s="55">
        <f>$AF198+$AD199</f>
        <v/>
      </c>
      <c r="AG199" s="55">
        <f>SUMIFS(tblMiningDaily[Explosives_kg],tblMiningDaily[Date],$A199)</f>
        <v/>
      </c>
      <c r="AH199" s="55">
        <f>IF($B199=$B198,$AH198,0)+$AG199</f>
        <v/>
      </c>
      <c r="AI199" s="55">
        <f>$AI198+$AG199</f>
        <v/>
      </c>
      <c r="AJ199" s="56">
        <f>IFERROR(IF(($AD199)&gt;0,($AG199)/($AD199),""),"")</f>
        <v/>
      </c>
      <c r="AK199" s="56">
        <f>IFERROR(IF(($AE199)&gt;0,($AH199)/($AE199),""),"")</f>
        <v/>
      </c>
      <c r="AL199" s="56">
        <f>IFERROR(IF(($AF199)&gt;0,($AI199)/($AF199),""),"")</f>
        <v/>
      </c>
      <c r="AM199" s="55">
        <f>SUMIFS(tblMiningDaily[Diesel_L],tblMiningDaily[Date],$A199)</f>
        <v/>
      </c>
      <c r="AN199" s="55">
        <f>IF($B199=$B198,$AN198,0)+$AM199</f>
        <v/>
      </c>
      <c r="AO199" s="55">
        <f>$AO198+$AM199</f>
        <v/>
      </c>
      <c r="AP199" s="55">
        <f>SUMIFS(tblMiningDaily[Dewatering_m3],tblMiningDaily[Date],$A199)</f>
        <v/>
      </c>
      <c r="AQ199" s="55">
        <f>IF($B199=$B198,$AQ198,0)+$AP199</f>
        <v/>
      </c>
      <c r="AR199" s="55">
        <f>$AR198+$AP199</f>
        <v/>
      </c>
      <c r="AS199" s="57">
        <f>SUMIFS(tblFleet[Calendar_h],tblFleet[Date],$A199,tblFleet[Equipment_Class],"Excavator")</f>
        <v/>
      </c>
      <c r="AT199" s="57">
        <f>IF($B199=$B198,$AT198,0)+$AS199</f>
        <v/>
      </c>
      <c r="AU199" s="57">
        <f>$AU198+$AS199</f>
        <v/>
      </c>
      <c r="AV199" s="57">
        <f>SUMIFS(tblFleet[Available_h],tblFleet[Date],$A199,tblFleet[Equipment_Class],"Excavator")</f>
        <v/>
      </c>
      <c r="AW199" s="57">
        <f>IF($B199=$B198,$AW198,0)+$AV199</f>
        <v/>
      </c>
      <c r="AX199" s="57">
        <f>$AX198+$AV199</f>
        <v/>
      </c>
      <c r="AY199" s="57">
        <f>SUMIFS(tblFleet[Operating_h],tblFleet[Date],$A199,tblFleet[Equipment_Class],"Excavator")</f>
        <v/>
      </c>
      <c r="AZ199" s="57">
        <f>IF($B199=$B198,$AZ198,0)+$AY199</f>
        <v/>
      </c>
      <c r="BA199" s="57">
        <f>$BA198+$AY199</f>
        <v/>
      </c>
      <c r="BB199" s="67">
        <f>IFERROR(IF(($AS199)&gt;0,($AV199)/($AS199),""),"")</f>
        <v/>
      </c>
      <c r="BC199" s="67">
        <f>IFERROR(IF(($AT199)&gt;0,($AW199)/($AT199),""),"")</f>
        <v/>
      </c>
      <c r="BD199" s="67">
        <f>IFERROR(IF(($AU199)&gt;0,($AX199)/($AU199),""),"")</f>
        <v/>
      </c>
      <c r="BE199" s="67">
        <f>IFERROR(IF(($AV199)&gt;0,($AY199)/($AV199),""),"")</f>
        <v/>
      </c>
      <c r="BF199" s="67">
        <f>IFERROR(IF(($AW199)&gt;0,($AZ199)/($AW199),""),"")</f>
        <v/>
      </c>
      <c r="BG199" s="67">
        <f>IFERROR(IF(($AX199)&gt;0,($BA199)/($AX199),""),"")</f>
        <v/>
      </c>
      <c r="BH199" s="57">
        <f>SUMIFS(tblFleet[Calendar_h],tblFleet[Date],$A199,tblFleet[Equipment_Class],"Haul Truck")</f>
        <v/>
      </c>
      <c r="BI199" s="57">
        <f>IF($B199=$B198,$BI198,0)+$BH199</f>
        <v/>
      </c>
      <c r="BJ199" s="57">
        <f>$BJ198+$BH199</f>
        <v/>
      </c>
      <c r="BK199" s="57">
        <f>SUMIFS(tblFleet[Available_h],tblFleet[Date],$A199,tblFleet[Equipment_Class],"Haul Truck")</f>
        <v/>
      </c>
      <c r="BL199" s="57">
        <f>IF($B199=$B198,$BL198,0)+$BK199</f>
        <v/>
      </c>
      <c r="BM199" s="57">
        <f>$BM198+$BK199</f>
        <v/>
      </c>
      <c r="BN199" s="57">
        <f>SUMIFS(tblFleet[Operating_h],tblFleet[Date],$A199,tblFleet[Equipment_Class],"Haul Truck")</f>
        <v/>
      </c>
      <c r="BO199" s="57">
        <f>IF($B199=$B198,$BO198,0)+$BN199</f>
        <v/>
      </c>
      <c r="BP199" s="57">
        <f>$BP198+$BN199</f>
        <v/>
      </c>
      <c r="BQ199" s="67">
        <f>IFERROR(IF(($BH199)&gt;0,($BK199)/($BH199),""),"")</f>
        <v/>
      </c>
      <c r="BR199" s="67">
        <f>IFERROR(IF(($BI199)&gt;0,($BL199)/($BI199),""),"")</f>
        <v/>
      </c>
      <c r="BS199" s="67">
        <f>IFERROR(IF(($BJ199)&gt;0,($BM199)/($BJ199),""),"")</f>
        <v/>
      </c>
      <c r="BT199" s="67">
        <f>IFERROR(IF(($BK199)&gt;0,($BN199)/($BK199),""),"")</f>
        <v/>
      </c>
      <c r="BU199" s="67">
        <f>IFERROR(IF(($BL199)&gt;0,($BO199)/($BL199),""),"")</f>
        <v/>
      </c>
      <c r="BV199" s="67">
        <f>IFERROR(IF(($BM199)&gt;0,($BP199)/($BM199),""),"")</f>
        <v/>
      </c>
      <c r="BW199" s="55">
        <f>SUMIFS(tblPlant[Crushed_t],tblPlant[Date],$A199)</f>
        <v/>
      </c>
      <c r="BX199" s="55">
        <f>IF($B199=$B198,$BX198,0)+$BW199</f>
        <v/>
      </c>
      <c r="BY199" s="55">
        <f>$BY198+$BW199</f>
        <v/>
      </c>
      <c r="BZ199" s="55">
        <f>SUMIFS(tblPlant[Milled_t],tblPlant[Date],$A199)</f>
        <v/>
      </c>
      <c r="CA199" s="55">
        <f>IF($B199=$B198,$CA198,0)+$BZ199</f>
        <v/>
      </c>
      <c r="CB199" s="55">
        <f>$CB198+$BZ199</f>
        <v/>
      </c>
      <c r="CC199" s="55">
        <f>SUMIFS(tblPlant[Feed_oz],tblPlant[Date],$A199)</f>
        <v/>
      </c>
      <c r="CD199" s="55">
        <f>IF($B199=$B198,$CD198,0)+$CC199</f>
        <v/>
      </c>
      <c r="CE199" s="55">
        <f>$CE198+$CC199</f>
        <v/>
      </c>
      <c r="CF199" s="55">
        <f>SUMIFS(tblPlant[Tails_oz],tblPlant[Date],$A199)</f>
        <v/>
      </c>
      <c r="CG199" s="55">
        <f>IF($B199=$B198,$CG198,0)+$CF199</f>
        <v/>
      </c>
      <c r="CH199" s="55">
        <f>$CH198+$CF199</f>
        <v/>
      </c>
      <c r="CI199" s="55">
        <f>SUMIFS(tblPlant[Recovered_oz],tblPlant[Date],$A199)</f>
        <v/>
      </c>
      <c r="CJ199" s="55">
        <f>IF($B199=$B198,$CJ198,0)+$CI199</f>
        <v/>
      </c>
      <c r="CK199" s="55">
        <f>$CK198+$CI199</f>
        <v/>
      </c>
      <c r="CL199" s="56">
        <f>IFERROR(IF(($BZ199)&gt;0,($CC199*cfg_TroyOz)/($BZ199),""),"")</f>
        <v/>
      </c>
      <c r="CM199" s="56">
        <f>IFERROR(IF(($CA199)&gt;0,($CD199*cfg_TroyOz)/($CA199),""),"")</f>
        <v/>
      </c>
      <c r="CN199" s="56">
        <f>IFERROR(IF(($CB199)&gt;0,($CE199*cfg_TroyOz)/($CB199),""),"")</f>
        <v/>
      </c>
      <c r="CO199" s="56">
        <f>IFERROR(IF(($BZ199)&gt;0,($CF199*cfg_TroyOz)/($BZ199),""),"")</f>
        <v/>
      </c>
      <c r="CP199" s="56">
        <f>IFERROR(IF(($CA199)&gt;0,($CG199*cfg_TroyOz)/($CA199),""),"")</f>
        <v/>
      </c>
      <c r="CQ199" s="56">
        <f>IFERROR(IF(($CB199)&gt;0,($CH199*cfg_TroyOz)/($CB199),""),"")</f>
        <v/>
      </c>
      <c r="CR199" s="67">
        <f>IFERROR(IF(($CC199)&gt;0,($CI199)/($CC199),""),"")</f>
        <v/>
      </c>
      <c r="CS199" s="67">
        <f>IFERROR(IF(($CD199)&gt;0,($CJ199)/($CD199),""),"")</f>
        <v/>
      </c>
      <c r="CT199" s="67">
        <f>IFERROR(IF(($CE199)&gt;0,($CK199)/($CE199),""),"")</f>
        <v/>
      </c>
      <c r="CU199" s="55">
        <f>SUMIFS(tblPlant[Gravity_Gold_oz],tblPlant[Date],$A199)</f>
        <v/>
      </c>
      <c r="CV199" s="55">
        <f>IF($B199=$B198,$CV198,0)+$CU199</f>
        <v/>
      </c>
      <c r="CW199" s="55">
        <f>$CW198+$CU199</f>
        <v/>
      </c>
      <c r="CX199" s="55">
        <f>SUMIFS(tblPlant[Gold_Poured_oz],tblPlant[Date],$A199)</f>
        <v/>
      </c>
      <c r="CY199" s="55">
        <f>IF($B199=$B198,$CY198,0)+$CX199</f>
        <v/>
      </c>
      <c r="CZ199" s="55">
        <f>$CZ198+$CX199</f>
        <v/>
      </c>
      <c r="DA199" s="57">
        <f>SUMIFS(tblPlant[Mill_Run_h],tblPlant[Date],$A199)</f>
        <v/>
      </c>
      <c r="DB199" s="57">
        <f>IF($B199=$B198,$DB198,0)+$DA199</f>
        <v/>
      </c>
      <c r="DC199" s="57">
        <f>$DC198+$DA199</f>
        <v/>
      </c>
      <c r="DD199" s="57">
        <f>SUMIFS(tblPlant[Mill_Planned_Maint_h],tblPlant[Date],$A199)</f>
        <v/>
      </c>
      <c r="DE199" s="57">
        <f>IF($B199=$B198,$DE198,0)+$DD199</f>
        <v/>
      </c>
      <c r="DF199" s="57">
        <f>$DF198+$DD199</f>
        <v/>
      </c>
      <c r="DG199" s="57">
        <f>SUMIFS(tblPlant[Mill_Unplanned_Down_h],tblPlant[Date],$A199)</f>
        <v/>
      </c>
      <c r="DH199" s="57">
        <f>IF($B199=$B198,$DH198,0)+$DG199</f>
        <v/>
      </c>
      <c r="DI199" s="57">
        <f>$DI198+$DG199</f>
        <v/>
      </c>
      <c r="DJ199" s="57">
        <f>COUNTIFS(tblPlant[Date],$A199,tblPlant[Mill_Run_h],"&lt;&gt;")*24</f>
        <v/>
      </c>
      <c r="DK199" s="57">
        <f>IF($B199=$B198,$DK198,0)+$DJ199</f>
        <v/>
      </c>
      <c r="DL199" s="57">
        <f>$DL198+$DJ199</f>
        <v/>
      </c>
      <c r="DM199" s="57">
        <f>SUMIFS(tblPlant[Crusher_Run_h],tblPlant[Date],$A199)</f>
        <v/>
      </c>
      <c r="DN199" s="57">
        <f>IF($B199=$B198,$DN198,0)+$DM199</f>
        <v/>
      </c>
      <c r="DO199" s="57">
        <f>$DO198+$DM199</f>
        <v/>
      </c>
      <c r="DP199" s="55">
        <f>IFERROR(IF(($DA199)&gt;0,($BZ199)/($DA199),""),"")</f>
        <v/>
      </c>
      <c r="DQ199" s="55">
        <f>IFERROR(IF(($DB199)&gt;0,($CA199)/($DB199),""),"")</f>
        <v/>
      </c>
      <c r="DR199" s="55">
        <f>IFERROR(IF(($DC199)&gt;0,($CB199)/($DC199),""),"")</f>
        <v/>
      </c>
      <c r="DS199" s="67">
        <f>IFERROR(IF(($DJ199)&gt;0,($DJ199-$DD199-$DG199)/($DJ199),""),"")</f>
        <v/>
      </c>
      <c r="DT199" s="67">
        <f>IFERROR(IF(($DK199)&gt;0,($DK199-$DE199-$DH199)/($DK199),""),"")</f>
        <v/>
      </c>
      <c r="DU199" s="67">
        <f>IFERROR(IF(($DL199)&gt;0,($DL199-$DF199-$DI199)/($DL199),""),"")</f>
        <v/>
      </c>
      <c r="DV199" s="67">
        <f>IFERROR(IF(($DJ199-$DD199-$DG199)&gt;0,($DA199)/($DJ199-$DD199-$DG199),""),"")</f>
        <v/>
      </c>
      <c r="DW199" s="67">
        <f>IFERROR(IF(($DK199-$DE199-$DH199)&gt;0,($DB199)/($DK199-$DE199-$DH199),""),"")</f>
        <v/>
      </c>
      <c r="DX199" s="67">
        <f>IFERROR(IF(($DL199-$DF199-$DI199)&gt;0,($DC199)/($DL199-$DF199-$DI199),""),"")</f>
        <v/>
      </c>
      <c r="DY199" s="55">
        <f>SUMIFS(tblPlant[Cyanide_kg],tblPlant[Date],$A199)</f>
        <v/>
      </c>
      <c r="DZ199" s="55">
        <f>IF($B199=$B198,$DZ198,0)+$DY199</f>
        <v/>
      </c>
      <c r="EA199" s="55">
        <f>$EA198+$DY199</f>
        <v/>
      </c>
      <c r="EB199" s="55">
        <f>SUMIFS(tblPlant[Lime_kg],tblPlant[Date],$A199)</f>
        <v/>
      </c>
      <c r="EC199" s="55">
        <f>IF($B199=$B198,$EC198,0)+$EB199</f>
        <v/>
      </c>
      <c r="ED199" s="55">
        <f>$ED198+$EB199</f>
        <v/>
      </c>
      <c r="EE199" s="55">
        <f>SUMIFS(tblPlant[Grinding_Media_kg],tblPlant[Date],$A199)</f>
        <v/>
      </c>
      <c r="EF199" s="55">
        <f>IF($B199=$B198,$EF198,0)+$EE199</f>
        <v/>
      </c>
      <c r="EG199" s="55">
        <f>$EG198+$EE199</f>
        <v/>
      </c>
      <c r="EH199" s="55">
        <f>SUMIFS(tblPlant[Power_kWh],tblPlant[Date],$A199)</f>
        <v/>
      </c>
      <c r="EI199" s="55">
        <f>IF($B199=$B198,$EI198,0)+$EH199</f>
        <v/>
      </c>
      <c r="EJ199" s="55">
        <f>$EJ198+$EH199</f>
        <v/>
      </c>
      <c r="EK199" s="55">
        <f>SUMIFS(tblPlant[Raw_Water_m3],tblPlant[Date],$A199)</f>
        <v/>
      </c>
      <c r="EL199" s="55">
        <f>IF($B199=$B198,$EL198,0)+$EK199</f>
        <v/>
      </c>
      <c r="EM199" s="55">
        <f>$EM198+$EK199</f>
        <v/>
      </c>
      <c r="EN199" s="56">
        <f>IFERROR(IF(($BZ199)&gt;0,($DY199)/($BZ199),""),"")</f>
        <v/>
      </c>
      <c r="EO199" s="56">
        <f>IFERROR(IF(($CA199)&gt;0,($DZ199)/($CA199),""),"")</f>
        <v/>
      </c>
      <c r="EP199" s="56">
        <f>IFERROR(IF(($CB199)&gt;0,($EA199)/($CB199),""),"")</f>
        <v/>
      </c>
      <c r="EQ199" s="56">
        <f>IFERROR(IF(($BZ199)&gt;0,($EB199)/($BZ199),""),"")</f>
        <v/>
      </c>
      <c r="ER199" s="56">
        <f>IFERROR(IF(($CA199)&gt;0,($EC199)/($CA199),""),"")</f>
        <v/>
      </c>
      <c r="ES199" s="56">
        <f>IFERROR(IF(($CB199)&gt;0,($ED199)/($CB199),""),"")</f>
        <v/>
      </c>
      <c r="ET199" s="56">
        <f>IFERROR(IF(($BZ199)&gt;0,($EE199)/($BZ199),""),"")</f>
        <v/>
      </c>
      <c r="EU199" s="56">
        <f>IFERROR(IF(($CA199)&gt;0,($EF199)/($CA199),""),"")</f>
        <v/>
      </c>
      <c r="EV199" s="56">
        <f>IFERROR(IF(($CB199)&gt;0,($EG199)/($CB199),""),"")</f>
        <v/>
      </c>
      <c r="EW199" s="76">
        <f>IFERROR(IF(($BZ199)&gt;0,($EH199)/($BZ199),""),"")</f>
        <v/>
      </c>
      <c r="EX199" s="76">
        <f>IFERROR(IF(($CA199)&gt;0,($EI199)/($CA199),""),"")</f>
        <v/>
      </c>
      <c r="EY199" s="76">
        <f>IFERROR(IF(($CB199)&gt;0,($EJ199)/($CB199),""),"")</f>
        <v/>
      </c>
      <c r="EZ199" s="56">
        <f>IFERROR(IF(($BZ199)&gt;0,($EK199)/($BZ199),""),"")</f>
        <v/>
      </c>
      <c r="FA199" s="56">
        <f>IFERROR(IF(($CA199)&gt;0,($EL199)/($CA199),""),"")</f>
        <v/>
      </c>
      <c r="FB199" s="56">
        <f>IFERROR(IF(($CB199)&gt;0,($EM199)/($CB199),""),"")</f>
        <v/>
      </c>
      <c r="FC199" s="55">
        <f>IF(SUMIFS(tblPlant[GIC_oz],tblPlant[Date],$A199)&gt;0,SUMIFS(tblPlant[GIC_oz],tblPlant[Date],$A199),"")</f>
        <v/>
      </c>
      <c r="FD199" s="55">
        <f>SUMIFS(tblGold[Gold_oz],tblGold[Date],$A199,tblGold[Type],"Shipment")</f>
        <v/>
      </c>
      <c r="FE199" s="55">
        <f>IF($B199=$B198,$FE198,0)+$FD199</f>
        <v/>
      </c>
      <c r="FF199" s="55">
        <f>$FF198+$FD199</f>
        <v/>
      </c>
      <c r="FG199" s="55">
        <f>SUMIFS(tblGold[Gold_oz],tblGold[Date],$A199,tblGold[Type],"Sale")</f>
        <v/>
      </c>
      <c r="FH199" s="55">
        <f>IF($B199=$B198,$FH198,0)+$FG199</f>
        <v/>
      </c>
      <c r="FI199" s="55">
        <f>$FI198+$FG199</f>
        <v/>
      </c>
      <c r="FJ199" s="55">
        <f>SUMIFS(tblGold[Dore_kg],tblGold[Date],$A199,tblGold[Type],"Shipment")</f>
        <v/>
      </c>
      <c r="FK199" s="55">
        <f>IF($B199=$B198,$FK198,0)+$FJ199</f>
        <v/>
      </c>
      <c r="FL199" s="55">
        <f>$FL198+$FJ199</f>
        <v/>
      </c>
      <c r="FM199" s="57">
        <f>SUMIFS(tblSafety[Hours_Total],tblSafety[Date],$A199)</f>
        <v/>
      </c>
      <c r="FN199" s="57">
        <f>IF($B199=$B198,$FN198,0)+$FM199</f>
        <v/>
      </c>
      <c r="FO199" s="57">
        <f>$FO198+$FM199</f>
        <v/>
      </c>
      <c r="FP199" s="62">
        <f>SUMIFS(tblSafety[Fatality],tblSafety[Date],$A199)</f>
        <v/>
      </c>
      <c r="FQ199" s="62">
        <f>IF($B199=$B198,$FQ198,0)+$FP199</f>
        <v/>
      </c>
      <c r="FR199" s="62">
        <f>$FR198+$FP199</f>
        <v/>
      </c>
      <c r="FS199" s="62">
        <f>SUMIFS(tblSafety[LTI],tblSafety[Date],$A199)</f>
        <v/>
      </c>
      <c r="FT199" s="62">
        <f>IF($B199=$B198,$FT198,0)+$FS199</f>
        <v/>
      </c>
      <c r="FU199" s="62">
        <f>$FU198+$FS199</f>
        <v/>
      </c>
      <c r="FV199" s="62">
        <f>SUMIFS(tblSafety[RWI],tblSafety[Date],$A199)</f>
        <v/>
      </c>
      <c r="FW199" s="62">
        <f>IF($B199=$B198,$FW198,0)+$FV199</f>
        <v/>
      </c>
      <c r="FX199" s="62">
        <f>$FX198+$FV199</f>
        <v/>
      </c>
      <c r="FY199" s="62">
        <f>SUMIFS(tblSafety[MTI],tblSafety[Date],$A199)</f>
        <v/>
      </c>
      <c r="FZ199" s="62">
        <f>IF($B199=$B198,$FZ198,0)+$FY199</f>
        <v/>
      </c>
      <c r="GA199" s="62">
        <f>$GA198+$FY199</f>
        <v/>
      </c>
      <c r="GB199" s="62">
        <f>SUMIFS(tblSafety[FAI],tblSafety[Date],$A199)</f>
        <v/>
      </c>
      <c r="GC199" s="62">
        <f>IF($B199=$B198,$GC198,0)+$GB199</f>
        <v/>
      </c>
      <c r="GD199" s="62">
        <f>$GD198+$GB199</f>
        <v/>
      </c>
      <c r="GE199" s="62">
        <f>SUMIFS(tblSafety[Recordables],tblSafety[Date],$A199)</f>
        <v/>
      </c>
      <c r="GF199" s="62">
        <f>IF($B199=$B198,$GF198,0)+$GE199</f>
        <v/>
      </c>
      <c r="GG199" s="62">
        <f>$GG198+$GE199</f>
        <v/>
      </c>
      <c r="GH199" s="62">
        <f>SUMIFS(tblSafety[Near_Miss],tblSafety[Date],$A199)</f>
        <v/>
      </c>
      <c r="GI199" s="62">
        <f>IF($B199=$B198,$GI198,0)+$GH199</f>
        <v/>
      </c>
      <c r="GJ199" s="62">
        <f>$GJ198+$GH199</f>
        <v/>
      </c>
      <c r="GK199" s="62">
        <f>SUMIFS(tblSafety[Hazard_Reports],tblSafety[Date],$A199)</f>
        <v/>
      </c>
      <c r="GL199" s="62">
        <f>IF($B199=$B198,$GL198,0)+$GK199</f>
        <v/>
      </c>
      <c r="GM199" s="62">
        <f>$GM198+$GK199</f>
        <v/>
      </c>
      <c r="GN199" s="62">
        <f>SUMIFS(tblSafety[HPI],tblSafety[Date],$A199)</f>
        <v/>
      </c>
      <c r="GO199" s="62">
        <f>IF($B199=$B198,$GO198,0)+$GN199</f>
        <v/>
      </c>
      <c r="GP199" s="62">
        <f>$GP198+$GN199</f>
        <v/>
      </c>
      <c r="GQ199" s="62">
        <f>SUMIFS(tblSafety[Env_Incidents],tblSafety[Date],$A199)</f>
        <v/>
      </c>
      <c r="GR199" s="62">
        <f>IF($B199=$B198,$GR198,0)+$GQ199</f>
        <v/>
      </c>
      <c r="GS199" s="62">
        <f>$GS198+$GQ199</f>
        <v/>
      </c>
      <c r="GT199" s="62">
        <f>SUMIFS(tblSafety[Community_Incidents],tblSafety[Date],$A199)</f>
        <v/>
      </c>
      <c r="GU199" s="62">
        <f>IF($B199=$B198,$GU198,0)+$GT199</f>
        <v/>
      </c>
      <c r="GV199" s="62">
        <f>$GV198+$GT199</f>
        <v/>
      </c>
      <c r="GW199" s="62">
        <f>SUMIFS(tblSafety[Vehicle_Incidents],tblSafety[Date],$A199)</f>
        <v/>
      </c>
      <c r="GX199" s="62">
        <f>IF($B199=$B198,$GX198,0)+$GW199</f>
        <v/>
      </c>
      <c r="GY199" s="62">
        <f>$GY198+$GW199</f>
        <v/>
      </c>
      <c r="GZ199" s="62">
        <f>SUMIFS(tblSafety[Toolbox_Talks],tblSafety[Date],$A199)</f>
        <v/>
      </c>
      <c r="HA199" s="62">
        <f>IF($B199=$B198,$HA198,0)+$GZ199</f>
        <v/>
      </c>
      <c r="HB199" s="62">
        <f>$HB198+$GZ199</f>
        <v/>
      </c>
      <c r="HC199" s="62">
        <f>SUMIFS(tblSafety[Inspections],tblSafety[Date],$A199)</f>
        <v/>
      </c>
      <c r="HD199" s="62">
        <f>IF($B199=$B198,$HD198,0)+$HC199</f>
        <v/>
      </c>
      <c r="HE199" s="62">
        <f>$HE198+$HC199</f>
        <v/>
      </c>
      <c r="HF199" s="56">
        <f>IFERROR((SUMIFS(tblSafety[Recordables],tblSafety[Date],"&gt;="&amp;EDATE($E199,-12),tblSafety[Date],"&lt;="&amp;$A199)+SUMIFS(tblSafetyHistory[Recordables],tblSafetyHistory[Month],"&gt;="&amp;EDATE($E199,-12),tblSafetyHistory[Month],"&lt;"&amp;cfg_YearStart))/(SUMIFS(tblSafety[Hours_Total],tblSafety[Date],"&gt;="&amp;EDATE($E199,-12),tblSafety[Date],"&lt;="&amp;$A199)+SUMIFS(tblSafetyHistory[Hours_Total],tblSafetyHistory[Month],"&gt;="&amp;EDATE($E199,-12),tblSafetyHistory[Month],"&lt;"&amp;cfg_YearStart))*1000000,"")</f>
        <v/>
      </c>
      <c r="HG199" s="56">
        <f>IFERROR((SUMIFS(tblSafety[LTI],tblSafety[Date],"&gt;="&amp;EDATE($E199,-12),tblSafety[Date],"&lt;="&amp;$A199)+SUMIFS(tblSafetyHistory[LTI],tblSafetyHistory[Month],"&gt;="&amp;EDATE($E199,-12),tblSafetyHistory[Month],"&lt;"&amp;cfg_YearStart))/(SUMIFS(tblSafety[Hours_Total],tblSafety[Date],"&gt;="&amp;EDATE($E199,-12),tblSafety[Date],"&lt;="&amp;$A199)+SUMIFS(tblSafetyHistory[Hours_Total],tblSafetyHistory[Month],"&gt;="&amp;EDATE($E199,-12),tblSafetyHistory[Month],"&lt;"&amp;cfg_YearStart))*1000000,"")</f>
        <v/>
      </c>
      <c r="HH199" s="62">
        <f>IF(MAX(N(cfg_PriorLTIDate),_xlfn.MAXIFS(tblSafety[Date],tblSafety[LTI],"&gt;0",tblSafety[Date],"&lt;="&amp;$A199))=0,"",$A199-MAX(N(cfg_PriorLTIDate),_xlfn.MAXIFS(tblSafety[Date],tblSafety[LTI],"&gt;0",tblSafety[Date],"&lt;="&amp;$A199)))</f>
        <v/>
      </c>
      <c r="HI199" s="55">
        <f>SUMIFS(tblBudget[Ore_Mined_t],tblBudget[Month],$E199)</f>
        <v/>
      </c>
      <c r="HJ199" s="55">
        <f>$HI199*$C199/$D199</f>
        <v/>
      </c>
      <c r="HK199" s="55">
        <f>SUMIFS(tblBudget[Ore_Mined_t],tblBudget[Month],"&lt;"&amp;$E199)+$HJ199</f>
        <v/>
      </c>
      <c r="HL199" s="55">
        <f>SUMIFS(tblBudget[Ore_oz],tblBudget[Month],$E199)</f>
        <v/>
      </c>
      <c r="HM199" s="55">
        <f>$HL199*$C199/$D199</f>
        <v/>
      </c>
      <c r="HN199" s="55">
        <f>SUMIFS(tblBudget[Ore_oz],tblBudget[Month],"&lt;"&amp;$E199)+$HM199</f>
        <v/>
      </c>
      <c r="HO199" s="56">
        <f>IFERROR(IF(($HI199)&gt;0,($HL199*cfg_TroyOz)/($HI199),""),"")</f>
        <v/>
      </c>
      <c r="HP199" s="56">
        <f>IFERROR(IF(($HJ199)&gt;0,($HM199*cfg_TroyOz)/($HJ199),""),"")</f>
        <v/>
      </c>
      <c r="HQ199" s="56">
        <f>IFERROR(IF(($HK199)&gt;0,($HN199*cfg_TroyOz)/($HK199),""),"")</f>
        <v/>
      </c>
      <c r="HR199" s="55">
        <f>SUMIFS(tblBudget[Waste_t],tblBudget[Month],$E199)</f>
        <v/>
      </c>
      <c r="HS199" s="55">
        <f>$HR199*$C199/$D199</f>
        <v/>
      </c>
      <c r="HT199" s="55">
        <f>SUMIFS(tblBudget[Waste_t],tblBudget[Month],"&lt;"&amp;$E199)+$HS199</f>
        <v/>
      </c>
      <c r="HU199" s="55">
        <f>SUMIFS(tblBudget[TMM_t],tblBudget[Month],$E199)</f>
        <v/>
      </c>
      <c r="HV199" s="55">
        <f>$HU199*$C199/$D199</f>
        <v/>
      </c>
      <c r="HW199" s="55">
        <f>SUMIFS(tblBudget[TMM_t],tblBudget[Month],"&lt;"&amp;$E199)+$HV199</f>
        <v/>
      </c>
      <c r="HX199" s="56">
        <f>IFERROR(IF(($HI199)&gt;0,($HR199)/($HI199),""),"")</f>
        <v/>
      </c>
      <c r="HY199" s="56">
        <f>IFERROR(IF(($HJ199)&gt;0,($HS199)/($HJ199),""),"")</f>
        <v/>
      </c>
      <c r="HZ199" s="56">
        <f>IFERROR(IF(($HK199)&gt;0,($HT199)/($HK199),""),"")</f>
        <v/>
      </c>
      <c r="IA199" s="55">
        <f>SUMIFS(tblBudget[Drill_m],tblBudget[Month],$E199)</f>
        <v/>
      </c>
      <c r="IB199" s="55">
        <f>$IA199*$C199/$D199</f>
        <v/>
      </c>
      <c r="IC199" s="55">
        <f>SUMIFS(tblBudget[Drill_m],tblBudget[Month],"&lt;"&amp;$E199)+$IB199</f>
        <v/>
      </c>
      <c r="ID199" s="55">
        <f>SUMIFS(tblBudget[Diesel_L],tblBudget[Month],$E199)</f>
        <v/>
      </c>
      <c r="IE199" s="55">
        <f>$ID199*$C199/$D199</f>
        <v/>
      </c>
      <c r="IF199" s="55">
        <f>SUMIFS(tblBudget[Diesel_L],tblBudget[Month],"&lt;"&amp;$E199)+$IE199</f>
        <v/>
      </c>
      <c r="IG199" s="55">
        <f>SUMIFS(tblBudget[Milled_t],tblBudget[Month],$E199)</f>
        <v/>
      </c>
      <c r="IH199" s="55">
        <f>$IG199*$C199/$D199</f>
        <v/>
      </c>
      <c r="II199" s="55">
        <f>SUMIFS(tblBudget[Milled_t],tblBudget[Month],"&lt;"&amp;$E199)+$IH199</f>
        <v/>
      </c>
      <c r="IJ199" s="55">
        <f>SUMIFS(tblBudget[Feed_oz],tblBudget[Month],$E199)</f>
        <v/>
      </c>
      <c r="IK199" s="55">
        <f>$IJ199*$C199/$D199</f>
        <v/>
      </c>
      <c r="IL199" s="55">
        <f>SUMIFS(tblBudget[Feed_oz],tblBudget[Month],"&lt;"&amp;$E199)+$IK199</f>
        <v/>
      </c>
      <c r="IM199" s="55">
        <f>SUMIFS(tblBudget[Recovered_oz],tblBudget[Month],$E199)</f>
        <v/>
      </c>
      <c r="IN199" s="55">
        <f>$IM199*$C199/$D199</f>
        <v/>
      </c>
      <c r="IO199" s="55">
        <f>SUMIFS(tblBudget[Recovered_oz],tblBudget[Month],"&lt;"&amp;$E199)+$IN199</f>
        <v/>
      </c>
      <c r="IP199" s="56">
        <f>IFERROR(IF(($IG199)&gt;0,($IJ199*cfg_TroyOz)/($IG199),""),"")</f>
        <v/>
      </c>
      <c r="IQ199" s="56">
        <f>IFERROR(IF(($IH199)&gt;0,($IK199*cfg_TroyOz)/($IH199),""),"")</f>
        <v/>
      </c>
      <c r="IR199" s="56">
        <f>IFERROR(IF(($II199)&gt;0,($IL199*cfg_TroyOz)/($II199),""),"")</f>
        <v/>
      </c>
      <c r="IS199" s="67">
        <f>IFERROR(IF(($IJ199)&gt;0,($IM199)/($IJ199),""),"")</f>
        <v/>
      </c>
      <c r="IT199" s="67">
        <f>IFERROR(IF(($IK199)&gt;0,($IN199)/($IK199),""),"")</f>
        <v/>
      </c>
      <c r="IU199" s="67">
        <f>IFERROR(IF(($IL199)&gt;0,($IO199)/($IL199),""),"")</f>
        <v/>
      </c>
      <c r="IV199" s="55">
        <f>SUMIFS(tblBudget[Gold_Poured_oz],tblBudget[Month],$E199)</f>
        <v/>
      </c>
      <c r="IW199" s="55">
        <f>$IV199*$C199/$D199</f>
        <v/>
      </c>
      <c r="IX199" s="55">
        <f>SUMIFS(tblBudget[Gold_Poured_oz],tblBudget[Month],"&lt;"&amp;$E199)+$IW199</f>
        <v/>
      </c>
      <c r="IY199" s="57">
        <f>SUMIFS(tblBudget[Hours_Worked],tblBudget[Month],$E199)</f>
        <v/>
      </c>
      <c r="IZ199" s="57">
        <f>$IY199*$C199/$D199</f>
        <v/>
      </c>
      <c r="JA199" s="57">
        <f>SUMIFS(tblBudget[Hours_Worked],tblBudget[Month],"&lt;"&amp;$E199)+$IZ199</f>
        <v/>
      </c>
    </row>
    <row r="200">
      <c r="A200" s="54" t="n">
        <v>46221</v>
      </c>
      <c r="B200">
        <f>MONTH($A200)</f>
        <v/>
      </c>
      <c r="C200">
        <f>DAY($A200)</f>
        <v/>
      </c>
      <c r="D200">
        <f>DAY(EOMONTH($A200,0))</f>
        <v/>
      </c>
      <c r="E200" s="54">
        <f>DATE(YEAR($A200),MONTH($A200),1)</f>
        <v/>
      </c>
      <c r="F200" s="55">
        <f>SUMIFS(tblMovement[Tonnes_t],tblMovement[Date],$A200,tblMovement[Is_Ore],1,tblMovement[Source_Type],"Pit")</f>
        <v/>
      </c>
      <c r="G200" s="55">
        <f>IF($B200=$B199,$G199,0)+$F200</f>
        <v/>
      </c>
      <c r="H200" s="55">
        <f>$H199+$F200</f>
        <v/>
      </c>
      <c r="I200" s="55">
        <f>SUMIFS(tblMovement[Ore_oz],tblMovement[Date],$A200,tblMovement[Source_Type],"Pit")</f>
        <v/>
      </c>
      <c r="J200" s="55">
        <f>IF($B200=$B199,$J199,0)+$I200</f>
        <v/>
      </c>
      <c r="K200" s="55">
        <f>$K199+$I200</f>
        <v/>
      </c>
      <c r="L200" s="56">
        <f>IFERROR(IF(($F200)&gt;0,($I200*cfg_TroyOz)/($F200),""),"")</f>
        <v/>
      </c>
      <c r="M200" s="56">
        <f>IFERROR(IF(($G200)&gt;0,($J200*cfg_TroyOz)/($G200),""),"")</f>
        <v/>
      </c>
      <c r="N200" s="56">
        <f>IFERROR(IF(($H200)&gt;0,($K200*cfg_TroyOz)/($H200),""),"")</f>
        <v/>
      </c>
      <c r="O200" s="55">
        <f>SUMIFS(tblMovement[Tonnes_t],tblMovement[Date],$A200,tblMovement[Is_Ore],0,tblMovement[Source_Type],"Pit")</f>
        <v/>
      </c>
      <c r="P200" s="55">
        <f>IF($B200=$B199,$P199,0)+$O200</f>
        <v/>
      </c>
      <c r="Q200" s="55">
        <f>$Q199+$O200</f>
        <v/>
      </c>
      <c r="R200" s="55">
        <f>$F200+$O200</f>
        <v/>
      </c>
      <c r="S200" s="55">
        <f>IF($B200=$B199,$S199,0)+$R200</f>
        <v/>
      </c>
      <c r="T200" s="55">
        <f>$T199+$R200</f>
        <v/>
      </c>
      <c r="U200" s="56">
        <f>IFERROR(IF(($F200)&gt;0,($O200)/($F200),""),"")</f>
        <v/>
      </c>
      <c r="V200" s="56">
        <f>IFERROR(IF(($G200)&gt;0,($P200)/($G200),""),"")</f>
        <v/>
      </c>
      <c r="W200" s="56">
        <f>IFERROR(IF(($H200)&gt;0,($Q200)/($H200),""),"")</f>
        <v/>
      </c>
      <c r="X200" s="55">
        <f>SUMIFS(tblMovement[Tonnes_t],tblMovement[Date],$A200,tblMovement[Source_Type],"Stockpile")</f>
        <v/>
      </c>
      <c r="Y200" s="55">
        <f>IF($B200=$B199,$Y199,0)+$X200</f>
        <v/>
      </c>
      <c r="Z200" s="55">
        <f>$Z199+$X200</f>
        <v/>
      </c>
      <c r="AA200" s="55">
        <f>SUMIFS(tblMiningDaily[Drill_m],tblMiningDaily[Date],$A200)</f>
        <v/>
      </c>
      <c r="AB200" s="55">
        <f>IF($B200=$B199,$AB199,0)+$AA200</f>
        <v/>
      </c>
      <c r="AC200" s="55">
        <f>$AC199+$AA200</f>
        <v/>
      </c>
      <c r="AD200" s="55">
        <f>SUMIFS(tblMiningDaily[Blast_t],tblMiningDaily[Date],$A200)</f>
        <v/>
      </c>
      <c r="AE200" s="55">
        <f>IF($B200=$B199,$AE199,0)+$AD200</f>
        <v/>
      </c>
      <c r="AF200" s="55">
        <f>$AF199+$AD200</f>
        <v/>
      </c>
      <c r="AG200" s="55">
        <f>SUMIFS(tblMiningDaily[Explosives_kg],tblMiningDaily[Date],$A200)</f>
        <v/>
      </c>
      <c r="AH200" s="55">
        <f>IF($B200=$B199,$AH199,0)+$AG200</f>
        <v/>
      </c>
      <c r="AI200" s="55">
        <f>$AI199+$AG200</f>
        <v/>
      </c>
      <c r="AJ200" s="56">
        <f>IFERROR(IF(($AD200)&gt;0,($AG200)/($AD200),""),"")</f>
        <v/>
      </c>
      <c r="AK200" s="56">
        <f>IFERROR(IF(($AE200)&gt;0,($AH200)/($AE200),""),"")</f>
        <v/>
      </c>
      <c r="AL200" s="56">
        <f>IFERROR(IF(($AF200)&gt;0,($AI200)/($AF200),""),"")</f>
        <v/>
      </c>
      <c r="AM200" s="55">
        <f>SUMIFS(tblMiningDaily[Diesel_L],tblMiningDaily[Date],$A200)</f>
        <v/>
      </c>
      <c r="AN200" s="55">
        <f>IF($B200=$B199,$AN199,0)+$AM200</f>
        <v/>
      </c>
      <c r="AO200" s="55">
        <f>$AO199+$AM200</f>
        <v/>
      </c>
      <c r="AP200" s="55">
        <f>SUMIFS(tblMiningDaily[Dewatering_m3],tblMiningDaily[Date],$A200)</f>
        <v/>
      </c>
      <c r="AQ200" s="55">
        <f>IF($B200=$B199,$AQ199,0)+$AP200</f>
        <v/>
      </c>
      <c r="AR200" s="55">
        <f>$AR199+$AP200</f>
        <v/>
      </c>
      <c r="AS200" s="57">
        <f>SUMIFS(tblFleet[Calendar_h],tblFleet[Date],$A200,tblFleet[Equipment_Class],"Excavator")</f>
        <v/>
      </c>
      <c r="AT200" s="57">
        <f>IF($B200=$B199,$AT199,0)+$AS200</f>
        <v/>
      </c>
      <c r="AU200" s="57">
        <f>$AU199+$AS200</f>
        <v/>
      </c>
      <c r="AV200" s="57">
        <f>SUMIFS(tblFleet[Available_h],tblFleet[Date],$A200,tblFleet[Equipment_Class],"Excavator")</f>
        <v/>
      </c>
      <c r="AW200" s="57">
        <f>IF($B200=$B199,$AW199,0)+$AV200</f>
        <v/>
      </c>
      <c r="AX200" s="57">
        <f>$AX199+$AV200</f>
        <v/>
      </c>
      <c r="AY200" s="57">
        <f>SUMIFS(tblFleet[Operating_h],tblFleet[Date],$A200,tblFleet[Equipment_Class],"Excavator")</f>
        <v/>
      </c>
      <c r="AZ200" s="57">
        <f>IF($B200=$B199,$AZ199,0)+$AY200</f>
        <v/>
      </c>
      <c r="BA200" s="57">
        <f>$BA199+$AY200</f>
        <v/>
      </c>
      <c r="BB200" s="67">
        <f>IFERROR(IF(($AS200)&gt;0,($AV200)/($AS200),""),"")</f>
        <v/>
      </c>
      <c r="BC200" s="67">
        <f>IFERROR(IF(($AT200)&gt;0,($AW200)/($AT200),""),"")</f>
        <v/>
      </c>
      <c r="BD200" s="67">
        <f>IFERROR(IF(($AU200)&gt;0,($AX200)/($AU200),""),"")</f>
        <v/>
      </c>
      <c r="BE200" s="67">
        <f>IFERROR(IF(($AV200)&gt;0,($AY200)/($AV200),""),"")</f>
        <v/>
      </c>
      <c r="BF200" s="67">
        <f>IFERROR(IF(($AW200)&gt;0,($AZ200)/($AW200),""),"")</f>
        <v/>
      </c>
      <c r="BG200" s="67">
        <f>IFERROR(IF(($AX200)&gt;0,($BA200)/($AX200),""),"")</f>
        <v/>
      </c>
      <c r="BH200" s="57">
        <f>SUMIFS(tblFleet[Calendar_h],tblFleet[Date],$A200,tblFleet[Equipment_Class],"Haul Truck")</f>
        <v/>
      </c>
      <c r="BI200" s="57">
        <f>IF($B200=$B199,$BI199,0)+$BH200</f>
        <v/>
      </c>
      <c r="BJ200" s="57">
        <f>$BJ199+$BH200</f>
        <v/>
      </c>
      <c r="BK200" s="57">
        <f>SUMIFS(tblFleet[Available_h],tblFleet[Date],$A200,tblFleet[Equipment_Class],"Haul Truck")</f>
        <v/>
      </c>
      <c r="BL200" s="57">
        <f>IF($B200=$B199,$BL199,0)+$BK200</f>
        <v/>
      </c>
      <c r="BM200" s="57">
        <f>$BM199+$BK200</f>
        <v/>
      </c>
      <c r="BN200" s="57">
        <f>SUMIFS(tblFleet[Operating_h],tblFleet[Date],$A200,tblFleet[Equipment_Class],"Haul Truck")</f>
        <v/>
      </c>
      <c r="BO200" s="57">
        <f>IF($B200=$B199,$BO199,0)+$BN200</f>
        <v/>
      </c>
      <c r="BP200" s="57">
        <f>$BP199+$BN200</f>
        <v/>
      </c>
      <c r="BQ200" s="67">
        <f>IFERROR(IF(($BH200)&gt;0,($BK200)/($BH200),""),"")</f>
        <v/>
      </c>
      <c r="BR200" s="67">
        <f>IFERROR(IF(($BI200)&gt;0,($BL200)/($BI200),""),"")</f>
        <v/>
      </c>
      <c r="BS200" s="67">
        <f>IFERROR(IF(($BJ200)&gt;0,($BM200)/($BJ200),""),"")</f>
        <v/>
      </c>
      <c r="BT200" s="67">
        <f>IFERROR(IF(($BK200)&gt;0,($BN200)/($BK200),""),"")</f>
        <v/>
      </c>
      <c r="BU200" s="67">
        <f>IFERROR(IF(($BL200)&gt;0,($BO200)/($BL200),""),"")</f>
        <v/>
      </c>
      <c r="BV200" s="67">
        <f>IFERROR(IF(($BM200)&gt;0,($BP200)/($BM200),""),"")</f>
        <v/>
      </c>
      <c r="BW200" s="55">
        <f>SUMIFS(tblPlant[Crushed_t],tblPlant[Date],$A200)</f>
        <v/>
      </c>
      <c r="BX200" s="55">
        <f>IF($B200=$B199,$BX199,0)+$BW200</f>
        <v/>
      </c>
      <c r="BY200" s="55">
        <f>$BY199+$BW200</f>
        <v/>
      </c>
      <c r="BZ200" s="55">
        <f>SUMIFS(tblPlant[Milled_t],tblPlant[Date],$A200)</f>
        <v/>
      </c>
      <c r="CA200" s="55">
        <f>IF($B200=$B199,$CA199,0)+$BZ200</f>
        <v/>
      </c>
      <c r="CB200" s="55">
        <f>$CB199+$BZ200</f>
        <v/>
      </c>
      <c r="CC200" s="55">
        <f>SUMIFS(tblPlant[Feed_oz],tblPlant[Date],$A200)</f>
        <v/>
      </c>
      <c r="CD200" s="55">
        <f>IF($B200=$B199,$CD199,0)+$CC200</f>
        <v/>
      </c>
      <c r="CE200" s="55">
        <f>$CE199+$CC200</f>
        <v/>
      </c>
      <c r="CF200" s="55">
        <f>SUMIFS(tblPlant[Tails_oz],tblPlant[Date],$A200)</f>
        <v/>
      </c>
      <c r="CG200" s="55">
        <f>IF($B200=$B199,$CG199,0)+$CF200</f>
        <v/>
      </c>
      <c r="CH200" s="55">
        <f>$CH199+$CF200</f>
        <v/>
      </c>
      <c r="CI200" s="55">
        <f>SUMIFS(tblPlant[Recovered_oz],tblPlant[Date],$A200)</f>
        <v/>
      </c>
      <c r="CJ200" s="55">
        <f>IF($B200=$B199,$CJ199,0)+$CI200</f>
        <v/>
      </c>
      <c r="CK200" s="55">
        <f>$CK199+$CI200</f>
        <v/>
      </c>
      <c r="CL200" s="56">
        <f>IFERROR(IF(($BZ200)&gt;0,($CC200*cfg_TroyOz)/($BZ200),""),"")</f>
        <v/>
      </c>
      <c r="CM200" s="56">
        <f>IFERROR(IF(($CA200)&gt;0,($CD200*cfg_TroyOz)/($CA200),""),"")</f>
        <v/>
      </c>
      <c r="CN200" s="56">
        <f>IFERROR(IF(($CB200)&gt;0,($CE200*cfg_TroyOz)/($CB200),""),"")</f>
        <v/>
      </c>
      <c r="CO200" s="56">
        <f>IFERROR(IF(($BZ200)&gt;0,($CF200*cfg_TroyOz)/($BZ200),""),"")</f>
        <v/>
      </c>
      <c r="CP200" s="56">
        <f>IFERROR(IF(($CA200)&gt;0,($CG200*cfg_TroyOz)/($CA200),""),"")</f>
        <v/>
      </c>
      <c r="CQ200" s="56">
        <f>IFERROR(IF(($CB200)&gt;0,($CH200*cfg_TroyOz)/($CB200),""),"")</f>
        <v/>
      </c>
      <c r="CR200" s="67">
        <f>IFERROR(IF(($CC200)&gt;0,($CI200)/($CC200),""),"")</f>
        <v/>
      </c>
      <c r="CS200" s="67">
        <f>IFERROR(IF(($CD200)&gt;0,($CJ200)/($CD200),""),"")</f>
        <v/>
      </c>
      <c r="CT200" s="67">
        <f>IFERROR(IF(($CE200)&gt;0,($CK200)/($CE200),""),"")</f>
        <v/>
      </c>
      <c r="CU200" s="55">
        <f>SUMIFS(tblPlant[Gravity_Gold_oz],tblPlant[Date],$A200)</f>
        <v/>
      </c>
      <c r="CV200" s="55">
        <f>IF($B200=$B199,$CV199,0)+$CU200</f>
        <v/>
      </c>
      <c r="CW200" s="55">
        <f>$CW199+$CU200</f>
        <v/>
      </c>
      <c r="CX200" s="55">
        <f>SUMIFS(tblPlant[Gold_Poured_oz],tblPlant[Date],$A200)</f>
        <v/>
      </c>
      <c r="CY200" s="55">
        <f>IF($B200=$B199,$CY199,0)+$CX200</f>
        <v/>
      </c>
      <c r="CZ200" s="55">
        <f>$CZ199+$CX200</f>
        <v/>
      </c>
      <c r="DA200" s="57">
        <f>SUMIFS(tblPlant[Mill_Run_h],tblPlant[Date],$A200)</f>
        <v/>
      </c>
      <c r="DB200" s="57">
        <f>IF($B200=$B199,$DB199,0)+$DA200</f>
        <v/>
      </c>
      <c r="DC200" s="57">
        <f>$DC199+$DA200</f>
        <v/>
      </c>
      <c r="DD200" s="57">
        <f>SUMIFS(tblPlant[Mill_Planned_Maint_h],tblPlant[Date],$A200)</f>
        <v/>
      </c>
      <c r="DE200" s="57">
        <f>IF($B200=$B199,$DE199,0)+$DD200</f>
        <v/>
      </c>
      <c r="DF200" s="57">
        <f>$DF199+$DD200</f>
        <v/>
      </c>
      <c r="DG200" s="57">
        <f>SUMIFS(tblPlant[Mill_Unplanned_Down_h],tblPlant[Date],$A200)</f>
        <v/>
      </c>
      <c r="DH200" s="57">
        <f>IF($B200=$B199,$DH199,0)+$DG200</f>
        <v/>
      </c>
      <c r="DI200" s="57">
        <f>$DI199+$DG200</f>
        <v/>
      </c>
      <c r="DJ200" s="57">
        <f>COUNTIFS(tblPlant[Date],$A200,tblPlant[Mill_Run_h],"&lt;&gt;")*24</f>
        <v/>
      </c>
      <c r="DK200" s="57">
        <f>IF($B200=$B199,$DK199,0)+$DJ200</f>
        <v/>
      </c>
      <c r="DL200" s="57">
        <f>$DL199+$DJ200</f>
        <v/>
      </c>
      <c r="DM200" s="57">
        <f>SUMIFS(tblPlant[Crusher_Run_h],tblPlant[Date],$A200)</f>
        <v/>
      </c>
      <c r="DN200" s="57">
        <f>IF($B200=$B199,$DN199,0)+$DM200</f>
        <v/>
      </c>
      <c r="DO200" s="57">
        <f>$DO199+$DM200</f>
        <v/>
      </c>
      <c r="DP200" s="55">
        <f>IFERROR(IF(($DA200)&gt;0,($BZ200)/($DA200),""),"")</f>
        <v/>
      </c>
      <c r="DQ200" s="55">
        <f>IFERROR(IF(($DB200)&gt;0,($CA200)/($DB200),""),"")</f>
        <v/>
      </c>
      <c r="DR200" s="55">
        <f>IFERROR(IF(($DC200)&gt;0,($CB200)/($DC200),""),"")</f>
        <v/>
      </c>
      <c r="DS200" s="67">
        <f>IFERROR(IF(($DJ200)&gt;0,($DJ200-$DD200-$DG200)/($DJ200),""),"")</f>
        <v/>
      </c>
      <c r="DT200" s="67">
        <f>IFERROR(IF(($DK200)&gt;0,($DK200-$DE200-$DH200)/($DK200),""),"")</f>
        <v/>
      </c>
      <c r="DU200" s="67">
        <f>IFERROR(IF(($DL200)&gt;0,($DL200-$DF200-$DI200)/($DL200),""),"")</f>
        <v/>
      </c>
      <c r="DV200" s="67">
        <f>IFERROR(IF(($DJ200-$DD200-$DG200)&gt;0,($DA200)/($DJ200-$DD200-$DG200),""),"")</f>
        <v/>
      </c>
      <c r="DW200" s="67">
        <f>IFERROR(IF(($DK200-$DE200-$DH200)&gt;0,($DB200)/($DK200-$DE200-$DH200),""),"")</f>
        <v/>
      </c>
      <c r="DX200" s="67">
        <f>IFERROR(IF(($DL200-$DF200-$DI200)&gt;0,($DC200)/($DL200-$DF200-$DI200),""),"")</f>
        <v/>
      </c>
      <c r="DY200" s="55">
        <f>SUMIFS(tblPlant[Cyanide_kg],tblPlant[Date],$A200)</f>
        <v/>
      </c>
      <c r="DZ200" s="55">
        <f>IF($B200=$B199,$DZ199,0)+$DY200</f>
        <v/>
      </c>
      <c r="EA200" s="55">
        <f>$EA199+$DY200</f>
        <v/>
      </c>
      <c r="EB200" s="55">
        <f>SUMIFS(tblPlant[Lime_kg],tblPlant[Date],$A200)</f>
        <v/>
      </c>
      <c r="EC200" s="55">
        <f>IF($B200=$B199,$EC199,0)+$EB200</f>
        <v/>
      </c>
      <c r="ED200" s="55">
        <f>$ED199+$EB200</f>
        <v/>
      </c>
      <c r="EE200" s="55">
        <f>SUMIFS(tblPlant[Grinding_Media_kg],tblPlant[Date],$A200)</f>
        <v/>
      </c>
      <c r="EF200" s="55">
        <f>IF($B200=$B199,$EF199,0)+$EE200</f>
        <v/>
      </c>
      <c r="EG200" s="55">
        <f>$EG199+$EE200</f>
        <v/>
      </c>
      <c r="EH200" s="55">
        <f>SUMIFS(tblPlant[Power_kWh],tblPlant[Date],$A200)</f>
        <v/>
      </c>
      <c r="EI200" s="55">
        <f>IF($B200=$B199,$EI199,0)+$EH200</f>
        <v/>
      </c>
      <c r="EJ200" s="55">
        <f>$EJ199+$EH200</f>
        <v/>
      </c>
      <c r="EK200" s="55">
        <f>SUMIFS(tblPlant[Raw_Water_m3],tblPlant[Date],$A200)</f>
        <v/>
      </c>
      <c r="EL200" s="55">
        <f>IF($B200=$B199,$EL199,0)+$EK200</f>
        <v/>
      </c>
      <c r="EM200" s="55">
        <f>$EM199+$EK200</f>
        <v/>
      </c>
      <c r="EN200" s="56">
        <f>IFERROR(IF(($BZ200)&gt;0,($DY200)/($BZ200),""),"")</f>
        <v/>
      </c>
      <c r="EO200" s="56">
        <f>IFERROR(IF(($CA200)&gt;0,($DZ200)/($CA200),""),"")</f>
        <v/>
      </c>
      <c r="EP200" s="56">
        <f>IFERROR(IF(($CB200)&gt;0,($EA200)/($CB200),""),"")</f>
        <v/>
      </c>
      <c r="EQ200" s="56">
        <f>IFERROR(IF(($BZ200)&gt;0,($EB200)/($BZ200),""),"")</f>
        <v/>
      </c>
      <c r="ER200" s="56">
        <f>IFERROR(IF(($CA200)&gt;0,($EC200)/($CA200),""),"")</f>
        <v/>
      </c>
      <c r="ES200" s="56">
        <f>IFERROR(IF(($CB200)&gt;0,($ED200)/($CB200),""),"")</f>
        <v/>
      </c>
      <c r="ET200" s="56">
        <f>IFERROR(IF(($BZ200)&gt;0,($EE200)/($BZ200),""),"")</f>
        <v/>
      </c>
      <c r="EU200" s="56">
        <f>IFERROR(IF(($CA200)&gt;0,($EF200)/($CA200),""),"")</f>
        <v/>
      </c>
      <c r="EV200" s="56">
        <f>IFERROR(IF(($CB200)&gt;0,($EG200)/($CB200),""),"")</f>
        <v/>
      </c>
      <c r="EW200" s="76">
        <f>IFERROR(IF(($BZ200)&gt;0,($EH200)/($BZ200),""),"")</f>
        <v/>
      </c>
      <c r="EX200" s="76">
        <f>IFERROR(IF(($CA200)&gt;0,($EI200)/($CA200),""),"")</f>
        <v/>
      </c>
      <c r="EY200" s="76">
        <f>IFERROR(IF(($CB200)&gt;0,($EJ200)/($CB200),""),"")</f>
        <v/>
      </c>
      <c r="EZ200" s="56">
        <f>IFERROR(IF(($BZ200)&gt;0,($EK200)/($BZ200),""),"")</f>
        <v/>
      </c>
      <c r="FA200" s="56">
        <f>IFERROR(IF(($CA200)&gt;0,($EL200)/($CA200),""),"")</f>
        <v/>
      </c>
      <c r="FB200" s="56">
        <f>IFERROR(IF(($CB200)&gt;0,($EM200)/($CB200),""),"")</f>
        <v/>
      </c>
      <c r="FC200" s="55">
        <f>IF(SUMIFS(tblPlant[GIC_oz],tblPlant[Date],$A200)&gt;0,SUMIFS(tblPlant[GIC_oz],tblPlant[Date],$A200),"")</f>
        <v/>
      </c>
      <c r="FD200" s="55">
        <f>SUMIFS(tblGold[Gold_oz],tblGold[Date],$A200,tblGold[Type],"Shipment")</f>
        <v/>
      </c>
      <c r="FE200" s="55">
        <f>IF($B200=$B199,$FE199,0)+$FD200</f>
        <v/>
      </c>
      <c r="FF200" s="55">
        <f>$FF199+$FD200</f>
        <v/>
      </c>
      <c r="FG200" s="55">
        <f>SUMIFS(tblGold[Gold_oz],tblGold[Date],$A200,tblGold[Type],"Sale")</f>
        <v/>
      </c>
      <c r="FH200" s="55">
        <f>IF($B200=$B199,$FH199,0)+$FG200</f>
        <v/>
      </c>
      <c r="FI200" s="55">
        <f>$FI199+$FG200</f>
        <v/>
      </c>
      <c r="FJ200" s="55">
        <f>SUMIFS(tblGold[Dore_kg],tblGold[Date],$A200,tblGold[Type],"Shipment")</f>
        <v/>
      </c>
      <c r="FK200" s="55">
        <f>IF($B200=$B199,$FK199,0)+$FJ200</f>
        <v/>
      </c>
      <c r="FL200" s="55">
        <f>$FL199+$FJ200</f>
        <v/>
      </c>
      <c r="FM200" s="57">
        <f>SUMIFS(tblSafety[Hours_Total],tblSafety[Date],$A200)</f>
        <v/>
      </c>
      <c r="FN200" s="57">
        <f>IF($B200=$B199,$FN199,0)+$FM200</f>
        <v/>
      </c>
      <c r="FO200" s="57">
        <f>$FO199+$FM200</f>
        <v/>
      </c>
      <c r="FP200" s="62">
        <f>SUMIFS(tblSafety[Fatality],tblSafety[Date],$A200)</f>
        <v/>
      </c>
      <c r="FQ200" s="62">
        <f>IF($B200=$B199,$FQ199,0)+$FP200</f>
        <v/>
      </c>
      <c r="FR200" s="62">
        <f>$FR199+$FP200</f>
        <v/>
      </c>
      <c r="FS200" s="62">
        <f>SUMIFS(tblSafety[LTI],tblSafety[Date],$A200)</f>
        <v/>
      </c>
      <c r="FT200" s="62">
        <f>IF($B200=$B199,$FT199,0)+$FS200</f>
        <v/>
      </c>
      <c r="FU200" s="62">
        <f>$FU199+$FS200</f>
        <v/>
      </c>
      <c r="FV200" s="62">
        <f>SUMIFS(tblSafety[RWI],tblSafety[Date],$A200)</f>
        <v/>
      </c>
      <c r="FW200" s="62">
        <f>IF($B200=$B199,$FW199,0)+$FV200</f>
        <v/>
      </c>
      <c r="FX200" s="62">
        <f>$FX199+$FV200</f>
        <v/>
      </c>
      <c r="FY200" s="62">
        <f>SUMIFS(tblSafety[MTI],tblSafety[Date],$A200)</f>
        <v/>
      </c>
      <c r="FZ200" s="62">
        <f>IF($B200=$B199,$FZ199,0)+$FY200</f>
        <v/>
      </c>
      <c r="GA200" s="62">
        <f>$GA199+$FY200</f>
        <v/>
      </c>
      <c r="GB200" s="62">
        <f>SUMIFS(tblSafety[FAI],tblSafety[Date],$A200)</f>
        <v/>
      </c>
      <c r="GC200" s="62">
        <f>IF($B200=$B199,$GC199,0)+$GB200</f>
        <v/>
      </c>
      <c r="GD200" s="62">
        <f>$GD199+$GB200</f>
        <v/>
      </c>
      <c r="GE200" s="62">
        <f>SUMIFS(tblSafety[Recordables],tblSafety[Date],$A200)</f>
        <v/>
      </c>
      <c r="GF200" s="62">
        <f>IF($B200=$B199,$GF199,0)+$GE200</f>
        <v/>
      </c>
      <c r="GG200" s="62">
        <f>$GG199+$GE200</f>
        <v/>
      </c>
      <c r="GH200" s="62">
        <f>SUMIFS(tblSafety[Near_Miss],tblSafety[Date],$A200)</f>
        <v/>
      </c>
      <c r="GI200" s="62">
        <f>IF($B200=$B199,$GI199,0)+$GH200</f>
        <v/>
      </c>
      <c r="GJ200" s="62">
        <f>$GJ199+$GH200</f>
        <v/>
      </c>
      <c r="GK200" s="62">
        <f>SUMIFS(tblSafety[Hazard_Reports],tblSafety[Date],$A200)</f>
        <v/>
      </c>
      <c r="GL200" s="62">
        <f>IF($B200=$B199,$GL199,0)+$GK200</f>
        <v/>
      </c>
      <c r="GM200" s="62">
        <f>$GM199+$GK200</f>
        <v/>
      </c>
      <c r="GN200" s="62">
        <f>SUMIFS(tblSafety[HPI],tblSafety[Date],$A200)</f>
        <v/>
      </c>
      <c r="GO200" s="62">
        <f>IF($B200=$B199,$GO199,0)+$GN200</f>
        <v/>
      </c>
      <c r="GP200" s="62">
        <f>$GP199+$GN200</f>
        <v/>
      </c>
      <c r="GQ200" s="62">
        <f>SUMIFS(tblSafety[Env_Incidents],tblSafety[Date],$A200)</f>
        <v/>
      </c>
      <c r="GR200" s="62">
        <f>IF($B200=$B199,$GR199,0)+$GQ200</f>
        <v/>
      </c>
      <c r="GS200" s="62">
        <f>$GS199+$GQ200</f>
        <v/>
      </c>
      <c r="GT200" s="62">
        <f>SUMIFS(tblSafety[Community_Incidents],tblSafety[Date],$A200)</f>
        <v/>
      </c>
      <c r="GU200" s="62">
        <f>IF($B200=$B199,$GU199,0)+$GT200</f>
        <v/>
      </c>
      <c r="GV200" s="62">
        <f>$GV199+$GT200</f>
        <v/>
      </c>
      <c r="GW200" s="62">
        <f>SUMIFS(tblSafety[Vehicle_Incidents],tblSafety[Date],$A200)</f>
        <v/>
      </c>
      <c r="GX200" s="62">
        <f>IF($B200=$B199,$GX199,0)+$GW200</f>
        <v/>
      </c>
      <c r="GY200" s="62">
        <f>$GY199+$GW200</f>
        <v/>
      </c>
      <c r="GZ200" s="62">
        <f>SUMIFS(tblSafety[Toolbox_Talks],tblSafety[Date],$A200)</f>
        <v/>
      </c>
      <c r="HA200" s="62">
        <f>IF($B200=$B199,$HA199,0)+$GZ200</f>
        <v/>
      </c>
      <c r="HB200" s="62">
        <f>$HB199+$GZ200</f>
        <v/>
      </c>
      <c r="HC200" s="62">
        <f>SUMIFS(tblSafety[Inspections],tblSafety[Date],$A200)</f>
        <v/>
      </c>
      <c r="HD200" s="62">
        <f>IF($B200=$B199,$HD199,0)+$HC200</f>
        <v/>
      </c>
      <c r="HE200" s="62">
        <f>$HE199+$HC200</f>
        <v/>
      </c>
      <c r="HF200" s="56">
        <f>IFERROR((SUMIFS(tblSafety[Recordables],tblSafety[Date],"&gt;="&amp;EDATE($E200,-12),tblSafety[Date],"&lt;="&amp;$A200)+SUMIFS(tblSafetyHistory[Recordables],tblSafetyHistory[Month],"&gt;="&amp;EDATE($E200,-12),tblSafetyHistory[Month],"&lt;"&amp;cfg_YearStart))/(SUMIFS(tblSafety[Hours_Total],tblSafety[Date],"&gt;="&amp;EDATE($E200,-12),tblSafety[Date],"&lt;="&amp;$A200)+SUMIFS(tblSafetyHistory[Hours_Total],tblSafetyHistory[Month],"&gt;="&amp;EDATE($E200,-12),tblSafetyHistory[Month],"&lt;"&amp;cfg_YearStart))*1000000,"")</f>
        <v/>
      </c>
      <c r="HG200" s="56">
        <f>IFERROR((SUMIFS(tblSafety[LTI],tblSafety[Date],"&gt;="&amp;EDATE($E200,-12),tblSafety[Date],"&lt;="&amp;$A200)+SUMIFS(tblSafetyHistory[LTI],tblSafetyHistory[Month],"&gt;="&amp;EDATE($E200,-12),tblSafetyHistory[Month],"&lt;"&amp;cfg_YearStart))/(SUMIFS(tblSafety[Hours_Total],tblSafety[Date],"&gt;="&amp;EDATE($E200,-12),tblSafety[Date],"&lt;="&amp;$A200)+SUMIFS(tblSafetyHistory[Hours_Total],tblSafetyHistory[Month],"&gt;="&amp;EDATE($E200,-12),tblSafetyHistory[Month],"&lt;"&amp;cfg_YearStart))*1000000,"")</f>
        <v/>
      </c>
      <c r="HH200" s="62">
        <f>IF(MAX(N(cfg_PriorLTIDate),_xlfn.MAXIFS(tblSafety[Date],tblSafety[LTI],"&gt;0",tblSafety[Date],"&lt;="&amp;$A200))=0,"",$A200-MAX(N(cfg_PriorLTIDate),_xlfn.MAXIFS(tblSafety[Date],tblSafety[LTI],"&gt;0",tblSafety[Date],"&lt;="&amp;$A200)))</f>
        <v/>
      </c>
      <c r="HI200" s="55">
        <f>SUMIFS(tblBudget[Ore_Mined_t],tblBudget[Month],$E200)</f>
        <v/>
      </c>
      <c r="HJ200" s="55">
        <f>$HI200*$C200/$D200</f>
        <v/>
      </c>
      <c r="HK200" s="55">
        <f>SUMIFS(tblBudget[Ore_Mined_t],tblBudget[Month],"&lt;"&amp;$E200)+$HJ200</f>
        <v/>
      </c>
      <c r="HL200" s="55">
        <f>SUMIFS(tblBudget[Ore_oz],tblBudget[Month],$E200)</f>
        <v/>
      </c>
      <c r="HM200" s="55">
        <f>$HL200*$C200/$D200</f>
        <v/>
      </c>
      <c r="HN200" s="55">
        <f>SUMIFS(tblBudget[Ore_oz],tblBudget[Month],"&lt;"&amp;$E200)+$HM200</f>
        <v/>
      </c>
      <c r="HO200" s="56">
        <f>IFERROR(IF(($HI200)&gt;0,($HL200*cfg_TroyOz)/($HI200),""),"")</f>
        <v/>
      </c>
      <c r="HP200" s="56">
        <f>IFERROR(IF(($HJ200)&gt;0,($HM200*cfg_TroyOz)/($HJ200),""),"")</f>
        <v/>
      </c>
      <c r="HQ200" s="56">
        <f>IFERROR(IF(($HK200)&gt;0,($HN200*cfg_TroyOz)/($HK200),""),"")</f>
        <v/>
      </c>
      <c r="HR200" s="55">
        <f>SUMIFS(tblBudget[Waste_t],tblBudget[Month],$E200)</f>
        <v/>
      </c>
      <c r="HS200" s="55">
        <f>$HR200*$C200/$D200</f>
        <v/>
      </c>
      <c r="HT200" s="55">
        <f>SUMIFS(tblBudget[Waste_t],tblBudget[Month],"&lt;"&amp;$E200)+$HS200</f>
        <v/>
      </c>
      <c r="HU200" s="55">
        <f>SUMIFS(tblBudget[TMM_t],tblBudget[Month],$E200)</f>
        <v/>
      </c>
      <c r="HV200" s="55">
        <f>$HU200*$C200/$D200</f>
        <v/>
      </c>
      <c r="HW200" s="55">
        <f>SUMIFS(tblBudget[TMM_t],tblBudget[Month],"&lt;"&amp;$E200)+$HV200</f>
        <v/>
      </c>
      <c r="HX200" s="56">
        <f>IFERROR(IF(($HI200)&gt;0,($HR200)/($HI200),""),"")</f>
        <v/>
      </c>
      <c r="HY200" s="56">
        <f>IFERROR(IF(($HJ200)&gt;0,($HS200)/($HJ200),""),"")</f>
        <v/>
      </c>
      <c r="HZ200" s="56">
        <f>IFERROR(IF(($HK200)&gt;0,($HT200)/($HK200),""),"")</f>
        <v/>
      </c>
      <c r="IA200" s="55">
        <f>SUMIFS(tblBudget[Drill_m],tblBudget[Month],$E200)</f>
        <v/>
      </c>
      <c r="IB200" s="55">
        <f>$IA200*$C200/$D200</f>
        <v/>
      </c>
      <c r="IC200" s="55">
        <f>SUMIFS(tblBudget[Drill_m],tblBudget[Month],"&lt;"&amp;$E200)+$IB200</f>
        <v/>
      </c>
      <c r="ID200" s="55">
        <f>SUMIFS(tblBudget[Diesel_L],tblBudget[Month],$E200)</f>
        <v/>
      </c>
      <c r="IE200" s="55">
        <f>$ID200*$C200/$D200</f>
        <v/>
      </c>
      <c r="IF200" s="55">
        <f>SUMIFS(tblBudget[Diesel_L],tblBudget[Month],"&lt;"&amp;$E200)+$IE200</f>
        <v/>
      </c>
      <c r="IG200" s="55">
        <f>SUMIFS(tblBudget[Milled_t],tblBudget[Month],$E200)</f>
        <v/>
      </c>
      <c r="IH200" s="55">
        <f>$IG200*$C200/$D200</f>
        <v/>
      </c>
      <c r="II200" s="55">
        <f>SUMIFS(tblBudget[Milled_t],tblBudget[Month],"&lt;"&amp;$E200)+$IH200</f>
        <v/>
      </c>
      <c r="IJ200" s="55">
        <f>SUMIFS(tblBudget[Feed_oz],tblBudget[Month],$E200)</f>
        <v/>
      </c>
      <c r="IK200" s="55">
        <f>$IJ200*$C200/$D200</f>
        <v/>
      </c>
      <c r="IL200" s="55">
        <f>SUMIFS(tblBudget[Feed_oz],tblBudget[Month],"&lt;"&amp;$E200)+$IK200</f>
        <v/>
      </c>
      <c r="IM200" s="55">
        <f>SUMIFS(tblBudget[Recovered_oz],tblBudget[Month],$E200)</f>
        <v/>
      </c>
      <c r="IN200" s="55">
        <f>$IM200*$C200/$D200</f>
        <v/>
      </c>
      <c r="IO200" s="55">
        <f>SUMIFS(tblBudget[Recovered_oz],tblBudget[Month],"&lt;"&amp;$E200)+$IN200</f>
        <v/>
      </c>
      <c r="IP200" s="56">
        <f>IFERROR(IF(($IG200)&gt;0,($IJ200*cfg_TroyOz)/($IG200),""),"")</f>
        <v/>
      </c>
      <c r="IQ200" s="56">
        <f>IFERROR(IF(($IH200)&gt;0,($IK200*cfg_TroyOz)/($IH200),""),"")</f>
        <v/>
      </c>
      <c r="IR200" s="56">
        <f>IFERROR(IF(($II200)&gt;0,($IL200*cfg_TroyOz)/($II200),""),"")</f>
        <v/>
      </c>
      <c r="IS200" s="67">
        <f>IFERROR(IF(($IJ200)&gt;0,($IM200)/($IJ200),""),"")</f>
        <v/>
      </c>
      <c r="IT200" s="67">
        <f>IFERROR(IF(($IK200)&gt;0,($IN200)/($IK200),""),"")</f>
        <v/>
      </c>
      <c r="IU200" s="67">
        <f>IFERROR(IF(($IL200)&gt;0,($IO200)/($IL200),""),"")</f>
        <v/>
      </c>
      <c r="IV200" s="55">
        <f>SUMIFS(tblBudget[Gold_Poured_oz],tblBudget[Month],$E200)</f>
        <v/>
      </c>
      <c r="IW200" s="55">
        <f>$IV200*$C200/$D200</f>
        <v/>
      </c>
      <c r="IX200" s="55">
        <f>SUMIFS(tblBudget[Gold_Poured_oz],tblBudget[Month],"&lt;"&amp;$E200)+$IW200</f>
        <v/>
      </c>
      <c r="IY200" s="57">
        <f>SUMIFS(tblBudget[Hours_Worked],tblBudget[Month],$E200)</f>
        <v/>
      </c>
      <c r="IZ200" s="57">
        <f>$IY200*$C200/$D200</f>
        <v/>
      </c>
      <c r="JA200" s="57">
        <f>SUMIFS(tblBudget[Hours_Worked],tblBudget[Month],"&lt;"&amp;$E200)+$IZ200</f>
        <v/>
      </c>
    </row>
    <row r="201">
      <c r="A201" s="54" t="n">
        <v>46222</v>
      </c>
      <c r="B201">
        <f>MONTH($A201)</f>
        <v/>
      </c>
      <c r="C201">
        <f>DAY($A201)</f>
        <v/>
      </c>
      <c r="D201">
        <f>DAY(EOMONTH($A201,0))</f>
        <v/>
      </c>
      <c r="E201" s="54">
        <f>DATE(YEAR($A201),MONTH($A201),1)</f>
        <v/>
      </c>
      <c r="F201" s="55">
        <f>SUMIFS(tblMovement[Tonnes_t],tblMovement[Date],$A201,tblMovement[Is_Ore],1,tblMovement[Source_Type],"Pit")</f>
        <v/>
      </c>
      <c r="G201" s="55">
        <f>IF($B201=$B200,$G200,0)+$F201</f>
        <v/>
      </c>
      <c r="H201" s="55">
        <f>$H200+$F201</f>
        <v/>
      </c>
      <c r="I201" s="55">
        <f>SUMIFS(tblMovement[Ore_oz],tblMovement[Date],$A201,tblMovement[Source_Type],"Pit")</f>
        <v/>
      </c>
      <c r="J201" s="55">
        <f>IF($B201=$B200,$J200,0)+$I201</f>
        <v/>
      </c>
      <c r="K201" s="55">
        <f>$K200+$I201</f>
        <v/>
      </c>
      <c r="L201" s="56">
        <f>IFERROR(IF(($F201)&gt;0,($I201*cfg_TroyOz)/($F201),""),"")</f>
        <v/>
      </c>
      <c r="M201" s="56">
        <f>IFERROR(IF(($G201)&gt;0,($J201*cfg_TroyOz)/($G201),""),"")</f>
        <v/>
      </c>
      <c r="N201" s="56">
        <f>IFERROR(IF(($H201)&gt;0,($K201*cfg_TroyOz)/($H201),""),"")</f>
        <v/>
      </c>
      <c r="O201" s="55">
        <f>SUMIFS(tblMovement[Tonnes_t],tblMovement[Date],$A201,tblMovement[Is_Ore],0,tblMovement[Source_Type],"Pit")</f>
        <v/>
      </c>
      <c r="P201" s="55">
        <f>IF($B201=$B200,$P200,0)+$O201</f>
        <v/>
      </c>
      <c r="Q201" s="55">
        <f>$Q200+$O201</f>
        <v/>
      </c>
      <c r="R201" s="55">
        <f>$F201+$O201</f>
        <v/>
      </c>
      <c r="S201" s="55">
        <f>IF($B201=$B200,$S200,0)+$R201</f>
        <v/>
      </c>
      <c r="T201" s="55">
        <f>$T200+$R201</f>
        <v/>
      </c>
      <c r="U201" s="56">
        <f>IFERROR(IF(($F201)&gt;0,($O201)/($F201),""),"")</f>
        <v/>
      </c>
      <c r="V201" s="56">
        <f>IFERROR(IF(($G201)&gt;0,($P201)/($G201),""),"")</f>
        <v/>
      </c>
      <c r="W201" s="56">
        <f>IFERROR(IF(($H201)&gt;0,($Q201)/($H201),""),"")</f>
        <v/>
      </c>
      <c r="X201" s="55">
        <f>SUMIFS(tblMovement[Tonnes_t],tblMovement[Date],$A201,tblMovement[Source_Type],"Stockpile")</f>
        <v/>
      </c>
      <c r="Y201" s="55">
        <f>IF($B201=$B200,$Y200,0)+$X201</f>
        <v/>
      </c>
      <c r="Z201" s="55">
        <f>$Z200+$X201</f>
        <v/>
      </c>
      <c r="AA201" s="55">
        <f>SUMIFS(tblMiningDaily[Drill_m],tblMiningDaily[Date],$A201)</f>
        <v/>
      </c>
      <c r="AB201" s="55">
        <f>IF($B201=$B200,$AB200,0)+$AA201</f>
        <v/>
      </c>
      <c r="AC201" s="55">
        <f>$AC200+$AA201</f>
        <v/>
      </c>
      <c r="AD201" s="55">
        <f>SUMIFS(tblMiningDaily[Blast_t],tblMiningDaily[Date],$A201)</f>
        <v/>
      </c>
      <c r="AE201" s="55">
        <f>IF($B201=$B200,$AE200,0)+$AD201</f>
        <v/>
      </c>
      <c r="AF201" s="55">
        <f>$AF200+$AD201</f>
        <v/>
      </c>
      <c r="AG201" s="55">
        <f>SUMIFS(tblMiningDaily[Explosives_kg],tblMiningDaily[Date],$A201)</f>
        <v/>
      </c>
      <c r="AH201" s="55">
        <f>IF($B201=$B200,$AH200,0)+$AG201</f>
        <v/>
      </c>
      <c r="AI201" s="55">
        <f>$AI200+$AG201</f>
        <v/>
      </c>
      <c r="AJ201" s="56">
        <f>IFERROR(IF(($AD201)&gt;0,($AG201)/($AD201),""),"")</f>
        <v/>
      </c>
      <c r="AK201" s="56">
        <f>IFERROR(IF(($AE201)&gt;0,($AH201)/($AE201),""),"")</f>
        <v/>
      </c>
      <c r="AL201" s="56">
        <f>IFERROR(IF(($AF201)&gt;0,($AI201)/($AF201),""),"")</f>
        <v/>
      </c>
      <c r="AM201" s="55">
        <f>SUMIFS(tblMiningDaily[Diesel_L],tblMiningDaily[Date],$A201)</f>
        <v/>
      </c>
      <c r="AN201" s="55">
        <f>IF($B201=$B200,$AN200,0)+$AM201</f>
        <v/>
      </c>
      <c r="AO201" s="55">
        <f>$AO200+$AM201</f>
        <v/>
      </c>
      <c r="AP201" s="55">
        <f>SUMIFS(tblMiningDaily[Dewatering_m3],tblMiningDaily[Date],$A201)</f>
        <v/>
      </c>
      <c r="AQ201" s="55">
        <f>IF($B201=$B200,$AQ200,0)+$AP201</f>
        <v/>
      </c>
      <c r="AR201" s="55">
        <f>$AR200+$AP201</f>
        <v/>
      </c>
      <c r="AS201" s="57">
        <f>SUMIFS(tblFleet[Calendar_h],tblFleet[Date],$A201,tblFleet[Equipment_Class],"Excavator")</f>
        <v/>
      </c>
      <c r="AT201" s="57">
        <f>IF($B201=$B200,$AT200,0)+$AS201</f>
        <v/>
      </c>
      <c r="AU201" s="57">
        <f>$AU200+$AS201</f>
        <v/>
      </c>
      <c r="AV201" s="57">
        <f>SUMIFS(tblFleet[Available_h],tblFleet[Date],$A201,tblFleet[Equipment_Class],"Excavator")</f>
        <v/>
      </c>
      <c r="AW201" s="57">
        <f>IF($B201=$B200,$AW200,0)+$AV201</f>
        <v/>
      </c>
      <c r="AX201" s="57">
        <f>$AX200+$AV201</f>
        <v/>
      </c>
      <c r="AY201" s="57">
        <f>SUMIFS(tblFleet[Operating_h],tblFleet[Date],$A201,tblFleet[Equipment_Class],"Excavator")</f>
        <v/>
      </c>
      <c r="AZ201" s="57">
        <f>IF($B201=$B200,$AZ200,0)+$AY201</f>
        <v/>
      </c>
      <c r="BA201" s="57">
        <f>$BA200+$AY201</f>
        <v/>
      </c>
      <c r="BB201" s="67">
        <f>IFERROR(IF(($AS201)&gt;0,($AV201)/($AS201),""),"")</f>
        <v/>
      </c>
      <c r="BC201" s="67">
        <f>IFERROR(IF(($AT201)&gt;0,($AW201)/($AT201),""),"")</f>
        <v/>
      </c>
      <c r="BD201" s="67">
        <f>IFERROR(IF(($AU201)&gt;0,($AX201)/($AU201),""),"")</f>
        <v/>
      </c>
      <c r="BE201" s="67">
        <f>IFERROR(IF(($AV201)&gt;0,($AY201)/($AV201),""),"")</f>
        <v/>
      </c>
      <c r="BF201" s="67">
        <f>IFERROR(IF(($AW201)&gt;0,($AZ201)/($AW201),""),"")</f>
        <v/>
      </c>
      <c r="BG201" s="67">
        <f>IFERROR(IF(($AX201)&gt;0,($BA201)/($AX201),""),"")</f>
        <v/>
      </c>
      <c r="BH201" s="57">
        <f>SUMIFS(tblFleet[Calendar_h],tblFleet[Date],$A201,tblFleet[Equipment_Class],"Haul Truck")</f>
        <v/>
      </c>
      <c r="BI201" s="57">
        <f>IF($B201=$B200,$BI200,0)+$BH201</f>
        <v/>
      </c>
      <c r="BJ201" s="57">
        <f>$BJ200+$BH201</f>
        <v/>
      </c>
      <c r="BK201" s="57">
        <f>SUMIFS(tblFleet[Available_h],tblFleet[Date],$A201,tblFleet[Equipment_Class],"Haul Truck")</f>
        <v/>
      </c>
      <c r="BL201" s="57">
        <f>IF($B201=$B200,$BL200,0)+$BK201</f>
        <v/>
      </c>
      <c r="BM201" s="57">
        <f>$BM200+$BK201</f>
        <v/>
      </c>
      <c r="BN201" s="57">
        <f>SUMIFS(tblFleet[Operating_h],tblFleet[Date],$A201,tblFleet[Equipment_Class],"Haul Truck")</f>
        <v/>
      </c>
      <c r="BO201" s="57">
        <f>IF($B201=$B200,$BO200,0)+$BN201</f>
        <v/>
      </c>
      <c r="BP201" s="57">
        <f>$BP200+$BN201</f>
        <v/>
      </c>
      <c r="BQ201" s="67">
        <f>IFERROR(IF(($BH201)&gt;0,($BK201)/($BH201),""),"")</f>
        <v/>
      </c>
      <c r="BR201" s="67">
        <f>IFERROR(IF(($BI201)&gt;0,($BL201)/($BI201),""),"")</f>
        <v/>
      </c>
      <c r="BS201" s="67">
        <f>IFERROR(IF(($BJ201)&gt;0,($BM201)/($BJ201),""),"")</f>
        <v/>
      </c>
      <c r="BT201" s="67">
        <f>IFERROR(IF(($BK201)&gt;0,($BN201)/($BK201),""),"")</f>
        <v/>
      </c>
      <c r="BU201" s="67">
        <f>IFERROR(IF(($BL201)&gt;0,($BO201)/($BL201),""),"")</f>
        <v/>
      </c>
      <c r="BV201" s="67">
        <f>IFERROR(IF(($BM201)&gt;0,($BP201)/($BM201),""),"")</f>
        <v/>
      </c>
      <c r="BW201" s="55">
        <f>SUMIFS(tblPlant[Crushed_t],tblPlant[Date],$A201)</f>
        <v/>
      </c>
      <c r="BX201" s="55">
        <f>IF($B201=$B200,$BX200,0)+$BW201</f>
        <v/>
      </c>
      <c r="BY201" s="55">
        <f>$BY200+$BW201</f>
        <v/>
      </c>
      <c r="BZ201" s="55">
        <f>SUMIFS(tblPlant[Milled_t],tblPlant[Date],$A201)</f>
        <v/>
      </c>
      <c r="CA201" s="55">
        <f>IF($B201=$B200,$CA200,0)+$BZ201</f>
        <v/>
      </c>
      <c r="CB201" s="55">
        <f>$CB200+$BZ201</f>
        <v/>
      </c>
      <c r="CC201" s="55">
        <f>SUMIFS(tblPlant[Feed_oz],tblPlant[Date],$A201)</f>
        <v/>
      </c>
      <c r="CD201" s="55">
        <f>IF($B201=$B200,$CD200,0)+$CC201</f>
        <v/>
      </c>
      <c r="CE201" s="55">
        <f>$CE200+$CC201</f>
        <v/>
      </c>
      <c r="CF201" s="55">
        <f>SUMIFS(tblPlant[Tails_oz],tblPlant[Date],$A201)</f>
        <v/>
      </c>
      <c r="CG201" s="55">
        <f>IF($B201=$B200,$CG200,0)+$CF201</f>
        <v/>
      </c>
      <c r="CH201" s="55">
        <f>$CH200+$CF201</f>
        <v/>
      </c>
      <c r="CI201" s="55">
        <f>SUMIFS(tblPlant[Recovered_oz],tblPlant[Date],$A201)</f>
        <v/>
      </c>
      <c r="CJ201" s="55">
        <f>IF($B201=$B200,$CJ200,0)+$CI201</f>
        <v/>
      </c>
      <c r="CK201" s="55">
        <f>$CK200+$CI201</f>
        <v/>
      </c>
      <c r="CL201" s="56">
        <f>IFERROR(IF(($BZ201)&gt;0,($CC201*cfg_TroyOz)/($BZ201),""),"")</f>
        <v/>
      </c>
      <c r="CM201" s="56">
        <f>IFERROR(IF(($CA201)&gt;0,($CD201*cfg_TroyOz)/($CA201),""),"")</f>
        <v/>
      </c>
      <c r="CN201" s="56">
        <f>IFERROR(IF(($CB201)&gt;0,($CE201*cfg_TroyOz)/($CB201),""),"")</f>
        <v/>
      </c>
      <c r="CO201" s="56">
        <f>IFERROR(IF(($BZ201)&gt;0,($CF201*cfg_TroyOz)/($BZ201),""),"")</f>
        <v/>
      </c>
      <c r="CP201" s="56">
        <f>IFERROR(IF(($CA201)&gt;0,($CG201*cfg_TroyOz)/($CA201),""),"")</f>
        <v/>
      </c>
      <c r="CQ201" s="56">
        <f>IFERROR(IF(($CB201)&gt;0,($CH201*cfg_TroyOz)/($CB201),""),"")</f>
        <v/>
      </c>
      <c r="CR201" s="67">
        <f>IFERROR(IF(($CC201)&gt;0,($CI201)/($CC201),""),"")</f>
        <v/>
      </c>
      <c r="CS201" s="67">
        <f>IFERROR(IF(($CD201)&gt;0,($CJ201)/($CD201),""),"")</f>
        <v/>
      </c>
      <c r="CT201" s="67">
        <f>IFERROR(IF(($CE201)&gt;0,($CK201)/($CE201),""),"")</f>
        <v/>
      </c>
      <c r="CU201" s="55">
        <f>SUMIFS(tblPlant[Gravity_Gold_oz],tblPlant[Date],$A201)</f>
        <v/>
      </c>
      <c r="CV201" s="55">
        <f>IF($B201=$B200,$CV200,0)+$CU201</f>
        <v/>
      </c>
      <c r="CW201" s="55">
        <f>$CW200+$CU201</f>
        <v/>
      </c>
      <c r="CX201" s="55">
        <f>SUMIFS(tblPlant[Gold_Poured_oz],tblPlant[Date],$A201)</f>
        <v/>
      </c>
      <c r="CY201" s="55">
        <f>IF($B201=$B200,$CY200,0)+$CX201</f>
        <v/>
      </c>
      <c r="CZ201" s="55">
        <f>$CZ200+$CX201</f>
        <v/>
      </c>
      <c r="DA201" s="57">
        <f>SUMIFS(tblPlant[Mill_Run_h],tblPlant[Date],$A201)</f>
        <v/>
      </c>
      <c r="DB201" s="57">
        <f>IF($B201=$B200,$DB200,0)+$DA201</f>
        <v/>
      </c>
      <c r="DC201" s="57">
        <f>$DC200+$DA201</f>
        <v/>
      </c>
      <c r="DD201" s="57">
        <f>SUMIFS(tblPlant[Mill_Planned_Maint_h],tblPlant[Date],$A201)</f>
        <v/>
      </c>
      <c r="DE201" s="57">
        <f>IF($B201=$B200,$DE200,0)+$DD201</f>
        <v/>
      </c>
      <c r="DF201" s="57">
        <f>$DF200+$DD201</f>
        <v/>
      </c>
      <c r="DG201" s="57">
        <f>SUMIFS(tblPlant[Mill_Unplanned_Down_h],tblPlant[Date],$A201)</f>
        <v/>
      </c>
      <c r="DH201" s="57">
        <f>IF($B201=$B200,$DH200,0)+$DG201</f>
        <v/>
      </c>
      <c r="DI201" s="57">
        <f>$DI200+$DG201</f>
        <v/>
      </c>
      <c r="DJ201" s="57">
        <f>COUNTIFS(tblPlant[Date],$A201,tblPlant[Mill_Run_h],"&lt;&gt;")*24</f>
        <v/>
      </c>
      <c r="DK201" s="57">
        <f>IF($B201=$B200,$DK200,0)+$DJ201</f>
        <v/>
      </c>
      <c r="DL201" s="57">
        <f>$DL200+$DJ201</f>
        <v/>
      </c>
      <c r="DM201" s="57">
        <f>SUMIFS(tblPlant[Crusher_Run_h],tblPlant[Date],$A201)</f>
        <v/>
      </c>
      <c r="DN201" s="57">
        <f>IF($B201=$B200,$DN200,0)+$DM201</f>
        <v/>
      </c>
      <c r="DO201" s="57">
        <f>$DO200+$DM201</f>
        <v/>
      </c>
      <c r="DP201" s="55">
        <f>IFERROR(IF(($DA201)&gt;0,($BZ201)/($DA201),""),"")</f>
        <v/>
      </c>
      <c r="DQ201" s="55">
        <f>IFERROR(IF(($DB201)&gt;0,($CA201)/($DB201),""),"")</f>
        <v/>
      </c>
      <c r="DR201" s="55">
        <f>IFERROR(IF(($DC201)&gt;0,($CB201)/($DC201),""),"")</f>
        <v/>
      </c>
      <c r="DS201" s="67">
        <f>IFERROR(IF(($DJ201)&gt;0,($DJ201-$DD201-$DG201)/($DJ201),""),"")</f>
        <v/>
      </c>
      <c r="DT201" s="67">
        <f>IFERROR(IF(($DK201)&gt;0,($DK201-$DE201-$DH201)/($DK201),""),"")</f>
        <v/>
      </c>
      <c r="DU201" s="67">
        <f>IFERROR(IF(($DL201)&gt;0,($DL201-$DF201-$DI201)/($DL201),""),"")</f>
        <v/>
      </c>
      <c r="DV201" s="67">
        <f>IFERROR(IF(($DJ201-$DD201-$DG201)&gt;0,($DA201)/($DJ201-$DD201-$DG201),""),"")</f>
        <v/>
      </c>
      <c r="DW201" s="67">
        <f>IFERROR(IF(($DK201-$DE201-$DH201)&gt;0,($DB201)/($DK201-$DE201-$DH201),""),"")</f>
        <v/>
      </c>
      <c r="DX201" s="67">
        <f>IFERROR(IF(($DL201-$DF201-$DI201)&gt;0,($DC201)/($DL201-$DF201-$DI201),""),"")</f>
        <v/>
      </c>
      <c r="DY201" s="55">
        <f>SUMIFS(tblPlant[Cyanide_kg],tblPlant[Date],$A201)</f>
        <v/>
      </c>
      <c r="DZ201" s="55">
        <f>IF($B201=$B200,$DZ200,0)+$DY201</f>
        <v/>
      </c>
      <c r="EA201" s="55">
        <f>$EA200+$DY201</f>
        <v/>
      </c>
      <c r="EB201" s="55">
        <f>SUMIFS(tblPlant[Lime_kg],tblPlant[Date],$A201)</f>
        <v/>
      </c>
      <c r="EC201" s="55">
        <f>IF($B201=$B200,$EC200,0)+$EB201</f>
        <v/>
      </c>
      <c r="ED201" s="55">
        <f>$ED200+$EB201</f>
        <v/>
      </c>
      <c r="EE201" s="55">
        <f>SUMIFS(tblPlant[Grinding_Media_kg],tblPlant[Date],$A201)</f>
        <v/>
      </c>
      <c r="EF201" s="55">
        <f>IF($B201=$B200,$EF200,0)+$EE201</f>
        <v/>
      </c>
      <c r="EG201" s="55">
        <f>$EG200+$EE201</f>
        <v/>
      </c>
      <c r="EH201" s="55">
        <f>SUMIFS(tblPlant[Power_kWh],tblPlant[Date],$A201)</f>
        <v/>
      </c>
      <c r="EI201" s="55">
        <f>IF($B201=$B200,$EI200,0)+$EH201</f>
        <v/>
      </c>
      <c r="EJ201" s="55">
        <f>$EJ200+$EH201</f>
        <v/>
      </c>
      <c r="EK201" s="55">
        <f>SUMIFS(tblPlant[Raw_Water_m3],tblPlant[Date],$A201)</f>
        <v/>
      </c>
      <c r="EL201" s="55">
        <f>IF($B201=$B200,$EL200,0)+$EK201</f>
        <v/>
      </c>
      <c r="EM201" s="55">
        <f>$EM200+$EK201</f>
        <v/>
      </c>
      <c r="EN201" s="56">
        <f>IFERROR(IF(($BZ201)&gt;0,($DY201)/($BZ201),""),"")</f>
        <v/>
      </c>
      <c r="EO201" s="56">
        <f>IFERROR(IF(($CA201)&gt;0,($DZ201)/($CA201),""),"")</f>
        <v/>
      </c>
      <c r="EP201" s="56">
        <f>IFERROR(IF(($CB201)&gt;0,($EA201)/($CB201),""),"")</f>
        <v/>
      </c>
      <c r="EQ201" s="56">
        <f>IFERROR(IF(($BZ201)&gt;0,($EB201)/($BZ201),""),"")</f>
        <v/>
      </c>
      <c r="ER201" s="56">
        <f>IFERROR(IF(($CA201)&gt;0,($EC201)/($CA201),""),"")</f>
        <v/>
      </c>
      <c r="ES201" s="56">
        <f>IFERROR(IF(($CB201)&gt;0,($ED201)/($CB201),""),"")</f>
        <v/>
      </c>
      <c r="ET201" s="56">
        <f>IFERROR(IF(($BZ201)&gt;0,($EE201)/($BZ201),""),"")</f>
        <v/>
      </c>
      <c r="EU201" s="56">
        <f>IFERROR(IF(($CA201)&gt;0,($EF201)/($CA201),""),"")</f>
        <v/>
      </c>
      <c r="EV201" s="56">
        <f>IFERROR(IF(($CB201)&gt;0,($EG201)/($CB201),""),"")</f>
        <v/>
      </c>
      <c r="EW201" s="76">
        <f>IFERROR(IF(($BZ201)&gt;0,($EH201)/($BZ201),""),"")</f>
        <v/>
      </c>
      <c r="EX201" s="76">
        <f>IFERROR(IF(($CA201)&gt;0,($EI201)/($CA201),""),"")</f>
        <v/>
      </c>
      <c r="EY201" s="76">
        <f>IFERROR(IF(($CB201)&gt;0,($EJ201)/($CB201),""),"")</f>
        <v/>
      </c>
      <c r="EZ201" s="56">
        <f>IFERROR(IF(($BZ201)&gt;0,($EK201)/($BZ201),""),"")</f>
        <v/>
      </c>
      <c r="FA201" s="56">
        <f>IFERROR(IF(($CA201)&gt;0,($EL201)/($CA201),""),"")</f>
        <v/>
      </c>
      <c r="FB201" s="56">
        <f>IFERROR(IF(($CB201)&gt;0,($EM201)/($CB201),""),"")</f>
        <v/>
      </c>
      <c r="FC201" s="55">
        <f>IF(SUMIFS(tblPlant[GIC_oz],tblPlant[Date],$A201)&gt;0,SUMIFS(tblPlant[GIC_oz],tblPlant[Date],$A201),"")</f>
        <v/>
      </c>
      <c r="FD201" s="55">
        <f>SUMIFS(tblGold[Gold_oz],tblGold[Date],$A201,tblGold[Type],"Shipment")</f>
        <v/>
      </c>
      <c r="FE201" s="55">
        <f>IF($B201=$B200,$FE200,0)+$FD201</f>
        <v/>
      </c>
      <c r="FF201" s="55">
        <f>$FF200+$FD201</f>
        <v/>
      </c>
      <c r="FG201" s="55">
        <f>SUMIFS(tblGold[Gold_oz],tblGold[Date],$A201,tblGold[Type],"Sale")</f>
        <v/>
      </c>
      <c r="FH201" s="55">
        <f>IF($B201=$B200,$FH200,0)+$FG201</f>
        <v/>
      </c>
      <c r="FI201" s="55">
        <f>$FI200+$FG201</f>
        <v/>
      </c>
      <c r="FJ201" s="55">
        <f>SUMIFS(tblGold[Dore_kg],tblGold[Date],$A201,tblGold[Type],"Shipment")</f>
        <v/>
      </c>
      <c r="FK201" s="55">
        <f>IF($B201=$B200,$FK200,0)+$FJ201</f>
        <v/>
      </c>
      <c r="FL201" s="55">
        <f>$FL200+$FJ201</f>
        <v/>
      </c>
      <c r="FM201" s="57">
        <f>SUMIFS(tblSafety[Hours_Total],tblSafety[Date],$A201)</f>
        <v/>
      </c>
      <c r="FN201" s="57">
        <f>IF($B201=$B200,$FN200,0)+$FM201</f>
        <v/>
      </c>
      <c r="FO201" s="57">
        <f>$FO200+$FM201</f>
        <v/>
      </c>
      <c r="FP201" s="62">
        <f>SUMIFS(tblSafety[Fatality],tblSafety[Date],$A201)</f>
        <v/>
      </c>
      <c r="FQ201" s="62">
        <f>IF($B201=$B200,$FQ200,0)+$FP201</f>
        <v/>
      </c>
      <c r="FR201" s="62">
        <f>$FR200+$FP201</f>
        <v/>
      </c>
      <c r="FS201" s="62">
        <f>SUMIFS(tblSafety[LTI],tblSafety[Date],$A201)</f>
        <v/>
      </c>
      <c r="FT201" s="62">
        <f>IF($B201=$B200,$FT200,0)+$FS201</f>
        <v/>
      </c>
      <c r="FU201" s="62">
        <f>$FU200+$FS201</f>
        <v/>
      </c>
      <c r="FV201" s="62">
        <f>SUMIFS(tblSafety[RWI],tblSafety[Date],$A201)</f>
        <v/>
      </c>
      <c r="FW201" s="62">
        <f>IF($B201=$B200,$FW200,0)+$FV201</f>
        <v/>
      </c>
      <c r="FX201" s="62">
        <f>$FX200+$FV201</f>
        <v/>
      </c>
      <c r="FY201" s="62">
        <f>SUMIFS(tblSafety[MTI],tblSafety[Date],$A201)</f>
        <v/>
      </c>
      <c r="FZ201" s="62">
        <f>IF($B201=$B200,$FZ200,0)+$FY201</f>
        <v/>
      </c>
      <c r="GA201" s="62">
        <f>$GA200+$FY201</f>
        <v/>
      </c>
      <c r="GB201" s="62">
        <f>SUMIFS(tblSafety[FAI],tblSafety[Date],$A201)</f>
        <v/>
      </c>
      <c r="GC201" s="62">
        <f>IF($B201=$B200,$GC200,0)+$GB201</f>
        <v/>
      </c>
      <c r="GD201" s="62">
        <f>$GD200+$GB201</f>
        <v/>
      </c>
      <c r="GE201" s="62">
        <f>SUMIFS(tblSafety[Recordables],tblSafety[Date],$A201)</f>
        <v/>
      </c>
      <c r="GF201" s="62">
        <f>IF($B201=$B200,$GF200,0)+$GE201</f>
        <v/>
      </c>
      <c r="GG201" s="62">
        <f>$GG200+$GE201</f>
        <v/>
      </c>
      <c r="GH201" s="62">
        <f>SUMIFS(tblSafety[Near_Miss],tblSafety[Date],$A201)</f>
        <v/>
      </c>
      <c r="GI201" s="62">
        <f>IF($B201=$B200,$GI200,0)+$GH201</f>
        <v/>
      </c>
      <c r="GJ201" s="62">
        <f>$GJ200+$GH201</f>
        <v/>
      </c>
      <c r="GK201" s="62">
        <f>SUMIFS(tblSafety[Hazard_Reports],tblSafety[Date],$A201)</f>
        <v/>
      </c>
      <c r="GL201" s="62">
        <f>IF($B201=$B200,$GL200,0)+$GK201</f>
        <v/>
      </c>
      <c r="GM201" s="62">
        <f>$GM200+$GK201</f>
        <v/>
      </c>
      <c r="GN201" s="62">
        <f>SUMIFS(tblSafety[HPI],tblSafety[Date],$A201)</f>
        <v/>
      </c>
      <c r="GO201" s="62">
        <f>IF($B201=$B200,$GO200,0)+$GN201</f>
        <v/>
      </c>
      <c r="GP201" s="62">
        <f>$GP200+$GN201</f>
        <v/>
      </c>
      <c r="GQ201" s="62">
        <f>SUMIFS(tblSafety[Env_Incidents],tblSafety[Date],$A201)</f>
        <v/>
      </c>
      <c r="GR201" s="62">
        <f>IF($B201=$B200,$GR200,0)+$GQ201</f>
        <v/>
      </c>
      <c r="GS201" s="62">
        <f>$GS200+$GQ201</f>
        <v/>
      </c>
      <c r="GT201" s="62">
        <f>SUMIFS(tblSafety[Community_Incidents],tblSafety[Date],$A201)</f>
        <v/>
      </c>
      <c r="GU201" s="62">
        <f>IF($B201=$B200,$GU200,0)+$GT201</f>
        <v/>
      </c>
      <c r="GV201" s="62">
        <f>$GV200+$GT201</f>
        <v/>
      </c>
      <c r="GW201" s="62">
        <f>SUMIFS(tblSafety[Vehicle_Incidents],tblSafety[Date],$A201)</f>
        <v/>
      </c>
      <c r="GX201" s="62">
        <f>IF($B201=$B200,$GX200,0)+$GW201</f>
        <v/>
      </c>
      <c r="GY201" s="62">
        <f>$GY200+$GW201</f>
        <v/>
      </c>
      <c r="GZ201" s="62">
        <f>SUMIFS(tblSafety[Toolbox_Talks],tblSafety[Date],$A201)</f>
        <v/>
      </c>
      <c r="HA201" s="62">
        <f>IF($B201=$B200,$HA200,0)+$GZ201</f>
        <v/>
      </c>
      <c r="HB201" s="62">
        <f>$HB200+$GZ201</f>
        <v/>
      </c>
      <c r="HC201" s="62">
        <f>SUMIFS(tblSafety[Inspections],tblSafety[Date],$A201)</f>
        <v/>
      </c>
      <c r="HD201" s="62">
        <f>IF($B201=$B200,$HD200,0)+$HC201</f>
        <v/>
      </c>
      <c r="HE201" s="62">
        <f>$HE200+$HC201</f>
        <v/>
      </c>
      <c r="HF201" s="56">
        <f>IFERROR((SUMIFS(tblSafety[Recordables],tblSafety[Date],"&gt;="&amp;EDATE($E201,-12),tblSafety[Date],"&lt;="&amp;$A201)+SUMIFS(tblSafetyHistory[Recordables],tblSafetyHistory[Month],"&gt;="&amp;EDATE($E201,-12),tblSafetyHistory[Month],"&lt;"&amp;cfg_YearStart))/(SUMIFS(tblSafety[Hours_Total],tblSafety[Date],"&gt;="&amp;EDATE($E201,-12),tblSafety[Date],"&lt;="&amp;$A201)+SUMIFS(tblSafetyHistory[Hours_Total],tblSafetyHistory[Month],"&gt;="&amp;EDATE($E201,-12),tblSafetyHistory[Month],"&lt;"&amp;cfg_YearStart))*1000000,"")</f>
        <v/>
      </c>
      <c r="HG201" s="56">
        <f>IFERROR((SUMIFS(tblSafety[LTI],tblSafety[Date],"&gt;="&amp;EDATE($E201,-12),tblSafety[Date],"&lt;="&amp;$A201)+SUMIFS(tblSafetyHistory[LTI],tblSafetyHistory[Month],"&gt;="&amp;EDATE($E201,-12),tblSafetyHistory[Month],"&lt;"&amp;cfg_YearStart))/(SUMIFS(tblSafety[Hours_Total],tblSafety[Date],"&gt;="&amp;EDATE($E201,-12),tblSafety[Date],"&lt;="&amp;$A201)+SUMIFS(tblSafetyHistory[Hours_Total],tblSafetyHistory[Month],"&gt;="&amp;EDATE($E201,-12),tblSafetyHistory[Month],"&lt;"&amp;cfg_YearStart))*1000000,"")</f>
        <v/>
      </c>
      <c r="HH201" s="62">
        <f>IF(MAX(N(cfg_PriorLTIDate),_xlfn.MAXIFS(tblSafety[Date],tblSafety[LTI],"&gt;0",tblSafety[Date],"&lt;="&amp;$A201))=0,"",$A201-MAX(N(cfg_PriorLTIDate),_xlfn.MAXIFS(tblSafety[Date],tblSafety[LTI],"&gt;0",tblSafety[Date],"&lt;="&amp;$A201)))</f>
        <v/>
      </c>
      <c r="HI201" s="55">
        <f>SUMIFS(tblBudget[Ore_Mined_t],tblBudget[Month],$E201)</f>
        <v/>
      </c>
      <c r="HJ201" s="55">
        <f>$HI201*$C201/$D201</f>
        <v/>
      </c>
      <c r="HK201" s="55">
        <f>SUMIFS(tblBudget[Ore_Mined_t],tblBudget[Month],"&lt;"&amp;$E201)+$HJ201</f>
        <v/>
      </c>
      <c r="HL201" s="55">
        <f>SUMIFS(tblBudget[Ore_oz],tblBudget[Month],$E201)</f>
        <v/>
      </c>
      <c r="HM201" s="55">
        <f>$HL201*$C201/$D201</f>
        <v/>
      </c>
      <c r="HN201" s="55">
        <f>SUMIFS(tblBudget[Ore_oz],tblBudget[Month],"&lt;"&amp;$E201)+$HM201</f>
        <v/>
      </c>
      <c r="HO201" s="56">
        <f>IFERROR(IF(($HI201)&gt;0,($HL201*cfg_TroyOz)/($HI201),""),"")</f>
        <v/>
      </c>
      <c r="HP201" s="56">
        <f>IFERROR(IF(($HJ201)&gt;0,($HM201*cfg_TroyOz)/($HJ201),""),"")</f>
        <v/>
      </c>
      <c r="HQ201" s="56">
        <f>IFERROR(IF(($HK201)&gt;0,($HN201*cfg_TroyOz)/($HK201),""),"")</f>
        <v/>
      </c>
      <c r="HR201" s="55">
        <f>SUMIFS(tblBudget[Waste_t],tblBudget[Month],$E201)</f>
        <v/>
      </c>
      <c r="HS201" s="55">
        <f>$HR201*$C201/$D201</f>
        <v/>
      </c>
      <c r="HT201" s="55">
        <f>SUMIFS(tblBudget[Waste_t],tblBudget[Month],"&lt;"&amp;$E201)+$HS201</f>
        <v/>
      </c>
      <c r="HU201" s="55">
        <f>SUMIFS(tblBudget[TMM_t],tblBudget[Month],$E201)</f>
        <v/>
      </c>
      <c r="HV201" s="55">
        <f>$HU201*$C201/$D201</f>
        <v/>
      </c>
      <c r="HW201" s="55">
        <f>SUMIFS(tblBudget[TMM_t],tblBudget[Month],"&lt;"&amp;$E201)+$HV201</f>
        <v/>
      </c>
      <c r="HX201" s="56">
        <f>IFERROR(IF(($HI201)&gt;0,($HR201)/($HI201),""),"")</f>
        <v/>
      </c>
      <c r="HY201" s="56">
        <f>IFERROR(IF(($HJ201)&gt;0,($HS201)/($HJ201),""),"")</f>
        <v/>
      </c>
      <c r="HZ201" s="56">
        <f>IFERROR(IF(($HK201)&gt;0,($HT201)/($HK201),""),"")</f>
        <v/>
      </c>
      <c r="IA201" s="55">
        <f>SUMIFS(tblBudget[Drill_m],tblBudget[Month],$E201)</f>
        <v/>
      </c>
      <c r="IB201" s="55">
        <f>$IA201*$C201/$D201</f>
        <v/>
      </c>
      <c r="IC201" s="55">
        <f>SUMIFS(tblBudget[Drill_m],tblBudget[Month],"&lt;"&amp;$E201)+$IB201</f>
        <v/>
      </c>
      <c r="ID201" s="55">
        <f>SUMIFS(tblBudget[Diesel_L],tblBudget[Month],$E201)</f>
        <v/>
      </c>
      <c r="IE201" s="55">
        <f>$ID201*$C201/$D201</f>
        <v/>
      </c>
      <c r="IF201" s="55">
        <f>SUMIFS(tblBudget[Diesel_L],tblBudget[Month],"&lt;"&amp;$E201)+$IE201</f>
        <v/>
      </c>
      <c r="IG201" s="55">
        <f>SUMIFS(tblBudget[Milled_t],tblBudget[Month],$E201)</f>
        <v/>
      </c>
      <c r="IH201" s="55">
        <f>$IG201*$C201/$D201</f>
        <v/>
      </c>
      <c r="II201" s="55">
        <f>SUMIFS(tblBudget[Milled_t],tblBudget[Month],"&lt;"&amp;$E201)+$IH201</f>
        <v/>
      </c>
      <c r="IJ201" s="55">
        <f>SUMIFS(tblBudget[Feed_oz],tblBudget[Month],$E201)</f>
        <v/>
      </c>
      <c r="IK201" s="55">
        <f>$IJ201*$C201/$D201</f>
        <v/>
      </c>
      <c r="IL201" s="55">
        <f>SUMIFS(tblBudget[Feed_oz],tblBudget[Month],"&lt;"&amp;$E201)+$IK201</f>
        <v/>
      </c>
      <c r="IM201" s="55">
        <f>SUMIFS(tblBudget[Recovered_oz],tblBudget[Month],$E201)</f>
        <v/>
      </c>
      <c r="IN201" s="55">
        <f>$IM201*$C201/$D201</f>
        <v/>
      </c>
      <c r="IO201" s="55">
        <f>SUMIFS(tblBudget[Recovered_oz],tblBudget[Month],"&lt;"&amp;$E201)+$IN201</f>
        <v/>
      </c>
      <c r="IP201" s="56">
        <f>IFERROR(IF(($IG201)&gt;0,($IJ201*cfg_TroyOz)/($IG201),""),"")</f>
        <v/>
      </c>
      <c r="IQ201" s="56">
        <f>IFERROR(IF(($IH201)&gt;0,($IK201*cfg_TroyOz)/($IH201),""),"")</f>
        <v/>
      </c>
      <c r="IR201" s="56">
        <f>IFERROR(IF(($II201)&gt;0,($IL201*cfg_TroyOz)/($II201),""),"")</f>
        <v/>
      </c>
      <c r="IS201" s="67">
        <f>IFERROR(IF(($IJ201)&gt;0,($IM201)/($IJ201),""),"")</f>
        <v/>
      </c>
      <c r="IT201" s="67">
        <f>IFERROR(IF(($IK201)&gt;0,($IN201)/($IK201),""),"")</f>
        <v/>
      </c>
      <c r="IU201" s="67">
        <f>IFERROR(IF(($IL201)&gt;0,($IO201)/($IL201),""),"")</f>
        <v/>
      </c>
      <c r="IV201" s="55">
        <f>SUMIFS(tblBudget[Gold_Poured_oz],tblBudget[Month],$E201)</f>
        <v/>
      </c>
      <c r="IW201" s="55">
        <f>$IV201*$C201/$D201</f>
        <v/>
      </c>
      <c r="IX201" s="55">
        <f>SUMIFS(tblBudget[Gold_Poured_oz],tblBudget[Month],"&lt;"&amp;$E201)+$IW201</f>
        <v/>
      </c>
      <c r="IY201" s="57">
        <f>SUMIFS(tblBudget[Hours_Worked],tblBudget[Month],$E201)</f>
        <v/>
      </c>
      <c r="IZ201" s="57">
        <f>$IY201*$C201/$D201</f>
        <v/>
      </c>
      <c r="JA201" s="57">
        <f>SUMIFS(tblBudget[Hours_Worked],tblBudget[Month],"&lt;"&amp;$E201)+$IZ201</f>
        <v/>
      </c>
    </row>
    <row r="202">
      <c r="A202" s="54" t="n">
        <v>46223</v>
      </c>
      <c r="B202">
        <f>MONTH($A202)</f>
        <v/>
      </c>
      <c r="C202">
        <f>DAY($A202)</f>
        <v/>
      </c>
      <c r="D202">
        <f>DAY(EOMONTH($A202,0))</f>
        <v/>
      </c>
      <c r="E202" s="54">
        <f>DATE(YEAR($A202),MONTH($A202),1)</f>
        <v/>
      </c>
      <c r="F202" s="55">
        <f>SUMIFS(tblMovement[Tonnes_t],tblMovement[Date],$A202,tblMovement[Is_Ore],1,tblMovement[Source_Type],"Pit")</f>
        <v/>
      </c>
      <c r="G202" s="55">
        <f>IF($B202=$B201,$G201,0)+$F202</f>
        <v/>
      </c>
      <c r="H202" s="55">
        <f>$H201+$F202</f>
        <v/>
      </c>
      <c r="I202" s="55">
        <f>SUMIFS(tblMovement[Ore_oz],tblMovement[Date],$A202,tblMovement[Source_Type],"Pit")</f>
        <v/>
      </c>
      <c r="J202" s="55">
        <f>IF($B202=$B201,$J201,0)+$I202</f>
        <v/>
      </c>
      <c r="K202" s="55">
        <f>$K201+$I202</f>
        <v/>
      </c>
      <c r="L202" s="56">
        <f>IFERROR(IF(($F202)&gt;0,($I202*cfg_TroyOz)/($F202),""),"")</f>
        <v/>
      </c>
      <c r="M202" s="56">
        <f>IFERROR(IF(($G202)&gt;0,($J202*cfg_TroyOz)/($G202),""),"")</f>
        <v/>
      </c>
      <c r="N202" s="56">
        <f>IFERROR(IF(($H202)&gt;0,($K202*cfg_TroyOz)/($H202),""),"")</f>
        <v/>
      </c>
      <c r="O202" s="55">
        <f>SUMIFS(tblMovement[Tonnes_t],tblMovement[Date],$A202,tblMovement[Is_Ore],0,tblMovement[Source_Type],"Pit")</f>
        <v/>
      </c>
      <c r="P202" s="55">
        <f>IF($B202=$B201,$P201,0)+$O202</f>
        <v/>
      </c>
      <c r="Q202" s="55">
        <f>$Q201+$O202</f>
        <v/>
      </c>
      <c r="R202" s="55">
        <f>$F202+$O202</f>
        <v/>
      </c>
      <c r="S202" s="55">
        <f>IF($B202=$B201,$S201,0)+$R202</f>
        <v/>
      </c>
      <c r="T202" s="55">
        <f>$T201+$R202</f>
        <v/>
      </c>
      <c r="U202" s="56">
        <f>IFERROR(IF(($F202)&gt;0,($O202)/($F202),""),"")</f>
        <v/>
      </c>
      <c r="V202" s="56">
        <f>IFERROR(IF(($G202)&gt;0,($P202)/($G202),""),"")</f>
        <v/>
      </c>
      <c r="W202" s="56">
        <f>IFERROR(IF(($H202)&gt;0,($Q202)/($H202),""),"")</f>
        <v/>
      </c>
      <c r="X202" s="55">
        <f>SUMIFS(tblMovement[Tonnes_t],tblMovement[Date],$A202,tblMovement[Source_Type],"Stockpile")</f>
        <v/>
      </c>
      <c r="Y202" s="55">
        <f>IF($B202=$B201,$Y201,0)+$X202</f>
        <v/>
      </c>
      <c r="Z202" s="55">
        <f>$Z201+$X202</f>
        <v/>
      </c>
      <c r="AA202" s="55">
        <f>SUMIFS(tblMiningDaily[Drill_m],tblMiningDaily[Date],$A202)</f>
        <v/>
      </c>
      <c r="AB202" s="55">
        <f>IF($B202=$B201,$AB201,0)+$AA202</f>
        <v/>
      </c>
      <c r="AC202" s="55">
        <f>$AC201+$AA202</f>
        <v/>
      </c>
      <c r="AD202" s="55">
        <f>SUMIFS(tblMiningDaily[Blast_t],tblMiningDaily[Date],$A202)</f>
        <v/>
      </c>
      <c r="AE202" s="55">
        <f>IF($B202=$B201,$AE201,0)+$AD202</f>
        <v/>
      </c>
      <c r="AF202" s="55">
        <f>$AF201+$AD202</f>
        <v/>
      </c>
      <c r="AG202" s="55">
        <f>SUMIFS(tblMiningDaily[Explosives_kg],tblMiningDaily[Date],$A202)</f>
        <v/>
      </c>
      <c r="AH202" s="55">
        <f>IF($B202=$B201,$AH201,0)+$AG202</f>
        <v/>
      </c>
      <c r="AI202" s="55">
        <f>$AI201+$AG202</f>
        <v/>
      </c>
      <c r="AJ202" s="56">
        <f>IFERROR(IF(($AD202)&gt;0,($AG202)/($AD202),""),"")</f>
        <v/>
      </c>
      <c r="AK202" s="56">
        <f>IFERROR(IF(($AE202)&gt;0,($AH202)/($AE202),""),"")</f>
        <v/>
      </c>
      <c r="AL202" s="56">
        <f>IFERROR(IF(($AF202)&gt;0,($AI202)/($AF202),""),"")</f>
        <v/>
      </c>
      <c r="AM202" s="55">
        <f>SUMIFS(tblMiningDaily[Diesel_L],tblMiningDaily[Date],$A202)</f>
        <v/>
      </c>
      <c r="AN202" s="55">
        <f>IF($B202=$B201,$AN201,0)+$AM202</f>
        <v/>
      </c>
      <c r="AO202" s="55">
        <f>$AO201+$AM202</f>
        <v/>
      </c>
      <c r="AP202" s="55">
        <f>SUMIFS(tblMiningDaily[Dewatering_m3],tblMiningDaily[Date],$A202)</f>
        <v/>
      </c>
      <c r="AQ202" s="55">
        <f>IF($B202=$B201,$AQ201,0)+$AP202</f>
        <v/>
      </c>
      <c r="AR202" s="55">
        <f>$AR201+$AP202</f>
        <v/>
      </c>
      <c r="AS202" s="57">
        <f>SUMIFS(tblFleet[Calendar_h],tblFleet[Date],$A202,tblFleet[Equipment_Class],"Excavator")</f>
        <v/>
      </c>
      <c r="AT202" s="57">
        <f>IF($B202=$B201,$AT201,0)+$AS202</f>
        <v/>
      </c>
      <c r="AU202" s="57">
        <f>$AU201+$AS202</f>
        <v/>
      </c>
      <c r="AV202" s="57">
        <f>SUMIFS(tblFleet[Available_h],tblFleet[Date],$A202,tblFleet[Equipment_Class],"Excavator")</f>
        <v/>
      </c>
      <c r="AW202" s="57">
        <f>IF($B202=$B201,$AW201,0)+$AV202</f>
        <v/>
      </c>
      <c r="AX202" s="57">
        <f>$AX201+$AV202</f>
        <v/>
      </c>
      <c r="AY202" s="57">
        <f>SUMIFS(tblFleet[Operating_h],tblFleet[Date],$A202,tblFleet[Equipment_Class],"Excavator")</f>
        <v/>
      </c>
      <c r="AZ202" s="57">
        <f>IF($B202=$B201,$AZ201,0)+$AY202</f>
        <v/>
      </c>
      <c r="BA202" s="57">
        <f>$BA201+$AY202</f>
        <v/>
      </c>
      <c r="BB202" s="67">
        <f>IFERROR(IF(($AS202)&gt;0,($AV202)/($AS202),""),"")</f>
        <v/>
      </c>
      <c r="BC202" s="67">
        <f>IFERROR(IF(($AT202)&gt;0,($AW202)/($AT202),""),"")</f>
        <v/>
      </c>
      <c r="BD202" s="67">
        <f>IFERROR(IF(($AU202)&gt;0,($AX202)/($AU202),""),"")</f>
        <v/>
      </c>
      <c r="BE202" s="67">
        <f>IFERROR(IF(($AV202)&gt;0,($AY202)/($AV202),""),"")</f>
        <v/>
      </c>
      <c r="BF202" s="67">
        <f>IFERROR(IF(($AW202)&gt;0,($AZ202)/($AW202),""),"")</f>
        <v/>
      </c>
      <c r="BG202" s="67">
        <f>IFERROR(IF(($AX202)&gt;0,($BA202)/($AX202),""),"")</f>
        <v/>
      </c>
      <c r="BH202" s="57">
        <f>SUMIFS(tblFleet[Calendar_h],tblFleet[Date],$A202,tblFleet[Equipment_Class],"Haul Truck")</f>
        <v/>
      </c>
      <c r="BI202" s="57">
        <f>IF($B202=$B201,$BI201,0)+$BH202</f>
        <v/>
      </c>
      <c r="BJ202" s="57">
        <f>$BJ201+$BH202</f>
        <v/>
      </c>
      <c r="BK202" s="57">
        <f>SUMIFS(tblFleet[Available_h],tblFleet[Date],$A202,tblFleet[Equipment_Class],"Haul Truck")</f>
        <v/>
      </c>
      <c r="BL202" s="57">
        <f>IF($B202=$B201,$BL201,0)+$BK202</f>
        <v/>
      </c>
      <c r="BM202" s="57">
        <f>$BM201+$BK202</f>
        <v/>
      </c>
      <c r="BN202" s="57">
        <f>SUMIFS(tblFleet[Operating_h],tblFleet[Date],$A202,tblFleet[Equipment_Class],"Haul Truck")</f>
        <v/>
      </c>
      <c r="BO202" s="57">
        <f>IF($B202=$B201,$BO201,0)+$BN202</f>
        <v/>
      </c>
      <c r="BP202" s="57">
        <f>$BP201+$BN202</f>
        <v/>
      </c>
      <c r="BQ202" s="67">
        <f>IFERROR(IF(($BH202)&gt;0,($BK202)/($BH202),""),"")</f>
        <v/>
      </c>
      <c r="BR202" s="67">
        <f>IFERROR(IF(($BI202)&gt;0,($BL202)/($BI202),""),"")</f>
        <v/>
      </c>
      <c r="BS202" s="67">
        <f>IFERROR(IF(($BJ202)&gt;0,($BM202)/($BJ202),""),"")</f>
        <v/>
      </c>
      <c r="BT202" s="67">
        <f>IFERROR(IF(($BK202)&gt;0,($BN202)/($BK202),""),"")</f>
        <v/>
      </c>
      <c r="BU202" s="67">
        <f>IFERROR(IF(($BL202)&gt;0,($BO202)/($BL202),""),"")</f>
        <v/>
      </c>
      <c r="BV202" s="67">
        <f>IFERROR(IF(($BM202)&gt;0,($BP202)/($BM202),""),"")</f>
        <v/>
      </c>
      <c r="BW202" s="55">
        <f>SUMIFS(tblPlant[Crushed_t],tblPlant[Date],$A202)</f>
        <v/>
      </c>
      <c r="BX202" s="55">
        <f>IF($B202=$B201,$BX201,0)+$BW202</f>
        <v/>
      </c>
      <c r="BY202" s="55">
        <f>$BY201+$BW202</f>
        <v/>
      </c>
      <c r="BZ202" s="55">
        <f>SUMIFS(tblPlant[Milled_t],tblPlant[Date],$A202)</f>
        <v/>
      </c>
      <c r="CA202" s="55">
        <f>IF($B202=$B201,$CA201,0)+$BZ202</f>
        <v/>
      </c>
      <c r="CB202" s="55">
        <f>$CB201+$BZ202</f>
        <v/>
      </c>
      <c r="CC202" s="55">
        <f>SUMIFS(tblPlant[Feed_oz],tblPlant[Date],$A202)</f>
        <v/>
      </c>
      <c r="CD202" s="55">
        <f>IF($B202=$B201,$CD201,0)+$CC202</f>
        <v/>
      </c>
      <c r="CE202" s="55">
        <f>$CE201+$CC202</f>
        <v/>
      </c>
      <c r="CF202" s="55">
        <f>SUMIFS(tblPlant[Tails_oz],tblPlant[Date],$A202)</f>
        <v/>
      </c>
      <c r="CG202" s="55">
        <f>IF($B202=$B201,$CG201,0)+$CF202</f>
        <v/>
      </c>
      <c r="CH202" s="55">
        <f>$CH201+$CF202</f>
        <v/>
      </c>
      <c r="CI202" s="55">
        <f>SUMIFS(tblPlant[Recovered_oz],tblPlant[Date],$A202)</f>
        <v/>
      </c>
      <c r="CJ202" s="55">
        <f>IF($B202=$B201,$CJ201,0)+$CI202</f>
        <v/>
      </c>
      <c r="CK202" s="55">
        <f>$CK201+$CI202</f>
        <v/>
      </c>
      <c r="CL202" s="56">
        <f>IFERROR(IF(($BZ202)&gt;0,($CC202*cfg_TroyOz)/($BZ202),""),"")</f>
        <v/>
      </c>
      <c r="CM202" s="56">
        <f>IFERROR(IF(($CA202)&gt;0,($CD202*cfg_TroyOz)/($CA202),""),"")</f>
        <v/>
      </c>
      <c r="CN202" s="56">
        <f>IFERROR(IF(($CB202)&gt;0,($CE202*cfg_TroyOz)/($CB202),""),"")</f>
        <v/>
      </c>
      <c r="CO202" s="56">
        <f>IFERROR(IF(($BZ202)&gt;0,($CF202*cfg_TroyOz)/($BZ202),""),"")</f>
        <v/>
      </c>
      <c r="CP202" s="56">
        <f>IFERROR(IF(($CA202)&gt;0,($CG202*cfg_TroyOz)/($CA202),""),"")</f>
        <v/>
      </c>
      <c r="CQ202" s="56">
        <f>IFERROR(IF(($CB202)&gt;0,($CH202*cfg_TroyOz)/($CB202),""),"")</f>
        <v/>
      </c>
      <c r="CR202" s="67">
        <f>IFERROR(IF(($CC202)&gt;0,($CI202)/($CC202),""),"")</f>
        <v/>
      </c>
      <c r="CS202" s="67">
        <f>IFERROR(IF(($CD202)&gt;0,($CJ202)/($CD202),""),"")</f>
        <v/>
      </c>
      <c r="CT202" s="67">
        <f>IFERROR(IF(($CE202)&gt;0,($CK202)/($CE202),""),"")</f>
        <v/>
      </c>
      <c r="CU202" s="55">
        <f>SUMIFS(tblPlant[Gravity_Gold_oz],tblPlant[Date],$A202)</f>
        <v/>
      </c>
      <c r="CV202" s="55">
        <f>IF($B202=$B201,$CV201,0)+$CU202</f>
        <v/>
      </c>
      <c r="CW202" s="55">
        <f>$CW201+$CU202</f>
        <v/>
      </c>
      <c r="CX202" s="55">
        <f>SUMIFS(tblPlant[Gold_Poured_oz],tblPlant[Date],$A202)</f>
        <v/>
      </c>
      <c r="CY202" s="55">
        <f>IF($B202=$B201,$CY201,0)+$CX202</f>
        <v/>
      </c>
      <c r="CZ202" s="55">
        <f>$CZ201+$CX202</f>
        <v/>
      </c>
      <c r="DA202" s="57">
        <f>SUMIFS(tblPlant[Mill_Run_h],tblPlant[Date],$A202)</f>
        <v/>
      </c>
      <c r="DB202" s="57">
        <f>IF($B202=$B201,$DB201,0)+$DA202</f>
        <v/>
      </c>
      <c r="DC202" s="57">
        <f>$DC201+$DA202</f>
        <v/>
      </c>
      <c r="DD202" s="57">
        <f>SUMIFS(tblPlant[Mill_Planned_Maint_h],tblPlant[Date],$A202)</f>
        <v/>
      </c>
      <c r="DE202" s="57">
        <f>IF($B202=$B201,$DE201,0)+$DD202</f>
        <v/>
      </c>
      <c r="DF202" s="57">
        <f>$DF201+$DD202</f>
        <v/>
      </c>
      <c r="DG202" s="57">
        <f>SUMIFS(tblPlant[Mill_Unplanned_Down_h],tblPlant[Date],$A202)</f>
        <v/>
      </c>
      <c r="DH202" s="57">
        <f>IF($B202=$B201,$DH201,0)+$DG202</f>
        <v/>
      </c>
      <c r="DI202" s="57">
        <f>$DI201+$DG202</f>
        <v/>
      </c>
      <c r="DJ202" s="57">
        <f>COUNTIFS(tblPlant[Date],$A202,tblPlant[Mill_Run_h],"&lt;&gt;")*24</f>
        <v/>
      </c>
      <c r="DK202" s="57">
        <f>IF($B202=$B201,$DK201,0)+$DJ202</f>
        <v/>
      </c>
      <c r="DL202" s="57">
        <f>$DL201+$DJ202</f>
        <v/>
      </c>
      <c r="DM202" s="57">
        <f>SUMIFS(tblPlant[Crusher_Run_h],tblPlant[Date],$A202)</f>
        <v/>
      </c>
      <c r="DN202" s="57">
        <f>IF($B202=$B201,$DN201,0)+$DM202</f>
        <v/>
      </c>
      <c r="DO202" s="57">
        <f>$DO201+$DM202</f>
        <v/>
      </c>
      <c r="DP202" s="55">
        <f>IFERROR(IF(($DA202)&gt;0,($BZ202)/($DA202),""),"")</f>
        <v/>
      </c>
      <c r="DQ202" s="55">
        <f>IFERROR(IF(($DB202)&gt;0,($CA202)/($DB202),""),"")</f>
        <v/>
      </c>
      <c r="DR202" s="55">
        <f>IFERROR(IF(($DC202)&gt;0,($CB202)/($DC202),""),"")</f>
        <v/>
      </c>
      <c r="DS202" s="67">
        <f>IFERROR(IF(($DJ202)&gt;0,($DJ202-$DD202-$DG202)/($DJ202),""),"")</f>
        <v/>
      </c>
      <c r="DT202" s="67">
        <f>IFERROR(IF(($DK202)&gt;0,($DK202-$DE202-$DH202)/($DK202),""),"")</f>
        <v/>
      </c>
      <c r="DU202" s="67">
        <f>IFERROR(IF(($DL202)&gt;0,($DL202-$DF202-$DI202)/($DL202),""),"")</f>
        <v/>
      </c>
      <c r="DV202" s="67">
        <f>IFERROR(IF(($DJ202-$DD202-$DG202)&gt;0,($DA202)/($DJ202-$DD202-$DG202),""),"")</f>
        <v/>
      </c>
      <c r="DW202" s="67">
        <f>IFERROR(IF(($DK202-$DE202-$DH202)&gt;0,($DB202)/($DK202-$DE202-$DH202),""),"")</f>
        <v/>
      </c>
      <c r="DX202" s="67">
        <f>IFERROR(IF(($DL202-$DF202-$DI202)&gt;0,($DC202)/($DL202-$DF202-$DI202),""),"")</f>
        <v/>
      </c>
      <c r="DY202" s="55">
        <f>SUMIFS(tblPlant[Cyanide_kg],tblPlant[Date],$A202)</f>
        <v/>
      </c>
      <c r="DZ202" s="55">
        <f>IF($B202=$B201,$DZ201,0)+$DY202</f>
        <v/>
      </c>
      <c r="EA202" s="55">
        <f>$EA201+$DY202</f>
        <v/>
      </c>
      <c r="EB202" s="55">
        <f>SUMIFS(tblPlant[Lime_kg],tblPlant[Date],$A202)</f>
        <v/>
      </c>
      <c r="EC202" s="55">
        <f>IF($B202=$B201,$EC201,0)+$EB202</f>
        <v/>
      </c>
      <c r="ED202" s="55">
        <f>$ED201+$EB202</f>
        <v/>
      </c>
      <c r="EE202" s="55">
        <f>SUMIFS(tblPlant[Grinding_Media_kg],tblPlant[Date],$A202)</f>
        <v/>
      </c>
      <c r="EF202" s="55">
        <f>IF($B202=$B201,$EF201,0)+$EE202</f>
        <v/>
      </c>
      <c r="EG202" s="55">
        <f>$EG201+$EE202</f>
        <v/>
      </c>
      <c r="EH202" s="55">
        <f>SUMIFS(tblPlant[Power_kWh],tblPlant[Date],$A202)</f>
        <v/>
      </c>
      <c r="EI202" s="55">
        <f>IF($B202=$B201,$EI201,0)+$EH202</f>
        <v/>
      </c>
      <c r="EJ202" s="55">
        <f>$EJ201+$EH202</f>
        <v/>
      </c>
      <c r="EK202" s="55">
        <f>SUMIFS(tblPlant[Raw_Water_m3],tblPlant[Date],$A202)</f>
        <v/>
      </c>
      <c r="EL202" s="55">
        <f>IF($B202=$B201,$EL201,0)+$EK202</f>
        <v/>
      </c>
      <c r="EM202" s="55">
        <f>$EM201+$EK202</f>
        <v/>
      </c>
      <c r="EN202" s="56">
        <f>IFERROR(IF(($BZ202)&gt;0,($DY202)/($BZ202),""),"")</f>
        <v/>
      </c>
      <c r="EO202" s="56">
        <f>IFERROR(IF(($CA202)&gt;0,($DZ202)/($CA202),""),"")</f>
        <v/>
      </c>
      <c r="EP202" s="56">
        <f>IFERROR(IF(($CB202)&gt;0,($EA202)/($CB202),""),"")</f>
        <v/>
      </c>
      <c r="EQ202" s="56">
        <f>IFERROR(IF(($BZ202)&gt;0,($EB202)/($BZ202),""),"")</f>
        <v/>
      </c>
      <c r="ER202" s="56">
        <f>IFERROR(IF(($CA202)&gt;0,($EC202)/($CA202),""),"")</f>
        <v/>
      </c>
      <c r="ES202" s="56">
        <f>IFERROR(IF(($CB202)&gt;0,($ED202)/($CB202),""),"")</f>
        <v/>
      </c>
      <c r="ET202" s="56">
        <f>IFERROR(IF(($BZ202)&gt;0,($EE202)/($BZ202),""),"")</f>
        <v/>
      </c>
      <c r="EU202" s="56">
        <f>IFERROR(IF(($CA202)&gt;0,($EF202)/($CA202),""),"")</f>
        <v/>
      </c>
      <c r="EV202" s="56">
        <f>IFERROR(IF(($CB202)&gt;0,($EG202)/($CB202),""),"")</f>
        <v/>
      </c>
      <c r="EW202" s="76">
        <f>IFERROR(IF(($BZ202)&gt;0,($EH202)/($BZ202),""),"")</f>
        <v/>
      </c>
      <c r="EX202" s="76">
        <f>IFERROR(IF(($CA202)&gt;0,($EI202)/($CA202),""),"")</f>
        <v/>
      </c>
      <c r="EY202" s="76">
        <f>IFERROR(IF(($CB202)&gt;0,($EJ202)/($CB202),""),"")</f>
        <v/>
      </c>
      <c r="EZ202" s="56">
        <f>IFERROR(IF(($BZ202)&gt;0,($EK202)/($BZ202),""),"")</f>
        <v/>
      </c>
      <c r="FA202" s="56">
        <f>IFERROR(IF(($CA202)&gt;0,($EL202)/($CA202),""),"")</f>
        <v/>
      </c>
      <c r="FB202" s="56">
        <f>IFERROR(IF(($CB202)&gt;0,($EM202)/($CB202),""),"")</f>
        <v/>
      </c>
      <c r="FC202" s="55">
        <f>IF(SUMIFS(tblPlant[GIC_oz],tblPlant[Date],$A202)&gt;0,SUMIFS(tblPlant[GIC_oz],tblPlant[Date],$A202),"")</f>
        <v/>
      </c>
      <c r="FD202" s="55">
        <f>SUMIFS(tblGold[Gold_oz],tblGold[Date],$A202,tblGold[Type],"Shipment")</f>
        <v/>
      </c>
      <c r="FE202" s="55">
        <f>IF($B202=$B201,$FE201,0)+$FD202</f>
        <v/>
      </c>
      <c r="FF202" s="55">
        <f>$FF201+$FD202</f>
        <v/>
      </c>
      <c r="FG202" s="55">
        <f>SUMIFS(tblGold[Gold_oz],tblGold[Date],$A202,tblGold[Type],"Sale")</f>
        <v/>
      </c>
      <c r="FH202" s="55">
        <f>IF($B202=$B201,$FH201,0)+$FG202</f>
        <v/>
      </c>
      <c r="FI202" s="55">
        <f>$FI201+$FG202</f>
        <v/>
      </c>
      <c r="FJ202" s="55">
        <f>SUMIFS(tblGold[Dore_kg],tblGold[Date],$A202,tblGold[Type],"Shipment")</f>
        <v/>
      </c>
      <c r="FK202" s="55">
        <f>IF($B202=$B201,$FK201,0)+$FJ202</f>
        <v/>
      </c>
      <c r="FL202" s="55">
        <f>$FL201+$FJ202</f>
        <v/>
      </c>
      <c r="FM202" s="57">
        <f>SUMIFS(tblSafety[Hours_Total],tblSafety[Date],$A202)</f>
        <v/>
      </c>
      <c r="FN202" s="57">
        <f>IF($B202=$B201,$FN201,0)+$FM202</f>
        <v/>
      </c>
      <c r="FO202" s="57">
        <f>$FO201+$FM202</f>
        <v/>
      </c>
      <c r="FP202" s="62">
        <f>SUMIFS(tblSafety[Fatality],tblSafety[Date],$A202)</f>
        <v/>
      </c>
      <c r="FQ202" s="62">
        <f>IF($B202=$B201,$FQ201,0)+$FP202</f>
        <v/>
      </c>
      <c r="FR202" s="62">
        <f>$FR201+$FP202</f>
        <v/>
      </c>
      <c r="FS202" s="62">
        <f>SUMIFS(tblSafety[LTI],tblSafety[Date],$A202)</f>
        <v/>
      </c>
      <c r="FT202" s="62">
        <f>IF($B202=$B201,$FT201,0)+$FS202</f>
        <v/>
      </c>
      <c r="FU202" s="62">
        <f>$FU201+$FS202</f>
        <v/>
      </c>
      <c r="FV202" s="62">
        <f>SUMIFS(tblSafety[RWI],tblSafety[Date],$A202)</f>
        <v/>
      </c>
      <c r="FW202" s="62">
        <f>IF($B202=$B201,$FW201,0)+$FV202</f>
        <v/>
      </c>
      <c r="FX202" s="62">
        <f>$FX201+$FV202</f>
        <v/>
      </c>
      <c r="FY202" s="62">
        <f>SUMIFS(tblSafety[MTI],tblSafety[Date],$A202)</f>
        <v/>
      </c>
      <c r="FZ202" s="62">
        <f>IF($B202=$B201,$FZ201,0)+$FY202</f>
        <v/>
      </c>
      <c r="GA202" s="62">
        <f>$GA201+$FY202</f>
        <v/>
      </c>
      <c r="GB202" s="62">
        <f>SUMIFS(tblSafety[FAI],tblSafety[Date],$A202)</f>
        <v/>
      </c>
      <c r="GC202" s="62">
        <f>IF($B202=$B201,$GC201,0)+$GB202</f>
        <v/>
      </c>
      <c r="GD202" s="62">
        <f>$GD201+$GB202</f>
        <v/>
      </c>
      <c r="GE202" s="62">
        <f>SUMIFS(tblSafety[Recordables],tblSafety[Date],$A202)</f>
        <v/>
      </c>
      <c r="GF202" s="62">
        <f>IF($B202=$B201,$GF201,0)+$GE202</f>
        <v/>
      </c>
      <c r="GG202" s="62">
        <f>$GG201+$GE202</f>
        <v/>
      </c>
      <c r="GH202" s="62">
        <f>SUMIFS(tblSafety[Near_Miss],tblSafety[Date],$A202)</f>
        <v/>
      </c>
      <c r="GI202" s="62">
        <f>IF($B202=$B201,$GI201,0)+$GH202</f>
        <v/>
      </c>
      <c r="GJ202" s="62">
        <f>$GJ201+$GH202</f>
        <v/>
      </c>
      <c r="GK202" s="62">
        <f>SUMIFS(tblSafety[Hazard_Reports],tblSafety[Date],$A202)</f>
        <v/>
      </c>
      <c r="GL202" s="62">
        <f>IF($B202=$B201,$GL201,0)+$GK202</f>
        <v/>
      </c>
      <c r="GM202" s="62">
        <f>$GM201+$GK202</f>
        <v/>
      </c>
      <c r="GN202" s="62">
        <f>SUMIFS(tblSafety[HPI],tblSafety[Date],$A202)</f>
        <v/>
      </c>
      <c r="GO202" s="62">
        <f>IF($B202=$B201,$GO201,0)+$GN202</f>
        <v/>
      </c>
      <c r="GP202" s="62">
        <f>$GP201+$GN202</f>
        <v/>
      </c>
      <c r="GQ202" s="62">
        <f>SUMIFS(tblSafety[Env_Incidents],tblSafety[Date],$A202)</f>
        <v/>
      </c>
      <c r="GR202" s="62">
        <f>IF($B202=$B201,$GR201,0)+$GQ202</f>
        <v/>
      </c>
      <c r="GS202" s="62">
        <f>$GS201+$GQ202</f>
        <v/>
      </c>
      <c r="GT202" s="62">
        <f>SUMIFS(tblSafety[Community_Incidents],tblSafety[Date],$A202)</f>
        <v/>
      </c>
      <c r="GU202" s="62">
        <f>IF($B202=$B201,$GU201,0)+$GT202</f>
        <v/>
      </c>
      <c r="GV202" s="62">
        <f>$GV201+$GT202</f>
        <v/>
      </c>
      <c r="GW202" s="62">
        <f>SUMIFS(tblSafety[Vehicle_Incidents],tblSafety[Date],$A202)</f>
        <v/>
      </c>
      <c r="GX202" s="62">
        <f>IF($B202=$B201,$GX201,0)+$GW202</f>
        <v/>
      </c>
      <c r="GY202" s="62">
        <f>$GY201+$GW202</f>
        <v/>
      </c>
      <c r="GZ202" s="62">
        <f>SUMIFS(tblSafety[Toolbox_Talks],tblSafety[Date],$A202)</f>
        <v/>
      </c>
      <c r="HA202" s="62">
        <f>IF($B202=$B201,$HA201,0)+$GZ202</f>
        <v/>
      </c>
      <c r="HB202" s="62">
        <f>$HB201+$GZ202</f>
        <v/>
      </c>
      <c r="HC202" s="62">
        <f>SUMIFS(tblSafety[Inspections],tblSafety[Date],$A202)</f>
        <v/>
      </c>
      <c r="HD202" s="62">
        <f>IF($B202=$B201,$HD201,0)+$HC202</f>
        <v/>
      </c>
      <c r="HE202" s="62">
        <f>$HE201+$HC202</f>
        <v/>
      </c>
      <c r="HF202" s="56">
        <f>IFERROR((SUMIFS(tblSafety[Recordables],tblSafety[Date],"&gt;="&amp;EDATE($E202,-12),tblSafety[Date],"&lt;="&amp;$A202)+SUMIFS(tblSafetyHistory[Recordables],tblSafetyHistory[Month],"&gt;="&amp;EDATE($E202,-12),tblSafetyHistory[Month],"&lt;"&amp;cfg_YearStart))/(SUMIFS(tblSafety[Hours_Total],tblSafety[Date],"&gt;="&amp;EDATE($E202,-12),tblSafety[Date],"&lt;="&amp;$A202)+SUMIFS(tblSafetyHistory[Hours_Total],tblSafetyHistory[Month],"&gt;="&amp;EDATE($E202,-12),tblSafetyHistory[Month],"&lt;"&amp;cfg_YearStart))*1000000,"")</f>
        <v/>
      </c>
      <c r="HG202" s="56">
        <f>IFERROR((SUMIFS(tblSafety[LTI],tblSafety[Date],"&gt;="&amp;EDATE($E202,-12),tblSafety[Date],"&lt;="&amp;$A202)+SUMIFS(tblSafetyHistory[LTI],tblSafetyHistory[Month],"&gt;="&amp;EDATE($E202,-12),tblSafetyHistory[Month],"&lt;"&amp;cfg_YearStart))/(SUMIFS(tblSafety[Hours_Total],tblSafety[Date],"&gt;="&amp;EDATE($E202,-12),tblSafety[Date],"&lt;="&amp;$A202)+SUMIFS(tblSafetyHistory[Hours_Total],tblSafetyHistory[Month],"&gt;="&amp;EDATE($E202,-12),tblSafetyHistory[Month],"&lt;"&amp;cfg_YearStart))*1000000,"")</f>
        <v/>
      </c>
      <c r="HH202" s="62">
        <f>IF(MAX(N(cfg_PriorLTIDate),_xlfn.MAXIFS(tblSafety[Date],tblSafety[LTI],"&gt;0",tblSafety[Date],"&lt;="&amp;$A202))=0,"",$A202-MAX(N(cfg_PriorLTIDate),_xlfn.MAXIFS(tblSafety[Date],tblSafety[LTI],"&gt;0",tblSafety[Date],"&lt;="&amp;$A202)))</f>
        <v/>
      </c>
      <c r="HI202" s="55">
        <f>SUMIFS(tblBudget[Ore_Mined_t],tblBudget[Month],$E202)</f>
        <v/>
      </c>
      <c r="HJ202" s="55">
        <f>$HI202*$C202/$D202</f>
        <v/>
      </c>
      <c r="HK202" s="55">
        <f>SUMIFS(tblBudget[Ore_Mined_t],tblBudget[Month],"&lt;"&amp;$E202)+$HJ202</f>
        <v/>
      </c>
      <c r="HL202" s="55">
        <f>SUMIFS(tblBudget[Ore_oz],tblBudget[Month],$E202)</f>
        <v/>
      </c>
      <c r="HM202" s="55">
        <f>$HL202*$C202/$D202</f>
        <v/>
      </c>
      <c r="HN202" s="55">
        <f>SUMIFS(tblBudget[Ore_oz],tblBudget[Month],"&lt;"&amp;$E202)+$HM202</f>
        <v/>
      </c>
      <c r="HO202" s="56">
        <f>IFERROR(IF(($HI202)&gt;0,($HL202*cfg_TroyOz)/($HI202),""),"")</f>
        <v/>
      </c>
      <c r="HP202" s="56">
        <f>IFERROR(IF(($HJ202)&gt;0,($HM202*cfg_TroyOz)/($HJ202),""),"")</f>
        <v/>
      </c>
      <c r="HQ202" s="56">
        <f>IFERROR(IF(($HK202)&gt;0,($HN202*cfg_TroyOz)/($HK202),""),"")</f>
        <v/>
      </c>
      <c r="HR202" s="55">
        <f>SUMIFS(tblBudget[Waste_t],tblBudget[Month],$E202)</f>
        <v/>
      </c>
      <c r="HS202" s="55">
        <f>$HR202*$C202/$D202</f>
        <v/>
      </c>
      <c r="HT202" s="55">
        <f>SUMIFS(tblBudget[Waste_t],tblBudget[Month],"&lt;"&amp;$E202)+$HS202</f>
        <v/>
      </c>
      <c r="HU202" s="55">
        <f>SUMIFS(tblBudget[TMM_t],tblBudget[Month],$E202)</f>
        <v/>
      </c>
      <c r="HV202" s="55">
        <f>$HU202*$C202/$D202</f>
        <v/>
      </c>
      <c r="HW202" s="55">
        <f>SUMIFS(tblBudget[TMM_t],tblBudget[Month],"&lt;"&amp;$E202)+$HV202</f>
        <v/>
      </c>
      <c r="HX202" s="56">
        <f>IFERROR(IF(($HI202)&gt;0,($HR202)/($HI202),""),"")</f>
        <v/>
      </c>
      <c r="HY202" s="56">
        <f>IFERROR(IF(($HJ202)&gt;0,($HS202)/($HJ202),""),"")</f>
        <v/>
      </c>
      <c r="HZ202" s="56">
        <f>IFERROR(IF(($HK202)&gt;0,($HT202)/($HK202),""),"")</f>
        <v/>
      </c>
      <c r="IA202" s="55">
        <f>SUMIFS(tblBudget[Drill_m],tblBudget[Month],$E202)</f>
        <v/>
      </c>
      <c r="IB202" s="55">
        <f>$IA202*$C202/$D202</f>
        <v/>
      </c>
      <c r="IC202" s="55">
        <f>SUMIFS(tblBudget[Drill_m],tblBudget[Month],"&lt;"&amp;$E202)+$IB202</f>
        <v/>
      </c>
      <c r="ID202" s="55">
        <f>SUMIFS(tblBudget[Diesel_L],tblBudget[Month],$E202)</f>
        <v/>
      </c>
      <c r="IE202" s="55">
        <f>$ID202*$C202/$D202</f>
        <v/>
      </c>
      <c r="IF202" s="55">
        <f>SUMIFS(tblBudget[Diesel_L],tblBudget[Month],"&lt;"&amp;$E202)+$IE202</f>
        <v/>
      </c>
      <c r="IG202" s="55">
        <f>SUMIFS(tblBudget[Milled_t],tblBudget[Month],$E202)</f>
        <v/>
      </c>
      <c r="IH202" s="55">
        <f>$IG202*$C202/$D202</f>
        <v/>
      </c>
      <c r="II202" s="55">
        <f>SUMIFS(tblBudget[Milled_t],tblBudget[Month],"&lt;"&amp;$E202)+$IH202</f>
        <v/>
      </c>
      <c r="IJ202" s="55">
        <f>SUMIFS(tblBudget[Feed_oz],tblBudget[Month],$E202)</f>
        <v/>
      </c>
      <c r="IK202" s="55">
        <f>$IJ202*$C202/$D202</f>
        <v/>
      </c>
      <c r="IL202" s="55">
        <f>SUMIFS(tblBudget[Feed_oz],tblBudget[Month],"&lt;"&amp;$E202)+$IK202</f>
        <v/>
      </c>
      <c r="IM202" s="55">
        <f>SUMIFS(tblBudget[Recovered_oz],tblBudget[Month],$E202)</f>
        <v/>
      </c>
      <c r="IN202" s="55">
        <f>$IM202*$C202/$D202</f>
        <v/>
      </c>
      <c r="IO202" s="55">
        <f>SUMIFS(tblBudget[Recovered_oz],tblBudget[Month],"&lt;"&amp;$E202)+$IN202</f>
        <v/>
      </c>
      <c r="IP202" s="56">
        <f>IFERROR(IF(($IG202)&gt;0,($IJ202*cfg_TroyOz)/($IG202),""),"")</f>
        <v/>
      </c>
      <c r="IQ202" s="56">
        <f>IFERROR(IF(($IH202)&gt;0,($IK202*cfg_TroyOz)/($IH202),""),"")</f>
        <v/>
      </c>
      <c r="IR202" s="56">
        <f>IFERROR(IF(($II202)&gt;0,($IL202*cfg_TroyOz)/($II202),""),"")</f>
        <v/>
      </c>
      <c r="IS202" s="67">
        <f>IFERROR(IF(($IJ202)&gt;0,($IM202)/($IJ202),""),"")</f>
        <v/>
      </c>
      <c r="IT202" s="67">
        <f>IFERROR(IF(($IK202)&gt;0,($IN202)/($IK202),""),"")</f>
        <v/>
      </c>
      <c r="IU202" s="67">
        <f>IFERROR(IF(($IL202)&gt;0,($IO202)/($IL202),""),"")</f>
        <v/>
      </c>
      <c r="IV202" s="55">
        <f>SUMIFS(tblBudget[Gold_Poured_oz],tblBudget[Month],$E202)</f>
        <v/>
      </c>
      <c r="IW202" s="55">
        <f>$IV202*$C202/$D202</f>
        <v/>
      </c>
      <c r="IX202" s="55">
        <f>SUMIFS(tblBudget[Gold_Poured_oz],tblBudget[Month],"&lt;"&amp;$E202)+$IW202</f>
        <v/>
      </c>
      <c r="IY202" s="57">
        <f>SUMIFS(tblBudget[Hours_Worked],tblBudget[Month],$E202)</f>
        <v/>
      </c>
      <c r="IZ202" s="57">
        <f>$IY202*$C202/$D202</f>
        <v/>
      </c>
      <c r="JA202" s="57">
        <f>SUMIFS(tblBudget[Hours_Worked],tblBudget[Month],"&lt;"&amp;$E202)+$IZ202</f>
        <v/>
      </c>
    </row>
    <row r="203">
      <c r="A203" s="54" t="n">
        <v>46224</v>
      </c>
      <c r="B203">
        <f>MONTH($A203)</f>
        <v/>
      </c>
      <c r="C203">
        <f>DAY($A203)</f>
        <v/>
      </c>
      <c r="D203">
        <f>DAY(EOMONTH($A203,0))</f>
        <v/>
      </c>
      <c r="E203" s="54">
        <f>DATE(YEAR($A203),MONTH($A203),1)</f>
        <v/>
      </c>
      <c r="F203" s="55">
        <f>SUMIFS(tblMovement[Tonnes_t],tblMovement[Date],$A203,tblMovement[Is_Ore],1,tblMovement[Source_Type],"Pit")</f>
        <v/>
      </c>
      <c r="G203" s="55">
        <f>IF($B203=$B202,$G202,0)+$F203</f>
        <v/>
      </c>
      <c r="H203" s="55">
        <f>$H202+$F203</f>
        <v/>
      </c>
      <c r="I203" s="55">
        <f>SUMIFS(tblMovement[Ore_oz],tblMovement[Date],$A203,tblMovement[Source_Type],"Pit")</f>
        <v/>
      </c>
      <c r="J203" s="55">
        <f>IF($B203=$B202,$J202,0)+$I203</f>
        <v/>
      </c>
      <c r="K203" s="55">
        <f>$K202+$I203</f>
        <v/>
      </c>
      <c r="L203" s="56">
        <f>IFERROR(IF(($F203)&gt;0,($I203*cfg_TroyOz)/($F203),""),"")</f>
        <v/>
      </c>
      <c r="M203" s="56">
        <f>IFERROR(IF(($G203)&gt;0,($J203*cfg_TroyOz)/($G203),""),"")</f>
        <v/>
      </c>
      <c r="N203" s="56">
        <f>IFERROR(IF(($H203)&gt;0,($K203*cfg_TroyOz)/($H203),""),"")</f>
        <v/>
      </c>
      <c r="O203" s="55">
        <f>SUMIFS(tblMovement[Tonnes_t],tblMovement[Date],$A203,tblMovement[Is_Ore],0,tblMovement[Source_Type],"Pit")</f>
        <v/>
      </c>
      <c r="P203" s="55">
        <f>IF($B203=$B202,$P202,0)+$O203</f>
        <v/>
      </c>
      <c r="Q203" s="55">
        <f>$Q202+$O203</f>
        <v/>
      </c>
      <c r="R203" s="55">
        <f>$F203+$O203</f>
        <v/>
      </c>
      <c r="S203" s="55">
        <f>IF($B203=$B202,$S202,0)+$R203</f>
        <v/>
      </c>
      <c r="T203" s="55">
        <f>$T202+$R203</f>
        <v/>
      </c>
      <c r="U203" s="56">
        <f>IFERROR(IF(($F203)&gt;0,($O203)/($F203),""),"")</f>
        <v/>
      </c>
      <c r="V203" s="56">
        <f>IFERROR(IF(($G203)&gt;0,($P203)/($G203),""),"")</f>
        <v/>
      </c>
      <c r="W203" s="56">
        <f>IFERROR(IF(($H203)&gt;0,($Q203)/($H203),""),"")</f>
        <v/>
      </c>
      <c r="X203" s="55">
        <f>SUMIFS(tblMovement[Tonnes_t],tblMovement[Date],$A203,tblMovement[Source_Type],"Stockpile")</f>
        <v/>
      </c>
      <c r="Y203" s="55">
        <f>IF($B203=$B202,$Y202,0)+$X203</f>
        <v/>
      </c>
      <c r="Z203" s="55">
        <f>$Z202+$X203</f>
        <v/>
      </c>
      <c r="AA203" s="55">
        <f>SUMIFS(tblMiningDaily[Drill_m],tblMiningDaily[Date],$A203)</f>
        <v/>
      </c>
      <c r="AB203" s="55">
        <f>IF($B203=$B202,$AB202,0)+$AA203</f>
        <v/>
      </c>
      <c r="AC203" s="55">
        <f>$AC202+$AA203</f>
        <v/>
      </c>
      <c r="AD203" s="55">
        <f>SUMIFS(tblMiningDaily[Blast_t],tblMiningDaily[Date],$A203)</f>
        <v/>
      </c>
      <c r="AE203" s="55">
        <f>IF($B203=$B202,$AE202,0)+$AD203</f>
        <v/>
      </c>
      <c r="AF203" s="55">
        <f>$AF202+$AD203</f>
        <v/>
      </c>
      <c r="AG203" s="55">
        <f>SUMIFS(tblMiningDaily[Explosives_kg],tblMiningDaily[Date],$A203)</f>
        <v/>
      </c>
      <c r="AH203" s="55">
        <f>IF($B203=$B202,$AH202,0)+$AG203</f>
        <v/>
      </c>
      <c r="AI203" s="55">
        <f>$AI202+$AG203</f>
        <v/>
      </c>
      <c r="AJ203" s="56">
        <f>IFERROR(IF(($AD203)&gt;0,($AG203)/($AD203),""),"")</f>
        <v/>
      </c>
      <c r="AK203" s="56">
        <f>IFERROR(IF(($AE203)&gt;0,($AH203)/($AE203),""),"")</f>
        <v/>
      </c>
      <c r="AL203" s="56">
        <f>IFERROR(IF(($AF203)&gt;0,($AI203)/($AF203),""),"")</f>
        <v/>
      </c>
      <c r="AM203" s="55">
        <f>SUMIFS(tblMiningDaily[Diesel_L],tblMiningDaily[Date],$A203)</f>
        <v/>
      </c>
      <c r="AN203" s="55">
        <f>IF($B203=$B202,$AN202,0)+$AM203</f>
        <v/>
      </c>
      <c r="AO203" s="55">
        <f>$AO202+$AM203</f>
        <v/>
      </c>
      <c r="AP203" s="55">
        <f>SUMIFS(tblMiningDaily[Dewatering_m3],tblMiningDaily[Date],$A203)</f>
        <v/>
      </c>
      <c r="AQ203" s="55">
        <f>IF($B203=$B202,$AQ202,0)+$AP203</f>
        <v/>
      </c>
      <c r="AR203" s="55">
        <f>$AR202+$AP203</f>
        <v/>
      </c>
      <c r="AS203" s="57">
        <f>SUMIFS(tblFleet[Calendar_h],tblFleet[Date],$A203,tblFleet[Equipment_Class],"Excavator")</f>
        <v/>
      </c>
      <c r="AT203" s="57">
        <f>IF($B203=$B202,$AT202,0)+$AS203</f>
        <v/>
      </c>
      <c r="AU203" s="57">
        <f>$AU202+$AS203</f>
        <v/>
      </c>
      <c r="AV203" s="57">
        <f>SUMIFS(tblFleet[Available_h],tblFleet[Date],$A203,tblFleet[Equipment_Class],"Excavator")</f>
        <v/>
      </c>
      <c r="AW203" s="57">
        <f>IF($B203=$B202,$AW202,0)+$AV203</f>
        <v/>
      </c>
      <c r="AX203" s="57">
        <f>$AX202+$AV203</f>
        <v/>
      </c>
      <c r="AY203" s="57">
        <f>SUMIFS(tblFleet[Operating_h],tblFleet[Date],$A203,tblFleet[Equipment_Class],"Excavator")</f>
        <v/>
      </c>
      <c r="AZ203" s="57">
        <f>IF($B203=$B202,$AZ202,0)+$AY203</f>
        <v/>
      </c>
      <c r="BA203" s="57">
        <f>$BA202+$AY203</f>
        <v/>
      </c>
      <c r="BB203" s="67">
        <f>IFERROR(IF(($AS203)&gt;0,($AV203)/($AS203),""),"")</f>
        <v/>
      </c>
      <c r="BC203" s="67">
        <f>IFERROR(IF(($AT203)&gt;0,($AW203)/($AT203),""),"")</f>
        <v/>
      </c>
      <c r="BD203" s="67">
        <f>IFERROR(IF(($AU203)&gt;0,($AX203)/($AU203),""),"")</f>
        <v/>
      </c>
      <c r="BE203" s="67">
        <f>IFERROR(IF(($AV203)&gt;0,($AY203)/($AV203),""),"")</f>
        <v/>
      </c>
      <c r="BF203" s="67">
        <f>IFERROR(IF(($AW203)&gt;0,($AZ203)/($AW203),""),"")</f>
        <v/>
      </c>
      <c r="BG203" s="67">
        <f>IFERROR(IF(($AX203)&gt;0,($BA203)/($AX203),""),"")</f>
        <v/>
      </c>
      <c r="BH203" s="57">
        <f>SUMIFS(tblFleet[Calendar_h],tblFleet[Date],$A203,tblFleet[Equipment_Class],"Haul Truck")</f>
        <v/>
      </c>
      <c r="BI203" s="57">
        <f>IF($B203=$B202,$BI202,0)+$BH203</f>
        <v/>
      </c>
      <c r="BJ203" s="57">
        <f>$BJ202+$BH203</f>
        <v/>
      </c>
      <c r="BK203" s="57">
        <f>SUMIFS(tblFleet[Available_h],tblFleet[Date],$A203,tblFleet[Equipment_Class],"Haul Truck")</f>
        <v/>
      </c>
      <c r="BL203" s="57">
        <f>IF($B203=$B202,$BL202,0)+$BK203</f>
        <v/>
      </c>
      <c r="BM203" s="57">
        <f>$BM202+$BK203</f>
        <v/>
      </c>
      <c r="BN203" s="57">
        <f>SUMIFS(tblFleet[Operating_h],tblFleet[Date],$A203,tblFleet[Equipment_Class],"Haul Truck")</f>
        <v/>
      </c>
      <c r="BO203" s="57">
        <f>IF($B203=$B202,$BO202,0)+$BN203</f>
        <v/>
      </c>
      <c r="BP203" s="57">
        <f>$BP202+$BN203</f>
        <v/>
      </c>
      <c r="BQ203" s="67">
        <f>IFERROR(IF(($BH203)&gt;0,($BK203)/($BH203),""),"")</f>
        <v/>
      </c>
      <c r="BR203" s="67">
        <f>IFERROR(IF(($BI203)&gt;0,($BL203)/($BI203),""),"")</f>
        <v/>
      </c>
      <c r="BS203" s="67">
        <f>IFERROR(IF(($BJ203)&gt;0,($BM203)/($BJ203),""),"")</f>
        <v/>
      </c>
      <c r="BT203" s="67">
        <f>IFERROR(IF(($BK203)&gt;0,($BN203)/($BK203),""),"")</f>
        <v/>
      </c>
      <c r="BU203" s="67">
        <f>IFERROR(IF(($BL203)&gt;0,($BO203)/($BL203),""),"")</f>
        <v/>
      </c>
      <c r="BV203" s="67">
        <f>IFERROR(IF(($BM203)&gt;0,($BP203)/($BM203),""),"")</f>
        <v/>
      </c>
      <c r="BW203" s="55">
        <f>SUMIFS(tblPlant[Crushed_t],tblPlant[Date],$A203)</f>
        <v/>
      </c>
      <c r="BX203" s="55">
        <f>IF($B203=$B202,$BX202,0)+$BW203</f>
        <v/>
      </c>
      <c r="BY203" s="55">
        <f>$BY202+$BW203</f>
        <v/>
      </c>
      <c r="BZ203" s="55">
        <f>SUMIFS(tblPlant[Milled_t],tblPlant[Date],$A203)</f>
        <v/>
      </c>
      <c r="CA203" s="55">
        <f>IF($B203=$B202,$CA202,0)+$BZ203</f>
        <v/>
      </c>
      <c r="CB203" s="55">
        <f>$CB202+$BZ203</f>
        <v/>
      </c>
      <c r="CC203" s="55">
        <f>SUMIFS(tblPlant[Feed_oz],tblPlant[Date],$A203)</f>
        <v/>
      </c>
      <c r="CD203" s="55">
        <f>IF($B203=$B202,$CD202,0)+$CC203</f>
        <v/>
      </c>
      <c r="CE203" s="55">
        <f>$CE202+$CC203</f>
        <v/>
      </c>
      <c r="CF203" s="55">
        <f>SUMIFS(tblPlant[Tails_oz],tblPlant[Date],$A203)</f>
        <v/>
      </c>
      <c r="CG203" s="55">
        <f>IF($B203=$B202,$CG202,0)+$CF203</f>
        <v/>
      </c>
      <c r="CH203" s="55">
        <f>$CH202+$CF203</f>
        <v/>
      </c>
      <c r="CI203" s="55">
        <f>SUMIFS(tblPlant[Recovered_oz],tblPlant[Date],$A203)</f>
        <v/>
      </c>
      <c r="CJ203" s="55">
        <f>IF($B203=$B202,$CJ202,0)+$CI203</f>
        <v/>
      </c>
      <c r="CK203" s="55">
        <f>$CK202+$CI203</f>
        <v/>
      </c>
      <c r="CL203" s="56">
        <f>IFERROR(IF(($BZ203)&gt;0,($CC203*cfg_TroyOz)/($BZ203),""),"")</f>
        <v/>
      </c>
      <c r="CM203" s="56">
        <f>IFERROR(IF(($CA203)&gt;0,($CD203*cfg_TroyOz)/($CA203),""),"")</f>
        <v/>
      </c>
      <c r="CN203" s="56">
        <f>IFERROR(IF(($CB203)&gt;0,($CE203*cfg_TroyOz)/($CB203),""),"")</f>
        <v/>
      </c>
      <c r="CO203" s="56">
        <f>IFERROR(IF(($BZ203)&gt;0,($CF203*cfg_TroyOz)/($BZ203),""),"")</f>
        <v/>
      </c>
      <c r="CP203" s="56">
        <f>IFERROR(IF(($CA203)&gt;0,($CG203*cfg_TroyOz)/($CA203),""),"")</f>
        <v/>
      </c>
      <c r="CQ203" s="56">
        <f>IFERROR(IF(($CB203)&gt;0,($CH203*cfg_TroyOz)/($CB203),""),"")</f>
        <v/>
      </c>
      <c r="CR203" s="67">
        <f>IFERROR(IF(($CC203)&gt;0,($CI203)/($CC203),""),"")</f>
        <v/>
      </c>
      <c r="CS203" s="67">
        <f>IFERROR(IF(($CD203)&gt;0,($CJ203)/($CD203),""),"")</f>
        <v/>
      </c>
      <c r="CT203" s="67">
        <f>IFERROR(IF(($CE203)&gt;0,($CK203)/($CE203),""),"")</f>
        <v/>
      </c>
      <c r="CU203" s="55">
        <f>SUMIFS(tblPlant[Gravity_Gold_oz],tblPlant[Date],$A203)</f>
        <v/>
      </c>
      <c r="CV203" s="55">
        <f>IF($B203=$B202,$CV202,0)+$CU203</f>
        <v/>
      </c>
      <c r="CW203" s="55">
        <f>$CW202+$CU203</f>
        <v/>
      </c>
      <c r="CX203" s="55">
        <f>SUMIFS(tblPlant[Gold_Poured_oz],tblPlant[Date],$A203)</f>
        <v/>
      </c>
      <c r="CY203" s="55">
        <f>IF($B203=$B202,$CY202,0)+$CX203</f>
        <v/>
      </c>
      <c r="CZ203" s="55">
        <f>$CZ202+$CX203</f>
        <v/>
      </c>
      <c r="DA203" s="57">
        <f>SUMIFS(tblPlant[Mill_Run_h],tblPlant[Date],$A203)</f>
        <v/>
      </c>
      <c r="DB203" s="57">
        <f>IF($B203=$B202,$DB202,0)+$DA203</f>
        <v/>
      </c>
      <c r="DC203" s="57">
        <f>$DC202+$DA203</f>
        <v/>
      </c>
      <c r="DD203" s="57">
        <f>SUMIFS(tblPlant[Mill_Planned_Maint_h],tblPlant[Date],$A203)</f>
        <v/>
      </c>
      <c r="DE203" s="57">
        <f>IF($B203=$B202,$DE202,0)+$DD203</f>
        <v/>
      </c>
      <c r="DF203" s="57">
        <f>$DF202+$DD203</f>
        <v/>
      </c>
      <c r="DG203" s="57">
        <f>SUMIFS(tblPlant[Mill_Unplanned_Down_h],tblPlant[Date],$A203)</f>
        <v/>
      </c>
      <c r="DH203" s="57">
        <f>IF($B203=$B202,$DH202,0)+$DG203</f>
        <v/>
      </c>
      <c r="DI203" s="57">
        <f>$DI202+$DG203</f>
        <v/>
      </c>
      <c r="DJ203" s="57">
        <f>COUNTIFS(tblPlant[Date],$A203,tblPlant[Mill_Run_h],"&lt;&gt;")*24</f>
        <v/>
      </c>
      <c r="DK203" s="57">
        <f>IF($B203=$B202,$DK202,0)+$DJ203</f>
        <v/>
      </c>
      <c r="DL203" s="57">
        <f>$DL202+$DJ203</f>
        <v/>
      </c>
      <c r="DM203" s="57">
        <f>SUMIFS(tblPlant[Crusher_Run_h],tblPlant[Date],$A203)</f>
        <v/>
      </c>
      <c r="DN203" s="57">
        <f>IF($B203=$B202,$DN202,0)+$DM203</f>
        <v/>
      </c>
      <c r="DO203" s="57">
        <f>$DO202+$DM203</f>
        <v/>
      </c>
      <c r="DP203" s="55">
        <f>IFERROR(IF(($DA203)&gt;0,($BZ203)/($DA203),""),"")</f>
        <v/>
      </c>
      <c r="DQ203" s="55">
        <f>IFERROR(IF(($DB203)&gt;0,($CA203)/($DB203),""),"")</f>
        <v/>
      </c>
      <c r="DR203" s="55">
        <f>IFERROR(IF(($DC203)&gt;0,($CB203)/($DC203),""),"")</f>
        <v/>
      </c>
      <c r="DS203" s="67">
        <f>IFERROR(IF(($DJ203)&gt;0,($DJ203-$DD203-$DG203)/($DJ203),""),"")</f>
        <v/>
      </c>
      <c r="DT203" s="67">
        <f>IFERROR(IF(($DK203)&gt;0,($DK203-$DE203-$DH203)/($DK203),""),"")</f>
        <v/>
      </c>
      <c r="DU203" s="67">
        <f>IFERROR(IF(($DL203)&gt;0,($DL203-$DF203-$DI203)/($DL203),""),"")</f>
        <v/>
      </c>
      <c r="DV203" s="67">
        <f>IFERROR(IF(($DJ203-$DD203-$DG203)&gt;0,($DA203)/($DJ203-$DD203-$DG203),""),"")</f>
        <v/>
      </c>
      <c r="DW203" s="67">
        <f>IFERROR(IF(($DK203-$DE203-$DH203)&gt;0,($DB203)/($DK203-$DE203-$DH203),""),"")</f>
        <v/>
      </c>
      <c r="DX203" s="67">
        <f>IFERROR(IF(($DL203-$DF203-$DI203)&gt;0,($DC203)/($DL203-$DF203-$DI203),""),"")</f>
        <v/>
      </c>
      <c r="DY203" s="55">
        <f>SUMIFS(tblPlant[Cyanide_kg],tblPlant[Date],$A203)</f>
        <v/>
      </c>
      <c r="DZ203" s="55">
        <f>IF($B203=$B202,$DZ202,0)+$DY203</f>
        <v/>
      </c>
      <c r="EA203" s="55">
        <f>$EA202+$DY203</f>
        <v/>
      </c>
      <c r="EB203" s="55">
        <f>SUMIFS(tblPlant[Lime_kg],tblPlant[Date],$A203)</f>
        <v/>
      </c>
      <c r="EC203" s="55">
        <f>IF($B203=$B202,$EC202,0)+$EB203</f>
        <v/>
      </c>
      <c r="ED203" s="55">
        <f>$ED202+$EB203</f>
        <v/>
      </c>
      <c r="EE203" s="55">
        <f>SUMIFS(tblPlant[Grinding_Media_kg],tblPlant[Date],$A203)</f>
        <v/>
      </c>
      <c r="EF203" s="55">
        <f>IF($B203=$B202,$EF202,0)+$EE203</f>
        <v/>
      </c>
      <c r="EG203" s="55">
        <f>$EG202+$EE203</f>
        <v/>
      </c>
      <c r="EH203" s="55">
        <f>SUMIFS(tblPlant[Power_kWh],tblPlant[Date],$A203)</f>
        <v/>
      </c>
      <c r="EI203" s="55">
        <f>IF($B203=$B202,$EI202,0)+$EH203</f>
        <v/>
      </c>
      <c r="EJ203" s="55">
        <f>$EJ202+$EH203</f>
        <v/>
      </c>
      <c r="EK203" s="55">
        <f>SUMIFS(tblPlant[Raw_Water_m3],tblPlant[Date],$A203)</f>
        <v/>
      </c>
      <c r="EL203" s="55">
        <f>IF($B203=$B202,$EL202,0)+$EK203</f>
        <v/>
      </c>
      <c r="EM203" s="55">
        <f>$EM202+$EK203</f>
        <v/>
      </c>
      <c r="EN203" s="56">
        <f>IFERROR(IF(($BZ203)&gt;0,($DY203)/($BZ203),""),"")</f>
        <v/>
      </c>
      <c r="EO203" s="56">
        <f>IFERROR(IF(($CA203)&gt;0,($DZ203)/($CA203),""),"")</f>
        <v/>
      </c>
      <c r="EP203" s="56">
        <f>IFERROR(IF(($CB203)&gt;0,($EA203)/($CB203),""),"")</f>
        <v/>
      </c>
      <c r="EQ203" s="56">
        <f>IFERROR(IF(($BZ203)&gt;0,($EB203)/($BZ203),""),"")</f>
        <v/>
      </c>
      <c r="ER203" s="56">
        <f>IFERROR(IF(($CA203)&gt;0,($EC203)/($CA203),""),"")</f>
        <v/>
      </c>
      <c r="ES203" s="56">
        <f>IFERROR(IF(($CB203)&gt;0,($ED203)/($CB203),""),"")</f>
        <v/>
      </c>
      <c r="ET203" s="56">
        <f>IFERROR(IF(($BZ203)&gt;0,($EE203)/($BZ203),""),"")</f>
        <v/>
      </c>
      <c r="EU203" s="56">
        <f>IFERROR(IF(($CA203)&gt;0,($EF203)/($CA203),""),"")</f>
        <v/>
      </c>
      <c r="EV203" s="56">
        <f>IFERROR(IF(($CB203)&gt;0,($EG203)/($CB203),""),"")</f>
        <v/>
      </c>
      <c r="EW203" s="76">
        <f>IFERROR(IF(($BZ203)&gt;0,($EH203)/($BZ203),""),"")</f>
        <v/>
      </c>
      <c r="EX203" s="76">
        <f>IFERROR(IF(($CA203)&gt;0,($EI203)/($CA203),""),"")</f>
        <v/>
      </c>
      <c r="EY203" s="76">
        <f>IFERROR(IF(($CB203)&gt;0,($EJ203)/($CB203),""),"")</f>
        <v/>
      </c>
      <c r="EZ203" s="56">
        <f>IFERROR(IF(($BZ203)&gt;0,($EK203)/($BZ203),""),"")</f>
        <v/>
      </c>
      <c r="FA203" s="56">
        <f>IFERROR(IF(($CA203)&gt;0,($EL203)/($CA203),""),"")</f>
        <v/>
      </c>
      <c r="FB203" s="56">
        <f>IFERROR(IF(($CB203)&gt;0,($EM203)/($CB203),""),"")</f>
        <v/>
      </c>
      <c r="FC203" s="55">
        <f>IF(SUMIFS(tblPlant[GIC_oz],tblPlant[Date],$A203)&gt;0,SUMIFS(tblPlant[GIC_oz],tblPlant[Date],$A203),"")</f>
        <v/>
      </c>
      <c r="FD203" s="55">
        <f>SUMIFS(tblGold[Gold_oz],tblGold[Date],$A203,tblGold[Type],"Shipment")</f>
        <v/>
      </c>
      <c r="FE203" s="55">
        <f>IF($B203=$B202,$FE202,0)+$FD203</f>
        <v/>
      </c>
      <c r="FF203" s="55">
        <f>$FF202+$FD203</f>
        <v/>
      </c>
      <c r="FG203" s="55">
        <f>SUMIFS(tblGold[Gold_oz],tblGold[Date],$A203,tblGold[Type],"Sale")</f>
        <v/>
      </c>
      <c r="FH203" s="55">
        <f>IF($B203=$B202,$FH202,0)+$FG203</f>
        <v/>
      </c>
      <c r="FI203" s="55">
        <f>$FI202+$FG203</f>
        <v/>
      </c>
      <c r="FJ203" s="55">
        <f>SUMIFS(tblGold[Dore_kg],tblGold[Date],$A203,tblGold[Type],"Shipment")</f>
        <v/>
      </c>
      <c r="FK203" s="55">
        <f>IF($B203=$B202,$FK202,0)+$FJ203</f>
        <v/>
      </c>
      <c r="FL203" s="55">
        <f>$FL202+$FJ203</f>
        <v/>
      </c>
      <c r="FM203" s="57">
        <f>SUMIFS(tblSafety[Hours_Total],tblSafety[Date],$A203)</f>
        <v/>
      </c>
      <c r="FN203" s="57">
        <f>IF($B203=$B202,$FN202,0)+$FM203</f>
        <v/>
      </c>
      <c r="FO203" s="57">
        <f>$FO202+$FM203</f>
        <v/>
      </c>
      <c r="FP203" s="62">
        <f>SUMIFS(tblSafety[Fatality],tblSafety[Date],$A203)</f>
        <v/>
      </c>
      <c r="FQ203" s="62">
        <f>IF($B203=$B202,$FQ202,0)+$FP203</f>
        <v/>
      </c>
      <c r="FR203" s="62">
        <f>$FR202+$FP203</f>
        <v/>
      </c>
      <c r="FS203" s="62">
        <f>SUMIFS(tblSafety[LTI],tblSafety[Date],$A203)</f>
        <v/>
      </c>
      <c r="FT203" s="62">
        <f>IF($B203=$B202,$FT202,0)+$FS203</f>
        <v/>
      </c>
      <c r="FU203" s="62">
        <f>$FU202+$FS203</f>
        <v/>
      </c>
      <c r="FV203" s="62">
        <f>SUMIFS(tblSafety[RWI],tblSafety[Date],$A203)</f>
        <v/>
      </c>
      <c r="FW203" s="62">
        <f>IF($B203=$B202,$FW202,0)+$FV203</f>
        <v/>
      </c>
      <c r="FX203" s="62">
        <f>$FX202+$FV203</f>
        <v/>
      </c>
      <c r="FY203" s="62">
        <f>SUMIFS(tblSafety[MTI],tblSafety[Date],$A203)</f>
        <v/>
      </c>
      <c r="FZ203" s="62">
        <f>IF($B203=$B202,$FZ202,0)+$FY203</f>
        <v/>
      </c>
      <c r="GA203" s="62">
        <f>$GA202+$FY203</f>
        <v/>
      </c>
      <c r="GB203" s="62">
        <f>SUMIFS(tblSafety[FAI],tblSafety[Date],$A203)</f>
        <v/>
      </c>
      <c r="GC203" s="62">
        <f>IF($B203=$B202,$GC202,0)+$GB203</f>
        <v/>
      </c>
      <c r="GD203" s="62">
        <f>$GD202+$GB203</f>
        <v/>
      </c>
      <c r="GE203" s="62">
        <f>SUMIFS(tblSafety[Recordables],tblSafety[Date],$A203)</f>
        <v/>
      </c>
      <c r="GF203" s="62">
        <f>IF($B203=$B202,$GF202,0)+$GE203</f>
        <v/>
      </c>
      <c r="GG203" s="62">
        <f>$GG202+$GE203</f>
        <v/>
      </c>
      <c r="GH203" s="62">
        <f>SUMIFS(tblSafety[Near_Miss],tblSafety[Date],$A203)</f>
        <v/>
      </c>
      <c r="GI203" s="62">
        <f>IF($B203=$B202,$GI202,0)+$GH203</f>
        <v/>
      </c>
      <c r="GJ203" s="62">
        <f>$GJ202+$GH203</f>
        <v/>
      </c>
      <c r="GK203" s="62">
        <f>SUMIFS(tblSafety[Hazard_Reports],tblSafety[Date],$A203)</f>
        <v/>
      </c>
      <c r="GL203" s="62">
        <f>IF($B203=$B202,$GL202,0)+$GK203</f>
        <v/>
      </c>
      <c r="GM203" s="62">
        <f>$GM202+$GK203</f>
        <v/>
      </c>
      <c r="GN203" s="62">
        <f>SUMIFS(tblSafety[HPI],tblSafety[Date],$A203)</f>
        <v/>
      </c>
      <c r="GO203" s="62">
        <f>IF($B203=$B202,$GO202,0)+$GN203</f>
        <v/>
      </c>
      <c r="GP203" s="62">
        <f>$GP202+$GN203</f>
        <v/>
      </c>
      <c r="GQ203" s="62">
        <f>SUMIFS(tblSafety[Env_Incidents],tblSafety[Date],$A203)</f>
        <v/>
      </c>
      <c r="GR203" s="62">
        <f>IF($B203=$B202,$GR202,0)+$GQ203</f>
        <v/>
      </c>
      <c r="GS203" s="62">
        <f>$GS202+$GQ203</f>
        <v/>
      </c>
      <c r="GT203" s="62">
        <f>SUMIFS(tblSafety[Community_Incidents],tblSafety[Date],$A203)</f>
        <v/>
      </c>
      <c r="GU203" s="62">
        <f>IF($B203=$B202,$GU202,0)+$GT203</f>
        <v/>
      </c>
      <c r="GV203" s="62">
        <f>$GV202+$GT203</f>
        <v/>
      </c>
      <c r="GW203" s="62">
        <f>SUMIFS(tblSafety[Vehicle_Incidents],tblSafety[Date],$A203)</f>
        <v/>
      </c>
      <c r="GX203" s="62">
        <f>IF($B203=$B202,$GX202,0)+$GW203</f>
        <v/>
      </c>
      <c r="GY203" s="62">
        <f>$GY202+$GW203</f>
        <v/>
      </c>
      <c r="GZ203" s="62">
        <f>SUMIFS(tblSafety[Toolbox_Talks],tblSafety[Date],$A203)</f>
        <v/>
      </c>
      <c r="HA203" s="62">
        <f>IF($B203=$B202,$HA202,0)+$GZ203</f>
        <v/>
      </c>
      <c r="HB203" s="62">
        <f>$HB202+$GZ203</f>
        <v/>
      </c>
      <c r="HC203" s="62">
        <f>SUMIFS(tblSafety[Inspections],tblSafety[Date],$A203)</f>
        <v/>
      </c>
      <c r="HD203" s="62">
        <f>IF($B203=$B202,$HD202,0)+$HC203</f>
        <v/>
      </c>
      <c r="HE203" s="62">
        <f>$HE202+$HC203</f>
        <v/>
      </c>
      <c r="HF203" s="56">
        <f>IFERROR((SUMIFS(tblSafety[Recordables],tblSafety[Date],"&gt;="&amp;EDATE($E203,-12),tblSafety[Date],"&lt;="&amp;$A203)+SUMIFS(tblSafetyHistory[Recordables],tblSafetyHistory[Month],"&gt;="&amp;EDATE($E203,-12),tblSafetyHistory[Month],"&lt;"&amp;cfg_YearStart))/(SUMIFS(tblSafety[Hours_Total],tblSafety[Date],"&gt;="&amp;EDATE($E203,-12),tblSafety[Date],"&lt;="&amp;$A203)+SUMIFS(tblSafetyHistory[Hours_Total],tblSafetyHistory[Month],"&gt;="&amp;EDATE($E203,-12),tblSafetyHistory[Month],"&lt;"&amp;cfg_YearStart))*1000000,"")</f>
        <v/>
      </c>
      <c r="HG203" s="56">
        <f>IFERROR((SUMIFS(tblSafety[LTI],tblSafety[Date],"&gt;="&amp;EDATE($E203,-12),tblSafety[Date],"&lt;="&amp;$A203)+SUMIFS(tblSafetyHistory[LTI],tblSafetyHistory[Month],"&gt;="&amp;EDATE($E203,-12),tblSafetyHistory[Month],"&lt;"&amp;cfg_YearStart))/(SUMIFS(tblSafety[Hours_Total],tblSafety[Date],"&gt;="&amp;EDATE($E203,-12),tblSafety[Date],"&lt;="&amp;$A203)+SUMIFS(tblSafetyHistory[Hours_Total],tblSafetyHistory[Month],"&gt;="&amp;EDATE($E203,-12),tblSafetyHistory[Month],"&lt;"&amp;cfg_YearStart))*1000000,"")</f>
        <v/>
      </c>
      <c r="HH203" s="62">
        <f>IF(MAX(N(cfg_PriorLTIDate),_xlfn.MAXIFS(tblSafety[Date],tblSafety[LTI],"&gt;0",tblSafety[Date],"&lt;="&amp;$A203))=0,"",$A203-MAX(N(cfg_PriorLTIDate),_xlfn.MAXIFS(tblSafety[Date],tblSafety[LTI],"&gt;0",tblSafety[Date],"&lt;="&amp;$A203)))</f>
        <v/>
      </c>
      <c r="HI203" s="55">
        <f>SUMIFS(tblBudget[Ore_Mined_t],tblBudget[Month],$E203)</f>
        <v/>
      </c>
      <c r="HJ203" s="55">
        <f>$HI203*$C203/$D203</f>
        <v/>
      </c>
      <c r="HK203" s="55">
        <f>SUMIFS(tblBudget[Ore_Mined_t],tblBudget[Month],"&lt;"&amp;$E203)+$HJ203</f>
        <v/>
      </c>
      <c r="HL203" s="55">
        <f>SUMIFS(tblBudget[Ore_oz],tblBudget[Month],$E203)</f>
        <v/>
      </c>
      <c r="HM203" s="55">
        <f>$HL203*$C203/$D203</f>
        <v/>
      </c>
      <c r="HN203" s="55">
        <f>SUMIFS(tblBudget[Ore_oz],tblBudget[Month],"&lt;"&amp;$E203)+$HM203</f>
        <v/>
      </c>
      <c r="HO203" s="56">
        <f>IFERROR(IF(($HI203)&gt;0,($HL203*cfg_TroyOz)/($HI203),""),"")</f>
        <v/>
      </c>
      <c r="HP203" s="56">
        <f>IFERROR(IF(($HJ203)&gt;0,($HM203*cfg_TroyOz)/($HJ203),""),"")</f>
        <v/>
      </c>
      <c r="HQ203" s="56">
        <f>IFERROR(IF(($HK203)&gt;0,($HN203*cfg_TroyOz)/($HK203),""),"")</f>
        <v/>
      </c>
      <c r="HR203" s="55">
        <f>SUMIFS(tblBudget[Waste_t],tblBudget[Month],$E203)</f>
        <v/>
      </c>
      <c r="HS203" s="55">
        <f>$HR203*$C203/$D203</f>
        <v/>
      </c>
      <c r="HT203" s="55">
        <f>SUMIFS(tblBudget[Waste_t],tblBudget[Month],"&lt;"&amp;$E203)+$HS203</f>
        <v/>
      </c>
      <c r="HU203" s="55">
        <f>SUMIFS(tblBudget[TMM_t],tblBudget[Month],$E203)</f>
        <v/>
      </c>
      <c r="HV203" s="55">
        <f>$HU203*$C203/$D203</f>
        <v/>
      </c>
      <c r="HW203" s="55">
        <f>SUMIFS(tblBudget[TMM_t],tblBudget[Month],"&lt;"&amp;$E203)+$HV203</f>
        <v/>
      </c>
      <c r="HX203" s="56">
        <f>IFERROR(IF(($HI203)&gt;0,($HR203)/($HI203),""),"")</f>
        <v/>
      </c>
      <c r="HY203" s="56">
        <f>IFERROR(IF(($HJ203)&gt;0,($HS203)/($HJ203),""),"")</f>
        <v/>
      </c>
      <c r="HZ203" s="56">
        <f>IFERROR(IF(($HK203)&gt;0,($HT203)/($HK203),""),"")</f>
        <v/>
      </c>
      <c r="IA203" s="55">
        <f>SUMIFS(tblBudget[Drill_m],tblBudget[Month],$E203)</f>
        <v/>
      </c>
      <c r="IB203" s="55">
        <f>$IA203*$C203/$D203</f>
        <v/>
      </c>
      <c r="IC203" s="55">
        <f>SUMIFS(tblBudget[Drill_m],tblBudget[Month],"&lt;"&amp;$E203)+$IB203</f>
        <v/>
      </c>
      <c r="ID203" s="55">
        <f>SUMIFS(tblBudget[Diesel_L],tblBudget[Month],$E203)</f>
        <v/>
      </c>
      <c r="IE203" s="55">
        <f>$ID203*$C203/$D203</f>
        <v/>
      </c>
      <c r="IF203" s="55">
        <f>SUMIFS(tblBudget[Diesel_L],tblBudget[Month],"&lt;"&amp;$E203)+$IE203</f>
        <v/>
      </c>
      <c r="IG203" s="55">
        <f>SUMIFS(tblBudget[Milled_t],tblBudget[Month],$E203)</f>
        <v/>
      </c>
      <c r="IH203" s="55">
        <f>$IG203*$C203/$D203</f>
        <v/>
      </c>
      <c r="II203" s="55">
        <f>SUMIFS(tblBudget[Milled_t],tblBudget[Month],"&lt;"&amp;$E203)+$IH203</f>
        <v/>
      </c>
      <c r="IJ203" s="55">
        <f>SUMIFS(tblBudget[Feed_oz],tblBudget[Month],$E203)</f>
        <v/>
      </c>
      <c r="IK203" s="55">
        <f>$IJ203*$C203/$D203</f>
        <v/>
      </c>
      <c r="IL203" s="55">
        <f>SUMIFS(tblBudget[Feed_oz],tblBudget[Month],"&lt;"&amp;$E203)+$IK203</f>
        <v/>
      </c>
      <c r="IM203" s="55">
        <f>SUMIFS(tblBudget[Recovered_oz],tblBudget[Month],$E203)</f>
        <v/>
      </c>
      <c r="IN203" s="55">
        <f>$IM203*$C203/$D203</f>
        <v/>
      </c>
      <c r="IO203" s="55">
        <f>SUMIFS(tblBudget[Recovered_oz],tblBudget[Month],"&lt;"&amp;$E203)+$IN203</f>
        <v/>
      </c>
      <c r="IP203" s="56">
        <f>IFERROR(IF(($IG203)&gt;0,($IJ203*cfg_TroyOz)/($IG203),""),"")</f>
        <v/>
      </c>
      <c r="IQ203" s="56">
        <f>IFERROR(IF(($IH203)&gt;0,($IK203*cfg_TroyOz)/($IH203),""),"")</f>
        <v/>
      </c>
      <c r="IR203" s="56">
        <f>IFERROR(IF(($II203)&gt;0,($IL203*cfg_TroyOz)/($II203),""),"")</f>
        <v/>
      </c>
      <c r="IS203" s="67">
        <f>IFERROR(IF(($IJ203)&gt;0,($IM203)/($IJ203),""),"")</f>
        <v/>
      </c>
      <c r="IT203" s="67">
        <f>IFERROR(IF(($IK203)&gt;0,($IN203)/($IK203),""),"")</f>
        <v/>
      </c>
      <c r="IU203" s="67">
        <f>IFERROR(IF(($IL203)&gt;0,($IO203)/($IL203),""),"")</f>
        <v/>
      </c>
      <c r="IV203" s="55">
        <f>SUMIFS(tblBudget[Gold_Poured_oz],tblBudget[Month],$E203)</f>
        <v/>
      </c>
      <c r="IW203" s="55">
        <f>$IV203*$C203/$D203</f>
        <v/>
      </c>
      <c r="IX203" s="55">
        <f>SUMIFS(tblBudget[Gold_Poured_oz],tblBudget[Month],"&lt;"&amp;$E203)+$IW203</f>
        <v/>
      </c>
      <c r="IY203" s="57">
        <f>SUMIFS(tblBudget[Hours_Worked],tblBudget[Month],$E203)</f>
        <v/>
      </c>
      <c r="IZ203" s="57">
        <f>$IY203*$C203/$D203</f>
        <v/>
      </c>
      <c r="JA203" s="57">
        <f>SUMIFS(tblBudget[Hours_Worked],tblBudget[Month],"&lt;"&amp;$E203)+$IZ203</f>
        <v/>
      </c>
    </row>
    <row r="204">
      <c r="A204" s="54" t="n">
        <v>46225</v>
      </c>
      <c r="B204">
        <f>MONTH($A204)</f>
        <v/>
      </c>
      <c r="C204">
        <f>DAY($A204)</f>
        <v/>
      </c>
      <c r="D204">
        <f>DAY(EOMONTH($A204,0))</f>
        <v/>
      </c>
      <c r="E204" s="54">
        <f>DATE(YEAR($A204),MONTH($A204),1)</f>
        <v/>
      </c>
      <c r="F204" s="55">
        <f>SUMIFS(tblMovement[Tonnes_t],tblMovement[Date],$A204,tblMovement[Is_Ore],1,tblMovement[Source_Type],"Pit")</f>
        <v/>
      </c>
      <c r="G204" s="55">
        <f>IF($B204=$B203,$G203,0)+$F204</f>
        <v/>
      </c>
      <c r="H204" s="55">
        <f>$H203+$F204</f>
        <v/>
      </c>
      <c r="I204" s="55">
        <f>SUMIFS(tblMovement[Ore_oz],tblMovement[Date],$A204,tblMovement[Source_Type],"Pit")</f>
        <v/>
      </c>
      <c r="J204" s="55">
        <f>IF($B204=$B203,$J203,0)+$I204</f>
        <v/>
      </c>
      <c r="K204" s="55">
        <f>$K203+$I204</f>
        <v/>
      </c>
      <c r="L204" s="56">
        <f>IFERROR(IF(($F204)&gt;0,($I204*cfg_TroyOz)/($F204),""),"")</f>
        <v/>
      </c>
      <c r="M204" s="56">
        <f>IFERROR(IF(($G204)&gt;0,($J204*cfg_TroyOz)/($G204),""),"")</f>
        <v/>
      </c>
      <c r="N204" s="56">
        <f>IFERROR(IF(($H204)&gt;0,($K204*cfg_TroyOz)/($H204),""),"")</f>
        <v/>
      </c>
      <c r="O204" s="55">
        <f>SUMIFS(tblMovement[Tonnes_t],tblMovement[Date],$A204,tblMovement[Is_Ore],0,tblMovement[Source_Type],"Pit")</f>
        <v/>
      </c>
      <c r="P204" s="55">
        <f>IF($B204=$B203,$P203,0)+$O204</f>
        <v/>
      </c>
      <c r="Q204" s="55">
        <f>$Q203+$O204</f>
        <v/>
      </c>
      <c r="R204" s="55">
        <f>$F204+$O204</f>
        <v/>
      </c>
      <c r="S204" s="55">
        <f>IF($B204=$B203,$S203,0)+$R204</f>
        <v/>
      </c>
      <c r="T204" s="55">
        <f>$T203+$R204</f>
        <v/>
      </c>
      <c r="U204" s="56">
        <f>IFERROR(IF(($F204)&gt;0,($O204)/($F204),""),"")</f>
        <v/>
      </c>
      <c r="V204" s="56">
        <f>IFERROR(IF(($G204)&gt;0,($P204)/($G204),""),"")</f>
        <v/>
      </c>
      <c r="W204" s="56">
        <f>IFERROR(IF(($H204)&gt;0,($Q204)/($H204),""),"")</f>
        <v/>
      </c>
      <c r="X204" s="55">
        <f>SUMIFS(tblMovement[Tonnes_t],tblMovement[Date],$A204,tblMovement[Source_Type],"Stockpile")</f>
        <v/>
      </c>
      <c r="Y204" s="55">
        <f>IF($B204=$B203,$Y203,0)+$X204</f>
        <v/>
      </c>
      <c r="Z204" s="55">
        <f>$Z203+$X204</f>
        <v/>
      </c>
      <c r="AA204" s="55">
        <f>SUMIFS(tblMiningDaily[Drill_m],tblMiningDaily[Date],$A204)</f>
        <v/>
      </c>
      <c r="AB204" s="55">
        <f>IF($B204=$B203,$AB203,0)+$AA204</f>
        <v/>
      </c>
      <c r="AC204" s="55">
        <f>$AC203+$AA204</f>
        <v/>
      </c>
      <c r="AD204" s="55">
        <f>SUMIFS(tblMiningDaily[Blast_t],tblMiningDaily[Date],$A204)</f>
        <v/>
      </c>
      <c r="AE204" s="55">
        <f>IF($B204=$B203,$AE203,0)+$AD204</f>
        <v/>
      </c>
      <c r="AF204" s="55">
        <f>$AF203+$AD204</f>
        <v/>
      </c>
      <c r="AG204" s="55">
        <f>SUMIFS(tblMiningDaily[Explosives_kg],tblMiningDaily[Date],$A204)</f>
        <v/>
      </c>
      <c r="AH204" s="55">
        <f>IF($B204=$B203,$AH203,0)+$AG204</f>
        <v/>
      </c>
      <c r="AI204" s="55">
        <f>$AI203+$AG204</f>
        <v/>
      </c>
      <c r="AJ204" s="56">
        <f>IFERROR(IF(($AD204)&gt;0,($AG204)/($AD204),""),"")</f>
        <v/>
      </c>
      <c r="AK204" s="56">
        <f>IFERROR(IF(($AE204)&gt;0,($AH204)/($AE204),""),"")</f>
        <v/>
      </c>
      <c r="AL204" s="56">
        <f>IFERROR(IF(($AF204)&gt;0,($AI204)/($AF204),""),"")</f>
        <v/>
      </c>
      <c r="AM204" s="55">
        <f>SUMIFS(tblMiningDaily[Diesel_L],tblMiningDaily[Date],$A204)</f>
        <v/>
      </c>
      <c r="AN204" s="55">
        <f>IF($B204=$B203,$AN203,0)+$AM204</f>
        <v/>
      </c>
      <c r="AO204" s="55">
        <f>$AO203+$AM204</f>
        <v/>
      </c>
      <c r="AP204" s="55">
        <f>SUMIFS(tblMiningDaily[Dewatering_m3],tblMiningDaily[Date],$A204)</f>
        <v/>
      </c>
      <c r="AQ204" s="55">
        <f>IF($B204=$B203,$AQ203,0)+$AP204</f>
        <v/>
      </c>
      <c r="AR204" s="55">
        <f>$AR203+$AP204</f>
        <v/>
      </c>
      <c r="AS204" s="57">
        <f>SUMIFS(tblFleet[Calendar_h],tblFleet[Date],$A204,tblFleet[Equipment_Class],"Excavator")</f>
        <v/>
      </c>
      <c r="AT204" s="57">
        <f>IF($B204=$B203,$AT203,0)+$AS204</f>
        <v/>
      </c>
      <c r="AU204" s="57">
        <f>$AU203+$AS204</f>
        <v/>
      </c>
      <c r="AV204" s="57">
        <f>SUMIFS(tblFleet[Available_h],tblFleet[Date],$A204,tblFleet[Equipment_Class],"Excavator")</f>
        <v/>
      </c>
      <c r="AW204" s="57">
        <f>IF($B204=$B203,$AW203,0)+$AV204</f>
        <v/>
      </c>
      <c r="AX204" s="57">
        <f>$AX203+$AV204</f>
        <v/>
      </c>
      <c r="AY204" s="57">
        <f>SUMIFS(tblFleet[Operating_h],tblFleet[Date],$A204,tblFleet[Equipment_Class],"Excavator")</f>
        <v/>
      </c>
      <c r="AZ204" s="57">
        <f>IF($B204=$B203,$AZ203,0)+$AY204</f>
        <v/>
      </c>
      <c r="BA204" s="57">
        <f>$BA203+$AY204</f>
        <v/>
      </c>
      <c r="BB204" s="67">
        <f>IFERROR(IF(($AS204)&gt;0,($AV204)/($AS204),""),"")</f>
        <v/>
      </c>
      <c r="BC204" s="67">
        <f>IFERROR(IF(($AT204)&gt;0,($AW204)/($AT204),""),"")</f>
        <v/>
      </c>
      <c r="BD204" s="67">
        <f>IFERROR(IF(($AU204)&gt;0,($AX204)/($AU204),""),"")</f>
        <v/>
      </c>
      <c r="BE204" s="67">
        <f>IFERROR(IF(($AV204)&gt;0,($AY204)/($AV204),""),"")</f>
        <v/>
      </c>
      <c r="BF204" s="67">
        <f>IFERROR(IF(($AW204)&gt;0,($AZ204)/($AW204),""),"")</f>
        <v/>
      </c>
      <c r="BG204" s="67">
        <f>IFERROR(IF(($AX204)&gt;0,($BA204)/($AX204),""),"")</f>
        <v/>
      </c>
      <c r="BH204" s="57">
        <f>SUMIFS(tblFleet[Calendar_h],tblFleet[Date],$A204,tblFleet[Equipment_Class],"Haul Truck")</f>
        <v/>
      </c>
      <c r="BI204" s="57">
        <f>IF($B204=$B203,$BI203,0)+$BH204</f>
        <v/>
      </c>
      <c r="BJ204" s="57">
        <f>$BJ203+$BH204</f>
        <v/>
      </c>
      <c r="BK204" s="57">
        <f>SUMIFS(tblFleet[Available_h],tblFleet[Date],$A204,tblFleet[Equipment_Class],"Haul Truck")</f>
        <v/>
      </c>
      <c r="BL204" s="57">
        <f>IF($B204=$B203,$BL203,0)+$BK204</f>
        <v/>
      </c>
      <c r="BM204" s="57">
        <f>$BM203+$BK204</f>
        <v/>
      </c>
      <c r="BN204" s="57">
        <f>SUMIFS(tblFleet[Operating_h],tblFleet[Date],$A204,tblFleet[Equipment_Class],"Haul Truck")</f>
        <v/>
      </c>
      <c r="BO204" s="57">
        <f>IF($B204=$B203,$BO203,0)+$BN204</f>
        <v/>
      </c>
      <c r="BP204" s="57">
        <f>$BP203+$BN204</f>
        <v/>
      </c>
      <c r="BQ204" s="67">
        <f>IFERROR(IF(($BH204)&gt;0,($BK204)/($BH204),""),"")</f>
        <v/>
      </c>
      <c r="BR204" s="67">
        <f>IFERROR(IF(($BI204)&gt;0,($BL204)/($BI204),""),"")</f>
        <v/>
      </c>
      <c r="BS204" s="67">
        <f>IFERROR(IF(($BJ204)&gt;0,($BM204)/($BJ204),""),"")</f>
        <v/>
      </c>
      <c r="BT204" s="67">
        <f>IFERROR(IF(($BK204)&gt;0,($BN204)/($BK204),""),"")</f>
        <v/>
      </c>
      <c r="BU204" s="67">
        <f>IFERROR(IF(($BL204)&gt;0,($BO204)/($BL204),""),"")</f>
        <v/>
      </c>
      <c r="BV204" s="67">
        <f>IFERROR(IF(($BM204)&gt;0,($BP204)/($BM204),""),"")</f>
        <v/>
      </c>
      <c r="BW204" s="55">
        <f>SUMIFS(tblPlant[Crushed_t],tblPlant[Date],$A204)</f>
        <v/>
      </c>
      <c r="BX204" s="55">
        <f>IF($B204=$B203,$BX203,0)+$BW204</f>
        <v/>
      </c>
      <c r="BY204" s="55">
        <f>$BY203+$BW204</f>
        <v/>
      </c>
      <c r="BZ204" s="55">
        <f>SUMIFS(tblPlant[Milled_t],tblPlant[Date],$A204)</f>
        <v/>
      </c>
      <c r="CA204" s="55">
        <f>IF($B204=$B203,$CA203,0)+$BZ204</f>
        <v/>
      </c>
      <c r="CB204" s="55">
        <f>$CB203+$BZ204</f>
        <v/>
      </c>
      <c r="CC204" s="55">
        <f>SUMIFS(tblPlant[Feed_oz],tblPlant[Date],$A204)</f>
        <v/>
      </c>
      <c r="CD204" s="55">
        <f>IF($B204=$B203,$CD203,0)+$CC204</f>
        <v/>
      </c>
      <c r="CE204" s="55">
        <f>$CE203+$CC204</f>
        <v/>
      </c>
      <c r="CF204" s="55">
        <f>SUMIFS(tblPlant[Tails_oz],tblPlant[Date],$A204)</f>
        <v/>
      </c>
      <c r="CG204" s="55">
        <f>IF($B204=$B203,$CG203,0)+$CF204</f>
        <v/>
      </c>
      <c r="CH204" s="55">
        <f>$CH203+$CF204</f>
        <v/>
      </c>
      <c r="CI204" s="55">
        <f>SUMIFS(tblPlant[Recovered_oz],tblPlant[Date],$A204)</f>
        <v/>
      </c>
      <c r="CJ204" s="55">
        <f>IF($B204=$B203,$CJ203,0)+$CI204</f>
        <v/>
      </c>
      <c r="CK204" s="55">
        <f>$CK203+$CI204</f>
        <v/>
      </c>
      <c r="CL204" s="56">
        <f>IFERROR(IF(($BZ204)&gt;0,($CC204*cfg_TroyOz)/($BZ204),""),"")</f>
        <v/>
      </c>
      <c r="CM204" s="56">
        <f>IFERROR(IF(($CA204)&gt;0,($CD204*cfg_TroyOz)/($CA204),""),"")</f>
        <v/>
      </c>
      <c r="CN204" s="56">
        <f>IFERROR(IF(($CB204)&gt;0,($CE204*cfg_TroyOz)/($CB204),""),"")</f>
        <v/>
      </c>
      <c r="CO204" s="56">
        <f>IFERROR(IF(($BZ204)&gt;0,($CF204*cfg_TroyOz)/($BZ204),""),"")</f>
        <v/>
      </c>
      <c r="CP204" s="56">
        <f>IFERROR(IF(($CA204)&gt;0,($CG204*cfg_TroyOz)/($CA204),""),"")</f>
        <v/>
      </c>
      <c r="CQ204" s="56">
        <f>IFERROR(IF(($CB204)&gt;0,($CH204*cfg_TroyOz)/($CB204),""),"")</f>
        <v/>
      </c>
      <c r="CR204" s="67">
        <f>IFERROR(IF(($CC204)&gt;0,($CI204)/($CC204),""),"")</f>
        <v/>
      </c>
      <c r="CS204" s="67">
        <f>IFERROR(IF(($CD204)&gt;0,($CJ204)/($CD204),""),"")</f>
        <v/>
      </c>
      <c r="CT204" s="67">
        <f>IFERROR(IF(($CE204)&gt;0,($CK204)/($CE204),""),"")</f>
        <v/>
      </c>
      <c r="CU204" s="55">
        <f>SUMIFS(tblPlant[Gravity_Gold_oz],tblPlant[Date],$A204)</f>
        <v/>
      </c>
      <c r="CV204" s="55">
        <f>IF($B204=$B203,$CV203,0)+$CU204</f>
        <v/>
      </c>
      <c r="CW204" s="55">
        <f>$CW203+$CU204</f>
        <v/>
      </c>
      <c r="CX204" s="55">
        <f>SUMIFS(tblPlant[Gold_Poured_oz],tblPlant[Date],$A204)</f>
        <v/>
      </c>
      <c r="CY204" s="55">
        <f>IF($B204=$B203,$CY203,0)+$CX204</f>
        <v/>
      </c>
      <c r="CZ204" s="55">
        <f>$CZ203+$CX204</f>
        <v/>
      </c>
      <c r="DA204" s="57">
        <f>SUMIFS(tblPlant[Mill_Run_h],tblPlant[Date],$A204)</f>
        <v/>
      </c>
      <c r="DB204" s="57">
        <f>IF($B204=$B203,$DB203,0)+$DA204</f>
        <v/>
      </c>
      <c r="DC204" s="57">
        <f>$DC203+$DA204</f>
        <v/>
      </c>
      <c r="DD204" s="57">
        <f>SUMIFS(tblPlant[Mill_Planned_Maint_h],tblPlant[Date],$A204)</f>
        <v/>
      </c>
      <c r="DE204" s="57">
        <f>IF($B204=$B203,$DE203,0)+$DD204</f>
        <v/>
      </c>
      <c r="DF204" s="57">
        <f>$DF203+$DD204</f>
        <v/>
      </c>
      <c r="DG204" s="57">
        <f>SUMIFS(tblPlant[Mill_Unplanned_Down_h],tblPlant[Date],$A204)</f>
        <v/>
      </c>
      <c r="DH204" s="57">
        <f>IF($B204=$B203,$DH203,0)+$DG204</f>
        <v/>
      </c>
      <c r="DI204" s="57">
        <f>$DI203+$DG204</f>
        <v/>
      </c>
      <c r="DJ204" s="57">
        <f>COUNTIFS(tblPlant[Date],$A204,tblPlant[Mill_Run_h],"&lt;&gt;")*24</f>
        <v/>
      </c>
      <c r="DK204" s="57">
        <f>IF($B204=$B203,$DK203,0)+$DJ204</f>
        <v/>
      </c>
      <c r="DL204" s="57">
        <f>$DL203+$DJ204</f>
        <v/>
      </c>
      <c r="DM204" s="57">
        <f>SUMIFS(tblPlant[Crusher_Run_h],tblPlant[Date],$A204)</f>
        <v/>
      </c>
      <c r="DN204" s="57">
        <f>IF($B204=$B203,$DN203,0)+$DM204</f>
        <v/>
      </c>
      <c r="DO204" s="57">
        <f>$DO203+$DM204</f>
        <v/>
      </c>
      <c r="DP204" s="55">
        <f>IFERROR(IF(($DA204)&gt;0,($BZ204)/($DA204),""),"")</f>
        <v/>
      </c>
      <c r="DQ204" s="55">
        <f>IFERROR(IF(($DB204)&gt;0,($CA204)/($DB204),""),"")</f>
        <v/>
      </c>
      <c r="DR204" s="55">
        <f>IFERROR(IF(($DC204)&gt;0,($CB204)/($DC204),""),"")</f>
        <v/>
      </c>
      <c r="DS204" s="67">
        <f>IFERROR(IF(($DJ204)&gt;0,($DJ204-$DD204-$DG204)/($DJ204),""),"")</f>
        <v/>
      </c>
      <c r="DT204" s="67">
        <f>IFERROR(IF(($DK204)&gt;0,($DK204-$DE204-$DH204)/($DK204),""),"")</f>
        <v/>
      </c>
      <c r="DU204" s="67">
        <f>IFERROR(IF(($DL204)&gt;0,($DL204-$DF204-$DI204)/($DL204),""),"")</f>
        <v/>
      </c>
      <c r="DV204" s="67">
        <f>IFERROR(IF(($DJ204-$DD204-$DG204)&gt;0,($DA204)/($DJ204-$DD204-$DG204),""),"")</f>
        <v/>
      </c>
      <c r="DW204" s="67">
        <f>IFERROR(IF(($DK204-$DE204-$DH204)&gt;0,($DB204)/($DK204-$DE204-$DH204),""),"")</f>
        <v/>
      </c>
      <c r="DX204" s="67">
        <f>IFERROR(IF(($DL204-$DF204-$DI204)&gt;0,($DC204)/($DL204-$DF204-$DI204),""),"")</f>
        <v/>
      </c>
      <c r="DY204" s="55">
        <f>SUMIFS(tblPlant[Cyanide_kg],tblPlant[Date],$A204)</f>
        <v/>
      </c>
      <c r="DZ204" s="55">
        <f>IF($B204=$B203,$DZ203,0)+$DY204</f>
        <v/>
      </c>
      <c r="EA204" s="55">
        <f>$EA203+$DY204</f>
        <v/>
      </c>
      <c r="EB204" s="55">
        <f>SUMIFS(tblPlant[Lime_kg],tblPlant[Date],$A204)</f>
        <v/>
      </c>
      <c r="EC204" s="55">
        <f>IF($B204=$B203,$EC203,0)+$EB204</f>
        <v/>
      </c>
      <c r="ED204" s="55">
        <f>$ED203+$EB204</f>
        <v/>
      </c>
      <c r="EE204" s="55">
        <f>SUMIFS(tblPlant[Grinding_Media_kg],tblPlant[Date],$A204)</f>
        <v/>
      </c>
      <c r="EF204" s="55">
        <f>IF($B204=$B203,$EF203,0)+$EE204</f>
        <v/>
      </c>
      <c r="EG204" s="55">
        <f>$EG203+$EE204</f>
        <v/>
      </c>
      <c r="EH204" s="55">
        <f>SUMIFS(tblPlant[Power_kWh],tblPlant[Date],$A204)</f>
        <v/>
      </c>
      <c r="EI204" s="55">
        <f>IF($B204=$B203,$EI203,0)+$EH204</f>
        <v/>
      </c>
      <c r="EJ204" s="55">
        <f>$EJ203+$EH204</f>
        <v/>
      </c>
      <c r="EK204" s="55">
        <f>SUMIFS(tblPlant[Raw_Water_m3],tblPlant[Date],$A204)</f>
        <v/>
      </c>
      <c r="EL204" s="55">
        <f>IF($B204=$B203,$EL203,0)+$EK204</f>
        <v/>
      </c>
      <c r="EM204" s="55">
        <f>$EM203+$EK204</f>
        <v/>
      </c>
      <c r="EN204" s="56">
        <f>IFERROR(IF(($BZ204)&gt;0,($DY204)/($BZ204),""),"")</f>
        <v/>
      </c>
      <c r="EO204" s="56">
        <f>IFERROR(IF(($CA204)&gt;0,($DZ204)/($CA204),""),"")</f>
        <v/>
      </c>
      <c r="EP204" s="56">
        <f>IFERROR(IF(($CB204)&gt;0,($EA204)/($CB204),""),"")</f>
        <v/>
      </c>
      <c r="EQ204" s="56">
        <f>IFERROR(IF(($BZ204)&gt;0,($EB204)/($BZ204),""),"")</f>
        <v/>
      </c>
      <c r="ER204" s="56">
        <f>IFERROR(IF(($CA204)&gt;0,($EC204)/($CA204),""),"")</f>
        <v/>
      </c>
      <c r="ES204" s="56">
        <f>IFERROR(IF(($CB204)&gt;0,($ED204)/($CB204),""),"")</f>
        <v/>
      </c>
      <c r="ET204" s="56">
        <f>IFERROR(IF(($BZ204)&gt;0,($EE204)/($BZ204),""),"")</f>
        <v/>
      </c>
      <c r="EU204" s="56">
        <f>IFERROR(IF(($CA204)&gt;0,($EF204)/($CA204),""),"")</f>
        <v/>
      </c>
      <c r="EV204" s="56">
        <f>IFERROR(IF(($CB204)&gt;0,($EG204)/($CB204),""),"")</f>
        <v/>
      </c>
      <c r="EW204" s="76">
        <f>IFERROR(IF(($BZ204)&gt;0,($EH204)/($BZ204),""),"")</f>
        <v/>
      </c>
      <c r="EX204" s="76">
        <f>IFERROR(IF(($CA204)&gt;0,($EI204)/($CA204),""),"")</f>
        <v/>
      </c>
      <c r="EY204" s="76">
        <f>IFERROR(IF(($CB204)&gt;0,($EJ204)/($CB204),""),"")</f>
        <v/>
      </c>
      <c r="EZ204" s="56">
        <f>IFERROR(IF(($BZ204)&gt;0,($EK204)/($BZ204),""),"")</f>
        <v/>
      </c>
      <c r="FA204" s="56">
        <f>IFERROR(IF(($CA204)&gt;0,($EL204)/($CA204),""),"")</f>
        <v/>
      </c>
      <c r="FB204" s="56">
        <f>IFERROR(IF(($CB204)&gt;0,($EM204)/($CB204),""),"")</f>
        <v/>
      </c>
      <c r="FC204" s="55">
        <f>IF(SUMIFS(tblPlant[GIC_oz],tblPlant[Date],$A204)&gt;0,SUMIFS(tblPlant[GIC_oz],tblPlant[Date],$A204),"")</f>
        <v/>
      </c>
      <c r="FD204" s="55">
        <f>SUMIFS(tblGold[Gold_oz],tblGold[Date],$A204,tblGold[Type],"Shipment")</f>
        <v/>
      </c>
      <c r="FE204" s="55">
        <f>IF($B204=$B203,$FE203,0)+$FD204</f>
        <v/>
      </c>
      <c r="FF204" s="55">
        <f>$FF203+$FD204</f>
        <v/>
      </c>
      <c r="FG204" s="55">
        <f>SUMIFS(tblGold[Gold_oz],tblGold[Date],$A204,tblGold[Type],"Sale")</f>
        <v/>
      </c>
      <c r="FH204" s="55">
        <f>IF($B204=$B203,$FH203,0)+$FG204</f>
        <v/>
      </c>
      <c r="FI204" s="55">
        <f>$FI203+$FG204</f>
        <v/>
      </c>
      <c r="FJ204" s="55">
        <f>SUMIFS(tblGold[Dore_kg],tblGold[Date],$A204,tblGold[Type],"Shipment")</f>
        <v/>
      </c>
      <c r="FK204" s="55">
        <f>IF($B204=$B203,$FK203,0)+$FJ204</f>
        <v/>
      </c>
      <c r="FL204" s="55">
        <f>$FL203+$FJ204</f>
        <v/>
      </c>
      <c r="FM204" s="57">
        <f>SUMIFS(tblSafety[Hours_Total],tblSafety[Date],$A204)</f>
        <v/>
      </c>
      <c r="FN204" s="57">
        <f>IF($B204=$B203,$FN203,0)+$FM204</f>
        <v/>
      </c>
      <c r="FO204" s="57">
        <f>$FO203+$FM204</f>
        <v/>
      </c>
      <c r="FP204" s="62">
        <f>SUMIFS(tblSafety[Fatality],tblSafety[Date],$A204)</f>
        <v/>
      </c>
      <c r="FQ204" s="62">
        <f>IF($B204=$B203,$FQ203,0)+$FP204</f>
        <v/>
      </c>
      <c r="FR204" s="62">
        <f>$FR203+$FP204</f>
        <v/>
      </c>
      <c r="FS204" s="62">
        <f>SUMIFS(tblSafety[LTI],tblSafety[Date],$A204)</f>
        <v/>
      </c>
      <c r="FT204" s="62">
        <f>IF($B204=$B203,$FT203,0)+$FS204</f>
        <v/>
      </c>
      <c r="FU204" s="62">
        <f>$FU203+$FS204</f>
        <v/>
      </c>
      <c r="FV204" s="62">
        <f>SUMIFS(tblSafety[RWI],tblSafety[Date],$A204)</f>
        <v/>
      </c>
      <c r="FW204" s="62">
        <f>IF($B204=$B203,$FW203,0)+$FV204</f>
        <v/>
      </c>
      <c r="FX204" s="62">
        <f>$FX203+$FV204</f>
        <v/>
      </c>
      <c r="FY204" s="62">
        <f>SUMIFS(tblSafety[MTI],tblSafety[Date],$A204)</f>
        <v/>
      </c>
      <c r="FZ204" s="62">
        <f>IF($B204=$B203,$FZ203,0)+$FY204</f>
        <v/>
      </c>
      <c r="GA204" s="62">
        <f>$GA203+$FY204</f>
        <v/>
      </c>
      <c r="GB204" s="62">
        <f>SUMIFS(tblSafety[FAI],tblSafety[Date],$A204)</f>
        <v/>
      </c>
      <c r="GC204" s="62">
        <f>IF($B204=$B203,$GC203,0)+$GB204</f>
        <v/>
      </c>
      <c r="GD204" s="62">
        <f>$GD203+$GB204</f>
        <v/>
      </c>
      <c r="GE204" s="62">
        <f>SUMIFS(tblSafety[Recordables],tblSafety[Date],$A204)</f>
        <v/>
      </c>
      <c r="GF204" s="62">
        <f>IF($B204=$B203,$GF203,0)+$GE204</f>
        <v/>
      </c>
      <c r="GG204" s="62">
        <f>$GG203+$GE204</f>
        <v/>
      </c>
      <c r="GH204" s="62">
        <f>SUMIFS(tblSafety[Near_Miss],tblSafety[Date],$A204)</f>
        <v/>
      </c>
      <c r="GI204" s="62">
        <f>IF($B204=$B203,$GI203,0)+$GH204</f>
        <v/>
      </c>
      <c r="GJ204" s="62">
        <f>$GJ203+$GH204</f>
        <v/>
      </c>
      <c r="GK204" s="62">
        <f>SUMIFS(tblSafety[Hazard_Reports],tblSafety[Date],$A204)</f>
        <v/>
      </c>
      <c r="GL204" s="62">
        <f>IF($B204=$B203,$GL203,0)+$GK204</f>
        <v/>
      </c>
      <c r="GM204" s="62">
        <f>$GM203+$GK204</f>
        <v/>
      </c>
      <c r="GN204" s="62">
        <f>SUMIFS(tblSafety[HPI],tblSafety[Date],$A204)</f>
        <v/>
      </c>
      <c r="GO204" s="62">
        <f>IF($B204=$B203,$GO203,0)+$GN204</f>
        <v/>
      </c>
      <c r="GP204" s="62">
        <f>$GP203+$GN204</f>
        <v/>
      </c>
      <c r="GQ204" s="62">
        <f>SUMIFS(tblSafety[Env_Incidents],tblSafety[Date],$A204)</f>
        <v/>
      </c>
      <c r="GR204" s="62">
        <f>IF($B204=$B203,$GR203,0)+$GQ204</f>
        <v/>
      </c>
      <c r="GS204" s="62">
        <f>$GS203+$GQ204</f>
        <v/>
      </c>
      <c r="GT204" s="62">
        <f>SUMIFS(tblSafety[Community_Incidents],tblSafety[Date],$A204)</f>
        <v/>
      </c>
      <c r="GU204" s="62">
        <f>IF($B204=$B203,$GU203,0)+$GT204</f>
        <v/>
      </c>
      <c r="GV204" s="62">
        <f>$GV203+$GT204</f>
        <v/>
      </c>
      <c r="GW204" s="62">
        <f>SUMIFS(tblSafety[Vehicle_Incidents],tblSafety[Date],$A204)</f>
        <v/>
      </c>
      <c r="GX204" s="62">
        <f>IF($B204=$B203,$GX203,0)+$GW204</f>
        <v/>
      </c>
      <c r="GY204" s="62">
        <f>$GY203+$GW204</f>
        <v/>
      </c>
      <c r="GZ204" s="62">
        <f>SUMIFS(tblSafety[Toolbox_Talks],tblSafety[Date],$A204)</f>
        <v/>
      </c>
      <c r="HA204" s="62">
        <f>IF($B204=$B203,$HA203,0)+$GZ204</f>
        <v/>
      </c>
      <c r="HB204" s="62">
        <f>$HB203+$GZ204</f>
        <v/>
      </c>
      <c r="HC204" s="62">
        <f>SUMIFS(tblSafety[Inspections],tblSafety[Date],$A204)</f>
        <v/>
      </c>
      <c r="HD204" s="62">
        <f>IF($B204=$B203,$HD203,0)+$HC204</f>
        <v/>
      </c>
      <c r="HE204" s="62">
        <f>$HE203+$HC204</f>
        <v/>
      </c>
      <c r="HF204" s="56">
        <f>IFERROR((SUMIFS(tblSafety[Recordables],tblSafety[Date],"&gt;="&amp;EDATE($E204,-12),tblSafety[Date],"&lt;="&amp;$A204)+SUMIFS(tblSafetyHistory[Recordables],tblSafetyHistory[Month],"&gt;="&amp;EDATE($E204,-12),tblSafetyHistory[Month],"&lt;"&amp;cfg_YearStart))/(SUMIFS(tblSafety[Hours_Total],tblSafety[Date],"&gt;="&amp;EDATE($E204,-12),tblSafety[Date],"&lt;="&amp;$A204)+SUMIFS(tblSafetyHistory[Hours_Total],tblSafetyHistory[Month],"&gt;="&amp;EDATE($E204,-12),tblSafetyHistory[Month],"&lt;"&amp;cfg_YearStart))*1000000,"")</f>
        <v/>
      </c>
      <c r="HG204" s="56">
        <f>IFERROR((SUMIFS(tblSafety[LTI],tblSafety[Date],"&gt;="&amp;EDATE($E204,-12),tblSafety[Date],"&lt;="&amp;$A204)+SUMIFS(tblSafetyHistory[LTI],tblSafetyHistory[Month],"&gt;="&amp;EDATE($E204,-12),tblSafetyHistory[Month],"&lt;"&amp;cfg_YearStart))/(SUMIFS(tblSafety[Hours_Total],tblSafety[Date],"&gt;="&amp;EDATE($E204,-12),tblSafety[Date],"&lt;="&amp;$A204)+SUMIFS(tblSafetyHistory[Hours_Total],tblSafetyHistory[Month],"&gt;="&amp;EDATE($E204,-12),tblSafetyHistory[Month],"&lt;"&amp;cfg_YearStart))*1000000,"")</f>
        <v/>
      </c>
      <c r="HH204" s="62">
        <f>IF(MAX(N(cfg_PriorLTIDate),_xlfn.MAXIFS(tblSafety[Date],tblSafety[LTI],"&gt;0",tblSafety[Date],"&lt;="&amp;$A204))=0,"",$A204-MAX(N(cfg_PriorLTIDate),_xlfn.MAXIFS(tblSafety[Date],tblSafety[LTI],"&gt;0",tblSafety[Date],"&lt;="&amp;$A204)))</f>
        <v/>
      </c>
      <c r="HI204" s="55">
        <f>SUMIFS(tblBudget[Ore_Mined_t],tblBudget[Month],$E204)</f>
        <v/>
      </c>
      <c r="HJ204" s="55">
        <f>$HI204*$C204/$D204</f>
        <v/>
      </c>
      <c r="HK204" s="55">
        <f>SUMIFS(tblBudget[Ore_Mined_t],tblBudget[Month],"&lt;"&amp;$E204)+$HJ204</f>
        <v/>
      </c>
      <c r="HL204" s="55">
        <f>SUMIFS(tblBudget[Ore_oz],tblBudget[Month],$E204)</f>
        <v/>
      </c>
      <c r="HM204" s="55">
        <f>$HL204*$C204/$D204</f>
        <v/>
      </c>
      <c r="HN204" s="55">
        <f>SUMIFS(tblBudget[Ore_oz],tblBudget[Month],"&lt;"&amp;$E204)+$HM204</f>
        <v/>
      </c>
      <c r="HO204" s="56">
        <f>IFERROR(IF(($HI204)&gt;0,($HL204*cfg_TroyOz)/($HI204),""),"")</f>
        <v/>
      </c>
      <c r="HP204" s="56">
        <f>IFERROR(IF(($HJ204)&gt;0,($HM204*cfg_TroyOz)/($HJ204),""),"")</f>
        <v/>
      </c>
      <c r="HQ204" s="56">
        <f>IFERROR(IF(($HK204)&gt;0,($HN204*cfg_TroyOz)/($HK204),""),"")</f>
        <v/>
      </c>
      <c r="HR204" s="55">
        <f>SUMIFS(tblBudget[Waste_t],tblBudget[Month],$E204)</f>
        <v/>
      </c>
      <c r="HS204" s="55">
        <f>$HR204*$C204/$D204</f>
        <v/>
      </c>
      <c r="HT204" s="55">
        <f>SUMIFS(tblBudget[Waste_t],tblBudget[Month],"&lt;"&amp;$E204)+$HS204</f>
        <v/>
      </c>
      <c r="HU204" s="55">
        <f>SUMIFS(tblBudget[TMM_t],tblBudget[Month],$E204)</f>
        <v/>
      </c>
      <c r="HV204" s="55">
        <f>$HU204*$C204/$D204</f>
        <v/>
      </c>
      <c r="HW204" s="55">
        <f>SUMIFS(tblBudget[TMM_t],tblBudget[Month],"&lt;"&amp;$E204)+$HV204</f>
        <v/>
      </c>
      <c r="HX204" s="56">
        <f>IFERROR(IF(($HI204)&gt;0,($HR204)/($HI204),""),"")</f>
        <v/>
      </c>
      <c r="HY204" s="56">
        <f>IFERROR(IF(($HJ204)&gt;0,($HS204)/($HJ204),""),"")</f>
        <v/>
      </c>
      <c r="HZ204" s="56">
        <f>IFERROR(IF(($HK204)&gt;0,($HT204)/($HK204),""),"")</f>
        <v/>
      </c>
      <c r="IA204" s="55">
        <f>SUMIFS(tblBudget[Drill_m],tblBudget[Month],$E204)</f>
        <v/>
      </c>
      <c r="IB204" s="55">
        <f>$IA204*$C204/$D204</f>
        <v/>
      </c>
      <c r="IC204" s="55">
        <f>SUMIFS(tblBudget[Drill_m],tblBudget[Month],"&lt;"&amp;$E204)+$IB204</f>
        <v/>
      </c>
      <c r="ID204" s="55">
        <f>SUMIFS(tblBudget[Diesel_L],tblBudget[Month],$E204)</f>
        <v/>
      </c>
      <c r="IE204" s="55">
        <f>$ID204*$C204/$D204</f>
        <v/>
      </c>
      <c r="IF204" s="55">
        <f>SUMIFS(tblBudget[Diesel_L],tblBudget[Month],"&lt;"&amp;$E204)+$IE204</f>
        <v/>
      </c>
      <c r="IG204" s="55">
        <f>SUMIFS(tblBudget[Milled_t],tblBudget[Month],$E204)</f>
        <v/>
      </c>
      <c r="IH204" s="55">
        <f>$IG204*$C204/$D204</f>
        <v/>
      </c>
      <c r="II204" s="55">
        <f>SUMIFS(tblBudget[Milled_t],tblBudget[Month],"&lt;"&amp;$E204)+$IH204</f>
        <v/>
      </c>
      <c r="IJ204" s="55">
        <f>SUMIFS(tblBudget[Feed_oz],tblBudget[Month],$E204)</f>
        <v/>
      </c>
      <c r="IK204" s="55">
        <f>$IJ204*$C204/$D204</f>
        <v/>
      </c>
      <c r="IL204" s="55">
        <f>SUMIFS(tblBudget[Feed_oz],tblBudget[Month],"&lt;"&amp;$E204)+$IK204</f>
        <v/>
      </c>
      <c r="IM204" s="55">
        <f>SUMIFS(tblBudget[Recovered_oz],tblBudget[Month],$E204)</f>
        <v/>
      </c>
      <c r="IN204" s="55">
        <f>$IM204*$C204/$D204</f>
        <v/>
      </c>
      <c r="IO204" s="55">
        <f>SUMIFS(tblBudget[Recovered_oz],tblBudget[Month],"&lt;"&amp;$E204)+$IN204</f>
        <v/>
      </c>
      <c r="IP204" s="56">
        <f>IFERROR(IF(($IG204)&gt;0,($IJ204*cfg_TroyOz)/($IG204),""),"")</f>
        <v/>
      </c>
      <c r="IQ204" s="56">
        <f>IFERROR(IF(($IH204)&gt;0,($IK204*cfg_TroyOz)/($IH204),""),"")</f>
        <v/>
      </c>
      <c r="IR204" s="56">
        <f>IFERROR(IF(($II204)&gt;0,($IL204*cfg_TroyOz)/($II204),""),"")</f>
        <v/>
      </c>
      <c r="IS204" s="67">
        <f>IFERROR(IF(($IJ204)&gt;0,($IM204)/($IJ204),""),"")</f>
        <v/>
      </c>
      <c r="IT204" s="67">
        <f>IFERROR(IF(($IK204)&gt;0,($IN204)/($IK204),""),"")</f>
        <v/>
      </c>
      <c r="IU204" s="67">
        <f>IFERROR(IF(($IL204)&gt;0,($IO204)/($IL204),""),"")</f>
        <v/>
      </c>
      <c r="IV204" s="55">
        <f>SUMIFS(tblBudget[Gold_Poured_oz],tblBudget[Month],$E204)</f>
        <v/>
      </c>
      <c r="IW204" s="55">
        <f>$IV204*$C204/$D204</f>
        <v/>
      </c>
      <c r="IX204" s="55">
        <f>SUMIFS(tblBudget[Gold_Poured_oz],tblBudget[Month],"&lt;"&amp;$E204)+$IW204</f>
        <v/>
      </c>
      <c r="IY204" s="57">
        <f>SUMIFS(tblBudget[Hours_Worked],tblBudget[Month],$E204)</f>
        <v/>
      </c>
      <c r="IZ204" s="57">
        <f>$IY204*$C204/$D204</f>
        <v/>
      </c>
      <c r="JA204" s="57">
        <f>SUMIFS(tblBudget[Hours_Worked],tblBudget[Month],"&lt;"&amp;$E204)+$IZ204</f>
        <v/>
      </c>
    </row>
    <row r="205">
      <c r="A205" s="54" t="n">
        <v>46226</v>
      </c>
      <c r="B205">
        <f>MONTH($A205)</f>
        <v/>
      </c>
      <c r="C205">
        <f>DAY($A205)</f>
        <v/>
      </c>
      <c r="D205">
        <f>DAY(EOMONTH($A205,0))</f>
        <v/>
      </c>
      <c r="E205" s="54">
        <f>DATE(YEAR($A205),MONTH($A205),1)</f>
        <v/>
      </c>
      <c r="F205" s="55">
        <f>SUMIFS(tblMovement[Tonnes_t],tblMovement[Date],$A205,tblMovement[Is_Ore],1,tblMovement[Source_Type],"Pit")</f>
        <v/>
      </c>
      <c r="G205" s="55">
        <f>IF($B205=$B204,$G204,0)+$F205</f>
        <v/>
      </c>
      <c r="H205" s="55">
        <f>$H204+$F205</f>
        <v/>
      </c>
      <c r="I205" s="55">
        <f>SUMIFS(tblMovement[Ore_oz],tblMovement[Date],$A205,tblMovement[Source_Type],"Pit")</f>
        <v/>
      </c>
      <c r="J205" s="55">
        <f>IF($B205=$B204,$J204,0)+$I205</f>
        <v/>
      </c>
      <c r="K205" s="55">
        <f>$K204+$I205</f>
        <v/>
      </c>
      <c r="L205" s="56">
        <f>IFERROR(IF(($F205)&gt;0,($I205*cfg_TroyOz)/($F205),""),"")</f>
        <v/>
      </c>
      <c r="M205" s="56">
        <f>IFERROR(IF(($G205)&gt;0,($J205*cfg_TroyOz)/($G205),""),"")</f>
        <v/>
      </c>
      <c r="N205" s="56">
        <f>IFERROR(IF(($H205)&gt;0,($K205*cfg_TroyOz)/($H205),""),"")</f>
        <v/>
      </c>
      <c r="O205" s="55">
        <f>SUMIFS(tblMovement[Tonnes_t],tblMovement[Date],$A205,tblMovement[Is_Ore],0,tblMovement[Source_Type],"Pit")</f>
        <v/>
      </c>
      <c r="P205" s="55">
        <f>IF($B205=$B204,$P204,0)+$O205</f>
        <v/>
      </c>
      <c r="Q205" s="55">
        <f>$Q204+$O205</f>
        <v/>
      </c>
      <c r="R205" s="55">
        <f>$F205+$O205</f>
        <v/>
      </c>
      <c r="S205" s="55">
        <f>IF($B205=$B204,$S204,0)+$R205</f>
        <v/>
      </c>
      <c r="T205" s="55">
        <f>$T204+$R205</f>
        <v/>
      </c>
      <c r="U205" s="56">
        <f>IFERROR(IF(($F205)&gt;0,($O205)/($F205),""),"")</f>
        <v/>
      </c>
      <c r="V205" s="56">
        <f>IFERROR(IF(($G205)&gt;0,($P205)/($G205),""),"")</f>
        <v/>
      </c>
      <c r="W205" s="56">
        <f>IFERROR(IF(($H205)&gt;0,($Q205)/($H205),""),"")</f>
        <v/>
      </c>
      <c r="X205" s="55">
        <f>SUMIFS(tblMovement[Tonnes_t],tblMovement[Date],$A205,tblMovement[Source_Type],"Stockpile")</f>
        <v/>
      </c>
      <c r="Y205" s="55">
        <f>IF($B205=$B204,$Y204,0)+$X205</f>
        <v/>
      </c>
      <c r="Z205" s="55">
        <f>$Z204+$X205</f>
        <v/>
      </c>
      <c r="AA205" s="55">
        <f>SUMIFS(tblMiningDaily[Drill_m],tblMiningDaily[Date],$A205)</f>
        <v/>
      </c>
      <c r="AB205" s="55">
        <f>IF($B205=$B204,$AB204,0)+$AA205</f>
        <v/>
      </c>
      <c r="AC205" s="55">
        <f>$AC204+$AA205</f>
        <v/>
      </c>
      <c r="AD205" s="55">
        <f>SUMIFS(tblMiningDaily[Blast_t],tblMiningDaily[Date],$A205)</f>
        <v/>
      </c>
      <c r="AE205" s="55">
        <f>IF($B205=$B204,$AE204,0)+$AD205</f>
        <v/>
      </c>
      <c r="AF205" s="55">
        <f>$AF204+$AD205</f>
        <v/>
      </c>
      <c r="AG205" s="55">
        <f>SUMIFS(tblMiningDaily[Explosives_kg],tblMiningDaily[Date],$A205)</f>
        <v/>
      </c>
      <c r="AH205" s="55">
        <f>IF($B205=$B204,$AH204,0)+$AG205</f>
        <v/>
      </c>
      <c r="AI205" s="55">
        <f>$AI204+$AG205</f>
        <v/>
      </c>
      <c r="AJ205" s="56">
        <f>IFERROR(IF(($AD205)&gt;0,($AG205)/($AD205),""),"")</f>
        <v/>
      </c>
      <c r="AK205" s="56">
        <f>IFERROR(IF(($AE205)&gt;0,($AH205)/($AE205),""),"")</f>
        <v/>
      </c>
      <c r="AL205" s="56">
        <f>IFERROR(IF(($AF205)&gt;0,($AI205)/($AF205),""),"")</f>
        <v/>
      </c>
      <c r="AM205" s="55">
        <f>SUMIFS(tblMiningDaily[Diesel_L],tblMiningDaily[Date],$A205)</f>
        <v/>
      </c>
      <c r="AN205" s="55">
        <f>IF($B205=$B204,$AN204,0)+$AM205</f>
        <v/>
      </c>
      <c r="AO205" s="55">
        <f>$AO204+$AM205</f>
        <v/>
      </c>
      <c r="AP205" s="55">
        <f>SUMIFS(tblMiningDaily[Dewatering_m3],tblMiningDaily[Date],$A205)</f>
        <v/>
      </c>
      <c r="AQ205" s="55">
        <f>IF($B205=$B204,$AQ204,0)+$AP205</f>
        <v/>
      </c>
      <c r="AR205" s="55">
        <f>$AR204+$AP205</f>
        <v/>
      </c>
      <c r="AS205" s="57">
        <f>SUMIFS(tblFleet[Calendar_h],tblFleet[Date],$A205,tblFleet[Equipment_Class],"Excavator")</f>
        <v/>
      </c>
      <c r="AT205" s="57">
        <f>IF($B205=$B204,$AT204,0)+$AS205</f>
        <v/>
      </c>
      <c r="AU205" s="57">
        <f>$AU204+$AS205</f>
        <v/>
      </c>
      <c r="AV205" s="57">
        <f>SUMIFS(tblFleet[Available_h],tblFleet[Date],$A205,tblFleet[Equipment_Class],"Excavator")</f>
        <v/>
      </c>
      <c r="AW205" s="57">
        <f>IF($B205=$B204,$AW204,0)+$AV205</f>
        <v/>
      </c>
      <c r="AX205" s="57">
        <f>$AX204+$AV205</f>
        <v/>
      </c>
      <c r="AY205" s="57">
        <f>SUMIFS(tblFleet[Operating_h],tblFleet[Date],$A205,tblFleet[Equipment_Class],"Excavator")</f>
        <v/>
      </c>
      <c r="AZ205" s="57">
        <f>IF($B205=$B204,$AZ204,0)+$AY205</f>
        <v/>
      </c>
      <c r="BA205" s="57">
        <f>$BA204+$AY205</f>
        <v/>
      </c>
      <c r="BB205" s="67">
        <f>IFERROR(IF(($AS205)&gt;0,($AV205)/($AS205),""),"")</f>
        <v/>
      </c>
      <c r="BC205" s="67">
        <f>IFERROR(IF(($AT205)&gt;0,($AW205)/($AT205),""),"")</f>
        <v/>
      </c>
      <c r="BD205" s="67">
        <f>IFERROR(IF(($AU205)&gt;0,($AX205)/($AU205),""),"")</f>
        <v/>
      </c>
      <c r="BE205" s="67">
        <f>IFERROR(IF(($AV205)&gt;0,($AY205)/($AV205),""),"")</f>
        <v/>
      </c>
      <c r="BF205" s="67">
        <f>IFERROR(IF(($AW205)&gt;0,($AZ205)/($AW205),""),"")</f>
        <v/>
      </c>
      <c r="BG205" s="67">
        <f>IFERROR(IF(($AX205)&gt;0,($BA205)/($AX205),""),"")</f>
        <v/>
      </c>
      <c r="BH205" s="57">
        <f>SUMIFS(tblFleet[Calendar_h],tblFleet[Date],$A205,tblFleet[Equipment_Class],"Haul Truck")</f>
        <v/>
      </c>
      <c r="BI205" s="57">
        <f>IF($B205=$B204,$BI204,0)+$BH205</f>
        <v/>
      </c>
      <c r="BJ205" s="57">
        <f>$BJ204+$BH205</f>
        <v/>
      </c>
      <c r="BK205" s="57">
        <f>SUMIFS(tblFleet[Available_h],tblFleet[Date],$A205,tblFleet[Equipment_Class],"Haul Truck")</f>
        <v/>
      </c>
      <c r="BL205" s="57">
        <f>IF($B205=$B204,$BL204,0)+$BK205</f>
        <v/>
      </c>
      <c r="BM205" s="57">
        <f>$BM204+$BK205</f>
        <v/>
      </c>
      <c r="BN205" s="57">
        <f>SUMIFS(tblFleet[Operating_h],tblFleet[Date],$A205,tblFleet[Equipment_Class],"Haul Truck")</f>
        <v/>
      </c>
      <c r="BO205" s="57">
        <f>IF($B205=$B204,$BO204,0)+$BN205</f>
        <v/>
      </c>
      <c r="BP205" s="57">
        <f>$BP204+$BN205</f>
        <v/>
      </c>
      <c r="BQ205" s="67">
        <f>IFERROR(IF(($BH205)&gt;0,($BK205)/($BH205),""),"")</f>
        <v/>
      </c>
      <c r="BR205" s="67">
        <f>IFERROR(IF(($BI205)&gt;0,($BL205)/($BI205),""),"")</f>
        <v/>
      </c>
      <c r="BS205" s="67">
        <f>IFERROR(IF(($BJ205)&gt;0,($BM205)/($BJ205),""),"")</f>
        <v/>
      </c>
      <c r="BT205" s="67">
        <f>IFERROR(IF(($BK205)&gt;0,($BN205)/($BK205),""),"")</f>
        <v/>
      </c>
      <c r="BU205" s="67">
        <f>IFERROR(IF(($BL205)&gt;0,($BO205)/($BL205),""),"")</f>
        <v/>
      </c>
      <c r="BV205" s="67">
        <f>IFERROR(IF(($BM205)&gt;0,($BP205)/($BM205),""),"")</f>
        <v/>
      </c>
      <c r="BW205" s="55">
        <f>SUMIFS(tblPlant[Crushed_t],tblPlant[Date],$A205)</f>
        <v/>
      </c>
      <c r="BX205" s="55">
        <f>IF($B205=$B204,$BX204,0)+$BW205</f>
        <v/>
      </c>
      <c r="BY205" s="55">
        <f>$BY204+$BW205</f>
        <v/>
      </c>
      <c r="BZ205" s="55">
        <f>SUMIFS(tblPlant[Milled_t],tblPlant[Date],$A205)</f>
        <v/>
      </c>
      <c r="CA205" s="55">
        <f>IF($B205=$B204,$CA204,0)+$BZ205</f>
        <v/>
      </c>
      <c r="CB205" s="55">
        <f>$CB204+$BZ205</f>
        <v/>
      </c>
      <c r="CC205" s="55">
        <f>SUMIFS(tblPlant[Feed_oz],tblPlant[Date],$A205)</f>
        <v/>
      </c>
      <c r="CD205" s="55">
        <f>IF($B205=$B204,$CD204,0)+$CC205</f>
        <v/>
      </c>
      <c r="CE205" s="55">
        <f>$CE204+$CC205</f>
        <v/>
      </c>
      <c r="CF205" s="55">
        <f>SUMIFS(tblPlant[Tails_oz],tblPlant[Date],$A205)</f>
        <v/>
      </c>
      <c r="CG205" s="55">
        <f>IF($B205=$B204,$CG204,0)+$CF205</f>
        <v/>
      </c>
      <c r="CH205" s="55">
        <f>$CH204+$CF205</f>
        <v/>
      </c>
      <c r="CI205" s="55">
        <f>SUMIFS(tblPlant[Recovered_oz],tblPlant[Date],$A205)</f>
        <v/>
      </c>
      <c r="CJ205" s="55">
        <f>IF($B205=$B204,$CJ204,0)+$CI205</f>
        <v/>
      </c>
      <c r="CK205" s="55">
        <f>$CK204+$CI205</f>
        <v/>
      </c>
      <c r="CL205" s="56">
        <f>IFERROR(IF(($BZ205)&gt;0,($CC205*cfg_TroyOz)/($BZ205),""),"")</f>
        <v/>
      </c>
      <c r="CM205" s="56">
        <f>IFERROR(IF(($CA205)&gt;0,($CD205*cfg_TroyOz)/($CA205),""),"")</f>
        <v/>
      </c>
      <c r="CN205" s="56">
        <f>IFERROR(IF(($CB205)&gt;0,($CE205*cfg_TroyOz)/($CB205),""),"")</f>
        <v/>
      </c>
      <c r="CO205" s="56">
        <f>IFERROR(IF(($BZ205)&gt;0,($CF205*cfg_TroyOz)/($BZ205),""),"")</f>
        <v/>
      </c>
      <c r="CP205" s="56">
        <f>IFERROR(IF(($CA205)&gt;0,($CG205*cfg_TroyOz)/($CA205),""),"")</f>
        <v/>
      </c>
      <c r="CQ205" s="56">
        <f>IFERROR(IF(($CB205)&gt;0,($CH205*cfg_TroyOz)/($CB205),""),"")</f>
        <v/>
      </c>
      <c r="CR205" s="67">
        <f>IFERROR(IF(($CC205)&gt;0,($CI205)/($CC205),""),"")</f>
        <v/>
      </c>
      <c r="CS205" s="67">
        <f>IFERROR(IF(($CD205)&gt;0,($CJ205)/($CD205),""),"")</f>
        <v/>
      </c>
      <c r="CT205" s="67">
        <f>IFERROR(IF(($CE205)&gt;0,($CK205)/($CE205),""),"")</f>
        <v/>
      </c>
      <c r="CU205" s="55">
        <f>SUMIFS(tblPlant[Gravity_Gold_oz],tblPlant[Date],$A205)</f>
        <v/>
      </c>
      <c r="CV205" s="55">
        <f>IF($B205=$B204,$CV204,0)+$CU205</f>
        <v/>
      </c>
      <c r="CW205" s="55">
        <f>$CW204+$CU205</f>
        <v/>
      </c>
      <c r="CX205" s="55">
        <f>SUMIFS(tblPlant[Gold_Poured_oz],tblPlant[Date],$A205)</f>
        <v/>
      </c>
      <c r="CY205" s="55">
        <f>IF($B205=$B204,$CY204,0)+$CX205</f>
        <v/>
      </c>
      <c r="CZ205" s="55">
        <f>$CZ204+$CX205</f>
        <v/>
      </c>
      <c r="DA205" s="57">
        <f>SUMIFS(tblPlant[Mill_Run_h],tblPlant[Date],$A205)</f>
        <v/>
      </c>
      <c r="DB205" s="57">
        <f>IF($B205=$B204,$DB204,0)+$DA205</f>
        <v/>
      </c>
      <c r="DC205" s="57">
        <f>$DC204+$DA205</f>
        <v/>
      </c>
      <c r="DD205" s="57">
        <f>SUMIFS(tblPlant[Mill_Planned_Maint_h],tblPlant[Date],$A205)</f>
        <v/>
      </c>
      <c r="DE205" s="57">
        <f>IF($B205=$B204,$DE204,0)+$DD205</f>
        <v/>
      </c>
      <c r="DF205" s="57">
        <f>$DF204+$DD205</f>
        <v/>
      </c>
      <c r="DG205" s="57">
        <f>SUMIFS(tblPlant[Mill_Unplanned_Down_h],tblPlant[Date],$A205)</f>
        <v/>
      </c>
      <c r="DH205" s="57">
        <f>IF($B205=$B204,$DH204,0)+$DG205</f>
        <v/>
      </c>
      <c r="DI205" s="57">
        <f>$DI204+$DG205</f>
        <v/>
      </c>
      <c r="DJ205" s="57">
        <f>COUNTIFS(tblPlant[Date],$A205,tblPlant[Mill_Run_h],"&lt;&gt;")*24</f>
        <v/>
      </c>
      <c r="DK205" s="57">
        <f>IF($B205=$B204,$DK204,0)+$DJ205</f>
        <v/>
      </c>
      <c r="DL205" s="57">
        <f>$DL204+$DJ205</f>
        <v/>
      </c>
      <c r="DM205" s="57">
        <f>SUMIFS(tblPlant[Crusher_Run_h],tblPlant[Date],$A205)</f>
        <v/>
      </c>
      <c r="DN205" s="57">
        <f>IF($B205=$B204,$DN204,0)+$DM205</f>
        <v/>
      </c>
      <c r="DO205" s="57">
        <f>$DO204+$DM205</f>
        <v/>
      </c>
      <c r="DP205" s="55">
        <f>IFERROR(IF(($DA205)&gt;0,($BZ205)/($DA205),""),"")</f>
        <v/>
      </c>
      <c r="DQ205" s="55">
        <f>IFERROR(IF(($DB205)&gt;0,($CA205)/($DB205),""),"")</f>
        <v/>
      </c>
      <c r="DR205" s="55">
        <f>IFERROR(IF(($DC205)&gt;0,($CB205)/($DC205),""),"")</f>
        <v/>
      </c>
      <c r="DS205" s="67">
        <f>IFERROR(IF(($DJ205)&gt;0,($DJ205-$DD205-$DG205)/($DJ205),""),"")</f>
        <v/>
      </c>
      <c r="DT205" s="67">
        <f>IFERROR(IF(($DK205)&gt;0,($DK205-$DE205-$DH205)/($DK205),""),"")</f>
        <v/>
      </c>
      <c r="DU205" s="67">
        <f>IFERROR(IF(($DL205)&gt;0,($DL205-$DF205-$DI205)/($DL205),""),"")</f>
        <v/>
      </c>
      <c r="DV205" s="67">
        <f>IFERROR(IF(($DJ205-$DD205-$DG205)&gt;0,($DA205)/($DJ205-$DD205-$DG205),""),"")</f>
        <v/>
      </c>
      <c r="DW205" s="67">
        <f>IFERROR(IF(($DK205-$DE205-$DH205)&gt;0,($DB205)/($DK205-$DE205-$DH205),""),"")</f>
        <v/>
      </c>
      <c r="DX205" s="67">
        <f>IFERROR(IF(($DL205-$DF205-$DI205)&gt;0,($DC205)/($DL205-$DF205-$DI205),""),"")</f>
        <v/>
      </c>
      <c r="DY205" s="55">
        <f>SUMIFS(tblPlant[Cyanide_kg],tblPlant[Date],$A205)</f>
        <v/>
      </c>
      <c r="DZ205" s="55">
        <f>IF($B205=$B204,$DZ204,0)+$DY205</f>
        <v/>
      </c>
      <c r="EA205" s="55">
        <f>$EA204+$DY205</f>
        <v/>
      </c>
      <c r="EB205" s="55">
        <f>SUMIFS(tblPlant[Lime_kg],tblPlant[Date],$A205)</f>
        <v/>
      </c>
      <c r="EC205" s="55">
        <f>IF($B205=$B204,$EC204,0)+$EB205</f>
        <v/>
      </c>
      <c r="ED205" s="55">
        <f>$ED204+$EB205</f>
        <v/>
      </c>
      <c r="EE205" s="55">
        <f>SUMIFS(tblPlant[Grinding_Media_kg],tblPlant[Date],$A205)</f>
        <v/>
      </c>
      <c r="EF205" s="55">
        <f>IF($B205=$B204,$EF204,0)+$EE205</f>
        <v/>
      </c>
      <c r="EG205" s="55">
        <f>$EG204+$EE205</f>
        <v/>
      </c>
      <c r="EH205" s="55">
        <f>SUMIFS(tblPlant[Power_kWh],tblPlant[Date],$A205)</f>
        <v/>
      </c>
      <c r="EI205" s="55">
        <f>IF($B205=$B204,$EI204,0)+$EH205</f>
        <v/>
      </c>
      <c r="EJ205" s="55">
        <f>$EJ204+$EH205</f>
        <v/>
      </c>
      <c r="EK205" s="55">
        <f>SUMIFS(tblPlant[Raw_Water_m3],tblPlant[Date],$A205)</f>
        <v/>
      </c>
      <c r="EL205" s="55">
        <f>IF($B205=$B204,$EL204,0)+$EK205</f>
        <v/>
      </c>
      <c r="EM205" s="55">
        <f>$EM204+$EK205</f>
        <v/>
      </c>
      <c r="EN205" s="56">
        <f>IFERROR(IF(($BZ205)&gt;0,($DY205)/($BZ205),""),"")</f>
        <v/>
      </c>
      <c r="EO205" s="56">
        <f>IFERROR(IF(($CA205)&gt;0,($DZ205)/($CA205),""),"")</f>
        <v/>
      </c>
      <c r="EP205" s="56">
        <f>IFERROR(IF(($CB205)&gt;0,($EA205)/($CB205),""),"")</f>
        <v/>
      </c>
      <c r="EQ205" s="56">
        <f>IFERROR(IF(($BZ205)&gt;0,($EB205)/($BZ205),""),"")</f>
        <v/>
      </c>
      <c r="ER205" s="56">
        <f>IFERROR(IF(($CA205)&gt;0,($EC205)/($CA205),""),"")</f>
        <v/>
      </c>
      <c r="ES205" s="56">
        <f>IFERROR(IF(($CB205)&gt;0,($ED205)/($CB205),""),"")</f>
        <v/>
      </c>
      <c r="ET205" s="56">
        <f>IFERROR(IF(($BZ205)&gt;0,($EE205)/($BZ205),""),"")</f>
        <v/>
      </c>
      <c r="EU205" s="56">
        <f>IFERROR(IF(($CA205)&gt;0,($EF205)/($CA205),""),"")</f>
        <v/>
      </c>
      <c r="EV205" s="56">
        <f>IFERROR(IF(($CB205)&gt;0,($EG205)/($CB205),""),"")</f>
        <v/>
      </c>
      <c r="EW205" s="76">
        <f>IFERROR(IF(($BZ205)&gt;0,($EH205)/($BZ205),""),"")</f>
        <v/>
      </c>
      <c r="EX205" s="76">
        <f>IFERROR(IF(($CA205)&gt;0,($EI205)/($CA205),""),"")</f>
        <v/>
      </c>
      <c r="EY205" s="76">
        <f>IFERROR(IF(($CB205)&gt;0,($EJ205)/($CB205),""),"")</f>
        <v/>
      </c>
      <c r="EZ205" s="56">
        <f>IFERROR(IF(($BZ205)&gt;0,($EK205)/($BZ205),""),"")</f>
        <v/>
      </c>
      <c r="FA205" s="56">
        <f>IFERROR(IF(($CA205)&gt;0,($EL205)/($CA205),""),"")</f>
        <v/>
      </c>
      <c r="FB205" s="56">
        <f>IFERROR(IF(($CB205)&gt;0,($EM205)/($CB205),""),"")</f>
        <v/>
      </c>
      <c r="FC205" s="55">
        <f>IF(SUMIFS(tblPlant[GIC_oz],tblPlant[Date],$A205)&gt;0,SUMIFS(tblPlant[GIC_oz],tblPlant[Date],$A205),"")</f>
        <v/>
      </c>
      <c r="FD205" s="55">
        <f>SUMIFS(tblGold[Gold_oz],tblGold[Date],$A205,tblGold[Type],"Shipment")</f>
        <v/>
      </c>
      <c r="FE205" s="55">
        <f>IF($B205=$B204,$FE204,0)+$FD205</f>
        <v/>
      </c>
      <c r="FF205" s="55">
        <f>$FF204+$FD205</f>
        <v/>
      </c>
      <c r="FG205" s="55">
        <f>SUMIFS(tblGold[Gold_oz],tblGold[Date],$A205,tblGold[Type],"Sale")</f>
        <v/>
      </c>
      <c r="FH205" s="55">
        <f>IF($B205=$B204,$FH204,0)+$FG205</f>
        <v/>
      </c>
      <c r="FI205" s="55">
        <f>$FI204+$FG205</f>
        <v/>
      </c>
      <c r="FJ205" s="55">
        <f>SUMIFS(tblGold[Dore_kg],tblGold[Date],$A205,tblGold[Type],"Shipment")</f>
        <v/>
      </c>
      <c r="FK205" s="55">
        <f>IF($B205=$B204,$FK204,0)+$FJ205</f>
        <v/>
      </c>
      <c r="FL205" s="55">
        <f>$FL204+$FJ205</f>
        <v/>
      </c>
      <c r="FM205" s="57">
        <f>SUMIFS(tblSafety[Hours_Total],tblSafety[Date],$A205)</f>
        <v/>
      </c>
      <c r="FN205" s="57">
        <f>IF($B205=$B204,$FN204,0)+$FM205</f>
        <v/>
      </c>
      <c r="FO205" s="57">
        <f>$FO204+$FM205</f>
        <v/>
      </c>
      <c r="FP205" s="62">
        <f>SUMIFS(tblSafety[Fatality],tblSafety[Date],$A205)</f>
        <v/>
      </c>
      <c r="FQ205" s="62">
        <f>IF($B205=$B204,$FQ204,0)+$FP205</f>
        <v/>
      </c>
      <c r="FR205" s="62">
        <f>$FR204+$FP205</f>
        <v/>
      </c>
      <c r="FS205" s="62">
        <f>SUMIFS(tblSafety[LTI],tblSafety[Date],$A205)</f>
        <v/>
      </c>
      <c r="FT205" s="62">
        <f>IF($B205=$B204,$FT204,0)+$FS205</f>
        <v/>
      </c>
      <c r="FU205" s="62">
        <f>$FU204+$FS205</f>
        <v/>
      </c>
      <c r="FV205" s="62">
        <f>SUMIFS(tblSafety[RWI],tblSafety[Date],$A205)</f>
        <v/>
      </c>
      <c r="FW205" s="62">
        <f>IF($B205=$B204,$FW204,0)+$FV205</f>
        <v/>
      </c>
      <c r="FX205" s="62">
        <f>$FX204+$FV205</f>
        <v/>
      </c>
      <c r="FY205" s="62">
        <f>SUMIFS(tblSafety[MTI],tblSafety[Date],$A205)</f>
        <v/>
      </c>
      <c r="FZ205" s="62">
        <f>IF($B205=$B204,$FZ204,0)+$FY205</f>
        <v/>
      </c>
      <c r="GA205" s="62">
        <f>$GA204+$FY205</f>
        <v/>
      </c>
      <c r="GB205" s="62">
        <f>SUMIFS(tblSafety[FAI],tblSafety[Date],$A205)</f>
        <v/>
      </c>
      <c r="GC205" s="62">
        <f>IF($B205=$B204,$GC204,0)+$GB205</f>
        <v/>
      </c>
      <c r="GD205" s="62">
        <f>$GD204+$GB205</f>
        <v/>
      </c>
      <c r="GE205" s="62">
        <f>SUMIFS(tblSafety[Recordables],tblSafety[Date],$A205)</f>
        <v/>
      </c>
      <c r="GF205" s="62">
        <f>IF($B205=$B204,$GF204,0)+$GE205</f>
        <v/>
      </c>
      <c r="GG205" s="62">
        <f>$GG204+$GE205</f>
        <v/>
      </c>
      <c r="GH205" s="62">
        <f>SUMIFS(tblSafety[Near_Miss],tblSafety[Date],$A205)</f>
        <v/>
      </c>
      <c r="GI205" s="62">
        <f>IF($B205=$B204,$GI204,0)+$GH205</f>
        <v/>
      </c>
      <c r="GJ205" s="62">
        <f>$GJ204+$GH205</f>
        <v/>
      </c>
      <c r="GK205" s="62">
        <f>SUMIFS(tblSafety[Hazard_Reports],tblSafety[Date],$A205)</f>
        <v/>
      </c>
      <c r="GL205" s="62">
        <f>IF($B205=$B204,$GL204,0)+$GK205</f>
        <v/>
      </c>
      <c r="GM205" s="62">
        <f>$GM204+$GK205</f>
        <v/>
      </c>
      <c r="GN205" s="62">
        <f>SUMIFS(tblSafety[HPI],tblSafety[Date],$A205)</f>
        <v/>
      </c>
      <c r="GO205" s="62">
        <f>IF($B205=$B204,$GO204,0)+$GN205</f>
        <v/>
      </c>
      <c r="GP205" s="62">
        <f>$GP204+$GN205</f>
        <v/>
      </c>
      <c r="GQ205" s="62">
        <f>SUMIFS(tblSafety[Env_Incidents],tblSafety[Date],$A205)</f>
        <v/>
      </c>
      <c r="GR205" s="62">
        <f>IF($B205=$B204,$GR204,0)+$GQ205</f>
        <v/>
      </c>
      <c r="GS205" s="62">
        <f>$GS204+$GQ205</f>
        <v/>
      </c>
      <c r="GT205" s="62">
        <f>SUMIFS(tblSafety[Community_Incidents],tblSafety[Date],$A205)</f>
        <v/>
      </c>
      <c r="GU205" s="62">
        <f>IF($B205=$B204,$GU204,0)+$GT205</f>
        <v/>
      </c>
      <c r="GV205" s="62">
        <f>$GV204+$GT205</f>
        <v/>
      </c>
      <c r="GW205" s="62">
        <f>SUMIFS(tblSafety[Vehicle_Incidents],tblSafety[Date],$A205)</f>
        <v/>
      </c>
      <c r="GX205" s="62">
        <f>IF($B205=$B204,$GX204,0)+$GW205</f>
        <v/>
      </c>
      <c r="GY205" s="62">
        <f>$GY204+$GW205</f>
        <v/>
      </c>
      <c r="GZ205" s="62">
        <f>SUMIFS(tblSafety[Toolbox_Talks],tblSafety[Date],$A205)</f>
        <v/>
      </c>
      <c r="HA205" s="62">
        <f>IF($B205=$B204,$HA204,0)+$GZ205</f>
        <v/>
      </c>
      <c r="HB205" s="62">
        <f>$HB204+$GZ205</f>
        <v/>
      </c>
      <c r="HC205" s="62">
        <f>SUMIFS(tblSafety[Inspections],tblSafety[Date],$A205)</f>
        <v/>
      </c>
      <c r="HD205" s="62">
        <f>IF($B205=$B204,$HD204,0)+$HC205</f>
        <v/>
      </c>
      <c r="HE205" s="62">
        <f>$HE204+$HC205</f>
        <v/>
      </c>
      <c r="HF205" s="56">
        <f>IFERROR((SUMIFS(tblSafety[Recordables],tblSafety[Date],"&gt;="&amp;EDATE($E205,-12),tblSafety[Date],"&lt;="&amp;$A205)+SUMIFS(tblSafetyHistory[Recordables],tblSafetyHistory[Month],"&gt;="&amp;EDATE($E205,-12),tblSafetyHistory[Month],"&lt;"&amp;cfg_YearStart))/(SUMIFS(tblSafety[Hours_Total],tblSafety[Date],"&gt;="&amp;EDATE($E205,-12),tblSafety[Date],"&lt;="&amp;$A205)+SUMIFS(tblSafetyHistory[Hours_Total],tblSafetyHistory[Month],"&gt;="&amp;EDATE($E205,-12),tblSafetyHistory[Month],"&lt;"&amp;cfg_YearStart))*1000000,"")</f>
        <v/>
      </c>
      <c r="HG205" s="56">
        <f>IFERROR((SUMIFS(tblSafety[LTI],tblSafety[Date],"&gt;="&amp;EDATE($E205,-12),tblSafety[Date],"&lt;="&amp;$A205)+SUMIFS(tblSafetyHistory[LTI],tblSafetyHistory[Month],"&gt;="&amp;EDATE($E205,-12),tblSafetyHistory[Month],"&lt;"&amp;cfg_YearStart))/(SUMIFS(tblSafety[Hours_Total],tblSafety[Date],"&gt;="&amp;EDATE($E205,-12),tblSafety[Date],"&lt;="&amp;$A205)+SUMIFS(tblSafetyHistory[Hours_Total],tblSafetyHistory[Month],"&gt;="&amp;EDATE($E205,-12),tblSafetyHistory[Month],"&lt;"&amp;cfg_YearStart))*1000000,"")</f>
        <v/>
      </c>
      <c r="HH205" s="62">
        <f>IF(MAX(N(cfg_PriorLTIDate),_xlfn.MAXIFS(tblSafety[Date],tblSafety[LTI],"&gt;0",tblSafety[Date],"&lt;="&amp;$A205))=0,"",$A205-MAX(N(cfg_PriorLTIDate),_xlfn.MAXIFS(tblSafety[Date],tblSafety[LTI],"&gt;0",tblSafety[Date],"&lt;="&amp;$A205)))</f>
        <v/>
      </c>
      <c r="HI205" s="55">
        <f>SUMIFS(tblBudget[Ore_Mined_t],tblBudget[Month],$E205)</f>
        <v/>
      </c>
      <c r="HJ205" s="55">
        <f>$HI205*$C205/$D205</f>
        <v/>
      </c>
      <c r="HK205" s="55">
        <f>SUMIFS(tblBudget[Ore_Mined_t],tblBudget[Month],"&lt;"&amp;$E205)+$HJ205</f>
        <v/>
      </c>
      <c r="HL205" s="55">
        <f>SUMIFS(tblBudget[Ore_oz],tblBudget[Month],$E205)</f>
        <v/>
      </c>
      <c r="HM205" s="55">
        <f>$HL205*$C205/$D205</f>
        <v/>
      </c>
      <c r="HN205" s="55">
        <f>SUMIFS(tblBudget[Ore_oz],tblBudget[Month],"&lt;"&amp;$E205)+$HM205</f>
        <v/>
      </c>
      <c r="HO205" s="56">
        <f>IFERROR(IF(($HI205)&gt;0,($HL205*cfg_TroyOz)/($HI205),""),"")</f>
        <v/>
      </c>
      <c r="HP205" s="56">
        <f>IFERROR(IF(($HJ205)&gt;0,($HM205*cfg_TroyOz)/($HJ205),""),"")</f>
        <v/>
      </c>
      <c r="HQ205" s="56">
        <f>IFERROR(IF(($HK205)&gt;0,($HN205*cfg_TroyOz)/($HK205),""),"")</f>
        <v/>
      </c>
      <c r="HR205" s="55">
        <f>SUMIFS(tblBudget[Waste_t],tblBudget[Month],$E205)</f>
        <v/>
      </c>
      <c r="HS205" s="55">
        <f>$HR205*$C205/$D205</f>
        <v/>
      </c>
      <c r="HT205" s="55">
        <f>SUMIFS(tblBudget[Waste_t],tblBudget[Month],"&lt;"&amp;$E205)+$HS205</f>
        <v/>
      </c>
      <c r="HU205" s="55">
        <f>SUMIFS(tblBudget[TMM_t],tblBudget[Month],$E205)</f>
        <v/>
      </c>
      <c r="HV205" s="55">
        <f>$HU205*$C205/$D205</f>
        <v/>
      </c>
      <c r="HW205" s="55">
        <f>SUMIFS(tblBudget[TMM_t],tblBudget[Month],"&lt;"&amp;$E205)+$HV205</f>
        <v/>
      </c>
      <c r="HX205" s="56">
        <f>IFERROR(IF(($HI205)&gt;0,($HR205)/($HI205),""),"")</f>
        <v/>
      </c>
      <c r="HY205" s="56">
        <f>IFERROR(IF(($HJ205)&gt;0,($HS205)/($HJ205),""),"")</f>
        <v/>
      </c>
      <c r="HZ205" s="56">
        <f>IFERROR(IF(($HK205)&gt;0,($HT205)/($HK205),""),"")</f>
        <v/>
      </c>
      <c r="IA205" s="55">
        <f>SUMIFS(tblBudget[Drill_m],tblBudget[Month],$E205)</f>
        <v/>
      </c>
      <c r="IB205" s="55">
        <f>$IA205*$C205/$D205</f>
        <v/>
      </c>
      <c r="IC205" s="55">
        <f>SUMIFS(tblBudget[Drill_m],tblBudget[Month],"&lt;"&amp;$E205)+$IB205</f>
        <v/>
      </c>
      <c r="ID205" s="55">
        <f>SUMIFS(tblBudget[Diesel_L],tblBudget[Month],$E205)</f>
        <v/>
      </c>
      <c r="IE205" s="55">
        <f>$ID205*$C205/$D205</f>
        <v/>
      </c>
      <c r="IF205" s="55">
        <f>SUMIFS(tblBudget[Diesel_L],tblBudget[Month],"&lt;"&amp;$E205)+$IE205</f>
        <v/>
      </c>
      <c r="IG205" s="55">
        <f>SUMIFS(tblBudget[Milled_t],tblBudget[Month],$E205)</f>
        <v/>
      </c>
      <c r="IH205" s="55">
        <f>$IG205*$C205/$D205</f>
        <v/>
      </c>
      <c r="II205" s="55">
        <f>SUMIFS(tblBudget[Milled_t],tblBudget[Month],"&lt;"&amp;$E205)+$IH205</f>
        <v/>
      </c>
      <c r="IJ205" s="55">
        <f>SUMIFS(tblBudget[Feed_oz],tblBudget[Month],$E205)</f>
        <v/>
      </c>
      <c r="IK205" s="55">
        <f>$IJ205*$C205/$D205</f>
        <v/>
      </c>
      <c r="IL205" s="55">
        <f>SUMIFS(tblBudget[Feed_oz],tblBudget[Month],"&lt;"&amp;$E205)+$IK205</f>
        <v/>
      </c>
      <c r="IM205" s="55">
        <f>SUMIFS(tblBudget[Recovered_oz],tblBudget[Month],$E205)</f>
        <v/>
      </c>
      <c r="IN205" s="55">
        <f>$IM205*$C205/$D205</f>
        <v/>
      </c>
      <c r="IO205" s="55">
        <f>SUMIFS(tblBudget[Recovered_oz],tblBudget[Month],"&lt;"&amp;$E205)+$IN205</f>
        <v/>
      </c>
      <c r="IP205" s="56">
        <f>IFERROR(IF(($IG205)&gt;0,($IJ205*cfg_TroyOz)/($IG205),""),"")</f>
        <v/>
      </c>
      <c r="IQ205" s="56">
        <f>IFERROR(IF(($IH205)&gt;0,($IK205*cfg_TroyOz)/($IH205),""),"")</f>
        <v/>
      </c>
      <c r="IR205" s="56">
        <f>IFERROR(IF(($II205)&gt;0,($IL205*cfg_TroyOz)/($II205),""),"")</f>
        <v/>
      </c>
      <c r="IS205" s="67">
        <f>IFERROR(IF(($IJ205)&gt;0,($IM205)/($IJ205),""),"")</f>
        <v/>
      </c>
      <c r="IT205" s="67">
        <f>IFERROR(IF(($IK205)&gt;0,($IN205)/($IK205),""),"")</f>
        <v/>
      </c>
      <c r="IU205" s="67">
        <f>IFERROR(IF(($IL205)&gt;0,($IO205)/($IL205),""),"")</f>
        <v/>
      </c>
      <c r="IV205" s="55">
        <f>SUMIFS(tblBudget[Gold_Poured_oz],tblBudget[Month],$E205)</f>
        <v/>
      </c>
      <c r="IW205" s="55">
        <f>$IV205*$C205/$D205</f>
        <v/>
      </c>
      <c r="IX205" s="55">
        <f>SUMIFS(tblBudget[Gold_Poured_oz],tblBudget[Month],"&lt;"&amp;$E205)+$IW205</f>
        <v/>
      </c>
      <c r="IY205" s="57">
        <f>SUMIFS(tblBudget[Hours_Worked],tblBudget[Month],$E205)</f>
        <v/>
      </c>
      <c r="IZ205" s="57">
        <f>$IY205*$C205/$D205</f>
        <v/>
      </c>
      <c r="JA205" s="57">
        <f>SUMIFS(tblBudget[Hours_Worked],tblBudget[Month],"&lt;"&amp;$E205)+$IZ205</f>
        <v/>
      </c>
    </row>
    <row r="206">
      <c r="A206" s="54" t="n">
        <v>46227</v>
      </c>
      <c r="B206">
        <f>MONTH($A206)</f>
        <v/>
      </c>
      <c r="C206">
        <f>DAY($A206)</f>
        <v/>
      </c>
      <c r="D206">
        <f>DAY(EOMONTH($A206,0))</f>
        <v/>
      </c>
      <c r="E206" s="54">
        <f>DATE(YEAR($A206),MONTH($A206),1)</f>
        <v/>
      </c>
      <c r="F206" s="55">
        <f>SUMIFS(tblMovement[Tonnes_t],tblMovement[Date],$A206,tblMovement[Is_Ore],1,tblMovement[Source_Type],"Pit")</f>
        <v/>
      </c>
      <c r="G206" s="55">
        <f>IF($B206=$B205,$G205,0)+$F206</f>
        <v/>
      </c>
      <c r="H206" s="55">
        <f>$H205+$F206</f>
        <v/>
      </c>
      <c r="I206" s="55">
        <f>SUMIFS(tblMovement[Ore_oz],tblMovement[Date],$A206,tblMovement[Source_Type],"Pit")</f>
        <v/>
      </c>
      <c r="J206" s="55">
        <f>IF($B206=$B205,$J205,0)+$I206</f>
        <v/>
      </c>
      <c r="K206" s="55">
        <f>$K205+$I206</f>
        <v/>
      </c>
      <c r="L206" s="56">
        <f>IFERROR(IF(($F206)&gt;0,($I206*cfg_TroyOz)/($F206),""),"")</f>
        <v/>
      </c>
      <c r="M206" s="56">
        <f>IFERROR(IF(($G206)&gt;0,($J206*cfg_TroyOz)/($G206),""),"")</f>
        <v/>
      </c>
      <c r="N206" s="56">
        <f>IFERROR(IF(($H206)&gt;0,($K206*cfg_TroyOz)/($H206),""),"")</f>
        <v/>
      </c>
      <c r="O206" s="55">
        <f>SUMIFS(tblMovement[Tonnes_t],tblMovement[Date],$A206,tblMovement[Is_Ore],0,tblMovement[Source_Type],"Pit")</f>
        <v/>
      </c>
      <c r="P206" s="55">
        <f>IF($B206=$B205,$P205,0)+$O206</f>
        <v/>
      </c>
      <c r="Q206" s="55">
        <f>$Q205+$O206</f>
        <v/>
      </c>
      <c r="R206" s="55">
        <f>$F206+$O206</f>
        <v/>
      </c>
      <c r="S206" s="55">
        <f>IF($B206=$B205,$S205,0)+$R206</f>
        <v/>
      </c>
      <c r="T206" s="55">
        <f>$T205+$R206</f>
        <v/>
      </c>
      <c r="U206" s="56">
        <f>IFERROR(IF(($F206)&gt;0,($O206)/($F206),""),"")</f>
        <v/>
      </c>
      <c r="V206" s="56">
        <f>IFERROR(IF(($G206)&gt;0,($P206)/($G206),""),"")</f>
        <v/>
      </c>
      <c r="W206" s="56">
        <f>IFERROR(IF(($H206)&gt;0,($Q206)/($H206),""),"")</f>
        <v/>
      </c>
      <c r="X206" s="55">
        <f>SUMIFS(tblMovement[Tonnes_t],tblMovement[Date],$A206,tblMovement[Source_Type],"Stockpile")</f>
        <v/>
      </c>
      <c r="Y206" s="55">
        <f>IF($B206=$B205,$Y205,0)+$X206</f>
        <v/>
      </c>
      <c r="Z206" s="55">
        <f>$Z205+$X206</f>
        <v/>
      </c>
      <c r="AA206" s="55">
        <f>SUMIFS(tblMiningDaily[Drill_m],tblMiningDaily[Date],$A206)</f>
        <v/>
      </c>
      <c r="AB206" s="55">
        <f>IF($B206=$B205,$AB205,0)+$AA206</f>
        <v/>
      </c>
      <c r="AC206" s="55">
        <f>$AC205+$AA206</f>
        <v/>
      </c>
      <c r="AD206" s="55">
        <f>SUMIFS(tblMiningDaily[Blast_t],tblMiningDaily[Date],$A206)</f>
        <v/>
      </c>
      <c r="AE206" s="55">
        <f>IF($B206=$B205,$AE205,0)+$AD206</f>
        <v/>
      </c>
      <c r="AF206" s="55">
        <f>$AF205+$AD206</f>
        <v/>
      </c>
      <c r="AG206" s="55">
        <f>SUMIFS(tblMiningDaily[Explosives_kg],tblMiningDaily[Date],$A206)</f>
        <v/>
      </c>
      <c r="AH206" s="55">
        <f>IF($B206=$B205,$AH205,0)+$AG206</f>
        <v/>
      </c>
      <c r="AI206" s="55">
        <f>$AI205+$AG206</f>
        <v/>
      </c>
      <c r="AJ206" s="56">
        <f>IFERROR(IF(($AD206)&gt;0,($AG206)/($AD206),""),"")</f>
        <v/>
      </c>
      <c r="AK206" s="56">
        <f>IFERROR(IF(($AE206)&gt;0,($AH206)/($AE206),""),"")</f>
        <v/>
      </c>
      <c r="AL206" s="56">
        <f>IFERROR(IF(($AF206)&gt;0,($AI206)/($AF206),""),"")</f>
        <v/>
      </c>
      <c r="AM206" s="55">
        <f>SUMIFS(tblMiningDaily[Diesel_L],tblMiningDaily[Date],$A206)</f>
        <v/>
      </c>
      <c r="AN206" s="55">
        <f>IF($B206=$B205,$AN205,0)+$AM206</f>
        <v/>
      </c>
      <c r="AO206" s="55">
        <f>$AO205+$AM206</f>
        <v/>
      </c>
      <c r="AP206" s="55">
        <f>SUMIFS(tblMiningDaily[Dewatering_m3],tblMiningDaily[Date],$A206)</f>
        <v/>
      </c>
      <c r="AQ206" s="55">
        <f>IF($B206=$B205,$AQ205,0)+$AP206</f>
        <v/>
      </c>
      <c r="AR206" s="55">
        <f>$AR205+$AP206</f>
        <v/>
      </c>
      <c r="AS206" s="57">
        <f>SUMIFS(tblFleet[Calendar_h],tblFleet[Date],$A206,tblFleet[Equipment_Class],"Excavator")</f>
        <v/>
      </c>
      <c r="AT206" s="57">
        <f>IF($B206=$B205,$AT205,0)+$AS206</f>
        <v/>
      </c>
      <c r="AU206" s="57">
        <f>$AU205+$AS206</f>
        <v/>
      </c>
      <c r="AV206" s="57">
        <f>SUMIFS(tblFleet[Available_h],tblFleet[Date],$A206,tblFleet[Equipment_Class],"Excavator")</f>
        <v/>
      </c>
      <c r="AW206" s="57">
        <f>IF($B206=$B205,$AW205,0)+$AV206</f>
        <v/>
      </c>
      <c r="AX206" s="57">
        <f>$AX205+$AV206</f>
        <v/>
      </c>
      <c r="AY206" s="57">
        <f>SUMIFS(tblFleet[Operating_h],tblFleet[Date],$A206,tblFleet[Equipment_Class],"Excavator")</f>
        <v/>
      </c>
      <c r="AZ206" s="57">
        <f>IF($B206=$B205,$AZ205,0)+$AY206</f>
        <v/>
      </c>
      <c r="BA206" s="57">
        <f>$BA205+$AY206</f>
        <v/>
      </c>
      <c r="BB206" s="67">
        <f>IFERROR(IF(($AS206)&gt;0,($AV206)/($AS206),""),"")</f>
        <v/>
      </c>
      <c r="BC206" s="67">
        <f>IFERROR(IF(($AT206)&gt;0,($AW206)/($AT206),""),"")</f>
        <v/>
      </c>
      <c r="BD206" s="67">
        <f>IFERROR(IF(($AU206)&gt;0,($AX206)/($AU206),""),"")</f>
        <v/>
      </c>
      <c r="BE206" s="67">
        <f>IFERROR(IF(($AV206)&gt;0,($AY206)/($AV206),""),"")</f>
        <v/>
      </c>
      <c r="BF206" s="67">
        <f>IFERROR(IF(($AW206)&gt;0,($AZ206)/($AW206),""),"")</f>
        <v/>
      </c>
      <c r="BG206" s="67">
        <f>IFERROR(IF(($AX206)&gt;0,($BA206)/($AX206),""),"")</f>
        <v/>
      </c>
      <c r="BH206" s="57">
        <f>SUMIFS(tblFleet[Calendar_h],tblFleet[Date],$A206,tblFleet[Equipment_Class],"Haul Truck")</f>
        <v/>
      </c>
      <c r="BI206" s="57">
        <f>IF($B206=$B205,$BI205,0)+$BH206</f>
        <v/>
      </c>
      <c r="BJ206" s="57">
        <f>$BJ205+$BH206</f>
        <v/>
      </c>
      <c r="BK206" s="57">
        <f>SUMIFS(tblFleet[Available_h],tblFleet[Date],$A206,tblFleet[Equipment_Class],"Haul Truck")</f>
        <v/>
      </c>
      <c r="BL206" s="57">
        <f>IF($B206=$B205,$BL205,0)+$BK206</f>
        <v/>
      </c>
      <c r="BM206" s="57">
        <f>$BM205+$BK206</f>
        <v/>
      </c>
      <c r="BN206" s="57">
        <f>SUMIFS(tblFleet[Operating_h],tblFleet[Date],$A206,tblFleet[Equipment_Class],"Haul Truck")</f>
        <v/>
      </c>
      <c r="BO206" s="57">
        <f>IF($B206=$B205,$BO205,0)+$BN206</f>
        <v/>
      </c>
      <c r="BP206" s="57">
        <f>$BP205+$BN206</f>
        <v/>
      </c>
      <c r="BQ206" s="67">
        <f>IFERROR(IF(($BH206)&gt;0,($BK206)/($BH206),""),"")</f>
        <v/>
      </c>
      <c r="BR206" s="67">
        <f>IFERROR(IF(($BI206)&gt;0,($BL206)/($BI206),""),"")</f>
        <v/>
      </c>
      <c r="BS206" s="67">
        <f>IFERROR(IF(($BJ206)&gt;0,($BM206)/($BJ206),""),"")</f>
        <v/>
      </c>
      <c r="BT206" s="67">
        <f>IFERROR(IF(($BK206)&gt;0,($BN206)/($BK206),""),"")</f>
        <v/>
      </c>
      <c r="BU206" s="67">
        <f>IFERROR(IF(($BL206)&gt;0,($BO206)/($BL206),""),"")</f>
        <v/>
      </c>
      <c r="BV206" s="67">
        <f>IFERROR(IF(($BM206)&gt;0,($BP206)/($BM206),""),"")</f>
        <v/>
      </c>
      <c r="BW206" s="55">
        <f>SUMIFS(tblPlant[Crushed_t],tblPlant[Date],$A206)</f>
        <v/>
      </c>
      <c r="BX206" s="55">
        <f>IF($B206=$B205,$BX205,0)+$BW206</f>
        <v/>
      </c>
      <c r="BY206" s="55">
        <f>$BY205+$BW206</f>
        <v/>
      </c>
      <c r="BZ206" s="55">
        <f>SUMIFS(tblPlant[Milled_t],tblPlant[Date],$A206)</f>
        <v/>
      </c>
      <c r="CA206" s="55">
        <f>IF($B206=$B205,$CA205,0)+$BZ206</f>
        <v/>
      </c>
      <c r="CB206" s="55">
        <f>$CB205+$BZ206</f>
        <v/>
      </c>
      <c r="CC206" s="55">
        <f>SUMIFS(tblPlant[Feed_oz],tblPlant[Date],$A206)</f>
        <v/>
      </c>
      <c r="CD206" s="55">
        <f>IF($B206=$B205,$CD205,0)+$CC206</f>
        <v/>
      </c>
      <c r="CE206" s="55">
        <f>$CE205+$CC206</f>
        <v/>
      </c>
      <c r="CF206" s="55">
        <f>SUMIFS(tblPlant[Tails_oz],tblPlant[Date],$A206)</f>
        <v/>
      </c>
      <c r="CG206" s="55">
        <f>IF($B206=$B205,$CG205,0)+$CF206</f>
        <v/>
      </c>
      <c r="CH206" s="55">
        <f>$CH205+$CF206</f>
        <v/>
      </c>
      <c r="CI206" s="55">
        <f>SUMIFS(tblPlant[Recovered_oz],tblPlant[Date],$A206)</f>
        <v/>
      </c>
      <c r="CJ206" s="55">
        <f>IF($B206=$B205,$CJ205,0)+$CI206</f>
        <v/>
      </c>
      <c r="CK206" s="55">
        <f>$CK205+$CI206</f>
        <v/>
      </c>
      <c r="CL206" s="56">
        <f>IFERROR(IF(($BZ206)&gt;0,($CC206*cfg_TroyOz)/($BZ206),""),"")</f>
        <v/>
      </c>
      <c r="CM206" s="56">
        <f>IFERROR(IF(($CA206)&gt;0,($CD206*cfg_TroyOz)/($CA206),""),"")</f>
        <v/>
      </c>
      <c r="CN206" s="56">
        <f>IFERROR(IF(($CB206)&gt;0,($CE206*cfg_TroyOz)/($CB206),""),"")</f>
        <v/>
      </c>
      <c r="CO206" s="56">
        <f>IFERROR(IF(($BZ206)&gt;0,($CF206*cfg_TroyOz)/($BZ206),""),"")</f>
        <v/>
      </c>
      <c r="CP206" s="56">
        <f>IFERROR(IF(($CA206)&gt;0,($CG206*cfg_TroyOz)/($CA206),""),"")</f>
        <v/>
      </c>
      <c r="CQ206" s="56">
        <f>IFERROR(IF(($CB206)&gt;0,($CH206*cfg_TroyOz)/($CB206),""),"")</f>
        <v/>
      </c>
      <c r="CR206" s="67">
        <f>IFERROR(IF(($CC206)&gt;0,($CI206)/($CC206),""),"")</f>
        <v/>
      </c>
      <c r="CS206" s="67">
        <f>IFERROR(IF(($CD206)&gt;0,($CJ206)/($CD206),""),"")</f>
        <v/>
      </c>
      <c r="CT206" s="67">
        <f>IFERROR(IF(($CE206)&gt;0,($CK206)/($CE206),""),"")</f>
        <v/>
      </c>
      <c r="CU206" s="55">
        <f>SUMIFS(tblPlant[Gravity_Gold_oz],tblPlant[Date],$A206)</f>
        <v/>
      </c>
      <c r="CV206" s="55">
        <f>IF($B206=$B205,$CV205,0)+$CU206</f>
        <v/>
      </c>
      <c r="CW206" s="55">
        <f>$CW205+$CU206</f>
        <v/>
      </c>
      <c r="CX206" s="55">
        <f>SUMIFS(tblPlant[Gold_Poured_oz],tblPlant[Date],$A206)</f>
        <v/>
      </c>
      <c r="CY206" s="55">
        <f>IF($B206=$B205,$CY205,0)+$CX206</f>
        <v/>
      </c>
      <c r="CZ206" s="55">
        <f>$CZ205+$CX206</f>
        <v/>
      </c>
      <c r="DA206" s="57">
        <f>SUMIFS(tblPlant[Mill_Run_h],tblPlant[Date],$A206)</f>
        <v/>
      </c>
      <c r="DB206" s="57">
        <f>IF($B206=$B205,$DB205,0)+$DA206</f>
        <v/>
      </c>
      <c r="DC206" s="57">
        <f>$DC205+$DA206</f>
        <v/>
      </c>
      <c r="DD206" s="57">
        <f>SUMIFS(tblPlant[Mill_Planned_Maint_h],tblPlant[Date],$A206)</f>
        <v/>
      </c>
      <c r="DE206" s="57">
        <f>IF($B206=$B205,$DE205,0)+$DD206</f>
        <v/>
      </c>
      <c r="DF206" s="57">
        <f>$DF205+$DD206</f>
        <v/>
      </c>
      <c r="DG206" s="57">
        <f>SUMIFS(tblPlant[Mill_Unplanned_Down_h],tblPlant[Date],$A206)</f>
        <v/>
      </c>
      <c r="DH206" s="57">
        <f>IF($B206=$B205,$DH205,0)+$DG206</f>
        <v/>
      </c>
      <c r="DI206" s="57">
        <f>$DI205+$DG206</f>
        <v/>
      </c>
      <c r="DJ206" s="57">
        <f>COUNTIFS(tblPlant[Date],$A206,tblPlant[Mill_Run_h],"&lt;&gt;")*24</f>
        <v/>
      </c>
      <c r="DK206" s="57">
        <f>IF($B206=$B205,$DK205,0)+$DJ206</f>
        <v/>
      </c>
      <c r="DL206" s="57">
        <f>$DL205+$DJ206</f>
        <v/>
      </c>
      <c r="DM206" s="57">
        <f>SUMIFS(tblPlant[Crusher_Run_h],tblPlant[Date],$A206)</f>
        <v/>
      </c>
      <c r="DN206" s="57">
        <f>IF($B206=$B205,$DN205,0)+$DM206</f>
        <v/>
      </c>
      <c r="DO206" s="57">
        <f>$DO205+$DM206</f>
        <v/>
      </c>
      <c r="DP206" s="55">
        <f>IFERROR(IF(($DA206)&gt;0,($BZ206)/($DA206),""),"")</f>
        <v/>
      </c>
      <c r="DQ206" s="55">
        <f>IFERROR(IF(($DB206)&gt;0,($CA206)/($DB206),""),"")</f>
        <v/>
      </c>
      <c r="DR206" s="55">
        <f>IFERROR(IF(($DC206)&gt;0,($CB206)/($DC206),""),"")</f>
        <v/>
      </c>
      <c r="DS206" s="67">
        <f>IFERROR(IF(($DJ206)&gt;0,($DJ206-$DD206-$DG206)/($DJ206),""),"")</f>
        <v/>
      </c>
      <c r="DT206" s="67">
        <f>IFERROR(IF(($DK206)&gt;0,($DK206-$DE206-$DH206)/($DK206),""),"")</f>
        <v/>
      </c>
      <c r="DU206" s="67">
        <f>IFERROR(IF(($DL206)&gt;0,($DL206-$DF206-$DI206)/($DL206),""),"")</f>
        <v/>
      </c>
      <c r="DV206" s="67">
        <f>IFERROR(IF(($DJ206-$DD206-$DG206)&gt;0,($DA206)/($DJ206-$DD206-$DG206),""),"")</f>
        <v/>
      </c>
      <c r="DW206" s="67">
        <f>IFERROR(IF(($DK206-$DE206-$DH206)&gt;0,($DB206)/($DK206-$DE206-$DH206),""),"")</f>
        <v/>
      </c>
      <c r="DX206" s="67">
        <f>IFERROR(IF(($DL206-$DF206-$DI206)&gt;0,($DC206)/($DL206-$DF206-$DI206),""),"")</f>
        <v/>
      </c>
      <c r="DY206" s="55">
        <f>SUMIFS(tblPlant[Cyanide_kg],tblPlant[Date],$A206)</f>
        <v/>
      </c>
      <c r="DZ206" s="55">
        <f>IF($B206=$B205,$DZ205,0)+$DY206</f>
        <v/>
      </c>
      <c r="EA206" s="55">
        <f>$EA205+$DY206</f>
        <v/>
      </c>
      <c r="EB206" s="55">
        <f>SUMIFS(tblPlant[Lime_kg],tblPlant[Date],$A206)</f>
        <v/>
      </c>
      <c r="EC206" s="55">
        <f>IF($B206=$B205,$EC205,0)+$EB206</f>
        <v/>
      </c>
      <c r="ED206" s="55">
        <f>$ED205+$EB206</f>
        <v/>
      </c>
      <c r="EE206" s="55">
        <f>SUMIFS(tblPlant[Grinding_Media_kg],tblPlant[Date],$A206)</f>
        <v/>
      </c>
      <c r="EF206" s="55">
        <f>IF($B206=$B205,$EF205,0)+$EE206</f>
        <v/>
      </c>
      <c r="EG206" s="55">
        <f>$EG205+$EE206</f>
        <v/>
      </c>
      <c r="EH206" s="55">
        <f>SUMIFS(tblPlant[Power_kWh],tblPlant[Date],$A206)</f>
        <v/>
      </c>
      <c r="EI206" s="55">
        <f>IF($B206=$B205,$EI205,0)+$EH206</f>
        <v/>
      </c>
      <c r="EJ206" s="55">
        <f>$EJ205+$EH206</f>
        <v/>
      </c>
      <c r="EK206" s="55">
        <f>SUMIFS(tblPlant[Raw_Water_m3],tblPlant[Date],$A206)</f>
        <v/>
      </c>
      <c r="EL206" s="55">
        <f>IF($B206=$B205,$EL205,0)+$EK206</f>
        <v/>
      </c>
      <c r="EM206" s="55">
        <f>$EM205+$EK206</f>
        <v/>
      </c>
      <c r="EN206" s="56">
        <f>IFERROR(IF(($BZ206)&gt;0,($DY206)/($BZ206),""),"")</f>
        <v/>
      </c>
      <c r="EO206" s="56">
        <f>IFERROR(IF(($CA206)&gt;0,($DZ206)/($CA206),""),"")</f>
        <v/>
      </c>
      <c r="EP206" s="56">
        <f>IFERROR(IF(($CB206)&gt;0,($EA206)/($CB206),""),"")</f>
        <v/>
      </c>
      <c r="EQ206" s="56">
        <f>IFERROR(IF(($BZ206)&gt;0,($EB206)/($BZ206),""),"")</f>
        <v/>
      </c>
      <c r="ER206" s="56">
        <f>IFERROR(IF(($CA206)&gt;0,($EC206)/($CA206),""),"")</f>
        <v/>
      </c>
      <c r="ES206" s="56">
        <f>IFERROR(IF(($CB206)&gt;0,($ED206)/($CB206),""),"")</f>
        <v/>
      </c>
      <c r="ET206" s="56">
        <f>IFERROR(IF(($BZ206)&gt;0,($EE206)/($BZ206),""),"")</f>
        <v/>
      </c>
      <c r="EU206" s="56">
        <f>IFERROR(IF(($CA206)&gt;0,($EF206)/($CA206),""),"")</f>
        <v/>
      </c>
      <c r="EV206" s="56">
        <f>IFERROR(IF(($CB206)&gt;0,($EG206)/($CB206),""),"")</f>
        <v/>
      </c>
      <c r="EW206" s="76">
        <f>IFERROR(IF(($BZ206)&gt;0,($EH206)/($BZ206),""),"")</f>
        <v/>
      </c>
      <c r="EX206" s="76">
        <f>IFERROR(IF(($CA206)&gt;0,($EI206)/($CA206),""),"")</f>
        <v/>
      </c>
      <c r="EY206" s="76">
        <f>IFERROR(IF(($CB206)&gt;0,($EJ206)/($CB206),""),"")</f>
        <v/>
      </c>
      <c r="EZ206" s="56">
        <f>IFERROR(IF(($BZ206)&gt;0,($EK206)/($BZ206),""),"")</f>
        <v/>
      </c>
      <c r="FA206" s="56">
        <f>IFERROR(IF(($CA206)&gt;0,($EL206)/($CA206),""),"")</f>
        <v/>
      </c>
      <c r="FB206" s="56">
        <f>IFERROR(IF(($CB206)&gt;0,($EM206)/($CB206),""),"")</f>
        <v/>
      </c>
      <c r="FC206" s="55">
        <f>IF(SUMIFS(tblPlant[GIC_oz],tblPlant[Date],$A206)&gt;0,SUMIFS(tblPlant[GIC_oz],tblPlant[Date],$A206),"")</f>
        <v/>
      </c>
      <c r="FD206" s="55">
        <f>SUMIFS(tblGold[Gold_oz],tblGold[Date],$A206,tblGold[Type],"Shipment")</f>
        <v/>
      </c>
      <c r="FE206" s="55">
        <f>IF($B206=$B205,$FE205,0)+$FD206</f>
        <v/>
      </c>
      <c r="FF206" s="55">
        <f>$FF205+$FD206</f>
        <v/>
      </c>
      <c r="FG206" s="55">
        <f>SUMIFS(tblGold[Gold_oz],tblGold[Date],$A206,tblGold[Type],"Sale")</f>
        <v/>
      </c>
      <c r="FH206" s="55">
        <f>IF($B206=$B205,$FH205,0)+$FG206</f>
        <v/>
      </c>
      <c r="FI206" s="55">
        <f>$FI205+$FG206</f>
        <v/>
      </c>
      <c r="FJ206" s="55">
        <f>SUMIFS(tblGold[Dore_kg],tblGold[Date],$A206,tblGold[Type],"Shipment")</f>
        <v/>
      </c>
      <c r="FK206" s="55">
        <f>IF($B206=$B205,$FK205,0)+$FJ206</f>
        <v/>
      </c>
      <c r="FL206" s="55">
        <f>$FL205+$FJ206</f>
        <v/>
      </c>
      <c r="FM206" s="57">
        <f>SUMIFS(tblSafety[Hours_Total],tblSafety[Date],$A206)</f>
        <v/>
      </c>
      <c r="FN206" s="57">
        <f>IF($B206=$B205,$FN205,0)+$FM206</f>
        <v/>
      </c>
      <c r="FO206" s="57">
        <f>$FO205+$FM206</f>
        <v/>
      </c>
      <c r="FP206" s="62">
        <f>SUMIFS(tblSafety[Fatality],tblSafety[Date],$A206)</f>
        <v/>
      </c>
      <c r="FQ206" s="62">
        <f>IF($B206=$B205,$FQ205,0)+$FP206</f>
        <v/>
      </c>
      <c r="FR206" s="62">
        <f>$FR205+$FP206</f>
        <v/>
      </c>
      <c r="FS206" s="62">
        <f>SUMIFS(tblSafety[LTI],tblSafety[Date],$A206)</f>
        <v/>
      </c>
      <c r="FT206" s="62">
        <f>IF($B206=$B205,$FT205,0)+$FS206</f>
        <v/>
      </c>
      <c r="FU206" s="62">
        <f>$FU205+$FS206</f>
        <v/>
      </c>
      <c r="FV206" s="62">
        <f>SUMIFS(tblSafety[RWI],tblSafety[Date],$A206)</f>
        <v/>
      </c>
      <c r="FW206" s="62">
        <f>IF($B206=$B205,$FW205,0)+$FV206</f>
        <v/>
      </c>
      <c r="FX206" s="62">
        <f>$FX205+$FV206</f>
        <v/>
      </c>
      <c r="FY206" s="62">
        <f>SUMIFS(tblSafety[MTI],tblSafety[Date],$A206)</f>
        <v/>
      </c>
      <c r="FZ206" s="62">
        <f>IF($B206=$B205,$FZ205,0)+$FY206</f>
        <v/>
      </c>
      <c r="GA206" s="62">
        <f>$GA205+$FY206</f>
        <v/>
      </c>
      <c r="GB206" s="62">
        <f>SUMIFS(tblSafety[FAI],tblSafety[Date],$A206)</f>
        <v/>
      </c>
      <c r="GC206" s="62">
        <f>IF($B206=$B205,$GC205,0)+$GB206</f>
        <v/>
      </c>
      <c r="GD206" s="62">
        <f>$GD205+$GB206</f>
        <v/>
      </c>
      <c r="GE206" s="62">
        <f>SUMIFS(tblSafety[Recordables],tblSafety[Date],$A206)</f>
        <v/>
      </c>
      <c r="GF206" s="62">
        <f>IF($B206=$B205,$GF205,0)+$GE206</f>
        <v/>
      </c>
      <c r="GG206" s="62">
        <f>$GG205+$GE206</f>
        <v/>
      </c>
      <c r="GH206" s="62">
        <f>SUMIFS(tblSafety[Near_Miss],tblSafety[Date],$A206)</f>
        <v/>
      </c>
      <c r="GI206" s="62">
        <f>IF($B206=$B205,$GI205,0)+$GH206</f>
        <v/>
      </c>
      <c r="GJ206" s="62">
        <f>$GJ205+$GH206</f>
        <v/>
      </c>
      <c r="GK206" s="62">
        <f>SUMIFS(tblSafety[Hazard_Reports],tblSafety[Date],$A206)</f>
        <v/>
      </c>
      <c r="GL206" s="62">
        <f>IF($B206=$B205,$GL205,0)+$GK206</f>
        <v/>
      </c>
      <c r="GM206" s="62">
        <f>$GM205+$GK206</f>
        <v/>
      </c>
      <c r="GN206" s="62">
        <f>SUMIFS(tblSafety[HPI],tblSafety[Date],$A206)</f>
        <v/>
      </c>
      <c r="GO206" s="62">
        <f>IF($B206=$B205,$GO205,0)+$GN206</f>
        <v/>
      </c>
      <c r="GP206" s="62">
        <f>$GP205+$GN206</f>
        <v/>
      </c>
      <c r="GQ206" s="62">
        <f>SUMIFS(tblSafety[Env_Incidents],tblSafety[Date],$A206)</f>
        <v/>
      </c>
      <c r="GR206" s="62">
        <f>IF($B206=$B205,$GR205,0)+$GQ206</f>
        <v/>
      </c>
      <c r="GS206" s="62">
        <f>$GS205+$GQ206</f>
        <v/>
      </c>
      <c r="GT206" s="62">
        <f>SUMIFS(tblSafety[Community_Incidents],tblSafety[Date],$A206)</f>
        <v/>
      </c>
      <c r="GU206" s="62">
        <f>IF($B206=$B205,$GU205,0)+$GT206</f>
        <v/>
      </c>
      <c r="GV206" s="62">
        <f>$GV205+$GT206</f>
        <v/>
      </c>
      <c r="GW206" s="62">
        <f>SUMIFS(tblSafety[Vehicle_Incidents],tblSafety[Date],$A206)</f>
        <v/>
      </c>
      <c r="GX206" s="62">
        <f>IF($B206=$B205,$GX205,0)+$GW206</f>
        <v/>
      </c>
      <c r="GY206" s="62">
        <f>$GY205+$GW206</f>
        <v/>
      </c>
      <c r="GZ206" s="62">
        <f>SUMIFS(tblSafety[Toolbox_Talks],tblSafety[Date],$A206)</f>
        <v/>
      </c>
      <c r="HA206" s="62">
        <f>IF($B206=$B205,$HA205,0)+$GZ206</f>
        <v/>
      </c>
      <c r="HB206" s="62">
        <f>$HB205+$GZ206</f>
        <v/>
      </c>
      <c r="HC206" s="62">
        <f>SUMIFS(tblSafety[Inspections],tblSafety[Date],$A206)</f>
        <v/>
      </c>
      <c r="HD206" s="62">
        <f>IF($B206=$B205,$HD205,0)+$HC206</f>
        <v/>
      </c>
      <c r="HE206" s="62">
        <f>$HE205+$HC206</f>
        <v/>
      </c>
      <c r="HF206" s="56">
        <f>IFERROR((SUMIFS(tblSafety[Recordables],tblSafety[Date],"&gt;="&amp;EDATE($E206,-12),tblSafety[Date],"&lt;="&amp;$A206)+SUMIFS(tblSafetyHistory[Recordables],tblSafetyHistory[Month],"&gt;="&amp;EDATE($E206,-12),tblSafetyHistory[Month],"&lt;"&amp;cfg_YearStart))/(SUMIFS(tblSafety[Hours_Total],tblSafety[Date],"&gt;="&amp;EDATE($E206,-12),tblSafety[Date],"&lt;="&amp;$A206)+SUMIFS(tblSafetyHistory[Hours_Total],tblSafetyHistory[Month],"&gt;="&amp;EDATE($E206,-12),tblSafetyHistory[Month],"&lt;"&amp;cfg_YearStart))*1000000,"")</f>
        <v/>
      </c>
      <c r="HG206" s="56">
        <f>IFERROR((SUMIFS(tblSafety[LTI],tblSafety[Date],"&gt;="&amp;EDATE($E206,-12),tblSafety[Date],"&lt;="&amp;$A206)+SUMIFS(tblSafetyHistory[LTI],tblSafetyHistory[Month],"&gt;="&amp;EDATE($E206,-12),tblSafetyHistory[Month],"&lt;"&amp;cfg_YearStart))/(SUMIFS(tblSafety[Hours_Total],tblSafety[Date],"&gt;="&amp;EDATE($E206,-12),tblSafety[Date],"&lt;="&amp;$A206)+SUMIFS(tblSafetyHistory[Hours_Total],tblSafetyHistory[Month],"&gt;="&amp;EDATE($E206,-12),tblSafetyHistory[Month],"&lt;"&amp;cfg_YearStart))*1000000,"")</f>
        <v/>
      </c>
      <c r="HH206" s="62">
        <f>IF(MAX(N(cfg_PriorLTIDate),_xlfn.MAXIFS(tblSafety[Date],tblSafety[LTI],"&gt;0",tblSafety[Date],"&lt;="&amp;$A206))=0,"",$A206-MAX(N(cfg_PriorLTIDate),_xlfn.MAXIFS(tblSafety[Date],tblSafety[LTI],"&gt;0",tblSafety[Date],"&lt;="&amp;$A206)))</f>
        <v/>
      </c>
      <c r="HI206" s="55">
        <f>SUMIFS(tblBudget[Ore_Mined_t],tblBudget[Month],$E206)</f>
        <v/>
      </c>
      <c r="HJ206" s="55">
        <f>$HI206*$C206/$D206</f>
        <v/>
      </c>
      <c r="HK206" s="55">
        <f>SUMIFS(tblBudget[Ore_Mined_t],tblBudget[Month],"&lt;"&amp;$E206)+$HJ206</f>
        <v/>
      </c>
      <c r="HL206" s="55">
        <f>SUMIFS(tblBudget[Ore_oz],tblBudget[Month],$E206)</f>
        <v/>
      </c>
      <c r="HM206" s="55">
        <f>$HL206*$C206/$D206</f>
        <v/>
      </c>
      <c r="HN206" s="55">
        <f>SUMIFS(tblBudget[Ore_oz],tblBudget[Month],"&lt;"&amp;$E206)+$HM206</f>
        <v/>
      </c>
      <c r="HO206" s="56">
        <f>IFERROR(IF(($HI206)&gt;0,($HL206*cfg_TroyOz)/($HI206),""),"")</f>
        <v/>
      </c>
      <c r="HP206" s="56">
        <f>IFERROR(IF(($HJ206)&gt;0,($HM206*cfg_TroyOz)/($HJ206),""),"")</f>
        <v/>
      </c>
      <c r="HQ206" s="56">
        <f>IFERROR(IF(($HK206)&gt;0,($HN206*cfg_TroyOz)/($HK206),""),"")</f>
        <v/>
      </c>
      <c r="HR206" s="55">
        <f>SUMIFS(tblBudget[Waste_t],tblBudget[Month],$E206)</f>
        <v/>
      </c>
      <c r="HS206" s="55">
        <f>$HR206*$C206/$D206</f>
        <v/>
      </c>
      <c r="HT206" s="55">
        <f>SUMIFS(tblBudget[Waste_t],tblBudget[Month],"&lt;"&amp;$E206)+$HS206</f>
        <v/>
      </c>
      <c r="HU206" s="55">
        <f>SUMIFS(tblBudget[TMM_t],tblBudget[Month],$E206)</f>
        <v/>
      </c>
      <c r="HV206" s="55">
        <f>$HU206*$C206/$D206</f>
        <v/>
      </c>
      <c r="HW206" s="55">
        <f>SUMIFS(tblBudget[TMM_t],tblBudget[Month],"&lt;"&amp;$E206)+$HV206</f>
        <v/>
      </c>
      <c r="HX206" s="56">
        <f>IFERROR(IF(($HI206)&gt;0,($HR206)/($HI206),""),"")</f>
        <v/>
      </c>
      <c r="HY206" s="56">
        <f>IFERROR(IF(($HJ206)&gt;0,($HS206)/($HJ206),""),"")</f>
        <v/>
      </c>
      <c r="HZ206" s="56">
        <f>IFERROR(IF(($HK206)&gt;0,($HT206)/($HK206),""),"")</f>
        <v/>
      </c>
      <c r="IA206" s="55">
        <f>SUMIFS(tblBudget[Drill_m],tblBudget[Month],$E206)</f>
        <v/>
      </c>
      <c r="IB206" s="55">
        <f>$IA206*$C206/$D206</f>
        <v/>
      </c>
      <c r="IC206" s="55">
        <f>SUMIFS(tblBudget[Drill_m],tblBudget[Month],"&lt;"&amp;$E206)+$IB206</f>
        <v/>
      </c>
      <c r="ID206" s="55">
        <f>SUMIFS(tblBudget[Diesel_L],tblBudget[Month],$E206)</f>
        <v/>
      </c>
      <c r="IE206" s="55">
        <f>$ID206*$C206/$D206</f>
        <v/>
      </c>
      <c r="IF206" s="55">
        <f>SUMIFS(tblBudget[Diesel_L],tblBudget[Month],"&lt;"&amp;$E206)+$IE206</f>
        <v/>
      </c>
      <c r="IG206" s="55">
        <f>SUMIFS(tblBudget[Milled_t],tblBudget[Month],$E206)</f>
        <v/>
      </c>
      <c r="IH206" s="55">
        <f>$IG206*$C206/$D206</f>
        <v/>
      </c>
      <c r="II206" s="55">
        <f>SUMIFS(tblBudget[Milled_t],tblBudget[Month],"&lt;"&amp;$E206)+$IH206</f>
        <v/>
      </c>
      <c r="IJ206" s="55">
        <f>SUMIFS(tblBudget[Feed_oz],tblBudget[Month],$E206)</f>
        <v/>
      </c>
      <c r="IK206" s="55">
        <f>$IJ206*$C206/$D206</f>
        <v/>
      </c>
      <c r="IL206" s="55">
        <f>SUMIFS(tblBudget[Feed_oz],tblBudget[Month],"&lt;"&amp;$E206)+$IK206</f>
        <v/>
      </c>
      <c r="IM206" s="55">
        <f>SUMIFS(tblBudget[Recovered_oz],tblBudget[Month],$E206)</f>
        <v/>
      </c>
      <c r="IN206" s="55">
        <f>$IM206*$C206/$D206</f>
        <v/>
      </c>
      <c r="IO206" s="55">
        <f>SUMIFS(tblBudget[Recovered_oz],tblBudget[Month],"&lt;"&amp;$E206)+$IN206</f>
        <v/>
      </c>
      <c r="IP206" s="56">
        <f>IFERROR(IF(($IG206)&gt;0,($IJ206*cfg_TroyOz)/($IG206),""),"")</f>
        <v/>
      </c>
      <c r="IQ206" s="56">
        <f>IFERROR(IF(($IH206)&gt;0,($IK206*cfg_TroyOz)/($IH206),""),"")</f>
        <v/>
      </c>
      <c r="IR206" s="56">
        <f>IFERROR(IF(($II206)&gt;0,($IL206*cfg_TroyOz)/($II206),""),"")</f>
        <v/>
      </c>
      <c r="IS206" s="67">
        <f>IFERROR(IF(($IJ206)&gt;0,($IM206)/($IJ206),""),"")</f>
        <v/>
      </c>
      <c r="IT206" s="67">
        <f>IFERROR(IF(($IK206)&gt;0,($IN206)/($IK206),""),"")</f>
        <v/>
      </c>
      <c r="IU206" s="67">
        <f>IFERROR(IF(($IL206)&gt;0,($IO206)/($IL206),""),"")</f>
        <v/>
      </c>
      <c r="IV206" s="55">
        <f>SUMIFS(tblBudget[Gold_Poured_oz],tblBudget[Month],$E206)</f>
        <v/>
      </c>
      <c r="IW206" s="55">
        <f>$IV206*$C206/$D206</f>
        <v/>
      </c>
      <c r="IX206" s="55">
        <f>SUMIFS(tblBudget[Gold_Poured_oz],tblBudget[Month],"&lt;"&amp;$E206)+$IW206</f>
        <v/>
      </c>
      <c r="IY206" s="57">
        <f>SUMIFS(tblBudget[Hours_Worked],tblBudget[Month],$E206)</f>
        <v/>
      </c>
      <c r="IZ206" s="57">
        <f>$IY206*$C206/$D206</f>
        <v/>
      </c>
      <c r="JA206" s="57">
        <f>SUMIFS(tblBudget[Hours_Worked],tblBudget[Month],"&lt;"&amp;$E206)+$IZ206</f>
        <v/>
      </c>
    </row>
    <row r="207">
      <c r="A207" s="54" t="n">
        <v>46228</v>
      </c>
      <c r="B207">
        <f>MONTH($A207)</f>
        <v/>
      </c>
      <c r="C207">
        <f>DAY($A207)</f>
        <v/>
      </c>
      <c r="D207">
        <f>DAY(EOMONTH($A207,0))</f>
        <v/>
      </c>
      <c r="E207" s="54">
        <f>DATE(YEAR($A207),MONTH($A207),1)</f>
        <v/>
      </c>
      <c r="F207" s="55">
        <f>SUMIFS(tblMovement[Tonnes_t],tblMovement[Date],$A207,tblMovement[Is_Ore],1,tblMovement[Source_Type],"Pit")</f>
        <v/>
      </c>
      <c r="G207" s="55">
        <f>IF($B207=$B206,$G206,0)+$F207</f>
        <v/>
      </c>
      <c r="H207" s="55">
        <f>$H206+$F207</f>
        <v/>
      </c>
      <c r="I207" s="55">
        <f>SUMIFS(tblMovement[Ore_oz],tblMovement[Date],$A207,tblMovement[Source_Type],"Pit")</f>
        <v/>
      </c>
      <c r="J207" s="55">
        <f>IF($B207=$B206,$J206,0)+$I207</f>
        <v/>
      </c>
      <c r="K207" s="55">
        <f>$K206+$I207</f>
        <v/>
      </c>
      <c r="L207" s="56">
        <f>IFERROR(IF(($F207)&gt;0,($I207*cfg_TroyOz)/($F207),""),"")</f>
        <v/>
      </c>
      <c r="M207" s="56">
        <f>IFERROR(IF(($G207)&gt;0,($J207*cfg_TroyOz)/($G207),""),"")</f>
        <v/>
      </c>
      <c r="N207" s="56">
        <f>IFERROR(IF(($H207)&gt;0,($K207*cfg_TroyOz)/($H207),""),"")</f>
        <v/>
      </c>
      <c r="O207" s="55">
        <f>SUMIFS(tblMovement[Tonnes_t],tblMovement[Date],$A207,tblMovement[Is_Ore],0,tblMovement[Source_Type],"Pit")</f>
        <v/>
      </c>
      <c r="P207" s="55">
        <f>IF($B207=$B206,$P206,0)+$O207</f>
        <v/>
      </c>
      <c r="Q207" s="55">
        <f>$Q206+$O207</f>
        <v/>
      </c>
      <c r="R207" s="55">
        <f>$F207+$O207</f>
        <v/>
      </c>
      <c r="S207" s="55">
        <f>IF($B207=$B206,$S206,0)+$R207</f>
        <v/>
      </c>
      <c r="T207" s="55">
        <f>$T206+$R207</f>
        <v/>
      </c>
      <c r="U207" s="56">
        <f>IFERROR(IF(($F207)&gt;0,($O207)/($F207),""),"")</f>
        <v/>
      </c>
      <c r="V207" s="56">
        <f>IFERROR(IF(($G207)&gt;0,($P207)/($G207),""),"")</f>
        <v/>
      </c>
      <c r="W207" s="56">
        <f>IFERROR(IF(($H207)&gt;0,($Q207)/($H207),""),"")</f>
        <v/>
      </c>
      <c r="X207" s="55">
        <f>SUMIFS(tblMovement[Tonnes_t],tblMovement[Date],$A207,tblMovement[Source_Type],"Stockpile")</f>
        <v/>
      </c>
      <c r="Y207" s="55">
        <f>IF($B207=$B206,$Y206,0)+$X207</f>
        <v/>
      </c>
      <c r="Z207" s="55">
        <f>$Z206+$X207</f>
        <v/>
      </c>
      <c r="AA207" s="55">
        <f>SUMIFS(tblMiningDaily[Drill_m],tblMiningDaily[Date],$A207)</f>
        <v/>
      </c>
      <c r="AB207" s="55">
        <f>IF($B207=$B206,$AB206,0)+$AA207</f>
        <v/>
      </c>
      <c r="AC207" s="55">
        <f>$AC206+$AA207</f>
        <v/>
      </c>
      <c r="AD207" s="55">
        <f>SUMIFS(tblMiningDaily[Blast_t],tblMiningDaily[Date],$A207)</f>
        <v/>
      </c>
      <c r="AE207" s="55">
        <f>IF($B207=$B206,$AE206,0)+$AD207</f>
        <v/>
      </c>
      <c r="AF207" s="55">
        <f>$AF206+$AD207</f>
        <v/>
      </c>
      <c r="AG207" s="55">
        <f>SUMIFS(tblMiningDaily[Explosives_kg],tblMiningDaily[Date],$A207)</f>
        <v/>
      </c>
      <c r="AH207" s="55">
        <f>IF($B207=$B206,$AH206,0)+$AG207</f>
        <v/>
      </c>
      <c r="AI207" s="55">
        <f>$AI206+$AG207</f>
        <v/>
      </c>
      <c r="AJ207" s="56">
        <f>IFERROR(IF(($AD207)&gt;0,($AG207)/($AD207),""),"")</f>
        <v/>
      </c>
      <c r="AK207" s="56">
        <f>IFERROR(IF(($AE207)&gt;0,($AH207)/($AE207),""),"")</f>
        <v/>
      </c>
      <c r="AL207" s="56">
        <f>IFERROR(IF(($AF207)&gt;0,($AI207)/($AF207),""),"")</f>
        <v/>
      </c>
      <c r="AM207" s="55">
        <f>SUMIFS(tblMiningDaily[Diesel_L],tblMiningDaily[Date],$A207)</f>
        <v/>
      </c>
      <c r="AN207" s="55">
        <f>IF($B207=$B206,$AN206,0)+$AM207</f>
        <v/>
      </c>
      <c r="AO207" s="55">
        <f>$AO206+$AM207</f>
        <v/>
      </c>
      <c r="AP207" s="55">
        <f>SUMIFS(tblMiningDaily[Dewatering_m3],tblMiningDaily[Date],$A207)</f>
        <v/>
      </c>
      <c r="AQ207" s="55">
        <f>IF($B207=$B206,$AQ206,0)+$AP207</f>
        <v/>
      </c>
      <c r="AR207" s="55">
        <f>$AR206+$AP207</f>
        <v/>
      </c>
      <c r="AS207" s="57">
        <f>SUMIFS(tblFleet[Calendar_h],tblFleet[Date],$A207,tblFleet[Equipment_Class],"Excavator")</f>
        <v/>
      </c>
      <c r="AT207" s="57">
        <f>IF($B207=$B206,$AT206,0)+$AS207</f>
        <v/>
      </c>
      <c r="AU207" s="57">
        <f>$AU206+$AS207</f>
        <v/>
      </c>
      <c r="AV207" s="57">
        <f>SUMIFS(tblFleet[Available_h],tblFleet[Date],$A207,tblFleet[Equipment_Class],"Excavator")</f>
        <v/>
      </c>
      <c r="AW207" s="57">
        <f>IF($B207=$B206,$AW206,0)+$AV207</f>
        <v/>
      </c>
      <c r="AX207" s="57">
        <f>$AX206+$AV207</f>
        <v/>
      </c>
      <c r="AY207" s="57">
        <f>SUMIFS(tblFleet[Operating_h],tblFleet[Date],$A207,tblFleet[Equipment_Class],"Excavator")</f>
        <v/>
      </c>
      <c r="AZ207" s="57">
        <f>IF($B207=$B206,$AZ206,0)+$AY207</f>
        <v/>
      </c>
      <c r="BA207" s="57">
        <f>$BA206+$AY207</f>
        <v/>
      </c>
      <c r="BB207" s="67">
        <f>IFERROR(IF(($AS207)&gt;0,($AV207)/($AS207),""),"")</f>
        <v/>
      </c>
      <c r="BC207" s="67">
        <f>IFERROR(IF(($AT207)&gt;0,($AW207)/($AT207),""),"")</f>
        <v/>
      </c>
      <c r="BD207" s="67">
        <f>IFERROR(IF(($AU207)&gt;0,($AX207)/($AU207),""),"")</f>
        <v/>
      </c>
      <c r="BE207" s="67">
        <f>IFERROR(IF(($AV207)&gt;0,($AY207)/($AV207),""),"")</f>
        <v/>
      </c>
      <c r="BF207" s="67">
        <f>IFERROR(IF(($AW207)&gt;0,($AZ207)/($AW207),""),"")</f>
        <v/>
      </c>
      <c r="BG207" s="67">
        <f>IFERROR(IF(($AX207)&gt;0,($BA207)/($AX207),""),"")</f>
        <v/>
      </c>
      <c r="BH207" s="57">
        <f>SUMIFS(tblFleet[Calendar_h],tblFleet[Date],$A207,tblFleet[Equipment_Class],"Haul Truck")</f>
        <v/>
      </c>
      <c r="BI207" s="57">
        <f>IF($B207=$B206,$BI206,0)+$BH207</f>
        <v/>
      </c>
      <c r="BJ207" s="57">
        <f>$BJ206+$BH207</f>
        <v/>
      </c>
      <c r="BK207" s="57">
        <f>SUMIFS(tblFleet[Available_h],tblFleet[Date],$A207,tblFleet[Equipment_Class],"Haul Truck")</f>
        <v/>
      </c>
      <c r="BL207" s="57">
        <f>IF($B207=$B206,$BL206,0)+$BK207</f>
        <v/>
      </c>
      <c r="BM207" s="57">
        <f>$BM206+$BK207</f>
        <v/>
      </c>
      <c r="BN207" s="57">
        <f>SUMIFS(tblFleet[Operating_h],tblFleet[Date],$A207,tblFleet[Equipment_Class],"Haul Truck")</f>
        <v/>
      </c>
      <c r="BO207" s="57">
        <f>IF($B207=$B206,$BO206,0)+$BN207</f>
        <v/>
      </c>
      <c r="BP207" s="57">
        <f>$BP206+$BN207</f>
        <v/>
      </c>
      <c r="BQ207" s="67">
        <f>IFERROR(IF(($BH207)&gt;0,($BK207)/($BH207),""),"")</f>
        <v/>
      </c>
      <c r="BR207" s="67">
        <f>IFERROR(IF(($BI207)&gt;0,($BL207)/($BI207),""),"")</f>
        <v/>
      </c>
      <c r="BS207" s="67">
        <f>IFERROR(IF(($BJ207)&gt;0,($BM207)/($BJ207),""),"")</f>
        <v/>
      </c>
      <c r="BT207" s="67">
        <f>IFERROR(IF(($BK207)&gt;0,($BN207)/($BK207),""),"")</f>
        <v/>
      </c>
      <c r="BU207" s="67">
        <f>IFERROR(IF(($BL207)&gt;0,($BO207)/($BL207),""),"")</f>
        <v/>
      </c>
      <c r="BV207" s="67">
        <f>IFERROR(IF(($BM207)&gt;0,($BP207)/($BM207),""),"")</f>
        <v/>
      </c>
      <c r="BW207" s="55">
        <f>SUMIFS(tblPlant[Crushed_t],tblPlant[Date],$A207)</f>
        <v/>
      </c>
      <c r="BX207" s="55">
        <f>IF($B207=$B206,$BX206,0)+$BW207</f>
        <v/>
      </c>
      <c r="BY207" s="55">
        <f>$BY206+$BW207</f>
        <v/>
      </c>
      <c r="BZ207" s="55">
        <f>SUMIFS(tblPlant[Milled_t],tblPlant[Date],$A207)</f>
        <v/>
      </c>
      <c r="CA207" s="55">
        <f>IF($B207=$B206,$CA206,0)+$BZ207</f>
        <v/>
      </c>
      <c r="CB207" s="55">
        <f>$CB206+$BZ207</f>
        <v/>
      </c>
      <c r="CC207" s="55">
        <f>SUMIFS(tblPlant[Feed_oz],tblPlant[Date],$A207)</f>
        <v/>
      </c>
      <c r="CD207" s="55">
        <f>IF($B207=$B206,$CD206,0)+$CC207</f>
        <v/>
      </c>
      <c r="CE207" s="55">
        <f>$CE206+$CC207</f>
        <v/>
      </c>
      <c r="CF207" s="55">
        <f>SUMIFS(tblPlant[Tails_oz],tblPlant[Date],$A207)</f>
        <v/>
      </c>
      <c r="CG207" s="55">
        <f>IF($B207=$B206,$CG206,0)+$CF207</f>
        <v/>
      </c>
      <c r="CH207" s="55">
        <f>$CH206+$CF207</f>
        <v/>
      </c>
      <c r="CI207" s="55">
        <f>SUMIFS(tblPlant[Recovered_oz],tblPlant[Date],$A207)</f>
        <v/>
      </c>
      <c r="CJ207" s="55">
        <f>IF($B207=$B206,$CJ206,0)+$CI207</f>
        <v/>
      </c>
      <c r="CK207" s="55">
        <f>$CK206+$CI207</f>
        <v/>
      </c>
      <c r="CL207" s="56">
        <f>IFERROR(IF(($BZ207)&gt;0,($CC207*cfg_TroyOz)/($BZ207),""),"")</f>
        <v/>
      </c>
      <c r="CM207" s="56">
        <f>IFERROR(IF(($CA207)&gt;0,($CD207*cfg_TroyOz)/($CA207),""),"")</f>
        <v/>
      </c>
      <c r="CN207" s="56">
        <f>IFERROR(IF(($CB207)&gt;0,($CE207*cfg_TroyOz)/($CB207),""),"")</f>
        <v/>
      </c>
      <c r="CO207" s="56">
        <f>IFERROR(IF(($BZ207)&gt;0,($CF207*cfg_TroyOz)/($BZ207),""),"")</f>
        <v/>
      </c>
      <c r="CP207" s="56">
        <f>IFERROR(IF(($CA207)&gt;0,($CG207*cfg_TroyOz)/($CA207),""),"")</f>
        <v/>
      </c>
      <c r="CQ207" s="56">
        <f>IFERROR(IF(($CB207)&gt;0,($CH207*cfg_TroyOz)/($CB207),""),"")</f>
        <v/>
      </c>
      <c r="CR207" s="67">
        <f>IFERROR(IF(($CC207)&gt;0,($CI207)/($CC207),""),"")</f>
        <v/>
      </c>
      <c r="CS207" s="67">
        <f>IFERROR(IF(($CD207)&gt;0,($CJ207)/($CD207),""),"")</f>
        <v/>
      </c>
      <c r="CT207" s="67">
        <f>IFERROR(IF(($CE207)&gt;0,($CK207)/($CE207),""),"")</f>
        <v/>
      </c>
      <c r="CU207" s="55">
        <f>SUMIFS(tblPlant[Gravity_Gold_oz],tblPlant[Date],$A207)</f>
        <v/>
      </c>
      <c r="CV207" s="55">
        <f>IF($B207=$B206,$CV206,0)+$CU207</f>
        <v/>
      </c>
      <c r="CW207" s="55">
        <f>$CW206+$CU207</f>
        <v/>
      </c>
      <c r="CX207" s="55">
        <f>SUMIFS(tblPlant[Gold_Poured_oz],tblPlant[Date],$A207)</f>
        <v/>
      </c>
      <c r="CY207" s="55">
        <f>IF($B207=$B206,$CY206,0)+$CX207</f>
        <v/>
      </c>
      <c r="CZ207" s="55">
        <f>$CZ206+$CX207</f>
        <v/>
      </c>
      <c r="DA207" s="57">
        <f>SUMIFS(tblPlant[Mill_Run_h],tblPlant[Date],$A207)</f>
        <v/>
      </c>
      <c r="DB207" s="57">
        <f>IF($B207=$B206,$DB206,0)+$DA207</f>
        <v/>
      </c>
      <c r="DC207" s="57">
        <f>$DC206+$DA207</f>
        <v/>
      </c>
      <c r="DD207" s="57">
        <f>SUMIFS(tblPlant[Mill_Planned_Maint_h],tblPlant[Date],$A207)</f>
        <v/>
      </c>
      <c r="DE207" s="57">
        <f>IF($B207=$B206,$DE206,0)+$DD207</f>
        <v/>
      </c>
      <c r="DF207" s="57">
        <f>$DF206+$DD207</f>
        <v/>
      </c>
      <c r="DG207" s="57">
        <f>SUMIFS(tblPlant[Mill_Unplanned_Down_h],tblPlant[Date],$A207)</f>
        <v/>
      </c>
      <c r="DH207" s="57">
        <f>IF($B207=$B206,$DH206,0)+$DG207</f>
        <v/>
      </c>
      <c r="DI207" s="57">
        <f>$DI206+$DG207</f>
        <v/>
      </c>
      <c r="DJ207" s="57">
        <f>COUNTIFS(tblPlant[Date],$A207,tblPlant[Mill_Run_h],"&lt;&gt;")*24</f>
        <v/>
      </c>
      <c r="DK207" s="57">
        <f>IF($B207=$B206,$DK206,0)+$DJ207</f>
        <v/>
      </c>
      <c r="DL207" s="57">
        <f>$DL206+$DJ207</f>
        <v/>
      </c>
      <c r="DM207" s="57">
        <f>SUMIFS(tblPlant[Crusher_Run_h],tblPlant[Date],$A207)</f>
        <v/>
      </c>
      <c r="DN207" s="57">
        <f>IF($B207=$B206,$DN206,0)+$DM207</f>
        <v/>
      </c>
      <c r="DO207" s="57">
        <f>$DO206+$DM207</f>
        <v/>
      </c>
      <c r="DP207" s="55">
        <f>IFERROR(IF(($DA207)&gt;0,($BZ207)/($DA207),""),"")</f>
        <v/>
      </c>
      <c r="DQ207" s="55">
        <f>IFERROR(IF(($DB207)&gt;0,($CA207)/($DB207),""),"")</f>
        <v/>
      </c>
      <c r="DR207" s="55">
        <f>IFERROR(IF(($DC207)&gt;0,($CB207)/($DC207),""),"")</f>
        <v/>
      </c>
      <c r="DS207" s="67">
        <f>IFERROR(IF(($DJ207)&gt;0,($DJ207-$DD207-$DG207)/($DJ207),""),"")</f>
        <v/>
      </c>
      <c r="DT207" s="67">
        <f>IFERROR(IF(($DK207)&gt;0,($DK207-$DE207-$DH207)/($DK207),""),"")</f>
        <v/>
      </c>
      <c r="DU207" s="67">
        <f>IFERROR(IF(($DL207)&gt;0,($DL207-$DF207-$DI207)/($DL207),""),"")</f>
        <v/>
      </c>
      <c r="DV207" s="67">
        <f>IFERROR(IF(($DJ207-$DD207-$DG207)&gt;0,($DA207)/($DJ207-$DD207-$DG207),""),"")</f>
        <v/>
      </c>
      <c r="DW207" s="67">
        <f>IFERROR(IF(($DK207-$DE207-$DH207)&gt;0,($DB207)/($DK207-$DE207-$DH207),""),"")</f>
        <v/>
      </c>
      <c r="DX207" s="67">
        <f>IFERROR(IF(($DL207-$DF207-$DI207)&gt;0,($DC207)/($DL207-$DF207-$DI207),""),"")</f>
        <v/>
      </c>
      <c r="DY207" s="55">
        <f>SUMIFS(tblPlant[Cyanide_kg],tblPlant[Date],$A207)</f>
        <v/>
      </c>
      <c r="DZ207" s="55">
        <f>IF($B207=$B206,$DZ206,0)+$DY207</f>
        <v/>
      </c>
      <c r="EA207" s="55">
        <f>$EA206+$DY207</f>
        <v/>
      </c>
      <c r="EB207" s="55">
        <f>SUMIFS(tblPlant[Lime_kg],tblPlant[Date],$A207)</f>
        <v/>
      </c>
      <c r="EC207" s="55">
        <f>IF($B207=$B206,$EC206,0)+$EB207</f>
        <v/>
      </c>
      <c r="ED207" s="55">
        <f>$ED206+$EB207</f>
        <v/>
      </c>
      <c r="EE207" s="55">
        <f>SUMIFS(tblPlant[Grinding_Media_kg],tblPlant[Date],$A207)</f>
        <v/>
      </c>
      <c r="EF207" s="55">
        <f>IF($B207=$B206,$EF206,0)+$EE207</f>
        <v/>
      </c>
      <c r="EG207" s="55">
        <f>$EG206+$EE207</f>
        <v/>
      </c>
      <c r="EH207" s="55">
        <f>SUMIFS(tblPlant[Power_kWh],tblPlant[Date],$A207)</f>
        <v/>
      </c>
      <c r="EI207" s="55">
        <f>IF($B207=$B206,$EI206,0)+$EH207</f>
        <v/>
      </c>
      <c r="EJ207" s="55">
        <f>$EJ206+$EH207</f>
        <v/>
      </c>
      <c r="EK207" s="55">
        <f>SUMIFS(tblPlant[Raw_Water_m3],tblPlant[Date],$A207)</f>
        <v/>
      </c>
      <c r="EL207" s="55">
        <f>IF($B207=$B206,$EL206,0)+$EK207</f>
        <v/>
      </c>
      <c r="EM207" s="55">
        <f>$EM206+$EK207</f>
        <v/>
      </c>
      <c r="EN207" s="56">
        <f>IFERROR(IF(($BZ207)&gt;0,($DY207)/($BZ207),""),"")</f>
        <v/>
      </c>
      <c r="EO207" s="56">
        <f>IFERROR(IF(($CA207)&gt;0,($DZ207)/($CA207),""),"")</f>
        <v/>
      </c>
      <c r="EP207" s="56">
        <f>IFERROR(IF(($CB207)&gt;0,($EA207)/($CB207),""),"")</f>
        <v/>
      </c>
      <c r="EQ207" s="56">
        <f>IFERROR(IF(($BZ207)&gt;0,($EB207)/($BZ207),""),"")</f>
        <v/>
      </c>
      <c r="ER207" s="56">
        <f>IFERROR(IF(($CA207)&gt;0,($EC207)/($CA207),""),"")</f>
        <v/>
      </c>
      <c r="ES207" s="56">
        <f>IFERROR(IF(($CB207)&gt;0,($ED207)/($CB207),""),"")</f>
        <v/>
      </c>
      <c r="ET207" s="56">
        <f>IFERROR(IF(($BZ207)&gt;0,($EE207)/($BZ207),""),"")</f>
        <v/>
      </c>
      <c r="EU207" s="56">
        <f>IFERROR(IF(($CA207)&gt;0,($EF207)/($CA207),""),"")</f>
        <v/>
      </c>
      <c r="EV207" s="56">
        <f>IFERROR(IF(($CB207)&gt;0,($EG207)/($CB207),""),"")</f>
        <v/>
      </c>
      <c r="EW207" s="76">
        <f>IFERROR(IF(($BZ207)&gt;0,($EH207)/($BZ207),""),"")</f>
        <v/>
      </c>
      <c r="EX207" s="76">
        <f>IFERROR(IF(($CA207)&gt;0,($EI207)/($CA207),""),"")</f>
        <v/>
      </c>
      <c r="EY207" s="76">
        <f>IFERROR(IF(($CB207)&gt;0,($EJ207)/($CB207),""),"")</f>
        <v/>
      </c>
      <c r="EZ207" s="56">
        <f>IFERROR(IF(($BZ207)&gt;0,($EK207)/($BZ207),""),"")</f>
        <v/>
      </c>
      <c r="FA207" s="56">
        <f>IFERROR(IF(($CA207)&gt;0,($EL207)/($CA207),""),"")</f>
        <v/>
      </c>
      <c r="FB207" s="56">
        <f>IFERROR(IF(($CB207)&gt;0,($EM207)/($CB207),""),"")</f>
        <v/>
      </c>
      <c r="FC207" s="55">
        <f>IF(SUMIFS(tblPlant[GIC_oz],tblPlant[Date],$A207)&gt;0,SUMIFS(tblPlant[GIC_oz],tblPlant[Date],$A207),"")</f>
        <v/>
      </c>
      <c r="FD207" s="55">
        <f>SUMIFS(tblGold[Gold_oz],tblGold[Date],$A207,tblGold[Type],"Shipment")</f>
        <v/>
      </c>
      <c r="FE207" s="55">
        <f>IF($B207=$B206,$FE206,0)+$FD207</f>
        <v/>
      </c>
      <c r="FF207" s="55">
        <f>$FF206+$FD207</f>
        <v/>
      </c>
      <c r="FG207" s="55">
        <f>SUMIFS(tblGold[Gold_oz],tblGold[Date],$A207,tblGold[Type],"Sale")</f>
        <v/>
      </c>
      <c r="FH207" s="55">
        <f>IF($B207=$B206,$FH206,0)+$FG207</f>
        <v/>
      </c>
      <c r="FI207" s="55">
        <f>$FI206+$FG207</f>
        <v/>
      </c>
      <c r="FJ207" s="55">
        <f>SUMIFS(tblGold[Dore_kg],tblGold[Date],$A207,tblGold[Type],"Shipment")</f>
        <v/>
      </c>
      <c r="FK207" s="55">
        <f>IF($B207=$B206,$FK206,0)+$FJ207</f>
        <v/>
      </c>
      <c r="FL207" s="55">
        <f>$FL206+$FJ207</f>
        <v/>
      </c>
      <c r="FM207" s="57">
        <f>SUMIFS(tblSafety[Hours_Total],tblSafety[Date],$A207)</f>
        <v/>
      </c>
      <c r="FN207" s="57">
        <f>IF($B207=$B206,$FN206,0)+$FM207</f>
        <v/>
      </c>
      <c r="FO207" s="57">
        <f>$FO206+$FM207</f>
        <v/>
      </c>
      <c r="FP207" s="62">
        <f>SUMIFS(tblSafety[Fatality],tblSafety[Date],$A207)</f>
        <v/>
      </c>
      <c r="FQ207" s="62">
        <f>IF($B207=$B206,$FQ206,0)+$FP207</f>
        <v/>
      </c>
      <c r="FR207" s="62">
        <f>$FR206+$FP207</f>
        <v/>
      </c>
      <c r="FS207" s="62">
        <f>SUMIFS(tblSafety[LTI],tblSafety[Date],$A207)</f>
        <v/>
      </c>
      <c r="FT207" s="62">
        <f>IF($B207=$B206,$FT206,0)+$FS207</f>
        <v/>
      </c>
      <c r="FU207" s="62">
        <f>$FU206+$FS207</f>
        <v/>
      </c>
      <c r="FV207" s="62">
        <f>SUMIFS(tblSafety[RWI],tblSafety[Date],$A207)</f>
        <v/>
      </c>
      <c r="FW207" s="62">
        <f>IF($B207=$B206,$FW206,0)+$FV207</f>
        <v/>
      </c>
      <c r="FX207" s="62">
        <f>$FX206+$FV207</f>
        <v/>
      </c>
      <c r="FY207" s="62">
        <f>SUMIFS(tblSafety[MTI],tblSafety[Date],$A207)</f>
        <v/>
      </c>
      <c r="FZ207" s="62">
        <f>IF($B207=$B206,$FZ206,0)+$FY207</f>
        <v/>
      </c>
      <c r="GA207" s="62">
        <f>$GA206+$FY207</f>
        <v/>
      </c>
      <c r="GB207" s="62">
        <f>SUMIFS(tblSafety[FAI],tblSafety[Date],$A207)</f>
        <v/>
      </c>
      <c r="GC207" s="62">
        <f>IF($B207=$B206,$GC206,0)+$GB207</f>
        <v/>
      </c>
      <c r="GD207" s="62">
        <f>$GD206+$GB207</f>
        <v/>
      </c>
      <c r="GE207" s="62">
        <f>SUMIFS(tblSafety[Recordables],tblSafety[Date],$A207)</f>
        <v/>
      </c>
      <c r="GF207" s="62">
        <f>IF($B207=$B206,$GF206,0)+$GE207</f>
        <v/>
      </c>
      <c r="GG207" s="62">
        <f>$GG206+$GE207</f>
        <v/>
      </c>
      <c r="GH207" s="62">
        <f>SUMIFS(tblSafety[Near_Miss],tblSafety[Date],$A207)</f>
        <v/>
      </c>
      <c r="GI207" s="62">
        <f>IF($B207=$B206,$GI206,0)+$GH207</f>
        <v/>
      </c>
      <c r="GJ207" s="62">
        <f>$GJ206+$GH207</f>
        <v/>
      </c>
      <c r="GK207" s="62">
        <f>SUMIFS(tblSafety[Hazard_Reports],tblSafety[Date],$A207)</f>
        <v/>
      </c>
      <c r="GL207" s="62">
        <f>IF($B207=$B206,$GL206,0)+$GK207</f>
        <v/>
      </c>
      <c r="GM207" s="62">
        <f>$GM206+$GK207</f>
        <v/>
      </c>
      <c r="GN207" s="62">
        <f>SUMIFS(tblSafety[HPI],tblSafety[Date],$A207)</f>
        <v/>
      </c>
      <c r="GO207" s="62">
        <f>IF($B207=$B206,$GO206,0)+$GN207</f>
        <v/>
      </c>
      <c r="GP207" s="62">
        <f>$GP206+$GN207</f>
        <v/>
      </c>
      <c r="GQ207" s="62">
        <f>SUMIFS(tblSafety[Env_Incidents],tblSafety[Date],$A207)</f>
        <v/>
      </c>
      <c r="GR207" s="62">
        <f>IF($B207=$B206,$GR206,0)+$GQ207</f>
        <v/>
      </c>
      <c r="GS207" s="62">
        <f>$GS206+$GQ207</f>
        <v/>
      </c>
      <c r="GT207" s="62">
        <f>SUMIFS(tblSafety[Community_Incidents],tblSafety[Date],$A207)</f>
        <v/>
      </c>
      <c r="GU207" s="62">
        <f>IF($B207=$B206,$GU206,0)+$GT207</f>
        <v/>
      </c>
      <c r="GV207" s="62">
        <f>$GV206+$GT207</f>
        <v/>
      </c>
      <c r="GW207" s="62">
        <f>SUMIFS(tblSafety[Vehicle_Incidents],tblSafety[Date],$A207)</f>
        <v/>
      </c>
      <c r="GX207" s="62">
        <f>IF($B207=$B206,$GX206,0)+$GW207</f>
        <v/>
      </c>
      <c r="GY207" s="62">
        <f>$GY206+$GW207</f>
        <v/>
      </c>
      <c r="GZ207" s="62">
        <f>SUMIFS(tblSafety[Toolbox_Talks],tblSafety[Date],$A207)</f>
        <v/>
      </c>
      <c r="HA207" s="62">
        <f>IF($B207=$B206,$HA206,0)+$GZ207</f>
        <v/>
      </c>
      <c r="HB207" s="62">
        <f>$HB206+$GZ207</f>
        <v/>
      </c>
      <c r="HC207" s="62">
        <f>SUMIFS(tblSafety[Inspections],tblSafety[Date],$A207)</f>
        <v/>
      </c>
      <c r="HD207" s="62">
        <f>IF($B207=$B206,$HD206,0)+$HC207</f>
        <v/>
      </c>
      <c r="HE207" s="62">
        <f>$HE206+$HC207</f>
        <v/>
      </c>
      <c r="HF207" s="56">
        <f>IFERROR((SUMIFS(tblSafety[Recordables],tblSafety[Date],"&gt;="&amp;EDATE($E207,-12),tblSafety[Date],"&lt;="&amp;$A207)+SUMIFS(tblSafetyHistory[Recordables],tblSafetyHistory[Month],"&gt;="&amp;EDATE($E207,-12),tblSafetyHistory[Month],"&lt;"&amp;cfg_YearStart))/(SUMIFS(tblSafety[Hours_Total],tblSafety[Date],"&gt;="&amp;EDATE($E207,-12),tblSafety[Date],"&lt;="&amp;$A207)+SUMIFS(tblSafetyHistory[Hours_Total],tblSafetyHistory[Month],"&gt;="&amp;EDATE($E207,-12),tblSafetyHistory[Month],"&lt;"&amp;cfg_YearStart))*1000000,"")</f>
        <v/>
      </c>
      <c r="HG207" s="56">
        <f>IFERROR((SUMIFS(tblSafety[LTI],tblSafety[Date],"&gt;="&amp;EDATE($E207,-12),tblSafety[Date],"&lt;="&amp;$A207)+SUMIFS(tblSafetyHistory[LTI],tblSafetyHistory[Month],"&gt;="&amp;EDATE($E207,-12),tblSafetyHistory[Month],"&lt;"&amp;cfg_YearStart))/(SUMIFS(tblSafety[Hours_Total],tblSafety[Date],"&gt;="&amp;EDATE($E207,-12),tblSafety[Date],"&lt;="&amp;$A207)+SUMIFS(tblSafetyHistory[Hours_Total],tblSafetyHistory[Month],"&gt;="&amp;EDATE($E207,-12),tblSafetyHistory[Month],"&lt;"&amp;cfg_YearStart))*1000000,"")</f>
        <v/>
      </c>
      <c r="HH207" s="62">
        <f>IF(MAX(N(cfg_PriorLTIDate),_xlfn.MAXIFS(tblSafety[Date],tblSafety[LTI],"&gt;0",tblSafety[Date],"&lt;="&amp;$A207))=0,"",$A207-MAX(N(cfg_PriorLTIDate),_xlfn.MAXIFS(tblSafety[Date],tblSafety[LTI],"&gt;0",tblSafety[Date],"&lt;="&amp;$A207)))</f>
        <v/>
      </c>
      <c r="HI207" s="55">
        <f>SUMIFS(tblBudget[Ore_Mined_t],tblBudget[Month],$E207)</f>
        <v/>
      </c>
      <c r="HJ207" s="55">
        <f>$HI207*$C207/$D207</f>
        <v/>
      </c>
      <c r="HK207" s="55">
        <f>SUMIFS(tblBudget[Ore_Mined_t],tblBudget[Month],"&lt;"&amp;$E207)+$HJ207</f>
        <v/>
      </c>
      <c r="HL207" s="55">
        <f>SUMIFS(tblBudget[Ore_oz],tblBudget[Month],$E207)</f>
        <v/>
      </c>
      <c r="HM207" s="55">
        <f>$HL207*$C207/$D207</f>
        <v/>
      </c>
      <c r="HN207" s="55">
        <f>SUMIFS(tblBudget[Ore_oz],tblBudget[Month],"&lt;"&amp;$E207)+$HM207</f>
        <v/>
      </c>
      <c r="HO207" s="56">
        <f>IFERROR(IF(($HI207)&gt;0,($HL207*cfg_TroyOz)/($HI207),""),"")</f>
        <v/>
      </c>
      <c r="HP207" s="56">
        <f>IFERROR(IF(($HJ207)&gt;0,($HM207*cfg_TroyOz)/($HJ207),""),"")</f>
        <v/>
      </c>
      <c r="HQ207" s="56">
        <f>IFERROR(IF(($HK207)&gt;0,($HN207*cfg_TroyOz)/($HK207),""),"")</f>
        <v/>
      </c>
      <c r="HR207" s="55">
        <f>SUMIFS(tblBudget[Waste_t],tblBudget[Month],$E207)</f>
        <v/>
      </c>
      <c r="HS207" s="55">
        <f>$HR207*$C207/$D207</f>
        <v/>
      </c>
      <c r="HT207" s="55">
        <f>SUMIFS(tblBudget[Waste_t],tblBudget[Month],"&lt;"&amp;$E207)+$HS207</f>
        <v/>
      </c>
      <c r="HU207" s="55">
        <f>SUMIFS(tblBudget[TMM_t],tblBudget[Month],$E207)</f>
        <v/>
      </c>
      <c r="HV207" s="55">
        <f>$HU207*$C207/$D207</f>
        <v/>
      </c>
      <c r="HW207" s="55">
        <f>SUMIFS(tblBudget[TMM_t],tblBudget[Month],"&lt;"&amp;$E207)+$HV207</f>
        <v/>
      </c>
      <c r="HX207" s="56">
        <f>IFERROR(IF(($HI207)&gt;0,($HR207)/($HI207),""),"")</f>
        <v/>
      </c>
      <c r="HY207" s="56">
        <f>IFERROR(IF(($HJ207)&gt;0,($HS207)/($HJ207),""),"")</f>
        <v/>
      </c>
      <c r="HZ207" s="56">
        <f>IFERROR(IF(($HK207)&gt;0,($HT207)/($HK207),""),"")</f>
        <v/>
      </c>
      <c r="IA207" s="55">
        <f>SUMIFS(tblBudget[Drill_m],tblBudget[Month],$E207)</f>
        <v/>
      </c>
      <c r="IB207" s="55">
        <f>$IA207*$C207/$D207</f>
        <v/>
      </c>
      <c r="IC207" s="55">
        <f>SUMIFS(tblBudget[Drill_m],tblBudget[Month],"&lt;"&amp;$E207)+$IB207</f>
        <v/>
      </c>
      <c r="ID207" s="55">
        <f>SUMIFS(tblBudget[Diesel_L],tblBudget[Month],$E207)</f>
        <v/>
      </c>
      <c r="IE207" s="55">
        <f>$ID207*$C207/$D207</f>
        <v/>
      </c>
      <c r="IF207" s="55">
        <f>SUMIFS(tblBudget[Diesel_L],tblBudget[Month],"&lt;"&amp;$E207)+$IE207</f>
        <v/>
      </c>
      <c r="IG207" s="55">
        <f>SUMIFS(tblBudget[Milled_t],tblBudget[Month],$E207)</f>
        <v/>
      </c>
      <c r="IH207" s="55">
        <f>$IG207*$C207/$D207</f>
        <v/>
      </c>
      <c r="II207" s="55">
        <f>SUMIFS(tblBudget[Milled_t],tblBudget[Month],"&lt;"&amp;$E207)+$IH207</f>
        <v/>
      </c>
      <c r="IJ207" s="55">
        <f>SUMIFS(tblBudget[Feed_oz],tblBudget[Month],$E207)</f>
        <v/>
      </c>
      <c r="IK207" s="55">
        <f>$IJ207*$C207/$D207</f>
        <v/>
      </c>
      <c r="IL207" s="55">
        <f>SUMIFS(tblBudget[Feed_oz],tblBudget[Month],"&lt;"&amp;$E207)+$IK207</f>
        <v/>
      </c>
      <c r="IM207" s="55">
        <f>SUMIFS(tblBudget[Recovered_oz],tblBudget[Month],$E207)</f>
        <v/>
      </c>
      <c r="IN207" s="55">
        <f>$IM207*$C207/$D207</f>
        <v/>
      </c>
      <c r="IO207" s="55">
        <f>SUMIFS(tblBudget[Recovered_oz],tblBudget[Month],"&lt;"&amp;$E207)+$IN207</f>
        <v/>
      </c>
      <c r="IP207" s="56">
        <f>IFERROR(IF(($IG207)&gt;0,($IJ207*cfg_TroyOz)/($IG207),""),"")</f>
        <v/>
      </c>
      <c r="IQ207" s="56">
        <f>IFERROR(IF(($IH207)&gt;0,($IK207*cfg_TroyOz)/($IH207),""),"")</f>
        <v/>
      </c>
      <c r="IR207" s="56">
        <f>IFERROR(IF(($II207)&gt;0,($IL207*cfg_TroyOz)/($II207),""),"")</f>
        <v/>
      </c>
      <c r="IS207" s="67">
        <f>IFERROR(IF(($IJ207)&gt;0,($IM207)/($IJ207),""),"")</f>
        <v/>
      </c>
      <c r="IT207" s="67">
        <f>IFERROR(IF(($IK207)&gt;0,($IN207)/($IK207),""),"")</f>
        <v/>
      </c>
      <c r="IU207" s="67">
        <f>IFERROR(IF(($IL207)&gt;0,($IO207)/($IL207),""),"")</f>
        <v/>
      </c>
      <c r="IV207" s="55">
        <f>SUMIFS(tblBudget[Gold_Poured_oz],tblBudget[Month],$E207)</f>
        <v/>
      </c>
      <c r="IW207" s="55">
        <f>$IV207*$C207/$D207</f>
        <v/>
      </c>
      <c r="IX207" s="55">
        <f>SUMIFS(tblBudget[Gold_Poured_oz],tblBudget[Month],"&lt;"&amp;$E207)+$IW207</f>
        <v/>
      </c>
      <c r="IY207" s="57">
        <f>SUMIFS(tblBudget[Hours_Worked],tblBudget[Month],$E207)</f>
        <v/>
      </c>
      <c r="IZ207" s="57">
        <f>$IY207*$C207/$D207</f>
        <v/>
      </c>
      <c r="JA207" s="57">
        <f>SUMIFS(tblBudget[Hours_Worked],tblBudget[Month],"&lt;"&amp;$E207)+$IZ207</f>
        <v/>
      </c>
    </row>
    <row r="208">
      <c r="A208" s="54" t="n">
        <v>46229</v>
      </c>
      <c r="B208">
        <f>MONTH($A208)</f>
        <v/>
      </c>
      <c r="C208">
        <f>DAY($A208)</f>
        <v/>
      </c>
      <c r="D208">
        <f>DAY(EOMONTH($A208,0))</f>
        <v/>
      </c>
      <c r="E208" s="54">
        <f>DATE(YEAR($A208),MONTH($A208),1)</f>
        <v/>
      </c>
      <c r="F208" s="55">
        <f>SUMIFS(tblMovement[Tonnes_t],tblMovement[Date],$A208,tblMovement[Is_Ore],1,tblMovement[Source_Type],"Pit")</f>
        <v/>
      </c>
      <c r="G208" s="55">
        <f>IF($B208=$B207,$G207,0)+$F208</f>
        <v/>
      </c>
      <c r="H208" s="55">
        <f>$H207+$F208</f>
        <v/>
      </c>
      <c r="I208" s="55">
        <f>SUMIFS(tblMovement[Ore_oz],tblMovement[Date],$A208,tblMovement[Source_Type],"Pit")</f>
        <v/>
      </c>
      <c r="J208" s="55">
        <f>IF($B208=$B207,$J207,0)+$I208</f>
        <v/>
      </c>
      <c r="K208" s="55">
        <f>$K207+$I208</f>
        <v/>
      </c>
      <c r="L208" s="56">
        <f>IFERROR(IF(($F208)&gt;0,($I208*cfg_TroyOz)/($F208),""),"")</f>
        <v/>
      </c>
      <c r="M208" s="56">
        <f>IFERROR(IF(($G208)&gt;0,($J208*cfg_TroyOz)/($G208),""),"")</f>
        <v/>
      </c>
      <c r="N208" s="56">
        <f>IFERROR(IF(($H208)&gt;0,($K208*cfg_TroyOz)/($H208),""),"")</f>
        <v/>
      </c>
      <c r="O208" s="55">
        <f>SUMIFS(tblMovement[Tonnes_t],tblMovement[Date],$A208,tblMovement[Is_Ore],0,tblMovement[Source_Type],"Pit")</f>
        <v/>
      </c>
      <c r="P208" s="55">
        <f>IF($B208=$B207,$P207,0)+$O208</f>
        <v/>
      </c>
      <c r="Q208" s="55">
        <f>$Q207+$O208</f>
        <v/>
      </c>
      <c r="R208" s="55">
        <f>$F208+$O208</f>
        <v/>
      </c>
      <c r="S208" s="55">
        <f>IF($B208=$B207,$S207,0)+$R208</f>
        <v/>
      </c>
      <c r="T208" s="55">
        <f>$T207+$R208</f>
        <v/>
      </c>
      <c r="U208" s="56">
        <f>IFERROR(IF(($F208)&gt;0,($O208)/($F208),""),"")</f>
        <v/>
      </c>
      <c r="V208" s="56">
        <f>IFERROR(IF(($G208)&gt;0,($P208)/($G208),""),"")</f>
        <v/>
      </c>
      <c r="W208" s="56">
        <f>IFERROR(IF(($H208)&gt;0,($Q208)/($H208),""),"")</f>
        <v/>
      </c>
      <c r="X208" s="55">
        <f>SUMIFS(tblMovement[Tonnes_t],tblMovement[Date],$A208,tblMovement[Source_Type],"Stockpile")</f>
        <v/>
      </c>
      <c r="Y208" s="55">
        <f>IF($B208=$B207,$Y207,0)+$X208</f>
        <v/>
      </c>
      <c r="Z208" s="55">
        <f>$Z207+$X208</f>
        <v/>
      </c>
      <c r="AA208" s="55">
        <f>SUMIFS(tblMiningDaily[Drill_m],tblMiningDaily[Date],$A208)</f>
        <v/>
      </c>
      <c r="AB208" s="55">
        <f>IF($B208=$B207,$AB207,0)+$AA208</f>
        <v/>
      </c>
      <c r="AC208" s="55">
        <f>$AC207+$AA208</f>
        <v/>
      </c>
      <c r="AD208" s="55">
        <f>SUMIFS(tblMiningDaily[Blast_t],tblMiningDaily[Date],$A208)</f>
        <v/>
      </c>
      <c r="AE208" s="55">
        <f>IF($B208=$B207,$AE207,0)+$AD208</f>
        <v/>
      </c>
      <c r="AF208" s="55">
        <f>$AF207+$AD208</f>
        <v/>
      </c>
      <c r="AG208" s="55">
        <f>SUMIFS(tblMiningDaily[Explosives_kg],tblMiningDaily[Date],$A208)</f>
        <v/>
      </c>
      <c r="AH208" s="55">
        <f>IF($B208=$B207,$AH207,0)+$AG208</f>
        <v/>
      </c>
      <c r="AI208" s="55">
        <f>$AI207+$AG208</f>
        <v/>
      </c>
      <c r="AJ208" s="56">
        <f>IFERROR(IF(($AD208)&gt;0,($AG208)/($AD208),""),"")</f>
        <v/>
      </c>
      <c r="AK208" s="56">
        <f>IFERROR(IF(($AE208)&gt;0,($AH208)/($AE208),""),"")</f>
        <v/>
      </c>
      <c r="AL208" s="56">
        <f>IFERROR(IF(($AF208)&gt;0,($AI208)/($AF208),""),"")</f>
        <v/>
      </c>
      <c r="AM208" s="55">
        <f>SUMIFS(tblMiningDaily[Diesel_L],tblMiningDaily[Date],$A208)</f>
        <v/>
      </c>
      <c r="AN208" s="55">
        <f>IF($B208=$B207,$AN207,0)+$AM208</f>
        <v/>
      </c>
      <c r="AO208" s="55">
        <f>$AO207+$AM208</f>
        <v/>
      </c>
      <c r="AP208" s="55">
        <f>SUMIFS(tblMiningDaily[Dewatering_m3],tblMiningDaily[Date],$A208)</f>
        <v/>
      </c>
      <c r="AQ208" s="55">
        <f>IF($B208=$B207,$AQ207,0)+$AP208</f>
        <v/>
      </c>
      <c r="AR208" s="55">
        <f>$AR207+$AP208</f>
        <v/>
      </c>
      <c r="AS208" s="57">
        <f>SUMIFS(tblFleet[Calendar_h],tblFleet[Date],$A208,tblFleet[Equipment_Class],"Excavator")</f>
        <v/>
      </c>
      <c r="AT208" s="57">
        <f>IF($B208=$B207,$AT207,0)+$AS208</f>
        <v/>
      </c>
      <c r="AU208" s="57">
        <f>$AU207+$AS208</f>
        <v/>
      </c>
      <c r="AV208" s="57">
        <f>SUMIFS(tblFleet[Available_h],tblFleet[Date],$A208,tblFleet[Equipment_Class],"Excavator")</f>
        <v/>
      </c>
      <c r="AW208" s="57">
        <f>IF($B208=$B207,$AW207,0)+$AV208</f>
        <v/>
      </c>
      <c r="AX208" s="57">
        <f>$AX207+$AV208</f>
        <v/>
      </c>
      <c r="AY208" s="57">
        <f>SUMIFS(tblFleet[Operating_h],tblFleet[Date],$A208,tblFleet[Equipment_Class],"Excavator")</f>
        <v/>
      </c>
      <c r="AZ208" s="57">
        <f>IF($B208=$B207,$AZ207,0)+$AY208</f>
        <v/>
      </c>
      <c r="BA208" s="57">
        <f>$BA207+$AY208</f>
        <v/>
      </c>
      <c r="BB208" s="67">
        <f>IFERROR(IF(($AS208)&gt;0,($AV208)/($AS208),""),"")</f>
        <v/>
      </c>
      <c r="BC208" s="67">
        <f>IFERROR(IF(($AT208)&gt;0,($AW208)/($AT208),""),"")</f>
        <v/>
      </c>
      <c r="BD208" s="67">
        <f>IFERROR(IF(($AU208)&gt;0,($AX208)/($AU208),""),"")</f>
        <v/>
      </c>
      <c r="BE208" s="67">
        <f>IFERROR(IF(($AV208)&gt;0,($AY208)/($AV208),""),"")</f>
        <v/>
      </c>
      <c r="BF208" s="67">
        <f>IFERROR(IF(($AW208)&gt;0,($AZ208)/($AW208),""),"")</f>
        <v/>
      </c>
      <c r="BG208" s="67">
        <f>IFERROR(IF(($AX208)&gt;0,($BA208)/($AX208),""),"")</f>
        <v/>
      </c>
      <c r="BH208" s="57">
        <f>SUMIFS(tblFleet[Calendar_h],tblFleet[Date],$A208,tblFleet[Equipment_Class],"Haul Truck")</f>
        <v/>
      </c>
      <c r="BI208" s="57">
        <f>IF($B208=$B207,$BI207,0)+$BH208</f>
        <v/>
      </c>
      <c r="BJ208" s="57">
        <f>$BJ207+$BH208</f>
        <v/>
      </c>
      <c r="BK208" s="57">
        <f>SUMIFS(tblFleet[Available_h],tblFleet[Date],$A208,tblFleet[Equipment_Class],"Haul Truck")</f>
        <v/>
      </c>
      <c r="BL208" s="57">
        <f>IF($B208=$B207,$BL207,0)+$BK208</f>
        <v/>
      </c>
      <c r="BM208" s="57">
        <f>$BM207+$BK208</f>
        <v/>
      </c>
      <c r="BN208" s="57">
        <f>SUMIFS(tblFleet[Operating_h],tblFleet[Date],$A208,tblFleet[Equipment_Class],"Haul Truck")</f>
        <v/>
      </c>
      <c r="BO208" s="57">
        <f>IF($B208=$B207,$BO207,0)+$BN208</f>
        <v/>
      </c>
      <c r="BP208" s="57">
        <f>$BP207+$BN208</f>
        <v/>
      </c>
      <c r="BQ208" s="67">
        <f>IFERROR(IF(($BH208)&gt;0,($BK208)/($BH208),""),"")</f>
        <v/>
      </c>
      <c r="BR208" s="67">
        <f>IFERROR(IF(($BI208)&gt;0,($BL208)/($BI208),""),"")</f>
        <v/>
      </c>
      <c r="BS208" s="67">
        <f>IFERROR(IF(($BJ208)&gt;0,($BM208)/($BJ208),""),"")</f>
        <v/>
      </c>
      <c r="BT208" s="67">
        <f>IFERROR(IF(($BK208)&gt;0,($BN208)/($BK208),""),"")</f>
        <v/>
      </c>
      <c r="BU208" s="67">
        <f>IFERROR(IF(($BL208)&gt;0,($BO208)/($BL208),""),"")</f>
        <v/>
      </c>
      <c r="BV208" s="67">
        <f>IFERROR(IF(($BM208)&gt;0,($BP208)/($BM208),""),"")</f>
        <v/>
      </c>
      <c r="BW208" s="55">
        <f>SUMIFS(tblPlant[Crushed_t],tblPlant[Date],$A208)</f>
        <v/>
      </c>
      <c r="BX208" s="55">
        <f>IF($B208=$B207,$BX207,0)+$BW208</f>
        <v/>
      </c>
      <c r="BY208" s="55">
        <f>$BY207+$BW208</f>
        <v/>
      </c>
      <c r="BZ208" s="55">
        <f>SUMIFS(tblPlant[Milled_t],tblPlant[Date],$A208)</f>
        <v/>
      </c>
      <c r="CA208" s="55">
        <f>IF($B208=$B207,$CA207,0)+$BZ208</f>
        <v/>
      </c>
      <c r="CB208" s="55">
        <f>$CB207+$BZ208</f>
        <v/>
      </c>
      <c r="CC208" s="55">
        <f>SUMIFS(tblPlant[Feed_oz],tblPlant[Date],$A208)</f>
        <v/>
      </c>
      <c r="CD208" s="55">
        <f>IF($B208=$B207,$CD207,0)+$CC208</f>
        <v/>
      </c>
      <c r="CE208" s="55">
        <f>$CE207+$CC208</f>
        <v/>
      </c>
      <c r="CF208" s="55">
        <f>SUMIFS(tblPlant[Tails_oz],tblPlant[Date],$A208)</f>
        <v/>
      </c>
      <c r="CG208" s="55">
        <f>IF($B208=$B207,$CG207,0)+$CF208</f>
        <v/>
      </c>
      <c r="CH208" s="55">
        <f>$CH207+$CF208</f>
        <v/>
      </c>
      <c r="CI208" s="55">
        <f>SUMIFS(tblPlant[Recovered_oz],tblPlant[Date],$A208)</f>
        <v/>
      </c>
      <c r="CJ208" s="55">
        <f>IF($B208=$B207,$CJ207,0)+$CI208</f>
        <v/>
      </c>
      <c r="CK208" s="55">
        <f>$CK207+$CI208</f>
        <v/>
      </c>
      <c r="CL208" s="56">
        <f>IFERROR(IF(($BZ208)&gt;0,($CC208*cfg_TroyOz)/($BZ208),""),"")</f>
        <v/>
      </c>
      <c r="CM208" s="56">
        <f>IFERROR(IF(($CA208)&gt;0,($CD208*cfg_TroyOz)/($CA208),""),"")</f>
        <v/>
      </c>
      <c r="CN208" s="56">
        <f>IFERROR(IF(($CB208)&gt;0,($CE208*cfg_TroyOz)/($CB208),""),"")</f>
        <v/>
      </c>
      <c r="CO208" s="56">
        <f>IFERROR(IF(($BZ208)&gt;0,($CF208*cfg_TroyOz)/($BZ208),""),"")</f>
        <v/>
      </c>
      <c r="CP208" s="56">
        <f>IFERROR(IF(($CA208)&gt;0,($CG208*cfg_TroyOz)/($CA208),""),"")</f>
        <v/>
      </c>
      <c r="CQ208" s="56">
        <f>IFERROR(IF(($CB208)&gt;0,($CH208*cfg_TroyOz)/($CB208),""),"")</f>
        <v/>
      </c>
      <c r="CR208" s="67">
        <f>IFERROR(IF(($CC208)&gt;0,($CI208)/($CC208),""),"")</f>
        <v/>
      </c>
      <c r="CS208" s="67">
        <f>IFERROR(IF(($CD208)&gt;0,($CJ208)/($CD208),""),"")</f>
        <v/>
      </c>
      <c r="CT208" s="67">
        <f>IFERROR(IF(($CE208)&gt;0,($CK208)/($CE208),""),"")</f>
        <v/>
      </c>
      <c r="CU208" s="55">
        <f>SUMIFS(tblPlant[Gravity_Gold_oz],tblPlant[Date],$A208)</f>
        <v/>
      </c>
      <c r="CV208" s="55">
        <f>IF($B208=$B207,$CV207,0)+$CU208</f>
        <v/>
      </c>
      <c r="CW208" s="55">
        <f>$CW207+$CU208</f>
        <v/>
      </c>
      <c r="CX208" s="55">
        <f>SUMIFS(tblPlant[Gold_Poured_oz],tblPlant[Date],$A208)</f>
        <v/>
      </c>
      <c r="CY208" s="55">
        <f>IF($B208=$B207,$CY207,0)+$CX208</f>
        <v/>
      </c>
      <c r="CZ208" s="55">
        <f>$CZ207+$CX208</f>
        <v/>
      </c>
      <c r="DA208" s="57">
        <f>SUMIFS(tblPlant[Mill_Run_h],tblPlant[Date],$A208)</f>
        <v/>
      </c>
      <c r="DB208" s="57">
        <f>IF($B208=$B207,$DB207,0)+$DA208</f>
        <v/>
      </c>
      <c r="DC208" s="57">
        <f>$DC207+$DA208</f>
        <v/>
      </c>
      <c r="DD208" s="57">
        <f>SUMIFS(tblPlant[Mill_Planned_Maint_h],tblPlant[Date],$A208)</f>
        <v/>
      </c>
      <c r="DE208" s="57">
        <f>IF($B208=$B207,$DE207,0)+$DD208</f>
        <v/>
      </c>
      <c r="DF208" s="57">
        <f>$DF207+$DD208</f>
        <v/>
      </c>
      <c r="DG208" s="57">
        <f>SUMIFS(tblPlant[Mill_Unplanned_Down_h],tblPlant[Date],$A208)</f>
        <v/>
      </c>
      <c r="DH208" s="57">
        <f>IF($B208=$B207,$DH207,0)+$DG208</f>
        <v/>
      </c>
      <c r="DI208" s="57">
        <f>$DI207+$DG208</f>
        <v/>
      </c>
      <c r="DJ208" s="57">
        <f>COUNTIFS(tblPlant[Date],$A208,tblPlant[Mill_Run_h],"&lt;&gt;")*24</f>
        <v/>
      </c>
      <c r="DK208" s="57">
        <f>IF($B208=$B207,$DK207,0)+$DJ208</f>
        <v/>
      </c>
      <c r="DL208" s="57">
        <f>$DL207+$DJ208</f>
        <v/>
      </c>
      <c r="DM208" s="57">
        <f>SUMIFS(tblPlant[Crusher_Run_h],tblPlant[Date],$A208)</f>
        <v/>
      </c>
      <c r="DN208" s="57">
        <f>IF($B208=$B207,$DN207,0)+$DM208</f>
        <v/>
      </c>
      <c r="DO208" s="57">
        <f>$DO207+$DM208</f>
        <v/>
      </c>
      <c r="DP208" s="55">
        <f>IFERROR(IF(($DA208)&gt;0,($BZ208)/($DA208),""),"")</f>
        <v/>
      </c>
      <c r="DQ208" s="55">
        <f>IFERROR(IF(($DB208)&gt;0,($CA208)/($DB208),""),"")</f>
        <v/>
      </c>
      <c r="DR208" s="55">
        <f>IFERROR(IF(($DC208)&gt;0,($CB208)/($DC208),""),"")</f>
        <v/>
      </c>
      <c r="DS208" s="67">
        <f>IFERROR(IF(($DJ208)&gt;0,($DJ208-$DD208-$DG208)/($DJ208),""),"")</f>
        <v/>
      </c>
      <c r="DT208" s="67">
        <f>IFERROR(IF(($DK208)&gt;0,($DK208-$DE208-$DH208)/($DK208),""),"")</f>
        <v/>
      </c>
      <c r="DU208" s="67">
        <f>IFERROR(IF(($DL208)&gt;0,($DL208-$DF208-$DI208)/($DL208),""),"")</f>
        <v/>
      </c>
      <c r="DV208" s="67">
        <f>IFERROR(IF(($DJ208-$DD208-$DG208)&gt;0,($DA208)/($DJ208-$DD208-$DG208),""),"")</f>
        <v/>
      </c>
      <c r="DW208" s="67">
        <f>IFERROR(IF(($DK208-$DE208-$DH208)&gt;0,($DB208)/($DK208-$DE208-$DH208),""),"")</f>
        <v/>
      </c>
      <c r="DX208" s="67">
        <f>IFERROR(IF(($DL208-$DF208-$DI208)&gt;0,($DC208)/($DL208-$DF208-$DI208),""),"")</f>
        <v/>
      </c>
      <c r="DY208" s="55">
        <f>SUMIFS(tblPlant[Cyanide_kg],tblPlant[Date],$A208)</f>
        <v/>
      </c>
      <c r="DZ208" s="55">
        <f>IF($B208=$B207,$DZ207,0)+$DY208</f>
        <v/>
      </c>
      <c r="EA208" s="55">
        <f>$EA207+$DY208</f>
        <v/>
      </c>
      <c r="EB208" s="55">
        <f>SUMIFS(tblPlant[Lime_kg],tblPlant[Date],$A208)</f>
        <v/>
      </c>
      <c r="EC208" s="55">
        <f>IF($B208=$B207,$EC207,0)+$EB208</f>
        <v/>
      </c>
      <c r="ED208" s="55">
        <f>$ED207+$EB208</f>
        <v/>
      </c>
      <c r="EE208" s="55">
        <f>SUMIFS(tblPlant[Grinding_Media_kg],tblPlant[Date],$A208)</f>
        <v/>
      </c>
      <c r="EF208" s="55">
        <f>IF($B208=$B207,$EF207,0)+$EE208</f>
        <v/>
      </c>
      <c r="EG208" s="55">
        <f>$EG207+$EE208</f>
        <v/>
      </c>
      <c r="EH208" s="55">
        <f>SUMIFS(tblPlant[Power_kWh],tblPlant[Date],$A208)</f>
        <v/>
      </c>
      <c r="EI208" s="55">
        <f>IF($B208=$B207,$EI207,0)+$EH208</f>
        <v/>
      </c>
      <c r="EJ208" s="55">
        <f>$EJ207+$EH208</f>
        <v/>
      </c>
      <c r="EK208" s="55">
        <f>SUMIFS(tblPlant[Raw_Water_m3],tblPlant[Date],$A208)</f>
        <v/>
      </c>
      <c r="EL208" s="55">
        <f>IF($B208=$B207,$EL207,0)+$EK208</f>
        <v/>
      </c>
      <c r="EM208" s="55">
        <f>$EM207+$EK208</f>
        <v/>
      </c>
      <c r="EN208" s="56">
        <f>IFERROR(IF(($BZ208)&gt;0,($DY208)/($BZ208),""),"")</f>
        <v/>
      </c>
      <c r="EO208" s="56">
        <f>IFERROR(IF(($CA208)&gt;0,($DZ208)/($CA208),""),"")</f>
        <v/>
      </c>
      <c r="EP208" s="56">
        <f>IFERROR(IF(($CB208)&gt;0,($EA208)/($CB208),""),"")</f>
        <v/>
      </c>
      <c r="EQ208" s="56">
        <f>IFERROR(IF(($BZ208)&gt;0,($EB208)/($BZ208),""),"")</f>
        <v/>
      </c>
      <c r="ER208" s="56">
        <f>IFERROR(IF(($CA208)&gt;0,($EC208)/($CA208),""),"")</f>
        <v/>
      </c>
      <c r="ES208" s="56">
        <f>IFERROR(IF(($CB208)&gt;0,($ED208)/($CB208),""),"")</f>
        <v/>
      </c>
      <c r="ET208" s="56">
        <f>IFERROR(IF(($BZ208)&gt;0,($EE208)/($BZ208),""),"")</f>
        <v/>
      </c>
      <c r="EU208" s="56">
        <f>IFERROR(IF(($CA208)&gt;0,($EF208)/($CA208),""),"")</f>
        <v/>
      </c>
      <c r="EV208" s="56">
        <f>IFERROR(IF(($CB208)&gt;0,($EG208)/($CB208),""),"")</f>
        <v/>
      </c>
      <c r="EW208" s="76">
        <f>IFERROR(IF(($BZ208)&gt;0,($EH208)/($BZ208),""),"")</f>
        <v/>
      </c>
      <c r="EX208" s="76">
        <f>IFERROR(IF(($CA208)&gt;0,($EI208)/($CA208),""),"")</f>
        <v/>
      </c>
      <c r="EY208" s="76">
        <f>IFERROR(IF(($CB208)&gt;0,($EJ208)/($CB208),""),"")</f>
        <v/>
      </c>
      <c r="EZ208" s="56">
        <f>IFERROR(IF(($BZ208)&gt;0,($EK208)/($BZ208),""),"")</f>
        <v/>
      </c>
      <c r="FA208" s="56">
        <f>IFERROR(IF(($CA208)&gt;0,($EL208)/($CA208),""),"")</f>
        <v/>
      </c>
      <c r="FB208" s="56">
        <f>IFERROR(IF(($CB208)&gt;0,($EM208)/($CB208),""),"")</f>
        <v/>
      </c>
      <c r="FC208" s="55">
        <f>IF(SUMIFS(tblPlant[GIC_oz],tblPlant[Date],$A208)&gt;0,SUMIFS(tblPlant[GIC_oz],tblPlant[Date],$A208),"")</f>
        <v/>
      </c>
      <c r="FD208" s="55">
        <f>SUMIFS(tblGold[Gold_oz],tblGold[Date],$A208,tblGold[Type],"Shipment")</f>
        <v/>
      </c>
      <c r="FE208" s="55">
        <f>IF($B208=$B207,$FE207,0)+$FD208</f>
        <v/>
      </c>
      <c r="FF208" s="55">
        <f>$FF207+$FD208</f>
        <v/>
      </c>
      <c r="FG208" s="55">
        <f>SUMIFS(tblGold[Gold_oz],tblGold[Date],$A208,tblGold[Type],"Sale")</f>
        <v/>
      </c>
      <c r="FH208" s="55">
        <f>IF($B208=$B207,$FH207,0)+$FG208</f>
        <v/>
      </c>
      <c r="FI208" s="55">
        <f>$FI207+$FG208</f>
        <v/>
      </c>
      <c r="FJ208" s="55">
        <f>SUMIFS(tblGold[Dore_kg],tblGold[Date],$A208,tblGold[Type],"Shipment")</f>
        <v/>
      </c>
      <c r="FK208" s="55">
        <f>IF($B208=$B207,$FK207,0)+$FJ208</f>
        <v/>
      </c>
      <c r="FL208" s="55">
        <f>$FL207+$FJ208</f>
        <v/>
      </c>
      <c r="FM208" s="57">
        <f>SUMIFS(tblSafety[Hours_Total],tblSafety[Date],$A208)</f>
        <v/>
      </c>
      <c r="FN208" s="57">
        <f>IF($B208=$B207,$FN207,0)+$FM208</f>
        <v/>
      </c>
      <c r="FO208" s="57">
        <f>$FO207+$FM208</f>
        <v/>
      </c>
      <c r="FP208" s="62">
        <f>SUMIFS(tblSafety[Fatality],tblSafety[Date],$A208)</f>
        <v/>
      </c>
      <c r="FQ208" s="62">
        <f>IF($B208=$B207,$FQ207,0)+$FP208</f>
        <v/>
      </c>
      <c r="FR208" s="62">
        <f>$FR207+$FP208</f>
        <v/>
      </c>
      <c r="FS208" s="62">
        <f>SUMIFS(tblSafety[LTI],tblSafety[Date],$A208)</f>
        <v/>
      </c>
      <c r="FT208" s="62">
        <f>IF($B208=$B207,$FT207,0)+$FS208</f>
        <v/>
      </c>
      <c r="FU208" s="62">
        <f>$FU207+$FS208</f>
        <v/>
      </c>
      <c r="FV208" s="62">
        <f>SUMIFS(tblSafety[RWI],tblSafety[Date],$A208)</f>
        <v/>
      </c>
      <c r="FW208" s="62">
        <f>IF($B208=$B207,$FW207,0)+$FV208</f>
        <v/>
      </c>
      <c r="FX208" s="62">
        <f>$FX207+$FV208</f>
        <v/>
      </c>
      <c r="FY208" s="62">
        <f>SUMIFS(tblSafety[MTI],tblSafety[Date],$A208)</f>
        <v/>
      </c>
      <c r="FZ208" s="62">
        <f>IF($B208=$B207,$FZ207,0)+$FY208</f>
        <v/>
      </c>
      <c r="GA208" s="62">
        <f>$GA207+$FY208</f>
        <v/>
      </c>
      <c r="GB208" s="62">
        <f>SUMIFS(tblSafety[FAI],tblSafety[Date],$A208)</f>
        <v/>
      </c>
      <c r="GC208" s="62">
        <f>IF($B208=$B207,$GC207,0)+$GB208</f>
        <v/>
      </c>
      <c r="GD208" s="62">
        <f>$GD207+$GB208</f>
        <v/>
      </c>
      <c r="GE208" s="62">
        <f>SUMIFS(tblSafety[Recordables],tblSafety[Date],$A208)</f>
        <v/>
      </c>
      <c r="GF208" s="62">
        <f>IF($B208=$B207,$GF207,0)+$GE208</f>
        <v/>
      </c>
      <c r="GG208" s="62">
        <f>$GG207+$GE208</f>
        <v/>
      </c>
      <c r="GH208" s="62">
        <f>SUMIFS(tblSafety[Near_Miss],tblSafety[Date],$A208)</f>
        <v/>
      </c>
      <c r="GI208" s="62">
        <f>IF($B208=$B207,$GI207,0)+$GH208</f>
        <v/>
      </c>
      <c r="GJ208" s="62">
        <f>$GJ207+$GH208</f>
        <v/>
      </c>
      <c r="GK208" s="62">
        <f>SUMIFS(tblSafety[Hazard_Reports],tblSafety[Date],$A208)</f>
        <v/>
      </c>
      <c r="GL208" s="62">
        <f>IF($B208=$B207,$GL207,0)+$GK208</f>
        <v/>
      </c>
      <c r="GM208" s="62">
        <f>$GM207+$GK208</f>
        <v/>
      </c>
      <c r="GN208" s="62">
        <f>SUMIFS(tblSafety[HPI],tblSafety[Date],$A208)</f>
        <v/>
      </c>
      <c r="GO208" s="62">
        <f>IF($B208=$B207,$GO207,0)+$GN208</f>
        <v/>
      </c>
      <c r="GP208" s="62">
        <f>$GP207+$GN208</f>
        <v/>
      </c>
      <c r="GQ208" s="62">
        <f>SUMIFS(tblSafety[Env_Incidents],tblSafety[Date],$A208)</f>
        <v/>
      </c>
      <c r="GR208" s="62">
        <f>IF($B208=$B207,$GR207,0)+$GQ208</f>
        <v/>
      </c>
      <c r="GS208" s="62">
        <f>$GS207+$GQ208</f>
        <v/>
      </c>
      <c r="GT208" s="62">
        <f>SUMIFS(tblSafety[Community_Incidents],tblSafety[Date],$A208)</f>
        <v/>
      </c>
      <c r="GU208" s="62">
        <f>IF($B208=$B207,$GU207,0)+$GT208</f>
        <v/>
      </c>
      <c r="GV208" s="62">
        <f>$GV207+$GT208</f>
        <v/>
      </c>
      <c r="GW208" s="62">
        <f>SUMIFS(tblSafety[Vehicle_Incidents],tblSafety[Date],$A208)</f>
        <v/>
      </c>
      <c r="GX208" s="62">
        <f>IF($B208=$B207,$GX207,0)+$GW208</f>
        <v/>
      </c>
      <c r="GY208" s="62">
        <f>$GY207+$GW208</f>
        <v/>
      </c>
      <c r="GZ208" s="62">
        <f>SUMIFS(tblSafety[Toolbox_Talks],tblSafety[Date],$A208)</f>
        <v/>
      </c>
      <c r="HA208" s="62">
        <f>IF($B208=$B207,$HA207,0)+$GZ208</f>
        <v/>
      </c>
      <c r="HB208" s="62">
        <f>$HB207+$GZ208</f>
        <v/>
      </c>
      <c r="HC208" s="62">
        <f>SUMIFS(tblSafety[Inspections],tblSafety[Date],$A208)</f>
        <v/>
      </c>
      <c r="HD208" s="62">
        <f>IF($B208=$B207,$HD207,0)+$HC208</f>
        <v/>
      </c>
      <c r="HE208" s="62">
        <f>$HE207+$HC208</f>
        <v/>
      </c>
      <c r="HF208" s="56">
        <f>IFERROR((SUMIFS(tblSafety[Recordables],tblSafety[Date],"&gt;="&amp;EDATE($E208,-12),tblSafety[Date],"&lt;="&amp;$A208)+SUMIFS(tblSafetyHistory[Recordables],tblSafetyHistory[Month],"&gt;="&amp;EDATE($E208,-12),tblSafetyHistory[Month],"&lt;"&amp;cfg_YearStart))/(SUMIFS(tblSafety[Hours_Total],tblSafety[Date],"&gt;="&amp;EDATE($E208,-12),tblSafety[Date],"&lt;="&amp;$A208)+SUMIFS(tblSafetyHistory[Hours_Total],tblSafetyHistory[Month],"&gt;="&amp;EDATE($E208,-12),tblSafetyHistory[Month],"&lt;"&amp;cfg_YearStart))*1000000,"")</f>
        <v/>
      </c>
      <c r="HG208" s="56">
        <f>IFERROR((SUMIFS(tblSafety[LTI],tblSafety[Date],"&gt;="&amp;EDATE($E208,-12),tblSafety[Date],"&lt;="&amp;$A208)+SUMIFS(tblSafetyHistory[LTI],tblSafetyHistory[Month],"&gt;="&amp;EDATE($E208,-12),tblSafetyHistory[Month],"&lt;"&amp;cfg_YearStart))/(SUMIFS(tblSafety[Hours_Total],tblSafety[Date],"&gt;="&amp;EDATE($E208,-12),tblSafety[Date],"&lt;="&amp;$A208)+SUMIFS(tblSafetyHistory[Hours_Total],tblSafetyHistory[Month],"&gt;="&amp;EDATE($E208,-12),tblSafetyHistory[Month],"&lt;"&amp;cfg_YearStart))*1000000,"")</f>
        <v/>
      </c>
      <c r="HH208" s="62">
        <f>IF(MAX(N(cfg_PriorLTIDate),_xlfn.MAXIFS(tblSafety[Date],tblSafety[LTI],"&gt;0",tblSafety[Date],"&lt;="&amp;$A208))=0,"",$A208-MAX(N(cfg_PriorLTIDate),_xlfn.MAXIFS(tblSafety[Date],tblSafety[LTI],"&gt;0",tblSafety[Date],"&lt;="&amp;$A208)))</f>
        <v/>
      </c>
      <c r="HI208" s="55">
        <f>SUMIFS(tblBudget[Ore_Mined_t],tblBudget[Month],$E208)</f>
        <v/>
      </c>
      <c r="HJ208" s="55">
        <f>$HI208*$C208/$D208</f>
        <v/>
      </c>
      <c r="HK208" s="55">
        <f>SUMIFS(tblBudget[Ore_Mined_t],tblBudget[Month],"&lt;"&amp;$E208)+$HJ208</f>
        <v/>
      </c>
      <c r="HL208" s="55">
        <f>SUMIFS(tblBudget[Ore_oz],tblBudget[Month],$E208)</f>
        <v/>
      </c>
      <c r="HM208" s="55">
        <f>$HL208*$C208/$D208</f>
        <v/>
      </c>
      <c r="HN208" s="55">
        <f>SUMIFS(tblBudget[Ore_oz],tblBudget[Month],"&lt;"&amp;$E208)+$HM208</f>
        <v/>
      </c>
      <c r="HO208" s="56">
        <f>IFERROR(IF(($HI208)&gt;0,($HL208*cfg_TroyOz)/($HI208),""),"")</f>
        <v/>
      </c>
      <c r="HP208" s="56">
        <f>IFERROR(IF(($HJ208)&gt;0,($HM208*cfg_TroyOz)/($HJ208),""),"")</f>
        <v/>
      </c>
      <c r="HQ208" s="56">
        <f>IFERROR(IF(($HK208)&gt;0,($HN208*cfg_TroyOz)/($HK208),""),"")</f>
        <v/>
      </c>
      <c r="HR208" s="55">
        <f>SUMIFS(tblBudget[Waste_t],tblBudget[Month],$E208)</f>
        <v/>
      </c>
      <c r="HS208" s="55">
        <f>$HR208*$C208/$D208</f>
        <v/>
      </c>
      <c r="HT208" s="55">
        <f>SUMIFS(tblBudget[Waste_t],tblBudget[Month],"&lt;"&amp;$E208)+$HS208</f>
        <v/>
      </c>
      <c r="HU208" s="55">
        <f>SUMIFS(tblBudget[TMM_t],tblBudget[Month],$E208)</f>
        <v/>
      </c>
      <c r="HV208" s="55">
        <f>$HU208*$C208/$D208</f>
        <v/>
      </c>
      <c r="HW208" s="55">
        <f>SUMIFS(tblBudget[TMM_t],tblBudget[Month],"&lt;"&amp;$E208)+$HV208</f>
        <v/>
      </c>
      <c r="HX208" s="56">
        <f>IFERROR(IF(($HI208)&gt;0,($HR208)/($HI208),""),"")</f>
        <v/>
      </c>
      <c r="HY208" s="56">
        <f>IFERROR(IF(($HJ208)&gt;0,($HS208)/($HJ208),""),"")</f>
        <v/>
      </c>
      <c r="HZ208" s="56">
        <f>IFERROR(IF(($HK208)&gt;0,($HT208)/($HK208),""),"")</f>
        <v/>
      </c>
      <c r="IA208" s="55">
        <f>SUMIFS(tblBudget[Drill_m],tblBudget[Month],$E208)</f>
        <v/>
      </c>
      <c r="IB208" s="55">
        <f>$IA208*$C208/$D208</f>
        <v/>
      </c>
      <c r="IC208" s="55">
        <f>SUMIFS(tblBudget[Drill_m],tblBudget[Month],"&lt;"&amp;$E208)+$IB208</f>
        <v/>
      </c>
      <c r="ID208" s="55">
        <f>SUMIFS(tblBudget[Diesel_L],tblBudget[Month],$E208)</f>
        <v/>
      </c>
      <c r="IE208" s="55">
        <f>$ID208*$C208/$D208</f>
        <v/>
      </c>
      <c r="IF208" s="55">
        <f>SUMIFS(tblBudget[Diesel_L],tblBudget[Month],"&lt;"&amp;$E208)+$IE208</f>
        <v/>
      </c>
      <c r="IG208" s="55">
        <f>SUMIFS(tblBudget[Milled_t],tblBudget[Month],$E208)</f>
        <v/>
      </c>
      <c r="IH208" s="55">
        <f>$IG208*$C208/$D208</f>
        <v/>
      </c>
      <c r="II208" s="55">
        <f>SUMIFS(tblBudget[Milled_t],tblBudget[Month],"&lt;"&amp;$E208)+$IH208</f>
        <v/>
      </c>
      <c r="IJ208" s="55">
        <f>SUMIFS(tblBudget[Feed_oz],tblBudget[Month],$E208)</f>
        <v/>
      </c>
      <c r="IK208" s="55">
        <f>$IJ208*$C208/$D208</f>
        <v/>
      </c>
      <c r="IL208" s="55">
        <f>SUMIFS(tblBudget[Feed_oz],tblBudget[Month],"&lt;"&amp;$E208)+$IK208</f>
        <v/>
      </c>
      <c r="IM208" s="55">
        <f>SUMIFS(tblBudget[Recovered_oz],tblBudget[Month],$E208)</f>
        <v/>
      </c>
      <c r="IN208" s="55">
        <f>$IM208*$C208/$D208</f>
        <v/>
      </c>
      <c r="IO208" s="55">
        <f>SUMIFS(tblBudget[Recovered_oz],tblBudget[Month],"&lt;"&amp;$E208)+$IN208</f>
        <v/>
      </c>
      <c r="IP208" s="56">
        <f>IFERROR(IF(($IG208)&gt;0,($IJ208*cfg_TroyOz)/($IG208),""),"")</f>
        <v/>
      </c>
      <c r="IQ208" s="56">
        <f>IFERROR(IF(($IH208)&gt;0,($IK208*cfg_TroyOz)/($IH208),""),"")</f>
        <v/>
      </c>
      <c r="IR208" s="56">
        <f>IFERROR(IF(($II208)&gt;0,($IL208*cfg_TroyOz)/($II208),""),"")</f>
        <v/>
      </c>
      <c r="IS208" s="67">
        <f>IFERROR(IF(($IJ208)&gt;0,($IM208)/($IJ208),""),"")</f>
        <v/>
      </c>
      <c r="IT208" s="67">
        <f>IFERROR(IF(($IK208)&gt;0,($IN208)/($IK208),""),"")</f>
        <v/>
      </c>
      <c r="IU208" s="67">
        <f>IFERROR(IF(($IL208)&gt;0,($IO208)/($IL208),""),"")</f>
        <v/>
      </c>
      <c r="IV208" s="55">
        <f>SUMIFS(tblBudget[Gold_Poured_oz],tblBudget[Month],$E208)</f>
        <v/>
      </c>
      <c r="IW208" s="55">
        <f>$IV208*$C208/$D208</f>
        <v/>
      </c>
      <c r="IX208" s="55">
        <f>SUMIFS(tblBudget[Gold_Poured_oz],tblBudget[Month],"&lt;"&amp;$E208)+$IW208</f>
        <v/>
      </c>
      <c r="IY208" s="57">
        <f>SUMIFS(tblBudget[Hours_Worked],tblBudget[Month],$E208)</f>
        <v/>
      </c>
      <c r="IZ208" s="57">
        <f>$IY208*$C208/$D208</f>
        <v/>
      </c>
      <c r="JA208" s="57">
        <f>SUMIFS(tblBudget[Hours_Worked],tblBudget[Month],"&lt;"&amp;$E208)+$IZ208</f>
        <v/>
      </c>
    </row>
    <row r="209">
      <c r="A209" s="54" t="n">
        <v>46230</v>
      </c>
      <c r="B209">
        <f>MONTH($A209)</f>
        <v/>
      </c>
      <c r="C209">
        <f>DAY($A209)</f>
        <v/>
      </c>
      <c r="D209">
        <f>DAY(EOMONTH($A209,0))</f>
        <v/>
      </c>
      <c r="E209" s="54">
        <f>DATE(YEAR($A209),MONTH($A209),1)</f>
        <v/>
      </c>
      <c r="F209" s="55">
        <f>SUMIFS(tblMovement[Tonnes_t],tblMovement[Date],$A209,tblMovement[Is_Ore],1,tblMovement[Source_Type],"Pit")</f>
        <v/>
      </c>
      <c r="G209" s="55">
        <f>IF($B209=$B208,$G208,0)+$F209</f>
        <v/>
      </c>
      <c r="H209" s="55">
        <f>$H208+$F209</f>
        <v/>
      </c>
      <c r="I209" s="55">
        <f>SUMIFS(tblMovement[Ore_oz],tblMovement[Date],$A209,tblMovement[Source_Type],"Pit")</f>
        <v/>
      </c>
      <c r="J209" s="55">
        <f>IF($B209=$B208,$J208,0)+$I209</f>
        <v/>
      </c>
      <c r="K209" s="55">
        <f>$K208+$I209</f>
        <v/>
      </c>
      <c r="L209" s="56">
        <f>IFERROR(IF(($F209)&gt;0,($I209*cfg_TroyOz)/($F209),""),"")</f>
        <v/>
      </c>
      <c r="M209" s="56">
        <f>IFERROR(IF(($G209)&gt;0,($J209*cfg_TroyOz)/($G209),""),"")</f>
        <v/>
      </c>
      <c r="N209" s="56">
        <f>IFERROR(IF(($H209)&gt;0,($K209*cfg_TroyOz)/($H209),""),"")</f>
        <v/>
      </c>
      <c r="O209" s="55">
        <f>SUMIFS(tblMovement[Tonnes_t],tblMovement[Date],$A209,tblMovement[Is_Ore],0,tblMovement[Source_Type],"Pit")</f>
        <v/>
      </c>
      <c r="P209" s="55">
        <f>IF($B209=$B208,$P208,0)+$O209</f>
        <v/>
      </c>
      <c r="Q209" s="55">
        <f>$Q208+$O209</f>
        <v/>
      </c>
      <c r="R209" s="55">
        <f>$F209+$O209</f>
        <v/>
      </c>
      <c r="S209" s="55">
        <f>IF($B209=$B208,$S208,0)+$R209</f>
        <v/>
      </c>
      <c r="T209" s="55">
        <f>$T208+$R209</f>
        <v/>
      </c>
      <c r="U209" s="56">
        <f>IFERROR(IF(($F209)&gt;0,($O209)/($F209),""),"")</f>
        <v/>
      </c>
      <c r="V209" s="56">
        <f>IFERROR(IF(($G209)&gt;0,($P209)/($G209),""),"")</f>
        <v/>
      </c>
      <c r="W209" s="56">
        <f>IFERROR(IF(($H209)&gt;0,($Q209)/($H209),""),"")</f>
        <v/>
      </c>
      <c r="X209" s="55">
        <f>SUMIFS(tblMovement[Tonnes_t],tblMovement[Date],$A209,tblMovement[Source_Type],"Stockpile")</f>
        <v/>
      </c>
      <c r="Y209" s="55">
        <f>IF($B209=$B208,$Y208,0)+$X209</f>
        <v/>
      </c>
      <c r="Z209" s="55">
        <f>$Z208+$X209</f>
        <v/>
      </c>
      <c r="AA209" s="55">
        <f>SUMIFS(tblMiningDaily[Drill_m],tblMiningDaily[Date],$A209)</f>
        <v/>
      </c>
      <c r="AB209" s="55">
        <f>IF($B209=$B208,$AB208,0)+$AA209</f>
        <v/>
      </c>
      <c r="AC209" s="55">
        <f>$AC208+$AA209</f>
        <v/>
      </c>
      <c r="AD209" s="55">
        <f>SUMIFS(tblMiningDaily[Blast_t],tblMiningDaily[Date],$A209)</f>
        <v/>
      </c>
      <c r="AE209" s="55">
        <f>IF($B209=$B208,$AE208,0)+$AD209</f>
        <v/>
      </c>
      <c r="AF209" s="55">
        <f>$AF208+$AD209</f>
        <v/>
      </c>
      <c r="AG209" s="55">
        <f>SUMIFS(tblMiningDaily[Explosives_kg],tblMiningDaily[Date],$A209)</f>
        <v/>
      </c>
      <c r="AH209" s="55">
        <f>IF($B209=$B208,$AH208,0)+$AG209</f>
        <v/>
      </c>
      <c r="AI209" s="55">
        <f>$AI208+$AG209</f>
        <v/>
      </c>
      <c r="AJ209" s="56">
        <f>IFERROR(IF(($AD209)&gt;0,($AG209)/($AD209),""),"")</f>
        <v/>
      </c>
      <c r="AK209" s="56">
        <f>IFERROR(IF(($AE209)&gt;0,($AH209)/($AE209),""),"")</f>
        <v/>
      </c>
      <c r="AL209" s="56">
        <f>IFERROR(IF(($AF209)&gt;0,($AI209)/($AF209),""),"")</f>
        <v/>
      </c>
      <c r="AM209" s="55">
        <f>SUMIFS(tblMiningDaily[Diesel_L],tblMiningDaily[Date],$A209)</f>
        <v/>
      </c>
      <c r="AN209" s="55">
        <f>IF($B209=$B208,$AN208,0)+$AM209</f>
        <v/>
      </c>
      <c r="AO209" s="55">
        <f>$AO208+$AM209</f>
        <v/>
      </c>
      <c r="AP209" s="55">
        <f>SUMIFS(tblMiningDaily[Dewatering_m3],tblMiningDaily[Date],$A209)</f>
        <v/>
      </c>
      <c r="AQ209" s="55">
        <f>IF($B209=$B208,$AQ208,0)+$AP209</f>
        <v/>
      </c>
      <c r="AR209" s="55">
        <f>$AR208+$AP209</f>
        <v/>
      </c>
      <c r="AS209" s="57">
        <f>SUMIFS(tblFleet[Calendar_h],tblFleet[Date],$A209,tblFleet[Equipment_Class],"Excavator")</f>
        <v/>
      </c>
      <c r="AT209" s="57">
        <f>IF($B209=$B208,$AT208,0)+$AS209</f>
        <v/>
      </c>
      <c r="AU209" s="57">
        <f>$AU208+$AS209</f>
        <v/>
      </c>
      <c r="AV209" s="57">
        <f>SUMIFS(tblFleet[Available_h],tblFleet[Date],$A209,tblFleet[Equipment_Class],"Excavator")</f>
        <v/>
      </c>
      <c r="AW209" s="57">
        <f>IF($B209=$B208,$AW208,0)+$AV209</f>
        <v/>
      </c>
      <c r="AX209" s="57">
        <f>$AX208+$AV209</f>
        <v/>
      </c>
      <c r="AY209" s="57">
        <f>SUMIFS(tblFleet[Operating_h],tblFleet[Date],$A209,tblFleet[Equipment_Class],"Excavator")</f>
        <v/>
      </c>
      <c r="AZ209" s="57">
        <f>IF($B209=$B208,$AZ208,0)+$AY209</f>
        <v/>
      </c>
      <c r="BA209" s="57">
        <f>$BA208+$AY209</f>
        <v/>
      </c>
      <c r="BB209" s="67">
        <f>IFERROR(IF(($AS209)&gt;0,($AV209)/($AS209),""),"")</f>
        <v/>
      </c>
      <c r="BC209" s="67">
        <f>IFERROR(IF(($AT209)&gt;0,($AW209)/($AT209),""),"")</f>
        <v/>
      </c>
      <c r="BD209" s="67">
        <f>IFERROR(IF(($AU209)&gt;0,($AX209)/($AU209),""),"")</f>
        <v/>
      </c>
      <c r="BE209" s="67">
        <f>IFERROR(IF(($AV209)&gt;0,($AY209)/($AV209),""),"")</f>
        <v/>
      </c>
      <c r="BF209" s="67">
        <f>IFERROR(IF(($AW209)&gt;0,($AZ209)/($AW209),""),"")</f>
        <v/>
      </c>
      <c r="BG209" s="67">
        <f>IFERROR(IF(($AX209)&gt;0,($BA209)/($AX209),""),"")</f>
        <v/>
      </c>
      <c r="BH209" s="57">
        <f>SUMIFS(tblFleet[Calendar_h],tblFleet[Date],$A209,tblFleet[Equipment_Class],"Haul Truck")</f>
        <v/>
      </c>
      <c r="BI209" s="57">
        <f>IF($B209=$B208,$BI208,0)+$BH209</f>
        <v/>
      </c>
      <c r="BJ209" s="57">
        <f>$BJ208+$BH209</f>
        <v/>
      </c>
      <c r="BK209" s="57">
        <f>SUMIFS(tblFleet[Available_h],tblFleet[Date],$A209,tblFleet[Equipment_Class],"Haul Truck")</f>
        <v/>
      </c>
      <c r="BL209" s="57">
        <f>IF($B209=$B208,$BL208,0)+$BK209</f>
        <v/>
      </c>
      <c r="BM209" s="57">
        <f>$BM208+$BK209</f>
        <v/>
      </c>
      <c r="BN209" s="57">
        <f>SUMIFS(tblFleet[Operating_h],tblFleet[Date],$A209,tblFleet[Equipment_Class],"Haul Truck")</f>
        <v/>
      </c>
      <c r="BO209" s="57">
        <f>IF($B209=$B208,$BO208,0)+$BN209</f>
        <v/>
      </c>
      <c r="BP209" s="57">
        <f>$BP208+$BN209</f>
        <v/>
      </c>
      <c r="BQ209" s="67">
        <f>IFERROR(IF(($BH209)&gt;0,($BK209)/($BH209),""),"")</f>
        <v/>
      </c>
      <c r="BR209" s="67">
        <f>IFERROR(IF(($BI209)&gt;0,($BL209)/($BI209),""),"")</f>
        <v/>
      </c>
      <c r="BS209" s="67">
        <f>IFERROR(IF(($BJ209)&gt;0,($BM209)/($BJ209),""),"")</f>
        <v/>
      </c>
      <c r="BT209" s="67">
        <f>IFERROR(IF(($BK209)&gt;0,($BN209)/($BK209),""),"")</f>
        <v/>
      </c>
      <c r="BU209" s="67">
        <f>IFERROR(IF(($BL209)&gt;0,($BO209)/($BL209),""),"")</f>
        <v/>
      </c>
      <c r="BV209" s="67">
        <f>IFERROR(IF(($BM209)&gt;0,($BP209)/($BM209),""),"")</f>
        <v/>
      </c>
      <c r="BW209" s="55">
        <f>SUMIFS(tblPlant[Crushed_t],tblPlant[Date],$A209)</f>
        <v/>
      </c>
      <c r="BX209" s="55">
        <f>IF($B209=$B208,$BX208,0)+$BW209</f>
        <v/>
      </c>
      <c r="BY209" s="55">
        <f>$BY208+$BW209</f>
        <v/>
      </c>
      <c r="BZ209" s="55">
        <f>SUMIFS(tblPlant[Milled_t],tblPlant[Date],$A209)</f>
        <v/>
      </c>
      <c r="CA209" s="55">
        <f>IF($B209=$B208,$CA208,0)+$BZ209</f>
        <v/>
      </c>
      <c r="CB209" s="55">
        <f>$CB208+$BZ209</f>
        <v/>
      </c>
      <c r="CC209" s="55">
        <f>SUMIFS(tblPlant[Feed_oz],tblPlant[Date],$A209)</f>
        <v/>
      </c>
      <c r="CD209" s="55">
        <f>IF($B209=$B208,$CD208,0)+$CC209</f>
        <v/>
      </c>
      <c r="CE209" s="55">
        <f>$CE208+$CC209</f>
        <v/>
      </c>
      <c r="CF209" s="55">
        <f>SUMIFS(tblPlant[Tails_oz],tblPlant[Date],$A209)</f>
        <v/>
      </c>
      <c r="CG209" s="55">
        <f>IF($B209=$B208,$CG208,0)+$CF209</f>
        <v/>
      </c>
      <c r="CH209" s="55">
        <f>$CH208+$CF209</f>
        <v/>
      </c>
      <c r="CI209" s="55">
        <f>SUMIFS(tblPlant[Recovered_oz],tblPlant[Date],$A209)</f>
        <v/>
      </c>
      <c r="CJ209" s="55">
        <f>IF($B209=$B208,$CJ208,0)+$CI209</f>
        <v/>
      </c>
      <c r="CK209" s="55">
        <f>$CK208+$CI209</f>
        <v/>
      </c>
      <c r="CL209" s="56">
        <f>IFERROR(IF(($BZ209)&gt;0,($CC209*cfg_TroyOz)/($BZ209),""),"")</f>
        <v/>
      </c>
      <c r="CM209" s="56">
        <f>IFERROR(IF(($CA209)&gt;0,($CD209*cfg_TroyOz)/($CA209),""),"")</f>
        <v/>
      </c>
      <c r="CN209" s="56">
        <f>IFERROR(IF(($CB209)&gt;0,($CE209*cfg_TroyOz)/($CB209),""),"")</f>
        <v/>
      </c>
      <c r="CO209" s="56">
        <f>IFERROR(IF(($BZ209)&gt;0,($CF209*cfg_TroyOz)/($BZ209),""),"")</f>
        <v/>
      </c>
      <c r="CP209" s="56">
        <f>IFERROR(IF(($CA209)&gt;0,($CG209*cfg_TroyOz)/($CA209),""),"")</f>
        <v/>
      </c>
      <c r="CQ209" s="56">
        <f>IFERROR(IF(($CB209)&gt;0,($CH209*cfg_TroyOz)/($CB209),""),"")</f>
        <v/>
      </c>
      <c r="CR209" s="67">
        <f>IFERROR(IF(($CC209)&gt;0,($CI209)/($CC209),""),"")</f>
        <v/>
      </c>
      <c r="CS209" s="67">
        <f>IFERROR(IF(($CD209)&gt;0,($CJ209)/($CD209),""),"")</f>
        <v/>
      </c>
      <c r="CT209" s="67">
        <f>IFERROR(IF(($CE209)&gt;0,($CK209)/($CE209),""),"")</f>
        <v/>
      </c>
      <c r="CU209" s="55">
        <f>SUMIFS(tblPlant[Gravity_Gold_oz],tblPlant[Date],$A209)</f>
        <v/>
      </c>
      <c r="CV209" s="55">
        <f>IF($B209=$B208,$CV208,0)+$CU209</f>
        <v/>
      </c>
      <c r="CW209" s="55">
        <f>$CW208+$CU209</f>
        <v/>
      </c>
      <c r="CX209" s="55">
        <f>SUMIFS(tblPlant[Gold_Poured_oz],tblPlant[Date],$A209)</f>
        <v/>
      </c>
      <c r="CY209" s="55">
        <f>IF($B209=$B208,$CY208,0)+$CX209</f>
        <v/>
      </c>
      <c r="CZ209" s="55">
        <f>$CZ208+$CX209</f>
        <v/>
      </c>
      <c r="DA209" s="57">
        <f>SUMIFS(tblPlant[Mill_Run_h],tblPlant[Date],$A209)</f>
        <v/>
      </c>
      <c r="DB209" s="57">
        <f>IF($B209=$B208,$DB208,0)+$DA209</f>
        <v/>
      </c>
      <c r="DC209" s="57">
        <f>$DC208+$DA209</f>
        <v/>
      </c>
      <c r="DD209" s="57">
        <f>SUMIFS(tblPlant[Mill_Planned_Maint_h],tblPlant[Date],$A209)</f>
        <v/>
      </c>
      <c r="DE209" s="57">
        <f>IF($B209=$B208,$DE208,0)+$DD209</f>
        <v/>
      </c>
      <c r="DF209" s="57">
        <f>$DF208+$DD209</f>
        <v/>
      </c>
      <c r="DG209" s="57">
        <f>SUMIFS(tblPlant[Mill_Unplanned_Down_h],tblPlant[Date],$A209)</f>
        <v/>
      </c>
      <c r="DH209" s="57">
        <f>IF($B209=$B208,$DH208,0)+$DG209</f>
        <v/>
      </c>
      <c r="DI209" s="57">
        <f>$DI208+$DG209</f>
        <v/>
      </c>
      <c r="DJ209" s="57">
        <f>COUNTIFS(tblPlant[Date],$A209,tblPlant[Mill_Run_h],"&lt;&gt;")*24</f>
        <v/>
      </c>
      <c r="DK209" s="57">
        <f>IF($B209=$B208,$DK208,0)+$DJ209</f>
        <v/>
      </c>
      <c r="DL209" s="57">
        <f>$DL208+$DJ209</f>
        <v/>
      </c>
      <c r="DM209" s="57">
        <f>SUMIFS(tblPlant[Crusher_Run_h],tblPlant[Date],$A209)</f>
        <v/>
      </c>
      <c r="DN209" s="57">
        <f>IF($B209=$B208,$DN208,0)+$DM209</f>
        <v/>
      </c>
      <c r="DO209" s="57">
        <f>$DO208+$DM209</f>
        <v/>
      </c>
      <c r="DP209" s="55">
        <f>IFERROR(IF(($DA209)&gt;0,($BZ209)/($DA209),""),"")</f>
        <v/>
      </c>
      <c r="DQ209" s="55">
        <f>IFERROR(IF(($DB209)&gt;0,($CA209)/($DB209),""),"")</f>
        <v/>
      </c>
      <c r="DR209" s="55">
        <f>IFERROR(IF(($DC209)&gt;0,($CB209)/($DC209),""),"")</f>
        <v/>
      </c>
      <c r="DS209" s="67">
        <f>IFERROR(IF(($DJ209)&gt;0,($DJ209-$DD209-$DG209)/($DJ209),""),"")</f>
        <v/>
      </c>
      <c r="DT209" s="67">
        <f>IFERROR(IF(($DK209)&gt;0,($DK209-$DE209-$DH209)/($DK209),""),"")</f>
        <v/>
      </c>
      <c r="DU209" s="67">
        <f>IFERROR(IF(($DL209)&gt;0,($DL209-$DF209-$DI209)/($DL209),""),"")</f>
        <v/>
      </c>
      <c r="DV209" s="67">
        <f>IFERROR(IF(($DJ209-$DD209-$DG209)&gt;0,($DA209)/($DJ209-$DD209-$DG209),""),"")</f>
        <v/>
      </c>
      <c r="DW209" s="67">
        <f>IFERROR(IF(($DK209-$DE209-$DH209)&gt;0,($DB209)/($DK209-$DE209-$DH209),""),"")</f>
        <v/>
      </c>
      <c r="DX209" s="67">
        <f>IFERROR(IF(($DL209-$DF209-$DI209)&gt;0,($DC209)/($DL209-$DF209-$DI209),""),"")</f>
        <v/>
      </c>
      <c r="DY209" s="55">
        <f>SUMIFS(tblPlant[Cyanide_kg],tblPlant[Date],$A209)</f>
        <v/>
      </c>
      <c r="DZ209" s="55">
        <f>IF($B209=$B208,$DZ208,0)+$DY209</f>
        <v/>
      </c>
      <c r="EA209" s="55">
        <f>$EA208+$DY209</f>
        <v/>
      </c>
      <c r="EB209" s="55">
        <f>SUMIFS(tblPlant[Lime_kg],tblPlant[Date],$A209)</f>
        <v/>
      </c>
      <c r="EC209" s="55">
        <f>IF($B209=$B208,$EC208,0)+$EB209</f>
        <v/>
      </c>
      <c r="ED209" s="55">
        <f>$ED208+$EB209</f>
        <v/>
      </c>
      <c r="EE209" s="55">
        <f>SUMIFS(tblPlant[Grinding_Media_kg],tblPlant[Date],$A209)</f>
        <v/>
      </c>
      <c r="EF209" s="55">
        <f>IF($B209=$B208,$EF208,0)+$EE209</f>
        <v/>
      </c>
      <c r="EG209" s="55">
        <f>$EG208+$EE209</f>
        <v/>
      </c>
      <c r="EH209" s="55">
        <f>SUMIFS(tblPlant[Power_kWh],tblPlant[Date],$A209)</f>
        <v/>
      </c>
      <c r="EI209" s="55">
        <f>IF($B209=$B208,$EI208,0)+$EH209</f>
        <v/>
      </c>
      <c r="EJ209" s="55">
        <f>$EJ208+$EH209</f>
        <v/>
      </c>
      <c r="EK209" s="55">
        <f>SUMIFS(tblPlant[Raw_Water_m3],tblPlant[Date],$A209)</f>
        <v/>
      </c>
      <c r="EL209" s="55">
        <f>IF($B209=$B208,$EL208,0)+$EK209</f>
        <v/>
      </c>
      <c r="EM209" s="55">
        <f>$EM208+$EK209</f>
        <v/>
      </c>
      <c r="EN209" s="56">
        <f>IFERROR(IF(($BZ209)&gt;0,($DY209)/($BZ209),""),"")</f>
        <v/>
      </c>
      <c r="EO209" s="56">
        <f>IFERROR(IF(($CA209)&gt;0,($DZ209)/($CA209),""),"")</f>
        <v/>
      </c>
      <c r="EP209" s="56">
        <f>IFERROR(IF(($CB209)&gt;0,($EA209)/($CB209),""),"")</f>
        <v/>
      </c>
      <c r="EQ209" s="56">
        <f>IFERROR(IF(($BZ209)&gt;0,($EB209)/($BZ209),""),"")</f>
        <v/>
      </c>
      <c r="ER209" s="56">
        <f>IFERROR(IF(($CA209)&gt;0,($EC209)/($CA209),""),"")</f>
        <v/>
      </c>
      <c r="ES209" s="56">
        <f>IFERROR(IF(($CB209)&gt;0,($ED209)/($CB209),""),"")</f>
        <v/>
      </c>
      <c r="ET209" s="56">
        <f>IFERROR(IF(($BZ209)&gt;0,($EE209)/($BZ209),""),"")</f>
        <v/>
      </c>
      <c r="EU209" s="56">
        <f>IFERROR(IF(($CA209)&gt;0,($EF209)/($CA209),""),"")</f>
        <v/>
      </c>
      <c r="EV209" s="56">
        <f>IFERROR(IF(($CB209)&gt;0,($EG209)/($CB209),""),"")</f>
        <v/>
      </c>
      <c r="EW209" s="76">
        <f>IFERROR(IF(($BZ209)&gt;0,($EH209)/($BZ209),""),"")</f>
        <v/>
      </c>
      <c r="EX209" s="76">
        <f>IFERROR(IF(($CA209)&gt;0,($EI209)/($CA209),""),"")</f>
        <v/>
      </c>
      <c r="EY209" s="76">
        <f>IFERROR(IF(($CB209)&gt;0,($EJ209)/($CB209),""),"")</f>
        <v/>
      </c>
      <c r="EZ209" s="56">
        <f>IFERROR(IF(($BZ209)&gt;0,($EK209)/($BZ209),""),"")</f>
        <v/>
      </c>
      <c r="FA209" s="56">
        <f>IFERROR(IF(($CA209)&gt;0,($EL209)/($CA209),""),"")</f>
        <v/>
      </c>
      <c r="FB209" s="56">
        <f>IFERROR(IF(($CB209)&gt;0,($EM209)/($CB209),""),"")</f>
        <v/>
      </c>
      <c r="FC209" s="55">
        <f>IF(SUMIFS(tblPlant[GIC_oz],tblPlant[Date],$A209)&gt;0,SUMIFS(tblPlant[GIC_oz],tblPlant[Date],$A209),"")</f>
        <v/>
      </c>
      <c r="FD209" s="55">
        <f>SUMIFS(tblGold[Gold_oz],tblGold[Date],$A209,tblGold[Type],"Shipment")</f>
        <v/>
      </c>
      <c r="FE209" s="55">
        <f>IF($B209=$B208,$FE208,0)+$FD209</f>
        <v/>
      </c>
      <c r="FF209" s="55">
        <f>$FF208+$FD209</f>
        <v/>
      </c>
      <c r="FG209" s="55">
        <f>SUMIFS(tblGold[Gold_oz],tblGold[Date],$A209,tblGold[Type],"Sale")</f>
        <v/>
      </c>
      <c r="FH209" s="55">
        <f>IF($B209=$B208,$FH208,0)+$FG209</f>
        <v/>
      </c>
      <c r="FI209" s="55">
        <f>$FI208+$FG209</f>
        <v/>
      </c>
      <c r="FJ209" s="55">
        <f>SUMIFS(tblGold[Dore_kg],tblGold[Date],$A209,tblGold[Type],"Shipment")</f>
        <v/>
      </c>
      <c r="FK209" s="55">
        <f>IF($B209=$B208,$FK208,0)+$FJ209</f>
        <v/>
      </c>
      <c r="FL209" s="55">
        <f>$FL208+$FJ209</f>
        <v/>
      </c>
      <c r="FM209" s="57">
        <f>SUMIFS(tblSafety[Hours_Total],tblSafety[Date],$A209)</f>
        <v/>
      </c>
      <c r="FN209" s="57">
        <f>IF($B209=$B208,$FN208,0)+$FM209</f>
        <v/>
      </c>
      <c r="FO209" s="57">
        <f>$FO208+$FM209</f>
        <v/>
      </c>
      <c r="FP209" s="62">
        <f>SUMIFS(tblSafety[Fatality],tblSafety[Date],$A209)</f>
        <v/>
      </c>
      <c r="FQ209" s="62">
        <f>IF($B209=$B208,$FQ208,0)+$FP209</f>
        <v/>
      </c>
      <c r="FR209" s="62">
        <f>$FR208+$FP209</f>
        <v/>
      </c>
      <c r="FS209" s="62">
        <f>SUMIFS(tblSafety[LTI],tblSafety[Date],$A209)</f>
        <v/>
      </c>
      <c r="FT209" s="62">
        <f>IF($B209=$B208,$FT208,0)+$FS209</f>
        <v/>
      </c>
      <c r="FU209" s="62">
        <f>$FU208+$FS209</f>
        <v/>
      </c>
      <c r="FV209" s="62">
        <f>SUMIFS(tblSafety[RWI],tblSafety[Date],$A209)</f>
        <v/>
      </c>
      <c r="FW209" s="62">
        <f>IF($B209=$B208,$FW208,0)+$FV209</f>
        <v/>
      </c>
      <c r="FX209" s="62">
        <f>$FX208+$FV209</f>
        <v/>
      </c>
      <c r="FY209" s="62">
        <f>SUMIFS(tblSafety[MTI],tblSafety[Date],$A209)</f>
        <v/>
      </c>
      <c r="FZ209" s="62">
        <f>IF($B209=$B208,$FZ208,0)+$FY209</f>
        <v/>
      </c>
      <c r="GA209" s="62">
        <f>$GA208+$FY209</f>
        <v/>
      </c>
      <c r="GB209" s="62">
        <f>SUMIFS(tblSafety[FAI],tblSafety[Date],$A209)</f>
        <v/>
      </c>
      <c r="GC209" s="62">
        <f>IF($B209=$B208,$GC208,0)+$GB209</f>
        <v/>
      </c>
      <c r="GD209" s="62">
        <f>$GD208+$GB209</f>
        <v/>
      </c>
      <c r="GE209" s="62">
        <f>SUMIFS(tblSafety[Recordables],tblSafety[Date],$A209)</f>
        <v/>
      </c>
      <c r="GF209" s="62">
        <f>IF($B209=$B208,$GF208,0)+$GE209</f>
        <v/>
      </c>
      <c r="GG209" s="62">
        <f>$GG208+$GE209</f>
        <v/>
      </c>
      <c r="GH209" s="62">
        <f>SUMIFS(tblSafety[Near_Miss],tblSafety[Date],$A209)</f>
        <v/>
      </c>
      <c r="GI209" s="62">
        <f>IF($B209=$B208,$GI208,0)+$GH209</f>
        <v/>
      </c>
      <c r="GJ209" s="62">
        <f>$GJ208+$GH209</f>
        <v/>
      </c>
      <c r="GK209" s="62">
        <f>SUMIFS(tblSafety[Hazard_Reports],tblSafety[Date],$A209)</f>
        <v/>
      </c>
      <c r="GL209" s="62">
        <f>IF($B209=$B208,$GL208,0)+$GK209</f>
        <v/>
      </c>
      <c r="GM209" s="62">
        <f>$GM208+$GK209</f>
        <v/>
      </c>
      <c r="GN209" s="62">
        <f>SUMIFS(tblSafety[HPI],tblSafety[Date],$A209)</f>
        <v/>
      </c>
      <c r="GO209" s="62">
        <f>IF($B209=$B208,$GO208,0)+$GN209</f>
        <v/>
      </c>
      <c r="GP209" s="62">
        <f>$GP208+$GN209</f>
        <v/>
      </c>
      <c r="GQ209" s="62">
        <f>SUMIFS(tblSafety[Env_Incidents],tblSafety[Date],$A209)</f>
        <v/>
      </c>
      <c r="GR209" s="62">
        <f>IF($B209=$B208,$GR208,0)+$GQ209</f>
        <v/>
      </c>
      <c r="GS209" s="62">
        <f>$GS208+$GQ209</f>
        <v/>
      </c>
      <c r="GT209" s="62">
        <f>SUMIFS(tblSafety[Community_Incidents],tblSafety[Date],$A209)</f>
        <v/>
      </c>
      <c r="GU209" s="62">
        <f>IF($B209=$B208,$GU208,0)+$GT209</f>
        <v/>
      </c>
      <c r="GV209" s="62">
        <f>$GV208+$GT209</f>
        <v/>
      </c>
      <c r="GW209" s="62">
        <f>SUMIFS(tblSafety[Vehicle_Incidents],tblSafety[Date],$A209)</f>
        <v/>
      </c>
      <c r="GX209" s="62">
        <f>IF($B209=$B208,$GX208,0)+$GW209</f>
        <v/>
      </c>
      <c r="GY209" s="62">
        <f>$GY208+$GW209</f>
        <v/>
      </c>
      <c r="GZ209" s="62">
        <f>SUMIFS(tblSafety[Toolbox_Talks],tblSafety[Date],$A209)</f>
        <v/>
      </c>
      <c r="HA209" s="62">
        <f>IF($B209=$B208,$HA208,0)+$GZ209</f>
        <v/>
      </c>
      <c r="HB209" s="62">
        <f>$HB208+$GZ209</f>
        <v/>
      </c>
      <c r="HC209" s="62">
        <f>SUMIFS(tblSafety[Inspections],tblSafety[Date],$A209)</f>
        <v/>
      </c>
      <c r="HD209" s="62">
        <f>IF($B209=$B208,$HD208,0)+$HC209</f>
        <v/>
      </c>
      <c r="HE209" s="62">
        <f>$HE208+$HC209</f>
        <v/>
      </c>
      <c r="HF209" s="56">
        <f>IFERROR((SUMIFS(tblSafety[Recordables],tblSafety[Date],"&gt;="&amp;EDATE($E209,-12),tblSafety[Date],"&lt;="&amp;$A209)+SUMIFS(tblSafetyHistory[Recordables],tblSafetyHistory[Month],"&gt;="&amp;EDATE($E209,-12),tblSafetyHistory[Month],"&lt;"&amp;cfg_YearStart))/(SUMIFS(tblSafety[Hours_Total],tblSafety[Date],"&gt;="&amp;EDATE($E209,-12),tblSafety[Date],"&lt;="&amp;$A209)+SUMIFS(tblSafetyHistory[Hours_Total],tblSafetyHistory[Month],"&gt;="&amp;EDATE($E209,-12),tblSafetyHistory[Month],"&lt;"&amp;cfg_YearStart))*1000000,"")</f>
        <v/>
      </c>
      <c r="HG209" s="56">
        <f>IFERROR((SUMIFS(tblSafety[LTI],tblSafety[Date],"&gt;="&amp;EDATE($E209,-12),tblSafety[Date],"&lt;="&amp;$A209)+SUMIFS(tblSafetyHistory[LTI],tblSafetyHistory[Month],"&gt;="&amp;EDATE($E209,-12),tblSafetyHistory[Month],"&lt;"&amp;cfg_YearStart))/(SUMIFS(tblSafety[Hours_Total],tblSafety[Date],"&gt;="&amp;EDATE($E209,-12),tblSafety[Date],"&lt;="&amp;$A209)+SUMIFS(tblSafetyHistory[Hours_Total],tblSafetyHistory[Month],"&gt;="&amp;EDATE($E209,-12),tblSafetyHistory[Month],"&lt;"&amp;cfg_YearStart))*1000000,"")</f>
        <v/>
      </c>
      <c r="HH209" s="62">
        <f>IF(MAX(N(cfg_PriorLTIDate),_xlfn.MAXIFS(tblSafety[Date],tblSafety[LTI],"&gt;0",tblSafety[Date],"&lt;="&amp;$A209))=0,"",$A209-MAX(N(cfg_PriorLTIDate),_xlfn.MAXIFS(tblSafety[Date],tblSafety[LTI],"&gt;0",tblSafety[Date],"&lt;="&amp;$A209)))</f>
        <v/>
      </c>
      <c r="HI209" s="55">
        <f>SUMIFS(tblBudget[Ore_Mined_t],tblBudget[Month],$E209)</f>
        <v/>
      </c>
      <c r="HJ209" s="55">
        <f>$HI209*$C209/$D209</f>
        <v/>
      </c>
      <c r="HK209" s="55">
        <f>SUMIFS(tblBudget[Ore_Mined_t],tblBudget[Month],"&lt;"&amp;$E209)+$HJ209</f>
        <v/>
      </c>
      <c r="HL209" s="55">
        <f>SUMIFS(tblBudget[Ore_oz],tblBudget[Month],$E209)</f>
        <v/>
      </c>
      <c r="HM209" s="55">
        <f>$HL209*$C209/$D209</f>
        <v/>
      </c>
      <c r="HN209" s="55">
        <f>SUMIFS(tblBudget[Ore_oz],tblBudget[Month],"&lt;"&amp;$E209)+$HM209</f>
        <v/>
      </c>
      <c r="HO209" s="56">
        <f>IFERROR(IF(($HI209)&gt;0,($HL209*cfg_TroyOz)/($HI209),""),"")</f>
        <v/>
      </c>
      <c r="HP209" s="56">
        <f>IFERROR(IF(($HJ209)&gt;0,($HM209*cfg_TroyOz)/($HJ209),""),"")</f>
        <v/>
      </c>
      <c r="HQ209" s="56">
        <f>IFERROR(IF(($HK209)&gt;0,($HN209*cfg_TroyOz)/($HK209),""),"")</f>
        <v/>
      </c>
      <c r="HR209" s="55">
        <f>SUMIFS(tblBudget[Waste_t],tblBudget[Month],$E209)</f>
        <v/>
      </c>
      <c r="HS209" s="55">
        <f>$HR209*$C209/$D209</f>
        <v/>
      </c>
      <c r="HT209" s="55">
        <f>SUMIFS(tblBudget[Waste_t],tblBudget[Month],"&lt;"&amp;$E209)+$HS209</f>
        <v/>
      </c>
      <c r="HU209" s="55">
        <f>SUMIFS(tblBudget[TMM_t],tblBudget[Month],$E209)</f>
        <v/>
      </c>
      <c r="HV209" s="55">
        <f>$HU209*$C209/$D209</f>
        <v/>
      </c>
      <c r="HW209" s="55">
        <f>SUMIFS(tblBudget[TMM_t],tblBudget[Month],"&lt;"&amp;$E209)+$HV209</f>
        <v/>
      </c>
      <c r="HX209" s="56">
        <f>IFERROR(IF(($HI209)&gt;0,($HR209)/($HI209),""),"")</f>
        <v/>
      </c>
      <c r="HY209" s="56">
        <f>IFERROR(IF(($HJ209)&gt;0,($HS209)/($HJ209),""),"")</f>
        <v/>
      </c>
      <c r="HZ209" s="56">
        <f>IFERROR(IF(($HK209)&gt;0,($HT209)/($HK209),""),"")</f>
        <v/>
      </c>
      <c r="IA209" s="55">
        <f>SUMIFS(tblBudget[Drill_m],tblBudget[Month],$E209)</f>
        <v/>
      </c>
      <c r="IB209" s="55">
        <f>$IA209*$C209/$D209</f>
        <v/>
      </c>
      <c r="IC209" s="55">
        <f>SUMIFS(tblBudget[Drill_m],tblBudget[Month],"&lt;"&amp;$E209)+$IB209</f>
        <v/>
      </c>
      <c r="ID209" s="55">
        <f>SUMIFS(tblBudget[Diesel_L],tblBudget[Month],$E209)</f>
        <v/>
      </c>
      <c r="IE209" s="55">
        <f>$ID209*$C209/$D209</f>
        <v/>
      </c>
      <c r="IF209" s="55">
        <f>SUMIFS(tblBudget[Diesel_L],tblBudget[Month],"&lt;"&amp;$E209)+$IE209</f>
        <v/>
      </c>
      <c r="IG209" s="55">
        <f>SUMIFS(tblBudget[Milled_t],tblBudget[Month],$E209)</f>
        <v/>
      </c>
      <c r="IH209" s="55">
        <f>$IG209*$C209/$D209</f>
        <v/>
      </c>
      <c r="II209" s="55">
        <f>SUMIFS(tblBudget[Milled_t],tblBudget[Month],"&lt;"&amp;$E209)+$IH209</f>
        <v/>
      </c>
      <c r="IJ209" s="55">
        <f>SUMIFS(tblBudget[Feed_oz],tblBudget[Month],$E209)</f>
        <v/>
      </c>
      <c r="IK209" s="55">
        <f>$IJ209*$C209/$D209</f>
        <v/>
      </c>
      <c r="IL209" s="55">
        <f>SUMIFS(tblBudget[Feed_oz],tblBudget[Month],"&lt;"&amp;$E209)+$IK209</f>
        <v/>
      </c>
      <c r="IM209" s="55">
        <f>SUMIFS(tblBudget[Recovered_oz],tblBudget[Month],$E209)</f>
        <v/>
      </c>
      <c r="IN209" s="55">
        <f>$IM209*$C209/$D209</f>
        <v/>
      </c>
      <c r="IO209" s="55">
        <f>SUMIFS(tblBudget[Recovered_oz],tblBudget[Month],"&lt;"&amp;$E209)+$IN209</f>
        <v/>
      </c>
      <c r="IP209" s="56">
        <f>IFERROR(IF(($IG209)&gt;0,($IJ209*cfg_TroyOz)/($IG209),""),"")</f>
        <v/>
      </c>
      <c r="IQ209" s="56">
        <f>IFERROR(IF(($IH209)&gt;0,($IK209*cfg_TroyOz)/($IH209),""),"")</f>
        <v/>
      </c>
      <c r="IR209" s="56">
        <f>IFERROR(IF(($II209)&gt;0,($IL209*cfg_TroyOz)/($II209),""),"")</f>
        <v/>
      </c>
      <c r="IS209" s="67">
        <f>IFERROR(IF(($IJ209)&gt;0,($IM209)/($IJ209),""),"")</f>
        <v/>
      </c>
      <c r="IT209" s="67">
        <f>IFERROR(IF(($IK209)&gt;0,($IN209)/($IK209),""),"")</f>
        <v/>
      </c>
      <c r="IU209" s="67">
        <f>IFERROR(IF(($IL209)&gt;0,($IO209)/($IL209),""),"")</f>
        <v/>
      </c>
      <c r="IV209" s="55">
        <f>SUMIFS(tblBudget[Gold_Poured_oz],tblBudget[Month],$E209)</f>
        <v/>
      </c>
      <c r="IW209" s="55">
        <f>$IV209*$C209/$D209</f>
        <v/>
      </c>
      <c r="IX209" s="55">
        <f>SUMIFS(tblBudget[Gold_Poured_oz],tblBudget[Month],"&lt;"&amp;$E209)+$IW209</f>
        <v/>
      </c>
      <c r="IY209" s="57">
        <f>SUMIFS(tblBudget[Hours_Worked],tblBudget[Month],$E209)</f>
        <v/>
      </c>
      <c r="IZ209" s="57">
        <f>$IY209*$C209/$D209</f>
        <v/>
      </c>
      <c r="JA209" s="57">
        <f>SUMIFS(tblBudget[Hours_Worked],tblBudget[Month],"&lt;"&amp;$E209)+$IZ209</f>
        <v/>
      </c>
    </row>
    <row r="210">
      <c r="A210" s="54" t="n">
        <v>46231</v>
      </c>
      <c r="B210">
        <f>MONTH($A210)</f>
        <v/>
      </c>
      <c r="C210">
        <f>DAY($A210)</f>
        <v/>
      </c>
      <c r="D210">
        <f>DAY(EOMONTH($A210,0))</f>
        <v/>
      </c>
      <c r="E210" s="54">
        <f>DATE(YEAR($A210),MONTH($A210),1)</f>
        <v/>
      </c>
      <c r="F210" s="55">
        <f>SUMIFS(tblMovement[Tonnes_t],tblMovement[Date],$A210,tblMovement[Is_Ore],1,tblMovement[Source_Type],"Pit")</f>
        <v/>
      </c>
      <c r="G210" s="55">
        <f>IF($B210=$B209,$G209,0)+$F210</f>
        <v/>
      </c>
      <c r="H210" s="55">
        <f>$H209+$F210</f>
        <v/>
      </c>
      <c r="I210" s="55">
        <f>SUMIFS(tblMovement[Ore_oz],tblMovement[Date],$A210,tblMovement[Source_Type],"Pit")</f>
        <v/>
      </c>
      <c r="J210" s="55">
        <f>IF($B210=$B209,$J209,0)+$I210</f>
        <v/>
      </c>
      <c r="K210" s="55">
        <f>$K209+$I210</f>
        <v/>
      </c>
      <c r="L210" s="56">
        <f>IFERROR(IF(($F210)&gt;0,($I210*cfg_TroyOz)/($F210),""),"")</f>
        <v/>
      </c>
      <c r="M210" s="56">
        <f>IFERROR(IF(($G210)&gt;0,($J210*cfg_TroyOz)/($G210),""),"")</f>
        <v/>
      </c>
      <c r="N210" s="56">
        <f>IFERROR(IF(($H210)&gt;0,($K210*cfg_TroyOz)/($H210),""),"")</f>
        <v/>
      </c>
      <c r="O210" s="55">
        <f>SUMIFS(tblMovement[Tonnes_t],tblMovement[Date],$A210,tblMovement[Is_Ore],0,tblMovement[Source_Type],"Pit")</f>
        <v/>
      </c>
      <c r="P210" s="55">
        <f>IF($B210=$B209,$P209,0)+$O210</f>
        <v/>
      </c>
      <c r="Q210" s="55">
        <f>$Q209+$O210</f>
        <v/>
      </c>
      <c r="R210" s="55">
        <f>$F210+$O210</f>
        <v/>
      </c>
      <c r="S210" s="55">
        <f>IF($B210=$B209,$S209,0)+$R210</f>
        <v/>
      </c>
      <c r="T210" s="55">
        <f>$T209+$R210</f>
        <v/>
      </c>
      <c r="U210" s="56">
        <f>IFERROR(IF(($F210)&gt;0,($O210)/($F210),""),"")</f>
        <v/>
      </c>
      <c r="V210" s="56">
        <f>IFERROR(IF(($G210)&gt;0,($P210)/($G210),""),"")</f>
        <v/>
      </c>
      <c r="W210" s="56">
        <f>IFERROR(IF(($H210)&gt;0,($Q210)/($H210),""),"")</f>
        <v/>
      </c>
      <c r="X210" s="55">
        <f>SUMIFS(tblMovement[Tonnes_t],tblMovement[Date],$A210,tblMovement[Source_Type],"Stockpile")</f>
        <v/>
      </c>
      <c r="Y210" s="55">
        <f>IF($B210=$B209,$Y209,0)+$X210</f>
        <v/>
      </c>
      <c r="Z210" s="55">
        <f>$Z209+$X210</f>
        <v/>
      </c>
      <c r="AA210" s="55">
        <f>SUMIFS(tblMiningDaily[Drill_m],tblMiningDaily[Date],$A210)</f>
        <v/>
      </c>
      <c r="AB210" s="55">
        <f>IF($B210=$B209,$AB209,0)+$AA210</f>
        <v/>
      </c>
      <c r="AC210" s="55">
        <f>$AC209+$AA210</f>
        <v/>
      </c>
      <c r="AD210" s="55">
        <f>SUMIFS(tblMiningDaily[Blast_t],tblMiningDaily[Date],$A210)</f>
        <v/>
      </c>
      <c r="AE210" s="55">
        <f>IF($B210=$B209,$AE209,0)+$AD210</f>
        <v/>
      </c>
      <c r="AF210" s="55">
        <f>$AF209+$AD210</f>
        <v/>
      </c>
      <c r="AG210" s="55">
        <f>SUMIFS(tblMiningDaily[Explosives_kg],tblMiningDaily[Date],$A210)</f>
        <v/>
      </c>
      <c r="AH210" s="55">
        <f>IF($B210=$B209,$AH209,0)+$AG210</f>
        <v/>
      </c>
      <c r="AI210" s="55">
        <f>$AI209+$AG210</f>
        <v/>
      </c>
      <c r="AJ210" s="56">
        <f>IFERROR(IF(($AD210)&gt;0,($AG210)/($AD210),""),"")</f>
        <v/>
      </c>
      <c r="AK210" s="56">
        <f>IFERROR(IF(($AE210)&gt;0,($AH210)/($AE210),""),"")</f>
        <v/>
      </c>
      <c r="AL210" s="56">
        <f>IFERROR(IF(($AF210)&gt;0,($AI210)/($AF210),""),"")</f>
        <v/>
      </c>
      <c r="AM210" s="55">
        <f>SUMIFS(tblMiningDaily[Diesel_L],tblMiningDaily[Date],$A210)</f>
        <v/>
      </c>
      <c r="AN210" s="55">
        <f>IF($B210=$B209,$AN209,0)+$AM210</f>
        <v/>
      </c>
      <c r="AO210" s="55">
        <f>$AO209+$AM210</f>
        <v/>
      </c>
      <c r="AP210" s="55">
        <f>SUMIFS(tblMiningDaily[Dewatering_m3],tblMiningDaily[Date],$A210)</f>
        <v/>
      </c>
      <c r="AQ210" s="55">
        <f>IF($B210=$B209,$AQ209,0)+$AP210</f>
        <v/>
      </c>
      <c r="AR210" s="55">
        <f>$AR209+$AP210</f>
        <v/>
      </c>
      <c r="AS210" s="57">
        <f>SUMIFS(tblFleet[Calendar_h],tblFleet[Date],$A210,tblFleet[Equipment_Class],"Excavator")</f>
        <v/>
      </c>
      <c r="AT210" s="57">
        <f>IF($B210=$B209,$AT209,0)+$AS210</f>
        <v/>
      </c>
      <c r="AU210" s="57">
        <f>$AU209+$AS210</f>
        <v/>
      </c>
      <c r="AV210" s="57">
        <f>SUMIFS(tblFleet[Available_h],tblFleet[Date],$A210,tblFleet[Equipment_Class],"Excavator")</f>
        <v/>
      </c>
      <c r="AW210" s="57">
        <f>IF($B210=$B209,$AW209,0)+$AV210</f>
        <v/>
      </c>
      <c r="AX210" s="57">
        <f>$AX209+$AV210</f>
        <v/>
      </c>
      <c r="AY210" s="57">
        <f>SUMIFS(tblFleet[Operating_h],tblFleet[Date],$A210,tblFleet[Equipment_Class],"Excavator")</f>
        <v/>
      </c>
      <c r="AZ210" s="57">
        <f>IF($B210=$B209,$AZ209,0)+$AY210</f>
        <v/>
      </c>
      <c r="BA210" s="57">
        <f>$BA209+$AY210</f>
        <v/>
      </c>
      <c r="BB210" s="67">
        <f>IFERROR(IF(($AS210)&gt;0,($AV210)/($AS210),""),"")</f>
        <v/>
      </c>
      <c r="BC210" s="67">
        <f>IFERROR(IF(($AT210)&gt;0,($AW210)/($AT210),""),"")</f>
        <v/>
      </c>
      <c r="BD210" s="67">
        <f>IFERROR(IF(($AU210)&gt;0,($AX210)/($AU210),""),"")</f>
        <v/>
      </c>
      <c r="BE210" s="67">
        <f>IFERROR(IF(($AV210)&gt;0,($AY210)/($AV210),""),"")</f>
        <v/>
      </c>
      <c r="BF210" s="67">
        <f>IFERROR(IF(($AW210)&gt;0,($AZ210)/($AW210),""),"")</f>
        <v/>
      </c>
      <c r="BG210" s="67">
        <f>IFERROR(IF(($AX210)&gt;0,($BA210)/($AX210),""),"")</f>
        <v/>
      </c>
      <c r="BH210" s="57">
        <f>SUMIFS(tblFleet[Calendar_h],tblFleet[Date],$A210,tblFleet[Equipment_Class],"Haul Truck")</f>
        <v/>
      </c>
      <c r="BI210" s="57">
        <f>IF($B210=$B209,$BI209,0)+$BH210</f>
        <v/>
      </c>
      <c r="BJ210" s="57">
        <f>$BJ209+$BH210</f>
        <v/>
      </c>
      <c r="BK210" s="57">
        <f>SUMIFS(tblFleet[Available_h],tblFleet[Date],$A210,tblFleet[Equipment_Class],"Haul Truck")</f>
        <v/>
      </c>
      <c r="BL210" s="57">
        <f>IF($B210=$B209,$BL209,0)+$BK210</f>
        <v/>
      </c>
      <c r="BM210" s="57">
        <f>$BM209+$BK210</f>
        <v/>
      </c>
      <c r="BN210" s="57">
        <f>SUMIFS(tblFleet[Operating_h],tblFleet[Date],$A210,tblFleet[Equipment_Class],"Haul Truck")</f>
        <v/>
      </c>
      <c r="BO210" s="57">
        <f>IF($B210=$B209,$BO209,0)+$BN210</f>
        <v/>
      </c>
      <c r="BP210" s="57">
        <f>$BP209+$BN210</f>
        <v/>
      </c>
      <c r="BQ210" s="67">
        <f>IFERROR(IF(($BH210)&gt;0,($BK210)/($BH210),""),"")</f>
        <v/>
      </c>
      <c r="BR210" s="67">
        <f>IFERROR(IF(($BI210)&gt;0,($BL210)/($BI210),""),"")</f>
        <v/>
      </c>
      <c r="BS210" s="67">
        <f>IFERROR(IF(($BJ210)&gt;0,($BM210)/($BJ210),""),"")</f>
        <v/>
      </c>
      <c r="BT210" s="67">
        <f>IFERROR(IF(($BK210)&gt;0,($BN210)/($BK210),""),"")</f>
        <v/>
      </c>
      <c r="BU210" s="67">
        <f>IFERROR(IF(($BL210)&gt;0,($BO210)/($BL210),""),"")</f>
        <v/>
      </c>
      <c r="BV210" s="67">
        <f>IFERROR(IF(($BM210)&gt;0,($BP210)/($BM210),""),"")</f>
        <v/>
      </c>
      <c r="BW210" s="55">
        <f>SUMIFS(tblPlant[Crushed_t],tblPlant[Date],$A210)</f>
        <v/>
      </c>
      <c r="BX210" s="55">
        <f>IF($B210=$B209,$BX209,0)+$BW210</f>
        <v/>
      </c>
      <c r="BY210" s="55">
        <f>$BY209+$BW210</f>
        <v/>
      </c>
      <c r="BZ210" s="55">
        <f>SUMIFS(tblPlant[Milled_t],tblPlant[Date],$A210)</f>
        <v/>
      </c>
      <c r="CA210" s="55">
        <f>IF($B210=$B209,$CA209,0)+$BZ210</f>
        <v/>
      </c>
      <c r="CB210" s="55">
        <f>$CB209+$BZ210</f>
        <v/>
      </c>
      <c r="CC210" s="55">
        <f>SUMIFS(tblPlant[Feed_oz],tblPlant[Date],$A210)</f>
        <v/>
      </c>
      <c r="CD210" s="55">
        <f>IF($B210=$B209,$CD209,0)+$CC210</f>
        <v/>
      </c>
      <c r="CE210" s="55">
        <f>$CE209+$CC210</f>
        <v/>
      </c>
      <c r="CF210" s="55">
        <f>SUMIFS(tblPlant[Tails_oz],tblPlant[Date],$A210)</f>
        <v/>
      </c>
      <c r="CG210" s="55">
        <f>IF($B210=$B209,$CG209,0)+$CF210</f>
        <v/>
      </c>
      <c r="CH210" s="55">
        <f>$CH209+$CF210</f>
        <v/>
      </c>
      <c r="CI210" s="55">
        <f>SUMIFS(tblPlant[Recovered_oz],tblPlant[Date],$A210)</f>
        <v/>
      </c>
      <c r="CJ210" s="55">
        <f>IF($B210=$B209,$CJ209,0)+$CI210</f>
        <v/>
      </c>
      <c r="CK210" s="55">
        <f>$CK209+$CI210</f>
        <v/>
      </c>
      <c r="CL210" s="56">
        <f>IFERROR(IF(($BZ210)&gt;0,($CC210*cfg_TroyOz)/($BZ210),""),"")</f>
        <v/>
      </c>
      <c r="CM210" s="56">
        <f>IFERROR(IF(($CA210)&gt;0,($CD210*cfg_TroyOz)/($CA210),""),"")</f>
        <v/>
      </c>
      <c r="CN210" s="56">
        <f>IFERROR(IF(($CB210)&gt;0,($CE210*cfg_TroyOz)/($CB210),""),"")</f>
        <v/>
      </c>
      <c r="CO210" s="56">
        <f>IFERROR(IF(($BZ210)&gt;0,($CF210*cfg_TroyOz)/($BZ210),""),"")</f>
        <v/>
      </c>
      <c r="CP210" s="56">
        <f>IFERROR(IF(($CA210)&gt;0,($CG210*cfg_TroyOz)/($CA210),""),"")</f>
        <v/>
      </c>
      <c r="CQ210" s="56">
        <f>IFERROR(IF(($CB210)&gt;0,($CH210*cfg_TroyOz)/($CB210),""),"")</f>
        <v/>
      </c>
      <c r="CR210" s="67">
        <f>IFERROR(IF(($CC210)&gt;0,($CI210)/($CC210),""),"")</f>
        <v/>
      </c>
      <c r="CS210" s="67">
        <f>IFERROR(IF(($CD210)&gt;0,($CJ210)/($CD210),""),"")</f>
        <v/>
      </c>
      <c r="CT210" s="67">
        <f>IFERROR(IF(($CE210)&gt;0,($CK210)/($CE210),""),"")</f>
        <v/>
      </c>
      <c r="CU210" s="55">
        <f>SUMIFS(tblPlant[Gravity_Gold_oz],tblPlant[Date],$A210)</f>
        <v/>
      </c>
      <c r="CV210" s="55">
        <f>IF($B210=$B209,$CV209,0)+$CU210</f>
        <v/>
      </c>
      <c r="CW210" s="55">
        <f>$CW209+$CU210</f>
        <v/>
      </c>
      <c r="CX210" s="55">
        <f>SUMIFS(tblPlant[Gold_Poured_oz],tblPlant[Date],$A210)</f>
        <v/>
      </c>
      <c r="CY210" s="55">
        <f>IF($B210=$B209,$CY209,0)+$CX210</f>
        <v/>
      </c>
      <c r="CZ210" s="55">
        <f>$CZ209+$CX210</f>
        <v/>
      </c>
      <c r="DA210" s="57">
        <f>SUMIFS(tblPlant[Mill_Run_h],tblPlant[Date],$A210)</f>
        <v/>
      </c>
      <c r="DB210" s="57">
        <f>IF($B210=$B209,$DB209,0)+$DA210</f>
        <v/>
      </c>
      <c r="DC210" s="57">
        <f>$DC209+$DA210</f>
        <v/>
      </c>
      <c r="DD210" s="57">
        <f>SUMIFS(tblPlant[Mill_Planned_Maint_h],tblPlant[Date],$A210)</f>
        <v/>
      </c>
      <c r="DE210" s="57">
        <f>IF($B210=$B209,$DE209,0)+$DD210</f>
        <v/>
      </c>
      <c r="DF210" s="57">
        <f>$DF209+$DD210</f>
        <v/>
      </c>
      <c r="DG210" s="57">
        <f>SUMIFS(tblPlant[Mill_Unplanned_Down_h],tblPlant[Date],$A210)</f>
        <v/>
      </c>
      <c r="DH210" s="57">
        <f>IF($B210=$B209,$DH209,0)+$DG210</f>
        <v/>
      </c>
      <c r="DI210" s="57">
        <f>$DI209+$DG210</f>
        <v/>
      </c>
      <c r="DJ210" s="57">
        <f>COUNTIFS(tblPlant[Date],$A210,tblPlant[Mill_Run_h],"&lt;&gt;")*24</f>
        <v/>
      </c>
      <c r="DK210" s="57">
        <f>IF($B210=$B209,$DK209,0)+$DJ210</f>
        <v/>
      </c>
      <c r="DL210" s="57">
        <f>$DL209+$DJ210</f>
        <v/>
      </c>
      <c r="DM210" s="57">
        <f>SUMIFS(tblPlant[Crusher_Run_h],tblPlant[Date],$A210)</f>
        <v/>
      </c>
      <c r="DN210" s="57">
        <f>IF($B210=$B209,$DN209,0)+$DM210</f>
        <v/>
      </c>
      <c r="DO210" s="57">
        <f>$DO209+$DM210</f>
        <v/>
      </c>
      <c r="DP210" s="55">
        <f>IFERROR(IF(($DA210)&gt;0,($BZ210)/($DA210),""),"")</f>
        <v/>
      </c>
      <c r="DQ210" s="55">
        <f>IFERROR(IF(($DB210)&gt;0,($CA210)/($DB210),""),"")</f>
        <v/>
      </c>
      <c r="DR210" s="55">
        <f>IFERROR(IF(($DC210)&gt;0,($CB210)/($DC210),""),"")</f>
        <v/>
      </c>
      <c r="DS210" s="67">
        <f>IFERROR(IF(($DJ210)&gt;0,($DJ210-$DD210-$DG210)/($DJ210),""),"")</f>
        <v/>
      </c>
      <c r="DT210" s="67">
        <f>IFERROR(IF(($DK210)&gt;0,($DK210-$DE210-$DH210)/($DK210),""),"")</f>
        <v/>
      </c>
      <c r="DU210" s="67">
        <f>IFERROR(IF(($DL210)&gt;0,($DL210-$DF210-$DI210)/($DL210),""),"")</f>
        <v/>
      </c>
      <c r="DV210" s="67">
        <f>IFERROR(IF(($DJ210-$DD210-$DG210)&gt;0,($DA210)/($DJ210-$DD210-$DG210),""),"")</f>
        <v/>
      </c>
      <c r="DW210" s="67">
        <f>IFERROR(IF(($DK210-$DE210-$DH210)&gt;0,($DB210)/($DK210-$DE210-$DH210),""),"")</f>
        <v/>
      </c>
      <c r="DX210" s="67">
        <f>IFERROR(IF(($DL210-$DF210-$DI210)&gt;0,($DC210)/($DL210-$DF210-$DI210),""),"")</f>
        <v/>
      </c>
      <c r="DY210" s="55">
        <f>SUMIFS(tblPlant[Cyanide_kg],tblPlant[Date],$A210)</f>
        <v/>
      </c>
      <c r="DZ210" s="55">
        <f>IF($B210=$B209,$DZ209,0)+$DY210</f>
        <v/>
      </c>
      <c r="EA210" s="55">
        <f>$EA209+$DY210</f>
        <v/>
      </c>
      <c r="EB210" s="55">
        <f>SUMIFS(tblPlant[Lime_kg],tblPlant[Date],$A210)</f>
        <v/>
      </c>
      <c r="EC210" s="55">
        <f>IF($B210=$B209,$EC209,0)+$EB210</f>
        <v/>
      </c>
      <c r="ED210" s="55">
        <f>$ED209+$EB210</f>
        <v/>
      </c>
      <c r="EE210" s="55">
        <f>SUMIFS(tblPlant[Grinding_Media_kg],tblPlant[Date],$A210)</f>
        <v/>
      </c>
      <c r="EF210" s="55">
        <f>IF($B210=$B209,$EF209,0)+$EE210</f>
        <v/>
      </c>
      <c r="EG210" s="55">
        <f>$EG209+$EE210</f>
        <v/>
      </c>
      <c r="EH210" s="55">
        <f>SUMIFS(tblPlant[Power_kWh],tblPlant[Date],$A210)</f>
        <v/>
      </c>
      <c r="EI210" s="55">
        <f>IF($B210=$B209,$EI209,0)+$EH210</f>
        <v/>
      </c>
      <c r="EJ210" s="55">
        <f>$EJ209+$EH210</f>
        <v/>
      </c>
      <c r="EK210" s="55">
        <f>SUMIFS(tblPlant[Raw_Water_m3],tblPlant[Date],$A210)</f>
        <v/>
      </c>
      <c r="EL210" s="55">
        <f>IF($B210=$B209,$EL209,0)+$EK210</f>
        <v/>
      </c>
      <c r="EM210" s="55">
        <f>$EM209+$EK210</f>
        <v/>
      </c>
      <c r="EN210" s="56">
        <f>IFERROR(IF(($BZ210)&gt;0,($DY210)/($BZ210),""),"")</f>
        <v/>
      </c>
      <c r="EO210" s="56">
        <f>IFERROR(IF(($CA210)&gt;0,($DZ210)/($CA210),""),"")</f>
        <v/>
      </c>
      <c r="EP210" s="56">
        <f>IFERROR(IF(($CB210)&gt;0,($EA210)/($CB210),""),"")</f>
        <v/>
      </c>
      <c r="EQ210" s="56">
        <f>IFERROR(IF(($BZ210)&gt;0,($EB210)/($BZ210),""),"")</f>
        <v/>
      </c>
      <c r="ER210" s="56">
        <f>IFERROR(IF(($CA210)&gt;0,($EC210)/($CA210),""),"")</f>
        <v/>
      </c>
      <c r="ES210" s="56">
        <f>IFERROR(IF(($CB210)&gt;0,($ED210)/($CB210),""),"")</f>
        <v/>
      </c>
      <c r="ET210" s="56">
        <f>IFERROR(IF(($BZ210)&gt;0,($EE210)/($BZ210),""),"")</f>
        <v/>
      </c>
      <c r="EU210" s="56">
        <f>IFERROR(IF(($CA210)&gt;0,($EF210)/($CA210),""),"")</f>
        <v/>
      </c>
      <c r="EV210" s="56">
        <f>IFERROR(IF(($CB210)&gt;0,($EG210)/($CB210),""),"")</f>
        <v/>
      </c>
      <c r="EW210" s="76">
        <f>IFERROR(IF(($BZ210)&gt;0,($EH210)/($BZ210),""),"")</f>
        <v/>
      </c>
      <c r="EX210" s="76">
        <f>IFERROR(IF(($CA210)&gt;0,($EI210)/($CA210),""),"")</f>
        <v/>
      </c>
      <c r="EY210" s="76">
        <f>IFERROR(IF(($CB210)&gt;0,($EJ210)/($CB210),""),"")</f>
        <v/>
      </c>
      <c r="EZ210" s="56">
        <f>IFERROR(IF(($BZ210)&gt;0,($EK210)/($BZ210),""),"")</f>
        <v/>
      </c>
      <c r="FA210" s="56">
        <f>IFERROR(IF(($CA210)&gt;0,($EL210)/($CA210),""),"")</f>
        <v/>
      </c>
      <c r="FB210" s="56">
        <f>IFERROR(IF(($CB210)&gt;0,($EM210)/($CB210),""),"")</f>
        <v/>
      </c>
      <c r="FC210" s="55">
        <f>IF(SUMIFS(tblPlant[GIC_oz],tblPlant[Date],$A210)&gt;0,SUMIFS(tblPlant[GIC_oz],tblPlant[Date],$A210),"")</f>
        <v/>
      </c>
      <c r="FD210" s="55">
        <f>SUMIFS(tblGold[Gold_oz],tblGold[Date],$A210,tblGold[Type],"Shipment")</f>
        <v/>
      </c>
      <c r="FE210" s="55">
        <f>IF($B210=$B209,$FE209,0)+$FD210</f>
        <v/>
      </c>
      <c r="FF210" s="55">
        <f>$FF209+$FD210</f>
        <v/>
      </c>
      <c r="FG210" s="55">
        <f>SUMIFS(tblGold[Gold_oz],tblGold[Date],$A210,tblGold[Type],"Sale")</f>
        <v/>
      </c>
      <c r="FH210" s="55">
        <f>IF($B210=$B209,$FH209,0)+$FG210</f>
        <v/>
      </c>
      <c r="FI210" s="55">
        <f>$FI209+$FG210</f>
        <v/>
      </c>
      <c r="FJ210" s="55">
        <f>SUMIFS(tblGold[Dore_kg],tblGold[Date],$A210,tblGold[Type],"Shipment")</f>
        <v/>
      </c>
      <c r="FK210" s="55">
        <f>IF($B210=$B209,$FK209,0)+$FJ210</f>
        <v/>
      </c>
      <c r="FL210" s="55">
        <f>$FL209+$FJ210</f>
        <v/>
      </c>
      <c r="FM210" s="57">
        <f>SUMIFS(tblSafety[Hours_Total],tblSafety[Date],$A210)</f>
        <v/>
      </c>
      <c r="FN210" s="57">
        <f>IF($B210=$B209,$FN209,0)+$FM210</f>
        <v/>
      </c>
      <c r="FO210" s="57">
        <f>$FO209+$FM210</f>
        <v/>
      </c>
      <c r="FP210" s="62">
        <f>SUMIFS(tblSafety[Fatality],tblSafety[Date],$A210)</f>
        <v/>
      </c>
      <c r="FQ210" s="62">
        <f>IF($B210=$B209,$FQ209,0)+$FP210</f>
        <v/>
      </c>
      <c r="FR210" s="62">
        <f>$FR209+$FP210</f>
        <v/>
      </c>
      <c r="FS210" s="62">
        <f>SUMIFS(tblSafety[LTI],tblSafety[Date],$A210)</f>
        <v/>
      </c>
      <c r="FT210" s="62">
        <f>IF($B210=$B209,$FT209,0)+$FS210</f>
        <v/>
      </c>
      <c r="FU210" s="62">
        <f>$FU209+$FS210</f>
        <v/>
      </c>
      <c r="FV210" s="62">
        <f>SUMIFS(tblSafety[RWI],tblSafety[Date],$A210)</f>
        <v/>
      </c>
      <c r="FW210" s="62">
        <f>IF($B210=$B209,$FW209,0)+$FV210</f>
        <v/>
      </c>
      <c r="FX210" s="62">
        <f>$FX209+$FV210</f>
        <v/>
      </c>
      <c r="FY210" s="62">
        <f>SUMIFS(tblSafety[MTI],tblSafety[Date],$A210)</f>
        <v/>
      </c>
      <c r="FZ210" s="62">
        <f>IF($B210=$B209,$FZ209,0)+$FY210</f>
        <v/>
      </c>
      <c r="GA210" s="62">
        <f>$GA209+$FY210</f>
        <v/>
      </c>
      <c r="GB210" s="62">
        <f>SUMIFS(tblSafety[FAI],tblSafety[Date],$A210)</f>
        <v/>
      </c>
      <c r="GC210" s="62">
        <f>IF($B210=$B209,$GC209,0)+$GB210</f>
        <v/>
      </c>
      <c r="GD210" s="62">
        <f>$GD209+$GB210</f>
        <v/>
      </c>
      <c r="GE210" s="62">
        <f>SUMIFS(tblSafety[Recordables],tblSafety[Date],$A210)</f>
        <v/>
      </c>
      <c r="GF210" s="62">
        <f>IF($B210=$B209,$GF209,0)+$GE210</f>
        <v/>
      </c>
      <c r="GG210" s="62">
        <f>$GG209+$GE210</f>
        <v/>
      </c>
      <c r="GH210" s="62">
        <f>SUMIFS(tblSafety[Near_Miss],tblSafety[Date],$A210)</f>
        <v/>
      </c>
      <c r="GI210" s="62">
        <f>IF($B210=$B209,$GI209,0)+$GH210</f>
        <v/>
      </c>
      <c r="GJ210" s="62">
        <f>$GJ209+$GH210</f>
        <v/>
      </c>
      <c r="GK210" s="62">
        <f>SUMIFS(tblSafety[Hazard_Reports],tblSafety[Date],$A210)</f>
        <v/>
      </c>
      <c r="GL210" s="62">
        <f>IF($B210=$B209,$GL209,0)+$GK210</f>
        <v/>
      </c>
      <c r="GM210" s="62">
        <f>$GM209+$GK210</f>
        <v/>
      </c>
      <c r="GN210" s="62">
        <f>SUMIFS(tblSafety[HPI],tblSafety[Date],$A210)</f>
        <v/>
      </c>
      <c r="GO210" s="62">
        <f>IF($B210=$B209,$GO209,0)+$GN210</f>
        <v/>
      </c>
      <c r="GP210" s="62">
        <f>$GP209+$GN210</f>
        <v/>
      </c>
      <c r="GQ210" s="62">
        <f>SUMIFS(tblSafety[Env_Incidents],tblSafety[Date],$A210)</f>
        <v/>
      </c>
      <c r="GR210" s="62">
        <f>IF($B210=$B209,$GR209,0)+$GQ210</f>
        <v/>
      </c>
      <c r="GS210" s="62">
        <f>$GS209+$GQ210</f>
        <v/>
      </c>
      <c r="GT210" s="62">
        <f>SUMIFS(tblSafety[Community_Incidents],tblSafety[Date],$A210)</f>
        <v/>
      </c>
      <c r="GU210" s="62">
        <f>IF($B210=$B209,$GU209,0)+$GT210</f>
        <v/>
      </c>
      <c r="GV210" s="62">
        <f>$GV209+$GT210</f>
        <v/>
      </c>
      <c r="GW210" s="62">
        <f>SUMIFS(tblSafety[Vehicle_Incidents],tblSafety[Date],$A210)</f>
        <v/>
      </c>
      <c r="GX210" s="62">
        <f>IF($B210=$B209,$GX209,0)+$GW210</f>
        <v/>
      </c>
      <c r="GY210" s="62">
        <f>$GY209+$GW210</f>
        <v/>
      </c>
      <c r="GZ210" s="62">
        <f>SUMIFS(tblSafety[Toolbox_Talks],tblSafety[Date],$A210)</f>
        <v/>
      </c>
      <c r="HA210" s="62">
        <f>IF($B210=$B209,$HA209,0)+$GZ210</f>
        <v/>
      </c>
      <c r="HB210" s="62">
        <f>$HB209+$GZ210</f>
        <v/>
      </c>
      <c r="HC210" s="62">
        <f>SUMIFS(tblSafety[Inspections],tblSafety[Date],$A210)</f>
        <v/>
      </c>
      <c r="HD210" s="62">
        <f>IF($B210=$B209,$HD209,0)+$HC210</f>
        <v/>
      </c>
      <c r="HE210" s="62">
        <f>$HE209+$HC210</f>
        <v/>
      </c>
      <c r="HF210" s="56">
        <f>IFERROR((SUMIFS(tblSafety[Recordables],tblSafety[Date],"&gt;="&amp;EDATE($E210,-12),tblSafety[Date],"&lt;="&amp;$A210)+SUMIFS(tblSafetyHistory[Recordables],tblSafetyHistory[Month],"&gt;="&amp;EDATE($E210,-12),tblSafetyHistory[Month],"&lt;"&amp;cfg_YearStart))/(SUMIFS(tblSafety[Hours_Total],tblSafety[Date],"&gt;="&amp;EDATE($E210,-12),tblSafety[Date],"&lt;="&amp;$A210)+SUMIFS(tblSafetyHistory[Hours_Total],tblSafetyHistory[Month],"&gt;="&amp;EDATE($E210,-12),tblSafetyHistory[Month],"&lt;"&amp;cfg_YearStart))*1000000,"")</f>
        <v/>
      </c>
      <c r="HG210" s="56">
        <f>IFERROR((SUMIFS(tblSafety[LTI],tblSafety[Date],"&gt;="&amp;EDATE($E210,-12),tblSafety[Date],"&lt;="&amp;$A210)+SUMIFS(tblSafetyHistory[LTI],tblSafetyHistory[Month],"&gt;="&amp;EDATE($E210,-12),tblSafetyHistory[Month],"&lt;"&amp;cfg_YearStart))/(SUMIFS(tblSafety[Hours_Total],tblSafety[Date],"&gt;="&amp;EDATE($E210,-12),tblSafety[Date],"&lt;="&amp;$A210)+SUMIFS(tblSafetyHistory[Hours_Total],tblSafetyHistory[Month],"&gt;="&amp;EDATE($E210,-12),tblSafetyHistory[Month],"&lt;"&amp;cfg_YearStart))*1000000,"")</f>
        <v/>
      </c>
      <c r="HH210" s="62">
        <f>IF(MAX(N(cfg_PriorLTIDate),_xlfn.MAXIFS(tblSafety[Date],tblSafety[LTI],"&gt;0",tblSafety[Date],"&lt;="&amp;$A210))=0,"",$A210-MAX(N(cfg_PriorLTIDate),_xlfn.MAXIFS(tblSafety[Date],tblSafety[LTI],"&gt;0",tblSafety[Date],"&lt;="&amp;$A210)))</f>
        <v/>
      </c>
      <c r="HI210" s="55">
        <f>SUMIFS(tblBudget[Ore_Mined_t],tblBudget[Month],$E210)</f>
        <v/>
      </c>
      <c r="HJ210" s="55">
        <f>$HI210*$C210/$D210</f>
        <v/>
      </c>
      <c r="HK210" s="55">
        <f>SUMIFS(tblBudget[Ore_Mined_t],tblBudget[Month],"&lt;"&amp;$E210)+$HJ210</f>
        <v/>
      </c>
      <c r="HL210" s="55">
        <f>SUMIFS(tblBudget[Ore_oz],tblBudget[Month],$E210)</f>
        <v/>
      </c>
      <c r="HM210" s="55">
        <f>$HL210*$C210/$D210</f>
        <v/>
      </c>
      <c r="HN210" s="55">
        <f>SUMIFS(tblBudget[Ore_oz],tblBudget[Month],"&lt;"&amp;$E210)+$HM210</f>
        <v/>
      </c>
      <c r="HO210" s="56">
        <f>IFERROR(IF(($HI210)&gt;0,($HL210*cfg_TroyOz)/($HI210),""),"")</f>
        <v/>
      </c>
      <c r="HP210" s="56">
        <f>IFERROR(IF(($HJ210)&gt;0,($HM210*cfg_TroyOz)/($HJ210),""),"")</f>
        <v/>
      </c>
      <c r="HQ210" s="56">
        <f>IFERROR(IF(($HK210)&gt;0,($HN210*cfg_TroyOz)/($HK210),""),"")</f>
        <v/>
      </c>
      <c r="HR210" s="55">
        <f>SUMIFS(tblBudget[Waste_t],tblBudget[Month],$E210)</f>
        <v/>
      </c>
      <c r="HS210" s="55">
        <f>$HR210*$C210/$D210</f>
        <v/>
      </c>
      <c r="HT210" s="55">
        <f>SUMIFS(tblBudget[Waste_t],tblBudget[Month],"&lt;"&amp;$E210)+$HS210</f>
        <v/>
      </c>
      <c r="HU210" s="55">
        <f>SUMIFS(tblBudget[TMM_t],tblBudget[Month],$E210)</f>
        <v/>
      </c>
      <c r="HV210" s="55">
        <f>$HU210*$C210/$D210</f>
        <v/>
      </c>
      <c r="HW210" s="55">
        <f>SUMIFS(tblBudget[TMM_t],tblBudget[Month],"&lt;"&amp;$E210)+$HV210</f>
        <v/>
      </c>
      <c r="HX210" s="56">
        <f>IFERROR(IF(($HI210)&gt;0,($HR210)/($HI210),""),"")</f>
        <v/>
      </c>
      <c r="HY210" s="56">
        <f>IFERROR(IF(($HJ210)&gt;0,($HS210)/($HJ210),""),"")</f>
        <v/>
      </c>
      <c r="HZ210" s="56">
        <f>IFERROR(IF(($HK210)&gt;0,($HT210)/($HK210),""),"")</f>
        <v/>
      </c>
      <c r="IA210" s="55">
        <f>SUMIFS(tblBudget[Drill_m],tblBudget[Month],$E210)</f>
        <v/>
      </c>
      <c r="IB210" s="55">
        <f>$IA210*$C210/$D210</f>
        <v/>
      </c>
      <c r="IC210" s="55">
        <f>SUMIFS(tblBudget[Drill_m],tblBudget[Month],"&lt;"&amp;$E210)+$IB210</f>
        <v/>
      </c>
      <c r="ID210" s="55">
        <f>SUMIFS(tblBudget[Diesel_L],tblBudget[Month],$E210)</f>
        <v/>
      </c>
      <c r="IE210" s="55">
        <f>$ID210*$C210/$D210</f>
        <v/>
      </c>
      <c r="IF210" s="55">
        <f>SUMIFS(tblBudget[Diesel_L],tblBudget[Month],"&lt;"&amp;$E210)+$IE210</f>
        <v/>
      </c>
      <c r="IG210" s="55">
        <f>SUMIFS(tblBudget[Milled_t],tblBudget[Month],$E210)</f>
        <v/>
      </c>
      <c r="IH210" s="55">
        <f>$IG210*$C210/$D210</f>
        <v/>
      </c>
      <c r="II210" s="55">
        <f>SUMIFS(tblBudget[Milled_t],tblBudget[Month],"&lt;"&amp;$E210)+$IH210</f>
        <v/>
      </c>
      <c r="IJ210" s="55">
        <f>SUMIFS(tblBudget[Feed_oz],tblBudget[Month],$E210)</f>
        <v/>
      </c>
      <c r="IK210" s="55">
        <f>$IJ210*$C210/$D210</f>
        <v/>
      </c>
      <c r="IL210" s="55">
        <f>SUMIFS(tblBudget[Feed_oz],tblBudget[Month],"&lt;"&amp;$E210)+$IK210</f>
        <v/>
      </c>
      <c r="IM210" s="55">
        <f>SUMIFS(tblBudget[Recovered_oz],tblBudget[Month],$E210)</f>
        <v/>
      </c>
      <c r="IN210" s="55">
        <f>$IM210*$C210/$D210</f>
        <v/>
      </c>
      <c r="IO210" s="55">
        <f>SUMIFS(tblBudget[Recovered_oz],tblBudget[Month],"&lt;"&amp;$E210)+$IN210</f>
        <v/>
      </c>
      <c r="IP210" s="56">
        <f>IFERROR(IF(($IG210)&gt;0,($IJ210*cfg_TroyOz)/($IG210),""),"")</f>
        <v/>
      </c>
      <c r="IQ210" s="56">
        <f>IFERROR(IF(($IH210)&gt;0,($IK210*cfg_TroyOz)/($IH210),""),"")</f>
        <v/>
      </c>
      <c r="IR210" s="56">
        <f>IFERROR(IF(($II210)&gt;0,($IL210*cfg_TroyOz)/($II210),""),"")</f>
        <v/>
      </c>
      <c r="IS210" s="67">
        <f>IFERROR(IF(($IJ210)&gt;0,($IM210)/($IJ210),""),"")</f>
        <v/>
      </c>
      <c r="IT210" s="67">
        <f>IFERROR(IF(($IK210)&gt;0,($IN210)/($IK210),""),"")</f>
        <v/>
      </c>
      <c r="IU210" s="67">
        <f>IFERROR(IF(($IL210)&gt;0,($IO210)/($IL210),""),"")</f>
        <v/>
      </c>
      <c r="IV210" s="55">
        <f>SUMIFS(tblBudget[Gold_Poured_oz],tblBudget[Month],$E210)</f>
        <v/>
      </c>
      <c r="IW210" s="55">
        <f>$IV210*$C210/$D210</f>
        <v/>
      </c>
      <c r="IX210" s="55">
        <f>SUMIFS(tblBudget[Gold_Poured_oz],tblBudget[Month],"&lt;"&amp;$E210)+$IW210</f>
        <v/>
      </c>
      <c r="IY210" s="57">
        <f>SUMIFS(tblBudget[Hours_Worked],tblBudget[Month],$E210)</f>
        <v/>
      </c>
      <c r="IZ210" s="57">
        <f>$IY210*$C210/$D210</f>
        <v/>
      </c>
      <c r="JA210" s="57">
        <f>SUMIFS(tblBudget[Hours_Worked],tblBudget[Month],"&lt;"&amp;$E210)+$IZ210</f>
        <v/>
      </c>
    </row>
    <row r="211">
      <c r="A211" s="54" t="n">
        <v>46232</v>
      </c>
      <c r="B211">
        <f>MONTH($A211)</f>
        <v/>
      </c>
      <c r="C211">
        <f>DAY($A211)</f>
        <v/>
      </c>
      <c r="D211">
        <f>DAY(EOMONTH($A211,0))</f>
        <v/>
      </c>
      <c r="E211" s="54">
        <f>DATE(YEAR($A211),MONTH($A211),1)</f>
        <v/>
      </c>
      <c r="F211" s="55">
        <f>SUMIFS(tblMovement[Tonnes_t],tblMovement[Date],$A211,tblMovement[Is_Ore],1,tblMovement[Source_Type],"Pit")</f>
        <v/>
      </c>
      <c r="G211" s="55">
        <f>IF($B211=$B210,$G210,0)+$F211</f>
        <v/>
      </c>
      <c r="H211" s="55">
        <f>$H210+$F211</f>
        <v/>
      </c>
      <c r="I211" s="55">
        <f>SUMIFS(tblMovement[Ore_oz],tblMovement[Date],$A211,tblMovement[Source_Type],"Pit")</f>
        <v/>
      </c>
      <c r="J211" s="55">
        <f>IF($B211=$B210,$J210,0)+$I211</f>
        <v/>
      </c>
      <c r="K211" s="55">
        <f>$K210+$I211</f>
        <v/>
      </c>
      <c r="L211" s="56">
        <f>IFERROR(IF(($F211)&gt;0,($I211*cfg_TroyOz)/($F211),""),"")</f>
        <v/>
      </c>
      <c r="M211" s="56">
        <f>IFERROR(IF(($G211)&gt;0,($J211*cfg_TroyOz)/($G211),""),"")</f>
        <v/>
      </c>
      <c r="N211" s="56">
        <f>IFERROR(IF(($H211)&gt;0,($K211*cfg_TroyOz)/($H211),""),"")</f>
        <v/>
      </c>
      <c r="O211" s="55">
        <f>SUMIFS(tblMovement[Tonnes_t],tblMovement[Date],$A211,tblMovement[Is_Ore],0,tblMovement[Source_Type],"Pit")</f>
        <v/>
      </c>
      <c r="P211" s="55">
        <f>IF($B211=$B210,$P210,0)+$O211</f>
        <v/>
      </c>
      <c r="Q211" s="55">
        <f>$Q210+$O211</f>
        <v/>
      </c>
      <c r="R211" s="55">
        <f>$F211+$O211</f>
        <v/>
      </c>
      <c r="S211" s="55">
        <f>IF($B211=$B210,$S210,0)+$R211</f>
        <v/>
      </c>
      <c r="T211" s="55">
        <f>$T210+$R211</f>
        <v/>
      </c>
      <c r="U211" s="56">
        <f>IFERROR(IF(($F211)&gt;0,($O211)/($F211),""),"")</f>
        <v/>
      </c>
      <c r="V211" s="56">
        <f>IFERROR(IF(($G211)&gt;0,($P211)/($G211),""),"")</f>
        <v/>
      </c>
      <c r="W211" s="56">
        <f>IFERROR(IF(($H211)&gt;0,($Q211)/($H211),""),"")</f>
        <v/>
      </c>
      <c r="X211" s="55">
        <f>SUMIFS(tblMovement[Tonnes_t],tblMovement[Date],$A211,tblMovement[Source_Type],"Stockpile")</f>
        <v/>
      </c>
      <c r="Y211" s="55">
        <f>IF($B211=$B210,$Y210,0)+$X211</f>
        <v/>
      </c>
      <c r="Z211" s="55">
        <f>$Z210+$X211</f>
        <v/>
      </c>
      <c r="AA211" s="55">
        <f>SUMIFS(tblMiningDaily[Drill_m],tblMiningDaily[Date],$A211)</f>
        <v/>
      </c>
      <c r="AB211" s="55">
        <f>IF($B211=$B210,$AB210,0)+$AA211</f>
        <v/>
      </c>
      <c r="AC211" s="55">
        <f>$AC210+$AA211</f>
        <v/>
      </c>
      <c r="AD211" s="55">
        <f>SUMIFS(tblMiningDaily[Blast_t],tblMiningDaily[Date],$A211)</f>
        <v/>
      </c>
      <c r="AE211" s="55">
        <f>IF($B211=$B210,$AE210,0)+$AD211</f>
        <v/>
      </c>
      <c r="AF211" s="55">
        <f>$AF210+$AD211</f>
        <v/>
      </c>
      <c r="AG211" s="55">
        <f>SUMIFS(tblMiningDaily[Explosives_kg],tblMiningDaily[Date],$A211)</f>
        <v/>
      </c>
      <c r="AH211" s="55">
        <f>IF($B211=$B210,$AH210,0)+$AG211</f>
        <v/>
      </c>
      <c r="AI211" s="55">
        <f>$AI210+$AG211</f>
        <v/>
      </c>
      <c r="AJ211" s="56">
        <f>IFERROR(IF(($AD211)&gt;0,($AG211)/($AD211),""),"")</f>
        <v/>
      </c>
      <c r="AK211" s="56">
        <f>IFERROR(IF(($AE211)&gt;0,($AH211)/($AE211),""),"")</f>
        <v/>
      </c>
      <c r="AL211" s="56">
        <f>IFERROR(IF(($AF211)&gt;0,($AI211)/($AF211),""),"")</f>
        <v/>
      </c>
      <c r="AM211" s="55">
        <f>SUMIFS(tblMiningDaily[Diesel_L],tblMiningDaily[Date],$A211)</f>
        <v/>
      </c>
      <c r="AN211" s="55">
        <f>IF($B211=$B210,$AN210,0)+$AM211</f>
        <v/>
      </c>
      <c r="AO211" s="55">
        <f>$AO210+$AM211</f>
        <v/>
      </c>
      <c r="AP211" s="55">
        <f>SUMIFS(tblMiningDaily[Dewatering_m3],tblMiningDaily[Date],$A211)</f>
        <v/>
      </c>
      <c r="AQ211" s="55">
        <f>IF($B211=$B210,$AQ210,0)+$AP211</f>
        <v/>
      </c>
      <c r="AR211" s="55">
        <f>$AR210+$AP211</f>
        <v/>
      </c>
      <c r="AS211" s="57">
        <f>SUMIFS(tblFleet[Calendar_h],tblFleet[Date],$A211,tblFleet[Equipment_Class],"Excavator")</f>
        <v/>
      </c>
      <c r="AT211" s="57">
        <f>IF($B211=$B210,$AT210,0)+$AS211</f>
        <v/>
      </c>
      <c r="AU211" s="57">
        <f>$AU210+$AS211</f>
        <v/>
      </c>
      <c r="AV211" s="57">
        <f>SUMIFS(tblFleet[Available_h],tblFleet[Date],$A211,tblFleet[Equipment_Class],"Excavator")</f>
        <v/>
      </c>
      <c r="AW211" s="57">
        <f>IF($B211=$B210,$AW210,0)+$AV211</f>
        <v/>
      </c>
      <c r="AX211" s="57">
        <f>$AX210+$AV211</f>
        <v/>
      </c>
      <c r="AY211" s="57">
        <f>SUMIFS(tblFleet[Operating_h],tblFleet[Date],$A211,tblFleet[Equipment_Class],"Excavator")</f>
        <v/>
      </c>
      <c r="AZ211" s="57">
        <f>IF($B211=$B210,$AZ210,0)+$AY211</f>
        <v/>
      </c>
      <c r="BA211" s="57">
        <f>$BA210+$AY211</f>
        <v/>
      </c>
      <c r="BB211" s="67">
        <f>IFERROR(IF(($AS211)&gt;0,($AV211)/($AS211),""),"")</f>
        <v/>
      </c>
      <c r="BC211" s="67">
        <f>IFERROR(IF(($AT211)&gt;0,($AW211)/($AT211),""),"")</f>
        <v/>
      </c>
      <c r="BD211" s="67">
        <f>IFERROR(IF(($AU211)&gt;0,($AX211)/($AU211),""),"")</f>
        <v/>
      </c>
      <c r="BE211" s="67">
        <f>IFERROR(IF(($AV211)&gt;0,($AY211)/($AV211),""),"")</f>
        <v/>
      </c>
      <c r="BF211" s="67">
        <f>IFERROR(IF(($AW211)&gt;0,($AZ211)/($AW211),""),"")</f>
        <v/>
      </c>
      <c r="BG211" s="67">
        <f>IFERROR(IF(($AX211)&gt;0,($BA211)/($AX211),""),"")</f>
        <v/>
      </c>
      <c r="BH211" s="57">
        <f>SUMIFS(tblFleet[Calendar_h],tblFleet[Date],$A211,tblFleet[Equipment_Class],"Haul Truck")</f>
        <v/>
      </c>
      <c r="BI211" s="57">
        <f>IF($B211=$B210,$BI210,0)+$BH211</f>
        <v/>
      </c>
      <c r="BJ211" s="57">
        <f>$BJ210+$BH211</f>
        <v/>
      </c>
      <c r="BK211" s="57">
        <f>SUMIFS(tblFleet[Available_h],tblFleet[Date],$A211,tblFleet[Equipment_Class],"Haul Truck")</f>
        <v/>
      </c>
      <c r="BL211" s="57">
        <f>IF($B211=$B210,$BL210,0)+$BK211</f>
        <v/>
      </c>
      <c r="BM211" s="57">
        <f>$BM210+$BK211</f>
        <v/>
      </c>
      <c r="BN211" s="57">
        <f>SUMIFS(tblFleet[Operating_h],tblFleet[Date],$A211,tblFleet[Equipment_Class],"Haul Truck")</f>
        <v/>
      </c>
      <c r="BO211" s="57">
        <f>IF($B211=$B210,$BO210,0)+$BN211</f>
        <v/>
      </c>
      <c r="BP211" s="57">
        <f>$BP210+$BN211</f>
        <v/>
      </c>
      <c r="BQ211" s="67">
        <f>IFERROR(IF(($BH211)&gt;0,($BK211)/($BH211),""),"")</f>
        <v/>
      </c>
      <c r="BR211" s="67">
        <f>IFERROR(IF(($BI211)&gt;0,($BL211)/($BI211),""),"")</f>
        <v/>
      </c>
      <c r="BS211" s="67">
        <f>IFERROR(IF(($BJ211)&gt;0,($BM211)/($BJ211),""),"")</f>
        <v/>
      </c>
      <c r="BT211" s="67">
        <f>IFERROR(IF(($BK211)&gt;0,($BN211)/($BK211),""),"")</f>
        <v/>
      </c>
      <c r="BU211" s="67">
        <f>IFERROR(IF(($BL211)&gt;0,($BO211)/($BL211),""),"")</f>
        <v/>
      </c>
      <c r="BV211" s="67">
        <f>IFERROR(IF(($BM211)&gt;0,($BP211)/($BM211),""),"")</f>
        <v/>
      </c>
      <c r="BW211" s="55">
        <f>SUMIFS(tblPlant[Crushed_t],tblPlant[Date],$A211)</f>
        <v/>
      </c>
      <c r="BX211" s="55">
        <f>IF($B211=$B210,$BX210,0)+$BW211</f>
        <v/>
      </c>
      <c r="BY211" s="55">
        <f>$BY210+$BW211</f>
        <v/>
      </c>
      <c r="BZ211" s="55">
        <f>SUMIFS(tblPlant[Milled_t],tblPlant[Date],$A211)</f>
        <v/>
      </c>
      <c r="CA211" s="55">
        <f>IF($B211=$B210,$CA210,0)+$BZ211</f>
        <v/>
      </c>
      <c r="CB211" s="55">
        <f>$CB210+$BZ211</f>
        <v/>
      </c>
      <c r="CC211" s="55">
        <f>SUMIFS(tblPlant[Feed_oz],tblPlant[Date],$A211)</f>
        <v/>
      </c>
      <c r="CD211" s="55">
        <f>IF($B211=$B210,$CD210,0)+$CC211</f>
        <v/>
      </c>
      <c r="CE211" s="55">
        <f>$CE210+$CC211</f>
        <v/>
      </c>
      <c r="CF211" s="55">
        <f>SUMIFS(tblPlant[Tails_oz],tblPlant[Date],$A211)</f>
        <v/>
      </c>
      <c r="CG211" s="55">
        <f>IF($B211=$B210,$CG210,0)+$CF211</f>
        <v/>
      </c>
      <c r="CH211" s="55">
        <f>$CH210+$CF211</f>
        <v/>
      </c>
      <c r="CI211" s="55">
        <f>SUMIFS(tblPlant[Recovered_oz],tblPlant[Date],$A211)</f>
        <v/>
      </c>
      <c r="CJ211" s="55">
        <f>IF($B211=$B210,$CJ210,0)+$CI211</f>
        <v/>
      </c>
      <c r="CK211" s="55">
        <f>$CK210+$CI211</f>
        <v/>
      </c>
      <c r="CL211" s="56">
        <f>IFERROR(IF(($BZ211)&gt;0,($CC211*cfg_TroyOz)/($BZ211),""),"")</f>
        <v/>
      </c>
      <c r="CM211" s="56">
        <f>IFERROR(IF(($CA211)&gt;0,($CD211*cfg_TroyOz)/($CA211),""),"")</f>
        <v/>
      </c>
      <c r="CN211" s="56">
        <f>IFERROR(IF(($CB211)&gt;0,($CE211*cfg_TroyOz)/($CB211),""),"")</f>
        <v/>
      </c>
      <c r="CO211" s="56">
        <f>IFERROR(IF(($BZ211)&gt;0,($CF211*cfg_TroyOz)/($BZ211),""),"")</f>
        <v/>
      </c>
      <c r="CP211" s="56">
        <f>IFERROR(IF(($CA211)&gt;0,($CG211*cfg_TroyOz)/($CA211),""),"")</f>
        <v/>
      </c>
      <c r="CQ211" s="56">
        <f>IFERROR(IF(($CB211)&gt;0,($CH211*cfg_TroyOz)/($CB211),""),"")</f>
        <v/>
      </c>
      <c r="CR211" s="67">
        <f>IFERROR(IF(($CC211)&gt;0,($CI211)/($CC211),""),"")</f>
        <v/>
      </c>
      <c r="CS211" s="67">
        <f>IFERROR(IF(($CD211)&gt;0,($CJ211)/($CD211),""),"")</f>
        <v/>
      </c>
      <c r="CT211" s="67">
        <f>IFERROR(IF(($CE211)&gt;0,($CK211)/($CE211),""),"")</f>
        <v/>
      </c>
      <c r="CU211" s="55">
        <f>SUMIFS(tblPlant[Gravity_Gold_oz],tblPlant[Date],$A211)</f>
        <v/>
      </c>
      <c r="CV211" s="55">
        <f>IF($B211=$B210,$CV210,0)+$CU211</f>
        <v/>
      </c>
      <c r="CW211" s="55">
        <f>$CW210+$CU211</f>
        <v/>
      </c>
      <c r="CX211" s="55">
        <f>SUMIFS(tblPlant[Gold_Poured_oz],tblPlant[Date],$A211)</f>
        <v/>
      </c>
      <c r="CY211" s="55">
        <f>IF($B211=$B210,$CY210,0)+$CX211</f>
        <v/>
      </c>
      <c r="CZ211" s="55">
        <f>$CZ210+$CX211</f>
        <v/>
      </c>
      <c r="DA211" s="57">
        <f>SUMIFS(tblPlant[Mill_Run_h],tblPlant[Date],$A211)</f>
        <v/>
      </c>
      <c r="DB211" s="57">
        <f>IF($B211=$B210,$DB210,0)+$DA211</f>
        <v/>
      </c>
      <c r="DC211" s="57">
        <f>$DC210+$DA211</f>
        <v/>
      </c>
      <c r="DD211" s="57">
        <f>SUMIFS(tblPlant[Mill_Planned_Maint_h],tblPlant[Date],$A211)</f>
        <v/>
      </c>
      <c r="DE211" s="57">
        <f>IF($B211=$B210,$DE210,0)+$DD211</f>
        <v/>
      </c>
      <c r="DF211" s="57">
        <f>$DF210+$DD211</f>
        <v/>
      </c>
      <c r="DG211" s="57">
        <f>SUMIFS(tblPlant[Mill_Unplanned_Down_h],tblPlant[Date],$A211)</f>
        <v/>
      </c>
      <c r="DH211" s="57">
        <f>IF($B211=$B210,$DH210,0)+$DG211</f>
        <v/>
      </c>
      <c r="DI211" s="57">
        <f>$DI210+$DG211</f>
        <v/>
      </c>
      <c r="DJ211" s="57">
        <f>COUNTIFS(tblPlant[Date],$A211,tblPlant[Mill_Run_h],"&lt;&gt;")*24</f>
        <v/>
      </c>
      <c r="DK211" s="57">
        <f>IF($B211=$B210,$DK210,0)+$DJ211</f>
        <v/>
      </c>
      <c r="DL211" s="57">
        <f>$DL210+$DJ211</f>
        <v/>
      </c>
      <c r="DM211" s="57">
        <f>SUMIFS(tblPlant[Crusher_Run_h],tblPlant[Date],$A211)</f>
        <v/>
      </c>
      <c r="DN211" s="57">
        <f>IF($B211=$B210,$DN210,0)+$DM211</f>
        <v/>
      </c>
      <c r="DO211" s="57">
        <f>$DO210+$DM211</f>
        <v/>
      </c>
      <c r="DP211" s="55">
        <f>IFERROR(IF(($DA211)&gt;0,($BZ211)/($DA211),""),"")</f>
        <v/>
      </c>
      <c r="DQ211" s="55">
        <f>IFERROR(IF(($DB211)&gt;0,($CA211)/($DB211),""),"")</f>
        <v/>
      </c>
      <c r="DR211" s="55">
        <f>IFERROR(IF(($DC211)&gt;0,($CB211)/($DC211),""),"")</f>
        <v/>
      </c>
      <c r="DS211" s="67">
        <f>IFERROR(IF(($DJ211)&gt;0,($DJ211-$DD211-$DG211)/($DJ211),""),"")</f>
        <v/>
      </c>
      <c r="DT211" s="67">
        <f>IFERROR(IF(($DK211)&gt;0,($DK211-$DE211-$DH211)/($DK211),""),"")</f>
        <v/>
      </c>
      <c r="DU211" s="67">
        <f>IFERROR(IF(($DL211)&gt;0,($DL211-$DF211-$DI211)/($DL211),""),"")</f>
        <v/>
      </c>
      <c r="DV211" s="67">
        <f>IFERROR(IF(($DJ211-$DD211-$DG211)&gt;0,($DA211)/($DJ211-$DD211-$DG211),""),"")</f>
        <v/>
      </c>
      <c r="DW211" s="67">
        <f>IFERROR(IF(($DK211-$DE211-$DH211)&gt;0,($DB211)/($DK211-$DE211-$DH211),""),"")</f>
        <v/>
      </c>
      <c r="DX211" s="67">
        <f>IFERROR(IF(($DL211-$DF211-$DI211)&gt;0,($DC211)/($DL211-$DF211-$DI211),""),"")</f>
        <v/>
      </c>
      <c r="DY211" s="55">
        <f>SUMIFS(tblPlant[Cyanide_kg],tblPlant[Date],$A211)</f>
        <v/>
      </c>
      <c r="DZ211" s="55">
        <f>IF($B211=$B210,$DZ210,0)+$DY211</f>
        <v/>
      </c>
      <c r="EA211" s="55">
        <f>$EA210+$DY211</f>
        <v/>
      </c>
      <c r="EB211" s="55">
        <f>SUMIFS(tblPlant[Lime_kg],tblPlant[Date],$A211)</f>
        <v/>
      </c>
      <c r="EC211" s="55">
        <f>IF($B211=$B210,$EC210,0)+$EB211</f>
        <v/>
      </c>
      <c r="ED211" s="55">
        <f>$ED210+$EB211</f>
        <v/>
      </c>
      <c r="EE211" s="55">
        <f>SUMIFS(tblPlant[Grinding_Media_kg],tblPlant[Date],$A211)</f>
        <v/>
      </c>
      <c r="EF211" s="55">
        <f>IF($B211=$B210,$EF210,0)+$EE211</f>
        <v/>
      </c>
      <c r="EG211" s="55">
        <f>$EG210+$EE211</f>
        <v/>
      </c>
      <c r="EH211" s="55">
        <f>SUMIFS(tblPlant[Power_kWh],tblPlant[Date],$A211)</f>
        <v/>
      </c>
      <c r="EI211" s="55">
        <f>IF($B211=$B210,$EI210,0)+$EH211</f>
        <v/>
      </c>
      <c r="EJ211" s="55">
        <f>$EJ210+$EH211</f>
        <v/>
      </c>
      <c r="EK211" s="55">
        <f>SUMIFS(tblPlant[Raw_Water_m3],tblPlant[Date],$A211)</f>
        <v/>
      </c>
      <c r="EL211" s="55">
        <f>IF($B211=$B210,$EL210,0)+$EK211</f>
        <v/>
      </c>
      <c r="EM211" s="55">
        <f>$EM210+$EK211</f>
        <v/>
      </c>
      <c r="EN211" s="56">
        <f>IFERROR(IF(($BZ211)&gt;0,($DY211)/($BZ211),""),"")</f>
        <v/>
      </c>
      <c r="EO211" s="56">
        <f>IFERROR(IF(($CA211)&gt;0,($DZ211)/($CA211),""),"")</f>
        <v/>
      </c>
      <c r="EP211" s="56">
        <f>IFERROR(IF(($CB211)&gt;0,($EA211)/($CB211),""),"")</f>
        <v/>
      </c>
      <c r="EQ211" s="56">
        <f>IFERROR(IF(($BZ211)&gt;0,($EB211)/($BZ211),""),"")</f>
        <v/>
      </c>
      <c r="ER211" s="56">
        <f>IFERROR(IF(($CA211)&gt;0,($EC211)/($CA211),""),"")</f>
        <v/>
      </c>
      <c r="ES211" s="56">
        <f>IFERROR(IF(($CB211)&gt;0,($ED211)/($CB211),""),"")</f>
        <v/>
      </c>
      <c r="ET211" s="56">
        <f>IFERROR(IF(($BZ211)&gt;0,($EE211)/($BZ211),""),"")</f>
        <v/>
      </c>
      <c r="EU211" s="56">
        <f>IFERROR(IF(($CA211)&gt;0,($EF211)/($CA211),""),"")</f>
        <v/>
      </c>
      <c r="EV211" s="56">
        <f>IFERROR(IF(($CB211)&gt;0,($EG211)/($CB211),""),"")</f>
        <v/>
      </c>
      <c r="EW211" s="76">
        <f>IFERROR(IF(($BZ211)&gt;0,($EH211)/($BZ211),""),"")</f>
        <v/>
      </c>
      <c r="EX211" s="76">
        <f>IFERROR(IF(($CA211)&gt;0,($EI211)/($CA211),""),"")</f>
        <v/>
      </c>
      <c r="EY211" s="76">
        <f>IFERROR(IF(($CB211)&gt;0,($EJ211)/($CB211),""),"")</f>
        <v/>
      </c>
      <c r="EZ211" s="56">
        <f>IFERROR(IF(($BZ211)&gt;0,($EK211)/($BZ211),""),"")</f>
        <v/>
      </c>
      <c r="FA211" s="56">
        <f>IFERROR(IF(($CA211)&gt;0,($EL211)/($CA211),""),"")</f>
        <v/>
      </c>
      <c r="FB211" s="56">
        <f>IFERROR(IF(($CB211)&gt;0,($EM211)/($CB211),""),"")</f>
        <v/>
      </c>
      <c r="FC211" s="55">
        <f>IF(SUMIFS(tblPlant[GIC_oz],tblPlant[Date],$A211)&gt;0,SUMIFS(tblPlant[GIC_oz],tblPlant[Date],$A211),"")</f>
        <v/>
      </c>
      <c r="FD211" s="55">
        <f>SUMIFS(tblGold[Gold_oz],tblGold[Date],$A211,tblGold[Type],"Shipment")</f>
        <v/>
      </c>
      <c r="FE211" s="55">
        <f>IF($B211=$B210,$FE210,0)+$FD211</f>
        <v/>
      </c>
      <c r="FF211" s="55">
        <f>$FF210+$FD211</f>
        <v/>
      </c>
      <c r="FG211" s="55">
        <f>SUMIFS(tblGold[Gold_oz],tblGold[Date],$A211,tblGold[Type],"Sale")</f>
        <v/>
      </c>
      <c r="FH211" s="55">
        <f>IF($B211=$B210,$FH210,0)+$FG211</f>
        <v/>
      </c>
      <c r="FI211" s="55">
        <f>$FI210+$FG211</f>
        <v/>
      </c>
      <c r="FJ211" s="55">
        <f>SUMIFS(tblGold[Dore_kg],tblGold[Date],$A211,tblGold[Type],"Shipment")</f>
        <v/>
      </c>
      <c r="FK211" s="55">
        <f>IF($B211=$B210,$FK210,0)+$FJ211</f>
        <v/>
      </c>
      <c r="FL211" s="55">
        <f>$FL210+$FJ211</f>
        <v/>
      </c>
      <c r="FM211" s="57">
        <f>SUMIFS(tblSafety[Hours_Total],tblSafety[Date],$A211)</f>
        <v/>
      </c>
      <c r="FN211" s="57">
        <f>IF($B211=$B210,$FN210,0)+$FM211</f>
        <v/>
      </c>
      <c r="FO211" s="57">
        <f>$FO210+$FM211</f>
        <v/>
      </c>
      <c r="FP211" s="62">
        <f>SUMIFS(tblSafety[Fatality],tblSafety[Date],$A211)</f>
        <v/>
      </c>
      <c r="FQ211" s="62">
        <f>IF($B211=$B210,$FQ210,0)+$FP211</f>
        <v/>
      </c>
      <c r="FR211" s="62">
        <f>$FR210+$FP211</f>
        <v/>
      </c>
      <c r="FS211" s="62">
        <f>SUMIFS(tblSafety[LTI],tblSafety[Date],$A211)</f>
        <v/>
      </c>
      <c r="FT211" s="62">
        <f>IF($B211=$B210,$FT210,0)+$FS211</f>
        <v/>
      </c>
      <c r="FU211" s="62">
        <f>$FU210+$FS211</f>
        <v/>
      </c>
      <c r="FV211" s="62">
        <f>SUMIFS(tblSafety[RWI],tblSafety[Date],$A211)</f>
        <v/>
      </c>
      <c r="FW211" s="62">
        <f>IF($B211=$B210,$FW210,0)+$FV211</f>
        <v/>
      </c>
      <c r="FX211" s="62">
        <f>$FX210+$FV211</f>
        <v/>
      </c>
      <c r="FY211" s="62">
        <f>SUMIFS(tblSafety[MTI],tblSafety[Date],$A211)</f>
        <v/>
      </c>
      <c r="FZ211" s="62">
        <f>IF($B211=$B210,$FZ210,0)+$FY211</f>
        <v/>
      </c>
      <c r="GA211" s="62">
        <f>$GA210+$FY211</f>
        <v/>
      </c>
      <c r="GB211" s="62">
        <f>SUMIFS(tblSafety[FAI],tblSafety[Date],$A211)</f>
        <v/>
      </c>
      <c r="GC211" s="62">
        <f>IF($B211=$B210,$GC210,0)+$GB211</f>
        <v/>
      </c>
      <c r="GD211" s="62">
        <f>$GD210+$GB211</f>
        <v/>
      </c>
      <c r="GE211" s="62">
        <f>SUMIFS(tblSafety[Recordables],tblSafety[Date],$A211)</f>
        <v/>
      </c>
      <c r="GF211" s="62">
        <f>IF($B211=$B210,$GF210,0)+$GE211</f>
        <v/>
      </c>
      <c r="GG211" s="62">
        <f>$GG210+$GE211</f>
        <v/>
      </c>
      <c r="GH211" s="62">
        <f>SUMIFS(tblSafety[Near_Miss],tblSafety[Date],$A211)</f>
        <v/>
      </c>
      <c r="GI211" s="62">
        <f>IF($B211=$B210,$GI210,0)+$GH211</f>
        <v/>
      </c>
      <c r="GJ211" s="62">
        <f>$GJ210+$GH211</f>
        <v/>
      </c>
      <c r="GK211" s="62">
        <f>SUMIFS(tblSafety[Hazard_Reports],tblSafety[Date],$A211)</f>
        <v/>
      </c>
      <c r="GL211" s="62">
        <f>IF($B211=$B210,$GL210,0)+$GK211</f>
        <v/>
      </c>
      <c r="GM211" s="62">
        <f>$GM210+$GK211</f>
        <v/>
      </c>
      <c r="GN211" s="62">
        <f>SUMIFS(tblSafety[HPI],tblSafety[Date],$A211)</f>
        <v/>
      </c>
      <c r="GO211" s="62">
        <f>IF($B211=$B210,$GO210,0)+$GN211</f>
        <v/>
      </c>
      <c r="GP211" s="62">
        <f>$GP210+$GN211</f>
        <v/>
      </c>
      <c r="GQ211" s="62">
        <f>SUMIFS(tblSafety[Env_Incidents],tblSafety[Date],$A211)</f>
        <v/>
      </c>
      <c r="GR211" s="62">
        <f>IF($B211=$B210,$GR210,0)+$GQ211</f>
        <v/>
      </c>
      <c r="GS211" s="62">
        <f>$GS210+$GQ211</f>
        <v/>
      </c>
      <c r="GT211" s="62">
        <f>SUMIFS(tblSafety[Community_Incidents],tblSafety[Date],$A211)</f>
        <v/>
      </c>
      <c r="GU211" s="62">
        <f>IF($B211=$B210,$GU210,0)+$GT211</f>
        <v/>
      </c>
      <c r="GV211" s="62">
        <f>$GV210+$GT211</f>
        <v/>
      </c>
      <c r="GW211" s="62">
        <f>SUMIFS(tblSafety[Vehicle_Incidents],tblSafety[Date],$A211)</f>
        <v/>
      </c>
      <c r="GX211" s="62">
        <f>IF($B211=$B210,$GX210,0)+$GW211</f>
        <v/>
      </c>
      <c r="GY211" s="62">
        <f>$GY210+$GW211</f>
        <v/>
      </c>
      <c r="GZ211" s="62">
        <f>SUMIFS(tblSafety[Toolbox_Talks],tblSafety[Date],$A211)</f>
        <v/>
      </c>
      <c r="HA211" s="62">
        <f>IF($B211=$B210,$HA210,0)+$GZ211</f>
        <v/>
      </c>
      <c r="HB211" s="62">
        <f>$HB210+$GZ211</f>
        <v/>
      </c>
      <c r="HC211" s="62">
        <f>SUMIFS(tblSafety[Inspections],tblSafety[Date],$A211)</f>
        <v/>
      </c>
      <c r="HD211" s="62">
        <f>IF($B211=$B210,$HD210,0)+$HC211</f>
        <v/>
      </c>
      <c r="HE211" s="62">
        <f>$HE210+$HC211</f>
        <v/>
      </c>
      <c r="HF211" s="56">
        <f>IFERROR((SUMIFS(tblSafety[Recordables],tblSafety[Date],"&gt;="&amp;EDATE($E211,-12),tblSafety[Date],"&lt;="&amp;$A211)+SUMIFS(tblSafetyHistory[Recordables],tblSafetyHistory[Month],"&gt;="&amp;EDATE($E211,-12),tblSafetyHistory[Month],"&lt;"&amp;cfg_YearStart))/(SUMIFS(tblSafety[Hours_Total],tblSafety[Date],"&gt;="&amp;EDATE($E211,-12),tblSafety[Date],"&lt;="&amp;$A211)+SUMIFS(tblSafetyHistory[Hours_Total],tblSafetyHistory[Month],"&gt;="&amp;EDATE($E211,-12),tblSafetyHistory[Month],"&lt;"&amp;cfg_YearStart))*1000000,"")</f>
        <v/>
      </c>
      <c r="HG211" s="56">
        <f>IFERROR((SUMIFS(tblSafety[LTI],tblSafety[Date],"&gt;="&amp;EDATE($E211,-12),tblSafety[Date],"&lt;="&amp;$A211)+SUMIFS(tblSafetyHistory[LTI],tblSafetyHistory[Month],"&gt;="&amp;EDATE($E211,-12),tblSafetyHistory[Month],"&lt;"&amp;cfg_YearStart))/(SUMIFS(tblSafety[Hours_Total],tblSafety[Date],"&gt;="&amp;EDATE($E211,-12),tblSafety[Date],"&lt;="&amp;$A211)+SUMIFS(tblSafetyHistory[Hours_Total],tblSafetyHistory[Month],"&gt;="&amp;EDATE($E211,-12),tblSafetyHistory[Month],"&lt;"&amp;cfg_YearStart))*1000000,"")</f>
        <v/>
      </c>
      <c r="HH211" s="62">
        <f>IF(MAX(N(cfg_PriorLTIDate),_xlfn.MAXIFS(tblSafety[Date],tblSafety[LTI],"&gt;0",tblSafety[Date],"&lt;="&amp;$A211))=0,"",$A211-MAX(N(cfg_PriorLTIDate),_xlfn.MAXIFS(tblSafety[Date],tblSafety[LTI],"&gt;0",tblSafety[Date],"&lt;="&amp;$A211)))</f>
        <v/>
      </c>
      <c r="HI211" s="55">
        <f>SUMIFS(tblBudget[Ore_Mined_t],tblBudget[Month],$E211)</f>
        <v/>
      </c>
      <c r="HJ211" s="55">
        <f>$HI211*$C211/$D211</f>
        <v/>
      </c>
      <c r="HK211" s="55">
        <f>SUMIFS(tblBudget[Ore_Mined_t],tblBudget[Month],"&lt;"&amp;$E211)+$HJ211</f>
        <v/>
      </c>
      <c r="HL211" s="55">
        <f>SUMIFS(tblBudget[Ore_oz],tblBudget[Month],$E211)</f>
        <v/>
      </c>
      <c r="HM211" s="55">
        <f>$HL211*$C211/$D211</f>
        <v/>
      </c>
      <c r="HN211" s="55">
        <f>SUMIFS(tblBudget[Ore_oz],tblBudget[Month],"&lt;"&amp;$E211)+$HM211</f>
        <v/>
      </c>
      <c r="HO211" s="56">
        <f>IFERROR(IF(($HI211)&gt;0,($HL211*cfg_TroyOz)/($HI211),""),"")</f>
        <v/>
      </c>
      <c r="HP211" s="56">
        <f>IFERROR(IF(($HJ211)&gt;0,($HM211*cfg_TroyOz)/($HJ211),""),"")</f>
        <v/>
      </c>
      <c r="HQ211" s="56">
        <f>IFERROR(IF(($HK211)&gt;0,($HN211*cfg_TroyOz)/($HK211),""),"")</f>
        <v/>
      </c>
      <c r="HR211" s="55">
        <f>SUMIFS(tblBudget[Waste_t],tblBudget[Month],$E211)</f>
        <v/>
      </c>
      <c r="HS211" s="55">
        <f>$HR211*$C211/$D211</f>
        <v/>
      </c>
      <c r="HT211" s="55">
        <f>SUMIFS(tblBudget[Waste_t],tblBudget[Month],"&lt;"&amp;$E211)+$HS211</f>
        <v/>
      </c>
      <c r="HU211" s="55">
        <f>SUMIFS(tblBudget[TMM_t],tblBudget[Month],$E211)</f>
        <v/>
      </c>
      <c r="HV211" s="55">
        <f>$HU211*$C211/$D211</f>
        <v/>
      </c>
      <c r="HW211" s="55">
        <f>SUMIFS(tblBudget[TMM_t],tblBudget[Month],"&lt;"&amp;$E211)+$HV211</f>
        <v/>
      </c>
      <c r="HX211" s="56">
        <f>IFERROR(IF(($HI211)&gt;0,($HR211)/($HI211),""),"")</f>
        <v/>
      </c>
      <c r="HY211" s="56">
        <f>IFERROR(IF(($HJ211)&gt;0,($HS211)/($HJ211),""),"")</f>
        <v/>
      </c>
      <c r="HZ211" s="56">
        <f>IFERROR(IF(($HK211)&gt;0,($HT211)/($HK211),""),"")</f>
        <v/>
      </c>
      <c r="IA211" s="55">
        <f>SUMIFS(tblBudget[Drill_m],tblBudget[Month],$E211)</f>
        <v/>
      </c>
      <c r="IB211" s="55">
        <f>$IA211*$C211/$D211</f>
        <v/>
      </c>
      <c r="IC211" s="55">
        <f>SUMIFS(tblBudget[Drill_m],tblBudget[Month],"&lt;"&amp;$E211)+$IB211</f>
        <v/>
      </c>
      <c r="ID211" s="55">
        <f>SUMIFS(tblBudget[Diesel_L],tblBudget[Month],$E211)</f>
        <v/>
      </c>
      <c r="IE211" s="55">
        <f>$ID211*$C211/$D211</f>
        <v/>
      </c>
      <c r="IF211" s="55">
        <f>SUMIFS(tblBudget[Diesel_L],tblBudget[Month],"&lt;"&amp;$E211)+$IE211</f>
        <v/>
      </c>
      <c r="IG211" s="55">
        <f>SUMIFS(tblBudget[Milled_t],tblBudget[Month],$E211)</f>
        <v/>
      </c>
      <c r="IH211" s="55">
        <f>$IG211*$C211/$D211</f>
        <v/>
      </c>
      <c r="II211" s="55">
        <f>SUMIFS(tblBudget[Milled_t],tblBudget[Month],"&lt;"&amp;$E211)+$IH211</f>
        <v/>
      </c>
      <c r="IJ211" s="55">
        <f>SUMIFS(tblBudget[Feed_oz],tblBudget[Month],$E211)</f>
        <v/>
      </c>
      <c r="IK211" s="55">
        <f>$IJ211*$C211/$D211</f>
        <v/>
      </c>
      <c r="IL211" s="55">
        <f>SUMIFS(tblBudget[Feed_oz],tblBudget[Month],"&lt;"&amp;$E211)+$IK211</f>
        <v/>
      </c>
      <c r="IM211" s="55">
        <f>SUMIFS(tblBudget[Recovered_oz],tblBudget[Month],$E211)</f>
        <v/>
      </c>
      <c r="IN211" s="55">
        <f>$IM211*$C211/$D211</f>
        <v/>
      </c>
      <c r="IO211" s="55">
        <f>SUMIFS(tblBudget[Recovered_oz],tblBudget[Month],"&lt;"&amp;$E211)+$IN211</f>
        <v/>
      </c>
      <c r="IP211" s="56">
        <f>IFERROR(IF(($IG211)&gt;0,($IJ211*cfg_TroyOz)/($IG211),""),"")</f>
        <v/>
      </c>
      <c r="IQ211" s="56">
        <f>IFERROR(IF(($IH211)&gt;0,($IK211*cfg_TroyOz)/($IH211),""),"")</f>
        <v/>
      </c>
      <c r="IR211" s="56">
        <f>IFERROR(IF(($II211)&gt;0,($IL211*cfg_TroyOz)/($II211),""),"")</f>
        <v/>
      </c>
      <c r="IS211" s="67">
        <f>IFERROR(IF(($IJ211)&gt;0,($IM211)/($IJ211),""),"")</f>
        <v/>
      </c>
      <c r="IT211" s="67">
        <f>IFERROR(IF(($IK211)&gt;0,($IN211)/($IK211),""),"")</f>
        <v/>
      </c>
      <c r="IU211" s="67">
        <f>IFERROR(IF(($IL211)&gt;0,($IO211)/($IL211),""),"")</f>
        <v/>
      </c>
      <c r="IV211" s="55">
        <f>SUMIFS(tblBudget[Gold_Poured_oz],tblBudget[Month],$E211)</f>
        <v/>
      </c>
      <c r="IW211" s="55">
        <f>$IV211*$C211/$D211</f>
        <v/>
      </c>
      <c r="IX211" s="55">
        <f>SUMIFS(tblBudget[Gold_Poured_oz],tblBudget[Month],"&lt;"&amp;$E211)+$IW211</f>
        <v/>
      </c>
      <c r="IY211" s="57">
        <f>SUMIFS(tblBudget[Hours_Worked],tblBudget[Month],$E211)</f>
        <v/>
      </c>
      <c r="IZ211" s="57">
        <f>$IY211*$C211/$D211</f>
        <v/>
      </c>
      <c r="JA211" s="57">
        <f>SUMIFS(tblBudget[Hours_Worked],tblBudget[Month],"&lt;"&amp;$E211)+$IZ211</f>
        <v/>
      </c>
    </row>
    <row r="212">
      <c r="A212" s="54" t="n">
        <v>46233</v>
      </c>
      <c r="B212">
        <f>MONTH($A212)</f>
        <v/>
      </c>
      <c r="C212">
        <f>DAY($A212)</f>
        <v/>
      </c>
      <c r="D212">
        <f>DAY(EOMONTH($A212,0))</f>
        <v/>
      </c>
      <c r="E212" s="54">
        <f>DATE(YEAR($A212),MONTH($A212),1)</f>
        <v/>
      </c>
      <c r="F212" s="55">
        <f>SUMIFS(tblMovement[Tonnes_t],tblMovement[Date],$A212,tblMovement[Is_Ore],1,tblMovement[Source_Type],"Pit")</f>
        <v/>
      </c>
      <c r="G212" s="55">
        <f>IF($B212=$B211,$G211,0)+$F212</f>
        <v/>
      </c>
      <c r="H212" s="55">
        <f>$H211+$F212</f>
        <v/>
      </c>
      <c r="I212" s="55">
        <f>SUMIFS(tblMovement[Ore_oz],tblMovement[Date],$A212,tblMovement[Source_Type],"Pit")</f>
        <v/>
      </c>
      <c r="J212" s="55">
        <f>IF($B212=$B211,$J211,0)+$I212</f>
        <v/>
      </c>
      <c r="K212" s="55">
        <f>$K211+$I212</f>
        <v/>
      </c>
      <c r="L212" s="56">
        <f>IFERROR(IF(($F212)&gt;0,($I212*cfg_TroyOz)/($F212),""),"")</f>
        <v/>
      </c>
      <c r="M212" s="56">
        <f>IFERROR(IF(($G212)&gt;0,($J212*cfg_TroyOz)/($G212),""),"")</f>
        <v/>
      </c>
      <c r="N212" s="56">
        <f>IFERROR(IF(($H212)&gt;0,($K212*cfg_TroyOz)/($H212),""),"")</f>
        <v/>
      </c>
      <c r="O212" s="55">
        <f>SUMIFS(tblMovement[Tonnes_t],tblMovement[Date],$A212,tblMovement[Is_Ore],0,tblMovement[Source_Type],"Pit")</f>
        <v/>
      </c>
      <c r="P212" s="55">
        <f>IF($B212=$B211,$P211,0)+$O212</f>
        <v/>
      </c>
      <c r="Q212" s="55">
        <f>$Q211+$O212</f>
        <v/>
      </c>
      <c r="R212" s="55">
        <f>$F212+$O212</f>
        <v/>
      </c>
      <c r="S212" s="55">
        <f>IF($B212=$B211,$S211,0)+$R212</f>
        <v/>
      </c>
      <c r="T212" s="55">
        <f>$T211+$R212</f>
        <v/>
      </c>
      <c r="U212" s="56">
        <f>IFERROR(IF(($F212)&gt;0,($O212)/($F212),""),"")</f>
        <v/>
      </c>
      <c r="V212" s="56">
        <f>IFERROR(IF(($G212)&gt;0,($P212)/($G212),""),"")</f>
        <v/>
      </c>
      <c r="W212" s="56">
        <f>IFERROR(IF(($H212)&gt;0,($Q212)/($H212),""),"")</f>
        <v/>
      </c>
      <c r="X212" s="55">
        <f>SUMIFS(tblMovement[Tonnes_t],tblMovement[Date],$A212,tblMovement[Source_Type],"Stockpile")</f>
        <v/>
      </c>
      <c r="Y212" s="55">
        <f>IF($B212=$B211,$Y211,0)+$X212</f>
        <v/>
      </c>
      <c r="Z212" s="55">
        <f>$Z211+$X212</f>
        <v/>
      </c>
      <c r="AA212" s="55">
        <f>SUMIFS(tblMiningDaily[Drill_m],tblMiningDaily[Date],$A212)</f>
        <v/>
      </c>
      <c r="AB212" s="55">
        <f>IF($B212=$B211,$AB211,0)+$AA212</f>
        <v/>
      </c>
      <c r="AC212" s="55">
        <f>$AC211+$AA212</f>
        <v/>
      </c>
      <c r="AD212" s="55">
        <f>SUMIFS(tblMiningDaily[Blast_t],tblMiningDaily[Date],$A212)</f>
        <v/>
      </c>
      <c r="AE212" s="55">
        <f>IF($B212=$B211,$AE211,0)+$AD212</f>
        <v/>
      </c>
      <c r="AF212" s="55">
        <f>$AF211+$AD212</f>
        <v/>
      </c>
      <c r="AG212" s="55">
        <f>SUMIFS(tblMiningDaily[Explosives_kg],tblMiningDaily[Date],$A212)</f>
        <v/>
      </c>
      <c r="AH212" s="55">
        <f>IF($B212=$B211,$AH211,0)+$AG212</f>
        <v/>
      </c>
      <c r="AI212" s="55">
        <f>$AI211+$AG212</f>
        <v/>
      </c>
      <c r="AJ212" s="56">
        <f>IFERROR(IF(($AD212)&gt;0,($AG212)/($AD212),""),"")</f>
        <v/>
      </c>
      <c r="AK212" s="56">
        <f>IFERROR(IF(($AE212)&gt;0,($AH212)/($AE212),""),"")</f>
        <v/>
      </c>
      <c r="AL212" s="56">
        <f>IFERROR(IF(($AF212)&gt;0,($AI212)/($AF212),""),"")</f>
        <v/>
      </c>
      <c r="AM212" s="55">
        <f>SUMIFS(tblMiningDaily[Diesel_L],tblMiningDaily[Date],$A212)</f>
        <v/>
      </c>
      <c r="AN212" s="55">
        <f>IF($B212=$B211,$AN211,0)+$AM212</f>
        <v/>
      </c>
      <c r="AO212" s="55">
        <f>$AO211+$AM212</f>
        <v/>
      </c>
      <c r="AP212" s="55">
        <f>SUMIFS(tblMiningDaily[Dewatering_m3],tblMiningDaily[Date],$A212)</f>
        <v/>
      </c>
      <c r="AQ212" s="55">
        <f>IF($B212=$B211,$AQ211,0)+$AP212</f>
        <v/>
      </c>
      <c r="AR212" s="55">
        <f>$AR211+$AP212</f>
        <v/>
      </c>
      <c r="AS212" s="57">
        <f>SUMIFS(tblFleet[Calendar_h],tblFleet[Date],$A212,tblFleet[Equipment_Class],"Excavator")</f>
        <v/>
      </c>
      <c r="AT212" s="57">
        <f>IF($B212=$B211,$AT211,0)+$AS212</f>
        <v/>
      </c>
      <c r="AU212" s="57">
        <f>$AU211+$AS212</f>
        <v/>
      </c>
      <c r="AV212" s="57">
        <f>SUMIFS(tblFleet[Available_h],tblFleet[Date],$A212,tblFleet[Equipment_Class],"Excavator")</f>
        <v/>
      </c>
      <c r="AW212" s="57">
        <f>IF($B212=$B211,$AW211,0)+$AV212</f>
        <v/>
      </c>
      <c r="AX212" s="57">
        <f>$AX211+$AV212</f>
        <v/>
      </c>
      <c r="AY212" s="57">
        <f>SUMIFS(tblFleet[Operating_h],tblFleet[Date],$A212,tblFleet[Equipment_Class],"Excavator")</f>
        <v/>
      </c>
      <c r="AZ212" s="57">
        <f>IF($B212=$B211,$AZ211,0)+$AY212</f>
        <v/>
      </c>
      <c r="BA212" s="57">
        <f>$BA211+$AY212</f>
        <v/>
      </c>
      <c r="BB212" s="67">
        <f>IFERROR(IF(($AS212)&gt;0,($AV212)/($AS212),""),"")</f>
        <v/>
      </c>
      <c r="BC212" s="67">
        <f>IFERROR(IF(($AT212)&gt;0,($AW212)/($AT212),""),"")</f>
        <v/>
      </c>
      <c r="BD212" s="67">
        <f>IFERROR(IF(($AU212)&gt;0,($AX212)/($AU212),""),"")</f>
        <v/>
      </c>
      <c r="BE212" s="67">
        <f>IFERROR(IF(($AV212)&gt;0,($AY212)/($AV212),""),"")</f>
        <v/>
      </c>
      <c r="BF212" s="67">
        <f>IFERROR(IF(($AW212)&gt;0,($AZ212)/($AW212),""),"")</f>
        <v/>
      </c>
      <c r="BG212" s="67">
        <f>IFERROR(IF(($AX212)&gt;0,($BA212)/($AX212),""),"")</f>
        <v/>
      </c>
      <c r="BH212" s="57">
        <f>SUMIFS(tblFleet[Calendar_h],tblFleet[Date],$A212,tblFleet[Equipment_Class],"Haul Truck")</f>
        <v/>
      </c>
      <c r="BI212" s="57">
        <f>IF($B212=$B211,$BI211,0)+$BH212</f>
        <v/>
      </c>
      <c r="BJ212" s="57">
        <f>$BJ211+$BH212</f>
        <v/>
      </c>
      <c r="BK212" s="57">
        <f>SUMIFS(tblFleet[Available_h],tblFleet[Date],$A212,tblFleet[Equipment_Class],"Haul Truck")</f>
        <v/>
      </c>
      <c r="BL212" s="57">
        <f>IF($B212=$B211,$BL211,0)+$BK212</f>
        <v/>
      </c>
      <c r="BM212" s="57">
        <f>$BM211+$BK212</f>
        <v/>
      </c>
      <c r="BN212" s="57">
        <f>SUMIFS(tblFleet[Operating_h],tblFleet[Date],$A212,tblFleet[Equipment_Class],"Haul Truck")</f>
        <v/>
      </c>
      <c r="BO212" s="57">
        <f>IF($B212=$B211,$BO211,0)+$BN212</f>
        <v/>
      </c>
      <c r="BP212" s="57">
        <f>$BP211+$BN212</f>
        <v/>
      </c>
      <c r="BQ212" s="67">
        <f>IFERROR(IF(($BH212)&gt;0,($BK212)/($BH212),""),"")</f>
        <v/>
      </c>
      <c r="BR212" s="67">
        <f>IFERROR(IF(($BI212)&gt;0,($BL212)/($BI212),""),"")</f>
        <v/>
      </c>
      <c r="BS212" s="67">
        <f>IFERROR(IF(($BJ212)&gt;0,($BM212)/($BJ212),""),"")</f>
        <v/>
      </c>
      <c r="BT212" s="67">
        <f>IFERROR(IF(($BK212)&gt;0,($BN212)/($BK212),""),"")</f>
        <v/>
      </c>
      <c r="BU212" s="67">
        <f>IFERROR(IF(($BL212)&gt;0,($BO212)/($BL212),""),"")</f>
        <v/>
      </c>
      <c r="BV212" s="67">
        <f>IFERROR(IF(($BM212)&gt;0,($BP212)/($BM212),""),"")</f>
        <v/>
      </c>
      <c r="BW212" s="55">
        <f>SUMIFS(tblPlant[Crushed_t],tblPlant[Date],$A212)</f>
        <v/>
      </c>
      <c r="BX212" s="55">
        <f>IF($B212=$B211,$BX211,0)+$BW212</f>
        <v/>
      </c>
      <c r="BY212" s="55">
        <f>$BY211+$BW212</f>
        <v/>
      </c>
      <c r="BZ212" s="55">
        <f>SUMIFS(tblPlant[Milled_t],tblPlant[Date],$A212)</f>
        <v/>
      </c>
      <c r="CA212" s="55">
        <f>IF($B212=$B211,$CA211,0)+$BZ212</f>
        <v/>
      </c>
      <c r="CB212" s="55">
        <f>$CB211+$BZ212</f>
        <v/>
      </c>
      <c r="CC212" s="55">
        <f>SUMIFS(tblPlant[Feed_oz],tblPlant[Date],$A212)</f>
        <v/>
      </c>
      <c r="CD212" s="55">
        <f>IF($B212=$B211,$CD211,0)+$CC212</f>
        <v/>
      </c>
      <c r="CE212" s="55">
        <f>$CE211+$CC212</f>
        <v/>
      </c>
      <c r="CF212" s="55">
        <f>SUMIFS(tblPlant[Tails_oz],tblPlant[Date],$A212)</f>
        <v/>
      </c>
      <c r="CG212" s="55">
        <f>IF($B212=$B211,$CG211,0)+$CF212</f>
        <v/>
      </c>
      <c r="CH212" s="55">
        <f>$CH211+$CF212</f>
        <v/>
      </c>
      <c r="CI212" s="55">
        <f>SUMIFS(tblPlant[Recovered_oz],tblPlant[Date],$A212)</f>
        <v/>
      </c>
      <c r="CJ212" s="55">
        <f>IF($B212=$B211,$CJ211,0)+$CI212</f>
        <v/>
      </c>
      <c r="CK212" s="55">
        <f>$CK211+$CI212</f>
        <v/>
      </c>
      <c r="CL212" s="56">
        <f>IFERROR(IF(($BZ212)&gt;0,($CC212*cfg_TroyOz)/($BZ212),""),"")</f>
        <v/>
      </c>
      <c r="CM212" s="56">
        <f>IFERROR(IF(($CA212)&gt;0,($CD212*cfg_TroyOz)/($CA212),""),"")</f>
        <v/>
      </c>
      <c r="CN212" s="56">
        <f>IFERROR(IF(($CB212)&gt;0,($CE212*cfg_TroyOz)/($CB212),""),"")</f>
        <v/>
      </c>
      <c r="CO212" s="56">
        <f>IFERROR(IF(($BZ212)&gt;0,($CF212*cfg_TroyOz)/($BZ212),""),"")</f>
        <v/>
      </c>
      <c r="CP212" s="56">
        <f>IFERROR(IF(($CA212)&gt;0,($CG212*cfg_TroyOz)/($CA212),""),"")</f>
        <v/>
      </c>
      <c r="CQ212" s="56">
        <f>IFERROR(IF(($CB212)&gt;0,($CH212*cfg_TroyOz)/($CB212),""),"")</f>
        <v/>
      </c>
      <c r="CR212" s="67">
        <f>IFERROR(IF(($CC212)&gt;0,($CI212)/($CC212),""),"")</f>
        <v/>
      </c>
      <c r="CS212" s="67">
        <f>IFERROR(IF(($CD212)&gt;0,($CJ212)/($CD212),""),"")</f>
        <v/>
      </c>
      <c r="CT212" s="67">
        <f>IFERROR(IF(($CE212)&gt;0,($CK212)/($CE212),""),"")</f>
        <v/>
      </c>
      <c r="CU212" s="55">
        <f>SUMIFS(tblPlant[Gravity_Gold_oz],tblPlant[Date],$A212)</f>
        <v/>
      </c>
      <c r="CV212" s="55">
        <f>IF($B212=$B211,$CV211,0)+$CU212</f>
        <v/>
      </c>
      <c r="CW212" s="55">
        <f>$CW211+$CU212</f>
        <v/>
      </c>
      <c r="CX212" s="55">
        <f>SUMIFS(tblPlant[Gold_Poured_oz],tblPlant[Date],$A212)</f>
        <v/>
      </c>
      <c r="CY212" s="55">
        <f>IF($B212=$B211,$CY211,0)+$CX212</f>
        <v/>
      </c>
      <c r="CZ212" s="55">
        <f>$CZ211+$CX212</f>
        <v/>
      </c>
      <c r="DA212" s="57">
        <f>SUMIFS(tblPlant[Mill_Run_h],tblPlant[Date],$A212)</f>
        <v/>
      </c>
      <c r="DB212" s="57">
        <f>IF($B212=$B211,$DB211,0)+$DA212</f>
        <v/>
      </c>
      <c r="DC212" s="57">
        <f>$DC211+$DA212</f>
        <v/>
      </c>
      <c r="DD212" s="57">
        <f>SUMIFS(tblPlant[Mill_Planned_Maint_h],tblPlant[Date],$A212)</f>
        <v/>
      </c>
      <c r="DE212" s="57">
        <f>IF($B212=$B211,$DE211,0)+$DD212</f>
        <v/>
      </c>
      <c r="DF212" s="57">
        <f>$DF211+$DD212</f>
        <v/>
      </c>
      <c r="DG212" s="57">
        <f>SUMIFS(tblPlant[Mill_Unplanned_Down_h],tblPlant[Date],$A212)</f>
        <v/>
      </c>
      <c r="DH212" s="57">
        <f>IF($B212=$B211,$DH211,0)+$DG212</f>
        <v/>
      </c>
      <c r="DI212" s="57">
        <f>$DI211+$DG212</f>
        <v/>
      </c>
      <c r="DJ212" s="57">
        <f>COUNTIFS(tblPlant[Date],$A212,tblPlant[Mill_Run_h],"&lt;&gt;")*24</f>
        <v/>
      </c>
      <c r="DK212" s="57">
        <f>IF($B212=$B211,$DK211,0)+$DJ212</f>
        <v/>
      </c>
      <c r="DL212" s="57">
        <f>$DL211+$DJ212</f>
        <v/>
      </c>
      <c r="DM212" s="57">
        <f>SUMIFS(tblPlant[Crusher_Run_h],tblPlant[Date],$A212)</f>
        <v/>
      </c>
      <c r="DN212" s="57">
        <f>IF($B212=$B211,$DN211,0)+$DM212</f>
        <v/>
      </c>
      <c r="DO212" s="57">
        <f>$DO211+$DM212</f>
        <v/>
      </c>
      <c r="DP212" s="55">
        <f>IFERROR(IF(($DA212)&gt;0,($BZ212)/($DA212),""),"")</f>
        <v/>
      </c>
      <c r="DQ212" s="55">
        <f>IFERROR(IF(($DB212)&gt;0,($CA212)/($DB212),""),"")</f>
        <v/>
      </c>
      <c r="DR212" s="55">
        <f>IFERROR(IF(($DC212)&gt;0,($CB212)/($DC212),""),"")</f>
        <v/>
      </c>
      <c r="DS212" s="67">
        <f>IFERROR(IF(($DJ212)&gt;0,($DJ212-$DD212-$DG212)/($DJ212),""),"")</f>
        <v/>
      </c>
      <c r="DT212" s="67">
        <f>IFERROR(IF(($DK212)&gt;0,($DK212-$DE212-$DH212)/($DK212),""),"")</f>
        <v/>
      </c>
      <c r="DU212" s="67">
        <f>IFERROR(IF(($DL212)&gt;0,($DL212-$DF212-$DI212)/($DL212),""),"")</f>
        <v/>
      </c>
      <c r="DV212" s="67">
        <f>IFERROR(IF(($DJ212-$DD212-$DG212)&gt;0,($DA212)/($DJ212-$DD212-$DG212),""),"")</f>
        <v/>
      </c>
      <c r="DW212" s="67">
        <f>IFERROR(IF(($DK212-$DE212-$DH212)&gt;0,($DB212)/($DK212-$DE212-$DH212),""),"")</f>
        <v/>
      </c>
      <c r="DX212" s="67">
        <f>IFERROR(IF(($DL212-$DF212-$DI212)&gt;0,($DC212)/($DL212-$DF212-$DI212),""),"")</f>
        <v/>
      </c>
      <c r="DY212" s="55">
        <f>SUMIFS(tblPlant[Cyanide_kg],tblPlant[Date],$A212)</f>
        <v/>
      </c>
      <c r="DZ212" s="55">
        <f>IF($B212=$B211,$DZ211,0)+$DY212</f>
        <v/>
      </c>
      <c r="EA212" s="55">
        <f>$EA211+$DY212</f>
        <v/>
      </c>
      <c r="EB212" s="55">
        <f>SUMIFS(tblPlant[Lime_kg],tblPlant[Date],$A212)</f>
        <v/>
      </c>
      <c r="EC212" s="55">
        <f>IF($B212=$B211,$EC211,0)+$EB212</f>
        <v/>
      </c>
      <c r="ED212" s="55">
        <f>$ED211+$EB212</f>
        <v/>
      </c>
      <c r="EE212" s="55">
        <f>SUMIFS(tblPlant[Grinding_Media_kg],tblPlant[Date],$A212)</f>
        <v/>
      </c>
      <c r="EF212" s="55">
        <f>IF($B212=$B211,$EF211,0)+$EE212</f>
        <v/>
      </c>
      <c r="EG212" s="55">
        <f>$EG211+$EE212</f>
        <v/>
      </c>
      <c r="EH212" s="55">
        <f>SUMIFS(tblPlant[Power_kWh],tblPlant[Date],$A212)</f>
        <v/>
      </c>
      <c r="EI212" s="55">
        <f>IF($B212=$B211,$EI211,0)+$EH212</f>
        <v/>
      </c>
      <c r="EJ212" s="55">
        <f>$EJ211+$EH212</f>
        <v/>
      </c>
      <c r="EK212" s="55">
        <f>SUMIFS(tblPlant[Raw_Water_m3],tblPlant[Date],$A212)</f>
        <v/>
      </c>
      <c r="EL212" s="55">
        <f>IF($B212=$B211,$EL211,0)+$EK212</f>
        <v/>
      </c>
      <c r="EM212" s="55">
        <f>$EM211+$EK212</f>
        <v/>
      </c>
      <c r="EN212" s="56">
        <f>IFERROR(IF(($BZ212)&gt;0,($DY212)/($BZ212),""),"")</f>
        <v/>
      </c>
      <c r="EO212" s="56">
        <f>IFERROR(IF(($CA212)&gt;0,($DZ212)/($CA212),""),"")</f>
        <v/>
      </c>
      <c r="EP212" s="56">
        <f>IFERROR(IF(($CB212)&gt;0,($EA212)/($CB212),""),"")</f>
        <v/>
      </c>
      <c r="EQ212" s="56">
        <f>IFERROR(IF(($BZ212)&gt;0,($EB212)/($BZ212),""),"")</f>
        <v/>
      </c>
      <c r="ER212" s="56">
        <f>IFERROR(IF(($CA212)&gt;0,($EC212)/($CA212),""),"")</f>
        <v/>
      </c>
      <c r="ES212" s="56">
        <f>IFERROR(IF(($CB212)&gt;0,($ED212)/($CB212),""),"")</f>
        <v/>
      </c>
      <c r="ET212" s="56">
        <f>IFERROR(IF(($BZ212)&gt;0,($EE212)/($BZ212),""),"")</f>
        <v/>
      </c>
      <c r="EU212" s="56">
        <f>IFERROR(IF(($CA212)&gt;0,($EF212)/($CA212),""),"")</f>
        <v/>
      </c>
      <c r="EV212" s="56">
        <f>IFERROR(IF(($CB212)&gt;0,($EG212)/($CB212),""),"")</f>
        <v/>
      </c>
      <c r="EW212" s="76">
        <f>IFERROR(IF(($BZ212)&gt;0,($EH212)/($BZ212),""),"")</f>
        <v/>
      </c>
      <c r="EX212" s="76">
        <f>IFERROR(IF(($CA212)&gt;0,($EI212)/($CA212),""),"")</f>
        <v/>
      </c>
      <c r="EY212" s="76">
        <f>IFERROR(IF(($CB212)&gt;0,($EJ212)/($CB212),""),"")</f>
        <v/>
      </c>
      <c r="EZ212" s="56">
        <f>IFERROR(IF(($BZ212)&gt;0,($EK212)/($BZ212),""),"")</f>
        <v/>
      </c>
      <c r="FA212" s="56">
        <f>IFERROR(IF(($CA212)&gt;0,($EL212)/($CA212),""),"")</f>
        <v/>
      </c>
      <c r="FB212" s="56">
        <f>IFERROR(IF(($CB212)&gt;0,($EM212)/($CB212),""),"")</f>
        <v/>
      </c>
      <c r="FC212" s="55">
        <f>IF(SUMIFS(tblPlant[GIC_oz],tblPlant[Date],$A212)&gt;0,SUMIFS(tblPlant[GIC_oz],tblPlant[Date],$A212),"")</f>
        <v/>
      </c>
      <c r="FD212" s="55">
        <f>SUMIFS(tblGold[Gold_oz],tblGold[Date],$A212,tblGold[Type],"Shipment")</f>
        <v/>
      </c>
      <c r="FE212" s="55">
        <f>IF($B212=$B211,$FE211,0)+$FD212</f>
        <v/>
      </c>
      <c r="FF212" s="55">
        <f>$FF211+$FD212</f>
        <v/>
      </c>
      <c r="FG212" s="55">
        <f>SUMIFS(tblGold[Gold_oz],tblGold[Date],$A212,tblGold[Type],"Sale")</f>
        <v/>
      </c>
      <c r="FH212" s="55">
        <f>IF($B212=$B211,$FH211,0)+$FG212</f>
        <v/>
      </c>
      <c r="FI212" s="55">
        <f>$FI211+$FG212</f>
        <v/>
      </c>
      <c r="FJ212" s="55">
        <f>SUMIFS(tblGold[Dore_kg],tblGold[Date],$A212,tblGold[Type],"Shipment")</f>
        <v/>
      </c>
      <c r="FK212" s="55">
        <f>IF($B212=$B211,$FK211,0)+$FJ212</f>
        <v/>
      </c>
      <c r="FL212" s="55">
        <f>$FL211+$FJ212</f>
        <v/>
      </c>
      <c r="FM212" s="57">
        <f>SUMIFS(tblSafety[Hours_Total],tblSafety[Date],$A212)</f>
        <v/>
      </c>
      <c r="FN212" s="57">
        <f>IF($B212=$B211,$FN211,0)+$FM212</f>
        <v/>
      </c>
      <c r="FO212" s="57">
        <f>$FO211+$FM212</f>
        <v/>
      </c>
      <c r="FP212" s="62">
        <f>SUMIFS(tblSafety[Fatality],tblSafety[Date],$A212)</f>
        <v/>
      </c>
      <c r="FQ212" s="62">
        <f>IF($B212=$B211,$FQ211,0)+$FP212</f>
        <v/>
      </c>
      <c r="FR212" s="62">
        <f>$FR211+$FP212</f>
        <v/>
      </c>
      <c r="FS212" s="62">
        <f>SUMIFS(tblSafety[LTI],tblSafety[Date],$A212)</f>
        <v/>
      </c>
      <c r="FT212" s="62">
        <f>IF($B212=$B211,$FT211,0)+$FS212</f>
        <v/>
      </c>
      <c r="FU212" s="62">
        <f>$FU211+$FS212</f>
        <v/>
      </c>
      <c r="FV212" s="62">
        <f>SUMIFS(tblSafety[RWI],tblSafety[Date],$A212)</f>
        <v/>
      </c>
      <c r="FW212" s="62">
        <f>IF($B212=$B211,$FW211,0)+$FV212</f>
        <v/>
      </c>
      <c r="FX212" s="62">
        <f>$FX211+$FV212</f>
        <v/>
      </c>
      <c r="FY212" s="62">
        <f>SUMIFS(tblSafety[MTI],tblSafety[Date],$A212)</f>
        <v/>
      </c>
      <c r="FZ212" s="62">
        <f>IF($B212=$B211,$FZ211,0)+$FY212</f>
        <v/>
      </c>
      <c r="GA212" s="62">
        <f>$GA211+$FY212</f>
        <v/>
      </c>
      <c r="GB212" s="62">
        <f>SUMIFS(tblSafety[FAI],tblSafety[Date],$A212)</f>
        <v/>
      </c>
      <c r="GC212" s="62">
        <f>IF($B212=$B211,$GC211,0)+$GB212</f>
        <v/>
      </c>
      <c r="GD212" s="62">
        <f>$GD211+$GB212</f>
        <v/>
      </c>
      <c r="GE212" s="62">
        <f>SUMIFS(tblSafety[Recordables],tblSafety[Date],$A212)</f>
        <v/>
      </c>
      <c r="GF212" s="62">
        <f>IF($B212=$B211,$GF211,0)+$GE212</f>
        <v/>
      </c>
      <c r="GG212" s="62">
        <f>$GG211+$GE212</f>
        <v/>
      </c>
      <c r="GH212" s="62">
        <f>SUMIFS(tblSafety[Near_Miss],tblSafety[Date],$A212)</f>
        <v/>
      </c>
      <c r="GI212" s="62">
        <f>IF($B212=$B211,$GI211,0)+$GH212</f>
        <v/>
      </c>
      <c r="GJ212" s="62">
        <f>$GJ211+$GH212</f>
        <v/>
      </c>
      <c r="GK212" s="62">
        <f>SUMIFS(tblSafety[Hazard_Reports],tblSafety[Date],$A212)</f>
        <v/>
      </c>
      <c r="GL212" s="62">
        <f>IF($B212=$B211,$GL211,0)+$GK212</f>
        <v/>
      </c>
      <c r="GM212" s="62">
        <f>$GM211+$GK212</f>
        <v/>
      </c>
      <c r="GN212" s="62">
        <f>SUMIFS(tblSafety[HPI],tblSafety[Date],$A212)</f>
        <v/>
      </c>
      <c r="GO212" s="62">
        <f>IF($B212=$B211,$GO211,0)+$GN212</f>
        <v/>
      </c>
      <c r="GP212" s="62">
        <f>$GP211+$GN212</f>
        <v/>
      </c>
      <c r="GQ212" s="62">
        <f>SUMIFS(tblSafety[Env_Incidents],tblSafety[Date],$A212)</f>
        <v/>
      </c>
      <c r="GR212" s="62">
        <f>IF($B212=$B211,$GR211,0)+$GQ212</f>
        <v/>
      </c>
      <c r="GS212" s="62">
        <f>$GS211+$GQ212</f>
        <v/>
      </c>
      <c r="GT212" s="62">
        <f>SUMIFS(tblSafety[Community_Incidents],tblSafety[Date],$A212)</f>
        <v/>
      </c>
      <c r="GU212" s="62">
        <f>IF($B212=$B211,$GU211,0)+$GT212</f>
        <v/>
      </c>
      <c r="GV212" s="62">
        <f>$GV211+$GT212</f>
        <v/>
      </c>
      <c r="GW212" s="62">
        <f>SUMIFS(tblSafety[Vehicle_Incidents],tblSafety[Date],$A212)</f>
        <v/>
      </c>
      <c r="GX212" s="62">
        <f>IF($B212=$B211,$GX211,0)+$GW212</f>
        <v/>
      </c>
      <c r="GY212" s="62">
        <f>$GY211+$GW212</f>
        <v/>
      </c>
      <c r="GZ212" s="62">
        <f>SUMIFS(tblSafety[Toolbox_Talks],tblSafety[Date],$A212)</f>
        <v/>
      </c>
      <c r="HA212" s="62">
        <f>IF($B212=$B211,$HA211,0)+$GZ212</f>
        <v/>
      </c>
      <c r="HB212" s="62">
        <f>$HB211+$GZ212</f>
        <v/>
      </c>
      <c r="HC212" s="62">
        <f>SUMIFS(tblSafety[Inspections],tblSafety[Date],$A212)</f>
        <v/>
      </c>
      <c r="HD212" s="62">
        <f>IF($B212=$B211,$HD211,0)+$HC212</f>
        <v/>
      </c>
      <c r="HE212" s="62">
        <f>$HE211+$HC212</f>
        <v/>
      </c>
      <c r="HF212" s="56">
        <f>IFERROR((SUMIFS(tblSafety[Recordables],tblSafety[Date],"&gt;="&amp;EDATE($E212,-12),tblSafety[Date],"&lt;="&amp;$A212)+SUMIFS(tblSafetyHistory[Recordables],tblSafetyHistory[Month],"&gt;="&amp;EDATE($E212,-12),tblSafetyHistory[Month],"&lt;"&amp;cfg_YearStart))/(SUMIFS(tblSafety[Hours_Total],tblSafety[Date],"&gt;="&amp;EDATE($E212,-12),tblSafety[Date],"&lt;="&amp;$A212)+SUMIFS(tblSafetyHistory[Hours_Total],tblSafetyHistory[Month],"&gt;="&amp;EDATE($E212,-12),tblSafetyHistory[Month],"&lt;"&amp;cfg_YearStart))*1000000,"")</f>
        <v/>
      </c>
      <c r="HG212" s="56">
        <f>IFERROR((SUMIFS(tblSafety[LTI],tblSafety[Date],"&gt;="&amp;EDATE($E212,-12),tblSafety[Date],"&lt;="&amp;$A212)+SUMIFS(tblSafetyHistory[LTI],tblSafetyHistory[Month],"&gt;="&amp;EDATE($E212,-12),tblSafetyHistory[Month],"&lt;"&amp;cfg_YearStart))/(SUMIFS(tblSafety[Hours_Total],tblSafety[Date],"&gt;="&amp;EDATE($E212,-12),tblSafety[Date],"&lt;="&amp;$A212)+SUMIFS(tblSafetyHistory[Hours_Total],tblSafetyHistory[Month],"&gt;="&amp;EDATE($E212,-12),tblSafetyHistory[Month],"&lt;"&amp;cfg_YearStart))*1000000,"")</f>
        <v/>
      </c>
      <c r="HH212" s="62">
        <f>IF(MAX(N(cfg_PriorLTIDate),_xlfn.MAXIFS(tblSafety[Date],tblSafety[LTI],"&gt;0",tblSafety[Date],"&lt;="&amp;$A212))=0,"",$A212-MAX(N(cfg_PriorLTIDate),_xlfn.MAXIFS(tblSafety[Date],tblSafety[LTI],"&gt;0",tblSafety[Date],"&lt;="&amp;$A212)))</f>
        <v/>
      </c>
      <c r="HI212" s="55">
        <f>SUMIFS(tblBudget[Ore_Mined_t],tblBudget[Month],$E212)</f>
        <v/>
      </c>
      <c r="HJ212" s="55">
        <f>$HI212*$C212/$D212</f>
        <v/>
      </c>
      <c r="HK212" s="55">
        <f>SUMIFS(tblBudget[Ore_Mined_t],tblBudget[Month],"&lt;"&amp;$E212)+$HJ212</f>
        <v/>
      </c>
      <c r="HL212" s="55">
        <f>SUMIFS(tblBudget[Ore_oz],tblBudget[Month],$E212)</f>
        <v/>
      </c>
      <c r="HM212" s="55">
        <f>$HL212*$C212/$D212</f>
        <v/>
      </c>
      <c r="HN212" s="55">
        <f>SUMIFS(tblBudget[Ore_oz],tblBudget[Month],"&lt;"&amp;$E212)+$HM212</f>
        <v/>
      </c>
      <c r="HO212" s="56">
        <f>IFERROR(IF(($HI212)&gt;0,($HL212*cfg_TroyOz)/($HI212),""),"")</f>
        <v/>
      </c>
      <c r="HP212" s="56">
        <f>IFERROR(IF(($HJ212)&gt;0,($HM212*cfg_TroyOz)/($HJ212),""),"")</f>
        <v/>
      </c>
      <c r="HQ212" s="56">
        <f>IFERROR(IF(($HK212)&gt;0,($HN212*cfg_TroyOz)/($HK212),""),"")</f>
        <v/>
      </c>
      <c r="HR212" s="55">
        <f>SUMIFS(tblBudget[Waste_t],tblBudget[Month],$E212)</f>
        <v/>
      </c>
      <c r="HS212" s="55">
        <f>$HR212*$C212/$D212</f>
        <v/>
      </c>
      <c r="HT212" s="55">
        <f>SUMIFS(tblBudget[Waste_t],tblBudget[Month],"&lt;"&amp;$E212)+$HS212</f>
        <v/>
      </c>
      <c r="HU212" s="55">
        <f>SUMIFS(tblBudget[TMM_t],tblBudget[Month],$E212)</f>
        <v/>
      </c>
      <c r="HV212" s="55">
        <f>$HU212*$C212/$D212</f>
        <v/>
      </c>
      <c r="HW212" s="55">
        <f>SUMIFS(tblBudget[TMM_t],tblBudget[Month],"&lt;"&amp;$E212)+$HV212</f>
        <v/>
      </c>
      <c r="HX212" s="56">
        <f>IFERROR(IF(($HI212)&gt;0,($HR212)/($HI212),""),"")</f>
        <v/>
      </c>
      <c r="HY212" s="56">
        <f>IFERROR(IF(($HJ212)&gt;0,($HS212)/($HJ212),""),"")</f>
        <v/>
      </c>
      <c r="HZ212" s="56">
        <f>IFERROR(IF(($HK212)&gt;0,($HT212)/($HK212),""),"")</f>
        <v/>
      </c>
      <c r="IA212" s="55">
        <f>SUMIFS(tblBudget[Drill_m],tblBudget[Month],$E212)</f>
        <v/>
      </c>
      <c r="IB212" s="55">
        <f>$IA212*$C212/$D212</f>
        <v/>
      </c>
      <c r="IC212" s="55">
        <f>SUMIFS(tblBudget[Drill_m],tblBudget[Month],"&lt;"&amp;$E212)+$IB212</f>
        <v/>
      </c>
      <c r="ID212" s="55">
        <f>SUMIFS(tblBudget[Diesel_L],tblBudget[Month],$E212)</f>
        <v/>
      </c>
      <c r="IE212" s="55">
        <f>$ID212*$C212/$D212</f>
        <v/>
      </c>
      <c r="IF212" s="55">
        <f>SUMIFS(tblBudget[Diesel_L],tblBudget[Month],"&lt;"&amp;$E212)+$IE212</f>
        <v/>
      </c>
      <c r="IG212" s="55">
        <f>SUMIFS(tblBudget[Milled_t],tblBudget[Month],$E212)</f>
        <v/>
      </c>
      <c r="IH212" s="55">
        <f>$IG212*$C212/$D212</f>
        <v/>
      </c>
      <c r="II212" s="55">
        <f>SUMIFS(tblBudget[Milled_t],tblBudget[Month],"&lt;"&amp;$E212)+$IH212</f>
        <v/>
      </c>
      <c r="IJ212" s="55">
        <f>SUMIFS(tblBudget[Feed_oz],tblBudget[Month],$E212)</f>
        <v/>
      </c>
      <c r="IK212" s="55">
        <f>$IJ212*$C212/$D212</f>
        <v/>
      </c>
      <c r="IL212" s="55">
        <f>SUMIFS(tblBudget[Feed_oz],tblBudget[Month],"&lt;"&amp;$E212)+$IK212</f>
        <v/>
      </c>
      <c r="IM212" s="55">
        <f>SUMIFS(tblBudget[Recovered_oz],tblBudget[Month],$E212)</f>
        <v/>
      </c>
      <c r="IN212" s="55">
        <f>$IM212*$C212/$D212</f>
        <v/>
      </c>
      <c r="IO212" s="55">
        <f>SUMIFS(tblBudget[Recovered_oz],tblBudget[Month],"&lt;"&amp;$E212)+$IN212</f>
        <v/>
      </c>
      <c r="IP212" s="56">
        <f>IFERROR(IF(($IG212)&gt;0,($IJ212*cfg_TroyOz)/($IG212),""),"")</f>
        <v/>
      </c>
      <c r="IQ212" s="56">
        <f>IFERROR(IF(($IH212)&gt;0,($IK212*cfg_TroyOz)/($IH212),""),"")</f>
        <v/>
      </c>
      <c r="IR212" s="56">
        <f>IFERROR(IF(($II212)&gt;0,($IL212*cfg_TroyOz)/($II212),""),"")</f>
        <v/>
      </c>
      <c r="IS212" s="67">
        <f>IFERROR(IF(($IJ212)&gt;0,($IM212)/($IJ212),""),"")</f>
        <v/>
      </c>
      <c r="IT212" s="67">
        <f>IFERROR(IF(($IK212)&gt;0,($IN212)/($IK212),""),"")</f>
        <v/>
      </c>
      <c r="IU212" s="67">
        <f>IFERROR(IF(($IL212)&gt;0,($IO212)/($IL212),""),"")</f>
        <v/>
      </c>
      <c r="IV212" s="55">
        <f>SUMIFS(tblBudget[Gold_Poured_oz],tblBudget[Month],$E212)</f>
        <v/>
      </c>
      <c r="IW212" s="55">
        <f>$IV212*$C212/$D212</f>
        <v/>
      </c>
      <c r="IX212" s="55">
        <f>SUMIFS(tblBudget[Gold_Poured_oz],tblBudget[Month],"&lt;"&amp;$E212)+$IW212</f>
        <v/>
      </c>
      <c r="IY212" s="57">
        <f>SUMIFS(tblBudget[Hours_Worked],tblBudget[Month],$E212)</f>
        <v/>
      </c>
      <c r="IZ212" s="57">
        <f>$IY212*$C212/$D212</f>
        <v/>
      </c>
      <c r="JA212" s="57">
        <f>SUMIFS(tblBudget[Hours_Worked],tblBudget[Month],"&lt;"&amp;$E212)+$IZ212</f>
        <v/>
      </c>
    </row>
    <row r="213">
      <c r="A213" s="54" t="n">
        <v>46234</v>
      </c>
      <c r="B213">
        <f>MONTH($A213)</f>
        <v/>
      </c>
      <c r="C213">
        <f>DAY($A213)</f>
        <v/>
      </c>
      <c r="D213">
        <f>DAY(EOMONTH($A213,0))</f>
        <v/>
      </c>
      <c r="E213" s="54">
        <f>DATE(YEAR($A213),MONTH($A213),1)</f>
        <v/>
      </c>
      <c r="F213" s="55">
        <f>SUMIFS(tblMovement[Tonnes_t],tblMovement[Date],$A213,tblMovement[Is_Ore],1,tblMovement[Source_Type],"Pit")</f>
        <v/>
      </c>
      <c r="G213" s="55">
        <f>IF($B213=$B212,$G212,0)+$F213</f>
        <v/>
      </c>
      <c r="H213" s="55">
        <f>$H212+$F213</f>
        <v/>
      </c>
      <c r="I213" s="55">
        <f>SUMIFS(tblMovement[Ore_oz],tblMovement[Date],$A213,tblMovement[Source_Type],"Pit")</f>
        <v/>
      </c>
      <c r="J213" s="55">
        <f>IF($B213=$B212,$J212,0)+$I213</f>
        <v/>
      </c>
      <c r="K213" s="55">
        <f>$K212+$I213</f>
        <v/>
      </c>
      <c r="L213" s="56">
        <f>IFERROR(IF(($F213)&gt;0,($I213*cfg_TroyOz)/($F213),""),"")</f>
        <v/>
      </c>
      <c r="M213" s="56">
        <f>IFERROR(IF(($G213)&gt;0,($J213*cfg_TroyOz)/($G213),""),"")</f>
        <v/>
      </c>
      <c r="N213" s="56">
        <f>IFERROR(IF(($H213)&gt;0,($K213*cfg_TroyOz)/($H213),""),"")</f>
        <v/>
      </c>
      <c r="O213" s="55">
        <f>SUMIFS(tblMovement[Tonnes_t],tblMovement[Date],$A213,tblMovement[Is_Ore],0,tblMovement[Source_Type],"Pit")</f>
        <v/>
      </c>
      <c r="P213" s="55">
        <f>IF($B213=$B212,$P212,0)+$O213</f>
        <v/>
      </c>
      <c r="Q213" s="55">
        <f>$Q212+$O213</f>
        <v/>
      </c>
      <c r="R213" s="55">
        <f>$F213+$O213</f>
        <v/>
      </c>
      <c r="S213" s="55">
        <f>IF($B213=$B212,$S212,0)+$R213</f>
        <v/>
      </c>
      <c r="T213" s="55">
        <f>$T212+$R213</f>
        <v/>
      </c>
      <c r="U213" s="56">
        <f>IFERROR(IF(($F213)&gt;0,($O213)/($F213),""),"")</f>
        <v/>
      </c>
      <c r="V213" s="56">
        <f>IFERROR(IF(($G213)&gt;0,($P213)/($G213),""),"")</f>
        <v/>
      </c>
      <c r="W213" s="56">
        <f>IFERROR(IF(($H213)&gt;0,($Q213)/($H213),""),"")</f>
        <v/>
      </c>
      <c r="X213" s="55">
        <f>SUMIFS(tblMovement[Tonnes_t],tblMovement[Date],$A213,tblMovement[Source_Type],"Stockpile")</f>
        <v/>
      </c>
      <c r="Y213" s="55">
        <f>IF($B213=$B212,$Y212,0)+$X213</f>
        <v/>
      </c>
      <c r="Z213" s="55">
        <f>$Z212+$X213</f>
        <v/>
      </c>
      <c r="AA213" s="55">
        <f>SUMIFS(tblMiningDaily[Drill_m],tblMiningDaily[Date],$A213)</f>
        <v/>
      </c>
      <c r="AB213" s="55">
        <f>IF($B213=$B212,$AB212,0)+$AA213</f>
        <v/>
      </c>
      <c r="AC213" s="55">
        <f>$AC212+$AA213</f>
        <v/>
      </c>
      <c r="AD213" s="55">
        <f>SUMIFS(tblMiningDaily[Blast_t],tblMiningDaily[Date],$A213)</f>
        <v/>
      </c>
      <c r="AE213" s="55">
        <f>IF($B213=$B212,$AE212,0)+$AD213</f>
        <v/>
      </c>
      <c r="AF213" s="55">
        <f>$AF212+$AD213</f>
        <v/>
      </c>
      <c r="AG213" s="55">
        <f>SUMIFS(tblMiningDaily[Explosives_kg],tblMiningDaily[Date],$A213)</f>
        <v/>
      </c>
      <c r="AH213" s="55">
        <f>IF($B213=$B212,$AH212,0)+$AG213</f>
        <v/>
      </c>
      <c r="AI213" s="55">
        <f>$AI212+$AG213</f>
        <v/>
      </c>
      <c r="AJ213" s="56">
        <f>IFERROR(IF(($AD213)&gt;0,($AG213)/($AD213),""),"")</f>
        <v/>
      </c>
      <c r="AK213" s="56">
        <f>IFERROR(IF(($AE213)&gt;0,($AH213)/($AE213),""),"")</f>
        <v/>
      </c>
      <c r="AL213" s="56">
        <f>IFERROR(IF(($AF213)&gt;0,($AI213)/($AF213),""),"")</f>
        <v/>
      </c>
      <c r="AM213" s="55">
        <f>SUMIFS(tblMiningDaily[Diesel_L],tblMiningDaily[Date],$A213)</f>
        <v/>
      </c>
      <c r="AN213" s="55">
        <f>IF($B213=$B212,$AN212,0)+$AM213</f>
        <v/>
      </c>
      <c r="AO213" s="55">
        <f>$AO212+$AM213</f>
        <v/>
      </c>
      <c r="AP213" s="55">
        <f>SUMIFS(tblMiningDaily[Dewatering_m3],tblMiningDaily[Date],$A213)</f>
        <v/>
      </c>
      <c r="AQ213" s="55">
        <f>IF($B213=$B212,$AQ212,0)+$AP213</f>
        <v/>
      </c>
      <c r="AR213" s="55">
        <f>$AR212+$AP213</f>
        <v/>
      </c>
      <c r="AS213" s="57">
        <f>SUMIFS(tblFleet[Calendar_h],tblFleet[Date],$A213,tblFleet[Equipment_Class],"Excavator")</f>
        <v/>
      </c>
      <c r="AT213" s="57">
        <f>IF($B213=$B212,$AT212,0)+$AS213</f>
        <v/>
      </c>
      <c r="AU213" s="57">
        <f>$AU212+$AS213</f>
        <v/>
      </c>
      <c r="AV213" s="57">
        <f>SUMIFS(tblFleet[Available_h],tblFleet[Date],$A213,tblFleet[Equipment_Class],"Excavator")</f>
        <v/>
      </c>
      <c r="AW213" s="57">
        <f>IF($B213=$B212,$AW212,0)+$AV213</f>
        <v/>
      </c>
      <c r="AX213" s="57">
        <f>$AX212+$AV213</f>
        <v/>
      </c>
      <c r="AY213" s="57">
        <f>SUMIFS(tblFleet[Operating_h],tblFleet[Date],$A213,tblFleet[Equipment_Class],"Excavator")</f>
        <v/>
      </c>
      <c r="AZ213" s="57">
        <f>IF($B213=$B212,$AZ212,0)+$AY213</f>
        <v/>
      </c>
      <c r="BA213" s="57">
        <f>$BA212+$AY213</f>
        <v/>
      </c>
      <c r="BB213" s="67">
        <f>IFERROR(IF(($AS213)&gt;0,($AV213)/($AS213),""),"")</f>
        <v/>
      </c>
      <c r="BC213" s="67">
        <f>IFERROR(IF(($AT213)&gt;0,($AW213)/($AT213),""),"")</f>
        <v/>
      </c>
      <c r="BD213" s="67">
        <f>IFERROR(IF(($AU213)&gt;0,($AX213)/($AU213),""),"")</f>
        <v/>
      </c>
      <c r="BE213" s="67">
        <f>IFERROR(IF(($AV213)&gt;0,($AY213)/($AV213),""),"")</f>
        <v/>
      </c>
      <c r="BF213" s="67">
        <f>IFERROR(IF(($AW213)&gt;0,($AZ213)/($AW213),""),"")</f>
        <v/>
      </c>
      <c r="BG213" s="67">
        <f>IFERROR(IF(($AX213)&gt;0,($BA213)/($AX213),""),"")</f>
        <v/>
      </c>
      <c r="BH213" s="57">
        <f>SUMIFS(tblFleet[Calendar_h],tblFleet[Date],$A213,tblFleet[Equipment_Class],"Haul Truck")</f>
        <v/>
      </c>
      <c r="BI213" s="57">
        <f>IF($B213=$B212,$BI212,0)+$BH213</f>
        <v/>
      </c>
      <c r="BJ213" s="57">
        <f>$BJ212+$BH213</f>
        <v/>
      </c>
      <c r="BK213" s="57">
        <f>SUMIFS(tblFleet[Available_h],tblFleet[Date],$A213,tblFleet[Equipment_Class],"Haul Truck")</f>
        <v/>
      </c>
      <c r="BL213" s="57">
        <f>IF($B213=$B212,$BL212,0)+$BK213</f>
        <v/>
      </c>
      <c r="BM213" s="57">
        <f>$BM212+$BK213</f>
        <v/>
      </c>
      <c r="BN213" s="57">
        <f>SUMIFS(tblFleet[Operating_h],tblFleet[Date],$A213,tblFleet[Equipment_Class],"Haul Truck")</f>
        <v/>
      </c>
      <c r="BO213" s="57">
        <f>IF($B213=$B212,$BO212,0)+$BN213</f>
        <v/>
      </c>
      <c r="BP213" s="57">
        <f>$BP212+$BN213</f>
        <v/>
      </c>
      <c r="BQ213" s="67">
        <f>IFERROR(IF(($BH213)&gt;0,($BK213)/($BH213),""),"")</f>
        <v/>
      </c>
      <c r="BR213" s="67">
        <f>IFERROR(IF(($BI213)&gt;0,($BL213)/($BI213),""),"")</f>
        <v/>
      </c>
      <c r="BS213" s="67">
        <f>IFERROR(IF(($BJ213)&gt;0,($BM213)/($BJ213),""),"")</f>
        <v/>
      </c>
      <c r="BT213" s="67">
        <f>IFERROR(IF(($BK213)&gt;0,($BN213)/($BK213),""),"")</f>
        <v/>
      </c>
      <c r="BU213" s="67">
        <f>IFERROR(IF(($BL213)&gt;0,($BO213)/($BL213),""),"")</f>
        <v/>
      </c>
      <c r="BV213" s="67">
        <f>IFERROR(IF(($BM213)&gt;0,($BP213)/($BM213),""),"")</f>
        <v/>
      </c>
      <c r="BW213" s="55">
        <f>SUMIFS(tblPlant[Crushed_t],tblPlant[Date],$A213)</f>
        <v/>
      </c>
      <c r="BX213" s="55">
        <f>IF($B213=$B212,$BX212,0)+$BW213</f>
        <v/>
      </c>
      <c r="BY213" s="55">
        <f>$BY212+$BW213</f>
        <v/>
      </c>
      <c r="BZ213" s="55">
        <f>SUMIFS(tblPlant[Milled_t],tblPlant[Date],$A213)</f>
        <v/>
      </c>
      <c r="CA213" s="55">
        <f>IF($B213=$B212,$CA212,0)+$BZ213</f>
        <v/>
      </c>
      <c r="CB213" s="55">
        <f>$CB212+$BZ213</f>
        <v/>
      </c>
      <c r="CC213" s="55">
        <f>SUMIFS(tblPlant[Feed_oz],tblPlant[Date],$A213)</f>
        <v/>
      </c>
      <c r="CD213" s="55">
        <f>IF($B213=$B212,$CD212,0)+$CC213</f>
        <v/>
      </c>
      <c r="CE213" s="55">
        <f>$CE212+$CC213</f>
        <v/>
      </c>
      <c r="CF213" s="55">
        <f>SUMIFS(tblPlant[Tails_oz],tblPlant[Date],$A213)</f>
        <v/>
      </c>
      <c r="CG213" s="55">
        <f>IF($B213=$B212,$CG212,0)+$CF213</f>
        <v/>
      </c>
      <c r="CH213" s="55">
        <f>$CH212+$CF213</f>
        <v/>
      </c>
      <c r="CI213" s="55">
        <f>SUMIFS(tblPlant[Recovered_oz],tblPlant[Date],$A213)</f>
        <v/>
      </c>
      <c r="CJ213" s="55">
        <f>IF($B213=$B212,$CJ212,0)+$CI213</f>
        <v/>
      </c>
      <c r="CK213" s="55">
        <f>$CK212+$CI213</f>
        <v/>
      </c>
      <c r="CL213" s="56">
        <f>IFERROR(IF(($BZ213)&gt;0,($CC213*cfg_TroyOz)/($BZ213),""),"")</f>
        <v/>
      </c>
      <c r="CM213" s="56">
        <f>IFERROR(IF(($CA213)&gt;0,($CD213*cfg_TroyOz)/($CA213),""),"")</f>
        <v/>
      </c>
      <c r="CN213" s="56">
        <f>IFERROR(IF(($CB213)&gt;0,($CE213*cfg_TroyOz)/($CB213),""),"")</f>
        <v/>
      </c>
      <c r="CO213" s="56">
        <f>IFERROR(IF(($BZ213)&gt;0,($CF213*cfg_TroyOz)/($BZ213),""),"")</f>
        <v/>
      </c>
      <c r="CP213" s="56">
        <f>IFERROR(IF(($CA213)&gt;0,($CG213*cfg_TroyOz)/($CA213),""),"")</f>
        <v/>
      </c>
      <c r="CQ213" s="56">
        <f>IFERROR(IF(($CB213)&gt;0,($CH213*cfg_TroyOz)/($CB213),""),"")</f>
        <v/>
      </c>
      <c r="CR213" s="67">
        <f>IFERROR(IF(($CC213)&gt;0,($CI213)/($CC213),""),"")</f>
        <v/>
      </c>
      <c r="CS213" s="67">
        <f>IFERROR(IF(($CD213)&gt;0,($CJ213)/($CD213),""),"")</f>
        <v/>
      </c>
      <c r="CT213" s="67">
        <f>IFERROR(IF(($CE213)&gt;0,($CK213)/($CE213),""),"")</f>
        <v/>
      </c>
      <c r="CU213" s="55">
        <f>SUMIFS(tblPlant[Gravity_Gold_oz],tblPlant[Date],$A213)</f>
        <v/>
      </c>
      <c r="CV213" s="55">
        <f>IF($B213=$B212,$CV212,0)+$CU213</f>
        <v/>
      </c>
      <c r="CW213" s="55">
        <f>$CW212+$CU213</f>
        <v/>
      </c>
      <c r="CX213" s="55">
        <f>SUMIFS(tblPlant[Gold_Poured_oz],tblPlant[Date],$A213)</f>
        <v/>
      </c>
      <c r="CY213" s="55">
        <f>IF($B213=$B212,$CY212,0)+$CX213</f>
        <v/>
      </c>
      <c r="CZ213" s="55">
        <f>$CZ212+$CX213</f>
        <v/>
      </c>
      <c r="DA213" s="57">
        <f>SUMIFS(tblPlant[Mill_Run_h],tblPlant[Date],$A213)</f>
        <v/>
      </c>
      <c r="DB213" s="57">
        <f>IF($B213=$B212,$DB212,0)+$DA213</f>
        <v/>
      </c>
      <c r="DC213" s="57">
        <f>$DC212+$DA213</f>
        <v/>
      </c>
      <c r="DD213" s="57">
        <f>SUMIFS(tblPlant[Mill_Planned_Maint_h],tblPlant[Date],$A213)</f>
        <v/>
      </c>
      <c r="DE213" s="57">
        <f>IF($B213=$B212,$DE212,0)+$DD213</f>
        <v/>
      </c>
      <c r="DF213" s="57">
        <f>$DF212+$DD213</f>
        <v/>
      </c>
      <c r="DG213" s="57">
        <f>SUMIFS(tblPlant[Mill_Unplanned_Down_h],tblPlant[Date],$A213)</f>
        <v/>
      </c>
      <c r="DH213" s="57">
        <f>IF($B213=$B212,$DH212,0)+$DG213</f>
        <v/>
      </c>
      <c r="DI213" s="57">
        <f>$DI212+$DG213</f>
        <v/>
      </c>
      <c r="DJ213" s="57">
        <f>COUNTIFS(tblPlant[Date],$A213,tblPlant[Mill_Run_h],"&lt;&gt;")*24</f>
        <v/>
      </c>
      <c r="DK213" s="57">
        <f>IF($B213=$B212,$DK212,0)+$DJ213</f>
        <v/>
      </c>
      <c r="DL213" s="57">
        <f>$DL212+$DJ213</f>
        <v/>
      </c>
      <c r="DM213" s="57">
        <f>SUMIFS(tblPlant[Crusher_Run_h],tblPlant[Date],$A213)</f>
        <v/>
      </c>
      <c r="DN213" s="57">
        <f>IF($B213=$B212,$DN212,0)+$DM213</f>
        <v/>
      </c>
      <c r="DO213" s="57">
        <f>$DO212+$DM213</f>
        <v/>
      </c>
      <c r="DP213" s="55">
        <f>IFERROR(IF(($DA213)&gt;0,($BZ213)/($DA213),""),"")</f>
        <v/>
      </c>
      <c r="DQ213" s="55">
        <f>IFERROR(IF(($DB213)&gt;0,($CA213)/($DB213),""),"")</f>
        <v/>
      </c>
      <c r="DR213" s="55">
        <f>IFERROR(IF(($DC213)&gt;0,($CB213)/($DC213),""),"")</f>
        <v/>
      </c>
      <c r="DS213" s="67">
        <f>IFERROR(IF(($DJ213)&gt;0,($DJ213-$DD213-$DG213)/($DJ213),""),"")</f>
        <v/>
      </c>
      <c r="DT213" s="67">
        <f>IFERROR(IF(($DK213)&gt;0,($DK213-$DE213-$DH213)/($DK213),""),"")</f>
        <v/>
      </c>
      <c r="DU213" s="67">
        <f>IFERROR(IF(($DL213)&gt;0,($DL213-$DF213-$DI213)/($DL213),""),"")</f>
        <v/>
      </c>
      <c r="DV213" s="67">
        <f>IFERROR(IF(($DJ213-$DD213-$DG213)&gt;0,($DA213)/($DJ213-$DD213-$DG213),""),"")</f>
        <v/>
      </c>
      <c r="DW213" s="67">
        <f>IFERROR(IF(($DK213-$DE213-$DH213)&gt;0,($DB213)/($DK213-$DE213-$DH213),""),"")</f>
        <v/>
      </c>
      <c r="DX213" s="67">
        <f>IFERROR(IF(($DL213-$DF213-$DI213)&gt;0,($DC213)/($DL213-$DF213-$DI213),""),"")</f>
        <v/>
      </c>
      <c r="DY213" s="55">
        <f>SUMIFS(tblPlant[Cyanide_kg],tblPlant[Date],$A213)</f>
        <v/>
      </c>
      <c r="DZ213" s="55">
        <f>IF($B213=$B212,$DZ212,0)+$DY213</f>
        <v/>
      </c>
      <c r="EA213" s="55">
        <f>$EA212+$DY213</f>
        <v/>
      </c>
      <c r="EB213" s="55">
        <f>SUMIFS(tblPlant[Lime_kg],tblPlant[Date],$A213)</f>
        <v/>
      </c>
      <c r="EC213" s="55">
        <f>IF($B213=$B212,$EC212,0)+$EB213</f>
        <v/>
      </c>
      <c r="ED213" s="55">
        <f>$ED212+$EB213</f>
        <v/>
      </c>
      <c r="EE213" s="55">
        <f>SUMIFS(tblPlant[Grinding_Media_kg],tblPlant[Date],$A213)</f>
        <v/>
      </c>
      <c r="EF213" s="55">
        <f>IF($B213=$B212,$EF212,0)+$EE213</f>
        <v/>
      </c>
      <c r="EG213" s="55">
        <f>$EG212+$EE213</f>
        <v/>
      </c>
      <c r="EH213" s="55">
        <f>SUMIFS(tblPlant[Power_kWh],tblPlant[Date],$A213)</f>
        <v/>
      </c>
      <c r="EI213" s="55">
        <f>IF($B213=$B212,$EI212,0)+$EH213</f>
        <v/>
      </c>
      <c r="EJ213" s="55">
        <f>$EJ212+$EH213</f>
        <v/>
      </c>
      <c r="EK213" s="55">
        <f>SUMIFS(tblPlant[Raw_Water_m3],tblPlant[Date],$A213)</f>
        <v/>
      </c>
      <c r="EL213" s="55">
        <f>IF($B213=$B212,$EL212,0)+$EK213</f>
        <v/>
      </c>
      <c r="EM213" s="55">
        <f>$EM212+$EK213</f>
        <v/>
      </c>
      <c r="EN213" s="56">
        <f>IFERROR(IF(($BZ213)&gt;0,($DY213)/($BZ213),""),"")</f>
        <v/>
      </c>
      <c r="EO213" s="56">
        <f>IFERROR(IF(($CA213)&gt;0,($DZ213)/($CA213),""),"")</f>
        <v/>
      </c>
      <c r="EP213" s="56">
        <f>IFERROR(IF(($CB213)&gt;0,($EA213)/($CB213),""),"")</f>
        <v/>
      </c>
      <c r="EQ213" s="56">
        <f>IFERROR(IF(($BZ213)&gt;0,($EB213)/($BZ213),""),"")</f>
        <v/>
      </c>
      <c r="ER213" s="56">
        <f>IFERROR(IF(($CA213)&gt;0,($EC213)/($CA213),""),"")</f>
        <v/>
      </c>
      <c r="ES213" s="56">
        <f>IFERROR(IF(($CB213)&gt;0,($ED213)/($CB213),""),"")</f>
        <v/>
      </c>
      <c r="ET213" s="56">
        <f>IFERROR(IF(($BZ213)&gt;0,($EE213)/($BZ213),""),"")</f>
        <v/>
      </c>
      <c r="EU213" s="56">
        <f>IFERROR(IF(($CA213)&gt;0,($EF213)/($CA213),""),"")</f>
        <v/>
      </c>
      <c r="EV213" s="56">
        <f>IFERROR(IF(($CB213)&gt;0,($EG213)/($CB213),""),"")</f>
        <v/>
      </c>
      <c r="EW213" s="76">
        <f>IFERROR(IF(($BZ213)&gt;0,($EH213)/($BZ213),""),"")</f>
        <v/>
      </c>
      <c r="EX213" s="76">
        <f>IFERROR(IF(($CA213)&gt;0,($EI213)/($CA213),""),"")</f>
        <v/>
      </c>
      <c r="EY213" s="76">
        <f>IFERROR(IF(($CB213)&gt;0,($EJ213)/($CB213),""),"")</f>
        <v/>
      </c>
      <c r="EZ213" s="56">
        <f>IFERROR(IF(($BZ213)&gt;0,($EK213)/($BZ213),""),"")</f>
        <v/>
      </c>
      <c r="FA213" s="56">
        <f>IFERROR(IF(($CA213)&gt;0,($EL213)/($CA213),""),"")</f>
        <v/>
      </c>
      <c r="FB213" s="56">
        <f>IFERROR(IF(($CB213)&gt;0,($EM213)/($CB213),""),"")</f>
        <v/>
      </c>
      <c r="FC213" s="55">
        <f>IF(SUMIFS(tblPlant[GIC_oz],tblPlant[Date],$A213)&gt;0,SUMIFS(tblPlant[GIC_oz],tblPlant[Date],$A213),"")</f>
        <v/>
      </c>
      <c r="FD213" s="55">
        <f>SUMIFS(tblGold[Gold_oz],tblGold[Date],$A213,tblGold[Type],"Shipment")</f>
        <v/>
      </c>
      <c r="FE213" s="55">
        <f>IF($B213=$B212,$FE212,0)+$FD213</f>
        <v/>
      </c>
      <c r="FF213" s="55">
        <f>$FF212+$FD213</f>
        <v/>
      </c>
      <c r="FG213" s="55">
        <f>SUMIFS(tblGold[Gold_oz],tblGold[Date],$A213,tblGold[Type],"Sale")</f>
        <v/>
      </c>
      <c r="FH213" s="55">
        <f>IF($B213=$B212,$FH212,0)+$FG213</f>
        <v/>
      </c>
      <c r="FI213" s="55">
        <f>$FI212+$FG213</f>
        <v/>
      </c>
      <c r="FJ213" s="55">
        <f>SUMIFS(tblGold[Dore_kg],tblGold[Date],$A213,tblGold[Type],"Shipment")</f>
        <v/>
      </c>
      <c r="FK213" s="55">
        <f>IF($B213=$B212,$FK212,0)+$FJ213</f>
        <v/>
      </c>
      <c r="FL213" s="55">
        <f>$FL212+$FJ213</f>
        <v/>
      </c>
      <c r="FM213" s="57">
        <f>SUMIFS(tblSafety[Hours_Total],tblSafety[Date],$A213)</f>
        <v/>
      </c>
      <c r="FN213" s="57">
        <f>IF($B213=$B212,$FN212,0)+$FM213</f>
        <v/>
      </c>
      <c r="FO213" s="57">
        <f>$FO212+$FM213</f>
        <v/>
      </c>
      <c r="FP213" s="62">
        <f>SUMIFS(tblSafety[Fatality],tblSafety[Date],$A213)</f>
        <v/>
      </c>
      <c r="FQ213" s="62">
        <f>IF($B213=$B212,$FQ212,0)+$FP213</f>
        <v/>
      </c>
      <c r="FR213" s="62">
        <f>$FR212+$FP213</f>
        <v/>
      </c>
      <c r="FS213" s="62">
        <f>SUMIFS(tblSafety[LTI],tblSafety[Date],$A213)</f>
        <v/>
      </c>
      <c r="FT213" s="62">
        <f>IF($B213=$B212,$FT212,0)+$FS213</f>
        <v/>
      </c>
      <c r="FU213" s="62">
        <f>$FU212+$FS213</f>
        <v/>
      </c>
      <c r="FV213" s="62">
        <f>SUMIFS(tblSafety[RWI],tblSafety[Date],$A213)</f>
        <v/>
      </c>
      <c r="FW213" s="62">
        <f>IF($B213=$B212,$FW212,0)+$FV213</f>
        <v/>
      </c>
      <c r="FX213" s="62">
        <f>$FX212+$FV213</f>
        <v/>
      </c>
      <c r="FY213" s="62">
        <f>SUMIFS(tblSafety[MTI],tblSafety[Date],$A213)</f>
        <v/>
      </c>
      <c r="FZ213" s="62">
        <f>IF($B213=$B212,$FZ212,0)+$FY213</f>
        <v/>
      </c>
      <c r="GA213" s="62">
        <f>$GA212+$FY213</f>
        <v/>
      </c>
      <c r="GB213" s="62">
        <f>SUMIFS(tblSafety[FAI],tblSafety[Date],$A213)</f>
        <v/>
      </c>
      <c r="GC213" s="62">
        <f>IF($B213=$B212,$GC212,0)+$GB213</f>
        <v/>
      </c>
      <c r="GD213" s="62">
        <f>$GD212+$GB213</f>
        <v/>
      </c>
      <c r="GE213" s="62">
        <f>SUMIFS(tblSafety[Recordables],tblSafety[Date],$A213)</f>
        <v/>
      </c>
      <c r="GF213" s="62">
        <f>IF($B213=$B212,$GF212,0)+$GE213</f>
        <v/>
      </c>
      <c r="GG213" s="62">
        <f>$GG212+$GE213</f>
        <v/>
      </c>
      <c r="GH213" s="62">
        <f>SUMIFS(tblSafety[Near_Miss],tblSafety[Date],$A213)</f>
        <v/>
      </c>
      <c r="GI213" s="62">
        <f>IF($B213=$B212,$GI212,0)+$GH213</f>
        <v/>
      </c>
      <c r="GJ213" s="62">
        <f>$GJ212+$GH213</f>
        <v/>
      </c>
      <c r="GK213" s="62">
        <f>SUMIFS(tblSafety[Hazard_Reports],tblSafety[Date],$A213)</f>
        <v/>
      </c>
      <c r="GL213" s="62">
        <f>IF($B213=$B212,$GL212,0)+$GK213</f>
        <v/>
      </c>
      <c r="GM213" s="62">
        <f>$GM212+$GK213</f>
        <v/>
      </c>
      <c r="GN213" s="62">
        <f>SUMIFS(tblSafety[HPI],tblSafety[Date],$A213)</f>
        <v/>
      </c>
      <c r="GO213" s="62">
        <f>IF($B213=$B212,$GO212,0)+$GN213</f>
        <v/>
      </c>
      <c r="GP213" s="62">
        <f>$GP212+$GN213</f>
        <v/>
      </c>
      <c r="GQ213" s="62">
        <f>SUMIFS(tblSafety[Env_Incidents],tblSafety[Date],$A213)</f>
        <v/>
      </c>
      <c r="GR213" s="62">
        <f>IF($B213=$B212,$GR212,0)+$GQ213</f>
        <v/>
      </c>
      <c r="GS213" s="62">
        <f>$GS212+$GQ213</f>
        <v/>
      </c>
      <c r="GT213" s="62">
        <f>SUMIFS(tblSafety[Community_Incidents],tblSafety[Date],$A213)</f>
        <v/>
      </c>
      <c r="GU213" s="62">
        <f>IF($B213=$B212,$GU212,0)+$GT213</f>
        <v/>
      </c>
      <c r="GV213" s="62">
        <f>$GV212+$GT213</f>
        <v/>
      </c>
      <c r="GW213" s="62">
        <f>SUMIFS(tblSafety[Vehicle_Incidents],tblSafety[Date],$A213)</f>
        <v/>
      </c>
      <c r="GX213" s="62">
        <f>IF($B213=$B212,$GX212,0)+$GW213</f>
        <v/>
      </c>
      <c r="GY213" s="62">
        <f>$GY212+$GW213</f>
        <v/>
      </c>
      <c r="GZ213" s="62">
        <f>SUMIFS(tblSafety[Toolbox_Talks],tblSafety[Date],$A213)</f>
        <v/>
      </c>
      <c r="HA213" s="62">
        <f>IF($B213=$B212,$HA212,0)+$GZ213</f>
        <v/>
      </c>
      <c r="HB213" s="62">
        <f>$HB212+$GZ213</f>
        <v/>
      </c>
      <c r="HC213" s="62">
        <f>SUMIFS(tblSafety[Inspections],tblSafety[Date],$A213)</f>
        <v/>
      </c>
      <c r="HD213" s="62">
        <f>IF($B213=$B212,$HD212,0)+$HC213</f>
        <v/>
      </c>
      <c r="HE213" s="62">
        <f>$HE212+$HC213</f>
        <v/>
      </c>
      <c r="HF213" s="56">
        <f>IFERROR((SUMIFS(tblSafety[Recordables],tblSafety[Date],"&gt;="&amp;EDATE($E213,-12),tblSafety[Date],"&lt;="&amp;$A213)+SUMIFS(tblSafetyHistory[Recordables],tblSafetyHistory[Month],"&gt;="&amp;EDATE($E213,-12),tblSafetyHistory[Month],"&lt;"&amp;cfg_YearStart))/(SUMIFS(tblSafety[Hours_Total],tblSafety[Date],"&gt;="&amp;EDATE($E213,-12),tblSafety[Date],"&lt;="&amp;$A213)+SUMIFS(tblSafetyHistory[Hours_Total],tblSafetyHistory[Month],"&gt;="&amp;EDATE($E213,-12),tblSafetyHistory[Month],"&lt;"&amp;cfg_YearStart))*1000000,"")</f>
        <v/>
      </c>
      <c r="HG213" s="56">
        <f>IFERROR((SUMIFS(tblSafety[LTI],tblSafety[Date],"&gt;="&amp;EDATE($E213,-12),tblSafety[Date],"&lt;="&amp;$A213)+SUMIFS(tblSafetyHistory[LTI],tblSafetyHistory[Month],"&gt;="&amp;EDATE($E213,-12),tblSafetyHistory[Month],"&lt;"&amp;cfg_YearStart))/(SUMIFS(tblSafety[Hours_Total],tblSafety[Date],"&gt;="&amp;EDATE($E213,-12),tblSafety[Date],"&lt;="&amp;$A213)+SUMIFS(tblSafetyHistory[Hours_Total],tblSafetyHistory[Month],"&gt;="&amp;EDATE($E213,-12),tblSafetyHistory[Month],"&lt;"&amp;cfg_YearStart))*1000000,"")</f>
        <v/>
      </c>
      <c r="HH213" s="62">
        <f>IF(MAX(N(cfg_PriorLTIDate),_xlfn.MAXIFS(tblSafety[Date],tblSafety[LTI],"&gt;0",tblSafety[Date],"&lt;="&amp;$A213))=0,"",$A213-MAX(N(cfg_PriorLTIDate),_xlfn.MAXIFS(tblSafety[Date],tblSafety[LTI],"&gt;0",tblSafety[Date],"&lt;="&amp;$A213)))</f>
        <v/>
      </c>
      <c r="HI213" s="55">
        <f>SUMIFS(tblBudget[Ore_Mined_t],tblBudget[Month],$E213)</f>
        <v/>
      </c>
      <c r="HJ213" s="55">
        <f>$HI213*$C213/$D213</f>
        <v/>
      </c>
      <c r="HK213" s="55">
        <f>SUMIFS(tblBudget[Ore_Mined_t],tblBudget[Month],"&lt;"&amp;$E213)+$HJ213</f>
        <v/>
      </c>
      <c r="HL213" s="55">
        <f>SUMIFS(tblBudget[Ore_oz],tblBudget[Month],$E213)</f>
        <v/>
      </c>
      <c r="HM213" s="55">
        <f>$HL213*$C213/$D213</f>
        <v/>
      </c>
      <c r="HN213" s="55">
        <f>SUMIFS(tblBudget[Ore_oz],tblBudget[Month],"&lt;"&amp;$E213)+$HM213</f>
        <v/>
      </c>
      <c r="HO213" s="56">
        <f>IFERROR(IF(($HI213)&gt;0,($HL213*cfg_TroyOz)/($HI213),""),"")</f>
        <v/>
      </c>
      <c r="HP213" s="56">
        <f>IFERROR(IF(($HJ213)&gt;0,($HM213*cfg_TroyOz)/($HJ213),""),"")</f>
        <v/>
      </c>
      <c r="HQ213" s="56">
        <f>IFERROR(IF(($HK213)&gt;0,($HN213*cfg_TroyOz)/($HK213),""),"")</f>
        <v/>
      </c>
      <c r="HR213" s="55">
        <f>SUMIFS(tblBudget[Waste_t],tblBudget[Month],$E213)</f>
        <v/>
      </c>
      <c r="HS213" s="55">
        <f>$HR213*$C213/$D213</f>
        <v/>
      </c>
      <c r="HT213" s="55">
        <f>SUMIFS(tblBudget[Waste_t],tblBudget[Month],"&lt;"&amp;$E213)+$HS213</f>
        <v/>
      </c>
      <c r="HU213" s="55">
        <f>SUMIFS(tblBudget[TMM_t],tblBudget[Month],$E213)</f>
        <v/>
      </c>
      <c r="HV213" s="55">
        <f>$HU213*$C213/$D213</f>
        <v/>
      </c>
      <c r="HW213" s="55">
        <f>SUMIFS(tblBudget[TMM_t],tblBudget[Month],"&lt;"&amp;$E213)+$HV213</f>
        <v/>
      </c>
      <c r="HX213" s="56">
        <f>IFERROR(IF(($HI213)&gt;0,($HR213)/($HI213),""),"")</f>
        <v/>
      </c>
      <c r="HY213" s="56">
        <f>IFERROR(IF(($HJ213)&gt;0,($HS213)/($HJ213),""),"")</f>
        <v/>
      </c>
      <c r="HZ213" s="56">
        <f>IFERROR(IF(($HK213)&gt;0,($HT213)/($HK213),""),"")</f>
        <v/>
      </c>
      <c r="IA213" s="55">
        <f>SUMIFS(tblBudget[Drill_m],tblBudget[Month],$E213)</f>
        <v/>
      </c>
      <c r="IB213" s="55">
        <f>$IA213*$C213/$D213</f>
        <v/>
      </c>
      <c r="IC213" s="55">
        <f>SUMIFS(tblBudget[Drill_m],tblBudget[Month],"&lt;"&amp;$E213)+$IB213</f>
        <v/>
      </c>
      <c r="ID213" s="55">
        <f>SUMIFS(tblBudget[Diesel_L],tblBudget[Month],$E213)</f>
        <v/>
      </c>
      <c r="IE213" s="55">
        <f>$ID213*$C213/$D213</f>
        <v/>
      </c>
      <c r="IF213" s="55">
        <f>SUMIFS(tblBudget[Diesel_L],tblBudget[Month],"&lt;"&amp;$E213)+$IE213</f>
        <v/>
      </c>
      <c r="IG213" s="55">
        <f>SUMIFS(tblBudget[Milled_t],tblBudget[Month],$E213)</f>
        <v/>
      </c>
      <c r="IH213" s="55">
        <f>$IG213*$C213/$D213</f>
        <v/>
      </c>
      <c r="II213" s="55">
        <f>SUMIFS(tblBudget[Milled_t],tblBudget[Month],"&lt;"&amp;$E213)+$IH213</f>
        <v/>
      </c>
      <c r="IJ213" s="55">
        <f>SUMIFS(tblBudget[Feed_oz],tblBudget[Month],$E213)</f>
        <v/>
      </c>
      <c r="IK213" s="55">
        <f>$IJ213*$C213/$D213</f>
        <v/>
      </c>
      <c r="IL213" s="55">
        <f>SUMIFS(tblBudget[Feed_oz],tblBudget[Month],"&lt;"&amp;$E213)+$IK213</f>
        <v/>
      </c>
      <c r="IM213" s="55">
        <f>SUMIFS(tblBudget[Recovered_oz],tblBudget[Month],$E213)</f>
        <v/>
      </c>
      <c r="IN213" s="55">
        <f>$IM213*$C213/$D213</f>
        <v/>
      </c>
      <c r="IO213" s="55">
        <f>SUMIFS(tblBudget[Recovered_oz],tblBudget[Month],"&lt;"&amp;$E213)+$IN213</f>
        <v/>
      </c>
      <c r="IP213" s="56">
        <f>IFERROR(IF(($IG213)&gt;0,($IJ213*cfg_TroyOz)/($IG213),""),"")</f>
        <v/>
      </c>
      <c r="IQ213" s="56">
        <f>IFERROR(IF(($IH213)&gt;0,($IK213*cfg_TroyOz)/($IH213),""),"")</f>
        <v/>
      </c>
      <c r="IR213" s="56">
        <f>IFERROR(IF(($II213)&gt;0,($IL213*cfg_TroyOz)/($II213),""),"")</f>
        <v/>
      </c>
      <c r="IS213" s="67">
        <f>IFERROR(IF(($IJ213)&gt;0,($IM213)/($IJ213),""),"")</f>
        <v/>
      </c>
      <c r="IT213" s="67">
        <f>IFERROR(IF(($IK213)&gt;0,($IN213)/($IK213),""),"")</f>
        <v/>
      </c>
      <c r="IU213" s="67">
        <f>IFERROR(IF(($IL213)&gt;0,($IO213)/($IL213),""),"")</f>
        <v/>
      </c>
      <c r="IV213" s="55">
        <f>SUMIFS(tblBudget[Gold_Poured_oz],tblBudget[Month],$E213)</f>
        <v/>
      </c>
      <c r="IW213" s="55">
        <f>$IV213*$C213/$D213</f>
        <v/>
      </c>
      <c r="IX213" s="55">
        <f>SUMIFS(tblBudget[Gold_Poured_oz],tblBudget[Month],"&lt;"&amp;$E213)+$IW213</f>
        <v/>
      </c>
      <c r="IY213" s="57">
        <f>SUMIFS(tblBudget[Hours_Worked],tblBudget[Month],$E213)</f>
        <v/>
      </c>
      <c r="IZ213" s="57">
        <f>$IY213*$C213/$D213</f>
        <v/>
      </c>
      <c r="JA213" s="57">
        <f>SUMIFS(tblBudget[Hours_Worked],tblBudget[Month],"&lt;"&amp;$E213)+$IZ213</f>
        <v/>
      </c>
    </row>
    <row r="214">
      <c r="A214" s="54" t="n">
        <v>46235</v>
      </c>
      <c r="B214">
        <f>MONTH($A214)</f>
        <v/>
      </c>
      <c r="C214">
        <f>DAY($A214)</f>
        <v/>
      </c>
      <c r="D214">
        <f>DAY(EOMONTH($A214,0))</f>
        <v/>
      </c>
      <c r="E214" s="54">
        <f>DATE(YEAR($A214),MONTH($A214),1)</f>
        <v/>
      </c>
      <c r="F214" s="55">
        <f>SUMIFS(tblMovement[Tonnes_t],tblMovement[Date],$A214,tblMovement[Is_Ore],1,tblMovement[Source_Type],"Pit")</f>
        <v/>
      </c>
      <c r="G214" s="55">
        <f>IF($B214=$B213,$G213,0)+$F214</f>
        <v/>
      </c>
      <c r="H214" s="55">
        <f>$H213+$F214</f>
        <v/>
      </c>
      <c r="I214" s="55">
        <f>SUMIFS(tblMovement[Ore_oz],tblMovement[Date],$A214,tblMovement[Source_Type],"Pit")</f>
        <v/>
      </c>
      <c r="J214" s="55">
        <f>IF($B214=$B213,$J213,0)+$I214</f>
        <v/>
      </c>
      <c r="K214" s="55">
        <f>$K213+$I214</f>
        <v/>
      </c>
      <c r="L214" s="56">
        <f>IFERROR(IF(($F214)&gt;0,($I214*cfg_TroyOz)/($F214),""),"")</f>
        <v/>
      </c>
      <c r="M214" s="56">
        <f>IFERROR(IF(($G214)&gt;0,($J214*cfg_TroyOz)/($G214),""),"")</f>
        <v/>
      </c>
      <c r="N214" s="56">
        <f>IFERROR(IF(($H214)&gt;0,($K214*cfg_TroyOz)/($H214),""),"")</f>
        <v/>
      </c>
      <c r="O214" s="55">
        <f>SUMIFS(tblMovement[Tonnes_t],tblMovement[Date],$A214,tblMovement[Is_Ore],0,tblMovement[Source_Type],"Pit")</f>
        <v/>
      </c>
      <c r="P214" s="55">
        <f>IF($B214=$B213,$P213,0)+$O214</f>
        <v/>
      </c>
      <c r="Q214" s="55">
        <f>$Q213+$O214</f>
        <v/>
      </c>
      <c r="R214" s="55">
        <f>$F214+$O214</f>
        <v/>
      </c>
      <c r="S214" s="55">
        <f>IF($B214=$B213,$S213,0)+$R214</f>
        <v/>
      </c>
      <c r="T214" s="55">
        <f>$T213+$R214</f>
        <v/>
      </c>
      <c r="U214" s="56">
        <f>IFERROR(IF(($F214)&gt;0,($O214)/($F214),""),"")</f>
        <v/>
      </c>
      <c r="V214" s="56">
        <f>IFERROR(IF(($G214)&gt;0,($P214)/($G214),""),"")</f>
        <v/>
      </c>
      <c r="W214" s="56">
        <f>IFERROR(IF(($H214)&gt;0,($Q214)/($H214),""),"")</f>
        <v/>
      </c>
      <c r="X214" s="55">
        <f>SUMIFS(tblMovement[Tonnes_t],tblMovement[Date],$A214,tblMovement[Source_Type],"Stockpile")</f>
        <v/>
      </c>
      <c r="Y214" s="55">
        <f>IF($B214=$B213,$Y213,0)+$X214</f>
        <v/>
      </c>
      <c r="Z214" s="55">
        <f>$Z213+$X214</f>
        <v/>
      </c>
      <c r="AA214" s="55">
        <f>SUMIFS(tblMiningDaily[Drill_m],tblMiningDaily[Date],$A214)</f>
        <v/>
      </c>
      <c r="AB214" s="55">
        <f>IF($B214=$B213,$AB213,0)+$AA214</f>
        <v/>
      </c>
      <c r="AC214" s="55">
        <f>$AC213+$AA214</f>
        <v/>
      </c>
      <c r="AD214" s="55">
        <f>SUMIFS(tblMiningDaily[Blast_t],tblMiningDaily[Date],$A214)</f>
        <v/>
      </c>
      <c r="AE214" s="55">
        <f>IF($B214=$B213,$AE213,0)+$AD214</f>
        <v/>
      </c>
      <c r="AF214" s="55">
        <f>$AF213+$AD214</f>
        <v/>
      </c>
      <c r="AG214" s="55">
        <f>SUMIFS(tblMiningDaily[Explosives_kg],tblMiningDaily[Date],$A214)</f>
        <v/>
      </c>
      <c r="AH214" s="55">
        <f>IF($B214=$B213,$AH213,0)+$AG214</f>
        <v/>
      </c>
      <c r="AI214" s="55">
        <f>$AI213+$AG214</f>
        <v/>
      </c>
      <c r="AJ214" s="56">
        <f>IFERROR(IF(($AD214)&gt;0,($AG214)/($AD214),""),"")</f>
        <v/>
      </c>
      <c r="AK214" s="56">
        <f>IFERROR(IF(($AE214)&gt;0,($AH214)/($AE214),""),"")</f>
        <v/>
      </c>
      <c r="AL214" s="56">
        <f>IFERROR(IF(($AF214)&gt;0,($AI214)/($AF214),""),"")</f>
        <v/>
      </c>
      <c r="AM214" s="55">
        <f>SUMIFS(tblMiningDaily[Diesel_L],tblMiningDaily[Date],$A214)</f>
        <v/>
      </c>
      <c r="AN214" s="55">
        <f>IF($B214=$B213,$AN213,0)+$AM214</f>
        <v/>
      </c>
      <c r="AO214" s="55">
        <f>$AO213+$AM214</f>
        <v/>
      </c>
      <c r="AP214" s="55">
        <f>SUMIFS(tblMiningDaily[Dewatering_m3],tblMiningDaily[Date],$A214)</f>
        <v/>
      </c>
      <c r="AQ214" s="55">
        <f>IF($B214=$B213,$AQ213,0)+$AP214</f>
        <v/>
      </c>
      <c r="AR214" s="55">
        <f>$AR213+$AP214</f>
        <v/>
      </c>
      <c r="AS214" s="57">
        <f>SUMIFS(tblFleet[Calendar_h],tblFleet[Date],$A214,tblFleet[Equipment_Class],"Excavator")</f>
        <v/>
      </c>
      <c r="AT214" s="57">
        <f>IF($B214=$B213,$AT213,0)+$AS214</f>
        <v/>
      </c>
      <c r="AU214" s="57">
        <f>$AU213+$AS214</f>
        <v/>
      </c>
      <c r="AV214" s="57">
        <f>SUMIFS(tblFleet[Available_h],tblFleet[Date],$A214,tblFleet[Equipment_Class],"Excavator")</f>
        <v/>
      </c>
      <c r="AW214" s="57">
        <f>IF($B214=$B213,$AW213,0)+$AV214</f>
        <v/>
      </c>
      <c r="AX214" s="57">
        <f>$AX213+$AV214</f>
        <v/>
      </c>
      <c r="AY214" s="57">
        <f>SUMIFS(tblFleet[Operating_h],tblFleet[Date],$A214,tblFleet[Equipment_Class],"Excavator")</f>
        <v/>
      </c>
      <c r="AZ214" s="57">
        <f>IF($B214=$B213,$AZ213,0)+$AY214</f>
        <v/>
      </c>
      <c r="BA214" s="57">
        <f>$BA213+$AY214</f>
        <v/>
      </c>
      <c r="BB214" s="67">
        <f>IFERROR(IF(($AS214)&gt;0,($AV214)/($AS214),""),"")</f>
        <v/>
      </c>
      <c r="BC214" s="67">
        <f>IFERROR(IF(($AT214)&gt;0,($AW214)/($AT214),""),"")</f>
        <v/>
      </c>
      <c r="BD214" s="67">
        <f>IFERROR(IF(($AU214)&gt;0,($AX214)/($AU214),""),"")</f>
        <v/>
      </c>
      <c r="BE214" s="67">
        <f>IFERROR(IF(($AV214)&gt;0,($AY214)/($AV214),""),"")</f>
        <v/>
      </c>
      <c r="BF214" s="67">
        <f>IFERROR(IF(($AW214)&gt;0,($AZ214)/($AW214),""),"")</f>
        <v/>
      </c>
      <c r="BG214" s="67">
        <f>IFERROR(IF(($AX214)&gt;0,($BA214)/($AX214),""),"")</f>
        <v/>
      </c>
      <c r="BH214" s="57">
        <f>SUMIFS(tblFleet[Calendar_h],tblFleet[Date],$A214,tblFleet[Equipment_Class],"Haul Truck")</f>
        <v/>
      </c>
      <c r="BI214" s="57">
        <f>IF($B214=$B213,$BI213,0)+$BH214</f>
        <v/>
      </c>
      <c r="BJ214" s="57">
        <f>$BJ213+$BH214</f>
        <v/>
      </c>
      <c r="BK214" s="57">
        <f>SUMIFS(tblFleet[Available_h],tblFleet[Date],$A214,tblFleet[Equipment_Class],"Haul Truck")</f>
        <v/>
      </c>
      <c r="BL214" s="57">
        <f>IF($B214=$B213,$BL213,0)+$BK214</f>
        <v/>
      </c>
      <c r="BM214" s="57">
        <f>$BM213+$BK214</f>
        <v/>
      </c>
      <c r="BN214" s="57">
        <f>SUMIFS(tblFleet[Operating_h],tblFleet[Date],$A214,tblFleet[Equipment_Class],"Haul Truck")</f>
        <v/>
      </c>
      <c r="BO214" s="57">
        <f>IF($B214=$B213,$BO213,0)+$BN214</f>
        <v/>
      </c>
      <c r="BP214" s="57">
        <f>$BP213+$BN214</f>
        <v/>
      </c>
      <c r="BQ214" s="67">
        <f>IFERROR(IF(($BH214)&gt;0,($BK214)/($BH214),""),"")</f>
        <v/>
      </c>
      <c r="BR214" s="67">
        <f>IFERROR(IF(($BI214)&gt;0,($BL214)/($BI214),""),"")</f>
        <v/>
      </c>
      <c r="BS214" s="67">
        <f>IFERROR(IF(($BJ214)&gt;0,($BM214)/($BJ214),""),"")</f>
        <v/>
      </c>
      <c r="BT214" s="67">
        <f>IFERROR(IF(($BK214)&gt;0,($BN214)/($BK214),""),"")</f>
        <v/>
      </c>
      <c r="BU214" s="67">
        <f>IFERROR(IF(($BL214)&gt;0,($BO214)/($BL214),""),"")</f>
        <v/>
      </c>
      <c r="BV214" s="67">
        <f>IFERROR(IF(($BM214)&gt;0,($BP214)/($BM214),""),"")</f>
        <v/>
      </c>
      <c r="BW214" s="55">
        <f>SUMIFS(tblPlant[Crushed_t],tblPlant[Date],$A214)</f>
        <v/>
      </c>
      <c r="BX214" s="55">
        <f>IF($B214=$B213,$BX213,0)+$BW214</f>
        <v/>
      </c>
      <c r="BY214" s="55">
        <f>$BY213+$BW214</f>
        <v/>
      </c>
      <c r="BZ214" s="55">
        <f>SUMIFS(tblPlant[Milled_t],tblPlant[Date],$A214)</f>
        <v/>
      </c>
      <c r="CA214" s="55">
        <f>IF($B214=$B213,$CA213,0)+$BZ214</f>
        <v/>
      </c>
      <c r="CB214" s="55">
        <f>$CB213+$BZ214</f>
        <v/>
      </c>
      <c r="CC214" s="55">
        <f>SUMIFS(tblPlant[Feed_oz],tblPlant[Date],$A214)</f>
        <v/>
      </c>
      <c r="CD214" s="55">
        <f>IF($B214=$B213,$CD213,0)+$CC214</f>
        <v/>
      </c>
      <c r="CE214" s="55">
        <f>$CE213+$CC214</f>
        <v/>
      </c>
      <c r="CF214" s="55">
        <f>SUMIFS(tblPlant[Tails_oz],tblPlant[Date],$A214)</f>
        <v/>
      </c>
      <c r="CG214" s="55">
        <f>IF($B214=$B213,$CG213,0)+$CF214</f>
        <v/>
      </c>
      <c r="CH214" s="55">
        <f>$CH213+$CF214</f>
        <v/>
      </c>
      <c r="CI214" s="55">
        <f>SUMIFS(tblPlant[Recovered_oz],tblPlant[Date],$A214)</f>
        <v/>
      </c>
      <c r="CJ214" s="55">
        <f>IF($B214=$B213,$CJ213,0)+$CI214</f>
        <v/>
      </c>
      <c r="CK214" s="55">
        <f>$CK213+$CI214</f>
        <v/>
      </c>
      <c r="CL214" s="56">
        <f>IFERROR(IF(($BZ214)&gt;0,($CC214*cfg_TroyOz)/($BZ214),""),"")</f>
        <v/>
      </c>
      <c r="CM214" s="56">
        <f>IFERROR(IF(($CA214)&gt;0,($CD214*cfg_TroyOz)/($CA214),""),"")</f>
        <v/>
      </c>
      <c r="CN214" s="56">
        <f>IFERROR(IF(($CB214)&gt;0,($CE214*cfg_TroyOz)/($CB214),""),"")</f>
        <v/>
      </c>
      <c r="CO214" s="56">
        <f>IFERROR(IF(($BZ214)&gt;0,($CF214*cfg_TroyOz)/($BZ214),""),"")</f>
        <v/>
      </c>
      <c r="CP214" s="56">
        <f>IFERROR(IF(($CA214)&gt;0,($CG214*cfg_TroyOz)/($CA214),""),"")</f>
        <v/>
      </c>
      <c r="CQ214" s="56">
        <f>IFERROR(IF(($CB214)&gt;0,($CH214*cfg_TroyOz)/($CB214),""),"")</f>
        <v/>
      </c>
      <c r="CR214" s="67">
        <f>IFERROR(IF(($CC214)&gt;0,($CI214)/($CC214),""),"")</f>
        <v/>
      </c>
      <c r="CS214" s="67">
        <f>IFERROR(IF(($CD214)&gt;0,($CJ214)/($CD214),""),"")</f>
        <v/>
      </c>
      <c r="CT214" s="67">
        <f>IFERROR(IF(($CE214)&gt;0,($CK214)/($CE214),""),"")</f>
        <v/>
      </c>
      <c r="CU214" s="55">
        <f>SUMIFS(tblPlant[Gravity_Gold_oz],tblPlant[Date],$A214)</f>
        <v/>
      </c>
      <c r="CV214" s="55">
        <f>IF($B214=$B213,$CV213,0)+$CU214</f>
        <v/>
      </c>
      <c r="CW214" s="55">
        <f>$CW213+$CU214</f>
        <v/>
      </c>
      <c r="CX214" s="55">
        <f>SUMIFS(tblPlant[Gold_Poured_oz],tblPlant[Date],$A214)</f>
        <v/>
      </c>
      <c r="CY214" s="55">
        <f>IF($B214=$B213,$CY213,0)+$CX214</f>
        <v/>
      </c>
      <c r="CZ214" s="55">
        <f>$CZ213+$CX214</f>
        <v/>
      </c>
      <c r="DA214" s="57">
        <f>SUMIFS(tblPlant[Mill_Run_h],tblPlant[Date],$A214)</f>
        <v/>
      </c>
      <c r="DB214" s="57">
        <f>IF($B214=$B213,$DB213,0)+$DA214</f>
        <v/>
      </c>
      <c r="DC214" s="57">
        <f>$DC213+$DA214</f>
        <v/>
      </c>
      <c r="DD214" s="57">
        <f>SUMIFS(tblPlant[Mill_Planned_Maint_h],tblPlant[Date],$A214)</f>
        <v/>
      </c>
      <c r="DE214" s="57">
        <f>IF($B214=$B213,$DE213,0)+$DD214</f>
        <v/>
      </c>
      <c r="DF214" s="57">
        <f>$DF213+$DD214</f>
        <v/>
      </c>
      <c r="DG214" s="57">
        <f>SUMIFS(tblPlant[Mill_Unplanned_Down_h],tblPlant[Date],$A214)</f>
        <v/>
      </c>
      <c r="DH214" s="57">
        <f>IF($B214=$B213,$DH213,0)+$DG214</f>
        <v/>
      </c>
      <c r="DI214" s="57">
        <f>$DI213+$DG214</f>
        <v/>
      </c>
      <c r="DJ214" s="57">
        <f>COUNTIFS(tblPlant[Date],$A214,tblPlant[Mill_Run_h],"&lt;&gt;")*24</f>
        <v/>
      </c>
      <c r="DK214" s="57">
        <f>IF($B214=$B213,$DK213,0)+$DJ214</f>
        <v/>
      </c>
      <c r="DL214" s="57">
        <f>$DL213+$DJ214</f>
        <v/>
      </c>
      <c r="DM214" s="57">
        <f>SUMIFS(tblPlant[Crusher_Run_h],tblPlant[Date],$A214)</f>
        <v/>
      </c>
      <c r="DN214" s="57">
        <f>IF($B214=$B213,$DN213,0)+$DM214</f>
        <v/>
      </c>
      <c r="DO214" s="57">
        <f>$DO213+$DM214</f>
        <v/>
      </c>
      <c r="DP214" s="55">
        <f>IFERROR(IF(($DA214)&gt;0,($BZ214)/($DA214),""),"")</f>
        <v/>
      </c>
      <c r="DQ214" s="55">
        <f>IFERROR(IF(($DB214)&gt;0,($CA214)/($DB214),""),"")</f>
        <v/>
      </c>
      <c r="DR214" s="55">
        <f>IFERROR(IF(($DC214)&gt;0,($CB214)/($DC214),""),"")</f>
        <v/>
      </c>
      <c r="DS214" s="67">
        <f>IFERROR(IF(($DJ214)&gt;0,($DJ214-$DD214-$DG214)/($DJ214),""),"")</f>
        <v/>
      </c>
      <c r="DT214" s="67">
        <f>IFERROR(IF(($DK214)&gt;0,($DK214-$DE214-$DH214)/($DK214),""),"")</f>
        <v/>
      </c>
      <c r="DU214" s="67">
        <f>IFERROR(IF(($DL214)&gt;0,($DL214-$DF214-$DI214)/($DL214),""),"")</f>
        <v/>
      </c>
      <c r="DV214" s="67">
        <f>IFERROR(IF(($DJ214-$DD214-$DG214)&gt;0,($DA214)/($DJ214-$DD214-$DG214),""),"")</f>
        <v/>
      </c>
      <c r="DW214" s="67">
        <f>IFERROR(IF(($DK214-$DE214-$DH214)&gt;0,($DB214)/($DK214-$DE214-$DH214),""),"")</f>
        <v/>
      </c>
      <c r="DX214" s="67">
        <f>IFERROR(IF(($DL214-$DF214-$DI214)&gt;0,($DC214)/($DL214-$DF214-$DI214),""),"")</f>
        <v/>
      </c>
      <c r="DY214" s="55">
        <f>SUMIFS(tblPlant[Cyanide_kg],tblPlant[Date],$A214)</f>
        <v/>
      </c>
      <c r="DZ214" s="55">
        <f>IF($B214=$B213,$DZ213,0)+$DY214</f>
        <v/>
      </c>
      <c r="EA214" s="55">
        <f>$EA213+$DY214</f>
        <v/>
      </c>
      <c r="EB214" s="55">
        <f>SUMIFS(tblPlant[Lime_kg],tblPlant[Date],$A214)</f>
        <v/>
      </c>
      <c r="EC214" s="55">
        <f>IF($B214=$B213,$EC213,0)+$EB214</f>
        <v/>
      </c>
      <c r="ED214" s="55">
        <f>$ED213+$EB214</f>
        <v/>
      </c>
      <c r="EE214" s="55">
        <f>SUMIFS(tblPlant[Grinding_Media_kg],tblPlant[Date],$A214)</f>
        <v/>
      </c>
      <c r="EF214" s="55">
        <f>IF($B214=$B213,$EF213,0)+$EE214</f>
        <v/>
      </c>
      <c r="EG214" s="55">
        <f>$EG213+$EE214</f>
        <v/>
      </c>
      <c r="EH214" s="55">
        <f>SUMIFS(tblPlant[Power_kWh],tblPlant[Date],$A214)</f>
        <v/>
      </c>
      <c r="EI214" s="55">
        <f>IF($B214=$B213,$EI213,0)+$EH214</f>
        <v/>
      </c>
      <c r="EJ214" s="55">
        <f>$EJ213+$EH214</f>
        <v/>
      </c>
      <c r="EK214" s="55">
        <f>SUMIFS(tblPlant[Raw_Water_m3],tblPlant[Date],$A214)</f>
        <v/>
      </c>
      <c r="EL214" s="55">
        <f>IF($B214=$B213,$EL213,0)+$EK214</f>
        <v/>
      </c>
      <c r="EM214" s="55">
        <f>$EM213+$EK214</f>
        <v/>
      </c>
      <c r="EN214" s="56">
        <f>IFERROR(IF(($BZ214)&gt;0,($DY214)/($BZ214),""),"")</f>
        <v/>
      </c>
      <c r="EO214" s="56">
        <f>IFERROR(IF(($CA214)&gt;0,($DZ214)/($CA214),""),"")</f>
        <v/>
      </c>
      <c r="EP214" s="56">
        <f>IFERROR(IF(($CB214)&gt;0,($EA214)/($CB214),""),"")</f>
        <v/>
      </c>
      <c r="EQ214" s="56">
        <f>IFERROR(IF(($BZ214)&gt;0,($EB214)/($BZ214),""),"")</f>
        <v/>
      </c>
      <c r="ER214" s="56">
        <f>IFERROR(IF(($CA214)&gt;0,($EC214)/($CA214),""),"")</f>
        <v/>
      </c>
      <c r="ES214" s="56">
        <f>IFERROR(IF(($CB214)&gt;0,($ED214)/($CB214),""),"")</f>
        <v/>
      </c>
      <c r="ET214" s="56">
        <f>IFERROR(IF(($BZ214)&gt;0,($EE214)/($BZ214),""),"")</f>
        <v/>
      </c>
      <c r="EU214" s="56">
        <f>IFERROR(IF(($CA214)&gt;0,($EF214)/($CA214),""),"")</f>
        <v/>
      </c>
      <c r="EV214" s="56">
        <f>IFERROR(IF(($CB214)&gt;0,($EG214)/($CB214),""),"")</f>
        <v/>
      </c>
      <c r="EW214" s="76">
        <f>IFERROR(IF(($BZ214)&gt;0,($EH214)/($BZ214),""),"")</f>
        <v/>
      </c>
      <c r="EX214" s="76">
        <f>IFERROR(IF(($CA214)&gt;0,($EI214)/($CA214),""),"")</f>
        <v/>
      </c>
      <c r="EY214" s="76">
        <f>IFERROR(IF(($CB214)&gt;0,($EJ214)/($CB214),""),"")</f>
        <v/>
      </c>
      <c r="EZ214" s="56">
        <f>IFERROR(IF(($BZ214)&gt;0,($EK214)/($BZ214),""),"")</f>
        <v/>
      </c>
      <c r="FA214" s="56">
        <f>IFERROR(IF(($CA214)&gt;0,($EL214)/($CA214),""),"")</f>
        <v/>
      </c>
      <c r="FB214" s="56">
        <f>IFERROR(IF(($CB214)&gt;0,($EM214)/($CB214),""),"")</f>
        <v/>
      </c>
      <c r="FC214" s="55">
        <f>IF(SUMIFS(tblPlant[GIC_oz],tblPlant[Date],$A214)&gt;0,SUMIFS(tblPlant[GIC_oz],tblPlant[Date],$A214),"")</f>
        <v/>
      </c>
      <c r="FD214" s="55">
        <f>SUMIFS(tblGold[Gold_oz],tblGold[Date],$A214,tblGold[Type],"Shipment")</f>
        <v/>
      </c>
      <c r="FE214" s="55">
        <f>IF($B214=$B213,$FE213,0)+$FD214</f>
        <v/>
      </c>
      <c r="FF214" s="55">
        <f>$FF213+$FD214</f>
        <v/>
      </c>
      <c r="FG214" s="55">
        <f>SUMIFS(tblGold[Gold_oz],tblGold[Date],$A214,tblGold[Type],"Sale")</f>
        <v/>
      </c>
      <c r="FH214" s="55">
        <f>IF($B214=$B213,$FH213,0)+$FG214</f>
        <v/>
      </c>
      <c r="FI214" s="55">
        <f>$FI213+$FG214</f>
        <v/>
      </c>
      <c r="FJ214" s="55">
        <f>SUMIFS(tblGold[Dore_kg],tblGold[Date],$A214,tblGold[Type],"Shipment")</f>
        <v/>
      </c>
      <c r="FK214" s="55">
        <f>IF($B214=$B213,$FK213,0)+$FJ214</f>
        <v/>
      </c>
      <c r="FL214" s="55">
        <f>$FL213+$FJ214</f>
        <v/>
      </c>
      <c r="FM214" s="57">
        <f>SUMIFS(tblSafety[Hours_Total],tblSafety[Date],$A214)</f>
        <v/>
      </c>
      <c r="FN214" s="57">
        <f>IF($B214=$B213,$FN213,0)+$FM214</f>
        <v/>
      </c>
      <c r="FO214" s="57">
        <f>$FO213+$FM214</f>
        <v/>
      </c>
      <c r="FP214" s="62">
        <f>SUMIFS(tblSafety[Fatality],tblSafety[Date],$A214)</f>
        <v/>
      </c>
      <c r="FQ214" s="62">
        <f>IF($B214=$B213,$FQ213,0)+$FP214</f>
        <v/>
      </c>
      <c r="FR214" s="62">
        <f>$FR213+$FP214</f>
        <v/>
      </c>
      <c r="FS214" s="62">
        <f>SUMIFS(tblSafety[LTI],tblSafety[Date],$A214)</f>
        <v/>
      </c>
      <c r="FT214" s="62">
        <f>IF($B214=$B213,$FT213,0)+$FS214</f>
        <v/>
      </c>
      <c r="FU214" s="62">
        <f>$FU213+$FS214</f>
        <v/>
      </c>
      <c r="FV214" s="62">
        <f>SUMIFS(tblSafety[RWI],tblSafety[Date],$A214)</f>
        <v/>
      </c>
      <c r="FW214" s="62">
        <f>IF($B214=$B213,$FW213,0)+$FV214</f>
        <v/>
      </c>
      <c r="FX214" s="62">
        <f>$FX213+$FV214</f>
        <v/>
      </c>
      <c r="FY214" s="62">
        <f>SUMIFS(tblSafety[MTI],tblSafety[Date],$A214)</f>
        <v/>
      </c>
      <c r="FZ214" s="62">
        <f>IF($B214=$B213,$FZ213,0)+$FY214</f>
        <v/>
      </c>
      <c r="GA214" s="62">
        <f>$GA213+$FY214</f>
        <v/>
      </c>
      <c r="GB214" s="62">
        <f>SUMIFS(tblSafety[FAI],tblSafety[Date],$A214)</f>
        <v/>
      </c>
      <c r="GC214" s="62">
        <f>IF($B214=$B213,$GC213,0)+$GB214</f>
        <v/>
      </c>
      <c r="GD214" s="62">
        <f>$GD213+$GB214</f>
        <v/>
      </c>
      <c r="GE214" s="62">
        <f>SUMIFS(tblSafety[Recordables],tblSafety[Date],$A214)</f>
        <v/>
      </c>
      <c r="GF214" s="62">
        <f>IF($B214=$B213,$GF213,0)+$GE214</f>
        <v/>
      </c>
      <c r="GG214" s="62">
        <f>$GG213+$GE214</f>
        <v/>
      </c>
      <c r="GH214" s="62">
        <f>SUMIFS(tblSafety[Near_Miss],tblSafety[Date],$A214)</f>
        <v/>
      </c>
      <c r="GI214" s="62">
        <f>IF($B214=$B213,$GI213,0)+$GH214</f>
        <v/>
      </c>
      <c r="GJ214" s="62">
        <f>$GJ213+$GH214</f>
        <v/>
      </c>
      <c r="GK214" s="62">
        <f>SUMIFS(tblSafety[Hazard_Reports],tblSafety[Date],$A214)</f>
        <v/>
      </c>
      <c r="GL214" s="62">
        <f>IF($B214=$B213,$GL213,0)+$GK214</f>
        <v/>
      </c>
      <c r="GM214" s="62">
        <f>$GM213+$GK214</f>
        <v/>
      </c>
      <c r="GN214" s="62">
        <f>SUMIFS(tblSafety[HPI],tblSafety[Date],$A214)</f>
        <v/>
      </c>
      <c r="GO214" s="62">
        <f>IF($B214=$B213,$GO213,0)+$GN214</f>
        <v/>
      </c>
      <c r="GP214" s="62">
        <f>$GP213+$GN214</f>
        <v/>
      </c>
      <c r="GQ214" s="62">
        <f>SUMIFS(tblSafety[Env_Incidents],tblSafety[Date],$A214)</f>
        <v/>
      </c>
      <c r="GR214" s="62">
        <f>IF($B214=$B213,$GR213,0)+$GQ214</f>
        <v/>
      </c>
      <c r="GS214" s="62">
        <f>$GS213+$GQ214</f>
        <v/>
      </c>
      <c r="GT214" s="62">
        <f>SUMIFS(tblSafety[Community_Incidents],tblSafety[Date],$A214)</f>
        <v/>
      </c>
      <c r="GU214" s="62">
        <f>IF($B214=$B213,$GU213,0)+$GT214</f>
        <v/>
      </c>
      <c r="GV214" s="62">
        <f>$GV213+$GT214</f>
        <v/>
      </c>
      <c r="GW214" s="62">
        <f>SUMIFS(tblSafety[Vehicle_Incidents],tblSafety[Date],$A214)</f>
        <v/>
      </c>
      <c r="GX214" s="62">
        <f>IF($B214=$B213,$GX213,0)+$GW214</f>
        <v/>
      </c>
      <c r="GY214" s="62">
        <f>$GY213+$GW214</f>
        <v/>
      </c>
      <c r="GZ214" s="62">
        <f>SUMIFS(tblSafety[Toolbox_Talks],tblSafety[Date],$A214)</f>
        <v/>
      </c>
      <c r="HA214" s="62">
        <f>IF($B214=$B213,$HA213,0)+$GZ214</f>
        <v/>
      </c>
      <c r="HB214" s="62">
        <f>$HB213+$GZ214</f>
        <v/>
      </c>
      <c r="HC214" s="62">
        <f>SUMIFS(tblSafety[Inspections],tblSafety[Date],$A214)</f>
        <v/>
      </c>
      <c r="HD214" s="62">
        <f>IF($B214=$B213,$HD213,0)+$HC214</f>
        <v/>
      </c>
      <c r="HE214" s="62">
        <f>$HE213+$HC214</f>
        <v/>
      </c>
      <c r="HF214" s="56">
        <f>IFERROR((SUMIFS(tblSafety[Recordables],tblSafety[Date],"&gt;="&amp;EDATE($E214,-12),tblSafety[Date],"&lt;="&amp;$A214)+SUMIFS(tblSafetyHistory[Recordables],tblSafetyHistory[Month],"&gt;="&amp;EDATE($E214,-12),tblSafetyHistory[Month],"&lt;"&amp;cfg_YearStart))/(SUMIFS(tblSafety[Hours_Total],tblSafety[Date],"&gt;="&amp;EDATE($E214,-12),tblSafety[Date],"&lt;="&amp;$A214)+SUMIFS(tblSafetyHistory[Hours_Total],tblSafetyHistory[Month],"&gt;="&amp;EDATE($E214,-12),tblSafetyHistory[Month],"&lt;"&amp;cfg_YearStart))*1000000,"")</f>
        <v/>
      </c>
      <c r="HG214" s="56">
        <f>IFERROR((SUMIFS(tblSafety[LTI],tblSafety[Date],"&gt;="&amp;EDATE($E214,-12),tblSafety[Date],"&lt;="&amp;$A214)+SUMIFS(tblSafetyHistory[LTI],tblSafetyHistory[Month],"&gt;="&amp;EDATE($E214,-12),tblSafetyHistory[Month],"&lt;"&amp;cfg_YearStart))/(SUMIFS(tblSafety[Hours_Total],tblSafety[Date],"&gt;="&amp;EDATE($E214,-12),tblSafety[Date],"&lt;="&amp;$A214)+SUMIFS(tblSafetyHistory[Hours_Total],tblSafetyHistory[Month],"&gt;="&amp;EDATE($E214,-12),tblSafetyHistory[Month],"&lt;"&amp;cfg_YearStart))*1000000,"")</f>
        <v/>
      </c>
      <c r="HH214" s="62">
        <f>IF(MAX(N(cfg_PriorLTIDate),_xlfn.MAXIFS(tblSafety[Date],tblSafety[LTI],"&gt;0",tblSafety[Date],"&lt;="&amp;$A214))=0,"",$A214-MAX(N(cfg_PriorLTIDate),_xlfn.MAXIFS(tblSafety[Date],tblSafety[LTI],"&gt;0",tblSafety[Date],"&lt;="&amp;$A214)))</f>
        <v/>
      </c>
      <c r="HI214" s="55">
        <f>SUMIFS(tblBudget[Ore_Mined_t],tblBudget[Month],$E214)</f>
        <v/>
      </c>
      <c r="HJ214" s="55">
        <f>$HI214*$C214/$D214</f>
        <v/>
      </c>
      <c r="HK214" s="55">
        <f>SUMIFS(tblBudget[Ore_Mined_t],tblBudget[Month],"&lt;"&amp;$E214)+$HJ214</f>
        <v/>
      </c>
      <c r="HL214" s="55">
        <f>SUMIFS(tblBudget[Ore_oz],tblBudget[Month],$E214)</f>
        <v/>
      </c>
      <c r="HM214" s="55">
        <f>$HL214*$C214/$D214</f>
        <v/>
      </c>
      <c r="HN214" s="55">
        <f>SUMIFS(tblBudget[Ore_oz],tblBudget[Month],"&lt;"&amp;$E214)+$HM214</f>
        <v/>
      </c>
      <c r="HO214" s="56">
        <f>IFERROR(IF(($HI214)&gt;0,($HL214*cfg_TroyOz)/($HI214),""),"")</f>
        <v/>
      </c>
      <c r="HP214" s="56">
        <f>IFERROR(IF(($HJ214)&gt;0,($HM214*cfg_TroyOz)/($HJ214),""),"")</f>
        <v/>
      </c>
      <c r="HQ214" s="56">
        <f>IFERROR(IF(($HK214)&gt;0,($HN214*cfg_TroyOz)/($HK214),""),"")</f>
        <v/>
      </c>
      <c r="HR214" s="55">
        <f>SUMIFS(tblBudget[Waste_t],tblBudget[Month],$E214)</f>
        <v/>
      </c>
      <c r="HS214" s="55">
        <f>$HR214*$C214/$D214</f>
        <v/>
      </c>
      <c r="HT214" s="55">
        <f>SUMIFS(tblBudget[Waste_t],tblBudget[Month],"&lt;"&amp;$E214)+$HS214</f>
        <v/>
      </c>
      <c r="HU214" s="55">
        <f>SUMIFS(tblBudget[TMM_t],tblBudget[Month],$E214)</f>
        <v/>
      </c>
      <c r="HV214" s="55">
        <f>$HU214*$C214/$D214</f>
        <v/>
      </c>
      <c r="HW214" s="55">
        <f>SUMIFS(tblBudget[TMM_t],tblBudget[Month],"&lt;"&amp;$E214)+$HV214</f>
        <v/>
      </c>
      <c r="HX214" s="56">
        <f>IFERROR(IF(($HI214)&gt;0,($HR214)/($HI214),""),"")</f>
        <v/>
      </c>
      <c r="HY214" s="56">
        <f>IFERROR(IF(($HJ214)&gt;0,($HS214)/($HJ214),""),"")</f>
        <v/>
      </c>
      <c r="HZ214" s="56">
        <f>IFERROR(IF(($HK214)&gt;0,($HT214)/($HK214),""),"")</f>
        <v/>
      </c>
      <c r="IA214" s="55">
        <f>SUMIFS(tblBudget[Drill_m],tblBudget[Month],$E214)</f>
        <v/>
      </c>
      <c r="IB214" s="55">
        <f>$IA214*$C214/$D214</f>
        <v/>
      </c>
      <c r="IC214" s="55">
        <f>SUMIFS(tblBudget[Drill_m],tblBudget[Month],"&lt;"&amp;$E214)+$IB214</f>
        <v/>
      </c>
      <c r="ID214" s="55">
        <f>SUMIFS(tblBudget[Diesel_L],tblBudget[Month],$E214)</f>
        <v/>
      </c>
      <c r="IE214" s="55">
        <f>$ID214*$C214/$D214</f>
        <v/>
      </c>
      <c r="IF214" s="55">
        <f>SUMIFS(tblBudget[Diesel_L],tblBudget[Month],"&lt;"&amp;$E214)+$IE214</f>
        <v/>
      </c>
      <c r="IG214" s="55">
        <f>SUMIFS(tblBudget[Milled_t],tblBudget[Month],$E214)</f>
        <v/>
      </c>
      <c r="IH214" s="55">
        <f>$IG214*$C214/$D214</f>
        <v/>
      </c>
      <c r="II214" s="55">
        <f>SUMIFS(tblBudget[Milled_t],tblBudget[Month],"&lt;"&amp;$E214)+$IH214</f>
        <v/>
      </c>
      <c r="IJ214" s="55">
        <f>SUMIFS(tblBudget[Feed_oz],tblBudget[Month],$E214)</f>
        <v/>
      </c>
      <c r="IK214" s="55">
        <f>$IJ214*$C214/$D214</f>
        <v/>
      </c>
      <c r="IL214" s="55">
        <f>SUMIFS(tblBudget[Feed_oz],tblBudget[Month],"&lt;"&amp;$E214)+$IK214</f>
        <v/>
      </c>
      <c r="IM214" s="55">
        <f>SUMIFS(tblBudget[Recovered_oz],tblBudget[Month],$E214)</f>
        <v/>
      </c>
      <c r="IN214" s="55">
        <f>$IM214*$C214/$D214</f>
        <v/>
      </c>
      <c r="IO214" s="55">
        <f>SUMIFS(tblBudget[Recovered_oz],tblBudget[Month],"&lt;"&amp;$E214)+$IN214</f>
        <v/>
      </c>
      <c r="IP214" s="56">
        <f>IFERROR(IF(($IG214)&gt;0,($IJ214*cfg_TroyOz)/($IG214),""),"")</f>
        <v/>
      </c>
      <c r="IQ214" s="56">
        <f>IFERROR(IF(($IH214)&gt;0,($IK214*cfg_TroyOz)/($IH214),""),"")</f>
        <v/>
      </c>
      <c r="IR214" s="56">
        <f>IFERROR(IF(($II214)&gt;0,($IL214*cfg_TroyOz)/($II214),""),"")</f>
        <v/>
      </c>
      <c r="IS214" s="67">
        <f>IFERROR(IF(($IJ214)&gt;0,($IM214)/($IJ214),""),"")</f>
        <v/>
      </c>
      <c r="IT214" s="67">
        <f>IFERROR(IF(($IK214)&gt;0,($IN214)/($IK214),""),"")</f>
        <v/>
      </c>
      <c r="IU214" s="67">
        <f>IFERROR(IF(($IL214)&gt;0,($IO214)/($IL214),""),"")</f>
        <v/>
      </c>
      <c r="IV214" s="55">
        <f>SUMIFS(tblBudget[Gold_Poured_oz],tblBudget[Month],$E214)</f>
        <v/>
      </c>
      <c r="IW214" s="55">
        <f>$IV214*$C214/$D214</f>
        <v/>
      </c>
      <c r="IX214" s="55">
        <f>SUMIFS(tblBudget[Gold_Poured_oz],tblBudget[Month],"&lt;"&amp;$E214)+$IW214</f>
        <v/>
      </c>
      <c r="IY214" s="57">
        <f>SUMIFS(tblBudget[Hours_Worked],tblBudget[Month],$E214)</f>
        <v/>
      </c>
      <c r="IZ214" s="57">
        <f>$IY214*$C214/$D214</f>
        <v/>
      </c>
      <c r="JA214" s="57">
        <f>SUMIFS(tblBudget[Hours_Worked],tblBudget[Month],"&lt;"&amp;$E214)+$IZ214</f>
        <v/>
      </c>
    </row>
    <row r="215">
      <c r="A215" s="54" t="n">
        <v>46236</v>
      </c>
      <c r="B215">
        <f>MONTH($A215)</f>
        <v/>
      </c>
      <c r="C215">
        <f>DAY($A215)</f>
        <v/>
      </c>
      <c r="D215">
        <f>DAY(EOMONTH($A215,0))</f>
        <v/>
      </c>
      <c r="E215" s="54">
        <f>DATE(YEAR($A215),MONTH($A215),1)</f>
        <v/>
      </c>
      <c r="F215" s="55">
        <f>SUMIFS(tblMovement[Tonnes_t],tblMovement[Date],$A215,tblMovement[Is_Ore],1,tblMovement[Source_Type],"Pit")</f>
        <v/>
      </c>
      <c r="G215" s="55">
        <f>IF($B215=$B214,$G214,0)+$F215</f>
        <v/>
      </c>
      <c r="H215" s="55">
        <f>$H214+$F215</f>
        <v/>
      </c>
      <c r="I215" s="55">
        <f>SUMIFS(tblMovement[Ore_oz],tblMovement[Date],$A215,tblMovement[Source_Type],"Pit")</f>
        <v/>
      </c>
      <c r="J215" s="55">
        <f>IF($B215=$B214,$J214,0)+$I215</f>
        <v/>
      </c>
      <c r="K215" s="55">
        <f>$K214+$I215</f>
        <v/>
      </c>
      <c r="L215" s="56">
        <f>IFERROR(IF(($F215)&gt;0,($I215*cfg_TroyOz)/($F215),""),"")</f>
        <v/>
      </c>
      <c r="M215" s="56">
        <f>IFERROR(IF(($G215)&gt;0,($J215*cfg_TroyOz)/($G215),""),"")</f>
        <v/>
      </c>
      <c r="N215" s="56">
        <f>IFERROR(IF(($H215)&gt;0,($K215*cfg_TroyOz)/($H215),""),"")</f>
        <v/>
      </c>
      <c r="O215" s="55">
        <f>SUMIFS(tblMovement[Tonnes_t],tblMovement[Date],$A215,tblMovement[Is_Ore],0,tblMovement[Source_Type],"Pit")</f>
        <v/>
      </c>
      <c r="P215" s="55">
        <f>IF($B215=$B214,$P214,0)+$O215</f>
        <v/>
      </c>
      <c r="Q215" s="55">
        <f>$Q214+$O215</f>
        <v/>
      </c>
      <c r="R215" s="55">
        <f>$F215+$O215</f>
        <v/>
      </c>
      <c r="S215" s="55">
        <f>IF($B215=$B214,$S214,0)+$R215</f>
        <v/>
      </c>
      <c r="T215" s="55">
        <f>$T214+$R215</f>
        <v/>
      </c>
      <c r="U215" s="56">
        <f>IFERROR(IF(($F215)&gt;0,($O215)/($F215),""),"")</f>
        <v/>
      </c>
      <c r="V215" s="56">
        <f>IFERROR(IF(($G215)&gt;0,($P215)/($G215),""),"")</f>
        <v/>
      </c>
      <c r="W215" s="56">
        <f>IFERROR(IF(($H215)&gt;0,($Q215)/($H215),""),"")</f>
        <v/>
      </c>
      <c r="X215" s="55">
        <f>SUMIFS(tblMovement[Tonnes_t],tblMovement[Date],$A215,tblMovement[Source_Type],"Stockpile")</f>
        <v/>
      </c>
      <c r="Y215" s="55">
        <f>IF($B215=$B214,$Y214,0)+$X215</f>
        <v/>
      </c>
      <c r="Z215" s="55">
        <f>$Z214+$X215</f>
        <v/>
      </c>
      <c r="AA215" s="55">
        <f>SUMIFS(tblMiningDaily[Drill_m],tblMiningDaily[Date],$A215)</f>
        <v/>
      </c>
      <c r="AB215" s="55">
        <f>IF($B215=$B214,$AB214,0)+$AA215</f>
        <v/>
      </c>
      <c r="AC215" s="55">
        <f>$AC214+$AA215</f>
        <v/>
      </c>
      <c r="AD215" s="55">
        <f>SUMIFS(tblMiningDaily[Blast_t],tblMiningDaily[Date],$A215)</f>
        <v/>
      </c>
      <c r="AE215" s="55">
        <f>IF($B215=$B214,$AE214,0)+$AD215</f>
        <v/>
      </c>
      <c r="AF215" s="55">
        <f>$AF214+$AD215</f>
        <v/>
      </c>
      <c r="AG215" s="55">
        <f>SUMIFS(tblMiningDaily[Explosives_kg],tblMiningDaily[Date],$A215)</f>
        <v/>
      </c>
      <c r="AH215" s="55">
        <f>IF($B215=$B214,$AH214,0)+$AG215</f>
        <v/>
      </c>
      <c r="AI215" s="55">
        <f>$AI214+$AG215</f>
        <v/>
      </c>
      <c r="AJ215" s="56">
        <f>IFERROR(IF(($AD215)&gt;0,($AG215)/($AD215),""),"")</f>
        <v/>
      </c>
      <c r="AK215" s="56">
        <f>IFERROR(IF(($AE215)&gt;0,($AH215)/($AE215),""),"")</f>
        <v/>
      </c>
      <c r="AL215" s="56">
        <f>IFERROR(IF(($AF215)&gt;0,($AI215)/($AF215),""),"")</f>
        <v/>
      </c>
      <c r="AM215" s="55">
        <f>SUMIFS(tblMiningDaily[Diesel_L],tblMiningDaily[Date],$A215)</f>
        <v/>
      </c>
      <c r="AN215" s="55">
        <f>IF($B215=$B214,$AN214,0)+$AM215</f>
        <v/>
      </c>
      <c r="AO215" s="55">
        <f>$AO214+$AM215</f>
        <v/>
      </c>
      <c r="AP215" s="55">
        <f>SUMIFS(tblMiningDaily[Dewatering_m3],tblMiningDaily[Date],$A215)</f>
        <v/>
      </c>
      <c r="AQ215" s="55">
        <f>IF($B215=$B214,$AQ214,0)+$AP215</f>
        <v/>
      </c>
      <c r="AR215" s="55">
        <f>$AR214+$AP215</f>
        <v/>
      </c>
      <c r="AS215" s="57">
        <f>SUMIFS(tblFleet[Calendar_h],tblFleet[Date],$A215,tblFleet[Equipment_Class],"Excavator")</f>
        <v/>
      </c>
      <c r="AT215" s="57">
        <f>IF($B215=$B214,$AT214,0)+$AS215</f>
        <v/>
      </c>
      <c r="AU215" s="57">
        <f>$AU214+$AS215</f>
        <v/>
      </c>
      <c r="AV215" s="57">
        <f>SUMIFS(tblFleet[Available_h],tblFleet[Date],$A215,tblFleet[Equipment_Class],"Excavator")</f>
        <v/>
      </c>
      <c r="AW215" s="57">
        <f>IF($B215=$B214,$AW214,0)+$AV215</f>
        <v/>
      </c>
      <c r="AX215" s="57">
        <f>$AX214+$AV215</f>
        <v/>
      </c>
      <c r="AY215" s="57">
        <f>SUMIFS(tblFleet[Operating_h],tblFleet[Date],$A215,tblFleet[Equipment_Class],"Excavator")</f>
        <v/>
      </c>
      <c r="AZ215" s="57">
        <f>IF($B215=$B214,$AZ214,0)+$AY215</f>
        <v/>
      </c>
      <c r="BA215" s="57">
        <f>$BA214+$AY215</f>
        <v/>
      </c>
      <c r="BB215" s="67">
        <f>IFERROR(IF(($AS215)&gt;0,($AV215)/($AS215),""),"")</f>
        <v/>
      </c>
      <c r="BC215" s="67">
        <f>IFERROR(IF(($AT215)&gt;0,($AW215)/($AT215),""),"")</f>
        <v/>
      </c>
      <c r="BD215" s="67">
        <f>IFERROR(IF(($AU215)&gt;0,($AX215)/($AU215),""),"")</f>
        <v/>
      </c>
      <c r="BE215" s="67">
        <f>IFERROR(IF(($AV215)&gt;0,($AY215)/($AV215),""),"")</f>
        <v/>
      </c>
      <c r="BF215" s="67">
        <f>IFERROR(IF(($AW215)&gt;0,($AZ215)/($AW215),""),"")</f>
        <v/>
      </c>
      <c r="BG215" s="67">
        <f>IFERROR(IF(($AX215)&gt;0,($BA215)/($AX215),""),"")</f>
        <v/>
      </c>
      <c r="BH215" s="57">
        <f>SUMIFS(tblFleet[Calendar_h],tblFleet[Date],$A215,tblFleet[Equipment_Class],"Haul Truck")</f>
        <v/>
      </c>
      <c r="BI215" s="57">
        <f>IF($B215=$B214,$BI214,0)+$BH215</f>
        <v/>
      </c>
      <c r="BJ215" s="57">
        <f>$BJ214+$BH215</f>
        <v/>
      </c>
      <c r="BK215" s="57">
        <f>SUMIFS(tblFleet[Available_h],tblFleet[Date],$A215,tblFleet[Equipment_Class],"Haul Truck")</f>
        <v/>
      </c>
      <c r="BL215" s="57">
        <f>IF($B215=$B214,$BL214,0)+$BK215</f>
        <v/>
      </c>
      <c r="BM215" s="57">
        <f>$BM214+$BK215</f>
        <v/>
      </c>
      <c r="BN215" s="57">
        <f>SUMIFS(tblFleet[Operating_h],tblFleet[Date],$A215,tblFleet[Equipment_Class],"Haul Truck")</f>
        <v/>
      </c>
      <c r="BO215" s="57">
        <f>IF($B215=$B214,$BO214,0)+$BN215</f>
        <v/>
      </c>
      <c r="BP215" s="57">
        <f>$BP214+$BN215</f>
        <v/>
      </c>
      <c r="BQ215" s="67">
        <f>IFERROR(IF(($BH215)&gt;0,($BK215)/($BH215),""),"")</f>
        <v/>
      </c>
      <c r="BR215" s="67">
        <f>IFERROR(IF(($BI215)&gt;0,($BL215)/($BI215),""),"")</f>
        <v/>
      </c>
      <c r="BS215" s="67">
        <f>IFERROR(IF(($BJ215)&gt;0,($BM215)/($BJ215),""),"")</f>
        <v/>
      </c>
      <c r="BT215" s="67">
        <f>IFERROR(IF(($BK215)&gt;0,($BN215)/($BK215),""),"")</f>
        <v/>
      </c>
      <c r="BU215" s="67">
        <f>IFERROR(IF(($BL215)&gt;0,($BO215)/($BL215),""),"")</f>
        <v/>
      </c>
      <c r="BV215" s="67">
        <f>IFERROR(IF(($BM215)&gt;0,($BP215)/($BM215),""),"")</f>
        <v/>
      </c>
      <c r="BW215" s="55">
        <f>SUMIFS(tblPlant[Crushed_t],tblPlant[Date],$A215)</f>
        <v/>
      </c>
      <c r="BX215" s="55">
        <f>IF($B215=$B214,$BX214,0)+$BW215</f>
        <v/>
      </c>
      <c r="BY215" s="55">
        <f>$BY214+$BW215</f>
        <v/>
      </c>
      <c r="BZ215" s="55">
        <f>SUMIFS(tblPlant[Milled_t],tblPlant[Date],$A215)</f>
        <v/>
      </c>
      <c r="CA215" s="55">
        <f>IF($B215=$B214,$CA214,0)+$BZ215</f>
        <v/>
      </c>
      <c r="CB215" s="55">
        <f>$CB214+$BZ215</f>
        <v/>
      </c>
      <c r="CC215" s="55">
        <f>SUMIFS(tblPlant[Feed_oz],tblPlant[Date],$A215)</f>
        <v/>
      </c>
      <c r="CD215" s="55">
        <f>IF($B215=$B214,$CD214,0)+$CC215</f>
        <v/>
      </c>
      <c r="CE215" s="55">
        <f>$CE214+$CC215</f>
        <v/>
      </c>
      <c r="CF215" s="55">
        <f>SUMIFS(tblPlant[Tails_oz],tblPlant[Date],$A215)</f>
        <v/>
      </c>
      <c r="CG215" s="55">
        <f>IF($B215=$B214,$CG214,0)+$CF215</f>
        <v/>
      </c>
      <c r="CH215" s="55">
        <f>$CH214+$CF215</f>
        <v/>
      </c>
      <c r="CI215" s="55">
        <f>SUMIFS(tblPlant[Recovered_oz],tblPlant[Date],$A215)</f>
        <v/>
      </c>
      <c r="CJ215" s="55">
        <f>IF($B215=$B214,$CJ214,0)+$CI215</f>
        <v/>
      </c>
      <c r="CK215" s="55">
        <f>$CK214+$CI215</f>
        <v/>
      </c>
      <c r="CL215" s="56">
        <f>IFERROR(IF(($BZ215)&gt;0,($CC215*cfg_TroyOz)/($BZ215),""),"")</f>
        <v/>
      </c>
      <c r="CM215" s="56">
        <f>IFERROR(IF(($CA215)&gt;0,($CD215*cfg_TroyOz)/($CA215),""),"")</f>
        <v/>
      </c>
      <c r="CN215" s="56">
        <f>IFERROR(IF(($CB215)&gt;0,($CE215*cfg_TroyOz)/($CB215),""),"")</f>
        <v/>
      </c>
      <c r="CO215" s="56">
        <f>IFERROR(IF(($BZ215)&gt;0,($CF215*cfg_TroyOz)/($BZ215),""),"")</f>
        <v/>
      </c>
      <c r="CP215" s="56">
        <f>IFERROR(IF(($CA215)&gt;0,($CG215*cfg_TroyOz)/($CA215),""),"")</f>
        <v/>
      </c>
      <c r="CQ215" s="56">
        <f>IFERROR(IF(($CB215)&gt;0,($CH215*cfg_TroyOz)/($CB215),""),"")</f>
        <v/>
      </c>
      <c r="CR215" s="67">
        <f>IFERROR(IF(($CC215)&gt;0,($CI215)/($CC215),""),"")</f>
        <v/>
      </c>
      <c r="CS215" s="67">
        <f>IFERROR(IF(($CD215)&gt;0,($CJ215)/($CD215),""),"")</f>
        <v/>
      </c>
      <c r="CT215" s="67">
        <f>IFERROR(IF(($CE215)&gt;0,($CK215)/($CE215),""),"")</f>
        <v/>
      </c>
      <c r="CU215" s="55">
        <f>SUMIFS(tblPlant[Gravity_Gold_oz],tblPlant[Date],$A215)</f>
        <v/>
      </c>
      <c r="CV215" s="55">
        <f>IF($B215=$B214,$CV214,0)+$CU215</f>
        <v/>
      </c>
      <c r="CW215" s="55">
        <f>$CW214+$CU215</f>
        <v/>
      </c>
      <c r="CX215" s="55">
        <f>SUMIFS(tblPlant[Gold_Poured_oz],tblPlant[Date],$A215)</f>
        <v/>
      </c>
      <c r="CY215" s="55">
        <f>IF($B215=$B214,$CY214,0)+$CX215</f>
        <v/>
      </c>
      <c r="CZ215" s="55">
        <f>$CZ214+$CX215</f>
        <v/>
      </c>
      <c r="DA215" s="57">
        <f>SUMIFS(tblPlant[Mill_Run_h],tblPlant[Date],$A215)</f>
        <v/>
      </c>
      <c r="DB215" s="57">
        <f>IF($B215=$B214,$DB214,0)+$DA215</f>
        <v/>
      </c>
      <c r="DC215" s="57">
        <f>$DC214+$DA215</f>
        <v/>
      </c>
      <c r="DD215" s="57">
        <f>SUMIFS(tblPlant[Mill_Planned_Maint_h],tblPlant[Date],$A215)</f>
        <v/>
      </c>
      <c r="DE215" s="57">
        <f>IF($B215=$B214,$DE214,0)+$DD215</f>
        <v/>
      </c>
      <c r="DF215" s="57">
        <f>$DF214+$DD215</f>
        <v/>
      </c>
      <c r="DG215" s="57">
        <f>SUMIFS(tblPlant[Mill_Unplanned_Down_h],tblPlant[Date],$A215)</f>
        <v/>
      </c>
      <c r="DH215" s="57">
        <f>IF($B215=$B214,$DH214,0)+$DG215</f>
        <v/>
      </c>
      <c r="DI215" s="57">
        <f>$DI214+$DG215</f>
        <v/>
      </c>
      <c r="DJ215" s="57">
        <f>COUNTIFS(tblPlant[Date],$A215,tblPlant[Mill_Run_h],"&lt;&gt;")*24</f>
        <v/>
      </c>
      <c r="DK215" s="57">
        <f>IF($B215=$B214,$DK214,0)+$DJ215</f>
        <v/>
      </c>
      <c r="DL215" s="57">
        <f>$DL214+$DJ215</f>
        <v/>
      </c>
      <c r="DM215" s="57">
        <f>SUMIFS(tblPlant[Crusher_Run_h],tblPlant[Date],$A215)</f>
        <v/>
      </c>
      <c r="DN215" s="57">
        <f>IF($B215=$B214,$DN214,0)+$DM215</f>
        <v/>
      </c>
      <c r="DO215" s="57">
        <f>$DO214+$DM215</f>
        <v/>
      </c>
      <c r="DP215" s="55">
        <f>IFERROR(IF(($DA215)&gt;0,($BZ215)/($DA215),""),"")</f>
        <v/>
      </c>
      <c r="DQ215" s="55">
        <f>IFERROR(IF(($DB215)&gt;0,($CA215)/($DB215),""),"")</f>
        <v/>
      </c>
      <c r="DR215" s="55">
        <f>IFERROR(IF(($DC215)&gt;0,($CB215)/($DC215),""),"")</f>
        <v/>
      </c>
      <c r="DS215" s="67">
        <f>IFERROR(IF(($DJ215)&gt;0,($DJ215-$DD215-$DG215)/($DJ215),""),"")</f>
        <v/>
      </c>
      <c r="DT215" s="67">
        <f>IFERROR(IF(($DK215)&gt;0,($DK215-$DE215-$DH215)/($DK215),""),"")</f>
        <v/>
      </c>
      <c r="DU215" s="67">
        <f>IFERROR(IF(($DL215)&gt;0,($DL215-$DF215-$DI215)/($DL215),""),"")</f>
        <v/>
      </c>
      <c r="DV215" s="67">
        <f>IFERROR(IF(($DJ215-$DD215-$DG215)&gt;0,($DA215)/($DJ215-$DD215-$DG215),""),"")</f>
        <v/>
      </c>
      <c r="DW215" s="67">
        <f>IFERROR(IF(($DK215-$DE215-$DH215)&gt;0,($DB215)/($DK215-$DE215-$DH215),""),"")</f>
        <v/>
      </c>
      <c r="DX215" s="67">
        <f>IFERROR(IF(($DL215-$DF215-$DI215)&gt;0,($DC215)/($DL215-$DF215-$DI215),""),"")</f>
        <v/>
      </c>
      <c r="DY215" s="55">
        <f>SUMIFS(tblPlant[Cyanide_kg],tblPlant[Date],$A215)</f>
        <v/>
      </c>
      <c r="DZ215" s="55">
        <f>IF($B215=$B214,$DZ214,0)+$DY215</f>
        <v/>
      </c>
      <c r="EA215" s="55">
        <f>$EA214+$DY215</f>
        <v/>
      </c>
      <c r="EB215" s="55">
        <f>SUMIFS(tblPlant[Lime_kg],tblPlant[Date],$A215)</f>
        <v/>
      </c>
      <c r="EC215" s="55">
        <f>IF($B215=$B214,$EC214,0)+$EB215</f>
        <v/>
      </c>
      <c r="ED215" s="55">
        <f>$ED214+$EB215</f>
        <v/>
      </c>
      <c r="EE215" s="55">
        <f>SUMIFS(tblPlant[Grinding_Media_kg],tblPlant[Date],$A215)</f>
        <v/>
      </c>
      <c r="EF215" s="55">
        <f>IF($B215=$B214,$EF214,0)+$EE215</f>
        <v/>
      </c>
      <c r="EG215" s="55">
        <f>$EG214+$EE215</f>
        <v/>
      </c>
      <c r="EH215" s="55">
        <f>SUMIFS(tblPlant[Power_kWh],tblPlant[Date],$A215)</f>
        <v/>
      </c>
      <c r="EI215" s="55">
        <f>IF($B215=$B214,$EI214,0)+$EH215</f>
        <v/>
      </c>
      <c r="EJ215" s="55">
        <f>$EJ214+$EH215</f>
        <v/>
      </c>
      <c r="EK215" s="55">
        <f>SUMIFS(tblPlant[Raw_Water_m3],tblPlant[Date],$A215)</f>
        <v/>
      </c>
      <c r="EL215" s="55">
        <f>IF($B215=$B214,$EL214,0)+$EK215</f>
        <v/>
      </c>
      <c r="EM215" s="55">
        <f>$EM214+$EK215</f>
        <v/>
      </c>
      <c r="EN215" s="56">
        <f>IFERROR(IF(($BZ215)&gt;0,($DY215)/($BZ215),""),"")</f>
        <v/>
      </c>
      <c r="EO215" s="56">
        <f>IFERROR(IF(($CA215)&gt;0,($DZ215)/($CA215),""),"")</f>
        <v/>
      </c>
      <c r="EP215" s="56">
        <f>IFERROR(IF(($CB215)&gt;0,($EA215)/($CB215),""),"")</f>
        <v/>
      </c>
      <c r="EQ215" s="56">
        <f>IFERROR(IF(($BZ215)&gt;0,($EB215)/($BZ215),""),"")</f>
        <v/>
      </c>
      <c r="ER215" s="56">
        <f>IFERROR(IF(($CA215)&gt;0,($EC215)/($CA215),""),"")</f>
        <v/>
      </c>
      <c r="ES215" s="56">
        <f>IFERROR(IF(($CB215)&gt;0,($ED215)/($CB215),""),"")</f>
        <v/>
      </c>
      <c r="ET215" s="56">
        <f>IFERROR(IF(($BZ215)&gt;0,($EE215)/($BZ215),""),"")</f>
        <v/>
      </c>
      <c r="EU215" s="56">
        <f>IFERROR(IF(($CA215)&gt;0,($EF215)/($CA215),""),"")</f>
        <v/>
      </c>
      <c r="EV215" s="56">
        <f>IFERROR(IF(($CB215)&gt;0,($EG215)/($CB215),""),"")</f>
        <v/>
      </c>
      <c r="EW215" s="76">
        <f>IFERROR(IF(($BZ215)&gt;0,($EH215)/($BZ215),""),"")</f>
        <v/>
      </c>
      <c r="EX215" s="76">
        <f>IFERROR(IF(($CA215)&gt;0,($EI215)/($CA215),""),"")</f>
        <v/>
      </c>
      <c r="EY215" s="76">
        <f>IFERROR(IF(($CB215)&gt;0,($EJ215)/($CB215),""),"")</f>
        <v/>
      </c>
      <c r="EZ215" s="56">
        <f>IFERROR(IF(($BZ215)&gt;0,($EK215)/($BZ215),""),"")</f>
        <v/>
      </c>
      <c r="FA215" s="56">
        <f>IFERROR(IF(($CA215)&gt;0,($EL215)/($CA215),""),"")</f>
        <v/>
      </c>
      <c r="FB215" s="56">
        <f>IFERROR(IF(($CB215)&gt;0,($EM215)/($CB215),""),"")</f>
        <v/>
      </c>
      <c r="FC215" s="55">
        <f>IF(SUMIFS(tblPlant[GIC_oz],tblPlant[Date],$A215)&gt;0,SUMIFS(tblPlant[GIC_oz],tblPlant[Date],$A215),"")</f>
        <v/>
      </c>
      <c r="FD215" s="55">
        <f>SUMIFS(tblGold[Gold_oz],tblGold[Date],$A215,tblGold[Type],"Shipment")</f>
        <v/>
      </c>
      <c r="FE215" s="55">
        <f>IF($B215=$B214,$FE214,0)+$FD215</f>
        <v/>
      </c>
      <c r="FF215" s="55">
        <f>$FF214+$FD215</f>
        <v/>
      </c>
      <c r="FG215" s="55">
        <f>SUMIFS(tblGold[Gold_oz],tblGold[Date],$A215,tblGold[Type],"Sale")</f>
        <v/>
      </c>
      <c r="FH215" s="55">
        <f>IF($B215=$B214,$FH214,0)+$FG215</f>
        <v/>
      </c>
      <c r="FI215" s="55">
        <f>$FI214+$FG215</f>
        <v/>
      </c>
      <c r="FJ215" s="55">
        <f>SUMIFS(tblGold[Dore_kg],tblGold[Date],$A215,tblGold[Type],"Shipment")</f>
        <v/>
      </c>
      <c r="FK215" s="55">
        <f>IF($B215=$B214,$FK214,0)+$FJ215</f>
        <v/>
      </c>
      <c r="FL215" s="55">
        <f>$FL214+$FJ215</f>
        <v/>
      </c>
      <c r="FM215" s="57">
        <f>SUMIFS(tblSafety[Hours_Total],tblSafety[Date],$A215)</f>
        <v/>
      </c>
      <c r="FN215" s="57">
        <f>IF($B215=$B214,$FN214,0)+$FM215</f>
        <v/>
      </c>
      <c r="FO215" s="57">
        <f>$FO214+$FM215</f>
        <v/>
      </c>
      <c r="FP215" s="62">
        <f>SUMIFS(tblSafety[Fatality],tblSafety[Date],$A215)</f>
        <v/>
      </c>
      <c r="FQ215" s="62">
        <f>IF($B215=$B214,$FQ214,0)+$FP215</f>
        <v/>
      </c>
      <c r="FR215" s="62">
        <f>$FR214+$FP215</f>
        <v/>
      </c>
      <c r="FS215" s="62">
        <f>SUMIFS(tblSafety[LTI],tblSafety[Date],$A215)</f>
        <v/>
      </c>
      <c r="FT215" s="62">
        <f>IF($B215=$B214,$FT214,0)+$FS215</f>
        <v/>
      </c>
      <c r="FU215" s="62">
        <f>$FU214+$FS215</f>
        <v/>
      </c>
      <c r="FV215" s="62">
        <f>SUMIFS(tblSafety[RWI],tblSafety[Date],$A215)</f>
        <v/>
      </c>
      <c r="FW215" s="62">
        <f>IF($B215=$B214,$FW214,0)+$FV215</f>
        <v/>
      </c>
      <c r="FX215" s="62">
        <f>$FX214+$FV215</f>
        <v/>
      </c>
      <c r="FY215" s="62">
        <f>SUMIFS(tblSafety[MTI],tblSafety[Date],$A215)</f>
        <v/>
      </c>
      <c r="FZ215" s="62">
        <f>IF($B215=$B214,$FZ214,0)+$FY215</f>
        <v/>
      </c>
      <c r="GA215" s="62">
        <f>$GA214+$FY215</f>
        <v/>
      </c>
      <c r="GB215" s="62">
        <f>SUMIFS(tblSafety[FAI],tblSafety[Date],$A215)</f>
        <v/>
      </c>
      <c r="GC215" s="62">
        <f>IF($B215=$B214,$GC214,0)+$GB215</f>
        <v/>
      </c>
      <c r="GD215" s="62">
        <f>$GD214+$GB215</f>
        <v/>
      </c>
      <c r="GE215" s="62">
        <f>SUMIFS(tblSafety[Recordables],tblSafety[Date],$A215)</f>
        <v/>
      </c>
      <c r="GF215" s="62">
        <f>IF($B215=$B214,$GF214,0)+$GE215</f>
        <v/>
      </c>
      <c r="GG215" s="62">
        <f>$GG214+$GE215</f>
        <v/>
      </c>
      <c r="GH215" s="62">
        <f>SUMIFS(tblSafety[Near_Miss],tblSafety[Date],$A215)</f>
        <v/>
      </c>
      <c r="GI215" s="62">
        <f>IF($B215=$B214,$GI214,0)+$GH215</f>
        <v/>
      </c>
      <c r="GJ215" s="62">
        <f>$GJ214+$GH215</f>
        <v/>
      </c>
      <c r="GK215" s="62">
        <f>SUMIFS(tblSafety[Hazard_Reports],tblSafety[Date],$A215)</f>
        <v/>
      </c>
      <c r="GL215" s="62">
        <f>IF($B215=$B214,$GL214,0)+$GK215</f>
        <v/>
      </c>
      <c r="GM215" s="62">
        <f>$GM214+$GK215</f>
        <v/>
      </c>
      <c r="GN215" s="62">
        <f>SUMIFS(tblSafety[HPI],tblSafety[Date],$A215)</f>
        <v/>
      </c>
      <c r="GO215" s="62">
        <f>IF($B215=$B214,$GO214,0)+$GN215</f>
        <v/>
      </c>
      <c r="GP215" s="62">
        <f>$GP214+$GN215</f>
        <v/>
      </c>
      <c r="GQ215" s="62">
        <f>SUMIFS(tblSafety[Env_Incidents],tblSafety[Date],$A215)</f>
        <v/>
      </c>
      <c r="GR215" s="62">
        <f>IF($B215=$B214,$GR214,0)+$GQ215</f>
        <v/>
      </c>
      <c r="GS215" s="62">
        <f>$GS214+$GQ215</f>
        <v/>
      </c>
      <c r="GT215" s="62">
        <f>SUMIFS(tblSafety[Community_Incidents],tblSafety[Date],$A215)</f>
        <v/>
      </c>
      <c r="GU215" s="62">
        <f>IF($B215=$B214,$GU214,0)+$GT215</f>
        <v/>
      </c>
      <c r="GV215" s="62">
        <f>$GV214+$GT215</f>
        <v/>
      </c>
      <c r="GW215" s="62">
        <f>SUMIFS(tblSafety[Vehicle_Incidents],tblSafety[Date],$A215)</f>
        <v/>
      </c>
      <c r="GX215" s="62">
        <f>IF($B215=$B214,$GX214,0)+$GW215</f>
        <v/>
      </c>
      <c r="GY215" s="62">
        <f>$GY214+$GW215</f>
        <v/>
      </c>
      <c r="GZ215" s="62">
        <f>SUMIFS(tblSafety[Toolbox_Talks],tblSafety[Date],$A215)</f>
        <v/>
      </c>
      <c r="HA215" s="62">
        <f>IF($B215=$B214,$HA214,0)+$GZ215</f>
        <v/>
      </c>
      <c r="HB215" s="62">
        <f>$HB214+$GZ215</f>
        <v/>
      </c>
      <c r="HC215" s="62">
        <f>SUMIFS(tblSafety[Inspections],tblSafety[Date],$A215)</f>
        <v/>
      </c>
      <c r="HD215" s="62">
        <f>IF($B215=$B214,$HD214,0)+$HC215</f>
        <v/>
      </c>
      <c r="HE215" s="62">
        <f>$HE214+$HC215</f>
        <v/>
      </c>
      <c r="HF215" s="56">
        <f>IFERROR((SUMIFS(tblSafety[Recordables],tblSafety[Date],"&gt;="&amp;EDATE($E215,-12),tblSafety[Date],"&lt;="&amp;$A215)+SUMIFS(tblSafetyHistory[Recordables],tblSafetyHistory[Month],"&gt;="&amp;EDATE($E215,-12),tblSafetyHistory[Month],"&lt;"&amp;cfg_YearStart))/(SUMIFS(tblSafety[Hours_Total],tblSafety[Date],"&gt;="&amp;EDATE($E215,-12),tblSafety[Date],"&lt;="&amp;$A215)+SUMIFS(tblSafetyHistory[Hours_Total],tblSafetyHistory[Month],"&gt;="&amp;EDATE($E215,-12),tblSafetyHistory[Month],"&lt;"&amp;cfg_YearStart))*1000000,"")</f>
        <v/>
      </c>
      <c r="HG215" s="56">
        <f>IFERROR((SUMIFS(tblSafety[LTI],tblSafety[Date],"&gt;="&amp;EDATE($E215,-12),tblSafety[Date],"&lt;="&amp;$A215)+SUMIFS(tblSafetyHistory[LTI],tblSafetyHistory[Month],"&gt;="&amp;EDATE($E215,-12),tblSafetyHistory[Month],"&lt;"&amp;cfg_YearStart))/(SUMIFS(tblSafety[Hours_Total],tblSafety[Date],"&gt;="&amp;EDATE($E215,-12),tblSafety[Date],"&lt;="&amp;$A215)+SUMIFS(tblSafetyHistory[Hours_Total],tblSafetyHistory[Month],"&gt;="&amp;EDATE($E215,-12),tblSafetyHistory[Month],"&lt;"&amp;cfg_YearStart))*1000000,"")</f>
        <v/>
      </c>
      <c r="HH215" s="62">
        <f>IF(MAX(N(cfg_PriorLTIDate),_xlfn.MAXIFS(tblSafety[Date],tblSafety[LTI],"&gt;0",tblSafety[Date],"&lt;="&amp;$A215))=0,"",$A215-MAX(N(cfg_PriorLTIDate),_xlfn.MAXIFS(tblSafety[Date],tblSafety[LTI],"&gt;0",tblSafety[Date],"&lt;="&amp;$A215)))</f>
        <v/>
      </c>
      <c r="HI215" s="55">
        <f>SUMIFS(tblBudget[Ore_Mined_t],tblBudget[Month],$E215)</f>
        <v/>
      </c>
      <c r="HJ215" s="55">
        <f>$HI215*$C215/$D215</f>
        <v/>
      </c>
      <c r="HK215" s="55">
        <f>SUMIFS(tblBudget[Ore_Mined_t],tblBudget[Month],"&lt;"&amp;$E215)+$HJ215</f>
        <v/>
      </c>
      <c r="HL215" s="55">
        <f>SUMIFS(tblBudget[Ore_oz],tblBudget[Month],$E215)</f>
        <v/>
      </c>
      <c r="HM215" s="55">
        <f>$HL215*$C215/$D215</f>
        <v/>
      </c>
      <c r="HN215" s="55">
        <f>SUMIFS(tblBudget[Ore_oz],tblBudget[Month],"&lt;"&amp;$E215)+$HM215</f>
        <v/>
      </c>
      <c r="HO215" s="56">
        <f>IFERROR(IF(($HI215)&gt;0,($HL215*cfg_TroyOz)/($HI215),""),"")</f>
        <v/>
      </c>
      <c r="HP215" s="56">
        <f>IFERROR(IF(($HJ215)&gt;0,($HM215*cfg_TroyOz)/($HJ215),""),"")</f>
        <v/>
      </c>
      <c r="HQ215" s="56">
        <f>IFERROR(IF(($HK215)&gt;0,($HN215*cfg_TroyOz)/($HK215),""),"")</f>
        <v/>
      </c>
      <c r="HR215" s="55">
        <f>SUMIFS(tblBudget[Waste_t],tblBudget[Month],$E215)</f>
        <v/>
      </c>
      <c r="HS215" s="55">
        <f>$HR215*$C215/$D215</f>
        <v/>
      </c>
      <c r="HT215" s="55">
        <f>SUMIFS(tblBudget[Waste_t],tblBudget[Month],"&lt;"&amp;$E215)+$HS215</f>
        <v/>
      </c>
      <c r="HU215" s="55">
        <f>SUMIFS(tblBudget[TMM_t],tblBudget[Month],$E215)</f>
        <v/>
      </c>
      <c r="HV215" s="55">
        <f>$HU215*$C215/$D215</f>
        <v/>
      </c>
      <c r="HW215" s="55">
        <f>SUMIFS(tblBudget[TMM_t],tblBudget[Month],"&lt;"&amp;$E215)+$HV215</f>
        <v/>
      </c>
      <c r="HX215" s="56">
        <f>IFERROR(IF(($HI215)&gt;0,($HR215)/($HI215),""),"")</f>
        <v/>
      </c>
      <c r="HY215" s="56">
        <f>IFERROR(IF(($HJ215)&gt;0,($HS215)/($HJ215),""),"")</f>
        <v/>
      </c>
      <c r="HZ215" s="56">
        <f>IFERROR(IF(($HK215)&gt;0,($HT215)/($HK215),""),"")</f>
        <v/>
      </c>
      <c r="IA215" s="55">
        <f>SUMIFS(tblBudget[Drill_m],tblBudget[Month],$E215)</f>
        <v/>
      </c>
      <c r="IB215" s="55">
        <f>$IA215*$C215/$D215</f>
        <v/>
      </c>
      <c r="IC215" s="55">
        <f>SUMIFS(tblBudget[Drill_m],tblBudget[Month],"&lt;"&amp;$E215)+$IB215</f>
        <v/>
      </c>
      <c r="ID215" s="55">
        <f>SUMIFS(tblBudget[Diesel_L],tblBudget[Month],$E215)</f>
        <v/>
      </c>
      <c r="IE215" s="55">
        <f>$ID215*$C215/$D215</f>
        <v/>
      </c>
      <c r="IF215" s="55">
        <f>SUMIFS(tblBudget[Diesel_L],tblBudget[Month],"&lt;"&amp;$E215)+$IE215</f>
        <v/>
      </c>
      <c r="IG215" s="55">
        <f>SUMIFS(tblBudget[Milled_t],tblBudget[Month],$E215)</f>
        <v/>
      </c>
      <c r="IH215" s="55">
        <f>$IG215*$C215/$D215</f>
        <v/>
      </c>
      <c r="II215" s="55">
        <f>SUMIFS(tblBudget[Milled_t],tblBudget[Month],"&lt;"&amp;$E215)+$IH215</f>
        <v/>
      </c>
      <c r="IJ215" s="55">
        <f>SUMIFS(tblBudget[Feed_oz],tblBudget[Month],$E215)</f>
        <v/>
      </c>
      <c r="IK215" s="55">
        <f>$IJ215*$C215/$D215</f>
        <v/>
      </c>
      <c r="IL215" s="55">
        <f>SUMIFS(tblBudget[Feed_oz],tblBudget[Month],"&lt;"&amp;$E215)+$IK215</f>
        <v/>
      </c>
      <c r="IM215" s="55">
        <f>SUMIFS(tblBudget[Recovered_oz],tblBudget[Month],$E215)</f>
        <v/>
      </c>
      <c r="IN215" s="55">
        <f>$IM215*$C215/$D215</f>
        <v/>
      </c>
      <c r="IO215" s="55">
        <f>SUMIFS(tblBudget[Recovered_oz],tblBudget[Month],"&lt;"&amp;$E215)+$IN215</f>
        <v/>
      </c>
      <c r="IP215" s="56">
        <f>IFERROR(IF(($IG215)&gt;0,($IJ215*cfg_TroyOz)/($IG215),""),"")</f>
        <v/>
      </c>
      <c r="IQ215" s="56">
        <f>IFERROR(IF(($IH215)&gt;0,($IK215*cfg_TroyOz)/($IH215),""),"")</f>
        <v/>
      </c>
      <c r="IR215" s="56">
        <f>IFERROR(IF(($II215)&gt;0,($IL215*cfg_TroyOz)/($II215),""),"")</f>
        <v/>
      </c>
      <c r="IS215" s="67">
        <f>IFERROR(IF(($IJ215)&gt;0,($IM215)/($IJ215),""),"")</f>
        <v/>
      </c>
      <c r="IT215" s="67">
        <f>IFERROR(IF(($IK215)&gt;0,($IN215)/($IK215),""),"")</f>
        <v/>
      </c>
      <c r="IU215" s="67">
        <f>IFERROR(IF(($IL215)&gt;0,($IO215)/($IL215),""),"")</f>
        <v/>
      </c>
      <c r="IV215" s="55">
        <f>SUMIFS(tblBudget[Gold_Poured_oz],tblBudget[Month],$E215)</f>
        <v/>
      </c>
      <c r="IW215" s="55">
        <f>$IV215*$C215/$D215</f>
        <v/>
      </c>
      <c r="IX215" s="55">
        <f>SUMIFS(tblBudget[Gold_Poured_oz],tblBudget[Month],"&lt;"&amp;$E215)+$IW215</f>
        <v/>
      </c>
      <c r="IY215" s="57">
        <f>SUMIFS(tblBudget[Hours_Worked],tblBudget[Month],$E215)</f>
        <v/>
      </c>
      <c r="IZ215" s="57">
        <f>$IY215*$C215/$D215</f>
        <v/>
      </c>
      <c r="JA215" s="57">
        <f>SUMIFS(tblBudget[Hours_Worked],tblBudget[Month],"&lt;"&amp;$E215)+$IZ215</f>
        <v/>
      </c>
    </row>
    <row r="216">
      <c r="A216" s="54" t="n">
        <v>46237</v>
      </c>
      <c r="B216">
        <f>MONTH($A216)</f>
        <v/>
      </c>
      <c r="C216">
        <f>DAY($A216)</f>
        <v/>
      </c>
      <c r="D216">
        <f>DAY(EOMONTH($A216,0))</f>
        <v/>
      </c>
      <c r="E216" s="54">
        <f>DATE(YEAR($A216),MONTH($A216),1)</f>
        <v/>
      </c>
      <c r="F216" s="55">
        <f>SUMIFS(tblMovement[Tonnes_t],tblMovement[Date],$A216,tblMovement[Is_Ore],1,tblMovement[Source_Type],"Pit")</f>
        <v/>
      </c>
      <c r="G216" s="55">
        <f>IF($B216=$B215,$G215,0)+$F216</f>
        <v/>
      </c>
      <c r="H216" s="55">
        <f>$H215+$F216</f>
        <v/>
      </c>
      <c r="I216" s="55">
        <f>SUMIFS(tblMovement[Ore_oz],tblMovement[Date],$A216,tblMovement[Source_Type],"Pit")</f>
        <v/>
      </c>
      <c r="J216" s="55">
        <f>IF($B216=$B215,$J215,0)+$I216</f>
        <v/>
      </c>
      <c r="K216" s="55">
        <f>$K215+$I216</f>
        <v/>
      </c>
      <c r="L216" s="56">
        <f>IFERROR(IF(($F216)&gt;0,($I216*cfg_TroyOz)/($F216),""),"")</f>
        <v/>
      </c>
      <c r="M216" s="56">
        <f>IFERROR(IF(($G216)&gt;0,($J216*cfg_TroyOz)/($G216),""),"")</f>
        <v/>
      </c>
      <c r="N216" s="56">
        <f>IFERROR(IF(($H216)&gt;0,($K216*cfg_TroyOz)/($H216),""),"")</f>
        <v/>
      </c>
      <c r="O216" s="55">
        <f>SUMIFS(tblMovement[Tonnes_t],tblMovement[Date],$A216,tblMovement[Is_Ore],0,tblMovement[Source_Type],"Pit")</f>
        <v/>
      </c>
      <c r="P216" s="55">
        <f>IF($B216=$B215,$P215,0)+$O216</f>
        <v/>
      </c>
      <c r="Q216" s="55">
        <f>$Q215+$O216</f>
        <v/>
      </c>
      <c r="R216" s="55">
        <f>$F216+$O216</f>
        <v/>
      </c>
      <c r="S216" s="55">
        <f>IF($B216=$B215,$S215,0)+$R216</f>
        <v/>
      </c>
      <c r="T216" s="55">
        <f>$T215+$R216</f>
        <v/>
      </c>
      <c r="U216" s="56">
        <f>IFERROR(IF(($F216)&gt;0,($O216)/($F216),""),"")</f>
        <v/>
      </c>
      <c r="V216" s="56">
        <f>IFERROR(IF(($G216)&gt;0,($P216)/($G216),""),"")</f>
        <v/>
      </c>
      <c r="W216" s="56">
        <f>IFERROR(IF(($H216)&gt;0,($Q216)/($H216),""),"")</f>
        <v/>
      </c>
      <c r="X216" s="55">
        <f>SUMIFS(tblMovement[Tonnes_t],tblMovement[Date],$A216,tblMovement[Source_Type],"Stockpile")</f>
        <v/>
      </c>
      <c r="Y216" s="55">
        <f>IF($B216=$B215,$Y215,0)+$X216</f>
        <v/>
      </c>
      <c r="Z216" s="55">
        <f>$Z215+$X216</f>
        <v/>
      </c>
      <c r="AA216" s="55">
        <f>SUMIFS(tblMiningDaily[Drill_m],tblMiningDaily[Date],$A216)</f>
        <v/>
      </c>
      <c r="AB216" s="55">
        <f>IF($B216=$B215,$AB215,0)+$AA216</f>
        <v/>
      </c>
      <c r="AC216" s="55">
        <f>$AC215+$AA216</f>
        <v/>
      </c>
      <c r="AD216" s="55">
        <f>SUMIFS(tblMiningDaily[Blast_t],tblMiningDaily[Date],$A216)</f>
        <v/>
      </c>
      <c r="AE216" s="55">
        <f>IF($B216=$B215,$AE215,0)+$AD216</f>
        <v/>
      </c>
      <c r="AF216" s="55">
        <f>$AF215+$AD216</f>
        <v/>
      </c>
      <c r="AG216" s="55">
        <f>SUMIFS(tblMiningDaily[Explosives_kg],tblMiningDaily[Date],$A216)</f>
        <v/>
      </c>
      <c r="AH216" s="55">
        <f>IF($B216=$B215,$AH215,0)+$AG216</f>
        <v/>
      </c>
      <c r="AI216" s="55">
        <f>$AI215+$AG216</f>
        <v/>
      </c>
      <c r="AJ216" s="56">
        <f>IFERROR(IF(($AD216)&gt;0,($AG216)/($AD216),""),"")</f>
        <v/>
      </c>
      <c r="AK216" s="56">
        <f>IFERROR(IF(($AE216)&gt;0,($AH216)/($AE216),""),"")</f>
        <v/>
      </c>
      <c r="AL216" s="56">
        <f>IFERROR(IF(($AF216)&gt;0,($AI216)/($AF216),""),"")</f>
        <v/>
      </c>
      <c r="AM216" s="55">
        <f>SUMIFS(tblMiningDaily[Diesel_L],tblMiningDaily[Date],$A216)</f>
        <v/>
      </c>
      <c r="AN216" s="55">
        <f>IF($B216=$B215,$AN215,0)+$AM216</f>
        <v/>
      </c>
      <c r="AO216" s="55">
        <f>$AO215+$AM216</f>
        <v/>
      </c>
      <c r="AP216" s="55">
        <f>SUMIFS(tblMiningDaily[Dewatering_m3],tblMiningDaily[Date],$A216)</f>
        <v/>
      </c>
      <c r="AQ216" s="55">
        <f>IF($B216=$B215,$AQ215,0)+$AP216</f>
        <v/>
      </c>
      <c r="AR216" s="55">
        <f>$AR215+$AP216</f>
        <v/>
      </c>
      <c r="AS216" s="57">
        <f>SUMIFS(tblFleet[Calendar_h],tblFleet[Date],$A216,tblFleet[Equipment_Class],"Excavator")</f>
        <v/>
      </c>
      <c r="AT216" s="57">
        <f>IF($B216=$B215,$AT215,0)+$AS216</f>
        <v/>
      </c>
      <c r="AU216" s="57">
        <f>$AU215+$AS216</f>
        <v/>
      </c>
      <c r="AV216" s="57">
        <f>SUMIFS(tblFleet[Available_h],tblFleet[Date],$A216,tblFleet[Equipment_Class],"Excavator")</f>
        <v/>
      </c>
      <c r="AW216" s="57">
        <f>IF($B216=$B215,$AW215,0)+$AV216</f>
        <v/>
      </c>
      <c r="AX216" s="57">
        <f>$AX215+$AV216</f>
        <v/>
      </c>
      <c r="AY216" s="57">
        <f>SUMIFS(tblFleet[Operating_h],tblFleet[Date],$A216,tblFleet[Equipment_Class],"Excavator")</f>
        <v/>
      </c>
      <c r="AZ216" s="57">
        <f>IF($B216=$B215,$AZ215,0)+$AY216</f>
        <v/>
      </c>
      <c r="BA216" s="57">
        <f>$BA215+$AY216</f>
        <v/>
      </c>
      <c r="BB216" s="67">
        <f>IFERROR(IF(($AS216)&gt;0,($AV216)/($AS216),""),"")</f>
        <v/>
      </c>
      <c r="BC216" s="67">
        <f>IFERROR(IF(($AT216)&gt;0,($AW216)/($AT216),""),"")</f>
        <v/>
      </c>
      <c r="BD216" s="67">
        <f>IFERROR(IF(($AU216)&gt;0,($AX216)/($AU216),""),"")</f>
        <v/>
      </c>
      <c r="BE216" s="67">
        <f>IFERROR(IF(($AV216)&gt;0,($AY216)/($AV216),""),"")</f>
        <v/>
      </c>
      <c r="BF216" s="67">
        <f>IFERROR(IF(($AW216)&gt;0,($AZ216)/($AW216),""),"")</f>
        <v/>
      </c>
      <c r="BG216" s="67">
        <f>IFERROR(IF(($AX216)&gt;0,($BA216)/($AX216),""),"")</f>
        <v/>
      </c>
      <c r="BH216" s="57">
        <f>SUMIFS(tblFleet[Calendar_h],tblFleet[Date],$A216,tblFleet[Equipment_Class],"Haul Truck")</f>
        <v/>
      </c>
      <c r="BI216" s="57">
        <f>IF($B216=$B215,$BI215,0)+$BH216</f>
        <v/>
      </c>
      <c r="BJ216" s="57">
        <f>$BJ215+$BH216</f>
        <v/>
      </c>
      <c r="BK216" s="57">
        <f>SUMIFS(tblFleet[Available_h],tblFleet[Date],$A216,tblFleet[Equipment_Class],"Haul Truck")</f>
        <v/>
      </c>
      <c r="BL216" s="57">
        <f>IF($B216=$B215,$BL215,0)+$BK216</f>
        <v/>
      </c>
      <c r="BM216" s="57">
        <f>$BM215+$BK216</f>
        <v/>
      </c>
      <c r="BN216" s="57">
        <f>SUMIFS(tblFleet[Operating_h],tblFleet[Date],$A216,tblFleet[Equipment_Class],"Haul Truck")</f>
        <v/>
      </c>
      <c r="BO216" s="57">
        <f>IF($B216=$B215,$BO215,0)+$BN216</f>
        <v/>
      </c>
      <c r="BP216" s="57">
        <f>$BP215+$BN216</f>
        <v/>
      </c>
      <c r="BQ216" s="67">
        <f>IFERROR(IF(($BH216)&gt;0,($BK216)/($BH216),""),"")</f>
        <v/>
      </c>
      <c r="BR216" s="67">
        <f>IFERROR(IF(($BI216)&gt;0,($BL216)/($BI216),""),"")</f>
        <v/>
      </c>
      <c r="BS216" s="67">
        <f>IFERROR(IF(($BJ216)&gt;0,($BM216)/($BJ216),""),"")</f>
        <v/>
      </c>
      <c r="BT216" s="67">
        <f>IFERROR(IF(($BK216)&gt;0,($BN216)/($BK216),""),"")</f>
        <v/>
      </c>
      <c r="BU216" s="67">
        <f>IFERROR(IF(($BL216)&gt;0,($BO216)/($BL216),""),"")</f>
        <v/>
      </c>
      <c r="BV216" s="67">
        <f>IFERROR(IF(($BM216)&gt;0,($BP216)/($BM216),""),"")</f>
        <v/>
      </c>
      <c r="BW216" s="55">
        <f>SUMIFS(tblPlant[Crushed_t],tblPlant[Date],$A216)</f>
        <v/>
      </c>
      <c r="BX216" s="55">
        <f>IF($B216=$B215,$BX215,0)+$BW216</f>
        <v/>
      </c>
      <c r="BY216" s="55">
        <f>$BY215+$BW216</f>
        <v/>
      </c>
      <c r="BZ216" s="55">
        <f>SUMIFS(tblPlant[Milled_t],tblPlant[Date],$A216)</f>
        <v/>
      </c>
      <c r="CA216" s="55">
        <f>IF($B216=$B215,$CA215,0)+$BZ216</f>
        <v/>
      </c>
      <c r="CB216" s="55">
        <f>$CB215+$BZ216</f>
        <v/>
      </c>
      <c r="CC216" s="55">
        <f>SUMIFS(tblPlant[Feed_oz],tblPlant[Date],$A216)</f>
        <v/>
      </c>
      <c r="CD216" s="55">
        <f>IF($B216=$B215,$CD215,0)+$CC216</f>
        <v/>
      </c>
      <c r="CE216" s="55">
        <f>$CE215+$CC216</f>
        <v/>
      </c>
      <c r="CF216" s="55">
        <f>SUMIFS(tblPlant[Tails_oz],tblPlant[Date],$A216)</f>
        <v/>
      </c>
      <c r="CG216" s="55">
        <f>IF($B216=$B215,$CG215,0)+$CF216</f>
        <v/>
      </c>
      <c r="CH216" s="55">
        <f>$CH215+$CF216</f>
        <v/>
      </c>
      <c r="CI216" s="55">
        <f>SUMIFS(tblPlant[Recovered_oz],tblPlant[Date],$A216)</f>
        <v/>
      </c>
      <c r="CJ216" s="55">
        <f>IF($B216=$B215,$CJ215,0)+$CI216</f>
        <v/>
      </c>
      <c r="CK216" s="55">
        <f>$CK215+$CI216</f>
        <v/>
      </c>
      <c r="CL216" s="56">
        <f>IFERROR(IF(($BZ216)&gt;0,($CC216*cfg_TroyOz)/($BZ216),""),"")</f>
        <v/>
      </c>
      <c r="CM216" s="56">
        <f>IFERROR(IF(($CA216)&gt;0,($CD216*cfg_TroyOz)/($CA216),""),"")</f>
        <v/>
      </c>
      <c r="CN216" s="56">
        <f>IFERROR(IF(($CB216)&gt;0,($CE216*cfg_TroyOz)/($CB216),""),"")</f>
        <v/>
      </c>
      <c r="CO216" s="56">
        <f>IFERROR(IF(($BZ216)&gt;0,($CF216*cfg_TroyOz)/($BZ216),""),"")</f>
        <v/>
      </c>
      <c r="CP216" s="56">
        <f>IFERROR(IF(($CA216)&gt;0,($CG216*cfg_TroyOz)/($CA216),""),"")</f>
        <v/>
      </c>
      <c r="CQ216" s="56">
        <f>IFERROR(IF(($CB216)&gt;0,($CH216*cfg_TroyOz)/($CB216),""),"")</f>
        <v/>
      </c>
      <c r="CR216" s="67">
        <f>IFERROR(IF(($CC216)&gt;0,($CI216)/($CC216),""),"")</f>
        <v/>
      </c>
      <c r="CS216" s="67">
        <f>IFERROR(IF(($CD216)&gt;0,($CJ216)/($CD216),""),"")</f>
        <v/>
      </c>
      <c r="CT216" s="67">
        <f>IFERROR(IF(($CE216)&gt;0,($CK216)/($CE216),""),"")</f>
        <v/>
      </c>
      <c r="CU216" s="55">
        <f>SUMIFS(tblPlant[Gravity_Gold_oz],tblPlant[Date],$A216)</f>
        <v/>
      </c>
      <c r="CV216" s="55">
        <f>IF($B216=$B215,$CV215,0)+$CU216</f>
        <v/>
      </c>
      <c r="CW216" s="55">
        <f>$CW215+$CU216</f>
        <v/>
      </c>
      <c r="CX216" s="55">
        <f>SUMIFS(tblPlant[Gold_Poured_oz],tblPlant[Date],$A216)</f>
        <v/>
      </c>
      <c r="CY216" s="55">
        <f>IF($B216=$B215,$CY215,0)+$CX216</f>
        <v/>
      </c>
      <c r="CZ216" s="55">
        <f>$CZ215+$CX216</f>
        <v/>
      </c>
      <c r="DA216" s="57">
        <f>SUMIFS(tblPlant[Mill_Run_h],tblPlant[Date],$A216)</f>
        <v/>
      </c>
      <c r="DB216" s="57">
        <f>IF($B216=$B215,$DB215,0)+$DA216</f>
        <v/>
      </c>
      <c r="DC216" s="57">
        <f>$DC215+$DA216</f>
        <v/>
      </c>
      <c r="DD216" s="57">
        <f>SUMIFS(tblPlant[Mill_Planned_Maint_h],tblPlant[Date],$A216)</f>
        <v/>
      </c>
      <c r="DE216" s="57">
        <f>IF($B216=$B215,$DE215,0)+$DD216</f>
        <v/>
      </c>
      <c r="DF216" s="57">
        <f>$DF215+$DD216</f>
        <v/>
      </c>
      <c r="DG216" s="57">
        <f>SUMIFS(tblPlant[Mill_Unplanned_Down_h],tblPlant[Date],$A216)</f>
        <v/>
      </c>
      <c r="DH216" s="57">
        <f>IF($B216=$B215,$DH215,0)+$DG216</f>
        <v/>
      </c>
      <c r="DI216" s="57">
        <f>$DI215+$DG216</f>
        <v/>
      </c>
      <c r="DJ216" s="57">
        <f>COUNTIFS(tblPlant[Date],$A216,tblPlant[Mill_Run_h],"&lt;&gt;")*24</f>
        <v/>
      </c>
      <c r="DK216" s="57">
        <f>IF($B216=$B215,$DK215,0)+$DJ216</f>
        <v/>
      </c>
      <c r="DL216" s="57">
        <f>$DL215+$DJ216</f>
        <v/>
      </c>
      <c r="DM216" s="57">
        <f>SUMIFS(tblPlant[Crusher_Run_h],tblPlant[Date],$A216)</f>
        <v/>
      </c>
      <c r="DN216" s="57">
        <f>IF($B216=$B215,$DN215,0)+$DM216</f>
        <v/>
      </c>
      <c r="DO216" s="57">
        <f>$DO215+$DM216</f>
        <v/>
      </c>
      <c r="DP216" s="55">
        <f>IFERROR(IF(($DA216)&gt;0,($BZ216)/($DA216),""),"")</f>
        <v/>
      </c>
      <c r="DQ216" s="55">
        <f>IFERROR(IF(($DB216)&gt;0,($CA216)/($DB216),""),"")</f>
        <v/>
      </c>
      <c r="DR216" s="55">
        <f>IFERROR(IF(($DC216)&gt;0,($CB216)/($DC216),""),"")</f>
        <v/>
      </c>
      <c r="DS216" s="67">
        <f>IFERROR(IF(($DJ216)&gt;0,($DJ216-$DD216-$DG216)/($DJ216),""),"")</f>
        <v/>
      </c>
      <c r="DT216" s="67">
        <f>IFERROR(IF(($DK216)&gt;0,($DK216-$DE216-$DH216)/($DK216),""),"")</f>
        <v/>
      </c>
      <c r="DU216" s="67">
        <f>IFERROR(IF(($DL216)&gt;0,($DL216-$DF216-$DI216)/($DL216),""),"")</f>
        <v/>
      </c>
      <c r="DV216" s="67">
        <f>IFERROR(IF(($DJ216-$DD216-$DG216)&gt;0,($DA216)/($DJ216-$DD216-$DG216),""),"")</f>
        <v/>
      </c>
      <c r="DW216" s="67">
        <f>IFERROR(IF(($DK216-$DE216-$DH216)&gt;0,($DB216)/($DK216-$DE216-$DH216),""),"")</f>
        <v/>
      </c>
      <c r="DX216" s="67">
        <f>IFERROR(IF(($DL216-$DF216-$DI216)&gt;0,($DC216)/($DL216-$DF216-$DI216),""),"")</f>
        <v/>
      </c>
      <c r="DY216" s="55">
        <f>SUMIFS(tblPlant[Cyanide_kg],tblPlant[Date],$A216)</f>
        <v/>
      </c>
      <c r="DZ216" s="55">
        <f>IF($B216=$B215,$DZ215,0)+$DY216</f>
        <v/>
      </c>
      <c r="EA216" s="55">
        <f>$EA215+$DY216</f>
        <v/>
      </c>
      <c r="EB216" s="55">
        <f>SUMIFS(tblPlant[Lime_kg],tblPlant[Date],$A216)</f>
        <v/>
      </c>
      <c r="EC216" s="55">
        <f>IF($B216=$B215,$EC215,0)+$EB216</f>
        <v/>
      </c>
      <c r="ED216" s="55">
        <f>$ED215+$EB216</f>
        <v/>
      </c>
      <c r="EE216" s="55">
        <f>SUMIFS(tblPlant[Grinding_Media_kg],tblPlant[Date],$A216)</f>
        <v/>
      </c>
      <c r="EF216" s="55">
        <f>IF($B216=$B215,$EF215,0)+$EE216</f>
        <v/>
      </c>
      <c r="EG216" s="55">
        <f>$EG215+$EE216</f>
        <v/>
      </c>
      <c r="EH216" s="55">
        <f>SUMIFS(tblPlant[Power_kWh],tblPlant[Date],$A216)</f>
        <v/>
      </c>
      <c r="EI216" s="55">
        <f>IF($B216=$B215,$EI215,0)+$EH216</f>
        <v/>
      </c>
      <c r="EJ216" s="55">
        <f>$EJ215+$EH216</f>
        <v/>
      </c>
      <c r="EK216" s="55">
        <f>SUMIFS(tblPlant[Raw_Water_m3],tblPlant[Date],$A216)</f>
        <v/>
      </c>
      <c r="EL216" s="55">
        <f>IF($B216=$B215,$EL215,0)+$EK216</f>
        <v/>
      </c>
      <c r="EM216" s="55">
        <f>$EM215+$EK216</f>
        <v/>
      </c>
      <c r="EN216" s="56">
        <f>IFERROR(IF(($BZ216)&gt;0,($DY216)/($BZ216),""),"")</f>
        <v/>
      </c>
      <c r="EO216" s="56">
        <f>IFERROR(IF(($CA216)&gt;0,($DZ216)/($CA216),""),"")</f>
        <v/>
      </c>
      <c r="EP216" s="56">
        <f>IFERROR(IF(($CB216)&gt;0,($EA216)/($CB216),""),"")</f>
        <v/>
      </c>
      <c r="EQ216" s="56">
        <f>IFERROR(IF(($BZ216)&gt;0,($EB216)/($BZ216),""),"")</f>
        <v/>
      </c>
      <c r="ER216" s="56">
        <f>IFERROR(IF(($CA216)&gt;0,($EC216)/($CA216),""),"")</f>
        <v/>
      </c>
      <c r="ES216" s="56">
        <f>IFERROR(IF(($CB216)&gt;0,($ED216)/($CB216),""),"")</f>
        <v/>
      </c>
      <c r="ET216" s="56">
        <f>IFERROR(IF(($BZ216)&gt;0,($EE216)/($BZ216),""),"")</f>
        <v/>
      </c>
      <c r="EU216" s="56">
        <f>IFERROR(IF(($CA216)&gt;0,($EF216)/($CA216),""),"")</f>
        <v/>
      </c>
      <c r="EV216" s="56">
        <f>IFERROR(IF(($CB216)&gt;0,($EG216)/($CB216),""),"")</f>
        <v/>
      </c>
      <c r="EW216" s="76">
        <f>IFERROR(IF(($BZ216)&gt;0,($EH216)/($BZ216),""),"")</f>
        <v/>
      </c>
      <c r="EX216" s="76">
        <f>IFERROR(IF(($CA216)&gt;0,($EI216)/($CA216),""),"")</f>
        <v/>
      </c>
      <c r="EY216" s="76">
        <f>IFERROR(IF(($CB216)&gt;0,($EJ216)/($CB216),""),"")</f>
        <v/>
      </c>
      <c r="EZ216" s="56">
        <f>IFERROR(IF(($BZ216)&gt;0,($EK216)/($BZ216),""),"")</f>
        <v/>
      </c>
      <c r="FA216" s="56">
        <f>IFERROR(IF(($CA216)&gt;0,($EL216)/($CA216),""),"")</f>
        <v/>
      </c>
      <c r="FB216" s="56">
        <f>IFERROR(IF(($CB216)&gt;0,($EM216)/($CB216),""),"")</f>
        <v/>
      </c>
      <c r="FC216" s="55">
        <f>IF(SUMIFS(tblPlant[GIC_oz],tblPlant[Date],$A216)&gt;0,SUMIFS(tblPlant[GIC_oz],tblPlant[Date],$A216),"")</f>
        <v/>
      </c>
      <c r="FD216" s="55">
        <f>SUMIFS(tblGold[Gold_oz],tblGold[Date],$A216,tblGold[Type],"Shipment")</f>
        <v/>
      </c>
      <c r="FE216" s="55">
        <f>IF($B216=$B215,$FE215,0)+$FD216</f>
        <v/>
      </c>
      <c r="FF216" s="55">
        <f>$FF215+$FD216</f>
        <v/>
      </c>
      <c r="FG216" s="55">
        <f>SUMIFS(tblGold[Gold_oz],tblGold[Date],$A216,tblGold[Type],"Sale")</f>
        <v/>
      </c>
      <c r="FH216" s="55">
        <f>IF($B216=$B215,$FH215,0)+$FG216</f>
        <v/>
      </c>
      <c r="FI216" s="55">
        <f>$FI215+$FG216</f>
        <v/>
      </c>
      <c r="FJ216" s="55">
        <f>SUMIFS(tblGold[Dore_kg],tblGold[Date],$A216,tblGold[Type],"Shipment")</f>
        <v/>
      </c>
      <c r="FK216" s="55">
        <f>IF($B216=$B215,$FK215,0)+$FJ216</f>
        <v/>
      </c>
      <c r="FL216" s="55">
        <f>$FL215+$FJ216</f>
        <v/>
      </c>
      <c r="FM216" s="57">
        <f>SUMIFS(tblSafety[Hours_Total],tblSafety[Date],$A216)</f>
        <v/>
      </c>
      <c r="FN216" s="57">
        <f>IF($B216=$B215,$FN215,0)+$FM216</f>
        <v/>
      </c>
      <c r="FO216" s="57">
        <f>$FO215+$FM216</f>
        <v/>
      </c>
      <c r="FP216" s="62">
        <f>SUMIFS(tblSafety[Fatality],tblSafety[Date],$A216)</f>
        <v/>
      </c>
      <c r="FQ216" s="62">
        <f>IF($B216=$B215,$FQ215,0)+$FP216</f>
        <v/>
      </c>
      <c r="FR216" s="62">
        <f>$FR215+$FP216</f>
        <v/>
      </c>
      <c r="FS216" s="62">
        <f>SUMIFS(tblSafety[LTI],tblSafety[Date],$A216)</f>
        <v/>
      </c>
      <c r="FT216" s="62">
        <f>IF($B216=$B215,$FT215,0)+$FS216</f>
        <v/>
      </c>
      <c r="FU216" s="62">
        <f>$FU215+$FS216</f>
        <v/>
      </c>
      <c r="FV216" s="62">
        <f>SUMIFS(tblSafety[RWI],tblSafety[Date],$A216)</f>
        <v/>
      </c>
      <c r="FW216" s="62">
        <f>IF($B216=$B215,$FW215,0)+$FV216</f>
        <v/>
      </c>
      <c r="FX216" s="62">
        <f>$FX215+$FV216</f>
        <v/>
      </c>
      <c r="FY216" s="62">
        <f>SUMIFS(tblSafety[MTI],tblSafety[Date],$A216)</f>
        <v/>
      </c>
      <c r="FZ216" s="62">
        <f>IF($B216=$B215,$FZ215,0)+$FY216</f>
        <v/>
      </c>
      <c r="GA216" s="62">
        <f>$GA215+$FY216</f>
        <v/>
      </c>
      <c r="GB216" s="62">
        <f>SUMIFS(tblSafety[FAI],tblSafety[Date],$A216)</f>
        <v/>
      </c>
      <c r="GC216" s="62">
        <f>IF($B216=$B215,$GC215,0)+$GB216</f>
        <v/>
      </c>
      <c r="GD216" s="62">
        <f>$GD215+$GB216</f>
        <v/>
      </c>
      <c r="GE216" s="62">
        <f>SUMIFS(tblSafety[Recordables],tblSafety[Date],$A216)</f>
        <v/>
      </c>
      <c r="GF216" s="62">
        <f>IF($B216=$B215,$GF215,0)+$GE216</f>
        <v/>
      </c>
      <c r="GG216" s="62">
        <f>$GG215+$GE216</f>
        <v/>
      </c>
      <c r="GH216" s="62">
        <f>SUMIFS(tblSafety[Near_Miss],tblSafety[Date],$A216)</f>
        <v/>
      </c>
      <c r="GI216" s="62">
        <f>IF($B216=$B215,$GI215,0)+$GH216</f>
        <v/>
      </c>
      <c r="GJ216" s="62">
        <f>$GJ215+$GH216</f>
        <v/>
      </c>
      <c r="GK216" s="62">
        <f>SUMIFS(tblSafety[Hazard_Reports],tblSafety[Date],$A216)</f>
        <v/>
      </c>
      <c r="GL216" s="62">
        <f>IF($B216=$B215,$GL215,0)+$GK216</f>
        <v/>
      </c>
      <c r="GM216" s="62">
        <f>$GM215+$GK216</f>
        <v/>
      </c>
      <c r="GN216" s="62">
        <f>SUMIFS(tblSafety[HPI],tblSafety[Date],$A216)</f>
        <v/>
      </c>
      <c r="GO216" s="62">
        <f>IF($B216=$B215,$GO215,0)+$GN216</f>
        <v/>
      </c>
      <c r="GP216" s="62">
        <f>$GP215+$GN216</f>
        <v/>
      </c>
      <c r="GQ216" s="62">
        <f>SUMIFS(tblSafety[Env_Incidents],tblSafety[Date],$A216)</f>
        <v/>
      </c>
      <c r="GR216" s="62">
        <f>IF($B216=$B215,$GR215,0)+$GQ216</f>
        <v/>
      </c>
      <c r="GS216" s="62">
        <f>$GS215+$GQ216</f>
        <v/>
      </c>
      <c r="GT216" s="62">
        <f>SUMIFS(tblSafety[Community_Incidents],tblSafety[Date],$A216)</f>
        <v/>
      </c>
      <c r="GU216" s="62">
        <f>IF($B216=$B215,$GU215,0)+$GT216</f>
        <v/>
      </c>
      <c r="GV216" s="62">
        <f>$GV215+$GT216</f>
        <v/>
      </c>
      <c r="GW216" s="62">
        <f>SUMIFS(tblSafety[Vehicle_Incidents],tblSafety[Date],$A216)</f>
        <v/>
      </c>
      <c r="GX216" s="62">
        <f>IF($B216=$B215,$GX215,0)+$GW216</f>
        <v/>
      </c>
      <c r="GY216" s="62">
        <f>$GY215+$GW216</f>
        <v/>
      </c>
      <c r="GZ216" s="62">
        <f>SUMIFS(tblSafety[Toolbox_Talks],tblSafety[Date],$A216)</f>
        <v/>
      </c>
      <c r="HA216" s="62">
        <f>IF($B216=$B215,$HA215,0)+$GZ216</f>
        <v/>
      </c>
      <c r="HB216" s="62">
        <f>$HB215+$GZ216</f>
        <v/>
      </c>
      <c r="HC216" s="62">
        <f>SUMIFS(tblSafety[Inspections],tblSafety[Date],$A216)</f>
        <v/>
      </c>
      <c r="HD216" s="62">
        <f>IF($B216=$B215,$HD215,0)+$HC216</f>
        <v/>
      </c>
      <c r="HE216" s="62">
        <f>$HE215+$HC216</f>
        <v/>
      </c>
      <c r="HF216" s="56">
        <f>IFERROR((SUMIFS(tblSafety[Recordables],tblSafety[Date],"&gt;="&amp;EDATE($E216,-12),tblSafety[Date],"&lt;="&amp;$A216)+SUMIFS(tblSafetyHistory[Recordables],tblSafetyHistory[Month],"&gt;="&amp;EDATE($E216,-12),tblSafetyHistory[Month],"&lt;"&amp;cfg_YearStart))/(SUMIFS(tblSafety[Hours_Total],tblSafety[Date],"&gt;="&amp;EDATE($E216,-12),tblSafety[Date],"&lt;="&amp;$A216)+SUMIFS(tblSafetyHistory[Hours_Total],tblSafetyHistory[Month],"&gt;="&amp;EDATE($E216,-12),tblSafetyHistory[Month],"&lt;"&amp;cfg_YearStart))*1000000,"")</f>
        <v/>
      </c>
      <c r="HG216" s="56">
        <f>IFERROR((SUMIFS(tblSafety[LTI],tblSafety[Date],"&gt;="&amp;EDATE($E216,-12),tblSafety[Date],"&lt;="&amp;$A216)+SUMIFS(tblSafetyHistory[LTI],tblSafetyHistory[Month],"&gt;="&amp;EDATE($E216,-12),tblSafetyHistory[Month],"&lt;"&amp;cfg_YearStart))/(SUMIFS(tblSafety[Hours_Total],tblSafety[Date],"&gt;="&amp;EDATE($E216,-12),tblSafety[Date],"&lt;="&amp;$A216)+SUMIFS(tblSafetyHistory[Hours_Total],tblSafetyHistory[Month],"&gt;="&amp;EDATE($E216,-12),tblSafetyHistory[Month],"&lt;"&amp;cfg_YearStart))*1000000,"")</f>
        <v/>
      </c>
      <c r="HH216" s="62">
        <f>IF(MAX(N(cfg_PriorLTIDate),_xlfn.MAXIFS(tblSafety[Date],tblSafety[LTI],"&gt;0",tblSafety[Date],"&lt;="&amp;$A216))=0,"",$A216-MAX(N(cfg_PriorLTIDate),_xlfn.MAXIFS(tblSafety[Date],tblSafety[LTI],"&gt;0",tblSafety[Date],"&lt;="&amp;$A216)))</f>
        <v/>
      </c>
      <c r="HI216" s="55">
        <f>SUMIFS(tblBudget[Ore_Mined_t],tblBudget[Month],$E216)</f>
        <v/>
      </c>
      <c r="HJ216" s="55">
        <f>$HI216*$C216/$D216</f>
        <v/>
      </c>
      <c r="HK216" s="55">
        <f>SUMIFS(tblBudget[Ore_Mined_t],tblBudget[Month],"&lt;"&amp;$E216)+$HJ216</f>
        <v/>
      </c>
      <c r="HL216" s="55">
        <f>SUMIFS(tblBudget[Ore_oz],tblBudget[Month],$E216)</f>
        <v/>
      </c>
      <c r="HM216" s="55">
        <f>$HL216*$C216/$D216</f>
        <v/>
      </c>
      <c r="HN216" s="55">
        <f>SUMIFS(tblBudget[Ore_oz],tblBudget[Month],"&lt;"&amp;$E216)+$HM216</f>
        <v/>
      </c>
      <c r="HO216" s="56">
        <f>IFERROR(IF(($HI216)&gt;0,($HL216*cfg_TroyOz)/($HI216),""),"")</f>
        <v/>
      </c>
      <c r="HP216" s="56">
        <f>IFERROR(IF(($HJ216)&gt;0,($HM216*cfg_TroyOz)/($HJ216),""),"")</f>
        <v/>
      </c>
      <c r="HQ216" s="56">
        <f>IFERROR(IF(($HK216)&gt;0,($HN216*cfg_TroyOz)/($HK216),""),"")</f>
        <v/>
      </c>
      <c r="HR216" s="55">
        <f>SUMIFS(tblBudget[Waste_t],tblBudget[Month],$E216)</f>
        <v/>
      </c>
      <c r="HS216" s="55">
        <f>$HR216*$C216/$D216</f>
        <v/>
      </c>
      <c r="HT216" s="55">
        <f>SUMIFS(tblBudget[Waste_t],tblBudget[Month],"&lt;"&amp;$E216)+$HS216</f>
        <v/>
      </c>
      <c r="HU216" s="55">
        <f>SUMIFS(tblBudget[TMM_t],tblBudget[Month],$E216)</f>
        <v/>
      </c>
      <c r="HV216" s="55">
        <f>$HU216*$C216/$D216</f>
        <v/>
      </c>
      <c r="HW216" s="55">
        <f>SUMIFS(tblBudget[TMM_t],tblBudget[Month],"&lt;"&amp;$E216)+$HV216</f>
        <v/>
      </c>
      <c r="HX216" s="56">
        <f>IFERROR(IF(($HI216)&gt;0,($HR216)/($HI216),""),"")</f>
        <v/>
      </c>
      <c r="HY216" s="56">
        <f>IFERROR(IF(($HJ216)&gt;0,($HS216)/($HJ216),""),"")</f>
        <v/>
      </c>
      <c r="HZ216" s="56">
        <f>IFERROR(IF(($HK216)&gt;0,($HT216)/($HK216),""),"")</f>
        <v/>
      </c>
      <c r="IA216" s="55">
        <f>SUMIFS(tblBudget[Drill_m],tblBudget[Month],$E216)</f>
        <v/>
      </c>
      <c r="IB216" s="55">
        <f>$IA216*$C216/$D216</f>
        <v/>
      </c>
      <c r="IC216" s="55">
        <f>SUMIFS(tblBudget[Drill_m],tblBudget[Month],"&lt;"&amp;$E216)+$IB216</f>
        <v/>
      </c>
      <c r="ID216" s="55">
        <f>SUMIFS(tblBudget[Diesel_L],tblBudget[Month],$E216)</f>
        <v/>
      </c>
      <c r="IE216" s="55">
        <f>$ID216*$C216/$D216</f>
        <v/>
      </c>
      <c r="IF216" s="55">
        <f>SUMIFS(tblBudget[Diesel_L],tblBudget[Month],"&lt;"&amp;$E216)+$IE216</f>
        <v/>
      </c>
      <c r="IG216" s="55">
        <f>SUMIFS(tblBudget[Milled_t],tblBudget[Month],$E216)</f>
        <v/>
      </c>
      <c r="IH216" s="55">
        <f>$IG216*$C216/$D216</f>
        <v/>
      </c>
      <c r="II216" s="55">
        <f>SUMIFS(tblBudget[Milled_t],tblBudget[Month],"&lt;"&amp;$E216)+$IH216</f>
        <v/>
      </c>
      <c r="IJ216" s="55">
        <f>SUMIFS(tblBudget[Feed_oz],tblBudget[Month],$E216)</f>
        <v/>
      </c>
      <c r="IK216" s="55">
        <f>$IJ216*$C216/$D216</f>
        <v/>
      </c>
      <c r="IL216" s="55">
        <f>SUMIFS(tblBudget[Feed_oz],tblBudget[Month],"&lt;"&amp;$E216)+$IK216</f>
        <v/>
      </c>
      <c r="IM216" s="55">
        <f>SUMIFS(tblBudget[Recovered_oz],tblBudget[Month],$E216)</f>
        <v/>
      </c>
      <c r="IN216" s="55">
        <f>$IM216*$C216/$D216</f>
        <v/>
      </c>
      <c r="IO216" s="55">
        <f>SUMIFS(tblBudget[Recovered_oz],tblBudget[Month],"&lt;"&amp;$E216)+$IN216</f>
        <v/>
      </c>
      <c r="IP216" s="56">
        <f>IFERROR(IF(($IG216)&gt;0,($IJ216*cfg_TroyOz)/($IG216),""),"")</f>
        <v/>
      </c>
      <c r="IQ216" s="56">
        <f>IFERROR(IF(($IH216)&gt;0,($IK216*cfg_TroyOz)/($IH216),""),"")</f>
        <v/>
      </c>
      <c r="IR216" s="56">
        <f>IFERROR(IF(($II216)&gt;0,($IL216*cfg_TroyOz)/($II216),""),"")</f>
        <v/>
      </c>
      <c r="IS216" s="67">
        <f>IFERROR(IF(($IJ216)&gt;0,($IM216)/($IJ216),""),"")</f>
        <v/>
      </c>
      <c r="IT216" s="67">
        <f>IFERROR(IF(($IK216)&gt;0,($IN216)/($IK216),""),"")</f>
        <v/>
      </c>
      <c r="IU216" s="67">
        <f>IFERROR(IF(($IL216)&gt;0,($IO216)/($IL216),""),"")</f>
        <v/>
      </c>
      <c r="IV216" s="55">
        <f>SUMIFS(tblBudget[Gold_Poured_oz],tblBudget[Month],$E216)</f>
        <v/>
      </c>
      <c r="IW216" s="55">
        <f>$IV216*$C216/$D216</f>
        <v/>
      </c>
      <c r="IX216" s="55">
        <f>SUMIFS(tblBudget[Gold_Poured_oz],tblBudget[Month],"&lt;"&amp;$E216)+$IW216</f>
        <v/>
      </c>
      <c r="IY216" s="57">
        <f>SUMIFS(tblBudget[Hours_Worked],tblBudget[Month],$E216)</f>
        <v/>
      </c>
      <c r="IZ216" s="57">
        <f>$IY216*$C216/$D216</f>
        <v/>
      </c>
      <c r="JA216" s="57">
        <f>SUMIFS(tblBudget[Hours_Worked],tblBudget[Month],"&lt;"&amp;$E216)+$IZ216</f>
        <v/>
      </c>
    </row>
    <row r="217">
      <c r="A217" s="54" t="n">
        <v>46238</v>
      </c>
      <c r="B217">
        <f>MONTH($A217)</f>
        <v/>
      </c>
      <c r="C217">
        <f>DAY($A217)</f>
        <v/>
      </c>
      <c r="D217">
        <f>DAY(EOMONTH($A217,0))</f>
        <v/>
      </c>
      <c r="E217" s="54">
        <f>DATE(YEAR($A217),MONTH($A217),1)</f>
        <v/>
      </c>
      <c r="F217" s="55">
        <f>SUMIFS(tblMovement[Tonnes_t],tblMovement[Date],$A217,tblMovement[Is_Ore],1,tblMovement[Source_Type],"Pit")</f>
        <v/>
      </c>
      <c r="G217" s="55">
        <f>IF($B217=$B216,$G216,0)+$F217</f>
        <v/>
      </c>
      <c r="H217" s="55">
        <f>$H216+$F217</f>
        <v/>
      </c>
      <c r="I217" s="55">
        <f>SUMIFS(tblMovement[Ore_oz],tblMovement[Date],$A217,tblMovement[Source_Type],"Pit")</f>
        <v/>
      </c>
      <c r="J217" s="55">
        <f>IF($B217=$B216,$J216,0)+$I217</f>
        <v/>
      </c>
      <c r="K217" s="55">
        <f>$K216+$I217</f>
        <v/>
      </c>
      <c r="L217" s="56">
        <f>IFERROR(IF(($F217)&gt;0,($I217*cfg_TroyOz)/($F217),""),"")</f>
        <v/>
      </c>
      <c r="M217" s="56">
        <f>IFERROR(IF(($G217)&gt;0,($J217*cfg_TroyOz)/($G217),""),"")</f>
        <v/>
      </c>
      <c r="N217" s="56">
        <f>IFERROR(IF(($H217)&gt;0,($K217*cfg_TroyOz)/($H217),""),"")</f>
        <v/>
      </c>
      <c r="O217" s="55">
        <f>SUMIFS(tblMovement[Tonnes_t],tblMovement[Date],$A217,tblMovement[Is_Ore],0,tblMovement[Source_Type],"Pit")</f>
        <v/>
      </c>
      <c r="P217" s="55">
        <f>IF($B217=$B216,$P216,0)+$O217</f>
        <v/>
      </c>
      <c r="Q217" s="55">
        <f>$Q216+$O217</f>
        <v/>
      </c>
      <c r="R217" s="55">
        <f>$F217+$O217</f>
        <v/>
      </c>
      <c r="S217" s="55">
        <f>IF($B217=$B216,$S216,0)+$R217</f>
        <v/>
      </c>
      <c r="T217" s="55">
        <f>$T216+$R217</f>
        <v/>
      </c>
      <c r="U217" s="56">
        <f>IFERROR(IF(($F217)&gt;0,($O217)/($F217),""),"")</f>
        <v/>
      </c>
      <c r="V217" s="56">
        <f>IFERROR(IF(($G217)&gt;0,($P217)/($G217),""),"")</f>
        <v/>
      </c>
      <c r="W217" s="56">
        <f>IFERROR(IF(($H217)&gt;0,($Q217)/($H217),""),"")</f>
        <v/>
      </c>
      <c r="X217" s="55">
        <f>SUMIFS(tblMovement[Tonnes_t],tblMovement[Date],$A217,tblMovement[Source_Type],"Stockpile")</f>
        <v/>
      </c>
      <c r="Y217" s="55">
        <f>IF($B217=$B216,$Y216,0)+$X217</f>
        <v/>
      </c>
      <c r="Z217" s="55">
        <f>$Z216+$X217</f>
        <v/>
      </c>
      <c r="AA217" s="55">
        <f>SUMIFS(tblMiningDaily[Drill_m],tblMiningDaily[Date],$A217)</f>
        <v/>
      </c>
      <c r="AB217" s="55">
        <f>IF($B217=$B216,$AB216,0)+$AA217</f>
        <v/>
      </c>
      <c r="AC217" s="55">
        <f>$AC216+$AA217</f>
        <v/>
      </c>
      <c r="AD217" s="55">
        <f>SUMIFS(tblMiningDaily[Blast_t],tblMiningDaily[Date],$A217)</f>
        <v/>
      </c>
      <c r="AE217" s="55">
        <f>IF($B217=$B216,$AE216,0)+$AD217</f>
        <v/>
      </c>
      <c r="AF217" s="55">
        <f>$AF216+$AD217</f>
        <v/>
      </c>
      <c r="AG217" s="55">
        <f>SUMIFS(tblMiningDaily[Explosives_kg],tblMiningDaily[Date],$A217)</f>
        <v/>
      </c>
      <c r="AH217" s="55">
        <f>IF($B217=$B216,$AH216,0)+$AG217</f>
        <v/>
      </c>
      <c r="AI217" s="55">
        <f>$AI216+$AG217</f>
        <v/>
      </c>
      <c r="AJ217" s="56">
        <f>IFERROR(IF(($AD217)&gt;0,($AG217)/($AD217),""),"")</f>
        <v/>
      </c>
      <c r="AK217" s="56">
        <f>IFERROR(IF(($AE217)&gt;0,($AH217)/($AE217),""),"")</f>
        <v/>
      </c>
      <c r="AL217" s="56">
        <f>IFERROR(IF(($AF217)&gt;0,($AI217)/($AF217),""),"")</f>
        <v/>
      </c>
      <c r="AM217" s="55">
        <f>SUMIFS(tblMiningDaily[Diesel_L],tblMiningDaily[Date],$A217)</f>
        <v/>
      </c>
      <c r="AN217" s="55">
        <f>IF($B217=$B216,$AN216,0)+$AM217</f>
        <v/>
      </c>
      <c r="AO217" s="55">
        <f>$AO216+$AM217</f>
        <v/>
      </c>
      <c r="AP217" s="55">
        <f>SUMIFS(tblMiningDaily[Dewatering_m3],tblMiningDaily[Date],$A217)</f>
        <v/>
      </c>
      <c r="AQ217" s="55">
        <f>IF($B217=$B216,$AQ216,0)+$AP217</f>
        <v/>
      </c>
      <c r="AR217" s="55">
        <f>$AR216+$AP217</f>
        <v/>
      </c>
      <c r="AS217" s="57">
        <f>SUMIFS(tblFleet[Calendar_h],tblFleet[Date],$A217,tblFleet[Equipment_Class],"Excavator")</f>
        <v/>
      </c>
      <c r="AT217" s="57">
        <f>IF($B217=$B216,$AT216,0)+$AS217</f>
        <v/>
      </c>
      <c r="AU217" s="57">
        <f>$AU216+$AS217</f>
        <v/>
      </c>
      <c r="AV217" s="57">
        <f>SUMIFS(tblFleet[Available_h],tblFleet[Date],$A217,tblFleet[Equipment_Class],"Excavator")</f>
        <v/>
      </c>
      <c r="AW217" s="57">
        <f>IF($B217=$B216,$AW216,0)+$AV217</f>
        <v/>
      </c>
      <c r="AX217" s="57">
        <f>$AX216+$AV217</f>
        <v/>
      </c>
      <c r="AY217" s="57">
        <f>SUMIFS(tblFleet[Operating_h],tblFleet[Date],$A217,tblFleet[Equipment_Class],"Excavator")</f>
        <v/>
      </c>
      <c r="AZ217" s="57">
        <f>IF($B217=$B216,$AZ216,0)+$AY217</f>
        <v/>
      </c>
      <c r="BA217" s="57">
        <f>$BA216+$AY217</f>
        <v/>
      </c>
      <c r="BB217" s="67">
        <f>IFERROR(IF(($AS217)&gt;0,($AV217)/($AS217),""),"")</f>
        <v/>
      </c>
      <c r="BC217" s="67">
        <f>IFERROR(IF(($AT217)&gt;0,($AW217)/($AT217),""),"")</f>
        <v/>
      </c>
      <c r="BD217" s="67">
        <f>IFERROR(IF(($AU217)&gt;0,($AX217)/($AU217),""),"")</f>
        <v/>
      </c>
      <c r="BE217" s="67">
        <f>IFERROR(IF(($AV217)&gt;0,($AY217)/($AV217),""),"")</f>
        <v/>
      </c>
      <c r="BF217" s="67">
        <f>IFERROR(IF(($AW217)&gt;0,($AZ217)/($AW217),""),"")</f>
        <v/>
      </c>
      <c r="BG217" s="67">
        <f>IFERROR(IF(($AX217)&gt;0,($BA217)/($AX217),""),"")</f>
        <v/>
      </c>
      <c r="BH217" s="57">
        <f>SUMIFS(tblFleet[Calendar_h],tblFleet[Date],$A217,tblFleet[Equipment_Class],"Haul Truck")</f>
        <v/>
      </c>
      <c r="BI217" s="57">
        <f>IF($B217=$B216,$BI216,0)+$BH217</f>
        <v/>
      </c>
      <c r="BJ217" s="57">
        <f>$BJ216+$BH217</f>
        <v/>
      </c>
      <c r="BK217" s="57">
        <f>SUMIFS(tblFleet[Available_h],tblFleet[Date],$A217,tblFleet[Equipment_Class],"Haul Truck")</f>
        <v/>
      </c>
      <c r="BL217" s="57">
        <f>IF($B217=$B216,$BL216,0)+$BK217</f>
        <v/>
      </c>
      <c r="BM217" s="57">
        <f>$BM216+$BK217</f>
        <v/>
      </c>
      <c r="BN217" s="57">
        <f>SUMIFS(tblFleet[Operating_h],tblFleet[Date],$A217,tblFleet[Equipment_Class],"Haul Truck")</f>
        <v/>
      </c>
      <c r="BO217" s="57">
        <f>IF($B217=$B216,$BO216,0)+$BN217</f>
        <v/>
      </c>
      <c r="BP217" s="57">
        <f>$BP216+$BN217</f>
        <v/>
      </c>
      <c r="BQ217" s="67">
        <f>IFERROR(IF(($BH217)&gt;0,($BK217)/($BH217),""),"")</f>
        <v/>
      </c>
      <c r="BR217" s="67">
        <f>IFERROR(IF(($BI217)&gt;0,($BL217)/($BI217),""),"")</f>
        <v/>
      </c>
      <c r="BS217" s="67">
        <f>IFERROR(IF(($BJ217)&gt;0,($BM217)/($BJ217),""),"")</f>
        <v/>
      </c>
      <c r="BT217" s="67">
        <f>IFERROR(IF(($BK217)&gt;0,($BN217)/($BK217),""),"")</f>
        <v/>
      </c>
      <c r="BU217" s="67">
        <f>IFERROR(IF(($BL217)&gt;0,($BO217)/($BL217),""),"")</f>
        <v/>
      </c>
      <c r="BV217" s="67">
        <f>IFERROR(IF(($BM217)&gt;0,($BP217)/($BM217),""),"")</f>
        <v/>
      </c>
      <c r="BW217" s="55">
        <f>SUMIFS(tblPlant[Crushed_t],tblPlant[Date],$A217)</f>
        <v/>
      </c>
      <c r="BX217" s="55">
        <f>IF($B217=$B216,$BX216,0)+$BW217</f>
        <v/>
      </c>
      <c r="BY217" s="55">
        <f>$BY216+$BW217</f>
        <v/>
      </c>
      <c r="BZ217" s="55">
        <f>SUMIFS(tblPlant[Milled_t],tblPlant[Date],$A217)</f>
        <v/>
      </c>
      <c r="CA217" s="55">
        <f>IF($B217=$B216,$CA216,0)+$BZ217</f>
        <v/>
      </c>
      <c r="CB217" s="55">
        <f>$CB216+$BZ217</f>
        <v/>
      </c>
      <c r="CC217" s="55">
        <f>SUMIFS(tblPlant[Feed_oz],tblPlant[Date],$A217)</f>
        <v/>
      </c>
      <c r="CD217" s="55">
        <f>IF($B217=$B216,$CD216,0)+$CC217</f>
        <v/>
      </c>
      <c r="CE217" s="55">
        <f>$CE216+$CC217</f>
        <v/>
      </c>
      <c r="CF217" s="55">
        <f>SUMIFS(tblPlant[Tails_oz],tblPlant[Date],$A217)</f>
        <v/>
      </c>
      <c r="CG217" s="55">
        <f>IF($B217=$B216,$CG216,0)+$CF217</f>
        <v/>
      </c>
      <c r="CH217" s="55">
        <f>$CH216+$CF217</f>
        <v/>
      </c>
      <c r="CI217" s="55">
        <f>SUMIFS(tblPlant[Recovered_oz],tblPlant[Date],$A217)</f>
        <v/>
      </c>
      <c r="CJ217" s="55">
        <f>IF($B217=$B216,$CJ216,0)+$CI217</f>
        <v/>
      </c>
      <c r="CK217" s="55">
        <f>$CK216+$CI217</f>
        <v/>
      </c>
      <c r="CL217" s="56">
        <f>IFERROR(IF(($BZ217)&gt;0,($CC217*cfg_TroyOz)/($BZ217),""),"")</f>
        <v/>
      </c>
      <c r="CM217" s="56">
        <f>IFERROR(IF(($CA217)&gt;0,($CD217*cfg_TroyOz)/($CA217),""),"")</f>
        <v/>
      </c>
      <c r="CN217" s="56">
        <f>IFERROR(IF(($CB217)&gt;0,($CE217*cfg_TroyOz)/($CB217),""),"")</f>
        <v/>
      </c>
      <c r="CO217" s="56">
        <f>IFERROR(IF(($BZ217)&gt;0,($CF217*cfg_TroyOz)/($BZ217),""),"")</f>
        <v/>
      </c>
      <c r="CP217" s="56">
        <f>IFERROR(IF(($CA217)&gt;0,($CG217*cfg_TroyOz)/($CA217),""),"")</f>
        <v/>
      </c>
      <c r="CQ217" s="56">
        <f>IFERROR(IF(($CB217)&gt;0,($CH217*cfg_TroyOz)/($CB217),""),"")</f>
        <v/>
      </c>
      <c r="CR217" s="67">
        <f>IFERROR(IF(($CC217)&gt;0,($CI217)/($CC217),""),"")</f>
        <v/>
      </c>
      <c r="CS217" s="67">
        <f>IFERROR(IF(($CD217)&gt;0,($CJ217)/($CD217),""),"")</f>
        <v/>
      </c>
      <c r="CT217" s="67">
        <f>IFERROR(IF(($CE217)&gt;0,($CK217)/($CE217),""),"")</f>
        <v/>
      </c>
      <c r="CU217" s="55">
        <f>SUMIFS(tblPlant[Gravity_Gold_oz],tblPlant[Date],$A217)</f>
        <v/>
      </c>
      <c r="CV217" s="55">
        <f>IF($B217=$B216,$CV216,0)+$CU217</f>
        <v/>
      </c>
      <c r="CW217" s="55">
        <f>$CW216+$CU217</f>
        <v/>
      </c>
      <c r="CX217" s="55">
        <f>SUMIFS(tblPlant[Gold_Poured_oz],tblPlant[Date],$A217)</f>
        <v/>
      </c>
      <c r="CY217" s="55">
        <f>IF($B217=$B216,$CY216,0)+$CX217</f>
        <v/>
      </c>
      <c r="CZ217" s="55">
        <f>$CZ216+$CX217</f>
        <v/>
      </c>
      <c r="DA217" s="57">
        <f>SUMIFS(tblPlant[Mill_Run_h],tblPlant[Date],$A217)</f>
        <v/>
      </c>
      <c r="DB217" s="57">
        <f>IF($B217=$B216,$DB216,0)+$DA217</f>
        <v/>
      </c>
      <c r="DC217" s="57">
        <f>$DC216+$DA217</f>
        <v/>
      </c>
      <c r="DD217" s="57">
        <f>SUMIFS(tblPlant[Mill_Planned_Maint_h],tblPlant[Date],$A217)</f>
        <v/>
      </c>
      <c r="DE217" s="57">
        <f>IF($B217=$B216,$DE216,0)+$DD217</f>
        <v/>
      </c>
      <c r="DF217" s="57">
        <f>$DF216+$DD217</f>
        <v/>
      </c>
      <c r="DG217" s="57">
        <f>SUMIFS(tblPlant[Mill_Unplanned_Down_h],tblPlant[Date],$A217)</f>
        <v/>
      </c>
      <c r="DH217" s="57">
        <f>IF($B217=$B216,$DH216,0)+$DG217</f>
        <v/>
      </c>
      <c r="DI217" s="57">
        <f>$DI216+$DG217</f>
        <v/>
      </c>
      <c r="DJ217" s="57">
        <f>COUNTIFS(tblPlant[Date],$A217,tblPlant[Mill_Run_h],"&lt;&gt;")*24</f>
        <v/>
      </c>
      <c r="DK217" s="57">
        <f>IF($B217=$B216,$DK216,0)+$DJ217</f>
        <v/>
      </c>
      <c r="DL217" s="57">
        <f>$DL216+$DJ217</f>
        <v/>
      </c>
      <c r="DM217" s="57">
        <f>SUMIFS(tblPlant[Crusher_Run_h],tblPlant[Date],$A217)</f>
        <v/>
      </c>
      <c r="DN217" s="57">
        <f>IF($B217=$B216,$DN216,0)+$DM217</f>
        <v/>
      </c>
      <c r="DO217" s="57">
        <f>$DO216+$DM217</f>
        <v/>
      </c>
      <c r="DP217" s="55">
        <f>IFERROR(IF(($DA217)&gt;0,($BZ217)/($DA217),""),"")</f>
        <v/>
      </c>
      <c r="DQ217" s="55">
        <f>IFERROR(IF(($DB217)&gt;0,($CA217)/($DB217),""),"")</f>
        <v/>
      </c>
      <c r="DR217" s="55">
        <f>IFERROR(IF(($DC217)&gt;0,($CB217)/($DC217),""),"")</f>
        <v/>
      </c>
      <c r="DS217" s="67">
        <f>IFERROR(IF(($DJ217)&gt;0,($DJ217-$DD217-$DG217)/($DJ217),""),"")</f>
        <v/>
      </c>
      <c r="DT217" s="67">
        <f>IFERROR(IF(($DK217)&gt;0,($DK217-$DE217-$DH217)/($DK217),""),"")</f>
        <v/>
      </c>
      <c r="DU217" s="67">
        <f>IFERROR(IF(($DL217)&gt;0,($DL217-$DF217-$DI217)/($DL217),""),"")</f>
        <v/>
      </c>
      <c r="DV217" s="67">
        <f>IFERROR(IF(($DJ217-$DD217-$DG217)&gt;0,($DA217)/($DJ217-$DD217-$DG217),""),"")</f>
        <v/>
      </c>
      <c r="DW217" s="67">
        <f>IFERROR(IF(($DK217-$DE217-$DH217)&gt;0,($DB217)/($DK217-$DE217-$DH217),""),"")</f>
        <v/>
      </c>
      <c r="DX217" s="67">
        <f>IFERROR(IF(($DL217-$DF217-$DI217)&gt;0,($DC217)/($DL217-$DF217-$DI217),""),"")</f>
        <v/>
      </c>
      <c r="DY217" s="55">
        <f>SUMIFS(tblPlant[Cyanide_kg],tblPlant[Date],$A217)</f>
        <v/>
      </c>
      <c r="DZ217" s="55">
        <f>IF($B217=$B216,$DZ216,0)+$DY217</f>
        <v/>
      </c>
      <c r="EA217" s="55">
        <f>$EA216+$DY217</f>
        <v/>
      </c>
      <c r="EB217" s="55">
        <f>SUMIFS(tblPlant[Lime_kg],tblPlant[Date],$A217)</f>
        <v/>
      </c>
      <c r="EC217" s="55">
        <f>IF($B217=$B216,$EC216,0)+$EB217</f>
        <v/>
      </c>
      <c r="ED217" s="55">
        <f>$ED216+$EB217</f>
        <v/>
      </c>
      <c r="EE217" s="55">
        <f>SUMIFS(tblPlant[Grinding_Media_kg],tblPlant[Date],$A217)</f>
        <v/>
      </c>
      <c r="EF217" s="55">
        <f>IF($B217=$B216,$EF216,0)+$EE217</f>
        <v/>
      </c>
      <c r="EG217" s="55">
        <f>$EG216+$EE217</f>
        <v/>
      </c>
      <c r="EH217" s="55">
        <f>SUMIFS(tblPlant[Power_kWh],tblPlant[Date],$A217)</f>
        <v/>
      </c>
      <c r="EI217" s="55">
        <f>IF($B217=$B216,$EI216,0)+$EH217</f>
        <v/>
      </c>
      <c r="EJ217" s="55">
        <f>$EJ216+$EH217</f>
        <v/>
      </c>
      <c r="EK217" s="55">
        <f>SUMIFS(tblPlant[Raw_Water_m3],tblPlant[Date],$A217)</f>
        <v/>
      </c>
      <c r="EL217" s="55">
        <f>IF($B217=$B216,$EL216,0)+$EK217</f>
        <v/>
      </c>
      <c r="EM217" s="55">
        <f>$EM216+$EK217</f>
        <v/>
      </c>
      <c r="EN217" s="56">
        <f>IFERROR(IF(($BZ217)&gt;0,($DY217)/($BZ217),""),"")</f>
        <v/>
      </c>
      <c r="EO217" s="56">
        <f>IFERROR(IF(($CA217)&gt;0,($DZ217)/($CA217),""),"")</f>
        <v/>
      </c>
      <c r="EP217" s="56">
        <f>IFERROR(IF(($CB217)&gt;0,($EA217)/($CB217),""),"")</f>
        <v/>
      </c>
      <c r="EQ217" s="56">
        <f>IFERROR(IF(($BZ217)&gt;0,($EB217)/($BZ217),""),"")</f>
        <v/>
      </c>
      <c r="ER217" s="56">
        <f>IFERROR(IF(($CA217)&gt;0,($EC217)/($CA217),""),"")</f>
        <v/>
      </c>
      <c r="ES217" s="56">
        <f>IFERROR(IF(($CB217)&gt;0,($ED217)/($CB217),""),"")</f>
        <v/>
      </c>
      <c r="ET217" s="56">
        <f>IFERROR(IF(($BZ217)&gt;0,($EE217)/($BZ217),""),"")</f>
        <v/>
      </c>
      <c r="EU217" s="56">
        <f>IFERROR(IF(($CA217)&gt;0,($EF217)/($CA217),""),"")</f>
        <v/>
      </c>
      <c r="EV217" s="56">
        <f>IFERROR(IF(($CB217)&gt;0,($EG217)/($CB217),""),"")</f>
        <v/>
      </c>
      <c r="EW217" s="76">
        <f>IFERROR(IF(($BZ217)&gt;0,($EH217)/($BZ217),""),"")</f>
        <v/>
      </c>
      <c r="EX217" s="76">
        <f>IFERROR(IF(($CA217)&gt;0,($EI217)/($CA217),""),"")</f>
        <v/>
      </c>
      <c r="EY217" s="76">
        <f>IFERROR(IF(($CB217)&gt;0,($EJ217)/($CB217),""),"")</f>
        <v/>
      </c>
      <c r="EZ217" s="56">
        <f>IFERROR(IF(($BZ217)&gt;0,($EK217)/($BZ217),""),"")</f>
        <v/>
      </c>
      <c r="FA217" s="56">
        <f>IFERROR(IF(($CA217)&gt;0,($EL217)/($CA217),""),"")</f>
        <v/>
      </c>
      <c r="FB217" s="56">
        <f>IFERROR(IF(($CB217)&gt;0,($EM217)/($CB217),""),"")</f>
        <v/>
      </c>
      <c r="FC217" s="55">
        <f>IF(SUMIFS(tblPlant[GIC_oz],tblPlant[Date],$A217)&gt;0,SUMIFS(tblPlant[GIC_oz],tblPlant[Date],$A217),"")</f>
        <v/>
      </c>
      <c r="FD217" s="55">
        <f>SUMIFS(tblGold[Gold_oz],tblGold[Date],$A217,tblGold[Type],"Shipment")</f>
        <v/>
      </c>
      <c r="FE217" s="55">
        <f>IF($B217=$B216,$FE216,0)+$FD217</f>
        <v/>
      </c>
      <c r="FF217" s="55">
        <f>$FF216+$FD217</f>
        <v/>
      </c>
      <c r="FG217" s="55">
        <f>SUMIFS(tblGold[Gold_oz],tblGold[Date],$A217,tblGold[Type],"Sale")</f>
        <v/>
      </c>
      <c r="FH217" s="55">
        <f>IF($B217=$B216,$FH216,0)+$FG217</f>
        <v/>
      </c>
      <c r="FI217" s="55">
        <f>$FI216+$FG217</f>
        <v/>
      </c>
      <c r="FJ217" s="55">
        <f>SUMIFS(tblGold[Dore_kg],tblGold[Date],$A217,tblGold[Type],"Shipment")</f>
        <v/>
      </c>
      <c r="FK217" s="55">
        <f>IF($B217=$B216,$FK216,0)+$FJ217</f>
        <v/>
      </c>
      <c r="FL217" s="55">
        <f>$FL216+$FJ217</f>
        <v/>
      </c>
      <c r="FM217" s="57">
        <f>SUMIFS(tblSafety[Hours_Total],tblSafety[Date],$A217)</f>
        <v/>
      </c>
      <c r="FN217" s="57">
        <f>IF($B217=$B216,$FN216,0)+$FM217</f>
        <v/>
      </c>
      <c r="FO217" s="57">
        <f>$FO216+$FM217</f>
        <v/>
      </c>
      <c r="FP217" s="62">
        <f>SUMIFS(tblSafety[Fatality],tblSafety[Date],$A217)</f>
        <v/>
      </c>
      <c r="FQ217" s="62">
        <f>IF($B217=$B216,$FQ216,0)+$FP217</f>
        <v/>
      </c>
      <c r="FR217" s="62">
        <f>$FR216+$FP217</f>
        <v/>
      </c>
      <c r="FS217" s="62">
        <f>SUMIFS(tblSafety[LTI],tblSafety[Date],$A217)</f>
        <v/>
      </c>
      <c r="FT217" s="62">
        <f>IF($B217=$B216,$FT216,0)+$FS217</f>
        <v/>
      </c>
      <c r="FU217" s="62">
        <f>$FU216+$FS217</f>
        <v/>
      </c>
      <c r="FV217" s="62">
        <f>SUMIFS(tblSafety[RWI],tblSafety[Date],$A217)</f>
        <v/>
      </c>
      <c r="FW217" s="62">
        <f>IF($B217=$B216,$FW216,0)+$FV217</f>
        <v/>
      </c>
      <c r="FX217" s="62">
        <f>$FX216+$FV217</f>
        <v/>
      </c>
      <c r="FY217" s="62">
        <f>SUMIFS(tblSafety[MTI],tblSafety[Date],$A217)</f>
        <v/>
      </c>
      <c r="FZ217" s="62">
        <f>IF($B217=$B216,$FZ216,0)+$FY217</f>
        <v/>
      </c>
      <c r="GA217" s="62">
        <f>$GA216+$FY217</f>
        <v/>
      </c>
      <c r="GB217" s="62">
        <f>SUMIFS(tblSafety[FAI],tblSafety[Date],$A217)</f>
        <v/>
      </c>
      <c r="GC217" s="62">
        <f>IF($B217=$B216,$GC216,0)+$GB217</f>
        <v/>
      </c>
      <c r="GD217" s="62">
        <f>$GD216+$GB217</f>
        <v/>
      </c>
      <c r="GE217" s="62">
        <f>SUMIFS(tblSafety[Recordables],tblSafety[Date],$A217)</f>
        <v/>
      </c>
      <c r="GF217" s="62">
        <f>IF($B217=$B216,$GF216,0)+$GE217</f>
        <v/>
      </c>
      <c r="GG217" s="62">
        <f>$GG216+$GE217</f>
        <v/>
      </c>
      <c r="GH217" s="62">
        <f>SUMIFS(tblSafety[Near_Miss],tblSafety[Date],$A217)</f>
        <v/>
      </c>
      <c r="GI217" s="62">
        <f>IF($B217=$B216,$GI216,0)+$GH217</f>
        <v/>
      </c>
      <c r="GJ217" s="62">
        <f>$GJ216+$GH217</f>
        <v/>
      </c>
      <c r="GK217" s="62">
        <f>SUMIFS(tblSafety[Hazard_Reports],tblSafety[Date],$A217)</f>
        <v/>
      </c>
      <c r="GL217" s="62">
        <f>IF($B217=$B216,$GL216,0)+$GK217</f>
        <v/>
      </c>
      <c r="GM217" s="62">
        <f>$GM216+$GK217</f>
        <v/>
      </c>
      <c r="GN217" s="62">
        <f>SUMIFS(tblSafety[HPI],tblSafety[Date],$A217)</f>
        <v/>
      </c>
      <c r="GO217" s="62">
        <f>IF($B217=$B216,$GO216,0)+$GN217</f>
        <v/>
      </c>
      <c r="GP217" s="62">
        <f>$GP216+$GN217</f>
        <v/>
      </c>
      <c r="GQ217" s="62">
        <f>SUMIFS(tblSafety[Env_Incidents],tblSafety[Date],$A217)</f>
        <v/>
      </c>
      <c r="GR217" s="62">
        <f>IF($B217=$B216,$GR216,0)+$GQ217</f>
        <v/>
      </c>
      <c r="GS217" s="62">
        <f>$GS216+$GQ217</f>
        <v/>
      </c>
      <c r="GT217" s="62">
        <f>SUMIFS(tblSafety[Community_Incidents],tblSafety[Date],$A217)</f>
        <v/>
      </c>
      <c r="GU217" s="62">
        <f>IF($B217=$B216,$GU216,0)+$GT217</f>
        <v/>
      </c>
      <c r="GV217" s="62">
        <f>$GV216+$GT217</f>
        <v/>
      </c>
      <c r="GW217" s="62">
        <f>SUMIFS(tblSafety[Vehicle_Incidents],tblSafety[Date],$A217)</f>
        <v/>
      </c>
      <c r="GX217" s="62">
        <f>IF($B217=$B216,$GX216,0)+$GW217</f>
        <v/>
      </c>
      <c r="GY217" s="62">
        <f>$GY216+$GW217</f>
        <v/>
      </c>
      <c r="GZ217" s="62">
        <f>SUMIFS(tblSafety[Toolbox_Talks],tblSafety[Date],$A217)</f>
        <v/>
      </c>
      <c r="HA217" s="62">
        <f>IF($B217=$B216,$HA216,0)+$GZ217</f>
        <v/>
      </c>
      <c r="HB217" s="62">
        <f>$HB216+$GZ217</f>
        <v/>
      </c>
      <c r="HC217" s="62">
        <f>SUMIFS(tblSafety[Inspections],tblSafety[Date],$A217)</f>
        <v/>
      </c>
      <c r="HD217" s="62">
        <f>IF($B217=$B216,$HD216,0)+$HC217</f>
        <v/>
      </c>
      <c r="HE217" s="62">
        <f>$HE216+$HC217</f>
        <v/>
      </c>
      <c r="HF217" s="56">
        <f>IFERROR((SUMIFS(tblSafety[Recordables],tblSafety[Date],"&gt;="&amp;EDATE($E217,-12),tblSafety[Date],"&lt;="&amp;$A217)+SUMIFS(tblSafetyHistory[Recordables],tblSafetyHistory[Month],"&gt;="&amp;EDATE($E217,-12),tblSafetyHistory[Month],"&lt;"&amp;cfg_YearStart))/(SUMIFS(tblSafety[Hours_Total],tblSafety[Date],"&gt;="&amp;EDATE($E217,-12),tblSafety[Date],"&lt;="&amp;$A217)+SUMIFS(tblSafetyHistory[Hours_Total],tblSafetyHistory[Month],"&gt;="&amp;EDATE($E217,-12),tblSafetyHistory[Month],"&lt;"&amp;cfg_YearStart))*1000000,"")</f>
        <v/>
      </c>
      <c r="HG217" s="56">
        <f>IFERROR((SUMIFS(tblSafety[LTI],tblSafety[Date],"&gt;="&amp;EDATE($E217,-12),tblSafety[Date],"&lt;="&amp;$A217)+SUMIFS(tblSafetyHistory[LTI],tblSafetyHistory[Month],"&gt;="&amp;EDATE($E217,-12),tblSafetyHistory[Month],"&lt;"&amp;cfg_YearStart))/(SUMIFS(tblSafety[Hours_Total],tblSafety[Date],"&gt;="&amp;EDATE($E217,-12),tblSafety[Date],"&lt;="&amp;$A217)+SUMIFS(tblSafetyHistory[Hours_Total],tblSafetyHistory[Month],"&gt;="&amp;EDATE($E217,-12),tblSafetyHistory[Month],"&lt;"&amp;cfg_YearStart))*1000000,"")</f>
        <v/>
      </c>
      <c r="HH217" s="62">
        <f>IF(MAX(N(cfg_PriorLTIDate),_xlfn.MAXIFS(tblSafety[Date],tblSafety[LTI],"&gt;0",tblSafety[Date],"&lt;="&amp;$A217))=0,"",$A217-MAX(N(cfg_PriorLTIDate),_xlfn.MAXIFS(tblSafety[Date],tblSafety[LTI],"&gt;0",tblSafety[Date],"&lt;="&amp;$A217)))</f>
        <v/>
      </c>
      <c r="HI217" s="55">
        <f>SUMIFS(tblBudget[Ore_Mined_t],tblBudget[Month],$E217)</f>
        <v/>
      </c>
      <c r="HJ217" s="55">
        <f>$HI217*$C217/$D217</f>
        <v/>
      </c>
      <c r="HK217" s="55">
        <f>SUMIFS(tblBudget[Ore_Mined_t],tblBudget[Month],"&lt;"&amp;$E217)+$HJ217</f>
        <v/>
      </c>
      <c r="HL217" s="55">
        <f>SUMIFS(tblBudget[Ore_oz],tblBudget[Month],$E217)</f>
        <v/>
      </c>
      <c r="HM217" s="55">
        <f>$HL217*$C217/$D217</f>
        <v/>
      </c>
      <c r="HN217" s="55">
        <f>SUMIFS(tblBudget[Ore_oz],tblBudget[Month],"&lt;"&amp;$E217)+$HM217</f>
        <v/>
      </c>
      <c r="HO217" s="56">
        <f>IFERROR(IF(($HI217)&gt;0,($HL217*cfg_TroyOz)/($HI217),""),"")</f>
        <v/>
      </c>
      <c r="HP217" s="56">
        <f>IFERROR(IF(($HJ217)&gt;0,($HM217*cfg_TroyOz)/($HJ217),""),"")</f>
        <v/>
      </c>
      <c r="HQ217" s="56">
        <f>IFERROR(IF(($HK217)&gt;0,($HN217*cfg_TroyOz)/($HK217),""),"")</f>
        <v/>
      </c>
      <c r="HR217" s="55">
        <f>SUMIFS(tblBudget[Waste_t],tblBudget[Month],$E217)</f>
        <v/>
      </c>
      <c r="HS217" s="55">
        <f>$HR217*$C217/$D217</f>
        <v/>
      </c>
      <c r="HT217" s="55">
        <f>SUMIFS(tblBudget[Waste_t],tblBudget[Month],"&lt;"&amp;$E217)+$HS217</f>
        <v/>
      </c>
      <c r="HU217" s="55">
        <f>SUMIFS(tblBudget[TMM_t],tblBudget[Month],$E217)</f>
        <v/>
      </c>
      <c r="HV217" s="55">
        <f>$HU217*$C217/$D217</f>
        <v/>
      </c>
      <c r="HW217" s="55">
        <f>SUMIFS(tblBudget[TMM_t],tblBudget[Month],"&lt;"&amp;$E217)+$HV217</f>
        <v/>
      </c>
      <c r="HX217" s="56">
        <f>IFERROR(IF(($HI217)&gt;0,($HR217)/($HI217),""),"")</f>
        <v/>
      </c>
      <c r="HY217" s="56">
        <f>IFERROR(IF(($HJ217)&gt;0,($HS217)/($HJ217),""),"")</f>
        <v/>
      </c>
      <c r="HZ217" s="56">
        <f>IFERROR(IF(($HK217)&gt;0,($HT217)/($HK217),""),"")</f>
        <v/>
      </c>
      <c r="IA217" s="55">
        <f>SUMIFS(tblBudget[Drill_m],tblBudget[Month],$E217)</f>
        <v/>
      </c>
      <c r="IB217" s="55">
        <f>$IA217*$C217/$D217</f>
        <v/>
      </c>
      <c r="IC217" s="55">
        <f>SUMIFS(tblBudget[Drill_m],tblBudget[Month],"&lt;"&amp;$E217)+$IB217</f>
        <v/>
      </c>
      <c r="ID217" s="55">
        <f>SUMIFS(tblBudget[Diesel_L],tblBudget[Month],$E217)</f>
        <v/>
      </c>
      <c r="IE217" s="55">
        <f>$ID217*$C217/$D217</f>
        <v/>
      </c>
      <c r="IF217" s="55">
        <f>SUMIFS(tblBudget[Diesel_L],tblBudget[Month],"&lt;"&amp;$E217)+$IE217</f>
        <v/>
      </c>
      <c r="IG217" s="55">
        <f>SUMIFS(tblBudget[Milled_t],tblBudget[Month],$E217)</f>
        <v/>
      </c>
      <c r="IH217" s="55">
        <f>$IG217*$C217/$D217</f>
        <v/>
      </c>
      <c r="II217" s="55">
        <f>SUMIFS(tblBudget[Milled_t],tblBudget[Month],"&lt;"&amp;$E217)+$IH217</f>
        <v/>
      </c>
      <c r="IJ217" s="55">
        <f>SUMIFS(tblBudget[Feed_oz],tblBudget[Month],$E217)</f>
        <v/>
      </c>
      <c r="IK217" s="55">
        <f>$IJ217*$C217/$D217</f>
        <v/>
      </c>
      <c r="IL217" s="55">
        <f>SUMIFS(tblBudget[Feed_oz],tblBudget[Month],"&lt;"&amp;$E217)+$IK217</f>
        <v/>
      </c>
      <c r="IM217" s="55">
        <f>SUMIFS(tblBudget[Recovered_oz],tblBudget[Month],$E217)</f>
        <v/>
      </c>
      <c r="IN217" s="55">
        <f>$IM217*$C217/$D217</f>
        <v/>
      </c>
      <c r="IO217" s="55">
        <f>SUMIFS(tblBudget[Recovered_oz],tblBudget[Month],"&lt;"&amp;$E217)+$IN217</f>
        <v/>
      </c>
      <c r="IP217" s="56">
        <f>IFERROR(IF(($IG217)&gt;0,($IJ217*cfg_TroyOz)/($IG217),""),"")</f>
        <v/>
      </c>
      <c r="IQ217" s="56">
        <f>IFERROR(IF(($IH217)&gt;0,($IK217*cfg_TroyOz)/($IH217),""),"")</f>
        <v/>
      </c>
      <c r="IR217" s="56">
        <f>IFERROR(IF(($II217)&gt;0,($IL217*cfg_TroyOz)/($II217),""),"")</f>
        <v/>
      </c>
      <c r="IS217" s="67">
        <f>IFERROR(IF(($IJ217)&gt;0,($IM217)/($IJ217),""),"")</f>
        <v/>
      </c>
      <c r="IT217" s="67">
        <f>IFERROR(IF(($IK217)&gt;0,($IN217)/($IK217),""),"")</f>
        <v/>
      </c>
      <c r="IU217" s="67">
        <f>IFERROR(IF(($IL217)&gt;0,($IO217)/($IL217),""),"")</f>
        <v/>
      </c>
      <c r="IV217" s="55">
        <f>SUMIFS(tblBudget[Gold_Poured_oz],tblBudget[Month],$E217)</f>
        <v/>
      </c>
      <c r="IW217" s="55">
        <f>$IV217*$C217/$D217</f>
        <v/>
      </c>
      <c r="IX217" s="55">
        <f>SUMIFS(tblBudget[Gold_Poured_oz],tblBudget[Month],"&lt;"&amp;$E217)+$IW217</f>
        <v/>
      </c>
      <c r="IY217" s="57">
        <f>SUMIFS(tblBudget[Hours_Worked],tblBudget[Month],$E217)</f>
        <v/>
      </c>
      <c r="IZ217" s="57">
        <f>$IY217*$C217/$D217</f>
        <v/>
      </c>
      <c r="JA217" s="57">
        <f>SUMIFS(tblBudget[Hours_Worked],tblBudget[Month],"&lt;"&amp;$E217)+$IZ217</f>
        <v/>
      </c>
    </row>
    <row r="218">
      <c r="A218" s="54" t="n">
        <v>46239</v>
      </c>
      <c r="B218">
        <f>MONTH($A218)</f>
        <v/>
      </c>
      <c r="C218">
        <f>DAY($A218)</f>
        <v/>
      </c>
      <c r="D218">
        <f>DAY(EOMONTH($A218,0))</f>
        <v/>
      </c>
      <c r="E218" s="54">
        <f>DATE(YEAR($A218),MONTH($A218),1)</f>
        <v/>
      </c>
      <c r="F218" s="55">
        <f>SUMIFS(tblMovement[Tonnes_t],tblMovement[Date],$A218,tblMovement[Is_Ore],1,tblMovement[Source_Type],"Pit")</f>
        <v/>
      </c>
      <c r="G218" s="55">
        <f>IF($B218=$B217,$G217,0)+$F218</f>
        <v/>
      </c>
      <c r="H218" s="55">
        <f>$H217+$F218</f>
        <v/>
      </c>
      <c r="I218" s="55">
        <f>SUMIFS(tblMovement[Ore_oz],tblMovement[Date],$A218,tblMovement[Source_Type],"Pit")</f>
        <v/>
      </c>
      <c r="J218" s="55">
        <f>IF($B218=$B217,$J217,0)+$I218</f>
        <v/>
      </c>
      <c r="K218" s="55">
        <f>$K217+$I218</f>
        <v/>
      </c>
      <c r="L218" s="56">
        <f>IFERROR(IF(($F218)&gt;0,($I218*cfg_TroyOz)/($F218),""),"")</f>
        <v/>
      </c>
      <c r="M218" s="56">
        <f>IFERROR(IF(($G218)&gt;0,($J218*cfg_TroyOz)/($G218),""),"")</f>
        <v/>
      </c>
      <c r="N218" s="56">
        <f>IFERROR(IF(($H218)&gt;0,($K218*cfg_TroyOz)/($H218),""),"")</f>
        <v/>
      </c>
      <c r="O218" s="55">
        <f>SUMIFS(tblMovement[Tonnes_t],tblMovement[Date],$A218,tblMovement[Is_Ore],0,tblMovement[Source_Type],"Pit")</f>
        <v/>
      </c>
      <c r="P218" s="55">
        <f>IF($B218=$B217,$P217,0)+$O218</f>
        <v/>
      </c>
      <c r="Q218" s="55">
        <f>$Q217+$O218</f>
        <v/>
      </c>
      <c r="R218" s="55">
        <f>$F218+$O218</f>
        <v/>
      </c>
      <c r="S218" s="55">
        <f>IF($B218=$B217,$S217,0)+$R218</f>
        <v/>
      </c>
      <c r="T218" s="55">
        <f>$T217+$R218</f>
        <v/>
      </c>
      <c r="U218" s="56">
        <f>IFERROR(IF(($F218)&gt;0,($O218)/($F218),""),"")</f>
        <v/>
      </c>
      <c r="V218" s="56">
        <f>IFERROR(IF(($G218)&gt;0,($P218)/($G218),""),"")</f>
        <v/>
      </c>
      <c r="W218" s="56">
        <f>IFERROR(IF(($H218)&gt;0,($Q218)/($H218),""),"")</f>
        <v/>
      </c>
      <c r="X218" s="55">
        <f>SUMIFS(tblMovement[Tonnes_t],tblMovement[Date],$A218,tblMovement[Source_Type],"Stockpile")</f>
        <v/>
      </c>
      <c r="Y218" s="55">
        <f>IF($B218=$B217,$Y217,0)+$X218</f>
        <v/>
      </c>
      <c r="Z218" s="55">
        <f>$Z217+$X218</f>
        <v/>
      </c>
      <c r="AA218" s="55">
        <f>SUMIFS(tblMiningDaily[Drill_m],tblMiningDaily[Date],$A218)</f>
        <v/>
      </c>
      <c r="AB218" s="55">
        <f>IF($B218=$B217,$AB217,0)+$AA218</f>
        <v/>
      </c>
      <c r="AC218" s="55">
        <f>$AC217+$AA218</f>
        <v/>
      </c>
      <c r="AD218" s="55">
        <f>SUMIFS(tblMiningDaily[Blast_t],tblMiningDaily[Date],$A218)</f>
        <v/>
      </c>
      <c r="AE218" s="55">
        <f>IF($B218=$B217,$AE217,0)+$AD218</f>
        <v/>
      </c>
      <c r="AF218" s="55">
        <f>$AF217+$AD218</f>
        <v/>
      </c>
      <c r="AG218" s="55">
        <f>SUMIFS(tblMiningDaily[Explosives_kg],tblMiningDaily[Date],$A218)</f>
        <v/>
      </c>
      <c r="AH218" s="55">
        <f>IF($B218=$B217,$AH217,0)+$AG218</f>
        <v/>
      </c>
      <c r="AI218" s="55">
        <f>$AI217+$AG218</f>
        <v/>
      </c>
      <c r="AJ218" s="56">
        <f>IFERROR(IF(($AD218)&gt;0,($AG218)/($AD218),""),"")</f>
        <v/>
      </c>
      <c r="AK218" s="56">
        <f>IFERROR(IF(($AE218)&gt;0,($AH218)/($AE218),""),"")</f>
        <v/>
      </c>
      <c r="AL218" s="56">
        <f>IFERROR(IF(($AF218)&gt;0,($AI218)/($AF218),""),"")</f>
        <v/>
      </c>
      <c r="AM218" s="55">
        <f>SUMIFS(tblMiningDaily[Diesel_L],tblMiningDaily[Date],$A218)</f>
        <v/>
      </c>
      <c r="AN218" s="55">
        <f>IF($B218=$B217,$AN217,0)+$AM218</f>
        <v/>
      </c>
      <c r="AO218" s="55">
        <f>$AO217+$AM218</f>
        <v/>
      </c>
      <c r="AP218" s="55">
        <f>SUMIFS(tblMiningDaily[Dewatering_m3],tblMiningDaily[Date],$A218)</f>
        <v/>
      </c>
      <c r="AQ218" s="55">
        <f>IF($B218=$B217,$AQ217,0)+$AP218</f>
        <v/>
      </c>
      <c r="AR218" s="55">
        <f>$AR217+$AP218</f>
        <v/>
      </c>
      <c r="AS218" s="57">
        <f>SUMIFS(tblFleet[Calendar_h],tblFleet[Date],$A218,tblFleet[Equipment_Class],"Excavator")</f>
        <v/>
      </c>
      <c r="AT218" s="57">
        <f>IF($B218=$B217,$AT217,0)+$AS218</f>
        <v/>
      </c>
      <c r="AU218" s="57">
        <f>$AU217+$AS218</f>
        <v/>
      </c>
      <c r="AV218" s="57">
        <f>SUMIFS(tblFleet[Available_h],tblFleet[Date],$A218,tblFleet[Equipment_Class],"Excavator")</f>
        <v/>
      </c>
      <c r="AW218" s="57">
        <f>IF($B218=$B217,$AW217,0)+$AV218</f>
        <v/>
      </c>
      <c r="AX218" s="57">
        <f>$AX217+$AV218</f>
        <v/>
      </c>
      <c r="AY218" s="57">
        <f>SUMIFS(tblFleet[Operating_h],tblFleet[Date],$A218,tblFleet[Equipment_Class],"Excavator")</f>
        <v/>
      </c>
      <c r="AZ218" s="57">
        <f>IF($B218=$B217,$AZ217,0)+$AY218</f>
        <v/>
      </c>
      <c r="BA218" s="57">
        <f>$BA217+$AY218</f>
        <v/>
      </c>
      <c r="BB218" s="67">
        <f>IFERROR(IF(($AS218)&gt;0,($AV218)/($AS218),""),"")</f>
        <v/>
      </c>
      <c r="BC218" s="67">
        <f>IFERROR(IF(($AT218)&gt;0,($AW218)/($AT218),""),"")</f>
        <v/>
      </c>
      <c r="BD218" s="67">
        <f>IFERROR(IF(($AU218)&gt;0,($AX218)/($AU218),""),"")</f>
        <v/>
      </c>
      <c r="BE218" s="67">
        <f>IFERROR(IF(($AV218)&gt;0,($AY218)/($AV218),""),"")</f>
        <v/>
      </c>
      <c r="BF218" s="67">
        <f>IFERROR(IF(($AW218)&gt;0,($AZ218)/($AW218),""),"")</f>
        <v/>
      </c>
      <c r="BG218" s="67">
        <f>IFERROR(IF(($AX218)&gt;0,($BA218)/($AX218),""),"")</f>
        <v/>
      </c>
      <c r="BH218" s="57">
        <f>SUMIFS(tblFleet[Calendar_h],tblFleet[Date],$A218,tblFleet[Equipment_Class],"Haul Truck")</f>
        <v/>
      </c>
      <c r="BI218" s="57">
        <f>IF($B218=$B217,$BI217,0)+$BH218</f>
        <v/>
      </c>
      <c r="BJ218" s="57">
        <f>$BJ217+$BH218</f>
        <v/>
      </c>
      <c r="BK218" s="57">
        <f>SUMIFS(tblFleet[Available_h],tblFleet[Date],$A218,tblFleet[Equipment_Class],"Haul Truck")</f>
        <v/>
      </c>
      <c r="BL218" s="57">
        <f>IF($B218=$B217,$BL217,0)+$BK218</f>
        <v/>
      </c>
      <c r="BM218" s="57">
        <f>$BM217+$BK218</f>
        <v/>
      </c>
      <c r="BN218" s="57">
        <f>SUMIFS(tblFleet[Operating_h],tblFleet[Date],$A218,tblFleet[Equipment_Class],"Haul Truck")</f>
        <v/>
      </c>
      <c r="BO218" s="57">
        <f>IF($B218=$B217,$BO217,0)+$BN218</f>
        <v/>
      </c>
      <c r="BP218" s="57">
        <f>$BP217+$BN218</f>
        <v/>
      </c>
      <c r="BQ218" s="67">
        <f>IFERROR(IF(($BH218)&gt;0,($BK218)/($BH218),""),"")</f>
        <v/>
      </c>
      <c r="BR218" s="67">
        <f>IFERROR(IF(($BI218)&gt;0,($BL218)/($BI218),""),"")</f>
        <v/>
      </c>
      <c r="BS218" s="67">
        <f>IFERROR(IF(($BJ218)&gt;0,($BM218)/($BJ218),""),"")</f>
        <v/>
      </c>
      <c r="BT218" s="67">
        <f>IFERROR(IF(($BK218)&gt;0,($BN218)/($BK218),""),"")</f>
        <v/>
      </c>
      <c r="BU218" s="67">
        <f>IFERROR(IF(($BL218)&gt;0,($BO218)/($BL218),""),"")</f>
        <v/>
      </c>
      <c r="BV218" s="67">
        <f>IFERROR(IF(($BM218)&gt;0,($BP218)/($BM218),""),"")</f>
        <v/>
      </c>
      <c r="BW218" s="55">
        <f>SUMIFS(tblPlant[Crushed_t],tblPlant[Date],$A218)</f>
        <v/>
      </c>
      <c r="BX218" s="55">
        <f>IF($B218=$B217,$BX217,0)+$BW218</f>
        <v/>
      </c>
      <c r="BY218" s="55">
        <f>$BY217+$BW218</f>
        <v/>
      </c>
      <c r="BZ218" s="55">
        <f>SUMIFS(tblPlant[Milled_t],tblPlant[Date],$A218)</f>
        <v/>
      </c>
      <c r="CA218" s="55">
        <f>IF($B218=$B217,$CA217,0)+$BZ218</f>
        <v/>
      </c>
      <c r="CB218" s="55">
        <f>$CB217+$BZ218</f>
        <v/>
      </c>
      <c r="CC218" s="55">
        <f>SUMIFS(tblPlant[Feed_oz],tblPlant[Date],$A218)</f>
        <v/>
      </c>
      <c r="CD218" s="55">
        <f>IF($B218=$B217,$CD217,0)+$CC218</f>
        <v/>
      </c>
      <c r="CE218" s="55">
        <f>$CE217+$CC218</f>
        <v/>
      </c>
      <c r="CF218" s="55">
        <f>SUMIFS(tblPlant[Tails_oz],tblPlant[Date],$A218)</f>
        <v/>
      </c>
      <c r="CG218" s="55">
        <f>IF($B218=$B217,$CG217,0)+$CF218</f>
        <v/>
      </c>
      <c r="CH218" s="55">
        <f>$CH217+$CF218</f>
        <v/>
      </c>
      <c r="CI218" s="55">
        <f>SUMIFS(tblPlant[Recovered_oz],tblPlant[Date],$A218)</f>
        <v/>
      </c>
      <c r="CJ218" s="55">
        <f>IF($B218=$B217,$CJ217,0)+$CI218</f>
        <v/>
      </c>
      <c r="CK218" s="55">
        <f>$CK217+$CI218</f>
        <v/>
      </c>
      <c r="CL218" s="56">
        <f>IFERROR(IF(($BZ218)&gt;0,($CC218*cfg_TroyOz)/($BZ218),""),"")</f>
        <v/>
      </c>
      <c r="CM218" s="56">
        <f>IFERROR(IF(($CA218)&gt;0,($CD218*cfg_TroyOz)/($CA218),""),"")</f>
        <v/>
      </c>
      <c r="CN218" s="56">
        <f>IFERROR(IF(($CB218)&gt;0,($CE218*cfg_TroyOz)/($CB218),""),"")</f>
        <v/>
      </c>
      <c r="CO218" s="56">
        <f>IFERROR(IF(($BZ218)&gt;0,($CF218*cfg_TroyOz)/($BZ218),""),"")</f>
        <v/>
      </c>
      <c r="CP218" s="56">
        <f>IFERROR(IF(($CA218)&gt;0,($CG218*cfg_TroyOz)/($CA218),""),"")</f>
        <v/>
      </c>
      <c r="CQ218" s="56">
        <f>IFERROR(IF(($CB218)&gt;0,($CH218*cfg_TroyOz)/($CB218),""),"")</f>
        <v/>
      </c>
      <c r="CR218" s="67">
        <f>IFERROR(IF(($CC218)&gt;0,($CI218)/($CC218),""),"")</f>
        <v/>
      </c>
      <c r="CS218" s="67">
        <f>IFERROR(IF(($CD218)&gt;0,($CJ218)/($CD218),""),"")</f>
        <v/>
      </c>
      <c r="CT218" s="67">
        <f>IFERROR(IF(($CE218)&gt;0,($CK218)/($CE218),""),"")</f>
        <v/>
      </c>
      <c r="CU218" s="55">
        <f>SUMIFS(tblPlant[Gravity_Gold_oz],tblPlant[Date],$A218)</f>
        <v/>
      </c>
      <c r="CV218" s="55">
        <f>IF($B218=$B217,$CV217,0)+$CU218</f>
        <v/>
      </c>
      <c r="CW218" s="55">
        <f>$CW217+$CU218</f>
        <v/>
      </c>
      <c r="CX218" s="55">
        <f>SUMIFS(tblPlant[Gold_Poured_oz],tblPlant[Date],$A218)</f>
        <v/>
      </c>
      <c r="CY218" s="55">
        <f>IF($B218=$B217,$CY217,0)+$CX218</f>
        <v/>
      </c>
      <c r="CZ218" s="55">
        <f>$CZ217+$CX218</f>
        <v/>
      </c>
      <c r="DA218" s="57">
        <f>SUMIFS(tblPlant[Mill_Run_h],tblPlant[Date],$A218)</f>
        <v/>
      </c>
      <c r="DB218" s="57">
        <f>IF($B218=$B217,$DB217,0)+$DA218</f>
        <v/>
      </c>
      <c r="DC218" s="57">
        <f>$DC217+$DA218</f>
        <v/>
      </c>
      <c r="DD218" s="57">
        <f>SUMIFS(tblPlant[Mill_Planned_Maint_h],tblPlant[Date],$A218)</f>
        <v/>
      </c>
      <c r="DE218" s="57">
        <f>IF($B218=$B217,$DE217,0)+$DD218</f>
        <v/>
      </c>
      <c r="DF218" s="57">
        <f>$DF217+$DD218</f>
        <v/>
      </c>
      <c r="DG218" s="57">
        <f>SUMIFS(tblPlant[Mill_Unplanned_Down_h],tblPlant[Date],$A218)</f>
        <v/>
      </c>
      <c r="DH218" s="57">
        <f>IF($B218=$B217,$DH217,0)+$DG218</f>
        <v/>
      </c>
      <c r="DI218" s="57">
        <f>$DI217+$DG218</f>
        <v/>
      </c>
      <c r="DJ218" s="57">
        <f>COUNTIFS(tblPlant[Date],$A218,tblPlant[Mill_Run_h],"&lt;&gt;")*24</f>
        <v/>
      </c>
      <c r="DK218" s="57">
        <f>IF($B218=$B217,$DK217,0)+$DJ218</f>
        <v/>
      </c>
      <c r="DL218" s="57">
        <f>$DL217+$DJ218</f>
        <v/>
      </c>
      <c r="DM218" s="57">
        <f>SUMIFS(tblPlant[Crusher_Run_h],tblPlant[Date],$A218)</f>
        <v/>
      </c>
      <c r="DN218" s="57">
        <f>IF($B218=$B217,$DN217,0)+$DM218</f>
        <v/>
      </c>
      <c r="DO218" s="57">
        <f>$DO217+$DM218</f>
        <v/>
      </c>
      <c r="DP218" s="55">
        <f>IFERROR(IF(($DA218)&gt;0,($BZ218)/($DA218),""),"")</f>
        <v/>
      </c>
      <c r="DQ218" s="55">
        <f>IFERROR(IF(($DB218)&gt;0,($CA218)/($DB218),""),"")</f>
        <v/>
      </c>
      <c r="DR218" s="55">
        <f>IFERROR(IF(($DC218)&gt;0,($CB218)/($DC218),""),"")</f>
        <v/>
      </c>
      <c r="DS218" s="67">
        <f>IFERROR(IF(($DJ218)&gt;0,($DJ218-$DD218-$DG218)/($DJ218),""),"")</f>
        <v/>
      </c>
      <c r="DT218" s="67">
        <f>IFERROR(IF(($DK218)&gt;0,($DK218-$DE218-$DH218)/($DK218),""),"")</f>
        <v/>
      </c>
      <c r="DU218" s="67">
        <f>IFERROR(IF(($DL218)&gt;0,($DL218-$DF218-$DI218)/($DL218),""),"")</f>
        <v/>
      </c>
      <c r="DV218" s="67">
        <f>IFERROR(IF(($DJ218-$DD218-$DG218)&gt;0,($DA218)/($DJ218-$DD218-$DG218),""),"")</f>
        <v/>
      </c>
      <c r="DW218" s="67">
        <f>IFERROR(IF(($DK218-$DE218-$DH218)&gt;0,($DB218)/($DK218-$DE218-$DH218),""),"")</f>
        <v/>
      </c>
      <c r="DX218" s="67">
        <f>IFERROR(IF(($DL218-$DF218-$DI218)&gt;0,($DC218)/($DL218-$DF218-$DI218),""),"")</f>
        <v/>
      </c>
      <c r="DY218" s="55">
        <f>SUMIFS(tblPlant[Cyanide_kg],tblPlant[Date],$A218)</f>
        <v/>
      </c>
      <c r="DZ218" s="55">
        <f>IF($B218=$B217,$DZ217,0)+$DY218</f>
        <v/>
      </c>
      <c r="EA218" s="55">
        <f>$EA217+$DY218</f>
        <v/>
      </c>
      <c r="EB218" s="55">
        <f>SUMIFS(tblPlant[Lime_kg],tblPlant[Date],$A218)</f>
        <v/>
      </c>
      <c r="EC218" s="55">
        <f>IF($B218=$B217,$EC217,0)+$EB218</f>
        <v/>
      </c>
      <c r="ED218" s="55">
        <f>$ED217+$EB218</f>
        <v/>
      </c>
      <c r="EE218" s="55">
        <f>SUMIFS(tblPlant[Grinding_Media_kg],tblPlant[Date],$A218)</f>
        <v/>
      </c>
      <c r="EF218" s="55">
        <f>IF($B218=$B217,$EF217,0)+$EE218</f>
        <v/>
      </c>
      <c r="EG218" s="55">
        <f>$EG217+$EE218</f>
        <v/>
      </c>
      <c r="EH218" s="55">
        <f>SUMIFS(tblPlant[Power_kWh],tblPlant[Date],$A218)</f>
        <v/>
      </c>
      <c r="EI218" s="55">
        <f>IF($B218=$B217,$EI217,0)+$EH218</f>
        <v/>
      </c>
      <c r="EJ218" s="55">
        <f>$EJ217+$EH218</f>
        <v/>
      </c>
      <c r="EK218" s="55">
        <f>SUMIFS(tblPlant[Raw_Water_m3],tblPlant[Date],$A218)</f>
        <v/>
      </c>
      <c r="EL218" s="55">
        <f>IF($B218=$B217,$EL217,0)+$EK218</f>
        <v/>
      </c>
      <c r="EM218" s="55">
        <f>$EM217+$EK218</f>
        <v/>
      </c>
      <c r="EN218" s="56">
        <f>IFERROR(IF(($BZ218)&gt;0,($DY218)/($BZ218),""),"")</f>
        <v/>
      </c>
      <c r="EO218" s="56">
        <f>IFERROR(IF(($CA218)&gt;0,($DZ218)/($CA218),""),"")</f>
        <v/>
      </c>
      <c r="EP218" s="56">
        <f>IFERROR(IF(($CB218)&gt;0,($EA218)/($CB218),""),"")</f>
        <v/>
      </c>
      <c r="EQ218" s="56">
        <f>IFERROR(IF(($BZ218)&gt;0,($EB218)/($BZ218),""),"")</f>
        <v/>
      </c>
      <c r="ER218" s="56">
        <f>IFERROR(IF(($CA218)&gt;0,($EC218)/($CA218),""),"")</f>
        <v/>
      </c>
      <c r="ES218" s="56">
        <f>IFERROR(IF(($CB218)&gt;0,($ED218)/($CB218),""),"")</f>
        <v/>
      </c>
      <c r="ET218" s="56">
        <f>IFERROR(IF(($BZ218)&gt;0,($EE218)/($BZ218),""),"")</f>
        <v/>
      </c>
      <c r="EU218" s="56">
        <f>IFERROR(IF(($CA218)&gt;0,($EF218)/($CA218),""),"")</f>
        <v/>
      </c>
      <c r="EV218" s="56">
        <f>IFERROR(IF(($CB218)&gt;0,($EG218)/($CB218),""),"")</f>
        <v/>
      </c>
      <c r="EW218" s="76">
        <f>IFERROR(IF(($BZ218)&gt;0,($EH218)/($BZ218),""),"")</f>
        <v/>
      </c>
      <c r="EX218" s="76">
        <f>IFERROR(IF(($CA218)&gt;0,($EI218)/($CA218),""),"")</f>
        <v/>
      </c>
      <c r="EY218" s="76">
        <f>IFERROR(IF(($CB218)&gt;0,($EJ218)/($CB218),""),"")</f>
        <v/>
      </c>
      <c r="EZ218" s="56">
        <f>IFERROR(IF(($BZ218)&gt;0,($EK218)/($BZ218),""),"")</f>
        <v/>
      </c>
      <c r="FA218" s="56">
        <f>IFERROR(IF(($CA218)&gt;0,($EL218)/($CA218),""),"")</f>
        <v/>
      </c>
      <c r="FB218" s="56">
        <f>IFERROR(IF(($CB218)&gt;0,($EM218)/($CB218),""),"")</f>
        <v/>
      </c>
      <c r="FC218" s="55">
        <f>IF(SUMIFS(tblPlant[GIC_oz],tblPlant[Date],$A218)&gt;0,SUMIFS(tblPlant[GIC_oz],tblPlant[Date],$A218),"")</f>
        <v/>
      </c>
      <c r="FD218" s="55">
        <f>SUMIFS(tblGold[Gold_oz],tblGold[Date],$A218,tblGold[Type],"Shipment")</f>
        <v/>
      </c>
      <c r="FE218" s="55">
        <f>IF($B218=$B217,$FE217,0)+$FD218</f>
        <v/>
      </c>
      <c r="FF218" s="55">
        <f>$FF217+$FD218</f>
        <v/>
      </c>
      <c r="FG218" s="55">
        <f>SUMIFS(tblGold[Gold_oz],tblGold[Date],$A218,tblGold[Type],"Sale")</f>
        <v/>
      </c>
      <c r="FH218" s="55">
        <f>IF($B218=$B217,$FH217,0)+$FG218</f>
        <v/>
      </c>
      <c r="FI218" s="55">
        <f>$FI217+$FG218</f>
        <v/>
      </c>
      <c r="FJ218" s="55">
        <f>SUMIFS(tblGold[Dore_kg],tblGold[Date],$A218,tblGold[Type],"Shipment")</f>
        <v/>
      </c>
      <c r="FK218" s="55">
        <f>IF($B218=$B217,$FK217,0)+$FJ218</f>
        <v/>
      </c>
      <c r="FL218" s="55">
        <f>$FL217+$FJ218</f>
        <v/>
      </c>
      <c r="FM218" s="57">
        <f>SUMIFS(tblSafety[Hours_Total],tblSafety[Date],$A218)</f>
        <v/>
      </c>
      <c r="FN218" s="57">
        <f>IF($B218=$B217,$FN217,0)+$FM218</f>
        <v/>
      </c>
      <c r="FO218" s="57">
        <f>$FO217+$FM218</f>
        <v/>
      </c>
      <c r="FP218" s="62">
        <f>SUMIFS(tblSafety[Fatality],tblSafety[Date],$A218)</f>
        <v/>
      </c>
      <c r="FQ218" s="62">
        <f>IF($B218=$B217,$FQ217,0)+$FP218</f>
        <v/>
      </c>
      <c r="FR218" s="62">
        <f>$FR217+$FP218</f>
        <v/>
      </c>
      <c r="FS218" s="62">
        <f>SUMIFS(tblSafety[LTI],tblSafety[Date],$A218)</f>
        <v/>
      </c>
      <c r="FT218" s="62">
        <f>IF($B218=$B217,$FT217,0)+$FS218</f>
        <v/>
      </c>
      <c r="FU218" s="62">
        <f>$FU217+$FS218</f>
        <v/>
      </c>
      <c r="FV218" s="62">
        <f>SUMIFS(tblSafety[RWI],tblSafety[Date],$A218)</f>
        <v/>
      </c>
      <c r="FW218" s="62">
        <f>IF($B218=$B217,$FW217,0)+$FV218</f>
        <v/>
      </c>
      <c r="FX218" s="62">
        <f>$FX217+$FV218</f>
        <v/>
      </c>
      <c r="FY218" s="62">
        <f>SUMIFS(tblSafety[MTI],tblSafety[Date],$A218)</f>
        <v/>
      </c>
      <c r="FZ218" s="62">
        <f>IF($B218=$B217,$FZ217,0)+$FY218</f>
        <v/>
      </c>
      <c r="GA218" s="62">
        <f>$GA217+$FY218</f>
        <v/>
      </c>
      <c r="GB218" s="62">
        <f>SUMIFS(tblSafety[FAI],tblSafety[Date],$A218)</f>
        <v/>
      </c>
      <c r="GC218" s="62">
        <f>IF($B218=$B217,$GC217,0)+$GB218</f>
        <v/>
      </c>
      <c r="GD218" s="62">
        <f>$GD217+$GB218</f>
        <v/>
      </c>
      <c r="GE218" s="62">
        <f>SUMIFS(tblSafety[Recordables],tblSafety[Date],$A218)</f>
        <v/>
      </c>
      <c r="GF218" s="62">
        <f>IF($B218=$B217,$GF217,0)+$GE218</f>
        <v/>
      </c>
      <c r="GG218" s="62">
        <f>$GG217+$GE218</f>
        <v/>
      </c>
      <c r="GH218" s="62">
        <f>SUMIFS(tblSafety[Near_Miss],tblSafety[Date],$A218)</f>
        <v/>
      </c>
      <c r="GI218" s="62">
        <f>IF($B218=$B217,$GI217,0)+$GH218</f>
        <v/>
      </c>
      <c r="GJ218" s="62">
        <f>$GJ217+$GH218</f>
        <v/>
      </c>
      <c r="GK218" s="62">
        <f>SUMIFS(tblSafety[Hazard_Reports],tblSafety[Date],$A218)</f>
        <v/>
      </c>
      <c r="GL218" s="62">
        <f>IF($B218=$B217,$GL217,0)+$GK218</f>
        <v/>
      </c>
      <c r="GM218" s="62">
        <f>$GM217+$GK218</f>
        <v/>
      </c>
      <c r="GN218" s="62">
        <f>SUMIFS(tblSafety[HPI],tblSafety[Date],$A218)</f>
        <v/>
      </c>
      <c r="GO218" s="62">
        <f>IF($B218=$B217,$GO217,0)+$GN218</f>
        <v/>
      </c>
      <c r="GP218" s="62">
        <f>$GP217+$GN218</f>
        <v/>
      </c>
      <c r="GQ218" s="62">
        <f>SUMIFS(tblSafety[Env_Incidents],tblSafety[Date],$A218)</f>
        <v/>
      </c>
      <c r="GR218" s="62">
        <f>IF($B218=$B217,$GR217,0)+$GQ218</f>
        <v/>
      </c>
      <c r="GS218" s="62">
        <f>$GS217+$GQ218</f>
        <v/>
      </c>
      <c r="GT218" s="62">
        <f>SUMIFS(tblSafety[Community_Incidents],tblSafety[Date],$A218)</f>
        <v/>
      </c>
      <c r="GU218" s="62">
        <f>IF($B218=$B217,$GU217,0)+$GT218</f>
        <v/>
      </c>
      <c r="GV218" s="62">
        <f>$GV217+$GT218</f>
        <v/>
      </c>
      <c r="GW218" s="62">
        <f>SUMIFS(tblSafety[Vehicle_Incidents],tblSafety[Date],$A218)</f>
        <v/>
      </c>
      <c r="GX218" s="62">
        <f>IF($B218=$B217,$GX217,0)+$GW218</f>
        <v/>
      </c>
      <c r="GY218" s="62">
        <f>$GY217+$GW218</f>
        <v/>
      </c>
      <c r="GZ218" s="62">
        <f>SUMIFS(tblSafety[Toolbox_Talks],tblSafety[Date],$A218)</f>
        <v/>
      </c>
      <c r="HA218" s="62">
        <f>IF($B218=$B217,$HA217,0)+$GZ218</f>
        <v/>
      </c>
      <c r="HB218" s="62">
        <f>$HB217+$GZ218</f>
        <v/>
      </c>
      <c r="HC218" s="62">
        <f>SUMIFS(tblSafety[Inspections],tblSafety[Date],$A218)</f>
        <v/>
      </c>
      <c r="HD218" s="62">
        <f>IF($B218=$B217,$HD217,0)+$HC218</f>
        <v/>
      </c>
      <c r="HE218" s="62">
        <f>$HE217+$HC218</f>
        <v/>
      </c>
      <c r="HF218" s="56">
        <f>IFERROR((SUMIFS(tblSafety[Recordables],tblSafety[Date],"&gt;="&amp;EDATE($E218,-12),tblSafety[Date],"&lt;="&amp;$A218)+SUMIFS(tblSafetyHistory[Recordables],tblSafetyHistory[Month],"&gt;="&amp;EDATE($E218,-12),tblSafetyHistory[Month],"&lt;"&amp;cfg_YearStart))/(SUMIFS(tblSafety[Hours_Total],tblSafety[Date],"&gt;="&amp;EDATE($E218,-12),tblSafety[Date],"&lt;="&amp;$A218)+SUMIFS(tblSafetyHistory[Hours_Total],tblSafetyHistory[Month],"&gt;="&amp;EDATE($E218,-12),tblSafetyHistory[Month],"&lt;"&amp;cfg_YearStart))*1000000,"")</f>
        <v/>
      </c>
      <c r="HG218" s="56">
        <f>IFERROR((SUMIFS(tblSafety[LTI],tblSafety[Date],"&gt;="&amp;EDATE($E218,-12),tblSafety[Date],"&lt;="&amp;$A218)+SUMIFS(tblSafetyHistory[LTI],tblSafetyHistory[Month],"&gt;="&amp;EDATE($E218,-12),tblSafetyHistory[Month],"&lt;"&amp;cfg_YearStart))/(SUMIFS(tblSafety[Hours_Total],tblSafety[Date],"&gt;="&amp;EDATE($E218,-12),tblSafety[Date],"&lt;="&amp;$A218)+SUMIFS(tblSafetyHistory[Hours_Total],tblSafetyHistory[Month],"&gt;="&amp;EDATE($E218,-12),tblSafetyHistory[Month],"&lt;"&amp;cfg_YearStart))*1000000,"")</f>
        <v/>
      </c>
      <c r="HH218" s="62">
        <f>IF(MAX(N(cfg_PriorLTIDate),_xlfn.MAXIFS(tblSafety[Date],tblSafety[LTI],"&gt;0",tblSafety[Date],"&lt;="&amp;$A218))=0,"",$A218-MAX(N(cfg_PriorLTIDate),_xlfn.MAXIFS(tblSafety[Date],tblSafety[LTI],"&gt;0",tblSafety[Date],"&lt;="&amp;$A218)))</f>
        <v/>
      </c>
      <c r="HI218" s="55">
        <f>SUMIFS(tblBudget[Ore_Mined_t],tblBudget[Month],$E218)</f>
        <v/>
      </c>
      <c r="HJ218" s="55">
        <f>$HI218*$C218/$D218</f>
        <v/>
      </c>
      <c r="HK218" s="55">
        <f>SUMIFS(tblBudget[Ore_Mined_t],tblBudget[Month],"&lt;"&amp;$E218)+$HJ218</f>
        <v/>
      </c>
      <c r="HL218" s="55">
        <f>SUMIFS(tblBudget[Ore_oz],tblBudget[Month],$E218)</f>
        <v/>
      </c>
      <c r="HM218" s="55">
        <f>$HL218*$C218/$D218</f>
        <v/>
      </c>
      <c r="HN218" s="55">
        <f>SUMIFS(tblBudget[Ore_oz],tblBudget[Month],"&lt;"&amp;$E218)+$HM218</f>
        <v/>
      </c>
      <c r="HO218" s="56">
        <f>IFERROR(IF(($HI218)&gt;0,($HL218*cfg_TroyOz)/($HI218),""),"")</f>
        <v/>
      </c>
      <c r="HP218" s="56">
        <f>IFERROR(IF(($HJ218)&gt;0,($HM218*cfg_TroyOz)/($HJ218),""),"")</f>
        <v/>
      </c>
      <c r="HQ218" s="56">
        <f>IFERROR(IF(($HK218)&gt;0,($HN218*cfg_TroyOz)/($HK218),""),"")</f>
        <v/>
      </c>
      <c r="HR218" s="55">
        <f>SUMIFS(tblBudget[Waste_t],tblBudget[Month],$E218)</f>
        <v/>
      </c>
      <c r="HS218" s="55">
        <f>$HR218*$C218/$D218</f>
        <v/>
      </c>
      <c r="HT218" s="55">
        <f>SUMIFS(tblBudget[Waste_t],tblBudget[Month],"&lt;"&amp;$E218)+$HS218</f>
        <v/>
      </c>
      <c r="HU218" s="55">
        <f>SUMIFS(tblBudget[TMM_t],tblBudget[Month],$E218)</f>
        <v/>
      </c>
      <c r="HV218" s="55">
        <f>$HU218*$C218/$D218</f>
        <v/>
      </c>
      <c r="HW218" s="55">
        <f>SUMIFS(tblBudget[TMM_t],tblBudget[Month],"&lt;"&amp;$E218)+$HV218</f>
        <v/>
      </c>
      <c r="HX218" s="56">
        <f>IFERROR(IF(($HI218)&gt;0,($HR218)/($HI218),""),"")</f>
        <v/>
      </c>
      <c r="HY218" s="56">
        <f>IFERROR(IF(($HJ218)&gt;0,($HS218)/($HJ218),""),"")</f>
        <v/>
      </c>
      <c r="HZ218" s="56">
        <f>IFERROR(IF(($HK218)&gt;0,($HT218)/($HK218),""),"")</f>
        <v/>
      </c>
      <c r="IA218" s="55">
        <f>SUMIFS(tblBudget[Drill_m],tblBudget[Month],$E218)</f>
        <v/>
      </c>
      <c r="IB218" s="55">
        <f>$IA218*$C218/$D218</f>
        <v/>
      </c>
      <c r="IC218" s="55">
        <f>SUMIFS(tblBudget[Drill_m],tblBudget[Month],"&lt;"&amp;$E218)+$IB218</f>
        <v/>
      </c>
      <c r="ID218" s="55">
        <f>SUMIFS(tblBudget[Diesel_L],tblBudget[Month],$E218)</f>
        <v/>
      </c>
      <c r="IE218" s="55">
        <f>$ID218*$C218/$D218</f>
        <v/>
      </c>
      <c r="IF218" s="55">
        <f>SUMIFS(tblBudget[Diesel_L],tblBudget[Month],"&lt;"&amp;$E218)+$IE218</f>
        <v/>
      </c>
      <c r="IG218" s="55">
        <f>SUMIFS(tblBudget[Milled_t],tblBudget[Month],$E218)</f>
        <v/>
      </c>
      <c r="IH218" s="55">
        <f>$IG218*$C218/$D218</f>
        <v/>
      </c>
      <c r="II218" s="55">
        <f>SUMIFS(tblBudget[Milled_t],tblBudget[Month],"&lt;"&amp;$E218)+$IH218</f>
        <v/>
      </c>
      <c r="IJ218" s="55">
        <f>SUMIFS(tblBudget[Feed_oz],tblBudget[Month],$E218)</f>
        <v/>
      </c>
      <c r="IK218" s="55">
        <f>$IJ218*$C218/$D218</f>
        <v/>
      </c>
      <c r="IL218" s="55">
        <f>SUMIFS(tblBudget[Feed_oz],tblBudget[Month],"&lt;"&amp;$E218)+$IK218</f>
        <v/>
      </c>
      <c r="IM218" s="55">
        <f>SUMIFS(tblBudget[Recovered_oz],tblBudget[Month],$E218)</f>
        <v/>
      </c>
      <c r="IN218" s="55">
        <f>$IM218*$C218/$D218</f>
        <v/>
      </c>
      <c r="IO218" s="55">
        <f>SUMIFS(tblBudget[Recovered_oz],tblBudget[Month],"&lt;"&amp;$E218)+$IN218</f>
        <v/>
      </c>
      <c r="IP218" s="56">
        <f>IFERROR(IF(($IG218)&gt;0,($IJ218*cfg_TroyOz)/($IG218),""),"")</f>
        <v/>
      </c>
      <c r="IQ218" s="56">
        <f>IFERROR(IF(($IH218)&gt;0,($IK218*cfg_TroyOz)/($IH218),""),"")</f>
        <v/>
      </c>
      <c r="IR218" s="56">
        <f>IFERROR(IF(($II218)&gt;0,($IL218*cfg_TroyOz)/($II218),""),"")</f>
        <v/>
      </c>
      <c r="IS218" s="67">
        <f>IFERROR(IF(($IJ218)&gt;0,($IM218)/($IJ218),""),"")</f>
        <v/>
      </c>
      <c r="IT218" s="67">
        <f>IFERROR(IF(($IK218)&gt;0,($IN218)/($IK218),""),"")</f>
        <v/>
      </c>
      <c r="IU218" s="67">
        <f>IFERROR(IF(($IL218)&gt;0,($IO218)/($IL218),""),"")</f>
        <v/>
      </c>
      <c r="IV218" s="55">
        <f>SUMIFS(tblBudget[Gold_Poured_oz],tblBudget[Month],$E218)</f>
        <v/>
      </c>
      <c r="IW218" s="55">
        <f>$IV218*$C218/$D218</f>
        <v/>
      </c>
      <c r="IX218" s="55">
        <f>SUMIFS(tblBudget[Gold_Poured_oz],tblBudget[Month],"&lt;"&amp;$E218)+$IW218</f>
        <v/>
      </c>
      <c r="IY218" s="57">
        <f>SUMIFS(tblBudget[Hours_Worked],tblBudget[Month],$E218)</f>
        <v/>
      </c>
      <c r="IZ218" s="57">
        <f>$IY218*$C218/$D218</f>
        <v/>
      </c>
      <c r="JA218" s="57">
        <f>SUMIFS(tblBudget[Hours_Worked],tblBudget[Month],"&lt;"&amp;$E218)+$IZ218</f>
        <v/>
      </c>
    </row>
    <row r="219">
      <c r="A219" s="54" t="n">
        <v>46240</v>
      </c>
      <c r="B219">
        <f>MONTH($A219)</f>
        <v/>
      </c>
      <c r="C219">
        <f>DAY($A219)</f>
        <v/>
      </c>
      <c r="D219">
        <f>DAY(EOMONTH($A219,0))</f>
        <v/>
      </c>
      <c r="E219" s="54">
        <f>DATE(YEAR($A219),MONTH($A219),1)</f>
        <v/>
      </c>
      <c r="F219" s="55">
        <f>SUMIFS(tblMovement[Tonnes_t],tblMovement[Date],$A219,tblMovement[Is_Ore],1,tblMovement[Source_Type],"Pit")</f>
        <v/>
      </c>
      <c r="G219" s="55">
        <f>IF($B219=$B218,$G218,0)+$F219</f>
        <v/>
      </c>
      <c r="H219" s="55">
        <f>$H218+$F219</f>
        <v/>
      </c>
      <c r="I219" s="55">
        <f>SUMIFS(tblMovement[Ore_oz],tblMovement[Date],$A219,tblMovement[Source_Type],"Pit")</f>
        <v/>
      </c>
      <c r="J219" s="55">
        <f>IF($B219=$B218,$J218,0)+$I219</f>
        <v/>
      </c>
      <c r="K219" s="55">
        <f>$K218+$I219</f>
        <v/>
      </c>
      <c r="L219" s="56">
        <f>IFERROR(IF(($F219)&gt;0,($I219*cfg_TroyOz)/($F219),""),"")</f>
        <v/>
      </c>
      <c r="M219" s="56">
        <f>IFERROR(IF(($G219)&gt;0,($J219*cfg_TroyOz)/($G219),""),"")</f>
        <v/>
      </c>
      <c r="N219" s="56">
        <f>IFERROR(IF(($H219)&gt;0,($K219*cfg_TroyOz)/($H219),""),"")</f>
        <v/>
      </c>
      <c r="O219" s="55">
        <f>SUMIFS(tblMovement[Tonnes_t],tblMovement[Date],$A219,tblMovement[Is_Ore],0,tblMovement[Source_Type],"Pit")</f>
        <v/>
      </c>
      <c r="P219" s="55">
        <f>IF($B219=$B218,$P218,0)+$O219</f>
        <v/>
      </c>
      <c r="Q219" s="55">
        <f>$Q218+$O219</f>
        <v/>
      </c>
      <c r="R219" s="55">
        <f>$F219+$O219</f>
        <v/>
      </c>
      <c r="S219" s="55">
        <f>IF($B219=$B218,$S218,0)+$R219</f>
        <v/>
      </c>
      <c r="T219" s="55">
        <f>$T218+$R219</f>
        <v/>
      </c>
      <c r="U219" s="56">
        <f>IFERROR(IF(($F219)&gt;0,($O219)/($F219),""),"")</f>
        <v/>
      </c>
      <c r="V219" s="56">
        <f>IFERROR(IF(($G219)&gt;0,($P219)/($G219),""),"")</f>
        <v/>
      </c>
      <c r="W219" s="56">
        <f>IFERROR(IF(($H219)&gt;0,($Q219)/($H219),""),"")</f>
        <v/>
      </c>
      <c r="X219" s="55">
        <f>SUMIFS(tblMovement[Tonnes_t],tblMovement[Date],$A219,tblMovement[Source_Type],"Stockpile")</f>
        <v/>
      </c>
      <c r="Y219" s="55">
        <f>IF($B219=$B218,$Y218,0)+$X219</f>
        <v/>
      </c>
      <c r="Z219" s="55">
        <f>$Z218+$X219</f>
        <v/>
      </c>
      <c r="AA219" s="55">
        <f>SUMIFS(tblMiningDaily[Drill_m],tblMiningDaily[Date],$A219)</f>
        <v/>
      </c>
      <c r="AB219" s="55">
        <f>IF($B219=$B218,$AB218,0)+$AA219</f>
        <v/>
      </c>
      <c r="AC219" s="55">
        <f>$AC218+$AA219</f>
        <v/>
      </c>
      <c r="AD219" s="55">
        <f>SUMIFS(tblMiningDaily[Blast_t],tblMiningDaily[Date],$A219)</f>
        <v/>
      </c>
      <c r="AE219" s="55">
        <f>IF($B219=$B218,$AE218,0)+$AD219</f>
        <v/>
      </c>
      <c r="AF219" s="55">
        <f>$AF218+$AD219</f>
        <v/>
      </c>
      <c r="AG219" s="55">
        <f>SUMIFS(tblMiningDaily[Explosives_kg],tblMiningDaily[Date],$A219)</f>
        <v/>
      </c>
      <c r="AH219" s="55">
        <f>IF($B219=$B218,$AH218,0)+$AG219</f>
        <v/>
      </c>
      <c r="AI219" s="55">
        <f>$AI218+$AG219</f>
        <v/>
      </c>
      <c r="AJ219" s="56">
        <f>IFERROR(IF(($AD219)&gt;0,($AG219)/($AD219),""),"")</f>
        <v/>
      </c>
      <c r="AK219" s="56">
        <f>IFERROR(IF(($AE219)&gt;0,($AH219)/($AE219),""),"")</f>
        <v/>
      </c>
      <c r="AL219" s="56">
        <f>IFERROR(IF(($AF219)&gt;0,($AI219)/($AF219),""),"")</f>
        <v/>
      </c>
      <c r="AM219" s="55">
        <f>SUMIFS(tblMiningDaily[Diesel_L],tblMiningDaily[Date],$A219)</f>
        <v/>
      </c>
      <c r="AN219" s="55">
        <f>IF($B219=$B218,$AN218,0)+$AM219</f>
        <v/>
      </c>
      <c r="AO219" s="55">
        <f>$AO218+$AM219</f>
        <v/>
      </c>
      <c r="AP219" s="55">
        <f>SUMIFS(tblMiningDaily[Dewatering_m3],tblMiningDaily[Date],$A219)</f>
        <v/>
      </c>
      <c r="AQ219" s="55">
        <f>IF($B219=$B218,$AQ218,0)+$AP219</f>
        <v/>
      </c>
      <c r="AR219" s="55">
        <f>$AR218+$AP219</f>
        <v/>
      </c>
      <c r="AS219" s="57">
        <f>SUMIFS(tblFleet[Calendar_h],tblFleet[Date],$A219,tblFleet[Equipment_Class],"Excavator")</f>
        <v/>
      </c>
      <c r="AT219" s="57">
        <f>IF($B219=$B218,$AT218,0)+$AS219</f>
        <v/>
      </c>
      <c r="AU219" s="57">
        <f>$AU218+$AS219</f>
        <v/>
      </c>
      <c r="AV219" s="57">
        <f>SUMIFS(tblFleet[Available_h],tblFleet[Date],$A219,tblFleet[Equipment_Class],"Excavator")</f>
        <v/>
      </c>
      <c r="AW219" s="57">
        <f>IF($B219=$B218,$AW218,0)+$AV219</f>
        <v/>
      </c>
      <c r="AX219" s="57">
        <f>$AX218+$AV219</f>
        <v/>
      </c>
      <c r="AY219" s="57">
        <f>SUMIFS(tblFleet[Operating_h],tblFleet[Date],$A219,tblFleet[Equipment_Class],"Excavator")</f>
        <v/>
      </c>
      <c r="AZ219" s="57">
        <f>IF($B219=$B218,$AZ218,0)+$AY219</f>
        <v/>
      </c>
      <c r="BA219" s="57">
        <f>$BA218+$AY219</f>
        <v/>
      </c>
      <c r="BB219" s="67">
        <f>IFERROR(IF(($AS219)&gt;0,($AV219)/($AS219),""),"")</f>
        <v/>
      </c>
      <c r="BC219" s="67">
        <f>IFERROR(IF(($AT219)&gt;0,($AW219)/($AT219),""),"")</f>
        <v/>
      </c>
      <c r="BD219" s="67">
        <f>IFERROR(IF(($AU219)&gt;0,($AX219)/($AU219),""),"")</f>
        <v/>
      </c>
      <c r="BE219" s="67">
        <f>IFERROR(IF(($AV219)&gt;0,($AY219)/($AV219),""),"")</f>
        <v/>
      </c>
      <c r="BF219" s="67">
        <f>IFERROR(IF(($AW219)&gt;0,($AZ219)/($AW219),""),"")</f>
        <v/>
      </c>
      <c r="BG219" s="67">
        <f>IFERROR(IF(($AX219)&gt;0,($BA219)/($AX219),""),"")</f>
        <v/>
      </c>
      <c r="BH219" s="57">
        <f>SUMIFS(tblFleet[Calendar_h],tblFleet[Date],$A219,tblFleet[Equipment_Class],"Haul Truck")</f>
        <v/>
      </c>
      <c r="BI219" s="57">
        <f>IF($B219=$B218,$BI218,0)+$BH219</f>
        <v/>
      </c>
      <c r="BJ219" s="57">
        <f>$BJ218+$BH219</f>
        <v/>
      </c>
      <c r="BK219" s="57">
        <f>SUMIFS(tblFleet[Available_h],tblFleet[Date],$A219,tblFleet[Equipment_Class],"Haul Truck")</f>
        <v/>
      </c>
      <c r="BL219" s="57">
        <f>IF($B219=$B218,$BL218,0)+$BK219</f>
        <v/>
      </c>
      <c r="BM219" s="57">
        <f>$BM218+$BK219</f>
        <v/>
      </c>
      <c r="BN219" s="57">
        <f>SUMIFS(tblFleet[Operating_h],tblFleet[Date],$A219,tblFleet[Equipment_Class],"Haul Truck")</f>
        <v/>
      </c>
      <c r="BO219" s="57">
        <f>IF($B219=$B218,$BO218,0)+$BN219</f>
        <v/>
      </c>
      <c r="BP219" s="57">
        <f>$BP218+$BN219</f>
        <v/>
      </c>
      <c r="BQ219" s="67">
        <f>IFERROR(IF(($BH219)&gt;0,($BK219)/($BH219),""),"")</f>
        <v/>
      </c>
      <c r="BR219" s="67">
        <f>IFERROR(IF(($BI219)&gt;0,($BL219)/($BI219),""),"")</f>
        <v/>
      </c>
      <c r="BS219" s="67">
        <f>IFERROR(IF(($BJ219)&gt;0,($BM219)/($BJ219),""),"")</f>
        <v/>
      </c>
      <c r="BT219" s="67">
        <f>IFERROR(IF(($BK219)&gt;0,($BN219)/($BK219),""),"")</f>
        <v/>
      </c>
      <c r="BU219" s="67">
        <f>IFERROR(IF(($BL219)&gt;0,($BO219)/($BL219),""),"")</f>
        <v/>
      </c>
      <c r="BV219" s="67">
        <f>IFERROR(IF(($BM219)&gt;0,($BP219)/($BM219),""),"")</f>
        <v/>
      </c>
      <c r="BW219" s="55">
        <f>SUMIFS(tblPlant[Crushed_t],tblPlant[Date],$A219)</f>
        <v/>
      </c>
      <c r="BX219" s="55">
        <f>IF($B219=$B218,$BX218,0)+$BW219</f>
        <v/>
      </c>
      <c r="BY219" s="55">
        <f>$BY218+$BW219</f>
        <v/>
      </c>
      <c r="BZ219" s="55">
        <f>SUMIFS(tblPlant[Milled_t],tblPlant[Date],$A219)</f>
        <v/>
      </c>
      <c r="CA219" s="55">
        <f>IF($B219=$B218,$CA218,0)+$BZ219</f>
        <v/>
      </c>
      <c r="CB219" s="55">
        <f>$CB218+$BZ219</f>
        <v/>
      </c>
      <c r="CC219" s="55">
        <f>SUMIFS(tblPlant[Feed_oz],tblPlant[Date],$A219)</f>
        <v/>
      </c>
      <c r="CD219" s="55">
        <f>IF($B219=$B218,$CD218,0)+$CC219</f>
        <v/>
      </c>
      <c r="CE219" s="55">
        <f>$CE218+$CC219</f>
        <v/>
      </c>
      <c r="CF219" s="55">
        <f>SUMIFS(tblPlant[Tails_oz],tblPlant[Date],$A219)</f>
        <v/>
      </c>
      <c r="CG219" s="55">
        <f>IF($B219=$B218,$CG218,0)+$CF219</f>
        <v/>
      </c>
      <c r="CH219" s="55">
        <f>$CH218+$CF219</f>
        <v/>
      </c>
      <c r="CI219" s="55">
        <f>SUMIFS(tblPlant[Recovered_oz],tblPlant[Date],$A219)</f>
        <v/>
      </c>
      <c r="CJ219" s="55">
        <f>IF($B219=$B218,$CJ218,0)+$CI219</f>
        <v/>
      </c>
      <c r="CK219" s="55">
        <f>$CK218+$CI219</f>
        <v/>
      </c>
      <c r="CL219" s="56">
        <f>IFERROR(IF(($BZ219)&gt;0,($CC219*cfg_TroyOz)/($BZ219),""),"")</f>
        <v/>
      </c>
      <c r="CM219" s="56">
        <f>IFERROR(IF(($CA219)&gt;0,($CD219*cfg_TroyOz)/($CA219),""),"")</f>
        <v/>
      </c>
      <c r="CN219" s="56">
        <f>IFERROR(IF(($CB219)&gt;0,($CE219*cfg_TroyOz)/($CB219),""),"")</f>
        <v/>
      </c>
      <c r="CO219" s="56">
        <f>IFERROR(IF(($BZ219)&gt;0,($CF219*cfg_TroyOz)/($BZ219),""),"")</f>
        <v/>
      </c>
      <c r="CP219" s="56">
        <f>IFERROR(IF(($CA219)&gt;0,($CG219*cfg_TroyOz)/($CA219),""),"")</f>
        <v/>
      </c>
      <c r="CQ219" s="56">
        <f>IFERROR(IF(($CB219)&gt;0,($CH219*cfg_TroyOz)/($CB219),""),"")</f>
        <v/>
      </c>
      <c r="CR219" s="67">
        <f>IFERROR(IF(($CC219)&gt;0,($CI219)/($CC219),""),"")</f>
        <v/>
      </c>
      <c r="CS219" s="67">
        <f>IFERROR(IF(($CD219)&gt;0,($CJ219)/($CD219),""),"")</f>
        <v/>
      </c>
      <c r="CT219" s="67">
        <f>IFERROR(IF(($CE219)&gt;0,($CK219)/($CE219),""),"")</f>
        <v/>
      </c>
      <c r="CU219" s="55">
        <f>SUMIFS(tblPlant[Gravity_Gold_oz],tblPlant[Date],$A219)</f>
        <v/>
      </c>
      <c r="CV219" s="55">
        <f>IF($B219=$B218,$CV218,0)+$CU219</f>
        <v/>
      </c>
      <c r="CW219" s="55">
        <f>$CW218+$CU219</f>
        <v/>
      </c>
      <c r="CX219" s="55">
        <f>SUMIFS(tblPlant[Gold_Poured_oz],tblPlant[Date],$A219)</f>
        <v/>
      </c>
      <c r="CY219" s="55">
        <f>IF($B219=$B218,$CY218,0)+$CX219</f>
        <v/>
      </c>
      <c r="CZ219" s="55">
        <f>$CZ218+$CX219</f>
        <v/>
      </c>
      <c r="DA219" s="57">
        <f>SUMIFS(tblPlant[Mill_Run_h],tblPlant[Date],$A219)</f>
        <v/>
      </c>
      <c r="DB219" s="57">
        <f>IF($B219=$B218,$DB218,0)+$DA219</f>
        <v/>
      </c>
      <c r="DC219" s="57">
        <f>$DC218+$DA219</f>
        <v/>
      </c>
      <c r="DD219" s="57">
        <f>SUMIFS(tblPlant[Mill_Planned_Maint_h],tblPlant[Date],$A219)</f>
        <v/>
      </c>
      <c r="DE219" s="57">
        <f>IF($B219=$B218,$DE218,0)+$DD219</f>
        <v/>
      </c>
      <c r="DF219" s="57">
        <f>$DF218+$DD219</f>
        <v/>
      </c>
      <c r="DG219" s="57">
        <f>SUMIFS(tblPlant[Mill_Unplanned_Down_h],tblPlant[Date],$A219)</f>
        <v/>
      </c>
      <c r="DH219" s="57">
        <f>IF($B219=$B218,$DH218,0)+$DG219</f>
        <v/>
      </c>
      <c r="DI219" s="57">
        <f>$DI218+$DG219</f>
        <v/>
      </c>
      <c r="DJ219" s="57">
        <f>COUNTIFS(tblPlant[Date],$A219,tblPlant[Mill_Run_h],"&lt;&gt;")*24</f>
        <v/>
      </c>
      <c r="DK219" s="57">
        <f>IF($B219=$B218,$DK218,0)+$DJ219</f>
        <v/>
      </c>
      <c r="DL219" s="57">
        <f>$DL218+$DJ219</f>
        <v/>
      </c>
      <c r="DM219" s="57">
        <f>SUMIFS(tblPlant[Crusher_Run_h],tblPlant[Date],$A219)</f>
        <v/>
      </c>
      <c r="DN219" s="57">
        <f>IF($B219=$B218,$DN218,0)+$DM219</f>
        <v/>
      </c>
      <c r="DO219" s="57">
        <f>$DO218+$DM219</f>
        <v/>
      </c>
      <c r="DP219" s="55">
        <f>IFERROR(IF(($DA219)&gt;0,($BZ219)/($DA219),""),"")</f>
        <v/>
      </c>
      <c r="DQ219" s="55">
        <f>IFERROR(IF(($DB219)&gt;0,($CA219)/($DB219),""),"")</f>
        <v/>
      </c>
      <c r="DR219" s="55">
        <f>IFERROR(IF(($DC219)&gt;0,($CB219)/($DC219),""),"")</f>
        <v/>
      </c>
      <c r="DS219" s="67">
        <f>IFERROR(IF(($DJ219)&gt;0,($DJ219-$DD219-$DG219)/($DJ219),""),"")</f>
        <v/>
      </c>
      <c r="DT219" s="67">
        <f>IFERROR(IF(($DK219)&gt;0,($DK219-$DE219-$DH219)/($DK219),""),"")</f>
        <v/>
      </c>
      <c r="DU219" s="67">
        <f>IFERROR(IF(($DL219)&gt;0,($DL219-$DF219-$DI219)/($DL219),""),"")</f>
        <v/>
      </c>
      <c r="DV219" s="67">
        <f>IFERROR(IF(($DJ219-$DD219-$DG219)&gt;0,($DA219)/($DJ219-$DD219-$DG219),""),"")</f>
        <v/>
      </c>
      <c r="DW219" s="67">
        <f>IFERROR(IF(($DK219-$DE219-$DH219)&gt;0,($DB219)/($DK219-$DE219-$DH219),""),"")</f>
        <v/>
      </c>
      <c r="DX219" s="67">
        <f>IFERROR(IF(($DL219-$DF219-$DI219)&gt;0,($DC219)/($DL219-$DF219-$DI219),""),"")</f>
        <v/>
      </c>
      <c r="DY219" s="55">
        <f>SUMIFS(tblPlant[Cyanide_kg],tblPlant[Date],$A219)</f>
        <v/>
      </c>
      <c r="DZ219" s="55">
        <f>IF($B219=$B218,$DZ218,0)+$DY219</f>
        <v/>
      </c>
      <c r="EA219" s="55">
        <f>$EA218+$DY219</f>
        <v/>
      </c>
      <c r="EB219" s="55">
        <f>SUMIFS(tblPlant[Lime_kg],tblPlant[Date],$A219)</f>
        <v/>
      </c>
      <c r="EC219" s="55">
        <f>IF($B219=$B218,$EC218,0)+$EB219</f>
        <v/>
      </c>
      <c r="ED219" s="55">
        <f>$ED218+$EB219</f>
        <v/>
      </c>
      <c r="EE219" s="55">
        <f>SUMIFS(tblPlant[Grinding_Media_kg],tblPlant[Date],$A219)</f>
        <v/>
      </c>
      <c r="EF219" s="55">
        <f>IF($B219=$B218,$EF218,0)+$EE219</f>
        <v/>
      </c>
      <c r="EG219" s="55">
        <f>$EG218+$EE219</f>
        <v/>
      </c>
      <c r="EH219" s="55">
        <f>SUMIFS(tblPlant[Power_kWh],tblPlant[Date],$A219)</f>
        <v/>
      </c>
      <c r="EI219" s="55">
        <f>IF($B219=$B218,$EI218,0)+$EH219</f>
        <v/>
      </c>
      <c r="EJ219" s="55">
        <f>$EJ218+$EH219</f>
        <v/>
      </c>
      <c r="EK219" s="55">
        <f>SUMIFS(tblPlant[Raw_Water_m3],tblPlant[Date],$A219)</f>
        <v/>
      </c>
      <c r="EL219" s="55">
        <f>IF($B219=$B218,$EL218,0)+$EK219</f>
        <v/>
      </c>
      <c r="EM219" s="55">
        <f>$EM218+$EK219</f>
        <v/>
      </c>
      <c r="EN219" s="56">
        <f>IFERROR(IF(($BZ219)&gt;0,($DY219)/($BZ219),""),"")</f>
        <v/>
      </c>
      <c r="EO219" s="56">
        <f>IFERROR(IF(($CA219)&gt;0,($DZ219)/($CA219),""),"")</f>
        <v/>
      </c>
      <c r="EP219" s="56">
        <f>IFERROR(IF(($CB219)&gt;0,($EA219)/($CB219),""),"")</f>
        <v/>
      </c>
      <c r="EQ219" s="56">
        <f>IFERROR(IF(($BZ219)&gt;0,($EB219)/($BZ219),""),"")</f>
        <v/>
      </c>
      <c r="ER219" s="56">
        <f>IFERROR(IF(($CA219)&gt;0,($EC219)/($CA219),""),"")</f>
        <v/>
      </c>
      <c r="ES219" s="56">
        <f>IFERROR(IF(($CB219)&gt;0,($ED219)/($CB219),""),"")</f>
        <v/>
      </c>
      <c r="ET219" s="56">
        <f>IFERROR(IF(($BZ219)&gt;0,($EE219)/($BZ219),""),"")</f>
        <v/>
      </c>
      <c r="EU219" s="56">
        <f>IFERROR(IF(($CA219)&gt;0,($EF219)/($CA219),""),"")</f>
        <v/>
      </c>
      <c r="EV219" s="56">
        <f>IFERROR(IF(($CB219)&gt;0,($EG219)/($CB219),""),"")</f>
        <v/>
      </c>
      <c r="EW219" s="76">
        <f>IFERROR(IF(($BZ219)&gt;0,($EH219)/($BZ219),""),"")</f>
        <v/>
      </c>
      <c r="EX219" s="76">
        <f>IFERROR(IF(($CA219)&gt;0,($EI219)/($CA219),""),"")</f>
        <v/>
      </c>
      <c r="EY219" s="76">
        <f>IFERROR(IF(($CB219)&gt;0,($EJ219)/($CB219),""),"")</f>
        <v/>
      </c>
      <c r="EZ219" s="56">
        <f>IFERROR(IF(($BZ219)&gt;0,($EK219)/($BZ219),""),"")</f>
        <v/>
      </c>
      <c r="FA219" s="56">
        <f>IFERROR(IF(($CA219)&gt;0,($EL219)/($CA219),""),"")</f>
        <v/>
      </c>
      <c r="FB219" s="56">
        <f>IFERROR(IF(($CB219)&gt;0,($EM219)/($CB219),""),"")</f>
        <v/>
      </c>
      <c r="FC219" s="55">
        <f>IF(SUMIFS(tblPlant[GIC_oz],tblPlant[Date],$A219)&gt;0,SUMIFS(tblPlant[GIC_oz],tblPlant[Date],$A219),"")</f>
        <v/>
      </c>
      <c r="FD219" s="55">
        <f>SUMIFS(tblGold[Gold_oz],tblGold[Date],$A219,tblGold[Type],"Shipment")</f>
        <v/>
      </c>
      <c r="FE219" s="55">
        <f>IF($B219=$B218,$FE218,0)+$FD219</f>
        <v/>
      </c>
      <c r="FF219" s="55">
        <f>$FF218+$FD219</f>
        <v/>
      </c>
      <c r="FG219" s="55">
        <f>SUMIFS(tblGold[Gold_oz],tblGold[Date],$A219,tblGold[Type],"Sale")</f>
        <v/>
      </c>
      <c r="FH219" s="55">
        <f>IF($B219=$B218,$FH218,0)+$FG219</f>
        <v/>
      </c>
      <c r="FI219" s="55">
        <f>$FI218+$FG219</f>
        <v/>
      </c>
      <c r="FJ219" s="55">
        <f>SUMIFS(tblGold[Dore_kg],tblGold[Date],$A219,tblGold[Type],"Shipment")</f>
        <v/>
      </c>
      <c r="FK219" s="55">
        <f>IF($B219=$B218,$FK218,0)+$FJ219</f>
        <v/>
      </c>
      <c r="FL219" s="55">
        <f>$FL218+$FJ219</f>
        <v/>
      </c>
      <c r="FM219" s="57">
        <f>SUMIFS(tblSafety[Hours_Total],tblSafety[Date],$A219)</f>
        <v/>
      </c>
      <c r="FN219" s="57">
        <f>IF($B219=$B218,$FN218,0)+$FM219</f>
        <v/>
      </c>
      <c r="FO219" s="57">
        <f>$FO218+$FM219</f>
        <v/>
      </c>
      <c r="FP219" s="62">
        <f>SUMIFS(tblSafety[Fatality],tblSafety[Date],$A219)</f>
        <v/>
      </c>
      <c r="FQ219" s="62">
        <f>IF($B219=$B218,$FQ218,0)+$FP219</f>
        <v/>
      </c>
      <c r="FR219" s="62">
        <f>$FR218+$FP219</f>
        <v/>
      </c>
      <c r="FS219" s="62">
        <f>SUMIFS(tblSafety[LTI],tblSafety[Date],$A219)</f>
        <v/>
      </c>
      <c r="FT219" s="62">
        <f>IF($B219=$B218,$FT218,0)+$FS219</f>
        <v/>
      </c>
      <c r="FU219" s="62">
        <f>$FU218+$FS219</f>
        <v/>
      </c>
      <c r="FV219" s="62">
        <f>SUMIFS(tblSafety[RWI],tblSafety[Date],$A219)</f>
        <v/>
      </c>
      <c r="FW219" s="62">
        <f>IF($B219=$B218,$FW218,0)+$FV219</f>
        <v/>
      </c>
      <c r="FX219" s="62">
        <f>$FX218+$FV219</f>
        <v/>
      </c>
      <c r="FY219" s="62">
        <f>SUMIFS(tblSafety[MTI],tblSafety[Date],$A219)</f>
        <v/>
      </c>
      <c r="FZ219" s="62">
        <f>IF($B219=$B218,$FZ218,0)+$FY219</f>
        <v/>
      </c>
      <c r="GA219" s="62">
        <f>$GA218+$FY219</f>
        <v/>
      </c>
      <c r="GB219" s="62">
        <f>SUMIFS(tblSafety[FAI],tblSafety[Date],$A219)</f>
        <v/>
      </c>
      <c r="GC219" s="62">
        <f>IF($B219=$B218,$GC218,0)+$GB219</f>
        <v/>
      </c>
      <c r="GD219" s="62">
        <f>$GD218+$GB219</f>
        <v/>
      </c>
      <c r="GE219" s="62">
        <f>SUMIFS(tblSafety[Recordables],tblSafety[Date],$A219)</f>
        <v/>
      </c>
      <c r="GF219" s="62">
        <f>IF($B219=$B218,$GF218,0)+$GE219</f>
        <v/>
      </c>
      <c r="GG219" s="62">
        <f>$GG218+$GE219</f>
        <v/>
      </c>
      <c r="GH219" s="62">
        <f>SUMIFS(tblSafety[Near_Miss],tblSafety[Date],$A219)</f>
        <v/>
      </c>
      <c r="GI219" s="62">
        <f>IF($B219=$B218,$GI218,0)+$GH219</f>
        <v/>
      </c>
      <c r="GJ219" s="62">
        <f>$GJ218+$GH219</f>
        <v/>
      </c>
      <c r="GK219" s="62">
        <f>SUMIFS(tblSafety[Hazard_Reports],tblSafety[Date],$A219)</f>
        <v/>
      </c>
      <c r="GL219" s="62">
        <f>IF($B219=$B218,$GL218,0)+$GK219</f>
        <v/>
      </c>
      <c r="GM219" s="62">
        <f>$GM218+$GK219</f>
        <v/>
      </c>
      <c r="GN219" s="62">
        <f>SUMIFS(tblSafety[HPI],tblSafety[Date],$A219)</f>
        <v/>
      </c>
      <c r="GO219" s="62">
        <f>IF($B219=$B218,$GO218,0)+$GN219</f>
        <v/>
      </c>
      <c r="GP219" s="62">
        <f>$GP218+$GN219</f>
        <v/>
      </c>
      <c r="GQ219" s="62">
        <f>SUMIFS(tblSafety[Env_Incidents],tblSafety[Date],$A219)</f>
        <v/>
      </c>
      <c r="GR219" s="62">
        <f>IF($B219=$B218,$GR218,0)+$GQ219</f>
        <v/>
      </c>
      <c r="GS219" s="62">
        <f>$GS218+$GQ219</f>
        <v/>
      </c>
      <c r="GT219" s="62">
        <f>SUMIFS(tblSafety[Community_Incidents],tblSafety[Date],$A219)</f>
        <v/>
      </c>
      <c r="GU219" s="62">
        <f>IF($B219=$B218,$GU218,0)+$GT219</f>
        <v/>
      </c>
      <c r="GV219" s="62">
        <f>$GV218+$GT219</f>
        <v/>
      </c>
      <c r="GW219" s="62">
        <f>SUMIFS(tblSafety[Vehicle_Incidents],tblSafety[Date],$A219)</f>
        <v/>
      </c>
      <c r="GX219" s="62">
        <f>IF($B219=$B218,$GX218,0)+$GW219</f>
        <v/>
      </c>
      <c r="GY219" s="62">
        <f>$GY218+$GW219</f>
        <v/>
      </c>
      <c r="GZ219" s="62">
        <f>SUMIFS(tblSafety[Toolbox_Talks],tblSafety[Date],$A219)</f>
        <v/>
      </c>
      <c r="HA219" s="62">
        <f>IF($B219=$B218,$HA218,0)+$GZ219</f>
        <v/>
      </c>
      <c r="HB219" s="62">
        <f>$HB218+$GZ219</f>
        <v/>
      </c>
      <c r="HC219" s="62">
        <f>SUMIFS(tblSafety[Inspections],tblSafety[Date],$A219)</f>
        <v/>
      </c>
      <c r="HD219" s="62">
        <f>IF($B219=$B218,$HD218,0)+$HC219</f>
        <v/>
      </c>
      <c r="HE219" s="62">
        <f>$HE218+$HC219</f>
        <v/>
      </c>
      <c r="HF219" s="56">
        <f>IFERROR((SUMIFS(tblSafety[Recordables],tblSafety[Date],"&gt;="&amp;EDATE($E219,-12),tblSafety[Date],"&lt;="&amp;$A219)+SUMIFS(tblSafetyHistory[Recordables],tblSafetyHistory[Month],"&gt;="&amp;EDATE($E219,-12),tblSafetyHistory[Month],"&lt;"&amp;cfg_YearStart))/(SUMIFS(tblSafety[Hours_Total],tblSafety[Date],"&gt;="&amp;EDATE($E219,-12),tblSafety[Date],"&lt;="&amp;$A219)+SUMIFS(tblSafetyHistory[Hours_Total],tblSafetyHistory[Month],"&gt;="&amp;EDATE($E219,-12),tblSafetyHistory[Month],"&lt;"&amp;cfg_YearStart))*1000000,"")</f>
        <v/>
      </c>
      <c r="HG219" s="56">
        <f>IFERROR((SUMIFS(tblSafety[LTI],tblSafety[Date],"&gt;="&amp;EDATE($E219,-12),tblSafety[Date],"&lt;="&amp;$A219)+SUMIFS(tblSafetyHistory[LTI],tblSafetyHistory[Month],"&gt;="&amp;EDATE($E219,-12),tblSafetyHistory[Month],"&lt;"&amp;cfg_YearStart))/(SUMIFS(tblSafety[Hours_Total],tblSafety[Date],"&gt;="&amp;EDATE($E219,-12),tblSafety[Date],"&lt;="&amp;$A219)+SUMIFS(tblSafetyHistory[Hours_Total],tblSafetyHistory[Month],"&gt;="&amp;EDATE($E219,-12),tblSafetyHistory[Month],"&lt;"&amp;cfg_YearStart))*1000000,"")</f>
        <v/>
      </c>
      <c r="HH219" s="62">
        <f>IF(MAX(N(cfg_PriorLTIDate),_xlfn.MAXIFS(tblSafety[Date],tblSafety[LTI],"&gt;0",tblSafety[Date],"&lt;="&amp;$A219))=0,"",$A219-MAX(N(cfg_PriorLTIDate),_xlfn.MAXIFS(tblSafety[Date],tblSafety[LTI],"&gt;0",tblSafety[Date],"&lt;="&amp;$A219)))</f>
        <v/>
      </c>
      <c r="HI219" s="55">
        <f>SUMIFS(tblBudget[Ore_Mined_t],tblBudget[Month],$E219)</f>
        <v/>
      </c>
      <c r="HJ219" s="55">
        <f>$HI219*$C219/$D219</f>
        <v/>
      </c>
      <c r="HK219" s="55">
        <f>SUMIFS(tblBudget[Ore_Mined_t],tblBudget[Month],"&lt;"&amp;$E219)+$HJ219</f>
        <v/>
      </c>
      <c r="HL219" s="55">
        <f>SUMIFS(tblBudget[Ore_oz],tblBudget[Month],$E219)</f>
        <v/>
      </c>
      <c r="HM219" s="55">
        <f>$HL219*$C219/$D219</f>
        <v/>
      </c>
      <c r="HN219" s="55">
        <f>SUMIFS(tblBudget[Ore_oz],tblBudget[Month],"&lt;"&amp;$E219)+$HM219</f>
        <v/>
      </c>
      <c r="HO219" s="56">
        <f>IFERROR(IF(($HI219)&gt;0,($HL219*cfg_TroyOz)/($HI219),""),"")</f>
        <v/>
      </c>
      <c r="HP219" s="56">
        <f>IFERROR(IF(($HJ219)&gt;0,($HM219*cfg_TroyOz)/($HJ219),""),"")</f>
        <v/>
      </c>
      <c r="HQ219" s="56">
        <f>IFERROR(IF(($HK219)&gt;0,($HN219*cfg_TroyOz)/($HK219),""),"")</f>
        <v/>
      </c>
      <c r="HR219" s="55">
        <f>SUMIFS(tblBudget[Waste_t],tblBudget[Month],$E219)</f>
        <v/>
      </c>
      <c r="HS219" s="55">
        <f>$HR219*$C219/$D219</f>
        <v/>
      </c>
      <c r="HT219" s="55">
        <f>SUMIFS(tblBudget[Waste_t],tblBudget[Month],"&lt;"&amp;$E219)+$HS219</f>
        <v/>
      </c>
      <c r="HU219" s="55">
        <f>SUMIFS(tblBudget[TMM_t],tblBudget[Month],$E219)</f>
        <v/>
      </c>
      <c r="HV219" s="55">
        <f>$HU219*$C219/$D219</f>
        <v/>
      </c>
      <c r="HW219" s="55">
        <f>SUMIFS(tblBudget[TMM_t],tblBudget[Month],"&lt;"&amp;$E219)+$HV219</f>
        <v/>
      </c>
      <c r="HX219" s="56">
        <f>IFERROR(IF(($HI219)&gt;0,($HR219)/($HI219),""),"")</f>
        <v/>
      </c>
      <c r="HY219" s="56">
        <f>IFERROR(IF(($HJ219)&gt;0,($HS219)/($HJ219),""),"")</f>
        <v/>
      </c>
      <c r="HZ219" s="56">
        <f>IFERROR(IF(($HK219)&gt;0,($HT219)/($HK219),""),"")</f>
        <v/>
      </c>
      <c r="IA219" s="55">
        <f>SUMIFS(tblBudget[Drill_m],tblBudget[Month],$E219)</f>
        <v/>
      </c>
      <c r="IB219" s="55">
        <f>$IA219*$C219/$D219</f>
        <v/>
      </c>
      <c r="IC219" s="55">
        <f>SUMIFS(tblBudget[Drill_m],tblBudget[Month],"&lt;"&amp;$E219)+$IB219</f>
        <v/>
      </c>
      <c r="ID219" s="55">
        <f>SUMIFS(tblBudget[Diesel_L],tblBudget[Month],$E219)</f>
        <v/>
      </c>
      <c r="IE219" s="55">
        <f>$ID219*$C219/$D219</f>
        <v/>
      </c>
      <c r="IF219" s="55">
        <f>SUMIFS(tblBudget[Diesel_L],tblBudget[Month],"&lt;"&amp;$E219)+$IE219</f>
        <v/>
      </c>
      <c r="IG219" s="55">
        <f>SUMIFS(tblBudget[Milled_t],tblBudget[Month],$E219)</f>
        <v/>
      </c>
      <c r="IH219" s="55">
        <f>$IG219*$C219/$D219</f>
        <v/>
      </c>
      <c r="II219" s="55">
        <f>SUMIFS(tblBudget[Milled_t],tblBudget[Month],"&lt;"&amp;$E219)+$IH219</f>
        <v/>
      </c>
      <c r="IJ219" s="55">
        <f>SUMIFS(tblBudget[Feed_oz],tblBudget[Month],$E219)</f>
        <v/>
      </c>
      <c r="IK219" s="55">
        <f>$IJ219*$C219/$D219</f>
        <v/>
      </c>
      <c r="IL219" s="55">
        <f>SUMIFS(tblBudget[Feed_oz],tblBudget[Month],"&lt;"&amp;$E219)+$IK219</f>
        <v/>
      </c>
      <c r="IM219" s="55">
        <f>SUMIFS(tblBudget[Recovered_oz],tblBudget[Month],$E219)</f>
        <v/>
      </c>
      <c r="IN219" s="55">
        <f>$IM219*$C219/$D219</f>
        <v/>
      </c>
      <c r="IO219" s="55">
        <f>SUMIFS(tblBudget[Recovered_oz],tblBudget[Month],"&lt;"&amp;$E219)+$IN219</f>
        <v/>
      </c>
      <c r="IP219" s="56">
        <f>IFERROR(IF(($IG219)&gt;0,($IJ219*cfg_TroyOz)/($IG219),""),"")</f>
        <v/>
      </c>
      <c r="IQ219" s="56">
        <f>IFERROR(IF(($IH219)&gt;0,($IK219*cfg_TroyOz)/($IH219),""),"")</f>
        <v/>
      </c>
      <c r="IR219" s="56">
        <f>IFERROR(IF(($II219)&gt;0,($IL219*cfg_TroyOz)/($II219),""),"")</f>
        <v/>
      </c>
      <c r="IS219" s="67">
        <f>IFERROR(IF(($IJ219)&gt;0,($IM219)/($IJ219),""),"")</f>
        <v/>
      </c>
      <c r="IT219" s="67">
        <f>IFERROR(IF(($IK219)&gt;0,($IN219)/($IK219),""),"")</f>
        <v/>
      </c>
      <c r="IU219" s="67">
        <f>IFERROR(IF(($IL219)&gt;0,($IO219)/($IL219),""),"")</f>
        <v/>
      </c>
      <c r="IV219" s="55">
        <f>SUMIFS(tblBudget[Gold_Poured_oz],tblBudget[Month],$E219)</f>
        <v/>
      </c>
      <c r="IW219" s="55">
        <f>$IV219*$C219/$D219</f>
        <v/>
      </c>
      <c r="IX219" s="55">
        <f>SUMIFS(tblBudget[Gold_Poured_oz],tblBudget[Month],"&lt;"&amp;$E219)+$IW219</f>
        <v/>
      </c>
      <c r="IY219" s="57">
        <f>SUMIFS(tblBudget[Hours_Worked],tblBudget[Month],$E219)</f>
        <v/>
      </c>
      <c r="IZ219" s="57">
        <f>$IY219*$C219/$D219</f>
        <v/>
      </c>
      <c r="JA219" s="57">
        <f>SUMIFS(tblBudget[Hours_Worked],tblBudget[Month],"&lt;"&amp;$E219)+$IZ219</f>
        <v/>
      </c>
    </row>
    <row r="220">
      <c r="A220" s="54" t="n">
        <v>46241</v>
      </c>
      <c r="B220">
        <f>MONTH($A220)</f>
        <v/>
      </c>
      <c r="C220">
        <f>DAY($A220)</f>
        <v/>
      </c>
      <c r="D220">
        <f>DAY(EOMONTH($A220,0))</f>
        <v/>
      </c>
      <c r="E220" s="54">
        <f>DATE(YEAR($A220),MONTH($A220),1)</f>
        <v/>
      </c>
      <c r="F220" s="55">
        <f>SUMIFS(tblMovement[Tonnes_t],tblMovement[Date],$A220,tblMovement[Is_Ore],1,tblMovement[Source_Type],"Pit")</f>
        <v/>
      </c>
      <c r="G220" s="55">
        <f>IF($B220=$B219,$G219,0)+$F220</f>
        <v/>
      </c>
      <c r="H220" s="55">
        <f>$H219+$F220</f>
        <v/>
      </c>
      <c r="I220" s="55">
        <f>SUMIFS(tblMovement[Ore_oz],tblMovement[Date],$A220,tblMovement[Source_Type],"Pit")</f>
        <v/>
      </c>
      <c r="J220" s="55">
        <f>IF($B220=$B219,$J219,0)+$I220</f>
        <v/>
      </c>
      <c r="K220" s="55">
        <f>$K219+$I220</f>
        <v/>
      </c>
      <c r="L220" s="56">
        <f>IFERROR(IF(($F220)&gt;0,($I220*cfg_TroyOz)/($F220),""),"")</f>
        <v/>
      </c>
      <c r="M220" s="56">
        <f>IFERROR(IF(($G220)&gt;0,($J220*cfg_TroyOz)/($G220),""),"")</f>
        <v/>
      </c>
      <c r="N220" s="56">
        <f>IFERROR(IF(($H220)&gt;0,($K220*cfg_TroyOz)/($H220),""),"")</f>
        <v/>
      </c>
      <c r="O220" s="55">
        <f>SUMIFS(tblMovement[Tonnes_t],tblMovement[Date],$A220,tblMovement[Is_Ore],0,tblMovement[Source_Type],"Pit")</f>
        <v/>
      </c>
      <c r="P220" s="55">
        <f>IF($B220=$B219,$P219,0)+$O220</f>
        <v/>
      </c>
      <c r="Q220" s="55">
        <f>$Q219+$O220</f>
        <v/>
      </c>
      <c r="R220" s="55">
        <f>$F220+$O220</f>
        <v/>
      </c>
      <c r="S220" s="55">
        <f>IF($B220=$B219,$S219,0)+$R220</f>
        <v/>
      </c>
      <c r="T220" s="55">
        <f>$T219+$R220</f>
        <v/>
      </c>
      <c r="U220" s="56">
        <f>IFERROR(IF(($F220)&gt;0,($O220)/($F220),""),"")</f>
        <v/>
      </c>
      <c r="V220" s="56">
        <f>IFERROR(IF(($G220)&gt;0,($P220)/($G220),""),"")</f>
        <v/>
      </c>
      <c r="W220" s="56">
        <f>IFERROR(IF(($H220)&gt;0,($Q220)/($H220),""),"")</f>
        <v/>
      </c>
      <c r="X220" s="55">
        <f>SUMIFS(tblMovement[Tonnes_t],tblMovement[Date],$A220,tblMovement[Source_Type],"Stockpile")</f>
        <v/>
      </c>
      <c r="Y220" s="55">
        <f>IF($B220=$B219,$Y219,0)+$X220</f>
        <v/>
      </c>
      <c r="Z220" s="55">
        <f>$Z219+$X220</f>
        <v/>
      </c>
      <c r="AA220" s="55">
        <f>SUMIFS(tblMiningDaily[Drill_m],tblMiningDaily[Date],$A220)</f>
        <v/>
      </c>
      <c r="AB220" s="55">
        <f>IF($B220=$B219,$AB219,0)+$AA220</f>
        <v/>
      </c>
      <c r="AC220" s="55">
        <f>$AC219+$AA220</f>
        <v/>
      </c>
      <c r="AD220" s="55">
        <f>SUMIFS(tblMiningDaily[Blast_t],tblMiningDaily[Date],$A220)</f>
        <v/>
      </c>
      <c r="AE220" s="55">
        <f>IF($B220=$B219,$AE219,0)+$AD220</f>
        <v/>
      </c>
      <c r="AF220" s="55">
        <f>$AF219+$AD220</f>
        <v/>
      </c>
      <c r="AG220" s="55">
        <f>SUMIFS(tblMiningDaily[Explosives_kg],tblMiningDaily[Date],$A220)</f>
        <v/>
      </c>
      <c r="AH220" s="55">
        <f>IF($B220=$B219,$AH219,0)+$AG220</f>
        <v/>
      </c>
      <c r="AI220" s="55">
        <f>$AI219+$AG220</f>
        <v/>
      </c>
      <c r="AJ220" s="56">
        <f>IFERROR(IF(($AD220)&gt;0,($AG220)/($AD220),""),"")</f>
        <v/>
      </c>
      <c r="AK220" s="56">
        <f>IFERROR(IF(($AE220)&gt;0,($AH220)/($AE220),""),"")</f>
        <v/>
      </c>
      <c r="AL220" s="56">
        <f>IFERROR(IF(($AF220)&gt;0,($AI220)/($AF220),""),"")</f>
        <v/>
      </c>
      <c r="AM220" s="55">
        <f>SUMIFS(tblMiningDaily[Diesel_L],tblMiningDaily[Date],$A220)</f>
        <v/>
      </c>
      <c r="AN220" s="55">
        <f>IF($B220=$B219,$AN219,0)+$AM220</f>
        <v/>
      </c>
      <c r="AO220" s="55">
        <f>$AO219+$AM220</f>
        <v/>
      </c>
      <c r="AP220" s="55">
        <f>SUMIFS(tblMiningDaily[Dewatering_m3],tblMiningDaily[Date],$A220)</f>
        <v/>
      </c>
      <c r="AQ220" s="55">
        <f>IF($B220=$B219,$AQ219,0)+$AP220</f>
        <v/>
      </c>
      <c r="AR220" s="55">
        <f>$AR219+$AP220</f>
        <v/>
      </c>
      <c r="AS220" s="57">
        <f>SUMIFS(tblFleet[Calendar_h],tblFleet[Date],$A220,tblFleet[Equipment_Class],"Excavator")</f>
        <v/>
      </c>
      <c r="AT220" s="57">
        <f>IF($B220=$B219,$AT219,0)+$AS220</f>
        <v/>
      </c>
      <c r="AU220" s="57">
        <f>$AU219+$AS220</f>
        <v/>
      </c>
      <c r="AV220" s="57">
        <f>SUMIFS(tblFleet[Available_h],tblFleet[Date],$A220,tblFleet[Equipment_Class],"Excavator")</f>
        <v/>
      </c>
      <c r="AW220" s="57">
        <f>IF($B220=$B219,$AW219,0)+$AV220</f>
        <v/>
      </c>
      <c r="AX220" s="57">
        <f>$AX219+$AV220</f>
        <v/>
      </c>
      <c r="AY220" s="57">
        <f>SUMIFS(tblFleet[Operating_h],tblFleet[Date],$A220,tblFleet[Equipment_Class],"Excavator")</f>
        <v/>
      </c>
      <c r="AZ220" s="57">
        <f>IF($B220=$B219,$AZ219,0)+$AY220</f>
        <v/>
      </c>
      <c r="BA220" s="57">
        <f>$BA219+$AY220</f>
        <v/>
      </c>
      <c r="BB220" s="67">
        <f>IFERROR(IF(($AS220)&gt;0,($AV220)/($AS220),""),"")</f>
        <v/>
      </c>
      <c r="BC220" s="67">
        <f>IFERROR(IF(($AT220)&gt;0,($AW220)/($AT220),""),"")</f>
        <v/>
      </c>
      <c r="BD220" s="67">
        <f>IFERROR(IF(($AU220)&gt;0,($AX220)/($AU220),""),"")</f>
        <v/>
      </c>
      <c r="BE220" s="67">
        <f>IFERROR(IF(($AV220)&gt;0,($AY220)/($AV220),""),"")</f>
        <v/>
      </c>
      <c r="BF220" s="67">
        <f>IFERROR(IF(($AW220)&gt;0,($AZ220)/($AW220),""),"")</f>
        <v/>
      </c>
      <c r="BG220" s="67">
        <f>IFERROR(IF(($AX220)&gt;0,($BA220)/($AX220),""),"")</f>
        <v/>
      </c>
      <c r="BH220" s="57">
        <f>SUMIFS(tblFleet[Calendar_h],tblFleet[Date],$A220,tblFleet[Equipment_Class],"Haul Truck")</f>
        <v/>
      </c>
      <c r="BI220" s="57">
        <f>IF($B220=$B219,$BI219,0)+$BH220</f>
        <v/>
      </c>
      <c r="BJ220" s="57">
        <f>$BJ219+$BH220</f>
        <v/>
      </c>
      <c r="BK220" s="57">
        <f>SUMIFS(tblFleet[Available_h],tblFleet[Date],$A220,tblFleet[Equipment_Class],"Haul Truck")</f>
        <v/>
      </c>
      <c r="BL220" s="57">
        <f>IF($B220=$B219,$BL219,0)+$BK220</f>
        <v/>
      </c>
      <c r="BM220" s="57">
        <f>$BM219+$BK220</f>
        <v/>
      </c>
      <c r="BN220" s="57">
        <f>SUMIFS(tblFleet[Operating_h],tblFleet[Date],$A220,tblFleet[Equipment_Class],"Haul Truck")</f>
        <v/>
      </c>
      <c r="BO220" s="57">
        <f>IF($B220=$B219,$BO219,0)+$BN220</f>
        <v/>
      </c>
      <c r="BP220" s="57">
        <f>$BP219+$BN220</f>
        <v/>
      </c>
      <c r="BQ220" s="67">
        <f>IFERROR(IF(($BH220)&gt;0,($BK220)/($BH220),""),"")</f>
        <v/>
      </c>
      <c r="BR220" s="67">
        <f>IFERROR(IF(($BI220)&gt;0,($BL220)/($BI220),""),"")</f>
        <v/>
      </c>
      <c r="BS220" s="67">
        <f>IFERROR(IF(($BJ220)&gt;0,($BM220)/($BJ220),""),"")</f>
        <v/>
      </c>
      <c r="BT220" s="67">
        <f>IFERROR(IF(($BK220)&gt;0,($BN220)/($BK220),""),"")</f>
        <v/>
      </c>
      <c r="BU220" s="67">
        <f>IFERROR(IF(($BL220)&gt;0,($BO220)/($BL220),""),"")</f>
        <v/>
      </c>
      <c r="BV220" s="67">
        <f>IFERROR(IF(($BM220)&gt;0,($BP220)/($BM220),""),"")</f>
        <v/>
      </c>
      <c r="BW220" s="55">
        <f>SUMIFS(tblPlant[Crushed_t],tblPlant[Date],$A220)</f>
        <v/>
      </c>
      <c r="BX220" s="55">
        <f>IF($B220=$B219,$BX219,0)+$BW220</f>
        <v/>
      </c>
      <c r="BY220" s="55">
        <f>$BY219+$BW220</f>
        <v/>
      </c>
      <c r="BZ220" s="55">
        <f>SUMIFS(tblPlant[Milled_t],tblPlant[Date],$A220)</f>
        <v/>
      </c>
      <c r="CA220" s="55">
        <f>IF($B220=$B219,$CA219,0)+$BZ220</f>
        <v/>
      </c>
      <c r="CB220" s="55">
        <f>$CB219+$BZ220</f>
        <v/>
      </c>
      <c r="CC220" s="55">
        <f>SUMIFS(tblPlant[Feed_oz],tblPlant[Date],$A220)</f>
        <v/>
      </c>
      <c r="CD220" s="55">
        <f>IF($B220=$B219,$CD219,0)+$CC220</f>
        <v/>
      </c>
      <c r="CE220" s="55">
        <f>$CE219+$CC220</f>
        <v/>
      </c>
      <c r="CF220" s="55">
        <f>SUMIFS(tblPlant[Tails_oz],tblPlant[Date],$A220)</f>
        <v/>
      </c>
      <c r="CG220" s="55">
        <f>IF($B220=$B219,$CG219,0)+$CF220</f>
        <v/>
      </c>
      <c r="CH220" s="55">
        <f>$CH219+$CF220</f>
        <v/>
      </c>
      <c r="CI220" s="55">
        <f>SUMIFS(tblPlant[Recovered_oz],tblPlant[Date],$A220)</f>
        <v/>
      </c>
      <c r="CJ220" s="55">
        <f>IF($B220=$B219,$CJ219,0)+$CI220</f>
        <v/>
      </c>
      <c r="CK220" s="55">
        <f>$CK219+$CI220</f>
        <v/>
      </c>
      <c r="CL220" s="56">
        <f>IFERROR(IF(($BZ220)&gt;0,($CC220*cfg_TroyOz)/($BZ220),""),"")</f>
        <v/>
      </c>
      <c r="CM220" s="56">
        <f>IFERROR(IF(($CA220)&gt;0,($CD220*cfg_TroyOz)/($CA220),""),"")</f>
        <v/>
      </c>
      <c r="CN220" s="56">
        <f>IFERROR(IF(($CB220)&gt;0,($CE220*cfg_TroyOz)/($CB220),""),"")</f>
        <v/>
      </c>
      <c r="CO220" s="56">
        <f>IFERROR(IF(($BZ220)&gt;0,($CF220*cfg_TroyOz)/($BZ220),""),"")</f>
        <v/>
      </c>
      <c r="CP220" s="56">
        <f>IFERROR(IF(($CA220)&gt;0,($CG220*cfg_TroyOz)/($CA220),""),"")</f>
        <v/>
      </c>
      <c r="CQ220" s="56">
        <f>IFERROR(IF(($CB220)&gt;0,($CH220*cfg_TroyOz)/($CB220),""),"")</f>
        <v/>
      </c>
      <c r="CR220" s="67">
        <f>IFERROR(IF(($CC220)&gt;0,($CI220)/($CC220),""),"")</f>
        <v/>
      </c>
      <c r="CS220" s="67">
        <f>IFERROR(IF(($CD220)&gt;0,($CJ220)/($CD220),""),"")</f>
        <v/>
      </c>
      <c r="CT220" s="67">
        <f>IFERROR(IF(($CE220)&gt;0,($CK220)/($CE220),""),"")</f>
        <v/>
      </c>
      <c r="CU220" s="55">
        <f>SUMIFS(tblPlant[Gravity_Gold_oz],tblPlant[Date],$A220)</f>
        <v/>
      </c>
      <c r="CV220" s="55">
        <f>IF($B220=$B219,$CV219,0)+$CU220</f>
        <v/>
      </c>
      <c r="CW220" s="55">
        <f>$CW219+$CU220</f>
        <v/>
      </c>
      <c r="CX220" s="55">
        <f>SUMIFS(tblPlant[Gold_Poured_oz],tblPlant[Date],$A220)</f>
        <v/>
      </c>
      <c r="CY220" s="55">
        <f>IF($B220=$B219,$CY219,0)+$CX220</f>
        <v/>
      </c>
      <c r="CZ220" s="55">
        <f>$CZ219+$CX220</f>
        <v/>
      </c>
      <c r="DA220" s="57">
        <f>SUMIFS(tblPlant[Mill_Run_h],tblPlant[Date],$A220)</f>
        <v/>
      </c>
      <c r="DB220" s="57">
        <f>IF($B220=$B219,$DB219,0)+$DA220</f>
        <v/>
      </c>
      <c r="DC220" s="57">
        <f>$DC219+$DA220</f>
        <v/>
      </c>
      <c r="DD220" s="57">
        <f>SUMIFS(tblPlant[Mill_Planned_Maint_h],tblPlant[Date],$A220)</f>
        <v/>
      </c>
      <c r="DE220" s="57">
        <f>IF($B220=$B219,$DE219,0)+$DD220</f>
        <v/>
      </c>
      <c r="DF220" s="57">
        <f>$DF219+$DD220</f>
        <v/>
      </c>
      <c r="DG220" s="57">
        <f>SUMIFS(tblPlant[Mill_Unplanned_Down_h],tblPlant[Date],$A220)</f>
        <v/>
      </c>
      <c r="DH220" s="57">
        <f>IF($B220=$B219,$DH219,0)+$DG220</f>
        <v/>
      </c>
      <c r="DI220" s="57">
        <f>$DI219+$DG220</f>
        <v/>
      </c>
      <c r="DJ220" s="57">
        <f>COUNTIFS(tblPlant[Date],$A220,tblPlant[Mill_Run_h],"&lt;&gt;")*24</f>
        <v/>
      </c>
      <c r="DK220" s="57">
        <f>IF($B220=$B219,$DK219,0)+$DJ220</f>
        <v/>
      </c>
      <c r="DL220" s="57">
        <f>$DL219+$DJ220</f>
        <v/>
      </c>
      <c r="DM220" s="57">
        <f>SUMIFS(tblPlant[Crusher_Run_h],tblPlant[Date],$A220)</f>
        <v/>
      </c>
      <c r="DN220" s="57">
        <f>IF($B220=$B219,$DN219,0)+$DM220</f>
        <v/>
      </c>
      <c r="DO220" s="57">
        <f>$DO219+$DM220</f>
        <v/>
      </c>
      <c r="DP220" s="55">
        <f>IFERROR(IF(($DA220)&gt;0,($BZ220)/($DA220),""),"")</f>
        <v/>
      </c>
      <c r="DQ220" s="55">
        <f>IFERROR(IF(($DB220)&gt;0,($CA220)/($DB220),""),"")</f>
        <v/>
      </c>
      <c r="DR220" s="55">
        <f>IFERROR(IF(($DC220)&gt;0,($CB220)/($DC220),""),"")</f>
        <v/>
      </c>
      <c r="DS220" s="67">
        <f>IFERROR(IF(($DJ220)&gt;0,($DJ220-$DD220-$DG220)/($DJ220),""),"")</f>
        <v/>
      </c>
      <c r="DT220" s="67">
        <f>IFERROR(IF(($DK220)&gt;0,($DK220-$DE220-$DH220)/($DK220),""),"")</f>
        <v/>
      </c>
      <c r="DU220" s="67">
        <f>IFERROR(IF(($DL220)&gt;0,($DL220-$DF220-$DI220)/($DL220),""),"")</f>
        <v/>
      </c>
      <c r="DV220" s="67">
        <f>IFERROR(IF(($DJ220-$DD220-$DG220)&gt;0,($DA220)/($DJ220-$DD220-$DG220),""),"")</f>
        <v/>
      </c>
      <c r="DW220" s="67">
        <f>IFERROR(IF(($DK220-$DE220-$DH220)&gt;0,($DB220)/($DK220-$DE220-$DH220),""),"")</f>
        <v/>
      </c>
      <c r="DX220" s="67">
        <f>IFERROR(IF(($DL220-$DF220-$DI220)&gt;0,($DC220)/($DL220-$DF220-$DI220),""),"")</f>
        <v/>
      </c>
      <c r="DY220" s="55">
        <f>SUMIFS(tblPlant[Cyanide_kg],tblPlant[Date],$A220)</f>
        <v/>
      </c>
      <c r="DZ220" s="55">
        <f>IF($B220=$B219,$DZ219,0)+$DY220</f>
        <v/>
      </c>
      <c r="EA220" s="55">
        <f>$EA219+$DY220</f>
        <v/>
      </c>
      <c r="EB220" s="55">
        <f>SUMIFS(tblPlant[Lime_kg],tblPlant[Date],$A220)</f>
        <v/>
      </c>
      <c r="EC220" s="55">
        <f>IF($B220=$B219,$EC219,0)+$EB220</f>
        <v/>
      </c>
      <c r="ED220" s="55">
        <f>$ED219+$EB220</f>
        <v/>
      </c>
      <c r="EE220" s="55">
        <f>SUMIFS(tblPlant[Grinding_Media_kg],tblPlant[Date],$A220)</f>
        <v/>
      </c>
      <c r="EF220" s="55">
        <f>IF($B220=$B219,$EF219,0)+$EE220</f>
        <v/>
      </c>
      <c r="EG220" s="55">
        <f>$EG219+$EE220</f>
        <v/>
      </c>
      <c r="EH220" s="55">
        <f>SUMIFS(tblPlant[Power_kWh],tblPlant[Date],$A220)</f>
        <v/>
      </c>
      <c r="EI220" s="55">
        <f>IF($B220=$B219,$EI219,0)+$EH220</f>
        <v/>
      </c>
      <c r="EJ220" s="55">
        <f>$EJ219+$EH220</f>
        <v/>
      </c>
      <c r="EK220" s="55">
        <f>SUMIFS(tblPlant[Raw_Water_m3],tblPlant[Date],$A220)</f>
        <v/>
      </c>
      <c r="EL220" s="55">
        <f>IF($B220=$B219,$EL219,0)+$EK220</f>
        <v/>
      </c>
      <c r="EM220" s="55">
        <f>$EM219+$EK220</f>
        <v/>
      </c>
      <c r="EN220" s="56">
        <f>IFERROR(IF(($BZ220)&gt;0,($DY220)/($BZ220),""),"")</f>
        <v/>
      </c>
      <c r="EO220" s="56">
        <f>IFERROR(IF(($CA220)&gt;0,($DZ220)/($CA220),""),"")</f>
        <v/>
      </c>
      <c r="EP220" s="56">
        <f>IFERROR(IF(($CB220)&gt;0,($EA220)/($CB220),""),"")</f>
        <v/>
      </c>
      <c r="EQ220" s="56">
        <f>IFERROR(IF(($BZ220)&gt;0,($EB220)/($BZ220),""),"")</f>
        <v/>
      </c>
      <c r="ER220" s="56">
        <f>IFERROR(IF(($CA220)&gt;0,($EC220)/($CA220),""),"")</f>
        <v/>
      </c>
      <c r="ES220" s="56">
        <f>IFERROR(IF(($CB220)&gt;0,($ED220)/($CB220),""),"")</f>
        <v/>
      </c>
      <c r="ET220" s="56">
        <f>IFERROR(IF(($BZ220)&gt;0,($EE220)/($BZ220),""),"")</f>
        <v/>
      </c>
      <c r="EU220" s="56">
        <f>IFERROR(IF(($CA220)&gt;0,($EF220)/($CA220),""),"")</f>
        <v/>
      </c>
      <c r="EV220" s="56">
        <f>IFERROR(IF(($CB220)&gt;0,($EG220)/($CB220),""),"")</f>
        <v/>
      </c>
      <c r="EW220" s="76">
        <f>IFERROR(IF(($BZ220)&gt;0,($EH220)/($BZ220),""),"")</f>
        <v/>
      </c>
      <c r="EX220" s="76">
        <f>IFERROR(IF(($CA220)&gt;0,($EI220)/($CA220),""),"")</f>
        <v/>
      </c>
      <c r="EY220" s="76">
        <f>IFERROR(IF(($CB220)&gt;0,($EJ220)/($CB220),""),"")</f>
        <v/>
      </c>
      <c r="EZ220" s="56">
        <f>IFERROR(IF(($BZ220)&gt;0,($EK220)/($BZ220),""),"")</f>
        <v/>
      </c>
      <c r="FA220" s="56">
        <f>IFERROR(IF(($CA220)&gt;0,($EL220)/($CA220),""),"")</f>
        <v/>
      </c>
      <c r="FB220" s="56">
        <f>IFERROR(IF(($CB220)&gt;0,($EM220)/($CB220),""),"")</f>
        <v/>
      </c>
      <c r="FC220" s="55">
        <f>IF(SUMIFS(tblPlant[GIC_oz],tblPlant[Date],$A220)&gt;0,SUMIFS(tblPlant[GIC_oz],tblPlant[Date],$A220),"")</f>
        <v/>
      </c>
      <c r="FD220" s="55">
        <f>SUMIFS(tblGold[Gold_oz],tblGold[Date],$A220,tblGold[Type],"Shipment")</f>
        <v/>
      </c>
      <c r="FE220" s="55">
        <f>IF($B220=$B219,$FE219,0)+$FD220</f>
        <v/>
      </c>
      <c r="FF220" s="55">
        <f>$FF219+$FD220</f>
        <v/>
      </c>
      <c r="FG220" s="55">
        <f>SUMIFS(tblGold[Gold_oz],tblGold[Date],$A220,tblGold[Type],"Sale")</f>
        <v/>
      </c>
      <c r="FH220" s="55">
        <f>IF($B220=$B219,$FH219,0)+$FG220</f>
        <v/>
      </c>
      <c r="FI220" s="55">
        <f>$FI219+$FG220</f>
        <v/>
      </c>
      <c r="FJ220" s="55">
        <f>SUMIFS(tblGold[Dore_kg],tblGold[Date],$A220,tblGold[Type],"Shipment")</f>
        <v/>
      </c>
      <c r="FK220" s="55">
        <f>IF($B220=$B219,$FK219,0)+$FJ220</f>
        <v/>
      </c>
      <c r="FL220" s="55">
        <f>$FL219+$FJ220</f>
        <v/>
      </c>
      <c r="FM220" s="57">
        <f>SUMIFS(tblSafety[Hours_Total],tblSafety[Date],$A220)</f>
        <v/>
      </c>
      <c r="FN220" s="57">
        <f>IF($B220=$B219,$FN219,0)+$FM220</f>
        <v/>
      </c>
      <c r="FO220" s="57">
        <f>$FO219+$FM220</f>
        <v/>
      </c>
      <c r="FP220" s="62">
        <f>SUMIFS(tblSafety[Fatality],tblSafety[Date],$A220)</f>
        <v/>
      </c>
      <c r="FQ220" s="62">
        <f>IF($B220=$B219,$FQ219,0)+$FP220</f>
        <v/>
      </c>
      <c r="FR220" s="62">
        <f>$FR219+$FP220</f>
        <v/>
      </c>
      <c r="FS220" s="62">
        <f>SUMIFS(tblSafety[LTI],tblSafety[Date],$A220)</f>
        <v/>
      </c>
      <c r="FT220" s="62">
        <f>IF($B220=$B219,$FT219,0)+$FS220</f>
        <v/>
      </c>
      <c r="FU220" s="62">
        <f>$FU219+$FS220</f>
        <v/>
      </c>
      <c r="FV220" s="62">
        <f>SUMIFS(tblSafety[RWI],tblSafety[Date],$A220)</f>
        <v/>
      </c>
      <c r="FW220" s="62">
        <f>IF($B220=$B219,$FW219,0)+$FV220</f>
        <v/>
      </c>
      <c r="FX220" s="62">
        <f>$FX219+$FV220</f>
        <v/>
      </c>
      <c r="FY220" s="62">
        <f>SUMIFS(tblSafety[MTI],tblSafety[Date],$A220)</f>
        <v/>
      </c>
      <c r="FZ220" s="62">
        <f>IF($B220=$B219,$FZ219,0)+$FY220</f>
        <v/>
      </c>
      <c r="GA220" s="62">
        <f>$GA219+$FY220</f>
        <v/>
      </c>
      <c r="GB220" s="62">
        <f>SUMIFS(tblSafety[FAI],tblSafety[Date],$A220)</f>
        <v/>
      </c>
      <c r="GC220" s="62">
        <f>IF($B220=$B219,$GC219,0)+$GB220</f>
        <v/>
      </c>
      <c r="GD220" s="62">
        <f>$GD219+$GB220</f>
        <v/>
      </c>
      <c r="GE220" s="62">
        <f>SUMIFS(tblSafety[Recordables],tblSafety[Date],$A220)</f>
        <v/>
      </c>
      <c r="GF220" s="62">
        <f>IF($B220=$B219,$GF219,0)+$GE220</f>
        <v/>
      </c>
      <c r="GG220" s="62">
        <f>$GG219+$GE220</f>
        <v/>
      </c>
      <c r="GH220" s="62">
        <f>SUMIFS(tblSafety[Near_Miss],tblSafety[Date],$A220)</f>
        <v/>
      </c>
      <c r="GI220" s="62">
        <f>IF($B220=$B219,$GI219,0)+$GH220</f>
        <v/>
      </c>
      <c r="GJ220" s="62">
        <f>$GJ219+$GH220</f>
        <v/>
      </c>
      <c r="GK220" s="62">
        <f>SUMIFS(tblSafety[Hazard_Reports],tblSafety[Date],$A220)</f>
        <v/>
      </c>
      <c r="GL220" s="62">
        <f>IF($B220=$B219,$GL219,0)+$GK220</f>
        <v/>
      </c>
      <c r="GM220" s="62">
        <f>$GM219+$GK220</f>
        <v/>
      </c>
      <c r="GN220" s="62">
        <f>SUMIFS(tblSafety[HPI],tblSafety[Date],$A220)</f>
        <v/>
      </c>
      <c r="GO220" s="62">
        <f>IF($B220=$B219,$GO219,0)+$GN220</f>
        <v/>
      </c>
      <c r="GP220" s="62">
        <f>$GP219+$GN220</f>
        <v/>
      </c>
      <c r="GQ220" s="62">
        <f>SUMIFS(tblSafety[Env_Incidents],tblSafety[Date],$A220)</f>
        <v/>
      </c>
      <c r="GR220" s="62">
        <f>IF($B220=$B219,$GR219,0)+$GQ220</f>
        <v/>
      </c>
      <c r="GS220" s="62">
        <f>$GS219+$GQ220</f>
        <v/>
      </c>
      <c r="GT220" s="62">
        <f>SUMIFS(tblSafety[Community_Incidents],tblSafety[Date],$A220)</f>
        <v/>
      </c>
      <c r="GU220" s="62">
        <f>IF($B220=$B219,$GU219,0)+$GT220</f>
        <v/>
      </c>
      <c r="GV220" s="62">
        <f>$GV219+$GT220</f>
        <v/>
      </c>
      <c r="GW220" s="62">
        <f>SUMIFS(tblSafety[Vehicle_Incidents],tblSafety[Date],$A220)</f>
        <v/>
      </c>
      <c r="GX220" s="62">
        <f>IF($B220=$B219,$GX219,0)+$GW220</f>
        <v/>
      </c>
      <c r="GY220" s="62">
        <f>$GY219+$GW220</f>
        <v/>
      </c>
      <c r="GZ220" s="62">
        <f>SUMIFS(tblSafety[Toolbox_Talks],tblSafety[Date],$A220)</f>
        <v/>
      </c>
      <c r="HA220" s="62">
        <f>IF($B220=$B219,$HA219,0)+$GZ220</f>
        <v/>
      </c>
      <c r="HB220" s="62">
        <f>$HB219+$GZ220</f>
        <v/>
      </c>
      <c r="HC220" s="62">
        <f>SUMIFS(tblSafety[Inspections],tblSafety[Date],$A220)</f>
        <v/>
      </c>
      <c r="HD220" s="62">
        <f>IF($B220=$B219,$HD219,0)+$HC220</f>
        <v/>
      </c>
      <c r="HE220" s="62">
        <f>$HE219+$HC220</f>
        <v/>
      </c>
      <c r="HF220" s="56">
        <f>IFERROR((SUMIFS(tblSafety[Recordables],tblSafety[Date],"&gt;="&amp;EDATE($E220,-12),tblSafety[Date],"&lt;="&amp;$A220)+SUMIFS(tblSafetyHistory[Recordables],tblSafetyHistory[Month],"&gt;="&amp;EDATE($E220,-12),tblSafetyHistory[Month],"&lt;"&amp;cfg_YearStart))/(SUMIFS(tblSafety[Hours_Total],tblSafety[Date],"&gt;="&amp;EDATE($E220,-12),tblSafety[Date],"&lt;="&amp;$A220)+SUMIFS(tblSafetyHistory[Hours_Total],tblSafetyHistory[Month],"&gt;="&amp;EDATE($E220,-12),tblSafetyHistory[Month],"&lt;"&amp;cfg_YearStart))*1000000,"")</f>
        <v/>
      </c>
      <c r="HG220" s="56">
        <f>IFERROR((SUMIFS(tblSafety[LTI],tblSafety[Date],"&gt;="&amp;EDATE($E220,-12),tblSafety[Date],"&lt;="&amp;$A220)+SUMIFS(tblSafetyHistory[LTI],tblSafetyHistory[Month],"&gt;="&amp;EDATE($E220,-12),tblSafetyHistory[Month],"&lt;"&amp;cfg_YearStart))/(SUMIFS(tblSafety[Hours_Total],tblSafety[Date],"&gt;="&amp;EDATE($E220,-12),tblSafety[Date],"&lt;="&amp;$A220)+SUMIFS(tblSafetyHistory[Hours_Total],tblSafetyHistory[Month],"&gt;="&amp;EDATE($E220,-12),tblSafetyHistory[Month],"&lt;"&amp;cfg_YearStart))*1000000,"")</f>
        <v/>
      </c>
      <c r="HH220" s="62">
        <f>IF(MAX(N(cfg_PriorLTIDate),_xlfn.MAXIFS(tblSafety[Date],tblSafety[LTI],"&gt;0",tblSafety[Date],"&lt;="&amp;$A220))=0,"",$A220-MAX(N(cfg_PriorLTIDate),_xlfn.MAXIFS(tblSafety[Date],tblSafety[LTI],"&gt;0",tblSafety[Date],"&lt;="&amp;$A220)))</f>
        <v/>
      </c>
      <c r="HI220" s="55">
        <f>SUMIFS(tblBudget[Ore_Mined_t],tblBudget[Month],$E220)</f>
        <v/>
      </c>
      <c r="HJ220" s="55">
        <f>$HI220*$C220/$D220</f>
        <v/>
      </c>
      <c r="HK220" s="55">
        <f>SUMIFS(tblBudget[Ore_Mined_t],tblBudget[Month],"&lt;"&amp;$E220)+$HJ220</f>
        <v/>
      </c>
      <c r="HL220" s="55">
        <f>SUMIFS(tblBudget[Ore_oz],tblBudget[Month],$E220)</f>
        <v/>
      </c>
      <c r="HM220" s="55">
        <f>$HL220*$C220/$D220</f>
        <v/>
      </c>
      <c r="HN220" s="55">
        <f>SUMIFS(tblBudget[Ore_oz],tblBudget[Month],"&lt;"&amp;$E220)+$HM220</f>
        <v/>
      </c>
      <c r="HO220" s="56">
        <f>IFERROR(IF(($HI220)&gt;0,($HL220*cfg_TroyOz)/($HI220),""),"")</f>
        <v/>
      </c>
      <c r="HP220" s="56">
        <f>IFERROR(IF(($HJ220)&gt;0,($HM220*cfg_TroyOz)/($HJ220),""),"")</f>
        <v/>
      </c>
      <c r="HQ220" s="56">
        <f>IFERROR(IF(($HK220)&gt;0,($HN220*cfg_TroyOz)/($HK220),""),"")</f>
        <v/>
      </c>
      <c r="HR220" s="55">
        <f>SUMIFS(tblBudget[Waste_t],tblBudget[Month],$E220)</f>
        <v/>
      </c>
      <c r="HS220" s="55">
        <f>$HR220*$C220/$D220</f>
        <v/>
      </c>
      <c r="HT220" s="55">
        <f>SUMIFS(tblBudget[Waste_t],tblBudget[Month],"&lt;"&amp;$E220)+$HS220</f>
        <v/>
      </c>
      <c r="HU220" s="55">
        <f>SUMIFS(tblBudget[TMM_t],tblBudget[Month],$E220)</f>
        <v/>
      </c>
      <c r="HV220" s="55">
        <f>$HU220*$C220/$D220</f>
        <v/>
      </c>
      <c r="HW220" s="55">
        <f>SUMIFS(tblBudget[TMM_t],tblBudget[Month],"&lt;"&amp;$E220)+$HV220</f>
        <v/>
      </c>
      <c r="HX220" s="56">
        <f>IFERROR(IF(($HI220)&gt;0,($HR220)/($HI220),""),"")</f>
        <v/>
      </c>
      <c r="HY220" s="56">
        <f>IFERROR(IF(($HJ220)&gt;0,($HS220)/($HJ220),""),"")</f>
        <v/>
      </c>
      <c r="HZ220" s="56">
        <f>IFERROR(IF(($HK220)&gt;0,($HT220)/($HK220),""),"")</f>
        <v/>
      </c>
      <c r="IA220" s="55">
        <f>SUMIFS(tblBudget[Drill_m],tblBudget[Month],$E220)</f>
        <v/>
      </c>
      <c r="IB220" s="55">
        <f>$IA220*$C220/$D220</f>
        <v/>
      </c>
      <c r="IC220" s="55">
        <f>SUMIFS(tblBudget[Drill_m],tblBudget[Month],"&lt;"&amp;$E220)+$IB220</f>
        <v/>
      </c>
      <c r="ID220" s="55">
        <f>SUMIFS(tblBudget[Diesel_L],tblBudget[Month],$E220)</f>
        <v/>
      </c>
      <c r="IE220" s="55">
        <f>$ID220*$C220/$D220</f>
        <v/>
      </c>
      <c r="IF220" s="55">
        <f>SUMIFS(tblBudget[Diesel_L],tblBudget[Month],"&lt;"&amp;$E220)+$IE220</f>
        <v/>
      </c>
      <c r="IG220" s="55">
        <f>SUMIFS(tblBudget[Milled_t],tblBudget[Month],$E220)</f>
        <v/>
      </c>
      <c r="IH220" s="55">
        <f>$IG220*$C220/$D220</f>
        <v/>
      </c>
      <c r="II220" s="55">
        <f>SUMIFS(tblBudget[Milled_t],tblBudget[Month],"&lt;"&amp;$E220)+$IH220</f>
        <v/>
      </c>
      <c r="IJ220" s="55">
        <f>SUMIFS(tblBudget[Feed_oz],tblBudget[Month],$E220)</f>
        <v/>
      </c>
      <c r="IK220" s="55">
        <f>$IJ220*$C220/$D220</f>
        <v/>
      </c>
      <c r="IL220" s="55">
        <f>SUMIFS(tblBudget[Feed_oz],tblBudget[Month],"&lt;"&amp;$E220)+$IK220</f>
        <v/>
      </c>
      <c r="IM220" s="55">
        <f>SUMIFS(tblBudget[Recovered_oz],tblBudget[Month],$E220)</f>
        <v/>
      </c>
      <c r="IN220" s="55">
        <f>$IM220*$C220/$D220</f>
        <v/>
      </c>
      <c r="IO220" s="55">
        <f>SUMIFS(tblBudget[Recovered_oz],tblBudget[Month],"&lt;"&amp;$E220)+$IN220</f>
        <v/>
      </c>
      <c r="IP220" s="56">
        <f>IFERROR(IF(($IG220)&gt;0,($IJ220*cfg_TroyOz)/($IG220),""),"")</f>
        <v/>
      </c>
      <c r="IQ220" s="56">
        <f>IFERROR(IF(($IH220)&gt;0,($IK220*cfg_TroyOz)/($IH220),""),"")</f>
        <v/>
      </c>
      <c r="IR220" s="56">
        <f>IFERROR(IF(($II220)&gt;0,($IL220*cfg_TroyOz)/($II220),""),"")</f>
        <v/>
      </c>
      <c r="IS220" s="67">
        <f>IFERROR(IF(($IJ220)&gt;0,($IM220)/($IJ220),""),"")</f>
        <v/>
      </c>
      <c r="IT220" s="67">
        <f>IFERROR(IF(($IK220)&gt;0,($IN220)/($IK220),""),"")</f>
        <v/>
      </c>
      <c r="IU220" s="67">
        <f>IFERROR(IF(($IL220)&gt;0,($IO220)/($IL220),""),"")</f>
        <v/>
      </c>
      <c r="IV220" s="55">
        <f>SUMIFS(tblBudget[Gold_Poured_oz],tblBudget[Month],$E220)</f>
        <v/>
      </c>
      <c r="IW220" s="55">
        <f>$IV220*$C220/$D220</f>
        <v/>
      </c>
      <c r="IX220" s="55">
        <f>SUMIFS(tblBudget[Gold_Poured_oz],tblBudget[Month],"&lt;"&amp;$E220)+$IW220</f>
        <v/>
      </c>
      <c r="IY220" s="57">
        <f>SUMIFS(tblBudget[Hours_Worked],tblBudget[Month],$E220)</f>
        <v/>
      </c>
      <c r="IZ220" s="57">
        <f>$IY220*$C220/$D220</f>
        <v/>
      </c>
      <c r="JA220" s="57">
        <f>SUMIFS(tblBudget[Hours_Worked],tblBudget[Month],"&lt;"&amp;$E220)+$IZ220</f>
        <v/>
      </c>
    </row>
    <row r="221">
      <c r="A221" s="54" t="n">
        <v>46242</v>
      </c>
      <c r="B221">
        <f>MONTH($A221)</f>
        <v/>
      </c>
      <c r="C221">
        <f>DAY($A221)</f>
        <v/>
      </c>
      <c r="D221">
        <f>DAY(EOMONTH($A221,0))</f>
        <v/>
      </c>
      <c r="E221" s="54">
        <f>DATE(YEAR($A221),MONTH($A221),1)</f>
        <v/>
      </c>
      <c r="F221" s="55">
        <f>SUMIFS(tblMovement[Tonnes_t],tblMovement[Date],$A221,tblMovement[Is_Ore],1,tblMovement[Source_Type],"Pit")</f>
        <v/>
      </c>
      <c r="G221" s="55">
        <f>IF($B221=$B220,$G220,0)+$F221</f>
        <v/>
      </c>
      <c r="H221" s="55">
        <f>$H220+$F221</f>
        <v/>
      </c>
      <c r="I221" s="55">
        <f>SUMIFS(tblMovement[Ore_oz],tblMovement[Date],$A221,tblMovement[Source_Type],"Pit")</f>
        <v/>
      </c>
      <c r="J221" s="55">
        <f>IF($B221=$B220,$J220,0)+$I221</f>
        <v/>
      </c>
      <c r="K221" s="55">
        <f>$K220+$I221</f>
        <v/>
      </c>
      <c r="L221" s="56">
        <f>IFERROR(IF(($F221)&gt;0,($I221*cfg_TroyOz)/($F221),""),"")</f>
        <v/>
      </c>
      <c r="M221" s="56">
        <f>IFERROR(IF(($G221)&gt;0,($J221*cfg_TroyOz)/($G221),""),"")</f>
        <v/>
      </c>
      <c r="N221" s="56">
        <f>IFERROR(IF(($H221)&gt;0,($K221*cfg_TroyOz)/($H221),""),"")</f>
        <v/>
      </c>
      <c r="O221" s="55">
        <f>SUMIFS(tblMovement[Tonnes_t],tblMovement[Date],$A221,tblMovement[Is_Ore],0,tblMovement[Source_Type],"Pit")</f>
        <v/>
      </c>
      <c r="P221" s="55">
        <f>IF($B221=$B220,$P220,0)+$O221</f>
        <v/>
      </c>
      <c r="Q221" s="55">
        <f>$Q220+$O221</f>
        <v/>
      </c>
      <c r="R221" s="55">
        <f>$F221+$O221</f>
        <v/>
      </c>
      <c r="S221" s="55">
        <f>IF($B221=$B220,$S220,0)+$R221</f>
        <v/>
      </c>
      <c r="T221" s="55">
        <f>$T220+$R221</f>
        <v/>
      </c>
      <c r="U221" s="56">
        <f>IFERROR(IF(($F221)&gt;0,($O221)/($F221),""),"")</f>
        <v/>
      </c>
      <c r="V221" s="56">
        <f>IFERROR(IF(($G221)&gt;0,($P221)/($G221),""),"")</f>
        <v/>
      </c>
      <c r="W221" s="56">
        <f>IFERROR(IF(($H221)&gt;0,($Q221)/($H221),""),"")</f>
        <v/>
      </c>
      <c r="X221" s="55">
        <f>SUMIFS(tblMovement[Tonnes_t],tblMovement[Date],$A221,tblMovement[Source_Type],"Stockpile")</f>
        <v/>
      </c>
      <c r="Y221" s="55">
        <f>IF($B221=$B220,$Y220,0)+$X221</f>
        <v/>
      </c>
      <c r="Z221" s="55">
        <f>$Z220+$X221</f>
        <v/>
      </c>
      <c r="AA221" s="55">
        <f>SUMIFS(tblMiningDaily[Drill_m],tblMiningDaily[Date],$A221)</f>
        <v/>
      </c>
      <c r="AB221" s="55">
        <f>IF($B221=$B220,$AB220,0)+$AA221</f>
        <v/>
      </c>
      <c r="AC221" s="55">
        <f>$AC220+$AA221</f>
        <v/>
      </c>
      <c r="AD221" s="55">
        <f>SUMIFS(tblMiningDaily[Blast_t],tblMiningDaily[Date],$A221)</f>
        <v/>
      </c>
      <c r="AE221" s="55">
        <f>IF($B221=$B220,$AE220,0)+$AD221</f>
        <v/>
      </c>
      <c r="AF221" s="55">
        <f>$AF220+$AD221</f>
        <v/>
      </c>
      <c r="AG221" s="55">
        <f>SUMIFS(tblMiningDaily[Explosives_kg],tblMiningDaily[Date],$A221)</f>
        <v/>
      </c>
      <c r="AH221" s="55">
        <f>IF($B221=$B220,$AH220,0)+$AG221</f>
        <v/>
      </c>
      <c r="AI221" s="55">
        <f>$AI220+$AG221</f>
        <v/>
      </c>
      <c r="AJ221" s="56">
        <f>IFERROR(IF(($AD221)&gt;0,($AG221)/($AD221),""),"")</f>
        <v/>
      </c>
      <c r="AK221" s="56">
        <f>IFERROR(IF(($AE221)&gt;0,($AH221)/($AE221),""),"")</f>
        <v/>
      </c>
      <c r="AL221" s="56">
        <f>IFERROR(IF(($AF221)&gt;0,($AI221)/($AF221),""),"")</f>
        <v/>
      </c>
      <c r="AM221" s="55">
        <f>SUMIFS(tblMiningDaily[Diesel_L],tblMiningDaily[Date],$A221)</f>
        <v/>
      </c>
      <c r="AN221" s="55">
        <f>IF($B221=$B220,$AN220,0)+$AM221</f>
        <v/>
      </c>
      <c r="AO221" s="55">
        <f>$AO220+$AM221</f>
        <v/>
      </c>
      <c r="AP221" s="55">
        <f>SUMIFS(tblMiningDaily[Dewatering_m3],tblMiningDaily[Date],$A221)</f>
        <v/>
      </c>
      <c r="AQ221" s="55">
        <f>IF($B221=$B220,$AQ220,0)+$AP221</f>
        <v/>
      </c>
      <c r="AR221" s="55">
        <f>$AR220+$AP221</f>
        <v/>
      </c>
      <c r="AS221" s="57">
        <f>SUMIFS(tblFleet[Calendar_h],tblFleet[Date],$A221,tblFleet[Equipment_Class],"Excavator")</f>
        <v/>
      </c>
      <c r="AT221" s="57">
        <f>IF($B221=$B220,$AT220,0)+$AS221</f>
        <v/>
      </c>
      <c r="AU221" s="57">
        <f>$AU220+$AS221</f>
        <v/>
      </c>
      <c r="AV221" s="57">
        <f>SUMIFS(tblFleet[Available_h],tblFleet[Date],$A221,tblFleet[Equipment_Class],"Excavator")</f>
        <v/>
      </c>
      <c r="AW221" s="57">
        <f>IF($B221=$B220,$AW220,0)+$AV221</f>
        <v/>
      </c>
      <c r="AX221" s="57">
        <f>$AX220+$AV221</f>
        <v/>
      </c>
      <c r="AY221" s="57">
        <f>SUMIFS(tblFleet[Operating_h],tblFleet[Date],$A221,tblFleet[Equipment_Class],"Excavator")</f>
        <v/>
      </c>
      <c r="AZ221" s="57">
        <f>IF($B221=$B220,$AZ220,0)+$AY221</f>
        <v/>
      </c>
      <c r="BA221" s="57">
        <f>$BA220+$AY221</f>
        <v/>
      </c>
      <c r="BB221" s="67">
        <f>IFERROR(IF(($AS221)&gt;0,($AV221)/($AS221),""),"")</f>
        <v/>
      </c>
      <c r="BC221" s="67">
        <f>IFERROR(IF(($AT221)&gt;0,($AW221)/($AT221),""),"")</f>
        <v/>
      </c>
      <c r="BD221" s="67">
        <f>IFERROR(IF(($AU221)&gt;0,($AX221)/($AU221),""),"")</f>
        <v/>
      </c>
      <c r="BE221" s="67">
        <f>IFERROR(IF(($AV221)&gt;0,($AY221)/($AV221),""),"")</f>
        <v/>
      </c>
      <c r="BF221" s="67">
        <f>IFERROR(IF(($AW221)&gt;0,($AZ221)/($AW221),""),"")</f>
        <v/>
      </c>
      <c r="BG221" s="67">
        <f>IFERROR(IF(($AX221)&gt;0,($BA221)/($AX221),""),"")</f>
        <v/>
      </c>
      <c r="BH221" s="57">
        <f>SUMIFS(tblFleet[Calendar_h],tblFleet[Date],$A221,tblFleet[Equipment_Class],"Haul Truck")</f>
        <v/>
      </c>
      <c r="BI221" s="57">
        <f>IF($B221=$B220,$BI220,0)+$BH221</f>
        <v/>
      </c>
      <c r="BJ221" s="57">
        <f>$BJ220+$BH221</f>
        <v/>
      </c>
      <c r="BK221" s="57">
        <f>SUMIFS(tblFleet[Available_h],tblFleet[Date],$A221,tblFleet[Equipment_Class],"Haul Truck")</f>
        <v/>
      </c>
      <c r="BL221" s="57">
        <f>IF($B221=$B220,$BL220,0)+$BK221</f>
        <v/>
      </c>
      <c r="BM221" s="57">
        <f>$BM220+$BK221</f>
        <v/>
      </c>
      <c r="BN221" s="57">
        <f>SUMIFS(tblFleet[Operating_h],tblFleet[Date],$A221,tblFleet[Equipment_Class],"Haul Truck")</f>
        <v/>
      </c>
      <c r="BO221" s="57">
        <f>IF($B221=$B220,$BO220,0)+$BN221</f>
        <v/>
      </c>
      <c r="BP221" s="57">
        <f>$BP220+$BN221</f>
        <v/>
      </c>
      <c r="BQ221" s="67">
        <f>IFERROR(IF(($BH221)&gt;0,($BK221)/($BH221),""),"")</f>
        <v/>
      </c>
      <c r="BR221" s="67">
        <f>IFERROR(IF(($BI221)&gt;0,($BL221)/($BI221),""),"")</f>
        <v/>
      </c>
      <c r="BS221" s="67">
        <f>IFERROR(IF(($BJ221)&gt;0,($BM221)/($BJ221),""),"")</f>
        <v/>
      </c>
      <c r="BT221" s="67">
        <f>IFERROR(IF(($BK221)&gt;0,($BN221)/($BK221),""),"")</f>
        <v/>
      </c>
      <c r="BU221" s="67">
        <f>IFERROR(IF(($BL221)&gt;0,($BO221)/($BL221),""),"")</f>
        <v/>
      </c>
      <c r="BV221" s="67">
        <f>IFERROR(IF(($BM221)&gt;0,($BP221)/($BM221),""),"")</f>
        <v/>
      </c>
      <c r="BW221" s="55">
        <f>SUMIFS(tblPlant[Crushed_t],tblPlant[Date],$A221)</f>
        <v/>
      </c>
      <c r="BX221" s="55">
        <f>IF($B221=$B220,$BX220,0)+$BW221</f>
        <v/>
      </c>
      <c r="BY221" s="55">
        <f>$BY220+$BW221</f>
        <v/>
      </c>
      <c r="BZ221" s="55">
        <f>SUMIFS(tblPlant[Milled_t],tblPlant[Date],$A221)</f>
        <v/>
      </c>
      <c r="CA221" s="55">
        <f>IF($B221=$B220,$CA220,0)+$BZ221</f>
        <v/>
      </c>
      <c r="CB221" s="55">
        <f>$CB220+$BZ221</f>
        <v/>
      </c>
      <c r="CC221" s="55">
        <f>SUMIFS(tblPlant[Feed_oz],tblPlant[Date],$A221)</f>
        <v/>
      </c>
      <c r="CD221" s="55">
        <f>IF($B221=$B220,$CD220,0)+$CC221</f>
        <v/>
      </c>
      <c r="CE221" s="55">
        <f>$CE220+$CC221</f>
        <v/>
      </c>
      <c r="CF221" s="55">
        <f>SUMIFS(tblPlant[Tails_oz],tblPlant[Date],$A221)</f>
        <v/>
      </c>
      <c r="CG221" s="55">
        <f>IF($B221=$B220,$CG220,0)+$CF221</f>
        <v/>
      </c>
      <c r="CH221" s="55">
        <f>$CH220+$CF221</f>
        <v/>
      </c>
      <c r="CI221" s="55">
        <f>SUMIFS(tblPlant[Recovered_oz],tblPlant[Date],$A221)</f>
        <v/>
      </c>
      <c r="CJ221" s="55">
        <f>IF($B221=$B220,$CJ220,0)+$CI221</f>
        <v/>
      </c>
      <c r="CK221" s="55">
        <f>$CK220+$CI221</f>
        <v/>
      </c>
      <c r="CL221" s="56">
        <f>IFERROR(IF(($BZ221)&gt;0,($CC221*cfg_TroyOz)/($BZ221),""),"")</f>
        <v/>
      </c>
      <c r="CM221" s="56">
        <f>IFERROR(IF(($CA221)&gt;0,($CD221*cfg_TroyOz)/($CA221),""),"")</f>
        <v/>
      </c>
      <c r="CN221" s="56">
        <f>IFERROR(IF(($CB221)&gt;0,($CE221*cfg_TroyOz)/($CB221),""),"")</f>
        <v/>
      </c>
      <c r="CO221" s="56">
        <f>IFERROR(IF(($BZ221)&gt;0,($CF221*cfg_TroyOz)/($BZ221),""),"")</f>
        <v/>
      </c>
      <c r="CP221" s="56">
        <f>IFERROR(IF(($CA221)&gt;0,($CG221*cfg_TroyOz)/($CA221),""),"")</f>
        <v/>
      </c>
      <c r="CQ221" s="56">
        <f>IFERROR(IF(($CB221)&gt;0,($CH221*cfg_TroyOz)/($CB221),""),"")</f>
        <v/>
      </c>
      <c r="CR221" s="67">
        <f>IFERROR(IF(($CC221)&gt;0,($CI221)/($CC221),""),"")</f>
        <v/>
      </c>
      <c r="CS221" s="67">
        <f>IFERROR(IF(($CD221)&gt;0,($CJ221)/($CD221),""),"")</f>
        <v/>
      </c>
      <c r="CT221" s="67">
        <f>IFERROR(IF(($CE221)&gt;0,($CK221)/($CE221),""),"")</f>
        <v/>
      </c>
      <c r="CU221" s="55">
        <f>SUMIFS(tblPlant[Gravity_Gold_oz],tblPlant[Date],$A221)</f>
        <v/>
      </c>
      <c r="CV221" s="55">
        <f>IF($B221=$B220,$CV220,0)+$CU221</f>
        <v/>
      </c>
      <c r="CW221" s="55">
        <f>$CW220+$CU221</f>
        <v/>
      </c>
      <c r="CX221" s="55">
        <f>SUMIFS(tblPlant[Gold_Poured_oz],tblPlant[Date],$A221)</f>
        <v/>
      </c>
      <c r="CY221" s="55">
        <f>IF($B221=$B220,$CY220,0)+$CX221</f>
        <v/>
      </c>
      <c r="CZ221" s="55">
        <f>$CZ220+$CX221</f>
        <v/>
      </c>
      <c r="DA221" s="57">
        <f>SUMIFS(tblPlant[Mill_Run_h],tblPlant[Date],$A221)</f>
        <v/>
      </c>
      <c r="DB221" s="57">
        <f>IF($B221=$B220,$DB220,0)+$DA221</f>
        <v/>
      </c>
      <c r="DC221" s="57">
        <f>$DC220+$DA221</f>
        <v/>
      </c>
      <c r="DD221" s="57">
        <f>SUMIFS(tblPlant[Mill_Planned_Maint_h],tblPlant[Date],$A221)</f>
        <v/>
      </c>
      <c r="DE221" s="57">
        <f>IF($B221=$B220,$DE220,0)+$DD221</f>
        <v/>
      </c>
      <c r="DF221" s="57">
        <f>$DF220+$DD221</f>
        <v/>
      </c>
      <c r="DG221" s="57">
        <f>SUMIFS(tblPlant[Mill_Unplanned_Down_h],tblPlant[Date],$A221)</f>
        <v/>
      </c>
      <c r="DH221" s="57">
        <f>IF($B221=$B220,$DH220,0)+$DG221</f>
        <v/>
      </c>
      <c r="DI221" s="57">
        <f>$DI220+$DG221</f>
        <v/>
      </c>
      <c r="DJ221" s="57">
        <f>COUNTIFS(tblPlant[Date],$A221,tblPlant[Mill_Run_h],"&lt;&gt;")*24</f>
        <v/>
      </c>
      <c r="DK221" s="57">
        <f>IF($B221=$B220,$DK220,0)+$DJ221</f>
        <v/>
      </c>
      <c r="DL221" s="57">
        <f>$DL220+$DJ221</f>
        <v/>
      </c>
      <c r="DM221" s="57">
        <f>SUMIFS(tblPlant[Crusher_Run_h],tblPlant[Date],$A221)</f>
        <v/>
      </c>
      <c r="DN221" s="57">
        <f>IF($B221=$B220,$DN220,0)+$DM221</f>
        <v/>
      </c>
      <c r="DO221" s="57">
        <f>$DO220+$DM221</f>
        <v/>
      </c>
      <c r="DP221" s="55">
        <f>IFERROR(IF(($DA221)&gt;0,($BZ221)/($DA221),""),"")</f>
        <v/>
      </c>
      <c r="DQ221" s="55">
        <f>IFERROR(IF(($DB221)&gt;0,($CA221)/($DB221),""),"")</f>
        <v/>
      </c>
      <c r="DR221" s="55">
        <f>IFERROR(IF(($DC221)&gt;0,($CB221)/($DC221),""),"")</f>
        <v/>
      </c>
      <c r="DS221" s="67">
        <f>IFERROR(IF(($DJ221)&gt;0,($DJ221-$DD221-$DG221)/($DJ221),""),"")</f>
        <v/>
      </c>
      <c r="DT221" s="67">
        <f>IFERROR(IF(($DK221)&gt;0,($DK221-$DE221-$DH221)/($DK221),""),"")</f>
        <v/>
      </c>
      <c r="DU221" s="67">
        <f>IFERROR(IF(($DL221)&gt;0,($DL221-$DF221-$DI221)/($DL221),""),"")</f>
        <v/>
      </c>
      <c r="DV221" s="67">
        <f>IFERROR(IF(($DJ221-$DD221-$DG221)&gt;0,($DA221)/($DJ221-$DD221-$DG221),""),"")</f>
        <v/>
      </c>
      <c r="DW221" s="67">
        <f>IFERROR(IF(($DK221-$DE221-$DH221)&gt;0,($DB221)/($DK221-$DE221-$DH221),""),"")</f>
        <v/>
      </c>
      <c r="DX221" s="67">
        <f>IFERROR(IF(($DL221-$DF221-$DI221)&gt;0,($DC221)/($DL221-$DF221-$DI221),""),"")</f>
        <v/>
      </c>
      <c r="DY221" s="55">
        <f>SUMIFS(tblPlant[Cyanide_kg],tblPlant[Date],$A221)</f>
        <v/>
      </c>
      <c r="DZ221" s="55">
        <f>IF($B221=$B220,$DZ220,0)+$DY221</f>
        <v/>
      </c>
      <c r="EA221" s="55">
        <f>$EA220+$DY221</f>
        <v/>
      </c>
      <c r="EB221" s="55">
        <f>SUMIFS(tblPlant[Lime_kg],tblPlant[Date],$A221)</f>
        <v/>
      </c>
      <c r="EC221" s="55">
        <f>IF($B221=$B220,$EC220,0)+$EB221</f>
        <v/>
      </c>
      <c r="ED221" s="55">
        <f>$ED220+$EB221</f>
        <v/>
      </c>
      <c r="EE221" s="55">
        <f>SUMIFS(tblPlant[Grinding_Media_kg],tblPlant[Date],$A221)</f>
        <v/>
      </c>
      <c r="EF221" s="55">
        <f>IF($B221=$B220,$EF220,0)+$EE221</f>
        <v/>
      </c>
      <c r="EG221" s="55">
        <f>$EG220+$EE221</f>
        <v/>
      </c>
      <c r="EH221" s="55">
        <f>SUMIFS(tblPlant[Power_kWh],tblPlant[Date],$A221)</f>
        <v/>
      </c>
      <c r="EI221" s="55">
        <f>IF($B221=$B220,$EI220,0)+$EH221</f>
        <v/>
      </c>
      <c r="EJ221" s="55">
        <f>$EJ220+$EH221</f>
        <v/>
      </c>
      <c r="EK221" s="55">
        <f>SUMIFS(tblPlant[Raw_Water_m3],tblPlant[Date],$A221)</f>
        <v/>
      </c>
      <c r="EL221" s="55">
        <f>IF($B221=$B220,$EL220,0)+$EK221</f>
        <v/>
      </c>
      <c r="EM221" s="55">
        <f>$EM220+$EK221</f>
        <v/>
      </c>
      <c r="EN221" s="56">
        <f>IFERROR(IF(($BZ221)&gt;0,($DY221)/($BZ221),""),"")</f>
        <v/>
      </c>
      <c r="EO221" s="56">
        <f>IFERROR(IF(($CA221)&gt;0,($DZ221)/($CA221),""),"")</f>
        <v/>
      </c>
      <c r="EP221" s="56">
        <f>IFERROR(IF(($CB221)&gt;0,($EA221)/($CB221),""),"")</f>
        <v/>
      </c>
      <c r="EQ221" s="56">
        <f>IFERROR(IF(($BZ221)&gt;0,($EB221)/($BZ221),""),"")</f>
        <v/>
      </c>
      <c r="ER221" s="56">
        <f>IFERROR(IF(($CA221)&gt;0,($EC221)/($CA221),""),"")</f>
        <v/>
      </c>
      <c r="ES221" s="56">
        <f>IFERROR(IF(($CB221)&gt;0,($ED221)/($CB221),""),"")</f>
        <v/>
      </c>
      <c r="ET221" s="56">
        <f>IFERROR(IF(($BZ221)&gt;0,($EE221)/($BZ221),""),"")</f>
        <v/>
      </c>
      <c r="EU221" s="56">
        <f>IFERROR(IF(($CA221)&gt;0,($EF221)/($CA221),""),"")</f>
        <v/>
      </c>
      <c r="EV221" s="56">
        <f>IFERROR(IF(($CB221)&gt;0,($EG221)/($CB221),""),"")</f>
        <v/>
      </c>
      <c r="EW221" s="76">
        <f>IFERROR(IF(($BZ221)&gt;0,($EH221)/($BZ221),""),"")</f>
        <v/>
      </c>
      <c r="EX221" s="76">
        <f>IFERROR(IF(($CA221)&gt;0,($EI221)/($CA221),""),"")</f>
        <v/>
      </c>
      <c r="EY221" s="76">
        <f>IFERROR(IF(($CB221)&gt;0,($EJ221)/($CB221),""),"")</f>
        <v/>
      </c>
      <c r="EZ221" s="56">
        <f>IFERROR(IF(($BZ221)&gt;0,($EK221)/($BZ221),""),"")</f>
        <v/>
      </c>
      <c r="FA221" s="56">
        <f>IFERROR(IF(($CA221)&gt;0,($EL221)/($CA221),""),"")</f>
        <v/>
      </c>
      <c r="FB221" s="56">
        <f>IFERROR(IF(($CB221)&gt;0,($EM221)/($CB221),""),"")</f>
        <v/>
      </c>
      <c r="FC221" s="55">
        <f>IF(SUMIFS(tblPlant[GIC_oz],tblPlant[Date],$A221)&gt;0,SUMIFS(tblPlant[GIC_oz],tblPlant[Date],$A221),"")</f>
        <v/>
      </c>
      <c r="FD221" s="55">
        <f>SUMIFS(tblGold[Gold_oz],tblGold[Date],$A221,tblGold[Type],"Shipment")</f>
        <v/>
      </c>
      <c r="FE221" s="55">
        <f>IF($B221=$B220,$FE220,0)+$FD221</f>
        <v/>
      </c>
      <c r="FF221" s="55">
        <f>$FF220+$FD221</f>
        <v/>
      </c>
      <c r="FG221" s="55">
        <f>SUMIFS(tblGold[Gold_oz],tblGold[Date],$A221,tblGold[Type],"Sale")</f>
        <v/>
      </c>
      <c r="FH221" s="55">
        <f>IF($B221=$B220,$FH220,0)+$FG221</f>
        <v/>
      </c>
      <c r="FI221" s="55">
        <f>$FI220+$FG221</f>
        <v/>
      </c>
      <c r="FJ221" s="55">
        <f>SUMIFS(tblGold[Dore_kg],tblGold[Date],$A221,tblGold[Type],"Shipment")</f>
        <v/>
      </c>
      <c r="FK221" s="55">
        <f>IF($B221=$B220,$FK220,0)+$FJ221</f>
        <v/>
      </c>
      <c r="FL221" s="55">
        <f>$FL220+$FJ221</f>
        <v/>
      </c>
      <c r="FM221" s="57">
        <f>SUMIFS(tblSafety[Hours_Total],tblSafety[Date],$A221)</f>
        <v/>
      </c>
      <c r="FN221" s="57">
        <f>IF($B221=$B220,$FN220,0)+$FM221</f>
        <v/>
      </c>
      <c r="FO221" s="57">
        <f>$FO220+$FM221</f>
        <v/>
      </c>
      <c r="FP221" s="62">
        <f>SUMIFS(tblSafety[Fatality],tblSafety[Date],$A221)</f>
        <v/>
      </c>
      <c r="FQ221" s="62">
        <f>IF($B221=$B220,$FQ220,0)+$FP221</f>
        <v/>
      </c>
      <c r="FR221" s="62">
        <f>$FR220+$FP221</f>
        <v/>
      </c>
      <c r="FS221" s="62">
        <f>SUMIFS(tblSafety[LTI],tblSafety[Date],$A221)</f>
        <v/>
      </c>
      <c r="FT221" s="62">
        <f>IF($B221=$B220,$FT220,0)+$FS221</f>
        <v/>
      </c>
      <c r="FU221" s="62">
        <f>$FU220+$FS221</f>
        <v/>
      </c>
      <c r="FV221" s="62">
        <f>SUMIFS(tblSafety[RWI],tblSafety[Date],$A221)</f>
        <v/>
      </c>
      <c r="FW221" s="62">
        <f>IF($B221=$B220,$FW220,0)+$FV221</f>
        <v/>
      </c>
      <c r="FX221" s="62">
        <f>$FX220+$FV221</f>
        <v/>
      </c>
      <c r="FY221" s="62">
        <f>SUMIFS(tblSafety[MTI],tblSafety[Date],$A221)</f>
        <v/>
      </c>
      <c r="FZ221" s="62">
        <f>IF($B221=$B220,$FZ220,0)+$FY221</f>
        <v/>
      </c>
      <c r="GA221" s="62">
        <f>$GA220+$FY221</f>
        <v/>
      </c>
      <c r="GB221" s="62">
        <f>SUMIFS(tblSafety[FAI],tblSafety[Date],$A221)</f>
        <v/>
      </c>
      <c r="GC221" s="62">
        <f>IF($B221=$B220,$GC220,0)+$GB221</f>
        <v/>
      </c>
      <c r="GD221" s="62">
        <f>$GD220+$GB221</f>
        <v/>
      </c>
      <c r="GE221" s="62">
        <f>SUMIFS(tblSafety[Recordables],tblSafety[Date],$A221)</f>
        <v/>
      </c>
      <c r="GF221" s="62">
        <f>IF($B221=$B220,$GF220,0)+$GE221</f>
        <v/>
      </c>
      <c r="GG221" s="62">
        <f>$GG220+$GE221</f>
        <v/>
      </c>
      <c r="GH221" s="62">
        <f>SUMIFS(tblSafety[Near_Miss],tblSafety[Date],$A221)</f>
        <v/>
      </c>
      <c r="GI221" s="62">
        <f>IF($B221=$B220,$GI220,0)+$GH221</f>
        <v/>
      </c>
      <c r="GJ221" s="62">
        <f>$GJ220+$GH221</f>
        <v/>
      </c>
      <c r="GK221" s="62">
        <f>SUMIFS(tblSafety[Hazard_Reports],tblSafety[Date],$A221)</f>
        <v/>
      </c>
      <c r="GL221" s="62">
        <f>IF($B221=$B220,$GL220,0)+$GK221</f>
        <v/>
      </c>
      <c r="GM221" s="62">
        <f>$GM220+$GK221</f>
        <v/>
      </c>
      <c r="GN221" s="62">
        <f>SUMIFS(tblSafety[HPI],tblSafety[Date],$A221)</f>
        <v/>
      </c>
      <c r="GO221" s="62">
        <f>IF($B221=$B220,$GO220,0)+$GN221</f>
        <v/>
      </c>
      <c r="GP221" s="62">
        <f>$GP220+$GN221</f>
        <v/>
      </c>
      <c r="GQ221" s="62">
        <f>SUMIFS(tblSafety[Env_Incidents],tblSafety[Date],$A221)</f>
        <v/>
      </c>
      <c r="GR221" s="62">
        <f>IF($B221=$B220,$GR220,0)+$GQ221</f>
        <v/>
      </c>
      <c r="GS221" s="62">
        <f>$GS220+$GQ221</f>
        <v/>
      </c>
      <c r="GT221" s="62">
        <f>SUMIFS(tblSafety[Community_Incidents],tblSafety[Date],$A221)</f>
        <v/>
      </c>
      <c r="GU221" s="62">
        <f>IF($B221=$B220,$GU220,0)+$GT221</f>
        <v/>
      </c>
      <c r="GV221" s="62">
        <f>$GV220+$GT221</f>
        <v/>
      </c>
      <c r="GW221" s="62">
        <f>SUMIFS(tblSafety[Vehicle_Incidents],tblSafety[Date],$A221)</f>
        <v/>
      </c>
      <c r="GX221" s="62">
        <f>IF($B221=$B220,$GX220,0)+$GW221</f>
        <v/>
      </c>
      <c r="GY221" s="62">
        <f>$GY220+$GW221</f>
        <v/>
      </c>
      <c r="GZ221" s="62">
        <f>SUMIFS(tblSafety[Toolbox_Talks],tblSafety[Date],$A221)</f>
        <v/>
      </c>
      <c r="HA221" s="62">
        <f>IF($B221=$B220,$HA220,0)+$GZ221</f>
        <v/>
      </c>
      <c r="HB221" s="62">
        <f>$HB220+$GZ221</f>
        <v/>
      </c>
      <c r="HC221" s="62">
        <f>SUMIFS(tblSafety[Inspections],tblSafety[Date],$A221)</f>
        <v/>
      </c>
      <c r="HD221" s="62">
        <f>IF($B221=$B220,$HD220,0)+$HC221</f>
        <v/>
      </c>
      <c r="HE221" s="62">
        <f>$HE220+$HC221</f>
        <v/>
      </c>
      <c r="HF221" s="56">
        <f>IFERROR((SUMIFS(tblSafety[Recordables],tblSafety[Date],"&gt;="&amp;EDATE($E221,-12),tblSafety[Date],"&lt;="&amp;$A221)+SUMIFS(tblSafetyHistory[Recordables],tblSafetyHistory[Month],"&gt;="&amp;EDATE($E221,-12),tblSafetyHistory[Month],"&lt;"&amp;cfg_YearStart))/(SUMIFS(tblSafety[Hours_Total],tblSafety[Date],"&gt;="&amp;EDATE($E221,-12),tblSafety[Date],"&lt;="&amp;$A221)+SUMIFS(tblSafetyHistory[Hours_Total],tblSafetyHistory[Month],"&gt;="&amp;EDATE($E221,-12),tblSafetyHistory[Month],"&lt;"&amp;cfg_YearStart))*1000000,"")</f>
        <v/>
      </c>
      <c r="HG221" s="56">
        <f>IFERROR((SUMIFS(tblSafety[LTI],tblSafety[Date],"&gt;="&amp;EDATE($E221,-12),tblSafety[Date],"&lt;="&amp;$A221)+SUMIFS(tblSafetyHistory[LTI],tblSafetyHistory[Month],"&gt;="&amp;EDATE($E221,-12),tblSafetyHistory[Month],"&lt;"&amp;cfg_YearStart))/(SUMIFS(tblSafety[Hours_Total],tblSafety[Date],"&gt;="&amp;EDATE($E221,-12),tblSafety[Date],"&lt;="&amp;$A221)+SUMIFS(tblSafetyHistory[Hours_Total],tblSafetyHistory[Month],"&gt;="&amp;EDATE($E221,-12),tblSafetyHistory[Month],"&lt;"&amp;cfg_YearStart))*1000000,"")</f>
        <v/>
      </c>
      <c r="HH221" s="62">
        <f>IF(MAX(N(cfg_PriorLTIDate),_xlfn.MAXIFS(tblSafety[Date],tblSafety[LTI],"&gt;0",tblSafety[Date],"&lt;="&amp;$A221))=0,"",$A221-MAX(N(cfg_PriorLTIDate),_xlfn.MAXIFS(tblSafety[Date],tblSafety[LTI],"&gt;0",tblSafety[Date],"&lt;="&amp;$A221)))</f>
        <v/>
      </c>
      <c r="HI221" s="55">
        <f>SUMIFS(tblBudget[Ore_Mined_t],tblBudget[Month],$E221)</f>
        <v/>
      </c>
      <c r="HJ221" s="55">
        <f>$HI221*$C221/$D221</f>
        <v/>
      </c>
      <c r="HK221" s="55">
        <f>SUMIFS(tblBudget[Ore_Mined_t],tblBudget[Month],"&lt;"&amp;$E221)+$HJ221</f>
        <v/>
      </c>
      <c r="HL221" s="55">
        <f>SUMIFS(tblBudget[Ore_oz],tblBudget[Month],$E221)</f>
        <v/>
      </c>
      <c r="HM221" s="55">
        <f>$HL221*$C221/$D221</f>
        <v/>
      </c>
      <c r="HN221" s="55">
        <f>SUMIFS(tblBudget[Ore_oz],tblBudget[Month],"&lt;"&amp;$E221)+$HM221</f>
        <v/>
      </c>
      <c r="HO221" s="56">
        <f>IFERROR(IF(($HI221)&gt;0,($HL221*cfg_TroyOz)/($HI221),""),"")</f>
        <v/>
      </c>
      <c r="HP221" s="56">
        <f>IFERROR(IF(($HJ221)&gt;0,($HM221*cfg_TroyOz)/($HJ221),""),"")</f>
        <v/>
      </c>
      <c r="HQ221" s="56">
        <f>IFERROR(IF(($HK221)&gt;0,($HN221*cfg_TroyOz)/($HK221),""),"")</f>
        <v/>
      </c>
      <c r="HR221" s="55">
        <f>SUMIFS(tblBudget[Waste_t],tblBudget[Month],$E221)</f>
        <v/>
      </c>
      <c r="HS221" s="55">
        <f>$HR221*$C221/$D221</f>
        <v/>
      </c>
      <c r="HT221" s="55">
        <f>SUMIFS(tblBudget[Waste_t],tblBudget[Month],"&lt;"&amp;$E221)+$HS221</f>
        <v/>
      </c>
      <c r="HU221" s="55">
        <f>SUMIFS(tblBudget[TMM_t],tblBudget[Month],$E221)</f>
        <v/>
      </c>
      <c r="HV221" s="55">
        <f>$HU221*$C221/$D221</f>
        <v/>
      </c>
      <c r="HW221" s="55">
        <f>SUMIFS(tblBudget[TMM_t],tblBudget[Month],"&lt;"&amp;$E221)+$HV221</f>
        <v/>
      </c>
      <c r="HX221" s="56">
        <f>IFERROR(IF(($HI221)&gt;0,($HR221)/($HI221),""),"")</f>
        <v/>
      </c>
      <c r="HY221" s="56">
        <f>IFERROR(IF(($HJ221)&gt;0,($HS221)/($HJ221),""),"")</f>
        <v/>
      </c>
      <c r="HZ221" s="56">
        <f>IFERROR(IF(($HK221)&gt;0,($HT221)/($HK221),""),"")</f>
        <v/>
      </c>
      <c r="IA221" s="55">
        <f>SUMIFS(tblBudget[Drill_m],tblBudget[Month],$E221)</f>
        <v/>
      </c>
      <c r="IB221" s="55">
        <f>$IA221*$C221/$D221</f>
        <v/>
      </c>
      <c r="IC221" s="55">
        <f>SUMIFS(tblBudget[Drill_m],tblBudget[Month],"&lt;"&amp;$E221)+$IB221</f>
        <v/>
      </c>
      <c r="ID221" s="55">
        <f>SUMIFS(tblBudget[Diesel_L],tblBudget[Month],$E221)</f>
        <v/>
      </c>
      <c r="IE221" s="55">
        <f>$ID221*$C221/$D221</f>
        <v/>
      </c>
      <c r="IF221" s="55">
        <f>SUMIFS(tblBudget[Diesel_L],tblBudget[Month],"&lt;"&amp;$E221)+$IE221</f>
        <v/>
      </c>
      <c r="IG221" s="55">
        <f>SUMIFS(tblBudget[Milled_t],tblBudget[Month],$E221)</f>
        <v/>
      </c>
      <c r="IH221" s="55">
        <f>$IG221*$C221/$D221</f>
        <v/>
      </c>
      <c r="II221" s="55">
        <f>SUMIFS(tblBudget[Milled_t],tblBudget[Month],"&lt;"&amp;$E221)+$IH221</f>
        <v/>
      </c>
      <c r="IJ221" s="55">
        <f>SUMIFS(tblBudget[Feed_oz],tblBudget[Month],$E221)</f>
        <v/>
      </c>
      <c r="IK221" s="55">
        <f>$IJ221*$C221/$D221</f>
        <v/>
      </c>
      <c r="IL221" s="55">
        <f>SUMIFS(tblBudget[Feed_oz],tblBudget[Month],"&lt;"&amp;$E221)+$IK221</f>
        <v/>
      </c>
      <c r="IM221" s="55">
        <f>SUMIFS(tblBudget[Recovered_oz],tblBudget[Month],$E221)</f>
        <v/>
      </c>
      <c r="IN221" s="55">
        <f>$IM221*$C221/$D221</f>
        <v/>
      </c>
      <c r="IO221" s="55">
        <f>SUMIFS(tblBudget[Recovered_oz],tblBudget[Month],"&lt;"&amp;$E221)+$IN221</f>
        <v/>
      </c>
      <c r="IP221" s="56">
        <f>IFERROR(IF(($IG221)&gt;0,($IJ221*cfg_TroyOz)/($IG221),""),"")</f>
        <v/>
      </c>
      <c r="IQ221" s="56">
        <f>IFERROR(IF(($IH221)&gt;0,($IK221*cfg_TroyOz)/($IH221),""),"")</f>
        <v/>
      </c>
      <c r="IR221" s="56">
        <f>IFERROR(IF(($II221)&gt;0,($IL221*cfg_TroyOz)/($II221),""),"")</f>
        <v/>
      </c>
      <c r="IS221" s="67">
        <f>IFERROR(IF(($IJ221)&gt;0,($IM221)/($IJ221),""),"")</f>
        <v/>
      </c>
      <c r="IT221" s="67">
        <f>IFERROR(IF(($IK221)&gt;0,($IN221)/($IK221),""),"")</f>
        <v/>
      </c>
      <c r="IU221" s="67">
        <f>IFERROR(IF(($IL221)&gt;0,($IO221)/($IL221),""),"")</f>
        <v/>
      </c>
      <c r="IV221" s="55">
        <f>SUMIFS(tblBudget[Gold_Poured_oz],tblBudget[Month],$E221)</f>
        <v/>
      </c>
      <c r="IW221" s="55">
        <f>$IV221*$C221/$D221</f>
        <v/>
      </c>
      <c r="IX221" s="55">
        <f>SUMIFS(tblBudget[Gold_Poured_oz],tblBudget[Month],"&lt;"&amp;$E221)+$IW221</f>
        <v/>
      </c>
      <c r="IY221" s="57">
        <f>SUMIFS(tblBudget[Hours_Worked],tblBudget[Month],$E221)</f>
        <v/>
      </c>
      <c r="IZ221" s="57">
        <f>$IY221*$C221/$D221</f>
        <v/>
      </c>
      <c r="JA221" s="57">
        <f>SUMIFS(tblBudget[Hours_Worked],tblBudget[Month],"&lt;"&amp;$E221)+$IZ221</f>
        <v/>
      </c>
    </row>
    <row r="222">
      <c r="A222" s="54" t="n">
        <v>46243</v>
      </c>
      <c r="B222">
        <f>MONTH($A222)</f>
        <v/>
      </c>
      <c r="C222">
        <f>DAY($A222)</f>
        <v/>
      </c>
      <c r="D222">
        <f>DAY(EOMONTH($A222,0))</f>
        <v/>
      </c>
      <c r="E222" s="54">
        <f>DATE(YEAR($A222),MONTH($A222),1)</f>
        <v/>
      </c>
      <c r="F222" s="55">
        <f>SUMIFS(tblMovement[Tonnes_t],tblMovement[Date],$A222,tblMovement[Is_Ore],1,tblMovement[Source_Type],"Pit")</f>
        <v/>
      </c>
      <c r="G222" s="55">
        <f>IF($B222=$B221,$G221,0)+$F222</f>
        <v/>
      </c>
      <c r="H222" s="55">
        <f>$H221+$F222</f>
        <v/>
      </c>
      <c r="I222" s="55">
        <f>SUMIFS(tblMovement[Ore_oz],tblMovement[Date],$A222,tblMovement[Source_Type],"Pit")</f>
        <v/>
      </c>
      <c r="J222" s="55">
        <f>IF($B222=$B221,$J221,0)+$I222</f>
        <v/>
      </c>
      <c r="K222" s="55">
        <f>$K221+$I222</f>
        <v/>
      </c>
      <c r="L222" s="56">
        <f>IFERROR(IF(($F222)&gt;0,($I222*cfg_TroyOz)/($F222),""),"")</f>
        <v/>
      </c>
      <c r="M222" s="56">
        <f>IFERROR(IF(($G222)&gt;0,($J222*cfg_TroyOz)/($G222),""),"")</f>
        <v/>
      </c>
      <c r="N222" s="56">
        <f>IFERROR(IF(($H222)&gt;0,($K222*cfg_TroyOz)/($H222),""),"")</f>
        <v/>
      </c>
      <c r="O222" s="55">
        <f>SUMIFS(tblMovement[Tonnes_t],tblMovement[Date],$A222,tblMovement[Is_Ore],0,tblMovement[Source_Type],"Pit")</f>
        <v/>
      </c>
      <c r="P222" s="55">
        <f>IF($B222=$B221,$P221,0)+$O222</f>
        <v/>
      </c>
      <c r="Q222" s="55">
        <f>$Q221+$O222</f>
        <v/>
      </c>
      <c r="R222" s="55">
        <f>$F222+$O222</f>
        <v/>
      </c>
      <c r="S222" s="55">
        <f>IF($B222=$B221,$S221,0)+$R222</f>
        <v/>
      </c>
      <c r="T222" s="55">
        <f>$T221+$R222</f>
        <v/>
      </c>
      <c r="U222" s="56">
        <f>IFERROR(IF(($F222)&gt;0,($O222)/($F222),""),"")</f>
        <v/>
      </c>
      <c r="V222" s="56">
        <f>IFERROR(IF(($G222)&gt;0,($P222)/($G222),""),"")</f>
        <v/>
      </c>
      <c r="W222" s="56">
        <f>IFERROR(IF(($H222)&gt;0,($Q222)/($H222),""),"")</f>
        <v/>
      </c>
      <c r="X222" s="55">
        <f>SUMIFS(tblMovement[Tonnes_t],tblMovement[Date],$A222,tblMovement[Source_Type],"Stockpile")</f>
        <v/>
      </c>
      <c r="Y222" s="55">
        <f>IF($B222=$B221,$Y221,0)+$X222</f>
        <v/>
      </c>
      <c r="Z222" s="55">
        <f>$Z221+$X222</f>
        <v/>
      </c>
      <c r="AA222" s="55">
        <f>SUMIFS(tblMiningDaily[Drill_m],tblMiningDaily[Date],$A222)</f>
        <v/>
      </c>
      <c r="AB222" s="55">
        <f>IF($B222=$B221,$AB221,0)+$AA222</f>
        <v/>
      </c>
      <c r="AC222" s="55">
        <f>$AC221+$AA222</f>
        <v/>
      </c>
      <c r="AD222" s="55">
        <f>SUMIFS(tblMiningDaily[Blast_t],tblMiningDaily[Date],$A222)</f>
        <v/>
      </c>
      <c r="AE222" s="55">
        <f>IF($B222=$B221,$AE221,0)+$AD222</f>
        <v/>
      </c>
      <c r="AF222" s="55">
        <f>$AF221+$AD222</f>
        <v/>
      </c>
      <c r="AG222" s="55">
        <f>SUMIFS(tblMiningDaily[Explosives_kg],tblMiningDaily[Date],$A222)</f>
        <v/>
      </c>
      <c r="AH222" s="55">
        <f>IF($B222=$B221,$AH221,0)+$AG222</f>
        <v/>
      </c>
      <c r="AI222" s="55">
        <f>$AI221+$AG222</f>
        <v/>
      </c>
      <c r="AJ222" s="56">
        <f>IFERROR(IF(($AD222)&gt;0,($AG222)/($AD222),""),"")</f>
        <v/>
      </c>
      <c r="AK222" s="56">
        <f>IFERROR(IF(($AE222)&gt;0,($AH222)/($AE222),""),"")</f>
        <v/>
      </c>
      <c r="AL222" s="56">
        <f>IFERROR(IF(($AF222)&gt;0,($AI222)/($AF222),""),"")</f>
        <v/>
      </c>
      <c r="AM222" s="55">
        <f>SUMIFS(tblMiningDaily[Diesel_L],tblMiningDaily[Date],$A222)</f>
        <v/>
      </c>
      <c r="AN222" s="55">
        <f>IF($B222=$B221,$AN221,0)+$AM222</f>
        <v/>
      </c>
      <c r="AO222" s="55">
        <f>$AO221+$AM222</f>
        <v/>
      </c>
      <c r="AP222" s="55">
        <f>SUMIFS(tblMiningDaily[Dewatering_m3],tblMiningDaily[Date],$A222)</f>
        <v/>
      </c>
      <c r="AQ222" s="55">
        <f>IF($B222=$B221,$AQ221,0)+$AP222</f>
        <v/>
      </c>
      <c r="AR222" s="55">
        <f>$AR221+$AP222</f>
        <v/>
      </c>
      <c r="AS222" s="57">
        <f>SUMIFS(tblFleet[Calendar_h],tblFleet[Date],$A222,tblFleet[Equipment_Class],"Excavator")</f>
        <v/>
      </c>
      <c r="AT222" s="57">
        <f>IF($B222=$B221,$AT221,0)+$AS222</f>
        <v/>
      </c>
      <c r="AU222" s="57">
        <f>$AU221+$AS222</f>
        <v/>
      </c>
      <c r="AV222" s="57">
        <f>SUMIFS(tblFleet[Available_h],tblFleet[Date],$A222,tblFleet[Equipment_Class],"Excavator")</f>
        <v/>
      </c>
      <c r="AW222" s="57">
        <f>IF($B222=$B221,$AW221,0)+$AV222</f>
        <v/>
      </c>
      <c r="AX222" s="57">
        <f>$AX221+$AV222</f>
        <v/>
      </c>
      <c r="AY222" s="57">
        <f>SUMIFS(tblFleet[Operating_h],tblFleet[Date],$A222,tblFleet[Equipment_Class],"Excavator")</f>
        <v/>
      </c>
      <c r="AZ222" s="57">
        <f>IF($B222=$B221,$AZ221,0)+$AY222</f>
        <v/>
      </c>
      <c r="BA222" s="57">
        <f>$BA221+$AY222</f>
        <v/>
      </c>
      <c r="BB222" s="67">
        <f>IFERROR(IF(($AS222)&gt;0,($AV222)/($AS222),""),"")</f>
        <v/>
      </c>
      <c r="BC222" s="67">
        <f>IFERROR(IF(($AT222)&gt;0,($AW222)/($AT222),""),"")</f>
        <v/>
      </c>
      <c r="BD222" s="67">
        <f>IFERROR(IF(($AU222)&gt;0,($AX222)/($AU222),""),"")</f>
        <v/>
      </c>
      <c r="BE222" s="67">
        <f>IFERROR(IF(($AV222)&gt;0,($AY222)/($AV222),""),"")</f>
        <v/>
      </c>
      <c r="BF222" s="67">
        <f>IFERROR(IF(($AW222)&gt;0,($AZ222)/($AW222),""),"")</f>
        <v/>
      </c>
      <c r="BG222" s="67">
        <f>IFERROR(IF(($AX222)&gt;0,($BA222)/($AX222),""),"")</f>
        <v/>
      </c>
      <c r="BH222" s="57">
        <f>SUMIFS(tblFleet[Calendar_h],tblFleet[Date],$A222,tblFleet[Equipment_Class],"Haul Truck")</f>
        <v/>
      </c>
      <c r="BI222" s="57">
        <f>IF($B222=$B221,$BI221,0)+$BH222</f>
        <v/>
      </c>
      <c r="BJ222" s="57">
        <f>$BJ221+$BH222</f>
        <v/>
      </c>
      <c r="BK222" s="57">
        <f>SUMIFS(tblFleet[Available_h],tblFleet[Date],$A222,tblFleet[Equipment_Class],"Haul Truck")</f>
        <v/>
      </c>
      <c r="BL222" s="57">
        <f>IF($B222=$B221,$BL221,0)+$BK222</f>
        <v/>
      </c>
      <c r="BM222" s="57">
        <f>$BM221+$BK222</f>
        <v/>
      </c>
      <c r="BN222" s="57">
        <f>SUMIFS(tblFleet[Operating_h],tblFleet[Date],$A222,tblFleet[Equipment_Class],"Haul Truck")</f>
        <v/>
      </c>
      <c r="BO222" s="57">
        <f>IF($B222=$B221,$BO221,0)+$BN222</f>
        <v/>
      </c>
      <c r="BP222" s="57">
        <f>$BP221+$BN222</f>
        <v/>
      </c>
      <c r="BQ222" s="67">
        <f>IFERROR(IF(($BH222)&gt;0,($BK222)/($BH222),""),"")</f>
        <v/>
      </c>
      <c r="BR222" s="67">
        <f>IFERROR(IF(($BI222)&gt;0,($BL222)/($BI222),""),"")</f>
        <v/>
      </c>
      <c r="BS222" s="67">
        <f>IFERROR(IF(($BJ222)&gt;0,($BM222)/($BJ222),""),"")</f>
        <v/>
      </c>
      <c r="BT222" s="67">
        <f>IFERROR(IF(($BK222)&gt;0,($BN222)/($BK222),""),"")</f>
        <v/>
      </c>
      <c r="BU222" s="67">
        <f>IFERROR(IF(($BL222)&gt;0,($BO222)/($BL222),""),"")</f>
        <v/>
      </c>
      <c r="BV222" s="67">
        <f>IFERROR(IF(($BM222)&gt;0,($BP222)/($BM222),""),"")</f>
        <v/>
      </c>
      <c r="BW222" s="55">
        <f>SUMIFS(tblPlant[Crushed_t],tblPlant[Date],$A222)</f>
        <v/>
      </c>
      <c r="BX222" s="55">
        <f>IF($B222=$B221,$BX221,0)+$BW222</f>
        <v/>
      </c>
      <c r="BY222" s="55">
        <f>$BY221+$BW222</f>
        <v/>
      </c>
      <c r="BZ222" s="55">
        <f>SUMIFS(tblPlant[Milled_t],tblPlant[Date],$A222)</f>
        <v/>
      </c>
      <c r="CA222" s="55">
        <f>IF($B222=$B221,$CA221,0)+$BZ222</f>
        <v/>
      </c>
      <c r="CB222" s="55">
        <f>$CB221+$BZ222</f>
        <v/>
      </c>
      <c r="CC222" s="55">
        <f>SUMIFS(tblPlant[Feed_oz],tblPlant[Date],$A222)</f>
        <v/>
      </c>
      <c r="CD222" s="55">
        <f>IF($B222=$B221,$CD221,0)+$CC222</f>
        <v/>
      </c>
      <c r="CE222" s="55">
        <f>$CE221+$CC222</f>
        <v/>
      </c>
      <c r="CF222" s="55">
        <f>SUMIFS(tblPlant[Tails_oz],tblPlant[Date],$A222)</f>
        <v/>
      </c>
      <c r="CG222" s="55">
        <f>IF($B222=$B221,$CG221,0)+$CF222</f>
        <v/>
      </c>
      <c r="CH222" s="55">
        <f>$CH221+$CF222</f>
        <v/>
      </c>
      <c r="CI222" s="55">
        <f>SUMIFS(tblPlant[Recovered_oz],tblPlant[Date],$A222)</f>
        <v/>
      </c>
      <c r="CJ222" s="55">
        <f>IF($B222=$B221,$CJ221,0)+$CI222</f>
        <v/>
      </c>
      <c r="CK222" s="55">
        <f>$CK221+$CI222</f>
        <v/>
      </c>
      <c r="CL222" s="56">
        <f>IFERROR(IF(($BZ222)&gt;0,($CC222*cfg_TroyOz)/($BZ222),""),"")</f>
        <v/>
      </c>
      <c r="CM222" s="56">
        <f>IFERROR(IF(($CA222)&gt;0,($CD222*cfg_TroyOz)/($CA222),""),"")</f>
        <v/>
      </c>
      <c r="CN222" s="56">
        <f>IFERROR(IF(($CB222)&gt;0,($CE222*cfg_TroyOz)/($CB222),""),"")</f>
        <v/>
      </c>
      <c r="CO222" s="56">
        <f>IFERROR(IF(($BZ222)&gt;0,($CF222*cfg_TroyOz)/($BZ222),""),"")</f>
        <v/>
      </c>
      <c r="CP222" s="56">
        <f>IFERROR(IF(($CA222)&gt;0,($CG222*cfg_TroyOz)/($CA222),""),"")</f>
        <v/>
      </c>
      <c r="CQ222" s="56">
        <f>IFERROR(IF(($CB222)&gt;0,($CH222*cfg_TroyOz)/($CB222),""),"")</f>
        <v/>
      </c>
      <c r="CR222" s="67">
        <f>IFERROR(IF(($CC222)&gt;0,($CI222)/($CC222),""),"")</f>
        <v/>
      </c>
      <c r="CS222" s="67">
        <f>IFERROR(IF(($CD222)&gt;0,($CJ222)/($CD222),""),"")</f>
        <v/>
      </c>
      <c r="CT222" s="67">
        <f>IFERROR(IF(($CE222)&gt;0,($CK222)/($CE222),""),"")</f>
        <v/>
      </c>
      <c r="CU222" s="55">
        <f>SUMIFS(tblPlant[Gravity_Gold_oz],tblPlant[Date],$A222)</f>
        <v/>
      </c>
      <c r="CV222" s="55">
        <f>IF($B222=$B221,$CV221,0)+$CU222</f>
        <v/>
      </c>
      <c r="CW222" s="55">
        <f>$CW221+$CU222</f>
        <v/>
      </c>
      <c r="CX222" s="55">
        <f>SUMIFS(tblPlant[Gold_Poured_oz],tblPlant[Date],$A222)</f>
        <v/>
      </c>
      <c r="CY222" s="55">
        <f>IF($B222=$B221,$CY221,0)+$CX222</f>
        <v/>
      </c>
      <c r="CZ222" s="55">
        <f>$CZ221+$CX222</f>
        <v/>
      </c>
      <c r="DA222" s="57">
        <f>SUMIFS(tblPlant[Mill_Run_h],tblPlant[Date],$A222)</f>
        <v/>
      </c>
      <c r="DB222" s="57">
        <f>IF($B222=$B221,$DB221,0)+$DA222</f>
        <v/>
      </c>
      <c r="DC222" s="57">
        <f>$DC221+$DA222</f>
        <v/>
      </c>
      <c r="DD222" s="57">
        <f>SUMIFS(tblPlant[Mill_Planned_Maint_h],tblPlant[Date],$A222)</f>
        <v/>
      </c>
      <c r="DE222" s="57">
        <f>IF($B222=$B221,$DE221,0)+$DD222</f>
        <v/>
      </c>
      <c r="DF222" s="57">
        <f>$DF221+$DD222</f>
        <v/>
      </c>
      <c r="DG222" s="57">
        <f>SUMIFS(tblPlant[Mill_Unplanned_Down_h],tblPlant[Date],$A222)</f>
        <v/>
      </c>
      <c r="DH222" s="57">
        <f>IF($B222=$B221,$DH221,0)+$DG222</f>
        <v/>
      </c>
      <c r="DI222" s="57">
        <f>$DI221+$DG222</f>
        <v/>
      </c>
      <c r="DJ222" s="57">
        <f>COUNTIFS(tblPlant[Date],$A222,tblPlant[Mill_Run_h],"&lt;&gt;")*24</f>
        <v/>
      </c>
      <c r="DK222" s="57">
        <f>IF($B222=$B221,$DK221,0)+$DJ222</f>
        <v/>
      </c>
      <c r="DL222" s="57">
        <f>$DL221+$DJ222</f>
        <v/>
      </c>
      <c r="DM222" s="57">
        <f>SUMIFS(tblPlant[Crusher_Run_h],tblPlant[Date],$A222)</f>
        <v/>
      </c>
      <c r="DN222" s="57">
        <f>IF($B222=$B221,$DN221,0)+$DM222</f>
        <v/>
      </c>
      <c r="DO222" s="57">
        <f>$DO221+$DM222</f>
        <v/>
      </c>
      <c r="DP222" s="55">
        <f>IFERROR(IF(($DA222)&gt;0,($BZ222)/($DA222),""),"")</f>
        <v/>
      </c>
      <c r="DQ222" s="55">
        <f>IFERROR(IF(($DB222)&gt;0,($CA222)/($DB222),""),"")</f>
        <v/>
      </c>
      <c r="DR222" s="55">
        <f>IFERROR(IF(($DC222)&gt;0,($CB222)/($DC222),""),"")</f>
        <v/>
      </c>
      <c r="DS222" s="67">
        <f>IFERROR(IF(($DJ222)&gt;0,($DJ222-$DD222-$DG222)/($DJ222),""),"")</f>
        <v/>
      </c>
      <c r="DT222" s="67">
        <f>IFERROR(IF(($DK222)&gt;0,($DK222-$DE222-$DH222)/($DK222),""),"")</f>
        <v/>
      </c>
      <c r="DU222" s="67">
        <f>IFERROR(IF(($DL222)&gt;0,($DL222-$DF222-$DI222)/($DL222),""),"")</f>
        <v/>
      </c>
      <c r="DV222" s="67">
        <f>IFERROR(IF(($DJ222-$DD222-$DG222)&gt;0,($DA222)/($DJ222-$DD222-$DG222),""),"")</f>
        <v/>
      </c>
      <c r="DW222" s="67">
        <f>IFERROR(IF(($DK222-$DE222-$DH222)&gt;0,($DB222)/($DK222-$DE222-$DH222),""),"")</f>
        <v/>
      </c>
      <c r="DX222" s="67">
        <f>IFERROR(IF(($DL222-$DF222-$DI222)&gt;0,($DC222)/($DL222-$DF222-$DI222),""),"")</f>
        <v/>
      </c>
      <c r="DY222" s="55">
        <f>SUMIFS(tblPlant[Cyanide_kg],tblPlant[Date],$A222)</f>
        <v/>
      </c>
      <c r="DZ222" s="55">
        <f>IF($B222=$B221,$DZ221,0)+$DY222</f>
        <v/>
      </c>
      <c r="EA222" s="55">
        <f>$EA221+$DY222</f>
        <v/>
      </c>
      <c r="EB222" s="55">
        <f>SUMIFS(tblPlant[Lime_kg],tblPlant[Date],$A222)</f>
        <v/>
      </c>
      <c r="EC222" s="55">
        <f>IF($B222=$B221,$EC221,0)+$EB222</f>
        <v/>
      </c>
      <c r="ED222" s="55">
        <f>$ED221+$EB222</f>
        <v/>
      </c>
      <c r="EE222" s="55">
        <f>SUMIFS(tblPlant[Grinding_Media_kg],tblPlant[Date],$A222)</f>
        <v/>
      </c>
      <c r="EF222" s="55">
        <f>IF($B222=$B221,$EF221,0)+$EE222</f>
        <v/>
      </c>
      <c r="EG222" s="55">
        <f>$EG221+$EE222</f>
        <v/>
      </c>
      <c r="EH222" s="55">
        <f>SUMIFS(tblPlant[Power_kWh],tblPlant[Date],$A222)</f>
        <v/>
      </c>
      <c r="EI222" s="55">
        <f>IF($B222=$B221,$EI221,0)+$EH222</f>
        <v/>
      </c>
      <c r="EJ222" s="55">
        <f>$EJ221+$EH222</f>
        <v/>
      </c>
      <c r="EK222" s="55">
        <f>SUMIFS(tblPlant[Raw_Water_m3],tblPlant[Date],$A222)</f>
        <v/>
      </c>
      <c r="EL222" s="55">
        <f>IF($B222=$B221,$EL221,0)+$EK222</f>
        <v/>
      </c>
      <c r="EM222" s="55">
        <f>$EM221+$EK222</f>
        <v/>
      </c>
      <c r="EN222" s="56">
        <f>IFERROR(IF(($BZ222)&gt;0,($DY222)/($BZ222),""),"")</f>
        <v/>
      </c>
      <c r="EO222" s="56">
        <f>IFERROR(IF(($CA222)&gt;0,($DZ222)/($CA222),""),"")</f>
        <v/>
      </c>
      <c r="EP222" s="56">
        <f>IFERROR(IF(($CB222)&gt;0,($EA222)/($CB222),""),"")</f>
        <v/>
      </c>
      <c r="EQ222" s="56">
        <f>IFERROR(IF(($BZ222)&gt;0,($EB222)/($BZ222),""),"")</f>
        <v/>
      </c>
      <c r="ER222" s="56">
        <f>IFERROR(IF(($CA222)&gt;0,($EC222)/($CA222),""),"")</f>
        <v/>
      </c>
      <c r="ES222" s="56">
        <f>IFERROR(IF(($CB222)&gt;0,($ED222)/($CB222),""),"")</f>
        <v/>
      </c>
      <c r="ET222" s="56">
        <f>IFERROR(IF(($BZ222)&gt;0,($EE222)/($BZ222),""),"")</f>
        <v/>
      </c>
      <c r="EU222" s="56">
        <f>IFERROR(IF(($CA222)&gt;0,($EF222)/($CA222),""),"")</f>
        <v/>
      </c>
      <c r="EV222" s="56">
        <f>IFERROR(IF(($CB222)&gt;0,($EG222)/($CB222),""),"")</f>
        <v/>
      </c>
      <c r="EW222" s="76">
        <f>IFERROR(IF(($BZ222)&gt;0,($EH222)/($BZ222),""),"")</f>
        <v/>
      </c>
      <c r="EX222" s="76">
        <f>IFERROR(IF(($CA222)&gt;0,($EI222)/($CA222),""),"")</f>
        <v/>
      </c>
      <c r="EY222" s="76">
        <f>IFERROR(IF(($CB222)&gt;0,($EJ222)/($CB222),""),"")</f>
        <v/>
      </c>
      <c r="EZ222" s="56">
        <f>IFERROR(IF(($BZ222)&gt;0,($EK222)/($BZ222),""),"")</f>
        <v/>
      </c>
      <c r="FA222" s="56">
        <f>IFERROR(IF(($CA222)&gt;0,($EL222)/($CA222),""),"")</f>
        <v/>
      </c>
      <c r="FB222" s="56">
        <f>IFERROR(IF(($CB222)&gt;0,($EM222)/($CB222),""),"")</f>
        <v/>
      </c>
      <c r="FC222" s="55">
        <f>IF(SUMIFS(tblPlant[GIC_oz],tblPlant[Date],$A222)&gt;0,SUMIFS(tblPlant[GIC_oz],tblPlant[Date],$A222),"")</f>
        <v/>
      </c>
      <c r="FD222" s="55">
        <f>SUMIFS(tblGold[Gold_oz],tblGold[Date],$A222,tblGold[Type],"Shipment")</f>
        <v/>
      </c>
      <c r="FE222" s="55">
        <f>IF($B222=$B221,$FE221,0)+$FD222</f>
        <v/>
      </c>
      <c r="FF222" s="55">
        <f>$FF221+$FD222</f>
        <v/>
      </c>
      <c r="FG222" s="55">
        <f>SUMIFS(tblGold[Gold_oz],tblGold[Date],$A222,tblGold[Type],"Sale")</f>
        <v/>
      </c>
      <c r="FH222" s="55">
        <f>IF($B222=$B221,$FH221,0)+$FG222</f>
        <v/>
      </c>
      <c r="FI222" s="55">
        <f>$FI221+$FG222</f>
        <v/>
      </c>
      <c r="FJ222" s="55">
        <f>SUMIFS(tblGold[Dore_kg],tblGold[Date],$A222,tblGold[Type],"Shipment")</f>
        <v/>
      </c>
      <c r="FK222" s="55">
        <f>IF($B222=$B221,$FK221,0)+$FJ222</f>
        <v/>
      </c>
      <c r="FL222" s="55">
        <f>$FL221+$FJ222</f>
        <v/>
      </c>
      <c r="FM222" s="57">
        <f>SUMIFS(tblSafety[Hours_Total],tblSafety[Date],$A222)</f>
        <v/>
      </c>
      <c r="FN222" s="57">
        <f>IF($B222=$B221,$FN221,0)+$FM222</f>
        <v/>
      </c>
      <c r="FO222" s="57">
        <f>$FO221+$FM222</f>
        <v/>
      </c>
      <c r="FP222" s="62">
        <f>SUMIFS(tblSafety[Fatality],tblSafety[Date],$A222)</f>
        <v/>
      </c>
      <c r="FQ222" s="62">
        <f>IF($B222=$B221,$FQ221,0)+$FP222</f>
        <v/>
      </c>
      <c r="FR222" s="62">
        <f>$FR221+$FP222</f>
        <v/>
      </c>
      <c r="FS222" s="62">
        <f>SUMIFS(tblSafety[LTI],tblSafety[Date],$A222)</f>
        <v/>
      </c>
      <c r="FT222" s="62">
        <f>IF($B222=$B221,$FT221,0)+$FS222</f>
        <v/>
      </c>
      <c r="FU222" s="62">
        <f>$FU221+$FS222</f>
        <v/>
      </c>
      <c r="FV222" s="62">
        <f>SUMIFS(tblSafety[RWI],tblSafety[Date],$A222)</f>
        <v/>
      </c>
      <c r="FW222" s="62">
        <f>IF($B222=$B221,$FW221,0)+$FV222</f>
        <v/>
      </c>
      <c r="FX222" s="62">
        <f>$FX221+$FV222</f>
        <v/>
      </c>
      <c r="FY222" s="62">
        <f>SUMIFS(tblSafety[MTI],tblSafety[Date],$A222)</f>
        <v/>
      </c>
      <c r="FZ222" s="62">
        <f>IF($B222=$B221,$FZ221,0)+$FY222</f>
        <v/>
      </c>
      <c r="GA222" s="62">
        <f>$GA221+$FY222</f>
        <v/>
      </c>
      <c r="GB222" s="62">
        <f>SUMIFS(tblSafety[FAI],tblSafety[Date],$A222)</f>
        <v/>
      </c>
      <c r="GC222" s="62">
        <f>IF($B222=$B221,$GC221,0)+$GB222</f>
        <v/>
      </c>
      <c r="GD222" s="62">
        <f>$GD221+$GB222</f>
        <v/>
      </c>
      <c r="GE222" s="62">
        <f>SUMIFS(tblSafety[Recordables],tblSafety[Date],$A222)</f>
        <v/>
      </c>
      <c r="GF222" s="62">
        <f>IF($B222=$B221,$GF221,0)+$GE222</f>
        <v/>
      </c>
      <c r="GG222" s="62">
        <f>$GG221+$GE222</f>
        <v/>
      </c>
      <c r="GH222" s="62">
        <f>SUMIFS(tblSafety[Near_Miss],tblSafety[Date],$A222)</f>
        <v/>
      </c>
      <c r="GI222" s="62">
        <f>IF($B222=$B221,$GI221,0)+$GH222</f>
        <v/>
      </c>
      <c r="GJ222" s="62">
        <f>$GJ221+$GH222</f>
        <v/>
      </c>
      <c r="GK222" s="62">
        <f>SUMIFS(tblSafety[Hazard_Reports],tblSafety[Date],$A222)</f>
        <v/>
      </c>
      <c r="GL222" s="62">
        <f>IF($B222=$B221,$GL221,0)+$GK222</f>
        <v/>
      </c>
      <c r="GM222" s="62">
        <f>$GM221+$GK222</f>
        <v/>
      </c>
      <c r="GN222" s="62">
        <f>SUMIFS(tblSafety[HPI],tblSafety[Date],$A222)</f>
        <v/>
      </c>
      <c r="GO222" s="62">
        <f>IF($B222=$B221,$GO221,0)+$GN222</f>
        <v/>
      </c>
      <c r="GP222" s="62">
        <f>$GP221+$GN222</f>
        <v/>
      </c>
      <c r="GQ222" s="62">
        <f>SUMIFS(tblSafety[Env_Incidents],tblSafety[Date],$A222)</f>
        <v/>
      </c>
      <c r="GR222" s="62">
        <f>IF($B222=$B221,$GR221,0)+$GQ222</f>
        <v/>
      </c>
      <c r="GS222" s="62">
        <f>$GS221+$GQ222</f>
        <v/>
      </c>
      <c r="GT222" s="62">
        <f>SUMIFS(tblSafety[Community_Incidents],tblSafety[Date],$A222)</f>
        <v/>
      </c>
      <c r="GU222" s="62">
        <f>IF($B222=$B221,$GU221,0)+$GT222</f>
        <v/>
      </c>
      <c r="GV222" s="62">
        <f>$GV221+$GT222</f>
        <v/>
      </c>
      <c r="GW222" s="62">
        <f>SUMIFS(tblSafety[Vehicle_Incidents],tblSafety[Date],$A222)</f>
        <v/>
      </c>
      <c r="GX222" s="62">
        <f>IF($B222=$B221,$GX221,0)+$GW222</f>
        <v/>
      </c>
      <c r="GY222" s="62">
        <f>$GY221+$GW222</f>
        <v/>
      </c>
      <c r="GZ222" s="62">
        <f>SUMIFS(tblSafety[Toolbox_Talks],tblSafety[Date],$A222)</f>
        <v/>
      </c>
      <c r="HA222" s="62">
        <f>IF($B222=$B221,$HA221,0)+$GZ222</f>
        <v/>
      </c>
      <c r="HB222" s="62">
        <f>$HB221+$GZ222</f>
        <v/>
      </c>
      <c r="HC222" s="62">
        <f>SUMIFS(tblSafety[Inspections],tblSafety[Date],$A222)</f>
        <v/>
      </c>
      <c r="HD222" s="62">
        <f>IF($B222=$B221,$HD221,0)+$HC222</f>
        <v/>
      </c>
      <c r="HE222" s="62">
        <f>$HE221+$HC222</f>
        <v/>
      </c>
      <c r="HF222" s="56">
        <f>IFERROR((SUMIFS(tblSafety[Recordables],tblSafety[Date],"&gt;="&amp;EDATE($E222,-12),tblSafety[Date],"&lt;="&amp;$A222)+SUMIFS(tblSafetyHistory[Recordables],tblSafetyHistory[Month],"&gt;="&amp;EDATE($E222,-12),tblSafetyHistory[Month],"&lt;"&amp;cfg_YearStart))/(SUMIFS(tblSafety[Hours_Total],tblSafety[Date],"&gt;="&amp;EDATE($E222,-12),tblSafety[Date],"&lt;="&amp;$A222)+SUMIFS(tblSafetyHistory[Hours_Total],tblSafetyHistory[Month],"&gt;="&amp;EDATE($E222,-12),tblSafetyHistory[Month],"&lt;"&amp;cfg_YearStart))*1000000,"")</f>
        <v/>
      </c>
      <c r="HG222" s="56">
        <f>IFERROR((SUMIFS(tblSafety[LTI],tblSafety[Date],"&gt;="&amp;EDATE($E222,-12),tblSafety[Date],"&lt;="&amp;$A222)+SUMIFS(tblSafetyHistory[LTI],tblSafetyHistory[Month],"&gt;="&amp;EDATE($E222,-12),tblSafetyHistory[Month],"&lt;"&amp;cfg_YearStart))/(SUMIFS(tblSafety[Hours_Total],tblSafety[Date],"&gt;="&amp;EDATE($E222,-12),tblSafety[Date],"&lt;="&amp;$A222)+SUMIFS(tblSafetyHistory[Hours_Total],tblSafetyHistory[Month],"&gt;="&amp;EDATE($E222,-12),tblSafetyHistory[Month],"&lt;"&amp;cfg_YearStart))*1000000,"")</f>
        <v/>
      </c>
      <c r="HH222" s="62">
        <f>IF(MAX(N(cfg_PriorLTIDate),_xlfn.MAXIFS(tblSafety[Date],tblSafety[LTI],"&gt;0",tblSafety[Date],"&lt;="&amp;$A222))=0,"",$A222-MAX(N(cfg_PriorLTIDate),_xlfn.MAXIFS(tblSafety[Date],tblSafety[LTI],"&gt;0",tblSafety[Date],"&lt;="&amp;$A222)))</f>
        <v/>
      </c>
      <c r="HI222" s="55">
        <f>SUMIFS(tblBudget[Ore_Mined_t],tblBudget[Month],$E222)</f>
        <v/>
      </c>
      <c r="HJ222" s="55">
        <f>$HI222*$C222/$D222</f>
        <v/>
      </c>
      <c r="HK222" s="55">
        <f>SUMIFS(tblBudget[Ore_Mined_t],tblBudget[Month],"&lt;"&amp;$E222)+$HJ222</f>
        <v/>
      </c>
      <c r="HL222" s="55">
        <f>SUMIFS(tblBudget[Ore_oz],tblBudget[Month],$E222)</f>
        <v/>
      </c>
      <c r="HM222" s="55">
        <f>$HL222*$C222/$D222</f>
        <v/>
      </c>
      <c r="HN222" s="55">
        <f>SUMIFS(tblBudget[Ore_oz],tblBudget[Month],"&lt;"&amp;$E222)+$HM222</f>
        <v/>
      </c>
      <c r="HO222" s="56">
        <f>IFERROR(IF(($HI222)&gt;0,($HL222*cfg_TroyOz)/($HI222),""),"")</f>
        <v/>
      </c>
      <c r="HP222" s="56">
        <f>IFERROR(IF(($HJ222)&gt;0,($HM222*cfg_TroyOz)/($HJ222),""),"")</f>
        <v/>
      </c>
      <c r="HQ222" s="56">
        <f>IFERROR(IF(($HK222)&gt;0,($HN222*cfg_TroyOz)/($HK222),""),"")</f>
        <v/>
      </c>
      <c r="HR222" s="55">
        <f>SUMIFS(tblBudget[Waste_t],tblBudget[Month],$E222)</f>
        <v/>
      </c>
      <c r="HS222" s="55">
        <f>$HR222*$C222/$D222</f>
        <v/>
      </c>
      <c r="HT222" s="55">
        <f>SUMIFS(tblBudget[Waste_t],tblBudget[Month],"&lt;"&amp;$E222)+$HS222</f>
        <v/>
      </c>
      <c r="HU222" s="55">
        <f>SUMIFS(tblBudget[TMM_t],tblBudget[Month],$E222)</f>
        <v/>
      </c>
      <c r="HV222" s="55">
        <f>$HU222*$C222/$D222</f>
        <v/>
      </c>
      <c r="HW222" s="55">
        <f>SUMIFS(tblBudget[TMM_t],tblBudget[Month],"&lt;"&amp;$E222)+$HV222</f>
        <v/>
      </c>
      <c r="HX222" s="56">
        <f>IFERROR(IF(($HI222)&gt;0,($HR222)/($HI222),""),"")</f>
        <v/>
      </c>
      <c r="HY222" s="56">
        <f>IFERROR(IF(($HJ222)&gt;0,($HS222)/($HJ222),""),"")</f>
        <v/>
      </c>
      <c r="HZ222" s="56">
        <f>IFERROR(IF(($HK222)&gt;0,($HT222)/($HK222),""),"")</f>
        <v/>
      </c>
      <c r="IA222" s="55">
        <f>SUMIFS(tblBudget[Drill_m],tblBudget[Month],$E222)</f>
        <v/>
      </c>
      <c r="IB222" s="55">
        <f>$IA222*$C222/$D222</f>
        <v/>
      </c>
      <c r="IC222" s="55">
        <f>SUMIFS(tblBudget[Drill_m],tblBudget[Month],"&lt;"&amp;$E222)+$IB222</f>
        <v/>
      </c>
      <c r="ID222" s="55">
        <f>SUMIFS(tblBudget[Diesel_L],tblBudget[Month],$E222)</f>
        <v/>
      </c>
      <c r="IE222" s="55">
        <f>$ID222*$C222/$D222</f>
        <v/>
      </c>
      <c r="IF222" s="55">
        <f>SUMIFS(tblBudget[Diesel_L],tblBudget[Month],"&lt;"&amp;$E222)+$IE222</f>
        <v/>
      </c>
      <c r="IG222" s="55">
        <f>SUMIFS(tblBudget[Milled_t],tblBudget[Month],$E222)</f>
        <v/>
      </c>
      <c r="IH222" s="55">
        <f>$IG222*$C222/$D222</f>
        <v/>
      </c>
      <c r="II222" s="55">
        <f>SUMIFS(tblBudget[Milled_t],tblBudget[Month],"&lt;"&amp;$E222)+$IH222</f>
        <v/>
      </c>
      <c r="IJ222" s="55">
        <f>SUMIFS(tblBudget[Feed_oz],tblBudget[Month],$E222)</f>
        <v/>
      </c>
      <c r="IK222" s="55">
        <f>$IJ222*$C222/$D222</f>
        <v/>
      </c>
      <c r="IL222" s="55">
        <f>SUMIFS(tblBudget[Feed_oz],tblBudget[Month],"&lt;"&amp;$E222)+$IK222</f>
        <v/>
      </c>
      <c r="IM222" s="55">
        <f>SUMIFS(tblBudget[Recovered_oz],tblBudget[Month],$E222)</f>
        <v/>
      </c>
      <c r="IN222" s="55">
        <f>$IM222*$C222/$D222</f>
        <v/>
      </c>
      <c r="IO222" s="55">
        <f>SUMIFS(tblBudget[Recovered_oz],tblBudget[Month],"&lt;"&amp;$E222)+$IN222</f>
        <v/>
      </c>
      <c r="IP222" s="56">
        <f>IFERROR(IF(($IG222)&gt;0,($IJ222*cfg_TroyOz)/($IG222),""),"")</f>
        <v/>
      </c>
      <c r="IQ222" s="56">
        <f>IFERROR(IF(($IH222)&gt;0,($IK222*cfg_TroyOz)/($IH222),""),"")</f>
        <v/>
      </c>
      <c r="IR222" s="56">
        <f>IFERROR(IF(($II222)&gt;0,($IL222*cfg_TroyOz)/($II222),""),"")</f>
        <v/>
      </c>
      <c r="IS222" s="67">
        <f>IFERROR(IF(($IJ222)&gt;0,($IM222)/($IJ222),""),"")</f>
        <v/>
      </c>
      <c r="IT222" s="67">
        <f>IFERROR(IF(($IK222)&gt;0,($IN222)/($IK222),""),"")</f>
        <v/>
      </c>
      <c r="IU222" s="67">
        <f>IFERROR(IF(($IL222)&gt;0,($IO222)/($IL222),""),"")</f>
        <v/>
      </c>
      <c r="IV222" s="55">
        <f>SUMIFS(tblBudget[Gold_Poured_oz],tblBudget[Month],$E222)</f>
        <v/>
      </c>
      <c r="IW222" s="55">
        <f>$IV222*$C222/$D222</f>
        <v/>
      </c>
      <c r="IX222" s="55">
        <f>SUMIFS(tblBudget[Gold_Poured_oz],tblBudget[Month],"&lt;"&amp;$E222)+$IW222</f>
        <v/>
      </c>
      <c r="IY222" s="57">
        <f>SUMIFS(tblBudget[Hours_Worked],tblBudget[Month],$E222)</f>
        <v/>
      </c>
      <c r="IZ222" s="57">
        <f>$IY222*$C222/$D222</f>
        <v/>
      </c>
      <c r="JA222" s="57">
        <f>SUMIFS(tblBudget[Hours_Worked],tblBudget[Month],"&lt;"&amp;$E222)+$IZ222</f>
        <v/>
      </c>
    </row>
    <row r="223">
      <c r="A223" s="54" t="n">
        <v>46244</v>
      </c>
      <c r="B223">
        <f>MONTH($A223)</f>
        <v/>
      </c>
      <c r="C223">
        <f>DAY($A223)</f>
        <v/>
      </c>
      <c r="D223">
        <f>DAY(EOMONTH($A223,0))</f>
        <v/>
      </c>
      <c r="E223" s="54">
        <f>DATE(YEAR($A223),MONTH($A223),1)</f>
        <v/>
      </c>
      <c r="F223" s="55">
        <f>SUMIFS(tblMovement[Tonnes_t],tblMovement[Date],$A223,tblMovement[Is_Ore],1,tblMovement[Source_Type],"Pit")</f>
        <v/>
      </c>
      <c r="G223" s="55">
        <f>IF($B223=$B222,$G222,0)+$F223</f>
        <v/>
      </c>
      <c r="H223" s="55">
        <f>$H222+$F223</f>
        <v/>
      </c>
      <c r="I223" s="55">
        <f>SUMIFS(tblMovement[Ore_oz],tblMovement[Date],$A223,tblMovement[Source_Type],"Pit")</f>
        <v/>
      </c>
      <c r="J223" s="55">
        <f>IF($B223=$B222,$J222,0)+$I223</f>
        <v/>
      </c>
      <c r="K223" s="55">
        <f>$K222+$I223</f>
        <v/>
      </c>
      <c r="L223" s="56">
        <f>IFERROR(IF(($F223)&gt;0,($I223*cfg_TroyOz)/($F223),""),"")</f>
        <v/>
      </c>
      <c r="M223" s="56">
        <f>IFERROR(IF(($G223)&gt;0,($J223*cfg_TroyOz)/($G223),""),"")</f>
        <v/>
      </c>
      <c r="N223" s="56">
        <f>IFERROR(IF(($H223)&gt;0,($K223*cfg_TroyOz)/($H223),""),"")</f>
        <v/>
      </c>
      <c r="O223" s="55">
        <f>SUMIFS(tblMovement[Tonnes_t],tblMovement[Date],$A223,tblMovement[Is_Ore],0,tblMovement[Source_Type],"Pit")</f>
        <v/>
      </c>
      <c r="P223" s="55">
        <f>IF($B223=$B222,$P222,0)+$O223</f>
        <v/>
      </c>
      <c r="Q223" s="55">
        <f>$Q222+$O223</f>
        <v/>
      </c>
      <c r="R223" s="55">
        <f>$F223+$O223</f>
        <v/>
      </c>
      <c r="S223" s="55">
        <f>IF($B223=$B222,$S222,0)+$R223</f>
        <v/>
      </c>
      <c r="T223" s="55">
        <f>$T222+$R223</f>
        <v/>
      </c>
      <c r="U223" s="56">
        <f>IFERROR(IF(($F223)&gt;0,($O223)/($F223),""),"")</f>
        <v/>
      </c>
      <c r="V223" s="56">
        <f>IFERROR(IF(($G223)&gt;0,($P223)/($G223),""),"")</f>
        <v/>
      </c>
      <c r="W223" s="56">
        <f>IFERROR(IF(($H223)&gt;0,($Q223)/($H223),""),"")</f>
        <v/>
      </c>
      <c r="X223" s="55">
        <f>SUMIFS(tblMovement[Tonnes_t],tblMovement[Date],$A223,tblMovement[Source_Type],"Stockpile")</f>
        <v/>
      </c>
      <c r="Y223" s="55">
        <f>IF($B223=$B222,$Y222,0)+$X223</f>
        <v/>
      </c>
      <c r="Z223" s="55">
        <f>$Z222+$X223</f>
        <v/>
      </c>
      <c r="AA223" s="55">
        <f>SUMIFS(tblMiningDaily[Drill_m],tblMiningDaily[Date],$A223)</f>
        <v/>
      </c>
      <c r="AB223" s="55">
        <f>IF($B223=$B222,$AB222,0)+$AA223</f>
        <v/>
      </c>
      <c r="AC223" s="55">
        <f>$AC222+$AA223</f>
        <v/>
      </c>
      <c r="AD223" s="55">
        <f>SUMIFS(tblMiningDaily[Blast_t],tblMiningDaily[Date],$A223)</f>
        <v/>
      </c>
      <c r="AE223" s="55">
        <f>IF($B223=$B222,$AE222,0)+$AD223</f>
        <v/>
      </c>
      <c r="AF223" s="55">
        <f>$AF222+$AD223</f>
        <v/>
      </c>
      <c r="AG223" s="55">
        <f>SUMIFS(tblMiningDaily[Explosives_kg],tblMiningDaily[Date],$A223)</f>
        <v/>
      </c>
      <c r="AH223" s="55">
        <f>IF($B223=$B222,$AH222,0)+$AG223</f>
        <v/>
      </c>
      <c r="AI223" s="55">
        <f>$AI222+$AG223</f>
        <v/>
      </c>
      <c r="AJ223" s="56">
        <f>IFERROR(IF(($AD223)&gt;0,($AG223)/($AD223),""),"")</f>
        <v/>
      </c>
      <c r="AK223" s="56">
        <f>IFERROR(IF(($AE223)&gt;0,($AH223)/($AE223),""),"")</f>
        <v/>
      </c>
      <c r="AL223" s="56">
        <f>IFERROR(IF(($AF223)&gt;0,($AI223)/($AF223),""),"")</f>
        <v/>
      </c>
      <c r="AM223" s="55">
        <f>SUMIFS(tblMiningDaily[Diesel_L],tblMiningDaily[Date],$A223)</f>
        <v/>
      </c>
      <c r="AN223" s="55">
        <f>IF($B223=$B222,$AN222,0)+$AM223</f>
        <v/>
      </c>
      <c r="AO223" s="55">
        <f>$AO222+$AM223</f>
        <v/>
      </c>
      <c r="AP223" s="55">
        <f>SUMIFS(tblMiningDaily[Dewatering_m3],tblMiningDaily[Date],$A223)</f>
        <v/>
      </c>
      <c r="AQ223" s="55">
        <f>IF($B223=$B222,$AQ222,0)+$AP223</f>
        <v/>
      </c>
      <c r="AR223" s="55">
        <f>$AR222+$AP223</f>
        <v/>
      </c>
      <c r="AS223" s="57">
        <f>SUMIFS(tblFleet[Calendar_h],tblFleet[Date],$A223,tblFleet[Equipment_Class],"Excavator")</f>
        <v/>
      </c>
      <c r="AT223" s="57">
        <f>IF($B223=$B222,$AT222,0)+$AS223</f>
        <v/>
      </c>
      <c r="AU223" s="57">
        <f>$AU222+$AS223</f>
        <v/>
      </c>
      <c r="AV223" s="57">
        <f>SUMIFS(tblFleet[Available_h],tblFleet[Date],$A223,tblFleet[Equipment_Class],"Excavator")</f>
        <v/>
      </c>
      <c r="AW223" s="57">
        <f>IF($B223=$B222,$AW222,0)+$AV223</f>
        <v/>
      </c>
      <c r="AX223" s="57">
        <f>$AX222+$AV223</f>
        <v/>
      </c>
      <c r="AY223" s="57">
        <f>SUMIFS(tblFleet[Operating_h],tblFleet[Date],$A223,tblFleet[Equipment_Class],"Excavator")</f>
        <v/>
      </c>
      <c r="AZ223" s="57">
        <f>IF($B223=$B222,$AZ222,0)+$AY223</f>
        <v/>
      </c>
      <c r="BA223" s="57">
        <f>$BA222+$AY223</f>
        <v/>
      </c>
      <c r="BB223" s="67">
        <f>IFERROR(IF(($AS223)&gt;0,($AV223)/($AS223),""),"")</f>
        <v/>
      </c>
      <c r="BC223" s="67">
        <f>IFERROR(IF(($AT223)&gt;0,($AW223)/($AT223),""),"")</f>
        <v/>
      </c>
      <c r="BD223" s="67">
        <f>IFERROR(IF(($AU223)&gt;0,($AX223)/($AU223),""),"")</f>
        <v/>
      </c>
      <c r="BE223" s="67">
        <f>IFERROR(IF(($AV223)&gt;0,($AY223)/($AV223),""),"")</f>
        <v/>
      </c>
      <c r="BF223" s="67">
        <f>IFERROR(IF(($AW223)&gt;0,($AZ223)/($AW223),""),"")</f>
        <v/>
      </c>
      <c r="BG223" s="67">
        <f>IFERROR(IF(($AX223)&gt;0,($BA223)/($AX223),""),"")</f>
        <v/>
      </c>
      <c r="BH223" s="57">
        <f>SUMIFS(tblFleet[Calendar_h],tblFleet[Date],$A223,tblFleet[Equipment_Class],"Haul Truck")</f>
        <v/>
      </c>
      <c r="BI223" s="57">
        <f>IF($B223=$B222,$BI222,0)+$BH223</f>
        <v/>
      </c>
      <c r="BJ223" s="57">
        <f>$BJ222+$BH223</f>
        <v/>
      </c>
      <c r="BK223" s="57">
        <f>SUMIFS(tblFleet[Available_h],tblFleet[Date],$A223,tblFleet[Equipment_Class],"Haul Truck")</f>
        <v/>
      </c>
      <c r="BL223" s="57">
        <f>IF($B223=$B222,$BL222,0)+$BK223</f>
        <v/>
      </c>
      <c r="BM223" s="57">
        <f>$BM222+$BK223</f>
        <v/>
      </c>
      <c r="BN223" s="57">
        <f>SUMIFS(tblFleet[Operating_h],tblFleet[Date],$A223,tblFleet[Equipment_Class],"Haul Truck")</f>
        <v/>
      </c>
      <c r="BO223" s="57">
        <f>IF($B223=$B222,$BO222,0)+$BN223</f>
        <v/>
      </c>
      <c r="BP223" s="57">
        <f>$BP222+$BN223</f>
        <v/>
      </c>
      <c r="BQ223" s="67">
        <f>IFERROR(IF(($BH223)&gt;0,($BK223)/($BH223),""),"")</f>
        <v/>
      </c>
      <c r="BR223" s="67">
        <f>IFERROR(IF(($BI223)&gt;0,($BL223)/($BI223),""),"")</f>
        <v/>
      </c>
      <c r="BS223" s="67">
        <f>IFERROR(IF(($BJ223)&gt;0,($BM223)/($BJ223),""),"")</f>
        <v/>
      </c>
      <c r="BT223" s="67">
        <f>IFERROR(IF(($BK223)&gt;0,($BN223)/($BK223),""),"")</f>
        <v/>
      </c>
      <c r="BU223" s="67">
        <f>IFERROR(IF(($BL223)&gt;0,($BO223)/($BL223),""),"")</f>
        <v/>
      </c>
      <c r="BV223" s="67">
        <f>IFERROR(IF(($BM223)&gt;0,($BP223)/($BM223),""),"")</f>
        <v/>
      </c>
      <c r="BW223" s="55">
        <f>SUMIFS(tblPlant[Crushed_t],tblPlant[Date],$A223)</f>
        <v/>
      </c>
      <c r="BX223" s="55">
        <f>IF($B223=$B222,$BX222,0)+$BW223</f>
        <v/>
      </c>
      <c r="BY223" s="55">
        <f>$BY222+$BW223</f>
        <v/>
      </c>
      <c r="BZ223" s="55">
        <f>SUMIFS(tblPlant[Milled_t],tblPlant[Date],$A223)</f>
        <v/>
      </c>
      <c r="CA223" s="55">
        <f>IF($B223=$B222,$CA222,0)+$BZ223</f>
        <v/>
      </c>
      <c r="CB223" s="55">
        <f>$CB222+$BZ223</f>
        <v/>
      </c>
      <c r="CC223" s="55">
        <f>SUMIFS(tblPlant[Feed_oz],tblPlant[Date],$A223)</f>
        <v/>
      </c>
      <c r="CD223" s="55">
        <f>IF($B223=$B222,$CD222,0)+$CC223</f>
        <v/>
      </c>
      <c r="CE223" s="55">
        <f>$CE222+$CC223</f>
        <v/>
      </c>
      <c r="CF223" s="55">
        <f>SUMIFS(tblPlant[Tails_oz],tblPlant[Date],$A223)</f>
        <v/>
      </c>
      <c r="CG223" s="55">
        <f>IF($B223=$B222,$CG222,0)+$CF223</f>
        <v/>
      </c>
      <c r="CH223" s="55">
        <f>$CH222+$CF223</f>
        <v/>
      </c>
      <c r="CI223" s="55">
        <f>SUMIFS(tblPlant[Recovered_oz],tblPlant[Date],$A223)</f>
        <v/>
      </c>
      <c r="CJ223" s="55">
        <f>IF($B223=$B222,$CJ222,0)+$CI223</f>
        <v/>
      </c>
      <c r="CK223" s="55">
        <f>$CK222+$CI223</f>
        <v/>
      </c>
      <c r="CL223" s="56">
        <f>IFERROR(IF(($BZ223)&gt;0,($CC223*cfg_TroyOz)/($BZ223),""),"")</f>
        <v/>
      </c>
      <c r="CM223" s="56">
        <f>IFERROR(IF(($CA223)&gt;0,($CD223*cfg_TroyOz)/($CA223),""),"")</f>
        <v/>
      </c>
      <c r="CN223" s="56">
        <f>IFERROR(IF(($CB223)&gt;0,($CE223*cfg_TroyOz)/($CB223),""),"")</f>
        <v/>
      </c>
      <c r="CO223" s="56">
        <f>IFERROR(IF(($BZ223)&gt;0,($CF223*cfg_TroyOz)/($BZ223),""),"")</f>
        <v/>
      </c>
      <c r="CP223" s="56">
        <f>IFERROR(IF(($CA223)&gt;0,($CG223*cfg_TroyOz)/($CA223),""),"")</f>
        <v/>
      </c>
      <c r="CQ223" s="56">
        <f>IFERROR(IF(($CB223)&gt;0,($CH223*cfg_TroyOz)/($CB223),""),"")</f>
        <v/>
      </c>
      <c r="CR223" s="67">
        <f>IFERROR(IF(($CC223)&gt;0,($CI223)/($CC223),""),"")</f>
        <v/>
      </c>
      <c r="CS223" s="67">
        <f>IFERROR(IF(($CD223)&gt;0,($CJ223)/($CD223),""),"")</f>
        <v/>
      </c>
      <c r="CT223" s="67">
        <f>IFERROR(IF(($CE223)&gt;0,($CK223)/($CE223),""),"")</f>
        <v/>
      </c>
      <c r="CU223" s="55">
        <f>SUMIFS(tblPlant[Gravity_Gold_oz],tblPlant[Date],$A223)</f>
        <v/>
      </c>
      <c r="CV223" s="55">
        <f>IF($B223=$B222,$CV222,0)+$CU223</f>
        <v/>
      </c>
      <c r="CW223" s="55">
        <f>$CW222+$CU223</f>
        <v/>
      </c>
      <c r="CX223" s="55">
        <f>SUMIFS(tblPlant[Gold_Poured_oz],tblPlant[Date],$A223)</f>
        <v/>
      </c>
      <c r="CY223" s="55">
        <f>IF($B223=$B222,$CY222,0)+$CX223</f>
        <v/>
      </c>
      <c r="CZ223" s="55">
        <f>$CZ222+$CX223</f>
        <v/>
      </c>
      <c r="DA223" s="57">
        <f>SUMIFS(tblPlant[Mill_Run_h],tblPlant[Date],$A223)</f>
        <v/>
      </c>
      <c r="DB223" s="57">
        <f>IF($B223=$B222,$DB222,0)+$DA223</f>
        <v/>
      </c>
      <c r="DC223" s="57">
        <f>$DC222+$DA223</f>
        <v/>
      </c>
      <c r="DD223" s="57">
        <f>SUMIFS(tblPlant[Mill_Planned_Maint_h],tblPlant[Date],$A223)</f>
        <v/>
      </c>
      <c r="DE223" s="57">
        <f>IF($B223=$B222,$DE222,0)+$DD223</f>
        <v/>
      </c>
      <c r="DF223" s="57">
        <f>$DF222+$DD223</f>
        <v/>
      </c>
      <c r="DG223" s="57">
        <f>SUMIFS(tblPlant[Mill_Unplanned_Down_h],tblPlant[Date],$A223)</f>
        <v/>
      </c>
      <c r="DH223" s="57">
        <f>IF($B223=$B222,$DH222,0)+$DG223</f>
        <v/>
      </c>
      <c r="DI223" s="57">
        <f>$DI222+$DG223</f>
        <v/>
      </c>
      <c r="DJ223" s="57">
        <f>COUNTIFS(tblPlant[Date],$A223,tblPlant[Mill_Run_h],"&lt;&gt;")*24</f>
        <v/>
      </c>
      <c r="DK223" s="57">
        <f>IF($B223=$B222,$DK222,0)+$DJ223</f>
        <v/>
      </c>
      <c r="DL223" s="57">
        <f>$DL222+$DJ223</f>
        <v/>
      </c>
      <c r="DM223" s="57">
        <f>SUMIFS(tblPlant[Crusher_Run_h],tblPlant[Date],$A223)</f>
        <v/>
      </c>
      <c r="DN223" s="57">
        <f>IF($B223=$B222,$DN222,0)+$DM223</f>
        <v/>
      </c>
      <c r="DO223" s="57">
        <f>$DO222+$DM223</f>
        <v/>
      </c>
      <c r="DP223" s="55">
        <f>IFERROR(IF(($DA223)&gt;0,($BZ223)/($DA223),""),"")</f>
        <v/>
      </c>
      <c r="DQ223" s="55">
        <f>IFERROR(IF(($DB223)&gt;0,($CA223)/($DB223),""),"")</f>
        <v/>
      </c>
      <c r="DR223" s="55">
        <f>IFERROR(IF(($DC223)&gt;0,($CB223)/($DC223),""),"")</f>
        <v/>
      </c>
      <c r="DS223" s="67">
        <f>IFERROR(IF(($DJ223)&gt;0,($DJ223-$DD223-$DG223)/($DJ223),""),"")</f>
        <v/>
      </c>
      <c r="DT223" s="67">
        <f>IFERROR(IF(($DK223)&gt;0,($DK223-$DE223-$DH223)/($DK223),""),"")</f>
        <v/>
      </c>
      <c r="DU223" s="67">
        <f>IFERROR(IF(($DL223)&gt;0,($DL223-$DF223-$DI223)/($DL223),""),"")</f>
        <v/>
      </c>
      <c r="DV223" s="67">
        <f>IFERROR(IF(($DJ223-$DD223-$DG223)&gt;0,($DA223)/($DJ223-$DD223-$DG223),""),"")</f>
        <v/>
      </c>
      <c r="DW223" s="67">
        <f>IFERROR(IF(($DK223-$DE223-$DH223)&gt;0,($DB223)/($DK223-$DE223-$DH223),""),"")</f>
        <v/>
      </c>
      <c r="DX223" s="67">
        <f>IFERROR(IF(($DL223-$DF223-$DI223)&gt;0,($DC223)/($DL223-$DF223-$DI223),""),"")</f>
        <v/>
      </c>
      <c r="DY223" s="55">
        <f>SUMIFS(tblPlant[Cyanide_kg],tblPlant[Date],$A223)</f>
        <v/>
      </c>
      <c r="DZ223" s="55">
        <f>IF($B223=$B222,$DZ222,0)+$DY223</f>
        <v/>
      </c>
      <c r="EA223" s="55">
        <f>$EA222+$DY223</f>
        <v/>
      </c>
      <c r="EB223" s="55">
        <f>SUMIFS(tblPlant[Lime_kg],tblPlant[Date],$A223)</f>
        <v/>
      </c>
      <c r="EC223" s="55">
        <f>IF($B223=$B222,$EC222,0)+$EB223</f>
        <v/>
      </c>
      <c r="ED223" s="55">
        <f>$ED222+$EB223</f>
        <v/>
      </c>
      <c r="EE223" s="55">
        <f>SUMIFS(tblPlant[Grinding_Media_kg],tblPlant[Date],$A223)</f>
        <v/>
      </c>
      <c r="EF223" s="55">
        <f>IF($B223=$B222,$EF222,0)+$EE223</f>
        <v/>
      </c>
      <c r="EG223" s="55">
        <f>$EG222+$EE223</f>
        <v/>
      </c>
      <c r="EH223" s="55">
        <f>SUMIFS(tblPlant[Power_kWh],tblPlant[Date],$A223)</f>
        <v/>
      </c>
      <c r="EI223" s="55">
        <f>IF($B223=$B222,$EI222,0)+$EH223</f>
        <v/>
      </c>
      <c r="EJ223" s="55">
        <f>$EJ222+$EH223</f>
        <v/>
      </c>
      <c r="EK223" s="55">
        <f>SUMIFS(tblPlant[Raw_Water_m3],tblPlant[Date],$A223)</f>
        <v/>
      </c>
      <c r="EL223" s="55">
        <f>IF($B223=$B222,$EL222,0)+$EK223</f>
        <v/>
      </c>
      <c r="EM223" s="55">
        <f>$EM222+$EK223</f>
        <v/>
      </c>
      <c r="EN223" s="56">
        <f>IFERROR(IF(($BZ223)&gt;0,($DY223)/($BZ223),""),"")</f>
        <v/>
      </c>
      <c r="EO223" s="56">
        <f>IFERROR(IF(($CA223)&gt;0,($DZ223)/($CA223),""),"")</f>
        <v/>
      </c>
      <c r="EP223" s="56">
        <f>IFERROR(IF(($CB223)&gt;0,($EA223)/($CB223),""),"")</f>
        <v/>
      </c>
      <c r="EQ223" s="56">
        <f>IFERROR(IF(($BZ223)&gt;0,($EB223)/($BZ223),""),"")</f>
        <v/>
      </c>
      <c r="ER223" s="56">
        <f>IFERROR(IF(($CA223)&gt;0,($EC223)/($CA223),""),"")</f>
        <v/>
      </c>
      <c r="ES223" s="56">
        <f>IFERROR(IF(($CB223)&gt;0,($ED223)/($CB223),""),"")</f>
        <v/>
      </c>
      <c r="ET223" s="56">
        <f>IFERROR(IF(($BZ223)&gt;0,($EE223)/($BZ223),""),"")</f>
        <v/>
      </c>
      <c r="EU223" s="56">
        <f>IFERROR(IF(($CA223)&gt;0,($EF223)/($CA223),""),"")</f>
        <v/>
      </c>
      <c r="EV223" s="56">
        <f>IFERROR(IF(($CB223)&gt;0,($EG223)/($CB223),""),"")</f>
        <v/>
      </c>
      <c r="EW223" s="76">
        <f>IFERROR(IF(($BZ223)&gt;0,($EH223)/($BZ223),""),"")</f>
        <v/>
      </c>
      <c r="EX223" s="76">
        <f>IFERROR(IF(($CA223)&gt;0,($EI223)/($CA223),""),"")</f>
        <v/>
      </c>
      <c r="EY223" s="76">
        <f>IFERROR(IF(($CB223)&gt;0,($EJ223)/($CB223),""),"")</f>
        <v/>
      </c>
      <c r="EZ223" s="56">
        <f>IFERROR(IF(($BZ223)&gt;0,($EK223)/($BZ223),""),"")</f>
        <v/>
      </c>
      <c r="FA223" s="56">
        <f>IFERROR(IF(($CA223)&gt;0,($EL223)/($CA223),""),"")</f>
        <v/>
      </c>
      <c r="FB223" s="56">
        <f>IFERROR(IF(($CB223)&gt;0,($EM223)/($CB223),""),"")</f>
        <v/>
      </c>
      <c r="FC223" s="55">
        <f>IF(SUMIFS(tblPlant[GIC_oz],tblPlant[Date],$A223)&gt;0,SUMIFS(tblPlant[GIC_oz],tblPlant[Date],$A223),"")</f>
        <v/>
      </c>
      <c r="FD223" s="55">
        <f>SUMIFS(tblGold[Gold_oz],tblGold[Date],$A223,tblGold[Type],"Shipment")</f>
        <v/>
      </c>
      <c r="FE223" s="55">
        <f>IF($B223=$B222,$FE222,0)+$FD223</f>
        <v/>
      </c>
      <c r="FF223" s="55">
        <f>$FF222+$FD223</f>
        <v/>
      </c>
      <c r="FG223" s="55">
        <f>SUMIFS(tblGold[Gold_oz],tblGold[Date],$A223,tblGold[Type],"Sale")</f>
        <v/>
      </c>
      <c r="FH223" s="55">
        <f>IF($B223=$B222,$FH222,0)+$FG223</f>
        <v/>
      </c>
      <c r="FI223" s="55">
        <f>$FI222+$FG223</f>
        <v/>
      </c>
      <c r="FJ223" s="55">
        <f>SUMIFS(tblGold[Dore_kg],tblGold[Date],$A223,tblGold[Type],"Shipment")</f>
        <v/>
      </c>
      <c r="FK223" s="55">
        <f>IF($B223=$B222,$FK222,0)+$FJ223</f>
        <v/>
      </c>
      <c r="FL223" s="55">
        <f>$FL222+$FJ223</f>
        <v/>
      </c>
      <c r="FM223" s="57">
        <f>SUMIFS(tblSafety[Hours_Total],tblSafety[Date],$A223)</f>
        <v/>
      </c>
      <c r="FN223" s="57">
        <f>IF($B223=$B222,$FN222,0)+$FM223</f>
        <v/>
      </c>
      <c r="FO223" s="57">
        <f>$FO222+$FM223</f>
        <v/>
      </c>
      <c r="FP223" s="62">
        <f>SUMIFS(tblSafety[Fatality],tblSafety[Date],$A223)</f>
        <v/>
      </c>
      <c r="FQ223" s="62">
        <f>IF($B223=$B222,$FQ222,0)+$FP223</f>
        <v/>
      </c>
      <c r="FR223" s="62">
        <f>$FR222+$FP223</f>
        <v/>
      </c>
      <c r="FS223" s="62">
        <f>SUMIFS(tblSafety[LTI],tblSafety[Date],$A223)</f>
        <v/>
      </c>
      <c r="FT223" s="62">
        <f>IF($B223=$B222,$FT222,0)+$FS223</f>
        <v/>
      </c>
      <c r="FU223" s="62">
        <f>$FU222+$FS223</f>
        <v/>
      </c>
      <c r="FV223" s="62">
        <f>SUMIFS(tblSafety[RWI],tblSafety[Date],$A223)</f>
        <v/>
      </c>
      <c r="FW223" s="62">
        <f>IF($B223=$B222,$FW222,0)+$FV223</f>
        <v/>
      </c>
      <c r="FX223" s="62">
        <f>$FX222+$FV223</f>
        <v/>
      </c>
      <c r="FY223" s="62">
        <f>SUMIFS(tblSafety[MTI],tblSafety[Date],$A223)</f>
        <v/>
      </c>
      <c r="FZ223" s="62">
        <f>IF($B223=$B222,$FZ222,0)+$FY223</f>
        <v/>
      </c>
      <c r="GA223" s="62">
        <f>$GA222+$FY223</f>
        <v/>
      </c>
      <c r="GB223" s="62">
        <f>SUMIFS(tblSafety[FAI],tblSafety[Date],$A223)</f>
        <v/>
      </c>
      <c r="GC223" s="62">
        <f>IF($B223=$B222,$GC222,0)+$GB223</f>
        <v/>
      </c>
      <c r="GD223" s="62">
        <f>$GD222+$GB223</f>
        <v/>
      </c>
      <c r="GE223" s="62">
        <f>SUMIFS(tblSafety[Recordables],tblSafety[Date],$A223)</f>
        <v/>
      </c>
      <c r="GF223" s="62">
        <f>IF($B223=$B222,$GF222,0)+$GE223</f>
        <v/>
      </c>
      <c r="GG223" s="62">
        <f>$GG222+$GE223</f>
        <v/>
      </c>
      <c r="GH223" s="62">
        <f>SUMIFS(tblSafety[Near_Miss],tblSafety[Date],$A223)</f>
        <v/>
      </c>
      <c r="GI223" s="62">
        <f>IF($B223=$B222,$GI222,0)+$GH223</f>
        <v/>
      </c>
      <c r="GJ223" s="62">
        <f>$GJ222+$GH223</f>
        <v/>
      </c>
      <c r="GK223" s="62">
        <f>SUMIFS(tblSafety[Hazard_Reports],tblSafety[Date],$A223)</f>
        <v/>
      </c>
      <c r="GL223" s="62">
        <f>IF($B223=$B222,$GL222,0)+$GK223</f>
        <v/>
      </c>
      <c r="GM223" s="62">
        <f>$GM222+$GK223</f>
        <v/>
      </c>
      <c r="GN223" s="62">
        <f>SUMIFS(tblSafety[HPI],tblSafety[Date],$A223)</f>
        <v/>
      </c>
      <c r="GO223" s="62">
        <f>IF($B223=$B222,$GO222,0)+$GN223</f>
        <v/>
      </c>
      <c r="GP223" s="62">
        <f>$GP222+$GN223</f>
        <v/>
      </c>
      <c r="GQ223" s="62">
        <f>SUMIFS(tblSafety[Env_Incidents],tblSafety[Date],$A223)</f>
        <v/>
      </c>
      <c r="GR223" s="62">
        <f>IF($B223=$B222,$GR222,0)+$GQ223</f>
        <v/>
      </c>
      <c r="GS223" s="62">
        <f>$GS222+$GQ223</f>
        <v/>
      </c>
      <c r="GT223" s="62">
        <f>SUMIFS(tblSafety[Community_Incidents],tblSafety[Date],$A223)</f>
        <v/>
      </c>
      <c r="GU223" s="62">
        <f>IF($B223=$B222,$GU222,0)+$GT223</f>
        <v/>
      </c>
      <c r="GV223" s="62">
        <f>$GV222+$GT223</f>
        <v/>
      </c>
      <c r="GW223" s="62">
        <f>SUMIFS(tblSafety[Vehicle_Incidents],tblSafety[Date],$A223)</f>
        <v/>
      </c>
      <c r="GX223" s="62">
        <f>IF($B223=$B222,$GX222,0)+$GW223</f>
        <v/>
      </c>
      <c r="GY223" s="62">
        <f>$GY222+$GW223</f>
        <v/>
      </c>
      <c r="GZ223" s="62">
        <f>SUMIFS(tblSafety[Toolbox_Talks],tblSafety[Date],$A223)</f>
        <v/>
      </c>
      <c r="HA223" s="62">
        <f>IF($B223=$B222,$HA222,0)+$GZ223</f>
        <v/>
      </c>
      <c r="HB223" s="62">
        <f>$HB222+$GZ223</f>
        <v/>
      </c>
      <c r="HC223" s="62">
        <f>SUMIFS(tblSafety[Inspections],tblSafety[Date],$A223)</f>
        <v/>
      </c>
      <c r="HD223" s="62">
        <f>IF($B223=$B222,$HD222,0)+$HC223</f>
        <v/>
      </c>
      <c r="HE223" s="62">
        <f>$HE222+$HC223</f>
        <v/>
      </c>
      <c r="HF223" s="56">
        <f>IFERROR((SUMIFS(tblSafety[Recordables],tblSafety[Date],"&gt;="&amp;EDATE($E223,-12),tblSafety[Date],"&lt;="&amp;$A223)+SUMIFS(tblSafetyHistory[Recordables],tblSafetyHistory[Month],"&gt;="&amp;EDATE($E223,-12),tblSafetyHistory[Month],"&lt;"&amp;cfg_YearStart))/(SUMIFS(tblSafety[Hours_Total],tblSafety[Date],"&gt;="&amp;EDATE($E223,-12),tblSafety[Date],"&lt;="&amp;$A223)+SUMIFS(tblSafetyHistory[Hours_Total],tblSafetyHistory[Month],"&gt;="&amp;EDATE($E223,-12),tblSafetyHistory[Month],"&lt;"&amp;cfg_YearStart))*1000000,"")</f>
        <v/>
      </c>
      <c r="HG223" s="56">
        <f>IFERROR((SUMIFS(tblSafety[LTI],tblSafety[Date],"&gt;="&amp;EDATE($E223,-12),tblSafety[Date],"&lt;="&amp;$A223)+SUMIFS(tblSafetyHistory[LTI],tblSafetyHistory[Month],"&gt;="&amp;EDATE($E223,-12),tblSafetyHistory[Month],"&lt;"&amp;cfg_YearStart))/(SUMIFS(tblSafety[Hours_Total],tblSafety[Date],"&gt;="&amp;EDATE($E223,-12),tblSafety[Date],"&lt;="&amp;$A223)+SUMIFS(tblSafetyHistory[Hours_Total],tblSafetyHistory[Month],"&gt;="&amp;EDATE($E223,-12),tblSafetyHistory[Month],"&lt;"&amp;cfg_YearStart))*1000000,"")</f>
        <v/>
      </c>
      <c r="HH223" s="62">
        <f>IF(MAX(N(cfg_PriorLTIDate),_xlfn.MAXIFS(tblSafety[Date],tblSafety[LTI],"&gt;0",tblSafety[Date],"&lt;="&amp;$A223))=0,"",$A223-MAX(N(cfg_PriorLTIDate),_xlfn.MAXIFS(tblSafety[Date],tblSafety[LTI],"&gt;0",tblSafety[Date],"&lt;="&amp;$A223)))</f>
        <v/>
      </c>
      <c r="HI223" s="55">
        <f>SUMIFS(tblBudget[Ore_Mined_t],tblBudget[Month],$E223)</f>
        <v/>
      </c>
      <c r="HJ223" s="55">
        <f>$HI223*$C223/$D223</f>
        <v/>
      </c>
      <c r="HK223" s="55">
        <f>SUMIFS(tblBudget[Ore_Mined_t],tblBudget[Month],"&lt;"&amp;$E223)+$HJ223</f>
        <v/>
      </c>
      <c r="HL223" s="55">
        <f>SUMIFS(tblBudget[Ore_oz],tblBudget[Month],$E223)</f>
        <v/>
      </c>
      <c r="HM223" s="55">
        <f>$HL223*$C223/$D223</f>
        <v/>
      </c>
      <c r="HN223" s="55">
        <f>SUMIFS(tblBudget[Ore_oz],tblBudget[Month],"&lt;"&amp;$E223)+$HM223</f>
        <v/>
      </c>
      <c r="HO223" s="56">
        <f>IFERROR(IF(($HI223)&gt;0,($HL223*cfg_TroyOz)/($HI223),""),"")</f>
        <v/>
      </c>
      <c r="HP223" s="56">
        <f>IFERROR(IF(($HJ223)&gt;0,($HM223*cfg_TroyOz)/($HJ223),""),"")</f>
        <v/>
      </c>
      <c r="HQ223" s="56">
        <f>IFERROR(IF(($HK223)&gt;0,($HN223*cfg_TroyOz)/($HK223),""),"")</f>
        <v/>
      </c>
      <c r="HR223" s="55">
        <f>SUMIFS(tblBudget[Waste_t],tblBudget[Month],$E223)</f>
        <v/>
      </c>
      <c r="HS223" s="55">
        <f>$HR223*$C223/$D223</f>
        <v/>
      </c>
      <c r="HT223" s="55">
        <f>SUMIFS(tblBudget[Waste_t],tblBudget[Month],"&lt;"&amp;$E223)+$HS223</f>
        <v/>
      </c>
      <c r="HU223" s="55">
        <f>SUMIFS(tblBudget[TMM_t],tblBudget[Month],$E223)</f>
        <v/>
      </c>
      <c r="HV223" s="55">
        <f>$HU223*$C223/$D223</f>
        <v/>
      </c>
      <c r="HW223" s="55">
        <f>SUMIFS(tblBudget[TMM_t],tblBudget[Month],"&lt;"&amp;$E223)+$HV223</f>
        <v/>
      </c>
      <c r="HX223" s="56">
        <f>IFERROR(IF(($HI223)&gt;0,($HR223)/($HI223),""),"")</f>
        <v/>
      </c>
      <c r="HY223" s="56">
        <f>IFERROR(IF(($HJ223)&gt;0,($HS223)/($HJ223),""),"")</f>
        <v/>
      </c>
      <c r="HZ223" s="56">
        <f>IFERROR(IF(($HK223)&gt;0,($HT223)/($HK223),""),"")</f>
        <v/>
      </c>
      <c r="IA223" s="55">
        <f>SUMIFS(tblBudget[Drill_m],tblBudget[Month],$E223)</f>
        <v/>
      </c>
      <c r="IB223" s="55">
        <f>$IA223*$C223/$D223</f>
        <v/>
      </c>
      <c r="IC223" s="55">
        <f>SUMIFS(tblBudget[Drill_m],tblBudget[Month],"&lt;"&amp;$E223)+$IB223</f>
        <v/>
      </c>
      <c r="ID223" s="55">
        <f>SUMIFS(tblBudget[Diesel_L],tblBudget[Month],$E223)</f>
        <v/>
      </c>
      <c r="IE223" s="55">
        <f>$ID223*$C223/$D223</f>
        <v/>
      </c>
      <c r="IF223" s="55">
        <f>SUMIFS(tblBudget[Diesel_L],tblBudget[Month],"&lt;"&amp;$E223)+$IE223</f>
        <v/>
      </c>
      <c r="IG223" s="55">
        <f>SUMIFS(tblBudget[Milled_t],tblBudget[Month],$E223)</f>
        <v/>
      </c>
      <c r="IH223" s="55">
        <f>$IG223*$C223/$D223</f>
        <v/>
      </c>
      <c r="II223" s="55">
        <f>SUMIFS(tblBudget[Milled_t],tblBudget[Month],"&lt;"&amp;$E223)+$IH223</f>
        <v/>
      </c>
      <c r="IJ223" s="55">
        <f>SUMIFS(tblBudget[Feed_oz],tblBudget[Month],$E223)</f>
        <v/>
      </c>
      <c r="IK223" s="55">
        <f>$IJ223*$C223/$D223</f>
        <v/>
      </c>
      <c r="IL223" s="55">
        <f>SUMIFS(tblBudget[Feed_oz],tblBudget[Month],"&lt;"&amp;$E223)+$IK223</f>
        <v/>
      </c>
      <c r="IM223" s="55">
        <f>SUMIFS(tblBudget[Recovered_oz],tblBudget[Month],$E223)</f>
        <v/>
      </c>
      <c r="IN223" s="55">
        <f>$IM223*$C223/$D223</f>
        <v/>
      </c>
      <c r="IO223" s="55">
        <f>SUMIFS(tblBudget[Recovered_oz],tblBudget[Month],"&lt;"&amp;$E223)+$IN223</f>
        <v/>
      </c>
      <c r="IP223" s="56">
        <f>IFERROR(IF(($IG223)&gt;0,($IJ223*cfg_TroyOz)/($IG223),""),"")</f>
        <v/>
      </c>
      <c r="IQ223" s="56">
        <f>IFERROR(IF(($IH223)&gt;0,($IK223*cfg_TroyOz)/($IH223),""),"")</f>
        <v/>
      </c>
      <c r="IR223" s="56">
        <f>IFERROR(IF(($II223)&gt;0,($IL223*cfg_TroyOz)/($II223),""),"")</f>
        <v/>
      </c>
      <c r="IS223" s="67">
        <f>IFERROR(IF(($IJ223)&gt;0,($IM223)/($IJ223),""),"")</f>
        <v/>
      </c>
      <c r="IT223" s="67">
        <f>IFERROR(IF(($IK223)&gt;0,($IN223)/($IK223),""),"")</f>
        <v/>
      </c>
      <c r="IU223" s="67">
        <f>IFERROR(IF(($IL223)&gt;0,($IO223)/($IL223),""),"")</f>
        <v/>
      </c>
      <c r="IV223" s="55">
        <f>SUMIFS(tblBudget[Gold_Poured_oz],tblBudget[Month],$E223)</f>
        <v/>
      </c>
      <c r="IW223" s="55">
        <f>$IV223*$C223/$D223</f>
        <v/>
      </c>
      <c r="IX223" s="55">
        <f>SUMIFS(tblBudget[Gold_Poured_oz],tblBudget[Month],"&lt;"&amp;$E223)+$IW223</f>
        <v/>
      </c>
      <c r="IY223" s="57">
        <f>SUMIFS(tblBudget[Hours_Worked],tblBudget[Month],$E223)</f>
        <v/>
      </c>
      <c r="IZ223" s="57">
        <f>$IY223*$C223/$D223</f>
        <v/>
      </c>
      <c r="JA223" s="57">
        <f>SUMIFS(tblBudget[Hours_Worked],tblBudget[Month],"&lt;"&amp;$E223)+$IZ223</f>
        <v/>
      </c>
    </row>
    <row r="224">
      <c r="A224" s="54" t="n">
        <v>46245</v>
      </c>
      <c r="B224">
        <f>MONTH($A224)</f>
        <v/>
      </c>
      <c r="C224">
        <f>DAY($A224)</f>
        <v/>
      </c>
      <c r="D224">
        <f>DAY(EOMONTH($A224,0))</f>
        <v/>
      </c>
      <c r="E224" s="54">
        <f>DATE(YEAR($A224),MONTH($A224),1)</f>
        <v/>
      </c>
      <c r="F224" s="55">
        <f>SUMIFS(tblMovement[Tonnes_t],tblMovement[Date],$A224,tblMovement[Is_Ore],1,tblMovement[Source_Type],"Pit")</f>
        <v/>
      </c>
      <c r="G224" s="55">
        <f>IF($B224=$B223,$G223,0)+$F224</f>
        <v/>
      </c>
      <c r="H224" s="55">
        <f>$H223+$F224</f>
        <v/>
      </c>
      <c r="I224" s="55">
        <f>SUMIFS(tblMovement[Ore_oz],tblMovement[Date],$A224,tblMovement[Source_Type],"Pit")</f>
        <v/>
      </c>
      <c r="J224" s="55">
        <f>IF($B224=$B223,$J223,0)+$I224</f>
        <v/>
      </c>
      <c r="K224" s="55">
        <f>$K223+$I224</f>
        <v/>
      </c>
      <c r="L224" s="56">
        <f>IFERROR(IF(($F224)&gt;0,($I224*cfg_TroyOz)/($F224),""),"")</f>
        <v/>
      </c>
      <c r="M224" s="56">
        <f>IFERROR(IF(($G224)&gt;0,($J224*cfg_TroyOz)/($G224),""),"")</f>
        <v/>
      </c>
      <c r="N224" s="56">
        <f>IFERROR(IF(($H224)&gt;0,($K224*cfg_TroyOz)/($H224),""),"")</f>
        <v/>
      </c>
      <c r="O224" s="55">
        <f>SUMIFS(tblMovement[Tonnes_t],tblMovement[Date],$A224,tblMovement[Is_Ore],0,tblMovement[Source_Type],"Pit")</f>
        <v/>
      </c>
      <c r="P224" s="55">
        <f>IF($B224=$B223,$P223,0)+$O224</f>
        <v/>
      </c>
      <c r="Q224" s="55">
        <f>$Q223+$O224</f>
        <v/>
      </c>
      <c r="R224" s="55">
        <f>$F224+$O224</f>
        <v/>
      </c>
      <c r="S224" s="55">
        <f>IF($B224=$B223,$S223,0)+$R224</f>
        <v/>
      </c>
      <c r="T224" s="55">
        <f>$T223+$R224</f>
        <v/>
      </c>
      <c r="U224" s="56">
        <f>IFERROR(IF(($F224)&gt;0,($O224)/($F224),""),"")</f>
        <v/>
      </c>
      <c r="V224" s="56">
        <f>IFERROR(IF(($G224)&gt;0,($P224)/($G224),""),"")</f>
        <v/>
      </c>
      <c r="W224" s="56">
        <f>IFERROR(IF(($H224)&gt;0,($Q224)/($H224),""),"")</f>
        <v/>
      </c>
      <c r="X224" s="55">
        <f>SUMIFS(tblMovement[Tonnes_t],tblMovement[Date],$A224,tblMovement[Source_Type],"Stockpile")</f>
        <v/>
      </c>
      <c r="Y224" s="55">
        <f>IF($B224=$B223,$Y223,0)+$X224</f>
        <v/>
      </c>
      <c r="Z224" s="55">
        <f>$Z223+$X224</f>
        <v/>
      </c>
      <c r="AA224" s="55">
        <f>SUMIFS(tblMiningDaily[Drill_m],tblMiningDaily[Date],$A224)</f>
        <v/>
      </c>
      <c r="AB224" s="55">
        <f>IF($B224=$B223,$AB223,0)+$AA224</f>
        <v/>
      </c>
      <c r="AC224" s="55">
        <f>$AC223+$AA224</f>
        <v/>
      </c>
      <c r="AD224" s="55">
        <f>SUMIFS(tblMiningDaily[Blast_t],tblMiningDaily[Date],$A224)</f>
        <v/>
      </c>
      <c r="AE224" s="55">
        <f>IF($B224=$B223,$AE223,0)+$AD224</f>
        <v/>
      </c>
      <c r="AF224" s="55">
        <f>$AF223+$AD224</f>
        <v/>
      </c>
      <c r="AG224" s="55">
        <f>SUMIFS(tblMiningDaily[Explosives_kg],tblMiningDaily[Date],$A224)</f>
        <v/>
      </c>
      <c r="AH224" s="55">
        <f>IF($B224=$B223,$AH223,0)+$AG224</f>
        <v/>
      </c>
      <c r="AI224" s="55">
        <f>$AI223+$AG224</f>
        <v/>
      </c>
      <c r="AJ224" s="56">
        <f>IFERROR(IF(($AD224)&gt;0,($AG224)/($AD224),""),"")</f>
        <v/>
      </c>
      <c r="AK224" s="56">
        <f>IFERROR(IF(($AE224)&gt;0,($AH224)/($AE224),""),"")</f>
        <v/>
      </c>
      <c r="AL224" s="56">
        <f>IFERROR(IF(($AF224)&gt;0,($AI224)/($AF224),""),"")</f>
        <v/>
      </c>
      <c r="AM224" s="55">
        <f>SUMIFS(tblMiningDaily[Diesel_L],tblMiningDaily[Date],$A224)</f>
        <v/>
      </c>
      <c r="AN224" s="55">
        <f>IF($B224=$B223,$AN223,0)+$AM224</f>
        <v/>
      </c>
      <c r="AO224" s="55">
        <f>$AO223+$AM224</f>
        <v/>
      </c>
      <c r="AP224" s="55">
        <f>SUMIFS(tblMiningDaily[Dewatering_m3],tblMiningDaily[Date],$A224)</f>
        <v/>
      </c>
      <c r="AQ224" s="55">
        <f>IF($B224=$B223,$AQ223,0)+$AP224</f>
        <v/>
      </c>
      <c r="AR224" s="55">
        <f>$AR223+$AP224</f>
        <v/>
      </c>
      <c r="AS224" s="57">
        <f>SUMIFS(tblFleet[Calendar_h],tblFleet[Date],$A224,tblFleet[Equipment_Class],"Excavator")</f>
        <v/>
      </c>
      <c r="AT224" s="57">
        <f>IF($B224=$B223,$AT223,0)+$AS224</f>
        <v/>
      </c>
      <c r="AU224" s="57">
        <f>$AU223+$AS224</f>
        <v/>
      </c>
      <c r="AV224" s="57">
        <f>SUMIFS(tblFleet[Available_h],tblFleet[Date],$A224,tblFleet[Equipment_Class],"Excavator")</f>
        <v/>
      </c>
      <c r="AW224" s="57">
        <f>IF($B224=$B223,$AW223,0)+$AV224</f>
        <v/>
      </c>
      <c r="AX224" s="57">
        <f>$AX223+$AV224</f>
        <v/>
      </c>
      <c r="AY224" s="57">
        <f>SUMIFS(tblFleet[Operating_h],tblFleet[Date],$A224,tblFleet[Equipment_Class],"Excavator")</f>
        <v/>
      </c>
      <c r="AZ224" s="57">
        <f>IF($B224=$B223,$AZ223,0)+$AY224</f>
        <v/>
      </c>
      <c r="BA224" s="57">
        <f>$BA223+$AY224</f>
        <v/>
      </c>
      <c r="BB224" s="67">
        <f>IFERROR(IF(($AS224)&gt;0,($AV224)/($AS224),""),"")</f>
        <v/>
      </c>
      <c r="BC224" s="67">
        <f>IFERROR(IF(($AT224)&gt;0,($AW224)/($AT224),""),"")</f>
        <v/>
      </c>
      <c r="BD224" s="67">
        <f>IFERROR(IF(($AU224)&gt;0,($AX224)/($AU224),""),"")</f>
        <v/>
      </c>
      <c r="BE224" s="67">
        <f>IFERROR(IF(($AV224)&gt;0,($AY224)/($AV224),""),"")</f>
        <v/>
      </c>
      <c r="BF224" s="67">
        <f>IFERROR(IF(($AW224)&gt;0,($AZ224)/($AW224),""),"")</f>
        <v/>
      </c>
      <c r="BG224" s="67">
        <f>IFERROR(IF(($AX224)&gt;0,($BA224)/($AX224),""),"")</f>
        <v/>
      </c>
      <c r="BH224" s="57">
        <f>SUMIFS(tblFleet[Calendar_h],tblFleet[Date],$A224,tblFleet[Equipment_Class],"Haul Truck")</f>
        <v/>
      </c>
      <c r="BI224" s="57">
        <f>IF($B224=$B223,$BI223,0)+$BH224</f>
        <v/>
      </c>
      <c r="BJ224" s="57">
        <f>$BJ223+$BH224</f>
        <v/>
      </c>
      <c r="BK224" s="57">
        <f>SUMIFS(tblFleet[Available_h],tblFleet[Date],$A224,tblFleet[Equipment_Class],"Haul Truck")</f>
        <v/>
      </c>
      <c r="BL224" s="57">
        <f>IF($B224=$B223,$BL223,0)+$BK224</f>
        <v/>
      </c>
      <c r="BM224" s="57">
        <f>$BM223+$BK224</f>
        <v/>
      </c>
      <c r="BN224" s="57">
        <f>SUMIFS(tblFleet[Operating_h],tblFleet[Date],$A224,tblFleet[Equipment_Class],"Haul Truck")</f>
        <v/>
      </c>
      <c r="BO224" s="57">
        <f>IF($B224=$B223,$BO223,0)+$BN224</f>
        <v/>
      </c>
      <c r="BP224" s="57">
        <f>$BP223+$BN224</f>
        <v/>
      </c>
      <c r="BQ224" s="67">
        <f>IFERROR(IF(($BH224)&gt;0,($BK224)/($BH224),""),"")</f>
        <v/>
      </c>
      <c r="BR224" s="67">
        <f>IFERROR(IF(($BI224)&gt;0,($BL224)/($BI224),""),"")</f>
        <v/>
      </c>
      <c r="BS224" s="67">
        <f>IFERROR(IF(($BJ224)&gt;0,($BM224)/($BJ224),""),"")</f>
        <v/>
      </c>
      <c r="BT224" s="67">
        <f>IFERROR(IF(($BK224)&gt;0,($BN224)/($BK224),""),"")</f>
        <v/>
      </c>
      <c r="BU224" s="67">
        <f>IFERROR(IF(($BL224)&gt;0,($BO224)/($BL224),""),"")</f>
        <v/>
      </c>
      <c r="BV224" s="67">
        <f>IFERROR(IF(($BM224)&gt;0,($BP224)/($BM224),""),"")</f>
        <v/>
      </c>
      <c r="BW224" s="55">
        <f>SUMIFS(tblPlant[Crushed_t],tblPlant[Date],$A224)</f>
        <v/>
      </c>
      <c r="BX224" s="55">
        <f>IF($B224=$B223,$BX223,0)+$BW224</f>
        <v/>
      </c>
      <c r="BY224" s="55">
        <f>$BY223+$BW224</f>
        <v/>
      </c>
      <c r="BZ224" s="55">
        <f>SUMIFS(tblPlant[Milled_t],tblPlant[Date],$A224)</f>
        <v/>
      </c>
      <c r="CA224" s="55">
        <f>IF($B224=$B223,$CA223,0)+$BZ224</f>
        <v/>
      </c>
      <c r="CB224" s="55">
        <f>$CB223+$BZ224</f>
        <v/>
      </c>
      <c r="CC224" s="55">
        <f>SUMIFS(tblPlant[Feed_oz],tblPlant[Date],$A224)</f>
        <v/>
      </c>
      <c r="CD224" s="55">
        <f>IF($B224=$B223,$CD223,0)+$CC224</f>
        <v/>
      </c>
      <c r="CE224" s="55">
        <f>$CE223+$CC224</f>
        <v/>
      </c>
      <c r="CF224" s="55">
        <f>SUMIFS(tblPlant[Tails_oz],tblPlant[Date],$A224)</f>
        <v/>
      </c>
      <c r="CG224" s="55">
        <f>IF($B224=$B223,$CG223,0)+$CF224</f>
        <v/>
      </c>
      <c r="CH224" s="55">
        <f>$CH223+$CF224</f>
        <v/>
      </c>
      <c r="CI224" s="55">
        <f>SUMIFS(tblPlant[Recovered_oz],tblPlant[Date],$A224)</f>
        <v/>
      </c>
      <c r="CJ224" s="55">
        <f>IF($B224=$B223,$CJ223,0)+$CI224</f>
        <v/>
      </c>
      <c r="CK224" s="55">
        <f>$CK223+$CI224</f>
        <v/>
      </c>
      <c r="CL224" s="56">
        <f>IFERROR(IF(($BZ224)&gt;0,($CC224*cfg_TroyOz)/($BZ224),""),"")</f>
        <v/>
      </c>
      <c r="CM224" s="56">
        <f>IFERROR(IF(($CA224)&gt;0,($CD224*cfg_TroyOz)/($CA224),""),"")</f>
        <v/>
      </c>
      <c r="CN224" s="56">
        <f>IFERROR(IF(($CB224)&gt;0,($CE224*cfg_TroyOz)/($CB224),""),"")</f>
        <v/>
      </c>
      <c r="CO224" s="56">
        <f>IFERROR(IF(($BZ224)&gt;0,($CF224*cfg_TroyOz)/($BZ224),""),"")</f>
        <v/>
      </c>
      <c r="CP224" s="56">
        <f>IFERROR(IF(($CA224)&gt;0,($CG224*cfg_TroyOz)/($CA224),""),"")</f>
        <v/>
      </c>
      <c r="CQ224" s="56">
        <f>IFERROR(IF(($CB224)&gt;0,($CH224*cfg_TroyOz)/($CB224),""),"")</f>
        <v/>
      </c>
      <c r="CR224" s="67">
        <f>IFERROR(IF(($CC224)&gt;0,($CI224)/($CC224),""),"")</f>
        <v/>
      </c>
      <c r="CS224" s="67">
        <f>IFERROR(IF(($CD224)&gt;0,($CJ224)/($CD224),""),"")</f>
        <v/>
      </c>
      <c r="CT224" s="67">
        <f>IFERROR(IF(($CE224)&gt;0,($CK224)/($CE224),""),"")</f>
        <v/>
      </c>
      <c r="CU224" s="55">
        <f>SUMIFS(tblPlant[Gravity_Gold_oz],tblPlant[Date],$A224)</f>
        <v/>
      </c>
      <c r="CV224" s="55">
        <f>IF($B224=$B223,$CV223,0)+$CU224</f>
        <v/>
      </c>
      <c r="CW224" s="55">
        <f>$CW223+$CU224</f>
        <v/>
      </c>
      <c r="CX224" s="55">
        <f>SUMIFS(tblPlant[Gold_Poured_oz],tblPlant[Date],$A224)</f>
        <v/>
      </c>
      <c r="CY224" s="55">
        <f>IF($B224=$B223,$CY223,0)+$CX224</f>
        <v/>
      </c>
      <c r="CZ224" s="55">
        <f>$CZ223+$CX224</f>
        <v/>
      </c>
      <c r="DA224" s="57">
        <f>SUMIFS(tblPlant[Mill_Run_h],tblPlant[Date],$A224)</f>
        <v/>
      </c>
      <c r="DB224" s="57">
        <f>IF($B224=$B223,$DB223,0)+$DA224</f>
        <v/>
      </c>
      <c r="DC224" s="57">
        <f>$DC223+$DA224</f>
        <v/>
      </c>
      <c r="DD224" s="57">
        <f>SUMIFS(tblPlant[Mill_Planned_Maint_h],tblPlant[Date],$A224)</f>
        <v/>
      </c>
      <c r="DE224" s="57">
        <f>IF($B224=$B223,$DE223,0)+$DD224</f>
        <v/>
      </c>
      <c r="DF224" s="57">
        <f>$DF223+$DD224</f>
        <v/>
      </c>
      <c r="DG224" s="57">
        <f>SUMIFS(tblPlant[Mill_Unplanned_Down_h],tblPlant[Date],$A224)</f>
        <v/>
      </c>
      <c r="DH224" s="57">
        <f>IF($B224=$B223,$DH223,0)+$DG224</f>
        <v/>
      </c>
      <c r="DI224" s="57">
        <f>$DI223+$DG224</f>
        <v/>
      </c>
      <c r="DJ224" s="57">
        <f>COUNTIFS(tblPlant[Date],$A224,tblPlant[Mill_Run_h],"&lt;&gt;")*24</f>
        <v/>
      </c>
      <c r="DK224" s="57">
        <f>IF($B224=$B223,$DK223,0)+$DJ224</f>
        <v/>
      </c>
      <c r="DL224" s="57">
        <f>$DL223+$DJ224</f>
        <v/>
      </c>
      <c r="DM224" s="57">
        <f>SUMIFS(tblPlant[Crusher_Run_h],tblPlant[Date],$A224)</f>
        <v/>
      </c>
      <c r="DN224" s="57">
        <f>IF($B224=$B223,$DN223,0)+$DM224</f>
        <v/>
      </c>
      <c r="DO224" s="57">
        <f>$DO223+$DM224</f>
        <v/>
      </c>
      <c r="DP224" s="55">
        <f>IFERROR(IF(($DA224)&gt;0,($BZ224)/($DA224),""),"")</f>
        <v/>
      </c>
      <c r="DQ224" s="55">
        <f>IFERROR(IF(($DB224)&gt;0,($CA224)/($DB224),""),"")</f>
        <v/>
      </c>
      <c r="DR224" s="55">
        <f>IFERROR(IF(($DC224)&gt;0,($CB224)/($DC224),""),"")</f>
        <v/>
      </c>
      <c r="DS224" s="67">
        <f>IFERROR(IF(($DJ224)&gt;0,($DJ224-$DD224-$DG224)/($DJ224),""),"")</f>
        <v/>
      </c>
      <c r="DT224" s="67">
        <f>IFERROR(IF(($DK224)&gt;0,($DK224-$DE224-$DH224)/($DK224),""),"")</f>
        <v/>
      </c>
      <c r="DU224" s="67">
        <f>IFERROR(IF(($DL224)&gt;0,($DL224-$DF224-$DI224)/($DL224),""),"")</f>
        <v/>
      </c>
      <c r="DV224" s="67">
        <f>IFERROR(IF(($DJ224-$DD224-$DG224)&gt;0,($DA224)/($DJ224-$DD224-$DG224),""),"")</f>
        <v/>
      </c>
      <c r="DW224" s="67">
        <f>IFERROR(IF(($DK224-$DE224-$DH224)&gt;0,($DB224)/($DK224-$DE224-$DH224),""),"")</f>
        <v/>
      </c>
      <c r="DX224" s="67">
        <f>IFERROR(IF(($DL224-$DF224-$DI224)&gt;0,($DC224)/($DL224-$DF224-$DI224),""),"")</f>
        <v/>
      </c>
      <c r="DY224" s="55">
        <f>SUMIFS(tblPlant[Cyanide_kg],tblPlant[Date],$A224)</f>
        <v/>
      </c>
      <c r="DZ224" s="55">
        <f>IF($B224=$B223,$DZ223,0)+$DY224</f>
        <v/>
      </c>
      <c r="EA224" s="55">
        <f>$EA223+$DY224</f>
        <v/>
      </c>
      <c r="EB224" s="55">
        <f>SUMIFS(tblPlant[Lime_kg],tblPlant[Date],$A224)</f>
        <v/>
      </c>
      <c r="EC224" s="55">
        <f>IF($B224=$B223,$EC223,0)+$EB224</f>
        <v/>
      </c>
      <c r="ED224" s="55">
        <f>$ED223+$EB224</f>
        <v/>
      </c>
      <c r="EE224" s="55">
        <f>SUMIFS(tblPlant[Grinding_Media_kg],tblPlant[Date],$A224)</f>
        <v/>
      </c>
      <c r="EF224" s="55">
        <f>IF($B224=$B223,$EF223,0)+$EE224</f>
        <v/>
      </c>
      <c r="EG224" s="55">
        <f>$EG223+$EE224</f>
        <v/>
      </c>
      <c r="EH224" s="55">
        <f>SUMIFS(tblPlant[Power_kWh],tblPlant[Date],$A224)</f>
        <v/>
      </c>
      <c r="EI224" s="55">
        <f>IF($B224=$B223,$EI223,0)+$EH224</f>
        <v/>
      </c>
      <c r="EJ224" s="55">
        <f>$EJ223+$EH224</f>
        <v/>
      </c>
      <c r="EK224" s="55">
        <f>SUMIFS(tblPlant[Raw_Water_m3],tblPlant[Date],$A224)</f>
        <v/>
      </c>
      <c r="EL224" s="55">
        <f>IF($B224=$B223,$EL223,0)+$EK224</f>
        <v/>
      </c>
      <c r="EM224" s="55">
        <f>$EM223+$EK224</f>
        <v/>
      </c>
      <c r="EN224" s="56">
        <f>IFERROR(IF(($BZ224)&gt;0,($DY224)/($BZ224),""),"")</f>
        <v/>
      </c>
      <c r="EO224" s="56">
        <f>IFERROR(IF(($CA224)&gt;0,($DZ224)/($CA224),""),"")</f>
        <v/>
      </c>
      <c r="EP224" s="56">
        <f>IFERROR(IF(($CB224)&gt;0,($EA224)/($CB224),""),"")</f>
        <v/>
      </c>
      <c r="EQ224" s="56">
        <f>IFERROR(IF(($BZ224)&gt;0,($EB224)/($BZ224),""),"")</f>
        <v/>
      </c>
      <c r="ER224" s="56">
        <f>IFERROR(IF(($CA224)&gt;0,($EC224)/($CA224),""),"")</f>
        <v/>
      </c>
      <c r="ES224" s="56">
        <f>IFERROR(IF(($CB224)&gt;0,($ED224)/($CB224),""),"")</f>
        <v/>
      </c>
      <c r="ET224" s="56">
        <f>IFERROR(IF(($BZ224)&gt;0,($EE224)/($BZ224),""),"")</f>
        <v/>
      </c>
      <c r="EU224" s="56">
        <f>IFERROR(IF(($CA224)&gt;0,($EF224)/($CA224),""),"")</f>
        <v/>
      </c>
      <c r="EV224" s="56">
        <f>IFERROR(IF(($CB224)&gt;0,($EG224)/($CB224),""),"")</f>
        <v/>
      </c>
      <c r="EW224" s="76">
        <f>IFERROR(IF(($BZ224)&gt;0,($EH224)/($BZ224),""),"")</f>
        <v/>
      </c>
      <c r="EX224" s="76">
        <f>IFERROR(IF(($CA224)&gt;0,($EI224)/($CA224),""),"")</f>
        <v/>
      </c>
      <c r="EY224" s="76">
        <f>IFERROR(IF(($CB224)&gt;0,($EJ224)/($CB224),""),"")</f>
        <v/>
      </c>
      <c r="EZ224" s="56">
        <f>IFERROR(IF(($BZ224)&gt;0,($EK224)/($BZ224),""),"")</f>
        <v/>
      </c>
      <c r="FA224" s="56">
        <f>IFERROR(IF(($CA224)&gt;0,($EL224)/($CA224),""),"")</f>
        <v/>
      </c>
      <c r="FB224" s="56">
        <f>IFERROR(IF(($CB224)&gt;0,($EM224)/($CB224),""),"")</f>
        <v/>
      </c>
      <c r="FC224" s="55">
        <f>IF(SUMIFS(tblPlant[GIC_oz],tblPlant[Date],$A224)&gt;0,SUMIFS(tblPlant[GIC_oz],tblPlant[Date],$A224),"")</f>
        <v/>
      </c>
      <c r="FD224" s="55">
        <f>SUMIFS(tblGold[Gold_oz],tblGold[Date],$A224,tblGold[Type],"Shipment")</f>
        <v/>
      </c>
      <c r="FE224" s="55">
        <f>IF($B224=$B223,$FE223,0)+$FD224</f>
        <v/>
      </c>
      <c r="FF224" s="55">
        <f>$FF223+$FD224</f>
        <v/>
      </c>
      <c r="FG224" s="55">
        <f>SUMIFS(tblGold[Gold_oz],tblGold[Date],$A224,tblGold[Type],"Sale")</f>
        <v/>
      </c>
      <c r="FH224" s="55">
        <f>IF($B224=$B223,$FH223,0)+$FG224</f>
        <v/>
      </c>
      <c r="FI224" s="55">
        <f>$FI223+$FG224</f>
        <v/>
      </c>
      <c r="FJ224" s="55">
        <f>SUMIFS(tblGold[Dore_kg],tblGold[Date],$A224,tblGold[Type],"Shipment")</f>
        <v/>
      </c>
      <c r="FK224" s="55">
        <f>IF($B224=$B223,$FK223,0)+$FJ224</f>
        <v/>
      </c>
      <c r="FL224" s="55">
        <f>$FL223+$FJ224</f>
        <v/>
      </c>
      <c r="FM224" s="57">
        <f>SUMIFS(tblSafety[Hours_Total],tblSafety[Date],$A224)</f>
        <v/>
      </c>
      <c r="FN224" s="57">
        <f>IF($B224=$B223,$FN223,0)+$FM224</f>
        <v/>
      </c>
      <c r="FO224" s="57">
        <f>$FO223+$FM224</f>
        <v/>
      </c>
      <c r="FP224" s="62">
        <f>SUMIFS(tblSafety[Fatality],tblSafety[Date],$A224)</f>
        <v/>
      </c>
      <c r="FQ224" s="62">
        <f>IF($B224=$B223,$FQ223,0)+$FP224</f>
        <v/>
      </c>
      <c r="FR224" s="62">
        <f>$FR223+$FP224</f>
        <v/>
      </c>
      <c r="FS224" s="62">
        <f>SUMIFS(tblSafety[LTI],tblSafety[Date],$A224)</f>
        <v/>
      </c>
      <c r="FT224" s="62">
        <f>IF($B224=$B223,$FT223,0)+$FS224</f>
        <v/>
      </c>
      <c r="FU224" s="62">
        <f>$FU223+$FS224</f>
        <v/>
      </c>
      <c r="FV224" s="62">
        <f>SUMIFS(tblSafety[RWI],tblSafety[Date],$A224)</f>
        <v/>
      </c>
      <c r="FW224" s="62">
        <f>IF($B224=$B223,$FW223,0)+$FV224</f>
        <v/>
      </c>
      <c r="FX224" s="62">
        <f>$FX223+$FV224</f>
        <v/>
      </c>
      <c r="FY224" s="62">
        <f>SUMIFS(tblSafety[MTI],tblSafety[Date],$A224)</f>
        <v/>
      </c>
      <c r="FZ224" s="62">
        <f>IF($B224=$B223,$FZ223,0)+$FY224</f>
        <v/>
      </c>
      <c r="GA224" s="62">
        <f>$GA223+$FY224</f>
        <v/>
      </c>
      <c r="GB224" s="62">
        <f>SUMIFS(tblSafety[FAI],tblSafety[Date],$A224)</f>
        <v/>
      </c>
      <c r="GC224" s="62">
        <f>IF($B224=$B223,$GC223,0)+$GB224</f>
        <v/>
      </c>
      <c r="GD224" s="62">
        <f>$GD223+$GB224</f>
        <v/>
      </c>
      <c r="GE224" s="62">
        <f>SUMIFS(tblSafety[Recordables],tblSafety[Date],$A224)</f>
        <v/>
      </c>
      <c r="GF224" s="62">
        <f>IF($B224=$B223,$GF223,0)+$GE224</f>
        <v/>
      </c>
      <c r="GG224" s="62">
        <f>$GG223+$GE224</f>
        <v/>
      </c>
      <c r="GH224" s="62">
        <f>SUMIFS(tblSafety[Near_Miss],tblSafety[Date],$A224)</f>
        <v/>
      </c>
      <c r="GI224" s="62">
        <f>IF($B224=$B223,$GI223,0)+$GH224</f>
        <v/>
      </c>
      <c r="GJ224" s="62">
        <f>$GJ223+$GH224</f>
        <v/>
      </c>
      <c r="GK224" s="62">
        <f>SUMIFS(tblSafety[Hazard_Reports],tblSafety[Date],$A224)</f>
        <v/>
      </c>
      <c r="GL224" s="62">
        <f>IF($B224=$B223,$GL223,0)+$GK224</f>
        <v/>
      </c>
      <c r="GM224" s="62">
        <f>$GM223+$GK224</f>
        <v/>
      </c>
      <c r="GN224" s="62">
        <f>SUMIFS(tblSafety[HPI],tblSafety[Date],$A224)</f>
        <v/>
      </c>
      <c r="GO224" s="62">
        <f>IF($B224=$B223,$GO223,0)+$GN224</f>
        <v/>
      </c>
      <c r="GP224" s="62">
        <f>$GP223+$GN224</f>
        <v/>
      </c>
      <c r="GQ224" s="62">
        <f>SUMIFS(tblSafety[Env_Incidents],tblSafety[Date],$A224)</f>
        <v/>
      </c>
      <c r="GR224" s="62">
        <f>IF($B224=$B223,$GR223,0)+$GQ224</f>
        <v/>
      </c>
      <c r="GS224" s="62">
        <f>$GS223+$GQ224</f>
        <v/>
      </c>
      <c r="GT224" s="62">
        <f>SUMIFS(tblSafety[Community_Incidents],tblSafety[Date],$A224)</f>
        <v/>
      </c>
      <c r="GU224" s="62">
        <f>IF($B224=$B223,$GU223,0)+$GT224</f>
        <v/>
      </c>
      <c r="GV224" s="62">
        <f>$GV223+$GT224</f>
        <v/>
      </c>
      <c r="GW224" s="62">
        <f>SUMIFS(tblSafety[Vehicle_Incidents],tblSafety[Date],$A224)</f>
        <v/>
      </c>
      <c r="GX224" s="62">
        <f>IF($B224=$B223,$GX223,0)+$GW224</f>
        <v/>
      </c>
      <c r="GY224" s="62">
        <f>$GY223+$GW224</f>
        <v/>
      </c>
      <c r="GZ224" s="62">
        <f>SUMIFS(tblSafety[Toolbox_Talks],tblSafety[Date],$A224)</f>
        <v/>
      </c>
      <c r="HA224" s="62">
        <f>IF($B224=$B223,$HA223,0)+$GZ224</f>
        <v/>
      </c>
      <c r="HB224" s="62">
        <f>$HB223+$GZ224</f>
        <v/>
      </c>
      <c r="HC224" s="62">
        <f>SUMIFS(tblSafety[Inspections],tblSafety[Date],$A224)</f>
        <v/>
      </c>
      <c r="HD224" s="62">
        <f>IF($B224=$B223,$HD223,0)+$HC224</f>
        <v/>
      </c>
      <c r="HE224" s="62">
        <f>$HE223+$HC224</f>
        <v/>
      </c>
      <c r="HF224" s="56">
        <f>IFERROR((SUMIFS(tblSafety[Recordables],tblSafety[Date],"&gt;="&amp;EDATE($E224,-12),tblSafety[Date],"&lt;="&amp;$A224)+SUMIFS(tblSafetyHistory[Recordables],tblSafetyHistory[Month],"&gt;="&amp;EDATE($E224,-12),tblSafetyHistory[Month],"&lt;"&amp;cfg_YearStart))/(SUMIFS(tblSafety[Hours_Total],tblSafety[Date],"&gt;="&amp;EDATE($E224,-12),tblSafety[Date],"&lt;="&amp;$A224)+SUMIFS(tblSafetyHistory[Hours_Total],tblSafetyHistory[Month],"&gt;="&amp;EDATE($E224,-12),tblSafetyHistory[Month],"&lt;"&amp;cfg_YearStart))*1000000,"")</f>
        <v/>
      </c>
      <c r="HG224" s="56">
        <f>IFERROR((SUMIFS(tblSafety[LTI],tblSafety[Date],"&gt;="&amp;EDATE($E224,-12),tblSafety[Date],"&lt;="&amp;$A224)+SUMIFS(tblSafetyHistory[LTI],tblSafetyHistory[Month],"&gt;="&amp;EDATE($E224,-12),tblSafetyHistory[Month],"&lt;"&amp;cfg_YearStart))/(SUMIFS(tblSafety[Hours_Total],tblSafety[Date],"&gt;="&amp;EDATE($E224,-12),tblSafety[Date],"&lt;="&amp;$A224)+SUMIFS(tblSafetyHistory[Hours_Total],tblSafetyHistory[Month],"&gt;="&amp;EDATE($E224,-12),tblSafetyHistory[Month],"&lt;"&amp;cfg_YearStart))*1000000,"")</f>
        <v/>
      </c>
      <c r="HH224" s="62">
        <f>IF(MAX(N(cfg_PriorLTIDate),_xlfn.MAXIFS(tblSafety[Date],tblSafety[LTI],"&gt;0",tblSafety[Date],"&lt;="&amp;$A224))=0,"",$A224-MAX(N(cfg_PriorLTIDate),_xlfn.MAXIFS(tblSafety[Date],tblSafety[LTI],"&gt;0",tblSafety[Date],"&lt;="&amp;$A224)))</f>
        <v/>
      </c>
      <c r="HI224" s="55">
        <f>SUMIFS(tblBudget[Ore_Mined_t],tblBudget[Month],$E224)</f>
        <v/>
      </c>
      <c r="HJ224" s="55">
        <f>$HI224*$C224/$D224</f>
        <v/>
      </c>
      <c r="HK224" s="55">
        <f>SUMIFS(tblBudget[Ore_Mined_t],tblBudget[Month],"&lt;"&amp;$E224)+$HJ224</f>
        <v/>
      </c>
      <c r="HL224" s="55">
        <f>SUMIFS(tblBudget[Ore_oz],tblBudget[Month],$E224)</f>
        <v/>
      </c>
      <c r="HM224" s="55">
        <f>$HL224*$C224/$D224</f>
        <v/>
      </c>
      <c r="HN224" s="55">
        <f>SUMIFS(tblBudget[Ore_oz],tblBudget[Month],"&lt;"&amp;$E224)+$HM224</f>
        <v/>
      </c>
      <c r="HO224" s="56">
        <f>IFERROR(IF(($HI224)&gt;0,($HL224*cfg_TroyOz)/($HI224),""),"")</f>
        <v/>
      </c>
      <c r="HP224" s="56">
        <f>IFERROR(IF(($HJ224)&gt;0,($HM224*cfg_TroyOz)/($HJ224),""),"")</f>
        <v/>
      </c>
      <c r="HQ224" s="56">
        <f>IFERROR(IF(($HK224)&gt;0,($HN224*cfg_TroyOz)/($HK224),""),"")</f>
        <v/>
      </c>
      <c r="HR224" s="55">
        <f>SUMIFS(tblBudget[Waste_t],tblBudget[Month],$E224)</f>
        <v/>
      </c>
      <c r="HS224" s="55">
        <f>$HR224*$C224/$D224</f>
        <v/>
      </c>
      <c r="HT224" s="55">
        <f>SUMIFS(tblBudget[Waste_t],tblBudget[Month],"&lt;"&amp;$E224)+$HS224</f>
        <v/>
      </c>
      <c r="HU224" s="55">
        <f>SUMIFS(tblBudget[TMM_t],tblBudget[Month],$E224)</f>
        <v/>
      </c>
      <c r="HV224" s="55">
        <f>$HU224*$C224/$D224</f>
        <v/>
      </c>
      <c r="HW224" s="55">
        <f>SUMIFS(tblBudget[TMM_t],tblBudget[Month],"&lt;"&amp;$E224)+$HV224</f>
        <v/>
      </c>
      <c r="HX224" s="56">
        <f>IFERROR(IF(($HI224)&gt;0,($HR224)/($HI224),""),"")</f>
        <v/>
      </c>
      <c r="HY224" s="56">
        <f>IFERROR(IF(($HJ224)&gt;0,($HS224)/($HJ224),""),"")</f>
        <v/>
      </c>
      <c r="HZ224" s="56">
        <f>IFERROR(IF(($HK224)&gt;0,($HT224)/($HK224),""),"")</f>
        <v/>
      </c>
      <c r="IA224" s="55">
        <f>SUMIFS(tblBudget[Drill_m],tblBudget[Month],$E224)</f>
        <v/>
      </c>
      <c r="IB224" s="55">
        <f>$IA224*$C224/$D224</f>
        <v/>
      </c>
      <c r="IC224" s="55">
        <f>SUMIFS(tblBudget[Drill_m],tblBudget[Month],"&lt;"&amp;$E224)+$IB224</f>
        <v/>
      </c>
      <c r="ID224" s="55">
        <f>SUMIFS(tblBudget[Diesel_L],tblBudget[Month],$E224)</f>
        <v/>
      </c>
      <c r="IE224" s="55">
        <f>$ID224*$C224/$D224</f>
        <v/>
      </c>
      <c r="IF224" s="55">
        <f>SUMIFS(tblBudget[Diesel_L],tblBudget[Month],"&lt;"&amp;$E224)+$IE224</f>
        <v/>
      </c>
      <c r="IG224" s="55">
        <f>SUMIFS(tblBudget[Milled_t],tblBudget[Month],$E224)</f>
        <v/>
      </c>
      <c r="IH224" s="55">
        <f>$IG224*$C224/$D224</f>
        <v/>
      </c>
      <c r="II224" s="55">
        <f>SUMIFS(tblBudget[Milled_t],tblBudget[Month],"&lt;"&amp;$E224)+$IH224</f>
        <v/>
      </c>
      <c r="IJ224" s="55">
        <f>SUMIFS(tblBudget[Feed_oz],tblBudget[Month],$E224)</f>
        <v/>
      </c>
      <c r="IK224" s="55">
        <f>$IJ224*$C224/$D224</f>
        <v/>
      </c>
      <c r="IL224" s="55">
        <f>SUMIFS(tblBudget[Feed_oz],tblBudget[Month],"&lt;"&amp;$E224)+$IK224</f>
        <v/>
      </c>
      <c r="IM224" s="55">
        <f>SUMIFS(tblBudget[Recovered_oz],tblBudget[Month],$E224)</f>
        <v/>
      </c>
      <c r="IN224" s="55">
        <f>$IM224*$C224/$D224</f>
        <v/>
      </c>
      <c r="IO224" s="55">
        <f>SUMIFS(tblBudget[Recovered_oz],tblBudget[Month],"&lt;"&amp;$E224)+$IN224</f>
        <v/>
      </c>
      <c r="IP224" s="56">
        <f>IFERROR(IF(($IG224)&gt;0,($IJ224*cfg_TroyOz)/($IG224),""),"")</f>
        <v/>
      </c>
      <c r="IQ224" s="56">
        <f>IFERROR(IF(($IH224)&gt;0,($IK224*cfg_TroyOz)/($IH224),""),"")</f>
        <v/>
      </c>
      <c r="IR224" s="56">
        <f>IFERROR(IF(($II224)&gt;0,($IL224*cfg_TroyOz)/($II224),""),"")</f>
        <v/>
      </c>
      <c r="IS224" s="67">
        <f>IFERROR(IF(($IJ224)&gt;0,($IM224)/($IJ224),""),"")</f>
        <v/>
      </c>
      <c r="IT224" s="67">
        <f>IFERROR(IF(($IK224)&gt;0,($IN224)/($IK224),""),"")</f>
        <v/>
      </c>
      <c r="IU224" s="67">
        <f>IFERROR(IF(($IL224)&gt;0,($IO224)/($IL224),""),"")</f>
        <v/>
      </c>
      <c r="IV224" s="55">
        <f>SUMIFS(tblBudget[Gold_Poured_oz],tblBudget[Month],$E224)</f>
        <v/>
      </c>
      <c r="IW224" s="55">
        <f>$IV224*$C224/$D224</f>
        <v/>
      </c>
      <c r="IX224" s="55">
        <f>SUMIFS(tblBudget[Gold_Poured_oz],tblBudget[Month],"&lt;"&amp;$E224)+$IW224</f>
        <v/>
      </c>
      <c r="IY224" s="57">
        <f>SUMIFS(tblBudget[Hours_Worked],tblBudget[Month],$E224)</f>
        <v/>
      </c>
      <c r="IZ224" s="57">
        <f>$IY224*$C224/$D224</f>
        <v/>
      </c>
      <c r="JA224" s="57">
        <f>SUMIFS(tblBudget[Hours_Worked],tblBudget[Month],"&lt;"&amp;$E224)+$IZ224</f>
        <v/>
      </c>
    </row>
    <row r="225">
      <c r="A225" s="54" t="n">
        <v>46246</v>
      </c>
      <c r="B225">
        <f>MONTH($A225)</f>
        <v/>
      </c>
      <c r="C225">
        <f>DAY($A225)</f>
        <v/>
      </c>
      <c r="D225">
        <f>DAY(EOMONTH($A225,0))</f>
        <v/>
      </c>
      <c r="E225" s="54">
        <f>DATE(YEAR($A225),MONTH($A225),1)</f>
        <v/>
      </c>
      <c r="F225" s="55">
        <f>SUMIFS(tblMovement[Tonnes_t],tblMovement[Date],$A225,tblMovement[Is_Ore],1,tblMovement[Source_Type],"Pit")</f>
        <v/>
      </c>
      <c r="G225" s="55">
        <f>IF($B225=$B224,$G224,0)+$F225</f>
        <v/>
      </c>
      <c r="H225" s="55">
        <f>$H224+$F225</f>
        <v/>
      </c>
      <c r="I225" s="55">
        <f>SUMIFS(tblMovement[Ore_oz],tblMovement[Date],$A225,tblMovement[Source_Type],"Pit")</f>
        <v/>
      </c>
      <c r="J225" s="55">
        <f>IF($B225=$B224,$J224,0)+$I225</f>
        <v/>
      </c>
      <c r="K225" s="55">
        <f>$K224+$I225</f>
        <v/>
      </c>
      <c r="L225" s="56">
        <f>IFERROR(IF(($F225)&gt;0,($I225*cfg_TroyOz)/($F225),""),"")</f>
        <v/>
      </c>
      <c r="M225" s="56">
        <f>IFERROR(IF(($G225)&gt;0,($J225*cfg_TroyOz)/($G225),""),"")</f>
        <v/>
      </c>
      <c r="N225" s="56">
        <f>IFERROR(IF(($H225)&gt;0,($K225*cfg_TroyOz)/($H225),""),"")</f>
        <v/>
      </c>
      <c r="O225" s="55">
        <f>SUMIFS(tblMovement[Tonnes_t],tblMovement[Date],$A225,tblMovement[Is_Ore],0,tblMovement[Source_Type],"Pit")</f>
        <v/>
      </c>
      <c r="P225" s="55">
        <f>IF($B225=$B224,$P224,0)+$O225</f>
        <v/>
      </c>
      <c r="Q225" s="55">
        <f>$Q224+$O225</f>
        <v/>
      </c>
      <c r="R225" s="55">
        <f>$F225+$O225</f>
        <v/>
      </c>
      <c r="S225" s="55">
        <f>IF($B225=$B224,$S224,0)+$R225</f>
        <v/>
      </c>
      <c r="T225" s="55">
        <f>$T224+$R225</f>
        <v/>
      </c>
      <c r="U225" s="56">
        <f>IFERROR(IF(($F225)&gt;0,($O225)/($F225),""),"")</f>
        <v/>
      </c>
      <c r="V225" s="56">
        <f>IFERROR(IF(($G225)&gt;0,($P225)/($G225),""),"")</f>
        <v/>
      </c>
      <c r="W225" s="56">
        <f>IFERROR(IF(($H225)&gt;0,($Q225)/($H225),""),"")</f>
        <v/>
      </c>
      <c r="X225" s="55">
        <f>SUMIFS(tblMovement[Tonnes_t],tblMovement[Date],$A225,tblMovement[Source_Type],"Stockpile")</f>
        <v/>
      </c>
      <c r="Y225" s="55">
        <f>IF($B225=$B224,$Y224,0)+$X225</f>
        <v/>
      </c>
      <c r="Z225" s="55">
        <f>$Z224+$X225</f>
        <v/>
      </c>
      <c r="AA225" s="55">
        <f>SUMIFS(tblMiningDaily[Drill_m],tblMiningDaily[Date],$A225)</f>
        <v/>
      </c>
      <c r="AB225" s="55">
        <f>IF($B225=$B224,$AB224,0)+$AA225</f>
        <v/>
      </c>
      <c r="AC225" s="55">
        <f>$AC224+$AA225</f>
        <v/>
      </c>
      <c r="AD225" s="55">
        <f>SUMIFS(tblMiningDaily[Blast_t],tblMiningDaily[Date],$A225)</f>
        <v/>
      </c>
      <c r="AE225" s="55">
        <f>IF($B225=$B224,$AE224,0)+$AD225</f>
        <v/>
      </c>
      <c r="AF225" s="55">
        <f>$AF224+$AD225</f>
        <v/>
      </c>
      <c r="AG225" s="55">
        <f>SUMIFS(tblMiningDaily[Explosives_kg],tblMiningDaily[Date],$A225)</f>
        <v/>
      </c>
      <c r="AH225" s="55">
        <f>IF($B225=$B224,$AH224,0)+$AG225</f>
        <v/>
      </c>
      <c r="AI225" s="55">
        <f>$AI224+$AG225</f>
        <v/>
      </c>
      <c r="AJ225" s="56">
        <f>IFERROR(IF(($AD225)&gt;0,($AG225)/($AD225),""),"")</f>
        <v/>
      </c>
      <c r="AK225" s="56">
        <f>IFERROR(IF(($AE225)&gt;0,($AH225)/($AE225),""),"")</f>
        <v/>
      </c>
      <c r="AL225" s="56">
        <f>IFERROR(IF(($AF225)&gt;0,($AI225)/($AF225),""),"")</f>
        <v/>
      </c>
      <c r="AM225" s="55">
        <f>SUMIFS(tblMiningDaily[Diesel_L],tblMiningDaily[Date],$A225)</f>
        <v/>
      </c>
      <c r="AN225" s="55">
        <f>IF($B225=$B224,$AN224,0)+$AM225</f>
        <v/>
      </c>
      <c r="AO225" s="55">
        <f>$AO224+$AM225</f>
        <v/>
      </c>
      <c r="AP225" s="55">
        <f>SUMIFS(tblMiningDaily[Dewatering_m3],tblMiningDaily[Date],$A225)</f>
        <v/>
      </c>
      <c r="AQ225" s="55">
        <f>IF($B225=$B224,$AQ224,0)+$AP225</f>
        <v/>
      </c>
      <c r="AR225" s="55">
        <f>$AR224+$AP225</f>
        <v/>
      </c>
      <c r="AS225" s="57">
        <f>SUMIFS(tblFleet[Calendar_h],tblFleet[Date],$A225,tblFleet[Equipment_Class],"Excavator")</f>
        <v/>
      </c>
      <c r="AT225" s="57">
        <f>IF($B225=$B224,$AT224,0)+$AS225</f>
        <v/>
      </c>
      <c r="AU225" s="57">
        <f>$AU224+$AS225</f>
        <v/>
      </c>
      <c r="AV225" s="57">
        <f>SUMIFS(tblFleet[Available_h],tblFleet[Date],$A225,tblFleet[Equipment_Class],"Excavator")</f>
        <v/>
      </c>
      <c r="AW225" s="57">
        <f>IF($B225=$B224,$AW224,0)+$AV225</f>
        <v/>
      </c>
      <c r="AX225" s="57">
        <f>$AX224+$AV225</f>
        <v/>
      </c>
      <c r="AY225" s="57">
        <f>SUMIFS(tblFleet[Operating_h],tblFleet[Date],$A225,tblFleet[Equipment_Class],"Excavator")</f>
        <v/>
      </c>
      <c r="AZ225" s="57">
        <f>IF($B225=$B224,$AZ224,0)+$AY225</f>
        <v/>
      </c>
      <c r="BA225" s="57">
        <f>$BA224+$AY225</f>
        <v/>
      </c>
      <c r="BB225" s="67">
        <f>IFERROR(IF(($AS225)&gt;0,($AV225)/($AS225),""),"")</f>
        <v/>
      </c>
      <c r="BC225" s="67">
        <f>IFERROR(IF(($AT225)&gt;0,($AW225)/($AT225),""),"")</f>
        <v/>
      </c>
      <c r="BD225" s="67">
        <f>IFERROR(IF(($AU225)&gt;0,($AX225)/($AU225),""),"")</f>
        <v/>
      </c>
      <c r="BE225" s="67">
        <f>IFERROR(IF(($AV225)&gt;0,($AY225)/($AV225),""),"")</f>
        <v/>
      </c>
      <c r="BF225" s="67">
        <f>IFERROR(IF(($AW225)&gt;0,($AZ225)/($AW225),""),"")</f>
        <v/>
      </c>
      <c r="BG225" s="67">
        <f>IFERROR(IF(($AX225)&gt;0,($BA225)/($AX225),""),"")</f>
        <v/>
      </c>
      <c r="BH225" s="57">
        <f>SUMIFS(tblFleet[Calendar_h],tblFleet[Date],$A225,tblFleet[Equipment_Class],"Haul Truck")</f>
        <v/>
      </c>
      <c r="BI225" s="57">
        <f>IF($B225=$B224,$BI224,0)+$BH225</f>
        <v/>
      </c>
      <c r="BJ225" s="57">
        <f>$BJ224+$BH225</f>
        <v/>
      </c>
      <c r="BK225" s="57">
        <f>SUMIFS(tblFleet[Available_h],tblFleet[Date],$A225,tblFleet[Equipment_Class],"Haul Truck")</f>
        <v/>
      </c>
      <c r="BL225" s="57">
        <f>IF($B225=$B224,$BL224,0)+$BK225</f>
        <v/>
      </c>
      <c r="BM225" s="57">
        <f>$BM224+$BK225</f>
        <v/>
      </c>
      <c r="BN225" s="57">
        <f>SUMIFS(tblFleet[Operating_h],tblFleet[Date],$A225,tblFleet[Equipment_Class],"Haul Truck")</f>
        <v/>
      </c>
      <c r="BO225" s="57">
        <f>IF($B225=$B224,$BO224,0)+$BN225</f>
        <v/>
      </c>
      <c r="BP225" s="57">
        <f>$BP224+$BN225</f>
        <v/>
      </c>
      <c r="BQ225" s="67">
        <f>IFERROR(IF(($BH225)&gt;0,($BK225)/($BH225),""),"")</f>
        <v/>
      </c>
      <c r="BR225" s="67">
        <f>IFERROR(IF(($BI225)&gt;0,($BL225)/($BI225),""),"")</f>
        <v/>
      </c>
      <c r="BS225" s="67">
        <f>IFERROR(IF(($BJ225)&gt;0,($BM225)/($BJ225),""),"")</f>
        <v/>
      </c>
      <c r="BT225" s="67">
        <f>IFERROR(IF(($BK225)&gt;0,($BN225)/($BK225),""),"")</f>
        <v/>
      </c>
      <c r="BU225" s="67">
        <f>IFERROR(IF(($BL225)&gt;0,($BO225)/($BL225),""),"")</f>
        <v/>
      </c>
      <c r="BV225" s="67">
        <f>IFERROR(IF(($BM225)&gt;0,($BP225)/($BM225),""),"")</f>
        <v/>
      </c>
      <c r="BW225" s="55">
        <f>SUMIFS(tblPlant[Crushed_t],tblPlant[Date],$A225)</f>
        <v/>
      </c>
      <c r="BX225" s="55">
        <f>IF($B225=$B224,$BX224,0)+$BW225</f>
        <v/>
      </c>
      <c r="BY225" s="55">
        <f>$BY224+$BW225</f>
        <v/>
      </c>
      <c r="BZ225" s="55">
        <f>SUMIFS(tblPlant[Milled_t],tblPlant[Date],$A225)</f>
        <v/>
      </c>
      <c r="CA225" s="55">
        <f>IF($B225=$B224,$CA224,0)+$BZ225</f>
        <v/>
      </c>
      <c r="CB225" s="55">
        <f>$CB224+$BZ225</f>
        <v/>
      </c>
      <c r="CC225" s="55">
        <f>SUMIFS(tblPlant[Feed_oz],tblPlant[Date],$A225)</f>
        <v/>
      </c>
      <c r="CD225" s="55">
        <f>IF($B225=$B224,$CD224,0)+$CC225</f>
        <v/>
      </c>
      <c r="CE225" s="55">
        <f>$CE224+$CC225</f>
        <v/>
      </c>
      <c r="CF225" s="55">
        <f>SUMIFS(tblPlant[Tails_oz],tblPlant[Date],$A225)</f>
        <v/>
      </c>
      <c r="CG225" s="55">
        <f>IF($B225=$B224,$CG224,0)+$CF225</f>
        <v/>
      </c>
      <c r="CH225" s="55">
        <f>$CH224+$CF225</f>
        <v/>
      </c>
      <c r="CI225" s="55">
        <f>SUMIFS(tblPlant[Recovered_oz],tblPlant[Date],$A225)</f>
        <v/>
      </c>
      <c r="CJ225" s="55">
        <f>IF($B225=$B224,$CJ224,0)+$CI225</f>
        <v/>
      </c>
      <c r="CK225" s="55">
        <f>$CK224+$CI225</f>
        <v/>
      </c>
      <c r="CL225" s="56">
        <f>IFERROR(IF(($BZ225)&gt;0,($CC225*cfg_TroyOz)/($BZ225),""),"")</f>
        <v/>
      </c>
      <c r="CM225" s="56">
        <f>IFERROR(IF(($CA225)&gt;0,($CD225*cfg_TroyOz)/($CA225),""),"")</f>
        <v/>
      </c>
      <c r="CN225" s="56">
        <f>IFERROR(IF(($CB225)&gt;0,($CE225*cfg_TroyOz)/($CB225),""),"")</f>
        <v/>
      </c>
      <c r="CO225" s="56">
        <f>IFERROR(IF(($BZ225)&gt;0,($CF225*cfg_TroyOz)/($BZ225),""),"")</f>
        <v/>
      </c>
      <c r="CP225" s="56">
        <f>IFERROR(IF(($CA225)&gt;0,($CG225*cfg_TroyOz)/($CA225),""),"")</f>
        <v/>
      </c>
      <c r="CQ225" s="56">
        <f>IFERROR(IF(($CB225)&gt;0,($CH225*cfg_TroyOz)/($CB225),""),"")</f>
        <v/>
      </c>
      <c r="CR225" s="67">
        <f>IFERROR(IF(($CC225)&gt;0,($CI225)/($CC225),""),"")</f>
        <v/>
      </c>
      <c r="CS225" s="67">
        <f>IFERROR(IF(($CD225)&gt;0,($CJ225)/($CD225),""),"")</f>
        <v/>
      </c>
      <c r="CT225" s="67">
        <f>IFERROR(IF(($CE225)&gt;0,($CK225)/($CE225),""),"")</f>
        <v/>
      </c>
      <c r="CU225" s="55">
        <f>SUMIFS(tblPlant[Gravity_Gold_oz],tblPlant[Date],$A225)</f>
        <v/>
      </c>
      <c r="CV225" s="55">
        <f>IF($B225=$B224,$CV224,0)+$CU225</f>
        <v/>
      </c>
      <c r="CW225" s="55">
        <f>$CW224+$CU225</f>
        <v/>
      </c>
      <c r="CX225" s="55">
        <f>SUMIFS(tblPlant[Gold_Poured_oz],tblPlant[Date],$A225)</f>
        <v/>
      </c>
      <c r="CY225" s="55">
        <f>IF($B225=$B224,$CY224,0)+$CX225</f>
        <v/>
      </c>
      <c r="CZ225" s="55">
        <f>$CZ224+$CX225</f>
        <v/>
      </c>
      <c r="DA225" s="57">
        <f>SUMIFS(tblPlant[Mill_Run_h],tblPlant[Date],$A225)</f>
        <v/>
      </c>
      <c r="DB225" s="57">
        <f>IF($B225=$B224,$DB224,0)+$DA225</f>
        <v/>
      </c>
      <c r="DC225" s="57">
        <f>$DC224+$DA225</f>
        <v/>
      </c>
      <c r="DD225" s="57">
        <f>SUMIFS(tblPlant[Mill_Planned_Maint_h],tblPlant[Date],$A225)</f>
        <v/>
      </c>
      <c r="DE225" s="57">
        <f>IF($B225=$B224,$DE224,0)+$DD225</f>
        <v/>
      </c>
      <c r="DF225" s="57">
        <f>$DF224+$DD225</f>
        <v/>
      </c>
      <c r="DG225" s="57">
        <f>SUMIFS(tblPlant[Mill_Unplanned_Down_h],tblPlant[Date],$A225)</f>
        <v/>
      </c>
      <c r="DH225" s="57">
        <f>IF($B225=$B224,$DH224,0)+$DG225</f>
        <v/>
      </c>
      <c r="DI225" s="57">
        <f>$DI224+$DG225</f>
        <v/>
      </c>
      <c r="DJ225" s="57">
        <f>COUNTIFS(tblPlant[Date],$A225,tblPlant[Mill_Run_h],"&lt;&gt;")*24</f>
        <v/>
      </c>
      <c r="DK225" s="57">
        <f>IF($B225=$B224,$DK224,0)+$DJ225</f>
        <v/>
      </c>
      <c r="DL225" s="57">
        <f>$DL224+$DJ225</f>
        <v/>
      </c>
      <c r="DM225" s="57">
        <f>SUMIFS(tblPlant[Crusher_Run_h],tblPlant[Date],$A225)</f>
        <v/>
      </c>
      <c r="DN225" s="57">
        <f>IF($B225=$B224,$DN224,0)+$DM225</f>
        <v/>
      </c>
      <c r="DO225" s="57">
        <f>$DO224+$DM225</f>
        <v/>
      </c>
      <c r="DP225" s="55">
        <f>IFERROR(IF(($DA225)&gt;0,($BZ225)/($DA225),""),"")</f>
        <v/>
      </c>
      <c r="DQ225" s="55">
        <f>IFERROR(IF(($DB225)&gt;0,($CA225)/($DB225),""),"")</f>
        <v/>
      </c>
      <c r="DR225" s="55">
        <f>IFERROR(IF(($DC225)&gt;0,($CB225)/($DC225),""),"")</f>
        <v/>
      </c>
      <c r="DS225" s="67">
        <f>IFERROR(IF(($DJ225)&gt;0,($DJ225-$DD225-$DG225)/($DJ225),""),"")</f>
        <v/>
      </c>
      <c r="DT225" s="67">
        <f>IFERROR(IF(($DK225)&gt;0,($DK225-$DE225-$DH225)/($DK225),""),"")</f>
        <v/>
      </c>
      <c r="DU225" s="67">
        <f>IFERROR(IF(($DL225)&gt;0,($DL225-$DF225-$DI225)/($DL225),""),"")</f>
        <v/>
      </c>
      <c r="DV225" s="67">
        <f>IFERROR(IF(($DJ225-$DD225-$DG225)&gt;0,($DA225)/($DJ225-$DD225-$DG225),""),"")</f>
        <v/>
      </c>
      <c r="DW225" s="67">
        <f>IFERROR(IF(($DK225-$DE225-$DH225)&gt;0,($DB225)/($DK225-$DE225-$DH225),""),"")</f>
        <v/>
      </c>
      <c r="DX225" s="67">
        <f>IFERROR(IF(($DL225-$DF225-$DI225)&gt;0,($DC225)/($DL225-$DF225-$DI225),""),"")</f>
        <v/>
      </c>
      <c r="DY225" s="55">
        <f>SUMIFS(tblPlant[Cyanide_kg],tblPlant[Date],$A225)</f>
        <v/>
      </c>
      <c r="DZ225" s="55">
        <f>IF($B225=$B224,$DZ224,0)+$DY225</f>
        <v/>
      </c>
      <c r="EA225" s="55">
        <f>$EA224+$DY225</f>
        <v/>
      </c>
      <c r="EB225" s="55">
        <f>SUMIFS(tblPlant[Lime_kg],tblPlant[Date],$A225)</f>
        <v/>
      </c>
      <c r="EC225" s="55">
        <f>IF($B225=$B224,$EC224,0)+$EB225</f>
        <v/>
      </c>
      <c r="ED225" s="55">
        <f>$ED224+$EB225</f>
        <v/>
      </c>
      <c r="EE225" s="55">
        <f>SUMIFS(tblPlant[Grinding_Media_kg],tblPlant[Date],$A225)</f>
        <v/>
      </c>
      <c r="EF225" s="55">
        <f>IF($B225=$B224,$EF224,0)+$EE225</f>
        <v/>
      </c>
      <c r="EG225" s="55">
        <f>$EG224+$EE225</f>
        <v/>
      </c>
      <c r="EH225" s="55">
        <f>SUMIFS(tblPlant[Power_kWh],tblPlant[Date],$A225)</f>
        <v/>
      </c>
      <c r="EI225" s="55">
        <f>IF($B225=$B224,$EI224,0)+$EH225</f>
        <v/>
      </c>
      <c r="EJ225" s="55">
        <f>$EJ224+$EH225</f>
        <v/>
      </c>
      <c r="EK225" s="55">
        <f>SUMIFS(tblPlant[Raw_Water_m3],tblPlant[Date],$A225)</f>
        <v/>
      </c>
      <c r="EL225" s="55">
        <f>IF($B225=$B224,$EL224,0)+$EK225</f>
        <v/>
      </c>
      <c r="EM225" s="55">
        <f>$EM224+$EK225</f>
        <v/>
      </c>
      <c r="EN225" s="56">
        <f>IFERROR(IF(($BZ225)&gt;0,($DY225)/($BZ225),""),"")</f>
        <v/>
      </c>
      <c r="EO225" s="56">
        <f>IFERROR(IF(($CA225)&gt;0,($DZ225)/($CA225),""),"")</f>
        <v/>
      </c>
      <c r="EP225" s="56">
        <f>IFERROR(IF(($CB225)&gt;0,($EA225)/($CB225),""),"")</f>
        <v/>
      </c>
      <c r="EQ225" s="56">
        <f>IFERROR(IF(($BZ225)&gt;0,($EB225)/($BZ225),""),"")</f>
        <v/>
      </c>
      <c r="ER225" s="56">
        <f>IFERROR(IF(($CA225)&gt;0,($EC225)/($CA225),""),"")</f>
        <v/>
      </c>
      <c r="ES225" s="56">
        <f>IFERROR(IF(($CB225)&gt;0,($ED225)/($CB225),""),"")</f>
        <v/>
      </c>
      <c r="ET225" s="56">
        <f>IFERROR(IF(($BZ225)&gt;0,($EE225)/($BZ225),""),"")</f>
        <v/>
      </c>
      <c r="EU225" s="56">
        <f>IFERROR(IF(($CA225)&gt;0,($EF225)/($CA225),""),"")</f>
        <v/>
      </c>
      <c r="EV225" s="56">
        <f>IFERROR(IF(($CB225)&gt;0,($EG225)/($CB225),""),"")</f>
        <v/>
      </c>
      <c r="EW225" s="76">
        <f>IFERROR(IF(($BZ225)&gt;0,($EH225)/($BZ225),""),"")</f>
        <v/>
      </c>
      <c r="EX225" s="76">
        <f>IFERROR(IF(($CA225)&gt;0,($EI225)/($CA225),""),"")</f>
        <v/>
      </c>
      <c r="EY225" s="76">
        <f>IFERROR(IF(($CB225)&gt;0,($EJ225)/($CB225),""),"")</f>
        <v/>
      </c>
      <c r="EZ225" s="56">
        <f>IFERROR(IF(($BZ225)&gt;0,($EK225)/($BZ225),""),"")</f>
        <v/>
      </c>
      <c r="FA225" s="56">
        <f>IFERROR(IF(($CA225)&gt;0,($EL225)/($CA225),""),"")</f>
        <v/>
      </c>
      <c r="FB225" s="56">
        <f>IFERROR(IF(($CB225)&gt;0,($EM225)/($CB225),""),"")</f>
        <v/>
      </c>
      <c r="FC225" s="55">
        <f>IF(SUMIFS(tblPlant[GIC_oz],tblPlant[Date],$A225)&gt;0,SUMIFS(tblPlant[GIC_oz],tblPlant[Date],$A225),"")</f>
        <v/>
      </c>
      <c r="FD225" s="55">
        <f>SUMIFS(tblGold[Gold_oz],tblGold[Date],$A225,tblGold[Type],"Shipment")</f>
        <v/>
      </c>
      <c r="FE225" s="55">
        <f>IF($B225=$B224,$FE224,0)+$FD225</f>
        <v/>
      </c>
      <c r="FF225" s="55">
        <f>$FF224+$FD225</f>
        <v/>
      </c>
      <c r="FG225" s="55">
        <f>SUMIFS(tblGold[Gold_oz],tblGold[Date],$A225,tblGold[Type],"Sale")</f>
        <v/>
      </c>
      <c r="FH225" s="55">
        <f>IF($B225=$B224,$FH224,0)+$FG225</f>
        <v/>
      </c>
      <c r="FI225" s="55">
        <f>$FI224+$FG225</f>
        <v/>
      </c>
      <c r="FJ225" s="55">
        <f>SUMIFS(tblGold[Dore_kg],tblGold[Date],$A225,tblGold[Type],"Shipment")</f>
        <v/>
      </c>
      <c r="FK225" s="55">
        <f>IF($B225=$B224,$FK224,0)+$FJ225</f>
        <v/>
      </c>
      <c r="FL225" s="55">
        <f>$FL224+$FJ225</f>
        <v/>
      </c>
      <c r="FM225" s="57">
        <f>SUMIFS(tblSafety[Hours_Total],tblSafety[Date],$A225)</f>
        <v/>
      </c>
      <c r="FN225" s="57">
        <f>IF($B225=$B224,$FN224,0)+$FM225</f>
        <v/>
      </c>
      <c r="FO225" s="57">
        <f>$FO224+$FM225</f>
        <v/>
      </c>
      <c r="FP225" s="62">
        <f>SUMIFS(tblSafety[Fatality],tblSafety[Date],$A225)</f>
        <v/>
      </c>
      <c r="FQ225" s="62">
        <f>IF($B225=$B224,$FQ224,0)+$FP225</f>
        <v/>
      </c>
      <c r="FR225" s="62">
        <f>$FR224+$FP225</f>
        <v/>
      </c>
      <c r="FS225" s="62">
        <f>SUMIFS(tblSafety[LTI],tblSafety[Date],$A225)</f>
        <v/>
      </c>
      <c r="FT225" s="62">
        <f>IF($B225=$B224,$FT224,0)+$FS225</f>
        <v/>
      </c>
      <c r="FU225" s="62">
        <f>$FU224+$FS225</f>
        <v/>
      </c>
      <c r="FV225" s="62">
        <f>SUMIFS(tblSafety[RWI],tblSafety[Date],$A225)</f>
        <v/>
      </c>
      <c r="FW225" s="62">
        <f>IF($B225=$B224,$FW224,0)+$FV225</f>
        <v/>
      </c>
      <c r="FX225" s="62">
        <f>$FX224+$FV225</f>
        <v/>
      </c>
      <c r="FY225" s="62">
        <f>SUMIFS(tblSafety[MTI],tblSafety[Date],$A225)</f>
        <v/>
      </c>
      <c r="FZ225" s="62">
        <f>IF($B225=$B224,$FZ224,0)+$FY225</f>
        <v/>
      </c>
      <c r="GA225" s="62">
        <f>$GA224+$FY225</f>
        <v/>
      </c>
      <c r="GB225" s="62">
        <f>SUMIFS(tblSafety[FAI],tblSafety[Date],$A225)</f>
        <v/>
      </c>
      <c r="GC225" s="62">
        <f>IF($B225=$B224,$GC224,0)+$GB225</f>
        <v/>
      </c>
      <c r="GD225" s="62">
        <f>$GD224+$GB225</f>
        <v/>
      </c>
      <c r="GE225" s="62">
        <f>SUMIFS(tblSafety[Recordables],tblSafety[Date],$A225)</f>
        <v/>
      </c>
      <c r="GF225" s="62">
        <f>IF($B225=$B224,$GF224,0)+$GE225</f>
        <v/>
      </c>
      <c r="GG225" s="62">
        <f>$GG224+$GE225</f>
        <v/>
      </c>
      <c r="GH225" s="62">
        <f>SUMIFS(tblSafety[Near_Miss],tblSafety[Date],$A225)</f>
        <v/>
      </c>
      <c r="GI225" s="62">
        <f>IF($B225=$B224,$GI224,0)+$GH225</f>
        <v/>
      </c>
      <c r="GJ225" s="62">
        <f>$GJ224+$GH225</f>
        <v/>
      </c>
      <c r="GK225" s="62">
        <f>SUMIFS(tblSafety[Hazard_Reports],tblSafety[Date],$A225)</f>
        <v/>
      </c>
      <c r="GL225" s="62">
        <f>IF($B225=$B224,$GL224,0)+$GK225</f>
        <v/>
      </c>
      <c r="GM225" s="62">
        <f>$GM224+$GK225</f>
        <v/>
      </c>
      <c r="GN225" s="62">
        <f>SUMIFS(tblSafety[HPI],tblSafety[Date],$A225)</f>
        <v/>
      </c>
      <c r="GO225" s="62">
        <f>IF($B225=$B224,$GO224,0)+$GN225</f>
        <v/>
      </c>
      <c r="GP225" s="62">
        <f>$GP224+$GN225</f>
        <v/>
      </c>
      <c r="GQ225" s="62">
        <f>SUMIFS(tblSafety[Env_Incidents],tblSafety[Date],$A225)</f>
        <v/>
      </c>
      <c r="GR225" s="62">
        <f>IF($B225=$B224,$GR224,0)+$GQ225</f>
        <v/>
      </c>
      <c r="GS225" s="62">
        <f>$GS224+$GQ225</f>
        <v/>
      </c>
      <c r="GT225" s="62">
        <f>SUMIFS(tblSafety[Community_Incidents],tblSafety[Date],$A225)</f>
        <v/>
      </c>
      <c r="GU225" s="62">
        <f>IF($B225=$B224,$GU224,0)+$GT225</f>
        <v/>
      </c>
      <c r="GV225" s="62">
        <f>$GV224+$GT225</f>
        <v/>
      </c>
      <c r="GW225" s="62">
        <f>SUMIFS(tblSafety[Vehicle_Incidents],tblSafety[Date],$A225)</f>
        <v/>
      </c>
      <c r="GX225" s="62">
        <f>IF($B225=$B224,$GX224,0)+$GW225</f>
        <v/>
      </c>
      <c r="GY225" s="62">
        <f>$GY224+$GW225</f>
        <v/>
      </c>
      <c r="GZ225" s="62">
        <f>SUMIFS(tblSafety[Toolbox_Talks],tblSafety[Date],$A225)</f>
        <v/>
      </c>
      <c r="HA225" s="62">
        <f>IF($B225=$B224,$HA224,0)+$GZ225</f>
        <v/>
      </c>
      <c r="HB225" s="62">
        <f>$HB224+$GZ225</f>
        <v/>
      </c>
      <c r="HC225" s="62">
        <f>SUMIFS(tblSafety[Inspections],tblSafety[Date],$A225)</f>
        <v/>
      </c>
      <c r="HD225" s="62">
        <f>IF($B225=$B224,$HD224,0)+$HC225</f>
        <v/>
      </c>
      <c r="HE225" s="62">
        <f>$HE224+$HC225</f>
        <v/>
      </c>
      <c r="HF225" s="56">
        <f>IFERROR((SUMIFS(tblSafety[Recordables],tblSafety[Date],"&gt;="&amp;EDATE($E225,-12),tblSafety[Date],"&lt;="&amp;$A225)+SUMIFS(tblSafetyHistory[Recordables],tblSafetyHistory[Month],"&gt;="&amp;EDATE($E225,-12),tblSafetyHistory[Month],"&lt;"&amp;cfg_YearStart))/(SUMIFS(tblSafety[Hours_Total],tblSafety[Date],"&gt;="&amp;EDATE($E225,-12),tblSafety[Date],"&lt;="&amp;$A225)+SUMIFS(tblSafetyHistory[Hours_Total],tblSafetyHistory[Month],"&gt;="&amp;EDATE($E225,-12),tblSafetyHistory[Month],"&lt;"&amp;cfg_YearStart))*1000000,"")</f>
        <v/>
      </c>
      <c r="HG225" s="56">
        <f>IFERROR((SUMIFS(tblSafety[LTI],tblSafety[Date],"&gt;="&amp;EDATE($E225,-12),tblSafety[Date],"&lt;="&amp;$A225)+SUMIFS(tblSafetyHistory[LTI],tblSafetyHistory[Month],"&gt;="&amp;EDATE($E225,-12),tblSafetyHistory[Month],"&lt;"&amp;cfg_YearStart))/(SUMIFS(tblSafety[Hours_Total],tblSafety[Date],"&gt;="&amp;EDATE($E225,-12),tblSafety[Date],"&lt;="&amp;$A225)+SUMIFS(tblSafetyHistory[Hours_Total],tblSafetyHistory[Month],"&gt;="&amp;EDATE($E225,-12),tblSafetyHistory[Month],"&lt;"&amp;cfg_YearStart))*1000000,"")</f>
        <v/>
      </c>
      <c r="HH225" s="62">
        <f>IF(MAX(N(cfg_PriorLTIDate),_xlfn.MAXIFS(tblSafety[Date],tblSafety[LTI],"&gt;0",tblSafety[Date],"&lt;="&amp;$A225))=0,"",$A225-MAX(N(cfg_PriorLTIDate),_xlfn.MAXIFS(tblSafety[Date],tblSafety[LTI],"&gt;0",tblSafety[Date],"&lt;="&amp;$A225)))</f>
        <v/>
      </c>
      <c r="HI225" s="55">
        <f>SUMIFS(tblBudget[Ore_Mined_t],tblBudget[Month],$E225)</f>
        <v/>
      </c>
      <c r="HJ225" s="55">
        <f>$HI225*$C225/$D225</f>
        <v/>
      </c>
      <c r="HK225" s="55">
        <f>SUMIFS(tblBudget[Ore_Mined_t],tblBudget[Month],"&lt;"&amp;$E225)+$HJ225</f>
        <v/>
      </c>
      <c r="HL225" s="55">
        <f>SUMIFS(tblBudget[Ore_oz],tblBudget[Month],$E225)</f>
        <v/>
      </c>
      <c r="HM225" s="55">
        <f>$HL225*$C225/$D225</f>
        <v/>
      </c>
      <c r="HN225" s="55">
        <f>SUMIFS(tblBudget[Ore_oz],tblBudget[Month],"&lt;"&amp;$E225)+$HM225</f>
        <v/>
      </c>
      <c r="HO225" s="56">
        <f>IFERROR(IF(($HI225)&gt;0,($HL225*cfg_TroyOz)/($HI225),""),"")</f>
        <v/>
      </c>
      <c r="HP225" s="56">
        <f>IFERROR(IF(($HJ225)&gt;0,($HM225*cfg_TroyOz)/($HJ225),""),"")</f>
        <v/>
      </c>
      <c r="HQ225" s="56">
        <f>IFERROR(IF(($HK225)&gt;0,($HN225*cfg_TroyOz)/($HK225),""),"")</f>
        <v/>
      </c>
      <c r="HR225" s="55">
        <f>SUMIFS(tblBudget[Waste_t],tblBudget[Month],$E225)</f>
        <v/>
      </c>
      <c r="HS225" s="55">
        <f>$HR225*$C225/$D225</f>
        <v/>
      </c>
      <c r="HT225" s="55">
        <f>SUMIFS(tblBudget[Waste_t],tblBudget[Month],"&lt;"&amp;$E225)+$HS225</f>
        <v/>
      </c>
      <c r="HU225" s="55">
        <f>SUMIFS(tblBudget[TMM_t],tblBudget[Month],$E225)</f>
        <v/>
      </c>
      <c r="HV225" s="55">
        <f>$HU225*$C225/$D225</f>
        <v/>
      </c>
      <c r="HW225" s="55">
        <f>SUMIFS(tblBudget[TMM_t],tblBudget[Month],"&lt;"&amp;$E225)+$HV225</f>
        <v/>
      </c>
      <c r="HX225" s="56">
        <f>IFERROR(IF(($HI225)&gt;0,($HR225)/($HI225),""),"")</f>
        <v/>
      </c>
      <c r="HY225" s="56">
        <f>IFERROR(IF(($HJ225)&gt;0,($HS225)/($HJ225),""),"")</f>
        <v/>
      </c>
      <c r="HZ225" s="56">
        <f>IFERROR(IF(($HK225)&gt;0,($HT225)/($HK225),""),"")</f>
        <v/>
      </c>
      <c r="IA225" s="55">
        <f>SUMIFS(tblBudget[Drill_m],tblBudget[Month],$E225)</f>
        <v/>
      </c>
      <c r="IB225" s="55">
        <f>$IA225*$C225/$D225</f>
        <v/>
      </c>
      <c r="IC225" s="55">
        <f>SUMIFS(tblBudget[Drill_m],tblBudget[Month],"&lt;"&amp;$E225)+$IB225</f>
        <v/>
      </c>
      <c r="ID225" s="55">
        <f>SUMIFS(tblBudget[Diesel_L],tblBudget[Month],$E225)</f>
        <v/>
      </c>
      <c r="IE225" s="55">
        <f>$ID225*$C225/$D225</f>
        <v/>
      </c>
      <c r="IF225" s="55">
        <f>SUMIFS(tblBudget[Diesel_L],tblBudget[Month],"&lt;"&amp;$E225)+$IE225</f>
        <v/>
      </c>
      <c r="IG225" s="55">
        <f>SUMIFS(tblBudget[Milled_t],tblBudget[Month],$E225)</f>
        <v/>
      </c>
      <c r="IH225" s="55">
        <f>$IG225*$C225/$D225</f>
        <v/>
      </c>
      <c r="II225" s="55">
        <f>SUMIFS(tblBudget[Milled_t],tblBudget[Month],"&lt;"&amp;$E225)+$IH225</f>
        <v/>
      </c>
      <c r="IJ225" s="55">
        <f>SUMIFS(tblBudget[Feed_oz],tblBudget[Month],$E225)</f>
        <v/>
      </c>
      <c r="IK225" s="55">
        <f>$IJ225*$C225/$D225</f>
        <v/>
      </c>
      <c r="IL225" s="55">
        <f>SUMIFS(tblBudget[Feed_oz],tblBudget[Month],"&lt;"&amp;$E225)+$IK225</f>
        <v/>
      </c>
      <c r="IM225" s="55">
        <f>SUMIFS(tblBudget[Recovered_oz],tblBudget[Month],$E225)</f>
        <v/>
      </c>
      <c r="IN225" s="55">
        <f>$IM225*$C225/$D225</f>
        <v/>
      </c>
      <c r="IO225" s="55">
        <f>SUMIFS(tblBudget[Recovered_oz],tblBudget[Month],"&lt;"&amp;$E225)+$IN225</f>
        <v/>
      </c>
      <c r="IP225" s="56">
        <f>IFERROR(IF(($IG225)&gt;0,($IJ225*cfg_TroyOz)/($IG225),""),"")</f>
        <v/>
      </c>
      <c r="IQ225" s="56">
        <f>IFERROR(IF(($IH225)&gt;0,($IK225*cfg_TroyOz)/($IH225),""),"")</f>
        <v/>
      </c>
      <c r="IR225" s="56">
        <f>IFERROR(IF(($II225)&gt;0,($IL225*cfg_TroyOz)/($II225),""),"")</f>
        <v/>
      </c>
      <c r="IS225" s="67">
        <f>IFERROR(IF(($IJ225)&gt;0,($IM225)/($IJ225),""),"")</f>
        <v/>
      </c>
      <c r="IT225" s="67">
        <f>IFERROR(IF(($IK225)&gt;0,($IN225)/($IK225),""),"")</f>
        <v/>
      </c>
      <c r="IU225" s="67">
        <f>IFERROR(IF(($IL225)&gt;0,($IO225)/($IL225),""),"")</f>
        <v/>
      </c>
      <c r="IV225" s="55">
        <f>SUMIFS(tblBudget[Gold_Poured_oz],tblBudget[Month],$E225)</f>
        <v/>
      </c>
      <c r="IW225" s="55">
        <f>$IV225*$C225/$D225</f>
        <v/>
      </c>
      <c r="IX225" s="55">
        <f>SUMIFS(tblBudget[Gold_Poured_oz],tblBudget[Month],"&lt;"&amp;$E225)+$IW225</f>
        <v/>
      </c>
      <c r="IY225" s="57">
        <f>SUMIFS(tblBudget[Hours_Worked],tblBudget[Month],$E225)</f>
        <v/>
      </c>
      <c r="IZ225" s="57">
        <f>$IY225*$C225/$D225</f>
        <v/>
      </c>
      <c r="JA225" s="57">
        <f>SUMIFS(tblBudget[Hours_Worked],tblBudget[Month],"&lt;"&amp;$E225)+$IZ225</f>
        <v/>
      </c>
    </row>
    <row r="226">
      <c r="A226" s="54" t="n">
        <v>46247</v>
      </c>
      <c r="B226">
        <f>MONTH($A226)</f>
        <v/>
      </c>
      <c r="C226">
        <f>DAY($A226)</f>
        <v/>
      </c>
      <c r="D226">
        <f>DAY(EOMONTH($A226,0))</f>
        <v/>
      </c>
      <c r="E226" s="54">
        <f>DATE(YEAR($A226),MONTH($A226),1)</f>
        <v/>
      </c>
      <c r="F226" s="55">
        <f>SUMIFS(tblMovement[Tonnes_t],tblMovement[Date],$A226,tblMovement[Is_Ore],1,tblMovement[Source_Type],"Pit")</f>
        <v/>
      </c>
      <c r="G226" s="55">
        <f>IF($B226=$B225,$G225,0)+$F226</f>
        <v/>
      </c>
      <c r="H226" s="55">
        <f>$H225+$F226</f>
        <v/>
      </c>
      <c r="I226" s="55">
        <f>SUMIFS(tblMovement[Ore_oz],tblMovement[Date],$A226,tblMovement[Source_Type],"Pit")</f>
        <v/>
      </c>
      <c r="J226" s="55">
        <f>IF($B226=$B225,$J225,0)+$I226</f>
        <v/>
      </c>
      <c r="K226" s="55">
        <f>$K225+$I226</f>
        <v/>
      </c>
      <c r="L226" s="56">
        <f>IFERROR(IF(($F226)&gt;0,($I226*cfg_TroyOz)/($F226),""),"")</f>
        <v/>
      </c>
      <c r="M226" s="56">
        <f>IFERROR(IF(($G226)&gt;0,($J226*cfg_TroyOz)/($G226),""),"")</f>
        <v/>
      </c>
      <c r="N226" s="56">
        <f>IFERROR(IF(($H226)&gt;0,($K226*cfg_TroyOz)/($H226),""),"")</f>
        <v/>
      </c>
      <c r="O226" s="55">
        <f>SUMIFS(tblMovement[Tonnes_t],tblMovement[Date],$A226,tblMovement[Is_Ore],0,tblMovement[Source_Type],"Pit")</f>
        <v/>
      </c>
      <c r="P226" s="55">
        <f>IF($B226=$B225,$P225,0)+$O226</f>
        <v/>
      </c>
      <c r="Q226" s="55">
        <f>$Q225+$O226</f>
        <v/>
      </c>
      <c r="R226" s="55">
        <f>$F226+$O226</f>
        <v/>
      </c>
      <c r="S226" s="55">
        <f>IF($B226=$B225,$S225,0)+$R226</f>
        <v/>
      </c>
      <c r="T226" s="55">
        <f>$T225+$R226</f>
        <v/>
      </c>
      <c r="U226" s="56">
        <f>IFERROR(IF(($F226)&gt;0,($O226)/($F226),""),"")</f>
        <v/>
      </c>
      <c r="V226" s="56">
        <f>IFERROR(IF(($G226)&gt;0,($P226)/($G226),""),"")</f>
        <v/>
      </c>
      <c r="W226" s="56">
        <f>IFERROR(IF(($H226)&gt;0,($Q226)/($H226),""),"")</f>
        <v/>
      </c>
      <c r="X226" s="55">
        <f>SUMIFS(tblMovement[Tonnes_t],tblMovement[Date],$A226,tblMovement[Source_Type],"Stockpile")</f>
        <v/>
      </c>
      <c r="Y226" s="55">
        <f>IF($B226=$B225,$Y225,0)+$X226</f>
        <v/>
      </c>
      <c r="Z226" s="55">
        <f>$Z225+$X226</f>
        <v/>
      </c>
      <c r="AA226" s="55">
        <f>SUMIFS(tblMiningDaily[Drill_m],tblMiningDaily[Date],$A226)</f>
        <v/>
      </c>
      <c r="AB226" s="55">
        <f>IF($B226=$B225,$AB225,0)+$AA226</f>
        <v/>
      </c>
      <c r="AC226" s="55">
        <f>$AC225+$AA226</f>
        <v/>
      </c>
      <c r="AD226" s="55">
        <f>SUMIFS(tblMiningDaily[Blast_t],tblMiningDaily[Date],$A226)</f>
        <v/>
      </c>
      <c r="AE226" s="55">
        <f>IF($B226=$B225,$AE225,0)+$AD226</f>
        <v/>
      </c>
      <c r="AF226" s="55">
        <f>$AF225+$AD226</f>
        <v/>
      </c>
      <c r="AG226" s="55">
        <f>SUMIFS(tblMiningDaily[Explosives_kg],tblMiningDaily[Date],$A226)</f>
        <v/>
      </c>
      <c r="AH226" s="55">
        <f>IF($B226=$B225,$AH225,0)+$AG226</f>
        <v/>
      </c>
      <c r="AI226" s="55">
        <f>$AI225+$AG226</f>
        <v/>
      </c>
      <c r="AJ226" s="56">
        <f>IFERROR(IF(($AD226)&gt;0,($AG226)/($AD226),""),"")</f>
        <v/>
      </c>
      <c r="AK226" s="56">
        <f>IFERROR(IF(($AE226)&gt;0,($AH226)/($AE226),""),"")</f>
        <v/>
      </c>
      <c r="AL226" s="56">
        <f>IFERROR(IF(($AF226)&gt;0,($AI226)/($AF226),""),"")</f>
        <v/>
      </c>
      <c r="AM226" s="55">
        <f>SUMIFS(tblMiningDaily[Diesel_L],tblMiningDaily[Date],$A226)</f>
        <v/>
      </c>
      <c r="AN226" s="55">
        <f>IF($B226=$B225,$AN225,0)+$AM226</f>
        <v/>
      </c>
      <c r="AO226" s="55">
        <f>$AO225+$AM226</f>
        <v/>
      </c>
      <c r="AP226" s="55">
        <f>SUMIFS(tblMiningDaily[Dewatering_m3],tblMiningDaily[Date],$A226)</f>
        <v/>
      </c>
      <c r="AQ226" s="55">
        <f>IF($B226=$B225,$AQ225,0)+$AP226</f>
        <v/>
      </c>
      <c r="AR226" s="55">
        <f>$AR225+$AP226</f>
        <v/>
      </c>
      <c r="AS226" s="57">
        <f>SUMIFS(tblFleet[Calendar_h],tblFleet[Date],$A226,tblFleet[Equipment_Class],"Excavator")</f>
        <v/>
      </c>
      <c r="AT226" s="57">
        <f>IF($B226=$B225,$AT225,0)+$AS226</f>
        <v/>
      </c>
      <c r="AU226" s="57">
        <f>$AU225+$AS226</f>
        <v/>
      </c>
      <c r="AV226" s="57">
        <f>SUMIFS(tblFleet[Available_h],tblFleet[Date],$A226,tblFleet[Equipment_Class],"Excavator")</f>
        <v/>
      </c>
      <c r="AW226" s="57">
        <f>IF($B226=$B225,$AW225,0)+$AV226</f>
        <v/>
      </c>
      <c r="AX226" s="57">
        <f>$AX225+$AV226</f>
        <v/>
      </c>
      <c r="AY226" s="57">
        <f>SUMIFS(tblFleet[Operating_h],tblFleet[Date],$A226,tblFleet[Equipment_Class],"Excavator")</f>
        <v/>
      </c>
      <c r="AZ226" s="57">
        <f>IF($B226=$B225,$AZ225,0)+$AY226</f>
        <v/>
      </c>
      <c r="BA226" s="57">
        <f>$BA225+$AY226</f>
        <v/>
      </c>
      <c r="BB226" s="67">
        <f>IFERROR(IF(($AS226)&gt;0,($AV226)/($AS226),""),"")</f>
        <v/>
      </c>
      <c r="BC226" s="67">
        <f>IFERROR(IF(($AT226)&gt;0,($AW226)/($AT226),""),"")</f>
        <v/>
      </c>
      <c r="BD226" s="67">
        <f>IFERROR(IF(($AU226)&gt;0,($AX226)/($AU226),""),"")</f>
        <v/>
      </c>
      <c r="BE226" s="67">
        <f>IFERROR(IF(($AV226)&gt;0,($AY226)/($AV226),""),"")</f>
        <v/>
      </c>
      <c r="BF226" s="67">
        <f>IFERROR(IF(($AW226)&gt;0,($AZ226)/($AW226),""),"")</f>
        <v/>
      </c>
      <c r="BG226" s="67">
        <f>IFERROR(IF(($AX226)&gt;0,($BA226)/($AX226),""),"")</f>
        <v/>
      </c>
      <c r="BH226" s="57">
        <f>SUMIFS(tblFleet[Calendar_h],tblFleet[Date],$A226,tblFleet[Equipment_Class],"Haul Truck")</f>
        <v/>
      </c>
      <c r="BI226" s="57">
        <f>IF($B226=$B225,$BI225,0)+$BH226</f>
        <v/>
      </c>
      <c r="BJ226" s="57">
        <f>$BJ225+$BH226</f>
        <v/>
      </c>
      <c r="BK226" s="57">
        <f>SUMIFS(tblFleet[Available_h],tblFleet[Date],$A226,tblFleet[Equipment_Class],"Haul Truck")</f>
        <v/>
      </c>
      <c r="BL226" s="57">
        <f>IF($B226=$B225,$BL225,0)+$BK226</f>
        <v/>
      </c>
      <c r="BM226" s="57">
        <f>$BM225+$BK226</f>
        <v/>
      </c>
      <c r="BN226" s="57">
        <f>SUMIFS(tblFleet[Operating_h],tblFleet[Date],$A226,tblFleet[Equipment_Class],"Haul Truck")</f>
        <v/>
      </c>
      <c r="BO226" s="57">
        <f>IF($B226=$B225,$BO225,0)+$BN226</f>
        <v/>
      </c>
      <c r="BP226" s="57">
        <f>$BP225+$BN226</f>
        <v/>
      </c>
      <c r="BQ226" s="67">
        <f>IFERROR(IF(($BH226)&gt;0,($BK226)/($BH226),""),"")</f>
        <v/>
      </c>
      <c r="BR226" s="67">
        <f>IFERROR(IF(($BI226)&gt;0,($BL226)/($BI226),""),"")</f>
        <v/>
      </c>
      <c r="BS226" s="67">
        <f>IFERROR(IF(($BJ226)&gt;0,($BM226)/($BJ226),""),"")</f>
        <v/>
      </c>
      <c r="BT226" s="67">
        <f>IFERROR(IF(($BK226)&gt;0,($BN226)/($BK226),""),"")</f>
        <v/>
      </c>
      <c r="BU226" s="67">
        <f>IFERROR(IF(($BL226)&gt;0,($BO226)/($BL226),""),"")</f>
        <v/>
      </c>
      <c r="BV226" s="67">
        <f>IFERROR(IF(($BM226)&gt;0,($BP226)/($BM226),""),"")</f>
        <v/>
      </c>
      <c r="BW226" s="55">
        <f>SUMIFS(tblPlant[Crushed_t],tblPlant[Date],$A226)</f>
        <v/>
      </c>
      <c r="BX226" s="55">
        <f>IF($B226=$B225,$BX225,0)+$BW226</f>
        <v/>
      </c>
      <c r="BY226" s="55">
        <f>$BY225+$BW226</f>
        <v/>
      </c>
      <c r="BZ226" s="55">
        <f>SUMIFS(tblPlant[Milled_t],tblPlant[Date],$A226)</f>
        <v/>
      </c>
      <c r="CA226" s="55">
        <f>IF($B226=$B225,$CA225,0)+$BZ226</f>
        <v/>
      </c>
      <c r="CB226" s="55">
        <f>$CB225+$BZ226</f>
        <v/>
      </c>
      <c r="CC226" s="55">
        <f>SUMIFS(tblPlant[Feed_oz],tblPlant[Date],$A226)</f>
        <v/>
      </c>
      <c r="CD226" s="55">
        <f>IF($B226=$B225,$CD225,0)+$CC226</f>
        <v/>
      </c>
      <c r="CE226" s="55">
        <f>$CE225+$CC226</f>
        <v/>
      </c>
      <c r="CF226" s="55">
        <f>SUMIFS(tblPlant[Tails_oz],tblPlant[Date],$A226)</f>
        <v/>
      </c>
      <c r="CG226" s="55">
        <f>IF($B226=$B225,$CG225,0)+$CF226</f>
        <v/>
      </c>
      <c r="CH226" s="55">
        <f>$CH225+$CF226</f>
        <v/>
      </c>
      <c r="CI226" s="55">
        <f>SUMIFS(tblPlant[Recovered_oz],tblPlant[Date],$A226)</f>
        <v/>
      </c>
      <c r="CJ226" s="55">
        <f>IF($B226=$B225,$CJ225,0)+$CI226</f>
        <v/>
      </c>
      <c r="CK226" s="55">
        <f>$CK225+$CI226</f>
        <v/>
      </c>
      <c r="CL226" s="56">
        <f>IFERROR(IF(($BZ226)&gt;0,($CC226*cfg_TroyOz)/($BZ226),""),"")</f>
        <v/>
      </c>
      <c r="CM226" s="56">
        <f>IFERROR(IF(($CA226)&gt;0,($CD226*cfg_TroyOz)/($CA226),""),"")</f>
        <v/>
      </c>
      <c r="CN226" s="56">
        <f>IFERROR(IF(($CB226)&gt;0,($CE226*cfg_TroyOz)/($CB226),""),"")</f>
        <v/>
      </c>
      <c r="CO226" s="56">
        <f>IFERROR(IF(($BZ226)&gt;0,($CF226*cfg_TroyOz)/($BZ226),""),"")</f>
        <v/>
      </c>
      <c r="CP226" s="56">
        <f>IFERROR(IF(($CA226)&gt;0,($CG226*cfg_TroyOz)/($CA226),""),"")</f>
        <v/>
      </c>
      <c r="CQ226" s="56">
        <f>IFERROR(IF(($CB226)&gt;0,($CH226*cfg_TroyOz)/($CB226),""),"")</f>
        <v/>
      </c>
      <c r="CR226" s="67">
        <f>IFERROR(IF(($CC226)&gt;0,($CI226)/($CC226),""),"")</f>
        <v/>
      </c>
      <c r="CS226" s="67">
        <f>IFERROR(IF(($CD226)&gt;0,($CJ226)/($CD226),""),"")</f>
        <v/>
      </c>
      <c r="CT226" s="67">
        <f>IFERROR(IF(($CE226)&gt;0,($CK226)/($CE226),""),"")</f>
        <v/>
      </c>
      <c r="CU226" s="55">
        <f>SUMIFS(tblPlant[Gravity_Gold_oz],tblPlant[Date],$A226)</f>
        <v/>
      </c>
      <c r="CV226" s="55">
        <f>IF($B226=$B225,$CV225,0)+$CU226</f>
        <v/>
      </c>
      <c r="CW226" s="55">
        <f>$CW225+$CU226</f>
        <v/>
      </c>
      <c r="CX226" s="55">
        <f>SUMIFS(tblPlant[Gold_Poured_oz],tblPlant[Date],$A226)</f>
        <v/>
      </c>
      <c r="CY226" s="55">
        <f>IF($B226=$B225,$CY225,0)+$CX226</f>
        <v/>
      </c>
      <c r="CZ226" s="55">
        <f>$CZ225+$CX226</f>
        <v/>
      </c>
      <c r="DA226" s="57">
        <f>SUMIFS(tblPlant[Mill_Run_h],tblPlant[Date],$A226)</f>
        <v/>
      </c>
      <c r="DB226" s="57">
        <f>IF($B226=$B225,$DB225,0)+$DA226</f>
        <v/>
      </c>
      <c r="DC226" s="57">
        <f>$DC225+$DA226</f>
        <v/>
      </c>
      <c r="DD226" s="57">
        <f>SUMIFS(tblPlant[Mill_Planned_Maint_h],tblPlant[Date],$A226)</f>
        <v/>
      </c>
      <c r="DE226" s="57">
        <f>IF($B226=$B225,$DE225,0)+$DD226</f>
        <v/>
      </c>
      <c r="DF226" s="57">
        <f>$DF225+$DD226</f>
        <v/>
      </c>
      <c r="DG226" s="57">
        <f>SUMIFS(tblPlant[Mill_Unplanned_Down_h],tblPlant[Date],$A226)</f>
        <v/>
      </c>
      <c r="DH226" s="57">
        <f>IF($B226=$B225,$DH225,0)+$DG226</f>
        <v/>
      </c>
      <c r="DI226" s="57">
        <f>$DI225+$DG226</f>
        <v/>
      </c>
      <c r="DJ226" s="57">
        <f>COUNTIFS(tblPlant[Date],$A226,tblPlant[Mill_Run_h],"&lt;&gt;")*24</f>
        <v/>
      </c>
      <c r="DK226" s="57">
        <f>IF($B226=$B225,$DK225,0)+$DJ226</f>
        <v/>
      </c>
      <c r="DL226" s="57">
        <f>$DL225+$DJ226</f>
        <v/>
      </c>
      <c r="DM226" s="57">
        <f>SUMIFS(tblPlant[Crusher_Run_h],tblPlant[Date],$A226)</f>
        <v/>
      </c>
      <c r="DN226" s="57">
        <f>IF($B226=$B225,$DN225,0)+$DM226</f>
        <v/>
      </c>
      <c r="DO226" s="57">
        <f>$DO225+$DM226</f>
        <v/>
      </c>
      <c r="DP226" s="55">
        <f>IFERROR(IF(($DA226)&gt;0,($BZ226)/($DA226),""),"")</f>
        <v/>
      </c>
      <c r="DQ226" s="55">
        <f>IFERROR(IF(($DB226)&gt;0,($CA226)/($DB226),""),"")</f>
        <v/>
      </c>
      <c r="DR226" s="55">
        <f>IFERROR(IF(($DC226)&gt;0,($CB226)/($DC226),""),"")</f>
        <v/>
      </c>
      <c r="DS226" s="67">
        <f>IFERROR(IF(($DJ226)&gt;0,($DJ226-$DD226-$DG226)/($DJ226),""),"")</f>
        <v/>
      </c>
      <c r="DT226" s="67">
        <f>IFERROR(IF(($DK226)&gt;0,($DK226-$DE226-$DH226)/($DK226),""),"")</f>
        <v/>
      </c>
      <c r="DU226" s="67">
        <f>IFERROR(IF(($DL226)&gt;0,($DL226-$DF226-$DI226)/($DL226),""),"")</f>
        <v/>
      </c>
      <c r="DV226" s="67">
        <f>IFERROR(IF(($DJ226-$DD226-$DG226)&gt;0,($DA226)/($DJ226-$DD226-$DG226),""),"")</f>
        <v/>
      </c>
      <c r="DW226" s="67">
        <f>IFERROR(IF(($DK226-$DE226-$DH226)&gt;0,($DB226)/($DK226-$DE226-$DH226),""),"")</f>
        <v/>
      </c>
      <c r="DX226" s="67">
        <f>IFERROR(IF(($DL226-$DF226-$DI226)&gt;0,($DC226)/($DL226-$DF226-$DI226),""),"")</f>
        <v/>
      </c>
      <c r="DY226" s="55">
        <f>SUMIFS(tblPlant[Cyanide_kg],tblPlant[Date],$A226)</f>
        <v/>
      </c>
      <c r="DZ226" s="55">
        <f>IF($B226=$B225,$DZ225,0)+$DY226</f>
        <v/>
      </c>
      <c r="EA226" s="55">
        <f>$EA225+$DY226</f>
        <v/>
      </c>
      <c r="EB226" s="55">
        <f>SUMIFS(tblPlant[Lime_kg],tblPlant[Date],$A226)</f>
        <v/>
      </c>
      <c r="EC226" s="55">
        <f>IF($B226=$B225,$EC225,0)+$EB226</f>
        <v/>
      </c>
      <c r="ED226" s="55">
        <f>$ED225+$EB226</f>
        <v/>
      </c>
      <c r="EE226" s="55">
        <f>SUMIFS(tblPlant[Grinding_Media_kg],tblPlant[Date],$A226)</f>
        <v/>
      </c>
      <c r="EF226" s="55">
        <f>IF($B226=$B225,$EF225,0)+$EE226</f>
        <v/>
      </c>
      <c r="EG226" s="55">
        <f>$EG225+$EE226</f>
        <v/>
      </c>
      <c r="EH226" s="55">
        <f>SUMIFS(tblPlant[Power_kWh],tblPlant[Date],$A226)</f>
        <v/>
      </c>
      <c r="EI226" s="55">
        <f>IF($B226=$B225,$EI225,0)+$EH226</f>
        <v/>
      </c>
      <c r="EJ226" s="55">
        <f>$EJ225+$EH226</f>
        <v/>
      </c>
      <c r="EK226" s="55">
        <f>SUMIFS(tblPlant[Raw_Water_m3],tblPlant[Date],$A226)</f>
        <v/>
      </c>
      <c r="EL226" s="55">
        <f>IF($B226=$B225,$EL225,0)+$EK226</f>
        <v/>
      </c>
      <c r="EM226" s="55">
        <f>$EM225+$EK226</f>
        <v/>
      </c>
      <c r="EN226" s="56">
        <f>IFERROR(IF(($BZ226)&gt;0,($DY226)/($BZ226),""),"")</f>
        <v/>
      </c>
      <c r="EO226" s="56">
        <f>IFERROR(IF(($CA226)&gt;0,($DZ226)/($CA226),""),"")</f>
        <v/>
      </c>
      <c r="EP226" s="56">
        <f>IFERROR(IF(($CB226)&gt;0,($EA226)/($CB226),""),"")</f>
        <v/>
      </c>
      <c r="EQ226" s="56">
        <f>IFERROR(IF(($BZ226)&gt;0,($EB226)/($BZ226),""),"")</f>
        <v/>
      </c>
      <c r="ER226" s="56">
        <f>IFERROR(IF(($CA226)&gt;0,($EC226)/($CA226),""),"")</f>
        <v/>
      </c>
      <c r="ES226" s="56">
        <f>IFERROR(IF(($CB226)&gt;0,($ED226)/($CB226),""),"")</f>
        <v/>
      </c>
      <c r="ET226" s="56">
        <f>IFERROR(IF(($BZ226)&gt;0,($EE226)/($BZ226),""),"")</f>
        <v/>
      </c>
      <c r="EU226" s="56">
        <f>IFERROR(IF(($CA226)&gt;0,($EF226)/($CA226),""),"")</f>
        <v/>
      </c>
      <c r="EV226" s="56">
        <f>IFERROR(IF(($CB226)&gt;0,($EG226)/($CB226),""),"")</f>
        <v/>
      </c>
      <c r="EW226" s="76">
        <f>IFERROR(IF(($BZ226)&gt;0,($EH226)/($BZ226),""),"")</f>
        <v/>
      </c>
      <c r="EX226" s="76">
        <f>IFERROR(IF(($CA226)&gt;0,($EI226)/($CA226),""),"")</f>
        <v/>
      </c>
      <c r="EY226" s="76">
        <f>IFERROR(IF(($CB226)&gt;0,($EJ226)/($CB226),""),"")</f>
        <v/>
      </c>
      <c r="EZ226" s="56">
        <f>IFERROR(IF(($BZ226)&gt;0,($EK226)/($BZ226),""),"")</f>
        <v/>
      </c>
      <c r="FA226" s="56">
        <f>IFERROR(IF(($CA226)&gt;0,($EL226)/($CA226),""),"")</f>
        <v/>
      </c>
      <c r="FB226" s="56">
        <f>IFERROR(IF(($CB226)&gt;0,($EM226)/($CB226),""),"")</f>
        <v/>
      </c>
      <c r="FC226" s="55">
        <f>IF(SUMIFS(tblPlant[GIC_oz],tblPlant[Date],$A226)&gt;0,SUMIFS(tblPlant[GIC_oz],tblPlant[Date],$A226),"")</f>
        <v/>
      </c>
      <c r="FD226" s="55">
        <f>SUMIFS(tblGold[Gold_oz],tblGold[Date],$A226,tblGold[Type],"Shipment")</f>
        <v/>
      </c>
      <c r="FE226" s="55">
        <f>IF($B226=$B225,$FE225,0)+$FD226</f>
        <v/>
      </c>
      <c r="FF226" s="55">
        <f>$FF225+$FD226</f>
        <v/>
      </c>
      <c r="FG226" s="55">
        <f>SUMIFS(tblGold[Gold_oz],tblGold[Date],$A226,tblGold[Type],"Sale")</f>
        <v/>
      </c>
      <c r="FH226" s="55">
        <f>IF($B226=$B225,$FH225,0)+$FG226</f>
        <v/>
      </c>
      <c r="FI226" s="55">
        <f>$FI225+$FG226</f>
        <v/>
      </c>
      <c r="FJ226" s="55">
        <f>SUMIFS(tblGold[Dore_kg],tblGold[Date],$A226,tblGold[Type],"Shipment")</f>
        <v/>
      </c>
      <c r="FK226" s="55">
        <f>IF($B226=$B225,$FK225,0)+$FJ226</f>
        <v/>
      </c>
      <c r="FL226" s="55">
        <f>$FL225+$FJ226</f>
        <v/>
      </c>
      <c r="FM226" s="57">
        <f>SUMIFS(tblSafety[Hours_Total],tblSafety[Date],$A226)</f>
        <v/>
      </c>
      <c r="FN226" s="57">
        <f>IF($B226=$B225,$FN225,0)+$FM226</f>
        <v/>
      </c>
      <c r="FO226" s="57">
        <f>$FO225+$FM226</f>
        <v/>
      </c>
      <c r="FP226" s="62">
        <f>SUMIFS(tblSafety[Fatality],tblSafety[Date],$A226)</f>
        <v/>
      </c>
      <c r="FQ226" s="62">
        <f>IF($B226=$B225,$FQ225,0)+$FP226</f>
        <v/>
      </c>
      <c r="FR226" s="62">
        <f>$FR225+$FP226</f>
        <v/>
      </c>
      <c r="FS226" s="62">
        <f>SUMIFS(tblSafety[LTI],tblSafety[Date],$A226)</f>
        <v/>
      </c>
      <c r="FT226" s="62">
        <f>IF($B226=$B225,$FT225,0)+$FS226</f>
        <v/>
      </c>
      <c r="FU226" s="62">
        <f>$FU225+$FS226</f>
        <v/>
      </c>
      <c r="FV226" s="62">
        <f>SUMIFS(tblSafety[RWI],tblSafety[Date],$A226)</f>
        <v/>
      </c>
      <c r="FW226" s="62">
        <f>IF($B226=$B225,$FW225,0)+$FV226</f>
        <v/>
      </c>
      <c r="FX226" s="62">
        <f>$FX225+$FV226</f>
        <v/>
      </c>
      <c r="FY226" s="62">
        <f>SUMIFS(tblSafety[MTI],tblSafety[Date],$A226)</f>
        <v/>
      </c>
      <c r="FZ226" s="62">
        <f>IF($B226=$B225,$FZ225,0)+$FY226</f>
        <v/>
      </c>
      <c r="GA226" s="62">
        <f>$GA225+$FY226</f>
        <v/>
      </c>
      <c r="GB226" s="62">
        <f>SUMIFS(tblSafety[FAI],tblSafety[Date],$A226)</f>
        <v/>
      </c>
      <c r="GC226" s="62">
        <f>IF($B226=$B225,$GC225,0)+$GB226</f>
        <v/>
      </c>
      <c r="GD226" s="62">
        <f>$GD225+$GB226</f>
        <v/>
      </c>
      <c r="GE226" s="62">
        <f>SUMIFS(tblSafety[Recordables],tblSafety[Date],$A226)</f>
        <v/>
      </c>
      <c r="GF226" s="62">
        <f>IF($B226=$B225,$GF225,0)+$GE226</f>
        <v/>
      </c>
      <c r="GG226" s="62">
        <f>$GG225+$GE226</f>
        <v/>
      </c>
      <c r="GH226" s="62">
        <f>SUMIFS(tblSafety[Near_Miss],tblSafety[Date],$A226)</f>
        <v/>
      </c>
      <c r="GI226" s="62">
        <f>IF($B226=$B225,$GI225,0)+$GH226</f>
        <v/>
      </c>
      <c r="GJ226" s="62">
        <f>$GJ225+$GH226</f>
        <v/>
      </c>
      <c r="GK226" s="62">
        <f>SUMIFS(tblSafety[Hazard_Reports],tblSafety[Date],$A226)</f>
        <v/>
      </c>
      <c r="GL226" s="62">
        <f>IF($B226=$B225,$GL225,0)+$GK226</f>
        <v/>
      </c>
      <c r="GM226" s="62">
        <f>$GM225+$GK226</f>
        <v/>
      </c>
      <c r="GN226" s="62">
        <f>SUMIFS(tblSafety[HPI],tblSafety[Date],$A226)</f>
        <v/>
      </c>
      <c r="GO226" s="62">
        <f>IF($B226=$B225,$GO225,0)+$GN226</f>
        <v/>
      </c>
      <c r="GP226" s="62">
        <f>$GP225+$GN226</f>
        <v/>
      </c>
      <c r="GQ226" s="62">
        <f>SUMIFS(tblSafety[Env_Incidents],tblSafety[Date],$A226)</f>
        <v/>
      </c>
      <c r="GR226" s="62">
        <f>IF($B226=$B225,$GR225,0)+$GQ226</f>
        <v/>
      </c>
      <c r="GS226" s="62">
        <f>$GS225+$GQ226</f>
        <v/>
      </c>
      <c r="GT226" s="62">
        <f>SUMIFS(tblSafety[Community_Incidents],tblSafety[Date],$A226)</f>
        <v/>
      </c>
      <c r="GU226" s="62">
        <f>IF($B226=$B225,$GU225,0)+$GT226</f>
        <v/>
      </c>
      <c r="GV226" s="62">
        <f>$GV225+$GT226</f>
        <v/>
      </c>
      <c r="GW226" s="62">
        <f>SUMIFS(tblSafety[Vehicle_Incidents],tblSafety[Date],$A226)</f>
        <v/>
      </c>
      <c r="GX226" s="62">
        <f>IF($B226=$B225,$GX225,0)+$GW226</f>
        <v/>
      </c>
      <c r="GY226" s="62">
        <f>$GY225+$GW226</f>
        <v/>
      </c>
      <c r="GZ226" s="62">
        <f>SUMIFS(tblSafety[Toolbox_Talks],tblSafety[Date],$A226)</f>
        <v/>
      </c>
      <c r="HA226" s="62">
        <f>IF($B226=$B225,$HA225,0)+$GZ226</f>
        <v/>
      </c>
      <c r="HB226" s="62">
        <f>$HB225+$GZ226</f>
        <v/>
      </c>
      <c r="HC226" s="62">
        <f>SUMIFS(tblSafety[Inspections],tblSafety[Date],$A226)</f>
        <v/>
      </c>
      <c r="HD226" s="62">
        <f>IF($B226=$B225,$HD225,0)+$HC226</f>
        <v/>
      </c>
      <c r="HE226" s="62">
        <f>$HE225+$HC226</f>
        <v/>
      </c>
      <c r="HF226" s="56">
        <f>IFERROR((SUMIFS(tblSafety[Recordables],tblSafety[Date],"&gt;="&amp;EDATE($E226,-12),tblSafety[Date],"&lt;="&amp;$A226)+SUMIFS(tblSafetyHistory[Recordables],tblSafetyHistory[Month],"&gt;="&amp;EDATE($E226,-12),tblSafetyHistory[Month],"&lt;"&amp;cfg_YearStart))/(SUMIFS(tblSafety[Hours_Total],tblSafety[Date],"&gt;="&amp;EDATE($E226,-12),tblSafety[Date],"&lt;="&amp;$A226)+SUMIFS(tblSafetyHistory[Hours_Total],tblSafetyHistory[Month],"&gt;="&amp;EDATE($E226,-12),tblSafetyHistory[Month],"&lt;"&amp;cfg_YearStart))*1000000,"")</f>
        <v/>
      </c>
      <c r="HG226" s="56">
        <f>IFERROR((SUMIFS(tblSafety[LTI],tblSafety[Date],"&gt;="&amp;EDATE($E226,-12),tblSafety[Date],"&lt;="&amp;$A226)+SUMIFS(tblSafetyHistory[LTI],tblSafetyHistory[Month],"&gt;="&amp;EDATE($E226,-12),tblSafetyHistory[Month],"&lt;"&amp;cfg_YearStart))/(SUMIFS(tblSafety[Hours_Total],tblSafety[Date],"&gt;="&amp;EDATE($E226,-12),tblSafety[Date],"&lt;="&amp;$A226)+SUMIFS(tblSafetyHistory[Hours_Total],tblSafetyHistory[Month],"&gt;="&amp;EDATE($E226,-12),tblSafetyHistory[Month],"&lt;"&amp;cfg_YearStart))*1000000,"")</f>
        <v/>
      </c>
      <c r="HH226" s="62">
        <f>IF(MAX(N(cfg_PriorLTIDate),_xlfn.MAXIFS(tblSafety[Date],tblSafety[LTI],"&gt;0",tblSafety[Date],"&lt;="&amp;$A226))=0,"",$A226-MAX(N(cfg_PriorLTIDate),_xlfn.MAXIFS(tblSafety[Date],tblSafety[LTI],"&gt;0",tblSafety[Date],"&lt;="&amp;$A226)))</f>
        <v/>
      </c>
      <c r="HI226" s="55">
        <f>SUMIFS(tblBudget[Ore_Mined_t],tblBudget[Month],$E226)</f>
        <v/>
      </c>
      <c r="HJ226" s="55">
        <f>$HI226*$C226/$D226</f>
        <v/>
      </c>
      <c r="HK226" s="55">
        <f>SUMIFS(tblBudget[Ore_Mined_t],tblBudget[Month],"&lt;"&amp;$E226)+$HJ226</f>
        <v/>
      </c>
      <c r="HL226" s="55">
        <f>SUMIFS(tblBudget[Ore_oz],tblBudget[Month],$E226)</f>
        <v/>
      </c>
      <c r="HM226" s="55">
        <f>$HL226*$C226/$D226</f>
        <v/>
      </c>
      <c r="HN226" s="55">
        <f>SUMIFS(tblBudget[Ore_oz],tblBudget[Month],"&lt;"&amp;$E226)+$HM226</f>
        <v/>
      </c>
      <c r="HO226" s="56">
        <f>IFERROR(IF(($HI226)&gt;0,($HL226*cfg_TroyOz)/($HI226),""),"")</f>
        <v/>
      </c>
      <c r="HP226" s="56">
        <f>IFERROR(IF(($HJ226)&gt;0,($HM226*cfg_TroyOz)/($HJ226),""),"")</f>
        <v/>
      </c>
      <c r="HQ226" s="56">
        <f>IFERROR(IF(($HK226)&gt;0,($HN226*cfg_TroyOz)/($HK226),""),"")</f>
        <v/>
      </c>
      <c r="HR226" s="55">
        <f>SUMIFS(tblBudget[Waste_t],tblBudget[Month],$E226)</f>
        <v/>
      </c>
      <c r="HS226" s="55">
        <f>$HR226*$C226/$D226</f>
        <v/>
      </c>
      <c r="HT226" s="55">
        <f>SUMIFS(tblBudget[Waste_t],tblBudget[Month],"&lt;"&amp;$E226)+$HS226</f>
        <v/>
      </c>
      <c r="HU226" s="55">
        <f>SUMIFS(tblBudget[TMM_t],tblBudget[Month],$E226)</f>
        <v/>
      </c>
      <c r="HV226" s="55">
        <f>$HU226*$C226/$D226</f>
        <v/>
      </c>
      <c r="HW226" s="55">
        <f>SUMIFS(tblBudget[TMM_t],tblBudget[Month],"&lt;"&amp;$E226)+$HV226</f>
        <v/>
      </c>
      <c r="HX226" s="56">
        <f>IFERROR(IF(($HI226)&gt;0,($HR226)/($HI226),""),"")</f>
        <v/>
      </c>
      <c r="HY226" s="56">
        <f>IFERROR(IF(($HJ226)&gt;0,($HS226)/($HJ226),""),"")</f>
        <v/>
      </c>
      <c r="HZ226" s="56">
        <f>IFERROR(IF(($HK226)&gt;0,($HT226)/($HK226),""),"")</f>
        <v/>
      </c>
      <c r="IA226" s="55">
        <f>SUMIFS(tblBudget[Drill_m],tblBudget[Month],$E226)</f>
        <v/>
      </c>
      <c r="IB226" s="55">
        <f>$IA226*$C226/$D226</f>
        <v/>
      </c>
      <c r="IC226" s="55">
        <f>SUMIFS(tblBudget[Drill_m],tblBudget[Month],"&lt;"&amp;$E226)+$IB226</f>
        <v/>
      </c>
      <c r="ID226" s="55">
        <f>SUMIFS(tblBudget[Diesel_L],tblBudget[Month],$E226)</f>
        <v/>
      </c>
      <c r="IE226" s="55">
        <f>$ID226*$C226/$D226</f>
        <v/>
      </c>
      <c r="IF226" s="55">
        <f>SUMIFS(tblBudget[Diesel_L],tblBudget[Month],"&lt;"&amp;$E226)+$IE226</f>
        <v/>
      </c>
      <c r="IG226" s="55">
        <f>SUMIFS(tblBudget[Milled_t],tblBudget[Month],$E226)</f>
        <v/>
      </c>
      <c r="IH226" s="55">
        <f>$IG226*$C226/$D226</f>
        <v/>
      </c>
      <c r="II226" s="55">
        <f>SUMIFS(tblBudget[Milled_t],tblBudget[Month],"&lt;"&amp;$E226)+$IH226</f>
        <v/>
      </c>
      <c r="IJ226" s="55">
        <f>SUMIFS(tblBudget[Feed_oz],tblBudget[Month],$E226)</f>
        <v/>
      </c>
      <c r="IK226" s="55">
        <f>$IJ226*$C226/$D226</f>
        <v/>
      </c>
      <c r="IL226" s="55">
        <f>SUMIFS(tblBudget[Feed_oz],tblBudget[Month],"&lt;"&amp;$E226)+$IK226</f>
        <v/>
      </c>
      <c r="IM226" s="55">
        <f>SUMIFS(tblBudget[Recovered_oz],tblBudget[Month],$E226)</f>
        <v/>
      </c>
      <c r="IN226" s="55">
        <f>$IM226*$C226/$D226</f>
        <v/>
      </c>
      <c r="IO226" s="55">
        <f>SUMIFS(tblBudget[Recovered_oz],tblBudget[Month],"&lt;"&amp;$E226)+$IN226</f>
        <v/>
      </c>
      <c r="IP226" s="56">
        <f>IFERROR(IF(($IG226)&gt;0,($IJ226*cfg_TroyOz)/($IG226),""),"")</f>
        <v/>
      </c>
      <c r="IQ226" s="56">
        <f>IFERROR(IF(($IH226)&gt;0,($IK226*cfg_TroyOz)/($IH226),""),"")</f>
        <v/>
      </c>
      <c r="IR226" s="56">
        <f>IFERROR(IF(($II226)&gt;0,($IL226*cfg_TroyOz)/($II226),""),"")</f>
        <v/>
      </c>
      <c r="IS226" s="67">
        <f>IFERROR(IF(($IJ226)&gt;0,($IM226)/($IJ226),""),"")</f>
        <v/>
      </c>
      <c r="IT226" s="67">
        <f>IFERROR(IF(($IK226)&gt;0,($IN226)/($IK226),""),"")</f>
        <v/>
      </c>
      <c r="IU226" s="67">
        <f>IFERROR(IF(($IL226)&gt;0,($IO226)/($IL226),""),"")</f>
        <v/>
      </c>
      <c r="IV226" s="55">
        <f>SUMIFS(tblBudget[Gold_Poured_oz],tblBudget[Month],$E226)</f>
        <v/>
      </c>
      <c r="IW226" s="55">
        <f>$IV226*$C226/$D226</f>
        <v/>
      </c>
      <c r="IX226" s="55">
        <f>SUMIFS(tblBudget[Gold_Poured_oz],tblBudget[Month],"&lt;"&amp;$E226)+$IW226</f>
        <v/>
      </c>
      <c r="IY226" s="57">
        <f>SUMIFS(tblBudget[Hours_Worked],tblBudget[Month],$E226)</f>
        <v/>
      </c>
      <c r="IZ226" s="57">
        <f>$IY226*$C226/$D226</f>
        <v/>
      </c>
      <c r="JA226" s="57">
        <f>SUMIFS(tblBudget[Hours_Worked],tblBudget[Month],"&lt;"&amp;$E226)+$IZ226</f>
        <v/>
      </c>
    </row>
    <row r="227">
      <c r="A227" s="54" t="n">
        <v>46248</v>
      </c>
      <c r="B227">
        <f>MONTH($A227)</f>
        <v/>
      </c>
      <c r="C227">
        <f>DAY($A227)</f>
        <v/>
      </c>
      <c r="D227">
        <f>DAY(EOMONTH($A227,0))</f>
        <v/>
      </c>
      <c r="E227" s="54">
        <f>DATE(YEAR($A227),MONTH($A227),1)</f>
        <v/>
      </c>
      <c r="F227" s="55">
        <f>SUMIFS(tblMovement[Tonnes_t],tblMovement[Date],$A227,tblMovement[Is_Ore],1,tblMovement[Source_Type],"Pit")</f>
        <v/>
      </c>
      <c r="G227" s="55">
        <f>IF($B227=$B226,$G226,0)+$F227</f>
        <v/>
      </c>
      <c r="H227" s="55">
        <f>$H226+$F227</f>
        <v/>
      </c>
      <c r="I227" s="55">
        <f>SUMIFS(tblMovement[Ore_oz],tblMovement[Date],$A227,tblMovement[Source_Type],"Pit")</f>
        <v/>
      </c>
      <c r="J227" s="55">
        <f>IF($B227=$B226,$J226,0)+$I227</f>
        <v/>
      </c>
      <c r="K227" s="55">
        <f>$K226+$I227</f>
        <v/>
      </c>
      <c r="L227" s="56">
        <f>IFERROR(IF(($F227)&gt;0,($I227*cfg_TroyOz)/($F227),""),"")</f>
        <v/>
      </c>
      <c r="M227" s="56">
        <f>IFERROR(IF(($G227)&gt;0,($J227*cfg_TroyOz)/($G227),""),"")</f>
        <v/>
      </c>
      <c r="N227" s="56">
        <f>IFERROR(IF(($H227)&gt;0,($K227*cfg_TroyOz)/($H227),""),"")</f>
        <v/>
      </c>
      <c r="O227" s="55">
        <f>SUMIFS(tblMovement[Tonnes_t],tblMovement[Date],$A227,tblMovement[Is_Ore],0,tblMovement[Source_Type],"Pit")</f>
        <v/>
      </c>
      <c r="P227" s="55">
        <f>IF($B227=$B226,$P226,0)+$O227</f>
        <v/>
      </c>
      <c r="Q227" s="55">
        <f>$Q226+$O227</f>
        <v/>
      </c>
      <c r="R227" s="55">
        <f>$F227+$O227</f>
        <v/>
      </c>
      <c r="S227" s="55">
        <f>IF($B227=$B226,$S226,0)+$R227</f>
        <v/>
      </c>
      <c r="T227" s="55">
        <f>$T226+$R227</f>
        <v/>
      </c>
      <c r="U227" s="56">
        <f>IFERROR(IF(($F227)&gt;0,($O227)/($F227),""),"")</f>
        <v/>
      </c>
      <c r="V227" s="56">
        <f>IFERROR(IF(($G227)&gt;0,($P227)/($G227),""),"")</f>
        <v/>
      </c>
      <c r="W227" s="56">
        <f>IFERROR(IF(($H227)&gt;0,($Q227)/($H227),""),"")</f>
        <v/>
      </c>
      <c r="X227" s="55">
        <f>SUMIFS(tblMovement[Tonnes_t],tblMovement[Date],$A227,tblMovement[Source_Type],"Stockpile")</f>
        <v/>
      </c>
      <c r="Y227" s="55">
        <f>IF($B227=$B226,$Y226,0)+$X227</f>
        <v/>
      </c>
      <c r="Z227" s="55">
        <f>$Z226+$X227</f>
        <v/>
      </c>
      <c r="AA227" s="55">
        <f>SUMIFS(tblMiningDaily[Drill_m],tblMiningDaily[Date],$A227)</f>
        <v/>
      </c>
      <c r="AB227" s="55">
        <f>IF($B227=$B226,$AB226,0)+$AA227</f>
        <v/>
      </c>
      <c r="AC227" s="55">
        <f>$AC226+$AA227</f>
        <v/>
      </c>
      <c r="AD227" s="55">
        <f>SUMIFS(tblMiningDaily[Blast_t],tblMiningDaily[Date],$A227)</f>
        <v/>
      </c>
      <c r="AE227" s="55">
        <f>IF($B227=$B226,$AE226,0)+$AD227</f>
        <v/>
      </c>
      <c r="AF227" s="55">
        <f>$AF226+$AD227</f>
        <v/>
      </c>
      <c r="AG227" s="55">
        <f>SUMIFS(tblMiningDaily[Explosives_kg],tblMiningDaily[Date],$A227)</f>
        <v/>
      </c>
      <c r="AH227" s="55">
        <f>IF($B227=$B226,$AH226,0)+$AG227</f>
        <v/>
      </c>
      <c r="AI227" s="55">
        <f>$AI226+$AG227</f>
        <v/>
      </c>
      <c r="AJ227" s="56">
        <f>IFERROR(IF(($AD227)&gt;0,($AG227)/($AD227),""),"")</f>
        <v/>
      </c>
      <c r="AK227" s="56">
        <f>IFERROR(IF(($AE227)&gt;0,($AH227)/($AE227),""),"")</f>
        <v/>
      </c>
      <c r="AL227" s="56">
        <f>IFERROR(IF(($AF227)&gt;0,($AI227)/($AF227),""),"")</f>
        <v/>
      </c>
      <c r="AM227" s="55">
        <f>SUMIFS(tblMiningDaily[Diesel_L],tblMiningDaily[Date],$A227)</f>
        <v/>
      </c>
      <c r="AN227" s="55">
        <f>IF($B227=$B226,$AN226,0)+$AM227</f>
        <v/>
      </c>
      <c r="AO227" s="55">
        <f>$AO226+$AM227</f>
        <v/>
      </c>
      <c r="AP227" s="55">
        <f>SUMIFS(tblMiningDaily[Dewatering_m3],tblMiningDaily[Date],$A227)</f>
        <v/>
      </c>
      <c r="AQ227" s="55">
        <f>IF($B227=$B226,$AQ226,0)+$AP227</f>
        <v/>
      </c>
      <c r="AR227" s="55">
        <f>$AR226+$AP227</f>
        <v/>
      </c>
      <c r="AS227" s="57">
        <f>SUMIFS(tblFleet[Calendar_h],tblFleet[Date],$A227,tblFleet[Equipment_Class],"Excavator")</f>
        <v/>
      </c>
      <c r="AT227" s="57">
        <f>IF($B227=$B226,$AT226,0)+$AS227</f>
        <v/>
      </c>
      <c r="AU227" s="57">
        <f>$AU226+$AS227</f>
        <v/>
      </c>
      <c r="AV227" s="57">
        <f>SUMIFS(tblFleet[Available_h],tblFleet[Date],$A227,tblFleet[Equipment_Class],"Excavator")</f>
        <v/>
      </c>
      <c r="AW227" s="57">
        <f>IF($B227=$B226,$AW226,0)+$AV227</f>
        <v/>
      </c>
      <c r="AX227" s="57">
        <f>$AX226+$AV227</f>
        <v/>
      </c>
      <c r="AY227" s="57">
        <f>SUMIFS(tblFleet[Operating_h],tblFleet[Date],$A227,tblFleet[Equipment_Class],"Excavator")</f>
        <v/>
      </c>
      <c r="AZ227" s="57">
        <f>IF($B227=$B226,$AZ226,0)+$AY227</f>
        <v/>
      </c>
      <c r="BA227" s="57">
        <f>$BA226+$AY227</f>
        <v/>
      </c>
      <c r="BB227" s="67">
        <f>IFERROR(IF(($AS227)&gt;0,($AV227)/($AS227),""),"")</f>
        <v/>
      </c>
      <c r="BC227" s="67">
        <f>IFERROR(IF(($AT227)&gt;0,($AW227)/($AT227),""),"")</f>
        <v/>
      </c>
      <c r="BD227" s="67">
        <f>IFERROR(IF(($AU227)&gt;0,($AX227)/($AU227),""),"")</f>
        <v/>
      </c>
      <c r="BE227" s="67">
        <f>IFERROR(IF(($AV227)&gt;0,($AY227)/($AV227),""),"")</f>
        <v/>
      </c>
      <c r="BF227" s="67">
        <f>IFERROR(IF(($AW227)&gt;0,($AZ227)/($AW227),""),"")</f>
        <v/>
      </c>
      <c r="BG227" s="67">
        <f>IFERROR(IF(($AX227)&gt;0,($BA227)/($AX227),""),"")</f>
        <v/>
      </c>
      <c r="BH227" s="57">
        <f>SUMIFS(tblFleet[Calendar_h],tblFleet[Date],$A227,tblFleet[Equipment_Class],"Haul Truck")</f>
        <v/>
      </c>
      <c r="BI227" s="57">
        <f>IF($B227=$B226,$BI226,0)+$BH227</f>
        <v/>
      </c>
      <c r="BJ227" s="57">
        <f>$BJ226+$BH227</f>
        <v/>
      </c>
      <c r="BK227" s="57">
        <f>SUMIFS(tblFleet[Available_h],tblFleet[Date],$A227,tblFleet[Equipment_Class],"Haul Truck")</f>
        <v/>
      </c>
      <c r="BL227" s="57">
        <f>IF($B227=$B226,$BL226,0)+$BK227</f>
        <v/>
      </c>
      <c r="BM227" s="57">
        <f>$BM226+$BK227</f>
        <v/>
      </c>
      <c r="BN227" s="57">
        <f>SUMIFS(tblFleet[Operating_h],tblFleet[Date],$A227,tblFleet[Equipment_Class],"Haul Truck")</f>
        <v/>
      </c>
      <c r="BO227" s="57">
        <f>IF($B227=$B226,$BO226,0)+$BN227</f>
        <v/>
      </c>
      <c r="BP227" s="57">
        <f>$BP226+$BN227</f>
        <v/>
      </c>
      <c r="BQ227" s="67">
        <f>IFERROR(IF(($BH227)&gt;0,($BK227)/($BH227),""),"")</f>
        <v/>
      </c>
      <c r="BR227" s="67">
        <f>IFERROR(IF(($BI227)&gt;0,($BL227)/($BI227),""),"")</f>
        <v/>
      </c>
      <c r="BS227" s="67">
        <f>IFERROR(IF(($BJ227)&gt;0,($BM227)/($BJ227),""),"")</f>
        <v/>
      </c>
      <c r="BT227" s="67">
        <f>IFERROR(IF(($BK227)&gt;0,($BN227)/($BK227),""),"")</f>
        <v/>
      </c>
      <c r="BU227" s="67">
        <f>IFERROR(IF(($BL227)&gt;0,($BO227)/($BL227),""),"")</f>
        <v/>
      </c>
      <c r="BV227" s="67">
        <f>IFERROR(IF(($BM227)&gt;0,($BP227)/($BM227),""),"")</f>
        <v/>
      </c>
      <c r="BW227" s="55">
        <f>SUMIFS(tblPlant[Crushed_t],tblPlant[Date],$A227)</f>
        <v/>
      </c>
      <c r="BX227" s="55">
        <f>IF($B227=$B226,$BX226,0)+$BW227</f>
        <v/>
      </c>
      <c r="BY227" s="55">
        <f>$BY226+$BW227</f>
        <v/>
      </c>
      <c r="BZ227" s="55">
        <f>SUMIFS(tblPlant[Milled_t],tblPlant[Date],$A227)</f>
        <v/>
      </c>
      <c r="CA227" s="55">
        <f>IF($B227=$B226,$CA226,0)+$BZ227</f>
        <v/>
      </c>
      <c r="CB227" s="55">
        <f>$CB226+$BZ227</f>
        <v/>
      </c>
      <c r="CC227" s="55">
        <f>SUMIFS(tblPlant[Feed_oz],tblPlant[Date],$A227)</f>
        <v/>
      </c>
      <c r="CD227" s="55">
        <f>IF($B227=$B226,$CD226,0)+$CC227</f>
        <v/>
      </c>
      <c r="CE227" s="55">
        <f>$CE226+$CC227</f>
        <v/>
      </c>
      <c r="CF227" s="55">
        <f>SUMIFS(tblPlant[Tails_oz],tblPlant[Date],$A227)</f>
        <v/>
      </c>
      <c r="CG227" s="55">
        <f>IF($B227=$B226,$CG226,0)+$CF227</f>
        <v/>
      </c>
      <c r="CH227" s="55">
        <f>$CH226+$CF227</f>
        <v/>
      </c>
      <c r="CI227" s="55">
        <f>SUMIFS(tblPlant[Recovered_oz],tblPlant[Date],$A227)</f>
        <v/>
      </c>
      <c r="CJ227" s="55">
        <f>IF($B227=$B226,$CJ226,0)+$CI227</f>
        <v/>
      </c>
      <c r="CK227" s="55">
        <f>$CK226+$CI227</f>
        <v/>
      </c>
      <c r="CL227" s="56">
        <f>IFERROR(IF(($BZ227)&gt;0,($CC227*cfg_TroyOz)/($BZ227),""),"")</f>
        <v/>
      </c>
      <c r="CM227" s="56">
        <f>IFERROR(IF(($CA227)&gt;0,($CD227*cfg_TroyOz)/($CA227),""),"")</f>
        <v/>
      </c>
      <c r="CN227" s="56">
        <f>IFERROR(IF(($CB227)&gt;0,($CE227*cfg_TroyOz)/($CB227),""),"")</f>
        <v/>
      </c>
      <c r="CO227" s="56">
        <f>IFERROR(IF(($BZ227)&gt;0,($CF227*cfg_TroyOz)/($BZ227),""),"")</f>
        <v/>
      </c>
      <c r="CP227" s="56">
        <f>IFERROR(IF(($CA227)&gt;0,($CG227*cfg_TroyOz)/($CA227),""),"")</f>
        <v/>
      </c>
      <c r="CQ227" s="56">
        <f>IFERROR(IF(($CB227)&gt;0,($CH227*cfg_TroyOz)/($CB227),""),"")</f>
        <v/>
      </c>
      <c r="CR227" s="67">
        <f>IFERROR(IF(($CC227)&gt;0,($CI227)/($CC227),""),"")</f>
        <v/>
      </c>
      <c r="CS227" s="67">
        <f>IFERROR(IF(($CD227)&gt;0,($CJ227)/($CD227),""),"")</f>
        <v/>
      </c>
      <c r="CT227" s="67">
        <f>IFERROR(IF(($CE227)&gt;0,($CK227)/($CE227),""),"")</f>
        <v/>
      </c>
      <c r="CU227" s="55">
        <f>SUMIFS(tblPlant[Gravity_Gold_oz],tblPlant[Date],$A227)</f>
        <v/>
      </c>
      <c r="CV227" s="55">
        <f>IF($B227=$B226,$CV226,0)+$CU227</f>
        <v/>
      </c>
      <c r="CW227" s="55">
        <f>$CW226+$CU227</f>
        <v/>
      </c>
      <c r="CX227" s="55">
        <f>SUMIFS(tblPlant[Gold_Poured_oz],tblPlant[Date],$A227)</f>
        <v/>
      </c>
      <c r="CY227" s="55">
        <f>IF($B227=$B226,$CY226,0)+$CX227</f>
        <v/>
      </c>
      <c r="CZ227" s="55">
        <f>$CZ226+$CX227</f>
        <v/>
      </c>
      <c r="DA227" s="57">
        <f>SUMIFS(tblPlant[Mill_Run_h],tblPlant[Date],$A227)</f>
        <v/>
      </c>
      <c r="DB227" s="57">
        <f>IF($B227=$B226,$DB226,0)+$DA227</f>
        <v/>
      </c>
      <c r="DC227" s="57">
        <f>$DC226+$DA227</f>
        <v/>
      </c>
      <c r="DD227" s="57">
        <f>SUMIFS(tblPlant[Mill_Planned_Maint_h],tblPlant[Date],$A227)</f>
        <v/>
      </c>
      <c r="DE227" s="57">
        <f>IF($B227=$B226,$DE226,0)+$DD227</f>
        <v/>
      </c>
      <c r="DF227" s="57">
        <f>$DF226+$DD227</f>
        <v/>
      </c>
      <c r="DG227" s="57">
        <f>SUMIFS(tblPlant[Mill_Unplanned_Down_h],tblPlant[Date],$A227)</f>
        <v/>
      </c>
      <c r="DH227" s="57">
        <f>IF($B227=$B226,$DH226,0)+$DG227</f>
        <v/>
      </c>
      <c r="DI227" s="57">
        <f>$DI226+$DG227</f>
        <v/>
      </c>
      <c r="DJ227" s="57">
        <f>COUNTIFS(tblPlant[Date],$A227,tblPlant[Mill_Run_h],"&lt;&gt;")*24</f>
        <v/>
      </c>
      <c r="DK227" s="57">
        <f>IF($B227=$B226,$DK226,0)+$DJ227</f>
        <v/>
      </c>
      <c r="DL227" s="57">
        <f>$DL226+$DJ227</f>
        <v/>
      </c>
      <c r="DM227" s="57">
        <f>SUMIFS(tblPlant[Crusher_Run_h],tblPlant[Date],$A227)</f>
        <v/>
      </c>
      <c r="DN227" s="57">
        <f>IF($B227=$B226,$DN226,0)+$DM227</f>
        <v/>
      </c>
      <c r="DO227" s="57">
        <f>$DO226+$DM227</f>
        <v/>
      </c>
      <c r="DP227" s="55">
        <f>IFERROR(IF(($DA227)&gt;0,($BZ227)/($DA227),""),"")</f>
        <v/>
      </c>
      <c r="DQ227" s="55">
        <f>IFERROR(IF(($DB227)&gt;0,($CA227)/($DB227),""),"")</f>
        <v/>
      </c>
      <c r="DR227" s="55">
        <f>IFERROR(IF(($DC227)&gt;0,($CB227)/($DC227),""),"")</f>
        <v/>
      </c>
      <c r="DS227" s="67">
        <f>IFERROR(IF(($DJ227)&gt;0,($DJ227-$DD227-$DG227)/($DJ227),""),"")</f>
        <v/>
      </c>
      <c r="DT227" s="67">
        <f>IFERROR(IF(($DK227)&gt;0,($DK227-$DE227-$DH227)/($DK227),""),"")</f>
        <v/>
      </c>
      <c r="DU227" s="67">
        <f>IFERROR(IF(($DL227)&gt;0,($DL227-$DF227-$DI227)/($DL227),""),"")</f>
        <v/>
      </c>
      <c r="DV227" s="67">
        <f>IFERROR(IF(($DJ227-$DD227-$DG227)&gt;0,($DA227)/($DJ227-$DD227-$DG227),""),"")</f>
        <v/>
      </c>
      <c r="DW227" s="67">
        <f>IFERROR(IF(($DK227-$DE227-$DH227)&gt;0,($DB227)/($DK227-$DE227-$DH227),""),"")</f>
        <v/>
      </c>
      <c r="DX227" s="67">
        <f>IFERROR(IF(($DL227-$DF227-$DI227)&gt;0,($DC227)/($DL227-$DF227-$DI227),""),"")</f>
        <v/>
      </c>
      <c r="DY227" s="55">
        <f>SUMIFS(tblPlant[Cyanide_kg],tblPlant[Date],$A227)</f>
        <v/>
      </c>
      <c r="DZ227" s="55">
        <f>IF($B227=$B226,$DZ226,0)+$DY227</f>
        <v/>
      </c>
      <c r="EA227" s="55">
        <f>$EA226+$DY227</f>
        <v/>
      </c>
      <c r="EB227" s="55">
        <f>SUMIFS(tblPlant[Lime_kg],tblPlant[Date],$A227)</f>
        <v/>
      </c>
      <c r="EC227" s="55">
        <f>IF($B227=$B226,$EC226,0)+$EB227</f>
        <v/>
      </c>
      <c r="ED227" s="55">
        <f>$ED226+$EB227</f>
        <v/>
      </c>
      <c r="EE227" s="55">
        <f>SUMIFS(tblPlant[Grinding_Media_kg],tblPlant[Date],$A227)</f>
        <v/>
      </c>
      <c r="EF227" s="55">
        <f>IF($B227=$B226,$EF226,0)+$EE227</f>
        <v/>
      </c>
      <c r="EG227" s="55">
        <f>$EG226+$EE227</f>
        <v/>
      </c>
      <c r="EH227" s="55">
        <f>SUMIFS(tblPlant[Power_kWh],tblPlant[Date],$A227)</f>
        <v/>
      </c>
      <c r="EI227" s="55">
        <f>IF($B227=$B226,$EI226,0)+$EH227</f>
        <v/>
      </c>
      <c r="EJ227" s="55">
        <f>$EJ226+$EH227</f>
        <v/>
      </c>
      <c r="EK227" s="55">
        <f>SUMIFS(tblPlant[Raw_Water_m3],tblPlant[Date],$A227)</f>
        <v/>
      </c>
      <c r="EL227" s="55">
        <f>IF($B227=$B226,$EL226,0)+$EK227</f>
        <v/>
      </c>
      <c r="EM227" s="55">
        <f>$EM226+$EK227</f>
        <v/>
      </c>
      <c r="EN227" s="56">
        <f>IFERROR(IF(($BZ227)&gt;0,($DY227)/($BZ227),""),"")</f>
        <v/>
      </c>
      <c r="EO227" s="56">
        <f>IFERROR(IF(($CA227)&gt;0,($DZ227)/($CA227),""),"")</f>
        <v/>
      </c>
      <c r="EP227" s="56">
        <f>IFERROR(IF(($CB227)&gt;0,($EA227)/($CB227),""),"")</f>
        <v/>
      </c>
      <c r="EQ227" s="56">
        <f>IFERROR(IF(($BZ227)&gt;0,($EB227)/($BZ227),""),"")</f>
        <v/>
      </c>
      <c r="ER227" s="56">
        <f>IFERROR(IF(($CA227)&gt;0,($EC227)/($CA227),""),"")</f>
        <v/>
      </c>
      <c r="ES227" s="56">
        <f>IFERROR(IF(($CB227)&gt;0,($ED227)/($CB227),""),"")</f>
        <v/>
      </c>
      <c r="ET227" s="56">
        <f>IFERROR(IF(($BZ227)&gt;0,($EE227)/($BZ227),""),"")</f>
        <v/>
      </c>
      <c r="EU227" s="56">
        <f>IFERROR(IF(($CA227)&gt;0,($EF227)/($CA227),""),"")</f>
        <v/>
      </c>
      <c r="EV227" s="56">
        <f>IFERROR(IF(($CB227)&gt;0,($EG227)/($CB227),""),"")</f>
        <v/>
      </c>
      <c r="EW227" s="76">
        <f>IFERROR(IF(($BZ227)&gt;0,($EH227)/($BZ227),""),"")</f>
        <v/>
      </c>
      <c r="EX227" s="76">
        <f>IFERROR(IF(($CA227)&gt;0,($EI227)/($CA227),""),"")</f>
        <v/>
      </c>
      <c r="EY227" s="76">
        <f>IFERROR(IF(($CB227)&gt;0,($EJ227)/($CB227),""),"")</f>
        <v/>
      </c>
      <c r="EZ227" s="56">
        <f>IFERROR(IF(($BZ227)&gt;0,($EK227)/($BZ227),""),"")</f>
        <v/>
      </c>
      <c r="FA227" s="56">
        <f>IFERROR(IF(($CA227)&gt;0,($EL227)/($CA227),""),"")</f>
        <v/>
      </c>
      <c r="FB227" s="56">
        <f>IFERROR(IF(($CB227)&gt;0,($EM227)/($CB227),""),"")</f>
        <v/>
      </c>
      <c r="FC227" s="55">
        <f>IF(SUMIFS(tblPlant[GIC_oz],tblPlant[Date],$A227)&gt;0,SUMIFS(tblPlant[GIC_oz],tblPlant[Date],$A227),"")</f>
        <v/>
      </c>
      <c r="FD227" s="55">
        <f>SUMIFS(tblGold[Gold_oz],tblGold[Date],$A227,tblGold[Type],"Shipment")</f>
        <v/>
      </c>
      <c r="FE227" s="55">
        <f>IF($B227=$B226,$FE226,0)+$FD227</f>
        <v/>
      </c>
      <c r="FF227" s="55">
        <f>$FF226+$FD227</f>
        <v/>
      </c>
      <c r="FG227" s="55">
        <f>SUMIFS(tblGold[Gold_oz],tblGold[Date],$A227,tblGold[Type],"Sale")</f>
        <v/>
      </c>
      <c r="FH227" s="55">
        <f>IF($B227=$B226,$FH226,0)+$FG227</f>
        <v/>
      </c>
      <c r="FI227" s="55">
        <f>$FI226+$FG227</f>
        <v/>
      </c>
      <c r="FJ227" s="55">
        <f>SUMIFS(tblGold[Dore_kg],tblGold[Date],$A227,tblGold[Type],"Shipment")</f>
        <v/>
      </c>
      <c r="FK227" s="55">
        <f>IF($B227=$B226,$FK226,0)+$FJ227</f>
        <v/>
      </c>
      <c r="FL227" s="55">
        <f>$FL226+$FJ227</f>
        <v/>
      </c>
      <c r="FM227" s="57">
        <f>SUMIFS(tblSafety[Hours_Total],tblSafety[Date],$A227)</f>
        <v/>
      </c>
      <c r="FN227" s="57">
        <f>IF($B227=$B226,$FN226,0)+$FM227</f>
        <v/>
      </c>
      <c r="FO227" s="57">
        <f>$FO226+$FM227</f>
        <v/>
      </c>
      <c r="FP227" s="62">
        <f>SUMIFS(tblSafety[Fatality],tblSafety[Date],$A227)</f>
        <v/>
      </c>
      <c r="FQ227" s="62">
        <f>IF($B227=$B226,$FQ226,0)+$FP227</f>
        <v/>
      </c>
      <c r="FR227" s="62">
        <f>$FR226+$FP227</f>
        <v/>
      </c>
      <c r="FS227" s="62">
        <f>SUMIFS(tblSafety[LTI],tblSafety[Date],$A227)</f>
        <v/>
      </c>
      <c r="FT227" s="62">
        <f>IF($B227=$B226,$FT226,0)+$FS227</f>
        <v/>
      </c>
      <c r="FU227" s="62">
        <f>$FU226+$FS227</f>
        <v/>
      </c>
      <c r="FV227" s="62">
        <f>SUMIFS(tblSafety[RWI],tblSafety[Date],$A227)</f>
        <v/>
      </c>
      <c r="FW227" s="62">
        <f>IF($B227=$B226,$FW226,0)+$FV227</f>
        <v/>
      </c>
      <c r="FX227" s="62">
        <f>$FX226+$FV227</f>
        <v/>
      </c>
      <c r="FY227" s="62">
        <f>SUMIFS(tblSafety[MTI],tblSafety[Date],$A227)</f>
        <v/>
      </c>
      <c r="FZ227" s="62">
        <f>IF($B227=$B226,$FZ226,0)+$FY227</f>
        <v/>
      </c>
      <c r="GA227" s="62">
        <f>$GA226+$FY227</f>
        <v/>
      </c>
      <c r="GB227" s="62">
        <f>SUMIFS(tblSafety[FAI],tblSafety[Date],$A227)</f>
        <v/>
      </c>
      <c r="GC227" s="62">
        <f>IF($B227=$B226,$GC226,0)+$GB227</f>
        <v/>
      </c>
      <c r="GD227" s="62">
        <f>$GD226+$GB227</f>
        <v/>
      </c>
      <c r="GE227" s="62">
        <f>SUMIFS(tblSafety[Recordables],tblSafety[Date],$A227)</f>
        <v/>
      </c>
      <c r="GF227" s="62">
        <f>IF($B227=$B226,$GF226,0)+$GE227</f>
        <v/>
      </c>
      <c r="GG227" s="62">
        <f>$GG226+$GE227</f>
        <v/>
      </c>
      <c r="GH227" s="62">
        <f>SUMIFS(tblSafety[Near_Miss],tblSafety[Date],$A227)</f>
        <v/>
      </c>
      <c r="GI227" s="62">
        <f>IF($B227=$B226,$GI226,0)+$GH227</f>
        <v/>
      </c>
      <c r="GJ227" s="62">
        <f>$GJ226+$GH227</f>
        <v/>
      </c>
      <c r="GK227" s="62">
        <f>SUMIFS(tblSafety[Hazard_Reports],tblSafety[Date],$A227)</f>
        <v/>
      </c>
      <c r="GL227" s="62">
        <f>IF($B227=$B226,$GL226,0)+$GK227</f>
        <v/>
      </c>
      <c r="GM227" s="62">
        <f>$GM226+$GK227</f>
        <v/>
      </c>
      <c r="GN227" s="62">
        <f>SUMIFS(tblSafety[HPI],tblSafety[Date],$A227)</f>
        <v/>
      </c>
      <c r="GO227" s="62">
        <f>IF($B227=$B226,$GO226,0)+$GN227</f>
        <v/>
      </c>
      <c r="GP227" s="62">
        <f>$GP226+$GN227</f>
        <v/>
      </c>
      <c r="GQ227" s="62">
        <f>SUMIFS(tblSafety[Env_Incidents],tblSafety[Date],$A227)</f>
        <v/>
      </c>
      <c r="GR227" s="62">
        <f>IF($B227=$B226,$GR226,0)+$GQ227</f>
        <v/>
      </c>
      <c r="GS227" s="62">
        <f>$GS226+$GQ227</f>
        <v/>
      </c>
      <c r="GT227" s="62">
        <f>SUMIFS(tblSafety[Community_Incidents],tblSafety[Date],$A227)</f>
        <v/>
      </c>
      <c r="GU227" s="62">
        <f>IF($B227=$B226,$GU226,0)+$GT227</f>
        <v/>
      </c>
      <c r="GV227" s="62">
        <f>$GV226+$GT227</f>
        <v/>
      </c>
      <c r="GW227" s="62">
        <f>SUMIFS(tblSafety[Vehicle_Incidents],tblSafety[Date],$A227)</f>
        <v/>
      </c>
      <c r="GX227" s="62">
        <f>IF($B227=$B226,$GX226,0)+$GW227</f>
        <v/>
      </c>
      <c r="GY227" s="62">
        <f>$GY226+$GW227</f>
        <v/>
      </c>
      <c r="GZ227" s="62">
        <f>SUMIFS(tblSafety[Toolbox_Talks],tblSafety[Date],$A227)</f>
        <v/>
      </c>
      <c r="HA227" s="62">
        <f>IF($B227=$B226,$HA226,0)+$GZ227</f>
        <v/>
      </c>
      <c r="HB227" s="62">
        <f>$HB226+$GZ227</f>
        <v/>
      </c>
      <c r="HC227" s="62">
        <f>SUMIFS(tblSafety[Inspections],tblSafety[Date],$A227)</f>
        <v/>
      </c>
      <c r="HD227" s="62">
        <f>IF($B227=$B226,$HD226,0)+$HC227</f>
        <v/>
      </c>
      <c r="HE227" s="62">
        <f>$HE226+$HC227</f>
        <v/>
      </c>
      <c r="HF227" s="56">
        <f>IFERROR((SUMIFS(tblSafety[Recordables],tblSafety[Date],"&gt;="&amp;EDATE($E227,-12),tblSafety[Date],"&lt;="&amp;$A227)+SUMIFS(tblSafetyHistory[Recordables],tblSafetyHistory[Month],"&gt;="&amp;EDATE($E227,-12),tblSafetyHistory[Month],"&lt;"&amp;cfg_YearStart))/(SUMIFS(tblSafety[Hours_Total],tblSafety[Date],"&gt;="&amp;EDATE($E227,-12),tblSafety[Date],"&lt;="&amp;$A227)+SUMIFS(tblSafetyHistory[Hours_Total],tblSafetyHistory[Month],"&gt;="&amp;EDATE($E227,-12),tblSafetyHistory[Month],"&lt;"&amp;cfg_YearStart))*1000000,"")</f>
        <v/>
      </c>
      <c r="HG227" s="56">
        <f>IFERROR((SUMIFS(tblSafety[LTI],tblSafety[Date],"&gt;="&amp;EDATE($E227,-12),tblSafety[Date],"&lt;="&amp;$A227)+SUMIFS(tblSafetyHistory[LTI],tblSafetyHistory[Month],"&gt;="&amp;EDATE($E227,-12),tblSafetyHistory[Month],"&lt;"&amp;cfg_YearStart))/(SUMIFS(tblSafety[Hours_Total],tblSafety[Date],"&gt;="&amp;EDATE($E227,-12),tblSafety[Date],"&lt;="&amp;$A227)+SUMIFS(tblSafetyHistory[Hours_Total],tblSafetyHistory[Month],"&gt;="&amp;EDATE($E227,-12),tblSafetyHistory[Month],"&lt;"&amp;cfg_YearStart))*1000000,"")</f>
        <v/>
      </c>
      <c r="HH227" s="62">
        <f>IF(MAX(N(cfg_PriorLTIDate),_xlfn.MAXIFS(tblSafety[Date],tblSafety[LTI],"&gt;0",tblSafety[Date],"&lt;="&amp;$A227))=0,"",$A227-MAX(N(cfg_PriorLTIDate),_xlfn.MAXIFS(tblSafety[Date],tblSafety[LTI],"&gt;0",tblSafety[Date],"&lt;="&amp;$A227)))</f>
        <v/>
      </c>
      <c r="HI227" s="55">
        <f>SUMIFS(tblBudget[Ore_Mined_t],tblBudget[Month],$E227)</f>
        <v/>
      </c>
      <c r="HJ227" s="55">
        <f>$HI227*$C227/$D227</f>
        <v/>
      </c>
      <c r="HK227" s="55">
        <f>SUMIFS(tblBudget[Ore_Mined_t],tblBudget[Month],"&lt;"&amp;$E227)+$HJ227</f>
        <v/>
      </c>
      <c r="HL227" s="55">
        <f>SUMIFS(tblBudget[Ore_oz],tblBudget[Month],$E227)</f>
        <v/>
      </c>
      <c r="HM227" s="55">
        <f>$HL227*$C227/$D227</f>
        <v/>
      </c>
      <c r="HN227" s="55">
        <f>SUMIFS(tblBudget[Ore_oz],tblBudget[Month],"&lt;"&amp;$E227)+$HM227</f>
        <v/>
      </c>
      <c r="HO227" s="56">
        <f>IFERROR(IF(($HI227)&gt;0,($HL227*cfg_TroyOz)/($HI227),""),"")</f>
        <v/>
      </c>
      <c r="HP227" s="56">
        <f>IFERROR(IF(($HJ227)&gt;0,($HM227*cfg_TroyOz)/($HJ227),""),"")</f>
        <v/>
      </c>
      <c r="HQ227" s="56">
        <f>IFERROR(IF(($HK227)&gt;0,($HN227*cfg_TroyOz)/($HK227),""),"")</f>
        <v/>
      </c>
      <c r="HR227" s="55">
        <f>SUMIFS(tblBudget[Waste_t],tblBudget[Month],$E227)</f>
        <v/>
      </c>
      <c r="HS227" s="55">
        <f>$HR227*$C227/$D227</f>
        <v/>
      </c>
      <c r="HT227" s="55">
        <f>SUMIFS(tblBudget[Waste_t],tblBudget[Month],"&lt;"&amp;$E227)+$HS227</f>
        <v/>
      </c>
      <c r="HU227" s="55">
        <f>SUMIFS(tblBudget[TMM_t],tblBudget[Month],$E227)</f>
        <v/>
      </c>
      <c r="HV227" s="55">
        <f>$HU227*$C227/$D227</f>
        <v/>
      </c>
      <c r="HW227" s="55">
        <f>SUMIFS(tblBudget[TMM_t],tblBudget[Month],"&lt;"&amp;$E227)+$HV227</f>
        <v/>
      </c>
      <c r="HX227" s="56">
        <f>IFERROR(IF(($HI227)&gt;0,($HR227)/($HI227),""),"")</f>
        <v/>
      </c>
      <c r="HY227" s="56">
        <f>IFERROR(IF(($HJ227)&gt;0,($HS227)/($HJ227),""),"")</f>
        <v/>
      </c>
      <c r="HZ227" s="56">
        <f>IFERROR(IF(($HK227)&gt;0,($HT227)/($HK227),""),"")</f>
        <v/>
      </c>
      <c r="IA227" s="55">
        <f>SUMIFS(tblBudget[Drill_m],tblBudget[Month],$E227)</f>
        <v/>
      </c>
      <c r="IB227" s="55">
        <f>$IA227*$C227/$D227</f>
        <v/>
      </c>
      <c r="IC227" s="55">
        <f>SUMIFS(tblBudget[Drill_m],tblBudget[Month],"&lt;"&amp;$E227)+$IB227</f>
        <v/>
      </c>
      <c r="ID227" s="55">
        <f>SUMIFS(tblBudget[Diesel_L],tblBudget[Month],$E227)</f>
        <v/>
      </c>
      <c r="IE227" s="55">
        <f>$ID227*$C227/$D227</f>
        <v/>
      </c>
      <c r="IF227" s="55">
        <f>SUMIFS(tblBudget[Diesel_L],tblBudget[Month],"&lt;"&amp;$E227)+$IE227</f>
        <v/>
      </c>
      <c r="IG227" s="55">
        <f>SUMIFS(tblBudget[Milled_t],tblBudget[Month],$E227)</f>
        <v/>
      </c>
      <c r="IH227" s="55">
        <f>$IG227*$C227/$D227</f>
        <v/>
      </c>
      <c r="II227" s="55">
        <f>SUMIFS(tblBudget[Milled_t],tblBudget[Month],"&lt;"&amp;$E227)+$IH227</f>
        <v/>
      </c>
      <c r="IJ227" s="55">
        <f>SUMIFS(tblBudget[Feed_oz],tblBudget[Month],$E227)</f>
        <v/>
      </c>
      <c r="IK227" s="55">
        <f>$IJ227*$C227/$D227</f>
        <v/>
      </c>
      <c r="IL227" s="55">
        <f>SUMIFS(tblBudget[Feed_oz],tblBudget[Month],"&lt;"&amp;$E227)+$IK227</f>
        <v/>
      </c>
      <c r="IM227" s="55">
        <f>SUMIFS(tblBudget[Recovered_oz],tblBudget[Month],$E227)</f>
        <v/>
      </c>
      <c r="IN227" s="55">
        <f>$IM227*$C227/$D227</f>
        <v/>
      </c>
      <c r="IO227" s="55">
        <f>SUMIFS(tblBudget[Recovered_oz],tblBudget[Month],"&lt;"&amp;$E227)+$IN227</f>
        <v/>
      </c>
      <c r="IP227" s="56">
        <f>IFERROR(IF(($IG227)&gt;0,($IJ227*cfg_TroyOz)/($IG227),""),"")</f>
        <v/>
      </c>
      <c r="IQ227" s="56">
        <f>IFERROR(IF(($IH227)&gt;0,($IK227*cfg_TroyOz)/($IH227),""),"")</f>
        <v/>
      </c>
      <c r="IR227" s="56">
        <f>IFERROR(IF(($II227)&gt;0,($IL227*cfg_TroyOz)/($II227),""),"")</f>
        <v/>
      </c>
      <c r="IS227" s="67">
        <f>IFERROR(IF(($IJ227)&gt;0,($IM227)/($IJ227),""),"")</f>
        <v/>
      </c>
      <c r="IT227" s="67">
        <f>IFERROR(IF(($IK227)&gt;0,($IN227)/($IK227),""),"")</f>
        <v/>
      </c>
      <c r="IU227" s="67">
        <f>IFERROR(IF(($IL227)&gt;0,($IO227)/($IL227),""),"")</f>
        <v/>
      </c>
      <c r="IV227" s="55">
        <f>SUMIFS(tblBudget[Gold_Poured_oz],tblBudget[Month],$E227)</f>
        <v/>
      </c>
      <c r="IW227" s="55">
        <f>$IV227*$C227/$D227</f>
        <v/>
      </c>
      <c r="IX227" s="55">
        <f>SUMIFS(tblBudget[Gold_Poured_oz],tblBudget[Month],"&lt;"&amp;$E227)+$IW227</f>
        <v/>
      </c>
      <c r="IY227" s="57">
        <f>SUMIFS(tblBudget[Hours_Worked],tblBudget[Month],$E227)</f>
        <v/>
      </c>
      <c r="IZ227" s="57">
        <f>$IY227*$C227/$D227</f>
        <v/>
      </c>
      <c r="JA227" s="57">
        <f>SUMIFS(tblBudget[Hours_Worked],tblBudget[Month],"&lt;"&amp;$E227)+$IZ227</f>
        <v/>
      </c>
    </row>
    <row r="228">
      <c r="A228" s="54" t="n">
        <v>46249</v>
      </c>
      <c r="B228">
        <f>MONTH($A228)</f>
        <v/>
      </c>
      <c r="C228">
        <f>DAY($A228)</f>
        <v/>
      </c>
      <c r="D228">
        <f>DAY(EOMONTH($A228,0))</f>
        <v/>
      </c>
      <c r="E228" s="54">
        <f>DATE(YEAR($A228),MONTH($A228),1)</f>
        <v/>
      </c>
      <c r="F228" s="55">
        <f>SUMIFS(tblMovement[Tonnes_t],tblMovement[Date],$A228,tblMovement[Is_Ore],1,tblMovement[Source_Type],"Pit")</f>
        <v/>
      </c>
      <c r="G228" s="55">
        <f>IF($B228=$B227,$G227,0)+$F228</f>
        <v/>
      </c>
      <c r="H228" s="55">
        <f>$H227+$F228</f>
        <v/>
      </c>
      <c r="I228" s="55">
        <f>SUMIFS(tblMovement[Ore_oz],tblMovement[Date],$A228,tblMovement[Source_Type],"Pit")</f>
        <v/>
      </c>
      <c r="J228" s="55">
        <f>IF($B228=$B227,$J227,0)+$I228</f>
        <v/>
      </c>
      <c r="K228" s="55">
        <f>$K227+$I228</f>
        <v/>
      </c>
      <c r="L228" s="56">
        <f>IFERROR(IF(($F228)&gt;0,($I228*cfg_TroyOz)/($F228),""),"")</f>
        <v/>
      </c>
      <c r="M228" s="56">
        <f>IFERROR(IF(($G228)&gt;0,($J228*cfg_TroyOz)/($G228),""),"")</f>
        <v/>
      </c>
      <c r="N228" s="56">
        <f>IFERROR(IF(($H228)&gt;0,($K228*cfg_TroyOz)/($H228),""),"")</f>
        <v/>
      </c>
      <c r="O228" s="55">
        <f>SUMIFS(tblMovement[Tonnes_t],tblMovement[Date],$A228,tblMovement[Is_Ore],0,tblMovement[Source_Type],"Pit")</f>
        <v/>
      </c>
      <c r="P228" s="55">
        <f>IF($B228=$B227,$P227,0)+$O228</f>
        <v/>
      </c>
      <c r="Q228" s="55">
        <f>$Q227+$O228</f>
        <v/>
      </c>
      <c r="R228" s="55">
        <f>$F228+$O228</f>
        <v/>
      </c>
      <c r="S228" s="55">
        <f>IF($B228=$B227,$S227,0)+$R228</f>
        <v/>
      </c>
      <c r="T228" s="55">
        <f>$T227+$R228</f>
        <v/>
      </c>
      <c r="U228" s="56">
        <f>IFERROR(IF(($F228)&gt;0,($O228)/($F228),""),"")</f>
        <v/>
      </c>
      <c r="V228" s="56">
        <f>IFERROR(IF(($G228)&gt;0,($P228)/($G228),""),"")</f>
        <v/>
      </c>
      <c r="W228" s="56">
        <f>IFERROR(IF(($H228)&gt;0,($Q228)/($H228),""),"")</f>
        <v/>
      </c>
      <c r="X228" s="55">
        <f>SUMIFS(tblMovement[Tonnes_t],tblMovement[Date],$A228,tblMovement[Source_Type],"Stockpile")</f>
        <v/>
      </c>
      <c r="Y228" s="55">
        <f>IF($B228=$B227,$Y227,0)+$X228</f>
        <v/>
      </c>
      <c r="Z228" s="55">
        <f>$Z227+$X228</f>
        <v/>
      </c>
      <c r="AA228" s="55">
        <f>SUMIFS(tblMiningDaily[Drill_m],tblMiningDaily[Date],$A228)</f>
        <v/>
      </c>
      <c r="AB228" s="55">
        <f>IF($B228=$B227,$AB227,0)+$AA228</f>
        <v/>
      </c>
      <c r="AC228" s="55">
        <f>$AC227+$AA228</f>
        <v/>
      </c>
      <c r="AD228" s="55">
        <f>SUMIFS(tblMiningDaily[Blast_t],tblMiningDaily[Date],$A228)</f>
        <v/>
      </c>
      <c r="AE228" s="55">
        <f>IF($B228=$B227,$AE227,0)+$AD228</f>
        <v/>
      </c>
      <c r="AF228" s="55">
        <f>$AF227+$AD228</f>
        <v/>
      </c>
      <c r="AG228" s="55">
        <f>SUMIFS(tblMiningDaily[Explosives_kg],tblMiningDaily[Date],$A228)</f>
        <v/>
      </c>
      <c r="AH228" s="55">
        <f>IF($B228=$B227,$AH227,0)+$AG228</f>
        <v/>
      </c>
      <c r="AI228" s="55">
        <f>$AI227+$AG228</f>
        <v/>
      </c>
      <c r="AJ228" s="56">
        <f>IFERROR(IF(($AD228)&gt;0,($AG228)/($AD228),""),"")</f>
        <v/>
      </c>
      <c r="AK228" s="56">
        <f>IFERROR(IF(($AE228)&gt;0,($AH228)/($AE228),""),"")</f>
        <v/>
      </c>
      <c r="AL228" s="56">
        <f>IFERROR(IF(($AF228)&gt;0,($AI228)/($AF228),""),"")</f>
        <v/>
      </c>
      <c r="AM228" s="55">
        <f>SUMIFS(tblMiningDaily[Diesel_L],tblMiningDaily[Date],$A228)</f>
        <v/>
      </c>
      <c r="AN228" s="55">
        <f>IF($B228=$B227,$AN227,0)+$AM228</f>
        <v/>
      </c>
      <c r="AO228" s="55">
        <f>$AO227+$AM228</f>
        <v/>
      </c>
      <c r="AP228" s="55">
        <f>SUMIFS(tblMiningDaily[Dewatering_m3],tblMiningDaily[Date],$A228)</f>
        <v/>
      </c>
      <c r="AQ228" s="55">
        <f>IF($B228=$B227,$AQ227,0)+$AP228</f>
        <v/>
      </c>
      <c r="AR228" s="55">
        <f>$AR227+$AP228</f>
        <v/>
      </c>
      <c r="AS228" s="57">
        <f>SUMIFS(tblFleet[Calendar_h],tblFleet[Date],$A228,tblFleet[Equipment_Class],"Excavator")</f>
        <v/>
      </c>
      <c r="AT228" s="57">
        <f>IF($B228=$B227,$AT227,0)+$AS228</f>
        <v/>
      </c>
      <c r="AU228" s="57">
        <f>$AU227+$AS228</f>
        <v/>
      </c>
      <c r="AV228" s="57">
        <f>SUMIFS(tblFleet[Available_h],tblFleet[Date],$A228,tblFleet[Equipment_Class],"Excavator")</f>
        <v/>
      </c>
      <c r="AW228" s="57">
        <f>IF($B228=$B227,$AW227,0)+$AV228</f>
        <v/>
      </c>
      <c r="AX228" s="57">
        <f>$AX227+$AV228</f>
        <v/>
      </c>
      <c r="AY228" s="57">
        <f>SUMIFS(tblFleet[Operating_h],tblFleet[Date],$A228,tblFleet[Equipment_Class],"Excavator")</f>
        <v/>
      </c>
      <c r="AZ228" s="57">
        <f>IF($B228=$B227,$AZ227,0)+$AY228</f>
        <v/>
      </c>
      <c r="BA228" s="57">
        <f>$BA227+$AY228</f>
        <v/>
      </c>
      <c r="BB228" s="67">
        <f>IFERROR(IF(($AS228)&gt;0,($AV228)/($AS228),""),"")</f>
        <v/>
      </c>
      <c r="BC228" s="67">
        <f>IFERROR(IF(($AT228)&gt;0,($AW228)/($AT228),""),"")</f>
        <v/>
      </c>
      <c r="BD228" s="67">
        <f>IFERROR(IF(($AU228)&gt;0,($AX228)/($AU228),""),"")</f>
        <v/>
      </c>
      <c r="BE228" s="67">
        <f>IFERROR(IF(($AV228)&gt;0,($AY228)/($AV228),""),"")</f>
        <v/>
      </c>
      <c r="BF228" s="67">
        <f>IFERROR(IF(($AW228)&gt;0,($AZ228)/($AW228),""),"")</f>
        <v/>
      </c>
      <c r="BG228" s="67">
        <f>IFERROR(IF(($AX228)&gt;0,($BA228)/($AX228),""),"")</f>
        <v/>
      </c>
      <c r="BH228" s="57">
        <f>SUMIFS(tblFleet[Calendar_h],tblFleet[Date],$A228,tblFleet[Equipment_Class],"Haul Truck")</f>
        <v/>
      </c>
      <c r="BI228" s="57">
        <f>IF($B228=$B227,$BI227,0)+$BH228</f>
        <v/>
      </c>
      <c r="BJ228" s="57">
        <f>$BJ227+$BH228</f>
        <v/>
      </c>
      <c r="BK228" s="57">
        <f>SUMIFS(tblFleet[Available_h],tblFleet[Date],$A228,tblFleet[Equipment_Class],"Haul Truck")</f>
        <v/>
      </c>
      <c r="BL228" s="57">
        <f>IF($B228=$B227,$BL227,0)+$BK228</f>
        <v/>
      </c>
      <c r="BM228" s="57">
        <f>$BM227+$BK228</f>
        <v/>
      </c>
      <c r="BN228" s="57">
        <f>SUMIFS(tblFleet[Operating_h],tblFleet[Date],$A228,tblFleet[Equipment_Class],"Haul Truck")</f>
        <v/>
      </c>
      <c r="BO228" s="57">
        <f>IF($B228=$B227,$BO227,0)+$BN228</f>
        <v/>
      </c>
      <c r="BP228" s="57">
        <f>$BP227+$BN228</f>
        <v/>
      </c>
      <c r="BQ228" s="67">
        <f>IFERROR(IF(($BH228)&gt;0,($BK228)/($BH228),""),"")</f>
        <v/>
      </c>
      <c r="BR228" s="67">
        <f>IFERROR(IF(($BI228)&gt;0,($BL228)/($BI228),""),"")</f>
        <v/>
      </c>
      <c r="BS228" s="67">
        <f>IFERROR(IF(($BJ228)&gt;0,($BM228)/($BJ228),""),"")</f>
        <v/>
      </c>
      <c r="BT228" s="67">
        <f>IFERROR(IF(($BK228)&gt;0,($BN228)/($BK228),""),"")</f>
        <v/>
      </c>
      <c r="BU228" s="67">
        <f>IFERROR(IF(($BL228)&gt;0,($BO228)/($BL228),""),"")</f>
        <v/>
      </c>
      <c r="BV228" s="67">
        <f>IFERROR(IF(($BM228)&gt;0,($BP228)/($BM228),""),"")</f>
        <v/>
      </c>
      <c r="BW228" s="55">
        <f>SUMIFS(tblPlant[Crushed_t],tblPlant[Date],$A228)</f>
        <v/>
      </c>
      <c r="BX228" s="55">
        <f>IF($B228=$B227,$BX227,0)+$BW228</f>
        <v/>
      </c>
      <c r="BY228" s="55">
        <f>$BY227+$BW228</f>
        <v/>
      </c>
      <c r="BZ228" s="55">
        <f>SUMIFS(tblPlant[Milled_t],tblPlant[Date],$A228)</f>
        <v/>
      </c>
      <c r="CA228" s="55">
        <f>IF($B228=$B227,$CA227,0)+$BZ228</f>
        <v/>
      </c>
      <c r="CB228" s="55">
        <f>$CB227+$BZ228</f>
        <v/>
      </c>
      <c r="CC228" s="55">
        <f>SUMIFS(tblPlant[Feed_oz],tblPlant[Date],$A228)</f>
        <v/>
      </c>
      <c r="CD228" s="55">
        <f>IF($B228=$B227,$CD227,0)+$CC228</f>
        <v/>
      </c>
      <c r="CE228" s="55">
        <f>$CE227+$CC228</f>
        <v/>
      </c>
      <c r="CF228" s="55">
        <f>SUMIFS(tblPlant[Tails_oz],tblPlant[Date],$A228)</f>
        <v/>
      </c>
      <c r="CG228" s="55">
        <f>IF($B228=$B227,$CG227,0)+$CF228</f>
        <v/>
      </c>
      <c r="CH228" s="55">
        <f>$CH227+$CF228</f>
        <v/>
      </c>
      <c r="CI228" s="55">
        <f>SUMIFS(tblPlant[Recovered_oz],tblPlant[Date],$A228)</f>
        <v/>
      </c>
      <c r="CJ228" s="55">
        <f>IF($B228=$B227,$CJ227,0)+$CI228</f>
        <v/>
      </c>
      <c r="CK228" s="55">
        <f>$CK227+$CI228</f>
        <v/>
      </c>
      <c r="CL228" s="56">
        <f>IFERROR(IF(($BZ228)&gt;0,($CC228*cfg_TroyOz)/($BZ228),""),"")</f>
        <v/>
      </c>
      <c r="CM228" s="56">
        <f>IFERROR(IF(($CA228)&gt;0,($CD228*cfg_TroyOz)/($CA228),""),"")</f>
        <v/>
      </c>
      <c r="CN228" s="56">
        <f>IFERROR(IF(($CB228)&gt;0,($CE228*cfg_TroyOz)/($CB228),""),"")</f>
        <v/>
      </c>
      <c r="CO228" s="56">
        <f>IFERROR(IF(($BZ228)&gt;0,($CF228*cfg_TroyOz)/($BZ228),""),"")</f>
        <v/>
      </c>
      <c r="CP228" s="56">
        <f>IFERROR(IF(($CA228)&gt;0,($CG228*cfg_TroyOz)/($CA228),""),"")</f>
        <v/>
      </c>
      <c r="CQ228" s="56">
        <f>IFERROR(IF(($CB228)&gt;0,($CH228*cfg_TroyOz)/($CB228),""),"")</f>
        <v/>
      </c>
      <c r="CR228" s="67">
        <f>IFERROR(IF(($CC228)&gt;0,($CI228)/($CC228),""),"")</f>
        <v/>
      </c>
      <c r="CS228" s="67">
        <f>IFERROR(IF(($CD228)&gt;0,($CJ228)/($CD228),""),"")</f>
        <v/>
      </c>
      <c r="CT228" s="67">
        <f>IFERROR(IF(($CE228)&gt;0,($CK228)/($CE228),""),"")</f>
        <v/>
      </c>
      <c r="CU228" s="55">
        <f>SUMIFS(tblPlant[Gravity_Gold_oz],tblPlant[Date],$A228)</f>
        <v/>
      </c>
      <c r="CV228" s="55">
        <f>IF($B228=$B227,$CV227,0)+$CU228</f>
        <v/>
      </c>
      <c r="CW228" s="55">
        <f>$CW227+$CU228</f>
        <v/>
      </c>
      <c r="CX228" s="55">
        <f>SUMIFS(tblPlant[Gold_Poured_oz],tblPlant[Date],$A228)</f>
        <v/>
      </c>
      <c r="CY228" s="55">
        <f>IF($B228=$B227,$CY227,0)+$CX228</f>
        <v/>
      </c>
      <c r="CZ228" s="55">
        <f>$CZ227+$CX228</f>
        <v/>
      </c>
      <c r="DA228" s="57">
        <f>SUMIFS(tblPlant[Mill_Run_h],tblPlant[Date],$A228)</f>
        <v/>
      </c>
      <c r="DB228" s="57">
        <f>IF($B228=$B227,$DB227,0)+$DA228</f>
        <v/>
      </c>
      <c r="DC228" s="57">
        <f>$DC227+$DA228</f>
        <v/>
      </c>
      <c r="DD228" s="57">
        <f>SUMIFS(tblPlant[Mill_Planned_Maint_h],tblPlant[Date],$A228)</f>
        <v/>
      </c>
      <c r="DE228" s="57">
        <f>IF($B228=$B227,$DE227,0)+$DD228</f>
        <v/>
      </c>
      <c r="DF228" s="57">
        <f>$DF227+$DD228</f>
        <v/>
      </c>
      <c r="DG228" s="57">
        <f>SUMIFS(tblPlant[Mill_Unplanned_Down_h],tblPlant[Date],$A228)</f>
        <v/>
      </c>
      <c r="DH228" s="57">
        <f>IF($B228=$B227,$DH227,0)+$DG228</f>
        <v/>
      </c>
      <c r="DI228" s="57">
        <f>$DI227+$DG228</f>
        <v/>
      </c>
      <c r="DJ228" s="57">
        <f>COUNTIFS(tblPlant[Date],$A228,tblPlant[Mill_Run_h],"&lt;&gt;")*24</f>
        <v/>
      </c>
      <c r="DK228" s="57">
        <f>IF($B228=$B227,$DK227,0)+$DJ228</f>
        <v/>
      </c>
      <c r="DL228" s="57">
        <f>$DL227+$DJ228</f>
        <v/>
      </c>
      <c r="DM228" s="57">
        <f>SUMIFS(tblPlant[Crusher_Run_h],tblPlant[Date],$A228)</f>
        <v/>
      </c>
      <c r="DN228" s="57">
        <f>IF($B228=$B227,$DN227,0)+$DM228</f>
        <v/>
      </c>
      <c r="DO228" s="57">
        <f>$DO227+$DM228</f>
        <v/>
      </c>
      <c r="DP228" s="55">
        <f>IFERROR(IF(($DA228)&gt;0,($BZ228)/($DA228),""),"")</f>
        <v/>
      </c>
      <c r="DQ228" s="55">
        <f>IFERROR(IF(($DB228)&gt;0,($CA228)/($DB228),""),"")</f>
        <v/>
      </c>
      <c r="DR228" s="55">
        <f>IFERROR(IF(($DC228)&gt;0,($CB228)/($DC228),""),"")</f>
        <v/>
      </c>
      <c r="DS228" s="67">
        <f>IFERROR(IF(($DJ228)&gt;0,($DJ228-$DD228-$DG228)/($DJ228),""),"")</f>
        <v/>
      </c>
      <c r="DT228" s="67">
        <f>IFERROR(IF(($DK228)&gt;0,($DK228-$DE228-$DH228)/($DK228),""),"")</f>
        <v/>
      </c>
      <c r="DU228" s="67">
        <f>IFERROR(IF(($DL228)&gt;0,($DL228-$DF228-$DI228)/($DL228),""),"")</f>
        <v/>
      </c>
      <c r="DV228" s="67">
        <f>IFERROR(IF(($DJ228-$DD228-$DG228)&gt;0,($DA228)/($DJ228-$DD228-$DG228),""),"")</f>
        <v/>
      </c>
      <c r="DW228" s="67">
        <f>IFERROR(IF(($DK228-$DE228-$DH228)&gt;0,($DB228)/($DK228-$DE228-$DH228),""),"")</f>
        <v/>
      </c>
      <c r="DX228" s="67">
        <f>IFERROR(IF(($DL228-$DF228-$DI228)&gt;0,($DC228)/($DL228-$DF228-$DI228),""),"")</f>
        <v/>
      </c>
      <c r="DY228" s="55">
        <f>SUMIFS(tblPlant[Cyanide_kg],tblPlant[Date],$A228)</f>
        <v/>
      </c>
      <c r="DZ228" s="55">
        <f>IF($B228=$B227,$DZ227,0)+$DY228</f>
        <v/>
      </c>
      <c r="EA228" s="55">
        <f>$EA227+$DY228</f>
        <v/>
      </c>
      <c r="EB228" s="55">
        <f>SUMIFS(tblPlant[Lime_kg],tblPlant[Date],$A228)</f>
        <v/>
      </c>
      <c r="EC228" s="55">
        <f>IF($B228=$B227,$EC227,0)+$EB228</f>
        <v/>
      </c>
      <c r="ED228" s="55">
        <f>$ED227+$EB228</f>
        <v/>
      </c>
      <c r="EE228" s="55">
        <f>SUMIFS(tblPlant[Grinding_Media_kg],tblPlant[Date],$A228)</f>
        <v/>
      </c>
      <c r="EF228" s="55">
        <f>IF($B228=$B227,$EF227,0)+$EE228</f>
        <v/>
      </c>
      <c r="EG228" s="55">
        <f>$EG227+$EE228</f>
        <v/>
      </c>
      <c r="EH228" s="55">
        <f>SUMIFS(tblPlant[Power_kWh],tblPlant[Date],$A228)</f>
        <v/>
      </c>
      <c r="EI228" s="55">
        <f>IF($B228=$B227,$EI227,0)+$EH228</f>
        <v/>
      </c>
      <c r="EJ228" s="55">
        <f>$EJ227+$EH228</f>
        <v/>
      </c>
      <c r="EK228" s="55">
        <f>SUMIFS(tblPlant[Raw_Water_m3],tblPlant[Date],$A228)</f>
        <v/>
      </c>
      <c r="EL228" s="55">
        <f>IF($B228=$B227,$EL227,0)+$EK228</f>
        <v/>
      </c>
      <c r="EM228" s="55">
        <f>$EM227+$EK228</f>
        <v/>
      </c>
      <c r="EN228" s="56">
        <f>IFERROR(IF(($BZ228)&gt;0,($DY228)/($BZ228),""),"")</f>
        <v/>
      </c>
      <c r="EO228" s="56">
        <f>IFERROR(IF(($CA228)&gt;0,($DZ228)/($CA228),""),"")</f>
        <v/>
      </c>
      <c r="EP228" s="56">
        <f>IFERROR(IF(($CB228)&gt;0,($EA228)/($CB228),""),"")</f>
        <v/>
      </c>
      <c r="EQ228" s="56">
        <f>IFERROR(IF(($BZ228)&gt;0,($EB228)/($BZ228),""),"")</f>
        <v/>
      </c>
      <c r="ER228" s="56">
        <f>IFERROR(IF(($CA228)&gt;0,($EC228)/($CA228),""),"")</f>
        <v/>
      </c>
      <c r="ES228" s="56">
        <f>IFERROR(IF(($CB228)&gt;0,($ED228)/($CB228),""),"")</f>
        <v/>
      </c>
      <c r="ET228" s="56">
        <f>IFERROR(IF(($BZ228)&gt;0,($EE228)/($BZ228),""),"")</f>
        <v/>
      </c>
      <c r="EU228" s="56">
        <f>IFERROR(IF(($CA228)&gt;0,($EF228)/($CA228),""),"")</f>
        <v/>
      </c>
      <c r="EV228" s="56">
        <f>IFERROR(IF(($CB228)&gt;0,($EG228)/($CB228),""),"")</f>
        <v/>
      </c>
      <c r="EW228" s="76">
        <f>IFERROR(IF(($BZ228)&gt;0,($EH228)/($BZ228),""),"")</f>
        <v/>
      </c>
      <c r="EX228" s="76">
        <f>IFERROR(IF(($CA228)&gt;0,($EI228)/($CA228),""),"")</f>
        <v/>
      </c>
      <c r="EY228" s="76">
        <f>IFERROR(IF(($CB228)&gt;0,($EJ228)/($CB228),""),"")</f>
        <v/>
      </c>
      <c r="EZ228" s="56">
        <f>IFERROR(IF(($BZ228)&gt;0,($EK228)/($BZ228),""),"")</f>
        <v/>
      </c>
      <c r="FA228" s="56">
        <f>IFERROR(IF(($CA228)&gt;0,($EL228)/($CA228),""),"")</f>
        <v/>
      </c>
      <c r="FB228" s="56">
        <f>IFERROR(IF(($CB228)&gt;0,($EM228)/($CB228),""),"")</f>
        <v/>
      </c>
      <c r="FC228" s="55">
        <f>IF(SUMIFS(tblPlant[GIC_oz],tblPlant[Date],$A228)&gt;0,SUMIFS(tblPlant[GIC_oz],tblPlant[Date],$A228),"")</f>
        <v/>
      </c>
      <c r="FD228" s="55">
        <f>SUMIFS(tblGold[Gold_oz],tblGold[Date],$A228,tblGold[Type],"Shipment")</f>
        <v/>
      </c>
      <c r="FE228" s="55">
        <f>IF($B228=$B227,$FE227,0)+$FD228</f>
        <v/>
      </c>
      <c r="FF228" s="55">
        <f>$FF227+$FD228</f>
        <v/>
      </c>
      <c r="FG228" s="55">
        <f>SUMIFS(tblGold[Gold_oz],tblGold[Date],$A228,tblGold[Type],"Sale")</f>
        <v/>
      </c>
      <c r="FH228" s="55">
        <f>IF($B228=$B227,$FH227,0)+$FG228</f>
        <v/>
      </c>
      <c r="FI228" s="55">
        <f>$FI227+$FG228</f>
        <v/>
      </c>
      <c r="FJ228" s="55">
        <f>SUMIFS(tblGold[Dore_kg],tblGold[Date],$A228,tblGold[Type],"Shipment")</f>
        <v/>
      </c>
      <c r="FK228" s="55">
        <f>IF($B228=$B227,$FK227,0)+$FJ228</f>
        <v/>
      </c>
      <c r="FL228" s="55">
        <f>$FL227+$FJ228</f>
        <v/>
      </c>
      <c r="FM228" s="57">
        <f>SUMIFS(tblSafety[Hours_Total],tblSafety[Date],$A228)</f>
        <v/>
      </c>
      <c r="FN228" s="57">
        <f>IF($B228=$B227,$FN227,0)+$FM228</f>
        <v/>
      </c>
      <c r="FO228" s="57">
        <f>$FO227+$FM228</f>
        <v/>
      </c>
      <c r="FP228" s="62">
        <f>SUMIFS(tblSafety[Fatality],tblSafety[Date],$A228)</f>
        <v/>
      </c>
      <c r="FQ228" s="62">
        <f>IF($B228=$B227,$FQ227,0)+$FP228</f>
        <v/>
      </c>
      <c r="FR228" s="62">
        <f>$FR227+$FP228</f>
        <v/>
      </c>
      <c r="FS228" s="62">
        <f>SUMIFS(tblSafety[LTI],tblSafety[Date],$A228)</f>
        <v/>
      </c>
      <c r="FT228" s="62">
        <f>IF($B228=$B227,$FT227,0)+$FS228</f>
        <v/>
      </c>
      <c r="FU228" s="62">
        <f>$FU227+$FS228</f>
        <v/>
      </c>
      <c r="FV228" s="62">
        <f>SUMIFS(tblSafety[RWI],tblSafety[Date],$A228)</f>
        <v/>
      </c>
      <c r="FW228" s="62">
        <f>IF($B228=$B227,$FW227,0)+$FV228</f>
        <v/>
      </c>
      <c r="FX228" s="62">
        <f>$FX227+$FV228</f>
        <v/>
      </c>
      <c r="FY228" s="62">
        <f>SUMIFS(tblSafety[MTI],tblSafety[Date],$A228)</f>
        <v/>
      </c>
      <c r="FZ228" s="62">
        <f>IF($B228=$B227,$FZ227,0)+$FY228</f>
        <v/>
      </c>
      <c r="GA228" s="62">
        <f>$GA227+$FY228</f>
        <v/>
      </c>
      <c r="GB228" s="62">
        <f>SUMIFS(tblSafety[FAI],tblSafety[Date],$A228)</f>
        <v/>
      </c>
      <c r="GC228" s="62">
        <f>IF($B228=$B227,$GC227,0)+$GB228</f>
        <v/>
      </c>
      <c r="GD228" s="62">
        <f>$GD227+$GB228</f>
        <v/>
      </c>
      <c r="GE228" s="62">
        <f>SUMIFS(tblSafety[Recordables],tblSafety[Date],$A228)</f>
        <v/>
      </c>
      <c r="GF228" s="62">
        <f>IF($B228=$B227,$GF227,0)+$GE228</f>
        <v/>
      </c>
      <c r="GG228" s="62">
        <f>$GG227+$GE228</f>
        <v/>
      </c>
      <c r="GH228" s="62">
        <f>SUMIFS(tblSafety[Near_Miss],tblSafety[Date],$A228)</f>
        <v/>
      </c>
      <c r="GI228" s="62">
        <f>IF($B228=$B227,$GI227,0)+$GH228</f>
        <v/>
      </c>
      <c r="GJ228" s="62">
        <f>$GJ227+$GH228</f>
        <v/>
      </c>
      <c r="GK228" s="62">
        <f>SUMIFS(tblSafety[Hazard_Reports],tblSafety[Date],$A228)</f>
        <v/>
      </c>
      <c r="GL228" s="62">
        <f>IF($B228=$B227,$GL227,0)+$GK228</f>
        <v/>
      </c>
      <c r="GM228" s="62">
        <f>$GM227+$GK228</f>
        <v/>
      </c>
      <c r="GN228" s="62">
        <f>SUMIFS(tblSafety[HPI],tblSafety[Date],$A228)</f>
        <v/>
      </c>
      <c r="GO228" s="62">
        <f>IF($B228=$B227,$GO227,0)+$GN228</f>
        <v/>
      </c>
      <c r="GP228" s="62">
        <f>$GP227+$GN228</f>
        <v/>
      </c>
      <c r="GQ228" s="62">
        <f>SUMIFS(tblSafety[Env_Incidents],tblSafety[Date],$A228)</f>
        <v/>
      </c>
      <c r="GR228" s="62">
        <f>IF($B228=$B227,$GR227,0)+$GQ228</f>
        <v/>
      </c>
      <c r="GS228" s="62">
        <f>$GS227+$GQ228</f>
        <v/>
      </c>
      <c r="GT228" s="62">
        <f>SUMIFS(tblSafety[Community_Incidents],tblSafety[Date],$A228)</f>
        <v/>
      </c>
      <c r="GU228" s="62">
        <f>IF($B228=$B227,$GU227,0)+$GT228</f>
        <v/>
      </c>
      <c r="GV228" s="62">
        <f>$GV227+$GT228</f>
        <v/>
      </c>
      <c r="GW228" s="62">
        <f>SUMIFS(tblSafety[Vehicle_Incidents],tblSafety[Date],$A228)</f>
        <v/>
      </c>
      <c r="GX228" s="62">
        <f>IF($B228=$B227,$GX227,0)+$GW228</f>
        <v/>
      </c>
      <c r="GY228" s="62">
        <f>$GY227+$GW228</f>
        <v/>
      </c>
      <c r="GZ228" s="62">
        <f>SUMIFS(tblSafety[Toolbox_Talks],tblSafety[Date],$A228)</f>
        <v/>
      </c>
      <c r="HA228" s="62">
        <f>IF($B228=$B227,$HA227,0)+$GZ228</f>
        <v/>
      </c>
      <c r="HB228" s="62">
        <f>$HB227+$GZ228</f>
        <v/>
      </c>
      <c r="HC228" s="62">
        <f>SUMIFS(tblSafety[Inspections],tblSafety[Date],$A228)</f>
        <v/>
      </c>
      <c r="HD228" s="62">
        <f>IF($B228=$B227,$HD227,0)+$HC228</f>
        <v/>
      </c>
      <c r="HE228" s="62">
        <f>$HE227+$HC228</f>
        <v/>
      </c>
      <c r="HF228" s="56">
        <f>IFERROR((SUMIFS(tblSafety[Recordables],tblSafety[Date],"&gt;="&amp;EDATE($E228,-12),tblSafety[Date],"&lt;="&amp;$A228)+SUMIFS(tblSafetyHistory[Recordables],tblSafetyHistory[Month],"&gt;="&amp;EDATE($E228,-12),tblSafetyHistory[Month],"&lt;"&amp;cfg_YearStart))/(SUMIFS(tblSafety[Hours_Total],tblSafety[Date],"&gt;="&amp;EDATE($E228,-12),tblSafety[Date],"&lt;="&amp;$A228)+SUMIFS(tblSafetyHistory[Hours_Total],tblSafetyHistory[Month],"&gt;="&amp;EDATE($E228,-12),tblSafetyHistory[Month],"&lt;"&amp;cfg_YearStart))*1000000,"")</f>
        <v/>
      </c>
      <c r="HG228" s="56">
        <f>IFERROR((SUMIFS(tblSafety[LTI],tblSafety[Date],"&gt;="&amp;EDATE($E228,-12),tblSafety[Date],"&lt;="&amp;$A228)+SUMIFS(tblSafetyHistory[LTI],tblSafetyHistory[Month],"&gt;="&amp;EDATE($E228,-12),tblSafetyHistory[Month],"&lt;"&amp;cfg_YearStart))/(SUMIFS(tblSafety[Hours_Total],tblSafety[Date],"&gt;="&amp;EDATE($E228,-12),tblSafety[Date],"&lt;="&amp;$A228)+SUMIFS(tblSafetyHistory[Hours_Total],tblSafetyHistory[Month],"&gt;="&amp;EDATE($E228,-12),tblSafetyHistory[Month],"&lt;"&amp;cfg_YearStart))*1000000,"")</f>
        <v/>
      </c>
      <c r="HH228" s="62">
        <f>IF(MAX(N(cfg_PriorLTIDate),_xlfn.MAXIFS(tblSafety[Date],tblSafety[LTI],"&gt;0",tblSafety[Date],"&lt;="&amp;$A228))=0,"",$A228-MAX(N(cfg_PriorLTIDate),_xlfn.MAXIFS(tblSafety[Date],tblSafety[LTI],"&gt;0",tblSafety[Date],"&lt;="&amp;$A228)))</f>
        <v/>
      </c>
      <c r="HI228" s="55">
        <f>SUMIFS(tblBudget[Ore_Mined_t],tblBudget[Month],$E228)</f>
        <v/>
      </c>
      <c r="HJ228" s="55">
        <f>$HI228*$C228/$D228</f>
        <v/>
      </c>
      <c r="HK228" s="55">
        <f>SUMIFS(tblBudget[Ore_Mined_t],tblBudget[Month],"&lt;"&amp;$E228)+$HJ228</f>
        <v/>
      </c>
      <c r="HL228" s="55">
        <f>SUMIFS(tblBudget[Ore_oz],tblBudget[Month],$E228)</f>
        <v/>
      </c>
      <c r="HM228" s="55">
        <f>$HL228*$C228/$D228</f>
        <v/>
      </c>
      <c r="HN228" s="55">
        <f>SUMIFS(tblBudget[Ore_oz],tblBudget[Month],"&lt;"&amp;$E228)+$HM228</f>
        <v/>
      </c>
      <c r="HO228" s="56">
        <f>IFERROR(IF(($HI228)&gt;0,($HL228*cfg_TroyOz)/($HI228),""),"")</f>
        <v/>
      </c>
      <c r="HP228" s="56">
        <f>IFERROR(IF(($HJ228)&gt;0,($HM228*cfg_TroyOz)/($HJ228),""),"")</f>
        <v/>
      </c>
      <c r="HQ228" s="56">
        <f>IFERROR(IF(($HK228)&gt;0,($HN228*cfg_TroyOz)/($HK228),""),"")</f>
        <v/>
      </c>
      <c r="HR228" s="55">
        <f>SUMIFS(tblBudget[Waste_t],tblBudget[Month],$E228)</f>
        <v/>
      </c>
      <c r="HS228" s="55">
        <f>$HR228*$C228/$D228</f>
        <v/>
      </c>
      <c r="HT228" s="55">
        <f>SUMIFS(tblBudget[Waste_t],tblBudget[Month],"&lt;"&amp;$E228)+$HS228</f>
        <v/>
      </c>
      <c r="HU228" s="55">
        <f>SUMIFS(tblBudget[TMM_t],tblBudget[Month],$E228)</f>
        <v/>
      </c>
      <c r="HV228" s="55">
        <f>$HU228*$C228/$D228</f>
        <v/>
      </c>
      <c r="HW228" s="55">
        <f>SUMIFS(tblBudget[TMM_t],tblBudget[Month],"&lt;"&amp;$E228)+$HV228</f>
        <v/>
      </c>
      <c r="HX228" s="56">
        <f>IFERROR(IF(($HI228)&gt;0,($HR228)/($HI228),""),"")</f>
        <v/>
      </c>
      <c r="HY228" s="56">
        <f>IFERROR(IF(($HJ228)&gt;0,($HS228)/($HJ228),""),"")</f>
        <v/>
      </c>
      <c r="HZ228" s="56">
        <f>IFERROR(IF(($HK228)&gt;0,($HT228)/($HK228),""),"")</f>
        <v/>
      </c>
      <c r="IA228" s="55">
        <f>SUMIFS(tblBudget[Drill_m],tblBudget[Month],$E228)</f>
        <v/>
      </c>
      <c r="IB228" s="55">
        <f>$IA228*$C228/$D228</f>
        <v/>
      </c>
      <c r="IC228" s="55">
        <f>SUMIFS(tblBudget[Drill_m],tblBudget[Month],"&lt;"&amp;$E228)+$IB228</f>
        <v/>
      </c>
      <c r="ID228" s="55">
        <f>SUMIFS(tblBudget[Diesel_L],tblBudget[Month],$E228)</f>
        <v/>
      </c>
      <c r="IE228" s="55">
        <f>$ID228*$C228/$D228</f>
        <v/>
      </c>
      <c r="IF228" s="55">
        <f>SUMIFS(tblBudget[Diesel_L],tblBudget[Month],"&lt;"&amp;$E228)+$IE228</f>
        <v/>
      </c>
      <c r="IG228" s="55">
        <f>SUMIFS(tblBudget[Milled_t],tblBudget[Month],$E228)</f>
        <v/>
      </c>
      <c r="IH228" s="55">
        <f>$IG228*$C228/$D228</f>
        <v/>
      </c>
      <c r="II228" s="55">
        <f>SUMIFS(tblBudget[Milled_t],tblBudget[Month],"&lt;"&amp;$E228)+$IH228</f>
        <v/>
      </c>
      <c r="IJ228" s="55">
        <f>SUMIFS(tblBudget[Feed_oz],tblBudget[Month],$E228)</f>
        <v/>
      </c>
      <c r="IK228" s="55">
        <f>$IJ228*$C228/$D228</f>
        <v/>
      </c>
      <c r="IL228" s="55">
        <f>SUMIFS(tblBudget[Feed_oz],tblBudget[Month],"&lt;"&amp;$E228)+$IK228</f>
        <v/>
      </c>
      <c r="IM228" s="55">
        <f>SUMIFS(tblBudget[Recovered_oz],tblBudget[Month],$E228)</f>
        <v/>
      </c>
      <c r="IN228" s="55">
        <f>$IM228*$C228/$D228</f>
        <v/>
      </c>
      <c r="IO228" s="55">
        <f>SUMIFS(tblBudget[Recovered_oz],tblBudget[Month],"&lt;"&amp;$E228)+$IN228</f>
        <v/>
      </c>
      <c r="IP228" s="56">
        <f>IFERROR(IF(($IG228)&gt;0,($IJ228*cfg_TroyOz)/($IG228),""),"")</f>
        <v/>
      </c>
      <c r="IQ228" s="56">
        <f>IFERROR(IF(($IH228)&gt;0,($IK228*cfg_TroyOz)/($IH228),""),"")</f>
        <v/>
      </c>
      <c r="IR228" s="56">
        <f>IFERROR(IF(($II228)&gt;0,($IL228*cfg_TroyOz)/($II228),""),"")</f>
        <v/>
      </c>
      <c r="IS228" s="67">
        <f>IFERROR(IF(($IJ228)&gt;0,($IM228)/($IJ228),""),"")</f>
        <v/>
      </c>
      <c r="IT228" s="67">
        <f>IFERROR(IF(($IK228)&gt;0,($IN228)/($IK228),""),"")</f>
        <v/>
      </c>
      <c r="IU228" s="67">
        <f>IFERROR(IF(($IL228)&gt;0,($IO228)/($IL228),""),"")</f>
        <v/>
      </c>
      <c r="IV228" s="55">
        <f>SUMIFS(tblBudget[Gold_Poured_oz],tblBudget[Month],$E228)</f>
        <v/>
      </c>
      <c r="IW228" s="55">
        <f>$IV228*$C228/$D228</f>
        <v/>
      </c>
      <c r="IX228" s="55">
        <f>SUMIFS(tblBudget[Gold_Poured_oz],tblBudget[Month],"&lt;"&amp;$E228)+$IW228</f>
        <v/>
      </c>
      <c r="IY228" s="57">
        <f>SUMIFS(tblBudget[Hours_Worked],tblBudget[Month],$E228)</f>
        <v/>
      </c>
      <c r="IZ228" s="57">
        <f>$IY228*$C228/$D228</f>
        <v/>
      </c>
      <c r="JA228" s="57">
        <f>SUMIFS(tblBudget[Hours_Worked],tblBudget[Month],"&lt;"&amp;$E228)+$IZ228</f>
        <v/>
      </c>
    </row>
    <row r="229">
      <c r="A229" s="54" t="n">
        <v>46250</v>
      </c>
      <c r="B229">
        <f>MONTH($A229)</f>
        <v/>
      </c>
      <c r="C229">
        <f>DAY($A229)</f>
        <v/>
      </c>
      <c r="D229">
        <f>DAY(EOMONTH($A229,0))</f>
        <v/>
      </c>
      <c r="E229" s="54">
        <f>DATE(YEAR($A229),MONTH($A229),1)</f>
        <v/>
      </c>
      <c r="F229" s="55">
        <f>SUMIFS(tblMovement[Tonnes_t],tblMovement[Date],$A229,tblMovement[Is_Ore],1,tblMovement[Source_Type],"Pit")</f>
        <v/>
      </c>
      <c r="G229" s="55">
        <f>IF($B229=$B228,$G228,0)+$F229</f>
        <v/>
      </c>
      <c r="H229" s="55">
        <f>$H228+$F229</f>
        <v/>
      </c>
      <c r="I229" s="55">
        <f>SUMIFS(tblMovement[Ore_oz],tblMovement[Date],$A229,tblMovement[Source_Type],"Pit")</f>
        <v/>
      </c>
      <c r="J229" s="55">
        <f>IF($B229=$B228,$J228,0)+$I229</f>
        <v/>
      </c>
      <c r="K229" s="55">
        <f>$K228+$I229</f>
        <v/>
      </c>
      <c r="L229" s="56">
        <f>IFERROR(IF(($F229)&gt;0,($I229*cfg_TroyOz)/($F229),""),"")</f>
        <v/>
      </c>
      <c r="M229" s="56">
        <f>IFERROR(IF(($G229)&gt;0,($J229*cfg_TroyOz)/($G229),""),"")</f>
        <v/>
      </c>
      <c r="N229" s="56">
        <f>IFERROR(IF(($H229)&gt;0,($K229*cfg_TroyOz)/($H229),""),"")</f>
        <v/>
      </c>
      <c r="O229" s="55">
        <f>SUMIFS(tblMovement[Tonnes_t],tblMovement[Date],$A229,tblMovement[Is_Ore],0,tblMovement[Source_Type],"Pit")</f>
        <v/>
      </c>
      <c r="P229" s="55">
        <f>IF($B229=$B228,$P228,0)+$O229</f>
        <v/>
      </c>
      <c r="Q229" s="55">
        <f>$Q228+$O229</f>
        <v/>
      </c>
      <c r="R229" s="55">
        <f>$F229+$O229</f>
        <v/>
      </c>
      <c r="S229" s="55">
        <f>IF($B229=$B228,$S228,0)+$R229</f>
        <v/>
      </c>
      <c r="T229" s="55">
        <f>$T228+$R229</f>
        <v/>
      </c>
      <c r="U229" s="56">
        <f>IFERROR(IF(($F229)&gt;0,($O229)/($F229),""),"")</f>
        <v/>
      </c>
      <c r="V229" s="56">
        <f>IFERROR(IF(($G229)&gt;0,($P229)/($G229),""),"")</f>
        <v/>
      </c>
      <c r="W229" s="56">
        <f>IFERROR(IF(($H229)&gt;0,($Q229)/($H229),""),"")</f>
        <v/>
      </c>
      <c r="X229" s="55">
        <f>SUMIFS(tblMovement[Tonnes_t],tblMovement[Date],$A229,tblMovement[Source_Type],"Stockpile")</f>
        <v/>
      </c>
      <c r="Y229" s="55">
        <f>IF($B229=$B228,$Y228,0)+$X229</f>
        <v/>
      </c>
      <c r="Z229" s="55">
        <f>$Z228+$X229</f>
        <v/>
      </c>
      <c r="AA229" s="55">
        <f>SUMIFS(tblMiningDaily[Drill_m],tblMiningDaily[Date],$A229)</f>
        <v/>
      </c>
      <c r="AB229" s="55">
        <f>IF($B229=$B228,$AB228,0)+$AA229</f>
        <v/>
      </c>
      <c r="AC229" s="55">
        <f>$AC228+$AA229</f>
        <v/>
      </c>
      <c r="AD229" s="55">
        <f>SUMIFS(tblMiningDaily[Blast_t],tblMiningDaily[Date],$A229)</f>
        <v/>
      </c>
      <c r="AE229" s="55">
        <f>IF($B229=$B228,$AE228,0)+$AD229</f>
        <v/>
      </c>
      <c r="AF229" s="55">
        <f>$AF228+$AD229</f>
        <v/>
      </c>
      <c r="AG229" s="55">
        <f>SUMIFS(tblMiningDaily[Explosives_kg],tblMiningDaily[Date],$A229)</f>
        <v/>
      </c>
      <c r="AH229" s="55">
        <f>IF($B229=$B228,$AH228,0)+$AG229</f>
        <v/>
      </c>
      <c r="AI229" s="55">
        <f>$AI228+$AG229</f>
        <v/>
      </c>
      <c r="AJ229" s="56">
        <f>IFERROR(IF(($AD229)&gt;0,($AG229)/($AD229),""),"")</f>
        <v/>
      </c>
      <c r="AK229" s="56">
        <f>IFERROR(IF(($AE229)&gt;0,($AH229)/($AE229),""),"")</f>
        <v/>
      </c>
      <c r="AL229" s="56">
        <f>IFERROR(IF(($AF229)&gt;0,($AI229)/($AF229),""),"")</f>
        <v/>
      </c>
      <c r="AM229" s="55">
        <f>SUMIFS(tblMiningDaily[Diesel_L],tblMiningDaily[Date],$A229)</f>
        <v/>
      </c>
      <c r="AN229" s="55">
        <f>IF($B229=$B228,$AN228,0)+$AM229</f>
        <v/>
      </c>
      <c r="AO229" s="55">
        <f>$AO228+$AM229</f>
        <v/>
      </c>
      <c r="AP229" s="55">
        <f>SUMIFS(tblMiningDaily[Dewatering_m3],tblMiningDaily[Date],$A229)</f>
        <v/>
      </c>
      <c r="AQ229" s="55">
        <f>IF($B229=$B228,$AQ228,0)+$AP229</f>
        <v/>
      </c>
      <c r="AR229" s="55">
        <f>$AR228+$AP229</f>
        <v/>
      </c>
      <c r="AS229" s="57">
        <f>SUMIFS(tblFleet[Calendar_h],tblFleet[Date],$A229,tblFleet[Equipment_Class],"Excavator")</f>
        <v/>
      </c>
      <c r="AT229" s="57">
        <f>IF($B229=$B228,$AT228,0)+$AS229</f>
        <v/>
      </c>
      <c r="AU229" s="57">
        <f>$AU228+$AS229</f>
        <v/>
      </c>
      <c r="AV229" s="57">
        <f>SUMIFS(tblFleet[Available_h],tblFleet[Date],$A229,tblFleet[Equipment_Class],"Excavator")</f>
        <v/>
      </c>
      <c r="AW229" s="57">
        <f>IF($B229=$B228,$AW228,0)+$AV229</f>
        <v/>
      </c>
      <c r="AX229" s="57">
        <f>$AX228+$AV229</f>
        <v/>
      </c>
      <c r="AY229" s="57">
        <f>SUMIFS(tblFleet[Operating_h],tblFleet[Date],$A229,tblFleet[Equipment_Class],"Excavator")</f>
        <v/>
      </c>
      <c r="AZ229" s="57">
        <f>IF($B229=$B228,$AZ228,0)+$AY229</f>
        <v/>
      </c>
      <c r="BA229" s="57">
        <f>$BA228+$AY229</f>
        <v/>
      </c>
      <c r="BB229" s="67">
        <f>IFERROR(IF(($AS229)&gt;0,($AV229)/($AS229),""),"")</f>
        <v/>
      </c>
      <c r="BC229" s="67">
        <f>IFERROR(IF(($AT229)&gt;0,($AW229)/($AT229),""),"")</f>
        <v/>
      </c>
      <c r="BD229" s="67">
        <f>IFERROR(IF(($AU229)&gt;0,($AX229)/($AU229),""),"")</f>
        <v/>
      </c>
      <c r="BE229" s="67">
        <f>IFERROR(IF(($AV229)&gt;0,($AY229)/($AV229),""),"")</f>
        <v/>
      </c>
      <c r="BF229" s="67">
        <f>IFERROR(IF(($AW229)&gt;0,($AZ229)/($AW229),""),"")</f>
        <v/>
      </c>
      <c r="BG229" s="67">
        <f>IFERROR(IF(($AX229)&gt;0,($BA229)/($AX229),""),"")</f>
        <v/>
      </c>
      <c r="BH229" s="57">
        <f>SUMIFS(tblFleet[Calendar_h],tblFleet[Date],$A229,tblFleet[Equipment_Class],"Haul Truck")</f>
        <v/>
      </c>
      <c r="BI229" s="57">
        <f>IF($B229=$B228,$BI228,0)+$BH229</f>
        <v/>
      </c>
      <c r="BJ229" s="57">
        <f>$BJ228+$BH229</f>
        <v/>
      </c>
      <c r="BK229" s="57">
        <f>SUMIFS(tblFleet[Available_h],tblFleet[Date],$A229,tblFleet[Equipment_Class],"Haul Truck")</f>
        <v/>
      </c>
      <c r="BL229" s="57">
        <f>IF($B229=$B228,$BL228,0)+$BK229</f>
        <v/>
      </c>
      <c r="BM229" s="57">
        <f>$BM228+$BK229</f>
        <v/>
      </c>
      <c r="BN229" s="57">
        <f>SUMIFS(tblFleet[Operating_h],tblFleet[Date],$A229,tblFleet[Equipment_Class],"Haul Truck")</f>
        <v/>
      </c>
      <c r="BO229" s="57">
        <f>IF($B229=$B228,$BO228,0)+$BN229</f>
        <v/>
      </c>
      <c r="BP229" s="57">
        <f>$BP228+$BN229</f>
        <v/>
      </c>
      <c r="BQ229" s="67">
        <f>IFERROR(IF(($BH229)&gt;0,($BK229)/($BH229),""),"")</f>
        <v/>
      </c>
      <c r="BR229" s="67">
        <f>IFERROR(IF(($BI229)&gt;0,($BL229)/($BI229),""),"")</f>
        <v/>
      </c>
      <c r="BS229" s="67">
        <f>IFERROR(IF(($BJ229)&gt;0,($BM229)/($BJ229),""),"")</f>
        <v/>
      </c>
      <c r="BT229" s="67">
        <f>IFERROR(IF(($BK229)&gt;0,($BN229)/($BK229),""),"")</f>
        <v/>
      </c>
      <c r="BU229" s="67">
        <f>IFERROR(IF(($BL229)&gt;0,($BO229)/($BL229),""),"")</f>
        <v/>
      </c>
      <c r="BV229" s="67">
        <f>IFERROR(IF(($BM229)&gt;0,($BP229)/($BM229),""),"")</f>
        <v/>
      </c>
      <c r="BW229" s="55">
        <f>SUMIFS(tblPlant[Crushed_t],tblPlant[Date],$A229)</f>
        <v/>
      </c>
      <c r="BX229" s="55">
        <f>IF($B229=$B228,$BX228,0)+$BW229</f>
        <v/>
      </c>
      <c r="BY229" s="55">
        <f>$BY228+$BW229</f>
        <v/>
      </c>
      <c r="BZ229" s="55">
        <f>SUMIFS(tblPlant[Milled_t],tblPlant[Date],$A229)</f>
        <v/>
      </c>
      <c r="CA229" s="55">
        <f>IF($B229=$B228,$CA228,0)+$BZ229</f>
        <v/>
      </c>
      <c r="CB229" s="55">
        <f>$CB228+$BZ229</f>
        <v/>
      </c>
      <c r="CC229" s="55">
        <f>SUMIFS(tblPlant[Feed_oz],tblPlant[Date],$A229)</f>
        <v/>
      </c>
      <c r="CD229" s="55">
        <f>IF($B229=$B228,$CD228,0)+$CC229</f>
        <v/>
      </c>
      <c r="CE229" s="55">
        <f>$CE228+$CC229</f>
        <v/>
      </c>
      <c r="CF229" s="55">
        <f>SUMIFS(tblPlant[Tails_oz],tblPlant[Date],$A229)</f>
        <v/>
      </c>
      <c r="CG229" s="55">
        <f>IF($B229=$B228,$CG228,0)+$CF229</f>
        <v/>
      </c>
      <c r="CH229" s="55">
        <f>$CH228+$CF229</f>
        <v/>
      </c>
      <c r="CI229" s="55">
        <f>SUMIFS(tblPlant[Recovered_oz],tblPlant[Date],$A229)</f>
        <v/>
      </c>
      <c r="CJ229" s="55">
        <f>IF($B229=$B228,$CJ228,0)+$CI229</f>
        <v/>
      </c>
      <c r="CK229" s="55">
        <f>$CK228+$CI229</f>
        <v/>
      </c>
      <c r="CL229" s="56">
        <f>IFERROR(IF(($BZ229)&gt;0,($CC229*cfg_TroyOz)/($BZ229),""),"")</f>
        <v/>
      </c>
      <c r="CM229" s="56">
        <f>IFERROR(IF(($CA229)&gt;0,($CD229*cfg_TroyOz)/($CA229),""),"")</f>
        <v/>
      </c>
      <c r="CN229" s="56">
        <f>IFERROR(IF(($CB229)&gt;0,($CE229*cfg_TroyOz)/($CB229),""),"")</f>
        <v/>
      </c>
      <c r="CO229" s="56">
        <f>IFERROR(IF(($BZ229)&gt;0,($CF229*cfg_TroyOz)/($BZ229),""),"")</f>
        <v/>
      </c>
      <c r="CP229" s="56">
        <f>IFERROR(IF(($CA229)&gt;0,($CG229*cfg_TroyOz)/($CA229),""),"")</f>
        <v/>
      </c>
      <c r="CQ229" s="56">
        <f>IFERROR(IF(($CB229)&gt;0,($CH229*cfg_TroyOz)/($CB229),""),"")</f>
        <v/>
      </c>
      <c r="CR229" s="67">
        <f>IFERROR(IF(($CC229)&gt;0,($CI229)/($CC229),""),"")</f>
        <v/>
      </c>
      <c r="CS229" s="67">
        <f>IFERROR(IF(($CD229)&gt;0,($CJ229)/($CD229),""),"")</f>
        <v/>
      </c>
      <c r="CT229" s="67">
        <f>IFERROR(IF(($CE229)&gt;0,($CK229)/($CE229),""),"")</f>
        <v/>
      </c>
      <c r="CU229" s="55">
        <f>SUMIFS(tblPlant[Gravity_Gold_oz],tblPlant[Date],$A229)</f>
        <v/>
      </c>
      <c r="CV229" s="55">
        <f>IF($B229=$B228,$CV228,0)+$CU229</f>
        <v/>
      </c>
      <c r="CW229" s="55">
        <f>$CW228+$CU229</f>
        <v/>
      </c>
      <c r="CX229" s="55">
        <f>SUMIFS(tblPlant[Gold_Poured_oz],tblPlant[Date],$A229)</f>
        <v/>
      </c>
      <c r="CY229" s="55">
        <f>IF($B229=$B228,$CY228,0)+$CX229</f>
        <v/>
      </c>
      <c r="CZ229" s="55">
        <f>$CZ228+$CX229</f>
        <v/>
      </c>
      <c r="DA229" s="57">
        <f>SUMIFS(tblPlant[Mill_Run_h],tblPlant[Date],$A229)</f>
        <v/>
      </c>
      <c r="DB229" s="57">
        <f>IF($B229=$B228,$DB228,0)+$DA229</f>
        <v/>
      </c>
      <c r="DC229" s="57">
        <f>$DC228+$DA229</f>
        <v/>
      </c>
      <c r="DD229" s="57">
        <f>SUMIFS(tblPlant[Mill_Planned_Maint_h],tblPlant[Date],$A229)</f>
        <v/>
      </c>
      <c r="DE229" s="57">
        <f>IF($B229=$B228,$DE228,0)+$DD229</f>
        <v/>
      </c>
      <c r="DF229" s="57">
        <f>$DF228+$DD229</f>
        <v/>
      </c>
      <c r="DG229" s="57">
        <f>SUMIFS(tblPlant[Mill_Unplanned_Down_h],tblPlant[Date],$A229)</f>
        <v/>
      </c>
      <c r="DH229" s="57">
        <f>IF($B229=$B228,$DH228,0)+$DG229</f>
        <v/>
      </c>
      <c r="DI229" s="57">
        <f>$DI228+$DG229</f>
        <v/>
      </c>
      <c r="DJ229" s="57">
        <f>COUNTIFS(tblPlant[Date],$A229,tblPlant[Mill_Run_h],"&lt;&gt;")*24</f>
        <v/>
      </c>
      <c r="DK229" s="57">
        <f>IF($B229=$B228,$DK228,0)+$DJ229</f>
        <v/>
      </c>
      <c r="DL229" s="57">
        <f>$DL228+$DJ229</f>
        <v/>
      </c>
      <c r="DM229" s="57">
        <f>SUMIFS(tblPlant[Crusher_Run_h],tblPlant[Date],$A229)</f>
        <v/>
      </c>
      <c r="DN229" s="57">
        <f>IF($B229=$B228,$DN228,0)+$DM229</f>
        <v/>
      </c>
      <c r="DO229" s="57">
        <f>$DO228+$DM229</f>
        <v/>
      </c>
      <c r="DP229" s="55">
        <f>IFERROR(IF(($DA229)&gt;0,($BZ229)/($DA229),""),"")</f>
        <v/>
      </c>
      <c r="DQ229" s="55">
        <f>IFERROR(IF(($DB229)&gt;0,($CA229)/($DB229),""),"")</f>
        <v/>
      </c>
      <c r="DR229" s="55">
        <f>IFERROR(IF(($DC229)&gt;0,($CB229)/($DC229),""),"")</f>
        <v/>
      </c>
      <c r="DS229" s="67">
        <f>IFERROR(IF(($DJ229)&gt;0,($DJ229-$DD229-$DG229)/($DJ229),""),"")</f>
        <v/>
      </c>
      <c r="DT229" s="67">
        <f>IFERROR(IF(($DK229)&gt;0,($DK229-$DE229-$DH229)/($DK229),""),"")</f>
        <v/>
      </c>
      <c r="DU229" s="67">
        <f>IFERROR(IF(($DL229)&gt;0,($DL229-$DF229-$DI229)/($DL229),""),"")</f>
        <v/>
      </c>
      <c r="DV229" s="67">
        <f>IFERROR(IF(($DJ229-$DD229-$DG229)&gt;0,($DA229)/($DJ229-$DD229-$DG229),""),"")</f>
        <v/>
      </c>
      <c r="DW229" s="67">
        <f>IFERROR(IF(($DK229-$DE229-$DH229)&gt;0,($DB229)/($DK229-$DE229-$DH229),""),"")</f>
        <v/>
      </c>
      <c r="DX229" s="67">
        <f>IFERROR(IF(($DL229-$DF229-$DI229)&gt;0,($DC229)/($DL229-$DF229-$DI229),""),"")</f>
        <v/>
      </c>
      <c r="DY229" s="55">
        <f>SUMIFS(tblPlant[Cyanide_kg],tblPlant[Date],$A229)</f>
        <v/>
      </c>
      <c r="DZ229" s="55">
        <f>IF($B229=$B228,$DZ228,0)+$DY229</f>
        <v/>
      </c>
      <c r="EA229" s="55">
        <f>$EA228+$DY229</f>
        <v/>
      </c>
      <c r="EB229" s="55">
        <f>SUMIFS(tblPlant[Lime_kg],tblPlant[Date],$A229)</f>
        <v/>
      </c>
      <c r="EC229" s="55">
        <f>IF($B229=$B228,$EC228,0)+$EB229</f>
        <v/>
      </c>
      <c r="ED229" s="55">
        <f>$ED228+$EB229</f>
        <v/>
      </c>
      <c r="EE229" s="55">
        <f>SUMIFS(tblPlant[Grinding_Media_kg],tblPlant[Date],$A229)</f>
        <v/>
      </c>
      <c r="EF229" s="55">
        <f>IF($B229=$B228,$EF228,0)+$EE229</f>
        <v/>
      </c>
      <c r="EG229" s="55">
        <f>$EG228+$EE229</f>
        <v/>
      </c>
      <c r="EH229" s="55">
        <f>SUMIFS(tblPlant[Power_kWh],tblPlant[Date],$A229)</f>
        <v/>
      </c>
      <c r="EI229" s="55">
        <f>IF($B229=$B228,$EI228,0)+$EH229</f>
        <v/>
      </c>
      <c r="EJ229" s="55">
        <f>$EJ228+$EH229</f>
        <v/>
      </c>
      <c r="EK229" s="55">
        <f>SUMIFS(tblPlant[Raw_Water_m3],tblPlant[Date],$A229)</f>
        <v/>
      </c>
      <c r="EL229" s="55">
        <f>IF($B229=$B228,$EL228,0)+$EK229</f>
        <v/>
      </c>
      <c r="EM229" s="55">
        <f>$EM228+$EK229</f>
        <v/>
      </c>
      <c r="EN229" s="56">
        <f>IFERROR(IF(($BZ229)&gt;0,($DY229)/($BZ229),""),"")</f>
        <v/>
      </c>
      <c r="EO229" s="56">
        <f>IFERROR(IF(($CA229)&gt;0,($DZ229)/($CA229),""),"")</f>
        <v/>
      </c>
      <c r="EP229" s="56">
        <f>IFERROR(IF(($CB229)&gt;0,($EA229)/($CB229),""),"")</f>
        <v/>
      </c>
      <c r="EQ229" s="56">
        <f>IFERROR(IF(($BZ229)&gt;0,($EB229)/($BZ229),""),"")</f>
        <v/>
      </c>
      <c r="ER229" s="56">
        <f>IFERROR(IF(($CA229)&gt;0,($EC229)/($CA229),""),"")</f>
        <v/>
      </c>
      <c r="ES229" s="56">
        <f>IFERROR(IF(($CB229)&gt;0,($ED229)/($CB229),""),"")</f>
        <v/>
      </c>
      <c r="ET229" s="56">
        <f>IFERROR(IF(($BZ229)&gt;0,($EE229)/($BZ229),""),"")</f>
        <v/>
      </c>
      <c r="EU229" s="56">
        <f>IFERROR(IF(($CA229)&gt;0,($EF229)/($CA229),""),"")</f>
        <v/>
      </c>
      <c r="EV229" s="56">
        <f>IFERROR(IF(($CB229)&gt;0,($EG229)/($CB229),""),"")</f>
        <v/>
      </c>
      <c r="EW229" s="76">
        <f>IFERROR(IF(($BZ229)&gt;0,($EH229)/($BZ229),""),"")</f>
        <v/>
      </c>
      <c r="EX229" s="76">
        <f>IFERROR(IF(($CA229)&gt;0,($EI229)/($CA229),""),"")</f>
        <v/>
      </c>
      <c r="EY229" s="76">
        <f>IFERROR(IF(($CB229)&gt;0,($EJ229)/($CB229),""),"")</f>
        <v/>
      </c>
      <c r="EZ229" s="56">
        <f>IFERROR(IF(($BZ229)&gt;0,($EK229)/($BZ229),""),"")</f>
        <v/>
      </c>
      <c r="FA229" s="56">
        <f>IFERROR(IF(($CA229)&gt;0,($EL229)/($CA229),""),"")</f>
        <v/>
      </c>
      <c r="FB229" s="56">
        <f>IFERROR(IF(($CB229)&gt;0,($EM229)/($CB229),""),"")</f>
        <v/>
      </c>
      <c r="FC229" s="55">
        <f>IF(SUMIFS(tblPlant[GIC_oz],tblPlant[Date],$A229)&gt;0,SUMIFS(tblPlant[GIC_oz],tblPlant[Date],$A229),"")</f>
        <v/>
      </c>
      <c r="FD229" s="55">
        <f>SUMIFS(tblGold[Gold_oz],tblGold[Date],$A229,tblGold[Type],"Shipment")</f>
        <v/>
      </c>
      <c r="FE229" s="55">
        <f>IF($B229=$B228,$FE228,0)+$FD229</f>
        <v/>
      </c>
      <c r="FF229" s="55">
        <f>$FF228+$FD229</f>
        <v/>
      </c>
      <c r="FG229" s="55">
        <f>SUMIFS(tblGold[Gold_oz],tblGold[Date],$A229,tblGold[Type],"Sale")</f>
        <v/>
      </c>
      <c r="FH229" s="55">
        <f>IF($B229=$B228,$FH228,0)+$FG229</f>
        <v/>
      </c>
      <c r="FI229" s="55">
        <f>$FI228+$FG229</f>
        <v/>
      </c>
      <c r="FJ229" s="55">
        <f>SUMIFS(tblGold[Dore_kg],tblGold[Date],$A229,tblGold[Type],"Shipment")</f>
        <v/>
      </c>
      <c r="FK229" s="55">
        <f>IF($B229=$B228,$FK228,0)+$FJ229</f>
        <v/>
      </c>
      <c r="FL229" s="55">
        <f>$FL228+$FJ229</f>
        <v/>
      </c>
      <c r="FM229" s="57">
        <f>SUMIFS(tblSafety[Hours_Total],tblSafety[Date],$A229)</f>
        <v/>
      </c>
      <c r="FN229" s="57">
        <f>IF($B229=$B228,$FN228,0)+$FM229</f>
        <v/>
      </c>
      <c r="FO229" s="57">
        <f>$FO228+$FM229</f>
        <v/>
      </c>
      <c r="FP229" s="62">
        <f>SUMIFS(tblSafety[Fatality],tblSafety[Date],$A229)</f>
        <v/>
      </c>
      <c r="FQ229" s="62">
        <f>IF($B229=$B228,$FQ228,0)+$FP229</f>
        <v/>
      </c>
      <c r="FR229" s="62">
        <f>$FR228+$FP229</f>
        <v/>
      </c>
      <c r="FS229" s="62">
        <f>SUMIFS(tblSafety[LTI],tblSafety[Date],$A229)</f>
        <v/>
      </c>
      <c r="FT229" s="62">
        <f>IF($B229=$B228,$FT228,0)+$FS229</f>
        <v/>
      </c>
      <c r="FU229" s="62">
        <f>$FU228+$FS229</f>
        <v/>
      </c>
      <c r="FV229" s="62">
        <f>SUMIFS(tblSafety[RWI],tblSafety[Date],$A229)</f>
        <v/>
      </c>
      <c r="FW229" s="62">
        <f>IF($B229=$B228,$FW228,0)+$FV229</f>
        <v/>
      </c>
      <c r="FX229" s="62">
        <f>$FX228+$FV229</f>
        <v/>
      </c>
      <c r="FY229" s="62">
        <f>SUMIFS(tblSafety[MTI],tblSafety[Date],$A229)</f>
        <v/>
      </c>
      <c r="FZ229" s="62">
        <f>IF($B229=$B228,$FZ228,0)+$FY229</f>
        <v/>
      </c>
      <c r="GA229" s="62">
        <f>$GA228+$FY229</f>
        <v/>
      </c>
      <c r="GB229" s="62">
        <f>SUMIFS(tblSafety[FAI],tblSafety[Date],$A229)</f>
        <v/>
      </c>
      <c r="GC229" s="62">
        <f>IF($B229=$B228,$GC228,0)+$GB229</f>
        <v/>
      </c>
      <c r="GD229" s="62">
        <f>$GD228+$GB229</f>
        <v/>
      </c>
      <c r="GE229" s="62">
        <f>SUMIFS(tblSafety[Recordables],tblSafety[Date],$A229)</f>
        <v/>
      </c>
      <c r="GF229" s="62">
        <f>IF($B229=$B228,$GF228,0)+$GE229</f>
        <v/>
      </c>
      <c r="GG229" s="62">
        <f>$GG228+$GE229</f>
        <v/>
      </c>
      <c r="GH229" s="62">
        <f>SUMIFS(tblSafety[Near_Miss],tblSafety[Date],$A229)</f>
        <v/>
      </c>
      <c r="GI229" s="62">
        <f>IF($B229=$B228,$GI228,0)+$GH229</f>
        <v/>
      </c>
      <c r="GJ229" s="62">
        <f>$GJ228+$GH229</f>
        <v/>
      </c>
      <c r="GK229" s="62">
        <f>SUMIFS(tblSafety[Hazard_Reports],tblSafety[Date],$A229)</f>
        <v/>
      </c>
      <c r="GL229" s="62">
        <f>IF($B229=$B228,$GL228,0)+$GK229</f>
        <v/>
      </c>
      <c r="GM229" s="62">
        <f>$GM228+$GK229</f>
        <v/>
      </c>
      <c r="GN229" s="62">
        <f>SUMIFS(tblSafety[HPI],tblSafety[Date],$A229)</f>
        <v/>
      </c>
      <c r="GO229" s="62">
        <f>IF($B229=$B228,$GO228,0)+$GN229</f>
        <v/>
      </c>
      <c r="GP229" s="62">
        <f>$GP228+$GN229</f>
        <v/>
      </c>
      <c r="GQ229" s="62">
        <f>SUMIFS(tblSafety[Env_Incidents],tblSafety[Date],$A229)</f>
        <v/>
      </c>
      <c r="GR229" s="62">
        <f>IF($B229=$B228,$GR228,0)+$GQ229</f>
        <v/>
      </c>
      <c r="GS229" s="62">
        <f>$GS228+$GQ229</f>
        <v/>
      </c>
      <c r="GT229" s="62">
        <f>SUMIFS(tblSafety[Community_Incidents],tblSafety[Date],$A229)</f>
        <v/>
      </c>
      <c r="GU229" s="62">
        <f>IF($B229=$B228,$GU228,0)+$GT229</f>
        <v/>
      </c>
      <c r="GV229" s="62">
        <f>$GV228+$GT229</f>
        <v/>
      </c>
      <c r="GW229" s="62">
        <f>SUMIFS(tblSafety[Vehicle_Incidents],tblSafety[Date],$A229)</f>
        <v/>
      </c>
      <c r="GX229" s="62">
        <f>IF($B229=$B228,$GX228,0)+$GW229</f>
        <v/>
      </c>
      <c r="GY229" s="62">
        <f>$GY228+$GW229</f>
        <v/>
      </c>
      <c r="GZ229" s="62">
        <f>SUMIFS(tblSafety[Toolbox_Talks],tblSafety[Date],$A229)</f>
        <v/>
      </c>
      <c r="HA229" s="62">
        <f>IF($B229=$B228,$HA228,0)+$GZ229</f>
        <v/>
      </c>
      <c r="HB229" s="62">
        <f>$HB228+$GZ229</f>
        <v/>
      </c>
      <c r="HC229" s="62">
        <f>SUMIFS(tblSafety[Inspections],tblSafety[Date],$A229)</f>
        <v/>
      </c>
      <c r="HD229" s="62">
        <f>IF($B229=$B228,$HD228,0)+$HC229</f>
        <v/>
      </c>
      <c r="HE229" s="62">
        <f>$HE228+$HC229</f>
        <v/>
      </c>
      <c r="HF229" s="56">
        <f>IFERROR((SUMIFS(tblSafety[Recordables],tblSafety[Date],"&gt;="&amp;EDATE($E229,-12),tblSafety[Date],"&lt;="&amp;$A229)+SUMIFS(tblSafetyHistory[Recordables],tblSafetyHistory[Month],"&gt;="&amp;EDATE($E229,-12),tblSafetyHistory[Month],"&lt;"&amp;cfg_YearStart))/(SUMIFS(tblSafety[Hours_Total],tblSafety[Date],"&gt;="&amp;EDATE($E229,-12),tblSafety[Date],"&lt;="&amp;$A229)+SUMIFS(tblSafetyHistory[Hours_Total],tblSafetyHistory[Month],"&gt;="&amp;EDATE($E229,-12),tblSafetyHistory[Month],"&lt;"&amp;cfg_YearStart))*1000000,"")</f>
        <v/>
      </c>
      <c r="HG229" s="56">
        <f>IFERROR((SUMIFS(tblSafety[LTI],tblSafety[Date],"&gt;="&amp;EDATE($E229,-12),tblSafety[Date],"&lt;="&amp;$A229)+SUMIFS(tblSafetyHistory[LTI],tblSafetyHistory[Month],"&gt;="&amp;EDATE($E229,-12),tblSafetyHistory[Month],"&lt;"&amp;cfg_YearStart))/(SUMIFS(tblSafety[Hours_Total],tblSafety[Date],"&gt;="&amp;EDATE($E229,-12),tblSafety[Date],"&lt;="&amp;$A229)+SUMIFS(tblSafetyHistory[Hours_Total],tblSafetyHistory[Month],"&gt;="&amp;EDATE($E229,-12),tblSafetyHistory[Month],"&lt;"&amp;cfg_YearStart))*1000000,"")</f>
        <v/>
      </c>
      <c r="HH229" s="62">
        <f>IF(MAX(N(cfg_PriorLTIDate),_xlfn.MAXIFS(tblSafety[Date],tblSafety[LTI],"&gt;0",tblSafety[Date],"&lt;="&amp;$A229))=0,"",$A229-MAX(N(cfg_PriorLTIDate),_xlfn.MAXIFS(tblSafety[Date],tblSafety[LTI],"&gt;0",tblSafety[Date],"&lt;="&amp;$A229)))</f>
        <v/>
      </c>
      <c r="HI229" s="55">
        <f>SUMIFS(tblBudget[Ore_Mined_t],tblBudget[Month],$E229)</f>
        <v/>
      </c>
      <c r="HJ229" s="55">
        <f>$HI229*$C229/$D229</f>
        <v/>
      </c>
      <c r="HK229" s="55">
        <f>SUMIFS(tblBudget[Ore_Mined_t],tblBudget[Month],"&lt;"&amp;$E229)+$HJ229</f>
        <v/>
      </c>
      <c r="HL229" s="55">
        <f>SUMIFS(tblBudget[Ore_oz],tblBudget[Month],$E229)</f>
        <v/>
      </c>
      <c r="HM229" s="55">
        <f>$HL229*$C229/$D229</f>
        <v/>
      </c>
      <c r="HN229" s="55">
        <f>SUMIFS(tblBudget[Ore_oz],tblBudget[Month],"&lt;"&amp;$E229)+$HM229</f>
        <v/>
      </c>
      <c r="HO229" s="56">
        <f>IFERROR(IF(($HI229)&gt;0,($HL229*cfg_TroyOz)/($HI229),""),"")</f>
        <v/>
      </c>
      <c r="HP229" s="56">
        <f>IFERROR(IF(($HJ229)&gt;0,($HM229*cfg_TroyOz)/($HJ229),""),"")</f>
        <v/>
      </c>
      <c r="HQ229" s="56">
        <f>IFERROR(IF(($HK229)&gt;0,($HN229*cfg_TroyOz)/($HK229),""),"")</f>
        <v/>
      </c>
      <c r="HR229" s="55">
        <f>SUMIFS(tblBudget[Waste_t],tblBudget[Month],$E229)</f>
        <v/>
      </c>
      <c r="HS229" s="55">
        <f>$HR229*$C229/$D229</f>
        <v/>
      </c>
      <c r="HT229" s="55">
        <f>SUMIFS(tblBudget[Waste_t],tblBudget[Month],"&lt;"&amp;$E229)+$HS229</f>
        <v/>
      </c>
      <c r="HU229" s="55">
        <f>SUMIFS(tblBudget[TMM_t],tblBudget[Month],$E229)</f>
        <v/>
      </c>
      <c r="HV229" s="55">
        <f>$HU229*$C229/$D229</f>
        <v/>
      </c>
      <c r="HW229" s="55">
        <f>SUMIFS(tblBudget[TMM_t],tblBudget[Month],"&lt;"&amp;$E229)+$HV229</f>
        <v/>
      </c>
      <c r="HX229" s="56">
        <f>IFERROR(IF(($HI229)&gt;0,($HR229)/($HI229),""),"")</f>
        <v/>
      </c>
      <c r="HY229" s="56">
        <f>IFERROR(IF(($HJ229)&gt;0,($HS229)/($HJ229),""),"")</f>
        <v/>
      </c>
      <c r="HZ229" s="56">
        <f>IFERROR(IF(($HK229)&gt;0,($HT229)/($HK229),""),"")</f>
        <v/>
      </c>
      <c r="IA229" s="55">
        <f>SUMIFS(tblBudget[Drill_m],tblBudget[Month],$E229)</f>
        <v/>
      </c>
      <c r="IB229" s="55">
        <f>$IA229*$C229/$D229</f>
        <v/>
      </c>
      <c r="IC229" s="55">
        <f>SUMIFS(tblBudget[Drill_m],tblBudget[Month],"&lt;"&amp;$E229)+$IB229</f>
        <v/>
      </c>
      <c r="ID229" s="55">
        <f>SUMIFS(tblBudget[Diesel_L],tblBudget[Month],$E229)</f>
        <v/>
      </c>
      <c r="IE229" s="55">
        <f>$ID229*$C229/$D229</f>
        <v/>
      </c>
      <c r="IF229" s="55">
        <f>SUMIFS(tblBudget[Diesel_L],tblBudget[Month],"&lt;"&amp;$E229)+$IE229</f>
        <v/>
      </c>
      <c r="IG229" s="55">
        <f>SUMIFS(tblBudget[Milled_t],tblBudget[Month],$E229)</f>
        <v/>
      </c>
      <c r="IH229" s="55">
        <f>$IG229*$C229/$D229</f>
        <v/>
      </c>
      <c r="II229" s="55">
        <f>SUMIFS(tblBudget[Milled_t],tblBudget[Month],"&lt;"&amp;$E229)+$IH229</f>
        <v/>
      </c>
      <c r="IJ229" s="55">
        <f>SUMIFS(tblBudget[Feed_oz],tblBudget[Month],$E229)</f>
        <v/>
      </c>
      <c r="IK229" s="55">
        <f>$IJ229*$C229/$D229</f>
        <v/>
      </c>
      <c r="IL229" s="55">
        <f>SUMIFS(tblBudget[Feed_oz],tblBudget[Month],"&lt;"&amp;$E229)+$IK229</f>
        <v/>
      </c>
      <c r="IM229" s="55">
        <f>SUMIFS(tblBudget[Recovered_oz],tblBudget[Month],$E229)</f>
        <v/>
      </c>
      <c r="IN229" s="55">
        <f>$IM229*$C229/$D229</f>
        <v/>
      </c>
      <c r="IO229" s="55">
        <f>SUMIFS(tblBudget[Recovered_oz],tblBudget[Month],"&lt;"&amp;$E229)+$IN229</f>
        <v/>
      </c>
      <c r="IP229" s="56">
        <f>IFERROR(IF(($IG229)&gt;0,($IJ229*cfg_TroyOz)/($IG229),""),"")</f>
        <v/>
      </c>
      <c r="IQ229" s="56">
        <f>IFERROR(IF(($IH229)&gt;0,($IK229*cfg_TroyOz)/($IH229),""),"")</f>
        <v/>
      </c>
      <c r="IR229" s="56">
        <f>IFERROR(IF(($II229)&gt;0,($IL229*cfg_TroyOz)/($II229),""),"")</f>
        <v/>
      </c>
      <c r="IS229" s="67">
        <f>IFERROR(IF(($IJ229)&gt;0,($IM229)/($IJ229),""),"")</f>
        <v/>
      </c>
      <c r="IT229" s="67">
        <f>IFERROR(IF(($IK229)&gt;0,($IN229)/($IK229),""),"")</f>
        <v/>
      </c>
      <c r="IU229" s="67">
        <f>IFERROR(IF(($IL229)&gt;0,($IO229)/($IL229),""),"")</f>
        <v/>
      </c>
      <c r="IV229" s="55">
        <f>SUMIFS(tblBudget[Gold_Poured_oz],tblBudget[Month],$E229)</f>
        <v/>
      </c>
      <c r="IW229" s="55">
        <f>$IV229*$C229/$D229</f>
        <v/>
      </c>
      <c r="IX229" s="55">
        <f>SUMIFS(tblBudget[Gold_Poured_oz],tblBudget[Month],"&lt;"&amp;$E229)+$IW229</f>
        <v/>
      </c>
      <c r="IY229" s="57">
        <f>SUMIFS(tblBudget[Hours_Worked],tblBudget[Month],$E229)</f>
        <v/>
      </c>
      <c r="IZ229" s="57">
        <f>$IY229*$C229/$D229</f>
        <v/>
      </c>
      <c r="JA229" s="57">
        <f>SUMIFS(tblBudget[Hours_Worked],tblBudget[Month],"&lt;"&amp;$E229)+$IZ229</f>
        <v/>
      </c>
    </row>
    <row r="230">
      <c r="A230" s="54" t="n">
        <v>46251</v>
      </c>
      <c r="B230">
        <f>MONTH($A230)</f>
        <v/>
      </c>
      <c r="C230">
        <f>DAY($A230)</f>
        <v/>
      </c>
      <c r="D230">
        <f>DAY(EOMONTH($A230,0))</f>
        <v/>
      </c>
      <c r="E230" s="54">
        <f>DATE(YEAR($A230),MONTH($A230),1)</f>
        <v/>
      </c>
      <c r="F230" s="55">
        <f>SUMIFS(tblMovement[Tonnes_t],tblMovement[Date],$A230,tblMovement[Is_Ore],1,tblMovement[Source_Type],"Pit")</f>
        <v/>
      </c>
      <c r="G230" s="55">
        <f>IF($B230=$B229,$G229,0)+$F230</f>
        <v/>
      </c>
      <c r="H230" s="55">
        <f>$H229+$F230</f>
        <v/>
      </c>
      <c r="I230" s="55">
        <f>SUMIFS(tblMovement[Ore_oz],tblMovement[Date],$A230,tblMovement[Source_Type],"Pit")</f>
        <v/>
      </c>
      <c r="J230" s="55">
        <f>IF($B230=$B229,$J229,0)+$I230</f>
        <v/>
      </c>
      <c r="K230" s="55">
        <f>$K229+$I230</f>
        <v/>
      </c>
      <c r="L230" s="56">
        <f>IFERROR(IF(($F230)&gt;0,($I230*cfg_TroyOz)/($F230),""),"")</f>
        <v/>
      </c>
      <c r="M230" s="56">
        <f>IFERROR(IF(($G230)&gt;0,($J230*cfg_TroyOz)/($G230),""),"")</f>
        <v/>
      </c>
      <c r="N230" s="56">
        <f>IFERROR(IF(($H230)&gt;0,($K230*cfg_TroyOz)/($H230),""),"")</f>
        <v/>
      </c>
      <c r="O230" s="55">
        <f>SUMIFS(tblMovement[Tonnes_t],tblMovement[Date],$A230,tblMovement[Is_Ore],0,tblMovement[Source_Type],"Pit")</f>
        <v/>
      </c>
      <c r="P230" s="55">
        <f>IF($B230=$B229,$P229,0)+$O230</f>
        <v/>
      </c>
      <c r="Q230" s="55">
        <f>$Q229+$O230</f>
        <v/>
      </c>
      <c r="R230" s="55">
        <f>$F230+$O230</f>
        <v/>
      </c>
      <c r="S230" s="55">
        <f>IF($B230=$B229,$S229,0)+$R230</f>
        <v/>
      </c>
      <c r="T230" s="55">
        <f>$T229+$R230</f>
        <v/>
      </c>
      <c r="U230" s="56">
        <f>IFERROR(IF(($F230)&gt;0,($O230)/($F230),""),"")</f>
        <v/>
      </c>
      <c r="V230" s="56">
        <f>IFERROR(IF(($G230)&gt;0,($P230)/($G230),""),"")</f>
        <v/>
      </c>
      <c r="W230" s="56">
        <f>IFERROR(IF(($H230)&gt;0,($Q230)/($H230),""),"")</f>
        <v/>
      </c>
      <c r="X230" s="55">
        <f>SUMIFS(tblMovement[Tonnes_t],tblMovement[Date],$A230,tblMovement[Source_Type],"Stockpile")</f>
        <v/>
      </c>
      <c r="Y230" s="55">
        <f>IF($B230=$B229,$Y229,0)+$X230</f>
        <v/>
      </c>
      <c r="Z230" s="55">
        <f>$Z229+$X230</f>
        <v/>
      </c>
      <c r="AA230" s="55">
        <f>SUMIFS(tblMiningDaily[Drill_m],tblMiningDaily[Date],$A230)</f>
        <v/>
      </c>
      <c r="AB230" s="55">
        <f>IF($B230=$B229,$AB229,0)+$AA230</f>
        <v/>
      </c>
      <c r="AC230" s="55">
        <f>$AC229+$AA230</f>
        <v/>
      </c>
      <c r="AD230" s="55">
        <f>SUMIFS(tblMiningDaily[Blast_t],tblMiningDaily[Date],$A230)</f>
        <v/>
      </c>
      <c r="AE230" s="55">
        <f>IF($B230=$B229,$AE229,0)+$AD230</f>
        <v/>
      </c>
      <c r="AF230" s="55">
        <f>$AF229+$AD230</f>
        <v/>
      </c>
      <c r="AG230" s="55">
        <f>SUMIFS(tblMiningDaily[Explosives_kg],tblMiningDaily[Date],$A230)</f>
        <v/>
      </c>
      <c r="AH230" s="55">
        <f>IF($B230=$B229,$AH229,0)+$AG230</f>
        <v/>
      </c>
      <c r="AI230" s="55">
        <f>$AI229+$AG230</f>
        <v/>
      </c>
      <c r="AJ230" s="56">
        <f>IFERROR(IF(($AD230)&gt;0,($AG230)/($AD230),""),"")</f>
        <v/>
      </c>
      <c r="AK230" s="56">
        <f>IFERROR(IF(($AE230)&gt;0,($AH230)/($AE230),""),"")</f>
        <v/>
      </c>
      <c r="AL230" s="56">
        <f>IFERROR(IF(($AF230)&gt;0,($AI230)/($AF230),""),"")</f>
        <v/>
      </c>
      <c r="AM230" s="55">
        <f>SUMIFS(tblMiningDaily[Diesel_L],tblMiningDaily[Date],$A230)</f>
        <v/>
      </c>
      <c r="AN230" s="55">
        <f>IF($B230=$B229,$AN229,0)+$AM230</f>
        <v/>
      </c>
      <c r="AO230" s="55">
        <f>$AO229+$AM230</f>
        <v/>
      </c>
      <c r="AP230" s="55">
        <f>SUMIFS(tblMiningDaily[Dewatering_m3],tblMiningDaily[Date],$A230)</f>
        <v/>
      </c>
      <c r="AQ230" s="55">
        <f>IF($B230=$B229,$AQ229,0)+$AP230</f>
        <v/>
      </c>
      <c r="AR230" s="55">
        <f>$AR229+$AP230</f>
        <v/>
      </c>
      <c r="AS230" s="57">
        <f>SUMIFS(tblFleet[Calendar_h],tblFleet[Date],$A230,tblFleet[Equipment_Class],"Excavator")</f>
        <v/>
      </c>
      <c r="AT230" s="57">
        <f>IF($B230=$B229,$AT229,0)+$AS230</f>
        <v/>
      </c>
      <c r="AU230" s="57">
        <f>$AU229+$AS230</f>
        <v/>
      </c>
      <c r="AV230" s="57">
        <f>SUMIFS(tblFleet[Available_h],tblFleet[Date],$A230,tblFleet[Equipment_Class],"Excavator")</f>
        <v/>
      </c>
      <c r="AW230" s="57">
        <f>IF($B230=$B229,$AW229,0)+$AV230</f>
        <v/>
      </c>
      <c r="AX230" s="57">
        <f>$AX229+$AV230</f>
        <v/>
      </c>
      <c r="AY230" s="57">
        <f>SUMIFS(tblFleet[Operating_h],tblFleet[Date],$A230,tblFleet[Equipment_Class],"Excavator")</f>
        <v/>
      </c>
      <c r="AZ230" s="57">
        <f>IF($B230=$B229,$AZ229,0)+$AY230</f>
        <v/>
      </c>
      <c r="BA230" s="57">
        <f>$BA229+$AY230</f>
        <v/>
      </c>
      <c r="BB230" s="67">
        <f>IFERROR(IF(($AS230)&gt;0,($AV230)/($AS230),""),"")</f>
        <v/>
      </c>
      <c r="BC230" s="67">
        <f>IFERROR(IF(($AT230)&gt;0,($AW230)/($AT230),""),"")</f>
        <v/>
      </c>
      <c r="BD230" s="67">
        <f>IFERROR(IF(($AU230)&gt;0,($AX230)/($AU230),""),"")</f>
        <v/>
      </c>
      <c r="BE230" s="67">
        <f>IFERROR(IF(($AV230)&gt;0,($AY230)/($AV230),""),"")</f>
        <v/>
      </c>
      <c r="BF230" s="67">
        <f>IFERROR(IF(($AW230)&gt;0,($AZ230)/($AW230),""),"")</f>
        <v/>
      </c>
      <c r="BG230" s="67">
        <f>IFERROR(IF(($AX230)&gt;0,($BA230)/($AX230),""),"")</f>
        <v/>
      </c>
      <c r="BH230" s="57">
        <f>SUMIFS(tblFleet[Calendar_h],tblFleet[Date],$A230,tblFleet[Equipment_Class],"Haul Truck")</f>
        <v/>
      </c>
      <c r="BI230" s="57">
        <f>IF($B230=$B229,$BI229,0)+$BH230</f>
        <v/>
      </c>
      <c r="BJ230" s="57">
        <f>$BJ229+$BH230</f>
        <v/>
      </c>
      <c r="BK230" s="57">
        <f>SUMIFS(tblFleet[Available_h],tblFleet[Date],$A230,tblFleet[Equipment_Class],"Haul Truck")</f>
        <v/>
      </c>
      <c r="BL230" s="57">
        <f>IF($B230=$B229,$BL229,0)+$BK230</f>
        <v/>
      </c>
      <c r="BM230" s="57">
        <f>$BM229+$BK230</f>
        <v/>
      </c>
      <c r="BN230" s="57">
        <f>SUMIFS(tblFleet[Operating_h],tblFleet[Date],$A230,tblFleet[Equipment_Class],"Haul Truck")</f>
        <v/>
      </c>
      <c r="BO230" s="57">
        <f>IF($B230=$B229,$BO229,0)+$BN230</f>
        <v/>
      </c>
      <c r="BP230" s="57">
        <f>$BP229+$BN230</f>
        <v/>
      </c>
      <c r="BQ230" s="67">
        <f>IFERROR(IF(($BH230)&gt;0,($BK230)/($BH230),""),"")</f>
        <v/>
      </c>
      <c r="BR230" s="67">
        <f>IFERROR(IF(($BI230)&gt;0,($BL230)/($BI230),""),"")</f>
        <v/>
      </c>
      <c r="BS230" s="67">
        <f>IFERROR(IF(($BJ230)&gt;0,($BM230)/($BJ230),""),"")</f>
        <v/>
      </c>
      <c r="BT230" s="67">
        <f>IFERROR(IF(($BK230)&gt;0,($BN230)/($BK230),""),"")</f>
        <v/>
      </c>
      <c r="BU230" s="67">
        <f>IFERROR(IF(($BL230)&gt;0,($BO230)/($BL230),""),"")</f>
        <v/>
      </c>
      <c r="BV230" s="67">
        <f>IFERROR(IF(($BM230)&gt;0,($BP230)/($BM230),""),"")</f>
        <v/>
      </c>
      <c r="BW230" s="55">
        <f>SUMIFS(tblPlant[Crushed_t],tblPlant[Date],$A230)</f>
        <v/>
      </c>
      <c r="BX230" s="55">
        <f>IF($B230=$B229,$BX229,0)+$BW230</f>
        <v/>
      </c>
      <c r="BY230" s="55">
        <f>$BY229+$BW230</f>
        <v/>
      </c>
      <c r="BZ230" s="55">
        <f>SUMIFS(tblPlant[Milled_t],tblPlant[Date],$A230)</f>
        <v/>
      </c>
      <c r="CA230" s="55">
        <f>IF($B230=$B229,$CA229,0)+$BZ230</f>
        <v/>
      </c>
      <c r="CB230" s="55">
        <f>$CB229+$BZ230</f>
        <v/>
      </c>
      <c r="CC230" s="55">
        <f>SUMIFS(tblPlant[Feed_oz],tblPlant[Date],$A230)</f>
        <v/>
      </c>
      <c r="CD230" s="55">
        <f>IF($B230=$B229,$CD229,0)+$CC230</f>
        <v/>
      </c>
      <c r="CE230" s="55">
        <f>$CE229+$CC230</f>
        <v/>
      </c>
      <c r="CF230" s="55">
        <f>SUMIFS(tblPlant[Tails_oz],tblPlant[Date],$A230)</f>
        <v/>
      </c>
      <c r="CG230" s="55">
        <f>IF($B230=$B229,$CG229,0)+$CF230</f>
        <v/>
      </c>
      <c r="CH230" s="55">
        <f>$CH229+$CF230</f>
        <v/>
      </c>
      <c r="CI230" s="55">
        <f>SUMIFS(tblPlant[Recovered_oz],tblPlant[Date],$A230)</f>
        <v/>
      </c>
      <c r="CJ230" s="55">
        <f>IF($B230=$B229,$CJ229,0)+$CI230</f>
        <v/>
      </c>
      <c r="CK230" s="55">
        <f>$CK229+$CI230</f>
        <v/>
      </c>
      <c r="CL230" s="56">
        <f>IFERROR(IF(($BZ230)&gt;0,($CC230*cfg_TroyOz)/($BZ230),""),"")</f>
        <v/>
      </c>
      <c r="CM230" s="56">
        <f>IFERROR(IF(($CA230)&gt;0,($CD230*cfg_TroyOz)/($CA230),""),"")</f>
        <v/>
      </c>
      <c r="CN230" s="56">
        <f>IFERROR(IF(($CB230)&gt;0,($CE230*cfg_TroyOz)/($CB230),""),"")</f>
        <v/>
      </c>
      <c r="CO230" s="56">
        <f>IFERROR(IF(($BZ230)&gt;0,($CF230*cfg_TroyOz)/($BZ230),""),"")</f>
        <v/>
      </c>
      <c r="CP230" s="56">
        <f>IFERROR(IF(($CA230)&gt;0,($CG230*cfg_TroyOz)/($CA230),""),"")</f>
        <v/>
      </c>
      <c r="CQ230" s="56">
        <f>IFERROR(IF(($CB230)&gt;0,($CH230*cfg_TroyOz)/($CB230),""),"")</f>
        <v/>
      </c>
      <c r="CR230" s="67">
        <f>IFERROR(IF(($CC230)&gt;0,($CI230)/($CC230),""),"")</f>
        <v/>
      </c>
      <c r="CS230" s="67">
        <f>IFERROR(IF(($CD230)&gt;0,($CJ230)/($CD230),""),"")</f>
        <v/>
      </c>
      <c r="CT230" s="67">
        <f>IFERROR(IF(($CE230)&gt;0,($CK230)/($CE230),""),"")</f>
        <v/>
      </c>
      <c r="CU230" s="55">
        <f>SUMIFS(tblPlant[Gravity_Gold_oz],tblPlant[Date],$A230)</f>
        <v/>
      </c>
      <c r="CV230" s="55">
        <f>IF($B230=$B229,$CV229,0)+$CU230</f>
        <v/>
      </c>
      <c r="CW230" s="55">
        <f>$CW229+$CU230</f>
        <v/>
      </c>
      <c r="CX230" s="55">
        <f>SUMIFS(tblPlant[Gold_Poured_oz],tblPlant[Date],$A230)</f>
        <v/>
      </c>
      <c r="CY230" s="55">
        <f>IF($B230=$B229,$CY229,0)+$CX230</f>
        <v/>
      </c>
      <c r="CZ230" s="55">
        <f>$CZ229+$CX230</f>
        <v/>
      </c>
      <c r="DA230" s="57">
        <f>SUMIFS(tblPlant[Mill_Run_h],tblPlant[Date],$A230)</f>
        <v/>
      </c>
      <c r="DB230" s="57">
        <f>IF($B230=$B229,$DB229,0)+$DA230</f>
        <v/>
      </c>
      <c r="DC230" s="57">
        <f>$DC229+$DA230</f>
        <v/>
      </c>
      <c r="DD230" s="57">
        <f>SUMIFS(tblPlant[Mill_Planned_Maint_h],tblPlant[Date],$A230)</f>
        <v/>
      </c>
      <c r="DE230" s="57">
        <f>IF($B230=$B229,$DE229,0)+$DD230</f>
        <v/>
      </c>
      <c r="DF230" s="57">
        <f>$DF229+$DD230</f>
        <v/>
      </c>
      <c r="DG230" s="57">
        <f>SUMIFS(tblPlant[Mill_Unplanned_Down_h],tblPlant[Date],$A230)</f>
        <v/>
      </c>
      <c r="DH230" s="57">
        <f>IF($B230=$B229,$DH229,0)+$DG230</f>
        <v/>
      </c>
      <c r="DI230" s="57">
        <f>$DI229+$DG230</f>
        <v/>
      </c>
      <c r="DJ230" s="57">
        <f>COUNTIFS(tblPlant[Date],$A230,tblPlant[Mill_Run_h],"&lt;&gt;")*24</f>
        <v/>
      </c>
      <c r="DK230" s="57">
        <f>IF($B230=$B229,$DK229,0)+$DJ230</f>
        <v/>
      </c>
      <c r="DL230" s="57">
        <f>$DL229+$DJ230</f>
        <v/>
      </c>
      <c r="DM230" s="57">
        <f>SUMIFS(tblPlant[Crusher_Run_h],tblPlant[Date],$A230)</f>
        <v/>
      </c>
      <c r="DN230" s="57">
        <f>IF($B230=$B229,$DN229,0)+$DM230</f>
        <v/>
      </c>
      <c r="DO230" s="57">
        <f>$DO229+$DM230</f>
        <v/>
      </c>
      <c r="DP230" s="55">
        <f>IFERROR(IF(($DA230)&gt;0,($BZ230)/($DA230),""),"")</f>
        <v/>
      </c>
      <c r="DQ230" s="55">
        <f>IFERROR(IF(($DB230)&gt;0,($CA230)/($DB230),""),"")</f>
        <v/>
      </c>
      <c r="DR230" s="55">
        <f>IFERROR(IF(($DC230)&gt;0,($CB230)/($DC230),""),"")</f>
        <v/>
      </c>
      <c r="DS230" s="67">
        <f>IFERROR(IF(($DJ230)&gt;0,($DJ230-$DD230-$DG230)/($DJ230),""),"")</f>
        <v/>
      </c>
      <c r="DT230" s="67">
        <f>IFERROR(IF(($DK230)&gt;0,($DK230-$DE230-$DH230)/($DK230),""),"")</f>
        <v/>
      </c>
      <c r="DU230" s="67">
        <f>IFERROR(IF(($DL230)&gt;0,($DL230-$DF230-$DI230)/($DL230),""),"")</f>
        <v/>
      </c>
      <c r="DV230" s="67">
        <f>IFERROR(IF(($DJ230-$DD230-$DG230)&gt;0,($DA230)/($DJ230-$DD230-$DG230),""),"")</f>
        <v/>
      </c>
      <c r="DW230" s="67">
        <f>IFERROR(IF(($DK230-$DE230-$DH230)&gt;0,($DB230)/($DK230-$DE230-$DH230),""),"")</f>
        <v/>
      </c>
      <c r="DX230" s="67">
        <f>IFERROR(IF(($DL230-$DF230-$DI230)&gt;0,($DC230)/($DL230-$DF230-$DI230),""),"")</f>
        <v/>
      </c>
      <c r="DY230" s="55">
        <f>SUMIFS(tblPlant[Cyanide_kg],tblPlant[Date],$A230)</f>
        <v/>
      </c>
      <c r="DZ230" s="55">
        <f>IF($B230=$B229,$DZ229,0)+$DY230</f>
        <v/>
      </c>
      <c r="EA230" s="55">
        <f>$EA229+$DY230</f>
        <v/>
      </c>
      <c r="EB230" s="55">
        <f>SUMIFS(tblPlant[Lime_kg],tblPlant[Date],$A230)</f>
        <v/>
      </c>
      <c r="EC230" s="55">
        <f>IF($B230=$B229,$EC229,0)+$EB230</f>
        <v/>
      </c>
      <c r="ED230" s="55">
        <f>$ED229+$EB230</f>
        <v/>
      </c>
      <c r="EE230" s="55">
        <f>SUMIFS(tblPlant[Grinding_Media_kg],tblPlant[Date],$A230)</f>
        <v/>
      </c>
      <c r="EF230" s="55">
        <f>IF($B230=$B229,$EF229,0)+$EE230</f>
        <v/>
      </c>
      <c r="EG230" s="55">
        <f>$EG229+$EE230</f>
        <v/>
      </c>
      <c r="EH230" s="55">
        <f>SUMIFS(tblPlant[Power_kWh],tblPlant[Date],$A230)</f>
        <v/>
      </c>
      <c r="EI230" s="55">
        <f>IF($B230=$B229,$EI229,0)+$EH230</f>
        <v/>
      </c>
      <c r="EJ230" s="55">
        <f>$EJ229+$EH230</f>
        <v/>
      </c>
      <c r="EK230" s="55">
        <f>SUMIFS(tblPlant[Raw_Water_m3],tblPlant[Date],$A230)</f>
        <v/>
      </c>
      <c r="EL230" s="55">
        <f>IF($B230=$B229,$EL229,0)+$EK230</f>
        <v/>
      </c>
      <c r="EM230" s="55">
        <f>$EM229+$EK230</f>
        <v/>
      </c>
      <c r="EN230" s="56">
        <f>IFERROR(IF(($BZ230)&gt;0,($DY230)/($BZ230),""),"")</f>
        <v/>
      </c>
      <c r="EO230" s="56">
        <f>IFERROR(IF(($CA230)&gt;0,($DZ230)/($CA230),""),"")</f>
        <v/>
      </c>
      <c r="EP230" s="56">
        <f>IFERROR(IF(($CB230)&gt;0,($EA230)/($CB230),""),"")</f>
        <v/>
      </c>
      <c r="EQ230" s="56">
        <f>IFERROR(IF(($BZ230)&gt;0,($EB230)/($BZ230),""),"")</f>
        <v/>
      </c>
      <c r="ER230" s="56">
        <f>IFERROR(IF(($CA230)&gt;0,($EC230)/($CA230),""),"")</f>
        <v/>
      </c>
      <c r="ES230" s="56">
        <f>IFERROR(IF(($CB230)&gt;0,($ED230)/($CB230),""),"")</f>
        <v/>
      </c>
      <c r="ET230" s="56">
        <f>IFERROR(IF(($BZ230)&gt;0,($EE230)/($BZ230),""),"")</f>
        <v/>
      </c>
      <c r="EU230" s="56">
        <f>IFERROR(IF(($CA230)&gt;0,($EF230)/($CA230),""),"")</f>
        <v/>
      </c>
      <c r="EV230" s="56">
        <f>IFERROR(IF(($CB230)&gt;0,($EG230)/($CB230),""),"")</f>
        <v/>
      </c>
      <c r="EW230" s="76">
        <f>IFERROR(IF(($BZ230)&gt;0,($EH230)/($BZ230),""),"")</f>
        <v/>
      </c>
      <c r="EX230" s="76">
        <f>IFERROR(IF(($CA230)&gt;0,($EI230)/($CA230),""),"")</f>
        <v/>
      </c>
      <c r="EY230" s="76">
        <f>IFERROR(IF(($CB230)&gt;0,($EJ230)/($CB230),""),"")</f>
        <v/>
      </c>
      <c r="EZ230" s="56">
        <f>IFERROR(IF(($BZ230)&gt;0,($EK230)/($BZ230),""),"")</f>
        <v/>
      </c>
      <c r="FA230" s="56">
        <f>IFERROR(IF(($CA230)&gt;0,($EL230)/($CA230),""),"")</f>
        <v/>
      </c>
      <c r="FB230" s="56">
        <f>IFERROR(IF(($CB230)&gt;0,($EM230)/($CB230),""),"")</f>
        <v/>
      </c>
      <c r="FC230" s="55">
        <f>IF(SUMIFS(tblPlant[GIC_oz],tblPlant[Date],$A230)&gt;0,SUMIFS(tblPlant[GIC_oz],tblPlant[Date],$A230),"")</f>
        <v/>
      </c>
      <c r="FD230" s="55">
        <f>SUMIFS(tblGold[Gold_oz],tblGold[Date],$A230,tblGold[Type],"Shipment")</f>
        <v/>
      </c>
      <c r="FE230" s="55">
        <f>IF($B230=$B229,$FE229,0)+$FD230</f>
        <v/>
      </c>
      <c r="FF230" s="55">
        <f>$FF229+$FD230</f>
        <v/>
      </c>
      <c r="FG230" s="55">
        <f>SUMIFS(tblGold[Gold_oz],tblGold[Date],$A230,tblGold[Type],"Sale")</f>
        <v/>
      </c>
      <c r="FH230" s="55">
        <f>IF($B230=$B229,$FH229,0)+$FG230</f>
        <v/>
      </c>
      <c r="FI230" s="55">
        <f>$FI229+$FG230</f>
        <v/>
      </c>
      <c r="FJ230" s="55">
        <f>SUMIFS(tblGold[Dore_kg],tblGold[Date],$A230,tblGold[Type],"Shipment")</f>
        <v/>
      </c>
      <c r="FK230" s="55">
        <f>IF($B230=$B229,$FK229,0)+$FJ230</f>
        <v/>
      </c>
      <c r="FL230" s="55">
        <f>$FL229+$FJ230</f>
        <v/>
      </c>
      <c r="FM230" s="57">
        <f>SUMIFS(tblSafety[Hours_Total],tblSafety[Date],$A230)</f>
        <v/>
      </c>
      <c r="FN230" s="57">
        <f>IF($B230=$B229,$FN229,0)+$FM230</f>
        <v/>
      </c>
      <c r="FO230" s="57">
        <f>$FO229+$FM230</f>
        <v/>
      </c>
      <c r="FP230" s="62">
        <f>SUMIFS(tblSafety[Fatality],tblSafety[Date],$A230)</f>
        <v/>
      </c>
      <c r="FQ230" s="62">
        <f>IF($B230=$B229,$FQ229,0)+$FP230</f>
        <v/>
      </c>
      <c r="FR230" s="62">
        <f>$FR229+$FP230</f>
        <v/>
      </c>
      <c r="FS230" s="62">
        <f>SUMIFS(tblSafety[LTI],tblSafety[Date],$A230)</f>
        <v/>
      </c>
      <c r="FT230" s="62">
        <f>IF($B230=$B229,$FT229,0)+$FS230</f>
        <v/>
      </c>
      <c r="FU230" s="62">
        <f>$FU229+$FS230</f>
        <v/>
      </c>
      <c r="FV230" s="62">
        <f>SUMIFS(tblSafety[RWI],tblSafety[Date],$A230)</f>
        <v/>
      </c>
      <c r="FW230" s="62">
        <f>IF($B230=$B229,$FW229,0)+$FV230</f>
        <v/>
      </c>
      <c r="FX230" s="62">
        <f>$FX229+$FV230</f>
        <v/>
      </c>
      <c r="FY230" s="62">
        <f>SUMIFS(tblSafety[MTI],tblSafety[Date],$A230)</f>
        <v/>
      </c>
      <c r="FZ230" s="62">
        <f>IF($B230=$B229,$FZ229,0)+$FY230</f>
        <v/>
      </c>
      <c r="GA230" s="62">
        <f>$GA229+$FY230</f>
        <v/>
      </c>
      <c r="GB230" s="62">
        <f>SUMIFS(tblSafety[FAI],tblSafety[Date],$A230)</f>
        <v/>
      </c>
      <c r="GC230" s="62">
        <f>IF($B230=$B229,$GC229,0)+$GB230</f>
        <v/>
      </c>
      <c r="GD230" s="62">
        <f>$GD229+$GB230</f>
        <v/>
      </c>
      <c r="GE230" s="62">
        <f>SUMIFS(tblSafety[Recordables],tblSafety[Date],$A230)</f>
        <v/>
      </c>
      <c r="GF230" s="62">
        <f>IF($B230=$B229,$GF229,0)+$GE230</f>
        <v/>
      </c>
      <c r="GG230" s="62">
        <f>$GG229+$GE230</f>
        <v/>
      </c>
      <c r="GH230" s="62">
        <f>SUMIFS(tblSafety[Near_Miss],tblSafety[Date],$A230)</f>
        <v/>
      </c>
      <c r="GI230" s="62">
        <f>IF($B230=$B229,$GI229,0)+$GH230</f>
        <v/>
      </c>
      <c r="GJ230" s="62">
        <f>$GJ229+$GH230</f>
        <v/>
      </c>
      <c r="GK230" s="62">
        <f>SUMIFS(tblSafety[Hazard_Reports],tblSafety[Date],$A230)</f>
        <v/>
      </c>
      <c r="GL230" s="62">
        <f>IF($B230=$B229,$GL229,0)+$GK230</f>
        <v/>
      </c>
      <c r="GM230" s="62">
        <f>$GM229+$GK230</f>
        <v/>
      </c>
      <c r="GN230" s="62">
        <f>SUMIFS(tblSafety[HPI],tblSafety[Date],$A230)</f>
        <v/>
      </c>
      <c r="GO230" s="62">
        <f>IF($B230=$B229,$GO229,0)+$GN230</f>
        <v/>
      </c>
      <c r="GP230" s="62">
        <f>$GP229+$GN230</f>
        <v/>
      </c>
      <c r="GQ230" s="62">
        <f>SUMIFS(tblSafety[Env_Incidents],tblSafety[Date],$A230)</f>
        <v/>
      </c>
      <c r="GR230" s="62">
        <f>IF($B230=$B229,$GR229,0)+$GQ230</f>
        <v/>
      </c>
      <c r="GS230" s="62">
        <f>$GS229+$GQ230</f>
        <v/>
      </c>
      <c r="GT230" s="62">
        <f>SUMIFS(tblSafety[Community_Incidents],tblSafety[Date],$A230)</f>
        <v/>
      </c>
      <c r="GU230" s="62">
        <f>IF($B230=$B229,$GU229,0)+$GT230</f>
        <v/>
      </c>
      <c r="GV230" s="62">
        <f>$GV229+$GT230</f>
        <v/>
      </c>
      <c r="GW230" s="62">
        <f>SUMIFS(tblSafety[Vehicle_Incidents],tblSafety[Date],$A230)</f>
        <v/>
      </c>
      <c r="GX230" s="62">
        <f>IF($B230=$B229,$GX229,0)+$GW230</f>
        <v/>
      </c>
      <c r="GY230" s="62">
        <f>$GY229+$GW230</f>
        <v/>
      </c>
      <c r="GZ230" s="62">
        <f>SUMIFS(tblSafety[Toolbox_Talks],tblSafety[Date],$A230)</f>
        <v/>
      </c>
      <c r="HA230" s="62">
        <f>IF($B230=$B229,$HA229,0)+$GZ230</f>
        <v/>
      </c>
      <c r="HB230" s="62">
        <f>$HB229+$GZ230</f>
        <v/>
      </c>
      <c r="HC230" s="62">
        <f>SUMIFS(tblSafety[Inspections],tblSafety[Date],$A230)</f>
        <v/>
      </c>
      <c r="HD230" s="62">
        <f>IF($B230=$B229,$HD229,0)+$HC230</f>
        <v/>
      </c>
      <c r="HE230" s="62">
        <f>$HE229+$HC230</f>
        <v/>
      </c>
      <c r="HF230" s="56">
        <f>IFERROR((SUMIFS(tblSafety[Recordables],tblSafety[Date],"&gt;="&amp;EDATE($E230,-12),tblSafety[Date],"&lt;="&amp;$A230)+SUMIFS(tblSafetyHistory[Recordables],tblSafetyHistory[Month],"&gt;="&amp;EDATE($E230,-12),tblSafetyHistory[Month],"&lt;"&amp;cfg_YearStart))/(SUMIFS(tblSafety[Hours_Total],tblSafety[Date],"&gt;="&amp;EDATE($E230,-12),tblSafety[Date],"&lt;="&amp;$A230)+SUMIFS(tblSafetyHistory[Hours_Total],tblSafetyHistory[Month],"&gt;="&amp;EDATE($E230,-12),tblSafetyHistory[Month],"&lt;"&amp;cfg_YearStart))*1000000,"")</f>
        <v/>
      </c>
      <c r="HG230" s="56">
        <f>IFERROR((SUMIFS(tblSafety[LTI],tblSafety[Date],"&gt;="&amp;EDATE($E230,-12),tblSafety[Date],"&lt;="&amp;$A230)+SUMIFS(tblSafetyHistory[LTI],tblSafetyHistory[Month],"&gt;="&amp;EDATE($E230,-12),tblSafetyHistory[Month],"&lt;"&amp;cfg_YearStart))/(SUMIFS(tblSafety[Hours_Total],tblSafety[Date],"&gt;="&amp;EDATE($E230,-12),tblSafety[Date],"&lt;="&amp;$A230)+SUMIFS(tblSafetyHistory[Hours_Total],tblSafetyHistory[Month],"&gt;="&amp;EDATE($E230,-12),tblSafetyHistory[Month],"&lt;"&amp;cfg_YearStart))*1000000,"")</f>
        <v/>
      </c>
      <c r="HH230" s="62">
        <f>IF(MAX(N(cfg_PriorLTIDate),_xlfn.MAXIFS(tblSafety[Date],tblSafety[LTI],"&gt;0",tblSafety[Date],"&lt;="&amp;$A230))=0,"",$A230-MAX(N(cfg_PriorLTIDate),_xlfn.MAXIFS(tblSafety[Date],tblSafety[LTI],"&gt;0",tblSafety[Date],"&lt;="&amp;$A230)))</f>
        <v/>
      </c>
      <c r="HI230" s="55">
        <f>SUMIFS(tblBudget[Ore_Mined_t],tblBudget[Month],$E230)</f>
        <v/>
      </c>
      <c r="HJ230" s="55">
        <f>$HI230*$C230/$D230</f>
        <v/>
      </c>
      <c r="HK230" s="55">
        <f>SUMIFS(tblBudget[Ore_Mined_t],tblBudget[Month],"&lt;"&amp;$E230)+$HJ230</f>
        <v/>
      </c>
      <c r="HL230" s="55">
        <f>SUMIFS(tblBudget[Ore_oz],tblBudget[Month],$E230)</f>
        <v/>
      </c>
      <c r="HM230" s="55">
        <f>$HL230*$C230/$D230</f>
        <v/>
      </c>
      <c r="HN230" s="55">
        <f>SUMIFS(tblBudget[Ore_oz],tblBudget[Month],"&lt;"&amp;$E230)+$HM230</f>
        <v/>
      </c>
      <c r="HO230" s="56">
        <f>IFERROR(IF(($HI230)&gt;0,($HL230*cfg_TroyOz)/($HI230),""),"")</f>
        <v/>
      </c>
      <c r="HP230" s="56">
        <f>IFERROR(IF(($HJ230)&gt;0,($HM230*cfg_TroyOz)/($HJ230),""),"")</f>
        <v/>
      </c>
      <c r="HQ230" s="56">
        <f>IFERROR(IF(($HK230)&gt;0,($HN230*cfg_TroyOz)/($HK230),""),"")</f>
        <v/>
      </c>
      <c r="HR230" s="55">
        <f>SUMIFS(tblBudget[Waste_t],tblBudget[Month],$E230)</f>
        <v/>
      </c>
      <c r="HS230" s="55">
        <f>$HR230*$C230/$D230</f>
        <v/>
      </c>
      <c r="HT230" s="55">
        <f>SUMIFS(tblBudget[Waste_t],tblBudget[Month],"&lt;"&amp;$E230)+$HS230</f>
        <v/>
      </c>
      <c r="HU230" s="55">
        <f>SUMIFS(tblBudget[TMM_t],tblBudget[Month],$E230)</f>
        <v/>
      </c>
      <c r="HV230" s="55">
        <f>$HU230*$C230/$D230</f>
        <v/>
      </c>
      <c r="HW230" s="55">
        <f>SUMIFS(tblBudget[TMM_t],tblBudget[Month],"&lt;"&amp;$E230)+$HV230</f>
        <v/>
      </c>
      <c r="HX230" s="56">
        <f>IFERROR(IF(($HI230)&gt;0,($HR230)/($HI230),""),"")</f>
        <v/>
      </c>
      <c r="HY230" s="56">
        <f>IFERROR(IF(($HJ230)&gt;0,($HS230)/($HJ230),""),"")</f>
        <v/>
      </c>
      <c r="HZ230" s="56">
        <f>IFERROR(IF(($HK230)&gt;0,($HT230)/($HK230),""),"")</f>
        <v/>
      </c>
      <c r="IA230" s="55">
        <f>SUMIFS(tblBudget[Drill_m],tblBudget[Month],$E230)</f>
        <v/>
      </c>
      <c r="IB230" s="55">
        <f>$IA230*$C230/$D230</f>
        <v/>
      </c>
      <c r="IC230" s="55">
        <f>SUMIFS(tblBudget[Drill_m],tblBudget[Month],"&lt;"&amp;$E230)+$IB230</f>
        <v/>
      </c>
      <c r="ID230" s="55">
        <f>SUMIFS(tblBudget[Diesel_L],tblBudget[Month],$E230)</f>
        <v/>
      </c>
      <c r="IE230" s="55">
        <f>$ID230*$C230/$D230</f>
        <v/>
      </c>
      <c r="IF230" s="55">
        <f>SUMIFS(tblBudget[Diesel_L],tblBudget[Month],"&lt;"&amp;$E230)+$IE230</f>
        <v/>
      </c>
      <c r="IG230" s="55">
        <f>SUMIFS(tblBudget[Milled_t],tblBudget[Month],$E230)</f>
        <v/>
      </c>
      <c r="IH230" s="55">
        <f>$IG230*$C230/$D230</f>
        <v/>
      </c>
      <c r="II230" s="55">
        <f>SUMIFS(tblBudget[Milled_t],tblBudget[Month],"&lt;"&amp;$E230)+$IH230</f>
        <v/>
      </c>
      <c r="IJ230" s="55">
        <f>SUMIFS(tblBudget[Feed_oz],tblBudget[Month],$E230)</f>
        <v/>
      </c>
      <c r="IK230" s="55">
        <f>$IJ230*$C230/$D230</f>
        <v/>
      </c>
      <c r="IL230" s="55">
        <f>SUMIFS(tblBudget[Feed_oz],tblBudget[Month],"&lt;"&amp;$E230)+$IK230</f>
        <v/>
      </c>
      <c r="IM230" s="55">
        <f>SUMIFS(tblBudget[Recovered_oz],tblBudget[Month],$E230)</f>
        <v/>
      </c>
      <c r="IN230" s="55">
        <f>$IM230*$C230/$D230</f>
        <v/>
      </c>
      <c r="IO230" s="55">
        <f>SUMIFS(tblBudget[Recovered_oz],tblBudget[Month],"&lt;"&amp;$E230)+$IN230</f>
        <v/>
      </c>
      <c r="IP230" s="56">
        <f>IFERROR(IF(($IG230)&gt;0,($IJ230*cfg_TroyOz)/($IG230),""),"")</f>
        <v/>
      </c>
      <c r="IQ230" s="56">
        <f>IFERROR(IF(($IH230)&gt;0,($IK230*cfg_TroyOz)/($IH230),""),"")</f>
        <v/>
      </c>
      <c r="IR230" s="56">
        <f>IFERROR(IF(($II230)&gt;0,($IL230*cfg_TroyOz)/($II230),""),"")</f>
        <v/>
      </c>
      <c r="IS230" s="67">
        <f>IFERROR(IF(($IJ230)&gt;0,($IM230)/($IJ230),""),"")</f>
        <v/>
      </c>
      <c r="IT230" s="67">
        <f>IFERROR(IF(($IK230)&gt;0,($IN230)/($IK230),""),"")</f>
        <v/>
      </c>
      <c r="IU230" s="67">
        <f>IFERROR(IF(($IL230)&gt;0,($IO230)/($IL230),""),"")</f>
        <v/>
      </c>
      <c r="IV230" s="55">
        <f>SUMIFS(tblBudget[Gold_Poured_oz],tblBudget[Month],$E230)</f>
        <v/>
      </c>
      <c r="IW230" s="55">
        <f>$IV230*$C230/$D230</f>
        <v/>
      </c>
      <c r="IX230" s="55">
        <f>SUMIFS(tblBudget[Gold_Poured_oz],tblBudget[Month],"&lt;"&amp;$E230)+$IW230</f>
        <v/>
      </c>
      <c r="IY230" s="57">
        <f>SUMIFS(tblBudget[Hours_Worked],tblBudget[Month],$E230)</f>
        <v/>
      </c>
      <c r="IZ230" s="57">
        <f>$IY230*$C230/$D230</f>
        <v/>
      </c>
      <c r="JA230" s="57">
        <f>SUMIFS(tblBudget[Hours_Worked],tblBudget[Month],"&lt;"&amp;$E230)+$IZ230</f>
        <v/>
      </c>
    </row>
    <row r="231">
      <c r="A231" s="54" t="n">
        <v>46252</v>
      </c>
      <c r="B231">
        <f>MONTH($A231)</f>
        <v/>
      </c>
      <c r="C231">
        <f>DAY($A231)</f>
        <v/>
      </c>
      <c r="D231">
        <f>DAY(EOMONTH($A231,0))</f>
        <v/>
      </c>
      <c r="E231" s="54">
        <f>DATE(YEAR($A231),MONTH($A231),1)</f>
        <v/>
      </c>
      <c r="F231" s="55">
        <f>SUMIFS(tblMovement[Tonnes_t],tblMovement[Date],$A231,tblMovement[Is_Ore],1,tblMovement[Source_Type],"Pit")</f>
        <v/>
      </c>
      <c r="G231" s="55">
        <f>IF($B231=$B230,$G230,0)+$F231</f>
        <v/>
      </c>
      <c r="H231" s="55">
        <f>$H230+$F231</f>
        <v/>
      </c>
      <c r="I231" s="55">
        <f>SUMIFS(tblMovement[Ore_oz],tblMovement[Date],$A231,tblMovement[Source_Type],"Pit")</f>
        <v/>
      </c>
      <c r="J231" s="55">
        <f>IF($B231=$B230,$J230,0)+$I231</f>
        <v/>
      </c>
      <c r="K231" s="55">
        <f>$K230+$I231</f>
        <v/>
      </c>
      <c r="L231" s="56">
        <f>IFERROR(IF(($F231)&gt;0,($I231*cfg_TroyOz)/($F231),""),"")</f>
        <v/>
      </c>
      <c r="M231" s="56">
        <f>IFERROR(IF(($G231)&gt;0,($J231*cfg_TroyOz)/($G231),""),"")</f>
        <v/>
      </c>
      <c r="N231" s="56">
        <f>IFERROR(IF(($H231)&gt;0,($K231*cfg_TroyOz)/($H231),""),"")</f>
        <v/>
      </c>
      <c r="O231" s="55">
        <f>SUMIFS(tblMovement[Tonnes_t],tblMovement[Date],$A231,tblMovement[Is_Ore],0,tblMovement[Source_Type],"Pit")</f>
        <v/>
      </c>
      <c r="P231" s="55">
        <f>IF($B231=$B230,$P230,0)+$O231</f>
        <v/>
      </c>
      <c r="Q231" s="55">
        <f>$Q230+$O231</f>
        <v/>
      </c>
      <c r="R231" s="55">
        <f>$F231+$O231</f>
        <v/>
      </c>
      <c r="S231" s="55">
        <f>IF($B231=$B230,$S230,0)+$R231</f>
        <v/>
      </c>
      <c r="T231" s="55">
        <f>$T230+$R231</f>
        <v/>
      </c>
      <c r="U231" s="56">
        <f>IFERROR(IF(($F231)&gt;0,($O231)/($F231),""),"")</f>
        <v/>
      </c>
      <c r="V231" s="56">
        <f>IFERROR(IF(($G231)&gt;0,($P231)/($G231),""),"")</f>
        <v/>
      </c>
      <c r="W231" s="56">
        <f>IFERROR(IF(($H231)&gt;0,($Q231)/($H231),""),"")</f>
        <v/>
      </c>
      <c r="X231" s="55">
        <f>SUMIFS(tblMovement[Tonnes_t],tblMovement[Date],$A231,tblMovement[Source_Type],"Stockpile")</f>
        <v/>
      </c>
      <c r="Y231" s="55">
        <f>IF($B231=$B230,$Y230,0)+$X231</f>
        <v/>
      </c>
      <c r="Z231" s="55">
        <f>$Z230+$X231</f>
        <v/>
      </c>
      <c r="AA231" s="55">
        <f>SUMIFS(tblMiningDaily[Drill_m],tblMiningDaily[Date],$A231)</f>
        <v/>
      </c>
      <c r="AB231" s="55">
        <f>IF($B231=$B230,$AB230,0)+$AA231</f>
        <v/>
      </c>
      <c r="AC231" s="55">
        <f>$AC230+$AA231</f>
        <v/>
      </c>
      <c r="AD231" s="55">
        <f>SUMIFS(tblMiningDaily[Blast_t],tblMiningDaily[Date],$A231)</f>
        <v/>
      </c>
      <c r="AE231" s="55">
        <f>IF($B231=$B230,$AE230,0)+$AD231</f>
        <v/>
      </c>
      <c r="AF231" s="55">
        <f>$AF230+$AD231</f>
        <v/>
      </c>
      <c r="AG231" s="55">
        <f>SUMIFS(tblMiningDaily[Explosives_kg],tblMiningDaily[Date],$A231)</f>
        <v/>
      </c>
      <c r="AH231" s="55">
        <f>IF($B231=$B230,$AH230,0)+$AG231</f>
        <v/>
      </c>
      <c r="AI231" s="55">
        <f>$AI230+$AG231</f>
        <v/>
      </c>
      <c r="AJ231" s="56">
        <f>IFERROR(IF(($AD231)&gt;0,($AG231)/($AD231),""),"")</f>
        <v/>
      </c>
      <c r="AK231" s="56">
        <f>IFERROR(IF(($AE231)&gt;0,($AH231)/($AE231),""),"")</f>
        <v/>
      </c>
      <c r="AL231" s="56">
        <f>IFERROR(IF(($AF231)&gt;0,($AI231)/($AF231),""),"")</f>
        <v/>
      </c>
      <c r="AM231" s="55">
        <f>SUMIFS(tblMiningDaily[Diesel_L],tblMiningDaily[Date],$A231)</f>
        <v/>
      </c>
      <c r="AN231" s="55">
        <f>IF($B231=$B230,$AN230,0)+$AM231</f>
        <v/>
      </c>
      <c r="AO231" s="55">
        <f>$AO230+$AM231</f>
        <v/>
      </c>
      <c r="AP231" s="55">
        <f>SUMIFS(tblMiningDaily[Dewatering_m3],tblMiningDaily[Date],$A231)</f>
        <v/>
      </c>
      <c r="AQ231" s="55">
        <f>IF($B231=$B230,$AQ230,0)+$AP231</f>
        <v/>
      </c>
      <c r="AR231" s="55">
        <f>$AR230+$AP231</f>
        <v/>
      </c>
      <c r="AS231" s="57">
        <f>SUMIFS(tblFleet[Calendar_h],tblFleet[Date],$A231,tblFleet[Equipment_Class],"Excavator")</f>
        <v/>
      </c>
      <c r="AT231" s="57">
        <f>IF($B231=$B230,$AT230,0)+$AS231</f>
        <v/>
      </c>
      <c r="AU231" s="57">
        <f>$AU230+$AS231</f>
        <v/>
      </c>
      <c r="AV231" s="57">
        <f>SUMIFS(tblFleet[Available_h],tblFleet[Date],$A231,tblFleet[Equipment_Class],"Excavator")</f>
        <v/>
      </c>
      <c r="AW231" s="57">
        <f>IF($B231=$B230,$AW230,0)+$AV231</f>
        <v/>
      </c>
      <c r="AX231" s="57">
        <f>$AX230+$AV231</f>
        <v/>
      </c>
      <c r="AY231" s="57">
        <f>SUMIFS(tblFleet[Operating_h],tblFleet[Date],$A231,tblFleet[Equipment_Class],"Excavator")</f>
        <v/>
      </c>
      <c r="AZ231" s="57">
        <f>IF($B231=$B230,$AZ230,0)+$AY231</f>
        <v/>
      </c>
      <c r="BA231" s="57">
        <f>$BA230+$AY231</f>
        <v/>
      </c>
      <c r="BB231" s="67">
        <f>IFERROR(IF(($AS231)&gt;0,($AV231)/($AS231),""),"")</f>
        <v/>
      </c>
      <c r="BC231" s="67">
        <f>IFERROR(IF(($AT231)&gt;0,($AW231)/($AT231),""),"")</f>
        <v/>
      </c>
      <c r="BD231" s="67">
        <f>IFERROR(IF(($AU231)&gt;0,($AX231)/($AU231),""),"")</f>
        <v/>
      </c>
      <c r="BE231" s="67">
        <f>IFERROR(IF(($AV231)&gt;0,($AY231)/($AV231),""),"")</f>
        <v/>
      </c>
      <c r="BF231" s="67">
        <f>IFERROR(IF(($AW231)&gt;0,($AZ231)/($AW231),""),"")</f>
        <v/>
      </c>
      <c r="BG231" s="67">
        <f>IFERROR(IF(($AX231)&gt;0,($BA231)/($AX231),""),"")</f>
        <v/>
      </c>
      <c r="BH231" s="57">
        <f>SUMIFS(tblFleet[Calendar_h],tblFleet[Date],$A231,tblFleet[Equipment_Class],"Haul Truck")</f>
        <v/>
      </c>
      <c r="BI231" s="57">
        <f>IF($B231=$B230,$BI230,0)+$BH231</f>
        <v/>
      </c>
      <c r="BJ231" s="57">
        <f>$BJ230+$BH231</f>
        <v/>
      </c>
      <c r="BK231" s="57">
        <f>SUMIFS(tblFleet[Available_h],tblFleet[Date],$A231,tblFleet[Equipment_Class],"Haul Truck")</f>
        <v/>
      </c>
      <c r="BL231" s="57">
        <f>IF($B231=$B230,$BL230,0)+$BK231</f>
        <v/>
      </c>
      <c r="BM231" s="57">
        <f>$BM230+$BK231</f>
        <v/>
      </c>
      <c r="BN231" s="57">
        <f>SUMIFS(tblFleet[Operating_h],tblFleet[Date],$A231,tblFleet[Equipment_Class],"Haul Truck")</f>
        <v/>
      </c>
      <c r="BO231" s="57">
        <f>IF($B231=$B230,$BO230,0)+$BN231</f>
        <v/>
      </c>
      <c r="BP231" s="57">
        <f>$BP230+$BN231</f>
        <v/>
      </c>
      <c r="BQ231" s="67">
        <f>IFERROR(IF(($BH231)&gt;0,($BK231)/($BH231),""),"")</f>
        <v/>
      </c>
      <c r="BR231" s="67">
        <f>IFERROR(IF(($BI231)&gt;0,($BL231)/($BI231),""),"")</f>
        <v/>
      </c>
      <c r="BS231" s="67">
        <f>IFERROR(IF(($BJ231)&gt;0,($BM231)/($BJ231),""),"")</f>
        <v/>
      </c>
      <c r="BT231" s="67">
        <f>IFERROR(IF(($BK231)&gt;0,($BN231)/($BK231),""),"")</f>
        <v/>
      </c>
      <c r="BU231" s="67">
        <f>IFERROR(IF(($BL231)&gt;0,($BO231)/($BL231),""),"")</f>
        <v/>
      </c>
      <c r="BV231" s="67">
        <f>IFERROR(IF(($BM231)&gt;0,($BP231)/($BM231),""),"")</f>
        <v/>
      </c>
      <c r="BW231" s="55">
        <f>SUMIFS(tblPlant[Crushed_t],tblPlant[Date],$A231)</f>
        <v/>
      </c>
      <c r="BX231" s="55">
        <f>IF($B231=$B230,$BX230,0)+$BW231</f>
        <v/>
      </c>
      <c r="BY231" s="55">
        <f>$BY230+$BW231</f>
        <v/>
      </c>
      <c r="BZ231" s="55">
        <f>SUMIFS(tblPlant[Milled_t],tblPlant[Date],$A231)</f>
        <v/>
      </c>
      <c r="CA231" s="55">
        <f>IF($B231=$B230,$CA230,0)+$BZ231</f>
        <v/>
      </c>
      <c r="CB231" s="55">
        <f>$CB230+$BZ231</f>
        <v/>
      </c>
      <c r="CC231" s="55">
        <f>SUMIFS(tblPlant[Feed_oz],tblPlant[Date],$A231)</f>
        <v/>
      </c>
      <c r="CD231" s="55">
        <f>IF($B231=$B230,$CD230,0)+$CC231</f>
        <v/>
      </c>
      <c r="CE231" s="55">
        <f>$CE230+$CC231</f>
        <v/>
      </c>
      <c r="CF231" s="55">
        <f>SUMIFS(tblPlant[Tails_oz],tblPlant[Date],$A231)</f>
        <v/>
      </c>
      <c r="CG231" s="55">
        <f>IF($B231=$B230,$CG230,0)+$CF231</f>
        <v/>
      </c>
      <c r="CH231" s="55">
        <f>$CH230+$CF231</f>
        <v/>
      </c>
      <c r="CI231" s="55">
        <f>SUMIFS(tblPlant[Recovered_oz],tblPlant[Date],$A231)</f>
        <v/>
      </c>
      <c r="CJ231" s="55">
        <f>IF($B231=$B230,$CJ230,0)+$CI231</f>
        <v/>
      </c>
      <c r="CK231" s="55">
        <f>$CK230+$CI231</f>
        <v/>
      </c>
      <c r="CL231" s="56">
        <f>IFERROR(IF(($BZ231)&gt;0,($CC231*cfg_TroyOz)/($BZ231),""),"")</f>
        <v/>
      </c>
      <c r="CM231" s="56">
        <f>IFERROR(IF(($CA231)&gt;0,($CD231*cfg_TroyOz)/($CA231),""),"")</f>
        <v/>
      </c>
      <c r="CN231" s="56">
        <f>IFERROR(IF(($CB231)&gt;0,($CE231*cfg_TroyOz)/($CB231),""),"")</f>
        <v/>
      </c>
      <c r="CO231" s="56">
        <f>IFERROR(IF(($BZ231)&gt;0,($CF231*cfg_TroyOz)/($BZ231),""),"")</f>
        <v/>
      </c>
      <c r="CP231" s="56">
        <f>IFERROR(IF(($CA231)&gt;0,($CG231*cfg_TroyOz)/($CA231),""),"")</f>
        <v/>
      </c>
      <c r="CQ231" s="56">
        <f>IFERROR(IF(($CB231)&gt;0,($CH231*cfg_TroyOz)/($CB231),""),"")</f>
        <v/>
      </c>
      <c r="CR231" s="67">
        <f>IFERROR(IF(($CC231)&gt;0,($CI231)/($CC231),""),"")</f>
        <v/>
      </c>
      <c r="CS231" s="67">
        <f>IFERROR(IF(($CD231)&gt;0,($CJ231)/($CD231),""),"")</f>
        <v/>
      </c>
      <c r="CT231" s="67">
        <f>IFERROR(IF(($CE231)&gt;0,($CK231)/($CE231),""),"")</f>
        <v/>
      </c>
      <c r="CU231" s="55">
        <f>SUMIFS(tblPlant[Gravity_Gold_oz],tblPlant[Date],$A231)</f>
        <v/>
      </c>
      <c r="CV231" s="55">
        <f>IF($B231=$B230,$CV230,0)+$CU231</f>
        <v/>
      </c>
      <c r="CW231" s="55">
        <f>$CW230+$CU231</f>
        <v/>
      </c>
      <c r="CX231" s="55">
        <f>SUMIFS(tblPlant[Gold_Poured_oz],tblPlant[Date],$A231)</f>
        <v/>
      </c>
      <c r="CY231" s="55">
        <f>IF($B231=$B230,$CY230,0)+$CX231</f>
        <v/>
      </c>
      <c r="CZ231" s="55">
        <f>$CZ230+$CX231</f>
        <v/>
      </c>
      <c r="DA231" s="57">
        <f>SUMIFS(tblPlant[Mill_Run_h],tblPlant[Date],$A231)</f>
        <v/>
      </c>
      <c r="DB231" s="57">
        <f>IF($B231=$B230,$DB230,0)+$DA231</f>
        <v/>
      </c>
      <c r="DC231" s="57">
        <f>$DC230+$DA231</f>
        <v/>
      </c>
      <c r="DD231" s="57">
        <f>SUMIFS(tblPlant[Mill_Planned_Maint_h],tblPlant[Date],$A231)</f>
        <v/>
      </c>
      <c r="DE231" s="57">
        <f>IF($B231=$B230,$DE230,0)+$DD231</f>
        <v/>
      </c>
      <c r="DF231" s="57">
        <f>$DF230+$DD231</f>
        <v/>
      </c>
      <c r="DG231" s="57">
        <f>SUMIFS(tblPlant[Mill_Unplanned_Down_h],tblPlant[Date],$A231)</f>
        <v/>
      </c>
      <c r="DH231" s="57">
        <f>IF($B231=$B230,$DH230,0)+$DG231</f>
        <v/>
      </c>
      <c r="DI231" s="57">
        <f>$DI230+$DG231</f>
        <v/>
      </c>
      <c r="DJ231" s="57">
        <f>COUNTIFS(tblPlant[Date],$A231,tblPlant[Mill_Run_h],"&lt;&gt;")*24</f>
        <v/>
      </c>
      <c r="DK231" s="57">
        <f>IF($B231=$B230,$DK230,0)+$DJ231</f>
        <v/>
      </c>
      <c r="DL231" s="57">
        <f>$DL230+$DJ231</f>
        <v/>
      </c>
      <c r="DM231" s="57">
        <f>SUMIFS(tblPlant[Crusher_Run_h],tblPlant[Date],$A231)</f>
        <v/>
      </c>
      <c r="DN231" s="57">
        <f>IF($B231=$B230,$DN230,0)+$DM231</f>
        <v/>
      </c>
      <c r="DO231" s="57">
        <f>$DO230+$DM231</f>
        <v/>
      </c>
      <c r="DP231" s="55">
        <f>IFERROR(IF(($DA231)&gt;0,($BZ231)/($DA231),""),"")</f>
        <v/>
      </c>
      <c r="DQ231" s="55">
        <f>IFERROR(IF(($DB231)&gt;0,($CA231)/($DB231),""),"")</f>
        <v/>
      </c>
      <c r="DR231" s="55">
        <f>IFERROR(IF(($DC231)&gt;0,($CB231)/($DC231),""),"")</f>
        <v/>
      </c>
      <c r="DS231" s="67">
        <f>IFERROR(IF(($DJ231)&gt;0,($DJ231-$DD231-$DG231)/($DJ231),""),"")</f>
        <v/>
      </c>
      <c r="DT231" s="67">
        <f>IFERROR(IF(($DK231)&gt;0,($DK231-$DE231-$DH231)/($DK231),""),"")</f>
        <v/>
      </c>
      <c r="DU231" s="67">
        <f>IFERROR(IF(($DL231)&gt;0,($DL231-$DF231-$DI231)/($DL231),""),"")</f>
        <v/>
      </c>
      <c r="DV231" s="67">
        <f>IFERROR(IF(($DJ231-$DD231-$DG231)&gt;0,($DA231)/($DJ231-$DD231-$DG231),""),"")</f>
        <v/>
      </c>
      <c r="DW231" s="67">
        <f>IFERROR(IF(($DK231-$DE231-$DH231)&gt;0,($DB231)/($DK231-$DE231-$DH231),""),"")</f>
        <v/>
      </c>
      <c r="DX231" s="67">
        <f>IFERROR(IF(($DL231-$DF231-$DI231)&gt;0,($DC231)/($DL231-$DF231-$DI231),""),"")</f>
        <v/>
      </c>
      <c r="DY231" s="55">
        <f>SUMIFS(tblPlant[Cyanide_kg],tblPlant[Date],$A231)</f>
        <v/>
      </c>
      <c r="DZ231" s="55">
        <f>IF($B231=$B230,$DZ230,0)+$DY231</f>
        <v/>
      </c>
      <c r="EA231" s="55">
        <f>$EA230+$DY231</f>
        <v/>
      </c>
      <c r="EB231" s="55">
        <f>SUMIFS(tblPlant[Lime_kg],tblPlant[Date],$A231)</f>
        <v/>
      </c>
      <c r="EC231" s="55">
        <f>IF($B231=$B230,$EC230,0)+$EB231</f>
        <v/>
      </c>
      <c r="ED231" s="55">
        <f>$ED230+$EB231</f>
        <v/>
      </c>
      <c r="EE231" s="55">
        <f>SUMIFS(tblPlant[Grinding_Media_kg],tblPlant[Date],$A231)</f>
        <v/>
      </c>
      <c r="EF231" s="55">
        <f>IF($B231=$B230,$EF230,0)+$EE231</f>
        <v/>
      </c>
      <c r="EG231" s="55">
        <f>$EG230+$EE231</f>
        <v/>
      </c>
      <c r="EH231" s="55">
        <f>SUMIFS(tblPlant[Power_kWh],tblPlant[Date],$A231)</f>
        <v/>
      </c>
      <c r="EI231" s="55">
        <f>IF($B231=$B230,$EI230,0)+$EH231</f>
        <v/>
      </c>
      <c r="EJ231" s="55">
        <f>$EJ230+$EH231</f>
        <v/>
      </c>
      <c r="EK231" s="55">
        <f>SUMIFS(tblPlant[Raw_Water_m3],tblPlant[Date],$A231)</f>
        <v/>
      </c>
      <c r="EL231" s="55">
        <f>IF($B231=$B230,$EL230,0)+$EK231</f>
        <v/>
      </c>
      <c r="EM231" s="55">
        <f>$EM230+$EK231</f>
        <v/>
      </c>
      <c r="EN231" s="56">
        <f>IFERROR(IF(($BZ231)&gt;0,($DY231)/($BZ231),""),"")</f>
        <v/>
      </c>
      <c r="EO231" s="56">
        <f>IFERROR(IF(($CA231)&gt;0,($DZ231)/($CA231),""),"")</f>
        <v/>
      </c>
      <c r="EP231" s="56">
        <f>IFERROR(IF(($CB231)&gt;0,($EA231)/($CB231),""),"")</f>
        <v/>
      </c>
      <c r="EQ231" s="56">
        <f>IFERROR(IF(($BZ231)&gt;0,($EB231)/($BZ231),""),"")</f>
        <v/>
      </c>
      <c r="ER231" s="56">
        <f>IFERROR(IF(($CA231)&gt;0,($EC231)/($CA231),""),"")</f>
        <v/>
      </c>
      <c r="ES231" s="56">
        <f>IFERROR(IF(($CB231)&gt;0,($ED231)/($CB231),""),"")</f>
        <v/>
      </c>
      <c r="ET231" s="56">
        <f>IFERROR(IF(($BZ231)&gt;0,($EE231)/($BZ231),""),"")</f>
        <v/>
      </c>
      <c r="EU231" s="56">
        <f>IFERROR(IF(($CA231)&gt;0,($EF231)/($CA231),""),"")</f>
        <v/>
      </c>
      <c r="EV231" s="56">
        <f>IFERROR(IF(($CB231)&gt;0,($EG231)/($CB231),""),"")</f>
        <v/>
      </c>
      <c r="EW231" s="76">
        <f>IFERROR(IF(($BZ231)&gt;0,($EH231)/($BZ231),""),"")</f>
        <v/>
      </c>
      <c r="EX231" s="76">
        <f>IFERROR(IF(($CA231)&gt;0,($EI231)/($CA231),""),"")</f>
        <v/>
      </c>
      <c r="EY231" s="76">
        <f>IFERROR(IF(($CB231)&gt;0,($EJ231)/($CB231),""),"")</f>
        <v/>
      </c>
      <c r="EZ231" s="56">
        <f>IFERROR(IF(($BZ231)&gt;0,($EK231)/($BZ231),""),"")</f>
        <v/>
      </c>
      <c r="FA231" s="56">
        <f>IFERROR(IF(($CA231)&gt;0,($EL231)/($CA231),""),"")</f>
        <v/>
      </c>
      <c r="FB231" s="56">
        <f>IFERROR(IF(($CB231)&gt;0,($EM231)/($CB231),""),"")</f>
        <v/>
      </c>
      <c r="FC231" s="55">
        <f>IF(SUMIFS(tblPlant[GIC_oz],tblPlant[Date],$A231)&gt;0,SUMIFS(tblPlant[GIC_oz],tblPlant[Date],$A231),"")</f>
        <v/>
      </c>
      <c r="FD231" s="55">
        <f>SUMIFS(tblGold[Gold_oz],tblGold[Date],$A231,tblGold[Type],"Shipment")</f>
        <v/>
      </c>
      <c r="FE231" s="55">
        <f>IF($B231=$B230,$FE230,0)+$FD231</f>
        <v/>
      </c>
      <c r="FF231" s="55">
        <f>$FF230+$FD231</f>
        <v/>
      </c>
      <c r="FG231" s="55">
        <f>SUMIFS(tblGold[Gold_oz],tblGold[Date],$A231,tblGold[Type],"Sale")</f>
        <v/>
      </c>
      <c r="FH231" s="55">
        <f>IF($B231=$B230,$FH230,0)+$FG231</f>
        <v/>
      </c>
      <c r="FI231" s="55">
        <f>$FI230+$FG231</f>
        <v/>
      </c>
      <c r="FJ231" s="55">
        <f>SUMIFS(tblGold[Dore_kg],tblGold[Date],$A231,tblGold[Type],"Shipment")</f>
        <v/>
      </c>
      <c r="FK231" s="55">
        <f>IF($B231=$B230,$FK230,0)+$FJ231</f>
        <v/>
      </c>
      <c r="FL231" s="55">
        <f>$FL230+$FJ231</f>
        <v/>
      </c>
      <c r="FM231" s="57">
        <f>SUMIFS(tblSafety[Hours_Total],tblSafety[Date],$A231)</f>
        <v/>
      </c>
      <c r="FN231" s="57">
        <f>IF($B231=$B230,$FN230,0)+$FM231</f>
        <v/>
      </c>
      <c r="FO231" s="57">
        <f>$FO230+$FM231</f>
        <v/>
      </c>
      <c r="FP231" s="62">
        <f>SUMIFS(tblSafety[Fatality],tblSafety[Date],$A231)</f>
        <v/>
      </c>
      <c r="FQ231" s="62">
        <f>IF($B231=$B230,$FQ230,0)+$FP231</f>
        <v/>
      </c>
      <c r="FR231" s="62">
        <f>$FR230+$FP231</f>
        <v/>
      </c>
      <c r="FS231" s="62">
        <f>SUMIFS(tblSafety[LTI],tblSafety[Date],$A231)</f>
        <v/>
      </c>
      <c r="FT231" s="62">
        <f>IF($B231=$B230,$FT230,0)+$FS231</f>
        <v/>
      </c>
      <c r="FU231" s="62">
        <f>$FU230+$FS231</f>
        <v/>
      </c>
      <c r="FV231" s="62">
        <f>SUMIFS(tblSafety[RWI],tblSafety[Date],$A231)</f>
        <v/>
      </c>
      <c r="FW231" s="62">
        <f>IF($B231=$B230,$FW230,0)+$FV231</f>
        <v/>
      </c>
      <c r="FX231" s="62">
        <f>$FX230+$FV231</f>
        <v/>
      </c>
      <c r="FY231" s="62">
        <f>SUMIFS(tblSafety[MTI],tblSafety[Date],$A231)</f>
        <v/>
      </c>
      <c r="FZ231" s="62">
        <f>IF($B231=$B230,$FZ230,0)+$FY231</f>
        <v/>
      </c>
      <c r="GA231" s="62">
        <f>$GA230+$FY231</f>
        <v/>
      </c>
      <c r="GB231" s="62">
        <f>SUMIFS(tblSafety[FAI],tblSafety[Date],$A231)</f>
        <v/>
      </c>
      <c r="GC231" s="62">
        <f>IF($B231=$B230,$GC230,0)+$GB231</f>
        <v/>
      </c>
      <c r="GD231" s="62">
        <f>$GD230+$GB231</f>
        <v/>
      </c>
      <c r="GE231" s="62">
        <f>SUMIFS(tblSafety[Recordables],tblSafety[Date],$A231)</f>
        <v/>
      </c>
      <c r="GF231" s="62">
        <f>IF($B231=$B230,$GF230,0)+$GE231</f>
        <v/>
      </c>
      <c r="GG231" s="62">
        <f>$GG230+$GE231</f>
        <v/>
      </c>
      <c r="GH231" s="62">
        <f>SUMIFS(tblSafety[Near_Miss],tblSafety[Date],$A231)</f>
        <v/>
      </c>
      <c r="GI231" s="62">
        <f>IF($B231=$B230,$GI230,0)+$GH231</f>
        <v/>
      </c>
      <c r="GJ231" s="62">
        <f>$GJ230+$GH231</f>
        <v/>
      </c>
      <c r="GK231" s="62">
        <f>SUMIFS(tblSafety[Hazard_Reports],tblSafety[Date],$A231)</f>
        <v/>
      </c>
      <c r="GL231" s="62">
        <f>IF($B231=$B230,$GL230,0)+$GK231</f>
        <v/>
      </c>
      <c r="GM231" s="62">
        <f>$GM230+$GK231</f>
        <v/>
      </c>
      <c r="GN231" s="62">
        <f>SUMIFS(tblSafety[HPI],tblSafety[Date],$A231)</f>
        <v/>
      </c>
      <c r="GO231" s="62">
        <f>IF($B231=$B230,$GO230,0)+$GN231</f>
        <v/>
      </c>
      <c r="GP231" s="62">
        <f>$GP230+$GN231</f>
        <v/>
      </c>
      <c r="GQ231" s="62">
        <f>SUMIFS(tblSafety[Env_Incidents],tblSafety[Date],$A231)</f>
        <v/>
      </c>
      <c r="GR231" s="62">
        <f>IF($B231=$B230,$GR230,0)+$GQ231</f>
        <v/>
      </c>
      <c r="GS231" s="62">
        <f>$GS230+$GQ231</f>
        <v/>
      </c>
      <c r="GT231" s="62">
        <f>SUMIFS(tblSafety[Community_Incidents],tblSafety[Date],$A231)</f>
        <v/>
      </c>
      <c r="GU231" s="62">
        <f>IF($B231=$B230,$GU230,0)+$GT231</f>
        <v/>
      </c>
      <c r="GV231" s="62">
        <f>$GV230+$GT231</f>
        <v/>
      </c>
      <c r="GW231" s="62">
        <f>SUMIFS(tblSafety[Vehicle_Incidents],tblSafety[Date],$A231)</f>
        <v/>
      </c>
      <c r="GX231" s="62">
        <f>IF($B231=$B230,$GX230,0)+$GW231</f>
        <v/>
      </c>
      <c r="GY231" s="62">
        <f>$GY230+$GW231</f>
        <v/>
      </c>
      <c r="GZ231" s="62">
        <f>SUMIFS(tblSafety[Toolbox_Talks],tblSafety[Date],$A231)</f>
        <v/>
      </c>
      <c r="HA231" s="62">
        <f>IF($B231=$B230,$HA230,0)+$GZ231</f>
        <v/>
      </c>
      <c r="HB231" s="62">
        <f>$HB230+$GZ231</f>
        <v/>
      </c>
      <c r="HC231" s="62">
        <f>SUMIFS(tblSafety[Inspections],tblSafety[Date],$A231)</f>
        <v/>
      </c>
      <c r="HD231" s="62">
        <f>IF($B231=$B230,$HD230,0)+$HC231</f>
        <v/>
      </c>
      <c r="HE231" s="62">
        <f>$HE230+$HC231</f>
        <v/>
      </c>
      <c r="HF231" s="56">
        <f>IFERROR((SUMIFS(tblSafety[Recordables],tblSafety[Date],"&gt;="&amp;EDATE($E231,-12),tblSafety[Date],"&lt;="&amp;$A231)+SUMIFS(tblSafetyHistory[Recordables],tblSafetyHistory[Month],"&gt;="&amp;EDATE($E231,-12),tblSafetyHistory[Month],"&lt;"&amp;cfg_YearStart))/(SUMIFS(tblSafety[Hours_Total],tblSafety[Date],"&gt;="&amp;EDATE($E231,-12),tblSafety[Date],"&lt;="&amp;$A231)+SUMIFS(tblSafetyHistory[Hours_Total],tblSafetyHistory[Month],"&gt;="&amp;EDATE($E231,-12),tblSafetyHistory[Month],"&lt;"&amp;cfg_YearStart))*1000000,"")</f>
        <v/>
      </c>
      <c r="HG231" s="56">
        <f>IFERROR((SUMIFS(tblSafety[LTI],tblSafety[Date],"&gt;="&amp;EDATE($E231,-12),tblSafety[Date],"&lt;="&amp;$A231)+SUMIFS(tblSafetyHistory[LTI],tblSafetyHistory[Month],"&gt;="&amp;EDATE($E231,-12),tblSafetyHistory[Month],"&lt;"&amp;cfg_YearStart))/(SUMIFS(tblSafety[Hours_Total],tblSafety[Date],"&gt;="&amp;EDATE($E231,-12),tblSafety[Date],"&lt;="&amp;$A231)+SUMIFS(tblSafetyHistory[Hours_Total],tblSafetyHistory[Month],"&gt;="&amp;EDATE($E231,-12),tblSafetyHistory[Month],"&lt;"&amp;cfg_YearStart))*1000000,"")</f>
        <v/>
      </c>
      <c r="HH231" s="62">
        <f>IF(MAX(N(cfg_PriorLTIDate),_xlfn.MAXIFS(tblSafety[Date],tblSafety[LTI],"&gt;0",tblSafety[Date],"&lt;="&amp;$A231))=0,"",$A231-MAX(N(cfg_PriorLTIDate),_xlfn.MAXIFS(tblSafety[Date],tblSafety[LTI],"&gt;0",tblSafety[Date],"&lt;="&amp;$A231)))</f>
        <v/>
      </c>
      <c r="HI231" s="55">
        <f>SUMIFS(tblBudget[Ore_Mined_t],tblBudget[Month],$E231)</f>
        <v/>
      </c>
      <c r="HJ231" s="55">
        <f>$HI231*$C231/$D231</f>
        <v/>
      </c>
      <c r="HK231" s="55">
        <f>SUMIFS(tblBudget[Ore_Mined_t],tblBudget[Month],"&lt;"&amp;$E231)+$HJ231</f>
        <v/>
      </c>
      <c r="HL231" s="55">
        <f>SUMIFS(tblBudget[Ore_oz],tblBudget[Month],$E231)</f>
        <v/>
      </c>
      <c r="HM231" s="55">
        <f>$HL231*$C231/$D231</f>
        <v/>
      </c>
      <c r="HN231" s="55">
        <f>SUMIFS(tblBudget[Ore_oz],tblBudget[Month],"&lt;"&amp;$E231)+$HM231</f>
        <v/>
      </c>
      <c r="HO231" s="56">
        <f>IFERROR(IF(($HI231)&gt;0,($HL231*cfg_TroyOz)/($HI231),""),"")</f>
        <v/>
      </c>
      <c r="HP231" s="56">
        <f>IFERROR(IF(($HJ231)&gt;0,($HM231*cfg_TroyOz)/($HJ231),""),"")</f>
        <v/>
      </c>
      <c r="HQ231" s="56">
        <f>IFERROR(IF(($HK231)&gt;0,($HN231*cfg_TroyOz)/($HK231),""),"")</f>
        <v/>
      </c>
      <c r="HR231" s="55">
        <f>SUMIFS(tblBudget[Waste_t],tblBudget[Month],$E231)</f>
        <v/>
      </c>
      <c r="HS231" s="55">
        <f>$HR231*$C231/$D231</f>
        <v/>
      </c>
      <c r="HT231" s="55">
        <f>SUMIFS(tblBudget[Waste_t],tblBudget[Month],"&lt;"&amp;$E231)+$HS231</f>
        <v/>
      </c>
      <c r="HU231" s="55">
        <f>SUMIFS(tblBudget[TMM_t],tblBudget[Month],$E231)</f>
        <v/>
      </c>
      <c r="HV231" s="55">
        <f>$HU231*$C231/$D231</f>
        <v/>
      </c>
      <c r="HW231" s="55">
        <f>SUMIFS(tblBudget[TMM_t],tblBudget[Month],"&lt;"&amp;$E231)+$HV231</f>
        <v/>
      </c>
      <c r="HX231" s="56">
        <f>IFERROR(IF(($HI231)&gt;0,($HR231)/($HI231),""),"")</f>
        <v/>
      </c>
      <c r="HY231" s="56">
        <f>IFERROR(IF(($HJ231)&gt;0,($HS231)/($HJ231),""),"")</f>
        <v/>
      </c>
      <c r="HZ231" s="56">
        <f>IFERROR(IF(($HK231)&gt;0,($HT231)/($HK231),""),"")</f>
        <v/>
      </c>
      <c r="IA231" s="55">
        <f>SUMIFS(tblBudget[Drill_m],tblBudget[Month],$E231)</f>
        <v/>
      </c>
      <c r="IB231" s="55">
        <f>$IA231*$C231/$D231</f>
        <v/>
      </c>
      <c r="IC231" s="55">
        <f>SUMIFS(tblBudget[Drill_m],tblBudget[Month],"&lt;"&amp;$E231)+$IB231</f>
        <v/>
      </c>
      <c r="ID231" s="55">
        <f>SUMIFS(tblBudget[Diesel_L],tblBudget[Month],$E231)</f>
        <v/>
      </c>
      <c r="IE231" s="55">
        <f>$ID231*$C231/$D231</f>
        <v/>
      </c>
      <c r="IF231" s="55">
        <f>SUMIFS(tblBudget[Diesel_L],tblBudget[Month],"&lt;"&amp;$E231)+$IE231</f>
        <v/>
      </c>
      <c r="IG231" s="55">
        <f>SUMIFS(tblBudget[Milled_t],tblBudget[Month],$E231)</f>
        <v/>
      </c>
      <c r="IH231" s="55">
        <f>$IG231*$C231/$D231</f>
        <v/>
      </c>
      <c r="II231" s="55">
        <f>SUMIFS(tblBudget[Milled_t],tblBudget[Month],"&lt;"&amp;$E231)+$IH231</f>
        <v/>
      </c>
      <c r="IJ231" s="55">
        <f>SUMIFS(tblBudget[Feed_oz],tblBudget[Month],$E231)</f>
        <v/>
      </c>
      <c r="IK231" s="55">
        <f>$IJ231*$C231/$D231</f>
        <v/>
      </c>
      <c r="IL231" s="55">
        <f>SUMIFS(tblBudget[Feed_oz],tblBudget[Month],"&lt;"&amp;$E231)+$IK231</f>
        <v/>
      </c>
      <c r="IM231" s="55">
        <f>SUMIFS(tblBudget[Recovered_oz],tblBudget[Month],$E231)</f>
        <v/>
      </c>
      <c r="IN231" s="55">
        <f>$IM231*$C231/$D231</f>
        <v/>
      </c>
      <c r="IO231" s="55">
        <f>SUMIFS(tblBudget[Recovered_oz],tblBudget[Month],"&lt;"&amp;$E231)+$IN231</f>
        <v/>
      </c>
      <c r="IP231" s="56">
        <f>IFERROR(IF(($IG231)&gt;0,($IJ231*cfg_TroyOz)/($IG231),""),"")</f>
        <v/>
      </c>
      <c r="IQ231" s="56">
        <f>IFERROR(IF(($IH231)&gt;0,($IK231*cfg_TroyOz)/($IH231),""),"")</f>
        <v/>
      </c>
      <c r="IR231" s="56">
        <f>IFERROR(IF(($II231)&gt;0,($IL231*cfg_TroyOz)/($II231),""),"")</f>
        <v/>
      </c>
      <c r="IS231" s="67">
        <f>IFERROR(IF(($IJ231)&gt;0,($IM231)/($IJ231),""),"")</f>
        <v/>
      </c>
      <c r="IT231" s="67">
        <f>IFERROR(IF(($IK231)&gt;0,($IN231)/($IK231),""),"")</f>
        <v/>
      </c>
      <c r="IU231" s="67">
        <f>IFERROR(IF(($IL231)&gt;0,($IO231)/($IL231),""),"")</f>
        <v/>
      </c>
      <c r="IV231" s="55">
        <f>SUMIFS(tblBudget[Gold_Poured_oz],tblBudget[Month],$E231)</f>
        <v/>
      </c>
      <c r="IW231" s="55">
        <f>$IV231*$C231/$D231</f>
        <v/>
      </c>
      <c r="IX231" s="55">
        <f>SUMIFS(tblBudget[Gold_Poured_oz],tblBudget[Month],"&lt;"&amp;$E231)+$IW231</f>
        <v/>
      </c>
      <c r="IY231" s="57">
        <f>SUMIFS(tblBudget[Hours_Worked],tblBudget[Month],$E231)</f>
        <v/>
      </c>
      <c r="IZ231" s="57">
        <f>$IY231*$C231/$D231</f>
        <v/>
      </c>
      <c r="JA231" s="57">
        <f>SUMIFS(tblBudget[Hours_Worked],tblBudget[Month],"&lt;"&amp;$E231)+$IZ231</f>
        <v/>
      </c>
    </row>
    <row r="232">
      <c r="A232" s="54" t="n">
        <v>46253</v>
      </c>
      <c r="B232">
        <f>MONTH($A232)</f>
        <v/>
      </c>
      <c r="C232">
        <f>DAY($A232)</f>
        <v/>
      </c>
      <c r="D232">
        <f>DAY(EOMONTH($A232,0))</f>
        <v/>
      </c>
      <c r="E232" s="54">
        <f>DATE(YEAR($A232),MONTH($A232),1)</f>
        <v/>
      </c>
      <c r="F232" s="55">
        <f>SUMIFS(tblMovement[Tonnes_t],tblMovement[Date],$A232,tblMovement[Is_Ore],1,tblMovement[Source_Type],"Pit")</f>
        <v/>
      </c>
      <c r="G232" s="55">
        <f>IF($B232=$B231,$G231,0)+$F232</f>
        <v/>
      </c>
      <c r="H232" s="55">
        <f>$H231+$F232</f>
        <v/>
      </c>
      <c r="I232" s="55">
        <f>SUMIFS(tblMovement[Ore_oz],tblMovement[Date],$A232,tblMovement[Source_Type],"Pit")</f>
        <v/>
      </c>
      <c r="J232" s="55">
        <f>IF($B232=$B231,$J231,0)+$I232</f>
        <v/>
      </c>
      <c r="K232" s="55">
        <f>$K231+$I232</f>
        <v/>
      </c>
      <c r="L232" s="56">
        <f>IFERROR(IF(($F232)&gt;0,($I232*cfg_TroyOz)/($F232),""),"")</f>
        <v/>
      </c>
      <c r="M232" s="56">
        <f>IFERROR(IF(($G232)&gt;0,($J232*cfg_TroyOz)/($G232),""),"")</f>
        <v/>
      </c>
      <c r="N232" s="56">
        <f>IFERROR(IF(($H232)&gt;0,($K232*cfg_TroyOz)/($H232),""),"")</f>
        <v/>
      </c>
      <c r="O232" s="55">
        <f>SUMIFS(tblMovement[Tonnes_t],tblMovement[Date],$A232,tblMovement[Is_Ore],0,tblMovement[Source_Type],"Pit")</f>
        <v/>
      </c>
      <c r="P232" s="55">
        <f>IF($B232=$B231,$P231,0)+$O232</f>
        <v/>
      </c>
      <c r="Q232" s="55">
        <f>$Q231+$O232</f>
        <v/>
      </c>
      <c r="R232" s="55">
        <f>$F232+$O232</f>
        <v/>
      </c>
      <c r="S232" s="55">
        <f>IF($B232=$B231,$S231,0)+$R232</f>
        <v/>
      </c>
      <c r="T232" s="55">
        <f>$T231+$R232</f>
        <v/>
      </c>
      <c r="U232" s="56">
        <f>IFERROR(IF(($F232)&gt;0,($O232)/($F232),""),"")</f>
        <v/>
      </c>
      <c r="V232" s="56">
        <f>IFERROR(IF(($G232)&gt;0,($P232)/($G232),""),"")</f>
        <v/>
      </c>
      <c r="W232" s="56">
        <f>IFERROR(IF(($H232)&gt;0,($Q232)/($H232),""),"")</f>
        <v/>
      </c>
      <c r="X232" s="55">
        <f>SUMIFS(tblMovement[Tonnes_t],tblMovement[Date],$A232,tblMovement[Source_Type],"Stockpile")</f>
        <v/>
      </c>
      <c r="Y232" s="55">
        <f>IF($B232=$B231,$Y231,0)+$X232</f>
        <v/>
      </c>
      <c r="Z232" s="55">
        <f>$Z231+$X232</f>
        <v/>
      </c>
      <c r="AA232" s="55">
        <f>SUMIFS(tblMiningDaily[Drill_m],tblMiningDaily[Date],$A232)</f>
        <v/>
      </c>
      <c r="AB232" s="55">
        <f>IF($B232=$B231,$AB231,0)+$AA232</f>
        <v/>
      </c>
      <c r="AC232" s="55">
        <f>$AC231+$AA232</f>
        <v/>
      </c>
      <c r="AD232" s="55">
        <f>SUMIFS(tblMiningDaily[Blast_t],tblMiningDaily[Date],$A232)</f>
        <v/>
      </c>
      <c r="AE232" s="55">
        <f>IF($B232=$B231,$AE231,0)+$AD232</f>
        <v/>
      </c>
      <c r="AF232" s="55">
        <f>$AF231+$AD232</f>
        <v/>
      </c>
      <c r="AG232" s="55">
        <f>SUMIFS(tblMiningDaily[Explosives_kg],tblMiningDaily[Date],$A232)</f>
        <v/>
      </c>
      <c r="AH232" s="55">
        <f>IF($B232=$B231,$AH231,0)+$AG232</f>
        <v/>
      </c>
      <c r="AI232" s="55">
        <f>$AI231+$AG232</f>
        <v/>
      </c>
      <c r="AJ232" s="56">
        <f>IFERROR(IF(($AD232)&gt;0,($AG232)/($AD232),""),"")</f>
        <v/>
      </c>
      <c r="AK232" s="56">
        <f>IFERROR(IF(($AE232)&gt;0,($AH232)/($AE232),""),"")</f>
        <v/>
      </c>
      <c r="AL232" s="56">
        <f>IFERROR(IF(($AF232)&gt;0,($AI232)/($AF232),""),"")</f>
        <v/>
      </c>
      <c r="AM232" s="55">
        <f>SUMIFS(tblMiningDaily[Diesel_L],tblMiningDaily[Date],$A232)</f>
        <v/>
      </c>
      <c r="AN232" s="55">
        <f>IF($B232=$B231,$AN231,0)+$AM232</f>
        <v/>
      </c>
      <c r="AO232" s="55">
        <f>$AO231+$AM232</f>
        <v/>
      </c>
      <c r="AP232" s="55">
        <f>SUMIFS(tblMiningDaily[Dewatering_m3],tblMiningDaily[Date],$A232)</f>
        <v/>
      </c>
      <c r="AQ232" s="55">
        <f>IF($B232=$B231,$AQ231,0)+$AP232</f>
        <v/>
      </c>
      <c r="AR232" s="55">
        <f>$AR231+$AP232</f>
        <v/>
      </c>
      <c r="AS232" s="57">
        <f>SUMIFS(tblFleet[Calendar_h],tblFleet[Date],$A232,tblFleet[Equipment_Class],"Excavator")</f>
        <v/>
      </c>
      <c r="AT232" s="57">
        <f>IF($B232=$B231,$AT231,0)+$AS232</f>
        <v/>
      </c>
      <c r="AU232" s="57">
        <f>$AU231+$AS232</f>
        <v/>
      </c>
      <c r="AV232" s="57">
        <f>SUMIFS(tblFleet[Available_h],tblFleet[Date],$A232,tblFleet[Equipment_Class],"Excavator")</f>
        <v/>
      </c>
      <c r="AW232" s="57">
        <f>IF($B232=$B231,$AW231,0)+$AV232</f>
        <v/>
      </c>
      <c r="AX232" s="57">
        <f>$AX231+$AV232</f>
        <v/>
      </c>
      <c r="AY232" s="57">
        <f>SUMIFS(tblFleet[Operating_h],tblFleet[Date],$A232,tblFleet[Equipment_Class],"Excavator")</f>
        <v/>
      </c>
      <c r="AZ232" s="57">
        <f>IF($B232=$B231,$AZ231,0)+$AY232</f>
        <v/>
      </c>
      <c r="BA232" s="57">
        <f>$BA231+$AY232</f>
        <v/>
      </c>
      <c r="BB232" s="67">
        <f>IFERROR(IF(($AS232)&gt;0,($AV232)/($AS232),""),"")</f>
        <v/>
      </c>
      <c r="BC232" s="67">
        <f>IFERROR(IF(($AT232)&gt;0,($AW232)/($AT232),""),"")</f>
        <v/>
      </c>
      <c r="BD232" s="67">
        <f>IFERROR(IF(($AU232)&gt;0,($AX232)/($AU232),""),"")</f>
        <v/>
      </c>
      <c r="BE232" s="67">
        <f>IFERROR(IF(($AV232)&gt;0,($AY232)/($AV232),""),"")</f>
        <v/>
      </c>
      <c r="BF232" s="67">
        <f>IFERROR(IF(($AW232)&gt;0,($AZ232)/($AW232),""),"")</f>
        <v/>
      </c>
      <c r="BG232" s="67">
        <f>IFERROR(IF(($AX232)&gt;0,($BA232)/($AX232),""),"")</f>
        <v/>
      </c>
      <c r="BH232" s="57">
        <f>SUMIFS(tblFleet[Calendar_h],tblFleet[Date],$A232,tblFleet[Equipment_Class],"Haul Truck")</f>
        <v/>
      </c>
      <c r="BI232" s="57">
        <f>IF($B232=$B231,$BI231,0)+$BH232</f>
        <v/>
      </c>
      <c r="BJ232" s="57">
        <f>$BJ231+$BH232</f>
        <v/>
      </c>
      <c r="BK232" s="57">
        <f>SUMIFS(tblFleet[Available_h],tblFleet[Date],$A232,tblFleet[Equipment_Class],"Haul Truck")</f>
        <v/>
      </c>
      <c r="BL232" s="57">
        <f>IF($B232=$B231,$BL231,0)+$BK232</f>
        <v/>
      </c>
      <c r="BM232" s="57">
        <f>$BM231+$BK232</f>
        <v/>
      </c>
      <c r="BN232" s="57">
        <f>SUMIFS(tblFleet[Operating_h],tblFleet[Date],$A232,tblFleet[Equipment_Class],"Haul Truck")</f>
        <v/>
      </c>
      <c r="BO232" s="57">
        <f>IF($B232=$B231,$BO231,0)+$BN232</f>
        <v/>
      </c>
      <c r="BP232" s="57">
        <f>$BP231+$BN232</f>
        <v/>
      </c>
      <c r="BQ232" s="67">
        <f>IFERROR(IF(($BH232)&gt;0,($BK232)/($BH232),""),"")</f>
        <v/>
      </c>
      <c r="BR232" s="67">
        <f>IFERROR(IF(($BI232)&gt;0,($BL232)/($BI232),""),"")</f>
        <v/>
      </c>
      <c r="BS232" s="67">
        <f>IFERROR(IF(($BJ232)&gt;0,($BM232)/($BJ232),""),"")</f>
        <v/>
      </c>
      <c r="BT232" s="67">
        <f>IFERROR(IF(($BK232)&gt;0,($BN232)/($BK232),""),"")</f>
        <v/>
      </c>
      <c r="BU232" s="67">
        <f>IFERROR(IF(($BL232)&gt;0,($BO232)/($BL232),""),"")</f>
        <v/>
      </c>
      <c r="BV232" s="67">
        <f>IFERROR(IF(($BM232)&gt;0,($BP232)/($BM232),""),"")</f>
        <v/>
      </c>
      <c r="BW232" s="55">
        <f>SUMIFS(tblPlant[Crushed_t],tblPlant[Date],$A232)</f>
        <v/>
      </c>
      <c r="BX232" s="55">
        <f>IF($B232=$B231,$BX231,0)+$BW232</f>
        <v/>
      </c>
      <c r="BY232" s="55">
        <f>$BY231+$BW232</f>
        <v/>
      </c>
      <c r="BZ232" s="55">
        <f>SUMIFS(tblPlant[Milled_t],tblPlant[Date],$A232)</f>
        <v/>
      </c>
      <c r="CA232" s="55">
        <f>IF($B232=$B231,$CA231,0)+$BZ232</f>
        <v/>
      </c>
      <c r="CB232" s="55">
        <f>$CB231+$BZ232</f>
        <v/>
      </c>
      <c r="CC232" s="55">
        <f>SUMIFS(tblPlant[Feed_oz],tblPlant[Date],$A232)</f>
        <v/>
      </c>
      <c r="CD232" s="55">
        <f>IF($B232=$B231,$CD231,0)+$CC232</f>
        <v/>
      </c>
      <c r="CE232" s="55">
        <f>$CE231+$CC232</f>
        <v/>
      </c>
      <c r="CF232" s="55">
        <f>SUMIFS(tblPlant[Tails_oz],tblPlant[Date],$A232)</f>
        <v/>
      </c>
      <c r="CG232" s="55">
        <f>IF($B232=$B231,$CG231,0)+$CF232</f>
        <v/>
      </c>
      <c r="CH232" s="55">
        <f>$CH231+$CF232</f>
        <v/>
      </c>
      <c r="CI232" s="55">
        <f>SUMIFS(tblPlant[Recovered_oz],tblPlant[Date],$A232)</f>
        <v/>
      </c>
      <c r="CJ232" s="55">
        <f>IF($B232=$B231,$CJ231,0)+$CI232</f>
        <v/>
      </c>
      <c r="CK232" s="55">
        <f>$CK231+$CI232</f>
        <v/>
      </c>
      <c r="CL232" s="56">
        <f>IFERROR(IF(($BZ232)&gt;0,($CC232*cfg_TroyOz)/($BZ232),""),"")</f>
        <v/>
      </c>
      <c r="CM232" s="56">
        <f>IFERROR(IF(($CA232)&gt;0,($CD232*cfg_TroyOz)/($CA232),""),"")</f>
        <v/>
      </c>
      <c r="CN232" s="56">
        <f>IFERROR(IF(($CB232)&gt;0,($CE232*cfg_TroyOz)/($CB232),""),"")</f>
        <v/>
      </c>
      <c r="CO232" s="56">
        <f>IFERROR(IF(($BZ232)&gt;0,($CF232*cfg_TroyOz)/($BZ232),""),"")</f>
        <v/>
      </c>
      <c r="CP232" s="56">
        <f>IFERROR(IF(($CA232)&gt;0,($CG232*cfg_TroyOz)/($CA232),""),"")</f>
        <v/>
      </c>
      <c r="CQ232" s="56">
        <f>IFERROR(IF(($CB232)&gt;0,($CH232*cfg_TroyOz)/($CB232),""),"")</f>
        <v/>
      </c>
      <c r="CR232" s="67">
        <f>IFERROR(IF(($CC232)&gt;0,($CI232)/($CC232),""),"")</f>
        <v/>
      </c>
      <c r="CS232" s="67">
        <f>IFERROR(IF(($CD232)&gt;0,($CJ232)/($CD232),""),"")</f>
        <v/>
      </c>
      <c r="CT232" s="67">
        <f>IFERROR(IF(($CE232)&gt;0,($CK232)/($CE232),""),"")</f>
        <v/>
      </c>
      <c r="CU232" s="55">
        <f>SUMIFS(tblPlant[Gravity_Gold_oz],tblPlant[Date],$A232)</f>
        <v/>
      </c>
      <c r="CV232" s="55">
        <f>IF($B232=$B231,$CV231,0)+$CU232</f>
        <v/>
      </c>
      <c r="CW232" s="55">
        <f>$CW231+$CU232</f>
        <v/>
      </c>
      <c r="CX232" s="55">
        <f>SUMIFS(tblPlant[Gold_Poured_oz],tblPlant[Date],$A232)</f>
        <v/>
      </c>
      <c r="CY232" s="55">
        <f>IF($B232=$B231,$CY231,0)+$CX232</f>
        <v/>
      </c>
      <c r="CZ232" s="55">
        <f>$CZ231+$CX232</f>
        <v/>
      </c>
      <c r="DA232" s="57">
        <f>SUMIFS(tblPlant[Mill_Run_h],tblPlant[Date],$A232)</f>
        <v/>
      </c>
      <c r="DB232" s="57">
        <f>IF($B232=$B231,$DB231,0)+$DA232</f>
        <v/>
      </c>
      <c r="DC232" s="57">
        <f>$DC231+$DA232</f>
        <v/>
      </c>
      <c r="DD232" s="57">
        <f>SUMIFS(tblPlant[Mill_Planned_Maint_h],tblPlant[Date],$A232)</f>
        <v/>
      </c>
      <c r="DE232" s="57">
        <f>IF($B232=$B231,$DE231,0)+$DD232</f>
        <v/>
      </c>
      <c r="DF232" s="57">
        <f>$DF231+$DD232</f>
        <v/>
      </c>
      <c r="DG232" s="57">
        <f>SUMIFS(tblPlant[Mill_Unplanned_Down_h],tblPlant[Date],$A232)</f>
        <v/>
      </c>
      <c r="DH232" s="57">
        <f>IF($B232=$B231,$DH231,0)+$DG232</f>
        <v/>
      </c>
      <c r="DI232" s="57">
        <f>$DI231+$DG232</f>
        <v/>
      </c>
      <c r="DJ232" s="57">
        <f>COUNTIFS(tblPlant[Date],$A232,tblPlant[Mill_Run_h],"&lt;&gt;")*24</f>
        <v/>
      </c>
      <c r="DK232" s="57">
        <f>IF($B232=$B231,$DK231,0)+$DJ232</f>
        <v/>
      </c>
      <c r="DL232" s="57">
        <f>$DL231+$DJ232</f>
        <v/>
      </c>
      <c r="DM232" s="57">
        <f>SUMIFS(tblPlant[Crusher_Run_h],tblPlant[Date],$A232)</f>
        <v/>
      </c>
      <c r="DN232" s="57">
        <f>IF($B232=$B231,$DN231,0)+$DM232</f>
        <v/>
      </c>
      <c r="DO232" s="57">
        <f>$DO231+$DM232</f>
        <v/>
      </c>
      <c r="DP232" s="55">
        <f>IFERROR(IF(($DA232)&gt;0,($BZ232)/($DA232),""),"")</f>
        <v/>
      </c>
      <c r="DQ232" s="55">
        <f>IFERROR(IF(($DB232)&gt;0,($CA232)/($DB232),""),"")</f>
        <v/>
      </c>
      <c r="DR232" s="55">
        <f>IFERROR(IF(($DC232)&gt;0,($CB232)/($DC232),""),"")</f>
        <v/>
      </c>
      <c r="DS232" s="67">
        <f>IFERROR(IF(($DJ232)&gt;0,($DJ232-$DD232-$DG232)/($DJ232),""),"")</f>
        <v/>
      </c>
      <c r="DT232" s="67">
        <f>IFERROR(IF(($DK232)&gt;0,($DK232-$DE232-$DH232)/($DK232),""),"")</f>
        <v/>
      </c>
      <c r="DU232" s="67">
        <f>IFERROR(IF(($DL232)&gt;0,($DL232-$DF232-$DI232)/($DL232),""),"")</f>
        <v/>
      </c>
      <c r="DV232" s="67">
        <f>IFERROR(IF(($DJ232-$DD232-$DG232)&gt;0,($DA232)/($DJ232-$DD232-$DG232),""),"")</f>
        <v/>
      </c>
      <c r="DW232" s="67">
        <f>IFERROR(IF(($DK232-$DE232-$DH232)&gt;0,($DB232)/($DK232-$DE232-$DH232),""),"")</f>
        <v/>
      </c>
      <c r="DX232" s="67">
        <f>IFERROR(IF(($DL232-$DF232-$DI232)&gt;0,($DC232)/($DL232-$DF232-$DI232),""),"")</f>
        <v/>
      </c>
      <c r="DY232" s="55">
        <f>SUMIFS(tblPlant[Cyanide_kg],tblPlant[Date],$A232)</f>
        <v/>
      </c>
      <c r="DZ232" s="55">
        <f>IF($B232=$B231,$DZ231,0)+$DY232</f>
        <v/>
      </c>
      <c r="EA232" s="55">
        <f>$EA231+$DY232</f>
        <v/>
      </c>
      <c r="EB232" s="55">
        <f>SUMIFS(tblPlant[Lime_kg],tblPlant[Date],$A232)</f>
        <v/>
      </c>
      <c r="EC232" s="55">
        <f>IF($B232=$B231,$EC231,0)+$EB232</f>
        <v/>
      </c>
      <c r="ED232" s="55">
        <f>$ED231+$EB232</f>
        <v/>
      </c>
      <c r="EE232" s="55">
        <f>SUMIFS(tblPlant[Grinding_Media_kg],tblPlant[Date],$A232)</f>
        <v/>
      </c>
      <c r="EF232" s="55">
        <f>IF($B232=$B231,$EF231,0)+$EE232</f>
        <v/>
      </c>
      <c r="EG232" s="55">
        <f>$EG231+$EE232</f>
        <v/>
      </c>
      <c r="EH232" s="55">
        <f>SUMIFS(tblPlant[Power_kWh],tblPlant[Date],$A232)</f>
        <v/>
      </c>
      <c r="EI232" s="55">
        <f>IF($B232=$B231,$EI231,0)+$EH232</f>
        <v/>
      </c>
      <c r="EJ232" s="55">
        <f>$EJ231+$EH232</f>
        <v/>
      </c>
      <c r="EK232" s="55">
        <f>SUMIFS(tblPlant[Raw_Water_m3],tblPlant[Date],$A232)</f>
        <v/>
      </c>
      <c r="EL232" s="55">
        <f>IF($B232=$B231,$EL231,0)+$EK232</f>
        <v/>
      </c>
      <c r="EM232" s="55">
        <f>$EM231+$EK232</f>
        <v/>
      </c>
      <c r="EN232" s="56">
        <f>IFERROR(IF(($BZ232)&gt;0,($DY232)/($BZ232),""),"")</f>
        <v/>
      </c>
      <c r="EO232" s="56">
        <f>IFERROR(IF(($CA232)&gt;0,($DZ232)/($CA232),""),"")</f>
        <v/>
      </c>
      <c r="EP232" s="56">
        <f>IFERROR(IF(($CB232)&gt;0,($EA232)/($CB232),""),"")</f>
        <v/>
      </c>
      <c r="EQ232" s="56">
        <f>IFERROR(IF(($BZ232)&gt;0,($EB232)/($BZ232),""),"")</f>
        <v/>
      </c>
      <c r="ER232" s="56">
        <f>IFERROR(IF(($CA232)&gt;0,($EC232)/($CA232),""),"")</f>
        <v/>
      </c>
      <c r="ES232" s="56">
        <f>IFERROR(IF(($CB232)&gt;0,($ED232)/($CB232),""),"")</f>
        <v/>
      </c>
      <c r="ET232" s="56">
        <f>IFERROR(IF(($BZ232)&gt;0,($EE232)/($BZ232),""),"")</f>
        <v/>
      </c>
      <c r="EU232" s="56">
        <f>IFERROR(IF(($CA232)&gt;0,($EF232)/($CA232),""),"")</f>
        <v/>
      </c>
      <c r="EV232" s="56">
        <f>IFERROR(IF(($CB232)&gt;0,($EG232)/($CB232),""),"")</f>
        <v/>
      </c>
      <c r="EW232" s="76">
        <f>IFERROR(IF(($BZ232)&gt;0,($EH232)/($BZ232),""),"")</f>
        <v/>
      </c>
      <c r="EX232" s="76">
        <f>IFERROR(IF(($CA232)&gt;0,($EI232)/($CA232),""),"")</f>
        <v/>
      </c>
      <c r="EY232" s="76">
        <f>IFERROR(IF(($CB232)&gt;0,($EJ232)/($CB232),""),"")</f>
        <v/>
      </c>
      <c r="EZ232" s="56">
        <f>IFERROR(IF(($BZ232)&gt;0,($EK232)/($BZ232),""),"")</f>
        <v/>
      </c>
      <c r="FA232" s="56">
        <f>IFERROR(IF(($CA232)&gt;0,($EL232)/($CA232),""),"")</f>
        <v/>
      </c>
      <c r="FB232" s="56">
        <f>IFERROR(IF(($CB232)&gt;0,($EM232)/($CB232),""),"")</f>
        <v/>
      </c>
      <c r="FC232" s="55">
        <f>IF(SUMIFS(tblPlant[GIC_oz],tblPlant[Date],$A232)&gt;0,SUMIFS(tblPlant[GIC_oz],tblPlant[Date],$A232),"")</f>
        <v/>
      </c>
      <c r="FD232" s="55">
        <f>SUMIFS(tblGold[Gold_oz],tblGold[Date],$A232,tblGold[Type],"Shipment")</f>
        <v/>
      </c>
      <c r="FE232" s="55">
        <f>IF($B232=$B231,$FE231,0)+$FD232</f>
        <v/>
      </c>
      <c r="FF232" s="55">
        <f>$FF231+$FD232</f>
        <v/>
      </c>
      <c r="FG232" s="55">
        <f>SUMIFS(tblGold[Gold_oz],tblGold[Date],$A232,tblGold[Type],"Sale")</f>
        <v/>
      </c>
      <c r="FH232" s="55">
        <f>IF($B232=$B231,$FH231,0)+$FG232</f>
        <v/>
      </c>
      <c r="FI232" s="55">
        <f>$FI231+$FG232</f>
        <v/>
      </c>
      <c r="FJ232" s="55">
        <f>SUMIFS(tblGold[Dore_kg],tblGold[Date],$A232,tblGold[Type],"Shipment")</f>
        <v/>
      </c>
      <c r="FK232" s="55">
        <f>IF($B232=$B231,$FK231,0)+$FJ232</f>
        <v/>
      </c>
      <c r="FL232" s="55">
        <f>$FL231+$FJ232</f>
        <v/>
      </c>
      <c r="FM232" s="57">
        <f>SUMIFS(tblSafety[Hours_Total],tblSafety[Date],$A232)</f>
        <v/>
      </c>
      <c r="FN232" s="57">
        <f>IF($B232=$B231,$FN231,0)+$FM232</f>
        <v/>
      </c>
      <c r="FO232" s="57">
        <f>$FO231+$FM232</f>
        <v/>
      </c>
      <c r="FP232" s="62">
        <f>SUMIFS(tblSafety[Fatality],tblSafety[Date],$A232)</f>
        <v/>
      </c>
      <c r="FQ232" s="62">
        <f>IF($B232=$B231,$FQ231,0)+$FP232</f>
        <v/>
      </c>
      <c r="FR232" s="62">
        <f>$FR231+$FP232</f>
        <v/>
      </c>
      <c r="FS232" s="62">
        <f>SUMIFS(tblSafety[LTI],tblSafety[Date],$A232)</f>
        <v/>
      </c>
      <c r="FT232" s="62">
        <f>IF($B232=$B231,$FT231,0)+$FS232</f>
        <v/>
      </c>
      <c r="FU232" s="62">
        <f>$FU231+$FS232</f>
        <v/>
      </c>
      <c r="FV232" s="62">
        <f>SUMIFS(tblSafety[RWI],tblSafety[Date],$A232)</f>
        <v/>
      </c>
      <c r="FW232" s="62">
        <f>IF($B232=$B231,$FW231,0)+$FV232</f>
        <v/>
      </c>
      <c r="FX232" s="62">
        <f>$FX231+$FV232</f>
        <v/>
      </c>
      <c r="FY232" s="62">
        <f>SUMIFS(tblSafety[MTI],tblSafety[Date],$A232)</f>
        <v/>
      </c>
      <c r="FZ232" s="62">
        <f>IF($B232=$B231,$FZ231,0)+$FY232</f>
        <v/>
      </c>
      <c r="GA232" s="62">
        <f>$GA231+$FY232</f>
        <v/>
      </c>
      <c r="GB232" s="62">
        <f>SUMIFS(tblSafety[FAI],tblSafety[Date],$A232)</f>
        <v/>
      </c>
      <c r="GC232" s="62">
        <f>IF($B232=$B231,$GC231,0)+$GB232</f>
        <v/>
      </c>
      <c r="GD232" s="62">
        <f>$GD231+$GB232</f>
        <v/>
      </c>
      <c r="GE232" s="62">
        <f>SUMIFS(tblSafety[Recordables],tblSafety[Date],$A232)</f>
        <v/>
      </c>
      <c r="GF232" s="62">
        <f>IF($B232=$B231,$GF231,0)+$GE232</f>
        <v/>
      </c>
      <c r="GG232" s="62">
        <f>$GG231+$GE232</f>
        <v/>
      </c>
      <c r="GH232" s="62">
        <f>SUMIFS(tblSafety[Near_Miss],tblSafety[Date],$A232)</f>
        <v/>
      </c>
      <c r="GI232" s="62">
        <f>IF($B232=$B231,$GI231,0)+$GH232</f>
        <v/>
      </c>
      <c r="GJ232" s="62">
        <f>$GJ231+$GH232</f>
        <v/>
      </c>
      <c r="GK232" s="62">
        <f>SUMIFS(tblSafety[Hazard_Reports],tblSafety[Date],$A232)</f>
        <v/>
      </c>
      <c r="GL232" s="62">
        <f>IF($B232=$B231,$GL231,0)+$GK232</f>
        <v/>
      </c>
      <c r="GM232" s="62">
        <f>$GM231+$GK232</f>
        <v/>
      </c>
      <c r="GN232" s="62">
        <f>SUMIFS(tblSafety[HPI],tblSafety[Date],$A232)</f>
        <v/>
      </c>
      <c r="GO232" s="62">
        <f>IF($B232=$B231,$GO231,0)+$GN232</f>
        <v/>
      </c>
      <c r="GP232" s="62">
        <f>$GP231+$GN232</f>
        <v/>
      </c>
      <c r="GQ232" s="62">
        <f>SUMIFS(tblSafety[Env_Incidents],tblSafety[Date],$A232)</f>
        <v/>
      </c>
      <c r="GR232" s="62">
        <f>IF($B232=$B231,$GR231,0)+$GQ232</f>
        <v/>
      </c>
      <c r="GS232" s="62">
        <f>$GS231+$GQ232</f>
        <v/>
      </c>
      <c r="GT232" s="62">
        <f>SUMIFS(tblSafety[Community_Incidents],tblSafety[Date],$A232)</f>
        <v/>
      </c>
      <c r="GU232" s="62">
        <f>IF($B232=$B231,$GU231,0)+$GT232</f>
        <v/>
      </c>
      <c r="GV232" s="62">
        <f>$GV231+$GT232</f>
        <v/>
      </c>
      <c r="GW232" s="62">
        <f>SUMIFS(tblSafety[Vehicle_Incidents],tblSafety[Date],$A232)</f>
        <v/>
      </c>
      <c r="GX232" s="62">
        <f>IF($B232=$B231,$GX231,0)+$GW232</f>
        <v/>
      </c>
      <c r="GY232" s="62">
        <f>$GY231+$GW232</f>
        <v/>
      </c>
      <c r="GZ232" s="62">
        <f>SUMIFS(tblSafety[Toolbox_Talks],tblSafety[Date],$A232)</f>
        <v/>
      </c>
      <c r="HA232" s="62">
        <f>IF($B232=$B231,$HA231,0)+$GZ232</f>
        <v/>
      </c>
      <c r="HB232" s="62">
        <f>$HB231+$GZ232</f>
        <v/>
      </c>
      <c r="HC232" s="62">
        <f>SUMIFS(tblSafety[Inspections],tblSafety[Date],$A232)</f>
        <v/>
      </c>
      <c r="HD232" s="62">
        <f>IF($B232=$B231,$HD231,0)+$HC232</f>
        <v/>
      </c>
      <c r="HE232" s="62">
        <f>$HE231+$HC232</f>
        <v/>
      </c>
      <c r="HF232" s="56">
        <f>IFERROR((SUMIFS(tblSafety[Recordables],tblSafety[Date],"&gt;="&amp;EDATE($E232,-12),tblSafety[Date],"&lt;="&amp;$A232)+SUMIFS(tblSafetyHistory[Recordables],tblSafetyHistory[Month],"&gt;="&amp;EDATE($E232,-12),tblSafetyHistory[Month],"&lt;"&amp;cfg_YearStart))/(SUMIFS(tblSafety[Hours_Total],tblSafety[Date],"&gt;="&amp;EDATE($E232,-12),tblSafety[Date],"&lt;="&amp;$A232)+SUMIFS(tblSafetyHistory[Hours_Total],tblSafetyHistory[Month],"&gt;="&amp;EDATE($E232,-12),tblSafetyHistory[Month],"&lt;"&amp;cfg_YearStart))*1000000,"")</f>
        <v/>
      </c>
      <c r="HG232" s="56">
        <f>IFERROR((SUMIFS(tblSafety[LTI],tblSafety[Date],"&gt;="&amp;EDATE($E232,-12),tblSafety[Date],"&lt;="&amp;$A232)+SUMIFS(tblSafetyHistory[LTI],tblSafetyHistory[Month],"&gt;="&amp;EDATE($E232,-12),tblSafetyHistory[Month],"&lt;"&amp;cfg_YearStart))/(SUMIFS(tblSafety[Hours_Total],tblSafety[Date],"&gt;="&amp;EDATE($E232,-12),tblSafety[Date],"&lt;="&amp;$A232)+SUMIFS(tblSafetyHistory[Hours_Total],tblSafetyHistory[Month],"&gt;="&amp;EDATE($E232,-12),tblSafetyHistory[Month],"&lt;"&amp;cfg_YearStart))*1000000,"")</f>
        <v/>
      </c>
      <c r="HH232" s="62">
        <f>IF(MAX(N(cfg_PriorLTIDate),_xlfn.MAXIFS(tblSafety[Date],tblSafety[LTI],"&gt;0",tblSafety[Date],"&lt;="&amp;$A232))=0,"",$A232-MAX(N(cfg_PriorLTIDate),_xlfn.MAXIFS(tblSafety[Date],tblSafety[LTI],"&gt;0",tblSafety[Date],"&lt;="&amp;$A232)))</f>
        <v/>
      </c>
      <c r="HI232" s="55">
        <f>SUMIFS(tblBudget[Ore_Mined_t],tblBudget[Month],$E232)</f>
        <v/>
      </c>
      <c r="HJ232" s="55">
        <f>$HI232*$C232/$D232</f>
        <v/>
      </c>
      <c r="HK232" s="55">
        <f>SUMIFS(tblBudget[Ore_Mined_t],tblBudget[Month],"&lt;"&amp;$E232)+$HJ232</f>
        <v/>
      </c>
      <c r="HL232" s="55">
        <f>SUMIFS(tblBudget[Ore_oz],tblBudget[Month],$E232)</f>
        <v/>
      </c>
      <c r="HM232" s="55">
        <f>$HL232*$C232/$D232</f>
        <v/>
      </c>
      <c r="HN232" s="55">
        <f>SUMIFS(tblBudget[Ore_oz],tblBudget[Month],"&lt;"&amp;$E232)+$HM232</f>
        <v/>
      </c>
      <c r="HO232" s="56">
        <f>IFERROR(IF(($HI232)&gt;0,($HL232*cfg_TroyOz)/($HI232),""),"")</f>
        <v/>
      </c>
      <c r="HP232" s="56">
        <f>IFERROR(IF(($HJ232)&gt;0,($HM232*cfg_TroyOz)/($HJ232),""),"")</f>
        <v/>
      </c>
      <c r="HQ232" s="56">
        <f>IFERROR(IF(($HK232)&gt;0,($HN232*cfg_TroyOz)/($HK232),""),"")</f>
        <v/>
      </c>
      <c r="HR232" s="55">
        <f>SUMIFS(tblBudget[Waste_t],tblBudget[Month],$E232)</f>
        <v/>
      </c>
      <c r="HS232" s="55">
        <f>$HR232*$C232/$D232</f>
        <v/>
      </c>
      <c r="HT232" s="55">
        <f>SUMIFS(tblBudget[Waste_t],tblBudget[Month],"&lt;"&amp;$E232)+$HS232</f>
        <v/>
      </c>
      <c r="HU232" s="55">
        <f>SUMIFS(tblBudget[TMM_t],tblBudget[Month],$E232)</f>
        <v/>
      </c>
      <c r="HV232" s="55">
        <f>$HU232*$C232/$D232</f>
        <v/>
      </c>
      <c r="HW232" s="55">
        <f>SUMIFS(tblBudget[TMM_t],tblBudget[Month],"&lt;"&amp;$E232)+$HV232</f>
        <v/>
      </c>
      <c r="HX232" s="56">
        <f>IFERROR(IF(($HI232)&gt;0,($HR232)/($HI232),""),"")</f>
        <v/>
      </c>
      <c r="HY232" s="56">
        <f>IFERROR(IF(($HJ232)&gt;0,($HS232)/($HJ232),""),"")</f>
        <v/>
      </c>
      <c r="HZ232" s="56">
        <f>IFERROR(IF(($HK232)&gt;0,($HT232)/($HK232),""),"")</f>
        <v/>
      </c>
      <c r="IA232" s="55">
        <f>SUMIFS(tblBudget[Drill_m],tblBudget[Month],$E232)</f>
        <v/>
      </c>
      <c r="IB232" s="55">
        <f>$IA232*$C232/$D232</f>
        <v/>
      </c>
      <c r="IC232" s="55">
        <f>SUMIFS(tblBudget[Drill_m],tblBudget[Month],"&lt;"&amp;$E232)+$IB232</f>
        <v/>
      </c>
      <c r="ID232" s="55">
        <f>SUMIFS(tblBudget[Diesel_L],tblBudget[Month],$E232)</f>
        <v/>
      </c>
      <c r="IE232" s="55">
        <f>$ID232*$C232/$D232</f>
        <v/>
      </c>
      <c r="IF232" s="55">
        <f>SUMIFS(tblBudget[Diesel_L],tblBudget[Month],"&lt;"&amp;$E232)+$IE232</f>
        <v/>
      </c>
      <c r="IG232" s="55">
        <f>SUMIFS(tblBudget[Milled_t],tblBudget[Month],$E232)</f>
        <v/>
      </c>
      <c r="IH232" s="55">
        <f>$IG232*$C232/$D232</f>
        <v/>
      </c>
      <c r="II232" s="55">
        <f>SUMIFS(tblBudget[Milled_t],tblBudget[Month],"&lt;"&amp;$E232)+$IH232</f>
        <v/>
      </c>
      <c r="IJ232" s="55">
        <f>SUMIFS(tblBudget[Feed_oz],tblBudget[Month],$E232)</f>
        <v/>
      </c>
      <c r="IK232" s="55">
        <f>$IJ232*$C232/$D232</f>
        <v/>
      </c>
      <c r="IL232" s="55">
        <f>SUMIFS(tblBudget[Feed_oz],tblBudget[Month],"&lt;"&amp;$E232)+$IK232</f>
        <v/>
      </c>
      <c r="IM232" s="55">
        <f>SUMIFS(tblBudget[Recovered_oz],tblBudget[Month],$E232)</f>
        <v/>
      </c>
      <c r="IN232" s="55">
        <f>$IM232*$C232/$D232</f>
        <v/>
      </c>
      <c r="IO232" s="55">
        <f>SUMIFS(tblBudget[Recovered_oz],tblBudget[Month],"&lt;"&amp;$E232)+$IN232</f>
        <v/>
      </c>
      <c r="IP232" s="56">
        <f>IFERROR(IF(($IG232)&gt;0,($IJ232*cfg_TroyOz)/($IG232),""),"")</f>
        <v/>
      </c>
      <c r="IQ232" s="56">
        <f>IFERROR(IF(($IH232)&gt;0,($IK232*cfg_TroyOz)/($IH232),""),"")</f>
        <v/>
      </c>
      <c r="IR232" s="56">
        <f>IFERROR(IF(($II232)&gt;0,($IL232*cfg_TroyOz)/($II232),""),"")</f>
        <v/>
      </c>
      <c r="IS232" s="67">
        <f>IFERROR(IF(($IJ232)&gt;0,($IM232)/($IJ232),""),"")</f>
        <v/>
      </c>
      <c r="IT232" s="67">
        <f>IFERROR(IF(($IK232)&gt;0,($IN232)/($IK232),""),"")</f>
        <v/>
      </c>
      <c r="IU232" s="67">
        <f>IFERROR(IF(($IL232)&gt;0,($IO232)/($IL232),""),"")</f>
        <v/>
      </c>
      <c r="IV232" s="55">
        <f>SUMIFS(tblBudget[Gold_Poured_oz],tblBudget[Month],$E232)</f>
        <v/>
      </c>
      <c r="IW232" s="55">
        <f>$IV232*$C232/$D232</f>
        <v/>
      </c>
      <c r="IX232" s="55">
        <f>SUMIFS(tblBudget[Gold_Poured_oz],tblBudget[Month],"&lt;"&amp;$E232)+$IW232</f>
        <v/>
      </c>
      <c r="IY232" s="57">
        <f>SUMIFS(tblBudget[Hours_Worked],tblBudget[Month],$E232)</f>
        <v/>
      </c>
      <c r="IZ232" s="57">
        <f>$IY232*$C232/$D232</f>
        <v/>
      </c>
      <c r="JA232" s="57">
        <f>SUMIFS(tblBudget[Hours_Worked],tblBudget[Month],"&lt;"&amp;$E232)+$IZ232</f>
        <v/>
      </c>
    </row>
    <row r="233">
      <c r="A233" s="54" t="n">
        <v>46254</v>
      </c>
      <c r="B233">
        <f>MONTH($A233)</f>
        <v/>
      </c>
      <c r="C233">
        <f>DAY($A233)</f>
        <v/>
      </c>
      <c r="D233">
        <f>DAY(EOMONTH($A233,0))</f>
        <v/>
      </c>
      <c r="E233" s="54">
        <f>DATE(YEAR($A233),MONTH($A233),1)</f>
        <v/>
      </c>
      <c r="F233" s="55">
        <f>SUMIFS(tblMovement[Tonnes_t],tblMovement[Date],$A233,tblMovement[Is_Ore],1,tblMovement[Source_Type],"Pit")</f>
        <v/>
      </c>
      <c r="G233" s="55">
        <f>IF($B233=$B232,$G232,0)+$F233</f>
        <v/>
      </c>
      <c r="H233" s="55">
        <f>$H232+$F233</f>
        <v/>
      </c>
      <c r="I233" s="55">
        <f>SUMIFS(tblMovement[Ore_oz],tblMovement[Date],$A233,tblMovement[Source_Type],"Pit")</f>
        <v/>
      </c>
      <c r="J233" s="55">
        <f>IF($B233=$B232,$J232,0)+$I233</f>
        <v/>
      </c>
      <c r="K233" s="55">
        <f>$K232+$I233</f>
        <v/>
      </c>
      <c r="L233" s="56">
        <f>IFERROR(IF(($F233)&gt;0,($I233*cfg_TroyOz)/($F233),""),"")</f>
        <v/>
      </c>
      <c r="M233" s="56">
        <f>IFERROR(IF(($G233)&gt;0,($J233*cfg_TroyOz)/($G233),""),"")</f>
        <v/>
      </c>
      <c r="N233" s="56">
        <f>IFERROR(IF(($H233)&gt;0,($K233*cfg_TroyOz)/($H233),""),"")</f>
        <v/>
      </c>
      <c r="O233" s="55">
        <f>SUMIFS(tblMovement[Tonnes_t],tblMovement[Date],$A233,tblMovement[Is_Ore],0,tblMovement[Source_Type],"Pit")</f>
        <v/>
      </c>
      <c r="P233" s="55">
        <f>IF($B233=$B232,$P232,0)+$O233</f>
        <v/>
      </c>
      <c r="Q233" s="55">
        <f>$Q232+$O233</f>
        <v/>
      </c>
      <c r="R233" s="55">
        <f>$F233+$O233</f>
        <v/>
      </c>
      <c r="S233" s="55">
        <f>IF($B233=$B232,$S232,0)+$R233</f>
        <v/>
      </c>
      <c r="T233" s="55">
        <f>$T232+$R233</f>
        <v/>
      </c>
      <c r="U233" s="56">
        <f>IFERROR(IF(($F233)&gt;0,($O233)/($F233),""),"")</f>
        <v/>
      </c>
      <c r="V233" s="56">
        <f>IFERROR(IF(($G233)&gt;0,($P233)/($G233),""),"")</f>
        <v/>
      </c>
      <c r="W233" s="56">
        <f>IFERROR(IF(($H233)&gt;0,($Q233)/($H233),""),"")</f>
        <v/>
      </c>
      <c r="X233" s="55">
        <f>SUMIFS(tblMovement[Tonnes_t],tblMovement[Date],$A233,tblMovement[Source_Type],"Stockpile")</f>
        <v/>
      </c>
      <c r="Y233" s="55">
        <f>IF($B233=$B232,$Y232,0)+$X233</f>
        <v/>
      </c>
      <c r="Z233" s="55">
        <f>$Z232+$X233</f>
        <v/>
      </c>
      <c r="AA233" s="55">
        <f>SUMIFS(tblMiningDaily[Drill_m],tblMiningDaily[Date],$A233)</f>
        <v/>
      </c>
      <c r="AB233" s="55">
        <f>IF($B233=$B232,$AB232,0)+$AA233</f>
        <v/>
      </c>
      <c r="AC233" s="55">
        <f>$AC232+$AA233</f>
        <v/>
      </c>
      <c r="AD233" s="55">
        <f>SUMIFS(tblMiningDaily[Blast_t],tblMiningDaily[Date],$A233)</f>
        <v/>
      </c>
      <c r="AE233" s="55">
        <f>IF($B233=$B232,$AE232,0)+$AD233</f>
        <v/>
      </c>
      <c r="AF233" s="55">
        <f>$AF232+$AD233</f>
        <v/>
      </c>
      <c r="AG233" s="55">
        <f>SUMIFS(tblMiningDaily[Explosives_kg],tblMiningDaily[Date],$A233)</f>
        <v/>
      </c>
      <c r="AH233" s="55">
        <f>IF($B233=$B232,$AH232,0)+$AG233</f>
        <v/>
      </c>
      <c r="AI233" s="55">
        <f>$AI232+$AG233</f>
        <v/>
      </c>
      <c r="AJ233" s="56">
        <f>IFERROR(IF(($AD233)&gt;0,($AG233)/($AD233),""),"")</f>
        <v/>
      </c>
      <c r="AK233" s="56">
        <f>IFERROR(IF(($AE233)&gt;0,($AH233)/($AE233),""),"")</f>
        <v/>
      </c>
      <c r="AL233" s="56">
        <f>IFERROR(IF(($AF233)&gt;0,($AI233)/($AF233),""),"")</f>
        <v/>
      </c>
      <c r="AM233" s="55">
        <f>SUMIFS(tblMiningDaily[Diesel_L],tblMiningDaily[Date],$A233)</f>
        <v/>
      </c>
      <c r="AN233" s="55">
        <f>IF($B233=$B232,$AN232,0)+$AM233</f>
        <v/>
      </c>
      <c r="AO233" s="55">
        <f>$AO232+$AM233</f>
        <v/>
      </c>
      <c r="AP233" s="55">
        <f>SUMIFS(tblMiningDaily[Dewatering_m3],tblMiningDaily[Date],$A233)</f>
        <v/>
      </c>
      <c r="AQ233" s="55">
        <f>IF($B233=$B232,$AQ232,0)+$AP233</f>
        <v/>
      </c>
      <c r="AR233" s="55">
        <f>$AR232+$AP233</f>
        <v/>
      </c>
      <c r="AS233" s="57">
        <f>SUMIFS(tblFleet[Calendar_h],tblFleet[Date],$A233,tblFleet[Equipment_Class],"Excavator")</f>
        <v/>
      </c>
      <c r="AT233" s="57">
        <f>IF($B233=$B232,$AT232,0)+$AS233</f>
        <v/>
      </c>
      <c r="AU233" s="57">
        <f>$AU232+$AS233</f>
        <v/>
      </c>
      <c r="AV233" s="57">
        <f>SUMIFS(tblFleet[Available_h],tblFleet[Date],$A233,tblFleet[Equipment_Class],"Excavator")</f>
        <v/>
      </c>
      <c r="AW233" s="57">
        <f>IF($B233=$B232,$AW232,0)+$AV233</f>
        <v/>
      </c>
      <c r="AX233" s="57">
        <f>$AX232+$AV233</f>
        <v/>
      </c>
      <c r="AY233" s="57">
        <f>SUMIFS(tblFleet[Operating_h],tblFleet[Date],$A233,tblFleet[Equipment_Class],"Excavator")</f>
        <v/>
      </c>
      <c r="AZ233" s="57">
        <f>IF($B233=$B232,$AZ232,0)+$AY233</f>
        <v/>
      </c>
      <c r="BA233" s="57">
        <f>$BA232+$AY233</f>
        <v/>
      </c>
      <c r="BB233" s="67">
        <f>IFERROR(IF(($AS233)&gt;0,($AV233)/($AS233),""),"")</f>
        <v/>
      </c>
      <c r="BC233" s="67">
        <f>IFERROR(IF(($AT233)&gt;0,($AW233)/($AT233),""),"")</f>
        <v/>
      </c>
      <c r="BD233" s="67">
        <f>IFERROR(IF(($AU233)&gt;0,($AX233)/($AU233),""),"")</f>
        <v/>
      </c>
      <c r="BE233" s="67">
        <f>IFERROR(IF(($AV233)&gt;0,($AY233)/($AV233),""),"")</f>
        <v/>
      </c>
      <c r="BF233" s="67">
        <f>IFERROR(IF(($AW233)&gt;0,($AZ233)/($AW233),""),"")</f>
        <v/>
      </c>
      <c r="BG233" s="67">
        <f>IFERROR(IF(($AX233)&gt;0,($BA233)/($AX233),""),"")</f>
        <v/>
      </c>
      <c r="BH233" s="57">
        <f>SUMIFS(tblFleet[Calendar_h],tblFleet[Date],$A233,tblFleet[Equipment_Class],"Haul Truck")</f>
        <v/>
      </c>
      <c r="BI233" s="57">
        <f>IF($B233=$B232,$BI232,0)+$BH233</f>
        <v/>
      </c>
      <c r="BJ233" s="57">
        <f>$BJ232+$BH233</f>
        <v/>
      </c>
      <c r="BK233" s="57">
        <f>SUMIFS(tblFleet[Available_h],tblFleet[Date],$A233,tblFleet[Equipment_Class],"Haul Truck")</f>
        <v/>
      </c>
      <c r="BL233" s="57">
        <f>IF($B233=$B232,$BL232,0)+$BK233</f>
        <v/>
      </c>
      <c r="BM233" s="57">
        <f>$BM232+$BK233</f>
        <v/>
      </c>
      <c r="BN233" s="57">
        <f>SUMIFS(tblFleet[Operating_h],tblFleet[Date],$A233,tblFleet[Equipment_Class],"Haul Truck")</f>
        <v/>
      </c>
      <c r="BO233" s="57">
        <f>IF($B233=$B232,$BO232,0)+$BN233</f>
        <v/>
      </c>
      <c r="BP233" s="57">
        <f>$BP232+$BN233</f>
        <v/>
      </c>
      <c r="BQ233" s="67">
        <f>IFERROR(IF(($BH233)&gt;0,($BK233)/($BH233),""),"")</f>
        <v/>
      </c>
      <c r="BR233" s="67">
        <f>IFERROR(IF(($BI233)&gt;0,($BL233)/($BI233),""),"")</f>
        <v/>
      </c>
      <c r="BS233" s="67">
        <f>IFERROR(IF(($BJ233)&gt;0,($BM233)/($BJ233),""),"")</f>
        <v/>
      </c>
      <c r="BT233" s="67">
        <f>IFERROR(IF(($BK233)&gt;0,($BN233)/($BK233),""),"")</f>
        <v/>
      </c>
      <c r="BU233" s="67">
        <f>IFERROR(IF(($BL233)&gt;0,($BO233)/($BL233),""),"")</f>
        <v/>
      </c>
      <c r="BV233" s="67">
        <f>IFERROR(IF(($BM233)&gt;0,($BP233)/($BM233),""),"")</f>
        <v/>
      </c>
      <c r="BW233" s="55">
        <f>SUMIFS(tblPlant[Crushed_t],tblPlant[Date],$A233)</f>
        <v/>
      </c>
      <c r="BX233" s="55">
        <f>IF($B233=$B232,$BX232,0)+$BW233</f>
        <v/>
      </c>
      <c r="BY233" s="55">
        <f>$BY232+$BW233</f>
        <v/>
      </c>
      <c r="BZ233" s="55">
        <f>SUMIFS(tblPlant[Milled_t],tblPlant[Date],$A233)</f>
        <v/>
      </c>
      <c r="CA233" s="55">
        <f>IF($B233=$B232,$CA232,0)+$BZ233</f>
        <v/>
      </c>
      <c r="CB233" s="55">
        <f>$CB232+$BZ233</f>
        <v/>
      </c>
      <c r="CC233" s="55">
        <f>SUMIFS(tblPlant[Feed_oz],tblPlant[Date],$A233)</f>
        <v/>
      </c>
      <c r="CD233" s="55">
        <f>IF($B233=$B232,$CD232,0)+$CC233</f>
        <v/>
      </c>
      <c r="CE233" s="55">
        <f>$CE232+$CC233</f>
        <v/>
      </c>
      <c r="CF233" s="55">
        <f>SUMIFS(tblPlant[Tails_oz],tblPlant[Date],$A233)</f>
        <v/>
      </c>
      <c r="CG233" s="55">
        <f>IF($B233=$B232,$CG232,0)+$CF233</f>
        <v/>
      </c>
      <c r="CH233" s="55">
        <f>$CH232+$CF233</f>
        <v/>
      </c>
      <c r="CI233" s="55">
        <f>SUMIFS(tblPlant[Recovered_oz],tblPlant[Date],$A233)</f>
        <v/>
      </c>
      <c r="CJ233" s="55">
        <f>IF($B233=$B232,$CJ232,0)+$CI233</f>
        <v/>
      </c>
      <c r="CK233" s="55">
        <f>$CK232+$CI233</f>
        <v/>
      </c>
      <c r="CL233" s="56">
        <f>IFERROR(IF(($BZ233)&gt;0,($CC233*cfg_TroyOz)/($BZ233),""),"")</f>
        <v/>
      </c>
      <c r="CM233" s="56">
        <f>IFERROR(IF(($CA233)&gt;0,($CD233*cfg_TroyOz)/($CA233),""),"")</f>
        <v/>
      </c>
      <c r="CN233" s="56">
        <f>IFERROR(IF(($CB233)&gt;0,($CE233*cfg_TroyOz)/($CB233),""),"")</f>
        <v/>
      </c>
      <c r="CO233" s="56">
        <f>IFERROR(IF(($BZ233)&gt;0,($CF233*cfg_TroyOz)/($BZ233),""),"")</f>
        <v/>
      </c>
      <c r="CP233" s="56">
        <f>IFERROR(IF(($CA233)&gt;0,($CG233*cfg_TroyOz)/($CA233),""),"")</f>
        <v/>
      </c>
      <c r="CQ233" s="56">
        <f>IFERROR(IF(($CB233)&gt;0,($CH233*cfg_TroyOz)/($CB233),""),"")</f>
        <v/>
      </c>
      <c r="CR233" s="67">
        <f>IFERROR(IF(($CC233)&gt;0,($CI233)/($CC233),""),"")</f>
        <v/>
      </c>
      <c r="CS233" s="67">
        <f>IFERROR(IF(($CD233)&gt;0,($CJ233)/($CD233),""),"")</f>
        <v/>
      </c>
      <c r="CT233" s="67">
        <f>IFERROR(IF(($CE233)&gt;0,($CK233)/($CE233),""),"")</f>
        <v/>
      </c>
      <c r="CU233" s="55">
        <f>SUMIFS(tblPlant[Gravity_Gold_oz],tblPlant[Date],$A233)</f>
        <v/>
      </c>
      <c r="CV233" s="55">
        <f>IF($B233=$B232,$CV232,0)+$CU233</f>
        <v/>
      </c>
      <c r="CW233" s="55">
        <f>$CW232+$CU233</f>
        <v/>
      </c>
      <c r="CX233" s="55">
        <f>SUMIFS(tblPlant[Gold_Poured_oz],tblPlant[Date],$A233)</f>
        <v/>
      </c>
      <c r="CY233" s="55">
        <f>IF($B233=$B232,$CY232,0)+$CX233</f>
        <v/>
      </c>
      <c r="CZ233" s="55">
        <f>$CZ232+$CX233</f>
        <v/>
      </c>
      <c r="DA233" s="57">
        <f>SUMIFS(tblPlant[Mill_Run_h],tblPlant[Date],$A233)</f>
        <v/>
      </c>
      <c r="DB233" s="57">
        <f>IF($B233=$B232,$DB232,0)+$DA233</f>
        <v/>
      </c>
      <c r="DC233" s="57">
        <f>$DC232+$DA233</f>
        <v/>
      </c>
      <c r="DD233" s="57">
        <f>SUMIFS(tblPlant[Mill_Planned_Maint_h],tblPlant[Date],$A233)</f>
        <v/>
      </c>
      <c r="DE233" s="57">
        <f>IF($B233=$B232,$DE232,0)+$DD233</f>
        <v/>
      </c>
      <c r="DF233" s="57">
        <f>$DF232+$DD233</f>
        <v/>
      </c>
      <c r="DG233" s="57">
        <f>SUMIFS(tblPlant[Mill_Unplanned_Down_h],tblPlant[Date],$A233)</f>
        <v/>
      </c>
      <c r="DH233" s="57">
        <f>IF($B233=$B232,$DH232,0)+$DG233</f>
        <v/>
      </c>
      <c r="DI233" s="57">
        <f>$DI232+$DG233</f>
        <v/>
      </c>
      <c r="DJ233" s="57">
        <f>COUNTIFS(tblPlant[Date],$A233,tblPlant[Mill_Run_h],"&lt;&gt;")*24</f>
        <v/>
      </c>
      <c r="DK233" s="57">
        <f>IF($B233=$B232,$DK232,0)+$DJ233</f>
        <v/>
      </c>
      <c r="DL233" s="57">
        <f>$DL232+$DJ233</f>
        <v/>
      </c>
      <c r="DM233" s="57">
        <f>SUMIFS(tblPlant[Crusher_Run_h],tblPlant[Date],$A233)</f>
        <v/>
      </c>
      <c r="DN233" s="57">
        <f>IF($B233=$B232,$DN232,0)+$DM233</f>
        <v/>
      </c>
      <c r="DO233" s="57">
        <f>$DO232+$DM233</f>
        <v/>
      </c>
      <c r="DP233" s="55">
        <f>IFERROR(IF(($DA233)&gt;0,($BZ233)/($DA233),""),"")</f>
        <v/>
      </c>
      <c r="DQ233" s="55">
        <f>IFERROR(IF(($DB233)&gt;0,($CA233)/($DB233),""),"")</f>
        <v/>
      </c>
      <c r="DR233" s="55">
        <f>IFERROR(IF(($DC233)&gt;0,($CB233)/($DC233),""),"")</f>
        <v/>
      </c>
      <c r="DS233" s="67">
        <f>IFERROR(IF(($DJ233)&gt;0,($DJ233-$DD233-$DG233)/($DJ233),""),"")</f>
        <v/>
      </c>
      <c r="DT233" s="67">
        <f>IFERROR(IF(($DK233)&gt;0,($DK233-$DE233-$DH233)/($DK233),""),"")</f>
        <v/>
      </c>
      <c r="DU233" s="67">
        <f>IFERROR(IF(($DL233)&gt;0,($DL233-$DF233-$DI233)/($DL233),""),"")</f>
        <v/>
      </c>
      <c r="DV233" s="67">
        <f>IFERROR(IF(($DJ233-$DD233-$DG233)&gt;0,($DA233)/($DJ233-$DD233-$DG233),""),"")</f>
        <v/>
      </c>
      <c r="DW233" s="67">
        <f>IFERROR(IF(($DK233-$DE233-$DH233)&gt;0,($DB233)/($DK233-$DE233-$DH233),""),"")</f>
        <v/>
      </c>
      <c r="DX233" s="67">
        <f>IFERROR(IF(($DL233-$DF233-$DI233)&gt;0,($DC233)/($DL233-$DF233-$DI233),""),"")</f>
        <v/>
      </c>
      <c r="DY233" s="55">
        <f>SUMIFS(tblPlant[Cyanide_kg],tblPlant[Date],$A233)</f>
        <v/>
      </c>
      <c r="DZ233" s="55">
        <f>IF($B233=$B232,$DZ232,0)+$DY233</f>
        <v/>
      </c>
      <c r="EA233" s="55">
        <f>$EA232+$DY233</f>
        <v/>
      </c>
      <c r="EB233" s="55">
        <f>SUMIFS(tblPlant[Lime_kg],tblPlant[Date],$A233)</f>
        <v/>
      </c>
      <c r="EC233" s="55">
        <f>IF($B233=$B232,$EC232,0)+$EB233</f>
        <v/>
      </c>
      <c r="ED233" s="55">
        <f>$ED232+$EB233</f>
        <v/>
      </c>
      <c r="EE233" s="55">
        <f>SUMIFS(tblPlant[Grinding_Media_kg],tblPlant[Date],$A233)</f>
        <v/>
      </c>
      <c r="EF233" s="55">
        <f>IF($B233=$B232,$EF232,0)+$EE233</f>
        <v/>
      </c>
      <c r="EG233" s="55">
        <f>$EG232+$EE233</f>
        <v/>
      </c>
      <c r="EH233" s="55">
        <f>SUMIFS(tblPlant[Power_kWh],tblPlant[Date],$A233)</f>
        <v/>
      </c>
      <c r="EI233" s="55">
        <f>IF($B233=$B232,$EI232,0)+$EH233</f>
        <v/>
      </c>
      <c r="EJ233" s="55">
        <f>$EJ232+$EH233</f>
        <v/>
      </c>
      <c r="EK233" s="55">
        <f>SUMIFS(tblPlant[Raw_Water_m3],tblPlant[Date],$A233)</f>
        <v/>
      </c>
      <c r="EL233" s="55">
        <f>IF($B233=$B232,$EL232,0)+$EK233</f>
        <v/>
      </c>
      <c r="EM233" s="55">
        <f>$EM232+$EK233</f>
        <v/>
      </c>
      <c r="EN233" s="56">
        <f>IFERROR(IF(($BZ233)&gt;0,($DY233)/($BZ233),""),"")</f>
        <v/>
      </c>
      <c r="EO233" s="56">
        <f>IFERROR(IF(($CA233)&gt;0,($DZ233)/($CA233),""),"")</f>
        <v/>
      </c>
      <c r="EP233" s="56">
        <f>IFERROR(IF(($CB233)&gt;0,($EA233)/($CB233),""),"")</f>
        <v/>
      </c>
      <c r="EQ233" s="56">
        <f>IFERROR(IF(($BZ233)&gt;0,($EB233)/($BZ233),""),"")</f>
        <v/>
      </c>
      <c r="ER233" s="56">
        <f>IFERROR(IF(($CA233)&gt;0,($EC233)/($CA233),""),"")</f>
        <v/>
      </c>
      <c r="ES233" s="56">
        <f>IFERROR(IF(($CB233)&gt;0,($ED233)/($CB233),""),"")</f>
        <v/>
      </c>
      <c r="ET233" s="56">
        <f>IFERROR(IF(($BZ233)&gt;0,($EE233)/($BZ233),""),"")</f>
        <v/>
      </c>
      <c r="EU233" s="56">
        <f>IFERROR(IF(($CA233)&gt;0,($EF233)/($CA233),""),"")</f>
        <v/>
      </c>
      <c r="EV233" s="56">
        <f>IFERROR(IF(($CB233)&gt;0,($EG233)/($CB233),""),"")</f>
        <v/>
      </c>
      <c r="EW233" s="76">
        <f>IFERROR(IF(($BZ233)&gt;0,($EH233)/($BZ233),""),"")</f>
        <v/>
      </c>
      <c r="EX233" s="76">
        <f>IFERROR(IF(($CA233)&gt;0,($EI233)/($CA233),""),"")</f>
        <v/>
      </c>
      <c r="EY233" s="76">
        <f>IFERROR(IF(($CB233)&gt;0,($EJ233)/($CB233),""),"")</f>
        <v/>
      </c>
      <c r="EZ233" s="56">
        <f>IFERROR(IF(($BZ233)&gt;0,($EK233)/($BZ233),""),"")</f>
        <v/>
      </c>
      <c r="FA233" s="56">
        <f>IFERROR(IF(($CA233)&gt;0,($EL233)/($CA233),""),"")</f>
        <v/>
      </c>
      <c r="FB233" s="56">
        <f>IFERROR(IF(($CB233)&gt;0,($EM233)/($CB233),""),"")</f>
        <v/>
      </c>
      <c r="FC233" s="55">
        <f>IF(SUMIFS(tblPlant[GIC_oz],tblPlant[Date],$A233)&gt;0,SUMIFS(tblPlant[GIC_oz],tblPlant[Date],$A233),"")</f>
        <v/>
      </c>
      <c r="FD233" s="55">
        <f>SUMIFS(tblGold[Gold_oz],tblGold[Date],$A233,tblGold[Type],"Shipment")</f>
        <v/>
      </c>
      <c r="FE233" s="55">
        <f>IF($B233=$B232,$FE232,0)+$FD233</f>
        <v/>
      </c>
      <c r="FF233" s="55">
        <f>$FF232+$FD233</f>
        <v/>
      </c>
      <c r="FG233" s="55">
        <f>SUMIFS(tblGold[Gold_oz],tblGold[Date],$A233,tblGold[Type],"Sale")</f>
        <v/>
      </c>
      <c r="FH233" s="55">
        <f>IF($B233=$B232,$FH232,0)+$FG233</f>
        <v/>
      </c>
      <c r="FI233" s="55">
        <f>$FI232+$FG233</f>
        <v/>
      </c>
      <c r="FJ233" s="55">
        <f>SUMIFS(tblGold[Dore_kg],tblGold[Date],$A233,tblGold[Type],"Shipment")</f>
        <v/>
      </c>
      <c r="FK233" s="55">
        <f>IF($B233=$B232,$FK232,0)+$FJ233</f>
        <v/>
      </c>
      <c r="FL233" s="55">
        <f>$FL232+$FJ233</f>
        <v/>
      </c>
      <c r="FM233" s="57">
        <f>SUMIFS(tblSafety[Hours_Total],tblSafety[Date],$A233)</f>
        <v/>
      </c>
      <c r="FN233" s="57">
        <f>IF($B233=$B232,$FN232,0)+$FM233</f>
        <v/>
      </c>
      <c r="FO233" s="57">
        <f>$FO232+$FM233</f>
        <v/>
      </c>
      <c r="FP233" s="62">
        <f>SUMIFS(tblSafety[Fatality],tblSafety[Date],$A233)</f>
        <v/>
      </c>
      <c r="FQ233" s="62">
        <f>IF($B233=$B232,$FQ232,0)+$FP233</f>
        <v/>
      </c>
      <c r="FR233" s="62">
        <f>$FR232+$FP233</f>
        <v/>
      </c>
      <c r="FS233" s="62">
        <f>SUMIFS(tblSafety[LTI],tblSafety[Date],$A233)</f>
        <v/>
      </c>
      <c r="FT233" s="62">
        <f>IF($B233=$B232,$FT232,0)+$FS233</f>
        <v/>
      </c>
      <c r="FU233" s="62">
        <f>$FU232+$FS233</f>
        <v/>
      </c>
      <c r="FV233" s="62">
        <f>SUMIFS(tblSafety[RWI],tblSafety[Date],$A233)</f>
        <v/>
      </c>
      <c r="FW233" s="62">
        <f>IF($B233=$B232,$FW232,0)+$FV233</f>
        <v/>
      </c>
      <c r="FX233" s="62">
        <f>$FX232+$FV233</f>
        <v/>
      </c>
      <c r="FY233" s="62">
        <f>SUMIFS(tblSafety[MTI],tblSafety[Date],$A233)</f>
        <v/>
      </c>
      <c r="FZ233" s="62">
        <f>IF($B233=$B232,$FZ232,0)+$FY233</f>
        <v/>
      </c>
      <c r="GA233" s="62">
        <f>$GA232+$FY233</f>
        <v/>
      </c>
      <c r="GB233" s="62">
        <f>SUMIFS(tblSafety[FAI],tblSafety[Date],$A233)</f>
        <v/>
      </c>
      <c r="GC233" s="62">
        <f>IF($B233=$B232,$GC232,0)+$GB233</f>
        <v/>
      </c>
      <c r="GD233" s="62">
        <f>$GD232+$GB233</f>
        <v/>
      </c>
      <c r="GE233" s="62">
        <f>SUMIFS(tblSafety[Recordables],tblSafety[Date],$A233)</f>
        <v/>
      </c>
      <c r="GF233" s="62">
        <f>IF($B233=$B232,$GF232,0)+$GE233</f>
        <v/>
      </c>
      <c r="GG233" s="62">
        <f>$GG232+$GE233</f>
        <v/>
      </c>
      <c r="GH233" s="62">
        <f>SUMIFS(tblSafety[Near_Miss],tblSafety[Date],$A233)</f>
        <v/>
      </c>
      <c r="GI233" s="62">
        <f>IF($B233=$B232,$GI232,0)+$GH233</f>
        <v/>
      </c>
      <c r="GJ233" s="62">
        <f>$GJ232+$GH233</f>
        <v/>
      </c>
      <c r="GK233" s="62">
        <f>SUMIFS(tblSafety[Hazard_Reports],tblSafety[Date],$A233)</f>
        <v/>
      </c>
      <c r="GL233" s="62">
        <f>IF($B233=$B232,$GL232,0)+$GK233</f>
        <v/>
      </c>
      <c r="GM233" s="62">
        <f>$GM232+$GK233</f>
        <v/>
      </c>
      <c r="GN233" s="62">
        <f>SUMIFS(tblSafety[HPI],tblSafety[Date],$A233)</f>
        <v/>
      </c>
      <c r="GO233" s="62">
        <f>IF($B233=$B232,$GO232,0)+$GN233</f>
        <v/>
      </c>
      <c r="GP233" s="62">
        <f>$GP232+$GN233</f>
        <v/>
      </c>
      <c r="GQ233" s="62">
        <f>SUMIFS(tblSafety[Env_Incidents],tblSafety[Date],$A233)</f>
        <v/>
      </c>
      <c r="GR233" s="62">
        <f>IF($B233=$B232,$GR232,0)+$GQ233</f>
        <v/>
      </c>
      <c r="GS233" s="62">
        <f>$GS232+$GQ233</f>
        <v/>
      </c>
      <c r="GT233" s="62">
        <f>SUMIFS(tblSafety[Community_Incidents],tblSafety[Date],$A233)</f>
        <v/>
      </c>
      <c r="GU233" s="62">
        <f>IF($B233=$B232,$GU232,0)+$GT233</f>
        <v/>
      </c>
      <c r="GV233" s="62">
        <f>$GV232+$GT233</f>
        <v/>
      </c>
      <c r="GW233" s="62">
        <f>SUMIFS(tblSafety[Vehicle_Incidents],tblSafety[Date],$A233)</f>
        <v/>
      </c>
      <c r="GX233" s="62">
        <f>IF($B233=$B232,$GX232,0)+$GW233</f>
        <v/>
      </c>
      <c r="GY233" s="62">
        <f>$GY232+$GW233</f>
        <v/>
      </c>
      <c r="GZ233" s="62">
        <f>SUMIFS(tblSafety[Toolbox_Talks],tblSafety[Date],$A233)</f>
        <v/>
      </c>
      <c r="HA233" s="62">
        <f>IF($B233=$B232,$HA232,0)+$GZ233</f>
        <v/>
      </c>
      <c r="HB233" s="62">
        <f>$HB232+$GZ233</f>
        <v/>
      </c>
      <c r="HC233" s="62">
        <f>SUMIFS(tblSafety[Inspections],tblSafety[Date],$A233)</f>
        <v/>
      </c>
      <c r="HD233" s="62">
        <f>IF($B233=$B232,$HD232,0)+$HC233</f>
        <v/>
      </c>
      <c r="HE233" s="62">
        <f>$HE232+$HC233</f>
        <v/>
      </c>
      <c r="HF233" s="56">
        <f>IFERROR((SUMIFS(tblSafety[Recordables],tblSafety[Date],"&gt;="&amp;EDATE($E233,-12),tblSafety[Date],"&lt;="&amp;$A233)+SUMIFS(tblSafetyHistory[Recordables],tblSafetyHistory[Month],"&gt;="&amp;EDATE($E233,-12),tblSafetyHistory[Month],"&lt;"&amp;cfg_YearStart))/(SUMIFS(tblSafety[Hours_Total],tblSafety[Date],"&gt;="&amp;EDATE($E233,-12),tblSafety[Date],"&lt;="&amp;$A233)+SUMIFS(tblSafetyHistory[Hours_Total],tblSafetyHistory[Month],"&gt;="&amp;EDATE($E233,-12),tblSafetyHistory[Month],"&lt;"&amp;cfg_YearStart))*1000000,"")</f>
        <v/>
      </c>
      <c r="HG233" s="56">
        <f>IFERROR((SUMIFS(tblSafety[LTI],tblSafety[Date],"&gt;="&amp;EDATE($E233,-12),tblSafety[Date],"&lt;="&amp;$A233)+SUMIFS(tblSafetyHistory[LTI],tblSafetyHistory[Month],"&gt;="&amp;EDATE($E233,-12),tblSafetyHistory[Month],"&lt;"&amp;cfg_YearStart))/(SUMIFS(tblSafety[Hours_Total],tblSafety[Date],"&gt;="&amp;EDATE($E233,-12),tblSafety[Date],"&lt;="&amp;$A233)+SUMIFS(tblSafetyHistory[Hours_Total],tblSafetyHistory[Month],"&gt;="&amp;EDATE($E233,-12),tblSafetyHistory[Month],"&lt;"&amp;cfg_YearStart))*1000000,"")</f>
        <v/>
      </c>
      <c r="HH233" s="62">
        <f>IF(MAX(N(cfg_PriorLTIDate),_xlfn.MAXIFS(tblSafety[Date],tblSafety[LTI],"&gt;0",tblSafety[Date],"&lt;="&amp;$A233))=0,"",$A233-MAX(N(cfg_PriorLTIDate),_xlfn.MAXIFS(tblSafety[Date],tblSafety[LTI],"&gt;0",tblSafety[Date],"&lt;="&amp;$A233)))</f>
        <v/>
      </c>
      <c r="HI233" s="55">
        <f>SUMIFS(tblBudget[Ore_Mined_t],tblBudget[Month],$E233)</f>
        <v/>
      </c>
      <c r="HJ233" s="55">
        <f>$HI233*$C233/$D233</f>
        <v/>
      </c>
      <c r="HK233" s="55">
        <f>SUMIFS(tblBudget[Ore_Mined_t],tblBudget[Month],"&lt;"&amp;$E233)+$HJ233</f>
        <v/>
      </c>
      <c r="HL233" s="55">
        <f>SUMIFS(tblBudget[Ore_oz],tblBudget[Month],$E233)</f>
        <v/>
      </c>
      <c r="HM233" s="55">
        <f>$HL233*$C233/$D233</f>
        <v/>
      </c>
      <c r="HN233" s="55">
        <f>SUMIFS(tblBudget[Ore_oz],tblBudget[Month],"&lt;"&amp;$E233)+$HM233</f>
        <v/>
      </c>
      <c r="HO233" s="56">
        <f>IFERROR(IF(($HI233)&gt;0,($HL233*cfg_TroyOz)/($HI233),""),"")</f>
        <v/>
      </c>
      <c r="HP233" s="56">
        <f>IFERROR(IF(($HJ233)&gt;0,($HM233*cfg_TroyOz)/($HJ233),""),"")</f>
        <v/>
      </c>
      <c r="HQ233" s="56">
        <f>IFERROR(IF(($HK233)&gt;0,($HN233*cfg_TroyOz)/($HK233),""),"")</f>
        <v/>
      </c>
      <c r="HR233" s="55">
        <f>SUMIFS(tblBudget[Waste_t],tblBudget[Month],$E233)</f>
        <v/>
      </c>
      <c r="HS233" s="55">
        <f>$HR233*$C233/$D233</f>
        <v/>
      </c>
      <c r="HT233" s="55">
        <f>SUMIFS(tblBudget[Waste_t],tblBudget[Month],"&lt;"&amp;$E233)+$HS233</f>
        <v/>
      </c>
      <c r="HU233" s="55">
        <f>SUMIFS(tblBudget[TMM_t],tblBudget[Month],$E233)</f>
        <v/>
      </c>
      <c r="HV233" s="55">
        <f>$HU233*$C233/$D233</f>
        <v/>
      </c>
      <c r="HW233" s="55">
        <f>SUMIFS(tblBudget[TMM_t],tblBudget[Month],"&lt;"&amp;$E233)+$HV233</f>
        <v/>
      </c>
      <c r="HX233" s="56">
        <f>IFERROR(IF(($HI233)&gt;0,($HR233)/($HI233),""),"")</f>
        <v/>
      </c>
      <c r="HY233" s="56">
        <f>IFERROR(IF(($HJ233)&gt;0,($HS233)/($HJ233),""),"")</f>
        <v/>
      </c>
      <c r="HZ233" s="56">
        <f>IFERROR(IF(($HK233)&gt;0,($HT233)/($HK233),""),"")</f>
        <v/>
      </c>
      <c r="IA233" s="55">
        <f>SUMIFS(tblBudget[Drill_m],tblBudget[Month],$E233)</f>
        <v/>
      </c>
      <c r="IB233" s="55">
        <f>$IA233*$C233/$D233</f>
        <v/>
      </c>
      <c r="IC233" s="55">
        <f>SUMIFS(tblBudget[Drill_m],tblBudget[Month],"&lt;"&amp;$E233)+$IB233</f>
        <v/>
      </c>
      <c r="ID233" s="55">
        <f>SUMIFS(tblBudget[Diesel_L],tblBudget[Month],$E233)</f>
        <v/>
      </c>
      <c r="IE233" s="55">
        <f>$ID233*$C233/$D233</f>
        <v/>
      </c>
      <c r="IF233" s="55">
        <f>SUMIFS(tblBudget[Diesel_L],tblBudget[Month],"&lt;"&amp;$E233)+$IE233</f>
        <v/>
      </c>
      <c r="IG233" s="55">
        <f>SUMIFS(tblBudget[Milled_t],tblBudget[Month],$E233)</f>
        <v/>
      </c>
      <c r="IH233" s="55">
        <f>$IG233*$C233/$D233</f>
        <v/>
      </c>
      <c r="II233" s="55">
        <f>SUMIFS(tblBudget[Milled_t],tblBudget[Month],"&lt;"&amp;$E233)+$IH233</f>
        <v/>
      </c>
      <c r="IJ233" s="55">
        <f>SUMIFS(tblBudget[Feed_oz],tblBudget[Month],$E233)</f>
        <v/>
      </c>
      <c r="IK233" s="55">
        <f>$IJ233*$C233/$D233</f>
        <v/>
      </c>
      <c r="IL233" s="55">
        <f>SUMIFS(tblBudget[Feed_oz],tblBudget[Month],"&lt;"&amp;$E233)+$IK233</f>
        <v/>
      </c>
      <c r="IM233" s="55">
        <f>SUMIFS(tblBudget[Recovered_oz],tblBudget[Month],$E233)</f>
        <v/>
      </c>
      <c r="IN233" s="55">
        <f>$IM233*$C233/$D233</f>
        <v/>
      </c>
      <c r="IO233" s="55">
        <f>SUMIFS(tblBudget[Recovered_oz],tblBudget[Month],"&lt;"&amp;$E233)+$IN233</f>
        <v/>
      </c>
      <c r="IP233" s="56">
        <f>IFERROR(IF(($IG233)&gt;0,($IJ233*cfg_TroyOz)/($IG233),""),"")</f>
        <v/>
      </c>
      <c r="IQ233" s="56">
        <f>IFERROR(IF(($IH233)&gt;0,($IK233*cfg_TroyOz)/($IH233),""),"")</f>
        <v/>
      </c>
      <c r="IR233" s="56">
        <f>IFERROR(IF(($II233)&gt;0,($IL233*cfg_TroyOz)/($II233),""),"")</f>
        <v/>
      </c>
      <c r="IS233" s="67">
        <f>IFERROR(IF(($IJ233)&gt;0,($IM233)/($IJ233),""),"")</f>
        <v/>
      </c>
      <c r="IT233" s="67">
        <f>IFERROR(IF(($IK233)&gt;0,($IN233)/($IK233),""),"")</f>
        <v/>
      </c>
      <c r="IU233" s="67">
        <f>IFERROR(IF(($IL233)&gt;0,($IO233)/($IL233),""),"")</f>
        <v/>
      </c>
      <c r="IV233" s="55">
        <f>SUMIFS(tblBudget[Gold_Poured_oz],tblBudget[Month],$E233)</f>
        <v/>
      </c>
      <c r="IW233" s="55">
        <f>$IV233*$C233/$D233</f>
        <v/>
      </c>
      <c r="IX233" s="55">
        <f>SUMIFS(tblBudget[Gold_Poured_oz],tblBudget[Month],"&lt;"&amp;$E233)+$IW233</f>
        <v/>
      </c>
      <c r="IY233" s="57">
        <f>SUMIFS(tblBudget[Hours_Worked],tblBudget[Month],$E233)</f>
        <v/>
      </c>
      <c r="IZ233" s="57">
        <f>$IY233*$C233/$D233</f>
        <v/>
      </c>
      <c r="JA233" s="57">
        <f>SUMIFS(tblBudget[Hours_Worked],tblBudget[Month],"&lt;"&amp;$E233)+$IZ233</f>
        <v/>
      </c>
    </row>
    <row r="234">
      <c r="A234" s="54" t="n">
        <v>46255</v>
      </c>
      <c r="B234">
        <f>MONTH($A234)</f>
        <v/>
      </c>
      <c r="C234">
        <f>DAY($A234)</f>
        <v/>
      </c>
      <c r="D234">
        <f>DAY(EOMONTH($A234,0))</f>
        <v/>
      </c>
      <c r="E234" s="54">
        <f>DATE(YEAR($A234),MONTH($A234),1)</f>
        <v/>
      </c>
      <c r="F234" s="55">
        <f>SUMIFS(tblMovement[Tonnes_t],tblMovement[Date],$A234,tblMovement[Is_Ore],1,tblMovement[Source_Type],"Pit")</f>
        <v/>
      </c>
      <c r="G234" s="55">
        <f>IF($B234=$B233,$G233,0)+$F234</f>
        <v/>
      </c>
      <c r="H234" s="55">
        <f>$H233+$F234</f>
        <v/>
      </c>
      <c r="I234" s="55">
        <f>SUMIFS(tblMovement[Ore_oz],tblMovement[Date],$A234,tblMovement[Source_Type],"Pit")</f>
        <v/>
      </c>
      <c r="J234" s="55">
        <f>IF($B234=$B233,$J233,0)+$I234</f>
        <v/>
      </c>
      <c r="K234" s="55">
        <f>$K233+$I234</f>
        <v/>
      </c>
      <c r="L234" s="56">
        <f>IFERROR(IF(($F234)&gt;0,($I234*cfg_TroyOz)/($F234),""),"")</f>
        <v/>
      </c>
      <c r="M234" s="56">
        <f>IFERROR(IF(($G234)&gt;0,($J234*cfg_TroyOz)/($G234),""),"")</f>
        <v/>
      </c>
      <c r="N234" s="56">
        <f>IFERROR(IF(($H234)&gt;0,($K234*cfg_TroyOz)/($H234),""),"")</f>
        <v/>
      </c>
      <c r="O234" s="55">
        <f>SUMIFS(tblMovement[Tonnes_t],tblMovement[Date],$A234,tblMovement[Is_Ore],0,tblMovement[Source_Type],"Pit")</f>
        <v/>
      </c>
      <c r="P234" s="55">
        <f>IF($B234=$B233,$P233,0)+$O234</f>
        <v/>
      </c>
      <c r="Q234" s="55">
        <f>$Q233+$O234</f>
        <v/>
      </c>
      <c r="R234" s="55">
        <f>$F234+$O234</f>
        <v/>
      </c>
      <c r="S234" s="55">
        <f>IF($B234=$B233,$S233,0)+$R234</f>
        <v/>
      </c>
      <c r="T234" s="55">
        <f>$T233+$R234</f>
        <v/>
      </c>
      <c r="U234" s="56">
        <f>IFERROR(IF(($F234)&gt;0,($O234)/($F234),""),"")</f>
        <v/>
      </c>
      <c r="V234" s="56">
        <f>IFERROR(IF(($G234)&gt;0,($P234)/($G234),""),"")</f>
        <v/>
      </c>
      <c r="W234" s="56">
        <f>IFERROR(IF(($H234)&gt;0,($Q234)/($H234),""),"")</f>
        <v/>
      </c>
      <c r="X234" s="55">
        <f>SUMIFS(tblMovement[Tonnes_t],tblMovement[Date],$A234,tblMovement[Source_Type],"Stockpile")</f>
        <v/>
      </c>
      <c r="Y234" s="55">
        <f>IF($B234=$B233,$Y233,0)+$X234</f>
        <v/>
      </c>
      <c r="Z234" s="55">
        <f>$Z233+$X234</f>
        <v/>
      </c>
      <c r="AA234" s="55">
        <f>SUMIFS(tblMiningDaily[Drill_m],tblMiningDaily[Date],$A234)</f>
        <v/>
      </c>
      <c r="AB234" s="55">
        <f>IF($B234=$B233,$AB233,0)+$AA234</f>
        <v/>
      </c>
      <c r="AC234" s="55">
        <f>$AC233+$AA234</f>
        <v/>
      </c>
      <c r="AD234" s="55">
        <f>SUMIFS(tblMiningDaily[Blast_t],tblMiningDaily[Date],$A234)</f>
        <v/>
      </c>
      <c r="AE234" s="55">
        <f>IF($B234=$B233,$AE233,0)+$AD234</f>
        <v/>
      </c>
      <c r="AF234" s="55">
        <f>$AF233+$AD234</f>
        <v/>
      </c>
      <c r="AG234" s="55">
        <f>SUMIFS(tblMiningDaily[Explosives_kg],tblMiningDaily[Date],$A234)</f>
        <v/>
      </c>
      <c r="AH234" s="55">
        <f>IF($B234=$B233,$AH233,0)+$AG234</f>
        <v/>
      </c>
      <c r="AI234" s="55">
        <f>$AI233+$AG234</f>
        <v/>
      </c>
      <c r="AJ234" s="56">
        <f>IFERROR(IF(($AD234)&gt;0,($AG234)/($AD234),""),"")</f>
        <v/>
      </c>
      <c r="AK234" s="56">
        <f>IFERROR(IF(($AE234)&gt;0,($AH234)/($AE234),""),"")</f>
        <v/>
      </c>
      <c r="AL234" s="56">
        <f>IFERROR(IF(($AF234)&gt;0,($AI234)/($AF234),""),"")</f>
        <v/>
      </c>
      <c r="AM234" s="55">
        <f>SUMIFS(tblMiningDaily[Diesel_L],tblMiningDaily[Date],$A234)</f>
        <v/>
      </c>
      <c r="AN234" s="55">
        <f>IF($B234=$B233,$AN233,0)+$AM234</f>
        <v/>
      </c>
      <c r="AO234" s="55">
        <f>$AO233+$AM234</f>
        <v/>
      </c>
      <c r="AP234" s="55">
        <f>SUMIFS(tblMiningDaily[Dewatering_m3],tblMiningDaily[Date],$A234)</f>
        <v/>
      </c>
      <c r="AQ234" s="55">
        <f>IF($B234=$B233,$AQ233,0)+$AP234</f>
        <v/>
      </c>
      <c r="AR234" s="55">
        <f>$AR233+$AP234</f>
        <v/>
      </c>
      <c r="AS234" s="57">
        <f>SUMIFS(tblFleet[Calendar_h],tblFleet[Date],$A234,tblFleet[Equipment_Class],"Excavator")</f>
        <v/>
      </c>
      <c r="AT234" s="57">
        <f>IF($B234=$B233,$AT233,0)+$AS234</f>
        <v/>
      </c>
      <c r="AU234" s="57">
        <f>$AU233+$AS234</f>
        <v/>
      </c>
      <c r="AV234" s="57">
        <f>SUMIFS(tblFleet[Available_h],tblFleet[Date],$A234,tblFleet[Equipment_Class],"Excavator")</f>
        <v/>
      </c>
      <c r="AW234" s="57">
        <f>IF($B234=$B233,$AW233,0)+$AV234</f>
        <v/>
      </c>
      <c r="AX234" s="57">
        <f>$AX233+$AV234</f>
        <v/>
      </c>
      <c r="AY234" s="57">
        <f>SUMIFS(tblFleet[Operating_h],tblFleet[Date],$A234,tblFleet[Equipment_Class],"Excavator")</f>
        <v/>
      </c>
      <c r="AZ234" s="57">
        <f>IF($B234=$B233,$AZ233,0)+$AY234</f>
        <v/>
      </c>
      <c r="BA234" s="57">
        <f>$BA233+$AY234</f>
        <v/>
      </c>
      <c r="BB234" s="67">
        <f>IFERROR(IF(($AS234)&gt;0,($AV234)/($AS234),""),"")</f>
        <v/>
      </c>
      <c r="BC234" s="67">
        <f>IFERROR(IF(($AT234)&gt;0,($AW234)/($AT234),""),"")</f>
        <v/>
      </c>
      <c r="BD234" s="67">
        <f>IFERROR(IF(($AU234)&gt;0,($AX234)/($AU234),""),"")</f>
        <v/>
      </c>
      <c r="BE234" s="67">
        <f>IFERROR(IF(($AV234)&gt;0,($AY234)/($AV234),""),"")</f>
        <v/>
      </c>
      <c r="BF234" s="67">
        <f>IFERROR(IF(($AW234)&gt;0,($AZ234)/($AW234),""),"")</f>
        <v/>
      </c>
      <c r="BG234" s="67">
        <f>IFERROR(IF(($AX234)&gt;0,($BA234)/($AX234),""),"")</f>
        <v/>
      </c>
      <c r="BH234" s="57">
        <f>SUMIFS(tblFleet[Calendar_h],tblFleet[Date],$A234,tblFleet[Equipment_Class],"Haul Truck")</f>
        <v/>
      </c>
      <c r="BI234" s="57">
        <f>IF($B234=$B233,$BI233,0)+$BH234</f>
        <v/>
      </c>
      <c r="BJ234" s="57">
        <f>$BJ233+$BH234</f>
        <v/>
      </c>
      <c r="BK234" s="57">
        <f>SUMIFS(tblFleet[Available_h],tblFleet[Date],$A234,tblFleet[Equipment_Class],"Haul Truck")</f>
        <v/>
      </c>
      <c r="BL234" s="57">
        <f>IF($B234=$B233,$BL233,0)+$BK234</f>
        <v/>
      </c>
      <c r="BM234" s="57">
        <f>$BM233+$BK234</f>
        <v/>
      </c>
      <c r="BN234" s="57">
        <f>SUMIFS(tblFleet[Operating_h],tblFleet[Date],$A234,tblFleet[Equipment_Class],"Haul Truck")</f>
        <v/>
      </c>
      <c r="BO234" s="57">
        <f>IF($B234=$B233,$BO233,0)+$BN234</f>
        <v/>
      </c>
      <c r="BP234" s="57">
        <f>$BP233+$BN234</f>
        <v/>
      </c>
      <c r="BQ234" s="67">
        <f>IFERROR(IF(($BH234)&gt;0,($BK234)/($BH234),""),"")</f>
        <v/>
      </c>
      <c r="BR234" s="67">
        <f>IFERROR(IF(($BI234)&gt;0,($BL234)/($BI234),""),"")</f>
        <v/>
      </c>
      <c r="BS234" s="67">
        <f>IFERROR(IF(($BJ234)&gt;0,($BM234)/($BJ234),""),"")</f>
        <v/>
      </c>
      <c r="BT234" s="67">
        <f>IFERROR(IF(($BK234)&gt;0,($BN234)/($BK234),""),"")</f>
        <v/>
      </c>
      <c r="BU234" s="67">
        <f>IFERROR(IF(($BL234)&gt;0,($BO234)/($BL234),""),"")</f>
        <v/>
      </c>
      <c r="BV234" s="67">
        <f>IFERROR(IF(($BM234)&gt;0,($BP234)/($BM234),""),"")</f>
        <v/>
      </c>
      <c r="BW234" s="55">
        <f>SUMIFS(tblPlant[Crushed_t],tblPlant[Date],$A234)</f>
        <v/>
      </c>
      <c r="BX234" s="55">
        <f>IF($B234=$B233,$BX233,0)+$BW234</f>
        <v/>
      </c>
      <c r="BY234" s="55">
        <f>$BY233+$BW234</f>
        <v/>
      </c>
      <c r="BZ234" s="55">
        <f>SUMIFS(tblPlant[Milled_t],tblPlant[Date],$A234)</f>
        <v/>
      </c>
      <c r="CA234" s="55">
        <f>IF($B234=$B233,$CA233,0)+$BZ234</f>
        <v/>
      </c>
      <c r="CB234" s="55">
        <f>$CB233+$BZ234</f>
        <v/>
      </c>
      <c r="CC234" s="55">
        <f>SUMIFS(tblPlant[Feed_oz],tblPlant[Date],$A234)</f>
        <v/>
      </c>
      <c r="CD234" s="55">
        <f>IF($B234=$B233,$CD233,0)+$CC234</f>
        <v/>
      </c>
      <c r="CE234" s="55">
        <f>$CE233+$CC234</f>
        <v/>
      </c>
      <c r="CF234" s="55">
        <f>SUMIFS(tblPlant[Tails_oz],tblPlant[Date],$A234)</f>
        <v/>
      </c>
      <c r="CG234" s="55">
        <f>IF($B234=$B233,$CG233,0)+$CF234</f>
        <v/>
      </c>
      <c r="CH234" s="55">
        <f>$CH233+$CF234</f>
        <v/>
      </c>
      <c r="CI234" s="55">
        <f>SUMIFS(tblPlant[Recovered_oz],tblPlant[Date],$A234)</f>
        <v/>
      </c>
      <c r="CJ234" s="55">
        <f>IF($B234=$B233,$CJ233,0)+$CI234</f>
        <v/>
      </c>
      <c r="CK234" s="55">
        <f>$CK233+$CI234</f>
        <v/>
      </c>
      <c r="CL234" s="56">
        <f>IFERROR(IF(($BZ234)&gt;0,($CC234*cfg_TroyOz)/($BZ234),""),"")</f>
        <v/>
      </c>
      <c r="CM234" s="56">
        <f>IFERROR(IF(($CA234)&gt;0,($CD234*cfg_TroyOz)/($CA234),""),"")</f>
        <v/>
      </c>
      <c r="CN234" s="56">
        <f>IFERROR(IF(($CB234)&gt;0,($CE234*cfg_TroyOz)/($CB234),""),"")</f>
        <v/>
      </c>
      <c r="CO234" s="56">
        <f>IFERROR(IF(($BZ234)&gt;0,($CF234*cfg_TroyOz)/($BZ234),""),"")</f>
        <v/>
      </c>
      <c r="CP234" s="56">
        <f>IFERROR(IF(($CA234)&gt;0,($CG234*cfg_TroyOz)/($CA234),""),"")</f>
        <v/>
      </c>
      <c r="CQ234" s="56">
        <f>IFERROR(IF(($CB234)&gt;0,($CH234*cfg_TroyOz)/($CB234),""),"")</f>
        <v/>
      </c>
      <c r="CR234" s="67">
        <f>IFERROR(IF(($CC234)&gt;0,($CI234)/($CC234),""),"")</f>
        <v/>
      </c>
      <c r="CS234" s="67">
        <f>IFERROR(IF(($CD234)&gt;0,($CJ234)/($CD234),""),"")</f>
        <v/>
      </c>
      <c r="CT234" s="67">
        <f>IFERROR(IF(($CE234)&gt;0,($CK234)/($CE234),""),"")</f>
        <v/>
      </c>
      <c r="CU234" s="55">
        <f>SUMIFS(tblPlant[Gravity_Gold_oz],tblPlant[Date],$A234)</f>
        <v/>
      </c>
      <c r="CV234" s="55">
        <f>IF($B234=$B233,$CV233,0)+$CU234</f>
        <v/>
      </c>
      <c r="CW234" s="55">
        <f>$CW233+$CU234</f>
        <v/>
      </c>
      <c r="CX234" s="55">
        <f>SUMIFS(tblPlant[Gold_Poured_oz],tblPlant[Date],$A234)</f>
        <v/>
      </c>
      <c r="CY234" s="55">
        <f>IF($B234=$B233,$CY233,0)+$CX234</f>
        <v/>
      </c>
      <c r="CZ234" s="55">
        <f>$CZ233+$CX234</f>
        <v/>
      </c>
      <c r="DA234" s="57">
        <f>SUMIFS(tblPlant[Mill_Run_h],tblPlant[Date],$A234)</f>
        <v/>
      </c>
      <c r="DB234" s="57">
        <f>IF($B234=$B233,$DB233,0)+$DA234</f>
        <v/>
      </c>
      <c r="DC234" s="57">
        <f>$DC233+$DA234</f>
        <v/>
      </c>
      <c r="DD234" s="57">
        <f>SUMIFS(tblPlant[Mill_Planned_Maint_h],tblPlant[Date],$A234)</f>
        <v/>
      </c>
      <c r="DE234" s="57">
        <f>IF($B234=$B233,$DE233,0)+$DD234</f>
        <v/>
      </c>
      <c r="DF234" s="57">
        <f>$DF233+$DD234</f>
        <v/>
      </c>
      <c r="DG234" s="57">
        <f>SUMIFS(tblPlant[Mill_Unplanned_Down_h],tblPlant[Date],$A234)</f>
        <v/>
      </c>
      <c r="DH234" s="57">
        <f>IF($B234=$B233,$DH233,0)+$DG234</f>
        <v/>
      </c>
      <c r="DI234" s="57">
        <f>$DI233+$DG234</f>
        <v/>
      </c>
      <c r="DJ234" s="57">
        <f>COUNTIFS(tblPlant[Date],$A234,tblPlant[Mill_Run_h],"&lt;&gt;")*24</f>
        <v/>
      </c>
      <c r="DK234" s="57">
        <f>IF($B234=$B233,$DK233,0)+$DJ234</f>
        <v/>
      </c>
      <c r="DL234" s="57">
        <f>$DL233+$DJ234</f>
        <v/>
      </c>
      <c r="DM234" s="57">
        <f>SUMIFS(tblPlant[Crusher_Run_h],tblPlant[Date],$A234)</f>
        <v/>
      </c>
      <c r="DN234" s="57">
        <f>IF($B234=$B233,$DN233,0)+$DM234</f>
        <v/>
      </c>
      <c r="DO234" s="57">
        <f>$DO233+$DM234</f>
        <v/>
      </c>
      <c r="DP234" s="55">
        <f>IFERROR(IF(($DA234)&gt;0,($BZ234)/($DA234),""),"")</f>
        <v/>
      </c>
      <c r="DQ234" s="55">
        <f>IFERROR(IF(($DB234)&gt;0,($CA234)/($DB234),""),"")</f>
        <v/>
      </c>
      <c r="DR234" s="55">
        <f>IFERROR(IF(($DC234)&gt;0,($CB234)/($DC234),""),"")</f>
        <v/>
      </c>
      <c r="DS234" s="67">
        <f>IFERROR(IF(($DJ234)&gt;0,($DJ234-$DD234-$DG234)/($DJ234),""),"")</f>
        <v/>
      </c>
      <c r="DT234" s="67">
        <f>IFERROR(IF(($DK234)&gt;0,($DK234-$DE234-$DH234)/($DK234),""),"")</f>
        <v/>
      </c>
      <c r="DU234" s="67">
        <f>IFERROR(IF(($DL234)&gt;0,($DL234-$DF234-$DI234)/($DL234),""),"")</f>
        <v/>
      </c>
      <c r="DV234" s="67">
        <f>IFERROR(IF(($DJ234-$DD234-$DG234)&gt;0,($DA234)/($DJ234-$DD234-$DG234),""),"")</f>
        <v/>
      </c>
      <c r="DW234" s="67">
        <f>IFERROR(IF(($DK234-$DE234-$DH234)&gt;0,($DB234)/($DK234-$DE234-$DH234),""),"")</f>
        <v/>
      </c>
      <c r="DX234" s="67">
        <f>IFERROR(IF(($DL234-$DF234-$DI234)&gt;0,($DC234)/($DL234-$DF234-$DI234),""),"")</f>
        <v/>
      </c>
      <c r="DY234" s="55">
        <f>SUMIFS(tblPlant[Cyanide_kg],tblPlant[Date],$A234)</f>
        <v/>
      </c>
      <c r="DZ234" s="55">
        <f>IF($B234=$B233,$DZ233,0)+$DY234</f>
        <v/>
      </c>
      <c r="EA234" s="55">
        <f>$EA233+$DY234</f>
        <v/>
      </c>
      <c r="EB234" s="55">
        <f>SUMIFS(tblPlant[Lime_kg],tblPlant[Date],$A234)</f>
        <v/>
      </c>
      <c r="EC234" s="55">
        <f>IF($B234=$B233,$EC233,0)+$EB234</f>
        <v/>
      </c>
      <c r="ED234" s="55">
        <f>$ED233+$EB234</f>
        <v/>
      </c>
      <c r="EE234" s="55">
        <f>SUMIFS(tblPlant[Grinding_Media_kg],tblPlant[Date],$A234)</f>
        <v/>
      </c>
      <c r="EF234" s="55">
        <f>IF($B234=$B233,$EF233,0)+$EE234</f>
        <v/>
      </c>
      <c r="EG234" s="55">
        <f>$EG233+$EE234</f>
        <v/>
      </c>
      <c r="EH234" s="55">
        <f>SUMIFS(tblPlant[Power_kWh],tblPlant[Date],$A234)</f>
        <v/>
      </c>
      <c r="EI234" s="55">
        <f>IF($B234=$B233,$EI233,0)+$EH234</f>
        <v/>
      </c>
      <c r="EJ234" s="55">
        <f>$EJ233+$EH234</f>
        <v/>
      </c>
      <c r="EK234" s="55">
        <f>SUMIFS(tblPlant[Raw_Water_m3],tblPlant[Date],$A234)</f>
        <v/>
      </c>
      <c r="EL234" s="55">
        <f>IF($B234=$B233,$EL233,0)+$EK234</f>
        <v/>
      </c>
      <c r="EM234" s="55">
        <f>$EM233+$EK234</f>
        <v/>
      </c>
      <c r="EN234" s="56">
        <f>IFERROR(IF(($BZ234)&gt;0,($DY234)/($BZ234),""),"")</f>
        <v/>
      </c>
      <c r="EO234" s="56">
        <f>IFERROR(IF(($CA234)&gt;0,($DZ234)/($CA234),""),"")</f>
        <v/>
      </c>
      <c r="EP234" s="56">
        <f>IFERROR(IF(($CB234)&gt;0,($EA234)/($CB234),""),"")</f>
        <v/>
      </c>
      <c r="EQ234" s="56">
        <f>IFERROR(IF(($BZ234)&gt;0,($EB234)/($BZ234),""),"")</f>
        <v/>
      </c>
      <c r="ER234" s="56">
        <f>IFERROR(IF(($CA234)&gt;0,($EC234)/($CA234),""),"")</f>
        <v/>
      </c>
      <c r="ES234" s="56">
        <f>IFERROR(IF(($CB234)&gt;0,($ED234)/($CB234),""),"")</f>
        <v/>
      </c>
      <c r="ET234" s="56">
        <f>IFERROR(IF(($BZ234)&gt;0,($EE234)/($BZ234),""),"")</f>
        <v/>
      </c>
      <c r="EU234" s="56">
        <f>IFERROR(IF(($CA234)&gt;0,($EF234)/($CA234),""),"")</f>
        <v/>
      </c>
      <c r="EV234" s="56">
        <f>IFERROR(IF(($CB234)&gt;0,($EG234)/($CB234),""),"")</f>
        <v/>
      </c>
      <c r="EW234" s="76">
        <f>IFERROR(IF(($BZ234)&gt;0,($EH234)/($BZ234),""),"")</f>
        <v/>
      </c>
      <c r="EX234" s="76">
        <f>IFERROR(IF(($CA234)&gt;0,($EI234)/($CA234),""),"")</f>
        <v/>
      </c>
      <c r="EY234" s="76">
        <f>IFERROR(IF(($CB234)&gt;0,($EJ234)/($CB234),""),"")</f>
        <v/>
      </c>
      <c r="EZ234" s="56">
        <f>IFERROR(IF(($BZ234)&gt;0,($EK234)/($BZ234),""),"")</f>
        <v/>
      </c>
      <c r="FA234" s="56">
        <f>IFERROR(IF(($CA234)&gt;0,($EL234)/($CA234),""),"")</f>
        <v/>
      </c>
      <c r="FB234" s="56">
        <f>IFERROR(IF(($CB234)&gt;0,($EM234)/($CB234),""),"")</f>
        <v/>
      </c>
      <c r="FC234" s="55">
        <f>IF(SUMIFS(tblPlant[GIC_oz],tblPlant[Date],$A234)&gt;0,SUMIFS(tblPlant[GIC_oz],tblPlant[Date],$A234),"")</f>
        <v/>
      </c>
      <c r="FD234" s="55">
        <f>SUMIFS(tblGold[Gold_oz],tblGold[Date],$A234,tblGold[Type],"Shipment")</f>
        <v/>
      </c>
      <c r="FE234" s="55">
        <f>IF($B234=$B233,$FE233,0)+$FD234</f>
        <v/>
      </c>
      <c r="FF234" s="55">
        <f>$FF233+$FD234</f>
        <v/>
      </c>
      <c r="FG234" s="55">
        <f>SUMIFS(tblGold[Gold_oz],tblGold[Date],$A234,tblGold[Type],"Sale")</f>
        <v/>
      </c>
      <c r="FH234" s="55">
        <f>IF($B234=$B233,$FH233,0)+$FG234</f>
        <v/>
      </c>
      <c r="FI234" s="55">
        <f>$FI233+$FG234</f>
        <v/>
      </c>
      <c r="FJ234" s="55">
        <f>SUMIFS(tblGold[Dore_kg],tblGold[Date],$A234,tblGold[Type],"Shipment")</f>
        <v/>
      </c>
      <c r="FK234" s="55">
        <f>IF($B234=$B233,$FK233,0)+$FJ234</f>
        <v/>
      </c>
      <c r="FL234" s="55">
        <f>$FL233+$FJ234</f>
        <v/>
      </c>
      <c r="FM234" s="57">
        <f>SUMIFS(tblSafety[Hours_Total],tblSafety[Date],$A234)</f>
        <v/>
      </c>
      <c r="FN234" s="57">
        <f>IF($B234=$B233,$FN233,0)+$FM234</f>
        <v/>
      </c>
      <c r="FO234" s="57">
        <f>$FO233+$FM234</f>
        <v/>
      </c>
      <c r="FP234" s="62">
        <f>SUMIFS(tblSafety[Fatality],tblSafety[Date],$A234)</f>
        <v/>
      </c>
      <c r="FQ234" s="62">
        <f>IF($B234=$B233,$FQ233,0)+$FP234</f>
        <v/>
      </c>
      <c r="FR234" s="62">
        <f>$FR233+$FP234</f>
        <v/>
      </c>
      <c r="FS234" s="62">
        <f>SUMIFS(tblSafety[LTI],tblSafety[Date],$A234)</f>
        <v/>
      </c>
      <c r="FT234" s="62">
        <f>IF($B234=$B233,$FT233,0)+$FS234</f>
        <v/>
      </c>
      <c r="FU234" s="62">
        <f>$FU233+$FS234</f>
        <v/>
      </c>
      <c r="FV234" s="62">
        <f>SUMIFS(tblSafety[RWI],tblSafety[Date],$A234)</f>
        <v/>
      </c>
      <c r="FW234" s="62">
        <f>IF($B234=$B233,$FW233,0)+$FV234</f>
        <v/>
      </c>
      <c r="FX234" s="62">
        <f>$FX233+$FV234</f>
        <v/>
      </c>
      <c r="FY234" s="62">
        <f>SUMIFS(tblSafety[MTI],tblSafety[Date],$A234)</f>
        <v/>
      </c>
      <c r="FZ234" s="62">
        <f>IF($B234=$B233,$FZ233,0)+$FY234</f>
        <v/>
      </c>
      <c r="GA234" s="62">
        <f>$GA233+$FY234</f>
        <v/>
      </c>
      <c r="GB234" s="62">
        <f>SUMIFS(tblSafety[FAI],tblSafety[Date],$A234)</f>
        <v/>
      </c>
      <c r="GC234" s="62">
        <f>IF($B234=$B233,$GC233,0)+$GB234</f>
        <v/>
      </c>
      <c r="GD234" s="62">
        <f>$GD233+$GB234</f>
        <v/>
      </c>
      <c r="GE234" s="62">
        <f>SUMIFS(tblSafety[Recordables],tblSafety[Date],$A234)</f>
        <v/>
      </c>
      <c r="GF234" s="62">
        <f>IF($B234=$B233,$GF233,0)+$GE234</f>
        <v/>
      </c>
      <c r="GG234" s="62">
        <f>$GG233+$GE234</f>
        <v/>
      </c>
      <c r="GH234" s="62">
        <f>SUMIFS(tblSafety[Near_Miss],tblSafety[Date],$A234)</f>
        <v/>
      </c>
      <c r="GI234" s="62">
        <f>IF($B234=$B233,$GI233,0)+$GH234</f>
        <v/>
      </c>
      <c r="GJ234" s="62">
        <f>$GJ233+$GH234</f>
        <v/>
      </c>
      <c r="GK234" s="62">
        <f>SUMIFS(tblSafety[Hazard_Reports],tblSafety[Date],$A234)</f>
        <v/>
      </c>
      <c r="GL234" s="62">
        <f>IF($B234=$B233,$GL233,0)+$GK234</f>
        <v/>
      </c>
      <c r="GM234" s="62">
        <f>$GM233+$GK234</f>
        <v/>
      </c>
      <c r="GN234" s="62">
        <f>SUMIFS(tblSafety[HPI],tblSafety[Date],$A234)</f>
        <v/>
      </c>
      <c r="GO234" s="62">
        <f>IF($B234=$B233,$GO233,0)+$GN234</f>
        <v/>
      </c>
      <c r="GP234" s="62">
        <f>$GP233+$GN234</f>
        <v/>
      </c>
      <c r="GQ234" s="62">
        <f>SUMIFS(tblSafety[Env_Incidents],tblSafety[Date],$A234)</f>
        <v/>
      </c>
      <c r="GR234" s="62">
        <f>IF($B234=$B233,$GR233,0)+$GQ234</f>
        <v/>
      </c>
      <c r="GS234" s="62">
        <f>$GS233+$GQ234</f>
        <v/>
      </c>
      <c r="GT234" s="62">
        <f>SUMIFS(tblSafety[Community_Incidents],tblSafety[Date],$A234)</f>
        <v/>
      </c>
      <c r="GU234" s="62">
        <f>IF($B234=$B233,$GU233,0)+$GT234</f>
        <v/>
      </c>
      <c r="GV234" s="62">
        <f>$GV233+$GT234</f>
        <v/>
      </c>
      <c r="GW234" s="62">
        <f>SUMIFS(tblSafety[Vehicle_Incidents],tblSafety[Date],$A234)</f>
        <v/>
      </c>
      <c r="GX234" s="62">
        <f>IF($B234=$B233,$GX233,0)+$GW234</f>
        <v/>
      </c>
      <c r="GY234" s="62">
        <f>$GY233+$GW234</f>
        <v/>
      </c>
      <c r="GZ234" s="62">
        <f>SUMIFS(tblSafety[Toolbox_Talks],tblSafety[Date],$A234)</f>
        <v/>
      </c>
      <c r="HA234" s="62">
        <f>IF($B234=$B233,$HA233,0)+$GZ234</f>
        <v/>
      </c>
      <c r="HB234" s="62">
        <f>$HB233+$GZ234</f>
        <v/>
      </c>
      <c r="HC234" s="62">
        <f>SUMIFS(tblSafety[Inspections],tblSafety[Date],$A234)</f>
        <v/>
      </c>
      <c r="HD234" s="62">
        <f>IF($B234=$B233,$HD233,0)+$HC234</f>
        <v/>
      </c>
      <c r="HE234" s="62">
        <f>$HE233+$HC234</f>
        <v/>
      </c>
      <c r="HF234" s="56">
        <f>IFERROR((SUMIFS(tblSafety[Recordables],tblSafety[Date],"&gt;="&amp;EDATE($E234,-12),tblSafety[Date],"&lt;="&amp;$A234)+SUMIFS(tblSafetyHistory[Recordables],tblSafetyHistory[Month],"&gt;="&amp;EDATE($E234,-12),tblSafetyHistory[Month],"&lt;"&amp;cfg_YearStart))/(SUMIFS(tblSafety[Hours_Total],tblSafety[Date],"&gt;="&amp;EDATE($E234,-12),tblSafety[Date],"&lt;="&amp;$A234)+SUMIFS(tblSafetyHistory[Hours_Total],tblSafetyHistory[Month],"&gt;="&amp;EDATE($E234,-12),tblSafetyHistory[Month],"&lt;"&amp;cfg_YearStart))*1000000,"")</f>
        <v/>
      </c>
      <c r="HG234" s="56">
        <f>IFERROR((SUMIFS(tblSafety[LTI],tblSafety[Date],"&gt;="&amp;EDATE($E234,-12),tblSafety[Date],"&lt;="&amp;$A234)+SUMIFS(tblSafetyHistory[LTI],tblSafetyHistory[Month],"&gt;="&amp;EDATE($E234,-12),tblSafetyHistory[Month],"&lt;"&amp;cfg_YearStart))/(SUMIFS(tblSafety[Hours_Total],tblSafety[Date],"&gt;="&amp;EDATE($E234,-12),tblSafety[Date],"&lt;="&amp;$A234)+SUMIFS(tblSafetyHistory[Hours_Total],tblSafetyHistory[Month],"&gt;="&amp;EDATE($E234,-12),tblSafetyHistory[Month],"&lt;"&amp;cfg_YearStart))*1000000,"")</f>
        <v/>
      </c>
      <c r="HH234" s="62">
        <f>IF(MAX(N(cfg_PriorLTIDate),_xlfn.MAXIFS(tblSafety[Date],tblSafety[LTI],"&gt;0",tblSafety[Date],"&lt;="&amp;$A234))=0,"",$A234-MAX(N(cfg_PriorLTIDate),_xlfn.MAXIFS(tblSafety[Date],tblSafety[LTI],"&gt;0",tblSafety[Date],"&lt;="&amp;$A234)))</f>
        <v/>
      </c>
      <c r="HI234" s="55">
        <f>SUMIFS(tblBudget[Ore_Mined_t],tblBudget[Month],$E234)</f>
        <v/>
      </c>
      <c r="HJ234" s="55">
        <f>$HI234*$C234/$D234</f>
        <v/>
      </c>
      <c r="HK234" s="55">
        <f>SUMIFS(tblBudget[Ore_Mined_t],tblBudget[Month],"&lt;"&amp;$E234)+$HJ234</f>
        <v/>
      </c>
      <c r="HL234" s="55">
        <f>SUMIFS(tblBudget[Ore_oz],tblBudget[Month],$E234)</f>
        <v/>
      </c>
      <c r="HM234" s="55">
        <f>$HL234*$C234/$D234</f>
        <v/>
      </c>
      <c r="HN234" s="55">
        <f>SUMIFS(tblBudget[Ore_oz],tblBudget[Month],"&lt;"&amp;$E234)+$HM234</f>
        <v/>
      </c>
      <c r="HO234" s="56">
        <f>IFERROR(IF(($HI234)&gt;0,($HL234*cfg_TroyOz)/($HI234),""),"")</f>
        <v/>
      </c>
      <c r="HP234" s="56">
        <f>IFERROR(IF(($HJ234)&gt;0,($HM234*cfg_TroyOz)/($HJ234),""),"")</f>
        <v/>
      </c>
      <c r="HQ234" s="56">
        <f>IFERROR(IF(($HK234)&gt;0,($HN234*cfg_TroyOz)/($HK234),""),"")</f>
        <v/>
      </c>
      <c r="HR234" s="55">
        <f>SUMIFS(tblBudget[Waste_t],tblBudget[Month],$E234)</f>
        <v/>
      </c>
      <c r="HS234" s="55">
        <f>$HR234*$C234/$D234</f>
        <v/>
      </c>
      <c r="HT234" s="55">
        <f>SUMIFS(tblBudget[Waste_t],tblBudget[Month],"&lt;"&amp;$E234)+$HS234</f>
        <v/>
      </c>
      <c r="HU234" s="55">
        <f>SUMIFS(tblBudget[TMM_t],tblBudget[Month],$E234)</f>
        <v/>
      </c>
      <c r="HV234" s="55">
        <f>$HU234*$C234/$D234</f>
        <v/>
      </c>
      <c r="HW234" s="55">
        <f>SUMIFS(tblBudget[TMM_t],tblBudget[Month],"&lt;"&amp;$E234)+$HV234</f>
        <v/>
      </c>
      <c r="HX234" s="56">
        <f>IFERROR(IF(($HI234)&gt;0,($HR234)/($HI234),""),"")</f>
        <v/>
      </c>
      <c r="HY234" s="56">
        <f>IFERROR(IF(($HJ234)&gt;0,($HS234)/($HJ234),""),"")</f>
        <v/>
      </c>
      <c r="HZ234" s="56">
        <f>IFERROR(IF(($HK234)&gt;0,($HT234)/($HK234),""),"")</f>
        <v/>
      </c>
      <c r="IA234" s="55">
        <f>SUMIFS(tblBudget[Drill_m],tblBudget[Month],$E234)</f>
        <v/>
      </c>
      <c r="IB234" s="55">
        <f>$IA234*$C234/$D234</f>
        <v/>
      </c>
      <c r="IC234" s="55">
        <f>SUMIFS(tblBudget[Drill_m],tblBudget[Month],"&lt;"&amp;$E234)+$IB234</f>
        <v/>
      </c>
      <c r="ID234" s="55">
        <f>SUMIFS(tblBudget[Diesel_L],tblBudget[Month],$E234)</f>
        <v/>
      </c>
      <c r="IE234" s="55">
        <f>$ID234*$C234/$D234</f>
        <v/>
      </c>
      <c r="IF234" s="55">
        <f>SUMIFS(tblBudget[Diesel_L],tblBudget[Month],"&lt;"&amp;$E234)+$IE234</f>
        <v/>
      </c>
      <c r="IG234" s="55">
        <f>SUMIFS(tblBudget[Milled_t],tblBudget[Month],$E234)</f>
        <v/>
      </c>
      <c r="IH234" s="55">
        <f>$IG234*$C234/$D234</f>
        <v/>
      </c>
      <c r="II234" s="55">
        <f>SUMIFS(tblBudget[Milled_t],tblBudget[Month],"&lt;"&amp;$E234)+$IH234</f>
        <v/>
      </c>
      <c r="IJ234" s="55">
        <f>SUMIFS(tblBudget[Feed_oz],tblBudget[Month],$E234)</f>
        <v/>
      </c>
      <c r="IK234" s="55">
        <f>$IJ234*$C234/$D234</f>
        <v/>
      </c>
      <c r="IL234" s="55">
        <f>SUMIFS(tblBudget[Feed_oz],tblBudget[Month],"&lt;"&amp;$E234)+$IK234</f>
        <v/>
      </c>
      <c r="IM234" s="55">
        <f>SUMIFS(tblBudget[Recovered_oz],tblBudget[Month],$E234)</f>
        <v/>
      </c>
      <c r="IN234" s="55">
        <f>$IM234*$C234/$D234</f>
        <v/>
      </c>
      <c r="IO234" s="55">
        <f>SUMIFS(tblBudget[Recovered_oz],tblBudget[Month],"&lt;"&amp;$E234)+$IN234</f>
        <v/>
      </c>
      <c r="IP234" s="56">
        <f>IFERROR(IF(($IG234)&gt;0,($IJ234*cfg_TroyOz)/($IG234),""),"")</f>
        <v/>
      </c>
      <c r="IQ234" s="56">
        <f>IFERROR(IF(($IH234)&gt;0,($IK234*cfg_TroyOz)/($IH234),""),"")</f>
        <v/>
      </c>
      <c r="IR234" s="56">
        <f>IFERROR(IF(($II234)&gt;0,($IL234*cfg_TroyOz)/($II234),""),"")</f>
        <v/>
      </c>
      <c r="IS234" s="67">
        <f>IFERROR(IF(($IJ234)&gt;0,($IM234)/($IJ234),""),"")</f>
        <v/>
      </c>
      <c r="IT234" s="67">
        <f>IFERROR(IF(($IK234)&gt;0,($IN234)/($IK234),""),"")</f>
        <v/>
      </c>
      <c r="IU234" s="67">
        <f>IFERROR(IF(($IL234)&gt;0,($IO234)/($IL234),""),"")</f>
        <v/>
      </c>
      <c r="IV234" s="55">
        <f>SUMIFS(tblBudget[Gold_Poured_oz],tblBudget[Month],$E234)</f>
        <v/>
      </c>
      <c r="IW234" s="55">
        <f>$IV234*$C234/$D234</f>
        <v/>
      </c>
      <c r="IX234" s="55">
        <f>SUMIFS(tblBudget[Gold_Poured_oz],tblBudget[Month],"&lt;"&amp;$E234)+$IW234</f>
        <v/>
      </c>
      <c r="IY234" s="57">
        <f>SUMIFS(tblBudget[Hours_Worked],tblBudget[Month],$E234)</f>
        <v/>
      </c>
      <c r="IZ234" s="57">
        <f>$IY234*$C234/$D234</f>
        <v/>
      </c>
      <c r="JA234" s="57">
        <f>SUMIFS(tblBudget[Hours_Worked],tblBudget[Month],"&lt;"&amp;$E234)+$IZ234</f>
        <v/>
      </c>
    </row>
    <row r="235">
      <c r="A235" s="54" t="n">
        <v>46256</v>
      </c>
      <c r="B235">
        <f>MONTH($A235)</f>
        <v/>
      </c>
      <c r="C235">
        <f>DAY($A235)</f>
        <v/>
      </c>
      <c r="D235">
        <f>DAY(EOMONTH($A235,0))</f>
        <v/>
      </c>
      <c r="E235" s="54">
        <f>DATE(YEAR($A235),MONTH($A235),1)</f>
        <v/>
      </c>
      <c r="F235" s="55">
        <f>SUMIFS(tblMovement[Tonnes_t],tblMovement[Date],$A235,tblMovement[Is_Ore],1,tblMovement[Source_Type],"Pit")</f>
        <v/>
      </c>
      <c r="G235" s="55">
        <f>IF($B235=$B234,$G234,0)+$F235</f>
        <v/>
      </c>
      <c r="H235" s="55">
        <f>$H234+$F235</f>
        <v/>
      </c>
      <c r="I235" s="55">
        <f>SUMIFS(tblMovement[Ore_oz],tblMovement[Date],$A235,tblMovement[Source_Type],"Pit")</f>
        <v/>
      </c>
      <c r="J235" s="55">
        <f>IF($B235=$B234,$J234,0)+$I235</f>
        <v/>
      </c>
      <c r="K235" s="55">
        <f>$K234+$I235</f>
        <v/>
      </c>
      <c r="L235" s="56">
        <f>IFERROR(IF(($F235)&gt;0,($I235*cfg_TroyOz)/($F235),""),"")</f>
        <v/>
      </c>
      <c r="M235" s="56">
        <f>IFERROR(IF(($G235)&gt;0,($J235*cfg_TroyOz)/($G235),""),"")</f>
        <v/>
      </c>
      <c r="N235" s="56">
        <f>IFERROR(IF(($H235)&gt;0,($K235*cfg_TroyOz)/($H235),""),"")</f>
        <v/>
      </c>
      <c r="O235" s="55">
        <f>SUMIFS(tblMovement[Tonnes_t],tblMovement[Date],$A235,tblMovement[Is_Ore],0,tblMovement[Source_Type],"Pit")</f>
        <v/>
      </c>
      <c r="P235" s="55">
        <f>IF($B235=$B234,$P234,0)+$O235</f>
        <v/>
      </c>
      <c r="Q235" s="55">
        <f>$Q234+$O235</f>
        <v/>
      </c>
      <c r="R235" s="55">
        <f>$F235+$O235</f>
        <v/>
      </c>
      <c r="S235" s="55">
        <f>IF($B235=$B234,$S234,0)+$R235</f>
        <v/>
      </c>
      <c r="T235" s="55">
        <f>$T234+$R235</f>
        <v/>
      </c>
      <c r="U235" s="56">
        <f>IFERROR(IF(($F235)&gt;0,($O235)/($F235),""),"")</f>
        <v/>
      </c>
      <c r="V235" s="56">
        <f>IFERROR(IF(($G235)&gt;0,($P235)/($G235),""),"")</f>
        <v/>
      </c>
      <c r="W235" s="56">
        <f>IFERROR(IF(($H235)&gt;0,($Q235)/($H235),""),"")</f>
        <v/>
      </c>
      <c r="X235" s="55">
        <f>SUMIFS(tblMovement[Tonnes_t],tblMovement[Date],$A235,tblMovement[Source_Type],"Stockpile")</f>
        <v/>
      </c>
      <c r="Y235" s="55">
        <f>IF($B235=$B234,$Y234,0)+$X235</f>
        <v/>
      </c>
      <c r="Z235" s="55">
        <f>$Z234+$X235</f>
        <v/>
      </c>
      <c r="AA235" s="55">
        <f>SUMIFS(tblMiningDaily[Drill_m],tblMiningDaily[Date],$A235)</f>
        <v/>
      </c>
      <c r="AB235" s="55">
        <f>IF($B235=$B234,$AB234,0)+$AA235</f>
        <v/>
      </c>
      <c r="AC235" s="55">
        <f>$AC234+$AA235</f>
        <v/>
      </c>
      <c r="AD235" s="55">
        <f>SUMIFS(tblMiningDaily[Blast_t],tblMiningDaily[Date],$A235)</f>
        <v/>
      </c>
      <c r="AE235" s="55">
        <f>IF($B235=$B234,$AE234,0)+$AD235</f>
        <v/>
      </c>
      <c r="AF235" s="55">
        <f>$AF234+$AD235</f>
        <v/>
      </c>
      <c r="AG235" s="55">
        <f>SUMIFS(tblMiningDaily[Explosives_kg],tblMiningDaily[Date],$A235)</f>
        <v/>
      </c>
      <c r="AH235" s="55">
        <f>IF($B235=$B234,$AH234,0)+$AG235</f>
        <v/>
      </c>
      <c r="AI235" s="55">
        <f>$AI234+$AG235</f>
        <v/>
      </c>
      <c r="AJ235" s="56">
        <f>IFERROR(IF(($AD235)&gt;0,($AG235)/($AD235),""),"")</f>
        <v/>
      </c>
      <c r="AK235" s="56">
        <f>IFERROR(IF(($AE235)&gt;0,($AH235)/($AE235),""),"")</f>
        <v/>
      </c>
      <c r="AL235" s="56">
        <f>IFERROR(IF(($AF235)&gt;0,($AI235)/($AF235),""),"")</f>
        <v/>
      </c>
      <c r="AM235" s="55">
        <f>SUMIFS(tblMiningDaily[Diesel_L],tblMiningDaily[Date],$A235)</f>
        <v/>
      </c>
      <c r="AN235" s="55">
        <f>IF($B235=$B234,$AN234,0)+$AM235</f>
        <v/>
      </c>
      <c r="AO235" s="55">
        <f>$AO234+$AM235</f>
        <v/>
      </c>
      <c r="AP235" s="55">
        <f>SUMIFS(tblMiningDaily[Dewatering_m3],tblMiningDaily[Date],$A235)</f>
        <v/>
      </c>
      <c r="AQ235" s="55">
        <f>IF($B235=$B234,$AQ234,0)+$AP235</f>
        <v/>
      </c>
      <c r="AR235" s="55">
        <f>$AR234+$AP235</f>
        <v/>
      </c>
      <c r="AS235" s="57">
        <f>SUMIFS(tblFleet[Calendar_h],tblFleet[Date],$A235,tblFleet[Equipment_Class],"Excavator")</f>
        <v/>
      </c>
      <c r="AT235" s="57">
        <f>IF($B235=$B234,$AT234,0)+$AS235</f>
        <v/>
      </c>
      <c r="AU235" s="57">
        <f>$AU234+$AS235</f>
        <v/>
      </c>
      <c r="AV235" s="57">
        <f>SUMIFS(tblFleet[Available_h],tblFleet[Date],$A235,tblFleet[Equipment_Class],"Excavator")</f>
        <v/>
      </c>
      <c r="AW235" s="57">
        <f>IF($B235=$B234,$AW234,0)+$AV235</f>
        <v/>
      </c>
      <c r="AX235" s="57">
        <f>$AX234+$AV235</f>
        <v/>
      </c>
      <c r="AY235" s="57">
        <f>SUMIFS(tblFleet[Operating_h],tblFleet[Date],$A235,tblFleet[Equipment_Class],"Excavator")</f>
        <v/>
      </c>
      <c r="AZ235" s="57">
        <f>IF($B235=$B234,$AZ234,0)+$AY235</f>
        <v/>
      </c>
      <c r="BA235" s="57">
        <f>$BA234+$AY235</f>
        <v/>
      </c>
      <c r="BB235" s="67">
        <f>IFERROR(IF(($AS235)&gt;0,($AV235)/($AS235),""),"")</f>
        <v/>
      </c>
      <c r="BC235" s="67">
        <f>IFERROR(IF(($AT235)&gt;0,($AW235)/($AT235),""),"")</f>
        <v/>
      </c>
      <c r="BD235" s="67">
        <f>IFERROR(IF(($AU235)&gt;0,($AX235)/($AU235),""),"")</f>
        <v/>
      </c>
      <c r="BE235" s="67">
        <f>IFERROR(IF(($AV235)&gt;0,($AY235)/($AV235),""),"")</f>
        <v/>
      </c>
      <c r="BF235" s="67">
        <f>IFERROR(IF(($AW235)&gt;0,($AZ235)/($AW235),""),"")</f>
        <v/>
      </c>
      <c r="BG235" s="67">
        <f>IFERROR(IF(($AX235)&gt;0,($BA235)/($AX235),""),"")</f>
        <v/>
      </c>
      <c r="BH235" s="57">
        <f>SUMIFS(tblFleet[Calendar_h],tblFleet[Date],$A235,tblFleet[Equipment_Class],"Haul Truck")</f>
        <v/>
      </c>
      <c r="BI235" s="57">
        <f>IF($B235=$B234,$BI234,0)+$BH235</f>
        <v/>
      </c>
      <c r="BJ235" s="57">
        <f>$BJ234+$BH235</f>
        <v/>
      </c>
      <c r="BK235" s="57">
        <f>SUMIFS(tblFleet[Available_h],tblFleet[Date],$A235,tblFleet[Equipment_Class],"Haul Truck")</f>
        <v/>
      </c>
      <c r="BL235" s="57">
        <f>IF($B235=$B234,$BL234,0)+$BK235</f>
        <v/>
      </c>
      <c r="BM235" s="57">
        <f>$BM234+$BK235</f>
        <v/>
      </c>
      <c r="BN235" s="57">
        <f>SUMIFS(tblFleet[Operating_h],tblFleet[Date],$A235,tblFleet[Equipment_Class],"Haul Truck")</f>
        <v/>
      </c>
      <c r="BO235" s="57">
        <f>IF($B235=$B234,$BO234,0)+$BN235</f>
        <v/>
      </c>
      <c r="BP235" s="57">
        <f>$BP234+$BN235</f>
        <v/>
      </c>
      <c r="BQ235" s="67">
        <f>IFERROR(IF(($BH235)&gt;0,($BK235)/($BH235),""),"")</f>
        <v/>
      </c>
      <c r="BR235" s="67">
        <f>IFERROR(IF(($BI235)&gt;0,($BL235)/($BI235),""),"")</f>
        <v/>
      </c>
      <c r="BS235" s="67">
        <f>IFERROR(IF(($BJ235)&gt;0,($BM235)/($BJ235),""),"")</f>
        <v/>
      </c>
      <c r="BT235" s="67">
        <f>IFERROR(IF(($BK235)&gt;0,($BN235)/($BK235),""),"")</f>
        <v/>
      </c>
      <c r="BU235" s="67">
        <f>IFERROR(IF(($BL235)&gt;0,($BO235)/($BL235),""),"")</f>
        <v/>
      </c>
      <c r="BV235" s="67">
        <f>IFERROR(IF(($BM235)&gt;0,($BP235)/($BM235),""),"")</f>
        <v/>
      </c>
      <c r="BW235" s="55">
        <f>SUMIFS(tblPlant[Crushed_t],tblPlant[Date],$A235)</f>
        <v/>
      </c>
      <c r="BX235" s="55">
        <f>IF($B235=$B234,$BX234,0)+$BW235</f>
        <v/>
      </c>
      <c r="BY235" s="55">
        <f>$BY234+$BW235</f>
        <v/>
      </c>
      <c r="BZ235" s="55">
        <f>SUMIFS(tblPlant[Milled_t],tblPlant[Date],$A235)</f>
        <v/>
      </c>
      <c r="CA235" s="55">
        <f>IF($B235=$B234,$CA234,0)+$BZ235</f>
        <v/>
      </c>
      <c r="CB235" s="55">
        <f>$CB234+$BZ235</f>
        <v/>
      </c>
      <c r="CC235" s="55">
        <f>SUMIFS(tblPlant[Feed_oz],tblPlant[Date],$A235)</f>
        <v/>
      </c>
      <c r="CD235" s="55">
        <f>IF($B235=$B234,$CD234,0)+$CC235</f>
        <v/>
      </c>
      <c r="CE235" s="55">
        <f>$CE234+$CC235</f>
        <v/>
      </c>
      <c r="CF235" s="55">
        <f>SUMIFS(tblPlant[Tails_oz],tblPlant[Date],$A235)</f>
        <v/>
      </c>
      <c r="CG235" s="55">
        <f>IF($B235=$B234,$CG234,0)+$CF235</f>
        <v/>
      </c>
      <c r="CH235" s="55">
        <f>$CH234+$CF235</f>
        <v/>
      </c>
      <c r="CI235" s="55">
        <f>SUMIFS(tblPlant[Recovered_oz],tblPlant[Date],$A235)</f>
        <v/>
      </c>
      <c r="CJ235" s="55">
        <f>IF($B235=$B234,$CJ234,0)+$CI235</f>
        <v/>
      </c>
      <c r="CK235" s="55">
        <f>$CK234+$CI235</f>
        <v/>
      </c>
      <c r="CL235" s="56">
        <f>IFERROR(IF(($BZ235)&gt;0,($CC235*cfg_TroyOz)/($BZ235),""),"")</f>
        <v/>
      </c>
      <c r="CM235" s="56">
        <f>IFERROR(IF(($CA235)&gt;0,($CD235*cfg_TroyOz)/($CA235),""),"")</f>
        <v/>
      </c>
      <c r="CN235" s="56">
        <f>IFERROR(IF(($CB235)&gt;0,($CE235*cfg_TroyOz)/($CB235),""),"")</f>
        <v/>
      </c>
      <c r="CO235" s="56">
        <f>IFERROR(IF(($BZ235)&gt;0,($CF235*cfg_TroyOz)/($BZ235),""),"")</f>
        <v/>
      </c>
      <c r="CP235" s="56">
        <f>IFERROR(IF(($CA235)&gt;0,($CG235*cfg_TroyOz)/($CA235),""),"")</f>
        <v/>
      </c>
      <c r="CQ235" s="56">
        <f>IFERROR(IF(($CB235)&gt;0,($CH235*cfg_TroyOz)/($CB235),""),"")</f>
        <v/>
      </c>
      <c r="CR235" s="67">
        <f>IFERROR(IF(($CC235)&gt;0,($CI235)/($CC235),""),"")</f>
        <v/>
      </c>
      <c r="CS235" s="67">
        <f>IFERROR(IF(($CD235)&gt;0,($CJ235)/($CD235),""),"")</f>
        <v/>
      </c>
      <c r="CT235" s="67">
        <f>IFERROR(IF(($CE235)&gt;0,($CK235)/($CE235),""),"")</f>
        <v/>
      </c>
      <c r="CU235" s="55">
        <f>SUMIFS(tblPlant[Gravity_Gold_oz],tblPlant[Date],$A235)</f>
        <v/>
      </c>
      <c r="CV235" s="55">
        <f>IF($B235=$B234,$CV234,0)+$CU235</f>
        <v/>
      </c>
      <c r="CW235" s="55">
        <f>$CW234+$CU235</f>
        <v/>
      </c>
      <c r="CX235" s="55">
        <f>SUMIFS(tblPlant[Gold_Poured_oz],tblPlant[Date],$A235)</f>
        <v/>
      </c>
      <c r="CY235" s="55">
        <f>IF($B235=$B234,$CY234,0)+$CX235</f>
        <v/>
      </c>
      <c r="CZ235" s="55">
        <f>$CZ234+$CX235</f>
        <v/>
      </c>
      <c r="DA235" s="57">
        <f>SUMIFS(tblPlant[Mill_Run_h],tblPlant[Date],$A235)</f>
        <v/>
      </c>
      <c r="DB235" s="57">
        <f>IF($B235=$B234,$DB234,0)+$DA235</f>
        <v/>
      </c>
      <c r="DC235" s="57">
        <f>$DC234+$DA235</f>
        <v/>
      </c>
      <c r="DD235" s="57">
        <f>SUMIFS(tblPlant[Mill_Planned_Maint_h],tblPlant[Date],$A235)</f>
        <v/>
      </c>
      <c r="DE235" s="57">
        <f>IF($B235=$B234,$DE234,0)+$DD235</f>
        <v/>
      </c>
      <c r="DF235" s="57">
        <f>$DF234+$DD235</f>
        <v/>
      </c>
      <c r="DG235" s="57">
        <f>SUMIFS(tblPlant[Mill_Unplanned_Down_h],tblPlant[Date],$A235)</f>
        <v/>
      </c>
      <c r="DH235" s="57">
        <f>IF($B235=$B234,$DH234,0)+$DG235</f>
        <v/>
      </c>
      <c r="DI235" s="57">
        <f>$DI234+$DG235</f>
        <v/>
      </c>
      <c r="DJ235" s="57">
        <f>COUNTIFS(tblPlant[Date],$A235,tblPlant[Mill_Run_h],"&lt;&gt;")*24</f>
        <v/>
      </c>
      <c r="DK235" s="57">
        <f>IF($B235=$B234,$DK234,0)+$DJ235</f>
        <v/>
      </c>
      <c r="DL235" s="57">
        <f>$DL234+$DJ235</f>
        <v/>
      </c>
      <c r="DM235" s="57">
        <f>SUMIFS(tblPlant[Crusher_Run_h],tblPlant[Date],$A235)</f>
        <v/>
      </c>
      <c r="DN235" s="57">
        <f>IF($B235=$B234,$DN234,0)+$DM235</f>
        <v/>
      </c>
      <c r="DO235" s="57">
        <f>$DO234+$DM235</f>
        <v/>
      </c>
      <c r="DP235" s="55">
        <f>IFERROR(IF(($DA235)&gt;0,($BZ235)/($DA235),""),"")</f>
        <v/>
      </c>
      <c r="DQ235" s="55">
        <f>IFERROR(IF(($DB235)&gt;0,($CA235)/($DB235),""),"")</f>
        <v/>
      </c>
      <c r="DR235" s="55">
        <f>IFERROR(IF(($DC235)&gt;0,($CB235)/($DC235),""),"")</f>
        <v/>
      </c>
      <c r="DS235" s="67">
        <f>IFERROR(IF(($DJ235)&gt;0,($DJ235-$DD235-$DG235)/($DJ235),""),"")</f>
        <v/>
      </c>
      <c r="DT235" s="67">
        <f>IFERROR(IF(($DK235)&gt;0,($DK235-$DE235-$DH235)/($DK235),""),"")</f>
        <v/>
      </c>
      <c r="DU235" s="67">
        <f>IFERROR(IF(($DL235)&gt;0,($DL235-$DF235-$DI235)/($DL235),""),"")</f>
        <v/>
      </c>
      <c r="DV235" s="67">
        <f>IFERROR(IF(($DJ235-$DD235-$DG235)&gt;0,($DA235)/($DJ235-$DD235-$DG235),""),"")</f>
        <v/>
      </c>
      <c r="DW235" s="67">
        <f>IFERROR(IF(($DK235-$DE235-$DH235)&gt;0,($DB235)/($DK235-$DE235-$DH235),""),"")</f>
        <v/>
      </c>
      <c r="DX235" s="67">
        <f>IFERROR(IF(($DL235-$DF235-$DI235)&gt;0,($DC235)/($DL235-$DF235-$DI235),""),"")</f>
        <v/>
      </c>
      <c r="DY235" s="55">
        <f>SUMIFS(tblPlant[Cyanide_kg],tblPlant[Date],$A235)</f>
        <v/>
      </c>
      <c r="DZ235" s="55">
        <f>IF($B235=$B234,$DZ234,0)+$DY235</f>
        <v/>
      </c>
      <c r="EA235" s="55">
        <f>$EA234+$DY235</f>
        <v/>
      </c>
      <c r="EB235" s="55">
        <f>SUMIFS(tblPlant[Lime_kg],tblPlant[Date],$A235)</f>
        <v/>
      </c>
      <c r="EC235" s="55">
        <f>IF($B235=$B234,$EC234,0)+$EB235</f>
        <v/>
      </c>
      <c r="ED235" s="55">
        <f>$ED234+$EB235</f>
        <v/>
      </c>
      <c r="EE235" s="55">
        <f>SUMIFS(tblPlant[Grinding_Media_kg],tblPlant[Date],$A235)</f>
        <v/>
      </c>
      <c r="EF235" s="55">
        <f>IF($B235=$B234,$EF234,0)+$EE235</f>
        <v/>
      </c>
      <c r="EG235" s="55">
        <f>$EG234+$EE235</f>
        <v/>
      </c>
      <c r="EH235" s="55">
        <f>SUMIFS(tblPlant[Power_kWh],tblPlant[Date],$A235)</f>
        <v/>
      </c>
      <c r="EI235" s="55">
        <f>IF($B235=$B234,$EI234,0)+$EH235</f>
        <v/>
      </c>
      <c r="EJ235" s="55">
        <f>$EJ234+$EH235</f>
        <v/>
      </c>
      <c r="EK235" s="55">
        <f>SUMIFS(tblPlant[Raw_Water_m3],tblPlant[Date],$A235)</f>
        <v/>
      </c>
      <c r="EL235" s="55">
        <f>IF($B235=$B234,$EL234,0)+$EK235</f>
        <v/>
      </c>
      <c r="EM235" s="55">
        <f>$EM234+$EK235</f>
        <v/>
      </c>
      <c r="EN235" s="56">
        <f>IFERROR(IF(($BZ235)&gt;0,($DY235)/($BZ235),""),"")</f>
        <v/>
      </c>
      <c r="EO235" s="56">
        <f>IFERROR(IF(($CA235)&gt;0,($DZ235)/($CA235),""),"")</f>
        <v/>
      </c>
      <c r="EP235" s="56">
        <f>IFERROR(IF(($CB235)&gt;0,($EA235)/($CB235),""),"")</f>
        <v/>
      </c>
      <c r="EQ235" s="56">
        <f>IFERROR(IF(($BZ235)&gt;0,($EB235)/($BZ235),""),"")</f>
        <v/>
      </c>
      <c r="ER235" s="56">
        <f>IFERROR(IF(($CA235)&gt;0,($EC235)/($CA235),""),"")</f>
        <v/>
      </c>
      <c r="ES235" s="56">
        <f>IFERROR(IF(($CB235)&gt;0,($ED235)/($CB235),""),"")</f>
        <v/>
      </c>
      <c r="ET235" s="56">
        <f>IFERROR(IF(($BZ235)&gt;0,($EE235)/($BZ235),""),"")</f>
        <v/>
      </c>
      <c r="EU235" s="56">
        <f>IFERROR(IF(($CA235)&gt;0,($EF235)/($CA235),""),"")</f>
        <v/>
      </c>
      <c r="EV235" s="56">
        <f>IFERROR(IF(($CB235)&gt;0,($EG235)/($CB235),""),"")</f>
        <v/>
      </c>
      <c r="EW235" s="76">
        <f>IFERROR(IF(($BZ235)&gt;0,($EH235)/($BZ235),""),"")</f>
        <v/>
      </c>
      <c r="EX235" s="76">
        <f>IFERROR(IF(($CA235)&gt;0,($EI235)/($CA235),""),"")</f>
        <v/>
      </c>
      <c r="EY235" s="76">
        <f>IFERROR(IF(($CB235)&gt;0,($EJ235)/($CB235),""),"")</f>
        <v/>
      </c>
      <c r="EZ235" s="56">
        <f>IFERROR(IF(($BZ235)&gt;0,($EK235)/($BZ235),""),"")</f>
        <v/>
      </c>
      <c r="FA235" s="56">
        <f>IFERROR(IF(($CA235)&gt;0,($EL235)/($CA235),""),"")</f>
        <v/>
      </c>
      <c r="FB235" s="56">
        <f>IFERROR(IF(($CB235)&gt;0,($EM235)/($CB235),""),"")</f>
        <v/>
      </c>
      <c r="FC235" s="55">
        <f>IF(SUMIFS(tblPlant[GIC_oz],tblPlant[Date],$A235)&gt;0,SUMIFS(tblPlant[GIC_oz],tblPlant[Date],$A235),"")</f>
        <v/>
      </c>
      <c r="FD235" s="55">
        <f>SUMIFS(tblGold[Gold_oz],tblGold[Date],$A235,tblGold[Type],"Shipment")</f>
        <v/>
      </c>
      <c r="FE235" s="55">
        <f>IF($B235=$B234,$FE234,0)+$FD235</f>
        <v/>
      </c>
      <c r="FF235" s="55">
        <f>$FF234+$FD235</f>
        <v/>
      </c>
      <c r="FG235" s="55">
        <f>SUMIFS(tblGold[Gold_oz],tblGold[Date],$A235,tblGold[Type],"Sale")</f>
        <v/>
      </c>
      <c r="FH235" s="55">
        <f>IF($B235=$B234,$FH234,0)+$FG235</f>
        <v/>
      </c>
      <c r="FI235" s="55">
        <f>$FI234+$FG235</f>
        <v/>
      </c>
      <c r="FJ235" s="55">
        <f>SUMIFS(tblGold[Dore_kg],tblGold[Date],$A235,tblGold[Type],"Shipment")</f>
        <v/>
      </c>
      <c r="FK235" s="55">
        <f>IF($B235=$B234,$FK234,0)+$FJ235</f>
        <v/>
      </c>
      <c r="FL235" s="55">
        <f>$FL234+$FJ235</f>
        <v/>
      </c>
      <c r="FM235" s="57">
        <f>SUMIFS(tblSafety[Hours_Total],tblSafety[Date],$A235)</f>
        <v/>
      </c>
      <c r="FN235" s="57">
        <f>IF($B235=$B234,$FN234,0)+$FM235</f>
        <v/>
      </c>
      <c r="FO235" s="57">
        <f>$FO234+$FM235</f>
        <v/>
      </c>
      <c r="FP235" s="62">
        <f>SUMIFS(tblSafety[Fatality],tblSafety[Date],$A235)</f>
        <v/>
      </c>
      <c r="FQ235" s="62">
        <f>IF($B235=$B234,$FQ234,0)+$FP235</f>
        <v/>
      </c>
      <c r="FR235" s="62">
        <f>$FR234+$FP235</f>
        <v/>
      </c>
      <c r="FS235" s="62">
        <f>SUMIFS(tblSafety[LTI],tblSafety[Date],$A235)</f>
        <v/>
      </c>
      <c r="FT235" s="62">
        <f>IF($B235=$B234,$FT234,0)+$FS235</f>
        <v/>
      </c>
      <c r="FU235" s="62">
        <f>$FU234+$FS235</f>
        <v/>
      </c>
      <c r="FV235" s="62">
        <f>SUMIFS(tblSafety[RWI],tblSafety[Date],$A235)</f>
        <v/>
      </c>
      <c r="FW235" s="62">
        <f>IF($B235=$B234,$FW234,0)+$FV235</f>
        <v/>
      </c>
      <c r="FX235" s="62">
        <f>$FX234+$FV235</f>
        <v/>
      </c>
      <c r="FY235" s="62">
        <f>SUMIFS(tblSafety[MTI],tblSafety[Date],$A235)</f>
        <v/>
      </c>
      <c r="FZ235" s="62">
        <f>IF($B235=$B234,$FZ234,0)+$FY235</f>
        <v/>
      </c>
      <c r="GA235" s="62">
        <f>$GA234+$FY235</f>
        <v/>
      </c>
      <c r="GB235" s="62">
        <f>SUMIFS(tblSafety[FAI],tblSafety[Date],$A235)</f>
        <v/>
      </c>
      <c r="GC235" s="62">
        <f>IF($B235=$B234,$GC234,0)+$GB235</f>
        <v/>
      </c>
      <c r="GD235" s="62">
        <f>$GD234+$GB235</f>
        <v/>
      </c>
      <c r="GE235" s="62">
        <f>SUMIFS(tblSafety[Recordables],tblSafety[Date],$A235)</f>
        <v/>
      </c>
      <c r="GF235" s="62">
        <f>IF($B235=$B234,$GF234,0)+$GE235</f>
        <v/>
      </c>
      <c r="GG235" s="62">
        <f>$GG234+$GE235</f>
        <v/>
      </c>
      <c r="GH235" s="62">
        <f>SUMIFS(tblSafety[Near_Miss],tblSafety[Date],$A235)</f>
        <v/>
      </c>
      <c r="GI235" s="62">
        <f>IF($B235=$B234,$GI234,0)+$GH235</f>
        <v/>
      </c>
      <c r="GJ235" s="62">
        <f>$GJ234+$GH235</f>
        <v/>
      </c>
      <c r="GK235" s="62">
        <f>SUMIFS(tblSafety[Hazard_Reports],tblSafety[Date],$A235)</f>
        <v/>
      </c>
      <c r="GL235" s="62">
        <f>IF($B235=$B234,$GL234,0)+$GK235</f>
        <v/>
      </c>
      <c r="GM235" s="62">
        <f>$GM234+$GK235</f>
        <v/>
      </c>
      <c r="GN235" s="62">
        <f>SUMIFS(tblSafety[HPI],tblSafety[Date],$A235)</f>
        <v/>
      </c>
      <c r="GO235" s="62">
        <f>IF($B235=$B234,$GO234,0)+$GN235</f>
        <v/>
      </c>
      <c r="GP235" s="62">
        <f>$GP234+$GN235</f>
        <v/>
      </c>
      <c r="GQ235" s="62">
        <f>SUMIFS(tblSafety[Env_Incidents],tblSafety[Date],$A235)</f>
        <v/>
      </c>
      <c r="GR235" s="62">
        <f>IF($B235=$B234,$GR234,0)+$GQ235</f>
        <v/>
      </c>
      <c r="GS235" s="62">
        <f>$GS234+$GQ235</f>
        <v/>
      </c>
      <c r="GT235" s="62">
        <f>SUMIFS(tblSafety[Community_Incidents],tblSafety[Date],$A235)</f>
        <v/>
      </c>
      <c r="GU235" s="62">
        <f>IF($B235=$B234,$GU234,0)+$GT235</f>
        <v/>
      </c>
      <c r="GV235" s="62">
        <f>$GV234+$GT235</f>
        <v/>
      </c>
      <c r="GW235" s="62">
        <f>SUMIFS(tblSafety[Vehicle_Incidents],tblSafety[Date],$A235)</f>
        <v/>
      </c>
      <c r="GX235" s="62">
        <f>IF($B235=$B234,$GX234,0)+$GW235</f>
        <v/>
      </c>
      <c r="GY235" s="62">
        <f>$GY234+$GW235</f>
        <v/>
      </c>
      <c r="GZ235" s="62">
        <f>SUMIFS(tblSafety[Toolbox_Talks],tblSafety[Date],$A235)</f>
        <v/>
      </c>
      <c r="HA235" s="62">
        <f>IF($B235=$B234,$HA234,0)+$GZ235</f>
        <v/>
      </c>
      <c r="HB235" s="62">
        <f>$HB234+$GZ235</f>
        <v/>
      </c>
      <c r="HC235" s="62">
        <f>SUMIFS(tblSafety[Inspections],tblSafety[Date],$A235)</f>
        <v/>
      </c>
      <c r="HD235" s="62">
        <f>IF($B235=$B234,$HD234,0)+$HC235</f>
        <v/>
      </c>
      <c r="HE235" s="62">
        <f>$HE234+$HC235</f>
        <v/>
      </c>
      <c r="HF235" s="56">
        <f>IFERROR((SUMIFS(tblSafety[Recordables],tblSafety[Date],"&gt;="&amp;EDATE($E235,-12),tblSafety[Date],"&lt;="&amp;$A235)+SUMIFS(tblSafetyHistory[Recordables],tblSafetyHistory[Month],"&gt;="&amp;EDATE($E235,-12),tblSafetyHistory[Month],"&lt;"&amp;cfg_YearStart))/(SUMIFS(tblSafety[Hours_Total],tblSafety[Date],"&gt;="&amp;EDATE($E235,-12),tblSafety[Date],"&lt;="&amp;$A235)+SUMIFS(tblSafetyHistory[Hours_Total],tblSafetyHistory[Month],"&gt;="&amp;EDATE($E235,-12),tblSafetyHistory[Month],"&lt;"&amp;cfg_YearStart))*1000000,"")</f>
        <v/>
      </c>
      <c r="HG235" s="56">
        <f>IFERROR((SUMIFS(tblSafety[LTI],tblSafety[Date],"&gt;="&amp;EDATE($E235,-12),tblSafety[Date],"&lt;="&amp;$A235)+SUMIFS(tblSafetyHistory[LTI],tblSafetyHistory[Month],"&gt;="&amp;EDATE($E235,-12),tblSafetyHistory[Month],"&lt;"&amp;cfg_YearStart))/(SUMIFS(tblSafety[Hours_Total],tblSafety[Date],"&gt;="&amp;EDATE($E235,-12),tblSafety[Date],"&lt;="&amp;$A235)+SUMIFS(tblSafetyHistory[Hours_Total],tblSafetyHistory[Month],"&gt;="&amp;EDATE($E235,-12),tblSafetyHistory[Month],"&lt;"&amp;cfg_YearStart))*1000000,"")</f>
        <v/>
      </c>
      <c r="HH235" s="62">
        <f>IF(MAX(N(cfg_PriorLTIDate),_xlfn.MAXIFS(tblSafety[Date],tblSafety[LTI],"&gt;0",tblSafety[Date],"&lt;="&amp;$A235))=0,"",$A235-MAX(N(cfg_PriorLTIDate),_xlfn.MAXIFS(tblSafety[Date],tblSafety[LTI],"&gt;0",tblSafety[Date],"&lt;="&amp;$A235)))</f>
        <v/>
      </c>
      <c r="HI235" s="55">
        <f>SUMIFS(tblBudget[Ore_Mined_t],tblBudget[Month],$E235)</f>
        <v/>
      </c>
      <c r="HJ235" s="55">
        <f>$HI235*$C235/$D235</f>
        <v/>
      </c>
      <c r="HK235" s="55">
        <f>SUMIFS(tblBudget[Ore_Mined_t],tblBudget[Month],"&lt;"&amp;$E235)+$HJ235</f>
        <v/>
      </c>
      <c r="HL235" s="55">
        <f>SUMIFS(tblBudget[Ore_oz],tblBudget[Month],$E235)</f>
        <v/>
      </c>
      <c r="HM235" s="55">
        <f>$HL235*$C235/$D235</f>
        <v/>
      </c>
      <c r="HN235" s="55">
        <f>SUMIFS(tblBudget[Ore_oz],tblBudget[Month],"&lt;"&amp;$E235)+$HM235</f>
        <v/>
      </c>
      <c r="HO235" s="56">
        <f>IFERROR(IF(($HI235)&gt;0,($HL235*cfg_TroyOz)/($HI235),""),"")</f>
        <v/>
      </c>
      <c r="HP235" s="56">
        <f>IFERROR(IF(($HJ235)&gt;0,($HM235*cfg_TroyOz)/($HJ235),""),"")</f>
        <v/>
      </c>
      <c r="HQ235" s="56">
        <f>IFERROR(IF(($HK235)&gt;0,($HN235*cfg_TroyOz)/($HK235),""),"")</f>
        <v/>
      </c>
      <c r="HR235" s="55">
        <f>SUMIFS(tblBudget[Waste_t],tblBudget[Month],$E235)</f>
        <v/>
      </c>
      <c r="HS235" s="55">
        <f>$HR235*$C235/$D235</f>
        <v/>
      </c>
      <c r="HT235" s="55">
        <f>SUMIFS(tblBudget[Waste_t],tblBudget[Month],"&lt;"&amp;$E235)+$HS235</f>
        <v/>
      </c>
      <c r="HU235" s="55">
        <f>SUMIFS(tblBudget[TMM_t],tblBudget[Month],$E235)</f>
        <v/>
      </c>
      <c r="HV235" s="55">
        <f>$HU235*$C235/$D235</f>
        <v/>
      </c>
      <c r="HW235" s="55">
        <f>SUMIFS(tblBudget[TMM_t],tblBudget[Month],"&lt;"&amp;$E235)+$HV235</f>
        <v/>
      </c>
      <c r="HX235" s="56">
        <f>IFERROR(IF(($HI235)&gt;0,($HR235)/($HI235),""),"")</f>
        <v/>
      </c>
      <c r="HY235" s="56">
        <f>IFERROR(IF(($HJ235)&gt;0,($HS235)/($HJ235),""),"")</f>
        <v/>
      </c>
      <c r="HZ235" s="56">
        <f>IFERROR(IF(($HK235)&gt;0,($HT235)/($HK235),""),"")</f>
        <v/>
      </c>
      <c r="IA235" s="55">
        <f>SUMIFS(tblBudget[Drill_m],tblBudget[Month],$E235)</f>
        <v/>
      </c>
      <c r="IB235" s="55">
        <f>$IA235*$C235/$D235</f>
        <v/>
      </c>
      <c r="IC235" s="55">
        <f>SUMIFS(tblBudget[Drill_m],tblBudget[Month],"&lt;"&amp;$E235)+$IB235</f>
        <v/>
      </c>
      <c r="ID235" s="55">
        <f>SUMIFS(tblBudget[Diesel_L],tblBudget[Month],$E235)</f>
        <v/>
      </c>
      <c r="IE235" s="55">
        <f>$ID235*$C235/$D235</f>
        <v/>
      </c>
      <c r="IF235" s="55">
        <f>SUMIFS(tblBudget[Diesel_L],tblBudget[Month],"&lt;"&amp;$E235)+$IE235</f>
        <v/>
      </c>
      <c r="IG235" s="55">
        <f>SUMIFS(tblBudget[Milled_t],tblBudget[Month],$E235)</f>
        <v/>
      </c>
      <c r="IH235" s="55">
        <f>$IG235*$C235/$D235</f>
        <v/>
      </c>
      <c r="II235" s="55">
        <f>SUMIFS(tblBudget[Milled_t],tblBudget[Month],"&lt;"&amp;$E235)+$IH235</f>
        <v/>
      </c>
      <c r="IJ235" s="55">
        <f>SUMIFS(tblBudget[Feed_oz],tblBudget[Month],$E235)</f>
        <v/>
      </c>
      <c r="IK235" s="55">
        <f>$IJ235*$C235/$D235</f>
        <v/>
      </c>
      <c r="IL235" s="55">
        <f>SUMIFS(tblBudget[Feed_oz],tblBudget[Month],"&lt;"&amp;$E235)+$IK235</f>
        <v/>
      </c>
      <c r="IM235" s="55">
        <f>SUMIFS(tblBudget[Recovered_oz],tblBudget[Month],$E235)</f>
        <v/>
      </c>
      <c r="IN235" s="55">
        <f>$IM235*$C235/$D235</f>
        <v/>
      </c>
      <c r="IO235" s="55">
        <f>SUMIFS(tblBudget[Recovered_oz],tblBudget[Month],"&lt;"&amp;$E235)+$IN235</f>
        <v/>
      </c>
      <c r="IP235" s="56">
        <f>IFERROR(IF(($IG235)&gt;0,($IJ235*cfg_TroyOz)/($IG235),""),"")</f>
        <v/>
      </c>
      <c r="IQ235" s="56">
        <f>IFERROR(IF(($IH235)&gt;0,($IK235*cfg_TroyOz)/($IH235),""),"")</f>
        <v/>
      </c>
      <c r="IR235" s="56">
        <f>IFERROR(IF(($II235)&gt;0,($IL235*cfg_TroyOz)/($II235),""),"")</f>
        <v/>
      </c>
      <c r="IS235" s="67">
        <f>IFERROR(IF(($IJ235)&gt;0,($IM235)/($IJ235),""),"")</f>
        <v/>
      </c>
      <c r="IT235" s="67">
        <f>IFERROR(IF(($IK235)&gt;0,($IN235)/($IK235),""),"")</f>
        <v/>
      </c>
      <c r="IU235" s="67">
        <f>IFERROR(IF(($IL235)&gt;0,($IO235)/($IL235),""),"")</f>
        <v/>
      </c>
      <c r="IV235" s="55">
        <f>SUMIFS(tblBudget[Gold_Poured_oz],tblBudget[Month],$E235)</f>
        <v/>
      </c>
      <c r="IW235" s="55">
        <f>$IV235*$C235/$D235</f>
        <v/>
      </c>
      <c r="IX235" s="55">
        <f>SUMIFS(tblBudget[Gold_Poured_oz],tblBudget[Month],"&lt;"&amp;$E235)+$IW235</f>
        <v/>
      </c>
      <c r="IY235" s="57">
        <f>SUMIFS(tblBudget[Hours_Worked],tblBudget[Month],$E235)</f>
        <v/>
      </c>
      <c r="IZ235" s="57">
        <f>$IY235*$C235/$D235</f>
        <v/>
      </c>
      <c r="JA235" s="57">
        <f>SUMIFS(tblBudget[Hours_Worked],tblBudget[Month],"&lt;"&amp;$E235)+$IZ235</f>
        <v/>
      </c>
    </row>
    <row r="236">
      <c r="A236" s="54" t="n">
        <v>46257</v>
      </c>
      <c r="B236">
        <f>MONTH($A236)</f>
        <v/>
      </c>
      <c r="C236">
        <f>DAY($A236)</f>
        <v/>
      </c>
      <c r="D236">
        <f>DAY(EOMONTH($A236,0))</f>
        <v/>
      </c>
      <c r="E236" s="54">
        <f>DATE(YEAR($A236),MONTH($A236),1)</f>
        <v/>
      </c>
      <c r="F236" s="55">
        <f>SUMIFS(tblMovement[Tonnes_t],tblMovement[Date],$A236,tblMovement[Is_Ore],1,tblMovement[Source_Type],"Pit")</f>
        <v/>
      </c>
      <c r="G236" s="55">
        <f>IF($B236=$B235,$G235,0)+$F236</f>
        <v/>
      </c>
      <c r="H236" s="55">
        <f>$H235+$F236</f>
        <v/>
      </c>
      <c r="I236" s="55">
        <f>SUMIFS(tblMovement[Ore_oz],tblMovement[Date],$A236,tblMovement[Source_Type],"Pit")</f>
        <v/>
      </c>
      <c r="J236" s="55">
        <f>IF($B236=$B235,$J235,0)+$I236</f>
        <v/>
      </c>
      <c r="K236" s="55">
        <f>$K235+$I236</f>
        <v/>
      </c>
      <c r="L236" s="56">
        <f>IFERROR(IF(($F236)&gt;0,($I236*cfg_TroyOz)/($F236),""),"")</f>
        <v/>
      </c>
      <c r="M236" s="56">
        <f>IFERROR(IF(($G236)&gt;0,($J236*cfg_TroyOz)/($G236),""),"")</f>
        <v/>
      </c>
      <c r="N236" s="56">
        <f>IFERROR(IF(($H236)&gt;0,($K236*cfg_TroyOz)/($H236),""),"")</f>
        <v/>
      </c>
      <c r="O236" s="55">
        <f>SUMIFS(tblMovement[Tonnes_t],tblMovement[Date],$A236,tblMovement[Is_Ore],0,tblMovement[Source_Type],"Pit")</f>
        <v/>
      </c>
      <c r="P236" s="55">
        <f>IF($B236=$B235,$P235,0)+$O236</f>
        <v/>
      </c>
      <c r="Q236" s="55">
        <f>$Q235+$O236</f>
        <v/>
      </c>
      <c r="R236" s="55">
        <f>$F236+$O236</f>
        <v/>
      </c>
      <c r="S236" s="55">
        <f>IF($B236=$B235,$S235,0)+$R236</f>
        <v/>
      </c>
      <c r="T236" s="55">
        <f>$T235+$R236</f>
        <v/>
      </c>
      <c r="U236" s="56">
        <f>IFERROR(IF(($F236)&gt;0,($O236)/($F236),""),"")</f>
        <v/>
      </c>
      <c r="V236" s="56">
        <f>IFERROR(IF(($G236)&gt;0,($P236)/($G236),""),"")</f>
        <v/>
      </c>
      <c r="W236" s="56">
        <f>IFERROR(IF(($H236)&gt;0,($Q236)/($H236),""),"")</f>
        <v/>
      </c>
      <c r="X236" s="55">
        <f>SUMIFS(tblMovement[Tonnes_t],tblMovement[Date],$A236,tblMovement[Source_Type],"Stockpile")</f>
        <v/>
      </c>
      <c r="Y236" s="55">
        <f>IF($B236=$B235,$Y235,0)+$X236</f>
        <v/>
      </c>
      <c r="Z236" s="55">
        <f>$Z235+$X236</f>
        <v/>
      </c>
      <c r="AA236" s="55">
        <f>SUMIFS(tblMiningDaily[Drill_m],tblMiningDaily[Date],$A236)</f>
        <v/>
      </c>
      <c r="AB236" s="55">
        <f>IF($B236=$B235,$AB235,0)+$AA236</f>
        <v/>
      </c>
      <c r="AC236" s="55">
        <f>$AC235+$AA236</f>
        <v/>
      </c>
      <c r="AD236" s="55">
        <f>SUMIFS(tblMiningDaily[Blast_t],tblMiningDaily[Date],$A236)</f>
        <v/>
      </c>
      <c r="AE236" s="55">
        <f>IF($B236=$B235,$AE235,0)+$AD236</f>
        <v/>
      </c>
      <c r="AF236" s="55">
        <f>$AF235+$AD236</f>
        <v/>
      </c>
      <c r="AG236" s="55">
        <f>SUMIFS(tblMiningDaily[Explosives_kg],tblMiningDaily[Date],$A236)</f>
        <v/>
      </c>
      <c r="AH236" s="55">
        <f>IF($B236=$B235,$AH235,0)+$AG236</f>
        <v/>
      </c>
      <c r="AI236" s="55">
        <f>$AI235+$AG236</f>
        <v/>
      </c>
      <c r="AJ236" s="56">
        <f>IFERROR(IF(($AD236)&gt;0,($AG236)/($AD236),""),"")</f>
        <v/>
      </c>
      <c r="AK236" s="56">
        <f>IFERROR(IF(($AE236)&gt;0,($AH236)/($AE236),""),"")</f>
        <v/>
      </c>
      <c r="AL236" s="56">
        <f>IFERROR(IF(($AF236)&gt;0,($AI236)/($AF236),""),"")</f>
        <v/>
      </c>
      <c r="AM236" s="55">
        <f>SUMIFS(tblMiningDaily[Diesel_L],tblMiningDaily[Date],$A236)</f>
        <v/>
      </c>
      <c r="AN236" s="55">
        <f>IF($B236=$B235,$AN235,0)+$AM236</f>
        <v/>
      </c>
      <c r="AO236" s="55">
        <f>$AO235+$AM236</f>
        <v/>
      </c>
      <c r="AP236" s="55">
        <f>SUMIFS(tblMiningDaily[Dewatering_m3],tblMiningDaily[Date],$A236)</f>
        <v/>
      </c>
      <c r="AQ236" s="55">
        <f>IF($B236=$B235,$AQ235,0)+$AP236</f>
        <v/>
      </c>
      <c r="AR236" s="55">
        <f>$AR235+$AP236</f>
        <v/>
      </c>
      <c r="AS236" s="57">
        <f>SUMIFS(tblFleet[Calendar_h],tblFleet[Date],$A236,tblFleet[Equipment_Class],"Excavator")</f>
        <v/>
      </c>
      <c r="AT236" s="57">
        <f>IF($B236=$B235,$AT235,0)+$AS236</f>
        <v/>
      </c>
      <c r="AU236" s="57">
        <f>$AU235+$AS236</f>
        <v/>
      </c>
      <c r="AV236" s="57">
        <f>SUMIFS(tblFleet[Available_h],tblFleet[Date],$A236,tblFleet[Equipment_Class],"Excavator")</f>
        <v/>
      </c>
      <c r="AW236" s="57">
        <f>IF($B236=$B235,$AW235,0)+$AV236</f>
        <v/>
      </c>
      <c r="AX236" s="57">
        <f>$AX235+$AV236</f>
        <v/>
      </c>
      <c r="AY236" s="57">
        <f>SUMIFS(tblFleet[Operating_h],tblFleet[Date],$A236,tblFleet[Equipment_Class],"Excavator")</f>
        <v/>
      </c>
      <c r="AZ236" s="57">
        <f>IF($B236=$B235,$AZ235,0)+$AY236</f>
        <v/>
      </c>
      <c r="BA236" s="57">
        <f>$BA235+$AY236</f>
        <v/>
      </c>
      <c r="BB236" s="67">
        <f>IFERROR(IF(($AS236)&gt;0,($AV236)/($AS236),""),"")</f>
        <v/>
      </c>
      <c r="BC236" s="67">
        <f>IFERROR(IF(($AT236)&gt;0,($AW236)/($AT236),""),"")</f>
        <v/>
      </c>
      <c r="BD236" s="67">
        <f>IFERROR(IF(($AU236)&gt;0,($AX236)/($AU236),""),"")</f>
        <v/>
      </c>
      <c r="BE236" s="67">
        <f>IFERROR(IF(($AV236)&gt;0,($AY236)/($AV236),""),"")</f>
        <v/>
      </c>
      <c r="BF236" s="67">
        <f>IFERROR(IF(($AW236)&gt;0,($AZ236)/($AW236),""),"")</f>
        <v/>
      </c>
      <c r="BG236" s="67">
        <f>IFERROR(IF(($AX236)&gt;0,($BA236)/($AX236),""),"")</f>
        <v/>
      </c>
      <c r="BH236" s="57">
        <f>SUMIFS(tblFleet[Calendar_h],tblFleet[Date],$A236,tblFleet[Equipment_Class],"Haul Truck")</f>
        <v/>
      </c>
      <c r="BI236" s="57">
        <f>IF($B236=$B235,$BI235,0)+$BH236</f>
        <v/>
      </c>
      <c r="BJ236" s="57">
        <f>$BJ235+$BH236</f>
        <v/>
      </c>
      <c r="BK236" s="57">
        <f>SUMIFS(tblFleet[Available_h],tblFleet[Date],$A236,tblFleet[Equipment_Class],"Haul Truck")</f>
        <v/>
      </c>
      <c r="BL236" s="57">
        <f>IF($B236=$B235,$BL235,0)+$BK236</f>
        <v/>
      </c>
      <c r="BM236" s="57">
        <f>$BM235+$BK236</f>
        <v/>
      </c>
      <c r="BN236" s="57">
        <f>SUMIFS(tblFleet[Operating_h],tblFleet[Date],$A236,tblFleet[Equipment_Class],"Haul Truck")</f>
        <v/>
      </c>
      <c r="BO236" s="57">
        <f>IF($B236=$B235,$BO235,0)+$BN236</f>
        <v/>
      </c>
      <c r="BP236" s="57">
        <f>$BP235+$BN236</f>
        <v/>
      </c>
      <c r="BQ236" s="67">
        <f>IFERROR(IF(($BH236)&gt;0,($BK236)/($BH236),""),"")</f>
        <v/>
      </c>
      <c r="BR236" s="67">
        <f>IFERROR(IF(($BI236)&gt;0,($BL236)/($BI236),""),"")</f>
        <v/>
      </c>
      <c r="BS236" s="67">
        <f>IFERROR(IF(($BJ236)&gt;0,($BM236)/($BJ236),""),"")</f>
        <v/>
      </c>
      <c r="BT236" s="67">
        <f>IFERROR(IF(($BK236)&gt;0,($BN236)/($BK236),""),"")</f>
        <v/>
      </c>
      <c r="BU236" s="67">
        <f>IFERROR(IF(($BL236)&gt;0,($BO236)/($BL236),""),"")</f>
        <v/>
      </c>
      <c r="BV236" s="67">
        <f>IFERROR(IF(($BM236)&gt;0,($BP236)/($BM236),""),"")</f>
        <v/>
      </c>
      <c r="BW236" s="55">
        <f>SUMIFS(tblPlant[Crushed_t],tblPlant[Date],$A236)</f>
        <v/>
      </c>
      <c r="BX236" s="55">
        <f>IF($B236=$B235,$BX235,0)+$BW236</f>
        <v/>
      </c>
      <c r="BY236" s="55">
        <f>$BY235+$BW236</f>
        <v/>
      </c>
      <c r="BZ236" s="55">
        <f>SUMIFS(tblPlant[Milled_t],tblPlant[Date],$A236)</f>
        <v/>
      </c>
      <c r="CA236" s="55">
        <f>IF($B236=$B235,$CA235,0)+$BZ236</f>
        <v/>
      </c>
      <c r="CB236" s="55">
        <f>$CB235+$BZ236</f>
        <v/>
      </c>
      <c r="CC236" s="55">
        <f>SUMIFS(tblPlant[Feed_oz],tblPlant[Date],$A236)</f>
        <v/>
      </c>
      <c r="CD236" s="55">
        <f>IF($B236=$B235,$CD235,0)+$CC236</f>
        <v/>
      </c>
      <c r="CE236" s="55">
        <f>$CE235+$CC236</f>
        <v/>
      </c>
      <c r="CF236" s="55">
        <f>SUMIFS(tblPlant[Tails_oz],tblPlant[Date],$A236)</f>
        <v/>
      </c>
      <c r="CG236" s="55">
        <f>IF($B236=$B235,$CG235,0)+$CF236</f>
        <v/>
      </c>
      <c r="CH236" s="55">
        <f>$CH235+$CF236</f>
        <v/>
      </c>
      <c r="CI236" s="55">
        <f>SUMIFS(tblPlant[Recovered_oz],tblPlant[Date],$A236)</f>
        <v/>
      </c>
      <c r="CJ236" s="55">
        <f>IF($B236=$B235,$CJ235,0)+$CI236</f>
        <v/>
      </c>
      <c r="CK236" s="55">
        <f>$CK235+$CI236</f>
        <v/>
      </c>
      <c r="CL236" s="56">
        <f>IFERROR(IF(($BZ236)&gt;0,($CC236*cfg_TroyOz)/($BZ236),""),"")</f>
        <v/>
      </c>
      <c r="CM236" s="56">
        <f>IFERROR(IF(($CA236)&gt;0,($CD236*cfg_TroyOz)/($CA236),""),"")</f>
        <v/>
      </c>
      <c r="CN236" s="56">
        <f>IFERROR(IF(($CB236)&gt;0,($CE236*cfg_TroyOz)/($CB236),""),"")</f>
        <v/>
      </c>
      <c r="CO236" s="56">
        <f>IFERROR(IF(($BZ236)&gt;0,($CF236*cfg_TroyOz)/($BZ236),""),"")</f>
        <v/>
      </c>
      <c r="CP236" s="56">
        <f>IFERROR(IF(($CA236)&gt;0,($CG236*cfg_TroyOz)/($CA236),""),"")</f>
        <v/>
      </c>
      <c r="CQ236" s="56">
        <f>IFERROR(IF(($CB236)&gt;0,($CH236*cfg_TroyOz)/($CB236),""),"")</f>
        <v/>
      </c>
      <c r="CR236" s="67">
        <f>IFERROR(IF(($CC236)&gt;0,($CI236)/($CC236),""),"")</f>
        <v/>
      </c>
      <c r="CS236" s="67">
        <f>IFERROR(IF(($CD236)&gt;0,($CJ236)/($CD236),""),"")</f>
        <v/>
      </c>
      <c r="CT236" s="67">
        <f>IFERROR(IF(($CE236)&gt;0,($CK236)/($CE236),""),"")</f>
        <v/>
      </c>
      <c r="CU236" s="55">
        <f>SUMIFS(tblPlant[Gravity_Gold_oz],tblPlant[Date],$A236)</f>
        <v/>
      </c>
      <c r="CV236" s="55">
        <f>IF($B236=$B235,$CV235,0)+$CU236</f>
        <v/>
      </c>
      <c r="CW236" s="55">
        <f>$CW235+$CU236</f>
        <v/>
      </c>
      <c r="CX236" s="55">
        <f>SUMIFS(tblPlant[Gold_Poured_oz],tblPlant[Date],$A236)</f>
        <v/>
      </c>
      <c r="CY236" s="55">
        <f>IF($B236=$B235,$CY235,0)+$CX236</f>
        <v/>
      </c>
      <c r="CZ236" s="55">
        <f>$CZ235+$CX236</f>
        <v/>
      </c>
      <c r="DA236" s="57">
        <f>SUMIFS(tblPlant[Mill_Run_h],tblPlant[Date],$A236)</f>
        <v/>
      </c>
      <c r="DB236" s="57">
        <f>IF($B236=$B235,$DB235,0)+$DA236</f>
        <v/>
      </c>
      <c r="DC236" s="57">
        <f>$DC235+$DA236</f>
        <v/>
      </c>
      <c r="DD236" s="57">
        <f>SUMIFS(tblPlant[Mill_Planned_Maint_h],tblPlant[Date],$A236)</f>
        <v/>
      </c>
      <c r="DE236" s="57">
        <f>IF($B236=$B235,$DE235,0)+$DD236</f>
        <v/>
      </c>
      <c r="DF236" s="57">
        <f>$DF235+$DD236</f>
        <v/>
      </c>
      <c r="DG236" s="57">
        <f>SUMIFS(tblPlant[Mill_Unplanned_Down_h],tblPlant[Date],$A236)</f>
        <v/>
      </c>
      <c r="DH236" s="57">
        <f>IF($B236=$B235,$DH235,0)+$DG236</f>
        <v/>
      </c>
      <c r="DI236" s="57">
        <f>$DI235+$DG236</f>
        <v/>
      </c>
      <c r="DJ236" s="57">
        <f>COUNTIFS(tblPlant[Date],$A236,tblPlant[Mill_Run_h],"&lt;&gt;")*24</f>
        <v/>
      </c>
      <c r="DK236" s="57">
        <f>IF($B236=$B235,$DK235,0)+$DJ236</f>
        <v/>
      </c>
      <c r="DL236" s="57">
        <f>$DL235+$DJ236</f>
        <v/>
      </c>
      <c r="DM236" s="57">
        <f>SUMIFS(tblPlant[Crusher_Run_h],tblPlant[Date],$A236)</f>
        <v/>
      </c>
      <c r="DN236" s="57">
        <f>IF($B236=$B235,$DN235,0)+$DM236</f>
        <v/>
      </c>
      <c r="DO236" s="57">
        <f>$DO235+$DM236</f>
        <v/>
      </c>
      <c r="DP236" s="55">
        <f>IFERROR(IF(($DA236)&gt;0,($BZ236)/($DA236),""),"")</f>
        <v/>
      </c>
      <c r="DQ236" s="55">
        <f>IFERROR(IF(($DB236)&gt;0,($CA236)/($DB236),""),"")</f>
        <v/>
      </c>
      <c r="DR236" s="55">
        <f>IFERROR(IF(($DC236)&gt;0,($CB236)/($DC236),""),"")</f>
        <v/>
      </c>
      <c r="DS236" s="67">
        <f>IFERROR(IF(($DJ236)&gt;0,($DJ236-$DD236-$DG236)/($DJ236),""),"")</f>
        <v/>
      </c>
      <c r="DT236" s="67">
        <f>IFERROR(IF(($DK236)&gt;0,($DK236-$DE236-$DH236)/($DK236),""),"")</f>
        <v/>
      </c>
      <c r="DU236" s="67">
        <f>IFERROR(IF(($DL236)&gt;0,($DL236-$DF236-$DI236)/($DL236),""),"")</f>
        <v/>
      </c>
      <c r="DV236" s="67">
        <f>IFERROR(IF(($DJ236-$DD236-$DG236)&gt;0,($DA236)/($DJ236-$DD236-$DG236),""),"")</f>
        <v/>
      </c>
      <c r="DW236" s="67">
        <f>IFERROR(IF(($DK236-$DE236-$DH236)&gt;0,($DB236)/($DK236-$DE236-$DH236),""),"")</f>
        <v/>
      </c>
      <c r="DX236" s="67">
        <f>IFERROR(IF(($DL236-$DF236-$DI236)&gt;0,($DC236)/($DL236-$DF236-$DI236),""),"")</f>
        <v/>
      </c>
      <c r="DY236" s="55">
        <f>SUMIFS(tblPlant[Cyanide_kg],tblPlant[Date],$A236)</f>
        <v/>
      </c>
      <c r="DZ236" s="55">
        <f>IF($B236=$B235,$DZ235,0)+$DY236</f>
        <v/>
      </c>
      <c r="EA236" s="55">
        <f>$EA235+$DY236</f>
        <v/>
      </c>
      <c r="EB236" s="55">
        <f>SUMIFS(tblPlant[Lime_kg],tblPlant[Date],$A236)</f>
        <v/>
      </c>
      <c r="EC236" s="55">
        <f>IF($B236=$B235,$EC235,0)+$EB236</f>
        <v/>
      </c>
      <c r="ED236" s="55">
        <f>$ED235+$EB236</f>
        <v/>
      </c>
      <c r="EE236" s="55">
        <f>SUMIFS(tblPlant[Grinding_Media_kg],tblPlant[Date],$A236)</f>
        <v/>
      </c>
      <c r="EF236" s="55">
        <f>IF($B236=$B235,$EF235,0)+$EE236</f>
        <v/>
      </c>
      <c r="EG236" s="55">
        <f>$EG235+$EE236</f>
        <v/>
      </c>
      <c r="EH236" s="55">
        <f>SUMIFS(tblPlant[Power_kWh],tblPlant[Date],$A236)</f>
        <v/>
      </c>
      <c r="EI236" s="55">
        <f>IF($B236=$B235,$EI235,0)+$EH236</f>
        <v/>
      </c>
      <c r="EJ236" s="55">
        <f>$EJ235+$EH236</f>
        <v/>
      </c>
      <c r="EK236" s="55">
        <f>SUMIFS(tblPlant[Raw_Water_m3],tblPlant[Date],$A236)</f>
        <v/>
      </c>
      <c r="EL236" s="55">
        <f>IF($B236=$B235,$EL235,0)+$EK236</f>
        <v/>
      </c>
      <c r="EM236" s="55">
        <f>$EM235+$EK236</f>
        <v/>
      </c>
      <c r="EN236" s="56">
        <f>IFERROR(IF(($BZ236)&gt;0,($DY236)/($BZ236),""),"")</f>
        <v/>
      </c>
      <c r="EO236" s="56">
        <f>IFERROR(IF(($CA236)&gt;0,($DZ236)/($CA236),""),"")</f>
        <v/>
      </c>
      <c r="EP236" s="56">
        <f>IFERROR(IF(($CB236)&gt;0,($EA236)/($CB236),""),"")</f>
        <v/>
      </c>
      <c r="EQ236" s="56">
        <f>IFERROR(IF(($BZ236)&gt;0,($EB236)/($BZ236),""),"")</f>
        <v/>
      </c>
      <c r="ER236" s="56">
        <f>IFERROR(IF(($CA236)&gt;0,($EC236)/($CA236),""),"")</f>
        <v/>
      </c>
      <c r="ES236" s="56">
        <f>IFERROR(IF(($CB236)&gt;0,($ED236)/($CB236),""),"")</f>
        <v/>
      </c>
      <c r="ET236" s="56">
        <f>IFERROR(IF(($BZ236)&gt;0,($EE236)/($BZ236),""),"")</f>
        <v/>
      </c>
      <c r="EU236" s="56">
        <f>IFERROR(IF(($CA236)&gt;0,($EF236)/($CA236),""),"")</f>
        <v/>
      </c>
      <c r="EV236" s="56">
        <f>IFERROR(IF(($CB236)&gt;0,($EG236)/($CB236),""),"")</f>
        <v/>
      </c>
      <c r="EW236" s="76">
        <f>IFERROR(IF(($BZ236)&gt;0,($EH236)/($BZ236),""),"")</f>
        <v/>
      </c>
      <c r="EX236" s="76">
        <f>IFERROR(IF(($CA236)&gt;0,($EI236)/($CA236),""),"")</f>
        <v/>
      </c>
      <c r="EY236" s="76">
        <f>IFERROR(IF(($CB236)&gt;0,($EJ236)/($CB236),""),"")</f>
        <v/>
      </c>
      <c r="EZ236" s="56">
        <f>IFERROR(IF(($BZ236)&gt;0,($EK236)/($BZ236),""),"")</f>
        <v/>
      </c>
      <c r="FA236" s="56">
        <f>IFERROR(IF(($CA236)&gt;0,($EL236)/($CA236),""),"")</f>
        <v/>
      </c>
      <c r="FB236" s="56">
        <f>IFERROR(IF(($CB236)&gt;0,($EM236)/($CB236),""),"")</f>
        <v/>
      </c>
      <c r="FC236" s="55">
        <f>IF(SUMIFS(tblPlant[GIC_oz],tblPlant[Date],$A236)&gt;0,SUMIFS(tblPlant[GIC_oz],tblPlant[Date],$A236),"")</f>
        <v/>
      </c>
      <c r="FD236" s="55">
        <f>SUMIFS(tblGold[Gold_oz],tblGold[Date],$A236,tblGold[Type],"Shipment")</f>
        <v/>
      </c>
      <c r="FE236" s="55">
        <f>IF($B236=$B235,$FE235,0)+$FD236</f>
        <v/>
      </c>
      <c r="FF236" s="55">
        <f>$FF235+$FD236</f>
        <v/>
      </c>
      <c r="FG236" s="55">
        <f>SUMIFS(tblGold[Gold_oz],tblGold[Date],$A236,tblGold[Type],"Sale")</f>
        <v/>
      </c>
      <c r="FH236" s="55">
        <f>IF($B236=$B235,$FH235,0)+$FG236</f>
        <v/>
      </c>
      <c r="FI236" s="55">
        <f>$FI235+$FG236</f>
        <v/>
      </c>
      <c r="FJ236" s="55">
        <f>SUMIFS(tblGold[Dore_kg],tblGold[Date],$A236,tblGold[Type],"Shipment")</f>
        <v/>
      </c>
      <c r="FK236" s="55">
        <f>IF($B236=$B235,$FK235,0)+$FJ236</f>
        <v/>
      </c>
      <c r="FL236" s="55">
        <f>$FL235+$FJ236</f>
        <v/>
      </c>
      <c r="FM236" s="57">
        <f>SUMIFS(tblSafety[Hours_Total],tblSafety[Date],$A236)</f>
        <v/>
      </c>
      <c r="FN236" s="57">
        <f>IF($B236=$B235,$FN235,0)+$FM236</f>
        <v/>
      </c>
      <c r="FO236" s="57">
        <f>$FO235+$FM236</f>
        <v/>
      </c>
      <c r="FP236" s="62">
        <f>SUMIFS(tblSafety[Fatality],tblSafety[Date],$A236)</f>
        <v/>
      </c>
      <c r="FQ236" s="62">
        <f>IF($B236=$B235,$FQ235,0)+$FP236</f>
        <v/>
      </c>
      <c r="FR236" s="62">
        <f>$FR235+$FP236</f>
        <v/>
      </c>
      <c r="FS236" s="62">
        <f>SUMIFS(tblSafety[LTI],tblSafety[Date],$A236)</f>
        <v/>
      </c>
      <c r="FT236" s="62">
        <f>IF($B236=$B235,$FT235,0)+$FS236</f>
        <v/>
      </c>
      <c r="FU236" s="62">
        <f>$FU235+$FS236</f>
        <v/>
      </c>
      <c r="FV236" s="62">
        <f>SUMIFS(tblSafety[RWI],tblSafety[Date],$A236)</f>
        <v/>
      </c>
      <c r="FW236" s="62">
        <f>IF($B236=$B235,$FW235,0)+$FV236</f>
        <v/>
      </c>
      <c r="FX236" s="62">
        <f>$FX235+$FV236</f>
        <v/>
      </c>
      <c r="FY236" s="62">
        <f>SUMIFS(tblSafety[MTI],tblSafety[Date],$A236)</f>
        <v/>
      </c>
      <c r="FZ236" s="62">
        <f>IF($B236=$B235,$FZ235,0)+$FY236</f>
        <v/>
      </c>
      <c r="GA236" s="62">
        <f>$GA235+$FY236</f>
        <v/>
      </c>
      <c r="GB236" s="62">
        <f>SUMIFS(tblSafety[FAI],tblSafety[Date],$A236)</f>
        <v/>
      </c>
      <c r="GC236" s="62">
        <f>IF($B236=$B235,$GC235,0)+$GB236</f>
        <v/>
      </c>
      <c r="GD236" s="62">
        <f>$GD235+$GB236</f>
        <v/>
      </c>
      <c r="GE236" s="62">
        <f>SUMIFS(tblSafety[Recordables],tblSafety[Date],$A236)</f>
        <v/>
      </c>
      <c r="GF236" s="62">
        <f>IF($B236=$B235,$GF235,0)+$GE236</f>
        <v/>
      </c>
      <c r="GG236" s="62">
        <f>$GG235+$GE236</f>
        <v/>
      </c>
      <c r="GH236" s="62">
        <f>SUMIFS(tblSafety[Near_Miss],tblSafety[Date],$A236)</f>
        <v/>
      </c>
      <c r="GI236" s="62">
        <f>IF($B236=$B235,$GI235,0)+$GH236</f>
        <v/>
      </c>
      <c r="GJ236" s="62">
        <f>$GJ235+$GH236</f>
        <v/>
      </c>
      <c r="GK236" s="62">
        <f>SUMIFS(tblSafety[Hazard_Reports],tblSafety[Date],$A236)</f>
        <v/>
      </c>
      <c r="GL236" s="62">
        <f>IF($B236=$B235,$GL235,0)+$GK236</f>
        <v/>
      </c>
      <c r="GM236" s="62">
        <f>$GM235+$GK236</f>
        <v/>
      </c>
      <c r="GN236" s="62">
        <f>SUMIFS(tblSafety[HPI],tblSafety[Date],$A236)</f>
        <v/>
      </c>
      <c r="GO236" s="62">
        <f>IF($B236=$B235,$GO235,0)+$GN236</f>
        <v/>
      </c>
      <c r="GP236" s="62">
        <f>$GP235+$GN236</f>
        <v/>
      </c>
      <c r="GQ236" s="62">
        <f>SUMIFS(tblSafety[Env_Incidents],tblSafety[Date],$A236)</f>
        <v/>
      </c>
      <c r="GR236" s="62">
        <f>IF($B236=$B235,$GR235,0)+$GQ236</f>
        <v/>
      </c>
      <c r="GS236" s="62">
        <f>$GS235+$GQ236</f>
        <v/>
      </c>
      <c r="GT236" s="62">
        <f>SUMIFS(tblSafety[Community_Incidents],tblSafety[Date],$A236)</f>
        <v/>
      </c>
      <c r="GU236" s="62">
        <f>IF($B236=$B235,$GU235,0)+$GT236</f>
        <v/>
      </c>
      <c r="GV236" s="62">
        <f>$GV235+$GT236</f>
        <v/>
      </c>
      <c r="GW236" s="62">
        <f>SUMIFS(tblSafety[Vehicle_Incidents],tblSafety[Date],$A236)</f>
        <v/>
      </c>
      <c r="GX236" s="62">
        <f>IF($B236=$B235,$GX235,0)+$GW236</f>
        <v/>
      </c>
      <c r="GY236" s="62">
        <f>$GY235+$GW236</f>
        <v/>
      </c>
      <c r="GZ236" s="62">
        <f>SUMIFS(tblSafety[Toolbox_Talks],tblSafety[Date],$A236)</f>
        <v/>
      </c>
      <c r="HA236" s="62">
        <f>IF($B236=$B235,$HA235,0)+$GZ236</f>
        <v/>
      </c>
      <c r="HB236" s="62">
        <f>$HB235+$GZ236</f>
        <v/>
      </c>
      <c r="HC236" s="62">
        <f>SUMIFS(tblSafety[Inspections],tblSafety[Date],$A236)</f>
        <v/>
      </c>
      <c r="HD236" s="62">
        <f>IF($B236=$B235,$HD235,0)+$HC236</f>
        <v/>
      </c>
      <c r="HE236" s="62">
        <f>$HE235+$HC236</f>
        <v/>
      </c>
      <c r="HF236" s="56">
        <f>IFERROR((SUMIFS(tblSafety[Recordables],tblSafety[Date],"&gt;="&amp;EDATE($E236,-12),tblSafety[Date],"&lt;="&amp;$A236)+SUMIFS(tblSafetyHistory[Recordables],tblSafetyHistory[Month],"&gt;="&amp;EDATE($E236,-12),tblSafetyHistory[Month],"&lt;"&amp;cfg_YearStart))/(SUMIFS(tblSafety[Hours_Total],tblSafety[Date],"&gt;="&amp;EDATE($E236,-12),tblSafety[Date],"&lt;="&amp;$A236)+SUMIFS(tblSafetyHistory[Hours_Total],tblSafetyHistory[Month],"&gt;="&amp;EDATE($E236,-12),tblSafetyHistory[Month],"&lt;"&amp;cfg_YearStart))*1000000,"")</f>
        <v/>
      </c>
      <c r="HG236" s="56">
        <f>IFERROR((SUMIFS(tblSafety[LTI],tblSafety[Date],"&gt;="&amp;EDATE($E236,-12),tblSafety[Date],"&lt;="&amp;$A236)+SUMIFS(tblSafetyHistory[LTI],tblSafetyHistory[Month],"&gt;="&amp;EDATE($E236,-12),tblSafetyHistory[Month],"&lt;"&amp;cfg_YearStart))/(SUMIFS(tblSafety[Hours_Total],tblSafety[Date],"&gt;="&amp;EDATE($E236,-12),tblSafety[Date],"&lt;="&amp;$A236)+SUMIFS(tblSafetyHistory[Hours_Total],tblSafetyHistory[Month],"&gt;="&amp;EDATE($E236,-12),tblSafetyHistory[Month],"&lt;"&amp;cfg_YearStart))*1000000,"")</f>
        <v/>
      </c>
      <c r="HH236" s="62">
        <f>IF(MAX(N(cfg_PriorLTIDate),_xlfn.MAXIFS(tblSafety[Date],tblSafety[LTI],"&gt;0",tblSafety[Date],"&lt;="&amp;$A236))=0,"",$A236-MAX(N(cfg_PriorLTIDate),_xlfn.MAXIFS(tblSafety[Date],tblSafety[LTI],"&gt;0",tblSafety[Date],"&lt;="&amp;$A236)))</f>
        <v/>
      </c>
      <c r="HI236" s="55">
        <f>SUMIFS(tblBudget[Ore_Mined_t],tblBudget[Month],$E236)</f>
        <v/>
      </c>
      <c r="HJ236" s="55">
        <f>$HI236*$C236/$D236</f>
        <v/>
      </c>
      <c r="HK236" s="55">
        <f>SUMIFS(tblBudget[Ore_Mined_t],tblBudget[Month],"&lt;"&amp;$E236)+$HJ236</f>
        <v/>
      </c>
      <c r="HL236" s="55">
        <f>SUMIFS(tblBudget[Ore_oz],tblBudget[Month],$E236)</f>
        <v/>
      </c>
      <c r="HM236" s="55">
        <f>$HL236*$C236/$D236</f>
        <v/>
      </c>
      <c r="HN236" s="55">
        <f>SUMIFS(tblBudget[Ore_oz],tblBudget[Month],"&lt;"&amp;$E236)+$HM236</f>
        <v/>
      </c>
      <c r="HO236" s="56">
        <f>IFERROR(IF(($HI236)&gt;0,($HL236*cfg_TroyOz)/($HI236),""),"")</f>
        <v/>
      </c>
      <c r="HP236" s="56">
        <f>IFERROR(IF(($HJ236)&gt;0,($HM236*cfg_TroyOz)/($HJ236),""),"")</f>
        <v/>
      </c>
      <c r="HQ236" s="56">
        <f>IFERROR(IF(($HK236)&gt;0,($HN236*cfg_TroyOz)/($HK236),""),"")</f>
        <v/>
      </c>
      <c r="HR236" s="55">
        <f>SUMIFS(tblBudget[Waste_t],tblBudget[Month],$E236)</f>
        <v/>
      </c>
      <c r="HS236" s="55">
        <f>$HR236*$C236/$D236</f>
        <v/>
      </c>
      <c r="HT236" s="55">
        <f>SUMIFS(tblBudget[Waste_t],tblBudget[Month],"&lt;"&amp;$E236)+$HS236</f>
        <v/>
      </c>
      <c r="HU236" s="55">
        <f>SUMIFS(tblBudget[TMM_t],tblBudget[Month],$E236)</f>
        <v/>
      </c>
      <c r="HV236" s="55">
        <f>$HU236*$C236/$D236</f>
        <v/>
      </c>
      <c r="HW236" s="55">
        <f>SUMIFS(tblBudget[TMM_t],tblBudget[Month],"&lt;"&amp;$E236)+$HV236</f>
        <v/>
      </c>
      <c r="HX236" s="56">
        <f>IFERROR(IF(($HI236)&gt;0,($HR236)/($HI236),""),"")</f>
        <v/>
      </c>
      <c r="HY236" s="56">
        <f>IFERROR(IF(($HJ236)&gt;0,($HS236)/($HJ236),""),"")</f>
        <v/>
      </c>
      <c r="HZ236" s="56">
        <f>IFERROR(IF(($HK236)&gt;0,($HT236)/($HK236),""),"")</f>
        <v/>
      </c>
      <c r="IA236" s="55">
        <f>SUMIFS(tblBudget[Drill_m],tblBudget[Month],$E236)</f>
        <v/>
      </c>
      <c r="IB236" s="55">
        <f>$IA236*$C236/$D236</f>
        <v/>
      </c>
      <c r="IC236" s="55">
        <f>SUMIFS(tblBudget[Drill_m],tblBudget[Month],"&lt;"&amp;$E236)+$IB236</f>
        <v/>
      </c>
      <c r="ID236" s="55">
        <f>SUMIFS(tblBudget[Diesel_L],tblBudget[Month],$E236)</f>
        <v/>
      </c>
      <c r="IE236" s="55">
        <f>$ID236*$C236/$D236</f>
        <v/>
      </c>
      <c r="IF236" s="55">
        <f>SUMIFS(tblBudget[Diesel_L],tblBudget[Month],"&lt;"&amp;$E236)+$IE236</f>
        <v/>
      </c>
      <c r="IG236" s="55">
        <f>SUMIFS(tblBudget[Milled_t],tblBudget[Month],$E236)</f>
        <v/>
      </c>
      <c r="IH236" s="55">
        <f>$IG236*$C236/$D236</f>
        <v/>
      </c>
      <c r="II236" s="55">
        <f>SUMIFS(tblBudget[Milled_t],tblBudget[Month],"&lt;"&amp;$E236)+$IH236</f>
        <v/>
      </c>
      <c r="IJ236" s="55">
        <f>SUMIFS(tblBudget[Feed_oz],tblBudget[Month],$E236)</f>
        <v/>
      </c>
      <c r="IK236" s="55">
        <f>$IJ236*$C236/$D236</f>
        <v/>
      </c>
      <c r="IL236" s="55">
        <f>SUMIFS(tblBudget[Feed_oz],tblBudget[Month],"&lt;"&amp;$E236)+$IK236</f>
        <v/>
      </c>
      <c r="IM236" s="55">
        <f>SUMIFS(tblBudget[Recovered_oz],tblBudget[Month],$E236)</f>
        <v/>
      </c>
      <c r="IN236" s="55">
        <f>$IM236*$C236/$D236</f>
        <v/>
      </c>
      <c r="IO236" s="55">
        <f>SUMIFS(tblBudget[Recovered_oz],tblBudget[Month],"&lt;"&amp;$E236)+$IN236</f>
        <v/>
      </c>
      <c r="IP236" s="56">
        <f>IFERROR(IF(($IG236)&gt;0,($IJ236*cfg_TroyOz)/($IG236),""),"")</f>
        <v/>
      </c>
      <c r="IQ236" s="56">
        <f>IFERROR(IF(($IH236)&gt;0,($IK236*cfg_TroyOz)/($IH236),""),"")</f>
        <v/>
      </c>
      <c r="IR236" s="56">
        <f>IFERROR(IF(($II236)&gt;0,($IL236*cfg_TroyOz)/($II236),""),"")</f>
        <v/>
      </c>
      <c r="IS236" s="67">
        <f>IFERROR(IF(($IJ236)&gt;0,($IM236)/($IJ236),""),"")</f>
        <v/>
      </c>
      <c r="IT236" s="67">
        <f>IFERROR(IF(($IK236)&gt;0,($IN236)/($IK236),""),"")</f>
        <v/>
      </c>
      <c r="IU236" s="67">
        <f>IFERROR(IF(($IL236)&gt;0,($IO236)/($IL236),""),"")</f>
        <v/>
      </c>
      <c r="IV236" s="55">
        <f>SUMIFS(tblBudget[Gold_Poured_oz],tblBudget[Month],$E236)</f>
        <v/>
      </c>
      <c r="IW236" s="55">
        <f>$IV236*$C236/$D236</f>
        <v/>
      </c>
      <c r="IX236" s="55">
        <f>SUMIFS(tblBudget[Gold_Poured_oz],tblBudget[Month],"&lt;"&amp;$E236)+$IW236</f>
        <v/>
      </c>
      <c r="IY236" s="57">
        <f>SUMIFS(tblBudget[Hours_Worked],tblBudget[Month],$E236)</f>
        <v/>
      </c>
      <c r="IZ236" s="57">
        <f>$IY236*$C236/$D236</f>
        <v/>
      </c>
      <c r="JA236" s="57">
        <f>SUMIFS(tblBudget[Hours_Worked],tblBudget[Month],"&lt;"&amp;$E236)+$IZ236</f>
        <v/>
      </c>
    </row>
    <row r="237">
      <c r="A237" s="54" t="n">
        <v>46258</v>
      </c>
      <c r="B237">
        <f>MONTH($A237)</f>
        <v/>
      </c>
      <c r="C237">
        <f>DAY($A237)</f>
        <v/>
      </c>
      <c r="D237">
        <f>DAY(EOMONTH($A237,0))</f>
        <v/>
      </c>
      <c r="E237" s="54">
        <f>DATE(YEAR($A237),MONTH($A237),1)</f>
        <v/>
      </c>
      <c r="F237" s="55">
        <f>SUMIFS(tblMovement[Tonnes_t],tblMovement[Date],$A237,tblMovement[Is_Ore],1,tblMovement[Source_Type],"Pit")</f>
        <v/>
      </c>
      <c r="G237" s="55">
        <f>IF($B237=$B236,$G236,0)+$F237</f>
        <v/>
      </c>
      <c r="H237" s="55">
        <f>$H236+$F237</f>
        <v/>
      </c>
      <c r="I237" s="55">
        <f>SUMIFS(tblMovement[Ore_oz],tblMovement[Date],$A237,tblMovement[Source_Type],"Pit")</f>
        <v/>
      </c>
      <c r="J237" s="55">
        <f>IF($B237=$B236,$J236,0)+$I237</f>
        <v/>
      </c>
      <c r="K237" s="55">
        <f>$K236+$I237</f>
        <v/>
      </c>
      <c r="L237" s="56">
        <f>IFERROR(IF(($F237)&gt;0,($I237*cfg_TroyOz)/($F237),""),"")</f>
        <v/>
      </c>
      <c r="M237" s="56">
        <f>IFERROR(IF(($G237)&gt;0,($J237*cfg_TroyOz)/($G237),""),"")</f>
        <v/>
      </c>
      <c r="N237" s="56">
        <f>IFERROR(IF(($H237)&gt;0,($K237*cfg_TroyOz)/($H237),""),"")</f>
        <v/>
      </c>
      <c r="O237" s="55">
        <f>SUMIFS(tblMovement[Tonnes_t],tblMovement[Date],$A237,tblMovement[Is_Ore],0,tblMovement[Source_Type],"Pit")</f>
        <v/>
      </c>
      <c r="P237" s="55">
        <f>IF($B237=$B236,$P236,0)+$O237</f>
        <v/>
      </c>
      <c r="Q237" s="55">
        <f>$Q236+$O237</f>
        <v/>
      </c>
      <c r="R237" s="55">
        <f>$F237+$O237</f>
        <v/>
      </c>
      <c r="S237" s="55">
        <f>IF($B237=$B236,$S236,0)+$R237</f>
        <v/>
      </c>
      <c r="T237" s="55">
        <f>$T236+$R237</f>
        <v/>
      </c>
      <c r="U237" s="56">
        <f>IFERROR(IF(($F237)&gt;0,($O237)/($F237),""),"")</f>
        <v/>
      </c>
      <c r="V237" s="56">
        <f>IFERROR(IF(($G237)&gt;0,($P237)/($G237),""),"")</f>
        <v/>
      </c>
      <c r="W237" s="56">
        <f>IFERROR(IF(($H237)&gt;0,($Q237)/($H237),""),"")</f>
        <v/>
      </c>
      <c r="X237" s="55">
        <f>SUMIFS(tblMovement[Tonnes_t],tblMovement[Date],$A237,tblMovement[Source_Type],"Stockpile")</f>
        <v/>
      </c>
      <c r="Y237" s="55">
        <f>IF($B237=$B236,$Y236,0)+$X237</f>
        <v/>
      </c>
      <c r="Z237" s="55">
        <f>$Z236+$X237</f>
        <v/>
      </c>
      <c r="AA237" s="55">
        <f>SUMIFS(tblMiningDaily[Drill_m],tblMiningDaily[Date],$A237)</f>
        <v/>
      </c>
      <c r="AB237" s="55">
        <f>IF($B237=$B236,$AB236,0)+$AA237</f>
        <v/>
      </c>
      <c r="AC237" s="55">
        <f>$AC236+$AA237</f>
        <v/>
      </c>
      <c r="AD237" s="55">
        <f>SUMIFS(tblMiningDaily[Blast_t],tblMiningDaily[Date],$A237)</f>
        <v/>
      </c>
      <c r="AE237" s="55">
        <f>IF($B237=$B236,$AE236,0)+$AD237</f>
        <v/>
      </c>
      <c r="AF237" s="55">
        <f>$AF236+$AD237</f>
        <v/>
      </c>
      <c r="AG237" s="55">
        <f>SUMIFS(tblMiningDaily[Explosives_kg],tblMiningDaily[Date],$A237)</f>
        <v/>
      </c>
      <c r="AH237" s="55">
        <f>IF($B237=$B236,$AH236,0)+$AG237</f>
        <v/>
      </c>
      <c r="AI237" s="55">
        <f>$AI236+$AG237</f>
        <v/>
      </c>
      <c r="AJ237" s="56">
        <f>IFERROR(IF(($AD237)&gt;0,($AG237)/($AD237),""),"")</f>
        <v/>
      </c>
      <c r="AK237" s="56">
        <f>IFERROR(IF(($AE237)&gt;0,($AH237)/($AE237),""),"")</f>
        <v/>
      </c>
      <c r="AL237" s="56">
        <f>IFERROR(IF(($AF237)&gt;0,($AI237)/($AF237),""),"")</f>
        <v/>
      </c>
      <c r="AM237" s="55">
        <f>SUMIFS(tblMiningDaily[Diesel_L],tblMiningDaily[Date],$A237)</f>
        <v/>
      </c>
      <c r="AN237" s="55">
        <f>IF($B237=$B236,$AN236,0)+$AM237</f>
        <v/>
      </c>
      <c r="AO237" s="55">
        <f>$AO236+$AM237</f>
        <v/>
      </c>
      <c r="AP237" s="55">
        <f>SUMIFS(tblMiningDaily[Dewatering_m3],tblMiningDaily[Date],$A237)</f>
        <v/>
      </c>
      <c r="AQ237" s="55">
        <f>IF($B237=$B236,$AQ236,0)+$AP237</f>
        <v/>
      </c>
      <c r="AR237" s="55">
        <f>$AR236+$AP237</f>
        <v/>
      </c>
      <c r="AS237" s="57">
        <f>SUMIFS(tblFleet[Calendar_h],tblFleet[Date],$A237,tblFleet[Equipment_Class],"Excavator")</f>
        <v/>
      </c>
      <c r="AT237" s="57">
        <f>IF($B237=$B236,$AT236,0)+$AS237</f>
        <v/>
      </c>
      <c r="AU237" s="57">
        <f>$AU236+$AS237</f>
        <v/>
      </c>
      <c r="AV237" s="57">
        <f>SUMIFS(tblFleet[Available_h],tblFleet[Date],$A237,tblFleet[Equipment_Class],"Excavator")</f>
        <v/>
      </c>
      <c r="AW237" s="57">
        <f>IF($B237=$B236,$AW236,0)+$AV237</f>
        <v/>
      </c>
      <c r="AX237" s="57">
        <f>$AX236+$AV237</f>
        <v/>
      </c>
      <c r="AY237" s="57">
        <f>SUMIFS(tblFleet[Operating_h],tblFleet[Date],$A237,tblFleet[Equipment_Class],"Excavator")</f>
        <v/>
      </c>
      <c r="AZ237" s="57">
        <f>IF($B237=$B236,$AZ236,0)+$AY237</f>
        <v/>
      </c>
      <c r="BA237" s="57">
        <f>$BA236+$AY237</f>
        <v/>
      </c>
      <c r="BB237" s="67">
        <f>IFERROR(IF(($AS237)&gt;0,($AV237)/($AS237),""),"")</f>
        <v/>
      </c>
      <c r="BC237" s="67">
        <f>IFERROR(IF(($AT237)&gt;0,($AW237)/($AT237),""),"")</f>
        <v/>
      </c>
      <c r="BD237" s="67">
        <f>IFERROR(IF(($AU237)&gt;0,($AX237)/($AU237),""),"")</f>
        <v/>
      </c>
      <c r="BE237" s="67">
        <f>IFERROR(IF(($AV237)&gt;0,($AY237)/($AV237),""),"")</f>
        <v/>
      </c>
      <c r="BF237" s="67">
        <f>IFERROR(IF(($AW237)&gt;0,($AZ237)/($AW237),""),"")</f>
        <v/>
      </c>
      <c r="BG237" s="67">
        <f>IFERROR(IF(($AX237)&gt;0,($BA237)/($AX237),""),"")</f>
        <v/>
      </c>
      <c r="BH237" s="57">
        <f>SUMIFS(tblFleet[Calendar_h],tblFleet[Date],$A237,tblFleet[Equipment_Class],"Haul Truck")</f>
        <v/>
      </c>
      <c r="BI237" s="57">
        <f>IF($B237=$B236,$BI236,0)+$BH237</f>
        <v/>
      </c>
      <c r="BJ237" s="57">
        <f>$BJ236+$BH237</f>
        <v/>
      </c>
      <c r="BK237" s="57">
        <f>SUMIFS(tblFleet[Available_h],tblFleet[Date],$A237,tblFleet[Equipment_Class],"Haul Truck")</f>
        <v/>
      </c>
      <c r="BL237" s="57">
        <f>IF($B237=$B236,$BL236,0)+$BK237</f>
        <v/>
      </c>
      <c r="BM237" s="57">
        <f>$BM236+$BK237</f>
        <v/>
      </c>
      <c r="BN237" s="57">
        <f>SUMIFS(tblFleet[Operating_h],tblFleet[Date],$A237,tblFleet[Equipment_Class],"Haul Truck")</f>
        <v/>
      </c>
      <c r="BO237" s="57">
        <f>IF($B237=$B236,$BO236,0)+$BN237</f>
        <v/>
      </c>
      <c r="BP237" s="57">
        <f>$BP236+$BN237</f>
        <v/>
      </c>
      <c r="BQ237" s="67">
        <f>IFERROR(IF(($BH237)&gt;0,($BK237)/($BH237),""),"")</f>
        <v/>
      </c>
      <c r="BR237" s="67">
        <f>IFERROR(IF(($BI237)&gt;0,($BL237)/($BI237),""),"")</f>
        <v/>
      </c>
      <c r="BS237" s="67">
        <f>IFERROR(IF(($BJ237)&gt;0,($BM237)/($BJ237),""),"")</f>
        <v/>
      </c>
      <c r="BT237" s="67">
        <f>IFERROR(IF(($BK237)&gt;0,($BN237)/($BK237),""),"")</f>
        <v/>
      </c>
      <c r="BU237" s="67">
        <f>IFERROR(IF(($BL237)&gt;0,($BO237)/($BL237),""),"")</f>
        <v/>
      </c>
      <c r="BV237" s="67">
        <f>IFERROR(IF(($BM237)&gt;0,($BP237)/($BM237),""),"")</f>
        <v/>
      </c>
      <c r="BW237" s="55">
        <f>SUMIFS(tblPlant[Crushed_t],tblPlant[Date],$A237)</f>
        <v/>
      </c>
      <c r="BX237" s="55">
        <f>IF($B237=$B236,$BX236,0)+$BW237</f>
        <v/>
      </c>
      <c r="BY237" s="55">
        <f>$BY236+$BW237</f>
        <v/>
      </c>
      <c r="BZ237" s="55">
        <f>SUMIFS(tblPlant[Milled_t],tblPlant[Date],$A237)</f>
        <v/>
      </c>
      <c r="CA237" s="55">
        <f>IF($B237=$B236,$CA236,0)+$BZ237</f>
        <v/>
      </c>
      <c r="CB237" s="55">
        <f>$CB236+$BZ237</f>
        <v/>
      </c>
      <c r="CC237" s="55">
        <f>SUMIFS(tblPlant[Feed_oz],tblPlant[Date],$A237)</f>
        <v/>
      </c>
      <c r="CD237" s="55">
        <f>IF($B237=$B236,$CD236,0)+$CC237</f>
        <v/>
      </c>
      <c r="CE237" s="55">
        <f>$CE236+$CC237</f>
        <v/>
      </c>
      <c r="CF237" s="55">
        <f>SUMIFS(tblPlant[Tails_oz],tblPlant[Date],$A237)</f>
        <v/>
      </c>
      <c r="CG237" s="55">
        <f>IF($B237=$B236,$CG236,0)+$CF237</f>
        <v/>
      </c>
      <c r="CH237" s="55">
        <f>$CH236+$CF237</f>
        <v/>
      </c>
      <c r="CI237" s="55">
        <f>SUMIFS(tblPlant[Recovered_oz],tblPlant[Date],$A237)</f>
        <v/>
      </c>
      <c r="CJ237" s="55">
        <f>IF($B237=$B236,$CJ236,0)+$CI237</f>
        <v/>
      </c>
      <c r="CK237" s="55">
        <f>$CK236+$CI237</f>
        <v/>
      </c>
      <c r="CL237" s="56">
        <f>IFERROR(IF(($BZ237)&gt;0,($CC237*cfg_TroyOz)/($BZ237),""),"")</f>
        <v/>
      </c>
      <c r="CM237" s="56">
        <f>IFERROR(IF(($CA237)&gt;0,($CD237*cfg_TroyOz)/($CA237),""),"")</f>
        <v/>
      </c>
      <c r="CN237" s="56">
        <f>IFERROR(IF(($CB237)&gt;0,($CE237*cfg_TroyOz)/($CB237),""),"")</f>
        <v/>
      </c>
      <c r="CO237" s="56">
        <f>IFERROR(IF(($BZ237)&gt;0,($CF237*cfg_TroyOz)/($BZ237),""),"")</f>
        <v/>
      </c>
      <c r="CP237" s="56">
        <f>IFERROR(IF(($CA237)&gt;0,($CG237*cfg_TroyOz)/($CA237),""),"")</f>
        <v/>
      </c>
      <c r="CQ237" s="56">
        <f>IFERROR(IF(($CB237)&gt;0,($CH237*cfg_TroyOz)/($CB237),""),"")</f>
        <v/>
      </c>
      <c r="CR237" s="67">
        <f>IFERROR(IF(($CC237)&gt;0,($CI237)/($CC237),""),"")</f>
        <v/>
      </c>
      <c r="CS237" s="67">
        <f>IFERROR(IF(($CD237)&gt;0,($CJ237)/($CD237),""),"")</f>
        <v/>
      </c>
      <c r="CT237" s="67">
        <f>IFERROR(IF(($CE237)&gt;0,($CK237)/($CE237),""),"")</f>
        <v/>
      </c>
      <c r="CU237" s="55">
        <f>SUMIFS(tblPlant[Gravity_Gold_oz],tblPlant[Date],$A237)</f>
        <v/>
      </c>
      <c r="CV237" s="55">
        <f>IF($B237=$B236,$CV236,0)+$CU237</f>
        <v/>
      </c>
      <c r="CW237" s="55">
        <f>$CW236+$CU237</f>
        <v/>
      </c>
      <c r="CX237" s="55">
        <f>SUMIFS(tblPlant[Gold_Poured_oz],tblPlant[Date],$A237)</f>
        <v/>
      </c>
      <c r="CY237" s="55">
        <f>IF($B237=$B236,$CY236,0)+$CX237</f>
        <v/>
      </c>
      <c r="CZ237" s="55">
        <f>$CZ236+$CX237</f>
        <v/>
      </c>
      <c r="DA237" s="57">
        <f>SUMIFS(tblPlant[Mill_Run_h],tblPlant[Date],$A237)</f>
        <v/>
      </c>
      <c r="DB237" s="57">
        <f>IF($B237=$B236,$DB236,0)+$DA237</f>
        <v/>
      </c>
      <c r="DC237" s="57">
        <f>$DC236+$DA237</f>
        <v/>
      </c>
      <c r="DD237" s="57">
        <f>SUMIFS(tblPlant[Mill_Planned_Maint_h],tblPlant[Date],$A237)</f>
        <v/>
      </c>
      <c r="DE237" s="57">
        <f>IF($B237=$B236,$DE236,0)+$DD237</f>
        <v/>
      </c>
      <c r="DF237" s="57">
        <f>$DF236+$DD237</f>
        <v/>
      </c>
      <c r="DG237" s="57">
        <f>SUMIFS(tblPlant[Mill_Unplanned_Down_h],tblPlant[Date],$A237)</f>
        <v/>
      </c>
      <c r="DH237" s="57">
        <f>IF($B237=$B236,$DH236,0)+$DG237</f>
        <v/>
      </c>
      <c r="DI237" s="57">
        <f>$DI236+$DG237</f>
        <v/>
      </c>
      <c r="DJ237" s="57">
        <f>COUNTIFS(tblPlant[Date],$A237,tblPlant[Mill_Run_h],"&lt;&gt;")*24</f>
        <v/>
      </c>
      <c r="DK237" s="57">
        <f>IF($B237=$B236,$DK236,0)+$DJ237</f>
        <v/>
      </c>
      <c r="DL237" s="57">
        <f>$DL236+$DJ237</f>
        <v/>
      </c>
      <c r="DM237" s="57">
        <f>SUMIFS(tblPlant[Crusher_Run_h],tblPlant[Date],$A237)</f>
        <v/>
      </c>
      <c r="DN237" s="57">
        <f>IF($B237=$B236,$DN236,0)+$DM237</f>
        <v/>
      </c>
      <c r="DO237" s="57">
        <f>$DO236+$DM237</f>
        <v/>
      </c>
      <c r="DP237" s="55">
        <f>IFERROR(IF(($DA237)&gt;0,($BZ237)/($DA237),""),"")</f>
        <v/>
      </c>
      <c r="DQ237" s="55">
        <f>IFERROR(IF(($DB237)&gt;0,($CA237)/($DB237),""),"")</f>
        <v/>
      </c>
      <c r="DR237" s="55">
        <f>IFERROR(IF(($DC237)&gt;0,($CB237)/($DC237),""),"")</f>
        <v/>
      </c>
      <c r="DS237" s="67">
        <f>IFERROR(IF(($DJ237)&gt;0,($DJ237-$DD237-$DG237)/($DJ237),""),"")</f>
        <v/>
      </c>
      <c r="DT237" s="67">
        <f>IFERROR(IF(($DK237)&gt;0,($DK237-$DE237-$DH237)/($DK237),""),"")</f>
        <v/>
      </c>
      <c r="DU237" s="67">
        <f>IFERROR(IF(($DL237)&gt;0,($DL237-$DF237-$DI237)/($DL237),""),"")</f>
        <v/>
      </c>
      <c r="DV237" s="67">
        <f>IFERROR(IF(($DJ237-$DD237-$DG237)&gt;0,($DA237)/($DJ237-$DD237-$DG237),""),"")</f>
        <v/>
      </c>
      <c r="DW237" s="67">
        <f>IFERROR(IF(($DK237-$DE237-$DH237)&gt;0,($DB237)/($DK237-$DE237-$DH237),""),"")</f>
        <v/>
      </c>
      <c r="DX237" s="67">
        <f>IFERROR(IF(($DL237-$DF237-$DI237)&gt;0,($DC237)/($DL237-$DF237-$DI237),""),"")</f>
        <v/>
      </c>
      <c r="DY237" s="55">
        <f>SUMIFS(tblPlant[Cyanide_kg],tblPlant[Date],$A237)</f>
        <v/>
      </c>
      <c r="DZ237" s="55">
        <f>IF($B237=$B236,$DZ236,0)+$DY237</f>
        <v/>
      </c>
      <c r="EA237" s="55">
        <f>$EA236+$DY237</f>
        <v/>
      </c>
      <c r="EB237" s="55">
        <f>SUMIFS(tblPlant[Lime_kg],tblPlant[Date],$A237)</f>
        <v/>
      </c>
      <c r="EC237" s="55">
        <f>IF($B237=$B236,$EC236,0)+$EB237</f>
        <v/>
      </c>
      <c r="ED237" s="55">
        <f>$ED236+$EB237</f>
        <v/>
      </c>
      <c r="EE237" s="55">
        <f>SUMIFS(tblPlant[Grinding_Media_kg],tblPlant[Date],$A237)</f>
        <v/>
      </c>
      <c r="EF237" s="55">
        <f>IF($B237=$B236,$EF236,0)+$EE237</f>
        <v/>
      </c>
      <c r="EG237" s="55">
        <f>$EG236+$EE237</f>
        <v/>
      </c>
      <c r="EH237" s="55">
        <f>SUMIFS(tblPlant[Power_kWh],tblPlant[Date],$A237)</f>
        <v/>
      </c>
      <c r="EI237" s="55">
        <f>IF($B237=$B236,$EI236,0)+$EH237</f>
        <v/>
      </c>
      <c r="EJ237" s="55">
        <f>$EJ236+$EH237</f>
        <v/>
      </c>
      <c r="EK237" s="55">
        <f>SUMIFS(tblPlant[Raw_Water_m3],tblPlant[Date],$A237)</f>
        <v/>
      </c>
      <c r="EL237" s="55">
        <f>IF($B237=$B236,$EL236,0)+$EK237</f>
        <v/>
      </c>
      <c r="EM237" s="55">
        <f>$EM236+$EK237</f>
        <v/>
      </c>
      <c r="EN237" s="56">
        <f>IFERROR(IF(($BZ237)&gt;0,($DY237)/($BZ237),""),"")</f>
        <v/>
      </c>
      <c r="EO237" s="56">
        <f>IFERROR(IF(($CA237)&gt;0,($DZ237)/($CA237),""),"")</f>
        <v/>
      </c>
      <c r="EP237" s="56">
        <f>IFERROR(IF(($CB237)&gt;0,($EA237)/($CB237),""),"")</f>
        <v/>
      </c>
      <c r="EQ237" s="56">
        <f>IFERROR(IF(($BZ237)&gt;0,($EB237)/($BZ237),""),"")</f>
        <v/>
      </c>
      <c r="ER237" s="56">
        <f>IFERROR(IF(($CA237)&gt;0,($EC237)/($CA237),""),"")</f>
        <v/>
      </c>
      <c r="ES237" s="56">
        <f>IFERROR(IF(($CB237)&gt;0,($ED237)/($CB237),""),"")</f>
        <v/>
      </c>
      <c r="ET237" s="56">
        <f>IFERROR(IF(($BZ237)&gt;0,($EE237)/($BZ237),""),"")</f>
        <v/>
      </c>
      <c r="EU237" s="56">
        <f>IFERROR(IF(($CA237)&gt;0,($EF237)/($CA237),""),"")</f>
        <v/>
      </c>
      <c r="EV237" s="56">
        <f>IFERROR(IF(($CB237)&gt;0,($EG237)/($CB237),""),"")</f>
        <v/>
      </c>
      <c r="EW237" s="76">
        <f>IFERROR(IF(($BZ237)&gt;0,($EH237)/($BZ237),""),"")</f>
        <v/>
      </c>
      <c r="EX237" s="76">
        <f>IFERROR(IF(($CA237)&gt;0,($EI237)/($CA237),""),"")</f>
        <v/>
      </c>
      <c r="EY237" s="76">
        <f>IFERROR(IF(($CB237)&gt;0,($EJ237)/($CB237),""),"")</f>
        <v/>
      </c>
      <c r="EZ237" s="56">
        <f>IFERROR(IF(($BZ237)&gt;0,($EK237)/($BZ237),""),"")</f>
        <v/>
      </c>
      <c r="FA237" s="56">
        <f>IFERROR(IF(($CA237)&gt;0,($EL237)/($CA237),""),"")</f>
        <v/>
      </c>
      <c r="FB237" s="56">
        <f>IFERROR(IF(($CB237)&gt;0,($EM237)/($CB237),""),"")</f>
        <v/>
      </c>
      <c r="FC237" s="55">
        <f>IF(SUMIFS(tblPlant[GIC_oz],tblPlant[Date],$A237)&gt;0,SUMIFS(tblPlant[GIC_oz],tblPlant[Date],$A237),"")</f>
        <v/>
      </c>
      <c r="FD237" s="55">
        <f>SUMIFS(tblGold[Gold_oz],tblGold[Date],$A237,tblGold[Type],"Shipment")</f>
        <v/>
      </c>
      <c r="FE237" s="55">
        <f>IF($B237=$B236,$FE236,0)+$FD237</f>
        <v/>
      </c>
      <c r="FF237" s="55">
        <f>$FF236+$FD237</f>
        <v/>
      </c>
      <c r="FG237" s="55">
        <f>SUMIFS(tblGold[Gold_oz],tblGold[Date],$A237,tblGold[Type],"Sale")</f>
        <v/>
      </c>
      <c r="FH237" s="55">
        <f>IF($B237=$B236,$FH236,0)+$FG237</f>
        <v/>
      </c>
      <c r="FI237" s="55">
        <f>$FI236+$FG237</f>
        <v/>
      </c>
      <c r="FJ237" s="55">
        <f>SUMIFS(tblGold[Dore_kg],tblGold[Date],$A237,tblGold[Type],"Shipment")</f>
        <v/>
      </c>
      <c r="FK237" s="55">
        <f>IF($B237=$B236,$FK236,0)+$FJ237</f>
        <v/>
      </c>
      <c r="FL237" s="55">
        <f>$FL236+$FJ237</f>
        <v/>
      </c>
      <c r="FM237" s="57">
        <f>SUMIFS(tblSafety[Hours_Total],tblSafety[Date],$A237)</f>
        <v/>
      </c>
      <c r="FN237" s="57">
        <f>IF($B237=$B236,$FN236,0)+$FM237</f>
        <v/>
      </c>
      <c r="FO237" s="57">
        <f>$FO236+$FM237</f>
        <v/>
      </c>
      <c r="FP237" s="62">
        <f>SUMIFS(tblSafety[Fatality],tblSafety[Date],$A237)</f>
        <v/>
      </c>
      <c r="FQ237" s="62">
        <f>IF($B237=$B236,$FQ236,0)+$FP237</f>
        <v/>
      </c>
      <c r="FR237" s="62">
        <f>$FR236+$FP237</f>
        <v/>
      </c>
      <c r="FS237" s="62">
        <f>SUMIFS(tblSafety[LTI],tblSafety[Date],$A237)</f>
        <v/>
      </c>
      <c r="FT237" s="62">
        <f>IF($B237=$B236,$FT236,0)+$FS237</f>
        <v/>
      </c>
      <c r="FU237" s="62">
        <f>$FU236+$FS237</f>
        <v/>
      </c>
      <c r="FV237" s="62">
        <f>SUMIFS(tblSafety[RWI],tblSafety[Date],$A237)</f>
        <v/>
      </c>
      <c r="FW237" s="62">
        <f>IF($B237=$B236,$FW236,0)+$FV237</f>
        <v/>
      </c>
      <c r="FX237" s="62">
        <f>$FX236+$FV237</f>
        <v/>
      </c>
      <c r="FY237" s="62">
        <f>SUMIFS(tblSafety[MTI],tblSafety[Date],$A237)</f>
        <v/>
      </c>
      <c r="FZ237" s="62">
        <f>IF($B237=$B236,$FZ236,0)+$FY237</f>
        <v/>
      </c>
      <c r="GA237" s="62">
        <f>$GA236+$FY237</f>
        <v/>
      </c>
      <c r="GB237" s="62">
        <f>SUMIFS(tblSafety[FAI],tblSafety[Date],$A237)</f>
        <v/>
      </c>
      <c r="GC237" s="62">
        <f>IF($B237=$B236,$GC236,0)+$GB237</f>
        <v/>
      </c>
      <c r="GD237" s="62">
        <f>$GD236+$GB237</f>
        <v/>
      </c>
      <c r="GE237" s="62">
        <f>SUMIFS(tblSafety[Recordables],tblSafety[Date],$A237)</f>
        <v/>
      </c>
      <c r="GF237" s="62">
        <f>IF($B237=$B236,$GF236,0)+$GE237</f>
        <v/>
      </c>
      <c r="GG237" s="62">
        <f>$GG236+$GE237</f>
        <v/>
      </c>
      <c r="GH237" s="62">
        <f>SUMIFS(tblSafety[Near_Miss],tblSafety[Date],$A237)</f>
        <v/>
      </c>
      <c r="GI237" s="62">
        <f>IF($B237=$B236,$GI236,0)+$GH237</f>
        <v/>
      </c>
      <c r="GJ237" s="62">
        <f>$GJ236+$GH237</f>
        <v/>
      </c>
      <c r="GK237" s="62">
        <f>SUMIFS(tblSafety[Hazard_Reports],tblSafety[Date],$A237)</f>
        <v/>
      </c>
      <c r="GL237" s="62">
        <f>IF($B237=$B236,$GL236,0)+$GK237</f>
        <v/>
      </c>
      <c r="GM237" s="62">
        <f>$GM236+$GK237</f>
        <v/>
      </c>
      <c r="GN237" s="62">
        <f>SUMIFS(tblSafety[HPI],tblSafety[Date],$A237)</f>
        <v/>
      </c>
      <c r="GO237" s="62">
        <f>IF($B237=$B236,$GO236,0)+$GN237</f>
        <v/>
      </c>
      <c r="GP237" s="62">
        <f>$GP236+$GN237</f>
        <v/>
      </c>
      <c r="GQ237" s="62">
        <f>SUMIFS(tblSafety[Env_Incidents],tblSafety[Date],$A237)</f>
        <v/>
      </c>
      <c r="GR237" s="62">
        <f>IF($B237=$B236,$GR236,0)+$GQ237</f>
        <v/>
      </c>
      <c r="GS237" s="62">
        <f>$GS236+$GQ237</f>
        <v/>
      </c>
      <c r="GT237" s="62">
        <f>SUMIFS(tblSafety[Community_Incidents],tblSafety[Date],$A237)</f>
        <v/>
      </c>
      <c r="GU237" s="62">
        <f>IF($B237=$B236,$GU236,0)+$GT237</f>
        <v/>
      </c>
      <c r="GV237" s="62">
        <f>$GV236+$GT237</f>
        <v/>
      </c>
      <c r="GW237" s="62">
        <f>SUMIFS(tblSafety[Vehicle_Incidents],tblSafety[Date],$A237)</f>
        <v/>
      </c>
      <c r="GX237" s="62">
        <f>IF($B237=$B236,$GX236,0)+$GW237</f>
        <v/>
      </c>
      <c r="GY237" s="62">
        <f>$GY236+$GW237</f>
        <v/>
      </c>
      <c r="GZ237" s="62">
        <f>SUMIFS(tblSafety[Toolbox_Talks],tblSafety[Date],$A237)</f>
        <v/>
      </c>
      <c r="HA237" s="62">
        <f>IF($B237=$B236,$HA236,0)+$GZ237</f>
        <v/>
      </c>
      <c r="HB237" s="62">
        <f>$HB236+$GZ237</f>
        <v/>
      </c>
      <c r="HC237" s="62">
        <f>SUMIFS(tblSafety[Inspections],tblSafety[Date],$A237)</f>
        <v/>
      </c>
      <c r="HD237" s="62">
        <f>IF($B237=$B236,$HD236,0)+$HC237</f>
        <v/>
      </c>
      <c r="HE237" s="62">
        <f>$HE236+$HC237</f>
        <v/>
      </c>
      <c r="HF237" s="56">
        <f>IFERROR((SUMIFS(tblSafety[Recordables],tblSafety[Date],"&gt;="&amp;EDATE($E237,-12),tblSafety[Date],"&lt;="&amp;$A237)+SUMIFS(tblSafetyHistory[Recordables],tblSafetyHistory[Month],"&gt;="&amp;EDATE($E237,-12),tblSafetyHistory[Month],"&lt;"&amp;cfg_YearStart))/(SUMIFS(tblSafety[Hours_Total],tblSafety[Date],"&gt;="&amp;EDATE($E237,-12),tblSafety[Date],"&lt;="&amp;$A237)+SUMIFS(tblSafetyHistory[Hours_Total],tblSafetyHistory[Month],"&gt;="&amp;EDATE($E237,-12),tblSafetyHistory[Month],"&lt;"&amp;cfg_YearStart))*1000000,"")</f>
        <v/>
      </c>
      <c r="HG237" s="56">
        <f>IFERROR((SUMIFS(tblSafety[LTI],tblSafety[Date],"&gt;="&amp;EDATE($E237,-12),tblSafety[Date],"&lt;="&amp;$A237)+SUMIFS(tblSafetyHistory[LTI],tblSafetyHistory[Month],"&gt;="&amp;EDATE($E237,-12),tblSafetyHistory[Month],"&lt;"&amp;cfg_YearStart))/(SUMIFS(tblSafety[Hours_Total],tblSafety[Date],"&gt;="&amp;EDATE($E237,-12),tblSafety[Date],"&lt;="&amp;$A237)+SUMIFS(tblSafetyHistory[Hours_Total],tblSafetyHistory[Month],"&gt;="&amp;EDATE($E237,-12),tblSafetyHistory[Month],"&lt;"&amp;cfg_YearStart))*1000000,"")</f>
        <v/>
      </c>
      <c r="HH237" s="62">
        <f>IF(MAX(N(cfg_PriorLTIDate),_xlfn.MAXIFS(tblSafety[Date],tblSafety[LTI],"&gt;0",tblSafety[Date],"&lt;="&amp;$A237))=0,"",$A237-MAX(N(cfg_PriorLTIDate),_xlfn.MAXIFS(tblSafety[Date],tblSafety[LTI],"&gt;0",tblSafety[Date],"&lt;="&amp;$A237)))</f>
        <v/>
      </c>
      <c r="HI237" s="55">
        <f>SUMIFS(tblBudget[Ore_Mined_t],tblBudget[Month],$E237)</f>
        <v/>
      </c>
      <c r="HJ237" s="55">
        <f>$HI237*$C237/$D237</f>
        <v/>
      </c>
      <c r="HK237" s="55">
        <f>SUMIFS(tblBudget[Ore_Mined_t],tblBudget[Month],"&lt;"&amp;$E237)+$HJ237</f>
        <v/>
      </c>
      <c r="HL237" s="55">
        <f>SUMIFS(tblBudget[Ore_oz],tblBudget[Month],$E237)</f>
        <v/>
      </c>
      <c r="HM237" s="55">
        <f>$HL237*$C237/$D237</f>
        <v/>
      </c>
      <c r="HN237" s="55">
        <f>SUMIFS(tblBudget[Ore_oz],tblBudget[Month],"&lt;"&amp;$E237)+$HM237</f>
        <v/>
      </c>
      <c r="HO237" s="56">
        <f>IFERROR(IF(($HI237)&gt;0,($HL237*cfg_TroyOz)/($HI237),""),"")</f>
        <v/>
      </c>
      <c r="HP237" s="56">
        <f>IFERROR(IF(($HJ237)&gt;0,($HM237*cfg_TroyOz)/($HJ237),""),"")</f>
        <v/>
      </c>
      <c r="HQ237" s="56">
        <f>IFERROR(IF(($HK237)&gt;0,($HN237*cfg_TroyOz)/($HK237),""),"")</f>
        <v/>
      </c>
      <c r="HR237" s="55">
        <f>SUMIFS(tblBudget[Waste_t],tblBudget[Month],$E237)</f>
        <v/>
      </c>
      <c r="HS237" s="55">
        <f>$HR237*$C237/$D237</f>
        <v/>
      </c>
      <c r="HT237" s="55">
        <f>SUMIFS(tblBudget[Waste_t],tblBudget[Month],"&lt;"&amp;$E237)+$HS237</f>
        <v/>
      </c>
      <c r="HU237" s="55">
        <f>SUMIFS(tblBudget[TMM_t],tblBudget[Month],$E237)</f>
        <v/>
      </c>
      <c r="HV237" s="55">
        <f>$HU237*$C237/$D237</f>
        <v/>
      </c>
      <c r="HW237" s="55">
        <f>SUMIFS(tblBudget[TMM_t],tblBudget[Month],"&lt;"&amp;$E237)+$HV237</f>
        <v/>
      </c>
      <c r="HX237" s="56">
        <f>IFERROR(IF(($HI237)&gt;0,($HR237)/($HI237),""),"")</f>
        <v/>
      </c>
      <c r="HY237" s="56">
        <f>IFERROR(IF(($HJ237)&gt;0,($HS237)/($HJ237),""),"")</f>
        <v/>
      </c>
      <c r="HZ237" s="56">
        <f>IFERROR(IF(($HK237)&gt;0,($HT237)/($HK237),""),"")</f>
        <v/>
      </c>
      <c r="IA237" s="55">
        <f>SUMIFS(tblBudget[Drill_m],tblBudget[Month],$E237)</f>
        <v/>
      </c>
      <c r="IB237" s="55">
        <f>$IA237*$C237/$D237</f>
        <v/>
      </c>
      <c r="IC237" s="55">
        <f>SUMIFS(tblBudget[Drill_m],tblBudget[Month],"&lt;"&amp;$E237)+$IB237</f>
        <v/>
      </c>
      <c r="ID237" s="55">
        <f>SUMIFS(tblBudget[Diesel_L],tblBudget[Month],$E237)</f>
        <v/>
      </c>
      <c r="IE237" s="55">
        <f>$ID237*$C237/$D237</f>
        <v/>
      </c>
      <c r="IF237" s="55">
        <f>SUMIFS(tblBudget[Diesel_L],tblBudget[Month],"&lt;"&amp;$E237)+$IE237</f>
        <v/>
      </c>
      <c r="IG237" s="55">
        <f>SUMIFS(tblBudget[Milled_t],tblBudget[Month],$E237)</f>
        <v/>
      </c>
      <c r="IH237" s="55">
        <f>$IG237*$C237/$D237</f>
        <v/>
      </c>
      <c r="II237" s="55">
        <f>SUMIFS(tblBudget[Milled_t],tblBudget[Month],"&lt;"&amp;$E237)+$IH237</f>
        <v/>
      </c>
      <c r="IJ237" s="55">
        <f>SUMIFS(tblBudget[Feed_oz],tblBudget[Month],$E237)</f>
        <v/>
      </c>
      <c r="IK237" s="55">
        <f>$IJ237*$C237/$D237</f>
        <v/>
      </c>
      <c r="IL237" s="55">
        <f>SUMIFS(tblBudget[Feed_oz],tblBudget[Month],"&lt;"&amp;$E237)+$IK237</f>
        <v/>
      </c>
      <c r="IM237" s="55">
        <f>SUMIFS(tblBudget[Recovered_oz],tblBudget[Month],$E237)</f>
        <v/>
      </c>
      <c r="IN237" s="55">
        <f>$IM237*$C237/$D237</f>
        <v/>
      </c>
      <c r="IO237" s="55">
        <f>SUMIFS(tblBudget[Recovered_oz],tblBudget[Month],"&lt;"&amp;$E237)+$IN237</f>
        <v/>
      </c>
      <c r="IP237" s="56">
        <f>IFERROR(IF(($IG237)&gt;0,($IJ237*cfg_TroyOz)/($IG237),""),"")</f>
        <v/>
      </c>
      <c r="IQ237" s="56">
        <f>IFERROR(IF(($IH237)&gt;0,($IK237*cfg_TroyOz)/($IH237),""),"")</f>
        <v/>
      </c>
      <c r="IR237" s="56">
        <f>IFERROR(IF(($II237)&gt;0,($IL237*cfg_TroyOz)/($II237),""),"")</f>
        <v/>
      </c>
      <c r="IS237" s="67">
        <f>IFERROR(IF(($IJ237)&gt;0,($IM237)/($IJ237),""),"")</f>
        <v/>
      </c>
      <c r="IT237" s="67">
        <f>IFERROR(IF(($IK237)&gt;0,($IN237)/($IK237),""),"")</f>
        <v/>
      </c>
      <c r="IU237" s="67">
        <f>IFERROR(IF(($IL237)&gt;0,($IO237)/($IL237),""),"")</f>
        <v/>
      </c>
      <c r="IV237" s="55">
        <f>SUMIFS(tblBudget[Gold_Poured_oz],tblBudget[Month],$E237)</f>
        <v/>
      </c>
      <c r="IW237" s="55">
        <f>$IV237*$C237/$D237</f>
        <v/>
      </c>
      <c r="IX237" s="55">
        <f>SUMIFS(tblBudget[Gold_Poured_oz],tblBudget[Month],"&lt;"&amp;$E237)+$IW237</f>
        <v/>
      </c>
      <c r="IY237" s="57">
        <f>SUMIFS(tblBudget[Hours_Worked],tblBudget[Month],$E237)</f>
        <v/>
      </c>
      <c r="IZ237" s="57">
        <f>$IY237*$C237/$D237</f>
        <v/>
      </c>
      <c r="JA237" s="57">
        <f>SUMIFS(tblBudget[Hours_Worked],tblBudget[Month],"&lt;"&amp;$E237)+$IZ237</f>
        <v/>
      </c>
    </row>
    <row r="238">
      <c r="A238" s="54" t="n">
        <v>46259</v>
      </c>
      <c r="B238">
        <f>MONTH($A238)</f>
        <v/>
      </c>
      <c r="C238">
        <f>DAY($A238)</f>
        <v/>
      </c>
      <c r="D238">
        <f>DAY(EOMONTH($A238,0))</f>
        <v/>
      </c>
      <c r="E238" s="54">
        <f>DATE(YEAR($A238),MONTH($A238),1)</f>
        <v/>
      </c>
      <c r="F238" s="55">
        <f>SUMIFS(tblMovement[Tonnes_t],tblMovement[Date],$A238,tblMovement[Is_Ore],1,tblMovement[Source_Type],"Pit")</f>
        <v/>
      </c>
      <c r="G238" s="55">
        <f>IF($B238=$B237,$G237,0)+$F238</f>
        <v/>
      </c>
      <c r="H238" s="55">
        <f>$H237+$F238</f>
        <v/>
      </c>
      <c r="I238" s="55">
        <f>SUMIFS(tblMovement[Ore_oz],tblMovement[Date],$A238,tblMovement[Source_Type],"Pit")</f>
        <v/>
      </c>
      <c r="J238" s="55">
        <f>IF($B238=$B237,$J237,0)+$I238</f>
        <v/>
      </c>
      <c r="K238" s="55">
        <f>$K237+$I238</f>
        <v/>
      </c>
      <c r="L238" s="56">
        <f>IFERROR(IF(($F238)&gt;0,($I238*cfg_TroyOz)/($F238),""),"")</f>
        <v/>
      </c>
      <c r="M238" s="56">
        <f>IFERROR(IF(($G238)&gt;0,($J238*cfg_TroyOz)/($G238),""),"")</f>
        <v/>
      </c>
      <c r="N238" s="56">
        <f>IFERROR(IF(($H238)&gt;0,($K238*cfg_TroyOz)/($H238),""),"")</f>
        <v/>
      </c>
      <c r="O238" s="55">
        <f>SUMIFS(tblMovement[Tonnes_t],tblMovement[Date],$A238,tblMovement[Is_Ore],0,tblMovement[Source_Type],"Pit")</f>
        <v/>
      </c>
      <c r="P238" s="55">
        <f>IF($B238=$B237,$P237,0)+$O238</f>
        <v/>
      </c>
      <c r="Q238" s="55">
        <f>$Q237+$O238</f>
        <v/>
      </c>
      <c r="R238" s="55">
        <f>$F238+$O238</f>
        <v/>
      </c>
      <c r="S238" s="55">
        <f>IF($B238=$B237,$S237,0)+$R238</f>
        <v/>
      </c>
      <c r="T238" s="55">
        <f>$T237+$R238</f>
        <v/>
      </c>
      <c r="U238" s="56">
        <f>IFERROR(IF(($F238)&gt;0,($O238)/($F238),""),"")</f>
        <v/>
      </c>
      <c r="V238" s="56">
        <f>IFERROR(IF(($G238)&gt;0,($P238)/($G238),""),"")</f>
        <v/>
      </c>
      <c r="W238" s="56">
        <f>IFERROR(IF(($H238)&gt;0,($Q238)/($H238),""),"")</f>
        <v/>
      </c>
      <c r="X238" s="55">
        <f>SUMIFS(tblMovement[Tonnes_t],tblMovement[Date],$A238,tblMovement[Source_Type],"Stockpile")</f>
        <v/>
      </c>
      <c r="Y238" s="55">
        <f>IF($B238=$B237,$Y237,0)+$X238</f>
        <v/>
      </c>
      <c r="Z238" s="55">
        <f>$Z237+$X238</f>
        <v/>
      </c>
      <c r="AA238" s="55">
        <f>SUMIFS(tblMiningDaily[Drill_m],tblMiningDaily[Date],$A238)</f>
        <v/>
      </c>
      <c r="AB238" s="55">
        <f>IF($B238=$B237,$AB237,0)+$AA238</f>
        <v/>
      </c>
      <c r="AC238" s="55">
        <f>$AC237+$AA238</f>
        <v/>
      </c>
      <c r="AD238" s="55">
        <f>SUMIFS(tblMiningDaily[Blast_t],tblMiningDaily[Date],$A238)</f>
        <v/>
      </c>
      <c r="AE238" s="55">
        <f>IF($B238=$B237,$AE237,0)+$AD238</f>
        <v/>
      </c>
      <c r="AF238" s="55">
        <f>$AF237+$AD238</f>
        <v/>
      </c>
      <c r="AG238" s="55">
        <f>SUMIFS(tblMiningDaily[Explosives_kg],tblMiningDaily[Date],$A238)</f>
        <v/>
      </c>
      <c r="AH238" s="55">
        <f>IF($B238=$B237,$AH237,0)+$AG238</f>
        <v/>
      </c>
      <c r="AI238" s="55">
        <f>$AI237+$AG238</f>
        <v/>
      </c>
      <c r="AJ238" s="56">
        <f>IFERROR(IF(($AD238)&gt;0,($AG238)/($AD238),""),"")</f>
        <v/>
      </c>
      <c r="AK238" s="56">
        <f>IFERROR(IF(($AE238)&gt;0,($AH238)/($AE238),""),"")</f>
        <v/>
      </c>
      <c r="AL238" s="56">
        <f>IFERROR(IF(($AF238)&gt;0,($AI238)/($AF238),""),"")</f>
        <v/>
      </c>
      <c r="AM238" s="55">
        <f>SUMIFS(tblMiningDaily[Diesel_L],tblMiningDaily[Date],$A238)</f>
        <v/>
      </c>
      <c r="AN238" s="55">
        <f>IF($B238=$B237,$AN237,0)+$AM238</f>
        <v/>
      </c>
      <c r="AO238" s="55">
        <f>$AO237+$AM238</f>
        <v/>
      </c>
      <c r="AP238" s="55">
        <f>SUMIFS(tblMiningDaily[Dewatering_m3],tblMiningDaily[Date],$A238)</f>
        <v/>
      </c>
      <c r="AQ238" s="55">
        <f>IF($B238=$B237,$AQ237,0)+$AP238</f>
        <v/>
      </c>
      <c r="AR238" s="55">
        <f>$AR237+$AP238</f>
        <v/>
      </c>
      <c r="AS238" s="57">
        <f>SUMIFS(tblFleet[Calendar_h],tblFleet[Date],$A238,tblFleet[Equipment_Class],"Excavator")</f>
        <v/>
      </c>
      <c r="AT238" s="57">
        <f>IF($B238=$B237,$AT237,0)+$AS238</f>
        <v/>
      </c>
      <c r="AU238" s="57">
        <f>$AU237+$AS238</f>
        <v/>
      </c>
      <c r="AV238" s="57">
        <f>SUMIFS(tblFleet[Available_h],tblFleet[Date],$A238,tblFleet[Equipment_Class],"Excavator")</f>
        <v/>
      </c>
      <c r="AW238" s="57">
        <f>IF($B238=$B237,$AW237,0)+$AV238</f>
        <v/>
      </c>
      <c r="AX238" s="57">
        <f>$AX237+$AV238</f>
        <v/>
      </c>
      <c r="AY238" s="57">
        <f>SUMIFS(tblFleet[Operating_h],tblFleet[Date],$A238,tblFleet[Equipment_Class],"Excavator")</f>
        <v/>
      </c>
      <c r="AZ238" s="57">
        <f>IF($B238=$B237,$AZ237,0)+$AY238</f>
        <v/>
      </c>
      <c r="BA238" s="57">
        <f>$BA237+$AY238</f>
        <v/>
      </c>
      <c r="BB238" s="67">
        <f>IFERROR(IF(($AS238)&gt;0,($AV238)/($AS238),""),"")</f>
        <v/>
      </c>
      <c r="BC238" s="67">
        <f>IFERROR(IF(($AT238)&gt;0,($AW238)/($AT238),""),"")</f>
        <v/>
      </c>
      <c r="BD238" s="67">
        <f>IFERROR(IF(($AU238)&gt;0,($AX238)/($AU238),""),"")</f>
        <v/>
      </c>
      <c r="BE238" s="67">
        <f>IFERROR(IF(($AV238)&gt;0,($AY238)/($AV238),""),"")</f>
        <v/>
      </c>
      <c r="BF238" s="67">
        <f>IFERROR(IF(($AW238)&gt;0,($AZ238)/($AW238),""),"")</f>
        <v/>
      </c>
      <c r="BG238" s="67">
        <f>IFERROR(IF(($AX238)&gt;0,($BA238)/($AX238),""),"")</f>
        <v/>
      </c>
      <c r="BH238" s="57">
        <f>SUMIFS(tblFleet[Calendar_h],tblFleet[Date],$A238,tblFleet[Equipment_Class],"Haul Truck")</f>
        <v/>
      </c>
      <c r="BI238" s="57">
        <f>IF($B238=$B237,$BI237,0)+$BH238</f>
        <v/>
      </c>
      <c r="BJ238" s="57">
        <f>$BJ237+$BH238</f>
        <v/>
      </c>
      <c r="BK238" s="57">
        <f>SUMIFS(tblFleet[Available_h],tblFleet[Date],$A238,tblFleet[Equipment_Class],"Haul Truck")</f>
        <v/>
      </c>
      <c r="BL238" s="57">
        <f>IF($B238=$B237,$BL237,0)+$BK238</f>
        <v/>
      </c>
      <c r="BM238" s="57">
        <f>$BM237+$BK238</f>
        <v/>
      </c>
      <c r="BN238" s="57">
        <f>SUMIFS(tblFleet[Operating_h],tblFleet[Date],$A238,tblFleet[Equipment_Class],"Haul Truck")</f>
        <v/>
      </c>
      <c r="BO238" s="57">
        <f>IF($B238=$B237,$BO237,0)+$BN238</f>
        <v/>
      </c>
      <c r="BP238" s="57">
        <f>$BP237+$BN238</f>
        <v/>
      </c>
      <c r="BQ238" s="67">
        <f>IFERROR(IF(($BH238)&gt;0,($BK238)/($BH238),""),"")</f>
        <v/>
      </c>
      <c r="BR238" s="67">
        <f>IFERROR(IF(($BI238)&gt;0,($BL238)/($BI238),""),"")</f>
        <v/>
      </c>
      <c r="BS238" s="67">
        <f>IFERROR(IF(($BJ238)&gt;0,($BM238)/($BJ238),""),"")</f>
        <v/>
      </c>
      <c r="BT238" s="67">
        <f>IFERROR(IF(($BK238)&gt;0,($BN238)/($BK238),""),"")</f>
        <v/>
      </c>
      <c r="BU238" s="67">
        <f>IFERROR(IF(($BL238)&gt;0,($BO238)/($BL238),""),"")</f>
        <v/>
      </c>
      <c r="BV238" s="67">
        <f>IFERROR(IF(($BM238)&gt;0,($BP238)/($BM238),""),"")</f>
        <v/>
      </c>
      <c r="BW238" s="55">
        <f>SUMIFS(tblPlant[Crushed_t],tblPlant[Date],$A238)</f>
        <v/>
      </c>
      <c r="BX238" s="55">
        <f>IF($B238=$B237,$BX237,0)+$BW238</f>
        <v/>
      </c>
      <c r="BY238" s="55">
        <f>$BY237+$BW238</f>
        <v/>
      </c>
      <c r="BZ238" s="55">
        <f>SUMIFS(tblPlant[Milled_t],tblPlant[Date],$A238)</f>
        <v/>
      </c>
      <c r="CA238" s="55">
        <f>IF($B238=$B237,$CA237,0)+$BZ238</f>
        <v/>
      </c>
      <c r="CB238" s="55">
        <f>$CB237+$BZ238</f>
        <v/>
      </c>
      <c r="CC238" s="55">
        <f>SUMIFS(tblPlant[Feed_oz],tblPlant[Date],$A238)</f>
        <v/>
      </c>
      <c r="CD238" s="55">
        <f>IF($B238=$B237,$CD237,0)+$CC238</f>
        <v/>
      </c>
      <c r="CE238" s="55">
        <f>$CE237+$CC238</f>
        <v/>
      </c>
      <c r="CF238" s="55">
        <f>SUMIFS(tblPlant[Tails_oz],tblPlant[Date],$A238)</f>
        <v/>
      </c>
      <c r="CG238" s="55">
        <f>IF($B238=$B237,$CG237,0)+$CF238</f>
        <v/>
      </c>
      <c r="CH238" s="55">
        <f>$CH237+$CF238</f>
        <v/>
      </c>
      <c r="CI238" s="55">
        <f>SUMIFS(tblPlant[Recovered_oz],tblPlant[Date],$A238)</f>
        <v/>
      </c>
      <c r="CJ238" s="55">
        <f>IF($B238=$B237,$CJ237,0)+$CI238</f>
        <v/>
      </c>
      <c r="CK238" s="55">
        <f>$CK237+$CI238</f>
        <v/>
      </c>
      <c r="CL238" s="56">
        <f>IFERROR(IF(($BZ238)&gt;0,($CC238*cfg_TroyOz)/($BZ238),""),"")</f>
        <v/>
      </c>
      <c r="CM238" s="56">
        <f>IFERROR(IF(($CA238)&gt;0,($CD238*cfg_TroyOz)/($CA238),""),"")</f>
        <v/>
      </c>
      <c r="CN238" s="56">
        <f>IFERROR(IF(($CB238)&gt;0,($CE238*cfg_TroyOz)/($CB238),""),"")</f>
        <v/>
      </c>
      <c r="CO238" s="56">
        <f>IFERROR(IF(($BZ238)&gt;0,($CF238*cfg_TroyOz)/($BZ238),""),"")</f>
        <v/>
      </c>
      <c r="CP238" s="56">
        <f>IFERROR(IF(($CA238)&gt;0,($CG238*cfg_TroyOz)/($CA238),""),"")</f>
        <v/>
      </c>
      <c r="CQ238" s="56">
        <f>IFERROR(IF(($CB238)&gt;0,($CH238*cfg_TroyOz)/($CB238),""),"")</f>
        <v/>
      </c>
      <c r="CR238" s="67">
        <f>IFERROR(IF(($CC238)&gt;0,($CI238)/($CC238),""),"")</f>
        <v/>
      </c>
      <c r="CS238" s="67">
        <f>IFERROR(IF(($CD238)&gt;0,($CJ238)/($CD238),""),"")</f>
        <v/>
      </c>
      <c r="CT238" s="67">
        <f>IFERROR(IF(($CE238)&gt;0,($CK238)/($CE238),""),"")</f>
        <v/>
      </c>
      <c r="CU238" s="55">
        <f>SUMIFS(tblPlant[Gravity_Gold_oz],tblPlant[Date],$A238)</f>
        <v/>
      </c>
      <c r="CV238" s="55">
        <f>IF($B238=$B237,$CV237,0)+$CU238</f>
        <v/>
      </c>
      <c r="CW238" s="55">
        <f>$CW237+$CU238</f>
        <v/>
      </c>
      <c r="CX238" s="55">
        <f>SUMIFS(tblPlant[Gold_Poured_oz],tblPlant[Date],$A238)</f>
        <v/>
      </c>
      <c r="CY238" s="55">
        <f>IF($B238=$B237,$CY237,0)+$CX238</f>
        <v/>
      </c>
      <c r="CZ238" s="55">
        <f>$CZ237+$CX238</f>
        <v/>
      </c>
      <c r="DA238" s="57">
        <f>SUMIFS(tblPlant[Mill_Run_h],tblPlant[Date],$A238)</f>
        <v/>
      </c>
      <c r="DB238" s="57">
        <f>IF($B238=$B237,$DB237,0)+$DA238</f>
        <v/>
      </c>
      <c r="DC238" s="57">
        <f>$DC237+$DA238</f>
        <v/>
      </c>
      <c r="DD238" s="57">
        <f>SUMIFS(tblPlant[Mill_Planned_Maint_h],tblPlant[Date],$A238)</f>
        <v/>
      </c>
      <c r="DE238" s="57">
        <f>IF($B238=$B237,$DE237,0)+$DD238</f>
        <v/>
      </c>
      <c r="DF238" s="57">
        <f>$DF237+$DD238</f>
        <v/>
      </c>
      <c r="DG238" s="57">
        <f>SUMIFS(tblPlant[Mill_Unplanned_Down_h],tblPlant[Date],$A238)</f>
        <v/>
      </c>
      <c r="DH238" s="57">
        <f>IF($B238=$B237,$DH237,0)+$DG238</f>
        <v/>
      </c>
      <c r="DI238" s="57">
        <f>$DI237+$DG238</f>
        <v/>
      </c>
      <c r="DJ238" s="57">
        <f>COUNTIFS(tblPlant[Date],$A238,tblPlant[Mill_Run_h],"&lt;&gt;")*24</f>
        <v/>
      </c>
      <c r="DK238" s="57">
        <f>IF($B238=$B237,$DK237,0)+$DJ238</f>
        <v/>
      </c>
      <c r="DL238" s="57">
        <f>$DL237+$DJ238</f>
        <v/>
      </c>
      <c r="DM238" s="57">
        <f>SUMIFS(tblPlant[Crusher_Run_h],tblPlant[Date],$A238)</f>
        <v/>
      </c>
      <c r="DN238" s="57">
        <f>IF($B238=$B237,$DN237,0)+$DM238</f>
        <v/>
      </c>
      <c r="DO238" s="57">
        <f>$DO237+$DM238</f>
        <v/>
      </c>
      <c r="DP238" s="55">
        <f>IFERROR(IF(($DA238)&gt;0,($BZ238)/($DA238),""),"")</f>
        <v/>
      </c>
      <c r="DQ238" s="55">
        <f>IFERROR(IF(($DB238)&gt;0,($CA238)/($DB238),""),"")</f>
        <v/>
      </c>
      <c r="DR238" s="55">
        <f>IFERROR(IF(($DC238)&gt;0,($CB238)/($DC238),""),"")</f>
        <v/>
      </c>
      <c r="DS238" s="67">
        <f>IFERROR(IF(($DJ238)&gt;0,($DJ238-$DD238-$DG238)/($DJ238),""),"")</f>
        <v/>
      </c>
      <c r="DT238" s="67">
        <f>IFERROR(IF(($DK238)&gt;0,($DK238-$DE238-$DH238)/($DK238),""),"")</f>
        <v/>
      </c>
      <c r="DU238" s="67">
        <f>IFERROR(IF(($DL238)&gt;0,($DL238-$DF238-$DI238)/($DL238),""),"")</f>
        <v/>
      </c>
      <c r="DV238" s="67">
        <f>IFERROR(IF(($DJ238-$DD238-$DG238)&gt;0,($DA238)/($DJ238-$DD238-$DG238),""),"")</f>
        <v/>
      </c>
      <c r="DW238" s="67">
        <f>IFERROR(IF(($DK238-$DE238-$DH238)&gt;0,($DB238)/($DK238-$DE238-$DH238),""),"")</f>
        <v/>
      </c>
      <c r="DX238" s="67">
        <f>IFERROR(IF(($DL238-$DF238-$DI238)&gt;0,($DC238)/($DL238-$DF238-$DI238),""),"")</f>
        <v/>
      </c>
      <c r="DY238" s="55">
        <f>SUMIFS(tblPlant[Cyanide_kg],tblPlant[Date],$A238)</f>
        <v/>
      </c>
      <c r="DZ238" s="55">
        <f>IF($B238=$B237,$DZ237,0)+$DY238</f>
        <v/>
      </c>
      <c r="EA238" s="55">
        <f>$EA237+$DY238</f>
        <v/>
      </c>
      <c r="EB238" s="55">
        <f>SUMIFS(tblPlant[Lime_kg],tblPlant[Date],$A238)</f>
        <v/>
      </c>
      <c r="EC238" s="55">
        <f>IF($B238=$B237,$EC237,0)+$EB238</f>
        <v/>
      </c>
      <c r="ED238" s="55">
        <f>$ED237+$EB238</f>
        <v/>
      </c>
      <c r="EE238" s="55">
        <f>SUMIFS(tblPlant[Grinding_Media_kg],tblPlant[Date],$A238)</f>
        <v/>
      </c>
      <c r="EF238" s="55">
        <f>IF($B238=$B237,$EF237,0)+$EE238</f>
        <v/>
      </c>
      <c r="EG238" s="55">
        <f>$EG237+$EE238</f>
        <v/>
      </c>
      <c r="EH238" s="55">
        <f>SUMIFS(tblPlant[Power_kWh],tblPlant[Date],$A238)</f>
        <v/>
      </c>
      <c r="EI238" s="55">
        <f>IF($B238=$B237,$EI237,0)+$EH238</f>
        <v/>
      </c>
      <c r="EJ238" s="55">
        <f>$EJ237+$EH238</f>
        <v/>
      </c>
      <c r="EK238" s="55">
        <f>SUMIFS(tblPlant[Raw_Water_m3],tblPlant[Date],$A238)</f>
        <v/>
      </c>
      <c r="EL238" s="55">
        <f>IF($B238=$B237,$EL237,0)+$EK238</f>
        <v/>
      </c>
      <c r="EM238" s="55">
        <f>$EM237+$EK238</f>
        <v/>
      </c>
      <c r="EN238" s="56">
        <f>IFERROR(IF(($BZ238)&gt;0,($DY238)/($BZ238),""),"")</f>
        <v/>
      </c>
      <c r="EO238" s="56">
        <f>IFERROR(IF(($CA238)&gt;0,($DZ238)/($CA238),""),"")</f>
        <v/>
      </c>
      <c r="EP238" s="56">
        <f>IFERROR(IF(($CB238)&gt;0,($EA238)/($CB238),""),"")</f>
        <v/>
      </c>
      <c r="EQ238" s="56">
        <f>IFERROR(IF(($BZ238)&gt;0,($EB238)/($BZ238),""),"")</f>
        <v/>
      </c>
      <c r="ER238" s="56">
        <f>IFERROR(IF(($CA238)&gt;0,($EC238)/($CA238),""),"")</f>
        <v/>
      </c>
      <c r="ES238" s="56">
        <f>IFERROR(IF(($CB238)&gt;0,($ED238)/($CB238),""),"")</f>
        <v/>
      </c>
      <c r="ET238" s="56">
        <f>IFERROR(IF(($BZ238)&gt;0,($EE238)/($BZ238),""),"")</f>
        <v/>
      </c>
      <c r="EU238" s="56">
        <f>IFERROR(IF(($CA238)&gt;0,($EF238)/($CA238),""),"")</f>
        <v/>
      </c>
      <c r="EV238" s="56">
        <f>IFERROR(IF(($CB238)&gt;0,($EG238)/($CB238),""),"")</f>
        <v/>
      </c>
      <c r="EW238" s="76">
        <f>IFERROR(IF(($BZ238)&gt;0,($EH238)/($BZ238),""),"")</f>
        <v/>
      </c>
      <c r="EX238" s="76">
        <f>IFERROR(IF(($CA238)&gt;0,($EI238)/($CA238),""),"")</f>
        <v/>
      </c>
      <c r="EY238" s="76">
        <f>IFERROR(IF(($CB238)&gt;0,($EJ238)/($CB238),""),"")</f>
        <v/>
      </c>
      <c r="EZ238" s="56">
        <f>IFERROR(IF(($BZ238)&gt;0,($EK238)/($BZ238),""),"")</f>
        <v/>
      </c>
      <c r="FA238" s="56">
        <f>IFERROR(IF(($CA238)&gt;0,($EL238)/($CA238),""),"")</f>
        <v/>
      </c>
      <c r="FB238" s="56">
        <f>IFERROR(IF(($CB238)&gt;0,($EM238)/($CB238),""),"")</f>
        <v/>
      </c>
      <c r="FC238" s="55">
        <f>IF(SUMIFS(tblPlant[GIC_oz],tblPlant[Date],$A238)&gt;0,SUMIFS(tblPlant[GIC_oz],tblPlant[Date],$A238),"")</f>
        <v/>
      </c>
      <c r="FD238" s="55">
        <f>SUMIFS(tblGold[Gold_oz],tblGold[Date],$A238,tblGold[Type],"Shipment")</f>
        <v/>
      </c>
      <c r="FE238" s="55">
        <f>IF($B238=$B237,$FE237,0)+$FD238</f>
        <v/>
      </c>
      <c r="FF238" s="55">
        <f>$FF237+$FD238</f>
        <v/>
      </c>
      <c r="FG238" s="55">
        <f>SUMIFS(tblGold[Gold_oz],tblGold[Date],$A238,tblGold[Type],"Sale")</f>
        <v/>
      </c>
      <c r="FH238" s="55">
        <f>IF($B238=$B237,$FH237,0)+$FG238</f>
        <v/>
      </c>
      <c r="FI238" s="55">
        <f>$FI237+$FG238</f>
        <v/>
      </c>
      <c r="FJ238" s="55">
        <f>SUMIFS(tblGold[Dore_kg],tblGold[Date],$A238,tblGold[Type],"Shipment")</f>
        <v/>
      </c>
      <c r="FK238" s="55">
        <f>IF($B238=$B237,$FK237,0)+$FJ238</f>
        <v/>
      </c>
      <c r="FL238" s="55">
        <f>$FL237+$FJ238</f>
        <v/>
      </c>
      <c r="FM238" s="57">
        <f>SUMIFS(tblSafety[Hours_Total],tblSafety[Date],$A238)</f>
        <v/>
      </c>
      <c r="FN238" s="57">
        <f>IF($B238=$B237,$FN237,0)+$FM238</f>
        <v/>
      </c>
      <c r="FO238" s="57">
        <f>$FO237+$FM238</f>
        <v/>
      </c>
      <c r="FP238" s="62">
        <f>SUMIFS(tblSafety[Fatality],tblSafety[Date],$A238)</f>
        <v/>
      </c>
      <c r="FQ238" s="62">
        <f>IF($B238=$B237,$FQ237,0)+$FP238</f>
        <v/>
      </c>
      <c r="FR238" s="62">
        <f>$FR237+$FP238</f>
        <v/>
      </c>
      <c r="FS238" s="62">
        <f>SUMIFS(tblSafety[LTI],tblSafety[Date],$A238)</f>
        <v/>
      </c>
      <c r="FT238" s="62">
        <f>IF($B238=$B237,$FT237,0)+$FS238</f>
        <v/>
      </c>
      <c r="FU238" s="62">
        <f>$FU237+$FS238</f>
        <v/>
      </c>
      <c r="FV238" s="62">
        <f>SUMIFS(tblSafety[RWI],tblSafety[Date],$A238)</f>
        <v/>
      </c>
      <c r="FW238" s="62">
        <f>IF($B238=$B237,$FW237,0)+$FV238</f>
        <v/>
      </c>
      <c r="FX238" s="62">
        <f>$FX237+$FV238</f>
        <v/>
      </c>
      <c r="FY238" s="62">
        <f>SUMIFS(tblSafety[MTI],tblSafety[Date],$A238)</f>
        <v/>
      </c>
      <c r="FZ238" s="62">
        <f>IF($B238=$B237,$FZ237,0)+$FY238</f>
        <v/>
      </c>
      <c r="GA238" s="62">
        <f>$GA237+$FY238</f>
        <v/>
      </c>
      <c r="GB238" s="62">
        <f>SUMIFS(tblSafety[FAI],tblSafety[Date],$A238)</f>
        <v/>
      </c>
      <c r="GC238" s="62">
        <f>IF($B238=$B237,$GC237,0)+$GB238</f>
        <v/>
      </c>
      <c r="GD238" s="62">
        <f>$GD237+$GB238</f>
        <v/>
      </c>
      <c r="GE238" s="62">
        <f>SUMIFS(tblSafety[Recordables],tblSafety[Date],$A238)</f>
        <v/>
      </c>
      <c r="GF238" s="62">
        <f>IF($B238=$B237,$GF237,0)+$GE238</f>
        <v/>
      </c>
      <c r="GG238" s="62">
        <f>$GG237+$GE238</f>
        <v/>
      </c>
      <c r="GH238" s="62">
        <f>SUMIFS(tblSafety[Near_Miss],tblSafety[Date],$A238)</f>
        <v/>
      </c>
      <c r="GI238" s="62">
        <f>IF($B238=$B237,$GI237,0)+$GH238</f>
        <v/>
      </c>
      <c r="GJ238" s="62">
        <f>$GJ237+$GH238</f>
        <v/>
      </c>
      <c r="GK238" s="62">
        <f>SUMIFS(tblSafety[Hazard_Reports],tblSafety[Date],$A238)</f>
        <v/>
      </c>
      <c r="GL238" s="62">
        <f>IF($B238=$B237,$GL237,0)+$GK238</f>
        <v/>
      </c>
      <c r="GM238" s="62">
        <f>$GM237+$GK238</f>
        <v/>
      </c>
      <c r="GN238" s="62">
        <f>SUMIFS(tblSafety[HPI],tblSafety[Date],$A238)</f>
        <v/>
      </c>
      <c r="GO238" s="62">
        <f>IF($B238=$B237,$GO237,0)+$GN238</f>
        <v/>
      </c>
      <c r="GP238" s="62">
        <f>$GP237+$GN238</f>
        <v/>
      </c>
      <c r="GQ238" s="62">
        <f>SUMIFS(tblSafety[Env_Incidents],tblSafety[Date],$A238)</f>
        <v/>
      </c>
      <c r="GR238" s="62">
        <f>IF($B238=$B237,$GR237,0)+$GQ238</f>
        <v/>
      </c>
      <c r="GS238" s="62">
        <f>$GS237+$GQ238</f>
        <v/>
      </c>
      <c r="GT238" s="62">
        <f>SUMIFS(tblSafety[Community_Incidents],tblSafety[Date],$A238)</f>
        <v/>
      </c>
      <c r="GU238" s="62">
        <f>IF($B238=$B237,$GU237,0)+$GT238</f>
        <v/>
      </c>
      <c r="GV238" s="62">
        <f>$GV237+$GT238</f>
        <v/>
      </c>
      <c r="GW238" s="62">
        <f>SUMIFS(tblSafety[Vehicle_Incidents],tblSafety[Date],$A238)</f>
        <v/>
      </c>
      <c r="GX238" s="62">
        <f>IF($B238=$B237,$GX237,0)+$GW238</f>
        <v/>
      </c>
      <c r="GY238" s="62">
        <f>$GY237+$GW238</f>
        <v/>
      </c>
      <c r="GZ238" s="62">
        <f>SUMIFS(tblSafety[Toolbox_Talks],tblSafety[Date],$A238)</f>
        <v/>
      </c>
      <c r="HA238" s="62">
        <f>IF($B238=$B237,$HA237,0)+$GZ238</f>
        <v/>
      </c>
      <c r="HB238" s="62">
        <f>$HB237+$GZ238</f>
        <v/>
      </c>
      <c r="HC238" s="62">
        <f>SUMIFS(tblSafety[Inspections],tblSafety[Date],$A238)</f>
        <v/>
      </c>
      <c r="HD238" s="62">
        <f>IF($B238=$B237,$HD237,0)+$HC238</f>
        <v/>
      </c>
      <c r="HE238" s="62">
        <f>$HE237+$HC238</f>
        <v/>
      </c>
      <c r="HF238" s="56">
        <f>IFERROR((SUMIFS(tblSafety[Recordables],tblSafety[Date],"&gt;="&amp;EDATE($E238,-12),tblSafety[Date],"&lt;="&amp;$A238)+SUMIFS(tblSafetyHistory[Recordables],tblSafetyHistory[Month],"&gt;="&amp;EDATE($E238,-12),tblSafetyHistory[Month],"&lt;"&amp;cfg_YearStart))/(SUMIFS(tblSafety[Hours_Total],tblSafety[Date],"&gt;="&amp;EDATE($E238,-12),tblSafety[Date],"&lt;="&amp;$A238)+SUMIFS(tblSafetyHistory[Hours_Total],tblSafetyHistory[Month],"&gt;="&amp;EDATE($E238,-12),tblSafetyHistory[Month],"&lt;"&amp;cfg_YearStart))*1000000,"")</f>
        <v/>
      </c>
      <c r="HG238" s="56">
        <f>IFERROR((SUMIFS(tblSafety[LTI],tblSafety[Date],"&gt;="&amp;EDATE($E238,-12),tblSafety[Date],"&lt;="&amp;$A238)+SUMIFS(tblSafetyHistory[LTI],tblSafetyHistory[Month],"&gt;="&amp;EDATE($E238,-12),tblSafetyHistory[Month],"&lt;"&amp;cfg_YearStart))/(SUMIFS(tblSafety[Hours_Total],tblSafety[Date],"&gt;="&amp;EDATE($E238,-12),tblSafety[Date],"&lt;="&amp;$A238)+SUMIFS(tblSafetyHistory[Hours_Total],tblSafetyHistory[Month],"&gt;="&amp;EDATE($E238,-12),tblSafetyHistory[Month],"&lt;"&amp;cfg_YearStart))*1000000,"")</f>
        <v/>
      </c>
      <c r="HH238" s="62">
        <f>IF(MAX(N(cfg_PriorLTIDate),_xlfn.MAXIFS(tblSafety[Date],tblSafety[LTI],"&gt;0",tblSafety[Date],"&lt;="&amp;$A238))=0,"",$A238-MAX(N(cfg_PriorLTIDate),_xlfn.MAXIFS(tblSafety[Date],tblSafety[LTI],"&gt;0",tblSafety[Date],"&lt;="&amp;$A238)))</f>
        <v/>
      </c>
      <c r="HI238" s="55">
        <f>SUMIFS(tblBudget[Ore_Mined_t],tblBudget[Month],$E238)</f>
        <v/>
      </c>
      <c r="HJ238" s="55">
        <f>$HI238*$C238/$D238</f>
        <v/>
      </c>
      <c r="HK238" s="55">
        <f>SUMIFS(tblBudget[Ore_Mined_t],tblBudget[Month],"&lt;"&amp;$E238)+$HJ238</f>
        <v/>
      </c>
      <c r="HL238" s="55">
        <f>SUMIFS(tblBudget[Ore_oz],tblBudget[Month],$E238)</f>
        <v/>
      </c>
      <c r="HM238" s="55">
        <f>$HL238*$C238/$D238</f>
        <v/>
      </c>
      <c r="HN238" s="55">
        <f>SUMIFS(tblBudget[Ore_oz],tblBudget[Month],"&lt;"&amp;$E238)+$HM238</f>
        <v/>
      </c>
      <c r="HO238" s="56">
        <f>IFERROR(IF(($HI238)&gt;0,($HL238*cfg_TroyOz)/($HI238),""),"")</f>
        <v/>
      </c>
      <c r="HP238" s="56">
        <f>IFERROR(IF(($HJ238)&gt;0,($HM238*cfg_TroyOz)/($HJ238),""),"")</f>
        <v/>
      </c>
      <c r="HQ238" s="56">
        <f>IFERROR(IF(($HK238)&gt;0,($HN238*cfg_TroyOz)/($HK238),""),"")</f>
        <v/>
      </c>
      <c r="HR238" s="55">
        <f>SUMIFS(tblBudget[Waste_t],tblBudget[Month],$E238)</f>
        <v/>
      </c>
      <c r="HS238" s="55">
        <f>$HR238*$C238/$D238</f>
        <v/>
      </c>
      <c r="HT238" s="55">
        <f>SUMIFS(tblBudget[Waste_t],tblBudget[Month],"&lt;"&amp;$E238)+$HS238</f>
        <v/>
      </c>
      <c r="HU238" s="55">
        <f>SUMIFS(tblBudget[TMM_t],tblBudget[Month],$E238)</f>
        <v/>
      </c>
      <c r="HV238" s="55">
        <f>$HU238*$C238/$D238</f>
        <v/>
      </c>
      <c r="HW238" s="55">
        <f>SUMIFS(tblBudget[TMM_t],tblBudget[Month],"&lt;"&amp;$E238)+$HV238</f>
        <v/>
      </c>
      <c r="HX238" s="56">
        <f>IFERROR(IF(($HI238)&gt;0,($HR238)/($HI238),""),"")</f>
        <v/>
      </c>
      <c r="HY238" s="56">
        <f>IFERROR(IF(($HJ238)&gt;0,($HS238)/($HJ238),""),"")</f>
        <v/>
      </c>
      <c r="HZ238" s="56">
        <f>IFERROR(IF(($HK238)&gt;0,($HT238)/($HK238),""),"")</f>
        <v/>
      </c>
      <c r="IA238" s="55">
        <f>SUMIFS(tblBudget[Drill_m],tblBudget[Month],$E238)</f>
        <v/>
      </c>
      <c r="IB238" s="55">
        <f>$IA238*$C238/$D238</f>
        <v/>
      </c>
      <c r="IC238" s="55">
        <f>SUMIFS(tblBudget[Drill_m],tblBudget[Month],"&lt;"&amp;$E238)+$IB238</f>
        <v/>
      </c>
      <c r="ID238" s="55">
        <f>SUMIFS(tblBudget[Diesel_L],tblBudget[Month],$E238)</f>
        <v/>
      </c>
      <c r="IE238" s="55">
        <f>$ID238*$C238/$D238</f>
        <v/>
      </c>
      <c r="IF238" s="55">
        <f>SUMIFS(tblBudget[Diesel_L],tblBudget[Month],"&lt;"&amp;$E238)+$IE238</f>
        <v/>
      </c>
      <c r="IG238" s="55">
        <f>SUMIFS(tblBudget[Milled_t],tblBudget[Month],$E238)</f>
        <v/>
      </c>
      <c r="IH238" s="55">
        <f>$IG238*$C238/$D238</f>
        <v/>
      </c>
      <c r="II238" s="55">
        <f>SUMIFS(tblBudget[Milled_t],tblBudget[Month],"&lt;"&amp;$E238)+$IH238</f>
        <v/>
      </c>
      <c r="IJ238" s="55">
        <f>SUMIFS(tblBudget[Feed_oz],tblBudget[Month],$E238)</f>
        <v/>
      </c>
      <c r="IK238" s="55">
        <f>$IJ238*$C238/$D238</f>
        <v/>
      </c>
      <c r="IL238" s="55">
        <f>SUMIFS(tblBudget[Feed_oz],tblBudget[Month],"&lt;"&amp;$E238)+$IK238</f>
        <v/>
      </c>
      <c r="IM238" s="55">
        <f>SUMIFS(tblBudget[Recovered_oz],tblBudget[Month],$E238)</f>
        <v/>
      </c>
      <c r="IN238" s="55">
        <f>$IM238*$C238/$D238</f>
        <v/>
      </c>
      <c r="IO238" s="55">
        <f>SUMIFS(tblBudget[Recovered_oz],tblBudget[Month],"&lt;"&amp;$E238)+$IN238</f>
        <v/>
      </c>
      <c r="IP238" s="56">
        <f>IFERROR(IF(($IG238)&gt;0,($IJ238*cfg_TroyOz)/($IG238),""),"")</f>
        <v/>
      </c>
      <c r="IQ238" s="56">
        <f>IFERROR(IF(($IH238)&gt;0,($IK238*cfg_TroyOz)/($IH238),""),"")</f>
        <v/>
      </c>
      <c r="IR238" s="56">
        <f>IFERROR(IF(($II238)&gt;0,($IL238*cfg_TroyOz)/($II238),""),"")</f>
        <v/>
      </c>
      <c r="IS238" s="67">
        <f>IFERROR(IF(($IJ238)&gt;0,($IM238)/($IJ238),""),"")</f>
        <v/>
      </c>
      <c r="IT238" s="67">
        <f>IFERROR(IF(($IK238)&gt;0,($IN238)/($IK238),""),"")</f>
        <v/>
      </c>
      <c r="IU238" s="67">
        <f>IFERROR(IF(($IL238)&gt;0,($IO238)/($IL238),""),"")</f>
        <v/>
      </c>
      <c r="IV238" s="55">
        <f>SUMIFS(tblBudget[Gold_Poured_oz],tblBudget[Month],$E238)</f>
        <v/>
      </c>
      <c r="IW238" s="55">
        <f>$IV238*$C238/$D238</f>
        <v/>
      </c>
      <c r="IX238" s="55">
        <f>SUMIFS(tblBudget[Gold_Poured_oz],tblBudget[Month],"&lt;"&amp;$E238)+$IW238</f>
        <v/>
      </c>
      <c r="IY238" s="57">
        <f>SUMIFS(tblBudget[Hours_Worked],tblBudget[Month],$E238)</f>
        <v/>
      </c>
      <c r="IZ238" s="57">
        <f>$IY238*$C238/$D238</f>
        <v/>
      </c>
      <c r="JA238" s="57">
        <f>SUMIFS(tblBudget[Hours_Worked],tblBudget[Month],"&lt;"&amp;$E238)+$IZ238</f>
        <v/>
      </c>
    </row>
    <row r="239">
      <c r="A239" s="54" t="n">
        <v>46260</v>
      </c>
      <c r="B239">
        <f>MONTH($A239)</f>
        <v/>
      </c>
      <c r="C239">
        <f>DAY($A239)</f>
        <v/>
      </c>
      <c r="D239">
        <f>DAY(EOMONTH($A239,0))</f>
        <v/>
      </c>
      <c r="E239" s="54">
        <f>DATE(YEAR($A239),MONTH($A239),1)</f>
        <v/>
      </c>
      <c r="F239" s="55">
        <f>SUMIFS(tblMovement[Tonnes_t],tblMovement[Date],$A239,tblMovement[Is_Ore],1,tblMovement[Source_Type],"Pit")</f>
        <v/>
      </c>
      <c r="G239" s="55">
        <f>IF($B239=$B238,$G238,0)+$F239</f>
        <v/>
      </c>
      <c r="H239" s="55">
        <f>$H238+$F239</f>
        <v/>
      </c>
      <c r="I239" s="55">
        <f>SUMIFS(tblMovement[Ore_oz],tblMovement[Date],$A239,tblMovement[Source_Type],"Pit")</f>
        <v/>
      </c>
      <c r="J239" s="55">
        <f>IF($B239=$B238,$J238,0)+$I239</f>
        <v/>
      </c>
      <c r="K239" s="55">
        <f>$K238+$I239</f>
        <v/>
      </c>
      <c r="L239" s="56">
        <f>IFERROR(IF(($F239)&gt;0,($I239*cfg_TroyOz)/($F239),""),"")</f>
        <v/>
      </c>
      <c r="M239" s="56">
        <f>IFERROR(IF(($G239)&gt;0,($J239*cfg_TroyOz)/($G239),""),"")</f>
        <v/>
      </c>
      <c r="N239" s="56">
        <f>IFERROR(IF(($H239)&gt;0,($K239*cfg_TroyOz)/($H239),""),"")</f>
        <v/>
      </c>
      <c r="O239" s="55">
        <f>SUMIFS(tblMovement[Tonnes_t],tblMovement[Date],$A239,tblMovement[Is_Ore],0,tblMovement[Source_Type],"Pit")</f>
        <v/>
      </c>
      <c r="P239" s="55">
        <f>IF($B239=$B238,$P238,0)+$O239</f>
        <v/>
      </c>
      <c r="Q239" s="55">
        <f>$Q238+$O239</f>
        <v/>
      </c>
      <c r="R239" s="55">
        <f>$F239+$O239</f>
        <v/>
      </c>
      <c r="S239" s="55">
        <f>IF($B239=$B238,$S238,0)+$R239</f>
        <v/>
      </c>
      <c r="T239" s="55">
        <f>$T238+$R239</f>
        <v/>
      </c>
      <c r="U239" s="56">
        <f>IFERROR(IF(($F239)&gt;0,($O239)/($F239),""),"")</f>
        <v/>
      </c>
      <c r="V239" s="56">
        <f>IFERROR(IF(($G239)&gt;0,($P239)/($G239),""),"")</f>
        <v/>
      </c>
      <c r="W239" s="56">
        <f>IFERROR(IF(($H239)&gt;0,($Q239)/($H239),""),"")</f>
        <v/>
      </c>
      <c r="X239" s="55">
        <f>SUMIFS(tblMovement[Tonnes_t],tblMovement[Date],$A239,tblMovement[Source_Type],"Stockpile")</f>
        <v/>
      </c>
      <c r="Y239" s="55">
        <f>IF($B239=$B238,$Y238,0)+$X239</f>
        <v/>
      </c>
      <c r="Z239" s="55">
        <f>$Z238+$X239</f>
        <v/>
      </c>
      <c r="AA239" s="55">
        <f>SUMIFS(tblMiningDaily[Drill_m],tblMiningDaily[Date],$A239)</f>
        <v/>
      </c>
      <c r="AB239" s="55">
        <f>IF($B239=$B238,$AB238,0)+$AA239</f>
        <v/>
      </c>
      <c r="AC239" s="55">
        <f>$AC238+$AA239</f>
        <v/>
      </c>
      <c r="AD239" s="55">
        <f>SUMIFS(tblMiningDaily[Blast_t],tblMiningDaily[Date],$A239)</f>
        <v/>
      </c>
      <c r="AE239" s="55">
        <f>IF($B239=$B238,$AE238,0)+$AD239</f>
        <v/>
      </c>
      <c r="AF239" s="55">
        <f>$AF238+$AD239</f>
        <v/>
      </c>
      <c r="AG239" s="55">
        <f>SUMIFS(tblMiningDaily[Explosives_kg],tblMiningDaily[Date],$A239)</f>
        <v/>
      </c>
      <c r="AH239" s="55">
        <f>IF($B239=$B238,$AH238,0)+$AG239</f>
        <v/>
      </c>
      <c r="AI239" s="55">
        <f>$AI238+$AG239</f>
        <v/>
      </c>
      <c r="AJ239" s="56">
        <f>IFERROR(IF(($AD239)&gt;0,($AG239)/($AD239),""),"")</f>
        <v/>
      </c>
      <c r="AK239" s="56">
        <f>IFERROR(IF(($AE239)&gt;0,($AH239)/($AE239),""),"")</f>
        <v/>
      </c>
      <c r="AL239" s="56">
        <f>IFERROR(IF(($AF239)&gt;0,($AI239)/($AF239),""),"")</f>
        <v/>
      </c>
      <c r="AM239" s="55">
        <f>SUMIFS(tblMiningDaily[Diesel_L],tblMiningDaily[Date],$A239)</f>
        <v/>
      </c>
      <c r="AN239" s="55">
        <f>IF($B239=$B238,$AN238,0)+$AM239</f>
        <v/>
      </c>
      <c r="AO239" s="55">
        <f>$AO238+$AM239</f>
        <v/>
      </c>
      <c r="AP239" s="55">
        <f>SUMIFS(tblMiningDaily[Dewatering_m3],tblMiningDaily[Date],$A239)</f>
        <v/>
      </c>
      <c r="AQ239" s="55">
        <f>IF($B239=$B238,$AQ238,0)+$AP239</f>
        <v/>
      </c>
      <c r="AR239" s="55">
        <f>$AR238+$AP239</f>
        <v/>
      </c>
      <c r="AS239" s="57">
        <f>SUMIFS(tblFleet[Calendar_h],tblFleet[Date],$A239,tblFleet[Equipment_Class],"Excavator")</f>
        <v/>
      </c>
      <c r="AT239" s="57">
        <f>IF($B239=$B238,$AT238,0)+$AS239</f>
        <v/>
      </c>
      <c r="AU239" s="57">
        <f>$AU238+$AS239</f>
        <v/>
      </c>
      <c r="AV239" s="57">
        <f>SUMIFS(tblFleet[Available_h],tblFleet[Date],$A239,tblFleet[Equipment_Class],"Excavator")</f>
        <v/>
      </c>
      <c r="AW239" s="57">
        <f>IF($B239=$B238,$AW238,0)+$AV239</f>
        <v/>
      </c>
      <c r="AX239" s="57">
        <f>$AX238+$AV239</f>
        <v/>
      </c>
      <c r="AY239" s="57">
        <f>SUMIFS(tblFleet[Operating_h],tblFleet[Date],$A239,tblFleet[Equipment_Class],"Excavator")</f>
        <v/>
      </c>
      <c r="AZ239" s="57">
        <f>IF($B239=$B238,$AZ238,0)+$AY239</f>
        <v/>
      </c>
      <c r="BA239" s="57">
        <f>$BA238+$AY239</f>
        <v/>
      </c>
      <c r="BB239" s="67">
        <f>IFERROR(IF(($AS239)&gt;0,($AV239)/($AS239),""),"")</f>
        <v/>
      </c>
      <c r="BC239" s="67">
        <f>IFERROR(IF(($AT239)&gt;0,($AW239)/($AT239),""),"")</f>
        <v/>
      </c>
      <c r="BD239" s="67">
        <f>IFERROR(IF(($AU239)&gt;0,($AX239)/($AU239),""),"")</f>
        <v/>
      </c>
      <c r="BE239" s="67">
        <f>IFERROR(IF(($AV239)&gt;0,($AY239)/($AV239),""),"")</f>
        <v/>
      </c>
      <c r="BF239" s="67">
        <f>IFERROR(IF(($AW239)&gt;0,($AZ239)/($AW239),""),"")</f>
        <v/>
      </c>
      <c r="BG239" s="67">
        <f>IFERROR(IF(($AX239)&gt;0,($BA239)/($AX239),""),"")</f>
        <v/>
      </c>
      <c r="BH239" s="57">
        <f>SUMIFS(tblFleet[Calendar_h],tblFleet[Date],$A239,tblFleet[Equipment_Class],"Haul Truck")</f>
        <v/>
      </c>
      <c r="BI239" s="57">
        <f>IF($B239=$B238,$BI238,0)+$BH239</f>
        <v/>
      </c>
      <c r="BJ239" s="57">
        <f>$BJ238+$BH239</f>
        <v/>
      </c>
      <c r="BK239" s="57">
        <f>SUMIFS(tblFleet[Available_h],tblFleet[Date],$A239,tblFleet[Equipment_Class],"Haul Truck")</f>
        <v/>
      </c>
      <c r="BL239" s="57">
        <f>IF($B239=$B238,$BL238,0)+$BK239</f>
        <v/>
      </c>
      <c r="BM239" s="57">
        <f>$BM238+$BK239</f>
        <v/>
      </c>
      <c r="BN239" s="57">
        <f>SUMIFS(tblFleet[Operating_h],tblFleet[Date],$A239,tblFleet[Equipment_Class],"Haul Truck")</f>
        <v/>
      </c>
      <c r="BO239" s="57">
        <f>IF($B239=$B238,$BO238,0)+$BN239</f>
        <v/>
      </c>
      <c r="BP239" s="57">
        <f>$BP238+$BN239</f>
        <v/>
      </c>
      <c r="BQ239" s="67">
        <f>IFERROR(IF(($BH239)&gt;0,($BK239)/($BH239),""),"")</f>
        <v/>
      </c>
      <c r="BR239" s="67">
        <f>IFERROR(IF(($BI239)&gt;0,($BL239)/($BI239),""),"")</f>
        <v/>
      </c>
      <c r="BS239" s="67">
        <f>IFERROR(IF(($BJ239)&gt;0,($BM239)/($BJ239),""),"")</f>
        <v/>
      </c>
      <c r="BT239" s="67">
        <f>IFERROR(IF(($BK239)&gt;0,($BN239)/($BK239),""),"")</f>
        <v/>
      </c>
      <c r="BU239" s="67">
        <f>IFERROR(IF(($BL239)&gt;0,($BO239)/($BL239),""),"")</f>
        <v/>
      </c>
      <c r="BV239" s="67">
        <f>IFERROR(IF(($BM239)&gt;0,($BP239)/($BM239),""),"")</f>
        <v/>
      </c>
      <c r="BW239" s="55">
        <f>SUMIFS(tblPlant[Crushed_t],tblPlant[Date],$A239)</f>
        <v/>
      </c>
      <c r="BX239" s="55">
        <f>IF($B239=$B238,$BX238,0)+$BW239</f>
        <v/>
      </c>
      <c r="BY239" s="55">
        <f>$BY238+$BW239</f>
        <v/>
      </c>
      <c r="BZ239" s="55">
        <f>SUMIFS(tblPlant[Milled_t],tblPlant[Date],$A239)</f>
        <v/>
      </c>
      <c r="CA239" s="55">
        <f>IF($B239=$B238,$CA238,0)+$BZ239</f>
        <v/>
      </c>
      <c r="CB239" s="55">
        <f>$CB238+$BZ239</f>
        <v/>
      </c>
      <c r="CC239" s="55">
        <f>SUMIFS(tblPlant[Feed_oz],tblPlant[Date],$A239)</f>
        <v/>
      </c>
      <c r="CD239" s="55">
        <f>IF($B239=$B238,$CD238,0)+$CC239</f>
        <v/>
      </c>
      <c r="CE239" s="55">
        <f>$CE238+$CC239</f>
        <v/>
      </c>
      <c r="CF239" s="55">
        <f>SUMIFS(tblPlant[Tails_oz],tblPlant[Date],$A239)</f>
        <v/>
      </c>
      <c r="CG239" s="55">
        <f>IF($B239=$B238,$CG238,0)+$CF239</f>
        <v/>
      </c>
      <c r="CH239" s="55">
        <f>$CH238+$CF239</f>
        <v/>
      </c>
      <c r="CI239" s="55">
        <f>SUMIFS(tblPlant[Recovered_oz],tblPlant[Date],$A239)</f>
        <v/>
      </c>
      <c r="CJ239" s="55">
        <f>IF($B239=$B238,$CJ238,0)+$CI239</f>
        <v/>
      </c>
      <c r="CK239" s="55">
        <f>$CK238+$CI239</f>
        <v/>
      </c>
      <c r="CL239" s="56">
        <f>IFERROR(IF(($BZ239)&gt;0,($CC239*cfg_TroyOz)/($BZ239),""),"")</f>
        <v/>
      </c>
      <c r="CM239" s="56">
        <f>IFERROR(IF(($CA239)&gt;0,($CD239*cfg_TroyOz)/($CA239),""),"")</f>
        <v/>
      </c>
      <c r="CN239" s="56">
        <f>IFERROR(IF(($CB239)&gt;0,($CE239*cfg_TroyOz)/($CB239),""),"")</f>
        <v/>
      </c>
      <c r="CO239" s="56">
        <f>IFERROR(IF(($BZ239)&gt;0,($CF239*cfg_TroyOz)/($BZ239),""),"")</f>
        <v/>
      </c>
      <c r="CP239" s="56">
        <f>IFERROR(IF(($CA239)&gt;0,($CG239*cfg_TroyOz)/($CA239),""),"")</f>
        <v/>
      </c>
      <c r="CQ239" s="56">
        <f>IFERROR(IF(($CB239)&gt;0,($CH239*cfg_TroyOz)/($CB239),""),"")</f>
        <v/>
      </c>
      <c r="CR239" s="67">
        <f>IFERROR(IF(($CC239)&gt;0,($CI239)/($CC239),""),"")</f>
        <v/>
      </c>
      <c r="CS239" s="67">
        <f>IFERROR(IF(($CD239)&gt;0,($CJ239)/($CD239),""),"")</f>
        <v/>
      </c>
      <c r="CT239" s="67">
        <f>IFERROR(IF(($CE239)&gt;0,($CK239)/($CE239),""),"")</f>
        <v/>
      </c>
      <c r="CU239" s="55">
        <f>SUMIFS(tblPlant[Gravity_Gold_oz],tblPlant[Date],$A239)</f>
        <v/>
      </c>
      <c r="CV239" s="55">
        <f>IF($B239=$B238,$CV238,0)+$CU239</f>
        <v/>
      </c>
      <c r="CW239" s="55">
        <f>$CW238+$CU239</f>
        <v/>
      </c>
      <c r="CX239" s="55">
        <f>SUMIFS(tblPlant[Gold_Poured_oz],tblPlant[Date],$A239)</f>
        <v/>
      </c>
      <c r="CY239" s="55">
        <f>IF($B239=$B238,$CY238,0)+$CX239</f>
        <v/>
      </c>
      <c r="CZ239" s="55">
        <f>$CZ238+$CX239</f>
        <v/>
      </c>
      <c r="DA239" s="57">
        <f>SUMIFS(tblPlant[Mill_Run_h],tblPlant[Date],$A239)</f>
        <v/>
      </c>
      <c r="DB239" s="57">
        <f>IF($B239=$B238,$DB238,0)+$DA239</f>
        <v/>
      </c>
      <c r="DC239" s="57">
        <f>$DC238+$DA239</f>
        <v/>
      </c>
      <c r="DD239" s="57">
        <f>SUMIFS(tblPlant[Mill_Planned_Maint_h],tblPlant[Date],$A239)</f>
        <v/>
      </c>
      <c r="DE239" s="57">
        <f>IF($B239=$B238,$DE238,0)+$DD239</f>
        <v/>
      </c>
      <c r="DF239" s="57">
        <f>$DF238+$DD239</f>
        <v/>
      </c>
      <c r="DG239" s="57">
        <f>SUMIFS(tblPlant[Mill_Unplanned_Down_h],tblPlant[Date],$A239)</f>
        <v/>
      </c>
      <c r="DH239" s="57">
        <f>IF($B239=$B238,$DH238,0)+$DG239</f>
        <v/>
      </c>
      <c r="DI239" s="57">
        <f>$DI238+$DG239</f>
        <v/>
      </c>
      <c r="DJ239" s="57">
        <f>COUNTIFS(tblPlant[Date],$A239,tblPlant[Mill_Run_h],"&lt;&gt;")*24</f>
        <v/>
      </c>
      <c r="DK239" s="57">
        <f>IF($B239=$B238,$DK238,0)+$DJ239</f>
        <v/>
      </c>
      <c r="DL239" s="57">
        <f>$DL238+$DJ239</f>
        <v/>
      </c>
      <c r="DM239" s="57">
        <f>SUMIFS(tblPlant[Crusher_Run_h],tblPlant[Date],$A239)</f>
        <v/>
      </c>
      <c r="DN239" s="57">
        <f>IF($B239=$B238,$DN238,0)+$DM239</f>
        <v/>
      </c>
      <c r="DO239" s="57">
        <f>$DO238+$DM239</f>
        <v/>
      </c>
      <c r="DP239" s="55">
        <f>IFERROR(IF(($DA239)&gt;0,($BZ239)/($DA239),""),"")</f>
        <v/>
      </c>
      <c r="DQ239" s="55">
        <f>IFERROR(IF(($DB239)&gt;0,($CA239)/($DB239),""),"")</f>
        <v/>
      </c>
      <c r="DR239" s="55">
        <f>IFERROR(IF(($DC239)&gt;0,($CB239)/($DC239),""),"")</f>
        <v/>
      </c>
      <c r="DS239" s="67">
        <f>IFERROR(IF(($DJ239)&gt;0,($DJ239-$DD239-$DG239)/($DJ239),""),"")</f>
        <v/>
      </c>
      <c r="DT239" s="67">
        <f>IFERROR(IF(($DK239)&gt;0,($DK239-$DE239-$DH239)/($DK239),""),"")</f>
        <v/>
      </c>
      <c r="DU239" s="67">
        <f>IFERROR(IF(($DL239)&gt;0,($DL239-$DF239-$DI239)/($DL239),""),"")</f>
        <v/>
      </c>
      <c r="DV239" s="67">
        <f>IFERROR(IF(($DJ239-$DD239-$DG239)&gt;0,($DA239)/($DJ239-$DD239-$DG239),""),"")</f>
        <v/>
      </c>
      <c r="DW239" s="67">
        <f>IFERROR(IF(($DK239-$DE239-$DH239)&gt;0,($DB239)/($DK239-$DE239-$DH239),""),"")</f>
        <v/>
      </c>
      <c r="DX239" s="67">
        <f>IFERROR(IF(($DL239-$DF239-$DI239)&gt;0,($DC239)/($DL239-$DF239-$DI239),""),"")</f>
        <v/>
      </c>
      <c r="DY239" s="55">
        <f>SUMIFS(tblPlant[Cyanide_kg],tblPlant[Date],$A239)</f>
        <v/>
      </c>
      <c r="DZ239" s="55">
        <f>IF($B239=$B238,$DZ238,0)+$DY239</f>
        <v/>
      </c>
      <c r="EA239" s="55">
        <f>$EA238+$DY239</f>
        <v/>
      </c>
      <c r="EB239" s="55">
        <f>SUMIFS(tblPlant[Lime_kg],tblPlant[Date],$A239)</f>
        <v/>
      </c>
      <c r="EC239" s="55">
        <f>IF($B239=$B238,$EC238,0)+$EB239</f>
        <v/>
      </c>
      <c r="ED239" s="55">
        <f>$ED238+$EB239</f>
        <v/>
      </c>
      <c r="EE239" s="55">
        <f>SUMIFS(tblPlant[Grinding_Media_kg],tblPlant[Date],$A239)</f>
        <v/>
      </c>
      <c r="EF239" s="55">
        <f>IF($B239=$B238,$EF238,0)+$EE239</f>
        <v/>
      </c>
      <c r="EG239" s="55">
        <f>$EG238+$EE239</f>
        <v/>
      </c>
      <c r="EH239" s="55">
        <f>SUMIFS(tblPlant[Power_kWh],tblPlant[Date],$A239)</f>
        <v/>
      </c>
      <c r="EI239" s="55">
        <f>IF($B239=$B238,$EI238,0)+$EH239</f>
        <v/>
      </c>
      <c r="EJ239" s="55">
        <f>$EJ238+$EH239</f>
        <v/>
      </c>
      <c r="EK239" s="55">
        <f>SUMIFS(tblPlant[Raw_Water_m3],tblPlant[Date],$A239)</f>
        <v/>
      </c>
      <c r="EL239" s="55">
        <f>IF($B239=$B238,$EL238,0)+$EK239</f>
        <v/>
      </c>
      <c r="EM239" s="55">
        <f>$EM238+$EK239</f>
        <v/>
      </c>
      <c r="EN239" s="56">
        <f>IFERROR(IF(($BZ239)&gt;0,($DY239)/($BZ239),""),"")</f>
        <v/>
      </c>
      <c r="EO239" s="56">
        <f>IFERROR(IF(($CA239)&gt;0,($DZ239)/($CA239),""),"")</f>
        <v/>
      </c>
      <c r="EP239" s="56">
        <f>IFERROR(IF(($CB239)&gt;0,($EA239)/($CB239),""),"")</f>
        <v/>
      </c>
      <c r="EQ239" s="56">
        <f>IFERROR(IF(($BZ239)&gt;0,($EB239)/($BZ239),""),"")</f>
        <v/>
      </c>
      <c r="ER239" s="56">
        <f>IFERROR(IF(($CA239)&gt;0,($EC239)/($CA239),""),"")</f>
        <v/>
      </c>
      <c r="ES239" s="56">
        <f>IFERROR(IF(($CB239)&gt;0,($ED239)/($CB239),""),"")</f>
        <v/>
      </c>
      <c r="ET239" s="56">
        <f>IFERROR(IF(($BZ239)&gt;0,($EE239)/($BZ239),""),"")</f>
        <v/>
      </c>
      <c r="EU239" s="56">
        <f>IFERROR(IF(($CA239)&gt;0,($EF239)/($CA239),""),"")</f>
        <v/>
      </c>
      <c r="EV239" s="56">
        <f>IFERROR(IF(($CB239)&gt;0,($EG239)/($CB239),""),"")</f>
        <v/>
      </c>
      <c r="EW239" s="76">
        <f>IFERROR(IF(($BZ239)&gt;0,($EH239)/($BZ239),""),"")</f>
        <v/>
      </c>
      <c r="EX239" s="76">
        <f>IFERROR(IF(($CA239)&gt;0,($EI239)/($CA239),""),"")</f>
        <v/>
      </c>
      <c r="EY239" s="76">
        <f>IFERROR(IF(($CB239)&gt;0,($EJ239)/($CB239),""),"")</f>
        <v/>
      </c>
      <c r="EZ239" s="56">
        <f>IFERROR(IF(($BZ239)&gt;0,($EK239)/($BZ239),""),"")</f>
        <v/>
      </c>
      <c r="FA239" s="56">
        <f>IFERROR(IF(($CA239)&gt;0,($EL239)/($CA239),""),"")</f>
        <v/>
      </c>
      <c r="FB239" s="56">
        <f>IFERROR(IF(($CB239)&gt;0,($EM239)/($CB239),""),"")</f>
        <v/>
      </c>
      <c r="FC239" s="55">
        <f>IF(SUMIFS(tblPlant[GIC_oz],tblPlant[Date],$A239)&gt;0,SUMIFS(tblPlant[GIC_oz],tblPlant[Date],$A239),"")</f>
        <v/>
      </c>
      <c r="FD239" s="55">
        <f>SUMIFS(tblGold[Gold_oz],tblGold[Date],$A239,tblGold[Type],"Shipment")</f>
        <v/>
      </c>
      <c r="FE239" s="55">
        <f>IF($B239=$B238,$FE238,0)+$FD239</f>
        <v/>
      </c>
      <c r="FF239" s="55">
        <f>$FF238+$FD239</f>
        <v/>
      </c>
      <c r="FG239" s="55">
        <f>SUMIFS(tblGold[Gold_oz],tblGold[Date],$A239,tblGold[Type],"Sale")</f>
        <v/>
      </c>
      <c r="FH239" s="55">
        <f>IF($B239=$B238,$FH238,0)+$FG239</f>
        <v/>
      </c>
      <c r="FI239" s="55">
        <f>$FI238+$FG239</f>
        <v/>
      </c>
      <c r="FJ239" s="55">
        <f>SUMIFS(tblGold[Dore_kg],tblGold[Date],$A239,tblGold[Type],"Shipment")</f>
        <v/>
      </c>
      <c r="FK239" s="55">
        <f>IF($B239=$B238,$FK238,0)+$FJ239</f>
        <v/>
      </c>
      <c r="FL239" s="55">
        <f>$FL238+$FJ239</f>
        <v/>
      </c>
      <c r="FM239" s="57">
        <f>SUMIFS(tblSafety[Hours_Total],tblSafety[Date],$A239)</f>
        <v/>
      </c>
      <c r="FN239" s="57">
        <f>IF($B239=$B238,$FN238,0)+$FM239</f>
        <v/>
      </c>
      <c r="FO239" s="57">
        <f>$FO238+$FM239</f>
        <v/>
      </c>
      <c r="FP239" s="62">
        <f>SUMIFS(tblSafety[Fatality],tblSafety[Date],$A239)</f>
        <v/>
      </c>
      <c r="FQ239" s="62">
        <f>IF($B239=$B238,$FQ238,0)+$FP239</f>
        <v/>
      </c>
      <c r="FR239" s="62">
        <f>$FR238+$FP239</f>
        <v/>
      </c>
      <c r="FS239" s="62">
        <f>SUMIFS(tblSafety[LTI],tblSafety[Date],$A239)</f>
        <v/>
      </c>
      <c r="FT239" s="62">
        <f>IF($B239=$B238,$FT238,0)+$FS239</f>
        <v/>
      </c>
      <c r="FU239" s="62">
        <f>$FU238+$FS239</f>
        <v/>
      </c>
      <c r="FV239" s="62">
        <f>SUMIFS(tblSafety[RWI],tblSafety[Date],$A239)</f>
        <v/>
      </c>
      <c r="FW239" s="62">
        <f>IF($B239=$B238,$FW238,0)+$FV239</f>
        <v/>
      </c>
      <c r="FX239" s="62">
        <f>$FX238+$FV239</f>
        <v/>
      </c>
      <c r="FY239" s="62">
        <f>SUMIFS(tblSafety[MTI],tblSafety[Date],$A239)</f>
        <v/>
      </c>
      <c r="FZ239" s="62">
        <f>IF($B239=$B238,$FZ238,0)+$FY239</f>
        <v/>
      </c>
      <c r="GA239" s="62">
        <f>$GA238+$FY239</f>
        <v/>
      </c>
      <c r="GB239" s="62">
        <f>SUMIFS(tblSafety[FAI],tblSafety[Date],$A239)</f>
        <v/>
      </c>
      <c r="GC239" s="62">
        <f>IF($B239=$B238,$GC238,0)+$GB239</f>
        <v/>
      </c>
      <c r="GD239" s="62">
        <f>$GD238+$GB239</f>
        <v/>
      </c>
      <c r="GE239" s="62">
        <f>SUMIFS(tblSafety[Recordables],tblSafety[Date],$A239)</f>
        <v/>
      </c>
      <c r="GF239" s="62">
        <f>IF($B239=$B238,$GF238,0)+$GE239</f>
        <v/>
      </c>
      <c r="GG239" s="62">
        <f>$GG238+$GE239</f>
        <v/>
      </c>
      <c r="GH239" s="62">
        <f>SUMIFS(tblSafety[Near_Miss],tblSafety[Date],$A239)</f>
        <v/>
      </c>
      <c r="GI239" s="62">
        <f>IF($B239=$B238,$GI238,0)+$GH239</f>
        <v/>
      </c>
      <c r="GJ239" s="62">
        <f>$GJ238+$GH239</f>
        <v/>
      </c>
      <c r="GK239" s="62">
        <f>SUMIFS(tblSafety[Hazard_Reports],tblSafety[Date],$A239)</f>
        <v/>
      </c>
      <c r="GL239" s="62">
        <f>IF($B239=$B238,$GL238,0)+$GK239</f>
        <v/>
      </c>
      <c r="GM239" s="62">
        <f>$GM238+$GK239</f>
        <v/>
      </c>
      <c r="GN239" s="62">
        <f>SUMIFS(tblSafety[HPI],tblSafety[Date],$A239)</f>
        <v/>
      </c>
      <c r="GO239" s="62">
        <f>IF($B239=$B238,$GO238,0)+$GN239</f>
        <v/>
      </c>
      <c r="GP239" s="62">
        <f>$GP238+$GN239</f>
        <v/>
      </c>
      <c r="GQ239" s="62">
        <f>SUMIFS(tblSafety[Env_Incidents],tblSafety[Date],$A239)</f>
        <v/>
      </c>
      <c r="GR239" s="62">
        <f>IF($B239=$B238,$GR238,0)+$GQ239</f>
        <v/>
      </c>
      <c r="GS239" s="62">
        <f>$GS238+$GQ239</f>
        <v/>
      </c>
      <c r="GT239" s="62">
        <f>SUMIFS(tblSafety[Community_Incidents],tblSafety[Date],$A239)</f>
        <v/>
      </c>
      <c r="GU239" s="62">
        <f>IF($B239=$B238,$GU238,0)+$GT239</f>
        <v/>
      </c>
      <c r="GV239" s="62">
        <f>$GV238+$GT239</f>
        <v/>
      </c>
      <c r="GW239" s="62">
        <f>SUMIFS(tblSafety[Vehicle_Incidents],tblSafety[Date],$A239)</f>
        <v/>
      </c>
      <c r="GX239" s="62">
        <f>IF($B239=$B238,$GX238,0)+$GW239</f>
        <v/>
      </c>
      <c r="GY239" s="62">
        <f>$GY238+$GW239</f>
        <v/>
      </c>
      <c r="GZ239" s="62">
        <f>SUMIFS(tblSafety[Toolbox_Talks],tblSafety[Date],$A239)</f>
        <v/>
      </c>
      <c r="HA239" s="62">
        <f>IF($B239=$B238,$HA238,0)+$GZ239</f>
        <v/>
      </c>
      <c r="HB239" s="62">
        <f>$HB238+$GZ239</f>
        <v/>
      </c>
      <c r="HC239" s="62">
        <f>SUMIFS(tblSafety[Inspections],tblSafety[Date],$A239)</f>
        <v/>
      </c>
      <c r="HD239" s="62">
        <f>IF($B239=$B238,$HD238,0)+$HC239</f>
        <v/>
      </c>
      <c r="HE239" s="62">
        <f>$HE238+$HC239</f>
        <v/>
      </c>
      <c r="HF239" s="56">
        <f>IFERROR((SUMIFS(tblSafety[Recordables],tblSafety[Date],"&gt;="&amp;EDATE($E239,-12),tblSafety[Date],"&lt;="&amp;$A239)+SUMIFS(tblSafetyHistory[Recordables],tblSafetyHistory[Month],"&gt;="&amp;EDATE($E239,-12),tblSafetyHistory[Month],"&lt;"&amp;cfg_YearStart))/(SUMIFS(tblSafety[Hours_Total],tblSafety[Date],"&gt;="&amp;EDATE($E239,-12),tblSafety[Date],"&lt;="&amp;$A239)+SUMIFS(tblSafetyHistory[Hours_Total],tblSafetyHistory[Month],"&gt;="&amp;EDATE($E239,-12),tblSafetyHistory[Month],"&lt;"&amp;cfg_YearStart))*1000000,"")</f>
        <v/>
      </c>
      <c r="HG239" s="56">
        <f>IFERROR((SUMIFS(tblSafety[LTI],tblSafety[Date],"&gt;="&amp;EDATE($E239,-12),tblSafety[Date],"&lt;="&amp;$A239)+SUMIFS(tblSafetyHistory[LTI],tblSafetyHistory[Month],"&gt;="&amp;EDATE($E239,-12),tblSafetyHistory[Month],"&lt;"&amp;cfg_YearStart))/(SUMIFS(tblSafety[Hours_Total],tblSafety[Date],"&gt;="&amp;EDATE($E239,-12),tblSafety[Date],"&lt;="&amp;$A239)+SUMIFS(tblSafetyHistory[Hours_Total],tblSafetyHistory[Month],"&gt;="&amp;EDATE($E239,-12),tblSafetyHistory[Month],"&lt;"&amp;cfg_YearStart))*1000000,"")</f>
        <v/>
      </c>
      <c r="HH239" s="62">
        <f>IF(MAX(N(cfg_PriorLTIDate),_xlfn.MAXIFS(tblSafety[Date],tblSafety[LTI],"&gt;0",tblSafety[Date],"&lt;="&amp;$A239))=0,"",$A239-MAX(N(cfg_PriorLTIDate),_xlfn.MAXIFS(tblSafety[Date],tblSafety[LTI],"&gt;0",tblSafety[Date],"&lt;="&amp;$A239)))</f>
        <v/>
      </c>
      <c r="HI239" s="55">
        <f>SUMIFS(tblBudget[Ore_Mined_t],tblBudget[Month],$E239)</f>
        <v/>
      </c>
      <c r="HJ239" s="55">
        <f>$HI239*$C239/$D239</f>
        <v/>
      </c>
      <c r="HK239" s="55">
        <f>SUMIFS(tblBudget[Ore_Mined_t],tblBudget[Month],"&lt;"&amp;$E239)+$HJ239</f>
        <v/>
      </c>
      <c r="HL239" s="55">
        <f>SUMIFS(tblBudget[Ore_oz],tblBudget[Month],$E239)</f>
        <v/>
      </c>
      <c r="HM239" s="55">
        <f>$HL239*$C239/$D239</f>
        <v/>
      </c>
      <c r="HN239" s="55">
        <f>SUMIFS(tblBudget[Ore_oz],tblBudget[Month],"&lt;"&amp;$E239)+$HM239</f>
        <v/>
      </c>
      <c r="HO239" s="56">
        <f>IFERROR(IF(($HI239)&gt;0,($HL239*cfg_TroyOz)/($HI239),""),"")</f>
        <v/>
      </c>
      <c r="HP239" s="56">
        <f>IFERROR(IF(($HJ239)&gt;0,($HM239*cfg_TroyOz)/($HJ239),""),"")</f>
        <v/>
      </c>
      <c r="HQ239" s="56">
        <f>IFERROR(IF(($HK239)&gt;0,($HN239*cfg_TroyOz)/($HK239),""),"")</f>
        <v/>
      </c>
      <c r="HR239" s="55">
        <f>SUMIFS(tblBudget[Waste_t],tblBudget[Month],$E239)</f>
        <v/>
      </c>
      <c r="HS239" s="55">
        <f>$HR239*$C239/$D239</f>
        <v/>
      </c>
      <c r="HT239" s="55">
        <f>SUMIFS(tblBudget[Waste_t],tblBudget[Month],"&lt;"&amp;$E239)+$HS239</f>
        <v/>
      </c>
      <c r="HU239" s="55">
        <f>SUMIFS(tblBudget[TMM_t],tblBudget[Month],$E239)</f>
        <v/>
      </c>
      <c r="HV239" s="55">
        <f>$HU239*$C239/$D239</f>
        <v/>
      </c>
      <c r="HW239" s="55">
        <f>SUMIFS(tblBudget[TMM_t],tblBudget[Month],"&lt;"&amp;$E239)+$HV239</f>
        <v/>
      </c>
      <c r="HX239" s="56">
        <f>IFERROR(IF(($HI239)&gt;0,($HR239)/($HI239),""),"")</f>
        <v/>
      </c>
      <c r="HY239" s="56">
        <f>IFERROR(IF(($HJ239)&gt;0,($HS239)/($HJ239),""),"")</f>
        <v/>
      </c>
      <c r="HZ239" s="56">
        <f>IFERROR(IF(($HK239)&gt;0,($HT239)/($HK239),""),"")</f>
        <v/>
      </c>
      <c r="IA239" s="55">
        <f>SUMIFS(tblBudget[Drill_m],tblBudget[Month],$E239)</f>
        <v/>
      </c>
      <c r="IB239" s="55">
        <f>$IA239*$C239/$D239</f>
        <v/>
      </c>
      <c r="IC239" s="55">
        <f>SUMIFS(tblBudget[Drill_m],tblBudget[Month],"&lt;"&amp;$E239)+$IB239</f>
        <v/>
      </c>
      <c r="ID239" s="55">
        <f>SUMIFS(tblBudget[Diesel_L],tblBudget[Month],$E239)</f>
        <v/>
      </c>
      <c r="IE239" s="55">
        <f>$ID239*$C239/$D239</f>
        <v/>
      </c>
      <c r="IF239" s="55">
        <f>SUMIFS(tblBudget[Diesel_L],tblBudget[Month],"&lt;"&amp;$E239)+$IE239</f>
        <v/>
      </c>
      <c r="IG239" s="55">
        <f>SUMIFS(tblBudget[Milled_t],tblBudget[Month],$E239)</f>
        <v/>
      </c>
      <c r="IH239" s="55">
        <f>$IG239*$C239/$D239</f>
        <v/>
      </c>
      <c r="II239" s="55">
        <f>SUMIFS(tblBudget[Milled_t],tblBudget[Month],"&lt;"&amp;$E239)+$IH239</f>
        <v/>
      </c>
      <c r="IJ239" s="55">
        <f>SUMIFS(tblBudget[Feed_oz],tblBudget[Month],$E239)</f>
        <v/>
      </c>
      <c r="IK239" s="55">
        <f>$IJ239*$C239/$D239</f>
        <v/>
      </c>
      <c r="IL239" s="55">
        <f>SUMIFS(tblBudget[Feed_oz],tblBudget[Month],"&lt;"&amp;$E239)+$IK239</f>
        <v/>
      </c>
      <c r="IM239" s="55">
        <f>SUMIFS(tblBudget[Recovered_oz],tblBudget[Month],$E239)</f>
        <v/>
      </c>
      <c r="IN239" s="55">
        <f>$IM239*$C239/$D239</f>
        <v/>
      </c>
      <c r="IO239" s="55">
        <f>SUMIFS(tblBudget[Recovered_oz],tblBudget[Month],"&lt;"&amp;$E239)+$IN239</f>
        <v/>
      </c>
      <c r="IP239" s="56">
        <f>IFERROR(IF(($IG239)&gt;0,($IJ239*cfg_TroyOz)/($IG239),""),"")</f>
        <v/>
      </c>
      <c r="IQ239" s="56">
        <f>IFERROR(IF(($IH239)&gt;0,($IK239*cfg_TroyOz)/($IH239),""),"")</f>
        <v/>
      </c>
      <c r="IR239" s="56">
        <f>IFERROR(IF(($II239)&gt;0,($IL239*cfg_TroyOz)/($II239),""),"")</f>
        <v/>
      </c>
      <c r="IS239" s="67">
        <f>IFERROR(IF(($IJ239)&gt;0,($IM239)/($IJ239),""),"")</f>
        <v/>
      </c>
      <c r="IT239" s="67">
        <f>IFERROR(IF(($IK239)&gt;0,($IN239)/($IK239),""),"")</f>
        <v/>
      </c>
      <c r="IU239" s="67">
        <f>IFERROR(IF(($IL239)&gt;0,($IO239)/($IL239),""),"")</f>
        <v/>
      </c>
      <c r="IV239" s="55">
        <f>SUMIFS(tblBudget[Gold_Poured_oz],tblBudget[Month],$E239)</f>
        <v/>
      </c>
      <c r="IW239" s="55">
        <f>$IV239*$C239/$D239</f>
        <v/>
      </c>
      <c r="IX239" s="55">
        <f>SUMIFS(tblBudget[Gold_Poured_oz],tblBudget[Month],"&lt;"&amp;$E239)+$IW239</f>
        <v/>
      </c>
      <c r="IY239" s="57">
        <f>SUMIFS(tblBudget[Hours_Worked],tblBudget[Month],$E239)</f>
        <v/>
      </c>
      <c r="IZ239" s="57">
        <f>$IY239*$C239/$D239</f>
        <v/>
      </c>
      <c r="JA239" s="57">
        <f>SUMIFS(tblBudget[Hours_Worked],tblBudget[Month],"&lt;"&amp;$E239)+$IZ239</f>
        <v/>
      </c>
    </row>
    <row r="240">
      <c r="A240" s="54" t="n">
        <v>46261</v>
      </c>
      <c r="B240">
        <f>MONTH($A240)</f>
        <v/>
      </c>
      <c r="C240">
        <f>DAY($A240)</f>
        <v/>
      </c>
      <c r="D240">
        <f>DAY(EOMONTH($A240,0))</f>
        <v/>
      </c>
      <c r="E240" s="54">
        <f>DATE(YEAR($A240),MONTH($A240),1)</f>
        <v/>
      </c>
      <c r="F240" s="55">
        <f>SUMIFS(tblMovement[Tonnes_t],tblMovement[Date],$A240,tblMovement[Is_Ore],1,tblMovement[Source_Type],"Pit")</f>
        <v/>
      </c>
      <c r="G240" s="55">
        <f>IF($B240=$B239,$G239,0)+$F240</f>
        <v/>
      </c>
      <c r="H240" s="55">
        <f>$H239+$F240</f>
        <v/>
      </c>
      <c r="I240" s="55">
        <f>SUMIFS(tblMovement[Ore_oz],tblMovement[Date],$A240,tblMovement[Source_Type],"Pit")</f>
        <v/>
      </c>
      <c r="J240" s="55">
        <f>IF($B240=$B239,$J239,0)+$I240</f>
        <v/>
      </c>
      <c r="K240" s="55">
        <f>$K239+$I240</f>
        <v/>
      </c>
      <c r="L240" s="56">
        <f>IFERROR(IF(($F240)&gt;0,($I240*cfg_TroyOz)/($F240),""),"")</f>
        <v/>
      </c>
      <c r="M240" s="56">
        <f>IFERROR(IF(($G240)&gt;0,($J240*cfg_TroyOz)/($G240),""),"")</f>
        <v/>
      </c>
      <c r="N240" s="56">
        <f>IFERROR(IF(($H240)&gt;0,($K240*cfg_TroyOz)/($H240),""),"")</f>
        <v/>
      </c>
      <c r="O240" s="55">
        <f>SUMIFS(tblMovement[Tonnes_t],tblMovement[Date],$A240,tblMovement[Is_Ore],0,tblMovement[Source_Type],"Pit")</f>
        <v/>
      </c>
      <c r="P240" s="55">
        <f>IF($B240=$B239,$P239,0)+$O240</f>
        <v/>
      </c>
      <c r="Q240" s="55">
        <f>$Q239+$O240</f>
        <v/>
      </c>
      <c r="R240" s="55">
        <f>$F240+$O240</f>
        <v/>
      </c>
      <c r="S240" s="55">
        <f>IF($B240=$B239,$S239,0)+$R240</f>
        <v/>
      </c>
      <c r="T240" s="55">
        <f>$T239+$R240</f>
        <v/>
      </c>
      <c r="U240" s="56">
        <f>IFERROR(IF(($F240)&gt;0,($O240)/($F240),""),"")</f>
        <v/>
      </c>
      <c r="V240" s="56">
        <f>IFERROR(IF(($G240)&gt;0,($P240)/($G240),""),"")</f>
        <v/>
      </c>
      <c r="W240" s="56">
        <f>IFERROR(IF(($H240)&gt;0,($Q240)/($H240),""),"")</f>
        <v/>
      </c>
      <c r="X240" s="55">
        <f>SUMIFS(tblMovement[Tonnes_t],tblMovement[Date],$A240,tblMovement[Source_Type],"Stockpile")</f>
        <v/>
      </c>
      <c r="Y240" s="55">
        <f>IF($B240=$B239,$Y239,0)+$X240</f>
        <v/>
      </c>
      <c r="Z240" s="55">
        <f>$Z239+$X240</f>
        <v/>
      </c>
      <c r="AA240" s="55">
        <f>SUMIFS(tblMiningDaily[Drill_m],tblMiningDaily[Date],$A240)</f>
        <v/>
      </c>
      <c r="AB240" s="55">
        <f>IF($B240=$B239,$AB239,0)+$AA240</f>
        <v/>
      </c>
      <c r="AC240" s="55">
        <f>$AC239+$AA240</f>
        <v/>
      </c>
      <c r="AD240" s="55">
        <f>SUMIFS(tblMiningDaily[Blast_t],tblMiningDaily[Date],$A240)</f>
        <v/>
      </c>
      <c r="AE240" s="55">
        <f>IF($B240=$B239,$AE239,0)+$AD240</f>
        <v/>
      </c>
      <c r="AF240" s="55">
        <f>$AF239+$AD240</f>
        <v/>
      </c>
      <c r="AG240" s="55">
        <f>SUMIFS(tblMiningDaily[Explosives_kg],tblMiningDaily[Date],$A240)</f>
        <v/>
      </c>
      <c r="AH240" s="55">
        <f>IF($B240=$B239,$AH239,0)+$AG240</f>
        <v/>
      </c>
      <c r="AI240" s="55">
        <f>$AI239+$AG240</f>
        <v/>
      </c>
      <c r="AJ240" s="56">
        <f>IFERROR(IF(($AD240)&gt;0,($AG240)/($AD240),""),"")</f>
        <v/>
      </c>
      <c r="AK240" s="56">
        <f>IFERROR(IF(($AE240)&gt;0,($AH240)/($AE240),""),"")</f>
        <v/>
      </c>
      <c r="AL240" s="56">
        <f>IFERROR(IF(($AF240)&gt;0,($AI240)/($AF240),""),"")</f>
        <v/>
      </c>
      <c r="AM240" s="55">
        <f>SUMIFS(tblMiningDaily[Diesel_L],tblMiningDaily[Date],$A240)</f>
        <v/>
      </c>
      <c r="AN240" s="55">
        <f>IF($B240=$B239,$AN239,0)+$AM240</f>
        <v/>
      </c>
      <c r="AO240" s="55">
        <f>$AO239+$AM240</f>
        <v/>
      </c>
      <c r="AP240" s="55">
        <f>SUMIFS(tblMiningDaily[Dewatering_m3],tblMiningDaily[Date],$A240)</f>
        <v/>
      </c>
      <c r="AQ240" s="55">
        <f>IF($B240=$B239,$AQ239,0)+$AP240</f>
        <v/>
      </c>
      <c r="AR240" s="55">
        <f>$AR239+$AP240</f>
        <v/>
      </c>
      <c r="AS240" s="57">
        <f>SUMIFS(tblFleet[Calendar_h],tblFleet[Date],$A240,tblFleet[Equipment_Class],"Excavator")</f>
        <v/>
      </c>
      <c r="AT240" s="57">
        <f>IF($B240=$B239,$AT239,0)+$AS240</f>
        <v/>
      </c>
      <c r="AU240" s="57">
        <f>$AU239+$AS240</f>
        <v/>
      </c>
      <c r="AV240" s="57">
        <f>SUMIFS(tblFleet[Available_h],tblFleet[Date],$A240,tblFleet[Equipment_Class],"Excavator")</f>
        <v/>
      </c>
      <c r="AW240" s="57">
        <f>IF($B240=$B239,$AW239,0)+$AV240</f>
        <v/>
      </c>
      <c r="AX240" s="57">
        <f>$AX239+$AV240</f>
        <v/>
      </c>
      <c r="AY240" s="57">
        <f>SUMIFS(tblFleet[Operating_h],tblFleet[Date],$A240,tblFleet[Equipment_Class],"Excavator")</f>
        <v/>
      </c>
      <c r="AZ240" s="57">
        <f>IF($B240=$B239,$AZ239,0)+$AY240</f>
        <v/>
      </c>
      <c r="BA240" s="57">
        <f>$BA239+$AY240</f>
        <v/>
      </c>
      <c r="BB240" s="67">
        <f>IFERROR(IF(($AS240)&gt;0,($AV240)/($AS240),""),"")</f>
        <v/>
      </c>
      <c r="BC240" s="67">
        <f>IFERROR(IF(($AT240)&gt;0,($AW240)/($AT240),""),"")</f>
        <v/>
      </c>
      <c r="BD240" s="67">
        <f>IFERROR(IF(($AU240)&gt;0,($AX240)/($AU240),""),"")</f>
        <v/>
      </c>
      <c r="BE240" s="67">
        <f>IFERROR(IF(($AV240)&gt;0,($AY240)/($AV240),""),"")</f>
        <v/>
      </c>
      <c r="BF240" s="67">
        <f>IFERROR(IF(($AW240)&gt;0,($AZ240)/($AW240),""),"")</f>
        <v/>
      </c>
      <c r="BG240" s="67">
        <f>IFERROR(IF(($AX240)&gt;0,($BA240)/($AX240),""),"")</f>
        <v/>
      </c>
      <c r="BH240" s="57">
        <f>SUMIFS(tblFleet[Calendar_h],tblFleet[Date],$A240,tblFleet[Equipment_Class],"Haul Truck")</f>
        <v/>
      </c>
      <c r="BI240" s="57">
        <f>IF($B240=$B239,$BI239,0)+$BH240</f>
        <v/>
      </c>
      <c r="BJ240" s="57">
        <f>$BJ239+$BH240</f>
        <v/>
      </c>
      <c r="BK240" s="57">
        <f>SUMIFS(tblFleet[Available_h],tblFleet[Date],$A240,tblFleet[Equipment_Class],"Haul Truck")</f>
        <v/>
      </c>
      <c r="BL240" s="57">
        <f>IF($B240=$B239,$BL239,0)+$BK240</f>
        <v/>
      </c>
      <c r="BM240" s="57">
        <f>$BM239+$BK240</f>
        <v/>
      </c>
      <c r="BN240" s="57">
        <f>SUMIFS(tblFleet[Operating_h],tblFleet[Date],$A240,tblFleet[Equipment_Class],"Haul Truck")</f>
        <v/>
      </c>
      <c r="BO240" s="57">
        <f>IF($B240=$B239,$BO239,0)+$BN240</f>
        <v/>
      </c>
      <c r="BP240" s="57">
        <f>$BP239+$BN240</f>
        <v/>
      </c>
      <c r="BQ240" s="67">
        <f>IFERROR(IF(($BH240)&gt;0,($BK240)/($BH240),""),"")</f>
        <v/>
      </c>
      <c r="BR240" s="67">
        <f>IFERROR(IF(($BI240)&gt;0,($BL240)/($BI240),""),"")</f>
        <v/>
      </c>
      <c r="BS240" s="67">
        <f>IFERROR(IF(($BJ240)&gt;0,($BM240)/($BJ240),""),"")</f>
        <v/>
      </c>
      <c r="BT240" s="67">
        <f>IFERROR(IF(($BK240)&gt;0,($BN240)/($BK240),""),"")</f>
        <v/>
      </c>
      <c r="BU240" s="67">
        <f>IFERROR(IF(($BL240)&gt;0,($BO240)/($BL240),""),"")</f>
        <v/>
      </c>
      <c r="BV240" s="67">
        <f>IFERROR(IF(($BM240)&gt;0,($BP240)/($BM240),""),"")</f>
        <v/>
      </c>
      <c r="BW240" s="55">
        <f>SUMIFS(tblPlant[Crushed_t],tblPlant[Date],$A240)</f>
        <v/>
      </c>
      <c r="BX240" s="55">
        <f>IF($B240=$B239,$BX239,0)+$BW240</f>
        <v/>
      </c>
      <c r="BY240" s="55">
        <f>$BY239+$BW240</f>
        <v/>
      </c>
      <c r="BZ240" s="55">
        <f>SUMIFS(tblPlant[Milled_t],tblPlant[Date],$A240)</f>
        <v/>
      </c>
      <c r="CA240" s="55">
        <f>IF($B240=$B239,$CA239,0)+$BZ240</f>
        <v/>
      </c>
      <c r="CB240" s="55">
        <f>$CB239+$BZ240</f>
        <v/>
      </c>
      <c r="CC240" s="55">
        <f>SUMIFS(tblPlant[Feed_oz],tblPlant[Date],$A240)</f>
        <v/>
      </c>
      <c r="CD240" s="55">
        <f>IF($B240=$B239,$CD239,0)+$CC240</f>
        <v/>
      </c>
      <c r="CE240" s="55">
        <f>$CE239+$CC240</f>
        <v/>
      </c>
      <c r="CF240" s="55">
        <f>SUMIFS(tblPlant[Tails_oz],tblPlant[Date],$A240)</f>
        <v/>
      </c>
      <c r="CG240" s="55">
        <f>IF($B240=$B239,$CG239,0)+$CF240</f>
        <v/>
      </c>
      <c r="CH240" s="55">
        <f>$CH239+$CF240</f>
        <v/>
      </c>
      <c r="CI240" s="55">
        <f>SUMIFS(tblPlant[Recovered_oz],tblPlant[Date],$A240)</f>
        <v/>
      </c>
      <c r="CJ240" s="55">
        <f>IF($B240=$B239,$CJ239,0)+$CI240</f>
        <v/>
      </c>
      <c r="CK240" s="55">
        <f>$CK239+$CI240</f>
        <v/>
      </c>
      <c r="CL240" s="56">
        <f>IFERROR(IF(($BZ240)&gt;0,($CC240*cfg_TroyOz)/($BZ240),""),"")</f>
        <v/>
      </c>
      <c r="CM240" s="56">
        <f>IFERROR(IF(($CA240)&gt;0,($CD240*cfg_TroyOz)/($CA240),""),"")</f>
        <v/>
      </c>
      <c r="CN240" s="56">
        <f>IFERROR(IF(($CB240)&gt;0,($CE240*cfg_TroyOz)/($CB240),""),"")</f>
        <v/>
      </c>
      <c r="CO240" s="56">
        <f>IFERROR(IF(($BZ240)&gt;0,($CF240*cfg_TroyOz)/($BZ240),""),"")</f>
        <v/>
      </c>
      <c r="CP240" s="56">
        <f>IFERROR(IF(($CA240)&gt;0,($CG240*cfg_TroyOz)/($CA240),""),"")</f>
        <v/>
      </c>
      <c r="CQ240" s="56">
        <f>IFERROR(IF(($CB240)&gt;0,($CH240*cfg_TroyOz)/($CB240),""),"")</f>
        <v/>
      </c>
      <c r="CR240" s="67">
        <f>IFERROR(IF(($CC240)&gt;0,($CI240)/($CC240),""),"")</f>
        <v/>
      </c>
      <c r="CS240" s="67">
        <f>IFERROR(IF(($CD240)&gt;0,($CJ240)/($CD240),""),"")</f>
        <v/>
      </c>
      <c r="CT240" s="67">
        <f>IFERROR(IF(($CE240)&gt;0,($CK240)/($CE240),""),"")</f>
        <v/>
      </c>
      <c r="CU240" s="55">
        <f>SUMIFS(tblPlant[Gravity_Gold_oz],tblPlant[Date],$A240)</f>
        <v/>
      </c>
      <c r="CV240" s="55">
        <f>IF($B240=$B239,$CV239,0)+$CU240</f>
        <v/>
      </c>
      <c r="CW240" s="55">
        <f>$CW239+$CU240</f>
        <v/>
      </c>
      <c r="CX240" s="55">
        <f>SUMIFS(tblPlant[Gold_Poured_oz],tblPlant[Date],$A240)</f>
        <v/>
      </c>
      <c r="CY240" s="55">
        <f>IF($B240=$B239,$CY239,0)+$CX240</f>
        <v/>
      </c>
      <c r="CZ240" s="55">
        <f>$CZ239+$CX240</f>
        <v/>
      </c>
      <c r="DA240" s="57">
        <f>SUMIFS(tblPlant[Mill_Run_h],tblPlant[Date],$A240)</f>
        <v/>
      </c>
      <c r="DB240" s="57">
        <f>IF($B240=$B239,$DB239,0)+$DA240</f>
        <v/>
      </c>
      <c r="DC240" s="57">
        <f>$DC239+$DA240</f>
        <v/>
      </c>
      <c r="DD240" s="57">
        <f>SUMIFS(tblPlant[Mill_Planned_Maint_h],tblPlant[Date],$A240)</f>
        <v/>
      </c>
      <c r="DE240" s="57">
        <f>IF($B240=$B239,$DE239,0)+$DD240</f>
        <v/>
      </c>
      <c r="DF240" s="57">
        <f>$DF239+$DD240</f>
        <v/>
      </c>
      <c r="DG240" s="57">
        <f>SUMIFS(tblPlant[Mill_Unplanned_Down_h],tblPlant[Date],$A240)</f>
        <v/>
      </c>
      <c r="DH240" s="57">
        <f>IF($B240=$B239,$DH239,0)+$DG240</f>
        <v/>
      </c>
      <c r="DI240" s="57">
        <f>$DI239+$DG240</f>
        <v/>
      </c>
      <c r="DJ240" s="57">
        <f>COUNTIFS(tblPlant[Date],$A240,tblPlant[Mill_Run_h],"&lt;&gt;")*24</f>
        <v/>
      </c>
      <c r="DK240" s="57">
        <f>IF($B240=$B239,$DK239,0)+$DJ240</f>
        <v/>
      </c>
      <c r="DL240" s="57">
        <f>$DL239+$DJ240</f>
        <v/>
      </c>
      <c r="DM240" s="57">
        <f>SUMIFS(tblPlant[Crusher_Run_h],tblPlant[Date],$A240)</f>
        <v/>
      </c>
      <c r="DN240" s="57">
        <f>IF($B240=$B239,$DN239,0)+$DM240</f>
        <v/>
      </c>
      <c r="DO240" s="57">
        <f>$DO239+$DM240</f>
        <v/>
      </c>
      <c r="DP240" s="55">
        <f>IFERROR(IF(($DA240)&gt;0,($BZ240)/($DA240),""),"")</f>
        <v/>
      </c>
      <c r="DQ240" s="55">
        <f>IFERROR(IF(($DB240)&gt;0,($CA240)/($DB240),""),"")</f>
        <v/>
      </c>
      <c r="DR240" s="55">
        <f>IFERROR(IF(($DC240)&gt;0,($CB240)/($DC240),""),"")</f>
        <v/>
      </c>
      <c r="DS240" s="67">
        <f>IFERROR(IF(($DJ240)&gt;0,($DJ240-$DD240-$DG240)/($DJ240),""),"")</f>
        <v/>
      </c>
      <c r="DT240" s="67">
        <f>IFERROR(IF(($DK240)&gt;0,($DK240-$DE240-$DH240)/($DK240),""),"")</f>
        <v/>
      </c>
      <c r="DU240" s="67">
        <f>IFERROR(IF(($DL240)&gt;0,($DL240-$DF240-$DI240)/($DL240),""),"")</f>
        <v/>
      </c>
      <c r="DV240" s="67">
        <f>IFERROR(IF(($DJ240-$DD240-$DG240)&gt;0,($DA240)/($DJ240-$DD240-$DG240),""),"")</f>
        <v/>
      </c>
      <c r="DW240" s="67">
        <f>IFERROR(IF(($DK240-$DE240-$DH240)&gt;0,($DB240)/($DK240-$DE240-$DH240),""),"")</f>
        <v/>
      </c>
      <c r="DX240" s="67">
        <f>IFERROR(IF(($DL240-$DF240-$DI240)&gt;0,($DC240)/($DL240-$DF240-$DI240),""),"")</f>
        <v/>
      </c>
      <c r="DY240" s="55">
        <f>SUMIFS(tblPlant[Cyanide_kg],tblPlant[Date],$A240)</f>
        <v/>
      </c>
      <c r="DZ240" s="55">
        <f>IF($B240=$B239,$DZ239,0)+$DY240</f>
        <v/>
      </c>
      <c r="EA240" s="55">
        <f>$EA239+$DY240</f>
        <v/>
      </c>
      <c r="EB240" s="55">
        <f>SUMIFS(tblPlant[Lime_kg],tblPlant[Date],$A240)</f>
        <v/>
      </c>
      <c r="EC240" s="55">
        <f>IF($B240=$B239,$EC239,0)+$EB240</f>
        <v/>
      </c>
      <c r="ED240" s="55">
        <f>$ED239+$EB240</f>
        <v/>
      </c>
      <c r="EE240" s="55">
        <f>SUMIFS(tblPlant[Grinding_Media_kg],tblPlant[Date],$A240)</f>
        <v/>
      </c>
      <c r="EF240" s="55">
        <f>IF($B240=$B239,$EF239,0)+$EE240</f>
        <v/>
      </c>
      <c r="EG240" s="55">
        <f>$EG239+$EE240</f>
        <v/>
      </c>
      <c r="EH240" s="55">
        <f>SUMIFS(tblPlant[Power_kWh],tblPlant[Date],$A240)</f>
        <v/>
      </c>
      <c r="EI240" s="55">
        <f>IF($B240=$B239,$EI239,0)+$EH240</f>
        <v/>
      </c>
      <c r="EJ240" s="55">
        <f>$EJ239+$EH240</f>
        <v/>
      </c>
      <c r="EK240" s="55">
        <f>SUMIFS(tblPlant[Raw_Water_m3],tblPlant[Date],$A240)</f>
        <v/>
      </c>
      <c r="EL240" s="55">
        <f>IF($B240=$B239,$EL239,0)+$EK240</f>
        <v/>
      </c>
      <c r="EM240" s="55">
        <f>$EM239+$EK240</f>
        <v/>
      </c>
      <c r="EN240" s="56">
        <f>IFERROR(IF(($BZ240)&gt;0,($DY240)/($BZ240),""),"")</f>
        <v/>
      </c>
      <c r="EO240" s="56">
        <f>IFERROR(IF(($CA240)&gt;0,($DZ240)/($CA240),""),"")</f>
        <v/>
      </c>
      <c r="EP240" s="56">
        <f>IFERROR(IF(($CB240)&gt;0,($EA240)/($CB240),""),"")</f>
        <v/>
      </c>
      <c r="EQ240" s="56">
        <f>IFERROR(IF(($BZ240)&gt;0,($EB240)/($BZ240),""),"")</f>
        <v/>
      </c>
      <c r="ER240" s="56">
        <f>IFERROR(IF(($CA240)&gt;0,($EC240)/($CA240),""),"")</f>
        <v/>
      </c>
      <c r="ES240" s="56">
        <f>IFERROR(IF(($CB240)&gt;0,($ED240)/($CB240),""),"")</f>
        <v/>
      </c>
      <c r="ET240" s="56">
        <f>IFERROR(IF(($BZ240)&gt;0,($EE240)/($BZ240),""),"")</f>
        <v/>
      </c>
      <c r="EU240" s="56">
        <f>IFERROR(IF(($CA240)&gt;0,($EF240)/($CA240),""),"")</f>
        <v/>
      </c>
      <c r="EV240" s="56">
        <f>IFERROR(IF(($CB240)&gt;0,($EG240)/($CB240),""),"")</f>
        <v/>
      </c>
      <c r="EW240" s="76">
        <f>IFERROR(IF(($BZ240)&gt;0,($EH240)/($BZ240),""),"")</f>
        <v/>
      </c>
      <c r="EX240" s="76">
        <f>IFERROR(IF(($CA240)&gt;0,($EI240)/($CA240),""),"")</f>
        <v/>
      </c>
      <c r="EY240" s="76">
        <f>IFERROR(IF(($CB240)&gt;0,($EJ240)/($CB240),""),"")</f>
        <v/>
      </c>
      <c r="EZ240" s="56">
        <f>IFERROR(IF(($BZ240)&gt;0,($EK240)/($BZ240),""),"")</f>
        <v/>
      </c>
      <c r="FA240" s="56">
        <f>IFERROR(IF(($CA240)&gt;0,($EL240)/($CA240),""),"")</f>
        <v/>
      </c>
      <c r="FB240" s="56">
        <f>IFERROR(IF(($CB240)&gt;0,($EM240)/($CB240),""),"")</f>
        <v/>
      </c>
      <c r="FC240" s="55">
        <f>IF(SUMIFS(tblPlant[GIC_oz],tblPlant[Date],$A240)&gt;0,SUMIFS(tblPlant[GIC_oz],tblPlant[Date],$A240),"")</f>
        <v/>
      </c>
      <c r="FD240" s="55">
        <f>SUMIFS(tblGold[Gold_oz],tblGold[Date],$A240,tblGold[Type],"Shipment")</f>
        <v/>
      </c>
      <c r="FE240" s="55">
        <f>IF($B240=$B239,$FE239,0)+$FD240</f>
        <v/>
      </c>
      <c r="FF240" s="55">
        <f>$FF239+$FD240</f>
        <v/>
      </c>
      <c r="FG240" s="55">
        <f>SUMIFS(tblGold[Gold_oz],tblGold[Date],$A240,tblGold[Type],"Sale")</f>
        <v/>
      </c>
      <c r="FH240" s="55">
        <f>IF($B240=$B239,$FH239,0)+$FG240</f>
        <v/>
      </c>
      <c r="FI240" s="55">
        <f>$FI239+$FG240</f>
        <v/>
      </c>
      <c r="FJ240" s="55">
        <f>SUMIFS(tblGold[Dore_kg],tblGold[Date],$A240,tblGold[Type],"Shipment")</f>
        <v/>
      </c>
      <c r="FK240" s="55">
        <f>IF($B240=$B239,$FK239,0)+$FJ240</f>
        <v/>
      </c>
      <c r="FL240" s="55">
        <f>$FL239+$FJ240</f>
        <v/>
      </c>
      <c r="FM240" s="57">
        <f>SUMIFS(tblSafety[Hours_Total],tblSafety[Date],$A240)</f>
        <v/>
      </c>
      <c r="FN240" s="57">
        <f>IF($B240=$B239,$FN239,0)+$FM240</f>
        <v/>
      </c>
      <c r="FO240" s="57">
        <f>$FO239+$FM240</f>
        <v/>
      </c>
      <c r="FP240" s="62">
        <f>SUMIFS(tblSafety[Fatality],tblSafety[Date],$A240)</f>
        <v/>
      </c>
      <c r="FQ240" s="62">
        <f>IF($B240=$B239,$FQ239,0)+$FP240</f>
        <v/>
      </c>
      <c r="FR240" s="62">
        <f>$FR239+$FP240</f>
        <v/>
      </c>
      <c r="FS240" s="62">
        <f>SUMIFS(tblSafety[LTI],tblSafety[Date],$A240)</f>
        <v/>
      </c>
      <c r="FT240" s="62">
        <f>IF($B240=$B239,$FT239,0)+$FS240</f>
        <v/>
      </c>
      <c r="FU240" s="62">
        <f>$FU239+$FS240</f>
        <v/>
      </c>
      <c r="FV240" s="62">
        <f>SUMIFS(tblSafety[RWI],tblSafety[Date],$A240)</f>
        <v/>
      </c>
      <c r="FW240" s="62">
        <f>IF($B240=$B239,$FW239,0)+$FV240</f>
        <v/>
      </c>
      <c r="FX240" s="62">
        <f>$FX239+$FV240</f>
        <v/>
      </c>
      <c r="FY240" s="62">
        <f>SUMIFS(tblSafety[MTI],tblSafety[Date],$A240)</f>
        <v/>
      </c>
      <c r="FZ240" s="62">
        <f>IF($B240=$B239,$FZ239,0)+$FY240</f>
        <v/>
      </c>
      <c r="GA240" s="62">
        <f>$GA239+$FY240</f>
        <v/>
      </c>
      <c r="GB240" s="62">
        <f>SUMIFS(tblSafety[FAI],tblSafety[Date],$A240)</f>
        <v/>
      </c>
      <c r="GC240" s="62">
        <f>IF($B240=$B239,$GC239,0)+$GB240</f>
        <v/>
      </c>
      <c r="GD240" s="62">
        <f>$GD239+$GB240</f>
        <v/>
      </c>
      <c r="GE240" s="62">
        <f>SUMIFS(tblSafety[Recordables],tblSafety[Date],$A240)</f>
        <v/>
      </c>
      <c r="GF240" s="62">
        <f>IF($B240=$B239,$GF239,0)+$GE240</f>
        <v/>
      </c>
      <c r="GG240" s="62">
        <f>$GG239+$GE240</f>
        <v/>
      </c>
      <c r="GH240" s="62">
        <f>SUMIFS(tblSafety[Near_Miss],tblSafety[Date],$A240)</f>
        <v/>
      </c>
      <c r="GI240" s="62">
        <f>IF($B240=$B239,$GI239,0)+$GH240</f>
        <v/>
      </c>
      <c r="GJ240" s="62">
        <f>$GJ239+$GH240</f>
        <v/>
      </c>
      <c r="GK240" s="62">
        <f>SUMIFS(tblSafety[Hazard_Reports],tblSafety[Date],$A240)</f>
        <v/>
      </c>
      <c r="GL240" s="62">
        <f>IF($B240=$B239,$GL239,0)+$GK240</f>
        <v/>
      </c>
      <c r="GM240" s="62">
        <f>$GM239+$GK240</f>
        <v/>
      </c>
      <c r="GN240" s="62">
        <f>SUMIFS(tblSafety[HPI],tblSafety[Date],$A240)</f>
        <v/>
      </c>
      <c r="GO240" s="62">
        <f>IF($B240=$B239,$GO239,0)+$GN240</f>
        <v/>
      </c>
      <c r="GP240" s="62">
        <f>$GP239+$GN240</f>
        <v/>
      </c>
      <c r="GQ240" s="62">
        <f>SUMIFS(tblSafety[Env_Incidents],tblSafety[Date],$A240)</f>
        <v/>
      </c>
      <c r="GR240" s="62">
        <f>IF($B240=$B239,$GR239,0)+$GQ240</f>
        <v/>
      </c>
      <c r="GS240" s="62">
        <f>$GS239+$GQ240</f>
        <v/>
      </c>
      <c r="GT240" s="62">
        <f>SUMIFS(tblSafety[Community_Incidents],tblSafety[Date],$A240)</f>
        <v/>
      </c>
      <c r="GU240" s="62">
        <f>IF($B240=$B239,$GU239,0)+$GT240</f>
        <v/>
      </c>
      <c r="GV240" s="62">
        <f>$GV239+$GT240</f>
        <v/>
      </c>
      <c r="GW240" s="62">
        <f>SUMIFS(tblSafety[Vehicle_Incidents],tblSafety[Date],$A240)</f>
        <v/>
      </c>
      <c r="GX240" s="62">
        <f>IF($B240=$B239,$GX239,0)+$GW240</f>
        <v/>
      </c>
      <c r="GY240" s="62">
        <f>$GY239+$GW240</f>
        <v/>
      </c>
      <c r="GZ240" s="62">
        <f>SUMIFS(tblSafety[Toolbox_Talks],tblSafety[Date],$A240)</f>
        <v/>
      </c>
      <c r="HA240" s="62">
        <f>IF($B240=$B239,$HA239,0)+$GZ240</f>
        <v/>
      </c>
      <c r="HB240" s="62">
        <f>$HB239+$GZ240</f>
        <v/>
      </c>
      <c r="HC240" s="62">
        <f>SUMIFS(tblSafety[Inspections],tblSafety[Date],$A240)</f>
        <v/>
      </c>
      <c r="HD240" s="62">
        <f>IF($B240=$B239,$HD239,0)+$HC240</f>
        <v/>
      </c>
      <c r="HE240" s="62">
        <f>$HE239+$HC240</f>
        <v/>
      </c>
      <c r="HF240" s="56">
        <f>IFERROR((SUMIFS(tblSafety[Recordables],tblSafety[Date],"&gt;="&amp;EDATE($E240,-12),tblSafety[Date],"&lt;="&amp;$A240)+SUMIFS(tblSafetyHistory[Recordables],tblSafetyHistory[Month],"&gt;="&amp;EDATE($E240,-12),tblSafetyHistory[Month],"&lt;"&amp;cfg_YearStart))/(SUMIFS(tblSafety[Hours_Total],tblSafety[Date],"&gt;="&amp;EDATE($E240,-12),tblSafety[Date],"&lt;="&amp;$A240)+SUMIFS(tblSafetyHistory[Hours_Total],tblSafetyHistory[Month],"&gt;="&amp;EDATE($E240,-12),tblSafetyHistory[Month],"&lt;"&amp;cfg_YearStart))*1000000,"")</f>
        <v/>
      </c>
      <c r="HG240" s="56">
        <f>IFERROR((SUMIFS(tblSafety[LTI],tblSafety[Date],"&gt;="&amp;EDATE($E240,-12),tblSafety[Date],"&lt;="&amp;$A240)+SUMIFS(tblSafetyHistory[LTI],tblSafetyHistory[Month],"&gt;="&amp;EDATE($E240,-12),tblSafetyHistory[Month],"&lt;"&amp;cfg_YearStart))/(SUMIFS(tblSafety[Hours_Total],tblSafety[Date],"&gt;="&amp;EDATE($E240,-12),tblSafety[Date],"&lt;="&amp;$A240)+SUMIFS(tblSafetyHistory[Hours_Total],tblSafetyHistory[Month],"&gt;="&amp;EDATE($E240,-12),tblSafetyHistory[Month],"&lt;"&amp;cfg_YearStart))*1000000,"")</f>
        <v/>
      </c>
      <c r="HH240" s="62">
        <f>IF(MAX(N(cfg_PriorLTIDate),_xlfn.MAXIFS(tblSafety[Date],tblSafety[LTI],"&gt;0",tblSafety[Date],"&lt;="&amp;$A240))=0,"",$A240-MAX(N(cfg_PriorLTIDate),_xlfn.MAXIFS(tblSafety[Date],tblSafety[LTI],"&gt;0",tblSafety[Date],"&lt;="&amp;$A240)))</f>
        <v/>
      </c>
      <c r="HI240" s="55">
        <f>SUMIFS(tblBudget[Ore_Mined_t],tblBudget[Month],$E240)</f>
        <v/>
      </c>
      <c r="HJ240" s="55">
        <f>$HI240*$C240/$D240</f>
        <v/>
      </c>
      <c r="HK240" s="55">
        <f>SUMIFS(tblBudget[Ore_Mined_t],tblBudget[Month],"&lt;"&amp;$E240)+$HJ240</f>
        <v/>
      </c>
      <c r="HL240" s="55">
        <f>SUMIFS(tblBudget[Ore_oz],tblBudget[Month],$E240)</f>
        <v/>
      </c>
      <c r="HM240" s="55">
        <f>$HL240*$C240/$D240</f>
        <v/>
      </c>
      <c r="HN240" s="55">
        <f>SUMIFS(tblBudget[Ore_oz],tblBudget[Month],"&lt;"&amp;$E240)+$HM240</f>
        <v/>
      </c>
      <c r="HO240" s="56">
        <f>IFERROR(IF(($HI240)&gt;0,($HL240*cfg_TroyOz)/($HI240),""),"")</f>
        <v/>
      </c>
      <c r="HP240" s="56">
        <f>IFERROR(IF(($HJ240)&gt;0,($HM240*cfg_TroyOz)/($HJ240),""),"")</f>
        <v/>
      </c>
      <c r="HQ240" s="56">
        <f>IFERROR(IF(($HK240)&gt;0,($HN240*cfg_TroyOz)/($HK240),""),"")</f>
        <v/>
      </c>
      <c r="HR240" s="55">
        <f>SUMIFS(tblBudget[Waste_t],tblBudget[Month],$E240)</f>
        <v/>
      </c>
      <c r="HS240" s="55">
        <f>$HR240*$C240/$D240</f>
        <v/>
      </c>
      <c r="HT240" s="55">
        <f>SUMIFS(tblBudget[Waste_t],tblBudget[Month],"&lt;"&amp;$E240)+$HS240</f>
        <v/>
      </c>
      <c r="HU240" s="55">
        <f>SUMIFS(tblBudget[TMM_t],tblBudget[Month],$E240)</f>
        <v/>
      </c>
      <c r="HV240" s="55">
        <f>$HU240*$C240/$D240</f>
        <v/>
      </c>
      <c r="HW240" s="55">
        <f>SUMIFS(tblBudget[TMM_t],tblBudget[Month],"&lt;"&amp;$E240)+$HV240</f>
        <v/>
      </c>
      <c r="HX240" s="56">
        <f>IFERROR(IF(($HI240)&gt;0,($HR240)/($HI240),""),"")</f>
        <v/>
      </c>
      <c r="HY240" s="56">
        <f>IFERROR(IF(($HJ240)&gt;0,($HS240)/($HJ240),""),"")</f>
        <v/>
      </c>
      <c r="HZ240" s="56">
        <f>IFERROR(IF(($HK240)&gt;0,($HT240)/($HK240),""),"")</f>
        <v/>
      </c>
      <c r="IA240" s="55">
        <f>SUMIFS(tblBudget[Drill_m],tblBudget[Month],$E240)</f>
        <v/>
      </c>
      <c r="IB240" s="55">
        <f>$IA240*$C240/$D240</f>
        <v/>
      </c>
      <c r="IC240" s="55">
        <f>SUMIFS(tblBudget[Drill_m],tblBudget[Month],"&lt;"&amp;$E240)+$IB240</f>
        <v/>
      </c>
      <c r="ID240" s="55">
        <f>SUMIFS(tblBudget[Diesel_L],tblBudget[Month],$E240)</f>
        <v/>
      </c>
      <c r="IE240" s="55">
        <f>$ID240*$C240/$D240</f>
        <v/>
      </c>
      <c r="IF240" s="55">
        <f>SUMIFS(tblBudget[Diesel_L],tblBudget[Month],"&lt;"&amp;$E240)+$IE240</f>
        <v/>
      </c>
      <c r="IG240" s="55">
        <f>SUMIFS(tblBudget[Milled_t],tblBudget[Month],$E240)</f>
        <v/>
      </c>
      <c r="IH240" s="55">
        <f>$IG240*$C240/$D240</f>
        <v/>
      </c>
      <c r="II240" s="55">
        <f>SUMIFS(tblBudget[Milled_t],tblBudget[Month],"&lt;"&amp;$E240)+$IH240</f>
        <v/>
      </c>
      <c r="IJ240" s="55">
        <f>SUMIFS(tblBudget[Feed_oz],tblBudget[Month],$E240)</f>
        <v/>
      </c>
      <c r="IK240" s="55">
        <f>$IJ240*$C240/$D240</f>
        <v/>
      </c>
      <c r="IL240" s="55">
        <f>SUMIFS(tblBudget[Feed_oz],tblBudget[Month],"&lt;"&amp;$E240)+$IK240</f>
        <v/>
      </c>
      <c r="IM240" s="55">
        <f>SUMIFS(tblBudget[Recovered_oz],tblBudget[Month],$E240)</f>
        <v/>
      </c>
      <c r="IN240" s="55">
        <f>$IM240*$C240/$D240</f>
        <v/>
      </c>
      <c r="IO240" s="55">
        <f>SUMIFS(tblBudget[Recovered_oz],tblBudget[Month],"&lt;"&amp;$E240)+$IN240</f>
        <v/>
      </c>
      <c r="IP240" s="56">
        <f>IFERROR(IF(($IG240)&gt;0,($IJ240*cfg_TroyOz)/($IG240),""),"")</f>
        <v/>
      </c>
      <c r="IQ240" s="56">
        <f>IFERROR(IF(($IH240)&gt;0,($IK240*cfg_TroyOz)/($IH240),""),"")</f>
        <v/>
      </c>
      <c r="IR240" s="56">
        <f>IFERROR(IF(($II240)&gt;0,($IL240*cfg_TroyOz)/($II240),""),"")</f>
        <v/>
      </c>
      <c r="IS240" s="67">
        <f>IFERROR(IF(($IJ240)&gt;0,($IM240)/($IJ240),""),"")</f>
        <v/>
      </c>
      <c r="IT240" s="67">
        <f>IFERROR(IF(($IK240)&gt;0,($IN240)/($IK240),""),"")</f>
        <v/>
      </c>
      <c r="IU240" s="67">
        <f>IFERROR(IF(($IL240)&gt;0,($IO240)/($IL240),""),"")</f>
        <v/>
      </c>
      <c r="IV240" s="55">
        <f>SUMIFS(tblBudget[Gold_Poured_oz],tblBudget[Month],$E240)</f>
        <v/>
      </c>
      <c r="IW240" s="55">
        <f>$IV240*$C240/$D240</f>
        <v/>
      </c>
      <c r="IX240" s="55">
        <f>SUMIFS(tblBudget[Gold_Poured_oz],tblBudget[Month],"&lt;"&amp;$E240)+$IW240</f>
        <v/>
      </c>
      <c r="IY240" s="57">
        <f>SUMIFS(tblBudget[Hours_Worked],tblBudget[Month],$E240)</f>
        <v/>
      </c>
      <c r="IZ240" s="57">
        <f>$IY240*$C240/$D240</f>
        <v/>
      </c>
      <c r="JA240" s="57">
        <f>SUMIFS(tblBudget[Hours_Worked],tblBudget[Month],"&lt;"&amp;$E240)+$IZ240</f>
        <v/>
      </c>
    </row>
    <row r="241">
      <c r="A241" s="54" t="n">
        <v>46262</v>
      </c>
      <c r="B241">
        <f>MONTH($A241)</f>
        <v/>
      </c>
      <c r="C241">
        <f>DAY($A241)</f>
        <v/>
      </c>
      <c r="D241">
        <f>DAY(EOMONTH($A241,0))</f>
        <v/>
      </c>
      <c r="E241" s="54">
        <f>DATE(YEAR($A241),MONTH($A241),1)</f>
        <v/>
      </c>
      <c r="F241" s="55">
        <f>SUMIFS(tblMovement[Tonnes_t],tblMovement[Date],$A241,tblMovement[Is_Ore],1,tblMovement[Source_Type],"Pit")</f>
        <v/>
      </c>
      <c r="G241" s="55">
        <f>IF($B241=$B240,$G240,0)+$F241</f>
        <v/>
      </c>
      <c r="H241" s="55">
        <f>$H240+$F241</f>
        <v/>
      </c>
      <c r="I241" s="55">
        <f>SUMIFS(tblMovement[Ore_oz],tblMovement[Date],$A241,tblMovement[Source_Type],"Pit")</f>
        <v/>
      </c>
      <c r="J241" s="55">
        <f>IF($B241=$B240,$J240,0)+$I241</f>
        <v/>
      </c>
      <c r="K241" s="55">
        <f>$K240+$I241</f>
        <v/>
      </c>
      <c r="L241" s="56">
        <f>IFERROR(IF(($F241)&gt;0,($I241*cfg_TroyOz)/($F241),""),"")</f>
        <v/>
      </c>
      <c r="M241" s="56">
        <f>IFERROR(IF(($G241)&gt;0,($J241*cfg_TroyOz)/($G241),""),"")</f>
        <v/>
      </c>
      <c r="N241" s="56">
        <f>IFERROR(IF(($H241)&gt;0,($K241*cfg_TroyOz)/($H241),""),"")</f>
        <v/>
      </c>
      <c r="O241" s="55">
        <f>SUMIFS(tblMovement[Tonnes_t],tblMovement[Date],$A241,tblMovement[Is_Ore],0,tblMovement[Source_Type],"Pit")</f>
        <v/>
      </c>
      <c r="P241" s="55">
        <f>IF($B241=$B240,$P240,0)+$O241</f>
        <v/>
      </c>
      <c r="Q241" s="55">
        <f>$Q240+$O241</f>
        <v/>
      </c>
      <c r="R241" s="55">
        <f>$F241+$O241</f>
        <v/>
      </c>
      <c r="S241" s="55">
        <f>IF($B241=$B240,$S240,0)+$R241</f>
        <v/>
      </c>
      <c r="T241" s="55">
        <f>$T240+$R241</f>
        <v/>
      </c>
      <c r="U241" s="56">
        <f>IFERROR(IF(($F241)&gt;0,($O241)/($F241),""),"")</f>
        <v/>
      </c>
      <c r="V241" s="56">
        <f>IFERROR(IF(($G241)&gt;0,($P241)/($G241),""),"")</f>
        <v/>
      </c>
      <c r="W241" s="56">
        <f>IFERROR(IF(($H241)&gt;0,($Q241)/($H241),""),"")</f>
        <v/>
      </c>
      <c r="X241" s="55">
        <f>SUMIFS(tblMovement[Tonnes_t],tblMovement[Date],$A241,tblMovement[Source_Type],"Stockpile")</f>
        <v/>
      </c>
      <c r="Y241" s="55">
        <f>IF($B241=$B240,$Y240,0)+$X241</f>
        <v/>
      </c>
      <c r="Z241" s="55">
        <f>$Z240+$X241</f>
        <v/>
      </c>
      <c r="AA241" s="55">
        <f>SUMIFS(tblMiningDaily[Drill_m],tblMiningDaily[Date],$A241)</f>
        <v/>
      </c>
      <c r="AB241" s="55">
        <f>IF($B241=$B240,$AB240,0)+$AA241</f>
        <v/>
      </c>
      <c r="AC241" s="55">
        <f>$AC240+$AA241</f>
        <v/>
      </c>
      <c r="AD241" s="55">
        <f>SUMIFS(tblMiningDaily[Blast_t],tblMiningDaily[Date],$A241)</f>
        <v/>
      </c>
      <c r="AE241" s="55">
        <f>IF($B241=$B240,$AE240,0)+$AD241</f>
        <v/>
      </c>
      <c r="AF241" s="55">
        <f>$AF240+$AD241</f>
        <v/>
      </c>
      <c r="AG241" s="55">
        <f>SUMIFS(tblMiningDaily[Explosives_kg],tblMiningDaily[Date],$A241)</f>
        <v/>
      </c>
      <c r="AH241" s="55">
        <f>IF($B241=$B240,$AH240,0)+$AG241</f>
        <v/>
      </c>
      <c r="AI241" s="55">
        <f>$AI240+$AG241</f>
        <v/>
      </c>
      <c r="AJ241" s="56">
        <f>IFERROR(IF(($AD241)&gt;0,($AG241)/($AD241),""),"")</f>
        <v/>
      </c>
      <c r="AK241" s="56">
        <f>IFERROR(IF(($AE241)&gt;0,($AH241)/($AE241),""),"")</f>
        <v/>
      </c>
      <c r="AL241" s="56">
        <f>IFERROR(IF(($AF241)&gt;0,($AI241)/($AF241),""),"")</f>
        <v/>
      </c>
      <c r="AM241" s="55">
        <f>SUMIFS(tblMiningDaily[Diesel_L],tblMiningDaily[Date],$A241)</f>
        <v/>
      </c>
      <c r="AN241" s="55">
        <f>IF($B241=$B240,$AN240,0)+$AM241</f>
        <v/>
      </c>
      <c r="AO241" s="55">
        <f>$AO240+$AM241</f>
        <v/>
      </c>
      <c r="AP241" s="55">
        <f>SUMIFS(tblMiningDaily[Dewatering_m3],tblMiningDaily[Date],$A241)</f>
        <v/>
      </c>
      <c r="AQ241" s="55">
        <f>IF($B241=$B240,$AQ240,0)+$AP241</f>
        <v/>
      </c>
      <c r="AR241" s="55">
        <f>$AR240+$AP241</f>
        <v/>
      </c>
      <c r="AS241" s="57">
        <f>SUMIFS(tblFleet[Calendar_h],tblFleet[Date],$A241,tblFleet[Equipment_Class],"Excavator")</f>
        <v/>
      </c>
      <c r="AT241" s="57">
        <f>IF($B241=$B240,$AT240,0)+$AS241</f>
        <v/>
      </c>
      <c r="AU241" s="57">
        <f>$AU240+$AS241</f>
        <v/>
      </c>
      <c r="AV241" s="57">
        <f>SUMIFS(tblFleet[Available_h],tblFleet[Date],$A241,tblFleet[Equipment_Class],"Excavator")</f>
        <v/>
      </c>
      <c r="AW241" s="57">
        <f>IF($B241=$B240,$AW240,0)+$AV241</f>
        <v/>
      </c>
      <c r="AX241" s="57">
        <f>$AX240+$AV241</f>
        <v/>
      </c>
      <c r="AY241" s="57">
        <f>SUMIFS(tblFleet[Operating_h],tblFleet[Date],$A241,tblFleet[Equipment_Class],"Excavator")</f>
        <v/>
      </c>
      <c r="AZ241" s="57">
        <f>IF($B241=$B240,$AZ240,0)+$AY241</f>
        <v/>
      </c>
      <c r="BA241" s="57">
        <f>$BA240+$AY241</f>
        <v/>
      </c>
      <c r="BB241" s="67">
        <f>IFERROR(IF(($AS241)&gt;0,($AV241)/($AS241),""),"")</f>
        <v/>
      </c>
      <c r="BC241" s="67">
        <f>IFERROR(IF(($AT241)&gt;0,($AW241)/($AT241),""),"")</f>
        <v/>
      </c>
      <c r="BD241" s="67">
        <f>IFERROR(IF(($AU241)&gt;0,($AX241)/($AU241),""),"")</f>
        <v/>
      </c>
      <c r="BE241" s="67">
        <f>IFERROR(IF(($AV241)&gt;0,($AY241)/($AV241),""),"")</f>
        <v/>
      </c>
      <c r="BF241" s="67">
        <f>IFERROR(IF(($AW241)&gt;0,($AZ241)/($AW241),""),"")</f>
        <v/>
      </c>
      <c r="BG241" s="67">
        <f>IFERROR(IF(($AX241)&gt;0,($BA241)/($AX241),""),"")</f>
        <v/>
      </c>
      <c r="BH241" s="57">
        <f>SUMIFS(tblFleet[Calendar_h],tblFleet[Date],$A241,tblFleet[Equipment_Class],"Haul Truck")</f>
        <v/>
      </c>
      <c r="BI241" s="57">
        <f>IF($B241=$B240,$BI240,0)+$BH241</f>
        <v/>
      </c>
      <c r="BJ241" s="57">
        <f>$BJ240+$BH241</f>
        <v/>
      </c>
      <c r="BK241" s="57">
        <f>SUMIFS(tblFleet[Available_h],tblFleet[Date],$A241,tblFleet[Equipment_Class],"Haul Truck")</f>
        <v/>
      </c>
      <c r="BL241" s="57">
        <f>IF($B241=$B240,$BL240,0)+$BK241</f>
        <v/>
      </c>
      <c r="BM241" s="57">
        <f>$BM240+$BK241</f>
        <v/>
      </c>
      <c r="BN241" s="57">
        <f>SUMIFS(tblFleet[Operating_h],tblFleet[Date],$A241,tblFleet[Equipment_Class],"Haul Truck")</f>
        <v/>
      </c>
      <c r="BO241" s="57">
        <f>IF($B241=$B240,$BO240,0)+$BN241</f>
        <v/>
      </c>
      <c r="BP241" s="57">
        <f>$BP240+$BN241</f>
        <v/>
      </c>
      <c r="BQ241" s="67">
        <f>IFERROR(IF(($BH241)&gt;0,($BK241)/($BH241),""),"")</f>
        <v/>
      </c>
      <c r="BR241" s="67">
        <f>IFERROR(IF(($BI241)&gt;0,($BL241)/($BI241),""),"")</f>
        <v/>
      </c>
      <c r="BS241" s="67">
        <f>IFERROR(IF(($BJ241)&gt;0,($BM241)/($BJ241),""),"")</f>
        <v/>
      </c>
      <c r="BT241" s="67">
        <f>IFERROR(IF(($BK241)&gt;0,($BN241)/($BK241),""),"")</f>
        <v/>
      </c>
      <c r="BU241" s="67">
        <f>IFERROR(IF(($BL241)&gt;0,($BO241)/($BL241),""),"")</f>
        <v/>
      </c>
      <c r="BV241" s="67">
        <f>IFERROR(IF(($BM241)&gt;0,($BP241)/($BM241),""),"")</f>
        <v/>
      </c>
      <c r="BW241" s="55">
        <f>SUMIFS(tblPlant[Crushed_t],tblPlant[Date],$A241)</f>
        <v/>
      </c>
      <c r="BX241" s="55">
        <f>IF($B241=$B240,$BX240,0)+$BW241</f>
        <v/>
      </c>
      <c r="BY241" s="55">
        <f>$BY240+$BW241</f>
        <v/>
      </c>
      <c r="BZ241" s="55">
        <f>SUMIFS(tblPlant[Milled_t],tblPlant[Date],$A241)</f>
        <v/>
      </c>
      <c r="CA241" s="55">
        <f>IF($B241=$B240,$CA240,0)+$BZ241</f>
        <v/>
      </c>
      <c r="CB241" s="55">
        <f>$CB240+$BZ241</f>
        <v/>
      </c>
      <c r="CC241" s="55">
        <f>SUMIFS(tblPlant[Feed_oz],tblPlant[Date],$A241)</f>
        <v/>
      </c>
      <c r="CD241" s="55">
        <f>IF($B241=$B240,$CD240,0)+$CC241</f>
        <v/>
      </c>
      <c r="CE241" s="55">
        <f>$CE240+$CC241</f>
        <v/>
      </c>
      <c r="CF241" s="55">
        <f>SUMIFS(tblPlant[Tails_oz],tblPlant[Date],$A241)</f>
        <v/>
      </c>
      <c r="CG241" s="55">
        <f>IF($B241=$B240,$CG240,0)+$CF241</f>
        <v/>
      </c>
      <c r="CH241" s="55">
        <f>$CH240+$CF241</f>
        <v/>
      </c>
      <c r="CI241" s="55">
        <f>SUMIFS(tblPlant[Recovered_oz],tblPlant[Date],$A241)</f>
        <v/>
      </c>
      <c r="CJ241" s="55">
        <f>IF($B241=$B240,$CJ240,0)+$CI241</f>
        <v/>
      </c>
      <c r="CK241" s="55">
        <f>$CK240+$CI241</f>
        <v/>
      </c>
      <c r="CL241" s="56">
        <f>IFERROR(IF(($BZ241)&gt;0,($CC241*cfg_TroyOz)/($BZ241),""),"")</f>
        <v/>
      </c>
      <c r="CM241" s="56">
        <f>IFERROR(IF(($CA241)&gt;0,($CD241*cfg_TroyOz)/($CA241),""),"")</f>
        <v/>
      </c>
      <c r="CN241" s="56">
        <f>IFERROR(IF(($CB241)&gt;0,($CE241*cfg_TroyOz)/($CB241),""),"")</f>
        <v/>
      </c>
      <c r="CO241" s="56">
        <f>IFERROR(IF(($BZ241)&gt;0,($CF241*cfg_TroyOz)/($BZ241),""),"")</f>
        <v/>
      </c>
      <c r="CP241" s="56">
        <f>IFERROR(IF(($CA241)&gt;0,($CG241*cfg_TroyOz)/($CA241),""),"")</f>
        <v/>
      </c>
      <c r="CQ241" s="56">
        <f>IFERROR(IF(($CB241)&gt;0,($CH241*cfg_TroyOz)/($CB241),""),"")</f>
        <v/>
      </c>
      <c r="CR241" s="67">
        <f>IFERROR(IF(($CC241)&gt;0,($CI241)/($CC241),""),"")</f>
        <v/>
      </c>
      <c r="CS241" s="67">
        <f>IFERROR(IF(($CD241)&gt;0,($CJ241)/($CD241),""),"")</f>
        <v/>
      </c>
      <c r="CT241" s="67">
        <f>IFERROR(IF(($CE241)&gt;0,($CK241)/($CE241),""),"")</f>
        <v/>
      </c>
      <c r="CU241" s="55">
        <f>SUMIFS(tblPlant[Gravity_Gold_oz],tblPlant[Date],$A241)</f>
        <v/>
      </c>
      <c r="CV241" s="55">
        <f>IF($B241=$B240,$CV240,0)+$CU241</f>
        <v/>
      </c>
      <c r="CW241" s="55">
        <f>$CW240+$CU241</f>
        <v/>
      </c>
      <c r="CX241" s="55">
        <f>SUMIFS(tblPlant[Gold_Poured_oz],tblPlant[Date],$A241)</f>
        <v/>
      </c>
      <c r="CY241" s="55">
        <f>IF($B241=$B240,$CY240,0)+$CX241</f>
        <v/>
      </c>
      <c r="CZ241" s="55">
        <f>$CZ240+$CX241</f>
        <v/>
      </c>
      <c r="DA241" s="57">
        <f>SUMIFS(tblPlant[Mill_Run_h],tblPlant[Date],$A241)</f>
        <v/>
      </c>
      <c r="DB241" s="57">
        <f>IF($B241=$B240,$DB240,0)+$DA241</f>
        <v/>
      </c>
      <c r="DC241" s="57">
        <f>$DC240+$DA241</f>
        <v/>
      </c>
      <c r="DD241" s="57">
        <f>SUMIFS(tblPlant[Mill_Planned_Maint_h],tblPlant[Date],$A241)</f>
        <v/>
      </c>
      <c r="DE241" s="57">
        <f>IF($B241=$B240,$DE240,0)+$DD241</f>
        <v/>
      </c>
      <c r="DF241" s="57">
        <f>$DF240+$DD241</f>
        <v/>
      </c>
      <c r="DG241" s="57">
        <f>SUMIFS(tblPlant[Mill_Unplanned_Down_h],tblPlant[Date],$A241)</f>
        <v/>
      </c>
      <c r="DH241" s="57">
        <f>IF($B241=$B240,$DH240,0)+$DG241</f>
        <v/>
      </c>
      <c r="DI241" s="57">
        <f>$DI240+$DG241</f>
        <v/>
      </c>
      <c r="DJ241" s="57">
        <f>COUNTIFS(tblPlant[Date],$A241,tblPlant[Mill_Run_h],"&lt;&gt;")*24</f>
        <v/>
      </c>
      <c r="DK241" s="57">
        <f>IF($B241=$B240,$DK240,0)+$DJ241</f>
        <v/>
      </c>
      <c r="DL241" s="57">
        <f>$DL240+$DJ241</f>
        <v/>
      </c>
      <c r="DM241" s="57">
        <f>SUMIFS(tblPlant[Crusher_Run_h],tblPlant[Date],$A241)</f>
        <v/>
      </c>
      <c r="DN241" s="57">
        <f>IF($B241=$B240,$DN240,0)+$DM241</f>
        <v/>
      </c>
      <c r="DO241" s="57">
        <f>$DO240+$DM241</f>
        <v/>
      </c>
      <c r="DP241" s="55">
        <f>IFERROR(IF(($DA241)&gt;0,($BZ241)/($DA241),""),"")</f>
        <v/>
      </c>
      <c r="DQ241" s="55">
        <f>IFERROR(IF(($DB241)&gt;0,($CA241)/($DB241),""),"")</f>
        <v/>
      </c>
      <c r="DR241" s="55">
        <f>IFERROR(IF(($DC241)&gt;0,($CB241)/($DC241),""),"")</f>
        <v/>
      </c>
      <c r="DS241" s="67">
        <f>IFERROR(IF(($DJ241)&gt;0,($DJ241-$DD241-$DG241)/($DJ241),""),"")</f>
        <v/>
      </c>
      <c r="DT241" s="67">
        <f>IFERROR(IF(($DK241)&gt;0,($DK241-$DE241-$DH241)/($DK241),""),"")</f>
        <v/>
      </c>
      <c r="DU241" s="67">
        <f>IFERROR(IF(($DL241)&gt;0,($DL241-$DF241-$DI241)/($DL241),""),"")</f>
        <v/>
      </c>
      <c r="DV241" s="67">
        <f>IFERROR(IF(($DJ241-$DD241-$DG241)&gt;0,($DA241)/($DJ241-$DD241-$DG241),""),"")</f>
        <v/>
      </c>
      <c r="DW241" s="67">
        <f>IFERROR(IF(($DK241-$DE241-$DH241)&gt;0,($DB241)/($DK241-$DE241-$DH241),""),"")</f>
        <v/>
      </c>
      <c r="DX241" s="67">
        <f>IFERROR(IF(($DL241-$DF241-$DI241)&gt;0,($DC241)/($DL241-$DF241-$DI241),""),"")</f>
        <v/>
      </c>
      <c r="DY241" s="55">
        <f>SUMIFS(tblPlant[Cyanide_kg],tblPlant[Date],$A241)</f>
        <v/>
      </c>
      <c r="DZ241" s="55">
        <f>IF($B241=$B240,$DZ240,0)+$DY241</f>
        <v/>
      </c>
      <c r="EA241" s="55">
        <f>$EA240+$DY241</f>
        <v/>
      </c>
      <c r="EB241" s="55">
        <f>SUMIFS(tblPlant[Lime_kg],tblPlant[Date],$A241)</f>
        <v/>
      </c>
      <c r="EC241" s="55">
        <f>IF($B241=$B240,$EC240,0)+$EB241</f>
        <v/>
      </c>
      <c r="ED241" s="55">
        <f>$ED240+$EB241</f>
        <v/>
      </c>
      <c r="EE241" s="55">
        <f>SUMIFS(tblPlant[Grinding_Media_kg],tblPlant[Date],$A241)</f>
        <v/>
      </c>
      <c r="EF241" s="55">
        <f>IF($B241=$B240,$EF240,0)+$EE241</f>
        <v/>
      </c>
      <c r="EG241" s="55">
        <f>$EG240+$EE241</f>
        <v/>
      </c>
      <c r="EH241" s="55">
        <f>SUMIFS(tblPlant[Power_kWh],tblPlant[Date],$A241)</f>
        <v/>
      </c>
      <c r="EI241" s="55">
        <f>IF($B241=$B240,$EI240,0)+$EH241</f>
        <v/>
      </c>
      <c r="EJ241" s="55">
        <f>$EJ240+$EH241</f>
        <v/>
      </c>
      <c r="EK241" s="55">
        <f>SUMIFS(tblPlant[Raw_Water_m3],tblPlant[Date],$A241)</f>
        <v/>
      </c>
      <c r="EL241" s="55">
        <f>IF($B241=$B240,$EL240,0)+$EK241</f>
        <v/>
      </c>
      <c r="EM241" s="55">
        <f>$EM240+$EK241</f>
        <v/>
      </c>
      <c r="EN241" s="56">
        <f>IFERROR(IF(($BZ241)&gt;0,($DY241)/($BZ241),""),"")</f>
        <v/>
      </c>
      <c r="EO241" s="56">
        <f>IFERROR(IF(($CA241)&gt;0,($DZ241)/($CA241),""),"")</f>
        <v/>
      </c>
      <c r="EP241" s="56">
        <f>IFERROR(IF(($CB241)&gt;0,($EA241)/($CB241),""),"")</f>
        <v/>
      </c>
      <c r="EQ241" s="56">
        <f>IFERROR(IF(($BZ241)&gt;0,($EB241)/($BZ241),""),"")</f>
        <v/>
      </c>
      <c r="ER241" s="56">
        <f>IFERROR(IF(($CA241)&gt;0,($EC241)/($CA241),""),"")</f>
        <v/>
      </c>
      <c r="ES241" s="56">
        <f>IFERROR(IF(($CB241)&gt;0,($ED241)/($CB241),""),"")</f>
        <v/>
      </c>
      <c r="ET241" s="56">
        <f>IFERROR(IF(($BZ241)&gt;0,($EE241)/($BZ241),""),"")</f>
        <v/>
      </c>
      <c r="EU241" s="56">
        <f>IFERROR(IF(($CA241)&gt;0,($EF241)/($CA241),""),"")</f>
        <v/>
      </c>
      <c r="EV241" s="56">
        <f>IFERROR(IF(($CB241)&gt;0,($EG241)/($CB241),""),"")</f>
        <v/>
      </c>
      <c r="EW241" s="76">
        <f>IFERROR(IF(($BZ241)&gt;0,($EH241)/($BZ241),""),"")</f>
        <v/>
      </c>
      <c r="EX241" s="76">
        <f>IFERROR(IF(($CA241)&gt;0,($EI241)/($CA241),""),"")</f>
        <v/>
      </c>
      <c r="EY241" s="76">
        <f>IFERROR(IF(($CB241)&gt;0,($EJ241)/($CB241),""),"")</f>
        <v/>
      </c>
      <c r="EZ241" s="56">
        <f>IFERROR(IF(($BZ241)&gt;0,($EK241)/($BZ241),""),"")</f>
        <v/>
      </c>
      <c r="FA241" s="56">
        <f>IFERROR(IF(($CA241)&gt;0,($EL241)/($CA241),""),"")</f>
        <v/>
      </c>
      <c r="FB241" s="56">
        <f>IFERROR(IF(($CB241)&gt;0,($EM241)/($CB241),""),"")</f>
        <v/>
      </c>
      <c r="FC241" s="55">
        <f>IF(SUMIFS(tblPlant[GIC_oz],tblPlant[Date],$A241)&gt;0,SUMIFS(tblPlant[GIC_oz],tblPlant[Date],$A241),"")</f>
        <v/>
      </c>
      <c r="FD241" s="55">
        <f>SUMIFS(tblGold[Gold_oz],tblGold[Date],$A241,tblGold[Type],"Shipment")</f>
        <v/>
      </c>
      <c r="FE241" s="55">
        <f>IF($B241=$B240,$FE240,0)+$FD241</f>
        <v/>
      </c>
      <c r="FF241" s="55">
        <f>$FF240+$FD241</f>
        <v/>
      </c>
      <c r="FG241" s="55">
        <f>SUMIFS(tblGold[Gold_oz],tblGold[Date],$A241,tblGold[Type],"Sale")</f>
        <v/>
      </c>
      <c r="FH241" s="55">
        <f>IF($B241=$B240,$FH240,0)+$FG241</f>
        <v/>
      </c>
      <c r="FI241" s="55">
        <f>$FI240+$FG241</f>
        <v/>
      </c>
      <c r="FJ241" s="55">
        <f>SUMIFS(tblGold[Dore_kg],tblGold[Date],$A241,tblGold[Type],"Shipment")</f>
        <v/>
      </c>
      <c r="FK241" s="55">
        <f>IF($B241=$B240,$FK240,0)+$FJ241</f>
        <v/>
      </c>
      <c r="FL241" s="55">
        <f>$FL240+$FJ241</f>
        <v/>
      </c>
      <c r="FM241" s="57">
        <f>SUMIFS(tblSafety[Hours_Total],tblSafety[Date],$A241)</f>
        <v/>
      </c>
      <c r="FN241" s="57">
        <f>IF($B241=$B240,$FN240,0)+$FM241</f>
        <v/>
      </c>
      <c r="FO241" s="57">
        <f>$FO240+$FM241</f>
        <v/>
      </c>
      <c r="FP241" s="62">
        <f>SUMIFS(tblSafety[Fatality],tblSafety[Date],$A241)</f>
        <v/>
      </c>
      <c r="FQ241" s="62">
        <f>IF($B241=$B240,$FQ240,0)+$FP241</f>
        <v/>
      </c>
      <c r="FR241" s="62">
        <f>$FR240+$FP241</f>
        <v/>
      </c>
      <c r="FS241" s="62">
        <f>SUMIFS(tblSafety[LTI],tblSafety[Date],$A241)</f>
        <v/>
      </c>
      <c r="FT241" s="62">
        <f>IF($B241=$B240,$FT240,0)+$FS241</f>
        <v/>
      </c>
      <c r="FU241" s="62">
        <f>$FU240+$FS241</f>
        <v/>
      </c>
      <c r="FV241" s="62">
        <f>SUMIFS(tblSafety[RWI],tblSafety[Date],$A241)</f>
        <v/>
      </c>
      <c r="FW241" s="62">
        <f>IF($B241=$B240,$FW240,0)+$FV241</f>
        <v/>
      </c>
      <c r="FX241" s="62">
        <f>$FX240+$FV241</f>
        <v/>
      </c>
      <c r="FY241" s="62">
        <f>SUMIFS(tblSafety[MTI],tblSafety[Date],$A241)</f>
        <v/>
      </c>
      <c r="FZ241" s="62">
        <f>IF($B241=$B240,$FZ240,0)+$FY241</f>
        <v/>
      </c>
      <c r="GA241" s="62">
        <f>$GA240+$FY241</f>
        <v/>
      </c>
      <c r="GB241" s="62">
        <f>SUMIFS(tblSafety[FAI],tblSafety[Date],$A241)</f>
        <v/>
      </c>
      <c r="GC241" s="62">
        <f>IF($B241=$B240,$GC240,0)+$GB241</f>
        <v/>
      </c>
      <c r="GD241" s="62">
        <f>$GD240+$GB241</f>
        <v/>
      </c>
      <c r="GE241" s="62">
        <f>SUMIFS(tblSafety[Recordables],tblSafety[Date],$A241)</f>
        <v/>
      </c>
      <c r="GF241" s="62">
        <f>IF($B241=$B240,$GF240,0)+$GE241</f>
        <v/>
      </c>
      <c r="GG241" s="62">
        <f>$GG240+$GE241</f>
        <v/>
      </c>
      <c r="GH241" s="62">
        <f>SUMIFS(tblSafety[Near_Miss],tblSafety[Date],$A241)</f>
        <v/>
      </c>
      <c r="GI241" s="62">
        <f>IF($B241=$B240,$GI240,0)+$GH241</f>
        <v/>
      </c>
      <c r="GJ241" s="62">
        <f>$GJ240+$GH241</f>
        <v/>
      </c>
      <c r="GK241" s="62">
        <f>SUMIFS(tblSafety[Hazard_Reports],tblSafety[Date],$A241)</f>
        <v/>
      </c>
      <c r="GL241" s="62">
        <f>IF($B241=$B240,$GL240,0)+$GK241</f>
        <v/>
      </c>
      <c r="GM241" s="62">
        <f>$GM240+$GK241</f>
        <v/>
      </c>
      <c r="GN241" s="62">
        <f>SUMIFS(tblSafety[HPI],tblSafety[Date],$A241)</f>
        <v/>
      </c>
      <c r="GO241" s="62">
        <f>IF($B241=$B240,$GO240,0)+$GN241</f>
        <v/>
      </c>
      <c r="GP241" s="62">
        <f>$GP240+$GN241</f>
        <v/>
      </c>
      <c r="GQ241" s="62">
        <f>SUMIFS(tblSafety[Env_Incidents],tblSafety[Date],$A241)</f>
        <v/>
      </c>
      <c r="GR241" s="62">
        <f>IF($B241=$B240,$GR240,0)+$GQ241</f>
        <v/>
      </c>
      <c r="GS241" s="62">
        <f>$GS240+$GQ241</f>
        <v/>
      </c>
      <c r="GT241" s="62">
        <f>SUMIFS(tblSafety[Community_Incidents],tblSafety[Date],$A241)</f>
        <v/>
      </c>
      <c r="GU241" s="62">
        <f>IF($B241=$B240,$GU240,0)+$GT241</f>
        <v/>
      </c>
      <c r="GV241" s="62">
        <f>$GV240+$GT241</f>
        <v/>
      </c>
      <c r="GW241" s="62">
        <f>SUMIFS(tblSafety[Vehicle_Incidents],tblSafety[Date],$A241)</f>
        <v/>
      </c>
      <c r="GX241" s="62">
        <f>IF($B241=$B240,$GX240,0)+$GW241</f>
        <v/>
      </c>
      <c r="GY241" s="62">
        <f>$GY240+$GW241</f>
        <v/>
      </c>
      <c r="GZ241" s="62">
        <f>SUMIFS(tblSafety[Toolbox_Talks],tblSafety[Date],$A241)</f>
        <v/>
      </c>
      <c r="HA241" s="62">
        <f>IF($B241=$B240,$HA240,0)+$GZ241</f>
        <v/>
      </c>
      <c r="HB241" s="62">
        <f>$HB240+$GZ241</f>
        <v/>
      </c>
      <c r="HC241" s="62">
        <f>SUMIFS(tblSafety[Inspections],tblSafety[Date],$A241)</f>
        <v/>
      </c>
      <c r="HD241" s="62">
        <f>IF($B241=$B240,$HD240,0)+$HC241</f>
        <v/>
      </c>
      <c r="HE241" s="62">
        <f>$HE240+$HC241</f>
        <v/>
      </c>
      <c r="HF241" s="56">
        <f>IFERROR((SUMIFS(tblSafety[Recordables],tblSafety[Date],"&gt;="&amp;EDATE($E241,-12),tblSafety[Date],"&lt;="&amp;$A241)+SUMIFS(tblSafetyHistory[Recordables],tblSafetyHistory[Month],"&gt;="&amp;EDATE($E241,-12),tblSafetyHistory[Month],"&lt;"&amp;cfg_YearStart))/(SUMIFS(tblSafety[Hours_Total],tblSafety[Date],"&gt;="&amp;EDATE($E241,-12),tblSafety[Date],"&lt;="&amp;$A241)+SUMIFS(tblSafetyHistory[Hours_Total],tblSafetyHistory[Month],"&gt;="&amp;EDATE($E241,-12),tblSafetyHistory[Month],"&lt;"&amp;cfg_YearStart))*1000000,"")</f>
        <v/>
      </c>
      <c r="HG241" s="56">
        <f>IFERROR((SUMIFS(tblSafety[LTI],tblSafety[Date],"&gt;="&amp;EDATE($E241,-12),tblSafety[Date],"&lt;="&amp;$A241)+SUMIFS(tblSafetyHistory[LTI],tblSafetyHistory[Month],"&gt;="&amp;EDATE($E241,-12),tblSafetyHistory[Month],"&lt;"&amp;cfg_YearStart))/(SUMIFS(tblSafety[Hours_Total],tblSafety[Date],"&gt;="&amp;EDATE($E241,-12),tblSafety[Date],"&lt;="&amp;$A241)+SUMIFS(tblSafetyHistory[Hours_Total],tblSafetyHistory[Month],"&gt;="&amp;EDATE($E241,-12),tblSafetyHistory[Month],"&lt;"&amp;cfg_YearStart))*1000000,"")</f>
        <v/>
      </c>
      <c r="HH241" s="62">
        <f>IF(MAX(N(cfg_PriorLTIDate),_xlfn.MAXIFS(tblSafety[Date],tblSafety[LTI],"&gt;0",tblSafety[Date],"&lt;="&amp;$A241))=0,"",$A241-MAX(N(cfg_PriorLTIDate),_xlfn.MAXIFS(tblSafety[Date],tblSafety[LTI],"&gt;0",tblSafety[Date],"&lt;="&amp;$A241)))</f>
        <v/>
      </c>
      <c r="HI241" s="55">
        <f>SUMIFS(tblBudget[Ore_Mined_t],tblBudget[Month],$E241)</f>
        <v/>
      </c>
      <c r="HJ241" s="55">
        <f>$HI241*$C241/$D241</f>
        <v/>
      </c>
      <c r="HK241" s="55">
        <f>SUMIFS(tblBudget[Ore_Mined_t],tblBudget[Month],"&lt;"&amp;$E241)+$HJ241</f>
        <v/>
      </c>
      <c r="HL241" s="55">
        <f>SUMIFS(tblBudget[Ore_oz],tblBudget[Month],$E241)</f>
        <v/>
      </c>
      <c r="HM241" s="55">
        <f>$HL241*$C241/$D241</f>
        <v/>
      </c>
      <c r="HN241" s="55">
        <f>SUMIFS(tblBudget[Ore_oz],tblBudget[Month],"&lt;"&amp;$E241)+$HM241</f>
        <v/>
      </c>
      <c r="HO241" s="56">
        <f>IFERROR(IF(($HI241)&gt;0,($HL241*cfg_TroyOz)/($HI241),""),"")</f>
        <v/>
      </c>
      <c r="HP241" s="56">
        <f>IFERROR(IF(($HJ241)&gt;0,($HM241*cfg_TroyOz)/($HJ241),""),"")</f>
        <v/>
      </c>
      <c r="HQ241" s="56">
        <f>IFERROR(IF(($HK241)&gt;0,($HN241*cfg_TroyOz)/($HK241),""),"")</f>
        <v/>
      </c>
      <c r="HR241" s="55">
        <f>SUMIFS(tblBudget[Waste_t],tblBudget[Month],$E241)</f>
        <v/>
      </c>
      <c r="HS241" s="55">
        <f>$HR241*$C241/$D241</f>
        <v/>
      </c>
      <c r="HT241" s="55">
        <f>SUMIFS(tblBudget[Waste_t],tblBudget[Month],"&lt;"&amp;$E241)+$HS241</f>
        <v/>
      </c>
      <c r="HU241" s="55">
        <f>SUMIFS(tblBudget[TMM_t],tblBudget[Month],$E241)</f>
        <v/>
      </c>
      <c r="HV241" s="55">
        <f>$HU241*$C241/$D241</f>
        <v/>
      </c>
      <c r="HW241" s="55">
        <f>SUMIFS(tblBudget[TMM_t],tblBudget[Month],"&lt;"&amp;$E241)+$HV241</f>
        <v/>
      </c>
      <c r="HX241" s="56">
        <f>IFERROR(IF(($HI241)&gt;0,($HR241)/($HI241),""),"")</f>
        <v/>
      </c>
      <c r="HY241" s="56">
        <f>IFERROR(IF(($HJ241)&gt;0,($HS241)/($HJ241),""),"")</f>
        <v/>
      </c>
      <c r="HZ241" s="56">
        <f>IFERROR(IF(($HK241)&gt;0,($HT241)/($HK241),""),"")</f>
        <v/>
      </c>
      <c r="IA241" s="55">
        <f>SUMIFS(tblBudget[Drill_m],tblBudget[Month],$E241)</f>
        <v/>
      </c>
      <c r="IB241" s="55">
        <f>$IA241*$C241/$D241</f>
        <v/>
      </c>
      <c r="IC241" s="55">
        <f>SUMIFS(tblBudget[Drill_m],tblBudget[Month],"&lt;"&amp;$E241)+$IB241</f>
        <v/>
      </c>
      <c r="ID241" s="55">
        <f>SUMIFS(tblBudget[Diesel_L],tblBudget[Month],$E241)</f>
        <v/>
      </c>
      <c r="IE241" s="55">
        <f>$ID241*$C241/$D241</f>
        <v/>
      </c>
      <c r="IF241" s="55">
        <f>SUMIFS(tblBudget[Diesel_L],tblBudget[Month],"&lt;"&amp;$E241)+$IE241</f>
        <v/>
      </c>
      <c r="IG241" s="55">
        <f>SUMIFS(tblBudget[Milled_t],tblBudget[Month],$E241)</f>
        <v/>
      </c>
      <c r="IH241" s="55">
        <f>$IG241*$C241/$D241</f>
        <v/>
      </c>
      <c r="II241" s="55">
        <f>SUMIFS(tblBudget[Milled_t],tblBudget[Month],"&lt;"&amp;$E241)+$IH241</f>
        <v/>
      </c>
      <c r="IJ241" s="55">
        <f>SUMIFS(tblBudget[Feed_oz],tblBudget[Month],$E241)</f>
        <v/>
      </c>
      <c r="IK241" s="55">
        <f>$IJ241*$C241/$D241</f>
        <v/>
      </c>
      <c r="IL241" s="55">
        <f>SUMIFS(tblBudget[Feed_oz],tblBudget[Month],"&lt;"&amp;$E241)+$IK241</f>
        <v/>
      </c>
      <c r="IM241" s="55">
        <f>SUMIFS(tblBudget[Recovered_oz],tblBudget[Month],$E241)</f>
        <v/>
      </c>
      <c r="IN241" s="55">
        <f>$IM241*$C241/$D241</f>
        <v/>
      </c>
      <c r="IO241" s="55">
        <f>SUMIFS(tblBudget[Recovered_oz],tblBudget[Month],"&lt;"&amp;$E241)+$IN241</f>
        <v/>
      </c>
      <c r="IP241" s="56">
        <f>IFERROR(IF(($IG241)&gt;0,($IJ241*cfg_TroyOz)/($IG241),""),"")</f>
        <v/>
      </c>
      <c r="IQ241" s="56">
        <f>IFERROR(IF(($IH241)&gt;0,($IK241*cfg_TroyOz)/($IH241),""),"")</f>
        <v/>
      </c>
      <c r="IR241" s="56">
        <f>IFERROR(IF(($II241)&gt;0,($IL241*cfg_TroyOz)/($II241),""),"")</f>
        <v/>
      </c>
      <c r="IS241" s="67">
        <f>IFERROR(IF(($IJ241)&gt;0,($IM241)/($IJ241),""),"")</f>
        <v/>
      </c>
      <c r="IT241" s="67">
        <f>IFERROR(IF(($IK241)&gt;0,($IN241)/($IK241),""),"")</f>
        <v/>
      </c>
      <c r="IU241" s="67">
        <f>IFERROR(IF(($IL241)&gt;0,($IO241)/($IL241),""),"")</f>
        <v/>
      </c>
      <c r="IV241" s="55">
        <f>SUMIFS(tblBudget[Gold_Poured_oz],tblBudget[Month],$E241)</f>
        <v/>
      </c>
      <c r="IW241" s="55">
        <f>$IV241*$C241/$D241</f>
        <v/>
      </c>
      <c r="IX241" s="55">
        <f>SUMIFS(tblBudget[Gold_Poured_oz],tblBudget[Month],"&lt;"&amp;$E241)+$IW241</f>
        <v/>
      </c>
      <c r="IY241" s="57">
        <f>SUMIFS(tblBudget[Hours_Worked],tblBudget[Month],$E241)</f>
        <v/>
      </c>
      <c r="IZ241" s="57">
        <f>$IY241*$C241/$D241</f>
        <v/>
      </c>
      <c r="JA241" s="57">
        <f>SUMIFS(tblBudget[Hours_Worked],tblBudget[Month],"&lt;"&amp;$E241)+$IZ241</f>
        <v/>
      </c>
    </row>
    <row r="242">
      <c r="A242" s="54" t="n">
        <v>46263</v>
      </c>
      <c r="B242">
        <f>MONTH($A242)</f>
        <v/>
      </c>
      <c r="C242">
        <f>DAY($A242)</f>
        <v/>
      </c>
      <c r="D242">
        <f>DAY(EOMONTH($A242,0))</f>
        <v/>
      </c>
      <c r="E242" s="54">
        <f>DATE(YEAR($A242),MONTH($A242),1)</f>
        <v/>
      </c>
      <c r="F242" s="55">
        <f>SUMIFS(tblMovement[Tonnes_t],tblMovement[Date],$A242,tblMovement[Is_Ore],1,tblMovement[Source_Type],"Pit")</f>
        <v/>
      </c>
      <c r="G242" s="55">
        <f>IF($B242=$B241,$G241,0)+$F242</f>
        <v/>
      </c>
      <c r="H242" s="55">
        <f>$H241+$F242</f>
        <v/>
      </c>
      <c r="I242" s="55">
        <f>SUMIFS(tblMovement[Ore_oz],tblMovement[Date],$A242,tblMovement[Source_Type],"Pit")</f>
        <v/>
      </c>
      <c r="J242" s="55">
        <f>IF($B242=$B241,$J241,0)+$I242</f>
        <v/>
      </c>
      <c r="K242" s="55">
        <f>$K241+$I242</f>
        <v/>
      </c>
      <c r="L242" s="56">
        <f>IFERROR(IF(($F242)&gt;0,($I242*cfg_TroyOz)/($F242),""),"")</f>
        <v/>
      </c>
      <c r="M242" s="56">
        <f>IFERROR(IF(($G242)&gt;0,($J242*cfg_TroyOz)/($G242),""),"")</f>
        <v/>
      </c>
      <c r="N242" s="56">
        <f>IFERROR(IF(($H242)&gt;0,($K242*cfg_TroyOz)/($H242),""),"")</f>
        <v/>
      </c>
      <c r="O242" s="55">
        <f>SUMIFS(tblMovement[Tonnes_t],tblMovement[Date],$A242,tblMovement[Is_Ore],0,tblMovement[Source_Type],"Pit")</f>
        <v/>
      </c>
      <c r="P242" s="55">
        <f>IF($B242=$B241,$P241,0)+$O242</f>
        <v/>
      </c>
      <c r="Q242" s="55">
        <f>$Q241+$O242</f>
        <v/>
      </c>
      <c r="R242" s="55">
        <f>$F242+$O242</f>
        <v/>
      </c>
      <c r="S242" s="55">
        <f>IF($B242=$B241,$S241,0)+$R242</f>
        <v/>
      </c>
      <c r="T242" s="55">
        <f>$T241+$R242</f>
        <v/>
      </c>
      <c r="U242" s="56">
        <f>IFERROR(IF(($F242)&gt;0,($O242)/($F242),""),"")</f>
        <v/>
      </c>
      <c r="V242" s="56">
        <f>IFERROR(IF(($G242)&gt;0,($P242)/($G242),""),"")</f>
        <v/>
      </c>
      <c r="W242" s="56">
        <f>IFERROR(IF(($H242)&gt;0,($Q242)/($H242),""),"")</f>
        <v/>
      </c>
      <c r="X242" s="55">
        <f>SUMIFS(tblMovement[Tonnes_t],tblMovement[Date],$A242,tblMovement[Source_Type],"Stockpile")</f>
        <v/>
      </c>
      <c r="Y242" s="55">
        <f>IF($B242=$B241,$Y241,0)+$X242</f>
        <v/>
      </c>
      <c r="Z242" s="55">
        <f>$Z241+$X242</f>
        <v/>
      </c>
      <c r="AA242" s="55">
        <f>SUMIFS(tblMiningDaily[Drill_m],tblMiningDaily[Date],$A242)</f>
        <v/>
      </c>
      <c r="AB242" s="55">
        <f>IF($B242=$B241,$AB241,0)+$AA242</f>
        <v/>
      </c>
      <c r="AC242" s="55">
        <f>$AC241+$AA242</f>
        <v/>
      </c>
      <c r="AD242" s="55">
        <f>SUMIFS(tblMiningDaily[Blast_t],tblMiningDaily[Date],$A242)</f>
        <v/>
      </c>
      <c r="AE242" s="55">
        <f>IF($B242=$B241,$AE241,0)+$AD242</f>
        <v/>
      </c>
      <c r="AF242" s="55">
        <f>$AF241+$AD242</f>
        <v/>
      </c>
      <c r="AG242" s="55">
        <f>SUMIFS(tblMiningDaily[Explosives_kg],tblMiningDaily[Date],$A242)</f>
        <v/>
      </c>
      <c r="AH242" s="55">
        <f>IF($B242=$B241,$AH241,0)+$AG242</f>
        <v/>
      </c>
      <c r="AI242" s="55">
        <f>$AI241+$AG242</f>
        <v/>
      </c>
      <c r="AJ242" s="56">
        <f>IFERROR(IF(($AD242)&gt;0,($AG242)/($AD242),""),"")</f>
        <v/>
      </c>
      <c r="AK242" s="56">
        <f>IFERROR(IF(($AE242)&gt;0,($AH242)/($AE242),""),"")</f>
        <v/>
      </c>
      <c r="AL242" s="56">
        <f>IFERROR(IF(($AF242)&gt;0,($AI242)/($AF242),""),"")</f>
        <v/>
      </c>
      <c r="AM242" s="55">
        <f>SUMIFS(tblMiningDaily[Diesel_L],tblMiningDaily[Date],$A242)</f>
        <v/>
      </c>
      <c r="AN242" s="55">
        <f>IF($B242=$B241,$AN241,0)+$AM242</f>
        <v/>
      </c>
      <c r="AO242" s="55">
        <f>$AO241+$AM242</f>
        <v/>
      </c>
      <c r="AP242" s="55">
        <f>SUMIFS(tblMiningDaily[Dewatering_m3],tblMiningDaily[Date],$A242)</f>
        <v/>
      </c>
      <c r="AQ242" s="55">
        <f>IF($B242=$B241,$AQ241,0)+$AP242</f>
        <v/>
      </c>
      <c r="AR242" s="55">
        <f>$AR241+$AP242</f>
        <v/>
      </c>
      <c r="AS242" s="57">
        <f>SUMIFS(tblFleet[Calendar_h],tblFleet[Date],$A242,tblFleet[Equipment_Class],"Excavator")</f>
        <v/>
      </c>
      <c r="AT242" s="57">
        <f>IF($B242=$B241,$AT241,0)+$AS242</f>
        <v/>
      </c>
      <c r="AU242" s="57">
        <f>$AU241+$AS242</f>
        <v/>
      </c>
      <c r="AV242" s="57">
        <f>SUMIFS(tblFleet[Available_h],tblFleet[Date],$A242,tblFleet[Equipment_Class],"Excavator")</f>
        <v/>
      </c>
      <c r="AW242" s="57">
        <f>IF($B242=$B241,$AW241,0)+$AV242</f>
        <v/>
      </c>
      <c r="AX242" s="57">
        <f>$AX241+$AV242</f>
        <v/>
      </c>
      <c r="AY242" s="57">
        <f>SUMIFS(tblFleet[Operating_h],tblFleet[Date],$A242,tblFleet[Equipment_Class],"Excavator")</f>
        <v/>
      </c>
      <c r="AZ242" s="57">
        <f>IF($B242=$B241,$AZ241,0)+$AY242</f>
        <v/>
      </c>
      <c r="BA242" s="57">
        <f>$BA241+$AY242</f>
        <v/>
      </c>
      <c r="BB242" s="67">
        <f>IFERROR(IF(($AS242)&gt;0,($AV242)/($AS242),""),"")</f>
        <v/>
      </c>
      <c r="BC242" s="67">
        <f>IFERROR(IF(($AT242)&gt;0,($AW242)/($AT242),""),"")</f>
        <v/>
      </c>
      <c r="BD242" s="67">
        <f>IFERROR(IF(($AU242)&gt;0,($AX242)/($AU242),""),"")</f>
        <v/>
      </c>
      <c r="BE242" s="67">
        <f>IFERROR(IF(($AV242)&gt;0,($AY242)/($AV242),""),"")</f>
        <v/>
      </c>
      <c r="BF242" s="67">
        <f>IFERROR(IF(($AW242)&gt;0,($AZ242)/($AW242),""),"")</f>
        <v/>
      </c>
      <c r="BG242" s="67">
        <f>IFERROR(IF(($AX242)&gt;0,($BA242)/($AX242),""),"")</f>
        <v/>
      </c>
      <c r="BH242" s="57">
        <f>SUMIFS(tblFleet[Calendar_h],tblFleet[Date],$A242,tblFleet[Equipment_Class],"Haul Truck")</f>
        <v/>
      </c>
      <c r="BI242" s="57">
        <f>IF($B242=$B241,$BI241,0)+$BH242</f>
        <v/>
      </c>
      <c r="BJ242" s="57">
        <f>$BJ241+$BH242</f>
        <v/>
      </c>
      <c r="BK242" s="57">
        <f>SUMIFS(tblFleet[Available_h],tblFleet[Date],$A242,tblFleet[Equipment_Class],"Haul Truck")</f>
        <v/>
      </c>
      <c r="BL242" s="57">
        <f>IF($B242=$B241,$BL241,0)+$BK242</f>
        <v/>
      </c>
      <c r="BM242" s="57">
        <f>$BM241+$BK242</f>
        <v/>
      </c>
      <c r="BN242" s="57">
        <f>SUMIFS(tblFleet[Operating_h],tblFleet[Date],$A242,tblFleet[Equipment_Class],"Haul Truck")</f>
        <v/>
      </c>
      <c r="BO242" s="57">
        <f>IF($B242=$B241,$BO241,0)+$BN242</f>
        <v/>
      </c>
      <c r="BP242" s="57">
        <f>$BP241+$BN242</f>
        <v/>
      </c>
      <c r="BQ242" s="67">
        <f>IFERROR(IF(($BH242)&gt;0,($BK242)/($BH242),""),"")</f>
        <v/>
      </c>
      <c r="BR242" s="67">
        <f>IFERROR(IF(($BI242)&gt;0,($BL242)/($BI242),""),"")</f>
        <v/>
      </c>
      <c r="BS242" s="67">
        <f>IFERROR(IF(($BJ242)&gt;0,($BM242)/($BJ242),""),"")</f>
        <v/>
      </c>
      <c r="BT242" s="67">
        <f>IFERROR(IF(($BK242)&gt;0,($BN242)/($BK242),""),"")</f>
        <v/>
      </c>
      <c r="BU242" s="67">
        <f>IFERROR(IF(($BL242)&gt;0,($BO242)/($BL242),""),"")</f>
        <v/>
      </c>
      <c r="BV242" s="67">
        <f>IFERROR(IF(($BM242)&gt;0,($BP242)/($BM242),""),"")</f>
        <v/>
      </c>
      <c r="BW242" s="55">
        <f>SUMIFS(tblPlant[Crushed_t],tblPlant[Date],$A242)</f>
        <v/>
      </c>
      <c r="BX242" s="55">
        <f>IF($B242=$B241,$BX241,0)+$BW242</f>
        <v/>
      </c>
      <c r="BY242" s="55">
        <f>$BY241+$BW242</f>
        <v/>
      </c>
      <c r="BZ242" s="55">
        <f>SUMIFS(tblPlant[Milled_t],tblPlant[Date],$A242)</f>
        <v/>
      </c>
      <c r="CA242" s="55">
        <f>IF($B242=$B241,$CA241,0)+$BZ242</f>
        <v/>
      </c>
      <c r="CB242" s="55">
        <f>$CB241+$BZ242</f>
        <v/>
      </c>
      <c r="CC242" s="55">
        <f>SUMIFS(tblPlant[Feed_oz],tblPlant[Date],$A242)</f>
        <v/>
      </c>
      <c r="CD242" s="55">
        <f>IF($B242=$B241,$CD241,0)+$CC242</f>
        <v/>
      </c>
      <c r="CE242" s="55">
        <f>$CE241+$CC242</f>
        <v/>
      </c>
      <c r="CF242" s="55">
        <f>SUMIFS(tblPlant[Tails_oz],tblPlant[Date],$A242)</f>
        <v/>
      </c>
      <c r="CG242" s="55">
        <f>IF($B242=$B241,$CG241,0)+$CF242</f>
        <v/>
      </c>
      <c r="CH242" s="55">
        <f>$CH241+$CF242</f>
        <v/>
      </c>
      <c r="CI242" s="55">
        <f>SUMIFS(tblPlant[Recovered_oz],tblPlant[Date],$A242)</f>
        <v/>
      </c>
      <c r="CJ242" s="55">
        <f>IF($B242=$B241,$CJ241,0)+$CI242</f>
        <v/>
      </c>
      <c r="CK242" s="55">
        <f>$CK241+$CI242</f>
        <v/>
      </c>
      <c r="CL242" s="56">
        <f>IFERROR(IF(($BZ242)&gt;0,($CC242*cfg_TroyOz)/($BZ242),""),"")</f>
        <v/>
      </c>
      <c r="CM242" s="56">
        <f>IFERROR(IF(($CA242)&gt;0,($CD242*cfg_TroyOz)/($CA242),""),"")</f>
        <v/>
      </c>
      <c r="CN242" s="56">
        <f>IFERROR(IF(($CB242)&gt;0,($CE242*cfg_TroyOz)/($CB242),""),"")</f>
        <v/>
      </c>
      <c r="CO242" s="56">
        <f>IFERROR(IF(($BZ242)&gt;0,($CF242*cfg_TroyOz)/($BZ242),""),"")</f>
        <v/>
      </c>
      <c r="CP242" s="56">
        <f>IFERROR(IF(($CA242)&gt;0,($CG242*cfg_TroyOz)/($CA242),""),"")</f>
        <v/>
      </c>
      <c r="CQ242" s="56">
        <f>IFERROR(IF(($CB242)&gt;0,($CH242*cfg_TroyOz)/($CB242),""),"")</f>
        <v/>
      </c>
      <c r="CR242" s="67">
        <f>IFERROR(IF(($CC242)&gt;0,($CI242)/($CC242),""),"")</f>
        <v/>
      </c>
      <c r="CS242" s="67">
        <f>IFERROR(IF(($CD242)&gt;0,($CJ242)/($CD242),""),"")</f>
        <v/>
      </c>
      <c r="CT242" s="67">
        <f>IFERROR(IF(($CE242)&gt;0,($CK242)/($CE242),""),"")</f>
        <v/>
      </c>
      <c r="CU242" s="55">
        <f>SUMIFS(tblPlant[Gravity_Gold_oz],tblPlant[Date],$A242)</f>
        <v/>
      </c>
      <c r="CV242" s="55">
        <f>IF($B242=$B241,$CV241,0)+$CU242</f>
        <v/>
      </c>
      <c r="CW242" s="55">
        <f>$CW241+$CU242</f>
        <v/>
      </c>
      <c r="CX242" s="55">
        <f>SUMIFS(tblPlant[Gold_Poured_oz],tblPlant[Date],$A242)</f>
        <v/>
      </c>
      <c r="CY242" s="55">
        <f>IF($B242=$B241,$CY241,0)+$CX242</f>
        <v/>
      </c>
      <c r="CZ242" s="55">
        <f>$CZ241+$CX242</f>
        <v/>
      </c>
      <c r="DA242" s="57">
        <f>SUMIFS(tblPlant[Mill_Run_h],tblPlant[Date],$A242)</f>
        <v/>
      </c>
      <c r="DB242" s="57">
        <f>IF($B242=$B241,$DB241,0)+$DA242</f>
        <v/>
      </c>
      <c r="DC242" s="57">
        <f>$DC241+$DA242</f>
        <v/>
      </c>
      <c r="DD242" s="57">
        <f>SUMIFS(tblPlant[Mill_Planned_Maint_h],tblPlant[Date],$A242)</f>
        <v/>
      </c>
      <c r="DE242" s="57">
        <f>IF($B242=$B241,$DE241,0)+$DD242</f>
        <v/>
      </c>
      <c r="DF242" s="57">
        <f>$DF241+$DD242</f>
        <v/>
      </c>
      <c r="DG242" s="57">
        <f>SUMIFS(tblPlant[Mill_Unplanned_Down_h],tblPlant[Date],$A242)</f>
        <v/>
      </c>
      <c r="DH242" s="57">
        <f>IF($B242=$B241,$DH241,0)+$DG242</f>
        <v/>
      </c>
      <c r="DI242" s="57">
        <f>$DI241+$DG242</f>
        <v/>
      </c>
      <c r="DJ242" s="57">
        <f>COUNTIFS(tblPlant[Date],$A242,tblPlant[Mill_Run_h],"&lt;&gt;")*24</f>
        <v/>
      </c>
      <c r="DK242" s="57">
        <f>IF($B242=$B241,$DK241,0)+$DJ242</f>
        <v/>
      </c>
      <c r="DL242" s="57">
        <f>$DL241+$DJ242</f>
        <v/>
      </c>
      <c r="DM242" s="57">
        <f>SUMIFS(tblPlant[Crusher_Run_h],tblPlant[Date],$A242)</f>
        <v/>
      </c>
      <c r="DN242" s="57">
        <f>IF($B242=$B241,$DN241,0)+$DM242</f>
        <v/>
      </c>
      <c r="DO242" s="57">
        <f>$DO241+$DM242</f>
        <v/>
      </c>
      <c r="DP242" s="55">
        <f>IFERROR(IF(($DA242)&gt;0,($BZ242)/($DA242),""),"")</f>
        <v/>
      </c>
      <c r="DQ242" s="55">
        <f>IFERROR(IF(($DB242)&gt;0,($CA242)/($DB242),""),"")</f>
        <v/>
      </c>
      <c r="DR242" s="55">
        <f>IFERROR(IF(($DC242)&gt;0,($CB242)/($DC242),""),"")</f>
        <v/>
      </c>
      <c r="DS242" s="67">
        <f>IFERROR(IF(($DJ242)&gt;0,($DJ242-$DD242-$DG242)/($DJ242),""),"")</f>
        <v/>
      </c>
      <c r="DT242" s="67">
        <f>IFERROR(IF(($DK242)&gt;0,($DK242-$DE242-$DH242)/($DK242),""),"")</f>
        <v/>
      </c>
      <c r="DU242" s="67">
        <f>IFERROR(IF(($DL242)&gt;0,($DL242-$DF242-$DI242)/($DL242),""),"")</f>
        <v/>
      </c>
      <c r="DV242" s="67">
        <f>IFERROR(IF(($DJ242-$DD242-$DG242)&gt;0,($DA242)/($DJ242-$DD242-$DG242),""),"")</f>
        <v/>
      </c>
      <c r="DW242" s="67">
        <f>IFERROR(IF(($DK242-$DE242-$DH242)&gt;0,($DB242)/($DK242-$DE242-$DH242),""),"")</f>
        <v/>
      </c>
      <c r="DX242" s="67">
        <f>IFERROR(IF(($DL242-$DF242-$DI242)&gt;0,($DC242)/($DL242-$DF242-$DI242),""),"")</f>
        <v/>
      </c>
      <c r="DY242" s="55">
        <f>SUMIFS(tblPlant[Cyanide_kg],tblPlant[Date],$A242)</f>
        <v/>
      </c>
      <c r="DZ242" s="55">
        <f>IF($B242=$B241,$DZ241,0)+$DY242</f>
        <v/>
      </c>
      <c r="EA242" s="55">
        <f>$EA241+$DY242</f>
        <v/>
      </c>
      <c r="EB242" s="55">
        <f>SUMIFS(tblPlant[Lime_kg],tblPlant[Date],$A242)</f>
        <v/>
      </c>
      <c r="EC242" s="55">
        <f>IF($B242=$B241,$EC241,0)+$EB242</f>
        <v/>
      </c>
      <c r="ED242" s="55">
        <f>$ED241+$EB242</f>
        <v/>
      </c>
      <c r="EE242" s="55">
        <f>SUMIFS(tblPlant[Grinding_Media_kg],tblPlant[Date],$A242)</f>
        <v/>
      </c>
      <c r="EF242" s="55">
        <f>IF($B242=$B241,$EF241,0)+$EE242</f>
        <v/>
      </c>
      <c r="EG242" s="55">
        <f>$EG241+$EE242</f>
        <v/>
      </c>
      <c r="EH242" s="55">
        <f>SUMIFS(tblPlant[Power_kWh],tblPlant[Date],$A242)</f>
        <v/>
      </c>
      <c r="EI242" s="55">
        <f>IF($B242=$B241,$EI241,0)+$EH242</f>
        <v/>
      </c>
      <c r="EJ242" s="55">
        <f>$EJ241+$EH242</f>
        <v/>
      </c>
      <c r="EK242" s="55">
        <f>SUMIFS(tblPlant[Raw_Water_m3],tblPlant[Date],$A242)</f>
        <v/>
      </c>
      <c r="EL242" s="55">
        <f>IF($B242=$B241,$EL241,0)+$EK242</f>
        <v/>
      </c>
      <c r="EM242" s="55">
        <f>$EM241+$EK242</f>
        <v/>
      </c>
      <c r="EN242" s="56">
        <f>IFERROR(IF(($BZ242)&gt;0,($DY242)/($BZ242),""),"")</f>
        <v/>
      </c>
      <c r="EO242" s="56">
        <f>IFERROR(IF(($CA242)&gt;0,($DZ242)/($CA242),""),"")</f>
        <v/>
      </c>
      <c r="EP242" s="56">
        <f>IFERROR(IF(($CB242)&gt;0,($EA242)/($CB242),""),"")</f>
        <v/>
      </c>
      <c r="EQ242" s="56">
        <f>IFERROR(IF(($BZ242)&gt;0,($EB242)/($BZ242),""),"")</f>
        <v/>
      </c>
      <c r="ER242" s="56">
        <f>IFERROR(IF(($CA242)&gt;0,($EC242)/($CA242),""),"")</f>
        <v/>
      </c>
      <c r="ES242" s="56">
        <f>IFERROR(IF(($CB242)&gt;0,($ED242)/($CB242),""),"")</f>
        <v/>
      </c>
      <c r="ET242" s="56">
        <f>IFERROR(IF(($BZ242)&gt;0,($EE242)/($BZ242),""),"")</f>
        <v/>
      </c>
      <c r="EU242" s="56">
        <f>IFERROR(IF(($CA242)&gt;0,($EF242)/($CA242),""),"")</f>
        <v/>
      </c>
      <c r="EV242" s="56">
        <f>IFERROR(IF(($CB242)&gt;0,($EG242)/($CB242),""),"")</f>
        <v/>
      </c>
      <c r="EW242" s="76">
        <f>IFERROR(IF(($BZ242)&gt;0,($EH242)/($BZ242),""),"")</f>
        <v/>
      </c>
      <c r="EX242" s="76">
        <f>IFERROR(IF(($CA242)&gt;0,($EI242)/($CA242),""),"")</f>
        <v/>
      </c>
      <c r="EY242" s="76">
        <f>IFERROR(IF(($CB242)&gt;0,($EJ242)/($CB242),""),"")</f>
        <v/>
      </c>
      <c r="EZ242" s="56">
        <f>IFERROR(IF(($BZ242)&gt;0,($EK242)/($BZ242),""),"")</f>
        <v/>
      </c>
      <c r="FA242" s="56">
        <f>IFERROR(IF(($CA242)&gt;0,($EL242)/($CA242),""),"")</f>
        <v/>
      </c>
      <c r="FB242" s="56">
        <f>IFERROR(IF(($CB242)&gt;0,($EM242)/($CB242),""),"")</f>
        <v/>
      </c>
      <c r="FC242" s="55">
        <f>IF(SUMIFS(tblPlant[GIC_oz],tblPlant[Date],$A242)&gt;0,SUMIFS(tblPlant[GIC_oz],tblPlant[Date],$A242),"")</f>
        <v/>
      </c>
      <c r="FD242" s="55">
        <f>SUMIFS(tblGold[Gold_oz],tblGold[Date],$A242,tblGold[Type],"Shipment")</f>
        <v/>
      </c>
      <c r="FE242" s="55">
        <f>IF($B242=$B241,$FE241,0)+$FD242</f>
        <v/>
      </c>
      <c r="FF242" s="55">
        <f>$FF241+$FD242</f>
        <v/>
      </c>
      <c r="FG242" s="55">
        <f>SUMIFS(tblGold[Gold_oz],tblGold[Date],$A242,tblGold[Type],"Sale")</f>
        <v/>
      </c>
      <c r="FH242" s="55">
        <f>IF($B242=$B241,$FH241,0)+$FG242</f>
        <v/>
      </c>
      <c r="FI242" s="55">
        <f>$FI241+$FG242</f>
        <v/>
      </c>
      <c r="FJ242" s="55">
        <f>SUMIFS(tblGold[Dore_kg],tblGold[Date],$A242,tblGold[Type],"Shipment")</f>
        <v/>
      </c>
      <c r="FK242" s="55">
        <f>IF($B242=$B241,$FK241,0)+$FJ242</f>
        <v/>
      </c>
      <c r="FL242" s="55">
        <f>$FL241+$FJ242</f>
        <v/>
      </c>
      <c r="FM242" s="57">
        <f>SUMIFS(tblSafety[Hours_Total],tblSafety[Date],$A242)</f>
        <v/>
      </c>
      <c r="FN242" s="57">
        <f>IF($B242=$B241,$FN241,0)+$FM242</f>
        <v/>
      </c>
      <c r="FO242" s="57">
        <f>$FO241+$FM242</f>
        <v/>
      </c>
      <c r="FP242" s="62">
        <f>SUMIFS(tblSafety[Fatality],tblSafety[Date],$A242)</f>
        <v/>
      </c>
      <c r="FQ242" s="62">
        <f>IF($B242=$B241,$FQ241,0)+$FP242</f>
        <v/>
      </c>
      <c r="FR242" s="62">
        <f>$FR241+$FP242</f>
        <v/>
      </c>
      <c r="FS242" s="62">
        <f>SUMIFS(tblSafety[LTI],tblSafety[Date],$A242)</f>
        <v/>
      </c>
      <c r="FT242" s="62">
        <f>IF($B242=$B241,$FT241,0)+$FS242</f>
        <v/>
      </c>
      <c r="FU242" s="62">
        <f>$FU241+$FS242</f>
        <v/>
      </c>
      <c r="FV242" s="62">
        <f>SUMIFS(tblSafety[RWI],tblSafety[Date],$A242)</f>
        <v/>
      </c>
      <c r="FW242" s="62">
        <f>IF($B242=$B241,$FW241,0)+$FV242</f>
        <v/>
      </c>
      <c r="FX242" s="62">
        <f>$FX241+$FV242</f>
        <v/>
      </c>
      <c r="FY242" s="62">
        <f>SUMIFS(tblSafety[MTI],tblSafety[Date],$A242)</f>
        <v/>
      </c>
      <c r="FZ242" s="62">
        <f>IF($B242=$B241,$FZ241,0)+$FY242</f>
        <v/>
      </c>
      <c r="GA242" s="62">
        <f>$GA241+$FY242</f>
        <v/>
      </c>
      <c r="GB242" s="62">
        <f>SUMIFS(tblSafety[FAI],tblSafety[Date],$A242)</f>
        <v/>
      </c>
      <c r="GC242" s="62">
        <f>IF($B242=$B241,$GC241,0)+$GB242</f>
        <v/>
      </c>
      <c r="GD242" s="62">
        <f>$GD241+$GB242</f>
        <v/>
      </c>
      <c r="GE242" s="62">
        <f>SUMIFS(tblSafety[Recordables],tblSafety[Date],$A242)</f>
        <v/>
      </c>
      <c r="GF242" s="62">
        <f>IF($B242=$B241,$GF241,0)+$GE242</f>
        <v/>
      </c>
      <c r="GG242" s="62">
        <f>$GG241+$GE242</f>
        <v/>
      </c>
      <c r="GH242" s="62">
        <f>SUMIFS(tblSafety[Near_Miss],tblSafety[Date],$A242)</f>
        <v/>
      </c>
      <c r="GI242" s="62">
        <f>IF($B242=$B241,$GI241,0)+$GH242</f>
        <v/>
      </c>
      <c r="GJ242" s="62">
        <f>$GJ241+$GH242</f>
        <v/>
      </c>
      <c r="GK242" s="62">
        <f>SUMIFS(tblSafety[Hazard_Reports],tblSafety[Date],$A242)</f>
        <v/>
      </c>
      <c r="GL242" s="62">
        <f>IF($B242=$B241,$GL241,0)+$GK242</f>
        <v/>
      </c>
      <c r="GM242" s="62">
        <f>$GM241+$GK242</f>
        <v/>
      </c>
      <c r="GN242" s="62">
        <f>SUMIFS(tblSafety[HPI],tblSafety[Date],$A242)</f>
        <v/>
      </c>
      <c r="GO242" s="62">
        <f>IF($B242=$B241,$GO241,0)+$GN242</f>
        <v/>
      </c>
      <c r="GP242" s="62">
        <f>$GP241+$GN242</f>
        <v/>
      </c>
      <c r="GQ242" s="62">
        <f>SUMIFS(tblSafety[Env_Incidents],tblSafety[Date],$A242)</f>
        <v/>
      </c>
      <c r="GR242" s="62">
        <f>IF($B242=$B241,$GR241,0)+$GQ242</f>
        <v/>
      </c>
      <c r="GS242" s="62">
        <f>$GS241+$GQ242</f>
        <v/>
      </c>
      <c r="GT242" s="62">
        <f>SUMIFS(tblSafety[Community_Incidents],tblSafety[Date],$A242)</f>
        <v/>
      </c>
      <c r="GU242" s="62">
        <f>IF($B242=$B241,$GU241,0)+$GT242</f>
        <v/>
      </c>
      <c r="GV242" s="62">
        <f>$GV241+$GT242</f>
        <v/>
      </c>
      <c r="GW242" s="62">
        <f>SUMIFS(tblSafety[Vehicle_Incidents],tblSafety[Date],$A242)</f>
        <v/>
      </c>
      <c r="GX242" s="62">
        <f>IF($B242=$B241,$GX241,0)+$GW242</f>
        <v/>
      </c>
      <c r="GY242" s="62">
        <f>$GY241+$GW242</f>
        <v/>
      </c>
      <c r="GZ242" s="62">
        <f>SUMIFS(tblSafety[Toolbox_Talks],tblSafety[Date],$A242)</f>
        <v/>
      </c>
      <c r="HA242" s="62">
        <f>IF($B242=$B241,$HA241,0)+$GZ242</f>
        <v/>
      </c>
      <c r="HB242" s="62">
        <f>$HB241+$GZ242</f>
        <v/>
      </c>
      <c r="HC242" s="62">
        <f>SUMIFS(tblSafety[Inspections],tblSafety[Date],$A242)</f>
        <v/>
      </c>
      <c r="HD242" s="62">
        <f>IF($B242=$B241,$HD241,0)+$HC242</f>
        <v/>
      </c>
      <c r="HE242" s="62">
        <f>$HE241+$HC242</f>
        <v/>
      </c>
      <c r="HF242" s="56">
        <f>IFERROR((SUMIFS(tblSafety[Recordables],tblSafety[Date],"&gt;="&amp;EDATE($E242,-12),tblSafety[Date],"&lt;="&amp;$A242)+SUMIFS(tblSafetyHistory[Recordables],tblSafetyHistory[Month],"&gt;="&amp;EDATE($E242,-12),tblSafetyHistory[Month],"&lt;"&amp;cfg_YearStart))/(SUMIFS(tblSafety[Hours_Total],tblSafety[Date],"&gt;="&amp;EDATE($E242,-12),tblSafety[Date],"&lt;="&amp;$A242)+SUMIFS(tblSafetyHistory[Hours_Total],tblSafetyHistory[Month],"&gt;="&amp;EDATE($E242,-12),tblSafetyHistory[Month],"&lt;"&amp;cfg_YearStart))*1000000,"")</f>
        <v/>
      </c>
      <c r="HG242" s="56">
        <f>IFERROR((SUMIFS(tblSafety[LTI],tblSafety[Date],"&gt;="&amp;EDATE($E242,-12),tblSafety[Date],"&lt;="&amp;$A242)+SUMIFS(tblSafetyHistory[LTI],tblSafetyHistory[Month],"&gt;="&amp;EDATE($E242,-12),tblSafetyHistory[Month],"&lt;"&amp;cfg_YearStart))/(SUMIFS(tblSafety[Hours_Total],tblSafety[Date],"&gt;="&amp;EDATE($E242,-12),tblSafety[Date],"&lt;="&amp;$A242)+SUMIFS(tblSafetyHistory[Hours_Total],tblSafetyHistory[Month],"&gt;="&amp;EDATE($E242,-12),tblSafetyHistory[Month],"&lt;"&amp;cfg_YearStart))*1000000,"")</f>
        <v/>
      </c>
      <c r="HH242" s="62">
        <f>IF(MAX(N(cfg_PriorLTIDate),_xlfn.MAXIFS(tblSafety[Date],tblSafety[LTI],"&gt;0",tblSafety[Date],"&lt;="&amp;$A242))=0,"",$A242-MAX(N(cfg_PriorLTIDate),_xlfn.MAXIFS(tblSafety[Date],tblSafety[LTI],"&gt;0",tblSafety[Date],"&lt;="&amp;$A242)))</f>
        <v/>
      </c>
      <c r="HI242" s="55">
        <f>SUMIFS(tblBudget[Ore_Mined_t],tblBudget[Month],$E242)</f>
        <v/>
      </c>
      <c r="HJ242" s="55">
        <f>$HI242*$C242/$D242</f>
        <v/>
      </c>
      <c r="HK242" s="55">
        <f>SUMIFS(tblBudget[Ore_Mined_t],tblBudget[Month],"&lt;"&amp;$E242)+$HJ242</f>
        <v/>
      </c>
      <c r="HL242" s="55">
        <f>SUMIFS(tblBudget[Ore_oz],tblBudget[Month],$E242)</f>
        <v/>
      </c>
      <c r="HM242" s="55">
        <f>$HL242*$C242/$D242</f>
        <v/>
      </c>
      <c r="HN242" s="55">
        <f>SUMIFS(tblBudget[Ore_oz],tblBudget[Month],"&lt;"&amp;$E242)+$HM242</f>
        <v/>
      </c>
      <c r="HO242" s="56">
        <f>IFERROR(IF(($HI242)&gt;0,($HL242*cfg_TroyOz)/($HI242),""),"")</f>
        <v/>
      </c>
      <c r="HP242" s="56">
        <f>IFERROR(IF(($HJ242)&gt;0,($HM242*cfg_TroyOz)/($HJ242),""),"")</f>
        <v/>
      </c>
      <c r="HQ242" s="56">
        <f>IFERROR(IF(($HK242)&gt;0,($HN242*cfg_TroyOz)/($HK242),""),"")</f>
        <v/>
      </c>
      <c r="HR242" s="55">
        <f>SUMIFS(tblBudget[Waste_t],tblBudget[Month],$E242)</f>
        <v/>
      </c>
      <c r="HS242" s="55">
        <f>$HR242*$C242/$D242</f>
        <v/>
      </c>
      <c r="HT242" s="55">
        <f>SUMIFS(tblBudget[Waste_t],tblBudget[Month],"&lt;"&amp;$E242)+$HS242</f>
        <v/>
      </c>
      <c r="HU242" s="55">
        <f>SUMIFS(tblBudget[TMM_t],tblBudget[Month],$E242)</f>
        <v/>
      </c>
      <c r="HV242" s="55">
        <f>$HU242*$C242/$D242</f>
        <v/>
      </c>
      <c r="HW242" s="55">
        <f>SUMIFS(tblBudget[TMM_t],tblBudget[Month],"&lt;"&amp;$E242)+$HV242</f>
        <v/>
      </c>
      <c r="HX242" s="56">
        <f>IFERROR(IF(($HI242)&gt;0,($HR242)/($HI242),""),"")</f>
        <v/>
      </c>
      <c r="HY242" s="56">
        <f>IFERROR(IF(($HJ242)&gt;0,($HS242)/($HJ242),""),"")</f>
        <v/>
      </c>
      <c r="HZ242" s="56">
        <f>IFERROR(IF(($HK242)&gt;0,($HT242)/($HK242),""),"")</f>
        <v/>
      </c>
      <c r="IA242" s="55">
        <f>SUMIFS(tblBudget[Drill_m],tblBudget[Month],$E242)</f>
        <v/>
      </c>
      <c r="IB242" s="55">
        <f>$IA242*$C242/$D242</f>
        <v/>
      </c>
      <c r="IC242" s="55">
        <f>SUMIFS(tblBudget[Drill_m],tblBudget[Month],"&lt;"&amp;$E242)+$IB242</f>
        <v/>
      </c>
      <c r="ID242" s="55">
        <f>SUMIFS(tblBudget[Diesel_L],tblBudget[Month],$E242)</f>
        <v/>
      </c>
      <c r="IE242" s="55">
        <f>$ID242*$C242/$D242</f>
        <v/>
      </c>
      <c r="IF242" s="55">
        <f>SUMIFS(tblBudget[Diesel_L],tblBudget[Month],"&lt;"&amp;$E242)+$IE242</f>
        <v/>
      </c>
      <c r="IG242" s="55">
        <f>SUMIFS(tblBudget[Milled_t],tblBudget[Month],$E242)</f>
        <v/>
      </c>
      <c r="IH242" s="55">
        <f>$IG242*$C242/$D242</f>
        <v/>
      </c>
      <c r="II242" s="55">
        <f>SUMIFS(tblBudget[Milled_t],tblBudget[Month],"&lt;"&amp;$E242)+$IH242</f>
        <v/>
      </c>
      <c r="IJ242" s="55">
        <f>SUMIFS(tblBudget[Feed_oz],tblBudget[Month],$E242)</f>
        <v/>
      </c>
      <c r="IK242" s="55">
        <f>$IJ242*$C242/$D242</f>
        <v/>
      </c>
      <c r="IL242" s="55">
        <f>SUMIFS(tblBudget[Feed_oz],tblBudget[Month],"&lt;"&amp;$E242)+$IK242</f>
        <v/>
      </c>
      <c r="IM242" s="55">
        <f>SUMIFS(tblBudget[Recovered_oz],tblBudget[Month],$E242)</f>
        <v/>
      </c>
      <c r="IN242" s="55">
        <f>$IM242*$C242/$D242</f>
        <v/>
      </c>
      <c r="IO242" s="55">
        <f>SUMIFS(tblBudget[Recovered_oz],tblBudget[Month],"&lt;"&amp;$E242)+$IN242</f>
        <v/>
      </c>
      <c r="IP242" s="56">
        <f>IFERROR(IF(($IG242)&gt;0,($IJ242*cfg_TroyOz)/($IG242),""),"")</f>
        <v/>
      </c>
      <c r="IQ242" s="56">
        <f>IFERROR(IF(($IH242)&gt;0,($IK242*cfg_TroyOz)/($IH242),""),"")</f>
        <v/>
      </c>
      <c r="IR242" s="56">
        <f>IFERROR(IF(($II242)&gt;0,($IL242*cfg_TroyOz)/($II242),""),"")</f>
        <v/>
      </c>
      <c r="IS242" s="67">
        <f>IFERROR(IF(($IJ242)&gt;0,($IM242)/($IJ242),""),"")</f>
        <v/>
      </c>
      <c r="IT242" s="67">
        <f>IFERROR(IF(($IK242)&gt;0,($IN242)/($IK242),""),"")</f>
        <v/>
      </c>
      <c r="IU242" s="67">
        <f>IFERROR(IF(($IL242)&gt;0,($IO242)/($IL242),""),"")</f>
        <v/>
      </c>
      <c r="IV242" s="55">
        <f>SUMIFS(tblBudget[Gold_Poured_oz],tblBudget[Month],$E242)</f>
        <v/>
      </c>
      <c r="IW242" s="55">
        <f>$IV242*$C242/$D242</f>
        <v/>
      </c>
      <c r="IX242" s="55">
        <f>SUMIFS(tblBudget[Gold_Poured_oz],tblBudget[Month],"&lt;"&amp;$E242)+$IW242</f>
        <v/>
      </c>
      <c r="IY242" s="57">
        <f>SUMIFS(tblBudget[Hours_Worked],tblBudget[Month],$E242)</f>
        <v/>
      </c>
      <c r="IZ242" s="57">
        <f>$IY242*$C242/$D242</f>
        <v/>
      </c>
      <c r="JA242" s="57">
        <f>SUMIFS(tblBudget[Hours_Worked],tblBudget[Month],"&lt;"&amp;$E242)+$IZ242</f>
        <v/>
      </c>
    </row>
    <row r="243">
      <c r="A243" s="54" t="n">
        <v>46264</v>
      </c>
      <c r="B243">
        <f>MONTH($A243)</f>
        <v/>
      </c>
      <c r="C243">
        <f>DAY($A243)</f>
        <v/>
      </c>
      <c r="D243">
        <f>DAY(EOMONTH($A243,0))</f>
        <v/>
      </c>
      <c r="E243" s="54">
        <f>DATE(YEAR($A243),MONTH($A243),1)</f>
        <v/>
      </c>
      <c r="F243" s="55">
        <f>SUMIFS(tblMovement[Tonnes_t],tblMovement[Date],$A243,tblMovement[Is_Ore],1,tblMovement[Source_Type],"Pit")</f>
        <v/>
      </c>
      <c r="G243" s="55">
        <f>IF($B243=$B242,$G242,0)+$F243</f>
        <v/>
      </c>
      <c r="H243" s="55">
        <f>$H242+$F243</f>
        <v/>
      </c>
      <c r="I243" s="55">
        <f>SUMIFS(tblMovement[Ore_oz],tblMovement[Date],$A243,tblMovement[Source_Type],"Pit")</f>
        <v/>
      </c>
      <c r="J243" s="55">
        <f>IF($B243=$B242,$J242,0)+$I243</f>
        <v/>
      </c>
      <c r="K243" s="55">
        <f>$K242+$I243</f>
        <v/>
      </c>
      <c r="L243" s="56">
        <f>IFERROR(IF(($F243)&gt;0,($I243*cfg_TroyOz)/($F243),""),"")</f>
        <v/>
      </c>
      <c r="M243" s="56">
        <f>IFERROR(IF(($G243)&gt;0,($J243*cfg_TroyOz)/($G243),""),"")</f>
        <v/>
      </c>
      <c r="N243" s="56">
        <f>IFERROR(IF(($H243)&gt;0,($K243*cfg_TroyOz)/($H243),""),"")</f>
        <v/>
      </c>
      <c r="O243" s="55">
        <f>SUMIFS(tblMovement[Tonnes_t],tblMovement[Date],$A243,tblMovement[Is_Ore],0,tblMovement[Source_Type],"Pit")</f>
        <v/>
      </c>
      <c r="P243" s="55">
        <f>IF($B243=$B242,$P242,0)+$O243</f>
        <v/>
      </c>
      <c r="Q243" s="55">
        <f>$Q242+$O243</f>
        <v/>
      </c>
      <c r="R243" s="55">
        <f>$F243+$O243</f>
        <v/>
      </c>
      <c r="S243" s="55">
        <f>IF($B243=$B242,$S242,0)+$R243</f>
        <v/>
      </c>
      <c r="T243" s="55">
        <f>$T242+$R243</f>
        <v/>
      </c>
      <c r="U243" s="56">
        <f>IFERROR(IF(($F243)&gt;0,($O243)/($F243),""),"")</f>
        <v/>
      </c>
      <c r="V243" s="56">
        <f>IFERROR(IF(($G243)&gt;0,($P243)/($G243),""),"")</f>
        <v/>
      </c>
      <c r="W243" s="56">
        <f>IFERROR(IF(($H243)&gt;0,($Q243)/($H243),""),"")</f>
        <v/>
      </c>
      <c r="X243" s="55">
        <f>SUMIFS(tblMovement[Tonnes_t],tblMovement[Date],$A243,tblMovement[Source_Type],"Stockpile")</f>
        <v/>
      </c>
      <c r="Y243" s="55">
        <f>IF($B243=$B242,$Y242,0)+$X243</f>
        <v/>
      </c>
      <c r="Z243" s="55">
        <f>$Z242+$X243</f>
        <v/>
      </c>
      <c r="AA243" s="55">
        <f>SUMIFS(tblMiningDaily[Drill_m],tblMiningDaily[Date],$A243)</f>
        <v/>
      </c>
      <c r="AB243" s="55">
        <f>IF($B243=$B242,$AB242,0)+$AA243</f>
        <v/>
      </c>
      <c r="AC243" s="55">
        <f>$AC242+$AA243</f>
        <v/>
      </c>
      <c r="AD243" s="55">
        <f>SUMIFS(tblMiningDaily[Blast_t],tblMiningDaily[Date],$A243)</f>
        <v/>
      </c>
      <c r="AE243" s="55">
        <f>IF($B243=$B242,$AE242,0)+$AD243</f>
        <v/>
      </c>
      <c r="AF243" s="55">
        <f>$AF242+$AD243</f>
        <v/>
      </c>
      <c r="AG243" s="55">
        <f>SUMIFS(tblMiningDaily[Explosives_kg],tblMiningDaily[Date],$A243)</f>
        <v/>
      </c>
      <c r="AH243" s="55">
        <f>IF($B243=$B242,$AH242,0)+$AG243</f>
        <v/>
      </c>
      <c r="AI243" s="55">
        <f>$AI242+$AG243</f>
        <v/>
      </c>
      <c r="AJ243" s="56">
        <f>IFERROR(IF(($AD243)&gt;0,($AG243)/($AD243),""),"")</f>
        <v/>
      </c>
      <c r="AK243" s="56">
        <f>IFERROR(IF(($AE243)&gt;0,($AH243)/($AE243),""),"")</f>
        <v/>
      </c>
      <c r="AL243" s="56">
        <f>IFERROR(IF(($AF243)&gt;0,($AI243)/($AF243),""),"")</f>
        <v/>
      </c>
      <c r="AM243" s="55">
        <f>SUMIFS(tblMiningDaily[Diesel_L],tblMiningDaily[Date],$A243)</f>
        <v/>
      </c>
      <c r="AN243" s="55">
        <f>IF($B243=$B242,$AN242,0)+$AM243</f>
        <v/>
      </c>
      <c r="AO243" s="55">
        <f>$AO242+$AM243</f>
        <v/>
      </c>
      <c r="AP243" s="55">
        <f>SUMIFS(tblMiningDaily[Dewatering_m3],tblMiningDaily[Date],$A243)</f>
        <v/>
      </c>
      <c r="AQ243" s="55">
        <f>IF($B243=$B242,$AQ242,0)+$AP243</f>
        <v/>
      </c>
      <c r="AR243" s="55">
        <f>$AR242+$AP243</f>
        <v/>
      </c>
      <c r="AS243" s="57">
        <f>SUMIFS(tblFleet[Calendar_h],tblFleet[Date],$A243,tblFleet[Equipment_Class],"Excavator")</f>
        <v/>
      </c>
      <c r="AT243" s="57">
        <f>IF($B243=$B242,$AT242,0)+$AS243</f>
        <v/>
      </c>
      <c r="AU243" s="57">
        <f>$AU242+$AS243</f>
        <v/>
      </c>
      <c r="AV243" s="57">
        <f>SUMIFS(tblFleet[Available_h],tblFleet[Date],$A243,tblFleet[Equipment_Class],"Excavator")</f>
        <v/>
      </c>
      <c r="AW243" s="57">
        <f>IF($B243=$B242,$AW242,0)+$AV243</f>
        <v/>
      </c>
      <c r="AX243" s="57">
        <f>$AX242+$AV243</f>
        <v/>
      </c>
      <c r="AY243" s="57">
        <f>SUMIFS(tblFleet[Operating_h],tblFleet[Date],$A243,tblFleet[Equipment_Class],"Excavator")</f>
        <v/>
      </c>
      <c r="AZ243" s="57">
        <f>IF($B243=$B242,$AZ242,0)+$AY243</f>
        <v/>
      </c>
      <c r="BA243" s="57">
        <f>$BA242+$AY243</f>
        <v/>
      </c>
      <c r="BB243" s="67">
        <f>IFERROR(IF(($AS243)&gt;0,($AV243)/($AS243),""),"")</f>
        <v/>
      </c>
      <c r="BC243" s="67">
        <f>IFERROR(IF(($AT243)&gt;0,($AW243)/($AT243),""),"")</f>
        <v/>
      </c>
      <c r="BD243" s="67">
        <f>IFERROR(IF(($AU243)&gt;0,($AX243)/($AU243),""),"")</f>
        <v/>
      </c>
      <c r="BE243" s="67">
        <f>IFERROR(IF(($AV243)&gt;0,($AY243)/($AV243),""),"")</f>
        <v/>
      </c>
      <c r="BF243" s="67">
        <f>IFERROR(IF(($AW243)&gt;0,($AZ243)/($AW243),""),"")</f>
        <v/>
      </c>
      <c r="BG243" s="67">
        <f>IFERROR(IF(($AX243)&gt;0,($BA243)/($AX243),""),"")</f>
        <v/>
      </c>
      <c r="BH243" s="57">
        <f>SUMIFS(tblFleet[Calendar_h],tblFleet[Date],$A243,tblFleet[Equipment_Class],"Haul Truck")</f>
        <v/>
      </c>
      <c r="BI243" s="57">
        <f>IF($B243=$B242,$BI242,0)+$BH243</f>
        <v/>
      </c>
      <c r="BJ243" s="57">
        <f>$BJ242+$BH243</f>
        <v/>
      </c>
      <c r="BK243" s="57">
        <f>SUMIFS(tblFleet[Available_h],tblFleet[Date],$A243,tblFleet[Equipment_Class],"Haul Truck")</f>
        <v/>
      </c>
      <c r="BL243" s="57">
        <f>IF($B243=$B242,$BL242,0)+$BK243</f>
        <v/>
      </c>
      <c r="BM243" s="57">
        <f>$BM242+$BK243</f>
        <v/>
      </c>
      <c r="BN243" s="57">
        <f>SUMIFS(tblFleet[Operating_h],tblFleet[Date],$A243,tblFleet[Equipment_Class],"Haul Truck")</f>
        <v/>
      </c>
      <c r="BO243" s="57">
        <f>IF($B243=$B242,$BO242,0)+$BN243</f>
        <v/>
      </c>
      <c r="BP243" s="57">
        <f>$BP242+$BN243</f>
        <v/>
      </c>
      <c r="BQ243" s="67">
        <f>IFERROR(IF(($BH243)&gt;0,($BK243)/($BH243),""),"")</f>
        <v/>
      </c>
      <c r="BR243" s="67">
        <f>IFERROR(IF(($BI243)&gt;0,($BL243)/($BI243),""),"")</f>
        <v/>
      </c>
      <c r="BS243" s="67">
        <f>IFERROR(IF(($BJ243)&gt;0,($BM243)/($BJ243),""),"")</f>
        <v/>
      </c>
      <c r="BT243" s="67">
        <f>IFERROR(IF(($BK243)&gt;0,($BN243)/($BK243),""),"")</f>
        <v/>
      </c>
      <c r="BU243" s="67">
        <f>IFERROR(IF(($BL243)&gt;0,($BO243)/($BL243),""),"")</f>
        <v/>
      </c>
      <c r="BV243" s="67">
        <f>IFERROR(IF(($BM243)&gt;0,($BP243)/($BM243),""),"")</f>
        <v/>
      </c>
      <c r="BW243" s="55">
        <f>SUMIFS(tblPlant[Crushed_t],tblPlant[Date],$A243)</f>
        <v/>
      </c>
      <c r="BX243" s="55">
        <f>IF($B243=$B242,$BX242,0)+$BW243</f>
        <v/>
      </c>
      <c r="BY243" s="55">
        <f>$BY242+$BW243</f>
        <v/>
      </c>
      <c r="BZ243" s="55">
        <f>SUMIFS(tblPlant[Milled_t],tblPlant[Date],$A243)</f>
        <v/>
      </c>
      <c r="CA243" s="55">
        <f>IF($B243=$B242,$CA242,0)+$BZ243</f>
        <v/>
      </c>
      <c r="CB243" s="55">
        <f>$CB242+$BZ243</f>
        <v/>
      </c>
      <c r="CC243" s="55">
        <f>SUMIFS(tblPlant[Feed_oz],tblPlant[Date],$A243)</f>
        <v/>
      </c>
      <c r="CD243" s="55">
        <f>IF($B243=$B242,$CD242,0)+$CC243</f>
        <v/>
      </c>
      <c r="CE243" s="55">
        <f>$CE242+$CC243</f>
        <v/>
      </c>
      <c r="CF243" s="55">
        <f>SUMIFS(tblPlant[Tails_oz],tblPlant[Date],$A243)</f>
        <v/>
      </c>
      <c r="CG243" s="55">
        <f>IF($B243=$B242,$CG242,0)+$CF243</f>
        <v/>
      </c>
      <c r="CH243" s="55">
        <f>$CH242+$CF243</f>
        <v/>
      </c>
      <c r="CI243" s="55">
        <f>SUMIFS(tblPlant[Recovered_oz],tblPlant[Date],$A243)</f>
        <v/>
      </c>
      <c r="CJ243" s="55">
        <f>IF($B243=$B242,$CJ242,0)+$CI243</f>
        <v/>
      </c>
      <c r="CK243" s="55">
        <f>$CK242+$CI243</f>
        <v/>
      </c>
      <c r="CL243" s="56">
        <f>IFERROR(IF(($BZ243)&gt;0,($CC243*cfg_TroyOz)/($BZ243),""),"")</f>
        <v/>
      </c>
      <c r="CM243" s="56">
        <f>IFERROR(IF(($CA243)&gt;0,($CD243*cfg_TroyOz)/($CA243),""),"")</f>
        <v/>
      </c>
      <c r="CN243" s="56">
        <f>IFERROR(IF(($CB243)&gt;0,($CE243*cfg_TroyOz)/($CB243),""),"")</f>
        <v/>
      </c>
      <c r="CO243" s="56">
        <f>IFERROR(IF(($BZ243)&gt;0,($CF243*cfg_TroyOz)/($BZ243),""),"")</f>
        <v/>
      </c>
      <c r="CP243" s="56">
        <f>IFERROR(IF(($CA243)&gt;0,($CG243*cfg_TroyOz)/($CA243),""),"")</f>
        <v/>
      </c>
      <c r="CQ243" s="56">
        <f>IFERROR(IF(($CB243)&gt;0,($CH243*cfg_TroyOz)/($CB243),""),"")</f>
        <v/>
      </c>
      <c r="CR243" s="67">
        <f>IFERROR(IF(($CC243)&gt;0,($CI243)/($CC243),""),"")</f>
        <v/>
      </c>
      <c r="CS243" s="67">
        <f>IFERROR(IF(($CD243)&gt;0,($CJ243)/($CD243),""),"")</f>
        <v/>
      </c>
      <c r="CT243" s="67">
        <f>IFERROR(IF(($CE243)&gt;0,($CK243)/($CE243),""),"")</f>
        <v/>
      </c>
      <c r="CU243" s="55">
        <f>SUMIFS(tblPlant[Gravity_Gold_oz],tblPlant[Date],$A243)</f>
        <v/>
      </c>
      <c r="CV243" s="55">
        <f>IF($B243=$B242,$CV242,0)+$CU243</f>
        <v/>
      </c>
      <c r="CW243" s="55">
        <f>$CW242+$CU243</f>
        <v/>
      </c>
      <c r="CX243" s="55">
        <f>SUMIFS(tblPlant[Gold_Poured_oz],tblPlant[Date],$A243)</f>
        <v/>
      </c>
      <c r="CY243" s="55">
        <f>IF($B243=$B242,$CY242,0)+$CX243</f>
        <v/>
      </c>
      <c r="CZ243" s="55">
        <f>$CZ242+$CX243</f>
        <v/>
      </c>
      <c r="DA243" s="57">
        <f>SUMIFS(tblPlant[Mill_Run_h],tblPlant[Date],$A243)</f>
        <v/>
      </c>
      <c r="DB243" s="57">
        <f>IF($B243=$B242,$DB242,0)+$DA243</f>
        <v/>
      </c>
      <c r="DC243" s="57">
        <f>$DC242+$DA243</f>
        <v/>
      </c>
      <c r="DD243" s="57">
        <f>SUMIFS(tblPlant[Mill_Planned_Maint_h],tblPlant[Date],$A243)</f>
        <v/>
      </c>
      <c r="DE243" s="57">
        <f>IF($B243=$B242,$DE242,0)+$DD243</f>
        <v/>
      </c>
      <c r="DF243" s="57">
        <f>$DF242+$DD243</f>
        <v/>
      </c>
      <c r="DG243" s="57">
        <f>SUMIFS(tblPlant[Mill_Unplanned_Down_h],tblPlant[Date],$A243)</f>
        <v/>
      </c>
      <c r="DH243" s="57">
        <f>IF($B243=$B242,$DH242,0)+$DG243</f>
        <v/>
      </c>
      <c r="DI243" s="57">
        <f>$DI242+$DG243</f>
        <v/>
      </c>
      <c r="DJ243" s="57">
        <f>COUNTIFS(tblPlant[Date],$A243,tblPlant[Mill_Run_h],"&lt;&gt;")*24</f>
        <v/>
      </c>
      <c r="DK243" s="57">
        <f>IF($B243=$B242,$DK242,0)+$DJ243</f>
        <v/>
      </c>
      <c r="DL243" s="57">
        <f>$DL242+$DJ243</f>
        <v/>
      </c>
      <c r="DM243" s="57">
        <f>SUMIFS(tblPlant[Crusher_Run_h],tblPlant[Date],$A243)</f>
        <v/>
      </c>
      <c r="DN243" s="57">
        <f>IF($B243=$B242,$DN242,0)+$DM243</f>
        <v/>
      </c>
      <c r="DO243" s="57">
        <f>$DO242+$DM243</f>
        <v/>
      </c>
      <c r="DP243" s="55">
        <f>IFERROR(IF(($DA243)&gt;0,($BZ243)/($DA243),""),"")</f>
        <v/>
      </c>
      <c r="DQ243" s="55">
        <f>IFERROR(IF(($DB243)&gt;0,($CA243)/($DB243),""),"")</f>
        <v/>
      </c>
      <c r="DR243" s="55">
        <f>IFERROR(IF(($DC243)&gt;0,($CB243)/($DC243),""),"")</f>
        <v/>
      </c>
      <c r="DS243" s="67">
        <f>IFERROR(IF(($DJ243)&gt;0,($DJ243-$DD243-$DG243)/($DJ243),""),"")</f>
        <v/>
      </c>
      <c r="DT243" s="67">
        <f>IFERROR(IF(($DK243)&gt;0,($DK243-$DE243-$DH243)/($DK243),""),"")</f>
        <v/>
      </c>
      <c r="DU243" s="67">
        <f>IFERROR(IF(($DL243)&gt;0,($DL243-$DF243-$DI243)/($DL243),""),"")</f>
        <v/>
      </c>
      <c r="DV243" s="67">
        <f>IFERROR(IF(($DJ243-$DD243-$DG243)&gt;0,($DA243)/($DJ243-$DD243-$DG243),""),"")</f>
        <v/>
      </c>
      <c r="DW243" s="67">
        <f>IFERROR(IF(($DK243-$DE243-$DH243)&gt;0,($DB243)/($DK243-$DE243-$DH243),""),"")</f>
        <v/>
      </c>
      <c r="DX243" s="67">
        <f>IFERROR(IF(($DL243-$DF243-$DI243)&gt;0,($DC243)/($DL243-$DF243-$DI243),""),"")</f>
        <v/>
      </c>
      <c r="DY243" s="55">
        <f>SUMIFS(tblPlant[Cyanide_kg],tblPlant[Date],$A243)</f>
        <v/>
      </c>
      <c r="DZ243" s="55">
        <f>IF($B243=$B242,$DZ242,0)+$DY243</f>
        <v/>
      </c>
      <c r="EA243" s="55">
        <f>$EA242+$DY243</f>
        <v/>
      </c>
      <c r="EB243" s="55">
        <f>SUMIFS(tblPlant[Lime_kg],tblPlant[Date],$A243)</f>
        <v/>
      </c>
      <c r="EC243" s="55">
        <f>IF($B243=$B242,$EC242,0)+$EB243</f>
        <v/>
      </c>
      <c r="ED243" s="55">
        <f>$ED242+$EB243</f>
        <v/>
      </c>
      <c r="EE243" s="55">
        <f>SUMIFS(tblPlant[Grinding_Media_kg],tblPlant[Date],$A243)</f>
        <v/>
      </c>
      <c r="EF243" s="55">
        <f>IF($B243=$B242,$EF242,0)+$EE243</f>
        <v/>
      </c>
      <c r="EG243" s="55">
        <f>$EG242+$EE243</f>
        <v/>
      </c>
      <c r="EH243" s="55">
        <f>SUMIFS(tblPlant[Power_kWh],tblPlant[Date],$A243)</f>
        <v/>
      </c>
      <c r="EI243" s="55">
        <f>IF($B243=$B242,$EI242,0)+$EH243</f>
        <v/>
      </c>
      <c r="EJ243" s="55">
        <f>$EJ242+$EH243</f>
        <v/>
      </c>
      <c r="EK243" s="55">
        <f>SUMIFS(tblPlant[Raw_Water_m3],tblPlant[Date],$A243)</f>
        <v/>
      </c>
      <c r="EL243" s="55">
        <f>IF($B243=$B242,$EL242,0)+$EK243</f>
        <v/>
      </c>
      <c r="EM243" s="55">
        <f>$EM242+$EK243</f>
        <v/>
      </c>
      <c r="EN243" s="56">
        <f>IFERROR(IF(($BZ243)&gt;0,($DY243)/($BZ243),""),"")</f>
        <v/>
      </c>
      <c r="EO243" s="56">
        <f>IFERROR(IF(($CA243)&gt;0,($DZ243)/($CA243),""),"")</f>
        <v/>
      </c>
      <c r="EP243" s="56">
        <f>IFERROR(IF(($CB243)&gt;0,($EA243)/($CB243),""),"")</f>
        <v/>
      </c>
      <c r="EQ243" s="56">
        <f>IFERROR(IF(($BZ243)&gt;0,($EB243)/($BZ243),""),"")</f>
        <v/>
      </c>
      <c r="ER243" s="56">
        <f>IFERROR(IF(($CA243)&gt;0,($EC243)/($CA243),""),"")</f>
        <v/>
      </c>
      <c r="ES243" s="56">
        <f>IFERROR(IF(($CB243)&gt;0,($ED243)/($CB243),""),"")</f>
        <v/>
      </c>
      <c r="ET243" s="56">
        <f>IFERROR(IF(($BZ243)&gt;0,($EE243)/($BZ243),""),"")</f>
        <v/>
      </c>
      <c r="EU243" s="56">
        <f>IFERROR(IF(($CA243)&gt;0,($EF243)/($CA243),""),"")</f>
        <v/>
      </c>
      <c r="EV243" s="56">
        <f>IFERROR(IF(($CB243)&gt;0,($EG243)/($CB243),""),"")</f>
        <v/>
      </c>
      <c r="EW243" s="76">
        <f>IFERROR(IF(($BZ243)&gt;0,($EH243)/($BZ243),""),"")</f>
        <v/>
      </c>
      <c r="EX243" s="76">
        <f>IFERROR(IF(($CA243)&gt;0,($EI243)/($CA243),""),"")</f>
        <v/>
      </c>
      <c r="EY243" s="76">
        <f>IFERROR(IF(($CB243)&gt;0,($EJ243)/($CB243),""),"")</f>
        <v/>
      </c>
      <c r="EZ243" s="56">
        <f>IFERROR(IF(($BZ243)&gt;0,($EK243)/($BZ243),""),"")</f>
        <v/>
      </c>
      <c r="FA243" s="56">
        <f>IFERROR(IF(($CA243)&gt;0,($EL243)/($CA243),""),"")</f>
        <v/>
      </c>
      <c r="FB243" s="56">
        <f>IFERROR(IF(($CB243)&gt;0,($EM243)/($CB243),""),"")</f>
        <v/>
      </c>
      <c r="FC243" s="55">
        <f>IF(SUMIFS(tblPlant[GIC_oz],tblPlant[Date],$A243)&gt;0,SUMIFS(tblPlant[GIC_oz],tblPlant[Date],$A243),"")</f>
        <v/>
      </c>
      <c r="FD243" s="55">
        <f>SUMIFS(tblGold[Gold_oz],tblGold[Date],$A243,tblGold[Type],"Shipment")</f>
        <v/>
      </c>
      <c r="FE243" s="55">
        <f>IF($B243=$B242,$FE242,0)+$FD243</f>
        <v/>
      </c>
      <c r="FF243" s="55">
        <f>$FF242+$FD243</f>
        <v/>
      </c>
      <c r="FG243" s="55">
        <f>SUMIFS(tblGold[Gold_oz],tblGold[Date],$A243,tblGold[Type],"Sale")</f>
        <v/>
      </c>
      <c r="FH243" s="55">
        <f>IF($B243=$B242,$FH242,0)+$FG243</f>
        <v/>
      </c>
      <c r="FI243" s="55">
        <f>$FI242+$FG243</f>
        <v/>
      </c>
      <c r="FJ243" s="55">
        <f>SUMIFS(tblGold[Dore_kg],tblGold[Date],$A243,tblGold[Type],"Shipment")</f>
        <v/>
      </c>
      <c r="FK243" s="55">
        <f>IF($B243=$B242,$FK242,0)+$FJ243</f>
        <v/>
      </c>
      <c r="FL243" s="55">
        <f>$FL242+$FJ243</f>
        <v/>
      </c>
      <c r="FM243" s="57">
        <f>SUMIFS(tblSafety[Hours_Total],tblSafety[Date],$A243)</f>
        <v/>
      </c>
      <c r="FN243" s="57">
        <f>IF($B243=$B242,$FN242,0)+$FM243</f>
        <v/>
      </c>
      <c r="FO243" s="57">
        <f>$FO242+$FM243</f>
        <v/>
      </c>
      <c r="FP243" s="62">
        <f>SUMIFS(tblSafety[Fatality],tblSafety[Date],$A243)</f>
        <v/>
      </c>
      <c r="FQ243" s="62">
        <f>IF($B243=$B242,$FQ242,0)+$FP243</f>
        <v/>
      </c>
      <c r="FR243" s="62">
        <f>$FR242+$FP243</f>
        <v/>
      </c>
      <c r="FS243" s="62">
        <f>SUMIFS(tblSafety[LTI],tblSafety[Date],$A243)</f>
        <v/>
      </c>
      <c r="FT243" s="62">
        <f>IF($B243=$B242,$FT242,0)+$FS243</f>
        <v/>
      </c>
      <c r="FU243" s="62">
        <f>$FU242+$FS243</f>
        <v/>
      </c>
      <c r="FV243" s="62">
        <f>SUMIFS(tblSafety[RWI],tblSafety[Date],$A243)</f>
        <v/>
      </c>
      <c r="FW243" s="62">
        <f>IF($B243=$B242,$FW242,0)+$FV243</f>
        <v/>
      </c>
      <c r="FX243" s="62">
        <f>$FX242+$FV243</f>
        <v/>
      </c>
      <c r="FY243" s="62">
        <f>SUMIFS(tblSafety[MTI],tblSafety[Date],$A243)</f>
        <v/>
      </c>
      <c r="FZ243" s="62">
        <f>IF($B243=$B242,$FZ242,0)+$FY243</f>
        <v/>
      </c>
      <c r="GA243" s="62">
        <f>$GA242+$FY243</f>
        <v/>
      </c>
      <c r="GB243" s="62">
        <f>SUMIFS(tblSafety[FAI],tblSafety[Date],$A243)</f>
        <v/>
      </c>
      <c r="GC243" s="62">
        <f>IF($B243=$B242,$GC242,0)+$GB243</f>
        <v/>
      </c>
      <c r="GD243" s="62">
        <f>$GD242+$GB243</f>
        <v/>
      </c>
      <c r="GE243" s="62">
        <f>SUMIFS(tblSafety[Recordables],tblSafety[Date],$A243)</f>
        <v/>
      </c>
      <c r="GF243" s="62">
        <f>IF($B243=$B242,$GF242,0)+$GE243</f>
        <v/>
      </c>
      <c r="GG243" s="62">
        <f>$GG242+$GE243</f>
        <v/>
      </c>
      <c r="GH243" s="62">
        <f>SUMIFS(tblSafety[Near_Miss],tblSafety[Date],$A243)</f>
        <v/>
      </c>
      <c r="GI243" s="62">
        <f>IF($B243=$B242,$GI242,0)+$GH243</f>
        <v/>
      </c>
      <c r="GJ243" s="62">
        <f>$GJ242+$GH243</f>
        <v/>
      </c>
      <c r="GK243" s="62">
        <f>SUMIFS(tblSafety[Hazard_Reports],tblSafety[Date],$A243)</f>
        <v/>
      </c>
      <c r="GL243" s="62">
        <f>IF($B243=$B242,$GL242,0)+$GK243</f>
        <v/>
      </c>
      <c r="GM243" s="62">
        <f>$GM242+$GK243</f>
        <v/>
      </c>
      <c r="GN243" s="62">
        <f>SUMIFS(tblSafety[HPI],tblSafety[Date],$A243)</f>
        <v/>
      </c>
      <c r="GO243" s="62">
        <f>IF($B243=$B242,$GO242,0)+$GN243</f>
        <v/>
      </c>
      <c r="GP243" s="62">
        <f>$GP242+$GN243</f>
        <v/>
      </c>
      <c r="GQ243" s="62">
        <f>SUMIFS(tblSafety[Env_Incidents],tblSafety[Date],$A243)</f>
        <v/>
      </c>
      <c r="GR243" s="62">
        <f>IF($B243=$B242,$GR242,0)+$GQ243</f>
        <v/>
      </c>
      <c r="GS243" s="62">
        <f>$GS242+$GQ243</f>
        <v/>
      </c>
      <c r="GT243" s="62">
        <f>SUMIFS(tblSafety[Community_Incidents],tblSafety[Date],$A243)</f>
        <v/>
      </c>
      <c r="GU243" s="62">
        <f>IF($B243=$B242,$GU242,0)+$GT243</f>
        <v/>
      </c>
      <c r="GV243" s="62">
        <f>$GV242+$GT243</f>
        <v/>
      </c>
      <c r="GW243" s="62">
        <f>SUMIFS(tblSafety[Vehicle_Incidents],tblSafety[Date],$A243)</f>
        <v/>
      </c>
      <c r="GX243" s="62">
        <f>IF($B243=$B242,$GX242,0)+$GW243</f>
        <v/>
      </c>
      <c r="GY243" s="62">
        <f>$GY242+$GW243</f>
        <v/>
      </c>
      <c r="GZ243" s="62">
        <f>SUMIFS(tblSafety[Toolbox_Talks],tblSafety[Date],$A243)</f>
        <v/>
      </c>
      <c r="HA243" s="62">
        <f>IF($B243=$B242,$HA242,0)+$GZ243</f>
        <v/>
      </c>
      <c r="HB243" s="62">
        <f>$HB242+$GZ243</f>
        <v/>
      </c>
      <c r="HC243" s="62">
        <f>SUMIFS(tblSafety[Inspections],tblSafety[Date],$A243)</f>
        <v/>
      </c>
      <c r="HD243" s="62">
        <f>IF($B243=$B242,$HD242,0)+$HC243</f>
        <v/>
      </c>
      <c r="HE243" s="62">
        <f>$HE242+$HC243</f>
        <v/>
      </c>
      <c r="HF243" s="56">
        <f>IFERROR((SUMIFS(tblSafety[Recordables],tblSafety[Date],"&gt;="&amp;EDATE($E243,-12),tblSafety[Date],"&lt;="&amp;$A243)+SUMIFS(tblSafetyHistory[Recordables],tblSafetyHistory[Month],"&gt;="&amp;EDATE($E243,-12),tblSafetyHistory[Month],"&lt;"&amp;cfg_YearStart))/(SUMIFS(tblSafety[Hours_Total],tblSafety[Date],"&gt;="&amp;EDATE($E243,-12),tblSafety[Date],"&lt;="&amp;$A243)+SUMIFS(tblSafetyHistory[Hours_Total],tblSafetyHistory[Month],"&gt;="&amp;EDATE($E243,-12),tblSafetyHistory[Month],"&lt;"&amp;cfg_YearStart))*1000000,"")</f>
        <v/>
      </c>
      <c r="HG243" s="56">
        <f>IFERROR((SUMIFS(tblSafety[LTI],tblSafety[Date],"&gt;="&amp;EDATE($E243,-12),tblSafety[Date],"&lt;="&amp;$A243)+SUMIFS(tblSafetyHistory[LTI],tblSafetyHistory[Month],"&gt;="&amp;EDATE($E243,-12),tblSafetyHistory[Month],"&lt;"&amp;cfg_YearStart))/(SUMIFS(tblSafety[Hours_Total],tblSafety[Date],"&gt;="&amp;EDATE($E243,-12),tblSafety[Date],"&lt;="&amp;$A243)+SUMIFS(tblSafetyHistory[Hours_Total],tblSafetyHistory[Month],"&gt;="&amp;EDATE($E243,-12),tblSafetyHistory[Month],"&lt;"&amp;cfg_YearStart))*1000000,"")</f>
        <v/>
      </c>
      <c r="HH243" s="62">
        <f>IF(MAX(N(cfg_PriorLTIDate),_xlfn.MAXIFS(tblSafety[Date],tblSafety[LTI],"&gt;0",tblSafety[Date],"&lt;="&amp;$A243))=0,"",$A243-MAX(N(cfg_PriorLTIDate),_xlfn.MAXIFS(tblSafety[Date],tblSafety[LTI],"&gt;0",tblSafety[Date],"&lt;="&amp;$A243)))</f>
        <v/>
      </c>
      <c r="HI243" s="55">
        <f>SUMIFS(tblBudget[Ore_Mined_t],tblBudget[Month],$E243)</f>
        <v/>
      </c>
      <c r="HJ243" s="55">
        <f>$HI243*$C243/$D243</f>
        <v/>
      </c>
      <c r="HK243" s="55">
        <f>SUMIFS(tblBudget[Ore_Mined_t],tblBudget[Month],"&lt;"&amp;$E243)+$HJ243</f>
        <v/>
      </c>
      <c r="HL243" s="55">
        <f>SUMIFS(tblBudget[Ore_oz],tblBudget[Month],$E243)</f>
        <v/>
      </c>
      <c r="HM243" s="55">
        <f>$HL243*$C243/$D243</f>
        <v/>
      </c>
      <c r="HN243" s="55">
        <f>SUMIFS(tblBudget[Ore_oz],tblBudget[Month],"&lt;"&amp;$E243)+$HM243</f>
        <v/>
      </c>
      <c r="HO243" s="56">
        <f>IFERROR(IF(($HI243)&gt;0,($HL243*cfg_TroyOz)/($HI243),""),"")</f>
        <v/>
      </c>
      <c r="HP243" s="56">
        <f>IFERROR(IF(($HJ243)&gt;0,($HM243*cfg_TroyOz)/($HJ243),""),"")</f>
        <v/>
      </c>
      <c r="HQ243" s="56">
        <f>IFERROR(IF(($HK243)&gt;0,($HN243*cfg_TroyOz)/($HK243),""),"")</f>
        <v/>
      </c>
      <c r="HR243" s="55">
        <f>SUMIFS(tblBudget[Waste_t],tblBudget[Month],$E243)</f>
        <v/>
      </c>
      <c r="HS243" s="55">
        <f>$HR243*$C243/$D243</f>
        <v/>
      </c>
      <c r="HT243" s="55">
        <f>SUMIFS(tblBudget[Waste_t],tblBudget[Month],"&lt;"&amp;$E243)+$HS243</f>
        <v/>
      </c>
      <c r="HU243" s="55">
        <f>SUMIFS(tblBudget[TMM_t],tblBudget[Month],$E243)</f>
        <v/>
      </c>
      <c r="HV243" s="55">
        <f>$HU243*$C243/$D243</f>
        <v/>
      </c>
      <c r="HW243" s="55">
        <f>SUMIFS(tblBudget[TMM_t],tblBudget[Month],"&lt;"&amp;$E243)+$HV243</f>
        <v/>
      </c>
      <c r="HX243" s="56">
        <f>IFERROR(IF(($HI243)&gt;0,($HR243)/($HI243),""),"")</f>
        <v/>
      </c>
      <c r="HY243" s="56">
        <f>IFERROR(IF(($HJ243)&gt;0,($HS243)/($HJ243),""),"")</f>
        <v/>
      </c>
      <c r="HZ243" s="56">
        <f>IFERROR(IF(($HK243)&gt;0,($HT243)/($HK243),""),"")</f>
        <v/>
      </c>
      <c r="IA243" s="55">
        <f>SUMIFS(tblBudget[Drill_m],tblBudget[Month],$E243)</f>
        <v/>
      </c>
      <c r="IB243" s="55">
        <f>$IA243*$C243/$D243</f>
        <v/>
      </c>
      <c r="IC243" s="55">
        <f>SUMIFS(tblBudget[Drill_m],tblBudget[Month],"&lt;"&amp;$E243)+$IB243</f>
        <v/>
      </c>
      <c r="ID243" s="55">
        <f>SUMIFS(tblBudget[Diesel_L],tblBudget[Month],$E243)</f>
        <v/>
      </c>
      <c r="IE243" s="55">
        <f>$ID243*$C243/$D243</f>
        <v/>
      </c>
      <c r="IF243" s="55">
        <f>SUMIFS(tblBudget[Diesel_L],tblBudget[Month],"&lt;"&amp;$E243)+$IE243</f>
        <v/>
      </c>
      <c r="IG243" s="55">
        <f>SUMIFS(tblBudget[Milled_t],tblBudget[Month],$E243)</f>
        <v/>
      </c>
      <c r="IH243" s="55">
        <f>$IG243*$C243/$D243</f>
        <v/>
      </c>
      <c r="II243" s="55">
        <f>SUMIFS(tblBudget[Milled_t],tblBudget[Month],"&lt;"&amp;$E243)+$IH243</f>
        <v/>
      </c>
      <c r="IJ243" s="55">
        <f>SUMIFS(tblBudget[Feed_oz],tblBudget[Month],$E243)</f>
        <v/>
      </c>
      <c r="IK243" s="55">
        <f>$IJ243*$C243/$D243</f>
        <v/>
      </c>
      <c r="IL243" s="55">
        <f>SUMIFS(tblBudget[Feed_oz],tblBudget[Month],"&lt;"&amp;$E243)+$IK243</f>
        <v/>
      </c>
      <c r="IM243" s="55">
        <f>SUMIFS(tblBudget[Recovered_oz],tblBudget[Month],$E243)</f>
        <v/>
      </c>
      <c r="IN243" s="55">
        <f>$IM243*$C243/$D243</f>
        <v/>
      </c>
      <c r="IO243" s="55">
        <f>SUMIFS(tblBudget[Recovered_oz],tblBudget[Month],"&lt;"&amp;$E243)+$IN243</f>
        <v/>
      </c>
      <c r="IP243" s="56">
        <f>IFERROR(IF(($IG243)&gt;0,($IJ243*cfg_TroyOz)/($IG243),""),"")</f>
        <v/>
      </c>
      <c r="IQ243" s="56">
        <f>IFERROR(IF(($IH243)&gt;0,($IK243*cfg_TroyOz)/($IH243),""),"")</f>
        <v/>
      </c>
      <c r="IR243" s="56">
        <f>IFERROR(IF(($II243)&gt;0,($IL243*cfg_TroyOz)/($II243),""),"")</f>
        <v/>
      </c>
      <c r="IS243" s="67">
        <f>IFERROR(IF(($IJ243)&gt;0,($IM243)/($IJ243),""),"")</f>
        <v/>
      </c>
      <c r="IT243" s="67">
        <f>IFERROR(IF(($IK243)&gt;0,($IN243)/($IK243),""),"")</f>
        <v/>
      </c>
      <c r="IU243" s="67">
        <f>IFERROR(IF(($IL243)&gt;0,($IO243)/($IL243),""),"")</f>
        <v/>
      </c>
      <c r="IV243" s="55">
        <f>SUMIFS(tblBudget[Gold_Poured_oz],tblBudget[Month],$E243)</f>
        <v/>
      </c>
      <c r="IW243" s="55">
        <f>$IV243*$C243/$D243</f>
        <v/>
      </c>
      <c r="IX243" s="55">
        <f>SUMIFS(tblBudget[Gold_Poured_oz],tblBudget[Month],"&lt;"&amp;$E243)+$IW243</f>
        <v/>
      </c>
      <c r="IY243" s="57">
        <f>SUMIFS(tblBudget[Hours_Worked],tblBudget[Month],$E243)</f>
        <v/>
      </c>
      <c r="IZ243" s="57">
        <f>$IY243*$C243/$D243</f>
        <v/>
      </c>
      <c r="JA243" s="57">
        <f>SUMIFS(tblBudget[Hours_Worked],tblBudget[Month],"&lt;"&amp;$E243)+$IZ243</f>
        <v/>
      </c>
    </row>
    <row r="244">
      <c r="A244" s="54" t="n">
        <v>46265</v>
      </c>
      <c r="B244">
        <f>MONTH($A244)</f>
        <v/>
      </c>
      <c r="C244">
        <f>DAY($A244)</f>
        <v/>
      </c>
      <c r="D244">
        <f>DAY(EOMONTH($A244,0))</f>
        <v/>
      </c>
      <c r="E244" s="54">
        <f>DATE(YEAR($A244),MONTH($A244),1)</f>
        <v/>
      </c>
      <c r="F244" s="55">
        <f>SUMIFS(tblMovement[Tonnes_t],tblMovement[Date],$A244,tblMovement[Is_Ore],1,tblMovement[Source_Type],"Pit")</f>
        <v/>
      </c>
      <c r="G244" s="55">
        <f>IF($B244=$B243,$G243,0)+$F244</f>
        <v/>
      </c>
      <c r="H244" s="55">
        <f>$H243+$F244</f>
        <v/>
      </c>
      <c r="I244" s="55">
        <f>SUMIFS(tblMovement[Ore_oz],tblMovement[Date],$A244,tblMovement[Source_Type],"Pit")</f>
        <v/>
      </c>
      <c r="J244" s="55">
        <f>IF($B244=$B243,$J243,0)+$I244</f>
        <v/>
      </c>
      <c r="K244" s="55">
        <f>$K243+$I244</f>
        <v/>
      </c>
      <c r="L244" s="56">
        <f>IFERROR(IF(($F244)&gt;0,($I244*cfg_TroyOz)/($F244),""),"")</f>
        <v/>
      </c>
      <c r="M244" s="56">
        <f>IFERROR(IF(($G244)&gt;0,($J244*cfg_TroyOz)/($G244),""),"")</f>
        <v/>
      </c>
      <c r="N244" s="56">
        <f>IFERROR(IF(($H244)&gt;0,($K244*cfg_TroyOz)/($H244),""),"")</f>
        <v/>
      </c>
      <c r="O244" s="55">
        <f>SUMIFS(tblMovement[Tonnes_t],tblMovement[Date],$A244,tblMovement[Is_Ore],0,tblMovement[Source_Type],"Pit")</f>
        <v/>
      </c>
      <c r="P244" s="55">
        <f>IF($B244=$B243,$P243,0)+$O244</f>
        <v/>
      </c>
      <c r="Q244" s="55">
        <f>$Q243+$O244</f>
        <v/>
      </c>
      <c r="R244" s="55">
        <f>$F244+$O244</f>
        <v/>
      </c>
      <c r="S244" s="55">
        <f>IF($B244=$B243,$S243,0)+$R244</f>
        <v/>
      </c>
      <c r="T244" s="55">
        <f>$T243+$R244</f>
        <v/>
      </c>
      <c r="U244" s="56">
        <f>IFERROR(IF(($F244)&gt;0,($O244)/($F244),""),"")</f>
        <v/>
      </c>
      <c r="V244" s="56">
        <f>IFERROR(IF(($G244)&gt;0,($P244)/($G244),""),"")</f>
        <v/>
      </c>
      <c r="W244" s="56">
        <f>IFERROR(IF(($H244)&gt;0,($Q244)/($H244),""),"")</f>
        <v/>
      </c>
      <c r="X244" s="55">
        <f>SUMIFS(tblMovement[Tonnes_t],tblMovement[Date],$A244,tblMovement[Source_Type],"Stockpile")</f>
        <v/>
      </c>
      <c r="Y244" s="55">
        <f>IF($B244=$B243,$Y243,0)+$X244</f>
        <v/>
      </c>
      <c r="Z244" s="55">
        <f>$Z243+$X244</f>
        <v/>
      </c>
      <c r="AA244" s="55">
        <f>SUMIFS(tblMiningDaily[Drill_m],tblMiningDaily[Date],$A244)</f>
        <v/>
      </c>
      <c r="AB244" s="55">
        <f>IF($B244=$B243,$AB243,0)+$AA244</f>
        <v/>
      </c>
      <c r="AC244" s="55">
        <f>$AC243+$AA244</f>
        <v/>
      </c>
      <c r="AD244" s="55">
        <f>SUMIFS(tblMiningDaily[Blast_t],tblMiningDaily[Date],$A244)</f>
        <v/>
      </c>
      <c r="AE244" s="55">
        <f>IF($B244=$B243,$AE243,0)+$AD244</f>
        <v/>
      </c>
      <c r="AF244" s="55">
        <f>$AF243+$AD244</f>
        <v/>
      </c>
      <c r="AG244" s="55">
        <f>SUMIFS(tblMiningDaily[Explosives_kg],tblMiningDaily[Date],$A244)</f>
        <v/>
      </c>
      <c r="AH244" s="55">
        <f>IF($B244=$B243,$AH243,0)+$AG244</f>
        <v/>
      </c>
      <c r="AI244" s="55">
        <f>$AI243+$AG244</f>
        <v/>
      </c>
      <c r="AJ244" s="56">
        <f>IFERROR(IF(($AD244)&gt;0,($AG244)/($AD244),""),"")</f>
        <v/>
      </c>
      <c r="AK244" s="56">
        <f>IFERROR(IF(($AE244)&gt;0,($AH244)/($AE244),""),"")</f>
        <v/>
      </c>
      <c r="AL244" s="56">
        <f>IFERROR(IF(($AF244)&gt;0,($AI244)/($AF244),""),"")</f>
        <v/>
      </c>
      <c r="AM244" s="55">
        <f>SUMIFS(tblMiningDaily[Diesel_L],tblMiningDaily[Date],$A244)</f>
        <v/>
      </c>
      <c r="AN244" s="55">
        <f>IF($B244=$B243,$AN243,0)+$AM244</f>
        <v/>
      </c>
      <c r="AO244" s="55">
        <f>$AO243+$AM244</f>
        <v/>
      </c>
      <c r="AP244" s="55">
        <f>SUMIFS(tblMiningDaily[Dewatering_m3],tblMiningDaily[Date],$A244)</f>
        <v/>
      </c>
      <c r="AQ244" s="55">
        <f>IF($B244=$B243,$AQ243,0)+$AP244</f>
        <v/>
      </c>
      <c r="AR244" s="55">
        <f>$AR243+$AP244</f>
        <v/>
      </c>
      <c r="AS244" s="57">
        <f>SUMIFS(tblFleet[Calendar_h],tblFleet[Date],$A244,tblFleet[Equipment_Class],"Excavator")</f>
        <v/>
      </c>
      <c r="AT244" s="57">
        <f>IF($B244=$B243,$AT243,0)+$AS244</f>
        <v/>
      </c>
      <c r="AU244" s="57">
        <f>$AU243+$AS244</f>
        <v/>
      </c>
      <c r="AV244" s="57">
        <f>SUMIFS(tblFleet[Available_h],tblFleet[Date],$A244,tblFleet[Equipment_Class],"Excavator")</f>
        <v/>
      </c>
      <c r="AW244" s="57">
        <f>IF($B244=$B243,$AW243,0)+$AV244</f>
        <v/>
      </c>
      <c r="AX244" s="57">
        <f>$AX243+$AV244</f>
        <v/>
      </c>
      <c r="AY244" s="57">
        <f>SUMIFS(tblFleet[Operating_h],tblFleet[Date],$A244,tblFleet[Equipment_Class],"Excavator")</f>
        <v/>
      </c>
      <c r="AZ244" s="57">
        <f>IF($B244=$B243,$AZ243,0)+$AY244</f>
        <v/>
      </c>
      <c r="BA244" s="57">
        <f>$BA243+$AY244</f>
        <v/>
      </c>
      <c r="BB244" s="67">
        <f>IFERROR(IF(($AS244)&gt;0,($AV244)/($AS244),""),"")</f>
        <v/>
      </c>
      <c r="BC244" s="67">
        <f>IFERROR(IF(($AT244)&gt;0,($AW244)/($AT244),""),"")</f>
        <v/>
      </c>
      <c r="BD244" s="67">
        <f>IFERROR(IF(($AU244)&gt;0,($AX244)/($AU244),""),"")</f>
        <v/>
      </c>
      <c r="BE244" s="67">
        <f>IFERROR(IF(($AV244)&gt;0,($AY244)/($AV244),""),"")</f>
        <v/>
      </c>
      <c r="BF244" s="67">
        <f>IFERROR(IF(($AW244)&gt;0,($AZ244)/($AW244),""),"")</f>
        <v/>
      </c>
      <c r="BG244" s="67">
        <f>IFERROR(IF(($AX244)&gt;0,($BA244)/($AX244),""),"")</f>
        <v/>
      </c>
      <c r="BH244" s="57">
        <f>SUMIFS(tblFleet[Calendar_h],tblFleet[Date],$A244,tblFleet[Equipment_Class],"Haul Truck")</f>
        <v/>
      </c>
      <c r="BI244" s="57">
        <f>IF($B244=$B243,$BI243,0)+$BH244</f>
        <v/>
      </c>
      <c r="BJ244" s="57">
        <f>$BJ243+$BH244</f>
        <v/>
      </c>
      <c r="BK244" s="57">
        <f>SUMIFS(tblFleet[Available_h],tblFleet[Date],$A244,tblFleet[Equipment_Class],"Haul Truck")</f>
        <v/>
      </c>
      <c r="BL244" s="57">
        <f>IF($B244=$B243,$BL243,0)+$BK244</f>
        <v/>
      </c>
      <c r="BM244" s="57">
        <f>$BM243+$BK244</f>
        <v/>
      </c>
      <c r="BN244" s="57">
        <f>SUMIFS(tblFleet[Operating_h],tblFleet[Date],$A244,tblFleet[Equipment_Class],"Haul Truck")</f>
        <v/>
      </c>
      <c r="BO244" s="57">
        <f>IF($B244=$B243,$BO243,0)+$BN244</f>
        <v/>
      </c>
      <c r="BP244" s="57">
        <f>$BP243+$BN244</f>
        <v/>
      </c>
      <c r="BQ244" s="67">
        <f>IFERROR(IF(($BH244)&gt;0,($BK244)/($BH244),""),"")</f>
        <v/>
      </c>
      <c r="BR244" s="67">
        <f>IFERROR(IF(($BI244)&gt;0,($BL244)/($BI244),""),"")</f>
        <v/>
      </c>
      <c r="BS244" s="67">
        <f>IFERROR(IF(($BJ244)&gt;0,($BM244)/($BJ244),""),"")</f>
        <v/>
      </c>
      <c r="BT244" s="67">
        <f>IFERROR(IF(($BK244)&gt;0,($BN244)/($BK244),""),"")</f>
        <v/>
      </c>
      <c r="BU244" s="67">
        <f>IFERROR(IF(($BL244)&gt;0,($BO244)/($BL244),""),"")</f>
        <v/>
      </c>
      <c r="BV244" s="67">
        <f>IFERROR(IF(($BM244)&gt;0,($BP244)/($BM244),""),"")</f>
        <v/>
      </c>
      <c r="BW244" s="55">
        <f>SUMIFS(tblPlant[Crushed_t],tblPlant[Date],$A244)</f>
        <v/>
      </c>
      <c r="BX244" s="55">
        <f>IF($B244=$B243,$BX243,0)+$BW244</f>
        <v/>
      </c>
      <c r="BY244" s="55">
        <f>$BY243+$BW244</f>
        <v/>
      </c>
      <c r="BZ244" s="55">
        <f>SUMIFS(tblPlant[Milled_t],tblPlant[Date],$A244)</f>
        <v/>
      </c>
      <c r="CA244" s="55">
        <f>IF($B244=$B243,$CA243,0)+$BZ244</f>
        <v/>
      </c>
      <c r="CB244" s="55">
        <f>$CB243+$BZ244</f>
        <v/>
      </c>
      <c r="CC244" s="55">
        <f>SUMIFS(tblPlant[Feed_oz],tblPlant[Date],$A244)</f>
        <v/>
      </c>
      <c r="CD244" s="55">
        <f>IF($B244=$B243,$CD243,0)+$CC244</f>
        <v/>
      </c>
      <c r="CE244" s="55">
        <f>$CE243+$CC244</f>
        <v/>
      </c>
      <c r="CF244" s="55">
        <f>SUMIFS(tblPlant[Tails_oz],tblPlant[Date],$A244)</f>
        <v/>
      </c>
      <c r="CG244" s="55">
        <f>IF($B244=$B243,$CG243,0)+$CF244</f>
        <v/>
      </c>
      <c r="CH244" s="55">
        <f>$CH243+$CF244</f>
        <v/>
      </c>
      <c r="CI244" s="55">
        <f>SUMIFS(tblPlant[Recovered_oz],tblPlant[Date],$A244)</f>
        <v/>
      </c>
      <c r="CJ244" s="55">
        <f>IF($B244=$B243,$CJ243,0)+$CI244</f>
        <v/>
      </c>
      <c r="CK244" s="55">
        <f>$CK243+$CI244</f>
        <v/>
      </c>
      <c r="CL244" s="56">
        <f>IFERROR(IF(($BZ244)&gt;0,($CC244*cfg_TroyOz)/($BZ244),""),"")</f>
        <v/>
      </c>
      <c r="CM244" s="56">
        <f>IFERROR(IF(($CA244)&gt;0,($CD244*cfg_TroyOz)/($CA244),""),"")</f>
        <v/>
      </c>
      <c r="CN244" s="56">
        <f>IFERROR(IF(($CB244)&gt;0,($CE244*cfg_TroyOz)/($CB244),""),"")</f>
        <v/>
      </c>
      <c r="CO244" s="56">
        <f>IFERROR(IF(($BZ244)&gt;0,($CF244*cfg_TroyOz)/($BZ244),""),"")</f>
        <v/>
      </c>
      <c r="CP244" s="56">
        <f>IFERROR(IF(($CA244)&gt;0,($CG244*cfg_TroyOz)/($CA244),""),"")</f>
        <v/>
      </c>
      <c r="CQ244" s="56">
        <f>IFERROR(IF(($CB244)&gt;0,($CH244*cfg_TroyOz)/($CB244),""),"")</f>
        <v/>
      </c>
      <c r="CR244" s="67">
        <f>IFERROR(IF(($CC244)&gt;0,($CI244)/($CC244),""),"")</f>
        <v/>
      </c>
      <c r="CS244" s="67">
        <f>IFERROR(IF(($CD244)&gt;0,($CJ244)/($CD244),""),"")</f>
        <v/>
      </c>
      <c r="CT244" s="67">
        <f>IFERROR(IF(($CE244)&gt;0,($CK244)/($CE244),""),"")</f>
        <v/>
      </c>
      <c r="CU244" s="55">
        <f>SUMIFS(tblPlant[Gravity_Gold_oz],tblPlant[Date],$A244)</f>
        <v/>
      </c>
      <c r="CV244" s="55">
        <f>IF($B244=$B243,$CV243,0)+$CU244</f>
        <v/>
      </c>
      <c r="CW244" s="55">
        <f>$CW243+$CU244</f>
        <v/>
      </c>
      <c r="CX244" s="55">
        <f>SUMIFS(tblPlant[Gold_Poured_oz],tblPlant[Date],$A244)</f>
        <v/>
      </c>
      <c r="CY244" s="55">
        <f>IF($B244=$B243,$CY243,0)+$CX244</f>
        <v/>
      </c>
      <c r="CZ244" s="55">
        <f>$CZ243+$CX244</f>
        <v/>
      </c>
      <c r="DA244" s="57">
        <f>SUMIFS(tblPlant[Mill_Run_h],tblPlant[Date],$A244)</f>
        <v/>
      </c>
      <c r="DB244" s="57">
        <f>IF($B244=$B243,$DB243,0)+$DA244</f>
        <v/>
      </c>
      <c r="DC244" s="57">
        <f>$DC243+$DA244</f>
        <v/>
      </c>
      <c r="DD244" s="57">
        <f>SUMIFS(tblPlant[Mill_Planned_Maint_h],tblPlant[Date],$A244)</f>
        <v/>
      </c>
      <c r="DE244" s="57">
        <f>IF($B244=$B243,$DE243,0)+$DD244</f>
        <v/>
      </c>
      <c r="DF244" s="57">
        <f>$DF243+$DD244</f>
        <v/>
      </c>
      <c r="DG244" s="57">
        <f>SUMIFS(tblPlant[Mill_Unplanned_Down_h],tblPlant[Date],$A244)</f>
        <v/>
      </c>
      <c r="DH244" s="57">
        <f>IF($B244=$B243,$DH243,0)+$DG244</f>
        <v/>
      </c>
      <c r="DI244" s="57">
        <f>$DI243+$DG244</f>
        <v/>
      </c>
      <c r="DJ244" s="57">
        <f>COUNTIFS(tblPlant[Date],$A244,tblPlant[Mill_Run_h],"&lt;&gt;")*24</f>
        <v/>
      </c>
      <c r="DK244" s="57">
        <f>IF($B244=$B243,$DK243,0)+$DJ244</f>
        <v/>
      </c>
      <c r="DL244" s="57">
        <f>$DL243+$DJ244</f>
        <v/>
      </c>
      <c r="DM244" s="57">
        <f>SUMIFS(tblPlant[Crusher_Run_h],tblPlant[Date],$A244)</f>
        <v/>
      </c>
      <c r="DN244" s="57">
        <f>IF($B244=$B243,$DN243,0)+$DM244</f>
        <v/>
      </c>
      <c r="DO244" s="57">
        <f>$DO243+$DM244</f>
        <v/>
      </c>
      <c r="DP244" s="55">
        <f>IFERROR(IF(($DA244)&gt;0,($BZ244)/($DA244),""),"")</f>
        <v/>
      </c>
      <c r="DQ244" s="55">
        <f>IFERROR(IF(($DB244)&gt;0,($CA244)/($DB244),""),"")</f>
        <v/>
      </c>
      <c r="DR244" s="55">
        <f>IFERROR(IF(($DC244)&gt;0,($CB244)/($DC244),""),"")</f>
        <v/>
      </c>
      <c r="DS244" s="67">
        <f>IFERROR(IF(($DJ244)&gt;0,($DJ244-$DD244-$DG244)/($DJ244),""),"")</f>
        <v/>
      </c>
      <c r="DT244" s="67">
        <f>IFERROR(IF(($DK244)&gt;0,($DK244-$DE244-$DH244)/($DK244),""),"")</f>
        <v/>
      </c>
      <c r="DU244" s="67">
        <f>IFERROR(IF(($DL244)&gt;0,($DL244-$DF244-$DI244)/($DL244),""),"")</f>
        <v/>
      </c>
      <c r="DV244" s="67">
        <f>IFERROR(IF(($DJ244-$DD244-$DG244)&gt;0,($DA244)/($DJ244-$DD244-$DG244),""),"")</f>
        <v/>
      </c>
      <c r="DW244" s="67">
        <f>IFERROR(IF(($DK244-$DE244-$DH244)&gt;0,($DB244)/($DK244-$DE244-$DH244),""),"")</f>
        <v/>
      </c>
      <c r="DX244" s="67">
        <f>IFERROR(IF(($DL244-$DF244-$DI244)&gt;0,($DC244)/($DL244-$DF244-$DI244),""),"")</f>
        <v/>
      </c>
      <c r="DY244" s="55">
        <f>SUMIFS(tblPlant[Cyanide_kg],tblPlant[Date],$A244)</f>
        <v/>
      </c>
      <c r="DZ244" s="55">
        <f>IF($B244=$B243,$DZ243,0)+$DY244</f>
        <v/>
      </c>
      <c r="EA244" s="55">
        <f>$EA243+$DY244</f>
        <v/>
      </c>
      <c r="EB244" s="55">
        <f>SUMIFS(tblPlant[Lime_kg],tblPlant[Date],$A244)</f>
        <v/>
      </c>
      <c r="EC244" s="55">
        <f>IF($B244=$B243,$EC243,0)+$EB244</f>
        <v/>
      </c>
      <c r="ED244" s="55">
        <f>$ED243+$EB244</f>
        <v/>
      </c>
      <c r="EE244" s="55">
        <f>SUMIFS(tblPlant[Grinding_Media_kg],tblPlant[Date],$A244)</f>
        <v/>
      </c>
      <c r="EF244" s="55">
        <f>IF($B244=$B243,$EF243,0)+$EE244</f>
        <v/>
      </c>
      <c r="EG244" s="55">
        <f>$EG243+$EE244</f>
        <v/>
      </c>
      <c r="EH244" s="55">
        <f>SUMIFS(tblPlant[Power_kWh],tblPlant[Date],$A244)</f>
        <v/>
      </c>
      <c r="EI244" s="55">
        <f>IF($B244=$B243,$EI243,0)+$EH244</f>
        <v/>
      </c>
      <c r="EJ244" s="55">
        <f>$EJ243+$EH244</f>
        <v/>
      </c>
      <c r="EK244" s="55">
        <f>SUMIFS(tblPlant[Raw_Water_m3],tblPlant[Date],$A244)</f>
        <v/>
      </c>
      <c r="EL244" s="55">
        <f>IF($B244=$B243,$EL243,0)+$EK244</f>
        <v/>
      </c>
      <c r="EM244" s="55">
        <f>$EM243+$EK244</f>
        <v/>
      </c>
      <c r="EN244" s="56">
        <f>IFERROR(IF(($BZ244)&gt;0,($DY244)/($BZ244),""),"")</f>
        <v/>
      </c>
      <c r="EO244" s="56">
        <f>IFERROR(IF(($CA244)&gt;0,($DZ244)/($CA244),""),"")</f>
        <v/>
      </c>
      <c r="EP244" s="56">
        <f>IFERROR(IF(($CB244)&gt;0,($EA244)/($CB244),""),"")</f>
        <v/>
      </c>
      <c r="EQ244" s="56">
        <f>IFERROR(IF(($BZ244)&gt;0,($EB244)/($BZ244),""),"")</f>
        <v/>
      </c>
      <c r="ER244" s="56">
        <f>IFERROR(IF(($CA244)&gt;0,($EC244)/($CA244),""),"")</f>
        <v/>
      </c>
      <c r="ES244" s="56">
        <f>IFERROR(IF(($CB244)&gt;0,($ED244)/($CB244),""),"")</f>
        <v/>
      </c>
      <c r="ET244" s="56">
        <f>IFERROR(IF(($BZ244)&gt;0,($EE244)/($BZ244),""),"")</f>
        <v/>
      </c>
      <c r="EU244" s="56">
        <f>IFERROR(IF(($CA244)&gt;0,($EF244)/($CA244),""),"")</f>
        <v/>
      </c>
      <c r="EV244" s="56">
        <f>IFERROR(IF(($CB244)&gt;0,($EG244)/($CB244),""),"")</f>
        <v/>
      </c>
      <c r="EW244" s="76">
        <f>IFERROR(IF(($BZ244)&gt;0,($EH244)/($BZ244),""),"")</f>
        <v/>
      </c>
      <c r="EX244" s="76">
        <f>IFERROR(IF(($CA244)&gt;0,($EI244)/($CA244),""),"")</f>
        <v/>
      </c>
      <c r="EY244" s="76">
        <f>IFERROR(IF(($CB244)&gt;0,($EJ244)/($CB244),""),"")</f>
        <v/>
      </c>
      <c r="EZ244" s="56">
        <f>IFERROR(IF(($BZ244)&gt;0,($EK244)/($BZ244),""),"")</f>
        <v/>
      </c>
      <c r="FA244" s="56">
        <f>IFERROR(IF(($CA244)&gt;0,($EL244)/($CA244),""),"")</f>
        <v/>
      </c>
      <c r="FB244" s="56">
        <f>IFERROR(IF(($CB244)&gt;0,($EM244)/($CB244),""),"")</f>
        <v/>
      </c>
      <c r="FC244" s="55">
        <f>IF(SUMIFS(tblPlant[GIC_oz],tblPlant[Date],$A244)&gt;0,SUMIFS(tblPlant[GIC_oz],tblPlant[Date],$A244),"")</f>
        <v/>
      </c>
      <c r="FD244" s="55">
        <f>SUMIFS(tblGold[Gold_oz],tblGold[Date],$A244,tblGold[Type],"Shipment")</f>
        <v/>
      </c>
      <c r="FE244" s="55">
        <f>IF($B244=$B243,$FE243,0)+$FD244</f>
        <v/>
      </c>
      <c r="FF244" s="55">
        <f>$FF243+$FD244</f>
        <v/>
      </c>
      <c r="FG244" s="55">
        <f>SUMIFS(tblGold[Gold_oz],tblGold[Date],$A244,tblGold[Type],"Sale")</f>
        <v/>
      </c>
      <c r="FH244" s="55">
        <f>IF($B244=$B243,$FH243,0)+$FG244</f>
        <v/>
      </c>
      <c r="FI244" s="55">
        <f>$FI243+$FG244</f>
        <v/>
      </c>
      <c r="FJ244" s="55">
        <f>SUMIFS(tblGold[Dore_kg],tblGold[Date],$A244,tblGold[Type],"Shipment")</f>
        <v/>
      </c>
      <c r="FK244" s="55">
        <f>IF($B244=$B243,$FK243,0)+$FJ244</f>
        <v/>
      </c>
      <c r="FL244" s="55">
        <f>$FL243+$FJ244</f>
        <v/>
      </c>
      <c r="FM244" s="57">
        <f>SUMIFS(tblSafety[Hours_Total],tblSafety[Date],$A244)</f>
        <v/>
      </c>
      <c r="FN244" s="57">
        <f>IF($B244=$B243,$FN243,0)+$FM244</f>
        <v/>
      </c>
      <c r="FO244" s="57">
        <f>$FO243+$FM244</f>
        <v/>
      </c>
      <c r="FP244" s="62">
        <f>SUMIFS(tblSafety[Fatality],tblSafety[Date],$A244)</f>
        <v/>
      </c>
      <c r="FQ244" s="62">
        <f>IF($B244=$B243,$FQ243,0)+$FP244</f>
        <v/>
      </c>
      <c r="FR244" s="62">
        <f>$FR243+$FP244</f>
        <v/>
      </c>
      <c r="FS244" s="62">
        <f>SUMIFS(tblSafety[LTI],tblSafety[Date],$A244)</f>
        <v/>
      </c>
      <c r="FT244" s="62">
        <f>IF($B244=$B243,$FT243,0)+$FS244</f>
        <v/>
      </c>
      <c r="FU244" s="62">
        <f>$FU243+$FS244</f>
        <v/>
      </c>
      <c r="FV244" s="62">
        <f>SUMIFS(tblSafety[RWI],tblSafety[Date],$A244)</f>
        <v/>
      </c>
      <c r="FW244" s="62">
        <f>IF($B244=$B243,$FW243,0)+$FV244</f>
        <v/>
      </c>
      <c r="FX244" s="62">
        <f>$FX243+$FV244</f>
        <v/>
      </c>
      <c r="FY244" s="62">
        <f>SUMIFS(tblSafety[MTI],tblSafety[Date],$A244)</f>
        <v/>
      </c>
      <c r="FZ244" s="62">
        <f>IF($B244=$B243,$FZ243,0)+$FY244</f>
        <v/>
      </c>
      <c r="GA244" s="62">
        <f>$GA243+$FY244</f>
        <v/>
      </c>
      <c r="GB244" s="62">
        <f>SUMIFS(tblSafety[FAI],tblSafety[Date],$A244)</f>
        <v/>
      </c>
      <c r="GC244" s="62">
        <f>IF($B244=$B243,$GC243,0)+$GB244</f>
        <v/>
      </c>
      <c r="GD244" s="62">
        <f>$GD243+$GB244</f>
        <v/>
      </c>
      <c r="GE244" s="62">
        <f>SUMIFS(tblSafety[Recordables],tblSafety[Date],$A244)</f>
        <v/>
      </c>
      <c r="GF244" s="62">
        <f>IF($B244=$B243,$GF243,0)+$GE244</f>
        <v/>
      </c>
      <c r="GG244" s="62">
        <f>$GG243+$GE244</f>
        <v/>
      </c>
      <c r="GH244" s="62">
        <f>SUMIFS(tblSafety[Near_Miss],tblSafety[Date],$A244)</f>
        <v/>
      </c>
      <c r="GI244" s="62">
        <f>IF($B244=$B243,$GI243,0)+$GH244</f>
        <v/>
      </c>
      <c r="GJ244" s="62">
        <f>$GJ243+$GH244</f>
        <v/>
      </c>
      <c r="GK244" s="62">
        <f>SUMIFS(tblSafety[Hazard_Reports],tblSafety[Date],$A244)</f>
        <v/>
      </c>
      <c r="GL244" s="62">
        <f>IF($B244=$B243,$GL243,0)+$GK244</f>
        <v/>
      </c>
      <c r="GM244" s="62">
        <f>$GM243+$GK244</f>
        <v/>
      </c>
      <c r="GN244" s="62">
        <f>SUMIFS(tblSafety[HPI],tblSafety[Date],$A244)</f>
        <v/>
      </c>
      <c r="GO244" s="62">
        <f>IF($B244=$B243,$GO243,0)+$GN244</f>
        <v/>
      </c>
      <c r="GP244" s="62">
        <f>$GP243+$GN244</f>
        <v/>
      </c>
      <c r="GQ244" s="62">
        <f>SUMIFS(tblSafety[Env_Incidents],tblSafety[Date],$A244)</f>
        <v/>
      </c>
      <c r="GR244" s="62">
        <f>IF($B244=$B243,$GR243,0)+$GQ244</f>
        <v/>
      </c>
      <c r="GS244" s="62">
        <f>$GS243+$GQ244</f>
        <v/>
      </c>
      <c r="GT244" s="62">
        <f>SUMIFS(tblSafety[Community_Incidents],tblSafety[Date],$A244)</f>
        <v/>
      </c>
      <c r="GU244" s="62">
        <f>IF($B244=$B243,$GU243,0)+$GT244</f>
        <v/>
      </c>
      <c r="GV244" s="62">
        <f>$GV243+$GT244</f>
        <v/>
      </c>
      <c r="GW244" s="62">
        <f>SUMIFS(tblSafety[Vehicle_Incidents],tblSafety[Date],$A244)</f>
        <v/>
      </c>
      <c r="GX244" s="62">
        <f>IF($B244=$B243,$GX243,0)+$GW244</f>
        <v/>
      </c>
      <c r="GY244" s="62">
        <f>$GY243+$GW244</f>
        <v/>
      </c>
      <c r="GZ244" s="62">
        <f>SUMIFS(tblSafety[Toolbox_Talks],tblSafety[Date],$A244)</f>
        <v/>
      </c>
      <c r="HA244" s="62">
        <f>IF($B244=$B243,$HA243,0)+$GZ244</f>
        <v/>
      </c>
      <c r="HB244" s="62">
        <f>$HB243+$GZ244</f>
        <v/>
      </c>
      <c r="HC244" s="62">
        <f>SUMIFS(tblSafety[Inspections],tblSafety[Date],$A244)</f>
        <v/>
      </c>
      <c r="HD244" s="62">
        <f>IF($B244=$B243,$HD243,0)+$HC244</f>
        <v/>
      </c>
      <c r="HE244" s="62">
        <f>$HE243+$HC244</f>
        <v/>
      </c>
      <c r="HF244" s="56">
        <f>IFERROR((SUMIFS(tblSafety[Recordables],tblSafety[Date],"&gt;="&amp;EDATE($E244,-12),tblSafety[Date],"&lt;="&amp;$A244)+SUMIFS(tblSafetyHistory[Recordables],tblSafetyHistory[Month],"&gt;="&amp;EDATE($E244,-12),tblSafetyHistory[Month],"&lt;"&amp;cfg_YearStart))/(SUMIFS(tblSafety[Hours_Total],tblSafety[Date],"&gt;="&amp;EDATE($E244,-12),tblSafety[Date],"&lt;="&amp;$A244)+SUMIFS(tblSafetyHistory[Hours_Total],tblSafetyHistory[Month],"&gt;="&amp;EDATE($E244,-12),tblSafetyHistory[Month],"&lt;"&amp;cfg_YearStart))*1000000,"")</f>
        <v/>
      </c>
      <c r="HG244" s="56">
        <f>IFERROR((SUMIFS(tblSafety[LTI],tblSafety[Date],"&gt;="&amp;EDATE($E244,-12),tblSafety[Date],"&lt;="&amp;$A244)+SUMIFS(tblSafetyHistory[LTI],tblSafetyHistory[Month],"&gt;="&amp;EDATE($E244,-12),tblSafetyHistory[Month],"&lt;"&amp;cfg_YearStart))/(SUMIFS(tblSafety[Hours_Total],tblSafety[Date],"&gt;="&amp;EDATE($E244,-12),tblSafety[Date],"&lt;="&amp;$A244)+SUMIFS(tblSafetyHistory[Hours_Total],tblSafetyHistory[Month],"&gt;="&amp;EDATE($E244,-12),tblSafetyHistory[Month],"&lt;"&amp;cfg_YearStart))*1000000,"")</f>
        <v/>
      </c>
      <c r="HH244" s="62">
        <f>IF(MAX(N(cfg_PriorLTIDate),_xlfn.MAXIFS(tblSafety[Date],tblSafety[LTI],"&gt;0",tblSafety[Date],"&lt;="&amp;$A244))=0,"",$A244-MAX(N(cfg_PriorLTIDate),_xlfn.MAXIFS(tblSafety[Date],tblSafety[LTI],"&gt;0",tblSafety[Date],"&lt;="&amp;$A244)))</f>
        <v/>
      </c>
      <c r="HI244" s="55">
        <f>SUMIFS(tblBudget[Ore_Mined_t],tblBudget[Month],$E244)</f>
        <v/>
      </c>
      <c r="HJ244" s="55">
        <f>$HI244*$C244/$D244</f>
        <v/>
      </c>
      <c r="HK244" s="55">
        <f>SUMIFS(tblBudget[Ore_Mined_t],tblBudget[Month],"&lt;"&amp;$E244)+$HJ244</f>
        <v/>
      </c>
      <c r="HL244" s="55">
        <f>SUMIFS(tblBudget[Ore_oz],tblBudget[Month],$E244)</f>
        <v/>
      </c>
      <c r="HM244" s="55">
        <f>$HL244*$C244/$D244</f>
        <v/>
      </c>
      <c r="HN244" s="55">
        <f>SUMIFS(tblBudget[Ore_oz],tblBudget[Month],"&lt;"&amp;$E244)+$HM244</f>
        <v/>
      </c>
      <c r="HO244" s="56">
        <f>IFERROR(IF(($HI244)&gt;0,($HL244*cfg_TroyOz)/($HI244),""),"")</f>
        <v/>
      </c>
      <c r="HP244" s="56">
        <f>IFERROR(IF(($HJ244)&gt;0,($HM244*cfg_TroyOz)/($HJ244),""),"")</f>
        <v/>
      </c>
      <c r="HQ244" s="56">
        <f>IFERROR(IF(($HK244)&gt;0,($HN244*cfg_TroyOz)/($HK244),""),"")</f>
        <v/>
      </c>
      <c r="HR244" s="55">
        <f>SUMIFS(tblBudget[Waste_t],tblBudget[Month],$E244)</f>
        <v/>
      </c>
      <c r="HS244" s="55">
        <f>$HR244*$C244/$D244</f>
        <v/>
      </c>
      <c r="HT244" s="55">
        <f>SUMIFS(tblBudget[Waste_t],tblBudget[Month],"&lt;"&amp;$E244)+$HS244</f>
        <v/>
      </c>
      <c r="HU244" s="55">
        <f>SUMIFS(tblBudget[TMM_t],tblBudget[Month],$E244)</f>
        <v/>
      </c>
      <c r="HV244" s="55">
        <f>$HU244*$C244/$D244</f>
        <v/>
      </c>
      <c r="HW244" s="55">
        <f>SUMIFS(tblBudget[TMM_t],tblBudget[Month],"&lt;"&amp;$E244)+$HV244</f>
        <v/>
      </c>
      <c r="HX244" s="56">
        <f>IFERROR(IF(($HI244)&gt;0,($HR244)/($HI244),""),"")</f>
        <v/>
      </c>
      <c r="HY244" s="56">
        <f>IFERROR(IF(($HJ244)&gt;0,($HS244)/($HJ244),""),"")</f>
        <v/>
      </c>
      <c r="HZ244" s="56">
        <f>IFERROR(IF(($HK244)&gt;0,($HT244)/($HK244),""),"")</f>
        <v/>
      </c>
      <c r="IA244" s="55">
        <f>SUMIFS(tblBudget[Drill_m],tblBudget[Month],$E244)</f>
        <v/>
      </c>
      <c r="IB244" s="55">
        <f>$IA244*$C244/$D244</f>
        <v/>
      </c>
      <c r="IC244" s="55">
        <f>SUMIFS(tblBudget[Drill_m],tblBudget[Month],"&lt;"&amp;$E244)+$IB244</f>
        <v/>
      </c>
      <c r="ID244" s="55">
        <f>SUMIFS(tblBudget[Diesel_L],tblBudget[Month],$E244)</f>
        <v/>
      </c>
      <c r="IE244" s="55">
        <f>$ID244*$C244/$D244</f>
        <v/>
      </c>
      <c r="IF244" s="55">
        <f>SUMIFS(tblBudget[Diesel_L],tblBudget[Month],"&lt;"&amp;$E244)+$IE244</f>
        <v/>
      </c>
      <c r="IG244" s="55">
        <f>SUMIFS(tblBudget[Milled_t],tblBudget[Month],$E244)</f>
        <v/>
      </c>
      <c r="IH244" s="55">
        <f>$IG244*$C244/$D244</f>
        <v/>
      </c>
      <c r="II244" s="55">
        <f>SUMIFS(tblBudget[Milled_t],tblBudget[Month],"&lt;"&amp;$E244)+$IH244</f>
        <v/>
      </c>
      <c r="IJ244" s="55">
        <f>SUMIFS(tblBudget[Feed_oz],tblBudget[Month],$E244)</f>
        <v/>
      </c>
      <c r="IK244" s="55">
        <f>$IJ244*$C244/$D244</f>
        <v/>
      </c>
      <c r="IL244" s="55">
        <f>SUMIFS(tblBudget[Feed_oz],tblBudget[Month],"&lt;"&amp;$E244)+$IK244</f>
        <v/>
      </c>
      <c r="IM244" s="55">
        <f>SUMIFS(tblBudget[Recovered_oz],tblBudget[Month],$E244)</f>
        <v/>
      </c>
      <c r="IN244" s="55">
        <f>$IM244*$C244/$D244</f>
        <v/>
      </c>
      <c r="IO244" s="55">
        <f>SUMIFS(tblBudget[Recovered_oz],tblBudget[Month],"&lt;"&amp;$E244)+$IN244</f>
        <v/>
      </c>
      <c r="IP244" s="56">
        <f>IFERROR(IF(($IG244)&gt;0,($IJ244*cfg_TroyOz)/($IG244),""),"")</f>
        <v/>
      </c>
      <c r="IQ244" s="56">
        <f>IFERROR(IF(($IH244)&gt;0,($IK244*cfg_TroyOz)/($IH244),""),"")</f>
        <v/>
      </c>
      <c r="IR244" s="56">
        <f>IFERROR(IF(($II244)&gt;0,($IL244*cfg_TroyOz)/($II244),""),"")</f>
        <v/>
      </c>
      <c r="IS244" s="67">
        <f>IFERROR(IF(($IJ244)&gt;0,($IM244)/($IJ244),""),"")</f>
        <v/>
      </c>
      <c r="IT244" s="67">
        <f>IFERROR(IF(($IK244)&gt;0,($IN244)/($IK244),""),"")</f>
        <v/>
      </c>
      <c r="IU244" s="67">
        <f>IFERROR(IF(($IL244)&gt;0,($IO244)/($IL244),""),"")</f>
        <v/>
      </c>
      <c r="IV244" s="55">
        <f>SUMIFS(tblBudget[Gold_Poured_oz],tblBudget[Month],$E244)</f>
        <v/>
      </c>
      <c r="IW244" s="55">
        <f>$IV244*$C244/$D244</f>
        <v/>
      </c>
      <c r="IX244" s="55">
        <f>SUMIFS(tblBudget[Gold_Poured_oz],tblBudget[Month],"&lt;"&amp;$E244)+$IW244</f>
        <v/>
      </c>
      <c r="IY244" s="57">
        <f>SUMIFS(tblBudget[Hours_Worked],tblBudget[Month],$E244)</f>
        <v/>
      </c>
      <c r="IZ244" s="57">
        <f>$IY244*$C244/$D244</f>
        <v/>
      </c>
      <c r="JA244" s="57">
        <f>SUMIFS(tblBudget[Hours_Worked],tblBudget[Month],"&lt;"&amp;$E244)+$IZ244</f>
        <v/>
      </c>
    </row>
    <row r="245">
      <c r="A245" s="54" t="n">
        <v>46266</v>
      </c>
      <c r="B245">
        <f>MONTH($A245)</f>
        <v/>
      </c>
      <c r="C245">
        <f>DAY($A245)</f>
        <v/>
      </c>
      <c r="D245">
        <f>DAY(EOMONTH($A245,0))</f>
        <v/>
      </c>
      <c r="E245" s="54">
        <f>DATE(YEAR($A245),MONTH($A245),1)</f>
        <v/>
      </c>
      <c r="F245" s="55">
        <f>SUMIFS(tblMovement[Tonnes_t],tblMovement[Date],$A245,tblMovement[Is_Ore],1,tblMovement[Source_Type],"Pit")</f>
        <v/>
      </c>
      <c r="G245" s="55">
        <f>IF($B245=$B244,$G244,0)+$F245</f>
        <v/>
      </c>
      <c r="H245" s="55">
        <f>$H244+$F245</f>
        <v/>
      </c>
      <c r="I245" s="55">
        <f>SUMIFS(tblMovement[Ore_oz],tblMovement[Date],$A245,tblMovement[Source_Type],"Pit")</f>
        <v/>
      </c>
      <c r="J245" s="55">
        <f>IF($B245=$B244,$J244,0)+$I245</f>
        <v/>
      </c>
      <c r="K245" s="55">
        <f>$K244+$I245</f>
        <v/>
      </c>
      <c r="L245" s="56">
        <f>IFERROR(IF(($F245)&gt;0,($I245*cfg_TroyOz)/($F245),""),"")</f>
        <v/>
      </c>
      <c r="M245" s="56">
        <f>IFERROR(IF(($G245)&gt;0,($J245*cfg_TroyOz)/($G245),""),"")</f>
        <v/>
      </c>
      <c r="N245" s="56">
        <f>IFERROR(IF(($H245)&gt;0,($K245*cfg_TroyOz)/($H245),""),"")</f>
        <v/>
      </c>
      <c r="O245" s="55">
        <f>SUMIFS(tblMovement[Tonnes_t],tblMovement[Date],$A245,tblMovement[Is_Ore],0,tblMovement[Source_Type],"Pit")</f>
        <v/>
      </c>
      <c r="P245" s="55">
        <f>IF($B245=$B244,$P244,0)+$O245</f>
        <v/>
      </c>
      <c r="Q245" s="55">
        <f>$Q244+$O245</f>
        <v/>
      </c>
      <c r="R245" s="55">
        <f>$F245+$O245</f>
        <v/>
      </c>
      <c r="S245" s="55">
        <f>IF($B245=$B244,$S244,0)+$R245</f>
        <v/>
      </c>
      <c r="T245" s="55">
        <f>$T244+$R245</f>
        <v/>
      </c>
      <c r="U245" s="56">
        <f>IFERROR(IF(($F245)&gt;0,($O245)/($F245),""),"")</f>
        <v/>
      </c>
      <c r="V245" s="56">
        <f>IFERROR(IF(($G245)&gt;0,($P245)/($G245),""),"")</f>
        <v/>
      </c>
      <c r="W245" s="56">
        <f>IFERROR(IF(($H245)&gt;0,($Q245)/($H245),""),"")</f>
        <v/>
      </c>
      <c r="X245" s="55">
        <f>SUMIFS(tblMovement[Tonnes_t],tblMovement[Date],$A245,tblMovement[Source_Type],"Stockpile")</f>
        <v/>
      </c>
      <c r="Y245" s="55">
        <f>IF($B245=$B244,$Y244,0)+$X245</f>
        <v/>
      </c>
      <c r="Z245" s="55">
        <f>$Z244+$X245</f>
        <v/>
      </c>
      <c r="AA245" s="55">
        <f>SUMIFS(tblMiningDaily[Drill_m],tblMiningDaily[Date],$A245)</f>
        <v/>
      </c>
      <c r="AB245" s="55">
        <f>IF($B245=$B244,$AB244,0)+$AA245</f>
        <v/>
      </c>
      <c r="AC245" s="55">
        <f>$AC244+$AA245</f>
        <v/>
      </c>
      <c r="AD245" s="55">
        <f>SUMIFS(tblMiningDaily[Blast_t],tblMiningDaily[Date],$A245)</f>
        <v/>
      </c>
      <c r="AE245" s="55">
        <f>IF($B245=$B244,$AE244,0)+$AD245</f>
        <v/>
      </c>
      <c r="AF245" s="55">
        <f>$AF244+$AD245</f>
        <v/>
      </c>
      <c r="AG245" s="55">
        <f>SUMIFS(tblMiningDaily[Explosives_kg],tblMiningDaily[Date],$A245)</f>
        <v/>
      </c>
      <c r="AH245" s="55">
        <f>IF($B245=$B244,$AH244,0)+$AG245</f>
        <v/>
      </c>
      <c r="AI245" s="55">
        <f>$AI244+$AG245</f>
        <v/>
      </c>
      <c r="AJ245" s="56">
        <f>IFERROR(IF(($AD245)&gt;0,($AG245)/($AD245),""),"")</f>
        <v/>
      </c>
      <c r="AK245" s="56">
        <f>IFERROR(IF(($AE245)&gt;0,($AH245)/($AE245),""),"")</f>
        <v/>
      </c>
      <c r="AL245" s="56">
        <f>IFERROR(IF(($AF245)&gt;0,($AI245)/($AF245),""),"")</f>
        <v/>
      </c>
      <c r="AM245" s="55">
        <f>SUMIFS(tblMiningDaily[Diesel_L],tblMiningDaily[Date],$A245)</f>
        <v/>
      </c>
      <c r="AN245" s="55">
        <f>IF($B245=$B244,$AN244,0)+$AM245</f>
        <v/>
      </c>
      <c r="AO245" s="55">
        <f>$AO244+$AM245</f>
        <v/>
      </c>
      <c r="AP245" s="55">
        <f>SUMIFS(tblMiningDaily[Dewatering_m3],tblMiningDaily[Date],$A245)</f>
        <v/>
      </c>
      <c r="AQ245" s="55">
        <f>IF($B245=$B244,$AQ244,0)+$AP245</f>
        <v/>
      </c>
      <c r="AR245" s="55">
        <f>$AR244+$AP245</f>
        <v/>
      </c>
      <c r="AS245" s="57">
        <f>SUMIFS(tblFleet[Calendar_h],tblFleet[Date],$A245,tblFleet[Equipment_Class],"Excavator")</f>
        <v/>
      </c>
      <c r="AT245" s="57">
        <f>IF($B245=$B244,$AT244,0)+$AS245</f>
        <v/>
      </c>
      <c r="AU245" s="57">
        <f>$AU244+$AS245</f>
        <v/>
      </c>
      <c r="AV245" s="57">
        <f>SUMIFS(tblFleet[Available_h],tblFleet[Date],$A245,tblFleet[Equipment_Class],"Excavator")</f>
        <v/>
      </c>
      <c r="AW245" s="57">
        <f>IF($B245=$B244,$AW244,0)+$AV245</f>
        <v/>
      </c>
      <c r="AX245" s="57">
        <f>$AX244+$AV245</f>
        <v/>
      </c>
      <c r="AY245" s="57">
        <f>SUMIFS(tblFleet[Operating_h],tblFleet[Date],$A245,tblFleet[Equipment_Class],"Excavator")</f>
        <v/>
      </c>
      <c r="AZ245" s="57">
        <f>IF($B245=$B244,$AZ244,0)+$AY245</f>
        <v/>
      </c>
      <c r="BA245" s="57">
        <f>$BA244+$AY245</f>
        <v/>
      </c>
      <c r="BB245" s="67">
        <f>IFERROR(IF(($AS245)&gt;0,($AV245)/($AS245),""),"")</f>
        <v/>
      </c>
      <c r="BC245" s="67">
        <f>IFERROR(IF(($AT245)&gt;0,($AW245)/($AT245),""),"")</f>
        <v/>
      </c>
      <c r="BD245" s="67">
        <f>IFERROR(IF(($AU245)&gt;0,($AX245)/($AU245),""),"")</f>
        <v/>
      </c>
      <c r="BE245" s="67">
        <f>IFERROR(IF(($AV245)&gt;0,($AY245)/($AV245),""),"")</f>
        <v/>
      </c>
      <c r="BF245" s="67">
        <f>IFERROR(IF(($AW245)&gt;0,($AZ245)/($AW245),""),"")</f>
        <v/>
      </c>
      <c r="BG245" s="67">
        <f>IFERROR(IF(($AX245)&gt;0,($BA245)/($AX245),""),"")</f>
        <v/>
      </c>
      <c r="BH245" s="57">
        <f>SUMIFS(tblFleet[Calendar_h],tblFleet[Date],$A245,tblFleet[Equipment_Class],"Haul Truck")</f>
        <v/>
      </c>
      <c r="BI245" s="57">
        <f>IF($B245=$B244,$BI244,0)+$BH245</f>
        <v/>
      </c>
      <c r="BJ245" s="57">
        <f>$BJ244+$BH245</f>
        <v/>
      </c>
      <c r="BK245" s="57">
        <f>SUMIFS(tblFleet[Available_h],tblFleet[Date],$A245,tblFleet[Equipment_Class],"Haul Truck")</f>
        <v/>
      </c>
      <c r="BL245" s="57">
        <f>IF($B245=$B244,$BL244,0)+$BK245</f>
        <v/>
      </c>
      <c r="BM245" s="57">
        <f>$BM244+$BK245</f>
        <v/>
      </c>
      <c r="BN245" s="57">
        <f>SUMIFS(tblFleet[Operating_h],tblFleet[Date],$A245,tblFleet[Equipment_Class],"Haul Truck")</f>
        <v/>
      </c>
      <c r="BO245" s="57">
        <f>IF($B245=$B244,$BO244,0)+$BN245</f>
        <v/>
      </c>
      <c r="BP245" s="57">
        <f>$BP244+$BN245</f>
        <v/>
      </c>
      <c r="BQ245" s="67">
        <f>IFERROR(IF(($BH245)&gt;0,($BK245)/($BH245),""),"")</f>
        <v/>
      </c>
      <c r="BR245" s="67">
        <f>IFERROR(IF(($BI245)&gt;0,($BL245)/($BI245),""),"")</f>
        <v/>
      </c>
      <c r="BS245" s="67">
        <f>IFERROR(IF(($BJ245)&gt;0,($BM245)/($BJ245),""),"")</f>
        <v/>
      </c>
      <c r="BT245" s="67">
        <f>IFERROR(IF(($BK245)&gt;0,($BN245)/($BK245),""),"")</f>
        <v/>
      </c>
      <c r="BU245" s="67">
        <f>IFERROR(IF(($BL245)&gt;0,($BO245)/($BL245),""),"")</f>
        <v/>
      </c>
      <c r="BV245" s="67">
        <f>IFERROR(IF(($BM245)&gt;0,($BP245)/($BM245),""),"")</f>
        <v/>
      </c>
      <c r="BW245" s="55">
        <f>SUMIFS(tblPlant[Crushed_t],tblPlant[Date],$A245)</f>
        <v/>
      </c>
      <c r="BX245" s="55">
        <f>IF($B245=$B244,$BX244,0)+$BW245</f>
        <v/>
      </c>
      <c r="BY245" s="55">
        <f>$BY244+$BW245</f>
        <v/>
      </c>
      <c r="BZ245" s="55">
        <f>SUMIFS(tblPlant[Milled_t],tblPlant[Date],$A245)</f>
        <v/>
      </c>
      <c r="CA245" s="55">
        <f>IF($B245=$B244,$CA244,0)+$BZ245</f>
        <v/>
      </c>
      <c r="CB245" s="55">
        <f>$CB244+$BZ245</f>
        <v/>
      </c>
      <c r="CC245" s="55">
        <f>SUMIFS(tblPlant[Feed_oz],tblPlant[Date],$A245)</f>
        <v/>
      </c>
      <c r="CD245" s="55">
        <f>IF($B245=$B244,$CD244,0)+$CC245</f>
        <v/>
      </c>
      <c r="CE245" s="55">
        <f>$CE244+$CC245</f>
        <v/>
      </c>
      <c r="CF245" s="55">
        <f>SUMIFS(tblPlant[Tails_oz],tblPlant[Date],$A245)</f>
        <v/>
      </c>
      <c r="CG245" s="55">
        <f>IF($B245=$B244,$CG244,0)+$CF245</f>
        <v/>
      </c>
      <c r="CH245" s="55">
        <f>$CH244+$CF245</f>
        <v/>
      </c>
      <c r="CI245" s="55">
        <f>SUMIFS(tblPlant[Recovered_oz],tblPlant[Date],$A245)</f>
        <v/>
      </c>
      <c r="CJ245" s="55">
        <f>IF($B245=$B244,$CJ244,0)+$CI245</f>
        <v/>
      </c>
      <c r="CK245" s="55">
        <f>$CK244+$CI245</f>
        <v/>
      </c>
      <c r="CL245" s="56">
        <f>IFERROR(IF(($BZ245)&gt;0,($CC245*cfg_TroyOz)/($BZ245),""),"")</f>
        <v/>
      </c>
      <c r="CM245" s="56">
        <f>IFERROR(IF(($CA245)&gt;0,($CD245*cfg_TroyOz)/($CA245),""),"")</f>
        <v/>
      </c>
      <c r="CN245" s="56">
        <f>IFERROR(IF(($CB245)&gt;0,($CE245*cfg_TroyOz)/($CB245),""),"")</f>
        <v/>
      </c>
      <c r="CO245" s="56">
        <f>IFERROR(IF(($BZ245)&gt;0,($CF245*cfg_TroyOz)/($BZ245),""),"")</f>
        <v/>
      </c>
      <c r="CP245" s="56">
        <f>IFERROR(IF(($CA245)&gt;0,($CG245*cfg_TroyOz)/($CA245),""),"")</f>
        <v/>
      </c>
      <c r="CQ245" s="56">
        <f>IFERROR(IF(($CB245)&gt;0,($CH245*cfg_TroyOz)/($CB245),""),"")</f>
        <v/>
      </c>
      <c r="CR245" s="67">
        <f>IFERROR(IF(($CC245)&gt;0,($CI245)/($CC245),""),"")</f>
        <v/>
      </c>
      <c r="CS245" s="67">
        <f>IFERROR(IF(($CD245)&gt;0,($CJ245)/($CD245),""),"")</f>
        <v/>
      </c>
      <c r="CT245" s="67">
        <f>IFERROR(IF(($CE245)&gt;0,($CK245)/($CE245),""),"")</f>
        <v/>
      </c>
      <c r="CU245" s="55">
        <f>SUMIFS(tblPlant[Gravity_Gold_oz],tblPlant[Date],$A245)</f>
        <v/>
      </c>
      <c r="CV245" s="55">
        <f>IF($B245=$B244,$CV244,0)+$CU245</f>
        <v/>
      </c>
      <c r="CW245" s="55">
        <f>$CW244+$CU245</f>
        <v/>
      </c>
      <c r="CX245" s="55">
        <f>SUMIFS(tblPlant[Gold_Poured_oz],tblPlant[Date],$A245)</f>
        <v/>
      </c>
      <c r="CY245" s="55">
        <f>IF($B245=$B244,$CY244,0)+$CX245</f>
        <v/>
      </c>
      <c r="CZ245" s="55">
        <f>$CZ244+$CX245</f>
        <v/>
      </c>
      <c r="DA245" s="57">
        <f>SUMIFS(tblPlant[Mill_Run_h],tblPlant[Date],$A245)</f>
        <v/>
      </c>
      <c r="DB245" s="57">
        <f>IF($B245=$B244,$DB244,0)+$DA245</f>
        <v/>
      </c>
      <c r="DC245" s="57">
        <f>$DC244+$DA245</f>
        <v/>
      </c>
      <c r="DD245" s="57">
        <f>SUMIFS(tblPlant[Mill_Planned_Maint_h],tblPlant[Date],$A245)</f>
        <v/>
      </c>
      <c r="DE245" s="57">
        <f>IF($B245=$B244,$DE244,0)+$DD245</f>
        <v/>
      </c>
      <c r="DF245" s="57">
        <f>$DF244+$DD245</f>
        <v/>
      </c>
      <c r="DG245" s="57">
        <f>SUMIFS(tblPlant[Mill_Unplanned_Down_h],tblPlant[Date],$A245)</f>
        <v/>
      </c>
      <c r="DH245" s="57">
        <f>IF($B245=$B244,$DH244,0)+$DG245</f>
        <v/>
      </c>
      <c r="DI245" s="57">
        <f>$DI244+$DG245</f>
        <v/>
      </c>
      <c r="DJ245" s="57">
        <f>COUNTIFS(tblPlant[Date],$A245,tblPlant[Mill_Run_h],"&lt;&gt;")*24</f>
        <v/>
      </c>
      <c r="DK245" s="57">
        <f>IF($B245=$B244,$DK244,0)+$DJ245</f>
        <v/>
      </c>
      <c r="DL245" s="57">
        <f>$DL244+$DJ245</f>
        <v/>
      </c>
      <c r="DM245" s="57">
        <f>SUMIFS(tblPlant[Crusher_Run_h],tblPlant[Date],$A245)</f>
        <v/>
      </c>
      <c r="DN245" s="57">
        <f>IF($B245=$B244,$DN244,0)+$DM245</f>
        <v/>
      </c>
      <c r="DO245" s="57">
        <f>$DO244+$DM245</f>
        <v/>
      </c>
      <c r="DP245" s="55">
        <f>IFERROR(IF(($DA245)&gt;0,($BZ245)/($DA245),""),"")</f>
        <v/>
      </c>
      <c r="DQ245" s="55">
        <f>IFERROR(IF(($DB245)&gt;0,($CA245)/($DB245),""),"")</f>
        <v/>
      </c>
      <c r="DR245" s="55">
        <f>IFERROR(IF(($DC245)&gt;0,($CB245)/($DC245),""),"")</f>
        <v/>
      </c>
      <c r="DS245" s="67">
        <f>IFERROR(IF(($DJ245)&gt;0,($DJ245-$DD245-$DG245)/($DJ245),""),"")</f>
        <v/>
      </c>
      <c r="DT245" s="67">
        <f>IFERROR(IF(($DK245)&gt;0,($DK245-$DE245-$DH245)/($DK245),""),"")</f>
        <v/>
      </c>
      <c r="DU245" s="67">
        <f>IFERROR(IF(($DL245)&gt;0,($DL245-$DF245-$DI245)/($DL245),""),"")</f>
        <v/>
      </c>
      <c r="DV245" s="67">
        <f>IFERROR(IF(($DJ245-$DD245-$DG245)&gt;0,($DA245)/($DJ245-$DD245-$DG245),""),"")</f>
        <v/>
      </c>
      <c r="DW245" s="67">
        <f>IFERROR(IF(($DK245-$DE245-$DH245)&gt;0,($DB245)/($DK245-$DE245-$DH245),""),"")</f>
        <v/>
      </c>
      <c r="DX245" s="67">
        <f>IFERROR(IF(($DL245-$DF245-$DI245)&gt;0,($DC245)/($DL245-$DF245-$DI245),""),"")</f>
        <v/>
      </c>
      <c r="DY245" s="55">
        <f>SUMIFS(tblPlant[Cyanide_kg],tblPlant[Date],$A245)</f>
        <v/>
      </c>
      <c r="DZ245" s="55">
        <f>IF($B245=$B244,$DZ244,0)+$DY245</f>
        <v/>
      </c>
      <c r="EA245" s="55">
        <f>$EA244+$DY245</f>
        <v/>
      </c>
      <c r="EB245" s="55">
        <f>SUMIFS(tblPlant[Lime_kg],tblPlant[Date],$A245)</f>
        <v/>
      </c>
      <c r="EC245" s="55">
        <f>IF($B245=$B244,$EC244,0)+$EB245</f>
        <v/>
      </c>
      <c r="ED245" s="55">
        <f>$ED244+$EB245</f>
        <v/>
      </c>
      <c r="EE245" s="55">
        <f>SUMIFS(tblPlant[Grinding_Media_kg],tblPlant[Date],$A245)</f>
        <v/>
      </c>
      <c r="EF245" s="55">
        <f>IF($B245=$B244,$EF244,0)+$EE245</f>
        <v/>
      </c>
      <c r="EG245" s="55">
        <f>$EG244+$EE245</f>
        <v/>
      </c>
      <c r="EH245" s="55">
        <f>SUMIFS(tblPlant[Power_kWh],tblPlant[Date],$A245)</f>
        <v/>
      </c>
      <c r="EI245" s="55">
        <f>IF($B245=$B244,$EI244,0)+$EH245</f>
        <v/>
      </c>
      <c r="EJ245" s="55">
        <f>$EJ244+$EH245</f>
        <v/>
      </c>
      <c r="EK245" s="55">
        <f>SUMIFS(tblPlant[Raw_Water_m3],tblPlant[Date],$A245)</f>
        <v/>
      </c>
      <c r="EL245" s="55">
        <f>IF($B245=$B244,$EL244,0)+$EK245</f>
        <v/>
      </c>
      <c r="EM245" s="55">
        <f>$EM244+$EK245</f>
        <v/>
      </c>
      <c r="EN245" s="56">
        <f>IFERROR(IF(($BZ245)&gt;0,($DY245)/($BZ245),""),"")</f>
        <v/>
      </c>
      <c r="EO245" s="56">
        <f>IFERROR(IF(($CA245)&gt;0,($DZ245)/($CA245),""),"")</f>
        <v/>
      </c>
      <c r="EP245" s="56">
        <f>IFERROR(IF(($CB245)&gt;0,($EA245)/($CB245),""),"")</f>
        <v/>
      </c>
      <c r="EQ245" s="56">
        <f>IFERROR(IF(($BZ245)&gt;0,($EB245)/($BZ245),""),"")</f>
        <v/>
      </c>
      <c r="ER245" s="56">
        <f>IFERROR(IF(($CA245)&gt;0,($EC245)/($CA245),""),"")</f>
        <v/>
      </c>
      <c r="ES245" s="56">
        <f>IFERROR(IF(($CB245)&gt;0,($ED245)/($CB245),""),"")</f>
        <v/>
      </c>
      <c r="ET245" s="56">
        <f>IFERROR(IF(($BZ245)&gt;0,($EE245)/($BZ245),""),"")</f>
        <v/>
      </c>
      <c r="EU245" s="56">
        <f>IFERROR(IF(($CA245)&gt;0,($EF245)/($CA245),""),"")</f>
        <v/>
      </c>
      <c r="EV245" s="56">
        <f>IFERROR(IF(($CB245)&gt;0,($EG245)/($CB245),""),"")</f>
        <v/>
      </c>
      <c r="EW245" s="76">
        <f>IFERROR(IF(($BZ245)&gt;0,($EH245)/($BZ245),""),"")</f>
        <v/>
      </c>
      <c r="EX245" s="76">
        <f>IFERROR(IF(($CA245)&gt;0,($EI245)/($CA245),""),"")</f>
        <v/>
      </c>
      <c r="EY245" s="76">
        <f>IFERROR(IF(($CB245)&gt;0,($EJ245)/($CB245),""),"")</f>
        <v/>
      </c>
      <c r="EZ245" s="56">
        <f>IFERROR(IF(($BZ245)&gt;0,($EK245)/($BZ245),""),"")</f>
        <v/>
      </c>
      <c r="FA245" s="56">
        <f>IFERROR(IF(($CA245)&gt;0,($EL245)/($CA245),""),"")</f>
        <v/>
      </c>
      <c r="FB245" s="56">
        <f>IFERROR(IF(($CB245)&gt;0,($EM245)/($CB245),""),"")</f>
        <v/>
      </c>
      <c r="FC245" s="55">
        <f>IF(SUMIFS(tblPlant[GIC_oz],tblPlant[Date],$A245)&gt;0,SUMIFS(tblPlant[GIC_oz],tblPlant[Date],$A245),"")</f>
        <v/>
      </c>
      <c r="FD245" s="55">
        <f>SUMIFS(tblGold[Gold_oz],tblGold[Date],$A245,tblGold[Type],"Shipment")</f>
        <v/>
      </c>
      <c r="FE245" s="55">
        <f>IF($B245=$B244,$FE244,0)+$FD245</f>
        <v/>
      </c>
      <c r="FF245" s="55">
        <f>$FF244+$FD245</f>
        <v/>
      </c>
      <c r="FG245" s="55">
        <f>SUMIFS(tblGold[Gold_oz],tblGold[Date],$A245,tblGold[Type],"Sale")</f>
        <v/>
      </c>
      <c r="FH245" s="55">
        <f>IF($B245=$B244,$FH244,0)+$FG245</f>
        <v/>
      </c>
      <c r="FI245" s="55">
        <f>$FI244+$FG245</f>
        <v/>
      </c>
      <c r="FJ245" s="55">
        <f>SUMIFS(tblGold[Dore_kg],tblGold[Date],$A245,tblGold[Type],"Shipment")</f>
        <v/>
      </c>
      <c r="FK245" s="55">
        <f>IF($B245=$B244,$FK244,0)+$FJ245</f>
        <v/>
      </c>
      <c r="FL245" s="55">
        <f>$FL244+$FJ245</f>
        <v/>
      </c>
      <c r="FM245" s="57">
        <f>SUMIFS(tblSafety[Hours_Total],tblSafety[Date],$A245)</f>
        <v/>
      </c>
      <c r="FN245" s="57">
        <f>IF($B245=$B244,$FN244,0)+$FM245</f>
        <v/>
      </c>
      <c r="FO245" s="57">
        <f>$FO244+$FM245</f>
        <v/>
      </c>
      <c r="FP245" s="62">
        <f>SUMIFS(tblSafety[Fatality],tblSafety[Date],$A245)</f>
        <v/>
      </c>
      <c r="FQ245" s="62">
        <f>IF($B245=$B244,$FQ244,0)+$FP245</f>
        <v/>
      </c>
      <c r="FR245" s="62">
        <f>$FR244+$FP245</f>
        <v/>
      </c>
      <c r="FS245" s="62">
        <f>SUMIFS(tblSafety[LTI],tblSafety[Date],$A245)</f>
        <v/>
      </c>
      <c r="FT245" s="62">
        <f>IF($B245=$B244,$FT244,0)+$FS245</f>
        <v/>
      </c>
      <c r="FU245" s="62">
        <f>$FU244+$FS245</f>
        <v/>
      </c>
      <c r="FV245" s="62">
        <f>SUMIFS(tblSafety[RWI],tblSafety[Date],$A245)</f>
        <v/>
      </c>
      <c r="FW245" s="62">
        <f>IF($B245=$B244,$FW244,0)+$FV245</f>
        <v/>
      </c>
      <c r="FX245" s="62">
        <f>$FX244+$FV245</f>
        <v/>
      </c>
      <c r="FY245" s="62">
        <f>SUMIFS(tblSafety[MTI],tblSafety[Date],$A245)</f>
        <v/>
      </c>
      <c r="FZ245" s="62">
        <f>IF($B245=$B244,$FZ244,0)+$FY245</f>
        <v/>
      </c>
      <c r="GA245" s="62">
        <f>$GA244+$FY245</f>
        <v/>
      </c>
      <c r="GB245" s="62">
        <f>SUMIFS(tblSafety[FAI],tblSafety[Date],$A245)</f>
        <v/>
      </c>
      <c r="GC245" s="62">
        <f>IF($B245=$B244,$GC244,0)+$GB245</f>
        <v/>
      </c>
      <c r="GD245" s="62">
        <f>$GD244+$GB245</f>
        <v/>
      </c>
      <c r="GE245" s="62">
        <f>SUMIFS(tblSafety[Recordables],tblSafety[Date],$A245)</f>
        <v/>
      </c>
      <c r="GF245" s="62">
        <f>IF($B245=$B244,$GF244,0)+$GE245</f>
        <v/>
      </c>
      <c r="GG245" s="62">
        <f>$GG244+$GE245</f>
        <v/>
      </c>
      <c r="GH245" s="62">
        <f>SUMIFS(tblSafety[Near_Miss],tblSafety[Date],$A245)</f>
        <v/>
      </c>
      <c r="GI245" s="62">
        <f>IF($B245=$B244,$GI244,0)+$GH245</f>
        <v/>
      </c>
      <c r="GJ245" s="62">
        <f>$GJ244+$GH245</f>
        <v/>
      </c>
      <c r="GK245" s="62">
        <f>SUMIFS(tblSafety[Hazard_Reports],tblSafety[Date],$A245)</f>
        <v/>
      </c>
      <c r="GL245" s="62">
        <f>IF($B245=$B244,$GL244,0)+$GK245</f>
        <v/>
      </c>
      <c r="GM245" s="62">
        <f>$GM244+$GK245</f>
        <v/>
      </c>
      <c r="GN245" s="62">
        <f>SUMIFS(tblSafety[HPI],tblSafety[Date],$A245)</f>
        <v/>
      </c>
      <c r="GO245" s="62">
        <f>IF($B245=$B244,$GO244,0)+$GN245</f>
        <v/>
      </c>
      <c r="GP245" s="62">
        <f>$GP244+$GN245</f>
        <v/>
      </c>
      <c r="GQ245" s="62">
        <f>SUMIFS(tblSafety[Env_Incidents],tblSafety[Date],$A245)</f>
        <v/>
      </c>
      <c r="GR245" s="62">
        <f>IF($B245=$B244,$GR244,0)+$GQ245</f>
        <v/>
      </c>
      <c r="GS245" s="62">
        <f>$GS244+$GQ245</f>
        <v/>
      </c>
      <c r="GT245" s="62">
        <f>SUMIFS(tblSafety[Community_Incidents],tblSafety[Date],$A245)</f>
        <v/>
      </c>
      <c r="GU245" s="62">
        <f>IF($B245=$B244,$GU244,0)+$GT245</f>
        <v/>
      </c>
      <c r="GV245" s="62">
        <f>$GV244+$GT245</f>
        <v/>
      </c>
      <c r="GW245" s="62">
        <f>SUMIFS(tblSafety[Vehicle_Incidents],tblSafety[Date],$A245)</f>
        <v/>
      </c>
      <c r="GX245" s="62">
        <f>IF($B245=$B244,$GX244,0)+$GW245</f>
        <v/>
      </c>
      <c r="GY245" s="62">
        <f>$GY244+$GW245</f>
        <v/>
      </c>
      <c r="GZ245" s="62">
        <f>SUMIFS(tblSafety[Toolbox_Talks],tblSafety[Date],$A245)</f>
        <v/>
      </c>
      <c r="HA245" s="62">
        <f>IF($B245=$B244,$HA244,0)+$GZ245</f>
        <v/>
      </c>
      <c r="HB245" s="62">
        <f>$HB244+$GZ245</f>
        <v/>
      </c>
      <c r="HC245" s="62">
        <f>SUMIFS(tblSafety[Inspections],tblSafety[Date],$A245)</f>
        <v/>
      </c>
      <c r="HD245" s="62">
        <f>IF($B245=$B244,$HD244,0)+$HC245</f>
        <v/>
      </c>
      <c r="HE245" s="62">
        <f>$HE244+$HC245</f>
        <v/>
      </c>
      <c r="HF245" s="56">
        <f>IFERROR((SUMIFS(tblSafety[Recordables],tblSafety[Date],"&gt;="&amp;EDATE($E245,-12),tblSafety[Date],"&lt;="&amp;$A245)+SUMIFS(tblSafetyHistory[Recordables],tblSafetyHistory[Month],"&gt;="&amp;EDATE($E245,-12),tblSafetyHistory[Month],"&lt;"&amp;cfg_YearStart))/(SUMIFS(tblSafety[Hours_Total],tblSafety[Date],"&gt;="&amp;EDATE($E245,-12),tblSafety[Date],"&lt;="&amp;$A245)+SUMIFS(tblSafetyHistory[Hours_Total],tblSafetyHistory[Month],"&gt;="&amp;EDATE($E245,-12),tblSafetyHistory[Month],"&lt;"&amp;cfg_YearStart))*1000000,"")</f>
        <v/>
      </c>
      <c r="HG245" s="56">
        <f>IFERROR((SUMIFS(tblSafety[LTI],tblSafety[Date],"&gt;="&amp;EDATE($E245,-12),tblSafety[Date],"&lt;="&amp;$A245)+SUMIFS(tblSafetyHistory[LTI],tblSafetyHistory[Month],"&gt;="&amp;EDATE($E245,-12),tblSafetyHistory[Month],"&lt;"&amp;cfg_YearStart))/(SUMIFS(tblSafety[Hours_Total],tblSafety[Date],"&gt;="&amp;EDATE($E245,-12),tblSafety[Date],"&lt;="&amp;$A245)+SUMIFS(tblSafetyHistory[Hours_Total],tblSafetyHistory[Month],"&gt;="&amp;EDATE($E245,-12),tblSafetyHistory[Month],"&lt;"&amp;cfg_YearStart))*1000000,"")</f>
        <v/>
      </c>
      <c r="HH245" s="62">
        <f>IF(MAX(N(cfg_PriorLTIDate),_xlfn.MAXIFS(tblSafety[Date],tblSafety[LTI],"&gt;0",tblSafety[Date],"&lt;="&amp;$A245))=0,"",$A245-MAX(N(cfg_PriorLTIDate),_xlfn.MAXIFS(tblSafety[Date],tblSafety[LTI],"&gt;0",tblSafety[Date],"&lt;="&amp;$A245)))</f>
        <v/>
      </c>
      <c r="HI245" s="55">
        <f>SUMIFS(tblBudget[Ore_Mined_t],tblBudget[Month],$E245)</f>
        <v/>
      </c>
      <c r="HJ245" s="55">
        <f>$HI245*$C245/$D245</f>
        <v/>
      </c>
      <c r="HK245" s="55">
        <f>SUMIFS(tblBudget[Ore_Mined_t],tblBudget[Month],"&lt;"&amp;$E245)+$HJ245</f>
        <v/>
      </c>
      <c r="HL245" s="55">
        <f>SUMIFS(tblBudget[Ore_oz],tblBudget[Month],$E245)</f>
        <v/>
      </c>
      <c r="HM245" s="55">
        <f>$HL245*$C245/$D245</f>
        <v/>
      </c>
      <c r="HN245" s="55">
        <f>SUMIFS(tblBudget[Ore_oz],tblBudget[Month],"&lt;"&amp;$E245)+$HM245</f>
        <v/>
      </c>
      <c r="HO245" s="56">
        <f>IFERROR(IF(($HI245)&gt;0,($HL245*cfg_TroyOz)/($HI245),""),"")</f>
        <v/>
      </c>
      <c r="HP245" s="56">
        <f>IFERROR(IF(($HJ245)&gt;0,($HM245*cfg_TroyOz)/($HJ245),""),"")</f>
        <v/>
      </c>
      <c r="HQ245" s="56">
        <f>IFERROR(IF(($HK245)&gt;0,($HN245*cfg_TroyOz)/($HK245),""),"")</f>
        <v/>
      </c>
      <c r="HR245" s="55">
        <f>SUMIFS(tblBudget[Waste_t],tblBudget[Month],$E245)</f>
        <v/>
      </c>
      <c r="HS245" s="55">
        <f>$HR245*$C245/$D245</f>
        <v/>
      </c>
      <c r="HT245" s="55">
        <f>SUMIFS(tblBudget[Waste_t],tblBudget[Month],"&lt;"&amp;$E245)+$HS245</f>
        <v/>
      </c>
      <c r="HU245" s="55">
        <f>SUMIFS(tblBudget[TMM_t],tblBudget[Month],$E245)</f>
        <v/>
      </c>
      <c r="HV245" s="55">
        <f>$HU245*$C245/$D245</f>
        <v/>
      </c>
      <c r="HW245" s="55">
        <f>SUMIFS(tblBudget[TMM_t],tblBudget[Month],"&lt;"&amp;$E245)+$HV245</f>
        <v/>
      </c>
      <c r="HX245" s="56">
        <f>IFERROR(IF(($HI245)&gt;0,($HR245)/($HI245),""),"")</f>
        <v/>
      </c>
      <c r="HY245" s="56">
        <f>IFERROR(IF(($HJ245)&gt;0,($HS245)/($HJ245),""),"")</f>
        <v/>
      </c>
      <c r="HZ245" s="56">
        <f>IFERROR(IF(($HK245)&gt;0,($HT245)/($HK245),""),"")</f>
        <v/>
      </c>
      <c r="IA245" s="55">
        <f>SUMIFS(tblBudget[Drill_m],tblBudget[Month],$E245)</f>
        <v/>
      </c>
      <c r="IB245" s="55">
        <f>$IA245*$C245/$D245</f>
        <v/>
      </c>
      <c r="IC245" s="55">
        <f>SUMIFS(tblBudget[Drill_m],tblBudget[Month],"&lt;"&amp;$E245)+$IB245</f>
        <v/>
      </c>
      <c r="ID245" s="55">
        <f>SUMIFS(tblBudget[Diesel_L],tblBudget[Month],$E245)</f>
        <v/>
      </c>
      <c r="IE245" s="55">
        <f>$ID245*$C245/$D245</f>
        <v/>
      </c>
      <c r="IF245" s="55">
        <f>SUMIFS(tblBudget[Diesel_L],tblBudget[Month],"&lt;"&amp;$E245)+$IE245</f>
        <v/>
      </c>
      <c r="IG245" s="55">
        <f>SUMIFS(tblBudget[Milled_t],tblBudget[Month],$E245)</f>
        <v/>
      </c>
      <c r="IH245" s="55">
        <f>$IG245*$C245/$D245</f>
        <v/>
      </c>
      <c r="II245" s="55">
        <f>SUMIFS(tblBudget[Milled_t],tblBudget[Month],"&lt;"&amp;$E245)+$IH245</f>
        <v/>
      </c>
      <c r="IJ245" s="55">
        <f>SUMIFS(tblBudget[Feed_oz],tblBudget[Month],$E245)</f>
        <v/>
      </c>
      <c r="IK245" s="55">
        <f>$IJ245*$C245/$D245</f>
        <v/>
      </c>
      <c r="IL245" s="55">
        <f>SUMIFS(tblBudget[Feed_oz],tblBudget[Month],"&lt;"&amp;$E245)+$IK245</f>
        <v/>
      </c>
      <c r="IM245" s="55">
        <f>SUMIFS(tblBudget[Recovered_oz],tblBudget[Month],$E245)</f>
        <v/>
      </c>
      <c r="IN245" s="55">
        <f>$IM245*$C245/$D245</f>
        <v/>
      </c>
      <c r="IO245" s="55">
        <f>SUMIFS(tblBudget[Recovered_oz],tblBudget[Month],"&lt;"&amp;$E245)+$IN245</f>
        <v/>
      </c>
      <c r="IP245" s="56">
        <f>IFERROR(IF(($IG245)&gt;0,($IJ245*cfg_TroyOz)/($IG245),""),"")</f>
        <v/>
      </c>
      <c r="IQ245" s="56">
        <f>IFERROR(IF(($IH245)&gt;0,($IK245*cfg_TroyOz)/($IH245),""),"")</f>
        <v/>
      </c>
      <c r="IR245" s="56">
        <f>IFERROR(IF(($II245)&gt;0,($IL245*cfg_TroyOz)/($II245),""),"")</f>
        <v/>
      </c>
      <c r="IS245" s="67">
        <f>IFERROR(IF(($IJ245)&gt;0,($IM245)/($IJ245),""),"")</f>
        <v/>
      </c>
      <c r="IT245" s="67">
        <f>IFERROR(IF(($IK245)&gt;0,($IN245)/($IK245),""),"")</f>
        <v/>
      </c>
      <c r="IU245" s="67">
        <f>IFERROR(IF(($IL245)&gt;0,($IO245)/($IL245),""),"")</f>
        <v/>
      </c>
      <c r="IV245" s="55">
        <f>SUMIFS(tblBudget[Gold_Poured_oz],tblBudget[Month],$E245)</f>
        <v/>
      </c>
      <c r="IW245" s="55">
        <f>$IV245*$C245/$D245</f>
        <v/>
      </c>
      <c r="IX245" s="55">
        <f>SUMIFS(tblBudget[Gold_Poured_oz],tblBudget[Month],"&lt;"&amp;$E245)+$IW245</f>
        <v/>
      </c>
      <c r="IY245" s="57">
        <f>SUMIFS(tblBudget[Hours_Worked],tblBudget[Month],$E245)</f>
        <v/>
      </c>
      <c r="IZ245" s="57">
        <f>$IY245*$C245/$D245</f>
        <v/>
      </c>
      <c r="JA245" s="57">
        <f>SUMIFS(tblBudget[Hours_Worked],tblBudget[Month],"&lt;"&amp;$E245)+$IZ245</f>
        <v/>
      </c>
    </row>
    <row r="246">
      <c r="A246" s="54" t="n">
        <v>46267</v>
      </c>
      <c r="B246">
        <f>MONTH($A246)</f>
        <v/>
      </c>
      <c r="C246">
        <f>DAY($A246)</f>
        <v/>
      </c>
      <c r="D246">
        <f>DAY(EOMONTH($A246,0))</f>
        <v/>
      </c>
      <c r="E246" s="54">
        <f>DATE(YEAR($A246),MONTH($A246),1)</f>
        <v/>
      </c>
      <c r="F246" s="55">
        <f>SUMIFS(tblMovement[Tonnes_t],tblMovement[Date],$A246,tblMovement[Is_Ore],1,tblMovement[Source_Type],"Pit")</f>
        <v/>
      </c>
      <c r="G246" s="55">
        <f>IF($B246=$B245,$G245,0)+$F246</f>
        <v/>
      </c>
      <c r="H246" s="55">
        <f>$H245+$F246</f>
        <v/>
      </c>
      <c r="I246" s="55">
        <f>SUMIFS(tblMovement[Ore_oz],tblMovement[Date],$A246,tblMovement[Source_Type],"Pit")</f>
        <v/>
      </c>
      <c r="J246" s="55">
        <f>IF($B246=$B245,$J245,0)+$I246</f>
        <v/>
      </c>
      <c r="K246" s="55">
        <f>$K245+$I246</f>
        <v/>
      </c>
      <c r="L246" s="56">
        <f>IFERROR(IF(($F246)&gt;0,($I246*cfg_TroyOz)/($F246),""),"")</f>
        <v/>
      </c>
      <c r="M246" s="56">
        <f>IFERROR(IF(($G246)&gt;0,($J246*cfg_TroyOz)/($G246),""),"")</f>
        <v/>
      </c>
      <c r="N246" s="56">
        <f>IFERROR(IF(($H246)&gt;0,($K246*cfg_TroyOz)/($H246),""),"")</f>
        <v/>
      </c>
      <c r="O246" s="55">
        <f>SUMIFS(tblMovement[Tonnes_t],tblMovement[Date],$A246,tblMovement[Is_Ore],0,tblMovement[Source_Type],"Pit")</f>
        <v/>
      </c>
      <c r="P246" s="55">
        <f>IF($B246=$B245,$P245,0)+$O246</f>
        <v/>
      </c>
      <c r="Q246" s="55">
        <f>$Q245+$O246</f>
        <v/>
      </c>
      <c r="R246" s="55">
        <f>$F246+$O246</f>
        <v/>
      </c>
      <c r="S246" s="55">
        <f>IF($B246=$B245,$S245,0)+$R246</f>
        <v/>
      </c>
      <c r="T246" s="55">
        <f>$T245+$R246</f>
        <v/>
      </c>
      <c r="U246" s="56">
        <f>IFERROR(IF(($F246)&gt;0,($O246)/($F246),""),"")</f>
        <v/>
      </c>
      <c r="V246" s="56">
        <f>IFERROR(IF(($G246)&gt;0,($P246)/($G246),""),"")</f>
        <v/>
      </c>
      <c r="W246" s="56">
        <f>IFERROR(IF(($H246)&gt;0,($Q246)/($H246),""),"")</f>
        <v/>
      </c>
      <c r="X246" s="55">
        <f>SUMIFS(tblMovement[Tonnes_t],tblMovement[Date],$A246,tblMovement[Source_Type],"Stockpile")</f>
        <v/>
      </c>
      <c r="Y246" s="55">
        <f>IF($B246=$B245,$Y245,0)+$X246</f>
        <v/>
      </c>
      <c r="Z246" s="55">
        <f>$Z245+$X246</f>
        <v/>
      </c>
      <c r="AA246" s="55">
        <f>SUMIFS(tblMiningDaily[Drill_m],tblMiningDaily[Date],$A246)</f>
        <v/>
      </c>
      <c r="AB246" s="55">
        <f>IF($B246=$B245,$AB245,0)+$AA246</f>
        <v/>
      </c>
      <c r="AC246" s="55">
        <f>$AC245+$AA246</f>
        <v/>
      </c>
      <c r="AD246" s="55">
        <f>SUMIFS(tblMiningDaily[Blast_t],tblMiningDaily[Date],$A246)</f>
        <v/>
      </c>
      <c r="AE246" s="55">
        <f>IF($B246=$B245,$AE245,0)+$AD246</f>
        <v/>
      </c>
      <c r="AF246" s="55">
        <f>$AF245+$AD246</f>
        <v/>
      </c>
      <c r="AG246" s="55">
        <f>SUMIFS(tblMiningDaily[Explosives_kg],tblMiningDaily[Date],$A246)</f>
        <v/>
      </c>
      <c r="AH246" s="55">
        <f>IF($B246=$B245,$AH245,0)+$AG246</f>
        <v/>
      </c>
      <c r="AI246" s="55">
        <f>$AI245+$AG246</f>
        <v/>
      </c>
      <c r="AJ246" s="56">
        <f>IFERROR(IF(($AD246)&gt;0,($AG246)/($AD246),""),"")</f>
        <v/>
      </c>
      <c r="AK246" s="56">
        <f>IFERROR(IF(($AE246)&gt;0,($AH246)/($AE246),""),"")</f>
        <v/>
      </c>
      <c r="AL246" s="56">
        <f>IFERROR(IF(($AF246)&gt;0,($AI246)/($AF246),""),"")</f>
        <v/>
      </c>
      <c r="AM246" s="55">
        <f>SUMIFS(tblMiningDaily[Diesel_L],tblMiningDaily[Date],$A246)</f>
        <v/>
      </c>
      <c r="AN246" s="55">
        <f>IF($B246=$B245,$AN245,0)+$AM246</f>
        <v/>
      </c>
      <c r="AO246" s="55">
        <f>$AO245+$AM246</f>
        <v/>
      </c>
      <c r="AP246" s="55">
        <f>SUMIFS(tblMiningDaily[Dewatering_m3],tblMiningDaily[Date],$A246)</f>
        <v/>
      </c>
      <c r="AQ246" s="55">
        <f>IF($B246=$B245,$AQ245,0)+$AP246</f>
        <v/>
      </c>
      <c r="AR246" s="55">
        <f>$AR245+$AP246</f>
        <v/>
      </c>
      <c r="AS246" s="57">
        <f>SUMIFS(tblFleet[Calendar_h],tblFleet[Date],$A246,tblFleet[Equipment_Class],"Excavator")</f>
        <v/>
      </c>
      <c r="AT246" s="57">
        <f>IF($B246=$B245,$AT245,0)+$AS246</f>
        <v/>
      </c>
      <c r="AU246" s="57">
        <f>$AU245+$AS246</f>
        <v/>
      </c>
      <c r="AV246" s="57">
        <f>SUMIFS(tblFleet[Available_h],tblFleet[Date],$A246,tblFleet[Equipment_Class],"Excavator")</f>
        <v/>
      </c>
      <c r="AW246" s="57">
        <f>IF($B246=$B245,$AW245,0)+$AV246</f>
        <v/>
      </c>
      <c r="AX246" s="57">
        <f>$AX245+$AV246</f>
        <v/>
      </c>
      <c r="AY246" s="57">
        <f>SUMIFS(tblFleet[Operating_h],tblFleet[Date],$A246,tblFleet[Equipment_Class],"Excavator")</f>
        <v/>
      </c>
      <c r="AZ246" s="57">
        <f>IF($B246=$B245,$AZ245,0)+$AY246</f>
        <v/>
      </c>
      <c r="BA246" s="57">
        <f>$BA245+$AY246</f>
        <v/>
      </c>
      <c r="BB246" s="67">
        <f>IFERROR(IF(($AS246)&gt;0,($AV246)/($AS246),""),"")</f>
        <v/>
      </c>
      <c r="BC246" s="67">
        <f>IFERROR(IF(($AT246)&gt;0,($AW246)/($AT246),""),"")</f>
        <v/>
      </c>
      <c r="BD246" s="67">
        <f>IFERROR(IF(($AU246)&gt;0,($AX246)/($AU246),""),"")</f>
        <v/>
      </c>
      <c r="BE246" s="67">
        <f>IFERROR(IF(($AV246)&gt;0,($AY246)/($AV246),""),"")</f>
        <v/>
      </c>
      <c r="BF246" s="67">
        <f>IFERROR(IF(($AW246)&gt;0,($AZ246)/($AW246),""),"")</f>
        <v/>
      </c>
      <c r="BG246" s="67">
        <f>IFERROR(IF(($AX246)&gt;0,($BA246)/($AX246),""),"")</f>
        <v/>
      </c>
      <c r="BH246" s="57">
        <f>SUMIFS(tblFleet[Calendar_h],tblFleet[Date],$A246,tblFleet[Equipment_Class],"Haul Truck")</f>
        <v/>
      </c>
      <c r="BI246" s="57">
        <f>IF($B246=$B245,$BI245,0)+$BH246</f>
        <v/>
      </c>
      <c r="BJ246" s="57">
        <f>$BJ245+$BH246</f>
        <v/>
      </c>
      <c r="BK246" s="57">
        <f>SUMIFS(tblFleet[Available_h],tblFleet[Date],$A246,tblFleet[Equipment_Class],"Haul Truck")</f>
        <v/>
      </c>
      <c r="BL246" s="57">
        <f>IF($B246=$B245,$BL245,0)+$BK246</f>
        <v/>
      </c>
      <c r="BM246" s="57">
        <f>$BM245+$BK246</f>
        <v/>
      </c>
      <c r="BN246" s="57">
        <f>SUMIFS(tblFleet[Operating_h],tblFleet[Date],$A246,tblFleet[Equipment_Class],"Haul Truck")</f>
        <v/>
      </c>
      <c r="BO246" s="57">
        <f>IF($B246=$B245,$BO245,0)+$BN246</f>
        <v/>
      </c>
      <c r="BP246" s="57">
        <f>$BP245+$BN246</f>
        <v/>
      </c>
      <c r="BQ246" s="67">
        <f>IFERROR(IF(($BH246)&gt;0,($BK246)/($BH246),""),"")</f>
        <v/>
      </c>
      <c r="BR246" s="67">
        <f>IFERROR(IF(($BI246)&gt;0,($BL246)/($BI246),""),"")</f>
        <v/>
      </c>
      <c r="BS246" s="67">
        <f>IFERROR(IF(($BJ246)&gt;0,($BM246)/($BJ246),""),"")</f>
        <v/>
      </c>
      <c r="BT246" s="67">
        <f>IFERROR(IF(($BK246)&gt;0,($BN246)/($BK246),""),"")</f>
        <v/>
      </c>
      <c r="BU246" s="67">
        <f>IFERROR(IF(($BL246)&gt;0,($BO246)/($BL246),""),"")</f>
        <v/>
      </c>
      <c r="BV246" s="67">
        <f>IFERROR(IF(($BM246)&gt;0,($BP246)/($BM246),""),"")</f>
        <v/>
      </c>
      <c r="BW246" s="55">
        <f>SUMIFS(tblPlant[Crushed_t],tblPlant[Date],$A246)</f>
        <v/>
      </c>
      <c r="BX246" s="55">
        <f>IF($B246=$B245,$BX245,0)+$BW246</f>
        <v/>
      </c>
      <c r="BY246" s="55">
        <f>$BY245+$BW246</f>
        <v/>
      </c>
      <c r="BZ246" s="55">
        <f>SUMIFS(tblPlant[Milled_t],tblPlant[Date],$A246)</f>
        <v/>
      </c>
      <c r="CA246" s="55">
        <f>IF($B246=$B245,$CA245,0)+$BZ246</f>
        <v/>
      </c>
      <c r="CB246" s="55">
        <f>$CB245+$BZ246</f>
        <v/>
      </c>
      <c r="CC246" s="55">
        <f>SUMIFS(tblPlant[Feed_oz],tblPlant[Date],$A246)</f>
        <v/>
      </c>
      <c r="CD246" s="55">
        <f>IF($B246=$B245,$CD245,0)+$CC246</f>
        <v/>
      </c>
      <c r="CE246" s="55">
        <f>$CE245+$CC246</f>
        <v/>
      </c>
      <c r="CF246" s="55">
        <f>SUMIFS(tblPlant[Tails_oz],tblPlant[Date],$A246)</f>
        <v/>
      </c>
      <c r="CG246" s="55">
        <f>IF($B246=$B245,$CG245,0)+$CF246</f>
        <v/>
      </c>
      <c r="CH246" s="55">
        <f>$CH245+$CF246</f>
        <v/>
      </c>
      <c r="CI246" s="55">
        <f>SUMIFS(tblPlant[Recovered_oz],tblPlant[Date],$A246)</f>
        <v/>
      </c>
      <c r="CJ246" s="55">
        <f>IF($B246=$B245,$CJ245,0)+$CI246</f>
        <v/>
      </c>
      <c r="CK246" s="55">
        <f>$CK245+$CI246</f>
        <v/>
      </c>
      <c r="CL246" s="56">
        <f>IFERROR(IF(($BZ246)&gt;0,($CC246*cfg_TroyOz)/($BZ246),""),"")</f>
        <v/>
      </c>
      <c r="CM246" s="56">
        <f>IFERROR(IF(($CA246)&gt;0,($CD246*cfg_TroyOz)/($CA246),""),"")</f>
        <v/>
      </c>
      <c r="CN246" s="56">
        <f>IFERROR(IF(($CB246)&gt;0,($CE246*cfg_TroyOz)/($CB246),""),"")</f>
        <v/>
      </c>
      <c r="CO246" s="56">
        <f>IFERROR(IF(($BZ246)&gt;0,($CF246*cfg_TroyOz)/($BZ246),""),"")</f>
        <v/>
      </c>
      <c r="CP246" s="56">
        <f>IFERROR(IF(($CA246)&gt;0,($CG246*cfg_TroyOz)/($CA246),""),"")</f>
        <v/>
      </c>
      <c r="CQ246" s="56">
        <f>IFERROR(IF(($CB246)&gt;0,($CH246*cfg_TroyOz)/($CB246),""),"")</f>
        <v/>
      </c>
      <c r="CR246" s="67">
        <f>IFERROR(IF(($CC246)&gt;0,($CI246)/($CC246),""),"")</f>
        <v/>
      </c>
      <c r="CS246" s="67">
        <f>IFERROR(IF(($CD246)&gt;0,($CJ246)/($CD246),""),"")</f>
        <v/>
      </c>
      <c r="CT246" s="67">
        <f>IFERROR(IF(($CE246)&gt;0,($CK246)/($CE246),""),"")</f>
        <v/>
      </c>
      <c r="CU246" s="55">
        <f>SUMIFS(tblPlant[Gravity_Gold_oz],tblPlant[Date],$A246)</f>
        <v/>
      </c>
      <c r="CV246" s="55">
        <f>IF($B246=$B245,$CV245,0)+$CU246</f>
        <v/>
      </c>
      <c r="CW246" s="55">
        <f>$CW245+$CU246</f>
        <v/>
      </c>
      <c r="CX246" s="55">
        <f>SUMIFS(tblPlant[Gold_Poured_oz],tblPlant[Date],$A246)</f>
        <v/>
      </c>
      <c r="CY246" s="55">
        <f>IF($B246=$B245,$CY245,0)+$CX246</f>
        <v/>
      </c>
      <c r="CZ246" s="55">
        <f>$CZ245+$CX246</f>
        <v/>
      </c>
      <c r="DA246" s="57">
        <f>SUMIFS(tblPlant[Mill_Run_h],tblPlant[Date],$A246)</f>
        <v/>
      </c>
      <c r="DB246" s="57">
        <f>IF($B246=$B245,$DB245,0)+$DA246</f>
        <v/>
      </c>
      <c r="DC246" s="57">
        <f>$DC245+$DA246</f>
        <v/>
      </c>
      <c r="DD246" s="57">
        <f>SUMIFS(tblPlant[Mill_Planned_Maint_h],tblPlant[Date],$A246)</f>
        <v/>
      </c>
      <c r="DE246" s="57">
        <f>IF($B246=$B245,$DE245,0)+$DD246</f>
        <v/>
      </c>
      <c r="DF246" s="57">
        <f>$DF245+$DD246</f>
        <v/>
      </c>
      <c r="DG246" s="57">
        <f>SUMIFS(tblPlant[Mill_Unplanned_Down_h],tblPlant[Date],$A246)</f>
        <v/>
      </c>
      <c r="DH246" s="57">
        <f>IF($B246=$B245,$DH245,0)+$DG246</f>
        <v/>
      </c>
      <c r="DI246" s="57">
        <f>$DI245+$DG246</f>
        <v/>
      </c>
      <c r="DJ246" s="57">
        <f>COUNTIFS(tblPlant[Date],$A246,tblPlant[Mill_Run_h],"&lt;&gt;")*24</f>
        <v/>
      </c>
      <c r="DK246" s="57">
        <f>IF($B246=$B245,$DK245,0)+$DJ246</f>
        <v/>
      </c>
      <c r="DL246" s="57">
        <f>$DL245+$DJ246</f>
        <v/>
      </c>
      <c r="DM246" s="57">
        <f>SUMIFS(tblPlant[Crusher_Run_h],tblPlant[Date],$A246)</f>
        <v/>
      </c>
      <c r="DN246" s="57">
        <f>IF($B246=$B245,$DN245,0)+$DM246</f>
        <v/>
      </c>
      <c r="DO246" s="57">
        <f>$DO245+$DM246</f>
        <v/>
      </c>
      <c r="DP246" s="55">
        <f>IFERROR(IF(($DA246)&gt;0,($BZ246)/($DA246),""),"")</f>
        <v/>
      </c>
      <c r="DQ246" s="55">
        <f>IFERROR(IF(($DB246)&gt;0,($CA246)/($DB246),""),"")</f>
        <v/>
      </c>
      <c r="DR246" s="55">
        <f>IFERROR(IF(($DC246)&gt;0,($CB246)/($DC246),""),"")</f>
        <v/>
      </c>
      <c r="DS246" s="67">
        <f>IFERROR(IF(($DJ246)&gt;0,($DJ246-$DD246-$DG246)/($DJ246),""),"")</f>
        <v/>
      </c>
      <c r="DT246" s="67">
        <f>IFERROR(IF(($DK246)&gt;0,($DK246-$DE246-$DH246)/($DK246),""),"")</f>
        <v/>
      </c>
      <c r="DU246" s="67">
        <f>IFERROR(IF(($DL246)&gt;0,($DL246-$DF246-$DI246)/($DL246),""),"")</f>
        <v/>
      </c>
      <c r="DV246" s="67">
        <f>IFERROR(IF(($DJ246-$DD246-$DG246)&gt;0,($DA246)/($DJ246-$DD246-$DG246),""),"")</f>
        <v/>
      </c>
      <c r="DW246" s="67">
        <f>IFERROR(IF(($DK246-$DE246-$DH246)&gt;0,($DB246)/($DK246-$DE246-$DH246),""),"")</f>
        <v/>
      </c>
      <c r="DX246" s="67">
        <f>IFERROR(IF(($DL246-$DF246-$DI246)&gt;0,($DC246)/($DL246-$DF246-$DI246),""),"")</f>
        <v/>
      </c>
      <c r="DY246" s="55">
        <f>SUMIFS(tblPlant[Cyanide_kg],tblPlant[Date],$A246)</f>
        <v/>
      </c>
      <c r="DZ246" s="55">
        <f>IF($B246=$B245,$DZ245,0)+$DY246</f>
        <v/>
      </c>
      <c r="EA246" s="55">
        <f>$EA245+$DY246</f>
        <v/>
      </c>
      <c r="EB246" s="55">
        <f>SUMIFS(tblPlant[Lime_kg],tblPlant[Date],$A246)</f>
        <v/>
      </c>
      <c r="EC246" s="55">
        <f>IF($B246=$B245,$EC245,0)+$EB246</f>
        <v/>
      </c>
      <c r="ED246" s="55">
        <f>$ED245+$EB246</f>
        <v/>
      </c>
      <c r="EE246" s="55">
        <f>SUMIFS(tblPlant[Grinding_Media_kg],tblPlant[Date],$A246)</f>
        <v/>
      </c>
      <c r="EF246" s="55">
        <f>IF($B246=$B245,$EF245,0)+$EE246</f>
        <v/>
      </c>
      <c r="EG246" s="55">
        <f>$EG245+$EE246</f>
        <v/>
      </c>
      <c r="EH246" s="55">
        <f>SUMIFS(tblPlant[Power_kWh],tblPlant[Date],$A246)</f>
        <v/>
      </c>
      <c r="EI246" s="55">
        <f>IF($B246=$B245,$EI245,0)+$EH246</f>
        <v/>
      </c>
      <c r="EJ246" s="55">
        <f>$EJ245+$EH246</f>
        <v/>
      </c>
      <c r="EK246" s="55">
        <f>SUMIFS(tblPlant[Raw_Water_m3],tblPlant[Date],$A246)</f>
        <v/>
      </c>
      <c r="EL246" s="55">
        <f>IF($B246=$B245,$EL245,0)+$EK246</f>
        <v/>
      </c>
      <c r="EM246" s="55">
        <f>$EM245+$EK246</f>
        <v/>
      </c>
      <c r="EN246" s="56">
        <f>IFERROR(IF(($BZ246)&gt;0,($DY246)/($BZ246),""),"")</f>
        <v/>
      </c>
      <c r="EO246" s="56">
        <f>IFERROR(IF(($CA246)&gt;0,($DZ246)/($CA246),""),"")</f>
        <v/>
      </c>
      <c r="EP246" s="56">
        <f>IFERROR(IF(($CB246)&gt;0,($EA246)/($CB246),""),"")</f>
        <v/>
      </c>
      <c r="EQ246" s="56">
        <f>IFERROR(IF(($BZ246)&gt;0,($EB246)/($BZ246),""),"")</f>
        <v/>
      </c>
      <c r="ER246" s="56">
        <f>IFERROR(IF(($CA246)&gt;0,($EC246)/($CA246),""),"")</f>
        <v/>
      </c>
      <c r="ES246" s="56">
        <f>IFERROR(IF(($CB246)&gt;0,($ED246)/($CB246),""),"")</f>
        <v/>
      </c>
      <c r="ET246" s="56">
        <f>IFERROR(IF(($BZ246)&gt;0,($EE246)/($BZ246),""),"")</f>
        <v/>
      </c>
      <c r="EU246" s="56">
        <f>IFERROR(IF(($CA246)&gt;0,($EF246)/($CA246),""),"")</f>
        <v/>
      </c>
      <c r="EV246" s="56">
        <f>IFERROR(IF(($CB246)&gt;0,($EG246)/($CB246),""),"")</f>
        <v/>
      </c>
      <c r="EW246" s="76">
        <f>IFERROR(IF(($BZ246)&gt;0,($EH246)/($BZ246),""),"")</f>
        <v/>
      </c>
      <c r="EX246" s="76">
        <f>IFERROR(IF(($CA246)&gt;0,($EI246)/($CA246),""),"")</f>
        <v/>
      </c>
      <c r="EY246" s="76">
        <f>IFERROR(IF(($CB246)&gt;0,($EJ246)/($CB246),""),"")</f>
        <v/>
      </c>
      <c r="EZ246" s="56">
        <f>IFERROR(IF(($BZ246)&gt;0,($EK246)/($BZ246),""),"")</f>
        <v/>
      </c>
      <c r="FA246" s="56">
        <f>IFERROR(IF(($CA246)&gt;0,($EL246)/($CA246),""),"")</f>
        <v/>
      </c>
      <c r="FB246" s="56">
        <f>IFERROR(IF(($CB246)&gt;0,($EM246)/($CB246),""),"")</f>
        <v/>
      </c>
      <c r="FC246" s="55">
        <f>IF(SUMIFS(tblPlant[GIC_oz],tblPlant[Date],$A246)&gt;0,SUMIFS(tblPlant[GIC_oz],tblPlant[Date],$A246),"")</f>
        <v/>
      </c>
      <c r="FD246" s="55">
        <f>SUMIFS(tblGold[Gold_oz],tblGold[Date],$A246,tblGold[Type],"Shipment")</f>
        <v/>
      </c>
      <c r="FE246" s="55">
        <f>IF($B246=$B245,$FE245,0)+$FD246</f>
        <v/>
      </c>
      <c r="FF246" s="55">
        <f>$FF245+$FD246</f>
        <v/>
      </c>
      <c r="FG246" s="55">
        <f>SUMIFS(tblGold[Gold_oz],tblGold[Date],$A246,tblGold[Type],"Sale")</f>
        <v/>
      </c>
      <c r="FH246" s="55">
        <f>IF($B246=$B245,$FH245,0)+$FG246</f>
        <v/>
      </c>
      <c r="FI246" s="55">
        <f>$FI245+$FG246</f>
        <v/>
      </c>
      <c r="FJ246" s="55">
        <f>SUMIFS(tblGold[Dore_kg],tblGold[Date],$A246,tblGold[Type],"Shipment")</f>
        <v/>
      </c>
      <c r="FK246" s="55">
        <f>IF($B246=$B245,$FK245,0)+$FJ246</f>
        <v/>
      </c>
      <c r="FL246" s="55">
        <f>$FL245+$FJ246</f>
        <v/>
      </c>
      <c r="FM246" s="57">
        <f>SUMIFS(tblSafety[Hours_Total],tblSafety[Date],$A246)</f>
        <v/>
      </c>
      <c r="FN246" s="57">
        <f>IF($B246=$B245,$FN245,0)+$FM246</f>
        <v/>
      </c>
      <c r="FO246" s="57">
        <f>$FO245+$FM246</f>
        <v/>
      </c>
      <c r="FP246" s="62">
        <f>SUMIFS(tblSafety[Fatality],tblSafety[Date],$A246)</f>
        <v/>
      </c>
      <c r="FQ246" s="62">
        <f>IF($B246=$B245,$FQ245,0)+$FP246</f>
        <v/>
      </c>
      <c r="FR246" s="62">
        <f>$FR245+$FP246</f>
        <v/>
      </c>
      <c r="FS246" s="62">
        <f>SUMIFS(tblSafety[LTI],tblSafety[Date],$A246)</f>
        <v/>
      </c>
      <c r="FT246" s="62">
        <f>IF($B246=$B245,$FT245,0)+$FS246</f>
        <v/>
      </c>
      <c r="FU246" s="62">
        <f>$FU245+$FS246</f>
        <v/>
      </c>
      <c r="FV246" s="62">
        <f>SUMIFS(tblSafety[RWI],tblSafety[Date],$A246)</f>
        <v/>
      </c>
      <c r="FW246" s="62">
        <f>IF($B246=$B245,$FW245,0)+$FV246</f>
        <v/>
      </c>
      <c r="FX246" s="62">
        <f>$FX245+$FV246</f>
        <v/>
      </c>
      <c r="FY246" s="62">
        <f>SUMIFS(tblSafety[MTI],tblSafety[Date],$A246)</f>
        <v/>
      </c>
      <c r="FZ246" s="62">
        <f>IF($B246=$B245,$FZ245,0)+$FY246</f>
        <v/>
      </c>
      <c r="GA246" s="62">
        <f>$GA245+$FY246</f>
        <v/>
      </c>
      <c r="GB246" s="62">
        <f>SUMIFS(tblSafety[FAI],tblSafety[Date],$A246)</f>
        <v/>
      </c>
      <c r="GC246" s="62">
        <f>IF($B246=$B245,$GC245,0)+$GB246</f>
        <v/>
      </c>
      <c r="GD246" s="62">
        <f>$GD245+$GB246</f>
        <v/>
      </c>
      <c r="GE246" s="62">
        <f>SUMIFS(tblSafety[Recordables],tblSafety[Date],$A246)</f>
        <v/>
      </c>
      <c r="GF246" s="62">
        <f>IF($B246=$B245,$GF245,0)+$GE246</f>
        <v/>
      </c>
      <c r="GG246" s="62">
        <f>$GG245+$GE246</f>
        <v/>
      </c>
      <c r="GH246" s="62">
        <f>SUMIFS(tblSafety[Near_Miss],tblSafety[Date],$A246)</f>
        <v/>
      </c>
      <c r="GI246" s="62">
        <f>IF($B246=$B245,$GI245,0)+$GH246</f>
        <v/>
      </c>
      <c r="GJ246" s="62">
        <f>$GJ245+$GH246</f>
        <v/>
      </c>
      <c r="GK246" s="62">
        <f>SUMIFS(tblSafety[Hazard_Reports],tblSafety[Date],$A246)</f>
        <v/>
      </c>
      <c r="GL246" s="62">
        <f>IF($B246=$B245,$GL245,0)+$GK246</f>
        <v/>
      </c>
      <c r="GM246" s="62">
        <f>$GM245+$GK246</f>
        <v/>
      </c>
      <c r="GN246" s="62">
        <f>SUMIFS(tblSafety[HPI],tblSafety[Date],$A246)</f>
        <v/>
      </c>
      <c r="GO246" s="62">
        <f>IF($B246=$B245,$GO245,0)+$GN246</f>
        <v/>
      </c>
      <c r="GP246" s="62">
        <f>$GP245+$GN246</f>
        <v/>
      </c>
      <c r="GQ246" s="62">
        <f>SUMIFS(tblSafety[Env_Incidents],tblSafety[Date],$A246)</f>
        <v/>
      </c>
      <c r="GR246" s="62">
        <f>IF($B246=$B245,$GR245,0)+$GQ246</f>
        <v/>
      </c>
      <c r="GS246" s="62">
        <f>$GS245+$GQ246</f>
        <v/>
      </c>
      <c r="GT246" s="62">
        <f>SUMIFS(tblSafety[Community_Incidents],tblSafety[Date],$A246)</f>
        <v/>
      </c>
      <c r="GU246" s="62">
        <f>IF($B246=$B245,$GU245,0)+$GT246</f>
        <v/>
      </c>
      <c r="GV246" s="62">
        <f>$GV245+$GT246</f>
        <v/>
      </c>
      <c r="GW246" s="62">
        <f>SUMIFS(tblSafety[Vehicle_Incidents],tblSafety[Date],$A246)</f>
        <v/>
      </c>
      <c r="GX246" s="62">
        <f>IF($B246=$B245,$GX245,0)+$GW246</f>
        <v/>
      </c>
      <c r="GY246" s="62">
        <f>$GY245+$GW246</f>
        <v/>
      </c>
      <c r="GZ246" s="62">
        <f>SUMIFS(tblSafety[Toolbox_Talks],tblSafety[Date],$A246)</f>
        <v/>
      </c>
      <c r="HA246" s="62">
        <f>IF($B246=$B245,$HA245,0)+$GZ246</f>
        <v/>
      </c>
      <c r="HB246" s="62">
        <f>$HB245+$GZ246</f>
        <v/>
      </c>
      <c r="HC246" s="62">
        <f>SUMIFS(tblSafety[Inspections],tblSafety[Date],$A246)</f>
        <v/>
      </c>
      <c r="HD246" s="62">
        <f>IF($B246=$B245,$HD245,0)+$HC246</f>
        <v/>
      </c>
      <c r="HE246" s="62">
        <f>$HE245+$HC246</f>
        <v/>
      </c>
      <c r="HF246" s="56">
        <f>IFERROR((SUMIFS(tblSafety[Recordables],tblSafety[Date],"&gt;="&amp;EDATE($E246,-12),tblSafety[Date],"&lt;="&amp;$A246)+SUMIFS(tblSafetyHistory[Recordables],tblSafetyHistory[Month],"&gt;="&amp;EDATE($E246,-12),tblSafetyHistory[Month],"&lt;"&amp;cfg_YearStart))/(SUMIFS(tblSafety[Hours_Total],tblSafety[Date],"&gt;="&amp;EDATE($E246,-12),tblSafety[Date],"&lt;="&amp;$A246)+SUMIFS(tblSafetyHistory[Hours_Total],tblSafetyHistory[Month],"&gt;="&amp;EDATE($E246,-12),tblSafetyHistory[Month],"&lt;"&amp;cfg_YearStart))*1000000,"")</f>
        <v/>
      </c>
      <c r="HG246" s="56">
        <f>IFERROR((SUMIFS(tblSafety[LTI],tblSafety[Date],"&gt;="&amp;EDATE($E246,-12),tblSafety[Date],"&lt;="&amp;$A246)+SUMIFS(tblSafetyHistory[LTI],tblSafetyHistory[Month],"&gt;="&amp;EDATE($E246,-12),tblSafetyHistory[Month],"&lt;"&amp;cfg_YearStart))/(SUMIFS(tblSafety[Hours_Total],tblSafety[Date],"&gt;="&amp;EDATE($E246,-12),tblSafety[Date],"&lt;="&amp;$A246)+SUMIFS(tblSafetyHistory[Hours_Total],tblSafetyHistory[Month],"&gt;="&amp;EDATE($E246,-12),tblSafetyHistory[Month],"&lt;"&amp;cfg_YearStart))*1000000,"")</f>
        <v/>
      </c>
      <c r="HH246" s="62">
        <f>IF(MAX(N(cfg_PriorLTIDate),_xlfn.MAXIFS(tblSafety[Date],tblSafety[LTI],"&gt;0",tblSafety[Date],"&lt;="&amp;$A246))=0,"",$A246-MAX(N(cfg_PriorLTIDate),_xlfn.MAXIFS(tblSafety[Date],tblSafety[LTI],"&gt;0",tblSafety[Date],"&lt;="&amp;$A246)))</f>
        <v/>
      </c>
      <c r="HI246" s="55">
        <f>SUMIFS(tblBudget[Ore_Mined_t],tblBudget[Month],$E246)</f>
        <v/>
      </c>
      <c r="HJ246" s="55">
        <f>$HI246*$C246/$D246</f>
        <v/>
      </c>
      <c r="HK246" s="55">
        <f>SUMIFS(tblBudget[Ore_Mined_t],tblBudget[Month],"&lt;"&amp;$E246)+$HJ246</f>
        <v/>
      </c>
      <c r="HL246" s="55">
        <f>SUMIFS(tblBudget[Ore_oz],tblBudget[Month],$E246)</f>
        <v/>
      </c>
      <c r="HM246" s="55">
        <f>$HL246*$C246/$D246</f>
        <v/>
      </c>
      <c r="HN246" s="55">
        <f>SUMIFS(tblBudget[Ore_oz],tblBudget[Month],"&lt;"&amp;$E246)+$HM246</f>
        <v/>
      </c>
      <c r="HO246" s="56">
        <f>IFERROR(IF(($HI246)&gt;0,($HL246*cfg_TroyOz)/($HI246),""),"")</f>
        <v/>
      </c>
      <c r="HP246" s="56">
        <f>IFERROR(IF(($HJ246)&gt;0,($HM246*cfg_TroyOz)/($HJ246),""),"")</f>
        <v/>
      </c>
      <c r="HQ246" s="56">
        <f>IFERROR(IF(($HK246)&gt;0,($HN246*cfg_TroyOz)/($HK246),""),"")</f>
        <v/>
      </c>
      <c r="HR246" s="55">
        <f>SUMIFS(tblBudget[Waste_t],tblBudget[Month],$E246)</f>
        <v/>
      </c>
      <c r="HS246" s="55">
        <f>$HR246*$C246/$D246</f>
        <v/>
      </c>
      <c r="HT246" s="55">
        <f>SUMIFS(tblBudget[Waste_t],tblBudget[Month],"&lt;"&amp;$E246)+$HS246</f>
        <v/>
      </c>
      <c r="HU246" s="55">
        <f>SUMIFS(tblBudget[TMM_t],tblBudget[Month],$E246)</f>
        <v/>
      </c>
      <c r="HV246" s="55">
        <f>$HU246*$C246/$D246</f>
        <v/>
      </c>
      <c r="HW246" s="55">
        <f>SUMIFS(tblBudget[TMM_t],tblBudget[Month],"&lt;"&amp;$E246)+$HV246</f>
        <v/>
      </c>
      <c r="HX246" s="56">
        <f>IFERROR(IF(($HI246)&gt;0,($HR246)/($HI246),""),"")</f>
        <v/>
      </c>
      <c r="HY246" s="56">
        <f>IFERROR(IF(($HJ246)&gt;0,($HS246)/($HJ246),""),"")</f>
        <v/>
      </c>
      <c r="HZ246" s="56">
        <f>IFERROR(IF(($HK246)&gt;0,($HT246)/($HK246),""),"")</f>
        <v/>
      </c>
      <c r="IA246" s="55">
        <f>SUMIFS(tblBudget[Drill_m],tblBudget[Month],$E246)</f>
        <v/>
      </c>
      <c r="IB246" s="55">
        <f>$IA246*$C246/$D246</f>
        <v/>
      </c>
      <c r="IC246" s="55">
        <f>SUMIFS(tblBudget[Drill_m],tblBudget[Month],"&lt;"&amp;$E246)+$IB246</f>
        <v/>
      </c>
      <c r="ID246" s="55">
        <f>SUMIFS(tblBudget[Diesel_L],tblBudget[Month],$E246)</f>
        <v/>
      </c>
      <c r="IE246" s="55">
        <f>$ID246*$C246/$D246</f>
        <v/>
      </c>
      <c r="IF246" s="55">
        <f>SUMIFS(tblBudget[Diesel_L],tblBudget[Month],"&lt;"&amp;$E246)+$IE246</f>
        <v/>
      </c>
      <c r="IG246" s="55">
        <f>SUMIFS(tblBudget[Milled_t],tblBudget[Month],$E246)</f>
        <v/>
      </c>
      <c r="IH246" s="55">
        <f>$IG246*$C246/$D246</f>
        <v/>
      </c>
      <c r="II246" s="55">
        <f>SUMIFS(tblBudget[Milled_t],tblBudget[Month],"&lt;"&amp;$E246)+$IH246</f>
        <v/>
      </c>
      <c r="IJ246" s="55">
        <f>SUMIFS(tblBudget[Feed_oz],tblBudget[Month],$E246)</f>
        <v/>
      </c>
      <c r="IK246" s="55">
        <f>$IJ246*$C246/$D246</f>
        <v/>
      </c>
      <c r="IL246" s="55">
        <f>SUMIFS(tblBudget[Feed_oz],tblBudget[Month],"&lt;"&amp;$E246)+$IK246</f>
        <v/>
      </c>
      <c r="IM246" s="55">
        <f>SUMIFS(tblBudget[Recovered_oz],tblBudget[Month],$E246)</f>
        <v/>
      </c>
      <c r="IN246" s="55">
        <f>$IM246*$C246/$D246</f>
        <v/>
      </c>
      <c r="IO246" s="55">
        <f>SUMIFS(tblBudget[Recovered_oz],tblBudget[Month],"&lt;"&amp;$E246)+$IN246</f>
        <v/>
      </c>
      <c r="IP246" s="56">
        <f>IFERROR(IF(($IG246)&gt;0,($IJ246*cfg_TroyOz)/($IG246),""),"")</f>
        <v/>
      </c>
      <c r="IQ246" s="56">
        <f>IFERROR(IF(($IH246)&gt;0,($IK246*cfg_TroyOz)/($IH246),""),"")</f>
        <v/>
      </c>
      <c r="IR246" s="56">
        <f>IFERROR(IF(($II246)&gt;0,($IL246*cfg_TroyOz)/($II246),""),"")</f>
        <v/>
      </c>
      <c r="IS246" s="67">
        <f>IFERROR(IF(($IJ246)&gt;0,($IM246)/($IJ246),""),"")</f>
        <v/>
      </c>
      <c r="IT246" s="67">
        <f>IFERROR(IF(($IK246)&gt;0,($IN246)/($IK246),""),"")</f>
        <v/>
      </c>
      <c r="IU246" s="67">
        <f>IFERROR(IF(($IL246)&gt;0,($IO246)/($IL246),""),"")</f>
        <v/>
      </c>
      <c r="IV246" s="55">
        <f>SUMIFS(tblBudget[Gold_Poured_oz],tblBudget[Month],$E246)</f>
        <v/>
      </c>
      <c r="IW246" s="55">
        <f>$IV246*$C246/$D246</f>
        <v/>
      </c>
      <c r="IX246" s="55">
        <f>SUMIFS(tblBudget[Gold_Poured_oz],tblBudget[Month],"&lt;"&amp;$E246)+$IW246</f>
        <v/>
      </c>
      <c r="IY246" s="57">
        <f>SUMIFS(tblBudget[Hours_Worked],tblBudget[Month],$E246)</f>
        <v/>
      </c>
      <c r="IZ246" s="57">
        <f>$IY246*$C246/$D246</f>
        <v/>
      </c>
      <c r="JA246" s="57">
        <f>SUMIFS(tblBudget[Hours_Worked],tblBudget[Month],"&lt;"&amp;$E246)+$IZ246</f>
        <v/>
      </c>
    </row>
    <row r="247">
      <c r="A247" s="54" t="n">
        <v>46268</v>
      </c>
      <c r="B247">
        <f>MONTH($A247)</f>
        <v/>
      </c>
      <c r="C247">
        <f>DAY($A247)</f>
        <v/>
      </c>
      <c r="D247">
        <f>DAY(EOMONTH($A247,0))</f>
        <v/>
      </c>
      <c r="E247" s="54">
        <f>DATE(YEAR($A247),MONTH($A247),1)</f>
        <v/>
      </c>
      <c r="F247" s="55">
        <f>SUMIFS(tblMovement[Tonnes_t],tblMovement[Date],$A247,tblMovement[Is_Ore],1,tblMovement[Source_Type],"Pit")</f>
        <v/>
      </c>
      <c r="G247" s="55">
        <f>IF($B247=$B246,$G246,0)+$F247</f>
        <v/>
      </c>
      <c r="H247" s="55">
        <f>$H246+$F247</f>
        <v/>
      </c>
      <c r="I247" s="55">
        <f>SUMIFS(tblMovement[Ore_oz],tblMovement[Date],$A247,tblMovement[Source_Type],"Pit")</f>
        <v/>
      </c>
      <c r="J247" s="55">
        <f>IF($B247=$B246,$J246,0)+$I247</f>
        <v/>
      </c>
      <c r="K247" s="55">
        <f>$K246+$I247</f>
        <v/>
      </c>
      <c r="L247" s="56">
        <f>IFERROR(IF(($F247)&gt;0,($I247*cfg_TroyOz)/($F247),""),"")</f>
        <v/>
      </c>
      <c r="M247" s="56">
        <f>IFERROR(IF(($G247)&gt;0,($J247*cfg_TroyOz)/($G247),""),"")</f>
        <v/>
      </c>
      <c r="N247" s="56">
        <f>IFERROR(IF(($H247)&gt;0,($K247*cfg_TroyOz)/($H247),""),"")</f>
        <v/>
      </c>
      <c r="O247" s="55">
        <f>SUMIFS(tblMovement[Tonnes_t],tblMovement[Date],$A247,tblMovement[Is_Ore],0,tblMovement[Source_Type],"Pit")</f>
        <v/>
      </c>
      <c r="P247" s="55">
        <f>IF($B247=$B246,$P246,0)+$O247</f>
        <v/>
      </c>
      <c r="Q247" s="55">
        <f>$Q246+$O247</f>
        <v/>
      </c>
      <c r="R247" s="55">
        <f>$F247+$O247</f>
        <v/>
      </c>
      <c r="S247" s="55">
        <f>IF($B247=$B246,$S246,0)+$R247</f>
        <v/>
      </c>
      <c r="T247" s="55">
        <f>$T246+$R247</f>
        <v/>
      </c>
      <c r="U247" s="56">
        <f>IFERROR(IF(($F247)&gt;0,($O247)/($F247),""),"")</f>
        <v/>
      </c>
      <c r="V247" s="56">
        <f>IFERROR(IF(($G247)&gt;0,($P247)/($G247),""),"")</f>
        <v/>
      </c>
      <c r="W247" s="56">
        <f>IFERROR(IF(($H247)&gt;0,($Q247)/($H247),""),"")</f>
        <v/>
      </c>
      <c r="X247" s="55">
        <f>SUMIFS(tblMovement[Tonnes_t],tblMovement[Date],$A247,tblMovement[Source_Type],"Stockpile")</f>
        <v/>
      </c>
      <c r="Y247" s="55">
        <f>IF($B247=$B246,$Y246,0)+$X247</f>
        <v/>
      </c>
      <c r="Z247" s="55">
        <f>$Z246+$X247</f>
        <v/>
      </c>
      <c r="AA247" s="55">
        <f>SUMIFS(tblMiningDaily[Drill_m],tblMiningDaily[Date],$A247)</f>
        <v/>
      </c>
      <c r="AB247" s="55">
        <f>IF($B247=$B246,$AB246,0)+$AA247</f>
        <v/>
      </c>
      <c r="AC247" s="55">
        <f>$AC246+$AA247</f>
        <v/>
      </c>
      <c r="AD247" s="55">
        <f>SUMIFS(tblMiningDaily[Blast_t],tblMiningDaily[Date],$A247)</f>
        <v/>
      </c>
      <c r="AE247" s="55">
        <f>IF($B247=$B246,$AE246,0)+$AD247</f>
        <v/>
      </c>
      <c r="AF247" s="55">
        <f>$AF246+$AD247</f>
        <v/>
      </c>
      <c r="AG247" s="55">
        <f>SUMIFS(tblMiningDaily[Explosives_kg],tblMiningDaily[Date],$A247)</f>
        <v/>
      </c>
      <c r="AH247" s="55">
        <f>IF($B247=$B246,$AH246,0)+$AG247</f>
        <v/>
      </c>
      <c r="AI247" s="55">
        <f>$AI246+$AG247</f>
        <v/>
      </c>
      <c r="AJ247" s="56">
        <f>IFERROR(IF(($AD247)&gt;0,($AG247)/($AD247),""),"")</f>
        <v/>
      </c>
      <c r="AK247" s="56">
        <f>IFERROR(IF(($AE247)&gt;0,($AH247)/($AE247),""),"")</f>
        <v/>
      </c>
      <c r="AL247" s="56">
        <f>IFERROR(IF(($AF247)&gt;0,($AI247)/($AF247),""),"")</f>
        <v/>
      </c>
      <c r="AM247" s="55">
        <f>SUMIFS(tblMiningDaily[Diesel_L],tblMiningDaily[Date],$A247)</f>
        <v/>
      </c>
      <c r="AN247" s="55">
        <f>IF($B247=$B246,$AN246,0)+$AM247</f>
        <v/>
      </c>
      <c r="AO247" s="55">
        <f>$AO246+$AM247</f>
        <v/>
      </c>
      <c r="AP247" s="55">
        <f>SUMIFS(tblMiningDaily[Dewatering_m3],tblMiningDaily[Date],$A247)</f>
        <v/>
      </c>
      <c r="AQ247" s="55">
        <f>IF($B247=$B246,$AQ246,0)+$AP247</f>
        <v/>
      </c>
      <c r="AR247" s="55">
        <f>$AR246+$AP247</f>
        <v/>
      </c>
      <c r="AS247" s="57">
        <f>SUMIFS(tblFleet[Calendar_h],tblFleet[Date],$A247,tblFleet[Equipment_Class],"Excavator")</f>
        <v/>
      </c>
      <c r="AT247" s="57">
        <f>IF($B247=$B246,$AT246,0)+$AS247</f>
        <v/>
      </c>
      <c r="AU247" s="57">
        <f>$AU246+$AS247</f>
        <v/>
      </c>
      <c r="AV247" s="57">
        <f>SUMIFS(tblFleet[Available_h],tblFleet[Date],$A247,tblFleet[Equipment_Class],"Excavator")</f>
        <v/>
      </c>
      <c r="AW247" s="57">
        <f>IF($B247=$B246,$AW246,0)+$AV247</f>
        <v/>
      </c>
      <c r="AX247" s="57">
        <f>$AX246+$AV247</f>
        <v/>
      </c>
      <c r="AY247" s="57">
        <f>SUMIFS(tblFleet[Operating_h],tblFleet[Date],$A247,tblFleet[Equipment_Class],"Excavator")</f>
        <v/>
      </c>
      <c r="AZ247" s="57">
        <f>IF($B247=$B246,$AZ246,0)+$AY247</f>
        <v/>
      </c>
      <c r="BA247" s="57">
        <f>$BA246+$AY247</f>
        <v/>
      </c>
      <c r="BB247" s="67">
        <f>IFERROR(IF(($AS247)&gt;0,($AV247)/($AS247),""),"")</f>
        <v/>
      </c>
      <c r="BC247" s="67">
        <f>IFERROR(IF(($AT247)&gt;0,($AW247)/($AT247),""),"")</f>
        <v/>
      </c>
      <c r="BD247" s="67">
        <f>IFERROR(IF(($AU247)&gt;0,($AX247)/($AU247),""),"")</f>
        <v/>
      </c>
      <c r="BE247" s="67">
        <f>IFERROR(IF(($AV247)&gt;0,($AY247)/($AV247),""),"")</f>
        <v/>
      </c>
      <c r="BF247" s="67">
        <f>IFERROR(IF(($AW247)&gt;0,($AZ247)/($AW247),""),"")</f>
        <v/>
      </c>
      <c r="BG247" s="67">
        <f>IFERROR(IF(($AX247)&gt;0,($BA247)/($AX247),""),"")</f>
        <v/>
      </c>
      <c r="BH247" s="57">
        <f>SUMIFS(tblFleet[Calendar_h],tblFleet[Date],$A247,tblFleet[Equipment_Class],"Haul Truck")</f>
        <v/>
      </c>
      <c r="BI247" s="57">
        <f>IF($B247=$B246,$BI246,0)+$BH247</f>
        <v/>
      </c>
      <c r="BJ247" s="57">
        <f>$BJ246+$BH247</f>
        <v/>
      </c>
      <c r="BK247" s="57">
        <f>SUMIFS(tblFleet[Available_h],tblFleet[Date],$A247,tblFleet[Equipment_Class],"Haul Truck")</f>
        <v/>
      </c>
      <c r="BL247" s="57">
        <f>IF($B247=$B246,$BL246,0)+$BK247</f>
        <v/>
      </c>
      <c r="BM247" s="57">
        <f>$BM246+$BK247</f>
        <v/>
      </c>
      <c r="BN247" s="57">
        <f>SUMIFS(tblFleet[Operating_h],tblFleet[Date],$A247,tblFleet[Equipment_Class],"Haul Truck")</f>
        <v/>
      </c>
      <c r="BO247" s="57">
        <f>IF($B247=$B246,$BO246,0)+$BN247</f>
        <v/>
      </c>
      <c r="BP247" s="57">
        <f>$BP246+$BN247</f>
        <v/>
      </c>
      <c r="BQ247" s="67">
        <f>IFERROR(IF(($BH247)&gt;0,($BK247)/($BH247),""),"")</f>
        <v/>
      </c>
      <c r="BR247" s="67">
        <f>IFERROR(IF(($BI247)&gt;0,($BL247)/($BI247),""),"")</f>
        <v/>
      </c>
      <c r="BS247" s="67">
        <f>IFERROR(IF(($BJ247)&gt;0,($BM247)/($BJ247),""),"")</f>
        <v/>
      </c>
      <c r="BT247" s="67">
        <f>IFERROR(IF(($BK247)&gt;0,($BN247)/($BK247),""),"")</f>
        <v/>
      </c>
      <c r="BU247" s="67">
        <f>IFERROR(IF(($BL247)&gt;0,($BO247)/($BL247),""),"")</f>
        <v/>
      </c>
      <c r="BV247" s="67">
        <f>IFERROR(IF(($BM247)&gt;0,($BP247)/($BM247),""),"")</f>
        <v/>
      </c>
      <c r="BW247" s="55">
        <f>SUMIFS(tblPlant[Crushed_t],tblPlant[Date],$A247)</f>
        <v/>
      </c>
      <c r="BX247" s="55">
        <f>IF($B247=$B246,$BX246,0)+$BW247</f>
        <v/>
      </c>
      <c r="BY247" s="55">
        <f>$BY246+$BW247</f>
        <v/>
      </c>
      <c r="BZ247" s="55">
        <f>SUMIFS(tblPlant[Milled_t],tblPlant[Date],$A247)</f>
        <v/>
      </c>
      <c r="CA247" s="55">
        <f>IF($B247=$B246,$CA246,0)+$BZ247</f>
        <v/>
      </c>
      <c r="CB247" s="55">
        <f>$CB246+$BZ247</f>
        <v/>
      </c>
      <c r="CC247" s="55">
        <f>SUMIFS(tblPlant[Feed_oz],tblPlant[Date],$A247)</f>
        <v/>
      </c>
      <c r="CD247" s="55">
        <f>IF($B247=$B246,$CD246,0)+$CC247</f>
        <v/>
      </c>
      <c r="CE247" s="55">
        <f>$CE246+$CC247</f>
        <v/>
      </c>
      <c r="CF247" s="55">
        <f>SUMIFS(tblPlant[Tails_oz],tblPlant[Date],$A247)</f>
        <v/>
      </c>
      <c r="CG247" s="55">
        <f>IF($B247=$B246,$CG246,0)+$CF247</f>
        <v/>
      </c>
      <c r="CH247" s="55">
        <f>$CH246+$CF247</f>
        <v/>
      </c>
      <c r="CI247" s="55">
        <f>SUMIFS(tblPlant[Recovered_oz],tblPlant[Date],$A247)</f>
        <v/>
      </c>
      <c r="CJ247" s="55">
        <f>IF($B247=$B246,$CJ246,0)+$CI247</f>
        <v/>
      </c>
      <c r="CK247" s="55">
        <f>$CK246+$CI247</f>
        <v/>
      </c>
      <c r="CL247" s="56">
        <f>IFERROR(IF(($BZ247)&gt;0,($CC247*cfg_TroyOz)/($BZ247),""),"")</f>
        <v/>
      </c>
      <c r="CM247" s="56">
        <f>IFERROR(IF(($CA247)&gt;0,($CD247*cfg_TroyOz)/($CA247),""),"")</f>
        <v/>
      </c>
      <c r="CN247" s="56">
        <f>IFERROR(IF(($CB247)&gt;0,($CE247*cfg_TroyOz)/($CB247),""),"")</f>
        <v/>
      </c>
      <c r="CO247" s="56">
        <f>IFERROR(IF(($BZ247)&gt;0,($CF247*cfg_TroyOz)/($BZ247),""),"")</f>
        <v/>
      </c>
      <c r="CP247" s="56">
        <f>IFERROR(IF(($CA247)&gt;0,($CG247*cfg_TroyOz)/($CA247),""),"")</f>
        <v/>
      </c>
      <c r="CQ247" s="56">
        <f>IFERROR(IF(($CB247)&gt;0,($CH247*cfg_TroyOz)/($CB247),""),"")</f>
        <v/>
      </c>
      <c r="CR247" s="67">
        <f>IFERROR(IF(($CC247)&gt;0,($CI247)/($CC247),""),"")</f>
        <v/>
      </c>
      <c r="CS247" s="67">
        <f>IFERROR(IF(($CD247)&gt;0,($CJ247)/($CD247),""),"")</f>
        <v/>
      </c>
      <c r="CT247" s="67">
        <f>IFERROR(IF(($CE247)&gt;0,($CK247)/($CE247),""),"")</f>
        <v/>
      </c>
      <c r="CU247" s="55">
        <f>SUMIFS(tblPlant[Gravity_Gold_oz],tblPlant[Date],$A247)</f>
        <v/>
      </c>
      <c r="CV247" s="55">
        <f>IF($B247=$B246,$CV246,0)+$CU247</f>
        <v/>
      </c>
      <c r="CW247" s="55">
        <f>$CW246+$CU247</f>
        <v/>
      </c>
      <c r="CX247" s="55">
        <f>SUMIFS(tblPlant[Gold_Poured_oz],tblPlant[Date],$A247)</f>
        <v/>
      </c>
      <c r="CY247" s="55">
        <f>IF($B247=$B246,$CY246,0)+$CX247</f>
        <v/>
      </c>
      <c r="CZ247" s="55">
        <f>$CZ246+$CX247</f>
        <v/>
      </c>
      <c r="DA247" s="57">
        <f>SUMIFS(tblPlant[Mill_Run_h],tblPlant[Date],$A247)</f>
        <v/>
      </c>
      <c r="DB247" s="57">
        <f>IF($B247=$B246,$DB246,0)+$DA247</f>
        <v/>
      </c>
      <c r="DC247" s="57">
        <f>$DC246+$DA247</f>
        <v/>
      </c>
      <c r="DD247" s="57">
        <f>SUMIFS(tblPlant[Mill_Planned_Maint_h],tblPlant[Date],$A247)</f>
        <v/>
      </c>
      <c r="DE247" s="57">
        <f>IF($B247=$B246,$DE246,0)+$DD247</f>
        <v/>
      </c>
      <c r="DF247" s="57">
        <f>$DF246+$DD247</f>
        <v/>
      </c>
      <c r="DG247" s="57">
        <f>SUMIFS(tblPlant[Mill_Unplanned_Down_h],tblPlant[Date],$A247)</f>
        <v/>
      </c>
      <c r="DH247" s="57">
        <f>IF($B247=$B246,$DH246,0)+$DG247</f>
        <v/>
      </c>
      <c r="DI247" s="57">
        <f>$DI246+$DG247</f>
        <v/>
      </c>
      <c r="DJ247" s="57">
        <f>COUNTIFS(tblPlant[Date],$A247,tblPlant[Mill_Run_h],"&lt;&gt;")*24</f>
        <v/>
      </c>
      <c r="DK247" s="57">
        <f>IF($B247=$B246,$DK246,0)+$DJ247</f>
        <v/>
      </c>
      <c r="DL247" s="57">
        <f>$DL246+$DJ247</f>
        <v/>
      </c>
      <c r="DM247" s="57">
        <f>SUMIFS(tblPlant[Crusher_Run_h],tblPlant[Date],$A247)</f>
        <v/>
      </c>
      <c r="DN247" s="57">
        <f>IF($B247=$B246,$DN246,0)+$DM247</f>
        <v/>
      </c>
      <c r="DO247" s="57">
        <f>$DO246+$DM247</f>
        <v/>
      </c>
      <c r="DP247" s="55">
        <f>IFERROR(IF(($DA247)&gt;0,($BZ247)/($DA247),""),"")</f>
        <v/>
      </c>
      <c r="DQ247" s="55">
        <f>IFERROR(IF(($DB247)&gt;0,($CA247)/($DB247),""),"")</f>
        <v/>
      </c>
      <c r="DR247" s="55">
        <f>IFERROR(IF(($DC247)&gt;0,($CB247)/($DC247),""),"")</f>
        <v/>
      </c>
      <c r="DS247" s="67">
        <f>IFERROR(IF(($DJ247)&gt;0,($DJ247-$DD247-$DG247)/($DJ247),""),"")</f>
        <v/>
      </c>
      <c r="DT247" s="67">
        <f>IFERROR(IF(($DK247)&gt;0,($DK247-$DE247-$DH247)/($DK247),""),"")</f>
        <v/>
      </c>
      <c r="DU247" s="67">
        <f>IFERROR(IF(($DL247)&gt;0,($DL247-$DF247-$DI247)/($DL247),""),"")</f>
        <v/>
      </c>
      <c r="DV247" s="67">
        <f>IFERROR(IF(($DJ247-$DD247-$DG247)&gt;0,($DA247)/($DJ247-$DD247-$DG247),""),"")</f>
        <v/>
      </c>
      <c r="DW247" s="67">
        <f>IFERROR(IF(($DK247-$DE247-$DH247)&gt;0,($DB247)/($DK247-$DE247-$DH247),""),"")</f>
        <v/>
      </c>
      <c r="DX247" s="67">
        <f>IFERROR(IF(($DL247-$DF247-$DI247)&gt;0,($DC247)/($DL247-$DF247-$DI247),""),"")</f>
        <v/>
      </c>
      <c r="DY247" s="55">
        <f>SUMIFS(tblPlant[Cyanide_kg],tblPlant[Date],$A247)</f>
        <v/>
      </c>
      <c r="DZ247" s="55">
        <f>IF($B247=$B246,$DZ246,0)+$DY247</f>
        <v/>
      </c>
      <c r="EA247" s="55">
        <f>$EA246+$DY247</f>
        <v/>
      </c>
      <c r="EB247" s="55">
        <f>SUMIFS(tblPlant[Lime_kg],tblPlant[Date],$A247)</f>
        <v/>
      </c>
      <c r="EC247" s="55">
        <f>IF($B247=$B246,$EC246,0)+$EB247</f>
        <v/>
      </c>
      <c r="ED247" s="55">
        <f>$ED246+$EB247</f>
        <v/>
      </c>
      <c r="EE247" s="55">
        <f>SUMIFS(tblPlant[Grinding_Media_kg],tblPlant[Date],$A247)</f>
        <v/>
      </c>
      <c r="EF247" s="55">
        <f>IF($B247=$B246,$EF246,0)+$EE247</f>
        <v/>
      </c>
      <c r="EG247" s="55">
        <f>$EG246+$EE247</f>
        <v/>
      </c>
      <c r="EH247" s="55">
        <f>SUMIFS(tblPlant[Power_kWh],tblPlant[Date],$A247)</f>
        <v/>
      </c>
      <c r="EI247" s="55">
        <f>IF($B247=$B246,$EI246,0)+$EH247</f>
        <v/>
      </c>
      <c r="EJ247" s="55">
        <f>$EJ246+$EH247</f>
        <v/>
      </c>
      <c r="EK247" s="55">
        <f>SUMIFS(tblPlant[Raw_Water_m3],tblPlant[Date],$A247)</f>
        <v/>
      </c>
      <c r="EL247" s="55">
        <f>IF($B247=$B246,$EL246,0)+$EK247</f>
        <v/>
      </c>
      <c r="EM247" s="55">
        <f>$EM246+$EK247</f>
        <v/>
      </c>
      <c r="EN247" s="56">
        <f>IFERROR(IF(($BZ247)&gt;0,($DY247)/($BZ247),""),"")</f>
        <v/>
      </c>
      <c r="EO247" s="56">
        <f>IFERROR(IF(($CA247)&gt;0,($DZ247)/($CA247),""),"")</f>
        <v/>
      </c>
      <c r="EP247" s="56">
        <f>IFERROR(IF(($CB247)&gt;0,($EA247)/($CB247),""),"")</f>
        <v/>
      </c>
      <c r="EQ247" s="56">
        <f>IFERROR(IF(($BZ247)&gt;0,($EB247)/($BZ247),""),"")</f>
        <v/>
      </c>
      <c r="ER247" s="56">
        <f>IFERROR(IF(($CA247)&gt;0,($EC247)/($CA247),""),"")</f>
        <v/>
      </c>
      <c r="ES247" s="56">
        <f>IFERROR(IF(($CB247)&gt;0,($ED247)/($CB247),""),"")</f>
        <v/>
      </c>
      <c r="ET247" s="56">
        <f>IFERROR(IF(($BZ247)&gt;0,($EE247)/($BZ247),""),"")</f>
        <v/>
      </c>
      <c r="EU247" s="56">
        <f>IFERROR(IF(($CA247)&gt;0,($EF247)/($CA247),""),"")</f>
        <v/>
      </c>
      <c r="EV247" s="56">
        <f>IFERROR(IF(($CB247)&gt;0,($EG247)/($CB247),""),"")</f>
        <v/>
      </c>
      <c r="EW247" s="76">
        <f>IFERROR(IF(($BZ247)&gt;0,($EH247)/($BZ247),""),"")</f>
        <v/>
      </c>
      <c r="EX247" s="76">
        <f>IFERROR(IF(($CA247)&gt;0,($EI247)/($CA247),""),"")</f>
        <v/>
      </c>
      <c r="EY247" s="76">
        <f>IFERROR(IF(($CB247)&gt;0,($EJ247)/($CB247),""),"")</f>
        <v/>
      </c>
      <c r="EZ247" s="56">
        <f>IFERROR(IF(($BZ247)&gt;0,($EK247)/($BZ247),""),"")</f>
        <v/>
      </c>
      <c r="FA247" s="56">
        <f>IFERROR(IF(($CA247)&gt;0,($EL247)/($CA247),""),"")</f>
        <v/>
      </c>
      <c r="FB247" s="56">
        <f>IFERROR(IF(($CB247)&gt;0,($EM247)/($CB247),""),"")</f>
        <v/>
      </c>
      <c r="FC247" s="55">
        <f>IF(SUMIFS(tblPlant[GIC_oz],tblPlant[Date],$A247)&gt;0,SUMIFS(tblPlant[GIC_oz],tblPlant[Date],$A247),"")</f>
        <v/>
      </c>
      <c r="FD247" s="55">
        <f>SUMIFS(tblGold[Gold_oz],tblGold[Date],$A247,tblGold[Type],"Shipment")</f>
        <v/>
      </c>
      <c r="FE247" s="55">
        <f>IF($B247=$B246,$FE246,0)+$FD247</f>
        <v/>
      </c>
      <c r="FF247" s="55">
        <f>$FF246+$FD247</f>
        <v/>
      </c>
      <c r="FG247" s="55">
        <f>SUMIFS(tblGold[Gold_oz],tblGold[Date],$A247,tblGold[Type],"Sale")</f>
        <v/>
      </c>
      <c r="FH247" s="55">
        <f>IF($B247=$B246,$FH246,0)+$FG247</f>
        <v/>
      </c>
      <c r="FI247" s="55">
        <f>$FI246+$FG247</f>
        <v/>
      </c>
      <c r="FJ247" s="55">
        <f>SUMIFS(tblGold[Dore_kg],tblGold[Date],$A247,tblGold[Type],"Shipment")</f>
        <v/>
      </c>
      <c r="FK247" s="55">
        <f>IF($B247=$B246,$FK246,0)+$FJ247</f>
        <v/>
      </c>
      <c r="FL247" s="55">
        <f>$FL246+$FJ247</f>
        <v/>
      </c>
      <c r="FM247" s="57">
        <f>SUMIFS(tblSafety[Hours_Total],tblSafety[Date],$A247)</f>
        <v/>
      </c>
      <c r="FN247" s="57">
        <f>IF($B247=$B246,$FN246,0)+$FM247</f>
        <v/>
      </c>
      <c r="FO247" s="57">
        <f>$FO246+$FM247</f>
        <v/>
      </c>
      <c r="FP247" s="62">
        <f>SUMIFS(tblSafety[Fatality],tblSafety[Date],$A247)</f>
        <v/>
      </c>
      <c r="FQ247" s="62">
        <f>IF($B247=$B246,$FQ246,0)+$FP247</f>
        <v/>
      </c>
      <c r="FR247" s="62">
        <f>$FR246+$FP247</f>
        <v/>
      </c>
      <c r="FS247" s="62">
        <f>SUMIFS(tblSafety[LTI],tblSafety[Date],$A247)</f>
        <v/>
      </c>
      <c r="FT247" s="62">
        <f>IF($B247=$B246,$FT246,0)+$FS247</f>
        <v/>
      </c>
      <c r="FU247" s="62">
        <f>$FU246+$FS247</f>
        <v/>
      </c>
      <c r="FV247" s="62">
        <f>SUMIFS(tblSafety[RWI],tblSafety[Date],$A247)</f>
        <v/>
      </c>
      <c r="FW247" s="62">
        <f>IF($B247=$B246,$FW246,0)+$FV247</f>
        <v/>
      </c>
      <c r="FX247" s="62">
        <f>$FX246+$FV247</f>
        <v/>
      </c>
      <c r="FY247" s="62">
        <f>SUMIFS(tblSafety[MTI],tblSafety[Date],$A247)</f>
        <v/>
      </c>
      <c r="FZ247" s="62">
        <f>IF($B247=$B246,$FZ246,0)+$FY247</f>
        <v/>
      </c>
      <c r="GA247" s="62">
        <f>$GA246+$FY247</f>
        <v/>
      </c>
      <c r="GB247" s="62">
        <f>SUMIFS(tblSafety[FAI],tblSafety[Date],$A247)</f>
        <v/>
      </c>
      <c r="GC247" s="62">
        <f>IF($B247=$B246,$GC246,0)+$GB247</f>
        <v/>
      </c>
      <c r="GD247" s="62">
        <f>$GD246+$GB247</f>
        <v/>
      </c>
      <c r="GE247" s="62">
        <f>SUMIFS(tblSafety[Recordables],tblSafety[Date],$A247)</f>
        <v/>
      </c>
      <c r="GF247" s="62">
        <f>IF($B247=$B246,$GF246,0)+$GE247</f>
        <v/>
      </c>
      <c r="GG247" s="62">
        <f>$GG246+$GE247</f>
        <v/>
      </c>
      <c r="GH247" s="62">
        <f>SUMIFS(tblSafety[Near_Miss],tblSafety[Date],$A247)</f>
        <v/>
      </c>
      <c r="GI247" s="62">
        <f>IF($B247=$B246,$GI246,0)+$GH247</f>
        <v/>
      </c>
      <c r="GJ247" s="62">
        <f>$GJ246+$GH247</f>
        <v/>
      </c>
      <c r="GK247" s="62">
        <f>SUMIFS(tblSafety[Hazard_Reports],tblSafety[Date],$A247)</f>
        <v/>
      </c>
      <c r="GL247" s="62">
        <f>IF($B247=$B246,$GL246,0)+$GK247</f>
        <v/>
      </c>
      <c r="GM247" s="62">
        <f>$GM246+$GK247</f>
        <v/>
      </c>
      <c r="GN247" s="62">
        <f>SUMIFS(tblSafety[HPI],tblSafety[Date],$A247)</f>
        <v/>
      </c>
      <c r="GO247" s="62">
        <f>IF($B247=$B246,$GO246,0)+$GN247</f>
        <v/>
      </c>
      <c r="GP247" s="62">
        <f>$GP246+$GN247</f>
        <v/>
      </c>
      <c r="GQ247" s="62">
        <f>SUMIFS(tblSafety[Env_Incidents],tblSafety[Date],$A247)</f>
        <v/>
      </c>
      <c r="GR247" s="62">
        <f>IF($B247=$B246,$GR246,0)+$GQ247</f>
        <v/>
      </c>
      <c r="GS247" s="62">
        <f>$GS246+$GQ247</f>
        <v/>
      </c>
      <c r="GT247" s="62">
        <f>SUMIFS(tblSafety[Community_Incidents],tblSafety[Date],$A247)</f>
        <v/>
      </c>
      <c r="GU247" s="62">
        <f>IF($B247=$B246,$GU246,0)+$GT247</f>
        <v/>
      </c>
      <c r="GV247" s="62">
        <f>$GV246+$GT247</f>
        <v/>
      </c>
      <c r="GW247" s="62">
        <f>SUMIFS(tblSafety[Vehicle_Incidents],tblSafety[Date],$A247)</f>
        <v/>
      </c>
      <c r="GX247" s="62">
        <f>IF($B247=$B246,$GX246,0)+$GW247</f>
        <v/>
      </c>
      <c r="GY247" s="62">
        <f>$GY246+$GW247</f>
        <v/>
      </c>
      <c r="GZ247" s="62">
        <f>SUMIFS(tblSafety[Toolbox_Talks],tblSafety[Date],$A247)</f>
        <v/>
      </c>
      <c r="HA247" s="62">
        <f>IF($B247=$B246,$HA246,0)+$GZ247</f>
        <v/>
      </c>
      <c r="HB247" s="62">
        <f>$HB246+$GZ247</f>
        <v/>
      </c>
      <c r="HC247" s="62">
        <f>SUMIFS(tblSafety[Inspections],tblSafety[Date],$A247)</f>
        <v/>
      </c>
      <c r="HD247" s="62">
        <f>IF($B247=$B246,$HD246,0)+$HC247</f>
        <v/>
      </c>
      <c r="HE247" s="62">
        <f>$HE246+$HC247</f>
        <v/>
      </c>
      <c r="HF247" s="56">
        <f>IFERROR((SUMIFS(tblSafety[Recordables],tblSafety[Date],"&gt;="&amp;EDATE($E247,-12),tblSafety[Date],"&lt;="&amp;$A247)+SUMIFS(tblSafetyHistory[Recordables],tblSafetyHistory[Month],"&gt;="&amp;EDATE($E247,-12),tblSafetyHistory[Month],"&lt;"&amp;cfg_YearStart))/(SUMIFS(tblSafety[Hours_Total],tblSafety[Date],"&gt;="&amp;EDATE($E247,-12),tblSafety[Date],"&lt;="&amp;$A247)+SUMIFS(tblSafetyHistory[Hours_Total],tblSafetyHistory[Month],"&gt;="&amp;EDATE($E247,-12),tblSafetyHistory[Month],"&lt;"&amp;cfg_YearStart))*1000000,"")</f>
        <v/>
      </c>
      <c r="HG247" s="56">
        <f>IFERROR((SUMIFS(tblSafety[LTI],tblSafety[Date],"&gt;="&amp;EDATE($E247,-12),tblSafety[Date],"&lt;="&amp;$A247)+SUMIFS(tblSafetyHistory[LTI],tblSafetyHistory[Month],"&gt;="&amp;EDATE($E247,-12),tblSafetyHistory[Month],"&lt;"&amp;cfg_YearStart))/(SUMIFS(tblSafety[Hours_Total],tblSafety[Date],"&gt;="&amp;EDATE($E247,-12),tblSafety[Date],"&lt;="&amp;$A247)+SUMIFS(tblSafetyHistory[Hours_Total],tblSafetyHistory[Month],"&gt;="&amp;EDATE($E247,-12),tblSafetyHistory[Month],"&lt;"&amp;cfg_YearStart))*1000000,"")</f>
        <v/>
      </c>
      <c r="HH247" s="62">
        <f>IF(MAX(N(cfg_PriorLTIDate),_xlfn.MAXIFS(tblSafety[Date],tblSafety[LTI],"&gt;0",tblSafety[Date],"&lt;="&amp;$A247))=0,"",$A247-MAX(N(cfg_PriorLTIDate),_xlfn.MAXIFS(tblSafety[Date],tblSafety[LTI],"&gt;0",tblSafety[Date],"&lt;="&amp;$A247)))</f>
        <v/>
      </c>
      <c r="HI247" s="55">
        <f>SUMIFS(tblBudget[Ore_Mined_t],tblBudget[Month],$E247)</f>
        <v/>
      </c>
      <c r="HJ247" s="55">
        <f>$HI247*$C247/$D247</f>
        <v/>
      </c>
      <c r="HK247" s="55">
        <f>SUMIFS(tblBudget[Ore_Mined_t],tblBudget[Month],"&lt;"&amp;$E247)+$HJ247</f>
        <v/>
      </c>
      <c r="HL247" s="55">
        <f>SUMIFS(tblBudget[Ore_oz],tblBudget[Month],$E247)</f>
        <v/>
      </c>
      <c r="HM247" s="55">
        <f>$HL247*$C247/$D247</f>
        <v/>
      </c>
      <c r="HN247" s="55">
        <f>SUMIFS(tblBudget[Ore_oz],tblBudget[Month],"&lt;"&amp;$E247)+$HM247</f>
        <v/>
      </c>
      <c r="HO247" s="56">
        <f>IFERROR(IF(($HI247)&gt;0,($HL247*cfg_TroyOz)/($HI247),""),"")</f>
        <v/>
      </c>
      <c r="HP247" s="56">
        <f>IFERROR(IF(($HJ247)&gt;0,($HM247*cfg_TroyOz)/($HJ247),""),"")</f>
        <v/>
      </c>
      <c r="HQ247" s="56">
        <f>IFERROR(IF(($HK247)&gt;0,($HN247*cfg_TroyOz)/($HK247),""),"")</f>
        <v/>
      </c>
      <c r="HR247" s="55">
        <f>SUMIFS(tblBudget[Waste_t],tblBudget[Month],$E247)</f>
        <v/>
      </c>
      <c r="HS247" s="55">
        <f>$HR247*$C247/$D247</f>
        <v/>
      </c>
      <c r="HT247" s="55">
        <f>SUMIFS(tblBudget[Waste_t],tblBudget[Month],"&lt;"&amp;$E247)+$HS247</f>
        <v/>
      </c>
      <c r="HU247" s="55">
        <f>SUMIFS(tblBudget[TMM_t],tblBudget[Month],$E247)</f>
        <v/>
      </c>
      <c r="HV247" s="55">
        <f>$HU247*$C247/$D247</f>
        <v/>
      </c>
      <c r="HW247" s="55">
        <f>SUMIFS(tblBudget[TMM_t],tblBudget[Month],"&lt;"&amp;$E247)+$HV247</f>
        <v/>
      </c>
      <c r="HX247" s="56">
        <f>IFERROR(IF(($HI247)&gt;0,($HR247)/($HI247),""),"")</f>
        <v/>
      </c>
      <c r="HY247" s="56">
        <f>IFERROR(IF(($HJ247)&gt;0,($HS247)/($HJ247),""),"")</f>
        <v/>
      </c>
      <c r="HZ247" s="56">
        <f>IFERROR(IF(($HK247)&gt;0,($HT247)/($HK247),""),"")</f>
        <v/>
      </c>
      <c r="IA247" s="55">
        <f>SUMIFS(tblBudget[Drill_m],tblBudget[Month],$E247)</f>
        <v/>
      </c>
      <c r="IB247" s="55">
        <f>$IA247*$C247/$D247</f>
        <v/>
      </c>
      <c r="IC247" s="55">
        <f>SUMIFS(tblBudget[Drill_m],tblBudget[Month],"&lt;"&amp;$E247)+$IB247</f>
        <v/>
      </c>
      <c r="ID247" s="55">
        <f>SUMIFS(tblBudget[Diesel_L],tblBudget[Month],$E247)</f>
        <v/>
      </c>
      <c r="IE247" s="55">
        <f>$ID247*$C247/$D247</f>
        <v/>
      </c>
      <c r="IF247" s="55">
        <f>SUMIFS(tblBudget[Diesel_L],tblBudget[Month],"&lt;"&amp;$E247)+$IE247</f>
        <v/>
      </c>
      <c r="IG247" s="55">
        <f>SUMIFS(tblBudget[Milled_t],tblBudget[Month],$E247)</f>
        <v/>
      </c>
      <c r="IH247" s="55">
        <f>$IG247*$C247/$D247</f>
        <v/>
      </c>
      <c r="II247" s="55">
        <f>SUMIFS(tblBudget[Milled_t],tblBudget[Month],"&lt;"&amp;$E247)+$IH247</f>
        <v/>
      </c>
      <c r="IJ247" s="55">
        <f>SUMIFS(tblBudget[Feed_oz],tblBudget[Month],$E247)</f>
        <v/>
      </c>
      <c r="IK247" s="55">
        <f>$IJ247*$C247/$D247</f>
        <v/>
      </c>
      <c r="IL247" s="55">
        <f>SUMIFS(tblBudget[Feed_oz],tblBudget[Month],"&lt;"&amp;$E247)+$IK247</f>
        <v/>
      </c>
      <c r="IM247" s="55">
        <f>SUMIFS(tblBudget[Recovered_oz],tblBudget[Month],$E247)</f>
        <v/>
      </c>
      <c r="IN247" s="55">
        <f>$IM247*$C247/$D247</f>
        <v/>
      </c>
      <c r="IO247" s="55">
        <f>SUMIFS(tblBudget[Recovered_oz],tblBudget[Month],"&lt;"&amp;$E247)+$IN247</f>
        <v/>
      </c>
      <c r="IP247" s="56">
        <f>IFERROR(IF(($IG247)&gt;0,($IJ247*cfg_TroyOz)/($IG247),""),"")</f>
        <v/>
      </c>
      <c r="IQ247" s="56">
        <f>IFERROR(IF(($IH247)&gt;0,($IK247*cfg_TroyOz)/($IH247),""),"")</f>
        <v/>
      </c>
      <c r="IR247" s="56">
        <f>IFERROR(IF(($II247)&gt;0,($IL247*cfg_TroyOz)/($II247),""),"")</f>
        <v/>
      </c>
      <c r="IS247" s="67">
        <f>IFERROR(IF(($IJ247)&gt;0,($IM247)/($IJ247),""),"")</f>
        <v/>
      </c>
      <c r="IT247" s="67">
        <f>IFERROR(IF(($IK247)&gt;0,($IN247)/($IK247),""),"")</f>
        <v/>
      </c>
      <c r="IU247" s="67">
        <f>IFERROR(IF(($IL247)&gt;0,($IO247)/($IL247),""),"")</f>
        <v/>
      </c>
      <c r="IV247" s="55">
        <f>SUMIFS(tblBudget[Gold_Poured_oz],tblBudget[Month],$E247)</f>
        <v/>
      </c>
      <c r="IW247" s="55">
        <f>$IV247*$C247/$D247</f>
        <v/>
      </c>
      <c r="IX247" s="55">
        <f>SUMIFS(tblBudget[Gold_Poured_oz],tblBudget[Month],"&lt;"&amp;$E247)+$IW247</f>
        <v/>
      </c>
      <c r="IY247" s="57">
        <f>SUMIFS(tblBudget[Hours_Worked],tblBudget[Month],$E247)</f>
        <v/>
      </c>
      <c r="IZ247" s="57">
        <f>$IY247*$C247/$D247</f>
        <v/>
      </c>
      <c r="JA247" s="57">
        <f>SUMIFS(tblBudget[Hours_Worked],tblBudget[Month],"&lt;"&amp;$E247)+$IZ247</f>
        <v/>
      </c>
    </row>
    <row r="248">
      <c r="A248" s="54" t="n">
        <v>46269</v>
      </c>
      <c r="B248">
        <f>MONTH($A248)</f>
        <v/>
      </c>
      <c r="C248">
        <f>DAY($A248)</f>
        <v/>
      </c>
      <c r="D248">
        <f>DAY(EOMONTH($A248,0))</f>
        <v/>
      </c>
      <c r="E248" s="54">
        <f>DATE(YEAR($A248),MONTH($A248),1)</f>
        <v/>
      </c>
      <c r="F248" s="55">
        <f>SUMIFS(tblMovement[Tonnes_t],tblMovement[Date],$A248,tblMovement[Is_Ore],1,tblMovement[Source_Type],"Pit")</f>
        <v/>
      </c>
      <c r="G248" s="55">
        <f>IF($B248=$B247,$G247,0)+$F248</f>
        <v/>
      </c>
      <c r="H248" s="55">
        <f>$H247+$F248</f>
        <v/>
      </c>
      <c r="I248" s="55">
        <f>SUMIFS(tblMovement[Ore_oz],tblMovement[Date],$A248,tblMovement[Source_Type],"Pit")</f>
        <v/>
      </c>
      <c r="J248" s="55">
        <f>IF($B248=$B247,$J247,0)+$I248</f>
        <v/>
      </c>
      <c r="K248" s="55">
        <f>$K247+$I248</f>
        <v/>
      </c>
      <c r="L248" s="56">
        <f>IFERROR(IF(($F248)&gt;0,($I248*cfg_TroyOz)/($F248),""),"")</f>
        <v/>
      </c>
      <c r="M248" s="56">
        <f>IFERROR(IF(($G248)&gt;0,($J248*cfg_TroyOz)/($G248),""),"")</f>
        <v/>
      </c>
      <c r="N248" s="56">
        <f>IFERROR(IF(($H248)&gt;0,($K248*cfg_TroyOz)/($H248),""),"")</f>
        <v/>
      </c>
      <c r="O248" s="55">
        <f>SUMIFS(tblMovement[Tonnes_t],tblMovement[Date],$A248,tblMovement[Is_Ore],0,tblMovement[Source_Type],"Pit")</f>
        <v/>
      </c>
      <c r="P248" s="55">
        <f>IF($B248=$B247,$P247,0)+$O248</f>
        <v/>
      </c>
      <c r="Q248" s="55">
        <f>$Q247+$O248</f>
        <v/>
      </c>
      <c r="R248" s="55">
        <f>$F248+$O248</f>
        <v/>
      </c>
      <c r="S248" s="55">
        <f>IF($B248=$B247,$S247,0)+$R248</f>
        <v/>
      </c>
      <c r="T248" s="55">
        <f>$T247+$R248</f>
        <v/>
      </c>
      <c r="U248" s="56">
        <f>IFERROR(IF(($F248)&gt;0,($O248)/($F248),""),"")</f>
        <v/>
      </c>
      <c r="V248" s="56">
        <f>IFERROR(IF(($G248)&gt;0,($P248)/($G248),""),"")</f>
        <v/>
      </c>
      <c r="W248" s="56">
        <f>IFERROR(IF(($H248)&gt;0,($Q248)/($H248),""),"")</f>
        <v/>
      </c>
      <c r="X248" s="55">
        <f>SUMIFS(tblMovement[Tonnes_t],tblMovement[Date],$A248,tblMovement[Source_Type],"Stockpile")</f>
        <v/>
      </c>
      <c r="Y248" s="55">
        <f>IF($B248=$B247,$Y247,0)+$X248</f>
        <v/>
      </c>
      <c r="Z248" s="55">
        <f>$Z247+$X248</f>
        <v/>
      </c>
      <c r="AA248" s="55">
        <f>SUMIFS(tblMiningDaily[Drill_m],tblMiningDaily[Date],$A248)</f>
        <v/>
      </c>
      <c r="AB248" s="55">
        <f>IF($B248=$B247,$AB247,0)+$AA248</f>
        <v/>
      </c>
      <c r="AC248" s="55">
        <f>$AC247+$AA248</f>
        <v/>
      </c>
      <c r="AD248" s="55">
        <f>SUMIFS(tblMiningDaily[Blast_t],tblMiningDaily[Date],$A248)</f>
        <v/>
      </c>
      <c r="AE248" s="55">
        <f>IF($B248=$B247,$AE247,0)+$AD248</f>
        <v/>
      </c>
      <c r="AF248" s="55">
        <f>$AF247+$AD248</f>
        <v/>
      </c>
      <c r="AG248" s="55">
        <f>SUMIFS(tblMiningDaily[Explosives_kg],tblMiningDaily[Date],$A248)</f>
        <v/>
      </c>
      <c r="AH248" s="55">
        <f>IF($B248=$B247,$AH247,0)+$AG248</f>
        <v/>
      </c>
      <c r="AI248" s="55">
        <f>$AI247+$AG248</f>
        <v/>
      </c>
      <c r="AJ248" s="56">
        <f>IFERROR(IF(($AD248)&gt;0,($AG248)/($AD248),""),"")</f>
        <v/>
      </c>
      <c r="AK248" s="56">
        <f>IFERROR(IF(($AE248)&gt;0,($AH248)/($AE248),""),"")</f>
        <v/>
      </c>
      <c r="AL248" s="56">
        <f>IFERROR(IF(($AF248)&gt;0,($AI248)/($AF248),""),"")</f>
        <v/>
      </c>
      <c r="AM248" s="55">
        <f>SUMIFS(tblMiningDaily[Diesel_L],tblMiningDaily[Date],$A248)</f>
        <v/>
      </c>
      <c r="AN248" s="55">
        <f>IF($B248=$B247,$AN247,0)+$AM248</f>
        <v/>
      </c>
      <c r="AO248" s="55">
        <f>$AO247+$AM248</f>
        <v/>
      </c>
      <c r="AP248" s="55">
        <f>SUMIFS(tblMiningDaily[Dewatering_m3],tblMiningDaily[Date],$A248)</f>
        <v/>
      </c>
      <c r="AQ248" s="55">
        <f>IF($B248=$B247,$AQ247,0)+$AP248</f>
        <v/>
      </c>
      <c r="AR248" s="55">
        <f>$AR247+$AP248</f>
        <v/>
      </c>
      <c r="AS248" s="57">
        <f>SUMIFS(tblFleet[Calendar_h],tblFleet[Date],$A248,tblFleet[Equipment_Class],"Excavator")</f>
        <v/>
      </c>
      <c r="AT248" s="57">
        <f>IF($B248=$B247,$AT247,0)+$AS248</f>
        <v/>
      </c>
      <c r="AU248" s="57">
        <f>$AU247+$AS248</f>
        <v/>
      </c>
      <c r="AV248" s="57">
        <f>SUMIFS(tblFleet[Available_h],tblFleet[Date],$A248,tblFleet[Equipment_Class],"Excavator")</f>
        <v/>
      </c>
      <c r="AW248" s="57">
        <f>IF($B248=$B247,$AW247,0)+$AV248</f>
        <v/>
      </c>
      <c r="AX248" s="57">
        <f>$AX247+$AV248</f>
        <v/>
      </c>
      <c r="AY248" s="57">
        <f>SUMIFS(tblFleet[Operating_h],tblFleet[Date],$A248,tblFleet[Equipment_Class],"Excavator")</f>
        <v/>
      </c>
      <c r="AZ248" s="57">
        <f>IF($B248=$B247,$AZ247,0)+$AY248</f>
        <v/>
      </c>
      <c r="BA248" s="57">
        <f>$BA247+$AY248</f>
        <v/>
      </c>
      <c r="BB248" s="67">
        <f>IFERROR(IF(($AS248)&gt;0,($AV248)/($AS248),""),"")</f>
        <v/>
      </c>
      <c r="BC248" s="67">
        <f>IFERROR(IF(($AT248)&gt;0,($AW248)/($AT248),""),"")</f>
        <v/>
      </c>
      <c r="BD248" s="67">
        <f>IFERROR(IF(($AU248)&gt;0,($AX248)/($AU248),""),"")</f>
        <v/>
      </c>
      <c r="BE248" s="67">
        <f>IFERROR(IF(($AV248)&gt;0,($AY248)/($AV248),""),"")</f>
        <v/>
      </c>
      <c r="BF248" s="67">
        <f>IFERROR(IF(($AW248)&gt;0,($AZ248)/($AW248),""),"")</f>
        <v/>
      </c>
      <c r="BG248" s="67">
        <f>IFERROR(IF(($AX248)&gt;0,($BA248)/($AX248),""),"")</f>
        <v/>
      </c>
      <c r="BH248" s="57">
        <f>SUMIFS(tblFleet[Calendar_h],tblFleet[Date],$A248,tblFleet[Equipment_Class],"Haul Truck")</f>
        <v/>
      </c>
      <c r="BI248" s="57">
        <f>IF($B248=$B247,$BI247,0)+$BH248</f>
        <v/>
      </c>
      <c r="BJ248" s="57">
        <f>$BJ247+$BH248</f>
        <v/>
      </c>
      <c r="BK248" s="57">
        <f>SUMIFS(tblFleet[Available_h],tblFleet[Date],$A248,tblFleet[Equipment_Class],"Haul Truck")</f>
        <v/>
      </c>
      <c r="BL248" s="57">
        <f>IF($B248=$B247,$BL247,0)+$BK248</f>
        <v/>
      </c>
      <c r="BM248" s="57">
        <f>$BM247+$BK248</f>
        <v/>
      </c>
      <c r="BN248" s="57">
        <f>SUMIFS(tblFleet[Operating_h],tblFleet[Date],$A248,tblFleet[Equipment_Class],"Haul Truck")</f>
        <v/>
      </c>
      <c r="BO248" s="57">
        <f>IF($B248=$B247,$BO247,0)+$BN248</f>
        <v/>
      </c>
      <c r="BP248" s="57">
        <f>$BP247+$BN248</f>
        <v/>
      </c>
      <c r="BQ248" s="67">
        <f>IFERROR(IF(($BH248)&gt;0,($BK248)/($BH248),""),"")</f>
        <v/>
      </c>
      <c r="BR248" s="67">
        <f>IFERROR(IF(($BI248)&gt;0,($BL248)/($BI248),""),"")</f>
        <v/>
      </c>
      <c r="BS248" s="67">
        <f>IFERROR(IF(($BJ248)&gt;0,($BM248)/($BJ248),""),"")</f>
        <v/>
      </c>
      <c r="BT248" s="67">
        <f>IFERROR(IF(($BK248)&gt;0,($BN248)/($BK248),""),"")</f>
        <v/>
      </c>
      <c r="BU248" s="67">
        <f>IFERROR(IF(($BL248)&gt;0,($BO248)/($BL248),""),"")</f>
        <v/>
      </c>
      <c r="BV248" s="67">
        <f>IFERROR(IF(($BM248)&gt;0,($BP248)/($BM248),""),"")</f>
        <v/>
      </c>
      <c r="BW248" s="55">
        <f>SUMIFS(tblPlant[Crushed_t],tblPlant[Date],$A248)</f>
        <v/>
      </c>
      <c r="BX248" s="55">
        <f>IF($B248=$B247,$BX247,0)+$BW248</f>
        <v/>
      </c>
      <c r="BY248" s="55">
        <f>$BY247+$BW248</f>
        <v/>
      </c>
      <c r="BZ248" s="55">
        <f>SUMIFS(tblPlant[Milled_t],tblPlant[Date],$A248)</f>
        <v/>
      </c>
      <c r="CA248" s="55">
        <f>IF($B248=$B247,$CA247,0)+$BZ248</f>
        <v/>
      </c>
      <c r="CB248" s="55">
        <f>$CB247+$BZ248</f>
        <v/>
      </c>
      <c r="CC248" s="55">
        <f>SUMIFS(tblPlant[Feed_oz],tblPlant[Date],$A248)</f>
        <v/>
      </c>
      <c r="CD248" s="55">
        <f>IF($B248=$B247,$CD247,0)+$CC248</f>
        <v/>
      </c>
      <c r="CE248" s="55">
        <f>$CE247+$CC248</f>
        <v/>
      </c>
      <c r="CF248" s="55">
        <f>SUMIFS(tblPlant[Tails_oz],tblPlant[Date],$A248)</f>
        <v/>
      </c>
      <c r="CG248" s="55">
        <f>IF($B248=$B247,$CG247,0)+$CF248</f>
        <v/>
      </c>
      <c r="CH248" s="55">
        <f>$CH247+$CF248</f>
        <v/>
      </c>
      <c r="CI248" s="55">
        <f>SUMIFS(tblPlant[Recovered_oz],tblPlant[Date],$A248)</f>
        <v/>
      </c>
      <c r="CJ248" s="55">
        <f>IF($B248=$B247,$CJ247,0)+$CI248</f>
        <v/>
      </c>
      <c r="CK248" s="55">
        <f>$CK247+$CI248</f>
        <v/>
      </c>
      <c r="CL248" s="56">
        <f>IFERROR(IF(($BZ248)&gt;0,($CC248*cfg_TroyOz)/($BZ248),""),"")</f>
        <v/>
      </c>
      <c r="CM248" s="56">
        <f>IFERROR(IF(($CA248)&gt;0,($CD248*cfg_TroyOz)/($CA248),""),"")</f>
        <v/>
      </c>
      <c r="CN248" s="56">
        <f>IFERROR(IF(($CB248)&gt;0,($CE248*cfg_TroyOz)/($CB248),""),"")</f>
        <v/>
      </c>
      <c r="CO248" s="56">
        <f>IFERROR(IF(($BZ248)&gt;0,($CF248*cfg_TroyOz)/($BZ248),""),"")</f>
        <v/>
      </c>
      <c r="CP248" s="56">
        <f>IFERROR(IF(($CA248)&gt;0,($CG248*cfg_TroyOz)/($CA248),""),"")</f>
        <v/>
      </c>
      <c r="CQ248" s="56">
        <f>IFERROR(IF(($CB248)&gt;0,($CH248*cfg_TroyOz)/($CB248),""),"")</f>
        <v/>
      </c>
      <c r="CR248" s="67">
        <f>IFERROR(IF(($CC248)&gt;0,($CI248)/($CC248),""),"")</f>
        <v/>
      </c>
      <c r="CS248" s="67">
        <f>IFERROR(IF(($CD248)&gt;0,($CJ248)/($CD248),""),"")</f>
        <v/>
      </c>
      <c r="CT248" s="67">
        <f>IFERROR(IF(($CE248)&gt;0,($CK248)/($CE248),""),"")</f>
        <v/>
      </c>
      <c r="CU248" s="55">
        <f>SUMIFS(tblPlant[Gravity_Gold_oz],tblPlant[Date],$A248)</f>
        <v/>
      </c>
      <c r="CV248" s="55">
        <f>IF($B248=$B247,$CV247,0)+$CU248</f>
        <v/>
      </c>
      <c r="CW248" s="55">
        <f>$CW247+$CU248</f>
        <v/>
      </c>
      <c r="CX248" s="55">
        <f>SUMIFS(tblPlant[Gold_Poured_oz],tblPlant[Date],$A248)</f>
        <v/>
      </c>
      <c r="CY248" s="55">
        <f>IF($B248=$B247,$CY247,0)+$CX248</f>
        <v/>
      </c>
      <c r="CZ248" s="55">
        <f>$CZ247+$CX248</f>
        <v/>
      </c>
      <c r="DA248" s="57">
        <f>SUMIFS(tblPlant[Mill_Run_h],tblPlant[Date],$A248)</f>
        <v/>
      </c>
      <c r="DB248" s="57">
        <f>IF($B248=$B247,$DB247,0)+$DA248</f>
        <v/>
      </c>
      <c r="DC248" s="57">
        <f>$DC247+$DA248</f>
        <v/>
      </c>
      <c r="DD248" s="57">
        <f>SUMIFS(tblPlant[Mill_Planned_Maint_h],tblPlant[Date],$A248)</f>
        <v/>
      </c>
      <c r="DE248" s="57">
        <f>IF($B248=$B247,$DE247,0)+$DD248</f>
        <v/>
      </c>
      <c r="DF248" s="57">
        <f>$DF247+$DD248</f>
        <v/>
      </c>
      <c r="DG248" s="57">
        <f>SUMIFS(tblPlant[Mill_Unplanned_Down_h],tblPlant[Date],$A248)</f>
        <v/>
      </c>
      <c r="DH248" s="57">
        <f>IF($B248=$B247,$DH247,0)+$DG248</f>
        <v/>
      </c>
      <c r="DI248" s="57">
        <f>$DI247+$DG248</f>
        <v/>
      </c>
      <c r="DJ248" s="57">
        <f>COUNTIFS(tblPlant[Date],$A248,tblPlant[Mill_Run_h],"&lt;&gt;")*24</f>
        <v/>
      </c>
      <c r="DK248" s="57">
        <f>IF($B248=$B247,$DK247,0)+$DJ248</f>
        <v/>
      </c>
      <c r="DL248" s="57">
        <f>$DL247+$DJ248</f>
        <v/>
      </c>
      <c r="DM248" s="57">
        <f>SUMIFS(tblPlant[Crusher_Run_h],tblPlant[Date],$A248)</f>
        <v/>
      </c>
      <c r="DN248" s="57">
        <f>IF($B248=$B247,$DN247,0)+$DM248</f>
        <v/>
      </c>
      <c r="DO248" s="57">
        <f>$DO247+$DM248</f>
        <v/>
      </c>
      <c r="DP248" s="55">
        <f>IFERROR(IF(($DA248)&gt;0,($BZ248)/($DA248),""),"")</f>
        <v/>
      </c>
      <c r="DQ248" s="55">
        <f>IFERROR(IF(($DB248)&gt;0,($CA248)/($DB248),""),"")</f>
        <v/>
      </c>
      <c r="DR248" s="55">
        <f>IFERROR(IF(($DC248)&gt;0,($CB248)/($DC248),""),"")</f>
        <v/>
      </c>
      <c r="DS248" s="67">
        <f>IFERROR(IF(($DJ248)&gt;0,($DJ248-$DD248-$DG248)/($DJ248),""),"")</f>
        <v/>
      </c>
      <c r="DT248" s="67">
        <f>IFERROR(IF(($DK248)&gt;0,($DK248-$DE248-$DH248)/($DK248),""),"")</f>
        <v/>
      </c>
      <c r="DU248" s="67">
        <f>IFERROR(IF(($DL248)&gt;0,($DL248-$DF248-$DI248)/($DL248),""),"")</f>
        <v/>
      </c>
      <c r="DV248" s="67">
        <f>IFERROR(IF(($DJ248-$DD248-$DG248)&gt;0,($DA248)/($DJ248-$DD248-$DG248),""),"")</f>
        <v/>
      </c>
      <c r="DW248" s="67">
        <f>IFERROR(IF(($DK248-$DE248-$DH248)&gt;0,($DB248)/($DK248-$DE248-$DH248),""),"")</f>
        <v/>
      </c>
      <c r="DX248" s="67">
        <f>IFERROR(IF(($DL248-$DF248-$DI248)&gt;0,($DC248)/($DL248-$DF248-$DI248),""),"")</f>
        <v/>
      </c>
      <c r="DY248" s="55">
        <f>SUMIFS(tblPlant[Cyanide_kg],tblPlant[Date],$A248)</f>
        <v/>
      </c>
      <c r="DZ248" s="55">
        <f>IF($B248=$B247,$DZ247,0)+$DY248</f>
        <v/>
      </c>
      <c r="EA248" s="55">
        <f>$EA247+$DY248</f>
        <v/>
      </c>
      <c r="EB248" s="55">
        <f>SUMIFS(tblPlant[Lime_kg],tblPlant[Date],$A248)</f>
        <v/>
      </c>
      <c r="EC248" s="55">
        <f>IF($B248=$B247,$EC247,0)+$EB248</f>
        <v/>
      </c>
      <c r="ED248" s="55">
        <f>$ED247+$EB248</f>
        <v/>
      </c>
      <c r="EE248" s="55">
        <f>SUMIFS(tblPlant[Grinding_Media_kg],tblPlant[Date],$A248)</f>
        <v/>
      </c>
      <c r="EF248" s="55">
        <f>IF($B248=$B247,$EF247,0)+$EE248</f>
        <v/>
      </c>
      <c r="EG248" s="55">
        <f>$EG247+$EE248</f>
        <v/>
      </c>
      <c r="EH248" s="55">
        <f>SUMIFS(tblPlant[Power_kWh],tblPlant[Date],$A248)</f>
        <v/>
      </c>
      <c r="EI248" s="55">
        <f>IF($B248=$B247,$EI247,0)+$EH248</f>
        <v/>
      </c>
      <c r="EJ248" s="55">
        <f>$EJ247+$EH248</f>
        <v/>
      </c>
      <c r="EK248" s="55">
        <f>SUMIFS(tblPlant[Raw_Water_m3],tblPlant[Date],$A248)</f>
        <v/>
      </c>
      <c r="EL248" s="55">
        <f>IF($B248=$B247,$EL247,0)+$EK248</f>
        <v/>
      </c>
      <c r="EM248" s="55">
        <f>$EM247+$EK248</f>
        <v/>
      </c>
      <c r="EN248" s="56">
        <f>IFERROR(IF(($BZ248)&gt;0,($DY248)/($BZ248),""),"")</f>
        <v/>
      </c>
      <c r="EO248" s="56">
        <f>IFERROR(IF(($CA248)&gt;0,($DZ248)/($CA248),""),"")</f>
        <v/>
      </c>
      <c r="EP248" s="56">
        <f>IFERROR(IF(($CB248)&gt;0,($EA248)/($CB248),""),"")</f>
        <v/>
      </c>
      <c r="EQ248" s="56">
        <f>IFERROR(IF(($BZ248)&gt;0,($EB248)/($BZ248),""),"")</f>
        <v/>
      </c>
      <c r="ER248" s="56">
        <f>IFERROR(IF(($CA248)&gt;0,($EC248)/($CA248),""),"")</f>
        <v/>
      </c>
      <c r="ES248" s="56">
        <f>IFERROR(IF(($CB248)&gt;0,($ED248)/($CB248),""),"")</f>
        <v/>
      </c>
      <c r="ET248" s="56">
        <f>IFERROR(IF(($BZ248)&gt;0,($EE248)/($BZ248),""),"")</f>
        <v/>
      </c>
      <c r="EU248" s="56">
        <f>IFERROR(IF(($CA248)&gt;0,($EF248)/($CA248),""),"")</f>
        <v/>
      </c>
      <c r="EV248" s="56">
        <f>IFERROR(IF(($CB248)&gt;0,($EG248)/($CB248),""),"")</f>
        <v/>
      </c>
      <c r="EW248" s="76">
        <f>IFERROR(IF(($BZ248)&gt;0,($EH248)/($BZ248),""),"")</f>
        <v/>
      </c>
      <c r="EX248" s="76">
        <f>IFERROR(IF(($CA248)&gt;0,($EI248)/($CA248),""),"")</f>
        <v/>
      </c>
      <c r="EY248" s="76">
        <f>IFERROR(IF(($CB248)&gt;0,($EJ248)/($CB248),""),"")</f>
        <v/>
      </c>
      <c r="EZ248" s="56">
        <f>IFERROR(IF(($BZ248)&gt;0,($EK248)/($BZ248),""),"")</f>
        <v/>
      </c>
      <c r="FA248" s="56">
        <f>IFERROR(IF(($CA248)&gt;0,($EL248)/($CA248),""),"")</f>
        <v/>
      </c>
      <c r="FB248" s="56">
        <f>IFERROR(IF(($CB248)&gt;0,($EM248)/($CB248),""),"")</f>
        <v/>
      </c>
      <c r="FC248" s="55">
        <f>IF(SUMIFS(tblPlant[GIC_oz],tblPlant[Date],$A248)&gt;0,SUMIFS(tblPlant[GIC_oz],tblPlant[Date],$A248),"")</f>
        <v/>
      </c>
      <c r="FD248" s="55">
        <f>SUMIFS(tblGold[Gold_oz],tblGold[Date],$A248,tblGold[Type],"Shipment")</f>
        <v/>
      </c>
      <c r="FE248" s="55">
        <f>IF($B248=$B247,$FE247,0)+$FD248</f>
        <v/>
      </c>
      <c r="FF248" s="55">
        <f>$FF247+$FD248</f>
        <v/>
      </c>
      <c r="FG248" s="55">
        <f>SUMIFS(tblGold[Gold_oz],tblGold[Date],$A248,tblGold[Type],"Sale")</f>
        <v/>
      </c>
      <c r="FH248" s="55">
        <f>IF($B248=$B247,$FH247,0)+$FG248</f>
        <v/>
      </c>
      <c r="FI248" s="55">
        <f>$FI247+$FG248</f>
        <v/>
      </c>
      <c r="FJ248" s="55">
        <f>SUMIFS(tblGold[Dore_kg],tblGold[Date],$A248,tblGold[Type],"Shipment")</f>
        <v/>
      </c>
      <c r="FK248" s="55">
        <f>IF($B248=$B247,$FK247,0)+$FJ248</f>
        <v/>
      </c>
      <c r="FL248" s="55">
        <f>$FL247+$FJ248</f>
        <v/>
      </c>
      <c r="FM248" s="57">
        <f>SUMIFS(tblSafety[Hours_Total],tblSafety[Date],$A248)</f>
        <v/>
      </c>
      <c r="FN248" s="57">
        <f>IF($B248=$B247,$FN247,0)+$FM248</f>
        <v/>
      </c>
      <c r="FO248" s="57">
        <f>$FO247+$FM248</f>
        <v/>
      </c>
      <c r="FP248" s="62">
        <f>SUMIFS(tblSafety[Fatality],tblSafety[Date],$A248)</f>
        <v/>
      </c>
      <c r="FQ248" s="62">
        <f>IF($B248=$B247,$FQ247,0)+$FP248</f>
        <v/>
      </c>
      <c r="FR248" s="62">
        <f>$FR247+$FP248</f>
        <v/>
      </c>
      <c r="FS248" s="62">
        <f>SUMIFS(tblSafety[LTI],tblSafety[Date],$A248)</f>
        <v/>
      </c>
      <c r="FT248" s="62">
        <f>IF($B248=$B247,$FT247,0)+$FS248</f>
        <v/>
      </c>
      <c r="FU248" s="62">
        <f>$FU247+$FS248</f>
        <v/>
      </c>
      <c r="FV248" s="62">
        <f>SUMIFS(tblSafety[RWI],tblSafety[Date],$A248)</f>
        <v/>
      </c>
      <c r="FW248" s="62">
        <f>IF($B248=$B247,$FW247,0)+$FV248</f>
        <v/>
      </c>
      <c r="FX248" s="62">
        <f>$FX247+$FV248</f>
        <v/>
      </c>
      <c r="FY248" s="62">
        <f>SUMIFS(tblSafety[MTI],tblSafety[Date],$A248)</f>
        <v/>
      </c>
      <c r="FZ248" s="62">
        <f>IF($B248=$B247,$FZ247,0)+$FY248</f>
        <v/>
      </c>
      <c r="GA248" s="62">
        <f>$GA247+$FY248</f>
        <v/>
      </c>
      <c r="GB248" s="62">
        <f>SUMIFS(tblSafety[FAI],tblSafety[Date],$A248)</f>
        <v/>
      </c>
      <c r="GC248" s="62">
        <f>IF($B248=$B247,$GC247,0)+$GB248</f>
        <v/>
      </c>
      <c r="GD248" s="62">
        <f>$GD247+$GB248</f>
        <v/>
      </c>
      <c r="GE248" s="62">
        <f>SUMIFS(tblSafety[Recordables],tblSafety[Date],$A248)</f>
        <v/>
      </c>
      <c r="GF248" s="62">
        <f>IF($B248=$B247,$GF247,0)+$GE248</f>
        <v/>
      </c>
      <c r="GG248" s="62">
        <f>$GG247+$GE248</f>
        <v/>
      </c>
      <c r="GH248" s="62">
        <f>SUMIFS(tblSafety[Near_Miss],tblSafety[Date],$A248)</f>
        <v/>
      </c>
      <c r="GI248" s="62">
        <f>IF($B248=$B247,$GI247,0)+$GH248</f>
        <v/>
      </c>
      <c r="GJ248" s="62">
        <f>$GJ247+$GH248</f>
        <v/>
      </c>
      <c r="GK248" s="62">
        <f>SUMIFS(tblSafety[Hazard_Reports],tblSafety[Date],$A248)</f>
        <v/>
      </c>
      <c r="GL248" s="62">
        <f>IF($B248=$B247,$GL247,0)+$GK248</f>
        <v/>
      </c>
      <c r="GM248" s="62">
        <f>$GM247+$GK248</f>
        <v/>
      </c>
      <c r="GN248" s="62">
        <f>SUMIFS(tblSafety[HPI],tblSafety[Date],$A248)</f>
        <v/>
      </c>
      <c r="GO248" s="62">
        <f>IF($B248=$B247,$GO247,0)+$GN248</f>
        <v/>
      </c>
      <c r="GP248" s="62">
        <f>$GP247+$GN248</f>
        <v/>
      </c>
      <c r="GQ248" s="62">
        <f>SUMIFS(tblSafety[Env_Incidents],tblSafety[Date],$A248)</f>
        <v/>
      </c>
      <c r="GR248" s="62">
        <f>IF($B248=$B247,$GR247,0)+$GQ248</f>
        <v/>
      </c>
      <c r="GS248" s="62">
        <f>$GS247+$GQ248</f>
        <v/>
      </c>
      <c r="GT248" s="62">
        <f>SUMIFS(tblSafety[Community_Incidents],tblSafety[Date],$A248)</f>
        <v/>
      </c>
      <c r="GU248" s="62">
        <f>IF($B248=$B247,$GU247,0)+$GT248</f>
        <v/>
      </c>
      <c r="GV248" s="62">
        <f>$GV247+$GT248</f>
        <v/>
      </c>
      <c r="GW248" s="62">
        <f>SUMIFS(tblSafety[Vehicle_Incidents],tblSafety[Date],$A248)</f>
        <v/>
      </c>
      <c r="GX248" s="62">
        <f>IF($B248=$B247,$GX247,0)+$GW248</f>
        <v/>
      </c>
      <c r="GY248" s="62">
        <f>$GY247+$GW248</f>
        <v/>
      </c>
      <c r="GZ248" s="62">
        <f>SUMIFS(tblSafety[Toolbox_Talks],tblSafety[Date],$A248)</f>
        <v/>
      </c>
      <c r="HA248" s="62">
        <f>IF($B248=$B247,$HA247,0)+$GZ248</f>
        <v/>
      </c>
      <c r="HB248" s="62">
        <f>$HB247+$GZ248</f>
        <v/>
      </c>
      <c r="HC248" s="62">
        <f>SUMIFS(tblSafety[Inspections],tblSafety[Date],$A248)</f>
        <v/>
      </c>
      <c r="HD248" s="62">
        <f>IF($B248=$B247,$HD247,0)+$HC248</f>
        <v/>
      </c>
      <c r="HE248" s="62">
        <f>$HE247+$HC248</f>
        <v/>
      </c>
      <c r="HF248" s="56">
        <f>IFERROR((SUMIFS(tblSafety[Recordables],tblSafety[Date],"&gt;="&amp;EDATE($E248,-12),tblSafety[Date],"&lt;="&amp;$A248)+SUMIFS(tblSafetyHistory[Recordables],tblSafetyHistory[Month],"&gt;="&amp;EDATE($E248,-12),tblSafetyHistory[Month],"&lt;"&amp;cfg_YearStart))/(SUMIFS(tblSafety[Hours_Total],tblSafety[Date],"&gt;="&amp;EDATE($E248,-12),tblSafety[Date],"&lt;="&amp;$A248)+SUMIFS(tblSafetyHistory[Hours_Total],tblSafetyHistory[Month],"&gt;="&amp;EDATE($E248,-12),tblSafetyHistory[Month],"&lt;"&amp;cfg_YearStart))*1000000,"")</f>
        <v/>
      </c>
      <c r="HG248" s="56">
        <f>IFERROR((SUMIFS(tblSafety[LTI],tblSafety[Date],"&gt;="&amp;EDATE($E248,-12),tblSafety[Date],"&lt;="&amp;$A248)+SUMIFS(tblSafetyHistory[LTI],tblSafetyHistory[Month],"&gt;="&amp;EDATE($E248,-12),tblSafetyHistory[Month],"&lt;"&amp;cfg_YearStart))/(SUMIFS(tblSafety[Hours_Total],tblSafety[Date],"&gt;="&amp;EDATE($E248,-12),tblSafety[Date],"&lt;="&amp;$A248)+SUMIFS(tblSafetyHistory[Hours_Total],tblSafetyHistory[Month],"&gt;="&amp;EDATE($E248,-12),tblSafetyHistory[Month],"&lt;"&amp;cfg_YearStart))*1000000,"")</f>
        <v/>
      </c>
      <c r="HH248" s="62">
        <f>IF(MAX(N(cfg_PriorLTIDate),_xlfn.MAXIFS(tblSafety[Date],tblSafety[LTI],"&gt;0",tblSafety[Date],"&lt;="&amp;$A248))=0,"",$A248-MAX(N(cfg_PriorLTIDate),_xlfn.MAXIFS(tblSafety[Date],tblSafety[LTI],"&gt;0",tblSafety[Date],"&lt;="&amp;$A248)))</f>
        <v/>
      </c>
      <c r="HI248" s="55">
        <f>SUMIFS(tblBudget[Ore_Mined_t],tblBudget[Month],$E248)</f>
        <v/>
      </c>
      <c r="HJ248" s="55">
        <f>$HI248*$C248/$D248</f>
        <v/>
      </c>
      <c r="HK248" s="55">
        <f>SUMIFS(tblBudget[Ore_Mined_t],tblBudget[Month],"&lt;"&amp;$E248)+$HJ248</f>
        <v/>
      </c>
      <c r="HL248" s="55">
        <f>SUMIFS(tblBudget[Ore_oz],tblBudget[Month],$E248)</f>
        <v/>
      </c>
      <c r="HM248" s="55">
        <f>$HL248*$C248/$D248</f>
        <v/>
      </c>
      <c r="HN248" s="55">
        <f>SUMIFS(tblBudget[Ore_oz],tblBudget[Month],"&lt;"&amp;$E248)+$HM248</f>
        <v/>
      </c>
      <c r="HO248" s="56">
        <f>IFERROR(IF(($HI248)&gt;0,($HL248*cfg_TroyOz)/($HI248),""),"")</f>
        <v/>
      </c>
      <c r="HP248" s="56">
        <f>IFERROR(IF(($HJ248)&gt;0,($HM248*cfg_TroyOz)/($HJ248),""),"")</f>
        <v/>
      </c>
      <c r="HQ248" s="56">
        <f>IFERROR(IF(($HK248)&gt;0,($HN248*cfg_TroyOz)/($HK248),""),"")</f>
        <v/>
      </c>
      <c r="HR248" s="55">
        <f>SUMIFS(tblBudget[Waste_t],tblBudget[Month],$E248)</f>
        <v/>
      </c>
      <c r="HS248" s="55">
        <f>$HR248*$C248/$D248</f>
        <v/>
      </c>
      <c r="HT248" s="55">
        <f>SUMIFS(tblBudget[Waste_t],tblBudget[Month],"&lt;"&amp;$E248)+$HS248</f>
        <v/>
      </c>
      <c r="HU248" s="55">
        <f>SUMIFS(tblBudget[TMM_t],tblBudget[Month],$E248)</f>
        <v/>
      </c>
      <c r="HV248" s="55">
        <f>$HU248*$C248/$D248</f>
        <v/>
      </c>
      <c r="HW248" s="55">
        <f>SUMIFS(tblBudget[TMM_t],tblBudget[Month],"&lt;"&amp;$E248)+$HV248</f>
        <v/>
      </c>
      <c r="HX248" s="56">
        <f>IFERROR(IF(($HI248)&gt;0,($HR248)/($HI248),""),"")</f>
        <v/>
      </c>
      <c r="HY248" s="56">
        <f>IFERROR(IF(($HJ248)&gt;0,($HS248)/($HJ248),""),"")</f>
        <v/>
      </c>
      <c r="HZ248" s="56">
        <f>IFERROR(IF(($HK248)&gt;0,($HT248)/($HK248),""),"")</f>
        <v/>
      </c>
      <c r="IA248" s="55">
        <f>SUMIFS(tblBudget[Drill_m],tblBudget[Month],$E248)</f>
        <v/>
      </c>
      <c r="IB248" s="55">
        <f>$IA248*$C248/$D248</f>
        <v/>
      </c>
      <c r="IC248" s="55">
        <f>SUMIFS(tblBudget[Drill_m],tblBudget[Month],"&lt;"&amp;$E248)+$IB248</f>
        <v/>
      </c>
      <c r="ID248" s="55">
        <f>SUMIFS(tblBudget[Diesel_L],tblBudget[Month],$E248)</f>
        <v/>
      </c>
      <c r="IE248" s="55">
        <f>$ID248*$C248/$D248</f>
        <v/>
      </c>
      <c r="IF248" s="55">
        <f>SUMIFS(tblBudget[Diesel_L],tblBudget[Month],"&lt;"&amp;$E248)+$IE248</f>
        <v/>
      </c>
      <c r="IG248" s="55">
        <f>SUMIFS(tblBudget[Milled_t],tblBudget[Month],$E248)</f>
        <v/>
      </c>
      <c r="IH248" s="55">
        <f>$IG248*$C248/$D248</f>
        <v/>
      </c>
      <c r="II248" s="55">
        <f>SUMIFS(tblBudget[Milled_t],tblBudget[Month],"&lt;"&amp;$E248)+$IH248</f>
        <v/>
      </c>
      <c r="IJ248" s="55">
        <f>SUMIFS(tblBudget[Feed_oz],tblBudget[Month],$E248)</f>
        <v/>
      </c>
      <c r="IK248" s="55">
        <f>$IJ248*$C248/$D248</f>
        <v/>
      </c>
      <c r="IL248" s="55">
        <f>SUMIFS(tblBudget[Feed_oz],tblBudget[Month],"&lt;"&amp;$E248)+$IK248</f>
        <v/>
      </c>
      <c r="IM248" s="55">
        <f>SUMIFS(tblBudget[Recovered_oz],tblBudget[Month],$E248)</f>
        <v/>
      </c>
      <c r="IN248" s="55">
        <f>$IM248*$C248/$D248</f>
        <v/>
      </c>
      <c r="IO248" s="55">
        <f>SUMIFS(tblBudget[Recovered_oz],tblBudget[Month],"&lt;"&amp;$E248)+$IN248</f>
        <v/>
      </c>
      <c r="IP248" s="56">
        <f>IFERROR(IF(($IG248)&gt;0,($IJ248*cfg_TroyOz)/($IG248),""),"")</f>
        <v/>
      </c>
      <c r="IQ248" s="56">
        <f>IFERROR(IF(($IH248)&gt;0,($IK248*cfg_TroyOz)/($IH248),""),"")</f>
        <v/>
      </c>
      <c r="IR248" s="56">
        <f>IFERROR(IF(($II248)&gt;0,($IL248*cfg_TroyOz)/($II248),""),"")</f>
        <v/>
      </c>
      <c r="IS248" s="67">
        <f>IFERROR(IF(($IJ248)&gt;0,($IM248)/($IJ248),""),"")</f>
        <v/>
      </c>
      <c r="IT248" s="67">
        <f>IFERROR(IF(($IK248)&gt;0,($IN248)/($IK248),""),"")</f>
        <v/>
      </c>
      <c r="IU248" s="67">
        <f>IFERROR(IF(($IL248)&gt;0,($IO248)/($IL248),""),"")</f>
        <v/>
      </c>
      <c r="IV248" s="55">
        <f>SUMIFS(tblBudget[Gold_Poured_oz],tblBudget[Month],$E248)</f>
        <v/>
      </c>
      <c r="IW248" s="55">
        <f>$IV248*$C248/$D248</f>
        <v/>
      </c>
      <c r="IX248" s="55">
        <f>SUMIFS(tblBudget[Gold_Poured_oz],tblBudget[Month],"&lt;"&amp;$E248)+$IW248</f>
        <v/>
      </c>
      <c r="IY248" s="57">
        <f>SUMIFS(tblBudget[Hours_Worked],tblBudget[Month],$E248)</f>
        <v/>
      </c>
      <c r="IZ248" s="57">
        <f>$IY248*$C248/$D248</f>
        <v/>
      </c>
      <c r="JA248" s="57">
        <f>SUMIFS(tblBudget[Hours_Worked],tblBudget[Month],"&lt;"&amp;$E248)+$IZ248</f>
        <v/>
      </c>
    </row>
    <row r="249">
      <c r="A249" s="54" t="n">
        <v>46270</v>
      </c>
      <c r="B249">
        <f>MONTH($A249)</f>
        <v/>
      </c>
      <c r="C249">
        <f>DAY($A249)</f>
        <v/>
      </c>
      <c r="D249">
        <f>DAY(EOMONTH($A249,0))</f>
        <v/>
      </c>
      <c r="E249" s="54">
        <f>DATE(YEAR($A249),MONTH($A249),1)</f>
        <v/>
      </c>
      <c r="F249" s="55">
        <f>SUMIFS(tblMovement[Tonnes_t],tblMovement[Date],$A249,tblMovement[Is_Ore],1,tblMovement[Source_Type],"Pit")</f>
        <v/>
      </c>
      <c r="G249" s="55">
        <f>IF($B249=$B248,$G248,0)+$F249</f>
        <v/>
      </c>
      <c r="H249" s="55">
        <f>$H248+$F249</f>
        <v/>
      </c>
      <c r="I249" s="55">
        <f>SUMIFS(tblMovement[Ore_oz],tblMovement[Date],$A249,tblMovement[Source_Type],"Pit")</f>
        <v/>
      </c>
      <c r="J249" s="55">
        <f>IF($B249=$B248,$J248,0)+$I249</f>
        <v/>
      </c>
      <c r="K249" s="55">
        <f>$K248+$I249</f>
        <v/>
      </c>
      <c r="L249" s="56">
        <f>IFERROR(IF(($F249)&gt;0,($I249*cfg_TroyOz)/($F249),""),"")</f>
        <v/>
      </c>
      <c r="M249" s="56">
        <f>IFERROR(IF(($G249)&gt;0,($J249*cfg_TroyOz)/($G249),""),"")</f>
        <v/>
      </c>
      <c r="N249" s="56">
        <f>IFERROR(IF(($H249)&gt;0,($K249*cfg_TroyOz)/($H249),""),"")</f>
        <v/>
      </c>
      <c r="O249" s="55">
        <f>SUMIFS(tblMovement[Tonnes_t],tblMovement[Date],$A249,tblMovement[Is_Ore],0,tblMovement[Source_Type],"Pit")</f>
        <v/>
      </c>
      <c r="P249" s="55">
        <f>IF($B249=$B248,$P248,0)+$O249</f>
        <v/>
      </c>
      <c r="Q249" s="55">
        <f>$Q248+$O249</f>
        <v/>
      </c>
      <c r="R249" s="55">
        <f>$F249+$O249</f>
        <v/>
      </c>
      <c r="S249" s="55">
        <f>IF($B249=$B248,$S248,0)+$R249</f>
        <v/>
      </c>
      <c r="T249" s="55">
        <f>$T248+$R249</f>
        <v/>
      </c>
      <c r="U249" s="56">
        <f>IFERROR(IF(($F249)&gt;0,($O249)/($F249),""),"")</f>
        <v/>
      </c>
      <c r="V249" s="56">
        <f>IFERROR(IF(($G249)&gt;0,($P249)/($G249),""),"")</f>
        <v/>
      </c>
      <c r="W249" s="56">
        <f>IFERROR(IF(($H249)&gt;0,($Q249)/($H249),""),"")</f>
        <v/>
      </c>
      <c r="X249" s="55">
        <f>SUMIFS(tblMovement[Tonnes_t],tblMovement[Date],$A249,tblMovement[Source_Type],"Stockpile")</f>
        <v/>
      </c>
      <c r="Y249" s="55">
        <f>IF($B249=$B248,$Y248,0)+$X249</f>
        <v/>
      </c>
      <c r="Z249" s="55">
        <f>$Z248+$X249</f>
        <v/>
      </c>
      <c r="AA249" s="55">
        <f>SUMIFS(tblMiningDaily[Drill_m],tblMiningDaily[Date],$A249)</f>
        <v/>
      </c>
      <c r="AB249" s="55">
        <f>IF($B249=$B248,$AB248,0)+$AA249</f>
        <v/>
      </c>
      <c r="AC249" s="55">
        <f>$AC248+$AA249</f>
        <v/>
      </c>
      <c r="AD249" s="55">
        <f>SUMIFS(tblMiningDaily[Blast_t],tblMiningDaily[Date],$A249)</f>
        <v/>
      </c>
      <c r="AE249" s="55">
        <f>IF($B249=$B248,$AE248,0)+$AD249</f>
        <v/>
      </c>
      <c r="AF249" s="55">
        <f>$AF248+$AD249</f>
        <v/>
      </c>
      <c r="AG249" s="55">
        <f>SUMIFS(tblMiningDaily[Explosives_kg],tblMiningDaily[Date],$A249)</f>
        <v/>
      </c>
      <c r="AH249" s="55">
        <f>IF($B249=$B248,$AH248,0)+$AG249</f>
        <v/>
      </c>
      <c r="AI249" s="55">
        <f>$AI248+$AG249</f>
        <v/>
      </c>
      <c r="AJ249" s="56">
        <f>IFERROR(IF(($AD249)&gt;0,($AG249)/($AD249),""),"")</f>
        <v/>
      </c>
      <c r="AK249" s="56">
        <f>IFERROR(IF(($AE249)&gt;0,($AH249)/($AE249),""),"")</f>
        <v/>
      </c>
      <c r="AL249" s="56">
        <f>IFERROR(IF(($AF249)&gt;0,($AI249)/($AF249),""),"")</f>
        <v/>
      </c>
      <c r="AM249" s="55">
        <f>SUMIFS(tblMiningDaily[Diesel_L],tblMiningDaily[Date],$A249)</f>
        <v/>
      </c>
      <c r="AN249" s="55">
        <f>IF($B249=$B248,$AN248,0)+$AM249</f>
        <v/>
      </c>
      <c r="AO249" s="55">
        <f>$AO248+$AM249</f>
        <v/>
      </c>
      <c r="AP249" s="55">
        <f>SUMIFS(tblMiningDaily[Dewatering_m3],tblMiningDaily[Date],$A249)</f>
        <v/>
      </c>
      <c r="AQ249" s="55">
        <f>IF($B249=$B248,$AQ248,0)+$AP249</f>
        <v/>
      </c>
      <c r="AR249" s="55">
        <f>$AR248+$AP249</f>
        <v/>
      </c>
      <c r="AS249" s="57">
        <f>SUMIFS(tblFleet[Calendar_h],tblFleet[Date],$A249,tblFleet[Equipment_Class],"Excavator")</f>
        <v/>
      </c>
      <c r="AT249" s="57">
        <f>IF($B249=$B248,$AT248,0)+$AS249</f>
        <v/>
      </c>
      <c r="AU249" s="57">
        <f>$AU248+$AS249</f>
        <v/>
      </c>
      <c r="AV249" s="57">
        <f>SUMIFS(tblFleet[Available_h],tblFleet[Date],$A249,tblFleet[Equipment_Class],"Excavator")</f>
        <v/>
      </c>
      <c r="AW249" s="57">
        <f>IF($B249=$B248,$AW248,0)+$AV249</f>
        <v/>
      </c>
      <c r="AX249" s="57">
        <f>$AX248+$AV249</f>
        <v/>
      </c>
      <c r="AY249" s="57">
        <f>SUMIFS(tblFleet[Operating_h],tblFleet[Date],$A249,tblFleet[Equipment_Class],"Excavator")</f>
        <v/>
      </c>
      <c r="AZ249" s="57">
        <f>IF($B249=$B248,$AZ248,0)+$AY249</f>
        <v/>
      </c>
      <c r="BA249" s="57">
        <f>$BA248+$AY249</f>
        <v/>
      </c>
      <c r="BB249" s="67">
        <f>IFERROR(IF(($AS249)&gt;0,($AV249)/($AS249),""),"")</f>
        <v/>
      </c>
      <c r="BC249" s="67">
        <f>IFERROR(IF(($AT249)&gt;0,($AW249)/($AT249),""),"")</f>
        <v/>
      </c>
      <c r="BD249" s="67">
        <f>IFERROR(IF(($AU249)&gt;0,($AX249)/($AU249),""),"")</f>
        <v/>
      </c>
      <c r="BE249" s="67">
        <f>IFERROR(IF(($AV249)&gt;0,($AY249)/($AV249),""),"")</f>
        <v/>
      </c>
      <c r="BF249" s="67">
        <f>IFERROR(IF(($AW249)&gt;0,($AZ249)/($AW249),""),"")</f>
        <v/>
      </c>
      <c r="BG249" s="67">
        <f>IFERROR(IF(($AX249)&gt;0,($BA249)/($AX249),""),"")</f>
        <v/>
      </c>
      <c r="BH249" s="57">
        <f>SUMIFS(tblFleet[Calendar_h],tblFleet[Date],$A249,tblFleet[Equipment_Class],"Haul Truck")</f>
        <v/>
      </c>
      <c r="BI249" s="57">
        <f>IF($B249=$B248,$BI248,0)+$BH249</f>
        <v/>
      </c>
      <c r="BJ249" s="57">
        <f>$BJ248+$BH249</f>
        <v/>
      </c>
      <c r="BK249" s="57">
        <f>SUMIFS(tblFleet[Available_h],tblFleet[Date],$A249,tblFleet[Equipment_Class],"Haul Truck")</f>
        <v/>
      </c>
      <c r="BL249" s="57">
        <f>IF($B249=$B248,$BL248,0)+$BK249</f>
        <v/>
      </c>
      <c r="BM249" s="57">
        <f>$BM248+$BK249</f>
        <v/>
      </c>
      <c r="BN249" s="57">
        <f>SUMIFS(tblFleet[Operating_h],tblFleet[Date],$A249,tblFleet[Equipment_Class],"Haul Truck")</f>
        <v/>
      </c>
      <c r="BO249" s="57">
        <f>IF($B249=$B248,$BO248,0)+$BN249</f>
        <v/>
      </c>
      <c r="BP249" s="57">
        <f>$BP248+$BN249</f>
        <v/>
      </c>
      <c r="BQ249" s="67">
        <f>IFERROR(IF(($BH249)&gt;0,($BK249)/($BH249),""),"")</f>
        <v/>
      </c>
      <c r="BR249" s="67">
        <f>IFERROR(IF(($BI249)&gt;0,($BL249)/($BI249),""),"")</f>
        <v/>
      </c>
      <c r="BS249" s="67">
        <f>IFERROR(IF(($BJ249)&gt;0,($BM249)/($BJ249),""),"")</f>
        <v/>
      </c>
      <c r="BT249" s="67">
        <f>IFERROR(IF(($BK249)&gt;0,($BN249)/($BK249),""),"")</f>
        <v/>
      </c>
      <c r="BU249" s="67">
        <f>IFERROR(IF(($BL249)&gt;0,($BO249)/($BL249),""),"")</f>
        <v/>
      </c>
      <c r="BV249" s="67">
        <f>IFERROR(IF(($BM249)&gt;0,($BP249)/($BM249),""),"")</f>
        <v/>
      </c>
      <c r="BW249" s="55">
        <f>SUMIFS(tblPlant[Crushed_t],tblPlant[Date],$A249)</f>
        <v/>
      </c>
      <c r="BX249" s="55">
        <f>IF($B249=$B248,$BX248,0)+$BW249</f>
        <v/>
      </c>
      <c r="BY249" s="55">
        <f>$BY248+$BW249</f>
        <v/>
      </c>
      <c r="BZ249" s="55">
        <f>SUMIFS(tblPlant[Milled_t],tblPlant[Date],$A249)</f>
        <v/>
      </c>
      <c r="CA249" s="55">
        <f>IF($B249=$B248,$CA248,0)+$BZ249</f>
        <v/>
      </c>
      <c r="CB249" s="55">
        <f>$CB248+$BZ249</f>
        <v/>
      </c>
      <c r="CC249" s="55">
        <f>SUMIFS(tblPlant[Feed_oz],tblPlant[Date],$A249)</f>
        <v/>
      </c>
      <c r="CD249" s="55">
        <f>IF($B249=$B248,$CD248,0)+$CC249</f>
        <v/>
      </c>
      <c r="CE249" s="55">
        <f>$CE248+$CC249</f>
        <v/>
      </c>
      <c r="CF249" s="55">
        <f>SUMIFS(tblPlant[Tails_oz],tblPlant[Date],$A249)</f>
        <v/>
      </c>
      <c r="CG249" s="55">
        <f>IF($B249=$B248,$CG248,0)+$CF249</f>
        <v/>
      </c>
      <c r="CH249" s="55">
        <f>$CH248+$CF249</f>
        <v/>
      </c>
      <c r="CI249" s="55">
        <f>SUMIFS(tblPlant[Recovered_oz],tblPlant[Date],$A249)</f>
        <v/>
      </c>
      <c r="CJ249" s="55">
        <f>IF($B249=$B248,$CJ248,0)+$CI249</f>
        <v/>
      </c>
      <c r="CK249" s="55">
        <f>$CK248+$CI249</f>
        <v/>
      </c>
      <c r="CL249" s="56">
        <f>IFERROR(IF(($BZ249)&gt;0,($CC249*cfg_TroyOz)/($BZ249),""),"")</f>
        <v/>
      </c>
      <c r="CM249" s="56">
        <f>IFERROR(IF(($CA249)&gt;0,($CD249*cfg_TroyOz)/($CA249),""),"")</f>
        <v/>
      </c>
      <c r="CN249" s="56">
        <f>IFERROR(IF(($CB249)&gt;0,($CE249*cfg_TroyOz)/($CB249),""),"")</f>
        <v/>
      </c>
      <c r="CO249" s="56">
        <f>IFERROR(IF(($BZ249)&gt;0,($CF249*cfg_TroyOz)/($BZ249),""),"")</f>
        <v/>
      </c>
      <c r="CP249" s="56">
        <f>IFERROR(IF(($CA249)&gt;0,($CG249*cfg_TroyOz)/($CA249),""),"")</f>
        <v/>
      </c>
      <c r="CQ249" s="56">
        <f>IFERROR(IF(($CB249)&gt;0,($CH249*cfg_TroyOz)/($CB249),""),"")</f>
        <v/>
      </c>
      <c r="CR249" s="67">
        <f>IFERROR(IF(($CC249)&gt;0,($CI249)/($CC249),""),"")</f>
        <v/>
      </c>
      <c r="CS249" s="67">
        <f>IFERROR(IF(($CD249)&gt;0,($CJ249)/($CD249),""),"")</f>
        <v/>
      </c>
      <c r="CT249" s="67">
        <f>IFERROR(IF(($CE249)&gt;0,($CK249)/($CE249),""),"")</f>
        <v/>
      </c>
      <c r="CU249" s="55">
        <f>SUMIFS(tblPlant[Gravity_Gold_oz],tblPlant[Date],$A249)</f>
        <v/>
      </c>
      <c r="CV249" s="55">
        <f>IF($B249=$B248,$CV248,0)+$CU249</f>
        <v/>
      </c>
      <c r="CW249" s="55">
        <f>$CW248+$CU249</f>
        <v/>
      </c>
      <c r="CX249" s="55">
        <f>SUMIFS(tblPlant[Gold_Poured_oz],tblPlant[Date],$A249)</f>
        <v/>
      </c>
      <c r="CY249" s="55">
        <f>IF($B249=$B248,$CY248,0)+$CX249</f>
        <v/>
      </c>
      <c r="CZ249" s="55">
        <f>$CZ248+$CX249</f>
        <v/>
      </c>
      <c r="DA249" s="57">
        <f>SUMIFS(tblPlant[Mill_Run_h],tblPlant[Date],$A249)</f>
        <v/>
      </c>
      <c r="DB249" s="57">
        <f>IF($B249=$B248,$DB248,0)+$DA249</f>
        <v/>
      </c>
      <c r="DC249" s="57">
        <f>$DC248+$DA249</f>
        <v/>
      </c>
      <c r="DD249" s="57">
        <f>SUMIFS(tblPlant[Mill_Planned_Maint_h],tblPlant[Date],$A249)</f>
        <v/>
      </c>
      <c r="DE249" s="57">
        <f>IF($B249=$B248,$DE248,0)+$DD249</f>
        <v/>
      </c>
      <c r="DF249" s="57">
        <f>$DF248+$DD249</f>
        <v/>
      </c>
      <c r="DG249" s="57">
        <f>SUMIFS(tblPlant[Mill_Unplanned_Down_h],tblPlant[Date],$A249)</f>
        <v/>
      </c>
      <c r="DH249" s="57">
        <f>IF($B249=$B248,$DH248,0)+$DG249</f>
        <v/>
      </c>
      <c r="DI249" s="57">
        <f>$DI248+$DG249</f>
        <v/>
      </c>
      <c r="DJ249" s="57">
        <f>COUNTIFS(tblPlant[Date],$A249,tblPlant[Mill_Run_h],"&lt;&gt;")*24</f>
        <v/>
      </c>
      <c r="DK249" s="57">
        <f>IF($B249=$B248,$DK248,0)+$DJ249</f>
        <v/>
      </c>
      <c r="DL249" s="57">
        <f>$DL248+$DJ249</f>
        <v/>
      </c>
      <c r="DM249" s="57">
        <f>SUMIFS(tblPlant[Crusher_Run_h],tblPlant[Date],$A249)</f>
        <v/>
      </c>
      <c r="DN249" s="57">
        <f>IF($B249=$B248,$DN248,0)+$DM249</f>
        <v/>
      </c>
      <c r="DO249" s="57">
        <f>$DO248+$DM249</f>
        <v/>
      </c>
      <c r="DP249" s="55">
        <f>IFERROR(IF(($DA249)&gt;0,($BZ249)/($DA249),""),"")</f>
        <v/>
      </c>
      <c r="DQ249" s="55">
        <f>IFERROR(IF(($DB249)&gt;0,($CA249)/($DB249),""),"")</f>
        <v/>
      </c>
      <c r="DR249" s="55">
        <f>IFERROR(IF(($DC249)&gt;0,($CB249)/($DC249),""),"")</f>
        <v/>
      </c>
      <c r="DS249" s="67">
        <f>IFERROR(IF(($DJ249)&gt;0,($DJ249-$DD249-$DG249)/($DJ249),""),"")</f>
        <v/>
      </c>
      <c r="DT249" s="67">
        <f>IFERROR(IF(($DK249)&gt;0,($DK249-$DE249-$DH249)/($DK249),""),"")</f>
        <v/>
      </c>
      <c r="DU249" s="67">
        <f>IFERROR(IF(($DL249)&gt;0,($DL249-$DF249-$DI249)/($DL249),""),"")</f>
        <v/>
      </c>
      <c r="DV249" s="67">
        <f>IFERROR(IF(($DJ249-$DD249-$DG249)&gt;0,($DA249)/($DJ249-$DD249-$DG249),""),"")</f>
        <v/>
      </c>
      <c r="DW249" s="67">
        <f>IFERROR(IF(($DK249-$DE249-$DH249)&gt;0,($DB249)/($DK249-$DE249-$DH249),""),"")</f>
        <v/>
      </c>
      <c r="DX249" s="67">
        <f>IFERROR(IF(($DL249-$DF249-$DI249)&gt;0,($DC249)/($DL249-$DF249-$DI249),""),"")</f>
        <v/>
      </c>
      <c r="DY249" s="55">
        <f>SUMIFS(tblPlant[Cyanide_kg],tblPlant[Date],$A249)</f>
        <v/>
      </c>
      <c r="DZ249" s="55">
        <f>IF($B249=$B248,$DZ248,0)+$DY249</f>
        <v/>
      </c>
      <c r="EA249" s="55">
        <f>$EA248+$DY249</f>
        <v/>
      </c>
      <c r="EB249" s="55">
        <f>SUMIFS(tblPlant[Lime_kg],tblPlant[Date],$A249)</f>
        <v/>
      </c>
      <c r="EC249" s="55">
        <f>IF($B249=$B248,$EC248,0)+$EB249</f>
        <v/>
      </c>
      <c r="ED249" s="55">
        <f>$ED248+$EB249</f>
        <v/>
      </c>
      <c r="EE249" s="55">
        <f>SUMIFS(tblPlant[Grinding_Media_kg],tblPlant[Date],$A249)</f>
        <v/>
      </c>
      <c r="EF249" s="55">
        <f>IF($B249=$B248,$EF248,0)+$EE249</f>
        <v/>
      </c>
      <c r="EG249" s="55">
        <f>$EG248+$EE249</f>
        <v/>
      </c>
      <c r="EH249" s="55">
        <f>SUMIFS(tblPlant[Power_kWh],tblPlant[Date],$A249)</f>
        <v/>
      </c>
      <c r="EI249" s="55">
        <f>IF($B249=$B248,$EI248,0)+$EH249</f>
        <v/>
      </c>
      <c r="EJ249" s="55">
        <f>$EJ248+$EH249</f>
        <v/>
      </c>
      <c r="EK249" s="55">
        <f>SUMIFS(tblPlant[Raw_Water_m3],tblPlant[Date],$A249)</f>
        <v/>
      </c>
      <c r="EL249" s="55">
        <f>IF($B249=$B248,$EL248,0)+$EK249</f>
        <v/>
      </c>
      <c r="EM249" s="55">
        <f>$EM248+$EK249</f>
        <v/>
      </c>
      <c r="EN249" s="56">
        <f>IFERROR(IF(($BZ249)&gt;0,($DY249)/($BZ249),""),"")</f>
        <v/>
      </c>
      <c r="EO249" s="56">
        <f>IFERROR(IF(($CA249)&gt;0,($DZ249)/($CA249),""),"")</f>
        <v/>
      </c>
      <c r="EP249" s="56">
        <f>IFERROR(IF(($CB249)&gt;0,($EA249)/($CB249),""),"")</f>
        <v/>
      </c>
      <c r="EQ249" s="56">
        <f>IFERROR(IF(($BZ249)&gt;0,($EB249)/($BZ249),""),"")</f>
        <v/>
      </c>
      <c r="ER249" s="56">
        <f>IFERROR(IF(($CA249)&gt;0,($EC249)/($CA249),""),"")</f>
        <v/>
      </c>
      <c r="ES249" s="56">
        <f>IFERROR(IF(($CB249)&gt;0,($ED249)/($CB249),""),"")</f>
        <v/>
      </c>
      <c r="ET249" s="56">
        <f>IFERROR(IF(($BZ249)&gt;0,($EE249)/($BZ249),""),"")</f>
        <v/>
      </c>
      <c r="EU249" s="56">
        <f>IFERROR(IF(($CA249)&gt;0,($EF249)/($CA249),""),"")</f>
        <v/>
      </c>
      <c r="EV249" s="56">
        <f>IFERROR(IF(($CB249)&gt;0,($EG249)/($CB249),""),"")</f>
        <v/>
      </c>
      <c r="EW249" s="76">
        <f>IFERROR(IF(($BZ249)&gt;0,($EH249)/($BZ249),""),"")</f>
        <v/>
      </c>
      <c r="EX249" s="76">
        <f>IFERROR(IF(($CA249)&gt;0,($EI249)/($CA249),""),"")</f>
        <v/>
      </c>
      <c r="EY249" s="76">
        <f>IFERROR(IF(($CB249)&gt;0,($EJ249)/($CB249),""),"")</f>
        <v/>
      </c>
      <c r="EZ249" s="56">
        <f>IFERROR(IF(($BZ249)&gt;0,($EK249)/($BZ249),""),"")</f>
        <v/>
      </c>
      <c r="FA249" s="56">
        <f>IFERROR(IF(($CA249)&gt;0,($EL249)/($CA249),""),"")</f>
        <v/>
      </c>
      <c r="FB249" s="56">
        <f>IFERROR(IF(($CB249)&gt;0,($EM249)/($CB249),""),"")</f>
        <v/>
      </c>
      <c r="FC249" s="55">
        <f>IF(SUMIFS(tblPlant[GIC_oz],tblPlant[Date],$A249)&gt;0,SUMIFS(tblPlant[GIC_oz],tblPlant[Date],$A249),"")</f>
        <v/>
      </c>
      <c r="FD249" s="55">
        <f>SUMIFS(tblGold[Gold_oz],tblGold[Date],$A249,tblGold[Type],"Shipment")</f>
        <v/>
      </c>
      <c r="FE249" s="55">
        <f>IF($B249=$B248,$FE248,0)+$FD249</f>
        <v/>
      </c>
      <c r="FF249" s="55">
        <f>$FF248+$FD249</f>
        <v/>
      </c>
      <c r="FG249" s="55">
        <f>SUMIFS(tblGold[Gold_oz],tblGold[Date],$A249,tblGold[Type],"Sale")</f>
        <v/>
      </c>
      <c r="FH249" s="55">
        <f>IF($B249=$B248,$FH248,0)+$FG249</f>
        <v/>
      </c>
      <c r="FI249" s="55">
        <f>$FI248+$FG249</f>
        <v/>
      </c>
      <c r="FJ249" s="55">
        <f>SUMIFS(tblGold[Dore_kg],tblGold[Date],$A249,tblGold[Type],"Shipment")</f>
        <v/>
      </c>
      <c r="FK249" s="55">
        <f>IF($B249=$B248,$FK248,0)+$FJ249</f>
        <v/>
      </c>
      <c r="FL249" s="55">
        <f>$FL248+$FJ249</f>
        <v/>
      </c>
      <c r="FM249" s="57">
        <f>SUMIFS(tblSafety[Hours_Total],tblSafety[Date],$A249)</f>
        <v/>
      </c>
      <c r="FN249" s="57">
        <f>IF($B249=$B248,$FN248,0)+$FM249</f>
        <v/>
      </c>
      <c r="FO249" s="57">
        <f>$FO248+$FM249</f>
        <v/>
      </c>
      <c r="FP249" s="62">
        <f>SUMIFS(tblSafety[Fatality],tblSafety[Date],$A249)</f>
        <v/>
      </c>
      <c r="FQ249" s="62">
        <f>IF($B249=$B248,$FQ248,0)+$FP249</f>
        <v/>
      </c>
      <c r="FR249" s="62">
        <f>$FR248+$FP249</f>
        <v/>
      </c>
      <c r="FS249" s="62">
        <f>SUMIFS(tblSafety[LTI],tblSafety[Date],$A249)</f>
        <v/>
      </c>
      <c r="FT249" s="62">
        <f>IF($B249=$B248,$FT248,0)+$FS249</f>
        <v/>
      </c>
      <c r="FU249" s="62">
        <f>$FU248+$FS249</f>
        <v/>
      </c>
      <c r="FV249" s="62">
        <f>SUMIFS(tblSafety[RWI],tblSafety[Date],$A249)</f>
        <v/>
      </c>
      <c r="FW249" s="62">
        <f>IF($B249=$B248,$FW248,0)+$FV249</f>
        <v/>
      </c>
      <c r="FX249" s="62">
        <f>$FX248+$FV249</f>
        <v/>
      </c>
      <c r="FY249" s="62">
        <f>SUMIFS(tblSafety[MTI],tblSafety[Date],$A249)</f>
        <v/>
      </c>
      <c r="FZ249" s="62">
        <f>IF($B249=$B248,$FZ248,0)+$FY249</f>
        <v/>
      </c>
      <c r="GA249" s="62">
        <f>$GA248+$FY249</f>
        <v/>
      </c>
      <c r="GB249" s="62">
        <f>SUMIFS(tblSafety[FAI],tblSafety[Date],$A249)</f>
        <v/>
      </c>
      <c r="GC249" s="62">
        <f>IF($B249=$B248,$GC248,0)+$GB249</f>
        <v/>
      </c>
      <c r="GD249" s="62">
        <f>$GD248+$GB249</f>
        <v/>
      </c>
      <c r="GE249" s="62">
        <f>SUMIFS(tblSafety[Recordables],tblSafety[Date],$A249)</f>
        <v/>
      </c>
      <c r="GF249" s="62">
        <f>IF($B249=$B248,$GF248,0)+$GE249</f>
        <v/>
      </c>
      <c r="GG249" s="62">
        <f>$GG248+$GE249</f>
        <v/>
      </c>
      <c r="GH249" s="62">
        <f>SUMIFS(tblSafety[Near_Miss],tblSafety[Date],$A249)</f>
        <v/>
      </c>
      <c r="GI249" s="62">
        <f>IF($B249=$B248,$GI248,0)+$GH249</f>
        <v/>
      </c>
      <c r="GJ249" s="62">
        <f>$GJ248+$GH249</f>
        <v/>
      </c>
      <c r="GK249" s="62">
        <f>SUMIFS(tblSafety[Hazard_Reports],tblSafety[Date],$A249)</f>
        <v/>
      </c>
      <c r="GL249" s="62">
        <f>IF($B249=$B248,$GL248,0)+$GK249</f>
        <v/>
      </c>
      <c r="GM249" s="62">
        <f>$GM248+$GK249</f>
        <v/>
      </c>
      <c r="GN249" s="62">
        <f>SUMIFS(tblSafety[HPI],tblSafety[Date],$A249)</f>
        <v/>
      </c>
      <c r="GO249" s="62">
        <f>IF($B249=$B248,$GO248,0)+$GN249</f>
        <v/>
      </c>
      <c r="GP249" s="62">
        <f>$GP248+$GN249</f>
        <v/>
      </c>
      <c r="GQ249" s="62">
        <f>SUMIFS(tblSafety[Env_Incidents],tblSafety[Date],$A249)</f>
        <v/>
      </c>
      <c r="GR249" s="62">
        <f>IF($B249=$B248,$GR248,0)+$GQ249</f>
        <v/>
      </c>
      <c r="GS249" s="62">
        <f>$GS248+$GQ249</f>
        <v/>
      </c>
      <c r="GT249" s="62">
        <f>SUMIFS(tblSafety[Community_Incidents],tblSafety[Date],$A249)</f>
        <v/>
      </c>
      <c r="GU249" s="62">
        <f>IF($B249=$B248,$GU248,0)+$GT249</f>
        <v/>
      </c>
      <c r="GV249" s="62">
        <f>$GV248+$GT249</f>
        <v/>
      </c>
      <c r="GW249" s="62">
        <f>SUMIFS(tblSafety[Vehicle_Incidents],tblSafety[Date],$A249)</f>
        <v/>
      </c>
      <c r="GX249" s="62">
        <f>IF($B249=$B248,$GX248,0)+$GW249</f>
        <v/>
      </c>
      <c r="GY249" s="62">
        <f>$GY248+$GW249</f>
        <v/>
      </c>
      <c r="GZ249" s="62">
        <f>SUMIFS(tblSafety[Toolbox_Talks],tblSafety[Date],$A249)</f>
        <v/>
      </c>
      <c r="HA249" s="62">
        <f>IF($B249=$B248,$HA248,0)+$GZ249</f>
        <v/>
      </c>
      <c r="HB249" s="62">
        <f>$HB248+$GZ249</f>
        <v/>
      </c>
      <c r="HC249" s="62">
        <f>SUMIFS(tblSafety[Inspections],tblSafety[Date],$A249)</f>
        <v/>
      </c>
      <c r="HD249" s="62">
        <f>IF($B249=$B248,$HD248,0)+$HC249</f>
        <v/>
      </c>
      <c r="HE249" s="62">
        <f>$HE248+$HC249</f>
        <v/>
      </c>
      <c r="HF249" s="56">
        <f>IFERROR((SUMIFS(tblSafety[Recordables],tblSafety[Date],"&gt;="&amp;EDATE($E249,-12),tblSafety[Date],"&lt;="&amp;$A249)+SUMIFS(tblSafetyHistory[Recordables],tblSafetyHistory[Month],"&gt;="&amp;EDATE($E249,-12),tblSafetyHistory[Month],"&lt;"&amp;cfg_YearStart))/(SUMIFS(tblSafety[Hours_Total],tblSafety[Date],"&gt;="&amp;EDATE($E249,-12),tblSafety[Date],"&lt;="&amp;$A249)+SUMIFS(tblSafetyHistory[Hours_Total],tblSafetyHistory[Month],"&gt;="&amp;EDATE($E249,-12),tblSafetyHistory[Month],"&lt;"&amp;cfg_YearStart))*1000000,"")</f>
        <v/>
      </c>
      <c r="HG249" s="56">
        <f>IFERROR((SUMIFS(tblSafety[LTI],tblSafety[Date],"&gt;="&amp;EDATE($E249,-12),tblSafety[Date],"&lt;="&amp;$A249)+SUMIFS(tblSafetyHistory[LTI],tblSafetyHistory[Month],"&gt;="&amp;EDATE($E249,-12),tblSafetyHistory[Month],"&lt;"&amp;cfg_YearStart))/(SUMIFS(tblSafety[Hours_Total],tblSafety[Date],"&gt;="&amp;EDATE($E249,-12),tblSafety[Date],"&lt;="&amp;$A249)+SUMIFS(tblSafetyHistory[Hours_Total],tblSafetyHistory[Month],"&gt;="&amp;EDATE($E249,-12),tblSafetyHistory[Month],"&lt;"&amp;cfg_YearStart))*1000000,"")</f>
        <v/>
      </c>
      <c r="HH249" s="62">
        <f>IF(MAX(N(cfg_PriorLTIDate),_xlfn.MAXIFS(tblSafety[Date],tblSafety[LTI],"&gt;0",tblSafety[Date],"&lt;="&amp;$A249))=0,"",$A249-MAX(N(cfg_PriorLTIDate),_xlfn.MAXIFS(tblSafety[Date],tblSafety[LTI],"&gt;0",tblSafety[Date],"&lt;="&amp;$A249)))</f>
        <v/>
      </c>
      <c r="HI249" s="55">
        <f>SUMIFS(tblBudget[Ore_Mined_t],tblBudget[Month],$E249)</f>
        <v/>
      </c>
      <c r="HJ249" s="55">
        <f>$HI249*$C249/$D249</f>
        <v/>
      </c>
      <c r="HK249" s="55">
        <f>SUMIFS(tblBudget[Ore_Mined_t],tblBudget[Month],"&lt;"&amp;$E249)+$HJ249</f>
        <v/>
      </c>
      <c r="HL249" s="55">
        <f>SUMIFS(tblBudget[Ore_oz],tblBudget[Month],$E249)</f>
        <v/>
      </c>
      <c r="HM249" s="55">
        <f>$HL249*$C249/$D249</f>
        <v/>
      </c>
      <c r="HN249" s="55">
        <f>SUMIFS(tblBudget[Ore_oz],tblBudget[Month],"&lt;"&amp;$E249)+$HM249</f>
        <v/>
      </c>
      <c r="HO249" s="56">
        <f>IFERROR(IF(($HI249)&gt;0,($HL249*cfg_TroyOz)/($HI249),""),"")</f>
        <v/>
      </c>
      <c r="HP249" s="56">
        <f>IFERROR(IF(($HJ249)&gt;0,($HM249*cfg_TroyOz)/($HJ249),""),"")</f>
        <v/>
      </c>
      <c r="HQ249" s="56">
        <f>IFERROR(IF(($HK249)&gt;0,($HN249*cfg_TroyOz)/($HK249),""),"")</f>
        <v/>
      </c>
      <c r="HR249" s="55">
        <f>SUMIFS(tblBudget[Waste_t],tblBudget[Month],$E249)</f>
        <v/>
      </c>
      <c r="HS249" s="55">
        <f>$HR249*$C249/$D249</f>
        <v/>
      </c>
      <c r="HT249" s="55">
        <f>SUMIFS(tblBudget[Waste_t],tblBudget[Month],"&lt;"&amp;$E249)+$HS249</f>
        <v/>
      </c>
      <c r="HU249" s="55">
        <f>SUMIFS(tblBudget[TMM_t],tblBudget[Month],$E249)</f>
        <v/>
      </c>
      <c r="HV249" s="55">
        <f>$HU249*$C249/$D249</f>
        <v/>
      </c>
      <c r="HW249" s="55">
        <f>SUMIFS(tblBudget[TMM_t],tblBudget[Month],"&lt;"&amp;$E249)+$HV249</f>
        <v/>
      </c>
      <c r="HX249" s="56">
        <f>IFERROR(IF(($HI249)&gt;0,($HR249)/($HI249),""),"")</f>
        <v/>
      </c>
      <c r="HY249" s="56">
        <f>IFERROR(IF(($HJ249)&gt;0,($HS249)/($HJ249),""),"")</f>
        <v/>
      </c>
      <c r="HZ249" s="56">
        <f>IFERROR(IF(($HK249)&gt;0,($HT249)/($HK249),""),"")</f>
        <v/>
      </c>
      <c r="IA249" s="55">
        <f>SUMIFS(tblBudget[Drill_m],tblBudget[Month],$E249)</f>
        <v/>
      </c>
      <c r="IB249" s="55">
        <f>$IA249*$C249/$D249</f>
        <v/>
      </c>
      <c r="IC249" s="55">
        <f>SUMIFS(tblBudget[Drill_m],tblBudget[Month],"&lt;"&amp;$E249)+$IB249</f>
        <v/>
      </c>
      <c r="ID249" s="55">
        <f>SUMIFS(tblBudget[Diesel_L],tblBudget[Month],$E249)</f>
        <v/>
      </c>
      <c r="IE249" s="55">
        <f>$ID249*$C249/$D249</f>
        <v/>
      </c>
      <c r="IF249" s="55">
        <f>SUMIFS(tblBudget[Diesel_L],tblBudget[Month],"&lt;"&amp;$E249)+$IE249</f>
        <v/>
      </c>
      <c r="IG249" s="55">
        <f>SUMIFS(tblBudget[Milled_t],tblBudget[Month],$E249)</f>
        <v/>
      </c>
      <c r="IH249" s="55">
        <f>$IG249*$C249/$D249</f>
        <v/>
      </c>
      <c r="II249" s="55">
        <f>SUMIFS(tblBudget[Milled_t],tblBudget[Month],"&lt;"&amp;$E249)+$IH249</f>
        <v/>
      </c>
      <c r="IJ249" s="55">
        <f>SUMIFS(tblBudget[Feed_oz],tblBudget[Month],$E249)</f>
        <v/>
      </c>
      <c r="IK249" s="55">
        <f>$IJ249*$C249/$D249</f>
        <v/>
      </c>
      <c r="IL249" s="55">
        <f>SUMIFS(tblBudget[Feed_oz],tblBudget[Month],"&lt;"&amp;$E249)+$IK249</f>
        <v/>
      </c>
      <c r="IM249" s="55">
        <f>SUMIFS(tblBudget[Recovered_oz],tblBudget[Month],$E249)</f>
        <v/>
      </c>
      <c r="IN249" s="55">
        <f>$IM249*$C249/$D249</f>
        <v/>
      </c>
      <c r="IO249" s="55">
        <f>SUMIFS(tblBudget[Recovered_oz],tblBudget[Month],"&lt;"&amp;$E249)+$IN249</f>
        <v/>
      </c>
      <c r="IP249" s="56">
        <f>IFERROR(IF(($IG249)&gt;0,($IJ249*cfg_TroyOz)/($IG249),""),"")</f>
        <v/>
      </c>
      <c r="IQ249" s="56">
        <f>IFERROR(IF(($IH249)&gt;0,($IK249*cfg_TroyOz)/($IH249),""),"")</f>
        <v/>
      </c>
      <c r="IR249" s="56">
        <f>IFERROR(IF(($II249)&gt;0,($IL249*cfg_TroyOz)/($II249),""),"")</f>
        <v/>
      </c>
      <c r="IS249" s="67">
        <f>IFERROR(IF(($IJ249)&gt;0,($IM249)/($IJ249),""),"")</f>
        <v/>
      </c>
      <c r="IT249" s="67">
        <f>IFERROR(IF(($IK249)&gt;0,($IN249)/($IK249),""),"")</f>
        <v/>
      </c>
      <c r="IU249" s="67">
        <f>IFERROR(IF(($IL249)&gt;0,($IO249)/($IL249),""),"")</f>
        <v/>
      </c>
      <c r="IV249" s="55">
        <f>SUMIFS(tblBudget[Gold_Poured_oz],tblBudget[Month],$E249)</f>
        <v/>
      </c>
      <c r="IW249" s="55">
        <f>$IV249*$C249/$D249</f>
        <v/>
      </c>
      <c r="IX249" s="55">
        <f>SUMIFS(tblBudget[Gold_Poured_oz],tblBudget[Month],"&lt;"&amp;$E249)+$IW249</f>
        <v/>
      </c>
      <c r="IY249" s="57">
        <f>SUMIFS(tblBudget[Hours_Worked],tblBudget[Month],$E249)</f>
        <v/>
      </c>
      <c r="IZ249" s="57">
        <f>$IY249*$C249/$D249</f>
        <v/>
      </c>
      <c r="JA249" s="57">
        <f>SUMIFS(tblBudget[Hours_Worked],tblBudget[Month],"&lt;"&amp;$E249)+$IZ249</f>
        <v/>
      </c>
    </row>
    <row r="250">
      <c r="A250" s="54" t="n">
        <v>46271</v>
      </c>
      <c r="B250">
        <f>MONTH($A250)</f>
        <v/>
      </c>
      <c r="C250">
        <f>DAY($A250)</f>
        <v/>
      </c>
      <c r="D250">
        <f>DAY(EOMONTH($A250,0))</f>
        <v/>
      </c>
      <c r="E250" s="54">
        <f>DATE(YEAR($A250),MONTH($A250),1)</f>
        <v/>
      </c>
      <c r="F250" s="55">
        <f>SUMIFS(tblMovement[Tonnes_t],tblMovement[Date],$A250,tblMovement[Is_Ore],1,tblMovement[Source_Type],"Pit")</f>
        <v/>
      </c>
      <c r="G250" s="55">
        <f>IF($B250=$B249,$G249,0)+$F250</f>
        <v/>
      </c>
      <c r="H250" s="55">
        <f>$H249+$F250</f>
        <v/>
      </c>
      <c r="I250" s="55">
        <f>SUMIFS(tblMovement[Ore_oz],tblMovement[Date],$A250,tblMovement[Source_Type],"Pit")</f>
        <v/>
      </c>
      <c r="J250" s="55">
        <f>IF($B250=$B249,$J249,0)+$I250</f>
        <v/>
      </c>
      <c r="K250" s="55">
        <f>$K249+$I250</f>
        <v/>
      </c>
      <c r="L250" s="56">
        <f>IFERROR(IF(($F250)&gt;0,($I250*cfg_TroyOz)/($F250),""),"")</f>
        <v/>
      </c>
      <c r="M250" s="56">
        <f>IFERROR(IF(($G250)&gt;0,($J250*cfg_TroyOz)/($G250),""),"")</f>
        <v/>
      </c>
      <c r="N250" s="56">
        <f>IFERROR(IF(($H250)&gt;0,($K250*cfg_TroyOz)/($H250),""),"")</f>
        <v/>
      </c>
      <c r="O250" s="55">
        <f>SUMIFS(tblMovement[Tonnes_t],tblMovement[Date],$A250,tblMovement[Is_Ore],0,tblMovement[Source_Type],"Pit")</f>
        <v/>
      </c>
      <c r="P250" s="55">
        <f>IF($B250=$B249,$P249,0)+$O250</f>
        <v/>
      </c>
      <c r="Q250" s="55">
        <f>$Q249+$O250</f>
        <v/>
      </c>
      <c r="R250" s="55">
        <f>$F250+$O250</f>
        <v/>
      </c>
      <c r="S250" s="55">
        <f>IF($B250=$B249,$S249,0)+$R250</f>
        <v/>
      </c>
      <c r="T250" s="55">
        <f>$T249+$R250</f>
        <v/>
      </c>
      <c r="U250" s="56">
        <f>IFERROR(IF(($F250)&gt;0,($O250)/($F250),""),"")</f>
        <v/>
      </c>
      <c r="V250" s="56">
        <f>IFERROR(IF(($G250)&gt;0,($P250)/($G250),""),"")</f>
        <v/>
      </c>
      <c r="W250" s="56">
        <f>IFERROR(IF(($H250)&gt;0,($Q250)/($H250),""),"")</f>
        <v/>
      </c>
      <c r="X250" s="55">
        <f>SUMIFS(tblMovement[Tonnes_t],tblMovement[Date],$A250,tblMovement[Source_Type],"Stockpile")</f>
        <v/>
      </c>
      <c r="Y250" s="55">
        <f>IF($B250=$B249,$Y249,0)+$X250</f>
        <v/>
      </c>
      <c r="Z250" s="55">
        <f>$Z249+$X250</f>
        <v/>
      </c>
      <c r="AA250" s="55">
        <f>SUMIFS(tblMiningDaily[Drill_m],tblMiningDaily[Date],$A250)</f>
        <v/>
      </c>
      <c r="AB250" s="55">
        <f>IF($B250=$B249,$AB249,0)+$AA250</f>
        <v/>
      </c>
      <c r="AC250" s="55">
        <f>$AC249+$AA250</f>
        <v/>
      </c>
      <c r="AD250" s="55">
        <f>SUMIFS(tblMiningDaily[Blast_t],tblMiningDaily[Date],$A250)</f>
        <v/>
      </c>
      <c r="AE250" s="55">
        <f>IF($B250=$B249,$AE249,0)+$AD250</f>
        <v/>
      </c>
      <c r="AF250" s="55">
        <f>$AF249+$AD250</f>
        <v/>
      </c>
      <c r="AG250" s="55">
        <f>SUMIFS(tblMiningDaily[Explosives_kg],tblMiningDaily[Date],$A250)</f>
        <v/>
      </c>
      <c r="AH250" s="55">
        <f>IF($B250=$B249,$AH249,0)+$AG250</f>
        <v/>
      </c>
      <c r="AI250" s="55">
        <f>$AI249+$AG250</f>
        <v/>
      </c>
      <c r="AJ250" s="56">
        <f>IFERROR(IF(($AD250)&gt;0,($AG250)/($AD250),""),"")</f>
        <v/>
      </c>
      <c r="AK250" s="56">
        <f>IFERROR(IF(($AE250)&gt;0,($AH250)/($AE250),""),"")</f>
        <v/>
      </c>
      <c r="AL250" s="56">
        <f>IFERROR(IF(($AF250)&gt;0,($AI250)/($AF250),""),"")</f>
        <v/>
      </c>
      <c r="AM250" s="55">
        <f>SUMIFS(tblMiningDaily[Diesel_L],tblMiningDaily[Date],$A250)</f>
        <v/>
      </c>
      <c r="AN250" s="55">
        <f>IF($B250=$B249,$AN249,0)+$AM250</f>
        <v/>
      </c>
      <c r="AO250" s="55">
        <f>$AO249+$AM250</f>
        <v/>
      </c>
      <c r="AP250" s="55">
        <f>SUMIFS(tblMiningDaily[Dewatering_m3],tblMiningDaily[Date],$A250)</f>
        <v/>
      </c>
      <c r="AQ250" s="55">
        <f>IF($B250=$B249,$AQ249,0)+$AP250</f>
        <v/>
      </c>
      <c r="AR250" s="55">
        <f>$AR249+$AP250</f>
        <v/>
      </c>
      <c r="AS250" s="57">
        <f>SUMIFS(tblFleet[Calendar_h],tblFleet[Date],$A250,tblFleet[Equipment_Class],"Excavator")</f>
        <v/>
      </c>
      <c r="AT250" s="57">
        <f>IF($B250=$B249,$AT249,0)+$AS250</f>
        <v/>
      </c>
      <c r="AU250" s="57">
        <f>$AU249+$AS250</f>
        <v/>
      </c>
      <c r="AV250" s="57">
        <f>SUMIFS(tblFleet[Available_h],tblFleet[Date],$A250,tblFleet[Equipment_Class],"Excavator")</f>
        <v/>
      </c>
      <c r="AW250" s="57">
        <f>IF($B250=$B249,$AW249,0)+$AV250</f>
        <v/>
      </c>
      <c r="AX250" s="57">
        <f>$AX249+$AV250</f>
        <v/>
      </c>
      <c r="AY250" s="57">
        <f>SUMIFS(tblFleet[Operating_h],tblFleet[Date],$A250,tblFleet[Equipment_Class],"Excavator")</f>
        <v/>
      </c>
      <c r="AZ250" s="57">
        <f>IF($B250=$B249,$AZ249,0)+$AY250</f>
        <v/>
      </c>
      <c r="BA250" s="57">
        <f>$BA249+$AY250</f>
        <v/>
      </c>
      <c r="BB250" s="67">
        <f>IFERROR(IF(($AS250)&gt;0,($AV250)/($AS250),""),"")</f>
        <v/>
      </c>
      <c r="BC250" s="67">
        <f>IFERROR(IF(($AT250)&gt;0,($AW250)/($AT250),""),"")</f>
        <v/>
      </c>
      <c r="BD250" s="67">
        <f>IFERROR(IF(($AU250)&gt;0,($AX250)/($AU250),""),"")</f>
        <v/>
      </c>
      <c r="BE250" s="67">
        <f>IFERROR(IF(($AV250)&gt;0,($AY250)/($AV250),""),"")</f>
        <v/>
      </c>
      <c r="BF250" s="67">
        <f>IFERROR(IF(($AW250)&gt;0,($AZ250)/($AW250),""),"")</f>
        <v/>
      </c>
      <c r="BG250" s="67">
        <f>IFERROR(IF(($AX250)&gt;0,($BA250)/($AX250),""),"")</f>
        <v/>
      </c>
      <c r="BH250" s="57">
        <f>SUMIFS(tblFleet[Calendar_h],tblFleet[Date],$A250,tblFleet[Equipment_Class],"Haul Truck")</f>
        <v/>
      </c>
      <c r="BI250" s="57">
        <f>IF($B250=$B249,$BI249,0)+$BH250</f>
        <v/>
      </c>
      <c r="BJ250" s="57">
        <f>$BJ249+$BH250</f>
        <v/>
      </c>
      <c r="BK250" s="57">
        <f>SUMIFS(tblFleet[Available_h],tblFleet[Date],$A250,tblFleet[Equipment_Class],"Haul Truck")</f>
        <v/>
      </c>
      <c r="BL250" s="57">
        <f>IF($B250=$B249,$BL249,0)+$BK250</f>
        <v/>
      </c>
      <c r="BM250" s="57">
        <f>$BM249+$BK250</f>
        <v/>
      </c>
      <c r="BN250" s="57">
        <f>SUMIFS(tblFleet[Operating_h],tblFleet[Date],$A250,tblFleet[Equipment_Class],"Haul Truck")</f>
        <v/>
      </c>
      <c r="BO250" s="57">
        <f>IF($B250=$B249,$BO249,0)+$BN250</f>
        <v/>
      </c>
      <c r="BP250" s="57">
        <f>$BP249+$BN250</f>
        <v/>
      </c>
      <c r="BQ250" s="67">
        <f>IFERROR(IF(($BH250)&gt;0,($BK250)/($BH250),""),"")</f>
        <v/>
      </c>
      <c r="BR250" s="67">
        <f>IFERROR(IF(($BI250)&gt;0,($BL250)/($BI250),""),"")</f>
        <v/>
      </c>
      <c r="BS250" s="67">
        <f>IFERROR(IF(($BJ250)&gt;0,($BM250)/($BJ250),""),"")</f>
        <v/>
      </c>
      <c r="BT250" s="67">
        <f>IFERROR(IF(($BK250)&gt;0,($BN250)/($BK250),""),"")</f>
        <v/>
      </c>
      <c r="BU250" s="67">
        <f>IFERROR(IF(($BL250)&gt;0,($BO250)/($BL250),""),"")</f>
        <v/>
      </c>
      <c r="BV250" s="67">
        <f>IFERROR(IF(($BM250)&gt;0,($BP250)/($BM250),""),"")</f>
        <v/>
      </c>
      <c r="BW250" s="55">
        <f>SUMIFS(tblPlant[Crushed_t],tblPlant[Date],$A250)</f>
        <v/>
      </c>
      <c r="BX250" s="55">
        <f>IF($B250=$B249,$BX249,0)+$BW250</f>
        <v/>
      </c>
      <c r="BY250" s="55">
        <f>$BY249+$BW250</f>
        <v/>
      </c>
      <c r="BZ250" s="55">
        <f>SUMIFS(tblPlant[Milled_t],tblPlant[Date],$A250)</f>
        <v/>
      </c>
      <c r="CA250" s="55">
        <f>IF($B250=$B249,$CA249,0)+$BZ250</f>
        <v/>
      </c>
      <c r="CB250" s="55">
        <f>$CB249+$BZ250</f>
        <v/>
      </c>
      <c r="CC250" s="55">
        <f>SUMIFS(tblPlant[Feed_oz],tblPlant[Date],$A250)</f>
        <v/>
      </c>
      <c r="CD250" s="55">
        <f>IF($B250=$B249,$CD249,0)+$CC250</f>
        <v/>
      </c>
      <c r="CE250" s="55">
        <f>$CE249+$CC250</f>
        <v/>
      </c>
      <c r="CF250" s="55">
        <f>SUMIFS(tblPlant[Tails_oz],tblPlant[Date],$A250)</f>
        <v/>
      </c>
      <c r="CG250" s="55">
        <f>IF($B250=$B249,$CG249,0)+$CF250</f>
        <v/>
      </c>
      <c r="CH250" s="55">
        <f>$CH249+$CF250</f>
        <v/>
      </c>
      <c r="CI250" s="55">
        <f>SUMIFS(tblPlant[Recovered_oz],tblPlant[Date],$A250)</f>
        <v/>
      </c>
      <c r="CJ250" s="55">
        <f>IF($B250=$B249,$CJ249,0)+$CI250</f>
        <v/>
      </c>
      <c r="CK250" s="55">
        <f>$CK249+$CI250</f>
        <v/>
      </c>
      <c r="CL250" s="56">
        <f>IFERROR(IF(($BZ250)&gt;0,($CC250*cfg_TroyOz)/($BZ250),""),"")</f>
        <v/>
      </c>
      <c r="CM250" s="56">
        <f>IFERROR(IF(($CA250)&gt;0,($CD250*cfg_TroyOz)/($CA250),""),"")</f>
        <v/>
      </c>
      <c r="CN250" s="56">
        <f>IFERROR(IF(($CB250)&gt;0,($CE250*cfg_TroyOz)/($CB250),""),"")</f>
        <v/>
      </c>
      <c r="CO250" s="56">
        <f>IFERROR(IF(($BZ250)&gt;0,($CF250*cfg_TroyOz)/($BZ250),""),"")</f>
        <v/>
      </c>
      <c r="CP250" s="56">
        <f>IFERROR(IF(($CA250)&gt;0,($CG250*cfg_TroyOz)/($CA250),""),"")</f>
        <v/>
      </c>
      <c r="CQ250" s="56">
        <f>IFERROR(IF(($CB250)&gt;0,($CH250*cfg_TroyOz)/($CB250),""),"")</f>
        <v/>
      </c>
      <c r="CR250" s="67">
        <f>IFERROR(IF(($CC250)&gt;0,($CI250)/($CC250),""),"")</f>
        <v/>
      </c>
      <c r="CS250" s="67">
        <f>IFERROR(IF(($CD250)&gt;0,($CJ250)/($CD250),""),"")</f>
        <v/>
      </c>
      <c r="CT250" s="67">
        <f>IFERROR(IF(($CE250)&gt;0,($CK250)/($CE250),""),"")</f>
        <v/>
      </c>
      <c r="CU250" s="55">
        <f>SUMIFS(tblPlant[Gravity_Gold_oz],tblPlant[Date],$A250)</f>
        <v/>
      </c>
      <c r="CV250" s="55">
        <f>IF($B250=$B249,$CV249,0)+$CU250</f>
        <v/>
      </c>
      <c r="CW250" s="55">
        <f>$CW249+$CU250</f>
        <v/>
      </c>
      <c r="CX250" s="55">
        <f>SUMIFS(tblPlant[Gold_Poured_oz],tblPlant[Date],$A250)</f>
        <v/>
      </c>
      <c r="CY250" s="55">
        <f>IF($B250=$B249,$CY249,0)+$CX250</f>
        <v/>
      </c>
      <c r="CZ250" s="55">
        <f>$CZ249+$CX250</f>
        <v/>
      </c>
      <c r="DA250" s="57">
        <f>SUMIFS(tblPlant[Mill_Run_h],tblPlant[Date],$A250)</f>
        <v/>
      </c>
      <c r="DB250" s="57">
        <f>IF($B250=$B249,$DB249,0)+$DA250</f>
        <v/>
      </c>
      <c r="DC250" s="57">
        <f>$DC249+$DA250</f>
        <v/>
      </c>
      <c r="DD250" s="57">
        <f>SUMIFS(tblPlant[Mill_Planned_Maint_h],tblPlant[Date],$A250)</f>
        <v/>
      </c>
      <c r="DE250" s="57">
        <f>IF($B250=$B249,$DE249,0)+$DD250</f>
        <v/>
      </c>
      <c r="DF250" s="57">
        <f>$DF249+$DD250</f>
        <v/>
      </c>
      <c r="DG250" s="57">
        <f>SUMIFS(tblPlant[Mill_Unplanned_Down_h],tblPlant[Date],$A250)</f>
        <v/>
      </c>
      <c r="DH250" s="57">
        <f>IF($B250=$B249,$DH249,0)+$DG250</f>
        <v/>
      </c>
      <c r="DI250" s="57">
        <f>$DI249+$DG250</f>
        <v/>
      </c>
      <c r="DJ250" s="57">
        <f>COUNTIFS(tblPlant[Date],$A250,tblPlant[Mill_Run_h],"&lt;&gt;")*24</f>
        <v/>
      </c>
      <c r="DK250" s="57">
        <f>IF($B250=$B249,$DK249,0)+$DJ250</f>
        <v/>
      </c>
      <c r="DL250" s="57">
        <f>$DL249+$DJ250</f>
        <v/>
      </c>
      <c r="DM250" s="57">
        <f>SUMIFS(tblPlant[Crusher_Run_h],tblPlant[Date],$A250)</f>
        <v/>
      </c>
      <c r="DN250" s="57">
        <f>IF($B250=$B249,$DN249,0)+$DM250</f>
        <v/>
      </c>
      <c r="DO250" s="57">
        <f>$DO249+$DM250</f>
        <v/>
      </c>
      <c r="DP250" s="55">
        <f>IFERROR(IF(($DA250)&gt;0,($BZ250)/($DA250),""),"")</f>
        <v/>
      </c>
      <c r="DQ250" s="55">
        <f>IFERROR(IF(($DB250)&gt;0,($CA250)/($DB250),""),"")</f>
        <v/>
      </c>
      <c r="DR250" s="55">
        <f>IFERROR(IF(($DC250)&gt;0,($CB250)/($DC250),""),"")</f>
        <v/>
      </c>
      <c r="DS250" s="67">
        <f>IFERROR(IF(($DJ250)&gt;0,($DJ250-$DD250-$DG250)/($DJ250),""),"")</f>
        <v/>
      </c>
      <c r="DT250" s="67">
        <f>IFERROR(IF(($DK250)&gt;0,($DK250-$DE250-$DH250)/($DK250),""),"")</f>
        <v/>
      </c>
      <c r="DU250" s="67">
        <f>IFERROR(IF(($DL250)&gt;0,($DL250-$DF250-$DI250)/($DL250),""),"")</f>
        <v/>
      </c>
      <c r="DV250" s="67">
        <f>IFERROR(IF(($DJ250-$DD250-$DG250)&gt;0,($DA250)/($DJ250-$DD250-$DG250),""),"")</f>
        <v/>
      </c>
      <c r="DW250" s="67">
        <f>IFERROR(IF(($DK250-$DE250-$DH250)&gt;0,($DB250)/($DK250-$DE250-$DH250),""),"")</f>
        <v/>
      </c>
      <c r="DX250" s="67">
        <f>IFERROR(IF(($DL250-$DF250-$DI250)&gt;0,($DC250)/($DL250-$DF250-$DI250),""),"")</f>
        <v/>
      </c>
      <c r="DY250" s="55">
        <f>SUMIFS(tblPlant[Cyanide_kg],tblPlant[Date],$A250)</f>
        <v/>
      </c>
      <c r="DZ250" s="55">
        <f>IF($B250=$B249,$DZ249,0)+$DY250</f>
        <v/>
      </c>
      <c r="EA250" s="55">
        <f>$EA249+$DY250</f>
        <v/>
      </c>
      <c r="EB250" s="55">
        <f>SUMIFS(tblPlant[Lime_kg],tblPlant[Date],$A250)</f>
        <v/>
      </c>
      <c r="EC250" s="55">
        <f>IF($B250=$B249,$EC249,0)+$EB250</f>
        <v/>
      </c>
      <c r="ED250" s="55">
        <f>$ED249+$EB250</f>
        <v/>
      </c>
      <c r="EE250" s="55">
        <f>SUMIFS(tblPlant[Grinding_Media_kg],tblPlant[Date],$A250)</f>
        <v/>
      </c>
      <c r="EF250" s="55">
        <f>IF($B250=$B249,$EF249,0)+$EE250</f>
        <v/>
      </c>
      <c r="EG250" s="55">
        <f>$EG249+$EE250</f>
        <v/>
      </c>
      <c r="EH250" s="55">
        <f>SUMIFS(tblPlant[Power_kWh],tblPlant[Date],$A250)</f>
        <v/>
      </c>
      <c r="EI250" s="55">
        <f>IF($B250=$B249,$EI249,0)+$EH250</f>
        <v/>
      </c>
      <c r="EJ250" s="55">
        <f>$EJ249+$EH250</f>
        <v/>
      </c>
      <c r="EK250" s="55">
        <f>SUMIFS(tblPlant[Raw_Water_m3],tblPlant[Date],$A250)</f>
        <v/>
      </c>
      <c r="EL250" s="55">
        <f>IF($B250=$B249,$EL249,0)+$EK250</f>
        <v/>
      </c>
      <c r="EM250" s="55">
        <f>$EM249+$EK250</f>
        <v/>
      </c>
      <c r="EN250" s="56">
        <f>IFERROR(IF(($BZ250)&gt;0,($DY250)/($BZ250),""),"")</f>
        <v/>
      </c>
      <c r="EO250" s="56">
        <f>IFERROR(IF(($CA250)&gt;0,($DZ250)/($CA250),""),"")</f>
        <v/>
      </c>
      <c r="EP250" s="56">
        <f>IFERROR(IF(($CB250)&gt;0,($EA250)/($CB250),""),"")</f>
        <v/>
      </c>
      <c r="EQ250" s="56">
        <f>IFERROR(IF(($BZ250)&gt;0,($EB250)/($BZ250),""),"")</f>
        <v/>
      </c>
      <c r="ER250" s="56">
        <f>IFERROR(IF(($CA250)&gt;0,($EC250)/($CA250),""),"")</f>
        <v/>
      </c>
      <c r="ES250" s="56">
        <f>IFERROR(IF(($CB250)&gt;0,($ED250)/($CB250),""),"")</f>
        <v/>
      </c>
      <c r="ET250" s="56">
        <f>IFERROR(IF(($BZ250)&gt;0,($EE250)/($BZ250),""),"")</f>
        <v/>
      </c>
      <c r="EU250" s="56">
        <f>IFERROR(IF(($CA250)&gt;0,($EF250)/($CA250),""),"")</f>
        <v/>
      </c>
      <c r="EV250" s="56">
        <f>IFERROR(IF(($CB250)&gt;0,($EG250)/($CB250),""),"")</f>
        <v/>
      </c>
      <c r="EW250" s="76">
        <f>IFERROR(IF(($BZ250)&gt;0,($EH250)/($BZ250),""),"")</f>
        <v/>
      </c>
      <c r="EX250" s="76">
        <f>IFERROR(IF(($CA250)&gt;0,($EI250)/($CA250),""),"")</f>
        <v/>
      </c>
      <c r="EY250" s="76">
        <f>IFERROR(IF(($CB250)&gt;0,($EJ250)/($CB250),""),"")</f>
        <v/>
      </c>
      <c r="EZ250" s="56">
        <f>IFERROR(IF(($BZ250)&gt;0,($EK250)/($BZ250),""),"")</f>
        <v/>
      </c>
      <c r="FA250" s="56">
        <f>IFERROR(IF(($CA250)&gt;0,($EL250)/($CA250),""),"")</f>
        <v/>
      </c>
      <c r="FB250" s="56">
        <f>IFERROR(IF(($CB250)&gt;0,($EM250)/($CB250),""),"")</f>
        <v/>
      </c>
      <c r="FC250" s="55">
        <f>IF(SUMIFS(tblPlant[GIC_oz],tblPlant[Date],$A250)&gt;0,SUMIFS(tblPlant[GIC_oz],tblPlant[Date],$A250),"")</f>
        <v/>
      </c>
      <c r="FD250" s="55">
        <f>SUMIFS(tblGold[Gold_oz],tblGold[Date],$A250,tblGold[Type],"Shipment")</f>
        <v/>
      </c>
      <c r="FE250" s="55">
        <f>IF($B250=$B249,$FE249,0)+$FD250</f>
        <v/>
      </c>
      <c r="FF250" s="55">
        <f>$FF249+$FD250</f>
        <v/>
      </c>
      <c r="FG250" s="55">
        <f>SUMIFS(tblGold[Gold_oz],tblGold[Date],$A250,tblGold[Type],"Sale")</f>
        <v/>
      </c>
      <c r="FH250" s="55">
        <f>IF($B250=$B249,$FH249,0)+$FG250</f>
        <v/>
      </c>
      <c r="FI250" s="55">
        <f>$FI249+$FG250</f>
        <v/>
      </c>
      <c r="FJ250" s="55">
        <f>SUMIFS(tblGold[Dore_kg],tblGold[Date],$A250,tblGold[Type],"Shipment")</f>
        <v/>
      </c>
      <c r="FK250" s="55">
        <f>IF($B250=$B249,$FK249,0)+$FJ250</f>
        <v/>
      </c>
      <c r="FL250" s="55">
        <f>$FL249+$FJ250</f>
        <v/>
      </c>
      <c r="FM250" s="57">
        <f>SUMIFS(tblSafety[Hours_Total],tblSafety[Date],$A250)</f>
        <v/>
      </c>
      <c r="FN250" s="57">
        <f>IF($B250=$B249,$FN249,0)+$FM250</f>
        <v/>
      </c>
      <c r="FO250" s="57">
        <f>$FO249+$FM250</f>
        <v/>
      </c>
      <c r="FP250" s="62">
        <f>SUMIFS(tblSafety[Fatality],tblSafety[Date],$A250)</f>
        <v/>
      </c>
      <c r="FQ250" s="62">
        <f>IF($B250=$B249,$FQ249,0)+$FP250</f>
        <v/>
      </c>
      <c r="FR250" s="62">
        <f>$FR249+$FP250</f>
        <v/>
      </c>
      <c r="FS250" s="62">
        <f>SUMIFS(tblSafety[LTI],tblSafety[Date],$A250)</f>
        <v/>
      </c>
      <c r="FT250" s="62">
        <f>IF($B250=$B249,$FT249,0)+$FS250</f>
        <v/>
      </c>
      <c r="FU250" s="62">
        <f>$FU249+$FS250</f>
        <v/>
      </c>
      <c r="FV250" s="62">
        <f>SUMIFS(tblSafety[RWI],tblSafety[Date],$A250)</f>
        <v/>
      </c>
      <c r="FW250" s="62">
        <f>IF($B250=$B249,$FW249,0)+$FV250</f>
        <v/>
      </c>
      <c r="FX250" s="62">
        <f>$FX249+$FV250</f>
        <v/>
      </c>
      <c r="FY250" s="62">
        <f>SUMIFS(tblSafety[MTI],tblSafety[Date],$A250)</f>
        <v/>
      </c>
      <c r="FZ250" s="62">
        <f>IF($B250=$B249,$FZ249,0)+$FY250</f>
        <v/>
      </c>
      <c r="GA250" s="62">
        <f>$GA249+$FY250</f>
        <v/>
      </c>
      <c r="GB250" s="62">
        <f>SUMIFS(tblSafety[FAI],tblSafety[Date],$A250)</f>
        <v/>
      </c>
      <c r="GC250" s="62">
        <f>IF($B250=$B249,$GC249,0)+$GB250</f>
        <v/>
      </c>
      <c r="GD250" s="62">
        <f>$GD249+$GB250</f>
        <v/>
      </c>
      <c r="GE250" s="62">
        <f>SUMIFS(tblSafety[Recordables],tblSafety[Date],$A250)</f>
        <v/>
      </c>
      <c r="GF250" s="62">
        <f>IF($B250=$B249,$GF249,0)+$GE250</f>
        <v/>
      </c>
      <c r="GG250" s="62">
        <f>$GG249+$GE250</f>
        <v/>
      </c>
      <c r="GH250" s="62">
        <f>SUMIFS(tblSafety[Near_Miss],tblSafety[Date],$A250)</f>
        <v/>
      </c>
      <c r="GI250" s="62">
        <f>IF($B250=$B249,$GI249,0)+$GH250</f>
        <v/>
      </c>
      <c r="GJ250" s="62">
        <f>$GJ249+$GH250</f>
        <v/>
      </c>
      <c r="GK250" s="62">
        <f>SUMIFS(tblSafety[Hazard_Reports],tblSafety[Date],$A250)</f>
        <v/>
      </c>
      <c r="GL250" s="62">
        <f>IF($B250=$B249,$GL249,0)+$GK250</f>
        <v/>
      </c>
      <c r="GM250" s="62">
        <f>$GM249+$GK250</f>
        <v/>
      </c>
      <c r="GN250" s="62">
        <f>SUMIFS(tblSafety[HPI],tblSafety[Date],$A250)</f>
        <v/>
      </c>
      <c r="GO250" s="62">
        <f>IF($B250=$B249,$GO249,0)+$GN250</f>
        <v/>
      </c>
      <c r="GP250" s="62">
        <f>$GP249+$GN250</f>
        <v/>
      </c>
      <c r="GQ250" s="62">
        <f>SUMIFS(tblSafety[Env_Incidents],tblSafety[Date],$A250)</f>
        <v/>
      </c>
      <c r="GR250" s="62">
        <f>IF($B250=$B249,$GR249,0)+$GQ250</f>
        <v/>
      </c>
      <c r="GS250" s="62">
        <f>$GS249+$GQ250</f>
        <v/>
      </c>
      <c r="GT250" s="62">
        <f>SUMIFS(tblSafety[Community_Incidents],tblSafety[Date],$A250)</f>
        <v/>
      </c>
      <c r="GU250" s="62">
        <f>IF($B250=$B249,$GU249,0)+$GT250</f>
        <v/>
      </c>
      <c r="GV250" s="62">
        <f>$GV249+$GT250</f>
        <v/>
      </c>
      <c r="GW250" s="62">
        <f>SUMIFS(tblSafety[Vehicle_Incidents],tblSafety[Date],$A250)</f>
        <v/>
      </c>
      <c r="GX250" s="62">
        <f>IF($B250=$B249,$GX249,0)+$GW250</f>
        <v/>
      </c>
      <c r="GY250" s="62">
        <f>$GY249+$GW250</f>
        <v/>
      </c>
      <c r="GZ250" s="62">
        <f>SUMIFS(tblSafety[Toolbox_Talks],tblSafety[Date],$A250)</f>
        <v/>
      </c>
      <c r="HA250" s="62">
        <f>IF($B250=$B249,$HA249,0)+$GZ250</f>
        <v/>
      </c>
      <c r="HB250" s="62">
        <f>$HB249+$GZ250</f>
        <v/>
      </c>
      <c r="HC250" s="62">
        <f>SUMIFS(tblSafety[Inspections],tblSafety[Date],$A250)</f>
        <v/>
      </c>
      <c r="HD250" s="62">
        <f>IF($B250=$B249,$HD249,0)+$HC250</f>
        <v/>
      </c>
      <c r="HE250" s="62">
        <f>$HE249+$HC250</f>
        <v/>
      </c>
      <c r="HF250" s="56">
        <f>IFERROR((SUMIFS(tblSafety[Recordables],tblSafety[Date],"&gt;="&amp;EDATE($E250,-12),tblSafety[Date],"&lt;="&amp;$A250)+SUMIFS(tblSafetyHistory[Recordables],tblSafetyHistory[Month],"&gt;="&amp;EDATE($E250,-12),tblSafetyHistory[Month],"&lt;"&amp;cfg_YearStart))/(SUMIFS(tblSafety[Hours_Total],tblSafety[Date],"&gt;="&amp;EDATE($E250,-12),tblSafety[Date],"&lt;="&amp;$A250)+SUMIFS(tblSafetyHistory[Hours_Total],tblSafetyHistory[Month],"&gt;="&amp;EDATE($E250,-12),tblSafetyHistory[Month],"&lt;"&amp;cfg_YearStart))*1000000,"")</f>
        <v/>
      </c>
      <c r="HG250" s="56">
        <f>IFERROR((SUMIFS(tblSafety[LTI],tblSafety[Date],"&gt;="&amp;EDATE($E250,-12),tblSafety[Date],"&lt;="&amp;$A250)+SUMIFS(tblSafetyHistory[LTI],tblSafetyHistory[Month],"&gt;="&amp;EDATE($E250,-12),tblSafetyHistory[Month],"&lt;"&amp;cfg_YearStart))/(SUMIFS(tblSafety[Hours_Total],tblSafety[Date],"&gt;="&amp;EDATE($E250,-12),tblSafety[Date],"&lt;="&amp;$A250)+SUMIFS(tblSafetyHistory[Hours_Total],tblSafetyHistory[Month],"&gt;="&amp;EDATE($E250,-12),tblSafetyHistory[Month],"&lt;"&amp;cfg_YearStart))*1000000,"")</f>
        <v/>
      </c>
      <c r="HH250" s="62">
        <f>IF(MAX(N(cfg_PriorLTIDate),_xlfn.MAXIFS(tblSafety[Date],tblSafety[LTI],"&gt;0",tblSafety[Date],"&lt;="&amp;$A250))=0,"",$A250-MAX(N(cfg_PriorLTIDate),_xlfn.MAXIFS(tblSafety[Date],tblSafety[LTI],"&gt;0",tblSafety[Date],"&lt;="&amp;$A250)))</f>
        <v/>
      </c>
      <c r="HI250" s="55">
        <f>SUMIFS(tblBudget[Ore_Mined_t],tblBudget[Month],$E250)</f>
        <v/>
      </c>
      <c r="HJ250" s="55">
        <f>$HI250*$C250/$D250</f>
        <v/>
      </c>
      <c r="HK250" s="55">
        <f>SUMIFS(tblBudget[Ore_Mined_t],tblBudget[Month],"&lt;"&amp;$E250)+$HJ250</f>
        <v/>
      </c>
      <c r="HL250" s="55">
        <f>SUMIFS(tblBudget[Ore_oz],tblBudget[Month],$E250)</f>
        <v/>
      </c>
      <c r="HM250" s="55">
        <f>$HL250*$C250/$D250</f>
        <v/>
      </c>
      <c r="HN250" s="55">
        <f>SUMIFS(tblBudget[Ore_oz],tblBudget[Month],"&lt;"&amp;$E250)+$HM250</f>
        <v/>
      </c>
      <c r="HO250" s="56">
        <f>IFERROR(IF(($HI250)&gt;0,($HL250*cfg_TroyOz)/($HI250),""),"")</f>
        <v/>
      </c>
      <c r="HP250" s="56">
        <f>IFERROR(IF(($HJ250)&gt;0,($HM250*cfg_TroyOz)/($HJ250),""),"")</f>
        <v/>
      </c>
      <c r="HQ250" s="56">
        <f>IFERROR(IF(($HK250)&gt;0,($HN250*cfg_TroyOz)/($HK250),""),"")</f>
        <v/>
      </c>
      <c r="HR250" s="55">
        <f>SUMIFS(tblBudget[Waste_t],tblBudget[Month],$E250)</f>
        <v/>
      </c>
      <c r="HS250" s="55">
        <f>$HR250*$C250/$D250</f>
        <v/>
      </c>
      <c r="HT250" s="55">
        <f>SUMIFS(tblBudget[Waste_t],tblBudget[Month],"&lt;"&amp;$E250)+$HS250</f>
        <v/>
      </c>
      <c r="HU250" s="55">
        <f>SUMIFS(tblBudget[TMM_t],tblBudget[Month],$E250)</f>
        <v/>
      </c>
      <c r="HV250" s="55">
        <f>$HU250*$C250/$D250</f>
        <v/>
      </c>
      <c r="HW250" s="55">
        <f>SUMIFS(tblBudget[TMM_t],tblBudget[Month],"&lt;"&amp;$E250)+$HV250</f>
        <v/>
      </c>
      <c r="HX250" s="56">
        <f>IFERROR(IF(($HI250)&gt;0,($HR250)/($HI250),""),"")</f>
        <v/>
      </c>
      <c r="HY250" s="56">
        <f>IFERROR(IF(($HJ250)&gt;0,($HS250)/($HJ250),""),"")</f>
        <v/>
      </c>
      <c r="HZ250" s="56">
        <f>IFERROR(IF(($HK250)&gt;0,($HT250)/($HK250),""),"")</f>
        <v/>
      </c>
      <c r="IA250" s="55">
        <f>SUMIFS(tblBudget[Drill_m],tblBudget[Month],$E250)</f>
        <v/>
      </c>
      <c r="IB250" s="55">
        <f>$IA250*$C250/$D250</f>
        <v/>
      </c>
      <c r="IC250" s="55">
        <f>SUMIFS(tblBudget[Drill_m],tblBudget[Month],"&lt;"&amp;$E250)+$IB250</f>
        <v/>
      </c>
      <c r="ID250" s="55">
        <f>SUMIFS(tblBudget[Diesel_L],tblBudget[Month],$E250)</f>
        <v/>
      </c>
      <c r="IE250" s="55">
        <f>$ID250*$C250/$D250</f>
        <v/>
      </c>
      <c r="IF250" s="55">
        <f>SUMIFS(tblBudget[Diesel_L],tblBudget[Month],"&lt;"&amp;$E250)+$IE250</f>
        <v/>
      </c>
      <c r="IG250" s="55">
        <f>SUMIFS(tblBudget[Milled_t],tblBudget[Month],$E250)</f>
        <v/>
      </c>
      <c r="IH250" s="55">
        <f>$IG250*$C250/$D250</f>
        <v/>
      </c>
      <c r="II250" s="55">
        <f>SUMIFS(tblBudget[Milled_t],tblBudget[Month],"&lt;"&amp;$E250)+$IH250</f>
        <v/>
      </c>
      <c r="IJ250" s="55">
        <f>SUMIFS(tblBudget[Feed_oz],tblBudget[Month],$E250)</f>
        <v/>
      </c>
      <c r="IK250" s="55">
        <f>$IJ250*$C250/$D250</f>
        <v/>
      </c>
      <c r="IL250" s="55">
        <f>SUMIFS(tblBudget[Feed_oz],tblBudget[Month],"&lt;"&amp;$E250)+$IK250</f>
        <v/>
      </c>
      <c r="IM250" s="55">
        <f>SUMIFS(tblBudget[Recovered_oz],tblBudget[Month],$E250)</f>
        <v/>
      </c>
      <c r="IN250" s="55">
        <f>$IM250*$C250/$D250</f>
        <v/>
      </c>
      <c r="IO250" s="55">
        <f>SUMIFS(tblBudget[Recovered_oz],tblBudget[Month],"&lt;"&amp;$E250)+$IN250</f>
        <v/>
      </c>
      <c r="IP250" s="56">
        <f>IFERROR(IF(($IG250)&gt;0,($IJ250*cfg_TroyOz)/($IG250),""),"")</f>
        <v/>
      </c>
      <c r="IQ250" s="56">
        <f>IFERROR(IF(($IH250)&gt;0,($IK250*cfg_TroyOz)/($IH250),""),"")</f>
        <v/>
      </c>
      <c r="IR250" s="56">
        <f>IFERROR(IF(($II250)&gt;0,($IL250*cfg_TroyOz)/($II250),""),"")</f>
        <v/>
      </c>
      <c r="IS250" s="67">
        <f>IFERROR(IF(($IJ250)&gt;0,($IM250)/($IJ250),""),"")</f>
        <v/>
      </c>
      <c r="IT250" s="67">
        <f>IFERROR(IF(($IK250)&gt;0,($IN250)/($IK250),""),"")</f>
        <v/>
      </c>
      <c r="IU250" s="67">
        <f>IFERROR(IF(($IL250)&gt;0,($IO250)/($IL250),""),"")</f>
        <v/>
      </c>
      <c r="IV250" s="55">
        <f>SUMIFS(tblBudget[Gold_Poured_oz],tblBudget[Month],$E250)</f>
        <v/>
      </c>
      <c r="IW250" s="55">
        <f>$IV250*$C250/$D250</f>
        <v/>
      </c>
      <c r="IX250" s="55">
        <f>SUMIFS(tblBudget[Gold_Poured_oz],tblBudget[Month],"&lt;"&amp;$E250)+$IW250</f>
        <v/>
      </c>
      <c r="IY250" s="57">
        <f>SUMIFS(tblBudget[Hours_Worked],tblBudget[Month],$E250)</f>
        <v/>
      </c>
      <c r="IZ250" s="57">
        <f>$IY250*$C250/$D250</f>
        <v/>
      </c>
      <c r="JA250" s="57">
        <f>SUMIFS(tblBudget[Hours_Worked],tblBudget[Month],"&lt;"&amp;$E250)+$IZ250</f>
        <v/>
      </c>
    </row>
    <row r="251">
      <c r="A251" s="54" t="n">
        <v>46272</v>
      </c>
      <c r="B251">
        <f>MONTH($A251)</f>
        <v/>
      </c>
      <c r="C251">
        <f>DAY($A251)</f>
        <v/>
      </c>
      <c r="D251">
        <f>DAY(EOMONTH($A251,0))</f>
        <v/>
      </c>
      <c r="E251" s="54">
        <f>DATE(YEAR($A251),MONTH($A251),1)</f>
        <v/>
      </c>
      <c r="F251" s="55">
        <f>SUMIFS(tblMovement[Tonnes_t],tblMovement[Date],$A251,tblMovement[Is_Ore],1,tblMovement[Source_Type],"Pit")</f>
        <v/>
      </c>
      <c r="G251" s="55">
        <f>IF($B251=$B250,$G250,0)+$F251</f>
        <v/>
      </c>
      <c r="H251" s="55">
        <f>$H250+$F251</f>
        <v/>
      </c>
      <c r="I251" s="55">
        <f>SUMIFS(tblMovement[Ore_oz],tblMovement[Date],$A251,tblMovement[Source_Type],"Pit")</f>
        <v/>
      </c>
      <c r="J251" s="55">
        <f>IF($B251=$B250,$J250,0)+$I251</f>
        <v/>
      </c>
      <c r="K251" s="55">
        <f>$K250+$I251</f>
        <v/>
      </c>
      <c r="L251" s="56">
        <f>IFERROR(IF(($F251)&gt;0,($I251*cfg_TroyOz)/($F251),""),"")</f>
        <v/>
      </c>
      <c r="M251" s="56">
        <f>IFERROR(IF(($G251)&gt;0,($J251*cfg_TroyOz)/($G251),""),"")</f>
        <v/>
      </c>
      <c r="N251" s="56">
        <f>IFERROR(IF(($H251)&gt;0,($K251*cfg_TroyOz)/($H251),""),"")</f>
        <v/>
      </c>
      <c r="O251" s="55">
        <f>SUMIFS(tblMovement[Tonnes_t],tblMovement[Date],$A251,tblMovement[Is_Ore],0,tblMovement[Source_Type],"Pit")</f>
        <v/>
      </c>
      <c r="P251" s="55">
        <f>IF($B251=$B250,$P250,0)+$O251</f>
        <v/>
      </c>
      <c r="Q251" s="55">
        <f>$Q250+$O251</f>
        <v/>
      </c>
      <c r="R251" s="55">
        <f>$F251+$O251</f>
        <v/>
      </c>
      <c r="S251" s="55">
        <f>IF($B251=$B250,$S250,0)+$R251</f>
        <v/>
      </c>
      <c r="T251" s="55">
        <f>$T250+$R251</f>
        <v/>
      </c>
      <c r="U251" s="56">
        <f>IFERROR(IF(($F251)&gt;0,($O251)/($F251),""),"")</f>
        <v/>
      </c>
      <c r="V251" s="56">
        <f>IFERROR(IF(($G251)&gt;0,($P251)/($G251),""),"")</f>
        <v/>
      </c>
      <c r="W251" s="56">
        <f>IFERROR(IF(($H251)&gt;0,($Q251)/($H251),""),"")</f>
        <v/>
      </c>
      <c r="X251" s="55">
        <f>SUMIFS(tblMovement[Tonnes_t],tblMovement[Date],$A251,tblMovement[Source_Type],"Stockpile")</f>
        <v/>
      </c>
      <c r="Y251" s="55">
        <f>IF($B251=$B250,$Y250,0)+$X251</f>
        <v/>
      </c>
      <c r="Z251" s="55">
        <f>$Z250+$X251</f>
        <v/>
      </c>
      <c r="AA251" s="55">
        <f>SUMIFS(tblMiningDaily[Drill_m],tblMiningDaily[Date],$A251)</f>
        <v/>
      </c>
      <c r="AB251" s="55">
        <f>IF($B251=$B250,$AB250,0)+$AA251</f>
        <v/>
      </c>
      <c r="AC251" s="55">
        <f>$AC250+$AA251</f>
        <v/>
      </c>
      <c r="AD251" s="55">
        <f>SUMIFS(tblMiningDaily[Blast_t],tblMiningDaily[Date],$A251)</f>
        <v/>
      </c>
      <c r="AE251" s="55">
        <f>IF($B251=$B250,$AE250,0)+$AD251</f>
        <v/>
      </c>
      <c r="AF251" s="55">
        <f>$AF250+$AD251</f>
        <v/>
      </c>
      <c r="AG251" s="55">
        <f>SUMIFS(tblMiningDaily[Explosives_kg],tblMiningDaily[Date],$A251)</f>
        <v/>
      </c>
      <c r="AH251" s="55">
        <f>IF($B251=$B250,$AH250,0)+$AG251</f>
        <v/>
      </c>
      <c r="AI251" s="55">
        <f>$AI250+$AG251</f>
        <v/>
      </c>
      <c r="AJ251" s="56">
        <f>IFERROR(IF(($AD251)&gt;0,($AG251)/($AD251),""),"")</f>
        <v/>
      </c>
      <c r="AK251" s="56">
        <f>IFERROR(IF(($AE251)&gt;0,($AH251)/($AE251),""),"")</f>
        <v/>
      </c>
      <c r="AL251" s="56">
        <f>IFERROR(IF(($AF251)&gt;0,($AI251)/($AF251),""),"")</f>
        <v/>
      </c>
      <c r="AM251" s="55">
        <f>SUMIFS(tblMiningDaily[Diesel_L],tblMiningDaily[Date],$A251)</f>
        <v/>
      </c>
      <c r="AN251" s="55">
        <f>IF($B251=$B250,$AN250,0)+$AM251</f>
        <v/>
      </c>
      <c r="AO251" s="55">
        <f>$AO250+$AM251</f>
        <v/>
      </c>
      <c r="AP251" s="55">
        <f>SUMIFS(tblMiningDaily[Dewatering_m3],tblMiningDaily[Date],$A251)</f>
        <v/>
      </c>
      <c r="AQ251" s="55">
        <f>IF($B251=$B250,$AQ250,0)+$AP251</f>
        <v/>
      </c>
      <c r="AR251" s="55">
        <f>$AR250+$AP251</f>
        <v/>
      </c>
      <c r="AS251" s="57">
        <f>SUMIFS(tblFleet[Calendar_h],tblFleet[Date],$A251,tblFleet[Equipment_Class],"Excavator")</f>
        <v/>
      </c>
      <c r="AT251" s="57">
        <f>IF($B251=$B250,$AT250,0)+$AS251</f>
        <v/>
      </c>
      <c r="AU251" s="57">
        <f>$AU250+$AS251</f>
        <v/>
      </c>
      <c r="AV251" s="57">
        <f>SUMIFS(tblFleet[Available_h],tblFleet[Date],$A251,tblFleet[Equipment_Class],"Excavator")</f>
        <v/>
      </c>
      <c r="AW251" s="57">
        <f>IF($B251=$B250,$AW250,0)+$AV251</f>
        <v/>
      </c>
      <c r="AX251" s="57">
        <f>$AX250+$AV251</f>
        <v/>
      </c>
      <c r="AY251" s="57">
        <f>SUMIFS(tblFleet[Operating_h],tblFleet[Date],$A251,tblFleet[Equipment_Class],"Excavator")</f>
        <v/>
      </c>
      <c r="AZ251" s="57">
        <f>IF($B251=$B250,$AZ250,0)+$AY251</f>
        <v/>
      </c>
      <c r="BA251" s="57">
        <f>$BA250+$AY251</f>
        <v/>
      </c>
      <c r="BB251" s="67">
        <f>IFERROR(IF(($AS251)&gt;0,($AV251)/($AS251),""),"")</f>
        <v/>
      </c>
      <c r="BC251" s="67">
        <f>IFERROR(IF(($AT251)&gt;0,($AW251)/($AT251),""),"")</f>
        <v/>
      </c>
      <c r="BD251" s="67">
        <f>IFERROR(IF(($AU251)&gt;0,($AX251)/($AU251),""),"")</f>
        <v/>
      </c>
      <c r="BE251" s="67">
        <f>IFERROR(IF(($AV251)&gt;0,($AY251)/($AV251),""),"")</f>
        <v/>
      </c>
      <c r="BF251" s="67">
        <f>IFERROR(IF(($AW251)&gt;0,($AZ251)/($AW251),""),"")</f>
        <v/>
      </c>
      <c r="BG251" s="67">
        <f>IFERROR(IF(($AX251)&gt;0,($BA251)/($AX251),""),"")</f>
        <v/>
      </c>
      <c r="BH251" s="57">
        <f>SUMIFS(tblFleet[Calendar_h],tblFleet[Date],$A251,tblFleet[Equipment_Class],"Haul Truck")</f>
        <v/>
      </c>
      <c r="BI251" s="57">
        <f>IF($B251=$B250,$BI250,0)+$BH251</f>
        <v/>
      </c>
      <c r="BJ251" s="57">
        <f>$BJ250+$BH251</f>
        <v/>
      </c>
      <c r="BK251" s="57">
        <f>SUMIFS(tblFleet[Available_h],tblFleet[Date],$A251,tblFleet[Equipment_Class],"Haul Truck")</f>
        <v/>
      </c>
      <c r="BL251" s="57">
        <f>IF($B251=$B250,$BL250,0)+$BK251</f>
        <v/>
      </c>
      <c r="BM251" s="57">
        <f>$BM250+$BK251</f>
        <v/>
      </c>
      <c r="BN251" s="57">
        <f>SUMIFS(tblFleet[Operating_h],tblFleet[Date],$A251,tblFleet[Equipment_Class],"Haul Truck")</f>
        <v/>
      </c>
      <c r="BO251" s="57">
        <f>IF($B251=$B250,$BO250,0)+$BN251</f>
        <v/>
      </c>
      <c r="BP251" s="57">
        <f>$BP250+$BN251</f>
        <v/>
      </c>
      <c r="BQ251" s="67">
        <f>IFERROR(IF(($BH251)&gt;0,($BK251)/($BH251),""),"")</f>
        <v/>
      </c>
      <c r="BR251" s="67">
        <f>IFERROR(IF(($BI251)&gt;0,($BL251)/($BI251),""),"")</f>
        <v/>
      </c>
      <c r="BS251" s="67">
        <f>IFERROR(IF(($BJ251)&gt;0,($BM251)/($BJ251),""),"")</f>
        <v/>
      </c>
      <c r="BT251" s="67">
        <f>IFERROR(IF(($BK251)&gt;0,($BN251)/($BK251),""),"")</f>
        <v/>
      </c>
      <c r="BU251" s="67">
        <f>IFERROR(IF(($BL251)&gt;0,($BO251)/($BL251),""),"")</f>
        <v/>
      </c>
      <c r="BV251" s="67">
        <f>IFERROR(IF(($BM251)&gt;0,($BP251)/($BM251),""),"")</f>
        <v/>
      </c>
      <c r="BW251" s="55">
        <f>SUMIFS(tblPlant[Crushed_t],tblPlant[Date],$A251)</f>
        <v/>
      </c>
      <c r="BX251" s="55">
        <f>IF($B251=$B250,$BX250,0)+$BW251</f>
        <v/>
      </c>
      <c r="BY251" s="55">
        <f>$BY250+$BW251</f>
        <v/>
      </c>
      <c r="BZ251" s="55">
        <f>SUMIFS(tblPlant[Milled_t],tblPlant[Date],$A251)</f>
        <v/>
      </c>
      <c r="CA251" s="55">
        <f>IF($B251=$B250,$CA250,0)+$BZ251</f>
        <v/>
      </c>
      <c r="CB251" s="55">
        <f>$CB250+$BZ251</f>
        <v/>
      </c>
      <c r="CC251" s="55">
        <f>SUMIFS(tblPlant[Feed_oz],tblPlant[Date],$A251)</f>
        <v/>
      </c>
      <c r="CD251" s="55">
        <f>IF($B251=$B250,$CD250,0)+$CC251</f>
        <v/>
      </c>
      <c r="CE251" s="55">
        <f>$CE250+$CC251</f>
        <v/>
      </c>
      <c r="CF251" s="55">
        <f>SUMIFS(tblPlant[Tails_oz],tblPlant[Date],$A251)</f>
        <v/>
      </c>
      <c r="CG251" s="55">
        <f>IF($B251=$B250,$CG250,0)+$CF251</f>
        <v/>
      </c>
      <c r="CH251" s="55">
        <f>$CH250+$CF251</f>
        <v/>
      </c>
      <c r="CI251" s="55">
        <f>SUMIFS(tblPlant[Recovered_oz],tblPlant[Date],$A251)</f>
        <v/>
      </c>
      <c r="CJ251" s="55">
        <f>IF($B251=$B250,$CJ250,0)+$CI251</f>
        <v/>
      </c>
      <c r="CK251" s="55">
        <f>$CK250+$CI251</f>
        <v/>
      </c>
      <c r="CL251" s="56">
        <f>IFERROR(IF(($BZ251)&gt;0,($CC251*cfg_TroyOz)/($BZ251),""),"")</f>
        <v/>
      </c>
      <c r="CM251" s="56">
        <f>IFERROR(IF(($CA251)&gt;0,($CD251*cfg_TroyOz)/($CA251),""),"")</f>
        <v/>
      </c>
      <c r="CN251" s="56">
        <f>IFERROR(IF(($CB251)&gt;0,($CE251*cfg_TroyOz)/($CB251),""),"")</f>
        <v/>
      </c>
      <c r="CO251" s="56">
        <f>IFERROR(IF(($BZ251)&gt;0,($CF251*cfg_TroyOz)/($BZ251),""),"")</f>
        <v/>
      </c>
      <c r="CP251" s="56">
        <f>IFERROR(IF(($CA251)&gt;0,($CG251*cfg_TroyOz)/($CA251),""),"")</f>
        <v/>
      </c>
      <c r="CQ251" s="56">
        <f>IFERROR(IF(($CB251)&gt;0,($CH251*cfg_TroyOz)/($CB251),""),"")</f>
        <v/>
      </c>
      <c r="CR251" s="67">
        <f>IFERROR(IF(($CC251)&gt;0,($CI251)/($CC251),""),"")</f>
        <v/>
      </c>
      <c r="CS251" s="67">
        <f>IFERROR(IF(($CD251)&gt;0,($CJ251)/($CD251),""),"")</f>
        <v/>
      </c>
      <c r="CT251" s="67">
        <f>IFERROR(IF(($CE251)&gt;0,($CK251)/($CE251),""),"")</f>
        <v/>
      </c>
      <c r="CU251" s="55">
        <f>SUMIFS(tblPlant[Gravity_Gold_oz],tblPlant[Date],$A251)</f>
        <v/>
      </c>
      <c r="CV251" s="55">
        <f>IF($B251=$B250,$CV250,0)+$CU251</f>
        <v/>
      </c>
      <c r="CW251" s="55">
        <f>$CW250+$CU251</f>
        <v/>
      </c>
      <c r="CX251" s="55">
        <f>SUMIFS(tblPlant[Gold_Poured_oz],tblPlant[Date],$A251)</f>
        <v/>
      </c>
      <c r="CY251" s="55">
        <f>IF($B251=$B250,$CY250,0)+$CX251</f>
        <v/>
      </c>
      <c r="CZ251" s="55">
        <f>$CZ250+$CX251</f>
        <v/>
      </c>
      <c r="DA251" s="57">
        <f>SUMIFS(tblPlant[Mill_Run_h],tblPlant[Date],$A251)</f>
        <v/>
      </c>
      <c r="DB251" s="57">
        <f>IF($B251=$B250,$DB250,0)+$DA251</f>
        <v/>
      </c>
      <c r="DC251" s="57">
        <f>$DC250+$DA251</f>
        <v/>
      </c>
      <c r="DD251" s="57">
        <f>SUMIFS(tblPlant[Mill_Planned_Maint_h],tblPlant[Date],$A251)</f>
        <v/>
      </c>
      <c r="DE251" s="57">
        <f>IF($B251=$B250,$DE250,0)+$DD251</f>
        <v/>
      </c>
      <c r="DF251" s="57">
        <f>$DF250+$DD251</f>
        <v/>
      </c>
      <c r="DG251" s="57">
        <f>SUMIFS(tblPlant[Mill_Unplanned_Down_h],tblPlant[Date],$A251)</f>
        <v/>
      </c>
      <c r="DH251" s="57">
        <f>IF($B251=$B250,$DH250,0)+$DG251</f>
        <v/>
      </c>
      <c r="DI251" s="57">
        <f>$DI250+$DG251</f>
        <v/>
      </c>
      <c r="DJ251" s="57">
        <f>COUNTIFS(tblPlant[Date],$A251,tblPlant[Mill_Run_h],"&lt;&gt;")*24</f>
        <v/>
      </c>
      <c r="DK251" s="57">
        <f>IF($B251=$B250,$DK250,0)+$DJ251</f>
        <v/>
      </c>
      <c r="DL251" s="57">
        <f>$DL250+$DJ251</f>
        <v/>
      </c>
      <c r="DM251" s="57">
        <f>SUMIFS(tblPlant[Crusher_Run_h],tblPlant[Date],$A251)</f>
        <v/>
      </c>
      <c r="DN251" s="57">
        <f>IF($B251=$B250,$DN250,0)+$DM251</f>
        <v/>
      </c>
      <c r="DO251" s="57">
        <f>$DO250+$DM251</f>
        <v/>
      </c>
      <c r="DP251" s="55">
        <f>IFERROR(IF(($DA251)&gt;0,($BZ251)/($DA251),""),"")</f>
        <v/>
      </c>
      <c r="DQ251" s="55">
        <f>IFERROR(IF(($DB251)&gt;0,($CA251)/($DB251),""),"")</f>
        <v/>
      </c>
      <c r="DR251" s="55">
        <f>IFERROR(IF(($DC251)&gt;0,($CB251)/($DC251),""),"")</f>
        <v/>
      </c>
      <c r="DS251" s="67">
        <f>IFERROR(IF(($DJ251)&gt;0,($DJ251-$DD251-$DG251)/($DJ251),""),"")</f>
        <v/>
      </c>
      <c r="DT251" s="67">
        <f>IFERROR(IF(($DK251)&gt;0,($DK251-$DE251-$DH251)/($DK251),""),"")</f>
        <v/>
      </c>
      <c r="DU251" s="67">
        <f>IFERROR(IF(($DL251)&gt;0,($DL251-$DF251-$DI251)/($DL251),""),"")</f>
        <v/>
      </c>
      <c r="DV251" s="67">
        <f>IFERROR(IF(($DJ251-$DD251-$DG251)&gt;0,($DA251)/($DJ251-$DD251-$DG251),""),"")</f>
        <v/>
      </c>
      <c r="DW251" s="67">
        <f>IFERROR(IF(($DK251-$DE251-$DH251)&gt;0,($DB251)/($DK251-$DE251-$DH251),""),"")</f>
        <v/>
      </c>
      <c r="DX251" s="67">
        <f>IFERROR(IF(($DL251-$DF251-$DI251)&gt;0,($DC251)/($DL251-$DF251-$DI251),""),"")</f>
        <v/>
      </c>
      <c r="DY251" s="55">
        <f>SUMIFS(tblPlant[Cyanide_kg],tblPlant[Date],$A251)</f>
        <v/>
      </c>
      <c r="DZ251" s="55">
        <f>IF($B251=$B250,$DZ250,0)+$DY251</f>
        <v/>
      </c>
      <c r="EA251" s="55">
        <f>$EA250+$DY251</f>
        <v/>
      </c>
      <c r="EB251" s="55">
        <f>SUMIFS(tblPlant[Lime_kg],tblPlant[Date],$A251)</f>
        <v/>
      </c>
      <c r="EC251" s="55">
        <f>IF($B251=$B250,$EC250,0)+$EB251</f>
        <v/>
      </c>
      <c r="ED251" s="55">
        <f>$ED250+$EB251</f>
        <v/>
      </c>
      <c r="EE251" s="55">
        <f>SUMIFS(tblPlant[Grinding_Media_kg],tblPlant[Date],$A251)</f>
        <v/>
      </c>
      <c r="EF251" s="55">
        <f>IF($B251=$B250,$EF250,0)+$EE251</f>
        <v/>
      </c>
      <c r="EG251" s="55">
        <f>$EG250+$EE251</f>
        <v/>
      </c>
      <c r="EH251" s="55">
        <f>SUMIFS(tblPlant[Power_kWh],tblPlant[Date],$A251)</f>
        <v/>
      </c>
      <c r="EI251" s="55">
        <f>IF($B251=$B250,$EI250,0)+$EH251</f>
        <v/>
      </c>
      <c r="EJ251" s="55">
        <f>$EJ250+$EH251</f>
        <v/>
      </c>
      <c r="EK251" s="55">
        <f>SUMIFS(tblPlant[Raw_Water_m3],tblPlant[Date],$A251)</f>
        <v/>
      </c>
      <c r="EL251" s="55">
        <f>IF($B251=$B250,$EL250,0)+$EK251</f>
        <v/>
      </c>
      <c r="EM251" s="55">
        <f>$EM250+$EK251</f>
        <v/>
      </c>
      <c r="EN251" s="56">
        <f>IFERROR(IF(($BZ251)&gt;0,($DY251)/($BZ251),""),"")</f>
        <v/>
      </c>
      <c r="EO251" s="56">
        <f>IFERROR(IF(($CA251)&gt;0,($DZ251)/($CA251),""),"")</f>
        <v/>
      </c>
      <c r="EP251" s="56">
        <f>IFERROR(IF(($CB251)&gt;0,($EA251)/($CB251),""),"")</f>
        <v/>
      </c>
      <c r="EQ251" s="56">
        <f>IFERROR(IF(($BZ251)&gt;0,($EB251)/($BZ251),""),"")</f>
        <v/>
      </c>
      <c r="ER251" s="56">
        <f>IFERROR(IF(($CA251)&gt;0,($EC251)/($CA251),""),"")</f>
        <v/>
      </c>
      <c r="ES251" s="56">
        <f>IFERROR(IF(($CB251)&gt;0,($ED251)/($CB251),""),"")</f>
        <v/>
      </c>
      <c r="ET251" s="56">
        <f>IFERROR(IF(($BZ251)&gt;0,($EE251)/($BZ251),""),"")</f>
        <v/>
      </c>
      <c r="EU251" s="56">
        <f>IFERROR(IF(($CA251)&gt;0,($EF251)/($CA251),""),"")</f>
        <v/>
      </c>
      <c r="EV251" s="56">
        <f>IFERROR(IF(($CB251)&gt;0,($EG251)/($CB251),""),"")</f>
        <v/>
      </c>
      <c r="EW251" s="76">
        <f>IFERROR(IF(($BZ251)&gt;0,($EH251)/($BZ251),""),"")</f>
        <v/>
      </c>
      <c r="EX251" s="76">
        <f>IFERROR(IF(($CA251)&gt;0,($EI251)/($CA251),""),"")</f>
        <v/>
      </c>
      <c r="EY251" s="76">
        <f>IFERROR(IF(($CB251)&gt;0,($EJ251)/($CB251),""),"")</f>
        <v/>
      </c>
      <c r="EZ251" s="56">
        <f>IFERROR(IF(($BZ251)&gt;0,($EK251)/($BZ251),""),"")</f>
        <v/>
      </c>
      <c r="FA251" s="56">
        <f>IFERROR(IF(($CA251)&gt;0,($EL251)/($CA251),""),"")</f>
        <v/>
      </c>
      <c r="FB251" s="56">
        <f>IFERROR(IF(($CB251)&gt;0,($EM251)/($CB251),""),"")</f>
        <v/>
      </c>
      <c r="FC251" s="55">
        <f>IF(SUMIFS(tblPlant[GIC_oz],tblPlant[Date],$A251)&gt;0,SUMIFS(tblPlant[GIC_oz],tblPlant[Date],$A251),"")</f>
        <v/>
      </c>
      <c r="FD251" s="55">
        <f>SUMIFS(tblGold[Gold_oz],tblGold[Date],$A251,tblGold[Type],"Shipment")</f>
        <v/>
      </c>
      <c r="FE251" s="55">
        <f>IF($B251=$B250,$FE250,0)+$FD251</f>
        <v/>
      </c>
      <c r="FF251" s="55">
        <f>$FF250+$FD251</f>
        <v/>
      </c>
      <c r="FG251" s="55">
        <f>SUMIFS(tblGold[Gold_oz],tblGold[Date],$A251,tblGold[Type],"Sale")</f>
        <v/>
      </c>
      <c r="FH251" s="55">
        <f>IF($B251=$B250,$FH250,0)+$FG251</f>
        <v/>
      </c>
      <c r="FI251" s="55">
        <f>$FI250+$FG251</f>
        <v/>
      </c>
      <c r="FJ251" s="55">
        <f>SUMIFS(tblGold[Dore_kg],tblGold[Date],$A251,tblGold[Type],"Shipment")</f>
        <v/>
      </c>
      <c r="FK251" s="55">
        <f>IF($B251=$B250,$FK250,0)+$FJ251</f>
        <v/>
      </c>
      <c r="FL251" s="55">
        <f>$FL250+$FJ251</f>
        <v/>
      </c>
      <c r="FM251" s="57">
        <f>SUMIFS(tblSafety[Hours_Total],tblSafety[Date],$A251)</f>
        <v/>
      </c>
      <c r="FN251" s="57">
        <f>IF($B251=$B250,$FN250,0)+$FM251</f>
        <v/>
      </c>
      <c r="FO251" s="57">
        <f>$FO250+$FM251</f>
        <v/>
      </c>
      <c r="FP251" s="62">
        <f>SUMIFS(tblSafety[Fatality],tblSafety[Date],$A251)</f>
        <v/>
      </c>
      <c r="FQ251" s="62">
        <f>IF($B251=$B250,$FQ250,0)+$FP251</f>
        <v/>
      </c>
      <c r="FR251" s="62">
        <f>$FR250+$FP251</f>
        <v/>
      </c>
      <c r="FS251" s="62">
        <f>SUMIFS(tblSafety[LTI],tblSafety[Date],$A251)</f>
        <v/>
      </c>
      <c r="FT251" s="62">
        <f>IF($B251=$B250,$FT250,0)+$FS251</f>
        <v/>
      </c>
      <c r="FU251" s="62">
        <f>$FU250+$FS251</f>
        <v/>
      </c>
      <c r="FV251" s="62">
        <f>SUMIFS(tblSafety[RWI],tblSafety[Date],$A251)</f>
        <v/>
      </c>
      <c r="FW251" s="62">
        <f>IF($B251=$B250,$FW250,0)+$FV251</f>
        <v/>
      </c>
      <c r="FX251" s="62">
        <f>$FX250+$FV251</f>
        <v/>
      </c>
      <c r="FY251" s="62">
        <f>SUMIFS(tblSafety[MTI],tblSafety[Date],$A251)</f>
        <v/>
      </c>
      <c r="FZ251" s="62">
        <f>IF($B251=$B250,$FZ250,0)+$FY251</f>
        <v/>
      </c>
      <c r="GA251" s="62">
        <f>$GA250+$FY251</f>
        <v/>
      </c>
      <c r="GB251" s="62">
        <f>SUMIFS(tblSafety[FAI],tblSafety[Date],$A251)</f>
        <v/>
      </c>
      <c r="GC251" s="62">
        <f>IF($B251=$B250,$GC250,0)+$GB251</f>
        <v/>
      </c>
      <c r="GD251" s="62">
        <f>$GD250+$GB251</f>
        <v/>
      </c>
      <c r="GE251" s="62">
        <f>SUMIFS(tblSafety[Recordables],tblSafety[Date],$A251)</f>
        <v/>
      </c>
      <c r="GF251" s="62">
        <f>IF($B251=$B250,$GF250,0)+$GE251</f>
        <v/>
      </c>
      <c r="GG251" s="62">
        <f>$GG250+$GE251</f>
        <v/>
      </c>
      <c r="GH251" s="62">
        <f>SUMIFS(tblSafety[Near_Miss],tblSafety[Date],$A251)</f>
        <v/>
      </c>
      <c r="GI251" s="62">
        <f>IF($B251=$B250,$GI250,0)+$GH251</f>
        <v/>
      </c>
      <c r="GJ251" s="62">
        <f>$GJ250+$GH251</f>
        <v/>
      </c>
      <c r="GK251" s="62">
        <f>SUMIFS(tblSafety[Hazard_Reports],tblSafety[Date],$A251)</f>
        <v/>
      </c>
      <c r="GL251" s="62">
        <f>IF($B251=$B250,$GL250,0)+$GK251</f>
        <v/>
      </c>
      <c r="GM251" s="62">
        <f>$GM250+$GK251</f>
        <v/>
      </c>
      <c r="GN251" s="62">
        <f>SUMIFS(tblSafety[HPI],tblSafety[Date],$A251)</f>
        <v/>
      </c>
      <c r="GO251" s="62">
        <f>IF($B251=$B250,$GO250,0)+$GN251</f>
        <v/>
      </c>
      <c r="GP251" s="62">
        <f>$GP250+$GN251</f>
        <v/>
      </c>
      <c r="GQ251" s="62">
        <f>SUMIFS(tblSafety[Env_Incidents],tblSafety[Date],$A251)</f>
        <v/>
      </c>
      <c r="GR251" s="62">
        <f>IF($B251=$B250,$GR250,0)+$GQ251</f>
        <v/>
      </c>
      <c r="GS251" s="62">
        <f>$GS250+$GQ251</f>
        <v/>
      </c>
      <c r="GT251" s="62">
        <f>SUMIFS(tblSafety[Community_Incidents],tblSafety[Date],$A251)</f>
        <v/>
      </c>
      <c r="GU251" s="62">
        <f>IF($B251=$B250,$GU250,0)+$GT251</f>
        <v/>
      </c>
      <c r="GV251" s="62">
        <f>$GV250+$GT251</f>
        <v/>
      </c>
      <c r="GW251" s="62">
        <f>SUMIFS(tblSafety[Vehicle_Incidents],tblSafety[Date],$A251)</f>
        <v/>
      </c>
      <c r="GX251" s="62">
        <f>IF($B251=$B250,$GX250,0)+$GW251</f>
        <v/>
      </c>
      <c r="GY251" s="62">
        <f>$GY250+$GW251</f>
        <v/>
      </c>
      <c r="GZ251" s="62">
        <f>SUMIFS(tblSafety[Toolbox_Talks],tblSafety[Date],$A251)</f>
        <v/>
      </c>
      <c r="HA251" s="62">
        <f>IF($B251=$B250,$HA250,0)+$GZ251</f>
        <v/>
      </c>
      <c r="HB251" s="62">
        <f>$HB250+$GZ251</f>
        <v/>
      </c>
      <c r="HC251" s="62">
        <f>SUMIFS(tblSafety[Inspections],tblSafety[Date],$A251)</f>
        <v/>
      </c>
      <c r="HD251" s="62">
        <f>IF($B251=$B250,$HD250,0)+$HC251</f>
        <v/>
      </c>
      <c r="HE251" s="62">
        <f>$HE250+$HC251</f>
        <v/>
      </c>
      <c r="HF251" s="56">
        <f>IFERROR((SUMIFS(tblSafety[Recordables],tblSafety[Date],"&gt;="&amp;EDATE($E251,-12),tblSafety[Date],"&lt;="&amp;$A251)+SUMIFS(tblSafetyHistory[Recordables],tblSafetyHistory[Month],"&gt;="&amp;EDATE($E251,-12),tblSafetyHistory[Month],"&lt;"&amp;cfg_YearStart))/(SUMIFS(tblSafety[Hours_Total],tblSafety[Date],"&gt;="&amp;EDATE($E251,-12),tblSafety[Date],"&lt;="&amp;$A251)+SUMIFS(tblSafetyHistory[Hours_Total],tblSafetyHistory[Month],"&gt;="&amp;EDATE($E251,-12),tblSafetyHistory[Month],"&lt;"&amp;cfg_YearStart))*1000000,"")</f>
        <v/>
      </c>
      <c r="HG251" s="56">
        <f>IFERROR((SUMIFS(tblSafety[LTI],tblSafety[Date],"&gt;="&amp;EDATE($E251,-12),tblSafety[Date],"&lt;="&amp;$A251)+SUMIFS(tblSafetyHistory[LTI],tblSafetyHistory[Month],"&gt;="&amp;EDATE($E251,-12),tblSafetyHistory[Month],"&lt;"&amp;cfg_YearStart))/(SUMIFS(tblSafety[Hours_Total],tblSafety[Date],"&gt;="&amp;EDATE($E251,-12),tblSafety[Date],"&lt;="&amp;$A251)+SUMIFS(tblSafetyHistory[Hours_Total],tblSafetyHistory[Month],"&gt;="&amp;EDATE($E251,-12),tblSafetyHistory[Month],"&lt;"&amp;cfg_YearStart))*1000000,"")</f>
        <v/>
      </c>
      <c r="HH251" s="62">
        <f>IF(MAX(N(cfg_PriorLTIDate),_xlfn.MAXIFS(tblSafety[Date],tblSafety[LTI],"&gt;0",tblSafety[Date],"&lt;="&amp;$A251))=0,"",$A251-MAX(N(cfg_PriorLTIDate),_xlfn.MAXIFS(tblSafety[Date],tblSafety[LTI],"&gt;0",tblSafety[Date],"&lt;="&amp;$A251)))</f>
        <v/>
      </c>
      <c r="HI251" s="55">
        <f>SUMIFS(tblBudget[Ore_Mined_t],tblBudget[Month],$E251)</f>
        <v/>
      </c>
      <c r="HJ251" s="55">
        <f>$HI251*$C251/$D251</f>
        <v/>
      </c>
      <c r="HK251" s="55">
        <f>SUMIFS(tblBudget[Ore_Mined_t],tblBudget[Month],"&lt;"&amp;$E251)+$HJ251</f>
        <v/>
      </c>
      <c r="HL251" s="55">
        <f>SUMIFS(tblBudget[Ore_oz],tblBudget[Month],$E251)</f>
        <v/>
      </c>
      <c r="HM251" s="55">
        <f>$HL251*$C251/$D251</f>
        <v/>
      </c>
      <c r="HN251" s="55">
        <f>SUMIFS(tblBudget[Ore_oz],tblBudget[Month],"&lt;"&amp;$E251)+$HM251</f>
        <v/>
      </c>
      <c r="HO251" s="56">
        <f>IFERROR(IF(($HI251)&gt;0,($HL251*cfg_TroyOz)/($HI251),""),"")</f>
        <v/>
      </c>
      <c r="HP251" s="56">
        <f>IFERROR(IF(($HJ251)&gt;0,($HM251*cfg_TroyOz)/($HJ251),""),"")</f>
        <v/>
      </c>
      <c r="HQ251" s="56">
        <f>IFERROR(IF(($HK251)&gt;0,($HN251*cfg_TroyOz)/($HK251),""),"")</f>
        <v/>
      </c>
      <c r="HR251" s="55">
        <f>SUMIFS(tblBudget[Waste_t],tblBudget[Month],$E251)</f>
        <v/>
      </c>
      <c r="HS251" s="55">
        <f>$HR251*$C251/$D251</f>
        <v/>
      </c>
      <c r="HT251" s="55">
        <f>SUMIFS(tblBudget[Waste_t],tblBudget[Month],"&lt;"&amp;$E251)+$HS251</f>
        <v/>
      </c>
      <c r="HU251" s="55">
        <f>SUMIFS(tblBudget[TMM_t],tblBudget[Month],$E251)</f>
        <v/>
      </c>
      <c r="HV251" s="55">
        <f>$HU251*$C251/$D251</f>
        <v/>
      </c>
      <c r="HW251" s="55">
        <f>SUMIFS(tblBudget[TMM_t],tblBudget[Month],"&lt;"&amp;$E251)+$HV251</f>
        <v/>
      </c>
      <c r="HX251" s="56">
        <f>IFERROR(IF(($HI251)&gt;0,($HR251)/($HI251),""),"")</f>
        <v/>
      </c>
      <c r="HY251" s="56">
        <f>IFERROR(IF(($HJ251)&gt;0,($HS251)/($HJ251),""),"")</f>
        <v/>
      </c>
      <c r="HZ251" s="56">
        <f>IFERROR(IF(($HK251)&gt;0,($HT251)/($HK251),""),"")</f>
        <v/>
      </c>
      <c r="IA251" s="55">
        <f>SUMIFS(tblBudget[Drill_m],tblBudget[Month],$E251)</f>
        <v/>
      </c>
      <c r="IB251" s="55">
        <f>$IA251*$C251/$D251</f>
        <v/>
      </c>
      <c r="IC251" s="55">
        <f>SUMIFS(tblBudget[Drill_m],tblBudget[Month],"&lt;"&amp;$E251)+$IB251</f>
        <v/>
      </c>
      <c r="ID251" s="55">
        <f>SUMIFS(tblBudget[Diesel_L],tblBudget[Month],$E251)</f>
        <v/>
      </c>
      <c r="IE251" s="55">
        <f>$ID251*$C251/$D251</f>
        <v/>
      </c>
      <c r="IF251" s="55">
        <f>SUMIFS(tblBudget[Diesel_L],tblBudget[Month],"&lt;"&amp;$E251)+$IE251</f>
        <v/>
      </c>
      <c r="IG251" s="55">
        <f>SUMIFS(tblBudget[Milled_t],tblBudget[Month],$E251)</f>
        <v/>
      </c>
      <c r="IH251" s="55">
        <f>$IG251*$C251/$D251</f>
        <v/>
      </c>
      <c r="II251" s="55">
        <f>SUMIFS(tblBudget[Milled_t],tblBudget[Month],"&lt;"&amp;$E251)+$IH251</f>
        <v/>
      </c>
      <c r="IJ251" s="55">
        <f>SUMIFS(tblBudget[Feed_oz],tblBudget[Month],$E251)</f>
        <v/>
      </c>
      <c r="IK251" s="55">
        <f>$IJ251*$C251/$D251</f>
        <v/>
      </c>
      <c r="IL251" s="55">
        <f>SUMIFS(tblBudget[Feed_oz],tblBudget[Month],"&lt;"&amp;$E251)+$IK251</f>
        <v/>
      </c>
      <c r="IM251" s="55">
        <f>SUMIFS(tblBudget[Recovered_oz],tblBudget[Month],$E251)</f>
        <v/>
      </c>
      <c r="IN251" s="55">
        <f>$IM251*$C251/$D251</f>
        <v/>
      </c>
      <c r="IO251" s="55">
        <f>SUMIFS(tblBudget[Recovered_oz],tblBudget[Month],"&lt;"&amp;$E251)+$IN251</f>
        <v/>
      </c>
      <c r="IP251" s="56">
        <f>IFERROR(IF(($IG251)&gt;0,($IJ251*cfg_TroyOz)/($IG251),""),"")</f>
        <v/>
      </c>
      <c r="IQ251" s="56">
        <f>IFERROR(IF(($IH251)&gt;0,($IK251*cfg_TroyOz)/($IH251),""),"")</f>
        <v/>
      </c>
      <c r="IR251" s="56">
        <f>IFERROR(IF(($II251)&gt;0,($IL251*cfg_TroyOz)/($II251),""),"")</f>
        <v/>
      </c>
      <c r="IS251" s="67">
        <f>IFERROR(IF(($IJ251)&gt;0,($IM251)/($IJ251),""),"")</f>
        <v/>
      </c>
      <c r="IT251" s="67">
        <f>IFERROR(IF(($IK251)&gt;0,($IN251)/($IK251),""),"")</f>
        <v/>
      </c>
      <c r="IU251" s="67">
        <f>IFERROR(IF(($IL251)&gt;0,($IO251)/($IL251),""),"")</f>
        <v/>
      </c>
      <c r="IV251" s="55">
        <f>SUMIFS(tblBudget[Gold_Poured_oz],tblBudget[Month],$E251)</f>
        <v/>
      </c>
      <c r="IW251" s="55">
        <f>$IV251*$C251/$D251</f>
        <v/>
      </c>
      <c r="IX251" s="55">
        <f>SUMIFS(tblBudget[Gold_Poured_oz],tblBudget[Month],"&lt;"&amp;$E251)+$IW251</f>
        <v/>
      </c>
      <c r="IY251" s="57">
        <f>SUMIFS(tblBudget[Hours_Worked],tblBudget[Month],$E251)</f>
        <v/>
      </c>
      <c r="IZ251" s="57">
        <f>$IY251*$C251/$D251</f>
        <v/>
      </c>
      <c r="JA251" s="57">
        <f>SUMIFS(tblBudget[Hours_Worked],tblBudget[Month],"&lt;"&amp;$E251)+$IZ251</f>
        <v/>
      </c>
    </row>
    <row r="252">
      <c r="A252" s="54" t="n">
        <v>46273</v>
      </c>
      <c r="B252">
        <f>MONTH($A252)</f>
        <v/>
      </c>
      <c r="C252">
        <f>DAY($A252)</f>
        <v/>
      </c>
      <c r="D252">
        <f>DAY(EOMONTH($A252,0))</f>
        <v/>
      </c>
      <c r="E252" s="54">
        <f>DATE(YEAR($A252),MONTH($A252),1)</f>
        <v/>
      </c>
      <c r="F252" s="55">
        <f>SUMIFS(tblMovement[Tonnes_t],tblMovement[Date],$A252,tblMovement[Is_Ore],1,tblMovement[Source_Type],"Pit")</f>
        <v/>
      </c>
      <c r="G252" s="55">
        <f>IF($B252=$B251,$G251,0)+$F252</f>
        <v/>
      </c>
      <c r="H252" s="55">
        <f>$H251+$F252</f>
        <v/>
      </c>
      <c r="I252" s="55">
        <f>SUMIFS(tblMovement[Ore_oz],tblMovement[Date],$A252,tblMovement[Source_Type],"Pit")</f>
        <v/>
      </c>
      <c r="J252" s="55">
        <f>IF($B252=$B251,$J251,0)+$I252</f>
        <v/>
      </c>
      <c r="K252" s="55">
        <f>$K251+$I252</f>
        <v/>
      </c>
      <c r="L252" s="56">
        <f>IFERROR(IF(($F252)&gt;0,($I252*cfg_TroyOz)/($F252),""),"")</f>
        <v/>
      </c>
      <c r="M252" s="56">
        <f>IFERROR(IF(($G252)&gt;0,($J252*cfg_TroyOz)/($G252),""),"")</f>
        <v/>
      </c>
      <c r="N252" s="56">
        <f>IFERROR(IF(($H252)&gt;0,($K252*cfg_TroyOz)/($H252),""),"")</f>
        <v/>
      </c>
      <c r="O252" s="55">
        <f>SUMIFS(tblMovement[Tonnes_t],tblMovement[Date],$A252,tblMovement[Is_Ore],0,tblMovement[Source_Type],"Pit")</f>
        <v/>
      </c>
      <c r="P252" s="55">
        <f>IF($B252=$B251,$P251,0)+$O252</f>
        <v/>
      </c>
      <c r="Q252" s="55">
        <f>$Q251+$O252</f>
        <v/>
      </c>
      <c r="R252" s="55">
        <f>$F252+$O252</f>
        <v/>
      </c>
      <c r="S252" s="55">
        <f>IF($B252=$B251,$S251,0)+$R252</f>
        <v/>
      </c>
      <c r="T252" s="55">
        <f>$T251+$R252</f>
        <v/>
      </c>
      <c r="U252" s="56">
        <f>IFERROR(IF(($F252)&gt;0,($O252)/($F252),""),"")</f>
        <v/>
      </c>
      <c r="V252" s="56">
        <f>IFERROR(IF(($G252)&gt;0,($P252)/($G252),""),"")</f>
        <v/>
      </c>
      <c r="W252" s="56">
        <f>IFERROR(IF(($H252)&gt;0,($Q252)/($H252),""),"")</f>
        <v/>
      </c>
      <c r="X252" s="55">
        <f>SUMIFS(tblMovement[Tonnes_t],tblMovement[Date],$A252,tblMovement[Source_Type],"Stockpile")</f>
        <v/>
      </c>
      <c r="Y252" s="55">
        <f>IF($B252=$B251,$Y251,0)+$X252</f>
        <v/>
      </c>
      <c r="Z252" s="55">
        <f>$Z251+$X252</f>
        <v/>
      </c>
      <c r="AA252" s="55">
        <f>SUMIFS(tblMiningDaily[Drill_m],tblMiningDaily[Date],$A252)</f>
        <v/>
      </c>
      <c r="AB252" s="55">
        <f>IF($B252=$B251,$AB251,0)+$AA252</f>
        <v/>
      </c>
      <c r="AC252" s="55">
        <f>$AC251+$AA252</f>
        <v/>
      </c>
      <c r="AD252" s="55">
        <f>SUMIFS(tblMiningDaily[Blast_t],tblMiningDaily[Date],$A252)</f>
        <v/>
      </c>
      <c r="AE252" s="55">
        <f>IF($B252=$B251,$AE251,0)+$AD252</f>
        <v/>
      </c>
      <c r="AF252" s="55">
        <f>$AF251+$AD252</f>
        <v/>
      </c>
      <c r="AG252" s="55">
        <f>SUMIFS(tblMiningDaily[Explosives_kg],tblMiningDaily[Date],$A252)</f>
        <v/>
      </c>
      <c r="AH252" s="55">
        <f>IF($B252=$B251,$AH251,0)+$AG252</f>
        <v/>
      </c>
      <c r="AI252" s="55">
        <f>$AI251+$AG252</f>
        <v/>
      </c>
      <c r="AJ252" s="56">
        <f>IFERROR(IF(($AD252)&gt;0,($AG252)/($AD252),""),"")</f>
        <v/>
      </c>
      <c r="AK252" s="56">
        <f>IFERROR(IF(($AE252)&gt;0,($AH252)/($AE252),""),"")</f>
        <v/>
      </c>
      <c r="AL252" s="56">
        <f>IFERROR(IF(($AF252)&gt;0,($AI252)/($AF252),""),"")</f>
        <v/>
      </c>
      <c r="AM252" s="55">
        <f>SUMIFS(tblMiningDaily[Diesel_L],tblMiningDaily[Date],$A252)</f>
        <v/>
      </c>
      <c r="AN252" s="55">
        <f>IF($B252=$B251,$AN251,0)+$AM252</f>
        <v/>
      </c>
      <c r="AO252" s="55">
        <f>$AO251+$AM252</f>
        <v/>
      </c>
      <c r="AP252" s="55">
        <f>SUMIFS(tblMiningDaily[Dewatering_m3],tblMiningDaily[Date],$A252)</f>
        <v/>
      </c>
      <c r="AQ252" s="55">
        <f>IF($B252=$B251,$AQ251,0)+$AP252</f>
        <v/>
      </c>
      <c r="AR252" s="55">
        <f>$AR251+$AP252</f>
        <v/>
      </c>
      <c r="AS252" s="57">
        <f>SUMIFS(tblFleet[Calendar_h],tblFleet[Date],$A252,tblFleet[Equipment_Class],"Excavator")</f>
        <v/>
      </c>
      <c r="AT252" s="57">
        <f>IF($B252=$B251,$AT251,0)+$AS252</f>
        <v/>
      </c>
      <c r="AU252" s="57">
        <f>$AU251+$AS252</f>
        <v/>
      </c>
      <c r="AV252" s="57">
        <f>SUMIFS(tblFleet[Available_h],tblFleet[Date],$A252,tblFleet[Equipment_Class],"Excavator")</f>
        <v/>
      </c>
      <c r="AW252" s="57">
        <f>IF($B252=$B251,$AW251,0)+$AV252</f>
        <v/>
      </c>
      <c r="AX252" s="57">
        <f>$AX251+$AV252</f>
        <v/>
      </c>
      <c r="AY252" s="57">
        <f>SUMIFS(tblFleet[Operating_h],tblFleet[Date],$A252,tblFleet[Equipment_Class],"Excavator")</f>
        <v/>
      </c>
      <c r="AZ252" s="57">
        <f>IF($B252=$B251,$AZ251,0)+$AY252</f>
        <v/>
      </c>
      <c r="BA252" s="57">
        <f>$BA251+$AY252</f>
        <v/>
      </c>
      <c r="BB252" s="67">
        <f>IFERROR(IF(($AS252)&gt;0,($AV252)/($AS252),""),"")</f>
        <v/>
      </c>
      <c r="BC252" s="67">
        <f>IFERROR(IF(($AT252)&gt;0,($AW252)/($AT252),""),"")</f>
        <v/>
      </c>
      <c r="BD252" s="67">
        <f>IFERROR(IF(($AU252)&gt;0,($AX252)/($AU252),""),"")</f>
        <v/>
      </c>
      <c r="BE252" s="67">
        <f>IFERROR(IF(($AV252)&gt;0,($AY252)/($AV252),""),"")</f>
        <v/>
      </c>
      <c r="BF252" s="67">
        <f>IFERROR(IF(($AW252)&gt;0,($AZ252)/($AW252),""),"")</f>
        <v/>
      </c>
      <c r="BG252" s="67">
        <f>IFERROR(IF(($AX252)&gt;0,($BA252)/($AX252),""),"")</f>
        <v/>
      </c>
      <c r="BH252" s="57">
        <f>SUMIFS(tblFleet[Calendar_h],tblFleet[Date],$A252,tblFleet[Equipment_Class],"Haul Truck")</f>
        <v/>
      </c>
      <c r="BI252" s="57">
        <f>IF($B252=$B251,$BI251,0)+$BH252</f>
        <v/>
      </c>
      <c r="BJ252" s="57">
        <f>$BJ251+$BH252</f>
        <v/>
      </c>
      <c r="BK252" s="57">
        <f>SUMIFS(tblFleet[Available_h],tblFleet[Date],$A252,tblFleet[Equipment_Class],"Haul Truck")</f>
        <v/>
      </c>
      <c r="BL252" s="57">
        <f>IF($B252=$B251,$BL251,0)+$BK252</f>
        <v/>
      </c>
      <c r="BM252" s="57">
        <f>$BM251+$BK252</f>
        <v/>
      </c>
      <c r="BN252" s="57">
        <f>SUMIFS(tblFleet[Operating_h],tblFleet[Date],$A252,tblFleet[Equipment_Class],"Haul Truck")</f>
        <v/>
      </c>
      <c r="BO252" s="57">
        <f>IF($B252=$B251,$BO251,0)+$BN252</f>
        <v/>
      </c>
      <c r="BP252" s="57">
        <f>$BP251+$BN252</f>
        <v/>
      </c>
      <c r="BQ252" s="67">
        <f>IFERROR(IF(($BH252)&gt;0,($BK252)/($BH252),""),"")</f>
        <v/>
      </c>
      <c r="BR252" s="67">
        <f>IFERROR(IF(($BI252)&gt;0,($BL252)/($BI252),""),"")</f>
        <v/>
      </c>
      <c r="BS252" s="67">
        <f>IFERROR(IF(($BJ252)&gt;0,($BM252)/($BJ252),""),"")</f>
        <v/>
      </c>
      <c r="BT252" s="67">
        <f>IFERROR(IF(($BK252)&gt;0,($BN252)/($BK252),""),"")</f>
        <v/>
      </c>
      <c r="BU252" s="67">
        <f>IFERROR(IF(($BL252)&gt;0,($BO252)/($BL252),""),"")</f>
        <v/>
      </c>
      <c r="BV252" s="67">
        <f>IFERROR(IF(($BM252)&gt;0,($BP252)/($BM252),""),"")</f>
        <v/>
      </c>
      <c r="BW252" s="55">
        <f>SUMIFS(tblPlant[Crushed_t],tblPlant[Date],$A252)</f>
        <v/>
      </c>
      <c r="BX252" s="55">
        <f>IF($B252=$B251,$BX251,0)+$BW252</f>
        <v/>
      </c>
      <c r="BY252" s="55">
        <f>$BY251+$BW252</f>
        <v/>
      </c>
      <c r="BZ252" s="55">
        <f>SUMIFS(tblPlant[Milled_t],tblPlant[Date],$A252)</f>
        <v/>
      </c>
      <c r="CA252" s="55">
        <f>IF($B252=$B251,$CA251,0)+$BZ252</f>
        <v/>
      </c>
      <c r="CB252" s="55">
        <f>$CB251+$BZ252</f>
        <v/>
      </c>
      <c r="CC252" s="55">
        <f>SUMIFS(tblPlant[Feed_oz],tblPlant[Date],$A252)</f>
        <v/>
      </c>
      <c r="CD252" s="55">
        <f>IF($B252=$B251,$CD251,0)+$CC252</f>
        <v/>
      </c>
      <c r="CE252" s="55">
        <f>$CE251+$CC252</f>
        <v/>
      </c>
      <c r="CF252" s="55">
        <f>SUMIFS(tblPlant[Tails_oz],tblPlant[Date],$A252)</f>
        <v/>
      </c>
      <c r="CG252" s="55">
        <f>IF($B252=$B251,$CG251,0)+$CF252</f>
        <v/>
      </c>
      <c r="CH252" s="55">
        <f>$CH251+$CF252</f>
        <v/>
      </c>
      <c r="CI252" s="55">
        <f>SUMIFS(tblPlant[Recovered_oz],tblPlant[Date],$A252)</f>
        <v/>
      </c>
      <c r="CJ252" s="55">
        <f>IF($B252=$B251,$CJ251,0)+$CI252</f>
        <v/>
      </c>
      <c r="CK252" s="55">
        <f>$CK251+$CI252</f>
        <v/>
      </c>
      <c r="CL252" s="56">
        <f>IFERROR(IF(($BZ252)&gt;0,($CC252*cfg_TroyOz)/($BZ252),""),"")</f>
        <v/>
      </c>
      <c r="CM252" s="56">
        <f>IFERROR(IF(($CA252)&gt;0,($CD252*cfg_TroyOz)/($CA252),""),"")</f>
        <v/>
      </c>
      <c r="CN252" s="56">
        <f>IFERROR(IF(($CB252)&gt;0,($CE252*cfg_TroyOz)/($CB252),""),"")</f>
        <v/>
      </c>
      <c r="CO252" s="56">
        <f>IFERROR(IF(($BZ252)&gt;0,($CF252*cfg_TroyOz)/($BZ252),""),"")</f>
        <v/>
      </c>
      <c r="CP252" s="56">
        <f>IFERROR(IF(($CA252)&gt;0,($CG252*cfg_TroyOz)/($CA252),""),"")</f>
        <v/>
      </c>
      <c r="CQ252" s="56">
        <f>IFERROR(IF(($CB252)&gt;0,($CH252*cfg_TroyOz)/($CB252),""),"")</f>
        <v/>
      </c>
      <c r="CR252" s="67">
        <f>IFERROR(IF(($CC252)&gt;0,($CI252)/($CC252),""),"")</f>
        <v/>
      </c>
      <c r="CS252" s="67">
        <f>IFERROR(IF(($CD252)&gt;0,($CJ252)/($CD252),""),"")</f>
        <v/>
      </c>
      <c r="CT252" s="67">
        <f>IFERROR(IF(($CE252)&gt;0,($CK252)/($CE252),""),"")</f>
        <v/>
      </c>
      <c r="CU252" s="55">
        <f>SUMIFS(tblPlant[Gravity_Gold_oz],tblPlant[Date],$A252)</f>
        <v/>
      </c>
      <c r="CV252" s="55">
        <f>IF($B252=$B251,$CV251,0)+$CU252</f>
        <v/>
      </c>
      <c r="CW252" s="55">
        <f>$CW251+$CU252</f>
        <v/>
      </c>
      <c r="CX252" s="55">
        <f>SUMIFS(tblPlant[Gold_Poured_oz],tblPlant[Date],$A252)</f>
        <v/>
      </c>
      <c r="CY252" s="55">
        <f>IF($B252=$B251,$CY251,0)+$CX252</f>
        <v/>
      </c>
      <c r="CZ252" s="55">
        <f>$CZ251+$CX252</f>
        <v/>
      </c>
      <c r="DA252" s="57">
        <f>SUMIFS(tblPlant[Mill_Run_h],tblPlant[Date],$A252)</f>
        <v/>
      </c>
      <c r="DB252" s="57">
        <f>IF($B252=$B251,$DB251,0)+$DA252</f>
        <v/>
      </c>
      <c r="DC252" s="57">
        <f>$DC251+$DA252</f>
        <v/>
      </c>
      <c r="DD252" s="57">
        <f>SUMIFS(tblPlant[Mill_Planned_Maint_h],tblPlant[Date],$A252)</f>
        <v/>
      </c>
      <c r="DE252" s="57">
        <f>IF($B252=$B251,$DE251,0)+$DD252</f>
        <v/>
      </c>
      <c r="DF252" s="57">
        <f>$DF251+$DD252</f>
        <v/>
      </c>
      <c r="DG252" s="57">
        <f>SUMIFS(tblPlant[Mill_Unplanned_Down_h],tblPlant[Date],$A252)</f>
        <v/>
      </c>
      <c r="DH252" s="57">
        <f>IF($B252=$B251,$DH251,0)+$DG252</f>
        <v/>
      </c>
      <c r="DI252" s="57">
        <f>$DI251+$DG252</f>
        <v/>
      </c>
      <c r="DJ252" s="57">
        <f>COUNTIFS(tblPlant[Date],$A252,tblPlant[Mill_Run_h],"&lt;&gt;")*24</f>
        <v/>
      </c>
      <c r="DK252" s="57">
        <f>IF($B252=$B251,$DK251,0)+$DJ252</f>
        <v/>
      </c>
      <c r="DL252" s="57">
        <f>$DL251+$DJ252</f>
        <v/>
      </c>
      <c r="DM252" s="57">
        <f>SUMIFS(tblPlant[Crusher_Run_h],tblPlant[Date],$A252)</f>
        <v/>
      </c>
      <c r="DN252" s="57">
        <f>IF($B252=$B251,$DN251,0)+$DM252</f>
        <v/>
      </c>
      <c r="DO252" s="57">
        <f>$DO251+$DM252</f>
        <v/>
      </c>
      <c r="DP252" s="55">
        <f>IFERROR(IF(($DA252)&gt;0,($BZ252)/($DA252),""),"")</f>
        <v/>
      </c>
      <c r="DQ252" s="55">
        <f>IFERROR(IF(($DB252)&gt;0,($CA252)/($DB252),""),"")</f>
        <v/>
      </c>
      <c r="DR252" s="55">
        <f>IFERROR(IF(($DC252)&gt;0,($CB252)/($DC252),""),"")</f>
        <v/>
      </c>
      <c r="DS252" s="67">
        <f>IFERROR(IF(($DJ252)&gt;0,($DJ252-$DD252-$DG252)/($DJ252),""),"")</f>
        <v/>
      </c>
      <c r="DT252" s="67">
        <f>IFERROR(IF(($DK252)&gt;0,($DK252-$DE252-$DH252)/($DK252),""),"")</f>
        <v/>
      </c>
      <c r="DU252" s="67">
        <f>IFERROR(IF(($DL252)&gt;0,($DL252-$DF252-$DI252)/($DL252),""),"")</f>
        <v/>
      </c>
      <c r="DV252" s="67">
        <f>IFERROR(IF(($DJ252-$DD252-$DG252)&gt;0,($DA252)/($DJ252-$DD252-$DG252),""),"")</f>
        <v/>
      </c>
      <c r="DW252" s="67">
        <f>IFERROR(IF(($DK252-$DE252-$DH252)&gt;0,($DB252)/($DK252-$DE252-$DH252),""),"")</f>
        <v/>
      </c>
      <c r="DX252" s="67">
        <f>IFERROR(IF(($DL252-$DF252-$DI252)&gt;0,($DC252)/($DL252-$DF252-$DI252),""),"")</f>
        <v/>
      </c>
      <c r="DY252" s="55">
        <f>SUMIFS(tblPlant[Cyanide_kg],tblPlant[Date],$A252)</f>
        <v/>
      </c>
      <c r="DZ252" s="55">
        <f>IF($B252=$B251,$DZ251,0)+$DY252</f>
        <v/>
      </c>
      <c r="EA252" s="55">
        <f>$EA251+$DY252</f>
        <v/>
      </c>
      <c r="EB252" s="55">
        <f>SUMIFS(tblPlant[Lime_kg],tblPlant[Date],$A252)</f>
        <v/>
      </c>
      <c r="EC252" s="55">
        <f>IF($B252=$B251,$EC251,0)+$EB252</f>
        <v/>
      </c>
      <c r="ED252" s="55">
        <f>$ED251+$EB252</f>
        <v/>
      </c>
      <c r="EE252" s="55">
        <f>SUMIFS(tblPlant[Grinding_Media_kg],tblPlant[Date],$A252)</f>
        <v/>
      </c>
      <c r="EF252" s="55">
        <f>IF($B252=$B251,$EF251,0)+$EE252</f>
        <v/>
      </c>
      <c r="EG252" s="55">
        <f>$EG251+$EE252</f>
        <v/>
      </c>
      <c r="EH252" s="55">
        <f>SUMIFS(tblPlant[Power_kWh],tblPlant[Date],$A252)</f>
        <v/>
      </c>
      <c r="EI252" s="55">
        <f>IF($B252=$B251,$EI251,0)+$EH252</f>
        <v/>
      </c>
      <c r="EJ252" s="55">
        <f>$EJ251+$EH252</f>
        <v/>
      </c>
      <c r="EK252" s="55">
        <f>SUMIFS(tblPlant[Raw_Water_m3],tblPlant[Date],$A252)</f>
        <v/>
      </c>
      <c r="EL252" s="55">
        <f>IF($B252=$B251,$EL251,0)+$EK252</f>
        <v/>
      </c>
      <c r="EM252" s="55">
        <f>$EM251+$EK252</f>
        <v/>
      </c>
      <c r="EN252" s="56">
        <f>IFERROR(IF(($BZ252)&gt;0,($DY252)/($BZ252),""),"")</f>
        <v/>
      </c>
      <c r="EO252" s="56">
        <f>IFERROR(IF(($CA252)&gt;0,($DZ252)/($CA252),""),"")</f>
        <v/>
      </c>
      <c r="EP252" s="56">
        <f>IFERROR(IF(($CB252)&gt;0,($EA252)/($CB252),""),"")</f>
        <v/>
      </c>
      <c r="EQ252" s="56">
        <f>IFERROR(IF(($BZ252)&gt;0,($EB252)/($BZ252),""),"")</f>
        <v/>
      </c>
      <c r="ER252" s="56">
        <f>IFERROR(IF(($CA252)&gt;0,($EC252)/($CA252),""),"")</f>
        <v/>
      </c>
      <c r="ES252" s="56">
        <f>IFERROR(IF(($CB252)&gt;0,($ED252)/($CB252),""),"")</f>
        <v/>
      </c>
      <c r="ET252" s="56">
        <f>IFERROR(IF(($BZ252)&gt;0,($EE252)/($BZ252),""),"")</f>
        <v/>
      </c>
      <c r="EU252" s="56">
        <f>IFERROR(IF(($CA252)&gt;0,($EF252)/($CA252),""),"")</f>
        <v/>
      </c>
      <c r="EV252" s="56">
        <f>IFERROR(IF(($CB252)&gt;0,($EG252)/($CB252),""),"")</f>
        <v/>
      </c>
      <c r="EW252" s="76">
        <f>IFERROR(IF(($BZ252)&gt;0,($EH252)/($BZ252),""),"")</f>
        <v/>
      </c>
      <c r="EX252" s="76">
        <f>IFERROR(IF(($CA252)&gt;0,($EI252)/($CA252),""),"")</f>
        <v/>
      </c>
      <c r="EY252" s="76">
        <f>IFERROR(IF(($CB252)&gt;0,($EJ252)/($CB252),""),"")</f>
        <v/>
      </c>
      <c r="EZ252" s="56">
        <f>IFERROR(IF(($BZ252)&gt;0,($EK252)/($BZ252),""),"")</f>
        <v/>
      </c>
      <c r="FA252" s="56">
        <f>IFERROR(IF(($CA252)&gt;0,($EL252)/($CA252),""),"")</f>
        <v/>
      </c>
      <c r="FB252" s="56">
        <f>IFERROR(IF(($CB252)&gt;0,($EM252)/($CB252),""),"")</f>
        <v/>
      </c>
      <c r="FC252" s="55">
        <f>IF(SUMIFS(tblPlant[GIC_oz],tblPlant[Date],$A252)&gt;0,SUMIFS(tblPlant[GIC_oz],tblPlant[Date],$A252),"")</f>
        <v/>
      </c>
      <c r="FD252" s="55">
        <f>SUMIFS(tblGold[Gold_oz],tblGold[Date],$A252,tblGold[Type],"Shipment")</f>
        <v/>
      </c>
      <c r="FE252" s="55">
        <f>IF($B252=$B251,$FE251,0)+$FD252</f>
        <v/>
      </c>
      <c r="FF252" s="55">
        <f>$FF251+$FD252</f>
        <v/>
      </c>
      <c r="FG252" s="55">
        <f>SUMIFS(tblGold[Gold_oz],tblGold[Date],$A252,tblGold[Type],"Sale")</f>
        <v/>
      </c>
      <c r="FH252" s="55">
        <f>IF($B252=$B251,$FH251,0)+$FG252</f>
        <v/>
      </c>
      <c r="FI252" s="55">
        <f>$FI251+$FG252</f>
        <v/>
      </c>
      <c r="FJ252" s="55">
        <f>SUMIFS(tblGold[Dore_kg],tblGold[Date],$A252,tblGold[Type],"Shipment")</f>
        <v/>
      </c>
      <c r="FK252" s="55">
        <f>IF($B252=$B251,$FK251,0)+$FJ252</f>
        <v/>
      </c>
      <c r="FL252" s="55">
        <f>$FL251+$FJ252</f>
        <v/>
      </c>
      <c r="FM252" s="57">
        <f>SUMIFS(tblSafety[Hours_Total],tblSafety[Date],$A252)</f>
        <v/>
      </c>
      <c r="FN252" s="57">
        <f>IF($B252=$B251,$FN251,0)+$FM252</f>
        <v/>
      </c>
      <c r="FO252" s="57">
        <f>$FO251+$FM252</f>
        <v/>
      </c>
      <c r="FP252" s="62">
        <f>SUMIFS(tblSafety[Fatality],tblSafety[Date],$A252)</f>
        <v/>
      </c>
      <c r="FQ252" s="62">
        <f>IF($B252=$B251,$FQ251,0)+$FP252</f>
        <v/>
      </c>
      <c r="FR252" s="62">
        <f>$FR251+$FP252</f>
        <v/>
      </c>
      <c r="FS252" s="62">
        <f>SUMIFS(tblSafety[LTI],tblSafety[Date],$A252)</f>
        <v/>
      </c>
      <c r="FT252" s="62">
        <f>IF($B252=$B251,$FT251,0)+$FS252</f>
        <v/>
      </c>
      <c r="FU252" s="62">
        <f>$FU251+$FS252</f>
        <v/>
      </c>
      <c r="FV252" s="62">
        <f>SUMIFS(tblSafety[RWI],tblSafety[Date],$A252)</f>
        <v/>
      </c>
      <c r="FW252" s="62">
        <f>IF($B252=$B251,$FW251,0)+$FV252</f>
        <v/>
      </c>
      <c r="FX252" s="62">
        <f>$FX251+$FV252</f>
        <v/>
      </c>
      <c r="FY252" s="62">
        <f>SUMIFS(tblSafety[MTI],tblSafety[Date],$A252)</f>
        <v/>
      </c>
      <c r="FZ252" s="62">
        <f>IF($B252=$B251,$FZ251,0)+$FY252</f>
        <v/>
      </c>
      <c r="GA252" s="62">
        <f>$GA251+$FY252</f>
        <v/>
      </c>
      <c r="GB252" s="62">
        <f>SUMIFS(tblSafety[FAI],tblSafety[Date],$A252)</f>
        <v/>
      </c>
      <c r="GC252" s="62">
        <f>IF($B252=$B251,$GC251,0)+$GB252</f>
        <v/>
      </c>
      <c r="GD252" s="62">
        <f>$GD251+$GB252</f>
        <v/>
      </c>
      <c r="GE252" s="62">
        <f>SUMIFS(tblSafety[Recordables],tblSafety[Date],$A252)</f>
        <v/>
      </c>
      <c r="GF252" s="62">
        <f>IF($B252=$B251,$GF251,0)+$GE252</f>
        <v/>
      </c>
      <c r="GG252" s="62">
        <f>$GG251+$GE252</f>
        <v/>
      </c>
      <c r="GH252" s="62">
        <f>SUMIFS(tblSafety[Near_Miss],tblSafety[Date],$A252)</f>
        <v/>
      </c>
      <c r="GI252" s="62">
        <f>IF($B252=$B251,$GI251,0)+$GH252</f>
        <v/>
      </c>
      <c r="GJ252" s="62">
        <f>$GJ251+$GH252</f>
        <v/>
      </c>
      <c r="GK252" s="62">
        <f>SUMIFS(tblSafety[Hazard_Reports],tblSafety[Date],$A252)</f>
        <v/>
      </c>
      <c r="GL252" s="62">
        <f>IF($B252=$B251,$GL251,0)+$GK252</f>
        <v/>
      </c>
      <c r="GM252" s="62">
        <f>$GM251+$GK252</f>
        <v/>
      </c>
      <c r="GN252" s="62">
        <f>SUMIFS(tblSafety[HPI],tblSafety[Date],$A252)</f>
        <v/>
      </c>
      <c r="GO252" s="62">
        <f>IF($B252=$B251,$GO251,0)+$GN252</f>
        <v/>
      </c>
      <c r="GP252" s="62">
        <f>$GP251+$GN252</f>
        <v/>
      </c>
      <c r="GQ252" s="62">
        <f>SUMIFS(tblSafety[Env_Incidents],tblSafety[Date],$A252)</f>
        <v/>
      </c>
      <c r="GR252" s="62">
        <f>IF($B252=$B251,$GR251,0)+$GQ252</f>
        <v/>
      </c>
      <c r="GS252" s="62">
        <f>$GS251+$GQ252</f>
        <v/>
      </c>
      <c r="GT252" s="62">
        <f>SUMIFS(tblSafety[Community_Incidents],tblSafety[Date],$A252)</f>
        <v/>
      </c>
      <c r="GU252" s="62">
        <f>IF($B252=$B251,$GU251,0)+$GT252</f>
        <v/>
      </c>
      <c r="GV252" s="62">
        <f>$GV251+$GT252</f>
        <v/>
      </c>
      <c r="GW252" s="62">
        <f>SUMIFS(tblSafety[Vehicle_Incidents],tblSafety[Date],$A252)</f>
        <v/>
      </c>
      <c r="GX252" s="62">
        <f>IF($B252=$B251,$GX251,0)+$GW252</f>
        <v/>
      </c>
      <c r="GY252" s="62">
        <f>$GY251+$GW252</f>
        <v/>
      </c>
      <c r="GZ252" s="62">
        <f>SUMIFS(tblSafety[Toolbox_Talks],tblSafety[Date],$A252)</f>
        <v/>
      </c>
      <c r="HA252" s="62">
        <f>IF($B252=$B251,$HA251,0)+$GZ252</f>
        <v/>
      </c>
      <c r="HB252" s="62">
        <f>$HB251+$GZ252</f>
        <v/>
      </c>
      <c r="HC252" s="62">
        <f>SUMIFS(tblSafety[Inspections],tblSafety[Date],$A252)</f>
        <v/>
      </c>
      <c r="HD252" s="62">
        <f>IF($B252=$B251,$HD251,0)+$HC252</f>
        <v/>
      </c>
      <c r="HE252" s="62">
        <f>$HE251+$HC252</f>
        <v/>
      </c>
      <c r="HF252" s="56">
        <f>IFERROR((SUMIFS(tblSafety[Recordables],tblSafety[Date],"&gt;="&amp;EDATE($E252,-12),tblSafety[Date],"&lt;="&amp;$A252)+SUMIFS(tblSafetyHistory[Recordables],tblSafetyHistory[Month],"&gt;="&amp;EDATE($E252,-12),tblSafetyHistory[Month],"&lt;"&amp;cfg_YearStart))/(SUMIFS(tblSafety[Hours_Total],tblSafety[Date],"&gt;="&amp;EDATE($E252,-12),tblSafety[Date],"&lt;="&amp;$A252)+SUMIFS(tblSafetyHistory[Hours_Total],tblSafetyHistory[Month],"&gt;="&amp;EDATE($E252,-12),tblSafetyHistory[Month],"&lt;"&amp;cfg_YearStart))*1000000,"")</f>
        <v/>
      </c>
      <c r="HG252" s="56">
        <f>IFERROR((SUMIFS(tblSafety[LTI],tblSafety[Date],"&gt;="&amp;EDATE($E252,-12),tblSafety[Date],"&lt;="&amp;$A252)+SUMIFS(tblSafetyHistory[LTI],tblSafetyHistory[Month],"&gt;="&amp;EDATE($E252,-12),tblSafetyHistory[Month],"&lt;"&amp;cfg_YearStart))/(SUMIFS(tblSafety[Hours_Total],tblSafety[Date],"&gt;="&amp;EDATE($E252,-12),tblSafety[Date],"&lt;="&amp;$A252)+SUMIFS(tblSafetyHistory[Hours_Total],tblSafetyHistory[Month],"&gt;="&amp;EDATE($E252,-12),tblSafetyHistory[Month],"&lt;"&amp;cfg_YearStart))*1000000,"")</f>
        <v/>
      </c>
      <c r="HH252" s="62">
        <f>IF(MAX(N(cfg_PriorLTIDate),_xlfn.MAXIFS(tblSafety[Date],tblSafety[LTI],"&gt;0",tblSafety[Date],"&lt;="&amp;$A252))=0,"",$A252-MAX(N(cfg_PriorLTIDate),_xlfn.MAXIFS(tblSafety[Date],tblSafety[LTI],"&gt;0",tblSafety[Date],"&lt;="&amp;$A252)))</f>
        <v/>
      </c>
      <c r="HI252" s="55">
        <f>SUMIFS(tblBudget[Ore_Mined_t],tblBudget[Month],$E252)</f>
        <v/>
      </c>
      <c r="HJ252" s="55">
        <f>$HI252*$C252/$D252</f>
        <v/>
      </c>
      <c r="HK252" s="55">
        <f>SUMIFS(tblBudget[Ore_Mined_t],tblBudget[Month],"&lt;"&amp;$E252)+$HJ252</f>
        <v/>
      </c>
      <c r="HL252" s="55">
        <f>SUMIFS(tblBudget[Ore_oz],tblBudget[Month],$E252)</f>
        <v/>
      </c>
      <c r="HM252" s="55">
        <f>$HL252*$C252/$D252</f>
        <v/>
      </c>
      <c r="HN252" s="55">
        <f>SUMIFS(tblBudget[Ore_oz],tblBudget[Month],"&lt;"&amp;$E252)+$HM252</f>
        <v/>
      </c>
      <c r="HO252" s="56">
        <f>IFERROR(IF(($HI252)&gt;0,($HL252*cfg_TroyOz)/($HI252),""),"")</f>
        <v/>
      </c>
      <c r="HP252" s="56">
        <f>IFERROR(IF(($HJ252)&gt;0,($HM252*cfg_TroyOz)/($HJ252),""),"")</f>
        <v/>
      </c>
      <c r="HQ252" s="56">
        <f>IFERROR(IF(($HK252)&gt;0,($HN252*cfg_TroyOz)/($HK252),""),"")</f>
        <v/>
      </c>
      <c r="HR252" s="55">
        <f>SUMIFS(tblBudget[Waste_t],tblBudget[Month],$E252)</f>
        <v/>
      </c>
      <c r="HS252" s="55">
        <f>$HR252*$C252/$D252</f>
        <v/>
      </c>
      <c r="HT252" s="55">
        <f>SUMIFS(tblBudget[Waste_t],tblBudget[Month],"&lt;"&amp;$E252)+$HS252</f>
        <v/>
      </c>
      <c r="HU252" s="55">
        <f>SUMIFS(tblBudget[TMM_t],tblBudget[Month],$E252)</f>
        <v/>
      </c>
      <c r="HV252" s="55">
        <f>$HU252*$C252/$D252</f>
        <v/>
      </c>
      <c r="HW252" s="55">
        <f>SUMIFS(tblBudget[TMM_t],tblBudget[Month],"&lt;"&amp;$E252)+$HV252</f>
        <v/>
      </c>
      <c r="HX252" s="56">
        <f>IFERROR(IF(($HI252)&gt;0,($HR252)/($HI252),""),"")</f>
        <v/>
      </c>
      <c r="HY252" s="56">
        <f>IFERROR(IF(($HJ252)&gt;0,($HS252)/($HJ252),""),"")</f>
        <v/>
      </c>
      <c r="HZ252" s="56">
        <f>IFERROR(IF(($HK252)&gt;0,($HT252)/($HK252),""),"")</f>
        <v/>
      </c>
      <c r="IA252" s="55">
        <f>SUMIFS(tblBudget[Drill_m],tblBudget[Month],$E252)</f>
        <v/>
      </c>
      <c r="IB252" s="55">
        <f>$IA252*$C252/$D252</f>
        <v/>
      </c>
      <c r="IC252" s="55">
        <f>SUMIFS(tblBudget[Drill_m],tblBudget[Month],"&lt;"&amp;$E252)+$IB252</f>
        <v/>
      </c>
      <c r="ID252" s="55">
        <f>SUMIFS(tblBudget[Diesel_L],tblBudget[Month],$E252)</f>
        <v/>
      </c>
      <c r="IE252" s="55">
        <f>$ID252*$C252/$D252</f>
        <v/>
      </c>
      <c r="IF252" s="55">
        <f>SUMIFS(tblBudget[Diesel_L],tblBudget[Month],"&lt;"&amp;$E252)+$IE252</f>
        <v/>
      </c>
      <c r="IG252" s="55">
        <f>SUMIFS(tblBudget[Milled_t],tblBudget[Month],$E252)</f>
        <v/>
      </c>
      <c r="IH252" s="55">
        <f>$IG252*$C252/$D252</f>
        <v/>
      </c>
      <c r="II252" s="55">
        <f>SUMIFS(tblBudget[Milled_t],tblBudget[Month],"&lt;"&amp;$E252)+$IH252</f>
        <v/>
      </c>
      <c r="IJ252" s="55">
        <f>SUMIFS(tblBudget[Feed_oz],tblBudget[Month],$E252)</f>
        <v/>
      </c>
      <c r="IK252" s="55">
        <f>$IJ252*$C252/$D252</f>
        <v/>
      </c>
      <c r="IL252" s="55">
        <f>SUMIFS(tblBudget[Feed_oz],tblBudget[Month],"&lt;"&amp;$E252)+$IK252</f>
        <v/>
      </c>
      <c r="IM252" s="55">
        <f>SUMIFS(tblBudget[Recovered_oz],tblBudget[Month],$E252)</f>
        <v/>
      </c>
      <c r="IN252" s="55">
        <f>$IM252*$C252/$D252</f>
        <v/>
      </c>
      <c r="IO252" s="55">
        <f>SUMIFS(tblBudget[Recovered_oz],tblBudget[Month],"&lt;"&amp;$E252)+$IN252</f>
        <v/>
      </c>
      <c r="IP252" s="56">
        <f>IFERROR(IF(($IG252)&gt;0,($IJ252*cfg_TroyOz)/($IG252),""),"")</f>
        <v/>
      </c>
      <c r="IQ252" s="56">
        <f>IFERROR(IF(($IH252)&gt;0,($IK252*cfg_TroyOz)/($IH252),""),"")</f>
        <v/>
      </c>
      <c r="IR252" s="56">
        <f>IFERROR(IF(($II252)&gt;0,($IL252*cfg_TroyOz)/($II252),""),"")</f>
        <v/>
      </c>
      <c r="IS252" s="67">
        <f>IFERROR(IF(($IJ252)&gt;0,($IM252)/($IJ252),""),"")</f>
        <v/>
      </c>
      <c r="IT252" s="67">
        <f>IFERROR(IF(($IK252)&gt;0,($IN252)/($IK252),""),"")</f>
        <v/>
      </c>
      <c r="IU252" s="67">
        <f>IFERROR(IF(($IL252)&gt;0,($IO252)/($IL252),""),"")</f>
        <v/>
      </c>
      <c r="IV252" s="55">
        <f>SUMIFS(tblBudget[Gold_Poured_oz],tblBudget[Month],$E252)</f>
        <v/>
      </c>
      <c r="IW252" s="55">
        <f>$IV252*$C252/$D252</f>
        <v/>
      </c>
      <c r="IX252" s="55">
        <f>SUMIFS(tblBudget[Gold_Poured_oz],tblBudget[Month],"&lt;"&amp;$E252)+$IW252</f>
        <v/>
      </c>
      <c r="IY252" s="57">
        <f>SUMIFS(tblBudget[Hours_Worked],tblBudget[Month],$E252)</f>
        <v/>
      </c>
      <c r="IZ252" s="57">
        <f>$IY252*$C252/$D252</f>
        <v/>
      </c>
      <c r="JA252" s="57">
        <f>SUMIFS(tblBudget[Hours_Worked],tblBudget[Month],"&lt;"&amp;$E252)+$IZ252</f>
        <v/>
      </c>
    </row>
    <row r="253">
      <c r="A253" s="54" t="n">
        <v>46274</v>
      </c>
      <c r="B253">
        <f>MONTH($A253)</f>
        <v/>
      </c>
      <c r="C253">
        <f>DAY($A253)</f>
        <v/>
      </c>
      <c r="D253">
        <f>DAY(EOMONTH($A253,0))</f>
        <v/>
      </c>
      <c r="E253" s="54">
        <f>DATE(YEAR($A253),MONTH($A253),1)</f>
        <v/>
      </c>
      <c r="F253" s="55">
        <f>SUMIFS(tblMovement[Tonnes_t],tblMovement[Date],$A253,tblMovement[Is_Ore],1,tblMovement[Source_Type],"Pit")</f>
        <v/>
      </c>
      <c r="G253" s="55">
        <f>IF($B253=$B252,$G252,0)+$F253</f>
        <v/>
      </c>
      <c r="H253" s="55">
        <f>$H252+$F253</f>
        <v/>
      </c>
      <c r="I253" s="55">
        <f>SUMIFS(tblMovement[Ore_oz],tblMovement[Date],$A253,tblMovement[Source_Type],"Pit")</f>
        <v/>
      </c>
      <c r="J253" s="55">
        <f>IF($B253=$B252,$J252,0)+$I253</f>
        <v/>
      </c>
      <c r="K253" s="55">
        <f>$K252+$I253</f>
        <v/>
      </c>
      <c r="L253" s="56">
        <f>IFERROR(IF(($F253)&gt;0,($I253*cfg_TroyOz)/($F253),""),"")</f>
        <v/>
      </c>
      <c r="M253" s="56">
        <f>IFERROR(IF(($G253)&gt;0,($J253*cfg_TroyOz)/($G253),""),"")</f>
        <v/>
      </c>
      <c r="N253" s="56">
        <f>IFERROR(IF(($H253)&gt;0,($K253*cfg_TroyOz)/($H253),""),"")</f>
        <v/>
      </c>
      <c r="O253" s="55">
        <f>SUMIFS(tblMovement[Tonnes_t],tblMovement[Date],$A253,tblMovement[Is_Ore],0,tblMovement[Source_Type],"Pit")</f>
        <v/>
      </c>
      <c r="P253" s="55">
        <f>IF($B253=$B252,$P252,0)+$O253</f>
        <v/>
      </c>
      <c r="Q253" s="55">
        <f>$Q252+$O253</f>
        <v/>
      </c>
      <c r="R253" s="55">
        <f>$F253+$O253</f>
        <v/>
      </c>
      <c r="S253" s="55">
        <f>IF($B253=$B252,$S252,0)+$R253</f>
        <v/>
      </c>
      <c r="T253" s="55">
        <f>$T252+$R253</f>
        <v/>
      </c>
      <c r="U253" s="56">
        <f>IFERROR(IF(($F253)&gt;0,($O253)/($F253),""),"")</f>
        <v/>
      </c>
      <c r="V253" s="56">
        <f>IFERROR(IF(($G253)&gt;0,($P253)/($G253),""),"")</f>
        <v/>
      </c>
      <c r="W253" s="56">
        <f>IFERROR(IF(($H253)&gt;0,($Q253)/($H253),""),"")</f>
        <v/>
      </c>
      <c r="X253" s="55">
        <f>SUMIFS(tblMovement[Tonnes_t],tblMovement[Date],$A253,tblMovement[Source_Type],"Stockpile")</f>
        <v/>
      </c>
      <c r="Y253" s="55">
        <f>IF($B253=$B252,$Y252,0)+$X253</f>
        <v/>
      </c>
      <c r="Z253" s="55">
        <f>$Z252+$X253</f>
        <v/>
      </c>
      <c r="AA253" s="55">
        <f>SUMIFS(tblMiningDaily[Drill_m],tblMiningDaily[Date],$A253)</f>
        <v/>
      </c>
      <c r="AB253" s="55">
        <f>IF($B253=$B252,$AB252,0)+$AA253</f>
        <v/>
      </c>
      <c r="AC253" s="55">
        <f>$AC252+$AA253</f>
        <v/>
      </c>
      <c r="AD253" s="55">
        <f>SUMIFS(tblMiningDaily[Blast_t],tblMiningDaily[Date],$A253)</f>
        <v/>
      </c>
      <c r="AE253" s="55">
        <f>IF($B253=$B252,$AE252,0)+$AD253</f>
        <v/>
      </c>
      <c r="AF253" s="55">
        <f>$AF252+$AD253</f>
        <v/>
      </c>
      <c r="AG253" s="55">
        <f>SUMIFS(tblMiningDaily[Explosives_kg],tblMiningDaily[Date],$A253)</f>
        <v/>
      </c>
      <c r="AH253" s="55">
        <f>IF($B253=$B252,$AH252,0)+$AG253</f>
        <v/>
      </c>
      <c r="AI253" s="55">
        <f>$AI252+$AG253</f>
        <v/>
      </c>
      <c r="AJ253" s="56">
        <f>IFERROR(IF(($AD253)&gt;0,($AG253)/($AD253),""),"")</f>
        <v/>
      </c>
      <c r="AK253" s="56">
        <f>IFERROR(IF(($AE253)&gt;0,($AH253)/($AE253),""),"")</f>
        <v/>
      </c>
      <c r="AL253" s="56">
        <f>IFERROR(IF(($AF253)&gt;0,($AI253)/($AF253),""),"")</f>
        <v/>
      </c>
      <c r="AM253" s="55">
        <f>SUMIFS(tblMiningDaily[Diesel_L],tblMiningDaily[Date],$A253)</f>
        <v/>
      </c>
      <c r="AN253" s="55">
        <f>IF($B253=$B252,$AN252,0)+$AM253</f>
        <v/>
      </c>
      <c r="AO253" s="55">
        <f>$AO252+$AM253</f>
        <v/>
      </c>
      <c r="AP253" s="55">
        <f>SUMIFS(tblMiningDaily[Dewatering_m3],tblMiningDaily[Date],$A253)</f>
        <v/>
      </c>
      <c r="AQ253" s="55">
        <f>IF($B253=$B252,$AQ252,0)+$AP253</f>
        <v/>
      </c>
      <c r="AR253" s="55">
        <f>$AR252+$AP253</f>
        <v/>
      </c>
      <c r="AS253" s="57">
        <f>SUMIFS(tblFleet[Calendar_h],tblFleet[Date],$A253,tblFleet[Equipment_Class],"Excavator")</f>
        <v/>
      </c>
      <c r="AT253" s="57">
        <f>IF($B253=$B252,$AT252,0)+$AS253</f>
        <v/>
      </c>
      <c r="AU253" s="57">
        <f>$AU252+$AS253</f>
        <v/>
      </c>
      <c r="AV253" s="57">
        <f>SUMIFS(tblFleet[Available_h],tblFleet[Date],$A253,tblFleet[Equipment_Class],"Excavator")</f>
        <v/>
      </c>
      <c r="AW253" s="57">
        <f>IF($B253=$B252,$AW252,0)+$AV253</f>
        <v/>
      </c>
      <c r="AX253" s="57">
        <f>$AX252+$AV253</f>
        <v/>
      </c>
      <c r="AY253" s="57">
        <f>SUMIFS(tblFleet[Operating_h],tblFleet[Date],$A253,tblFleet[Equipment_Class],"Excavator")</f>
        <v/>
      </c>
      <c r="AZ253" s="57">
        <f>IF($B253=$B252,$AZ252,0)+$AY253</f>
        <v/>
      </c>
      <c r="BA253" s="57">
        <f>$BA252+$AY253</f>
        <v/>
      </c>
      <c r="BB253" s="67">
        <f>IFERROR(IF(($AS253)&gt;0,($AV253)/($AS253),""),"")</f>
        <v/>
      </c>
      <c r="BC253" s="67">
        <f>IFERROR(IF(($AT253)&gt;0,($AW253)/($AT253),""),"")</f>
        <v/>
      </c>
      <c r="BD253" s="67">
        <f>IFERROR(IF(($AU253)&gt;0,($AX253)/($AU253),""),"")</f>
        <v/>
      </c>
      <c r="BE253" s="67">
        <f>IFERROR(IF(($AV253)&gt;0,($AY253)/($AV253),""),"")</f>
        <v/>
      </c>
      <c r="BF253" s="67">
        <f>IFERROR(IF(($AW253)&gt;0,($AZ253)/($AW253),""),"")</f>
        <v/>
      </c>
      <c r="BG253" s="67">
        <f>IFERROR(IF(($AX253)&gt;0,($BA253)/($AX253),""),"")</f>
        <v/>
      </c>
      <c r="BH253" s="57">
        <f>SUMIFS(tblFleet[Calendar_h],tblFleet[Date],$A253,tblFleet[Equipment_Class],"Haul Truck")</f>
        <v/>
      </c>
      <c r="BI253" s="57">
        <f>IF($B253=$B252,$BI252,0)+$BH253</f>
        <v/>
      </c>
      <c r="BJ253" s="57">
        <f>$BJ252+$BH253</f>
        <v/>
      </c>
      <c r="BK253" s="57">
        <f>SUMIFS(tblFleet[Available_h],tblFleet[Date],$A253,tblFleet[Equipment_Class],"Haul Truck")</f>
        <v/>
      </c>
      <c r="BL253" s="57">
        <f>IF($B253=$B252,$BL252,0)+$BK253</f>
        <v/>
      </c>
      <c r="BM253" s="57">
        <f>$BM252+$BK253</f>
        <v/>
      </c>
      <c r="BN253" s="57">
        <f>SUMIFS(tblFleet[Operating_h],tblFleet[Date],$A253,tblFleet[Equipment_Class],"Haul Truck")</f>
        <v/>
      </c>
      <c r="BO253" s="57">
        <f>IF($B253=$B252,$BO252,0)+$BN253</f>
        <v/>
      </c>
      <c r="BP253" s="57">
        <f>$BP252+$BN253</f>
        <v/>
      </c>
      <c r="BQ253" s="67">
        <f>IFERROR(IF(($BH253)&gt;0,($BK253)/($BH253),""),"")</f>
        <v/>
      </c>
      <c r="BR253" s="67">
        <f>IFERROR(IF(($BI253)&gt;0,($BL253)/($BI253),""),"")</f>
        <v/>
      </c>
      <c r="BS253" s="67">
        <f>IFERROR(IF(($BJ253)&gt;0,($BM253)/($BJ253),""),"")</f>
        <v/>
      </c>
      <c r="BT253" s="67">
        <f>IFERROR(IF(($BK253)&gt;0,($BN253)/($BK253),""),"")</f>
        <v/>
      </c>
      <c r="BU253" s="67">
        <f>IFERROR(IF(($BL253)&gt;0,($BO253)/($BL253),""),"")</f>
        <v/>
      </c>
      <c r="BV253" s="67">
        <f>IFERROR(IF(($BM253)&gt;0,($BP253)/($BM253),""),"")</f>
        <v/>
      </c>
      <c r="BW253" s="55">
        <f>SUMIFS(tblPlant[Crushed_t],tblPlant[Date],$A253)</f>
        <v/>
      </c>
      <c r="BX253" s="55">
        <f>IF($B253=$B252,$BX252,0)+$BW253</f>
        <v/>
      </c>
      <c r="BY253" s="55">
        <f>$BY252+$BW253</f>
        <v/>
      </c>
      <c r="BZ253" s="55">
        <f>SUMIFS(tblPlant[Milled_t],tblPlant[Date],$A253)</f>
        <v/>
      </c>
      <c r="CA253" s="55">
        <f>IF($B253=$B252,$CA252,0)+$BZ253</f>
        <v/>
      </c>
      <c r="CB253" s="55">
        <f>$CB252+$BZ253</f>
        <v/>
      </c>
      <c r="CC253" s="55">
        <f>SUMIFS(tblPlant[Feed_oz],tblPlant[Date],$A253)</f>
        <v/>
      </c>
      <c r="CD253" s="55">
        <f>IF($B253=$B252,$CD252,0)+$CC253</f>
        <v/>
      </c>
      <c r="CE253" s="55">
        <f>$CE252+$CC253</f>
        <v/>
      </c>
      <c r="CF253" s="55">
        <f>SUMIFS(tblPlant[Tails_oz],tblPlant[Date],$A253)</f>
        <v/>
      </c>
      <c r="CG253" s="55">
        <f>IF($B253=$B252,$CG252,0)+$CF253</f>
        <v/>
      </c>
      <c r="CH253" s="55">
        <f>$CH252+$CF253</f>
        <v/>
      </c>
      <c r="CI253" s="55">
        <f>SUMIFS(tblPlant[Recovered_oz],tblPlant[Date],$A253)</f>
        <v/>
      </c>
      <c r="CJ253" s="55">
        <f>IF($B253=$B252,$CJ252,0)+$CI253</f>
        <v/>
      </c>
      <c r="CK253" s="55">
        <f>$CK252+$CI253</f>
        <v/>
      </c>
      <c r="CL253" s="56">
        <f>IFERROR(IF(($BZ253)&gt;0,($CC253*cfg_TroyOz)/($BZ253),""),"")</f>
        <v/>
      </c>
      <c r="CM253" s="56">
        <f>IFERROR(IF(($CA253)&gt;0,($CD253*cfg_TroyOz)/($CA253),""),"")</f>
        <v/>
      </c>
      <c r="CN253" s="56">
        <f>IFERROR(IF(($CB253)&gt;0,($CE253*cfg_TroyOz)/($CB253),""),"")</f>
        <v/>
      </c>
      <c r="CO253" s="56">
        <f>IFERROR(IF(($BZ253)&gt;0,($CF253*cfg_TroyOz)/($BZ253),""),"")</f>
        <v/>
      </c>
      <c r="CP253" s="56">
        <f>IFERROR(IF(($CA253)&gt;0,($CG253*cfg_TroyOz)/($CA253),""),"")</f>
        <v/>
      </c>
      <c r="CQ253" s="56">
        <f>IFERROR(IF(($CB253)&gt;0,($CH253*cfg_TroyOz)/($CB253),""),"")</f>
        <v/>
      </c>
      <c r="CR253" s="67">
        <f>IFERROR(IF(($CC253)&gt;0,($CI253)/($CC253),""),"")</f>
        <v/>
      </c>
      <c r="CS253" s="67">
        <f>IFERROR(IF(($CD253)&gt;0,($CJ253)/($CD253),""),"")</f>
        <v/>
      </c>
      <c r="CT253" s="67">
        <f>IFERROR(IF(($CE253)&gt;0,($CK253)/($CE253),""),"")</f>
        <v/>
      </c>
      <c r="CU253" s="55">
        <f>SUMIFS(tblPlant[Gravity_Gold_oz],tblPlant[Date],$A253)</f>
        <v/>
      </c>
      <c r="CV253" s="55">
        <f>IF($B253=$B252,$CV252,0)+$CU253</f>
        <v/>
      </c>
      <c r="CW253" s="55">
        <f>$CW252+$CU253</f>
        <v/>
      </c>
      <c r="CX253" s="55">
        <f>SUMIFS(tblPlant[Gold_Poured_oz],tblPlant[Date],$A253)</f>
        <v/>
      </c>
      <c r="CY253" s="55">
        <f>IF($B253=$B252,$CY252,0)+$CX253</f>
        <v/>
      </c>
      <c r="CZ253" s="55">
        <f>$CZ252+$CX253</f>
        <v/>
      </c>
      <c r="DA253" s="57">
        <f>SUMIFS(tblPlant[Mill_Run_h],tblPlant[Date],$A253)</f>
        <v/>
      </c>
      <c r="DB253" s="57">
        <f>IF($B253=$B252,$DB252,0)+$DA253</f>
        <v/>
      </c>
      <c r="DC253" s="57">
        <f>$DC252+$DA253</f>
        <v/>
      </c>
      <c r="DD253" s="57">
        <f>SUMIFS(tblPlant[Mill_Planned_Maint_h],tblPlant[Date],$A253)</f>
        <v/>
      </c>
      <c r="DE253" s="57">
        <f>IF($B253=$B252,$DE252,0)+$DD253</f>
        <v/>
      </c>
      <c r="DF253" s="57">
        <f>$DF252+$DD253</f>
        <v/>
      </c>
      <c r="DG253" s="57">
        <f>SUMIFS(tblPlant[Mill_Unplanned_Down_h],tblPlant[Date],$A253)</f>
        <v/>
      </c>
      <c r="DH253" s="57">
        <f>IF($B253=$B252,$DH252,0)+$DG253</f>
        <v/>
      </c>
      <c r="DI253" s="57">
        <f>$DI252+$DG253</f>
        <v/>
      </c>
      <c r="DJ253" s="57">
        <f>COUNTIFS(tblPlant[Date],$A253,tblPlant[Mill_Run_h],"&lt;&gt;")*24</f>
        <v/>
      </c>
      <c r="DK253" s="57">
        <f>IF($B253=$B252,$DK252,0)+$DJ253</f>
        <v/>
      </c>
      <c r="DL253" s="57">
        <f>$DL252+$DJ253</f>
        <v/>
      </c>
      <c r="DM253" s="57">
        <f>SUMIFS(tblPlant[Crusher_Run_h],tblPlant[Date],$A253)</f>
        <v/>
      </c>
      <c r="DN253" s="57">
        <f>IF($B253=$B252,$DN252,0)+$DM253</f>
        <v/>
      </c>
      <c r="DO253" s="57">
        <f>$DO252+$DM253</f>
        <v/>
      </c>
      <c r="DP253" s="55">
        <f>IFERROR(IF(($DA253)&gt;0,($BZ253)/($DA253),""),"")</f>
        <v/>
      </c>
      <c r="DQ253" s="55">
        <f>IFERROR(IF(($DB253)&gt;0,($CA253)/($DB253),""),"")</f>
        <v/>
      </c>
      <c r="DR253" s="55">
        <f>IFERROR(IF(($DC253)&gt;0,($CB253)/($DC253),""),"")</f>
        <v/>
      </c>
      <c r="DS253" s="67">
        <f>IFERROR(IF(($DJ253)&gt;0,($DJ253-$DD253-$DG253)/($DJ253),""),"")</f>
        <v/>
      </c>
      <c r="DT253" s="67">
        <f>IFERROR(IF(($DK253)&gt;0,($DK253-$DE253-$DH253)/($DK253),""),"")</f>
        <v/>
      </c>
      <c r="DU253" s="67">
        <f>IFERROR(IF(($DL253)&gt;0,($DL253-$DF253-$DI253)/($DL253),""),"")</f>
        <v/>
      </c>
      <c r="DV253" s="67">
        <f>IFERROR(IF(($DJ253-$DD253-$DG253)&gt;0,($DA253)/($DJ253-$DD253-$DG253),""),"")</f>
        <v/>
      </c>
      <c r="DW253" s="67">
        <f>IFERROR(IF(($DK253-$DE253-$DH253)&gt;0,($DB253)/($DK253-$DE253-$DH253),""),"")</f>
        <v/>
      </c>
      <c r="DX253" s="67">
        <f>IFERROR(IF(($DL253-$DF253-$DI253)&gt;0,($DC253)/($DL253-$DF253-$DI253),""),"")</f>
        <v/>
      </c>
      <c r="DY253" s="55">
        <f>SUMIFS(tblPlant[Cyanide_kg],tblPlant[Date],$A253)</f>
        <v/>
      </c>
      <c r="DZ253" s="55">
        <f>IF($B253=$B252,$DZ252,0)+$DY253</f>
        <v/>
      </c>
      <c r="EA253" s="55">
        <f>$EA252+$DY253</f>
        <v/>
      </c>
      <c r="EB253" s="55">
        <f>SUMIFS(tblPlant[Lime_kg],tblPlant[Date],$A253)</f>
        <v/>
      </c>
      <c r="EC253" s="55">
        <f>IF($B253=$B252,$EC252,0)+$EB253</f>
        <v/>
      </c>
      <c r="ED253" s="55">
        <f>$ED252+$EB253</f>
        <v/>
      </c>
      <c r="EE253" s="55">
        <f>SUMIFS(tblPlant[Grinding_Media_kg],tblPlant[Date],$A253)</f>
        <v/>
      </c>
      <c r="EF253" s="55">
        <f>IF($B253=$B252,$EF252,0)+$EE253</f>
        <v/>
      </c>
      <c r="EG253" s="55">
        <f>$EG252+$EE253</f>
        <v/>
      </c>
      <c r="EH253" s="55">
        <f>SUMIFS(tblPlant[Power_kWh],tblPlant[Date],$A253)</f>
        <v/>
      </c>
      <c r="EI253" s="55">
        <f>IF($B253=$B252,$EI252,0)+$EH253</f>
        <v/>
      </c>
      <c r="EJ253" s="55">
        <f>$EJ252+$EH253</f>
        <v/>
      </c>
      <c r="EK253" s="55">
        <f>SUMIFS(tblPlant[Raw_Water_m3],tblPlant[Date],$A253)</f>
        <v/>
      </c>
      <c r="EL253" s="55">
        <f>IF($B253=$B252,$EL252,0)+$EK253</f>
        <v/>
      </c>
      <c r="EM253" s="55">
        <f>$EM252+$EK253</f>
        <v/>
      </c>
      <c r="EN253" s="56">
        <f>IFERROR(IF(($BZ253)&gt;0,($DY253)/($BZ253),""),"")</f>
        <v/>
      </c>
      <c r="EO253" s="56">
        <f>IFERROR(IF(($CA253)&gt;0,($DZ253)/($CA253),""),"")</f>
        <v/>
      </c>
      <c r="EP253" s="56">
        <f>IFERROR(IF(($CB253)&gt;0,($EA253)/($CB253),""),"")</f>
        <v/>
      </c>
      <c r="EQ253" s="56">
        <f>IFERROR(IF(($BZ253)&gt;0,($EB253)/($BZ253),""),"")</f>
        <v/>
      </c>
      <c r="ER253" s="56">
        <f>IFERROR(IF(($CA253)&gt;0,($EC253)/($CA253),""),"")</f>
        <v/>
      </c>
      <c r="ES253" s="56">
        <f>IFERROR(IF(($CB253)&gt;0,($ED253)/($CB253),""),"")</f>
        <v/>
      </c>
      <c r="ET253" s="56">
        <f>IFERROR(IF(($BZ253)&gt;0,($EE253)/($BZ253),""),"")</f>
        <v/>
      </c>
      <c r="EU253" s="56">
        <f>IFERROR(IF(($CA253)&gt;0,($EF253)/($CA253),""),"")</f>
        <v/>
      </c>
      <c r="EV253" s="56">
        <f>IFERROR(IF(($CB253)&gt;0,($EG253)/($CB253),""),"")</f>
        <v/>
      </c>
      <c r="EW253" s="76">
        <f>IFERROR(IF(($BZ253)&gt;0,($EH253)/($BZ253),""),"")</f>
        <v/>
      </c>
      <c r="EX253" s="76">
        <f>IFERROR(IF(($CA253)&gt;0,($EI253)/($CA253),""),"")</f>
        <v/>
      </c>
      <c r="EY253" s="76">
        <f>IFERROR(IF(($CB253)&gt;0,($EJ253)/($CB253),""),"")</f>
        <v/>
      </c>
      <c r="EZ253" s="56">
        <f>IFERROR(IF(($BZ253)&gt;0,($EK253)/($BZ253),""),"")</f>
        <v/>
      </c>
      <c r="FA253" s="56">
        <f>IFERROR(IF(($CA253)&gt;0,($EL253)/($CA253),""),"")</f>
        <v/>
      </c>
      <c r="FB253" s="56">
        <f>IFERROR(IF(($CB253)&gt;0,($EM253)/($CB253),""),"")</f>
        <v/>
      </c>
      <c r="FC253" s="55">
        <f>IF(SUMIFS(tblPlant[GIC_oz],tblPlant[Date],$A253)&gt;0,SUMIFS(tblPlant[GIC_oz],tblPlant[Date],$A253),"")</f>
        <v/>
      </c>
      <c r="FD253" s="55">
        <f>SUMIFS(tblGold[Gold_oz],tblGold[Date],$A253,tblGold[Type],"Shipment")</f>
        <v/>
      </c>
      <c r="FE253" s="55">
        <f>IF($B253=$B252,$FE252,0)+$FD253</f>
        <v/>
      </c>
      <c r="FF253" s="55">
        <f>$FF252+$FD253</f>
        <v/>
      </c>
      <c r="FG253" s="55">
        <f>SUMIFS(tblGold[Gold_oz],tblGold[Date],$A253,tblGold[Type],"Sale")</f>
        <v/>
      </c>
      <c r="FH253" s="55">
        <f>IF($B253=$B252,$FH252,0)+$FG253</f>
        <v/>
      </c>
      <c r="FI253" s="55">
        <f>$FI252+$FG253</f>
        <v/>
      </c>
      <c r="FJ253" s="55">
        <f>SUMIFS(tblGold[Dore_kg],tblGold[Date],$A253,tblGold[Type],"Shipment")</f>
        <v/>
      </c>
      <c r="FK253" s="55">
        <f>IF($B253=$B252,$FK252,0)+$FJ253</f>
        <v/>
      </c>
      <c r="FL253" s="55">
        <f>$FL252+$FJ253</f>
        <v/>
      </c>
      <c r="FM253" s="57">
        <f>SUMIFS(tblSafety[Hours_Total],tblSafety[Date],$A253)</f>
        <v/>
      </c>
      <c r="FN253" s="57">
        <f>IF($B253=$B252,$FN252,0)+$FM253</f>
        <v/>
      </c>
      <c r="FO253" s="57">
        <f>$FO252+$FM253</f>
        <v/>
      </c>
      <c r="FP253" s="62">
        <f>SUMIFS(tblSafety[Fatality],tblSafety[Date],$A253)</f>
        <v/>
      </c>
      <c r="FQ253" s="62">
        <f>IF($B253=$B252,$FQ252,0)+$FP253</f>
        <v/>
      </c>
      <c r="FR253" s="62">
        <f>$FR252+$FP253</f>
        <v/>
      </c>
      <c r="FS253" s="62">
        <f>SUMIFS(tblSafety[LTI],tblSafety[Date],$A253)</f>
        <v/>
      </c>
      <c r="FT253" s="62">
        <f>IF($B253=$B252,$FT252,0)+$FS253</f>
        <v/>
      </c>
      <c r="FU253" s="62">
        <f>$FU252+$FS253</f>
        <v/>
      </c>
      <c r="FV253" s="62">
        <f>SUMIFS(tblSafety[RWI],tblSafety[Date],$A253)</f>
        <v/>
      </c>
      <c r="FW253" s="62">
        <f>IF($B253=$B252,$FW252,0)+$FV253</f>
        <v/>
      </c>
      <c r="FX253" s="62">
        <f>$FX252+$FV253</f>
        <v/>
      </c>
      <c r="FY253" s="62">
        <f>SUMIFS(tblSafety[MTI],tblSafety[Date],$A253)</f>
        <v/>
      </c>
      <c r="FZ253" s="62">
        <f>IF($B253=$B252,$FZ252,0)+$FY253</f>
        <v/>
      </c>
      <c r="GA253" s="62">
        <f>$GA252+$FY253</f>
        <v/>
      </c>
      <c r="GB253" s="62">
        <f>SUMIFS(tblSafety[FAI],tblSafety[Date],$A253)</f>
        <v/>
      </c>
      <c r="GC253" s="62">
        <f>IF($B253=$B252,$GC252,0)+$GB253</f>
        <v/>
      </c>
      <c r="GD253" s="62">
        <f>$GD252+$GB253</f>
        <v/>
      </c>
      <c r="GE253" s="62">
        <f>SUMIFS(tblSafety[Recordables],tblSafety[Date],$A253)</f>
        <v/>
      </c>
      <c r="GF253" s="62">
        <f>IF($B253=$B252,$GF252,0)+$GE253</f>
        <v/>
      </c>
      <c r="GG253" s="62">
        <f>$GG252+$GE253</f>
        <v/>
      </c>
      <c r="GH253" s="62">
        <f>SUMIFS(tblSafety[Near_Miss],tblSafety[Date],$A253)</f>
        <v/>
      </c>
      <c r="GI253" s="62">
        <f>IF($B253=$B252,$GI252,0)+$GH253</f>
        <v/>
      </c>
      <c r="GJ253" s="62">
        <f>$GJ252+$GH253</f>
        <v/>
      </c>
      <c r="GK253" s="62">
        <f>SUMIFS(tblSafety[Hazard_Reports],tblSafety[Date],$A253)</f>
        <v/>
      </c>
      <c r="GL253" s="62">
        <f>IF($B253=$B252,$GL252,0)+$GK253</f>
        <v/>
      </c>
      <c r="GM253" s="62">
        <f>$GM252+$GK253</f>
        <v/>
      </c>
      <c r="GN253" s="62">
        <f>SUMIFS(tblSafety[HPI],tblSafety[Date],$A253)</f>
        <v/>
      </c>
      <c r="GO253" s="62">
        <f>IF($B253=$B252,$GO252,0)+$GN253</f>
        <v/>
      </c>
      <c r="GP253" s="62">
        <f>$GP252+$GN253</f>
        <v/>
      </c>
      <c r="GQ253" s="62">
        <f>SUMIFS(tblSafety[Env_Incidents],tblSafety[Date],$A253)</f>
        <v/>
      </c>
      <c r="GR253" s="62">
        <f>IF($B253=$B252,$GR252,0)+$GQ253</f>
        <v/>
      </c>
      <c r="GS253" s="62">
        <f>$GS252+$GQ253</f>
        <v/>
      </c>
      <c r="GT253" s="62">
        <f>SUMIFS(tblSafety[Community_Incidents],tblSafety[Date],$A253)</f>
        <v/>
      </c>
      <c r="GU253" s="62">
        <f>IF($B253=$B252,$GU252,0)+$GT253</f>
        <v/>
      </c>
      <c r="GV253" s="62">
        <f>$GV252+$GT253</f>
        <v/>
      </c>
      <c r="GW253" s="62">
        <f>SUMIFS(tblSafety[Vehicle_Incidents],tblSafety[Date],$A253)</f>
        <v/>
      </c>
      <c r="GX253" s="62">
        <f>IF($B253=$B252,$GX252,0)+$GW253</f>
        <v/>
      </c>
      <c r="GY253" s="62">
        <f>$GY252+$GW253</f>
        <v/>
      </c>
      <c r="GZ253" s="62">
        <f>SUMIFS(tblSafety[Toolbox_Talks],tblSafety[Date],$A253)</f>
        <v/>
      </c>
      <c r="HA253" s="62">
        <f>IF($B253=$B252,$HA252,0)+$GZ253</f>
        <v/>
      </c>
      <c r="HB253" s="62">
        <f>$HB252+$GZ253</f>
        <v/>
      </c>
      <c r="HC253" s="62">
        <f>SUMIFS(tblSafety[Inspections],tblSafety[Date],$A253)</f>
        <v/>
      </c>
      <c r="HD253" s="62">
        <f>IF($B253=$B252,$HD252,0)+$HC253</f>
        <v/>
      </c>
      <c r="HE253" s="62">
        <f>$HE252+$HC253</f>
        <v/>
      </c>
      <c r="HF253" s="56">
        <f>IFERROR((SUMIFS(tblSafety[Recordables],tblSafety[Date],"&gt;="&amp;EDATE($E253,-12),tblSafety[Date],"&lt;="&amp;$A253)+SUMIFS(tblSafetyHistory[Recordables],tblSafetyHistory[Month],"&gt;="&amp;EDATE($E253,-12),tblSafetyHistory[Month],"&lt;"&amp;cfg_YearStart))/(SUMIFS(tblSafety[Hours_Total],tblSafety[Date],"&gt;="&amp;EDATE($E253,-12),tblSafety[Date],"&lt;="&amp;$A253)+SUMIFS(tblSafetyHistory[Hours_Total],tblSafetyHistory[Month],"&gt;="&amp;EDATE($E253,-12),tblSafetyHistory[Month],"&lt;"&amp;cfg_YearStart))*1000000,"")</f>
        <v/>
      </c>
      <c r="HG253" s="56">
        <f>IFERROR((SUMIFS(tblSafety[LTI],tblSafety[Date],"&gt;="&amp;EDATE($E253,-12),tblSafety[Date],"&lt;="&amp;$A253)+SUMIFS(tblSafetyHistory[LTI],tblSafetyHistory[Month],"&gt;="&amp;EDATE($E253,-12),tblSafetyHistory[Month],"&lt;"&amp;cfg_YearStart))/(SUMIFS(tblSafety[Hours_Total],tblSafety[Date],"&gt;="&amp;EDATE($E253,-12),tblSafety[Date],"&lt;="&amp;$A253)+SUMIFS(tblSafetyHistory[Hours_Total],tblSafetyHistory[Month],"&gt;="&amp;EDATE($E253,-12),tblSafetyHistory[Month],"&lt;"&amp;cfg_YearStart))*1000000,"")</f>
        <v/>
      </c>
      <c r="HH253" s="62">
        <f>IF(MAX(N(cfg_PriorLTIDate),_xlfn.MAXIFS(tblSafety[Date],tblSafety[LTI],"&gt;0",tblSafety[Date],"&lt;="&amp;$A253))=0,"",$A253-MAX(N(cfg_PriorLTIDate),_xlfn.MAXIFS(tblSafety[Date],tblSafety[LTI],"&gt;0",tblSafety[Date],"&lt;="&amp;$A253)))</f>
        <v/>
      </c>
      <c r="HI253" s="55">
        <f>SUMIFS(tblBudget[Ore_Mined_t],tblBudget[Month],$E253)</f>
        <v/>
      </c>
      <c r="HJ253" s="55">
        <f>$HI253*$C253/$D253</f>
        <v/>
      </c>
      <c r="HK253" s="55">
        <f>SUMIFS(tblBudget[Ore_Mined_t],tblBudget[Month],"&lt;"&amp;$E253)+$HJ253</f>
        <v/>
      </c>
      <c r="HL253" s="55">
        <f>SUMIFS(tblBudget[Ore_oz],tblBudget[Month],$E253)</f>
        <v/>
      </c>
      <c r="HM253" s="55">
        <f>$HL253*$C253/$D253</f>
        <v/>
      </c>
      <c r="HN253" s="55">
        <f>SUMIFS(tblBudget[Ore_oz],tblBudget[Month],"&lt;"&amp;$E253)+$HM253</f>
        <v/>
      </c>
      <c r="HO253" s="56">
        <f>IFERROR(IF(($HI253)&gt;0,($HL253*cfg_TroyOz)/($HI253),""),"")</f>
        <v/>
      </c>
      <c r="HP253" s="56">
        <f>IFERROR(IF(($HJ253)&gt;0,($HM253*cfg_TroyOz)/($HJ253),""),"")</f>
        <v/>
      </c>
      <c r="HQ253" s="56">
        <f>IFERROR(IF(($HK253)&gt;0,($HN253*cfg_TroyOz)/($HK253),""),"")</f>
        <v/>
      </c>
      <c r="HR253" s="55">
        <f>SUMIFS(tblBudget[Waste_t],tblBudget[Month],$E253)</f>
        <v/>
      </c>
      <c r="HS253" s="55">
        <f>$HR253*$C253/$D253</f>
        <v/>
      </c>
      <c r="HT253" s="55">
        <f>SUMIFS(tblBudget[Waste_t],tblBudget[Month],"&lt;"&amp;$E253)+$HS253</f>
        <v/>
      </c>
      <c r="HU253" s="55">
        <f>SUMIFS(tblBudget[TMM_t],tblBudget[Month],$E253)</f>
        <v/>
      </c>
      <c r="HV253" s="55">
        <f>$HU253*$C253/$D253</f>
        <v/>
      </c>
      <c r="HW253" s="55">
        <f>SUMIFS(tblBudget[TMM_t],tblBudget[Month],"&lt;"&amp;$E253)+$HV253</f>
        <v/>
      </c>
      <c r="HX253" s="56">
        <f>IFERROR(IF(($HI253)&gt;0,($HR253)/($HI253),""),"")</f>
        <v/>
      </c>
      <c r="HY253" s="56">
        <f>IFERROR(IF(($HJ253)&gt;0,($HS253)/($HJ253),""),"")</f>
        <v/>
      </c>
      <c r="HZ253" s="56">
        <f>IFERROR(IF(($HK253)&gt;0,($HT253)/($HK253),""),"")</f>
        <v/>
      </c>
      <c r="IA253" s="55">
        <f>SUMIFS(tblBudget[Drill_m],tblBudget[Month],$E253)</f>
        <v/>
      </c>
      <c r="IB253" s="55">
        <f>$IA253*$C253/$D253</f>
        <v/>
      </c>
      <c r="IC253" s="55">
        <f>SUMIFS(tblBudget[Drill_m],tblBudget[Month],"&lt;"&amp;$E253)+$IB253</f>
        <v/>
      </c>
      <c r="ID253" s="55">
        <f>SUMIFS(tblBudget[Diesel_L],tblBudget[Month],$E253)</f>
        <v/>
      </c>
      <c r="IE253" s="55">
        <f>$ID253*$C253/$D253</f>
        <v/>
      </c>
      <c r="IF253" s="55">
        <f>SUMIFS(tblBudget[Diesel_L],tblBudget[Month],"&lt;"&amp;$E253)+$IE253</f>
        <v/>
      </c>
      <c r="IG253" s="55">
        <f>SUMIFS(tblBudget[Milled_t],tblBudget[Month],$E253)</f>
        <v/>
      </c>
      <c r="IH253" s="55">
        <f>$IG253*$C253/$D253</f>
        <v/>
      </c>
      <c r="II253" s="55">
        <f>SUMIFS(tblBudget[Milled_t],tblBudget[Month],"&lt;"&amp;$E253)+$IH253</f>
        <v/>
      </c>
      <c r="IJ253" s="55">
        <f>SUMIFS(tblBudget[Feed_oz],tblBudget[Month],$E253)</f>
        <v/>
      </c>
      <c r="IK253" s="55">
        <f>$IJ253*$C253/$D253</f>
        <v/>
      </c>
      <c r="IL253" s="55">
        <f>SUMIFS(tblBudget[Feed_oz],tblBudget[Month],"&lt;"&amp;$E253)+$IK253</f>
        <v/>
      </c>
      <c r="IM253" s="55">
        <f>SUMIFS(tblBudget[Recovered_oz],tblBudget[Month],$E253)</f>
        <v/>
      </c>
      <c r="IN253" s="55">
        <f>$IM253*$C253/$D253</f>
        <v/>
      </c>
      <c r="IO253" s="55">
        <f>SUMIFS(tblBudget[Recovered_oz],tblBudget[Month],"&lt;"&amp;$E253)+$IN253</f>
        <v/>
      </c>
      <c r="IP253" s="56">
        <f>IFERROR(IF(($IG253)&gt;0,($IJ253*cfg_TroyOz)/($IG253),""),"")</f>
        <v/>
      </c>
      <c r="IQ253" s="56">
        <f>IFERROR(IF(($IH253)&gt;0,($IK253*cfg_TroyOz)/($IH253),""),"")</f>
        <v/>
      </c>
      <c r="IR253" s="56">
        <f>IFERROR(IF(($II253)&gt;0,($IL253*cfg_TroyOz)/($II253),""),"")</f>
        <v/>
      </c>
      <c r="IS253" s="67">
        <f>IFERROR(IF(($IJ253)&gt;0,($IM253)/($IJ253),""),"")</f>
        <v/>
      </c>
      <c r="IT253" s="67">
        <f>IFERROR(IF(($IK253)&gt;0,($IN253)/($IK253),""),"")</f>
        <v/>
      </c>
      <c r="IU253" s="67">
        <f>IFERROR(IF(($IL253)&gt;0,($IO253)/($IL253),""),"")</f>
        <v/>
      </c>
      <c r="IV253" s="55">
        <f>SUMIFS(tblBudget[Gold_Poured_oz],tblBudget[Month],$E253)</f>
        <v/>
      </c>
      <c r="IW253" s="55">
        <f>$IV253*$C253/$D253</f>
        <v/>
      </c>
      <c r="IX253" s="55">
        <f>SUMIFS(tblBudget[Gold_Poured_oz],tblBudget[Month],"&lt;"&amp;$E253)+$IW253</f>
        <v/>
      </c>
      <c r="IY253" s="57">
        <f>SUMIFS(tblBudget[Hours_Worked],tblBudget[Month],$E253)</f>
        <v/>
      </c>
      <c r="IZ253" s="57">
        <f>$IY253*$C253/$D253</f>
        <v/>
      </c>
      <c r="JA253" s="57">
        <f>SUMIFS(tblBudget[Hours_Worked],tblBudget[Month],"&lt;"&amp;$E253)+$IZ253</f>
        <v/>
      </c>
    </row>
    <row r="254">
      <c r="A254" s="54" t="n">
        <v>46275</v>
      </c>
      <c r="B254">
        <f>MONTH($A254)</f>
        <v/>
      </c>
      <c r="C254">
        <f>DAY($A254)</f>
        <v/>
      </c>
      <c r="D254">
        <f>DAY(EOMONTH($A254,0))</f>
        <v/>
      </c>
      <c r="E254" s="54">
        <f>DATE(YEAR($A254),MONTH($A254),1)</f>
        <v/>
      </c>
      <c r="F254" s="55">
        <f>SUMIFS(tblMovement[Tonnes_t],tblMovement[Date],$A254,tblMovement[Is_Ore],1,tblMovement[Source_Type],"Pit")</f>
        <v/>
      </c>
      <c r="G254" s="55">
        <f>IF($B254=$B253,$G253,0)+$F254</f>
        <v/>
      </c>
      <c r="H254" s="55">
        <f>$H253+$F254</f>
        <v/>
      </c>
      <c r="I254" s="55">
        <f>SUMIFS(tblMovement[Ore_oz],tblMovement[Date],$A254,tblMovement[Source_Type],"Pit")</f>
        <v/>
      </c>
      <c r="J254" s="55">
        <f>IF($B254=$B253,$J253,0)+$I254</f>
        <v/>
      </c>
      <c r="K254" s="55">
        <f>$K253+$I254</f>
        <v/>
      </c>
      <c r="L254" s="56">
        <f>IFERROR(IF(($F254)&gt;0,($I254*cfg_TroyOz)/($F254),""),"")</f>
        <v/>
      </c>
      <c r="M254" s="56">
        <f>IFERROR(IF(($G254)&gt;0,($J254*cfg_TroyOz)/($G254),""),"")</f>
        <v/>
      </c>
      <c r="N254" s="56">
        <f>IFERROR(IF(($H254)&gt;0,($K254*cfg_TroyOz)/($H254),""),"")</f>
        <v/>
      </c>
      <c r="O254" s="55">
        <f>SUMIFS(tblMovement[Tonnes_t],tblMovement[Date],$A254,tblMovement[Is_Ore],0,tblMovement[Source_Type],"Pit")</f>
        <v/>
      </c>
      <c r="P254" s="55">
        <f>IF($B254=$B253,$P253,0)+$O254</f>
        <v/>
      </c>
      <c r="Q254" s="55">
        <f>$Q253+$O254</f>
        <v/>
      </c>
      <c r="R254" s="55">
        <f>$F254+$O254</f>
        <v/>
      </c>
      <c r="S254" s="55">
        <f>IF($B254=$B253,$S253,0)+$R254</f>
        <v/>
      </c>
      <c r="T254" s="55">
        <f>$T253+$R254</f>
        <v/>
      </c>
      <c r="U254" s="56">
        <f>IFERROR(IF(($F254)&gt;0,($O254)/($F254),""),"")</f>
        <v/>
      </c>
      <c r="V254" s="56">
        <f>IFERROR(IF(($G254)&gt;0,($P254)/($G254),""),"")</f>
        <v/>
      </c>
      <c r="W254" s="56">
        <f>IFERROR(IF(($H254)&gt;0,($Q254)/($H254),""),"")</f>
        <v/>
      </c>
      <c r="X254" s="55">
        <f>SUMIFS(tblMovement[Tonnes_t],tblMovement[Date],$A254,tblMovement[Source_Type],"Stockpile")</f>
        <v/>
      </c>
      <c r="Y254" s="55">
        <f>IF($B254=$B253,$Y253,0)+$X254</f>
        <v/>
      </c>
      <c r="Z254" s="55">
        <f>$Z253+$X254</f>
        <v/>
      </c>
      <c r="AA254" s="55">
        <f>SUMIFS(tblMiningDaily[Drill_m],tblMiningDaily[Date],$A254)</f>
        <v/>
      </c>
      <c r="AB254" s="55">
        <f>IF($B254=$B253,$AB253,0)+$AA254</f>
        <v/>
      </c>
      <c r="AC254" s="55">
        <f>$AC253+$AA254</f>
        <v/>
      </c>
      <c r="AD254" s="55">
        <f>SUMIFS(tblMiningDaily[Blast_t],tblMiningDaily[Date],$A254)</f>
        <v/>
      </c>
      <c r="AE254" s="55">
        <f>IF($B254=$B253,$AE253,0)+$AD254</f>
        <v/>
      </c>
      <c r="AF254" s="55">
        <f>$AF253+$AD254</f>
        <v/>
      </c>
      <c r="AG254" s="55">
        <f>SUMIFS(tblMiningDaily[Explosives_kg],tblMiningDaily[Date],$A254)</f>
        <v/>
      </c>
      <c r="AH254" s="55">
        <f>IF($B254=$B253,$AH253,0)+$AG254</f>
        <v/>
      </c>
      <c r="AI254" s="55">
        <f>$AI253+$AG254</f>
        <v/>
      </c>
      <c r="AJ254" s="56">
        <f>IFERROR(IF(($AD254)&gt;0,($AG254)/($AD254),""),"")</f>
        <v/>
      </c>
      <c r="AK254" s="56">
        <f>IFERROR(IF(($AE254)&gt;0,($AH254)/($AE254),""),"")</f>
        <v/>
      </c>
      <c r="AL254" s="56">
        <f>IFERROR(IF(($AF254)&gt;0,($AI254)/($AF254),""),"")</f>
        <v/>
      </c>
      <c r="AM254" s="55">
        <f>SUMIFS(tblMiningDaily[Diesel_L],tblMiningDaily[Date],$A254)</f>
        <v/>
      </c>
      <c r="AN254" s="55">
        <f>IF($B254=$B253,$AN253,0)+$AM254</f>
        <v/>
      </c>
      <c r="AO254" s="55">
        <f>$AO253+$AM254</f>
        <v/>
      </c>
      <c r="AP254" s="55">
        <f>SUMIFS(tblMiningDaily[Dewatering_m3],tblMiningDaily[Date],$A254)</f>
        <v/>
      </c>
      <c r="AQ254" s="55">
        <f>IF($B254=$B253,$AQ253,0)+$AP254</f>
        <v/>
      </c>
      <c r="AR254" s="55">
        <f>$AR253+$AP254</f>
        <v/>
      </c>
      <c r="AS254" s="57">
        <f>SUMIFS(tblFleet[Calendar_h],tblFleet[Date],$A254,tblFleet[Equipment_Class],"Excavator")</f>
        <v/>
      </c>
      <c r="AT254" s="57">
        <f>IF($B254=$B253,$AT253,0)+$AS254</f>
        <v/>
      </c>
      <c r="AU254" s="57">
        <f>$AU253+$AS254</f>
        <v/>
      </c>
      <c r="AV254" s="57">
        <f>SUMIFS(tblFleet[Available_h],tblFleet[Date],$A254,tblFleet[Equipment_Class],"Excavator")</f>
        <v/>
      </c>
      <c r="AW254" s="57">
        <f>IF($B254=$B253,$AW253,0)+$AV254</f>
        <v/>
      </c>
      <c r="AX254" s="57">
        <f>$AX253+$AV254</f>
        <v/>
      </c>
      <c r="AY254" s="57">
        <f>SUMIFS(tblFleet[Operating_h],tblFleet[Date],$A254,tblFleet[Equipment_Class],"Excavator")</f>
        <v/>
      </c>
      <c r="AZ254" s="57">
        <f>IF($B254=$B253,$AZ253,0)+$AY254</f>
        <v/>
      </c>
      <c r="BA254" s="57">
        <f>$BA253+$AY254</f>
        <v/>
      </c>
      <c r="BB254" s="67">
        <f>IFERROR(IF(($AS254)&gt;0,($AV254)/($AS254),""),"")</f>
        <v/>
      </c>
      <c r="BC254" s="67">
        <f>IFERROR(IF(($AT254)&gt;0,($AW254)/($AT254),""),"")</f>
        <v/>
      </c>
      <c r="BD254" s="67">
        <f>IFERROR(IF(($AU254)&gt;0,($AX254)/($AU254),""),"")</f>
        <v/>
      </c>
      <c r="BE254" s="67">
        <f>IFERROR(IF(($AV254)&gt;0,($AY254)/($AV254),""),"")</f>
        <v/>
      </c>
      <c r="BF254" s="67">
        <f>IFERROR(IF(($AW254)&gt;0,($AZ254)/($AW254),""),"")</f>
        <v/>
      </c>
      <c r="BG254" s="67">
        <f>IFERROR(IF(($AX254)&gt;0,($BA254)/($AX254),""),"")</f>
        <v/>
      </c>
      <c r="BH254" s="57">
        <f>SUMIFS(tblFleet[Calendar_h],tblFleet[Date],$A254,tblFleet[Equipment_Class],"Haul Truck")</f>
        <v/>
      </c>
      <c r="BI254" s="57">
        <f>IF($B254=$B253,$BI253,0)+$BH254</f>
        <v/>
      </c>
      <c r="BJ254" s="57">
        <f>$BJ253+$BH254</f>
        <v/>
      </c>
      <c r="BK254" s="57">
        <f>SUMIFS(tblFleet[Available_h],tblFleet[Date],$A254,tblFleet[Equipment_Class],"Haul Truck")</f>
        <v/>
      </c>
      <c r="BL254" s="57">
        <f>IF($B254=$B253,$BL253,0)+$BK254</f>
        <v/>
      </c>
      <c r="BM254" s="57">
        <f>$BM253+$BK254</f>
        <v/>
      </c>
      <c r="BN254" s="57">
        <f>SUMIFS(tblFleet[Operating_h],tblFleet[Date],$A254,tblFleet[Equipment_Class],"Haul Truck")</f>
        <v/>
      </c>
      <c r="BO254" s="57">
        <f>IF($B254=$B253,$BO253,0)+$BN254</f>
        <v/>
      </c>
      <c r="BP254" s="57">
        <f>$BP253+$BN254</f>
        <v/>
      </c>
      <c r="BQ254" s="67">
        <f>IFERROR(IF(($BH254)&gt;0,($BK254)/($BH254),""),"")</f>
        <v/>
      </c>
      <c r="BR254" s="67">
        <f>IFERROR(IF(($BI254)&gt;0,($BL254)/($BI254),""),"")</f>
        <v/>
      </c>
      <c r="BS254" s="67">
        <f>IFERROR(IF(($BJ254)&gt;0,($BM254)/($BJ254),""),"")</f>
        <v/>
      </c>
      <c r="BT254" s="67">
        <f>IFERROR(IF(($BK254)&gt;0,($BN254)/($BK254),""),"")</f>
        <v/>
      </c>
      <c r="BU254" s="67">
        <f>IFERROR(IF(($BL254)&gt;0,($BO254)/($BL254),""),"")</f>
        <v/>
      </c>
      <c r="BV254" s="67">
        <f>IFERROR(IF(($BM254)&gt;0,($BP254)/($BM254),""),"")</f>
        <v/>
      </c>
      <c r="BW254" s="55">
        <f>SUMIFS(tblPlant[Crushed_t],tblPlant[Date],$A254)</f>
        <v/>
      </c>
      <c r="BX254" s="55">
        <f>IF($B254=$B253,$BX253,0)+$BW254</f>
        <v/>
      </c>
      <c r="BY254" s="55">
        <f>$BY253+$BW254</f>
        <v/>
      </c>
      <c r="BZ254" s="55">
        <f>SUMIFS(tblPlant[Milled_t],tblPlant[Date],$A254)</f>
        <v/>
      </c>
      <c r="CA254" s="55">
        <f>IF($B254=$B253,$CA253,0)+$BZ254</f>
        <v/>
      </c>
      <c r="CB254" s="55">
        <f>$CB253+$BZ254</f>
        <v/>
      </c>
      <c r="CC254" s="55">
        <f>SUMIFS(tblPlant[Feed_oz],tblPlant[Date],$A254)</f>
        <v/>
      </c>
      <c r="CD254" s="55">
        <f>IF($B254=$B253,$CD253,0)+$CC254</f>
        <v/>
      </c>
      <c r="CE254" s="55">
        <f>$CE253+$CC254</f>
        <v/>
      </c>
      <c r="CF254" s="55">
        <f>SUMIFS(tblPlant[Tails_oz],tblPlant[Date],$A254)</f>
        <v/>
      </c>
      <c r="CG254" s="55">
        <f>IF($B254=$B253,$CG253,0)+$CF254</f>
        <v/>
      </c>
      <c r="CH254" s="55">
        <f>$CH253+$CF254</f>
        <v/>
      </c>
      <c r="CI254" s="55">
        <f>SUMIFS(tblPlant[Recovered_oz],tblPlant[Date],$A254)</f>
        <v/>
      </c>
      <c r="CJ254" s="55">
        <f>IF($B254=$B253,$CJ253,0)+$CI254</f>
        <v/>
      </c>
      <c r="CK254" s="55">
        <f>$CK253+$CI254</f>
        <v/>
      </c>
      <c r="CL254" s="56">
        <f>IFERROR(IF(($BZ254)&gt;0,($CC254*cfg_TroyOz)/($BZ254),""),"")</f>
        <v/>
      </c>
      <c r="CM254" s="56">
        <f>IFERROR(IF(($CA254)&gt;0,($CD254*cfg_TroyOz)/($CA254),""),"")</f>
        <v/>
      </c>
      <c r="CN254" s="56">
        <f>IFERROR(IF(($CB254)&gt;0,($CE254*cfg_TroyOz)/($CB254),""),"")</f>
        <v/>
      </c>
      <c r="CO254" s="56">
        <f>IFERROR(IF(($BZ254)&gt;0,($CF254*cfg_TroyOz)/($BZ254),""),"")</f>
        <v/>
      </c>
      <c r="CP254" s="56">
        <f>IFERROR(IF(($CA254)&gt;0,($CG254*cfg_TroyOz)/($CA254),""),"")</f>
        <v/>
      </c>
      <c r="CQ254" s="56">
        <f>IFERROR(IF(($CB254)&gt;0,($CH254*cfg_TroyOz)/($CB254),""),"")</f>
        <v/>
      </c>
      <c r="CR254" s="67">
        <f>IFERROR(IF(($CC254)&gt;0,($CI254)/($CC254),""),"")</f>
        <v/>
      </c>
      <c r="CS254" s="67">
        <f>IFERROR(IF(($CD254)&gt;0,($CJ254)/($CD254),""),"")</f>
        <v/>
      </c>
      <c r="CT254" s="67">
        <f>IFERROR(IF(($CE254)&gt;0,($CK254)/($CE254),""),"")</f>
        <v/>
      </c>
      <c r="CU254" s="55">
        <f>SUMIFS(tblPlant[Gravity_Gold_oz],tblPlant[Date],$A254)</f>
        <v/>
      </c>
      <c r="CV254" s="55">
        <f>IF($B254=$B253,$CV253,0)+$CU254</f>
        <v/>
      </c>
      <c r="CW254" s="55">
        <f>$CW253+$CU254</f>
        <v/>
      </c>
      <c r="CX254" s="55">
        <f>SUMIFS(tblPlant[Gold_Poured_oz],tblPlant[Date],$A254)</f>
        <v/>
      </c>
      <c r="CY254" s="55">
        <f>IF($B254=$B253,$CY253,0)+$CX254</f>
        <v/>
      </c>
      <c r="CZ254" s="55">
        <f>$CZ253+$CX254</f>
        <v/>
      </c>
      <c r="DA254" s="57">
        <f>SUMIFS(tblPlant[Mill_Run_h],tblPlant[Date],$A254)</f>
        <v/>
      </c>
      <c r="DB254" s="57">
        <f>IF($B254=$B253,$DB253,0)+$DA254</f>
        <v/>
      </c>
      <c r="DC254" s="57">
        <f>$DC253+$DA254</f>
        <v/>
      </c>
      <c r="DD254" s="57">
        <f>SUMIFS(tblPlant[Mill_Planned_Maint_h],tblPlant[Date],$A254)</f>
        <v/>
      </c>
      <c r="DE254" s="57">
        <f>IF($B254=$B253,$DE253,0)+$DD254</f>
        <v/>
      </c>
      <c r="DF254" s="57">
        <f>$DF253+$DD254</f>
        <v/>
      </c>
      <c r="DG254" s="57">
        <f>SUMIFS(tblPlant[Mill_Unplanned_Down_h],tblPlant[Date],$A254)</f>
        <v/>
      </c>
      <c r="DH254" s="57">
        <f>IF($B254=$B253,$DH253,0)+$DG254</f>
        <v/>
      </c>
      <c r="DI254" s="57">
        <f>$DI253+$DG254</f>
        <v/>
      </c>
      <c r="DJ254" s="57">
        <f>COUNTIFS(tblPlant[Date],$A254,tblPlant[Mill_Run_h],"&lt;&gt;")*24</f>
        <v/>
      </c>
      <c r="DK254" s="57">
        <f>IF($B254=$B253,$DK253,0)+$DJ254</f>
        <v/>
      </c>
      <c r="DL254" s="57">
        <f>$DL253+$DJ254</f>
        <v/>
      </c>
      <c r="DM254" s="57">
        <f>SUMIFS(tblPlant[Crusher_Run_h],tblPlant[Date],$A254)</f>
        <v/>
      </c>
      <c r="DN254" s="57">
        <f>IF($B254=$B253,$DN253,0)+$DM254</f>
        <v/>
      </c>
      <c r="DO254" s="57">
        <f>$DO253+$DM254</f>
        <v/>
      </c>
      <c r="DP254" s="55">
        <f>IFERROR(IF(($DA254)&gt;0,($BZ254)/($DA254),""),"")</f>
        <v/>
      </c>
      <c r="DQ254" s="55">
        <f>IFERROR(IF(($DB254)&gt;0,($CA254)/($DB254),""),"")</f>
        <v/>
      </c>
      <c r="DR254" s="55">
        <f>IFERROR(IF(($DC254)&gt;0,($CB254)/($DC254),""),"")</f>
        <v/>
      </c>
      <c r="DS254" s="67">
        <f>IFERROR(IF(($DJ254)&gt;0,($DJ254-$DD254-$DG254)/($DJ254),""),"")</f>
        <v/>
      </c>
      <c r="DT254" s="67">
        <f>IFERROR(IF(($DK254)&gt;0,($DK254-$DE254-$DH254)/($DK254),""),"")</f>
        <v/>
      </c>
      <c r="DU254" s="67">
        <f>IFERROR(IF(($DL254)&gt;0,($DL254-$DF254-$DI254)/($DL254),""),"")</f>
        <v/>
      </c>
      <c r="DV254" s="67">
        <f>IFERROR(IF(($DJ254-$DD254-$DG254)&gt;0,($DA254)/($DJ254-$DD254-$DG254),""),"")</f>
        <v/>
      </c>
      <c r="DW254" s="67">
        <f>IFERROR(IF(($DK254-$DE254-$DH254)&gt;0,($DB254)/($DK254-$DE254-$DH254),""),"")</f>
        <v/>
      </c>
      <c r="DX254" s="67">
        <f>IFERROR(IF(($DL254-$DF254-$DI254)&gt;0,($DC254)/($DL254-$DF254-$DI254),""),"")</f>
        <v/>
      </c>
      <c r="DY254" s="55">
        <f>SUMIFS(tblPlant[Cyanide_kg],tblPlant[Date],$A254)</f>
        <v/>
      </c>
      <c r="DZ254" s="55">
        <f>IF($B254=$B253,$DZ253,0)+$DY254</f>
        <v/>
      </c>
      <c r="EA254" s="55">
        <f>$EA253+$DY254</f>
        <v/>
      </c>
      <c r="EB254" s="55">
        <f>SUMIFS(tblPlant[Lime_kg],tblPlant[Date],$A254)</f>
        <v/>
      </c>
      <c r="EC254" s="55">
        <f>IF($B254=$B253,$EC253,0)+$EB254</f>
        <v/>
      </c>
      <c r="ED254" s="55">
        <f>$ED253+$EB254</f>
        <v/>
      </c>
      <c r="EE254" s="55">
        <f>SUMIFS(tblPlant[Grinding_Media_kg],tblPlant[Date],$A254)</f>
        <v/>
      </c>
      <c r="EF254" s="55">
        <f>IF($B254=$B253,$EF253,0)+$EE254</f>
        <v/>
      </c>
      <c r="EG254" s="55">
        <f>$EG253+$EE254</f>
        <v/>
      </c>
      <c r="EH254" s="55">
        <f>SUMIFS(tblPlant[Power_kWh],tblPlant[Date],$A254)</f>
        <v/>
      </c>
      <c r="EI254" s="55">
        <f>IF($B254=$B253,$EI253,0)+$EH254</f>
        <v/>
      </c>
      <c r="EJ254" s="55">
        <f>$EJ253+$EH254</f>
        <v/>
      </c>
      <c r="EK254" s="55">
        <f>SUMIFS(tblPlant[Raw_Water_m3],tblPlant[Date],$A254)</f>
        <v/>
      </c>
      <c r="EL254" s="55">
        <f>IF($B254=$B253,$EL253,0)+$EK254</f>
        <v/>
      </c>
      <c r="EM254" s="55">
        <f>$EM253+$EK254</f>
        <v/>
      </c>
      <c r="EN254" s="56">
        <f>IFERROR(IF(($BZ254)&gt;0,($DY254)/($BZ254),""),"")</f>
        <v/>
      </c>
      <c r="EO254" s="56">
        <f>IFERROR(IF(($CA254)&gt;0,($DZ254)/($CA254),""),"")</f>
        <v/>
      </c>
      <c r="EP254" s="56">
        <f>IFERROR(IF(($CB254)&gt;0,($EA254)/($CB254),""),"")</f>
        <v/>
      </c>
      <c r="EQ254" s="56">
        <f>IFERROR(IF(($BZ254)&gt;0,($EB254)/($BZ254),""),"")</f>
        <v/>
      </c>
      <c r="ER254" s="56">
        <f>IFERROR(IF(($CA254)&gt;0,($EC254)/($CA254),""),"")</f>
        <v/>
      </c>
      <c r="ES254" s="56">
        <f>IFERROR(IF(($CB254)&gt;0,($ED254)/($CB254),""),"")</f>
        <v/>
      </c>
      <c r="ET254" s="56">
        <f>IFERROR(IF(($BZ254)&gt;0,($EE254)/($BZ254),""),"")</f>
        <v/>
      </c>
      <c r="EU254" s="56">
        <f>IFERROR(IF(($CA254)&gt;0,($EF254)/($CA254),""),"")</f>
        <v/>
      </c>
      <c r="EV254" s="56">
        <f>IFERROR(IF(($CB254)&gt;0,($EG254)/($CB254),""),"")</f>
        <v/>
      </c>
      <c r="EW254" s="76">
        <f>IFERROR(IF(($BZ254)&gt;0,($EH254)/($BZ254),""),"")</f>
        <v/>
      </c>
      <c r="EX254" s="76">
        <f>IFERROR(IF(($CA254)&gt;0,($EI254)/($CA254),""),"")</f>
        <v/>
      </c>
      <c r="EY254" s="76">
        <f>IFERROR(IF(($CB254)&gt;0,($EJ254)/($CB254),""),"")</f>
        <v/>
      </c>
      <c r="EZ254" s="56">
        <f>IFERROR(IF(($BZ254)&gt;0,($EK254)/($BZ254),""),"")</f>
        <v/>
      </c>
      <c r="FA254" s="56">
        <f>IFERROR(IF(($CA254)&gt;0,($EL254)/($CA254),""),"")</f>
        <v/>
      </c>
      <c r="FB254" s="56">
        <f>IFERROR(IF(($CB254)&gt;0,($EM254)/($CB254),""),"")</f>
        <v/>
      </c>
      <c r="FC254" s="55">
        <f>IF(SUMIFS(tblPlant[GIC_oz],tblPlant[Date],$A254)&gt;0,SUMIFS(tblPlant[GIC_oz],tblPlant[Date],$A254),"")</f>
        <v/>
      </c>
      <c r="FD254" s="55">
        <f>SUMIFS(tblGold[Gold_oz],tblGold[Date],$A254,tblGold[Type],"Shipment")</f>
        <v/>
      </c>
      <c r="FE254" s="55">
        <f>IF($B254=$B253,$FE253,0)+$FD254</f>
        <v/>
      </c>
      <c r="FF254" s="55">
        <f>$FF253+$FD254</f>
        <v/>
      </c>
      <c r="FG254" s="55">
        <f>SUMIFS(tblGold[Gold_oz],tblGold[Date],$A254,tblGold[Type],"Sale")</f>
        <v/>
      </c>
      <c r="FH254" s="55">
        <f>IF($B254=$B253,$FH253,0)+$FG254</f>
        <v/>
      </c>
      <c r="FI254" s="55">
        <f>$FI253+$FG254</f>
        <v/>
      </c>
      <c r="FJ254" s="55">
        <f>SUMIFS(tblGold[Dore_kg],tblGold[Date],$A254,tblGold[Type],"Shipment")</f>
        <v/>
      </c>
      <c r="FK254" s="55">
        <f>IF($B254=$B253,$FK253,0)+$FJ254</f>
        <v/>
      </c>
      <c r="FL254" s="55">
        <f>$FL253+$FJ254</f>
        <v/>
      </c>
      <c r="FM254" s="57">
        <f>SUMIFS(tblSafety[Hours_Total],tblSafety[Date],$A254)</f>
        <v/>
      </c>
      <c r="FN254" s="57">
        <f>IF($B254=$B253,$FN253,0)+$FM254</f>
        <v/>
      </c>
      <c r="FO254" s="57">
        <f>$FO253+$FM254</f>
        <v/>
      </c>
      <c r="FP254" s="62">
        <f>SUMIFS(tblSafety[Fatality],tblSafety[Date],$A254)</f>
        <v/>
      </c>
      <c r="FQ254" s="62">
        <f>IF($B254=$B253,$FQ253,0)+$FP254</f>
        <v/>
      </c>
      <c r="FR254" s="62">
        <f>$FR253+$FP254</f>
        <v/>
      </c>
      <c r="FS254" s="62">
        <f>SUMIFS(tblSafety[LTI],tblSafety[Date],$A254)</f>
        <v/>
      </c>
      <c r="FT254" s="62">
        <f>IF($B254=$B253,$FT253,0)+$FS254</f>
        <v/>
      </c>
      <c r="FU254" s="62">
        <f>$FU253+$FS254</f>
        <v/>
      </c>
      <c r="FV254" s="62">
        <f>SUMIFS(tblSafety[RWI],tblSafety[Date],$A254)</f>
        <v/>
      </c>
      <c r="FW254" s="62">
        <f>IF($B254=$B253,$FW253,0)+$FV254</f>
        <v/>
      </c>
      <c r="FX254" s="62">
        <f>$FX253+$FV254</f>
        <v/>
      </c>
      <c r="FY254" s="62">
        <f>SUMIFS(tblSafety[MTI],tblSafety[Date],$A254)</f>
        <v/>
      </c>
      <c r="FZ254" s="62">
        <f>IF($B254=$B253,$FZ253,0)+$FY254</f>
        <v/>
      </c>
      <c r="GA254" s="62">
        <f>$GA253+$FY254</f>
        <v/>
      </c>
      <c r="GB254" s="62">
        <f>SUMIFS(tblSafety[FAI],tblSafety[Date],$A254)</f>
        <v/>
      </c>
      <c r="GC254" s="62">
        <f>IF($B254=$B253,$GC253,0)+$GB254</f>
        <v/>
      </c>
      <c r="GD254" s="62">
        <f>$GD253+$GB254</f>
        <v/>
      </c>
      <c r="GE254" s="62">
        <f>SUMIFS(tblSafety[Recordables],tblSafety[Date],$A254)</f>
        <v/>
      </c>
      <c r="GF254" s="62">
        <f>IF($B254=$B253,$GF253,0)+$GE254</f>
        <v/>
      </c>
      <c r="GG254" s="62">
        <f>$GG253+$GE254</f>
        <v/>
      </c>
      <c r="GH254" s="62">
        <f>SUMIFS(tblSafety[Near_Miss],tblSafety[Date],$A254)</f>
        <v/>
      </c>
      <c r="GI254" s="62">
        <f>IF($B254=$B253,$GI253,0)+$GH254</f>
        <v/>
      </c>
      <c r="GJ254" s="62">
        <f>$GJ253+$GH254</f>
        <v/>
      </c>
      <c r="GK254" s="62">
        <f>SUMIFS(tblSafety[Hazard_Reports],tblSafety[Date],$A254)</f>
        <v/>
      </c>
      <c r="GL254" s="62">
        <f>IF($B254=$B253,$GL253,0)+$GK254</f>
        <v/>
      </c>
      <c r="GM254" s="62">
        <f>$GM253+$GK254</f>
        <v/>
      </c>
      <c r="GN254" s="62">
        <f>SUMIFS(tblSafety[HPI],tblSafety[Date],$A254)</f>
        <v/>
      </c>
      <c r="GO254" s="62">
        <f>IF($B254=$B253,$GO253,0)+$GN254</f>
        <v/>
      </c>
      <c r="GP254" s="62">
        <f>$GP253+$GN254</f>
        <v/>
      </c>
      <c r="GQ254" s="62">
        <f>SUMIFS(tblSafety[Env_Incidents],tblSafety[Date],$A254)</f>
        <v/>
      </c>
      <c r="GR254" s="62">
        <f>IF($B254=$B253,$GR253,0)+$GQ254</f>
        <v/>
      </c>
      <c r="GS254" s="62">
        <f>$GS253+$GQ254</f>
        <v/>
      </c>
      <c r="GT254" s="62">
        <f>SUMIFS(tblSafety[Community_Incidents],tblSafety[Date],$A254)</f>
        <v/>
      </c>
      <c r="GU254" s="62">
        <f>IF($B254=$B253,$GU253,0)+$GT254</f>
        <v/>
      </c>
      <c r="GV254" s="62">
        <f>$GV253+$GT254</f>
        <v/>
      </c>
      <c r="GW254" s="62">
        <f>SUMIFS(tblSafety[Vehicle_Incidents],tblSafety[Date],$A254)</f>
        <v/>
      </c>
      <c r="GX254" s="62">
        <f>IF($B254=$B253,$GX253,0)+$GW254</f>
        <v/>
      </c>
      <c r="GY254" s="62">
        <f>$GY253+$GW254</f>
        <v/>
      </c>
      <c r="GZ254" s="62">
        <f>SUMIFS(tblSafety[Toolbox_Talks],tblSafety[Date],$A254)</f>
        <v/>
      </c>
      <c r="HA254" s="62">
        <f>IF($B254=$B253,$HA253,0)+$GZ254</f>
        <v/>
      </c>
      <c r="HB254" s="62">
        <f>$HB253+$GZ254</f>
        <v/>
      </c>
      <c r="HC254" s="62">
        <f>SUMIFS(tblSafety[Inspections],tblSafety[Date],$A254)</f>
        <v/>
      </c>
      <c r="HD254" s="62">
        <f>IF($B254=$B253,$HD253,0)+$HC254</f>
        <v/>
      </c>
      <c r="HE254" s="62">
        <f>$HE253+$HC254</f>
        <v/>
      </c>
      <c r="HF254" s="56">
        <f>IFERROR((SUMIFS(tblSafety[Recordables],tblSafety[Date],"&gt;="&amp;EDATE($E254,-12),tblSafety[Date],"&lt;="&amp;$A254)+SUMIFS(tblSafetyHistory[Recordables],tblSafetyHistory[Month],"&gt;="&amp;EDATE($E254,-12),tblSafetyHistory[Month],"&lt;"&amp;cfg_YearStart))/(SUMIFS(tblSafety[Hours_Total],tblSafety[Date],"&gt;="&amp;EDATE($E254,-12),tblSafety[Date],"&lt;="&amp;$A254)+SUMIFS(tblSafetyHistory[Hours_Total],tblSafetyHistory[Month],"&gt;="&amp;EDATE($E254,-12),tblSafetyHistory[Month],"&lt;"&amp;cfg_YearStart))*1000000,"")</f>
        <v/>
      </c>
      <c r="HG254" s="56">
        <f>IFERROR((SUMIFS(tblSafety[LTI],tblSafety[Date],"&gt;="&amp;EDATE($E254,-12),tblSafety[Date],"&lt;="&amp;$A254)+SUMIFS(tblSafetyHistory[LTI],tblSafetyHistory[Month],"&gt;="&amp;EDATE($E254,-12),tblSafetyHistory[Month],"&lt;"&amp;cfg_YearStart))/(SUMIFS(tblSafety[Hours_Total],tblSafety[Date],"&gt;="&amp;EDATE($E254,-12),tblSafety[Date],"&lt;="&amp;$A254)+SUMIFS(tblSafetyHistory[Hours_Total],tblSafetyHistory[Month],"&gt;="&amp;EDATE($E254,-12),tblSafetyHistory[Month],"&lt;"&amp;cfg_YearStart))*1000000,"")</f>
        <v/>
      </c>
      <c r="HH254" s="62">
        <f>IF(MAX(N(cfg_PriorLTIDate),_xlfn.MAXIFS(tblSafety[Date],tblSafety[LTI],"&gt;0",tblSafety[Date],"&lt;="&amp;$A254))=0,"",$A254-MAX(N(cfg_PriorLTIDate),_xlfn.MAXIFS(tblSafety[Date],tblSafety[LTI],"&gt;0",tblSafety[Date],"&lt;="&amp;$A254)))</f>
        <v/>
      </c>
      <c r="HI254" s="55">
        <f>SUMIFS(tblBudget[Ore_Mined_t],tblBudget[Month],$E254)</f>
        <v/>
      </c>
      <c r="HJ254" s="55">
        <f>$HI254*$C254/$D254</f>
        <v/>
      </c>
      <c r="HK254" s="55">
        <f>SUMIFS(tblBudget[Ore_Mined_t],tblBudget[Month],"&lt;"&amp;$E254)+$HJ254</f>
        <v/>
      </c>
      <c r="HL254" s="55">
        <f>SUMIFS(tblBudget[Ore_oz],tblBudget[Month],$E254)</f>
        <v/>
      </c>
      <c r="HM254" s="55">
        <f>$HL254*$C254/$D254</f>
        <v/>
      </c>
      <c r="HN254" s="55">
        <f>SUMIFS(tblBudget[Ore_oz],tblBudget[Month],"&lt;"&amp;$E254)+$HM254</f>
        <v/>
      </c>
      <c r="HO254" s="56">
        <f>IFERROR(IF(($HI254)&gt;0,($HL254*cfg_TroyOz)/($HI254),""),"")</f>
        <v/>
      </c>
      <c r="HP254" s="56">
        <f>IFERROR(IF(($HJ254)&gt;0,($HM254*cfg_TroyOz)/($HJ254),""),"")</f>
        <v/>
      </c>
      <c r="HQ254" s="56">
        <f>IFERROR(IF(($HK254)&gt;0,($HN254*cfg_TroyOz)/($HK254),""),"")</f>
        <v/>
      </c>
      <c r="HR254" s="55">
        <f>SUMIFS(tblBudget[Waste_t],tblBudget[Month],$E254)</f>
        <v/>
      </c>
      <c r="HS254" s="55">
        <f>$HR254*$C254/$D254</f>
        <v/>
      </c>
      <c r="HT254" s="55">
        <f>SUMIFS(tblBudget[Waste_t],tblBudget[Month],"&lt;"&amp;$E254)+$HS254</f>
        <v/>
      </c>
      <c r="HU254" s="55">
        <f>SUMIFS(tblBudget[TMM_t],tblBudget[Month],$E254)</f>
        <v/>
      </c>
      <c r="HV254" s="55">
        <f>$HU254*$C254/$D254</f>
        <v/>
      </c>
      <c r="HW254" s="55">
        <f>SUMIFS(tblBudget[TMM_t],tblBudget[Month],"&lt;"&amp;$E254)+$HV254</f>
        <v/>
      </c>
      <c r="HX254" s="56">
        <f>IFERROR(IF(($HI254)&gt;0,($HR254)/($HI254),""),"")</f>
        <v/>
      </c>
      <c r="HY254" s="56">
        <f>IFERROR(IF(($HJ254)&gt;0,($HS254)/($HJ254),""),"")</f>
        <v/>
      </c>
      <c r="HZ254" s="56">
        <f>IFERROR(IF(($HK254)&gt;0,($HT254)/($HK254),""),"")</f>
        <v/>
      </c>
      <c r="IA254" s="55">
        <f>SUMIFS(tblBudget[Drill_m],tblBudget[Month],$E254)</f>
        <v/>
      </c>
      <c r="IB254" s="55">
        <f>$IA254*$C254/$D254</f>
        <v/>
      </c>
      <c r="IC254" s="55">
        <f>SUMIFS(tblBudget[Drill_m],tblBudget[Month],"&lt;"&amp;$E254)+$IB254</f>
        <v/>
      </c>
      <c r="ID254" s="55">
        <f>SUMIFS(tblBudget[Diesel_L],tblBudget[Month],$E254)</f>
        <v/>
      </c>
      <c r="IE254" s="55">
        <f>$ID254*$C254/$D254</f>
        <v/>
      </c>
      <c r="IF254" s="55">
        <f>SUMIFS(tblBudget[Diesel_L],tblBudget[Month],"&lt;"&amp;$E254)+$IE254</f>
        <v/>
      </c>
      <c r="IG254" s="55">
        <f>SUMIFS(tblBudget[Milled_t],tblBudget[Month],$E254)</f>
        <v/>
      </c>
      <c r="IH254" s="55">
        <f>$IG254*$C254/$D254</f>
        <v/>
      </c>
      <c r="II254" s="55">
        <f>SUMIFS(tblBudget[Milled_t],tblBudget[Month],"&lt;"&amp;$E254)+$IH254</f>
        <v/>
      </c>
      <c r="IJ254" s="55">
        <f>SUMIFS(tblBudget[Feed_oz],tblBudget[Month],$E254)</f>
        <v/>
      </c>
      <c r="IK254" s="55">
        <f>$IJ254*$C254/$D254</f>
        <v/>
      </c>
      <c r="IL254" s="55">
        <f>SUMIFS(tblBudget[Feed_oz],tblBudget[Month],"&lt;"&amp;$E254)+$IK254</f>
        <v/>
      </c>
      <c r="IM254" s="55">
        <f>SUMIFS(tblBudget[Recovered_oz],tblBudget[Month],$E254)</f>
        <v/>
      </c>
      <c r="IN254" s="55">
        <f>$IM254*$C254/$D254</f>
        <v/>
      </c>
      <c r="IO254" s="55">
        <f>SUMIFS(tblBudget[Recovered_oz],tblBudget[Month],"&lt;"&amp;$E254)+$IN254</f>
        <v/>
      </c>
      <c r="IP254" s="56">
        <f>IFERROR(IF(($IG254)&gt;0,($IJ254*cfg_TroyOz)/($IG254),""),"")</f>
        <v/>
      </c>
      <c r="IQ254" s="56">
        <f>IFERROR(IF(($IH254)&gt;0,($IK254*cfg_TroyOz)/($IH254),""),"")</f>
        <v/>
      </c>
      <c r="IR254" s="56">
        <f>IFERROR(IF(($II254)&gt;0,($IL254*cfg_TroyOz)/($II254),""),"")</f>
        <v/>
      </c>
      <c r="IS254" s="67">
        <f>IFERROR(IF(($IJ254)&gt;0,($IM254)/($IJ254),""),"")</f>
        <v/>
      </c>
      <c r="IT254" s="67">
        <f>IFERROR(IF(($IK254)&gt;0,($IN254)/($IK254),""),"")</f>
        <v/>
      </c>
      <c r="IU254" s="67">
        <f>IFERROR(IF(($IL254)&gt;0,($IO254)/($IL254),""),"")</f>
        <v/>
      </c>
      <c r="IV254" s="55">
        <f>SUMIFS(tblBudget[Gold_Poured_oz],tblBudget[Month],$E254)</f>
        <v/>
      </c>
      <c r="IW254" s="55">
        <f>$IV254*$C254/$D254</f>
        <v/>
      </c>
      <c r="IX254" s="55">
        <f>SUMIFS(tblBudget[Gold_Poured_oz],tblBudget[Month],"&lt;"&amp;$E254)+$IW254</f>
        <v/>
      </c>
      <c r="IY254" s="57">
        <f>SUMIFS(tblBudget[Hours_Worked],tblBudget[Month],$E254)</f>
        <v/>
      </c>
      <c r="IZ254" s="57">
        <f>$IY254*$C254/$D254</f>
        <v/>
      </c>
      <c r="JA254" s="57">
        <f>SUMIFS(tblBudget[Hours_Worked],tblBudget[Month],"&lt;"&amp;$E254)+$IZ254</f>
        <v/>
      </c>
    </row>
    <row r="255">
      <c r="A255" s="54" t="n">
        <v>46276</v>
      </c>
      <c r="B255">
        <f>MONTH($A255)</f>
        <v/>
      </c>
      <c r="C255">
        <f>DAY($A255)</f>
        <v/>
      </c>
      <c r="D255">
        <f>DAY(EOMONTH($A255,0))</f>
        <v/>
      </c>
      <c r="E255" s="54">
        <f>DATE(YEAR($A255),MONTH($A255),1)</f>
        <v/>
      </c>
      <c r="F255" s="55">
        <f>SUMIFS(tblMovement[Tonnes_t],tblMovement[Date],$A255,tblMovement[Is_Ore],1,tblMovement[Source_Type],"Pit")</f>
        <v/>
      </c>
      <c r="G255" s="55">
        <f>IF($B255=$B254,$G254,0)+$F255</f>
        <v/>
      </c>
      <c r="H255" s="55">
        <f>$H254+$F255</f>
        <v/>
      </c>
      <c r="I255" s="55">
        <f>SUMIFS(tblMovement[Ore_oz],tblMovement[Date],$A255,tblMovement[Source_Type],"Pit")</f>
        <v/>
      </c>
      <c r="J255" s="55">
        <f>IF($B255=$B254,$J254,0)+$I255</f>
        <v/>
      </c>
      <c r="K255" s="55">
        <f>$K254+$I255</f>
        <v/>
      </c>
      <c r="L255" s="56">
        <f>IFERROR(IF(($F255)&gt;0,($I255*cfg_TroyOz)/($F255),""),"")</f>
        <v/>
      </c>
      <c r="M255" s="56">
        <f>IFERROR(IF(($G255)&gt;0,($J255*cfg_TroyOz)/($G255),""),"")</f>
        <v/>
      </c>
      <c r="N255" s="56">
        <f>IFERROR(IF(($H255)&gt;0,($K255*cfg_TroyOz)/($H255),""),"")</f>
        <v/>
      </c>
      <c r="O255" s="55">
        <f>SUMIFS(tblMovement[Tonnes_t],tblMovement[Date],$A255,tblMovement[Is_Ore],0,tblMovement[Source_Type],"Pit")</f>
        <v/>
      </c>
      <c r="P255" s="55">
        <f>IF($B255=$B254,$P254,0)+$O255</f>
        <v/>
      </c>
      <c r="Q255" s="55">
        <f>$Q254+$O255</f>
        <v/>
      </c>
      <c r="R255" s="55">
        <f>$F255+$O255</f>
        <v/>
      </c>
      <c r="S255" s="55">
        <f>IF($B255=$B254,$S254,0)+$R255</f>
        <v/>
      </c>
      <c r="T255" s="55">
        <f>$T254+$R255</f>
        <v/>
      </c>
      <c r="U255" s="56">
        <f>IFERROR(IF(($F255)&gt;0,($O255)/($F255),""),"")</f>
        <v/>
      </c>
      <c r="V255" s="56">
        <f>IFERROR(IF(($G255)&gt;0,($P255)/($G255),""),"")</f>
        <v/>
      </c>
      <c r="W255" s="56">
        <f>IFERROR(IF(($H255)&gt;0,($Q255)/($H255),""),"")</f>
        <v/>
      </c>
      <c r="X255" s="55">
        <f>SUMIFS(tblMovement[Tonnes_t],tblMovement[Date],$A255,tblMovement[Source_Type],"Stockpile")</f>
        <v/>
      </c>
      <c r="Y255" s="55">
        <f>IF($B255=$B254,$Y254,0)+$X255</f>
        <v/>
      </c>
      <c r="Z255" s="55">
        <f>$Z254+$X255</f>
        <v/>
      </c>
      <c r="AA255" s="55">
        <f>SUMIFS(tblMiningDaily[Drill_m],tblMiningDaily[Date],$A255)</f>
        <v/>
      </c>
      <c r="AB255" s="55">
        <f>IF($B255=$B254,$AB254,0)+$AA255</f>
        <v/>
      </c>
      <c r="AC255" s="55">
        <f>$AC254+$AA255</f>
        <v/>
      </c>
      <c r="AD255" s="55">
        <f>SUMIFS(tblMiningDaily[Blast_t],tblMiningDaily[Date],$A255)</f>
        <v/>
      </c>
      <c r="AE255" s="55">
        <f>IF($B255=$B254,$AE254,0)+$AD255</f>
        <v/>
      </c>
      <c r="AF255" s="55">
        <f>$AF254+$AD255</f>
        <v/>
      </c>
      <c r="AG255" s="55">
        <f>SUMIFS(tblMiningDaily[Explosives_kg],tblMiningDaily[Date],$A255)</f>
        <v/>
      </c>
      <c r="AH255" s="55">
        <f>IF($B255=$B254,$AH254,0)+$AG255</f>
        <v/>
      </c>
      <c r="AI255" s="55">
        <f>$AI254+$AG255</f>
        <v/>
      </c>
      <c r="AJ255" s="56">
        <f>IFERROR(IF(($AD255)&gt;0,($AG255)/($AD255),""),"")</f>
        <v/>
      </c>
      <c r="AK255" s="56">
        <f>IFERROR(IF(($AE255)&gt;0,($AH255)/($AE255),""),"")</f>
        <v/>
      </c>
      <c r="AL255" s="56">
        <f>IFERROR(IF(($AF255)&gt;0,($AI255)/($AF255),""),"")</f>
        <v/>
      </c>
      <c r="AM255" s="55">
        <f>SUMIFS(tblMiningDaily[Diesel_L],tblMiningDaily[Date],$A255)</f>
        <v/>
      </c>
      <c r="AN255" s="55">
        <f>IF($B255=$B254,$AN254,0)+$AM255</f>
        <v/>
      </c>
      <c r="AO255" s="55">
        <f>$AO254+$AM255</f>
        <v/>
      </c>
      <c r="AP255" s="55">
        <f>SUMIFS(tblMiningDaily[Dewatering_m3],tblMiningDaily[Date],$A255)</f>
        <v/>
      </c>
      <c r="AQ255" s="55">
        <f>IF($B255=$B254,$AQ254,0)+$AP255</f>
        <v/>
      </c>
      <c r="AR255" s="55">
        <f>$AR254+$AP255</f>
        <v/>
      </c>
      <c r="AS255" s="57">
        <f>SUMIFS(tblFleet[Calendar_h],tblFleet[Date],$A255,tblFleet[Equipment_Class],"Excavator")</f>
        <v/>
      </c>
      <c r="AT255" s="57">
        <f>IF($B255=$B254,$AT254,0)+$AS255</f>
        <v/>
      </c>
      <c r="AU255" s="57">
        <f>$AU254+$AS255</f>
        <v/>
      </c>
      <c r="AV255" s="57">
        <f>SUMIFS(tblFleet[Available_h],tblFleet[Date],$A255,tblFleet[Equipment_Class],"Excavator")</f>
        <v/>
      </c>
      <c r="AW255" s="57">
        <f>IF($B255=$B254,$AW254,0)+$AV255</f>
        <v/>
      </c>
      <c r="AX255" s="57">
        <f>$AX254+$AV255</f>
        <v/>
      </c>
      <c r="AY255" s="57">
        <f>SUMIFS(tblFleet[Operating_h],tblFleet[Date],$A255,tblFleet[Equipment_Class],"Excavator")</f>
        <v/>
      </c>
      <c r="AZ255" s="57">
        <f>IF($B255=$B254,$AZ254,0)+$AY255</f>
        <v/>
      </c>
      <c r="BA255" s="57">
        <f>$BA254+$AY255</f>
        <v/>
      </c>
      <c r="BB255" s="67">
        <f>IFERROR(IF(($AS255)&gt;0,($AV255)/($AS255),""),"")</f>
        <v/>
      </c>
      <c r="BC255" s="67">
        <f>IFERROR(IF(($AT255)&gt;0,($AW255)/($AT255),""),"")</f>
        <v/>
      </c>
      <c r="BD255" s="67">
        <f>IFERROR(IF(($AU255)&gt;0,($AX255)/($AU255),""),"")</f>
        <v/>
      </c>
      <c r="BE255" s="67">
        <f>IFERROR(IF(($AV255)&gt;0,($AY255)/($AV255),""),"")</f>
        <v/>
      </c>
      <c r="BF255" s="67">
        <f>IFERROR(IF(($AW255)&gt;0,($AZ255)/($AW255),""),"")</f>
        <v/>
      </c>
      <c r="BG255" s="67">
        <f>IFERROR(IF(($AX255)&gt;0,($BA255)/($AX255),""),"")</f>
        <v/>
      </c>
      <c r="BH255" s="57">
        <f>SUMIFS(tblFleet[Calendar_h],tblFleet[Date],$A255,tblFleet[Equipment_Class],"Haul Truck")</f>
        <v/>
      </c>
      <c r="BI255" s="57">
        <f>IF($B255=$B254,$BI254,0)+$BH255</f>
        <v/>
      </c>
      <c r="BJ255" s="57">
        <f>$BJ254+$BH255</f>
        <v/>
      </c>
      <c r="BK255" s="57">
        <f>SUMIFS(tblFleet[Available_h],tblFleet[Date],$A255,tblFleet[Equipment_Class],"Haul Truck")</f>
        <v/>
      </c>
      <c r="BL255" s="57">
        <f>IF($B255=$B254,$BL254,0)+$BK255</f>
        <v/>
      </c>
      <c r="BM255" s="57">
        <f>$BM254+$BK255</f>
        <v/>
      </c>
      <c r="BN255" s="57">
        <f>SUMIFS(tblFleet[Operating_h],tblFleet[Date],$A255,tblFleet[Equipment_Class],"Haul Truck")</f>
        <v/>
      </c>
      <c r="BO255" s="57">
        <f>IF($B255=$B254,$BO254,0)+$BN255</f>
        <v/>
      </c>
      <c r="BP255" s="57">
        <f>$BP254+$BN255</f>
        <v/>
      </c>
      <c r="BQ255" s="67">
        <f>IFERROR(IF(($BH255)&gt;0,($BK255)/($BH255),""),"")</f>
        <v/>
      </c>
      <c r="BR255" s="67">
        <f>IFERROR(IF(($BI255)&gt;0,($BL255)/($BI255),""),"")</f>
        <v/>
      </c>
      <c r="BS255" s="67">
        <f>IFERROR(IF(($BJ255)&gt;0,($BM255)/($BJ255),""),"")</f>
        <v/>
      </c>
      <c r="BT255" s="67">
        <f>IFERROR(IF(($BK255)&gt;0,($BN255)/($BK255),""),"")</f>
        <v/>
      </c>
      <c r="BU255" s="67">
        <f>IFERROR(IF(($BL255)&gt;0,($BO255)/($BL255),""),"")</f>
        <v/>
      </c>
      <c r="BV255" s="67">
        <f>IFERROR(IF(($BM255)&gt;0,($BP255)/($BM255),""),"")</f>
        <v/>
      </c>
      <c r="BW255" s="55">
        <f>SUMIFS(tblPlant[Crushed_t],tblPlant[Date],$A255)</f>
        <v/>
      </c>
      <c r="BX255" s="55">
        <f>IF($B255=$B254,$BX254,0)+$BW255</f>
        <v/>
      </c>
      <c r="BY255" s="55">
        <f>$BY254+$BW255</f>
        <v/>
      </c>
      <c r="BZ255" s="55">
        <f>SUMIFS(tblPlant[Milled_t],tblPlant[Date],$A255)</f>
        <v/>
      </c>
      <c r="CA255" s="55">
        <f>IF($B255=$B254,$CA254,0)+$BZ255</f>
        <v/>
      </c>
      <c r="CB255" s="55">
        <f>$CB254+$BZ255</f>
        <v/>
      </c>
      <c r="CC255" s="55">
        <f>SUMIFS(tblPlant[Feed_oz],tblPlant[Date],$A255)</f>
        <v/>
      </c>
      <c r="CD255" s="55">
        <f>IF($B255=$B254,$CD254,0)+$CC255</f>
        <v/>
      </c>
      <c r="CE255" s="55">
        <f>$CE254+$CC255</f>
        <v/>
      </c>
      <c r="CF255" s="55">
        <f>SUMIFS(tblPlant[Tails_oz],tblPlant[Date],$A255)</f>
        <v/>
      </c>
      <c r="CG255" s="55">
        <f>IF($B255=$B254,$CG254,0)+$CF255</f>
        <v/>
      </c>
      <c r="CH255" s="55">
        <f>$CH254+$CF255</f>
        <v/>
      </c>
      <c r="CI255" s="55">
        <f>SUMIFS(tblPlant[Recovered_oz],tblPlant[Date],$A255)</f>
        <v/>
      </c>
      <c r="CJ255" s="55">
        <f>IF($B255=$B254,$CJ254,0)+$CI255</f>
        <v/>
      </c>
      <c r="CK255" s="55">
        <f>$CK254+$CI255</f>
        <v/>
      </c>
      <c r="CL255" s="56">
        <f>IFERROR(IF(($BZ255)&gt;0,($CC255*cfg_TroyOz)/($BZ255),""),"")</f>
        <v/>
      </c>
      <c r="CM255" s="56">
        <f>IFERROR(IF(($CA255)&gt;0,($CD255*cfg_TroyOz)/($CA255),""),"")</f>
        <v/>
      </c>
      <c r="CN255" s="56">
        <f>IFERROR(IF(($CB255)&gt;0,($CE255*cfg_TroyOz)/($CB255),""),"")</f>
        <v/>
      </c>
      <c r="CO255" s="56">
        <f>IFERROR(IF(($BZ255)&gt;0,($CF255*cfg_TroyOz)/($BZ255),""),"")</f>
        <v/>
      </c>
      <c r="CP255" s="56">
        <f>IFERROR(IF(($CA255)&gt;0,($CG255*cfg_TroyOz)/($CA255),""),"")</f>
        <v/>
      </c>
      <c r="CQ255" s="56">
        <f>IFERROR(IF(($CB255)&gt;0,($CH255*cfg_TroyOz)/($CB255),""),"")</f>
        <v/>
      </c>
      <c r="CR255" s="67">
        <f>IFERROR(IF(($CC255)&gt;0,($CI255)/($CC255),""),"")</f>
        <v/>
      </c>
      <c r="CS255" s="67">
        <f>IFERROR(IF(($CD255)&gt;0,($CJ255)/($CD255),""),"")</f>
        <v/>
      </c>
      <c r="CT255" s="67">
        <f>IFERROR(IF(($CE255)&gt;0,($CK255)/($CE255),""),"")</f>
        <v/>
      </c>
      <c r="CU255" s="55">
        <f>SUMIFS(tblPlant[Gravity_Gold_oz],tblPlant[Date],$A255)</f>
        <v/>
      </c>
      <c r="CV255" s="55">
        <f>IF($B255=$B254,$CV254,0)+$CU255</f>
        <v/>
      </c>
      <c r="CW255" s="55">
        <f>$CW254+$CU255</f>
        <v/>
      </c>
      <c r="CX255" s="55">
        <f>SUMIFS(tblPlant[Gold_Poured_oz],tblPlant[Date],$A255)</f>
        <v/>
      </c>
      <c r="CY255" s="55">
        <f>IF($B255=$B254,$CY254,0)+$CX255</f>
        <v/>
      </c>
      <c r="CZ255" s="55">
        <f>$CZ254+$CX255</f>
        <v/>
      </c>
      <c r="DA255" s="57">
        <f>SUMIFS(tblPlant[Mill_Run_h],tblPlant[Date],$A255)</f>
        <v/>
      </c>
      <c r="DB255" s="57">
        <f>IF($B255=$B254,$DB254,0)+$DA255</f>
        <v/>
      </c>
      <c r="DC255" s="57">
        <f>$DC254+$DA255</f>
        <v/>
      </c>
      <c r="DD255" s="57">
        <f>SUMIFS(tblPlant[Mill_Planned_Maint_h],tblPlant[Date],$A255)</f>
        <v/>
      </c>
      <c r="DE255" s="57">
        <f>IF($B255=$B254,$DE254,0)+$DD255</f>
        <v/>
      </c>
      <c r="DF255" s="57">
        <f>$DF254+$DD255</f>
        <v/>
      </c>
      <c r="DG255" s="57">
        <f>SUMIFS(tblPlant[Mill_Unplanned_Down_h],tblPlant[Date],$A255)</f>
        <v/>
      </c>
      <c r="DH255" s="57">
        <f>IF($B255=$B254,$DH254,0)+$DG255</f>
        <v/>
      </c>
      <c r="DI255" s="57">
        <f>$DI254+$DG255</f>
        <v/>
      </c>
      <c r="DJ255" s="57">
        <f>COUNTIFS(tblPlant[Date],$A255,tblPlant[Mill_Run_h],"&lt;&gt;")*24</f>
        <v/>
      </c>
      <c r="DK255" s="57">
        <f>IF($B255=$B254,$DK254,0)+$DJ255</f>
        <v/>
      </c>
      <c r="DL255" s="57">
        <f>$DL254+$DJ255</f>
        <v/>
      </c>
      <c r="DM255" s="57">
        <f>SUMIFS(tblPlant[Crusher_Run_h],tblPlant[Date],$A255)</f>
        <v/>
      </c>
      <c r="DN255" s="57">
        <f>IF($B255=$B254,$DN254,0)+$DM255</f>
        <v/>
      </c>
      <c r="DO255" s="57">
        <f>$DO254+$DM255</f>
        <v/>
      </c>
      <c r="DP255" s="55">
        <f>IFERROR(IF(($DA255)&gt;0,($BZ255)/($DA255),""),"")</f>
        <v/>
      </c>
      <c r="DQ255" s="55">
        <f>IFERROR(IF(($DB255)&gt;0,($CA255)/($DB255),""),"")</f>
        <v/>
      </c>
      <c r="DR255" s="55">
        <f>IFERROR(IF(($DC255)&gt;0,($CB255)/($DC255),""),"")</f>
        <v/>
      </c>
      <c r="DS255" s="67">
        <f>IFERROR(IF(($DJ255)&gt;0,($DJ255-$DD255-$DG255)/($DJ255),""),"")</f>
        <v/>
      </c>
      <c r="DT255" s="67">
        <f>IFERROR(IF(($DK255)&gt;0,($DK255-$DE255-$DH255)/($DK255),""),"")</f>
        <v/>
      </c>
      <c r="DU255" s="67">
        <f>IFERROR(IF(($DL255)&gt;0,($DL255-$DF255-$DI255)/($DL255),""),"")</f>
        <v/>
      </c>
      <c r="DV255" s="67">
        <f>IFERROR(IF(($DJ255-$DD255-$DG255)&gt;0,($DA255)/($DJ255-$DD255-$DG255),""),"")</f>
        <v/>
      </c>
      <c r="DW255" s="67">
        <f>IFERROR(IF(($DK255-$DE255-$DH255)&gt;0,($DB255)/($DK255-$DE255-$DH255),""),"")</f>
        <v/>
      </c>
      <c r="DX255" s="67">
        <f>IFERROR(IF(($DL255-$DF255-$DI255)&gt;0,($DC255)/($DL255-$DF255-$DI255),""),"")</f>
        <v/>
      </c>
      <c r="DY255" s="55">
        <f>SUMIFS(tblPlant[Cyanide_kg],tblPlant[Date],$A255)</f>
        <v/>
      </c>
      <c r="DZ255" s="55">
        <f>IF($B255=$B254,$DZ254,0)+$DY255</f>
        <v/>
      </c>
      <c r="EA255" s="55">
        <f>$EA254+$DY255</f>
        <v/>
      </c>
      <c r="EB255" s="55">
        <f>SUMIFS(tblPlant[Lime_kg],tblPlant[Date],$A255)</f>
        <v/>
      </c>
      <c r="EC255" s="55">
        <f>IF($B255=$B254,$EC254,0)+$EB255</f>
        <v/>
      </c>
      <c r="ED255" s="55">
        <f>$ED254+$EB255</f>
        <v/>
      </c>
      <c r="EE255" s="55">
        <f>SUMIFS(tblPlant[Grinding_Media_kg],tblPlant[Date],$A255)</f>
        <v/>
      </c>
      <c r="EF255" s="55">
        <f>IF($B255=$B254,$EF254,0)+$EE255</f>
        <v/>
      </c>
      <c r="EG255" s="55">
        <f>$EG254+$EE255</f>
        <v/>
      </c>
      <c r="EH255" s="55">
        <f>SUMIFS(tblPlant[Power_kWh],tblPlant[Date],$A255)</f>
        <v/>
      </c>
      <c r="EI255" s="55">
        <f>IF($B255=$B254,$EI254,0)+$EH255</f>
        <v/>
      </c>
      <c r="EJ255" s="55">
        <f>$EJ254+$EH255</f>
        <v/>
      </c>
      <c r="EK255" s="55">
        <f>SUMIFS(tblPlant[Raw_Water_m3],tblPlant[Date],$A255)</f>
        <v/>
      </c>
      <c r="EL255" s="55">
        <f>IF($B255=$B254,$EL254,0)+$EK255</f>
        <v/>
      </c>
      <c r="EM255" s="55">
        <f>$EM254+$EK255</f>
        <v/>
      </c>
      <c r="EN255" s="56">
        <f>IFERROR(IF(($BZ255)&gt;0,($DY255)/($BZ255),""),"")</f>
        <v/>
      </c>
      <c r="EO255" s="56">
        <f>IFERROR(IF(($CA255)&gt;0,($DZ255)/($CA255),""),"")</f>
        <v/>
      </c>
      <c r="EP255" s="56">
        <f>IFERROR(IF(($CB255)&gt;0,($EA255)/($CB255),""),"")</f>
        <v/>
      </c>
      <c r="EQ255" s="56">
        <f>IFERROR(IF(($BZ255)&gt;0,($EB255)/($BZ255),""),"")</f>
        <v/>
      </c>
      <c r="ER255" s="56">
        <f>IFERROR(IF(($CA255)&gt;0,($EC255)/($CA255),""),"")</f>
        <v/>
      </c>
      <c r="ES255" s="56">
        <f>IFERROR(IF(($CB255)&gt;0,($ED255)/($CB255),""),"")</f>
        <v/>
      </c>
      <c r="ET255" s="56">
        <f>IFERROR(IF(($BZ255)&gt;0,($EE255)/($BZ255),""),"")</f>
        <v/>
      </c>
      <c r="EU255" s="56">
        <f>IFERROR(IF(($CA255)&gt;0,($EF255)/($CA255),""),"")</f>
        <v/>
      </c>
      <c r="EV255" s="56">
        <f>IFERROR(IF(($CB255)&gt;0,($EG255)/($CB255),""),"")</f>
        <v/>
      </c>
      <c r="EW255" s="76">
        <f>IFERROR(IF(($BZ255)&gt;0,($EH255)/($BZ255),""),"")</f>
        <v/>
      </c>
      <c r="EX255" s="76">
        <f>IFERROR(IF(($CA255)&gt;0,($EI255)/($CA255),""),"")</f>
        <v/>
      </c>
      <c r="EY255" s="76">
        <f>IFERROR(IF(($CB255)&gt;0,($EJ255)/($CB255),""),"")</f>
        <v/>
      </c>
      <c r="EZ255" s="56">
        <f>IFERROR(IF(($BZ255)&gt;0,($EK255)/($BZ255),""),"")</f>
        <v/>
      </c>
      <c r="FA255" s="56">
        <f>IFERROR(IF(($CA255)&gt;0,($EL255)/($CA255),""),"")</f>
        <v/>
      </c>
      <c r="FB255" s="56">
        <f>IFERROR(IF(($CB255)&gt;0,($EM255)/($CB255),""),"")</f>
        <v/>
      </c>
      <c r="FC255" s="55">
        <f>IF(SUMIFS(tblPlant[GIC_oz],tblPlant[Date],$A255)&gt;0,SUMIFS(tblPlant[GIC_oz],tblPlant[Date],$A255),"")</f>
        <v/>
      </c>
      <c r="FD255" s="55">
        <f>SUMIFS(tblGold[Gold_oz],tblGold[Date],$A255,tblGold[Type],"Shipment")</f>
        <v/>
      </c>
      <c r="FE255" s="55">
        <f>IF($B255=$B254,$FE254,0)+$FD255</f>
        <v/>
      </c>
      <c r="FF255" s="55">
        <f>$FF254+$FD255</f>
        <v/>
      </c>
      <c r="FG255" s="55">
        <f>SUMIFS(tblGold[Gold_oz],tblGold[Date],$A255,tblGold[Type],"Sale")</f>
        <v/>
      </c>
      <c r="FH255" s="55">
        <f>IF($B255=$B254,$FH254,0)+$FG255</f>
        <v/>
      </c>
      <c r="FI255" s="55">
        <f>$FI254+$FG255</f>
        <v/>
      </c>
      <c r="FJ255" s="55">
        <f>SUMIFS(tblGold[Dore_kg],tblGold[Date],$A255,tblGold[Type],"Shipment")</f>
        <v/>
      </c>
      <c r="FK255" s="55">
        <f>IF($B255=$B254,$FK254,0)+$FJ255</f>
        <v/>
      </c>
      <c r="FL255" s="55">
        <f>$FL254+$FJ255</f>
        <v/>
      </c>
      <c r="FM255" s="57">
        <f>SUMIFS(tblSafety[Hours_Total],tblSafety[Date],$A255)</f>
        <v/>
      </c>
      <c r="FN255" s="57">
        <f>IF($B255=$B254,$FN254,0)+$FM255</f>
        <v/>
      </c>
      <c r="FO255" s="57">
        <f>$FO254+$FM255</f>
        <v/>
      </c>
      <c r="FP255" s="62">
        <f>SUMIFS(tblSafety[Fatality],tblSafety[Date],$A255)</f>
        <v/>
      </c>
      <c r="FQ255" s="62">
        <f>IF($B255=$B254,$FQ254,0)+$FP255</f>
        <v/>
      </c>
      <c r="FR255" s="62">
        <f>$FR254+$FP255</f>
        <v/>
      </c>
      <c r="FS255" s="62">
        <f>SUMIFS(tblSafety[LTI],tblSafety[Date],$A255)</f>
        <v/>
      </c>
      <c r="FT255" s="62">
        <f>IF($B255=$B254,$FT254,0)+$FS255</f>
        <v/>
      </c>
      <c r="FU255" s="62">
        <f>$FU254+$FS255</f>
        <v/>
      </c>
      <c r="FV255" s="62">
        <f>SUMIFS(tblSafety[RWI],tblSafety[Date],$A255)</f>
        <v/>
      </c>
      <c r="FW255" s="62">
        <f>IF($B255=$B254,$FW254,0)+$FV255</f>
        <v/>
      </c>
      <c r="FX255" s="62">
        <f>$FX254+$FV255</f>
        <v/>
      </c>
      <c r="FY255" s="62">
        <f>SUMIFS(tblSafety[MTI],tblSafety[Date],$A255)</f>
        <v/>
      </c>
      <c r="FZ255" s="62">
        <f>IF($B255=$B254,$FZ254,0)+$FY255</f>
        <v/>
      </c>
      <c r="GA255" s="62">
        <f>$GA254+$FY255</f>
        <v/>
      </c>
      <c r="GB255" s="62">
        <f>SUMIFS(tblSafety[FAI],tblSafety[Date],$A255)</f>
        <v/>
      </c>
      <c r="GC255" s="62">
        <f>IF($B255=$B254,$GC254,0)+$GB255</f>
        <v/>
      </c>
      <c r="GD255" s="62">
        <f>$GD254+$GB255</f>
        <v/>
      </c>
      <c r="GE255" s="62">
        <f>SUMIFS(tblSafety[Recordables],tblSafety[Date],$A255)</f>
        <v/>
      </c>
      <c r="GF255" s="62">
        <f>IF($B255=$B254,$GF254,0)+$GE255</f>
        <v/>
      </c>
      <c r="GG255" s="62">
        <f>$GG254+$GE255</f>
        <v/>
      </c>
      <c r="GH255" s="62">
        <f>SUMIFS(tblSafety[Near_Miss],tblSafety[Date],$A255)</f>
        <v/>
      </c>
      <c r="GI255" s="62">
        <f>IF($B255=$B254,$GI254,0)+$GH255</f>
        <v/>
      </c>
      <c r="GJ255" s="62">
        <f>$GJ254+$GH255</f>
        <v/>
      </c>
      <c r="GK255" s="62">
        <f>SUMIFS(tblSafety[Hazard_Reports],tblSafety[Date],$A255)</f>
        <v/>
      </c>
      <c r="GL255" s="62">
        <f>IF($B255=$B254,$GL254,0)+$GK255</f>
        <v/>
      </c>
      <c r="GM255" s="62">
        <f>$GM254+$GK255</f>
        <v/>
      </c>
      <c r="GN255" s="62">
        <f>SUMIFS(tblSafety[HPI],tblSafety[Date],$A255)</f>
        <v/>
      </c>
      <c r="GO255" s="62">
        <f>IF($B255=$B254,$GO254,0)+$GN255</f>
        <v/>
      </c>
      <c r="GP255" s="62">
        <f>$GP254+$GN255</f>
        <v/>
      </c>
      <c r="GQ255" s="62">
        <f>SUMIFS(tblSafety[Env_Incidents],tblSafety[Date],$A255)</f>
        <v/>
      </c>
      <c r="GR255" s="62">
        <f>IF($B255=$B254,$GR254,0)+$GQ255</f>
        <v/>
      </c>
      <c r="GS255" s="62">
        <f>$GS254+$GQ255</f>
        <v/>
      </c>
      <c r="GT255" s="62">
        <f>SUMIFS(tblSafety[Community_Incidents],tblSafety[Date],$A255)</f>
        <v/>
      </c>
      <c r="GU255" s="62">
        <f>IF($B255=$B254,$GU254,0)+$GT255</f>
        <v/>
      </c>
      <c r="GV255" s="62">
        <f>$GV254+$GT255</f>
        <v/>
      </c>
      <c r="GW255" s="62">
        <f>SUMIFS(tblSafety[Vehicle_Incidents],tblSafety[Date],$A255)</f>
        <v/>
      </c>
      <c r="GX255" s="62">
        <f>IF($B255=$B254,$GX254,0)+$GW255</f>
        <v/>
      </c>
      <c r="GY255" s="62">
        <f>$GY254+$GW255</f>
        <v/>
      </c>
      <c r="GZ255" s="62">
        <f>SUMIFS(tblSafety[Toolbox_Talks],tblSafety[Date],$A255)</f>
        <v/>
      </c>
      <c r="HA255" s="62">
        <f>IF($B255=$B254,$HA254,0)+$GZ255</f>
        <v/>
      </c>
      <c r="HB255" s="62">
        <f>$HB254+$GZ255</f>
        <v/>
      </c>
      <c r="HC255" s="62">
        <f>SUMIFS(tblSafety[Inspections],tblSafety[Date],$A255)</f>
        <v/>
      </c>
      <c r="HD255" s="62">
        <f>IF($B255=$B254,$HD254,0)+$HC255</f>
        <v/>
      </c>
      <c r="HE255" s="62">
        <f>$HE254+$HC255</f>
        <v/>
      </c>
      <c r="HF255" s="56">
        <f>IFERROR((SUMIFS(tblSafety[Recordables],tblSafety[Date],"&gt;="&amp;EDATE($E255,-12),tblSafety[Date],"&lt;="&amp;$A255)+SUMIFS(tblSafetyHistory[Recordables],tblSafetyHistory[Month],"&gt;="&amp;EDATE($E255,-12),tblSafetyHistory[Month],"&lt;"&amp;cfg_YearStart))/(SUMIFS(tblSafety[Hours_Total],tblSafety[Date],"&gt;="&amp;EDATE($E255,-12),tblSafety[Date],"&lt;="&amp;$A255)+SUMIFS(tblSafetyHistory[Hours_Total],tblSafetyHistory[Month],"&gt;="&amp;EDATE($E255,-12),tblSafetyHistory[Month],"&lt;"&amp;cfg_YearStart))*1000000,"")</f>
        <v/>
      </c>
      <c r="HG255" s="56">
        <f>IFERROR((SUMIFS(tblSafety[LTI],tblSafety[Date],"&gt;="&amp;EDATE($E255,-12),tblSafety[Date],"&lt;="&amp;$A255)+SUMIFS(tblSafetyHistory[LTI],tblSafetyHistory[Month],"&gt;="&amp;EDATE($E255,-12),tblSafetyHistory[Month],"&lt;"&amp;cfg_YearStart))/(SUMIFS(tblSafety[Hours_Total],tblSafety[Date],"&gt;="&amp;EDATE($E255,-12),tblSafety[Date],"&lt;="&amp;$A255)+SUMIFS(tblSafetyHistory[Hours_Total],tblSafetyHistory[Month],"&gt;="&amp;EDATE($E255,-12),tblSafetyHistory[Month],"&lt;"&amp;cfg_YearStart))*1000000,"")</f>
        <v/>
      </c>
      <c r="HH255" s="62">
        <f>IF(MAX(N(cfg_PriorLTIDate),_xlfn.MAXIFS(tblSafety[Date],tblSafety[LTI],"&gt;0",tblSafety[Date],"&lt;="&amp;$A255))=0,"",$A255-MAX(N(cfg_PriorLTIDate),_xlfn.MAXIFS(tblSafety[Date],tblSafety[LTI],"&gt;0",tblSafety[Date],"&lt;="&amp;$A255)))</f>
        <v/>
      </c>
      <c r="HI255" s="55">
        <f>SUMIFS(tblBudget[Ore_Mined_t],tblBudget[Month],$E255)</f>
        <v/>
      </c>
      <c r="HJ255" s="55">
        <f>$HI255*$C255/$D255</f>
        <v/>
      </c>
      <c r="HK255" s="55">
        <f>SUMIFS(tblBudget[Ore_Mined_t],tblBudget[Month],"&lt;"&amp;$E255)+$HJ255</f>
        <v/>
      </c>
      <c r="HL255" s="55">
        <f>SUMIFS(tblBudget[Ore_oz],tblBudget[Month],$E255)</f>
        <v/>
      </c>
      <c r="HM255" s="55">
        <f>$HL255*$C255/$D255</f>
        <v/>
      </c>
      <c r="HN255" s="55">
        <f>SUMIFS(tblBudget[Ore_oz],tblBudget[Month],"&lt;"&amp;$E255)+$HM255</f>
        <v/>
      </c>
      <c r="HO255" s="56">
        <f>IFERROR(IF(($HI255)&gt;0,($HL255*cfg_TroyOz)/($HI255),""),"")</f>
        <v/>
      </c>
      <c r="HP255" s="56">
        <f>IFERROR(IF(($HJ255)&gt;0,($HM255*cfg_TroyOz)/($HJ255),""),"")</f>
        <v/>
      </c>
      <c r="HQ255" s="56">
        <f>IFERROR(IF(($HK255)&gt;0,($HN255*cfg_TroyOz)/($HK255),""),"")</f>
        <v/>
      </c>
      <c r="HR255" s="55">
        <f>SUMIFS(tblBudget[Waste_t],tblBudget[Month],$E255)</f>
        <v/>
      </c>
      <c r="HS255" s="55">
        <f>$HR255*$C255/$D255</f>
        <v/>
      </c>
      <c r="HT255" s="55">
        <f>SUMIFS(tblBudget[Waste_t],tblBudget[Month],"&lt;"&amp;$E255)+$HS255</f>
        <v/>
      </c>
      <c r="HU255" s="55">
        <f>SUMIFS(tblBudget[TMM_t],tblBudget[Month],$E255)</f>
        <v/>
      </c>
      <c r="HV255" s="55">
        <f>$HU255*$C255/$D255</f>
        <v/>
      </c>
      <c r="HW255" s="55">
        <f>SUMIFS(tblBudget[TMM_t],tblBudget[Month],"&lt;"&amp;$E255)+$HV255</f>
        <v/>
      </c>
      <c r="HX255" s="56">
        <f>IFERROR(IF(($HI255)&gt;0,($HR255)/($HI255),""),"")</f>
        <v/>
      </c>
      <c r="HY255" s="56">
        <f>IFERROR(IF(($HJ255)&gt;0,($HS255)/($HJ255),""),"")</f>
        <v/>
      </c>
      <c r="HZ255" s="56">
        <f>IFERROR(IF(($HK255)&gt;0,($HT255)/($HK255),""),"")</f>
        <v/>
      </c>
      <c r="IA255" s="55">
        <f>SUMIFS(tblBudget[Drill_m],tblBudget[Month],$E255)</f>
        <v/>
      </c>
      <c r="IB255" s="55">
        <f>$IA255*$C255/$D255</f>
        <v/>
      </c>
      <c r="IC255" s="55">
        <f>SUMIFS(tblBudget[Drill_m],tblBudget[Month],"&lt;"&amp;$E255)+$IB255</f>
        <v/>
      </c>
      <c r="ID255" s="55">
        <f>SUMIFS(tblBudget[Diesel_L],tblBudget[Month],$E255)</f>
        <v/>
      </c>
      <c r="IE255" s="55">
        <f>$ID255*$C255/$D255</f>
        <v/>
      </c>
      <c r="IF255" s="55">
        <f>SUMIFS(tblBudget[Diesel_L],tblBudget[Month],"&lt;"&amp;$E255)+$IE255</f>
        <v/>
      </c>
      <c r="IG255" s="55">
        <f>SUMIFS(tblBudget[Milled_t],tblBudget[Month],$E255)</f>
        <v/>
      </c>
      <c r="IH255" s="55">
        <f>$IG255*$C255/$D255</f>
        <v/>
      </c>
      <c r="II255" s="55">
        <f>SUMIFS(tblBudget[Milled_t],tblBudget[Month],"&lt;"&amp;$E255)+$IH255</f>
        <v/>
      </c>
      <c r="IJ255" s="55">
        <f>SUMIFS(tblBudget[Feed_oz],tblBudget[Month],$E255)</f>
        <v/>
      </c>
      <c r="IK255" s="55">
        <f>$IJ255*$C255/$D255</f>
        <v/>
      </c>
      <c r="IL255" s="55">
        <f>SUMIFS(tblBudget[Feed_oz],tblBudget[Month],"&lt;"&amp;$E255)+$IK255</f>
        <v/>
      </c>
      <c r="IM255" s="55">
        <f>SUMIFS(tblBudget[Recovered_oz],tblBudget[Month],$E255)</f>
        <v/>
      </c>
      <c r="IN255" s="55">
        <f>$IM255*$C255/$D255</f>
        <v/>
      </c>
      <c r="IO255" s="55">
        <f>SUMIFS(tblBudget[Recovered_oz],tblBudget[Month],"&lt;"&amp;$E255)+$IN255</f>
        <v/>
      </c>
      <c r="IP255" s="56">
        <f>IFERROR(IF(($IG255)&gt;0,($IJ255*cfg_TroyOz)/($IG255),""),"")</f>
        <v/>
      </c>
      <c r="IQ255" s="56">
        <f>IFERROR(IF(($IH255)&gt;0,($IK255*cfg_TroyOz)/($IH255),""),"")</f>
        <v/>
      </c>
      <c r="IR255" s="56">
        <f>IFERROR(IF(($II255)&gt;0,($IL255*cfg_TroyOz)/($II255),""),"")</f>
        <v/>
      </c>
      <c r="IS255" s="67">
        <f>IFERROR(IF(($IJ255)&gt;0,($IM255)/($IJ255),""),"")</f>
        <v/>
      </c>
      <c r="IT255" s="67">
        <f>IFERROR(IF(($IK255)&gt;0,($IN255)/($IK255),""),"")</f>
        <v/>
      </c>
      <c r="IU255" s="67">
        <f>IFERROR(IF(($IL255)&gt;0,($IO255)/($IL255),""),"")</f>
        <v/>
      </c>
      <c r="IV255" s="55">
        <f>SUMIFS(tblBudget[Gold_Poured_oz],tblBudget[Month],$E255)</f>
        <v/>
      </c>
      <c r="IW255" s="55">
        <f>$IV255*$C255/$D255</f>
        <v/>
      </c>
      <c r="IX255" s="55">
        <f>SUMIFS(tblBudget[Gold_Poured_oz],tblBudget[Month],"&lt;"&amp;$E255)+$IW255</f>
        <v/>
      </c>
      <c r="IY255" s="57">
        <f>SUMIFS(tblBudget[Hours_Worked],tblBudget[Month],$E255)</f>
        <v/>
      </c>
      <c r="IZ255" s="57">
        <f>$IY255*$C255/$D255</f>
        <v/>
      </c>
      <c r="JA255" s="57">
        <f>SUMIFS(tblBudget[Hours_Worked],tblBudget[Month],"&lt;"&amp;$E255)+$IZ255</f>
        <v/>
      </c>
    </row>
    <row r="256">
      <c r="A256" s="54" t="n">
        <v>46277</v>
      </c>
      <c r="B256">
        <f>MONTH($A256)</f>
        <v/>
      </c>
      <c r="C256">
        <f>DAY($A256)</f>
        <v/>
      </c>
      <c r="D256">
        <f>DAY(EOMONTH($A256,0))</f>
        <v/>
      </c>
      <c r="E256" s="54">
        <f>DATE(YEAR($A256),MONTH($A256),1)</f>
        <v/>
      </c>
      <c r="F256" s="55">
        <f>SUMIFS(tblMovement[Tonnes_t],tblMovement[Date],$A256,tblMovement[Is_Ore],1,tblMovement[Source_Type],"Pit")</f>
        <v/>
      </c>
      <c r="G256" s="55">
        <f>IF($B256=$B255,$G255,0)+$F256</f>
        <v/>
      </c>
      <c r="H256" s="55">
        <f>$H255+$F256</f>
        <v/>
      </c>
      <c r="I256" s="55">
        <f>SUMIFS(tblMovement[Ore_oz],tblMovement[Date],$A256,tblMovement[Source_Type],"Pit")</f>
        <v/>
      </c>
      <c r="J256" s="55">
        <f>IF($B256=$B255,$J255,0)+$I256</f>
        <v/>
      </c>
      <c r="K256" s="55">
        <f>$K255+$I256</f>
        <v/>
      </c>
      <c r="L256" s="56">
        <f>IFERROR(IF(($F256)&gt;0,($I256*cfg_TroyOz)/($F256),""),"")</f>
        <v/>
      </c>
      <c r="M256" s="56">
        <f>IFERROR(IF(($G256)&gt;0,($J256*cfg_TroyOz)/($G256),""),"")</f>
        <v/>
      </c>
      <c r="N256" s="56">
        <f>IFERROR(IF(($H256)&gt;0,($K256*cfg_TroyOz)/($H256),""),"")</f>
        <v/>
      </c>
      <c r="O256" s="55">
        <f>SUMIFS(tblMovement[Tonnes_t],tblMovement[Date],$A256,tblMovement[Is_Ore],0,tblMovement[Source_Type],"Pit")</f>
        <v/>
      </c>
      <c r="P256" s="55">
        <f>IF($B256=$B255,$P255,0)+$O256</f>
        <v/>
      </c>
      <c r="Q256" s="55">
        <f>$Q255+$O256</f>
        <v/>
      </c>
      <c r="R256" s="55">
        <f>$F256+$O256</f>
        <v/>
      </c>
      <c r="S256" s="55">
        <f>IF($B256=$B255,$S255,0)+$R256</f>
        <v/>
      </c>
      <c r="T256" s="55">
        <f>$T255+$R256</f>
        <v/>
      </c>
      <c r="U256" s="56">
        <f>IFERROR(IF(($F256)&gt;0,($O256)/($F256),""),"")</f>
        <v/>
      </c>
      <c r="V256" s="56">
        <f>IFERROR(IF(($G256)&gt;0,($P256)/($G256),""),"")</f>
        <v/>
      </c>
      <c r="W256" s="56">
        <f>IFERROR(IF(($H256)&gt;0,($Q256)/($H256),""),"")</f>
        <v/>
      </c>
      <c r="X256" s="55">
        <f>SUMIFS(tblMovement[Tonnes_t],tblMovement[Date],$A256,tblMovement[Source_Type],"Stockpile")</f>
        <v/>
      </c>
      <c r="Y256" s="55">
        <f>IF($B256=$B255,$Y255,0)+$X256</f>
        <v/>
      </c>
      <c r="Z256" s="55">
        <f>$Z255+$X256</f>
        <v/>
      </c>
      <c r="AA256" s="55">
        <f>SUMIFS(tblMiningDaily[Drill_m],tblMiningDaily[Date],$A256)</f>
        <v/>
      </c>
      <c r="AB256" s="55">
        <f>IF($B256=$B255,$AB255,0)+$AA256</f>
        <v/>
      </c>
      <c r="AC256" s="55">
        <f>$AC255+$AA256</f>
        <v/>
      </c>
      <c r="AD256" s="55">
        <f>SUMIFS(tblMiningDaily[Blast_t],tblMiningDaily[Date],$A256)</f>
        <v/>
      </c>
      <c r="AE256" s="55">
        <f>IF($B256=$B255,$AE255,0)+$AD256</f>
        <v/>
      </c>
      <c r="AF256" s="55">
        <f>$AF255+$AD256</f>
        <v/>
      </c>
      <c r="AG256" s="55">
        <f>SUMIFS(tblMiningDaily[Explosives_kg],tblMiningDaily[Date],$A256)</f>
        <v/>
      </c>
      <c r="AH256" s="55">
        <f>IF($B256=$B255,$AH255,0)+$AG256</f>
        <v/>
      </c>
      <c r="AI256" s="55">
        <f>$AI255+$AG256</f>
        <v/>
      </c>
      <c r="AJ256" s="56">
        <f>IFERROR(IF(($AD256)&gt;0,($AG256)/($AD256),""),"")</f>
        <v/>
      </c>
      <c r="AK256" s="56">
        <f>IFERROR(IF(($AE256)&gt;0,($AH256)/($AE256),""),"")</f>
        <v/>
      </c>
      <c r="AL256" s="56">
        <f>IFERROR(IF(($AF256)&gt;0,($AI256)/($AF256),""),"")</f>
        <v/>
      </c>
      <c r="AM256" s="55">
        <f>SUMIFS(tblMiningDaily[Diesel_L],tblMiningDaily[Date],$A256)</f>
        <v/>
      </c>
      <c r="AN256" s="55">
        <f>IF($B256=$B255,$AN255,0)+$AM256</f>
        <v/>
      </c>
      <c r="AO256" s="55">
        <f>$AO255+$AM256</f>
        <v/>
      </c>
      <c r="AP256" s="55">
        <f>SUMIFS(tblMiningDaily[Dewatering_m3],tblMiningDaily[Date],$A256)</f>
        <v/>
      </c>
      <c r="AQ256" s="55">
        <f>IF($B256=$B255,$AQ255,0)+$AP256</f>
        <v/>
      </c>
      <c r="AR256" s="55">
        <f>$AR255+$AP256</f>
        <v/>
      </c>
      <c r="AS256" s="57">
        <f>SUMIFS(tblFleet[Calendar_h],tblFleet[Date],$A256,tblFleet[Equipment_Class],"Excavator")</f>
        <v/>
      </c>
      <c r="AT256" s="57">
        <f>IF($B256=$B255,$AT255,0)+$AS256</f>
        <v/>
      </c>
      <c r="AU256" s="57">
        <f>$AU255+$AS256</f>
        <v/>
      </c>
      <c r="AV256" s="57">
        <f>SUMIFS(tblFleet[Available_h],tblFleet[Date],$A256,tblFleet[Equipment_Class],"Excavator")</f>
        <v/>
      </c>
      <c r="AW256" s="57">
        <f>IF($B256=$B255,$AW255,0)+$AV256</f>
        <v/>
      </c>
      <c r="AX256" s="57">
        <f>$AX255+$AV256</f>
        <v/>
      </c>
      <c r="AY256" s="57">
        <f>SUMIFS(tblFleet[Operating_h],tblFleet[Date],$A256,tblFleet[Equipment_Class],"Excavator")</f>
        <v/>
      </c>
      <c r="AZ256" s="57">
        <f>IF($B256=$B255,$AZ255,0)+$AY256</f>
        <v/>
      </c>
      <c r="BA256" s="57">
        <f>$BA255+$AY256</f>
        <v/>
      </c>
      <c r="BB256" s="67">
        <f>IFERROR(IF(($AS256)&gt;0,($AV256)/($AS256),""),"")</f>
        <v/>
      </c>
      <c r="BC256" s="67">
        <f>IFERROR(IF(($AT256)&gt;0,($AW256)/($AT256),""),"")</f>
        <v/>
      </c>
      <c r="BD256" s="67">
        <f>IFERROR(IF(($AU256)&gt;0,($AX256)/($AU256),""),"")</f>
        <v/>
      </c>
      <c r="BE256" s="67">
        <f>IFERROR(IF(($AV256)&gt;0,($AY256)/($AV256),""),"")</f>
        <v/>
      </c>
      <c r="BF256" s="67">
        <f>IFERROR(IF(($AW256)&gt;0,($AZ256)/($AW256),""),"")</f>
        <v/>
      </c>
      <c r="BG256" s="67">
        <f>IFERROR(IF(($AX256)&gt;0,($BA256)/($AX256),""),"")</f>
        <v/>
      </c>
      <c r="BH256" s="57">
        <f>SUMIFS(tblFleet[Calendar_h],tblFleet[Date],$A256,tblFleet[Equipment_Class],"Haul Truck")</f>
        <v/>
      </c>
      <c r="BI256" s="57">
        <f>IF($B256=$B255,$BI255,0)+$BH256</f>
        <v/>
      </c>
      <c r="BJ256" s="57">
        <f>$BJ255+$BH256</f>
        <v/>
      </c>
      <c r="BK256" s="57">
        <f>SUMIFS(tblFleet[Available_h],tblFleet[Date],$A256,tblFleet[Equipment_Class],"Haul Truck")</f>
        <v/>
      </c>
      <c r="BL256" s="57">
        <f>IF($B256=$B255,$BL255,0)+$BK256</f>
        <v/>
      </c>
      <c r="BM256" s="57">
        <f>$BM255+$BK256</f>
        <v/>
      </c>
      <c r="BN256" s="57">
        <f>SUMIFS(tblFleet[Operating_h],tblFleet[Date],$A256,tblFleet[Equipment_Class],"Haul Truck")</f>
        <v/>
      </c>
      <c r="BO256" s="57">
        <f>IF($B256=$B255,$BO255,0)+$BN256</f>
        <v/>
      </c>
      <c r="BP256" s="57">
        <f>$BP255+$BN256</f>
        <v/>
      </c>
      <c r="BQ256" s="67">
        <f>IFERROR(IF(($BH256)&gt;0,($BK256)/($BH256),""),"")</f>
        <v/>
      </c>
      <c r="BR256" s="67">
        <f>IFERROR(IF(($BI256)&gt;0,($BL256)/($BI256),""),"")</f>
        <v/>
      </c>
      <c r="BS256" s="67">
        <f>IFERROR(IF(($BJ256)&gt;0,($BM256)/($BJ256),""),"")</f>
        <v/>
      </c>
      <c r="BT256" s="67">
        <f>IFERROR(IF(($BK256)&gt;0,($BN256)/($BK256),""),"")</f>
        <v/>
      </c>
      <c r="BU256" s="67">
        <f>IFERROR(IF(($BL256)&gt;0,($BO256)/($BL256),""),"")</f>
        <v/>
      </c>
      <c r="BV256" s="67">
        <f>IFERROR(IF(($BM256)&gt;0,($BP256)/($BM256),""),"")</f>
        <v/>
      </c>
      <c r="BW256" s="55">
        <f>SUMIFS(tblPlant[Crushed_t],tblPlant[Date],$A256)</f>
        <v/>
      </c>
      <c r="BX256" s="55">
        <f>IF($B256=$B255,$BX255,0)+$BW256</f>
        <v/>
      </c>
      <c r="BY256" s="55">
        <f>$BY255+$BW256</f>
        <v/>
      </c>
      <c r="BZ256" s="55">
        <f>SUMIFS(tblPlant[Milled_t],tblPlant[Date],$A256)</f>
        <v/>
      </c>
      <c r="CA256" s="55">
        <f>IF($B256=$B255,$CA255,0)+$BZ256</f>
        <v/>
      </c>
      <c r="CB256" s="55">
        <f>$CB255+$BZ256</f>
        <v/>
      </c>
      <c r="CC256" s="55">
        <f>SUMIFS(tblPlant[Feed_oz],tblPlant[Date],$A256)</f>
        <v/>
      </c>
      <c r="CD256" s="55">
        <f>IF($B256=$B255,$CD255,0)+$CC256</f>
        <v/>
      </c>
      <c r="CE256" s="55">
        <f>$CE255+$CC256</f>
        <v/>
      </c>
      <c r="CF256" s="55">
        <f>SUMIFS(tblPlant[Tails_oz],tblPlant[Date],$A256)</f>
        <v/>
      </c>
      <c r="CG256" s="55">
        <f>IF($B256=$B255,$CG255,0)+$CF256</f>
        <v/>
      </c>
      <c r="CH256" s="55">
        <f>$CH255+$CF256</f>
        <v/>
      </c>
      <c r="CI256" s="55">
        <f>SUMIFS(tblPlant[Recovered_oz],tblPlant[Date],$A256)</f>
        <v/>
      </c>
      <c r="CJ256" s="55">
        <f>IF($B256=$B255,$CJ255,0)+$CI256</f>
        <v/>
      </c>
      <c r="CK256" s="55">
        <f>$CK255+$CI256</f>
        <v/>
      </c>
      <c r="CL256" s="56">
        <f>IFERROR(IF(($BZ256)&gt;0,($CC256*cfg_TroyOz)/($BZ256),""),"")</f>
        <v/>
      </c>
      <c r="CM256" s="56">
        <f>IFERROR(IF(($CA256)&gt;0,($CD256*cfg_TroyOz)/($CA256),""),"")</f>
        <v/>
      </c>
      <c r="CN256" s="56">
        <f>IFERROR(IF(($CB256)&gt;0,($CE256*cfg_TroyOz)/($CB256),""),"")</f>
        <v/>
      </c>
      <c r="CO256" s="56">
        <f>IFERROR(IF(($BZ256)&gt;0,($CF256*cfg_TroyOz)/($BZ256),""),"")</f>
        <v/>
      </c>
      <c r="CP256" s="56">
        <f>IFERROR(IF(($CA256)&gt;0,($CG256*cfg_TroyOz)/($CA256),""),"")</f>
        <v/>
      </c>
      <c r="CQ256" s="56">
        <f>IFERROR(IF(($CB256)&gt;0,($CH256*cfg_TroyOz)/($CB256),""),"")</f>
        <v/>
      </c>
      <c r="CR256" s="67">
        <f>IFERROR(IF(($CC256)&gt;0,($CI256)/($CC256),""),"")</f>
        <v/>
      </c>
      <c r="CS256" s="67">
        <f>IFERROR(IF(($CD256)&gt;0,($CJ256)/($CD256),""),"")</f>
        <v/>
      </c>
      <c r="CT256" s="67">
        <f>IFERROR(IF(($CE256)&gt;0,($CK256)/($CE256),""),"")</f>
        <v/>
      </c>
      <c r="CU256" s="55">
        <f>SUMIFS(tblPlant[Gravity_Gold_oz],tblPlant[Date],$A256)</f>
        <v/>
      </c>
      <c r="CV256" s="55">
        <f>IF($B256=$B255,$CV255,0)+$CU256</f>
        <v/>
      </c>
      <c r="CW256" s="55">
        <f>$CW255+$CU256</f>
        <v/>
      </c>
      <c r="CX256" s="55">
        <f>SUMIFS(tblPlant[Gold_Poured_oz],tblPlant[Date],$A256)</f>
        <v/>
      </c>
      <c r="CY256" s="55">
        <f>IF($B256=$B255,$CY255,0)+$CX256</f>
        <v/>
      </c>
      <c r="CZ256" s="55">
        <f>$CZ255+$CX256</f>
        <v/>
      </c>
      <c r="DA256" s="57">
        <f>SUMIFS(tblPlant[Mill_Run_h],tblPlant[Date],$A256)</f>
        <v/>
      </c>
      <c r="DB256" s="57">
        <f>IF($B256=$B255,$DB255,0)+$DA256</f>
        <v/>
      </c>
      <c r="DC256" s="57">
        <f>$DC255+$DA256</f>
        <v/>
      </c>
      <c r="DD256" s="57">
        <f>SUMIFS(tblPlant[Mill_Planned_Maint_h],tblPlant[Date],$A256)</f>
        <v/>
      </c>
      <c r="DE256" s="57">
        <f>IF($B256=$B255,$DE255,0)+$DD256</f>
        <v/>
      </c>
      <c r="DF256" s="57">
        <f>$DF255+$DD256</f>
        <v/>
      </c>
      <c r="DG256" s="57">
        <f>SUMIFS(tblPlant[Mill_Unplanned_Down_h],tblPlant[Date],$A256)</f>
        <v/>
      </c>
      <c r="DH256" s="57">
        <f>IF($B256=$B255,$DH255,0)+$DG256</f>
        <v/>
      </c>
      <c r="DI256" s="57">
        <f>$DI255+$DG256</f>
        <v/>
      </c>
      <c r="DJ256" s="57">
        <f>COUNTIFS(tblPlant[Date],$A256,tblPlant[Mill_Run_h],"&lt;&gt;")*24</f>
        <v/>
      </c>
      <c r="DK256" s="57">
        <f>IF($B256=$B255,$DK255,0)+$DJ256</f>
        <v/>
      </c>
      <c r="DL256" s="57">
        <f>$DL255+$DJ256</f>
        <v/>
      </c>
      <c r="DM256" s="57">
        <f>SUMIFS(tblPlant[Crusher_Run_h],tblPlant[Date],$A256)</f>
        <v/>
      </c>
      <c r="DN256" s="57">
        <f>IF($B256=$B255,$DN255,0)+$DM256</f>
        <v/>
      </c>
      <c r="DO256" s="57">
        <f>$DO255+$DM256</f>
        <v/>
      </c>
      <c r="DP256" s="55">
        <f>IFERROR(IF(($DA256)&gt;0,($BZ256)/($DA256),""),"")</f>
        <v/>
      </c>
      <c r="DQ256" s="55">
        <f>IFERROR(IF(($DB256)&gt;0,($CA256)/($DB256),""),"")</f>
        <v/>
      </c>
      <c r="DR256" s="55">
        <f>IFERROR(IF(($DC256)&gt;0,($CB256)/($DC256),""),"")</f>
        <v/>
      </c>
      <c r="DS256" s="67">
        <f>IFERROR(IF(($DJ256)&gt;0,($DJ256-$DD256-$DG256)/($DJ256),""),"")</f>
        <v/>
      </c>
      <c r="DT256" s="67">
        <f>IFERROR(IF(($DK256)&gt;0,($DK256-$DE256-$DH256)/($DK256),""),"")</f>
        <v/>
      </c>
      <c r="DU256" s="67">
        <f>IFERROR(IF(($DL256)&gt;0,($DL256-$DF256-$DI256)/($DL256),""),"")</f>
        <v/>
      </c>
      <c r="DV256" s="67">
        <f>IFERROR(IF(($DJ256-$DD256-$DG256)&gt;0,($DA256)/($DJ256-$DD256-$DG256),""),"")</f>
        <v/>
      </c>
      <c r="DW256" s="67">
        <f>IFERROR(IF(($DK256-$DE256-$DH256)&gt;0,($DB256)/($DK256-$DE256-$DH256),""),"")</f>
        <v/>
      </c>
      <c r="DX256" s="67">
        <f>IFERROR(IF(($DL256-$DF256-$DI256)&gt;0,($DC256)/($DL256-$DF256-$DI256),""),"")</f>
        <v/>
      </c>
      <c r="DY256" s="55">
        <f>SUMIFS(tblPlant[Cyanide_kg],tblPlant[Date],$A256)</f>
        <v/>
      </c>
      <c r="DZ256" s="55">
        <f>IF($B256=$B255,$DZ255,0)+$DY256</f>
        <v/>
      </c>
      <c r="EA256" s="55">
        <f>$EA255+$DY256</f>
        <v/>
      </c>
      <c r="EB256" s="55">
        <f>SUMIFS(tblPlant[Lime_kg],tblPlant[Date],$A256)</f>
        <v/>
      </c>
      <c r="EC256" s="55">
        <f>IF($B256=$B255,$EC255,0)+$EB256</f>
        <v/>
      </c>
      <c r="ED256" s="55">
        <f>$ED255+$EB256</f>
        <v/>
      </c>
      <c r="EE256" s="55">
        <f>SUMIFS(tblPlant[Grinding_Media_kg],tblPlant[Date],$A256)</f>
        <v/>
      </c>
      <c r="EF256" s="55">
        <f>IF($B256=$B255,$EF255,0)+$EE256</f>
        <v/>
      </c>
      <c r="EG256" s="55">
        <f>$EG255+$EE256</f>
        <v/>
      </c>
      <c r="EH256" s="55">
        <f>SUMIFS(tblPlant[Power_kWh],tblPlant[Date],$A256)</f>
        <v/>
      </c>
      <c r="EI256" s="55">
        <f>IF($B256=$B255,$EI255,0)+$EH256</f>
        <v/>
      </c>
      <c r="EJ256" s="55">
        <f>$EJ255+$EH256</f>
        <v/>
      </c>
      <c r="EK256" s="55">
        <f>SUMIFS(tblPlant[Raw_Water_m3],tblPlant[Date],$A256)</f>
        <v/>
      </c>
      <c r="EL256" s="55">
        <f>IF($B256=$B255,$EL255,0)+$EK256</f>
        <v/>
      </c>
      <c r="EM256" s="55">
        <f>$EM255+$EK256</f>
        <v/>
      </c>
      <c r="EN256" s="56">
        <f>IFERROR(IF(($BZ256)&gt;0,($DY256)/($BZ256),""),"")</f>
        <v/>
      </c>
      <c r="EO256" s="56">
        <f>IFERROR(IF(($CA256)&gt;0,($DZ256)/($CA256),""),"")</f>
        <v/>
      </c>
      <c r="EP256" s="56">
        <f>IFERROR(IF(($CB256)&gt;0,($EA256)/($CB256),""),"")</f>
        <v/>
      </c>
      <c r="EQ256" s="56">
        <f>IFERROR(IF(($BZ256)&gt;0,($EB256)/($BZ256),""),"")</f>
        <v/>
      </c>
      <c r="ER256" s="56">
        <f>IFERROR(IF(($CA256)&gt;0,($EC256)/($CA256),""),"")</f>
        <v/>
      </c>
      <c r="ES256" s="56">
        <f>IFERROR(IF(($CB256)&gt;0,($ED256)/($CB256),""),"")</f>
        <v/>
      </c>
      <c r="ET256" s="56">
        <f>IFERROR(IF(($BZ256)&gt;0,($EE256)/($BZ256),""),"")</f>
        <v/>
      </c>
      <c r="EU256" s="56">
        <f>IFERROR(IF(($CA256)&gt;0,($EF256)/($CA256),""),"")</f>
        <v/>
      </c>
      <c r="EV256" s="56">
        <f>IFERROR(IF(($CB256)&gt;0,($EG256)/($CB256),""),"")</f>
        <v/>
      </c>
      <c r="EW256" s="76">
        <f>IFERROR(IF(($BZ256)&gt;0,($EH256)/($BZ256),""),"")</f>
        <v/>
      </c>
      <c r="EX256" s="76">
        <f>IFERROR(IF(($CA256)&gt;0,($EI256)/($CA256),""),"")</f>
        <v/>
      </c>
      <c r="EY256" s="76">
        <f>IFERROR(IF(($CB256)&gt;0,($EJ256)/($CB256),""),"")</f>
        <v/>
      </c>
      <c r="EZ256" s="56">
        <f>IFERROR(IF(($BZ256)&gt;0,($EK256)/($BZ256),""),"")</f>
        <v/>
      </c>
      <c r="FA256" s="56">
        <f>IFERROR(IF(($CA256)&gt;0,($EL256)/($CA256),""),"")</f>
        <v/>
      </c>
      <c r="FB256" s="56">
        <f>IFERROR(IF(($CB256)&gt;0,($EM256)/($CB256),""),"")</f>
        <v/>
      </c>
      <c r="FC256" s="55">
        <f>IF(SUMIFS(tblPlant[GIC_oz],tblPlant[Date],$A256)&gt;0,SUMIFS(tblPlant[GIC_oz],tblPlant[Date],$A256),"")</f>
        <v/>
      </c>
      <c r="FD256" s="55">
        <f>SUMIFS(tblGold[Gold_oz],tblGold[Date],$A256,tblGold[Type],"Shipment")</f>
        <v/>
      </c>
      <c r="FE256" s="55">
        <f>IF($B256=$B255,$FE255,0)+$FD256</f>
        <v/>
      </c>
      <c r="FF256" s="55">
        <f>$FF255+$FD256</f>
        <v/>
      </c>
      <c r="FG256" s="55">
        <f>SUMIFS(tblGold[Gold_oz],tblGold[Date],$A256,tblGold[Type],"Sale")</f>
        <v/>
      </c>
      <c r="FH256" s="55">
        <f>IF($B256=$B255,$FH255,0)+$FG256</f>
        <v/>
      </c>
      <c r="FI256" s="55">
        <f>$FI255+$FG256</f>
        <v/>
      </c>
      <c r="FJ256" s="55">
        <f>SUMIFS(tblGold[Dore_kg],tblGold[Date],$A256,tblGold[Type],"Shipment")</f>
        <v/>
      </c>
      <c r="FK256" s="55">
        <f>IF($B256=$B255,$FK255,0)+$FJ256</f>
        <v/>
      </c>
      <c r="FL256" s="55">
        <f>$FL255+$FJ256</f>
        <v/>
      </c>
      <c r="FM256" s="57">
        <f>SUMIFS(tblSafety[Hours_Total],tblSafety[Date],$A256)</f>
        <v/>
      </c>
      <c r="FN256" s="57">
        <f>IF($B256=$B255,$FN255,0)+$FM256</f>
        <v/>
      </c>
      <c r="FO256" s="57">
        <f>$FO255+$FM256</f>
        <v/>
      </c>
      <c r="FP256" s="62">
        <f>SUMIFS(tblSafety[Fatality],tblSafety[Date],$A256)</f>
        <v/>
      </c>
      <c r="FQ256" s="62">
        <f>IF($B256=$B255,$FQ255,0)+$FP256</f>
        <v/>
      </c>
      <c r="FR256" s="62">
        <f>$FR255+$FP256</f>
        <v/>
      </c>
      <c r="FS256" s="62">
        <f>SUMIFS(tblSafety[LTI],tblSafety[Date],$A256)</f>
        <v/>
      </c>
      <c r="FT256" s="62">
        <f>IF($B256=$B255,$FT255,0)+$FS256</f>
        <v/>
      </c>
      <c r="FU256" s="62">
        <f>$FU255+$FS256</f>
        <v/>
      </c>
      <c r="FV256" s="62">
        <f>SUMIFS(tblSafety[RWI],tblSafety[Date],$A256)</f>
        <v/>
      </c>
      <c r="FW256" s="62">
        <f>IF($B256=$B255,$FW255,0)+$FV256</f>
        <v/>
      </c>
      <c r="FX256" s="62">
        <f>$FX255+$FV256</f>
        <v/>
      </c>
      <c r="FY256" s="62">
        <f>SUMIFS(tblSafety[MTI],tblSafety[Date],$A256)</f>
        <v/>
      </c>
      <c r="FZ256" s="62">
        <f>IF($B256=$B255,$FZ255,0)+$FY256</f>
        <v/>
      </c>
      <c r="GA256" s="62">
        <f>$GA255+$FY256</f>
        <v/>
      </c>
      <c r="GB256" s="62">
        <f>SUMIFS(tblSafety[FAI],tblSafety[Date],$A256)</f>
        <v/>
      </c>
      <c r="GC256" s="62">
        <f>IF($B256=$B255,$GC255,0)+$GB256</f>
        <v/>
      </c>
      <c r="GD256" s="62">
        <f>$GD255+$GB256</f>
        <v/>
      </c>
      <c r="GE256" s="62">
        <f>SUMIFS(tblSafety[Recordables],tblSafety[Date],$A256)</f>
        <v/>
      </c>
      <c r="GF256" s="62">
        <f>IF($B256=$B255,$GF255,0)+$GE256</f>
        <v/>
      </c>
      <c r="GG256" s="62">
        <f>$GG255+$GE256</f>
        <v/>
      </c>
      <c r="GH256" s="62">
        <f>SUMIFS(tblSafety[Near_Miss],tblSafety[Date],$A256)</f>
        <v/>
      </c>
      <c r="GI256" s="62">
        <f>IF($B256=$B255,$GI255,0)+$GH256</f>
        <v/>
      </c>
      <c r="GJ256" s="62">
        <f>$GJ255+$GH256</f>
        <v/>
      </c>
      <c r="GK256" s="62">
        <f>SUMIFS(tblSafety[Hazard_Reports],tblSafety[Date],$A256)</f>
        <v/>
      </c>
      <c r="GL256" s="62">
        <f>IF($B256=$B255,$GL255,0)+$GK256</f>
        <v/>
      </c>
      <c r="GM256" s="62">
        <f>$GM255+$GK256</f>
        <v/>
      </c>
      <c r="GN256" s="62">
        <f>SUMIFS(tblSafety[HPI],tblSafety[Date],$A256)</f>
        <v/>
      </c>
      <c r="GO256" s="62">
        <f>IF($B256=$B255,$GO255,0)+$GN256</f>
        <v/>
      </c>
      <c r="GP256" s="62">
        <f>$GP255+$GN256</f>
        <v/>
      </c>
      <c r="GQ256" s="62">
        <f>SUMIFS(tblSafety[Env_Incidents],tblSafety[Date],$A256)</f>
        <v/>
      </c>
      <c r="GR256" s="62">
        <f>IF($B256=$B255,$GR255,0)+$GQ256</f>
        <v/>
      </c>
      <c r="GS256" s="62">
        <f>$GS255+$GQ256</f>
        <v/>
      </c>
      <c r="GT256" s="62">
        <f>SUMIFS(tblSafety[Community_Incidents],tblSafety[Date],$A256)</f>
        <v/>
      </c>
      <c r="GU256" s="62">
        <f>IF($B256=$B255,$GU255,0)+$GT256</f>
        <v/>
      </c>
      <c r="GV256" s="62">
        <f>$GV255+$GT256</f>
        <v/>
      </c>
      <c r="GW256" s="62">
        <f>SUMIFS(tblSafety[Vehicle_Incidents],tblSafety[Date],$A256)</f>
        <v/>
      </c>
      <c r="GX256" s="62">
        <f>IF($B256=$B255,$GX255,0)+$GW256</f>
        <v/>
      </c>
      <c r="GY256" s="62">
        <f>$GY255+$GW256</f>
        <v/>
      </c>
      <c r="GZ256" s="62">
        <f>SUMIFS(tblSafety[Toolbox_Talks],tblSafety[Date],$A256)</f>
        <v/>
      </c>
      <c r="HA256" s="62">
        <f>IF($B256=$B255,$HA255,0)+$GZ256</f>
        <v/>
      </c>
      <c r="HB256" s="62">
        <f>$HB255+$GZ256</f>
        <v/>
      </c>
      <c r="HC256" s="62">
        <f>SUMIFS(tblSafety[Inspections],tblSafety[Date],$A256)</f>
        <v/>
      </c>
      <c r="HD256" s="62">
        <f>IF($B256=$B255,$HD255,0)+$HC256</f>
        <v/>
      </c>
      <c r="HE256" s="62">
        <f>$HE255+$HC256</f>
        <v/>
      </c>
      <c r="HF256" s="56">
        <f>IFERROR((SUMIFS(tblSafety[Recordables],tblSafety[Date],"&gt;="&amp;EDATE($E256,-12),tblSafety[Date],"&lt;="&amp;$A256)+SUMIFS(tblSafetyHistory[Recordables],tblSafetyHistory[Month],"&gt;="&amp;EDATE($E256,-12),tblSafetyHistory[Month],"&lt;"&amp;cfg_YearStart))/(SUMIFS(tblSafety[Hours_Total],tblSafety[Date],"&gt;="&amp;EDATE($E256,-12),tblSafety[Date],"&lt;="&amp;$A256)+SUMIFS(tblSafetyHistory[Hours_Total],tblSafetyHistory[Month],"&gt;="&amp;EDATE($E256,-12),tblSafetyHistory[Month],"&lt;"&amp;cfg_YearStart))*1000000,"")</f>
        <v/>
      </c>
      <c r="HG256" s="56">
        <f>IFERROR((SUMIFS(tblSafety[LTI],tblSafety[Date],"&gt;="&amp;EDATE($E256,-12),tblSafety[Date],"&lt;="&amp;$A256)+SUMIFS(tblSafetyHistory[LTI],tblSafetyHistory[Month],"&gt;="&amp;EDATE($E256,-12),tblSafetyHistory[Month],"&lt;"&amp;cfg_YearStart))/(SUMIFS(tblSafety[Hours_Total],tblSafety[Date],"&gt;="&amp;EDATE($E256,-12),tblSafety[Date],"&lt;="&amp;$A256)+SUMIFS(tblSafetyHistory[Hours_Total],tblSafetyHistory[Month],"&gt;="&amp;EDATE($E256,-12),tblSafetyHistory[Month],"&lt;"&amp;cfg_YearStart))*1000000,"")</f>
        <v/>
      </c>
      <c r="HH256" s="62">
        <f>IF(MAX(N(cfg_PriorLTIDate),_xlfn.MAXIFS(tblSafety[Date],tblSafety[LTI],"&gt;0",tblSafety[Date],"&lt;="&amp;$A256))=0,"",$A256-MAX(N(cfg_PriorLTIDate),_xlfn.MAXIFS(tblSafety[Date],tblSafety[LTI],"&gt;0",tblSafety[Date],"&lt;="&amp;$A256)))</f>
        <v/>
      </c>
      <c r="HI256" s="55">
        <f>SUMIFS(tblBudget[Ore_Mined_t],tblBudget[Month],$E256)</f>
        <v/>
      </c>
      <c r="HJ256" s="55">
        <f>$HI256*$C256/$D256</f>
        <v/>
      </c>
      <c r="HK256" s="55">
        <f>SUMIFS(tblBudget[Ore_Mined_t],tblBudget[Month],"&lt;"&amp;$E256)+$HJ256</f>
        <v/>
      </c>
      <c r="HL256" s="55">
        <f>SUMIFS(tblBudget[Ore_oz],tblBudget[Month],$E256)</f>
        <v/>
      </c>
      <c r="HM256" s="55">
        <f>$HL256*$C256/$D256</f>
        <v/>
      </c>
      <c r="HN256" s="55">
        <f>SUMIFS(tblBudget[Ore_oz],tblBudget[Month],"&lt;"&amp;$E256)+$HM256</f>
        <v/>
      </c>
      <c r="HO256" s="56">
        <f>IFERROR(IF(($HI256)&gt;0,($HL256*cfg_TroyOz)/($HI256),""),"")</f>
        <v/>
      </c>
      <c r="HP256" s="56">
        <f>IFERROR(IF(($HJ256)&gt;0,($HM256*cfg_TroyOz)/($HJ256),""),"")</f>
        <v/>
      </c>
      <c r="HQ256" s="56">
        <f>IFERROR(IF(($HK256)&gt;0,($HN256*cfg_TroyOz)/($HK256),""),"")</f>
        <v/>
      </c>
      <c r="HR256" s="55">
        <f>SUMIFS(tblBudget[Waste_t],tblBudget[Month],$E256)</f>
        <v/>
      </c>
      <c r="HS256" s="55">
        <f>$HR256*$C256/$D256</f>
        <v/>
      </c>
      <c r="HT256" s="55">
        <f>SUMIFS(tblBudget[Waste_t],tblBudget[Month],"&lt;"&amp;$E256)+$HS256</f>
        <v/>
      </c>
      <c r="HU256" s="55">
        <f>SUMIFS(tblBudget[TMM_t],tblBudget[Month],$E256)</f>
        <v/>
      </c>
      <c r="HV256" s="55">
        <f>$HU256*$C256/$D256</f>
        <v/>
      </c>
      <c r="HW256" s="55">
        <f>SUMIFS(tblBudget[TMM_t],tblBudget[Month],"&lt;"&amp;$E256)+$HV256</f>
        <v/>
      </c>
      <c r="HX256" s="56">
        <f>IFERROR(IF(($HI256)&gt;0,($HR256)/($HI256),""),"")</f>
        <v/>
      </c>
      <c r="HY256" s="56">
        <f>IFERROR(IF(($HJ256)&gt;0,($HS256)/($HJ256),""),"")</f>
        <v/>
      </c>
      <c r="HZ256" s="56">
        <f>IFERROR(IF(($HK256)&gt;0,($HT256)/($HK256),""),"")</f>
        <v/>
      </c>
      <c r="IA256" s="55">
        <f>SUMIFS(tblBudget[Drill_m],tblBudget[Month],$E256)</f>
        <v/>
      </c>
      <c r="IB256" s="55">
        <f>$IA256*$C256/$D256</f>
        <v/>
      </c>
      <c r="IC256" s="55">
        <f>SUMIFS(tblBudget[Drill_m],tblBudget[Month],"&lt;"&amp;$E256)+$IB256</f>
        <v/>
      </c>
      <c r="ID256" s="55">
        <f>SUMIFS(tblBudget[Diesel_L],tblBudget[Month],$E256)</f>
        <v/>
      </c>
      <c r="IE256" s="55">
        <f>$ID256*$C256/$D256</f>
        <v/>
      </c>
      <c r="IF256" s="55">
        <f>SUMIFS(tblBudget[Diesel_L],tblBudget[Month],"&lt;"&amp;$E256)+$IE256</f>
        <v/>
      </c>
      <c r="IG256" s="55">
        <f>SUMIFS(tblBudget[Milled_t],tblBudget[Month],$E256)</f>
        <v/>
      </c>
      <c r="IH256" s="55">
        <f>$IG256*$C256/$D256</f>
        <v/>
      </c>
      <c r="II256" s="55">
        <f>SUMIFS(tblBudget[Milled_t],tblBudget[Month],"&lt;"&amp;$E256)+$IH256</f>
        <v/>
      </c>
      <c r="IJ256" s="55">
        <f>SUMIFS(tblBudget[Feed_oz],tblBudget[Month],$E256)</f>
        <v/>
      </c>
      <c r="IK256" s="55">
        <f>$IJ256*$C256/$D256</f>
        <v/>
      </c>
      <c r="IL256" s="55">
        <f>SUMIFS(tblBudget[Feed_oz],tblBudget[Month],"&lt;"&amp;$E256)+$IK256</f>
        <v/>
      </c>
      <c r="IM256" s="55">
        <f>SUMIFS(tblBudget[Recovered_oz],tblBudget[Month],$E256)</f>
        <v/>
      </c>
      <c r="IN256" s="55">
        <f>$IM256*$C256/$D256</f>
        <v/>
      </c>
      <c r="IO256" s="55">
        <f>SUMIFS(tblBudget[Recovered_oz],tblBudget[Month],"&lt;"&amp;$E256)+$IN256</f>
        <v/>
      </c>
      <c r="IP256" s="56">
        <f>IFERROR(IF(($IG256)&gt;0,($IJ256*cfg_TroyOz)/($IG256),""),"")</f>
        <v/>
      </c>
      <c r="IQ256" s="56">
        <f>IFERROR(IF(($IH256)&gt;0,($IK256*cfg_TroyOz)/($IH256),""),"")</f>
        <v/>
      </c>
      <c r="IR256" s="56">
        <f>IFERROR(IF(($II256)&gt;0,($IL256*cfg_TroyOz)/($II256),""),"")</f>
        <v/>
      </c>
      <c r="IS256" s="67">
        <f>IFERROR(IF(($IJ256)&gt;0,($IM256)/($IJ256),""),"")</f>
        <v/>
      </c>
      <c r="IT256" s="67">
        <f>IFERROR(IF(($IK256)&gt;0,($IN256)/($IK256),""),"")</f>
        <v/>
      </c>
      <c r="IU256" s="67">
        <f>IFERROR(IF(($IL256)&gt;0,($IO256)/($IL256),""),"")</f>
        <v/>
      </c>
      <c r="IV256" s="55">
        <f>SUMIFS(tblBudget[Gold_Poured_oz],tblBudget[Month],$E256)</f>
        <v/>
      </c>
      <c r="IW256" s="55">
        <f>$IV256*$C256/$D256</f>
        <v/>
      </c>
      <c r="IX256" s="55">
        <f>SUMIFS(tblBudget[Gold_Poured_oz],tblBudget[Month],"&lt;"&amp;$E256)+$IW256</f>
        <v/>
      </c>
      <c r="IY256" s="57">
        <f>SUMIFS(tblBudget[Hours_Worked],tblBudget[Month],$E256)</f>
        <v/>
      </c>
      <c r="IZ256" s="57">
        <f>$IY256*$C256/$D256</f>
        <v/>
      </c>
      <c r="JA256" s="57">
        <f>SUMIFS(tblBudget[Hours_Worked],tblBudget[Month],"&lt;"&amp;$E256)+$IZ256</f>
        <v/>
      </c>
    </row>
    <row r="257">
      <c r="A257" s="54" t="n">
        <v>46278</v>
      </c>
      <c r="B257">
        <f>MONTH($A257)</f>
        <v/>
      </c>
      <c r="C257">
        <f>DAY($A257)</f>
        <v/>
      </c>
      <c r="D257">
        <f>DAY(EOMONTH($A257,0))</f>
        <v/>
      </c>
      <c r="E257" s="54">
        <f>DATE(YEAR($A257),MONTH($A257),1)</f>
        <v/>
      </c>
      <c r="F257" s="55">
        <f>SUMIFS(tblMovement[Tonnes_t],tblMovement[Date],$A257,tblMovement[Is_Ore],1,tblMovement[Source_Type],"Pit")</f>
        <v/>
      </c>
      <c r="G257" s="55">
        <f>IF($B257=$B256,$G256,0)+$F257</f>
        <v/>
      </c>
      <c r="H257" s="55">
        <f>$H256+$F257</f>
        <v/>
      </c>
      <c r="I257" s="55">
        <f>SUMIFS(tblMovement[Ore_oz],tblMovement[Date],$A257,tblMovement[Source_Type],"Pit")</f>
        <v/>
      </c>
      <c r="J257" s="55">
        <f>IF($B257=$B256,$J256,0)+$I257</f>
        <v/>
      </c>
      <c r="K257" s="55">
        <f>$K256+$I257</f>
        <v/>
      </c>
      <c r="L257" s="56">
        <f>IFERROR(IF(($F257)&gt;0,($I257*cfg_TroyOz)/($F257),""),"")</f>
        <v/>
      </c>
      <c r="M257" s="56">
        <f>IFERROR(IF(($G257)&gt;0,($J257*cfg_TroyOz)/($G257),""),"")</f>
        <v/>
      </c>
      <c r="N257" s="56">
        <f>IFERROR(IF(($H257)&gt;0,($K257*cfg_TroyOz)/($H257),""),"")</f>
        <v/>
      </c>
      <c r="O257" s="55">
        <f>SUMIFS(tblMovement[Tonnes_t],tblMovement[Date],$A257,tblMovement[Is_Ore],0,tblMovement[Source_Type],"Pit")</f>
        <v/>
      </c>
      <c r="P257" s="55">
        <f>IF($B257=$B256,$P256,0)+$O257</f>
        <v/>
      </c>
      <c r="Q257" s="55">
        <f>$Q256+$O257</f>
        <v/>
      </c>
      <c r="R257" s="55">
        <f>$F257+$O257</f>
        <v/>
      </c>
      <c r="S257" s="55">
        <f>IF($B257=$B256,$S256,0)+$R257</f>
        <v/>
      </c>
      <c r="T257" s="55">
        <f>$T256+$R257</f>
        <v/>
      </c>
      <c r="U257" s="56">
        <f>IFERROR(IF(($F257)&gt;0,($O257)/($F257),""),"")</f>
        <v/>
      </c>
      <c r="V257" s="56">
        <f>IFERROR(IF(($G257)&gt;0,($P257)/($G257),""),"")</f>
        <v/>
      </c>
      <c r="W257" s="56">
        <f>IFERROR(IF(($H257)&gt;0,($Q257)/($H257),""),"")</f>
        <v/>
      </c>
      <c r="X257" s="55">
        <f>SUMIFS(tblMovement[Tonnes_t],tblMovement[Date],$A257,tblMovement[Source_Type],"Stockpile")</f>
        <v/>
      </c>
      <c r="Y257" s="55">
        <f>IF($B257=$B256,$Y256,0)+$X257</f>
        <v/>
      </c>
      <c r="Z257" s="55">
        <f>$Z256+$X257</f>
        <v/>
      </c>
      <c r="AA257" s="55">
        <f>SUMIFS(tblMiningDaily[Drill_m],tblMiningDaily[Date],$A257)</f>
        <v/>
      </c>
      <c r="AB257" s="55">
        <f>IF($B257=$B256,$AB256,0)+$AA257</f>
        <v/>
      </c>
      <c r="AC257" s="55">
        <f>$AC256+$AA257</f>
        <v/>
      </c>
      <c r="AD257" s="55">
        <f>SUMIFS(tblMiningDaily[Blast_t],tblMiningDaily[Date],$A257)</f>
        <v/>
      </c>
      <c r="AE257" s="55">
        <f>IF($B257=$B256,$AE256,0)+$AD257</f>
        <v/>
      </c>
      <c r="AF257" s="55">
        <f>$AF256+$AD257</f>
        <v/>
      </c>
      <c r="AG257" s="55">
        <f>SUMIFS(tblMiningDaily[Explosives_kg],tblMiningDaily[Date],$A257)</f>
        <v/>
      </c>
      <c r="AH257" s="55">
        <f>IF($B257=$B256,$AH256,0)+$AG257</f>
        <v/>
      </c>
      <c r="AI257" s="55">
        <f>$AI256+$AG257</f>
        <v/>
      </c>
      <c r="AJ257" s="56">
        <f>IFERROR(IF(($AD257)&gt;0,($AG257)/($AD257),""),"")</f>
        <v/>
      </c>
      <c r="AK257" s="56">
        <f>IFERROR(IF(($AE257)&gt;0,($AH257)/($AE257),""),"")</f>
        <v/>
      </c>
      <c r="AL257" s="56">
        <f>IFERROR(IF(($AF257)&gt;0,($AI257)/($AF257),""),"")</f>
        <v/>
      </c>
      <c r="AM257" s="55">
        <f>SUMIFS(tblMiningDaily[Diesel_L],tblMiningDaily[Date],$A257)</f>
        <v/>
      </c>
      <c r="AN257" s="55">
        <f>IF($B257=$B256,$AN256,0)+$AM257</f>
        <v/>
      </c>
      <c r="AO257" s="55">
        <f>$AO256+$AM257</f>
        <v/>
      </c>
      <c r="AP257" s="55">
        <f>SUMIFS(tblMiningDaily[Dewatering_m3],tblMiningDaily[Date],$A257)</f>
        <v/>
      </c>
      <c r="AQ257" s="55">
        <f>IF($B257=$B256,$AQ256,0)+$AP257</f>
        <v/>
      </c>
      <c r="AR257" s="55">
        <f>$AR256+$AP257</f>
        <v/>
      </c>
      <c r="AS257" s="57">
        <f>SUMIFS(tblFleet[Calendar_h],tblFleet[Date],$A257,tblFleet[Equipment_Class],"Excavator")</f>
        <v/>
      </c>
      <c r="AT257" s="57">
        <f>IF($B257=$B256,$AT256,0)+$AS257</f>
        <v/>
      </c>
      <c r="AU257" s="57">
        <f>$AU256+$AS257</f>
        <v/>
      </c>
      <c r="AV257" s="57">
        <f>SUMIFS(tblFleet[Available_h],tblFleet[Date],$A257,tblFleet[Equipment_Class],"Excavator")</f>
        <v/>
      </c>
      <c r="AW257" s="57">
        <f>IF($B257=$B256,$AW256,0)+$AV257</f>
        <v/>
      </c>
      <c r="AX257" s="57">
        <f>$AX256+$AV257</f>
        <v/>
      </c>
      <c r="AY257" s="57">
        <f>SUMIFS(tblFleet[Operating_h],tblFleet[Date],$A257,tblFleet[Equipment_Class],"Excavator")</f>
        <v/>
      </c>
      <c r="AZ257" s="57">
        <f>IF($B257=$B256,$AZ256,0)+$AY257</f>
        <v/>
      </c>
      <c r="BA257" s="57">
        <f>$BA256+$AY257</f>
        <v/>
      </c>
      <c r="BB257" s="67">
        <f>IFERROR(IF(($AS257)&gt;0,($AV257)/($AS257),""),"")</f>
        <v/>
      </c>
      <c r="BC257" s="67">
        <f>IFERROR(IF(($AT257)&gt;0,($AW257)/($AT257),""),"")</f>
        <v/>
      </c>
      <c r="BD257" s="67">
        <f>IFERROR(IF(($AU257)&gt;0,($AX257)/($AU257),""),"")</f>
        <v/>
      </c>
      <c r="BE257" s="67">
        <f>IFERROR(IF(($AV257)&gt;0,($AY257)/($AV257),""),"")</f>
        <v/>
      </c>
      <c r="BF257" s="67">
        <f>IFERROR(IF(($AW257)&gt;0,($AZ257)/($AW257),""),"")</f>
        <v/>
      </c>
      <c r="BG257" s="67">
        <f>IFERROR(IF(($AX257)&gt;0,($BA257)/($AX257),""),"")</f>
        <v/>
      </c>
      <c r="BH257" s="57">
        <f>SUMIFS(tblFleet[Calendar_h],tblFleet[Date],$A257,tblFleet[Equipment_Class],"Haul Truck")</f>
        <v/>
      </c>
      <c r="BI257" s="57">
        <f>IF($B257=$B256,$BI256,0)+$BH257</f>
        <v/>
      </c>
      <c r="BJ257" s="57">
        <f>$BJ256+$BH257</f>
        <v/>
      </c>
      <c r="BK257" s="57">
        <f>SUMIFS(tblFleet[Available_h],tblFleet[Date],$A257,tblFleet[Equipment_Class],"Haul Truck")</f>
        <v/>
      </c>
      <c r="BL257" s="57">
        <f>IF($B257=$B256,$BL256,0)+$BK257</f>
        <v/>
      </c>
      <c r="BM257" s="57">
        <f>$BM256+$BK257</f>
        <v/>
      </c>
      <c r="BN257" s="57">
        <f>SUMIFS(tblFleet[Operating_h],tblFleet[Date],$A257,tblFleet[Equipment_Class],"Haul Truck")</f>
        <v/>
      </c>
      <c r="BO257" s="57">
        <f>IF($B257=$B256,$BO256,0)+$BN257</f>
        <v/>
      </c>
      <c r="BP257" s="57">
        <f>$BP256+$BN257</f>
        <v/>
      </c>
      <c r="BQ257" s="67">
        <f>IFERROR(IF(($BH257)&gt;0,($BK257)/($BH257),""),"")</f>
        <v/>
      </c>
      <c r="BR257" s="67">
        <f>IFERROR(IF(($BI257)&gt;0,($BL257)/($BI257),""),"")</f>
        <v/>
      </c>
      <c r="BS257" s="67">
        <f>IFERROR(IF(($BJ257)&gt;0,($BM257)/($BJ257),""),"")</f>
        <v/>
      </c>
      <c r="BT257" s="67">
        <f>IFERROR(IF(($BK257)&gt;0,($BN257)/($BK257),""),"")</f>
        <v/>
      </c>
      <c r="BU257" s="67">
        <f>IFERROR(IF(($BL257)&gt;0,($BO257)/($BL257),""),"")</f>
        <v/>
      </c>
      <c r="BV257" s="67">
        <f>IFERROR(IF(($BM257)&gt;0,($BP257)/($BM257),""),"")</f>
        <v/>
      </c>
      <c r="BW257" s="55">
        <f>SUMIFS(tblPlant[Crushed_t],tblPlant[Date],$A257)</f>
        <v/>
      </c>
      <c r="BX257" s="55">
        <f>IF($B257=$B256,$BX256,0)+$BW257</f>
        <v/>
      </c>
      <c r="BY257" s="55">
        <f>$BY256+$BW257</f>
        <v/>
      </c>
      <c r="BZ257" s="55">
        <f>SUMIFS(tblPlant[Milled_t],tblPlant[Date],$A257)</f>
        <v/>
      </c>
      <c r="CA257" s="55">
        <f>IF($B257=$B256,$CA256,0)+$BZ257</f>
        <v/>
      </c>
      <c r="CB257" s="55">
        <f>$CB256+$BZ257</f>
        <v/>
      </c>
      <c r="CC257" s="55">
        <f>SUMIFS(tblPlant[Feed_oz],tblPlant[Date],$A257)</f>
        <v/>
      </c>
      <c r="CD257" s="55">
        <f>IF($B257=$B256,$CD256,0)+$CC257</f>
        <v/>
      </c>
      <c r="CE257" s="55">
        <f>$CE256+$CC257</f>
        <v/>
      </c>
      <c r="CF257" s="55">
        <f>SUMIFS(tblPlant[Tails_oz],tblPlant[Date],$A257)</f>
        <v/>
      </c>
      <c r="CG257" s="55">
        <f>IF($B257=$B256,$CG256,0)+$CF257</f>
        <v/>
      </c>
      <c r="CH257" s="55">
        <f>$CH256+$CF257</f>
        <v/>
      </c>
      <c r="CI257" s="55">
        <f>SUMIFS(tblPlant[Recovered_oz],tblPlant[Date],$A257)</f>
        <v/>
      </c>
      <c r="CJ257" s="55">
        <f>IF($B257=$B256,$CJ256,0)+$CI257</f>
        <v/>
      </c>
      <c r="CK257" s="55">
        <f>$CK256+$CI257</f>
        <v/>
      </c>
      <c r="CL257" s="56">
        <f>IFERROR(IF(($BZ257)&gt;0,($CC257*cfg_TroyOz)/($BZ257),""),"")</f>
        <v/>
      </c>
      <c r="CM257" s="56">
        <f>IFERROR(IF(($CA257)&gt;0,($CD257*cfg_TroyOz)/($CA257),""),"")</f>
        <v/>
      </c>
      <c r="CN257" s="56">
        <f>IFERROR(IF(($CB257)&gt;0,($CE257*cfg_TroyOz)/($CB257),""),"")</f>
        <v/>
      </c>
      <c r="CO257" s="56">
        <f>IFERROR(IF(($BZ257)&gt;0,($CF257*cfg_TroyOz)/($BZ257),""),"")</f>
        <v/>
      </c>
      <c r="CP257" s="56">
        <f>IFERROR(IF(($CA257)&gt;0,($CG257*cfg_TroyOz)/($CA257),""),"")</f>
        <v/>
      </c>
      <c r="CQ257" s="56">
        <f>IFERROR(IF(($CB257)&gt;0,($CH257*cfg_TroyOz)/($CB257),""),"")</f>
        <v/>
      </c>
      <c r="CR257" s="67">
        <f>IFERROR(IF(($CC257)&gt;0,($CI257)/($CC257),""),"")</f>
        <v/>
      </c>
      <c r="CS257" s="67">
        <f>IFERROR(IF(($CD257)&gt;0,($CJ257)/($CD257),""),"")</f>
        <v/>
      </c>
      <c r="CT257" s="67">
        <f>IFERROR(IF(($CE257)&gt;0,($CK257)/($CE257),""),"")</f>
        <v/>
      </c>
      <c r="CU257" s="55">
        <f>SUMIFS(tblPlant[Gravity_Gold_oz],tblPlant[Date],$A257)</f>
        <v/>
      </c>
      <c r="CV257" s="55">
        <f>IF($B257=$B256,$CV256,0)+$CU257</f>
        <v/>
      </c>
      <c r="CW257" s="55">
        <f>$CW256+$CU257</f>
        <v/>
      </c>
      <c r="CX257" s="55">
        <f>SUMIFS(tblPlant[Gold_Poured_oz],tblPlant[Date],$A257)</f>
        <v/>
      </c>
      <c r="CY257" s="55">
        <f>IF($B257=$B256,$CY256,0)+$CX257</f>
        <v/>
      </c>
      <c r="CZ257" s="55">
        <f>$CZ256+$CX257</f>
        <v/>
      </c>
      <c r="DA257" s="57">
        <f>SUMIFS(tblPlant[Mill_Run_h],tblPlant[Date],$A257)</f>
        <v/>
      </c>
      <c r="DB257" s="57">
        <f>IF($B257=$B256,$DB256,0)+$DA257</f>
        <v/>
      </c>
      <c r="DC257" s="57">
        <f>$DC256+$DA257</f>
        <v/>
      </c>
      <c r="DD257" s="57">
        <f>SUMIFS(tblPlant[Mill_Planned_Maint_h],tblPlant[Date],$A257)</f>
        <v/>
      </c>
      <c r="DE257" s="57">
        <f>IF($B257=$B256,$DE256,0)+$DD257</f>
        <v/>
      </c>
      <c r="DF257" s="57">
        <f>$DF256+$DD257</f>
        <v/>
      </c>
      <c r="DG257" s="57">
        <f>SUMIFS(tblPlant[Mill_Unplanned_Down_h],tblPlant[Date],$A257)</f>
        <v/>
      </c>
      <c r="DH257" s="57">
        <f>IF($B257=$B256,$DH256,0)+$DG257</f>
        <v/>
      </c>
      <c r="DI257" s="57">
        <f>$DI256+$DG257</f>
        <v/>
      </c>
      <c r="DJ257" s="57">
        <f>COUNTIFS(tblPlant[Date],$A257,tblPlant[Mill_Run_h],"&lt;&gt;")*24</f>
        <v/>
      </c>
      <c r="DK257" s="57">
        <f>IF($B257=$B256,$DK256,0)+$DJ257</f>
        <v/>
      </c>
      <c r="DL257" s="57">
        <f>$DL256+$DJ257</f>
        <v/>
      </c>
      <c r="DM257" s="57">
        <f>SUMIFS(tblPlant[Crusher_Run_h],tblPlant[Date],$A257)</f>
        <v/>
      </c>
      <c r="DN257" s="57">
        <f>IF($B257=$B256,$DN256,0)+$DM257</f>
        <v/>
      </c>
      <c r="DO257" s="57">
        <f>$DO256+$DM257</f>
        <v/>
      </c>
      <c r="DP257" s="55">
        <f>IFERROR(IF(($DA257)&gt;0,($BZ257)/($DA257),""),"")</f>
        <v/>
      </c>
      <c r="DQ257" s="55">
        <f>IFERROR(IF(($DB257)&gt;0,($CA257)/($DB257),""),"")</f>
        <v/>
      </c>
      <c r="DR257" s="55">
        <f>IFERROR(IF(($DC257)&gt;0,($CB257)/($DC257),""),"")</f>
        <v/>
      </c>
      <c r="DS257" s="67">
        <f>IFERROR(IF(($DJ257)&gt;0,($DJ257-$DD257-$DG257)/($DJ257),""),"")</f>
        <v/>
      </c>
      <c r="DT257" s="67">
        <f>IFERROR(IF(($DK257)&gt;0,($DK257-$DE257-$DH257)/($DK257),""),"")</f>
        <v/>
      </c>
      <c r="DU257" s="67">
        <f>IFERROR(IF(($DL257)&gt;0,($DL257-$DF257-$DI257)/($DL257),""),"")</f>
        <v/>
      </c>
      <c r="DV257" s="67">
        <f>IFERROR(IF(($DJ257-$DD257-$DG257)&gt;0,($DA257)/($DJ257-$DD257-$DG257),""),"")</f>
        <v/>
      </c>
      <c r="DW257" s="67">
        <f>IFERROR(IF(($DK257-$DE257-$DH257)&gt;0,($DB257)/($DK257-$DE257-$DH257),""),"")</f>
        <v/>
      </c>
      <c r="DX257" s="67">
        <f>IFERROR(IF(($DL257-$DF257-$DI257)&gt;0,($DC257)/($DL257-$DF257-$DI257),""),"")</f>
        <v/>
      </c>
      <c r="DY257" s="55">
        <f>SUMIFS(tblPlant[Cyanide_kg],tblPlant[Date],$A257)</f>
        <v/>
      </c>
      <c r="DZ257" s="55">
        <f>IF($B257=$B256,$DZ256,0)+$DY257</f>
        <v/>
      </c>
      <c r="EA257" s="55">
        <f>$EA256+$DY257</f>
        <v/>
      </c>
      <c r="EB257" s="55">
        <f>SUMIFS(tblPlant[Lime_kg],tblPlant[Date],$A257)</f>
        <v/>
      </c>
      <c r="EC257" s="55">
        <f>IF($B257=$B256,$EC256,0)+$EB257</f>
        <v/>
      </c>
      <c r="ED257" s="55">
        <f>$ED256+$EB257</f>
        <v/>
      </c>
      <c r="EE257" s="55">
        <f>SUMIFS(tblPlant[Grinding_Media_kg],tblPlant[Date],$A257)</f>
        <v/>
      </c>
      <c r="EF257" s="55">
        <f>IF($B257=$B256,$EF256,0)+$EE257</f>
        <v/>
      </c>
      <c r="EG257" s="55">
        <f>$EG256+$EE257</f>
        <v/>
      </c>
      <c r="EH257" s="55">
        <f>SUMIFS(tblPlant[Power_kWh],tblPlant[Date],$A257)</f>
        <v/>
      </c>
      <c r="EI257" s="55">
        <f>IF($B257=$B256,$EI256,0)+$EH257</f>
        <v/>
      </c>
      <c r="EJ257" s="55">
        <f>$EJ256+$EH257</f>
        <v/>
      </c>
      <c r="EK257" s="55">
        <f>SUMIFS(tblPlant[Raw_Water_m3],tblPlant[Date],$A257)</f>
        <v/>
      </c>
      <c r="EL257" s="55">
        <f>IF($B257=$B256,$EL256,0)+$EK257</f>
        <v/>
      </c>
      <c r="EM257" s="55">
        <f>$EM256+$EK257</f>
        <v/>
      </c>
      <c r="EN257" s="56">
        <f>IFERROR(IF(($BZ257)&gt;0,($DY257)/($BZ257),""),"")</f>
        <v/>
      </c>
      <c r="EO257" s="56">
        <f>IFERROR(IF(($CA257)&gt;0,($DZ257)/($CA257),""),"")</f>
        <v/>
      </c>
      <c r="EP257" s="56">
        <f>IFERROR(IF(($CB257)&gt;0,($EA257)/($CB257),""),"")</f>
        <v/>
      </c>
      <c r="EQ257" s="56">
        <f>IFERROR(IF(($BZ257)&gt;0,($EB257)/($BZ257),""),"")</f>
        <v/>
      </c>
      <c r="ER257" s="56">
        <f>IFERROR(IF(($CA257)&gt;0,($EC257)/($CA257),""),"")</f>
        <v/>
      </c>
      <c r="ES257" s="56">
        <f>IFERROR(IF(($CB257)&gt;0,($ED257)/($CB257),""),"")</f>
        <v/>
      </c>
      <c r="ET257" s="56">
        <f>IFERROR(IF(($BZ257)&gt;0,($EE257)/($BZ257),""),"")</f>
        <v/>
      </c>
      <c r="EU257" s="56">
        <f>IFERROR(IF(($CA257)&gt;0,($EF257)/($CA257),""),"")</f>
        <v/>
      </c>
      <c r="EV257" s="56">
        <f>IFERROR(IF(($CB257)&gt;0,($EG257)/($CB257),""),"")</f>
        <v/>
      </c>
      <c r="EW257" s="76">
        <f>IFERROR(IF(($BZ257)&gt;0,($EH257)/($BZ257),""),"")</f>
        <v/>
      </c>
      <c r="EX257" s="76">
        <f>IFERROR(IF(($CA257)&gt;0,($EI257)/($CA257),""),"")</f>
        <v/>
      </c>
      <c r="EY257" s="76">
        <f>IFERROR(IF(($CB257)&gt;0,($EJ257)/($CB257),""),"")</f>
        <v/>
      </c>
      <c r="EZ257" s="56">
        <f>IFERROR(IF(($BZ257)&gt;0,($EK257)/($BZ257),""),"")</f>
        <v/>
      </c>
      <c r="FA257" s="56">
        <f>IFERROR(IF(($CA257)&gt;0,($EL257)/($CA257),""),"")</f>
        <v/>
      </c>
      <c r="FB257" s="56">
        <f>IFERROR(IF(($CB257)&gt;0,($EM257)/($CB257),""),"")</f>
        <v/>
      </c>
      <c r="FC257" s="55">
        <f>IF(SUMIFS(tblPlant[GIC_oz],tblPlant[Date],$A257)&gt;0,SUMIFS(tblPlant[GIC_oz],tblPlant[Date],$A257),"")</f>
        <v/>
      </c>
      <c r="FD257" s="55">
        <f>SUMIFS(tblGold[Gold_oz],tblGold[Date],$A257,tblGold[Type],"Shipment")</f>
        <v/>
      </c>
      <c r="FE257" s="55">
        <f>IF($B257=$B256,$FE256,0)+$FD257</f>
        <v/>
      </c>
      <c r="FF257" s="55">
        <f>$FF256+$FD257</f>
        <v/>
      </c>
      <c r="FG257" s="55">
        <f>SUMIFS(tblGold[Gold_oz],tblGold[Date],$A257,tblGold[Type],"Sale")</f>
        <v/>
      </c>
      <c r="FH257" s="55">
        <f>IF($B257=$B256,$FH256,0)+$FG257</f>
        <v/>
      </c>
      <c r="FI257" s="55">
        <f>$FI256+$FG257</f>
        <v/>
      </c>
      <c r="FJ257" s="55">
        <f>SUMIFS(tblGold[Dore_kg],tblGold[Date],$A257,tblGold[Type],"Shipment")</f>
        <v/>
      </c>
      <c r="FK257" s="55">
        <f>IF($B257=$B256,$FK256,0)+$FJ257</f>
        <v/>
      </c>
      <c r="FL257" s="55">
        <f>$FL256+$FJ257</f>
        <v/>
      </c>
      <c r="FM257" s="57">
        <f>SUMIFS(tblSafety[Hours_Total],tblSafety[Date],$A257)</f>
        <v/>
      </c>
      <c r="FN257" s="57">
        <f>IF($B257=$B256,$FN256,0)+$FM257</f>
        <v/>
      </c>
      <c r="FO257" s="57">
        <f>$FO256+$FM257</f>
        <v/>
      </c>
      <c r="FP257" s="62">
        <f>SUMIFS(tblSafety[Fatality],tblSafety[Date],$A257)</f>
        <v/>
      </c>
      <c r="FQ257" s="62">
        <f>IF($B257=$B256,$FQ256,0)+$FP257</f>
        <v/>
      </c>
      <c r="FR257" s="62">
        <f>$FR256+$FP257</f>
        <v/>
      </c>
      <c r="FS257" s="62">
        <f>SUMIFS(tblSafety[LTI],tblSafety[Date],$A257)</f>
        <v/>
      </c>
      <c r="FT257" s="62">
        <f>IF($B257=$B256,$FT256,0)+$FS257</f>
        <v/>
      </c>
      <c r="FU257" s="62">
        <f>$FU256+$FS257</f>
        <v/>
      </c>
      <c r="FV257" s="62">
        <f>SUMIFS(tblSafety[RWI],tblSafety[Date],$A257)</f>
        <v/>
      </c>
      <c r="FW257" s="62">
        <f>IF($B257=$B256,$FW256,0)+$FV257</f>
        <v/>
      </c>
      <c r="FX257" s="62">
        <f>$FX256+$FV257</f>
        <v/>
      </c>
      <c r="FY257" s="62">
        <f>SUMIFS(tblSafety[MTI],tblSafety[Date],$A257)</f>
        <v/>
      </c>
      <c r="FZ257" s="62">
        <f>IF($B257=$B256,$FZ256,0)+$FY257</f>
        <v/>
      </c>
      <c r="GA257" s="62">
        <f>$GA256+$FY257</f>
        <v/>
      </c>
      <c r="GB257" s="62">
        <f>SUMIFS(tblSafety[FAI],tblSafety[Date],$A257)</f>
        <v/>
      </c>
      <c r="GC257" s="62">
        <f>IF($B257=$B256,$GC256,0)+$GB257</f>
        <v/>
      </c>
      <c r="GD257" s="62">
        <f>$GD256+$GB257</f>
        <v/>
      </c>
      <c r="GE257" s="62">
        <f>SUMIFS(tblSafety[Recordables],tblSafety[Date],$A257)</f>
        <v/>
      </c>
      <c r="GF257" s="62">
        <f>IF($B257=$B256,$GF256,0)+$GE257</f>
        <v/>
      </c>
      <c r="GG257" s="62">
        <f>$GG256+$GE257</f>
        <v/>
      </c>
      <c r="GH257" s="62">
        <f>SUMIFS(tblSafety[Near_Miss],tblSafety[Date],$A257)</f>
        <v/>
      </c>
      <c r="GI257" s="62">
        <f>IF($B257=$B256,$GI256,0)+$GH257</f>
        <v/>
      </c>
      <c r="GJ257" s="62">
        <f>$GJ256+$GH257</f>
        <v/>
      </c>
      <c r="GK257" s="62">
        <f>SUMIFS(tblSafety[Hazard_Reports],tblSafety[Date],$A257)</f>
        <v/>
      </c>
      <c r="GL257" s="62">
        <f>IF($B257=$B256,$GL256,0)+$GK257</f>
        <v/>
      </c>
      <c r="GM257" s="62">
        <f>$GM256+$GK257</f>
        <v/>
      </c>
      <c r="GN257" s="62">
        <f>SUMIFS(tblSafety[HPI],tblSafety[Date],$A257)</f>
        <v/>
      </c>
      <c r="GO257" s="62">
        <f>IF($B257=$B256,$GO256,0)+$GN257</f>
        <v/>
      </c>
      <c r="GP257" s="62">
        <f>$GP256+$GN257</f>
        <v/>
      </c>
      <c r="GQ257" s="62">
        <f>SUMIFS(tblSafety[Env_Incidents],tblSafety[Date],$A257)</f>
        <v/>
      </c>
      <c r="GR257" s="62">
        <f>IF($B257=$B256,$GR256,0)+$GQ257</f>
        <v/>
      </c>
      <c r="GS257" s="62">
        <f>$GS256+$GQ257</f>
        <v/>
      </c>
      <c r="GT257" s="62">
        <f>SUMIFS(tblSafety[Community_Incidents],tblSafety[Date],$A257)</f>
        <v/>
      </c>
      <c r="GU257" s="62">
        <f>IF($B257=$B256,$GU256,0)+$GT257</f>
        <v/>
      </c>
      <c r="GV257" s="62">
        <f>$GV256+$GT257</f>
        <v/>
      </c>
      <c r="GW257" s="62">
        <f>SUMIFS(tblSafety[Vehicle_Incidents],tblSafety[Date],$A257)</f>
        <v/>
      </c>
      <c r="GX257" s="62">
        <f>IF($B257=$B256,$GX256,0)+$GW257</f>
        <v/>
      </c>
      <c r="GY257" s="62">
        <f>$GY256+$GW257</f>
        <v/>
      </c>
      <c r="GZ257" s="62">
        <f>SUMIFS(tblSafety[Toolbox_Talks],tblSafety[Date],$A257)</f>
        <v/>
      </c>
      <c r="HA257" s="62">
        <f>IF($B257=$B256,$HA256,0)+$GZ257</f>
        <v/>
      </c>
      <c r="HB257" s="62">
        <f>$HB256+$GZ257</f>
        <v/>
      </c>
      <c r="HC257" s="62">
        <f>SUMIFS(tblSafety[Inspections],tblSafety[Date],$A257)</f>
        <v/>
      </c>
      <c r="HD257" s="62">
        <f>IF($B257=$B256,$HD256,0)+$HC257</f>
        <v/>
      </c>
      <c r="HE257" s="62">
        <f>$HE256+$HC257</f>
        <v/>
      </c>
      <c r="HF257" s="56">
        <f>IFERROR((SUMIFS(tblSafety[Recordables],tblSafety[Date],"&gt;="&amp;EDATE($E257,-12),tblSafety[Date],"&lt;="&amp;$A257)+SUMIFS(tblSafetyHistory[Recordables],tblSafetyHistory[Month],"&gt;="&amp;EDATE($E257,-12),tblSafetyHistory[Month],"&lt;"&amp;cfg_YearStart))/(SUMIFS(tblSafety[Hours_Total],tblSafety[Date],"&gt;="&amp;EDATE($E257,-12),tblSafety[Date],"&lt;="&amp;$A257)+SUMIFS(tblSafetyHistory[Hours_Total],tblSafetyHistory[Month],"&gt;="&amp;EDATE($E257,-12),tblSafetyHistory[Month],"&lt;"&amp;cfg_YearStart))*1000000,"")</f>
        <v/>
      </c>
      <c r="HG257" s="56">
        <f>IFERROR((SUMIFS(tblSafety[LTI],tblSafety[Date],"&gt;="&amp;EDATE($E257,-12),tblSafety[Date],"&lt;="&amp;$A257)+SUMIFS(tblSafetyHistory[LTI],tblSafetyHistory[Month],"&gt;="&amp;EDATE($E257,-12),tblSafetyHistory[Month],"&lt;"&amp;cfg_YearStart))/(SUMIFS(tblSafety[Hours_Total],tblSafety[Date],"&gt;="&amp;EDATE($E257,-12),tblSafety[Date],"&lt;="&amp;$A257)+SUMIFS(tblSafetyHistory[Hours_Total],tblSafetyHistory[Month],"&gt;="&amp;EDATE($E257,-12),tblSafetyHistory[Month],"&lt;"&amp;cfg_YearStart))*1000000,"")</f>
        <v/>
      </c>
      <c r="HH257" s="62">
        <f>IF(MAX(N(cfg_PriorLTIDate),_xlfn.MAXIFS(tblSafety[Date],tblSafety[LTI],"&gt;0",tblSafety[Date],"&lt;="&amp;$A257))=0,"",$A257-MAX(N(cfg_PriorLTIDate),_xlfn.MAXIFS(tblSafety[Date],tblSafety[LTI],"&gt;0",tblSafety[Date],"&lt;="&amp;$A257)))</f>
        <v/>
      </c>
      <c r="HI257" s="55">
        <f>SUMIFS(tblBudget[Ore_Mined_t],tblBudget[Month],$E257)</f>
        <v/>
      </c>
      <c r="HJ257" s="55">
        <f>$HI257*$C257/$D257</f>
        <v/>
      </c>
      <c r="HK257" s="55">
        <f>SUMIFS(tblBudget[Ore_Mined_t],tblBudget[Month],"&lt;"&amp;$E257)+$HJ257</f>
        <v/>
      </c>
      <c r="HL257" s="55">
        <f>SUMIFS(tblBudget[Ore_oz],tblBudget[Month],$E257)</f>
        <v/>
      </c>
      <c r="HM257" s="55">
        <f>$HL257*$C257/$D257</f>
        <v/>
      </c>
      <c r="HN257" s="55">
        <f>SUMIFS(tblBudget[Ore_oz],tblBudget[Month],"&lt;"&amp;$E257)+$HM257</f>
        <v/>
      </c>
      <c r="HO257" s="56">
        <f>IFERROR(IF(($HI257)&gt;0,($HL257*cfg_TroyOz)/($HI257),""),"")</f>
        <v/>
      </c>
      <c r="HP257" s="56">
        <f>IFERROR(IF(($HJ257)&gt;0,($HM257*cfg_TroyOz)/($HJ257),""),"")</f>
        <v/>
      </c>
      <c r="HQ257" s="56">
        <f>IFERROR(IF(($HK257)&gt;0,($HN257*cfg_TroyOz)/($HK257),""),"")</f>
        <v/>
      </c>
      <c r="HR257" s="55">
        <f>SUMIFS(tblBudget[Waste_t],tblBudget[Month],$E257)</f>
        <v/>
      </c>
      <c r="HS257" s="55">
        <f>$HR257*$C257/$D257</f>
        <v/>
      </c>
      <c r="HT257" s="55">
        <f>SUMIFS(tblBudget[Waste_t],tblBudget[Month],"&lt;"&amp;$E257)+$HS257</f>
        <v/>
      </c>
      <c r="HU257" s="55">
        <f>SUMIFS(tblBudget[TMM_t],tblBudget[Month],$E257)</f>
        <v/>
      </c>
      <c r="HV257" s="55">
        <f>$HU257*$C257/$D257</f>
        <v/>
      </c>
      <c r="HW257" s="55">
        <f>SUMIFS(tblBudget[TMM_t],tblBudget[Month],"&lt;"&amp;$E257)+$HV257</f>
        <v/>
      </c>
      <c r="HX257" s="56">
        <f>IFERROR(IF(($HI257)&gt;0,($HR257)/($HI257),""),"")</f>
        <v/>
      </c>
      <c r="HY257" s="56">
        <f>IFERROR(IF(($HJ257)&gt;0,($HS257)/($HJ257),""),"")</f>
        <v/>
      </c>
      <c r="HZ257" s="56">
        <f>IFERROR(IF(($HK257)&gt;0,($HT257)/($HK257),""),"")</f>
        <v/>
      </c>
      <c r="IA257" s="55">
        <f>SUMIFS(tblBudget[Drill_m],tblBudget[Month],$E257)</f>
        <v/>
      </c>
      <c r="IB257" s="55">
        <f>$IA257*$C257/$D257</f>
        <v/>
      </c>
      <c r="IC257" s="55">
        <f>SUMIFS(tblBudget[Drill_m],tblBudget[Month],"&lt;"&amp;$E257)+$IB257</f>
        <v/>
      </c>
      <c r="ID257" s="55">
        <f>SUMIFS(tblBudget[Diesel_L],tblBudget[Month],$E257)</f>
        <v/>
      </c>
      <c r="IE257" s="55">
        <f>$ID257*$C257/$D257</f>
        <v/>
      </c>
      <c r="IF257" s="55">
        <f>SUMIFS(tblBudget[Diesel_L],tblBudget[Month],"&lt;"&amp;$E257)+$IE257</f>
        <v/>
      </c>
      <c r="IG257" s="55">
        <f>SUMIFS(tblBudget[Milled_t],tblBudget[Month],$E257)</f>
        <v/>
      </c>
      <c r="IH257" s="55">
        <f>$IG257*$C257/$D257</f>
        <v/>
      </c>
      <c r="II257" s="55">
        <f>SUMIFS(tblBudget[Milled_t],tblBudget[Month],"&lt;"&amp;$E257)+$IH257</f>
        <v/>
      </c>
      <c r="IJ257" s="55">
        <f>SUMIFS(tblBudget[Feed_oz],tblBudget[Month],$E257)</f>
        <v/>
      </c>
      <c r="IK257" s="55">
        <f>$IJ257*$C257/$D257</f>
        <v/>
      </c>
      <c r="IL257" s="55">
        <f>SUMIFS(tblBudget[Feed_oz],tblBudget[Month],"&lt;"&amp;$E257)+$IK257</f>
        <v/>
      </c>
      <c r="IM257" s="55">
        <f>SUMIFS(tblBudget[Recovered_oz],tblBudget[Month],$E257)</f>
        <v/>
      </c>
      <c r="IN257" s="55">
        <f>$IM257*$C257/$D257</f>
        <v/>
      </c>
      <c r="IO257" s="55">
        <f>SUMIFS(tblBudget[Recovered_oz],tblBudget[Month],"&lt;"&amp;$E257)+$IN257</f>
        <v/>
      </c>
      <c r="IP257" s="56">
        <f>IFERROR(IF(($IG257)&gt;0,($IJ257*cfg_TroyOz)/($IG257),""),"")</f>
        <v/>
      </c>
      <c r="IQ257" s="56">
        <f>IFERROR(IF(($IH257)&gt;0,($IK257*cfg_TroyOz)/($IH257),""),"")</f>
        <v/>
      </c>
      <c r="IR257" s="56">
        <f>IFERROR(IF(($II257)&gt;0,($IL257*cfg_TroyOz)/($II257),""),"")</f>
        <v/>
      </c>
      <c r="IS257" s="67">
        <f>IFERROR(IF(($IJ257)&gt;0,($IM257)/($IJ257),""),"")</f>
        <v/>
      </c>
      <c r="IT257" s="67">
        <f>IFERROR(IF(($IK257)&gt;0,($IN257)/($IK257),""),"")</f>
        <v/>
      </c>
      <c r="IU257" s="67">
        <f>IFERROR(IF(($IL257)&gt;0,($IO257)/($IL257),""),"")</f>
        <v/>
      </c>
      <c r="IV257" s="55">
        <f>SUMIFS(tblBudget[Gold_Poured_oz],tblBudget[Month],$E257)</f>
        <v/>
      </c>
      <c r="IW257" s="55">
        <f>$IV257*$C257/$D257</f>
        <v/>
      </c>
      <c r="IX257" s="55">
        <f>SUMIFS(tblBudget[Gold_Poured_oz],tblBudget[Month],"&lt;"&amp;$E257)+$IW257</f>
        <v/>
      </c>
      <c r="IY257" s="57">
        <f>SUMIFS(tblBudget[Hours_Worked],tblBudget[Month],$E257)</f>
        <v/>
      </c>
      <c r="IZ257" s="57">
        <f>$IY257*$C257/$D257</f>
        <v/>
      </c>
      <c r="JA257" s="57">
        <f>SUMIFS(tblBudget[Hours_Worked],tblBudget[Month],"&lt;"&amp;$E257)+$IZ257</f>
        <v/>
      </c>
    </row>
    <row r="258">
      <c r="A258" s="54" t="n">
        <v>46279</v>
      </c>
      <c r="B258">
        <f>MONTH($A258)</f>
        <v/>
      </c>
      <c r="C258">
        <f>DAY($A258)</f>
        <v/>
      </c>
      <c r="D258">
        <f>DAY(EOMONTH($A258,0))</f>
        <v/>
      </c>
      <c r="E258" s="54">
        <f>DATE(YEAR($A258),MONTH($A258),1)</f>
        <v/>
      </c>
      <c r="F258" s="55">
        <f>SUMIFS(tblMovement[Tonnes_t],tblMovement[Date],$A258,tblMovement[Is_Ore],1,tblMovement[Source_Type],"Pit")</f>
        <v/>
      </c>
      <c r="G258" s="55">
        <f>IF($B258=$B257,$G257,0)+$F258</f>
        <v/>
      </c>
      <c r="H258" s="55">
        <f>$H257+$F258</f>
        <v/>
      </c>
      <c r="I258" s="55">
        <f>SUMIFS(tblMovement[Ore_oz],tblMovement[Date],$A258,tblMovement[Source_Type],"Pit")</f>
        <v/>
      </c>
      <c r="J258" s="55">
        <f>IF($B258=$B257,$J257,0)+$I258</f>
        <v/>
      </c>
      <c r="K258" s="55">
        <f>$K257+$I258</f>
        <v/>
      </c>
      <c r="L258" s="56">
        <f>IFERROR(IF(($F258)&gt;0,($I258*cfg_TroyOz)/($F258),""),"")</f>
        <v/>
      </c>
      <c r="M258" s="56">
        <f>IFERROR(IF(($G258)&gt;0,($J258*cfg_TroyOz)/($G258),""),"")</f>
        <v/>
      </c>
      <c r="N258" s="56">
        <f>IFERROR(IF(($H258)&gt;0,($K258*cfg_TroyOz)/($H258),""),"")</f>
        <v/>
      </c>
      <c r="O258" s="55">
        <f>SUMIFS(tblMovement[Tonnes_t],tblMovement[Date],$A258,tblMovement[Is_Ore],0,tblMovement[Source_Type],"Pit")</f>
        <v/>
      </c>
      <c r="P258" s="55">
        <f>IF($B258=$B257,$P257,0)+$O258</f>
        <v/>
      </c>
      <c r="Q258" s="55">
        <f>$Q257+$O258</f>
        <v/>
      </c>
      <c r="R258" s="55">
        <f>$F258+$O258</f>
        <v/>
      </c>
      <c r="S258" s="55">
        <f>IF($B258=$B257,$S257,0)+$R258</f>
        <v/>
      </c>
      <c r="T258" s="55">
        <f>$T257+$R258</f>
        <v/>
      </c>
      <c r="U258" s="56">
        <f>IFERROR(IF(($F258)&gt;0,($O258)/($F258),""),"")</f>
        <v/>
      </c>
      <c r="V258" s="56">
        <f>IFERROR(IF(($G258)&gt;0,($P258)/($G258),""),"")</f>
        <v/>
      </c>
      <c r="W258" s="56">
        <f>IFERROR(IF(($H258)&gt;0,($Q258)/($H258),""),"")</f>
        <v/>
      </c>
      <c r="X258" s="55">
        <f>SUMIFS(tblMovement[Tonnes_t],tblMovement[Date],$A258,tblMovement[Source_Type],"Stockpile")</f>
        <v/>
      </c>
      <c r="Y258" s="55">
        <f>IF($B258=$B257,$Y257,0)+$X258</f>
        <v/>
      </c>
      <c r="Z258" s="55">
        <f>$Z257+$X258</f>
        <v/>
      </c>
      <c r="AA258" s="55">
        <f>SUMIFS(tblMiningDaily[Drill_m],tblMiningDaily[Date],$A258)</f>
        <v/>
      </c>
      <c r="AB258" s="55">
        <f>IF($B258=$B257,$AB257,0)+$AA258</f>
        <v/>
      </c>
      <c r="AC258" s="55">
        <f>$AC257+$AA258</f>
        <v/>
      </c>
      <c r="AD258" s="55">
        <f>SUMIFS(tblMiningDaily[Blast_t],tblMiningDaily[Date],$A258)</f>
        <v/>
      </c>
      <c r="AE258" s="55">
        <f>IF($B258=$B257,$AE257,0)+$AD258</f>
        <v/>
      </c>
      <c r="AF258" s="55">
        <f>$AF257+$AD258</f>
        <v/>
      </c>
      <c r="AG258" s="55">
        <f>SUMIFS(tblMiningDaily[Explosives_kg],tblMiningDaily[Date],$A258)</f>
        <v/>
      </c>
      <c r="AH258" s="55">
        <f>IF($B258=$B257,$AH257,0)+$AG258</f>
        <v/>
      </c>
      <c r="AI258" s="55">
        <f>$AI257+$AG258</f>
        <v/>
      </c>
      <c r="AJ258" s="56">
        <f>IFERROR(IF(($AD258)&gt;0,($AG258)/($AD258),""),"")</f>
        <v/>
      </c>
      <c r="AK258" s="56">
        <f>IFERROR(IF(($AE258)&gt;0,($AH258)/($AE258),""),"")</f>
        <v/>
      </c>
      <c r="AL258" s="56">
        <f>IFERROR(IF(($AF258)&gt;0,($AI258)/($AF258),""),"")</f>
        <v/>
      </c>
      <c r="AM258" s="55">
        <f>SUMIFS(tblMiningDaily[Diesel_L],tblMiningDaily[Date],$A258)</f>
        <v/>
      </c>
      <c r="AN258" s="55">
        <f>IF($B258=$B257,$AN257,0)+$AM258</f>
        <v/>
      </c>
      <c r="AO258" s="55">
        <f>$AO257+$AM258</f>
        <v/>
      </c>
      <c r="AP258" s="55">
        <f>SUMIFS(tblMiningDaily[Dewatering_m3],tblMiningDaily[Date],$A258)</f>
        <v/>
      </c>
      <c r="AQ258" s="55">
        <f>IF($B258=$B257,$AQ257,0)+$AP258</f>
        <v/>
      </c>
      <c r="AR258" s="55">
        <f>$AR257+$AP258</f>
        <v/>
      </c>
      <c r="AS258" s="57">
        <f>SUMIFS(tblFleet[Calendar_h],tblFleet[Date],$A258,tblFleet[Equipment_Class],"Excavator")</f>
        <v/>
      </c>
      <c r="AT258" s="57">
        <f>IF($B258=$B257,$AT257,0)+$AS258</f>
        <v/>
      </c>
      <c r="AU258" s="57">
        <f>$AU257+$AS258</f>
        <v/>
      </c>
      <c r="AV258" s="57">
        <f>SUMIFS(tblFleet[Available_h],tblFleet[Date],$A258,tblFleet[Equipment_Class],"Excavator")</f>
        <v/>
      </c>
      <c r="AW258" s="57">
        <f>IF($B258=$B257,$AW257,0)+$AV258</f>
        <v/>
      </c>
      <c r="AX258" s="57">
        <f>$AX257+$AV258</f>
        <v/>
      </c>
      <c r="AY258" s="57">
        <f>SUMIFS(tblFleet[Operating_h],tblFleet[Date],$A258,tblFleet[Equipment_Class],"Excavator")</f>
        <v/>
      </c>
      <c r="AZ258" s="57">
        <f>IF($B258=$B257,$AZ257,0)+$AY258</f>
        <v/>
      </c>
      <c r="BA258" s="57">
        <f>$BA257+$AY258</f>
        <v/>
      </c>
      <c r="BB258" s="67">
        <f>IFERROR(IF(($AS258)&gt;0,($AV258)/($AS258),""),"")</f>
        <v/>
      </c>
      <c r="BC258" s="67">
        <f>IFERROR(IF(($AT258)&gt;0,($AW258)/($AT258),""),"")</f>
        <v/>
      </c>
      <c r="BD258" s="67">
        <f>IFERROR(IF(($AU258)&gt;0,($AX258)/($AU258),""),"")</f>
        <v/>
      </c>
      <c r="BE258" s="67">
        <f>IFERROR(IF(($AV258)&gt;0,($AY258)/($AV258),""),"")</f>
        <v/>
      </c>
      <c r="BF258" s="67">
        <f>IFERROR(IF(($AW258)&gt;0,($AZ258)/($AW258),""),"")</f>
        <v/>
      </c>
      <c r="BG258" s="67">
        <f>IFERROR(IF(($AX258)&gt;0,($BA258)/($AX258),""),"")</f>
        <v/>
      </c>
      <c r="BH258" s="57">
        <f>SUMIFS(tblFleet[Calendar_h],tblFleet[Date],$A258,tblFleet[Equipment_Class],"Haul Truck")</f>
        <v/>
      </c>
      <c r="BI258" s="57">
        <f>IF($B258=$B257,$BI257,0)+$BH258</f>
        <v/>
      </c>
      <c r="BJ258" s="57">
        <f>$BJ257+$BH258</f>
        <v/>
      </c>
      <c r="BK258" s="57">
        <f>SUMIFS(tblFleet[Available_h],tblFleet[Date],$A258,tblFleet[Equipment_Class],"Haul Truck")</f>
        <v/>
      </c>
      <c r="BL258" s="57">
        <f>IF($B258=$B257,$BL257,0)+$BK258</f>
        <v/>
      </c>
      <c r="BM258" s="57">
        <f>$BM257+$BK258</f>
        <v/>
      </c>
      <c r="BN258" s="57">
        <f>SUMIFS(tblFleet[Operating_h],tblFleet[Date],$A258,tblFleet[Equipment_Class],"Haul Truck")</f>
        <v/>
      </c>
      <c r="BO258" s="57">
        <f>IF($B258=$B257,$BO257,0)+$BN258</f>
        <v/>
      </c>
      <c r="BP258" s="57">
        <f>$BP257+$BN258</f>
        <v/>
      </c>
      <c r="BQ258" s="67">
        <f>IFERROR(IF(($BH258)&gt;0,($BK258)/($BH258),""),"")</f>
        <v/>
      </c>
      <c r="BR258" s="67">
        <f>IFERROR(IF(($BI258)&gt;0,($BL258)/($BI258),""),"")</f>
        <v/>
      </c>
      <c r="BS258" s="67">
        <f>IFERROR(IF(($BJ258)&gt;0,($BM258)/($BJ258),""),"")</f>
        <v/>
      </c>
      <c r="BT258" s="67">
        <f>IFERROR(IF(($BK258)&gt;0,($BN258)/($BK258),""),"")</f>
        <v/>
      </c>
      <c r="BU258" s="67">
        <f>IFERROR(IF(($BL258)&gt;0,($BO258)/($BL258),""),"")</f>
        <v/>
      </c>
      <c r="BV258" s="67">
        <f>IFERROR(IF(($BM258)&gt;0,($BP258)/($BM258),""),"")</f>
        <v/>
      </c>
      <c r="BW258" s="55">
        <f>SUMIFS(tblPlant[Crushed_t],tblPlant[Date],$A258)</f>
        <v/>
      </c>
      <c r="BX258" s="55">
        <f>IF($B258=$B257,$BX257,0)+$BW258</f>
        <v/>
      </c>
      <c r="BY258" s="55">
        <f>$BY257+$BW258</f>
        <v/>
      </c>
      <c r="BZ258" s="55">
        <f>SUMIFS(tblPlant[Milled_t],tblPlant[Date],$A258)</f>
        <v/>
      </c>
      <c r="CA258" s="55">
        <f>IF($B258=$B257,$CA257,0)+$BZ258</f>
        <v/>
      </c>
      <c r="CB258" s="55">
        <f>$CB257+$BZ258</f>
        <v/>
      </c>
      <c r="CC258" s="55">
        <f>SUMIFS(tblPlant[Feed_oz],tblPlant[Date],$A258)</f>
        <v/>
      </c>
      <c r="CD258" s="55">
        <f>IF($B258=$B257,$CD257,0)+$CC258</f>
        <v/>
      </c>
      <c r="CE258" s="55">
        <f>$CE257+$CC258</f>
        <v/>
      </c>
      <c r="CF258" s="55">
        <f>SUMIFS(tblPlant[Tails_oz],tblPlant[Date],$A258)</f>
        <v/>
      </c>
      <c r="CG258" s="55">
        <f>IF($B258=$B257,$CG257,0)+$CF258</f>
        <v/>
      </c>
      <c r="CH258" s="55">
        <f>$CH257+$CF258</f>
        <v/>
      </c>
      <c r="CI258" s="55">
        <f>SUMIFS(tblPlant[Recovered_oz],tblPlant[Date],$A258)</f>
        <v/>
      </c>
      <c r="CJ258" s="55">
        <f>IF($B258=$B257,$CJ257,0)+$CI258</f>
        <v/>
      </c>
      <c r="CK258" s="55">
        <f>$CK257+$CI258</f>
        <v/>
      </c>
      <c r="CL258" s="56">
        <f>IFERROR(IF(($BZ258)&gt;0,($CC258*cfg_TroyOz)/($BZ258),""),"")</f>
        <v/>
      </c>
      <c r="CM258" s="56">
        <f>IFERROR(IF(($CA258)&gt;0,($CD258*cfg_TroyOz)/($CA258),""),"")</f>
        <v/>
      </c>
      <c r="CN258" s="56">
        <f>IFERROR(IF(($CB258)&gt;0,($CE258*cfg_TroyOz)/($CB258),""),"")</f>
        <v/>
      </c>
      <c r="CO258" s="56">
        <f>IFERROR(IF(($BZ258)&gt;0,($CF258*cfg_TroyOz)/($BZ258),""),"")</f>
        <v/>
      </c>
      <c r="CP258" s="56">
        <f>IFERROR(IF(($CA258)&gt;0,($CG258*cfg_TroyOz)/($CA258),""),"")</f>
        <v/>
      </c>
      <c r="CQ258" s="56">
        <f>IFERROR(IF(($CB258)&gt;0,($CH258*cfg_TroyOz)/($CB258),""),"")</f>
        <v/>
      </c>
      <c r="CR258" s="67">
        <f>IFERROR(IF(($CC258)&gt;0,($CI258)/($CC258),""),"")</f>
        <v/>
      </c>
      <c r="CS258" s="67">
        <f>IFERROR(IF(($CD258)&gt;0,($CJ258)/($CD258),""),"")</f>
        <v/>
      </c>
      <c r="CT258" s="67">
        <f>IFERROR(IF(($CE258)&gt;0,($CK258)/($CE258),""),"")</f>
        <v/>
      </c>
      <c r="CU258" s="55">
        <f>SUMIFS(tblPlant[Gravity_Gold_oz],tblPlant[Date],$A258)</f>
        <v/>
      </c>
      <c r="CV258" s="55">
        <f>IF($B258=$B257,$CV257,0)+$CU258</f>
        <v/>
      </c>
      <c r="CW258" s="55">
        <f>$CW257+$CU258</f>
        <v/>
      </c>
      <c r="CX258" s="55">
        <f>SUMIFS(tblPlant[Gold_Poured_oz],tblPlant[Date],$A258)</f>
        <v/>
      </c>
      <c r="CY258" s="55">
        <f>IF($B258=$B257,$CY257,0)+$CX258</f>
        <v/>
      </c>
      <c r="CZ258" s="55">
        <f>$CZ257+$CX258</f>
        <v/>
      </c>
      <c r="DA258" s="57">
        <f>SUMIFS(tblPlant[Mill_Run_h],tblPlant[Date],$A258)</f>
        <v/>
      </c>
      <c r="DB258" s="57">
        <f>IF($B258=$B257,$DB257,0)+$DA258</f>
        <v/>
      </c>
      <c r="DC258" s="57">
        <f>$DC257+$DA258</f>
        <v/>
      </c>
      <c r="DD258" s="57">
        <f>SUMIFS(tblPlant[Mill_Planned_Maint_h],tblPlant[Date],$A258)</f>
        <v/>
      </c>
      <c r="DE258" s="57">
        <f>IF($B258=$B257,$DE257,0)+$DD258</f>
        <v/>
      </c>
      <c r="DF258" s="57">
        <f>$DF257+$DD258</f>
        <v/>
      </c>
      <c r="DG258" s="57">
        <f>SUMIFS(tblPlant[Mill_Unplanned_Down_h],tblPlant[Date],$A258)</f>
        <v/>
      </c>
      <c r="DH258" s="57">
        <f>IF($B258=$B257,$DH257,0)+$DG258</f>
        <v/>
      </c>
      <c r="DI258" s="57">
        <f>$DI257+$DG258</f>
        <v/>
      </c>
      <c r="DJ258" s="57">
        <f>COUNTIFS(tblPlant[Date],$A258,tblPlant[Mill_Run_h],"&lt;&gt;")*24</f>
        <v/>
      </c>
      <c r="DK258" s="57">
        <f>IF($B258=$B257,$DK257,0)+$DJ258</f>
        <v/>
      </c>
      <c r="DL258" s="57">
        <f>$DL257+$DJ258</f>
        <v/>
      </c>
      <c r="DM258" s="57">
        <f>SUMIFS(tblPlant[Crusher_Run_h],tblPlant[Date],$A258)</f>
        <v/>
      </c>
      <c r="DN258" s="57">
        <f>IF($B258=$B257,$DN257,0)+$DM258</f>
        <v/>
      </c>
      <c r="DO258" s="57">
        <f>$DO257+$DM258</f>
        <v/>
      </c>
      <c r="DP258" s="55">
        <f>IFERROR(IF(($DA258)&gt;0,($BZ258)/($DA258),""),"")</f>
        <v/>
      </c>
      <c r="DQ258" s="55">
        <f>IFERROR(IF(($DB258)&gt;0,($CA258)/($DB258),""),"")</f>
        <v/>
      </c>
      <c r="DR258" s="55">
        <f>IFERROR(IF(($DC258)&gt;0,($CB258)/($DC258),""),"")</f>
        <v/>
      </c>
      <c r="DS258" s="67">
        <f>IFERROR(IF(($DJ258)&gt;0,($DJ258-$DD258-$DG258)/($DJ258),""),"")</f>
        <v/>
      </c>
      <c r="DT258" s="67">
        <f>IFERROR(IF(($DK258)&gt;0,($DK258-$DE258-$DH258)/($DK258),""),"")</f>
        <v/>
      </c>
      <c r="DU258" s="67">
        <f>IFERROR(IF(($DL258)&gt;0,($DL258-$DF258-$DI258)/($DL258),""),"")</f>
        <v/>
      </c>
      <c r="DV258" s="67">
        <f>IFERROR(IF(($DJ258-$DD258-$DG258)&gt;0,($DA258)/($DJ258-$DD258-$DG258),""),"")</f>
        <v/>
      </c>
      <c r="DW258" s="67">
        <f>IFERROR(IF(($DK258-$DE258-$DH258)&gt;0,($DB258)/($DK258-$DE258-$DH258),""),"")</f>
        <v/>
      </c>
      <c r="DX258" s="67">
        <f>IFERROR(IF(($DL258-$DF258-$DI258)&gt;0,($DC258)/($DL258-$DF258-$DI258),""),"")</f>
        <v/>
      </c>
      <c r="DY258" s="55">
        <f>SUMIFS(tblPlant[Cyanide_kg],tblPlant[Date],$A258)</f>
        <v/>
      </c>
      <c r="DZ258" s="55">
        <f>IF($B258=$B257,$DZ257,0)+$DY258</f>
        <v/>
      </c>
      <c r="EA258" s="55">
        <f>$EA257+$DY258</f>
        <v/>
      </c>
      <c r="EB258" s="55">
        <f>SUMIFS(tblPlant[Lime_kg],tblPlant[Date],$A258)</f>
        <v/>
      </c>
      <c r="EC258" s="55">
        <f>IF($B258=$B257,$EC257,0)+$EB258</f>
        <v/>
      </c>
      <c r="ED258" s="55">
        <f>$ED257+$EB258</f>
        <v/>
      </c>
      <c r="EE258" s="55">
        <f>SUMIFS(tblPlant[Grinding_Media_kg],tblPlant[Date],$A258)</f>
        <v/>
      </c>
      <c r="EF258" s="55">
        <f>IF($B258=$B257,$EF257,0)+$EE258</f>
        <v/>
      </c>
      <c r="EG258" s="55">
        <f>$EG257+$EE258</f>
        <v/>
      </c>
      <c r="EH258" s="55">
        <f>SUMIFS(tblPlant[Power_kWh],tblPlant[Date],$A258)</f>
        <v/>
      </c>
      <c r="EI258" s="55">
        <f>IF($B258=$B257,$EI257,0)+$EH258</f>
        <v/>
      </c>
      <c r="EJ258" s="55">
        <f>$EJ257+$EH258</f>
        <v/>
      </c>
      <c r="EK258" s="55">
        <f>SUMIFS(tblPlant[Raw_Water_m3],tblPlant[Date],$A258)</f>
        <v/>
      </c>
      <c r="EL258" s="55">
        <f>IF($B258=$B257,$EL257,0)+$EK258</f>
        <v/>
      </c>
      <c r="EM258" s="55">
        <f>$EM257+$EK258</f>
        <v/>
      </c>
      <c r="EN258" s="56">
        <f>IFERROR(IF(($BZ258)&gt;0,($DY258)/($BZ258),""),"")</f>
        <v/>
      </c>
      <c r="EO258" s="56">
        <f>IFERROR(IF(($CA258)&gt;0,($DZ258)/($CA258),""),"")</f>
        <v/>
      </c>
      <c r="EP258" s="56">
        <f>IFERROR(IF(($CB258)&gt;0,($EA258)/($CB258),""),"")</f>
        <v/>
      </c>
      <c r="EQ258" s="56">
        <f>IFERROR(IF(($BZ258)&gt;0,($EB258)/($BZ258),""),"")</f>
        <v/>
      </c>
      <c r="ER258" s="56">
        <f>IFERROR(IF(($CA258)&gt;0,($EC258)/($CA258),""),"")</f>
        <v/>
      </c>
      <c r="ES258" s="56">
        <f>IFERROR(IF(($CB258)&gt;0,($ED258)/($CB258),""),"")</f>
        <v/>
      </c>
      <c r="ET258" s="56">
        <f>IFERROR(IF(($BZ258)&gt;0,($EE258)/($BZ258),""),"")</f>
        <v/>
      </c>
      <c r="EU258" s="56">
        <f>IFERROR(IF(($CA258)&gt;0,($EF258)/($CA258),""),"")</f>
        <v/>
      </c>
      <c r="EV258" s="56">
        <f>IFERROR(IF(($CB258)&gt;0,($EG258)/($CB258),""),"")</f>
        <v/>
      </c>
      <c r="EW258" s="76">
        <f>IFERROR(IF(($BZ258)&gt;0,($EH258)/($BZ258),""),"")</f>
        <v/>
      </c>
      <c r="EX258" s="76">
        <f>IFERROR(IF(($CA258)&gt;0,($EI258)/($CA258),""),"")</f>
        <v/>
      </c>
      <c r="EY258" s="76">
        <f>IFERROR(IF(($CB258)&gt;0,($EJ258)/($CB258),""),"")</f>
        <v/>
      </c>
      <c r="EZ258" s="56">
        <f>IFERROR(IF(($BZ258)&gt;0,($EK258)/($BZ258),""),"")</f>
        <v/>
      </c>
      <c r="FA258" s="56">
        <f>IFERROR(IF(($CA258)&gt;0,($EL258)/($CA258),""),"")</f>
        <v/>
      </c>
      <c r="FB258" s="56">
        <f>IFERROR(IF(($CB258)&gt;0,($EM258)/($CB258),""),"")</f>
        <v/>
      </c>
      <c r="FC258" s="55">
        <f>IF(SUMIFS(tblPlant[GIC_oz],tblPlant[Date],$A258)&gt;0,SUMIFS(tblPlant[GIC_oz],tblPlant[Date],$A258),"")</f>
        <v/>
      </c>
      <c r="FD258" s="55">
        <f>SUMIFS(tblGold[Gold_oz],tblGold[Date],$A258,tblGold[Type],"Shipment")</f>
        <v/>
      </c>
      <c r="FE258" s="55">
        <f>IF($B258=$B257,$FE257,0)+$FD258</f>
        <v/>
      </c>
      <c r="FF258" s="55">
        <f>$FF257+$FD258</f>
        <v/>
      </c>
      <c r="FG258" s="55">
        <f>SUMIFS(tblGold[Gold_oz],tblGold[Date],$A258,tblGold[Type],"Sale")</f>
        <v/>
      </c>
      <c r="FH258" s="55">
        <f>IF($B258=$B257,$FH257,0)+$FG258</f>
        <v/>
      </c>
      <c r="FI258" s="55">
        <f>$FI257+$FG258</f>
        <v/>
      </c>
      <c r="FJ258" s="55">
        <f>SUMIFS(tblGold[Dore_kg],tblGold[Date],$A258,tblGold[Type],"Shipment")</f>
        <v/>
      </c>
      <c r="FK258" s="55">
        <f>IF($B258=$B257,$FK257,0)+$FJ258</f>
        <v/>
      </c>
      <c r="FL258" s="55">
        <f>$FL257+$FJ258</f>
        <v/>
      </c>
      <c r="FM258" s="57">
        <f>SUMIFS(tblSafety[Hours_Total],tblSafety[Date],$A258)</f>
        <v/>
      </c>
      <c r="FN258" s="57">
        <f>IF($B258=$B257,$FN257,0)+$FM258</f>
        <v/>
      </c>
      <c r="FO258" s="57">
        <f>$FO257+$FM258</f>
        <v/>
      </c>
      <c r="FP258" s="62">
        <f>SUMIFS(tblSafety[Fatality],tblSafety[Date],$A258)</f>
        <v/>
      </c>
      <c r="FQ258" s="62">
        <f>IF($B258=$B257,$FQ257,0)+$FP258</f>
        <v/>
      </c>
      <c r="FR258" s="62">
        <f>$FR257+$FP258</f>
        <v/>
      </c>
      <c r="FS258" s="62">
        <f>SUMIFS(tblSafety[LTI],tblSafety[Date],$A258)</f>
        <v/>
      </c>
      <c r="FT258" s="62">
        <f>IF($B258=$B257,$FT257,0)+$FS258</f>
        <v/>
      </c>
      <c r="FU258" s="62">
        <f>$FU257+$FS258</f>
        <v/>
      </c>
      <c r="FV258" s="62">
        <f>SUMIFS(tblSafety[RWI],tblSafety[Date],$A258)</f>
        <v/>
      </c>
      <c r="FW258" s="62">
        <f>IF($B258=$B257,$FW257,0)+$FV258</f>
        <v/>
      </c>
      <c r="FX258" s="62">
        <f>$FX257+$FV258</f>
        <v/>
      </c>
      <c r="FY258" s="62">
        <f>SUMIFS(tblSafety[MTI],tblSafety[Date],$A258)</f>
        <v/>
      </c>
      <c r="FZ258" s="62">
        <f>IF($B258=$B257,$FZ257,0)+$FY258</f>
        <v/>
      </c>
      <c r="GA258" s="62">
        <f>$GA257+$FY258</f>
        <v/>
      </c>
      <c r="GB258" s="62">
        <f>SUMIFS(tblSafety[FAI],tblSafety[Date],$A258)</f>
        <v/>
      </c>
      <c r="GC258" s="62">
        <f>IF($B258=$B257,$GC257,0)+$GB258</f>
        <v/>
      </c>
      <c r="GD258" s="62">
        <f>$GD257+$GB258</f>
        <v/>
      </c>
      <c r="GE258" s="62">
        <f>SUMIFS(tblSafety[Recordables],tblSafety[Date],$A258)</f>
        <v/>
      </c>
      <c r="GF258" s="62">
        <f>IF($B258=$B257,$GF257,0)+$GE258</f>
        <v/>
      </c>
      <c r="GG258" s="62">
        <f>$GG257+$GE258</f>
        <v/>
      </c>
      <c r="GH258" s="62">
        <f>SUMIFS(tblSafety[Near_Miss],tblSafety[Date],$A258)</f>
        <v/>
      </c>
      <c r="GI258" s="62">
        <f>IF($B258=$B257,$GI257,0)+$GH258</f>
        <v/>
      </c>
      <c r="GJ258" s="62">
        <f>$GJ257+$GH258</f>
        <v/>
      </c>
      <c r="GK258" s="62">
        <f>SUMIFS(tblSafety[Hazard_Reports],tblSafety[Date],$A258)</f>
        <v/>
      </c>
      <c r="GL258" s="62">
        <f>IF($B258=$B257,$GL257,0)+$GK258</f>
        <v/>
      </c>
      <c r="GM258" s="62">
        <f>$GM257+$GK258</f>
        <v/>
      </c>
      <c r="GN258" s="62">
        <f>SUMIFS(tblSafety[HPI],tblSafety[Date],$A258)</f>
        <v/>
      </c>
      <c r="GO258" s="62">
        <f>IF($B258=$B257,$GO257,0)+$GN258</f>
        <v/>
      </c>
      <c r="GP258" s="62">
        <f>$GP257+$GN258</f>
        <v/>
      </c>
      <c r="GQ258" s="62">
        <f>SUMIFS(tblSafety[Env_Incidents],tblSafety[Date],$A258)</f>
        <v/>
      </c>
      <c r="GR258" s="62">
        <f>IF($B258=$B257,$GR257,0)+$GQ258</f>
        <v/>
      </c>
      <c r="GS258" s="62">
        <f>$GS257+$GQ258</f>
        <v/>
      </c>
      <c r="GT258" s="62">
        <f>SUMIFS(tblSafety[Community_Incidents],tblSafety[Date],$A258)</f>
        <v/>
      </c>
      <c r="GU258" s="62">
        <f>IF($B258=$B257,$GU257,0)+$GT258</f>
        <v/>
      </c>
      <c r="GV258" s="62">
        <f>$GV257+$GT258</f>
        <v/>
      </c>
      <c r="GW258" s="62">
        <f>SUMIFS(tblSafety[Vehicle_Incidents],tblSafety[Date],$A258)</f>
        <v/>
      </c>
      <c r="GX258" s="62">
        <f>IF($B258=$B257,$GX257,0)+$GW258</f>
        <v/>
      </c>
      <c r="GY258" s="62">
        <f>$GY257+$GW258</f>
        <v/>
      </c>
      <c r="GZ258" s="62">
        <f>SUMIFS(tblSafety[Toolbox_Talks],tblSafety[Date],$A258)</f>
        <v/>
      </c>
      <c r="HA258" s="62">
        <f>IF($B258=$B257,$HA257,0)+$GZ258</f>
        <v/>
      </c>
      <c r="HB258" s="62">
        <f>$HB257+$GZ258</f>
        <v/>
      </c>
      <c r="HC258" s="62">
        <f>SUMIFS(tblSafety[Inspections],tblSafety[Date],$A258)</f>
        <v/>
      </c>
      <c r="HD258" s="62">
        <f>IF($B258=$B257,$HD257,0)+$HC258</f>
        <v/>
      </c>
      <c r="HE258" s="62">
        <f>$HE257+$HC258</f>
        <v/>
      </c>
      <c r="HF258" s="56">
        <f>IFERROR((SUMIFS(tblSafety[Recordables],tblSafety[Date],"&gt;="&amp;EDATE($E258,-12),tblSafety[Date],"&lt;="&amp;$A258)+SUMIFS(tblSafetyHistory[Recordables],tblSafetyHistory[Month],"&gt;="&amp;EDATE($E258,-12),tblSafetyHistory[Month],"&lt;"&amp;cfg_YearStart))/(SUMIFS(tblSafety[Hours_Total],tblSafety[Date],"&gt;="&amp;EDATE($E258,-12),tblSafety[Date],"&lt;="&amp;$A258)+SUMIFS(tblSafetyHistory[Hours_Total],tblSafetyHistory[Month],"&gt;="&amp;EDATE($E258,-12),tblSafetyHistory[Month],"&lt;"&amp;cfg_YearStart))*1000000,"")</f>
        <v/>
      </c>
      <c r="HG258" s="56">
        <f>IFERROR((SUMIFS(tblSafety[LTI],tblSafety[Date],"&gt;="&amp;EDATE($E258,-12),tblSafety[Date],"&lt;="&amp;$A258)+SUMIFS(tblSafetyHistory[LTI],tblSafetyHistory[Month],"&gt;="&amp;EDATE($E258,-12),tblSafetyHistory[Month],"&lt;"&amp;cfg_YearStart))/(SUMIFS(tblSafety[Hours_Total],tblSafety[Date],"&gt;="&amp;EDATE($E258,-12),tblSafety[Date],"&lt;="&amp;$A258)+SUMIFS(tblSafetyHistory[Hours_Total],tblSafetyHistory[Month],"&gt;="&amp;EDATE($E258,-12),tblSafetyHistory[Month],"&lt;"&amp;cfg_YearStart))*1000000,"")</f>
        <v/>
      </c>
      <c r="HH258" s="62">
        <f>IF(MAX(N(cfg_PriorLTIDate),_xlfn.MAXIFS(tblSafety[Date],tblSafety[LTI],"&gt;0",tblSafety[Date],"&lt;="&amp;$A258))=0,"",$A258-MAX(N(cfg_PriorLTIDate),_xlfn.MAXIFS(tblSafety[Date],tblSafety[LTI],"&gt;0",tblSafety[Date],"&lt;="&amp;$A258)))</f>
        <v/>
      </c>
      <c r="HI258" s="55">
        <f>SUMIFS(tblBudget[Ore_Mined_t],tblBudget[Month],$E258)</f>
        <v/>
      </c>
      <c r="HJ258" s="55">
        <f>$HI258*$C258/$D258</f>
        <v/>
      </c>
      <c r="HK258" s="55">
        <f>SUMIFS(tblBudget[Ore_Mined_t],tblBudget[Month],"&lt;"&amp;$E258)+$HJ258</f>
        <v/>
      </c>
      <c r="HL258" s="55">
        <f>SUMIFS(tblBudget[Ore_oz],tblBudget[Month],$E258)</f>
        <v/>
      </c>
      <c r="HM258" s="55">
        <f>$HL258*$C258/$D258</f>
        <v/>
      </c>
      <c r="HN258" s="55">
        <f>SUMIFS(tblBudget[Ore_oz],tblBudget[Month],"&lt;"&amp;$E258)+$HM258</f>
        <v/>
      </c>
      <c r="HO258" s="56">
        <f>IFERROR(IF(($HI258)&gt;0,($HL258*cfg_TroyOz)/($HI258),""),"")</f>
        <v/>
      </c>
      <c r="HP258" s="56">
        <f>IFERROR(IF(($HJ258)&gt;0,($HM258*cfg_TroyOz)/($HJ258),""),"")</f>
        <v/>
      </c>
      <c r="HQ258" s="56">
        <f>IFERROR(IF(($HK258)&gt;0,($HN258*cfg_TroyOz)/($HK258),""),"")</f>
        <v/>
      </c>
      <c r="HR258" s="55">
        <f>SUMIFS(tblBudget[Waste_t],tblBudget[Month],$E258)</f>
        <v/>
      </c>
      <c r="HS258" s="55">
        <f>$HR258*$C258/$D258</f>
        <v/>
      </c>
      <c r="HT258" s="55">
        <f>SUMIFS(tblBudget[Waste_t],tblBudget[Month],"&lt;"&amp;$E258)+$HS258</f>
        <v/>
      </c>
      <c r="HU258" s="55">
        <f>SUMIFS(tblBudget[TMM_t],tblBudget[Month],$E258)</f>
        <v/>
      </c>
      <c r="HV258" s="55">
        <f>$HU258*$C258/$D258</f>
        <v/>
      </c>
      <c r="HW258" s="55">
        <f>SUMIFS(tblBudget[TMM_t],tblBudget[Month],"&lt;"&amp;$E258)+$HV258</f>
        <v/>
      </c>
      <c r="HX258" s="56">
        <f>IFERROR(IF(($HI258)&gt;0,($HR258)/($HI258),""),"")</f>
        <v/>
      </c>
      <c r="HY258" s="56">
        <f>IFERROR(IF(($HJ258)&gt;0,($HS258)/($HJ258),""),"")</f>
        <v/>
      </c>
      <c r="HZ258" s="56">
        <f>IFERROR(IF(($HK258)&gt;0,($HT258)/($HK258),""),"")</f>
        <v/>
      </c>
      <c r="IA258" s="55">
        <f>SUMIFS(tblBudget[Drill_m],tblBudget[Month],$E258)</f>
        <v/>
      </c>
      <c r="IB258" s="55">
        <f>$IA258*$C258/$D258</f>
        <v/>
      </c>
      <c r="IC258" s="55">
        <f>SUMIFS(tblBudget[Drill_m],tblBudget[Month],"&lt;"&amp;$E258)+$IB258</f>
        <v/>
      </c>
      <c r="ID258" s="55">
        <f>SUMIFS(tblBudget[Diesel_L],tblBudget[Month],$E258)</f>
        <v/>
      </c>
      <c r="IE258" s="55">
        <f>$ID258*$C258/$D258</f>
        <v/>
      </c>
      <c r="IF258" s="55">
        <f>SUMIFS(tblBudget[Diesel_L],tblBudget[Month],"&lt;"&amp;$E258)+$IE258</f>
        <v/>
      </c>
      <c r="IG258" s="55">
        <f>SUMIFS(tblBudget[Milled_t],tblBudget[Month],$E258)</f>
        <v/>
      </c>
      <c r="IH258" s="55">
        <f>$IG258*$C258/$D258</f>
        <v/>
      </c>
      <c r="II258" s="55">
        <f>SUMIFS(tblBudget[Milled_t],tblBudget[Month],"&lt;"&amp;$E258)+$IH258</f>
        <v/>
      </c>
      <c r="IJ258" s="55">
        <f>SUMIFS(tblBudget[Feed_oz],tblBudget[Month],$E258)</f>
        <v/>
      </c>
      <c r="IK258" s="55">
        <f>$IJ258*$C258/$D258</f>
        <v/>
      </c>
      <c r="IL258" s="55">
        <f>SUMIFS(tblBudget[Feed_oz],tblBudget[Month],"&lt;"&amp;$E258)+$IK258</f>
        <v/>
      </c>
      <c r="IM258" s="55">
        <f>SUMIFS(tblBudget[Recovered_oz],tblBudget[Month],$E258)</f>
        <v/>
      </c>
      <c r="IN258" s="55">
        <f>$IM258*$C258/$D258</f>
        <v/>
      </c>
      <c r="IO258" s="55">
        <f>SUMIFS(tblBudget[Recovered_oz],tblBudget[Month],"&lt;"&amp;$E258)+$IN258</f>
        <v/>
      </c>
      <c r="IP258" s="56">
        <f>IFERROR(IF(($IG258)&gt;0,($IJ258*cfg_TroyOz)/($IG258),""),"")</f>
        <v/>
      </c>
      <c r="IQ258" s="56">
        <f>IFERROR(IF(($IH258)&gt;0,($IK258*cfg_TroyOz)/($IH258),""),"")</f>
        <v/>
      </c>
      <c r="IR258" s="56">
        <f>IFERROR(IF(($II258)&gt;0,($IL258*cfg_TroyOz)/($II258),""),"")</f>
        <v/>
      </c>
      <c r="IS258" s="67">
        <f>IFERROR(IF(($IJ258)&gt;0,($IM258)/($IJ258),""),"")</f>
        <v/>
      </c>
      <c r="IT258" s="67">
        <f>IFERROR(IF(($IK258)&gt;0,($IN258)/($IK258),""),"")</f>
        <v/>
      </c>
      <c r="IU258" s="67">
        <f>IFERROR(IF(($IL258)&gt;0,($IO258)/($IL258),""),"")</f>
        <v/>
      </c>
      <c r="IV258" s="55">
        <f>SUMIFS(tblBudget[Gold_Poured_oz],tblBudget[Month],$E258)</f>
        <v/>
      </c>
      <c r="IW258" s="55">
        <f>$IV258*$C258/$D258</f>
        <v/>
      </c>
      <c r="IX258" s="55">
        <f>SUMIFS(tblBudget[Gold_Poured_oz],tblBudget[Month],"&lt;"&amp;$E258)+$IW258</f>
        <v/>
      </c>
      <c r="IY258" s="57">
        <f>SUMIFS(tblBudget[Hours_Worked],tblBudget[Month],$E258)</f>
        <v/>
      </c>
      <c r="IZ258" s="57">
        <f>$IY258*$C258/$D258</f>
        <v/>
      </c>
      <c r="JA258" s="57">
        <f>SUMIFS(tblBudget[Hours_Worked],tblBudget[Month],"&lt;"&amp;$E258)+$IZ258</f>
        <v/>
      </c>
    </row>
    <row r="259">
      <c r="A259" s="54" t="n">
        <v>46280</v>
      </c>
      <c r="B259">
        <f>MONTH($A259)</f>
        <v/>
      </c>
      <c r="C259">
        <f>DAY($A259)</f>
        <v/>
      </c>
      <c r="D259">
        <f>DAY(EOMONTH($A259,0))</f>
        <v/>
      </c>
      <c r="E259" s="54">
        <f>DATE(YEAR($A259),MONTH($A259),1)</f>
        <v/>
      </c>
      <c r="F259" s="55">
        <f>SUMIFS(tblMovement[Tonnes_t],tblMovement[Date],$A259,tblMovement[Is_Ore],1,tblMovement[Source_Type],"Pit")</f>
        <v/>
      </c>
      <c r="G259" s="55">
        <f>IF($B259=$B258,$G258,0)+$F259</f>
        <v/>
      </c>
      <c r="H259" s="55">
        <f>$H258+$F259</f>
        <v/>
      </c>
      <c r="I259" s="55">
        <f>SUMIFS(tblMovement[Ore_oz],tblMovement[Date],$A259,tblMovement[Source_Type],"Pit")</f>
        <v/>
      </c>
      <c r="J259" s="55">
        <f>IF($B259=$B258,$J258,0)+$I259</f>
        <v/>
      </c>
      <c r="K259" s="55">
        <f>$K258+$I259</f>
        <v/>
      </c>
      <c r="L259" s="56">
        <f>IFERROR(IF(($F259)&gt;0,($I259*cfg_TroyOz)/($F259),""),"")</f>
        <v/>
      </c>
      <c r="M259" s="56">
        <f>IFERROR(IF(($G259)&gt;0,($J259*cfg_TroyOz)/($G259),""),"")</f>
        <v/>
      </c>
      <c r="N259" s="56">
        <f>IFERROR(IF(($H259)&gt;0,($K259*cfg_TroyOz)/($H259),""),"")</f>
        <v/>
      </c>
      <c r="O259" s="55">
        <f>SUMIFS(tblMovement[Tonnes_t],tblMovement[Date],$A259,tblMovement[Is_Ore],0,tblMovement[Source_Type],"Pit")</f>
        <v/>
      </c>
      <c r="P259" s="55">
        <f>IF($B259=$B258,$P258,0)+$O259</f>
        <v/>
      </c>
      <c r="Q259" s="55">
        <f>$Q258+$O259</f>
        <v/>
      </c>
      <c r="R259" s="55">
        <f>$F259+$O259</f>
        <v/>
      </c>
      <c r="S259" s="55">
        <f>IF($B259=$B258,$S258,0)+$R259</f>
        <v/>
      </c>
      <c r="T259" s="55">
        <f>$T258+$R259</f>
        <v/>
      </c>
      <c r="U259" s="56">
        <f>IFERROR(IF(($F259)&gt;0,($O259)/($F259),""),"")</f>
        <v/>
      </c>
      <c r="V259" s="56">
        <f>IFERROR(IF(($G259)&gt;0,($P259)/($G259),""),"")</f>
        <v/>
      </c>
      <c r="W259" s="56">
        <f>IFERROR(IF(($H259)&gt;0,($Q259)/($H259),""),"")</f>
        <v/>
      </c>
      <c r="X259" s="55">
        <f>SUMIFS(tblMovement[Tonnes_t],tblMovement[Date],$A259,tblMovement[Source_Type],"Stockpile")</f>
        <v/>
      </c>
      <c r="Y259" s="55">
        <f>IF($B259=$B258,$Y258,0)+$X259</f>
        <v/>
      </c>
      <c r="Z259" s="55">
        <f>$Z258+$X259</f>
        <v/>
      </c>
      <c r="AA259" s="55">
        <f>SUMIFS(tblMiningDaily[Drill_m],tblMiningDaily[Date],$A259)</f>
        <v/>
      </c>
      <c r="AB259" s="55">
        <f>IF($B259=$B258,$AB258,0)+$AA259</f>
        <v/>
      </c>
      <c r="AC259" s="55">
        <f>$AC258+$AA259</f>
        <v/>
      </c>
      <c r="AD259" s="55">
        <f>SUMIFS(tblMiningDaily[Blast_t],tblMiningDaily[Date],$A259)</f>
        <v/>
      </c>
      <c r="AE259" s="55">
        <f>IF($B259=$B258,$AE258,0)+$AD259</f>
        <v/>
      </c>
      <c r="AF259" s="55">
        <f>$AF258+$AD259</f>
        <v/>
      </c>
      <c r="AG259" s="55">
        <f>SUMIFS(tblMiningDaily[Explosives_kg],tblMiningDaily[Date],$A259)</f>
        <v/>
      </c>
      <c r="AH259" s="55">
        <f>IF($B259=$B258,$AH258,0)+$AG259</f>
        <v/>
      </c>
      <c r="AI259" s="55">
        <f>$AI258+$AG259</f>
        <v/>
      </c>
      <c r="AJ259" s="56">
        <f>IFERROR(IF(($AD259)&gt;0,($AG259)/($AD259),""),"")</f>
        <v/>
      </c>
      <c r="AK259" s="56">
        <f>IFERROR(IF(($AE259)&gt;0,($AH259)/($AE259),""),"")</f>
        <v/>
      </c>
      <c r="AL259" s="56">
        <f>IFERROR(IF(($AF259)&gt;0,($AI259)/($AF259),""),"")</f>
        <v/>
      </c>
      <c r="AM259" s="55">
        <f>SUMIFS(tblMiningDaily[Diesel_L],tblMiningDaily[Date],$A259)</f>
        <v/>
      </c>
      <c r="AN259" s="55">
        <f>IF($B259=$B258,$AN258,0)+$AM259</f>
        <v/>
      </c>
      <c r="AO259" s="55">
        <f>$AO258+$AM259</f>
        <v/>
      </c>
      <c r="AP259" s="55">
        <f>SUMIFS(tblMiningDaily[Dewatering_m3],tblMiningDaily[Date],$A259)</f>
        <v/>
      </c>
      <c r="AQ259" s="55">
        <f>IF($B259=$B258,$AQ258,0)+$AP259</f>
        <v/>
      </c>
      <c r="AR259" s="55">
        <f>$AR258+$AP259</f>
        <v/>
      </c>
      <c r="AS259" s="57">
        <f>SUMIFS(tblFleet[Calendar_h],tblFleet[Date],$A259,tblFleet[Equipment_Class],"Excavator")</f>
        <v/>
      </c>
      <c r="AT259" s="57">
        <f>IF($B259=$B258,$AT258,0)+$AS259</f>
        <v/>
      </c>
      <c r="AU259" s="57">
        <f>$AU258+$AS259</f>
        <v/>
      </c>
      <c r="AV259" s="57">
        <f>SUMIFS(tblFleet[Available_h],tblFleet[Date],$A259,tblFleet[Equipment_Class],"Excavator")</f>
        <v/>
      </c>
      <c r="AW259" s="57">
        <f>IF($B259=$B258,$AW258,0)+$AV259</f>
        <v/>
      </c>
      <c r="AX259" s="57">
        <f>$AX258+$AV259</f>
        <v/>
      </c>
      <c r="AY259" s="57">
        <f>SUMIFS(tblFleet[Operating_h],tblFleet[Date],$A259,tblFleet[Equipment_Class],"Excavator")</f>
        <v/>
      </c>
      <c r="AZ259" s="57">
        <f>IF($B259=$B258,$AZ258,0)+$AY259</f>
        <v/>
      </c>
      <c r="BA259" s="57">
        <f>$BA258+$AY259</f>
        <v/>
      </c>
      <c r="BB259" s="67">
        <f>IFERROR(IF(($AS259)&gt;0,($AV259)/($AS259),""),"")</f>
        <v/>
      </c>
      <c r="BC259" s="67">
        <f>IFERROR(IF(($AT259)&gt;0,($AW259)/($AT259),""),"")</f>
        <v/>
      </c>
      <c r="BD259" s="67">
        <f>IFERROR(IF(($AU259)&gt;0,($AX259)/($AU259),""),"")</f>
        <v/>
      </c>
      <c r="BE259" s="67">
        <f>IFERROR(IF(($AV259)&gt;0,($AY259)/($AV259),""),"")</f>
        <v/>
      </c>
      <c r="BF259" s="67">
        <f>IFERROR(IF(($AW259)&gt;0,($AZ259)/($AW259),""),"")</f>
        <v/>
      </c>
      <c r="BG259" s="67">
        <f>IFERROR(IF(($AX259)&gt;0,($BA259)/($AX259),""),"")</f>
        <v/>
      </c>
      <c r="BH259" s="57">
        <f>SUMIFS(tblFleet[Calendar_h],tblFleet[Date],$A259,tblFleet[Equipment_Class],"Haul Truck")</f>
        <v/>
      </c>
      <c r="BI259" s="57">
        <f>IF($B259=$B258,$BI258,0)+$BH259</f>
        <v/>
      </c>
      <c r="BJ259" s="57">
        <f>$BJ258+$BH259</f>
        <v/>
      </c>
      <c r="BK259" s="57">
        <f>SUMIFS(tblFleet[Available_h],tblFleet[Date],$A259,tblFleet[Equipment_Class],"Haul Truck")</f>
        <v/>
      </c>
      <c r="BL259" s="57">
        <f>IF($B259=$B258,$BL258,0)+$BK259</f>
        <v/>
      </c>
      <c r="BM259" s="57">
        <f>$BM258+$BK259</f>
        <v/>
      </c>
      <c r="BN259" s="57">
        <f>SUMIFS(tblFleet[Operating_h],tblFleet[Date],$A259,tblFleet[Equipment_Class],"Haul Truck")</f>
        <v/>
      </c>
      <c r="BO259" s="57">
        <f>IF($B259=$B258,$BO258,0)+$BN259</f>
        <v/>
      </c>
      <c r="BP259" s="57">
        <f>$BP258+$BN259</f>
        <v/>
      </c>
      <c r="BQ259" s="67">
        <f>IFERROR(IF(($BH259)&gt;0,($BK259)/($BH259),""),"")</f>
        <v/>
      </c>
      <c r="BR259" s="67">
        <f>IFERROR(IF(($BI259)&gt;0,($BL259)/($BI259),""),"")</f>
        <v/>
      </c>
      <c r="BS259" s="67">
        <f>IFERROR(IF(($BJ259)&gt;0,($BM259)/($BJ259),""),"")</f>
        <v/>
      </c>
      <c r="BT259" s="67">
        <f>IFERROR(IF(($BK259)&gt;0,($BN259)/($BK259),""),"")</f>
        <v/>
      </c>
      <c r="BU259" s="67">
        <f>IFERROR(IF(($BL259)&gt;0,($BO259)/($BL259),""),"")</f>
        <v/>
      </c>
      <c r="BV259" s="67">
        <f>IFERROR(IF(($BM259)&gt;0,($BP259)/($BM259),""),"")</f>
        <v/>
      </c>
      <c r="BW259" s="55">
        <f>SUMIFS(tblPlant[Crushed_t],tblPlant[Date],$A259)</f>
        <v/>
      </c>
      <c r="BX259" s="55">
        <f>IF($B259=$B258,$BX258,0)+$BW259</f>
        <v/>
      </c>
      <c r="BY259" s="55">
        <f>$BY258+$BW259</f>
        <v/>
      </c>
      <c r="BZ259" s="55">
        <f>SUMIFS(tblPlant[Milled_t],tblPlant[Date],$A259)</f>
        <v/>
      </c>
      <c r="CA259" s="55">
        <f>IF($B259=$B258,$CA258,0)+$BZ259</f>
        <v/>
      </c>
      <c r="CB259" s="55">
        <f>$CB258+$BZ259</f>
        <v/>
      </c>
      <c r="CC259" s="55">
        <f>SUMIFS(tblPlant[Feed_oz],tblPlant[Date],$A259)</f>
        <v/>
      </c>
      <c r="CD259" s="55">
        <f>IF($B259=$B258,$CD258,0)+$CC259</f>
        <v/>
      </c>
      <c r="CE259" s="55">
        <f>$CE258+$CC259</f>
        <v/>
      </c>
      <c r="CF259" s="55">
        <f>SUMIFS(tblPlant[Tails_oz],tblPlant[Date],$A259)</f>
        <v/>
      </c>
      <c r="CG259" s="55">
        <f>IF($B259=$B258,$CG258,0)+$CF259</f>
        <v/>
      </c>
      <c r="CH259" s="55">
        <f>$CH258+$CF259</f>
        <v/>
      </c>
      <c r="CI259" s="55">
        <f>SUMIFS(tblPlant[Recovered_oz],tblPlant[Date],$A259)</f>
        <v/>
      </c>
      <c r="CJ259" s="55">
        <f>IF($B259=$B258,$CJ258,0)+$CI259</f>
        <v/>
      </c>
      <c r="CK259" s="55">
        <f>$CK258+$CI259</f>
        <v/>
      </c>
      <c r="CL259" s="56">
        <f>IFERROR(IF(($BZ259)&gt;0,($CC259*cfg_TroyOz)/($BZ259),""),"")</f>
        <v/>
      </c>
      <c r="CM259" s="56">
        <f>IFERROR(IF(($CA259)&gt;0,($CD259*cfg_TroyOz)/($CA259),""),"")</f>
        <v/>
      </c>
      <c r="CN259" s="56">
        <f>IFERROR(IF(($CB259)&gt;0,($CE259*cfg_TroyOz)/($CB259),""),"")</f>
        <v/>
      </c>
      <c r="CO259" s="56">
        <f>IFERROR(IF(($BZ259)&gt;0,($CF259*cfg_TroyOz)/($BZ259),""),"")</f>
        <v/>
      </c>
      <c r="CP259" s="56">
        <f>IFERROR(IF(($CA259)&gt;0,($CG259*cfg_TroyOz)/($CA259),""),"")</f>
        <v/>
      </c>
      <c r="CQ259" s="56">
        <f>IFERROR(IF(($CB259)&gt;0,($CH259*cfg_TroyOz)/($CB259),""),"")</f>
        <v/>
      </c>
      <c r="CR259" s="67">
        <f>IFERROR(IF(($CC259)&gt;0,($CI259)/($CC259),""),"")</f>
        <v/>
      </c>
      <c r="CS259" s="67">
        <f>IFERROR(IF(($CD259)&gt;0,($CJ259)/($CD259),""),"")</f>
        <v/>
      </c>
      <c r="CT259" s="67">
        <f>IFERROR(IF(($CE259)&gt;0,($CK259)/($CE259),""),"")</f>
        <v/>
      </c>
      <c r="CU259" s="55">
        <f>SUMIFS(tblPlant[Gravity_Gold_oz],tblPlant[Date],$A259)</f>
        <v/>
      </c>
      <c r="CV259" s="55">
        <f>IF($B259=$B258,$CV258,0)+$CU259</f>
        <v/>
      </c>
      <c r="CW259" s="55">
        <f>$CW258+$CU259</f>
        <v/>
      </c>
      <c r="CX259" s="55">
        <f>SUMIFS(tblPlant[Gold_Poured_oz],tblPlant[Date],$A259)</f>
        <v/>
      </c>
      <c r="CY259" s="55">
        <f>IF($B259=$B258,$CY258,0)+$CX259</f>
        <v/>
      </c>
      <c r="CZ259" s="55">
        <f>$CZ258+$CX259</f>
        <v/>
      </c>
      <c r="DA259" s="57">
        <f>SUMIFS(tblPlant[Mill_Run_h],tblPlant[Date],$A259)</f>
        <v/>
      </c>
      <c r="DB259" s="57">
        <f>IF($B259=$B258,$DB258,0)+$DA259</f>
        <v/>
      </c>
      <c r="DC259" s="57">
        <f>$DC258+$DA259</f>
        <v/>
      </c>
      <c r="DD259" s="57">
        <f>SUMIFS(tblPlant[Mill_Planned_Maint_h],tblPlant[Date],$A259)</f>
        <v/>
      </c>
      <c r="DE259" s="57">
        <f>IF($B259=$B258,$DE258,0)+$DD259</f>
        <v/>
      </c>
      <c r="DF259" s="57">
        <f>$DF258+$DD259</f>
        <v/>
      </c>
      <c r="DG259" s="57">
        <f>SUMIFS(tblPlant[Mill_Unplanned_Down_h],tblPlant[Date],$A259)</f>
        <v/>
      </c>
      <c r="DH259" s="57">
        <f>IF($B259=$B258,$DH258,0)+$DG259</f>
        <v/>
      </c>
      <c r="DI259" s="57">
        <f>$DI258+$DG259</f>
        <v/>
      </c>
      <c r="DJ259" s="57">
        <f>COUNTIFS(tblPlant[Date],$A259,tblPlant[Mill_Run_h],"&lt;&gt;")*24</f>
        <v/>
      </c>
      <c r="DK259" s="57">
        <f>IF($B259=$B258,$DK258,0)+$DJ259</f>
        <v/>
      </c>
      <c r="DL259" s="57">
        <f>$DL258+$DJ259</f>
        <v/>
      </c>
      <c r="DM259" s="57">
        <f>SUMIFS(tblPlant[Crusher_Run_h],tblPlant[Date],$A259)</f>
        <v/>
      </c>
      <c r="DN259" s="57">
        <f>IF($B259=$B258,$DN258,0)+$DM259</f>
        <v/>
      </c>
      <c r="DO259" s="57">
        <f>$DO258+$DM259</f>
        <v/>
      </c>
      <c r="DP259" s="55">
        <f>IFERROR(IF(($DA259)&gt;0,($BZ259)/($DA259),""),"")</f>
        <v/>
      </c>
      <c r="DQ259" s="55">
        <f>IFERROR(IF(($DB259)&gt;0,($CA259)/($DB259),""),"")</f>
        <v/>
      </c>
      <c r="DR259" s="55">
        <f>IFERROR(IF(($DC259)&gt;0,($CB259)/($DC259),""),"")</f>
        <v/>
      </c>
      <c r="DS259" s="67">
        <f>IFERROR(IF(($DJ259)&gt;0,($DJ259-$DD259-$DG259)/($DJ259),""),"")</f>
        <v/>
      </c>
      <c r="DT259" s="67">
        <f>IFERROR(IF(($DK259)&gt;0,($DK259-$DE259-$DH259)/($DK259),""),"")</f>
        <v/>
      </c>
      <c r="DU259" s="67">
        <f>IFERROR(IF(($DL259)&gt;0,($DL259-$DF259-$DI259)/($DL259),""),"")</f>
        <v/>
      </c>
      <c r="DV259" s="67">
        <f>IFERROR(IF(($DJ259-$DD259-$DG259)&gt;0,($DA259)/($DJ259-$DD259-$DG259),""),"")</f>
        <v/>
      </c>
      <c r="DW259" s="67">
        <f>IFERROR(IF(($DK259-$DE259-$DH259)&gt;0,($DB259)/($DK259-$DE259-$DH259),""),"")</f>
        <v/>
      </c>
      <c r="DX259" s="67">
        <f>IFERROR(IF(($DL259-$DF259-$DI259)&gt;0,($DC259)/($DL259-$DF259-$DI259),""),"")</f>
        <v/>
      </c>
      <c r="DY259" s="55">
        <f>SUMIFS(tblPlant[Cyanide_kg],tblPlant[Date],$A259)</f>
        <v/>
      </c>
      <c r="DZ259" s="55">
        <f>IF($B259=$B258,$DZ258,0)+$DY259</f>
        <v/>
      </c>
      <c r="EA259" s="55">
        <f>$EA258+$DY259</f>
        <v/>
      </c>
      <c r="EB259" s="55">
        <f>SUMIFS(tblPlant[Lime_kg],tblPlant[Date],$A259)</f>
        <v/>
      </c>
      <c r="EC259" s="55">
        <f>IF($B259=$B258,$EC258,0)+$EB259</f>
        <v/>
      </c>
      <c r="ED259" s="55">
        <f>$ED258+$EB259</f>
        <v/>
      </c>
      <c r="EE259" s="55">
        <f>SUMIFS(tblPlant[Grinding_Media_kg],tblPlant[Date],$A259)</f>
        <v/>
      </c>
      <c r="EF259" s="55">
        <f>IF($B259=$B258,$EF258,0)+$EE259</f>
        <v/>
      </c>
      <c r="EG259" s="55">
        <f>$EG258+$EE259</f>
        <v/>
      </c>
      <c r="EH259" s="55">
        <f>SUMIFS(tblPlant[Power_kWh],tblPlant[Date],$A259)</f>
        <v/>
      </c>
      <c r="EI259" s="55">
        <f>IF($B259=$B258,$EI258,0)+$EH259</f>
        <v/>
      </c>
      <c r="EJ259" s="55">
        <f>$EJ258+$EH259</f>
        <v/>
      </c>
      <c r="EK259" s="55">
        <f>SUMIFS(tblPlant[Raw_Water_m3],tblPlant[Date],$A259)</f>
        <v/>
      </c>
      <c r="EL259" s="55">
        <f>IF($B259=$B258,$EL258,0)+$EK259</f>
        <v/>
      </c>
      <c r="EM259" s="55">
        <f>$EM258+$EK259</f>
        <v/>
      </c>
      <c r="EN259" s="56">
        <f>IFERROR(IF(($BZ259)&gt;0,($DY259)/($BZ259),""),"")</f>
        <v/>
      </c>
      <c r="EO259" s="56">
        <f>IFERROR(IF(($CA259)&gt;0,($DZ259)/($CA259),""),"")</f>
        <v/>
      </c>
      <c r="EP259" s="56">
        <f>IFERROR(IF(($CB259)&gt;0,($EA259)/($CB259),""),"")</f>
        <v/>
      </c>
      <c r="EQ259" s="56">
        <f>IFERROR(IF(($BZ259)&gt;0,($EB259)/($BZ259),""),"")</f>
        <v/>
      </c>
      <c r="ER259" s="56">
        <f>IFERROR(IF(($CA259)&gt;0,($EC259)/($CA259),""),"")</f>
        <v/>
      </c>
      <c r="ES259" s="56">
        <f>IFERROR(IF(($CB259)&gt;0,($ED259)/($CB259),""),"")</f>
        <v/>
      </c>
      <c r="ET259" s="56">
        <f>IFERROR(IF(($BZ259)&gt;0,($EE259)/($BZ259),""),"")</f>
        <v/>
      </c>
      <c r="EU259" s="56">
        <f>IFERROR(IF(($CA259)&gt;0,($EF259)/($CA259),""),"")</f>
        <v/>
      </c>
      <c r="EV259" s="56">
        <f>IFERROR(IF(($CB259)&gt;0,($EG259)/($CB259),""),"")</f>
        <v/>
      </c>
      <c r="EW259" s="76">
        <f>IFERROR(IF(($BZ259)&gt;0,($EH259)/($BZ259),""),"")</f>
        <v/>
      </c>
      <c r="EX259" s="76">
        <f>IFERROR(IF(($CA259)&gt;0,($EI259)/($CA259),""),"")</f>
        <v/>
      </c>
      <c r="EY259" s="76">
        <f>IFERROR(IF(($CB259)&gt;0,($EJ259)/($CB259),""),"")</f>
        <v/>
      </c>
      <c r="EZ259" s="56">
        <f>IFERROR(IF(($BZ259)&gt;0,($EK259)/($BZ259),""),"")</f>
        <v/>
      </c>
      <c r="FA259" s="56">
        <f>IFERROR(IF(($CA259)&gt;0,($EL259)/($CA259),""),"")</f>
        <v/>
      </c>
      <c r="FB259" s="56">
        <f>IFERROR(IF(($CB259)&gt;0,($EM259)/($CB259),""),"")</f>
        <v/>
      </c>
      <c r="FC259" s="55">
        <f>IF(SUMIFS(tblPlant[GIC_oz],tblPlant[Date],$A259)&gt;0,SUMIFS(tblPlant[GIC_oz],tblPlant[Date],$A259),"")</f>
        <v/>
      </c>
      <c r="FD259" s="55">
        <f>SUMIFS(tblGold[Gold_oz],tblGold[Date],$A259,tblGold[Type],"Shipment")</f>
        <v/>
      </c>
      <c r="FE259" s="55">
        <f>IF($B259=$B258,$FE258,0)+$FD259</f>
        <v/>
      </c>
      <c r="FF259" s="55">
        <f>$FF258+$FD259</f>
        <v/>
      </c>
      <c r="FG259" s="55">
        <f>SUMIFS(tblGold[Gold_oz],tblGold[Date],$A259,tblGold[Type],"Sale")</f>
        <v/>
      </c>
      <c r="FH259" s="55">
        <f>IF($B259=$B258,$FH258,0)+$FG259</f>
        <v/>
      </c>
      <c r="FI259" s="55">
        <f>$FI258+$FG259</f>
        <v/>
      </c>
      <c r="FJ259" s="55">
        <f>SUMIFS(tblGold[Dore_kg],tblGold[Date],$A259,tblGold[Type],"Shipment")</f>
        <v/>
      </c>
      <c r="FK259" s="55">
        <f>IF($B259=$B258,$FK258,0)+$FJ259</f>
        <v/>
      </c>
      <c r="FL259" s="55">
        <f>$FL258+$FJ259</f>
        <v/>
      </c>
      <c r="FM259" s="57">
        <f>SUMIFS(tblSafety[Hours_Total],tblSafety[Date],$A259)</f>
        <v/>
      </c>
      <c r="FN259" s="57">
        <f>IF($B259=$B258,$FN258,0)+$FM259</f>
        <v/>
      </c>
      <c r="FO259" s="57">
        <f>$FO258+$FM259</f>
        <v/>
      </c>
      <c r="FP259" s="62">
        <f>SUMIFS(tblSafety[Fatality],tblSafety[Date],$A259)</f>
        <v/>
      </c>
      <c r="FQ259" s="62">
        <f>IF($B259=$B258,$FQ258,0)+$FP259</f>
        <v/>
      </c>
      <c r="FR259" s="62">
        <f>$FR258+$FP259</f>
        <v/>
      </c>
      <c r="FS259" s="62">
        <f>SUMIFS(tblSafety[LTI],tblSafety[Date],$A259)</f>
        <v/>
      </c>
      <c r="FT259" s="62">
        <f>IF($B259=$B258,$FT258,0)+$FS259</f>
        <v/>
      </c>
      <c r="FU259" s="62">
        <f>$FU258+$FS259</f>
        <v/>
      </c>
      <c r="FV259" s="62">
        <f>SUMIFS(tblSafety[RWI],tblSafety[Date],$A259)</f>
        <v/>
      </c>
      <c r="FW259" s="62">
        <f>IF($B259=$B258,$FW258,0)+$FV259</f>
        <v/>
      </c>
      <c r="FX259" s="62">
        <f>$FX258+$FV259</f>
        <v/>
      </c>
      <c r="FY259" s="62">
        <f>SUMIFS(tblSafety[MTI],tblSafety[Date],$A259)</f>
        <v/>
      </c>
      <c r="FZ259" s="62">
        <f>IF($B259=$B258,$FZ258,0)+$FY259</f>
        <v/>
      </c>
      <c r="GA259" s="62">
        <f>$GA258+$FY259</f>
        <v/>
      </c>
      <c r="GB259" s="62">
        <f>SUMIFS(tblSafety[FAI],tblSafety[Date],$A259)</f>
        <v/>
      </c>
      <c r="GC259" s="62">
        <f>IF($B259=$B258,$GC258,0)+$GB259</f>
        <v/>
      </c>
      <c r="GD259" s="62">
        <f>$GD258+$GB259</f>
        <v/>
      </c>
      <c r="GE259" s="62">
        <f>SUMIFS(tblSafety[Recordables],tblSafety[Date],$A259)</f>
        <v/>
      </c>
      <c r="GF259" s="62">
        <f>IF($B259=$B258,$GF258,0)+$GE259</f>
        <v/>
      </c>
      <c r="GG259" s="62">
        <f>$GG258+$GE259</f>
        <v/>
      </c>
      <c r="GH259" s="62">
        <f>SUMIFS(tblSafety[Near_Miss],tblSafety[Date],$A259)</f>
        <v/>
      </c>
      <c r="GI259" s="62">
        <f>IF($B259=$B258,$GI258,0)+$GH259</f>
        <v/>
      </c>
      <c r="GJ259" s="62">
        <f>$GJ258+$GH259</f>
        <v/>
      </c>
      <c r="GK259" s="62">
        <f>SUMIFS(tblSafety[Hazard_Reports],tblSafety[Date],$A259)</f>
        <v/>
      </c>
      <c r="GL259" s="62">
        <f>IF($B259=$B258,$GL258,0)+$GK259</f>
        <v/>
      </c>
      <c r="GM259" s="62">
        <f>$GM258+$GK259</f>
        <v/>
      </c>
      <c r="GN259" s="62">
        <f>SUMIFS(tblSafety[HPI],tblSafety[Date],$A259)</f>
        <v/>
      </c>
      <c r="GO259" s="62">
        <f>IF($B259=$B258,$GO258,0)+$GN259</f>
        <v/>
      </c>
      <c r="GP259" s="62">
        <f>$GP258+$GN259</f>
        <v/>
      </c>
      <c r="GQ259" s="62">
        <f>SUMIFS(tblSafety[Env_Incidents],tblSafety[Date],$A259)</f>
        <v/>
      </c>
      <c r="GR259" s="62">
        <f>IF($B259=$B258,$GR258,0)+$GQ259</f>
        <v/>
      </c>
      <c r="GS259" s="62">
        <f>$GS258+$GQ259</f>
        <v/>
      </c>
      <c r="GT259" s="62">
        <f>SUMIFS(tblSafety[Community_Incidents],tblSafety[Date],$A259)</f>
        <v/>
      </c>
      <c r="GU259" s="62">
        <f>IF($B259=$B258,$GU258,0)+$GT259</f>
        <v/>
      </c>
      <c r="GV259" s="62">
        <f>$GV258+$GT259</f>
        <v/>
      </c>
      <c r="GW259" s="62">
        <f>SUMIFS(tblSafety[Vehicle_Incidents],tblSafety[Date],$A259)</f>
        <v/>
      </c>
      <c r="GX259" s="62">
        <f>IF($B259=$B258,$GX258,0)+$GW259</f>
        <v/>
      </c>
      <c r="GY259" s="62">
        <f>$GY258+$GW259</f>
        <v/>
      </c>
      <c r="GZ259" s="62">
        <f>SUMIFS(tblSafety[Toolbox_Talks],tblSafety[Date],$A259)</f>
        <v/>
      </c>
      <c r="HA259" s="62">
        <f>IF($B259=$B258,$HA258,0)+$GZ259</f>
        <v/>
      </c>
      <c r="HB259" s="62">
        <f>$HB258+$GZ259</f>
        <v/>
      </c>
      <c r="HC259" s="62">
        <f>SUMIFS(tblSafety[Inspections],tblSafety[Date],$A259)</f>
        <v/>
      </c>
      <c r="HD259" s="62">
        <f>IF($B259=$B258,$HD258,0)+$HC259</f>
        <v/>
      </c>
      <c r="HE259" s="62">
        <f>$HE258+$HC259</f>
        <v/>
      </c>
      <c r="HF259" s="56">
        <f>IFERROR((SUMIFS(tblSafety[Recordables],tblSafety[Date],"&gt;="&amp;EDATE($E259,-12),tblSafety[Date],"&lt;="&amp;$A259)+SUMIFS(tblSafetyHistory[Recordables],tblSafetyHistory[Month],"&gt;="&amp;EDATE($E259,-12),tblSafetyHistory[Month],"&lt;"&amp;cfg_YearStart))/(SUMIFS(tblSafety[Hours_Total],tblSafety[Date],"&gt;="&amp;EDATE($E259,-12),tblSafety[Date],"&lt;="&amp;$A259)+SUMIFS(tblSafetyHistory[Hours_Total],tblSafetyHistory[Month],"&gt;="&amp;EDATE($E259,-12),tblSafetyHistory[Month],"&lt;"&amp;cfg_YearStart))*1000000,"")</f>
        <v/>
      </c>
      <c r="HG259" s="56">
        <f>IFERROR((SUMIFS(tblSafety[LTI],tblSafety[Date],"&gt;="&amp;EDATE($E259,-12),tblSafety[Date],"&lt;="&amp;$A259)+SUMIFS(tblSafetyHistory[LTI],tblSafetyHistory[Month],"&gt;="&amp;EDATE($E259,-12),tblSafetyHistory[Month],"&lt;"&amp;cfg_YearStart))/(SUMIFS(tblSafety[Hours_Total],tblSafety[Date],"&gt;="&amp;EDATE($E259,-12),tblSafety[Date],"&lt;="&amp;$A259)+SUMIFS(tblSafetyHistory[Hours_Total],tblSafetyHistory[Month],"&gt;="&amp;EDATE($E259,-12),tblSafetyHistory[Month],"&lt;"&amp;cfg_YearStart))*1000000,"")</f>
        <v/>
      </c>
      <c r="HH259" s="62">
        <f>IF(MAX(N(cfg_PriorLTIDate),_xlfn.MAXIFS(tblSafety[Date],tblSafety[LTI],"&gt;0",tblSafety[Date],"&lt;="&amp;$A259))=0,"",$A259-MAX(N(cfg_PriorLTIDate),_xlfn.MAXIFS(tblSafety[Date],tblSafety[LTI],"&gt;0",tblSafety[Date],"&lt;="&amp;$A259)))</f>
        <v/>
      </c>
      <c r="HI259" s="55">
        <f>SUMIFS(tblBudget[Ore_Mined_t],tblBudget[Month],$E259)</f>
        <v/>
      </c>
      <c r="HJ259" s="55">
        <f>$HI259*$C259/$D259</f>
        <v/>
      </c>
      <c r="HK259" s="55">
        <f>SUMIFS(tblBudget[Ore_Mined_t],tblBudget[Month],"&lt;"&amp;$E259)+$HJ259</f>
        <v/>
      </c>
      <c r="HL259" s="55">
        <f>SUMIFS(tblBudget[Ore_oz],tblBudget[Month],$E259)</f>
        <v/>
      </c>
      <c r="HM259" s="55">
        <f>$HL259*$C259/$D259</f>
        <v/>
      </c>
      <c r="HN259" s="55">
        <f>SUMIFS(tblBudget[Ore_oz],tblBudget[Month],"&lt;"&amp;$E259)+$HM259</f>
        <v/>
      </c>
      <c r="HO259" s="56">
        <f>IFERROR(IF(($HI259)&gt;0,($HL259*cfg_TroyOz)/($HI259),""),"")</f>
        <v/>
      </c>
      <c r="HP259" s="56">
        <f>IFERROR(IF(($HJ259)&gt;0,($HM259*cfg_TroyOz)/($HJ259),""),"")</f>
        <v/>
      </c>
      <c r="HQ259" s="56">
        <f>IFERROR(IF(($HK259)&gt;0,($HN259*cfg_TroyOz)/($HK259),""),"")</f>
        <v/>
      </c>
      <c r="HR259" s="55">
        <f>SUMIFS(tblBudget[Waste_t],tblBudget[Month],$E259)</f>
        <v/>
      </c>
      <c r="HS259" s="55">
        <f>$HR259*$C259/$D259</f>
        <v/>
      </c>
      <c r="HT259" s="55">
        <f>SUMIFS(tblBudget[Waste_t],tblBudget[Month],"&lt;"&amp;$E259)+$HS259</f>
        <v/>
      </c>
      <c r="HU259" s="55">
        <f>SUMIFS(tblBudget[TMM_t],tblBudget[Month],$E259)</f>
        <v/>
      </c>
      <c r="HV259" s="55">
        <f>$HU259*$C259/$D259</f>
        <v/>
      </c>
      <c r="HW259" s="55">
        <f>SUMIFS(tblBudget[TMM_t],tblBudget[Month],"&lt;"&amp;$E259)+$HV259</f>
        <v/>
      </c>
      <c r="HX259" s="56">
        <f>IFERROR(IF(($HI259)&gt;0,($HR259)/($HI259),""),"")</f>
        <v/>
      </c>
      <c r="HY259" s="56">
        <f>IFERROR(IF(($HJ259)&gt;0,($HS259)/($HJ259),""),"")</f>
        <v/>
      </c>
      <c r="HZ259" s="56">
        <f>IFERROR(IF(($HK259)&gt;0,($HT259)/($HK259),""),"")</f>
        <v/>
      </c>
      <c r="IA259" s="55">
        <f>SUMIFS(tblBudget[Drill_m],tblBudget[Month],$E259)</f>
        <v/>
      </c>
      <c r="IB259" s="55">
        <f>$IA259*$C259/$D259</f>
        <v/>
      </c>
      <c r="IC259" s="55">
        <f>SUMIFS(tblBudget[Drill_m],tblBudget[Month],"&lt;"&amp;$E259)+$IB259</f>
        <v/>
      </c>
      <c r="ID259" s="55">
        <f>SUMIFS(tblBudget[Diesel_L],tblBudget[Month],$E259)</f>
        <v/>
      </c>
      <c r="IE259" s="55">
        <f>$ID259*$C259/$D259</f>
        <v/>
      </c>
      <c r="IF259" s="55">
        <f>SUMIFS(tblBudget[Diesel_L],tblBudget[Month],"&lt;"&amp;$E259)+$IE259</f>
        <v/>
      </c>
      <c r="IG259" s="55">
        <f>SUMIFS(tblBudget[Milled_t],tblBudget[Month],$E259)</f>
        <v/>
      </c>
      <c r="IH259" s="55">
        <f>$IG259*$C259/$D259</f>
        <v/>
      </c>
      <c r="II259" s="55">
        <f>SUMIFS(tblBudget[Milled_t],tblBudget[Month],"&lt;"&amp;$E259)+$IH259</f>
        <v/>
      </c>
      <c r="IJ259" s="55">
        <f>SUMIFS(tblBudget[Feed_oz],tblBudget[Month],$E259)</f>
        <v/>
      </c>
      <c r="IK259" s="55">
        <f>$IJ259*$C259/$D259</f>
        <v/>
      </c>
      <c r="IL259" s="55">
        <f>SUMIFS(tblBudget[Feed_oz],tblBudget[Month],"&lt;"&amp;$E259)+$IK259</f>
        <v/>
      </c>
      <c r="IM259" s="55">
        <f>SUMIFS(tblBudget[Recovered_oz],tblBudget[Month],$E259)</f>
        <v/>
      </c>
      <c r="IN259" s="55">
        <f>$IM259*$C259/$D259</f>
        <v/>
      </c>
      <c r="IO259" s="55">
        <f>SUMIFS(tblBudget[Recovered_oz],tblBudget[Month],"&lt;"&amp;$E259)+$IN259</f>
        <v/>
      </c>
      <c r="IP259" s="56">
        <f>IFERROR(IF(($IG259)&gt;0,($IJ259*cfg_TroyOz)/($IG259),""),"")</f>
        <v/>
      </c>
      <c r="IQ259" s="56">
        <f>IFERROR(IF(($IH259)&gt;0,($IK259*cfg_TroyOz)/($IH259),""),"")</f>
        <v/>
      </c>
      <c r="IR259" s="56">
        <f>IFERROR(IF(($II259)&gt;0,($IL259*cfg_TroyOz)/($II259),""),"")</f>
        <v/>
      </c>
      <c r="IS259" s="67">
        <f>IFERROR(IF(($IJ259)&gt;0,($IM259)/($IJ259),""),"")</f>
        <v/>
      </c>
      <c r="IT259" s="67">
        <f>IFERROR(IF(($IK259)&gt;0,($IN259)/($IK259),""),"")</f>
        <v/>
      </c>
      <c r="IU259" s="67">
        <f>IFERROR(IF(($IL259)&gt;0,($IO259)/($IL259),""),"")</f>
        <v/>
      </c>
      <c r="IV259" s="55">
        <f>SUMIFS(tblBudget[Gold_Poured_oz],tblBudget[Month],$E259)</f>
        <v/>
      </c>
      <c r="IW259" s="55">
        <f>$IV259*$C259/$D259</f>
        <v/>
      </c>
      <c r="IX259" s="55">
        <f>SUMIFS(tblBudget[Gold_Poured_oz],tblBudget[Month],"&lt;"&amp;$E259)+$IW259</f>
        <v/>
      </c>
      <c r="IY259" s="57">
        <f>SUMIFS(tblBudget[Hours_Worked],tblBudget[Month],$E259)</f>
        <v/>
      </c>
      <c r="IZ259" s="57">
        <f>$IY259*$C259/$D259</f>
        <v/>
      </c>
      <c r="JA259" s="57">
        <f>SUMIFS(tblBudget[Hours_Worked],tblBudget[Month],"&lt;"&amp;$E259)+$IZ259</f>
        <v/>
      </c>
    </row>
    <row r="260">
      <c r="A260" s="54" t="n">
        <v>46281</v>
      </c>
      <c r="B260">
        <f>MONTH($A260)</f>
        <v/>
      </c>
      <c r="C260">
        <f>DAY($A260)</f>
        <v/>
      </c>
      <c r="D260">
        <f>DAY(EOMONTH($A260,0))</f>
        <v/>
      </c>
      <c r="E260" s="54">
        <f>DATE(YEAR($A260),MONTH($A260),1)</f>
        <v/>
      </c>
      <c r="F260" s="55">
        <f>SUMIFS(tblMovement[Tonnes_t],tblMovement[Date],$A260,tblMovement[Is_Ore],1,tblMovement[Source_Type],"Pit")</f>
        <v/>
      </c>
      <c r="G260" s="55">
        <f>IF($B260=$B259,$G259,0)+$F260</f>
        <v/>
      </c>
      <c r="H260" s="55">
        <f>$H259+$F260</f>
        <v/>
      </c>
      <c r="I260" s="55">
        <f>SUMIFS(tblMovement[Ore_oz],tblMovement[Date],$A260,tblMovement[Source_Type],"Pit")</f>
        <v/>
      </c>
      <c r="J260" s="55">
        <f>IF($B260=$B259,$J259,0)+$I260</f>
        <v/>
      </c>
      <c r="K260" s="55">
        <f>$K259+$I260</f>
        <v/>
      </c>
      <c r="L260" s="56">
        <f>IFERROR(IF(($F260)&gt;0,($I260*cfg_TroyOz)/($F260),""),"")</f>
        <v/>
      </c>
      <c r="M260" s="56">
        <f>IFERROR(IF(($G260)&gt;0,($J260*cfg_TroyOz)/($G260),""),"")</f>
        <v/>
      </c>
      <c r="N260" s="56">
        <f>IFERROR(IF(($H260)&gt;0,($K260*cfg_TroyOz)/($H260),""),"")</f>
        <v/>
      </c>
      <c r="O260" s="55">
        <f>SUMIFS(tblMovement[Tonnes_t],tblMovement[Date],$A260,tblMovement[Is_Ore],0,tblMovement[Source_Type],"Pit")</f>
        <v/>
      </c>
      <c r="P260" s="55">
        <f>IF($B260=$B259,$P259,0)+$O260</f>
        <v/>
      </c>
      <c r="Q260" s="55">
        <f>$Q259+$O260</f>
        <v/>
      </c>
      <c r="R260" s="55">
        <f>$F260+$O260</f>
        <v/>
      </c>
      <c r="S260" s="55">
        <f>IF($B260=$B259,$S259,0)+$R260</f>
        <v/>
      </c>
      <c r="T260" s="55">
        <f>$T259+$R260</f>
        <v/>
      </c>
      <c r="U260" s="56">
        <f>IFERROR(IF(($F260)&gt;0,($O260)/($F260),""),"")</f>
        <v/>
      </c>
      <c r="V260" s="56">
        <f>IFERROR(IF(($G260)&gt;0,($P260)/($G260),""),"")</f>
        <v/>
      </c>
      <c r="W260" s="56">
        <f>IFERROR(IF(($H260)&gt;0,($Q260)/($H260),""),"")</f>
        <v/>
      </c>
      <c r="X260" s="55">
        <f>SUMIFS(tblMovement[Tonnes_t],tblMovement[Date],$A260,tblMovement[Source_Type],"Stockpile")</f>
        <v/>
      </c>
      <c r="Y260" s="55">
        <f>IF($B260=$B259,$Y259,0)+$X260</f>
        <v/>
      </c>
      <c r="Z260" s="55">
        <f>$Z259+$X260</f>
        <v/>
      </c>
      <c r="AA260" s="55">
        <f>SUMIFS(tblMiningDaily[Drill_m],tblMiningDaily[Date],$A260)</f>
        <v/>
      </c>
      <c r="AB260" s="55">
        <f>IF($B260=$B259,$AB259,0)+$AA260</f>
        <v/>
      </c>
      <c r="AC260" s="55">
        <f>$AC259+$AA260</f>
        <v/>
      </c>
      <c r="AD260" s="55">
        <f>SUMIFS(tblMiningDaily[Blast_t],tblMiningDaily[Date],$A260)</f>
        <v/>
      </c>
      <c r="AE260" s="55">
        <f>IF($B260=$B259,$AE259,0)+$AD260</f>
        <v/>
      </c>
      <c r="AF260" s="55">
        <f>$AF259+$AD260</f>
        <v/>
      </c>
      <c r="AG260" s="55">
        <f>SUMIFS(tblMiningDaily[Explosives_kg],tblMiningDaily[Date],$A260)</f>
        <v/>
      </c>
      <c r="AH260" s="55">
        <f>IF($B260=$B259,$AH259,0)+$AG260</f>
        <v/>
      </c>
      <c r="AI260" s="55">
        <f>$AI259+$AG260</f>
        <v/>
      </c>
      <c r="AJ260" s="56">
        <f>IFERROR(IF(($AD260)&gt;0,($AG260)/($AD260),""),"")</f>
        <v/>
      </c>
      <c r="AK260" s="56">
        <f>IFERROR(IF(($AE260)&gt;0,($AH260)/($AE260),""),"")</f>
        <v/>
      </c>
      <c r="AL260" s="56">
        <f>IFERROR(IF(($AF260)&gt;0,($AI260)/($AF260),""),"")</f>
        <v/>
      </c>
      <c r="AM260" s="55">
        <f>SUMIFS(tblMiningDaily[Diesel_L],tblMiningDaily[Date],$A260)</f>
        <v/>
      </c>
      <c r="AN260" s="55">
        <f>IF($B260=$B259,$AN259,0)+$AM260</f>
        <v/>
      </c>
      <c r="AO260" s="55">
        <f>$AO259+$AM260</f>
        <v/>
      </c>
      <c r="AP260" s="55">
        <f>SUMIFS(tblMiningDaily[Dewatering_m3],tblMiningDaily[Date],$A260)</f>
        <v/>
      </c>
      <c r="AQ260" s="55">
        <f>IF($B260=$B259,$AQ259,0)+$AP260</f>
        <v/>
      </c>
      <c r="AR260" s="55">
        <f>$AR259+$AP260</f>
        <v/>
      </c>
      <c r="AS260" s="57">
        <f>SUMIFS(tblFleet[Calendar_h],tblFleet[Date],$A260,tblFleet[Equipment_Class],"Excavator")</f>
        <v/>
      </c>
      <c r="AT260" s="57">
        <f>IF($B260=$B259,$AT259,0)+$AS260</f>
        <v/>
      </c>
      <c r="AU260" s="57">
        <f>$AU259+$AS260</f>
        <v/>
      </c>
      <c r="AV260" s="57">
        <f>SUMIFS(tblFleet[Available_h],tblFleet[Date],$A260,tblFleet[Equipment_Class],"Excavator")</f>
        <v/>
      </c>
      <c r="AW260" s="57">
        <f>IF($B260=$B259,$AW259,0)+$AV260</f>
        <v/>
      </c>
      <c r="AX260" s="57">
        <f>$AX259+$AV260</f>
        <v/>
      </c>
      <c r="AY260" s="57">
        <f>SUMIFS(tblFleet[Operating_h],tblFleet[Date],$A260,tblFleet[Equipment_Class],"Excavator")</f>
        <v/>
      </c>
      <c r="AZ260" s="57">
        <f>IF($B260=$B259,$AZ259,0)+$AY260</f>
        <v/>
      </c>
      <c r="BA260" s="57">
        <f>$BA259+$AY260</f>
        <v/>
      </c>
      <c r="BB260" s="67">
        <f>IFERROR(IF(($AS260)&gt;0,($AV260)/($AS260),""),"")</f>
        <v/>
      </c>
      <c r="BC260" s="67">
        <f>IFERROR(IF(($AT260)&gt;0,($AW260)/($AT260),""),"")</f>
        <v/>
      </c>
      <c r="BD260" s="67">
        <f>IFERROR(IF(($AU260)&gt;0,($AX260)/($AU260),""),"")</f>
        <v/>
      </c>
      <c r="BE260" s="67">
        <f>IFERROR(IF(($AV260)&gt;0,($AY260)/($AV260),""),"")</f>
        <v/>
      </c>
      <c r="BF260" s="67">
        <f>IFERROR(IF(($AW260)&gt;0,($AZ260)/($AW260),""),"")</f>
        <v/>
      </c>
      <c r="BG260" s="67">
        <f>IFERROR(IF(($AX260)&gt;0,($BA260)/($AX260),""),"")</f>
        <v/>
      </c>
      <c r="BH260" s="57">
        <f>SUMIFS(tblFleet[Calendar_h],tblFleet[Date],$A260,tblFleet[Equipment_Class],"Haul Truck")</f>
        <v/>
      </c>
      <c r="BI260" s="57">
        <f>IF($B260=$B259,$BI259,0)+$BH260</f>
        <v/>
      </c>
      <c r="BJ260" s="57">
        <f>$BJ259+$BH260</f>
        <v/>
      </c>
      <c r="BK260" s="57">
        <f>SUMIFS(tblFleet[Available_h],tblFleet[Date],$A260,tblFleet[Equipment_Class],"Haul Truck")</f>
        <v/>
      </c>
      <c r="BL260" s="57">
        <f>IF($B260=$B259,$BL259,0)+$BK260</f>
        <v/>
      </c>
      <c r="BM260" s="57">
        <f>$BM259+$BK260</f>
        <v/>
      </c>
      <c r="BN260" s="57">
        <f>SUMIFS(tblFleet[Operating_h],tblFleet[Date],$A260,tblFleet[Equipment_Class],"Haul Truck")</f>
        <v/>
      </c>
      <c r="BO260" s="57">
        <f>IF($B260=$B259,$BO259,0)+$BN260</f>
        <v/>
      </c>
      <c r="BP260" s="57">
        <f>$BP259+$BN260</f>
        <v/>
      </c>
      <c r="BQ260" s="67">
        <f>IFERROR(IF(($BH260)&gt;0,($BK260)/($BH260),""),"")</f>
        <v/>
      </c>
      <c r="BR260" s="67">
        <f>IFERROR(IF(($BI260)&gt;0,($BL260)/($BI260),""),"")</f>
        <v/>
      </c>
      <c r="BS260" s="67">
        <f>IFERROR(IF(($BJ260)&gt;0,($BM260)/($BJ260),""),"")</f>
        <v/>
      </c>
      <c r="BT260" s="67">
        <f>IFERROR(IF(($BK260)&gt;0,($BN260)/($BK260),""),"")</f>
        <v/>
      </c>
      <c r="BU260" s="67">
        <f>IFERROR(IF(($BL260)&gt;0,($BO260)/($BL260),""),"")</f>
        <v/>
      </c>
      <c r="BV260" s="67">
        <f>IFERROR(IF(($BM260)&gt;0,($BP260)/($BM260),""),"")</f>
        <v/>
      </c>
      <c r="BW260" s="55">
        <f>SUMIFS(tblPlant[Crushed_t],tblPlant[Date],$A260)</f>
        <v/>
      </c>
      <c r="BX260" s="55">
        <f>IF($B260=$B259,$BX259,0)+$BW260</f>
        <v/>
      </c>
      <c r="BY260" s="55">
        <f>$BY259+$BW260</f>
        <v/>
      </c>
      <c r="BZ260" s="55">
        <f>SUMIFS(tblPlant[Milled_t],tblPlant[Date],$A260)</f>
        <v/>
      </c>
      <c r="CA260" s="55">
        <f>IF($B260=$B259,$CA259,0)+$BZ260</f>
        <v/>
      </c>
      <c r="CB260" s="55">
        <f>$CB259+$BZ260</f>
        <v/>
      </c>
      <c r="CC260" s="55">
        <f>SUMIFS(tblPlant[Feed_oz],tblPlant[Date],$A260)</f>
        <v/>
      </c>
      <c r="CD260" s="55">
        <f>IF($B260=$B259,$CD259,0)+$CC260</f>
        <v/>
      </c>
      <c r="CE260" s="55">
        <f>$CE259+$CC260</f>
        <v/>
      </c>
      <c r="CF260" s="55">
        <f>SUMIFS(tblPlant[Tails_oz],tblPlant[Date],$A260)</f>
        <v/>
      </c>
      <c r="CG260" s="55">
        <f>IF($B260=$B259,$CG259,0)+$CF260</f>
        <v/>
      </c>
      <c r="CH260" s="55">
        <f>$CH259+$CF260</f>
        <v/>
      </c>
      <c r="CI260" s="55">
        <f>SUMIFS(tblPlant[Recovered_oz],tblPlant[Date],$A260)</f>
        <v/>
      </c>
      <c r="CJ260" s="55">
        <f>IF($B260=$B259,$CJ259,0)+$CI260</f>
        <v/>
      </c>
      <c r="CK260" s="55">
        <f>$CK259+$CI260</f>
        <v/>
      </c>
      <c r="CL260" s="56">
        <f>IFERROR(IF(($BZ260)&gt;0,($CC260*cfg_TroyOz)/($BZ260),""),"")</f>
        <v/>
      </c>
      <c r="CM260" s="56">
        <f>IFERROR(IF(($CA260)&gt;0,($CD260*cfg_TroyOz)/($CA260),""),"")</f>
        <v/>
      </c>
      <c r="CN260" s="56">
        <f>IFERROR(IF(($CB260)&gt;0,($CE260*cfg_TroyOz)/($CB260),""),"")</f>
        <v/>
      </c>
      <c r="CO260" s="56">
        <f>IFERROR(IF(($BZ260)&gt;0,($CF260*cfg_TroyOz)/($BZ260),""),"")</f>
        <v/>
      </c>
      <c r="CP260" s="56">
        <f>IFERROR(IF(($CA260)&gt;0,($CG260*cfg_TroyOz)/($CA260),""),"")</f>
        <v/>
      </c>
      <c r="CQ260" s="56">
        <f>IFERROR(IF(($CB260)&gt;0,($CH260*cfg_TroyOz)/($CB260),""),"")</f>
        <v/>
      </c>
      <c r="CR260" s="67">
        <f>IFERROR(IF(($CC260)&gt;0,($CI260)/($CC260),""),"")</f>
        <v/>
      </c>
      <c r="CS260" s="67">
        <f>IFERROR(IF(($CD260)&gt;0,($CJ260)/($CD260),""),"")</f>
        <v/>
      </c>
      <c r="CT260" s="67">
        <f>IFERROR(IF(($CE260)&gt;0,($CK260)/($CE260),""),"")</f>
        <v/>
      </c>
      <c r="CU260" s="55">
        <f>SUMIFS(tblPlant[Gravity_Gold_oz],tblPlant[Date],$A260)</f>
        <v/>
      </c>
      <c r="CV260" s="55">
        <f>IF($B260=$B259,$CV259,0)+$CU260</f>
        <v/>
      </c>
      <c r="CW260" s="55">
        <f>$CW259+$CU260</f>
        <v/>
      </c>
      <c r="CX260" s="55">
        <f>SUMIFS(tblPlant[Gold_Poured_oz],tblPlant[Date],$A260)</f>
        <v/>
      </c>
      <c r="CY260" s="55">
        <f>IF($B260=$B259,$CY259,0)+$CX260</f>
        <v/>
      </c>
      <c r="CZ260" s="55">
        <f>$CZ259+$CX260</f>
        <v/>
      </c>
      <c r="DA260" s="57">
        <f>SUMIFS(tblPlant[Mill_Run_h],tblPlant[Date],$A260)</f>
        <v/>
      </c>
      <c r="DB260" s="57">
        <f>IF($B260=$B259,$DB259,0)+$DA260</f>
        <v/>
      </c>
      <c r="DC260" s="57">
        <f>$DC259+$DA260</f>
        <v/>
      </c>
      <c r="DD260" s="57">
        <f>SUMIFS(tblPlant[Mill_Planned_Maint_h],tblPlant[Date],$A260)</f>
        <v/>
      </c>
      <c r="DE260" s="57">
        <f>IF($B260=$B259,$DE259,0)+$DD260</f>
        <v/>
      </c>
      <c r="DF260" s="57">
        <f>$DF259+$DD260</f>
        <v/>
      </c>
      <c r="DG260" s="57">
        <f>SUMIFS(tblPlant[Mill_Unplanned_Down_h],tblPlant[Date],$A260)</f>
        <v/>
      </c>
      <c r="DH260" s="57">
        <f>IF($B260=$B259,$DH259,0)+$DG260</f>
        <v/>
      </c>
      <c r="DI260" s="57">
        <f>$DI259+$DG260</f>
        <v/>
      </c>
      <c r="DJ260" s="57">
        <f>COUNTIFS(tblPlant[Date],$A260,tblPlant[Mill_Run_h],"&lt;&gt;")*24</f>
        <v/>
      </c>
      <c r="DK260" s="57">
        <f>IF($B260=$B259,$DK259,0)+$DJ260</f>
        <v/>
      </c>
      <c r="DL260" s="57">
        <f>$DL259+$DJ260</f>
        <v/>
      </c>
      <c r="DM260" s="57">
        <f>SUMIFS(tblPlant[Crusher_Run_h],tblPlant[Date],$A260)</f>
        <v/>
      </c>
      <c r="DN260" s="57">
        <f>IF($B260=$B259,$DN259,0)+$DM260</f>
        <v/>
      </c>
      <c r="DO260" s="57">
        <f>$DO259+$DM260</f>
        <v/>
      </c>
      <c r="DP260" s="55">
        <f>IFERROR(IF(($DA260)&gt;0,($BZ260)/($DA260),""),"")</f>
        <v/>
      </c>
      <c r="DQ260" s="55">
        <f>IFERROR(IF(($DB260)&gt;0,($CA260)/($DB260),""),"")</f>
        <v/>
      </c>
      <c r="DR260" s="55">
        <f>IFERROR(IF(($DC260)&gt;0,($CB260)/($DC260),""),"")</f>
        <v/>
      </c>
      <c r="DS260" s="67">
        <f>IFERROR(IF(($DJ260)&gt;0,($DJ260-$DD260-$DG260)/($DJ260),""),"")</f>
        <v/>
      </c>
      <c r="DT260" s="67">
        <f>IFERROR(IF(($DK260)&gt;0,($DK260-$DE260-$DH260)/($DK260),""),"")</f>
        <v/>
      </c>
      <c r="DU260" s="67">
        <f>IFERROR(IF(($DL260)&gt;0,($DL260-$DF260-$DI260)/($DL260),""),"")</f>
        <v/>
      </c>
      <c r="DV260" s="67">
        <f>IFERROR(IF(($DJ260-$DD260-$DG260)&gt;0,($DA260)/($DJ260-$DD260-$DG260),""),"")</f>
        <v/>
      </c>
      <c r="DW260" s="67">
        <f>IFERROR(IF(($DK260-$DE260-$DH260)&gt;0,($DB260)/($DK260-$DE260-$DH260),""),"")</f>
        <v/>
      </c>
      <c r="DX260" s="67">
        <f>IFERROR(IF(($DL260-$DF260-$DI260)&gt;0,($DC260)/($DL260-$DF260-$DI260),""),"")</f>
        <v/>
      </c>
      <c r="DY260" s="55">
        <f>SUMIFS(tblPlant[Cyanide_kg],tblPlant[Date],$A260)</f>
        <v/>
      </c>
      <c r="DZ260" s="55">
        <f>IF($B260=$B259,$DZ259,0)+$DY260</f>
        <v/>
      </c>
      <c r="EA260" s="55">
        <f>$EA259+$DY260</f>
        <v/>
      </c>
      <c r="EB260" s="55">
        <f>SUMIFS(tblPlant[Lime_kg],tblPlant[Date],$A260)</f>
        <v/>
      </c>
      <c r="EC260" s="55">
        <f>IF($B260=$B259,$EC259,0)+$EB260</f>
        <v/>
      </c>
      <c r="ED260" s="55">
        <f>$ED259+$EB260</f>
        <v/>
      </c>
      <c r="EE260" s="55">
        <f>SUMIFS(tblPlant[Grinding_Media_kg],tblPlant[Date],$A260)</f>
        <v/>
      </c>
      <c r="EF260" s="55">
        <f>IF($B260=$B259,$EF259,0)+$EE260</f>
        <v/>
      </c>
      <c r="EG260" s="55">
        <f>$EG259+$EE260</f>
        <v/>
      </c>
      <c r="EH260" s="55">
        <f>SUMIFS(tblPlant[Power_kWh],tblPlant[Date],$A260)</f>
        <v/>
      </c>
      <c r="EI260" s="55">
        <f>IF($B260=$B259,$EI259,0)+$EH260</f>
        <v/>
      </c>
      <c r="EJ260" s="55">
        <f>$EJ259+$EH260</f>
        <v/>
      </c>
      <c r="EK260" s="55">
        <f>SUMIFS(tblPlant[Raw_Water_m3],tblPlant[Date],$A260)</f>
        <v/>
      </c>
      <c r="EL260" s="55">
        <f>IF($B260=$B259,$EL259,0)+$EK260</f>
        <v/>
      </c>
      <c r="EM260" s="55">
        <f>$EM259+$EK260</f>
        <v/>
      </c>
      <c r="EN260" s="56">
        <f>IFERROR(IF(($BZ260)&gt;0,($DY260)/($BZ260),""),"")</f>
        <v/>
      </c>
      <c r="EO260" s="56">
        <f>IFERROR(IF(($CA260)&gt;0,($DZ260)/($CA260),""),"")</f>
        <v/>
      </c>
      <c r="EP260" s="56">
        <f>IFERROR(IF(($CB260)&gt;0,($EA260)/($CB260),""),"")</f>
        <v/>
      </c>
      <c r="EQ260" s="56">
        <f>IFERROR(IF(($BZ260)&gt;0,($EB260)/($BZ260),""),"")</f>
        <v/>
      </c>
      <c r="ER260" s="56">
        <f>IFERROR(IF(($CA260)&gt;0,($EC260)/($CA260),""),"")</f>
        <v/>
      </c>
      <c r="ES260" s="56">
        <f>IFERROR(IF(($CB260)&gt;0,($ED260)/($CB260),""),"")</f>
        <v/>
      </c>
      <c r="ET260" s="56">
        <f>IFERROR(IF(($BZ260)&gt;0,($EE260)/($BZ260),""),"")</f>
        <v/>
      </c>
      <c r="EU260" s="56">
        <f>IFERROR(IF(($CA260)&gt;0,($EF260)/($CA260),""),"")</f>
        <v/>
      </c>
      <c r="EV260" s="56">
        <f>IFERROR(IF(($CB260)&gt;0,($EG260)/($CB260),""),"")</f>
        <v/>
      </c>
      <c r="EW260" s="76">
        <f>IFERROR(IF(($BZ260)&gt;0,($EH260)/($BZ260),""),"")</f>
        <v/>
      </c>
      <c r="EX260" s="76">
        <f>IFERROR(IF(($CA260)&gt;0,($EI260)/($CA260),""),"")</f>
        <v/>
      </c>
      <c r="EY260" s="76">
        <f>IFERROR(IF(($CB260)&gt;0,($EJ260)/($CB260),""),"")</f>
        <v/>
      </c>
      <c r="EZ260" s="56">
        <f>IFERROR(IF(($BZ260)&gt;0,($EK260)/($BZ260),""),"")</f>
        <v/>
      </c>
      <c r="FA260" s="56">
        <f>IFERROR(IF(($CA260)&gt;0,($EL260)/($CA260),""),"")</f>
        <v/>
      </c>
      <c r="FB260" s="56">
        <f>IFERROR(IF(($CB260)&gt;0,($EM260)/($CB260),""),"")</f>
        <v/>
      </c>
      <c r="FC260" s="55">
        <f>IF(SUMIFS(tblPlant[GIC_oz],tblPlant[Date],$A260)&gt;0,SUMIFS(tblPlant[GIC_oz],tblPlant[Date],$A260),"")</f>
        <v/>
      </c>
      <c r="FD260" s="55">
        <f>SUMIFS(tblGold[Gold_oz],tblGold[Date],$A260,tblGold[Type],"Shipment")</f>
        <v/>
      </c>
      <c r="FE260" s="55">
        <f>IF($B260=$B259,$FE259,0)+$FD260</f>
        <v/>
      </c>
      <c r="FF260" s="55">
        <f>$FF259+$FD260</f>
        <v/>
      </c>
      <c r="FG260" s="55">
        <f>SUMIFS(tblGold[Gold_oz],tblGold[Date],$A260,tblGold[Type],"Sale")</f>
        <v/>
      </c>
      <c r="FH260" s="55">
        <f>IF($B260=$B259,$FH259,0)+$FG260</f>
        <v/>
      </c>
      <c r="FI260" s="55">
        <f>$FI259+$FG260</f>
        <v/>
      </c>
      <c r="FJ260" s="55">
        <f>SUMIFS(tblGold[Dore_kg],tblGold[Date],$A260,tblGold[Type],"Shipment")</f>
        <v/>
      </c>
      <c r="FK260" s="55">
        <f>IF($B260=$B259,$FK259,0)+$FJ260</f>
        <v/>
      </c>
      <c r="FL260" s="55">
        <f>$FL259+$FJ260</f>
        <v/>
      </c>
      <c r="FM260" s="57">
        <f>SUMIFS(tblSafety[Hours_Total],tblSafety[Date],$A260)</f>
        <v/>
      </c>
      <c r="FN260" s="57">
        <f>IF($B260=$B259,$FN259,0)+$FM260</f>
        <v/>
      </c>
      <c r="FO260" s="57">
        <f>$FO259+$FM260</f>
        <v/>
      </c>
      <c r="FP260" s="62">
        <f>SUMIFS(tblSafety[Fatality],tblSafety[Date],$A260)</f>
        <v/>
      </c>
      <c r="FQ260" s="62">
        <f>IF($B260=$B259,$FQ259,0)+$FP260</f>
        <v/>
      </c>
      <c r="FR260" s="62">
        <f>$FR259+$FP260</f>
        <v/>
      </c>
      <c r="FS260" s="62">
        <f>SUMIFS(tblSafety[LTI],tblSafety[Date],$A260)</f>
        <v/>
      </c>
      <c r="FT260" s="62">
        <f>IF($B260=$B259,$FT259,0)+$FS260</f>
        <v/>
      </c>
      <c r="FU260" s="62">
        <f>$FU259+$FS260</f>
        <v/>
      </c>
      <c r="FV260" s="62">
        <f>SUMIFS(tblSafety[RWI],tblSafety[Date],$A260)</f>
        <v/>
      </c>
      <c r="FW260" s="62">
        <f>IF($B260=$B259,$FW259,0)+$FV260</f>
        <v/>
      </c>
      <c r="FX260" s="62">
        <f>$FX259+$FV260</f>
        <v/>
      </c>
      <c r="FY260" s="62">
        <f>SUMIFS(tblSafety[MTI],tblSafety[Date],$A260)</f>
        <v/>
      </c>
      <c r="FZ260" s="62">
        <f>IF($B260=$B259,$FZ259,0)+$FY260</f>
        <v/>
      </c>
      <c r="GA260" s="62">
        <f>$GA259+$FY260</f>
        <v/>
      </c>
      <c r="GB260" s="62">
        <f>SUMIFS(tblSafety[FAI],tblSafety[Date],$A260)</f>
        <v/>
      </c>
      <c r="GC260" s="62">
        <f>IF($B260=$B259,$GC259,0)+$GB260</f>
        <v/>
      </c>
      <c r="GD260" s="62">
        <f>$GD259+$GB260</f>
        <v/>
      </c>
      <c r="GE260" s="62">
        <f>SUMIFS(tblSafety[Recordables],tblSafety[Date],$A260)</f>
        <v/>
      </c>
      <c r="GF260" s="62">
        <f>IF($B260=$B259,$GF259,0)+$GE260</f>
        <v/>
      </c>
      <c r="GG260" s="62">
        <f>$GG259+$GE260</f>
        <v/>
      </c>
      <c r="GH260" s="62">
        <f>SUMIFS(tblSafety[Near_Miss],tblSafety[Date],$A260)</f>
        <v/>
      </c>
      <c r="GI260" s="62">
        <f>IF($B260=$B259,$GI259,0)+$GH260</f>
        <v/>
      </c>
      <c r="GJ260" s="62">
        <f>$GJ259+$GH260</f>
        <v/>
      </c>
      <c r="GK260" s="62">
        <f>SUMIFS(tblSafety[Hazard_Reports],tblSafety[Date],$A260)</f>
        <v/>
      </c>
      <c r="GL260" s="62">
        <f>IF($B260=$B259,$GL259,0)+$GK260</f>
        <v/>
      </c>
      <c r="GM260" s="62">
        <f>$GM259+$GK260</f>
        <v/>
      </c>
      <c r="GN260" s="62">
        <f>SUMIFS(tblSafety[HPI],tblSafety[Date],$A260)</f>
        <v/>
      </c>
      <c r="GO260" s="62">
        <f>IF($B260=$B259,$GO259,0)+$GN260</f>
        <v/>
      </c>
      <c r="GP260" s="62">
        <f>$GP259+$GN260</f>
        <v/>
      </c>
      <c r="GQ260" s="62">
        <f>SUMIFS(tblSafety[Env_Incidents],tblSafety[Date],$A260)</f>
        <v/>
      </c>
      <c r="GR260" s="62">
        <f>IF($B260=$B259,$GR259,0)+$GQ260</f>
        <v/>
      </c>
      <c r="GS260" s="62">
        <f>$GS259+$GQ260</f>
        <v/>
      </c>
      <c r="GT260" s="62">
        <f>SUMIFS(tblSafety[Community_Incidents],tblSafety[Date],$A260)</f>
        <v/>
      </c>
      <c r="GU260" s="62">
        <f>IF($B260=$B259,$GU259,0)+$GT260</f>
        <v/>
      </c>
      <c r="GV260" s="62">
        <f>$GV259+$GT260</f>
        <v/>
      </c>
      <c r="GW260" s="62">
        <f>SUMIFS(tblSafety[Vehicle_Incidents],tblSafety[Date],$A260)</f>
        <v/>
      </c>
      <c r="GX260" s="62">
        <f>IF($B260=$B259,$GX259,0)+$GW260</f>
        <v/>
      </c>
      <c r="GY260" s="62">
        <f>$GY259+$GW260</f>
        <v/>
      </c>
      <c r="GZ260" s="62">
        <f>SUMIFS(tblSafety[Toolbox_Talks],tblSafety[Date],$A260)</f>
        <v/>
      </c>
      <c r="HA260" s="62">
        <f>IF($B260=$B259,$HA259,0)+$GZ260</f>
        <v/>
      </c>
      <c r="HB260" s="62">
        <f>$HB259+$GZ260</f>
        <v/>
      </c>
      <c r="HC260" s="62">
        <f>SUMIFS(tblSafety[Inspections],tblSafety[Date],$A260)</f>
        <v/>
      </c>
      <c r="HD260" s="62">
        <f>IF($B260=$B259,$HD259,0)+$HC260</f>
        <v/>
      </c>
      <c r="HE260" s="62">
        <f>$HE259+$HC260</f>
        <v/>
      </c>
      <c r="HF260" s="56">
        <f>IFERROR((SUMIFS(tblSafety[Recordables],tblSafety[Date],"&gt;="&amp;EDATE($E260,-12),tblSafety[Date],"&lt;="&amp;$A260)+SUMIFS(tblSafetyHistory[Recordables],tblSafetyHistory[Month],"&gt;="&amp;EDATE($E260,-12),tblSafetyHistory[Month],"&lt;"&amp;cfg_YearStart))/(SUMIFS(tblSafety[Hours_Total],tblSafety[Date],"&gt;="&amp;EDATE($E260,-12),tblSafety[Date],"&lt;="&amp;$A260)+SUMIFS(tblSafetyHistory[Hours_Total],tblSafetyHistory[Month],"&gt;="&amp;EDATE($E260,-12),tblSafetyHistory[Month],"&lt;"&amp;cfg_YearStart))*1000000,"")</f>
        <v/>
      </c>
      <c r="HG260" s="56">
        <f>IFERROR((SUMIFS(tblSafety[LTI],tblSafety[Date],"&gt;="&amp;EDATE($E260,-12),tblSafety[Date],"&lt;="&amp;$A260)+SUMIFS(tblSafetyHistory[LTI],tblSafetyHistory[Month],"&gt;="&amp;EDATE($E260,-12),tblSafetyHistory[Month],"&lt;"&amp;cfg_YearStart))/(SUMIFS(tblSafety[Hours_Total],tblSafety[Date],"&gt;="&amp;EDATE($E260,-12),tblSafety[Date],"&lt;="&amp;$A260)+SUMIFS(tblSafetyHistory[Hours_Total],tblSafetyHistory[Month],"&gt;="&amp;EDATE($E260,-12),tblSafetyHistory[Month],"&lt;"&amp;cfg_YearStart))*1000000,"")</f>
        <v/>
      </c>
      <c r="HH260" s="62">
        <f>IF(MAX(N(cfg_PriorLTIDate),_xlfn.MAXIFS(tblSafety[Date],tblSafety[LTI],"&gt;0",tblSafety[Date],"&lt;="&amp;$A260))=0,"",$A260-MAX(N(cfg_PriorLTIDate),_xlfn.MAXIFS(tblSafety[Date],tblSafety[LTI],"&gt;0",tblSafety[Date],"&lt;="&amp;$A260)))</f>
        <v/>
      </c>
      <c r="HI260" s="55">
        <f>SUMIFS(tblBudget[Ore_Mined_t],tblBudget[Month],$E260)</f>
        <v/>
      </c>
      <c r="HJ260" s="55">
        <f>$HI260*$C260/$D260</f>
        <v/>
      </c>
      <c r="HK260" s="55">
        <f>SUMIFS(tblBudget[Ore_Mined_t],tblBudget[Month],"&lt;"&amp;$E260)+$HJ260</f>
        <v/>
      </c>
      <c r="HL260" s="55">
        <f>SUMIFS(tblBudget[Ore_oz],tblBudget[Month],$E260)</f>
        <v/>
      </c>
      <c r="HM260" s="55">
        <f>$HL260*$C260/$D260</f>
        <v/>
      </c>
      <c r="HN260" s="55">
        <f>SUMIFS(tblBudget[Ore_oz],tblBudget[Month],"&lt;"&amp;$E260)+$HM260</f>
        <v/>
      </c>
      <c r="HO260" s="56">
        <f>IFERROR(IF(($HI260)&gt;0,($HL260*cfg_TroyOz)/($HI260),""),"")</f>
        <v/>
      </c>
      <c r="HP260" s="56">
        <f>IFERROR(IF(($HJ260)&gt;0,($HM260*cfg_TroyOz)/($HJ260),""),"")</f>
        <v/>
      </c>
      <c r="HQ260" s="56">
        <f>IFERROR(IF(($HK260)&gt;0,($HN260*cfg_TroyOz)/($HK260),""),"")</f>
        <v/>
      </c>
      <c r="HR260" s="55">
        <f>SUMIFS(tblBudget[Waste_t],tblBudget[Month],$E260)</f>
        <v/>
      </c>
      <c r="HS260" s="55">
        <f>$HR260*$C260/$D260</f>
        <v/>
      </c>
      <c r="HT260" s="55">
        <f>SUMIFS(tblBudget[Waste_t],tblBudget[Month],"&lt;"&amp;$E260)+$HS260</f>
        <v/>
      </c>
      <c r="HU260" s="55">
        <f>SUMIFS(tblBudget[TMM_t],tblBudget[Month],$E260)</f>
        <v/>
      </c>
      <c r="HV260" s="55">
        <f>$HU260*$C260/$D260</f>
        <v/>
      </c>
      <c r="HW260" s="55">
        <f>SUMIFS(tblBudget[TMM_t],tblBudget[Month],"&lt;"&amp;$E260)+$HV260</f>
        <v/>
      </c>
      <c r="HX260" s="56">
        <f>IFERROR(IF(($HI260)&gt;0,($HR260)/($HI260),""),"")</f>
        <v/>
      </c>
      <c r="HY260" s="56">
        <f>IFERROR(IF(($HJ260)&gt;0,($HS260)/($HJ260),""),"")</f>
        <v/>
      </c>
      <c r="HZ260" s="56">
        <f>IFERROR(IF(($HK260)&gt;0,($HT260)/($HK260),""),"")</f>
        <v/>
      </c>
      <c r="IA260" s="55">
        <f>SUMIFS(tblBudget[Drill_m],tblBudget[Month],$E260)</f>
        <v/>
      </c>
      <c r="IB260" s="55">
        <f>$IA260*$C260/$D260</f>
        <v/>
      </c>
      <c r="IC260" s="55">
        <f>SUMIFS(tblBudget[Drill_m],tblBudget[Month],"&lt;"&amp;$E260)+$IB260</f>
        <v/>
      </c>
      <c r="ID260" s="55">
        <f>SUMIFS(tblBudget[Diesel_L],tblBudget[Month],$E260)</f>
        <v/>
      </c>
      <c r="IE260" s="55">
        <f>$ID260*$C260/$D260</f>
        <v/>
      </c>
      <c r="IF260" s="55">
        <f>SUMIFS(tblBudget[Diesel_L],tblBudget[Month],"&lt;"&amp;$E260)+$IE260</f>
        <v/>
      </c>
      <c r="IG260" s="55">
        <f>SUMIFS(tblBudget[Milled_t],tblBudget[Month],$E260)</f>
        <v/>
      </c>
      <c r="IH260" s="55">
        <f>$IG260*$C260/$D260</f>
        <v/>
      </c>
      <c r="II260" s="55">
        <f>SUMIFS(tblBudget[Milled_t],tblBudget[Month],"&lt;"&amp;$E260)+$IH260</f>
        <v/>
      </c>
      <c r="IJ260" s="55">
        <f>SUMIFS(tblBudget[Feed_oz],tblBudget[Month],$E260)</f>
        <v/>
      </c>
      <c r="IK260" s="55">
        <f>$IJ260*$C260/$D260</f>
        <v/>
      </c>
      <c r="IL260" s="55">
        <f>SUMIFS(tblBudget[Feed_oz],tblBudget[Month],"&lt;"&amp;$E260)+$IK260</f>
        <v/>
      </c>
      <c r="IM260" s="55">
        <f>SUMIFS(tblBudget[Recovered_oz],tblBudget[Month],$E260)</f>
        <v/>
      </c>
      <c r="IN260" s="55">
        <f>$IM260*$C260/$D260</f>
        <v/>
      </c>
      <c r="IO260" s="55">
        <f>SUMIFS(tblBudget[Recovered_oz],tblBudget[Month],"&lt;"&amp;$E260)+$IN260</f>
        <v/>
      </c>
      <c r="IP260" s="56">
        <f>IFERROR(IF(($IG260)&gt;0,($IJ260*cfg_TroyOz)/($IG260),""),"")</f>
        <v/>
      </c>
      <c r="IQ260" s="56">
        <f>IFERROR(IF(($IH260)&gt;0,($IK260*cfg_TroyOz)/($IH260),""),"")</f>
        <v/>
      </c>
      <c r="IR260" s="56">
        <f>IFERROR(IF(($II260)&gt;0,($IL260*cfg_TroyOz)/($II260),""),"")</f>
        <v/>
      </c>
      <c r="IS260" s="67">
        <f>IFERROR(IF(($IJ260)&gt;0,($IM260)/($IJ260),""),"")</f>
        <v/>
      </c>
      <c r="IT260" s="67">
        <f>IFERROR(IF(($IK260)&gt;0,($IN260)/($IK260),""),"")</f>
        <v/>
      </c>
      <c r="IU260" s="67">
        <f>IFERROR(IF(($IL260)&gt;0,($IO260)/($IL260),""),"")</f>
        <v/>
      </c>
      <c r="IV260" s="55">
        <f>SUMIFS(tblBudget[Gold_Poured_oz],tblBudget[Month],$E260)</f>
        <v/>
      </c>
      <c r="IW260" s="55">
        <f>$IV260*$C260/$D260</f>
        <v/>
      </c>
      <c r="IX260" s="55">
        <f>SUMIFS(tblBudget[Gold_Poured_oz],tblBudget[Month],"&lt;"&amp;$E260)+$IW260</f>
        <v/>
      </c>
      <c r="IY260" s="57">
        <f>SUMIFS(tblBudget[Hours_Worked],tblBudget[Month],$E260)</f>
        <v/>
      </c>
      <c r="IZ260" s="57">
        <f>$IY260*$C260/$D260</f>
        <v/>
      </c>
      <c r="JA260" s="57">
        <f>SUMIFS(tblBudget[Hours_Worked],tblBudget[Month],"&lt;"&amp;$E260)+$IZ260</f>
        <v/>
      </c>
    </row>
    <row r="261">
      <c r="A261" s="54" t="n">
        <v>46282</v>
      </c>
      <c r="B261">
        <f>MONTH($A261)</f>
        <v/>
      </c>
      <c r="C261">
        <f>DAY($A261)</f>
        <v/>
      </c>
      <c r="D261">
        <f>DAY(EOMONTH($A261,0))</f>
        <v/>
      </c>
      <c r="E261" s="54">
        <f>DATE(YEAR($A261),MONTH($A261),1)</f>
        <v/>
      </c>
      <c r="F261" s="55">
        <f>SUMIFS(tblMovement[Tonnes_t],tblMovement[Date],$A261,tblMovement[Is_Ore],1,tblMovement[Source_Type],"Pit")</f>
        <v/>
      </c>
      <c r="G261" s="55">
        <f>IF($B261=$B260,$G260,0)+$F261</f>
        <v/>
      </c>
      <c r="H261" s="55">
        <f>$H260+$F261</f>
        <v/>
      </c>
      <c r="I261" s="55">
        <f>SUMIFS(tblMovement[Ore_oz],tblMovement[Date],$A261,tblMovement[Source_Type],"Pit")</f>
        <v/>
      </c>
      <c r="J261" s="55">
        <f>IF($B261=$B260,$J260,0)+$I261</f>
        <v/>
      </c>
      <c r="K261" s="55">
        <f>$K260+$I261</f>
        <v/>
      </c>
      <c r="L261" s="56">
        <f>IFERROR(IF(($F261)&gt;0,($I261*cfg_TroyOz)/($F261),""),"")</f>
        <v/>
      </c>
      <c r="M261" s="56">
        <f>IFERROR(IF(($G261)&gt;0,($J261*cfg_TroyOz)/($G261),""),"")</f>
        <v/>
      </c>
      <c r="N261" s="56">
        <f>IFERROR(IF(($H261)&gt;0,($K261*cfg_TroyOz)/($H261),""),"")</f>
        <v/>
      </c>
      <c r="O261" s="55">
        <f>SUMIFS(tblMovement[Tonnes_t],tblMovement[Date],$A261,tblMovement[Is_Ore],0,tblMovement[Source_Type],"Pit")</f>
        <v/>
      </c>
      <c r="P261" s="55">
        <f>IF($B261=$B260,$P260,0)+$O261</f>
        <v/>
      </c>
      <c r="Q261" s="55">
        <f>$Q260+$O261</f>
        <v/>
      </c>
      <c r="R261" s="55">
        <f>$F261+$O261</f>
        <v/>
      </c>
      <c r="S261" s="55">
        <f>IF($B261=$B260,$S260,0)+$R261</f>
        <v/>
      </c>
      <c r="T261" s="55">
        <f>$T260+$R261</f>
        <v/>
      </c>
      <c r="U261" s="56">
        <f>IFERROR(IF(($F261)&gt;0,($O261)/($F261),""),"")</f>
        <v/>
      </c>
      <c r="V261" s="56">
        <f>IFERROR(IF(($G261)&gt;0,($P261)/($G261),""),"")</f>
        <v/>
      </c>
      <c r="W261" s="56">
        <f>IFERROR(IF(($H261)&gt;0,($Q261)/($H261),""),"")</f>
        <v/>
      </c>
      <c r="X261" s="55">
        <f>SUMIFS(tblMovement[Tonnes_t],tblMovement[Date],$A261,tblMovement[Source_Type],"Stockpile")</f>
        <v/>
      </c>
      <c r="Y261" s="55">
        <f>IF($B261=$B260,$Y260,0)+$X261</f>
        <v/>
      </c>
      <c r="Z261" s="55">
        <f>$Z260+$X261</f>
        <v/>
      </c>
      <c r="AA261" s="55">
        <f>SUMIFS(tblMiningDaily[Drill_m],tblMiningDaily[Date],$A261)</f>
        <v/>
      </c>
      <c r="AB261" s="55">
        <f>IF($B261=$B260,$AB260,0)+$AA261</f>
        <v/>
      </c>
      <c r="AC261" s="55">
        <f>$AC260+$AA261</f>
        <v/>
      </c>
      <c r="AD261" s="55">
        <f>SUMIFS(tblMiningDaily[Blast_t],tblMiningDaily[Date],$A261)</f>
        <v/>
      </c>
      <c r="AE261" s="55">
        <f>IF($B261=$B260,$AE260,0)+$AD261</f>
        <v/>
      </c>
      <c r="AF261" s="55">
        <f>$AF260+$AD261</f>
        <v/>
      </c>
      <c r="AG261" s="55">
        <f>SUMIFS(tblMiningDaily[Explosives_kg],tblMiningDaily[Date],$A261)</f>
        <v/>
      </c>
      <c r="AH261" s="55">
        <f>IF($B261=$B260,$AH260,0)+$AG261</f>
        <v/>
      </c>
      <c r="AI261" s="55">
        <f>$AI260+$AG261</f>
        <v/>
      </c>
      <c r="AJ261" s="56">
        <f>IFERROR(IF(($AD261)&gt;0,($AG261)/($AD261),""),"")</f>
        <v/>
      </c>
      <c r="AK261" s="56">
        <f>IFERROR(IF(($AE261)&gt;0,($AH261)/($AE261),""),"")</f>
        <v/>
      </c>
      <c r="AL261" s="56">
        <f>IFERROR(IF(($AF261)&gt;0,($AI261)/($AF261),""),"")</f>
        <v/>
      </c>
      <c r="AM261" s="55">
        <f>SUMIFS(tblMiningDaily[Diesel_L],tblMiningDaily[Date],$A261)</f>
        <v/>
      </c>
      <c r="AN261" s="55">
        <f>IF($B261=$B260,$AN260,0)+$AM261</f>
        <v/>
      </c>
      <c r="AO261" s="55">
        <f>$AO260+$AM261</f>
        <v/>
      </c>
      <c r="AP261" s="55">
        <f>SUMIFS(tblMiningDaily[Dewatering_m3],tblMiningDaily[Date],$A261)</f>
        <v/>
      </c>
      <c r="AQ261" s="55">
        <f>IF($B261=$B260,$AQ260,0)+$AP261</f>
        <v/>
      </c>
      <c r="AR261" s="55">
        <f>$AR260+$AP261</f>
        <v/>
      </c>
      <c r="AS261" s="57">
        <f>SUMIFS(tblFleet[Calendar_h],tblFleet[Date],$A261,tblFleet[Equipment_Class],"Excavator")</f>
        <v/>
      </c>
      <c r="AT261" s="57">
        <f>IF($B261=$B260,$AT260,0)+$AS261</f>
        <v/>
      </c>
      <c r="AU261" s="57">
        <f>$AU260+$AS261</f>
        <v/>
      </c>
      <c r="AV261" s="57">
        <f>SUMIFS(tblFleet[Available_h],tblFleet[Date],$A261,tblFleet[Equipment_Class],"Excavator")</f>
        <v/>
      </c>
      <c r="AW261" s="57">
        <f>IF($B261=$B260,$AW260,0)+$AV261</f>
        <v/>
      </c>
      <c r="AX261" s="57">
        <f>$AX260+$AV261</f>
        <v/>
      </c>
      <c r="AY261" s="57">
        <f>SUMIFS(tblFleet[Operating_h],tblFleet[Date],$A261,tblFleet[Equipment_Class],"Excavator")</f>
        <v/>
      </c>
      <c r="AZ261" s="57">
        <f>IF($B261=$B260,$AZ260,0)+$AY261</f>
        <v/>
      </c>
      <c r="BA261" s="57">
        <f>$BA260+$AY261</f>
        <v/>
      </c>
      <c r="BB261" s="67">
        <f>IFERROR(IF(($AS261)&gt;0,($AV261)/($AS261),""),"")</f>
        <v/>
      </c>
      <c r="BC261" s="67">
        <f>IFERROR(IF(($AT261)&gt;0,($AW261)/($AT261),""),"")</f>
        <v/>
      </c>
      <c r="BD261" s="67">
        <f>IFERROR(IF(($AU261)&gt;0,($AX261)/($AU261),""),"")</f>
        <v/>
      </c>
      <c r="BE261" s="67">
        <f>IFERROR(IF(($AV261)&gt;0,($AY261)/($AV261),""),"")</f>
        <v/>
      </c>
      <c r="BF261" s="67">
        <f>IFERROR(IF(($AW261)&gt;0,($AZ261)/($AW261),""),"")</f>
        <v/>
      </c>
      <c r="BG261" s="67">
        <f>IFERROR(IF(($AX261)&gt;0,($BA261)/($AX261),""),"")</f>
        <v/>
      </c>
      <c r="BH261" s="57">
        <f>SUMIFS(tblFleet[Calendar_h],tblFleet[Date],$A261,tblFleet[Equipment_Class],"Haul Truck")</f>
        <v/>
      </c>
      <c r="BI261" s="57">
        <f>IF($B261=$B260,$BI260,0)+$BH261</f>
        <v/>
      </c>
      <c r="BJ261" s="57">
        <f>$BJ260+$BH261</f>
        <v/>
      </c>
      <c r="BK261" s="57">
        <f>SUMIFS(tblFleet[Available_h],tblFleet[Date],$A261,tblFleet[Equipment_Class],"Haul Truck")</f>
        <v/>
      </c>
      <c r="BL261" s="57">
        <f>IF($B261=$B260,$BL260,0)+$BK261</f>
        <v/>
      </c>
      <c r="BM261" s="57">
        <f>$BM260+$BK261</f>
        <v/>
      </c>
      <c r="BN261" s="57">
        <f>SUMIFS(tblFleet[Operating_h],tblFleet[Date],$A261,tblFleet[Equipment_Class],"Haul Truck")</f>
        <v/>
      </c>
      <c r="BO261" s="57">
        <f>IF($B261=$B260,$BO260,0)+$BN261</f>
        <v/>
      </c>
      <c r="BP261" s="57">
        <f>$BP260+$BN261</f>
        <v/>
      </c>
      <c r="BQ261" s="67">
        <f>IFERROR(IF(($BH261)&gt;0,($BK261)/($BH261),""),"")</f>
        <v/>
      </c>
      <c r="BR261" s="67">
        <f>IFERROR(IF(($BI261)&gt;0,($BL261)/($BI261),""),"")</f>
        <v/>
      </c>
      <c r="BS261" s="67">
        <f>IFERROR(IF(($BJ261)&gt;0,($BM261)/($BJ261),""),"")</f>
        <v/>
      </c>
      <c r="BT261" s="67">
        <f>IFERROR(IF(($BK261)&gt;0,($BN261)/($BK261),""),"")</f>
        <v/>
      </c>
      <c r="BU261" s="67">
        <f>IFERROR(IF(($BL261)&gt;0,($BO261)/($BL261),""),"")</f>
        <v/>
      </c>
      <c r="BV261" s="67">
        <f>IFERROR(IF(($BM261)&gt;0,($BP261)/($BM261),""),"")</f>
        <v/>
      </c>
      <c r="BW261" s="55">
        <f>SUMIFS(tblPlant[Crushed_t],tblPlant[Date],$A261)</f>
        <v/>
      </c>
      <c r="BX261" s="55">
        <f>IF($B261=$B260,$BX260,0)+$BW261</f>
        <v/>
      </c>
      <c r="BY261" s="55">
        <f>$BY260+$BW261</f>
        <v/>
      </c>
      <c r="BZ261" s="55">
        <f>SUMIFS(tblPlant[Milled_t],tblPlant[Date],$A261)</f>
        <v/>
      </c>
      <c r="CA261" s="55">
        <f>IF($B261=$B260,$CA260,0)+$BZ261</f>
        <v/>
      </c>
      <c r="CB261" s="55">
        <f>$CB260+$BZ261</f>
        <v/>
      </c>
      <c r="CC261" s="55">
        <f>SUMIFS(tblPlant[Feed_oz],tblPlant[Date],$A261)</f>
        <v/>
      </c>
      <c r="CD261" s="55">
        <f>IF($B261=$B260,$CD260,0)+$CC261</f>
        <v/>
      </c>
      <c r="CE261" s="55">
        <f>$CE260+$CC261</f>
        <v/>
      </c>
      <c r="CF261" s="55">
        <f>SUMIFS(tblPlant[Tails_oz],tblPlant[Date],$A261)</f>
        <v/>
      </c>
      <c r="CG261" s="55">
        <f>IF($B261=$B260,$CG260,0)+$CF261</f>
        <v/>
      </c>
      <c r="CH261" s="55">
        <f>$CH260+$CF261</f>
        <v/>
      </c>
      <c r="CI261" s="55">
        <f>SUMIFS(tblPlant[Recovered_oz],tblPlant[Date],$A261)</f>
        <v/>
      </c>
      <c r="CJ261" s="55">
        <f>IF($B261=$B260,$CJ260,0)+$CI261</f>
        <v/>
      </c>
      <c r="CK261" s="55">
        <f>$CK260+$CI261</f>
        <v/>
      </c>
      <c r="CL261" s="56">
        <f>IFERROR(IF(($BZ261)&gt;0,($CC261*cfg_TroyOz)/($BZ261),""),"")</f>
        <v/>
      </c>
      <c r="CM261" s="56">
        <f>IFERROR(IF(($CA261)&gt;0,($CD261*cfg_TroyOz)/($CA261),""),"")</f>
        <v/>
      </c>
      <c r="CN261" s="56">
        <f>IFERROR(IF(($CB261)&gt;0,($CE261*cfg_TroyOz)/($CB261),""),"")</f>
        <v/>
      </c>
      <c r="CO261" s="56">
        <f>IFERROR(IF(($BZ261)&gt;0,($CF261*cfg_TroyOz)/($BZ261),""),"")</f>
        <v/>
      </c>
      <c r="CP261" s="56">
        <f>IFERROR(IF(($CA261)&gt;0,($CG261*cfg_TroyOz)/($CA261),""),"")</f>
        <v/>
      </c>
      <c r="CQ261" s="56">
        <f>IFERROR(IF(($CB261)&gt;0,($CH261*cfg_TroyOz)/($CB261),""),"")</f>
        <v/>
      </c>
      <c r="CR261" s="67">
        <f>IFERROR(IF(($CC261)&gt;0,($CI261)/($CC261),""),"")</f>
        <v/>
      </c>
      <c r="CS261" s="67">
        <f>IFERROR(IF(($CD261)&gt;0,($CJ261)/($CD261),""),"")</f>
        <v/>
      </c>
      <c r="CT261" s="67">
        <f>IFERROR(IF(($CE261)&gt;0,($CK261)/($CE261),""),"")</f>
        <v/>
      </c>
      <c r="CU261" s="55">
        <f>SUMIFS(tblPlant[Gravity_Gold_oz],tblPlant[Date],$A261)</f>
        <v/>
      </c>
      <c r="CV261" s="55">
        <f>IF($B261=$B260,$CV260,0)+$CU261</f>
        <v/>
      </c>
      <c r="CW261" s="55">
        <f>$CW260+$CU261</f>
        <v/>
      </c>
      <c r="CX261" s="55">
        <f>SUMIFS(tblPlant[Gold_Poured_oz],tblPlant[Date],$A261)</f>
        <v/>
      </c>
      <c r="CY261" s="55">
        <f>IF($B261=$B260,$CY260,0)+$CX261</f>
        <v/>
      </c>
      <c r="CZ261" s="55">
        <f>$CZ260+$CX261</f>
        <v/>
      </c>
      <c r="DA261" s="57">
        <f>SUMIFS(tblPlant[Mill_Run_h],tblPlant[Date],$A261)</f>
        <v/>
      </c>
      <c r="DB261" s="57">
        <f>IF($B261=$B260,$DB260,0)+$DA261</f>
        <v/>
      </c>
      <c r="DC261" s="57">
        <f>$DC260+$DA261</f>
        <v/>
      </c>
      <c r="DD261" s="57">
        <f>SUMIFS(tblPlant[Mill_Planned_Maint_h],tblPlant[Date],$A261)</f>
        <v/>
      </c>
      <c r="DE261" s="57">
        <f>IF($B261=$B260,$DE260,0)+$DD261</f>
        <v/>
      </c>
      <c r="DF261" s="57">
        <f>$DF260+$DD261</f>
        <v/>
      </c>
      <c r="DG261" s="57">
        <f>SUMIFS(tblPlant[Mill_Unplanned_Down_h],tblPlant[Date],$A261)</f>
        <v/>
      </c>
      <c r="DH261" s="57">
        <f>IF($B261=$B260,$DH260,0)+$DG261</f>
        <v/>
      </c>
      <c r="DI261" s="57">
        <f>$DI260+$DG261</f>
        <v/>
      </c>
      <c r="DJ261" s="57">
        <f>COUNTIFS(tblPlant[Date],$A261,tblPlant[Mill_Run_h],"&lt;&gt;")*24</f>
        <v/>
      </c>
      <c r="DK261" s="57">
        <f>IF($B261=$B260,$DK260,0)+$DJ261</f>
        <v/>
      </c>
      <c r="DL261" s="57">
        <f>$DL260+$DJ261</f>
        <v/>
      </c>
      <c r="DM261" s="57">
        <f>SUMIFS(tblPlant[Crusher_Run_h],tblPlant[Date],$A261)</f>
        <v/>
      </c>
      <c r="DN261" s="57">
        <f>IF($B261=$B260,$DN260,0)+$DM261</f>
        <v/>
      </c>
      <c r="DO261" s="57">
        <f>$DO260+$DM261</f>
        <v/>
      </c>
      <c r="DP261" s="55">
        <f>IFERROR(IF(($DA261)&gt;0,($BZ261)/($DA261),""),"")</f>
        <v/>
      </c>
      <c r="DQ261" s="55">
        <f>IFERROR(IF(($DB261)&gt;0,($CA261)/($DB261),""),"")</f>
        <v/>
      </c>
      <c r="DR261" s="55">
        <f>IFERROR(IF(($DC261)&gt;0,($CB261)/($DC261),""),"")</f>
        <v/>
      </c>
      <c r="DS261" s="67">
        <f>IFERROR(IF(($DJ261)&gt;0,($DJ261-$DD261-$DG261)/($DJ261),""),"")</f>
        <v/>
      </c>
      <c r="DT261" s="67">
        <f>IFERROR(IF(($DK261)&gt;0,($DK261-$DE261-$DH261)/($DK261),""),"")</f>
        <v/>
      </c>
      <c r="DU261" s="67">
        <f>IFERROR(IF(($DL261)&gt;0,($DL261-$DF261-$DI261)/($DL261),""),"")</f>
        <v/>
      </c>
      <c r="DV261" s="67">
        <f>IFERROR(IF(($DJ261-$DD261-$DG261)&gt;0,($DA261)/($DJ261-$DD261-$DG261),""),"")</f>
        <v/>
      </c>
      <c r="DW261" s="67">
        <f>IFERROR(IF(($DK261-$DE261-$DH261)&gt;0,($DB261)/($DK261-$DE261-$DH261),""),"")</f>
        <v/>
      </c>
      <c r="DX261" s="67">
        <f>IFERROR(IF(($DL261-$DF261-$DI261)&gt;0,($DC261)/($DL261-$DF261-$DI261),""),"")</f>
        <v/>
      </c>
      <c r="DY261" s="55">
        <f>SUMIFS(tblPlant[Cyanide_kg],tblPlant[Date],$A261)</f>
        <v/>
      </c>
      <c r="DZ261" s="55">
        <f>IF($B261=$B260,$DZ260,0)+$DY261</f>
        <v/>
      </c>
      <c r="EA261" s="55">
        <f>$EA260+$DY261</f>
        <v/>
      </c>
      <c r="EB261" s="55">
        <f>SUMIFS(tblPlant[Lime_kg],tblPlant[Date],$A261)</f>
        <v/>
      </c>
      <c r="EC261" s="55">
        <f>IF($B261=$B260,$EC260,0)+$EB261</f>
        <v/>
      </c>
      <c r="ED261" s="55">
        <f>$ED260+$EB261</f>
        <v/>
      </c>
      <c r="EE261" s="55">
        <f>SUMIFS(tblPlant[Grinding_Media_kg],tblPlant[Date],$A261)</f>
        <v/>
      </c>
      <c r="EF261" s="55">
        <f>IF($B261=$B260,$EF260,0)+$EE261</f>
        <v/>
      </c>
      <c r="EG261" s="55">
        <f>$EG260+$EE261</f>
        <v/>
      </c>
      <c r="EH261" s="55">
        <f>SUMIFS(tblPlant[Power_kWh],tblPlant[Date],$A261)</f>
        <v/>
      </c>
      <c r="EI261" s="55">
        <f>IF($B261=$B260,$EI260,0)+$EH261</f>
        <v/>
      </c>
      <c r="EJ261" s="55">
        <f>$EJ260+$EH261</f>
        <v/>
      </c>
      <c r="EK261" s="55">
        <f>SUMIFS(tblPlant[Raw_Water_m3],tblPlant[Date],$A261)</f>
        <v/>
      </c>
      <c r="EL261" s="55">
        <f>IF($B261=$B260,$EL260,0)+$EK261</f>
        <v/>
      </c>
      <c r="EM261" s="55">
        <f>$EM260+$EK261</f>
        <v/>
      </c>
      <c r="EN261" s="56">
        <f>IFERROR(IF(($BZ261)&gt;0,($DY261)/($BZ261),""),"")</f>
        <v/>
      </c>
      <c r="EO261" s="56">
        <f>IFERROR(IF(($CA261)&gt;0,($DZ261)/($CA261),""),"")</f>
        <v/>
      </c>
      <c r="EP261" s="56">
        <f>IFERROR(IF(($CB261)&gt;0,($EA261)/($CB261),""),"")</f>
        <v/>
      </c>
      <c r="EQ261" s="56">
        <f>IFERROR(IF(($BZ261)&gt;0,($EB261)/($BZ261),""),"")</f>
        <v/>
      </c>
      <c r="ER261" s="56">
        <f>IFERROR(IF(($CA261)&gt;0,($EC261)/($CA261),""),"")</f>
        <v/>
      </c>
      <c r="ES261" s="56">
        <f>IFERROR(IF(($CB261)&gt;0,($ED261)/($CB261),""),"")</f>
        <v/>
      </c>
      <c r="ET261" s="56">
        <f>IFERROR(IF(($BZ261)&gt;0,($EE261)/($BZ261),""),"")</f>
        <v/>
      </c>
      <c r="EU261" s="56">
        <f>IFERROR(IF(($CA261)&gt;0,($EF261)/($CA261),""),"")</f>
        <v/>
      </c>
      <c r="EV261" s="56">
        <f>IFERROR(IF(($CB261)&gt;0,($EG261)/($CB261),""),"")</f>
        <v/>
      </c>
      <c r="EW261" s="76">
        <f>IFERROR(IF(($BZ261)&gt;0,($EH261)/($BZ261),""),"")</f>
        <v/>
      </c>
      <c r="EX261" s="76">
        <f>IFERROR(IF(($CA261)&gt;0,($EI261)/($CA261),""),"")</f>
        <v/>
      </c>
      <c r="EY261" s="76">
        <f>IFERROR(IF(($CB261)&gt;0,($EJ261)/($CB261),""),"")</f>
        <v/>
      </c>
      <c r="EZ261" s="56">
        <f>IFERROR(IF(($BZ261)&gt;0,($EK261)/($BZ261),""),"")</f>
        <v/>
      </c>
      <c r="FA261" s="56">
        <f>IFERROR(IF(($CA261)&gt;0,($EL261)/($CA261),""),"")</f>
        <v/>
      </c>
      <c r="FB261" s="56">
        <f>IFERROR(IF(($CB261)&gt;0,($EM261)/($CB261),""),"")</f>
        <v/>
      </c>
      <c r="FC261" s="55">
        <f>IF(SUMIFS(tblPlant[GIC_oz],tblPlant[Date],$A261)&gt;0,SUMIFS(tblPlant[GIC_oz],tblPlant[Date],$A261),"")</f>
        <v/>
      </c>
      <c r="FD261" s="55">
        <f>SUMIFS(tblGold[Gold_oz],tblGold[Date],$A261,tblGold[Type],"Shipment")</f>
        <v/>
      </c>
      <c r="FE261" s="55">
        <f>IF($B261=$B260,$FE260,0)+$FD261</f>
        <v/>
      </c>
      <c r="FF261" s="55">
        <f>$FF260+$FD261</f>
        <v/>
      </c>
      <c r="FG261" s="55">
        <f>SUMIFS(tblGold[Gold_oz],tblGold[Date],$A261,tblGold[Type],"Sale")</f>
        <v/>
      </c>
      <c r="FH261" s="55">
        <f>IF($B261=$B260,$FH260,0)+$FG261</f>
        <v/>
      </c>
      <c r="FI261" s="55">
        <f>$FI260+$FG261</f>
        <v/>
      </c>
      <c r="FJ261" s="55">
        <f>SUMIFS(tblGold[Dore_kg],tblGold[Date],$A261,tblGold[Type],"Shipment")</f>
        <v/>
      </c>
      <c r="FK261" s="55">
        <f>IF($B261=$B260,$FK260,0)+$FJ261</f>
        <v/>
      </c>
      <c r="FL261" s="55">
        <f>$FL260+$FJ261</f>
        <v/>
      </c>
      <c r="FM261" s="57">
        <f>SUMIFS(tblSafety[Hours_Total],tblSafety[Date],$A261)</f>
        <v/>
      </c>
      <c r="FN261" s="57">
        <f>IF($B261=$B260,$FN260,0)+$FM261</f>
        <v/>
      </c>
      <c r="FO261" s="57">
        <f>$FO260+$FM261</f>
        <v/>
      </c>
      <c r="FP261" s="62">
        <f>SUMIFS(tblSafety[Fatality],tblSafety[Date],$A261)</f>
        <v/>
      </c>
      <c r="FQ261" s="62">
        <f>IF($B261=$B260,$FQ260,0)+$FP261</f>
        <v/>
      </c>
      <c r="FR261" s="62">
        <f>$FR260+$FP261</f>
        <v/>
      </c>
      <c r="FS261" s="62">
        <f>SUMIFS(tblSafety[LTI],tblSafety[Date],$A261)</f>
        <v/>
      </c>
      <c r="FT261" s="62">
        <f>IF($B261=$B260,$FT260,0)+$FS261</f>
        <v/>
      </c>
      <c r="FU261" s="62">
        <f>$FU260+$FS261</f>
        <v/>
      </c>
      <c r="FV261" s="62">
        <f>SUMIFS(tblSafety[RWI],tblSafety[Date],$A261)</f>
        <v/>
      </c>
      <c r="FW261" s="62">
        <f>IF($B261=$B260,$FW260,0)+$FV261</f>
        <v/>
      </c>
      <c r="FX261" s="62">
        <f>$FX260+$FV261</f>
        <v/>
      </c>
      <c r="FY261" s="62">
        <f>SUMIFS(tblSafety[MTI],tblSafety[Date],$A261)</f>
        <v/>
      </c>
      <c r="FZ261" s="62">
        <f>IF($B261=$B260,$FZ260,0)+$FY261</f>
        <v/>
      </c>
      <c r="GA261" s="62">
        <f>$GA260+$FY261</f>
        <v/>
      </c>
      <c r="GB261" s="62">
        <f>SUMIFS(tblSafety[FAI],tblSafety[Date],$A261)</f>
        <v/>
      </c>
      <c r="GC261" s="62">
        <f>IF($B261=$B260,$GC260,0)+$GB261</f>
        <v/>
      </c>
      <c r="GD261" s="62">
        <f>$GD260+$GB261</f>
        <v/>
      </c>
      <c r="GE261" s="62">
        <f>SUMIFS(tblSafety[Recordables],tblSafety[Date],$A261)</f>
        <v/>
      </c>
      <c r="GF261" s="62">
        <f>IF($B261=$B260,$GF260,0)+$GE261</f>
        <v/>
      </c>
      <c r="GG261" s="62">
        <f>$GG260+$GE261</f>
        <v/>
      </c>
      <c r="GH261" s="62">
        <f>SUMIFS(tblSafety[Near_Miss],tblSafety[Date],$A261)</f>
        <v/>
      </c>
      <c r="GI261" s="62">
        <f>IF($B261=$B260,$GI260,0)+$GH261</f>
        <v/>
      </c>
      <c r="GJ261" s="62">
        <f>$GJ260+$GH261</f>
        <v/>
      </c>
      <c r="GK261" s="62">
        <f>SUMIFS(tblSafety[Hazard_Reports],tblSafety[Date],$A261)</f>
        <v/>
      </c>
      <c r="GL261" s="62">
        <f>IF($B261=$B260,$GL260,0)+$GK261</f>
        <v/>
      </c>
      <c r="GM261" s="62">
        <f>$GM260+$GK261</f>
        <v/>
      </c>
      <c r="GN261" s="62">
        <f>SUMIFS(tblSafety[HPI],tblSafety[Date],$A261)</f>
        <v/>
      </c>
      <c r="GO261" s="62">
        <f>IF($B261=$B260,$GO260,0)+$GN261</f>
        <v/>
      </c>
      <c r="GP261" s="62">
        <f>$GP260+$GN261</f>
        <v/>
      </c>
      <c r="GQ261" s="62">
        <f>SUMIFS(tblSafety[Env_Incidents],tblSafety[Date],$A261)</f>
        <v/>
      </c>
      <c r="GR261" s="62">
        <f>IF($B261=$B260,$GR260,0)+$GQ261</f>
        <v/>
      </c>
      <c r="GS261" s="62">
        <f>$GS260+$GQ261</f>
        <v/>
      </c>
      <c r="GT261" s="62">
        <f>SUMIFS(tblSafety[Community_Incidents],tblSafety[Date],$A261)</f>
        <v/>
      </c>
      <c r="GU261" s="62">
        <f>IF($B261=$B260,$GU260,0)+$GT261</f>
        <v/>
      </c>
      <c r="GV261" s="62">
        <f>$GV260+$GT261</f>
        <v/>
      </c>
      <c r="GW261" s="62">
        <f>SUMIFS(tblSafety[Vehicle_Incidents],tblSafety[Date],$A261)</f>
        <v/>
      </c>
      <c r="GX261" s="62">
        <f>IF($B261=$B260,$GX260,0)+$GW261</f>
        <v/>
      </c>
      <c r="GY261" s="62">
        <f>$GY260+$GW261</f>
        <v/>
      </c>
      <c r="GZ261" s="62">
        <f>SUMIFS(tblSafety[Toolbox_Talks],tblSafety[Date],$A261)</f>
        <v/>
      </c>
      <c r="HA261" s="62">
        <f>IF($B261=$B260,$HA260,0)+$GZ261</f>
        <v/>
      </c>
      <c r="HB261" s="62">
        <f>$HB260+$GZ261</f>
        <v/>
      </c>
      <c r="HC261" s="62">
        <f>SUMIFS(tblSafety[Inspections],tblSafety[Date],$A261)</f>
        <v/>
      </c>
      <c r="HD261" s="62">
        <f>IF($B261=$B260,$HD260,0)+$HC261</f>
        <v/>
      </c>
      <c r="HE261" s="62">
        <f>$HE260+$HC261</f>
        <v/>
      </c>
      <c r="HF261" s="56">
        <f>IFERROR((SUMIFS(tblSafety[Recordables],tblSafety[Date],"&gt;="&amp;EDATE($E261,-12),tblSafety[Date],"&lt;="&amp;$A261)+SUMIFS(tblSafetyHistory[Recordables],tblSafetyHistory[Month],"&gt;="&amp;EDATE($E261,-12),tblSafetyHistory[Month],"&lt;"&amp;cfg_YearStart))/(SUMIFS(tblSafety[Hours_Total],tblSafety[Date],"&gt;="&amp;EDATE($E261,-12),tblSafety[Date],"&lt;="&amp;$A261)+SUMIFS(tblSafetyHistory[Hours_Total],tblSafetyHistory[Month],"&gt;="&amp;EDATE($E261,-12),tblSafetyHistory[Month],"&lt;"&amp;cfg_YearStart))*1000000,"")</f>
        <v/>
      </c>
      <c r="HG261" s="56">
        <f>IFERROR((SUMIFS(tblSafety[LTI],tblSafety[Date],"&gt;="&amp;EDATE($E261,-12),tblSafety[Date],"&lt;="&amp;$A261)+SUMIFS(tblSafetyHistory[LTI],tblSafetyHistory[Month],"&gt;="&amp;EDATE($E261,-12),tblSafetyHistory[Month],"&lt;"&amp;cfg_YearStart))/(SUMIFS(tblSafety[Hours_Total],tblSafety[Date],"&gt;="&amp;EDATE($E261,-12),tblSafety[Date],"&lt;="&amp;$A261)+SUMIFS(tblSafetyHistory[Hours_Total],tblSafetyHistory[Month],"&gt;="&amp;EDATE($E261,-12),tblSafetyHistory[Month],"&lt;"&amp;cfg_YearStart))*1000000,"")</f>
        <v/>
      </c>
      <c r="HH261" s="62">
        <f>IF(MAX(N(cfg_PriorLTIDate),_xlfn.MAXIFS(tblSafety[Date],tblSafety[LTI],"&gt;0",tblSafety[Date],"&lt;="&amp;$A261))=0,"",$A261-MAX(N(cfg_PriorLTIDate),_xlfn.MAXIFS(tblSafety[Date],tblSafety[LTI],"&gt;0",tblSafety[Date],"&lt;="&amp;$A261)))</f>
        <v/>
      </c>
      <c r="HI261" s="55">
        <f>SUMIFS(tblBudget[Ore_Mined_t],tblBudget[Month],$E261)</f>
        <v/>
      </c>
      <c r="HJ261" s="55">
        <f>$HI261*$C261/$D261</f>
        <v/>
      </c>
      <c r="HK261" s="55">
        <f>SUMIFS(tblBudget[Ore_Mined_t],tblBudget[Month],"&lt;"&amp;$E261)+$HJ261</f>
        <v/>
      </c>
      <c r="HL261" s="55">
        <f>SUMIFS(tblBudget[Ore_oz],tblBudget[Month],$E261)</f>
        <v/>
      </c>
      <c r="HM261" s="55">
        <f>$HL261*$C261/$D261</f>
        <v/>
      </c>
      <c r="HN261" s="55">
        <f>SUMIFS(tblBudget[Ore_oz],tblBudget[Month],"&lt;"&amp;$E261)+$HM261</f>
        <v/>
      </c>
      <c r="HO261" s="56">
        <f>IFERROR(IF(($HI261)&gt;0,($HL261*cfg_TroyOz)/($HI261),""),"")</f>
        <v/>
      </c>
      <c r="HP261" s="56">
        <f>IFERROR(IF(($HJ261)&gt;0,($HM261*cfg_TroyOz)/($HJ261),""),"")</f>
        <v/>
      </c>
      <c r="HQ261" s="56">
        <f>IFERROR(IF(($HK261)&gt;0,($HN261*cfg_TroyOz)/($HK261),""),"")</f>
        <v/>
      </c>
      <c r="HR261" s="55">
        <f>SUMIFS(tblBudget[Waste_t],tblBudget[Month],$E261)</f>
        <v/>
      </c>
      <c r="HS261" s="55">
        <f>$HR261*$C261/$D261</f>
        <v/>
      </c>
      <c r="HT261" s="55">
        <f>SUMIFS(tblBudget[Waste_t],tblBudget[Month],"&lt;"&amp;$E261)+$HS261</f>
        <v/>
      </c>
      <c r="HU261" s="55">
        <f>SUMIFS(tblBudget[TMM_t],tblBudget[Month],$E261)</f>
        <v/>
      </c>
      <c r="HV261" s="55">
        <f>$HU261*$C261/$D261</f>
        <v/>
      </c>
      <c r="HW261" s="55">
        <f>SUMIFS(tblBudget[TMM_t],tblBudget[Month],"&lt;"&amp;$E261)+$HV261</f>
        <v/>
      </c>
      <c r="HX261" s="56">
        <f>IFERROR(IF(($HI261)&gt;0,($HR261)/($HI261),""),"")</f>
        <v/>
      </c>
      <c r="HY261" s="56">
        <f>IFERROR(IF(($HJ261)&gt;0,($HS261)/($HJ261),""),"")</f>
        <v/>
      </c>
      <c r="HZ261" s="56">
        <f>IFERROR(IF(($HK261)&gt;0,($HT261)/($HK261),""),"")</f>
        <v/>
      </c>
      <c r="IA261" s="55">
        <f>SUMIFS(tblBudget[Drill_m],tblBudget[Month],$E261)</f>
        <v/>
      </c>
      <c r="IB261" s="55">
        <f>$IA261*$C261/$D261</f>
        <v/>
      </c>
      <c r="IC261" s="55">
        <f>SUMIFS(tblBudget[Drill_m],tblBudget[Month],"&lt;"&amp;$E261)+$IB261</f>
        <v/>
      </c>
      <c r="ID261" s="55">
        <f>SUMIFS(tblBudget[Diesel_L],tblBudget[Month],$E261)</f>
        <v/>
      </c>
      <c r="IE261" s="55">
        <f>$ID261*$C261/$D261</f>
        <v/>
      </c>
      <c r="IF261" s="55">
        <f>SUMIFS(tblBudget[Diesel_L],tblBudget[Month],"&lt;"&amp;$E261)+$IE261</f>
        <v/>
      </c>
      <c r="IG261" s="55">
        <f>SUMIFS(tblBudget[Milled_t],tblBudget[Month],$E261)</f>
        <v/>
      </c>
      <c r="IH261" s="55">
        <f>$IG261*$C261/$D261</f>
        <v/>
      </c>
      <c r="II261" s="55">
        <f>SUMIFS(tblBudget[Milled_t],tblBudget[Month],"&lt;"&amp;$E261)+$IH261</f>
        <v/>
      </c>
      <c r="IJ261" s="55">
        <f>SUMIFS(tblBudget[Feed_oz],tblBudget[Month],$E261)</f>
        <v/>
      </c>
      <c r="IK261" s="55">
        <f>$IJ261*$C261/$D261</f>
        <v/>
      </c>
      <c r="IL261" s="55">
        <f>SUMIFS(tblBudget[Feed_oz],tblBudget[Month],"&lt;"&amp;$E261)+$IK261</f>
        <v/>
      </c>
      <c r="IM261" s="55">
        <f>SUMIFS(tblBudget[Recovered_oz],tblBudget[Month],$E261)</f>
        <v/>
      </c>
      <c r="IN261" s="55">
        <f>$IM261*$C261/$D261</f>
        <v/>
      </c>
      <c r="IO261" s="55">
        <f>SUMIFS(tblBudget[Recovered_oz],tblBudget[Month],"&lt;"&amp;$E261)+$IN261</f>
        <v/>
      </c>
      <c r="IP261" s="56">
        <f>IFERROR(IF(($IG261)&gt;0,($IJ261*cfg_TroyOz)/($IG261),""),"")</f>
        <v/>
      </c>
      <c r="IQ261" s="56">
        <f>IFERROR(IF(($IH261)&gt;0,($IK261*cfg_TroyOz)/($IH261),""),"")</f>
        <v/>
      </c>
      <c r="IR261" s="56">
        <f>IFERROR(IF(($II261)&gt;0,($IL261*cfg_TroyOz)/($II261),""),"")</f>
        <v/>
      </c>
      <c r="IS261" s="67">
        <f>IFERROR(IF(($IJ261)&gt;0,($IM261)/($IJ261),""),"")</f>
        <v/>
      </c>
      <c r="IT261" s="67">
        <f>IFERROR(IF(($IK261)&gt;0,($IN261)/($IK261),""),"")</f>
        <v/>
      </c>
      <c r="IU261" s="67">
        <f>IFERROR(IF(($IL261)&gt;0,($IO261)/($IL261),""),"")</f>
        <v/>
      </c>
      <c r="IV261" s="55">
        <f>SUMIFS(tblBudget[Gold_Poured_oz],tblBudget[Month],$E261)</f>
        <v/>
      </c>
      <c r="IW261" s="55">
        <f>$IV261*$C261/$D261</f>
        <v/>
      </c>
      <c r="IX261" s="55">
        <f>SUMIFS(tblBudget[Gold_Poured_oz],tblBudget[Month],"&lt;"&amp;$E261)+$IW261</f>
        <v/>
      </c>
      <c r="IY261" s="57">
        <f>SUMIFS(tblBudget[Hours_Worked],tblBudget[Month],$E261)</f>
        <v/>
      </c>
      <c r="IZ261" s="57">
        <f>$IY261*$C261/$D261</f>
        <v/>
      </c>
      <c r="JA261" s="57">
        <f>SUMIFS(tblBudget[Hours_Worked],tblBudget[Month],"&lt;"&amp;$E261)+$IZ261</f>
        <v/>
      </c>
    </row>
    <row r="262">
      <c r="A262" s="54" t="n">
        <v>46283</v>
      </c>
      <c r="B262">
        <f>MONTH($A262)</f>
        <v/>
      </c>
      <c r="C262">
        <f>DAY($A262)</f>
        <v/>
      </c>
      <c r="D262">
        <f>DAY(EOMONTH($A262,0))</f>
        <v/>
      </c>
      <c r="E262" s="54">
        <f>DATE(YEAR($A262),MONTH($A262),1)</f>
        <v/>
      </c>
      <c r="F262" s="55">
        <f>SUMIFS(tblMovement[Tonnes_t],tblMovement[Date],$A262,tblMovement[Is_Ore],1,tblMovement[Source_Type],"Pit")</f>
        <v/>
      </c>
      <c r="G262" s="55">
        <f>IF($B262=$B261,$G261,0)+$F262</f>
        <v/>
      </c>
      <c r="H262" s="55">
        <f>$H261+$F262</f>
        <v/>
      </c>
      <c r="I262" s="55">
        <f>SUMIFS(tblMovement[Ore_oz],tblMovement[Date],$A262,tblMovement[Source_Type],"Pit")</f>
        <v/>
      </c>
      <c r="J262" s="55">
        <f>IF($B262=$B261,$J261,0)+$I262</f>
        <v/>
      </c>
      <c r="K262" s="55">
        <f>$K261+$I262</f>
        <v/>
      </c>
      <c r="L262" s="56">
        <f>IFERROR(IF(($F262)&gt;0,($I262*cfg_TroyOz)/($F262),""),"")</f>
        <v/>
      </c>
      <c r="M262" s="56">
        <f>IFERROR(IF(($G262)&gt;0,($J262*cfg_TroyOz)/($G262),""),"")</f>
        <v/>
      </c>
      <c r="N262" s="56">
        <f>IFERROR(IF(($H262)&gt;0,($K262*cfg_TroyOz)/($H262),""),"")</f>
        <v/>
      </c>
      <c r="O262" s="55">
        <f>SUMIFS(tblMovement[Tonnes_t],tblMovement[Date],$A262,tblMovement[Is_Ore],0,tblMovement[Source_Type],"Pit")</f>
        <v/>
      </c>
      <c r="P262" s="55">
        <f>IF($B262=$B261,$P261,0)+$O262</f>
        <v/>
      </c>
      <c r="Q262" s="55">
        <f>$Q261+$O262</f>
        <v/>
      </c>
      <c r="R262" s="55">
        <f>$F262+$O262</f>
        <v/>
      </c>
      <c r="S262" s="55">
        <f>IF($B262=$B261,$S261,0)+$R262</f>
        <v/>
      </c>
      <c r="T262" s="55">
        <f>$T261+$R262</f>
        <v/>
      </c>
      <c r="U262" s="56">
        <f>IFERROR(IF(($F262)&gt;0,($O262)/($F262),""),"")</f>
        <v/>
      </c>
      <c r="V262" s="56">
        <f>IFERROR(IF(($G262)&gt;0,($P262)/($G262),""),"")</f>
        <v/>
      </c>
      <c r="W262" s="56">
        <f>IFERROR(IF(($H262)&gt;0,($Q262)/($H262),""),"")</f>
        <v/>
      </c>
      <c r="X262" s="55">
        <f>SUMIFS(tblMovement[Tonnes_t],tblMovement[Date],$A262,tblMovement[Source_Type],"Stockpile")</f>
        <v/>
      </c>
      <c r="Y262" s="55">
        <f>IF($B262=$B261,$Y261,0)+$X262</f>
        <v/>
      </c>
      <c r="Z262" s="55">
        <f>$Z261+$X262</f>
        <v/>
      </c>
      <c r="AA262" s="55">
        <f>SUMIFS(tblMiningDaily[Drill_m],tblMiningDaily[Date],$A262)</f>
        <v/>
      </c>
      <c r="AB262" s="55">
        <f>IF($B262=$B261,$AB261,0)+$AA262</f>
        <v/>
      </c>
      <c r="AC262" s="55">
        <f>$AC261+$AA262</f>
        <v/>
      </c>
      <c r="AD262" s="55">
        <f>SUMIFS(tblMiningDaily[Blast_t],tblMiningDaily[Date],$A262)</f>
        <v/>
      </c>
      <c r="AE262" s="55">
        <f>IF($B262=$B261,$AE261,0)+$AD262</f>
        <v/>
      </c>
      <c r="AF262" s="55">
        <f>$AF261+$AD262</f>
        <v/>
      </c>
      <c r="AG262" s="55">
        <f>SUMIFS(tblMiningDaily[Explosives_kg],tblMiningDaily[Date],$A262)</f>
        <v/>
      </c>
      <c r="AH262" s="55">
        <f>IF($B262=$B261,$AH261,0)+$AG262</f>
        <v/>
      </c>
      <c r="AI262" s="55">
        <f>$AI261+$AG262</f>
        <v/>
      </c>
      <c r="AJ262" s="56">
        <f>IFERROR(IF(($AD262)&gt;0,($AG262)/($AD262),""),"")</f>
        <v/>
      </c>
      <c r="AK262" s="56">
        <f>IFERROR(IF(($AE262)&gt;0,($AH262)/($AE262),""),"")</f>
        <v/>
      </c>
      <c r="AL262" s="56">
        <f>IFERROR(IF(($AF262)&gt;0,($AI262)/($AF262),""),"")</f>
        <v/>
      </c>
      <c r="AM262" s="55">
        <f>SUMIFS(tblMiningDaily[Diesel_L],tblMiningDaily[Date],$A262)</f>
        <v/>
      </c>
      <c r="AN262" s="55">
        <f>IF($B262=$B261,$AN261,0)+$AM262</f>
        <v/>
      </c>
      <c r="AO262" s="55">
        <f>$AO261+$AM262</f>
        <v/>
      </c>
      <c r="AP262" s="55">
        <f>SUMIFS(tblMiningDaily[Dewatering_m3],tblMiningDaily[Date],$A262)</f>
        <v/>
      </c>
      <c r="AQ262" s="55">
        <f>IF($B262=$B261,$AQ261,0)+$AP262</f>
        <v/>
      </c>
      <c r="AR262" s="55">
        <f>$AR261+$AP262</f>
        <v/>
      </c>
      <c r="AS262" s="57">
        <f>SUMIFS(tblFleet[Calendar_h],tblFleet[Date],$A262,tblFleet[Equipment_Class],"Excavator")</f>
        <v/>
      </c>
      <c r="AT262" s="57">
        <f>IF($B262=$B261,$AT261,0)+$AS262</f>
        <v/>
      </c>
      <c r="AU262" s="57">
        <f>$AU261+$AS262</f>
        <v/>
      </c>
      <c r="AV262" s="57">
        <f>SUMIFS(tblFleet[Available_h],tblFleet[Date],$A262,tblFleet[Equipment_Class],"Excavator")</f>
        <v/>
      </c>
      <c r="AW262" s="57">
        <f>IF($B262=$B261,$AW261,0)+$AV262</f>
        <v/>
      </c>
      <c r="AX262" s="57">
        <f>$AX261+$AV262</f>
        <v/>
      </c>
      <c r="AY262" s="57">
        <f>SUMIFS(tblFleet[Operating_h],tblFleet[Date],$A262,tblFleet[Equipment_Class],"Excavator")</f>
        <v/>
      </c>
      <c r="AZ262" s="57">
        <f>IF($B262=$B261,$AZ261,0)+$AY262</f>
        <v/>
      </c>
      <c r="BA262" s="57">
        <f>$BA261+$AY262</f>
        <v/>
      </c>
      <c r="BB262" s="67">
        <f>IFERROR(IF(($AS262)&gt;0,($AV262)/($AS262),""),"")</f>
        <v/>
      </c>
      <c r="BC262" s="67">
        <f>IFERROR(IF(($AT262)&gt;0,($AW262)/($AT262),""),"")</f>
        <v/>
      </c>
      <c r="BD262" s="67">
        <f>IFERROR(IF(($AU262)&gt;0,($AX262)/($AU262),""),"")</f>
        <v/>
      </c>
      <c r="BE262" s="67">
        <f>IFERROR(IF(($AV262)&gt;0,($AY262)/($AV262),""),"")</f>
        <v/>
      </c>
      <c r="BF262" s="67">
        <f>IFERROR(IF(($AW262)&gt;0,($AZ262)/($AW262),""),"")</f>
        <v/>
      </c>
      <c r="BG262" s="67">
        <f>IFERROR(IF(($AX262)&gt;0,($BA262)/($AX262),""),"")</f>
        <v/>
      </c>
      <c r="BH262" s="57">
        <f>SUMIFS(tblFleet[Calendar_h],tblFleet[Date],$A262,tblFleet[Equipment_Class],"Haul Truck")</f>
        <v/>
      </c>
      <c r="BI262" s="57">
        <f>IF($B262=$B261,$BI261,0)+$BH262</f>
        <v/>
      </c>
      <c r="BJ262" s="57">
        <f>$BJ261+$BH262</f>
        <v/>
      </c>
      <c r="BK262" s="57">
        <f>SUMIFS(tblFleet[Available_h],tblFleet[Date],$A262,tblFleet[Equipment_Class],"Haul Truck")</f>
        <v/>
      </c>
      <c r="BL262" s="57">
        <f>IF($B262=$B261,$BL261,0)+$BK262</f>
        <v/>
      </c>
      <c r="BM262" s="57">
        <f>$BM261+$BK262</f>
        <v/>
      </c>
      <c r="BN262" s="57">
        <f>SUMIFS(tblFleet[Operating_h],tblFleet[Date],$A262,tblFleet[Equipment_Class],"Haul Truck")</f>
        <v/>
      </c>
      <c r="BO262" s="57">
        <f>IF($B262=$B261,$BO261,0)+$BN262</f>
        <v/>
      </c>
      <c r="BP262" s="57">
        <f>$BP261+$BN262</f>
        <v/>
      </c>
      <c r="BQ262" s="67">
        <f>IFERROR(IF(($BH262)&gt;0,($BK262)/($BH262),""),"")</f>
        <v/>
      </c>
      <c r="BR262" s="67">
        <f>IFERROR(IF(($BI262)&gt;0,($BL262)/($BI262),""),"")</f>
        <v/>
      </c>
      <c r="BS262" s="67">
        <f>IFERROR(IF(($BJ262)&gt;0,($BM262)/($BJ262),""),"")</f>
        <v/>
      </c>
      <c r="BT262" s="67">
        <f>IFERROR(IF(($BK262)&gt;0,($BN262)/($BK262),""),"")</f>
        <v/>
      </c>
      <c r="BU262" s="67">
        <f>IFERROR(IF(($BL262)&gt;0,($BO262)/($BL262),""),"")</f>
        <v/>
      </c>
      <c r="BV262" s="67">
        <f>IFERROR(IF(($BM262)&gt;0,($BP262)/($BM262),""),"")</f>
        <v/>
      </c>
      <c r="BW262" s="55">
        <f>SUMIFS(tblPlant[Crushed_t],tblPlant[Date],$A262)</f>
        <v/>
      </c>
      <c r="BX262" s="55">
        <f>IF($B262=$B261,$BX261,0)+$BW262</f>
        <v/>
      </c>
      <c r="BY262" s="55">
        <f>$BY261+$BW262</f>
        <v/>
      </c>
      <c r="BZ262" s="55">
        <f>SUMIFS(tblPlant[Milled_t],tblPlant[Date],$A262)</f>
        <v/>
      </c>
      <c r="CA262" s="55">
        <f>IF($B262=$B261,$CA261,0)+$BZ262</f>
        <v/>
      </c>
      <c r="CB262" s="55">
        <f>$CB261+$BZ262</f>
        <v/>
      </c>
      <c r="CC262" s="55">
        <f>SUMIFS(tblPlant[Feed_oz],tblPlant[Date],$A262)</f>
        <v/>
      </c>
      <c r="CD262" s="55">
        <f>IF($B262=$B261,$CD261,0)+$CC262</f>
        <v/>
      </c>
      <c r="CE262" s="55">
        <f>$CE261+$CC262</f>
        <v/>
      </c>
      <c r="CF262" s="55">
        <f>SUMIFS(tblPlant[Tails_oz],tblPlant[Date],$A262)</f>
        <v/>
      </c>
      <c r="CG262" s="55">
        <f>IF($B262=$B261,$CG261,0)+$CF262</f>
        <v/>
      </c>
      <c r="CH262" s="55">
        <f>$CH261+$CF262</f>
        <v/>
      </c>
      <c r="CI262" s="55">
        <f>SUMIFS(tblPlant[Recovered_oz],tblPlant[Date],$A262)</f>
        <v/>
      </c>
      <c r="CJ262" s="55">
        <f>IF($B262=$B261,$CJ261,0)+$CI262</f>
        <v/>
      </c>
      <c r="CK262" s="55">
        <f>$CK261+$CI262</f>
        <v/>
      </c>
      <c r="CL262" s="56">
        <f>IFERROR(IF(($BZ262)&gt;0,($CC262*cfg_TroyOz)/($BZ262),""),"")</f>
        <v/>
      </c>
      <c r="CM262" s="56">
        <f>IFERROR(IF(($CA262)&gt;0,($CD262*cfg_TroyOz)/($CA262),""),"")</f>
        <v/>
      </c>
      <c r="CN262" s="56">
        <f>IFERROR(IF(($CB262)&gt;0,($CE262*cfg_TroyOz)/($CB262),""),"")</f>
        <v/>
      </c>
      <c r="CO262" s="56">
        <f>IFERROR(IF(($BZ262)&gt;0,($CF262*cfg_TroyOz)/($BZ262),""),"")</f>
        <v/>
      </c>
      <c r="CP262" s="56">
        <f>IFERROR(IF(($CA262)&gt;0,($CG262*cfg_TroyOz)/($CA262),""),"")</f>
        <v/>
      </c>
      <c r="CQ262" s="56">
        <f>IFERROR(IF(($CB262)&gt;0,($CH262*cfg_TroyOz)/($CB262),""),"")</f>
        <v/>
      </c>
      <c r="CR262" s="67">
        <f>IFERROR(IF(($CC262)&gt;0,($CI262)/($CC262),""),"")</f>
        <v/>
      </c>
      <c r="CS262" s="67">
        <f>IFERROR(IF(($CD262)&gt;0,($CJ262)/($CD262),""),"")</f>
        <v/>
      </c>
      <c r="CT262" s="67">
        <f>IFERROR(IF(($CE262)&gt;0,($CK262)/($CE262),""),"")</f>
        <v/>
      </c>
      <c r="CU262" s="55">
        <f>SUMIFS(tblPlant[Gravity_Gold_oz],tblPlant[Date],$A262)</f>
        <v/>
      </c>
      <c r="CV262" s="55">
        <f>IF($B262=$B261,$CV261,0)+$CU262</f>
        <v/>
      </c>
      <c r="CW262" s="55">
        <f>$CW261+$CU262</f>
        <v/>
      </c>
      <c r="CX262" s="55">
        <f>SUMIFS(tblPlant[Gold_Poured_oz],tblPlant[Date],$A262)</f>
        <v/>
      </c>
      <c r="CY262" s="55">
        <f>IF($B262=$B261,$CY261,0)+$CX262</f>
        <v/>
      </c>
      <c r="CZ262" s="55">
        <f>$CZ261+$CX262</f>
        <v/>
      </c>
      <c r="DA262" s="57">
        <f>SUMIFS(tblPlant[Mill_Run_h],tblPlant[Date],$A262)</f>
        <v/>
      </c>
      <c r="DB262" s="57">
        <f>IF($B262=$B261,$DB261,0)+$DA262</f>
        <v/>
      </c>
      <c r="DC262" s="57">
        <f>$DC261+$DA262</f>
        <v/>
      </c>
      <c r="DD262" s="57">
        <f>SUMIFS(tblPlant[Mill_Planned_Maint_h],tblPlant[Date],$A262)</f>
        <v/>
      </c>
      <c r="DE262" s="57">
        <f>IF($B262=$B261,$DE261,0)+$DD262</f>
        <v/>
      </c>
      <c r="DF262" s="57">
        <f>$DF261+$DD262</f>
        <v/>
      </c>
      <c r="DG262" s="57">
        <f>SUMIFS(tblPlant[Mill_Unplanned_Down_h],tblPlant[Date],$A262)</f>
        <v/>
      </c>
      <c r="DH262" s="57">
        <f>IF($B262=$B261,$DH261,0)+$DG262</f>
        <v/>
      </c>
      <c r="DI262" s="57">
        <f>$DI261+$DG262</f>
        <v/>
      </c>
      <c r="DJ262" s="57">
        <f>COUNTIFS(tblPlant[Date],$A262,tblPlant[Mill_Run_h],"&lt;&gt;")*24</f>
        <v/>
      </c>
      <c r="DK262" s="57">
        <f>IF($B262=$B261,$DK261,0)+$DJ262</f>
        <v/>
      </c>
      <c r="DL262" s="57">
        <f>$DL261+$DJ262</f>
        <v/>
      </c>
      <c r="DM262" s="57">
        <f>SUMIFS(tblPlant[Crusher_Run_h],tblPlant[Date],$A262)</f>
        <v/>
      </c>
      <c r="DN262" s="57">
        <f>IF($B262=$B261,$DN261,0)+$DM262</f>
        <v/>
      </c>
      <c r="DO262" s="57">
        <f>$DO261+$DM262</f>
        <v/>
      </c>
      <c r="DP262" s="55">
        <f>IFERROR(IF(($DA262)&gt;0,($BZ262)/($DA262),""),"")</f>
        <v/>
      </c>
      <c r="DQ262" s="55">
        <f>IFERROR(IF(($DB262)&gt;0,($CA262)/($DB262),""),"")</f>
        <v/>
      </c>
      <c r="DR262" s="55">
        <f>IFERROR(IF(($DC262)&gt;0,($CB262)/($DC262),""),"")</f>
        <v/>
      </c>
      <c r="DS262" s="67">
        <f>IFERROR(IF(($DJ262)&gt;0,($DJ262-$DD262-$DG262)/($DJ262),""),"")</f>
        <v/>
      </c>
      <c r="DT262" s="67">
        <f>IFERROR(IF(($DK262)&gt;0,($DK262-$DE262-$DH262)/($DK262),""),"")</f>
        <v/>
      </c>
      <c r="DU262" s="67">
        <f>IFERROR(IF(($DL262)&gt;0,($DL262-$DF262-$DI262)/($DL262),""),"")</f>
        <v/>
      </c>
      <c r="DV262" s="67">
        <f>IFERROR(IF(($DJ262-$DD262-$DG262)&gt;0,($DA262)/($DJ262-$DD262-$DG262),""),"")</f>
        <v/>
      </c>
      <c r="DW262" s="67">
        <f>IFERROR(IF(($DK262-$DE262-$DH262)&gt;0,($DB262)/($DK262-$DE262-$DH262),""),"")</f>
        <v/>
      </c>
      <c r="DX262" s="67">
        <f>IFERROR(IF(($DL262-$DF262-$DI262)&gt;0,($DC262)/($DL262-$DF262-$DI262),""),"")</f>
        <v/>
      </c>
      <c r="DY262" s="55">
        <f>SUMIFS(tblPlant[Cyanide_kg],tblPlant[Date],$A262)</f>
        <v/>
      </c>
      <c r="DZ262" s="55">
        <f>IF($B262=$B261,$DZ261,0)+$DY262</f>
        <v/>
      </c>
      <c r="EA262" s="55">
        <f>$EA261+$DY262</f>
        <v/>
      </c>
      <c r="EB262" s="55">
        <f>SUMIFS(tblPlant[Lime_kg],tblPlant[Date],$A262)</f>
        <v/>
      </c>
      <c r="EC262" s="55">
        <f>IF($B262=$B261,$EC261,0)+$EB262</f>
        <v/>
      </c>
      <c r="ED262" s="55">
        <f>$ED261+$EB262</f>
        <v/>
      </c>
      <c r="EE262" s="55">
        <f>SUMIFS(tblPlant[Grinding_Media_kg],tblPlant[Date],$A262)</f>
        <v/>
      </c>
      <c r="EF262" s="55">
        <f>IF($B262=$B261,$EF261,0)+$EE262</f>
        <v/>
      </c>
      <c r="EG262" s="55">
        <f>$EG261+$EE262</f>
        <v/>
      </c>
      <c r="EH262" s="55">
        <f>SUMIFS(tblPlant[Power_kWh],tblPlant[Date],$A262)</f>
        <v/>
      </c>
      <c r="EI262" s="55">
        <f>IF($B262=$B261,$EI261,0)+$EH262</f>
        <v/>
      </c>
      <c r="EJ262" s="55">
        <f>$EJ261+$EH262</f>
        <v/>
      </c>
      <c r="EK262" s="55">
        <f>SUMIFS(tblPlant[Raw_Water_m3],tblPlant[Date],$A262)</f>
        <v/>
      </c>
      <c r="EL262" s="55">
        <f>IF($B262=$B261,$EL261,0)+$EK262</f>
        <v/>
      </c>
      <c r="EM262" s="55">
        <f>$EM261+$EK262</f>
        <v/>
      </c>
      <c r="EN262" s="56">
        <f>IFERROR(IF(($BZ262)&gt;0,($DY262)/($BZ262),""),"")</f>
        <v/>
      </c>
      <c r="EO262" s="56">
        <f>IFERROR(IF(($CA262)&gt;0,($DZ262)/($CA262),""),"")</f>
        <v/>
      </c>
      <c r="EP262" s="56">
        <f>IFERROR(IF(($CB262)&gt;0,($EA262)/($CB262),""),"")</f>
        <v/>
      </c>
      <c r="EQ262" s="56">
        <f>IFERROR(IF(($BZ262)&gt;0,($EB262)/($BZ262),""),"")</f>
        <v/>
      </c>
      <c r="ER262" s="56">
        <f>IFERROR(IF(($CA262)&gt;0,($EC262)/($CA262),""),"")</f>
        <v/>
      </c>
      <c r="ES262" s="56">
        <f>IFERROR(IF(($CB262)&gt;0,($ED262)/($CB262),""),"")</f>
        <v/>
      </c>
      <c r="ET262" s="56">
        <f>IFERROR(IF(($BZ262)&gt;0,($EE262)/($BZ262),""),"")</f>
        <v/>
      </c>
      <c r="EU262" s="56">
        <f>IFERROR(IF(($CA262)&gt;0,($EF262)/($CA262),""),"")</f>
        <v/>
      </c>
      <c r="EV262" s="56">
        <f>IFERROR(IF(($CB262)&gt;0,($EG262)/($CB262),""),"")</f>
        <v/>
      </c>
      <c r="EW262" s="76">
        <f>IFERROR(IF(($BZ262)&gt;0,($EH262)/($BZ262),""),"")</f>
        <v/>
      </c>
      <c r="EX262" s="76">
        <f>IFERROR(IF(($CA262)&gt;0,($EI262)/($CA262),""),"")</f>
        <v/>
      </c>
      <c r="EY262" s="76">
        <f>IFERROR(IF(($CB262)&gt;0,($EJ262)/($CB262),""),"")</f>
        <v/>
      </c>
      <c r="EZ262" s="56">
        <f>IFERROR(IF(($BZ262)&gt;0,($EK262)/($BZ262),""),"")</f>
        <v/>
      </c>
      <c r="FA262" s="56">
        <f>IFERROR(IF(($CA262)&gt;0,($EL262)/($CA262),""),"")</f>
        <v/>
      </c>
      <c r="FB262" s="56">
        <f>IFERROR(IF(($CB262)&gt;0,($EM262)/($CB262),""),"")</f>
        <v/>
      </c>
      <c r="FC262" s="55">
        <f>IF(SUMIFS(tblPlant[GIC_oz],tblPlant[Date],$A262)&gt;0,SUMIFS(tblPlant[GIC_oz],tblPlant[Date],$A262),"")</f>
        <v/>
      </c>
      <c r="FD262" s="55">
        <f>SUMIFS(tblGold[Gold_oz],tblGold[Date],$A262,tblGold[Type],"Shipment")</f>
        <v/>
      </c>
      <c r="FE262" s="55">
        <f>IF($B262=$B261,$FE261,0)+$FD262</f>
        <v/>
      </c>
      <c r="FF262" s="55">
        <f>$FF261+$FD262</f>
        <v/>
      </c>
      <c r="FG262" s="55">
        <f>SUMIFS(tblGold[Gold_oz],tblGold[Date],$A262,tblGold[Type],"Sale")</f>
        <v/>
      </c>
      <c r="FH262" s="55">
        <f>IF($B262=$B261,$FH261,0)+$FG262</f>
        <v/>
      </c>
      <c r="FI262" s="55">
        <f>$FI261+$FG262</f>
        <v/>
      </c>
      <c r="FJ262" s="55">
        <f>SUMIFS(tblGold[Dore_kg],tblGold[Date],$A262,tblGold[Type],"Shipment")</f>
        <v/>
      </c>
      <c r="FK262" s="55">
        <f>IF($B262=$B261,$FK261,0)+$FJ262</f>
        <v/>
      </c>
      <c r="FL262" s="55">
        <f>$FL261+$FJ262</f>
        <v/>
      </c>
      <c r="FM262" s="57">
        <f>SUMIFS(tblSafety[Hours_Total],tblSafety[Date],$A262)</f>
        <v/>
      </c>
      <c r="FN262" s="57">
        <f>IF($B262=$B261,$FN261,0)+$FM262</f>
        <v/>
      </c>
      <c r="FO262" s="57">
        <f>$FO261+$FM262</f>
        <v/>
      </c>
      <c r="FP262" s="62">
        <f>SUMIFS(tblSafety[Fatality],tblSafety[Date],$A262)</f>
        <v/>
      </c>
      <c r="FQ262" s="62">
        <f>IF($B262=$B261,$FQ261,0)+$FP262</f>
        <v/>
      </c>
      <c r="FR262" s="62">
        <f>$FR261+$FP262</f>
        <v/>
      </c>
      <c r="FS262" s="62">
        <f>SUMIFS(tblSafety[LTI],tblSafety[Date],$A262)</f>
        <v/>
      </c>
      <c r="FT262" s="62">
        <f>IF($B262=$B261,$FT261,0)+$FS262</f>
        <v/>
      </c>
      <c r="FU262" s="62">
        <f>$FU261+$FS262</f>
        <v/>
      </c>
      <c r="FV262" s="62">
        <f>SUMIFS(tblSafety[RWI],tblSafety[Date],$A262)</f>
        <v/>
      </c>
      <c r="FW262" s="62">
        <f>IF($B262=$B261,$FW261,0)+$FV262</f>
        <v/>
      </c>
      <c r="FX262" s="62">
        <f>$FX261+$FV262</f>
        <v/>
      </c>
      <c r="FY262" s="62">
        <f>SUMIFS(tblSafety[MTI],tblSafety[Date],$A262)</f>
        <v/>
      </c>
      <c r="FZ262" s="62">
        <f>IF($B262=$B261,$FZ261,0)+$FY262</f>
        <v/>
      </c>
      <c r="GA262" s="62">
        <f>$GA261+$FY262</f>
        <v/>
      </c>
      <c r="GB262" s="62">
        <f>SUMIFS(tblSafety[FAI],tblSafety[Date],$A262)</f>
        <v/>
      </c>
      <c r="GC262" s="62">
        <f>IF($B262=$B261,$GC261,0)+$GB262</f>
        <v/>
      </c>
      <c r="GD262" s="62">
        <f>$GD261+$GB262</f>
        <v/>
      </c>
      <c r="GE262" s="62">
        <f>SUMIFS(tblSafety[Recordables],tblSafety[Date],$A262)</f>
        <v/>
      </c>
      <c r="GF262" s="62">
        <f>IF($B262=$B261,$GF261,0)+$GE262</f>
        <v/>
      </c>
      <c r="GG262" s="62">
        <f>$GG261+$GE262</f>
        <v/>
      </c>
      <c r="GH262" s="62">
        <f>SUMIFS(tblSafety[Near_Miss],tblSafety[Date],$A262)</f>
        <v/>
      </c>
      <c r="GI262" s="62">
        <f>IF($B262=$B261,$GI261,0)+$GH262</f>
        <v/>
      </c>
      <c r="GJ262" s="62">
        <f>$GJ261+$GH262</f>
        <v/>
      </c>
      <c r="GK262" s="62">
        <f>SUMIFS(tblSafety[Hazard_Reports],tblSafety[Date],$A262)</f>
        <v/>
      </c>
      <c r="GL262" s="62">
        <f>IF($B262=$B261,$GL261,0)+$GK262</f>
        <v/>
      </c>
      <c r="GM262" s="62">
        <f>$GM261+$GK262</f>
        <v/>
      </c>
      <c r="GN262" s="62">
        <f>SUMIFS(tblSafety[HPI],tblSafety[Date],$A262)</f>
        <v/>
      </c>
      <c r="GO262" s="62">
        <f>IF($B262=$B261,$GO261,0)+$GN262</f>
        <v/>
      </c>
      <c r="GP262" s="62">
        <f>$GP261+$GN262</f>
        <v/>
      </c>
      <c r="GQ262" s="62">
        <f>SUMIFS(tblSafety[Env_Incidents],tblSafety[Date],$A262)</f>
        <v/>
      </c>
      <c r="GR262" s="62">
        <f>IF($B262=$B261,$GR261,0)+$GQ262</f>
        <v/>
      </c>
      <c r="GS262" s="62">
        <f>$GS261+$GQ262</f>
        <v/>
      </c>
      <c r="GT262" s="62">
        <f>SUMIFS(tblSafety[Community_Incidents],tblSafety[Date],$A262)</f>
        <v/>
      </c>
      <c r="GU262" s="62">
        <f>IF($B262=$B261,$GU261,0)+$GT262</f>
        <v/>
      </c>
      <c r="GV262" s="62">
        <f>$GV261+$GT262</f>
        <v/>
      </c>
      <c r="GW262" s="62">
        <f>SUMIFS(tblSafety[Vehicle_Incidents],tblSafety[Date],$A262)</f>
        <v/>
      </c>
      <c r="GX262" s="62">
        <f>IF($B262=$B261,$GX261,0)+$GW262</f>
        <v/>
      </c>
      <c r="GY262" s="62">
        <f>$GY261+$GW262</f>
        <v/>
      </c>
      <c r="GZ262" s="62">
        <f>SUMIFS(tblSafety[Toolbox_Talks],tblSafety[Date],$A262)</f>
        <v/>
      </c>
      <c r="HA262" s="62">
        <f>IF($B262=$B261,$HA261,0)+$GZ262</f>
        <v/>
      </c>
      <c r="HB262" s="62">
        <f>$HB261+$GZ262</f>
        <v/>
      </c>
      <c r="HC262" s="62">
        <f>SUMIFS(tblSafety[Inspections],tblSafety[Date],$A262)</f>
        <v/>
      </c>
      <c r="HD262" s="62">
        <f>IF($B262=$B261,$HD261,0)+$HC262</f>
        <v/>
      </c>
      <c r="HE262" s="62">
        <f>$HE261+$HC262</f>
        <v/>
      </c>
      <c r="HF262" s="56">
        <f>IFERROR((SUMIFS(tblSafety[Recordables],tblSafety[Date],"&gt;="&amp;EDATE($E262,-12),tblSafety[Date],"&lt;="&amp;$A262)+SUMIFS(tblSafetyHistory[Recordables],tblSafetyHistory[Month],"&gt;="&amp;EDATE($E262,-12),tblSafetyHistory[Month],"&lt;"&amp;cfg_YearStart))/(SUMIFS(tblSafety[Hours_Total],tblSafety[Date],"&gt;="&amp;EDATE($E262,-12),tblSafety[Date],"&lt;="&amp;$A262)+SUMIFS(tblSafetyHistory[Hours_Total],tblSafetyHistory[Month],"&gt;="&amp;EDATE($E262,-12),tblSafetyHistory[Month],"&lt;"&amp;cfg_YearStart))*1000000,"")</f>
        <v/>
      </c>
      <c r="HG262" s="56">
        <f>IFERROR((SUMIFS(tblSafety[LTI],tblSafety[Date],"&gt;="&amp;EDATE($E262,-12),tblSafety[Date],"&lt;="&amp;$A262)+SUMIFS(tblSafetyHistory[LTI],tblSafetyHistory[Month],"&gt;="&amp;EDATE($E262,-12),tblSafetyHistory[Month],"&lt;"&amp;cfg_YearStart))/(SUMIFS(tblSafety[Hours_Total],tblSafety[Date],"&gt;="&amp;EDATE($E262,-12),tblSafety[Date],"&lt;="&amp;$A262)+SUMIFS(tblSafetyHistory[Hours_Total],tblSafetyHistory[Month],"&gt;="&amp;EDATE($E262,-12),tblSafetyHistory[Month],"&lt;"&amp;cfg_YearStart))*1000000,"")</f>
        <v/>
      </c>
      <c r="HH262" s="62">
        <f>IF(MAX(N(cfg_PriorLTIDate),_xlfn.MAXIFS(tblSafety[Date],tblSafety[LTI],"&gt;0",tblSafety[Date],"&lt;="&amp;$A262))=0,"",$A262-MAX(N(cfg_PriorLTIDate),_xlfn.MAXIFS(tblSafety[Date],tblSafety[LTI],"&gt;0",tblSafety[Date],"&lt;="&amp;$A262)))</f>
        <v/>
      </c>
      <c r="HI262" s="55">
        <f>SUMIFS(tblBudget[Ore_Mined_t],tblBudget[Month],$E262)</f>
        <v/>
      </c>
      <c r="HJ262" s="55">
        <f>$HI262*$C262/$D262</f>
        <v/>
      </c>
      <c r="HK262" s="55">
        <f>SUMIFS(tblBudget[Ore_Mined_t],tblBudget[Month],"&lt;"&amp;$E262)+$HJ262</f>
        <v/>
      </c>
      <c r="HL262" s="55">
        <f>SUMIFS(tblBudget[Ore_oz],tblBudget[Month],$E262)</f>
        <v/>
      </c>
      <c r="HM262" s="55">
        <f>$HL262*$C262/$D262</f>
        <v/>
      </c>
      <c r="HN262" s="55">
        <f>SUMIFS(tblBudget[Ore_oz],tblBudget[Month],"&lt;"&amp;$E262)+$HM262</f>
        <v/>
      </c>
      <c r="HO262" s="56">
        <f>IFERROR(IF(($HI262)&gt;0,($HL262*cfg_TroyOz)/($HI262),""),"")</f>
        <v/>
      </c>
      <c r="HP262" s="56">
        <f>IFERROR(IF(($HJ262)&gt;0,($HM262*cfg_TroyOz)/($HJ262),""),"")</f>
        <v/>
      </c>
      <c r="HQ262" s="56">
        <f>IFERROR(IF(($HK262)&gt;0,($HN262*cfg_TroyOz)/($HK262),""),"")</f>
        <v/>
      </c>
      <c r="HR262" s="55">
        <f>SUMIFS(tblBudget[Waste_t],tblBudget[Month],$E262)</f>
        <v/>
      </c>
      <c r="HS262" s="55">
        <f>$HR262*$C262/$D262</f>
        <v/>
      </c>
      <c r="HT262" s="55">
        <f>SUMIFS(tblBudget[Waste_t],tblBudget[Month],"&lt;"&amp;$E262)+$HS262</f>
        <v/>
      </c>
      <c r="HU262" s="55">
        <f>SUMIFS(tblBudget[TMM_t],tblBudget[Month],$E262)</f>
        <v/>
      </c>
      <c r="HV262" s="55">
        <f>$HU262*$C262/$D262</f>
        <v/>
      </c>
      <c r="HW262" s="55">
        <f>SUMIFS(tblBudget[TMM_t],tblBudget[Month],"&lt;"&amp;$E262)+$HV262</f>
        <v/>
      </c>
      <c r="HX262" s="56">
        <f>IFERROR(IF(($HI262)&gt;0,($HR262)/($HI262),""),"")</f>
        <v/>
      </c>
      <c r="HY262" s="56">
        <f>IFERROR(IF(($HJ262)&gt;0,($HS262)/($HJ262),""),"")</f>
        <v/>
      </c>
      <c r="HZ262" s="56">
        <f>IFERROR(IF(($HK262)&gt;0,($HT262)/($HK262),""),"")</f>
        <v/>
      </c>
      <c r="IA262" s="55">
        <f>SUMIFS(tblBudget[Drill_m],tblBudget[Month],$E262)</f>
        <v/>
      </c>
      <c r="IB262" s="55">
        <f>$IA262*$C262/$D262</f>
        <v/>
      </c>
      <c r="IC262" s="55">
        <f>SUMIFS(tblBudget[Drill_m],tblBudget[Month],"&lt;"&amp;$E262)+$IB262</f>
        <v/>
      </c>
      <c r="ID262" s="55">
        <f>SUMIFS(tblBudget[Diesel_L],tblBudget[Month],$E262)</f>
        <v/>
      </c>
      <c r="IE262" s="55">
        <f>$ID262*$C262/$D262</f>
        <v/>
      </c>
      <c r="IF262" s="55">
        <f>SUMIFS(tblBudget[Diesel_L],tblBudget[Month],"&lt;"&amp;$E262)+$IE262</f>
        <v/>
      </c>
      <c r="IG262" s="55">
        <f>SUMIFS(tblBudget[Milled_t],tblBudget[Month],$E262)</f>
        <v/>
      </c>
      <c r="IH262" s="55">
        <f>$IG262*$C262/$D262</f>
        <v/>
      </c>
      <c r="II262" s="55">
        <f>SUMIFS(tblBudget[Milled_t],tblBudget[Month],"&lt;"&amp;$E262)+$IH262</f>
        <v/>
      </c>
      <c r="IJ262" s="55">
        <f>SUMIFS(tblBudget[Feed_oz],tblBudget[Month],$E262)</f>
        <v/>
      </c>
      <c r="IK262" s="55">
        <f>$IJ262*$C262/$D262</f>
        <v/>
      </c>
      <c r="IL262" s="55">
        <f>SUMIFS(tblBudget[Feed_oz],tblBudget[Month],"&lt;"&amp;$E262)+$IK262</f>
        <v/>
      </c>
      <c r="IM262" s="55">
        <f>SUMIFS(tblBudget[Recovered_oz],tblBudget[Month],$E262)</f>
        <v/>
      </c>
      <c r="IN262" s="55">
        <f>$IM262*$C262/$D262</f>
        <v/>
      </c>
      <c r="IO262" s="55">
        <f>SUMIFS(tblBudget[Recovered_oz],tblBudget[Month],"&lt;"&amp;$E262)+$IN262</f>
        <v/>
      </c>
      <c r="IP262" s="56">
        <f>IFERROR(IF(($IG262)&gt;0,($IJ262*cfg_TroyOz)/($IG262),""),"")</f>
        <v/>
      </c>
      <c r="IQ262" s="56">
        <f>IFERROR(IF(($IH262)&gt;0,($IK262*cfg_TroyOz)/($IH262),""),"")</f>
        <v/>
      </c>
      <c r="IR262" s="56">
        <f>IFERROR(IF(($II262)&gt;0,($IL262*cfg_TroyOz)/($II262),""),"")</f>
        <v/>
      </c>
      <c r="IS262" s="67">
        <f>IFERROR(IF(($IJ262)&gt;0,($IM262)/($IJ262),""),"")</f>
        <v/>
      </c>
      <c r="IT262" s="67">
        <f>IFERROR(IF(($IK262)&gt;0,($IN262)/($IK262),""),"")</f>
        <v/>
      </c>
      <c r="IU262" s="67">
        <f>IFERROR(IF(($IL262)&gt;0,($IO262)/($IL262),""),"")</f>
        <v/>
      </c>
      <c r="IV262" s="55">
        <f>SUMIFS(tblBudget[Gold_Poured_oz],tblBudget[Month],$E262)</f>
        <v/>
      </c>
      <c r="IW262" s="55">
        <f>$IV262*$C262/$D262</f>
        <v/>
      </c>
      <c r="IX262" s="55">
        <f>SUMIFS(tblBudget[Gold_Poured_oz],tblBudget[Month],"&lt;"&amp;$E262)+$IW262</f>
        <v/>
      </c>
      <c r="IY262" s="57">
        <f>SUMIFS(tblBudget[Hours_Worked],tblBudget[Month],$E262)</f>
        <v/>
      </c>
      <c r="IZ262" s="57">
        <f>$IY262*$C262/$D262</f>
        <v/>
      </c>
      <c r="JA262" s="57">
        <f>SUMIFS(tblBudget[Hours_Worked],tblBudget[Month],"&lt;"&amp;$E262)+$IZ262</f>
        <v/>
      </c>
    </row>
    <row r="263">
      <c r="A263" s="54" t="n">
        <v>46284</v>
      </c>
      <c r="B263">
        <f>MONTH($A263)</f>
        <v/>
      </c>
      <c r="C263">
        <f>DAY($A263)</f>
        <v/>
      </c>
      <c r="D263">
        <f>DAY(EOMONTH($A263,0))</f>
        <v/>
      </c>
      <c r="E263" s="54">
        <f>DATE(YEAR($A263),MONTH($A263),1)</f>
        <v/>
      </c>
      <c r="F263" s="55">
        <f>SUMIFS(tblMovement[Tonnes_t],tblMovement[Date],$A263,tblMovement[Is_Ore],1,tblMovement[Source_Type],"Pit")</f>
        <v/>
      </c>
      <c r="G263" s="55">
        <f>IF($B263=$B262,$G262,0)+$F263</f>
        <v/>
      </c>
      <c r="H263" s="55">
        <f>$H262+$F263</f>
        <v/>
      </c>
      <c r="I263" s="55">
        <f>SUMIFS(tblMovement[Ore_oz],tblMovement[Date],$A263,tblMovement[Source_Type],"Pit")</f>
        <v/>
      </c>
      <c r="J263" s="55">
        <f>IF($B263=$B262,$J262,0)+$I263</f>
        <v/>
      </c>
      <c r="K263" s="55">
        <f>$K262+$I263</f>
        <v/>
      </c>
      <c r="L263" s="56">
        <f>IFERROR(IF(($F263)&gt;0,($I263*cfg_TroyOz)/($F263),""),"")</f>
        <v/>
      </c>
      <c r="M263" s="56">
        <f>IFERROR(IF(($G263)&gt;0,($J263*cfg_TroyOz)/($G263),""),"")</f>
        <v/>
      </c>
      <c r="N263" s="56">
        <f>IFERROR(IF(($H263)&gt;0,($K263*cfg_TroyOz)/($H263),""),"")</f>
        <v/>
      </c>
      <c r="O263" s="55">
        <f>SUMIFS(tblMovement[Tonnes_t],tblMovement[Date],$A263,tblMovement[Is_Ore],0,tblMovement[Source_Type],"Pit")</f>
        <v/>
      </c>
      <c r="P263" s="55">
        <f>IF($B263=$B262,$P262,0)+$O263</f>
        <v/>
      </c>
      <c r="Q263" s="55">
        <f>$Q262+$O263</f>
        <v/>
      </c>
      <c r="R263" s="55">
        <f>$F263+$O263</f>
        <v/>
      </c>
      <c r="S263" s="55">
        <f>IF($B263=$B262,$S262,0)+$R263</f>
        <v/>
      </c>
      <c r="T263" s="55">
        <f>$T262+$R263</f>
        <v/>
      </c>
      <c r="U263" s="56">
        <f>IFERROR(IF(($F263)&gt;0,($O263)/($F263),""),"")</f>
        <v/>
      </c>
      <c r="V263" s="56">
        <f>IFERROR(IF(($G263)&gt;0,($P263)/($G263),""),"")</f>
        <v/>
      </c>
      <c r="W263" s="56">
        <f>IFERROR(IF(($H263)&gt;0,($Q263)/($H263),""),"")</f>
        <v/>
      </c>
      <c r="X263" s="55">
        <f>SUMIFS(tblMovement[Tonnes_t],tblMovement[Date],$A263,tblMovement[Source_Type],"Stockpile")</f>
        <v/>
      </c>
      <c r="Y263" s="55">
        <f>IF($B263=$B262,$Y262,0)+$X263</f>
        <v/>
      </c>
      <c r="Z263" s="55">
        <f>$Z262+$X263</f>
        <v/>
      </c>
      <c r="AA263" s="55">
        <f>SUMIFS(tblMiningDaily[Drill_m],tblMiningDaily[Date],$A263)</f>
        <v/>
      </c>
      <c r="AB263" s="55">
        <f>IF($B263=$B262,$AB262,0)+$AA263</f>
        <v/>
      </c>
      <c r="AC263" s="55">
        <f>$AC262+$AA263</f>
        <v/>
      </c>
      <c r="AD263" s="55">
        <f>SUMIFS(tblMiningDaily[Blast_t],tblMiningDaily[Date],$A263)</f>
        <v/>
      </c>
      <c r="AE263" s="55">
        <f>IF($B263=$B262,$AE262,0)+$AD263</f>
        <v/>
      </c>
      <c r="AF263" s="55">
        <f>$AF262+$AD263</f>
        <v/>
      </c>
      <c r="AG263" s="55">
        <f>SUMIFS(tblMiningDaily[Explosives_kg],tblMiningDaily[Date],$A263)</f>
        <v/>
      </c>
      <c r="AH263" s="55">
        <f>IF($B263=$B262,$AH262,0)+$AG263</f>
        <v/>
      </c>
      <c r="AI263" s="55">
        <f>$AI262+$AG263</f>
        <v/>
      </c>
      <c r="AJ263" s="56">
        <f>IFERROR(IF(($AD263)&gt;0,($AG263)/($AD263),""),"")</f>
        <v/>
      </c>
      <c r="AK263" s="56">
        <f>IFERROR(IF(($AE263)&gt;0,($AH263)/($AE263),""),"")</f>
        <v/>
      </c>
      <c r="AL263" s="56">
        <f>IFERROR(IF(($AF263)&gt;0,($AI263)/($AF263),""),"")</f>
        <v/>
      </c>
      <c r="AM263" s="55">
        <f>SUMIFS(tblMiningDaily[Diesel_L],tblMiningDaily[Date],$A263)</f>
        <v/>
      </c>
      <c r="AN263" s="55">
        <f>IF($B263=$B262,$AN262,0)+$AM263</f>
        <v/>
      </c>
      <c r="AO263" s="55">
        <f>$AO262+$AM263</f>
        <v/>
      </c>
      <c r="AP263" s="55">
        <f>SUMIFS(tblMiningDaily[Dewatering_m3],tblMiningDaily[Date],$A263)</f>
        <v/>
      </c>
      <c r="AQ263" s="55">
        <f>IF($B263=$B262,$AQ262,0)+$AP263</f>
        <v/>
      </c>
      <c r="AR263" s="55">
        <f>$AR262+$AP263</f>
        <v/>
      </c>
      <c r="AS263" s="57">
        <f>SUMIFS(tblFleet[Calendar_h],tblFleet[Date],$A263,tblFleet[Equipment_Class],"Excavator")</f>
        <v/>
      </c>
      <c r="AT263" s="57">
        <f>IF($B263=$B262,$AT262,0)+$AS263</f>
        <v/>
      </c>
      <c r="AU263" s="57">
        <f>$AU262+$AS263</f>
        <v/>
      </c>
      <c r="AV263" s="57">
        <f>SUMIFS(tblFleet[Available_h],tblFleet[Date],$A263,tblFleet[Equipment_Class],"Excavator")</f>
        <v/>
      </c>
      <c r="AW263" s="57">
        <f>IF($B263=$B262,$AW262,0)+$AV263</f>
        <v/>
      </c>
      <c r="AX263" s="57">
        <f>$AX262+$AV263</f>
        <v/>
      </c>
      <c r="AY263" s="57">
        <f>SUMIFS(tblFleet[Operating_h],tblFleet[Date],$A263,tblFleet[Equipment_Class],"Excavator")</f>
        <v/>
      </c>
      <c r="AZ263" s="57">
        <f>IF($B263=$B262,$AZ262,0)+$AY263</f>
        <v/>
      </c>
      <c r="BA263" s="57">
        <f>$BA262+$AY263</f>
        <v/>
      </c>
      <c r="BB263" s="67">
        <f>IFERROR(IF(($AS263)&gt;0,($AV263)/($AS263),""),"")</f>
        <v/>
      </c>
      <c r="BC263" s="67">
        <f>IFERROR(IF(($AT263)&gt;0,($AW263)/($AT263),""),"")</f>
        <v/>
      </c>
      <c r="BD263" s="67">
        <f>IFERROR(IF(($AU263)&gt;0,($AX263)/($AU263),""),"")</f>
        <v/>
      </c>
      <c r="BE263" s="67">
        <f>IFERROR(IF(($AV263)&gt;0,($AY263)/($AV263),""),"")</f>
        <v/>
      </c>
      <c r="BF263" s="67">
        <f>IFERROR(IF(($AW263)&gt;0,($AZ263)/($AW263),""),"")</f>
        <v/>
      </c>
      <c r="BG263" s="67">
        <f>IFERROR(IF(($AX263)&gt;0,($BA263)/($AX263),""),"")</f>
        <v/>
      </c>
      <c r="BH263" s="57">
        <f>SUMIFS(tblFleet[Calendar_h],tblFleet[Date],$A263,tblFleet[Equipment_Class],"Haul Truck")</f>
        <v/>
      </c>
      <c r="BI263" s="57">
        <f>IF($B263=$B262,$BI262,0)+$BH263</f>
        <v/>
      </c>
      <c r="BJ263" s="57">
        <f>$BJ262+$BH263</f>
        <v/>
      </c>
      <c r="BK263" s="57">
        <f>SUMIFS(tblFleet[Available_h],tblFleet[Date],$A263,tblFleet[Equipment_Class],"Haul Truck")</f>
        <v/>
      </c>
      <c r="BL263" s="57">
        <f>IF($B263=$B262,$BL262,0)+$BK263</f>
        <v/>
      </c>
      <c r="BM263" s="57">
        <f>$BM262+$BK263</f>
        <v/>
      </c>
      <c r="BN263" s="57">
        <f>SUMIFS(tblFleet[Operating_h],tblFleet[Date],$A263,tblFleet[Equipment_Class],"Haul Truck")</f>
        <v/>
      </c>
      <c r="BO263" s="57">
        <f>IF($B263=$B262,$BO262,0)+$BN263</f>
        <v/>
      </c>
      <c r="BP263" s="57">
        <f>$BP262+$BN263</f>
        <v/>
      </c>
      <c r="BQ263" s="67">
        <f>IFERROR(IF(($BH263)&gt;0,($BK263)/($BH263),""),"")</f>
        <v/>
      </c>
      <c r="BR263" s="67">
        <f>IFERROR(IF(($BI263)&gt;0,($BL263)/($BI263),""),"")</f>
        <v/>
      </c>
      <c r="BS263" s="67">
        <f>IFERROR(IF(($BJ263)&gt;0,($BM263)/($BJ263),""),"")</f>
        <v/>
      </c>
      <c r="BT263" s="67">
        <f>IFERROR(IF(($BK263)&gt;0,($BN263)/($BK263),""),"")</f>
        <v/>
      </c>
      <c r="BU263" s="67">
        <f>IFERROR(IF(($BL263)&gt;0,($BO263)/($BL263),""),"")</f>
        <v/>
      </c>
      <c r="BV263" s="67">
        <f>IFERROR(IF(($BM263)&gt;0,($BP263)/($BM263),""),"")</f>
        <v/>
      </c>
      <c r="BW263" s="55">
        <f>SUMIFS(tblPlant[Crushed_t],tblPlant[Date],$A263)</f>
        <v/>
      </c>
      <c r="BX263" s="55">
        <f>IF($B263=$B262,$BX262,0)+$BW263</f>
        <v/>
      </c>
      <c r="BY263" s="55">
        <f>$BY262+$BW263</f>
        <v/>
      </c>
      <c r="BZ263" s="55">
        <f>SUMIFS(tblPlant[Milled_t],tblPlant[Date],$A263)</f>
        <v/>
      </c>
      <c r="CA263" s="55">
        <f>IF($B263=$B262,$CA262,0)+$BZ263</f>
        <v/>
      </c>
      <c r="CB263" s="55">
        <f>$CB262+$BZ263</f>
        <v/>
      </c>
      <c r="CC263" s="55">
        <f>SUMIFS(tblPlant[Feed_oz],tblPlant[Date],$A263)</f>
        <v/>
      </c>
      <c r="CD263" s="55">
        <f>IF($B263=$B262,$CD262,0)+$CC263</f>
        <v/>
      </c>
      <c r="CE263" s="55">
        <f>$CE262+$CC263</f>
        <v/>
      </c>
      <c r="CF263" s="55">
        <f>SUMIFS(tblPlant[Tails_oz],tblPlant[Date],$A263)</f>
        <v/>
      </c>
      <c r="CG263" s="55">
        <f>IF($B263=$B262,$CG262,0)+$CF263</f>
        <v/>
      </c>
      <c r="CH263" s="55">
        <f>$CH262+$CF263</f>
        <v/>
      </c>
      <c r="CI263" s="55">
        <f>SUMIFS(tblPlant[Recovered_oz],tblPlant[Date],$A263)</f>
        <v/>
      </c>
      <c r="CJ263" s="55">
        <f>IF($B263=$B262,$CJ262,0)+$CI263</f>
        <v/>
      </c>
      <c r="CK263" s="55">
        <f>$CK262+$CI263</f>
        <v/>
      </c>
      <c r="CL263" s="56">
        <f>IFERROR(IF(($BZ263)&gt;0,($CC263*cfg_TroyOz)/($BZ263),""),"")</f>
        <v/>
      </c>
      <c r="CM263" s="56">
        <f>IFERROR(IF(($CA263)&gt;0,($CD263*cfg_TroyOz)/($CA263),""),"")</f>
        <v/>
      </c>
      <c r="CN263" s="56">
        <f>IFERROR(IF(($CB263)&gt;0,($CE263*cfg_TroyOz)/($CB263),""),"")</f>
        <v/>
      </c>
      <c r="CO263" s="56">
        <f>IFERROR(IF(($BZ263)&gt;0,($CF263*cfg_TroyOz)/($BZ263),""),"")</f>
        <v/>
      </c>
      <c r="CP263" s="56">
        <f>IFERROR(IF(($CA263)&gt;0,($CG263*cfg_TroyOz)/($CA263),""),"")</f>
        <v/>
      </c>
      <c r="CQ263" s="56">
        <f>IFERROR(IF(($CB263)&gt;0,($CH263*cfg_TroyOz)/($CB263),""),"")</f>
        <v/>
      </c>
      <c r="CR263" s="67">
        <f>IFERROR(IF(($CC263)&gt;0,($CI263)/($CC263),""),"")</f>
        <v/>
      </c>
      <c r="CS263" s="67">
        <f>IFERROR(IF(($CD263)&gt;0,($CJ263)/($CD263),""),"")</f>
        <v/>
      </c>
      <c r="CT263" s="67">
        <f>IFERROR(IF(($CE263)&gt;0,($CK263)/($CE263),""),"")</f>
        <v/>
      </c>
      <c r="CU263" s="55">
        <f>SUMIFS(tblPlant[Gravity_Gold_oz],tblPlant[Date],$A263)</f>
        <v/>
      </c>
      <c r="CV263" s="55">
        <f>IF($B263=$B262,$CV262,0)+$CU263</f>
        <v/>
      </c>
      <c r="CW263" s="55">
        <f>$CW262+$CU263</f>
        <v/>
      </c>
      <c r="CX263" s="55">
        <f>SUMIFS(tblPlant[Gold_Poured_oz],tblPlant[Date],$A263)</f>
        <v/>
      </c>
      <c r="CY263" s="55">
        <f>IF($B263=$B262,$CY262,0)+$CX263</f>
        <v/>
      </c>
      <c r="CZ263" s="55">
        <f>$CZ262+$CX263</f>
        <v/>
      </c>
      <c r="DA263" s="57">
        <f>SUMIFS(tblPlant[Mill_Run_h],tblPlant[Date],$A263)</f>
        <v/>
      </c>
      <c r="DB263" s="57">
        <f>IF($B263=$B262,$DB262,0)+$DA263</f>
        <v/>
      </c>
      <c r="DC263" s="57">
        <f>$DC262+$DA263</f>
        <v/>
      </c>
      <c r="DD263" s="57">
        <f>SUMIFS(tblPlant[Mill_Planned_Maint_h],tblPlant[Date],$A263)</f>
        <v/>
      </c>
      <c r="DE263" s="57">
        <f>IF($B263=$B262,$DE262,0)+$DD263</f>
        <v/>
      </c>
      <c r="DF263" s="57">
        <f>$DF262+$DD263</f>
        <v/>
      </c>
      <c r="DG263" s="57">
        <f>SUMIFS(tblPlant[Mill_Unplanned_Down_h],tblPlant[Date],$A263)</f>
        <v/>
      </c>
      <c r="DH263" s="57">
        <f>IF($B263=$B262,$DH262,0)+$DG263</f>
        <v/>
      </c>
      <c r="DI263" s="57">
        <f>$DI262+$DG263</f>
        <v/>
      </c>
      <c r="DJ263" s="57">
        <f>COUNTIFS(tblPlant[Date],$A263,tblPlant[Mill_Run_h],"&lt;&gt;")*24</f>
        <v/>
      </c>
      <c r="DK263" s="57">
        <f>IF($B263=$B262,$DK262,0)+$DJ263</f>
        <v/>
      </c>
      <c r="DL263" s="57">
        <f>$DL262+$DJ263</f>
        <v/>
      </c>
      <c r="DM263" s="57">
        <f>SUMIFS(tblPlant[Crusher_Run_h],tblPlant[Date],$A263)</f>
        <v/>
      </c>
      <c r="DN263" s="57">
        <f>IF($B263=$B262,$DN262,0)+$DM263</f>
        <v/>
      </c>
      <c r="DO263" s="57">
        <f>$DO262+$DM263</f>
        <v/>
      </c>
      <c r="DP263" s="55">
        <f>IFERROR(IF(($DA263)&gt;0,($BZ263)/($DA263),""),"")</f>
        <v/>
      </c>
      <c r="DQ263" s="55">
        <f>IFERROR(IF(($DB263)&gt;0,($CA263)/($DB263),""),"")</f>
        <v/>
      </c>
      <c r="DR263" s="55">
        <f>IFERROR(IF(($DC263)&gt;0,($CB263)/($DC263),""),"")</f>
        <v/>
      </c>
      <c r="DS263" s="67">
        <f>IFERROR(IF(($DJ263)&gt;0,($DJ263-$DD263-$DG263)/($DJ263),""),"")</f>
        <v/>
      </c>
      <c r="DT263" s="67">
        <f>IFERROR(IF(($DK263)&gt;0,($DK263-$DE263-$DH263)/($DK263),""),"")</f>
        <v/>
      </c>
      <c r="DU263" s="67">
        <f>IFERROR(IF(($DL263)&gt;0,($DL263-$DF263-$DI263)/($DL263),""),"")</f>
        <v/>
      </c>
      <c r="DV263" s="67">
        <f>IFERROR(IF(($DJ263-$DD263-$DG263)&gt;0,($DA263)/($DJ263-$DD263-$DG263),""),"")</f>
        <v/>
      </c>
      <c r="DW263" s="67">
        <f>IFERROR(IF(($DK263-$DE263-$DH263)&gt;0,($DB263)/($DK263-$DE263-$DH263),""),"")</f>
        <v/>
      </c>
      <c r="DX263" s="67">
        <f>IFERROR(IF(($DL263-$DF263-$DI263)&gt;0,($DC263)/($DL263-$DF263-$DI263),""),"")</f>
        <v/>
      </c>
      <c r="DY263" s="55">
        <f>SUMIFS(tblPlant[Cyanide_kg],tblPlant[Date],$A263)</f>
        <v/>
      </c>
      <c r="DZ263" s="55">
        <f>IF($B263=$B262,$DZ262,0)+$DY263</f>
        <v/>
      </c>
      <c r="EA263" s="55">
        <f>$EA262+$DY263</f>
        <v/>
      </c>
      <c r="EB263" s="55">
        <f>SUMIFS(tblPlant[Lime_kg],tblPlant[Date],$A263)</f>
        <v/>
      </c>
      <c r="EC263" s="55">
        <f>IF($B263=$B262,$EC262,0)+$EB263</f>
        <v/>
      </c>
      <c r="ED263" s="55">
        <f>$ED262+$EB263</f>
        <v/>
      </c>
      <c r="EE263" s="55">
        <f>SUMIFS(tblPlant[Grinding_Media_kg],tblPlant[Date],$A263)</f>
        <v/>
      </c>
      <c r="EF263" s="55">
        <f>IF($B263=$B262,$EF262,0)+$EE263</f>
        <v/>
      </c>
      <c r="EG263" s="55">
        <f>$EG262+$EE263</f>
        <v/>
      </c>
      <c r="EH263" s="55">
        <f>SUMIFS(tblPlant[Power_kWh],tblPlant[Date],$A263)</f>
        <v/>
      </c>
      <c r="EI263" s="55">
        <f>IF($B263=$B262,$EI262,0)+$EH263</f>
        <v/>
      </c>
      <c r="EJ263" s="55">
        <f>$EJ262+$EH263</f>
        <v/>
      </c>
      <c r="EK263" s="55">
        <f>SUMIFS(tblPlant[Raw_Water_m3],tblPlant[Date],$A263)</f>
        <v/>
      </c>
      <c r="EL263" s="55">
        <f>IF($B263=$B262,$EL262,0)+$EK263</f>
        <v/>
      </c>
      <c r="EM263" s="55">
        <f>$EM262+$EK263</f>
        <v/>
      </c>
      <c r="EN263" s="56">
        <f>IFERROR(IF(($BZ263)&gt;0,($DY263)/($BZ263),""),"")</f>
        <v/>
      </c>
      <c r="EO263" s="56">
        <f>IFERROR(IF(($CA263)&gt;0,($DZ263)/($CA263),""),"")</f>
        <v/>
      </c>
      <c r="EP263" s="56">
        <f>IFERROR(IF(($CB263)&gt;0,($EA263)/($CB263),""),"")</f>
        <v/>
      </c>
      <c r="EQ263" s="56">
        <f>IFERROR(IF(($BZ263)&gt;0,($EB263)/($BZ263),""),"")</f>
        <v/>
      </c>
      <c r="ER263" s="56">
        <f>IFERROR(IF(($CA263)&gt;0,($EC263)/($CA263),""),"")</f>
        <v/>
      </c>
      <c r="ES263" s="56">
        <f>IFERROR(IF(($CB263)&gt;0,($ED263)/($CB263),""),"")</f>
        <v/>
      </c>
      <c r="ET263" s="56">
        <f>IFERROR(IF(($BZ263)&gt;0,($EE263)/($BZ263),""),"")</f>
        <v/>
      </c>
      <c r="EU263" s="56">
        <f>IFERROR(IF(($CA263)&gt;0,($EF263)/($CA263),""),"")</f>
        <v/>
      </c>
      <c r="EV263" s="56">
        <f>IFERROR(IF(($CB263)&gt;0,($EG263)/($CB263),""),"")</f>
        <v/>
      </c>
      <c r="EW263" s="76">
        <f>IFERROR(IF(($BZ263)&gt;0,($EH263)/($BZ263),""),"")</f>
        <v/>
      </c>
      <c r="EX263" s="76">
        <f>IFERROR(IF(($CA263)&gt;0,($EI263)/($CA263),""),"")</f>
        <v/>
      </c>
      <c r="EY263" s="76">
        <f>IFERROR(IF(($CB263)&gt;0,($EJ263)/($CB263),""),"")</f>
        <v/>
      </c>
      <c r="EZ263" s="56">
        <f>IFERROR(IF(($BZ263)&gt;0,($EK263)/($BZ263),""),"")</f>
        <v/>
      </c>
      <c r="FA263" s="56">
        <f>IFERROR(IF(($CA263)&gt;0,($EL263)/($CA263),""),"")</f>
        <v/>
      </c>
      <c r="FB263" s="56">
        <f>IFERROR(IF(($CB263)&gt;0,($EM263)/($CB263),""),"")</f>
        <v/>
      </c>
      <c r="FC263" s="55">
        <f>IF(SUMIFS(tblPlant[GIC_oz],tblPlant[Date],$A263)&gt;0,SUMIFS(tblPlant[GIC_oz],tblPlant[Date],$A263),"")</f>
        <v/>
      </c>
      <c r="FD263" s="55">
        <f>SUMIFS(tblGold[Gold_oz],tblGold[Date],$A263,tblGold[Type],"Shipment")</f>
        <v/>
      </c>
      <c r="FE263" s="55">
        <f>IF($B263=$B262,$FE262,0)+$FD263</f>
        <v/>
      </c>
      <c r="FF263" s="55">
        <f>$FF262+$FD263</f>
        <v/>
      </c>
      <c r="FG263" s="55">
        <f>SUMIFS(tblGold[Gold_oz],tblGold[Date],$A263,tblGold[Type],"Sale")</f>
        <v/>
      </c>
      <c r="FH263" s="55">
        <f>IF($B263=$B262,$FH262,0)+$FG263</f>
        <v/>
      </c>
      <c r="FI263" s="55">
        <f>$FI262+$FG263</f>
        <v/>
      </c>
      <c r="FJ263" s="55">
        <f>SUMIFS(tblGold[Dore_kg],tblGold[Date],$A263,tblGold[Type],"Shipment")</f>
        <v/>
      </c>
      <c r="FK263" s="55">
        <f>IF($B263=$B262,$FK262,0)+$FJ263</f>
        <v/>
      </c>
      <c r="FL263" s="55">
        <f>$FL262+$FJ263</f>
        <v/>
      </c>
      <c r="FM263" s="57">
        <f>SUMIFS(tblSafety[Hours_Total],tblSafety[Date],$A263)</f>
        <v/>
      </c>
      <c r="FN263" s="57">
        <f>IF($B263=$B262,$FN262,0)+$FM263</f>
        <v/>
      </c>
      <c r="FO263" s="57">
        <f>$FO262+$FM263</f>
        <v/>
      </c>
      <c r="FP263" s="62">
        <f>SUMIFS(tblSafety[Fatality],tblSafety[Date],$A263)</f>
        <v/>
      </c>
      <c r="FQ263" s="62">
        <f>IF($B263=$B262,$FQ262,0)+$FP263</f>
        <v/>
      </c>
      <c r="FR263" s="62">
        <f>$FR262+$FP263</f>
        <v/>
      </c>
      <c r="FS263" s="62">
        <f>SUMIFS(tblSafety[LTI],tblSafety[Date],$A263)</f>
        <v/>
      </c>
      <c r="FT263" s="62">
        <f>IF($B263=$B262,$FT262,0)+$FS263</f>
        <v/>
      </c>
      <c r="FU263" s="62">
        <f>$FU262+$FS263</f>
        <v/>
      </c>
      <c r="FV263" s="62">
        <f>SUMIFS(tblSafety[RWI],tblSafety[Date],$A263)</f>
        <v/>
      </c>
      <c r="FW263" s="62">
        <f>IF($B263=$B262,$FW262,0)+$FV263</f>
        <v/>
      </c>
      <c r="FX263" s="62">
        <f>$FX262+$FV263</f>
        <v/>
      </c>
      <c r="FY263" s="62">
        <f>SUMIFS(tblSafety[MTI],tblSafety[Date],$A263)</f>
        <v/>
      </c>
      <c r="FZ263" s="62">
        <f>IF($B263=$B262,$FZ262,0)+$FY263</f>
        <v/>
      </c>
      <c r="GA263" s="62">
        <f>$GA262+$FY263</f>
        <v/>
      </c>
      <c r="GB263" s="62">
        <f>SUMIFS(tblSafety[FAI],tblSafety[Date],$A263)</f>
        <v/>
      </c>
      <c r="GC263" s="62">
        <f>IF($B263=$B262,$GC262,0)+$GB263</f>
        <v/>
      </c>
      <c r="GD263" s="62">
        <f>$GD262+$GB263</f>
        <v/>
      </c>
      <c r="GE263" s="62">
        <f>SUMIFS(tblSafety[Recordables],tblSafety[Date],$A263)</f>
        <v/>
      </c>
      <c r="GF263" s="62">
        <f>IF($B263=$B262,$GF262,0)+$GE263</f>
        <v/>
      </c>
      <c r="GG263" s="62">
        <f>$GG262+$GE263</f>
        <v/>
      </c>
      <c r="GH263" s="62">
        <f>SUMIFS(tblSafety[Near_Miss],tblSafety[Date],$A263)</f>
        <v/>
      </c>
      <c r="GI263" s="62">
        <f>IF($B263=$B262,$GI262,0)+$GH263</f>
        <v/>
      </c>
      <c r="GJ263" s="62">
        <f>$GJ262+$GH263</f>
        <v/>
      </c>
      <c r="GK263" s="62">
        <f>SUMIFS(tblSafety[Hazard_Reports],tblSafety[Date],$A263)</f>
        <v/>
      </c>
      <c r="GL263" s="62">
        <f>IF($B263=$B262,$GL262,0)+$GK263</f>
        <v/>
      </c>
      <c r="GM263" s="62">
        <f>$GM262+$GK263</f>
        <v/>
      </c>
      <c r="GN263" s="62">
        <f>SUMIFS(tblSafety[HPI],tblSafety[Date],$A263)</f>
        <v/>
      </c>
      <c r="GO263" s="62">
        <f>IF($B263=$B262,$GO262,0)+$GN263</f>
        <v/>
      </c>
      <c r="GP263" s="62">
        <f>$GP262+$GN263</f>
        <v/>
      </c>
      <c r="GQ263" s="62">
        <f>SUMIFS(tblSafety[Env_Incidents],tblSafety[Date],$A263)</f>
        <v/>
      </c>
      <c r="GR263" s="62">
        <f>IF($B263=$B262,$GR262,0)+$GQ263</f>
        <v/>
      </c>
      <c r="GS263" s="62">
        <f>$GS262+$GQ263</f>
        <v/>
      </c>
      <c r="GT263" s="62">
        <f>SUMIFS(tblSafety[Community_Incidents],tblSafety[Date],$A263)</f>
        <v/>
      </c>
      <c r="GU263" s="62">
        <f>IF($B263=$B262,$GU262,0)+$GT263</f>
        <v/>
      </c>
      <c r="GV263" s="62">
        <f>$GV262+$GT263</f>
        <v/>
      </c>
      <c r="GW263" s="62">
        <f>SUMIFS(tblSafety[Vehicle_Incidents],tblSafety[Date],$A263)</f>
        <v/>
      </c>
      <c r="GX263" s="62">
        <f>IF($B263=$B262,$GX262,0)+$GW263</f>
        <v/>
      </c>
      <c r="GY263" s="62">
        <f>$GY262+$GW263</f>
        <v/>
      </c>
      <c r="GZ263" s="62">
        <f>SUMIFS(tblSafety[Toolbox_Talks],tblSafety[Date],$A263)</f>
        <v/>
      </c>
      <c r="HA263" s="62">
        <f>IF($B263=$B262,$HA262,0)+$GZ263</f>
        <v/>
      </c>
      <c r="HB263" s="62">
        <f>$HB262+$GZ263</f>
        <v/>
      </c>
      <c r="HC263" s="62">
        <f>SUMIFS(tblSafety[Inspections],tblSafety[Date],$A263)</f>
        <v/>
      </c>
      <c r="HD263" s="62">
        <f>IF($B263=$B262,$HD262,0)+$HC263</f>
        <v/>
      </c>
      <c r="HE263" s="62">
        <f>$HE262+$HC263</f>
        <v/>
      </c>
      <c r="HF263" s="56">
        <f>IFERROR((SUMIFS(tblSafety[Recordables],tblSafety[Date],"&gt;="&amp;EDATE($E263,-12),tblSafety[Date],"&lt;="&amp;$A263)+SUMIFS(tblSafetyHistory[Recordables],tblSafetyHistory[Month],"&gt;="&amp;EDATE($E263,-12),tblSafetyHistory[Month],"&lt;"&amp;cfg_YearStart))/(SUMIFS(tblSafety[Hours_Total],tblSafety[Date],"&gt;="&amp;EDATE($E263,-12),tblSafety[Date],"&lt;="&amp;$A263)+SUMIFS(tblSafetyHistory[Hours_Total],tblSafetyHistory[Month],"&gt;="&amp;EDATE($E263,-12),tblSafetyHistory[Month],"&lt;"&amp;cfg_YearStart))*1000000,"")</f>
        <v/>
      </c>
      <c r="HG263" s="56">
        <f>IFERROR((SUMIFS(tblSafety[LTI],tblSafety[Date],"&gt;="&amp;EDATE($E263,-12),tblSafety[Date],"&lt;="&amp;$A263)+SUMIFS(tblSafetyHistory[LTI],tblSafetyHistory[Month],"&gt;="&amp;EDATE($E263,-12),tblSafetyHistory[Month],"&lt;"&amp;cfg_YearStart))/(SUMIFS(tblSafety[Hours_Total],tblSafety[Date],"&gt;="&amp;EDATE($E263,-12),tblSafety[Date],"&lt;="&amp;$A263)+SUMIFS(tblSafetyHistory[Hours_Total],tblSafetyHistory[Month],"&gt;="&amp;EDATE($E263,-12),tblSafetyHistory[Month],"&lt;"&amp;cfg_YearStart))*1000000,"")</f>
        <v/>
      </c>
      <c r="HH263" s="62">
        <f>IF(MAX(N(cfg_PriorLTIDate),_xlfn.MAXIFS(tblSafety[Date],tblSafety[LTI],"&gt;0",tblSafety[Date],"&lt;="&amp;$A263))=0,"",$A263-MAX(N(cfg_PriorLTIDate),_xlfn.MAXIFS(tblSafety[Date],tblSafety[LTI],"&gt;0",tblSafety[Date],"&lt;="&amp;$A263)))</f>
        <v/>
      </c>
      <c r="HI263" s="55">
        <f>SUMIFS(tblBudget[Ore_Mined_t],tblBudget[Month],$E263)</f>
        <v/>
      </c>
      <c r="HJ263" s="55">
        <f>$HI263*$C263/$D263</f>
        <v/>
      </c>
      <c r="HK263" s="55">
        <f>SUMIFS(tblBudget[Ore_Mined_t],tblBudget[Month],"&lt;"&amp;$E263)+$HJ263</f>
        <v/>
      </c>
      <c r="HL263" s="55">
        <f>SUMIFS(tblBudget[Ore_oz],tblBudget[Month],$E263)</f>
        <v/>
      </c>
      <c r="HM263" s="55">
        <f>$HL263*$C263/$D263</f>
        <v/>
      </c>
      <c r="HN263" s="55">
        <f>SUMIFS(tblBudget[Ore_oz],tblBudget[Month],"&lt;"&amp;$E263)+$HM263</f>
        <v/>
      </c>
      <c r="HO263" s="56">
        <f>IFERROR(IF(($HI263)&gt;0,($HL263*cfg_TroyOz)/($HI263),""),"")</f>
        <v/>
      </c>
      <c r="HP263" s="56">
        <f>IFERROR(IF(($HJ263)&gt;0,($HM263*cfg_TroyOz)/($HJ263),""),"")</f>
        <v/>
      </c>
      <c r="HQ263" s="56">
        <f>IFERROR(IF(($HK263)&gt;0,($HN263*cfg_TroyOz)/($HK263),""),"")</f>
        <v/>
      </c>
      <c r="HR263" s="55">
        <f>SUMIFS(tblBudget[Waste_t],tblBudget[Month],$E263)</f>
        <v/>
      </c>
      <c r="HS263" s="55">
        <f>$HR263*$C263/$D263</f>
        <v/>
      </c>
      <c r="HT263" s="55">
        <f>SUMIFS(tblBudget[Waste_t],tblBudget[Month],"&lt;"&amp;$E263)+$HS263</f>
        <v/>
      </c>
      <c r="HU263" s="55">
        <f>SUMIFS(tblBudget[TMM_t],tblBudget[Month],$E263)</f>
        <v/>
      </c>
      <c r="HV263" s="55">
        <f>$HU263*$C263/$D263</f>
        <v/>
      </c>
      <c r="HW263" s="55">
        <f>SUMIFS(tblBudget[TMM_t],tblBudget[Month],"&lt;"&amp;$E263)+$HV263</f>
        <v/>
      </c>
      <c r="HX263" s="56">
        <f>IFERROR(IF(($HI263)&gt;0,($HR263)/($HI263),""),"")</f>
        <v/>
      </c>
      <c r="HY263" s="56">
        <f>IFERROR(IF(($HJ263)&gt;0,($HS263)/($HJ263),""),"")</f>
        <v/>
      </c>
      <c r="HZ263" s="56">
        <f>IFERROR(IF(($HK263)&gt;0,($HT263)/($HK263),""),"")</f>
        <v/>
      </c>
      <c r="IA263" s="55">
        <f>SUMIFS(tblBudget[Drill_m],tblBudget[Month],$E263)</f>
        <v/>
      </c>
      <c r="IB263" s="55">
        <f>$IA263*$C263/$D263</f>
        <v/>
      </c>
      <c r="IC263" s="55">
        <f>SUMIFS(tblBudget[Drill_m],tblBudget[Month],"&lt;"&amp;$E263)+$IB263</f>
        <v/>
      </c>
      <c r="ID263" s="55">
        <f>SUMIFS(tblBudget[Diesel_L],tblBudget[Month],$E263)</f>
        <v/>
      </c>
      <c r="IE263" s="55">
        <f>$ID263*$C263/$D263</f>
        <v/>
      </c>
      <c r="IF263" s="55">
        <f>SUMIFS(tblBudget[Diesel_L],tblBudget[Month],"&lt;"&amp;$E263)+$IE263</f>
        <v/>
      </c>
      <c r="IG263" s="55">
        <f>SUMIFS(tblBudget[Milled_t],tblBudget[Month],$E263)</f>
        <v/>
      </c>
      <c r="IH263" s="55">
        <f>$IG263*$C263/$D263</f>
        <v/>
      </c>
      <c r="II263" s="55">
        <f>SUMIFS(tblBudget[Milled_t],tblBudget[Month],"&lt;"&amp;$E263)+$IH263</f>
        <v/>
      </c>
      <c r="IJ263" s="55">
        <f>SUMIFS(tblBudget[Feed_oz],tblBudget[Month],$E263)</f>
        <v/>
      </c>
      <c r="IK263" s="55">
        <f>$IJ263*$C263/$D263</f>
        <v/>
      </c>
      <c r="IL263" s="55">
        <f>SUMIFS(tblBudget[Feed_oz],tblBudget[Month],"&lt;"&amp;$E263)+$IK263</f>
        <v/>
      </c>
      <c r="IM263" s="55">
        <f>SUMIFS(tblBudget[Recovered_oz],tblBudget[Month],$E263)</f>
        <v/>
      </c>
      <c r="IN263" s="55">
        <f>$IM263*$C263/$D263</f>
        <v/>
      </c>
      <c r="IO263" s="55">
        <f>SUMIFS(tblBudget[Recovered_oz],tblBudget[Month],"&lt;"&amp;$E263)+$IN263</f>
        <v/>
      </c>
      <c r="IP263" s="56">
        <f>IFERROR(IF(($IG263)&gt;0,($IJ263*cfg_TroyOz)/($IG263),""),"")</f>
        <v/>
      </c>
      <c r="IQ263" s="56">
        <f>IFERROR(IF(($IH263)&gt;0,($IK263*cfg_TroyOz)/($IH263),""),"")</f>
        <v/>
      </c>
      <c r="IR263" s="56">
        <f>IFERROR(IF(($II263)&gt;0,($IL263*cfg_TroyOz)/($II263),""),"")</f>
        <v/>
      </c>
      <c r="IS263" s="67">
        <f>IFERROR(IF(($IJ263)&gt;0,($IM263)/($IJ263),""),"")</f>
        <v/>
      </c>
      <c r="IT263" s="67">
        <f>IFERROR(IF(($IK263)&gt;0,($IN263)/($IK263),""),"")</f>
        <v/>
      </c>
      <c r="IU263" s="67">
        <f>IFERROR(IF(($IL263)&gt;0,($IO263)/($IL263),""),"")</f>
        <v/>
      </c>
      <c r="IV263" s="55">
        <f>SUMIFS(tblBudget[Gold_Poured_oz],tblBudget[Month],$E263)</f>
        <v/>
      </c>
      <c r="IW263" s="55">
        <f>$IV263*$C263/$D263</f>
        <v/>
      </c>
      <c r="IX263" s="55">
        <f>SUMIFS(tblBudget[Gold_Poured_oz],tblBudget[Month],"&lt;"&amp;$E263)+$IW263</f>
        <v/>
      </c>
      <c r="IY263" s="57">
        <f>SUMIFS(tblBudget[Hours_Worked],tblBudget[Month],$E263)</f>
        <v/>
      </c>
      <c r="IZ263" s="57">
        <f>$IY263*$C263/$D263</f>
        <v/>
      </c>
      <c r="JA263" s="57">
        <f>SUMIFS(tblBudget[Hours_Worked],tblBudget[Month],"&lt;"&amp;$E263)+$IZ263</f>
        <v/>
      </c>
    </row>
    <row r="264">
      <c r="A264" s="54" t="n">
        <v>46285</v>
      </c>
      <c r="B264">
        <f>MONTH($A264)</f>
        <v/>
      </c>
      <c r="C264">
        <f>DAY($A264)</f>
        <v/>
      </c>
      <c r="D264">
        <f>DAY(EOMONTH($A264,0))</f>
        <v/>
      </c>
      <c r="E264" s="54">
        <f>DATE(YEAR($A264),MONTH($A264),1)</f>
        <v/>
      </c>
      <c r="F264" s="55">
        <f>SUMIFS(tblMovement[Tonnes_t],tblMovement[Date],$A264,tblMovement[Is_Ore],1,tblMovement[Source_Type],"Pit")</f>
        <v/>
      </c>
      <c r="G264" s="55">
        <f>IF($B264=$B263,$G263,0)+$F264</f>
        <v/>
      </c>
      <c r="H264" s="55">
        <f>$H263+$F264</f>
        <v/>
      </c>
      <c r="I264" s="55">
        <f>SUMIFS(tblMovement[Ore_oz],tblMovement[Date],$A264,tblMovement[Source_Type],"Pit")</f>
        <v/>
      </c>
      <c r="J264" s="55">
        <f>IF($B264=$B263,$J263,0)+$I264</f>
        <v/>
      </c>
      <c r="K264" s="55">
        <f>$K263+$I264</f>
        <v/>
      </c>
      <c r="L264" s="56">
        <f>IFERROR(IF(($F264)&gt;0,($I264*cfg_TroyOz)/($F264),""),"")</f>
        <v/>
      </c>
      <c r="M264" s="56">
        <f>IFERROR(IF(($G264)&gt;0,($J264*cfg_TroyOz)/($G264),""),"")</f>
        <v/>
      </c>
      <c r="N264" s="56">
        <f>IFERROR(IF(($H264)&gt;0,($K264*cfg_TroyOz)/($H264),""),"")</f>
        <v/>
      </c>
      <c r="O264" s="55">
        <f>SUMIFS(tblMovement[Tonnes_t],tblMovement[Date],$A264,tblMovement[Is_Ore],0,tblMovement[Source_Type],"Pit")</f>
        <v/>
      </c>
      <c r="P264" s="55">
        <f>IF($B264=$B263,$P263,0)+$O264</f>
        <v/>
      </c>
      <c r="Q264" s="55">
        <f>$Q263+$O264</f>
        <v/>
      </c>
      <c r="R264" s="55">
        <f>$F264+$O264</f>
        <v/>
      </c>
      <c r="S264" s="55">
        <f>IF($B264=$B263,$S263,0)+$R264</f>
        <v/>
      </c>
      <c r="T264" s="55">
        <f>$T263+$R264</f>
        <v/>
      </c>
      <c r="U264" s="56">
        <f>IFERROR(IF(($F264)&gt;0,($O264)/($F264),""),"")</f>
        <v/>
      </c>
      <c r="V264" s="56">
        <f>IFERROR(IF(($G264)&gt;0,($P264)/($G264),""),"")</f>
        <v/>
      </c>
      <c r="W264" s="56">
        <f>IFERROR(IF(($H264)&gt;0,($Q264)/($H264),""),"")</f>
        <v/>
      </c>
      <c r="X264" s="55">
        <f>SUMIFS(tblMovement[Tonnes_t],tblMovement[Date],$A264,tblMovement[Source_Type],"Stockpile")</f>
        <v/>
      </c>
      <c r="Y264" s="55">
        <f>IF($B264=$B263,$Y263,0)+$X264</f>
        <v/>
      </c>
      <c r="Z264" s="55">
        <f>$Z263+$X264</f>
        <v/>
      </c>
      <c r="AA264" s="55">
        <f>SUMIFS(tblMiningDaily[Drill_m],tblMiningDaily[Date],$A264)</f>
        <v/>
      </c>
      <c r="AB264" s="55">
        <f>IF($B264=$B263,$AB263,0)+$AA264</f>
        <v/>
      </c>
      <c r="AC264" s="55">
        <f>$AC263+$AA264</f>
        <v/>
      </c>
      <c r="AD264" s="55">
        <f>SUMIFS(tblMiningDaily[Blast_t],tblMiningDaily[Date],$A264)</f>
        <v/>
      </c>
      <c r="AE264" s="55">
        <f>IF($B264=$B263,$AE263,0)+$AD264</f>
        <v/>
      </c>
      <c r="AF264" s="55">
        <f>$AF263+$AD264</f>
        <v/>
      </c>
      <c r="AG264" s="55">
        <f>SUMIFS(tblMiningDaily[Explosives_kg],tblMiningDaily[Date],$A264)</f>
        <v/>
      </c>
      <c r="AH264" s="55">
        <f>IF($B264=$B263,$AH263,0)+$AG264</f>
        <v/>
      </c>
      <c r="AI264" s="55">
        <f>$AI263+$AG264</f>
        <v/>
      </c>
      <c r="AJ264" s="56">
        <f>IFERROR(IF(($AD264)&gt;0,($AG264)/($AD264),""),"")</f>
        <v/>
      </c>
      <c r="AK264" s="56">
        <f>IFERROR(IF(($AE264)&gt;0,($AH264)/($AE264),""),"")</f>
        <v/>
      </c>
      <c r="AL264" s="56">
        <f>IFERROR(IF(($AF264)&gt;0,($AI264)/($AF264),""),"")</f>
        <v/>
      </c>
      <c r="AM264" s="55">
        <f>SUMIFS(tblMiningDaily[Diesel_L],tblMiningDaily[Date],$A264)</f>
        <v/>
      </c>
      <c r="AN264" s="55">
        <f>IF($B264=$B263,$AN263,0)+$AM264</f>
        <v/>
      </c>
      <c r="AO264" s="55">
        <f>$AO263+$AM264</f>
        <v/>
      </c>
      <c r="AP264" s="55">
        <f>SUMIFS(tblMiningDaily[Dewatering_m3],tblMiningDaily[Date],$A264)</f>
        <v/>
      </c>
      <c r="AQ264" s="55">
        <f>IF($B264=$B263,$AQ263,0)+$AP264</f>
        <v/>
      </c>
      <c r="AR264" s="55">
        <f>$AR263+$AP264</f>
        <v/>
      </c>
      <c r="AS264" s="57">
        <f>SUMIFS(tblFleet[Calendar_h],tblFleet[Date],$A264,tblFleet[Equipment_Class],"Excavator")</f>
        <v/>
      </c>
      <c r="AT264" s="57">
        <f>IF($B264=$B263,$AT263,0)+$AS264</f>
        <v/>
      </c>
      <c r="AU264" s="57">
        <f>$AU263+$AS264</f>
        <v/>
      </c>
      <c r="AV264" s="57">
        <f>SUMIFS(tblFleet[Available_h],tblFleet[Date],$A264,tblFleet[Equipment_Class],"Excavator")</f>
        <v/>
      </c>
      <c r="AW264" s="57">
        <f>IF($B264=$B263,$AW263,0)+$AV264</f>
        <v/>
      </c>
      <c r="AX264" s="57">
        <f>$AX263+$AV264</f>
        <v/>
      </c>
      <c r="AY264" s="57">
        <f>SUMIFS(tblFleet[Operating_h],tblFleet[Date],$A264,tblFleet[Equipment_Class],"Excavator")</f>
        <v/>
      </c>
      <c r="AZ264" s="57">
        <f>IF($B264=$B263,$AZ263,0)+$AY264</f>
        <v/>
      </c>
      <c r="BA264" s="57">
        <f>$BA263+$AY264</f>
        <v/>
      </c>
      <c r="BB264" s="67">
        <f>IFERROR(IF(($AS264)&gt;0,($AV264)/($AS264),""),"")</f>
        <v/>
      </c>
      <c r="BC264" s="67">
        <f>IFERROR(IF(($AT264)&gt;0,($AW264)/($AT264),""),"")</f>
        <v/>
      </c>
      <c r="BD264" s="67">
        <f>IFERROR(IF(($AU264)&gt;0,($AX264)/($AU264),""),"")</f>
        <v/>
      </c>
      <c r="BE264" s="67">
        <f>IFERROR(IF(($AV264)&gt;0,($AY264)/($AV264),""),"")</f>
        <v/>
      </c>
      <c r="BF264" s="67">
        <f>IFERROR(IF(($AW264)&gt;0,($AZ264)/($AW264),""),"")</f>
        <v/>
      </c>
      <c r="BG264" s="67">
        <f>IFERROR(IF(($AX264)&gt;0,($BA264)/($AX264),""),"")</f>
        <v/>
      </c>
      <c r="BH264" s="57">
        <f>SUMIFS(tblFleet[Calendar_h],tblFleet[Date],$A264,tblFleet[Equipment_Class],"Haul Truck")</f>
        <v/>
      </c>
      <c r="BI264" s="57">
        <f>IF($B264=$B263,$BI263,0)+$BH264</f>
        <v/>
      </c>
      <c r="BJ264" s="57">
        <f>$BJ263+$BH264</f>
        <v/>
      </c>
      <c r="BK264" s="57">
        <f>SUMIFS(tblFleet[Available_h],tblFleet[Date],$A264,tblFleet[Equipment_Class],"Haul Truck")</f>
        <v/>
      </c>
      <c r="BL264" s="57">
        <f>IF($B264=$B263,$BL263,0)+$BK264</f>
        <v/>
      </c>
      <c r="BM264" s="57">
        <f>$BM263+$BK264</f>
        <v/>
      </c>
      <c r="BN264" s="57">
        <f>SUMIFS(tblFleet[Operating_h],tblFleet[Date],$A264,tblFleet[Equipment_Class],"Haul Truck")</f>
        <v/>
      </c>
      <c r="BO264" s="57">
        <f>IF($B264=$B263,$BO263,0)+$BN264</f>
        <v/>
      </c>
      <c r="BP264" s="57">
        <f>$BP263+$BN264</f>
        <v/>
      </c>
      <c r="BQ264" s="67">
        <f>IFERROR(IF(($BH264)&gt;0,($BK264)/($BH264),""),"")</f>
        <v/>
      </c>
      <c r="BR264" s="67">
        <f>IFERROR(IF(($BI264)&gt;0,($BL264)/($BI264),""),"")</f>
        <v/>
      </c>
      <c r="BS264" s="67">
        <f>IFERROR(IF(($BJ264)&gt;0,($BM264)/($BJ264),""),"")</f>
        <v/>
      </c>
      <c r="BT264" s="67">
        <f>IFERROR(IF(($BK264)&gt;0,($BN264)/($BK264),""),"")</f>
        <v/>
      </c>
      <c r="BU264" s="67">
        <f>IFERROR(IF(($BL264)&gt;0,($BO264)/($BL264),""),"")</f>
        <v/>
      </c>
      <c r="BV264" s="67">
        <f>IFERROR(IF(($BM264)&gt;0,($BP264)/($BM264),""),"")</f>
        <v/>
      </c>
      <c r="BW264" s="55">
        <f>SUMIFS(tblPlant[Crushed_t],tblPlant[Date],$A264)</f>
        <v/>
      </c>
      <c r="BX264" s="55">
        <f>IF($B264=$B263,$BX263,0)+$BW264</f>
        <v/>
      </c>
      <c r="BY264" s="55">
        <f>$BY263+$BW264</f>
        <v/>
      </c>
      <c r="BZ264" s="55">
        <f>SUMIFS(tblPlant[Milled_t],tblPlant[Date],$A264)</f>
        <v/>
      </c>
      <c r="CA264" s="55">
        <f>IF($B264=$B263,$CA263,0)+$BZ264</f>
        <v/>
      </c>
      <c r="CB264" s="55">
        <f>$CB263+$BZ264</f>
        <v/>
      </c>
      <c r="CC264" s="55">
        <f>SUMIFS(tblPlant[Feed_oz],tblPlant[Date],$A264)</f>
        <v/>
      </c>
      <c r="CD264" s="55">
        <f>IF($B264=$B263,$CD263,0)+$CC264</f>
        <v/>
      </c>
      <c r="CE264" s="55">
        <f>$CE263+$CC264</f>
        <v/>
      </c>
      <c r="CF264" s="55">
        <f>SUMIFS(tblPlant[Tails_oz],tblPlant[Date],$A264)</f>
        <v/>
      </c>
      <c r="CG264" s="55">
        <f>IF($B264=$B263,$CG263,0)+$CF264</f>
        <v/>
      </c>
      <c r="CH264" s="55">
        <f>$CH263+$CF264</f>
        <v/>
      </c>
      <c r="CI264" s="55">
        <f>SUMIFS(tblPlant[Recovered_oz],tblPlant[Date],$A264)</f>
        <v/>
      </c>
      <c r="CJ264" s="55">
        <f>IF($B264=$B263,$CJ263,0)+$CI264</f>
        <v/>
      </c>
      <c r="CK264" s="55">
        <f>$CK263+$CI264</f>
        <v/>
      </c>
      <c r="CL264" s="56">
        <f>IFERROR(IF(($BZ264)&gt;0,($CC264*cfg_TroyOz)/($BZ264),""),"")</f>
        <v/>
      </c>
      <c r="CM264" s="56">
        <f>IFERROR(IF(($CA264)&gt;0,($CD264*cfg_TroyOz)/($CA264),""),"")</f>
        <v/>
      </c>
      <c r="CN264" s="56">
        <f>IFERROR(IF(($CB264)&gt;0,($CE264*cfg_TroyOz)/($CB264),""),"")</f>
        <v/>
      </c>
      <c r="CO264" s="56">
        <f>IFERROR(IF(($BZ264)&gt;0,($CF264*cfg_TroyOz)/($BZ264),""),"")</f>
        <v/>
      </c>
      <c r="CP264" s="56">
        <f>IFERROR(IF(($CA264)&gt;0,($CG264*cfg_TroyOz)/($CA264),""),"")</f>
        <v/>
      </c>
      <c r="CQ264" s="56">
        <f>IFERROR(IF(($CB264)&gt;0,($CH264*cfg_TroyOz)/($CB264),""),"")</f>
        <v/>
      </c>
      <c r="CR264" s="67">
        <f>IFERROR(IF(($CC264)&gt;0,($CI264)/($CC264),""),"")</f>
        <v/>
      </c>
      <c r="CS264" s="67">
        <f>IFERROR(IF(($CD264)&gt;0,($CJ264)/($CD264),""),"")</f>
        <v/>
      </c>
      <c r="CT264" s="67">
        <f>IFERROR(IF(($CE264)&gt;0,($CK264)/($CE264),""),"")</f>
        <v/>
      </c>
      <c r="CU264" s="55">
        <f>SUMIFS(tblPlant[Gravity_Gold_oz],tblPlant[Date],$A264)</f>
        <v/>
      </c>
      <c r="CV264" s="55">
        <f>IF($B264=$B263,$CV263,0)+$CU264</f>
        <v/>
      </c>
      <c r="CW264" s="55">
        <f>$CW263+$CU264</f>
        <v/>
      </c>
      <c r="CX264" s="55">
        <f>SUMIFS(tblPlant[Gold_Poured_oz],tblPlant[Date],$A264)</f>
        <v/>
      </c>
      <c r="CY264" s="55">
        <f>IF($B264=$B263,$CY263,0)+$CX264</f>
        <v/>
      </c>
      <c r="CZ264" s="55">
        <f>$CZ263+$CX264</f>
        <v/>
      </c>
      <c r="DA264" s="57">
        <f>SUMIFS(tblPlant[Mill_Run_h],tblPlant[Date],$A264)</f>
        <v/>
      </c>
      <c r="DB264" s="57">
        <f>IF($B264=$B263,$DB263,0)+$DA264</f>
        <v/>
      </c>
      <c r="DC264" s="57">
        <f>$DC263+$DA264</f>
        <v/>
      </c>
      <c r="DD264" s="57">
        <f>SUMIFS(tblPlant[Mill_Planned_Maint_h],tblPlant[Date],$A264)</f>
        <v/>
      </c>
      <c r="DE264" s="57">
        <f>IF($B264=$B263,$DE263,0)+$DD264</f>
        <v/>
      </c>
      <c r="DF264" s="57">
        <f>$DF263+$DD264</f>
        <v/>
      </c>
      <c r="DG264" s="57">
        <f>SUMIFS(tblPlant[Mill_Unplanned_Down_h],tblPlant[Date],$A264)</f>
        <v/>
      </c>
      <c r="DH264" s="57">
        <f>IF($B264=$B263,$DH263,0)+$DG264</f>
        <v/>
      </c>
      <c r="DI264" s="57">
        <f>$DI263+$DG264</f>
        <v/>
      </c>
      <c r="DJ264" s="57">
        <f>COUNTIFS(tblPlant[Date],$A264,tblPlant[Mill_Run_h],"&lt;&gt;")*24</f>
        <v/>
      </c>
      <c r="DK264" s="57">
        <f>IF($B264=$B263,$DK263,0)+$DJ264</f>
        <v/>
      </c>
      <c r="DL264" s="57">
        <f>$DL263+$DJ264</f>
        <v/>
      </c>
      <c r="DM264" s="57">
        <f>SUMIFS(tblPlant[Crusher_Run_h],tblPlant[Date],$A264)</f>
        <v/>
      </c>
      <c r="DN264" s="57">
        <f>IF($B264=$B263,$DN263,0)+$DM264</f>
        <v/>
      </c>
      <c r="DO264" s="57">
        <f>$DO263+$DM264</f>
        <v/>
      </c>
      <c r="DP264" s="55">
        <f>IFERROR(IF(($DA264)&gt;0,($BZ264)/($DA264),""),"")</f>
        <v/>
      </c>
      <c r="DQ264" s="55">
        <f>IFERROR(IF(($DB264)&gt;0,($CA264)/($DB264),""),"")</f>
        <v/>
      </c>
      <c r="DR264" s="55">
        <f>IFERROR(IF(($DC264)&gt;0,($CB264)/($DC264),""),"")</f>
        <v/>
      </c>
      <c r="DS264" s="67">
        <f>IFERROR(IF(($DJ264)&gt;0,($DJ264-$DD264-$DG264)/($DJ264),""),"")</f>
        <v/>
      </c>
      <c r="DT264" s="67">
        <f>IFERROR(IF(($DK264)&gt;0,($DK264-$DE264-$DH264)/($DK264),""),"")</f>
        <v/>
      </c>
      <c r="DU264" s="67">
        <f>IFERROR(IF(($DL264)&gt;0,($DL264-$DF264-$DI264)/($DL264),""),"")</f>
        <v/>
      </c>
      <c r="DV264" s="67">
        <f>IFERROR(IF(($DJ264-$DD264-$DG264)&gt;0,($DA264)/($DJ264-$DD264-$DG264),""),"")</f>
        <v/>
      </c>
      <c r="DW264" s="67">
        <f>IFERROR(IF(($DK264-$DE264-$DH264)&gt;0,($DB264)/($DK264-$DE264-$DH264),""),"")</f>
        <v/>
      </c>
      <c r="DX264" s="67">
        <f>IFERROR(IF(($DL264-$DF264-$DI264)&gt;0,($DC264)/($DL264-$DF264-$DI264),""),"")</f>
        <v/>
      </c>
      <c r="DY264" s="55">
        <f>SUMIFS(tblPlant[Cyanide_kg],tblPlant[Date],$A264)</f>
        <v/>
      </c>
      <c r="DZ264" s="55">
        <f>IF($B264=$B263,$DZ263,0)+$DY264</f>
        <v/>
      </c>
      <c r="EA264" s="55">
        <f>$EA263+$DY264</f>
        <v/>
      </c>
      <c r="EB264" s="55">
        <f>SUMIFS(tblPlant[Lime_kg],tblPlant[Date],$A264)</f>
        <v/>
      </c>
      <c r="EC264" s="55">
        <f>IF($B264=$B263,$EC263,0)+$EB264</f>
        <v/>
      </c>
      <c r="ED264" s="55">
        <f>$ED263+$EB264</f>
        <v/>
      </c>
      <c r="EE264" s="55">
        <f>SUMIFS(tblPlant[Grinding_Media_kg],tblPlant[Date],$A264)</f>
        <v/>
      </c>
      <c r="EF264" s="55">
        <f>IF($B264=$B263,$EF263,0)+$EE264</f>
        <v/>
      </c>
      <c r="EG264" s="55">
        <f>$EG263+$EE264</f>
        <v/>
      </c>
      <c r="EH264" s="55">
        <f>SUMIFS(tblPlant[Power_kWh],tblPlant[Date],$A264)</f>
        <v/>
      </c>
      <c r="EI264" s="55">
        <f>IF($B264=$B263,$EI263,0)+$EH264</f>
        <v/>
      </c>
      <c r="EJ264" s="55">
        <f>$EJ263+$EH264</f>
        <v/>
      </c>
      <c r="EK264" s="55">
        <f>SUMIFS(tblPlant[Raw_Water_m3],tblPlant[Date],$A264)</f>
        <v/>
      </c>
      <c r="EL264" s="55">
        <f>IF($B264=$B263,$EL263,0)+$EK264</f>
        <v/>
      </c>
      <c r="EM264" s="55">
        <f>$EM263+$EK264</f>
        <v/>
      </c>
      <c r="EN264" s="56">
        <f>IFERROR(IF(($BZ264)&gt;0,($DY264)/($BZ264),""),"")</f>
        <v/>
      </c>
      <c r="EO264" s="56">
        <f>IFERROR(IF(($CA264)&gt;0,($DZ264)/($CA264),""),"")</f>
        <v/>
      </c>
      <c r="EP264" s="56">
        <f>IFERROR(IF(($CB264)&gt;0,($EA264)/($CB264),""),"")</f>
        <v/>
      </c>
      <c r="EQ264" s="56">
        <f>IFERROR(IF(($BZ264)&gt;0,($EB264)/($BZ264),""),"")</f>
        <v/>
      </c>
      <c r="ER264" s="56">
        <f>IFERROR(IF(($CA264)&gt;0,($EC264)/($CA264),""),"")</f>
        <v/>
      </c>
      <c r="ES264" s="56">
        <f>IFERROR(IF(($CB264)&gt;0,($ED264)/($CB264),""),"")</f>
        <v/>
      </c>
      <c r="ET264" s="56">
        <f>IFERROR(IF(($BZ264)&gt;0,($EE264)/($BZ264),""),"")</f>
        <v/>
      </c>
      <c r="EU264" s="56">
        <f>IFERROR(IF(($CA264)&gt;0,($EF264)/($CA264),""),"")</f>
        <v/>
      </c>
      <c r="EV264" s="56">
        <f>IFERROR(IF(($CB264)&gt;0,($EG264)/($CB264),""),"")</f>
        <v/>
      </c>
      <c r="EW264" s="76">
        <f>IFERROR(IF(($BZ264)&gt;0,($EH264)/($BZ264),""),"")</f>
        <v/>
      </c>
      <c r="EX264" s="76">
        <f>IFERROR(IF(($CA264)&gt;0,($EI264)/($CA264),""),"")</f>
        <v/>
      </c>
      <c r="EY264" s="76">
        <f>IFERROR(IF(($CB264)&gt;0,($EJ264)/($CB264),""),"")</f>
        <v/>
      </c>
      <c r="EZ264" s="56">
        <f>IFERROR(IF(($BZ264)&gt;0,($EK264)/($BZ264),""),"")</f>
        <v/>
      </c>
      <c r="FA264" s="56">
        <f>IFERROR(IF(($CA264)&gt;0,($EL264)/($CA264),""),"")</f>
        <v/>
      </c>
      <c r="FB264" s="56">
        <f>IFERROR(IF(($CB264)&gt;0,($EM264)/($CB264),""),"")</f>
        <v/>
      </c>
      <c r="FC264" s="55">
        <f>IF(SUMIFS(tblPlant[GIC_oz],tblPlant[Date],$A264)&gt;0,SUMIFS(tblPlant[GIC_oz],tblPlant[Date],$A264),"")</f>
        <v/>
      </c>
      <c r="FD264" s="55">
        <f>SUMIFS(tblGold[Gold_oz],tblGold[Date],$A264,tblGold[Type],"Shipment")</f>
        <v/>
      </c>
      <c r="FE264" s="55">
        <f>IF($B264=$B263,$FE263,0)+$FD264</f>
        <v/>
      </c>
      <c r="FF264" s="55">
        <f>$FF263+$FD264</f>
        <v/>
      </c>
      <c r="FG264" s="55">
        <f>SUMIFS(tblGold[Gold_oz],tblGold[Date],$A264,tblGold[Type],"Sale")</f>
        <v/>
      </c>
      <c r="FH264" s="55">
        <f>IF($B264=$B263,$FH263,0)+$FG264</f>
        <v/>
      </c>
      <c r="FI264" s="55">
        <f>$FI263+$FG264</f>
        <v/>
      </c>
      <c r="FJ264" s="55">
        <f>SUMIFS(tblGold[Dore_kg],tblGold[Date],$A264,tblGold[Type],"Shipment")</f>
        <v/>
      </c>
      <c r="FK264" s="55">
        <f>IF($B264=$B263,$FK263,0)+$FJ264</f>
        <v/>
      </c>
      <c r="FL264" s="55">
        <f>$FL263+$FJ264</f>
        <v/>
      </c>
      <c r="FM264" s="57">
        <f>SUMIFS(tblSafety[Hours_Total],tblSafety[Date],$A264)</f>
        <v/>
      </c>
      <c r="FN264" s="57">
        <f>IF($B264=$B263,$FN263,0)+$FM264</f>
        <v/>
      </c>
      <c r="FO264" s="57">
        <f>$FO263+$FM264</f>
        <v/>
      </c>
      <c r="FP264" s="62">
        <f>SUMIFS(tblSafety[Fatality],tblSafety[Date],$A264)</f>
        <v/>
      </c>
      <c r="FQ264" s="62">
        <f>IF($B264=$B263,$FQ263,0)+$FP264</f>
        <v/>
      </c>
      <c r="FR264" s="62">
        <f>$FR263+$FP264</f>
        <v/>
      </c>
      <c r="FS264" s="62">
        <f>SUMIFS(tblSafety[LTI],tblSafety[Date],$A264)</f>
        <v/>
      </c>
      <c r="FT264" s="62">
        <f>IF($B264=$B263,$FT263,0)+$FS264</f>
        <v/>
      </c>
      <c r="FU264" s="62">
        <f>$FU263+$FS264</f>
        <v/>
      </c>
      <c r="FV264" s="62">
        <f>SUMIFS(tblSafety[RWI],tblSafety[Date],$A264)</f>
        <v/>
      </c>
      <c r="FW264" s="62">
        <f>IF($B264=$B263,$FW263,0)+$FV264</f>
        <v/>
      </c>
      <c r="FX264" s="62">
        <f>$FX263+$FV264</f>
        <v/>
      </c>
      <c r="FY264" s="62">
        <f>SUMIFS(tblSafety[MTI],tblSafety[Date],$A264)</f>
        <v/>
      </c>
      <c r="FZ264" s="62">
        <f>IF($B264=$B263,$FZ263,0)+$FY264</f>
        <v/>
      </c>
      <c r="GA264" s="62">
        <f>$GA263+$FY264</f>
        <v/>
      </c>
      <c r="GB264" s="62">
        <f>SUMIFS(tblSafety[FAI],tblSafety[Date],$A264)</f>
        <v/>
      </c>
      <c r="GC264" s="62">
        <f>IF($B264=$B263,$GC263,0)+$GB264</f>
        <v/>
      </c>
      <c r="GD264" s="62">
        <f>$GD263+$GB264</f>
        <v/>
      </c>
      <c r="GE264" s="62">
        <f>SUMIFS(tblSafety[Recordables],tblSafety[Date],$A264)</f>
        <v/>
      </c>
      <c r="GF264" s="62">
        <f>IF($B264=$B263,$GF263,0)+$GE264</f>
        <v/>
      </c>
      <c r="GG264" s="62">
        <f>$GG263+$GE264</f>
        <v/>
      </c>
      <c r="GH264" s="62">
        <f>SUMIFS(tblSafety[Near_Miss],tblSafety[Date],$A264)</f>
        <v/>
      </c>
      <c r="GI264" s="62">
        <f>IF($B264=$B263,$GI263,0)+$GH264</f>
        <v/>
      </c>
      <c r="GJ264" s="62">
        <f>$GJ263+$GH264</f>
        <v/>
      </c>
      <c r="GK264" s="62">
        <f>SUMIFS(tblSafety[Hazard_Reports],tblSafety[Date],$A264)</f>
        <v/>
      </c>
      <c r="GL264" s="62">
        <f>IF($B264=$B263,$GL263,0)+$GK264</f>
        <v/>
      </c>
      <c r="GM264" s="62">
        <f>$GM263+$GK264</f>
        <v/>
      </c>
      <c r="GN264" s="62">
        <f>SUMIFS(tblSafety[HPI],tblSafety[Date],$A264)</f>
        <v/>
      </c>
      <c r="GO264" s="62">
        <f>IF($B264=$B263,$GO263,0)+$GN264</f>
        <v/>
      </c>
      <c r="GP264" s="62">
        <f>$GP263+$GN264</f>
        <v/>
      </c>
      <c r="GQ264" s="62">
        <f>SUMIFS(tblSafety[Env_Incidents],tblSafety[Date],$A264)</f>
        <v/>
      </c>
      <c r="GR264" s="62">
        <f>IF($B264=$B263,$GR263,0)+$GQ264</f>
        <v/>
      </c>
      <c r="GS264" s="62">
        <f>$GS263+$GQ264</f>
        <v/>
      </c>
      <c r="GT264" s="62">
        <f>SUMIFS(tblSafety[Community_Incidents],tblSafety[Date],$A264)</f>
        <v/>
      </c>
      <c r="GU264" s="62">
        <f>IF($B264=$B263,$GU263,0)+$GT264</f>
        <v/>
      </c>
      <c r="GV264" s="62">
        <f>$GV263+$GT264</f>
        <v/>
      </c>
      <c r="GW264" s="62">
        <f>SUMIFS(tblSafety[Vehicle_Incidents],tblSafety[Date],$A264)</f>
        <v/>
      </c>
      <c r="GX264" s="62">
        <f>IF($B264=$B263,$GX263,0)+$GW264</f>
        <v/>
      </c>
      <c r="GY264" s="62">
        <f>$GY263+$GW264</f>
        <v/>
      </c>
      <c r="GZ264" s="62">
        <f>SUMIFS(tblSafety[Toolbox_Talks],tblSafety[Date],$A264)</f>
        <v/>
      </c>
      <c r="HA264" s="62">
        <f>IF($B264=$B263,$HA263,0)+$GZ264</f>
        <v/>
      </c>
      <c r="HB264" s="62">
        <f>$HB263+$GZ264</f>
        <v/>
      </c>
      <c r="HC264" s="62">
        <f>SUMIFS(tblSafety[Inspections],tblSafety[Date],$A264)</f>
        <v/>
      </c>
      <c r="HD264" s="62">
        <f>IF($B264=$B263,$HD263,0)+$HC264</f>
        <v/>
      </c>
      <c r="HE264" s="62">
        <f>$HE263+$HC264</f>
        <v/>
      </c>
      <c r="HF264" s="56">
        <f>IFERROR((SUMIFS(tblSafety[Recordables],tblSafety[Date],"&gt;="&amp;EDATE($E264,-12),tblSafety[Date],"&lt;="&amp;$A264)+SUMIFS(tblSafetyHistory[Recordables],tblSafetyHistory[Month],"&gt;="&amp;EDATE($E264,-12),tblSafetyHistory[Month],"&lt;"&amp;cfg_YearStart))/(SUMIFS(tblSafety[Hours_Total],tblSafety[Date],"&gt;="&amp;EDATE($E264,-12),tblSafety[Date],"&lt;="&amp;$A264)+SUMIFS(tblSafetyHistory[Hours_Total],tblSafetyHistory[Month],"&gt;="&amp;EDATE($E264,-12),tblSafetyHistory[Month],"&lt;"&amp;cfg_YearStart))*1000000,"")</f>
        <v/>
      </c>
      <c r="HG264" s="56">
        <f>IFERROR((SUMIFS(tblSafety[LTI],tblSafety[Date],"&gt;="&amp;EDATE($E264,-12),tblSafety[Date],"&lt;="&amp;$A264)+SUMIFS(tblSafetyHistory[LTI],tblSafetyHistory[Month],"&gt;="&amp;EDATE($E264,-12),tblSafetyHistory[Month],"&lt;"&amp;cfg_YearStart))/(SUMIFS(tblSafety[Hours_Total],tblSafety[Date],"&gt;="&amp;EDATE($E264,-12),tblSafety[Date],"&lt;="&amp;$A264)+SUMIFS(tblSafetyHistory[Hours_Total],tblSafetyHistory[Month],"&gt;="&amp;EDATE($E264,-12),tblSafetyHistory[Month],"&lt;"&amp;cfg_YearStart))*1000000,"")</f>
        <v/>
      </c>
      <c r="HH264" s="62">
        <f>IF(MAX(N(cfg_PriorLTIDate),_xlfn.MAXIFS(tblSafety[Date],tblSafety[LTI],"&gt;0",tblSafety[Date],"&lt;="&amp;$A264))=0,"",$A264-MAX(N(cfg_PriorLTIDate),_xlfn.MAXIFS(tblSafety[Date],tblSafety[LTI],"&gt;0",tblSafety[Date],"&lt;="&amp;$A264)))</f>
        <v/>
      </c>
      <c r="HI264" s="55">
        <f>SUMIFS(tblBudget[Ore_Mined_t],tblBudget[Month],$E264)</f>
        <v/>
      </c>
      <c r="HJ264" s="55">
        <f>$HI264*$C264/$D264</f>
        <v/>
      </c>
      <c r="HK264" s="55">
        <f>SUMIFS(tblBudget[Ore_Mined_t],tblBudget[Month],"&lt;"&amp;$E264)+$HJ264</f>
        <v/>
      </c>
      <c r="HL264" s="55">
        <f>SUMIFS(tblBudget[Ore_oz],tblBudget[Month],$E264)</f>
        <v/>
      </c>
      <c r="HM264" s="55">
        <f>$HL264*$C264/$D264</f>
        <v/>
      </c>
      <c r="HN264" s="55">
        <f>SUMIFS(tblBudget[Ore_oz],tblBudget[Month],"&lt;"&amp;$E264)+$HM264</f>
        <v/>
      </c>
      <c r="HO264" s="56">
        <f>IFERROR(IF(($HI264)&gt;0,($HL264*cfg_TroyOz)/($HI264),""),"")</f>
        <v/>
      </c>
      <c r="HP264" s="56">
        <f>IFERROR(IF(($HJ264)&gt;0,($HM264*cfg_TroyOz)/($HJ264),""),"")</f>
        <v/>
      </c>
      <c r="HQ264" s="56">
        <f>IFERROR(IF(($HK264)&gt;0,($HN264*cfg_TroyOz)/($HK264),""),"")</f>
        <v/>
      </c>
      <c r="HR264" s="55">
        <f>SUMIFS(tblBudget[Waste_t],tblBudget[Month],$E264)</f>
        <v/>
      </c>
      <c r="HS264" s="55">
        <f>$HR264*$C264/$D264</f>
        <v/>
      </c>
      <c r="HT264" s="55">
        <f>SUMIFS(tblBudget[Waste_t],tblBudget[Month],"&lt;"&amp;$E264)+$HS264</f>
        <v/>
      </c>
      <c r="HU264" s="55">
        <f>SUMIFS(tblBudget[TMM_t],tblBudget[Month],$E264)</f>
        <v/>
      </c>
      <c r="HV264" s="55">
        <f>$HU264*$C264/$D264</f>
        <v/>
      </c>
      <c r="HW264" s="55">
        <f>SUMIFS(tblBudget[TMM_t],tblBudget[Month],"&lt;"&amp;$E264)+$HV264</f>
        <v/>
      </c>
      <c r="HX264" s="56">
        <f>IFERROR(IF(($HI264)&gt;0,($HR264)/($HI264),""),"")</f>
        <v/>
      </c>
      <c r="HY264" s="56">
        <f>IFERROR(IF(($HJ264)&gt;0,($HS264)/($HJ264),""),"")</f>
        <v/>
      </c>
      <c r="HZ264" s="56">
        <f>IFERROR(IF(($HK264)&gt;0,($HT264)/($HK264),""),"")</f>
        <v/>
      </c>
      <c r="IA264" s="55">
        <f>SUMIFS(tblBudget[Drill_m],tblBudget[Month],$E264)</f>
        <v/>
      </c>
      <c r="IB264" s="55">
        <f>$IA264*$C264/$D264</f>
        <v/>
      </c>
      <c r="IC264" s="55">
        <f>SUMIFS(tblBudget[Drill_m],tblBudget[Month],"&lt;"&amp;$E264)+$IB264</f>
        <v/>
      </c>
      <c r="ID264" s="55">
        <f>SUMIFS(tblBudget[Diesel_L],tblBudget[Month],$E264)</f>
        <v/>
      </c>
      <c r="IE264" s="55">
        <f>$ID264*$C264/$D264</f>
        <v/>
      </c>
      <c r="IF264" s="55">
        <f>SUMIFS(tblBudget[Diesel_L],tblBudget[Month],"&lt;"&amp;$E264)+$IE264</f>
        <v/>
      </c>
      <c r="IG264" s="55">
        <f>SUMIFS(tblBudget[Milled_t],tblBudget[Month],$E264)</f>
        <v/>
      </c>
      <c r="IH264" s="55">
        <f>$IG264*$C264/$D264</f>
        <v/>
      </c>
      <c r="II264" s="55">
        <f>SUMIFS(tblBudget[Milled_t],tblBudget[Month],"&lt;"&amp;$E264)+$IH264</f>
        <v/>
      </c>
      <c r="IJ264" s="55">
        <f>SUMIFS(tblBudget[Feed_oz],tblBudget[Month],$E264)</f>
        <v/>
      </c>
      <c r="IK264" s="55">
        <f>$IJ264*$C264/$D264</f>
        <v/>
      </c>
      <c r="IL264" s="55">
        <f>SUMIFS(tblBudget[Feed_oz],tblBudget[Month],"&lt;"&amp;$E264)+$IK264</f>
        <v/>
      </c>
      <c r="IM264" s="55">
        <f>SUMIFS(tblBudget[Recovered_oz],tblBudget[Month],$E264)</f>
        <v/>
      </c>
      <c r="IN264" s="55">
        <f>$IM264*$C264/$D264</f>
        <v/>
      </c>
      <c r="IO264" s="55">
        <f>SUMIFS(tblBudget[Recovered_oz],tblBudget[Month],"&lt;"&amp;$E264)+$IN264</f>
        <v/>
      </c>
      <c r="IP264" s="56">
        <f>IFERROR(IF(($IG264)&gt;0,($IJ264*cfg_TroyOz)/($IG264),""),"")</f>
        <v/>
      </c>
      <c r="IQ264" s="56">
        <f>IFERROR(IF(($IH264)&gt;0,($IK264*cfg_TroyOz)/($IH264),""),"")</f>
        <v/>
      </c>
      <c r="IR264" s="56">
        <f>IFERROR(IF(($II264)&gt;0,($IL264*cfg_TroyOz)/($II264),""),"")</f>
        <v/>
      </c>
      <c r="IS264" s="67">
        <f>IFERROR(IF(($IJ264)&gt;0,($IM264)/($IJ264),""),"")</f>
        <v/>
      </c>
      <c r="IT264" s="67">
        <f>IFERROR(IF(($IK264)&gt;0,($IN264)/($IK264),""),"")</f>
        <v/>
      </c>
      <c r="IU264" s="67">
        <f>IFERROR(IF(($IL264)&gt;0,($IO264)/($IL264),""),"")</f>
        <v/>
      </c>
      <c r="IV264" s="55">
        <f>SUMIFS(tblBudget[Gold_Poured_oz],tblBudget[Month],$E264)</f>
        <v/>
      </c>
      <c r="IW264" s="55">
        <f>$IV264*$C264/$D264</f>
        <v/>
      </c>
      <c r="IX264" s="55">
        <f>SUMIFS(tblBudget[Gold_Poured_oz],tblBudget[Month],"&lt;"&amp;$E264)+$IW264</f>
        <v/>
      </c>
      <c r="IY264" s="57">
        <f>SUMIFS(tblBudget[Hours_Worked],tblBudget[Month],$E264)</f>
        <v/>
      </c>
      <c r="IZ264" s="57">
        <f>$IY264*$C264/$D264</f>
        <v/>
      </c>
      <c r="JA264" s="57">
        <f>SUMIFS(tblBudget[Hours_Worked],tblBudget[Month],"&lt;"&amp;$E264)+$IZ264</f>
        <v/>
      </c>
    </row>
    <row r="265">
      <c r="A265" s="54" t="n">
        <v>46286</v>
      </c>
      <c r="B265">
        <f>MONTH($A265)</f>
        <v/>
      </c>
      <c r="C265">
        <f>DAY($A265)</f>
        <v/>
      </c>
      <c r="D265">
        <f>DAY(EOMONTH($A265,0))</f>
        <v/>
      </c>
      <c r="E265" s="54">
        <f>DATE(YEAR($A265),MONTH($A265),1)</f>
        <v/>
      </c>
      <c r="F265" s="55">
        <f>SUMIFS(tblMovement[Tonnes_t],tblMovement[Date],$A265,tblMovement[Is_Ore],1,tblMovement[Source_Type],"Pit")</f>
        <v/>
      </c>
      <c r="G265" s="55">
        <f>IF($B265=$B264,$G264,0)+$F265</f>
        <v/>
      </c>
      <c r="H265" s="55">
        <f>$H264+$F265</f>
        <v/>
      </c>
      <c r="I265" s="55">
        <f>SUMIFS(tblMovement[Ore_oz],tblMovement[Date],$A265,tblMovement[Source_Type],"Pit")</f>
        <v/>
      </c>
      <c r="J265" s="55">
        <f>IF($B265=$B264,$J264,0)+$I265</f>
        <v/>
      </c>
      <c r="K265" s="55">
        <f>$K264+$I265</f>
        <v/>
      </c>
      <c r="L265" s="56">
        <f>IFERROR(IF(($F265)&gt;0,($I265*cfg_TroyOz)/($F265),""),"")</f>
        <v/>
      </c>
      <c r="M265" s="56">
        <f>IFERROR(IF(($G265)&gt;0,($J265*cfg_TroyOz)/($G265),""),"")</f>
        <v/>
      </c>
      <c r="N265" s="56">
        <f>IFERROR(IF(($H265)&gt;0,($K265*cfg_TroyOz)/($H265),""),"")</f>
        <v/>
      </c>
      <c r="O265" s="55">
        <f>SUMIFS(tblMovement[Tonnes_t],tblMovement[Date],$A265,tblMovement[Is_Ore],0,tblMovement[Source_Type],"Pit")</f>
        <v/>
      </c>
      <c r="P265" s="55">
        <f>IF($B265=$B264,$P264,0)+$O265</f>
        <v/>
      </c>
      <c r="Q265" s="55">
        <f>$Q264+$O265</f>
        <v/>
      </c>
      <c r="R265" s="55">
        <f>$F265+$O265</f>
        <v/>
      </c>
      <c r="S265" s="55">
        <f>IF($B265=$B264,$S264,0)+$R265</f>
        <v/>
      </c>
      <c r="T265" s="55">
        <f>$T264+$R265</f>
        <v/>
      </c>
      <c r="U265" s="56">
        <f>IFERROR(IF(($F265)&gt;0,($O265)/($F265),""),"")</f>
        <v/>
      </c>
      <c r="V265" s="56">
        <f>IFERROR(IF(($G265)&gt;0,($P265)/($G265),""),"")</f>
        <v/>
      </c>
      <c r="W265" s="56">
        <f>IFERROR(IF(($H265)&gt;0,($Q265)/($H265),""),"")</f>
        <v/>
      </c>
      <c r="X265" s="55">
        <f>SUMIFS(tblMovement[Tonnes_t],tblMovement[Date],$A265,tblMovement[Source_Type],"Stockpile")</f>
        <v/>
      </c>
      <c r="Y265" s="55">
        <f>IF($B265=$B264,$Y264,0)+$X265</f>
        <v/>
      </c>
      <c r="Z265" s="55">
        <f>$Z264+$X265</f>
        <v/>
      </c>
      <c r="AA265" s="55">
        <f>SUMIFS(tblMiningDaily[Drill_m],tblMiningDaily[Date],$A265)</f>
        <v/>
      </c>
      <c r="AB265" s="55">
        <f>IF($B265=$B264,$AB264,0)+$AA265</f>
        <v/>
      </c>
      <c r="AC265" s="55">
        <f>$AC264+$AA265</f>
        <v/>
      </c>
      <c r="AD265" s="55">
        <f>SUMIFS(tblMiningDaily[Blast_t],tblMiningDaily[Date],$A265)</f>
        <v/>
      </c>
      <c r="AE265" s="55">
        <f>IF($B265=$B264,$AE264,0)+$AD265</f>
        <v/>
      </c>
      <c r="AF265" s="55">
        <f>$AF264+$AD265</f>
        <v/>
      </c>
      <c r="AG265" s="55">
        <f>SUMIFS(tblMiningDaily[Explosives_kg],tblMiningDaily[Date],$A265)</f>
        <v/>
      </c>
      <c r="AH265" s="55">
        <f>IF($B265=$B264,$AH264,0)+$AG265</f>
        <v/>
      </c>
      <c r="AI265" s="55">
        <f>$AI264+$AG265</f>
        <v/>
      </c>
      <c r="AJ265" s="56">
        <f>IFERROR(IF(($AD265)&gt;0,($AG265)/($AD265),""),"")</f>
        <v/>
      </c>
      <c r="AK265" s="56">
        <f>IFERROR(IF(($AE265)&gt;0,($AH265)/($AE265),""),"")</f>
        <v/>
      </c>
      <c r="AL265" s="56">
        <f>IFERROR(IF(($AF265)&gt;0,($AI265)/($AF265),""),"")</f>
        <v/>
      </c>
      <c r="AM265" s="55">
        <f>SUMIFS(tblMiningDaily[Diesel_L],tblMiningDaily[Date],$A265)</f>
        <v/>
      </c>
      <c r="AN265" s="55">
        <f>IF($B265=$B264,$AN264,0)+$AM265</f>
        <v/>
      </c>
      <c r="AO265" s="55">
        <f>$AO264+$AM265</f>
        <v/>
      </c>
      <c r="AP265" s="55">
        <f>SUMIFS(tblMiningDaily[Dewatering_m3],tblMiningDaily[Date],$A265)</f>
        <v/>
      </c>
      <c r="AQ265" s="55">
        <f>IF($B265=$B264,$AQ264,0)+$AP265</f>
        <v/>
      </c>
      <c r="AR265" s="55">
        <f>$AR264+$AP265</f>
        <v/>
      </c>
      <c r="AS265" s="57">
        <f>SUMIFS(tblFleet[Calendar_h],tblFleet[Date],$A265,tblFleet[Equipment_Class],"Excavator")</f>
        <v/>
      </c>
      <c r="AT265" s="57">
        <f>IF($B265=$B264,$AT264,0)+$AS265</f>
        <v/>
      </c>
      <c r="AU265" s="57">
        <f>$AU264+$AS265</f>
        <v/>
      </c>
      <c r="AV265" s="57">
        <f>SUMIFS(tblFleet[Available_h],tblFleet[Date],$A265,tblFleet[Equipment_Class],"Excavator")</f>
        <v/>
      </c>
      <c r="AW265" s="57">
        <f>IF($B265=$B264,$AW264,0)+$AV265</f>
        <v/>
      </c>
      <c r="AX265" s="57">
        <f>$AX264+$AV265</f>
        <v/>
      </c>
      <c r="AY265" s="57">
        <f>SUMIFS(tblFleet[Operating_h],tblFleet[Date],$A265,tblFleet[Equipment_Class],"Excavator")</f>
        <v/>
      </c>
      <c r="AZ265" s="57">
        <f>IF($B265=$B264,$AZ264,0)+$AY265</f>
        <v/>
      </c>
      <c r="BA265" s="57">
        <f>$BA264+$AY265</f>
        <v/>
      </c>
      <c r="BB265" s="67">
        <f>IFERROR(IF(($AS265)&gt;0,($AV265)/($AS265),""),"")</f>
        <v/>
      </c>
      <c r="BC265" s="67">
        <f>IFERROR(IF(($AT265)&gt;0,($AW265)/($AT265),""),"")</f>
        <v/>
      </c>
      <c r="BD265" s="67">
        <f>IFERROR(IF(($AU265)&gt;0,($AX265)/($AU265),""),"")</f>
        <v/>
      </c>
      <c r="BE265" s="67">
        <f>IFERROR(IF(($AV265)&gt;0,($AY265)/($AV265),""),"")</f>
        <v/>
      </c>
      <c r="BF265" s="67">
        <f>IFERROR(IF(($AW265)&gt;0,($AZ265)/($AW265),""),"")</f>
        <v/>
      </c>
      <c r="BG265" s="67">
        <f>IFERROR(IF(($AX265)&gt;0,($BA265)/($AX265),""),"")</f>
        <v/>
      </c>
      <c r="BH265" s="57">
        <f>SUMIFS(tblFleet[Calendar_h],tblFleet[Date],$A265,tblFleet[Equipment_Class],"Haul Truck")</f>
        <v/>
      </c>
      <c r="BI265" s="57">
        <f>IF($B265=$B264,$BI264,0)+$BH265</f>
        <v/>
      </c>
      <c r="BJ265" s="57">
        <f>$BJ264+$BH265</f>
        <v/>
      </c>
      <c r="BK265" s="57">
        <f>SUMIFS(tblFleet[Available_h],tblFleet[Date],$A265,tblFleet[Equipment_Class],"Haul Truck")</f>
        <v/>
      </c>
      <c r="BL265" s="57">
        <f>IF($B265=$B264,$BL264,0)+$BK265</f>
        <v/>
      </c>
      <c r="BM265" s="57">
        <f>$BM264+$BK265</f>
        <v/>
      </c>
      <c r="BN265" s="57">
        <f>SUMIFS(tblFleet[Operating_h],tblFleet[Date],$A265,tblFleet[Equipment_Class],"Haul Truck")</f>
        <v/>
      </c>
      <c r="BO265" s="57">
        <f>IF($B265=$B264,$BO264,0)+$BN265</f>
        <v/>
      </c>
      <c r="BP265" s="57">
        <f>$BP264+$BN265</f>
        <v/>
      </c>
      <c r="BQ265" s="67">
        <f>IFERROR(IF(($BH265)&gt;0,($BK265)/($BH265),""),"")</f>
        <v/>
      </c>
      <c r="BR265" s="67">
        <f>IFERROR(IF(($BI265)&gt;0,($BL265)/($BI265),""),"")</f>
        <v/>
      </c>
      <c r="BS265" s="67">
        <f>IFERROR(IF(($BJ265)&gt;0,($BM265)/($BJ265),""),"")</f>
        <v/>
      </c>
      <c r="BT265" s="67">
        <f>IFERROR(IF(($BK265)&gt;0,($BN265)/($BK265),""),"")</f>
        <v/>
      </c>
      <c r="BU265" s="67">
        <f>IFERROR(IF(($BL265)&gt;0,($BO265)/($BL265),""),"")</f>
        <v/>
      </c>
      <c r="BV265" s="67">
        <f>IFERROR(IF(($BM265)&gt;0,($BP265)/($BM265),""),"")</f>
        <v/>
      </c>
      <c r="BW265" s="55">
        <f>SUMIFS(tblPlant[Crushed_t],tblPlant[Date],$A265)</f>
        <v/>
      </c>
      <c r="BX265" s="55">
        <f>IF($B265=$B264,$BX264,0)+$BW265</f>
        <v/>
      </c>
      <c r="BY265" s="55">
        <f>$BY264+$BW265</f>
        <v/>
      </c>
      <c r="BZ265" s="55">
        <f>SUMIFS(tblPlant[Milled_t],tblPlant[Date],$A265)</f>
        <v/>
      </c>
      <c r="CA265" s="55">
        <f>IF($B265=$B264,$CA264,0)+$BZ265</f>
        <v/>
      </c>
      <c r="CB265" s="55">
        <f>$CB264+$BZ265</f>
        <v/>
      </c>
      <c r="CC265" s="55">
        <f>SUMIFS(tblPlant[Feed_oz],tblPlant[Date],$A265)</f>
        <v/>
      </c>
      <c r="CD265" s="55">
        <f>IF($B265=$B264,$CD264,0)+$CC265</f>
        <v/>
      </c>
      <c r="CE265" s="55">
        <f>$CE264+$CC265</f>
        <v/>
      </c>
      <c r="CF265" s="55">
        <f>SUMIFS(tblPlant[Tails_oz],tblPlant[Date],$A265)</f>
        <v/>
      </c>
      <c r="CG265" s="55">
        <f>IF($B265=$B264,$CG264,0)+$CF265</f>
        <v/>
      </c>
      <c r="CH265" s="55">
        <f>$CH264+$CF265</f>
        <v/>
      </c>
      <c r="CI265" s="55">
        <f>SUMIFS(tblPlant[Recovered_oz],tblPlant[Date],$A265)</f>
        <v/>
      </c>
      <c r="CJ265" s="55">
        <f>IF($B265=$B264,$CJ264,0)+$CI265</f>
        <v/>
      </c>
      <c r="CK265" s="55">
        <f>$CK264+$CI265</f>
        <v/>
      </c>
      <c r="CL265" s="56">
        <f>IFERROR(IF(($BZ265)&gt;0,($CC265*cfg_TroyOz)/($BZ265),""),"")</f>
        <v/>
      </c>
      <c r="CM265" s="56">
        <f>IFERROR(IF(($CA265)&gt;0,($CD265*cfg_TroyOz)/($CA265),""),"")</f>
        <v/>
      </c>
      <c r="CN265" s="56">
        <f>IFERROR(IF(($CB265)&gt;0,($CE265*cfg_TroyOz)/($CB265),""),"")</f>
        <v/>
      </c>
      <c r="CO265" s="56">
        <f>IFERROR(IF(($BZ265)&gt;0,($CF265*cfg_TroyOz)/($BZ265),""),"")</f>
        <v/>
      </c>
      <c r="CP265" s="56">
        <f>IFERROR(IF(($CA265)&gt;0,($CG265*cfg_TroyOz)/($CA265),""),"")</f>
        <v/>
      </c>
      <c r="CQ265" s="56">
        <f>IFERROR(IF(($CB265)&gt;0,($CH265*cfg_TroyOz)/($CB265),""),"")</f>
        <v/>
      </c>
      <c r="CR265" s="67">
        <f>IFERROR(IF(($CC265)&gt;0,($CI265)/($CC265),""),"")</f>
        <v/>
      </c>
      <c r="CS265" s="67">
        <f>IFERROR(IF(($CD265)&gt;0,($CJ265)/($CD265),""),"")</f>
        <v/>
      </c>
      <c r="CT265" s="67">
        <f>IFERROR(IF(($CE265)&gt;0,($CK265)/($CE265),""),"")</f>
        <v/>
      </c>
      <c r="CU265" s="55">
        <f>SUMIFS(tblPlant[Gravity_Gold_oz],tblPlant[Date],$A265)</f>
        <v/>
      </c>
      <c r="CV265" s="55">
        <f>IF($B265=$B264,$CV264,0)+$CU265</f>
        <v/>
      </c>
      <c r="CW265" s="55">
        <f>$CW264+$CU265</f>
        <v/>
      </c>
      <c r="CX265" s="55">
        <f>SUMIFS(tblPlant[Gold_Poured_oz],tblPlant[Date],$A265)</f>
        <v/>
      </c>
      <c r="CY265" s="55">
        <f>IF($B265=$B264,$CY264,0)+$CX265</f>
        <v/>
      </c>
      <c r="CZ265" s="55">
        <f>$CZ264+$CX265</f>
        <v/>
      </c>
      <c r="DA265" s="57">
        <f>SUMIFS(tblPlant[Mill_Run_h],tblPlant[Date],$A265)</f>
        <v/>
      </c>
      <c r="DB265" s="57">
        <f>IF($B265=$B264,$DB264,0)+$DA265</f>
        <v/>
      </c>
      <c r="DC265" s="57">
        <f>$DC264+$DA265</f>
        <v/>
      </c>
      <c r="DD265" s="57">
        <f>SUMIFS(tblPlant[Mill_Planned_Maint_h],tblPlant[Date],$A265)</f>
        <v/>
      </c>
      <c r="DE265" s="57">
        <f>IF($B265=$B264,$DE264,0)+$DD265</f>
        <v/>
      </c>
      <c r="DF265" s="57">
        <f>$DF264+$DD265</f>
        <v/>
      </c>
      <c r="DG265" s="57">
        <f>SUMIFS(tblPlant[Mill_Unplanned_Down_h],tblPlant[Date],$A265)</f>
        <v/>
      </c>
      <c r="DH265" s="57">
        <f>IF($B265=$B264,$DH264,0)+$DG265</f>
        <v/>
      </c>
      <c r="DI265" s="57">
        <f>$DI264+$DG265</f>
        <v/>
      </c>
      <c r="DJ265" s="57">
        <f>COUNTIFS(tblPlant[Date],$A265,tblPlant[Mill_Run_h],"&lt;&gt;")*24</f>
        <v/>
      </c>
      <c r="DK265" s="57">
        <f>IF($B265=$B264,$DK264,0)+$DJ265</f>
        <v/>
      </c>
      <c r="DL265" s="57">
        <f>$DL264+$DJ265</f>
        <v/>
      </c>
      <c r="DM265" s="57">
        <f>SUMIFS(tblPlant[Crusher_Run_h],tblPlant[Date],$A265)</f>
        <v/>
      </c>
      <c r="DN265" s="57">
        <f>IF($B265=$B264,$DN264,0)+$DM265</f>
        <v/>
      </c>
      <c r="DO265" s="57">
        <f>$DO264+$DM265</f>
        <v/>
      </c>
      <c r="DP265" s="55">
        <f>IFERROR(IF(($DA265)&gt;0,($BZ265)/($DA265),""),"")</f>
        <v/>
      </c>
      <c r="DQ265" s="55">
        <f>IFERROR(IF(($DB265)&gt;0,($CA265)/($DB265),""),"")</f>
        <v/>
      </c>
      <c r="DR265" s="55">
        <f>IFERROR(IF(($DC265)&gt;0,($CB265)/($DC265),""),"")</f>
        <v/>
      </c>
      <c r="DS265" s="67">
        <f>IFERROR(IF(($DJ265)&gt;0,($DJ265-$DD265-$DG265)/($DJ265),""),"")</f>
        <v/>
      </c>
      <c r="DT265" s="67">
        <f>IFERROR(IF(($DK265)&gt;0,($DK265-$DE265-$DH265)/($DK265),""),"")</f>
        <v/>
      </c>
      <c r="DU265" s="67">
        <f>IFERROR(IF(($DL265)&gt;0,($DL265-$DF265-$DI265)/($DL265),""),"")</f>
        <v/>
      </c>
      <c r="DV265" s="67">
        <f>IFERROR(IF(($DJ265-$DD265-$DG265)&gt;0,($DA265)/($DJ265-$DD265-$DG265),""),"")</f>
        <v/>
      </c>
      <c r="DW265" s="67">
        <f>IFERROR(IF(($DK265-$DE265-$DH265)&gt;0,($DB265)/($DK265-$DE265-$DH265),""),"")</f>
        <v/>
      </c>
      <c r="DX265" s="67">
        <f>IFERROR(IF(($DL265-$DF265-$DI265)&gt;0,($DC265)/($DL265-$DF265-$DI265),""),"")</f>
        <v/>
      </c>
      <c r="DY265" s="55">
        <f>SUMIFS(tblPlant[Cyanide_kg],tblPlant[Date],$A265)</f>
        <v/>
      </c>
      <c r="DZ265" s="55">
        <f>IF($B265=$B264,$DZ264,0)+$DY265</f>
        <v/>
      </c>
      <c r="EA265" s="55">
        <f>$EA264+$DY265</f>
        <v/>
      </c>
      <c r="EB265" s="55">
        <f>SUMIFS(tblPlant[Lime_kg],tblPlant[Date],$A265)</f>
        <v/>
      </c>
      <c r="EC265" s="55">
        <f>IF($B265=$B264,$EC264,0)+$EB265</f>
        <v/>
      </c>
      <c r="ED265" s="55">
        <f>$ED264+$EB265</f>
        <v/>
      </c>
      <c r="EE265" s="55">
        <f>SUMIFS(tblPlant[Grinding_Media_kg],tblPlant[Date],$A265)</f>
        <v/>
      </c>
      <c r="EF265" s="55">
        <f>IF($B265=$B264,$EF264,0)+$EE265</f>
        <v/>
      </c>
      <c r="EG265" s="55">
        <f>$EG264+$EE265</f>
        <v/>
      </c>
      <c r="EH265" s="55">
        <f>SUMIFS(tblPlant[Power_kWh],tblPlant[Date],$A265)</f>
        <v/>
      </c>
      <c r="EI265" s="55">
        <f>IF($B265=$B264,$EI264,0)+$EH265</f>
        <v/>
      </c>
      <c r="EJ265" s="55">
        <f>$EJ264+$EH265</f>
        <v/>
      </c>
      <c r="EK265" s="55">
        <f>SUMIFS(tblPlant[Raw_Water_m3],tblPlant[Date],$A265)</f>
        <v/>
      </c>
      <c r="EL265" s="55">
        <f>IF($B265=$B264,$EL264,0)+$EK265</f>
        <v/>
      </c>
      <c r="EM265" s="55">
        <f>$EM264+$EK265</f>
        <v/>
      </c>
      <c r="EN265" s="56">
        <f>IFERROR(IF(($BZ265)&gt;0,($DY265)/($BZ265),""),"")</f>
        <v/>
      </c>
      <c r="EO265" s="56">
        <f>IFERROR(IF(($CA265)&gt;0,($DZ265)/($CA265),""),"")</f>
        <v/>
      </c>
      <c r="EP265" s="56">
        <f>IFERROR(IF(($CB265)&gt;0,($EA265)/($CB265),""),"")</f>
        <v/>
      </c>
      <c r="EQ265" s="56">
        <f>IFERROR(IF(($BZ265)&gt;0,($EB265)/($BZ265),""),"")</f>
        <v/>
      </c>
      <c r="ER265" s="56">
        <f>IFERROR(IF(($CA265)&gt;0,($EC265)/($CA265),""),"")</f>
        <v/>
      </c>
      <c r="ES265" s="56">
        <f>IFERROR(IF(($CB265)&gt;0,($ED265)/($CB265),""),"")</f>
        <v/>
      </c>
      <c r="ET265" s="56">
        <f>IFERROR(IF(($BZ265)&gt;0,($EE265)/($BZ265),""),"")</f>
        <v/>
      </c>
      <c r="EU265" s="56">
        <f>IFERROR(IF(($CA265)&gt;0,($EF265)/($CA265),""),"")</f>
        <v/>
      </c>
      <c r="EV265" s="56">
        <f>IFERROR(IF(($CB265)&gt;0,($EG265)/($CB265),""),"")</f>
        <v/>
      </c>
      <c r="EW265" s="76">
        <f>IFERROR(IF(($BZ265)&gt;0,($EH265)/($BZ265),""),"")</f>
        <v/>
      </c>
      <c r="EX265" s="76">
        <f>IFERROR(IF(($CA265)&gt;0,($EI265)/($CA265),""),"")</f>
        <v/>
      </c>
      <c r="EY265" s="76">
        <f>IFERROR(IF(($CB265)&gt;0,($EJ265)/($CB265),""),"")</f>
        <v/>
      </c>
      <c r="EZ265" s="56">
        <f>IFERROR(IF(($BZ265)&gt;0,($EK265)/($BZ265),""),"")</f>
        <v/>
      </c>
      <c r="FA265" s="56">
        <f>IFERROR(IF(($CA265)&gt;0,($EL265)/($CA265),""),"")</f>
        <v/>
      </c>
      <c r="FB265" s="56">
        <f>IFERROR(IF(($CB265)&gt;0,($EM265)/($CB265),""),"")</f>
        <v/>
      </c>
      <c r="FC265" s="55">
        <f>IF(SUMIFS(tblPlant[GIC_oz],tblPlant[Date],$A265)&gt;0,SUMIFS(tblPlant[GIC_oz],tblPlant[Date],$A265),"")</f>
        <v/>
      </c>
      <c r="FD265" s="55">
        <f>SUMIFS(tblGold[Gold_oz],tblGold[Date],$A265,tblGold[Type],"Shipment")</f>
        <v/>
      </c>
      <c r="FE265" s="55">
        <f>IF($B265=$B264,$FE264,0)+$FD265</f>
        <v/>
      </c>
      <c r="FF265" s="55">
        <f>$FF264+$FD265</f>
        <v/>
      </c>
      <c r="FG265" s="55">
        <f>SUMIFS(tblGold[Gold_oz],tblGold[Date],$A265,tblGold[Type],"Sale")</f>
        <v/>
      </c>
      <c r="FH265" s="55">
        <f>IF($B265=$B264,$FH264,0)+$FG265</f>
        <v/>
      </c>
      <c r="FI265" s="55">
        <f>$FI264+$FG265</f>
        <v/>
      </c>
      <c r="FJ265" s="55">
        <f>SUMIFS(tblGold[Dore_kg],tblGold[Date],$A265,tblGold[Type],"Shipment")</f>
        <v/>
      </c>
      <c r="FK265" s="55">
        <f>IF($B265=$B264,$FK264,0)+$FJ265</f>
        <v/>
      </c>
      <c r="FL265" s="55">
        <f>$FL264+$FJ265</f>
        <v/>
      </c>
      <c r="FM265" s="57">
        <f>SUMIFS(tblSafety[Hours_Total],tblSafety[Date],$A265)</f>
        <v/>
      </c>
      <c r="FN265" s="57">
        <f>IF($B265=$B264,$FN264,0)+$FM265</f>
        <v/>
      </c>
      <c r="FO265" s="57">
        <f>$FO264+$FM265</f>
        <v/>
      </c>
      <c r="FP265" s="62">
        <f>SUMIFS(tblSafety[Fatality],tblSafety[Date],$A265)</f>
        <v/>
      </c>
      <c r="FQ265" s="62">
        <f>IF($B265=$B264,$FQ264,0)+$FP265</f>
        <v/>
      </c>
      <c r="FR265" s="62">
        <f>$FR264+$FP265</f>
        <v/>
      </c>
      <c r="FS265" s="62">
        <f>SUMIFS(tblSafety[LTI],tblSafety[Date],$A265)</f>
        <v/>
      </c>
      <c r="FT265" s="62">
        <f>IF($B265=$B264,$FT264,0)+$FS265</f>
        <v/>
      </c>
      <c r="FU265" s="62">
        <f>$FU264+$FS265</f>
        <v/>
      </c>
      <c r="FV265" s="62">
        <f>SUMIFS(tblSafety[RWI],tblSafety[Date],$A265)</f>
        <v/>
      </c>
      <c r="FW265" s="62">
        <f>IF($B265=$B264,$FW264,0)+$FV265</f>
        <v/>
      </c>
      <c r="FX265" s="62">
        <f>$FX264+$FV265</f>
        <v/>
      </c>
      <c r="FY265" s="62">
        <f>SUMIFS(tblSafety[MTI],tblSafety[Date],$A265)</f>
        <v/>
      </c>
      <c r="FZ265" s="62">
        <f>IF($B265=$B264,$FZ264,0)+$FY265</f>
        <v/>
      </c>
      <c r="GA265" s="62">
        <f>$GA264+$FY265</f>
        <v/>
      </c>
      <c r="GB265" s="62">
        <f>SUMIFS(tblSafety[FAI],tblSafety[Date],$A265)</f>
        <v/>
      </c>
      <c r="GC265" s="62">
        <f>IF($B265=$B264,$GC264,0)+$GB265</f>
        <v/>
      </c>
      <c r="GD265" s="62">
        <f>$GD264+$GB265</f>
        <v/>
      </c>
      <c r="GE265" s="62">
        <f>SUMIFS(tblSafety[Recordables],tblSafety[Date],$A265)</f>
        <v/>
      </c>
      <c r="GF265" s="62">
        <f>IF($B265=$B264,$GF264,0)+$GE265</f>
        <v/>
      </c>
      <c r="GG265" s="62">
        <f>$GG264+$GE265</f>
        <v/>
      </c>
      <c r="GH265" s="62">
        <f>SUMIFS(tblSafety[Near_Miss],tblSafety[Date],$A265)</f>
        <v/>
      </c>
      <c r="GI265" s="62">
        <f>IF($B265=$B264,$GI264,0)+$GH265</f>
        <v/>
      </c>
      <c r="GJ265" s="62">
        <f>$GJ264+$GH265</f>
        <v/>
      </c>
      <c r="GK265" s="62">
        <f>SUMIFS(tblSafety[Hazard_Reports],tblSafety[Date],$A265)</f>
        <v/>
      </c>
      <c r="GL265" s="62">
        <f>IF($B265=$B264,$GL264,0)+$GK265</f>
        <v/>
      </c>
      <c r="GM265" s="62">
        <f>$GM264+$GK265</f>
        <v/>
      </c>
      <c r="GN265" s="62">
        <f>SUMIFS(tblSafety[HPI],tblSafety[Date],$A265)</f>
        <v/>
      </c>
      <c r="GO265" s="62">
        <f>IF($B265=$B264,$GO264,0)+$GN265</f>
        <v/>
      </c>
      <c r="GP265" s="62">
        <f>$GP264+$GN265</f>
        <v/>
      </c>
      <c r="GQ265" s="62">
        <f>SUMIFS(tblSafety[Env_Incidents],tblSafety[Date],$A265)</f>
        <v/>
      </c>
      <c r="GR265" s="62">
        <f>IF($B265=$B264,$GR264,0)+$GQ265</f>
        <v/>
      </c>
      <c r="GS265" s="62">
        <f>$GS264+$GQ265</f>
        <v/>
      </c>
      <c r="GT265" s="62">
        <f>SUMIFS(tblSafety[Community_Incidents],tblSafety[Date],$A265)</f>
        <v/>
      </c>
      <c r="GU265" s="62">
        <f>IF($B265=$B264,$GU264,0)+$GT265</f>
        <v/>
      </c>
      <c r="GV265" s="62">
        <f>$GV264+$GT265</f>
        <v/>
      </c>
      <c r="GW265" s="62">
        <f>SUMIFS(tblSafety[Vehicle_Incidents],tblSafety[Date],$A265)</f>
        <v/>
      </c>
      <c r="GX265" s="62">
        <f>IF($B265=$B264,$GX264,0)+$GW265</f>
        <v/>
      </c>
      <c r="GY265" s="62">
        <f>$GY264+$GW265</f>
        <v/>
      </c>
      <c r="GZ265" s="62">
        <f>SUMIFS(tblSafety[Toolbox_Talks],tblSafety[Date],$A265)</f>
        <v/>
      </c>
      <c r="HA265" s="62">
        <f>IF($B265=$B264,$HA264,0)+$GZ265</f>
        <v/>
      </c>
      <c r="HB265" s="62">
        <f>$HB264+$GZ265</f>
        <v/>
      </c>
      <c r="HC265" s="62">
        <f>SUMIFS(tblSafety[Inspections],tblSafety[Date],$A265)</f>
        <v/>
      </c>
      <c r="HD265" s="62">
        <f>IF($B265=$B264,$HD264,0)+$HC265</f>
        <v/>
      </c>
      <c r="HE265" s="62">
        <f>$HE264+$HC265</f>
        <v/>
      </c>
      <c r="HF265" s="56">
        <f>IFERROR((SUMIFS(tblSafety[Recordables],tblSafety[Date],"&gt;="&amp;EDATE($E265,-12),tblSafety[Date],"&lt;="&amp;$A265)+SUMIFS(tblSafetyHistory[Recordables],tblSafetyHistory[Month],"&gt;="&amp;EDATE($E265,-12),tblSafetyHistory[Month],"&lt;"&amp;cfg_YearStart))/(SUMIFS(tblSafety[Hours_Total],tblSafety[Date],"&gt;="&amp;EDATE($E265,-12),tblSafety[Date],"&lt;="&amp;$A265)+SUMIFS(tblSafetyHistory[Hours_Total],tblSafetyHistory[Month],"&gt;="&amp;EDATE($E265,-12),tblSafetyHistory[Month],"&lt;"&amp;cfg_YearStart))*1000000,"")</f>
        <v/>
      </c>
      <c r="HG265" s="56">
        <f>IFERROR((SUMIFS(tblSafety[LTI],tblSafety[Date],"&gt;="&amp;EDATE($E265,-12),tblSafety[Date],"&lt;="&amp;$A265)+SUMIFS(tblSafetyHistory[LTI],tblSafetyHistory[Month],"&gt;="&amp;EDATE($E265,-12),tblSafetyHistory[Month],"&lt;"&amp;cfg_YearStart))/(SUMIFS(tblSafety[Hours_Total],tblSafety[Date],"&gt;="&amp;EDATE($E265,-12),tblSafety[Date],"&lt;="&amp;$A265)+SUMIFS(tblSafetyHistory[Hours_Total],tblSafetyHistory[Month],"&gt;="&amp;EDATE($E265,-12),tblSafetyHistory[Month],"&lt;"&amp;cfg_YearStart))*1000000,"")</f>
        <v/>
      </c>
      <c r="HH265" s="62">
        <f>IF(MAX(N(cfg_PriorLTIDate),_xlfn.MAXIFS(tblSafety[Date],tblSafety[LTI],"&gt;0",tblSafety[Date],"&lt;="&amp;$A265))=0,"",$A265-MAX(N(cfg_PriorLTIDate),_xlfn.MAXIFS(tblSafety[Date],tblSafety[LTI],"&gt;0",tblSafety[Date],"&lt;="&amp;$A265)))</f>
        <v/>
      </c>
      <c r="HI265" s="55">
        <f>SUMIFS(tblBudget[Ore_Mined_t],tblBudget[Month],$E265)</f>
        <v/>
      </c>
      <c r="HJ265" s="55">
        <f>$HI265*$C265/$D265</f>
        <v/>
      </c>
      <c r="HK265" s="55">
        <f>SUMIFS(tblBudget[Ore_Mined_t],tblBudget[Month],"&lt;"&amp;$E265)+$HJ265</f>
        <v/>
      </c>
      <c r="HL265" s="55">
        <f>SUMIFS(tblBudget[Ore_oz],tblBudget[Month],$E265)</f>
        <v/>
      </c>
      <c r="HM265" s="55">
        <f>$HL265*$C265/$D265</f>
        <v/>
      </c>
      <c r="HN265" s="55">
        <f>SUMIFS(tblBudget[Ore_oz],tblBudget[Month],"&lt;"&amp;$E265)+$HM265</f>
        <v/>
      </c>
      <c r="HO265" s="56">
        <f>IFERROR(IF(($HI265)&gt;0,($HL265*cfg_TroyOz)/($HI265),""),"")</f>
        <v/>
      </c>
      <c r="HP265" s="56">
        <f>IFERROR(IF(($HJ265)&gt;0,($HM265*cfg_TroyOz)/($HJ265),""),"")</f>
        <v/>
      </c>
      <c r="HQ265" s="56">
        <f>IFERROR(IF(($HK265)&gt;0,($HN265*cfg_TroyOz)/($HK265),""),"")</f>
        <v/>
      </c>
      <c r="HR265" s="55">
        <f>SUMIFS(tblBudget[Waste_t],tblBudget[Month],$E265)</f>
        <v/>
      </c>
      <c r="HS265" s="55">
        <f>$HR265*$C265/$D265</f>
        <v/>
      </c>
      <c r="HT265" s="55">
        <f>SUMIFS(tblBudget[Waste_t],tblBudget[Month],"&lt;"&amp;$E265)+$HS265</f>
        <v/>
      </c>
      <c r="HU265" s="55">
        <f>SUMIFS(tblBudget[TMM_t],tblBudget[Month],$E265)</f>
        <v/>
      </c>
      <c r="HV265" s="55">
        <f>$HU265*$C265/$D265</f>
        <v/>
      </c>
      <c r="HW265" s="55">
        <f>SUMIFS(tblBudget[TMM_t],tblBudget[Month],"&lt;"&amp;$E265)+$HV265</f>
        <v/>
      </c>
      <c r="HX265" s="56">
        <f>IFERROR(IF(($HI265)&gt;0,($HR265)/($HI265),""),"")</f>
        <v/>
      </c>
      <c r="HY265" s="56">
        <f>IFERROR(IF(($HJ265)&gt;0,($HS265)/($HJ265),""),"")</f>
        <v/>
      </c>
      <c r="HZ265" s="56">
        <f>IFERROR(IF(($HK265)&gt;0,($HT265)/($HK265),""),"")</f>
        <v/>
      </c>
      <c r="IA265" s="55">
        <f>SUMIFS(tblBudget[Drill_m],tblBudget[Month],$E265)</f>
        <v/>
      </c>
      <c r="IB265" s="55">
        <f>$IA265*$C265/$D265</f>
        <v/>
      </c>
      <c r="IC265" s="55">
        <f>SUMIFS(tblBudget[Drill_m],tblBudget[Month],"&lt;"&amp;$E265)+$IB265</f>
        <v/>
      </c>
      <c r="ID265" s="55">
        <f>SUMIFS(tblBudget[Diesel_L],tblBudget[Month],$E265)</f>
        <v/>
      </c>
      <c r="IE265" s="55">
        <f>$ID265*$C265/$D265</f>
        <v/>
      </c>
      <c r="IF265" s="55">
        <f>SUMIFS(tblBudget[Diesel_L],tblBudget[Month],"&lt;"&amp;$E265)+$IE265</f>
        <v/>
      </c>
      <c r="IG265" s="55">
        <f>SUMIFS(tblBudget[Milled_t],tblBudget[Month],$E265)</f>
        <v/>
      </c>
      <c r="IH265" s="55">
        <f>$IG265*$C265/$D265</f>
        <v/>
      </c>
      <c r="II265" s="55">
        <f>SUMIFS(tblBudget[Milled_t],tblBudget[Month],"&lt;"&amp;$E265)+$IH265</f>
        <v/>
      </c>
      <c r="IJ265" s="55">
        <f>SUMIFS(tblBudget[Feed_oz],tblBudget[Month],$E265)</f>
        <v/>
      </c>
      <c r="IK265" s="55">
        <f>$IJ265*$C265/$D265</f>
        <v/>
      </c>
      <c r="IL265" s="55">
        <f>SUMIFS(tblBudget[Feed_oz],tblBudget[Month],"&lt;"&amp;$E265)+$IK265</f>
        <v/>
      </c>
      <c r="IM265" s="55">
        <f>SUMIFS(tblBudget[Recovered_oz],tblBudget[Month],$E265)</f>
        <v/>
      </c>
      <c r="IN265" s="55">
        <f>$IM265*$C265/$D265</f>
        <v/>
      </c>
      <c r="IO265" s="55">
        <f>SUMIFS(tblBudget[Recovered_oz],tblBudget[Month],"&lt;"&amp;$E265)+$IN265</f>
        <v/>
      </c>
      <c r="IP265" s="56">
        <f>IFERROR(IF(($IG265)&gt;0,($IJ265*cfg_TroyOz)/($IG265),""),"")</f>
        <v/>
      </c>
      <c r="IQ265" s="56">
        <f>IFERROR(IF(($IH265)&gt;0,($IK265*cfg_TroyOz)/($IH265),""),"")</f>
        <v/>
      </c>
      <c r="IR265" s="56">
        <f>IFERROR(IF(($II265)&gt;0,($IL265*cfg_TroyOz)/($II265),""),"")</f>
        <v/>
      </c>
      <c r="IS265" s="67">
        <f>IFERROR(IF(($IJ265)&gt;0,($IM265)/($IJ265),""),"")</f>
        <v/>
      </c>
      <c r="IT265" s="67">
        <f>IFERROR(IF(($IK265)&gt;0,($IN265)/($IK265),""),"")</f>
        <v/>
      </c>
      <c r="IU265" s="67">
        <f>IFERROR(IF(($IL265)&gt;0,($IO265)/($IL265),""),"")</f>
        <v/>
      </c>
      <c r="IV265" s="55">
        <f>SUMIFS(tblBudget[Gold_Poured_oz],tblBudget[Month],$E265)</f>
        <v/>
      </c>
      <c r="IW265" s="55">
        <f>$IV265*$C265/$D265</f>
        <v/>
      </c>
      <c r="IX265" s="55">
        <f>SUMIFS(tblBudget[Gold_Poured_oz],tblBudget[Month],"&lt;"&amp;$E265)+$IW265</f>
        <v/>
      </c>
      <c r="IY265" s="57">
        <f>SUMIFS(tblBudget[Hours_Worked],tblBudget[Month],$E265)</f>
        <v/>
      </c>
      <c r="IZ265" s="57">
        <f>$IY265*$C265/$D265</f>
        <v/>
      </c>
      <c r="JA265" s="57">
        <f>SUMIFS(tblBudget[Hours_Worked],tblBudget[Month],"&lt;"&amp;$E265)+$IZ265</f>
        <v/>
      </c>
    </row>
    <row r="266">
      <c r="A266" s="54" t="n">
        <v>46287</v>
      </c>
      <c r="B266">
        <f>MONTH($A266)</f>
        <v/>
      </c>
      <c r="C266">
        <f>DAY($A266)</f>
        <v/>
      </c>
      <c r="D266">
        <f>DAY(EOMONTH($A266,0))</f>
        <v/>
      </c>
      <c r="E266" s="54">
        <f>DATE(YEAR($A266),MONTH($A266),1)</f>
        <v/>
      </c>
      <c r="F266" s="55">
        <f>SUMIFS(tblMovement[Tonnes_t],tblMovement[Date],$A266,tblMovement[Is_Ore],1,tblMovement[Source_Type],"Pit")</f>
        <v/>
      </c>
      <c r="G266" s="55">
        <f>IF($B266=$B265,$G265,0)+$F266</f>
        <v/>
      </c>
      <c r="H266" s="55">
        <f>$H265+$F266</f>
        <v/>
      </c>
      <c r="I266" s="55">
        <f>SUMIFS(tblMovement[Ore_oz],tblMovement[Date],$A266,tblMovement[Source_Type],"Pit")</f>
        <v/>
      </c>
      <c r="J266" s="55">
        <f>IF($B266=$B265,$J265,0)+$I266</f>
        <v/>
      </c>
      <c r="K266" s="55">
        <f>$K265+$I266</f>
        <v/>
      </c>
      <c r="L266" s="56">
        <f>IFERROR(IF(($F266)&gt;0,($I266*cfg_TroyOz)/($F266),""),"")</f>
        <v/>
      </c>
      <c r="M266" s="56">
        <f>IFERROR(IF(($G266)&gt;0,($J266*cfg_TroyOz)/($G266),""),"")</f>
        <v/>
      </c>
      <c r="N266" s="56">
        <f>IFERROR(IF(($H266)&gt;0,($K266*cfg_TroyOz)/($H266),""),"")</f>
        <v/>
      </c>
      <c r="O266" s="55">
        <f>SUMIFS(tblMovement[Tonnes_t],tblMovement[Date],$A266,tblMovement[Is_Ore],0,tblMovement[Source_Type],"Pit")</f>
        <v/>
      </c>
      <c r="P266" s="55">
        <f>IF($B266=$B265,$P265,0)+$O266</f>
        <v/>
      </c>
      <c r="Q266" s="55">
        <f>$Q265+$O266</f>
        <v/>
      </c>
      <c r="R266" s="55">
        <f>$F266+$O266</f>
        <v/>
      </c>
      <c r="S266" s="55">
        <f>IF($B266=$B265,$S265,0)+$R266</f>
        <v/>
      </c>
      <c r="T266" s="55">
        <f>$T265+$R266</f>
        <v/>
      </c>
      <c r="U266" s="56">
        <f>IFERROR(IF(($F266)&gt;0,($O266)/($F266),""),"")</f>
        <v/>
      </c>
      <c r="V266" s="56">
        <f>IFERROR(IF(($G266)&gt;0,($P266)/($G266),""),"")</f>
        <v/>
      </c>
      <c r="W266" s="56">
        <f>IFERROR(IF(($H266)&gt;0,($Q266)/($H266),""),"")</f>
        <v/>
      </c>
      <c r="X266" s="55">
        <f>SUMIFS(tblMovement[Tonnes_t],tblMovement[Date],$A266,tblMovement[Source_Type],"Stockpile")</f>
        <v/>
      </c>
      <c r="Y266" s="55">
        <f>IF($B266=$B265,$Y265,0)+$X266</f>
        <v/>
      </c>
      <c r="Z266" s="55">
        <f>$Z265+$X266</f>
        <v/>
      </c>
      <c r="AA266" s="55">
        <f>SUMIFS(tblMiningDaily[Drill_m],tblMiningDaily[Date],$A266)</f>
        <v/>
      </c>
      <c r="AB266" s="55">
        <f>IF($B266=$B265,$AB265,0)+$AA266</f>
        <v/>
      </c>
      <c r="AC266" s="55">
        <f>$AC265+$AA266</f>
        <v/>
      </c>
      <c r="AD266" s="55">
        <f>SUMIFS(tblMiningDaily[Blast_t],tblMiningDaily[Date],$A266)</f>
        <v/>
      </c>
      <c r="AE266" s="55">
        <f>IF($B266=$B265,$AE265,0)+$AD266</f>
        <v/>
      </c>
      <c r="AF266" s="55">
        <f>$AF265+$AD266</f>
        <v/>
      </c>
      <c r="AG266" s="55">
        <f>SUMIFS(tblMiningDaily[Explosives_kg],tblMiningDaily[Date],$A266)</f>
        <v/>
      </c>
      <c r="AH266" s="55">
        <f>IF($B266=$B265,$AH265,0)+$AG266</f>
        <v/>
      </c>
      <c r="AI266" s="55">
        <f>$AI265+$AG266</f>
        <v/>
      </c>
      <c r="AJ266" s="56">
        <f>IFERROR(IF(($AD266)&gt;0,($AG266)/($AD266),""),"")</f>
        <v/>
      </c>
      <c r="AK266" s="56">
        <f>IFERROR(IF(($AE266)&gt;0,($AH266)/($AE266),""),"")</f>
        <v/>
      </c>
      <c r="AL266" s="56">
        <f>IFERROR(IF(($AF266)&gt;0,($AI266)/($AF266),""),"")</f>
        <v/>
      </c>
      <c r="AM266" s="55">
        <f>SUMIFS(tblMiningDaily[Diesel_L],tblMiningDaily[Date],$A266)</f>
        <v/>
      </c>
      <c r="AN266" s="55">
        <f>IF($B266=$B265,$AN265,0)+$AM266</f>
        <v/>
      </c>
      <c r="AO266" s="55">
        <f>$AO265+$AM266</f>
        <v/>
      </c>
      <c r="AP266" s="55">
        <f>SUMIFS(tblMiningDaily[Dewatering_m3],tblMiningDaily[Date],$A266)</f>
        <v/>
      </c>
      <c r="AQ266" s="55">
        <f>IF($B266=$B265,$AQ265,0)+$AP266</f>
        <v/>
      </c>
      <c r="AR266" s="55">
        <f>$AR265+$AP266</f>
        <v/>
      </c>
      <c r="AS266" s="57">
        <f>SUMIFS(tblFleet[Calendar_h],tblFleet[Date],$A266,tblFleet[Equipment_Class],"Excavator")</f>
        <v/>
      </c>
      <c r="AT266" s="57">
        <f>IF($B266=$B265,$AT265,0)+$AS266</f>
        <v/>
      </c>
      <c r="AU266" s="57">
        <f>$AU265+$AS266</f>
        <v/>
      </c>
      <c r="AV266" s="57">
        <f>SUMIFS(tblFleet[Available_h],tblFleet[Date],$A266,tblFleet[Equipment_Class],"Excavator")</f>
        <v/>
      </c>
      <c r="AW266" s="57">
        <f>IF($B266=$B265,$AW265,0)+$AV266</f>
        <v/>
      </c>
      <c r="AX266" s="57">
        <f>$AX265+$AV266</f>
        <v/>
      </c>
      <c r="AY266" s="57">
        <f>SUMIFS(tblFleet[Operating_h],tblFleet[Date],$A266,tblFleet[Equipment_Class],"Excavator")</f>
        <v/>
      </c>
      <c r="AZ266" s="57">
        <f>IF($B266=$B265,$AZ265,0)+$AY266</f>
        <v/>
      </c>
      <c r="BA266" s="57">
        <f>$BA265+$AY266</f>
        <v/>
      </c>
      <c r="BB266" s="67">
        <f>IFERROR(IF(($AS266)&gt;0,($AV266)/($AS266),""),"")</f>
        <v/>
      </c>
      <c r="BC266" s="67">
        <f>IFERROR(IF(($AT266)&gt;0,($AW266)/($AT266),""),"")</f>
        <v/>
      </c>
      <c r="BD266" s="67">
        <f>IFERROR(IF(($AU266)&gt;0,($AX266)/($AU266),""),"")</f>
        <v/>
      </c>
      <c r="BE266" s="67">
        <f>IFERROR(IF(($AV266)&gt;0,($AY266)/($AV266),""),"")</f>
        <v/>
      </c>
      <c r="BF266" s="67">
        <f>IFERROR(IF(($AW266)&gt;0,($AZ266)/($AW266),""),"")</f>
        <v/>
      </c>
      <c r="BG266" s="67">
        <f>IFERROR(IF(($AX266)&gt;0,($BA266)/($AX266),""),"")</f>
        <v/>
      </c>
      <c r="BH266" s="57">
        <f>SUMIFS(tblFleet[Calendar_h],tblFleet[Date],$A266,tblFleet[Equipment_Class],"Haul Truck")</f>
        <v/>
      </c>
      <c r="BI266" s="57">
        <f>IF($B266=$B265,$BI265,0)+$BH266</f>
        <v/>
      </c>
      <c r="BJ266" s="57">
        <f>$BJ265+$BH266</f>
        <v/>
      </c>
      <c r="BK266" s="57">
        <f>SUMIFS(tblFleet[Available_h],tblFleet[Date],$A266,tblFleet[Equipment_Class],"Haul Truck")</f>
        <v/>
      </c>
      <c r="BL266" s="57">
        <f>IF($B266=$B265,$BL265,0)+$BK266</f>
        <v/>
      </c>
      <c r="BM266" s="57">
        <f>$BM265+$BK266</f>
        <v/>
      </c>
      <c r="BN266" s="57">
        <f>SUMIFS(tblFleet[Operating_h],tblFleet[Date],$A266,tblFleet[Equipment_Class],"Haul Truck")</f>
        <v/>
      </c>
      <c r="BO266" s="57">
        <f>IF($B266=$B265,$BO265,0)+$BN266</f>
        <v/>
      </c>
      <c r="BP266" s="57">
        <f>$BP265+$BN266</f>
        <v/>
      </c>
      <c r="BQ266" s="67">
        <f>IFERROR(IF(($BH266)&gt;0,($BK266)/($BH266),""),"")</f>
        <v/>
      </c>
      <c r="BR266" s="67">
        <f>IFERROR(IF(($BI266)&gt;0,($BL266)/($BI266),""),"")</f>
        <v/>
      </c>
      <c r="BS266" s="67">
        <f>IFERROR(IF(($BJ266)&gt;0,($BM266)/($BJ266),""),"")</f>
        <v/>
      </c>
      <c r="BT266" s="67">
        <f>IFERROR(IF(($BK266)&gt;0,($BN266)/($BK266),""),"")</f>
        <v/>
      </c>
      <c r="BU266" s="67">
        <f>IFERROR(IF(($BL266)&gt;0,($BO266)/($BL266),""),"")</f>
        <v/>
      </c>
      <c r="BV266" s="67">
        <f>IFERROR(IF(($BM266)&gt;0,($BP266)/($BM266),""),"")</f>
        <v/>
      </c>
      <c r="BW266" s="55">
        <f>SUMIFS(tblPlant[Crushed_t],tblPlant[Date],$A266)</f>
        <v/>
      </c>
      <c r="BX266" s="55">
        <f>IF($B266=$B265,$BX265,0)+$BW266</f>
        <v/>
      </c>
      <c r="BY266" s="55">
        <f>$BY265+$BW266</f>
        <v/>
      </c>
      <c r="BZ266" s="55">
        <f>SUMIFS(tblPlant[Milled_t],tblPlant[Date],$A266)</f>
        <v/>
      </c>
      <c r="CA266" s="55">
        <f>IF($B266=$B265,$CA265,0)+$BZ266</f>
        <v/>
      </c>
      <c r="CB266" s="55">
        <f>$CB265+$BZ266</f>
        <v/>
      </c>
      <c r="CC266" s="55">
        <f>SUMIFS(tblPlant[Feed_oz],tblPlant[Date],$A266)</f>
        <v/>
      </c>
      <c r="CD266" s="55">
        <f>IF($B266=$B265,$CD265,0)+$CC266</f>
        <v/>
      </c>
      <c r="CE266" s="55">
        <f>$CE265+$CC266</f>
        <v/>
      </c>
      <c r="CF266" s="55">
        <f>SUMIFS(tblPlant[Tails_oz],tblPlant[Date],$A266)</f>
        <v/>
      </c>
      <c r="CG266" s="55">
        <f>IF($B266=$B265,$CG265,0)+$CF266</f>
        <v/>
      </c>
      <c r="CH266" s="55">
        <f>$CH265+$CF266</f>
        <v/>
      </c>
      <c r="CI266" s="55">
        <f>SUMIFS(tblPlant[Recovered_oz],tblPlant[Date],$A266)</f>
        <v/>
      </c>
      <c r="CJ266" s="55">
        <f>IF($B266=$B265,$CJ265,0)+$CI266</f>
        <v/>
      </c>
      <c r="CK266" s="55">
        <f>$CK265+$CI266</f>
        <v/>
      </c>
      <c r="CL266" s="56">
        <f>IFERROR(IF(($BZ266)&gt;0,($CC266*cfg_TroyOz)/($BZ266),""),"")</f>
        <v/>
      </c>
      <c r="CM266" s="56">
        <f>IFERROR(IF(($CA266)&gt;0,($CD266*cfg_TroyOz)/($CA266),""),"")</f>
        <v/>
      </c>
      <c r="CN266" s="56">
        <f>IFERROR(IF(($CB266)&gt;0,($CE266*cfg_TroyOz)/($CB266),""),"")</f>
        <v/>
      </c>
      <c r="CO266" s="56">
        <f>IFERROR(IF(($BZ266)&gt;0,($CF266*cfg_TroyOz)/($BZ266),""),"")</f>
        <v/>
      </c>
      <c r="CP266" s="56">
        <f>IFERROR(IF(($CA266)&gt;0,($CG266*cfg_TroyOz)/($CA266),""),"")</f>
        <v/>
      </c>
      <c r="CQ266" s="56">
        <f>IFERROR(IF(($CB266)&gt;0,($CH266*cfg_TroyOz)/($CB266),""),"")</f>
        <v/>
      </c>
      <c r="CR266" s="67">
        <f>IFERROR(IF(($CC266)&gt;0,($CI266)/($CC266),""),"")</f>
        <v/>
      </c>
      <c r="CS266" s="67">
        <f>IFERROR(IF(($CD266)&gt;0,($CJ266)/($CD266),""),"")</f>
        <v/>
      </c>
      <c r="CT266" s="67">
        <f>IFERROR(IF(($CE266)&gt;0,($CK266)/($CE266),""),"")</f>
        <v/>
      </c>
      <c r="CU266" s="55">
        <f>SUMIFS(tblPlant[Gravity_Gold_oz],tblPlant[Date],$A266)</f>
        <v/>
      </c>
      <c r="CV266" s="55">
        <f>IF($B266=$B265,$CV265,0)+$CU266</f>
        <v/>
      </c>
      <c r="CW266" s="55">
        <f>$CW265+$CU266</f>
        <v/>
      </c>
      <c r="CX266" s="55">
        <f>SUMIFS(tblPlant[Gold_Poured_oz],tblPlant[Date],$A266)</f>
        <v/>
      </c>
      <c r="CY266" s="55">
        <f>IF($B266=$B265,$CY265,0)+$CX266</f>
        <v/>
      </c>
      <c r="CZ266" s="55">
        <f>$CZ265+$CX266</f>
        <v/>
      </c>
      <c r="DA266" s="57">
        <f>SUMIFS(tblPlant[Mill_Run_h],tblPlant[Date],$A266)</f>
        <v/>
      </c>
      <c r="DB266" s="57">
        <f>IF($B266=$B265,$DB265,0)+$DA266</f>
        <v/>
      </c>
      <c r="DC266" s="57">
        <f>$DC265+$DA266</f>
        <v/>
      </c>
      <c r="DD266" s="57">
        <f>SUMIFS(tblPlant[Mill_Planned_Maint_h],tblPlant[Date],$A266)</f>
        <v/>
      </c>
      <c r="DE266" s="57">
        <f>IF($B266=$B265,$DE265,0)+$DD266</f>
        <v/>
      </c>
      <c r="DF266" s="57">
        <f>$DF265+$DD266</f>
        <v/>
      </c>
      <c r="DG266" s="57">
        <f>SUMIFS(tblPlant[Mill_Unplanned_Down_h],tblPlant[Date],$A266)</f>
        <v/>
      </c>
      <c r="DH266" s="57">
        <f>IF($B266=$B265,$DH265,0)+$DG266</f>
        <v/>
      </c>
      <c r="DI266" s="57">
        <f>$DI265+$DG266</f>
        <v/>
      </c>
      <c r="DJ266" s="57">
        <f>COUNTIFS(tblPlant[Date],$A266,tblPlant[Mill_Run_h],"&lt;&gt;")*24</f>
        <v/>
      </c>
      <c r="DK266" s="57">
        <f>IF($B266=$B265,$DK265,0)+$DJ266</f>
        <v/>
      </c>
      <c r="DL266" s="57">
        <f>$DL265+$DJ266</f>
        <v/>
      </c>
      <c r="DM266" s="57">
        <f>SUMIFS(tblPlant[Crusher_Run_h],tblPlant[Date],$A266)</f>
        <v/>
      </c>
      <c r="DN266" s="57">
        <f>IF($B266=$B265,$DN265,0)+$DM266</f>
        <v/>
      </c>
      <c r="DO266" s="57">
        <f>$DO265+$DM266</f>
        <v/>
      </c>
      <c r="DP266" s="55">
        <f>IFERROR(IF(($DA266)&gt;0,($BZ266)/($DA266),""),"")</f>
        <v/>
      </c>
      <c r="DQ266" s="55">
        <f>IFERROR(IF(($DB266)&gt;0,($CA266)/($DB266),""),"")</f>
        <v/>
      </c>
      <c r="DR266" s="55">
        <f>IFERROR(IF(($DC266)&gt;0,($CB266)/($DC266),""),"")</f>
        <v/>
      </c>
      <c r="DS266" s="67">
        <f>IFERROR(IF(($DJ266)&gt;0,($DJ266-$DD266-$DG266)/($DJ266),""),"")</f>
        <v/>
      </c>
      <c r="DT266" s="67">
        <f>IFERROR(IF(($DK266)&gt;0,($DK266-$DE266-$DH266)/($DK266),""),"")</f>
        <v/>
      </c>
      <c r="DU266" s="67">
        <f>IFERROR(IF(($DL266)&gt;0,($DL266-$DF266-$DI266)/($DL266),""),"")</f>
        <v/>
      </c>
      <c r="DV266" s="67">
        <f>IFERROR(IF(($DJ266-$DD266-$DG266)&gt;0,($DA266)/($DJ266-$DD266-$DG266),""),"")</f>
        <v/>
      </c>
      <c r="DW266" s="67">
        <f>IFERROR(IF(($DK266-$DE266-$DH266)&gt;0,($DB266)/($DK266-$DE266-$DH266),""),"")</f>
        <v/>
      </c>
      <c r="DX266" s="67">
        <f>IFERROR(IF(($DL266-$DF266-$DI266)&gt;0,($DC266)/($DL266-$DF266-$DI266),""),"")</f>
        <v/>
      </c>
      <c r="DY266" s="55">
        <f>SUMIFS(tblPlant[Cyanide_kg],tblPlant[Date],$A266)</f>
        <v/>
      </c>
      <c r="DZ266" s="55">
        <f>IF($B266=$B265,$DZ265,0)+$DY266</f>
        <v/>
      </c>
      <c r="EA266" s="55">
        <f>$EA265+$DY266</f>
        <v/>
      </c>
      <c r="EB266" s="55">
        <f>SUMIFS(tblPlant[Lime_kg],tblPlant[Date],$A266)</f>
        <v/>
      </c>
      <c r="EC266" s="55">
        <f>IF($B266=$B265,$EC265,0)+$EB266</f>
        <v/>
      </c>
      <c r="ED266" s="55">
        <f>$ED265+$EB266</f>
        <v/>
      </c>
      <c r="EE266" s="55">
        <f>SUMIFS(tblPlant[Grinding_Media_kg],tblPlant[Date],$A266)</f>
        <v/>
      </c>
      <c r="EF266" s="55">
        <f>IF($B266=$B265,$EF265,0)+$EE266</f>
        <v/>
      </c>
      <c r="EG266" s="55">
        <f>$EG265+$EE266</f>
        <v/>
      </c>
      <c r="EH266" s="55">
        <f>SUMIFS(tblPlant[Power_kWh],tblPlant[Date],$A266)</f>
        <v/>
      </c>
      <c r="EI266" s="55">
        <f>IF($B266=$B265,$EI265,0)+$EH266</f>
        <v/>
      </c>
      <c r="EJ266" s="55">
        <f>$EJ265+$EH266</f>
        <v/>
      </c>
      <c r="EK266" s="55">
        <f>SUMIFS(tblPlant[Raw_Water_m3],tblPlant[Date],$A266)</f>
        <v/>
      </c>
      <c r="EL266" s="55">
        <f>IF($B266=$B265,$EL265,0)+$EK266</f>
        <v/>
      </c>
      <c r="EM266" s="55">
        <f>$EM265+$EK266</f>
        <v/>
      </c>
      <c r="EN266" s="56">
        <f>IFERROR(IF(($BZ266)&gt;0,($DY266)/($BZ266),""),"")</f>
        <v/>
      </c>
      <c r="EO266" s="56">
        <f>IFERROR(IF(($CA266)&gt;0,($DZ266)/($CA266),""),"")</f>
        <v/>
      </c>
      <c r="EP266" s="56">
        <f>IFERROR(IF(($CB266)&gt;0,($EA266)/($CB266),""),"")</f>
        <v/>
      </c>
      <c r="EQ266" s="56">
        <f>IFERROR(IF(($BZ266)&gt;0,($EB266)/($BZ266),""),"")</f>
        <v/>
      </c>
      <c r="ER266" s="56">
        <f>IFERROR(IF(($CA266)&gt;0,($EC266)/($CA266),""),"")</f>
        <v/>
      </c>
      <c r="ES266" s="56">
        <f>IFERROR(IF(($CB266)&gt;0,($ED266)/($CB266),""),"")</f>
        <v/>
      </c>
      <c r="ET266" s="56">
        <f>IFERROR(IF(($BZ266)&gt;0,($EE266)/($BZ266),""),"")</f>
        <v/>
      </c>
      <c r="EU266" s="56">
        <f>IFERROR(IF(($CA266)&gt;0,($EF266)/($CA266),""),"")</f>
        <v/>
      </c>
      <c r="EV266" s="56">
        <f>IFERROR(IF(($CB266)&gt;0,($EG266)/($CB266),""),"")</f>
        <v/>
      </c>
      <c r="EW266" s="76">
        <f>IFERROR(IF(($BZ266)&gt;0,($EH266)/($BZ266),""),"")</f>
        <v/>
      </c>
      <c r="EX266" s="76">
        <f>IFERROR(IF(($CA266)&gt;0,($EI266)/($CA266),""),"")</f>
        <v/>
      </c>
      <c r="EY266" s="76">
        <f>IFERROR(IF(($CB266)&gt;0,($EJ266)/($CB266),""),"")</f>
        <v/>
      </c>
      <c r="EZ266" s="56">
        <f>IFERROR(IF(($BZ266)&gt;0,($EK266)/($BZ266),""),"")</f>
        <v/>
      </c>
      <c r="FA266" s="56">
        <f>IFERROR(IF(($CA266)&gt;0,($EL266)/($CA266),""),"")</f>
        <v/>
      </c>
      <c r="FB266" s="56">
        <f>IFERROR(IF(($CB266)&gt;0,($EM266)/($CB266),""),"")</f>
        <v/>
      </c>
      <c r="FC266" s="55">
        <f>IF(SUMIFS(tblPlant[GIC_oz],tblPlant[Date],$A266)&gt;0,SUMIFS(tblPlant[GIC_oz],tblPlant[Date],$A266),"")</f>
        <v/>
      </c>
      <c r="FD266" s="55">
        <f>SUMIFS(tblGold[Gold_oz],tblGold[Date],$A266,tblGold[Type],"Shipment")</f>
        <v/>
      </c>
      <c r="FE266" s="55">
        <f>IF($B266=$B265,$FE265,0)+$FD266</f>
        <v/>
      </c>
      <c r="FF266" s="55">
        <f>$FF265+$FD266</f>
        <v/>
      </c>
      <c r="FG266" s="55">
        <f>SUMIFS(tblGold[Gold_oz],tblGold[Date],$A266,tblGold[Type],"Sale")</f>
        <v/>
      </c>
      <c r="FH266" s="55">
        <f>IF($B266=$B265,$FH265,0)+$FG266</f>
        <v/>
      </c>
      <c r="FI266" s="55">
        <f>$FI265+$FG266</f>
        <v/>
      </c>
      <c r="FJ266" s="55">
        <f>SUMIFS(tblGold[Dore_kg],tblGold[Date],$A266,tblGold[Type],"Shipment")</f>
        <v/>
      </c>
      <c r="FK266" s="55">
        <f>IF($B266=$B265,$FK265,0)+$FJ266</f>
        <v/>
      </c>
      <c r="FL266" s="55">
        <f>$FL265+$FJ266</f>
        <v/>
      </c>
      <c r="FM266" s="57">
        <f>SUMIFS(tblSafety[Hours_Total],tblSafety[Date],$A266)</f>
        <v/>
      </c>
      <c r="FN266" s="57">
        <f>IF($B266=$B265,$FN265,0)+$FM266</f>
        <v/>
      </c>
      <c r="FO266" s="57">
        <f>$FO265+$FM266</f>
        <v/>
      </c>
      <c r="FP266" s="62">
        <f>SUMIFS(tblSafety[Fatality],tblSafety[Date],$A266)</f>
        <v/>
      </c>
      <c r="FQ266" s="62">
        <f>IF($B266=$B265,$FQ265,0)+$FP266</f>
        <v/>
      </c>
      <c r="FR266" s="62">
        <f>$FR265+$FP266</f>
        <v/>
      </c>
      <c r="FS266" s="62">
        <f>SUMIFS(tblSafety[LTI],tblSafety[Date],$A266)</f>
        <v/>
      </c>
      <c r="FT266" s="62">
        <f>IF($B266=$B265,$FT265,0)+$FS266</f>
        <v/>
      </c>
      <c r="FU266" s="62">
        <f>$FU265+$FS266</f>
        <v/>
      </c>
      <c r="FV266" s="62">
        <f>SUMIFS(tblSafety[RWI],tblSafety[Date],$A266)</f>
        <v/>
      </c>
      <c r="FW266" s="62">
        <f>IF($B266=$B265,$FW265,0)+$FV266</f>
        <v/>
      </c>
      <c r="FX266" s="62">
        <f>$FX265+$FV266</f>
        <v/>
      </c>
      <c r="FY266" s="62">
        <f>SUMIFS(tblSafety[MTI],tblSafety[Date],$A266)</f>
        <v/>
      </c>
      <c r="FZ266" s="62">
        <f>IF($B266=$B265,$FZ265,0)+$FY266</f>
        <v/>
      </c>
      <c r="GA266" s="62">
        <f>$GA265+$FY266</f>
        <v/>
      </c>
      <c r="GB266" s="62">
        <f>SUMIFS(tblSafety[FAI],tblSafety[Date],$A266)</f>
        <v/>
      </c>
      <c r="GC266" s="62">
        <f>IF($B266=$B265,$GC265,0)+$GB266</f>
        <v/>
      </c>
      <c r="GD266" s="62">
        <f>$GD265+$GB266</f>
        <v/>
      </c>
      <c r="GE266" s="62">
        <f>SUMIFS(tblSafety[Recordables],tblSafety[Date],$A266)</f>
        <v/>
      </c>
      <c r="GF266" s="62">
        <f>IF($B266=$B265,$GF265,0)+$GE266</f>
        <v/>
      </c>
      <c r="GG266" s="62">
        <f>$GG265+$GE266</f>
        <v/>
      </c>
      <c r="GH266" s="62">
        <f>SUMIFS(tblSafety[Near_Miss],tblSafety[Date],$A266)</f>
        <v/>
      </c>
      <c r="GI266" s="62">
        <f>IF($B266=$B265,$GI265,0)+$GH266</f>
        <v/>
      </c>
      <c r="GJ266" s="62">
        <f>$GJ265+$GH266</f>
        <v/>
      </c>
      <c r="GK266" s="62">
        <f>SUMIFS(tblSafety[Hazard_Reports],tblSafety[Date],$A266)</f>
        <v/>
      </c>
      <c r="GL266" s="62">
        <f>IF($B266=$B265,$GL265,0)+$GK266</f>
        <v/>
      </c>
      <c r="GM266" s="62">
        <f>$GM265+$GK266</f>
        <v/>
      </c>
      <c r="GN266" s="62">
        <f>SUMIFS(tblSafety[HPI],tblSafety[Date],$A266)</f>
        <v/>
      </c>
      <c r="GO266" s="62">
        <f>IF($B266=$B265,$GO265,0)+$GN266</f>
        <v/>
      </c>
      <c r="GP266" s="62">
        <f>$GP265+$GN266</f>
        <v/>
      </c>
      <c r="GQ266" s="62">
        <f>SUMIFS(tblSafety[Env_Incidents],tblSafety[Date],$A266)</f>
        <v/>
      </c>
      <c r="GR266" s="62">
        <f>IF($B266=$B265,$GR265,0)+$GQ266</f>
        <v/>
      </c>
      <c r="GS266" s="62">
        <f>$GS265+$GQ266</f>
        <v/>
      </c>
      <c r="GT266" s="62">
        <f>SUMIFS(tblSafety[Community_Incidents],tblSafety[Date],$A266)</f>
        <v/>
      </c>
      <c r="GU266" s="62">
        <f>IF($B266=$B265,$GU265,0)+$GT266</f>
        <v/>
      </c>
      <c r="GV266" s="62">
        <f>$GV265+$GT266</f>
        <v/>
      </c>
      <c r="GW266" s="62">
        <f>SUMIFS(tblSafety[Vehicle_Incidents],tblSafety[Date],$A266)</f>
        <v/>
      </c>
      <c r="GX266" s="62">
        <f>IF($B266=$B265,$GX265,0)+$GW266</f>
        <v/>
      </c>
      <c r="GY266" s="62">
        <f>$GY265+$GW266</f>
        <v/>
      </c>
      <c r="GZ266" s="62">
        <f>SUMIFS(tblSafety[Toolbox_Talks],tblSafety[Date],$A266)</f>
        <v/>
      </c>
      <c r="HA266" s="62">
        <f>IF($B266=$B265,$HA265,0)+$GZ266</f>
        <v/>
      </c>
      <c r="HB266" s="62">
        <f>$HB265+$GZ266</f>
        <v/>
      </c>
      <c r="HC266" s="62">
        <f>SUMIFS(tblSafety[Inspections],tblSafety[Date],$A266)</f>
        <v/>
      </c>
      <c r="HD266" s="62">
        <f>IF($B266=$B265,$HD265,0)+$HC266</f>
        <v/>
      </c>
      <c r="HE266" s="62">
        <f>$HE265+$HC266</f>
        <v/>
      </c>
      <c r="HF266" s="56">
        <f>IFERROR((SUMIFS(tblSafety[Recordables],tblSafety[Date],"&gt;="&amp;EDATE($E266,-12),tblSafety[Date],"&lt;="&amp;$A266)+SUMIFS(tblSafetyHistory[Recordables],tblSafetyHistory[Month],"&gt;="&amp;EDATE($E266,-12),tblSafetyHistory[Month],"&lt;"&amp;cfg_YearStart))/(SUMIFS(tblSafety[Hours_Total],tblSafety[Date],"&gt;="&amp;EDATE($E266,-12),tblSafety[Date],"&lt;="&amp;$A266)+SUMIFS(tblSafetyHistory[Hours_Total],tblSafetyHistory[Month],"&gt;="&amp;EDATE($E266,-12),tblSafetyHistory[Month],"&lt;"&amp;cfg_YearStart))*1000000,"")</f>
        <v/>
      </c>
      <c r="HG266" s="56">
        <f>IFERROR((SUMIFS(tblSafety[LTI],tblSafety[Date],"&gt;="&amp;EDATE($E266,-12),tblSafety[Date],"&lt;="&amp;$A266)+SUMIFS(tblSafetyHistory[LTI],tblSafetyHistory[Month],"&gt;="&amp;EDATE($E266,-12),tblSafetyHistory[Month],"&lt;"&amp;cfg_YearStart))/(SUMIFS(tblSafety[Hours_Total],tblSafety[Date],"&gt;="&amp;EDATE($E266,-12),tblSafety[Date],"&lt;="&amp;$A266)+SUMIFS(tblSafetyHistory[Hours_Total],tblSafetyHistory[Month],"&gt;="&amp;EDATE($E266,-12),tblSafetyHistory[Month],"&lt;"&amp;cfg_YearStart))*1000000,"")</f>
        <v/>
      </c>
      <c r="HH266" s="62">
        <f>IF(MAX(N(cfg_PriorLTIDate),_xlfn.MAXIFS(tblSafety[Date],tblSafety[LTI],"&gt;0",tblSafety[Date],"&lt;="&amp;$A266))=0,"",$A266-MAX(N(cfg_PriorLTIDate),_xlfn.MAXIFS(tblSafety[Date],tblSafety[LTI],"&gt;0",tblSafety[Date],"&lt;="&amp;$A266)))</f>
        <v/>
      </c>
      <c r="HI266" s="55">
        <f>SUMIFS(tblBudget[Ore_Mined_t],tblBudget[Month],$E266)</f>
        <v/>
      </c>
      <c r="HJ266" s="55">
        <f>$HI266*$C266/$D266</f>
        <v/>
      </c>
      <c r="HK266" s="55">
        <f>SUMIFS(tblBudget[Ore_Mined_t],tblBudget[Month],"&lt;"&amp;$E266)+$HJ266</f>
        <v/>
      </c>
      <c r="HL266" s="55">
        <f>SUMIFS(tblBudget[Ore_oz],tblBudget[Month],$E266)</f>
        <v/>
      </c>
      <c r="HM266" s="55">
        <f>$HL266*$C266/$D266</f>
        <v/>
      </c>
      <c r="HN266" s="55">
        <f>SUMIFS(tblBudget[Ore_oz],tblBudget[Month],"&lt;"&amp;$E266)+$HM266</f>
        <v/>
      </c>
      <c r="HO266" s="56">
        <f>IFERROR(IF(($HI266)&gt;0,($HL266*cfg_TroyOz)/($HI266),""),"")</f>
        <v/>
      </c>
      <c r="HP266" s="56">
        <f>IFERROR(IF(($HJ266)&gt;0,($HM266*cfg_TroyOz)/($HJ266),""),"")</f>
        <v/>
      </c>
      <c r="HQ266" s="56">
        <f>IFERROR(IF(($HK266)&gt;0,($HN266*cfg_TroyOz)/($HK266),""),"")</f>
        <v/>
      </c>
      <c r="HR266" s="55">
        <f>SUMIFS(tblBudget[Waste_t],tblBudget[Month],$E266)</f>
        <v/>
      </c>
      <c r="HS266" s="55">
        <f>$HR266*$C266/$D266</f>
        <v/>
      </c>
      <c r="HT266" s="55">
        <f>SUMIFS(tblBudget[Waste_t],tblBudget[Month],"&lt;"&amp;$E266)+$HS266</f>
        <v/>
      </c>
      <c r="HU266" s="55">
        <f>SUMIFS(tblBudget[TMM_t],tblBudget[Month],$E266)</f>
        <v/>
      </c>
      <c r="HV266" s="55">
        <f>$HU266*$C266/$D266</f>
        <v/>
      </c>
      <c r="HW266" s="55">
        <f>SUMIFS(tblBudget[TMM_t],tblBudget[Month],"&lt;"&amp;$E266)+$HV266</f>
        <v/>
      </c>
      <c r="HX266" s="56">
        <f>IFERROR(IF(($HI266)&gt;0,($HR266)/($HI266),""),"")</f>
        <v/>
      </c>
      <c r="HY266" s="56">
        <f>IFERROR(IF(($HJ266)&gt;0,($HS266)/($HJ266),""),"")</f>
        <v/>
      </c>
      <c r="HZ266" s="56">
        <f>IFERROR(IF(($HK266)&gt;0,($HT266)/($HK266),""),"")</f>
        <v/>
      </c>
      <c r="IA266" s="55">
        <f>SUMIFS(tblBudget[Drill_m],tblBudget[Month],$E266)</f>
        <v/>
      </c>
      <c r="IB266" s="55">
        <f>$IA266*$C266/$D266</f>
        <v/>
      </c>
      <c r="IC266" s="55">
        <f>SUMIFS(tblBudget[Drill_m],tblBudget[Month],"&lt;"&amp;$E266)+$IB266</f>
        <v/>
      </c>
      <c r="ID266" s="55">
        <f>SUMIFS(tblBudget[Diesel_L],tblBudget[Month],$E266)</f>
        <v/>
      </c>
      <c r="IE266" s="55">
        <f>$ID266*$C266/$D266</f>
        <v/>
      </c>
      <c r="IF266" s="55">
        <f>SUMIFS(tblBudget[Diesel_L],tblBudget[Month],"&lt;"&amp;$E266)+$IE266</f>
        <v/>
      </c>
      <c r="IG266" s="55">
        <f>SUMIFS(tblBudget[Milled_t],tblBudget[Month],$E266)</f>
        <v/>
      </c>
      <c r="IH266" s="55">
        <f>$IG266*$C266/$D266</f>
        <v/>
      </c>
      <c r="II266" s="55">
        <f>SUMIFS(tblBudget[Milled_t],tblBudget[Month],"&lt;"&amp;$E266)+$IH266</f>
        <v/>
      </c>
      <c r="IJ266" s="55">
        <f>SUMIFS(tblBudget[Feed_oz],tblBudget[Month],$E266)</f>
        <v/>
      </c>
      <c r="IK266" s="55">
        <f>$IJ266*$C266/$D266</f>
        <v/>
      </c>
      <c r="IL266" s="55">
        <f>SUMIFS(tblBudget[Feed_oz],tblBudget[Month],"&lt;"&amp;$E266)+$IK266</f>
        <v/>
      </c>
      <c r="IM266" s="55">
        <f>SUMIFS(tblBudget[Recovered_oz],tblBudget[Month],$E266)</f>
        <v/>
      </c>
      <c r="IN266" s="55">
        <f>$IM266*$C266/$D266</f>
        <v/>
      </c>
      <c r="IO266" s="55">
        <f>SUMIFS(tblBudget[Recovered_oz],tblBudget[Month],"&lt;"&amp;$E266)+$IN266</f>
        <v/>
      </c>
      <c r="IP266" s="56">
        <f>IFERROR(IF(($IG266)&gt;0,($IJ266*cfg_TroyOz)/($IG266),""),"")</f>
        <v/>
      </c>
      <c r="IQ266" s="56">
        <f>IFERROR(IF(($IH266)&gt;0,($IK266*cfg_TroyOz)/($IH266),""),"")</f>
        <v/>
      </c>
      <c r="IR266" s="56">
        <f>IFERROR(IF(($II266)&gt;0,($IL266*cfg_TroyOz)/($II266),""),"")</f>
        <v/>
      </c>
      <c r="IS266" s="67">
        <f>IFERROR(IF(($IJ266)&gt;0,($IM266)/($IJ266),""),"")</f>
        <v/>
      </c>
      <c r="IT266" s="67">
        <f>IFERROR(IF(($IK266)&gt;0,($IN266)/($IK266),""),"")</f>
        <v/>
      </c>
      <c r="IU266" s="67">
        <f>IFERROR(IF(($IL266)&gt;0,($IO266)/($IL266),""),"")</f>
        <v/>
      </c>
      <c r="IV266" s="55">
        <f>SUMIFS(tblBudget[Gold_Poured_oz],tblBudget[Month],$E266)</f>
        <v/>
      </c>
      <c r="IW266" s="55">
        <f>$IV266*$C266/$D266</f>
        <v/>
      </c>
      <c r="IX266" s="55">
        <f>SUMIFS(tblBudget[Gold_Poured_oz],tblBudget[Month],"&lt;"&amp;$E266)+$IW266</f>
        <v/>
      </c>
      <c r="IY266" s="57">
        <f>SUMIFS(tblBudget[Hours_Worked],tblBudget[Month],$E266)</f>
        <v/>
      </c>
      <c r="IZ266" s="57">
        <f>$IY266*$C266/$D266</f>
        <v/>
      </c>
      <c r="JA266" s="57">
        <f>SUMIFS(tblBudget[Hours_Worked],tblBudget[Month],"&lt;"&amp;$E266)+$IZ266</f>
        <v/>
      </c>
    </row>
    <row r="267">
      <c r="A267" s="54" t="n">
        <v>46288</v>
      </c>
      <c r="B267">
        <f>MONTH($A267)</f>
        <v/>
      </c>
      <c r="C267">
        <f>DAY($A267)</f>
        <v/>
      </c>
      <c r="D267">
        <f>DAY(EOMONTH($A267,0))</f>
        <v/>
      </c>
      <c r="E267" s="54">
        <f>DATE(YEAR($A267),MONTH($A267),1)</f>
        <v/>
      </c>
      <c r="F267" s="55">
        <f>SUMIFS(tblMovement[Tonnes_t],tblMovement[Date],$A267,tblMovement[Is_Ore],1,tblMovement[Source_Type],"Pit")</f>
        <v/>
      </c>
      <c r="G267" s="55">
        <f>IF($B267=$B266,$G266,0)+$F267</f>
        <v/>
      </c>
      <c r="H267" s="55">
        <f>$H266+$F267</f>
        <v/>
      </c>
      <c r="I267" s="55">
        <f>SUMIFS(tblMovement[Ore_oz],tblMovement[Date],$A267,tblMovement[Source_Type],"Pit")</f>
        <v/>
      </c>
      <c r="J267" s="55">
        <f>IF($B267=$B266,$J266,0)+$I267</f>
        <v/>
      </c>
      <c r="K267" s="55">
        <f>$K266+$I267</f>
        <v/>
      </c>
      <c r="L267" s="56">
        <f>IFERROR(IF(($F267)&gt;0,($I267*cfg_TroyOz)/($F267),""),"")</f>
        <v/>
      </c>
      <c r="M267" s="56">
        <f>IFERROR(IF(($G267)&gt;0,($J267*cfg_TroyOz)/($G267),""),"")</f>
        <v/>
      </c>
      <c r="N267" s="56">
        <f>IFERROR(IF(($H267)&gt;0,($K267*cfg_TroyOz)/($H267),""),"")</f>
        <v/>
      </c>
      <c r="O267" s="55">
        <f>SUMIFS(tblMovement[Tonnes_t],tblMovement[Date],$A267,tblMovement[Is_Ore],0,tblMovement[Source_Type],"Pit")</f>
        <v/>
      </c>
      <c r="P267" s="55">
        <f>IF($B267=$B266,$P266,0)+$O267</f>
        <v/>
      </c>
      <c r="Q267" s="55">
        <f>$Q266+$O267</f>
        <v/>
      </c>
      <c r="R267" s="55">
        <f>$F267+$O267</f>
        <v/>
      </c>
      <c r="S267" s="55">
        <f>IF($B267=$B266,$S266,0)+$R267</f>
        <v/>
      </c>
      <c r="T267" s="55">
        <f>$T266+$R267</f>
        <v/>
      </c>
      <c r="U267" s="56">
        <f>IFERROR(IF(($F267)&gt;0,($O267)/($F267),""),"")</f>
        <v/>
      </c>
      <c r="V267" s="56">
        <f>IFERROR(IF(($G267)&gt;0,($P267)/($G267),""),"")</f>
        <v/>
      </c>
      <c r="W267" s="56">
        <f>IFERROR(IF(($H267)&gt;0,($Q267)/($H267),""),"")</f>
        <v/>
      </c>
      <c r="X267" s="55">
        <f>SUMIFS(tblMovement[Tonnes_t],tblMovement[Date],$A267,tblMovement[Source_Type],"Stockpile")</f>
        <v/>
      </c>
      <c r="Y267" s="55">
        <f>IF($B267=$B266,$Y266,0)+$X267</f>
        <v/>
      </c>
      <c r="Z267" s="55">
        <f>$Z266+$X267</f>
        <v/>
      </c>
      <c r="AA267" s="55">
        <f>SUMIFS(tblMiningDaily[Drill_m],tblMiningDaily[Date],$A267)</f>
        <v/>
      </c>
      <c r="AB267" s="55">
        <f>IF($B267=$B266,$AB266,0)+$AA267</f>
        <v/>
      </c>
      <c r="AC267" s="55">
        <f>$AC266+$AA267</f>
        <v/>
      </c>
      <c r="AD267" s="55">
        <f>SUMIFS(tblMiningDaily[Blast_t],tblMiningDaily[Date],$A267)</f>
        <v/>
      </c>
      <c r="AE267" s="55">
        <f>IF($B267=$B266,$AE266,0)+$AD267</f>
        <v/>
      </c>
      <c r="AF267" s="55">
        <f>$AF266+$AD267</f>
        <v/>
      </c>
      <c r="AG267" s="55">
        <f>SUMIFS(tblMiningDaily[Explosives_kg],tblMiningDaily[Date],$A267)</f>
        <v/>
      </c>
      <c r="AH267" s="55">
        <f>IF($B267=$B266,$AH266,0)+$AG267</f>
        <v/>
      </c>
      <c r="AI267" s="55">
        <f>$AI266+$AG267</f>
        <v/>
      </c>
      <c r="AJ267" s="56">
        <f>IFERROR(IF(($AD267)&gt;0,($AG267)/($AD267),""),"")</f>
        <v/>
      </c>
      <c r="AK267" s="56">
        <f>IFERROR(IF(($AE267)&gt;0,($AH267)/($AE267),""),"")</f>
        <v/>
      </c>
      <c r="AL267" s="56">
        <f>IFERROR(IF(($AF267)&gt;0,($AI267)/($AF267),""),"")</f>
        <v/>
      </c>
      <c r="AM267" s="55">
        <f>SUMIFS(tblMiningDaily[Diesel_L],tblMiningDaily[Date],$A267)</f>
        <v/>
      </c>
      <c r="AN267" s="55">
        <f>IF($B267=$B266,$AN266,0)+$AM267</f>
        <v/>
      </c>
      <c r="AO267" s="55">
        <f>$AO266+$AM267</f>
        <v/>
      </c>
      <c r="AP267" s="55">
        <f>SUMIFS(tblMiningDaily[Dewatering_m3],tblMiningDaily[Date],$A267)</f>
        <v/>
      </c>
      <c r="AQ267" s="55">
        <f>IF($B267=$B266,$AQ266,0)+$AP267</f>
        <v/>
      </c>
      <c r="AR267" s="55">
        <f>$AR266+$AP267</f>
        <v/>
      </c>
      <c r="AS267" s="57">
        <f>SUMIFS(tblFleet[Calendar_h],tblFleet[Date],$A267,tblFleet[Equipment_Class],"Excavator")</f>
        <v/>
      </c>
      <c r="AT267" s="57">
        <f>IF($B267=$B266,$AT266,0)+$AS267</f>
        <v/>
      </c>
      <c r="AU267" s="57">
        <f>$AU266+$AS267</f>
        <v/>
      </c>
      <c r="AV267" s="57">
        <f>SUMIFS(tblFleet[Available_h],tblFleet[Date],$A267,tblFleet[Equipment_Class],"Excavator")</f>
        <v/>
      </c>
      <c r="AW267" s="57">
        <f>IF($B267=$B266,$AW266,0)+$AV267</f>
        <v/>
      </c>
      <c r="AX267" s="57">
        <f>$AX266+$AV267</f>
        <v/>
      </c>
      <c r="AY267" s="57">
        <f>SUMIFS(tblFleet[Operating_h],tblFleet[Date],$A267,tblFleet[Equipment_Class],"Excavator")</f>
        <v/>
      </c>
      <c r="AZ267" s="57">
        <f>IF($B267=$B266,$AZ266,0)+$AY267</f>
        <v/>
      </c>
      <c r="BA267" s="57">
        <f>$BA266+$AY267</f>
        <v/>
      </c>
      <c r="BB267" s="67">
        <f>IFERROR(IF(($AS267)&gt;0,($AV267)/($AS267),""),"")</f>
        <v/>
      </c>
      <c r="BC267" s="67">
        <f>IFERROR(IF(($AT267)&gt;0,($AW267)/($AT267),""),"")</f>
        <v/>
      </c>
      <c r="BD267" s="67">
        <f>IFERROR(IF(($AU267)&gt;0,($AX267)/($AU267),""),"")</f>
        <v/>
      </c>
      <c r="BE267" s="67">
        <f>IFERROR(IF(($AV267)&gt;0,($AY267)/($AV267),""),"")</f>
        <v/>
      </c>
      <c r="BF267" s="67">
        <f>IFERROR(IF(($AW267)&gt;0,($AZ267)/($AW267),""),"")</f>
        <v/>
      </c>
      <c r="BG267" s="67">
        <f>IFERROR(IF(($AX267)&gt;0,($BA267)/($AX267),""),"")</f>
        <v/>
      </c>
      <c r="BH267" s="57">
        <f>SUMIFS(tblFleet[Calendar_h],tblFleet[Date],$A267,tblFleet[Equipment_Class],"Haul Truck")</f>
        <v/>
      </c>
      <c r="BI267" s="57">
        <f>IF($B267=$B266,$BI266,0)+$BH267</f>
        <v/>
      </c>
      <c r="BJ267" s="57">
        <f>$BJ266+$BH267</f>
        <v/>
      </c>
      <c r="BK267" s="57">
        <f>SUMIFS(tblFleet[Available_h],tblFleet[Date],$A267,tblFleet[Equipment_Class],"Haul Truck")</f>
        <v/>
      </c>
      <c r="BL267" s="57">
        <f>IF($B267=$B266,$BL266,0)+$BK267</f>
        <v/>
      </c>
      <c r="BM267" s="57">
        <f>$BM266+$BK267</f>
        <v/>
      </c>
      <c r="BN267" s="57">
        <f>SUMIFS(tblFleet[Operating_h],tblFleet[Date],$A267,tblFleet[Equipment_Class],"Haul Truck")</f>
        <v/>
      </c>
      <c r="BO267" s="57">
        <f>IF($B267=$B266,$BO266,0)+$BN267</f>
        <v/>
      </c>
      <c r="BP267" s="57">
        <f>$BP266+$BN267</f>
        <v/>
      </c>
      <c r="BQ267" s="67">
        <f>IFERROR(IF(($BH267)&gt;0,($BK267)/($BH267),""),"")</f>
        <v/>
      </c>
      <c r="BR267" s="67">
        <f>IFERROR(IF(($BI267)&gt;0,($BL267)/($BI267),""),"")</f>
        <v/>
      </c>
      <c r="BS267" s="67">
        <f>IFERROR(IF(($BJ267)&gt;0,($BM267)/($BJ267),""),"")</f>
        <v/>
      </c>
      <c r="BT267" s="67">
        <f>IFERROR(IF(($BK267)&gt;0,($BN267)/($BK267),""),"")</f>
        <v/>
      </c>
      <c r="BU267" s="67">
        <f>IFERROR(IF(($BL267)&gt;0,($BO267)/($BL267),""),"")</f>
        <v/>
      </c>
      <c r="BV267" s="67">
        <f>IFERROR(IF(($BM267)&gt;0,($BP267)/($BM267),""),"")</f>
        <v/>
      </c>
      <c r="BW267" s="55">
        <f>SUMIFS(tblPlant[Crushed_t],tblPlant[Date],$A267)</f>
        <v/>
      </c>
      <c r="BX267" s="55">
        <f>IF($B267=$B266,$BX266,0)+$BW267</f>
        <v/>
      </c>
      <c r="BY267" s="55">
        <f>$BY266+$BW267</f>
        <v/>
      </c>
      <c r="BZ267" s="55">
        <f>SUMIFS(tblPlant[Milled_t],tblPlant[Date],$A267)</f>
        <v/>
      </c>
      <c r="CA267" s="55">
        <f>IF($B267=$B266,$CA266,0)+$BZ267</f>
        <v/>
      </c>
      <c r="CB267" s="55">
        <f>$CB266+$BZ267</f>
        <v/>
      </c>
      <c r="CC267" s="55">
        <f>SUMIFS(tblPlant[Feed_oz],tblPlant[Date],$A267)</f>
        <v/>
      </c>
      <c r="CD267" s="55">
        <f>IF($B267=$B266,$CD266,0)+$CC267</f>
        <v/>
      </c>
      <c r="CE267" s="55">
        <f>$CE266+$CC267</f>
        <v/>
      </c>
      <c r="CF267" s="55">
        <f>SUMIFS(tblPlant[Tails_oz],tblPlant[Date],$A267)</f>
        <v/>
      </c>
      <c r="CG267" s="55">
        <f>IF($B267=$B266,$CG266,0)+$CF267</f>
        <v/>
      </c>
      <c r="CH267" s="55">
        <f>$CH266+$CF267</f>
        <v/>
      </c>
      <c r="CI267" s="55">
        <f>SUMIFS(tblPlant[Recovered_oz],tblPlant[Date],$A267)</f>
        <v/>
      </c>
      <c r="CJ267" s="55">
        <f>IF($B267=$B266,$CJ266,0)+$CI267</f>
        <v/>
      </c>
      <c r="CK267" s="55">
        <f>$CK266+$CI267</f>
        <v/>
      </c>
      <c r="CL267" s="56">
        <f>IFERROR(IF(($BZ267)&gt;0,($CC267*cfg_TroyOz)/($BZ267),""),"")</f>
        <v/>
      </c>
      <c r="CM267" s="56">
        <f>IFERROR(IF(($CA267)&gt;0,($CD267*cfg_TroyOz)/($CA267),""),"")</f>
        <v/>
      </c>
      <c r="CN267" s="56">
        <f>IFERROR(IF(($CB267)&gt;0,($CE267*cfg_TroyOz)/($CB267),""),"")</f>
        <v/>
      </c>
      <c r="CO267" s="56">
        <f>IFERROR(IF(($BZ267)&gt;0,($CF267*cfg_TroyOz)/($BZ267),""),"")</f>
        <v/>
      </c>
      <c r="CP267" s="56">
        <f>IFERROR(IF(($CA267)&gt;0,($CG267*cfg_TroyOz)/($CA267),""),"")</f>
        <v/>
      </c>
      <c r="CQ267" s="56">
        <f>IFERROR(IF(($CB267)&gt;0,($CH267*cfg_TroyOz)/($CB267),""),"")</f>
        <v/>
      </c>
      <c r="CR267" s="67">
        <f>IFERROR(IF(($CC267)&gt;0,($CI267)/($CC267),""),"")</f>
        <v/>
      </c>
      <c r="CS267" s="67">
        <f>IFERROR(IF(($CD267)&gt;0,($CJ267)/($CD267),""),"")</f>
        <v/>
      </c>
      <c r="CT267" s="67">
        <f>IFERROR(IF(($CE267)&gt;0,($CK267)/($CE267),""),"")</f>
        <v/>
      </c>
      <c r="CU267" s="55">
        <f>SUMIFS(tblPlant[Gravity_Gold_oz],tblPlant[Date],$A267)</f>
        <v/>
      </c>
      <c r="CV267" s="55">
        <f>IF($B267=$B266,$CV266,0)+$CU267</f>
        <v/>
      </c>
      <c r="CW267" s="55">
        <f>$CW266+$CU267</f>
        <v/>
      </c>
      <c r="CX267" s="55">
        <f>SUMIFS(tblPlant[Gold_Poured_oz],tblPlant[Date],$A267)</f>
        <v/>
      </c>
      <c r="CY267" s="55">
        <f>IF($B267=$B266,$CY266,0)+$CX267</f>
        <v/>
      </c>
      <c r="CZ267" s="55">
        <f>$CZ266+$CX267</f>
        <v/>
      </c>
      <c r="DA267" s="57">
        <f>SUMIFS(tblPlant[Mill_Run_h],tblPlant[Date],$A267)</f>
        <v/>
      </c>
      <c r="DB267" s="57">
        <f>IF($B267=$B266,$DB266,0)+$DA267</f>
        <v/>
      </c>
      <c r="DC267" s="57">
        <f>$DC266+$DA267</f>
        <v/>
      </c>
      <c r="DD267" s="57">
        <f>SUMIFS(tblPlant[Mill_Planned_Maint_h],tblPlant[Date],$A267)</f>
        <v/>
      </c>
      <c r="DE267" s="57">
        <f>IF($B267=$B266,$DE266,0)+$DD267</f>
        <v/>
      </c>
      <c r="DF267" s="57">
        <f>$DF266+$DD267</f>
        <v/>
      </c>
      <c r="DG267" s="57">
        <f>SUMIFS(tblPlant[Mill_Unplanned_Down_h],tblPlant[Date],$A267)</f>
        <v/>
      </c>
      <c r="DH267" s="57">
        <f>IF($B267=$B266,$DH266,0)+$DG267</f>
        <v/>
      </c>
      <c r="DI267" s="57">
        <f>$DI266+$DG267</f>
        <v/>
      </c>
      <c r="DJ267" s="57">
        <f>COUNTIFS(tblPlant[Date],$A267,tblPlant[Mill_Run_h],"&lt;&gt;")*24</f>
        <v/>
      </c>
      <c r="DK267" s="57">
        <f>IF($B267=$B266,$DK266,0)+$DJ267</f>
        <v/>
      </c>
      <c r="DL267" s="57">
        <f>$DL266+$DJ267</f>
        <v/>
      </c>
      <c r="DM267" s="57">
        <f>SUMIFS(tblPlant[Crusher_Run_h],tblPlant[Date],$A267)</f>
        <v/>
      </c>
      <c r="DN267" s="57">
        <f>IF($B267=$B266,$DN266,0)+$DM267</f>
        <v/>
      </c>
      <c r="DO267" s="57">
        <f>$DO266+$DM267</f>
        <v/>
      </c>
      <c r="DP267" s="55">
        <f>IFERROR(IF(($DA267)&gt;0,($BZ267)/($DA267),""),"")</f>
        <v/>
      </c>
      <c r="DQ267" s="55">
        <f>IFERROR(IF(($DB267)&gt;0,($CA267)/($DB267),""),"")</f>
        <v/>
      </c>
      <c r="DR267" s="55">
        <f>IFERROR(IF(($DC267)&gt;0,($CB267)/($DC267),""),"")</f>
        <v/>
      </c>
      <c r="DS267" s="67">
        <f>IFERROR(IF(($DJ267)&gt;0,($DJ267-$DD267-$DG267)/($DJ267),""),"")</f>
        <v/>
      </c>
      <c r="DT267" s="67">
        <f>IFERROR(IF(($DK267)&gt;0,($DK267-$DE267-$DH267)/($DK267),""),"")</f>
        <v/>
      </c>
      <c r="DU267" s="67">
        <f>IFERROR(IF(($DL267)&gt;0,($DL267-$DF267-$DI267)/($DL267),""),"")</f>
        <v/>
      </c>
      <c r="DV267" s="67">
        <f>IFERROR(IF(($DJ267-$DD267-$DG267)&gt;0,($DA267)/($DJ267-$DD267-$DG267),""),"")</f>
        <v/>
      </c>
      <c r="DW267" s="67">
        <f>IFERROR(IF(($DK267-$DE267-$DH267)&gt;0,($DB267)/($DK267-$DE267-$DH267),""),"")</f>
        <v/>
      </c>
      <c r="DX267" s="67">
        <f>IFERROR(IF(($DL267-$DF267-$DI267)&gt;0,($DC267)/($DL267-$DF267-$DI267),""),"")</f>
        <v/>
      </c>
      <c r="DY267" s="55">
        <f>SUMIFS(tblPlant[Cyanide_kg],tblPlant[Date],$A267)</f>
        <v/>
      </c>
      <c r="DZ267" s="55">
        <f>IF($B267=$B266,$DZ266,0)+$DY267</f>
        <v/>
      </c>
      <c r="EA267" s="55">
        <f>$EA266+$DY267</f>
        <v/>
      </c>
      <c r="EB267" s="55">
        <f>SUMIFS(tblPlant[Lime_kg],tblPlant[Date],$A267)</f>
        <v/>
      </c>
      <c r="EC267" s="55">
        <f>IF($B267=$B266,$EC266,0)+$EB267</f>
        <v/>
      </c>
      <c r="ED267" s="55">
        <f>$ED266+$EB267</f>
        <v/>
      </c>
      <c r="EE267" s="55">
        <f>SUMIFS(tblPlant[Grinding_Media_kg],tblPlant[Date],$A267)</f>
        <v/>
      </c>
      <c r="EF267" s="55">
        <f>IF($B267=$B266,$EF266,0)+$EE267</f>
        <v/>
      </c>
      <c r="EG267" s="55">
        <f>$EG266+$EE267</f>
        <v/>
      </c>
      <c r="EH267" s="55">
        <f>SUMIFS(tblPlant[Power_kWh],tblPlant[Date],$A267)</f>
        <v/>
      </c>
      <c r="EI267" s="55">
        <f>IF($B267=$B266,$EI266,0)+$EH267</f>
        <v/>
      </c>
      <c r="EJ267" s="55">
        <f>$EJ266+$EH267</f>
        <v/>
      </c>
      <c r="EK267" s="55">
        <f>SUMIFS(tblPlant[Raw_Water_m3],tblPlant[Date],$A267)</f>
        <v/>
      </c>
      <c r="EL267" s="55">
        <f>IF($B267=$B266,$EL266,0)+$EK267</f>
        <v/>
      </c>
      <c r="EM267" s="55">
        <f>$EM266+$EK267</f>
        <v/>
      </c>
      <c r="EN267" s="56">
        <f>IFERROR(IF(($BZ267)&gt;0,($DY267)/($BZ267),""),"")</f>
        <v/>
      </c>
      <c r="EO267" s="56">
        <f>IFERROR(IF(($CA267)&gt;0,($DZ267)/($CA267),""),"")</f>
        <v/>
      </c>
      <c r="EP267" s="56">
        <f>IFERROR(IF(($CB267)&gt;0,($EA267)/($CB267),""),"")</f>
        <v/>
      </c>
      <c r="EQ267" s="56">
        <f>IFERROR(IF(($BZ267)&gt;0,($EB267)/($BZ267),""),"")</f>
        <v/>
      </c>
      <c r="ER267" s="56">
        <f>IFERROR(IF(($CA267)&gt;0,($EC267)/($CA267),""),"")</f>
        <v/>
      </c>
      <c r="ES267" s="56">
        <f>IFERROR(IF(($CB267)&gt;0,($ED267)/($CB267),""),"")</f>
        <v/>
      </c>
      <c r="ET267" s="56">
        <f>IFERROR(IF(($BZ267)&gt;0,($EE267)/($BZ267),""),"")</f>
        <v/>
      </c>
      <c r="EU267" s="56">
        <f>IFERROR(IF(($CA267)&gt;0,($EF267)/($CA267),""),"")</f>
        <v/>
      </c>
      <c r="EV267" s="56">
        <f>IFERROR(IF(($CB267)&gt;0,($EG267)/($CB267),""),"")</f>
        <v/>
      </c>
      <c r="EW267" s="76">
        <f>IFERROR(IF(($BZ267)&gt;0,($EH267)/($BZ267),""),"")</f>
        <v/>
      </c>
      <c r="EX267" s="76">
        <f>IFERROR(IF(($CA267)&gt;0,($EI267)/($CA267),""),"")</f>
        <v/>
      </c>
      <c r="EY267" s="76">
        <f>IFERROR(IF(($CB267)&gt;0,($EJ267)/($CB267),""),"")</f>
        <v/>
      </c>
      <c r="EZ267" s="56">
        <f>IFERROR(IF(($BZ267)&gt;0,($EK267)/($BZ267),""),"")</f>
        <v/>
      </c>
      <c r="FA267" s="56">
        <f>IFERROR(IF(($CA267)&gt;0,($EL267)/($CA267),""),"")</f>
        <v/>
      </c>
      <c r="FB267" s="56">
        <f>IFERROR(IF(($CB267)&gt;0,($EM267)/($CB267),""),"")</f>
        <v/>
      </c>
      <c r="FC267" s="55">
        <f>IF(SUMIFS(tblPlant[GIC_oz],tblPlant[Date],$A267)&gt;0,SUMIFS(tblPlant[GIC_oz],tblPlant[Date],$A267),"")</f>
        <v/>
      </c>
      <c r="FD267" s="55">
        <f>SUMIFS(tblGold[Gold_oz],tblGold[Date],$A267,tblGold[Type],"Shipment")</f>
        <v/>
      </c>
      <c r="FE267" s="55">
        <f>IF($B267=$B266,$FE266,0)+$FD267</f>
        <v/>
      </c>
      <c r="FF267" s="55">
        <f>$FF266+$FD267</f>
        <v/>
      </c>
      <c r="FG267" s="55">
        <f>SUMIFS(tblGold[Gold_oz],tblGold[Date],$A267,tblGold[Type],"Sale")</f>
        <v/>
      </c>
      <c r="FH267" s="55">
        <f>IF($B267=$B266,$FH266,0)+$FG267</f>
        <v/>
      </c>
      <c r="FI267" s="55">
        <f>$FI266+$FG267</f>
        <v/>
      </c>
      <c r="FJ267" s="55">
        <f>SUMIFS(tblGold[Dore_kg],tblGold[Date],$A267,tblGold[Type],"Shipment")</f>
        <v/>
      </c>
      <c r="FK267" s="55">
        <f>IF($B267=$B266,$FK266,0)+$FJ267</f>
        <v/>
      </c>
      <c r="FL267" s="55">
        <f>$FL266+$FJ267</f>
        <v/>
      </c>
      <c r="FM267" s="57">
        <f>SUMIFS(tblSafety[Hours_Total],tblSafety[Date],$A267)</f>
        <v/>
      </c>
      <c r="FN267" s="57">
        <f>IF($B267=$B266,$FN266,0)+$FM267</f>
        <v/>
      </c>
      <c r="FO267" s="57">
        <f>$FO266+$FM267</f>
        <v/>
      </c>
      <c r="FP267" s="62">
        <f>SUMIFS(tblSafety[Fatality],tblSafety[Date],$A267)</f>
        <v/>
      </c>
      <c r="FQ267" s="62">
        <f>IF($B267=$B266,$FQ266,0)+$FP267</f>
        <v/>
      </c>
      <c r="FR267" s="62">
        <f>$FR266+$FP267</f>
        <v/>
      </c>
      <c r="FS267" s="62">
        <f>SUMIFS(tblSafety[LTI],tblSafety[Date],$A267)</f>
        <v/>
      </c>
      <c r="FT267" s="62">
        <f>IF($B267=$B266,$FT266,0)+$FS267</f>
        <v/>
      </c>
      <c r="FU267" s="62">
        <f>$FU266+$FS267</f>
        <v/>
      </c>
      <c r="FV267" s="62">
        <f>SUMIFS(tblSafety[RWI],tblSafety[Date],$A267)</f>
        <v/>
      </c>
      <c r="FW267" s="62">
        <f>IF($B267=$B266,$FW266,0)+$FV267</f>
        <v/>
      </c>
      <c r="FX267" s="62">
        <f>$FX266+$FV267</f>
        <v/>
      </c>
      <c r="FY267" s="62">
        <f>SUMIFS(tblSafety[MTI],tblSafety[Date],$A267)</f>
        <v/>
      </c>
      <c r="FZ267" s="62">
        <f>IF($B267=$B266,$FZ266,0)+$FY267</f>
        <v/>
      </c>
      <c r="GA267" s="62">
        <f>$GA266+$FY267</f>
        <v/>
      </c>
      <c r="GB267" s="62">
        <f>SUMIFS(tblSafety[FAI],tblSafety[Date],$A267)</f>
        <v/>
      </c>
      <c r="GC267" s="62">
        <f>IF($B267=$B266,$GC266,0)+$GB267</f>
        <v/>
      </c>
      <c r="GD267" s="62">
        <f>$GD266+$GB267</f>
        <v/>
      </c>
      <c r="GE267" s="62">
        <f>SUMIFS(tblSafety[Recordables],tblSafety[Date],$A267)</f>
        <v/>
      </c>
      <c r="GF267" s="62">
        <f>IF($B267=$B266,$GF266,0)+$GE267</f>
        <v/>
      </c>
      <c r="GG267" s="62">
        <f>$GG266+$GE267</f>
        <v/>
      </c>
      <c r="GH267" s="62">
        <f>SUMIFS(tblSafety[Near_Miss],tblSafety[Date],$A267)</f>
        <v/>
      </c>
      <c r="GI267" s="62">
        <f>IF($B267=$B266,$GI266,0)+$GH267</f>
        <v/>
      </c>
      <c r="GJ267" s="62">
        <f>$GJ266+$GH267</f>
        <v/>
      </c>
      <c r="GK267" s="62">
        <f>SUMIFS(tblSafety[Hazard_Reports],tblSafety[Date],$A267)</f>
        <v/>
      </c>
      <c r="GL267" s="62">
        <f>IF($B267=$B266,$GL266,0)+$GK267</f>
        <v/>
      </c>
      <c r="GM267" s="62">
        <f>$GM266+$GK267</f>
        <v/>
      </c>
      <c r="GN267" s="62">
        <f>SUMIFS(tblSafety[HPI],tblSafety[Date],$A267)</f>
        <v/>
      </c>
      <c r="GO267" s="62">
        <f>IF($B267=$B266,$GO266,0)+$GN267</f>
        <v/>
      </c>
      <c r="GP267" s="62">
        <f>$GP266+$GN267</f>
        <v/>
      </c>
      <c r="GQ267" s="62">
        <f>SUMIFS(tblSafety[Env_Incidents],tblSafety[Date],$A267)</f>
        <v/>
      </c>
      <c r="GR267" s="62">
        <f>IF($B267=$B266,$GR266,0)+$GQ267</f>
        <v/>
      </c>
      <c r="GS267" s="62">
        <f>$GS266+$GQ267</f>
        <v/>
      </c>
      <c r="GT267" s="62">
        <f>SUMIFS(tblSafety[Community_Incidents],tblSafety[Date],$A267)</f>
        <v/>
      </c>
      <c r="GU267" s="62">
        <f>IF($B267=$B266,$GU266,0)+$GT267</f>
        <v/>
      </c>
      <c r="GV267" s="62">
        <f>$GV266+$GT267</f>
        <v/>
      </c>
      <c r="GW267" s="62">
        <f>SUMIFS(tblSafety[Vehicle_Incidents],tblSafety[Date],$A267)</f>
        <v/>
      </c>
      <c r="GX267" s="62">
        <f>IF($B267=$B266,$GX266,0)+$GW267</f>
        <v/>
      </c>
      <c r="GY267" s="62">
        <f>$GY266+$GW267</f>
        <v/>
      </c>
      <c r="GZ267" s="62">
        <f>SUMIFS(tblSafety[Toolbox_Talks],tblSafety[Date],$A267)</f>
        <v/>
      </c>
      <c r="HA267" s="62">
        <f>IF($B267=$B266,$HA266,0)+$GZ267</f>
        <v/>
      </c>
      <c r="HB267" s="62">
        <f>$HB266+$GZ267</f>
        <v/>
      </c>
      <c r="HC267" s="62">
        <f>SUMIFS(tblSafety[Inspections],tblSafety[Date],$A267)</f>
        <v/>
      </c>
      <c r="HD267" s="62">
        <f>IF($B267=$B266,$HD266,0)+$HC267</f>
        <v/>
      </c>
      <c r="HE267" s="62">
        <f>$HE266+$HC267</f>
        <v/>
      </c>
      <c r="HF267" s="56">
        <f>IFERROR((SUMIFS(tblSafety[Recordables],tblSafety[Date],"&gt;="&amp;EDATE($E267,-12),tblSafety[Date],"&lt;="&amp;$A267)+SUMIFS(tblSafetyHistory[Recordables],tblSafetyHistory[Month],"&gt;="&amp;EDATE($E267,-12),tblSafetyHistory[Month],"&lt;"&amp;cfg_YearStart))/(SUMIFS(tblSafety[Hours_Total],tblSafety[Date],"&gt;="&amp;EDATE($E267,-12),tblSafety[Date],"&lt;="&amp;$A267)+SUMIFS(tblSafetyHistory[Hours_Total],tblSafetyHistory[Month],"&gt;="&amp;EDATE($E267,-12),tblSafetyHistory[Month],"&lt;"&amp;cfg_YearStart))*1000000,"")</f>
        <v/>
      </c>
      <c r="HG267" s="56">
        <f>IFERROR((SUMIFS(tblSafety[LTI],tblSafety[Date],"&gt;="&amp;EDATE($E267,-12),tblSafety[Date],"&lt;="&amp;$A267)+SUMIFS(tblSafetyHistory[LTI],tblSafetyHistory[Month],"&gt;="&amp;EDATE($E267,-12),tblSafetyHistory[Month],"&lt;"&amp;cfg_YearStart))/(SUMIFS(tblSafety[Hours_Total],tblSafety[Date],"&gt;="&amp;EDATE($E267,-12),tblSafety[Date],"&lt;="&amp;$A267)+SUMIFS(tblSafetyHistory[Hours_Total],tblSafetyHistory[Month],"&gt;="&amp;EDATE($E267,-12),tblSafetyHistory[Month],"&lt;"&amp;cfg_YearStart))*1000000,"")</f>
        <v/>
      </c>
      <c r="HH267" s="62">
        <f>IF(MAX(N(cfg_PriorLTIDate),_xlfn.MAXIFS(tblSafety[Date],tblSafety[LTI],"&gt;0",tblSafety[Date],"&lt;="&amp;$A267))=0,"",$A267-MAX(N(cfg_PriorLTIDate),_xlfn.MAXIFS(tblSafety[Date],tblSafety[LTI],"&gt;0",tblSafety[Date],"&lt;="&amp;$A267)))</f>
        <v/>
      </c>
      <c r="HI267" s="55">
        <f>SUMIFS(tblBudget[Ore_Mined_t],tblBudget[Month],$E267)</f>
        <v/>
      </c>
      <c r="HJ267" s="55">
        <f>$HI267*$C267/$D267</f>
        <v/>
      </c>
      <c r="HK267" s="55">
        <f>SUMIFS(tblBudget[Ore_Mined_t],tblBudget[Month],"&lt;"&amp;$E267)+$HJ267</f>
        <v/>
      </c>
      <c r="HL267" s="55">
        <f>SUMIFS(tblBudget[Ore_oz],tblBudget[Month],$E267)</f>
        <v/>
      </c>
      <c r="HM267" s="55">
        <f>$HL267*$C267/$D267</f>
        <v/>
      </c>
      <c r="HN267" s="55">
        <f>SUMIFS(tblBudget[Ore_oz],tblBudget[Month],"&lt;"&amp;$E267)+$HM267</f>
        <v/>
      </c>
      <c r="HO267" s="56">
        <f>IFERROR(IF(($HI267)&gt;0,($HL267*cfg_TroyOz)/($HI267),""),"")</f>
        <v/>
      </c>
      <c r="HP267" s="56">
        <f>IFERROR(IF(($HJ267)&gt;0,($HM267*cfg_TroyOz)/($HJ267),""),"")</f>
        <v/>
      </c>
      <c r="HQ267" s="56">
        <f>IFERROR(IF(($HK267)&gt;0,($HN267*cfg_TroyOz)/($HK267),""),"")</f>
        <v/>
      </c>
      <c r="HR267" s="55">
        <f>SUMIFS(tblBudget[Waste_t],tblBudget[Month],$E267)</f>
        <v/>
      </c>
      <c r="HS267" s="55">
        <f>$HR267*$C267/$D267</f>
        <v/>
      </c>
      <c r="HT267" s="55">
        <f>SUMIFS(tblBudget[Waste_t],tblBudget[Month],"&lt;"&amp;$E267)+$HS267</f>
        <v/>
      </c>
      <c r="HU267" s="55">
        <f>SUMIFS(tblBudget[TMM_t],tblBudget[Month],$E267)</f>
        <v/>
      </c>
      <c r="HV267" s="55">
        <f>$HU267*$C267/$D267</f>
        <v/>
      </c>
      <c r="HW267" s="55">
        <f>SUMIFS(tblBudget[TMM_t],tblBudget[Month],"&lt;"&amp;$E267)+$HV267</f>
        <v/>
      </c>
      <c r="HX267" s="56">
        <f>IFERROR(IF(($HI267)&gt;0,($HR267)/($HI267),""),"")</f>
        <v/>
      </c>
      <c r="HY267" s="56">
        <f>IFERROR(IF(($HJ267)&gt;0,($HS267)/($HJ267),""),"")</f>
        <v/>
      </c>
      <c r="HZ267" s="56">
        <f>IFERROR(IF(($HK267)&gt;0,($HT267)/($HK267),""),"")</f>
        <v/>
      </c>
      <c r="IA267" s="55">
        <f>SUMIFS(tblBudget[Drill_m],tblBudget[Month],$E267)</f>
        <v/>
      </c>
      <c r="IB267" s="55">
        <f>$IA267*$C267/$D267</f>
        <v/>
      </c>
      <c r="IC267" s="55">
        <f>SUMIFS(tblBudget[Drill_m],tblBudget[Month],"&lt;"&amp;$E267)+$IB267</f>
        <v/>
      </c>
      <c r="ID267" s="55">
        <f>SUMIFS(tblBudget[Diesel_L],tblBudget[Month],$E267)</f>
        <v/>
      </c>
      <c r="IE267" s="55">
        <f>$ID267*$C267/$D267</f>
        <v/>
      </c>
      <c r="IF267" s="55">
        <f>SUMIFS(tblBudget[Diesel_L],tblBudget[Month],"&lt;"&amp;$E267)+$IE267</f>
        <v/>
      </c>
      <c r="IG267" s="55">
        <f>SUMIFS(tblBudget[Milled_t],tblBudget[Month],$E267)</f>
        <v/>
      </c>
      <c r="IH267" s="55">
        <f>$IG267*$C267/$D267</f>
        <v/>
      </c>
      <c r="II267" s="55">
        <f>SUMIFS(tblBudget[Milled_t],tblBudget[Month],"&lt;"&amp;$E267)+$IH267</f>
        <v/>
      </c>
      <c r="IJ267" s="55">
        <f>SUMIFS(tblBudget[Feed_oz],tblBudget[Month],$E267)</f>
        <v/>
      </c>
      <c r="IK267" s="55">
        <f>$IJ267*$C267/$D267</f>
        <v/>
      </c>
      <c r="IL267" s="55">
        <f>SUMIFS(tblBudget[Feed_oz],tblBudget[Month],"&lt;"&amp;$E267)+$IK267</f>
        <v/>
      </c>
      <c r="IM267" s="55">
        <f>SUMIFS(tblBudget[Recovered_oz],tblBudget[Month],$E267)</f>
        <v/>
      </c>
      <c r="IN267" s="55">
        <f>$IM267*$C267/$D267</f>
        <v/>
      </c>
      <c r="IO267" s="55">
        <f>SUMIFS(tblBudget[Recovered_oz],tblBudget[Month],"&lt;"&amp;$E267)+$IN267</f>
        <v/>
      </c>
      <c r="IP267" s="56">
        <f>IFERROR(IF(($IG267)&gt;0,($IJ267*cfg_TroyOz)/($IG267),""),"")</f>
        <v/>
      </c>
      <c r="IQ267" s="56">
        <f>IFERROR(IF(($IH267)&gt;0,($IK267*cfg_TroyOz)/($IH267),""),"")</f>
        <v/>
      </c>
      <c r="IR267" s="56">
        <f>IFERROR(IF(($II267)&gt;0,($IL267*cfg_TroyOz)/($II267),""),"")</f>
        <v/>
      </c>
      <c r="IS267" s="67">
        <f>IFERROR(IF(($IJ267)&gt;0,($IM267)/($IJ267),""),"")</f>
        <v/>
      </c>
      <c r="IT267" s="67">
        <f>IFERROR(IF(($IK267)&gt;0,($IN267)/($IK267),""),"")</f>
        <v/>
      </c>
      <c r="IU267" s="67">
        <f>IFERROR(IF(($IL267)&gt;0,($IO267)/($IL267),""),"")</f>
        <v/>
      </c>
      <c r="IV267" s="55">
        <f>SUMIFS(tblBudget[Gold_Poured_oz],tblBudget[Month],$E267)</f>
        <v/>
      </c>
      <c r="IW267" s="55">
        <f>$IV267*$C267/$D267</f>
        <v/>
      </c>
      <c r="IX267" s="55">
        <f>SUMIFS(tblBudget[Gold_Poured_oz],tblBudget[Month],"&lt;"&amp;$E267)+$IW267</f>
        <v/>
      </c>
      <c r="IY267" s="57">
        <f>SUMIFS(tblBudget[Hours_Worked],tblBudget[Month],$E267)</f>
        <v/>
      </c>
      <c r="IZ267" s="57">
        <f>$IY267*$C267/$D267</f>
        <v/>
      </c>
      <c r="JA267" s="57">
        <f>SUMIFS(tblBudget[Hours_Worked],tblBudget[Month],"&lt;"&amp;$E267)+$IZ267</f>
        <v/>
      </c>
    </row>
    <row r="268">
      <c r="A268" s="54" t="n">
        <v>46289</v>
      </c>
      <c r="B268">
        <f>MONTH($A268)</f>
        <v/>
      </c>
      <c r="C268">
        <f>DAY($A268)</f>
        <v/>
      </c>
      <c r="D268">
        <f>DAY(EOMONTH($A268,0))</f>
        <v/>
      </c>
      <c r="E268" s="54">
        <f>DATE(YEAR($A268),MONTH($A268),1)</f>
        <v/>
      </c>
      <c r="F268" s="55">
        <f>SUMIFS(tblMovement[Tonnes_t],tblMovement[Date],$A268,tblMovement[Is_Ore],1,tblMovement[Source_Type],"Pit")</f>
        <v/>
      </c>
      <c r="G268" s="55">
        <f>IF($B268=$B267,$G267,0)+$F268</f>
        <v/>
      </c>
      <c r="H268" s="55">
        <f>$H267+$F268</f>
        <v/>
      </c>
      <c r="I268" s="55">
        <f>SUMIFS(tblMovement[Ore_oz],tblMovement[Date],$A268,tblMovement[Source_Type],"Pit")</f>
        <v/>
      </c>
      <c r="J268" s="55">
        <f>IF($B268=$B267,$J267,0)+$I268</f>
        <v/>
      </c>
      <c r="K268" s="55">
        <f>$K267+$I268</f>
        <v/>
      </c>
      <c r="L268" s="56">
        <f>IFERROR(IF(($F268)&gt;0,($I268*cfg_TroyOz)/($F268),""),"")</f>
        <v/>
      </c>
      <c r="M268" s="56">
        <f>IFERROR(IF(($G268)&gt;0,($J268*cfg_TroyOz)/($G268),""),"")</f>
        <v/>
      </c>
      <c r="N268" s="56">
        <f>IFERROR(IF(($H268)&gt;0,($K268*cfg_TroyOz)/($H268),""),"")</f>
        <v/>
      </c>
      <c r="O268" s="55">
        <f>SUMIFS(tblMovement[Tonnes_t],tblMovement[Date],$A268,tblMovement[Is_Ore],0,tblMovement[Source_Type],"Pit")</f>
        <v/>
      </c>
      <c r="P268" s="55">
        <f>IF($B268=$B267,$P267,0)+$O268</f>
        <v/>
      </c>
      <c r="Q268" s="55">
        <f>$Q267+$O268</f>
        <v/>
      </c>
      <c r="R268" s="55">
        <f>$F268+$O268</f>
        <v/>
      </c>
      <c r="S268" s="55">
        <f>IF($B268=$B267,$S267,0)+$R268</f>
        <v/>
      </c>
      <c r="T268" s="55">
        <f>$T267+$R268</f>
        <v/>
      </c>
      <c r="U268" s="56">
        <f>IFERROR(IF(($F268)&gt;0,($O268)/($F268),""),"")</f>
        <v/>
      </c>
      <c r="V268" s="56">
        <f>IFERROR(IF(($G268)&gt;0,($P268)/($G268),""),"")</f>
        <v/>
      </c>
      <c r="W268" s="56">
        <f>IFERROR(IF(($H268)&gt;0,($Q268)/($H268),""),"")</f>
        <v/>
      </c>
      <c r="X268" s="55">
        <f>SUMIFS(tblMovement[Tonnes_t],tblMovement[Date],$A268,tblMovement[Source_Type],"Stockpile")</f>
        <v/>
      </c>
      <c r="Y268" s="55">
        <f>IF($B268=$B267,$Y267,0)+$X268</f>
        <v/>
      </c>
      <c r="Z268" s="55">
        <f>$Z267+$X268</f>
        <v/>
      </c>
      <c r="AA268" s="55">
        <f>SUMIFS(tblMiningDaily[Drill_m],tblMiningDaily[Date],$A268)</f>
        <v/>
      </c>
      <c r="AB268" s="55">
        <f>IF($B268=$B267,$AB267,0)+$AA268</f>
        <v/>
      </c>
      <c r="AC268" s="55">
        <f>$AC267+$AA268</f>
        <v/>
      </c>
      <c r="AD268" s="55">
        <f>SUMIFS(tblMiningDaily[Blast_t],tblMiningDaily[Date],$A268)</f>
        <v/>
      </c>
      <c r="AE268" s="55">
        <f>IF($B268=$B267,$AE267,0)+$AD268</f>
        <v/>
      </c>
      <c r="AF268" s="55">
        <f>$AF267+$AD268</f>
        <v/>
      </c>
      <c r="AG268" s="55">
        <f>SUMIFS(tblMiningDaily[Explosives_kg],tblMiningDaily[Date],$A268)</f>
        <v/>
      </c>
      <c r="AH268" s="55">
        <f>IF($B268=$B267,$AH267,0)+$AG268</f>
        <v/>
      </c>
      <c r="AI268" s="55">
        <f>$AI267+$AG268</f>
        <v/>
      </c>
      <c r="AJ268" s="56">
        <f>IFERROR(IF(($AD268)&gt;0,($AG268)/($AD268),""),"")</f>
        <v/>
      </c>
      <c r="AK268" s="56">
        <f>IFERROR(IF(($AE268)&gt;0,($AH268)/($AE268),""),"")</f>
        <v/>
      </c>
      <c r="AL268" s="56">
        <f>IFERROR(IF(($AF268)&gt;0,($AI268)/($AF268),""),"")</f>
        <v/>
      </c>
      <c r="AM268" s="55">
        <f>SUMIFS(tblMiningDaily[Diesel_L],tblMiningDaily[Date],$A268)</f>
        <v/>
      </c>
      <c r="AN268" s="55">
        <f>IF($B268=$B267,$AN267,0)+$AM268</f>
        <v/>
      </c>
      <c r="AO268" s="55">
        <f>$AO267+$AM268</f>
        <v/>
      </c>
      <c r="AP268" s="55">
        <f>SUMIFS(tblMiningDaily[Dewatering_m3],tblMiningDaily[Date],$A268)</f>
        <v/>
      </c>
      <c r="AQ268" s="55">
        <f>IF($B268=$B267,$AQ267,0)+$AP268</f>
        <v/>
      </c>
      <c r="AR268" s="55">
        <f>$AR267+$AP268</f>
        <v/>
      </c>
      <c r="AS268" s="57">
        <f>SUMIFS(tblFleet[Calendar_h],tblFleet[Date],$A268,tblFleet[Equipment_Class],"Excavator")</f>
        <v/>
      </c>
      <c r="AT268" s="57">
        <f>IF($B268=$B267,$AT267,0)+$AS268</f>
        <v/>
      </c>
      <c r="AU268" s="57">
        <f>$AU267+$AS268</f>
        <v/>
      </c>
      <c r="AV268" s="57">
        <f>SUMIFS(tblFleet[Available_h],tblFleet[Date],$A268,tblFleet[Equipment_Class],"Excavator")</f>
        <v/>
      </c>
      <c r="AW268" s="57">
        <f>IF($B268=$B267,$AW267,0)+$AV268</f>
        <v/>
      </c>
      <c r="AX268" s="57">
        <f>$AX267+$AV268</f>
        <v/>
      </c>
      <c r="AY268" s="57">
        <f>SUMIFS(tblFleet[Operating_h],tblFleet[Date],$A268,tblFleet[Equipment_Class],"Excavator")</f>
        <v/>
      </c>
      <c r="AZ268" s="57">
        <f>IF($B268=$B267,$AZ267,0)+$AY268</f>
        <v/>
      </c>
      <c r="BA268" s="57">
        <f>$BA267+$AY268</f>
        <v/>
      </c>
      <c r="BB268" s="67">
        <f>IFERROR(IF(($AS268)&gt;0,($AV268)/($AS268),""),"")</f>
        <v/>
      </c>
      <c r="BC268" s="67">
        <f>IFERROR(IF(($AT268)&gt;0,($AW268)/($AT268),""),"")</f>
        <v/>
      </c>
      <c r="BD268" s="67">
        <f>IFERROR(IF(($AU268)&gt;0,($AX268)/($AU268),""),"")</f>
        <v/>
      </c>
      <c r="BE268" s="67">
        <f>IFERROR(IF(($AV268)&gt;0,($AY268)/($AV268),""),"")</f>
        <v/>
      </c>
      <c r="BF268" s="67">
        <f>IFERROR(IF(($AW268)&gt;0,($AZ268)/($AW268),""),"")</f>
        <v/>
      </c>
      <c r="BG268" s="67">
        <f>IFERROR(IF(($AX268)&gt;0,($BA268)/($AX268),""),"")</f>
        <v/>
      </c>
      <c r="BH268" s="57">
        <f>SUMIFS(tblFleet[Calendar_h],tblFleet[Date],$A268,tblFleet[Equipment_Class],"Haul Truck")</f>
        <v/>
      </c>
      <c r="BI268" s="57">
        <f>IF($B268=$B267,$BI267,0)+$BH268</f>
        <v/>
      </c>
      <c r="BJ268" s="57">
        <f>$BJ267+$BH268</f>
        <v/>
      </c>
      <c r="BK268" s="57">
        <f>SUMIFS(tblFleet[Available_h],tblFleet[Date],$A268,tblFleet[Equipment_Class],"Haul Truck")</f>
        <v/>
      </c>
      <c r="BL268" s="57">
        <f>IF($B268=$B267,$BL267,0)+$BK268</f>
        <v/>
      </c>
      <c r="BM268" s="57">
        <f>$BM267+$BK268</f>
        <v/>
      </c>
      <c r="BN268" s="57">
        <f>SUMIFS(tblFleet[Operating_h],tblFleet[Date],$A268,tblFleet[Equipment_Class],"Haul Truck")</f>
        <v/>
      </c>
      <c r="BO268" s="57">
        <f>IF($B268=$B267,$BO267,0)+$BN268</f>
        <v/>
      </c>
      <c r="BP268" s="57">
        <f>$BP267+$BN268</f>
        <v/>
      </c>
      <c r="BQ268" s="67">
        <f>IFERROR(IF(($BH268)&gt;0,($BK268)/($BH268),""),"")</f>
        <v/>
      </c>
      <c r="BR268" s="67">
        <f>IFERROR(IF(($BI268)&gt;0,($BL268)/($BI268),""),"")</f>
        <v/>
      </c>
      <c r="BS268" s="67">
        <f>IFERROR(IF(($BJ268)&gt;0,($BM268)/($BJ268),""),"")</f>
        <v/>
      </c>
      <c r="BT268" s="67">
        <f>IFERROR(IF(($BK268)&gt;0,($BN268)/($BK268),""),"")</f>
        <v/>
      </c>
      <c r="BU268" s="67">
        <f>IFERROR(IF(($BL268)&gt;0,($BO268)/($BL268),""),"")</f>
        <v/>
      </c>
      <c r="BV268" s="67">
        <f>IFERROR(IF(($BM268)&gt;0,($BP268)/($BM268),""),"")</f>
        <v/>
      </c>
      <c r="BW268" s="55">
        <f>SUMIFS(tblPlant[Crushed_t],tblPlant[Date],$A268)</f>
        <v/>
      </c>
      <c r="BX268" s="55">
        <f>IF($B268=$B267,$BX267,0)+$BW268</f>
        <v/>
      </c>
      <c r="BY268" s="55">
        <f>$BY267+$BW268</f>
        <v/>
      </c>
      <c r="BZ268" s="55">
        <f>SUMIFS(tblPlant[Milled_t],tblPlant[Date],$A268)</f>
        <v/>
      </c>
      <c r="CA268" s="55">
        <f>IF($B268=$B267,$CA267,0)+$BZ268</f>
        <v/>
      </c>
      <c r="CB268" s="55">
        <f>$CB267+$BZ268</f>
        <v/>
      </c>
      <c r="CC268" s="55">
        <f>SUMIFS(tblPlant[Feed_oz],tblPlant[Date],$A268)</f>
        <v/>
      </c>
      <c r="CD268" s="55">
        <f>IF($B268=$B267,$CD267,0)+$CC268</f>
        <v/>
      </c>
      <c r="CE268" s="55">
        <f>$CE267+$CC268</f>
        <v/>
      </c>
      <c r="CF268" s="55">
        <f>SUMIFS(tblPlant[Tails_oz],tblPlant[Date],$A268)</f>
        <v/>
      </c>
      <c r="CG268" s="55">
        <f>IF($B268=$B267,$CG267,0)+$CF268</f>
        <v/>
      </c>
      <c r="CH268" s="55">
        <f>$CH267+$CF268</f>
        <v/>
      </c>
      <c r="CI268" s="55">
        <f>SUMIFS(tblPlant[Recovered_oz],tblPlant[Date],$A268)</f>
        <v/>
      </c>
      <c r="CJ268" s="55">
        <f>IF($B268=$B267,$CJ267,0)+$CI268</f>
        <v/>
      </c>
      <c r="CK268" s="55">
        <f>$CK267+$CI268</f>
        <v/>
      </c>
      <c r="CL268" s="56">
        <f>IFERROR(IF(($BZ268)&gt;0,($CC268*cfg_TroyOz)/($BZ268),""),"")</f>
        <v/>
      </c>
      <c r="CM268" s="56">
        <f>IFERROR(IF(($CA268)&gt;0,($CD268*cfg_TroyOz)/($CA268),""),"")</f>
        <v/>
      </c>
      <c r="CN268" s="56">
        <f>IFERROR(IF(($CB268)&gt;0,($CE268*cfg_TroyOz)/($CB268),""),"")</f>
        <v/>
      </c>
      <c r="CO268" s="56">
        <f>IFERROR(IF(($BZ268)&gt;0,($CF268*cfg_TroyOz)/($BZ268),""),"")</f>
        <v/>
      </c>
      <c r="CP268" s="56">
        <f>IFERROR(IF(($CA268)&gt;0,($CG268*cfg_TroyOz)/($CA268),""),"")</f>
        <v/>
      </c>
      <c r="CQ268" s="56">
        <f>IFERROR(IF(($CB268)&gt;0,($CH268*cfg_TroyOz)/($CB268),""),"")</f>
        <v/>
      </c>
      <c r="CR268" s="67">
        <f>IFERROR(IF(($CC268)&gt;0,($CI268)/($CC268),""),"")</f>
        <v/>
      </c>
      <c r="CS268" s="67">
        <f>IFERROR(IF(($CD268)&gt;0,($CJ268)/($CD268),""),"")</f>
        <v/>
      </c>
      <c r="CT268" s="67">
        <f>IFERROR(IF(($CE268)&gt;0,($CK268)/($CE268),""),"")</f>
        <v/>
      </c>
      <c r="CU268" s="55">
        <f>SUMIFS(tblPlant[Gravity_Gold_oz],tblPlant[Date],$A268)</f>
        <v/>
      </c>
      <c r="CV268" s="55">
        <f>IF($B268=$B267,$CV267,0)+$CU268</f>
        <v/>
      </c>
      <c r="CW268" s="55">
        <f>$CW267+$CU268</f>
        <v/>
      </c>
      <c r="CX268" s="55">
        <f>SUMIFS(tblPlant[Gold_Poured_oz],tblPlant[Date],$A268)</f>
        <v/>
      </c>
      <c r="CY268" s="55">
        <f>IF($B268=$B267,$CY267,0)+$CX268</f>
        <v/>
      </c>
      <c r="CZ268" s="55">
        <f>$CZ267+$CX268</f>
        <v/>
      </c>
      <c r="DA268" s="57">
        <f>SUMIFS(tblPlant[Mill_Run_h],tblPlant[Date],$A268)</f>
        <v/>
      </c>
      <c r="DB268" s="57">
        <f>IF($B268=$B267,$DB267,0)+$DA268</f>
        <v/>
      </c>
      <c r="DC268" s="57">
        <f>$DC267+$DA268</f>
        <v/>
      </c>
      <c r="DD268" s="57">
        <f>SUMIFS(tblPlant[Mill_Planned_Maint_h],tblPlant[Date],$A268)</f>
        <v/>
      </c>
      <c r="DE268" s="57">
        <f>IF($B268=$B267,$DE267,0)+$DD268</f>
        <v/>
      </c>
      <c r="DF268" s="57">
        <f>$DF267+$DD268</f>
        <v/>
      </c>
      <c r="DG268" s="57">
        <f>SUMIFS(tblPlant[Mill_Unplanned_Down_h],tblPlant[Date],$A268)</f>
        <v/>
      </c>
      <c r="DH268" s="57">
        <f>IF($B268=$B267,$DH267,0)+$DG268</f>
        <v/>
      </c>
      <c r="DI268" s="57">
        <f>$DI267+$DG268</f>
        <v/>
      </c>
      <c r="DJ268" s="57">
        <f>COUNTIFS(tblPlant[Date],$A268,tblPlant[Mill_Run_h],"&lt;&gt;")*24</f>
        <v/>
      </c>
      <c r="DK268" s="57">
        <f>IF($B268=$B267,$DK267,0)+$DJ268</f>
        <v/>
      </c>
      <c r="DL268" s="57">
        <f>$DL267+$DJ268</f>
        <v/>
      </c>
      <c r="DM268" s="57">
        <f>SUMIFS(tblPlant[Crusher_Run_h],tblPlant[Date],$A268)</f>
        <v/>
      </c>
      <c r="DN268" s="57">
        <f>IF($B268=$B267,$DN267,0)+$DM268</f>
        <v/>
      </c>
      <c r="DO268" s="57">
        <f>$DO267+$DM268</f>
        <v/>
      </c>
      <c r="DP268" s="55">
        <f>IFERROR(IF(($DA268)&gt;0,($BZ268)/($DA268),""),"")</f>
        <v/>
      </c>
      <c r="DQ268" s="55">
        <f>IFERROR(IF(($DB268)&gt;0,($CA268)/($DB268),""),"")</f>
        <v/>
      </c>
      <c r="DR268" s="55">
        <f>IFERROR(IF(($DC268)&gt;0,($CB268)/($DC268),""),"")</f>
        <v/>
      </c>
      <c r="DS268" s="67">
        <f>IFERROR(IF(($DJ268)&gt;0,($DJ268-$DD268-$DG268)/($DJ268),""),"")</f>
        <v/>
      </c>
      <c r="DT268" s="67">
        <f>IFERROR(IF(($DK268)&gt;0,($DK268-$DE268-$DH268)/($DK268),""),"")</f>
        <v/>
      </c>
      <c r="DU268" s="67">
        <f>IFERROR(IF(($DL268)&gt;0,($DL268-$DF268-$DI268)/($DL268),""),"")</f>
        <v/>
      </c>
      <c r="DV268" s="67">
        <f>IFERROR(IF(($DJ268-$DD268-$DG268)&gt;0,($DA268)/($DJ268-$DD268-$DG268),""),"")</f>
        <v/>
      </c>
      <c r="DW268" s="67">
        <f>IFERROR(IF(($DK268-$DE268-$DH268)&gt;0,($DB268)/($DK268-$DE268-$DH268),""),"")</f>
        <v/>
      </c>
      <c r="DX268" s="67">
        <f>IFERROR(IF(($DL268-$DF268-$DI268)&gt;0,($DC268)/($DL268-$DF268-$DI268),""),"")</f>
        <v/>
      </c>
      <c r="DY268" s="55">
        <f>SUMIFS(tblPlant[Cyanide_kg],tblPlant[Date],$A268)</f>
        <v/>
      </c>
      <c r="DZ268" s="55">
        <f>IF($B268=$B267,$DZ267,0)+$DY268</f>
        <v/>
      </c>
      <c r="EA268" s="55">
        <f>$EA267+$DY268</f>
        <v/>
      </c>
      <c r="EB268" s="55">
        <f>SUMIFS(tblPlant[Lime_kg],tblPlant[Date],$A268)</f>
        <v/>
      </c>
      <c r="EC268" s="55">
        <f>IF($B268=$B267,$EC267,0)+$EB268</f>
        <v/>
      </c>
      <c r="ED268" s="55">
        <f>$ED267+$EB268</f>
        <v/>
      </c>
      <c r="EE268" s="55">
        <f>SUMIFS(tblPlant[Grinding_Media_kg],tblPlant[Date],$A268)</f>
        <v/>
      </c>
      <c r="EF268" s="55">
        <f>IF($B268=$B267,$EF267,0)+$EE268</f>
        <v/>
      </c>
      <c r="EG268" s="55">
        <f>$EG267+$EE268</f>
        <v/>
      </c>
      <c r="EH268" s="55">
        <f>SUMIFS(tblPlant[Power_kWh],tblPlant[Date],$A268)</f>
        <v/>
      </c>
      <c r="EI268" s="55">
        <f>IF($B268=$B267,$EI267,0)+$EH268</f>
        <v/>
      </c>
      <c r="EJ268" s="55">
        <f>$EJ267+$EH268</f>
        <v/>
      </c>
      <c r="EK268" s="55">
        <f>SUMIFS(tblPlant[Raw_Water_m3],tblPlant[Date],$A268)</f>
        <v/>
      </c>
      <c r="EL268" s="55">
        <f>IF($B268=$B267,$EL267,0)+$EK268</f>
        <v/>
      </c>
      <c r="EM268" s="55">
        <f>$EM267+$EK268</f>
        <v/>
      </c>
      <c r="EN268" s="56">
        <f>IFERROR(IF(($BZ268)&gt;0,($DY268)/($BZ268),""),"")</f>
        <v/>
      </c>
      <c r="EO268" s="56">
        <f>IFERROR(IF(($CA268)&gt;0,($DZ268)/($CA268),""),"")</f>
        <v/>
      </c>
      <c r="EP268" s="56">
        <f>IFERROR(IF(($CB268)&gt;0,($EA268)/($CB268),""),"")</f>
        <v/>
      </c>
      <c r="EQ268" s="56">
        <f>IFERROR(IF(($BZ268)&gt;0,($EB268)/($BZ268),""),"")</f>
        <v/>
      </c>
      <c r="ER268" s="56">
        <f>IFERROR(IF(($CA268)&gt;0,($EC268)/($CA268),""),"")</f>
        <v/>
      </c>
      <c r="ES268" s="56">
        <f>IFERROR(IF(($CB268)&gt;0,($ED268)/($CB268),""),"")</f>
        <v/>
      </c>
      <c r="ET268" s="56">
        <f>IFERROR(IF(($BZ268)&gt;0,($EE268)/($BZ268),""),"")</f>
        <v/>
      </c>
      <c r="EU268" s="56">
        <f>IFERROR(IF(($CA268)&gt;0,($EF268)/($CA268),""),"")</f>
        <v/>
      </c>
      <c r="EV268" s="56">
        <f>IFERROR(IF(($CB268)&gt;0,($EG268)/($CB268),""),"")</f>
        <v/>
      </c>
      <c r="EW268" s="76">
        <f>IFERROR(IF(($BZ268)&gt;0,($EH268)/($BZ268),""),"")</f>
        <v/>
      </c>
      <c r="EX268" s="76">
        <f>IFERROR(IF(($CA268)&gt;0,($EI268)/($CA268),""),"")</f>
        <v/>
      </c>
      <c r="EY268" s="76">
        <f>IFERROR(IF(($CB268)&gt;0,($EJ268)/($CB268),""),"")</f>
        <v/>
      </c>
      <c r="EZ268" s="56">
        <f>IFERROR(IF(($BZ268)&gt;0,($EK268)/($BZ268),""),"")</f>
        <v/>
      </c>
      <c r="FA268" s="56">
        <f>IFERROR(IF(($CA268)&gt;0,($EL268)/($CA268),""),"")</f>
        <v/>
      </c>
      <c r="FB268" s="56">
        <f>IFERROR(IF(($CB268)&gt;0,($EM268)/($CB268),""),"")</f>
        <v/>
      </c>
      <c r="FC268" s="55">
        <f>IF(SUMIFS(tblPlant[GIC_oz],tblPlant[Date],$A268)&gt;0,SUMIFS(tblPlant[GIC_oz],tblPlant[Date],$A268),"")</f>
        <v/>
      </c>
      <c r="FD268" s="55">
        <f>SUMIFS(tblGold[Gold_oz],tblGold[Date],$A268,tblGold[Type],"Shipment")</f>
        <v/>
      </c>
      <c r="FE268" s="55">
        <f>IF($B268=$B267,$FE267,0)+$FD268</f>
        <v/>
      </c>
      <c r="FF268" s="55">
        <f>$FF267+$FD268</f>
        <v/>
      </c>
      <c r="FG268" s="55">
        <f>SUMIFS(tblGold[Gold_oz],tblGold[Date],$A268,tblGold[Type],"Sale")</f>
        <v/>
      </c>
      <c r="FH268" s="55">
        <f>IF($B268=$B267,$FH267,0)+$FG268</f>
        <v/>
      </c>
      <c r="FI268" s="55">
        <f>$FI267+$FG268</f>
        <v/>
      </c>
      <c r="FJ268" s="55">
        <f>SUMIFS(tblGold[Dore_kg],tblGold[Date],$A268,tblGold[Type],"Shipment")</f>
        <v/>
      </c>
      <c r="FK268" s="55">
        <f>IF($B268=$B267,$FK267,0)+$FJ268</f>
        <v/>
      </c>
      <c r="FL268" s="55">
        <f>$FL267+$FJ268</f>
        <v/>
      </c>
      <c r="FM268" s="57">
        <f>SUMIFS(tblSafety[Hours_Total],tblSafety[Date],$A268)</f>
        <v/>
      </c>
      <c r="FN268" s="57">
        <f>IF($B268=$B267,$FN267,0)+$FM268</f>
        <v/>
      </c>
      <c r="FO268" s="57">
        <f>$FO267+$FM268</f>
        <v/>
      </c>
      <c r="FP268" s="62">
        <f>SUMIFS(tblSafety[Fatality],tblSafety[Date],$A268)</f>
        <v/>
      </c>
      <c r="FQ268" s="62">
        <f>IF($B268=$B267,$FQ267,0)+$FP268</f>
        <v/>
      </c>
      <c r="FR268" s="62">
        <f>$FR267+$FP268</f>
        <v/>
      </c>
      <c r="FS268" s="62">
        <f>SUMIFS(tblSafety[LTI],tblSafety[Date],$A268)</f>
        <v/>
      </c>
      <c r="FT268" s="62">
        <f>IF($B268=$B267,$FT267,0)+$FS268</f>
        <v/>
      </c>
      <c r="FU268" s="62">
        <f>$FU267+$FS268</f>
        <v/>
      </c>
      <c r="FV268" s="62">
        <f>SUMIFS(tblSafety[RWI],tblSafety[Date],$A268)</f>
        <v/>
      </c>
      <c r="FW268" s="62">
        <f>IF($B268=$B267,$FW267,0)+$FV268</f>
        <v/>
      </c>
      <c r="FX268" s="62">
        <f>$FX267+$FV268</f>
        <v/>
      </c>
      <c r="FY268" s="62">
        <f>SUMIFS(tblSafety[MTI],tblSafety[Date],$A268)</f>
        <v/>
      </c>
      <c r="FZ268" s="62">
        <f>IF($B268=$B267,$FZ267,0)+$FY268</f>
        <v/>
      </c>
      <c r="GA268" s="62">
        <f>$GA267+$FY268</f>
        <v/>
      </c>
      <c r="GB268" s="62">
        <f>SUMIFS(tblSafety[FAI],tblSafety[Date],$A268)</f>
        <v/>
      </c>
      <c r="GC268" s="62">
        <f>IF($B268=$B267,$GC267,0)+$GB268</f>
        <v/>
      </c>
      <c r="GD268" s="62">
        <f>$GD267+$GB268</f>
        <v/>
      </c>
      <c r="GE268" s="62">
        <f>SUMIFS(tblSafety[Recordables],tblSafety[Date],$A268)</f>
        <v/>
      </c>
      <c r="GF268" s="62">
        <f>IF($B268=$B267,$GF267,0)+$GE268</f>
        <v/>
      </c>
      <c r="GG268" s="62">
        <f>$GG267+$GE268</f>
        <v/>
      </c>
      <c r="GH268" s="62">
        <f>SUMIFS(tblSafety[Near_Miss],tblSafety[Date],$A268)</f>
        <v/>
      </c>
      <c r="GI268" s="62">
        <f>IF($B268=$B267,$GI267,0)+$GH268</f>
        <v/>
      </c>
      <c r="GJ268" s="62">
        <f>$GJ267+$GH268</f>
        <v/>
      </c>
      <c r="GK268" s="62">
        <f>SUMIFS(tblSafety[Hazard_Reports],tblSafety[Date],$A268)</f>
        <v/>
      </c>
      <c r="GL268" s="62">
        <f>IF($B268=$B267,$GL267,0)+$GK268</f>
        <v/>
      </c>
      <c r="GM268" s="62">
        <f>$GM267+$GK268</f>
        <v/>
      </c>
      <c r="GN268" s="62">
        <f>SUMIFS(tblSafety[HPI],tblSafety[Date],$A268)</f>
        <v/>
      </c>
      <c r="GO268" s="62">
        <f>IF($B268=$B267,$GO267,0)+$GN268</f>
        <v/>
      </c>
      <c r="GP268" s="62">
        <f>$GP267+$GN268</f>
        <v/>
      </c>
      <c r="GQ268" s="62">
        <f>SUMIFS(tblSafety[Env_Incidents],tblSafety[Date],$A268)</f>
        <v/>
      </c>
      <c r="GR268" s="62">
        <f>IF($B268=$B267,$GR267,0)+$GQ268</f>
        <v/>
      </c>
      <c r="GS268" s="62">
        <f>$GS267+$GQ268</f>
        <v/>
      </c>
      <c r="GT268" s="62">
        <f>SUMIFS(tblSafety[Community_Incidents],tblSafety[Date],$A268)</f>
        <v/>
      </c>
      <c r="GU268" s="62">
        <f>IF($B268=$B267,$GU267,0)+$GT268</f>
        <v/>
      </c>
      <c r="GV268" s="62">
        <f>$GV267+$GT268</f>
        <v/>
      </c>
      <c r="GW268" s="62">
        <f>SUMIFS(tblSafety[Vehicle_Incidents],tblSafety[Date],$A268)</f>
        <v/>
      </c>
      <c r="GX268" s="62">
        <f>IF($B268=$B267,$GX267,0)+$GW268</f>
        <v/>
      </c>
      <c r="GY268" s="62">
        <f>$GY267+$GW268</f>
        <v/>
      </c>
      <c r="GZ268" s="62">
        <f>SUMIFS(tblSafety[Toolbox_Talks],tblSafety[Date],$A268)</f>
        <v/>
      </c>
      <c r="HA268" s="62">
        <f>IF($B268=$B267,$HA267,0)+$GZ268</f>
        <v/>
      </c>
      <c r="HB268" s="62">
        <f>$HB267+$GZ268</f>
        <v/>
      </c>
      <c r="HC268" s="62">
        <f>SUMIFS(tblSafety[Inspections],tblSafety[Date],$A268)</f>
        <v/>
      </c>
      <c r="HD268" s="62">
        <f>IF($B268=$B267,$HD267,0)+$HC268</f>
        <v/>
      </c>
      <c r="HE268" s="62">
        <f>$HE267+$HC268</f>
        <v/>
      </c>
      <c r="HF268" s="56">
        <f>IFERROR((SUMIFS(tblSafety[Recordables],tblSafety[Date],"&gt;="&amp;EDATE($E268,-12),tblSafety[Date],"&lt;="&amp;$A268)+SUMIFS(tblSafetyHistory[Recordables],tblSafetyHistory[Month],"&gt;="&amp;EDATE($E268,-12),tblSafetyHistory[Month],"&lt;"&amp;cfg_YearStart))/(SUMIFS(tblSafety[Hours_Total],tblSafety[Date],"&gt;="&amp;EDATE($E268,-12),tblSafety[Date],"&lt;="&amp;$A268)+SUMIFS(tblSafetyHistory[Hours_Total],tblSafetyHistory[Month],"&gt;="&amp;EDATE($E268,-12),tblSafetyHistory[Month],"&lt;"&amp;cfg_YearStart))*1000000,"")</f>
        <v/>
      </c>
      <c r="HG268" s="56">
        <f>IFERROR((SUMIFS(tblSafety[LTI],tblSafety[Date],"&gt;="&amp;EDATE($E268,-12),tblSafety[Date],"&lt;="&amp;$A268)+SUMIFS(tblSafetyHistory[LTI],tblSafetyHistory[Month],"&gt;="&amp;EDATE($E268,-12),tblSafetyHistory[Month],"&lt;"&amp;cfg_YearStart))/(SUMIFS(tblSafety[Hours_Total],tblSafety[Date],"&gt;="&amp;EDATE($E268,-12),tblSafety[Date],"&lt;="&amp;$A268)+SUMIFS(tblSafetyHistory[Hours_Total],tblSafetyHistory[Month],"&gt;="&amp;EDATE($E268,-12),tblSafetyHistory[Month],"&lt;"&amp;cfg_YearStart))*1000000,"")</f>
        <v/>
      </c>
      <c r="HH268" s="62">
        <f>IF(MAX(N(cfg_PriorLTIDate),_xlfn.MAXIFS(tblSafety[Date],tblSafety[LTI],"&gt;0",tblSafety[Date],"&lt;="&amp;$A268))=0,"",$A268-MAX(N(cfg_PriorLTIDate),_xlfn.MAXIFS(tblSafety[Date],tblSafety[LTI],"&gt;0",tblSafety[Date],"&lt;="&amp;$A268)))</f>
        <v/>
      </c>
      <c r="HI268" s="55">
        <f>SUMIFS(tblBudget[Ore_Mined_t],tblBudget[Month],$E268)</f>
        <v/>
      </c>
      <c r="HJ268" s="55">
        <f>$HI268*$C268/$D268</f>
        <v/>
      </c>
      <c r="HK268" s="55">
        <f>SUMIFS(tblBudget[Ore_Mined_t],tblBudget[Month],"&lt;"&amp;$E268)+$HJ268</f>
        <v/>
      </c>
      <c r="HL268" s="55">
        <f>SUMIFS(tblBudget[Ore_oz],tblBudget[Month],$E268)</f>
        <v/>
      </c>
      <c r="HM268" s="55">
        <f>$HL268*$C268/$D268</f>
        <v/>
      </c>
      <c r="HN268" s="55">
        <f>SUMIFS(tblBudget[Ore_oz],tblBudget[Month],"&lt;"&amp;$E268)+$HM268</f>
        <v/>
      </c>
      <c r="HO268" s="56">
        <f>IFERROR(IF(($HI268)&gt;0,($HL268*cfg_TroyOz)/($HI268),""),"")</f>
        <v/>
      </c>
      <c r="HP268" s="56">
        <f>IFERROR(IF(($HJ268)&gt;0,($HM268*cfg_TroyOz)/($HJ268),""),"")</f>
        <v/>
      </c>
      <c r="HQ268" s="56">
        <f>IFERROR(IF(($HK268)&gt;0,($HN268*cfg_TroyOz)/($HK268),""),"")</f>
        <v/>
      </c>
      <c r="HR268" s="55">
        <f>SUMIFS(tblBudget[Waste_t],tblBudget[Month],$E268)</f>
        <v/>
      </c>
      <c r="HS268" s="55">
        <f>$HR268*$C268/$D268</f>
        <v/>
      </c>
      <c r="HT268" s="55">
        <f>SUMIFS(tblBudget[Waste_t],tblBudget[Month],"&lt;"&amp;$E268)+$HS268</f>
        <v/>
      </c>
      <c r="HU268" s="55">
        <f>SUMIFS(tblBudget[TMM_t],tblBudget[Month],$E268)</f>
        <v/>
      </c>
      <c r="HV268" s="55">
        <f>$HU268*$C268/$D268</f>
        <v/>
      </c>
      <c r="HW268" s="55">
        <f>SUMIFS(tblBudget[TMM_t],tblBudget[Month],"&lt;"&amp;$E268)+$HV268</f>
        <v/>
      </c>
      <c r="HX268" s="56">
        <f>IFERROR(IF(($HI268)&gt;0,($HR268)/($HI268),""),"")</f>
        <v/>
      </c>
      <c r="HY268" s="56">
        <f>IFERROR(IF(($HJ268)&gt;0,($HS268)/($HJ268),""),"")</f>
        <v/>
      </c>
      <c r="HZ268" s="56">
        <f>IFERROR(IF(($HK268)&gt;0,($HT268)/($HK268),""),"")</f>
        <v/>
      </c>
      <c r="IA268" s="55">
        <f>SUMIFS(tblBudget[Drill_m],tblBudget[Month],$E268)</f>
        <v/>
      </c>
      <c r="IB268" s="55">
        <f>$IA268*$C268/$D268</f>
        <v/>
      </c>
      <c r="IC268" s="55">
        <f>SUMIFS(tblBudget[Drill_m],tblBudget[Month],"&lt;"&amp;$E268)+$IB268</f>
        <v/>
      </c>
      <c r="ID268" s="55">
        <f>SUMIFS(tblBudget[Diesel_L],tblBudget[Month],$E268)</f>
        <v/>
      </c>
      <c r="IE268" s="55">
        <f>$ID268*$C268/$D268</f>
        <v/>
      </c>
      <c r="IF268" s="55">
        <f>SUMIFS(tblBudget[Diesel_L],tblBudget[Month],"&lt;"&amp;$E268)+$IE268</f>
        <v/>
      </c>
      <c r="IG268" s="55">
        <f>SUMIFS(tblBudget[Milled_t],tblBudget[Month],$E268)</f>
        <v/>
      </c>
      <c r="IH268" s="55">
        <f>$IG268*$C268/$D268</f>
        <v/>
      </c>
      <c r="II268" s="55">
        <f>SUMIFS(tblBudget[Milled_t],tblBudget[Month],"&lt;"&amp;$E268)+$IH268</f>
        <v/>
      </c>
      <c r="IJ268" s="55">
        <f>SUMIFS(tblBudget[Feed_oz],tblBudget[Month],$E268)</f>
        <v/>
      </c>
      <c r="IK268" s="55">
        <f>$IJ268*$C268/$D268</f>
        <v/>
      </c>
      <c r="IL268" s="55">
        <f>SUMIFS(tblBudget[Feed_oz],tblBudget[Month],"&lt;"&amp;$E268)+$IK268</f>
        <v/>
      </c>
      <c r="IM268" s="55">
        <f>SUMIFS(tblBudget[Recovered_oz],tblBudget[Month],$E268)</f>
        <v/>
      </c>
      <c r="IN268" s="55">
        <f>$IM268*$C268/$D268</f>
        <v/>
      </c>
      <c r="IO268" s="55">
        <f>SUMIFS(tblBudget[Recovered_oz],tblBudget[Month],"&lt;"&amp;$E268)+$IN268</f>
        <v/>
      </c>
      <c r="IP268" s="56">
        <f>IFERROR(IF(($IG268)&gt;0,($IJ268*cfg_TroyOz)/($IG268),""),"")</f>
        <v/>
      </c>
      <c r="IQ268" s="56">
        <f>IFERROR(IF(($IH268)&gt;0,($IK268*cfg_TroyOz)/($IH268),""),"")</f>
        <v/>
      </c>
      <c r="IR268" s="56">
        <f>IFERROR(IF(($II268)&gt;0,($IL268*cfg_TroyOz)/($II268),""),"")</f>
        <v/>
      </c>
      <c r="IS268" s="67">
        <f>IFERROR(IF(($IJ268)&gt;0,($IM268)/($IJ268),""),"")</f>
        <v/>
      </c>
      <c r="IT268" s="67">
        <f>IFERROR(IF(($IK268)&gt;0,($IN268)/($IK268),""),"")</f>
        <v/>
      </c>
      <c r="IU268" s="67">
        <f>IFERROR(IF(($IL268)&gt;0,($IO268)/($IL268),""),"")</f>
        <v/>
      </c>
      <c r="IV268" s="55">
        <f>SUMIFS(tblBudget[Gold_Poured_oz],tblBudget[Month],$E268)</f>
        <v/>
      </c>
      <c r="IW268" s="55">
        <f>$IV268*$C268/$D268</f>
        <v/>
      </c>
      <c r="IX268" s="55">
        <f>SUMIFS(tblBudget[Gold_Poured_oz],tblBudget[Month],"&lt;"&amp;$E268)+$IW268</f>
        <v/>
      </c>
      <c r="IY268" s="57">
        <f>SUMIFS(tblBudget[Hours_Worked],tblBudget[Month],$E268)</f>
        <v/>
      </c>
      <c r="IZ268" s="57">
        <f>$IY268*$C268/$D268</f>
        <v/>
      </c>
      <c r="JA268" s="57">
        <f>SUMIFS(tblBudget[Hours_Worked],tblBudget[Month],"&lt;"&amp;$E268)+$IZ268</f>
        <v/>
      </c>
    </row>
    <row r="269">
      <c r="A269" s="54" t="n">
        <v>46290</v>
      </c>
      <c r="B269">
        <f>MONTH($A269)</f>
        <v/>
      </c>
      <c r="C269">
        <f>DAY($A269)</f>
        <v/>
      </c>
      <c r="D269">
        <f>DAY(EOMONTH($A269,0))</f>
        <v/>
      </c>
      <c r="E269" s="54">
        <f>DATE(YEAR($A269),MONTH($A269),1)</f>
        <v/>
      </c>
      <c r="F269" s="55">
        <f>SUMIFS(tblMovement[Tonnes_t],tblMovement[Date],$A269,tblMovement[Is_Ore],1,tblMovement[Source_Type],"Pit")</f>
        <v/>
      </c>
      <c r="G269" s="55">
        <f>IF($B269=$B268,$G268,0)+$F269</f>
        <v/>
      </c>
      <c r="H269" s="55">
        <f>$H268+$F269</f>
        <v/>
      </c>
      <c r="I269" s="55">
        <f>SUMIFS(tblMovement[Ore_oz],tblMovement[Date],$A269,tblMovement[Source_Type],"Pit")</f>
        <v/>
      </c>
      <c r="J269" s="55">
        <f>IF($B269=$B268,$J268,0)+$I269</f>
        <v/>
      </c>
      <c r="K269" s="55">
        <f>$K268+$I269</f>
        <v/>
      </c>
      <c r="L269" s="56">
        <f>IFERROR(IF(($F269)&gt;0,($I269*cfg_TroyOz)/($F269),""),"")</f>
        <v/>
      </c>
      <c r="M269" s="56">
        <f>IFERROR(IF(($G269)&gt;0,($J269*cfg_TroyOz)/($G269),""),"")</f>
        <v/>
      </c>
      <c r="N269" s="56">
        <f>IFERROR(IF(($H269)&gt;0,($K269*cfg_TroyOz)/($H269),""),"")</f>
        <v/>
      </c>
      <c r="O269" s="55">
        <f>SUMIFS(tblMovement[Tonnes_t],tblMovement[Date],$A269,tblMovement[Is_Ore],0,tblMovement[Source_Type],"Pit")</f>
        <v/>
      </c>
      <c r="P269" s="55">
        <f>IF($B269=$B268,$P268,0)+$O269</f>
        <v/>
      </c>
      <c r="Q269" s="55">
        <f>$Q268+$O269</f>
        <v/>
      </c>
      <c r="R269" s="55">
        <f>$F269+$O269</f>
        <v/>
      </c>
      <c r="S269" s="55">
        <f>IF($B269=$B268,$S268,0)+$R269</f>
        <v/>
      </c>
      <c r="T269" s="55">
        <f>$T268+$R269</f>
        <v/>
      </c>
      <c r="U269" s="56">
        <f>IFERROR(IF(($F269)&gt;0,($O269)/($F269),""),"")</f>
        <v/>
      </c>
      <c r="V269" s="56">
        <f>IFERROR(IF(($G269)&gt;0,($P269)/($G269),""),"")</f>
        <v/>
      </c>
      <c r="W269" s="56">
        <f>IFERROR(IF(($H269)&gt;0,($Q269)/($H269),""),"")</f>
        <v/>
      </c>
      <c r="X269" s="55">
        <f>SUMIFS(tblMovement[Tonnes_t],tblMovement[Date],$A269,tblMovement[Source_Type],"Stockpile")</f>
        <v/>
      </c>
      <c r="Y269" s="55">
        <f>IF($B269=$B268,$Y268,0)+$X269</f>
        <v/>
      </c>
      <c r="Z269" s="55">
        <f>$Z268+$X269</f>
        <v/>
      </c>
      <c r="AA269" s="55">
        <f>SUMIFS(tblMiningDaily[Drill_m],tblMiningDaily[Date],$A269)</f>
        <v/>
      </c>
      <c r="AB269" s="55">
        <f>IF($B269=$B268,$AB268,0)+$AA269</f>
        <v/>
      </c>
      <c r="AC269" s="55">
        <f>$AC268+$AA269</f>
        <v/>
      </c>
      <c r="AD269" s="55">
        <f>SUMIFS(tblMiningDaily[Blast_t],tblMiningDaily[Date],$A269)</f>
        <v/>
      </c>
      <c r="AE269" s="55">
        <f>IF($B269=$B268,$AE268,0)+$AD269</f>
        <v/>
      </c>
      <c r="AF269" s="55">
        <f>$AF268+$AD269</f>
        <v/>
      </c>
      <c r="AG269" s="55">
        <f>SUMIFS(tblMiningDaily[Explosives_kg],tblMiningDaily[Date],$A269)</f>
        <v/>
      </c>
      <c r="AH269" s="55">
        <f>IF($B269=$B268,$AH268,0)+$AG269</f>
        <v/>
      </c>
      <c r="AI269" s="55">
        <f>$AI268+$AG269</f>
        <v/>
      </c>
      <c r="AJ269" s="56">
        <f>IFERROR(IF(($AD269)&gt;0,($AG269)/($AD269),""),"")</f>
        <v/>
      </c>
      <c r="AK269" s="56">
        <f>IFERROR(IF(($AE269)&gt;0,($AH269)/($AE269),""),"")</f>
        <v/>
      </c>
      <c r="AL269" s="56">
        <f>IFERROR(IF(($AF269)&gt;0,($AI269)/($AF269),""),"")</f>
        <v/>
      </c>
      <c r="AM269" s="55">
        <f>SUMIFS(tblMiningDaily[Diesel_L],tblMiningDaily[Date],$A269)</f>
        <v/>
      </c>
      <c r="AN269" s="55">
        <f>IF($B269=$B268,$AN268,0)+$AM269</f>
        <v/>
      </c>
      <c r="AO269" s="55">
        <f>$AO268+$AM269</f>
        <v/>
      </c>
      <c r="AP269" s="55">
        <f>SUMIFS(tblMiningDaily[Dewatering_m3],tblMiningDaily[Date],$A269)</f>
        <v/>
      </c>
      <c r="AQ269" s="55">
        <f>IF($B269=$B268,$AQ268,0)+$AP269</f>
        <v/>
      </c>
      <c r="AR269" s="55">
        <f>$AR268+$AP269</f>
        <v/>
      </c>
      <c r="AS269" s="57">
        <f>SUMIFS(tblFleet[Calendar_h],tblFleet[Date],$A269,tblFleet[Equipment_Class],"Excavator")</f>
        <v/>
      </c>
      <c r="AT269" s="57">
        <f>IF($B269=$B268,$AT268,0)+$AS269</f>
        <v/>
      </c>
      <c r="AU269" s="57">
        <f>$AU268+$AS269</f>
        <v/>
      </c>
      <c r="AV269" s="57">
        <f>SUMIFS(tblFleet[Available_h],tblFleet[Date],$A269,tblFleet[Equipment_Class],"Excavator")</f>
        <v/>
      </c>
      <c r="AW269" s="57">
        <f>IF($B269=$B268,$AW268,0)+$AV269</f>
        <v/>
      </c>
      <c r="AX269" s="57">
        <f>$AX268+$AV269</f>
        <v/>
      </c>
      <c r="AY269" s="57">
        <f>SUMIFS(tblFleet[Operating_h],tblFleet[Date],$A269,tblFleet[Equipment_Class],"Excavator")</f>
        <v/>
      </c>
      <c r="AZ269" s="57">
        <f>IF($B269=$B268,$AZ268,0)+$AY269</f>
        <v/>
      </c>
      <c r="BA269" s="57">
        <f>$BA268+$AY269</f>
        <v/>
      </c>
      <c r="BB269" s="67">
        <f>IFERROR(IF(($AS269)&gt;0,($AV269)/($AS269),""),"")</f>
        <v/>
      </c>
      <c r="BC269" s="67">
        <f>IFERROR(IF(($AT269)&gt;0,($AW269)/($AT269),""),"")</f>
        <v/>
      </c>
      <c r="BD269" s="67">
        <f>IFERROR(IF(($AU269)&gt;0,($AX269)/($AU269),""),"")</f>
        <v/>
      </c>
      <c r="BE269" s="67">
        <f>IFERROR(IF(($AV269)&gt;0,($AY269)/($AV269),""),"")</f>
        <v/>
      </c>
      <c r="BF269" s="67">
        <f>IFERROR(IF(($AW269)&gt;0,($AZ269)/($AW269),""),"")</f>
        <v/>
      </c>
      <c r="BG269" s="67">
        <f>IFERROR(IF(($AX269)&gt;0,($BA269)/($AX269),""),"")</f>
        <v/>
      </c>
      <c r="BH269" s="57">
        <f>SUMIFS(tblFleet[Calendar_h],tblFleet[Date],$A269,tblFleet[Equipment_Class],"Haul Truck")</f>
        <v/>
      </c>
      <c r="BI269" s="57">
        <f>IF($B269=$B268,$BI268,0)+$BH269</f>
        <v/>
      </c>
      <c r="BJ269" s="57">
        <f>$BJ268+$BH269</f>
        <v/>
      </c>
      <c r="BK269" s="57">
        <f>SUMIFS(tblFleet[Available_h],tblFleet[Date],$A269,tblFleet[Equipment_Class],"Haul Truck")</f>
        <v/>
      </c>
      <c r="BL269" s="57">
        <f>IF($B269=$B268,$BL268,0)+$BK269</f>
        <v/>
      </c>
      <c r="BM269" s="57">
        <f>$BM268+$BK269</f>
        <v/>
      </c>
      <c r="BN269" s="57">
        <f>SUMIFS(tblFleet[Operating_h],tblFleet[Date],$A269,tblFleet[Equipment_Class],"Haul Truck")</f>
        <v/>
      </c>
      <c r="BO269" s="57">
        <f>IF($B269=$B268,$BO268,0)+$BN269</f>
        <v/>
      </c>
      <c r="BP269" s="57">
        <f>$BP268+$BN269</f>
        <v/>
      </c>
      <c r="BQ269" s="67">
        <f>IFERROR(IF(($BH269)&gt;0,($BK269)/($BH269),""),"")</f>
        <v/>
      </c>
      <c r="BR269" s="67">
        <f>IFERROR(IF(($BI269)&gt;0,($BL269)/($BI269),""),"")</f>
        <v/>
      </c>
      <c r="BS269" s="67">
        <f>IFERROR(IF(($BJ269)&gt;0,($BM269)/($BJ269),""),"")</f>
        <v/>
      </c>
      <c r="BT269" s="67">
        <f>IFERROR(IF(($BK269)&gt;0,($BN269)/($BK269),""),"")</f>
        <v/>
      </c>
      <c r="BU269" s="67">
        <f>IFERROR(IF(($BL269)&gt;0,($BO269)/($BL269),""),"")</f>
        <v/>
      </c>
      <c r="BV269" s="67">
        <f>IFERROR(IF(($BM269)&gt;0,($BP269)/($BM269),""),"")</f>
        <v/>
      </c>
      <c r="BW269" s="55">
        <f>SUMIFS(tblPlant[Crushed_t],tblPlant[Date],$A269)</f>
        <v/>
      </c>
      <c r="BX269" s="55">
        <f>IF($B269=$B268,$BX268,0)+$BW269</f>
        <v/>
      </c>
      <c r="BY269" s="55">
        <f>$BY268+$BW269</f>
        <v/>
      </c>
      <c r="BZ269" s="55">
        <f>SUMIFS(tblPlant[Milled_t],tblPlant[Date],$A269)</f>
        <v/>
      </c>
      <c r="CA269" s="55">
        <f>IF($B269=$B268,$CA268,0)+$BZ269</f>
        <v/>
      </c>
      <c r="CB269" s="55">
        <f>$CB268+$BZ269</f>
        <v/>
      </c>
      <c r="CC269" s="55">
        <f>SUMIFS(tblPlant[Feed_oz],tblPlant[Date],$A269)</f>
        <v/>
      </c>
      <c r="CD269" s="55">
        <f>IF($B269=$B268,$CD268,0)+$CC269</f>
        <v/>
      </c>
      <c r="CE269" s="55">
        <f>$CE268+$CC269</f>
        <v/>
      </c>
      <c r="CF269" s="55">
        <f>SUMIFS(tblPlant[Tails_oz],tblPlant[Date],$A269)</f>
        <v/>
      </c>
      <c r="CG269" s="55">
        <f>IF($B269=$B268,$CG268,0)+$CF269</f>
        <v/>
      </c>
      <c r="CH269" s="55">
        <f>$CH268+$CF269</f>
        <v/>
      </c>
      <c r="CI269" s="55">
        <f>SUMIFS(tblPlant[Recovered_oz],tblPlant[Date],$A269)</f>
        <v/>
      </c>
      <c r="CJ269" s="55">
        <f>IF($B269=$B268,$CJ268,0)+$CI269</f>
        <v/>
      </c>
      <c r="CK269" s="55">
        <f>$CK268+$CI269</f>
        <v/>
      </c>
      <c r="CL269" s="56">
        <f>IFERROR(IF(($BZ269)&gt;0,($CC269*cfg_TroyOz)/($BZ269),""),"")</f>
        <v/>
      </c>
      <c r="CM269" s="56">
        <f>IFERROR(IF(($CA269)&gt;0,($CD269*cfg_TroyOz)/($CA269),""),"")</f>
        <v/>
      </c>
      <c r="CN269" s="56">
        <f>IFERROR(IF(($CB269)&gt;0,($CE269*cfg_TroyOz)/($CB269),""),"")</f>
        <v/>
      </c>
      <c r="CO269" s="56">
        <f>IFERROR(IF(($BZ269)&gt;0,($CF269*cfg_TroyOz)/($BZ269),""),"")</f>
        <v/>
      </c>
      <c r="CP269" s="56">
        <f>IFERROR(IF(($CA269)&gt;0,($CG269*cfg_TroyOz)/($CA269),""),"")</f>
        <v/>
      </c>
      <c r="CQ269" s="56">
        <f>IFERROR(IF(($CB269)&gt;0,($CH269*cfg_TroyOz)/($CB269),""),"")</f>
        <v/>
      </c>
      <c r="CR269" s="67">
        <f>IFERROR(IF(($CC269)&gt;0,($CI269)/($CC269),""),"")</f>
        <v/>
      </c>
      <c r="CS269" s="67">
        <f>IFERROR(IF(($CD269)&gt;0,($CJ269)/($CD269),""),"")</f>
        <v/>
      </c>
      <c r="CT269" s="67">
        <f>IFERROR(IF(($CE269)&gt;0,($CK269)/($CE269),""),"")</f>
        <v/>
      </c>
      <c r="CU269" s="55">
        <f>SUMIFS(tblPlant[Gravity_Gold_oz],tblPlant[Date],$A269)</f>
        <v/>
      </c>
      <c r="CV269" s="55">
        <f>IF($B269=$B268,$CV268,0)+$CU269</f>
        <v/>
      </c>
      <c r="CW269" s="55">
        <f>$CW268+$CU269</f>
        <v/>
      </c>
      <c r="CX269" s="55">
        <f>SUMIFS(tblPlant[Gold_Poured_oz],tblPlant[Date],$A269)</f>
        <v/>
      </c>
      <c r="CY269" s="55">
        <f>IF($B269=$B268,$CY268,0)+$CX269</f>
        <v/>
      </c>
      <c r="CZ269" s="55">
        <f>$CZ268+$CX269</f>
        <v/>
      </c>
      <c r="DA269" s="57">
        <f>SUMIFS(tblPlant[Mill_Run_h],tblPlant[Date],$A269)</f>
        <v/>
      </c>
      <c r="DB269" s="57">
        <f>IF($B269=$B268,$DB268,0)+$DA269</f>
        <v/>
      </c>
      <c r="DC269" s="57">
        <f>$DC268+$DA269</f>
        <v/>
      </c>
      <c r="DD269" s="57">
        <f>SUMIFS(tblPlant[Mill_Planned_Maint_h],tblPlant[Date],$A269)</f>
        <v/>
      </c>
      <c r="DE269" s="57">
        <f>IF($B269=$B268,$DE268,0)+$DD269</f>
        <v/>
      </c>
      <c r="DF269" s="57">
        <f>$DF268+$DD269</f>
        <v/>
      </c>
      <c r="DG269" s="57">
        <f>SUMIFS(tblPlant[Mill_Unplanned_Down_h],tblPlant[Date],$A269)</f>
        <v/>
      </c>
      <c r="DH269" s="57">
        <f>IF($B269=$B268,$DH268,0)+$DG269</f>
        <v/>
      </c>
      <c r="DI269" s="57">
        <f>$DI268+$DG269</f>
        <v/>
      </c>
      <c r="DJ269" s="57">
        <f>COUNTIFS(tblPlant[Date],$A269,tblPlant[Mill_Run_h],"&lt;&gt;")*24</f>
        <v/>
      </c>
      <c r="DK269" s="57">
        <f>IF($B269=$B268,$DK268,0)+$DJ269</f>
        <v/>
      </c>
      <c r="DL269" s="57">
        <f>$DL268+$DJ269</f>
        <v/>
      </c>
      <c r="DM269" s="57">
        <f>SUMIFS(tblPlant[Crusher_Run_h],tblPlant[Date],$A269)</f>
        <v/>
      </c>
      <c r="DN269" s="57">
        <f>IF($B269=$B268,$DN268,0)+$DM269</f>
        <v/>
      </c>
      <c r="DO269" s="57">
        <f>$DO268+$DM269</f>
        <v/>
      </c>
      <c r="DP269" s="55">
        <f>IFERROR(IF(($DA269)&gt;0,($BZ269)/($DA269),""),"")</f>
        <v/>
      </c>
      <c r="DQ269" s="55">
        <f>IFERROR(IF(($DB269)&gt;0,($CA269)/($DB269),""),"")</f>
        <v/>
      </c>
      <c r="DR269" s="55">
        <f>IFERROR(IF(($DC269)&gt;0,($CB269)/($DC269),""),"")</f>
        <v/>
      </c>
      <c r="DS269" s="67">
        <f>IFERROR(IF(($DJ269)&gt;0,($DJ269-$DD269-$DG269)/($DJ269),""),"")</f>
        <v/>
      </c>
      <c r="DT269" s="67">
        <f>IFERROR(IF(($DK269)&gt;0,($DK269-$DE269-$DH269)/($DK269),""),"")</f>
        <v/>
      </c>
      <c r="DU269" s="67">
        <f>IFERROR(IF(($DL269)&gt;0,($DL269-$DF269-$DI269)/($DL269),""),"")</f>
        <v/>
      </c>
      <c r="DV269" s="67">
        <f>IFERROR(IF(($DJ269-$DD269-$DG269)&gt;0,($DA269)/($DJ269-$DD269-$DG269),""),"")</f>
        <v/>
      </c>
      <c r="DW269" s="67">
        <f>IFERROR(IF(($DK269-$DE269-$DH269)&gt;0,($DB269)/($DK269-$DE269-$DH269),""),"")</f>
        <v/>
      </c>
      <c r="DX269" s="67">
        <f>IFERROR(IF(($DL269-$DF269-$DI269)&gt;0,($DC269)/($DL269-$DF269-$DI269),""),"")</f>
        <v/>
      </c>
      <c r="DY269" s="55">
        <f>SUMIFS(tblPlant[Cyanide_kg],tblPlant[Date],$A269)</f>
        <v/>
      </c>
      <c r="DZ269" s="55">
        <f>IF($B269=$B268,$DZ268,0)+$DY269</f>
        <v/>
      </c>
      <c r="EA269" s="55">
        <f>$EA268+$DY269</f>
        <v/>
      </c>
      <c r="EB269" s="55">
        <f>SUMIFS(tblPlant[Lime_kg],tblPlant[Date],$A269)</f>
        <v/>
      </c>
      <c r="EC269" s="55">
        <f>IF($B269=$B268,$EC268,0)+$EB269</f>
        <v/>
      </c>
      <c r="ED269" s="55">
        <f>$ED268+$EB269</f>
        <v/>
      </c>
      <c r="EE269" s="55">
        <f>SUMIFS(tblPlant[Grinding_Media_kg],tblPlant[Date],$A269)</f>
        <v/>
      </c>
      <c r="EF269" s="55">
        <f>IF($B269=$B268,$EF268,0)+$EE269</f>
        <v/>
      </c>
      <c r="EG269" s="55">
        <f>$EG268+$EE269</f>
        <v/>
      </c>
      <c r="EH269" s="55">
        <f>SUMIFS(tblPlant[Power_kWh],tblPlant[Date],$A269)</f>
        <v/>
      </c>
      <c r="EI269" s="55">
        <f>IF($B269=$B268,$EI268,0)+$EH269</f>
        <v/>
      </c>
      <c r="EJ269" s="55">
        <f>$EJ268+$EH269</f>
        <v/>
      </c>
      <c r="EK269" s="55">
        <f>SUMIFS(tblPlant[Raw_Water_m3],tblPlant[Date],$A269)</f>
        <v/>
      </c>
      <c r="EL269" s="55">
        <f>IF($B269=$B268,$EL268,0)+$EK269</f>
        <v/>
      </c>
      <c r="EM269" s="55">
        <f>$EM268+$EK269</f>
        <v/>
      </c>
      <c r="EN269" s="56">
        <f>IFERROR(IF(($BZ269)&gt;0,($DY269)/($BZ269),""),"")</f>
        <v/>
      </c>
      <c r="EO269" s="56">
        <f>IFERROR(IF(($CA269)&gt;0,($DZ269)/($CA269),""),"")</f>
        <v/>
      </c>
      <c r="EP269" s="56">
        <f>IFERROR(IF(($CB269)&gt;0,($EA269)/($CB269),""),"")</f>
        <v/>
      </c>
      <c r="EQ269" s="56">
        <f>IFERROR(IF(($BZ269)&gt;0,($EB269)/($BZ269),""),"")</f>
        <v/>
      </c>
      <c r="ER269" s="56">
        <f>IFERROR(IF(($CA269)&gt;0,($EC269)/($CA269),""),"")</f>
        <v/>
      </c>
      <c r="ES269" s="56">
        <f>IFERROR(IF(($CB269)&gt;0,($ED269)/($CB269),""),"")</f>
        <v/>
      </c>
      <c r="ET269" s="56">
        <f>IFERROR(IF(($BZ269)&gt;0,($EE269)/($BZ269),""),"")</f>
        <v/>
      </c>
      <c r="EU269" s="56">
        <f>IFERROR(IF(($CA269)&gt;0,($EF269)/($CA269),""),"")</f>
        <v/>
      </c>
      <c r="EV269" s="56">
        <f>IFERROR(IF(($CB269)&gt;0,($EG269)/($CB269),""),"")</f>
        <v/>
      </c>
      <c r="EW269" s="76">
        <f>IFERROR(IF(($BZ269)&gt;0,($EH269)/($BZ269),""),"")</f>
        <v/>
      </c>
      <c r="EX269" s="76">
        <f>IFERROR(IF(($CA269)&gt;0,($EI269)/($CA269),""),"")</f>
        <v/>
      </c>
      <c r="EY269" s="76">
        <f>IFERROR(IF(($CB269)&gt;0,($EJ269)/($CB269),""),"")</f>
        <v/>
      </c>
      <c r="EZ269" s="56">
        <f>IFERROR(IF(($BZ269)&gt;0,($EK269)/($BZ269),""),"")</f>
        <v/>
      </c>
      <c r="FA269" s="56">
        <f>IFERROR(IF(($CA269)&gt;0,($EL269)/($CA269),""),"")</f>
        <v/>
      </c>
      <c r="FB269" s="56">
        <f>IFERROR(IF(($CB269)&gt;0,($EM269)/($CB269),""),"")</f>
        <v/>
      </c>
      <c r="FC269" s="55">
        <f>IF(SUMIFS(tblPlant[GIC_oz],tblPlant[Date],$A269)&gt;0,SUMIFS(tblPlant[GIC_oz],tblPlant[Date],$A269),"")</f>
        <v/>
      </c>
      <c r="FD269" s="55">
        <f>SUMIFS(tblGold[Gold_oz],tblGold[Date],$A269,tblGold[Type],"Shipment")</f>
        <v/>
      </c>
      <c r="FE269" s="55">
        <f>IF($B269=$B268,$FE268,0)+$FD269</f>
        <v/>
      </c>
      <c r="FF269" s="55">
        <f>$FF268+$FD269</f>
        <v/>
      </c>
      <c r="FG269" s="55">
        <f>SUMIFS(tblGold[Gold_oz],tblGold[Date],$A269,tblGold[Type],"Sale")</f>
        <v/>
      </c>
      <c r="FH269" s="55">
        <f>IF($B269=$B268,$FH268,0)+$FG269</f>
        <v/>
      </c>
      <c r="FI269" s="55">
        <f>$FI268+$FG269</f>
        <v/>
      </c>
      <c r="FJ269" s="55">
        <f>SUMIFS(tblGold[Dore_kg],tblGold[Date],$A269,tblGold[Type],"Shipment")</f>
        <v/>
      </c>
      <c r="FK269" s="55">
        <f>IF($B269=$B268,$FK268,0)+$FJ269</f>
        <v/>
      </c>
      <c r="FL269" s="55">
        <f>$FL268+$FJ269</f>
        <v/>
      </c>
      <c r="FM269" s="57">
        <f>SUMIFS(tblSafety[Hours_Total],tblSafety[Date],$A269)</f>
        <v/>
      </c>
      <c r="FN269" s="57">
        <f>IF($B269=$B268,$FN268,0)+$FM269</f>
        <v/>
      </c>
      <c r="FO269" s="57">
        <f>$FO268+$FM269</f>
        <v/>
      </c>
      <c r="FP269" s="62">
        <f>SUMIFS(tblSafety[Fatality],tblSafety[Date],$A269)</f>
        <v/>
      </c>
      <c r="FQ269" s="62">
        <f>IF($B269=$B268,$FQ268,0)+$FP269</f>
        <v/>
      </c>
      <c r="FR269" s="62">
        <f>$FR268+$FP269</f>
        <v/>
      </c>
      <c r="FS269" s="62">
        <f>SUMIFS(tblSafety[LTI],tblSafety[Date],$A269)</f>
        <v/>
      </c>
      <c r="FT269" s="62">
        <f>IF($B269=$B268,$FT268,0)+$FS269</f>
        <v/>
      </c>
      <c r="FU269" s="62">
        <f>$FU268+$FS269</f>
        <v/>
      </c>
      <c r="FV269" s="62">
        <f>SUMIFS(tblSafety[RWI],tblSafety[Date],$A269)</f>
        <v/>
      </c>
      <c r="FW269" s="62">
        <f>IF($B269=$B268,$FW268,0)+$FV269</f>
        <v/>
      </c>
      <c r="FX269" s="62">
        <f>$FX268+$FV269</f>
        <v/>
      </c>
      <c r="FY269" s="62">
        <f>SUMIFS(tblSafety[MTI],tblSafety[Date],$A269)</f>
        <v/>
      </c>
      <c r="FZ269" s="62">
        <f>IF($B269=$B268,$FZ268,0)+$FY269</f>
        <v/>
      </c>
      <c r="GA269" s="62">
        <f>$GA268+$FY269</f>
        <v/>
      </c>
      <c r="GB269" s="62">
        <f>SUMIFS(tblSafety[FAI],tblSafety[Date],$A269)</f>
        <v/>
      </c>
      <c r="GC269" s="62">
        <f>IF($B269=$B268,$GC268,0)+$GB269</f>
        <v/>
      </c>
      <c r="GD269" s="62">
        <f>$GD268+$GB269</f>
        <v/>
      </c>
      <c r="GE269" s="62">
        <f>SUMIFS(tblSafety[Recordables],tblSafety[Date],$A269)</f>
        <v/>
      </c>
      <c r="GF269" s="62">
        <f>IF($B269=$B268,$GF268,0)+$GE269</f>
        <v/>
      </c>
      <c r="GG269" s="62">
        <f>$GG268+$GE269</f>
        <v/>
      </c>
      <c r="GH269" s="62">
        <f>SUMIFS(tblSafety[Near_Miss],tblSafety[Date],$A269)</f>
        <v/>
      </c>
      <c r="GI269" s="62">
        <f>IF($B269=$B268,$GI268,0)+$GH269</f>
        <v/>
      </c>
      <c r="GJ269" s="62">
        <f>$GJ268+$GH269</f>
        <v/>
      </c>
      <c r="GK269" s="62">
        <f>SUMIFS(tblSafety[Hazard_Reports],tblSafety[Date],$A269)</f>
        <v/>
      </c>
      <c r="GL269" s="62">
        <f>IF($B269=$B268,$GL268,0)+$GK269</f>
        <v/>
      </c>
      <c r="GM269" s="62">
        <f>$GM268+$GK269</f>
        <v/>
      </c>
      <c r="GN269" s="62">
        <f>SUMIFS(tblSafety[HPI],tblSafety[Date],$A269)</f>
        <v/>
      </c>
      <c r="GO269" s="62">
        <f>IF($B269=$B268,$GO268,0)+$GN269</f>
        <v/>
      </c>
      <c r="GP269" s="62">
        <f>$GP268+$GN269</f>
        <v/>
      </c>
      <c r="GQ269" s="62">
        <f>SUMIFS(tblSafety[Env_Incidents],tblSafety[Date],$A269)</f>
        <v/>
      </c>
      <c r="GR269" s="62">
        <f>IF($B269=$B268,$GR268,0)+$GQ269</f>
        <v/>
      </c>
      <c r="GS269" s="62">
        <f>$GS268+$GQ269</f>
        <v/>
      </c>
      <c r="GT269" s="62">
        <f>SUMIFS(tblSafety[Community_Incidents],tblSafety[Date],$A269)</f>
        <v/>
      </c>
      <c r="GU269" s="62">
        <f>IF($B269=$B268,$GU268,0)+$GT269</f>
        <v/>
      </c>
      <c r="GV269" s="62">
        <f>$GV268+$GT269</f>
        <v/>
      </c>
      <c r="GW269" s="62">
        <f>SUMIFS(tblSafety[Vehicle_Incidents],tblSafety[Date],$A269)</f>
        <v/>
      </c>
      <c r="GX269" s="62">
        <f>IF($B269=$B268,$GX268,0)+$GW269</f>
        <v/>
      </c>
      <c r="GY269" s="62">
        <f>$GY268+$GW269</f>
        <v/>
      </c>
      <c r="GZ269" s="62">
        <f>SUMIFS(tblSafety[Toolbox_Talks],tblSafety[Date],$A269)</f>
        <v/>
      </c>
      <c r="HA269" s="62">
        <f>IF($B269=$B268,$HA268,0)+$GZ269</f>
        <v/>
      </c>
      <c r="HB269" s="62">
        <f>$HB268+$GZ269</f>
        <v/>
      </c>
      <c r="HC269" s="62">
        <f>SUMIFS(tblSafety[Inspections],tblSafety[Date],$A269)</f>
        <v/>
      </c>
      <c r="HD269" s="62">
        <f>IF($B269=$B268,$HD268,0)+$HC269</f>
        <v/>
      </c>
      <c r="HE269" s="62">
        <f>$HE268+$HC269</f>
        <v/>
      </c>
      <c r="HF269" s="56">
        <f>IFERROR((SUMIFS(tblSafety[Recordables],tblSafety[Date],"&gt;="&amp;EDATE($E269,-12),tblSafety[Date],"&lt;="&amp;$A269)+SUMIFS(tblSafetyHistory[Recordables],tblSafetyHistory[Month],"&gt;="&amp;EDATE($E269,-12),tblSafetyHistory[Month],"&lt;"&amp;cfg_YearStart))/(SUMIFS(tblSafety[Hours_Total],tblSafety[Date],"&gt;="&amp;EDATE($E269,-12),tblSafety[Date],"&lt;="&amp;$A269)+SUMIFS(tblSafetyHistory[Hours_Total],tblSafetyHistory[Month],"&gt;="&amp;EDATE($E269,-12),tblSafetyHistory[Month],"&lt;"&amp;cfg_YearStart))*1000000,"")</f>
        <v/>
      </c>
      <c r="HG269" s="56">
        <f>IFERROR((SUMIFS(tblSafety[LTI],tblSafety[Date],"&gt;="&amp;EDATE($E269,-12),tblSafety[Date],"&lt;="&amp;$A269)+SUMIFS(tblSafetyHistory[LTI],tblSafetyHistory[Month],"&gt;="&amp;EDATE($E269,-12),tblSafetyHistory[Month],"&lt;"&amp;cfg_YearStart))/(SUMIFS(tblSafety[Hours_Total],tblSafety[Date],"&gt;="&amp;EDATE($E269,-12),tblSafety[Date],"&lt;="&amp;$A269)+SUMIFS(tblSafetyHistory[Hours_Total],tblSafetyHistory[Month],"&gt;="&amp;EDATE($E269,-12),tblSafetyHistory[Month],"&lt;"&amp;cfg_YearStart))*1000000,"")</f>
        <v/>
      </c>
      <c r="HH269" s="62">
        <f>IF(MAX(N(cfg_PriorLTIDate),_xlfn.MAXIFS(tblSafety[Date],tblSafety[LTI],"&gt;0",tblSafety[Date],"&lt;="&amp;$A269))=0,"",$A269-MAX(N(cfg_PriorLTIDate),_xlfn.MAXIFS(tblSafety[Date],tblSafety[LTI],"&gt;0",tblSafety[Date],"&lt;="&amp;$A269)))</f>
        <v/>
      </c>
      <c r="HI269" s="55">
        <f>SUMIFS(tblBudget[Ore_Mined_t],tblBudget[Month],$E269)</f>
        <v/>
      </c>
      <c r="HJ269" s="55">
        <f>$HI269*$C269/$D269</f>
        <v/>
      </c>
      <c r="HK269" s="55">
        <f>SUMIFS(tblBudget[Ore_Mined_t],tblBudget[Month],"&lt;"&amp;$E269)+$HJ269</f>
        <v/>
      </c>
      <c r="HL269" s="55">
        <f>SUMIFS(tblBudget[Ore_oz],tblBudget[Month],$E269)</f>
        <v/>
      </c>
      <c r="HM269" s="55">
        <f>$HL269*$C269/$D269</f>
        <v/>
      </c>
      <c r="HN269" s="55">
        <f>SUMIFS(tblBudget[Ore_oz],tblBudget[Month],"&lt;"&amp;$E269)+$HM269</f>
        <v/>
      </c>
      <c r="HO269" s="56">
        <f>IFERROR(IF(($HI269)&gt;0,($HL269*cfg_TroyOz)/($HI269),""),"")</f>
        <v/>
      </c>
      <c r="HP269" s="56">
        <f>IFERROR(IF(($HJ269)&gt;0,($HM269*cfg_TroyOz)/($HJ269),""),"")</f>
        <v/>
      </c>
      <c r="HQ269" s="56">
        <f>IFERROR(IF(($HK269)&gt;0,($HN269*cfg_TroyOz)/($HK269),""),"")</f>
        <v/>
      </c>
      <c r="HR269" s="55">
        <f>SUMIFS(tblBudget[Waste_t],tblBudget[Month],$E269)</f>
        <v/>
      </c>
      <c r="HS269" s="55">
        <f>$HR269*$C269/$D269</f>
        <v/>
      </c>
      <c r="HT269" s="55">
        <f>SUMIFS(tblBudget[Waste_t],tblBudget[Month],"&lt;"&amp;$E269)+$HS269</f>
        <v/>
      </c>
      <c r="HU269" s="55">
        <f>SUMIFS(tblBudget[TMM_t],tblBudget[Month],$E269)</f>
        <v/>
      </c>
      <c r="HV269" s="55">
        <f>$HU269*$C269/$D269</f>
        <v/>
      </c>
      <c r="HW269" s="55">
        <f>SUMIFS(tblBudget[TMM_t],tblBudget[Month],"&lt;"&amp;$E269)+$HV269</f>
        <v/>
      </c>
      <c r="HX269" s="56">
        <f>IFERROR(IF(($HI269)&gt;0,($HR269)/($HI269),""),"")</f>
        <v/>
      </c>
      <c r="HY269" s="56">
        <f>IFERROR(IF(($HJ269)&gt;0,($HS269)/($HJ269),""),"")</f>
        <v/>
      </c>
      <c r="HZ269" s="56">
        <f>IFERROR(IF(($HK269)&gt;0,($HT269)/($HK269),""),"")</f>
        <v/>
      </c>
      <c r="IA269" s="55">
        <f>SUMIFS(tblBudget[Drill_m],tblBudget[Month],$E269)</f>
        <v/>
      </c>
      <c r="IB269" s="55">
        <f>$IA269*$C269/$D269</f>
        <v/>
      </c>
      <c r="IC269" s="55">
        <f>SUMIFS(tblBudget[Drill_m],tblBudget[Month],"&lt;"&amp;$E269)+$IB269</f>
        <v/>
      </c>
      <c r="ID269" s="55">
        <f>SUMIFS(tblBudget[Diesel_L],tblBudget[Month],$E269)</f>
        <v/>
      </c>
      <c r="IE269" s="55">
        <f>$ID269*$C269/$D269</f>
        <v/>
      </c>
      <c r="IF269" s="55">
        <f>SUMIFS(tblBudget[Diesel_L],tblBudget[Month],"&lt;"&amp;$E269)+$IE269</f>
        <v/>
      </c>
      <c r="IG269" s="55">
        <f>SUMIFS(tblBudget[Milled_t],tblBudget[Month],$E269)</f>
        <v/>
      </c>
      <c r="IH269" s="55">
        <f>$IG269*$C269/$D269</f>
        <v/>
      </c>
      <c r="II269" s="55">
        <f>SUMIFS(tblBudget[Milled_t],tblBudget[Month],"&lt;"&amp;$E269)+$IH269</f>
        <v/>
      </c>
      <c r="IJ269" s="55">
        <f>SUMIFS(tblBudget[Feed_oz],tblBudget[Month],$E269)</f>
        <v/>
      </c>
      <c r="IK269" s="55">
        <f>$IJ269*$C269/$D269</f>
        <v/>
      </c>
      <c r="IL269" s="55">
        <f>SUMIFS(tblBudget[Feed_oz],tblBudget[Month],"&lt;"&amp;$E269)+$IK269</f>
        <v/>
      </c>
      <c r="IM269" s="55">
        <f>SUMIFS(tblBudget[Recovered_oz],tblBudget[Month],$E269)</f>
        <v/>
      </c>
      <c r="IN269" s="55">
        <f>$IM269*$C269/$D269</f>
        <v/>
      </c>
      <c r="IO269" s="55">
        <f>SUMIFS(tblBudget[Recovered_oz],tblBudget[Month],"&lt;"&amp;$E269)+$IN269</f>
        <v/>
      </c>
      <c r="IP269" s="56">
        <f>IFERROR(IF(($IG269)&gt;0,($IJ269*cfg_TroyOz)/($IG269),""),"")</f>
        <v/>
      </c>
      <c r="IQ269" s="56">
        <f>IFERROR(IF(($IH269)&gt;0,($IK269*cfg_TroyOz)/($IH269),""),"")</f>
        <v/>
      </c>
      <c r="IR269" s="56">
        <f>IFERROR(IF(($II269)&gt;0,($IL269*cfg_TroyOz)/($II269),""),"")</f>
        <v/>
      </c>
      <c r="IS269" s="67">
        <f>IFERROR(IF(($IJ269)&gt;0,($IM269)/($IJ269),""),"")</f>
        <v/>
      </c>
      <c r="IT269" s="67">
        <f>IFERROR(IF(($IK269)&gt;0,($IN269)/($IK269),""),"")</f>
        <v/>
      </c>
      <c r="IU269" s="67">
        <f>IFERROR(IF(($IL269)&gt;0,($IO269)/($IL269),""),"")</f>
        <v/>
      </c>
      <c r="IV269" s="55">
        <f>SUMIFS(tblBudget[Gold_Poured_oz],tblBudget[Month],$E269)</f>
        <v/>
      </c>
      <c r="IW269" s="55">
        <f>$IV269*$C269/$D269</f>
        <v/>
      </c>
      <c r="IX269" s="55">
        <f>SUMIFS(tblBudget[Gold_Poured_oz],tblBudget[Month],"&lt;"&amp;$E269)+$IW269</f>
        <v/>
      </c>
      <c r="IY269" s="57">
        <f>SUMIFS(tblBudget[Hours_Worked],tblBudget[Month],$E269)</f>
        <v/>
      </c>
      <c r="IZ269" s="57">
        <f>$IY269*$C269/$D269</f>
        <v/>
      </c>
      <c r="JA269" s="57">
        <f>SUMIFS(tblBudget[Hours_Worked],tblBudget[Month],"&lt;"&amp;$E269)+$IZ269</f>
        <v/>
      </c>
    </row>
    <row r="270">
      <c r="A270" s="54" t="n">
        <v>46291</v>
      </c>
      <c r="B270">
        <f>MONTH($A270)</f>
        <v/>
      </c>
      <c r="C270">
        <f>DAY($A270)</f>
        <v/>
      </c>
      <c r="D270">
        <f>DAY(EOMONTH($A270,0))</f>
        <v/>
      </c>
      <c r="E270" s="54">
        <f>DATE(YEAR($A270),MONTH($A270),1)</f>
        <v/>
      </c>
      <c r="F270" s="55">
        <f>SUMIFS(tblMovement[Tonnes_t],tblMovement[Date],$A270,tblMovement[Is_Ore],1,tblMovement[Source_Type],"Pit")</f>
        <v/>
      </c>
      <c r="G270" s="55">
        <f>IF($B270=$B269,$G269,0)+$F270</f>
        <v/>
      </c>
      <c r="H270" s="55">
        <f>$H269+$F270</f>
        <v/>
      </c>
      <c r="I270" s="55">
        <f>SUMIFS(tblMovement[Ore_oz],tblMovement[Date],$A270,tblMovement[Source_Type],"Pit")</f>
        <v/>
      </c>
      <c r="J270" s="55">
        <f>IF($B270=$B269,$J269,0)+$I270</f>
        <v/>
      </c>
      <c r="K270" s="55">
        <f>$K269+$I270</f>
        <v/>
      </c>
      <c r="L270" s="56">
        <f>IFERROR(IF(($F270)&gt;0,($I270*cfg_TroyOz)/($F270),""),"")</f>
        <v/>
      </c>
      <c r="M270" s="56">
        <f>IFERROR(IF(($G270)&gt;0,($J270*cfg_TroyOz)/($G270),""),"")</f>
        <v/>
      </c>
      <c r="N270" s="56">
        <f>IFERROR(IF(($H270)&gt;0,($K270*cfg_TroyOz)/($H270),""),"")</f>
        <v/>
      </c>
      <c r="O270" s="55">
        <f>SUMIFS(tblMovement[Tonnes_t],tblMovement[Date],$A270,tblMovement[Is_Ore],0,tblMovement[Source_Type],"Pit")</f>
        <v/>
      </c>
      <c r="P270" s="55">
        <f>IF($B270=$B269,$P269,0)+$O270</f>
        <v/>
      </c>
      <c r="Q270" s="55">
        <f>$Q269+$O270</f>
        <v/>
      </c>
      <c r="R270" s="55">
        <f>$F270+$O270</f>
        <v/>
      </c>
      <c r="S270" s="55">
        <f>IF($B270=$B269,$S269,0)+$R270</f>
        <v/>
      </c>
      <c r="T270" s="55">
        <f>$T269+$R270</f>
        <v/>
      </c>
      <c r="U270" s="56">
        <f>IFERROR(IF(($F270)&gt;0,($O270)/($F270),""),"")</f>
        <v/>
      </c>
      <c r="V270" s="56">
        <f>IFERROR(IF(($G270)&gt;0,($P270)/($G270),""),"")</f>
        <v/>
      </c>
      <c r="W270" s="56">
        <f>IFERROR(IF(($H270)&gt;0,($Q270)/($H270),""),"")</f>
        <v/>
      </c>
      <c r="X270" s="55">
        <f>SUMIFS(tblMovement[Tonnes_t],tblMovement[Date],$A270,tblMovement[Source_Type],"Stockpile")</f>
        <v/>
      </c>
      <c r="Y270" s="55">
        <f>IF($B270=$B269,$Y269,0)+$X270</f>
        <v/>
      </c>
      <c r="Z270" s="55">
        <f>$Z269+$X270</f>
        <v/>
      </c>
      <c r="AA270" s="55">
        <f>SUMIFS(tblMiningDaily[Drill_m],tblMiningDaily[Date],$A270)</f>
        <v/>
      </c>
      <c r="AB270" s="55">
        <f>IF($B270=$B269,$AB269,0)+$AA270</f>
        <v/>
      </c>
      <c r="AC270" s="55">
        <f>$AC269+$AA270</f>
        <v/>
      </c>
      <c r="AD270" s="55">
        <f>SUMIFS(tblMiningDaily[Blast_t],tblMiningDaily[Date],$A270)</f>
        <v/>
      </c>
      <c r="AE270" s="55">
        <f>IF($B270=$B269,$AE269,0)+$AD270</f>
        <v/>
      </c>
      <c r="AF270" s="55">
        <f>$AF269+$AD270</f>
        <v/>
      </c>
      <c r="AG270" s="55">
        <f>SUMIFS(tblMiningDaily[Explosives_kg],tblMiningDaily[Date],$A270)</f>
        <v/>
      </c>
      <c r="AH270" s="55">
        <f>IF($B270=$B269,$AH269,0)+$AG270</f>
        <v/>
      </c>
      <c r="AI270" s="55">
        <f>$AI269+$AG270</f>
        <v/>
      </c>
      <c r="AJ270" s="56">
        <f>IFERROR(IF(($AD270)&gt;0,($AG270)/($AD270),""),"")</f>
        <v/>
      </c>
      <c r="AK270" s="56">
        <f>IFERROR(IF(($AE270)&gt;0,($AH270)/($AE270),""),"")</f>
        <v/>
      </c>
      <c r="AL270" s="56">
        <f>IFERROR(IF(($AF270)&gt;0,($AI270)/($AF270),""),"")</f>
        <v/>
      </c>
      <c r="AM270" s="55">
        <f>SUMIFS(tblMiningDaily[Diesel_L],tblMiningDaily[Date],$A270)</f>
        <v/>
      </c>
      <c r="AN270" s="55">
        <f>IF($B270=$B269,$AN269,0)+$AM270</f>
        <v/>
      </c>
      <c r="AO270" s="55">
        <f>$AO269+$AM270</f>
        <v/>
      </c>
      <c r="AP270" s="55">
        <f>SUMIFS(tblMiningDaily[Dewatering_m3],tblMiningDaily[Date],$A270)</f>
        <v/>
      </c>
      <c r="AQ270" s="55">
        <f>IF($B270=$B269,$AQ269,0)+$AP270</f>
        <v/>
      </c>
      <c r="AR270" s="55">
        <f>$AR269+$AP270</f>
        <v/>
      </c>
      <c r="AS270" s="57">
        <f>SUMIFS(tblFleet[Calendar_h],tblFleet[Date],$A270,tblFleet[Equipment_Class],"Excavator")</f>
        <v/>
      </c>
      <c r="AT270" s="57">
        <f>IF($B270=$B269,$AT269,0)+$AS270</f>
        <v/>
      </c>
      <c r="AU270" s="57">
        <f>$AU269+$AS270</f>
        <v/>
      </c>
      <c r="AV270" s="57">
        <f>SUMIFS(tblFleet[Available_h],tblFleet[Date],$A270,tblFleet[Equipment_Class],"Excavator")</f>
        <v/>
      </c>
      <c r="AW270" s="57">
        <f>IF($B270=$B269,$AW269,0)+$AV270</f>
        <v/>
      </c>
      <c r="AX270" s="57">
        <f>$AX269+$AV270</f>
        <v/>
      </c>
      <c r="AY270" s="57">
        <f>SUMIFS(tblFleet[Operating_h],tblFleet[Date],$A270,tblFleet[Equipment_Class],"Excavator")</f>
        <v/>
      </c>
      <c r="AZ270" s="57">
        <f>IF($B270=$B269,$AZ269,0)+$AY270</f>
        <v/>
      </c>
      <c r="BA270" s="57">
        <f>$BA269+$AY270</f>
        <v/>
      </c>
      <c r="BB270" s="67">
        <f>IFERROR(IF(($AS270)&gt;0,($AV270)/($AS270),""),"")</f>
        <v/>
      </c>
      <c r="BC270" s="67">
        <f>IFERROR(IF(($AT270)&gt;0,($AW270)/($AT270),""),"")</f>
        <v/>
      </c>
      <c r="BD270" s="67">
        <f>IFERROR(IF(($AU270)&gt;0,($AX270)/($AU270),""),"")</f>
        <v/>
      </c>
      <c r="BE270" s="67">
        <f>IFERROR(IF(($AV270)&gt;0,($AY270)/($AV270),""),"")</f>
        <v/>
      </c>
      <c r="BF270" s="67">
        <f>IFERROR(IF(($AW270)&gt;0,($AZ270)/($AW270),""),"")</f>
        <v/>
      </c>
      <c r="BG270" s="67">
        <f>IFERROR(IF(($AX270)&gt;0,($BA270)/($AX270),""),"")</f>
        <v/>
      </c>
      <c r="BH270" s="57">
        <f>SUMIFS(tblFleet[Calendar_h],tblFleet[Date],$A270,tblFleet[Equipment_Class],"Haul Truck")</f>
        <v/>
      </c>
      <c r="BI270" s="57">
        <f>IF($B270=$B269,$BI269,0)+$BH270</f>
        <v/>
      </c>
      <c r="BJ270" s="57">
        <f>$BJ269+$BH270</f>
        <v/>
      </c>
      <c r="BK270" s="57">
        <f>SUMIFS(tblFleet[Available_h],tblFleet[Date],$A270,tblFleet[Equipment_Class],"Haul Truck")</f>
        <v/>
      </c>
      <c r="BL270" s="57">
        <f>IF($B270=$B269,$BL269,0)+$BK270</f>
        <v/>
      </c>
      <c r="BM270" s="57">
        <f>$BM269+$BK270</f>
        <v/>
      </c>
      <c r="BN270" s="57">
        <f>SUMIFS(tblFleet[Operating_h],tblFleet[Date],$A270,tblFleet[Equipment_Class],"Haul Truck")</f>
        <v/>
      </c>
      <c r="BO270" s="57">
        <f>IF($B270=$B269,$BO269,0)+$BN270</f>
        <v/>
      </c>
      <c r="BP270" s="57">
        <f>$BP269+$BN270</f>
        <v/>
      </c>
      <c r="BQ270" s="67">
        <f>IFERROR(IF(($BH270)&gt;0,($BK270)/($BH270),""),"")</f>
        <v/>
      </c>
      <c r="BR270" s="67">
        <f>IFERROR(IF(($BI270)&gt;0,($BL270)/($BI270),""),"")</f>
        <v/>
      </c>
      <c r="BS270" s="67">
        <f>IFERROR(IF(($BJ270)&gt;0,($BM270)/($BJ270),""),"")</f>
        <v/>
      </c>
      <c r="BT270" s="67">
        <f>IFERROR(IF(($BK270)&gt;0,($BN270)/($BK270),""),"")</f>
        <v/>
      </c>
      <c r="BU270" s="67">
        <f>IFERROR(IF(($BL270)&gt;0,($BO270)/($BL270),""),"")</f>
        <v/>
      </c>
      <c r="BV270" s="67">
        <f>IFERROR(IF(($BM270)&gt;0,($BP270)/($BM270),""),"")</f>
        <v/>
      </c>
      <c r="BW270" s="55">
        <f>SUMIFS(tblPlant[Crushed_t],tblPlant[Date],$A270)</f>
        <v/>
      </c>
      <c r="BX270" s="55">
        <f>IF($B270=$B269,$BX269,0)+$BW270</f>
        <v/>
      </c>
      <c r="BY270" s="55">
        <f>$BY269+$BW270</f>
        <v/>
      </c>
      <c r="BZ270" s="55">
        <f>SUMIFS(tblPlant[Milled_t],tblPlant[Date],$A270)</f>
        <v/>
      </c>
      <c r="CA270" s="55">
        <f>IF($B270=$B269,$CA269,0)+$BZ270</f>
        <v/>
      </c>
      <c r="CB270" s="55">
        <f>$CB269+$BZ270</f>
        <v/>
      </c>
      <c r="CC270" s="55">
        <f>SUMIFS(tblPlant[Feed_oz],tblPlant[Date],$A270)</f>
        <v/>
      </c>
      <c r="CD270" s="55">
        <f>IF($B270=$B269,$CD269,0)+$CC270</f>
        <v/>
      </c>
      <c r="CE270" s="55">
        <f>$CE269+$CC270</f>
        <v/>
      </c>
      <c r="CF270" s="55">
        <f>SUMIFS(tblPlant[Tails_oz],tblPlant[Date],$A270)</f>
        <v/>
      </c>
      <c r="CG270" s="55">
        <f>IF($B270=$B269,$CG269,0)+$CF270</f>
        <v/>
      </c>
      <c r="CH270" s="55">
        <f>$CH269+$CF270</f>
        <v/>
      </c>
      <c r="CI270" s="55">
        <f>SUMIFS(tblPlant[Recovered_oz],tblPlant[Date],$A270)</f>
        <v/>
      </c>
      <c r="CJ270" s="55">
        <f>IF($B270=$B269,$CJ269,0)+$CI270</f>
        <v/>
      </c>
      <c r="CK270" s="55">
        <f>$CK269+$CI270</f>
        <v/>
      </c>
      <c r="CL270" s="56">
        <f>IFERROR(IF(($BZ270)&gt;0,($CC270*cfg_TroyOz)/($BZ270),""),"")</f>
        <v/>
      </c>
      <c r="CM270" s="56">
        <f>IFERROR(IF(($CA270)&gt;0,($CD270*cfg_TroyOz)/($CA270),""),"")</f>
        <v/>
      </c>
      <c r="CN270" s="56">
        <f>IFERROR(IF(($CB270)&gt;0,($CE270*cfg_TroyOz)/($CB270),""),"")</f>
        <v/>
      </c>
      <c r="CO270" s="56">
        <f>IFERROR(IF(($BZ270)&gt;0,($CF270*cfg_TroyOz)/($BZ270),""),"")</f>
        <v/>
      </c>
      <c r="CP270" s="56">
        <f>IFERROR(IF(($CA270)&gt;0,($CG270*cfg_TroyOz)/($CA270),""),"")</f>
        <v/>
      </c>
      <c r="CQ270" s="56">
        <f>IFERROR(IF(($CB270)&gt;0,($CH270*cfg_TroyOz)/($CB270),""),"")</f>
        <v/>
      </c>
      <c r="CR270" s="67">
        <f>IFERROR(IF(($CC270)&gt;0,($CI270)/($CC270),""),"")</f>
        <v/>
      </c>
      <c r="CS270" s="67">
        <f>IFERROR(IF(($CD270)&gt;0,($CJ270)/($CD270),""),"")</f>
        <v/>
      </c>
      <c r="CT270" s="67">
        <f>IFERROR(IF(($CE270)&gt;0,($CK270)/($CE270),""),"")</f>
        <v/>
      </c>
      <c r="CU270" s="55">
        <f>SUMIFS(tblPlant[Gravity_Gold_oz],tblPlant[Date],$A270)</f>
        <v/>
      </c>
      <c r="CV270" s="55">
        <f>IF($B270=$B269,$CV269,0)+$CU270</f>
        <v/>
      </c>
      <c r="CW270" s="55">
        <f>$CW269+$CU270</f>
        <v/>
      </c>
      <c r="CX270" s="55">
        <f>SUMIFS(tblPlant[Gold_Poured_oz],tblPlant[Date],$A270)</f>
        <v/>
      </c>
      <c r="CY270" s="55">
        <f>IF($B270=$B269,$CY269,0)+$CX270</f>
        <v/>
      </c>
      <c r="CZ270" s="55">
        <f>$CZ269+$CX270</f>
        <v/>
      </c>
      <c r="DA270" s="57">
        <f>SUMIFS(tblPlant[Mill_Run_h],tblPlant[Date],$A270)</f>
        <v/>
      </c>
      <c r="DB270" s="57">
        <f>IF($B270=$B269,$DB269,0)+$DA270</f>
        <v/>
      </c>
      <c r="DC270" s="57">
        <f>$DC269+$DA270</f>
        <v/>
      </c>
      <c r="DD270" s="57">
        <f>SUMIFS(tblPlant[Mill_Planned_Maint_h],tblPlant[Date],$A270)</f>
        <v/>
      </c>
      <c r="DE270" s="57">
        <f>IF($B270=$B269,$DE269,0)+$DD270</f>
        <v/>
      </c>
      <c r="DF270" s="57">
        <f>$DF269+$DD270</f>
        <v/>
      </c>
      <c r="DG270" s="57">
        <f>SUMIFS(tblPlant[Mill_Unplanned_Down_h],tblPlant[Date],$A270)</f>
        <v/>
      </c>
      <c r="DH270" s="57">
        <f>IF($B270=$B269,$DH269,0)+$DG270</f>
        <v/>
      </c>
      <c r="DI270" s="57">
        <f>$DI269+$DG270</f>
        <v/>
      </c>
      <c r="DJ270" s="57">
        <f>COUNTIFS(tblPlant[Date],$A270,tblPlant[Mill_Run_h],"&lt;&gt;")*24</f>
        <v/>
      </c>
      <c r="DK270" s="57">
        <f>IF($B270=$B269,$DK269,0)+$DJ270</f>
        <v/>
      </c>
      <c r="DL270" s="57">
        <f>$DL269+$DJ270</f>
        <v/>
      </c>
      <c r="DM270" s="57">
        <f>SUMIFS(tblPlant[Crusher_Run_h],tblPlant[Date],$A270)</f>
        <v/>
      </c>
      <c r="DN270" s="57">
        <f>IF($B270=$B269,$DN269,0)+$DM270</f>
        <v/>
      </c>
      <c r="DO270" s="57">
        <f>$DO269+$DM270</f>
        <v/>
      </c>
      <c r="DP270" s="55">
        <f>IFERROR(IF(($DA270)&gt;0,($BZ270)/($DA270),""),"")</f>
        <v/>
      </c>
      <c r="DQ270" s="55">
        <f>IFERROR(IF(($DB270)&gt;0,($CA270)/($DB270),""),"")</f>
        <v/>
      </c>
      <c r="DR270" s="55">
        <f>IFERROR(IF(($DC270)&gt;0,($CB270)/($DC270),""),"")</f>
        <v/>
      </c>
      <c r="DS270" s="67">
        <f>IFERROR(IF(($DJ270)&gt;0,($DJ270-$DD270-$DG270)/($DJ270),""),"")</f>
        <v/>
      </c>
      <c r="DT270" s="67">
        <f>IFERROR(IF(($DK270)&gt;0,($DK270-$DE270-$DH270)/($DK270),""),"")</f>
        <v/>
      </c>
      <c r="DU270" s="67">
        <f>IFERROR(IF(($DL270)&gt;0,($DL270-$DF270-$DI270)/($DL270),""),"")</f>
        <v/>
      </c>
      <c r="DV270" s="67">
        <f>IFERROR(IF(($DJ270-$DD270-$DG270)&gt;0,($DA270)/($DJ270-$DD270-$DG270),""),"")</f>
        <v/>
      </c>
      <c r="DW270" s="67">
        <f>IFERROR(IF(($DK270-$DE270-$DH270)&gt;0,($DB270)/($DK270-$DE270-$DH270),""),"")</f>
        <v/>
      </c>
      <c r="DX270" s="67">
        <f>IFERROR(IF(($DL270-$DF270-$DI270)&gt;0,($DC270)/($DL270-$DF270-$DI270),""),"")</f>
        <v/>
      </c>
      <c r="DY270" s="55">
        <f>SUMIFS(tblPlant[Cyanide_kg],tblPlant[Date],$A270)</f>
        <v/>
      </c>
      <c r="DZ270" s="55">
        <f>IF($B270=$B269,$DZ269,0)+$DY270</f>
        <v/>
      </c>
      <c r="EA270" s="55">
        <f>$EA269+$DY270</f>
        <v/>
      </c>
      <c r="EB270" s="55">
        <f>SUMIFS(tblPlant[Lime_kg],tblPlant[Date],$A270)</f>
        <v/>
      </c>
      <c r="EC270" s="55">
        <f>IF($B270=$B269,$EC269,0)+$EB270</f>
        <v/>
      </c>
      <c r="ED270" s="55">
        <f>$ED269+$EB270</f>
        <v/>
      </c>
      <c r="EE270" s="55">
        <f>SUMIFS(tblPlant[Grinding_Media_kg],tblPlant[Date],$A270)</f>
        <v/>
      </c>
      <c r="EF270" s="55">
        <f>IF($B270=$B269,$EF269,0)+$EE270</f>
        <v/>
      </c>
      <c r="EG270" s="55">
        <f>$EG269+$EE270</f>
        <v/>
      </c>
      <c r="EH270" s="55">
        <f>SUMIFS(tblPlant[Power_kWh],tblPlant[Date],$A270)</f>
        <v/>
      </c>
      <c r="EI270" s="55">
        <f>IF($B270=$B269,$EI269,0)+$EH270</f>
        <v/>
      </c>
      <c r="EJ270" s="55">
        <f>$EJ269+$EH270</f>
        <v/>
      </c>
      <c r="EK270" s="55">
        <f>SUMIFS(tblPlant[Raw_Water_m3],tblPlant[Date],$A270)</f>
        <v/>
      </c>
      <c r="EL270" s="55">
        <f>IF($B270=$B269,$EL269,0)+$EK270</f>
        <v/>
      </c>
      <c r="EM270" s="55">
        <f>$EM269+$EK270</f>
        <v/>
      </c>
      <c r="EN270" s="56">
        <f>IFERROR(IF(($BZ270)&gt;0,($DY270)/($BZ270),""),"")</f>
        <v/>
      </c>
      <c r="EO270" s="56">
        <f>IFERROR(IF(($CA270)&gt;0,($DZ270)/($CA270),""),"")</f>
        <v/>
      </c>
      <c r="EP270" s="56">
        <f>IFERROR(IF(($CB270)&gt;0,($EA270)/($CB270),""),"")</f>
        <v/>
      </c>
      <c r="EQ270" s="56">
        <f>IFERROR(IF(($BZ270)&gt;0,($EB270)/($BZ270),""),"")</f>
        <v/>
      </c>
      <c r="ER270" s="56">
        <f>IFERROR(IF(($CA270)&gt;0,($EC270)/($CA270),""),"")</f>
        <v/>
      </c>
      <c r="ES270" s="56">
        <f>IFERROR(IF(($CB270)&gt;0,($ED270)/($CB270),""),"")</f>
        <v/>
      </c>
      <c r="ET270" s="56">
        <f>IFERROR(IF(($BZ270)&gt;0,($EE270)/($BZ270),""),"")</f>
        <v/>
      </c>
      <c r="EU270" s="56">
        <f>IFERROR(IF(($CA270)&gt;0,($EF270)/($CA270),""),"")</f>
        <v/>
      </c>
      <c r="EV270" s="56">
        <f>IFERROR(IF(($CB270)&gt;0,($EG270)/($CB270),""),"")</f>
        <v/>
      </c>
      <c r="EW270" s="76">
        <f>IFERROR(IF(($BZ270)&gt;0,($EH270)/($BZ270),""),"")</f>
        <v/>
      </c>
      <c r="EX270" s="76">
        <f>IFERROR(IF(($CA270)&gt;0,($EI270)/($CA270),""),"")</f>
        <v/>
      </c>
      <c r="EY270" s="76">
        <f>IFERROR(IF(($CB270)&gt;0,($EJ270)/($CB270),""),"")</f>
        <v/>
      </c>
      <c r="EZ270" s="56">
        <f>IFERROR(IF(($BZ270)&gt;0,($EK270)/($BZ270),""),"")</f>
        <v/>
      </c>
      <c r="FA270" s="56">
        <f>IFERROR(IF(($CA270)&gt;0,($EL270)/($CA270),""),"")</f>
        <v/>
      </c>
      <c r="FB270" s="56">
        <f>IFERROR(IF(($CB270)&gt;0,($EM270)/($CB270),""),"")</f>
        <v/>
      </c>
      <c r="FC270" s="55">
        <f>IF(SUMIFS(tblPlant[GIC_oz],tblPlant[Date],$A270)&gt;0,SUMIFS(tblPlant[GIC_oz],tblPlant[Date],$A270),"")</f>
        <v/>
      </c>
      <c r="FD270" s="55">
        <f>SUMIFS(tblGold[Gold_oz],tblGold[Date],$A270,tblGold[Type],"Shipment")</f>
        <v/>
      </c>
      <c r="FE270" s="55">
        <f>IF($B270=$B269,$FE269,0)+$FD270</f>
        <v/>
      </c>
      <c r="FF270" s="55">
        <f>$FF269+$FD270</f>
        <v/>
      </c>
      <c r="FG270" s="55">
        <f>SUMIFS(tblGold[Gold_oz],tblGold[Date],$A270,tblGold[Type],"Sale")</f>
        <v/>
      </c>
      <c r="FH270" s="55">
        <f>IF($B270=$B269,$FH269,0)+$FG270</f>
        <v/>
      </c>
      <c r="FI270" s="55">
        <f>$FI269+$FG270</f>
        <v/>
      </c>
      <c r="FJ270" s="55">
        <f>SUMIFS(tblGold[Dore_kg],tblGold[Date],$A270,tblGold[Type],"Shipment")</f>
        <v/>
      </c>
      <c r="FK270" s="55">
        <f>IF($B270=$B269,$FK269,0)+$FJ270</f>
        <v/>
      </c>
      <c r="FL270" s="55">
        <f>$FL269+$FJ270</f>
        <v/>
      </c>
      <c r="FM270" s="57">
        <f>SUMIFS(tblSafety[Hours_Total],tblSafety[Date],$A270)</f>
        <v/>
      </c>
      <c r="FN270" s="57">
        <f>IF($B270=$B269,$FN269,0)+$FM270</f>
        <v/>
      </c>
      <c r="FO270" s="57">
        <f>$FO269+$FM270</f>
        <v/>
      </c>
      <c r="FP270" s="62">
        <f>SUMIFS(tblSafety[Fatality],tblSafety[Date],$A270)</f>
        <v/>
      </c>
      <c r="FQ270" s="62">
        <f>IF($B270=$B269,$FQ269,0)+$FP270</f>
        <v/>
      </c>
      <c r="FR270" s="62">
        <f>$FR269+$FP270</f>
        <v/>
      </c>
      <c r="FS270" s="62">
        <f>SUMIFS(tblSafety[LTI],tblSafety[Date],$A270)</f>
        <v/>
      </c>
      <c r="FT270" s="62">
        <f>IF($B270=$B269,$FT269,0)+$FS270</f>
        <v/>
      </c>
      <c r="FU270" s="62">
        <f>$FU269+$FS270</f>
        <v/>
      </c>
      <c r="FV270" s="62">
        <f>SUMIFS(tblSafety[RWI],tblSafety[Date],$A270)</f>
        <v/>
      </c>
      <c r="FW270" s="62">
        <f>IF($B270=$B269,$FW269,0)+$FV270</f>
        <v/>
      </c>
      <c r="FX270" s="62">
        <f>$FX269+$FV270</f>
        <v/>
      </c>
      <c r="FY270" s="62">
        <f>SUMIFS(tblSafety[MTI],tblSafety[Date],$A270)</f>
        <v/>
      </c>
      <c r="FZ270" s="62">
        <f>IF($B270=$B269,$FZ269,0)+$FY270</f>
        <v/>
      </c>
      <c r="GA270" s="62">
        <f>$GA269+$FY270</f>
        <v/>
      </c>
      <c r="GB270" s="62">
        <f>SUMIFS(tblSafety[FAI],tblSafety[Date],$A270)</f>
        <v/>
      </c>
      <c r="GC270" s="62">
        <f>IF($B270=$B269,$GC269,0)+$GB270</f>
        <v/>
      </c>
      <c r="GD270" s="62">
        <f>$GD269+$GB270</f>
        <v/>
      </c>
      <c r="GE270" s="62">
        <f>SUMIFS(tblSafety[Recordables],tblSafety[Date],$A270)</f>
        <v/>
      </c>
      <c r="GF270" s="62">
        <f>IF($B270=$B269,$GF269,0)+$GE270</f>
        <v/>
      </c>
      <c r="GG270" s="62">
        <f>$GG269+$GE270</f>
        <v/>
      </c>
      <c r="GH270" s="62">
        <f>SUMIFS(tblSafety[Near_Miss],tblSafety[Date],$A270)</f>
        <v/>
      </c>
      <c r="GI270" s="62">
        <f>IF($B270=$B269,$GI269,0)+$GH270</f>
        <v/>
      </c>
      <c r="GJ270" s="62">
        <f>$GJ269+$GH270</f>
        <v/>
      </c>
      <c r="GK270" s="62">
        <f>SUMIFS(tblSafety[Hazard_Reports],tblSafety[Date],$A270)</f>
        <v/>
      </c>
      <c r="GL270" s="62">
        <f>IF($B270=$B269,$GL269,0)+$GK270</f>
        <v/>
      </c>
      <c r="GM270" s="62">
        <f>$GM269+$GK270</f>
        <v/>
      </c>
      <c r="GN270" s="62">
        <f>SUMIFS(tblSafety[HPI],tblSafety[Date],$A270)</f>
        <v/>
      </c>
      <c r="GO270" s="62">
        <f>IF($B270=$B269,$GO269,0)+$GN270</f>
        <v/>
      </c>
      <c r="GP270" s="62">
        <f>$GP269+$GN270</f>
        <v/>
      </c>
      <c r="GQ270" s="62">
        <f>SUMIFS(tblSafety[Env_Incidents],tblSafety[Date],$A270)</f>
        <v/>
      </c>
      <c r="GR270" s="62">
        <f>IF($B270=$B269,$GR269,0)+$GQ270</f>
        <v/>
      </c>
      <c r="GS270" s="62">
        <f>$GS269+$GQ270</f>
        <v/>
      </c>
      <c r="GT270" s="62">
        <f>SUMIFS(tblSafety[Community_Incidents],tblSafety[Date],$A270)</f>
        <v/>
      </c>
      <c r="GU270" s="62">
        <f>IF($B270=$B269,$GU269,0)+$GT270</f>
        <v/>
      </c>
      <c r="GV270" s="62">
        <f>$GV269+$GT270</f>
        <v/>
      </c>
      <c r="GW270" s="62">
        <f>SUMIFS(tblSafety[Vehicle_Incidents],tblSafety[Date],$A270)</f>
        <v/>
      </c>
      <c r="GX270" s="62">
        <f>IF($B270=$B269,$GX269,0)+$GW270</f>
        <v/>
      </c>
      <c r="GY270" s="62">
        <f>$GY269+$GW270</f>
        <v/>
      </c>
      <c r="GZ270" s="62">
        <f>SUMIFS(tblSafety[Toolbox_Talks],tblSafety[Date],$A270)</f>
        <v/>
      </c>
      <c r="HA270" s="62">
        <f>IF($B270=$B269,$HA269,0)+$GZ270</f>
        <v/>
      </c>
      <c r="HB270" s="62">
        <f>$HB269+$GZ270</f>
        <v/>
      </c>
      <c r="HC270" s="62">
        <f>SUMIFS(tblSafety[Inspections],tblSafety[Date],$A270)</f>
        <v/>
      </c>
      <c r="HD270" s="62">
        <f>IF($B270=$B269,$HD269,0)+$HC270</f>
        <v/>
      </c>
      <c r="HE270" s="62">
        <f>$HE269+$HC270</f>
        <v/>
      </c>
      <c r="HF270" s="56">
        <f>IFERROR((SUMIFS(tblSafety[Recordables],tblSafety[Date],"&gt;="&amp;EDATE($E270,-12),tblSafety[Date],"&lt;="&amp;$A270)+SUMIFS(tblSafetyHistory[Recordables],tblSafetyHistory[Month],"&gt;="&amp;EDATE($E270,-12),tblSafetyHistory[Month],"&lt;"&amp;cfg_YearStart))/(SUMIFS(tblSafety[Hours_Total],tblSafety[Date],"&gt;="&amp;EDATE($E270,-12),tblSafety[Date],"&lt;="&amp;$A270)+SUMIFS(tblSafetyHistory[Hours_Total],tblSafetyHistory[Month],"&gt;="&amp;EDATE($E270,-12),tblSafetyHistory[Month],"&lt;"&amp;cfg_YearStart))*1000000,"")</f>
        <v/>
      </c>
      <c r="HG270" s="56">
        <f>IFERROR((SUMIFS(tblSafety[LTI],tblSafety[Date],"&gt;="&amp;EDATE($E270,-12),tblSafety[Date],"&lt;="&amp;$A270)+SUMIFS(tblSafetyHistory[LTI],tblSafetyHistory[Month],"&gt;="&amp;EDATE($E270,-12),tblSafetyHistory[Month],"&lt;"&amp;cfg_YearStart))/(SUMIFS(tblSafety[Hours_Total],tblSafety[Date],"&gt;="&amp;EDATE($E270,-12),tblSafety[Date],"&lt;="&amp;$A270)+SUMIFS(tblSafetyHistory[Hours_Total],tblSafetyHistory[Month],"&gt;="&amp;EDATE($E270,-12),tblSafetyHistory[Month],"&lt;"&amp;cfg_YearStart))*1000000,"")</f>
        <v/>
      </c>
      <c r="HH270" s="62">
        <f>IF(MAX(N(cfg_PriorLTIDate),_xlfn.MAXIFS(tblSafety[Date],tblSafety[LTI],"&gt;0",tblSafety[Date],"&lt;="&amp;$A270))=0,"",$A270-MAX(N(cfg_PriorLTIDate),_xlfn.MAXIFS(tblSafety[Date],tblSafety[LTI],"&gt;0",tblSafety[Date],"&lt;="&amp;$A270)))</f>
        <v/>
      </c>
      <c r="HI270" s="55">
        <f>SUMIFS(tblBudget[Ore_Mined_t],tblBudget[Month],$E270)</f>
        <v/>
      </c>
      <c r="HJ270" s="55">
        <f>$HI270*$C270/$D270</f>
        <v/>
      </c>
      <c r="HK270" s="55">
        <f>SUMIFS(tblBudget[Ore_Mined_t],tblBudget[Month],"&lt;"&amp;$E270)+$HJ270</f>
        <v/>
      </c>
      <c r="HL270" s="55">
        <f>SUMIFS(tblBudget[Ore_oz],tblBudget[Month],$E270)</f>
        <v/>
      </c>
      <c r="HM270" s="55">
        <f>$HL270*$C270/$D270</f>
        <v/>
      </c>
      <c r="HN270" s="55">
        <f>SUMIFS(tblBudget[Ore_oz],tblBudget[Month],"&lt;"&amp;$E270)+$HM270</f>
        <v/>
      </c>
      <c r="HO270" s="56">
        <f>IFERROR(IF(($HI270)&gt;0,($HL270*cfg_TroyOz)/($HI270),""),"")</f>
        <v/>
      </c>
      <c r="HP270" s="56">
        <f>IFERROR(IF(($HJ270)&gt;0,($HM270*cfg_TroyOz)/($HJ270),""),"")</f>
        <v/>
      </c>
      <c r="HQ270" s="56">
        <f>IFERROR(IF(($HK270)&gt;0,($HN270*cfg_TroyOz)/($HK270),""),"")</f>
        <v/>
      </c>
      <c r="HR270" s="55">
        <f>SUMIFS(tblBudget[Waste_t],tblBudget[Month],$E270)</f>
        <v/>
      </c>
      <c r="HS270" s="55">
        <f>$HR270*$C270/$D270</f>
        <v/>
      </c>
      <c r="HT270" s="55">
        <f>SUMIFS(tblBudget[Waste_t],tblBudget[Month],"&lt;"&amp;$E270)+$HS270</f>
        <v/>
      </c>
      <c r="HU270" s="55">
        <f>SUMIFS(tblBudget[TMM_t],tblBudget[Month],$E270)</f>
        <v/>
      </c>
      <c r="HV270" s="55">
        <f>$HU270*$C270/$D270</f>
        <v/>
      </c>
      <c r="HW270" s="55">
        <f>SUMIFS(tblBudget[TMM_t],tblBudget[Month],"&lt;"&amp;$E270)+$HV270</f>
        <v/>
      </c>
      <c r="HX270" s="56">
        <f>IFERROR(IF(($HI270)&gt;0,($HR270)/($HI270),""),"")</f>
        <v/>
      </c>
      <c r="HY270" s="56">
        <f>IFERROR(IF(($HJ270)&gt;0,($HS270)/($HJ270),""),"")</f>
        <v/>
      </c>
      <c r="HZ270" s="56">
        <f>IFERROR(IF(($HK270)&gt;0,($HT270)/($HK270),""),"")</f>
        <v/>
      </c>
      <c r="IA270" s="55">
        <f>SUMIFS(tblBudget[Drill_m],tblBudget[Month],$E270)</f>
        <v/>
      </c>
      <c r="IB270" s="55">
        <f>$IA270*$C270/$D270</f>
        <v/>
      </c>
      <c r="IC270" s="55">
        <f>SUMIFS(tblBudget[Drill_m],tblBudget[Month],"&lt;"&amp;$E270)+$IB270</f>
        <v/>
      </c>
      <c r="ID270" s="55">
        <f>SUMIFS(tblBudget[Diesel_L],tblBudget[Month],$E270)</f>
        <v/>
      </c>
      <c r="IE270" s="55">
        <f>$ID270*$C270/$D270</f>
        <v/>
      </c>
      <c r="IF270" s="55">
        <f>SUMIFS(tblBudget[Diesel_L],tblBudget[Month],"&lt;"&amp;$E270)+$IE270</f>
        <v/>
      </c>
      <c r="IG270" s="55">
        <f>SUMIFS(tblBudget[Milled_t],tblBudget[Month],$E270)</f>
        <v/>
      </c>
      <c r="IH270" s="55">
        <f>$IG270*$C270/$D270</f>
        <v/>
      </c>
      <c r="II270" s="55">
        <f>SUMIFS(tblBudget[Milled_t],tblBudget[Month],"&lt;"&amp;$E270)+$IH270</f>
        <v/>
      </c>
      <c r="IJ270" s="55">
        <f>SUMIFS(tblBudget[Feed_oz],tblBudget[Month],$E270)</f>
        <v/>
      </c>
      <c r="IK270" s="55">
        <f>$IJ270*$C270/$D270</f>
        <v/>
      </c>
      <c r="IL270" s="55">
        <f>SUMIFS(tblBudget[Feed_oz],tblBudget[Month],"&lt;"&amp;$E270)+$IK270</f>
        <v/>
      </c>
      <c r="IM270" s="55">
        <f>SUMIFS(tblBudget[Recovered_oz],tblBudget[Month],$E270)</f>
        <v/>
      </c>
      <c r="IN270" s="55">
        <f>$IM270*$C270/$D270</f>
        <v/>
      </c>
      <c r="IO270" s="55">
        <f>SUMIFS(tblBudget[Recovered_oz],tblBudget[Month],"&lt;"&amp;$E270)+$IN270</f>
        <v/>
      </c>
      <c r="IP270" s="56">
        <f>IFERROR(IF(($IG270)&gt;0,($IJ270*cfg_TroyOz)/($IG270),""),"")</f>
        <v/>
      </c>
      <c r="IQ270" s="56">
        <f>IFERROR(IF(($IH270)&gt;0,($IK270*cfg_TroyOz)/($IH270),""),"")</f>
        <v/>
      </c>
      <c r="IR270" s="56">
        <f>IFERROR(IF(($II270)&gt;0,($IL270*cfg_TroyOz)/($II270),""),"")</f>
        <v/>
      </c>
      <c r="IS270" s="67">
        <f>IFERROR(IF(($IJ270)&gt;0,($IM270)/($IJ270),""),"")</f>
        <v/>
      </c>
      <c r="IT270" s="67">
        <f>IFERROR(IF(($IK270)&gt;0,($IN270)/($IK270),""),"")</f>
        <v/>
      </c>
      <c r="IU270" s="67">
        <f>IFERROR(IF(($IL270)&gt;0,($IO270)/($IL270),""),"")</f>
        <v/>
      </c>
      <c r="IV270" s="55">
        <f>SUMIFS(tblBudget[Gold_Poured_oz],tblBudget[Month],$E270)</f>
        <v/>
      </c>
      <c r="IW270" s="55">
        <f>$IV270*$C270/$D270</f>
        <v/>
      </c>
      <c r="IX270" s="55">
        <f>SUMIFS(tblBudget[Gold_Poured_oz],tblBudget[Month],"&lt;"&amp;$E270)+$IW270</f>
        <v/>
      </c>
      <c r="IY270" s="57">
        <f>SUMIFS(tblBudget[Hours_Worked],tblBudget[Month],$E270)</f>
        <v/>
      </c>
      <c r="IZ270" s="57">
        <f>$IY270*$C270/$D270</f>
        <v/>
      </c>
      <c r="JA270" s="57">
        <f>SUMIFS(tblBudget[Hours_Worked],tblBudget[Month],"&lt;"&amp;$E270)+$IZ270</f>
        <v/>
      </c>
    </row>
    <row r="271">
      <c r="A271" s="54" t="n">
        <v>46292</v>
      </c>
      <c r="B271">
        <f>MONTH($A271)</f>
        <v/>
      </c>
      <c r="C271">
        <f>DAY($A271)</f>
        <v/>
      </c>
      <c r="D271">
        <f>DAY(EOMONTH($A271,0))</f>
        <v/>
      </c>
      <c r="E271" s="54">
        <f>DATE(YEAR($A271),MONTH($A271),1)</f>
        <v/>
      </c>
      <c r="F271" s="55">
        <f>SUMIFS(tblMovement[Tonnes_t],tblMovement[Date],$A271,tblMovement[Is_Ore],1,tblMovement[Source_Type],"Pit")</f>
        <v/>
      </c>
      <c r="G271" s="55">
        <f>IF($B271=$B270,$G270,0)+$F271</f>
        <v/>
      </c>
      <c r="H271" s="55">
        <f>$H270+$F271</f>
        <v/>
      </c>
      <c r="I271" s="55">
        <f>SUMIFS(tblMovement[Ore_oz],tblMovement[Date],$A271,tblMovement[Source_Type],"Pit")</f>
        <v/>
      </c>
      <c r="J271" s="55">
        <f>IF($B271=$B270,$J270,0)+$I271</f>
        <v/>
      </c>
      <c r="K271" s="55">
        <f>$K270+$I271</f>
        <v/>
      </c>
      <c r="L271" s="56">
        <f>IFERROR(IF(($F271)&gt;0,($I271*cfg_TroyOz)/($F271),""),"")</f>
        <v/>
      </c>
      <c r="M271" s="56">
        <f>IFERROR(IF(($G271)&gt;0,($J271*cfg_TroyOz)/($G271),""),"")</f>
        <v/>
      </c>
      <c r="N271" s="56">
        <f>IFERROR(IF(($H271)&gt;0,($K271*cfg_TroyOz)/($H271),""),"")</f>
        <v/>
      </c>
      <c r="O271" s="55">
        <f>SUMIFS(tblMovement[Tonnes_t],tblMovement[Date],$A271,tblMovement[Is_Ore],0,tblMovement[Source_Type],"Pit")</f>
        <v/>
      </c>
      <c r="P271" s="55">
        <f>IF($B271=$B270,$P270,0)+$O271</f>
        <v/>
      </c>
      <c r="Q271" s="55">
        <f>$Q270+$O271</f>
        <v/>
      </c>
      <c r="R271" s="55">
        <f>$F271+$O271</f>
        <v/>
      </c>
      <c r="S271" s="55">
        <f>IF($B271=$B270,$S270,0)+$R271</f>
        <v/>
      </c>
      <c r="T271" s="55">
        <f>$T270+$R271</f>
        <v/>
      </c>
      <c r="U271" s="56">
        <f>IFERROR(IF(($F271)&gt;0,($O271)/($F271),""),"")</f>
        <v/>
      </c>
      <c r="V271" s="56">
        <f>IFERROR(IF(($G271)&gt;0,($P271)/($G271),""),"")</f>
        <v/>
      </c>
      <c r="W271" s="56">
        <f>IFERROR(IF(($H271)&gt;0,($Q271)/($H271),""),"")</f>
        <v/>
      </c>
      <c r="X271" s="55">
        <f>SUMIFS(tblMovement[Tonnes_t],tblMovement[Date],$A271,tblMovement[Source_Type],"Stockpile")</f>
        <v/>
      </c>
      <c r="Y271" s="55">
        <f>IF($B271=$B270,$Y270,0)+$X271</f>
        <v/>
      </c>
      <c r="Z271" s="55">
        <f>$Z270+$X271</f>
        <v/>
      </c>
      <c r="AA271" s="55">
        <f>SUMIFS(tblMiningDaily[Drill_m],tblMiningDaily[Date],$A271)</f>
        <v/>
      </c>
      <c r="AB271" s="55">
        <f>IF($B271=$B270,$AB270,0)+$AA271</f>
        <v/>
      </c>
      <c r="AC271" s="55">
        <f>$AC270+$AA271</f>
        <v/>
      </c>
      <c r="AD271" s="55">
        <f>SUMIFS(tblMiningDaily[Blast_t],tblMiningDaily[Date],$A271)</f>
        <v/>
      </c>
      <c r="AE271" s="55">
        <f>IF($B271=$B270,$AE270,0)+$AD271</f>
        <v/>
      </c>
      <c r="AF271" s="55">
        <f>$AF270+$AD271</f>
        <v/>
      </c>
      <c r="AG271" s="55">
        <f>SUMIFS(tblMiningDaily[Explosives_kg],tblMiningDaily[Date],$A271)</f>
        <v/>
      </c>
      <c r="AH271" s="55">
        <f>IF($B271=$B270,$AH270,0)+$AG271</f>
        <v/>
      </c>
      <c r="AI271" s="55">
        <f>$AI270+$AG271</f>
        <v/>
      </c>
      <c r="AJ271" s="56">
        <f>IFERROR(IF(($AD271)&gt;0,($AG271)/($AD271),""),"")</f>
        <v/>
      </c>
      <c r="AK271" s="56">
        <f>IFERROR(IF(($AE271)&gt;0,($AH271)/($AE271),""),"")</f>
        <v/>
      </c>
      <c r="AL271" s="56">
        <f>IFERROR(IF(($AF271)&gt;0,($AI271)/($AF271),""),"")</f>
        <v/>
      </c>
      <c r="AM271" s="55">
        <f>SUMIFS(tblMiningDaily[Diesel_L],tblMiningDaily[Date],$A271)</f>
        <v/>
      </c>
      <c r="AN271" s="55">
        <f>IF($B271=$B270,$AN270,0)+$AM271</f>
        <v/>
      </c>
      <c r="AO271" s="55">
        <f>$AO270+$AM271</f>
        <v/>
      </c>
      <c r="AP271" s="55">
        <f>SUMIFS(tblMiningDaily[Dewatering_m3],tblMiningDaily[Date],$A271)</f>
        <v/>
      </c>
      <c r="AQ271" s="55">
        <f>IF($B271=$B270,$AQ270,0)+$AP271</f>
        <v/>
      </c>
      <c r="AR271" s="55">
        <f>$AR270+$AP271</f>
        <v/>
      </c>
      <c r="AS271" s="57">
        <f>SUMIFS(tblFleet[Calendar_h],tblFleet[Date],$A271,tblFleet[Equipment_Class],"Excavator")</f>
        <v/>
      </c>
      <c r="AT271" s="57">
        <f>IF($B271=$B270,$AT270,0)+$AS271</f>
        <v/>
      </c>
      <c r="AU271" s="57">
        <f>$AU270+$AS271</f>
        <v/>
      </c>
      <c r="AV271" s="57">
        <f>SUMIFS(tblFleet[Available_h],tblFleet[Date],$A271,tblFleet[Equipment_Class],"Excavator")</f>
        <v/>
      </c>
      <c r="AW271" s="57">
        <f>IF($B271=$B270,$AW270,0)+$AV271</f>
        <v/>
      </c>
      <c r="AX271" s="57">
        <f>$AX270+$AV271</f>
        <v/>
      </c>
      <c r="AY271" s="57">
        <f>SUMIFS(tblFleet[Operating_h],tblFleet[Date],$A271,tblFleet[Equipment_Class],"Excavator")</f>
        <v/>
      </c>
      <c r="AZ271" s="57">
        <f>IF($B271=$B270,$AZ270,0)+$AY271</f>
        <v/>
      </c>
      <c r="BA271" s="57">
        <f>$BA270+$AY271</f>
        <v/>
      </c>
      <c r="BB271" s="67">
        <f>IFERROR(IF(($AS271)&gt;0,($AV271)/($AS271),""),"")</f>
        <v/>
      </c>
      <c r="BC271" s="67">
        <f>IFERROR(IF(($AT271)&gt;0,($AW271)/($AT271),""),"")</f>
        <v/>
      </c>
      <c r="BD271" s="67">
        <f>IFERROR(IF(($AU271)&gt;0,($AX271)/($AU271),""),"")</f>
        <v/>
      </c>
      <c r="BE271" s="67">
        <f>IFERROR(IF(($AV271)&gt;0,($AY271)/($AV271),""),"")</f>
        <v/>
      </c>
      <c r="BF271" s="67">
        <f>IFERROR(IF(($AW271)&gt;0,($AZ271)/($AW271),""),"")</f>
        <v/>
      </c>
      <c r="BG271" s="67">
        <f>IFERROR(IF(($AX271)&gt;0,($BA271)/($AX271),""),"")</f>
        <v/>
      </c>
      <c r="BH271" s="57">
        <f>SUMIFS(tblFleet[Calendar_h],tblFleet[Date],$A271,tblFleet[Equipment_Class],"Haul Truck")</f>
        <v/>
      </c>
      <c r="BI271" s="57">
        <f>IF($B271=$B270,$BI270,0)+$BH271</f>
        <v/>
      </c>
      <c r="BJ271" s="57">
        <f>$BJ270+$BH271</f>
        <v/>
      </c>
      <c r="BK271" s="57">
        <f>SUMIFS(tblFleet[Available_h],tblFleet[Date],$A271,tblFleet[Equipment_Class],"Haul Truck")</f>
        <v/>
      </c>
      <c r="BL271" s="57">
        <f>IF($B271=$B270,$BL270,0)+$BK271</f>
        <v/>
      </c>
      <c r="BM271" s="57">
        <f>$BM270+$BK271</f>
        <v/>
      </c>
      <c r="BN271" s="57">
        <f>SUMIFS(tblFleet[Operating_h],tblFleet[Date],$A271,tblFleet[Equipment_Class],"Haul Truck")</f>
        <v/>
      </c>
      <c r="BO271" s="57">
        <f>IF($B271=$B270,$BO270,0)+$BN271</f>
        <v/>
      </c>
      <c r="BP271" s="57">
        <f>$BP270+$BN271</f>
        <v/>
      </c>
      <c r="BQ271" s="67">
        <f>IFERROR(IF(($BH271)&gt;0,($BK271)/($BH271),""),"")</f>
        <v/>
      </c>
      <c r="BR271" s="67">
        <f>IFERROR(IF(($BI271)&gt;0,($BL271)/($BI271),""),"")</f>
        <v/>
      </c>
      <c r="BS271" s="67">
        <f>IFERROR(IF(($BJ271)&gt;0,($BM271)/($BJ271),""),"")</f>
        <v/>
      </c>
      <c r="BT271" s="67">
        <f>IFERROR(IF(($BK271)&gt;0,($BN271)/($BK271),""),"")</f>
        <v/>
      </c>
      <c r="BU271" s="67">
        <f>IFERROR(IF(($BL271)&gt;0,($BO271)/($BL271),""),"")</f>
        <v/>
      </c>
      <c r="BV271" s="67">
        <f>IFERROR(IF(($BM271)&gt;0,($BP271)/($BM271),""),"")</f>
        <v/>
      </c>
      <c r="BW271" s="55">
        <f>SUMIFS(tblPlant[Crushed_t],tblPlant[Date],$A271)</f>
        <v/>
      </c>
      <c r="BX271" s="55">
        <f>IF($B271=$B270,$BX270,0)+$BW271</f>
        <v/>
      </c>
      <c r="BY271" s="55">
        <f>$BY270+$BW271</f>
        <v/>
      </c>
      <c r="BZ271" s="55">
        <f>SUMIFS(tblPlant[Milled_t],tblPlant[Date],$A271)</f>
        <v/>
      </c>
      <c r="CA271" s="55">
        <f>IF($B271=$B270,$CA270,0)+$BZ271</f>
        <v/>
      </c>
      <c r="CB271" s="55">
        <f>$CB270+$BZ271</f>
        <v/>
      </c>
      <c r="CC271" s="55">
        <f>SUMIFS(tblPlant[Feed_oz],tblPlant[Date],$A271)</f>
        <v/>
      </c>
      <c r="CD271" s="55">
        <f>IF($B271=$B270,$CD270,0)+$CC271</f>
        <v/>
      </c>
      <c r="CE271" s="55">
        <f>$CE270+$CC271</f>
        <v/>
      </c>
      <c r="CF271" s="55">
        <f>SUMIFS(tblPlant[Tails_oz],tblPlant[Date],$A271)</f>
        <v/>
      </c>
      <c r="CG271" s="55">
        <f>IF($B271=$B270,$CG270,0)+$CF271</f>
        <v/>
      </c>
      <c r="CH271" s="55">
        <f>$CH270+$CF271</f>
        <v/>
      </c>
      <c r="CI271" s="55">
        <f>SUMIFS(tblPlant[Recovered_oz],tblPlant[Date],$A271)</f>
        <v/>
      </c>
      <c r="CJ271" s="55">
        <f>IF($B271=$B270,$CJ270,0)+$CI271</f>
        <v/>
      </c>
      <c r="CK271" s="55">
        <f>$CK270+$CI271</f>
        <v/>
      </c>
      <c r="CL271" s="56">
        <f>IFERROR(IF(($BZ271)&gt;0,($CC271*cfg_TroyOz)/($BZ271),""),"")</f>
        <v/>
      </c>
      <c r="CM271" s="56">
        <f>IFERROR(IF(($CA271)&gt;0,($CD271*cfg_TroyOz)/($CA271),""),"")</f>
        <v/>
      </c>
      <c r="CN271" s="56">
        <f>IFERROR(IF(($CB271)&gt;0,($CE271*cfg_TroyOz)/($CB271),""),"")</f>
        <v/>
      </c>
      <c r="CO271" s="56">
        <f>IFERROR(IF(($BZ271)&gt;0,($CF271*cfg_TroyOz)/($BZ271),""),"")</f>
        <v/>
      </c>
      <c r="CP271" s="56">
        <f>IFERROR(IF(($CA271)&gt;0,($CG271*cfg_TroyOz)/($CA271),""),"")</f>
        <v/>
      </c>
      <c r="CQ271" s="56">
        <f>IFERROR(IF(($CB271)&gt;0,($CH271*cfg_TroyOz)/($CB271),""),"")</f>
        <v/>
      </c>
      <c r="CR271" s="67">
        <f>IFERROR(IF(($CC271)&gt;0,($CI271)/($CC271),""),"")</f>
        <v/>
      </c>
      <c r="CS271" s="67">
        <f>IFERROR(IF(($CD271)&gt;0,($CJ271)/($CD271),""),"")</f>
        <v/>
      </c>
      <c r="CT271" s="67">
        <f>IFERROR(IF(($CE271)&gt;0,($CK271)/($CE271),""),"")</f>
        <v/>
      </c>
      <c r="CU271" s="55">
        <f>SUMIFS(tblPlant[Gravity_Gold_oz],tblPlant[Date],$A271)</f>
        <v/>
      </c>
      <c r="CV271" s="55">
        <f>IF($B271=$B270,$CV270,0)+$CU271</f>
        <v/>
      </c>
      <c r="CW271" s="55">
        <f>$CW270+$CU271</f>
        <v/>
      </c>
      <c r="CX271" s="55">
        <f>SUMIFS(tblPlant[Gold_Poured_oz],tblPlant[Date],$A271)</f>
        <v/>
      </c>
      <c r="CY271" s="55">
        <f>IF($B271=$B270,$CY270,0)+$CX271</f>
        <v/>
      </c>
      <c r="CZ271" s="55">
        <f>$CZ270+$CX271</f>
        <v/>
      </c>
      <c r="DA271" s="57">
        <f>SUMIFS(tblPlant[Mill_Run_h],tblPlant[Date],$A271)</f>
        <v/>
      </c>
      <c r="DB271" s="57">
        <f>IF($B271=$B270,$DB270,0)+$DA271</f>
        <v/>
      </c>
      <c r="DC271" s="57">
        <f>$DC270+$DA271</f>
        <v/>
      </c>
      <c r="DD271" s="57">
        <f>SUMIFS(tblPlant[Mill_Planned_Maint_h],tblPlant[Date],$A271)</f>
        <v/>
      </c>
      <c r="DE271" s="57">
        <f>IF($B271=$B270,$DE270,0)+$DD271</f>
        <v/>
      </c>
      <c r="DF271" s="57">
        <f>$DF270+$DD271</f>
        <v/>
      </c>
      <c r="DG271" s="57">
        <f>SUMIFS(tblPlant[Mill_Unplanned_Down_h],tblPlant[Date],$A271)</f>
        <v/>
      </c>
      <c r="DH271" s="57">
        <f>IF($B271=$B270,$DH270,0)+$DG271</f>
        <v/>
      </c>
      <c r="DI271" s="57">
        <f>$DI270+$DG271</f>
        <v/>
      </c>
      <c r="DJ271" s="57">
        <f>COUNTIFS(tblPlant[Date],$A271,tblPlant[Mill_Run_h],"&lt;&gt;")*24</f>
        <v/>
      </c>
      <c r="DK271" s="57">
        <f>IF($B271=$B270,$DK270,0)+$DJ271</f>
        <v/>
      </c>
      <c r="DL271" s="57">
        <f>$DL270+$DJ271</f>
        <v/>
      </c>
      <c r="DM271" s="57">
        <f>SUMIFS(tblPlant[Crusher_Run_h],tblPlant[Date],$A271)</f>
        <v/>
      </c>
      <c r="DN271" s="57">
        <f>IF($B271=$B270,$DN270,0)+$DM271</f>
        <v/>
      </c>
      <c r="DO271" s="57">
        <f>$DO270+$DM271</f>
        <v/>
      </c>
      <c r="DP271" s="55">
        <f>IFERROR(IF(($DA271)&gt;0,($BZ271)/($DA271),""),"")</f>
        <v/>
      </c>
      <c r="DQ271" s="55">
        <f>IFERROR(IF(($DB271)&gt;0,($CA271)/($DB271),""),"")</f>
        <v/>
      </c>
      <c r="DR271" s="55">
        <f>IFERROR(IF(($DC271)&gt;0,($CB271)/($DC271),""),"")</f>
        <v/>
      </c>
      <c r="DS271" s="67">
        <f>IFERROR(IF(($DJ271)&gt;0,($DJ271-$DD271-$DG271)/($DJ271),""),"")</f>
        <v/>
      </c>
      <c r="DT271" s="67">
        <f>IFERROR(IF(($DK271)&gt;0,($DK271-$DE271-$DH271)/($DK271),""),"")</f>
        <v/>
      </c>
      <c r="DU271" s="67">
        <f>IFERROR(IF(($DL271)&gt;0,($DL271-$DF271-$DI271)/($DL271),""),"")</f>
        <v/>
      </c>
      <c r="DV271" s="67">
        <f>IFERROR(IF(($DJ271-$DD271-$DG271)&gt;0,($DA271)/($DJ271-$DD271-$DG271),""),"")</f>
        <v/>
      </c>
      <c r="DW271" s="67">
        <f>IFERROR(IF(($DK271-$DE271-$DH271)&gt;0,($DB271)/($DK271-$DE271-$DH271),""),"")</f>
        <v/>
      </c>
      <c r="DX271" s="67">
        <f>IFERROR(IF(($DL271-$DF271-$DI271)&gt;0,($DC271)/($DL271-$DF271-$DI271),""),"")</f>
        <v/>
      </c>
      <c r="DY271" s="55">
        <f>SUMIFS(tblPlant[Cyanide_kg],tblPlant[Date],$A271)</f>
        <v/>
      </c>
      <c r="DZ271" s="55">
        <f>IF($B271=$B270,$DZ270,0)+$DY271</f>
        <v/>
      </c>
      <c r="EA271" s="55">
        <f>$EA270+$DY271</f>
        <v/>
      </c>
      <c r="EB271" s="55">
        <f>SUMIFS(tblPlant[Lime_kg],tblPlant[Date],$A271)</f>
        <v/>
      </c>
      <c r="EC271" s="55">
        <f>IF($B271=$B270,$EC270,0)+$EB271</f>
        <v/>
      </c>
      <c r="ED271" s="55">
        <f>$ED270+$EB271</f>
        <v/>
      </c>
      <c r="EE271" s="55">
        <f>SUMIFS(tblPlant[Grinding_Media_kg],tblPlant[Date],$A271)</f>
        <v/>
      </c>
      <c r="EF271" s="55">
        <f>IF($B271=$B270,$EF270,0)+$EE271</f>
        <v/>
      </c>
      <c r="EG271" s="55">
        <f>$EG270+$EE271</f>
        <v/>
      </c>
      <c r="EH271" s="55">
        <f>SUMIFS(tblPlant[Power_kWh],tblPlant[Date],$A271)</f>
        <v/>
      </c>
      <c r="EI271" s="55">
        <f>IF($B271=$B270,$EI270,0)+$EH271</f>
        <v/>
      </c>
      <c r="EJ271" s="55">
        <f>$EJ270+$EH271</f>
        <v/>
      </c>
      <c r="EK271" s="55">
        <f>SUMIFS(tblPlant[Raw_Water_m3],tblPlant[Date],$A271)</f>
        <v/>
      </c>
      <c r="EL271" s="55">
        <f>IF($B271=$B270,$EL270,0)+$EK271</f>
        <v/>
      </c>
      <c r="EM271" s="55">
        <f>$EM270+$EK271</f>
        <v/>
      </c>
      <c r="EN271" s="56">
        <f>IFERROR(IF(($BZ271)&gt;0,($DY271)/($BZ271),""),"")</f>
        <v/>
      </c>
      <c r="EO271" s="56">
        <f>IFERROR(IF(($CA271)&gt;0,($DZ271)/($CA271),""),"")</f>
        <v/>
      </c>
      <c r="EP271" s="56">
        <f>IFERROR(IF(($CB271)&gt;0,($EA271)/($CB271),""),"")</f>
        <v/>
      </c>
      <c r="EQ271" s="56">
        <f>IFERROR(IF(($BZ271)&gt;0,($EB271)/($BZ271),""),"")</f>
        <v/>
      </c>
      <c r="ER271" s="56">
        <f>IFERROR(IF(($CA271)&gt;0,($EC271)/($CA271),""),"")</f>
        <v/>
      </c>
      <c r="ES271" s="56">
        <f>IFERROR(IF(($CB271)&gt;0,($ED271)/($CB271),""),"")</f>
        <v/>
      </c>
      <c r="ET271" s="56">
        <f>IFERROR(IF(($BZ271)&gt;0,($EE271)/($BZ271),""),"")</f>
        <v/>
      </c>
      <c r="EU271" s="56">
        <f>IFERROR(IF(($CA271)&gt;0,($EF271)/($CA271),""),"")</f>
        <v/>
      </c>
      <c r="EV271" s="56">
        <f>IFERROR(IF(($CB271)&gt;0,($EG271)/($CB271),""),"")</f>
        <v/>
      </c>
      <c r="EW271" s="76">
        <f>IFERROR(IF(($BZ271)&gt;0,($EH271)/($BZ271),""),"")</f>
        <v/>
      </c>
      <c r="EX271" s="76">
        <f>IFERROR(IF(($CA271)&gt;0,($EI271)/($CA271),""),"")</f>
        <v/>
      </c>
      <c r="EY271" s="76">
        <f>IFERROR(IF(($CB271)&gt;0,($EJ271)/($CB271),""),"")</f>
        <v/>
      </c>
      <c r="EZ271" s="56">
        <f>IFERROR(IF(($BZ271)&gt;0,($EK271)/($BZ271),""),"")</f>
        <v/>
      </c>
      <c r="FA271" s="56">
        <f>IFERROR(IF(($CA271)&gt;0,($EL271)/($CA271),""),"")</f>
        <v/>
      </c>
      <c r="FB271" s="56">
        <f>IFERROR(IF(($CB271)&gt;0,($EM271)/($CB271),""),"")</f>
        <v/>
      </c>
      <c r="FC271" s="55">
        <f>IF(SUMIFS(tblPlant[GIC_oz],tblPlant[Date],$A271)&gt;0,SUMIFS(tblPlant[GIC_oz],tblPlant[Date],$A271),"")</f>
        <v/>
      </c>
      <c r="FD271" s="55">
        <f>SUMIFS(tblGold[Gold_oz],tblGold[Date],$A271,tblGold[Type],"Shipment")</f>
        <v/>
      </c>
      <c r="FE271" s="55">
        <f>IF($B271=$B270,$FE270,0)+$FD271</f>
        <v/>
      </c>
      <c r="FF271" s="55">
        <f>$FF270+$FD271</f>
        <v/>
      </c>
      <c r="FG271" s="55">
        <f>SUMIFS(tblGold[Gold_oz],tblGold[Date],$A271,tblGold[Type],"Sale")</f>
        <v/>
      </c>
      <c r="FH271" s="55">
        <f>IF($B271=$B270,$FH270,0)+$FG271</f>
        <v/>
      </c>
      <c r="FI271" s="55">
        <f>$FI270+$FG271</f>
        <v/>
      </c>
      <c r="FJ271" s="55">
        <f>SUMIFS(tblGold[Dore_kg],tblGold[Date],$A271,tblGold[Type],"Shipment")</f>
        <v/>
      </c>
      <c r="FK271" s="55">
        <f>IF($B271=$B270,$FK270,0)+$FJ271</f>
        <v/>
      </c>
      <c r="FL271" s="55">
        <f>$FL270+$FJ271</f>
        <v/>
      </c>
      <c r="FM271" s="57">
        <f>SUMIFS(tblSafety[Hours_Total],tblSafety[Date],$A271)</f>
        <v/>
      </c>
      <c r="FN271" s="57">
        <f>IF($B271=$B270,$FN270,0)+$FM271</f>
        <v/>
      </c>
      <c r="FO271" s="57">
        <f>$FO270+$FM271</f>
        <v/>
      </c>
      <c r="FP271" s="62">
        <f>SUMIFS(tblSafety[Fatality],tblSafety[Date],$A271)</f>
        <v/>
      </c>
      <c r="FQ271" s="62">
        <f>IF($B271=$B270,$FQ270,0)+$FP271</f>
        <v/>
      </c>
      <c r="FR271" s="62">
        <f>$FR270+$FP271</f>
        <v/>
      </c>
      <c r="FS271" s="62">
        <f>SUMIFS(tblSafety[LTI],tblSafety[Date],$A271)</f>
        <v/>
      </c>
      <c r="FT271" s="62">
        <f>IF($B271=$B270,$FT270,0)+$FS271</f>
        <v/>
      </c>
      <c r="FU271" s="62">
        <f>$FU270+$FS271</f>
        <v/>
      </c>
      <c r="FV271" s="62">
        <f>SUMIFS(tblSafety[RWI],tblSafety[Date],$A271)</f>
        <v/>
      </c>
      <c r="FW271" s="62">
        <f>IF($B271=$B270,$FW270,0)+$FV271</f>
        <v/>
      </c>
      <c r="FX271" s="62">
        <f>$FX270+$FV271</f>
        <v/>
      </c>
      <c r="FY271" s="62">
        <f>SUMIFS(tblSafety[MTI],tblSafety[Date],$A271)</f>
        <v/>
      </c>
      <c r="FZ271" s="62">
        <f>IF($B271=$B270,$FZ270,0)+$FY271</f>
        <v/>
      </c>
      <c r="GA271" s="62">
        <f>$GA270+$FY271</f>
        <v/>
      </c>
      <c r="GB271" s="62">
        <f>SUMIFS(tblSafety[FAI],tblSafety[Date],$A271)</f>
        <v/>
      </c>
      <c r="GC271" s="62">
        <f>IF($B271=$B270,$GC270,0)+$GB271</f>
        <v/>
      </c>
      <c r="GD271" s="62">
        <f>$GD270+$GB271</f>
        <v/>
      </c>
      <c r="GE271" s="62">
        <f>SUMIFS(tblSafety[Recordables],tblSafety[Date],$A271)</f>
        <v/>
      </c>
      <c r="GF271" s="62">
        <f>IF($B271=$B270,$GF270,0)+$GE271</f>
        <v/>
      </c>
      <c r="GG271" s="62">
        <f>$GG270+$GE271</f>
        <v/>
      </c>
      <c r="GH271" s="62">
        <f>SUMIFS(tblSafety[Near_Miss],tblSafety[Date],$A271)</f>
        <v/>
      </c>
      <c r="GI271" s="62">
        <f>IF($B271=$B270,$GI270,0)+$GH271</f>
        <v/>
      </c>
      <c r="GJ271" s="62">
        <f>$GJ270+$GH271</f>
        <v/>
      </c>
      <c r="GK271" s="62">
        <f>SUMIFS(tblSafety[Hazard_Reports],tblSafety[Date],$A271)</f>
        <v/>
      </c>
      <c r="GL271" s="62">
        <f>IF($B271=$B270,$GL270,0)+$GK271</f>
        <v/>
      </c>
      <c r="GM271" s="62">
        <f>$GM270+$GK271</f>
        <v/>
      </c>
      <c r="GN271" s="62">
        <f>SUMIFS(tblSafety[HPI],tblSafety[Date],$A271)</f>
        <v/>
      </c>
      <c r="GO271" s="62">
        <f>IF($B271=$B270,$GO270,0)+$GN271</f>
        <v/>
      </c>
      <c r="GP271" s="62">
        <f>$GP270+$GN271</f>
        <v/>
      </c>
      <c r="GQ271" s="62">
        <f>SUMIFS(tblSafety[Env_Incidents],tblSafety[Date],$A271)</f>
        <v/>
      </c>
      <c r="GR271" s="62">
        <f>IF($B271=$B270,$GR270,0)+$GQ271</f>
        <v/>
      </c>
      <c r="GS271" s="62">
        <f>$GS270+$GQ271</f>
        <v/>
      </c>
      <c r="GT271" s="62">
        <f>SUMIFS(tblSafety[Community_Incidents],tblSafety[Date],$A271)</f>
        <v/>
      </c>
      <c r="GU271" s="62">
        <f>IF($B271=$B270,$GU270,0)+$GT271</f>
        <v/>
      </c>
      <c r="GV271" s="62">
        <f>$GV270+$GT271</f>
        <v/>
      </c>
      <c r="GW271" s="62">
        <f>SUMIFS(tblSafety[Vehicle_Incidents],tblSafety[Date],$A271)</f>
        <v/>
      </c>
      <c r="GX271" s="62">
        <f>IF($B271=$B270,$GX270,0)+$GW271</f>
        <v/>
      </c>
      <c r="GY271" s="62">
        <f>$GY270+$GW271</f>
        <v/>
      </c>
      <c r="GZ271" s="62">
        <f>SUMIFS(tblSafety[Toolbox_Talks],tblSafety[Date],$A271)</f>
        <v/>
      </c>
      <c r="HA271" s="62">
        <f>IF($B271=$B270,$HA270,0)+$GZ271</f>
        <v/>
      </c>
      <c r="HB271" s="62">
        <f>$HB270+$GZ271</f>
        <v/>
      </c>
      <c r="HC271" s="62">
        <f>SUMIFS(tblSafety[Inspections],tblSafety[Date],$A271)</f>
        <v/>
      </c>
      <c r="HD271" s="62">
        <f>IF($B271=$B270,$HD270,0)+$HC271</f>
        <v/>
      </c>
      <c r="HE271" s="62">
        <f>$HE270+$HC271</f>
        <v/>
      </c>
      <c r="HF271" s="56">
        <f>IFERROR((SUMIFS(tblSafety[Recordables],tblSafety[Date],"&gt;="&amp;EDATE($E271,-12),tblSafety[Date],"&lt;="&amp;$A271)+SUMIFS(tblSafetyHistory[Recordables],tblSafetyHistory[Month],"&gt;="&amp;EDATE($E271,-12),tblSafetyHistory[Month],"&lt;"&amp;cfg_YearStart))/(SUMIFS(tblSafety[Hours_Total],tblSafety[Date],"&gt;="&amp;EDATE($E271,-12),tblSafety[Date],"&lt;="&amp;$A271)+SUMIFS(tblSafetyHistory[Hours_Total],tblSafetyHistory[Month],"&gt;="&amp;EDATE($E271,-12),tblSafetyHistory[Month],"&lt;"&amp;cfg_YearStart))*1000000,"")</f>
        <v/>
      </c>
      <c r="HG271" s="56">
        <f>IFERROR((SUMIFS(tblSafety[LTI],tblSafety[Date],"&gt;="&amp;EDATE($E271,-12),tblSafety[Date],"&lt;="&amp;$A271)+SUMIFS(tblSafetyHistory[LTI],tblSafetyHistory[Month],"&gt;="&amp;EDATE($E271,-12),tblSafetyHistory[Month],"&lt;"&amp;cfg_YearStart))/(SUMIFS(tblSafety[Hours_Total],tblSafety[Date],"&gt;="&amp;EDATE($E271,-12),tblSafety[Date],"&lt;="&amp;$A271)+SUMIFS(tblSafetyHistory[Hours_Total],tblSafetyHistory[Month],"&gt;="&amp;EDATE($E271,-12),tblSafetyHistory[Month],"&lt;"&amp;cfg_YearStart))*1000000,"")</f>
        <v/>
      </c>
      <c r="HH271" s="62">
        <f>IF(MAX(N(cfg_PriorLTIDate),_xlfn.MAXIFS(tblSafety[Date],tblSafety[LTI],"&gt;0",tblSafety[Date],"&lt;="&amp;$A271))=0,"",$A271-MAX(N(cfg_PriorLTIDate),_xlfn.MAXIFS(tblSafety[Date],tblSafety[LTI],"&gt;0",tblSafety[Date],"&lt;="&amp;$A271)))</f>
        <v/>
      </c>
      <c r="HI271" s="55">
        <f>SUMIFS(tblBudget[Ore_Mined_t],tblBudget[Month],$E271)</f>
        <v/>
      </c>
      <c r="HJ271" s="55">
        <f>$HI271*$C271/$D271</f>
        <v/>
      </c>
      <c r="HK271" s="55">
        <f>SUMIFS(tblBudget[Ore_Mined_t],tblBudget[Month],"&lt;"&amp;$E271)+$HJ271</f>
        <v/>
      </c>
      <c r="HL271" s="55">
        <f>SUMIFS(tblBudget[Ore_oz],tblBudget[Month],$E271)</f>
        <v/>
      </c>
      <c r="HM271" s="55">
        <f>$HL271*$C271/$D271</f>
        <v/>
      </c>
      <c r="HN271" s="55">
        <f>SUMIFS(tblBudget[Ore_oz],tblBudget[Month],"&lt;"&amp;$E271)+$HM271</f>
        <v/>
      </c>
      <c r="HO271" s="56">
        <f>IFERROR(IF(($HI271)&gt;0,($HL271*cfg_TroyOz)/($HI271),""),"")</f>
        <v/>
      </c>
      <c r="HP271" s="56">
        <f>IFERROR(IF(($HJ271)&gt;0,($HM271*cfg_TroyOz)/($HJ271),""),"")</f>
        <v/>
      </c>
      <c r="HQ271" s="56">
        <f>IFERROR(IF(($HK271)&gt;0,($HN271*cfg_TroyOz)/($HK271),""),"")</f>
        <v/>
      </c>
      <c r="HR271" s="55">
        <f>SUMIFS(tblBudget[Waste_t],tblBudget[Month],$E271)</f>
        <v/>
      </c>
      <c r="HS271" s="55">
        <f>$HR271*$C271/$D271</f>
        <v/>
      </c>
      <c r="HT271" s="55">
        <f>SUMIFS(tblBudget[Waste_t],tblBudget[Month],"&lt;"&amp;$E271)+$HS271</f>
        <v/>
      </c>
      <c r="HU271" s="55">
        <f>SUMIFS(tblBudget[TMM_t],tblBudget[Month],$E271)</f>
        <v/>
      </c>
      <c r="HV271" s="55">
        <f>$HU271*$C271/$D271</f>
        <v/>
      </c>
      <c r="HW271" s="55">
        <f>SUMIFS(tblBudget[TMM_t],tblBudget[Month],"&lt;"&amp;$E271)+$HV271</f>
        <v/>
      </c>
      <c r="HX271" s="56">
        <f>IFERROR(IF(($HI271)&gt;0,($HR271)/($HI271),""),"")</f>
        <v/>
      </c>
      <c r="HY271" s="56">
        <f>IFERROR(IF(($HJ271)&gt;0,($HS271)/($HJ271),""),"")</f>
        <v/>
      </c>
      <c r="HZ271" s="56">
        <f>IFERROR(IF(($HK271)&gt;0,($HT271)/($HK271),""),"")</f>
        <v/>
      </c>
      <c r="IA271" s="55">
        <f>SUMIFS(tblBudget[Drill_m],tblBudget[Month],$E271)</f>
        <v/>
      </c>
      <c r="IB271" s="55">
        <f>$IA271*$C271/$D271</f>
        <v/>
      </c>
      <c r="IC271" s="55">
        <f>SUMIFS(tblBudget[Drill_m],tblBudget[Month],"&lt;"&amp;$E271)+$IB271</f>
        <v/>
      </c>
      <c r="ID271" s="55">
        <f>SUMIFS(tblBudget[Diesel_L],tblBudget[Month],$E271)</f>
        <v/>
      </c>
      <c r="IE271" s="55">
        <f>$ID271*$C271/$D271</f>
        <v/>
      </c>
      <c r="IF271" s="55">
        <f>SUMIFS(tblBudget[Diesel_L],tblBudget[Month],"&lt;"&amp;$E271)+$IE271</f>
        <v/>
      </c>
      <c r="IG271" s="55">
        <f>SUMIFS(tblBudget[Milled_t],tblBudget[Month],$E271)</f>
        <v/>
      </c>
      <c r="IH271" s="55">
        <f>$IG271*$C271/$D271</f>
        <v/>
      </c>
      <c r="II271" s="55">
        <f>SUMIFS(tblBudget[Milled_t],tblBudget[Month],"&lt;"&amp;$E271)+$IH271</f>
        <v/>
      </c>
      <c r="IJ271" s="55">
        <f>SUMIFS(tblBudget[Feed_oz],tblBudget[Month],$E271)</f>
        <v/>
      </c>
      <c r="IK271" s="55">
        <f>$IJ271*$C271/$D271</f>
        <v/>
      </c>
      <c r="IL271" s="55">
        <f>SUMIFS(tblBudget[Feed_oz],tblBudget[Month],"&lt;"&amp;$E271)+$IK271</f>
        <v/>
      </c>
      <c r="IM271" s="55">
        <f>SUMIFS(tblBudget[Recovered_oz],tblBudget[Month],$E271)</f>
        <v/>
      </c>
      <c r="IN271" s="55">
        <f>$IM271*$C271/$D271</f>
        <v/>
      </c>
      <c r="IO271" s="55">
        <f>SUMIFS(tblBudget[Recovered_oz],tblBudget[Month],"&lt;"&amp;$E271)+$IN271</f>
        <v/>
      </c>
      <c r="IP271" s="56">
        <f>IFERROR(IF(($IG271)&gt;0,($IJ271*cfg_TroyOz)/($IG271),""),"")</f>
        <v/>
      </c>
      <c r="IQ271" s="56">
        <f>IFERROR(IF(($IH271)&gt;0,($IK271*cfg_TroyOz)/($IH271),""),"")</f>
        <v/>
      </c>
      <c r="IR271" s="56">
        <f>IFERROR(IF(($II271)&gt;0,($IL271*cfg_TroyOz)/($II271),""),"")</f>
        <v/>
      </c>
      <c r="IS271" s="67">
        <f>IFERROR(IF(($IJ271)&gt;0,($IM271)/($IJ271),""),"")</f>
        <v/>
      </c>
      <c r="IT271" s="67">
        <f>IFERROR(IF(($IK271)&gt;0,($IN271)/($IK271),""),"")</f>
        <v/>
      </c>
      <c r="IU271" s="67">
        <f>IFERROR(IF(($IL271)&gt;0,($IO271)/($IL271),""),"")</f>
        <v/>
      </c>
      <c r="IV271" s="55">
        <f>SUMIFS(tblBudget[Gold_Poured_oz],tblBudget[Month],$E271)</f>
        <v/>
      </c>
      <c r="IW271" s="55">
        <f>$IV271*$C271/$D271</f>
        <v/>
      </c>
      <c r="IX271" s="55">
        <f>SUMIFS(tblBudget[Gold_Poured_oz],tblBudget[Month],"&lt;"&amp;$E271)+$IW271</f>
        <v/>
      </c>
      <c r="IY271" s="57">
        <f>SUMIFS(tblBudget[Hours_Worked],tblBudget[Month],$E271)</f>
        <v/>
      </c>
      <c r="IZ271" s="57">
        <f>$IY271*$C271/$D271</f>
        <v/>
      </c>
      <c r="JA271" s="57">
        <f>SUMIFS(tblBudget[Hours_Worked],tblBudget[Month],"&lt;"&amp;$E271)+$IZ271</f>
        <v/>
      </c>
    </row>
    <row r="272">
      <c r="A272" s="54" t="n">
        <v>46293</v>
      </c>
      <c r="B272">
        <f>MONTH($A272)</f>
        <v/>
      </c>
      <c r="C272">
        <f>DAY($A272)</f>
        <v/>
      </c>
      <c r="D272">
        <f>DAY(EOMONTH($A272,0))</f>
        <v/>
      </c>
      <c r="E272" s="54">
        <f>DATE(YEAR($A272),MONTH($A272),1)</f>
        <v/>
      </c>
      <c r="F272" s="55">
        <f>SUMIFS(tblMovement[Tonnes_t],tblMovement[Date],$A272,tblMovement[Is_Ore],1,tblMovement[Source_Type],"Pit")</f>
        <v/>
      </c>
      <c r="G272" s="55">
        <f>IF($B272=$B271,$G271,0)+$F272</f>
        <v/>
      </c>
      <c r="H272" s="55">
        <f>$H271+$F272</f>
        <v/>
      </c>
      <c r="I272" s="55">
        <f>SUMIFS(tblMovement[Ore_oz],tblMovement[Date],$A272,tblMovement[Source_Type],"Pit")</f>
        <v/>
      </c>
      <c r="J272" s="55">
        <f>IF($B272=$B271,$J271,0)+$I272</f>
        <v/>
      </c>
      <c r="K272" s="55">
        <f>$K271+$I272</f>
        <v/>
      </c>
      <c r="L272" s="56">
        <f>IFERROR(IF(($F272)&gt;0,($I272*cfg_TroyOz)/($F272),""),"")</f>
        <v/>
      </c>
      <c r="M272" s="56">
        <f>IFERROR(IF(($G272)&gt;0,($J272*cfg_TroyOz)/($G272),""),"")</f>
        <v/>
      </c>
      <c r="N272" s="56">
        <f>IFERROR(IF(($H272)&gt;0,($K272*cfg_TroyOz)/($H272),""),"")</f>
        <v/>
      </c>
      <c r="O272" s="55">
        <f>SUMIFS(tblMovement[Tonnes_t],tblMovement[Date],$A272,tblMovement[Is_Ore],0,tblMovement[Source_Type],"Pit")</f>
        <v/>
      </c>
      <c r="P272" s="55">
        <f>IF($B272=$B271,$P271,0)+$O272</f>
        <v/>
      </c>
      <c r="Q272" s="55">
        <f>$Q271+$O272</f>
        <v/>
      </c>
      <c r="R272" s="55">
        <f>$F272+$O272</f>
        <v/>
      </c>
      <c r="S272" s="55">
        <f>IF($B272=$B271,$S271,0)+$R272</f>
        <v/>
      </c>
      <c r="T272" s="55">
        <f>$T271+$R272</f>
        <v/>
      </c>
      <c r="U272" s="56">
        <f>IFERROR(IF(($F272)&gt;0,($O272)/($F272),""),"")</f>
        <v/>
      </c>
      <c r="V272" s="56">
        <f>IFERROR(IF(($G272)&gt;0,($P272)/($G272),""),"")</f>
        <v/>
      </c>
      <c r="W272" s="56">
        <f>IFERROR(IF(($H272)&gt;0,($Q272)/($H272),""),"")</f>
        <v/>
      </c>
      <c r="X272" s="55">
        <f>SUMIFS(tblMovement[Tonnes_t],tblMovement[Date],$A272,tblMovement[Source_Type],"Stockpile")</f>
        <v/>
      </c>
      <c r="Y272" s="55">
        <f>IF($B272=$B271,$Y271,0)+$X272</f>
        <v/>
      </c>
      <c r="Z272" s="55">
        <f>$Z271+$X272</f>
        <v/>
      </c>
      <c r="AA272" s="55">
        <f>SUMIFS(tblMiningDaily[Drill_m],tblMiningDaily[Date],$A272)</f>
        <v/>
      </c>
      <c r="AB272" s="55">
        <f>IF($B272=$B271,$AB271,0)+$AA272</f>
        <v/>
      </c>
      <c r="AC272" s="55">
        <f>$AC271+$AA272</f>
        <v/>
      </c>
      <c r="AD272" s="55">
        <f>SUMIFS(tblMiningDaily[Blast_t],tblMiningDaily[Date],$A272)</f>
        <v/>
      </c>
      <c r="AE272" s="55">
        <f>IF($B272=$B271,$AE271,0)+$AD272</f>
        <v/>
      </c>
      <c r="AF272" s="55">
        <f>$AF271+$AD272</f>
        <v/>
      </c>
      <c r="AG272" s="55">
        <f>SUMIFS(tblMiningDaily[Explosives_kg],tblMiningDaily[Date],$A272)</f>
        <v/>
      </c>
      <c r="AH272" s="55">
        <f>IF($B272=$B271,$AH271,0)+$AG272</f>
        <v/>
      </c>
      <c r="AI272" s="55">
        <f>$AI271+$AG272</f>
        <v/>
      </c>
      <c r="AJ272" s="56">
        <f>IFERROR(IF(($AD272)&gt;0,($AG272)/($AD272),""),"")</f>
        <v/>
      </c>
      <c r="AK272" s="56">
        <f>IFERROR(IF(($AE272)&gt;0,($AH272)/($AE272),""),"")</f>
        <v/>
      </c>
      <c r="AL272" s="56">
        <f>IFERROR(IF(($AF272)&gt;0,($AI272)/($AF272),""),"")</f>
        <v/>
      </c>
      <c r="AM272" s="55">
        <f>SUMIFS(tblMiningDaily[Diesel_L],tblMiningDaily[Date],$A272)</f>
        <v/>
      </c>
      <c r="AN272" s="55">
        <f>IF($B272=$B271,$AN271,0)+$AM272</f>
        <v/>
      </c>
      <c r="AO272" s="55">
        <f>$AO271+$AM272</f>
        <v/>
      </c>
      <c r="AP272" s="55">
        <f>SUMIFS(tblMiningDaily[Dewatering_m3],tblMiningDaily[Date],$A272)</f>
        <v/>
      </c>
      <c r="AQ272" s="55">
        <f>IF($B272=$B271,$AQ271,0)+$AP272</f>
        <v/>
      </c>
      <c r="AR272" s="55">
        <f>$AR271+$AP272</f>
        <v/>
      </c>
      <c r="AS272" s="57">
        <f>SUMIFS(tblFleet[Calendar_h],tblFleet[Date],$A272,tblFleet[Equipment_Class],"Excavator")</f>
        <v/>
      </c>
      <c r="AT272" s="57">
        <f>IF($B272=$B271,$AT271,0)+$AS272</f>
        <v/>
      </c>
      <c r="AU272" s="57">
        <f>$AU271+$AS272</f>
        <v/>
      </c>
      <c r="AV272" s="57">
        <f>SUMIFS(tblFleet[Available_h],tblFleet[Date],$A272,tblFleet[Equipment_Class],"Excavator")</f>
        <v/>
      </c>
      <c r="AW272" s="57">
        <f>IF($B272=$B271,$AW271,0)+$AV272</f>
        <v/>
      </c>
      <c r="AX272" s="57">
        <f>$AX271+$AV272</f>
        <v/>
      </c>
      <c r="AY272" s="57">
        <f>SUMIFS(tblFleet[Operating_h],tblFleet[Date],$A272,tblFleet[Equipment_Class],"Excavator")</f>
        <v/>
      </c>
      <c r="AZ272" s="57">
        <f>IF($B272=$B271,$AZ271,0)+$AY272</f>
        <v/>
      </c>
      <c r="BA272" s="57">
        <f>$BA271+$AY272</f>
        <v/>
      </c>
      <c r="BB272" s="67">
        <f>IFERROR(IF(($AS272)&gt;0,($AV272)/($AS272),""),"")</f>
        <v/>
      </c>
      <c r="BC272" s="67">
        <f>IFERROR(IF(($AT272)&gt;0,($AW272)/($AT272),""),"")</f>
        <v/>
      </c>
      <c r="BD272" s="67">
        <f>IFERROR(IF(($AU272)&gt;0,($AX272)/($AU272),""),"")</f>
        <v/>
      </c>
      <c r="BE272" s="67">
        <f>IFERROR(IF(($AV272)&gt;0,($AY272)/($AV272),""),"")</f>
        <v/>
      </c>
      <c r="BF272" s="67">
        <f>IFERROR(IF(($AW272)&gt;0,($AZ272)/($AW272),""),"")</f>
        <v/>
      </c>
      <c r="BG272" s="67">
        <f>IFERROR(IF(($AX272)&gt;0,($BA272)/($AX272),""),"")</f>
        <v/>
      </c>
      <c r="BH272" s="57">
        <f>SUMIFS(tblFleet[Calendar_h],tblFleet[Date],$A272,tblFleet[Equipment_Class],"Haul Truck")</f>
        <v/>
      </c>
      <c r="BI272" s="57">
        <f>IF($B272=$B271,$BI271,0)+$BH272</f>
        <v/>
      </c>
      <c r="BJ272" s="57">
        <f>$BJ271+$BH272</f>
        <v/>
      </c>
      <c r="BK272" s="57">
        <f>SUMIFS(tblFleet[Available_h],tblFleet[Date],$A272,tblFleet[Equipment_Class],"Haul Truck")</f>
        <v/>
      </c>
      <c r="BL272" s="57">
        <f>IF($B272=$B271,$BL271,0)+$BK272</f>
        <v/>
      </c>
      <c r="BM272" s="57">
        <f>$BM271+$BK272</f>
        <v/>
      </c>
      <c r="BN272" s="57">
        <f>SUMIFS(tblFleet[Operating_h],tblFleet[Date],$A272,tblFleet[Equipment_Class],"Haul Truck")</f>
        <v/>
      </c>
      <c r="BO272" s="57">
        <f>IF($B272=$B271,$BO271,0)+$BN272</f>
        <v/>
      </c>
      <c r="BP272" s="57">
        <f>$BP271+$BN272</f>
        <v/>
      </c>
      <c r="BQ272" s="67">
        <f>IFERROR(IF(($BH272)&gt;0,($BK272)/($BH272),""),"")</f>
        <v/>
      </c>
      <c r="BR272" s="67">
        <f>IFERROR(IF(($BI272)&gt;0,($BL272)/($BI272),""),"")</f>
        <v/>
      </c>
      <c r="BS272" s="67">
        <f>IFERROR(IF(($BJ272)&gt;0,($BM272)/($BJ272),""),"")</f>
        <v/>
      </c>
      <c r="BT272" s="67">
        <f>IFERROR(IF(($BK272)&gt;0,($BN272)/($BK272),""),"")</f>
        <v/>
      </c>
      <c r="BU272" s="67">
        <f>IFERROR(IF(($BL272)&gt;0,($BO272)/($BL272),""),"")</f>
        <v/>
      </c>
      <c r="BV272" s="67">
        <f>IFERROR(IF(($BM272)&gt;0,($BP272)/($BM272),""),"")</f>
        <v/>
      </c>
      <c r="BW272" s="55">
        <f>SUMIFS(tblPlant[Crushed_t],tblPlant[Date],$A272)</f>
        <v/>
      </c>
      <c r="BX272" s="55">
        <f>IF($B272=$B271,$BX271,0)+$BW272</f>
        <v/>
      </c>
      <c r="BY272" s="55">
        <f>$BY271+$BW272</f>
        <v/>
      </c>
      <c r="BZ272" s="55">
        <f>SUMIFS(tblPlant[Milled_t],tblPlant[Date],$A272)</f>
        <v/>
      </c>
      <c r="CA272" s="55">
        <f>IF($B272=$B271,$CA271,0)+$BZ272</f>
        <v/>
      </c>
      <c r="CB272" s="55">
        <f>$CB271+$BZ272</f>
        <v/>
      </c>
      <c r="CC272" s="55">
        <f>SUMIFS(tblPlant[Feed_oz],tblPlant[Date],$A272)</f>
        <v/>
      </c>
      <c r="CD272" s="55">
        <f>IF($B272=$B271,$CD271,0)+$CC272</f>
        <v/>
      </c>
      <c r="CE272" s="55">
        <f>$CE271+$CC272</f>
        <v/>
      </c>
      <c r="CF272" s="55">
        <f>SUMIFS(tblPlant[Tails_oz],tblPlant[Date],$A272)</f>
        <v/>
      </c>
      <c r="CG272" s="55">
        <f>IF($B272=$B271,$CG271,0)+$CF272</f>
        <v/>
      </c>
      <c r="CH272" s="55">
        <f>$CH271+$CF272</f>
        <v/>
      </c>
      <c r="CI272" s="55">
        <f>SUMIFS(tblPlant[Recovered_oz],tblPlant[Date],$A272)</f>
        <v/>
      </c>
      <c r="CJ272" s="55">
        <f>IF($B272=$B271,$CJ271,0)+$CI272</f>
        <v/>
      </c>
      <c r="CK272" s="55">
        <f>$CK271+$CI272</f>
        <v/>
      </c>
      <c r="CL272" s="56">
        <f>IFERROR(IF(($BZ272)&gt;0,($CC272*cfg_TroyOz)/($BZ272),""),"")</f>
        <v/>
      </c>
      <c r="CM272" s="56">
        <f>IFERROR(IF(($CA272)&gt;0,($CD272*cfg_TroyOz)/($CA272),""),"")</f>
        <v/>
      </c>
      <c r="CN272" s="56">
        <f>IFERROR(IF(($CB272)&gt;0,($CE272*cfg_TroyOz)/($CB272),""),"")</f>
        <v/>
      </c>
      <c r="CO272" s="56">
        <f>IFERROR(IF(($BZ272)&gt;0,($CF272*cfg_TroyOz)/($BZ272),""),"")</f>
        <v/>
      </c>
      <c r="CP272" s="56">
        <f>IFERROR(IF(($CA272)&gt;0,($CG272*cfg_TroyOz)/($CA272),""),"")</f>
        <v/>
      </c>
      <c r="CQ272" s="56">
        <f>IFERROR(IF(($CB272)&gt;0,($CH272*cfg_TroyOz)/($CB272),""),"")</f>
        <v/>
      </c>
      <c r="CR272" s="67">
        <f>IFERROR(IF(($CC272)&gt;0,($CI272)/($CC272),""),"")</f>
        <v/>
      </c>
      <c r="CS272" s="67">
        <f>IFERROR(IF(($CD272)&gt;0,($CJ272)/($CD272),""),"")</f>
        <v/>
      </c>
      <c r="CT272" s="67">
        <f>IFERROR(IF(($CE272)&gt;0,($CK272)/($CE272),""),"")</f>
        <v/>
      </c>
      <c r="CU272" s="55">
        <f>SUMIFS(tblPlant[Gravity_Gold_oz],tblPlant[Date],$A272)</f>
        <v/>
      </c>
      <c r="CV272" s="55">
        <f>IF($B272=$B271,$CV271,0)+$CU272</f>
        <v/>
      </c>
      <c r="CW272" s="55">
        <f>$CW271+$CU272</f>
        <v/>
      </c>
      <c r="CX272" s="55">
        <f>SUMIFS(tblPlant[Gold_Poured_oz],tblPlant[Date],$A272)</f>
        <v/>
      </c>
      <c r="CY272" s="55">
        <f>IF($B272=$B271,$CY271,0)+$CX272</f>
        <v/>
      </c>
      <c r="CZ272" s="55">
        <f>$CZ271+$CX272</f>
        <v/>
      </c>
      <c r="DA272" s="57">
        <f>SUMIFS(tblPlant[Mill_Run_h],tblPlant[Date],$A272)</f>
        <v/>
      </c>
      <c r="DB272" s="57">
        <f>IF($B272=$B271,$DB271,0)+$DA272</f>
        <v/>
      </c>
      <c r="DC272" s="57">
        <f>$DC271+$DA272</f>
        <v/>
      </c>
      <c r="DD272" s="57">
        <f>SUMIFS(tblPlant[Mill_Planned_Maint_h],tblPlant[Date],$A272)</f>
        <v/>
      </c>
      <c r="DE272" s="57">
        <f>IF($B272=$B271,$DE271,0)+$DD272</f>
        <v/>
      </c>
      <c r="DF272" s="57">
        <f>$DF271+$DD272</f>
        <v/>
      </c>
      <c r="DG272" s="57">
        <f>SUMIFS(tblPlant[Mill_Unplanned_Down_h],tblPlant[Date],$A272)</f>
        <v/>
      </c>
      <c r="DH272" s="57">
        <f>IF($B272=$B271,$DH271,0)+$DG272</f>
        <v/>
      </c>
      <c r="DI272" s="57">
        <f>$DI271+$DG272</f>
        <v/>
      </c>
      <c r="DJ272" s="57">
        <f>COUNTIFS(tblPlant[Date],$A272,tblPlant[Mill_Run_h],"&lt;&gt;")*24</f>
        <v/>
      </c>
      <c r="DK272" s="57">
        <f>IF($B272=$B271,$DK271,0)+$DJ272</f>
        <v/>
      </c>
      <c r="DL272" s="57">
        <f>$DL271+$DJ272</f>
        <v/>
      </c>
      <c r="DM272" s="57">
        <f>SUMIFS(tblPlant[Crusher_Run_h],tblPlant[Date],$A272)</f>
        <v/>
      </c>
      <c r="DN272" s="57">
        <f>IF($B272=$B271,$DN271,0)+$DM272</f>
        <v/>
      </c>
      <c r="DO272" s="57">
        <f>$DO271+$DM272</f>
        <v/>
      </c>
      <c r="DP272" s="55">
        <f>IFERROR(IF(($DA272)&gt;0,($BZ272)/($DA272),""),"")</f>
        <v/>
      </c>
      <c r="DQ272" s="55">
        <f>IFERROR(IF(($DB272)&gt;0,($CA272)/($DB272),""),"")</f>
        <v/>
      </c>
      <c r="DR272" s="55">
        <f>IFERROR(IF(($DC272)&gt;0,($CB272)/($DC272),""),"")</f>
        <v/>
      </c>
      <c r="DS272" s="67">
        <f>IFERROR(IF(($DJ272)&gt;0,($DJ272-$DD272-$DG272)/($DJ272),""),"")</f>
        <v/>
      </c>
      <c r="DT272" s="67">
        <f>IFERROR(IF(($DK272)&gt;0,($DK272-$DE272-$DH272)/($DK272),""),"")</f>
        <v/>
      </c>
      <c r="DU272" s="67">
        <f>IFERROR(IF(($DL272)&gt;0,($DL272-$DF272-$DI272)/($DL272),""),"")</f>
        <v/>
      </c>
      <c r="DV272" s="67">
        <f>IFERROR(IF(($DJ272-$DD272-$DG272)&gt;0,($DA272)/($DJ272-$DD272-$DG272),""),"")</f>
        <v/>
      </c>
      <c r="DW272" s="67">
        <f>IFERROR(IF(($DK272-$DE272-$DH272)&gt;0,($DB272)/($DK272-$DE272-$DH272),""),"")</f>
        <v/>
      </c>
      <c r="DX272" s="67">
        <f>IFERROR(IF(($DL272-$DF272-$DI272)&gt;0,($DC272)/($DL272-$DF272-$DI272),""),"")</f>
        <v/>
      </c>
      <c r="DY272" s="55">
        <f>SUMIFS(tblPlant[Cyanide_kg],tblPlant[Date],$A272)</f>
        <v/>
      </c>
      <c r="DZ272" s="55">
        <f>IF($B272=$B271,$DZ271,0)+$DY272</f>
        <v/>
      </c>
      <c r="EA272" s="55">
        <f>$EA271+$DY272</f>
        <v/>
      </c>
      <c r="EB272" s="55">
        <f>SUMIFS(tblPlant[Lime_kg],tblPlant[Date],$A272)</f>
        <v/>
      </c>
      <c r="EC272" s="55">
        <f>IF($B272=$B271,$EC271,0)+$EB272</f>
        <v/>
      </c>
      <c r="ED272" s="55">
        <f>$ED271+$EB272</f>
        <v/>
      </c>
      <c r="EE272" s="55">
        <f>SUMIFS(tblPlant[Grinding_Media_kg],tblPlant[Date],$A272)</f>
        <v/>
      </c>
      <c r="EF272" s="55">
        <f>IF($B272=$B271,$EF271,0)+$EE272</f>
        <v/>
      </c>
      <c r="EG272" s="55">
        <f>$EG271+$EE272</f>
        <v/>
      </c>
      <c r="EH272" s="55">
        <f>SUMIFS(tblPlant[Power_kWh],tblPlant[Date],$A272)</f>
        <v/>
      </c>
      <c r="EI272" s="55">
        <f>IF($B272=$B271,$EI271,0)+$EH272</f>
        <v/>
      </c>
      <c r="EJ272" s="55">
        <f>$EJ271+$EH272</f>
        <v/>
      </c>
      <c r="EK272" s="55">
        <f>SUMIFS(tblPlant[Raw_Water_m3],tblPlant[Date],$A272)</f>
        <v/>
      </c>
      <c r="EL272" s="55">
        <f>IF($B272=$B271,$EL271,0)+$EK272</f>
        <v/>
      </c>
      <c r="EM272" s="55">
        <f>$EM271+$EK272</f>
        <v/>
      </c>
      <c r="EN272" s="56">
        <f>IFERROR(IF(($BZ272)&gt;0,($DY272)/($BZ272),""),"")</f>
        <v/>
      </c>
      <c r="EO272" s="56">
        <f>IFERROR(IF(($CA272)&gt;0,($DZ272)/($CA272),""),"")</f>
        <v/>
      </c>
      <c r="EP272" s="56">
        <f>IFERROR(IF(($CB272)&gt;0,($EA272)/($CB272),""),"")</f>
        <v/>
      </c>
      <c r="EQ272" s="56">
        <f>IFERROR(IF(($BZ272)&gt;0,($EB272)/($BZ272),""),"")</f>
        <v/>
      </c>
      <c r="ER272" s="56">
        <f>IFERROR(IF(($CA272)&gt;0,($EC272)/($CA272),""),"")</f>
        <v/>
      </c>
      <c r="ES272" s="56">
        <f>IFERROR(IF(($CB272)&gt;0,($ED272)/($CB272),""),"")</f>
        <v/>
      </c>
      <c r="ET272" s="56">
        <f>IFERROR(IF(($BZ272)&gt;0,($EE272)/($BZ272),""),"")</f>
        <v/>
      </c>
      <c r="EU272" s="56">
        <f>IFERROR(IF(($CA272)&gt;0,($EF272)/($CA272),""),"")</f>
        <v/>
      </c>
      <c r="EV272" s="56">
        <f>IFERROR(IF(($CB272)&gt;0,($EG272)/($CB272),""),"")</f>
        <v/>
      </c>
      <c r="EW272" s="76">
        <f>IFERROR(IF(($BZ272)&gt;0,($EH272)/($BZ272),""),"")</f>
        <v/>
      </c>
      <c r="EX272" s="76">
        <f>IFERROR(IF(($CA272)&gt;0,($EI272)/($CA272),""),"")</f>
        <v/>
      </c>
      <c r="EY272" s="76">
        <f>IFERROR(IF(($CB272)&gt;0,($EJ272)/($CB272),""),"")</f>
        <v/>
      </c>
      <c r="EZ272" s="56">
        <f>IFERROR(IF(($BZ272)&gt;0,($EK272)/($BZ272),""),"")</f>
        <v/>
      </c>
      <c r="FA272" s="56">
        <f>IFERROR(IF(($CA272)&gt;0,($EL272)/($CA272),""),"")</f>
        <v/>
      </c>
      <c r="FB272" s="56">
        <f>IFERROR(IF(($CB272)&gt;0,($EM272)/($CB272),""),"")</f>
        <v/>
      </c>
      <c r="FC272" s="55">
        <f>IF(SUMIFS(tblPlant[GIC_oz],tblPlant[Date],$A272)&gt;0,SUMIFS(tblPlant[GIC_oz],tblPlant[Date],$A272),"")</f>
        <v/>
      </c>
      <c r="FD272" s="55">
        <f>SUMIFS(tblGold[Gold_oz],tblGold[Date],$A272,tblGold[Type],"Shipment")</f>
        <v/>
      </c>
      <c r="FE272" s="55">
        <f>IF($B272=$B271,$FE271,0)+$FD272</f>
        <v/>
      </c>
      <c r="FF272" s="55">
        <f>$FF271+$FD272</f>
        <v/>
      </c>
      <c r="FG272" s="55">
        <f>SUMIFS(tblGold[Gold_oz],tblGold[Date],$A272,tblGold[Type],"Sale")</f>
        <v/>
      </c>
      <c r="FH272" s="55">
        <f>IF($B272=$B271,$FH271,0)+$FG272</f>
        <v/>
      </c>
      <c r="FI272" s="55">
        <f>$FI271+$FG272</f>
        <v/>
      </c>
      <c r="FJ272" s="55">
        <f>SUMIFS(tblGold[Dore_kg],tblGold[Date],$A272,tblGold[Type],"Shipment")</f>
        <v/>
      </c>
      <c r="FK272" s="55">
        <f>IF($B272=$B271,$FK271,0)+$FJ272</f>
        <v/>
      </c>
      <c r="FL272" s="55">
        <f>$FL271+$FJ272</f>
        <v/>
      </c>
      <c r="FM272" s="57">
        <f>SUMIFS(tblSafety[Hours_Total],tblSafety[Date],$A272)</f>
        <v/>
      </c>
      <c r="FN272" s="57">
        <f>IF($B272=$B271,$FN271,0)+$FM272</f>
        <v/>
      </c>
      <c r="FO272" s="57">
        <f>$FO271+$FM272</f>
        <v/>
      </c>
      <c r="FP272" s="62">
        <f>SUMIFS(tblSafety[Fatality],tblSafety[Date],$A272)</f>
        <v/>
      </c>
      <c r="FQ272" s="62">
        <f>IF($B272=$B271,$FQ271,0)+$FP272</f>
        <v/>
      </c>
      <c r="FR272" s="62">
        <f>$FR271+$FP272</f>
        <v/>
      </c>
      <c r="FS272" s="62">
        <f>SUMIFS(tblSafety[LTI],tblSafety[Date],$A272)</f>
        <v/>
      </c>
      <c r="FT272" s="62">
        <f>IF($B272=$B271,$FT271,0)+$FS272</f>
        <v/>
      </c>
      <c r="FU272" s="62">
        <f>$FU271+$FS272</f>
        <v/>
      </c>
      <c r="FV272" s="62">
        <f>SUMIFS(tblSafety[RWI],tblSafety[Date],$A272)</f>
        <v/>
      </c>
      <c r="FW272" s="62">
        <f>IF($B272=$B271,$FW271,0)+$FV272</f>
        <v/>
      </c>
      <c r="FX272" s="62">
        <f>$FX271+$FV272</f>
        <v/>
      </c>
      <c r="FY272" s="62">
        <f>SUMIFS(tblSafety[MTI],tblSafety[Date],$A272)</f>
        <v/>
      </c>
      <c r="FZ272" s="62">
        <f>IF($B272=$B271,$FZ271,0)+$FY272</f>
        <v/>
      </c>
      <c r="GA272" s="62">
        <f>$GA271+$FY272</f>
        <v/>
      </c>
      <c r="GB272" s="62">
        <f>SUMIFS(tblSafety[FAI],tblSafety[Date],$A272)</f>
        <v/>
      </c>
      <c r="GC272" s="62">
        <f>IF($B272=$B271,$GC271,0)+$GB272</f>
        <v/>
      </c>
      <c r="GD272" s="62">
        <f>$GD271+$GB272</f>
        <v/>
      </c>
      <c r="GE272" s="62">
        <f>SUMIFS(tblSafety[Recordables],tblSafety[Date],$A272)</f>
        <v/>
      </c>
      <c r="GF272" s="62">
        <f>IF($B272=$B271,$GF271,0)+$GE272</f>
        <v/>
      </c>
      <c r="GG272" s="62">
        <f>$GG271+$GE272</f>
        <v/>
      </c>
      <c r="GH272" s="62">
        <f>SUMIFS(tblSafety[Near_Miss],tblSafety[Date],$A272)</f>
        <v/>
      </c>
      <c r="GI272" s="62">
        <f>IF($B272=$B271,$GI271,0)+$GH272</f>
        <v/>
      </c>
      <c r="GJ272" s="62">
        <f>$GJ271+$GH272</f>
        <v/>
      </c>
      <c r="GK272" s="62">
        <f>SUMIFS(tblSafety[Hazard_Reports],tblSafety[Date],$A272)</f>
        <v/>
      </c>
      <c r="GL272" s="62">
        <f>IF($B272=$B271,$GL271,0)+$GK272</f>
        <v/>
      </c>
      <c r="GM272" s="62">
        <f>$GM271+$GK272</f>
        <v/>
      </c>
      <c r="GN272" s="62">
        <f>SUMIFS(tblSafety[HPI],tblSafety[Date],$A272)</f>
        <v/>
      </c>
      <c r="GO272" s="62">
        <f>IF($B272=$B271,$GO271,0)+$GN272</f>
        <v/>
      </c>
      <c r="GP272" s="62">
        <f>$GP271+$GN272</f>
        <v/>
      </c>
      <c r="GQ272" s="62">
        <f>SUMIFS(tblSafety[Env_Incidents],tblSafety[Date],$A272)</f>
        <v/>
      </c>
      <c r="GR272" s="62">
        <f>IF($B272=$B271,$GR271,0)+$GQ272</f>
        <v/>
      </c>
      <c r="GS272" s="62">
        <f>$GS271+$GQ272</f>
        <v/>
      </c>
      <c r="GT272" s="62">
        <f>SUMIFS(tblSafety[Community_Incidents],tblSafety[Date],$A272)</f>
        <v/>
      </c>
      <c r="GU272" s="62">
        <f>IF($B272=$B271,$GU271,0)+$GT272</f>
        <v/>
      </c>
      <c r="GV272" s="62">
        <f>$GV271+$GT272</f>
        <v/>
      </c>
      <c r="GW272" s="62">
        <f>SUMIFS(tblSafety[Vehicle_Incidents],tblSafety[Date],$A272)</f>
        <v/>
      </c>
      <c r="GX272" s="62">
        <f>IF($B272=$B271,$GX271,0)+$GW272</f>
        <v/>
      </c>
      <c r="GY272" s="62">
        <f>$GY271+$GW272</f>
        <v/>
      </c>
      <c r="GZ272" s="62">
        <f>SUMIFS(tblSafety[Toolbox_Talks],tblSafety[Date],$A272)</f>
        <v/>
      </c>
      <c r="HA272" s="62">
        <f>IF($B272=$B271,$HA271,0)+$GZ272</f>
        <v/>
      </c>
      <c r="HB272" s="62">
        <f>$HB271+$GZ272</f>
        <v/>
      </c>
      <c r="HC272" s="62">
        <f>SUMIFS(tblSafety[Inspections],tblSafety[Date],$A272)</f>
        <v/>
      </c>
      <c r="HD272" s="62">
        <f>IF($B272=$B271,$HD271,0)+$HC272</f>
        <v/>
      </c>
      <c r="HE272" s="62">
        <f>$HE271+$HC272</f>
        <v/>
      </c>
      <c r="HF272" s="56">
        <f>IFERROR((SUMIFS(tblSafety[Recordables],tblSafety[Date],"&gt;="&amp;EDATE($E272,-12),tblSafety[Date],"&lt;="&amp;$A272)+SUMIFS(tblSafetyHistory[Recordables],tblSafetyHistory[Month],"&gt;="&amp;EDATE($E272,-12),tblSafetyHistory[Month],"&lt;"&amp;cfg_YearStart))/(SUMIFS(tblSafety[Hours_Total],tblSafety[Date],"&gt;="&amp;EDATE($E272,-12),tblSafety[Date],"&lt;="&amp;$A272)+SUMIFS(tblSafetyHistory[Hours_Total],tblSafetyHistory[Month],"&gt;="&amp;EDATE($E272,-12),tblSafetyHistory[Month],"&lt;"&amp;cfg_YearStart))*1000000,"")</f>
        <v/>
      </c>
      <c r="HG272" s="56">
        <f>IFERROR((SUMIFS(tblSafety[LTI],tblSafety[Date],"&gt;="&amp;EDATE($E272,-12),tblSafety[Date],"&lt;="&amp;$A272)+SUMIFS(tblSafetyHistory[LTI],tblSafetyHistory[Month],"&gt;="&amp;EDATE($E272,-12),tblSafetyHistory[Month],"&lt;"&amp;cfg_YearStart))/(SUMIFS(tblSafety[Hours_Total],tblSafety[Date],"&gt;="&amp;EDATE($E272,-12),tblSafety[Date],"&lt;="&amp;$A272)+SUMIFS(tblSafetyHistory[Hours_Total],tblSafetyHistory[Month],"&gt;="&amp;EDATE($E272,-12),tblSafetyHistory[Month],"&lt;"&amp;cfg_YearStart))*1000000,"")</f>
        <v/>
      </c>
      <c r="HH272" s="62">
        <f>IF(MAX(N(cfg_PriorLTIDate),_xlfn.MAXIFS(tblSafety[Date],tblSafety[LTI],"&gt;0",tblSafety[Date],"&lt;="&amp;$A272))=0,"",$A272-MAX(N(cfg_PriorLTIDate),_xlfn.MAXIFS(tblSafety[Date],tblSafety[LTI],"&gt;0",tblSafety[Date],"&lt;="&amp;$A272)))</f>
        <v/>
      </c>
      <c r="HI272" s="55">
        <f>SUMIFS(tblBudget[Ore_Mined_t],tblBudget[Month],$E272)</f>
        <v/>
      </c>
      <c r="HJ272" s="55">
        <f>$HI272*$C272/$D272</f>
        <v/>
      </c>
      <c r="HK272" s="55">
        <f>SUMIFS(tblBudget[Ore_Mined_t],tblBudget[Month],"&lt;"&amp;$E272)+$HJ272</f>
        <v/>
      </c>
      <c r="HL272" s="55">
        <f>SUMIFS(tblBudget[Ore_oz],tblBudget[Month],$E272)</f>
        <v/>
      </c>
      <c r="HM272" s="55">
        <f>$HL272*$C272/$D272</f>
        <v/>
      </c>
      <c r="HN272" s="55">
        <f>SUMIFS(tblBudget[Ore_oz],tblBudget[Month],"&lt;"&amp;$E272)+$HM272</f>
        <v/>
      </c>
      <c r="HO272" s="56">
        <f>IFERROR(IF(($HI272)&gt;0,($HL272*cfg_TroyOz)/($HI272),""),"")</f>
        <v/>
      </c>
      <c r="HP272" s="56">
        <f>IFERROR(IF(($HJ272)&gt;0,($HM272*cfg_TroyOz)/($HJ272),""),"")</f>
        <v/>
      </c>
      <c r="HQ272" s="56">
        <f>IFERROR(IF(($HK272)&gt;0,($HN272*cfg_TroyOz)/($HK272),""),"")</f>
        <v/>
      </c>
      <c r="HR272" s="55">
        <f>SUMIFS(tblBudget[Waste_t],tblBudget[Month],$E272)</f>
        <v/>
      </c>
      <c r="HS272" s="55">
        <f>$HR272*$C272/$D272</f>
        <v/>
      </c>
      <c r="HT272" s="55">
        <f>SUMIFS(tblBudget[Waste_t],tblBudget[Month],"&lt;"&amp;$E272)+$HS272</f>
        <v/>
      </c>
      <c r="HU272" s="55">
        <f>SUMIFS(tblBudget[TMM_t],tblBudget[Month],$E272)</f>
        <v/>
      </c>
      <c r="HV272" s="55">
        <f>$HU272*$C272/$D272</f>
        <v/>
      </c>
      <c r="HW272" s="55">
        <f>SUMIFS(tblBudget[TMM_t],tblBudget[Month],"&lt;"&amp;$E272)+$HV272</f>
        <v/>
      </c>
      <c r="HX272" s="56">
        <f>IFERROR(IF(($HI272)&gt;0,($HR272)/($HI272),""),"")</f>
        <v/>
      </c>
      <c r="HY272" s="56">
        <f>IFERROR(IF(($HJ272)&gt;0,($HS272)/($HJ272),""),"")</f>
        <v/>
      </c>
      <c r="HZ272" s="56">
        <f>IFERROR(IF(($HK272)&gt;0,($HT272)/($HK272),""),"")</f>
        <v/>
      </c>
      <c r="IA272" s="55">
        <f>SUMIFS(tblBudget[Drill_m],tblBudget[Month],$E272)</f>
        <v/>
      </c>
      <c r="IB272" s="55">
        <f>$IA272*$C272/$D272</f>
        <v/>
      </c>
      <c r="IC272" s="55">
        <f>SUMIFS(tblBudget[Drill_m],tblBudget[Month],"&lt;"&amp;$E272)+$IB272</f>
        <v/>
      </c>
      <c r="ID272" s="55">
        <f>SUMIFS(tblBudget[Diesel_L],tblBudget[Month],$E272)</f>
        <v/>
      </c>
      <c r="IE272" s="55">
        <f>$ID272*$C272/$D272</f>
        <v/>
      </c>
      <c r="IF272" s="55">
        <f>SUMIFS(tblBudget[Diesel_L],tblBudget[Month],"&lt;"&amp;$E272)+$IE272</f>
        <v/>
      </c>
      <c r="IG272" s="55">
        <f>SUMIFS(tblBudget[Milled_t],tblBudget[Month],$E272)</f>
        <v/>
      </c>
      <c r="IH272" s="55">
        <f>$IG272*$C272/$D272</f>
        <v/>
      </c>
      <c r="II272" s="55">
        <f>SUMIFS(tblBudget[Milled_t],tblBudget[Month],"&lt;"&amp;$E272)+$IH272</f>
        <v/>
      </c>
      <c r="IJ272" s="55">
        <f>SUMIFS(tblBudget[Feed_oz],tblBudget[Month],$E272)</f>
        <v/>
      </c>
      <c r="IK272" s="55">
        <f>$IJ272*$C272/$D272</f>
        <v/>
      </c>
      <c r="IL272" s="55">
        <f>SUMIFS(tblBudget[Feed_oz],tblBudget[Month],"&lt;"&amp;$E272)+$IK272</f>
        <v/>
      </c>
      <c r="IM272" s="55">
        <f>SUMIFS(tblBudget[Recovered_oz],tblBudget[Month],$E272)</f>
        <v/>
      </c>
      <c r="IN272" s="55">
        <f>$IM272*$C272/$D272</f>
        <v/>
      </c>
      <c r="IO272" s="55">
        <f>SUMIFS(tblBudget[Recovered_oz],tblBudget[Month],"&lt;"&amp;$E272)+$IN272</f>
        <v/>
      </c>
      <c r="IP272" s="56">
        <f>IFERROR(IF(($IG272)&gt;0,($IJ272*cfg_TroyOz)/($IG272),""),"")</f>
        <v/>
      </c>
      <c r="IQ272" s="56">
        <f>IFERROR(IF(($IH272)&gt;0,($IK272*cfg_TroyOz)/($IH272),""),"")</f>
        <v/>
      </c>
      <c r="IR272" s="56">
        <f>IFERROR(IF(($II272)&gt;0,($IL272*cfg_TroyOz)/($II272),""),"")</f>
        <v/>
      </c>
      <c r="IS272" s="67">
        <f>IFERROR(IF(($IJ272)&gt;0,($IM272)/($IJ272),""),"")</f>
        <v/>
      </c>
      <c r="IT272" s="67">
        <f>IFERROR(IF(($IK272)&gt;0,($IN272)/($IK272),""),"")</f>
        <v/>
      </c>
      <c r="IU272" s="67">
        <f>IFERROR(IF(($IL272)&gt;0,($IO272)/($IL272),""),"")</f>
        <v/>
      </c>
      <c r="IV272" s="55">
        <f>SUMIFS(tblBudget[Gold_Poured_oz],tblBudget[Month],$E272)</f>
        <v/>
      </c>
      <c r="IW272" s="55">
        <f>$IV272*$C272/$D272</f>
        <v/>
      </c>
      <c r="IX272" s="55">
        <f>SUMIFS(tblBudget[Gold_Poured_oz],tblBudget[Month],"&lt;"&amp;$E272)+$IW272</f>
        <v/>
      </c>
      <c r="IY272" s="57">
        <f>SUMIFS(tblBudget[Hours_Worked],tblBudget[Month],$E272)</f>
        <v/>
      </c>
      <c r="IZ272" s="57">
        <f>$IY272*$C272/$D272</f>
        <v/>
      </c>
      <c r="JA272" s="57">
        <f>SUMIFS(tblBudget[Hours_Worked],tblBudget[Month],"&lt;"&amp;$E272)+$IZ272</f>
        <v/>
      </c>
    </row>
    <row r="273">
      <c r="A273" s="54" t="n">
        <v>46294</v>
      </c>
      <c r="B273">
        <f>MONTH($A273)</f>
        <v/>
      </c>
      <c r="C273">
        <f>DAY($A273)</f>
        <v/>
      </c>
      <c r="D273">
        <f>DAY(EOMONTH($A273,0))</f>
        <v/>
      </c>
      <c r="E273" s="54">
        <f>DATE(YEAR($A273),MONTH($A273),1)</f>
        <v/>
      </c>
      <c r="F273" s="55">
        <f>SUMIFS(tblMovement[Tonnes_t],tblMovement[Date],$A273,tblMovement[Is_Ore],1,tblMovement[Source_Type],"Pit")</f>
        <v/>
      </c>
      <c r="G273" s="55">
        <f>IF($B273=$B272,$G272,0)+$F273</f>
        <v/>
      </c>
      <c r="H273" s="55">
        <f>$H272+$F273</f>
        <v/>
      </c>
      <c r="I273" s="55">
        <f>SUMIFS(tblMovement[Ore_oz],tblMovement[Date],$A273,tblMovement[Source_Type],"Pit")</f>
        <v/>
      </c>
      <c r="J273" s="55">
        <f>IF($B273=$B272,$J272,0)+$I273</f>
        <v/>
      </c>
      <c r="K273" s="55">
        <f>$K272+$I273</f>
        <v/>
      </c>
      <c r="L273" s="56">
        <f>IFERROR(IF(($F273)&gt;0,($I273*cfg_TroyOz)/($F273),""),"")</f>
        <v/>
      </c>
      <c r="M273" s="56">
        <f>IFERROR(IF(($G273)&gt;0,($J273*cfg_TroyOz)/($G273),""),"")</f>
        <v/>
      </c>
      <c r="N273" s="56">
        <f>IFERROR(IF(($H273)&gt;0,($K273*cfg_TroyOz)/($H273),""),"")</f>
        <v/>
      </c>
      <c r="O273" s="55">
        <f>SUMIFS(tblMovement[Tonnes_t],tblMovement[Date],$A273,tblMovement[Is_Ore],0,tblMovement[Source_Type],"Pit")</f>
        <v/>
      </c>
      <c r="P273" s="55">
        <f>IF($B273=$B272,$P272,0)+$O273</f>
        <v/>
      </c>
      <c r="Q273" s="55">
        <f>$Q272+$O273</f>
        <v/>
      </c>
      <c r="R273" s="55">
        <f>$F273+$O273</f>
        <v/>
      </c>
      <c r="S273" s="55">
        <f>IF($B273=$B272,$S272,0)+$R273</f>
        <v/>
      </c>
      <c r="T273" s="55">
        <f>$T272+$R273</f>
        <v/>
      </c>
      <c r="U273" s="56">
        <f>IFERROR(IF(($F273)&gt;0,($O273)/($F273),""),"")</f>
        <v/>
      </c>
      <c r="V273" s="56">
        <f>IFERROR(IF(($G273)&gt;0,($P273)/($G273),""),"")</f>
        <v/>
      </c>
      <c r="W273" s="56">
        <f>IFERROR(IF(($H273)&gt;0,($Q273)/($H273),""),"")</f>
        <v/>
      </c>
      <c r="X273" s="55">
        <f>SUMIFS(tblMovement[Tonnes_t],tblMovement[Date],$A273,tblMovement[Source_Type],"Stockpile")</f>
        <v/>
      </c>
      <c r="Y273" s="55">
        <f>IF($B273=$B272,$Y272,0)+$X273</f>
        <v/>
      </c>
      <c r="Z273" s="55">
        <f>$Z272+$X273</f>
        <v/>
      </c>
      <c r="AA273" s="55">
        <f>SUMIFS(tblMiningDaily[Drill_m],tblMiningDaily[Date],$A273)</f>
        <v/>
      </c>
      <c r="AB273" s="55">
        <f>IF($B273=$B272,$AB272,0)+$AA273</f>
        <v/>
      </c>
      <c r="AC273" s="55">
        <f>$AC272+$AA273</f>
        <v/>
      </c>
      <c r="AD273" s="55">
        <f>SUMIFS(tblMiningDaily[Blast_t],tblMiningDaily[Date],$A273)</f>
        <v/>
      </c>
      <c r="AE273" s="55">
        <f>IF($B273=$B272,$AE272,0)+$AD273</f>
        <v/>
      </c>
      <c r="AF273" s="55">
        <f>$AF272+$AD273</f>
        <v/>
      </c>
      <c r="AG273" s="55">
        <f>SUMIFS(tblMiningDaily[Explosives_kg],tblMiningDaily[Date],$A273)</f>
        <v/>
      </c>
      <c r="AH273" s="55">
        <f>IF($B273=$B272,$AH272,0)+$AG273</f>
        <v/>
      </c>
      <c r="AI273" s="55">
        <f>$AI272+$AG273</f>
        <v/>
      </c>
      <c r="AJ273" s="56">
        <f>IFERROR(IF(($AD273)&gt;0,($AG273)/($AD273),""),"")</f>
        <v/>
      </c>
      <c r="AK273" s="56">
        <f>IFERROR(IF(($AE273)&gt;0,($AH273)/($AE273),""),"")</f>
        <v/>
      </c>
      <c r="AL273" s="56">
        <f>IFERROR(IF(($AF273)&gt;0,($AI273)/($AF273),""),"")</f>
        <v/>
      </c>
      <c r="AM273" s="55">
        <f>SUMIFS(tblMiningDaily[Diesel_L],tblMiningDaily[Date],$A273)</f>
        <v/>
      </c>
      <c r="AN273" s="55">
        <f>IF($B273=$B272,$AN272,0)+$AM273</f>
        <v/>
      </c>
      <c r="AO273" s="55">
        <f>$AO272+$AM273</f>
        <v/>
      </c>
      <c r="AP273" s="55">
        <f>SUMIFS(tblMiningDaily[Dewatering_m3],tblMiningDaily[Date],$A273)</f>
        <v/>
      </c>
      <c r="AQ273" s="55">
        <f>IF($B273=$B272,$AQ272,0)+$AP273</f>
        <v/>
      </c>
      <c r="AR273" s="55">
        <f>$AR272+$AP273</f>
        <v/>
      </c>
      <c r="AS273" s="57">
        <f>SUMIFS(tblFleet[Calendar_h],tblFleet[Date],$A273,tblFleet[Equipment_Class],"Excavator")</f>
        <v/>
      </c>
      <c r="AT273" s="57">
        <f>IF($B273=$B272,$AT272,0)+$AS273</f>
        <v/>
      </c>
      <c r="AU273" s="57">
        <f>$AU272+$AS273</f>
        <v/>
      </c>
      <c r="AV273" s="57">
        <f>SUMIFS(tblFleet[Available_h],tblFleet[Date],$A273,tblFleet[Equipment_Class],"Excavator")</f>
        <v/>
      </c>
      <c r="AW273" s="57">
        <f>IF($B273=$B272,$AW272,0)+$AV273</f>
        <v/>
      </c>
      <c r="AX273" s="57">
        <f>$AX272+$AV273</f>
        <v/>
      </c>
      <c r="AY273" s="57">
        <f>SUMIFS(tblFleet[Operating_h],tblFleet[Date],$A273,tblFleet[Equipment_Class],"Excavator")</f>
        <v/>
      </c>
      <c r="AZ273" s="57">
        <f>IF($B273=$B272,$AZ272,0)+$AY273</f>
        <v/>
      </c>
      <c r="BA273" s="57">
        <f>$BA272+$AY273</f>
        <v/>
      </c>
      <c r="BB273" s="67">
        <f>IFERROR(IF(($AS273)&gt;0,($AV273)/($AS273),""),"")</f>
        <v/>
      </c>
      <c r="BC273" s="67">
        <f>IFERROR(IF(($AT273)&gt;0,($AW273)/($AT273),""),"")</f>
        <v/>
      </c>
      <c r="BD273" s="67">
        <f>IFERROR(IF(($AU273)&gt;0,($AX273)/($AU273),""),"")</f>
        <v/>
      </c>
      <c r="BE273" s="67">
        <f>IFERROR(IF(($AV273)&gt;0,($AY273)/($AV273),""),"")</f>
        <v/>
      </c>
      <c r="BF273" s="67">
        <f>IFERROR(IF(($AW273)&gt;0,($AZ273)/($AW273),""),"")</f>
        <v/>
      </c>
      <c r="BG273" s="67">
        <f>IFERROR(IF(($AX273)&gt;0,($BA273)/($AX273),""),"")</f>
        <v/>
      </c>
      <c r="BH273" s="57">
        <f>SUMIFS(tblFleet[Calendar_h],tblFleet[Date],$A273,tblFleet[Equipment_Class],"Haul Truck")</f>
        <v/>
      </c>
      <c r="BI273" s="57">
        <f>IF($B273=$B272,$BI272,0)+$BH273</f>
        <v/>
      </c>
      <c r="BJ273" s="57">
        <f>$BJ272+$BH273</f>
        <v/>
      </c>
      <c r="BK273" s="57">
        <f>SUMIFS(tblFleet[Available_h],tblFleet[Date],$A273,tblFleet[Equipment_Class],"Haul Truck")</f>
        <v/>
      </c>
      <c r="BL273" s="57">
        <f>IF($B273=$B272,$BL272,0)+$BK273</f>
        <v/>
      </c>
      <c r="BM273" s="57">
        <f>$BM272+$BK273</f>
        <v/>
      </c>
      <c r="BN273" s="57">
        <f>SUMIFS(tblFleet[Operating_h],tblFleet[Date],$A273,tblFleet[Equipment_Class],"Haul Truck")</f>
        <v/>
      </c>
      <c r="BO273" s="57">
        <f>IF($B273=$B272,$BO272,0)+$BN273</f>
        <v/>
      </c>
      <c r="BP273" s="57">
        <f>$BP272+$BN273</f>
        <v/>
      </c>
      <c r="BQ273" s="67">
        <f>IFERROR(IF(($BH273)&gt;0,($BK273)/($BH273),""),"")</f>
        <v/>
      </c>
      <c r="BR273" s="67">
        <f>IFERROR(IF(($BI273)&gt;0,($BL273)/($BI273),""),"")</f>
        <v/>
      </c>
      <c r="BS273" s="67">
        <f>IFERROR(IF(($BJ273)&gt;0,($BM273)/($BJ273),""),"")</f>
        <v/>
      </c>
      <c r="BT273" s="67">
        <f>IFERROR(IF(($BK273)&gt;0,($BN273)/($BK273),""),"")</f>
        <v/>
      </c>
      <c r="BU273" s="67">
        <f>IFERROR(IF(($BL273)&gt;0,($BO273)/($BL273),""),"")</f>
        <v/>
      </c>
      <c r="BV273" s="67">
        <f>IFERROR(IF(($BM273)&gt;0,($BP273)/($BM273),""),"")</f>
        <v/>
      </c>
      <c r="BW273" s="55">
        <f>SUMIFS(tblPlant[Crushed_t],tblPlant[Date],$A273)</f>
        <v/>
      </c>
      <c r="BX273" s="55">
        <f>IF($B273=$B272,$BX272,0)+$BW273</f>
        <v/>
      </c>
      <c r="BY273" s="55">
        <f>$BY272+$BW273</f>
        <v/>
      </c>
      <c r="BZ273" s="55">
        <f>SUMIFS(tblPlant[Milled_t],tblPlant[Date],$A273)</f>
        <v/>
      </c>
      <c r="CA273" s="55">
        <f>IF($B273=$B272,$CA272,0)+$BZ273</f>
        <v/>
      </c>
      <c r="CB273" s="55">
        <f>$CB272+$BZ273</f>
        <v/>
      </c>
      <c r="CC273" s="55">
        <f>SUMIFS(tblPlant[Feed_oz],tblPlant[Date],$A273)</f>
        <v/>
      </c>
      <c r="CD273" s="55">
        <f>IF($B273=$B272,$CD272,0)+$CC273</f>
        <v/>
      </c>
      <c r="CE273" s="55">
        <f>$CE272+$CC273</f>
        <v/>
      </c>
      <c r="CF273" s="55">
        <f>SUMIFS(tblPlant[Tails_oz],tblPlant[Date],$A273)</f>
        <v/>
      </c>
      <c r="CG273" s="55">
        <f>IF($B273=$B272,$CG272,0)+$CF273</f>
        <v/>
      </c>
      <c r="CH273" s="55">
        <f>$CH272+$CF273</f>
        <v/>
      </c>
      <c r="CI273" s="55">
        <f>SUMIFS(tblPlant[Recovered_oz],tblPlant[Date],$A273)</f>
        <v/>
      </c>
      <c r="CJ273" s="55">
        <f>IF($B273=$B272,$CJ272,0)+$CI273</f>
        <v/>
      </c>
      <c r="CK273" s="55">
        <f>$CK272+$CI273</f>
        <v/>
      </c>
      <c r="CL273" s="56">
        <f>IFERROR(IF(($BZ273)&gt;0,($CC273*cfg_TroyOz)/($BZ273),""),"")</f>
        <v/>
      </c>
      <c r="CM273" s="56">
        <f>IFERROR(IF(($CA273)&gt;0,($CD273*cfg_TroyOz)/($CA273),""),"")</f>
        <v/>
      </c>
      <c r="CN273" s="56">
        <f>IFERROR(IF(($CB273)&gt;0,($CE273*cfg_TroyOz)/($CB273),""),"")</f>
        <v/>
      </c>
      <c r="CO273" s="56">
        <f>IFERROR(IF(($BZ273)&gt;0,($CF273*cfg_TroyOz)/($BZ273),""),"")</f>
        <v/>
      </c>
      <c r="CP273" s="56">
        <f>IFERROR(IF(($CA273)&gt;0,($CG273*cfg_TroyOz)/($CA273),""),"")</f>
        <v/>
      </c>
      <c r="CQ273" s="56">
        <f>IFERROR(IF(($CB273)&gt;0,($CH273*cfg_TroyOz)/($CB273),""),"")</f>
        <v/>
      </c>
      <c r="CR273" s="67">
        <f>IFERROR(IF(($CC273)&gt;0,($CI273)/($CC273),""),"")</f>
        <v/>
      </c>
      <c r="CS273" s="67">
        <f>IFERROR(IF(($CD273)&gt;0,($CJ273)/($CD273),""),"")</f>
        <v/>
      </c>
      <c r="CT273" s="67">
        <f>IFERROR(IF(($CE273)&gt;0,($CK273)/($CE273),""),"")</f>
        <v/>
      </c>
      <c r="CU273" s="55">
        <f>SUMIFS(tblPlant[Gravity_Gold_oz],tblPlant[Date],$A273)</f>
        <v/>
      </c>
      <c r="CV273" s="55">
        <f>IF($B273=$B272,$CV272,0)+$CU273</f>
        <v/>
      </c>
      <c r="CW273" s="55">
        <f>$CW272+$CU273</f>
        <v/>
      </c>
      <c r="CX273" s="55">
        <f>SUMIFS(tblPlant[Gold_Poured_oz],tblPlant[Date],$A273)</f>
        <v/>
      </c>
      <c r="CY273" s="55">
        <f>IF($B273=$B272,$CY272,0)+$CX273</f>
        <v/>
      </c>
      <c r="CZ273" s="55">
        <f>$CZ272+$CX273</f>
        <v/>
      </c>
      <c r="DA273" s="57">
        <f>SUMIFS(tblPlant[Mill_Run_h],tblPlant[Date],$A273)</f>
        <v/>
      </c>
      <c r="DB273" s="57">
        <f>IF($B273=$B272,$DB272,0)+$DA273</f>
        <v/>
      </c>
      <c r="DC273" s="57">
        <f>$DC272+$DA273</f>
        <v/>
      </c>
      <c r="DD273" s="57">
        <f>SUMIFS(tblPlant[Mill_Planned_Maint_h],tblPlant[Date],$A273)</f>
        <v/>
      </c>
      <c r="DE273" s="57">
        <f>IF($B273=$B272,$DE272,0)+$DD273</f>
        <v/>
      </c>
      <c r="DF273" s="57">
        <f>$DF272+$DD273</f>
        <v/>
      </c>
      <c r="DG273" s="57">
        <f>SUMIFS(tblPlant[Mill_Unplanned_Down_h],tblPlant[Date],$A273)</f>
        <v/>
      </c>
      <c r="DH273" s="57">
        <f>IF($B273=$B272,$DH272,0)+$DG273</f>
        <v/>
      </c>
      <c r="DI273" s="57">
        <f>$DI272+$DG273</f>
        <v/>
      </c>
      <c r="DJ273" s="57">
        <f>COUNTIFS(tblPlant[Date],$A273,tblPlant[Mill_Run_h],"&lt;&gt;")*24</f>
        <v/>
      </c>
      <c r="DK273" s="57">
        <f>IF($B273=$B272,$DK272,0)+$DJ273</f>
        <v/>
      </c>
      <c r="DL273" s="57">
        <f>$DL272+$DJ273</f>
        <v/>
      </c>
      <c r="DM273" s="57">
        <f>SUMIFS(tblPlant[Crusher_Run_h],tblPlant[Date],$A273)</f>
        <v/>
      </c>
      <c r="DN273" s="57">
        <f>IF($B273=$B272,$DN272,0)+$DM273</f>
        <v/>
      </c>
      <c r="DO273" s="57">
        <f>$DO272+$DM273</f>
        <v/>
      </c>
      <c r="DP273" s="55">
        <f>IFERROR(IF(($DA273)&gt;0,($BZ273)/($DA273),""),"")</f>
        <v/>
      </c>
      <c r="DQ273" s="55">
        <f>IFERROR(IF(($DB273)&gt;0,($CA273)/($DB273),""),"")</f>
        <v/>
      </c>
      <c r="DR273" s="55">
        <f>IFERROR(IF(($DC273)&gt;0,($CB273)/($DC273),""),"")</f>
        <v/>
      </c>
      <c r="DS273" s="67">
        <f>IFERROR(IF(($DJ273)&gt;0,($DJ273-$DD273-$DG273)/($DJ273),""),"")</f>
        <v/>
      </c>
      <c r="DT273" s="67">
        <f>IFERROR(IF(($DK273)&gt;0,($DK273-$DE273-$DH273)/($DK273),""),"")</f>
        <v/>
      </c>
      <c r="DU273" s="67">
        <f>IFERROR(IF(($DL273)&gt;0,($DL273-$DF273-$DI273)/($DL273),""),"")</f>
        <v/>
      </c>
      <c r="DV273" s="67">
        <f>IFERROR(IF(($DJ273-$DD273-$DG273)&gt;0,($DA273)/($DJ273-$DD273-$DG273),""),"")</f>
        <v/>
      </c>
      <c r="DW273" s="67">
        <f>IFERROR(IF(($DK273-$DE273-$DH273)&gt;0,($DB273)/($DK273-$DE273-$DH273),""),"")</f>
        <v/>
      </c>
      <c r="DX273" s="67">
        <f>IFERROR(IF(($DL273-$DF273-$DI273)&gt;0,($DC273)/($DL273-$DF273-$DI273),""),"")</f>
        <v/>
      </c>
      <c r="DY273" s="55">
        <f>SUMIFS(tblPlant[Cyanide_kg],tblPlant[Date],$A273)</f>
        <v/>
      </c>
      <c r="DZ273" s="55">
        <f>IF($B273=$B272,$DZ272,0)+$DY273</f>
        <v/>
      </c>
      <c r="EA273" s="55">
        <f>$EA272+$DY273</f>
        <v/>
      </c>
      <c r="EB273" s="55">
        <f>SUMIFS(tblPlant[Lime_kg],tblPlant[Date],$A273)</f>
        <v/>
      </c>
      <c r="EC273" s="55">
        <f>IF($B273=$B272,$EC272,0)+$EB273</f>
        <v/>
      </c>
      <c r="ED273" s="55">
        <f>$ED272+$EB273</f>
        <v/>
      </c>
      <c r="EE273" s="55">
        <f>SUMIFS(tblPlant[Grinding_Media_kg],tblPlant[Date],$A273)</f>
        <v/>
      </c>
      <c r="EF273" s="55">
        <f>IF($B273=$B272,$EF272,0)+$EE273</f>
        <v/>
      </c>
      <c r="EG273" s="55">
        <f>$EG272+$EE273</f>
        <v/>
      </c>
      <c r="EH273" s="55">
        <f>SUMIFS(tblPlant[Power_kWh],tblPlant[Date],$A273)</f>
        <v/>
      </c>
      <c r="EI273" s="55">
        <f>IF($B273=$B272,$EI272,0)+$EH273</f>
        <v/>
      </c>
      <c r="EJ273" s="55">
        <f>$EJ272+$EH273</f>
        <v/>
      </c>
      <c r="EK273" s="55">
        <f>SUMIFS(tblPlant[Raw_Water_m3],tblPlant[Date],$A273)</f>
        <v/>
      </c>
      <c r="EL273" s="55">
        <f>IF($B273=$B272,$EL272,0)+$EK273</f>
        <v/>
      </c>
      <c r="EM273" s="55">
        <f>$EM272+$EK273</f>
        <v/>
      </c>
      <c r="EN273" s="56">
        <f>IFERROR(IF(($BZ273)&gt;0,($DY273)/($BZ273),""),"")</f>
        <v/>
      </c>
      <c r="EO273" s="56">
        <f>IFERROR(IF(($CA273)&gt;0,($DZ273)/($CA273),""),"")</f>
        <v/>
      </c>
      <c r="EP273" s="56">
        <f>IFERROR(IF(($CB273)&gt;0,($EA273)/($CB273),""),"")</f>
        <v/>
      </c>
      <c r="EQ273" s="56">
        <f>IFERROR(IF(($BZ273)&gt;0,($EB273)/($BZ273),""),"")</f>
        <v/>
      </c>
      <c r="ER273" s="56">
        <f>IFERROR(IF(($CA273)&gt;0,($EC273)/($CA273),""),"")</f>
        <v/>
      </c>
      <c r="ES273" s="56">
        <f>IFERROR(IF(($CB273)&gt;0,($ED273)/($CB273),""),"")</f>
        <v/>
      </c>
      <c r="ET273" s="56">
        <f>IFERROR(IF(($BZ273)&gt;0,($EE273)/($BZ273),""),"")</f>
        <v/>
      </c>
      <c r="EU273" s="56">
        <f>IFERROR(IF(($CA273)&gt;0,($EF273)/($CA273),""),"")</f>
        <v/>
      </c>
      <c r="EV273" s="56">
        <f>IFERROR(IF(($CB273)&gt;0,($EG273)/($CB273),""),"")</f>
        <v/>
      </c>
      <c r="EW273" s="76">
        <f>IFERROR(IF(($BZ273)&gt;0,($EH273)/($BZ273),""),"")</f>
        <v/>
      </c>
      <c r="EX273" s="76">
        <f>IFERROR(IF(($CA273)&gt;0,($EI273)/($CA273),""),"")</f>
        <v/>
      </c>
      <c r="EY273" s="76">
        <f>IFERROR(IF(($CB273)&gt;0,($EJ273)/($CB273),""),"")</f>
        <v/>
      </c>
      <c r="EZ273" s="56">
        <f>IFERROR(IF(($BZ273)&gt;0,($EK273)/($BZ273),""),"")</f>
        <v/>
      </c>
      <c r="FA273" s="56">
        <f>IFERROR(IF(($CA273)&gt;0,($EL273)/($CA273),""),"")</f>
        <v/>
      </c>
      <c r="FB273" s="56">
        <f>IFERROR(IF(($CB273)&gt;0,($EM273)/($CB273),""),"")</f>
        <v/>
      </c>
      <c r="FC273" s="55">
        <f>IF(SUMIFS(tblPlant[GIC_oz],tblPlant[Date],$A273)&gt;0,SUMIFS(tblPlant[GIC_oz],tblPlant[Date],$A273),"")</f>
        <v/>
      </c>
      <c r="FD273" s="55">
        <f>SUMIFS(tblGold[Gold_oz],tblGold[Date],$A273,tblGold[Type],"Shipment")</f>
        <v/>
      </c>
      <c r="FE273" s="55">
        <f>IF($B273=$B272,$FE272,0)+$FD273</f>
        <v/>
      </c>
      <c r="FF273" s="55">
        <f>$FF272+$FD273</f>
        <v/>
      </c>
      <c r="FG273" s="55">
        <f>SUMIFS(tblGold[Gold_oz],tblGold[Date],$A273,tblGold[Type],"Sale")</f>
        <v/>
      </c>
      <c r="FH273" s="55">
        <f>IF($B273=$B272,$FH272,0)+$FG273</f>
        <v/>
      </c>
      <c r="FI273" s="55">
        <f>$FI272+$FG273</f>
        <v/>
      </c>
      <c r="FJ273" s="55">
        <f>SUMIFS(tblGold[Dore_kg],tblGold[Date],$A273,tblGold[Type],"Shipment")</f>
        <v/>
      </c>
      <c r="FK273" s="55">
        <f>IF($B273=$B272,$FK272,0)+$FJ273</f>
        <v/>
      </c>
      <c r="FL273" s="55">
        <f>$FL272+$FJ273</f>
        <v/>
      </c>
      <c r="FM273" s="57">
        <f>SUMIFS(tblSafety[Hours_Total],tblSafety[Date],$A273)</f>
        <v/>
      </c>
      <c r="FN273" s="57">
        <f>IF($B273=$B272,$FN272,0)+$FM273</f>
        <v/>
      </c>
      <c r="FO273" s="57">
        <f>$FO272+$FM273</f>
        <v/>
      </c>
      <c r="FP273" s="62">
        <f>SUMIFS(tblSafety[Fatality],tblSafety[Date],$A273)</f>
        <v/>
      </c>
      <c r="FQ273" s="62">
        <f>IF($B273=$B272,$FQ272,0)+$FP273</f>
        <v/>
      </c>
      <c r="FR273" s="62">
        <f>$FR272+$FP273</f>
        <v/>
      </c>
      <c r="FS273" s="62">
        <f>SUMIFS(tblSafety[LTI],tblSafety[Date],$A273)</f>
        <v/>
      </c>
      <c r="FT273" s="62">
        <f>IF($B273=$B272,$FT272,0)+$FS273</f>
        <v/>
      </c>
      <c r="FU273" s="62">
        <f>$FU272+$FS273</f>
        <v/>
      </c>
      <c r="FV273" s="62">
        <f>SUMIFS(tblSafety[RWI],tblSafety[Date],$A273)</f>
        <v/>
      </c>
      <c r="FW273" s="62">
        <f>IF($B273=$B272,$FW272,0)+$FV273</f>
        <v/>
      </c>
      <c r="FX273" s="62">
        <f>$FX272+$FV273</f>
        <v/>
      </c>
      <c r="FY273" s="62">
        <f>SUMIFS(tblSafety[MTI],tblSafety[Date],$A273)</f>
        <v/>
      </c>
      <c r="FZ273" s="62">
        <f>IF($B273=$B272,$FZ272,0)+$FY273</f>
        <v/>
      </c>
      <c r="GA273" s="62">
        <f>$GA272+$FY273</f>
        <v/>
      </c>
      <c r="GB273" s="62">
        <f>SUMIFS(tblSafety[FAI],tblSafety[Date],$A273)</f>
        <v/>
      </c>
      <c r="GC273" s="62">
        <f>IF($B273=$B272,$GC272,0)+$GB273</f>
        <v/>
      </c>
      <c r="GD273" s="62">
        <f>$GD272+$GB273</f>
        <v/>
      </c>
      <c r="GE273" s="62">
        <f>SUMIFS(tblSafety[Recordables],tblSafety[Date],$A273)</f>
        <v/>
      </c>
      <c r="GF273" s="62">
        <f>IF($B273=$B272,$GF272,0)+$GE273</f>
        <v/>
      </c>
      <c r="GG273" s="62">
        <f>$GG272+$GE273</f>
        <v/>
      </c>
      <c r="GH273" s="62">
        <f>SUMIFS(tblSafety[Near_Miss],tblSafety[Date],$A273)</f>
        <v/>
      </c>
      <c r="GI273" s="62">
        <f>IF($B273=$B272,$GI272,0)+$GH273</f>
        <v/>
      </c>
      <c r="GJ273" s="62">
        <f>$GJ272+$GH273</f>
        <v/>
      </c>
      <c r="GK273" s="62">
        <f>SUMIFS(tblSafety[Hazard_Reports],tblSafety[Date],$A273)</f>
        <v/>
      </c>
      <c r="GL273" s="62">
        <f>IF($B273=$B272,$GL272,0)+$GK273</f>
        <v/>
      </c>
      <c r="GM273" s="62">
        <f>$GM272+$GK273</f>
        <v/>
      </c>
      <c r="GN273" s="62">
        <f>SUMIFS(tblSafety[HPI],tblSafety[Date],$A273)</f>
        <v/>
      </c>
      <c r="GO273" s="62">
        <f>IF($B273=$B272,$GO272,0)+$GN273</f>
        <v/>
      </c>
      <c r="GP273" s="62">
        <f>$GP272+$GN273</f>
        <v/>
      </c>
      <c r="GQ273" s="62">
        <f>SUMIFS(tblSafety[Env_Incidents],tblSafety[Date],$A273)</f>
        <v/>
      </c>
      <c r="GR273" s="62">
        <f>IF($B273=$B272,$GR272,0)+$GQ273</f>
        <v/>
      </c>
      <c r="GS273" s="62">
        <f>$GS272+$GQ273</f>
        <v/>
      </c>
      <c r="GT273" s="62">
        <f>SUMIFS(tblSafety[Community_Incidents],tblSafety[Date],$A273)</f>
        <v/>
      </c>
      <c r="GU273" s="62">
        <f>IF($B273=$B272,$GU272,0)+$GT273</f>
        <v/>
      </c>
      <c r="GV273" s="62">
        <f>$GV272+$GT273</f>
        <v/>
      </c>
      <c r="GW273" s="62">
        <f>SUMIFS(tblSafety[Vehicle_Incidents],tblSafety[Date],$A273)</f>
        <v/>
      </c>
      <c r="GX273" s="62">
        <f>IF($B273=$B272,$GX272,0)+$GW273</f>
        <v/>
      </c>
      <c r="GY273" s="62">
        <f>$GY272+$GW273</f>
        <v/>
      </c>
      <c r="GZ273" s="62">
        <f>SUMIFS(tblSafety[Toolbox_Talks],tblSafety[Date],$A273)</f>
        <v/>
      </c>
      <c r="HA273" s="62">
        <f>IF($B273=$B272,$HA272,0)+$GZ273</f>
        <v/>
      </c>
      <c r="HB273" s="62">
        <f>$HB272+$GZ273</f>
        <v/>
      </c>
      <c r="HC273" s="62">
        <f>SUMIFS(tblSafety[Inspections],tblSafety[Date],$A273)</f>
        <v/>
      </c>
      <c r="HD273" s="62">
        <f>IF($B273=$B272,$HD272,0)+$HC273</f>
        <v/>
      </c>
      <c r="HE273" s="62">
        <f>$HE272+$HC273</f>
        <v/>
      </c>
      <c r="HF273" s="56">
        <f>IFERROR((SUMIFS(tblSafety[Recordables],tblSafety[Date],"&gt;="&amp;EDATE($E273,-12),tblSafety[Date],"&lt;="&amp;$A273)+SUMIFS(tblSafetyHistory[Recordables],tblSafetyHistory[Month],"&gt;="&amp;EDATE($E273,-12),tblSafetyHistory[Month],"&lt;"&amp;cfg_YearStart))/(SUMIFS(tblSafety[Hours_Total],tblSafety[Date],"&gt;="&amp;EDATE($E273,-12),tblSafety[Date],"&lt;="&amp;$A273)+SUMIFS(tblSafetyHistory[Hours_Total],tblSafetyHistory[Month],"&gt;="&amp;EDATE($E273,-12),tblSafetyHistory[Month],"&lt;"&amp;cfg_YearStart))*1000000,"")</f>
        <v/>
      </c>
      <c r="HG273" s="56">
        <f>IFERROR((SUMIFS(tblSafety[LTI],tblSafety[Date],"&gt;="&amp;EDATE($E273,-12),tblSafety[Date],"&lt;="&amp;$A273)+SUMIFS(tblSafetyHistory[LTI],tblSafetyHistory[Month],"&gt;="&amp;EDATE($E273,-12),tblSafetyHistory[Month],"&lt;"&amp;cfg_YearStart))/(SUMIFS(tblSafety[Hours_Total],tblSafety[Date],"&gt;="&amp;EDATE($E273,-12),tblSafety[Date],"&lt;="&amp;$A273)+SUMIFS(tblSafetyHistory[Hours_Total],tblSafetyHistory[Month],"&gt;="&amp;EDATE($E273,-12),tblSafetyHistory[Month],"&lt;"&amp;cfg_YearStart))*1000000,"")</f>
        <v/>
      </c>
      <c r="HH273" s="62">
        <f>IF(MAX(N(cfg_PriorLTIDate),_xlfn.MAXIFS(tblSafety[Date],tblSafety[LTI],"&gt;0",tblSafety[Date],"&lt;="&amp;$A273))=0,"",$A273-MAX(N(cfg_PriorLTIDate),_xlfn.MAXIFS(tblSafety[Date],tblSafety[LTI],"&gt;0",tblSafety[Date],"&lt;="&amp;$A273)))</f>
        <v/>
      </c>
      <c r="HI273" s="55">
        <f>SUMIFS(tblBudget[Ore_Mined_t],tblBudget[Month],$E273)</f>
        <v/>
      </c>
      <c r="HJ273" s="55">
        <f>$HI273*$C273/$D273</f>
        <v/>
      </c>
      <c r="HK273" s="55">
        <f>SUMIFS(tblBudget[Ore_Mined_t],tblBudget[Month],"&lt;"&amp;$E273)+$HJ273</f>
        <v/>
      </c>
      <c r="HL273" s="55">
        <f>SUMIFS(tblBudget[Ore_oz],tblBudget[Month],$E273)</f>
        <v/>
      </c>
      <c r="HM273" s="55">
        <f>$HL273*$C273/$D273</f>
        <v/>
      </c>
      <c r="HN273" s="55">
        <f>SUMIFS(tblBudget[Ore_oz],tblBudget[Month],"&lt;"&amp;$E273)+$HM273</f>
        <v/>
      </c>
      <c r="HO273" s="56">
        <f>IFERROR(IF(($HI273)&gt;0,($HL273*cfg_TroyOz)/($HI273),""),"")</f>
        <v/>
      </c>
      <c r="HP273" s="56">
        <f>IFERROR(IF(($HJ273)&gt;0,($HM273*cfg_TroyOz)/($HJ273),""),"")</f>
        <v/>
      </c>
      <c r="HQ273" s="56">
        <f>IFERROR(IF(($HK273)&gt;0,($HN273*cfg_TroyOz)/($HK273),""),"")</f>
        <v/>
      </c>
      <c r="HR273" s="55">
        <f>SUMIFS(tblBudget[Waste_t],tblBudget[Month],$E273)</f>
        <v/>
      </c>
      <c r="HS273" s="55">
        <f>$HR273*$C273/$D273</f>
        <v/>
      </c>
      <c r="HT273" s="55">
        <f>SUMIFS(tblBudget[Waste_t],tblBudget[Month],"&lt;"&amp;$E273)+$HS273</f>
        <v/>
      </c>
      <c r="HU273" s="55">
        <f>SUMIFS(tblBudget[TMM_t],tblBudget[Month],$E273)</f>
        <v/>
      </c>
      <c r="HV273" s="55">
        <f>$HU273*$C273/$D273</f>
        <v/>
      </c>
      <c r="HW273" s="55">
        <f>SUMIFS(tblBudget[TMM_t],tblBudget[Month],"&lt;"&amp;$E273)+$HV273</f>
        <v/>
      </c>
      <c r="HX273" s="56">
        <f>IFERROR(IF(($HI273)&gt;0,($HR273)/($HI273),""),"")</f>
        <v/>
      </c>
      <c r="HY273" s="56">
        <f>IFERROR(IF(($HJ273)&gt;0,($HS273)/($HJ273),""),"")</f>
        <v/>
      </c>
      <c r="HZ273" s="56">
        <f>IFERROR(IF(($HK273)&gt;0,($HT273)/($HK273),""),"")</f>
        <v/>
      </c>
      <c r="IA273" s="55">
        <f>SUMIFS(tblBudget[Drill_m],tblBudget[Month],$E273)</f>
        <v/>
      </c>
      <c r="IB273" s="55">
        <f>$IA273*$C273/$D273</f>
        <v/>
      </c>
      <c r="IC273" s="55">
        <f>SUMIFS(tblBudget[Drill_m],tblBudget[Month],"&lt;"&amp;$E273)+$IB273</f>
        <v/>
      </c>
      <c r="ID273" s="55">
        <f>SUMIFS(tblBudget[Diesel_L],tblBudget[Month],$E273)</f>
        <v/>
      </c>
      <c r="IE273" s="55">
        <f>$ID273*$C273/$D273</f>
        <v/>
      </c>
      <c r="IF273" s="55">
        <f>SUMIFS(tblBudget[Diesel_L],tblBudget[Month],"&lt;"&amp;$E273)+$IE273</f>
        <v/>
      </c>
      <c r="IG273" s="55">
        <f>SUMIFS(tblBudget[Milled_t],tblBudget[Month],$E273)</f>
        <v/>
      </c>
      <c r="IH273" s="55">
        <f>$IG273*$C273/$D273</f>
        <v/>
      </c>
      <c r="II273" s="55">
        <f>SUMIFS(tblBudget[Milled_t],tblBudget[Month],"&lt;"&amp;$E273)+$IH273</f>
        <v/>
      </c>
      <c r="IJ273" s="55">
        <f>SUMIFS(tblBudget[Feed_oz],tblBudget[Month],$E273)</f>
        <v/>
      </c>
      <c r="IK273" s="55">
        <f>$IJ273*$C273/$D273</f>
        <v/>
      </c>
      <c r="IL273" s="55">
        <f>SUMIFS(tblBudget[Feed_oz],tblBudget[Month],"&lt;"&amp;$E273)+$IK273</f>
        <v/>
      </c>
      <c r="IM273" s="55">
        <f>SUMIFS(tblBudget[Recovered_oz],tblBudget[Month],$E273)</f>
        <v/>
      </c>
      <c r="IN273" s="55">
        <f>$IM273*$C273/$D273</f>
        <v/>
      </c>
      <c r="IO273" s="55">
        <f>SUMIFS(tblBudget[Recovered_oz],tblBudget[Month],"&lt;"&amp;$E273)+$IN273</f>
        <v/>
      </c>
      <c r="IP273" s="56">
        <f>IFERROR(IF(($IG273)&gt;0,($IJ273*cfg_TroyOz)/($IG273),""),"")</f>
        <v/>
      </c>
      <c r="IQ273" s="56">
        <f>IFERROR(IF(($IH273)&gt;0,($IK273*cfg_TroyOz)/($IH273),""),"")</f>
        <v/>
      </c>
      <c r="IR273" s="56">
        <f>IFERROR(IF(($II273)&gt;0,($IL273*cfg_TroyOz)/($II273),""),"")</f>
        <v/>
      </c>
      <c r="IS273" s="67">
        <f>IFERROR(IF(($IJ273)&gt;0,($IM273)/($IJ273),""),"")</f>
        <v/>
      </c>
      <c r="IT273" s="67">
        <f>IFERROR(IF(($IK273)&gt;0,($IN273)/($IK273),""),"")</f>
        <v/>
      </c>
      <c r="IU273" s="67">
        <f>IFERROR(IF(($IL273)&gt;0,($IO273)/($IL273),""),"")</f>
        <v/>
      </c>
      <c r="IV273" s="55">
        <f>SUMIFS(tblBudget[Gold_Poured_oz],tblBudget[Month],$E273)</f>
        <v/>
      </c>
      <c r="IW273" s="55">
        <f>$IV273*$C273/$D273</f>
        <v/>
      </c>
      <c r="IX273" s="55">
        <f>SUMIFS(tblBudget[Gold_Poured_oz],tblBudget[Month],"&lt;"&amp;$E273)+$IW273</f>
        <v/>
      </c>
      <c r="IY273" s="57">
        <f>SUMIFS(tblBudget[Hours_Worked],tblBudget[Month],$E273)</f>
        <v/>
      </c>
      <c r="IZ273" s="57">
        <f>$IY273*$C273/$D273</f>
        <v/>
      </c>
      <c r="JA273" s="57">
        <f>SUMIFS(tblBudget[Hours_Worked],tblBudget[Month],"&lt;"&amp;$E273)+$IZ273</f>
        <v/>
      </c>
    </row>
    <row r="274">
      <c r="A274" s="54" t="n">
        <v>46295</v>
      </c>
      <c r="B274">
        <f>MONTH($A274)</f>
        <v/>
      </c>
      <c r="C274">
        <f>DAY($A274)</f>
        <v/>
      </c>
      <c r="D274">
        <f>DAY(EOMONTH($A274,0))</f>
        <v/>
      </c>
      <c r="E274" s="54">
        <f>DATE(YEAR($A274),MONTH($A274),1)</f>
        <v/>
      </c>
      <c r="F274" s="55">
        <f>SUMIFS(tblMovement[Tonnes_t],tblMovement[Date],$A274,tblMovement[Is_Ore],1,tblMovement[Source_Type],"Pit")</f>
        <v/>
      </c>
      <c r="G274" s="55">
        <f>IF($B274=$B273,$G273,0)+$F274</f>
        <v/>
      </c>
      <c r="H274" s="55">
        <f>$H273+$F274</f>
        <v/>
      </c>
      <c r="I274" s="55">
        <f>SUMIFS(tblMovement[Ore_oz],tblMovement[Date],$A274,tblMovement[Source_Type],"Pit")</f>
        <v/>
      </c>
      <c r="J274" s="55">
        <f>IF($B274=$B273,$J273,0)+$I274</f>
        <v/>
      </c>
      <c r="K274" s="55">
        <f>$K273+$I274</f>
        <v/>
      </c>
      <c r="L274" s="56">
        <f>IFERROR(IF(($F274)&gt;0,($I274*cfg_TroyOz)/($F274),""),"")</f>
        <v/>
      </c>
      <c r="M274" s="56">
        <f>IFERROR(IF(($G274)&gt;0,($J274*cfg_TroyOz)/($G274),""),"")</f>
        <v/>
      </c>
      <c r="N274" s="56">
        <f>IFERROR(IF(($H274)&gt;0,($K274*cfg_TroyOz)/($H274),""),"")</f>
        <v/>
      </c>
      <c r="O274" s="55">
        <f>SUMIFS(tblMovement[Tonnes_t],tblMovement[Date],$A274,tblMovement[Is_Ore],0,tblMovement[Source_Type],"Pit")</f>
        <v/>
      </c>
      <c r="P274" s="55">
        <f>IF($B274=$B273,$P273,0)+$O274</f>
        <v/>
      </c>
      <c r="Q274" s="55">
        <f>$Q273+$O274</f>
        <v/>
      </c>
      <c r="R274" s="55">
        <f>$F274+$O274</f>
        <v/>
      </c>
      <c r="S274" s="55">
        <f>IF($B274=$B273,$S273,0)+$R274</f>
        <v/>
      </c>
      <c r="T274" s="55">
        <f>$T273+$R274</f>
        <v/>
      </c>
      <c r="U274" s="56">
        <f>IFERROR(IF(($F274)&gt;0,($O274)/($F274),""),"")</f>
        <v/>
      </c>
      <c r="V274" s="56">
        <f>IFERROR(IF(($G274)&gt;0,($P274)/($G274),""),"")</f>
        <v/>
      </c>
      <c r="W274" s="56">
        <f>IFERROR(IF(($H274)&gt;0,($Q274)/($H274),""),"")</f>
        <v/>
      </c>
      <c r="X274" s="55">
        <f>SUMIFS(tblMovement[Tonnes_t],tblMovement[Date],$A274,tblMovement[Source_Type],"Stockpile")</f>
        <v/>
      </c>
      <c r="Y274" s="55">
        <f>IF($B274=$B273,$Y273,0)+$X274</f>
        <v/>
      </c>
      <c r="Z274" s="55">
        <f>$Z273+$X274</f>
        <v/>
      </c>
      <c r="AA274" s="55">
        <f>SUMIFS(tblMiningDaily[Drill_m],tblMiningDaily[Date],$A274)</f>
        <v/>
      </c>
      <c r="AB274" s="55">
        <f>IF($B274=$B273,$AB273,0)+$AA274</f>
        <v/>
      </c>
      <c r="AC274" s="55">
        <f>$AC273+$AA274</f>
        <v/>
      </c>
      <c r="AD274" s="55">
        <f>SUMIFS(tblMiningDaily[Blast_t],tblMiningDaily[Date],$A274)</f>
        <v/>
      </c>
      <c r="AE274" s="55">
        <f>IF($B274=$B273,$AE273,0)+$AD274</f>
        <v/>
      </c>
      <c r="AF274" s="55">
        <f>$AF273+$AD274</f>
        <v/>
      </c>
      <c r="AG274" s="55">
        <f>SUMIFS(tblMiningDaily[Explosives_kg],tblMiningDaily[Date],$A274)</f>
        <v/>
      </c>
      <c r="AH274" s="55">
        <f>IF($B274=$B273,$AH273,0)+$AG274</f>
        <v/>
      </c>
      <c r="AI274" s="55">
        <f>$AI273+$AG274</f>
        <v/>
      </c>
      <c r="AJ274" s="56">
        <f>IFERROR(IF(($AD274)&gt;0,($AG274)/($AD274),""),"")</f>
        <v/>
      </c>
      <c r="AK274" s="56">
        <f>IFERROR(IF(($AE274)&gt;0,($AH274)/($AE274),""),"")</f>
        <v/>
      </c>
      <c r="AL274" s="56">
        <f>IFERROR(IF(($AF274)&gt;0,($AI274)/($AF274),""),"")</f>
        <v/>
      </c>
      <c r="AM274" s="55">
        <f>SUMIFS(tblMiningDaily[Diesel_L],tblMiningDaily[Date],$A274)</f>
        <v/>
      </c>
      <c r="AN274" s="55">
        <f>IF($B274=$B273,$AN273,0)+$AM274</f>
        <v/>
      </c>
      <c r="AO274" s="55">
        <f>$AO273+$AM274</f>
        <v/>
      </c>
      <c r="AP274" s="55">
        <f>SUMIFS(tblMiningDaily[Dewatering_m3],tblMiningDaily[Date],$A274)</f>
        <v/>
      </c>
      <c r="AQ274" s="55">
        <f>IF($B274=$B273,$AQ273,0)+$AP274</f>
        <v/>
      </c>
      <c r="AR274" s="55">
        <f>$AR273+$AP274</f>
        <v/>
      </c>
      <c r="AS274" s="57">
        <f>SUMIFS(tblFleet[Calendar_h],tblFleet[Date],$A274,tblFleet[Equipment_Class],"Excavator")</f>
        <v/>
      </c>
      <c r="AT274" s="57">
        <f>IF($B274=$B273,$AT273,0)+$AS274</f>
        <v/>
      </c>
      <c r="AU274" s="57">
        <f>$AU273+$AS274</f>
        <v/>
      </c>
      <c r="AV274" s="57">
        <f>SUMIFS(tblFleet[Available_h],tblFleet[Date],$A274,tblFleet[Equipment_Class],"Excavator")</f>
        <v/>
      </c>
      <c r="AW274" s="57">
        <f>IF($B274=$B273,$AW273,0)+$AV274</f>
        <v/>
      </c>
      <c r="AX274" s="57">
        <f>$AX273+$AV274</f>
        <v/>
      </c>
      <c r="AY274" s="57">
        <f>SUMIFS(tblFleet[Operating_h],tblFleet[Date],$A274,tblFleet[Equipment_Class],"Excavator")</f>
        <v/>
      </c>
      <c r="AZ274" s="57">
        <f>IF($B274=$B273,$AZ273,0)+$AY274</f>
        <v/>
      </c>
      <c r="BA274" s="57">
        <f>$BA273+$AY274</f>
        <v/>
      </c>
      <c r="BB274" s="67">
        <f>IFERROR(IF(($AS274)&gt;0,($AV274)/($AS274),""),"")</f>
        <v/>
      </c>
      <c r="BC274" s="67">
        <f>IFERROR(IF(($AT274)&gt;0,($AW274)/($AT274),""),"")</f>
        <v/>
      </c>
      <c r="BD274" s="67">
        <f>IFERROR(IF(($AU274)&gt;0,($AX274)/($AU274),""),"")</f>
        <v/>
      </c>
      <c r="BE274" s="67">
        <f>IFERROR(IF(($AV274)&gt;0,($AY274)/($AV274),""),"")</f>
        <v/>
      </c>
      <c r="BF274" s="67">
        <f>IFERROR(IF(($AW274)&gt;0,($AZ274)/($AW274),""),"")</f>
        <v/>
      </c>
      <c r="BG274" s="67">
        <f>IFERROR(IF(($AX274)&gt;0,($BA274)/($AX274),""),"")</f>
        <v/>
      </c>
      <c r="BH274" s="57">
        <f>SUMIFS(tblFleet[Calendar_h],tblFleet[Date],$A274,tblFleet[Equipment_Class],"Haul Truck")</f>
        <v/>
      </c>
      <c r="BI274" s="57">
        <f>IF($B274=$B273,$BI273,0)+$BH274</f>
        <v/>
      </c>
      <c r="BJ274" s="57">
        <f>$BJ273+$BH274</f>
        <v/>
      </c>
      <c r="BK274" s="57">
        <f>SUMIFS(tblFleet[Available_h],tblFleet[Date],$A274,tblFleet[Equipment_Class],"Haul Truck")</f>
        <v/>
      </c>
      <c r="BL274" s="57">
        <f>IF($B274=$B273,$BL273,0)+$BK274</f>
        <v/>
      </c>
      <c r="BM274" s="57">
        <f>$BM273+$BK274</f>
        <v/>
      </c>
      <c r="BN274" s="57">
        <f>SUMIFS(tblFleet[Operating_h],tblFleet[Date],$A274,tblFleet[Equipment_Class],"Haul Truck")</f>
        <v/>
      </c>
      <c r="BO274" s="57">
        <f>IF($B274=$B273,$BO273,0)+$BN274</f>
        <v/>
      </c>
      <c r="BP274" s="57">
        <f>$BP273+$BN274</f>
        <v/>
      </c>
      <c r="BQ274" s="67">
        <f>IFERROR(IF(($BH274)&gt;0,($BK274)/($BH274),""),"")</f>
        <v/>
      </c>
      <c r="BR274" s="67">
        <f>IFERROR(IF(($BI274)&gt;0,($BL274)/($BI274),""),"")</f>
        <v/>
      </c>
      <c r="BS274" s="67">
        <f>IFERROR(IF(($BJ274)&gt;0,($BM274)/($BJ274),""),"")</f>
        <v/>
      </c>
      <c r="BT274" s="67">
        <f>IFERROR(IF(($BK274)&gt;0,($BN274)/($BK274),""),"")</f>
        <v/>
      </c>
      <c r="BU274" s="67">
        <f>IFERROR(IF(($BL274)&gt;0,($BO274)/($BL274),""),"")</f>
        <v/>
      </c>
      <c r="BV274" s="67">
        <f>IFERROR(IF(($BM274)&gt;0,($BP274)/($BM274),""),"")</f>
        <v/>
      </c>
      <c r="BW274" s="55">
        <f>SUMIFS(tblPlant[Crushed_t],tblPlant[Date],$A274)</f>
        <v/>
      </c>
      <c r="BX274" s="55">
        <f>IF($B274=$B273,$BX273,0)+$BW274</f>
        <v/>
      </c>
      <c r="BY274" s="55">
        <f>$BY273+$BW274</f>
        <v/>
      </c>
      <c r="BZ274" s="55">
        <f>SUMIFS(tblPlant[Milled_t],tblPlant[Date],$A274)</f>
        <v/>
      </c>
      <c r="CA274" s="55">
        <f>IF($B274=$B273,$CA273,0)+$BZ274</f>
        <v/>
      </c>
      <c r="CB274" s="55">
        <f>$CB273+$BZ274</f>
        <v/>
      </c>
      <c r="CC274" s="55">
        <f>SUMIFS(tblPlant[Feed_oz],tblPlant[Date],$A274)</f>
        <v/>
      </c>
      <c r="CD274" s="55">
        <f>IF($B274=$B273,$CD273,0)+$CC274</f>
        <v/>
      </c>
      <c r="CE274" s="55">
        <f>$CE273+$CC274</f>
        <v/>
      </c>
      <c r="CF274" s="55">
        <f>SUMIFS(tblPlant[Tails_oz],tblPlant[Date],$A274)</f>
        <v/>
      </c>
      <c r="CG274" s="55">
        <f>IF($B274=$B273,$CG273,0)+$CF274</f>
        <v/>
      </c>
      <c r="CH274" s="55">
        <f>$CH273+$CF274</f>
        <v/>
      </c>
      <c r="CI274" s="55">
        <f>SUMIFS(tblPlant[Recovered_oz],tblPlant[Date],$A274)</f>
        <v/>
      </c>
      <c r="CJ274" s="55">
        <f>IF($B274=$B273,$CJ273,0)+$CI274</f>
        <v/>
      </c>
      <c r="CK274" s="55">
        <f>$CK273+$CI274</f>
        <v/>
      </c>
      <c r="CL274" s="56">
        <f>IFERROR(IF(($BZ274)&gt;0,($CC274*cfg_TroyOz)/($BZ274),""),"")</f>
        <v/>
      </c>
      <c r="CM274" s="56">
        <f>IFERROR(IF(($CA274)&gt;0,($CD274*cfg_TroyOz)/($CA274),""),"")</f>
        <v/>
      </c>
      <c r="CN274" s="56">
        <f>IFERROR(IF(($CB274)&gt;0,($CE274*cfg_TroyOz)/($CB274),""),"")</f>
        <v/>
      </c>
      <c r="CO274" s="56">
        <f>IFERROR(IF(($BZ274)&gt;0,($CF274*cfg_TroyOz)/($BZ274),""),"")</f>
        <v/>
      </c>
      <c r="CP274" s="56">
        <f>IFERROR(IF(($CA274)&gt;0,($CG274*cfg_TroyOz)/($CA274),""),"")</f>
        <v/>
      </c>
      <c r="CQ274" s="56">
        <f>IFERROR(IF(($CB274)&gt;0,($CH274*cfg_TroyOz)/($CB274),""),"")</f>
        <v/>
      </c>
      <c r="CR274" s="67">
        <f>IFERROR(IF(($CC274)&gt;0,($CI274)/($CC274),""),"")</f>
        <v/>
      </c>
      <c r="CS274" s="67">
        <f>IFERROR(IF(($CD274)&gt;0,($CJ274)/($CD274),""),"")</f>
        <v/>
      </c>
      <c r="CT274" s="67">
        <f>IFERROR(IF(($CE274)&gt;0,($CK274)/($CE274),""),"")</f>
        <v/>
      </c>
      <c r="CU274" s="55">
        <f>SUMIFS(tblPlant[Gravity_Gold_oz],tblPlant[Date],$A274)</f>
        <v/>
      </c>
      <c r="CV274" s="55">
        <f>IF($B274=$B273,$CV273,0)+$CU274</f>
        <v/>
      </c>
      <c r="CW274" s="55">
        <f>$CW273+$CU274</f>
        <v/>
      </c>
      <c r="CX274" s="55">
        <f>SUMIFS(tblPlant[Gold_Poured_oz],tblPlant[Date],$A274)</f>
        <v/>
      </c>
      <c r="CY274" s="55">
        <f>IF($B274=$B273,$CY273,0)+$CX274</f>
        <v/>
      </c>
      <c r="CZ274" s="55">
        <f>$CZ273+$CX274</f>
        <v/>
      </c>
      <c r="DA274" s="57">
        <f>SUMIFS(tblPlant[Mill_Run_h],tblPlant[Date],$A274)</f>
        <v/>
      </c>
      <c r="DB274" s="57">
        <f>IF($B274=$B273,$DB273,0)+$DA274</f>
        <v/>
      </c>
      <c r="DC274" s="57">
        <f>$DC273+$DA274</f>
        <v/>
      </c>
      <c r="DD274" s="57">
        <f>SUMIFS(tblPlant[Mill_Planned_Maint_h],tblPlant[Date],$A274)</f>
        <v/>
      </c>
      <c r="DE274" s="57">
        <f>IF($B274=$B273,$DE273,0)+$DD274</f>
        <v/>
      </c>
      <c r="DF274" s="57">
        <f>$DF273+$DD274</f>
        <v/>
      </c>
      <c r="DG274" s="57">
        <f>SUMIFS(tblPlant[Mill_Unplanned_Down_h],tblPlant[Date],$A274)</f>
        <v/>
      </c>
      <c r="DH274" s="57">
        <f>IF($B274=$B273,$DH273,0)+$DG274</f>
        <v/>
      </c>
      <c r="DI274" s="57">
        <f>$DI273+$DG274</f>
        <v/>
      </c>
      <c r="DJ274" s="57">
        <f>COUNTIFS(tblPlant[Date],$A274,tblPlant[Mill_Run_h],"&lt;&gt;")*24</f>
        <v/>
      </c>
      <c r="DK274" s="57">
        <f>IF($B274=$B273,$DK273,0)+$DJ274</f>
        <v/>
      </c>
      <c r="DL274" s="57">
        <f>$DL273+$DJ274</f>
        <v/>
      </c>
      <c r="DM274" s="57">
        <f>SUMIFS(tblPlant[Crusher_Run_h],tblPlant[Date],$A274)</f>
        <v/>
      </c>
      <c r="DN274" s="57">
        <f>IF($B274=$B273,$DN273,0)+$DM274</f>
        <v/>
      </c>
      <c r="DO274" s="57">
        <f>$DO273+$DM274</f>
        <v/>
      </c>
      <c r="DP274" s="55">
        <f>IFERROR(IF(($DA274)&gt;0,($BZ274)/($DA274),""),"")</f>
        <v/>
      </c>
      <c r="DQ274" s="55">
        <f>IFERROR(IF(($DB274)&gt;0,($CA274)/($DB274),""),"")</f>
        <v/>
      </c>
      <c r="DR274" s="55">
        <f>IFERROR(IF(($DC274)&gt;0,($CB274)/($DC274),""),"")</f>
        <v/>
      </c>
      <c r="DS274" s="67">
        <f>IFERROR(IF(($DJ274)&gt;0,($DJ274-$DD274-$DG274)/($DJ274),""),"")</f>
        <v/>
      </c>
      <c r="DT274" s="67">
        <f>IFERROR(IF(($DK274)&gt;0,($DK274-$DE274-$DH274)/($DK274),""),"")</f>
        <v/>
      </c>
      <c r="DU274" s="67">
        <f>IFERROR(IF(($DL274)&gt;0,($DL274-$DF274-$DI274)/($DL274),""),"")</f>
        <v/>
      </c>
      <c r="DV274" s="67">
        <f>IFERROR(IF(($DJ274-$DD274-$DG274)&gt;0,($DA274)/($DJ274-$DD274-$DG274),""),"")</f>
        <v/>
      </c>
      <c r="DW274" s="67">
        <f>IFERROR(IF(($DK274-$DE274-$DH274)&gt;0,($DB274)/($DK274-$DE274-$DH274),""),"")</f>
        <v/>
      </c>
      <c r="DX274" s="67">
        <f>IFERROR(IF(($DL274-$DF274-$DI274)&gt;0,($DC274)/($DL274-$DF274-$DI274),""),"")</f>
        <v/>
      </c>
      <c r="DY274" s="55">
        <f>SUMIFS(tblPlant[Cyanide_kg],tblPlant[Date],$A274)</f>
        <v/>
      </c>
      <c r="DZ274" s="55">
        <f>IF($B274=$B273,$DZ273,0)+$DY274</f>
        <v/>
      </c>
      <c r="EA274" s="55">
        <f>$EA273+$DY274</f>
        <v/>
      </c>
      <c r="EB274" s="55">
        <f>SUMIFS(tblPlant[Lime_kg],tblPlant[Date],$A274)</f>
        <v/>
      </c>
      <c r="EC274" s="55">
        <f>IF($B274=$B273,$EC273,0)+$EB274</f>
        <v/>
      </c>
      <c r="ED274" s="55">
        <f>$ED273+$EB274</f>
        <v/>
      </c>
      <c r="EE274" s="55">
        <f>SUMIFS(tblPlant[Grinding_Media_kg],tblPlant[Date],$A274)</f>
        <v/>
      </c>
      <c r="EF274" s="55">
        <f>IF($B274=$B273,$EF273,0)+$EE274</f>
        <v/>
      </c>
      <c r="EG274" s="55">
        <f>$EG273+$EE274</f>
        <v/>
      </c>
      <c r="EH274" s="55">
        <f>SUMIFS(tblPlant[Power_kWh],tblPlant[Date],$A274)</f>
        <v/>
      </c>
      <c r="EI274" s="55">
        <f>IF($B274=$B273,$EI273,0)+$EH274</f>
        <v/>
      </c>
      <c r="EJ274" s="55">
        <f>$EJ273+$EH274</f>
        <v/>
      </c>
      <c r="EK274" s="55">
        <f>SUMIFS(tblPlant[Raw_Water_m3],tblPlant[Date],$A274)</f>
        <v/>
      </c>
      <c r="EL274" s="55">
        <f>IF($B274=$B273,$EL273,0)+$EK274</f>
        <v/>
      </c>
      <c r="EM274" s="55">
        <f>$EM273+$EK274</f>
        <v/>
      </c>
      <c r="EN274" s="56">
        <f>IFERROR(IF(($BZ274)&gt;0,($DY274)/($BZ274),""),"")</f>
        <v/>
      </c>
      <c r="EO274" s="56">
        <f>IFERROR(IF(($CA274)&gt;0,($DZ274)/($CA274),""),"")</f>
        <v/>
      </c>
      <c r="EP274" s="56">
        <f>IFERROR(IF(($CB274)&gt;0,($EA274)/($CB274),""),"")</f>
        <v/>
      </c>
      <c r="EQ274" s="56">
        <f>IFERROR(IF(($BZ274)&gt;0,($EB274)/($BZ274),""),"")</f>
        <v/>
      </c>
      <c r="ER274" s="56">
        <f>IFERROR(IF(($CA274)&gt;0,($EC274)/($CA274),""),"")</f>
        <v/>
      </c>
      <c r="ES274" s="56">
        <f>IFERROR(IF(($CB274)&gt;0,($ED274)/($CB274),""),"")</f>
        <v/>
      </c>
      <c r="ET274" s="56">
        <f>IFERROR(IF(($BZ274)&gt;0,($EE274)/($BZ274),""),"")</f>
        <v/>
      </c>
      <c r="EU274" s="56">
        <f>IFERROR(IF(($CA274)&gt;0,($EF274)/($CA274),""),"")</f>
        <v/>
      </c>
      <c r="EV274" s="56">
        <f>IFERROR(IF(($CB274)&gt;0,($EG274)/($CB274),""),"")</f>
        <v/>
      </c>
      <c r="EW274" s="76">
        <f>IFERROR(IF(($BZ274)&gt;0,($EH274)/($BZ274),""),"")</f>
        <v/>
      </c>
      <c r="EX274" s="76">
        <f>IFERROR(IF(($CA274)&gt;0,($EI274)/($CA274),""),"")</f>
        <v/>
      </c>
      <c r="EY274" s="76">
        <f>IFERROR(IF(($CB274)&gt;0,($EJ274)/($CB274),""),"")</f>
        <v/>
      </c>
      <c r="EZ274" s="56">
        <f>IFERROR(IF(($BZ274)&gt;0,($EK274)/($BZ274),""),"")</f>
        <v/>
      </c>
      <c r="FA274" s="56">
        <f>IFERROR(IF(($CA274)&gt;0,($EL274)/($CA274),""),"")</f>
        <v/>
      </c>
      <c r="FB274" s="56">
        <f>IFERROR(IF(($CB274)&gt;0,($EM274)/($CB274),""),"")</f>
        <v/>
      </c>
      <c r="FC274" s="55">
        <f>IF(SUMIFS(tblPlant[GIC_oz],tblPlant[Date],$A274)&gt;0,SUMIFS(tblPlant[GIC_oz],tblPlant[Date],$A274),"")</f>
        <v/>
      </c>
      <c r="FD274" s="55">
        <f>SUMIFS(tblGold[Gold_oz],tblGold[Date],$A274,tblGold[Type],"Shipment")</f>
        <v/>
      </c>
      <c r="FE274" s="55">
        <f>IF($B274=$B273,$FE273,0)+$FD274</f>
        <v/>
      </c>
      <c r="FF274" s="55">
        <f>$FF273+$FD274</f>
        <v/>
      </c>
      <c r="FG274" s="55">
        <f>SUMIFS(tblGold[Gold_oz],tblGold[Date],$A274,tblGold[Type],"Sale")</f>
        <v/>
      </c>
      <c r="FH274" s="55">
        <f>IF($B274=$B273,$FH273,0)+$FG274</f>
        <v/>
      </c>
      <c r="FI274" s="55">
        <f>$FI273+$FG274</f>
        <v/>
      </c>
      <c r="FJ274" s="55">
        <f>SUMIFS(tblGold[Dore_kg],tblGold[Date],$A274,tblGold[Type],"Shipment")</f>
        <v/>
      </c>
      <c r="FK274" s="55">
        <f>IF($B274=$B273,$FK273,0)+$FJ274</f>
        <v/>
      </c>
      <c r="FL274" s="55">
        <f>$FL273+$FJ274</f>
        <v/>
      </c>
      <c r="FM274" s="57">
        <f>SUMIFS(tblSafety[Hours_Total],tblSafety[Date],$A274)</f>
        <v/>
      </c>
      <c r="FN274" s="57">
        <f>IF($B274=$B273,$FN273,0)+$FM274</f>
        <v/>
      </c>
      <c r="FO274" s="57">
        <f>$FO273+$FM274</f>
        <v/>
      </c>
      <c r="FP274" s="62">
        <f>SUMIFS(tblSafety[Fatality],tblSafety[Date],$A274)</f>
        <v/>
      </c>
      <c r="FQ274" s="62">
        <f>IF($B274=$B273,$FQ273,0)+$FP274</f>
        <v/>
      </c>
      <c r="FR274" s="62">
        <f>$FR273+$FP274</f>
        <v/>
      </c>
      <c r="FS274" s="62">
        <f>SUMIFS(tblSafety[LTI],tblSafety[Date],$A274)</f>
        <v/>
      </c>
      <c r="FT274" s="62">
        <f>IF($B274=$B273,$FT273,0)+$FS274</f>
        <v/>
      </c>
      <c r="FU274" s="62">
        <f>$FU273+$FS274</f>
        <v/>
      </c>
      <c r="FV274" s="62">
        <f>SUMIFS(tblSafety[RWI],tblSafety[Date],$A274)</f>
        <v/>
      </c>
      <c r="FW274" s="62">
        <f>IF($B274=$B273,$FW273,0)+$FV274</f>
        <v/>
      </c>
      <c r="FX274" s="62">
        <f>$FX273+$FV274</f>
        <v/>
      </c>
      <c r="FY274" s="62">
        <f>SUMIFS(tblSafety[MTI],tblSafety[Date],$A274)</f>
        <v/>
      </c>
      <c r="FZ274" s="62">
        <f>IF($B274=$B273,$FZ273,0)+$FY274</f>
        <v/>
      </c>
      <c r="GA274" s="62">
        <f>$GA273+$FY274</f>
        <v/>
      </c>
      <c r="GB274" s="62">
        <f>SUMIFS(tblSafety[FAI],tblSafety[Date],$A274)</f>
        <v/>
      </c>
      <c r="GC274" s="62">
        <f>IF($B274=$B273,$GC273,0)+$GB274</f>
        <v/>
      </c>
      <c r="GD274" s="62">
        <f>$GD273+$GB274</f>
        <v/>
      </c>
      <c r="GE274" s="62">
        <f>SUMIFS(tblSafety[Recordables],tblSafety[Date],$A274)</f>
        <v/>
      </c>
      <c r="GF274" s="62">
        <f>IF($B274=$B273,$GF273,0)+$GE274</f>
        <v/>
      </c>
      <c r="GG274" s="62">
        <f>$GG273+$GE274</f>
        <v/>
      </c>
      <c r="GH274" s="62">
        <f>SUMIFS(tblSafety[Near_Miss],tblSafety[Date],$A274)</f>
        <v/>
      </c>
      <c r="GI274" s="62">
        <f>IF($B274=$B273,$GI273,0)+$GH274</f>
        <v/>
      </c>
      <c r="GJ274" s="62">
        <f>$GJ273+$GH274</f>
        <v/>
      </c>
      <c r="GK274" s="62">
        <f>SUMIFS(tblSafety[Hazard_Reports],tblSafety[Date],$A274)</f>
        <v/>
      </c>
      <c r="GL274" s="62">
        <f>IF($B274=$B273,$GL273,0)+$GK274</f>
        <v/>
      </c>
      <c r="GM274" s="62">
        <f>$GM273+$GK274</f>
        <v/>
      </c>
      <c r="GN274" s="62">
        <f>SUMIFS(tblSafety[HPI],tblSafety[Date],$A274)</f>
        <v/>
      </c>
      <c r="GO274" s="62">
        <f>IF($B274=$B273,$GO273,0)+$GN274</f>
        <v/>
      </c>
      <c r="GP274" s="62">
        <f>$GP273+$GN274</f>
        <v/>
      </c>
      <c r="GQ274" s="62">
        <f>SUMIFS(tblSafety[Env_Incidents],tblSafety[Date],$A274)</f>
        <v/>
      </c>
      <c r="GR274" s="62">
        <f>IF($B274=$B273,$GR273,0)+$GQ274</f>
        <v/>
      </c>
      <c r="GS274" s="62">
        <f>$GS273+$GQ274</f>
        <v/>
      </c>
      <c r="GT274" s="62">
        <f>SUMIFS(tblSafety[Community_Incidents],tblSafety[Date],$A274)</f>
        <v/>
      </c>
      <c r="GU274" s="62">
        <f>IF($B274=$B273,$GU273,0)+$GT274</f>
        <v/>
      </c>
      <c r="GV274" s="62">
        <f>$GV273+$GT274</f>
        <v/>
      </c>
      <c r="GW274" s="62">
        <f>SUMIFS(tblSafety[Vehicle_Incidents],tblSafety[Date],$A274)</f>
        <v/>
      </c>
      <c r="GX274" s="62">
        <f>IF($B274=$B273,$GX273,0)+$GW274</f>
        <v/>
      </c>
      <c r="GY274" s="62">
        <f>$GY273+$GW274</f>
        <v/>
      </c>
      <c r="GZ274" s="62">
        <f>SUMIFS(tblSafety[Toolbox_Talks],tblSafety[Date],$A274)</f>
        <v/>
      </c>
      <c r="HA274" s="62">
        <f>IF($B274=$B273,$HA273,0)+$GZ274</f>
        <v/>
      </c>
      <c r="HB274" s="62">
        <f>$HB273+$GZ274</f>
        <v/>
      </c>
      <c r="HC274" s="62">
        <f>SUMIFS(tblSafety[Inspections],tblSafety[Date],$A274)</f>
        <v/>
      </c>
      <c r="HD274" s="62">
        <f>IF($B274=$B273,$HD273,0)+$HC274</f>
        <v/>
      </c>
      <c r="HE274" s="62">
        <f>$HE273+$HC274</f>
        <v/>
      </c>
      <c r="HF274" s="56">
        <f>IFERROR((SUMIFS(tblSafety[Recordables],tblSafety[Date],"&gt;="&amp;EDATE($E274,-12),tblSafety[Date],"&lt;="&amp;$A274)+SUMIFS(tblSafetyHistory[Recordables],tblSafetyHistory[Month],"&gt;="&amp;EDATE($E274,-12),tblSafetyHistory[Month],"&lt;"&amp;cfg_YearStart))/(SUMIFS(tblSafety[Hours_Total],tblSafety[Date],"&gt;="&amp;EDATE($E274,-12),tblSafety[Date],"&lt;="&amp;$A274)+SUMIFS(tblSafetyHistory[Hours_Total],tblSafetyHistory[Month],"&gt;="&amp;EDATE($E274,-12),tblSafetyHistory[Month],"&lt;"&amp;cfg_YearStart))*1000000,"")</f>
        <v/>
      </c>
      <c r="HG274" s="56">
        <f>IFERROR((SUMIFS(tblSafety[LTI],tblSafety[Date],"&gt;="&amp;EDATE($E274,-12),tblSafety[Date],"&lt;="&amp;$A274)+SUMIFS(tblSafetyHistory[LTI],tblSafetyHistory[Month],"&gt;="&amp;EDATE($E274,-12),tblSafetyHistory[Month],"&lt;"&amp;cfg_YearStart))/(SUMIFS(tblSafety[Hours_Total],tblSafety[Date],"&gt;="&amp;EDATE($E274,-12),tblSafety[Date],"&lt;="&amp;$A274)+SUMIFS(tblSafetyHistory[Hours_Total],tblSafetyHistory[Month],"&gt;="&amp;EDATE($E274,-12),tblSafetyHistory[Month],"&lt;"&amp;cfg_YearStart))*1000000,"")</f>
        <v/>
      </c>
      <c r="HH274" s="62">
        <f>IF(MAX(N(cfg_PriorLTIDate),_xlfn.MAXIFS(tblSafety[Date],tblSafety[LTI],"&gt;0",tblSafety[Date],"&lt;="&amp;$A274))=0,"",$A274-MAX(N(cfg_PriorLTIDate),_xlfn.MAXIFS(tblSafety[Date],tblSafety[LTI],"&gt;0",tblSafety[Date],"&lt;="&amp;$A274)))</f>
        <v/>
      </c>
      <c r="HI274" s="55">
        <f>SUMIFS(tblBudget[Ore_Mined_t],tblBudget[Month],$E274)</f>
        <v/>
      </c>
      <c r="HJ274" s="55">
        <f>$HI274*$C274/$D274</f>
        <v/>
      </c>
      <c r="HK274" s="55">
        <f>SUMIFS(tblBudget[Ore_Mined_t],tblBudget[Month],"&lt;"&amp;$E274)+$HJ274</f>
        <v/>
      </c>
      <c r="HL274" s="55">
        <f>SUMIFS(tblBudget[Ore_oz],tblBudget[Month],$E274)</f>
        <v/>
      </c>
      <c r="HM274" s="55">
        <f>$HL274*$C274/$D274</f>
        <v/>
      </c>
      <c r="HN274" s="55">
        <f>SUMIFS(tblBudget[Ore_oz],tblBudget[Month],"&lt;"&amp;$E274)+$HM274</f>
        <v/>
      </c>
      <c r="HO274" s="56">
        <f>IFERROR(IF(($HI274)&gt;0,($HL274*cfg_TroyOz)/($HI274),""),"")</f>
        <v/>
      </c>
      <c r="HP274" s="56">
        <f>IFERROR(IF(($HJ274)&gt;0,($HM274*cfg_TroyOz)/($HJ274),""),"")</f>
        <v/>
      </c>
      <c r="HQ274" s="56">
        <f>IFERROR(IF(($HK274)&gt;0,($HN274*cfg_TroyOz)/($HK274),""),"")</f>
        <v/>
      </c>
      <c r="HR274" s="55">
        <f>SUMIFS(tblBudget[Waste_t],tblBudget[Month],$E274)</f>
        <v/>
      </c>
      <c r="HS274" s="55">
        <f>$HR274*$C274/$D274</f>
        <v/>
      </c>
      <c r="HT274" s="55">
        <f>SUMIFS(tblBudget[Waste_t],tblBudget[Month],"&lt;"&amp;$E274)+$HS274</f>
        <v/>
      </c>
      <c r="HU274" s="55">
        <f>SUMIFS(tblBudget[TMM_t],tblBudget[Month],$E274)</f>
        <v/>
      </c>
      <c r="HV274" s="55">
        <f>$HU274*$C274/$D274</f>
        <v/>
      </c>
      <c r="HW274" s="55">
        <f>SUMIFS(tblBudget[TMM_t],tblBudget[Month],"&lt;"&amp;$E274)+$HV274</f>
        <v/>
      </c>
      <c r="HX274" s="56">
        <f>IFERROR(IF(($HI274)&gt;0,($HR274)/($HI274),""),"")</f>
        <v/>
      </c>
      <c r="HY274" s="56">
        <f>IFERROR(IF(($HJ274)&gt;0,($HS274)/($HJ274),""),"")</f>
        <v/>
      </c>
      <c r="HZ274" s="56">
        <f>IFERROR(IF(($HK274)&gt;0,($HT274)/($HK274),""),"")</f>
        <v/>
      </c>
      <c r="IA274" s="55">
        <f>SUMIFS(tblBudget[Drill_m],tblBudget[Month],$E274)</f>
        <v/>
      </c>
      <c r="IB274" s="55">
        <f>$IA274*$C274/$D274</f>
        <v/>
      </c>
      <c r="IC274" s="55">
        <f>SUMIFS(tblBudget[Drill_m],tblBudget[Month],"&lt;"&amp;$E274)+$IB274</f>
        <v/>
      </c>
      <c r="ID274" s="55">
        <f>SUMIFS(tblBudget[Diesel_L],tblBudget[Month],$E274)</f>
        <v/>
      </c>
      <c r="IE274" s="55">
        <f>$ID274*$C274/$D274</f>
        <v/>
      </c>
      <c r="IF274" s="55">
        <f>SUMIFS(tblBudget[Diesel_L],tblBudget[Month],"&lt;"&amp;$E274)+$IE274</f>
        <v/>
      </c>
      <c r="IG274" s="55">
        <f>SUMIFS(tblBudget[Milled_t],tblBudget[Month],$E274)</f>
        <v/>
      </c>
      <c r="IH274" s="55">
        <f>$IG274*$C274/$D274</f>
        <v/>
      </c>
      <c r="II274" s="55">
        <f>SUMIFS(tblBudget[Milled_t],tblBudget[Month],"&lt;"&amp;$E274)+$IH274</f>
        <v/>
      </c>
      <c r="IJ274" s="55">
        <f>SUMIFS(tblBudget[Feed_oz],tblBudget[Month],$E274)</f>
        <v/>
      </c>
      <c r="IK274" s="55">
        <f>$IJ274*$C274/$D274</f>
        <v/>
      </c>
      <c r="IL274" s="55">
        <f>SUMIFS(tblBudget[Feed_oz],tblBudget[Month],"&lt;"&amp;$E274)+$IK274</f>
        <v/>
      </c>
      <c r="IM274" s="55">
        <f>SUMIFS(tblBudget[Recovered_oz],tblBudget[Month],$E274)</f>
        <v/>
      </c>
      <c r="IN274" s="55">
        <f>$IM274*$C274/$D274</f>
        <v/>
      </c>
      <c r="IO274" s="55">
        <f>SUMIFS(tblBudget[Recovered_oz],tblBudget[Month],"&lt;"&amp;$E274)+$IN274</f>
        <v/>
      </c>
      <c r="IP274" s="56">
        <f>IFERROR(IF(($IG274)&gt;0,($IJ274*cfg_TroyOz)/($IG274),""),"")</f>
        <v/>
      </c>
      <c r="IQ274" s="56">
        <f>IFERROR(IF(($IH274)&gt;0,($IK274*cfg_TroyOz)/($IH274),""),"")</f>
        <v/>
      </c>
      <c r="IR274" s="56">
        <f>IFERROR(IF(($II274)&gt;0,($IL274*cfg_TroyOz)/($II274),""),"")</f>
        <v/>
      </c>
      <c r="IS274" s="67">
        <f>IFERROR(IF(($IJ274)&gt;0,($IM274)/($IJ274),""),"")</f>
        <v/>
      </c>
      <c r="IT274" s="67">
        <f>IFERROR(IF(($IK274)&gt;0,($IN274)/($IK274),""),"")</f>
        <v/>
      </c>
      <c r="IU274" s="67">
        <f>IFERROR(IF(($IL274)&gt;0,($IO274)/($IL274),""),"")</f>
        <v/>
      </c>
      <c r="IV274" s="55">
        <f>SUMIFS(tblBudget[Gold_Poured_oz],tblBudget[Month],$E274)</f>
        <v/>
      </c>
      <c r="IW274" s="55">
        <f>$IV274*$C274/$D274</f>
        <v/>
      </c>
      <c r="IX274" s="55">
        <f>SUMIFS(tblBudget[Gold_Poured_oz],tblBudget[Month],"&lt;"&amp;$E274)+$IW274</f>
        <v/>
      </c>
      <c r="IY274" s="57">
        <f>SUMIFS(tblBudget[Hours_Worked],tblBudget[Month],$E274)</f>
        <v/>
      </c>
      <c r="IZ274" s="57">
        <f>$IY274*$C274/$D274</f>
        <v/>
      </c>
      <c r="JA274" s="57">
        <f>SUMIFS(tblBudget[Hours_Worked],tblBudget[Month],"&lt;"&amp;$E274)+$IZ274</f>
        <v/>
      </c>
    </row>
    <row r="275">
      <c r="A275" s="54" t="n">
        <v>46296</v>
      </c>
      <c r="B275">
        <f>MONTH($A275)</f>
        <v/>
      </c>
      <c r="C275">
        <f>DAY($A275)</f>
        <v/>
      </c>
      <c r="D275">
        <f>DAY(EOMONTH($A275,0))</f>
        <v/>
      </c>
      <c r="E275" s="54">
        <f>DATE(YEAR($A275),MONTH($A275),1)</f>
        <v/>
      </c>
      <c r="F275" s="55">
        <f>SUMIFS(tblMovement[Tonnes_t],tblMovement[Date],$A275,tblMovement[Is_Ore],1,tblMovement[Source_Type],"Pit")</f>
        <v/>
      </c>
      <c r="G275" s="55">
        <f>IF($B275=$B274,$G274,0)+$F275</f>
        <v/>
      </c>
      <c r="H275" s="55">
        <f>$H274+$F275</f>
        <v/>
      </c>
      <c r="I275" s="55">
        <f>SUMIFS(tblMovement[Ore_oz],tblMovement[Date],$A275,tblMovement[Source_Type],"Pit")</f>
        <v/>
      </c>
      <c r="J275" s="55">
        <f>IF($B275=$B274,$J274,0)+$I275</f>
        <v/>
      </c>
      <c r="K275" s="55">
        <f>$K274+$I275</f>
        <v/>
      </c>
      <c r="L275" s="56">
        <f>IFERROR(IF(($F275)&gt;0,($I275*cfg_TroyOz)/($F275),""),"")</f>
        <v/>
      </c>
      <c r="M275" s="56">
        <f>IFERROR(IF(($G275)&gt;0,($J275*cfg_TroyOz)/($G275),""),"")</f>
        <v/>
      </c>
      <c r="N275" s="56">
        <f>IFERROR(IF(($H275)&gt;0,($K275*cfg_TroyOz)/($H275),""),"")</f>
        <v/>
      </c>
      <c r="O275" s="55">
        <f>SUMIFS(tblMovement[Tonnes_t],tblMovement[Date],$A275,tblMovement[Is_Ore],0,tblMovement[Source_Type],"Pit")</f>
        <v/>
      </c>
      <c r="P275" s="55">
        <f>IF($B275=$B274,$P274,0)+$O275</f>
        <v/>
      </c>
      <c r="Q275" s="55">
        <f>$Q274+$O275</f>
        <v/>
      </c>
      <c r="R275" s="55">
        <f>$F275+$O275</f>
        <v/>
      </c>
      <c r="S275" s="55">
        <f>IF($B275=$B274,$S274,0)+$R275</f>
        <v/>
      </c>
      <c r="T275" s="55">
        <f>$T274+$R275</f>
        <v/>
      </c>
      <c r="U275" s="56">
        <f>IFERROR(IF(($F275)&gt;0,($O275)/($F275),""),"")</f>
        <v/>
      </c>
      <c r="V275" s="56">
        <f>IFERROR(IF(($G275)&gt;0,($P275)/($G275),""),"")</f>
        <v/>
      </c>
      <c r="W275" s="56">
        <f>IFERROR(IF(($H275)&gt;0,($Q275)/($H275),""),"")</f>
        <v/>
      </c>
      <c r="X275" s="55">
        <f>SUMIFS(tblMovement[Tonnes_t],tblMovement[Date],$A275,tblMovement[Source_Type],"Stockpile")</f>
        <v/>
      </c>
      <c r="Y275" s="55">
        <f>IF($B275=$B274,$Y274,0)+$X275</f>
        <v/>
      </c>
      <c r="Z275" s="55">
        <f>$Z274+$X275</f>
        <v/>
      </c>
      <c r="AA275" s="55">
        <f>SUMIFS(tblMiningDaily[Drill_m],tblMiningDaily[Date],$A275)</f>
        <v/>
      </c>
      <c r="AB275" s="55">
        <f>IF($B275=$B274,$AB274,0)+$AA275</f>
        <v/>
      </c>
      <c r="AC275" s="55">
        <f>$AC274+$AA275</f>
        <v/>
      </c>
      <c r="AD275" s="55">
        <f>SUMIFS(tblMiningDaily[Blast_t],tblMiningDaily[Date],$A275)</f>
        <v/>
      </c>
      <c r="AE275" s="55">
        <f>IF($B275=$B274,$AE274,0)+$AD275</f>
        <v/>
      </c>
      <c r="AF275" s="55">
        <f>$AF274+$AD275</f>
        <v/>
      </c>
      <c r="AG275" s="55">
        <f>SUMIFS(tblMiningDaily[Explosives_kg],tblMiningDaily[Date],$A275)</f>
        <v/>
      </c>
      <c r="AH275" s="55">
        <f>IF($B275=$B274,$AH274,0)+$AG275</f>
        <v/>
      </c>
      <c r="AI275" s="55">
        <f>$AI274+$AG275</f>
        <v/>
      </c>
      <c r="AJ275" s="56">
        <f>IFERROR(IF(($AD275)&gt;0,($AG275)/($AD275),""),"")</f>
        <v/>
      </c>
      <c r="AK275" s="56">
        <f>IFERROR(IF(($AE275)&gt;0,($AH275)/($AE275),""),"")</f>
        <v/>
      </c>
      <c r="AL275" s="56">
        <f>IFERROR(IF(($AF275)&gt;0,($AI275)/($AF275),""),"")</f>
        <v/>
      </c>
      <c r="AM275" s="55">
        <f>SUMIFS(tblMiningDaily[Diesel_L],tblMiningDaily[Date],$A275)</f>
        <v/>
      </c>
      <c r="AN275" s="55">
        <f>IF($B275=$B274,$AN274,0)+$AM275</f>
        <v/>
      </c>
      <c r="AO275" s="55">
        <f>$AO274+$AM275</f>
        <v/>
      </c>
      <c r="AP275" s="55">
        <f>SUMIFS(tblMiningDaily[Dewatering_m3],tblMiningDaily[Date],$A275)</f>
        <v/>
      </c>
      <c r="AQ275" s="55">
        <f>IF($B275=$B274,$AQ274,0)+$AP275</f>
        <v/>
      </c>
      <c r="AR275" s="55">
        <f>$AR274+$AP275</f>
        <v/>
      </c>
      <c r="AS275" s="57">
        <f>SUMIFS(tblFleet[Calendar_h],tblFleet[Date],$A275,tblFleet[Equipment_Class],"Excavator")</f>
        <v/>
      </c>
      <c r="AT275" s="57">
        <f>IF($B275=$B274,$AT274,0)+$AS275</f>
        <v/>
      </c>
      <c r="AU275" s="57">
        <f>$AU274+$AS275</f>
        <v/>
      </c>
      <c r="AV275" s="57">
        <f>SUMIFS(tblFleet[Available_h],tblFleet[Date],$A275,tblFleet[Equipment_Class],"Excavator")</f>
        <v/>
      </c>
      <c r="AW275" s="57">
        <f>IF($B275=$B274,$AW274,0)+$AV275</f>
        <v/>
      </c>
      <c r="AX275" s="57">
        <f>$AX274+$AV275</f>
        <v/>
      </c>
      <c r="AY275" s="57">
        <f>SUMIFS(tblFleet[Operating_h],tblFleet[Date],$A275,tblFleet[Equipment_Class],"Excavator")</f>
        <v/>
      </c>
      <c r="AZ275" s="57">
        <f>IF($B275=$B274,$AZ274,0)+$AY275</f>
        <v/>
      </c>
      <c r="BA275" s="57">
        <f>$BA274+$AY275</f>
        <v/>
      </c>
      <c r="BB275" s="67">
        <f>IFERROR(IF(($AS275)&gt;0,($AV275)/($AS275),""),"")</f>
        <v/>
      </c>
      <c r="BC275" s="67">
        <f>IFERROR(IF(($AT275)&gt;0,($AW275)/($AT275),""),"")</f>
        <v/>
      </c>
      <c r="BD275" s="67">
        <f>IFERROR(IF(($AU275)&gt;0,($AX275)/($AU275),""),"")</f>
        <v/>
      </c>
      <c r="BE275" s="67">
        <f>IFERROR(IF(($AV275)&gt;0,($AY275)/($AV275),""),"")</f>
        <v/>
      </c>
      <c r="BF275" s="67">
        <f>IFERROR(IF(($AW275)&gt;0,($AZ275)/($AW275),""),"")</f>
        <v/>
      </c>
      <c r="BG275" s="67">
        <f>IFERROR(IF(($AX275)&gt;0,($BA275)/($AX275),""),"")</f>
        <v/>
      </c>
      <c r="BH275" s="57">
        <f>SUMIFS(tblFleet[Calendar_h],tblFleet[Date],$A275,tblFleet[Equipment_Class],"Haul Truck")</f>
        <v/>
      </c>
      <c r="BI275" s="57">
        <f>IF($B275=$B274,$BI274,0)+$BH275</f>
        <v/>
      </c>
      <c r="BJ275" s="57">
        <f>$BJ274+$BH275</f>
        <v/>
      </c>
      <c r="BK275" s="57">
        <f>SUMIFS(tblFleet[Available_h],tblFleet[Date],$A275,tblFleet[Equipment_Class],"Haul Truck")</f>
        <v/>
      </c>
      <c r="BL275" s="57">
        <f>IF($B275=$B274,$BL274,0)+$BK275</f>
        <v/>
      </c>
      <c r="BM275" s="57">
        <f>$BM274+$BK275</f>
        <v/>
      </c>
      <c r="BN275" s="57">
        <f>SUMIFS(tblFleet[Operating_h],tblFleet[Date],$A275,tblFleet[Equipment_Class],"Haul Truck")</f>
        <v/>
      </c>
      <c r="BO275" s="57">
        <f>IF($B275=$B274,$BO274,0)+$BN275</f>
        <v/>
      </c>
      <c r="BP275" s="57">
        <f>$BP274+$BN275</f>
        <v/>
      </c>
      <c r="BQ275" s="67">
        <f>IFERROR(IF(($BH275)&gt;0,($BK275)/($BH275),""),"")</f>
        <v/>
      </c>
      <c r="BR275" s="67">
        <f>IFERROR(IF(($BI275)&gt;0,($BL275)/($BI275),""),"")</f>
        <v/>
      </c>
      <c r="BS275" s="67">
        <f>IFERROR(IF(($BJ275)&gt;0,($BM275)/($BJ275),""),"")</f>
        <v/>
      </c>
      <c r="BT275" s="67">
        <f>IFERROR(IF(($BK275)&gt;0,($BN275)/($BK275),""),"")</f>
        <v/>
      </c>
      <c r="BU275" s="67">
        <f>IFERROR(IF(($BL275)&gt;0,($BO275)/($BL275),""),"")</f>
        <v/>
      </c>
      <c r="BV275" s="67">
        <f>IFERROR(IF(($BM275)&gt;0,($BP275)/($BM275),""),"")</f>
        <v/>
      </c>
      <c r="BW275" s="55">
        <f>SUMIFS(tblPlant[Crushed_t],tblPlant[Date],$A275)</f>
        <v/>
      </c>
      <c r="BX275" s="55">
        <f>IF($B275=$B274,$BX274,0)+$BW275</f>
        <v/>
      </c>
      <c r="BY275" s="55">
        <f>$BY274+$BW275</f>
        <v/>
      </c>
      <c r="BZ275" s="55">
        <f>SUMIFS(tblPlant[Milled_t],tblPlant[Date],$A275)</f>
        <v/>
      </c>
      <c r="CA275" s="55">
        <f>IF($B275=$B274,$CA274,0)+$BZ275</f>
        <v/>
      </c>
      <c r="CB275" s="55">
        <f>$CB274+$BZ275</f>
        <v/>
      </c>
      <c r="CC275" s="55">
        <f>SUMIFS(tblPlant[Feed_oz],tblPlant[Date],$A275)</f>
        <v/>
      </c>
      <c r="CD275" s="55">
        <f>IF($B275=$B274,$CD274,0)+$CC275</f>
        <v/>
      </c>
      <c r="CE275" s="55">
        <f>$CE274+$CC275</f>
        <v/>
      </c>
      <c r="CF275" s="55">
        <f>SUMIFS(tblPlant[Tails_oz],tblPlant[Date],$A275)</f>
        <v/>
      </c>
      <c r="CG275" s="55">
        <f>IF($B275=$B274,$CG274,0)+$CF275</f>
        <v/>
      </c>
      <c r="CH275" s="55">
        <f>$CH274+$CF275</f>
        <v/>
      </c>
      <c r="CI275" s="55">
        <f>SUMIFS(tblPlant[Recovered_oz],tblPlant[Date],$A275)</f>
        <v/>
      </c>
      <c r="CJ275" s="55">
        <f>IF($B275=$B274,$CJ274,0)+$CI275</f>
        <v/>
      </c>
      <c r="CK275" s="55">
        <f>$CK274+$CI275</f>
        <v/>
      </c>
      <c r="CL275" s="56">
        <f>IFERROR(IF(($BZ275)&gt;0,($CC275*cfg_TroyOz)/($BZ275),""),"")</f>
        <v/>
      </c>
      <c r="CM275" s="56">
        <f>IFERROR(IF(($CA275)&gt;0,($CD275*cfg_TroyOz)/($CA275),""),"")</f>
        <v/>
      </c>
      <c r="CN275" s="56">
        <f>IFERROR(IF(($CB275)&gt;0,($CE275*cfg_TroyOz)/($CB275),""),"")</f>
        <v/>
      </c>
      <c r="CO275" s="56">
        <f>IFERROR(IF(($BZ275)&gt;0,($CF275*cfg_TroyOz)/($BZ275),""),"")</f>
        <v/>
      </c>
      <c r="CP275" s="56">
        <f>IFERROR(IF(($CA275)&gt;0,($CG275*cfg_TroyOz)/($CA275),""),"")</f>
        <v/>
      </c>
      <c r="CQ275" s="56">
        <f>IFERROR(IF(($CB275)&gt;0,($CH275*cfg_TroyOz)/($CB275),""),"")</f>
        <v/>
      </c>
      <c r="CR275" s="67">
        <f>IFERROR(IF(($CC275)&gt;0,($CI275)/($CC275),""),"")</f>
        <v/>
      </c>
      <c r="CS275" s="67">
        <f>IFERROR(IF(($CD275)&gt;0,($CJ275)/($CD275),""),"")</f>
        <v/>
      </c>
      <c r="CT275" s="67">
        <f>IFERROR(IF(($CE275)&gt;0,($CK275)/($CE275),""),"")</f>
        <v/>
      </c>
      <c r="CU275" s="55">
        <f>SUMIFS(tblPlant[Gravity_Gold_oz],tblPlant[Date],$A275)</f>
        <v/>
      </c>
      <c r="CV275" s="55">
        <f>IF($B275=$B274,$CV274,0)+$CU275</f>
        <v/>
      </c>
      <c r="CW275" s="55">
        <f>$CW274+$CU275</f>
        <v/>
      </c>
      <c r="CX275" s="55">
        <f>SUMIFS(tblPlant[Gold_Poured_oz],tblPlant[Date],$A275)</f>
        <v/>
      </c>
      <c r="CY275" s="55">
        <f>IF($B275=$B274,$CY274,0)+$CX275</f>
        <v/>
      </c>
      <c r="CZ275" s="55">
        <f>$CZ274+$CX275</f>
        <v/>
      </c>
      <c r="DA275" s="57">
        <f>SUMIFS(tblPlant[Mill_Run_h],tblPlant[Date],$A275)</f>
        <v/>
      </c>
      <c r="DB275" s="57">
        <f>IF($B275=$B274,$DB274,0)+$DA275</f>
        <v/>
      </c>
      <c r="DC275" s="57">
        <f>$DC274+$DA275</f>
        <v/>
      </c>
      <c r="DD275" s="57">
        <f>SUMIFS(tblPlant[Mill_Planned_Maint_h],tblPlant[Date],$A275)</f>
        <v/>
      </c>
      <c r="DE275" s="57">
        <f>IF($B275=$B274,$DE274,0)+$DD275</f>
        <v/>
      </c>
      <c r="DF275" s="57">
        <f>$DF274+$DD275</f>
        <v/>
      </c>
      <c r="DG275" s="57">
        <f>SUMIFS(tblPlant[Mill_Unplanned_Down_h],tblPlant[Date],$A275)</f>
        <v/>
      </c>
      <c r="DH275" s="57">
        <f>IF($B275=$B274,$DH274,0)+$DG275</f>
        <v/>
      </c>
      <c r="DI275" s="57">
        <f>$DI274+$DG275</f>
        <v/>
      </c>
      <c r="DJ275" s="57">
        <f>COUNTIFS(tblPlant[Date],$A275,tblPlant[Mill_Run_h],"&lt;&gt;")*24</f>
        <v/>
      </c>
      <c r="DK275" s="57">
        <f>IF($B275=$B274,$DK274,0)+$DJ275</f>
        <v/>
      </c>
      <c r="DL275" s="57">
        <f>$DL274+$DJ275</f>
        <v/>
      </c>
      <c r="DM275" s="57">
        <f>SUMIFS(tblPlant[Crusher_Run_h],tblPlant[Date],$A275)</f>
        <v/>
      </c>
      <c r="DN275" s="57">
        <f>IF($B275=$B274,$DN274,0)+$DM275</f>
        <v/>
      </c>
      <c r="DO275" s="57">
        <f>$DO274+$DM275</f>
        <v/>
      </c>
      <c r="DP275" s="55">
        <f>IFERROR(IF(($DA275)&gt;0,($BZ275)/($DA275),""),"")</f>
        <v/>
      </c>
      <c r="DQ275" s="55">
        <f>IFERROR(IF(($DB275)&gt;0,($CA275)/($DB275),""),"")</f>
        <v/>
      </c>
      <c r="DR275" s="55">
        <f>IFERROR(IF(($DC275)&gt;0,($CB275)/($DC275),""),"")</f>
        <v/>
      </c>
      <c r="DS275" s="67">
        <f>IFERROR(IF(($DJ275)&gt;0,($DJ275-$DD275-$DG275)/($DJ275),""),"")</f>
        <v/>
      </c>
      <c r="DT275" s="67">
        <f>IFERROR(IF(($DK275)&gt;0,($DK275-$DE275-$DH275)/($DK275),""),"")</f>
        <v/>
      </c>
      <c r="DU275" s="67">
        <f>IFERROR(IF(($DL275)&gt;0,($DL275-$DF275-$DI275)/($DL275),""),"")</f>
        <v/>
      </c>
      <c r="DV275" s="67">
        <f>IFERROR(IF(($DJ275-$DD275-$DG275)&gt;0,($DA275)/($DJ275-$DD275-$DG275),""),"")</f>
        <v/>
      </c>
      <c r="DW275" s="67">
        <f>IFERROR(IF(($DK275-$DE275-$DH275)&gt;0,($DB275)/($DK275-$DE275-$DH275),""),"")</f>
        <v/>
      </c>
      <c r="DX275" s="67">
        <f>IFERROR(IF(($DL275-$DF275-$DI275)&gt;0,($DC275)/($DL275-$DF275-$DI275),""),"")</f>
        <v/>
      </c>
      <c r="DY275" s="55">
        <f>SUMIFS(tblPlant[Cyanide_kg],tblPlant[Date],$A275)</f>
        <v/>
      </c>
      <c r="DZ275" s="55">
        <f>IF($B275=$B274,$DZ274,0)+$DY275</f>
        <v/>
      </c>
      <c r="EA275" s="55">
        <f>$EA274+$DY275</f>
        <v/>
      </c>
      <c r="EB275" s="55">
        <f>SUMIFS(tblPlant[Lime_kg],tblPlant[Date],$A275)</f>
        <v/>
      </c>
      <c r="EC275" s="55">
        <f>IF($B275=$B274,$EC274,0)+$EB275</f>
        <v/>
      </c>
      <c r="ED275" s="55">
        <f>$ED274+$EB275</f>
        <v/>
      </c>
      <c r="EE275" s="55">
        <f>SUMIFS(tblPlant[Grinding_Media_kg],tblPlant[Date],$A275)</f>
        <v/>
      </c>
      <c r="EF275" s="55">
        <f>IF($B275=$B274,$EF274,0)+$EE275</f>
        <v/>
      </c>
      <c r="EG275" s="55">
        <f>$EG274+$EE275</f>
        <v/>
      </c>
      <c r="EH275" s="55">
        <f>SUMIFS(tblPlant[Power_kWh],tblPlant[Date],$A275)</f>
        <v/>
      </c>
      <c r="EI275" s="55">
        <f>IF($B275=$B274,$EI274,0)+$EH275</f>
        <v/>
      </c>
      <c r="EJ275" s="55">
        <f>$EJ274+$EH275</f>
        <v/>
      </c>
      <c r="EK275" s="55">
        <f>SUMIFS(tblPlant[Raw_Water_m3],tblPlant[Date],$A275)</f>
        <v/>
      </c>
      <c r="EL275" s="55">
        <f>IF($B275=$B274,$EL274,0)+$EK275</f>
        <v/>
      </c>
      <c r="EM275" s="55">
        <f>$EM274+$EK275</f>
        <v/>
      </c>
      <c r="EN275" s="56">
        <f>IFERROR(IF(($BZ275)&gt;0,($DY275)/($BZ275),""),"")</f>
        <v/>
      </c>
      <c r="EO275" s="56">
        <f>IFERROR(IF(($CA275)&gt;0,($DZ275)/($CA275),""),"")</f>
        <v/>
      </c>
      <c r="EP275" s="56">
        <f>IFERROR(IF(($CB275)&gt;0,($EA275)/($CB275),""),"")</f>
        <v/>
      </c>
      <c r="EQ275" s="56">
        <f>IFERROR(IF(($BZ275)&gt;0,($EB275)/($BZ275),""),"")</f>
        <v/>
      </c>
      <c r="ER275" s="56">
        <f>IFERROR(IF(($CA275)&gt;0,($EC275)/($CA275),""),"")</f>
        <v/>
      </c>
      <c r="ES275" s="56">
        <f>IFERROR(IF(($CB275)&gt;0,($ED275)/($CB275),""),"")</f>
        <v/>
      </c>
      <c r="ET275" s="56">
        <f>IFERROR(IF(($BZ275)&gt;0,($EE275)/($BZ275),""),"")</f>
        <v/>
      </c>
      <c r="EU275" s="56">
        <f>IFERROR(IF(($CA275)&gt;0,($EF275)/($CA275),""),"")</f>
        <v/>
      </c>
      <c r="EV275" s="56">
        <f>IFERROR(IF(($CB275)&gt;0,($EG275)/($CB275),""),"")</f>
        <v/>
      </c>
      <c r="EW275" s="76">
        <f>IFERROR(IF(($BZ275)&gt;0,($EH275)/($BZ275),""),"")</f>
        <v/>
      </c>
      <c r="EX275" s="76">
        <f>IFERROR(IF(($CA275)&gt;0,($EI275)/($CA275),""),"")</f>
        <v/>
      </c>
      <c r="EY275" s="76">
        <f>IFERROR(IF(($CB275)&gt;0,($EJ275)/($CB275),""),"")</f>
        <v/>
      </c>
      <c r="EZ275" s="56">
        <f>IFERROR(IF(($BZ275)&gt;0,($EK275)/($BZ275),""),"")</f>
        <v/>
      </c>
      <c r="FA275" s="56">
        <f>IFERROR(IF(($CA275)&gt;0,($EL275)/($CA275),""),"")</f>
        <v/>
      </c>
      <c r="FB275" s="56">
        <f>IFERROR(IF(($CB275)&gt;0,($EM275)/($CB275),""),"")</f>
        <v/>
      </c>
      <c r="FC275" s="55">
        <f>IF(SUMIFS(tblPlant[GIC_oz],tblPlant[Date],$A275)&gt;0,SUMIFS(tblPlant[GIC_oz],tblPlant[Date],$A275),"")</f>
        <v/>
      </c>
      <c r="FD275" s="55">
        <f>SUMIFS(tblGold[Gold_oz],tblGold[Date],$A275,tblGold[Type],"Shipment")</f>
        <v/>
      </c>
      <c r="FE275" s="55">
        <f>IF($B275=$B274,$FE274,0)+$FD275</f>
        <v/>
      </c>
      <c r="FF275" s="55">
        <f>$FF274+$FD275</f>
        <v/>
      </c>
      <c r="FG275" s="55">
        <f>SUMIFS(tblGold[Gold_oz],tblGold[Date],$A275,tblGold[Type],"Sale")</f>
        <v/>
      </c>
      <c r="FH275" s="55">
        <f>IF($B275=$B274,$FH274,0)+$FG275</f>
        <v/>
      </c>
      <c r="FI275" s="55">
        <f>$FI274+$FG275</f>
        <v/>
      </c>
      <c r="FJ275" s="55">
        <f>SUMIFS(tblGold[Dore_kg],tblGold[Date],$A275,tblGold[Type],"Shipment")</f>
        <v/>
      </c>
      <c r="FK275" s="55">
        <f>IF($B275=$B274,$FK274,0)+$FJ275</f>
        <v/>
      </c>
      <c r="FL275" s="55">
        <f>$FL274+$FJ275</f>
        <v/>
      </c>
      <c r="FM275" s="57">
        <f>SUMIFS(tblSafety[Hours_Total],tblSafety[Date],$A275)</f>
        <v/>
      </c>
      <c r="FN275" s="57">
        <f>IF($B275=$B274,$FN274,0)+$FM275</f>
        <v/>
      </c>
      <c r="FO275" s="57">
        <f>$FO274+$FM275</f>
        <v/>
      </c>
      <c r="FP275" s="62">
        <f>SUMIFS(tblSafety[Fatality],tblSafety[Date],$A275)</f>
        <v/>
      </c>
      <c r="FQ275" s="62">
        <f>IF($B275=$B274,$FQ274,0)+$FP275</f>
        <v/>
      </c>
      <c r="FR275" s="62">
        <f>$FR274+$FP275</f>
        <v/>
      </c>
      <c r="FS275" s="62">
        <f>SUMIFS(tblSafety[LTI],tblSafety[Date],$A275)</f>
        <v/>
      </c>
      <c r="FT275" s="62">
        <f>IF($B275=$B274,$FT274,0)+$FS275</f>
        <v/>
      </c>
      <c r="FU275" s="62">
        <f>$FU274+$FS275</f>
        <v/>
      </c>
      <c r="FV275" s="62">
        <f>SUMIFS(tblSafety[RWI],tblSafety[Date],$A275)</f>
        <v/>
      </c>
      <c r="FW275" s="62">
        <f>IF($B275=$B274,$FW274,0)+$FV275</f>
        <v/>
      </c>
      <c r="FX275" s="62">
        <f>$FX274+$FV275</f>
        <v/>
      </c>
      <c r="FY275" s="62">
        <f>SUMIFS(tblSafety[MTI],tblSafety[Date],$A275)</f>
        <v/>
      </c>
      <c r="FZ275" s="62">
        <f>IF($B275=$B274,$FZ274,0)+$FY275</f>
        <v/>
      </c>
      <c r="GA275" s="62">
        <f>$GA274+$FY275</f>
        <v/>
      </c>
      <c r="GB275" s="62">
        <f>SUMIFS(tblSafety[FAI],tblSafety[Date],$A275)</f>
        <v/>
      </c>
      <c r="GC275" s="62">
        <f>IF($B275=$B274,$GC274,0)+$GB275</f>
        <v/>
      </c>
      <c r="GD275" s="62">
        <f>$GD274+$GB275</f>
        <v/>
      </c>
      <c r="GE275" s="62">
        <f>SUMIFS(tblSafety[Recordables],tblSafety[Date],$A275)</f>
        <v/>
      </c>
      <c r="GF275" s="62">
        <f>IF($B275=$B274,$GF274,0)+$GE275</f>
        <v/>
      </c>
      <c r="GG275" s="62">
        <f>$GG274+$GE275</f>
        <v/>
      </c>
      <c r="GH275" s="62">
        <f>SUMIFS(tblSafety[Near_Miss],tblSafety[Date],$A275)</f>
        <v/>
      </c>
      <c r="GI275" s="62">
        <f>IF($B275=$B274,$GI274,0)+$GH275</f>
        <v/>
      </c>
      <c r="GJ275" s="62">
        <f>$GJ274+$GH275</f>
        <v/>
      </c>
      <c r="GK275" s="62">
        <f>SUMIFS(tblSafety[Hazard_Reports],tblSafety[Date],$A275)</f>
        <v/>
      </c>
      <c r="GL275" s="62">
        <f>IF($B275=$B274,$GL274,0)+$GK275</f>
        <v/>
      </c>
      <c r="GM275" s="62">
        <f>$GM274+$GK275</f>
        <v/>
      </c>
      <c r="GN275" s="62">
        <f>SUMIFS(tblSafety[HPI],tblSafety[Date],$A275)</f>
        <v/>
      </c>
      <c r="GO275" s="62">
        <f>IF($B275=$B274,$GO274,0)+$GN275</f>
        <v/>
      </c>
      <c r="GP275" s="62">
        <f>$GP274+$GN275</f>
        <v/>
      </c>
      <c r="GQ275" s="62">
        <f>SUMIFS(tblSafety[Env_Incidents],tblSafety[Date],$A275)</f>
        <v/>
      </c>
      <c r="GR275" s="62">
        <f>IF($B275=$B274,$GR274,0)+$GQ275</f>
        <v/>
      </c>
      <c r="GS275" s="62">
        <f>$GS274+$GQ275</f>
        <v/>
      </c>
      <c r="GT275" s="62">
        <f>SUMIFS(tblSafety[Community_Incidents],tblSafety[Date],$A275)</f>
        <v/>
      </c>
      <c r="GU275" s="62">
        <f>IF($B275=$B274,$GU274,0)+$GT275</f>
        <v/>
      </c>
      <c r="GV275" s="62">
        <f>$GV274+$GT275</f>
        <v/>
      </c>
      <c r="GW275" s="62">
        <f>SUMIFS(tblSafety[Vehicle_Incidents],tblSafety[Date],$A275)</f>
        <v/>
      </c>
      <c r="GX275" s="62">
        <f>IF($B275=$B274,$GX274,0)+$GW275</f>
        <v/>
      </c>
      <c r="GY275" s="62">
        <f>$GY274+$GW275</f>
        <v/>
      </c>
      <c r="GZ275" s="62">
        <f>SUMIFS(tblSafety[Toolbox_Talks],tblSafety[Date],$A275)</f>
        <v/>
      </c>
      <c r="HA275" s="62">
        <f>IF($B275=$B274,$HA274,0)+$GZ275</f>
        <v/>
      </c>
      <c r="HB275" s="62">
        <f>$HB274+$GZ275</f>
        <v/>
      </c>
      <c r="HC275" s="62">
        <f>SUMIFS(tblSafety[Inspections],tblSafety[Date],$A275)</f>
        <v/>
      </c>
      <c r="HD275" s="62">
        <f>IF($B275=$B274,$HD274,0)+$HC275</f>
        <v/>
      </c>
      <c r="HE275" s="62">
        <f>$HE274+$HC275</f>
        <v/>
      </c>
      <c r="HF275" s="56">
        <f>IFERROR((SUMIFS(tblSafety[Recordables],tblSafety[Date],"&gt;="&amp;EDATE($E275,-12),tblSafety[Date],"&lt;="&amp;$A275)+SUMIFS(tblSafetyHistory[Recordables],tblSafetyHistory[Month],"&gt;="&amp;EDATE($E275,-12),tblSafetyHistory[Month],"&lt;"&amp;cfg_YearStart))/(SUMIFS(tblSafety[Hours_Total],tblSafety[Date],"&gt;="&amp;EDATE($E275,-12),tblSafety[Date],"&lt;="&amp;$A275)+SUMIFS(tblSafetyHistory[Hours_Total],tblSafetyHistory[Month],"&gt;="&amp;EDATE($E275,-12),tblSafetyHistory[Month],"&lt;"&amp;cfg_YearStart))*1000000,"")</f>
        <v/>
      </c>
      <c r="HG275" s="56">
        <f>IFERROR((SUMIFS(tblSafety[LTI],tblSafety[Date],"&gt;="&amp;EDATE($E275,-12),tblSafety[Date],"&lt;="&amp;$A275)+SUMIFS(tblSafetyHistory[LTI],tblSafetyHistory[Month],"&gt;="&amp;EDATE($E275,-12),tblSafetyHistory[Month],"&lt;"&amp;cfg_YearStart))/(SUMIFS(tblSafety[Hours_Total],tblSafety[Date],"&gt;="&amp;EDATE($E275,-12),tblSafety[Date],"&lt;="&amp;$A275)+SUMIFS(tblSafetyHistory[Hours_Total],tblSafetyHistory[Month],"&gt;="&amp;EDATE($E275,-12),tblSafetyHistory[Month],"&lt;"&amp;cfg_YearStart))*1000000,"")</f>
        <v/>
      </c>
      <c r="HH275" s="62">
        <f>IF(MAX(N(cfg_PriorLTIDate),_xlfn.MAXIFS(tblSafety[Date],tblSafety[LTI],"&gt;0",tblSafety[Date],"&lt;="&amp;$A275))=0,"",$A275-MAX(N(cfg_PriorLTIDate),_xlfn.MAXIFS(tblSafety[Date],tblSafety[LTI],"&gt;0",tblSafety[Date],"&lt;="&amp;$A275)))</f>
        <v/>
      </c>
      <c r="HI275" s="55">
        <f>SUMIFS(tblBudget[Ore_Mined_t],tblBudget[Month],$E275)</f>
        <v/>
      </c>
      <c r="HJ275" s="55">
        <f>$HI275*$C275/$D275</f>
        <v/>
      </c>
      <c r="HK275" s="55">
        <f>SUMIFS(tblBudget[Ore_Mined_t],tblBudget[Month],"&lt;"&amp;$E275)+$HJ275</f>
        <v/>
      </c>
      <c r="HL275" s="55">
        <f>SUMIFS(tblBudget[Ore_oz],tblBudget[Month],$E275)</f>
        <v/>
      </c>
      <c r="HM275" s="55">
        <f>$HL275*$C275/$D275</f>
        <v/>
      </c>
      <c r="HN275" s="55">
        <f>SUMIFS(tblBudget[Ore_oz],tblBudget[Month],"&lt;"&amp;$E275)+$HM275</f>
        <v/>
      </c>
      <c r="HO275" s="56">
        <f>IFERROR(IF(($HI275)&gt;0,($HL275*cfg_TroyOz)/($HI275),""),"")</f>
        <v/>
      </c>
      <c r="HP275" s="56">
        <f>IFERROR(IF(($HJ275)&gt;0,($HM275*cfg_TroyOz)/($HJ275),""),"")</f>
        <v/>
      </c>
      <c r="HQ275" s="56">
        <f>IFERROR(IF(($HK275)&gt;0,($HN275*cfg_TroyOz)/($HK275),""),"")</f>
        <v/>
      </c>
      <c r="HR275" s="55">
        <f>SUMIFS(tblBudget[Waste_t],tblBudget[Month],$E275)</f>
        <v/>
      </c>
      <c r="HS275" s="55">
        <f>$HR275*$C275/$D275</f>
        <v/>
      </c>
      <c r="HT275" s="55">
        <f>SUMIFS(tblBudget[Waste_t],tblBudget[Month],"&lt;"&amp;$E275)+$HS275</f>
        <v/>
      </c>
      <c r="HU275" s="55">
        <f>SUMIFS(tblBudget[TMM_t],tblBudget[Month],$E275)</f>
        <v/>
      </c>
      <c r="HV275" s="55">
        <f>$HU275*$C275/$D275</f>
        <v/>
      </c>
      <c r="HW275" s="55">
        <f>SUMIFS(tblBudget[TMM_t],tblBudget[Month],"&lt;"&amp;$E275)+$HV275</f>
        <v/>
      </c>
      <c r="HX275" s="56">
        <f>IFERROR(IF(($HI275)&gt;0,($HR275)/($HI275),""),"")</f>
        <v/>
      </c>
      <c r="HY275" s="56">
        <f>IFERROR(IF(($HJ275)&gt;0,($HS275)/($HJ275),""),"")</f>
        <v/>
      </c>
      <c r="HZ275" s="56">
        <f>IFERROR(IF(($HK275)&gt;0,($HT275)/($HK275),""),"")</f>
        <v/>
      </c>
      <c r="IA275" s="55">
        <f>SUMIFS(tblBudget[Drill_m],tblBudget[Month],$E275)</f>
        <v/>
      </c>
      <c r="IB275" s="55">
        <f>$IA275*$C275/$D275</f>
        <v/>
      </c>
      <c r="IC275" s="55">
        <f>SUMIFS(tblBudget[Drill_m],tblBudget[Month],"&lt;"&amp;$E275)+$IB275</f>
        <v/>
      </c>
      <c r="ID275" s="55">
        <f>SUMIFS(tblBudget[Diesel_L],tblBudget[Month],$E275)</f>
        <v/>
      </c>
      <c r="IE275" s="55">
        <f>$ID275*$C275/$D275</f>
        <v/>
      </c>
      <c r="IF275" s="55">
        <f>SUMIFS(tblBudget[Diesel_L],tblBudget[Month],"&lt;"&amp;$E275)+$IE275</f>
        <v/>
      </c>
      <c r="IG275" s="55">
        <f>SUMIFS(tblBudget[Milled_t],tblBudget[Month],$E275)</f>
        <v/>
      </c>
      <c r="IH275" s="55">
        <f>$IG275*$C275/$D275</f>
        <v/>
      </c>
      <c r="II275" s="55">
        <f>SUMIFS(tblBudget[Milled_t],tblBudget[Month],"&lt;"&amp;$E275)+$IH275</f>
        <v/>
      </c>
      <c r="IJ275" s="55">
        <f>SUMIFS(tblBudget[Feed_oz],tblBudget[Month],$E275)</f>
        <v/>
      </c>
      <c r="IK275" s="55">
        <f>$IJ275*$C275/$D275</f>
        <v/>
      </c>
      <c r="IL275" s="55">
        <f>SUMIFS(tblBudget[Feed_oz],tblBudget[Month],"&lt;"&amp;$E275)+$IK275</f>
        <v/>
      </c>
      <c r="IM275" s="55">
        <f>SUMIFS(tblBudget[Recovered_oz],tblBudget[Month],$E275)</f>
        <v/>
      </c>
      <c r="IN275" s="55">
        <f>$IM275*$C275/$D275</f>
        <v/>
      </c>
      <c r="IO275" s="55">
        <f>SUMIFS(tblBudget[Recovered_oz],tblBudget[Month],"&lt;"&amp;$E275)+$IN275</f>
        <v/>
      </c>
      <c r="IP275" s="56">
        <f>IFERROR(IF(($IG275)&gt;0,($IJ275*cfg_TroyOz)/($IG275),""),"")</f>
        <v/>
      </c>
      <c r="IQ275" s="56">
        <f>IFERROR(IF(($IH275)&gt;0,($IK275*cfg_TroyOz)/($IH275),""),"")</f>
        <v/>
      </c>
      <c r="IR275" s="56">
        <f>IFERROR(IF(($II275)&gt;0,($IL275*cfg_TroyOz)/($II275),""),"")</f>
        <v/>
      </c>
      <c r="IS275" s="67">
        <f>IFERROR(IF(($IJ275)&gt;0,($IM275)/($IJ275),""),"")</f>
        <v/>
      </c>
      <c r="IT275" s="67">
        <f>IFERROR(IF(($IK275)&gt;0,($IN275)/($IK275),""),"")</f>
        <v/>
      </c>
      <c r="IU275" s="67">
        <f>IFERROR(IF(($IL275)&gt;0,($IO275)/($IL275),""),"")</f>
        <v/>
      </c>
      <c r="IV275" s="55">
        <f>SUMIFS(tblBudget[Gold_Poured_oz],tblBudget[Month],$E275)</f>
        <v/>
      </c>
      <c r="IW275" s="55">
        <f>$IV275*$C275/$D275</f>
        <v/>
      </c>
      <c r="IX275" s="55">
        <f>SUMIFS(tblBudget[Gold_Poured_oz],tblBudget[Month],"&lt;"&amp;$E275)+$IW275</f>
        <v/>
      </c>
      <c r="IY275" s="57">
        <f>SUMIFS(tblBudget[Hours_Worked],tblBudget[Month],$E275)</f>
        <v/>
      </c>
      <c r="IZ275" s="57">
        <f>$IY275*$C275/$D275</f>
        <v/>
      </c>
      <c r="JA275" s="57">
        <f>SUMIFS(tblBudget[Hours_Worked],tblBudget[Month],"&lt;"&amp;$E275)+$IZ275</f>
        <v/>
      </c>
    </row>
    <row r="276">
      <c r="A276" s="54" t="n">
        <v>46297</v>
      </c>
      <c r="B276">
        <f>MONTH($A276)</f>
        <v/>
      </c>
      <c r="C276">
        <f>DAY($A276)</f>
        <v/>
      </c>
      <c r="D276">
        <f>DAY(EOMONTH($A276,0))</f>
        <v/>
      </c>
      <c r="E276" s="54">
        <f>DATE(YEAR($A276),MONTH($A276),1)</f>
        <v/>
      </c>
      <c r="F276" s="55">
        <f>SUMIFS(tblMovement[Tonnes_t],tblMovement[Date],$A276,tblMovement[Is_Ore],1,tblMovement[Source_Type],"Pit")</f>
        <v/>
      </c>
      <c r="G276" s="55">
        <f>IF($B276=$B275,$G275,0)+$F276</f>
        <v/>
      </c>
      <c r="H276" s="55">
        <f>$H275+$F276</f>
        <v/>
      </c>
      <c r="I276" s="55">
        <f>SUMIFS(tblMovement[Ore_oz],tblMovement[Date],$A276,tblMovement[Source_Type],"Pit")</f>
        <v/>
      </c>
      <c r="J276" s="55">
        <f>IF($B276=$B275,$J275,0)+$I276</f>
        <v/>
      </c>
      <c r="K276" s="55">
        <f>$K275+$I276</f>
        <v/>
      </c>
      <c r="L276" s="56">
        <f>IFERROR(IF(($F276)&gt;0,($I276*cfg_TroyOz)/($F276),""),"")</f>
        <v/>
      </c>
      <c r="M276" s="56">
        <f>IFERROR(IF(($G276)&gt;0,($J276*cfg_TroyOz)/($G276),""),"")</f>
        <v/>
      </c>
      <c r="N276" s="56">
        <f>IFERROR(IF(($H276)&gt;0,($K276*cfg_TroyOz)/($H276),""),"")</f>
        <v/>
      </c>
      <c r="O276" s="55">
        <f>SUMIFS(tblMovement[Tonnes_t],tblMovement[Date],$A276,tblMovement[Is_Ore],0,tblMovement[Source_Type],"Pit")</f>
        <v/>
      </c>
      <c r="P276" s="55">
        <f>IF($B276=$B275,$P275,0)+$O276</f>
        <v/>
      </c>
      <c r="Q276" s="55">
        <f>$Q275+$O276</f>
        <v/>
      </c>
      <c r="R276" s="55">
        <f>$F276+$O276</f>
        <v/>
      </c>
      <c r="S276" s="55">
        <f>IF($B276=$B275,$S275,0)+$R276</f>
        <v/>
      </c>
      <c r="T276" s="55">
        <f>$T275+$R276</f>
        <v/>
      </c>
      <c r="U276" s="56">
        <f>IFERROR(IF(($F276)&gt;0,($O276)/($F276),""),"")</f>
        <v/>
      </c>
      <c r="V276" s="56">
        <f>IFERROR(IF(($G276)&gt;0,($P276)/($G276),""),"")</f>
        <v/>
      </c>
      <c r="W276" s="56">
        <f>IFERROR(IF(($H276)&gt;0,($Q276)/($H276),""),"")</f>
        <v/>
      </c>
      <c r="X276" s="55">
        <f>SUMIFS(tblMovement[Tonnes_t],tblMovement[Date],$A276,tblMovement[Source_Type],"Stockpile")</f>
        <v/>
      </c>
      <c r="Y276" s="55">
        <f>IF($B276=$B275,$Y275,0)+$X276</f>
        <v/>
      </c>
      <c r="Z276" s="55">
        <f>$Z275+$X276</f>
        <v/>
      </c>
      <c r="AA276" s="55">
        <f>SUMIFS(tblMiningDaily[Drill_m],tblMiningDaily[Date],$A276)</f>
        <v/>
      </c>
      <c r="AB276" s="55">
        <f>IF($B276=$B275,$AB275,0)+$AA276</f>
        <v/>
      </c>
      <c r="AC276" s="55">
        <f>$AC275+$AA276</f>
        <v/>
      </c>
      <c r="AD276" s="55">
        <f>SUMIFS(tblMiningDaily[Blast_t],tblMiningDaily[Date],$A276)</f>
        <v/>
      </c>
      <c r="AE276" s="55">
        <f>IF($B276=$B275,$AE275,0)+$AD276</f>
        <v/>
      </c>
      <c r="AF276" s="55">
        <f>$AF275+$AD276</f>
        <v/>
      </c>
      <c r="AG276" s="55">
        <f>SUMIFS(tblMiningDaily[Explosives_kg],tblMiningDaily[Date],$A276)</f>
        <v/>
      </c>
      <c r="AH276" s="55">
        <f>IF($B276=$B275,$AH275,0)+$AG276</f>
        <v/>
      </c>
      <c r="AI276" s="55">
        <f>$AI275+$AG276</f>
        <v/>
      </c>
      <c r="AJ276" s="56">
        <f>IFERROR(IF(($AD276)&gt;0,($AG276)/($AD276),""),"")</f>
        <v/>
      </c>
      <c r="AK276" s="56">
        <f>IFERROR(IF(($AE276)&gt;0,($AH276)/($AE276),""),"")</f>
        <v/>
      </c>
      <c r="AL276" s="56">
        <f>IFERROR(IF(($AF276)&gt;0,($AI276)/($AF276),""),"")</f>
        <v/>
      </c>
      <c r="AM276" s="55">
        <f>SUMIFS(tblMiningDaily[Diesel_L],tblMiningDaily[Date],$A276)</f>
        <v/>
      </c>
      <c r="AN276" s="55">
        <f>IF($B276=$B275,$AN275,0)+$AM276</f>
        <v/>
      </c>
      <c r="AO276" s="55">
        <f>$AO275+$AM276</f>
        <v/>
      </c>
      <c r="AP276" s="55">
        <f>SUMIFS(tblMiningDaily[Dewatering_m3],tblMiningDaily[Date],$A276)</f>
        <v/>
      </c>
      <c r="AQ276" s="55">
        <f>IF($B276=$B275,$AQ275,0)+$AP276</f>
        <v/>
      </c>
      <c r="AR276" s="55">
        <f>$AR275+$AP276</f>
        <v/>
      </c>
      <c r="AS276" s="57">
        <f>SUMIFS(tblFleet[Calendar_h],tblFleet[Date],$A276,tblFleet[Equipment_Class],"Excavator")</f>
        <v/>
      </c>
      <c r="AT276" s="57">
        <f>IF($B276=$B275,$AT275,0)+$AS276</f>
        <v/>
      </c>
      <c r="AU276" s="57">
        <f>$AU275+$AS276</f>
        <v/>
      </c>
      <c r="AV276" s="57">
        <f>SUMIFS(tblFleet[Available_h],tblFleet[Date],$A276,tblFleet[Equipment_Class],"Excavator")</f>
        <v/>
      </c>
      <c r="AW276" s="57">
        <f>IF($B276=$B275,$AW275,0)+$AV276</f>
        <v/>
      </c>
      <c r="AX276" s="57">
        <f>$AX275+$AV276</f>
        <v/>
      </c>
      <c r="AY276" s="57">
        <f>SUMIFS(tblFleet[Operating_h],tblFleet[Date],$A276,tblFleet[Equipment_Class],"Excavator")</f>
        <v/>
      </c>
      <c r="AZ276" s="57">
        <f>IF($B276=$B275,$AZ275,0)+$AY276</f>
        <v/>
      </c>
      <c r="BA276" s="57">
        <f>$BA275+$AY276</f>
        <v/>
      </c>
      <c r="BB276" s="67">
        <f>IFERROR(IF(($AS276)&gt;0,($AV276)/($AS276),""),"")</f>
        <v/>
      </c>
      <c r="BC276" s="67">
        <f>IFERROR(IF(($AT276)&gt;0,($AW276)/($AT276),""),"")</f>
        <v/>
      </c>
      <c r="BD276" s="67">
        <f>IFERROR(IF(($AU276)&gt;0,($AX276)/($AU276),""),"")</f>
        <v/>
      </c>
      <c r="BE276" s="67">
        <f>IFERROR(IF(($AV276)&gt;0,($AY276)/($AV276),""),"")</f>
        <v/>
      </c>
      <c r="BF276" s="67">
        <f>IFERROR(IF(($AW276)&gt;0,($AZ276)/($AW276),""),"")</f>
        <v/>
      </c>
      <c r="BG276" s="67">
        <f>IFERROR(IF(($AX276)&gt;0,($BA276)/($AX276),""),"")</f>
        <v/>
      </c>
      <c r="BH276" s="57">
        <f>SUMIFS(tblFleet[Calendar_h],tblFleet[Date],$A276,tblFleet[Equipment_Class],"Haul Truck")</f>
        <v/>
      </c>
      <c r="BI276" s="57">
        <f>IF($B276=$B275,$BI275,0)+$BH276</f>
        <v/>
      </c>
      <c r="BJ276" s="57">
        <f>$BJ275+$BH276</f>
        <v/>
      </c>
      <c r="BK276" s="57">
        <f>SUMIFS(tblFleet[Available_h],tblFleet[Date],$A276,tblFleet[Equipment_Class],"Haul Truck")</f>
        <v/>
      </c>
      <c r="BL276" s="57">
        <f>IF($B276=$B275,$BL275,0)+$BK276</f>
        <v/>
      </c>
      <c r="BM276" s="57">
        <f>$BM275+$BK276</f>
        <v/>
      </c>
      <c r="BN276" s="57">
        <f>SUMIFS(tblFleet[Operating_h],tblFleet[Date],$A276,tblFleet[Equipment_Class],"Haul Truck")</f>
        <v/>
      </c>
      <c r="BO276" s="57">
        <f>IF($B276=$B275,$BO275,0)+$BN276</f>
        <v/>
      </c>
      <c r="BP276" s="57">
        <f>$BP275+$BN276</f>
        <v/>
      </c>
      <c r="BQ276" s="67">
        <f>IFERROR(IF(($BH276)&gt;0,($BK276)/($BH276),""),"")</f>
        <v/>
      </c>
      <c r="BR276" s="67">
        <f>IFERROR(IF(($BI276)&gt;0,($BL276)/($BI276),""),"")</f>
        <v/>
      </c>
      <c r="BS276" s="67">
        <f>IFERROR(IF(($BJ276)&gt;0,($BM276)/($BJ276),""),"")</f>
        <v/>
      </c>
      <c r="BT276" s="67">
        <f>IFERROR(IF(($BK276)&gt;0,($BN276)/($BK276),""),"")</f>
        <v/>
      </c>
      <c r="BU276" s="67">
        <f>IFERROR(IF(($BL276)&gt;0,($BO276)/($BL276),""),"")</f>
        <v/>
      </c>
      <c r="BV276" s="67">
        <f>IFERROR(IF(($BM276)&gt;0,($BP276)/($BM276),""),"")</f>
        <v/>
      </c>
      <c r="BW276" s="55">
        <f>SUMIFS(tblPlant[Crushed_t],tblPlant[Date],$A276)</f>
        <v/>
      </c>
      <c r="BX276" s="55">
        <f>IF($B276=$B275,$BX275,0)+$BW276</f>
        <v/>
      </c>
      <c r="BY276" s="55">
        <f>$BY275+$BW276</f>
        <v/>
      </c>
      <c r="BZ276" s="55">
        <f>SUMIFS(tblPlant[Milled_t],tblPlant[Date],$A276)</f>
        <v/>
      </c>
      <c r="CA276" s="55">
        <f>IF($B276=$B275,$CA275,0)+$BZ276</f>
        <v/>
      </c>
      <c r="CB276" s="55">
        <f>$CB275+$BZ276</f>
        <v/>
      </c>
      <c r="CC276" s="55">
        <f>SUMIFS(tblPlant[Feed_oz],tblPlant[Date],$A276)</f>
        <v/>
      </c>
      <c r="CD276" s="55">
        <f>IF($B276=$B275,$CD275,0)+$CC276</f>
        <v/>
      </c>
      <c r="CE276" s="55">
        <f>$CE275+$CC276</f>
        <v/>
      </c>
      <c r="CF276" s="55">
        <f>SUMIFS(tblPlant[Tails_oz],tblPlant[Date],$A276)</f>
        <v/>
      </c>
      <c r="CG276" s="55">
        <f>IF($B276=$B275,$CG275,0)+$CF276</f>
        <v/>
      </c>
      <c r="CH276" s="55">
        <f>$CH275+$CF276</f>
        <v/>
      </c>
      <c r="CI276" s="55">
        <f>SUMIFS(tblPlant[Recovered_oz],tblPlant[Date],$A276)</f>
        <v/>
      </c>
      <c r="CJ276" s="55">
        <f>IF($B276=$B275,$CJ275,0)+$CI276</f>
        <v/>
      </c>
      <c r="CK276" s="55">
        <f>$CK275+$CI276</f>
        <v/>
      </c>
      <c r="CL276" s="56">
        <f>IFERROR(IF(($BZ276)&gt;0,($CC276*cfg_TroyOz)/($BZ276),""),"")</f>
        <v/>
      </c>
      <c r="CM276" s="56">
        <f>IFERROR(IF(($CA276)&gt;0,($CD276*cfg_TroyOz)/($CA276),""),"")</f>
        <v/>
      </c>
      <c r="CN276" s="56">
        <f>IFERROR(IF(($CB276)&gt;0,($CE276*cfg_TroyOz)/($CB276),""),"")</f>
        <v/>
      </c>
      <c r="CO276" s="56">
        <f>IFERROR(IF(($BZ276)&gt;0,($CF276*cfg_TroyOz)/($BZ276),""),"")</f>
        <v/>
      </c>
      <c r="CP276" s="56">
        <f>IFERROR(IF(($CA276)&gt;0,($CG276*cfg_TroyOz)/($CA276),""),"")</f>
        <v/>
      </c>
      <c r="CQ276" s="56">
        <f>IFERROR(IF(($CB276)&gt;0,($CH276*cfg_TroyOz)/($CB276),""),"")</f>
        <v/>
      </c>
      <c r="CR276" s="67">
        <f>IFERROR(IF(($CC276)&gt;0,($CI276)/($CC276),""),"")</f>
        <v/>
      </c>
      <c r="CS276" s="67">
        <f>IFERROR(IF(($CD276)&gt;0,($CJ276)/($CD276),""),"")</f>
        <v/>
      </c>
      <c r="CT276" s="67">
        <f>IFERROR(IF(($CE276)&gt;0,($CK276)/($CE276),""),"")</f>
        <v/>
      </c>
      <c r="CU276" s="55">
        <f>SUMIFS(tblPlant[Gravity_Gold_oz],tblPlant[Date],$A276)</f>
        <v/>
      </c>
      <c r="CV276" s="55">
        <f>IF($B276=$B275,$CV275,0)+$CU276</f>
        <v/>
      </c>
      <c r="CW276" s="55">
        <f>$CW275+$CU276</f>
        <v/>
      </c>
      <c r="CX276" s="55">
        <f>SUMIFS(tblPlant[Gold_Poured_oz],tblPlant[Date],$A276)</f>
        <v/>
      </c>
      <c r="CY276" s="55">
        <f>IF($B276=$B275,$CY275,0)+$CX276</f>
        <v/>
      </c>
      <c r="CZ276" s="55">
        <f>$CZ275+$CX276</f>
        <v/>
      </c>
      <c r="DA276" s="57">
        <f>SUMIFS(tblPlant[Mill_Run_h],tblPlant[Date],$A276)</f>
        <v/>
      </c>
      <c r="DB276" s="57">
        <f>IF($B276=$B275,$DB275,0)+$DA276</f>
        <v/>
      </c>
      <c r="DC276" s="57">
        <f>$DC275+$DA276</f>
        <v/>
      </c>
      <c r="DD276" s="57">
        <f>SUMIFS(tblPlant[Mill_Planned_Maint_h],tblPlant[Date],$A276)</f>
        <v/>
      </c>
      <c r="DE276" s="57">
        <f>IF($B276=$B275,$DE275,0)+$DD276</f>
        <v/>
      </c>
      <c r="DF276" s="57">
        <f>$DF275+$DD276</f>
        <v/>
      </c>
      <c r="DG276" s="57">
        <f>SUMIFS(tblPlant[Mill_Unplanned_Down_h],tblPlant[Date],$A276)</f>
        <v/>
      </c>
      <c r="DH276" s="57">
        <f>IF($B276=$B275,$DH275,0)+$DG276</f>
        <v/>
      </c>
      <c r="DI276" s="57">
        <f>$DI275+$DG276</f>
        <v/>
      </c>
      <c r="DJ276" s="57">
        <f>COUNTIFS(tblPlant[Date],$A276,tblPlant[Mill_Run_h],"&lt;&gt;")*24</f>
        <v/>
      </c>
      <c r="DK276" s="57">
        <f>IF($B276=$B275,$DK275,0)+$DJ276</f>
        <v/>
      </c>
      <c r="DL276" s="57">
        <f>$DL275+$DJ276</f>
        <v/>
      </c>
      <c r="DM276" s="57">
        <f>SUMIFS(tblPlant[Crusher_Run_h],tblPlant[Date],$A276)</f>
        <v/>
      </c>
      <c r="DN276" s="57">
        <f>IF($B276=$B275,$DN275,0)+$DM276</f>
        <v/>
      </c>
      <c r="DO276" s="57">
        <f>$DO275+$DM276</f>
        <v/>
      </c>
      <c r="DP276" s="55">
        <f>IFERROR(IF(($DA276)&gt;0,($BZ276)/($DA276),""),"")</f>
        <v/>
      </c>
      <c r="DQ276" s="55">
        <f>IFERROR(IF(($DB276)&gt;0,($CA276)/($DB276),""),"")</f>
        <v/>
      </c>
      <c r="DR276" s="55">
        <f>IFERROR(IF(($DC276)&gt;0,($CB276)/($DC276),""),"")</f>
        <v/>
      </c>
      <c r="DS276" s="67">
        <f>IFERROR(IF(($DJ276)&gt;0,($DJ276-$DD276-$DG276)/($DJ276),""),"")</f>
        <v/>
      </c>
      <c r="DT276" s="67">
        <f>IFERROR(IF(($DK276)&gt;0,($DK276-$DE276-$DH276)/($DK276),""),"")</f>
        <v/>
      </c>
      <c r="DU276" s="67">
        <f>IFERROR(IF(($DL276)&gt;0,($DL276-$DF276-$DI276)/($DL276),""),"")</f>
        <v/>
      </c>
      <c r="DV276" s="67">
        <f>IFERROR(IF(($DJ276-$DD276-$DG276)&gt;0,($DA276)/($DJ276-$DD276-$DG276),""),"")</f>
        <v/>
      </c>
      <c r="DW276" s="67">
        <f>IFERROR(IF(($DK276-$DE276-$DH276)&gt;0,($DB276)/($DK276-$DE276-$DH276),""),"")</f>
        <v/>
      </c>
      <c r="DX276" s="67">
        <f>IFERROR(IF(($DL276-$DF276-$DI276)&gt;0,($DC276)/($DL276-$DF276-$DI276),""),"")</f>
        <v/>
      </c>
      <c r="DY276" s="55">
        <f>SUMIFS(tblPlant[Cyanide_kg],tblPlant[Date],$A276)</f>
        <v/>
      </c>
      <c r="DZ276" s="55">
        <f>IF($B276=$B275,$DZ275,0)+$DY276</f>
        <v/>
      </c>
      <c r="EA276" s="55">
        <f>$EA275+$DY276</f>
        <v/>
      </c>
      <c r="EB276" s="55">
        <f>SUMIFS(tblPlant[Lime_kg],tblPlant[Date],$A276)</f>
        <v/>
      </c>
      <c r="EC276" s="55">
        <f>IF($B276=$B275,$EC275,0)+$EB276</f>
        <v/>
      </c>
      <c r="ED276" s="55">
        <f>$ED275+$EB276</f>
        <v/>
      </c>
      <c r="EE276" s="55">
        <f>SUMIFS(tblPlant[Grinding_Media_kg],tblPlant[Date],$A276)</f>
        <v/>
      </c>
      <c r="EF276" s="55">
        <f>IF($B276=$B275,$EF275,0)+$EE276</f>
        <v/>
      </c>
      <c r="EG276" s="55">
        <f>$EG275+$EE276</f>
        <v/>
      </c>
      <c r="EH276" s="55">
        <f>SUMIFS(tblPlant[Power_kWh],tblPlant[Date],$A276)</f>
        <v/>
      </c>
      <c r="EI276" s="55">
        <f>IF($B276=$B275,$EI275,0)+$EH276</f>
        <v/>
      </c>
      <c r="EJ276" s="55">
        <f>$EJ275+$EH276</f>
        <v/>
      </c>
      <c r="EK276" s="55">
        <f>SUMIFS(tblPlant[Raw_Water_m3],tblPlant[Date],$A276)</f>
        <v/>
      </c>
      <c r="EL276" s="55">
        <f>IF($B276=$B275,$EL275,0)+$EK276</f>
        <v/>
      </c>
      <c r="EM276" s="55">
        <f>$EM275+$EK276</f>
        <v/>
      </c>
      <c r="EN276" s="56">
        <f>IFERROR(IF(($BZ276)&gt;0,($DY276)/($BZ276),""),"")</f>
        <v/>
      </c>
      <c r="EO276" s="56">
        <f>IFERROR(IF(($CA276)&gt;0,($DZ276)/($CA276),""),"")</f>
        <v/>
      </c>
      <c r="EP276" s="56">
        <f>IFERROR(IF(($CB276)&gt;0,($EA276)/($CB276),""),"")</f>
        <v/>
      </c>
      <c r="EQ276" s="56">
        <f>IFERROR(IF(($BZ276)&gt;0,($EB276)/($BZ276),""),"")</f>
        <v/>
      </c>
      <c r="ER276" s="56">
        <f>IFERROR(IF(($CA276)&gt;0,($EC276)/($CA276),""),"")</f>
        <v/>
      </c>
      <c r="ES276" s="56">
        <f>IFERROR(IF(($CB276)&gt;0,($ED276)/($CB276),""),"")</f>
        <v/>
      </c>
      <c r="ET276" s="56">
        <f>IFERROR(IF(($BZ276)&gt;0,($EE276)/($BZ276),""),"")</f>
        <v/>
      </c>
      <c r="EU276" s="56">
        <f>IFERROR(IF(($CA276)&gt;0,($EF276)/($CA276),""),"")</f>
        <v/>
      </c>
      <c r="EV276" s="56">
        <f>IFERROR(IF(($CB276)&gt;0,($EG276)/($CB276),""),"")</f>
        <v/>
      </c>
      <c r="EW276" s="76">
        <f>IFERROR(IF(($BZ276)&gt;0,($EH276)/($BZ276),""),"")</f>
        <v/>
      </c>
      <c r="EX276" s="76">
        <f>IFERROR(IF(($CA276)&gt;0,($EI276)/($CA276),""),"")</f>
        <v/>
      </c>
      <c r="EY276" s="76">
        <f>IFERROR(IF(($CB276)&gt;0,($EJ276)/($CB276),""),"")</f>
        <v/>
      </c>
      <c r="EZ276" s="56">
        <f>IFERROR(IF(($BZ276)&gt;0,($EK276)/($BZ276),""),"")</f>
        <v/>
      </c>
      <c r="FA276" s="56">
        <f>IFERROR(IF(($CA276)&gt;0,($EL276)/($CA276),""),"")</f>
        <v/>
      </c>
      <c r="FB276" s="56">
        <f>IFERROR(IF(($CB276)&gt;0,($EM276)/($CB276),""),"")</f>
        <v/>
      </c>
      <c r="FC276" s="55">
        <f>IF(SUMIFS(tblPlant[GIC_oz],tblPlant[Date],$A276)&gt;0,SUMIFS(tblPlant[GIC_oz],tblPlant[Date],$A276),"")</f>
        <v/>
      </c>
      <c r="FD276" s="55">
        <f>SUMIFS(tblGold[Gold_oz],tblGold[Date],$A276,tblGold[Type],"Shipment")</f>
        <v/>
      </c>
      <c r="FE276" s="55">
        <f>IF($B276=$B275,$FE275,0)+$FD276</f>
        <v/>
      </c>
      <c r="FF276" s="55">
        <f>$FF275+$FD276</f>
        <v/>
      </c>
      <c r="FG276" s="55">
        <f>SUMIFS(tblGold[Gold_oz],tblGold[Date],$A276,tblGold[Type],"Sale")</f>
        <v/>
      </c>
      <c r="FH276" s="55">
        <f>IF($B276=$B275,$FH275,0)+$FG276</f>
        <v/>
      </c>
      <c r="FI276" s="55">
        <f>$FI275+$FG276</f>
        <v/>
      </c>
      <c r="FJ276" s="55">
        <f>SUMIFS(tblGold[Dore_kg],tblGold[Date],$A276,tblGold[Type],"Shipment")</f>
        <v/>
      </c>
      <c r="FK276" s="55">
        <f>IF($B276=$B275,$FK275,0)+$FJ276</f>
        <v/>
      </c>
      <c r="FL276" s="55">
        <f>$FL275+$FJ276</f>
        <v/>
      </c>
      <c r="FM276" s="57">
        <f>SUMIFS(tblSafety[Hours_Total],tblSafety[Date],$A276)</f>
        <v/>
      </c>
      <c r="FN276" s="57">
        <f>IF($B276=$B275,$FN275,0)+$FM276</f>
        <v/>
      </c>
      <c r="FO276" s="57">
        <f>$FO275+$FM276</f>
        <v/>
      </c>
      <c r="FP276" s="62">
        <f>SUMIFS(tblSafety[Fatality],tblSafety[Date],$A276)</f>
        <v/>
      </c>
      <c r="FQ276" s="62">
        <f>IF($B276=$B275,$FQ275,0)+$FP276</f>
        <v/>
      </c>
      <c r="FR276" s="62">
        <f>$FR275+$FP276</f>
        <v/>
      </c>
      <c r="FS276" s="62">
        <f>SUMIFS(tblSafety[LTI],tblSafety[Date],$A276)</f>
        <v/>
      </c>
      <c r="FT276" s="62">
        <f>IF($B276=$B275,$FT275,0)+$FS276</f>
        <v/>
      </c>
      <c r="FU276" s="62">
        <f>$FU275+$FS276</f>
        <v/>
      </c>
      <c r="FV276" s="62">
        <f>SUMIFS(tblSafety[RWI],tblSafety[Date],$A276)</f>
        <v/>
      </c>
      <c r="FW276" s="62">
        <f>IF($B276=$B275,$FW275,0)+$FV276</f>
        <v/>
      </c>
      <c r="FX276" s="62">
        <f>$FX275+$FV276</f>
        <v/>
      </c>
      <c r="FY276" s="62">
        <f>SUMIFS(tblSafety[MTI],tblSafety[Date],$A276)</f>
        <v/>
      </c>
      <c r="FZ276" s="62">
        <f>IF($B276=$B275,$FZ275,0)+$FY276</f>
        <v/>
      </c>
      <c r="GA276" s="62">
        <f>$GA275+$FY276</f>
        <v/>
      </c>
      <c r="GB276" s="62">
        <f>SUMIFS(tblSafety[FAI],tblSafety[Date],$A276)</f>
        <v/>
      </c>
      <c r="GC276" s="62">
        <f>IF($B276=$B275,$GC275,0)+$GB276</f>
        <v/>
      </c>
      <c r="GD276" s="62">
        <f>$GD275+$GB276</f>
        <v/>
      </c>
      <c r="GE276" s="62">
        <f>SUMIFS(tblSafety[Recordables],tblSafety[Date],$A276)</f>
        <v/>
      </c>
      <c r="GF276" s="62">
        <f>IF($B276=$B275,$GF275,0)+$GE276</f>
        <v/>
      </c>
      <c r="GG276" s="62">
        <f>$GG275+$GE276</f>
        <v/>
      </c>
      <c r="GH276" s="62">
        <f>SUMIFS(tblSafety[Near_Miss],tblSafety[Date],$A276)</f>
        <v/>
      </c>
      <c r="GI276" s="62">
        <f>IF($B276=$B275,$GI275,0)+$GH276</f>
        <v/>
      </c>
      <c r="GJ276" s="62">
        <f>$GJ275+$GH276</f>
        <v/>
      </c>
      <c r="GK276" s="62">
        <f>SUMIFS(tblSafety[Hazard_Reports],tblSafety[Date],$A276)</f>
        <v/>
      </c>
      <c r="GL276" s="62">
        <f>IF($B276=$B275,$GL275,0)+$GK276</f>
        <v/>
      </c>
      <c r="GM276" s="62">
        <f>$GM275+$GK276</f>
        <v/>
      </c>
      <c r="GN276" s="62">
        <f>SUMIFS(tblSafety[HPI],tblSafety[Date],$A276)</f>
        <v/>
      </c>
      <c r="GO276" s="62">
        <f>IF($B276=$B275,$GO275,0)+$GN276</f>
        <v/>
      </c>
      <c r="GP276" s="62">
        <f>$GP275+$GN276</f>
        <v/>
      </c>
      <c r="GQ276" s="62">
        <f>SUMIFS(tblSafety[Env_Incidents],tblSafety[Date],$A276)</f>
        <v/>
      </c>
      <c r="GR276" s="62">
        <f>IF($B276=$B275,$GR275,0)+$GQ276</f>
        <v/>
      </c>
      <c r="GS276" s="62">
        <f>$GS275+$GQ276</f>
        <v/>
      </c>
      <c r="GT276" s="62">
        <f>SUMIFS(tblSafety[Community_Incidents],tblSafety[Date],$A276)</f>
        <v/>
      </c>
      <c r="GU276" s="62">
        <f>IF($B276=$B275,$GU275,0)+$GT276</f>
        <v/>
      </c>
      <c r="GV276" s="62">
        <f>$GV275+$GT276</f>
        <v/>
      </c>
      <c r="GW276" s="62">
        <f>SUMIFS(tblSafety[Vehicle_Incidents],tblSafety[Date],$A276)</f>
        <v/>
      </c>
      <c r="GX276" s="62">
        <f>IF($B276=$B275,$GX275,0)+$GW276</f>
        <v/>
      </c>
      <c r="GY276" s="62">
        <f>$GY275+$GW276</f>
        <v/>
      </c>
      <c r="GZ276" s="62">
        <f>SUMIFS(tblSafety[Toolbox_Talks],tblSafety[Date],$A276)</f>
        <v/>
      </c>
      <c r="HA276" s="62">
        <f>IF($B276=$B275,$HA275,0)+$GZ276</f>
        <v/>
      </c>
      <c r="HB276" s="62">
        <f>$HB275+$GZ276</f>
        <v/>
      </c>
      <c r="HC276" s="62">
        <f>SUMIFS(tblSafety[Inspections],tblSafety[Date],$A276)</f>
        <v/>
      </c>
      <c r="HD276" s="62">
        <f>IF($B276=$B275,$HD275,0)+$HC276</f>
        <v/>
      </c>
      <c r="HE276" s="62">
        <f>$HE275+$HC276</f>
        <v/>
      </c>
      <c r="HF276" s="56">
        <f>IFERROR((SUMIFS(tblSafety[Recordables],tblSafety[Date],"&gt;="&amp;EDATE($E276,-12),tblSafety[Date],"&lt;="&amp;$A276)+SUMIFS(tblSafetyHistory[Recordables],tblSafetyHistory[Month],"&gt;="&amp;EDATE($E276,-12),tblSafetyHistory[Month],"&lt;"&amp;cfg_YearStart))/(SUMIFS(tblSafety[Hours_Total],tblSafety[Date],"&gt;="&amp;EDATE($E276,-12),tblSafety[Date],"&lt;="&amp;$A276)+SUMIFS(tblSafetyHistory[Hours_Total],tblSafetyHistory[Month],"&gt;="&amp;EDATE($E276,-12),tblSafetyHistory[Month],"&lt;"&amp;cfg_YearStart))*1000000,"")</f>
        <v/>
      </c>
      <c r="HG276" s="56">
        <f>IFERROR((SUMIFS(tblSafety[LTI],tblSafety[Date],"&gt;="&amp;EDATE($E276,-12),tblSafety[Date],"&lt;="&amp;$A276)+SUMIFS(tblSafetyHistory[LTI],tblSafetyHistory[Month],"&gt;="&amp;EDATE($E276,-12),tblSafetyHistory[Month],"&lt;"&amp;cfg_YearStart))/(SUMIFS(tblSafety[Hours_Total],tblSafety[Date],"&gt;="&amp;EDATE($E276,-12),tblSafety[Date],"&lt;="&amp;$A276)+SUMIFS(tblSafetyHistory[Hours_Total],tblSafetyHistory[Month],"&gt;="&amp;EDATE($E276,-12),tblSafetyHistory[Month],"&lt;"&amp;cfg_YearStart))*1000000,"")</f>
        <v/>
      </c>
      <c r="HH276" s="62">
        <f>IF(MAX(N(cfg_PriorLTIDate),_xlfn.MAXIFS(tblSafety[Date],tblSafety[LTI],"&gt;0",tblSafety[Date],"&lt;="&amp;$A276))=0,"",$A276-MAX(N(cfg_PriorLTIDate),_xlfn.MAXIFS(tblSafety[Date],tblSafety[LTI],"&gt;0",tblSafety[Date],"&lt;="&amp;$A276)))</f>
        <v/>
      </c>
      <c r="HI276" s="55">
        <f>SUMIFS(tblBudget[Ore_Mined_t],tblBudget[Month],$E276)</f>
        <v/>
      </c>
      <c r="HJ276" s="55">
        <f>$HI276*$C276/$D276</f>
        <v/>
      </c>
      <c r="HK276" s="55">
        <f>SUMIFS(tblBudget[Ore_Mined_t],tblBudget[Month],"&lt;"&amp;$E276)+$HJ276</f>
        <v/>
      </c>
      <c r="HL276" s="55">
        <f>SUMIFS(tblBudget[Ore_oz],tblBudget[Month],$E276)</f>
        <v/>
      </c>
      <c r="HM276" s="55">
        <f>$HL276*$C276/$D276</f>
        <v/>
      </c>
      <c r="HN276" s="55">
        <f>SUMIFS(tblBudget[Ore_oz],tblBudget[Month],"&lt;"&amp;$E276)+$HM276</f>
        <v/>
      </c>
      <c r="HO276" s="56">
        <f>IFERROR(IF(($HI276)&gt;0,($HL276*cfg_TroyOz)/($HI276),""),"")</f>
        <v/>
      </c>
      <c r="HP276" s="56">
        <f>IFERROR(IF(($HJ276)&gt;0,($HM276*cfg_TroyOz)/($HJ276),""),"")</f>
        <v/>
      </c>
      <c r="HQ276" s="56">
        <f>IFERROR(IF(($HK276)&gt;0,($HN276*cfg_TroyOz)/($HK276),""),"")</f>
        <v/>
      </c>
      <c r="HR276" s="55">
        <f>SUMIFS(tblBudget[Waste_t],tblBudget[Month],$E276)</f>
        <v/>
      </c>
      <c r="HS276" s="55">
        <f>$HR276*$C276/$D276</f>
        <v/>
      </c>
      <c r="HT276" s="55">
        <f>SUMIFS(tblBudget[Waste_t],tblBudget[Month],"&lt;"&amp;$E276)+$HS276</f>
        <v/>
      </c>
      <c r="HU276" s="55">
        <f>SUMIFS(tblBudget[TMM_t],tblBudget[Month],$E276)</f>
        <v/>
      </c>
      <c r="HV276" s="55">
        <f>$HU276*$C276/$D276</f>
        <v/>
      </c>
      <c r="HW276" s="55">
        <f>SUMIFS(tblBudget[TMM_t],tblBudget[Month],"&lt;"&amp;$E276)+$HV276</f>
        <v/>
      </c>
      <c r="HX276" s="56">
        <f>IFERROR(IF(($HI276)&gt;0,($HR276)/($HI276),""),"")</f>
        <v/>
      </c>
      <c r="HY276" s="56">
        <f>IFERROR(IF(($HJ276)&gt;0,($HS276)/($HJ276),""),"")</f>
        <v/>
      </c>
      <c r="HZ276" s="56">
        <f>IFERROR(IF(($HK276)&gt;0,($HT276)/($HK276),""),"")</f>
        <v/>
      </c>
      <c r="IA276" s="55">
        <f>SUMIFS(tblBudget[Drill_m],tblBudget[Month],$E276)</f>
        <v/>
      </c>
      <c r="IB276" s="55">
        <f>$IA276*$C276/$D276</f>
        <v/>
      </c>
      <c r="IC276" s="55">
        <f>SUMIFS(tblBudget[Drill_m],tblBudget[Month],"&lt;"&amp;$E276)+$IB276</f>
        <v/>
      </c>
      <c r="ID276" s="55">
        <f>SUMIFS(tblBudget[Diesel_L],tblBudget[Month],$E276)</f>
        <v/>
      </c>
      <c r="IE276" s="55">
        <f>$ID276*$C276/$D276</f>
        <v/>
      </c>
      <c r="IF276" s="55">
        <f>SUMIFS(tblBudget[Diesel_L],tblBudget[Month],"&lt;"&amp;$E276)+$IE276</f>
        <v/>
      </c>
      <c r="IG276" s="55">
        <f>SUMIFS(tblBudget[Milled_t],tblBudget[Month],$E276)</f>
        <v/>
      </c>
      <c r="IH276" s="55">
        <f>$IG276*$C276/$D276</f>
        <v/>
      </c>
      <c r="II276" s="55">
        <f>SUMIFS(tblBudget[Milled_t],tblBudget[Month],"&lt;"&amp;$E276)+$IH276</f>
        <v/>
      </c>
      <c r="IJ276" s="55">
        <f>SUMIFS(tblBudget[Feed_oz],tblBudget[Month],$E276)</f>
        <v/>
      </c>
      <c r="IK276" s="55">
        <f>$IJ276*$C276/$D276</f>
        <v/>
      </c>
      <c r="IL276" s="55">
        <f>SUMIFS(tblBudget[Feed_oz],tblBudget[Month],"&lt;"&amp;$E276)+$IK276</f>
        <v/>
      </c>
      <c r="IM276" s="55">
        <f>SUMIFS(tblBudget[Recovered_oz],tblBudget[Month],$E276)</f>
        <v/>
      </c>
      <c r="IN276" s="55">
        <f>$IM276*$C276/$D276</f>
        <v/>
      </c>
      <c r="IO276" s="55">
        <f>SUMIFS(tblBudget[Recovered_oz],tblBudget[Month],"&lt;"&amp;$E276)+$IN276</f>
        <v/>
      </c>
      <c r="IP276" s="56">
        <f>IFERROR(IF(($IG276)&gt;0,($IJ276*cfg_TroyOz)/($IG276),""),"")</f>
        <v/>
      </c>
      <c r="IQ276" s="56">
        <f>IFERROR(IF(($IH276)&gt;0,($IK276*cfg_TroyOz)/($IH276),""),"")</f>
        <v/>
      </c>
      <c r="IR276" s="56">
        <f>IFERROR(IF(($II276)&gt;0,($IL276*cfg_TroyOz)/($II276),""),"")</f>
        <v/>
      </c>
      <c r="IS276" s="67">
        <f>IFERROR(IF(($IJ276)&gt;0,($IM276)/($IJ276),""),"")</f>
        <v/>
      </c>
      <c r="IT276" s="67">
        <f>IFERROR(IF(($IK276)&gt;0,($IN276)/($IK276),""),"")</f>
        <v/>
      </c>
      <c r="IU276" s="67">
        <f>IFERROR(IF(($IL276)&gt;0,($IO276)/($IL276),""),"")</f>
        <v/>
      </c>
      <c r="IV276" s="55">
        <f>SUMIFS(tblBudget[Gold_Poured_oz],tblBudget[Month],$E276)</f>
        <v/>
      </c>
      <c r="IW276" s="55">
        <f>$IV276*$C276/$D276</f>
        <v/>
      </c>
      <c r="IX276" s="55">
        <f>SUMIFS(tblBudget[Gold_Poured_oz],tblBudget[Month],"&lt;"&amp;$E276)+$IW276</f>
        <v/>
      </c>
      <c r="IY276" s="57">
        <f>SUMIFS(tblBudget[Hours_Worked],tblBudget[Month],$E276)</f>
        <v/>
      </c>
      <c r="IZ276" s="57">
        <f>$IY276*$C276/$D276</f>
        <v/>
      </c>
      <c r="JA276" s="57">
        <f>SUMIFS(tblBudget[Hours_Worked],tblBudget[Month],"&lt;"&amp;$E276)+$IZ276</f>
        <v/>
      </c>
    </row>
    <row r="277">
      <c r="A277" s="54" t="n">
        <v>46298</v>
      </c>
      <c r="B277">
        <f>MONTH($A277)</f>
        <v/>
      </c>
      <c r="C277">
        <f>DAY($A277)</f>
        <v/>
      </c>
      <c r="D277">
        <f>DAY(EOMONTH($A277,0))</f>
        <v/>
      </c>
      <c r="E277" s="54">
        <f>DATE(YEAR($A277),MONTH($A277),1)</f>
        <v/>
      </c>
      <c r="F277" s="55">
        <f>SUMIFS(tblMovement[Tonnes_t],tblMovement[Date],$A277,tblMovement[Is_Ore],1,tblMovement[Source_Type],"Pit")</f>
        <v/>
      </c>
      <c r="G277" s="55">
        <f>IF($B277=$B276,$G276,0)+$F277</f>
        <v/>
      </c>
      <c r="H277" s="55">
        <f>$H276+$F277</f>
        <v/>
      </c>
      <c r="I277" s="55">
        <f>SUMIFS(tblMovement[Ore_oz],tblMovement[Date],$A277,tblMovement[Source_Type],"Pit")</f>
        <v/>
      </c>
      <c r="J277" s="55">
        <f>IF($B277=$B276,$J276,0)+$I277</f>
        <v/>
      </c>
      <c r="K277" s="55">
        <f>$K276+$I277</f>
        <v/>
      </c>
      <c r="L277" s="56">
        <f>IFERROR(IF(($F277)&gt;0,($I277*cfg_TroyOz)/($F277),""),"")</f>
        <v/>
      </c>
      <c r="M277" s="56">
        <f>IFERROR(IF(($G277)&gt;0,($J277*cfg_TroyOz)/($G277),""),"")</f>
        <v/>
      </c>
      <c r="N277" s="56">
        <f>IFERROR(IF(($H277)&gt;0,($K277*cfg_TroyOz)/($H277),""),"")</f>
        <v/>
      </c>
      <c r="O277" s="55">
        <f>SUMIFS(tblMovement[Tonnes_t],tblMovement[Date],$A277,tblMovement[Is_Ore],0,tblMovement[Source_Type],"Pit")</f>
        <v/>
      </c>
      <c r="P277" s="55">
        <f>IF($B277=$B276,$P276,0)+$O277</f>
        <v/>
      </c>
      <c r="Q277" s="55">
        <f>$Q276+$O277</f>
        <v/>
      </c>
      <c r="R277" s="55">
        <f>$F277+$O277</f>
        <v/>
      </c>
      <c r="S277" s="55">
        <f>IF($B277=$B276,$S276,0)+$R277</f>
        <v/>
      </c>
      <c r="T277" s="55">
        <f>$T276+$R277</f>
        <v/>
      </c>
      <c r="U277" s="56">
        <f>IFERROR(IF(($F277)&gt;0,($O277)/($F277),""),"")</f>
        <v/>
      </c>
      <c r="V277" s="56">
        <f>IFERROR(IF(($G277)&gt;0,($P277)/($G277),""),"")</f>
        <v/>
      </c>
      <c r="W277" s="56">
        <f>IFERROR(IF(($H277)&gt;0,($Q277)/($H277),""),"")</f>
        <v/>
      </c>
      <c r="X277" s="55">
        <f>SUMIFS(tblMovement[Tonnes_t],tblMovement[Date],$A277,tblMovement[Source_Type],"Stockpile")</f>
        <v/>
      </c>
      <c r="Y277" s="55">
        <f>IF($B277=$B276,$Y276,0)+$X277</f>
        <v/>
      </c>
      <c r="Z277" s="55">
        <f>$Z276+$X277</f>
        <v/>
      </c>
      <c r="AA277" s="55">
        <f>SUMIFS(tblMiningDaily[Drill_m],tblMiningDaily[Date],$A277)</f>
        <v/>
      </c>
      <c r="AB277" s="55">
        <f>IF($B277=$B276,$AB276,0)+$AA277</f>
        <v/>
      </c>
      <c r="AC277" s="55">
        <f>$AC276+$AA277</f>
        <v/>
      </c>
      <c r="AD277" s="55">
        <f>SUMIFS(tblMiningDaily[Blast_t],tblMiningDaily[Date],$A277)</f>
        <v/>
      </c>
      <c r="AE277" s="55">
        <f>IF($B277=$B276,$AE276,0)+$AD277</f>
        <v/>
      </c>
      <c r="AF277" s="55">
        <f>$AF276+$AD277</f>
        <v/>
      </c>
      <c r="AG277" s="55">
        <f>SUMIFS(tblMiningDaily[Explosives_kg],tblMiningDaily[Date],$A277)</f>
        <v/>
      </c>
      <c r="AH277" s="55">
        <f>IF($B277=$B276,$AH276,0)+$AG277</f>
        <v/>
      </c>
      <c r="AI277" s="55">
        <f>$AI276+$AG277</f>
        <v/>
      </c>
      <c r="AJ277" s="56">
        <f>IFERROR(IF(($AD277)&gt;0,($AG277)/($AD277),""),"")</f>
        <v/>
      </c>
      <c r="AK277" s="56">
        <f>IFERROR(IF(($AE277)&gt;0,($AH277)/($AE277),""),"")</f>
        <v/>
      </c>
      <c r="AL277" s="56">
        <f>IFERROR(IF(($AF277)&gt;0,($AI277)/($AF277),""),"")</f>
        <v/>
      </c>
      <c r="AM277" s="55">
        <f>SUMIFS(tblMiningDaily[Diesel_L],tblMiningDaily[Date],$A277)</f>
        <v/>
      </c>
      <c r="AN277" s="55">
        <f>IF($B277=$B276,$AN276,0)+$AM277</f>
        <v/>
      </c>
      <c r="AO277" s="55">
        <f>$AO276+$AM277</f>
        <v/>
      </c>
      <c r="AP277" s="55">
        <f>SUMIFS(tblMiningDaily[Dewatering_m3],tblMiningDaily[Date],$A277)</f>
        <v/>
      </c>
      <c r="AQ277" s="55">
        <f>IF($B277=$B276,$AQ276,0)+$AP277</f>
        <v/>
      </c>
      <c r="AR277" s="55">
        <f>$AR276+$AP277</f>
        <v/>
      </c>
      <c r="AS277" s="57">
        <f>SUMIFS(tblFleet[Calendar_h],tblFleet[Date],$A277,tblFleet[Equipment_Class],"Excavator")</f>
        <v/>
      </c>
      <c r="AT277" s="57">
        <f>IF($B277=$B276,$AT276,0)+$AS277</f>
        <v/>
      </c>
      <c r="AU277" s="57">
        <f>$AU276+$AS277</f>
        <v/>
      </c>
      <c r="AV277" s="57">
        <f>SUMIFS(tblFleet[Available_h],tblFleet[Date],$A277,tblFleet[Equipment_Class],"Excavator")</f>
        <v/>
      </c>
      <c r="AW277" s="57">
        <f>IF($B277=$B276,$AW276,0)+$AV277</f>
        <v/>
      </c>
      <c r="AX277" s="57">
        <f>$AX276+$AV277</f>
        <v/>
      </c>
      <c r="AY277" s="57">
        <f>SUMIFS(tblFleet[Operating_h],tblFleet[Date],$A277,tblFleet[Equipment_Class],"Excavator")</f>
        <v/>
      </c>
      <c r="AZ277" s="57">
        <f>IF($B277=$B276,$AZ276,0)+$AY277</f>
        <v/>
      </c>
      <c r="BA277" s="57">
        <f>$BA276+$AY277</f>
        <v/>
      </c>
      <c r="BB277" s="67">
        <f>IFERROR(IF(($AS277)&gt;0,($AV277)/($AS277),""),"")</f>
        <v/>
      </c>
      <c r="BC277" s="67">
        <f>IFERROR(IF(($AT277)&gt;0,($AW277)/($AT277),""),"")</f>
        <v/>
      </c>
      <c r="BD277" s="67">
        <f>IFERROR(IF(($AU277)&gt;0,($AX277)/($AU277),""),"")</f>
        <v/>
      </c>
      <c r="BE277" s="67">
        <f>IFERROR(IF(($AV277)&gt;0,($AY277)/($AV277),""),"")</f>
        <v/>
      </c>
      <c r="BF277" s="67">
        <f>IFERROR(IF(($AW277)&gt;0,($AZ277)/($AW277),""),"")</f>
        <v/>
      </c>
      <c r="BG277" s="67">
        <f>IFERROR(IF(($AX277)&gt;0,($BA277)/($AX277),""),"")</f>
        <v/>
      </c>
      <c r="BH277" s="57">
        <f>SUMIFS(tblFleet[Calendar_h],tblFleet[Date],$A277,tblFleet[Equipment_Class],"Haul Truck")</f>
        <v/>
      </c>
      <c r="BI277" s="57">
        <f>IF($B277=$B276,$BI276,0)+$BH277</f>
        <v/>
      </c>
      <c r="BJ277" s="57">
        <f>$BJ276+$BH277</f>
        <v/>
      </c>
      <c r="BK277" s="57">
        <f>SUMIFS(tblFleet[Available_h],tblFleet[Date],$A277,tblFleet[Equipment_Class],"Haul Truck")</f>
        <v/>
      </c>
      <c r="BL277" s="57">
        <f>IF($B277=$B276,$BL276,0)+$BK277</f>
        <v/>
      </c>
      <c r="BM277" s="57">
        <f>$BM276+$BK277</f>
        <v/>
      </c>
      <c r="BN277" s="57">
        <f>SUMIFS(tblFleet[Operating_h],tblFleet[Date],$A277,tblFleet[Equipment_Class],"Haul Truck")</f>
        <v/>
      </c>
      <c r="BO277" s="57">
        <f>IF($B277=$B276,$BO276,0)+$BN277</f>
        <v/>
      </c>
      <c r="BP277" s="57">
        <f>$BP276+$BN277</f>
        <v/>
      </c>
      <c r="BQ277" s="67">
        <f>IFERROR(IF(($BH277)&gt;0,($BK277)/($BH277),""),"")</f>
        <v/>
      </c>
      <c r="BR277" s="67">
        <f>IFERROR(IF(($BI277)&gt;0,($BL277)/($BI277),""),"")</f>
        <v/>
      </c>
      <c r="BS277" s="67">
        <f>IFERROR(IF(($BJ277)&gt;0,($BM277)/($BJ277),""),"")</f>
        <v/>
      </c>
      <c r="BT277" s="67">
        <f>IFERROR(IF(($BK277)&gt;0,($BN277)/($BK277),""),"")</f>
        <v/>
      </c>
      <c r="BU277" s="67">
        <f>IFERROR(IF(($BL277)&gt;0,($BO277)/($BL277),""),"")</f>
        <v/>
      </c>
      <c r="BV277" s="67">
        <f>IFERROR(IF(($BM277)&gt;0,($BP277)/($BM277),""),"")</f>
        <v/>
      </c>
      <c r="BW277" s="55">
        <f>SUMIFS(tblPlant[Crushed_t],tblPlant[Date],$A277)</f>
        <v/>
      </c>
      <c r="BX277" s="55">
        <f>IF($B277=$B276,$BX276,0)+$BW277</f>
        <v/>
      </c>
      <c r="BY277" s="55">
        <f>$BY276+$BW277</f>
        <v/>
      </c>
      <c r="BZ277" s="55">
        <f>SUMIFS(tblPlant[Milled_t],tblPlant[Date],$A277)</f>
        <v/>
      </c>
      <c r="CA277" s="55">
        <f>IF($B277=$B276,$CA276,0)+$BZ277</f>
        <v/>
      </c>
      <c r="CB277" s="55">
        <f>$CB276+$BZ277</f>
        <v/>
      </c>
      <c r="CC277" s="55">
        <f>SUMIFS(tblPlant[Feed_oz],tblPlant[Date],$A277)</f>
        <v/>
      </c>
      <c r="CD277" s="55">
        <f>IF($B277=$B276,$CD276,0)+$CC277</f>
        <v/>
      </c>
      <c r="CE277" s="55">
        <f>$CE276+$CC277</f>
        <v/>
      </c>
      <c r="CF277" s="55">
        <f>SUMIFS(tblPlant[Tails_oz],tblPlant[Date],$A277)</f>
        <v/>
      </c>
      <c r="CG277" s="55">
        <f>IF($B277=$B276,$CG276,0)+$CF277</f>
        <v/>
      </c>
      <c r="CH277" s="55">
        <f>$CH276+$CF277</f>
        <v/>
      </c>
      <c r="CI277" s="55">
        <f>SUMIFS(tblPlant[Recovered_oz],tblPlant[Date],$A277)</f>
        <v/>
      </c>
      <c r="CJ277" s="55">
        <f>IF($B277=$B276,$CJ276,0)+$CI277</f>
        <v/>
      </c>
      <c r="CK277" s="55">
        <f>$CK276+$CI277</f>
        <v/>
      </c>
      <c r="CL277" s="56">
        <f>IFERROR(IF(($BZ277)&gt;0,($CC277*cfg_TroyOz)/($BZ277),""),"")</f>
        <v/>
      </c>
      <c r="CM277" s="56">
        <f>IFERROR(IF(($CA277)&gt;0,($CD277*cfg_TroyOz)/($CA277),""),"")</f>
        <v/>
      </c>
      <c r="CN277" s="56">
        <f>IFERROR(IF(($CB277)&gt;0,($CE277*cfg_TroyOz)/($CB277),""),"")</f>
        <v/>
      </c>
      <c r="CO277" s="56">
        <f>IFERROR(IF(($BZ277)&gt;0,($CF277*cfg_TroyOz)/($BZ277),""),"")</f>
        <v/>
      </c>
      <c r="CP277" s="56">
        <f>IFERROR(IF(($CA277)&gt;0,($CG277*cfg_TroyOz)/($CA277),""),"")</f>
        <v/>
      </c>
      <c r="CQ277" s="56">
        <f>IFERROR(IF(($CB277)&gt;0,($CH277*cfg_TroyOz)/($CB277),""),"")</f>
        <v/>
      </c>
      <c r="CR277" s="67">
        <f>IFERROR(IF(($CC277)&gt;0,($CI277)/($CC277),""),"")</f>
        <v/>
      </c>
      <c r="CS277" s="67">
        <f>IFERROR(IF(($CD277)&gt;0,($CJ277)/($CD277),""),"")</f>
        <v/>
      </c>
      <c r="CT277" s="67">
        <f>IFERROR(IF(($CE277)&gt;0,($CK277)/($CE277),""),"")</f>
        <v/>
      </c>
      <c r="CU277" s="55">
        <f>SUMIFS(tblPlant[Gravity_Gold_oz],tblPlant[Date],$A277)</f>
        <v/>
      </c>
      <c r="CV277" s="55">
        <f>IF($B277=$B276,$CV276,0)+$CU277</f>
        <v/>
      </c>
      <c r="CW277" s="55">
        <f>$CW276+$CU277</f>
        <v/>
      </c>
      <c r="CX277" s="55">
        <f>SUMIFS(tblPlant[Gold_Poured_oz],tblPlant[Date],$A277)</f>
        <v/>
      </c>
      <c r="CY277" s="55">
        <f>IF($B277=$B276,$CY276,0)+$CX277</f>
        <v/>
      </c>
      <c r="CZ277" s="55">
        <f>$CZ276+$CX277</f>
        <v/>
      </c>
      <c r="DA277" s="57">
        <f>SUMIFS(tblPlant[Mill_Run_h],tblPlant[Date],$A277)</f>
        <v/>
      </c>
      <c r="DB277" s="57">
        <f>IF($B277=$B276,$DB276,0)+$DA277</f>
        <v/>
      </c>
      <c r="DC277" s="57">
        <f>$DC276+$DA277</f>
        <v/>
      </c>
      <c r="DD277" s="57">
        <f>SUMIFS(tblPlant[Mill_Planned_Maint_h],tblPlant[Date],$A277)</f>
        <v/>
      </c>
      <c r="DE277" s="57">
        <f>IF($B277=$B276,$DE276,0)+$DD277</f>
        <v/>
      </c>
      <c r="DF277" s="57">
        <f>$DF276+$DD277</f>
        <v/>
      </c>
      <c r="DG277" s="57">
        <f>SUMIFS(tblPlant[Mill_Unplanned_Down_h],tblPlant[Date],$A277)</f>
        <v/>
      </c>
      <c r="DH277" s="57">
        <f>IF($B277=$B276,$DH276,0)+$DG277</f>
        <v/>
      </c>
      <c r="DI277" s="57">
        <f>$DI276+$DG277</f>
        <v/>
      </c>
      <c r="DJ277" s="57">
        <f>COUNTIFS(tblPlant[Date],$A277,tblPlant[Mill_Run_h],"&lt;&gt;")*24</f>
        <v/>
      </c>
      <c r="DK277" s="57">
        <f>IF($B277=$B276,$DK276,0)+$DJ277</f>
        <v/>
      </c>
      <c r="DL277" s="57">
        <f>$DL276+$DJ277</f>
        <v/>
      </c>
      <c r="DM277" s="57">
        <f>SUMIFS(tblPlant[Crusher_Run_h],tblPlant[Date],$A277)</f>
        <v/>
      </c>
      <c r="DN277" s="57">
        <f>IF($B277=$B276,$DN276,0)+$DM277</f>
        <v/>
      </c>
      <c r="DO277" s="57">
        <f>$DO276+$DM277</f>
        <v/>
      </c>
      <c r="DP277" s="55">
        <f>IFERROR(IF(($DA277)&gt;0,($BZ277)/($DA277),""),"")</f>
        <v/>
      </c>
      <c r="DQ277" s="55">
        <f>IFERROR(IF(($DB277)&gt;0,($CA277)/($DB277),""),"")</f>
        <v/>
      </c>
      <c r="DR277" s="55">
        <f>IFERROR(IF(($DC277)&gt;0,($CB277)/($DC277),""),"")</f>
        <v/>
      </c>
      <c r="DS277" s="67">
        <f>IFERROR(IF(($DJ277)&gt;0,($DJ277-$DD277-$DG277)/($DJ277),""),"")</f>
        <v/>
      </c>
      <c r="DT277" s="67">
        <f>IFERROR(IF(($DK277)&gt;0,($DK277-$DE277-$DH277)/($DK277),""),"")</f>
        <v/>
      </c>
      <c r="DU277" s="67">
        <f>IFERROR(IF(($DL277)&gt;0,($DL277-$DF277-$DI277)/($DL277),""),"")</f>
        <v/>
      </c>
      <c r="DV277" s="67">
        <f>IFERROR(IF(($DJ277-$DD277-$DG277)&gt;0,($DA277)/($DJ277-$DD277-$DG277),""),"")</f>
        <v/>
      </c>
      <c r="DW277" s="67">
        <f>IFERROR(IF(($DK277-$DE277-$DH277)&gt;0,($DB277)/($DK277-$DE277-$DH277),""),"")</f>
        <v/>
      </c>
      <c r="DX277" s="67">
        <f>IFERROR(IF(($DL277-$DF277-$DI277)&gt;0,($DC277)/($DL277-$DF277-$DI277),""),"")</f>
        <v/>
      </c>
      <c r="DY277" s="55">
        <f>SUMIFS(tblPlant[Cyanide_kg],tblPlant[Date],$A277)</f>
        <v/>
      </c>
      <c r="DZ277" s="55">
        <f>IF($B277=$B276,$DZ276,0)+$DY277</f>
        <v/>
      </c>
      <c r="EA277" s="55">
        <f>$EA276+$DY277</f>
        <v/>
      </c>
      <c r="EB277" s="55">
        <f>SUMIFS(tblPlant[Lime_kg],tblPlant[Date],$A277)</f>
        <v/>
      </c>
      <c r="EC277" s="55">
        <f>IF($B277=$B276,$EC276,0)+$EB277</f>
        <v/>
      </c>
      <c r="ED277" s="55">
        <f>$ED276+$EB277</f>
        <v/>
      </c>
      <c r="EE277" s="55">
        <f>SUMIFS(tblPlant[Grinding_Media_kg],tblPlant[Date],$A277)</f>
        <v/>
      </c>
      <c r="EF277" s="55">
        <f>IF($B277=$B276,$EF276,0)+$EE277</f>
        <v/>
      </c>
      <c r="EG277" s="55">
        <f>$EG276+$EE277</f>
        <v/>
      </c>
      <c r="EH277" s="55">
        <f>SUMIFS(tblPlant[Power_kWh],tblPlant[Date],$A277)</f>
        <v/>
      </c>
      <c r="EI277" s="55">
        <f>IF($B277=$B276,$EI276,0)+$EH277</f>
        <v/>
      </c>
      <c r="EJ277" s="55">
        <f>$EJ276+$EH277</f>
        <v/>
      </c>
      <c r="EK277" s="55">
        <f>SUMIFS(tblPlant[Raw_Water_m3],tblPlant[Date],$A277)</f>
        <v/>
      </c>
      <c r="EL277" s="55">
        <f>IF($B277=$B276,$EL276,0)+$EK277</f>
        <v/>
      </c>
      <c r="EM277" s="55">
        <f>$EM276+$EK277</f>
        <v/>
      </c>
      <c r="EN277" s="56">
        <f>IFERROR(IF(($BZ277)&gt;0,($DY277)/($BZ277),""),"")</f>
        <v/>
      </c>
      <c r="EO277" s="56">
        <f>IFERROR(IF(($CA277)&gt;0,($DZ277)/($CA277),""),"")</f>
        <v/>
      </c>
      <c r="EP277" s="56">
        <f>IFERROR(IF(($CB277)&gt;0,($EA277)/($CB277),""),"")</f>
        <v/>
      </c>
      <c r="EQ277" s="56">
        <f>IFERROR(IF(($BZ277)&gt;0,($EB277)/($BZ277),""),"")</f>
        <v/>
      </c>
      <c r="ER277" s="56">
        <f>IFERROR(IF(($CA277)&gt;0,($EC277)/($CA277),""),"")</f>
        <v/>
      </c>
      <c r="ES277" s="56">
        <f>IFERROR(IF(($CB277)&gt;0,($ED277)/($CB277),""),"")</f>
        <v/>
      </c>
      <c r="ET277" s="56">
        <f>IFERROR(IF(($BZ277)&gt;0,($EE277)/($BZ277),""),"")</f>
        <v/>
      </c>
      <c r="EU277" s="56">
        <f>IFERROR(IF(($CA277)&gt;0,($EF277)/($CA277),""),"")</f>
        <v/>
      </c>
      <c r="EV277" s="56">
        <f>IFERROR(IF(($CB277)&gt;0,($EG277)/($CB277),""),"")</f>
        <v/>
      </c>
      <c r="EW277" s="76">
        <f>IFERROR(IF(($BZ277)&gt;0,($EH277)/($BZ277),""),"")</f>
        <v/>
      </c>
      <c r="EX277" s="76">
        <f>IFERROR(IF(($CA277)&gt;0,($EI277)/($CA277),""),"")</f>
        <v/>
      </c>
      <c r="EY277" s="76">
        <f>IFERROR(IF(($CB277)&gt;0,($EJ277)/($CB277),""),"")</f>
        <v/>
      </c>
      <c r="EZ277" s="56">
        <f>IFERROR(IF(($BZ277)&gt;0,($EK277)/($BZ277),""),"")</f>
        <v/>
      </c>
      <c r="FA277" s="56">
        <f>IFERROR(IF(($CA277)&gt;0,($EL277)/($CA277),""),"")</f>
        <v/>
      </c>
      <c r="FB277" s="56">
        <f>IFERROR(IF(($CB277)&gt;0,($EM277)/($CB277),""),"")</f>
        <v/>
      </c>
      <c r="FC277" s="55">
        <f>IF(SUMIFS(tblPlant[GIC_oz],tblPlant[Date],$A277)&gt;0,SUMIFS(tblPlant[GIC_oz],tblPlant[Date],$A277),"")</f>
        <v/>
      </c>
      <c r="FD277" s="55">
        <f>SUMIFS(tblGold[Gold_oz],tblGold[Date],$A277,tblGold[Type],"Shipment")</f>
        <v/>
      </c>
      <c r="FE277" s="55">
        <f>IF($B277=$B276,$FE276,0)+$FD277</f>
        <v/>
      </c>
      <c r="FF277" s="55">
        <f>$FF276+$FD277</f>
        <v/>
      </c>
      <c r="FG277" s="55">
        <f>SUMIFS(tblGold[Gold_oz],tblGold[Date],$A277,tblGold[Type],"Sale")</f>
        <v/>
      </c>
      <c r="FH277" s="55">
        <f>IF($B277=$B276,$FH276,0)+$FG277</f>
        <v/>
      </c>
      <c r="FI277" s="55">
        <f>$FI276+$FG277</f>
        <v/>
      </c>
      <c r="FJ277" s="55">
        <f>SUMIFS(tblGold[Dore_kg],tblGold[Date],$A277,tblGold[Type],"Shipment")</f>
        <v/>
      </c>
      <c r="FK277" s="55">
        <f>IF($B277=$B276,$FK276,0)+$FJ277</f>
        <v/>
      </c>
      <c r="FL277" s="55">
        <f>$FL276+$FJ277</f>
        <v/>
      </c>
      <c r="FM277" s="57">
        <f>SUMIFS(tblSafety[Hours_Total],tblSafety[Date],$A277)</f>
        <v/>
      </c>
      <c r="FN277" s="57">
        <f>IF($B277=$B276,$FN276,0)+$FM277</f>
        <v/>
      </c>
      <c r="FO277" s="57">
        <f>$FO276+$FM277</f>
        <v/>
      </c>
      <c r="FP277" s="62">
        <f>SUMIFS(tblSafety[Fatality],tblSafety[Date],$A277)</f>
        <v/>
      </c>
      <c r="FQ277" s="62">
        <f>IF($B277=$B276,$FQ276,0)+$FP277</f>
        <v/>
      </c>
      <c r="FR277" s="62">
        <f>$FR276+$FP277</f>
        <v/>
      </c>
      <c r="FS277" s="62">
        <f>SUMIFS(tblSafety[LTI],tblSafety[Date],$A277)</f>
        <v/>
      </c>
      <c r="FT277" s="62">
        <f>IF($B277=$B276,$FT276,0)+$FS277</f>
        <v/>
      </c>
      <c r="FU277" s="62">
        <f>$FU276+$FS277</f>
        <v/>
      </c>
      <c r="FV277" s="62">
        <f>SUMIFS(tblSafety[RWI],tblSafety[Date],$A277)</f>
        <v/>
      </c>
      <c r="FW277" s="62">
        <f>IF($B277=$B276,$FW276,0)+$FV277</f>
        <v/>
      </c>
      <c r="FX277" s="62">
        <f>$FX276+$FV277</f>
        <v/>
      </c>
      <c r="FY277" s="62">
        <f>SUMIFS(tblSafety[MTI],tblSafety[Date],$A277)</f>
        <v/>
      </c>
      <c r="FZ277" s="62">
        <f>IF($B277=$B276,$FZ276,0)+$FY277</f>
        <v/>
      </c>
      <c r="GA277" s="62">
        <f>$GA276+$FY277</f>
        <v/>
      </c>
      <c r="GB277" s="62">
        <f>SUMIFS(tblSafety[FAI],tblSafety[Date],$A277)</f>
        <v/>
      </c>
      <c r="GC277" s="62">
        <f>IF($B277=$B276,$GC276,0)+$GB277</f>
        <v/>
      </c>
      <c r="GD277" s="62">
        <f>$GD276+$GB277</f>
        <v/>
      </c>
      <c r="GE277" s="62">
        <f>SUMIFS(tblSafety[Recordables],tblSafety[Date],$A277)</f>
        <v/>
      </c>
      <c r="GF277" s="62">
        <f>IF($B277=$B276,$GF276,0)+$GE277</f>
        <v/>
      </c>
      <c r="GG277" s="62">
        <f>$GG276+$GE277</f>
        <v/>
      </c>
      <c r="GH277" s="62">
        <f>SUMIFS(tblSafety[Near_Miss],tblSafety[Date],$A277)</f>
        <v/>
      </c>
      <c r="GI277" s="62">
        <f>IF($B277=$B276,$GI276,0)+$GH277</f>
        <v/>
      </c>
      <c r="GJ277" s="62">
        <f>$GJ276+$GH277</f>
        <v/>
      </c>
      <c r="GK277" s="62">
        <f>SUMIFS(tblSafety[Hazard_Reports],tblSafety[Date],$A277)</f>
        <v/>
      </c>
      <c r="GL277" s="62">
        <f>IF($B277=$B276,$GL276,0)+$GK277</f>
        <v/>
      </c>
      <c r="GM277" s="62">
        <f>$GM276+$GK277</f>
        <v/>
      </c>
      <c r="GN277" s="62">
        <f>SUMIFS(tblSafety[HPI],tblSafety[Date],$A277)</f>
        <v/>
      </c>
      <c r="GO277" s="62">
        <f>IF($B277=$B276,$GO276,0)+$GN277</f>
        <v/>
      </c>
      <c r="GP277" s="62">
        <f>$GP276+$GN277</f>
        <v/>
      </c>
      <c r="GQ277" s="62">
        <f>SUMIFS(tblSafety[Env_Incidents],tblSafety[Date],$A277)</f>
        <v/>
      </c>
      <c r="GR277" s="62">
        <f>IF($B277=$B276,$GR276,0)+$GQ277</f>
        <v/>
      </c>
      <c r="GS277" s="62">
        <f>$GS276+$GQ277</f>
        <v/>
      </c>
      <c r="GT277" s="62">
        <f>SUMIFS(tblSafety[Community_Incidents],tblSafety[Date],$A277)</f>
        <v/>
      </c>
      <c r="GU277" s="62">
        <f>IF($B277=$B276,$GU276,0)+$GT277</f>
        <v/>
      </c>
      <c r="GV277" s="62">
        <f>$GV276+$GT277</f>
        <v/>
      </c>
      <c r="GW277" s="62">
        <f>SUMIFS(tblSafety[Vehicle_Incidents],tblSafety[Date],$A277)</f>
        <v/>
      </c>
      <c r="GX277" s="62">
        <f>IF($B277=$B276,$GX276,0)+$GW277</f>
        <v/>
      </c>
      <c r="GY277" s="62">
        <f>$GY276+$GW277</f>
        <v/>
      </c>
      <c r="GZ277" s="62">
        <f>SUMIFS(tblSafety[Toolbox_Talks],tblSafety[Date],$A277)</f>
        <v/>
      </c>
      <c r="HA277" s="62">
        <f>IF($B277=$B276,$HA276,0)+$GZ277</f>
        <v/>
      </c>
      <c r="HB277" s="62">
        <f>$HB276+$GZ277</f>
        <v/>
      </c>
      <c r="HC277" s="62">
        <f>SUMIFS(tblSafety[Inspections],tblSafety[Date],$A277)</f>
        <v/>
      </c>
      <c r="HD277" s="62">
        <f>IF($B277=$B276,$HD276,0)+$HC277</f>
        <v/>
      </c>
      <c r="HE277" s="62">
        <f>$HE276+$HC277</f>
        <v/>
      </c>
      <c r="HF277" s="56">
        <f>IFERROR((SUMIFS(tblSafety[Recordables],tblSafety[Date],"&gt;="&amp;EDATE($E277,-12),tblSafety[Date],"&lt;="&amp;$A277)+SUMIFS(tblSafetyHistory[Recordables],tblSafetyHistory[Month],"&gt;="&amp;EDATE($E277,-12),tblSafetyHistory[Month],"&lt;"&amp;cfg_YearStart))/(SUMIFS(tblSafety[Hours_Total],tblSafety[Date],"&gt;="&amp;EDATE($E277,-12),tblSafety[Date],"&lt;="&amp;$A277)+SUMIFS(tblSafetyHistory[Hours_Total],tblSafetyHistory[Month],"&gt;="&amp;EDATE($E277,-12),tblSafetyHistory[Month],"&lt;"&amp;cfg_YearStart))*1000000,"")</f>
        <v/>
      </c>
      <c r="HG277" s="56">
        <f>IFERROR((SUMIFS(tblSafety[LTI],tblSafety[Date],"&gt;="&amp;EDATE($E277,-12),tblSafety[Date],"&lt;="&amp;$A277)+SUMIFS(tblSafetyHistory[LTI],tblSafetyHistory[Month],"&gt;="&amp;EDATE($E277,-12),tblSafetyHistory[Month],"&lt;"&amp;cfg_YearStart))/(SUMIFS(tblSafety[Hours_Total],tblSafety[Date],"&gt;="&amp;EDATE($E277,-12),tblSafety[Date],"&lt;="&amp;$A277)+SUMIFS(tblSafetyHistory[Hours_Total],tblSafetyHistory[Month],"&gt;="&amp;EDATE($E277,-12),tblSafetyHistory[Month],"&lt;"&amp;cfg_YearStart))*1000000,"")</f>
        <v/>
      </c>
      <c r="HH277" s="62">
        <f>IF(MAX(N(cfg_PriorLTIDate),_xlfn.MAXIFS(tblSafety[Date],tblSafety[LTI],"&gt;0",tblSafety[Date],"&lt;="&amp;$A277))=0,"",$A277-MAX(N(cfg_PriorLTIDate),_xlfn.MAXIFS(tblSafety[Date],tblSafety[LTI],"&gt;0",tblSafety[Date],"&lt;="&amp;$A277)))</f>
        <v/>
      </c>
      <c r="HI277" s="55">
        <f>SUMIFS(tblBudget[Ore_Mined_t],tblBudget[Month],$E277)</f>
        <v/>
      </c>
      <c r="HJ277" s="55">
        <f>$HI277*$C277/$D277</f>
        <v/>
      </c>
      <c r="HK277" s="55">
        <f>SUMIFS(tblBudget[Ore_Mined_t],tblBudget[Month],"&lt;"&amp;$E277)+$HJ277</f>
        <v/>
      </c>
      <c r="HL277" s="55">
        <f>SUMIFS(tblBudget[Ore_oz],tblBudget[Month],$E277)</f>
        <v/>
      </c>
      <c r="HM277" s="55">
        <f>$HL277*$C277/$D277</f>
        <v/>
      </c>
      <c r="HN277" s="55">
        <f>SUMIFS(tblBudget[Ore_oz],tblBudget[Month],"&lt;"&amp;$E277)+$HM277</f>
        <v/>
      </c>
      <c r="HO277" s="56">
        <f>IFERROR(IF(($HI277)&gt;0,($HL277*cfg_TroyOz)/($HI277),""),"")</f>
        <v/>
      </c>
      <c r="HP277" s="56">
        <f>IFERROR(IF(($HJ277)&gt;0,($HM277*cfg_TroyOz)/($HJ277),""),"")</f>
        <v/>
      </c>
      <c r="HQ277" s="56">
        <f>IFERROR(IF(($HK277)&gt;0,($HN277*cfg_TroyOz)/($HK277),""),"")</f>
        <v/>
      </c>
      <c r="HR277" s="55">
        <f>SUMIFS(tblBudget[Waste_t],tblBudget[Month],$E277)</f>
        <v/>
      </c>
      <c r="HS277" s="55">
        <f>$HR277*$C277/$D277</f>
        <v/>
      </c>
      <c r="HT277" s="55">
        <f>SUMIFS(tblBudget[Waste_t],tblBudget[Month],"&lt;"&amp;$E277)+$HS277</f>
        <v/>
      </c>
      <c r="HU277" s="55">
        <f>SUMIFS(tblBudget[TMM_t],tblBudget[Month],$E277)</f>
        <v/>
      </c>
      <c r="HV277" s="55">
        <f>$HU277*$C277/$D277</f>
        <v/>
      </c>
      <c r="HW277" s="55">
        <f>SUMIFS(tblBudget[TMM_t],tblBudget[Month],"&lt;"&amp;$E277)+$HV277</f>
        <v/>
      </c>
      <c r="HX277" s="56">
        <f>IFERROR(IF(($HI277)&gt;0,($HR277)/($HI277),""),"")</f>
        <v/>
      </c>
      <c r="HY277" s="56">
        <f>IFERROR(IF(($HJ277)&gt;0,($HS277)/($HJ277),""),"")</f>
        <v/>
      </c>
      <c r="HZ277" s="56">
        <f>IFERROR(IF(($HK277)&gt;0,($HT277)/($HK277),""),"")</f>
        <v/>
      </c>
      <c r="IA277" s="55">
        <f>SUMIFS(tblBudget[Drill_m],tblBudget[Month],$E277)</f>
        <v/>
      </c>
      <c r="IB277" s="55">
        <f>$IA277*$C277/$D277</f>
        <v/>
      </c>
      <c r="IC277" s="55">
        <f>SUMIFS(tblBudget[Drill_m],tblBudget[Month],"&lt;"&amp;$E277)+$IB277</f>
        <v/>
      </c>
      <c r="ID277" s="55">
        <f>SUMIFS(tblBudget[Diesel_L],tblBudget[Month],$E277)</f>
        <v/>
      </c>
      <c r="IE277" s="55">
        <f>$ID277*$C277/$D277</f>
        <v/>
      </c>
      <c r="IF277" s="55">
        <f>SUMIFS(tblBudget[Diesel_L],tblBudget[Month],"&lt;"&amp;$E277)+$IE277</f>
        <v/>
      </c>
      <c r="IG277" s="55">
        <f>SUMIFS(tblBudget[Milled_t],tblBudget[Month],$E277)</f>
        <v/>
      </c>
      <c r="IH277" s="55">
        <f>$IG277*$C277/$D277</f>
        <v/>
      </c>
      <c r="II277" s="55">
        <f>SUMIFS(tblBudget[Milled_t],tblBudget[Month],"&lt;"&amp;$E277)+$IH277</f>
        <v/>
      </c>
      <c r="IJ277" s="55">
        <f>SUMIFS(tblBudget[Feed_oz],tblBudget[Month],$E277)</f>
        <v/>
      </c>
      <c r="IK277" s="55">
        <f>$IJ277*$C277/$D277</f>
        <v/>
      </c>
      <c r="IL277" s="55">
        <f>SUMIFS(tblBudget[Feed_oz],tblBudget[Month],"&lt;"&amp;$E277)+$IK277</f>
        <v/>
      </c>
      <c r="IM277" s="55">
        <f>SUMIFS(tblBudget[Recovered_oz],tblBudget[Month],$E277)</f>
        <v/>
      </c>
      <c r="IN277" s="55">
        <f>$IM277*$C277/$D277</f>
        <v/>
      </c>
      <c r="IO277" s="55">
        <f>SUMIFS(tblBudget[Recovered_oz],tblBudget[Month],"&lt;"&amp;$E277)+$IN277</f>
        <v/>
      </c>
      <c r="IP277" s="56">
        <f>IFERROR(IF(($IG277)&gt;0,($IJ277*cfg_TroyOz)/($IG277),""),"")</f>
        <v/>
      </c>
      <c r="IQ277" s="56">
        <f>IFERROR(IF(($IH277)&gt;0,($IK277*cfg_TroyOz)/($IH277),""),"")</f>
        <v/>
      </c>
      <c r="IR277" s="56">
        <f>IFERROR(IF(($II277)&gt;0,($IL277*cfg_TroyOz)/($II277),""),"")</f>
        <v/>
      </c>
      <c r="IS277" s="67">
        <f>IFERROR(IF(($IJ277)&gt;0,($IM277)/($IJ277),""),"")</f>
        <v/>
      </c>
      <c r="IT277" s="67">
        <f>IFERROR(IF(($IK277)&gt;0,($IN277)/($IK277),""),"")</f>
        <v/>
      </c>
      <c r="IU277" s="67">
        <f>IFERROR(IF(($IL277)&gt;0,($IO277)/($IL277),""),"")</f>
        <v/>
      </c>
      <c r="IV277" s="55">
        <f>SUMIFS(tblBudget[Gold_Poured_oz],tblBudget[Month],$E277)</f>
        <v/>
      </c>
      <c r="IW277" s="55">
        <f>$IV277*$C277/$D277</f>
        <v/>
      </c>
      <c r="IX277" s="55">
        <f>SUMIFS(tblBudget[Gold_Poured_oz],tblBudget[Month],"&lt;"&amp;$E277)+$IW277</f>
        <v/>
      </c>
      <c r="IY277" s="57">
        <f>SUMIFS(tblBudget[Hours_Worked],tblBudget[Month],$E277)</f>
        <v/>
      </c>
      <c r="IZ277" s="57">
        <f>$IY277*$C277/$D277</f>
        <v/>
      </c>
      <c r="JA277" s="57">
        <f>SUMIFS(tblBudget[Hours_Worked],tblBudget[Month],"&lt;"&amp;$E277)+$IZ277</f>
        <v/>
      </c>
    </row>
    <row r="278">
      <c r="A278" s="54" t="n">
        <v>46299</v>
      </c>
      <c r="B278">
        <f>MONTH($A278)</f>
        <v/>
      </c>
      <c r="C278">
        <f>DAY($A278)</f>
        <v/>
      </c>
      <c r="D278">
        <f>DAY(EOMONTH($A278,0))</f>
        <v/>
      </c>
      <c r="E278" s="54">
        <f>DATE(YEAR($A278),MONTH($A278),1)</f>
        <v/>
      </c>
      <c r="F278" s="55">
        <f>SUMIFS(tblMovement[Tonnes_t],tblMovement[Date],$A278,tblMovement[Is_Ore],1,tblMovement[Source_Type],"Pit")</f>
        <v/>
      </c>
      <c r="G278" s="55">
        <f>IF($B278=$B277,$G277,0)+$F278</f>
        <v/>
      </c>
      <c r="H278" s="55">
        <f>$H277+$F278</f>
        <v/>
      </c>
      <c r="I278" s="55">
        <f>SUMIFS(tblMovement[Ore_oz],tblMovement[Date],$A278,tblMovement[Source_Type],"Pit")</f>
        <v/>
      </c>
      <c r="J278" s="55">
        <f>IF($B278=$B277,$J277,0)+$I278</f>
        <v/>
      </c>
      <c r="K278" s="55">
        <f>$K277+$I278</f>
        <v/>
      </c>
      <c r="L278" s="56">
        <f>IFERROR(IF(($F278)&gt;0,($I278*cfg_TroyOz)/($F278),""),"")</f>
        <v/>
      </c>
      <c r="M278" s="56">
        <f>IFERROR(IF(($G278)&gt;0,($J278*cfg_TroyOz)/($G278),""),"")</f>
        <v/>
      </c>
      <c r="N278" s="56">
        <f>IFERROR(IF(($H278)&gt;0,($K278*cfg_TroyOz)/($H278),""),"")</f>
        <v/>
      </c>
      <c r="O278" s="55">
        <f>SUMIFS(tblMovement[Tonnes_t],tblMovement[Date],$A278,tblMovement[Is_Ore],0,tblMovement[Source_Type],"Pit")</f>
        <v/>
      </c>
      <c r="P278" s="55">
        <f>IF($B278=$B277,$P277,0)+$O278</f>
        <v/>
      </c>
      <c r="Q278" s="55">
        <f>$Q277+$O278</f>
        <v/>
      </c>
      <c r="R278" s="55">
        <f>$F278+$O278</f>
        <v/>
      </c>
      <c r="S278" s="55">
        <f>IF($B278=$B277,$S277,0)+$R278</f>
        <v/>
      </c>
      <c r="T278" s="55">
        <f>$T277+$R278</f>
        <v/>
      </c>
      <c r="U278" s="56">
        <f>IFERROR(IF(($F278)&gt;0,($O278)/($F278),""),"")</f>
        <v/>
      </c>
      <c r="V278" s="56">
        <f>IFERROR(IF(($G278)&gt;0,($P278)/($G278),""),"")</f>
        <v/>
      </c>
      <c r="W278" s="56">
        <f>IFERROR(IF(($H278)&gt;0,($Q278)/($H278),""),"")</f>
        <v/>
      </c>
      <c r="X278" s="55">
        <f>SUMIFS(tblMovement[Tonnes_t],tblMovement[Date],$A278,tblMovement[Source_Type],"Stockpile")</f>
        <v/>
      </c>
      <c r="Y278" s="55">
        <f>IF($B278=$B277,$Y277,0)+$X278</f>
        <v/>
      </c>
      <c r="Z278" s="55">
        <f>$Z277+$X278</f>
        <v/>
      </c>
      <c r="AA278" s="55">
        <f>SUMIFS(tblMiningDaily[Drill_m],tblMiningDaily[Date],$A278)</f>
        <v/>
      </c>
      <c r="AB278" s="55">
        <f>IF($B278=$B277,$AB277,0)+$AA278</f>
        <v/>
      </c>
      <c r="AC278" s="55">
        <f>$AC277+$AA278</f>
        <v/>
      </c>
      <c r="AD278" s="55">
        <f>SUMIFS(tblMiningDaily[Blast_t],tblMiningDaily[Date],$A278)</f>
        <v/>
      </c>
      <c r="AE278" s="55">
        <f>IF($B278=$B277,$AE277,0)+$AD278</f>
        <v/>
      </c>
      <c r="AF278" s="55">
        <f>$AF277+$AD278</f>
        <v/>
      </c>
      <c r="AG278" s="55">
        <f>SUMIFS(tblMiningDaily[Explosives_kg],tblMiningDaily[Date],$A278)</f>
        <v/>
      </c>
      <c r="AH278" s="55">
        <f>IF($B278=$B277,$AH277,0)+$AG278</f>
        <v/>
      </c>
      <c r="AI278" s="55">
        <f>$AI277+$AG278</f>
        <v/>
      </c>
      <c r="AJ278" s="56">
        <f>IFERROR(IF(($AD278)&gt;0,($AG278)/($AD278),""),"")</f>
        <v/>
      </c>
      <c r="AK278" s="56">
        <f>IFERROR(IF(($AE278)&gt;0,($AH278)/($AE278),""),"")</f>
        <v/>
      </c>
      <c r="AL278" s="56">
        <f>IFERROR(IF(($AF278)&gt;0,($AI278)/($AF278),""),"")</f>
        <v/>
      </c>
      <c r="AM278" s="55">
        <f>SUMIFS(tblMiningDaily[Diesel_L],tblMiningDaily[Date],$A278)</f>
        <v/>
      </c>
      <c r="AN278" s="55">
        <f>IF($B278=$B277,$AN277,0)+$AM278</f>
        <v/>
      </c>
      <c r="AO278" s="55">
        <f>$AO277+$AM278</f>
        <v/>
      </c>
      <c r="AP278" s="55">
        <f>SUMIFS(tblMiningDaily[Dewatering_m3],tblMiningDaily[Date],$A278)</f>
        <v/>
      </c>
      <c r="AQ278" s="55">
        <f>IF($B278=$B277,$AQ277,0)+$AP278</f>
        <v/>
      </c>
      <c r="AR278" s="55">
        <f>$AR277+$AP278</f>
        <v/>
      </c>
      <c r="AS278" s="57">
        <f>SUMIFS(tblFleet[Calendar_h],tblFleet[Date],$A278,tblFleet[Equipment_Class],"Excavator")</f>
        <v/>
      </c>
      <c r="AT278" s="57">
        <f>IF($B278=$B277,$AT277,0)+$AS278</f>
        <v/>
      </c>
      <c r="AU278" s="57">
        <f>$AU277+$AS278</f>
        <v/>
      </c>
      <c r="AV278" s="57">
        <f>SUMIFS(tblFleet[Available_h],tblFleet[Date],$A278,tblFleet[Equipment_Class],"Excavator")</f>
        <v/>
      </c>
      <c r="AW278" s="57">
        <f>IF($B278=$B277,$AW277,0)+$AV278</f>
        <v/>
      </c>
      <c r="AX278" s="57">
        <f>$AX277+$AV278</f>
        <v/>
      </c>
      <c r="AY278" s="57">
        <f>SUMIFS(tblFleet[Operating_h],tblFleet[Date],$A278,tblFleet[Equipment_Class],"Excavator")</f>
        <v/>
      </c>
      <c r="AZ278" s="57">
        <f>IF($B278=$B277,$AZ277,0)+$AY278</f>
        <v/>
      </c>
      <c r="BA278" s="57">
        <f>$BA277+$AY278</f>
        <v/>
      </c>
      <c r="BB278" s="67">
        <f>IFERROR(IF(($AS278)&gt;0,($AV278)/($AS278),""),"")</f>
        <v/>
      </c>
      <c r="BC278" s="67">
        <f>IFERROR(IF(($AT278)&gt;0,($AW278)/($AT278),""),"")</f>
        <v/>
      </c>
      <c r="BD278" s="67">
        <f>IFERROR(IF(($AU278)&gt;0,($AX278)/($AU278),""),"")</f>
        <v/>
      </c>
      <c r="BE278" s="67">
        <f>IFERROR(IF(($AV278)&gt;0,($AY278)/($AV278),""),"")</f>
        <v/>
      </c>
      <c r="BF278" s="67">
        <f>IFERROR(IF(($AW278)&gt;0,($AZ278)/($AW278),""),"")</f>
        <v/>
      </c>
      <c r="BG278" s="67">
        <f>IFERROR(IF(($AX278)&gt;0,($BA278)/($AX278),""),"")</f>
        <v/>
      </c>
      <c r="BH278" s="57">
        <f>SUMIFS(tblFleet[Calendar_h],tblFleet[Date],$A278,tblFleet[Equipment_Class],"Haul Truck")</f>
        <v/>
      </c>
      <c r="BI278" s="57">
        <f>IF($B278=$B277,$BI277,0)+$BH278</f>
        <v/>
      </c>
      <c r="BJ278" s="57">
        <f>$BJ277+$BH278</f>
        <v/>
      </c>
      <c r="BK278" s="57">
        <f>SUMIFS(tblFleet[Available_h],tblFleet[Date],$A278,tblFleet[Equipment_Class],"Haul Truck")</f>
        <v/>
      </c>
      <c r="BL278" s="57">
        <f>IF($B278=$B277,$BL277,0)+$BK278</f>
        <v/>
      </c>
      <c r="BM278" s="57">
        <f>$BM277+$BK278</f>
        <v/>
      </c>
      <c r="BN278" s="57">
        <f>SUMIFS(tblFleet[Operating_h],tblFleet[Date],$A278,tblFleet[Equipment_Class],"Haul Truck")</f>
        <v/>
      </c>
      <c r="BO278" s="57">
        <f>IF($B278=$B277,$BO277,0)+$BN278</f>
        <v/>
      </c>
      <c r="BP278" s="57">
        <f>$BP277+$BN278</f>
        <v/>
      </c>
      <c r="BQ278" s="67">
        <f>IFERROR(IF(($BH278)&gt;0,($BK278)/($BH278),""),"")</f>
        <v/>
      </c>
      <c r="BR278" s="67">
        <f>IFERROR(IF(($BI278)&gt;0,($BL278)/($BI278),""),"")</f>
        <v/>
      </c>
      <c r="BS278" s="67">
        <f>IFERROR(IF(($BJ278)&gt;0,($BM278)/($BJ278),""),"")</f>
        <v/>
      </c>
      <c r="BT278" s="67">
        <f>IFERROR(IF(($BK278)&gt;0,($BN278)/($BK278),""),"")</f>
        <v/>
      </c>
      <c r="BU278" s="67">
        <f>IFERROR(IF(($BL278)&gt;0,($BO278)/($BL278),""),"")</f>
        <v/>
      </c>
      <c r="BV278" s="67">
        <f>IFERROR(IF(($BM278)&gt;0,($BP278)/($BM278),""),"")</f>
        <v/>
      </c>
      <c r="BW278" s="55">
        <f>SUMIFS(tblPlant[Crushed_t],tblPlant[Date],$A278)</f>
        <v/>
      </c>
      <c r="BX278" s="55">
        <f>IF($B278=$B277,$BX277,0)+$BW278</f>
        <v/>
      </c>
      <c r="BY278" s="55">
        <f>$BY277+$BW278</f>
        <v/>
      </c>
      <c r="BZ278" s="55">
        <f>SUMIFS(tblPlant[Milled_t],tblPlant[Date],$A278)</f>
        <v/>
      </c>
      <c r="CA278" s="55">
        <f>IF($B278=$B277,$CA277,0)+$BZ278</f>
        <v/>
      </c>
      <c r="CB278" s="55">
        <f>$CB277+$BZ278</f>
        <v/>
      </c>
      <c r="CC278" s="55">
        <f>SUMIFS(tblPlant[Feed_oz],tblPlant[Date],$A278)</f>
        <v/>
      </c>
      <c r="CD278" s="55">
        <f>IF($B278=$B277,$CD277,0)+$CC278</f>
        <v/>
      </c>
      <c r="CE278" s="55">
        <f>$CE277+$CC278</f>
        <v/>
      </c>
      <c r="CF278" s="55">
        <f>SUMIFS(tblPlant[Tails_oz],tblPlant[Date],$A278)</f>
        <v/>
      </c>
      <c r="CG278" s="55">
        <f>IF($B278=$B277,$CG277,0)+$CF278</f>
        <v/>
      </c>
      <c r="CH278" s="55">
        <f>$CH277+$CF278</f>
        <v/>
      </c>
      <c r="CI278" s="55">
        <f>SUMIFS(tblPlant[Recovered_oz],tblPlant[Date],$A278)</f>
        <v/>
      </c>
      <c r="CJ278" s="55">
        <f>IF($B278=$B277,$CJ277,0)+$CI278</f>
        <v/>
      </c>
      <c r="CK278" s="55">
        <f>$CK277+$CI278</f>
        <v/>
      </c>
      <c r="CL278" s="56">
        <f>IFERROR(IF(($BZ278)&gt;0,($CC278*cfg_TroyOz)/($BZ278),""),"")</f>
        <v/>
      </c>
      <c r="CM278" s="56">
        <f>IFERROR(IF(($CA278)&gt;0,($CD278*cfg_TroyOz)/($CA278),""),"")</f>
        <v/>
      </c>
      <c r="CN278" s="56">
        <f>IFERROR(IF(($CB278)&gt;0,($CE278*cfg_TroyOz)/($CB278),""),"")</f>
        <v/>
      </c>
      <c r="CO278" s="56">
        <f>IFERROR(IF(($BZ278)&gt;0,($CF278*cfg_TroyOz)/($BZ278),""),"")</f>
        <v/>
      </c>
      <c r="CP278" s="56">
        <f>IFERROR(IF(($CA278)&gt;0,($CG278*cfg_TroyOz)/($CA278),""),"")</f>
        <v/>
      </c>
      <c r="CQ278" s="56">
        <f>IFERROR(IF(($CB278)&gt;0,($CH278*cfg_TroyOz)/($CB278),""),"")</f>
        <v/>
      </c>
      <c r="CR278" s="67">
        <f>IFERROR(IF(($CC278)&gt;0,($CI278)/($CC278),""),"")</f>
        <v/>
      </c>
      <c r="CS278" s="67">
        <f>IFERROR(IF(($CD278)&gt;0,($CJ278)/($CD278),""),"")</f>
        <v/>
      </c>
      <c r="CT278" s="67">
        <f>IFERROR(IF(($CE278)&gt;0,($CK278)/($CE278),""),"")</f>
        <v/>
      </c>
      <c r="CU278" s="55">
        <f>SUMIFS(tblPlant[Gravity_Gold_oz],tblPlant[Date],$A278)</f>
        <v/>
      </c>
      <c r="CV278" s="55">
        <f>IF($B278=$B277,$CV277,0)+$CU278</f>
        <v/>
      </c>
      <c r="CW278" s="55">
        <f>$CW277+$CU278</f>
        <v/>
      </c>
      <c r="CX278" s="55">
        <f>SUMIFS(tblPlant[Gold_Poured_oz],tblPlant[Date],$A278)</f>
        <v/>
      </c>
      <c r="CY278" s="55">
        <f>IF($B278=$B277,$CY277,0)+$CX278</f>
        <v/>
      </c>
      <c r="CZ278" s="55">
        <f>$CZ277+$CX278</f>
        <v/>
      </c>
      <c r="DA278" s="57">
        <f>SUMIFS(tblPlant[Mill_Run_h],tblPlant[Date],$A278)</f>
        <v/>
      </c>
      <c r="DB278" s="57">
        <f>IF($B278=$B277,$DB277,0)+$DA278</f>
        <v/>
      </c>
      <c r="DC278" s="57">
        <f>$DC277+$DA278</f>
        <v/>
      </c>
      <c r="DD278" s="57">
        <f>SUMIFS(tblPlant[Mill_Planned_Maint_h],tblPlant[Date],$A278)</f>
        <v/>
      </c>
      <c r="DE278" s="57">
        <f>IF($B278=$B277,$DE277,0)+$DD278</f>
        <v/>
      </c>
      <c r="DF278" s="57">
        <f>$DF277+$DD278</f>
        <v/>
      </c>
      <c r="DG278" s="57">
        <f>SUMIFS(tblPlant[Mill_Unplanned_Down_h],tblPlant[Date],$A278)</f>
        <v/>
      </c>
      <c r="DH278" s="57">
        <f>IF($B278=$B277,$DH277,0)+$DG278</f>
        <v/>
      </c>
      <c r="DI278" s="57">
        <f>$DI277+$DG278</f>
        <v/>
      </c>
      <c r="DJ278" s="57">
        <f>COUNTIFS(tblPlant[Date],$A278,tblPlant[Mill_Run_h],"&lt;&gt;")*24</f>
        <v/>
      </c>
      <c r="DK278" s="57">
        <f>IF($B278=$B277,$DK277,0)+$DJ278</f>
        <v/>
      </c>
      <c r="DL278" s="57">
        <f>$DL277+$DJ278</f>
        <v/>
      </c>
      <c r="DM278" s="57">
        <f>SUMIFS(tblPlant[Crusher_Run_h],tblPlant[Date],$A278)</f>
        <v/>
      </c>
      <c r="DN278" s="57">
        <f>IF($B278=$B277,$DN277,0)+$DM278</f>
        <v/>
      </c>
      <c r="DO278" s="57">
        <f>$DO277+$DM278</f>
        <v/>
      </c>
      <c r="DP278" s="55">
        <f>IFERROR(IF(($DA278)&gt;0,($BZ278)/($DA278),""),"")</f>
        <v/>
      </c>
      <c r="DQ278" s="55">
        <f>IFERROR(IF(($DB278)&gt;0,($CA278)/($DB278),""),"")</f>
        <v/>
      </c>
      <c r="DR278" s="55">
        <f>IFERROR(IF(($DC278)&gt;0,($CB278)/($DC278),""),"")</f>
        <v/>
      </c>
      <c r="DS278" s="67">
        <f>IFERROR(IF(($DJ278)&gt;0,($DJ278-$DD278-$DG278)/($DJ278),""),"")</f>
        <v/>
      </c>
      <c r="DT278" s="67">
        <f>IFERROR(IF(($DK278)&gt;0,($DK278-$DE278-$DH278)/($DK278),""),"")</f>
        <v/>
      </c>
      <c r="DU278" s="67">
        <f>IFERROR(IF(($DL278)&gt;0,($DL278-$DF278-$DI278)/($DL278),""),"")</f>
        <v/>
      </c>
      <c r="DV278" s="67">
        <f>IFERROR(IF(($DJ278-$DD278-$DG278)&gt;0,($DA278)/($DJ278-$DD278-$DG278),""),"")</f>
        <v/>
      </c>
      <c r="DW278" s="67">
        <f>IFERROR(IF(($DK278-$DE278-$DH278)&gt;0,($DB278)/($DK278-$DE278-$DH278),""),"")</f>
        <v/>
      </c>
      <c r="DX278" s="67">
        <f>IFERROR(IF(($DL278-$DF278-$DI278)&gt;0,($DC278)/($DL278-$DF278-$DI278),""),"")</f>
        <v/>
      </c>
      <c r="DY278" s="55">
        <f>SUMIFS(tblPlant[Cyanide_kg],tblPlant[Date],$A278)</f>
        <v/>
      </c>
      <c r="DZ278" s="55">
        <f>IF($B278=$B277,$DZ277,0)+$DY278</f>
        <v/>
      </c>
      <c r="EA278" s="55">
        <f>$EA277+$DY278</f>
        <v/>
      </c>
      <c r="EB278" s="55">
        <f>SUMIFS(tblPlant[Lime_kg],tblPlant[Date],$A278)</f>
        <v/>
      </c>
      <c r="EC278" s="55">
        <f>IF($B278=$B277,$EC277,0)+$EB278</f>
        <v/>
      </c>
      <c r="ED278" s="55">
        <f>$ED277+$EB278</f>
        <v/>
      </c>
      <c r="EE278" s="55">
        <f>SUMIFS(tblPlant[Grinding_Media_kg],tblPlant[Date],$A278)</f>
        <v/>
      </c>
      <c r="EF278" s="55">
        <f>IF($B278=$B277,$EF277,0)+$EE278</f>
        <v/>
      </c>
      <c r="EG278" s="55">
        <f>$EG277+$EE278</f>
        <v/>
      </c>
      <c r="EH278" s="55">
        <f>SUMIFS(tblPlant[Power_kWh],tblPlant[Date],$A278)</f>
        <v/>
      </c>
      <c r="EI278" s="55">
        <f>IF($B278=$B277,$EI277,0)+$EH278</f>
        <v/>
      </c>
      <c r="EJ278" s="55">
        <f>$EJ277+$EH278</f>
        <v/>
      </c>
      <c r="EK278" s="55">
        <f>SUMIFS(tblPlant[Raw_Water_m3],tblPlant[Date],$A278)</f>
        <v/>
      </c>
      <c r="EL278" s="55">
        <f>IF($B278=$B277,$EL277,0)+$EK278</f>
        <v/>
      </c>
      <c r="EM278" s="55">
        <f>$EM277+$EK278</f>
        <v/>
      </c>
      <c r="EN278" s="56">
        <f>IFERROR(IF(($BZ278)&gt;0,($DY278)/($BZ278),""),"")</f>
        <v/>
      </c>
      <c r="EO278" s="56">
        <f>IFERROR(IF(($CA278)&gt;0,($DZ278)/($CA278),""),"")</f>
        <v/>
      </c>
      <c r="EP278" s="56">
        <f>IFERROR(IF(($CB278)&gt;0,($EA278)/($CB278),""),"")</f>
        <v/>
      </c>
      <c r="EQ278" s="56">
        <f>IFERROR(IF(($BZ278)&gt;0,($EB278)/($BZ278),""),"")</f>
        <v/>
      </c>
      <c r="ER278" s="56">
        <f>IFERROR(IF(($CA278)&gt;0,($EC278)/($CA278),""),"")</f>
        <v/>
      </c>
      <c r="ES278" s="56">
        <f>IFERROR(IF(($CB278)&gt;0,($ED278)/($CB278),""),"")</f>
        <v/>
      </c>
      <c r="ET278" s="56">
        <f>IFERROR(IF(($BZ278)&gt;0,($EE278)/($BZ278),""),"")</f>
        <v/>
      </c>
      <c r="EU278" s="56">
        <f>IFERROR(IF(($CA278)&gt;0,($EF278)/($CA278),""),"")</f>
        <v/>
      </c>
      <c r="EV278" s="56">
        <f>IFERROR(IF(($CB278)&gt;0,($EG278)/($CB278),""),"")</f>
        <v/>
      </c>
      <c r="EW278" s="76">
        <f>IFERROR(IF(($BZ278)&gt;0,($EH278)/($BZ278),""),"")</f>
        <v/>
      </c>
      <c r="EX278" s="76">
        <f>IFERROR(IF(($CA278)&gt;0,($EI278)/($CA278),""),"")</f>
        <v/>
      </c>
      <c r="EY278" s="76">
        <f>IFERROR(IF(($CB278)&gt;0,($EJ278)/($CB278),""),"")</f>
        <v/>
      </c>
      <c r="EZ278" s="56">
        <f>IFERROR(IF(($BZ278)&gt;0,($EK278)/($BZ278),""),"")</f>
        <v/>
      </c>
      <c r="FA278" s="56">
        <f>IFERROR(IF(($CA278)&gt;0,($EL278)/($CA278),""),"")</f>
        <v/>
      </c>
      <c r="FB278" s="56">
        <f>IFERROR(IF(($CB278)&gt;0,($EM278)/($CB278),""),"")</f>
        <v/>
      </c>
      <c r="FC278" s="55">
        <f>IF(SUMIFS(tblPlant[GIC_oz],tblPlant[Date],$A278)&gt;0,SUMIFS(tblPlant[GIC_oz],tblPlant[Date],$A278),"")</f>
        <v/>
      </c>
      <c r="FD278" s="55">
        <f>SUMIFS(tblGold[Gold_oz],tblGold[Date],$A278,tblGold[Type],"Shipment")</f>
        <v/>
      </c>
      <c r="FE278" s="55">
        <f>IF($B278=$B277,$FE277,0)+$FD278</f>
        <v/>
      </c>
      <c r="FF278" s="55">
        <f>$FF277+$FD278</f>
        <v/>
      </c>
      <c r="FG278" s="55">
        <f>SUMIFS(tblGold[Gold_oz],tblGold[Date],$A278,tblGold[Type],"Sale")</f>
        <v/>
      </c>
      <c r="FH278" s="55">
        <f>IF($B278=$B277,$FH277,0)+$FG278</f>
        <v/>
      </c>
      <c r="FI278" s="55">
        <f>$FI277+$FG278</f>
        <v/>
      </c>
      <c r="FJ278" s="55">
        <f>SUMIFS(tblGold[Dore_kg],tblGold[Date],$A278,tblGold[Type],"Shipment")</f>
        <v/>
      </c>
      <c r="FK278" s="55">
        <f>IF($B278=$B277,$FK277,0)+$FJ278</f>
        <v/>
      </c>
      <c r="FL278" s="55">
        <f>$FL277+$FJ278</f>
        <v/>
      </c>
      <c r="FM278" s="57">
        <f>SUMIFS(tblSafety[Hours_Total],tblSafety[Date],$A278)</f>
        <v/>
      </c>
      <c r="FN278" s="57">
        <f>IF($B278=$B277,$FN277,0)+$FM278</f>
        <v/>
      </c>
      <c r="FO278" s="57">
        <f>$FO277+$FM278</f>
        <v/>
      </c>
      <c r="FP278" s="62">
        <f>SUMIFS(tblSafety[Fatality],tblSafety[Date],$A278)</f>
        <v/>
      </c>
      <c r="FQ278" s="62">
        <f>IF($B278=$B277,$FQ277,0)+$FP278</f>
        <v/>
      </c>
      <c r="FR278" s="62">
        <f>$FR277+$FP278</f>
        <v/>
      </c>
      <c r="FS278" s="62">
        <f>SUMIFS(tblSafety[LTI],tblSafety[Date],$A278)</f>
        <v/>
      </c>
      <c r="FT278" s="62">
        <f>IF($B278=$B277,$FT277,0)+$FS278</f>
        <v/>
      </c>
      <c r="FU278" s="62">
        <f>$FU277+$FS278</f>
        <v/>
      </c>
      <c r="FV278" s="62">
        <f>SUMIFS(tblSafety[RWI],tblSafety[Date],$A278)</f>
        <v/>
      </c>
      <c r="FW278" s="62">
        <f>IF($B278=$B277,$FW277,0)+$FV278</f>
        <v/>
      </c>
      <c r="FX278" s="62">
        <f>$FX277+$FV278</f>
        <v/>
      </c>
      <c r="FY278" s="62">
        <f>SUMIFS(tblSafety[MTI],tblSafety[Date],$A278)</f>
        <v/>
      </c>
      <c r="FZ278" s="62">
        <f>IF($B278=$B277,$FZ277,0)+$FY278</f>
        <v/>
      </c>
      <c r="GA278" s="62">
        <f>$GA277+$FY278</f>
        <v/>
      </c>
      <c r="GB278" s="62">
        <f>SUMIFS(tblSafety[FAI],tblSafety[Date],$A278)</f>
        <v/>
      </c>
      <c r="GC278" s="62">
        <f>IF($B278=$B277,$GC277,0)+$GB278</f>
        <v/>
      </c>
      <c r="GD278" s="62">
        <f>$GD277+$GB278</f>
        <v/>
      </c>
      <c r="GE278" s="62">
        <f>SUMIFS(tblSafety[Recordables],tblSafety[Date],$A278)</f>
        <v/>
      </c>
      <c r="GF278" s="62">
        <f>IF($B278=$B277,$GF277,0)+$GE278</f>
        <v/>
      </c>
      <c r="GG278" s="62">
        <f>$GG277+$GE278</f>
        <v/>
      </c>
      <c r="GH278" s="62">
        <f>SUMIFS(tblSafety[Near_Miss],tblSafety[Date],$A278)</f>
        <v/>
      </c>
      <c r="GI278" s="62">
        <f>IF($B278=$B277,$GI277,0)+$GH278</f>
        <v/>
      </c>
      <c r="GJ278" s="62">
        <f>$GJ277+$GH278</f>
        <v/>
      </c>
      <c r="GK278" s="62">
        <f>SUMIFS(tblSafety[Hazard_Reports],tblSafety[Date],$A278)</f>
        <v/>
      </c>
      <c r="GL278" s="62">
        <f>IF($B278=$B277,$GL277,0)+$GK278</f>
        <v/>
      </c>
      <c r="GM278" s="62">
        <f>$GM277+$GK278</f>
        <v/>
      </c>
      <c r="GN278" s="62">
        <f>SUMIFS(tblSafety[HPI],tblSafety[Date],$A278)</f>
        <v/>
      </c>
      <c r="GO278" s="62">
        <f>IF($B278=$B277,$GO277,0)+$GN278</f>
        <v/>
      </c>
      <c r="GP278" s="62">
        <f>$GP277+$GN278</f>
        <v/>
      </c>
      <c r="GQ278" s="62">
        <f>SUMIFS(tblSafety[Env_Incidents],tblSafety[Date],$A278)</f>
        <v/>
      </c>
      <c r="GR278" s="62">
        <f>IF($B278=$B277,$GR277,0)+$GQ278</f>
        <v/>
      </c>
      <c r="GS278" s="62">
        <f>$GS277+$GQ278</f>
        <v/>
      </c>
      <c r="GT278" s="62">
        <f>SUMIFS(tblSafety[Community_Incidents],tblSafety[Date],$A278)</f>
        <v/>
      </c>
      <c r="GU278" s="62">
        <f>IF($B278=$B277,$GU277,0)+$GT278</f>
        <v/>
      </c>
      <c r="GV278" s="62">
        <f>$GV277+$GT278</f>
        <v/>
      </c>
      <c r="GW278" s="62">
        <f>SUMIFS(tblSafety[Vehicle_Incidents],tblSafety[Date],$A278)</f>
        <v/>
      </c>
      <c r="GX278" s="62">
        <f>IF($B278=$B277,$GX277,0)+$GW278</f>
        <v/>
      </c>
      <c r="GY278" s="62">
        <f>$GY277+$GW278</f>
        <v/>
      </c>
      <c r="GZ278" s="62">
        <f>SUMIFS(tblSafety[Toolbox_Talks],tblSafety[Date],$A278)</f>
        <v/>
      </c>
      <c r="HA278" s="62">
        <f>IF($B278=$B277,$HA277,0)+$GZ278</f>
        <v/>
      </c>
      <c r="HB278" s="62">
        <f>$HB277+$GZ278</f>
        <v/>
      </c>
      <c r="HC278" s="62">
        <f>SUMIFS(tblSafety[Inspections],tblSafety[Date],$A278)</f>
        <v/>
      </c>
      <c r="HD278" s="62">
        <f>IF($B278=$B277,$HD277,0)+$HC278</f>
        <v/>
      </c>
      <c r="HE278" s="62">
        <f>$HE277+$HC278</f>
        <v/>
      </c>
      <c r="HF278" s="56">
        <f>IFERROR((SUMIFS(tblSafety[Recordables],tblSafety[Date],"&gt;="&amp;EDATE($E278,-12),tblSafety[Date],"&lt;="&amp;$A278)+SUMIFS(tblSafetyHistory[Recordables],tblSafetyHistory[Month],"&gt;="&amp;EDATE($E278,-12),tblSafetyHistory[Month],"&lt;"&amp;cfg_YearStart))/(SUMIFS(tblSafety[Hours_Total],tblSafety[Date],"&gt;="&amp;EDATE($E278,-12),tblSafety[Date],"&lt;="&amp;$A278)+SUMIFS(tblSafetyHistory[Hours_Total],tblSafetyHistory[Month],"&gt;="&amp;EDATE($E278,-12),tblSafetyHistory[Month],"&lt;"&amp;cfg_YearStart))*1000000,"")</f>
        <v/>
      </c>
      <c r="HG278" s="56">
        <f>IFERROR((SUMIFS(tblSafety[LTI],tblSafety[Date],"&gt;="&amp;EDATE($E278,-12),tblSafety[Date],"&lt;="&amp;$A278)+SUMIFS(tblSafetyHistory[LTI],tblSafetyHistory[Month],"&gt;="&amp;EDATE($E278,-12),tblSafetyHistory[Month],"&lt;"&amp;cfg_YearStart))/(SUMIFS(tblSafety[Hours_Total],tblSafety[Date],"&gt;="&amp;EDATE($E278,-12),tblSafety[Date],"&lt;="&amp;$A278)+SUMIFS(tblSafetyHistory[Hours_Total],tblSafetyHistory[Month],"&gt;="&amp;EDATE($E278,-12),tblSafetyHistory[Month],"&lt;"&amp;cfg_YearStart))*1000000,"")</f>
        <v/>
      </c>
      <c r="HH278" s="62">
        <f>IF(MAX(N(cfg_PriorLTIDate),_xlfn.MAXIFS(tblSafety[Date],tblSafety[LTI],"&gt;0",tblSafety[Date],"&lt;="&amp;$A278))=0,"",$A278-MAX(N(cfg_PriorLTIDate),_xlfn.MAXIFS(tblSafety[Date],tblSafety[LTI],"&gt;0",tblSafety[Date],"&lt;="&amp;$A278)))</f>
        <v/>
      </c>
      <c r="HI278" s="55">
        <f>SUMIFS(tblBudget[Ore_Mined_t],tblBudget[Month],$E278)</f>
        <v/>
      </c>
      <c r="HJ278" s="55">
        <f>$HI278*$C278/$D278</f>
        <v/>
      </c>
      <c r="HK278" s="55">
        <f>SUMIFS(tblBudget[Ore_Mined_t],tblBudget[Month],"&lt;"&amp;$E278)+$HJ278</f>
        <v/>
      </c>
      <c r="HL278" s="55">
        <f>SUMIFS(tblBudget[Ore_oz],tblBudget[Month],$E278)</f>
        <v/>
      </c>
      <c r="HM278" s="55">
        <f>$HL278*$C278/$D278</f>
        <v/>
      </c>
      <c r="HN278" s="55">
        <f>SUMIFS(tblBudget[Ore_oz],tblBudget[Month],"&lt;"&amp;$E278)+$HM278</f>
        <v/>
      </c>
      <c r="HO278" s="56">
        <f>IFERROR(IF(($HI278)&gt;0,($HL278*cfg_TroyOz)/($HI278),""),"")</f>
        <v/>
      </c>
      <c r="HP278" s="56">
        <f>IFERROR(IF(($HJ278)&gt;0,($HM278*cfg_TroyOz)/($HJ278),""),"")</f>
        <v/>
      </c>
      <c r="HQ278" s="56">
        <f>IFERROR(IF(($HK278)&gt;0,($HN278*cfg_TroyOz)/($HK278),""),"")</f>
        <v/>
      </c>
      <c r="HR278" s="55">
        <f>SUMIFS(tblBudget[Waste_t],tblBudget[Month],$E278)</f>
        <v/>
      </c>
      <c r="HS278" s="55">
        <f>$HR278*$C278/$D278</f>
        <v/>
      </c>
      <c r="HT278" s="55">
        <f>SUMIFS(tblBudget[Waste_t],tblBudget[Month],"&lt;"&amp;$E278)+$HS278</f>
        <v/>
      </c>
      <c r="HU278" s="55">
        <f>SUMIFS(tblBudget[TMM_t],tblBudget[Month],$E278)</f>
        <v/>
      </c>
      <c r="HV278" s="55">
        <f>$HU278*$C278/$D278</f>
        <v/>
      </c>
      <c r="HW278" s="55">
        <f>SUMIFS(tblBudget[TMM_t],tblBudget[Month],"&lt;"&amp;$E278)+$HV278</f>
        <v/>
      </c>
      <c r="HX278" s="56">
        <f>IFERROR(IF(($HI278)&gt;0,($HR278)/($HI278),""),"")</f>
        <v/>
      </c>
      <c r="HY278" s="56">
        <f>IFERROR(IF(($HJ278)&gt;0,($HS278)/($HJ278),""),"")</f>
        <v/>
      </c>
      <c r="HZ278" s="56">
        <f>IFERROR(IF(($HK278)&gt;0,($HT278)/($HK278),""),"")</f>
        <v/>
      </c>
      <c r="IA278" s="55">
        <f>SUMIFS(tblBudget[Drill_m],tblBudget[Month],$E278)</f>
        <v/>
      </c>
      <c r="IB278" s="55">
        <f>$IA278*$C278/$D278</f>
        <v/>
      </c>
      <c r="IC278" s="55">
        <f>SUMIFS(tblBudget[Drill_m],tblBudget[Month],"&lt;"&amp;$E278)+$IB278</f>
        <v/>
      </c>
      <c r="ID278" s="55">
        <f>SUMIFS(tblBudget[Diesel_L],tblBudget[Month],$E278)</f>
        <v/>
      </c>
      <c r="IE278" s="55">
        <f>$ID278*$C278/$D278</f>
        <v/>
      </c>
      <c r="IF278" s="55">
        <f>SUMIFS(tblBudget[Diesel_L],tblBudget[Month],"&lt;"&amp;$E278)+$IE278</f>
        <v/>
      </c>
      <c r="IG278" s="55">
        <f>SUMIFS(tblBudget[Milled_t],tblBudget[Month],$E278)</f>
        <v/>
      </c>
      <c r="IH278" s="55">
        <f>$IG278*$C278/$D278</f>
        <v/>
      </c>
      <c r="II278" s="55">
        <f>SUMIFS(tblBudget[Milled_t],tblBudget[Month],"&lt;"&amp;$E278)+$IH278</f>
        <v/>
      </c>
      <c r="IJ278" s="55">
        <f>SUMIFS(tblBudget[Feed_oz],tblBudget[Month],$E278)</f>
        <v/>
      </c>
      <c r="IK278" s="55">
        <f>$IJ278*$C278/$D278</f>
        <v/>
      </c>
      <c r="IL278" s="55">
        <f>SUMIFS(tblBudget[Feed_oz],tblBudget[Month],"&lt;"&amp;$E278)+$IK278</f>
        <v/>
      </c>
      <c r="IM278" s="55">
        <f>SUMIFS(tblBudget[Recovered_oz],tblBudget[Month],$E278)</f>
        <v/>
      </c>
      <c r="IN278" s="55">
        <f>$IM278*$C278/$D278</f>
        <v/>
      </c>
      <c r="IO278" s="55">
        <f>SUMIFS(tblBudget[Recovered_oz],tblBudget[Month],"&lt;"&amp;$E278)+$IN278</f>
        <v/>
      </c>
      <c r="IP278" s="56">
        <f>IFERROR(IF(($IG278)&gt;0,($IJ278*cfg_TroyOz)/($IG278),""),"")</f>
        <v/>
      </c>
      <c r="IQ278" s="56">
        <f>IFERROR(IF(($IH278)&gt;0,($IK278*cfg_TroyOz)/($IH278),""),"")</f>
        <v/>
      </c>
      <c r="IR278" s="56">
        <f>IFERROR(IF(($II278)&gt;0,($IL278*cfg_TroyOz)/($II278),""),"")</f>
        <v/>
      </c>
      <c r="IS278" s="67">
        <f>IFERROR(IF(($IJ278)&gt;0,($IM278)/($IJ278),""),"")</f>
        <v/>
      </c>
      <c r="IT278" s="67">
        <f>IFERROR(IF(($IK278)&gt;0,($IN278)/($IK278),""),"")</f>
        <v/>
      </c>
      <c r="IU278" s="67">
        <f>IFERROR(IF(($IL278)&gt;0,($IO278)/($IL278),""),"")</f>
        <v/>
      </c>
      <c r="IV278" s="55">
        <f>SUMIFS(tblBudget[Gold_Poured_oz],tblBudget[Month],$E278)</f>
        <v/>
      </c>
      <c r="IW278" s="55">
        <f>$IV278*$C278/$D278</f>
        <v/>
      </c>
      <c r="IX278" s="55">
        <f>SUMIFS(tblBudget[Gold_Poured_oz],tblBudget[Month],"&lt;"&amp;$E278)+$IW278</f>
        <v/>
      </c>
      <c r="IY278" s="57">
        <f>SUMIFS(tblBudget[Hours_Worked],tblBudget[Month],$E278)</f>
        <v/>
      </c>
      <c r="IZ278" s="57">
        <f>$IY278*$C278/$D278</f>
        <v/>
      </c>
      <c r="JA278" s="57">
        <f>SUMIFS(tblBudget[Hours_Worked],tblBudget[Month],"&lt;"&amp;$E278)+$IZ278</f>
        <v/>
      </c>
    </row>
    <row r="279">
      <c r="A279" s="54" t="n">
        <v>46300</v>
      </c>
      <c r="B279">
        <f>MONTH($A279)</f>
        <v/>
      </c>
      <c r="C279">
        <f>DAY($A279)</f>
        <v/>
      </c>
      <c r="D279">
        <f>DAY(EOMONTH($A279,0))</f>
        <v/>
      </c>
      <c r="E279" s="54">
        <f>DATE(YEAR($A279),MONTH($A279),1)</f>
        <v/>
      </c>
      <c r="F279" s="55">
        <f>SUMIFS(tblMovement[Tonnes_t],tblMovement[Date],$A279,tblMovement[Is_Ore],1,tblMovement[Source_Type],"Pit")</f>
        <v/>
      </c>
      <c r="G279" s="55">
        <f>IF($B279=$B278,$G278,0)+$F279</f>
        <v/>
      </c>
      <c r="H279" s="55">
        <f>$H278+$F279</f>
        <v/>
      </c>
      <c r="I279" s="55">
        <f>SUMIFS(tblMovement[Ore_oz],tblMovement[Date],$A279,tblMovement[Source_Type],"Pit")</f>
        <v/>
      </c>
      <c r="J279" s="55">
        <f>IF($B279=$B278,$J278,0)+$I279</f>
        <v/>
      </c>
      <c r="K279" s="55">
        <f>$K278+$I279</f>
        <v/>
      </c>
      <c r="L279" s="56">
        <f>IFERROR(IF(($F279)&gt;0,($I279*cfg_TroyOz)/($F279),""),"")</f>
        <v/>
      </c>
      <c r="M279" s="56">
        <f>IFERROR(IF(($G279)&gt;0,($J279*cfg_TroyOz)/($G279),""),"")</f>
        <v/>
      </c>
      <c r="N279" s="56">
        <f>IFERROR(IF(($H279)&gt;0,($K279*cfg_TroyOz)/($H279),""),"")</f>
        <v/>
      </c>
      <c r="O279" s="55">
        <f>SUMIFS(tblMovement[Tonnes_t],tblMovement[Date],$A279,tblMovement[Is_Ore],0,tblMovement[Source_Type],"Pit")</f>
        <v/>
      </c>
      <c r="P279" s="55">
        <f>IF($B279=$B278,$P278,0)+$O279</f>
        <v/>
      </c>
      <c r="Q279" s="55">
        <f>$Q278+$O279</f>
        <v/>
      </c>
      <c r="R279" s="55">
        <f>$F279+$O279</f>
        <v/>
      </c>
      <c r="S279" s="55">
        <f>IF($B279=$B278,$S278,0)+$R279</f>
        <v/>
      </c>
      <c r="T279" s="55">
        <f>$T278+$R279</f>
        <v/>
      </c>
      <c r="U279" s="56">
        <f>IFERROR(IF(($F279)&gt;0,($O279)/($F279),""),"")</f>
        <v/>
      </c>
      <c r="V279" s="56">
        <f>IFERROR(IF(($G279)&gt;0,($P279)/($G279),""),"")</f>
        <v/>
      </c>
      <c r="W279" s="56">
        <f>IFERROR(IF(($H279)&gt;0,($Q279)/($H279),""),"")</f>
        <v/>
      </c>
      <c r="X279" s="55">
        <f>SUMIFS(tblMovement[Tonnes_t],tblMovement[Date],$A279,tblMovement[Source_Type],"Stockpile")</f>
        <v/>
      </c>
      <c r="Y279" s="55">
        <f>IF($B279=$B278,$Y278,0)+$X279</f>
        <v/>
      </c>
      <c r="Z279" s="55">
        <f>$Z278+$X279</f>
        <v/>
      </c>
      <c r="AA279" s="55">
        <f>SUMIFS(tblMiningDaily[Drill_m],tblMiningDaily[Date],$A279)</f>
        <v/>
      </c>
      <c r="AB279" s="55">
        <f>IF($B279=$B278,$AB278,0)+$AA279</f>
        <v/>
      </c>
      <c r="AC279" s="55">
        <f>$AC278+$AA279</f>
        <v/>
      </c>
      <c r="AD279" s="55">
        <f>SUMIFS(tblMiningDaily[Blast_t],tblMiningDaily[Date],$A279)</f>
        <v/>
      </c>
      <c r="AE279" s="55">
        <f>IF($B279=$B278,$AE278,0)+$AD279</f>
        <v/>
      </c>
      <c r="AF279" s="55">
        <f>$AF278+$AD279</f>
        <v/>
      </c>
      <c r="AG279" s="55">
        <f>SUMIFS(tblMiningDaily[Explosives_kg],tblMiningDaily[Date],$A279)</f>
        <v/>
      </c>
      <c r="AH279" s="55">
        <f>IF($B279=$B278,$AH278,0)+$AG279</f>
        <v/>
      </c>
      <c r="AI279" s="55">
        <f>$AI278+$AG279</f>
        <v/>
      </c>
      <c r="AJ279" s="56">
        <f>IFERROR(IF(($AD279)&gt;0,($AG279)/($AD279),""),"")</f>
        <v/>
      </c>
      <c r="AK279" s="56">
        <f>IFERROR(IF(($AE279)&gt;0,($AH279)/($AE279),""),"")</f>
        <v/>
      </c>
      <c r="AL279" s="56">
        <f>IFERROR(IF(($AF279)&gt;0,($AI279)/($AF279),""),"")</f>
        <v/>
      </c>
      <c r="AM279" s="55">
        <f>SUMIFS(tblMiningDaily[Diesel_L],tblMiningDaily[Date],$A279)</f>
        <v/>
      </c>
      <c r="AN279" s="55">
        <f>IF($B279=$B278,$AN278,0)+$AM279</f>
        <v/>
      </c>
      <c r="AO279" s="55">
        <f>$AO278+$AM279</f>
        <v/>
      </c>
      <c r="AP279" s="55">
        <f>SUMIFS(tblMiningDaily[Dewatering_m3],tblMiningDaily[Date],$A279)</f>
        <v/>
      </c>
      <c r="AQ279" s="55">
        <f>IF($B279=$B278,$AQ278,0)+$AP279</f>
        <v/>
      </c>
      <c r="AR279" s="55">
        <f>$AR278+$AP279</f>
        <v/>
      </c>
      <c r="AS279" s="57">
        <f>SUMIFS(tblFleet[Calendar_h],tblFleet[Date],$A279,tblFleet[Equipment_Class],"Excavator")</f>
        <v/>
      </c>
      <c r="AT279" s="57">
        <f>IF($B279=$B278,$AT278,0)+$AS279</f>
        <v/>
      </c>
      <c r="AU279" s="57">
        <f>$AU278+$AS279</f>
        <v/>
      </c>
      <c r="AV279" s="57">
        <f>SUMIFS(tblFleet[Available_h],tblFleet[Date],$A279,tblFleet[Equipment_Class],"Excavator")</f>
        <v/>
      </c>
      <c r="AW279" s="57">
        <f>IF($B279=$B278,$AW278,0)+$AV279</f>
        <v/>
      </c>
      <c r="AX279" s="57">
        <f>$AX278+$AV279</f>
        <v/>
      </c>
      <c r="AY279" s="57">
        <f>SUMIFS(tblFleet[Operating_h],tblFleet[Date],$A279,tblFleet[Equipment_Class],"Excavator")</f>
        <v/>
      </c>
      <c r="AZ279" s="57">
        <f>IF($B279=$B278,$AZ278,0)+$AY279</f>
        <v/>
      </c>
      <c r="BA279" s="57">
        <f>$BA278+$AY279</f>
        <v/>
      </c>
      <c r="BB279" s="67">
        <f>IFERROR(IF(($AS279)&gt;0,($AV279)/($AS279),""),"")</f>
        <v/>
      </c>
      <c r="BC279" s="67">
        <f>IFERROR(IF(($AT279)&gt;0,($AW279)/($AT279),""),"")</f>
        <v/>
      </c>
      <c r="BD279" s="67">
        <f>IFERROR(IF(($AU279)&gt;0,($AX279)/($AU279),""),"")</f>
        <v/>
      </c>
      <c r="BE279" s="67">
        <f>IFERROR(IF(($AV279)&gt;0,($AY279)/($AV279),""),"")</f>
        <v/>
      </c>
      <c r="BF279" s="67">
        <f>IFERROR(IF(($AW279)&gt;0,($AZ279)/($AW279),""),"")</f>
        <v/>
      </c>
      <c r="BG279" s="67">
        <f>IFERROR(IF(($AX279)&gt;0,($BA279)/($AX279),""),"")</f>
        <v/>
      </c>
      <c r="BH279" s="57">
        <f>SUMIFS(tblFleet[Calendar_h],tblFleet[Date],$A279,tblFleet[Equipment_Class],"Haul Truck")</f>
        <v/>
      </c>
      <c r="BI279" s="57">
        <f>IF($B279=$B278,$BI278,0)+$BH279</f>
        <v/>
      </c>
      <c r="BJ279" s="57">
        <f>$BJ278+$BH279</f>
        <v/>
      </c>
      <c r="BK279" s="57">
        <f>SUMIFS(tblFleet[Available_h],tblFleet[Date],$A279,tblFleet[Equipment_Class],"Haul Truck")</f>
        <v/>
      </c>
      <c r="BL279" s="57">
        <f>IF($B279=$B278,$BL278,0)+$BK279</f>
        <v/>
      </c>
      <c r="BM279" s="57">
        <f>$BM278+$BK279</f>
        <v/>
      </c>
      <c r="BN279" s="57">
        <f>SUMIFS(tblFleet[Operating_h],tblFleet[Date],$A279,tblFleet[Equipment_Class],"Haul Truck")</f>
        <v/>
      </c>
      <c r="BO279" s="57">
        <f>IF($B279=$B278,$BO278,0)+$BN279</f>
        <v/>
      </c>
      <c r="BP279" s="57">
        <f>$BP278+$BN279</f>
        <v/>
      </c>
      <c r="BQ279" s="67">
        <f>IFERROR(IF(($BH279)&gt;0,($BK279)/($BH279),""),"")</f>
        <v/>
      </c>
      <c r="BR279" s="67">
        <f>IFERROR(IF(($BI279)&gt;0,($BL279)/($BI279),""),"")</f>
        <v/>
      </c>
      <c r="BS279" s="67">
        <f>IFERROR(IF(($BJ279)&gt;0,($BM279)/($BJ279),""),"")</f>
        <v/>
      </c>
      <c r="BT279" s="67">
        <f>IFERROR(IF(($BK279)&gt;0,($BN279)/($BK279),""),"")</f>
        <v/>
      </c>
      <c r="BU279" s="67">
        <f>IFERROR(IF(($BL279)&gt;0,($BO279)/($BL279),""),"")</f>
        <v/>
      </c>
      <c r="BV279" s="67">
        <f>IFERROR(IF(($BM279)&gt;0,($BP279)/($BM279),""),"")</f>
        <v/>
      </c>
      <c r="BW279" s="55">
        <f>SUMIFS(tblPlant[Crushed_t],tblPlant[Date],$A279)</f>
        <v/>
      </c>
      <c r="BX279" s="55">
        <f>IF($B279=$B278,$BX278,0)+$BW279</f>
        <v/>
      </c>
      <c r="BY279" s="55">
        <f>$BY278+$BW279</f>
        <v/>
      </c>
      <c r="BZ279" s="55">
        <f>SUMIFS(tblPlant[Milled_t],tblPlant[Date],$A279)</f>
        <v/>
      </c>
      <c r="CA279" s="55">
        <f>IF($B279=$B278,$CA278,0)+$BZ279</f>
        <v/>
      </c>
      <c r="CB279" s="55">
        <f>$CB278+$BZ279</f>
        <v/>
      </c>
      <c r="CC279" s="55">
        <f>SUMIFS(tblPlant[Feed_oz],tblPlant[Date],$A279)</f>
        <v/>
      </c>
      <c r="CD279" s="55">
        <f>IF($B279=$B278,$CD278,0)+$CC279</f>
        <v/>
      </c>
      <c r="CE279" s="55">
        <f>$CE278+$CC279</f>
        <v/>
      </c>
      <c r="CF279" s="55">
        <f>SUMIFS(tblPlant[Tails_oz],tblPlant[Date],$A279)</f>
        <v/>
      </c>
      <c r="CG279" s="55">
        <f>IF($B279=$B278,$CG278,0)+$CF279</f>
        <v/>
      </c>
      <c r="CH279" s="55">
        <f>$CH278+$CF279</f>
        <v/>
      </c>
      <c r="CI279" s="55">
        <f>SUMIFS(tblPlant[Recovered_oz],tblPlant[Date],$A279)</f>
        <v/>
      </c>
      <c r="CJ279" s="55">
        <f>IF($B279=$B278,$CJ278,0)+$CI279</f>
        <v/>
      </c>
      <c r="CK279" s="55">
        <f>$CK278+$CI279</f>
        <v/>
      </c>
      <c r="CL279" s="56">
        <f>IFERROR(IF(($BZ279)&gt;0,($CC279*cfg_TroyOz)/($BZ279),""),"")</f>
        <v/>
      </c>
      <c r="CM279" s="56">
        <f>IFERROR(IF(($CA279)&gt;0,($CD279*cfg_TroyOz)/($CA279),""),"")</f>
        <v/>
      </c>
      <c r="CN279" s="56">
        <f>IFERROR(IF(($CB279)&gt;0,($CE279*cfg_TroyOz)/($CB279),""),"")</f>
        <v/>
      </c>
      <c r="CO279" s="56">
        <f>IFERROR(IF(($BZ279)&gt;0,($CF279*cfg_TroyOz)/($BZ279),""),"")</f>
        <v/>
      </c>
      <c r="CP279" s="56">
        <f>IFERROR(IF(($CA279)&gt;0,($CG279*cfg_TroyOz)/($CA279),""),"")</f>
        <v/>
      </c>
      <c r="CQ279" s="56">
        <f>IFERROR(IF(($CB279)&gt;0,($CH279*cfg_TroyOz)/($CB279),""),"")</f>
        <v/>
      </c>
      <c r="CR279" s="67">
        <f>IFERROR(IF(($CC279)&gt;0,($CI279)/($CC279),""),"")</f>
        <v/>
      </c>
      <c r="CS279" s="67">
        <f>IFERROR(IF(($CD279)&gt;0,($CJ279)/($CD279),""),"")</f>
        <v/>
      </c>
      <c r="CT279" s="67">
        <f>IFERROR(IF(($CE279)&gt;0,($CK279)/($CE279),""),"")</f>
        <v/>
      </c>
      <c r="CU279" s="55">
        <f>SUMIFS(tblPlant[Gravity_Gold_oz],tblPlant[Date],$A279)</f>
        <v/>
      </c>
      <c r="CV279" s="55">
        <f>IF($B279=$B278,$CV278,0)+$CU279</f>
        <v/>
      </c>
      <c r="CW279" s="55">
        <f>$CW278+$CU279</f>
        <v/>
      </c>
      <c r="CX279" s="55">
        <f>SUMIFS(tblPlant[Gold_Poured_oz],tblPlant[Date],$A279)</f>
        <v/>
      </c>
      <c r="CY279" s="55">
        <f>IF($B279=$B278,$CY278,0)+$CX279</f>
        <v/>
      </c>
      <c r="CZ279" s="55">
        <f>$CZ278+$CX279</f>
        <v/>
      </c>
      <c r="DA279" s="57">
        <f>SUMIFS(tblPlant[Mill_Run_h],tblPlant[Date],$A279)</f>
        <v/>
      </c>
      <c r="DB279" s="57">
        <f>IF($B279=$B278,$DB278,0)+$DA279</f>
        <v/>
      </c>
      <c r="DC279" s="57">
        <f>$DC278+$DA279</f>
        <v/>
      </c>
      <c r="DD279" s="57">
        <f>SUMIFS(tblPlant[Mill_Planned_Maint_h],tblPlant[Date],$A279)</f>
        <v/>
      </c>
      <c r="DE279" s="57">
        <f>IF($B279=$B278,$DE278,0)+$DD279</f>
        <v/>
      </c>
      <c r="DF279" s="57">
        <f>$DF278+$DD279</f>
        <v/>
      </c>
      <c r="DG279" s="57">
        <f>SUMIFS(tblPlant[Mill_Unplanned_Down_h],tblPlant[Date],$A279)</f>
        <v/>
      </c>
      <c r="DH279" s="57">
        <f>IF($B279=$B278,$DH278,0)+$DG279</f>
        <v/>
      </c>
      <c r="DI279" s="57">
        <f>$DI278+$DG279</f>
        <v/>
      </c>
      <c r="DJ279" s="57">
        <f>COUNTIFS(tblPlant[Date],$A279,tblPlant[Mill_Run_h],"&lt;&gt;")*24</f>
        <v/>
      </c>
      <c r="DK279" s="57">
        <f>IF($B279=$B278,$DK278,0)+$DJ279</f>
        <v/>
      </c>
      <c r="DL279" s="57">
        <f>$DL278+$DJ279</f>
        <v/>
      </c>
      <c r="DM279" s="57">
        <f>SUMIFS(tblPlant[Crusher_Run_h],tblPlant[Date],$A279)</f>
        <v/>
      </c>
      <c r="DN279" s="57">
        <f>IF($B279=$B278,$DN278,0)+$DM279</f>
        <v/>
      </c>
      <c r="DO279" s="57">
        <f>$DO278+$DM279</f>
        <v/>
      </c>
      <c r="DP279" s="55">
        <f>IFERROR(IF(($DA279)&gt;0,($BZ279)/($DA279),""),"")</f>
        <v/>
      </c>
      <c r="DQ279" s="55">
        <f>IFERROR(IF(($DB279)&gt;0,($CA279)/($DB279),""),"")</f>
        <v/>
      </c>
      <c r="DR279" s="55">
        <f>IFERROR(IF(($DC279)&gt;0,($CB279)/($DC279),""),"")</f>
        <v/>
      </c>
      <c r="DS279" s="67">
        <f>IFERROR(IF(($DJ279)&gt;0,($DJ279-$DD279-$DG279)/($DJ279),""),"")</f>
        <v/>
      </c>
      <c r="DT279" s="67">
        <f>IFERROR(IF(($DK279)&gt;0,($DK279-$DE279-$DH279)/($DK279),""),"")</f>
        <v/>
      </c>
      <c r="DU279" s="67">
        <f>IFERROR(IF(($DL279)&gt;0,($DL279-$DF279-$DI279)/($DL279),""),"")</f>
        <v/>
      </c>
      <c r="DV279" s="67">
        <f>IFERROR(IF(($DJ279-$DD279-$DG279)&gt;0,($DA279)/($DJ279-$DD279-$DG279),""),"")</f>
        <v/>
      </c>
      <c r="DW279" s="67">
        <f>IFERROR(IF(($DK279-$DE279-$DH279)&gt;0,($DB279)/($DK279-$DE279-$DH279),""),"")</f>
        <v/>
      </c>
      <c r="DX279" s="67">
        <f>IFERROR(IF(($DL279-$DF279-$DI279)&gt;0,($DC279)/($DL279-$DF279-$DI279),""),"")</f>
        <v/>
      </c>
      <c r="DY279" s="55">
        <f>SUMIFS(tblPlant[Cyanide_kg],tblPlant[Date],$A279)</f>
        <v/>
      </c>
      <c r="DZ279" s="55">
        <f>IF($B279=$B278,$DZ278,0)+$DY279</f>
        <v/>
      </c>
      <c r="EA279" s="55">
        <f>$EA278+$DY279</f>
        <v/>
      </c>
      <c r="EB279" s="55">
        <f>SUMIFS(tblPlant[Lime_kg],tblPlant[Date],$A279)</f>
        <v/>
      </c>
      <c r="EC279" s="55">
        <f>IF($B279=$B278,$EC278,0)+$EB279</f>
        <v/>
      </c>
      <c r="ED279" s="55">
        <f>$ED278+$EB279</f>
        <v/>
      </c>
      <c r="EE279" s="55">
        <f>SUMIFS(tblPlant[Grinding_Media_kg],tblPlant[Date],$A279)</f>
        <v/>
      </c>
      <c r="EF279" s="55">
        <f>IF($B279=$B278,$EF278,0)+$EE279</f>
        <v/>
      </c>
      <c r="EG279" s="55">
        <f>$EG278+$EE279</f>
        <v/>
      </c>
      <c r="EH279" s="55">
        <f>SUMIFS(tblPlant[Power_kWh],tblPlant[Date],$A279)</f>
        <v/>
      </c>
      <c r="EI279" s="55">
        <f>IF($B279=$B278,$EI278,0)+$EH279</f>
        <v/>
      </c>
      <c r="EJ279" s="55">
        <f>$EJ278+$EH279</f>
        <v/>
      </c>
      <c r="EK279" s="55">
        <f>SUMIFS(tblPlant[Raw_Water_m3],tblPlant[Date],$A279)</f>
        <v/>
      </c>
      <c r="EL279" s="55">
        <f>IF($B279=$B278,$EL278,0)+$EK279</f>
        <v/>
      </c>
      <c r="EM279" s="55">
        <f>$EM278+$EK279</f>
        <v/>
      </c>
      <c r="EN279" s="56">
        <f>IFERROR(IF(($BZ279)&gt;0,($DY279)/($BZ279),""),"")</f>
        <v/>
      </c>
      <c r="EO279" s="56">
        <f>IFERROR(IF(($CA279)&gt;0,($DZ279)/($CA279),""),"")</f>
        <v/>
      </c>
      <c r="EP279" s="56">
        <f>IFERROR(IF(($CB279)&gt;0,($EA279)/($CB279),""),"")</f>
        <v/>
      </c>
      <c r="EQ279" s="56">
        <f>IFERROR(IF(($BZ279)&gt;0,($EB279)/($BZ279),""),"")</f>
        <v/>
      </c>
      <c r="ER279" s="56">
        <f>IFERROR(IF(($CA279)&gt;0,($EC279)/($CA279),""),"")</f>
        <v/>
      </c>
      <c r="ES279" s="56">
        <f>IFERROR(IF(($CB279)&gt;0,($ED279)/($CB279),""),"")</f>
        <v/>
      </c>
      <c r="ET279" s="56">
        <f>IFERROR(IF(($BZ279)&gt;0,($EE279)/($BZ279),""),"")</f>
        <v/>
      </c>
      <c r="EU279" s="56">
        <f>IFERROR(IF(($CA279)&gt;0,($EF279)/($CA279),""),"")</f>
        <v/>
      </c>
      <c r="EV279" s="56">
        <f>IFERROR(IF(($CB279)&gt;0,($EG279)/($CB279),""),"")</f>
        <v/>
      </c>
      <c r="EW279" s="76">
        <f>IFERROR(IF(($BZ279)&gt;0,($EH279)/($BZ279),""),"")</f>
        <v/>
      </c>
      <c r="EX279" s="76">
        <f>IFERROR(IF(($CA279)&gt;0,($EI279)/($CA279),""),"")</f>
        <v/>
      </c>
      <c r="EY279" s="76">
        <f>IFERROR(IF(($CB279)&gt;0,($EJ279)/($CB279),""),"")</f>
        <v/>
      </c>
      <c r="EZ279" s="56">
        <f>IFERROR(IF(($BZ279)&gt;0,($EK279)/($BZ279),""),"")</f>
        <v/>
      </c>
      <c r="FA279" s="56">
        <f>IFERROR(IF(($CA279)&gt;0,($EL279)/($CA279),""),"")</f>
        <v/>
      </c>
      <c r="FB279" s="56">
        <f>IFERROR(IF(($CB279)&gt;0,($EM279)/($CB279),""),"")</f>
        <v/>
      </c>
      <c r="FC279" s="55">
        <f>IF(SUMIFS(tblPlant[GIC_oz],tblPlant[Date],$A279)&gt;0,SUMIFS(tblPlant[GIC_oz],tblPlant[Date],$A279),"")</f>
        <v/>
      </c>
      <c r="FD279" s="55">
        <f>SUMIFS(tblGold[Gold_oz],tblGold[Date],$A279,tblGold[Type],"Shipment")</f>
        <v/>
      </c>
      <c r="FE279" s="55">
        <f>IF($B279=$B278,$FE278,0)+$FD279</f>
        <v/>
      </c>
      <c r="FF279" s="55">
        <f>$FF278+$FD279</f>
        <v/>
      </c>
      <c r="FG279" s="55">
        <f>SUMIFS(tblGold[Gold_oz],tblGold[Date],$A279,tblGold[Type],"Sale")</f>
        <v/>
      </c>
      <c r="FH279" s="55">
        <f>IF($B279=$B278,$FH278,0)+$FG279</f>
        <v/>
      </c>
      <c r="FI279" s="55">
        <f>$FI278+$FG279</f>
        <v/>
      </c>
      <c r="FJ279" s="55">
        <f>SUMIFS(tblGold[Dore_kg],tblGold[Date],$A279,tblGold[Type],"Shipment")</f>
        <v/>
      </c>
      <c r="FK279" s="55">
        <f>IF($B279=$B278,$FK278,0)+$FJ279</f>
        <v/>
      </c>
      <c r="FL279" s="55">
        <f>$FL278+$FJ279</f>
        <v/>
      </c>
      <c r="FM279" s="57">
        <f>SUMIFS(tblSafety[Hours_Total],tblSafety[Date],$A279)</f>
        <v/>
      </c>
      <c r="FN279" s="57">
        <f>IF($B279=$B278,$FN278,0)+$FM279</f>
        <v/>
      </c>
      <c r="FO279" s="57">
        <f>$FO278+$FM279</f>
        <v/>
      </c>
      <c r="FP279" s="62">
        <f>SUMIFS(tblSafety[Fatality],tblSafety[Date],$A279)</f>
        <v/>
      </c>
      <c r="FQ279" s="62">
        <f>IF($B279=$B278,$FQ278,0)+$FP279</f>
        <v/>
      </c>
      <c r="FR279" s="62">
        <f>$FR278+$FP279</f>
        <v/>
      </c>
      <c r="FS279" s="62">
        <f>SUMIFS(tblSafety[LTI],tblSafety[Date],$A279)</f>
        <v/>
      </c>
      <c r="FT279" s="62">
        <f>IF($B279=$B278,$FT278,0)+$FS279</f>
        <v/>
      </c>
      <c r="FU279" s="62">
        <f>$FU278+$FS279</f>
        <v/>
      </c>
      <c r="FV279" s="62">
        <f>SUMIFS(tblSafety[RWI],tblSafety[Date],$A279)</f>
        <v/>
      </c>
      <c r="FW279" s="62">
        <f>IF($B279=$B278,$FW278,0)+$FV279</f>
        <v/>
      </c>
      <c r="FX279" s="62">
        <f>$FX278+$FV279</f>
        <v/>
      </c>
      <c r="FY279" s="62">
        <f>SUMIFS(tblSafety[MTI],tblSafety[Date],$A279)</f>
        <v/>
      </c>
      <c r="FZ279" s="62">
        <f>IF($B279=$B278,$FZ278,0)+$FY279</f>
        <v/>
      </c>
      <c r="GA279" s="62">
        <f>$GA278+$FY279</f>
        <v/>
      </c>
      <c r="GB279" s="62">
        <f>SUMIFS(tblSafety[FAI],tblSafety[Date],$A279)</f>
        <v/>
      </c>
      <c r="GC279" s="62">
        <f>IF($B279=$B278,$GC278,0)+$GB279</f>
        <v/>
      </c>
      <c r="GD279" s="62">
        <f>$GD278+$GB279</f>
        <v/>
      </c>
      <c r="GE279" s="62">
        <f>SUMIFS(tblSafety[Recordables],tblSafety[Date],$A279)</f>
        <v/>
      </c>
      <c r="GF279" s="62">
        <f>IF($B279=$B278,$GF278,0)+$GE279</f>
        <v/>
      </c>
      <c r="GG279" s="62">
        <f>$GG278+$GE279</f>
        <v/>
      </c>
      <c r="GH279" s="62">
        <f>SUMIFS(tblSafety[Near_Miss],tblSafety[Date],$A279)</f>
        <v/>
      </c>
      <c r="GI279" s="62">
        <f>IF($B279=$B278,$GI278,0)+$GH279</f>
        <v/>
      </c>
      <c r="GJ279" s="62">
        <f>$GJ278+$GH279</f>
        <v/>
      </c>
      <c r="GK279" s="62">
        <f>SUMIFS(tblSafety[Hazard_Reports],tblSafety[Date],$A279)</f>
        <v/>
      </c>
      <c r="GL279" s="62">
        <f>IF($B279=$B278,$GL278,0)+$GK279</f>
        <v/>
      </c>
      <c r="GM279" s="62">
        <f>$GM278+$GK279</f>
        <v/>
      </c>
      <c r="GN279" s="62">
        <f>SUMIFS(tblSafety[HPI],tblSafety[Date],$A279)</f>
        <v/>
      </c>
      <c r="GO279" s="62">
        <f>IF($B279=$B278,$GO278,0)+$GN279</f>
        <v/>
      </c>
      <c r="GP279" s="62">
        <f>$GP278+$GN279</f>
        <v/>
      </c>
      <c r="GQ279" s="62">
        <f>SUMIFS(tblSafety[Env_Incidents],tblSafety[Date],$A279)</f>
        <v/>
      </c>
      <c r="GR279" s="62">
        <f>IF($B279=$B278,$GR278,0)+$GQ279</f>
        <v/>
      </c>
      <c r="GS279" s="62">
        <f>$GS278+$GQ279</f>
        <v/>
      </c>
      <c r="GT279" s="62">
        <f>SUMIFS(tblSafety[Community_Incidents],tblSafety[Date],$A279)</f>
        <v/>
      </c>
      <c r="GU279" s="62">
        <f>IF($B279=$B278,$GU278,0)+$GT279</f>
        <v/>
      </c>
      <c r="GV279" s="62">
        <f>$GV278+$GT279</f>
        <v/>
      </c>
      <c r="GW279" s="62">
        <f>SUMIFS(tblSafety[Vehicle_Incidents],tblSafety[Date],$A279)</f>
        <v/>
      </c>
      <c r="GX279" s="62">
        <f>IF($B279=$B278,$GX278,0)+$GW279</f>
        <v/>
      </c>
      <c r="GY279" s="62">
        <f>$GY278+$GW279</f>
        <v/>
      </c>
      <c r="GZ279" s="62">
        <f>SUMIFS(tblSafety[Toolbox_Talks],tblSafety[Date],$A279)</f>
        <v/>
      </c>
      <c r="HA279" s="62">
        <f>IF($B279=$B278,$HA278,0)+$GZ279</f>
        <v/>
      </c>
      <c r="HB279" s="62">
        <f>$HB278+$GZ279</f>
        <v/>
      </c>
      <c r="HC279" s="62">
        <f>SUMIFS(tblSafety[Inspections],tblSafety[Date],$A279)</f>
        <v/>
      </c>
      <c r="HD279" s="62">
        <f>IF($B279=$B278,$HD278,0)+$HC279</f>
        <v/>
      </c>
      <c r="HE279" s="62">
        <f>$HE278+$HC279</f>
        <v/>
      </c>
      <c r="HF279" s="56">
        <f>IFERROR((SUMIFS(tblSafety[Recordables],tblSafety[Date],"&gt;="&amp;EDATE($E279,-12),tblSafety[Date],"&lt;="&amp;$A279)+SUMIFS(tblSafetyHistory[Recordables],tblSafetyHistory[Month],"&gt;="&amp;EDATE($E279,-12),tblSafetyHistory[Month],"&lt;"&amp;cfg_YearStart))/(SUMIFS(tblSafety[Hours_Total],tblSafety[Date],"&gt;="&amp;EDATE($E279,-12),tblSafety[Date],"&lt;="&amp;$A279)+SUMIFS(tblSafetyHistory[Hours_Total],tblSafetyHistory[Month],"&gt;="&amp;EDATE($E279,-12),tblSafetyHistory[Month],"&lt;"&amp;cfg_YearStart))*1000000,"")</f>
        <v/>
      </c>
      <c r="HG279" s="56">
        <f>IFERROR((SUMIFS(tblSafety[LTI],tblSafety[Date],"&gt;="&amp;EDATE($E279,-12),tblSafety[Date],"&lt;="&amp;$A279)+SUMIFS(tblSafetyHistory[LTI],tblSafetyHistory[Month],"&gt;="&amp;EDATE($E279,-12),tblSafetyHistory[Month],"&lt;"&amp;cfg_YearStart))/(SUMIFS(tblSafety[Hours_Total],tblSafety[Date],"&gt;="&amp;EDATE($E279,-12),tblSafety[Date],"&lt;="&amp;$A279)+SUMIFS(tblSafetyHistory[Hours_Total],tblSafetyHistory[Month],"&gt;="&amp;EDATE($E279,-12),tblSafetyHistory[Month],"&lt;"&amp;cfg_YearStart))*1000000,"")</f>
        <v/>
      </c>
      <c r="HH279" s="62">
        <f>IF(MAX(N(cfg_PriorLTIDate),_xlfn.MAXIFS(tblSafety[Date],tblSafety[LTI],"&gt;0",tblSafety[Date],"&lt;="&amp;$A279))=0,"",$A279-MAX(N(cfg_PriorLTIDate),_xlfn.MAXIFS(tblSafety[Date],tblSafety[LTI],"&gt;0",tblSafety[Date],"&lt;="&amp;$A279)))</f>
        <v/>
      </c>
      <c r="HI279" s="55">
        <f>SUMIFS(tblBudget[Ore_Mined_t],tblBudget[Month],$E279)</f>
        <v/>
      </c>
      <c r="HJ279" s="55">
        <f>$HI279*$C279/$D279</f>
        <v/>
      </c>
      <c r="HK279" s="55">
        <f>SUMIFS(tblBudget[Ore_Mined_t],tblBudget[Month],"&lt;"&amp;$E279)+$HJ279</f>
        <v/>
      </c>
      <c r="HL279" s="55">
        <f>SUMIFS(tblBudget[Ore_oz],tblBudget[Month],$E279)</f>
        <v/>
      </c>
      <c r="HM279" s="55">
        <f>$HL279*$C279/$D279</f>
        <v/>
      </c>
      <c r="HN279" s="55">
        <f>SUMIFS(tblBudget[Ore_oz],tblBudget[Month],"&lt;"&amp;$E279)+$HM279</f>
        <v/>
      </c>
      <c r="HO279" s="56">
        <f>IFERROR(IF(($HI279)&gt;0,($HL279*cfg_TroyOz)/($HI279),""),"")</f>
        <v/>
      </c>
      <c r="HP279" s="56">
        <f>IFERROR(IF(($HJ279)&gt;0,($HM279*cfg_TroyOz)/($HJ279),""),"")</f>
        <v/>
      </c>
      <c r="HQ279" s="56">
        <f>IFERROR(IF(($HK279)&gt;0,($HN279*cfg_TroyOz)/($HK279),""),"")</f>
        <v/>
      </c>
      <c r="HR279" s="55">
        <f>SUMIFS(tblBudget[Waste_t],tblBudget[Month],$E279)</f>
        <v/>
      </c>
      <c r="HS279" s="55">
        <f>$HR279*$C279/$D279</f>
        <v/>
      </c>
      <c r="HT279" s="55">
        <f>SUMIFS(tblBudget[Waste_t],tblBudget[Month],"&lt;"&amp;$E279)+$HS279</f>
        <v/>
      </c>
      <c r="HU279" s="55">
        <f>SUMIFS(tblBudget[TMM_t],tblBudget[Month],$E279)</f>
        <v/>
      </c>
      <c r="HV279" s="55">
        <f>$HU279*$C279/$D279</f>
        <v/>
      </c>
      <c r="HW279" s="55">
        <f>SUMIFS(tblBudget[TMM_t],tblBudget[Month],"&lt;"&amp;$E279)+$HV279</f>
        <v/>
      </c>
      <c r="HX279" s="56">
        <f>IFERROR(IF(($HI279)&gt;0,($HR279)/($HI279),""),"")</f>
        <v/>
      </c>
      <c r="HY279" s="56">
        <f>IFERROR(IF(($HJ279)&gt;0,($HS279)/($HJ279),""),"")</f>
        <v/>
      </c>
      <c r="HZ279" s="56">
        <f>IFERROR(IF(($HK279)&gt;0,($HT279)/($HK279),""),"")</f>
        <v/>
      </c>
      <c r="IA279" s="55">
        <f>SUMIFS(tblBudget[Drill_m],tblBudget[Month],$E279)</f>
        <v/>
      </c>
      <c r="IB279" s="55">
        <f>$IA279*$C279/$D279</f>
        <v/>
      </c>
      <c r="IC279" s="55">
        <f>SUMIFS(tblBudget[Drill_m],tblBudget[Month],"&lt;"&amp;$E279)+$IB279</f>
        <v/>
      </c>
      <c r="ID279" s="55">
        <f>SUMIFS(tblBudget[Diesel_L],tblBudget[Month],$E279)</f>
        <v/>
      </c>
      <c r="IE279" s="55">
        <f>$ID279*$C279/$D279</f>
        <v/>
      </c>
      <c r="IF279" s="55">
        <f>SUMIFS(tblBudget[Diesel_L],tblBudget[Month],"&lt;"&amp;$E279)+$IE279</f>
        <v/>
      </c>
      <c r="IG279" s="55">
        <f>SUMIFS(tblBudget[Milled_t],tblBudget[Month],$E279)</f>
        <v/>
      </c>
      <c r="IH279" s="55">
        <f>$IG279*$C279/$D279</f>
        <v/>
      </c>
      <c r="II279" s="55">
        <f>SUMIFS(tblBudget[Milled_t],tblBudget[Month],"&lt;"&amp;$E279)+$IH279</f>
        <v/>
      </c>
      <c r="IJ279" s="55">
        <f>SUMIFS(tblBudget[Feed_oz],tblBudget[Month],$E279)</f>
        <v/>
      </c>
      <c r="IK279" s="55">
        <f>$IJ279*$C279/$D279</f>
        <v/>
      </c>
      <c r="IL279" s="55">
        <f>SUMIFS(tblBudget[Feed_oz],tblBudget[Month],"&lt;"&amp;$E279)+$IK279</f>
        <v/>
      </c>
      <c r="IM279" s="55">
        <f>SUMIFS(tblBudget[Recovered_oz],tblBudget[Month],$E279)</f>
        <v/>
      </c>
      <c r="IN279" s="55">
        <f>$IM279*$C279/$D279</f>
        <v/>
      </c>
      <c r="IO279" s="55">
        <f>SUMIFS(tblBudget[Recovered_oz],tblBudget[Month],"&lt;"&amp;$E279)+$IN279</f>
        <v/>
      </c>
      <c r="IP279" s="56">
        <f>IFERROR(IF(($IG279)&gt;0,($IJ279*cfg_TroyOz)/($IG279),""),"")</f>
        <v/>
      </c>
      <c r="IQ279" s="56">
        <f>IFERROR(IF(($IH279)&gt;0,($IK279*cfg_TroyOz)/($IH279),""),"")</f>
        <v/>
      </c>
      <c r="IR279" s="56">
        <f>IFERROR(IF(($II279)&gt;0,($IL279*cfg_TroyOz)/($II279),""),"")</f>
        <v/>
      </c>
      <c r="IS279" s="67">
        <f>IFERROR(IF(($IJ279)&gt;0,($IM279)/($IJ279),""),"")</f>
        <v/>
      </c>
      <c r="IT279" s="67">
        <f>IFERROR(IF(($IK279)&gt;0,($IN279)/($IK279),""),"")</f>
        <v/>
      </c>
      <c r="IU279" s="67">
        <f>IFERROR(IF(($IL279)&gt;0,($IO279)/($IL279),""),"")</f>
        <v/>
      </c>
      <c r="IV279" s="55">
        <f>SUMIFS(tblBudget[Gold_Poured_oz],tblBudget[Month],$E279)</f>
        <v/>
      </c>
      <c r="IW279" s="55">
        <f>$IV279*$C279/$D279</f>
        <v/>
      </c>
      <c r="IX279" s="55">
        <f>SUMIFS(tblBudget[Gold_Poured_oz],tblBudget[Month],"&lt;"&amp;$E279)+$IW279</f>
        <v/>
      </c>
      <c r="IY279" s="57">
        <f>SUMIFS(tblBudget[Hours_Worked],tblBudget[Month],$E279)</f>
        <v/>
      </c>
      <c r="IZ279" s="57">
        <f>$IY279*$C279/$D279</f>
        <v/>
      </c>
      <c r="JA279" s="57">
        <f>SUMIFS(tblBudget[Hours_Worked],tblBudget[Month],"&lt;"&amp;$E279)+$IZ279</f>
        <v/>
      </c>
    </row>
    <row r="280">
      <c r="A280" s="54" t="n">
        <v>46301</v>
      </c>
      <c r="B280">
        <f>MONTH($A280)</f>
        <v/>
      </c>
      <c r="C280">
        <f>DAY($A280)</f>
        <v/>
      </c>
      <c r="D280">
        <f>DAY(EOMONTH($A280,0))</f>
        <v/>
      </c>
      <c r="E280" s="54">
        <f>DATE(YEAR($A280),MONTH($A280),1)</f>
        <v/>
      </c>
      <c r="F280" s="55">
        <f>SUMIFS(tblMovement[Tonnes_t],tblMovement[Date],$A280,tblMovement[Is_Ore],1,tblMovement[Source_Type],"Pit")</f>
        <v/>
      </c>
      <c r="G280" s="55">
        <f>IF($B280=$B279,$G279,0)+$F280</f>
        <v/>
      </c>
      <c r="H280" s="55">
        <f>$H279+$F280</f>
        <v/>
      </c>
      <c r="I280" s="55">
        <f>SUMIFS(tblMovement[Ore_oz],tblMovement[Date],$A280,tblMovement[Source_Type],"Pit")</f>
        <v/>
      </c>
      <c r="J280" s="55">
        <f>IF($B280=$B279,$J279,0)+$I280</f>
        <v/>
      </c>
      <c r="K280" s="55">
        <f>$K279+$I280</f>
        <v/>
      </c>
      <c r="L280" s="56">
        <f>IFERROR(IF(($F280)&gt;0,($I280*cfg_TroyOz)/($F280),""),"")</f>
        <v/>
      </c>
      <c r="M280" s="56">
        <f>IFERROR(IF(($G280)&gt;0,($J280*cfg_TroyOz)/($G280),""),"")</f>
        <v/>
      </c>
      <c r="N280" s="56">
        <f>IFERROR(IF(($H280)&gt;0,($K280*cfg_TroyOz)/($H280),""),"")</f>
        <v/>
      </c>
      <c r="O280" s="55">
        <f>SUMIFS(tblMovement[Tonnes_t],tblMovement[Date],$A280,tblMovement[Is_Ore],0,tblMovement[Source_Type],"Pit")</f>
        <v/>
      </c>
      <c r="P280" s="55">
        <f>IF($B280=$B279,$P279,0)+$O280</f>
        <v/>
      </c>
      <c r="Q280" s="55">
        <f>$Q279+$O280</f>
        <v/>
      </c>
      <c r="R280" s="55">
        <f>$F280+$O280</f>
        <v/>
      </c>
      <c r="S280" s="55">
        <f>IF($B280=$B279,$S279,0)+$R280</f>
        <v/>
      </c>
      <c r="T280" s="55">
        <f>$T279+$R280</f>
        <v/>
      </c>
      <c r="U280" s="56">
        <f>IFERROR(IF(($F280)&gt;0,($O280)/($F280),""),"")</f>
        <v/>
      </c>
      <c r="V280" s="56">
        <f>IFERROR(IF(($G280)&gt;0,($P280)/($G280),""),"")</f>
        <v/>
      </c>
      <c r="W280" s="56">
        <f>IFERROR(IF(($H280)&gt;0,($Q280)/($H280),""),"")</f>
        <v/>
      </c>
      <c r="X280" s="55">
        <f>SUMIFS(tblMovement[Tonnes_t],tblMovement[Date],$A280,tblMovement[Source_Type],"Stockpile")</f>
        <v/>
      </c>
      <c r="Y280" s="55">
        <f>IF($B280=$B279,$Y279,0)+$X280</f>
        <v/>
      </c>
      <c r="Z280" s="55">
        <f>$Z279+$X280</f>
        <v/>
      </c>
      <c r="AA280" s="55">
        <f>SUMIFS(tblMiningDaily[Drill_m],tblMiningDaily[Date],$A280)</f>
        <v/>
      </c>
      <c r="AB280" s="55">
        <f>IF($B280=$B279,$AB279,0)+$AA280</f>
        <v/>
      </c>
      <c r="AC280" s="55">
        <f>$AC279+$AA280</f>
        <v/>
      </c>
      <c r="AD280" s="55">
        <f>SUMIFS(tblMiningDaily[Blast_t],tblMiningDaily[Date],$A280)</f>
        <v/>
      </c>
      <c r="AE280" s="55">
        <f>IF($B280=$B279,$AE279,0)+$AD280</f>
        <v/>
      </c>
      <c r="AF280" s="55">
        <f>$AF279+$AD280</f>
        <v/>
      </c>
      <c r="AG280" s="55">
        <f>SUMIFS(tblMiningDaily[Explosives_kg],tblMiningDaily[Date],$A280)</f>
        <v/>
      </c>
      <c r="AH280" s="55">
        <f>IF($B280=$B279,$AH279,0)+$AG280</f>
        <v/>
      </c>
      <c r="AI280" s="55">
        <f>$AI279+$AG280</f>
        <v/>
      </c>
      <c r="AJ280" s="56">
        <f>IFERROR(IF(($AD280)&gt;0,($AG280)/($AD280),""),"")</f>
        <v/>
      </c>
      <c r="AK280" s="56">
        <f>IFERROR(IF(($AE280)&gt;0,($AH280)/($AE280),""),"")</f>
        <v/>
      </c>
      <c r="AL280" s="56">
        <f>IFERROR(IF(($AF280)&gt;0,($AI280)/($AF280),""),"")</f>
        <v/>
      </c>
      <c r="AM280" s="55">
        <f>SUMIFS(tblMiningDaily[Diesel_L],tblMiningDaily[Date],$A280)</f>
        <v/>
      </c>
      <c r="AN280" s="55">
        <f>IF($B280=$B279,$AN279,0)+$AM280</f>
        <v/>
      </c>
      <c r="AO280" s="55">
        <f>$AO279+$AM280</f>
        <v/>
      </c>
      <c r="AP280" s="55">
        <f>SUMIFS(tblMiningDaily[Dewatering_m3],tblMiningDaily[Date],$A280)</f>
        <v/>
      </c>
      <c r="AQ280" s="55">
        <f>IF($B280=$B279,$AQ279,0)+$AP280</f>
        <v/>
      </c>
      <c r="AR280" s="55">
        <f>$AR279+$AP280</f>
        <v/>
      </c>
      <c r="AS280" s="57">
        <f>SUMIFS(tblFleet[Calendar_h],tblFleet[Date],$A280,tblFleet[Equipment_Class],"Excavator")</f>
        <v/>
      </c>
      <c r="AT280" s="57">
        <f>IF($B280=$B279,$AT279,0)+$AS280</f>
        <v/>
      </c>
      <c r="AU280" s="57">
        <f>$AU279+$AS280</f>
        <v/>
      </c>
      <c r="AV280" s="57">
        <f>SUMIFS(tblFleet[Available_h],tblFleet[Date],$A280,tblFleet[Equipment_Class],"Excavator")</f>
        <v/>
      </c>
      <c r="AW280" s="57">
        <f>IF($B280=$B279,$AW279,0)+$AV280</f>
        <v/>
      </c>
      <c r="AX280" s="57">
        <f>$AX279+$AV280</f>
        <v/>
      </c>
      <c r="AY280" s="57">
        <f>SUMIFS(tblFleet[Operating_h],tblFleet[Date],$A280,tblFleet[Equipment_Class],"Excavator")</f>
        <v/>
      </c>
      <c r="AZ280" s="57">
        <f>IF($B280=$B279,$AZ279,0)+$AY280</f>
        <v/>
      </c>
      <c r="BA280" s="57">
        <f>$BA279+$AY280</f>
        <v/>
      </c>
      <c r="BB280" s="67">
        <f>IFERROR(IF(($AS280)&gt;0,($AV280)/($AS280),""),"")</f>
        <v/>
      </c>
      <c r="BC280" s="67">
        <f>IFERROR(IF(($AT280)&gt;0,($AW280)/($AT280),""),"")</f>
        <v/>
      </c>
      <c r="BD280" s="67">
        <f>IFERROR(IF(($AU280)&gt;0,($AX280)/($AU280),""),"")</f>
        <v/>
      </c>
      <c r="BE280" s="67">
        <f>IFERROR(IF(($AV280)&gt;0,($AY280)/($AV280),""),"")</f>
        <v/>
      </c>
      <c r="BF280" s="67">
        <f>IFERROR(IF(($AW280)&gt;0,($AZ280)/($AW280),""),"")</f>
        <v/>
      </c>
      <c r="BG280" s="67">
        <f>IFERROR(IF(($AX280)&gt;0,($BA280)/($AX280),""),"")</f>
        <v/>
      </c>
      <c r="BH280" s="57">
        <f>SUMIFS(tblFleet[Calendar_h],tblFleet[Date],$A280,tblFleet[Equipment_Class],"Haul Truck")</f>
        <v/>
      </c>
      <c r="BI280" s="57">
        <f>IF($B280=$B279,$BI279,0)+$BH280</f>
        <v/>
      </c>
      <c r="BJ280" s="57">
        <f>$BJ279+$BH280</f>
        <v/>
      </c>
      <c r="BK280" s="57">
        <f>SUMIFS(tblFleet[Available_h],tblFleet[Date],$A280,tblFleet[Equipment_Class],"Haul Truck")</f>
        <v/>
      </c>
      <c r="BL280" s="57">
        <f>IF($B280=$B279,$BL279,0)+$BK280</f>
        <v/>
      </c>
      <c r="BM280" s="57">
        <f>$BM279+$BK280</f>
        <v/>
      </c>
      <c r="BN280" s="57">
        <f>SUMIFS(tblFleet[Operating_h],tblFleet[Date],$A280,tblFleet[Equipment_Class],"Haul Truck")</f>
        <v/>
      </c>
      <c r="BO280" s="57">
        <f>IF($B280=$B279,$BO279,0)+$BN280</f>
        <v/>
      </c>
      <c r="BP280" s="57">
        <f>$BP279+$BN280</f>
        <v/>
      </c>
      <c r="BQ280" s="67">
        <f>IFERROR(IF(($BH280)&gt;0,($BK280)/($BH280),""),"")</f>
        <v/>
      </c>
      <c r="BR280" s="67">
        <f>IFERROR(IF(($BI280)&gt;0,($BL280)/($BI280),""),"")</f>
        <v/>
      </c>
      <c r="BS280" s="67">
        <f>IFERROR(IF(($BJ280)&gt;0,($BM280)/($BJ280),""),"")</f>
        <v/>
      </c>
      <c r="BT280" s="67">
        <f>IFERROR(IF(($BK280)&gt;0,($BN280)/($BK280),""),"")</f>
        <v/>
      </c>
      <c r="BU280" s="67">
        <f>IFERROR(IF(($BL280)&gt;0,($BO280)/($BL280),""),"")</f>
        <v/>
      </c>
      <c r="BV280" s="67">
        <f>IFERROR(IF(($BM280)&gt;0,($BP280)/($BM280),""),"")</f>
        <v/>
      </c>
      <c r="BW280" s="55">
        <f>SUMIFS(tblPlant[Crushed_t],tblPlant[Date],$A280)</f>
        <v/>
      </c>
      <c r="BX280" s="55">
        <f>IF($B280=$B279,$BX279,0)+$BW280</f>
        <v/>
      </c>
      <c r="BY280" s="55">
        <f>$BY279+$BW280</f>
        <v/>
      </c>
      <c r="BZ280" s="55">
        <f>SUMIFS(tblPlant[Milled_t],tblPlant[Date],$A280)</f>
        <v/>
      </c>
      <c r="CA280" s="55">
        <f>IF($B280=$B279,$CA279,0)+$BZ280</f>
        <v/>
      </c>
      <c r="CB280" s="55">
        <f>$CB279+$BZ280</f>
        <v/>
      </c>
      <c r="CC280" s="55">
        <f>SUMIFS(tblPlant[Feed_oz],tblPlant[Date],$A280)</f>
        <v/>
      </c>
      <c r="CD280" s="55">
        <f>IF($B280=$B279,$CD279,0)+$CC280</f>
        <v/>
      </c>
      <c r="CE280" s="55">
        <f>$CE279+$CC280</f>
        <v/>
      </c>
      <c r="CF280" s="55">
        <f>SUMIFS(tblPlant[Tails_oz],tblPlant[Date],$A280)</f>
        <v/>
      </c>
      <c r="CG280" s="55">
        <f>IF($B280=$B279,$CG279,0)+$CF280</f>
        <v/>
      </c>
      <c r="CH280" s="55">
        <f>$CH279+$CF280</f>
        <v/>
      </c>
      <c r="CI280" s="55">
        <f>SUMIFS(tblPlant[Recovered_oz],tblPlant[Date],$A280)</f>
        <v/>
      </c>
      <c r="CJ280" s="55">
        <f>IF($B280=$B279,$CJ279,0)+$CI280</f>
        <v/>
      </c>
      <c r="CK280" s="55">
        <f>$CK279+$CI280</f>
        <v/>
      </c>
      <c r="CL280" s="56">
        <f>IFERROR(IF(($BZ280)&gt;0,($CC280*cfg_TroyOz)/($BZ280),""),"")</f>
        <v/>
      </c>
      <c r="CM280" s="56">
        <f>IFERROR(IF(($CA280)&gt;0,($CD280*cfg_TroyOz)/($CA280),""),"")</f>
        <v/>
      </c>
      <c r="CN280" s="56">
        <f>IFERROR(IF(($CB280)&gt;0,($CE280*cfg_TroyOz)/($CB280),""),"")</f>
        <v/>
      </c>
      <c r="CO280" s="56">
        <f>IFERROR(IF(($BZ280)&gt;0,($CF280*cfg_TroyOz)/($BZ280),""),"")</f>
        <v/>
      </c>
      <c r="CP280" s="56">
        <f>IFERROR(IF(($CA280)&gt;0,($CG280*cfg_TroyOz)/($CA280),""),"")</f>
        <v/>
      </c>
      <c r="CQ280" s="56">
        <f>IFERROR(IF(($CB280)&gt;0,($CH280*cfg_TroyOz)/($CB280),""),"")</f>
        <v/>
      </c>
      <c r="CR280" s="67">
        <f>IFERROR(IF(($CC280)&gt;0,($CI280)/($CC280),""),"")</f>
        <v/>
      </c>
      <c r="CS280" s="67">
        <f>IFERROR(IF(($CD280)&gt;0,($CJ280)/($CD280),""),"")</f>
        <v/>
      </c>
      <c r="CT280" s="67">
        <f>IFERROR(IF(($CE280)&gt;0,($CK280)/($CE280),""),"")</f>
        <v/>
      </c>
      <c r="CU280" s="55">
        <f>SUMIFS(tblPlant[Gravity_Gold_oz],tblPlant[Date],$A280)</f>
        <v/>
      </c>
      <c r="CV280" s="55">
        <f>IF($B280=$B279,$CV279,0)+$CU280</f>
        <v/>
      </c>
      <c r="CW280" s="55">
        <f>$CW279+$CU280</f>
        <v/>
      </c>
      <c r="CX280" s="55">
        <f>SUMIFS(tblPlant[Gold_Poured_oz],tblPlant[Date],$A280)</f>
        <v/>
      </c>
      <c r="CY280" s="55">
        <f>IF($B280=$B279,$CY279,0)+$CX280</f>
        <v/>
      </c>
      <c r="CZ280" s="55">
        <f>$CZ279+$CX280</f>
        <v/>
      </c>
      <c r="DA280" s="57">
        <f>SUMIFS(tblPlant[Mill_Run_h],tblPlant[Date],$A280)</f>
        <v/>
      </c>
      <c r="DB280" s="57">
        <f>IF($B280=$B279,$DB279,0)+$DA280</f>
        <v/>
      </c>
      <c r="DC280" s="57">
        <f>$DC279+$DA280</f>
        <v/>
      </c>
      <c r="DD280" s="57">
        <f>SUMIFS(tblPlant[Mill_Planned_Maint_h],tblPlant[Date],$A280)</f>
        <v/>
      </c>
      <c r="DE280" s="57">
        <f>IF($B280=$B279,$DE279,0)+$DD280</f>
        <v/>
      </c>
      <c r="DF280" s="57">
        <f>$DF279+$DD280</f>
        <v/>
      </c>
      <c r="DG280" s="57">
        <f>SUMIFS(tblPlant[Mill_Unplanned_Down_h],tblPlant[Date],$A280)</f>
        <v/>
      </c>
      <c r="DH280" s="57">
        <f>IF($B280=$B279,$DH279,0)+$DG280</f>
        <v/>
      </c>
      <c r="DI280" s="57">
        <f>$DI279+$DG280</f>
        <v/>
      </c>
      <c r="DJ280" s="57">
        <f>COUNTIFS(tblPlant[Date],$A280,tblPlant[Mill_Run_h],"&lt;&gt;")*24</f>
        <v/>
      </c>
      <c r="DK280" s="57">
        <f>IF($B280=$B279,$DK279,0)+$DJ280</f>
        <v/>
      </c>
      <c r="DL280" s="57">
        <f>$DL279+$DJ280</f>
        <v/>
      </c>
      <c r="DM280" s="57">
        <f>SUMIFS(tblPlant[Crusher_Run_h],tblPlant[Date],$A280)</f>
        <v/>
      </c>
      <c r="DN280" s="57">
        <f>IF($B280=$B279,$DN279,0)+$DM280</f>
        <v/>
      </c>
      <c r="DO280" s="57">
        <f>$DO279+$DM280</f>
        <v/>
      </c>
      <c r="DP280" s="55">
        <f>IFERROR(IF(($DA280)&gt;0,($BZ280)/($DA280),""),"")</f>
        <v/>
      </c>
      <c r="DQ280" s="55">
        <f>IFERROR(IF(($DB280)&gt;0,($CA280)/($DB280),""),"")</f>
        <v/>
      </c>
      <c r="DR280" s="55">
        <f>IFERROR(IF(($DC280)&gt;0,($CB280)/($DC280),""),"")</f>
        <v/>
      </c>
      <c r="DS280" s="67">
        <f>IFERROR(IF(($DJ280)&gt;0,($DJ280-$DD280-$DG280)/($DJ280),""),"")</f>
        <v/>
      </c>
      <c r="DT280" s="67">
        <f>IFERROR(IF(($DK280)&gt;0,($DK280-$DE280-$DH280)/($DK280),""),"")</f>
        <v/>
      </c>
      <c r="DU280" s="67">
        <f>IFERROR(IF(($DL280)&gt;0,($DL280-$DF280-$DI280)/($DL280),""),"")</f>
        <v/>
      </c>
      <c r="DV280" s="67">
        <f>IFERROR(IF(($DJ280-$DD280-$DG280)&gt;0,($DA280)/($DJ280-$DD280-$DG280),""),"")</f>
        <v/>
      </c>
      <c r="DW280" s="67">
        <f>IFERROR(IF(($DK280-$DE280-$DH280)&gt;0,($DB280)/($DK280-$DE280-$DH280),""),"")</f>
        <v/>
      </c>
      <c r="DX280" s="67">
        <f>IFERROR(IF(($DL280-$DF280-$DI280)&gt;0,($DC280)/($DL280-$DF280-$DI280),""),"")</f>
        <v/>
      </c>
      <c r="DY280" s="55">
        <f>SUMIFS(tblPlant[Cyanide_kg],tblPlant[Date],$A280)</f>
        <v/>
      </c>
      <c r="DZ280" s="55">
        <f>IF($B280=$B279,$DZ279,0)+$DY280</f>
        <v/>
      </c>
      <c r="EA280" s="55">
        <f>$EA279+$DY280</f>
        <v/>
      </c>
      <c r="EB280" s="55">
        <f>SUMIFS(tblPlant[Lime_kg],tblPlant[Date],$A280)</f>
        <v/>
      </c>
      <c r="EC280" s="55">
        <f>IF($B280=$B279,$EC279,0)+$EB280</f>
        <v/>
      </c>
      <c r="ED280" s="55">
        <f>$ED279+$EB280</f>
        <v/>
      </c>
      <c r="EE280" s="55">
        <f>SUMIFS(tblPlant[Grinding_Media_kg],tblPlant[Date],$A280)</f>
        <v/>
      </c>
      <c r="EF280" s="55">
        <f>IF($B280=$B279,$EF279,0)+$EE280</f>
        <v/>
      </c>
      <c r="EG280" s="55">
        <f>$EG279+$EE280</f>
        <v/>
      </c>
      <c r="EH280" s="55">
        <f>SUMIFS(tblPlant[Power_kWh],tblPlant[Date],$A280)</f>
        <v/>
      </c>
      <c r="EI280" s="55">
        <f>IF($B280=$B279,$EI279,0)+$EH280</f>
        <v/>
      </c>
      <c r="EJ280" s="55">
        <f>$EJ279+$EH280</f>
        <v/>
      </c>
      <c r="EK280" s="55">
        <f>SUMIFS(tblPlant[Raw_Water_m3],tblPlant[Date],$A280)</f>
        <v/>
      </c>
      <c r="EL280" s="55">
        <f>IF($B280=$B279,$EL279,0)+$EK280</f>
        <v/>
      </c>
      <c r="EM280" s="55">
        <f>$EM279+$EK280</f>
        <v/>
      </c>
      <c r="EN280" s="56">
        <f>IFERROR(IF(($BZ280)&gt;0,($DY280)/($BZ280),""),"")</f>
        <v/>
      </c>
      <c r="EO280" s="56">
        <f>IFERROR(IF(($CA280)&gt;0,($DZ280)/($CA280),""),"")</f>
        <v/>
      </c>
      <c r="EP280" s="56">
        <f>IFERROR(IF(($CB280)&gt;0,($EA280)/($CB280),""),"")</f>
        <v/>
      </c>
      <c r="EQ280" s="56">
        <f>IFERROR(IF(($BZ280)&gt;0,($EB280)/($BZ280),""),"")</f>
        <v/>
      </c>
      <c r="ER280" s="56">
        <f>IFERROR(IF(($CA280)&gt;0,($EC280)/($CA280),""),"")</f>
        <v/>
      </c>
      <c r="ES280" s="56">
        <f>IFERROR(IF(($CB280)&gt;0,($ED280)/($CB280),""),"")</f>
        <v/>
      </c>
      <c r="ET280" s="56">
        <f>IFERROR(IF(($BZ280)&gt;0,($EE280)/($BZ280),""),"")</f>
        <v/>
      </c>
      <c r="EU280" s="56">
        <f>IFERROR(IF(($CA280)&gt;0,($EF280)/($CA280),""),"")</f>
        <v/>
      </c>
      <c r="EV280" s="56">
        <f>IFERROR(IF(($CB280)&gt;0,($EG280)/($CB280),""),"")</f>
        <v/>
      </c>
      <c r="EW280" s="76">
        <f>IFERROR(IF(($BZ280)&gt;0,($EH280)/($BZ280),""),"")</f>
        <v/>
      </c>
      <c r="EX280" s="76">
        <f>IFERROR(IF(($CA280)&gt;0,($EI280)/($CA280),""),"")</f>
        <v/>
      </c>
      <c r="EY280" s="76">
        <f>IFERROR(IF(($CB280)&gt;0,($EJ280)/($CB280),""),"")</f>
        <v/>
      </c>
      <c r="EZ280" s="56">
        <f>IFERROR(IF(($BZ280)&gt;0,($EK280)/($BZ280),""),"")</f>
        <v/>
      </c>
      <c r="FA280" s="56">
        <f>IFERROR(IF(($CA280)&gt;0,($EL280)/($CA280),""),"")</f>
        <v/>
      </c>
      <c r="FB280" s="56">
        <f>IFERROR(IF(($CB280)&gt;0,($EM280)/($CB280),""),"")</f>
        <v/>
      </c>
      <c r="FC280" s="55">
        <f>IF(SUMIFS(tblPlant[GIC_oz],tblPlant[Date],$A280)&gt;0,SUMIFS(tblPlant[GIC_oz],tblPlant[Date],$A280),"")</f>
        <v/>
      </c>
      <c r="FD280" s="55">
        <f>SUMIFS(tblGold[Gold_oz],tblGold[Date],$A280,tblGold[Type],"Shipment")</f>
        <v/>
      </c>
      <c r="FE280" s="55">
        <f>IF($B280=$B279,$FE279,0)+$FD280</f>
        <v/>
      </c>
      <c r="FF280" s="55">
        <f>$FF279+$FD280</f>
        <v/>
      </c>
      <c r="FG280" s="55">
        <f>SUMIFS(tblGold[Gold_oz],tblGold[Date],$A280,tblGold[Type],"Sale")</f>
        <v/>
      </c>
      <c r="FH280" s="55">
        <f>IF($B280=$B279,$FH279,0)+$FG280</f>
        <v/>
      </c>
      <c r="FI280" s="55">
        <f>$FI279+$FG280</f>
        <v/>
      </c>
      <c r="FJ280" s="55">
        <f>SUMIFS(tblGold[Dore_kg],tblGold[Date],$A280,tblGold[Type],"Shipment")</f>
        <v/>
      </c>
      <c r="FK280" s="55">
        <f>IF($B280=$B279,$FK279,0)+$FJ280</f>
        <v/>
      </c>
      <c r="FL280" s="55">
        <f>$FL279+$FJ280</f>
        <v/>
      </c>
      <c r="FM280" s="57">
        <f>SUMIFS(tblSafety[Hours_Total],tblSafety[Date],$A280)</f>
        <v/>
      </c>
      <c r="FN280" s="57">
        <f>IF($B280=$B279,$FN279,0)+$FM280</f>
        <v/>
      </c>
      <c r="FO280" s="57">
        <f>$FO279+$FM280</f>
        <v/>
      </c>
      <c r="FP280" s="62">
        <f>SUMIFS(tblSafety[Fatality],tblSafety[Date],$A280)</f>
        <v/>
      </c>
      <c r="FQ280" s="62">
        <f>IF($B280=$B279,$FQ279,0)+$FP280</f>
        <v/>
      </c>
      <c r="FR280" s="62">
        <f>$FR279+$FP280</f>
        <v/>
      </c>
      <c r="FS280" s="62">
        <f>SUMIFS(tblSafety[LTI],tblSafety[Date],$A280)</f>
        <v/>
      </c>
      <c r="FT280" s="62">
        <f>IF($B280=$B279,$FT279,0)+$FS280</f>
        <v/>
      </c>
      <c r="FU280" s="62">
        <f>$FU279+$FS280</f>
        <v/>
      </c>
      <c r="FV280" s="62">
        <f>SUMIFS(tblSafety[RWI],tblSafety[Date],$A280)</f>
        <v/>
      </c>
      <c r="FW280" s="62">
        <f>IF($B280=$B279,$FW279,0)+$FV280</f>
        <v/>
      </c>
      <c r="FX280" s="62">
        <f>$FX279+$FV280</f>
        <v/>
      </c>
      <c r="FY280" s="62">
        <f>SUMIFS(tblSafety[MTI],tblSafety[Date],$A280)</f>
        <v/>
      </c>
      <c r="FZ280" s="62">
        <f>IF($B280=$B279,$FZ279,0)+$FY280</f>
        <v/>
      </c>
      <c r="GA280" s="62">
        <f>$GA279+$FY280</f>
        <v/>
      </c>
      <c r="GB280" s="62">
        <f>SUMIFS(tblSafety[FAI],tblSafety[Date],$A280)</f>
        <v/>
      </c>
      <c r="GC280" s="62">
        <f>IF($B280=$B279,$GC279,0)+$GB280</f>
        <v/>
      </c>
      <c r="GD280" s="62">
        <f>$GD279+$GB280</f>
        <v/>
      </c>
      <c r="GE280" s="62">
        <f>SUMIFS(tblSafety[Recordables],tblSafety[Date],$A280)</f>
        <v/>
      </c>
      <c r="GF280" s="62">
        <f>IF($B280=$B279,$GF279,0)+$GE280</f>
        <v/>
      </c>
      <c r="GG280" s="62">
        <f>$GG279+$GE280</f>
        <v/>
      </c>
      <c r="GH280" s="62">
        <f>SUMIFS(tblSafety[Near_Miss],tblSafety[Date],$A280)</f>
        <v/>
      </c>
      <c r="GI280" s="62">
        <f>IF($B280=$B279,$GI279,0)+$GH280</f>
        <v/>
      </c>
      <c r="GJ280" s="62">
        <f>$GJ279+$GH280</f>
        <v/>
      </c>
      <c r="GK280" s="62">
        <f>SUMIFS(tblSafety[Hazard_Reports],tblSafety[Date],$A280)</f>
        <v/>
      </c>
      <c r="GL280" s="62">
        <f>IF($B280=$B279,$GL279,0)+$GK280</f>
        <v/>
      </c>
      <c r="GM280" s="62">
        <f>$GM279+$GK280</f>
        <v/>
      </c>
      <c r="GN280" s="62">
        <f>SUMIFS(tblSafety[HPI],tblSafety[Date],$A280)</f>
        <v/>
      </c>
      <c r="GO280" s="62">
        <f>IF($B280=$B279,$GO279,0)+$GN280</f>
        <v/>
      </c>
      <c r="GP280" s="62">
        <f>$GP279+$GN280</f>
        <v/>
      </c>
      <c r="GQ280" s="62">
        <f>SUMIFS(tblSafety[Env_Incidents],tblSafety[Date],$A280)</f>
        <v/>
      </c>
      <c r="GR280" s="62">
        <f>IF($B280=$B279,$GR279,0)+$GQ280</f>
        <v/>
      </c>
      <c r="GS280" s="62">
        <f>$GS279+$GQ280</f>
        <v/>
      </c>
      <c r="GT280" s="62">
        <f>SUMIFS(tblSafety[Community_Incidents],tblSafety[Date],$A280)</f>
        <v/>
      </c>
      <c r="GU280" s="62">
        <f>IF($B280=$B279,$GU279,0)+$GT280</f>
        <v/>
      </c>
      <c r="GV280" s="62">
        <f>$GV279+$GT280</f>
        <v/>
      </c>
      <c r="GW280" s="62">
        <f>SUMIFS(tblSafety[Vehicle_Incidents],tblSafety[Date],$A280)</f>
        <v/>
      </c>
      <c r="GX280" s="62">
        <f>IF($B280=$B279,$GX279,0)+$GW280</f>
        <v/>
      </c>
      <c r="GY280" s="62">
        <f>$GY279+$GW280</f>
        <v/>
      </c>
      <c r="GZ280" s="62">
        <f>SUMIFS(tblSafety[Toolbox_Talks],tblSafety[Date],$A280)</f>
        <v/>
      </c>
      <c r="HA280" s="62">
        <f>IF($B280=$B279,$HA279,0)+$GZ280</f>
        <v/>
      </c>
      <c r="HB280" s="62">
        <f>$HB279+$GZ280</f>
        <v/>
      </c>
      <c r="HC280" s="62">
        <f>SUMIFS(tblSafety[Inspections],tblSafety[Date],$A280)</f>
        <v/>
      </c>
      <c r="HD280" s="62">
        <f>IF($B280=$B279,$HD279,0)+$HC280</f>
        <v/>
      </c>
      <c r="HE280" s="62">
        <f>$HE279+$HC280</f>
        <v/>
      </c>
      <c r="HF280" s="56">
        <f>IFERROR((SUMIFS(tblSafety[Recordables],tblSafety[Date],"&gt;="&amp;EDATE($E280,-12),tblSafety[Date],"&lt;="&amp;$A280)+SUMIFS(tblSafetyHistory[Recordables],tblSafetyHistory[Month],"&gt;="&amp;EDATE($E280,-12),tblSafetyHistory[Month],"&lt;"&amp;cfg_YearStart))/(SUMIFS(tblSafety[Hours_Total],tblSafety[Date],"&gt;="&amp;EDATE($E280,-12),tblSafety[Date],"&lt;="&amp;$A280)+SUMIFS(tblSafetyHistory[Hours_Total],tblSafetyHistory[Month],"&gt;="&amp;EDATE($E280,-12),tblSafetyHistory[Month],"&lt;"&amp;cfg_YearStart))*1000000,"")</f>
        <v/>
      </c>
      <c r="HG280" s="56">
        <f>IFERROR((SUMIFS(tblSafety[LTI],tblSafety[Date],"&gt;="&amp;EDATE($E280,-12),tblSafety[Date],"&lt;="&amp;$A280)+SUMIFS(tblSafetyHistory[LTI],tblSafetyHistory[Month],"&gt;="&amp;EDATE($E280,-12),tblSafetyHistory[Month],"&lt;"&amp;cfg_YearStart))/(SUMIFS(tblSafety[Hours_Total],tblSafety[Date],"&gt;="&amp;EDATE($E280,-12),tblSafety[Date],"&lt;="&amp;$A280)+SUMIFS(tblSafetyHistory[Hours_Total],tblSafetyHistory[Month],"&gt;="&amp;EDATE($E280,-12),tblSafetyHistory[Month],"&lt;"&amp;cfg_YearStart))*1000000,"")</f>
        <v/>
      </c>
      <c r="HH280" s="62">
        <f>IF(MAX(N(cfg_PriorLTIDate),_xlfn.MAXIFS(tblSafety[Date],tblSafety[LTI],"&gt;0",tblSafety[Date],"&lt;="&amp;$A280))=0,"",$A280-MAX(N(cfg_PriorLTIDate),_xlfn.MAXIFS(tblSafety[Date],tblSafety[LTI],"&gt;0",tblSafety[Date],"&lt;="&amp;$A280)))</f>
        <v/>
      </c>
      <c r="HI280" s="55">
        <f>SUMIFS(tblBudget[Ore_Mined_t],tblBudget[Month],$E280)</f>
        <v/>
      </c>
      <c r="HJ280" s="55">
        <f>$HI280*$C280/$D280</f>
        <v/>
      </c>
      <c r="HK280" s="55">
        <f>SUMIFS(tblBudget[Ore_Mined_t],tblBudget[Month],"&lt;"&amp;$E280)+$HJ280</f>
        <v/>
      </c>
      <c r="HL280" s="55">
        <f>SUMIFS(tblBudget[Ore_oz],tblBudget[Month],$E280)</f>
        <v/>
      </c>
      <c r="HM280" s="55">
        <f>$HL280*$C280/$D280</f>
        <v/>
      </c>
      <c r="HN280" s="55">
        <f>SUMIFS(tblBudget[Ore_oz],tblBudget[Month],"&lt;"&amp;$E280)+$HM280</f>
        <v/>
      </c>
      <c r="HO280" s="56">
        <f>IFERROR(IF(($HI280)&gt;0,($HL280*cfg_TroyOz)/($HI280),""),"")</f>
        <v/>
      </c>
      <c r="HP280" s="56">
        <f>IFERROR(IF(($HJ280)&gt;0,($HM280*cfg_TroyOz)/($HJ280),""),"")</f>
        <v/>
      </c>
      <c r="HQ280" s="56">
        <f>IFERROR(IF(($HK280)&gt;0,($HN280*cfg_TroyOz)/($HK280),""),"")</f>
        <v/>
      </c>
      <c r="HR280" s="55">
        <f>SUMIFS(tblBudget[Waste_t],tblBudget[Month],$E280)</f>
        <v/>
      </c>
      <c r="HS280" s="55">
        <f>$HR280*$C280/$D280</f>
        <v/>
      </c>
      <c r="HT280" s="55">
        <f>SUMIFS(tblBudget[Waste_t],tblBudget[Month],"&lt;"&amp;$E280)+$HS280</f>
        <v/>
      </c>
      <c r="HU280" s="55">
        <f>SUMIFS(tblBudget[TMM_t],tblBudget[Month],$E280)</f>
        <v/>
      </c>
      <c r="HV280" s="55">
        <f>$HU280*$C280/$D280</f>
        <v/>
      </c>
      <c r="HW280" s="55">
        <f>SUMIFS(tblBudget[TMM_t],tblBudget[Month],"&lt;"&amp;$E280)+$HV280</f>
        <v/>
      </c>
      <c r="HX280" s="56">
        <f>IFERROR(IF(($HI280)&gt;0,($HR280)/($HI280),""),"")</f>
        <v/>
      </c>
      <c r="HY280" s="56">
        <f>IFERROR(IF(($HJ280)&gt;0,($HS280)/($HJ280),""),"")</f>
        <v/>
      </c>
      <c r="HZ280" s="56">
        <f>IFERROR(IF(($HK280)&gt;0,($HT280)/($HK280),""),"")</f>
        <v/>
      </c>
      <c r="IA280" s="55">
        <f>SUMIFS(tblBudget[Drill_m],tblBudget[Month],$E280)</f>
        <v/>
      </c>
      <c r="IB280" s="55">
        <f>$IA280*$C280/$D280</f>
        <v/>
      </c>
      <c r="IC280" s="55">
        <f>SUMIFS(tblBudget[Drill_m],tblBudget[Month],"&lt;"&amp;$E280)+$IB280</f>
        <v/>
      </c>
      <c r="ID280" s="55">
        <f>SUMIFS(tblBudget[Diesel_L],tblBudget[Month],$E280)</f>
        <v/>
      </c>
      <c r="IE280" s="55">
        <f>$ID280*$C280/$D280</f>
        <v/>
      </c>
      <c r="IF280" s="55">
        <f>SUMIFS(tblBudget[Diesel_L],tblBudget[Month],"&lt;"&amp;$E280)+$IE280</f>
        <v/>
      </c>
      <c r="IG280" s="55">
        <f>SUMIFS(tblBudget[Milled_t],tblBudget[Month],$E280)</f>
        <v/>
      </c>
      <c r="IH280" s="55">
        <f>$IG280*$C280/$D280</f>
        <v/>
      </c>
      <c r="II280" s="55">
        <f>SUMIFS(tblBudget[Milled_t],tblBudget[Month],"&lt;"&amp;$E280)+$IH280</f>
        <v/>
      </c>
      <c r="IJ280" s="55">
        <f>SUMIFS(tblBudget[Feed_oz],tblBudget[Month],$E280)</f>
        <v/>
      </c>
      <c r="IK280" s="55">
        <f>$IJ280*$C280/$D280</f>
        <v/>
      </c>
      <c r="IL280" s="55">
        <f>SUMIFS(tblBudget[Feed_oz],tblBudget[Month],"&lt;"&amp;$E280)+$IK280</f>
        <v/>
      </c>
      <c r="IM280" s="55">
        <f>SUMIFS(tblBudget[Recovered_oz],tblBudget[Month],$E280)</f>
        <v/>
      </c>
      <c r="IN280" s="55">
        <f>$IM280*$C280/$D280</f>
        <v/>
      </c>
      <c r="IO280" s="55">
        <f>SUMIFS(tblBudget[Recovered_oz],tblBudget[Month],"&lt;"&amp;$E280)+$IN280</f>
        <v/>
      </c>
      <c r="IP280" s="56">
        <f>IFERROR(IF(($IG280)&gt;0,($IJ280*cfg_TroyOz)/($IG280),""),"")</f>
        <v/>
      </c>
      <c r="IQ280" s="56">
        <f>IFERROR(IF(($IH280)&gt;0,($IK280*cfg_TroyOz)/($IH280),""),"")</f>
        <v/>
      </c>
      <c r="IR280" s="56">
        <f>IFERROR(IF(($II280)&gt;0,($IL280*cfg_TroyOz)/($II280),""),"")</f>
        <v/>
      </c>
      <c r="IS280" s="67">
        <f>IFERROR(IF(($IJ280)&gt;0,($IM280)/($IJ280),""),"")</f>
        <v/>
      </c>
      <c r="IT280" s="67">
        <f>IFERROR(IF(($IK280)&gt;0,($IN280)/($IK280),""),"")</f>
        <v/>
      </c>
      <c r="IU280" s="67">
        <f>IFERROR(IF(($IL280)&gt;0,($IO280)/($IL280),""),"")</f>
        <v/>
      </c>
      <c r="IV280" s="55">
        <f>SUMIFS(tblBudget[Gold_Poured_oz],tblBudget[Month],$E280)</f>
        <v/>
      </c>
      <c r="IW280" s="55">
        <f>$IV280*$C280/$D280</f>
        <v/>
      </c>
      <c r="IX280" s="55">
        <f>SUMIFS(tblBudget[Gold_Poured_oz],tblBudget[Month],"&lt;"&amp;$E280)+$IW280</f>
        <v/>
      </c>
      <c r="IY280" s="57">
        <f>SUMIFS(tblBudget[Hours_Worked],tblBudget[Month],$E280)</f>
        <v/>
      </c>
      <c r="IZ280" s="57">
        <f>$IY280*$C280/$D280</f>
        <v/>
      </c>
      <c r="JA280" s="57">
        <f>SUMIFS(tblBudget[Hours_Worked],tblBudget[Month],"&lt;"&amp;$E280)+$IZ280</f>
        <v/>
      </c>
    </row>
    <row r="281">
      <c r="A281" s="54" t="n">
        <v>46302</v>
      </c>
      <c r="B281">
        <f>MONTH($A281)</f>
        <v/>
      </c>
      <c r="C281">
        <f>DAY($A281)</f>
        <v/>
      </c>
      <c r="D281">
        <f>DAY(EOMONTH($A281,0))</f>
        <v/>
      </c>
      <c r="E281" s="54">
        <f>DATE(YEAR($A281),MONTH($A281),1)</f>
        <v/>
      </c>
      <c r="F281" s="55">
        <f>SUMIFS(tblMovement[Tonnes_t],tblMovement[Date],$A281,tblMovement[Is_Ore],1,tblMovement[Source_Type],"Pit")</f>
        <v/>
      </c>
      <c r="G281" s="55">
        <f>IF($B281=$B280,$G280,0)+$F281</f>
        <v/>
      </c>
      <c r="H281" s="55">
        <f>$H280+$F281</f>
        <v/>
      </c>
      <c r="I281" s="55">
        <f>SUMIFS(tblMovement[Ore_oz],tblMovement[Date],$A281,tblMovement[Source_Type],"Pit")</f>
        <v/>
      </c>
      <c r="J281" s="55">
        <f>IF($B281=$B280,$J280,0)+$I281</f>
        <v/>
      </c>
      <c r="K281" s="55">
        <f>$K280+$I281</f>
        <v/>
      </c>
      <c r="L281" s="56">
        <f>IFERROR(IF(($F281)&gt;0,($I281*cfg_TroyOz)/($F281),""),"")</f>
        <v/>
      </c>
      <c r="M281" s="56">
        <f>IFERROR(IF(($G281)&gt;0,($J281*cfg_TroyOz)/($G281),""),"")</f>
        <v/>
      </c>
      <c r="N281" s="56">
        <f>IFERROR(IF(($H281)&gt;0,($K281*cfg_TroyOz)/($H281),""),"")</f>
        <v/>
      </c>
      <c r="O281" s="55">
        <f>SUMIFS(tblMovement[Tonnes_t],tblMovement[Date],$A281,tblMovement[Is_Ore],0,tblMovement[Source_Type],"Pit")</f>
        <v/>
      </c>
      <c r="P281" s="55">
        <f>IF($B281=$B280,$P280,0)+$O281</f>
        <v/>
      </c>
      <c r="Q281" s="55">
        <f>$Q280+$O281</f>
        <v/>
      </c>
      <c r="R281" s="55">
        <f>$F281+$O281</f>
        <v/>
      </c>
      <c r="S281" s="55">
        <f>IF($B281=$B280,$S280,0)+$R281</f>
        <v/>
      </c>
      <c r="T281" s="55">
        <f>$T280+$R281</f>
        <v/>
      </c>
      <c r="U281" s="56">
        <f>IFERROR(IF(($F281)&gt;0,($O281)/($F281),""),"")</f>
        <v/>
      </c>
      <c r="V281" s="56">
        <f>IFERROR(IF(($G281)&gt;0,($P281)/($G281),""),"")</f>
        <v/>
      </c>
      <c r="W281" s="56">
        <f>IFERROR(IF(($H281)&gt;0,($Q281)/($H281),""),"")</f>
        <v/>
      </c>
      <c r="X281" s="55">
        <f>SUMIFS(tblMovement[Tonnes_t],tblMovement[Date],$A281,tblMovement[Source_Type],"Stockpile")</f>
        <v/>
      </c>
      <c r="Y281" s="55">
        <f>IF($B281=$B280,$Y280,0)+$X281</f>
        <v/>
      </c>
      <c r="Z281" s="55">
        <f>$Z280+$X281</f>
        <v/>
      </c>
      <c r="AA281" s="55">
        <f>SUMIFS(tblMiningDaily[Drill_m],tblMiningDaily[Date],$A281)</f>
        <v/>
      </c>
      <c r="AB281" s="55">
        <f>IF($B281=$B280,$AB280,0)+$AA281</f>
        <v/>
      </c>
      <c r="AC281" s="55">
        <f>$AC280+$AA281</f>
        <v/>
      </c>
      <c r="AD281" s="55">
        <f>SUMIFS(tblMiningDaily[Blast_t],tblMiningDaily[Date],$A281)</f>
        <v/>
      </c>
      <c r="AE281" s="55">
        <f>IF($B281=$B280,$AE280,0)+$AD281</f>
        <v/>
      </c>
      <c r="AF281" s="55">
        <f>$AF280+$AD281</f>
        <v/>
      </c>
      <c r="AG281" s="55">
        <f>SUMIFS(tblMiningDaily[Explosives_kg],tblMiningDaily[Date],$A281)</f>
        <v/>
      </c>
      <c r="AH281" s="55">
        <f>IF($B281=$B280,$AH280,0)+$AG281</f>
        <v/>
      </c>
      <c r="AI281" s="55">
        <f>$AI280+$AG281</f>
        <v/>
      </c>
      <c r="AJ281" s="56">
        <f>IFERROR(IF(($AD281)&gt;0,($AG281)/($AD281),""),"")</f>
        <v/>
      </c>
      <c r="AK281" s="56">
        <f>IFERROR(IF(($AE281)&gt;0,($AH281)/($AE281),""),"")</f>
        <v/>
      </c>
      <c r="AL281" s="56">
        <f>IFERROR(IF(($AF281)&gt;0,($AI281)/($AF281),""),"")</f>
        <v/>
      </c>
      <c r="AM281" s="55">
        <f>SUMIFS(tblMiningDaily[Diesel_L],tblMiningDaily[Date],$A281)</f>
        <v/>
      </c>
      <c r="AN281" s="55">
        <f>IF($B281=$B280,$AN280,0)+$AM281</f>
        <v/>
      </c>
      <c r="AO281" s="55">
        <f>$AO280+$AM281</f>
        <v/>
      </c>
      <c r="AP281" s="55">
        <f>SUMIFS(tblMiningDaily[Dewatering_m3],tblMiningDaily[Date],$A281)</f>
        <v/>
      </c>
      <c r="AQ281" s="55">
        <f>IF($B281=$B280,$AQ280,0)+$AP281</f>
        <v/>
      </c>
      <c r="AR281" s="55">
        <f>$AR280+$AP281</f>
        <v/>
      </c>
      <c r="AS281" s="57">
        <f>SUMIFS(tblFleet[Calendar_h],tblFleet[Date],$A281,tblFleet[Equipment_Class],"Excavator")</f>
        <v/>
      </c>
      <c r="AT281" s="57">
        <f>IF($B281=$B280,$AT280,0)+$AS281</f>
        <v/>
      </c>
      <c r="AU281" s="57">
        <f>$AU280+$AS281</f>
        <v/>
      </c>
      <c r="AV281" s="57">
        <f>SUMIFS(tblFleet[Available_h],tblFleet[Date],$A281,tblFleet[Equipment_Class],"Excavator")</f>
        <v/>
      </c>
      <c r="AW281" s="57">
        <f>IF($B281=$B280,$AW280,0)+$AV281</f>
        <v/>
      </c>
      <c r="AX281" s="57">
        <f>$AX280+$AV281</f>
        <v/>
      </c>
      <c r="AY281" s="57">
        <f>SUMIFS(tblFleet[Operating_h],tblFleet[Date],$A281,tblFleet[Equipment_Class],"Excavator")</f>
        <v/>
      </c>
      <c r="AZ281" s="57">
        <f>IF($B281=$B280,$AZ280,0)+$AY281</f>
        <v/>
      </c>
      <c r="BA281" s="57">
        <f>$BA280+$AY281</f>
        <v/>
      </c>
      <c r="BB281" s="67">
        <f>IFERROR(IF(($AS281)&gt;0,($AV281)/($AS281),""),"")</f>
        <v/>
      </c>
      <c r="BC281" s="67">
        <f>IFERROR(IF(($AT281)&gt;0,($AW281)/($AT281),""),"")</f>
        <v/>
      </c>
      <c r="BD281" s="67">
        <f>IFERROR(IF(($AU281)&gt;0,($AX281)/($AU281),""),"")</f>
        <v/>
      </c>
      <c r="BE281" s="67">
        <f>IFERROR(IF(($AV281)&gt;0,($AY281)/($AV281),""),"")</f>
        <v/>
      </c>
      <c r="BF281" s="67">
        <f>IFERROR(IF(($AW281)&gt;0,($AZ281)/($AW281),""),"")</f>
        <v/>
      </c>
      <c r="BG281" s="67">
        <f>IFERROR(IF(($AX281)&gt;0,($BA281)/($AX281),""),"")</f>
        <v/>
      </c>
      <c r="BH281" s="57">
        <f>SUMIFS(tblFleet[Calendar_h],tblFleet[Date],$A281,tblFleet[Equipment_Class],"Haul Truck")</f>
        <v/>
      </c>
      <c r="BI281" s="57">
        <f>IF($B281=$B280,$BI280,0)+$BH281</f>
        <v/>
      </c>
      <c r="BJ281" s="57">
        <f>$BJ280+$BH281</f>
        <v/>
      </c>
      <c r="BK281" s="57">
        <f>SUMIFS(tblFleet[Available_h],tblFleet[Date],$A281,tblFleet[Equipment_Class],"Haul Truck")</f>
        <v/>
      </c>
      <c r="BL281" s="57">
        <f>IF($B281=$B280,$BL280,0)+$BK281</f>
        <v/>
      </c>
      <c r="BM281" s="57">
        <f>$BM280+$BK281</f>
        <v/>
      </c>
      <c r="BN281" s="57">
        <f>SUMIFS(tblFleet[Operating_h],tblFleet[Date],$A281,tblFleet[Equipment_Class],"Haul Truck")</f>
        <v/>
      </c>
      <c r="BO281" s="57">
        <f>IF($B281=$B280,$BO280,0)+$BN281</f>
        <v/>
      </c>
      <c r="BP281" s="57">
        <f>$BP280+$BN281</f>
        <v/>
      </c>
      <c r="BQ281" s="67">
        <f>IFERROR(IF(($BH281)&gt;0,($BK281)/($BH281),""),"")</f>
        <v/>
      </c>
      <c r="BR281" s="67">
        <f>IFERROR(IF(($BI281)&gt;0,($BL281)/($BI281),""),"")</f>
        <v/>
      </c>
      <c r="BS281" s="67">
        <f>IFERROR(IF(($BJ281)&gt;0,($BM281)/($BJ281),""),"")</f>
        <v/>
      </c>
      <c r="BT281" s="67">
        <f>IFERROR(IF(($BK281)&gt;0,($BN281)/($BK281),""),"")</f>
        <v/>
      </c>
      <c r="BU281" s="67">
        <f>IFERROR(IF(($BL281)&gt;0,($BO281)/($BL281),""),"")</f>
        <v/>
      </c>
      <c r="BV281" s="67">
        <f>IFERROR(IF(($BM281)&gt;0,($BP281)/($BM281),""),"")</f>
        <v/>
      </c>
      <c r="BW281" s="55">
        <f>SUMIFS(tblPlant[Crushed_t],tblPlant[Date],$A281)</f>
        <v/>
      </c>
      <c r="BX281" s="55">
        <f>IF($B281=$B280,$BX280,0)+$BW281</f>
        <v/>
      </c>
      <c r="BY281" s="55">
        <f>$BY280+$BW281</f>
        <v/>
      </c>
      <c r="BZ281" s="55">
        <f>SUMIFS(tblPlant[Milled_t],tblPlant[Date],$A281)</f>
        <v/>
      </c>
      <c r="CA281" s="55">
        <f>IF($B281=$B280,$CA280,0)+$BZ281</f>
        <v/>
      </c>
      <c r="CB281" s="55">
        <f>$CB280+$BZ281</f>
        <v/>
      </c>
      <c r="CC281" s="55">
        <f>SUMIFS(tblPlant[Feed_oz],tblPlant[Date],$A281)</f>
        <v/>
      </c>
      <c r="CD281" s="55">
        <f>IF($B281=$B280,$CD280,0)+$CC281</f>
        <v/>
      </c>
      <c r="CE281" s="55">
        <f>$CE280+$CC281</f>
        <v/>
      </c>
      <c r="CF281" s="55">
        <f>SUMIFS(tblPlant[Tails_oz],tblPlant[Date],$A281)</f>
        <v/>
      </c>
      <c r="CG281" s="55">
        <f>IF($B281=$B280,$CG280,0)+$CF281</f>
        <v/>
      </c>
      <c r="CH281" s="55">
        <f>$CH280+$CF281</f>
        <v/>
      </c>
      <c r="CI281" s="55">
        <f>SUMIFS(tblPlant[Recovered_oz],tblPlant[Date],$A281)</f>
        <v/>
      </c>
      <c r="CJ281" s="55">
        <f>IF($B281=$B280,$CJ280,0)+$CI281</f>
        <v/>
      </c>
      <c r="CK281" s="55">
        <f>$CK280+$CI281</f>
        <v/>
      </c>
      <c r="CL281" s="56">
        <f>IFERROR(IF(($BZ281)&gt;0,($CC281*cfg_TroyOz)/($BZ281),""),"")</f>
        <v/>
      </c>
      <c r="CM281" s="56">
        <f>IFERROR(IF(($CA281)&gt;0,($CD281*cfg_TroyOz)/($CA281),""),"")</f>
        <v/>
      </c>
      <c r="CN281" s="56">
        <f>IFERROR(IF(($CB281)&gt;0,($CE281*cfg_TroyOz)/($CB281),""),"")</f>
        <v/>
      </c>
      <c r="CO281" s="56">
        <f>IFERROR(IF(($BZ281)&gt;0,($CF281*cfg_TroyOz)/($BZ281),""),"")</f>
        <v/>
      </c>
      <c r="CP281" s="56">
        <f>IFERROR(IF(($CA281)&gt;0,($CG281*cfg_TroyOz)/($CA281),""),"")</f>
        <v/>
      </c>
      <c r="CQ281" s="56">
        <f>IFERROR(IF(($CB281)&gt;0,($CH281*cfg_TroyOz)/($CB281),""),"")</f>
        <v/>
      </c>
      <c r="CR281" s="67">
        <f>IFERROR(IF(($CC281)&gt;0,($CI281)/($CC281),""),"")</f>
        <v/>
      </c>
      <c r="CS281" s="67">
        <f>IFERROR(IF(($CD281)&gt;0,($CJ281)/($CD281),""),"")</f>
        <v/>
      </c>
      <c r="CT281" s="67">
        <f>IFERROR(IF(($CE281)&gt;0,($CK281)/($CE281),""),"")</f>
        <v/>
      </c>
      <c r="CU281" s="55">
        <f>SUMIFS(tblPlant[Gravity_Gold_oz],tblPlant[Date],$A281)</f>
        <v/>
      </c>
      <c r="CV281" s="55">
        <f>IF($B281=$B280,$CV280,0)+$CU281</f>
        <v/>
      </c>
      <c r="CW281" s="55">
        <f>$CW280+$CU281</f>
        <v/>
      </c>
      <c r="CX281" s="55">
        <f>SUMIFS(tblPlant[Gold_Poured_oz],tblPlant[Date],$A281)</f>
        <v/>
      </c>
      <c r="CY281" s="55">
        <f>IF($B281=$B280,$CY280,0)+$CX281</f>
        <v/>
      </c>
      <c r="CZ281" s="55">
        <f>$CZ280+$CX281</f>
        <v/>
      </c>
      <c r="DA281" s="57">
        <f>SUMIFS(tblPlant[Mill_Run_h],tblPlant[Date],$A281)</f>
        <v/>
      </c>
      <c r="DB281" s="57">
        <f>IF($B281=$B280,$DB280,0)+$DA281</f>
        <v/>
      </c>
      <c r="DC281" s="57">
        <f>$DC280+$DA281</f>
        <v/>
      </c>
      <c r="DD281" s="57">
        <f>SUMIFS(tblPlant[Mill_Planned_Maint_h],tblPlant[Date],$A281)</f>
        <v/>
      </c>
      <c r="DE281" s="57">
        <f>IF($B281=$B280,$DE280,0)+$DD281</f>
        <v/>
      </c>
      <c r="DF281" s="57">
        <f>$DF280+$DD281</f>
        <v/>
      </c>
      <c r="DG281" s="57">
        <f>SUMIFS(tblPlant[Mill_Unplanned_Down_h],tblPlant[Date],$A281)</f>
        <v/>
      </c>
      <c r="DH281" s="57">
        <f>IF($B281=$B280,$DH280,0)+$DG281</f>
        <v/>
      </c>
      <c r="DI281" s="57">
        <f>$DI280+$DG281</f>
        <v/>
      </c>
      <c r="DJ281" s="57">
        <f>COUNTIFS(tblPlant[Date],$A281,tblPlant[Mill_Run_h],"&lt;&gt;")*24</f>
        <v/>
      </c>
      <c r="DK281" s="57">
        <f>IF($B281=$B280,$DK280,0)+$DJ281</f>
        <v/>
      </c>
      <c r="DL281" s="57">
        <f>$DL280+$DJ281</f>
        <v/>
      </c>
      <c r="DM281" s="57">
        <f>SUMIFS(tblPlant[Crusher_Run_h],tblPlant[Date],$A281)</f>
        <v/>
      </c>
      <c r="DN281" s="57">
        <f>IF($B281=$B280,$DN280,0)+$DM281</f>
        <v/>
      </c>
      <c r="DO281" s="57">
        <f>$DO280+$DM281</f>
        <v/>
      </c>
      <c r="DP281" s="55">
        <f>IFERROR(IF(($DA281)&gt;0,($BZ281)/($DA281),""),"")</f>
        <v/>
      </c>
      <c r="DQ281" s="55">
        <f>IFERROR(IF(($DB281)&gt;0,($CA281)/($DB281),""),"")</f>
        <v/>
      </c>
      <c r="DR281" s="55">
        <f>IFERROR(IF(($DC281)&gt;0,($CB281)/($DC281),""),"")</f>
        <v/>
      </c>
      <c r="DS281" s="67">
        <f>IFERROR(IF(($DJ281)&gt;0,($DJ281-$DD281-$DG281)/($DJ281),""),"")</f>
        <v/>
      </c>
      <c r="DT281" s="67">
        <f>IFERROR(IF(($DK281)&gt;0,($DK281-$DE281-$DH281)/($DK281),""),"")</f>
        <v/>
      </c>
      <c r="DU281" s="67">
        <f>IFERROR(IF(($DL281)&gt;0,($DL281-$DF281-$DI281)/($DL281),""),"")</f>
        <v/>
      </c>
      <c r="DV281" s="67">
        <f>IFERROR(IF(($DJ281-$DD281-$DG281)&gt;0,($DA281)/($DJ281-$DD281-$DG281),""),"")</f>
        <v/>
      </c>
      <c r="DW281" s="67">
        <f>IFERROR(IF(($DK281-$DE281-$DH281)&gt;0,($DB281)/($DK281-$DE281-$DH281),""),"")</f>
        <v/>
      </c>
      <c r="DX281" s="67">
        <f>IFERROR(IF(($DL281-$DF281-$DI281)&gt;0,($DC281)/($DL281-$DF281-$DI281),""),"")</f>
        <v/>
      </c>
      <c r="DY281" s="55">
        <f>SUMIFS(tblPlant[Cyanide_kg],tblPlant[Date],$A281)</f>
        <v/>
      </c>
      <c r="DZ281" s="55">
        <f>IF($B281=$B280,$DZ280,0)+$DY281</f>
        <v/>
      </c>
      <c r="EA281" s="55">
        <f>$EA280+$DY281</f>
        <v/>
      </c>
      <c r="EB281" s="55">
        <f>SUMIFS(tblPlant[Lime_kg],tblPlant[Date],$A281)</f>
        <v/>
      </c>
      <c r="EC281" s="55">
        <f>IF($B281=$B280,$EC280,0)+$EB281</f>
        <v/>
      </c>
      <c r="ED281" s="55">
        <f>$ED280+$EB281</f>
        <v/>
      </c>
      <c r="EE281" s="55">
        <f>SUMIFS(tblPlant[Grinding_Media_kg],tblPlant[Date],$A281)</f>
        <v/>
      </c>
      <c r="EF281" s="55">
        <f>IF($B281=$B280,$EF280,0)+$EE281</f>
        <v/>
      </c>
      <c r="EG281" s="55">
        <f>$EG280+$EE281</f>
        <v/>
      </c>
      <c r="EH281" s="55">
        <f>SUMIFS(tblPlant[Power_kWh],tblPlant[Date],$A281)</f>
        <v/>
      </c>
      <c r="EI281" s="55">
        <f>IF($B281=$B280,$EI280,0)+$EH281</f>
        <v/>
      </c>
      <c r="EJ281" s="55">
        <f>$EJ280+$EH281</f>
        <v/>
      </c>
      <c r="EK281" s="55">
        <f>SUMIFS(tblPlant[Raw_Water_m3],tblPlant[Date],$A281)</f>
        <v/>
      </c>
      <c r="EL281" s="55">
        <f>IF($B281=$B280,$EL280,0)+$EK281</f>
        <v/>
      </c>
      <c r="EM281" s="55">
        <f>$EM280+$EK281</f>
        <v/>
      </c>
      <c r="EN281" s="56">
        <f>IFERROR(IF(($BZ281)&gt;0,($DY281)/($BZ281),""),"")</f>
        <v/>
      </c>
      <c r="EO281" s="56">
        <f>IFERROR(IF(($CA281)&gt;0,($DZ281)/($CA281),""),"")</f>
        <v/>
      </c>
      <c r="EP281" s="56">
        <f>IFERROR(IF(($CB281)&gt;0,($EA281)/($CB281),""),"")</f>
        <v/>
      </c>
      <c r="EQ281" s="56">
        <f>IFERROR(IF(($BZ281)&gt;0,($EB281)/($BZ281),""),"")</f>
        <v/>
      </c>
      <c r="ER281" s="56">
        <f>IFERROR(IF(($CA281)&gt;0,($EC281)/($CA281),""),"")</f>
        <v/>
      </c>
      <c r="ES281" s="56">
        <f>IFERROR(IF(($CB281)&gt;0,($ED281)/($CB281),""),"")</f>
        <v/>
      </c>
      <c r="ET281" s="56">
        <f>IFERROR(IF(($BZ281)&gt;0,($EE281)/($BZ281),""),"")</f>
        <v/>
      </c>
      <c r="EU281" s="56">
        <f>IFERROR(IF(($CA281)&gt;0,($EF281)/($CA281),""),"")</f>
        <v/>
      </c>
      <c r="EV281" s="56">
        <f>IFERROR(IF(($CB281)&gt;0,($EG281)/($CB281),""),"")</f>
        <v/>
      </c>
      <c r="EW281" s="76">
        <f>IFERROR(IF(($BZ281)&gt;0,($EH281)/($BZ281),""),"")</f>
        <v/>
      </c>
      <c r="EX281" s="76">
        <f>IFERROR(IF(($CA281)&gt;0,($EI281)/($CA281),""),"")</f>
        <v/>
      </c>
      <c r="EY281" s="76">
        <f>IFERROR(IF(($CB281)&gt;0,($EJ281)/($CB281),""),"")</f>
        <v/>
      </c>
      <c r="EZ281" s="56">
        <f>IFERROR(IF(($BZ281)&gt;0,($EK281)/($BZ281),""),"")</f>
        <v/>
      </c>
      <c r="FA281" s="56">
        <f>IFERROR(IF(($CA281)&gt;0,($EL281)/($CA281),""),"")</f>
        <v/>
      </c>
      <c r="FB281" s="56">
        <f>IFERROR(IF(($CB281)&gt;0,($EM281)/($CB281),""),"")</f>
        <v/>
      </c>
      <c r="FC281" s="55">
        <f>IF(SUMIFS(tblPlant[GIC_oz],tblPlant[Date],$A281)&gt;0,SUMIFS(tblPlant[GIC_oz],tblPlant[Date],$A281),"")</f>
        <v/>
      </c>
      <c r="FD281" s="55">
        <f>SUMIFS(tblGold[Gold_oz],tblGold[Date],$A281,tblGold[Type],"Shipment")</f>
        <v/>
      </c>
      <c r="FE281" s="55">
        <f>IF($B281=$B280,$FE280,0)+$FD281</f>
        <v/>
      </c>
      <c r="FF281" s="55">
        <f>$FF280+$FD281</f>
        <v/>
      </c>
      <c r="FG281" s="55">
        <f>SUMIFS(tblGold[Gold_oz],tblGold[Date],$A281,tblGold[Type],"Sale")</f>
        <v/>
      </c>
      <c r="FH281" s="55">
        <f>IF($B281=$B280,$FH280,0)+$FG281</f>
        <v/>
      </c>
      <c r="FI281" s="55">
        <f>$FI280+$FG281</f>
        <v/>
      </c>
      <c r="FJ281" s="55">
        <f>SUMIFS(tblGold[Dore_kg],tblGold[Date],$A281,tblGold[Type],"Shipment")</f>
        <v/>
      </c>
      <c r="FK281" s="55">
        <f>IF($B281=$B280,$FK280,0)+$FJ281</f>
        <v/>
      </c>
      <c r="FL281" s="55">
        <f>$FL280+$FJ281</f>
        <v/>
      </c>
      <c r="FM281" s="57">
        <f>SUMIFS(tblSafety[Hours_Total],tblSafety[Date],$A281)</f>
        <v/>
      </c>
      <c r="FN281" s="57">
        <f>IF($B281=$B280,$FN280,0)+$FM281</f>
        <v/>
      </c>
      <c r="FO281" s="57">
        <f>$FO280+$FM281</f>
        <v/>
      </c>
      <c r="FP281" s="62">
        <f>SUMIFS(tblSafety[Fatality],tblSafety[Date],$A281)</f>
        <v/>
      </c>
      <c r="FQ281" s="62">
        <f>IF($B281=$B280,$FQ280,0)+$FP281</f>
        <v/>
      </c>
      <c r="FR281" s="62">
        <f>$FR280+$FP281</f>
        <v/>
      </c>
      <c r="FS281" s="62">
        <f>SUMIFS(tblSafety[LTI],tblSafety[Date],$A281)</f>
        <v/>
      </c>
      <c r="FT281" s="62">
        <f>IF($B281=$B280,$FT280,0)+$FS281</f>
        <v/>
      </c>
      <c r="FU281" s="62">
        <f>$FU280+$FS281</f>
        <v/>
      </c>
      <c r="FV281" s="62">
        <f>SUMIFS(tblSafety[RWI],tblSafety[Date],$A281)</f>
        <v/>
      </c>
      <c r="FW281" s="62">
        <f>IF($B281=$B280,$FW280,0)+$FV281</f>
        <v/>
      </c>
      <c r="FX281" s="62">
        <f>$FX280+$FV281</f>
        <v/>
      </c>
      <c r="FY281" s="62">
        <f>SUMIFS(tblSafety[MTI],tblSafety[Date],$A281)</f>
        <v/>
      </c>
      <c r="FZ281" s="62">
        <f>IF($B281=$B280,$FZ280,0)+$FY281</f>
        <v/>
      </c>
      <c r="GA281" s="62">
        <f>$GA280+$FY281</f>
        <v/>
      </c>
      <c r="GB281" s="62">
        <f>SUMIFS(tblSafety[FAI],tblSafety[Date],$A281)</f>
        <v/>
      </c>
      <c r="GC281" s="62">
        <f>IF($B281=$B280,$GC280,0)+$GB281</f>
        <v/>
      </c>
      <c r="GD281" s="62">
        <f>$GD280+$GB281</f>
        <v/>
      </c>
      <c r="GE281" s="62">
        <f>SUMIFS(tblSafety[Recordables],tblSafety[Date],$A281)</f>
        <v/>
      </c>
      <c r="GF281" s="62">
        <f>IF($B281=$B280,$GF280,0)+$GE281</f>
        <v/>
      </c>
      <c r="GG281" s="62">
        <f>$GG280+$GE281</f>
        <v/>
      </c>
      <c r="GH281" s="62">
        <f>SUMIFS(tblSafety[Near_Miss],tblSafety[Date],$A281)</f>
        <v/>
      </c>
      <c r="GI281" s="62">
        <f>IF($B281=$B280,$GI280,0)+$GH281</f>
        <v/>
      </c>
      <c r="GJ281" s="62">
        <f>$GJ280+$GH281</f>
        <v/>
      </c>
      <c r="GK281" s="62">
        <f>SUMIFS(tblSafety[Hazard_Reports],tblSafety[Date],$A281)</f>
        <v/>
      </c>
      <c r="GL281" s="62">
        <f>IF($B281=$B280,$GL280,0)+$GK281</f>
        <v/>
      </c>
      <c r="GM281" s="62">
        <f>$GM280+$GK281</f>
        <v/>
      </c>
      <c r="GN281" s="62">
        <f>SUMIFS(tblSafety[HPI],tblSafety[Date],$A281)</f>
        <v/>
      </c>
      <c r="GO281" s="62">
        <f>IF($B281=$B280,$GO280,0)+$GN281</f>
        <v/>
      </c>
      <c r="GP281" s="62">
        <f>$GP280+$GN281</f>
        <v/>
      </c>
      <c r="GQ281" s="62">
        <f>SUMIFS(tblSafety[Env_Incidents],tblSafety[Date],$A281)</f>
        <v/>
      </c>
      <c r="GR281" s="62">
        <f>IF($B281=$B280,$GR280,0)+$GQ281</f>
        <v/>
      </c>
      <c r="GS281" s="62">
        <f>$GS280+$GQ281</f>
        <v/>
      </c>
      <c r="GT281" s="62">
        <f>SUMIFS(tblSafety[Community_Incidents],tblSafety[Date],$A281)</f>
        <v/>
      </c>
      <c r="GU281" s="62">
        <f>IF($B281=$B280,$GU280,0)+$GT281</f>
        <v/>
      </c>
      <c r="GV281" s="62">
        <f>$GV280+$GT281</f>
        <v/>
      </c>
      <c r="GW281" s="62">
        <f>SUMIFS(tblSafety[Vehicle_Incidents],tblSafety[Date],$A281)</f>
        <v/>
      </c>
      <c r="GX281" s="62">
        <f>IF($B281=$B280,$GX280,0)+$GW281</f>
        <v/>
      </c>
      <c r="GY281" s="62">
        <f>$GY280+$GW281</f>
        <v/>
      </c>
      <c r="GZ281" s="62">
        <f>SUMIFS(tblSafety[Toolbox_Talks],tblSafety[Date],$A281)</f>
        <v/>
      </c>
      <c r="HA281" s="62">
        <f>IF($B281=$B280,$HA280,0)+$GZ281</f>
        <v/>
      </c>
      <c r="HB281" s="62">
        <f>$HB280+$GZ281</f>
        <v/>
      </c>
      <c r="HC281" s="62">
        <f>SUMIFS(tblSafety[Inspections],tblSafety[Date],$A281)</f>
        <v/>
      </c>
      <c r="HD281" s="62">
        <f>IF($B281=$B280,$HD280,0)+$HC281</f>
        <v/>
      </c>
      <c r="HE281" s="62">
        <f>$HE280+$HC281</f>
        <v/>
      </c>
      <c r="HF281" s="56">
        <f>IFERROR((SUMIFS(tblSafety[Recordables],tblSafety[Date],"&gt;="&amp;EDATE($E281,-12),tblSafety[Date],"&lt;="&amp;$A281)+SUMIFS(tblSafetyHistory[Recordables],tblSafetyHistory[Month],"&gt;="&amp;EDATE($E281,-12),tblSafetyHistory[Month],"&lt;"&amp;cfg_YearStart))/(SUMIFS(tblSafety[Hours_Total],tblSafety[Date],"&gt;="&amp;EDATE($E281,-12),tblSafety[Date],"&lt;="&amp;$A281)+SUMIFS(tblSafetyHistory[Hours_Total],tblSafetyHistory[Month],"&gt;="&amp;EDATE($E281,-12),tblSafetyHistory[Month],"&lt;"&amp;cfg_YearStart))*1000000,"")</f>
        <v/>
      </c>
      <c r="HG281" s="56">
        <f>IFERROR((SUMIFS(tblSafety[LTI],tblSafety[Date],"&gt;="&amp;EDATE($E281,-12),tblSafety[Date],"&lt;="&amp;$A281)+SUMIFS(tblSafetyHistory[LTI],tblSafetyHistory[Month],"&gt;="&amp;EDATE($E281,-12),tblSafetyHistory[Month],"&lt;"&amp;cfg_YearStart))/(SUMIFS(tblSafety[Hours_Total],tblSafety[Date],"&gt;="&amp;EDATE($E281,-12),tblSafety[Date],"&lt;="&amp;$A281)+SUMIFS(tblSafetyHistory[Hours_Total],tblSafetyHistory[Month],"&gt;="&amp;EDATE($E281,-12),tblSafetyHistory[Month],"&lt;"&amp;cfg_YearStart))*1000000,"")</f>
        <v/>
      </c>
      <c r="HH281" s="62">
        <f>IF(MAX(N(cfg_PriorLTIDate),_xlfn.MAXIFS(tblSafety[Date],tblSafety[LTI],"&gt;0",tblSafety[Date],"&lt;="&amp;$A281))=0,"",$A281-MAX(N(cfg_PriorLTIDate),_xlfn.MAXIFS(tblSafety[Date],tblSafety[LTI],"&gt;0",tblSafety[Date],"&lt;="&amp;$A281)))</f>
        <v/>
      </c>
      <c r="HI281" s="55">
        <f>SUMIFS(tblBudget[Ore_Mined_t],tblBudget[Month],$E281)</f>
        <v/>
      </c>
      <c r="HJ281" s="55">
        <f>$HI281*$C281/$D281</f>
        <v/>
      </c>
      <c r="HK281" s="55">
        <f>SUMIFS(tblBudget[Ore_Mined_t],tblBudget[Month],"&lt;"&amp;$E281)+$HJ281</f>
        <v/>
      </c>
      <c r="HL281" s="55">
        <f>SUMIFS(tblBudget[Ore_oz],tblBudget[Month],$E281)</f>
        <v/>
      </c>
      <c r="HM281" s="55">
        <f>$HL281*$C281/$D281</f>
        <v/>
      </c>
      <c r="HN281" s="55">
        <f>SUMIFS(tblBudget[Ore_oz],tblBudget[Month],"&lt;"&amp;$E281)+$HM281</f>
        <v/>
      </c>
      <c r="HO281" s="56">
        <f>IFERROR(IF(($HI281)&gt;0,($HL281*cfg_TroyOz)/($HI281),""),"")</f>
        <v/>
      </c>
      <c r="HP281" s="56">
        <f>IFERROR(IF(($HJ281)&gt;0,($HM281*cfg_TroyOz)/($HJ281),""),"")</f>
        <v/>
      </c>
      <c r="HQ281" s="56">
        <f>IFERROR(IF(($HK281)&gt;0,($HN281*cfg_TroyOz)/($HK281),""),"")</f>
        <v/>
      </c>
      <c r="HR281" s="55">
        <f>SUMIFS(tblBudget[Waste_t],tblBudget[Month],$E281)</f>
        <v/>
      </c>
      <c r="HS281" s="55">
        <f>$HR281*$C281/$D281</f>
        <v/>
      </c>
      <c r="HT281" s="55">
        <f>SUMIFS(tblBudget[Waste_t],tblBudget[Month],"&lt;"&amp;$E281)+$HS281</f>
        <v/>
      </c>
      <c r="HU281" s="55">
        <f>SUMIFS(tblBudget[TMM_t],tblBudget[Month],$E281)</f>
        <v/>
      </c>
      <c r="HV281" s="55">
        <f>$HU281*$C281/$D281</f>
        <v/>
      </c>
      <c r="HW281" s="55">
        <f>SUMIFS(tblBudget[TMM_t],tblBudget[Month],"&lt;"&amp;$E281)+$HV281</f>
        <v/>
      </c>
      <c r="HX281" s="56">
        <f>IFERROR(IF(($HI281)&gt;0,($HR281)/($HI281),""),"")</f>
        <v/>
      </c>
      <c r="HY281" s="56">
        <f>IFERROR(IF(($HJ281)&gt;0,($HS281)/($HJ281),""),"")</f>
        <v/>
      </c>
      <c r="HZ281" s="56">
        <f>IFERROR(IF(($HK281)&gt;0,($HT281)/($HK281),""),"")</f>
        <v/>
      </c>
      <c r="IA281" s="55">
        <f>SUMIFS(tblBudget[Drill_m],tblBudget[Month],$E281)</f>
        <v/>
      </c>
      <c r="IB281" s="55">
        <f>$IA281*$C281/$D281</f>
        <v/>
      </c>
      <c r="IC281" s="55">
        <f>SUMIFS(tblBudget[Drill_m],tblBudget[Month],"&lt;"&amp;$E281)+$IB281</f>
        <v/>
      </c>
      <c r="ID281" s="55">
        <f>SUMIFS(tblBudget[Diesel_L],tblBudget[Month],$E281)</f>
        <v/>
      </c>
      <c r="IE281" s="55">
        <f>$ID281*$C281/$D281</f>
        <v/>
      </c>
      <c r="IF281" s="55">
        <f>SUMIFS(tblBudget[Diesel_L],tblBudget[Month],"&lt;"&amp;$E281)+$IE281</f>
        <v/>
      </c>
      <c r="IG281" s="55">
        <f>SUMIFS(tblBudget[Milled_t],tblBudget[Month],$E281)</f>
        <v/>
      </c>
      <c r="IH281" s="55">
        <f>$IG281*$C281/$D281</f>
        <v/>
      </c>
      <c r="II281" s="55">
        <f>SUMIFS(tblBudget[Milled_t],tblBudget[Month],"&lt;"&amp;$E281)+$IH281</f>
        <v/>
      </c>
      <c r="IJ281" s="55">
        <f>SUMIFS(tblBudget[Feed_oz],tblBudget[Month],$E281)</f>
        <v/>
      </c>
      <c r="IK281" s="55">
        <f>$IJ281*$C281/$D281</f>
        <v/>
      </c>
      <c r="IL281" s="55">
        <f>SUMIFS(tblBudget[Feed_oz],tblBudget[Month],"&lt;"&amp;$E281)+$IK281</f>
        <v/>
      </c>
      <c r="IM281" s="55">
        <f>SUMIFS(tblBudget[Recovered_oz],tblBudget[Month],$E281)</f>
        <v/>
      </c>
      <c r="IN281" s="55">
        <f>$IM281*$C281/$D281</f>
        <v/>
      </c>
      <c r="IO281" s="55">
        <f>SUMIFS(tblBudget[Recovered_oz],tblBudget[Month],"&lt;"&amp;$E281)+$IN281</f>
        <v/>
      </c>
      <c r="IP281" s="56">
        <f>IFERROR(IF(($IG281)&gt;0,($IJ281*cfg_TroyOz)/($IG281),""),"")</f>
        <v/>
      </c>
      <c r="IQ281" s="56">
        <f>IFERROR(IF(($IH281)&gt;0,($IK281*cfg_TroyOz)/($IH281),""),"")</f>
        <v/>
      </c>
      <c r="IR281" s="56">
        <f>IFERROR(IF(($II281)&gt;0,($IL281*cfg_TroyOz)/($II281),""),"")</f>
        <v/>
      </c>
      <c r="IS281" s="67">
        <f>IFERROR(IF(($IJ281)&gt;0,($IM281)/($IJ281),""),"")</f>
        <v/>
      </c>
      <c r="IT281" s="67">
        <f>IFERROR(IF(($IK281)&gt;0,($IN281)/($IK281),""),"")</f>
        <v/>
      </c>
      <c r="IU281" s="67">
        <f>IFERROR(IF(($IL281)&gt;0,($IO281)/($IL281),""),"")</f>
        <v/>
      </c>
      <c r="IV281" s="55">
        <f>SUMIFS(tblBudget[Gold_Poured_oz],tblBudget[Month],$E281)</f>
        <v/>
      </c>
      <c r="IW281" s="55">
        <f>$IV281*$C281/$D281</f>
        <v/>
      </c>
      <c r="IX281" s="55">
        <f>SUMIFS(tblBudget[Gold_Poured_oz],tblBudget[Month],"&lt;"&amp;$E281)+$IW281</f>
        <v/>
      </c>
      <c r="IY281" s="57">
        <f>SUMIFS(tblBudget[Hours_Worked],tblBudget[Month],$E281)</f>
        <v/>
      </c>
      <c r="IZ281" s="57">
        <f>$IY281*$C281/$D281</f>
        <v/>
      </c>
      <c r="JA281" s="57">
        <f>SUMIFS(tblBudget[Hours_Worked],tblBudget[Month],"&lt;"&amp;$E281)+$IZ281</f>
        <v/>
      </c>
    </row>
    <row r="282">
      <c r="A282" s="54" t="n">
        <v>46303</v>
      </c>
      <c r="B282">
        <f>MONTH($A282)</f>
        <v/>
      </c>
      <c r="C282">
        <f>DAY($A282)</f>
        <v/>
      </c>
      <c r="D282">
        <f>DAY(EOMONTH($A282,0))</f>
        <v/>
      </c>
      <c r="E282" s="54">
        <f>DATE(YEAR($A282),MONTH($A282),1)</f>
        <v/>
      </c>
      <c r="F282" s="55">
        <f>SUMIFS(tblMovement[Tonnes_t],tblMovement[Date],$A282,tblMovement[Is_Ore],1,tblMovement[Source_Type],"Pit")</f>
        <v/>
      </c>
      <c r="G282" s="55">
        <f>IF($B282=$B281,$G281,0)+$F282</f>
        <v/>
      </c>
      <c r="H282" s="55">
        <f>$H281+$F282</f>
        <v/>
      </c>
      <c r="I282" s="55">
        <f>SUMIFS(tblMovement[Ore_oz],tblMovement[Date],$A282,tblMovement[Source_Type],"Pit")</f>
        <v/>
      </c>
      <c r="J282" s="55">
        <f>IF($B282=$B281,$J281,0)+$I282</f>
        <v/>
      </c>
      <c r="K282" s="55">
        <f>$K281+$I282</f>
        <v/>
      </c>
      <c r="L282" s="56">
        <f>IFERROR(IF(($F282)&gt;0,($I282*cfg_TroyOz)/($F282),""),"")</f>
        <v/>
      </c>
      <c r="M282" s="56">
        <f>IFERROR(IF(($G282)&gt;0,($J282*cfg_TroyOz)/($G282),""),"")</f>
        <v/>
      </c>
      <c r="N282" s="56">
        <f>IFERROR(IF(($H282)&gt;0,($K282*cfg_TroyOz)/($H282),""),"")</f>
        <v/>
      </c>
      <c r="O282" s="55">
        <f>SUMIFS(tblMovement[Tonnes_t],tblMovement[Date],$A282,tblMovement[Is_Ore],0,tblMovement[Source_Type],"Pit")</f>
        <v/>
      </c>
      <c r="P282" s="55">
        <f>IF($B282=$B281,$P281,0)+$O282</f>
        <v/>
      </c>
      <c r="Q282" s="55">
        <f>$Q281+$O282</f>
        <v/>
      </c>
      <c r="R282" s="55">
        <f>$F282+$O282</f>
        <v/>
      </c>
      <c r="S282" s="55">
        <f>IF($B282=$B281,$S281,0)+$R282</f>
        <v/>
      </c>
      <c r="T282" s="55">
        <f>$T281+$R282</f>
        <v/>
      </c>
      <c r="U282" s="56">
        <f>IFERROR(IF(($F282)&gt;0,($O282)/($F282),""),"")</f>
        <v/>
      </c>
      <c r="V282" s="56">
        <f>IFERROR(IF(($G282)&gt;0,($P282)/($G282),""),"")</f>
        <v/>
      </c>
      <c r="W282" s="56">
        <f>IFERROR(IF(($H282)&gt;0,($Q282)/($H282),""),"")</f>
        <v/>
      </c>
      <c r="X282" s="55">
        <f>SUMIFS(tblMovement[Tonnes_t],tblMovement[Date],$A282,tblMovement[Source_Type],"Stockpile")</f>
        <v/>
      </c>
      <c r="Y282" s="55">
        <f>IF($B282=$B281,$Y281,0)+$X282</f>
        <v/>
      </c>
      <c r="Z282" s="55">
        <f>$Z281+$X282</f>
        <v/>
      </c>
      <c r="AA282" s="55">
        <f>SUMIFS(tblMiningDaily[Drill_m],tblMiningDaily[Date],$A282)</f>
        <v/>
      </c>
      <c r="AB282" s="55">
        <f>IF($B282=$B281,$AB281,0)+$AA282</f>
        <v/>
      </c>
      <c r="AC282" s="55">
        <f>$AC281+$AA282</f>
        <v/>
      </c>
      <c r="AD282" s="55">
        <f>SUMIFS(tblMiningDaily[Blast_t],tblMiningDaily[Date],$A282)</f>
        <v/>
      </c>
      <c r="AE282" s="55">
        <f>IF($B282=$B281,$AE281,0)+$AD282</f>
        <v/>
      </c>
      <c r="AF282" s="55">
        <f>$AF281+$AD282</f>
        <v/>
      </c>
      <c r="AG282" s="55">
        <f>SUMIFS(tblMiningDaily[Explosives_kg],tblMiningDaily[Date],$A282)</f>
        <v/>
      </c>
      <c r="AH282" s="55">
        <f>IF($B282=$B281,$AH281,0)+$AG282</f>
        <v/>
      </c>
      <c r="AI282" s="55">
        <f>$AI281+$AG282</f>
        <v/>
      </c>
      <c r="AJ282" s="56">
        <f>IFERROR(IF(($AD282)&gt;0,($AG282)/($AD282),""),"")</f>
        <v/>
      </c>
      <c r="AK282" s="56">
        <f>IFERROR(IF(($AE282)&gt;0,($AH282)/($AE282),""),"")</f>
        <v/>
      </c>
      <c r="AL282" s="56">
        <f>IFERROR(IF(($AF282)&gt;0,($AI282)/($AF282),""),"")</f>
        <v/>
      </c>
      <c r="AM282" s="55">
        <f>SUMIFS(tblMiningDaily[Diesel_L],tblMiningDaily[Date],$A282)</f>
        <v/>
      </c>
      <c r="AN282" s="55">
        <f>IF($B282=$B281,$AN281,0)+$AM282</f>
        <v/>
      </c>
      <c r="AO282" s="55">
        <f>$AO281+$AM282</f>
        <v/>
      </c>
      <c r="AP282" s="55">
        <f>SUMIFS(tblMiningDaily[Dewatering_m3],tblMiningDaily[Date],$A282)</f>
        <v/>
      </c>
      <c r="AQ282" s="55">
        <f>IF($B282=$B281,$AQ281,0)+$AP282</f>
        <v/>
      </c>
      <c r="AR282" s="55">
        <f>$AR281+$AP282</f>
        <v/>
      </c>
      <c r="AS282" s="57">
        <f>SUMIFS(tblFleet[Calendar_h],tblFleet[Date],$A282,tblFleet[Equipment_Class],"Excavator")</f>
        <v/>
      </c>
      <c r="AT282" s="57">
        <f>IF($B282=$B281,$AT281,0)+$AS282</f>
        <v/>
      </c>
      <c r="AU282" s="57">
        <f>$AU281+$AS282</f>
        <v/>
      </c>
      <c r="AV282" s="57">
        <f>SUMIFS(tblFleet[Available_h],tblFleet[Date],$A282,tblFleet[Equipment_Class],"Excavator")</f>
        <v/>
      </c>
      <c r="AW282" s="57">
        <f>IF($B282=$B281,$AW281,0)+$AV282</f>
        <v/>
      </c>
      <c r="AX282" s="57">
        <f>$AX281+$AV282</f>
        <v/>
      </c>
      <c r="AY282" s="57">
        <f>SUMIFS(tblFleet[Operating_h],tblFleet[Date],$A282,tblFleet[Equipment_Class],"Excavator")</f>
        <v/>
      </c>
      <c r="AZ282" s="57">
        <f>IF($B282=$B281,$AZ281,0)+$AY282</f>
        <v/>
      </c>
      <c r="BA282" s="57">
        <f>$BA281+$AY282</f>
        <v/>
      </c>
      <c r="BB282" s="67">
        <f>IFERROR(IF(($AS282)&gt;0,($AV282)/($AS282),""),"")</f>
        <v/>
      </c>
      <c r="BC282" s="67">
        <f>IFERROR(IF(($AT282)&gt;0,($AW282)/($AT282),""),"")</f>
        <v/>
      </c>
      <c r="BD282" s="67">
        <f>IFERROR(IF(($AU282)&gt;0,($AX282)/($AU282),""),"")</f>
        <v/>
      </c>
      <c r="BE282" s="67">
        <f>IFERROR(IF(($AV282)&gt;0,($AY282)/($AV282),""),"")</f>
        <v/>
      </c>
      <c r="BF282" s="67">
        <f>IFERROR(IF(($AW282)&gt;0,($AZ282)/($AW282),""),"")</f>
        <v/>
      </c>
      <c r="BG282" s="67">
        <f>IFERROR(IF(($AX282)&gt;0,($BA282)/($AX282),""),"")</f>
        <v/>
      </c>
      <c r="BH282" s="57">
        <f>SUMIFS(tblFleet[Calendar_h],tblFleet[Date],$A282,tblFleet[Equipment_Class],"Haul Truck")</f>
        <v/>
      </c>
      <c r="BI282" s="57">
        <f>IF($B282=$B281,$BI281,0)+$BH282</f>
        <v/>
      </c>
      <c r="BJ282" s="57">
        <f>$BJ281+$BH282</f>
        <v/>
      </c>
      <c r="BK282" s="57">
        <f>SUMIFS(tblFleet[Available_h],tblFleet[Date],$A282,tblFleet[Equipment_Class],"Haul Truck")</f>
        <v/>
      </c>
      <c r="BL282" s="57">
        <f>IF($B282=$B281,$BL281,0)+$BK282</f>
        <v/>
      </c>
      <c r="BM282" s="57">
        <f>$BM281+$BK282</f>
        <v/>
      </c>
      <c r="BN282" s="57">
        <f>SUMIFS(tblFleet[Operating_h],tblFleet[Date],$A282,tblFleet[Equipment_Class],"Haul Truck")</f>
        <v/>
      </c>
      <c r="BO282" s="57">
        <f>IF($B282=$B281,$BO281,0)+$BN282</f>
        <v/>
      </c>
      <c r="BP282" s="57">
        <f>$BP281+$BN282</f>
        <v/>
      </c>
      <c r="BQ282" s="67">
        <f>IFERROR(IF(($BH282)&gt;0,($BK282)/($BH282),""),"")</f>
        <v/>
      </c>
      <c r="BR282" s="67">
        <f>IFERROR(IF(($BI282)&gt;0,($BL282)/($BI282),""),"")</f>
        <v/>
      </c>
      <c r="BS282" s="67">
        <f>IFERROR(IF(($BJ282)&gt;0,($BM282)/($BJ282),""),"")</f>
        <v/>
      </c>
      <c r="BT282" s="67">
        <f>IFERROR(IF(($BK282)&gt;0,($BN282)/($BK282),""),"")</f>
        <v/>
      </c>
      <c r="BU282" s="67">
        <f>IFERROR(IF(($BL282)&gt;0,($BO282)/($BL282),""),"")</f>
        <v/>
      </c>
      <c r="BV282" s="67">
        <f>IFERROR(IF(($BM282)&gt;0,($BP282)/($BM282),""),"")</f>
        <v/>
      </c>
      <c r="BW282" s="55">
        <f>SUMIFS(tblPlant[Crushed_t],tblPlant[Date],$A282)</f>
        <v/>
      </c>
      <c r="BX282" s="55">
        <f>IF($B282=$B281,$BX281,0)+$BW282</f>
        <v/>
      </c>
      <c r="BY282" s="55">
        <f>$BY281+$BW282</f>
        <v/>
      </c>
      <c r="BZ282" s="55">
        <f>SUMIFS(tblPlant[Milled_t],tblPlant[Date],$A282)</f>
        <v/>
      </c>
      <c r="CA282" s="55">
        <f>IF($B282=$B281,$CA281,0)+$BZ282</f>
        <v/>
      </c>
      <c r="CB282" s="55">
        <f>$CB281+$BZ282</f>
        <v/>
      </c>
      <c r="CC282" s="55">
        <f>SUMIFS(tblPlant[Feed_oz],tblPlant[Date],$A282)</f>
        <v/>
      </c>
      <c r="CD282" s="55">
        <f>IF($B282=$B281,$CD281,0)+$CC282</f>
        <v/>
      </c>
      <c r="CE282" s="55">
        <f>$CE281+$CC282</f>
        <v/>
      </c>
      <c r="CF282" s="55">
        <f>SUMIFS(tblPlant[Tails_oz],tblPlant[Date],$A282)</f>
        <v/>
      </c>
      <c r="CG282" s="55">
        <f>IF($B282=$B281,$CG281,0)+$CF282</f>
        <v/>
      </c>
      <c r="CH282" s="55">
        <f>$CH281+$CF282</f>
        <v/>
      </c>
      <c r="CI282" s="55">
        <f>SUMIFS(tblPlant[Recovered_oz],tblPlant[Date],$A282)</f>
        <v/>
      </c>
      <c r="CJ282" s="55">
        <f>IF($B282=$B281,$CJ281,0)+$CI282</f>
        <v/>
      </c>
      <c r="CK282" s="55">
        <f>$CK281+$CI282</f>
        <v/>
      </c>
      <c r="CL282" s="56">
        <f>IFERROR(IF(($BZ282)&gt;0,($CC282*cfg_TroyOz)/($BZ282),""),"")</f>
        <v/>
      </c>
      <c r="CM282" s="56">
        <f>IFERROR(IF(($CA282)&gt;0,($CD282*cfg_TroyOz)/($CA282),""),"")</f>
        <v/>
      </c>
      <c r="CN282" s="56">
        <f>IFERROR(IF(($CB282)&gt;0,($CE282*cfg_TroyOz)/($CB282),""),"")</f>
        <v/>
      </c>
      <c r="CO282" s="56">
        <f>IFERROR(IF(($BZ282)&gt;0,($CF282*cfg_TroyOz)/($BZ282),""),"")</f>
        <v/>
      </c>
      <c r="CP282" s="56">
        <f>IFERROR(IF(($CA282)&gt;0,($CG282*cfg_TroyOz)/($CA282),""),"")</f>
        <v/>
      </c>
      <c r="CQ282" s="56">
        <f>IFERROR(IF(($CB282)&gt;0,($CH282*cfg_TroyOz)/($CB282),""),"")</f>
        <v/>
      </c>
      <c r="CR282" s="67">
        <f>IFERROR(IF(($CC282)&gt;0,($CI282)/($CC282),""),"")</f>
        <v/>
      </c>
      <c r="CS282" s="67">
        <f>IFERROR(IF(($CD282)&gt;0,($CJ282)/($CD282),""),"")</f>
        <v/>
      </c>
      <c r="CT282" s="67">
        <f>IFERROR(IF(($CE282)&gt;0,($CK282)/($CE282),""),"")</f>
        <v/>
      </c>
      <c r="CU282" s="55">
        <f>SUMIFS(tblPlant[Gravity_Gold_oz],tblPlant[Date],$A282)</f>
        <v/>
      </c>
      <c r="CV282" s="55">
        <f>IF($B282=$B281,$CV281,0)+$CU282</f>
        <v/>
      </c>
      <c r="CW282" s="55">
        <f>$CW281+$CU282</f>
        <v/>
      </c>
      <c r="CX282" s="55">
        <f>SUMIFS(tblPlant[Gold_Poured_oz],tblPlant[Date],$A282)</f>
        <v/>
      </c>
      <c r="CY282" s="55">
        <f>IF($B282=$B281,$CY281,0)+$CX282</f>
        <v/>
      </c>
      <c r="CZ282" s="55">
        <f>$CZ281+$CX282</f>
        <v/>
      </c>
      <c r="DA282" s="57">
        <f>SUMIFS(tblPlant[Mill_Run_h],tblPlant[Date],$A282)</f>
        <v/>
      </c>
      <c r="DB282" s="57">
        <f>IF($B282=$B281,$DB281,0)+$DA282</f>
        <v/>
      </c>
      <c r="DC282" s="57">
        <f>$DC281+$DA282</f>
        <v/>
      </c>
      <c r="DD282" s="57">
        <f>SUMIFS(tblPlant[Mill_Planned_Maint_h],tblPlant[Date],$A282)</f>
        <v/>
      </c>
      <c r="DE282" s="57">
        <f>IF($B282=$B281,$DE281,0)+$DD282</f>
        <v/>
      </c>
      <c r="DF282" s="57">
        <f>$DF281+$DD282</f>
        <v/>
      </c>
      <c r="DG282" s="57">
        <f>SUMIFS(tblPlant[Mill_Unplanned_Down_h],tblPlant[Date],$A282)</f>
        <v/>
      </c>
      <c r="DH282" s="57">
        <f>IF($B282=$B281,$DH281,0)+$DG282</f>
        <v/>
      </c>
      <c r="DI282" s="57">
        <f>$DI281+$DG282</f>
        <v/>
      </c>
      <c r="DJ282" s="57">
        <f>COUNTIFS(tblPlant[Date],$A282,tblPlant[Mill_Run_h],"&lt;&gt;")*24</f>
        <v/>
      </c>
      <c r="DK282" s="57">
        <f>IF($B282=$B281,$DK281,0)+$DJ282</f>
        <v/>
      </c>
      <c r="DL282" s="57">
        <f>$DL281+$DJ282</f>
        <v/>
      </c>
      <c r="DM282" s="57">
        <f>SUMIFS(tblPlant[Crusher_Run_h],tblPlant[Date],$A282)</f>
        <v/>
      </c>
      <c r="DN282" s="57">
        <f>IF($B282=$B281,$DN281,0)+$DM282</f>
        <v/>
      </c>
      <c r="DO282" s="57">
        <f>$DO281+$DM282</f>
        <v/>
      </c>
      <c r="DP282" s="55">
        <f>IFERROR(IF(($DA282)&gt;0,($BZ282)/($DA282),""),"")</f>
        <v/>
      </c>
      <c r="DQ282" s="55">
        <f>IFERROR(IF(($DB282)&gt;0,($CA282)/($DB282),""),"")</f>
        <v/>
      </c>
      <c r="DR282" s="55">
        <f>IFERROR(IF(($DC282)&gt;0,($CB282)/($DC282),""),"")</f>
        <v/>
      </c>
      <c r="DS282" s="67">
        <f>IFERROR(IF(($DJ282)&gt;0,($DJ282-$DD282-$DG282)/($DJ282),""),"")</f>
        <v/>
      </c>
      <c r="DT282" s="67">
        <f>IFERROR(IF(($DK282)&gt;0,($DK282-$DE282-$DH282)/($DK282),""),"")</f>
        <v/>
      </c>
      <c r="DU282" s="67">
        <f>IFERROR(IF(($DL282)&gt;0,($DL282-$DF282-$DI282)/($DL282),""),"")</f>
        <v/>
      </c>
      <c r="DV282" s="67">
        <f>IFERROR(IF(($DJ282-$DD282-$DG282)&gt;0,($DA282)/($DJ282-$DD282-$DG282),""),"")</f>
        <v/>
      </c>
      <c r="DW282" s="67">
        <f>IFERROR(IF(($DK282-$DE282-$DH282)&gt;0,($DB282)/($DK282-$DE282-$DH282),""),"")</f>
        <v/>
      </c>
      <c r="DX282" s="67">
        <f>IFERROR(IF(($DL282-$DF282-$DI282)&gt;0,($DC282)/($DL282-$DF282-$DI282),""),"")</f>
        <v/>
      </c>
      <c r="DY282" s="55">
        <f>SUMIFS(tblPlant[Cyanide_kg],tblPlant[Date],$A282)</f>
        <v/>
      </c>
      <c r="DZ282" s="55">
        <f>IF($B282=$B281,$DZ281,0)+$DY282</f>
        <v/>
      </c>
      <c r="EA282" s="55">
        <f>$EA281+$DY282</f>
        <v/>
      </c>
      <c r="EB282" s="55">
        <f>SUMIFS(tblPlant[Lime_kg],tblPlant[Date],$A282)</f>
        <v/>
      </c>
      <c r="EC282" s="55">
        <f>IF($B282=$B281,$EC281,0)+$EB282</f>
        <v/>
      </c>
      <c r="ED282" s="55">
        <f>$ED281+$EB282</f>
        <v/>
      </c>
      <c r="EE282" s="55">
        <f>SUMIFS(tblPlant[Grinding_Media_kg],tblPlant[Date],$A282)</f>
        <v/>
      </c>
      <c r="EF282" s="55">
        <f>IF($B282=$B281,$EF281,0)+$EE282</f>
        <v/>
      </c>
      <c r="EG282" s="55">
        <f>$EG281+$EE282</f>
        <v/>
      </c>
      <c r="EH282" s="55">
        <f>SUMIFS(tblPlant[Power_kWh],tblPlant[Date],$A282)</f>
        <v/>
      </c>
      <c r="EI282" s="55">
        <f>IF($B282=$B281,$EI281,0)+$EH282</f>
        <v/>
      </c>
      <c r="EJ282" s="55">
        <f>$EJ281+$EH282</f>
        <v/>
      </c>
      <c r="EK282" s="55">
        <f>SUMIFS(tblPlant[Raw_Water_m3],tblPlant[Date],$A282)</f>
        <v/>
      </c>
      <c r="EL282" s="55">
        <f>IF($B282=$B281,$EL281,0)+$EK282</f>
        <v/>
      </c>
      <c r="EM282" s="55">
        <f>$EM281+$EK282</f>
        <v/>
      </c>
      <c r="EN282" s="56">
        <f>IFERROR(IF(($BZ282)&gt;0,($DY282)/($BZ282),""),"")</f>
        <v/>
      </c>
      <c r="EO282" s="56">
        <f>IFERROR(IF(($CA282)&gt;0,($DZ282)/($CA282),""),"")</f>
        <v/>
      </c>
      <c r="EP282" s="56">
        <f>IFERROR(IF(($CB282)&gt;0,($EA282)/($CB282),""),"")</f>
        <v/>
      </c>
      <c r="EQ282" s="56">
        <f>IFERROR(IF(($BZ282)&gt;0,($EB282)/($BZ282),""),"")</f>
        <v/>
      </c>
      <c r="ER282" s="56">
        <f>IFERROR(IF(($CA282)&gt;0,($EC282)/($CA282),""),"")</f>
        <v/>
      </c>
      <c r="ES282" s="56">
        <f>IFERROR(IF(($CB282)&gt;0,($ED282)/($CB282),""),"")</f>
        <v/>
      </c>
      <c r="ET282" s="56">
        <f>IFERROR(IF(($BZ282)&gt;0,($EE282)/($BZ282),""),"")</f>
        <v/>
      </c>
      <c r="EU282" s="56">
        <f>IFERROR(IF(($CA282)&gt;0,($EF282)/($CA282),""),"")</f>
        <v/>
      </c>
      <c r="EV282" s="56">
        <f>IFERROR(IF(($CB282)&gt;0,($EG282)/($CB282),""),"")</f>
        <v/>
      </c>
      <c r="EW282" s="76">
        <f>IFERROR(IF(($BZ282)&gt;0,($EH282)/($BZ282),""),"")</f>
        <v/>
      </c>
      <c r="EX282" s="76">
        <f>IFERROR(IF(($CA282)&gt;0,($EI282)/($CA282),""),"")</f>
        <v/>
      </c>
      <c r="EY282" s="76">
        <f>IFERROR(IF(($CB282)&gt;0,($EJ282)/($CB282),""),"")</f>
        <v/>
      </c>
      <c r="EZ282" s="56">
        <f>IFERROR(IF(($BZ282)&gt;0,($EK282)/($BZ282),""),"")</f>
        <v/>
      </c>
      <c r="FA282" s="56">
        <f>IFERROR(IF(($CA282)&gt;0,($EL282)/($CA282),""),"")</f>
        <v/>
      </c>
      <c r="FB282" s="56">
        <f>IFERROR(IF(($CB282)&gt;0,($EM282)/($CB282),""),"")</f>
        <v/>
      </c>
      <c r="FC282" s="55">
        <f>IF(SUMIFS(tblPlant[GIC_oz],tblPlant[Date],$A282)&gt;0,SUMIFS(tblPlant[GIC_oz],tblPlant[Date],$A282),"")</f>
        <v/>
      </c>
      <c r="FD282" s="55">
        <f>SUMIFS(tblGold[Gold_oz],tblGold[Date],$A282,tblGold[Type],"Shipment")</f>
        <v/>
      </c>
      <c r="FE282" s="55">
        <f>IF($B282=$B281,$FE281,0)+$FD282</f>
        <v/>
      </c>
      <c r="FF282" s="55">
        <f>$FF281+$FD282</f>
        <v/>
      </c>
      <c r="FG282" s="55">
        <f>SUMIFS(tblGold[Gold_oz],tblGold[Date],$A282,tblGold[Type],"Sale")</f>
        <v/>
      </c>
      <c r="FH282" s="55">
        <f>IF($B282=$B281,$FH281,0)+$FG282</f>
        <v/>
      </c>
      <c r="FI282" s="55">
        <f>$FI281+$FG282</f>
        <v/>
      </c>
      <c r="FJ282" s="55">
        <f>SUMIFS(tblGold[Dore_kg],tblGold[Date],$A282,tblGold[Type],"Shipment")</f>
        <v/>
      </c>
      <c r="FK282" s="55">
        <f>IF($B282=$B281,$FK281,0)+$FJ282</f>
        <v/>
      </c>
      <c r="FL282" s="55">
        <f>$FL281+$FJ282</f>
        <v/>
      </c>
      <c r="FM282" s="57">
        <f>SUMIFS(tblSafety[Hours_Total],tblSafety[Date],$A282)</f>
        <v/>
      </c>
      <c r="FN282" s="57">
        <f>IF($B282=$B281,$FN281,0)+$FM282</f>
        <v/>
      </c>
      <c r="FO282" s="57">
        <f>$FO281+$FM282</f>
        <v/>
      </c>
      <c r="FP282" s="62">
        <f>SUMIFS(tblSafety[Fatality],tblSafety[Date],$A282)</f>
        <v/>
      </c>
      <c r="FQ282" s="62">
        <f>IF($B282=$B281,$FQ281,0)+$FP282</f>
        <v/>
      </c>
      <c r="FR282" s="62">
        <f>$FR281+$FP282</f>
        <v/>
      </c>
      <c r="FS282" s="62">
        <f>SUMIFS(tblSafety[LTI],tblSafety[Date],$A282)</f>
        <v/>
      </c>
      <c r="FT282" s="62">
        <f>IF($B282=$B281,$FT281,0)+$FS282</f>
        <v/>
      </c>
      <c r="FU282" s="62">
        <f>$FU281+$FS282</f>
        <v/>
      </c>
      <c r="FV282" s="62">
        <f>SUMIFS(tblSafety[RWI],tblSafety[Date],$A282)</f>
        <v/>
      </c>
      <c r="FW282" s="62">
        <f>IF($B282=$B281,$FW281,0)+$FV282</f>
        <v/>
      </c>
      <c r="FX282" s="62">
        <f>$FX281+$FV282</f>
        <v/>
      </c>
      <c r="FY282" s="62">
        <f>SUMIFS(tblSafety[MTI],tblSafety[Date],$A282)</f>
        <v/>
      </c>
      <c r="FZ282" s="62">
        <f>IF($B282=$B281,$FZ281,0)+$FY282</f>
        <v/>
      </c>
      <c r="GA282" s="62">
        <f>$GA281+$FY282</f>
        <v/>
      </c>
      <c r="GB282" s="62">
        <f>SUMIFS(tblSafety[FAI],tblSafety[Date],$A282)</f>
        <v/>
      </c>
      <c r="GC282" s="62">
        <f>IF($B282=$B281,$GC281,0)+$GB282</f>
        <v/>
      </c>
      <c r="GD282" s="62">
        <f>$GD281+$GB282</f>
        <v/>
      </c>
      <c r="GE282" s="62">
        <f>SUMIFS(tblSafety[Recordables],tblSafety[Date],$A282)</f>
        <v/>
      </c>
      <c r="GF282" s="62">
        <f>IF($B282=$B281,$GF281,0)+$GE282</f>
        <v/>
      </c>
      <c r="GG282" s="62">
        <f>$GG281+$GE282</f>
        <v/>
      </c>
      <c r="GH282" s="62">
        <f>SUMIFS(tblSafety[Near_Miss],tblSafety[Date],$A282)</f>
        <v/>
      </c>
      <c r="GI282" s="62">
        <f>IF($B282=$B281,$GI281,0)+$GH282</f>
        <v/>
      </c>
      <c r="GJ282" s="62">
        <f>$GJ281+$GH282</f>
        <v/>
      </c>
      <c r="GK282" s="62">
        <f>SUMIFS(tblSafety[Hazard_Reports],tblSafety[Date],$A282)</f>
        <v/>
      </c>
      <c r="GL282" s="62">
        <f>IF($B282=$B281,$GL281,0)+$GK282</f>
        <v/>
      </c>
      <c r="GM282" s="62">
        <f>$GM281+$GK282</f>
        <v/>
      </c>
      <c r="GN282" s="62">
        <f>SUMIFS(tblSafety[HPI],tblSafety[Date],$A282)</f>
        <v/>
      </c>
      <c r="GO282" s="62">
        <f>IF($B282=$B281,$GO281,0)+$GN282</f>
        <v/>
      </c>
      <c r="GP282" s="62">
        <f>$GP281+$GN282</f>
        <v/>
      </c>
      <c r="GQ282" s="62">
        <f>SUMIFS(tblSafety[Env_Incidents],tblSafety[Date],$A282)</f>
        <v/>
      </c>
      <c r="GR282" s="62">
        <f>IF($B282=$B281,$GR281,0)+$GQ282</f>
        <v/>
      </c>
      <c r="GS282" s="62">
        <f>$GS281+$GQ282</f>
        <v/>
      </c>
      <c r="GT282" s="62">
        <f>SUMIFS(tblSafety[Community_Incidents],tblSafety[Date],$A282)</f>
        <v/>
      </c>
      <c r="GU282" s="62">
        <f>IF($B282=$B281,$GU281,0)+$GT282</f>
        <v/>
      </c>
      <c r="GV282" s="62">
        <f>$GV281+$GT282</f>
        <v/>
      </c>
      <c r="GW282" s="62">
        <f>SUMIFS(tblSafety[Vehicle_Incidents],tblSafety[Date],$A282)</f>
        <v/>
      </c>
      <c r="GX282" s="62">
        <f>IF($B282=$B281,$GX281,0)+$GW282</f>
        <v/>
      </c>
      <c r="GY282" s="62">
        <f>$GY281+$GW282</f>
        <v/>
      </c>
      <c r="GZ282" s="62">
        <f>SUMIFS(tblSafety[Toolbox_Talks],tblSafety[Date],$A282)</f>
        <v/>
      </c>
      <c r="HA282" s="62">
        <f>IF($B282=$B281,$HA281,0)+$GZ282</f>
        <v/>
      </c>
      <c r="HB282" s="62">
        <f>$HB281+$GZ282</f>
        <v/>
      </c>
      <c r="HC282" s="62">
        <f>SUMIFS(tblSafety[Inspections],tblSafety[Date],$A282)</f>
        <v/>
      </c>
      <c r="HD282" s="62">
        <f>IF($B282=$B281,$HD281,0)+$HC282</f>
        <v/>
      </c>
      <c r="HE282" s="62">
        <f>$HE281+$HC282</f>
        <v/>
      </c>
      <c r="HF282" s="56">
        <f>IFERROR((SUMIFS(tblSafety[Recordables],tblSafety[Date],"&gt;="&amp;EDATE($E282,-12),tblSafety[Date],"&lt;="&amp;$A282)+SUMIFS(tblSafetyHistory[Recordables],tblSafetyHistory[Month],"&gt;="&amp;EDATE($E282,-12),tblSafetyHistory[Month],"&lt;"&amp;cfg_YearStart))/(SUMIFS(tblSafety[Hours_Total],tblSafety[Date],"&gt;="&amp;EDATE($E282,-12),tblSafety[Date],"&lt;="&amp;$A282)+SUMIFS(tblSafetyHistory[Hours_Total],tblSafetyHistory[Month],"&gt;="&amp;EDATE($E282,-12),tblSafetyHistory[Month],"&lt;"&amp;cfg_YearStart))*1000000,"")</f>
        <v/>
      </c>
      <c r="HG282" s="56">
        <f>IFERROR((SUMIFS(tblSafety[LTI],tblSafety[Date],"&gt;="&amp;EDATE($E282,-12),tblSafety[Date],"&lt;="&amp;$A282)+SUMIFS(tblSafetyHistory[LTI],tblSafetyHistory[Month],"&gt;="&amp;EDATE($E282,-12),tblSafetyHistory[Month],"&lt;"&amp;cfg_YearStart))/(SUMIFS(tblSafety[Hours_Total],tblSafety[Date],"&gt;="&amp;EDATE($E282,-12),tblSafety[Date],"&lt;="&amp;$A282)+SUMIFS(tblSafetyHistory[Hours_Total],tblSafetyHistory[Month],"&gt;="&amp;EDATE($E282,-12),tblSafetyHistory[Month],"&lt;"&amp;cfg_YearStart))*1000000,"")</f>
        <v/>
      </c>
      <c r="HH282" s="62">
        <f>IF(MAX(N(cfg_PriorLTIDate),_xlfn.MAXIFS(tblSafety[Date],tblSafety[LTI],"&gt;0",tblSafety[Date],"&lt;="&amp;$A282))=0,"",$A282-MAX(N(cfg_PriorLTIDate),_xlfn.MAXIFS(tblSafety[Date],tblSafety[LTI],"&gt;0",tblSafety[Date],"&lt;="&amp;$A282)))</f>
        <v/>
      </c>
      <c r="HI282" s="55">
        <f>SUMIFS(tblBudget[Ore_Mined_t],tblBudget[Month],$E282)</f>
        <v/>
      </c>
      <c r="HJ282" s="55">
        <f>$HI282*$C282/$D282</f>
        <v/>
      </c>
      <c r="HK282" s="55">
        <f>SUMIFS(tblBudget[Ore_Mined_t],tblBudget[Month],"&lt;"&amp;$E282)+$HJ282</f>
        <v/>
      </c>
      <c r="HL282" s="55">
        <f>SUMIFS(tblBudget[Ore_oz],tblBudget[Month],$E282)</f>
        <v/>
      </c>
      <c r="HM282" s="55">
        <f>$HL282*$C282/$D282</f>
        <v/>
      </c>
      <c r="HN282" s="55">
        <f>SUMIFS(tblBudget[Ore_oz],tblBudget[Month],"&lt;"&amp;$E282)+$HM282</f>
        <v/>
      </c>
      <c r="HO282" s="56">
        <f>IFERROR(IF(($HI282)&gt;0,($HL282*cfg_TroyOz)/($HI282),""),"")</f>
        <v/>
      </c>
      <c r="HP282" s="56">
        <f>IFERROR(IF(($HJ282)&gt;0,($HM282*cfg_TroyOz)/($HJ282),""),"")</f>
        <v/>
      </c>
      <c r="HQ282" s="56">
        <f>IFERROR(IF(($HK282)&gt;0,($HN282*cfg_TroyOz)/($HK282),""),"")</f>
        <v/>
      </c>
      <c r="HR282" s="55">
        <f>SUMIFS(tblBudget[Waste_t],tblBudget[Month],$E282)</f>
        <v/>
      </c>
      <c r="HS282" s="55">
        <f>$HR282*$C282/$D282</f>
        <v/>
      </c>
      <c r="HT282" s="55">
        <f>SUMIFS(tblBudget[Waste_t],tblBudget[Month],"&lt;"&amp;$E282)+$HS282</f>
        <v/>
      </c>
      <c r="HU282" s="55">
        <f>SUMIFS(tblBudget[TMM_t],tblBudget[Month],$E282)</f>
        <v/>
      </c>
      <c r="HV282" s="55">
        <f>$HU282*$C282/$D282</f>
        <v/>
      </c>
      <c r="HW282" s="55">
        <f>SUMIFS(tblBudget[TMM_t],tblBudget[Month],"&lt;"&amp;$E282)+$HV282</f>
        <v/>
      </c>
      <c r="HX282" s="56">
        <f>IFERROR(IF(($HI282)&gt;0,($HR282)/($HI282),""),"")</f>
        <v/>
      </c>
      <c r="HY282" s="56">
        <f>IFERROR(IF(($HJ282)&gt;0,($HS282)/($HJ282),""),"")</f>
        <v/>
      </c>
      <c r="HZ282" s="56">
        <f>IFERROR(IF(($HK282)&gt;0,($HT282)/($HK282),""),"")</f>
        <v/>
      </c>
      <c r="IA282" s="55">
        <f>SUMIFS(tblBudget[Drill_m],tblBudget[Month],$E282)</f>
        <v/>
      </c>
      <c r="IB282" s="55">
        <f>$IA282*$C282/$D282</f>
        <v/>
      </c>
      <c r="IC282" s="55">
        <f>SUMIFS(tblBudget[Drill_m],tblBudget[Month],"&lt;"&amp;$E282)+$IB282</f>
        <v/>
      </c>
      <c r="ID282" s="55">
        <f>SUMIFS(tblBudget[Diesel_L],tblBudget[Month],$E282)</f>
        <v/>
      </c>
      <c r="IE282" s="55">
        <f>$ID282*$C282/$D282</f>
        <v/>
      </c>
      <c r="IF282" s="55">
        <f>SUMIFS(tblBudget[Diesel_L],tblBudget[Month],"&lt;"&amp;$E282)+$IE282</f>
        <v/>
      </c>
      <c r="IG282" s="55">
        <f>SUMIFS(tblBudget[Milled_t],tblBudget[Month],$E282)</f>
        <v/>
      </c>
      <c r="IH282" s="55">
        <f>$IG282*$C282/$D282</f>
        <v/>
      </c>
      <c r="II282" s="55">
        <f>SUMIFS(tblBudget[Milled_t],tblBudget[Month],"&lt;"&amp;$E282)+$IH282</f>
        <v/>
      </c>
      <c r="IJ282" s="55">
        <f>SUMIFS(tblBudget[Feed_oz],tblBudget[Month],$E282)</f>
        <v/>
      </c>
      <c r="IK282" s="55">
        <f>$IJ282*$C282/$D282</f>
        <v/>
      </c>
      <c r="IL282" s="55">
        <f>SUMIFS(tblBudget[Feed_oz],tblBudget[Month],"&lt;"&amp;$E282)+$IK282</f>
        <v/>
      </c>
      <c r="IM282" s="55">
        <f>SUMIFS(tblBudget[Recovered_oz],tblBudget[Month],$E282)</f>
        <v/>
      </c>
      <c r="IN282" s="55">
        <f>$IM282*$C282/$D282</f>
        <v/>
      </c>
      <c r="IO282" s="55">
        <f>SUMIFS(tblBudget[Recovered_oz],tblBudget[Month],"&lt;"&amp;$E282)+$IN282</f>
        <v/>
      </c>
      <c r="IP282" s="56">
        <f>IFERROR(IF(($IG282)&gt;0,($IJ282*cfg_TroyOz)/($IG282),""),"")</f>
        <v/>
      </c>
      <c r="IQ282" s="56">
        <f>IFERROR(IF(($IH282)&gt;0,($IK282*cfg_TroyOz)/($IH282),""),"")</f>
        <v/>
      </c>
      <c r="IR282" s="56">
        <f>IFERROR(IF(($II282)&gt;0,($IL282*cfg_TroyOz)/($II282),""),"")</f>
        <v/>
      </c>
      <c r="IS282" s="67">
        <f>IFERROR(IF(($IJ282)&gt;0,($IM282)/($IJ282),""),"")</f>
        <v/>
      </c>
      <c r="IT282" s="67">
        <f>IFERROR(IF(($IK282)&gt;0,($IN282)/($IK282),""),"")</f>
        <v/>
      </c>
      <c r="IU282" s="67">
        <f>IFERROR(IF(($IL282)&gt;0,($IO282)/($IL282),""),"")</f>
        <v/>
      </c>
      <c r="IV282" s="55">
        <f>SUMIFS(tblBudget[Gold_Poured_oz],tblBudget[Month],$E282)</f>
        <v/>
      </c>
      <c r="IW282" s="55">
        <f>$IV282*$C282/$D282</f>
        <v/>
      </c>
      <c r="IX282" s="55">
        <f>SUMIFS(tblBudget[Gold_Poured_oz],tblBudget[Month],"&lt;"&amp;$E282)+$IW282</f>
        <v/>
      </c>
      <c r="IY282" s="57">
        <f>SUMIFS(tblBudget[Hours_Worked],tblBudget[Month],$E282)</f>
        <v/>
      </c>
      <c r="IZ282" s="57">
        <f>$IY282*$C282/$D282</f>
        <v/>
      </c>
      <c r="JA282" s="57">
        <f>SUMIFS(tblBudget[Hours_Worked],tblBudget[Month],"&lt;"&amp;$E282)+$IZ282</f>
        <v/>
      </c>
    </row>
    <row r="283">
      <c r="A283" s="54" t="n">
        <v>46304</v>
      </c>
      <c r="B283">
        <f>MONTH($A283)</f>
        <v/>
      </c>
      <c r="C283">
        <f>DAY($A283)</f>
        <v/>
      </c>
      <c r="D283">
        <f>DAY(EOMONTH($A283,0))</f>
        <v/>
      </c>
      <c r="E283" s="54">
        <f>DATE(YEAR($A283),MONTH($A283),1)</f>
        <v/>
      </c>
      <c r="F283" s="55">
        <f>SUMIFS(tblMovement[Tonnes_t],tblMovement[Date],$A283,tblMovement[Is_Ore],1,tblMovement[Source_Type],"Pit")</f>
        <v/>
      </c>
      <c r="G283" s="55">
        <f>IF($B283=$B282,$G282,0)+$F283</f>
        <v/>
      </c>
      <c r="H283" s="55">
        <f>$H282+$F283</f>
        <v/>
      </c>
      <c r="I283" s="55">
        <f>SUMIFS(tblMovement[Ore_oz],tblMovement[Date],$A283,tblMovement[Source_Type],"Pit")</f>
        <v/>
      </c>
      <c r="J283" s="55">
        <f>IF($B283=$B282,$J282,0)+$I283</f>
        <v/>
      </c>
      <c r="K283" s="55">
        <f>$K282+$I283</f>
        <v/>
      </c>
      <c r="L283" s="56">
        <f>IFERROR(IF(($F283)&gt;0,($I283*cfg_TroyOz)/($F283),""),"")</f>
        <v/>
      </c>
      <c r="M283" s="56">
        <f>IFERROR(IF(($G283)&gt;0,($J283*cfg_TroyOz)/($G283),""),"")</f>
        <v/>
      </c>
      <c r="N283" s="56">
        <f>IFERROR(IF(($H283)&gt;0,($K283*cfg_TroyOz)/($H283),""),"")</f>
        <v/>
      </c>
      <c r="O283" s="55">
        <f>SUMIFS(tblMovement[Tonnes_t],tblMovement[Date],$A283,tblMovement[Is_Ore],0,tblMovement[Source_Type],"Pit")</f>
        <v/>
      </c>
      <c r="P283" s="55">
        <f>IF($B283=$B282,$P282,0)+$O283</f>
        <v/>
      </c>
      <c r="Q283" s="55">
        <f>$Q282+$O283</f>
        <v/>
      </c>
      <c r="R283" s="55">
        <f>$F283+$O283</f>
        <v/>
      </c>
      <c r="S283" s="55">
        <f>IF($B283=$B282,$S282,0)+$R283</f>
        <v/>
      </c>
      <c r="T283" s="55">
        <f>$T282+$R283</f>
        <v/>
      </c>
      <c r="U283" s="56">
        <f>IFERROR(IF(($F283)&gt;0,($O283)/($F283),""),"")</f>
        <v/>
      </c>
      <c r="V283" s="56">
        <f>IFERROR(IF(($G283)&gt;0,($P283)/($G283),""),"")</f>
        <v/>
      </c>
      <c r="W283" s="56">
        <f>IFERROR(IF(($H283)&gt;0,($Q283)/($H283),""),"")</f>
        <v/>
      </c>
      <c r="X283" s="55">
        <f>SUMIFS(tblMovement[Tonnes_t],tblMovement[Date],$A283,tblMovement[Source_Type],"Stockpile")</f>
        <v/>
      </c>
      <c r="Y283" s="55">
        <f>IF($B283=$B282,$Y282,0)+$X283</f>
        <v/>
      </c>
      <c r="Z283" s="55">
        <f>$Z282+$X283</f>
        <v/>
      </c>
      <c r="AA283" s="55">
        <f>SUMIFS(tblMiningDaily[Drill_m],tblMiningDaily[Date],$A283)</f>
        <v/>
      </c>
      <c r="AB283" s="55">
        <f>IF($B283=$B282,$AB282,0)+$AA283</f>
        <v/>
      </c>
      <c r="AC283" s="55">
        <f>$AC282+$AA283</f>
        <v/>
      </c>
      <c r="AD283" s="55">
        <f>SUMIFS(tblMiningDaily[Blast_t],tblMiningDaily[Date],$A283)</f>
        <v/>
      </c>
      <c r="AE283" s="55">
        <f>IF($B283=$B282,$AE282,0)+$AD283</f>
        <v/>
      </c>
      <c r="AF283" s="55">
        <f>$AF282+$AD283</f>
        <v/>
      </c>
      <c r="AG283" s="55">
        <f>SUMIFS(tblMiningDaily[Explosives_kg],tblMiningDaily[Date],$A283)</f>
        <v/>
      </c>
      <c r="AH283" s="55">
        <f>IF($B283=$B282,$AH282,0)+$AG283</f>
        <v/>
      </c>
      <c r="AI283" s="55">
        <f>$AI282+$AG283</f>
        <v/>
      </c>
      <c r="AJ283" s="56">
        <f>IFERROR(IF(($AD283)&gt;0,($AG283)/($AD283),""),"")</f>
        <v/>
      </c>
      <c r="AK283" s="56">
        <f>IFERROR(IF(($AE283)&gt;0,($AH283)/($AE283),""),"")</f>
        <v/>
      </c>
      <c r="AL283" s="56">
        <f>IFERROR(IF(($AF283)&gt;0,($AI283)/($AF283),""),"")</f>
        <v/>
      </c>
      <c r="AM283" s="55">
        <f>SUMIFS(tblMiningDaily[Diesel_L],tblMiningDaily[Date],$A283)</f>
        <v/>
      </c>
      <c r="AN283" s="55">
        <f>IF($B283=$B282,$AN282,0)+$AM283</f>
        <v/>
      </c>
      <c r="AO283" s="55">
        <f>$AO282+$AM283</f>
        <v/>
      </c>
      <c r="AP283" s="55">
        <f>SUMIFS(tblMiningDaily[Dewatering_m3],tblMiningDaily[Date],$A283)</f>
        <v/>
      </c>
      <c r="AQ283" s="55">
        <f>IF($B283=$B282,$AQ282,0)+$AP283</f>
        <v/>
      </c>
      <c r="AR283" s="55">
        <f>$AR282+$AP283</f>
        <v/>
      </c>
      <c r="AS283" s="57">
        <f>SUMIFS(tblFleet[Calendar_h],tblFleet[Date],$A283,tblFleet[Equipment_Class],"Excavator")</f>
        <v/>
      </c>
      <c r="AT283" s="57">
        <f>IF($B283=$B282,$AT282,0)+$AS283</f>
        <v/>
      </c>
      <c r="AU283" s="57">
        <f>$AU282+$AS283</f>
        <v/>
      </c>
      <c r="AV283" s="57">
        <f>SUMIFS(tblFleet[Available_h],tblFleet[Date],$A283,tblFleet[Equipment_Class],"Excavator")</f>
        <v/>
      </c>
      <c r="AW283" s="57">
        <f>IF($B283=$B282,$AW282,0)+$AV283</f>
        <v/>
      </c>
      <c r="AX283" s="57">
        <f>$AX282+$AV283</f>
        <v/>
      </c>
      <c r="AY283" s="57">
        <f>SUMIFS(tblFleet[Operating_h],tblFleet[Date],$A283,tblFleet[Equipment_Class],"Excavator")</f>
        <v/>
      </c>
      <c r="AZ283" s="57">
        <f>IF($B283=$B282,$AZ282,0)+$AY283</f>
        <v/>
      </c>
      <c r="BA283" s="57">
        <f>$BA282+$AY283</f>
        <v/>
      </c>
      <c r="BB283" s="67">
        <f>IFERROR(IF(($AS283)&gt;0,($AV283)/($AS283),""),"")</f>
        <v/>
      </c>
      <c r="BC283" s="67">
        <f>IFERROR(IF(($AT283)&gt;0,($AW283)/($AT283),""),"")</f>
        <v/>
      </c>
      <c r="BD283" s="67">
        <f>IFERROR(IF(($AU283)&gt;0,($AX283)/($AU283),""),"")</f>
        <v/>
      </c>
      <c r="BE283" s="67">
        <f>IFERROR(IF(($AV283)&gt;0,($AY283)/($AV283),""),"")</f>
        <v/>
      </c>
      <c r="BF283" s="67">
        <f>IFERROR(IF(($AW283)&gt;0,($AZ283)/($AW283),""),"")</f>
        <v/>
      </c>
      <c r="BG283" s="67">
        <f>IFERROR(IF(($AX283)&gt;0,($BA283)/($AX283),""),"")</f>
        <v/>
      </c>
      <c r="BH283" s="57">
        <f>SUMIFS(tblFleet[Calendar_h],tblFleet[Date],$A283,tblFleet[Equipment_Class],"Haul Truck")</f>
        <v/>
      </c>
      <c r="BI283" s="57">
        <f>IF($B283=$B282,$BI282,0)+$BH283</f>
        <v/>
      </c>
      <c r="BJ283" s="57">
        <f>$BJ282+$BH283</f>
        <v/>
      </c>
      <c r="BK283" s="57">
        <f>SUMIFS(tblFleet[Available_h],tblFleet[Date],$A283,tblFleet[Equipment_Class],"Haul Truck")</f>
        <v/>
      </c>
      <c r="BL283" s="57">
        <f>IF($B283=$B282,$BL282,0)+$BK283</f>
        <v/>
      </c>
      <c r="BM283" s="57">
        <f>$BM282+$BK283</f>
        <v/>
      </c>
      <c r="BN283" s="57">
        <f>SUMIFS(tblFleet[Operating_h],tblFleet[Date],$A283,tblFleet[Equipment_Class],"Haul Truck")</f>
        <v/>
      </c>
      <c r="BO283" s="57">
        <f>IF($B283=$B282,$BO282,0)+$BN283</f>
        <v/>
      </c>
      <c r="BP283" s="57">
        <f>$BP282+$BN283</f>
        <v/>
      </c>
      <c r="BQ283" s="67">
        <f>IFERROR(IF(($BH283)&gt;0,($BK283)/($BH283),""),"")</f>
        <v/>
      </c>
      <c r="BR283" s="67">
        <f>IFERROR(IF(($BI283)&gt;0,($BL283)/($BI283),""),"")</f>
        <v/>
      </c>
      <c r="BS283" s="67">
        <f>IFERROR(IF(($BJ283)&gt;0,($BM283)/($BJ283),""),"")</f>
        <v/>
      </c>
      <c r="BT283" s="67">
        <f>IFERROR(IF(($BK283)&gt;0,($BN283)/($BK283),""),"")</f>
        <v/>
      </c>
      <c r="BU283" s="67">
        <f>IFERROR(IF(($BL283)&gt;0,($BO283)/($BL283),""),"")</f>
        <v/>
      </c>
      <c r="BV283" s="67">
        <f>IFERROR(IF(($BM283)&gt;0,($BP283)/($BM283),""),"")</f>
        <v/>
      </c>
      <c r="BW283" s="55">
        <f>SUMIFS(tblPlant[Crushed_t],tblPlant[Date],$A283)</f>
        <v/>
      </c>
      <c r="BX283" s="55">
        <f>IF($B283=$B282,$BX282,0)+$BW283</f>
        <v/>
      </c>
      <c r="BY283" s="55">
        <f>$BY282+$BW283</f>
        <v/>
      </c>
      <c r="BZ283" s="55">
        <f>SUMIFS(tblPlant[Milled_t],tblPlant[Date],$A283)</f>
        <v/>
      </c>
      <c r="CA283" s="55">
        <f>IF($B283=$B282,$CA282,0)+$BZ283</f>
        <v/>
      </c>
      <c r="CB283" s="55">
        <f>$CB282+$BZ283</f>
        <v/>
      </c>
      <c r="CC283" s="55">
        <f>SUMIFS(tblPlant[Feed_oz],tblPlant[Date],$A283)</f>
        <v/>
      </c>
      <c r="CD283" s="55">
        <f>IF($B283=$B282,$CD282,0)+$CC283</f>
        <v/>
      </c>
      <c r="CE283" s="55">
        <f>$CE282+$CC283</f>
        <v/>
      </c>
      <c r="CF283" s="55">
        <f>SUMIFS(tblPlant[Tails_oz],tblPlant[Date],$A283)</f>
        <v/>
      </c>
      <c r="CG283" s="55">
        <f>IF($B283=$B282,$CG282,0)+$CF283</f>
        <v/>
      </c>
      <c r="CH283" s="55">
        <f>$CH282+$CF283</f>
        <v/>
      </c>
      <c r="CI283" s="55">
        <f>SUMIFS(tblPlant[Recovered_oz],tblPlant[Date],$A283)</f>
        <v/>
      </c>
      <c r="CJ283" s="55">
        <f>IF($B283=$B282,$CJ282,0)+$CI283</f>
        <v/>
      </c>
      <c r="CK283" s="55">
        <f>$CK282+$CI283</f>
        <v/>
      </c>
      <c r="CL283" s="56">
        <f>IFERROR(IF(($BZ283)&gt;0,($CC283*cfg_TroyOz)/($BZ283),""),"")</f>
        <v/>
      </c>
      <c r="CM283" s="56">
        <f>IFERROR(IF(($CA283)&gt;0,($CD283*cfg_TroyOz)/($CA283),""),"")</f>
        <v/>
      </c>
      <c r="CN283" s="56">
        <f>IFERROR(IF(($CB283)&gt;0,($CE283*cfg_TroyOz)/($CB283),""),"")</f>
        <v/>
      </c>
      <c r="CO283" s="56">
        <f>IFERROR(IF(($BZ283)&gt;0,($CF283*cfg_TroyOz)/($BZ283),""),"")</f>
        <v/>
      </c>
      <c r="CP283" s="56">
        <f>IFERROR(IF(($CA283)&gt;0,($CG283*cfg_TroyOz)/($CA283),""),"")</f>
        <v/>
      </c>
      <c r="CQ283" s="56">
        <f>IFERROR(IF(($CB283)&gt;0,($CH283*cfg_TroyOz)/($CB283),""),"")</f>
        <v/>
      </c>
      <c r="CR283" s="67">
        <f>IFERROR(IF(($CC283)&gt;0,($CI283)/($CC283),""),"")</f>
        <v/>
      </c>
      <c r="CS283" s="67">
        <f>IFERROR(IF(($CD283)&gt;0,($CJ283)/($CD283),""),"")</f>
        <v/>
      </c>
      <c r="CT283" s="67">
        <f>IFERROR(IF(($CE283)&gt;0,($CK283)/($CE283),""),"")</f>
        <v/>
      </c>
      <c r="CU283" s="55">
        <f>SUMIFS(tblPlant[Gravity_Gold_oz],tblPlant[Date],$A283)</f>
        <v/>
      </c>
      <c r="CV283" s="55">
        <f>IF($B283=$B282,$CV282,0)+$CU283</f>
        <v/>
      </c>
      <c r="CW283" s="55">
        <f>$CW282+$CU283</f>
        <v/>
      </c>
      <c r="CX283" s="55">
        <f>SUMIFS(tblPlant[Gold_Poured_oz],tblPlant[Date],$A283)</f>
        <v/>
      </c>
      <c r="CY283" s="55">
        <f>IF($B283=$B282,$CY282,0)+$CX283</f>
        <v/>
      </c>
      <c r="CZ283" s="55">
        <f>$CZ282+$CX283</f>
        <v/>
      </c>
      <c r="DA283" s="57">
        <f>SUMIFS(tblPlant[Mill_Run_h],tblPlant[Date],$A283)</f>
        <v/>
      </c>
      <c r="DB283" s="57">
        <f>IF($B283=$B282,$DB282,0)+$DA283</f>
        <v/>
      </c>
      <c r="DC283" s="57">
        <f>$DC282+$DA283</f>
        <v/>
      </c>
      <c r="DD283" s="57">
        <f>SUMIFS(tblPlant[Mill_Planned_Maint_h],tblPlant[Date],$A283)</f>
        <v/>
      </c>
      <c r="DE283" s="57">
        <f>IF($B283=$B282,$DE282,0)+$DD283</f>
        <v/>
      </c>
      <c r="DF283" s="57">
        <f>$DF282+$DD283</f>
        <v/>
      </c>
      <c r="DG283" s="57">
        <f>SUMIFS(tblPlant[Mill_Unplanned_Down_h],tblPlant[Date],$A283)</f>
        <v/>
      </c>
      <c r="DH283" s="57">
        <f>IF($B283=$B282,$DH282,0)+$DG283</f>
        <v/>
      </c>
      <c r="DI283" s="57">
        <f>$DI282+$DG283</f>
        <v/>
      </c>
      <c r="DJ283" s="57">
        <f>COUNTIFS(tblPlant[Date],$A283,tblPlant[Mill_Run_h],"&lt;&gt;")*24</f>
        <v/>
      </c>
      <c r="DK283" s="57">
        <f>IF($B283=$B282,$DK282,0)+$DJ283</f>
        <v/>
      </c>
      <c r="DL283" s="57">
        <f>$DL282+$DJ283</f>
        <v/>
      </c>
      <c r="DM283" s="57">
        <f>SUMIFS(tblPlant[Crusher_Run_h],tblPlant[Date],$A283)</f>
        <v/>
      </c>
      <c r="DN283" s="57">
        <f>IF($B283=$B282,$DN282,0)+$DM283</f>
        <v/>
      </c>
      <c r="DO283" s="57">
        <f>$DO282+$DM283</f>
        <v/>
      </c>
      <c r="DP283" s="55">
        <f>IFERROR(IF(($DA283)&gt;0,($BZ283)/($DA283),""),"")</f>
        <v/>
      </c>
      <c r="DQ283" s="55">
        <f>IFERROR(IF(($DB283)&gt;0,($CA283)/($DB283),""),"")</f>
        <v/>
      </c>
      <c r="DR283" s="55">
        <f>IFERROR(IF(($DC283)&gt;0,($CB283)/($DC283),""),"")</f>
        <v/>
      </c>
      <c r="DS283" s="67">
        <f>IFERROR(IF(($DJ283)&gt;0,($DJ283-$DD283-$DG283)/($DJ283),""),"")</f>
        <v/>
      </c>
      <c r="DT283" s="67">
        <f>IFERROR(IF(($DK283)&gt;0,($DK283-$DE283-$DH283)/($DK283),""),"")</f>
        <v/>
      </c>
      <c r="DU283" s="67">
        <f>IFERROR(IF(($DL283)&gt;0,($DL283-$DF283-$DI283)/($DL283),""),"")</f>
        <v/>
      </c>
      <c r="DV283" s="67">
        <f>IFERROR(IF(($DJ283-$DD283-$DG283)&gt;0,($DA283)/($DJ283-$DD283-$DG283),""),"")</f>
        <v/>
      </c>
      <c r="DW283" s="67">
        <f>IFERROR(IF(($DK283-$DE283-$DH283)&gt;0,($DB283)/($DK283-$DE283-$DH283),""),"")</f>
        <v/>
      </c>
      <c r="DX283" s="67">
        <f>IFERROR(IF(($DL283-$DF283-$DI283)&gt;0,($DC283)/($DL283-$DF283-$DI283),""),"")</f>
        <v/>
      </c>
      <c r="DY283" s="55">
        <f>SUMIFS(tblPlant[Cyanide_kg],tblPlant[Date],$A283)</f>
        <v/>
      </c>
      <c r="DZ283" s="55">
        <f>IF($B283=$B282,$DZ282,0)+$DY283</f>
        <v/>
      </c>
      <c r="EA283" s="55">
        <f>$EA282+$DY283</f>
        <v/>
      </c>
      <c r="EB283" s="55">
        <f>SUMIFS(tblPlant[Lime_kg],tblPlant[Date],$A283)</f>
        <v/>
      </c>
      <c r="EC283" s="55">
        <f>IF($B283=$B282,$EC282,0)+$EB283</f>
        <v/>
      </c>
      <c r="ED283" s="55">
        <f>$ED282+$EB283</f>
        <v/>
      </c>
      <c r="EE283" s="55">
        <f>SUMIFS(tblPlant[Grinding_Media_kg],tblPlant[Date],$A283)</f>
        <v/>
      </c>
      <c r="EF283" s="55">
        <f>IF($B283=$B282,$EF282,0)+$EE283</f>
        <v/>
      </c>
      <c r="EG283" s="55">
        <f>$EG282+$EE283</f>
        <v/>
      </c>
      <c r="EH283" s="55">
        <f>SUMIFS(tblPlant[Power_kWh],tblPlant[Date],$A283)</f>
        <v/>
      </c>
      <c r="EI283" s="55">
        <f>IF($B283=$B282,$EI282,0)+$EH283</f>
        <v/>
      </c>
      <c r="EJ283" s="55">
        <f>$EJ282+$EH283</f>
        <v/>
      </c>
      <c r="EK283" s="55">
        <f>SUMIFS(tblPlant[Raw_Water_m3],tblPlant[Date],$A283)</f>
        <v/>
      </c>
      <c r="EL283" s="55">
        <f>IF($B283=$B282,$EL282,0)+$EK283</f>
        <v/>
      </c>
      <c r="EM283" s="55">
        <f>$EM282+$EK283</f>
        <v/>
      </c>
      <c r="EN283" s="56">
        <f>IFERROR(IF(($BZ283)&gt;0,($DY283)/($BZ283),""),"")</f>
        <v/>
      </c>
      <c r="EO283" s="56">
        <f>IFERROR(IF(($CA283)&gt;0,($DZ283)/($CA283),""),"")</f>
        <v/>
      </c>
      <c r="EP283" s="56">
        <f>IFERROR(IF(($CB283)&gt;0,($EA283)/($CB283),""),"")</f>
        <v/>
      </c>
      <c r="EQ283" s="56">
        <f>IFERROR(IF(($BZ283)&gt;0,($EB283)/($BZ283),""),"")</f>
        <v/>
      </c>
      <c r="ER283" s="56">
        <f>IFERROR(IF(($CA283)&gt;0,($EC283)/($CA283),""),"")</f>
        <v/>
      </c>
      <c r="ES283" s="56">
        <f>IFERROR(IF(($CB283)&gt;0,($ED283)/($CB283),""),"")</f>
        <v/>
      </c>
      <c r="ET283" s="56">
        <f>IFERROR(IF(($BZ283)&gt;0,($EE283)/($BZ283),""),"")</f>
        <v/>
      </c>
      <c r="EU283" s="56">
        <f>IFERROR(IF(($CA283)&gt;0,($EF283)/($CA283),""),"")</f>
        <v/>
      </c>
      <c r="EV283" s="56">
        <f>IFERROR(IF(($CB283)&gt;0,($EG283)/($CB283),""),"")</f>
        <v/>
      </c>
      <c r="EW283" s="76">
        <f>IFERROR(IF(($BZ283)&gt;0,($EH283)/($BZ283),""),"")</f>
        <v/>
      </c>
      <c r="EX283" s="76">
        <f>IFERROR(IF(($CA283)&gt;0,($EI283)/($CA283),""),"")</f>
        <v/>
      </c>
      <c r="EY283" s="76">
        <f>IFERROR(IF(($CB283)&gt;0,($EJ283)/($CB283),""),"")</f>
        <v/>
      </c>
      <c r="EZ283" s="56">
        <f>IFERROR(IF(($BZ283)&gt;0,($EK283)/($BZ283),""),"")</f>
        <v/>
      </c>
      <c r="FA283" s="56">
        <f>IFERROR(IF(($CA283)&gt;0,($EL283)/($CA283),""),"")</f>
        <v/>
      </c>
      <c r="FB283" s="56">
        <f>IFERROR(IF(($CB283)&gt;0,($EM283)/($CB283),""),"")</f>
        <v/>
      </c>
      <c r="FC283" s="55">
        <f>IF(SUMIFS(tblPlant[GIC_oz],tblPlant[Date],$A283)&gt;0,SUMIFS(tblPlant[GIC_oz],tblPlant[Date],$A283),"")</f>
        <v/>
      </c>
      <c r="FD283" s="55">
        <f>SUMIFS(tblGold[Gold_oz],tblGold[Date],$A283,tblGold[Type],"Shipment")</f>
        <v/>
      </c>
      <c r="FE283" s="55">
        <f>IF($B283=$B282,$FE282,0)+$FD283</f>
        <v/>
      </c>
      <c r="FF283" s="55">
        <f>$FF282+$FD283</f>
        <v/>
      </c>
      <c r="FG283" s="55">
        <f>SUMIFS(tblGold[Gold_oz],tblGold[Date],$A283,tblGold[Type],"Sale")</f>
        <v/>
      </c>
      <c r="FH283" s="55">
        <f>IF($B283=$B282,$FH282,0)+$FG283</f>
        <v/>
      </c>
      <c r="FI283" s="55">
        <f>$FI282+$FG283</f>
        <v/>
      </c>
      <c r="FJ283" s="55">
        <f>SUMIFS(tblGold[Dore_kg],tblGold[Date],$A283,tblGold[Type],"Shipment")</f>
        <v/>
      </c>
      <c r="FK283" s="55">
        <f>IF($B283=$B282,$FK282,0)+$FJ283</f>
        <v/>
      </c>
      <c r="FL283" s="55">
        <f>$FL282+$FJ283</f>
        <v/>
      </c>
      <c r="FM283" s="57">
        <f>SUMIFS(tblSafety[Hours_Total],tblSafety[Date],$A283)</f>
        <v/>
      </c>
      <c r="FN283" s="57">
        <f>IF($B283=$B282,$FN282,0)+$FM283</f>
        <v/>
      </c>
      <c r="FO283" s="57">
        <f>$FO282+$FM283</f>
        <v/>
      </c>
      <c r="FP283" s="62">
        <f>SUMIFS(tblSafety[Fatality],tblSafety[Date],$A283)</f>
        <v/>
      </c>
      <c r="FQ283" s="62">
        <f>IF($B283=$B282,$FQ282,0)+$FP283</f>
        <v/>
      </c>
      <c r="FR283" s="62">
        <f>$FR282+$FP283</f>
        <v/>
      </c>
      <c r="FS283" s="62">
        <f>SUMIFS(tblSafety[LTI],tblSafety[Date],$A283)</f>
        <v/>
      </c>
      <c r="FT283" s="62">
        <f>IF($B283=$B282,$FT282,0)+$FS283</f>
        <v/>
      </c>
      <c r="FU283" s="62">
        <f>$FU282+$FS283</f>
        <v/>
      </c>
      <c r="FV283" s="62">
        <f>SUMIFS(tblSafety[RWI],tblSafety[Date],$A283)</f>
        <v/>
      </c>
      <c r="FW283" s="62">
        <f>IF($B283=$B282,$FW282,0)+$FV283</f>
        <v/>
      </c>
      <c r="FX283" s="62">
        <f>$FX282+$FV283</f>
        <v/>
      </c>
      <c r="FY283" s="62">
        <f>SUMIFS(tblSafety[MTI],tblSafety[Date],$A283)</f>
        <v/>
      </c>
      <c r="FZ283" s="62">
        <f>IF($B283=$B282,$FZ282,0)+$FY283</f>
        <v/>
      </c>
      <c r="GA283" s="62">
        <f>$GA282+$FY283</f>
        <v/>
      </c>
      <c r="GB283" s="62">
        <f>SUMIFS(tblSafety[FAI],tblSafety[Date],$A283)</f>
        <v/>
      </c>
      <c r="GC283" s="62">
        <f>IF($B283=$B282,$GC282,0)+$GB283</f>
        <v/>
      </c>
      <c r="GD283" s="62">
        <f>$GD282+$GB283</f>
        <v/>
      </c>
      <c r="GE283" s="62">
        <f>SUMIFS(tblSafety[Recordables],tblSafety[Date],$A283)</f>
        <v/>
      </c>
      <c r="GF283" s="62">
        <f>IF($B283=$B282,$GF282,0)+$GE283</f>
        <v/>
      </c>
      <c r="GG283" s="62">
        <f>$GG282+$GE283</f>
        <v/>
      </c>
      <c r="GH283" s="62">
        <f>SUMIFS(tblSafety[Near_Miss],tblSafety[Date],$A283)</f>
        <v/>
      </c>
      <c r="GI283" s="62">
        <f>IF($B283=$B282,$GI282,0)+$GH283</f>
        <v/>
      </c>
      <c r="GJ283" s="62">
        <f>$GJ282+$GH283</f>
        <v/>
      </c>
      <c r="GK283" s="62">
        <f>SUMIFS(tblSafety[Hazard_Reports],tblSafety[Date],$A283)</f>
        <v/>
      </c>
      <c r="GL283" s="62">
        <f>IF($B283=$B282,$GL282,0)+$GK283</f>
        <v/>
      </c>
      <c r="GM283" s="62">
        <f>$GM282+$GK283</f>
        <v/>
      </c>
      <c r="GN283" s="62">
        <f>SUMIFS(tblSafety[HPI],tblSafety[Date],$A283)</f>
        <v/>
      </c>
      <c r="GO283" s="62">
        <f>IF($B283=$B282,$GO282,0)+$GN283</f>
        <v/>
      </c>
      <c r="GP283" s="62">
        <f>$GP282+$GN283</f>
        <v/>
      </c>
      <c r="GQ283" s="62">
        <f>SUMIFS(tblSafety[Env_Incidents],tblSafety[Date],$A283)</f>
        <v/>
      </c>
      <c r="GR283" s="62">
        <f>IF($B283=$B282,$GR282,0)+$GQ283</f>
        <v/>
      </c>
      <c r="GS283" s="62">
        <f>$GS282+$GQ283</f>
        <v/>
      </c>
      <c r="GT283" s="62">
        <f>SUMIFS(tblSafety[Community_Incidents],tblSafety[Date],$A283)</f>
        <v/>
      </c>
      <c r="GU283" s="62">
        <f>IF($B283=$B282,$GU282,0)+$GT283</f>
        <v/>
      </c>
      <c r="GV283" s="62">
        <f>$GV282+$GT283</f>
        <v/>
      </c>
      <c r="GW283" s="62">
        <f>SUMIFS(tblSafety[Vehicle_Incidents],tblSafety[Date],$A283)</f>
        <v/>
      </c>
      <c r="GX283" s="62">
        <f>IF($B283=$B282,$GX282,0)+$GW283</f>
        <v/>
      </c>
      <c r="GY283" s="62">
        <f>$GY282+$GW283</f>
        <v/>
      </c>
      <c r="GZ283" s="62">
        <f>SUMIFS(tblSafety[Toolbox_Talks],tblSafety[Date],$A283)</f>
        <v/>
      </c>
      <c r="HA283" s="62">
        <f>IF($B283=$B282,$HA282,0)+$GZ283</f>
        <v/>
      </c>
      <c r="HB283" s="62">
        <f>$HB282+$GZ283</f>
        <v/>
      </c>
      <c r="HC283" s="62">
        <f>SUMIFS(tblSafety[Inspections],tblSafety[Date],$A283)</f>
        <v/>
      </c>
      <c r="HD283" s="62">
        <f>IF($B283=$B282,$HD282,0)+$HC283</f>
        <v/>
      </c>
      <c r="HE283" s="62">
        <f>$HE282+$HC283</f>
        <v/>
      </c>
      <c r="HF283" s="56">
        <f>IFERROR((SUMIFS(tblSafety[Recordables],tblSafety[Date],"&gt;="&amp;EDATE($E283,-12),tblSafety[Date],"&lt;="&amp;$A283)+SUMIFS(tblSafetyHistory[Recordables],tblSafetyHistory[Month],"&gt;="&amp;EDATE($E283,-12),tblSafetyHistory[Month],"&lt;"&amp;cfg_YearStart))/(SUMIFS(tblSafety[Hours_Total],tblSafety[Date],"&gt;="&amp;EDATE($E283,-12),tblSafety[Date],"&lt;="&amp;$A283)+SUMIFS(tblSafetyHistory[Hours_Total],tblSafetyHistory[Month],"&gt;="&amp;EDATE($E283,-12),tblSafetyHistory[Month],"&lt;"&amp;cfg_YearStart))*1000000,"")</f>
        <v/>
      </c>
      <c r="HG283" s="56">
        <f>IFERROR((SUMIFS(tblSafety[LTI],tblSafety[Date],"&gt;="&amp;EDATE($E283,-12),tblSafety[Date],"&lt;="&amp;$A283)+SUMIFS(tblSafetyHistory[LTI],tblSafetyHistory[Month],"&gt;="&amp;EDATE($E283,-12),tblSafetyHistory[Month],"&lt;"&amp;cfg_YearStart))/(SUMIFS(tblSafety[Hours_Total],tblSafety[Date],"&gt;="&amp;EDATE($E283,-12),tblSafety[Date],"&lt;="&amp;$A283)+SUMIFS(tblSafetyHistory[Hours_Total],tblSafetyHistory[Month],"&gt;="&amp;EDATE($E283,-12),tblSafetyHistory[Month],"&lt;"&amp;cfg_YearStart))*1000000,"")</f>
        <v/>
      </c>
      <c r="HH283" s="62">
        <f>IF(MAX(N(cfg_PriorLTIDate),_xlfn.MAXIFS(tblSafety[Date],tblSafety[LTI],"&gt;0",tblSafety[Date],"&lt;="&amp;$A283))=0,"",$A283-MAX(N(cfg_PriorLTIDate),_xlfn.MAXIFS(tblSafety[Date],tblSafety[LTI],"&gt;0",tblSafety[Date],"&lt;="&amp;$A283)))</f>
        <v/>
      </c>
      <c r="HI283" s="55">
        <f>SUMIFS(tblBudget[Ore_Mined_t],tblBudget[Month],$E283)</f>
        <v/>
      </c>
      <c r="HJ283" s="55">
        <f>$HI283*$C283/$D283</f>
        <v/>
      </c>
      <c r="HK283" s="55">
        <f>SUMIFS(tblBudget[Ore_Mined_t],tblBudget[Month],"&lt;"&amp;$E283)+$HJ283</f>
        <v/>
      </c>
      <c r="HL283" s="55">
        <f>SUMIFS(tblBudget[Ore_oz],tblBudget[Month],$E283)</f>
        <v/>
      </c>
      <c r="HM283" s="55">
        <f>$HL283*$C283/$D283</f>
        <v/>
      </c>
      <c r="HN283" s="55">
        <f>SUMIFS(tblBudget[Ore_oz],tblBudget[Month],"&lt;"&amp;$E283)+$HM283</f>
        <v/>
      </c>
      <c r="HO283" s="56">
        <f>IFERROR(IF(($HI283)&gt;0,($HL283*cfg_TroyOz)/($HI283),""),"")</f>
        <v/>
      </c>
      <c r="HP283" s="56">
        <f>IFERROR(IF(($HJ283)&gt;0,($HM283*cfg_TroyOz)/($HJ283),""),"")</f>
        <v/>
      </c>
      <c r="HQ283" s="56">
        <f>IFERROR(IF(($HK283)&gt;0,($HN283*cfg_TroyOz)/($HK283),""),"")</f>
        <v/>
      </c>
      <c r="HR283" s="55">
        <f>SUMIFS(tblBudget[Waste_t],tblBudget[Month],$E283)</f>
        <v/>
      </c>
      <c r="HS283" s="55">
        <f>$HR283*$C283/$D283</f>
        <v/>
      </c>
      <c r="HT283" s="55">
        <f>SUMIFS(tblBudget[Waste_t],tblBudget[Month],"&lt;"&amp;$E283)+$HS283</f>
        <v/>
      </c>
      <c r="HU283" s="55">
        <f>SUMIFS(tblBudget[TMM_t],tblBudget[Month],$E283)</f>
        <v/>
      </c>
      <c r="HV283" s="55">
        <f>$HU283*$C283/$D283</f>
        <v/>
      </c>
      <c r="HW283" s="55">
        <f>SUMIFS(tblBudget[TMM_t],tblBudget[Month],"&lt;"&amp;$E283)+$HV283</f>
        <v/>
      </c>
      <c r="HX283" s="56">
        <f>IFERROR(IF(($HI283)&gt;0,($HR283)/($HI283),""),"")</f>
        <v/>
      </c>
      <c r="HY283" s="56">
        <f>IFERROR(IF(($HJ283)&gt;0,($HS283)/($HJ283),""),"")</f>
        <v/>
      </c>
      <c r="HZ283" s="56">
        <f>IFERROR(IF(($HK283)&gt;0,($HT283)/($HK283),""),"")</f>
        <v/>
      </c>
      <c r="IA283" s="55">
        <f>SUMIFS(tblBudget[Drill_m],tblBudget[Month],$E283)</f>
        <v/>
      </c>
      <c r="IB283" s="55">
        <f>$IA283*$C283/$D283</f>
        <v/>
      </c>
      <c r="IC283" s="55">
        <f>SUMIFS(tblBudget[Drill_m],tblBudget[Month],"&lt;"&amp;$E283)+$IB283</f>
        <v/>
      </c>
      <c r="ID283" s="55">
        <f>SUMIFS(tblBudget[Diesel_L],tblBudget[Month],$E283)</f>
        <v/>
      </c>
      <c r="IE283" s="55">
        <f>$ID283*$C283/$D283</f>
        <v/>
      </c>
      <c r="IF283" s="55">
        <f>SUMIFS(tblBudget[Diesel_L],tblBudget[Month],"&lt;"&amp;$E283)+$IE283</f>
        <v/>
      </c>
      <c r="IG283" s="55">
        <f>SUMIFS(tblBudget[Milled_t],tblBudget[Month],$E283)</f>
        <v/>
      </c>
      <c r="IH283" s="55">
        <f>$IG283*$C283/$D283</f>
        <v/>
      </c>
      <c r="II283" s="55">
        <f>SUMIFS(tblBudget[Milled_t],tblBudget[Month],"&lt;"&amp;$E283)+$IH283</f>
        <v/>
      </c>
      <c r="IJ283" s="55">
        <f>SUMIFS(tblBudget[Feed_oz],tblBudget[Month],$E283)</f>
        <v/>
      </c>
      <c r="IK283" s="55">
        <f>$IJ283*$C283/$D283</f>
        <v/>
      </c>
      <c r="IL283" s="55">
        <f>SUMIFS(tblBudget[Feed_oz],tblBudget[Month],"&lt;"&amp;$E283)+$IK283</f>
        <v/>
      </c>
      <c r="IM283" s="55">
        <f>SUMIFS(tblBudget[Recovered_oz],tblBudget[Month],$E283)</f>
        <v/>
      </c>
      <c r="IN283" s="55">
        <f>$IM283*$C283/$D283</f>
        <v/>
      </c>
      <c r="IO283" s="55">
        <f>SUMIFS(tblBudget[Recovered_oz],tblBudget[Month],"&lt;"&amp;$E283)+$IN283</f>
        <v/>
      </c>
      <c r="IP283" s="56">
        <f>IFERROR(IF(($IG283)&gt;0,($IJ283*cfg_TroyOz)/($IG283),""),"")</f>
        <v/>
      </c>
      <c r="IQ283" s="56">
        <f>IFERROR(IF(($IH283)&gt;0,($IK283*cfg_TroyOz)/($IH283),""),"")</f>
        <v/>
      </c>
      <c r="IR283" s="56">
        <f>IFERROR(IF(($II283)&gt;0,($IL283*cfg_TroyOz)/($II283),""),"")</f>
        <v/>
      </c>
      <c r="IS283" s="67">
        <f>IFERROR(IF(($IJ283)&gt;0,($IM283)/($IJ283),""),"")</f>
        <v/>
      </c>
      <c r="IT283" s="67">
        <f>IFERROR(IF(($IK283)&gt;0,($IN283)/($IK283),""),"")</f>
        <v/>
      </c>
      <c r="IU283" s="67">
        <f>IFERROR(IF(($IL283)&gt;0,($IO283)/($IL283),""),"")</f>
        <v/>
      </c>
      <c r="IV283" s="55">
        <f>SUMIFS(tblBudget[Gold_Poured_oz],tblBudget[Month],$E283)</f>
        <v/>
      </c>
      <c r="IW283" s="55">
        <f>$IV283*$C283/$D283</f>
        <v/>
      </c>
      <c r="IX283" s="55">
        <f>SUMIFS(tblBudget[Gold_Poured_oz],tblBudget[Month],"&lt;"&amp;$E283)+$IW283</f>
        <v/>
      </c>
      <c r="IY283" s="57">
        <f>SUMIFS(tblBudget[Hours_Worked],tblBudget[Month],$E283)</f>
        <v/>
      </c>
      <c r="IZ283" s="57">
        <f>$IY283*$C283/$D283</f>
        <v/>
      </c>
      <c r="JA283" s="57">
        <f>SUMIFS(tblBudget[Hours_Worked],tblBudget[Month],"&lt;"&amp;$E283)+$IZ283</f>
        <v/>
      </c>
    </row>
    <row r="284">
      <c r="A284" s="54" t="n">
        <v>46305</v>
      </c>
      <c r="B284">
        <f>MONTH($A284)</f>
        <v/>
      </c>
      <c r="C284">
        <f>DAY($A284)</f>
        <v/>
      </c>
      <c r="D284">
        <f>DAY(EOMONTH($A284,0))</f>
        <v/>
      </c>
      <c r="E284" s="54">
        <f>DATE(YEAR($A284),MONTH($A284),1)</f>
        <v/>
      </c>
      <c r="F284" s="55">
        <f>SUMIFS(tblMovement[Tonnes_t],tblMovement[Date],$A284,tblMovement[Is_Ore],1,tblMovement[Source_Type],"Pit")</f>
        <v/>
      </c>
      <c r="G284" s="55">
        <f>IF($B284=$B283,$G283,0)+$F284</f>
        <v/>
      </c>
      <c r="H284" s="55">
        <f>$H283+$F284</f>
        <v/>
      </c>
      <c r="I284" s="55">
        <f>SUMIFS(tblMovement[Ore_oz],tblMovement[Date],$A284,tblMovement[Source_Type],"Pit")</f>
        <v/>
      </c>
      <c r="J284" s="55">
        <f>IF($B284=$B283,$J283,0)+$I284</f>
        <v/>
      </c>
      <c r="K284" s="55">
        <f>$K283+$I284</f>
        <v/>
      </c>
      <c r="L284" s="56">
        <f>IFERROR(IF(($F284)&gt;0,($I284*cfg_TroyOz)/($F284),""),"")</f>
        <v/>
      </c>
      <c r="M284" s="56">
        <f>IFERROR(IF(($G284)&gt;0,($J284*cfg_TroyOz)/($G284),""),"")</f>
        <v/>
      </c>
      <c r="N284" s="56">
        <f>IFERROR(IF(($H284)&gt;0,($K284*cfg_TroyOz)/($H284),""),"")</f>
        <v/>
      </c>
      <c r="O284" s="55">
        <f>SUMIFS(tblMovement[Tonnes_t],tblMovement[Date],$A284,tblMovement[Is_Ore],0,tblMovement[Source_Type],"Pit")</f>
        <v/>
      </c>
      <c r="P284" s="55">
        <f>IF($B284=$B283,$P283,0)+$O284</f>
        <v/>
      </c>
      <c r="Q284" s="55">
        <f>$Q283+$O284</f>
        <v/>
      </c>
      <c r="R284" s="55">
        <f>$F284+$O284</f>
        <v/>
      </c>
      <c r="S284" s="55">
        <f>IF($B284=$B283,$S283,0)+$R284</f>
        <v/>
      </c>
      <c r="T284" s="55">
        <f>$T283+$R284</f>
        <v/>
      </c>
      <c r="U284" s="56">
        <f>IFERROR(IF(($F284)&gt;0,($O284)/($F284),""),"")</f>
        <v/>
      </c>
      <c r="V284" s="56">
        <f>IFERROR(IF(($G284)&gt;0,($P284)/($G284),""),"")</f>
        <v/>
      </c>
      <c r="W284" s="56">
        <f>IFERROR(IF(($H284)&gt;0,($Q284)/($H284),""),"")</f>
        <v/>
      </c>
      <c r="X284" s="55">
        <f>SUMIFS(tblMovement[Tonnes_t],tblMovement[Date],$A284,tblMovement[Source_Type],"Stockpile")</f>
        <v/>
      </c>
      <c r="Y284" s="55">
        <f>IF($B284=$B283,$Y283,0)+$X284</f>
        <v/>
      </c>
      <c r="Z284" s="55">
        <f>$Z283+$X284</f>
        <v/>
      </c>
      <c r="AA284" s="55">
        <f>SUMIFS(tblMiningDaily[Drill_m],tblMiningDaily[Date],$A284)</f>
        <v/>
      </c>
      <c r="AB284" s="55">
        <f>IF($B284=$B283,$AB283,0)+$AA284</f>
        <v/>
      </c>
      <c r="AC284" s="55">
        <f>$AC283+$AA284</f>
        <v/>
      </c>
      <c r="AD284" s="55">
        <f>SUMIFS(tblMiningDaily[Blast_t],tblMiningDaily[Date],$A284)</f>
        <v/>
      </c>
      <c r="AE284" s="55">
        <f>IF($B284=$B283,$AE283,0)+$AD284</f>
        <v/>
      </c>
      <c r="AF284" s="55">
        <f>$AF283+$AD284</f>
        <v/>
      </c>
      <c r="AG284" s="55">
        <f>SUMIFS(tblMiningDaily[Explosives_kg],tblMiningDaily[Date],$A284)</f>
        <v/>
      </c>
      <c r="AH284" s="55">
        <f>IF($B284=$B283,$AH283,0)+$AG284</f>
        <v/>
      </c>
      <c r="AI284" s="55">
        <f>$AI283+$AG284</f>
        <v/>
      </c>
      <c r="AJ284" s="56">
        <f>IFERROR(IF(($AD284)&gt;0,($AG284)/($AD284),""),"")</f>
        <v/>
      </c>
      <c r="AK284" s="56">
        <f>IFERROR(IF(($AE284)&gt;0,($AH284)/($AE284),""),"")</f>
        <v/>
      </c>
      <c r="AL284" s="56">
        <f>IFERROR(IF(($AF284)&gt;0,($AI284)/($AF284),""),"")</f>
        <v/>
      </c>
      <c r="AM284" s="55">
        <f>SUMIFS(tblMiningDaily[Diesel_L],tblMiningDaily[Date],$A284)</f>
        <v/>
      </c>
      <c r="AN284" s="55">
        <f>IF($B284=$B283,$AN283,0)+$AM284</f>
        <v/>
      </c>
      <c r="AO284" s="55">
        <f>$AO283+$AM284</f>
        <v/>
      </c>
      <c r="AP284" s="55">
        <f>SUMIFS(tblMiningDaily[Dewatering_m3],tblMiningDaily[Date],$A284)</f>
        <v/>
      </c>
      <c r="AQ284" s="55">
        <f>IF($B284=$B283,$AQ283,0)+$AP284</f>
        <v/>
      </c>
      <c r="AR284" s="55">
        <f>$AR283+$AP284</f>
        <v/>
      </c>
      <c r="AS284" s="57">
        <f>SUMIFS(tblFleet[Calendar_h],tblFleet[Date],$A284,tblFleet[Equipment_Class],"Excavator")</f>
        <v/>
      </c>
      <c r="AT284" s="57">
        <f>IF($B284=$B283,$AT283,0)+$AS284</f>
        <v/>
      </c>
      <c r="AU284" s="57">
        <f>$AU283+$AS284</f>
        <v/>
      </c>
      <c r="AV284" s="57">
        <f>SUMIFS(tblFleet[Available_h],tblFleet[Date],$A284,tblFleet[Equipment_Class],"Excavator")</f>
        <v/>
      </c>
      <c r="AW284" s="57">
        <f>IF($B284=$B283,$AW283,0)+$AV284</f>
        <v/>
      </c>
      <c r="AX284" s="57">
        <f>$AX283+$AV284</f>
        <v/>
      </c>
      <c r="AY284" s="57">
        <f>SUMIFS(tblFleet[Operating_h],tblFleet[Date],$A284,tblFleet[Equipment_Class],"Excavator")</f>
        <v/>
      </c>
      <c r="AZ284" s="57">
        <f>IF($B284=$B283,$AZ283,0)+$AY284</f>
        <v/>
      </c>
      <c r="BA284" s="57">
        <f>$BA283+$AY284</f>
        <v/>
      </c>
      <c r="BB284" s="67">
        <f>IFERROR(IF(($AS284)&gt;0,($AV284)/($AS284),""),"")</f>
        <v/>
      </c>
      <c r="BC284" s="67">
        <f>IFERROR(IF(($AT284)&gt;0,($AW284)/($AT284),""),"")</f>
        <v/>
      </c>
      <c r="BD284" s="67">
        <f>IFERROR(IF(($AU284)&gt;0,($AX284)/($AU284),""),"")</f>
        <v/>
      </c>
      <c r="BE284" s="67">
        <f>IFERROR(IF(($AV284)&gt;0,($AY284)/($AV284),""),"")</f>
        <v/>
      </c>
      <c r="BF284" s="67">
        <f>IFERROR(IF(($AW284)&gt;0,($AZ284)/($AW284),""),"")</f>
        <v/>
      </c>
      <c r="BG284" s="67">
        <f>IFERROR(IF(($AX284)&gt;0,($BA284)/($AX284),""),"")</f>
        <v/>
      </c>
      <c r="BH284" s="57">
        <f>SUMIFS(tblFleet[Calendar_h],tblFleet[Date],$A284,tblFleet[Equipment_Class],"Haul Truck")</f>
        <v/>
      </c>
      <c r="BI284" s="57">
        <f>IF($B284=$B283,$BI283,0)+$BH284</f>
        <v/>
      </c>
      <c r="BJ284" s="57">
        <f>$BJ283+$BH284</f>
        <v/>
      </c>
      <c r="BK284" s="57">
        <f>SUMIFS(tblFleet[Available_h],tblFleet[Date],$A284,tblFleet[Equipment_Class],"Haul Truck")</f>
        <v/>
      </c>
      <c r="BL284" s="57">
        <f>IF($B284=$B283,$BL283,0)+$BK284</f>
        <v/>
      </c>
      <c r="BM284" s="57">
        <f>$BM283+$BK284</f>
        <v/>
      </c>
      <c r="BN284" s="57">
        <f>SUMIFS(tblFleet[Operating_h],tblFleet[Date],$A284,tblFleet[Equipment_Class],"Haul Truck")</f>
        <v/>
      </c>
      <c r="BO284" s="57">
        <f>IF($B284=$B283,$BO283,0)+$BN284</f>
        <v/>
      </c>
      <c r="BP284" s="57">
        <f>$BP283+$BN284</f>
        <v/>
      </c>
      <c r="BQ284" s="67">
        <f>IFERROR(IF(($BH284)&gt;0,($BK284)/($BH284),""),"")</f>
        <v/>
      </c>
      <c r="BR284" s="67">
        <f>IFERROR(IF(($BI284)&gt;0,($BL284)/($BI284),""),"")</f>
        <v/>
      </c>
      <c r="BS284" s="67">
        <f>IFERROR(IF(($BJ284)&gt;0,($BM284)/($BJ284),""),"")</f>
        <v/>
      </c>
      <c r="BT284" s="67">
        <f>IFERROR(IF(($BK284)&gt;0,($BN284)/($BK284),""),"")</f>
        <v/>
      </c>
      <c r="BU284" s="67">
        <f>IFERROR(IF(($BL284)&gt;0,($BO284)/($BL284),""),"")</f>
        <v/>
      </c>
      <c r="BV284" s="67">
        <f>IFERROR(IF(($BM284)&gt;0,($BP284)/($BM284),""),"")</f>
        <v/>
      </c>
      <c r="BW284" s="55">
        <f>SUMIFS(tblPlant[Crushed_t],tblPlant[Date],$A284)</f>
        <v/>
      </c>
      <c r="BX284" s="55">
        <f>IF($B284=$B283,$BX283,0)+$BW284</f>
        <v/>
      </c>
      <c r="BY284" s="55">
        <f>$BY283+$BW284</f>
        <v/>
      </c>
      <c r="BZ284" s="55">
        <f>SUMIFS(tblPlant[Milled_t],tblPlant[Date],$A284)</f>
        <v/>
      </c>
      <c r="CA284" s="55">
        <f>IF($B284=$B283,$CA283,0)+$BZ284</f>
        <v/>
      </c>
      <c r="CB284" s="55">
        <f>$CB283+$BZ284</f>
        <v/>
      </c>
      <c r="CC284" s="55">
        <f>SUMIFS(tblPlant[Feed_oz],tblPlant[Date],$A284)</f>
        <v/>
      </c>
      <c r="CD284" s="55">
        <f>IF($B284=$B283,$CD283,0)+$CC284</f>
        <v/>
      </c>
      <c r="CE284" s="55">
        <f>$CE283+$CC284</f>
        <v/>
      </c>
      <c r="CF284" s="55">
        <f>SUMIFS(tblPlant[Tails_oz],tblPlant[Date],$A284)</f>
        <v/>
      </c>
      <c r="CG284" s="55">
        <f>IF($B284=$B283,$CG283,0)+$CF284</f>
        <v/>
      </c>
      <c r="CH284" s="55">
        <f>$CH283+$CF284</f>
        <v/>
      </c>
      <c r="CI284" s="55">
        <f>SUMIFS(tblPlant[Recovered_oz],tblPlant[Date],$A284)</f>
        <v/>
      </c>
      <c r="CJ284" s="55">
        <f>IF($B284=$B283,$CJ283,0)+$CI284</f>
        <v/>
      </c>
      <c r="CK284" s="55">
        <f>$CK283+$CI284</f>
        <v/>
      </c>
      <c r="CL284" s="56">
        <f>IFERROR(IF(($BZ284)&gt;0,($CC284*cfg_TroyOz)/($BZ284),""),"")</f>
        <v/>
      </c>
      <c r="CM284" s="56">
        <f>IFERROR(IF(($CA284)&gt;0,($CD284*cfg_TroyOz)/($CA284),""),"")</f>
        <v/>
      </c>
      <c r="CN284" s="56">
        <f>IFERROR(IF(($CB284)&gt;0,($CE284*cfg_TroyOz)/($CB284),""),"")</f>
        <v/>
      </c>
      <c r="CO284" s="56">
        <f>IFERROR(IF(($BZ284)&gt;0,($CF284*cfg_TroyOz)/($BZ284),""),"")</f>
        <v/>
      </c>
      <c r="CP284" s="56">
        <f>IFERROR(IF(($CA284)&gt;0,($CG284*cfg_TroyOz)/($CA284),""),"")</f>
        <v/>
      </c>
      <c r="CQ284" s="56">
        <f>IFERROR(IF(($CB284)&gt;0,($CH284*cfg_TroyOz)/($CB284),""),"")</f>
        <v/>
      </c>
      <c r="CR284" s="67">
        <f>IFERROR(IF(($CC284)&gt;0,($CI284)/($CC284),""),"")</f>
        <v/>
      </c>
      <c r="CS284" s="67">
        <f>IFERROR(IF(($CD284)&gt;0,($CJ284)/($CD284),""),"")</f>
        <v/>
      </c>
      <c r="CT284" s="67">
        <f>IFERROR(IF(($CE284)&gt;0,($CK284)/($CE284),""),"")</f>
        <v/>
      </c>
      <c r="CU284" s="55">
        <f>SUMIFS(tblPlant[Gravity_Gold_oz],tblPlant[Date],$A284)</f>
        <v/>
      </c>
      <c r="CV284" s="55">
        <f>IF($B284=$B283,$CV283,0)+$CU284</f>
        <v/>
      </c>
      <c r="CW284" s="55">
        <f>$CW283+$CU284</f>
        <v/>
      </c>
      <c r="CX284" s="55">
        <f>SUMIFS(tblPlant[Gold_Poured_oz],tblPlant[Date],$A284)</f>
        <v/>
      </c>
      <c r="CY284" s="55">
        <f>IF($B284=$B283,$CY283,0)+$CX284</f>
        <v/>
      </c>
      <c r="CZ284" s="55">
        <f>$CZ283+$CX284</f>
        <v/>
      </c>
      <c r="DA284" s="57">
        <f>SUMIFS(tblPlant[Mill_Run_h],tblPlant[Date],$A284)</f>
        <v/>
      </c>
      <c r="DB284" s="57">
        <f>IF($B284=$B283,$DB283,0)+$DA284</f>
        <v/>
      </c>
      <c r="DC284" s="57">
        <f>$DC283+$DA284</f>
        <v/>
      </c>
      <c r="DD284" s="57">
        <f>SUMIFS(tblPlant[Mill_Planned_Maint_h],tblPlant[Date],$A284)</f>
        <v/>
      </c>
      <c r="DE284" s="57">
        <f>IF($B284=$B283,$DE283,0)+$DD284</f>
        <v/>
      </c>
      <c r="DF284" s="57">
        <f>$DF283+$DD284</f>
        <v/>
      </c>
      <c r="DG284" s="57">
        <f>SUMIFS(tblPlant[Mill_Unplanned_Down_h],tblPlant[Date],$A284)</f>
        <v/>
      </c>
      <c r="DH284" s="57">
        <f>IF($B284=$B283,$DH283,0)+$DG284</f>
        <v/>
      </c>
      <c r="DI284" s="57">
        <f>$DI283+$DG284</f>
        <v/>
      </c>
      <c r="DJ284" s="57">
        <f>COUNTIFS(tblPlant[Date],$A284,tblPlant[Mill_Run_h],"&lt;&gt;")*24</f>
        <v/>
      </c>
      <c r="DK284" s="57">
        <f>IF($B284=$B283,$DK283,0)+$DJ284</f>
        <v/>
      </c>
      <c r="DL284" s="57">
        <f>$DL283+$DJ284</f>
        <v/>
      </c>
      <c r="DM284" s="57">
        <f>SUMIFS(tblPlant[Crusher_Run_h],tblPlant[Date],$A284)</f>
        <v/>
      </c>
      <c r="DN284" s="57">
        <f>IF($B284=$B283,$DN283,0)+$DM284</f>
        <v/>
      </c>
      <c r="DO284" s="57">
        <f>$DO283+$DM284</f>
        <v/>
      </c>
      <c r="DP284" s="55">
        <f>IFERROR(IF(($DA284)&gt;0,($BZ284)/($DA284),""),"")</f>
        <v/>
      </c>
      <c r="DQ284" s="55">
        <f>IFERROR(IF(($DB284)&gt;0,($CA284)/($DB284),""),"")</f>
        <v/>
      </c>
      <c r="DR284" s="55">
        <f>IFERROR(IF(($DC284)&gt;0,($CB284)/($DC284),""),"")</f>
        <v/>
      </c>
      <c r="DS284" s="67">
        <f>IFERROR(IF(($DJ284)&gt;0,($DJ284-$DD284-$DG284)/($DJ284),""),"")</f>
        <v/>
      </c>
      <c r="DT284" s="67">
        <f>IFERROR(IF(($DK284)&gt;0,($DK284-$DE284-$DH284)/($DK284),""),"")</f>
        <v/>
      </c>
      <c r="DU284" s="67">
        <f>IFERROR(IF(($DL284)&gt;0,($DL284-$DF284-$DI284)/($DL284),""),"")</f>
        <v/>
      </c>
      <c r="DV284" s="67">
        <f>IFERROR(IF(($DJ284-$DD284-$DG284)&gt;0,($DA284)/($DJ284-$DD284-$DG284),""),"")</f>
        <v/>
      </c>
      <c r="DW284" s="67">
        <f>IFERROR(IF(($DK284-$DE284-$DH284)&gt;0,($DB284)/($DK284-$DE284-$DH284),""),"")</f>
        <v/>
      </c>
      <c r="DX284" s="67">
        <f>IFERROR(IF(($DL284-$DF284-$DI284)&gt;0,($DC284)/($DL284-$DF284-$DI284),""),"")</f>
        <v/>
      </c>
      <c r="DY284" s="55">
        <f>SUMIFS(tblPlant[Cyanide_kg],tblPlant[Date],$A284)</f>
        <v/>
      </c>
      <c r="DZ284" s="55">
        <f>IF($B284=$B283,$DZ283,0)+$DY284</f>
        <v/>
      </c>
      <c r="EA284" s="55">
        <f>$EA283+$DY284</f>
        <v/>
      </c>
      <c r="EB284" s="55">
        <f>SUMIFS(tblPlant[Lime_kg],tblPlant[Date],$A284)</f>
        <v/>
      </c>
      <c r="EC284" s="55">
        <f>IF($B284=$B283,$EC283,0)+$EB284</f>
        <v/>
      </c>
      <c r="ED284" s="55">
        <f>$ED283+$EB284</f>
        <v/>
      </c>
      <c r="EE284" s="55">
        <f>SUMIFS(tblPlant[Grinding_Media_kg],tblPlant[Date],$A284)</f>
        <v/>
      </c>
      <c r="EF284" s="55">
        <f>IF($B284=$B283,$EF283,0)+$EE284</f>
        <v/>
      </c>
      <c r="EG284" s="55">
        <f>$EG283+$EE284</f>
        <v/>
      </c>
      <c r="EH284" s="55">
        <f>SUMIFS(tblPlant[Power_kWh],tblPlant[Date],$A284)</f>
        <v/>
      </c>
      <c r="EI284" s="55">
        <f>IF($B284=$B283,$EI283,0)+$EH284</f>
        <v/>
      </c>
      <c r="EJ284" s="55">
        <f>$EJ283+$EH284</f>
        <v/>
      </c>
      <c r="EK284" s="55">
        <f>SUMIFS(tblPlant[Raw_Water_m3],tblPlant[Date],$A284)</f>
        <v/>
      </c>
      <c r="EL284" s="55">
        <f>IF($B284=$B283,$EL283,0)+$EK284</f>
        <v/>
      </c>
      <c r="EM284" s="55">
        <f>$EM283+$EK284</f>
        <v/>
      </c>
      <c r="EN284" s="56">
        <f>IFERROR(IF(($BZ284)&gt;0,($DY284)/($BZ284),""),"")</f>
        <v/>
      </c>
      <c r="EO284" s="56">
        <f>IFERROR(IF(($CA284)&gt;0,($DZ284)/($CA284),""),"")</f>
        <v/>
      </c>
      <c r="EP284" s="56">
        <f>IFERROR(IF(($CB284)&gt;0,($EA284)/($CB284),""),"")</f>
        <v/>
      </c>
      <c r="EQ284" s="56">
        <f>IFERROR(IF(($BZ284)&gt;0,($EB284)/($BZ284),""),"")</f>
        <v/>
      </c>
      <c r="ER284" s="56">
        <f>IFERROR(IF(($CA284)&gt;0,($EC284)/($CA284),""),"")</f>
        <v/>
      </c>
      <c r="ES284" s="56">
        <f>IFERROR(IF(($CB284)&gt;0,($ED284)/($CB284),""),"")</f>
        <v/>
      </c>
      <c r="ET284" s="56">
        <f>IFERROR(IF(($BZ284)&gt;0,($EE284)/($BZ284),""),"")</f>
        <v/>
      </c>
      <c r="EU284" s="56">
        <f>IFERROR(IF(($CA284)&gt;0,($EF284)/($CA284),""),"")</f>
        <v/>
      </c>
      <c r="EV284" s="56">
        <f>IFERROR(IF(($CB284)&gt;0,($EG284)/($CB284),""),"")</f>
        <v/>
      </c>
      <c r="EW284" s="76">
        <f>IFERROR(IF(($BZ284)&gt;0,($EH284)/($BZ284),""),"")</f>
        <v/>
      </c>
      <c r="EX284" s="76">
        <f>IFERROR(IF(($CA284)&gt;0,($EI284)/($CA284),""),"")</f>
        <v/>
      </c>
      <c r="EY284" s="76">
        <f>IFERROR(IF(($CB284)&gt;0,($EJ284)/($CB284),""),"")</f>
        <v/>
      </c>
      <c r="EZ284" s="56">
        <f>IFERROR(IF(($BZ284)&gt;0,($EK284)/($BZ284),""),"")</f>
        <v/>
      </c>
      <c r="FA284" s="56">
        <f>IFERROR(IF(($CA284)&gt;0,($EL284)/($CA284),""),"")</f>
        <v/>
      </c>
      <c r="FB284" s="56">
        <f>IFERROR(IF(($CB284)&gt;0,($EM284)/($CB284),""),"")</f>
        <v/>
      </c>
      <c r="FC284" s="55">
        <f>IF(SUMIFS(tblPlant[GIC_oz],tblPlant[Date],$A284)&gt;0,SUMIFS(tblPlant[GIC_oz],tblPlant[Date],$A284),"")</f>
        <v/>
      </c>
      <c r="FD284" s="55">
        <f>SUMIFS(tblGold[Gold_oz],tblGold[Date],$A284,tblGold[Type],"Shipment")</f>
        <v/>
      </c>
      <c r="FE284" s="55">
        <f>IF($B284=$B283,$FE283,0)+$FD284</f>
        <v/>
      </c>
      <c r="FF284" s="55">
        <f>$FF283+$FD284</f>
        <v/>
      </c>
      <c r="FG284" s="55">
        <f>SUMIFS(tblGold[Gold_oz],tblGold[Date],$A284,tblGold[Type],"Sale")</f>
        <v/>
      </c>
      <c r="FH284" s="55">
        <f>IF($B284=$B283,$FH283,0)+$FG284</f>
        <v/>
      </c>
      <c r="FI284" s="55">
        <f>$FI283+$FG284</f>
        <v/>
      </c>
      <c r="FJ284" s="55">
        <f>SUMIFS(tblGold[Dore_kg],tblGold[Date],$A284,tblGold[Type],"Shipment")</f>
        <v/>
      </c>
      <c r="FK284" s="55">
        <f>IF($B284=$B283,$FK283,0)+$FJ284</f>
        <v/>
      </c>
      <c r="FL284" s="55">
        <f>$FL283+$FJ284</f>
        <v/>
      </c>
      <c r="FM284" s="57">
        <f>SUMIFS(tblSafety[Hours_Total],tblSafety[Date],$A284)</f>
        <v/>
      </c>
      <c r="FN284" s="57">
        <f>IF($B284=$B283,$FN283,0)+$FM284</f>
        <v/>
      </c>
      <c r="FO284" s="57">
        <f>$FO283+$FM284</f>
        <v/>
      </c>
      <c r="FP284" s="62">
        <f>SUMIFS(tblSafety[Fatality],tblSafety[Date],$A284)</f>
        <v/>
      </c>
      <c r="FQ284" s="62">
        <f>IF($B284=$B283,$FQ283,0)+$FP284</f>
        <v/>
      </c>
      <c r="FR284" s="62">
        <f>$FR283+$FP284</f>
        <v/>
      </c>
      <c r="FS284" s="62">
        <f>SUMIFS(tblSafety[LTI],tblSafety[Date],$A284)</f>
        <v/>
      </c>
      <c r="FT284" s="62">
        <f>IF($B284=$B283,$FT283,0)+$FS284</f>
        <v/>
      </c>
      <c r="FU284" s="62">
        <f>$FU283+$FS284</f>
        <v/>
      </c>
      <c r="FV284" s="62">
        <f>SUMIFS(tblSafety[RWI],tblSafety[Date],$A284)</f>
        <v/>
      </c>
      <c r="FW284" s="62">
        <f>IF($B284=$B283,$FW283,0)+$FV284</f>
        <v/>
      </c>
      <c r="FX284" s="62">
        <f>$FX283+$FV284</f>
        <v/>
      </c>
      <c r="FY284" s="62">
        <f>SUMIFS(tblSafety[MTI],tblSafety[Date],$A284)</f>
        <v/>
      </c>
      <c r="FZ284" s="62">
        <f>IF($B284=$B283,$FZ283,0)+$FY284</f>
        <v/>
      </c>
      <c r="GA284" s="62">
        <f>$GA283+$FY284</f>
        <v/>
      </c>
      <c r="GB284" s="62">
        <f>SUMIFS(tblSafety[FAI],tblSafety[Date],$A284)</f>
        <v/>
      </c>
      <c r="GC284" s="62">
        <f>IF($B284=$B283,$GC283,0)+$GB284</f>
        <v/>
      </c>
      <c r="GD284" s="62">
        <f>$GD283+$GB284</f>
        <v/>
      </c>
      <c r="GE284" s="62">
        <f>SUMIFS(tblSafety[Recordables],tblSafety[Date],$A284)</f>
        <v/>
      </c>
      <c r="GF284" s="62">
        <f>IF($B284=$B283,$GF283,0)+$GE284</f>
        <v/>
      </c>
      <c r="GG284" s="62">
        <f>$GG283+$GE284</f>
        <v/>
      </c>
      <c r="GH284" s="62">
        <f>SUMIFS(tblSafety[Near_Miss],tblSafety[Date],$A284)</f>
        <v/>
      </c>
      <c r="GI284" s="62">
        <f>IF($B284=$B283,$GI283,0)+$GH284</f>
        <v/>
      </c>
      <c r="GJ284" s="62">
        <f>$GJ283+$GH284</f>
        <v/>
      </c>
      <c r="GK284" s="62">
        <f>SUMIFS(tblSafety[Hazard_Reports],tblSafety[Date],$A284)</f>
        <v/>
      </c>
      <c r="GL284" s="62">
        <f>IF($B284=$B283,$GL283,0)+$GK284</f>
        <v/>
      </c>
      <c r="GM284" s="62">
        <f>$GM283+$GK284</f>
        <v/>
      </c>
      <c r="GN284" s="62">
        <f>SUMIFS(tblSafety[HPI],tblSafety[Date],$A284)</f>
        <v/>
      </c>
      <c r="GO284" s="62">
        <f>IF($B284=$B283,$GO283,0)+$GN284</f>
        <v/>
      </c>
      <c r="GP284" s="62">
        <f>$GP283+$GN284</f>
        <v/>
      </c>
      <c r="GQ284" s="62">
        <f>SUMIFS(tblSafety[Env_Incidents],tblSafety[Date],$A284)</f>
        <v/>
      </c>
      <c r="GR284" s="62">
        <f>IF($B284=$B283,$GR283,0)+$GQ284</f>
        <v/>
      </c>
      <c r="GS284" s="62">
        <f>$GS283+$GQ284</f>
        <v/>
      </c>
      <c r="GT284" s="62">
        <f>SUMIFS(tblSafety[Community_Incidents],tblSafety[Date],$A284)</f>
        <v/>
      </c>
      <c r="GU284" s="62">
        <f>IF($B284=$B283,$GU283,0)+$GT284</f>
        <v/>
      </c>
      <c r="GV284" s="62">
        <f>$GV283+$GT284</f>
        <v/>
      </c>
      <c r="GW284" s="62">
        <f>SUMIFS(tblSafety[Vehicle_Incidents],tblSafety[Date],$A284)</f>
        <v/>
      </c>
      <c r="GX284" s="62">
        <f>IF($B284=$B283,$GX283,0)+$GW284</f>
        <v/>
      </c>
      <c r="GY284" s="62">
        <f>$GY283+$GW284</f>
        <v/>
      </c>
      <c r="GZ284" s="62">
        <f>SUMIFS(tblSafety[Toolbox_Talks],tblSafety[Date],$A284)</f>
        <v/>
      </c>
      <c r="HA284" s="62">
        <f>IF($B284=$B283,$HA283,0)+$GZ284</f>
        <v/>
      </c>
      <c r="HB284" s="62">
        <f>$HB283+$GZ284</f>
        <v/>
      </c>
      <c r="HC284" s="62">
        <f>SUMIFS(tblSafety[Inspections],tblSafety[Date],$A284)</f>
        <v/>
      </c>
      <c r="HD284" s="62">
        <f>IF($B284=$B283,$HD283,0)+$HC284</f>
        <v/>
      </c>
      <c r="HE284" s="62">
        <f>$HE283+$HC284</f>
        <v/>
      </c>
      <c r="HF284" s="56">
        <f>IFERROR((SUMIFS(tblSafety[Recordables],tblSafety[Date],"&gt;="&amp;EDATE($E284,-12),tblSafety[Date],"&lt;="&amp;$A284)+SUMIFS(tblSafetyHistory[Recordables],tblSafetyHistory[Month],"&gt;="&amp;EDATE($E284,-12),tblSafetyHistory[Month],"&lt;"&amp;cfg_YearStart))/(SUMIFS(tblSafety[Hours_Total],tblSafety[Date],"&gt;="&amp;EDATE($E284,-12),tblSafety[Date],"&lt;="&amp;$A284)+SUMIFS(tblSafetyHistory[Hours_Total],tblSafetyHistory[Month],"&gt;="&amp;EDATE($E284,-12),tblSafetyHistory[Month],"&lt;"&amp;cfg_YearStart))*1000000,"")</f>
        <v/>
      </c>
      <c r="HG284" s="56">
        <f>IFERROR((SUMIFS(tblSafety[LTI],tblSafety[Date],"&gt;="&amp;EDATE($E284,-12),tblSafety[Date],"&lt;="&amp;$A284)+SUMIFS(tblSafetyHistory[LTI],tblSafetyHistory[Month],"&gt;="&amp;EDATE($E284,-12),tblSafetyHistory[Month],"&lt;"&amp;cfg_YearStart))/(SUMIFS(tblSafety[Hours_Total],tblSafety[Date],"&gt;="&amp;EDATE($E284,-12),tblSafety[Date],"&lt;="&amp;$A284)+SUMIFS(tblSafetyHistory[Hours_Total],tblSafetyHistory[Month],"&gt;="&amp;EDATE($E284,-12),tblSafetyHistory[Month],"&lt;"&amp;cfg_YearStart))*1000000,"")</f>
        <v/>
      </c>
      <c r="HH284" s="62">
        <f>IF(MAX(N(cfg_PriorLTIDate),_xlfn.MAXIFS(tblSafety[Date],tblSafety[LTI],"&gt;0",tblSafety[Date],"&lt;="&amp;$A284))=0,"",$A284-MAX(N(cfg_PriorLTIDate),_xlfn.MAXIFS(tblSafety[Date],tblSafety[LTI],"&gt;0",tblSafety[Date],"&lt;="&amp;$A284)))</f>
        <v/>
      </c>
      <c r="HI284" s="55">
        <f>SUMIFS(tblBudget[Ore_Mined_t],tblBudget[Month],$E284)</f>
        <v/>
      </c>
      <c r="HJ284" s="55">
        <f>$HI284*$C284/$D284</f>
        <v/>
      </c>
      <c r="HK284" s="55">
        <f>SUMIFS(tblBudget[Ore_Mined_t],tblBudget[Month],"&lt;"&amp;$E284)+$HJ284</f>
        <v/>
      </c>
      <c r="HL284" s="55">
        <f>SUMIFS(tblBudget[Ore_oz],tblBudget[Month],$E284)</f>
        <v/>
      </c>
      <c r="HM284" s="55">
        <f>$HL284*$C284/$D284</f>
        <v/>
      </c>
      <c r="HN284" s="55">
        <f>SUMIFS(tblBudget[Ore_oz],tblBudget[Month],"&lt;"&amp;$E284)+$HM284</f>
        <v/>
      </c>
      <c r="HO284" s="56">
        <f>IFERROR(IF(($HI284)&gt;0,($HL284*cfg_TroyOz)/($HI284),""),"")</f>
        <v/>
      </c>
      <c r="HP284" s="56">
        <f>IFERROR(IF(($HJ284)&gt;0,($HM284*cfg_TroyOz)/($HJ284),""),"")</f>
        <v/>
      </c>
      <c r="HQ284" s="56">
        <f>IFERROR(IF(($HK284)&gt;0,($HN284*cfg_TroyOz)/($HK284),""),"")</f>
        <v/>
      </c>
      <c r="HR284" s="55">
        <f>SUMIFS(tblBudget[Waste_t],tblBudget[Month],$E284)</f>
        <v/>
      </c>
      <c r="HS284" s="55">
        <f>$HR284*$C284/$D284</f>
        <v/>
      </c>
      <c r="HT284" s="55">
        <f>SUMIFS(tblBudget[Waste_t],tblBudget[Month],"&lt;"&amp;$E284)+$HS284</f>
        <v/>
      </c>
      <c r="HU284" s="55">
        <f>SUMIFS(tblBudget[TMM_t],tblBudget[Month],$E284)</f>
        <v/>
      </c>
      <c r="HV284" s="55">
        <f>$HU284*$C284/$D284</f>
        <v/>
      </c>
      <c r="HW284" s="55">
        <f>SUMIFS(tblBudget[TMM_t],tblBudget[Month],"&lt;"&amp;$E284)+$HV284</f>
        <v/>
      </c>
      <c r="HX284" s="56">
        <f>IFERROR(IF(($HI284)&gt;0,($HR284)/($HI284),""),"")</f>
        <v/>
      </c>
      <c r="HY284" s="56">
        <f>IFERROR(IF(($HJ284)&gt;0,($HS284)/($HJ284),""),"")</f>
        <v/>
      </c>
      <c r="HZ284" s="56">
        <f>IFERROR(IF(($HK284)&gt;0,($HT284)/($HK284),""),"")</f>
        <v/>
      </c>
      <c r="IA284" s="55">
        <f>SUMIFS(tblBudget[Drill_m],tblBudget[Month],$E284)</f>
        <v/>
      </c>
      <c r="IB284" s="55">
        <f>$IA284*$C284/$D284</f>
        <v/>
      </c>
      <c r="IC284" s="55">
        <f>SUMIFS(tblBudget[Drill_m],tblBudget[Month],"&lt;"&amp;$E284)+$IB284</f>
        <v/>
      </c>
      <c r="ID284" s="55">
        <f>SUMIFS(tblBudget[Diesel_L],tblBudget[Month],$E284)</f>
        <v/>
      </c>
      <c r="IE284" s="55">
        <f>$ID284*$C284/$D284</f>
        <v/>
      </c>
      <c r="IF284" s="55">
        <f>SUMIFS(tblBudget[Diesel_L],tblBudget[Month],"&lt;"&amp;$E284)+$IE284</f>
        <v/>
      </c>
      <c r="IG284" s="55">
        <f>SUMIFS(tblBudget[Milled_t],tblBudget[Month],$E284)</f>
        <v/>
      </c>
      <c r="IH284" s="55">
        <f>$IG284*$C284/$D284</f>
        <v/>
      </c>
      <c r="II284" s="55">
        <f>SUMIFS(tblBudget[Milled_t],tblBudget[Month],"&lt;"&amp;$E284)+$IH284</f>
        <v/>
      </c>
      <c r="IJ284" s="55">
        <f>SUMIFS(tblBudget[Feed_oz],tblBudget[Month],$E284)</f>
        <v/>
      </c>
      <c r="IK284" s="55">
        <f>$IJ284*$C284/$D284</f>
        <v/>
      </c>
      <c r="IL284" s="55">
        <f>SUMIFS(tblBudget[Feed_oz],tblBudget[Month],"&lt;"&amp;$E284)+$IK284</f>
        <v/>
      </c>
      <c r="IM284" s="55">
        <f>SUMIFS(tblBudget[Recovered_oz],tblBudget[Month],$E284)</f>
        <v/>
      </c>
      <c r="IN284" s="55">
        <f>$IM284*$C284/$D284</f>
        <v/>
      </c>
      <c r="IO284" s="55">
        <f>SUMIFS(tblBudget[Recovered_oz],tblBudget[Month],"&lt;"&amp;$E284)+$IN284</f>
        <v/>
      </c>
      <c r="IP284" s="56">
        <f>IFERROR(IF(($IG284)&gt;0,($IJ284*cfg_TroyOz)/($IG284),""),"")</f>
        <v/>
      </c>
      <c r="IQ284" s="56">
        <f>IFERROR(IF(($IH284)&gt;0,($IK284*cfg_TroyOz)/($IH284),""),"")</f>
        <v/>
      </c>
      <c r="IR284" s="56">
        <f>IFERROR(IF(($II284)&gt;0,($IL284*cfg_TroyOz)/($II284),""),"")</f>
        <v/>
      </c>
      <c r="IS284" s="67">
        <f>IFERROR(IF(($IJ284)&gt;0,($IM284)/($IJ284),""),"")</f>
        <v/>
      </c>
      <c r="IT284" s="67">
        <f>IFERROR(IF(($IK284)&gt;0,($IN284)/($IK284),""),"")</f>
        <v/>
      </c>
      <c r="IU284" s="67">
        <f>IFERROR(IF(($IL284)&gt;0,($IO284)/($IL284),""),"")</f>
        <v/>
      </c>
      <c r="IV284" s="55">
        <f>SUMIFS(tblBudget[Gold_Poured_oz],tblBudget[Month],$E284)</f>
        <v/>
      </c>
      <c r="IW284" s="55">
        <f>$IV284*$C284/$D284</f>
        <v/>
      </c>
      <c r="IX284" s="55">
        <f>SUMIFS(tblBudget[Gold_Poured_oz],tblBudget[Month],"&lt;"&amp;$E284)+$IW284</f>
        <v/>
      </c>
      <c r="IY284" s="57">
        <f>SUMIFS(tblBudget[Hours_Worked],tblBudget[Month],$E284)</f>
        <v/>
      </c>
      <c r="IZ284" s="57">
        <f>$IY284*$C284/$D284</f>
        <v/>
      </c>
      <c r="JA284" s="57">
        <f>SUMIFS(tblBudget[Hours_Worked],tblBudget[Month],"&lt;"&amp;$E284)+$IZ284</f>
        <v/>
      </c>
    </row>
    <row r="285">
      <c r="A285" s="54" t="n">
        <v>46306</v>
      </c>
      <c r="B285">
        <f>MONTH($A285)</f>
        <v/>
      </c>
      <c r="C285">
        <f>DAY($A285)</f>
        <v/>
      </c>
      <c r="D285">
        <f>DAY(EOMONTH($A285,0))</f>
        <v/>
      </c>
      <c r="E285" s="54">
        <f>DATE(YEAR($A285),MONTH($A285),1)</f>
        <v/>
      </c>
      <c r="F285" s="55">
        <f>SUMIFS(tblMovement[Tonnes_t],tblMovement[Date],$A285,tblMovement[Is_Ore],1,tblMovement[Source_Type],"Pit")</f>
        <v/>
      </c>
      <c r="G285" s="55">
        <f>IF($B285=$B284,$G284,0)+$F285</f>
        <v/>
      </c>
      <c r="H285" s="55">
        <f>$H284+$F285</f>
        <v/>
      </c>
      <c r="I285" s="55">
        <f>SUMIFS(tblMovement[Ore_oz],tblMovement[Date],$A285,tblMovement[Source_Type],"Pit")</f>
        <v/>
      </c>
      <c r="J285" s="55">
        <f>IF($B285=$B284,$J284,0)+$I285</f>
        <v/>
      </c>
      <c r="K285" s="55">
        <f>$K284+$I285</f>
        <v/>
      </c>
      <c r="L285" s="56">
        <f>IFERROR(IF(($F285)&gt;0,($I285*cfg_TroyOz)/($F285),""),"")</f>
        <v/>
      </c>
      <c r="M285" s="56">
        <f>IFERROR(IF(($G285)&gt;0,($J285*cfg_TroyOz)/($G285),""),"")</f>
        <v/>
      </c>
      <c r="N285" s="56">
        <f>IFERROR(IF(($H285)&gt;0,($K285*cfg_TroyOz)/($H285),""),"")</f>
        <v/>
      </c>
      <c r="O285" s="55">
        <f>SUMIFS(tblMovement[Tonnes_t],tblMovement[Date],$A285,tblMovement[Is_Ore],0,tblMovement[Source_Type],"Pit")</f>
        <v/>
      </c>
      <c r="P285" s="55">
        <f>IF($B285=$B284,$P284,0)+$O285</f>
        <v/>
      </c>
      <c r="Q285" s="55">
        <f>$Q284+$O285</f>
        <v/>
      </c>
      <c r="R285" s="55">
        <f>$F285+$O285</f>
        <v/>
      </c>
      <c r="S285" s="55">
        <f>IF($B285=$B284,$S284,0)+$R285</f>
        <v/>
      </c>
      <c r="T285" s="55">
        <f>$T284+$R285</f>
        <v/>
      </c>
      <c r="U285" s="56">
        <f>IFERROR(IF(($F285)&gt;0,($O285)/($F285),""),"")</f>
        <v/>
      </c>
      <c r="V285" s="56">
        <f>IFERROR(IF(($G285)&gt;0,($P285)/($G285),""),"")</f>
        <v/>
      </c>
      <c r="W285" s="56">
        <f>IFERROR(IF(($H285)&gt;0,($Q285)/($H285),""),"")</f>
        <v/>
      </c>
      <c r="X285" s="55">
        <f>SUMIFS(tblMovement[Tonnes_t],tblMovement[Date],$A285,tblMovement[Source_Type],"Stockpile")</f>
        <v/>
      </c>
      <c r="Y285" s="55">
        <f>IF($B285=$B284,$Y284,0)+$X285</f>
        <v/>
      </c>
      <c r="Z285" s="55">
        <f>$Z284+$X285</f>
        <v/>
      </c>
      <c r="AA285" s="55">
        <f>SUMIFS(tblMiningDaily[Drill_m],tblMiningDaily[Date],$A285)</f>
        <v/>
      </c>
      <c r="AB285" s="55">
        <f>IF($B285=$B284,$AB284,0)+$AA285</f>
        <v/>
      </c>
      <c r="AC285" s="55">
        <f>$AC284+$AA285</f>
        <v/>
      </c>
      <c r="AD285" s="55">
        <f>SUMIFS(tblMiningDaily[Blast_t],tblMiningDaily[Date],$A285)</f>
        <v/>
      </c>
      <c r="AE285" s="55">
        <f>IF($B285=$B284,$AE284,0)+$AD285</f>
        <v/>
      </c>
      <c r="AF285" s="55">
        <f>$AF284+$AD285</f>
        <v/>
      </c>
      <c r="AG285" s="55">
        <f>SUMIFS(tblMiningDaily[Explosives_kg],tblMiningDaily[Date],$A285)</f>
        <v/>
      </c>
      <c r="AH285" s="55">
        <f>IF($B285=$B284,$AH284,0)+$AG285</f>
        <v/>
      </c>
      <c r="AI285" s="55">
        <f>$AI284+$AG285</f>
        <v/>
      </c>
      <c r="AJ285" s="56">
        <f>IFERROR(IF(($AD285)&gt;0,($AG285)/($AD285),""),"")</f>
        <v/>
      </c>
      <c r="AK285" s="56">
        <f>IFERROR(IF(($AE285)&gt;0,($AH285)/($AE285),""),"")</f>
        <v/>
      </c>
      <c r="AL285" s="56">
        <f>IFERROR(IF(($AF285)&gt;0,($AI285)/($AF285),""),"")</f>
        <v/>
      </c>
      <c r="AM285" s="55">
        <f>SUMIFS(tblMiningDaily[Diesel_L],tblMiningDaily[Date],$A285)</f>
        <v/>
      </c>
      <c r="AN285" s="55">
        <f>IF($B285=$B284,$AN284,0)+$AM285</f>
        <v/>
      </c>
      <c r="AO285" s="55">
        <f>$AO284+$AM285</f>
        <v/>
      </c>
      <c r="AP285" s="55">
        <f>SUMIFS(tblMiningDaily[Dewatering_m3],tblMiningDaily[Date],$A285)</f>
        <v/>
      </c>
      <c r="AQ285" s="55">
        <f>IF($B285=$B284,$AQ284,0)+$AP285</f>
        <v/>
      </c>
      <c r="AR285" s="55">
        <f>$AR284+$AP285</f>
        <v/>
      </c>
      <c r="AS285" s="57">
        <f>SUMIFS(tblFleet[Calendar_h],tblFleet[Date],$A285,tblFleet[Equipment_Class],"Excavator")</f>
        <v/>
      </c>
      <c r="AT285" s="57">
        <f>IF($B285=$B284,$AT284,0)+$AS285</f>
        <v/>
      </c>
      <c r="AU285" s="57">
        <f>$AU284+$AS285</f>
        <v/>
      </c>
      <c r="AV285" s="57">
        <f>SUMIFS(tblFleet[Available_h],tblFleet[Date],$A285,tblFleet[Equipment_Class],"Excavator")</f>
        <v/>
      </c>
      <c r="AW285" s="57">
        <f>IF($B285=$B284,$AW284,0)+$AV285</f>
        <v/>
      </c>
      <c r="AX285" s="57">
        <f>$AX284+$AV285</f>
        <v/>
      </c>
      <c r="AY285" s="57">
        <f>SUMIFS(tblFleet[Operating_h],tblFleet[Date],$A285,tblFleet[Equipment_Class],"Excavator")</f>
        <v/>
      </c>
      <c r="AZ285" s="57">
        <f>IF($B285=$B284,$AZ284,0)+$AY285</f>
        <v/>
      </c>
      <c r="BA285" s="57">
        <f>$BA284+$AY285</f>
        <v/>
      </c>
      <c r="BB285" s="67">
        <f>IFERROR(IF(($AS285)&gt;0,($AV285)/($AS285),""),"")</f>
        <v/>
      </c>
      <c r="BC285" s="67">
        <f>IFERROR(IF(($AT285)&gt;0,($AW285)/($AT285),""),"")</f>
        <v/>
      </c>
      <c r="BD285" s="67">
        <f>IFERROR(IF(($AU285)&gt;0,($AX285)/($AU285),""),"")</f>
        <v/>
      </c>
      <c r="BE285" s="67">
        <f>IFERROR(IF(($AV285)&gt;0,($AY285)/($AV285),""),"")</f>
        <v/>
      </c>
      <c r="BF285" s="67">
        <f>IFERROR(IF(($AW285)&gt;0,($AZ285)/($AW285),""),"")</f>
        <v/>
      </c>
      <c r="BG285" s="67">
        <f>IFERROR(IF(($AX285)&gt;0,($BA285)/($AX285),""),"")</f>
        <v/>
      </c>
      <c r="BH285" s="57">
        <f>SUMIFS(tblFleet[Calendar_h],tblFleet[Date],$A285,tblFleet[Equipment_Class],"Haul Truck")</f>
        <v/>
      </c>
      <c r="BI285" s="57">
        <f>IF($B285=$B284,$BI284,0)+$BH285</f>
        <v/>
      </c>
      <c r="BJ285" s="57">
        <f>$BJ284+$BH285</f>
        <v/>
      </c>
      <c r="BK285" s="57">
        <f>SUMIFS(tblFleet[Available_h],tblFleet[Date],$A285,tblFleet[Equipment_Class],"Haul Truck")</f>
        <v/>
      </c>
      <c r="BL285" s="57">
        <f>IF($B285=$B284,$BL284,0)+$BK285</f>
        <v/>
      </c>
      <c r="BM285" s="57">
        <f>$BM284+$BK285</f>
        <v/>
      </c>
      <c r="BN285" s="57">
        <f>SUMIFS(tblFleet[Operating_h],tblFleet[Date],$A285,tblFleet[Equipment_Class],"Haul Truck")</f>
        <v/>
      </c>
      <c r="BO285" s="57">
        <f>IF($B285=$B284,$BO284,0)+$BN285</f>
        <v/>
      </c>
      <c r="BP285" s="57">
        <f>$BP284+$BN285</f>
        <v/>
      </c>
      <c r="BQ285" s="67">
        <f>IFERROR(IF(($BH285)&gt;0,($BK285)/($BH285),""),"")</f>
        <v/>
      </c>
      <c r="BR285" s="67">
        <f>IFERROR(IF(($BI285)&gt;0,($BL285)/($BI285),""),"")</f>
        <v/>
      </c>
      <c r="BS285" s="67">
        <f>IFERROR(IF(($BJ285)&gt;0,($BM285)/($BJ285),""),"")</f>
        <v/>
      </c>
      <c r="BT285" s="67">
        <f>IFERROR(IF(($BK285)&gt;0,($BN285)/($BK285),""),"")</f>
        <v/>
      </c>
      <c r="BU285" s="67">
        <f>IFERROR(IF(($BL285)&gt;0,($BO285)/($BL285),""),"")</f>
        <v/>
      </c>
      <c r="BV285" s="67">
        <f>IFERROR(IF(($BM285)&gt;0,($BP285)/($BM285),""),"")</f>
        <v/>
      </c>
      <c r="BW285" s="55">
        <f>SUMIFS(tblPlant[Crushed_t],tblPlant[Date],$A285)</f>
        <v/>
      </c>
      <c r="BX285" s="55">
        <f>IF($B285=$B284,$BX284,0)+$BW285</f>
        <v/>
      </c>
      <c r="BY285" s="55">
        <f>$BY284+$BW285</f>
        <v/>
      </c>
      <c r="BZ285" s="55">
        <f>SUMIFS(tblPlant[Milled_t],tblPlant[Date],$A285)</f>
        <v/>
      </c>
      <c r="CA285" s="55">
        <f>IF($B285=$B284,$CA284,0)+$BZ285</f>
        <v/>
      </c>
      <c r="CB285" s="55">
        <f>$CB284+$BZ285</f>
        <v/>
      </c>
      <c r="CC285" s="55">
        <f>SUMIFS(tblPlant[Feed_oz],tblPlant[Date],$A285)</f>
        <v/>
      </c>
      <c r="CD285" s="55">
        <f>IF($B285=$B284,$CD284,0)+$CC285</f>
        <v/>
      </c>
      <c r="CE285" s="55">
        <f>$CE284+$CC285</f>
        <v/>
      </c>
      <c r="CF285" s="55">
        <f>SUMIFS(tblPlant[Tails_oz],tblPlant[Date],$A285)</f>
        <v/>
      </c>
      <c r="CG285" s="55">
        <f>IF($B285=$B284,$CG284,0)+$CF285</f>
        <v/>
      </c>
      <c r="CH285" s="55">
        <f>$CH284+$CF285</f>
        <v/>
      </c>
      <c r="CI285" s="55">
        <f>SUMIFS(tblPlant[Recovered_oz],tblPlant[Date],$A285)</f>
        <v/>
      </c>
      <c r="CJ285" s="55">
        <f>IF($B285=$B284,$CJ284,0)+$CI285</f>
        <v/>
      </c>
      <c r="CK285" s="55">
        <f>$CK284+$CI285</f>
        <v/>
      </c>
      <c r="CL285" s="56">
        <f>IFERROR(IF(($BZ285)&gt;0,($CC285*cfg_TroyOz)/($BZ285),""),"")</f>
        <v/>
      </c>
      <c r="CM285" s="56">
        <f>IFERROR(IF(($CA285)&gt;0,($CD285*cfg_TroyOz)/($CA285),""),"")</f>
        <v/>
      </c>
      <c r="CN285" s="56">
        <f>IFERROR(IF(($CB285)&gt;0,($CE285*cfg_TroyOz)/($CB285),""),"")</f>
        <v/>
      </c>
      <c r="CO285" s="56">
        <f>IFERROR(IF(($BZ285)&gt;0,($CF285*cfg_TroyOz)/($BZ285),""),"")</f>
        <v/>
      </c>
      <c r="CP285" s="56">
        <f>IFERROR(IF(($CA285)&gt;0,($CG285*cfg_TroyOz)/($CA285),""),"")</f>
        <v/>
      </c>
      <c r="CQ285" s="56">
        <f>IFERROR(IF(($CB285)&gt;0,($CH285*cfg_TroyOz)/($CB285),""),"")</f>
        <v/>
      </c>
      <c r="CR285" s="67">
        <f>IFERROR(IF(($CC285)&gt;0,($CI285)/($CC285),""),"")</f>
        <v/>
      </c>
      <c r="CS285" s="67">
        <f>IFERROR(IF(($CD285)&gt;0,($CJ285)/($CD285),""),"")</f>
        <v/>
      </c>
      <c r="CT285" s="67">
        <f>IFERROR(IF(($CE285)&gt;0,($CK285)/($CE285),""),"")</f>
        <v/>
      </c>
      <c r="CU285" s="55">
        <f>SUMIFS(tblPlant[Gravity_Gold_oz],tblPlant[Date],$A285)</f>
        <v/>
      </c>
      <c r="CV285" s="55">
        <f>IF($B285=$B284,$CV284,0)+$CU285</f>
        <v/>
      </c>
      <c r="CW285" s="55">
        <f>$CW284+$CU285</f>
        <v/>
      </c>
      <c r="CX285" s="55">
        <f>SUMIFS(tblPlant[Gold_Poured_oz],tblPlant[Date],$A285)</f>
        <v/>
      </c>
      <c r="CY285" s="55">
        <f>IF($B285=$B284,$CY284,0)+$CX285</f>
        <v/>
      </c>
      <c r="CZ285" s="55">
        <f>$CZ284+$CX285</f>
        <v/>
      </c>
      <c r="DA285" s="57">
        <f>SUMIFS(tblPlant[Mill_Run_h],tblPlant[Date],$A285)</f>
        <v/>
      </c>
      <c r="DB285" s="57">
        <f>IF($B285=$B284,$DB284,0)+$DA285</f>
        <v/>
      </c>
      <c r="DC285" s="57">
        <f>$DC284+$DA285</f>
        <v/>
      </c>
      <c r="DD285" s="57">
        <f>SUMIFS(tblPlant[Mill_Planned_Maint_h],tblPlant[Date],$A285)</f>
        <v/>
      </c>
      <c r="DE285" s="57">
        <f>IF($B285=$B284,$DE284,0)+$DD285</f>
        <v/>
      </c>
      <c r="DF285" s="57">
        <f>$DF284+$DD285</f>
        <v/>
      </c>
      <c r="DG285" s="57">
        <f>SUMIFS(tblPlant[Mill_Unplanned_Down_h],tblPlant[Date],$A285)</f>
        <v/>
      </c>
      <c r="DH285" s="57">
        <f>IF($B285=$B284,$DH284,0)+$DG285</f>
        <v/>
      </c>
      <c r="DI285" s="57">
        <f>$DI284+$DG285</f>
        <v/>
      </c>
      <c r="DJ285" s="57">
        <f>COUNTIFS(tblPlant[Date],$A285,tblPlant[Mill_Run_h],"&lt;&gt;")*24</f>
        <v/>
      </c>
      <c r="DK285" s="57">
        <f>IF($B285=$B284,$DK284,0)+$DJ285</f>
        <v/>
      </c>
      <c r="DL285" s="57">
        <f>$DL284+$DJ285</f>
        <v/>
      </c>
      <c r="DM285" s="57">
        <f>SUMIFS(tblPlant[Crusher_Run_h],tblPlant[Date],$A285)</f>
        <v/>
      </c>
      <c r="DN285" s="57">
        <f>IF($B285=$B284,$DN284,0)+$DM285</f>
        <v/>
      </c>
      <c r="DO285" s="57">
        <f>$DO284+$DM285</f>
        <v/>
      </c>
      <c r="DP285" s="55">
        <f>IFERROR(IF(($DA285)&gt;0,($BZ285)/($DA285),""),"")</f>
        <v/>
      </c>
      <c r="DQ285" s="55">
        <f>IFERROR(IF(($DB285)&gt;0,($CA285)/($DB285),""),"")</f>
        <v/>
      </c>
      <c r="DR285" s="55">
        <f>IFERROR(IF(($DC285)&gt;0,($CB285)/($DC285),""),"")</f>
        <v/>
      </c>
      <c r="DS285" s="67">
        <f>IFERROR(IF(($DJ285)&gt;0,($DJ285-$DD285-$DG285)/($DJ285),""),"")</f>
        <v/>
      </c>
      <c r="DT285" s="67">
        <f>IFERROR(IF(($DK285)&gt;0,($DK285-$DE285-$DH285)/($DK285),""),"")</f>
        <v/>
      </c>
      <c r="DU285" s="67">
        <f>IFERROR(IF(($DL285)&gt;0,($DL285-$DF285-$DI285)/($DL285),""),"")</f>
        <v/>
      </c>
      <c r="DV285" s="67">
        <f>IFERROR(IF(($DJ285-$DD285-$DG285)&gt;0,($DA285)/($DJ285-$DD285-$DG285),""),"")</f>
        <v/>
      </c>
      <c r="DW285" s="67">
        <f>IFERROR(IF(($DK285-$DE285-$DH285)&gt;0,($DB285)/($DK285-$DE285-$DH285),""),"")</f>
        <v/>
      </c>
      <c r="DX285" s="67">
        <f>IFERROR(IF(($DL285-$DF285-$DI285)&gt;0,($DC285)/($DL285-$DF285-$DI285),""),"")</f>
        <v/>
      </c>
      <c r="DY285" s="55">
        <f>SUMIFS(tblPlant[Cyanide_kg],tblPlant[Date],$A285)</f>
        <v/>
      </c>
      <c r="DZ285" s="55">
        <f>IF($B285=$B284,$DZ284,0)+$DY285</f>
        <v/>
      </c>
      <c r="EA285" s="55">
        <f>$EA284+$DY285</f>
        <v/>
      </c>
      <c r="EB285" s="55">
        <f>SUMIFS(tblPlant[Lime_kg],tblPlant[Date],$A285)</f>
        <v/>
      </c>
      <c r="EC285" s="55">
        <f>IF($B285=$B284,$EC284,0)+$EB285</f>
        <v/>
      </c>
      <c r="ED285" s="55">
        <f>$ED284+$EB285</f>
        <v/>
      </c>
      <c r="EE285" s="55">
        <f>SUMIFS(tblPlant[Grinding_Media_kg],tblPlant[Date],$A285)</f>
        <v/>
      </c>
      <c r="EF285" s="55">
        <f>IF($B285=$B284,$EF284,0)+$EE285</f>
        <v/>
      </c>
      <c r="EG285" s="55">
        <f>$EG284+$EE285</f>
        <v/>
      </c>
      <c r="EH285" s="55">
        <f>SUMIFS(tblPlant[Power_kWh],tblPlant[Date],$A285)</f>
        <v/>
      </c>
      <c r="EI285" s="55">
        <f>IF($B285=$B284,$EI284,0)+$EH285</f>
        <v/>
      </c>
      <c r="EJ285" s="55">
        <f>$EJ284+$EH285</f>
        <v/>
      </c>
      <c r="EK285" s="55">
        <f>SUMIFS(tblPlant[Raw_Water_m3],tblPlant[Date],$A285)</f>
        <v/>
      </c>
      <c r="EL285" s="55">
        <f>IF($B285=$B284,$EL284,0)+$EK285</f>
        <v/>
      </c>
      <c r="EM285" s="55">
        <f>$EM284+$EK285</f>
        <v/>
      </c>
      <c r="EN285" s="56">
        <f>IFERROR(IF(($BZ285)&gt;0,($DY285)/($BZ285),""),"")</f>
        <v/>
      </c>
      <c r="EO285" s="56">
        <f>IFERROR(IF(($CA285)&gt;0,($DZ285)/($CA285),""),"")</f>
        <v/>
      </c>
      <c r="EP285" s="56">
        <f>IFERROR(IF(($CB285)&gt;0,($EA285)/($CB285),""),"")</f>
        <v/>
      </c>
      <c r="EQ285" s="56">
        <f>IFERROR(IF(($BZ285)&gt;0,($EB285)/($BZ285),""),"")</f>
        <v/>
      </c>
      <c r="ER285" s="56">
        <f>IFERROR(IF(($CA285)&gt;0,($EC285)/($CA285),""),"")</f>
        <v/>
      </c>
      <c r="ES285" s="56">
        <f>IFERROR(IF(($CB285)&gt;0,($ED285)/($CB285),""),"")</f>
        <v/>
      </c>
      <c r="ET285" s="56">
        <f>IFERROR(IF(($BZ285)&gt;0,($EE285)/($BZ285),""),"")</f>
        <v/>
      </c>
      <c r="EU285" s="56">
        <f>IFERROR(IF(($CA285)&gt;0,($EF285)/($CA285),""),"")</f>
        <v/>
      </c>
      <c r="EV285" s="56">
        <f>IFERROR(IF(($CB285)&gt;0,($EG285)/($CB285),""),"")</f>
        <v/>
      </c>
      <c r="EW285" s="76">
        <f>IFERROR(IF(($BZ285)&gt;0,($EH285)/($BZ285),""),"")</f>
        <v/>
      </c>
      <c r="EX285" s="76">
        <f>IFERROR(IF(($CA285)&gt;0,($EI285)/($CA285),""),"")</f>
        <v/>
      </c>
      <c r="EY285" s="76">
        <f>IFERROR(IF(($CB285)&gt;0,($EJ285)/($CB285),""),"")</f>
        <v/>
      </c>
      <c r="EZ285" s="56">
        <f>IFERROR(IF(($BZ285)&gt;0,($EK285)/($BZ285),""),"")</f>
        <v/>
      </c>
      <c r="FA285" s="56">
        <f>IFERROR(IF(($CA285)&gt;0,($EL285)/($CA285),""),"")</f>
        <v/>
      </c>
      <c r="FB285" s="56">
        <f>IFERROR(IF(($CB285)&gt;0,($EM285)/($CB285),""),"")</f>
        <v/>
      </c>
      <c r="FC285" s="55">
        <f>IF(SUMIFS(tblPlant[GIC_oz],tblPlant[Date],$A285)&gt;0,SUMIFS(tblPlant[GIC_oz],tblPlant[Date],$A285),"")</f>
        <v/>
      </c>
      <c r="FD285" s="55">
        <f>SUMIFS(tblGold[Gold_oz],tblGold[Date],$A285,tblGold[Type],"Shipment")</f>
        <v/>
      </c>
      <c r="FE285" s="55">
        <f>IF($B285=$B284,$FE284,0)+$FD285</f>
        <v/>
      </c>
      <c r="FF285" s="55">
        <f>$FF284+$FD285</f>
        <v/>
      </c>
      <c r="FG285" s="55">
        <f>SUMIFS(tblGold[Gold_oz],tblGold[Date],$A285,tblGold[Type],"Sale")</f>
        <v/>
      </c>
      <c r="FH285" s="55">
        <f>IF($B285=$B284,$FH284,0)+$FG285</f>
        <v/>
      </c>
      <c r="FI285" s="55">
        <f>$FI284+$FG285</f>
        <v/>
      </c>
      <c r="FJ285" s="55">
        <f>SUMIFS(tblGold[Dore_kg],tblGold[Date],$A285,tblGold[Type],"Shipment")</f>
        <v/>
      </c>
      <c r="FK285" s="55">
        <f>IF($B285=$B284,$FK284,0)+$FJ285</f>
        <v/>
      </c>
      <c r="FL285" s="55">
        <f>$FL284+$FJ285</f>
        <v/>
      </c>
      <c r="FM285" s="57">
        <f>SUMIFS(tblSafety[Hours_Total],tblSafety[Date],$A285)</f>
        <v/>
      </c>
      <c r="FN285" s="57">
        <f>IF($B285=$B284,$FN284,0)+$FM285</f>
        <v/>
      </c>
      <c r="FO285" s="57">
        <f>$FO284+$FM285</f>
        <v/>
      </c>
      <c r="FP285" s="62">
        <f>SUMIFS(tblSafety[Fatality],tblSafety[Date],$A285)</f>
        <v/>
      </c>
      <c r="FQ285" s="62">
        <f>IF($B285=$B284,$FQ284,0)+$FP285</f>
        <v/>
      </c>
      <c r="FR285" s="62">
        <f>$FR284+$FP285</f>
        <v/>
      </c>
      <c r="FS285" s="62">
        <f>SUMIFS(tblSafety[LTI],tblSafety[Date],$A285)</f>
        <v/>
      </c>
      <c r="FT285" s="62">
        <f>IF($B285=$B284,$FT284,0)+$FS285</f>
        <v/>
      </c>
      <c r="FU285" s="62">
        <f>$FU284+$FS285</f>
        <v/>
      </c>
      <c r="FV285" s="62">
        <f>SUMIFS(tblSafety[RWI],tblSafety[Date],$A285)</f>
        <v/>
      </c>
      <c r="FW285" s="62">
        <f>IF($B285=$B284,$FW284,0)+$FV285</f>
        <v/>
      </c>
      <c r="FX285" s="62">
        <f>$FX284+$FV285</f>
        <v/>
      </c>
      <c r="FY285" s="62">
        <f>SUMIFS(tblSafety[MTI],tblSafety[Date],$A285)</f>
        <v/>
      </c>
      <c r="FZ285" s="62">
        <f>IF($B285=$B284,$FZ284,0)+$FY285</f>
        <v/>
      </c>
      <c r="GA285" s="62">
        <f>$GA284+$FY285</f>
        <v/>
      </c>
      <c r="GB285" s="62">
        <f>SUMIFS(tblSafety[FAI],tblSafety[Date],$A285)</f>
        <v/>
      </c>
      <c r="GC285" s="62">
        <f>IF($B285=$B284,$GC284,0)+$GB285</f>
        <v/>
      </c>
      <c r="GD285" s="62">
        <f>$GD284+$GB285</f>
        <v/>
      </c>
      <c r="GE285" s="62">
        <f>SUMIFS(tblSafety[Recordables],tblSafety[Date],$A285)</f>
        <v/>
      </c>
      <c r="GF285" s="62">
        <f>IF($B285=$B284,$GF284,0)+$GE285</f>
        <v/>
      </c>
      <c r="GG285" s="62">
        <f>$GG284+$GE285</f>
        <v/>
      </c>
      <c r="GH285" s="62">
        <f>SUMIFS(tblSafety[Near_Miss],tblSafety[Date],$A285)</f>
        <v/>
      </c>
      <c r="GI285" s="62">
        <f>IF($B285=$B284,$GI284,0)+$GH285</f>
        <v/>
      </c>
      <c r="GJ285" s="62">
        <f>$GJ284+$GH285</f>
        <v/>
      </c>
      <c r="GK285" s="62">
        <f>SUMIFS(tblSafety[Hazard_Reports],tblSafety[Date],$A285)</f>
        <v/>
      </c>
      <c r="GL285" s="62">
        <f>IF($B285=$B284,$GL284,0)+$GK285</f>
        <v/>
      </c>
      <c r="GM285" s="62">
        <f>$GM284+$GK285</f>
        <v/>
      </c>
      <c r="GN285" s="62">
        <f>SUMIFS(tblSafety[HPI],tblSafety[Date],$A285)</f>
        <v/>
      </c>
      <c r="GO285" s="62">
        <f>IF($B285=$B284,$GO284,0)+$GN285</f>
        <v/>
      </c>
      <c r="GP285" s="62">
        <f>$GP284+$GN285</f>
        <v/>
      </c>
      <c r="GQ285" s="62">
        <f>SUMIFS(tblSafety[Env_Incidents],tblSafety[Date],$A285)</f>
        <v/>
      </c>
      <c r="GR285" s="62">
        <f>IF($B285=$B284,$GR284,0)+$GQ285</f>
        <v/>
      </c>
      <c r="GS285" s="62">
        <f>$GS284+$GQ285</f>
        <v/>
      </c>
      <c r="GT285" s="62">
        <f>SUMIFS(tblSafety[Community_Incidents],tblSafety[Date],$A285)</f>
        <v/>
      </c>
      <c r="GU285" s="62">
        <f>IF($B285=$B284,$GU284,0)+$GT285</f>
        <v/>
      </c>
      <c r="GV285" s="62">
        <f>$GV284+$GT285</f>
        <v/>
      </c>
      <c r="GW285" s="62">
        <f>SUMIFS(tblSafety[Vehicle_Incidents],tblSafety[Date],$A285)</f>
        <v/>
      </c>
      <c r="GX285" s="62">
        <f>IF($B285=$B284,$GX284,0)+$GW285</f>
        <v/>
      </c>
      <c r="GY285" s="62">
        <f>$GY284+$GW285</f>
        <v/>
      </c>
      <c r="GZ285" s="62">
        <f>SUMIFS(tblSafety[Toolbox_Talks],tblSafety[Date],$A285)</f>
        <v/>
      </c>
      <c r="HA285" s="62">
        <f>IF($B285=$B284,$HA284,0)+$GZ285</f>
        <v/>
      </c>
      <c r="HB285" s="62">
        <f>$HB284+$GZ285</f>
        <v/>
      </c>
      <c r="HC285" s="62">
        <f>SUMIFS(tblSafety[Inspections],tblSafety[Date],$A285)</f>
        <v/>
      </c>
      <c r="HD285" s="62">
        <f>IF($B285=$B284,$HD284,0)+$HC285</f>
        <v/>
      </c>
      <c r="HE285" s="62">
        <f>$HE284+$HC285</f>
        <v/>
      </c>
      <c r="HF285" s="56">
        <f>IFERROR((SUMIFS(tblSafety[Recordables],tblSafety[Date],"&gt;="&amp;EDATE($E285,-12),tblSafety[Date],"&lt;="&amp;$A285)+SUMIFS(tblSafetyHistory[Recordables],tblSafetyHistory[Month],"&gt;="&amp;EDATE($E285,-12),tblSafetyHistory[Month],"&lt;"&amp;cfg_YearStart))/(SUMIFS(tblSafety[Hours_Total],tblSafety[Date],"&gt;="&amp;EDATE($E285,-12),tblSafety[Date],"&lt;="&amp;$A285)+SUMIFS(tblSafetyHistory[Hours_Total],tblSafetyHistory[Month],"&gt;="&amp;EDATE($E285,-12),tblSafetyHistory[Month],"&lt;"&amp;cfg_YearStart))*1000000,"")</f>
        <v/>
      </c>
      <c r="HG285" s="56">
        <f>IFERROR((SUMIFS(tblSafety[LTI],tblSafety[Date],"&gt;="&amp;EDATE($E285,-12),tblSafety[Date],"&lt;="&amp;$A285)+SUMIFS(tblSafetyHistory[LTI],tblSafetyHistory[Month],"&gt;="&amp;EDATE($E285,-12),tblSafetyHistory[Month],"&lt;"&amp;cfg_YearStart))/(SUMIFS(tblSafety[Hours_Total],tblSafety[Date],"&gt;="&amp;EDATE($E285,-12),tblSafety[Date],"&lt;="&amp;$A285)+SUMIFS(tblSafetyHistory[Hours_Total],tblSafetyHistory[Month],"&gt;="&amp;EDATE($E285,-12),tblSafetyHistory[Month],"&lt;"&amp;cfg_YearStart))*1000000,"")</f>
        <v/>
      </c>
      <c r="HH285" s="62">
        <f>IF(MAX(N(cfg_PriorLTIDate),_xlfn.MAXIFS(tblSafety[Date],tblSafety[LTI],"&gt;0",tblSafety[Date],"&lt;="&amp;$A285))=0,"",$A285-MAX(N(cfg_PriorLTIDate),_xlfn.MAXIFS(tblSafety[Date],tblSafety[LTI],"&gt;0",tblSafety[Date],"&lt;="&amp;$A285)))</f>
        <v/>
      </c>
      <c r="HI285" s="55">
        <f>SUMIFS(tblBudget[Ore_Mined_t],tblBudget[Month],$E285)</f>
        <v/>
      </c>
      <c r="HJ285" s="55">
        <f>$HI285*$C285/$D285</f>
        <v/>
      </c>
      <c r="HK285" s="55">
        <f>SUMIFS(tblBudget[Ore_Mined_t],tblBudget[Month],"&lt;"&amp;$E285)+$HJ285</f>
        <v/>
      </c>
      <c r="HL285" s="55">
        <f>SUMIFS(tblBudget[Ore_oz],tblBudget[Month],$E285)</f>
        <v/>
      </c>
      <c r="HM285" s="55">
        <f>$HL285*$C285/$D285</f>
        <v/>
      </c>
      <c r="HN285" s="55">
        <f>SUMIFS(tblBudget[Ore_oz],tblBudget[Month],"&lt;"&amp;$E285)+$HM285</f>
        <v/>
      </c>
      <c r="HO285" s="56">
        <f>IFERROR(IF(($HI285)&gt;0,($HL285*cfg_TroyOz)/($HI285),""),"")</f>
        <v/>
      </c>
      <c r="HP285" s="56">
        <f>IFERROR(IF(($HJ285)&gt;0,($HM285*cfg_TroyOz)/($HJ285),""),"")</f>
        <v/>
      </c>
      <c r="HQ285" s="56">
        <f>IFERROR(IF(($HK285)&gt;0,($HN285*cfg_TroyOz)/($HK285),""),"")</f>
        <v/>
      </c>
      <c r="HR285" s="55">
        <f>SUMIFS(tblBudget[Waste_t],tblBudget[Month],$E285)</f>
        <v/>
      </c>
      <c r="HS285" s="55">
        <f>$HR285*$C285/$D285</f>
        <v/>
      </c>
      <c r="HT285" s="55">
        <f>SUMIFS(tblBudget[Waste_t],tblBudget[Month],"&lt;"&amp;$E285)+$HS285</f>
        <v/>
      </c>
      <c r="HU285" s="55">
        <f>SUMIFS(tblBudget[TMM_t],tblBudget[Month],$E285)</f>
        <v/>
      </c>
      <c r="HV285" s="55">
        <f>$HU285*$C285/$D285</f>
        <v/>
      </c>
      <c r="HW285" s="55">
        <f>SUMIFS(tblBudget[TMM_t],tblBudget[Month],"&lt;"&amp;$E285)+$HV285</f>
        <v/>
      </c>
      <c r="HX285" s="56">
        <f>IFERROR(IF(($HI285)&gt;0,($HR285)/($HI285),""),"")</f>
        <v/>
      </c>
      <c r="HY285" s="56">
        <f>IFERROR(IF(($HJ285)&gt;0,($HS285)/($HJ285),""),"")</f>
        <v/>
      </c>
      <c r="HZ285" s="56">
        <f>IFERROR(IF(($HK285)&gt;0,($HT285)/($HK285),""),"")</f>
        <v/>
      </c>
      <c r="IA285" s="55">
        <f>SUMIFS(tblBudget[Drill_m],tblBudget[Month],$E285)</f>
        <v/>
      </c>
      <c r="IB285" s="55">
        <f>$IA285*$C285/$D285</f>
        <v/>
      </c>
      <c r="IC285" s="55">
        <f>SUMIFS(tblBudget[Drill_m],tblBudget[Month],"&lt;"&amp;$E285)+$IB285</f>
        <v/>
      </c>
      <c r="ID285" s="55">
        <f>SUMIFS(tblBudget[Diesel_L],tblBudget[Month],$E285)</f>
        <v/>
      </c>
      <c r="IE285" s="55">
        <f>$ID285*$C285/$D285</f>
        <v/>
      </c>
      <c r="IF285" s="55">
        <f>SUMIFS(tblBudget[Diesel_L],tblBudget[Month],"&lt;"&amp;$E285)+$IE285</f>
        <v/>
      </c>
      <c r="IG285" s="55">
        <f>SUMIFS(tblBudget[Milled_t],tblBudget[Month],$E285)</f>
        <v/>
      </c>
      <c r="IH285" s="55">
        <f>$IG285*$C285/$D285</f>
        <v/>
      </c>
      <c r="II285" s="55">
        <f>SUMIFS(tblBudget[Milled_t],tblBudget[Month],"&lt;"&amp;$E285)+$IH285</f>
        <v/>
      </c>
      <c r="IJ285" s="55">
        <f>SUMIFS(tblBudget[Feed_oz],tblBudget[Month],$E285)</f>
        <v/>
      </c>
      <c r="IK285" s="55">
        <f>$IJ285*$C285/$D285</f>
        <v/>
      </c>
      <c r="IL285" s="55">
        <f>SUMIFS(tblBudget[Feed_oz],tblBudget[Month],"&lt;"&amp;$E285)+$IK285</f>
        <v/>
      </c>
      <c r="IM285" s="55">
        <f>SUMIFS(tblBudget[Recovered_oz],tblBudget[Month],$E285)</f>
        <v/>
      </c>
      <c r="IN285" s="55">
        <f>$IM285*$C285/$D285</f>
        <v/>
      </c>
      <c r="IO285" s="55">
        <f>SUMIFS(tblBudget[Recovered_oz],tblBudget[Month],"&lt;"&amp;$E285)+$IN285</f>
        <v/>
      </c>
      <c r="IP285" s="56">
        <f>IFERROR(IF(($IG285)&gt;0,($IJ285*cfg_TroyOz)/($IG285),""),"")</f>
        <v/>
      </c>
      <c r="IQ285" s="56">
        <f>IFERROR(IF(($IH285)&gt;0,($IK285*cfg_TroyOz)/($IH285),""),"")</f>
        <v/>
      </c>
      <c r="IR285" s="56">
        <f>IFERROR(IF(($II285)&gt;0,($IL285*cfg_TroyOz)/($II285),""),"")</f>
        <v/>
      </c>
      <c r="IS285" s="67">
        <f>IFERROR(IF(($IJ285)&gt;0,($IM285)/($IJ285),""),"")</f>
        <v/>
      </c>
      <c r="IT285" s="67">
        <f>IFERROR(IF(($IK285)&gt;0,($IN285)/($IK285),""),"")</f>
        <v/>
      </c>
      <c r="IU285" s="67">
        <f>IFERROR(IF(($IL285)&gt;0,($IO285)/($IL285),""),"")</f>
        <v/>
      </c>
      <c r="IV285" s="55">
        <f>SUMIFS(tblBudget[Gold_Poured_oz],tblBudget[Month],$E285)</f>
        <v/>
      </c>
      <c r="IW285" s="55">
        <f>$IV285*$C285/$D285</f>
        <v/>
      </c>
      <c r="IX285" s="55">
        <f>SUMIFS(tblBudget[Gold_Poured_oz],tblBudget[Month],"&lt;"&amp;$E285)+$IW285</f>
        <v/>
      </c>
      <c r="IY285" s="57">
        <f>SUMIFS(tblBudget[Hours_Worked],tblBudget[Month],$E285)</f>
        <v/>
      </c>
      <c r="IZ285" s="57">
        <f>$IY285*$C285/$D285</f>
        <v/>
      </c>
      <c r="JA285" s="57">
        <f>SUMIFS(tblBudget[Hours_Worked],tblBudget[Month],"&lt;"&amp;$E285)+$IZ285</f>
        <v/>
      </c>
    </row>
    <row r="286">
      <c r="A286" s="54" t="n">
        <v>46307</v>
      </c>
      <c r="B286">
        <f>MONTH($A286)</f>
        <v/>
      </c>
      <c r="C286">
        <f>DAY($A286)</f>
        <v/>
      </c>
      <c r="D286">
        <f>DAY(EOMONTH($A286,0))</f>
        <v/>
      </c>
      <c r="E286" s="54">
        <f>DATE(YEAR($A286),MONTH($A286),1)</f>
        <v/>
      </c>
      <c r="F286" s="55">
        <f>SUMIFS(tblMovement[Tonnes_t],tblMovement[Date],$A286,tblMovement[Is_Ore],1,tblMovement[Source_Type],"Pit")</f>
        <v/>
      </c>
      <c r="G286" s="55">
        <f>IF($B286=$B285,$G285,0)+$F286</f>
        <v/>
      </c>
      <c r="H286" s="55">
        <f>$H285+$F286</f>
        <v/>
      </c>
      <c r="I286" s="55">
        <f>SUMIFS(tblMovement[Ore_oz],tblMovement[Date],$A286,tblMovement[Source_Type],"Pit")</f>
        <v/>
      </c>
      <c r="J286" s="55">
        <f>IF($B286=$B285,$J285,0)+$I286</f>
        <v/>
      </c>
      <c r="K286" s="55">
        <f>$K285+$I286</f>
        <v/>
      </c>
      <c r="L286" s="56">
        <f>IFERROR(IF(($F286)&gt;0,($I286*cfg_TroyOz)/($F286),""),"")</f>
        <v/>
      </c>
      <c r="M286" s="56">
        <f>IFERROR(IF(($G286)&gt;0,($J286*cfg_TroyOz)/($G286),""),"")</f>
        <v/>
      </c>
      <c r="N286" s="56">
        <f>IFERROR(IF(($H286)&gt;0,($K286*cfg_TroyOz)/($H286),""),"")</f>
        <v/>
      </c>
      <c r="O286" s="55">
        <f>SUMIFS(tblMovement[Tonnes_t],tblMovement[Date],$A286,tblMovement[Is_Ore],0,tblMovement[Source_Type],"Pit")</f>
        <v/>
      </c>
      <c r="P286" s="55">
        <f>IF($B286=$B285,$P285,0)+$O286</f>
        <v/>
      </c>
      <c r="Q286" s="55">
        <f>$Q285+$O286</f>
        <v/>
      </c>
      <c r="R286" s="55">
        <f>$F286+$O286</f>
        <v/>
      </c>
      <c r="S286" s="55">
        <f>IF($B286=$B285,$S285,0)+$R286</f>
        <v/>
      </c>
      <c r="T286" s="55">
        <f>$T285+$R286</f>
        <v/>
      </c>
      <c r="U286" s="56">
        <f>IFERROR(IF(($F286)&gt;0,($O286)/($F286),""),"")</f>
        <v/>
      </c>
      <c r="V286" s="56">
        <f>IFERROR(IF(($G286)&gt;0,($P286)/($G286),""),"")</f>
        <v/>
      </c>
      <c r="W286" s="56">
        <f>IFERROR(IF(($H286)&gt;0,($Q286)/($H286),""),"")</f>
        <v/>
      </c>
      <c r="X286" s="55">
        <f>SUMIFS(tblMovement[Tonnes_t],tblMovement[Date],$A286,tblMovement[Source_Type],"Stockpile")</f>
        <v/>
      </c>
      <c r="Y286" s="55">
        <f>IF($B286=$B285,$Y285,0)+$X286</f>
        <v/>
      </c>
      <c r="Z286" s="55">
        <f>$Z285+$X286</f>
        <v/>
      </c>
      <c r="AA286" s="55">
        <f>SUMIFS(tblMiningDaily[Drill_m],tblMiningDaily[Date],$A286)</f>
        <v/>
      </c>
      <c r="AB286" s="55">
        <f>IF($B286=$B285,$AB285,0)+$AA286</f>
        <v/>
      </c>
      <c r="AC286" s="55">
        <f>$AC285+$AA286</f>
        <v/>
      </c>
      <c r="AD286" s="55">
        <f>SUMIFS(tblMiningDaily[Blast_t],tblMiningDaily[Date],$A286)</f>
        <v/>
      </c>
      <c r="AE286" s="55">
        <f>IF($B286=$B285,$AE285,0)+$AD286</f>
        <v/>
      </c>
      <c r="AF286" s="55">
        <f>$AF285+$AD286</f>
        <v/>
      </c>
      <c r="AG286" s="55">
        <f>SUMIFS(tblMiningDaily[Explosives_kg],tblMiningDaily[Date],$A286)</f>
        <v/>
      </c>
      <c r="AH286" s="55">
        <f>IF($B286=$B285,$AH285,0)+$AG286</f>
        <v/>
      </c>
      <c r="AI286" s="55">
        <f>$AI285+$AG286</f>
        <v/>
      </c>
      <c r="AJ286" s="56">
        <f>IFERROR(IF(($AD286)&gt;0,($AG286)/($AD286),""),"")</f>
        <v/>
      </c>
      <c r="AK286" s="56">
        <f>IFERROR(IF(($AE286)&gt;0,($AH286)/($AE286),""),"")</f>
        <v/>
      </c>
      <c r="AL286" s="56">
        <f>IFERROR(IF(($AF286)&gt;0,($AI286)/($AF286),""),"")</f>
        <v/>
      </c>
      <c r="AM286" s="55">
        <f>SUMIFS(tblMiningDaily[Diesel_L],tblMiningDaily[Date],$A286)</f>
        <v/>
      </c>
      <c r="AN286" s="55">
        <f>IF($B286=$B285,$AN285,0)+$AM286</f>
        <v/>
      </c>
      <c r="AO286" s="55">
        <f>$AO285+$AM286</f>
        <v/>
      </c>
      <c r="AP286" s="55">
        <f>SUMIFS(tblMiningDaily[Dewatering_m3],tblMiningDaily[Date],$A286)</f>
        <v/>
      </c>
      <c r="AQ286" s="55">
        <f>IF($B286=$B285,$AQ285,0)+$AP286</f>
        <v/>
      </c>
      <c r="AR286" s="55">
        <f>$AR285+$AP286</f>
        <v/>
      </c>
      <c r="AS286" s="57">
        <f>SUMIFS(tblFleet[Calendar_h],tblFleet[Date],$A286,tblFleet[Equipment_Class],"Excavator")</f>
        <v/>
      </c>
      <c r="AT286" s="57">
        <f>IF($B286=$B285,$AT285,0)+$AS286</f>
        <v/>
      </c>
      <c r="AU286" s="57">
        <f>$AU285+$AS286</f>
        <v/>
      </c>
      <c r="AV286" s="57">
        <f>SUMIFS(tblFleet[Available_h],tblFleet[Date],$A286,tblFleet[Equipment_Class],"Excavator")</f>
        <v/>
      </c>
      <c r="AW286" s="57">
        <f>IF($B286=$B285,$AW285,0)+$AV286</f>
        <v/>
      </c>
      <c r="AX286" s="57">
        <f>$AX285+$AV286</f>
        <v/>
      </c>
      <c r="AY286" s="57">
        <f>SUMIFS(tblFleet[Operating_h],tblFleet[Date],$A286,tblFleet[Equipment_Class],"Excavator")</f>
        <v/>
      </c>
      <c r="AZ286" s="57">
        <f>IF($B286=$B285,$AZ285,0)+$AY286</f>
        <v/>
      </c>
      <c r="BA286" s="57">
        <f>$BA285+$AY286</f>
        <v/>
      </c>
      <c r="BB286" s="67">
        <f>IFERROR(IF(($AS286)&gt;0,($AV286)/($AS286),""),"")</f>
        <v/>
      </c>
      <c r="BC286" s="67">
        <f>IFERROR(IF(($AT286)&gt;0,($AW286)/($AT286),""),"")</f>
        <v/>
      </c>
      <c r="BD286" s="67">
        <f>IFERROR(IF(($AU286)&gt;0,($AX286)/($AU286),""),"")</f>
        <v/>
      </c>
      <c r="BE286" s="67">
        <f>IFERROR(IF(($AV286)&gt;0,($AY286)/($AV286),""),"")</f>
        <v/>
      </c>
      <c r="BF286" s="67">
        <f>IFERROR(IF(($AW286)&gt;0,($AZ286)/($AW286),""),"")</f>
        <v/>
      </c>
      <c r="BG286" s="67">
        <f>IFERROR(IF(($AX286)&gt;0,($BA286)/($AX286),""),"")</f>
        <v/>
      </c>
      <c r="BH286" s="57">
        <f>SUMIFS(tblFleet[Calendar_h],tblFleet[Date],$A286,tblFleet[Equipment_Class],"Haul Truck")</f>
        <v/>
      </c>
      <c r="BI286" s="57">
        <f>IF($B286=$B285,$BI285,0)+$BH286</f>
        <v/>
      </c>
      <c r="BJ286" s="57">
        <f>$BJ285+$BH286</f>
        <v/>
      </c>
      <c r="BK286" s="57">
        <f>SUMIFS(tblFleet[Available_h],tblFleet[Date],$A286,tblFleet[Equipment_Class],"Haul Truck")</f>
        <v/>
      </c>
      <c r="BL286" s="57">
        <f>IF($B286=$B285,$BL285,0)+$BK286</f>
        <v/>
      </c>
      <c r="BM286" s="57">
        <f>$BM285+$BK286</f>
        <v/>
      </c>
      <c r="BN286" s="57">
        <f>SUMIFS(tblFleet[Operating_h],tblFleet[Date],$A286,tblFleet[Equipment_Class],"Haul Truck")</f>
        <v/>
      </c>
      <c r="BO286" s="57">
        <f>IF($B286=$B285,$BO285,0)+$BN286</f>
        <v/>
      </c>
      <c r="BP286" s="57">
        <f>$BP285+$BN286</f>
        <v/>
      </c>
      <c r="BQ286" s="67">
        <f>IFERROR(IF(($BH286)&gt;0,($BK286)/($BH286),""),"")</f>
        <v/>
      </c>
      <c r="BR286" s="67">
        <f>IFERROR(IF(($BI286)&gt;0,($BL286)/($BI286),""),"")</f>
        <v/>
      </c>
      <c r="BS286" s="67">
        <f>IFERROR(IF(($BJ286)&gt;0,($BM286)/($BJ286),""),"")</f>
        <v/>
      </c>
      <c r="BT286" s="67">
        <f>IFERROR(IF(($BK286)&gt;0,($BN286)/($BK286),""),"")</f>
        <v/>
      </c>
      <c r="BU286" s="67">
        <f>IFERROR(IF(($BL286)&gt;0,($BO286)/($BL286),""),"")</f>
        <v/>
      </c>
      <c r="BV286" s="67">
        <f>IFERROR(IF(($BM286)&gt;0,($BP286)/($BM286),""),"")</f>
        <v/>
      </c>
      <c r="BW286" s="55">
        <f>SUMIFS(tblPlant[Crushed_t],tblPlant[Date],$A286)</f>
        <v/>
      </c>
      <c r="BX286" s="55">
        <f>IF($B286=$B285,$BX285,0)+$BW286</f>
        <v/>
      </c>
      <c r="BY286" s="55">
        <f>$BY285+$BW286</f>
        <v/>
      </c>
      <c r="BZ286" s="55">
        <f>SUMIFS(tblPlant[Milled_t],tblPlant[Date],$A286)</f>
        <v/>
      </c>
      <c r="CA286" s="55">
        <f>IF($B286=$B285,$CA285,0)+$BZ286</f>
        <v/>
      </c>
      <c r="CB286" s="55">
        <f>$CB285+$BZ286</f>
        <v/>
      </c>
      <c r="CC286" s="55">
        <f>SUMIFS(tblPlant[Feed_oz],tblPlant[Date],$A286)</f>
        <v/>
      </c>
      <c r="CD286" s="55">
        <f>IF($B286=$B285,$CD285,0)+$CC286</f>
        <v/>
      </c>
      <c r="CE286" s="55">
        <f>$CE285+$CC286</f>
        <v/>
      </c>
      <c r="CF286" s="55">
        <f>SUMIFS(tblPlant[Tails_oz],tblPlant[Date],$A286)</f>
        <v/>
      </c>
      <c r="CG286" s="55">
        <f>IF($B286=$B285,$CG285,0)+$CF286</f>
        <v/>
      </c>
      <c r="CH286" s="55">
        <f>$CH285+$CF286</f>
        <v/>
      </c>
      <c r="CI286" s="55">
        <f>SUMIFS(tblPlant[Recovered_oz],tblPlant[Date],$A286)</f>
        <v/>
      </c>
      <c r="CJ286" s="55">
        <f>IF($B286=$B285,$CJ285,0)+$CI286</f>
        <v/>
      </c>
      <c r="CK286" s="55">
        <f>$CK285+$CI286</f>
        <v/>
      </c>
      <c r="CL286" s="56">
        <f>IFERROR(IF(($BZ286)&gt;0,($CC286*cfg_TroyOz)/($BZ286),""),"")</f>
        <v/>
      </c>
      <c r="CM286" s="56">
        <f>IFERROR(IF(($CA286)&gt;0,($CD286*cfg_TroyOz)/($CA286),""),"")</f>
        <v/>
      </c>
      <c r="CN286" s="56">
        <f>IFERROR(IF(($CB286)&gt;0,($CE286*cfg_TroyOz)/($CB286),""),"")</f>
        <v/>
      </c>
      <c r="CO286" s="56">
        <f>IFERROR(IF(($BZ286)&gt;0,($CF286*cfg_TroyOz)/($BZ286),""),"")</f>
        <v/>
      </c>
      <c r="CP286" s="56">
        <f>IFERROR(IF(($CA286)&gt;0,($CG286*cfg_TroyOz)/($CA286),""),"")</f>
        <v/>
      </c>
      <c r="CQ286" s="56">
        <f>IFERROR(IF(($CB286)&gt;0,($CH286*cfg_TroyOz)/($CB286),""),"")</f>
        <v/>
      </c>
      <c r="CR286" s="67">
        <f>IFERROR(IF(($CC286)&gt;0,($CI286)/($CC286),""),"")</f>
        <v/>
      </c>
      <c r="CS286" s="67">
        <f>IFERROR(IF(($CD286)&gt;0,($CJ286)/($CD286),""),"")</f>
        <v/>
      </c>
      <c r="CT286" s="67">
        <f>IFERROR(IF(($CE286)&gt;0,($CK286)/($CE286),""),"")</f>
        <v/>
      </c>
      <c r="CU286" s="55">
        <f>SUMIFS(tblPlant[Gravity_Gold_oz],tblPlant[Date],$A286)</f>
        <v/>
      </c>
      <c r="CV286" s="55">
        <f>IF($B286=$B285,$CV285,0)+$CU286</f>
        <v/>
      </c>
      <c r="CW286" s="55">
        <f>$CW285+$CU286</f>
        <v/>
      </c>
      <c r="CX286" s="55">
        <f>SUMIFS(tblPlant[Gold_Poured_oz],tblPlant[Date],$A286)</f>
        <v/>
      </c>
      <c r="CY286" s="55">
        <f>IF($B286=$B285,$CY285,0)+$CX286</f>
        <v/>
      </c>
      <c r="CZ286" s="55">
        <f>$CZ285+$CX286</f>
        <v/>
      </c>
      <c r="DA286" s="57">
        <f>SUMIFS(tblPlant[Mill_Run_h],tblPlant[Date],$A286)</f>
        <v/>
      </c>
      <c r="DB286" s="57">
        <f>IF($B286=$B285,$DB285,0)+$DA286</f>
        <v/>
      </c>
      <c r="DC286" s="57">
        <f>$DC285+$DA286</f>
        <v/>
      </c>
      <c r="DD286" s="57">
        <f>SUMIFS(tblPlant[Mill_Planned_Maint_h],tblPlant[Date],$A286)</f>
        <v/>
      </c>
      <c r="DE286" s="57">
        <f>IF($B286=$B285,$DE285,0)+$DD286</f>
        <v/>
      </c>
      <c r="DF286" s="57">
        <f>$DF285+$DD286</f>
        <v/>
      </c>
      <c r="DG286" s="57">
        <f>SUMIFS(tblPlant[Mill_Unplanned_Down_h],tblPlant[Date],$A286)</f>
        <v/>
      </c>
      <c r="DH286" s="57">
        <f>IF($B286=$B285,$DH285,0)+$DG286</f>
        <v/>
      </c>
      <c r="DI286" s="57">
        <f>$DI285+$DG286</f>
        <v/>
      </c>
      <c r="DJ286" s="57">
        <f>COUNTIFS(tblPlant[Date],$A286,tblPlant[Mill_Run_h],"&lt;&gt;")*24</f>
        <v/>
      </c>
      <c r="DK286" s="57">
        <f>IF($B286=$B285,$DK285,0)+$DJ286</f>
        <v/>
      </c>
      <c r="DL286" s="57">
        <f>$DL285+$DJ286</f>
        <v/>
      </c>
      <c r="DM286" s="57">
        <f>SUMIFS(tblPlant[Crusher_Run_h],tblPlant[Date],$A286)</f>
        <v/>
      </c>
      <c r="DN286" s="57">
        <f>IF($B286=$B285,$DN285,0)+$DM286</f>
        <v/>
      </c>
      <c r="DO286" s="57">
        <f>$DO285+$DM286</f>
        <v/>
      </c>
      <c r="DP286" s="55">
        <f>IFERROR(IF(($DA286)&gt;0,($BZ286)/($DA286),""),"")</f>
        <v/>
      </c>
      <c r="DQ286" s="55">
        <f>IFERROR(IF(($DB286)&gt;0,($CA286)/($DB286),""),"")</f>
        <v/>
      </c>
      <c r="DR286" s="55">
        <f>IFERROR(IF(($DC286)&gt;0,($CB286)/($DC286),""),"")</f>
        <v/>
      </c>
      <c r="DS286" s="67">
        <f>IFERROR(IF(($DJ286)&gt;0,($DJ286-$DD286-$DG286)/($DJ286),""),"")</f>
        <v/>
      </c>
      <c r="DT286" s="67">
        <f>IFERROR(IF(($DK286)&gt;0,($DK286-$DE286-$DH286)/($DK286),""),"")</f>
        <v/>
      </c>
      <c r="DU286" s="67">
        <f>IFERROR(IF(($DL286)&gt;0,($DL286-$DF286-$DI286)/($DL286),""),"")</f>
        <v/>
      </c>
      <c r="DV286" s="67">
        <f>IFERROR(IF(($DJ286-$DD286-$DG286)&gt;0,($DA286)/($DJ286-$DD286-$DG286),""),"")</f>
        <v/>
      </c>
      <c r="DW286" s="67">
        <f>IFERROR(IF(($DK286-$DE286-$DH286)&gt;0,($DB286)/($DK286-$DE286-$DH286),""),"")</f>
        <v/>
      </c>
      <c r="DX286" s="67">
        <f>IFERROR(IF(($DL286-$DF286-$DI286)&gt;0,($DC286)/($DL286-$DF286-$DI286),""),"")</f>
        <v/>
      </c>
      <c r="DY286" s="55">
        <f>SUMIFS(tblPlant[Cyanide_kg],tblPlant[Date],$A286)</f>
        <v/>
      </c>
      <c r="DZ286" s="55">
        <f>IF($B286=$B285,$DZ285,0)+$DY286</f>
        <v/>
      </c>
      <c r="EA286" s="55">
        <f>$EA285+$DY286</f>
        <v/>
      </c>
      <c r="EB286" s="55">
        <f>SUMIFS(tblPlant[Lime_kg],tblPlant[Date],$A286)</f>
        <v/>
      </c>
      <c r="EC286" s="55">
        <f>IF($B286=$B285,$EC285,0)+$EB286</f>
        <v/>
      </c>
      <c r="ED286" s="55">
        <f>$ED285+$EB286</f>
        <v/>
      </c>
      <c r="EE286" s="55">
        <f>SUMIFS(tblPlant[Grinding_Media_kg],tblPlant[Date],$A286)</f>
        <v/>
      </c>
      <c r="EF286" s="55">
        <f>IF($B286=$B285,$EF285,0)+$EE286</f>
        <v/>
      </c>
      <c r="EG286" s="55">
        <f>$EG285+$EE286</f>
        <v/>
      </c>
      <c r="EH286" s="55">
        <f>SUMIFS(tblPlant[Power_kWh],tblPlant[Date],$A286)</f>
        <v/>
      </c>
      <c r="EI286" s="55">
        <f>IF($B286=$B285,$EI285,0)+$EH286</f>
        <v/>
      </c>
      <c r="EJ286" s="55">
        <f>$EJ285+$EH286</f>
        <v/>
      </c>
      <c r="EK286" s="55">
        <f>SUMIFS(tblPlant[Raw_Water_m3],tblPlant[Date],$A286)</f>
        <v/>
      </c>
      <c r="EL286" s="55">
        <f>IF($B286=$B285,$EL285,0)+$EK286</f>
        <v/>
      </c>
      <c r="EM286" s="55">
        <f>$EM285+$EK286</f>
        <v/>
      </c>
      <c r="EN286" s="56">
        <f>IFERROR(IF(($BZ286)&gt;0,($DY286)/($BZ286),""),"")</f>
        <v/>
      </c>
      <c r="EO286" s="56">
        <f>IFERROR(IF(($CA286)&gt;0,($DZ286)/($CA286),""),"")</f>
        <v/>
      </c>
      <c r="EP286" s="56">
        <f>IFERROR(IF(($CB286)&gt;0,($EA286)/($CB286),""),"")</f>
        <v/>
      </c>
      <c r="EQ286" s="56">
        <f>IFERROR(IF(($BZ286)&gt;0,($EB286)/($BZ286),""),"")</f>
        <v/>
      </c>
      <c r="ER286" s="56">
        <f>IFERROR(IF(($CA286)&gt;0,($EC286)/($CA286),""),"")</f>
        <v/>
      </c>
      <c r="ES286" s="56">
        <f>IFERROR(IF(($CB286)&gt;0,($ED286)/($CB286),""),"")</f>
        <v/>
      </c>
      <c r="ET286" s="56">
        <f>IFERROR(IF(($BZ286)&gt;0,($EE286)/($BZ286),""),"")</f>
        <v/>
      </c>
      <c r="EU286" s="56">
        <f>IFERROR(IF(($CA286)&gt;0,($EF286)/($CA286),""),"")</f>
        <v/>
      </c>
      <c r="EV286" s="56">
        <f>IFERROR(IF(($CB286)&gt;0,($EG286)/($CB286),""),"")</f>
        <v/>
      </c>
      <c r="EW286" s="76">
        <f>IFERROR(IF(($BZ286)&gt;0,($EH286)/($BZ286),""),"")</f>
        <v/>
      </c>
      <c r="EX286" s="76">
        <f>IFERROR(IF(($CA286)&gt;0,($EI286)/($CA286),""),"")</f>
        <v/>
      </c>
      <c r="EY286" s="76">
        <f>IFERROR(IF(($CB286)&gt;0,($EJ286)/($CB286),""),"")</f>
        <v/>
      </c>
      <c r="EZ286" s="56">
        <f>IFERROR(IF(($BZ286)&gt;0,($EK286)/($BZ286),""),"")</f>
        <v/>
      </c>
      <c r="FA286" s="56">
        <f>IFERROR(IF(($CA286)&gt;0,($EL286)/($CA286),""),"")</f>
        <v/>
      </c>
      <c r="FB286" s="56">
        <f>IFERROR(IF(($CB286)&gt;0,($EM286)/($CB286),""),"")</f>
        <v/>
      </c>
      <c r="FC286" s="55">
        <f>IF(SUMIFS(tblPlant[GIC_oz],tblPlant[Date],$A286)&gt;0,SUMIFS(tblPlant[GIC_oz],tblPlant[Date],$A286),"")</f>
        <v/>
      </c>
      <c r="FD286" s="55">
        <f>SUMIFS(tblGold[Gold_oz],tblGold[Date],$A286,tblGold[Type],"Shipment")</f>
        <v/>
      </c>
      <c r="FE286" s="55">
        <f>IF($B286=$B285,$FE285,0)+$FD286</f>
        <v/>
      </c>
      <c r="FF286" s="55">
        <f>$FF285+$FD286</f>
        <v/>
      </c>
      <c r="FG286" s="55">
        <f>SUMIFS(tblGold[Gold_oz],tblGold[Date],$A286,tblGold[Type],"Sale")</f>
        <v/>
      </c>
      <c r="FH286" s="55">
        <f>IF($B286=$B285,$FH285,0)+$FG286</f>
        <v/>
      </c>
      <c r="FI286" s="55">
        <f>$FI285+$FG286</f>
        <v/>
      </c>
      <c r="FJ286" s="55">
        <f>SUMIFS(tblGold[Dore_kg],tblGold[Date],$A286,tblGold[Type],"Shipment")</f>
        <v/>
      </c>
      <c r="FK286" s="55">
        <f>IF($B286=$B285,$FK285,0)+$FJ286</f>
        <v/>
      </c>
      <c r="FL286" s="55">
        <f>$FL285+$FJ286</f>
        <v/>
      </c>
      <c r="FM286" s="57">
        <f>SUMIFS(tblSafety[Hours_Total],tblSafety[Date],$A286)</f>
        <v/>
      </c>
      <c r="FN286" s="57">
        <f>IF($B286=$B285,$FN285,0)+$FM286</f>
        <v/>
      </c>
      <c r="FO286" s="57">
        <f>$FO285+$FM286</f>
        <v/>
      </c>
      <c r="FP286" s="62">
        <f>SUMIFS(tblSafety[Fatality],tblSafety[Date],$A286)</f>
        <v/>
      </c>
      <c r="FQ286" s="62">
        <f>IF($B286=$B285,$FQ285,0)+$FP286</f>
        <v/>
      </c>
      <c r="FR286" s="62">
        <f>$FR285+$FP286</f>
        <v/>
      </c>
      <c r="FS286" s="62">
        <f>SUMIFS(tblSafety[LTI],tblSafety[Date],$A286)</f>
        <v/>
      </c>
      <c r="FT286" s="62">
        <f>IF($B286=$B285,$FT285,0)+$FS286</f>
        <v/>
      </c>
      <c r="FU286" s="62">
        <f>$FU285+$FS286</f>
        <v/>
      </c>
      <c r="FV286" s="62">
        <f>SUMIFS(tblSafety[RWI],tblSafety[Date],$A286)</f>
        <v/>
      </c>
      <c r="FW286" s="62">
        <f>IF($B286=$B285,$FW285,0)+$FV286</f>
        <v/>
      </c>
      <c r="FX286" s="62">
        <f>$FX285+$FV286</f>
        <v/>
      </c>
      <c r="FY286" s="62">
        <f>SUMIFS(tblSafety[MTI],tblSafety[Date],$A286)</f>
        <v/>
      </c>
      <c r="FZ286" s="62">
        <f>IF($B286=$B285,$FZ285,0)+$FY286</f>
        <v/>
      </c>
      <c r="GA286" s="62">
        <f>$GA285+$FY286</f>
        <v/>
      </c>
      <c r="GB286" s="62">
        <f>SUMIFS(tblSafety[FAI],tblSafety[Date],$A286)</f>
        <v/>
      </c>
      <c r="GC286" s="62">
        <f>IF($B286=$B285,$GC285,0)+$GB286</f>
        <v/>
      </c>
      <c r="GD286" s="62">
        <f>$GD285+$GB286</f>
        <v/>
      </c>
      <c r="GE286" s="62">
        <f>SUMIFS(tblSafety[Recordables],tblSafety[Date],$A286)</f>
        <v/>
      </c>
      <c r="GF286" s="62">
        <f>IF($B286=$B285,$GF285,0)+$GE286</f>
        <v/>
      </c>
      <c r="GG286" s="62">
        <f>$GG285+$GE286</f>
        <v/>
      </c>
      <c r="GH286" s="62">
        <f>SUMIFS(tblSafety[Near_Miss],tblSafety[Date],$A286)</f>
        <v/>
      </c>
      <c r="GI286" s="62">
        <f>IF($B286=$B285,$GI285,0)+$GH286</f>
        <v/>
      </c>
      <c r="GJ286" s="62">
        <f>$GJ285+$GH286</f>
        <v/>
      </c>
      <c r="GK286" s="62">
        <f>SUMIFS(tblSafety[Hazard_Reports],tblSafety[Date],$A286)</f>
        <v/>
      </c>
      <c r="GL286" s="62">
        <f>IF($B286=$B285,$GL285,0)+$GK286</f>
        <v/>
      </c>
      <c r="GM286" s="62">
        <f>$GM285+$GK286</f>
        <v/>
      </c>
      <c r="GN286" s="62">
        <f>SUMIFS(tblSafety[HPI],tblSafety[Date],$A286)</f>
        <v/>
      </c>
      <c r="GO286" s="62">
        <f>IF($B286=$B285,$GO285,0)+$GN286</f>
        <v/>
      </c>
      <c r="GP286" s="62">
        <f>$GP285+$GN286</f>
        <v/>
      </c>
      <c r="GQ286" s="62">
        <f>SUMIFS(tblSafety[Env_Incidents],tblSafety[Date],$A286)</f>
        <v/>
      </c>
      <c r="GR286" s="62">
        <f>IF($B286=$B285,$GR285,0)+$GQ286</f>
        <v/>
      </c>
      <c r="GS286" s="62">
        <f>$GS285+$GQ286</f>
        <v/>
      </c>
      <c r="GT286" s="62">
        <f>SUMIFS(tblSafety[Community_Incidents],tblSafety[Date],$A286)</f>
        <v/>
      </c>
      <c r="GU286" s="62">
        <f>IF($B286=$B285,$GU285,0)+$GT286</f>
        <v/>
      </c>
      <c r="GV286" s="62">
        <f>$GV285+$GT286</f>
        <v/>
      </c>
      <c r="GW286" s="62">
        <f>SUMIFS(tblSafety[Vehicle_Incidents],tblSafety[Date],$A286)</f>
        <v/>
      </c>
      <c r="GX286" s="62">
        <f>IF($B286=$B285,$GX285,0)+$GW286</f>
        <v/>
      </c>
      <c r="GY286" s="62">
        <f>$GY285+$GW286</f>
        <v/>
      </c>
      <c r="GZ286" s="62">
        <f>SUMIFS(tblSafety[Toolbox_Talks],tblSafety[Date],$A286)</f>
        <v/>
      </c>
      <c r="HA286" s="62">
        <f>IF($B286=$B285,$HA285,0)+$GZ286</f>
        <v/>
      </c>
      <c r="HB286" s="62">
        <f>$HB285+$GZ286</f>
        <v/>
      </c>
      <c r="HC286" s="62">
        <f>SUMIFS(tblSafety[Inspections],tblSafety[Date],$A286)</f>
        <v/>
      </c>
      <c r="HD286" s="62">
        <f>IF($B286=$B285,$HD285,0)+$HC286</f>
        <v/>
      </c>
      <c r="HE286" s="62">
        <f>$HE285+$HC286</f>
        <v/>
      </c>
      <c r="HF286" s="56">
        <f>IFERROR((SUMIFS(tblSafety[Recordables],tblSafety[Date],"&gt;="&amp;EDATE($E286,-12),tblSafety[Date],"&lt;="&amp;$A286)+SUMIFS(tblSafetyHistory[Recordables],tblSafetyHistory[Month],"&gt;="&amp;EDATE($E286,-12),tblSafetyHistory[Month],"&lt;"&amp;cfg_YearStart))/(SUMIFS(tblSafety[Hours_Total],tblSafety[Date],"&gt;="&amp;EDATE($E286,-12),tblSafety[Date],"&lt;="&amp;$A286)+SUMIFS(tblSafetyHistory[Hours_Total],tblSafetyHistory[Month],"&gt;="&amp;EDATE($E286,-12),tblSafetyHistory[Month],"&lt;"&amp;cfg_YearStart))*1000000,"")</f>
        <v/>
      </c>
      <c r="HG286" s="56">
        <f>IFERROR((SUMIFS(tblSafety[LTI],tblSafety[Date],"&gt;="&amp;EDATE($E286,-12),tblSafety[Date],"&lt;="&amp;$A286)+SUMIFS(tblSafetyHistory[LTI],tblSafetyHistory[Month],"&gt;="&amp;EDATE($E286,-12),tblSafetyHistory[Month],"&lt;"&amp;cfg_YearStart))/(SUMIFS(tblSafety[Hours_Total],tblSafety[Date],"&gt;="&amp;EDATE($E286,-12),tblSafety[Date],"&lt;="&amp;$A286)+SUMIFS(tblSafetyHistory[Hours_Total],tblSafetyHistory[Month],"&gt;="&amp;EDATE($E286,-12),tblSafetyHistory[Month],"&lt;"&amp;cfg_YearStart))*1000000,"")</f>
        <v/>
      </c>
      <c r="HH286" s="62">
        <f>IF(MAX(N(cfg_PriorLTIDate),_xlfn.MAXIFS(tblSafety[Date],tblSafety[LTI],"&gt;0",tblSafety[Date],"&lt;="&amp;$A286))=0,"",$A286-MAX(N(cfg_PriorLTIDate),_xlfn.MAXIFS(tblSafety[Date],tblSafety[LTI],"&gt;0",tblSafety[Date],"&lt;="&amp;$A286)))</f>
        <v/>
      </c>
      <c r="HI286" s="55">
        <f>SUMIFS(tblBudget[Ore_Mined_t],tblBudget[Month],$E286)</f>
        <v/>
      </c>
      <c r="HJ286" s="55">
        <f>$HI286*$C286/$D286</f>
        <v/>
      </c>
      <c r="HK286" s="55">
        <f>SUMIFS(tblBudget[Ore_Mined_t],tblBudget[Month],"&lt;"&amp;$E286)+$HJ286</f>
        <v/>
      </c>
      <c r="HL286" s="55">
        <f>SUMIFS(tblBudget[Ore_oz],tblBudget[Month],$E286)</f>
        <v/>
      </c>
      <c r="HM286" s="55">
        <f>$HL286*$C286/$D286</f>
        <v/>
      </c>
      <c r="HN286" s="55">
        <f>SUMIFS(tblBudget[Ore_oz],tblBudget[Month],"&lt;"&amp;$E286)+$HM286</f>
        <v/>
      </c>
      <c r="HO286" s="56">
        <f>IFERROR(IF(($HI286)&gt;0,($HL286*cfg_TroyOz)/($HI286),""),"")</f>
        <v/>
      </c>
      <c r="HP286" s="56">
        <f>IFERROR(IF(($HJ286)&gt;0,($HM286*cfg_TroyOz)/($HJ286),""),"")</f>
        <v/>
      </c>
      <c r="HQ286" s="56">
        <f>IFERROR(IF(($HK286)&gt;0,($HN286*cfg_TroyOz)/($HK286),""),"")</f>
        <v/>
      </c>
      <c r="HR286" s="55">
        <f>SUMIFS(tblBudget[Waste_t],tblBudget[Month],$E286)</f>
        <v/>
      </c>
      <c r="HS286" s="55">
        <f>$HR286*$C286/$D286</f>
        <v/>
      </c>
      <c r="HT286" s="55">
        <f>SUMIFS(tblBudget[Waste_t],tblBudget[Month],"&lt;"&amp;$E286)+$HS286</f>
        <v/>
      </c>
      <c r="HU286" s="55">
        <f>SUMIFS(tblBudget[TMM_t],tblBudget[Month],$E286)</f>
        <v/>
      </c>
      <c r="HV286" s="55">
        <f>$HU286*$C286/$D286</f>
        <v/>
      </c>
      <c r="HW286" s="55">
        <f>SUMIFS(tblBudget[TMM_t],tblBudget[Month],"&lt;"&amp;$E286)+$HV286</f>
        <v/>
      </c>
      <c r="HX286" s="56">
        <f>IFERROR(IF(($HI286)&gt;0,($HR286)/($HI286),""),"")</f>
        <v/>
      </c>
      <c r="HY286" s="56">
        <f>IFERROR(IF(($HJ286)&gt;0,($HS286)/($HJ286),""),"")</f>
        <v/>
      </c>
      <c r="HZ286" s="56">
        <f>IFERROR(IF(($HK286)&gt;0,($HT286)/($HK286),""),"")</f>
        <v/>
      </c>
      <c r="IA286" s="55">
        <f>SUMIFS(tblBudget[Drill_m],tblBudget[Month],$E286)</f>
        <v/>
      </c>
      <c r="IB286" s="55">
        <f>$IA286*$C286/$D286</f>
        <v/>
      </c>
      <c r="IC286" s="55">
        <f>SUMIFS(tblBudget[Drill_m],tblBudget[Month],"&lt;"&amp;$E286)+$IB286</f>
        <v/>
      </c>
      <c r="ID286" s="55">
        <f>SUMIFS(tblBudget[Diesel_L],tblBudget[Month],$E286)</f>
        <v/>
      </c>
      <c r="IE286" s="55">
        <f>$ID286*$C286/$D286</f>
        <v/>
      </c>
      <c r="IF286" s="55">
        <f>SUMIFS(tblBudget[Diesel_L],tblBudget[Month],"&lt;"&amp;$E286)+$IE286</f>
        <v/>
      </c>
      <c r="IG286" s="55">
        <f>SUMIFS(tblBudget[Milled_t],tblBudget[Month],$E286)</f>
        <v/>
      </c>
      <c r="IH286" s="55">
        <f>$IG286*$C286/$D286</f>
        <v/>
      </c>
      <c r="II286" s="55">
        <f>SUMIFS(tblBudget[Milled_t],tblBudget[Month],"&lt;"&amp;$E286)+$IH286</f>
        <v/>
      </c>
      <c r="IJ286" s="55">
        <f>SUMIFS(tblBudget[Feed_oz],tblBudget[Month],$E286)</f>
        <v/>
      </c>
      <c r="IK286" s="55">
        <f>$IJ286*$C286/$D286</f>
        <v/>
      </c>
      <c r="IL286" s="55">
        <f>SUMIFS(tblBudget[Feed_oz],tblBudget[Month],"&lt;"&amp;$E286)+$IK286</f>
        <v/>
      </c>
      <c r="IM286" s="55">
        <f>SUMIFS(tblBudget[Recovered_oz],tblBudget[Month],$E286)</f>
        <v/>
      </c>
      <c r="IN286" s="55">
        <f>$IM286*$C286/$D286</f>
        <v/>
      </c>
      <c r="IO286" s="55">
        <f>SUMIFS(tblBudget[Recovered_oz],tblBudget[Month],"&lt;"&amp;$E286)+$IN286</f>
        <v/>
      </c>
      <c r="IP286" s="56">
        <f>IFERROR(IF(($IG286)&gt;0,($IJ286*cfg_TroyOz)/($IG286),""),"")</f>
        <v/>
      </c>
      <c r="IQ286" s="56">
        <f>IFERROR(IF(($IH286)&gt;0,($IK286*cfg_TroyOz)/($IH286),""),"")</f>
        <v/>
      </c>
      <c r="IR286" s="56">
        <f>IFERROR(IF(($II286)&gt;0,($IL286*cfg_TroyOz)/($II286),""),"")</f>
        <v/>
      </c>
      <c r="IS286" s="67">
        <f>IFERROR(IF(($IJ286)&gt;0,($IM286)/($IJ286),""),"")</f>
        <v/>
      </c>
      <c r="IT286" s="67">
        <f>IFERROR(IF(($IK286)&gt;0,($IN286)/($IK286),""),"")</f>
        <v/>
      </c>
      <c r="IU286" s="67">
        <f>IFERROR(IF(($IL286)&gt;0,($IO286)/($IL286),""),"")</f>
        <v/>
      </c>
      <c r="IV286" s="55">
        <f>SUMIFS(tblBudget[Gold_Poured_oz],tblBudget[Month],$E286)</f>
        <v/>
      </c>
      <c r="IW286" s="55">
        <f>$IV286*$C286/$D286</f>
        <v/>
      </c>
      <c r="IX286" s="55">
        <f>SUMIFS(tblBudget[Gold_Poured_oz],tblBudget[Month],"&lt;"&amp;$E286)+$IW286</f>
        <v/>
      </c>
      <c r="IY286" s="57">
        <f>SUMIFS(tblBudget[Hours_Worked],tblBudget[Month],$E286)</f>
        <v/>
      </c>
      <c r="IZ286" s="57">
        <f>$IY286*$C286/$D286</f>
        <v/>
      </c>
      <c r="JA286" s="57">
        <f>SUMIFS(tblBudget[Hours_Worked],tblBudget[Month],"&lt;"&amp;$E286)+$IZ286</f>
        <v/>
      </c>
    </row>
    <row r="287">
      <c r="A287" s="54" t="n">
        <v>46308</v>
      </c>
      <c r="B287">
        <f>MONTH($A287)</f>
        <v/>
      </c>
      <c r="C287">
        <f>DAY($A287)</f>
        <v/>
      </c>
      <c r="D287">
        <f>DAY(EOMONTH($A287,0))</f>
        <v/>
      </c>
      <c r="E287" s="54">
        <f>DATE(YEAR($A287),MONTH($A287),1)</f>
        <v/>
      </c>
      <c r="F287" s="55">
        <f>SUMIFS(tblMovement[Tonnes_t],tblMovement[Date],$A287,tblMovement[Is_Ore],1,tblMovement[Source_Type],"Pit")</f>
        <v/>
      </c>
      <c r="G287" s="55">
        <f>IF($B287=$B286,$G286,0)+$F287</f>
        <v/>
      </c>
      <c r="H287" s="55">
        <f>$H286+$F287</f>
        <v/>
      </c>
      <c r="I287" s="55">
        <f>SUMIFS(tblMovement[Ore_oz],tblMovement[Date],$A287,tblMovement[Source_Type],"Pit")</f>
        <v/>
      </c>
      <c r="J287" s="55">
        <f>IF($B287=$B286,$J286,0)+$I287</f>
        <v/>
      </c>
      <c r="K287" s="55">
        <f>$K286+$I287</f>
        <v/>
      </c>
      <c r="L287" s="56">
        <f>IFERROR(IF(($F287)&gt;0,($I287*cfg_TroyOz)/($F287),""),"")</f>
        <v/>
      </c>
      <c r="M287" s="56">
        <f>IFERROR(IF(($G287)&gt;0,($J287*cfg_TroyOz)/($G287),""),"")</f>
        <v/>
      </c>
      <c r="N287" s="56">
        <f>IFERROR(IF(($H287)&gt;0,($K287*cfg_TroyOz)/($H287),""),"")</f>
        <v/>
      </c>
      <c r="O287" s="55">
        <f>SUMIFS(tblMovement[Tonnes_t],tblMovement[Date],$A287,tblMovement[Is_Ore],0,tblMovement[Source_Type],"Pit")</f>
        <v/>
      </c>
      <c r="P287" s="55">
        <f>IF($B287=$B286,$P286,0)+$O287</f>
        <v/>
      </c>
      <c r="Q287" s="55">
        <f>$Q286+$O287</f>
        <v/>
      </c>
      <c r="R287" s="55">
        <f>$F287+$O287</f>
        <v/>
      </c>
      <c r="S287" s="55">
        <f>IF($B287=$B286,$S286,0)+$R287</f>
        <v/>
      </c>
      <c r="T287" s="55">
        <f>$T286+$R287</f>
        <v/>
      </c>
      <c r="U287" s="56">
        <f>IFERROR(IF(($F287)&gt;0,($O287)/($F287),""),"")</f>
        <v/>
      </c>
      <c r="V287" s="56">
        <f>IFERROR(IF(($G287)&gt;0,($P287)/($G287),""),"")</f>
        <v/>
      </c>
      <c r="W287" s="56">
        <f>IFERROR(IF(($H287)&gt;0,($Q287)/($H287),""),"")</f>
        <v/>
      </c>
      <c r="X287" s="55">
        <f>SUMIFS(tblMovement[Tonnes_t],tblMovement[Date],$A287,tblMovement[Source_Type],"Stockpile")</f>
        <v/>
      </c>
      <c r="Y287" s="55">
        <f>IF($B287=$B286,$Y286,0)+$X287</f>
        <v/>
      </c>
      <c r="Z287" s="55">
        <f>$Z286+$X287</f>
        <v/>
      </c>
      <c r="AA287" s="55">
        <f>SUMIFS(tblMiningDaily[Drill_m],tblMiningDaily[Date],$A287)</f>
        <v/>
      </c>
      <c r="AB287" s="55">
        <f>IF($B287=$B286,$AB286,0)+$AA287</f>
        <v/>
      </c>
      <c r="AC287" s="55">
        <f>$AC286+$AA287</f>
        <v/>
      </c>
      <c r="AD287" s="55">
        <f>SUMIFS(tblMiningDaily[Blast_t],tblMiningDaily[Date],$A287)</f>
        <v/>
      </c>
      <c r="AE287" s="55">
        <f>IF($B287=$B286,$AE286,0)+$AD287</f>
        <v/>
      </c>
      <c r="AF287" s="55">
        <f>$AF286+$AD287</f>
        <v/>
      </c>
      <c r="AG287" s="55">
        <f>SUMIFS(tblMiningDaily[Explosives_kg],tblMiningDaily[Date],$A287)</f>
        <v/>
      </c>
      <c r="AH287" s="55">
        <f>IF($B287=$B286,$AH286,0)+$AG287</f>
        <v/>
      </c>
      <c r="AI287" s="55">
        <f>$AI286+$AG287</f>
        <v/>
      </c>
      <c r="AJ287" s="56">
        <f>IFERROR(IF(($AD287)&gt;0,($AG287)/($AD287),""),"")</f>
        <v/>
      </c>
      <c r="AK287" s="56">
        <f>IFERROR(IF(($AE287)&gt;0,($AH287)/($AE287),""),"")</f>
        <v/>
      </c>
      <c r="AL287" s="56">
        <f>IFERROR(IF(($AF287)&gt;0,($AI287)/($AF287),""),"")</f>
        <v/>
      </c>
      <c r="AM287" s="55">
        <f>SUMIFS(tblMiningDaily[Diesel_L],tblMiningDaily[Date],$A287)</f>
        <v/>
      </c>
      <c r="AN287" s="55">
        <f>IF($B287=$B286,$AN286,0)+$AM287</f>
        <v/>
      </c>
      <c r="AO287" s="55">
        <f>$AO286+$AM287</f>
        <v/>
      </c>
      <c r="AP287" s="55">
        <f>SUMIFS(tblMiningDaily[Dewatering_m3],tblMiningDaily[Date],$A287)</f>
        <v/>
      </c>
      <c r="AQ287" s="55">
        <f>IF($B287=$B286,$AQ286,0)+$AP287</f>
        <v/>
      </c>
      <c r="AR287" s="55">
        <f>$AR286+$AP287</f>
        <v/>
      </c>
      <c r="AS287" s="57">
        <f>SUMIFS(tblFleet[Calendar_h],tblFleet[Date],$A287,tblFleet[Equipment_Class],"Excavator")</f>
        <v/>
      </c>
      <c r="AT287" s="57">
        <f>IF($B287=$B286,$AT286,0)+$AS287</f>
        <v/>
      </c>
      <c r="AU287" s="57">
        <f>$AU286+$AS287</f>
        <v/>
      </c>
      <c r="AV287" s="57">
        <f>SUMIFS(tblFleet[Available_h],tblFleet[Date],$A287,tblFleet[Equipment_Class],"Excavator")</f>
        <v/>
      </c>
      <c r="AW287" s="57">
        <f>IF($B287=$B286,$AW286,0)+$AV287</f>
        <v/>
      </c>
      <c r="AX287" s="57">
        <f>$AX286+$AV287</f>
        <v/>
      </c>
      <c r="AY287" s="57">
        <f>SUMIFS(tblFleet[Operating_h],tblFleet[Date],$A287,tblFleet[Equipment_Class],"Excavator")</f>
        <v/>
      </c>
      <c r="AZ287" s="57">
        <f>IF($B287=$B286,$AZ286,0)+$AY287</f>
        <v/>
      </c>
      <c r="BA287" s="57">
        <f>$BA286+$AY287</f>
        <v/>
      </c>
      <c r="BB287" s="67">
        <f>IFERROR(IF(($AS287)&gt;0,($AV287)/($AS287),""),"")</f>
        <v/>
      </c>
      <c r="BC287" s="67">
        <f>IFERROR(IF(($AT287)&gt;0,($AW287)/($AT287),""),"")</f>
        <v/>
      </c>
      <c r="BD287" s="67">
        <f>IFERROR(IF(($AU287)&gt;0,($AX287)/($AU287),""),"")</f>
        <v/>
      </c>
      <c r="BE287" s="67">
        <f>IFERROR(IF(($AV287)&gt;0,($AY287)/($AV287),""),"")</f>
        <v/>
      </c>
      <c r="BF287" s="67">
        <f>IFERROR(IF(($AW287)&gt;0,($AZ287)/($AW287),""),"")</f>
        <v/>
      </c>
      <c r="BG287" s="67">
        <f>IFERROR(IF(($AX287)&gt;0,($BA287)/($AX287),""),"")</f>
        <v/>
      </c>
      <c r="BH287" s="57">
        <f>SUMIFS(tblFleet[Calendar_h],tblFleet[Date],$A287,tblFleet[Equipment_Class],"Haul Truck")</f>
        <v/>
      </c>
      <c r="BI287" s="57">
        <f>IF($B287=$B286,$BI286,0)+$BH287</f>
        <v/>
      </c>
      <c r="BJ287" s="57">
        <f>$BJ286+$BH287</f>
        <v/>
      </c>
      <c r="BK287" s="57">
        <f>SUMIFS(tblFleet[Available_h],tblFleet[Date],$A287,tblFleet[Equipment_Class],"Haul Truck")</f>
        <v/>
      </c>
      <c r="BL287" s="57">
        <f>IF($B287=$B286,$BL286,0)+$BK287</f>
        <v/>
      </c>
      <c r="BM287" s="57">
        <f>$BM286+$BK287</f>
        <v/>
      </c>
      <c r="BN287" s="57">
        <f>SUMIFS(tblFleet[Operating_h],tblFleet[Date],$A287,tblFleet[Equipment_Class],"Haul Truck")</f>
        <v/>
      </c>
      <c r="BO287" s="57">
        <f>IF($B287=$B286,$BO286,0)+$BN287</f>
        <v/>
      </c>
      <c r="BP287" s="57">
        <f>$BP286+$BN287</f>
        <v/>
      </c>
      <c r="BQ287" s="67">
        <f>IFERROR(IF(($BH287)&gt;0,($BK287)/($BH287),""),"")</f>
        <v/>
      </c>
      <c r="BR287" s="67">
        <f>IFERROR(IF(($BI287)&gt;0,($BL287)/($BI287),""),"")</f>
        <v/>
      </c>
      <c r="BS287" s="67">
        <f>IFERROR(IF(($BJ287)&gt;0,($BM287)/($BJ287),""),"")</f>
        <v/>
      </c>
      <c r="BT287" s="67">
        <f>IFERROR(IF(($BK287)&gt;0,($BN287)/($BK287),""),"")</f>
        <v/>
      </c>
      <c r="BU287" s="67">
        <f>IFERROR(IF(($BL287)&gt;0,($BO287)/($BL287),""),"")</f>
        <v/>
      </c>
      <c r="BV287" s="67">
        <f>IFERROR(IF(($BM287)&gt;0,($BP287)/($BM287),""),"")</f>
        <v/>
      </c>
      <c r="BW287" s="55">
        <f>SUMIFS(tblPlant[Crushed_t],tblPlant[Date],$A287)</f>
        <v/>
      </c>
      <c r="BX287" s="55">
        <f>IF($B287=$B286,$BX286,0)+$BW287</f>
        <v/>
      </c>
      <c r="BY287" s="55">
        <f>$BY286+$BW287</f>
        <v/>
      </c>
      <c r="BZ287" s="55">
        <f>SUMIFS(tblPlant[Milled_t],tblPlant[Date],$A287)</f>
        <v/>
      </c>
      <c r="CA287" s="55">
        <f>IF($B287=$B286,$CA286,0)+$BZ287</f>
        <v/>
      </c>
      <c r="CB287" s="55">
        <f>$CB286+$BZ287</f>
        <v/>
      </c>
      <c r="CC287" s="55">
        <f>SUMIFS(tblPlant[Feed_oz],tblPlant[Date],$A287)</f>
        <v/>
      </c>
      <c r="CD287" s="55">
        <f>IF($B287=$B286,$CD286,0)+$CC287</f>
        <v/>
      </c>
      <c r="CE287" s="55">
        <f>$CE286+$CC287</f>
        <v/>
      </c>
      <c r="CF287" s="55">
        <f>SUMIFS(tblPlant[Tails_oz],tblPlant[Date],$A287)</f>
        <v/>
      </c>
      <c r="CG287" s="55">
        <f>IF($B287=$B286,$CG286,0)+$CF287</f>
        <v/>
      </c>
      <c r="CH287" s="55">
        <f>$CH286+$CF287</f>
        <v/>
      </c>
      <c r="CI287" s="55">
        <f>SUMIFS(tblPlant[Recovered_oz],tblPlant[Date],$A287)</f>
        <v/>
      </c>
      <c r="CJ287" s="55">
        <f>IF($B287=$B286,$CJ286,0)+$CI287</f>
        <v/>
      </c>
      <c r="CK287" s="55">
        <f>$CK286+$CI287</f>
        <v/>
      </c>
      <c r="CL287" s="56">
        <f>IFERROR(IF(($BZ287)&gt;0,($CC287*cfg_TroyOz)/($BZ287),""),"")</f>
        <v/>
      </c>
      <c r="CM287" s="56">
        <f>IFERROR(IF(($CA287)&gt;0,($CD287*cfg_TroyOz)/($CA287),""),"")</f>
        <v/>
      </c>
      <c r="CN287" s="56">
        <f>IFERROR(IF(($CB287)&gt;0,($CE287*cfg_TroyOz)/($CB287),""),"")</f>
        <v/>
      </c>
      <c r="CO287" s="56">
        <f>IFERROR(IF(($BZ287)&gt;0,($CF287*cfg_TroyOz)/($BZ287),""),"")</f>
        <v/>
      </c>
      <c r="CP287" s="56">
        <f>IFERROR(IF(($CA287)&gt;0,($CG287*cfg_TroyOz)/($CA287),""),"")</f>
        <v/>
      </c>
      <c r="CQ287" s="56">
        <f>IFERROR(IF(($CB287)&gt;0,($CH287*cfg_TroyOz)/($CB287),""),"")</f>
        <v/>
      </c>
      <c r="CR287" s="67">
        <f>IFERROR(IF(($CC287)&gt;0,($CI287)/($CC287),""),"")</f>
        <v/>
      </c>
      <c r="CS287" s="67">
        <f>IFERROR(IF(($CD287)&gt;0,($CJ287)/($CD287),""),"")</f>
        <v/>
      </c>
      <c r="CT287" s="67">
        <f>IFERROR(IF(($CE287)&gt;0,($CK287)/($CE287),""),"")</f>
        <v/>
      </c>
      <c r="CU287" s="55">
        <f>SUMIFS(tblPlant[Gravity_Gold_oz],tblPlant[Date],$A287)</f>
        <v/>
      </c>
      <c r="CV287" s="55">
        <f>IF($B287=$B286,$CV286,0)+$CU287</f>
        <v/>
      </c>
      <c r="CW287" s="55">
        <f>$CW286+$CU287</f>
        <v/>
      </c>
      <c r="CX287" s="55">
        <f>SUMIFS(tblPlant[Gold_Poured_oz],tblPlant[Date],$A287)</f>
        <v/>
      </c>
      <c r="CY287" s="55">
        <f>IF($B287=$B286,$CY286,0)+$CX287</f>
        <v/>
      </c>
      <c r="CZ287" s="55">
        <f>$CZ286+$CX287</f>
        <v/>
      </c>
      <c r="DA287" s="57">
        <f>SUMIFS(tblPlant[Mill_Run_h],tblPlant[Date],$A287)</f>
        <v/>
      </c>
      <c r="DB287" s="57">
        <f>IF($B287=$B286,$DB286,0)+$DA287</f>
        <v/>
      </c>
      <c r="DC287" s="57">
        <f>$DC286+$DA287</f>
        <v/>
      </c>
      <c r="DD287" s="57">
        <f>SUMIFS(tblPlant[Mill_Planned_Maint_h],tblPlant[Date],$A287)</f>
        <v/>
      </c>
      <c r="DE287" s="57">
        <f>IF($B287=$B286,$DE286,0)+$DD287</f>
        <v/>
      </c>
      <c r="DF287" s="57">
        <f>$DF286+$DD287</f>
        <v/>
      </c>
      <c r="DG287" s="57">
        <f>SUMIFS(tblPlant[Mill_Unplanned_Down_h],tblPlant[Date],$A287)</f>
        <v/>
      </c>
      <c r="DH287" s="57">
        <f>IF($B287=$B286,$DH286,0)+$DG287</f>
        <v/>
      </c>
      <c r="DI287" s="57">
        <f>$DI286+$DG287</f>
        <v/>
      </c>
      <c r="DJ287" s="57">
        <f>COUNTIFS(tblPlant[Date],$A287,tblPlant[Mill_Run_h],"&lt;&gt;")*24</f>
        <v/>
      </c>
      <c r="DK287" s="57">
        <f>IF($B287=$B286,$DK286,0)+$DJ287</f>
        <v/>
      </c>
      <c r="DL287" s="57">
        <f>$DL286+$DJ287</f>
        <v/>
      </c>
      <c r="DM287" s="57">
        <f>SUMIFS(tblPlant[Crusher_Run_h],tblPlant[Date],$A287)</f>
        <v/>
      </c>
      <c r="DN287" s="57">
        <f>IF($B287=$B286,$DN286,0)+$DM287</f>
        <v/>
      </c>
      <c r="DO287" s="57">
        <f>$DO286+$DM287</f>
        <v/>
      </c>
      <c r="DP287" s="55">
        <f>IFERROR(IF(($DA287)&gt;0,($BZ287)/($DA287),""),"")</f>
        <v/>
      </c>
      <c r="DQ287" s="55">
        <f>IFERROR(IF(($DB287)&gt;0,($CA287)/($DB287),""),"")</f>
        <v/>
      </c>
      <c r="DR287" s="55">
        <f>IFERROR(IF(($DC287)&gt;0,($CB287)/($DC287),""),"")</f>
        <v/>
      </c>
      <c r="DS287" s="67">
        <f>IFERROR(IF(($DJ287)&gt;0,($DJ287-$DD287-$DG287)/($DJ287),""),"")</f>
        <v/>
      </c>
      <c r="DT287" s="67">
        <f>IFERROR(IF(($DK287)&gt;0,($DK287-$DE287-$DH287)/($DK287),""),"")</f>
        <v/>
      </c>
      <c r="DU287" s="67">
        <f>IFERROR(IF(($DL287)&gt;0,($DL287-$DF287-$DI287)/($DL287),""),"")</f>
        <v/>
      </c>
      <c r="DV287" s="67">
        <f>IFERROR(IF(($DJ287-$DD287-$DG287)&gt;0,($DA287)/($DJ287-$DD287-$DG287),""),"")</f>
        <v/>
      </c>
      <c r="DW287" s="67">
        <f>IFERROR(IF(($DK287-$DE287-$DH287)&gt;0,($DB287)/($DK287-$DE287-$DH287),""),"")</f>
        <v/>
      </c>
      <c r="DX287" s="67">
        <f>IFERROR(IF(($DL287-$DF287-$DI287)&gt;0,($DC287)/($DL287-$DF287-$DI287),""),"")</f>
        <v/>
      </c>
      <c r="DY287" s="55">
        <f>SUMIFS(tblPlant[Cyanide_kg],tblPlant[Date],$A287)</f>
        <v/>
      </c>
      <c r="DZ287" s="55">
        <f>IF($B287=$B286,$DZ286,0)+$DY287</f>
        <v/>
      </c>
      <c r="EA287" s="55">
        <f>$EA286+$DY287</f>
        <v/>
      </c>
      <c r="EB287" s="55">
        <f>SUMIFS(tblPlant[Lime_kg],tblPlant[Date],$A287)</f>
        <v/>
      </c>
      <c r="EC287" s="55">
        <f>IF($B287=$B286,$EC286,0)+$EB287</f>
        <v/>
      </c>
      <c r="ED287" s="55">
        <f>$ED286+$EB287</f>
        <v/>
      </c>
      <c r="EE287" s="55">
        <f>SUMIFS(tblPlant[Grinding_Media_kg],tblPlant[Date],$A287)</f>
        <v/>
      </c>
      <c r="EF287" s="55">
        <f>IF($B287=$B286,$EF286,0)+$EE287</f>
        <v/>
      </c>
      <c r="EG287" s="55">
        <f>$EG286+$EE287</f>
        <v/>
      </c>
      <c r="EH287" s="55">
        <f>SUMIFS(tblPlant[Power_kWh],tblPlant[Date],$A287)</f>
        <v/>
      </c>
      <c r="EI287" s="55">
        <f>IF($B287=$B286,$EI286,0)+$EH287</f>
        <v/>
      </c>
      <c r="EJ287" s="55">
        <f>$EJ286+$EH287</f>
        <v/>
      </c>
      <c r="EK287" s="55">
        <f>SUMIFS(tblPlant[Raw_Water_m3],tblPlant[Date],$A287)</f>
        <v/>
      </c>
      <c r="EL287" s="55">
        <f>IF($B287=$B286,$EL286,0)+$EK287</f>
        <v/>
      </c>
      <c r="EM287" s="55">
        <f>$EM286+$EK287</f>
        <v/>
      </c>
      <c r="EN287" s="56">
        <f>IFERROR(IF(($BZ287)&gt;0,($DY287)/($BZ287),""),"")</f>
        <v/>
      </c>
      <c r="EO287" s="56">
        <f>IFERROR(IF(($CA287)&gt;0,($DZ287)/($CA287),""),"")</f>
        <v/>
      </c>
      <c r="EP287" s="56">
        <f>IFERROR(IF(($CB287)&gt;0,($EA287)/($CB287),""),"")</f>
        <v/>
      </c>
      <c r="EQ287" s="56">
        <f>IFERROR(IF(($BZ287)&gt;0,($EB287)/($BZ287),""),"")</f>
        <v/>
      </c>
      <c r="ER287" s="56">
        <f>IFERROR(IF(($CA287)&gt;0,($EC287)/($CA287),""),"")</f>
        <v/>
      </c>
      <c r="ES287" s="56">
        <f>IFERROR(IF(($CB287)&gt;0,($ED287)/($CB287),""),"")</f>
        <v/>
      </c>
      <c r="ET287" s="56">
        <f>IFERROR(IF(($BZ287)&gt;0,($EE287)/($BZ287),""),"")</f>
        <v/>
      </c>
      <c r="EU287" s="56">
        <f>IFERROR(IF(($CA287)&gt;0,($EF287)/($CA287),""),"")</f>
        <v/>
      </c>
      <c r="EV287" s="56">
        <f>IFERROR(IF(($CB287)&gt;0,($EG287)/($CB287),""),"")</f>
        <v/>
      </c>
      <c r="EW287" s="76">
        <f>IFERROR(IF(($BZ287)&gt;0,($EH287)/($BZ287),""),"")</f>
        <v/>
      </c>
      <c r="EX287" s="76">
        <f>IFERROR(IF(($CA287)&gt;0,($EI287)/($CA287),""),"")</f>
        <v/>
      </c>
      <c r="EY287" s="76">
        <f>IFERROR(IF(($CB287)&gt;0,($EJ287)/($CB287),""),"")</f>
        <v/>
      </c>
      <c r="EZ287" s="56">
        <f>IFERROR(IF(($BZ287)&gt;0,($EK287)/($BZ287),""),"")</f>
        <v/>
      </c>
      <c r="FA287" s="56">
        <f>IFERROR(IF(($CA287)&gt;0,($EL287)/($CA287),""),"")</f>
        <v/>
      </c>
      <c r="FB287" s="56">
        <f>IFERROR(IF(($CB287)&gt;0,($EM287)/($CB287),""),"")</f>
        <v/>
      </c>
      <c r="FC287" s="55">
        <f>IF(SUMIFS(tblPlant[GIC_oz],tblPlant[Date],$A287)&gt;0,SUMIFS(tblPlant[GIC_oz],tblPlant[Date],$A287),"")</f>
        <v/>
      </c>
      <c r="FD287" s="55">
        <f>SUMIFS(tblGold[Gold_oz],tblGold[Date],$A287,tblGold[Type],"Shipment")</f>
        <v/>
      </c>
      <c r="FE287" s="55">
        <f>IF($B287=$B286,$FE286,0)+$FD287</f>
        <v/>
      </c>
      <c r="FF287" s="55">
        <f>$FF286+$FD287</f>
        <v/>
      </c>
      <c r="FG287" s="55">
        <f>SUMIFS(tblGold[Gold_oz],tblGold[Date],$A287,tblGold[Type],"Sale")</f>
        <v/>
      </c>
      <c r="FH287" s="55">
        <f>IF($B287=$B286,$FH286,0)+$FG287</f>
        <v/>
      </c>
      <c r="FI287" s="55">
        <f>$FI286+$FG287</f>
        <v/>
      </c>
      <c r="FJ287" s="55">
        <f>SUMIFS(tblGold[Dore_kg],tblGold[Date],$A287,tblGold[Type],"Shipment")</f>
        <v/>
      </c>
      <c r="FK287" s="55">
        <f>IF($B287=$B286,$FK286,0)+$FJ287</f>
        <v/>
      </c>
      <c r="FL287" s="55">
        <f>$FL286+$FJ287</f>
        <v/>
      </c>
      <c r="FM287" s="57">
        <f>SUMIFS(tblSafety[Hours_Total],tblSafety[Date],$A287)</f>
        <v/>
      </c>
      <c r="FN287" s="57">
        <f>IF($B287=$B286,$FN286,0)+$FM287</f>
        <v/>
      </c>
      <c r="FO287" s="57">
        <f>$FO286+$FM287</f>
        <v/>
      </c>
      <c r="FP287" s="62">
        <f>SUMIFS(tblSafety[Fatality],tblSafety[Date],$A287)</f>
        <v/>
      </c>
      <c r="FQ287" s="62">
        <f>IF($B287=$B286,$FQ286,0)+$FP287</f>
        <v/>
      </c>
      <c r="FR287" s="62">
        <f>$FR286+$FP287</f>
        <v/>
      </c>
      <c r="FS287" s="62">
        <f>SUMIFS(tblSafety[LTI],tblSafety[Date],$A287)</f>
        <v/>
      </c>
      <c r="FT287" s="62">
        <f>IF($B287=$B286,$FT286,0)+$FS287</f>
        <v/>
      </c>
      <c r="FU287" s="62">
        <f>$FU286+$FS287</f>
        <v/>
      </c>
      <c r="FV287" s="62">
        <f>SUMIFS(tblSafety[RWI],tblSafety[Date],$A287)</f>
        <v/>
      </c>
      <c r="FW287" s="62">
        <f>IF($B287=$B286,$FW286,0)+$FV287</f>
        <v/>
      </c>
      <c r="FX287" s="62">
        <f>$FX286+$FV287</f>
        <v/>
      </c>
      <c r="FY287" s="62">
        <f>SUMIFS(tblSafety[MTI],tblSafety[Date],$A287)</f>
        <v/>
      </c>
      <c r="FZ287" s="62">
        <f>IF($B287=$B286,$FZ286,0)+$FY287</f>
        <v/>
      </c>
      <c r="GA287" s="62">
        <f>$GA286+$FY287</f>
        <v/>
      </c>
      <c r="GB287" s="62">
        <f>SUMIFS(tblSafety[FAI],tblSafety[Date],$A287)</f>
        <v/>
      </c>
      <c r="GC287" s="62">
        <f>IF($B287=$B286,$GC286,0)+$GB287</f>
        <v/>
      </c>
      <c r="GD287" s="62">
        <f>$GD286+$GB287</f>
        <v/>
      </c>
      <c r="GE287" s="62">
        <f>SUMIFS(tblSafety[Recordables],tblSafety[Date],$A287)</f>
        <v/>
      </c>
      <c r="GF287" s="62">
        <f>IF($B287=$B286,$GF286,0)+$GE287</f>
        <v/>
      </c>
      <c r="GG287" s="62">
        <f>$GG286+$GE287</f>
        <v/>
      </c>
      <c r="GH287" s="62">
        <f>SUMIFS(tblSafety[Near_Miss],tblSafety[Date],$A287)</f>
        <v/>
      </c>
      <c r="GI287" s="62">
        <f>IF($B287=$B286,$GI286,0)+$GH287</f>
        <v/>
      </c>
      <c r="GJ287" s="62">
        <f>$GJ286+$GH287</f>
        <v/>
      </c>
      <c r="GK287" s="62">
        <f>SUMIFS(tblSafety[Hazard_Reports],tblSafety[Date],$A287)</f>
        <v/>
      </c>
      <c r="GL287" s="62">
        <f>IF($B287=$B286,$GL286,0)+$GK287</f>
        <v/>
      </c>
      <c r="GM287" s="62">
        <f>$GM286+$GK287</f>
        <v/>
      </c>
      <c r="GN287" s="62">
        <f>SUMIFS(tblSafety[HPI],tblSafety[Date],$A287)</f>
        <v/>
      </c>
      <c r="GO287" s="62">
        <f>IF($B287=$B286,$GO286,0)+$GN287</f>
        <v/>
      </c>
      <c r="GP287" s="62">
        <f>$GP286+$GN287</f>
        <v/>
      </c>
      <c r="GQ287" s="62">
        <f>SUMIFS(tblSafety[Env_Incidents],tblSafety[Date],$A287)</f>
        <v/>
      </c>
      <c r="GR287" s="62">
        <f>IF($B287=$B286,$GR286,0)+$GQ287</f>
        <v/>
      </c>
      <c r="GS287" s="62">
        <f>$GS286+$GQ287</f>
        <v/>
      </c>
      <c r="GT287" s="62">
        <f>SUMIFS(tblSafety[Community_Incidents],tblSafety[Date],$A287)</f>
        <v/>
      </c>
      <c r="GU287" s="62">
        <f>IF($B287=$B286,$GU286,0)+$GT287</f>
        <v/>
      </c>
      <c r="GV287" s="62">
        <f>$GV286+$GT287</f>
        <v/>
      </c>
      <c r="GW287" s="62">
        <f>SUMIFS(tblSafety[Vehicle_Incidents],tblSafety[Date],$A287)</f>
        <v/>
      </c>
      <c r="GX287" s="62">
        <f>IF($B287=$B286,$GX286,0)+$GW287</f>
        <v/>
      </c>
      <c r="GY287" s="62">
        <f>$GY286+$GW287</f>
        <v/>
      </c>
      <c r="GZ287" s="62">
        <f>SUMIFS(tblSafety[Toolbox_Talks],tblSafety[Date],$A287)</f>
        <v/>
      </c>
      <c r="HA287" s="62">
        <f>IF($B287=$B286,$HA286,0)+$GZ287</f>
        <v/>
      </c>
      <c r="HB287" s="62">
        <f>$HB286+$GZ287</f>
        <v/>
      </c>
      <c r="HC287" s="62">
        <f>SUMIFS(tblSafety[Inspections],tblSafety[Date],$A287)</f>
        <v/>
      </c>
      <c r="HD287" s="62">
        <f>IF($B287=$B286,$HD286,0)+$HC287</f>
        <v/>
      </c>
      <c r="HE287" s="62">
        <f>$HE286+$HC287</f>
        <v/>
      </c>
      <c r="HF287" s="56">
        <f>IFERROR((SUMIFS(tblSafety[Recordables],tblSafety[Date],"&gt;="&amp;EDATE($E287,-12),tblSafety[Date],"&lt;="&amp;$A287)+SUMIFS(tblSafetyHistory[Recordables],tblSafetyHistory[Month],"&gt;="&amp;EDATE($E287,-12),tblSafetyHistory[Month],"&lt;"&amp;cfg_YearStart))/(SUMIFS(tblSafety[Hours_Total],tblSafety[Date],"&gt;="&amp;EDATE($E287,-12),tblSafety[Date],"&lt;="&amp;$A287)+SUMIFS(tblSafetyHistory[Hours_Total],tblSafetyHistory[Month],"&gt;="&amp;EDATE($E287,-12),tblSafetyHistory[Month],"&lt;"&amp;cfg_YearStart))*1000000,"")</f>
        <v/>
      </c>
      <c r="HG287" s="56">
        <f>IFERROR((SUMIFS(tblSafety[LTI],tblSafety[Date],"&gt;="&amp;EDATE($E287,-12),tblSafety[Date],"&lt;="&amp;$A287)+SUMIFS(tblSafetyHistory[LTI],tblSafetyHistory[Month],"&gt;="&amp;EDATE($E287,-12),tblSafetyHistory[Month],"&lt;"&amp;cfg_YearStart))/(SUMIFS(tblSafety[Hours_Total],tblSafety[Date],"&gt;="&amp;EDATE($E287,-12),tblSafety[Date],"&lt;="&amp;$A287)+SUMIFS(tblSafetyHistory[Hours_Total],tblSafetyHistory[Month],"&gt;="&amp;EDATE($E287,-12),tblSafetyHistory[Month],"&lt;"&amp;cfg_YearStart))*1000000,"")</f>
        <v/>
      </c>
      <c r="HH287" s="62">
        <f>IF(MAX(N(cfg_PriorLTIDate),_xlfn.MAXIFS(tblSafety[Date],tblSafety[LTI],"&gt;0",tblSafety[Date],"&lt;="&amp;$A287))=0,"",$A287-MAX(N(cfg_PriorLTIDate),_xlfn.MAXIFS(tblSafety[Date],tblSafety[LTI],"&gt;0",tblSafety[Date],"&lt;="&amp;$A287)))</f>
        <v/>
      </c>
      <c r="HI287" s="55">
        <f>SUMIFS(tblBudget[Ore_Mined_t],tblBudget[Month],$E287)</f>
        <v/>
      </c>
      <c r="HJ287" s="55">
        <f>$HI287*$C287/$D287</f>
        <v/>
      </c>
      <c r="HK287" s="55">
        <f>SUMIFS(tblBudget[Ore_Mined_t],tblBudget[Month],"&lt;"&amp;$E287)+$HJ287</f>
        <v/>
      </c>
      <c r="HL287" s="55">
        <f>SUMIFS(tblBudget[Ore_oz],tblBudget[Month],$E287)</f>
        <v/>
      </c>
      <c r="HM287" s="55">
        <f>$HL287*$C287/$D287</f>
        <v/>
      </c>
      <c r="HN287" s="55">
        <f>SUMIFS(tblBudget[Ore_oz],tblBudget[Month],"&lt;"&amp;$E287)+$HM287</f>
        <v/>
      </c>
      <c r="HO287" s="56">
        <f>IFERROR(IF(($HI287)&gt;0,($HL287*cfg_TroyOz)/($HI287),""),"")</f>
        <v/>
      </c>
      <c r="HP287" s="56">
        <f>IFERROR(IF(($HJ287)&gt;0,($HM287*cfg_TroyOz)/($HJ287),""),"")</f>
        <v/>
      </c>
      <c r="HQ287" s="56">
        <f>IFERROR(IF(($HK287)&gt;0,($HN287*cfg_TroyOz)/($HK287),""),"")</f>
        <v/>
      </c>
      <c r="HR287" s="55">
        <f>SUMIFS(tblBudget[Waste_t],tblBudget[Month],$E287)</f>
        <v/>
      </c>
      <c r="HS287" s="55">
        <f>$HR287*$C287/$D287</f>
        <v/>
      </c>
      <c r="HT287" s="55">
        <f>SUMIFS(tblBudget[Waste_t],tblBudget[Month],"&lt;"&amp;$E287)+$HS287</f>
        <v/>
      </c>
      <c r="HU287" s="55">
        <f>SUMIFS(tblBudget[TMM_t],tblBudget[Month],$E287)</f>
        <v/>
      </c>
      <c r="HV287" s="55">
        <f>$HU287*$C287/$D287</f>
        <v/>
      </c>
      <c r="HW287" s="55">
        <f>SUMIFS(tblBudget[TMM_t],tblBudget[Month],"&lt;"&amp;$E287)+$HV287</f>
        <v/>
      </c>
      <c r="HX287" s="56">
        <f>IFERROR(IF(($HI287)&gt;0,($HR287)/($HI287),""),"")</f>
        <v/>
      </c>
      <c r="HY287" s="56">
        <f>IFERROR(IF(($HJ287)&gt;0,($HS287)/($HJ287),""),"")</f>
        <v/>
      </c>
      <c r="HZ287" s="56">
        <f>IFERROR(IF(($HK287)&gt;0,($HT287)/($HK287),""),"")</f>
        <v/>
      </c>
      <c r="IA287" s="55">
        <f>SUMIFS(tblBudget[Drill_m],tblBudget[Month],$E287)</f>
        <v/>
      </c>
      <c r="IB287" s="55">
        <f>$IA287*$C287/$D287</f>
        <v/>
      </c>
      <c r="IC287" s="55">
        <f>SUMIFS(tblBudget[Drill_m],tblBudget[Month],"&lt;"&amp;$E287)+$IB287</f>
        <v/>
      </c>
      <c r="ID287" s="55">
        <f>SUMIFS(tblBudget[Diesel_L],tblBudget[Month],$E287)</f>
        <v/>
      </c>
      <c r="IE287" s="55">
        <f>$ID287*$C287/$D287</f>
        <v/>
      </c>
      <c r="IF287" s="55">
        <f>SUMIFS(tblBudget[Diesel_L],tblBudget[Month],"&lt;"&amp;$E287)+$IE287</f>
        <v/>
      </c>
      <c r="IG287" s="55">
        <f>SUMIFS(tblBudget[Milled_t],tblBudget[Month],$E287)</f>
        <v/>
      </c>
      <c r="IH287" s="55">
        <f>$IG287*$C287/$D287</f>
        <v/>
      </c>
      <c r="II287" s="55">
        <f>SUMIFS(tblBudget[Milled_t],tblBudget[Month],"&lt;"&amp;$E287)+$IH287</f>
        <v/>
      </c>
      <c r="IJ287" s="55">
        <f>SUMIFS(tblBudget[Feed_oz],tblBudget[Month],$E287)</f>
        <v/>
      </c>
      <c r="IK287" s="55">
        <f>$IJ287*$C287/$D287</f>
        <v/>
      </c>
      <c r="IL287" s="55">
        <f>SUMIFS(tblBudget[Feed_oz],tblBudget[Month],"&lt;"&amp;$E287)+$IK287</f>
        <v/>
      </c>
      <c r="IM287" s="55">
        <f>SUMIFS(tblBudget[Recovered_oz],tblBudget[Month],$E287)</f>
        <v/>
      </c>
      <c r="IN287" s="55">
        <f>$IM287*$C287/$D287</f>
        <v/>
      </c>
      <c r="IO287" s="55">
        <f>SUMIFS(tblBudget[Recovered_oz],tblBudget[Month],"&lt;"&amp;$E287)+$IN287</f>
        <v/>
      </c>
      <c r="IP287" s="56">
        <f>IFERROR(IF(($IG287)&gt;0,($IJ287*cfg_TroyOz)/($IG287),""),"")</f>
        <v/>
      </c>
      <c r="IQ287" s="56">
        <f>IFERROR(IF(($IH287)&gt;0,($IK287*cfg_TroyOz)/($IH287),""),"")</f>
        <v/>
      </c>
      <c r="IR287" s="56">
        <f>IFERROR(IF(($II287)&gt;0,($IL287*cfg_TroyOz)/($II287),""),"")</f>
        <v/>
      </c>
      <c r="IS287" s="67">
        <f>IFERROR(IF(($IJ287)&gt;0,($IM287)/($IJ287),""),"")</f>
        <v/>
      </c>
      <c r="IT287" s="67">
        <f>IFERROR(IF(($IK287)&gt;0,($IN287)/($IK287),""),"")</f>
        <v/>
      </c>
      <c r="IU287" s="67">
        <f>IFERROR(IF(($IL287)&gt;0,($IO287)/($IL287),""),"")</f>
        <v/>
      </c>
      <c r="IV287" s="55">
        <f>SUMIFS(tblBudget[Gold_Poured_oz],tblBudget[Month],$E287)</f>
        <v/>
      </c>
      <c r="IW287" s="55">
        <f>$IV287*$C287/$D287</f>
        <v/>
      </c>
      <c r="IX287" s="55">
        <f>SUMIFS(tblBudget[Gold_Poured_oz],tblBudget[Month],"&lt;"&amp;$E287)+$IW287</f>
        <v/>
      </c>
      <c r="IY287" s="57">
        <f>SUMIFS(tblBudget[Hours_Worked],tblBudget[Month],$E287)</f>
        <v/>
      </c>
      <c r="IZ287" s="57">
        <f>$IY287*$C287/$D287</f>
        <v/>
      </c>
      <c r="JA287" s="57">
        <f>SUMIFS(tblBudget[Hours_Worked],tblBudget[Month],"&lt;"&amp;$E287)+$IZ287</f>
        <v/>
      </c>
    </row>
    <row r="288">
      <c r="A288" s="54" t="n">
        <v>46309</v>
      </c>
      <c r="B288">
        <f>MONTH($A288)</f>
        <v/>
      </c>
      <c r="C288">
        <f>DAY($A288)</f>
        <v/>
      </c>
      <c r="D288">
        <f>DAY(EOMONTH($A288,0))</f>
        <v/>
      </c>
      <c r="E288" s="54">
        <f>DATE(YEAR($A288),MONTH($A288),1)</f>
        <v/>
      </c>
      <c r="F288" s="55">
        <f>SUMIFS(tblMovement[Tonnes_t],tblMovement[Date],$A288,tblMovement[Is_Ore],1,tblMovement[Source_Type],"Pit")</f>
        <v/>
      </c>
      <c r="G288" s="55">
        <f>IF($B288=$B287,$G287,0)+$F288</f>
        <v/>
      </c>
      <c r="H288" s="55">
        <f>$H287+$F288</f>
        <v/>
      </c>
      <c r="I288" s="55">
        <f>SUMIFS(tblMovement[Ore_oz],tblMovement[Date],$A288,tblMovement[Source_Type],"Pit")</f>
        <v/>
      </c>
      <c r="J288" s="55">
        <f>IF($B288=$B287,$J287,0)+$I288</f>
        <v/>
      </c>
      <c r="K288" s="55">
        <f>$K287+$I288</f>
        <v/>
      </c>
      <c r="L288" s="56">
        <f>IFERROR(IF(($F288)&gt;0,($I288*cfg_TroyOz)/($F288),""),"")</f>
        <v/>
      </c>
      <c r="M288" s="56">
        <f>IFERROR(IF(($G288)&gt;0,($J288*cfg_TroyOz)/($G288),""),"")</f>
        <v/>
      </c>
      <c r="N288" s="56">
        <f>IFERROR(IF(($H288)&gt;0,($K288*cfg_TroyOz)/($H288),""),"")</f>
        <v/>
      </c>
      <c r="O288" s="55">
        <f>SUMIFS(tblMovement[Tonnes_t],tblMovement[Date],$A288,tblMovement[Is_Ore],0,tblMovement[Source_Type],"Pit")</f>
        <v/>
      </c>
      <c r="P288" s="55">
        <f>IF($B288=$B287,$P287,0)+$O288</f>
        <v/>
      </c>
      <c r="Q288" s="55">
        <f>$Q287+$O288</f>
        <v/>
      </c>
      <c r="R288" s="55">
        <f>$F288+$O288</f>
        <v/>
      </c>
      <c r="S288" s="55">
        <f>IF($B288=$B287,$S287,0)+$R288</f>
        <v/>
      </c>
      <c r="T288" s="55">
        <f>$T287+$R288</f>
        <v/>
      </c>
      <c r="U288" s="56">
        <f>IFERROR(IF(($F288)&gt;0,($O288)/($F288),""),"")</f>
        <v/>
      </c>
      <c r="V288" s="56">
        <f>IFERROR(IF(($G288)&gt;0,($P288)/($G288),""),"")</f>
        <v/>
      </c>
      <c r="W288" s="56">
        <f>IFERROR(IF(($H288)&gt;0,($Q288)/($H288),""),"")</f>
        <v/>
      </c>
      <c r="X288" s="55">
        <f>SUMIFS(tblMovement[Tonnes_t],tblMovement[Date],$A288,tblMovement[Source_Type],"Stockpile")</f>
        <v/>
      </c>
      <c r="Y288" s="55">
        <f>IF($B288=$B287,$Y287,0)+$X288</f>
        <v/>
      </c>
      <c r="Z288" s="55">
        <f>$Z287+$X288</f>
        <v/>
      </c>
      <c r="AA288" s="55">
        <f>SUMIFS(tblMiningDaily[Drill_m],tblMiningDaily[Date],$A288)</f>
        <v/>
      </c>
      <c r="AB288" s="55">
        <f>IF($B288=$B287,$AB287,0)+$AA288</f>
        <v/>
      </c>
      <c r="AC288" s="55">
        <f>$AC287+$AA288</f>
        <v/>
      </c>
      <c r="AD288" s="55">
        <f>SUMIFS(tblMiningDaily[Blast_t],tblMiningDaily[Date],$A288)</f>
        <v/>
      </c>
      <c r="AE288" s="55">
        <f>IF($B288=$B287,$AE287,0)+$AD288</f>
        <v/>
      </c>
      <c r="AF288" s="55">
        <f>$AF287+$AD288</f>
        <v/>
      </c>
      <c r="AG288" s="55">
        <f>SUMIFS(tblMiningDaily[Explosives_kg],tblMiningDaily[Date],$A288)</f>
        <v/>
      </c>
      <c r="AH288" s="55">
        <f>IF($B288=$B287,$AH287,0)+$AG288</f>
        <v/>
      </c>
      <c r="AI288" s="55">
        <f>$AI287+$AG288</f>
        <v/>
      </c>
      <c r="AJ288" s="56">
        <f>IFERROR(IF(($AD288)&gt;0,($AG288)/($AD288),""),"")</f>
        <v/>
      </c>
      <c r="AK288" s="56">
        <f>IFERROR(IF(($AE288)&gt;0,($AH288)/($AE288),""),"")</f>
        <v/>
      </c>
      <c r="AL288" s="56">
        <f>IFERROR(IF(($AF288)&gt;0,($AI288)/($AF288),""),"")</f>
        <v/>
      </c>
      <c r="AM288" s="55">
        <f>SUMIFS(tblMiningDaily[Diesel_L],tblMiningDaily[Date],$A288)</f>
        <v/>
      </c>
      <c r="AN288" s="55">
        <f>IF($B288=$B287,$AN287,0)+$AM288</f>
        <v/>
      </c>
      <c r="AO288" s="55">
        <f>$AO287+$AM288</f>
        <v/>
      </c>
      <c r="AP288" s="55">
        <f>SUMIFS(tblMiningDaily[Dewatering_m3],tblMiningDaily[Date],$A288)</f>
        <v/>
      </c>
      <c r="AQ288" s="55">
        <f>IF($B288=$B287,$AQ287,0)+$AP288</f>
        <v/>
      </c>
      <c r="AR288" s="55">
        <f>$AR287+$AP288</f>
        <v/>
      </c>
      <c r="AS288" s="57">
        <f>SUMIFS(tblFleet[Calendar_h],tblFleet[Date],$A288,tblFleet[Equipment_Class],"Excavator")</f>
        <v/>
      </c>
      <c r="AT288" s="57">
        <f>IF($B288=$B287,$AT287,0)+$AS288</f>
        <v/>
      </c>
      <c r="AU288" s="57">
        <f>$AU287+$AS288</f>
        <v/>
      </c>
      <c r="AV288" s="57">
        <f>SUMIFS(tblFleet[Available_h],tblFleet[Date],$A288,tblFleet[Equipment_Class],"Excavator")</f>
        <v/>
      </c>
      <c r="AW288" s="57">
        <f>IF($B288=$B287,$AW287,0)+$AV288</f>
        <v/>
      </c>
      <c r="AX288" s="57">
        <f>$AX287+$AV288</f>
        <v/>
      </c>
      <c r="AY288" s="57">
        <f>SUMIFS(tblFleet[Operating_h],tblFleet[Date],$A288,tblFleet[Equipment_Class],"Excavator")</f>
        <v/>
      </c>
      <c r="AZ288" s="57">
        <f>IF($B288=$B287,$AZ287,0)+$AY288</f>
        <v/>
      </c>
      <c r="BA288" s="57">
        <f>$BA287+$AY288</f>
        <v/>
      </c>
      <c r="BB288" s="67">
        <f>IFERROR(IF(($AS288)&gt;0,($AV288)/($AS288),""),"")</f>
        <v/>
      </c>
      <c r="BC288" s="67">
        <f>IFERROR(IF(($AT288)&gt;0,($AW288)/($AT288),""),"")</f>
        <v/>
      </c>
      <c r="BD288" s="67">
        <f>IFERROR(IF(($AU288)&gt;0,($AX288)/($AU288),""),"")</f>
        <v/>
      </c>
      <c r="BE288" s="67">
        <f>IFERROR(IF(($AV288)&gt;0,($AY288)/($AV288),""),"")</f>
        <v/>
      </c>
      <c r="BF288" s="67">
        <f>IFERROR(IF(($AW288)&gt;0,($AZ288)/($AW288),""),"")</f>
        <v/>
      </c>
      <c r="BG288" s="67">
        <f>IFERROR(IF(($AX288)&gt;0,($BA288)/($AX288),""),"")</f>
        <v/>
      </c>
      <c r="BH288" s="57">
        <f>SUMIFS(tblFleet[Calendar_h],tblFleet[Date],$A288,tblFleet[Equipment_Class],"Haul Truck")</f>
        <v/>
      </c>
      <c r="BI288" s="57">
        <f>IF($B288=$B287,$BI287,0)+$BH288</f>
        <v/>
      </c>
      <c r="BJ288" s="57">
        <f>$BJ287+$BH288</f>
        <v/>
      </c>
      <c r="BK288" s="57">
        <f>SUMIFS(tblFleet[Available_h],tblFleet[Date],$A288,tblFleet[Equipment_Class],"Haul Truck")</f>
        <v/>
      </c>
      <c r="BL288" s="57">
        <f>IF($B288=$B287,$BL287,0)+$BK288</f>
        <v/>
      </c>
      <c r="BM288" s="57">
        <f>$BM287+$BK288</f>
        <v/>
      </c>
      <c r="BN288" s="57">
        <f>SUMIFS(tblFleet[Operating_h],tblFleet[Date],$A288,tblFleet[Equipment_Class],"Haul Truck")</f>
        <v/>
      </c>
      <c r="BO288" s="57">
        <f>IF($B288=$B287,$BO287,0)+$BN288</f>
        <v/>
      </c>
      <c r="BP288" s="57">
        <f>$BP287+$BN288</f>
        <v/>
      </c>
      <c r="BQ288" s="67">
        <f>IFERROR(IF(($BH288)&gt;0,($BK288)/($BH288),""),"")</f>
        <v/>
      </c>
      <c r="BR288" s="67">
        <f>IFERROR(IF(($BI288)&gt;0,($BL288)/($BI288),""),"")</f>
        <v/>
      </c>
      <c r="BS288" s="67">
        <f>IFERROR(IF(($BJ288)&gt;0,($BM288)/($BJ288),""),"")</f>
        <v/>
      </c>
      <c r="BT288" s="67">
        <f>IFERROR(IF(($BK288)&gt;0,($BN288)/($BK288),""),"")</f>
        <v/>
      </c>
      <c r="BU288" s="67">
        <f>IFERROR(IF(($BL288)&gt;0,($BO288)/($BL288),""),"")</f>
        <v/>
      </c>
      <c r="BV288" s="67">
        <f>IFERROR(IF(($BM288)&gt;0,($BP288)/($BM288),""),"")</f>
        <v/>
      </c>
      <c r="BW288" s="55">
        <f>SUMIFS(tblPlant[Crushed_t],tblPlant[Date],$A288)</f>
        <v/>
      </c>
      <c r="BX288" s="55">
        <f>IF($B288=$B287,$BX287,0)+$BW288</f>
        <v/>
      </c>
      <c r="BY288" s="55">
        <f>$BY287+$BW288</f>
        <v/>
      </c>
      <c r="BZ288" s="55">
        <f>SUMIFS(tblPlant[Milled_t],tblPlant[Date],$A288)</f>
        <v/>
      </c>
      <c r="CA288" s="55">
        <f>IF($B288=$B287,$CA287,0)+$BZ288</f>
        <v/>
      </c>
      <c r="CB288" s="55">
        <f>$CB287+$BZ288</f>
        <v/>
      </c>
      <c r="CC288" s="55">
        <f>SUMIFS(tblPlant[Feed_oz],tblPlant[Date],$A288)</f>
        <v/>
      </c>
      <c r="CD288" s="55">
        <f>IF($B288=$B287,$CD287,0)+$CC288</f>
        <v/>
      </c>
      <c r="CE288" s="55">
        <f>$CE287+$CC288</f>
        <v/>
      </c>
      <c r="CF288" s="55">
        <f>SUMIFS(tblPlant[Tails_oz],tblPlant[Date],$A288)</f>
        <v/>
      </c>
      <c r="CG288" s="55">
        <f>IF($B288=$B287,$CG287,0)+$CF288</f>
        <v/>
      </c>
      <c r="CH288" s="55">
        <f>$CH287+$CF288</f>
        <v/>
      </c>
      <c r="CI288" s="55">
        <f>SUMIFS(tblPlant[Recovered_oz],tblPlant[Date],$A288)</f>
        <v/>
      </c>
      <c r="CJ288" s="55">
        <f>IF($B288=$B287,$CJ287,0)+$CI288</f>
        <v/>
      </c>
      <c r="CK288" s="55">
        <f>$CK287+$CI288</f>
        <v/>
      </c>
      <c r="CL288" s="56">
        <f>IFERROR(IF(($BZ288)&gt;0,($CC288*cfg_TroyOz)/($BZ288),""),"")</f>
        <v/>
      </c>
      <c r="CM288" s="56">
        <f>IFERROR(IF(($CA288)&gt;0,($CD288*cfg_TroyOz)/($CA288),""),"")</f>
        <v/>
      </c>
      <c r="CN288" s="56">
        <f>IFERROR(IF(($CB288)&gt;0,($CE288*cfg_TroyOz)/($CB288),""),"")</f>
        <v/>
      </c>
      <c r="CO288" s="56">
        <f>IFERROR(IF(($BZ288)&gt;0,($CF288*cfg_TroyOz)/($BZ288),""),"")</f>
        <v/>
      </c>
      <c r="CP288" s="56">
        <f>IFERROR(IF(($CA288)&gt;0,($CG288*cfg_TroyOz)/($CA288),""),"")</f>
        <v/>
      </c>
      <c r="CQ288" s="56">
        <f>IFERROR(IF(($CB288)&gt;0,($CH288*cfg_TroyOz)/($CB288),""),"")</f>
        <v/>
      </c>
      <c r="CR288" s="67">
        <f>IFERROR(IF(($CC288)&gt;0,($CI288)/($CC288),""),"")</f>
        <v/>
      </c>
      <c r="CS288" s="67">
        <f>IFERROR(IF(($CD288)&gt;0,($CJ288)/($CD288),""),"")</f>
        <v/>
      </c>
      <c r="CT288" s="67">
        <f>IFERROR(IF(($CE288)&gt;0,($CK288)/($CE288),""),"")</f>
        <v/>
      </c>
      <c r="CU288" s="55">
        <f>SUMIFS(tblPlant[Gravity_Gold_oz],tblPlant[Date],$A288)</f>
        <v/>
      </c>
      <c r="CV288" s="55">
        <f>IF($B288=$B287,$CV287,0)+$CU288</f>
        <v/>
      </c>
      <c r="CW288" s="55">
        <f>$CW287+$CU288</f>
        <v/>
      </c>
      <c r="CX288" s="55">
        <f>SUMIFS(tblPlant[Gold_Poured_oz],tblPlant[Date],$A288)</f>
        <v/>
      </c>
      <c r="CY288" s="55">
        <f>IF($B288=$B287,$CY287,0)+$CX288</f>
        <v/>
      </c>
      <c r="CZ288" s="55">
        <f>$CZ287+$CX288</f>
        <v/>
      </c>
      <c r="DA288" s="57">
        <f>SUMIFS(tblPlant[Mill_Run_h],tblPlant[Date],$A288)</f>
        <v/>
      </c>
      <c r="DB288" s="57">
        <f>IF($B288=$B287,$DB287,0)+$DA288</f>
        <v/>
      </c>
      <c r="DC288" s="57">
        <f>$DC287+$DA288</f>
        <v/>
      </c>
      <c r="DD288" s="57">
        <f>SUMIFS(tblPlant[Mill_Planned_Maint_h],tblPlant[Date],$A288)</f>
        <v/>
      </c>
      <c r="DE288" s="57">
        <f>IF($B288=$B287,$DE287,0)+$DD288</f>
        <v/>
      </c>
      <c r="DF288" s="57">
        <f>$DF287+$DD288</f>
        <v/>
      </c>
      <c r="DG288" s="57">
        <f>SUMIFS(tblPlant[Mill_Unplanned_Down_h],tblPlant[Date],$A288)</f>
        <v/>
      </c>
      <c r="DH288" s="57">
        <f>IF($B288=$B287,$DH287,0)+$DG288</f>
        <v/>
      </c>
      <c r="DI288" s="57">
        <f>$DI287+$DG288</f>
        <v/>
      </c>
      <c r="DJ288" s="57">
        <f>COUNTIFS(tblPlant[Date],$A288,tblPlant[Mill_Run_h],"&lt;&gt;")*24</f>
        <v/>
      </c>
      <c r="DK288" s="57">
        <f>IF($B288=$B287,$DK287,0)+$DJ288</f>
        <v/>
      </c>
      <c r="DL288" s="57">
        <f>$DL287+$DJ288</f>
        <v/>
      </c>
      <c r="DM288" s="57">
        <f>SUMIFS(tblPlant[Crusher_Run_h],tblPlant[Date],$A288)</f>
        <v/>
      </c>
      <c r="DN288" s="57">
        <f>IF($B288=$B287,$DN287,0)+$DM288</f>
        <v/>
      </c>
      <c r="DO288" s="57">
        <f>$DO287+$DM288</f>
        <v/>
      </c>
      <c r="DP288" s="55">
        <f>IFERROR(IF(($DA288)&gt;0,($BZ288)/($DA288),""),"")</f>
        <v/>
      </c>
      <c r="DQ288" s="55">
        <f>IFERROR(IF(($DB288)&gt;0,($CA288)/($DB288),""),"")</f>
        <v/>
      </c>
      <c r="DR288" s="55">
        <f>IFERROR(IF(($DC288)&gt;0,($CB288)/($DC288),""),"")</f>
        <v/>
      </c>
      <c r="DS288" s="67">
        <f>IFERROR(IF(($DJ288)&gt;0,($DJ288-$DD288-$DG288)/($DJ288),""),"")</f>
        <v/>
      </c>
      <c r="DT288" s="67">
        <f>IFERROR(IF(($DK288)&gt;0,($DK288-$DE288-$DH288)/($DK288),""),"")</f>
        <v/>
      </c>
      <c r="DU288" s="67">
        <f>IFERROR(IF(($DL288)&gt;0,($DL288-$DF288-$DI288)/($DL288),""),"")</f>
        <v/>
      </c>
      <c r="DV288" s="67">
        <f>IFERROR(IF(($DJ288-$DD288-$DG288)&gt;0,($DA288)/($DJ288-$DD288-$DG288),""),"")</f>
        <v/>
      </c>
      <c r="DW288" s="67">
        <f>IFERROR(IF(($DK288-$DE288-$DH288)&gt;0,($DB288)/($DK288-$DE288-$DH288),""),"")</f>
        <v/>
      </c>
      <c r="DX288" s="67">
        <f>IFERROR(IF(($DL288-$DF288-$DI288)&gt;0,($DC288)/($DL288-$DF288-$DI288),""),"")</f>
        <v/>
      </c>
      <c r="DY288" s="55">
        <f>SUMIFS(tblPlant[Cyanide_kg],tblPlant[Date],$A288)</f>
        <v/>
      </c>
      <c r="DZ288" s="55">
        <f>IF($B288=$B287,$DZ287,0)+$DY288</f>
        <v/>
      </c>
      <c r="EA288" s="55">
        <f>$EA287+$DY288</f>
        <v/>
      </c>
      <c r="EB288" s="55">
        <f>SUMIFS(tblPlant[Lime_kg],tblPlant[Date],$A288)</f>
        <v/>
      </c>
      <c r="EC288" s="55">
        <f>IF($B288=$B287,$EC287,0)+$EB288</f>
        <v/>
      </c>
      <c r="ED288" s="55">
        <f>$ED287+$EB288</f>
        <v/>
      </c>
      <c r="EE288" s="55">
        <f>SUMIFS(tblPlant[Grinding_Media_kg],tblPlant[Date],$A288)</f>
        <v/>
      </c>
      <c r="EF288" s="55">
        <f>IF($B288=$B287,$EF287,0)+$EE288</f>
        <v/>
      </c>
      <c r="EG288" s="55">
        <f>$EG287+$EE288</f>
        <v/>
      </c>
      <c r="EH288" s="55">
        <f>SUMIFS(tblPlant[Power_kWh],tblPlant[Date],$A288)</f>
        <v/>
      </c>
      <c r="EI288" s="55">
        <f>IF($B288=$B287,$EI287,0)+$EH288</f>
        <v/>
      </c>
      <c r="EJ288" s="55">
        <f>$EJ287+$EH288</f>
        <v/>
      </c>
      <c r="EK288" s="55">
        <f>SUMIFS(tblPlant[Raw_Water_m3],tblPlant[Date],$A288)</f>
        <v/>
      </c>
      <c r="EL288" s="55">
        <f>IF($B288=$B287,$EL287,0)+$EK288</f>
        <v/>
      </c>
      <c r="EM288" s="55">
        <f>$EM287+$EK288</f>
        <v/>
      </c>
      <c r="EN288" s="56">
        <f>IFERROR(IF(($BZ288)&gt;0,($DY288)/($BZ288),""),"")</f>
        <v/>
      </c>
      <c r="EO288" s="56">
        <f>IFERROR(IF(($CA288)&gt;0,($DZ288)/($CA288),""),"")</f>
        <v/>
      </c>
      <c r="EP288" s="56">
        <f>IFERROR(IF(($CB288)&gt;0,($EA288)/($CB288),""),"")</f>
        <v/>
      </c>
      <c r="EQ288" s="56">
        <f>IFERROR(IF(($BZ288)&gt;0,($EB288)/($BZ288),""),"")</f>
        <v/>
      </c>
      <c r="ER288" s="56">
        <f>IFERROR(IF(($CA288)&gt;0,($EC288)/($CA288),""),"")</f>
        <v/>
      </c>
      <c r="ES288" s="56">
        <f>IFERROR(IF(($CB288)&gt;0,($ED288)/($CB288),""),"")</f>
        <v/>
      </c>
      <c r="ET288" s="56">
        <f>IFERROR(IF(($BZ288)&gt;0,($EE288)/($BZ288),""),"")</f>
        <v/>
      </c>
      <c r="EU288" s="56">
        <f>IFERROR(IF(($CA288)&gt;0,($EF288)/($CA288),""),"")</f>
        <v/>
      </c>
      <c r="EV288" s="56">
        <f>IFERROR(IF(($CB288)&gt;0,($EG288)/($CB288),""),"")</f>
        <v/>
      </c>
      <c r="EW288" s="76">
        <f>IFERROR(IF(($BZ288)&gt;0,($EH288)/($BZ288),""),"")</f>
        <v/>
      </c>
      <c r="EX288" s="76">
        <f>IFERROR(IF(($CA288)&gt;0,($EI288)/($CA288),""),"")</f>
        <v/>
      </c>
      <c r="EY288" s="76">
        <f>IFERROR(IF(($CB288)&gt;0,($EJ288)/($CB288),""),"")</f>
        <v/>
      </c>
      <c r="EZ288" s="56">
        <f>IFERROR(IF(($BZ288)&gt;0,($EK288)/($BZ288),""),"")</f>
        <v/>
      </c>
      <c r="FA288" s="56">
        <f>IFERROR(IF(($CA288)&gt;0,($EL288)/($CA288),""),"")</f>
        <v/>
      </c>
      <c r="FB288" s="56">
        <f>IFERROR(IF(($CB288)&gt;0,($EM288)/($CB288),""),"")</f>
        <v/>
      </c>
      <c r="FC288" s="55">
        <f>IF(SUMIFS(tblPlant[GIC_oz],tblPlant[Date],$A288)&gt;0,SUMIFS(tblPlant[GIC_oz],tblPlant[Date],$A288),"")</f>
        <v/>
      </c>
      <c r="FD288" s="55">
        <f>SUMIFS(tblGold[Gold_oz],tblGold[Date],$A288,tblGold[Type],"Shipment")</f>
        <v/>
      </c>
      <c r="FE288" s="55">
        <f>IF($B288=$B287,$FE287,0)+$FD288</f>
        <v/>
      </c>
      <c r="FF288" s="55">
        <f>$FF287+$FD288</f>
        <v/>
      </c>
      <c r="FG288" s="55">
        <f>SUMIFS(tblGold[Gold_oz],tblGold[Date],$A288,tblGold[Type],"Sale")</f>
        <v/>
      </c>
      <c r="FH288" s="55">
        <f>IF($B288=$B287,$FH287,0)+$FG288</f>
        <v/>
      </c>
      <c r="FI288" s="55">
        <f>$FI287+$FG288</f>
        <v/>
      </c>
      <c r="FJ288" s="55">
        <f>SUMIFS(tblGold[Dore_kg],tblGold[Date],$A288,tblGold[Type],"Shipment")</f>
        <v/>
      </c>
      <c r="FK288" s="55">
        <f>IF($B288=$B287,$FK287,0)+$FJ288</f>
        <v/>
      </c>
      <c r="FL288" s="55">
        <f>$FL287+$FJ288</f>
        <v/>
      </c>
      <c r="FM288" s="57">
        <f>SUMIFS(tblSafety[Hours_Total],tblSafety[Date],$A288)</f>
        <v/>
      </c>
      <c r="FN288" s="57">
        <f>IF($B288=$B287,$FN287,0)+$FM288</f>
        <v/>
      </c>
      <c r="FO288" s="57">
        <f>$FO287+$FM288</f>
        <v/>
      </c>
      <c r="FP288" s="62">
        <f>SUMIFS(tblSafety[Fatality],tblSafety[Date],$A288)</f>
        <v/>
      </c>
      <c r="FQ288" s="62">
        <f>IF($B288=$B287,$FQ287,0)+$FP288</f>
        <v/>
      </c>
      <c r="FR288" s="62">
        <f>$FR287+$FP288</f>
        <v/>
      </c>
      <c r="FS288" s="62">
        <f>SUMIFS(tblSafety[LTI],tblSafety[Date],$A288)</f>
        <v/>
      </c>
      <c r="FT288" s="62">
        <f>IF($B288=$B287,$FT287,0)+$FS288</f>
        <v/>
      </c>
      <c r="FU288" s="62">
        <f>$FU287+$FS288</f>
        <v/>
      </c>
      <c r="FV288" s="62">
        <f>SUMIFS(tblSafety[RWI],tblSafety[Date],$A288)</f>
        <v/>
      </c>
      <c r="FW288" s="62">
        <f>IF($B288=$B287,$FW287,0)+$FV288</f>
        <v/>
      </c>
      <c r="FX288" s="62">
        <f>$FX287+$FV288</f>
        <v/>
      </c>
      <c r="FY288" s="62">
        <f>SUMIFS(tblSafety[MTI],tblSafety[Date],$A288)</f>
        <v/>
      </c>
      <c r="FZ288" s="62">
        <f>IF($B288=$B287,$FZ287,0)+$FY288</f>
        <v/>
      </c>
      <c r="GA288" s="62">
        <f>$GA287+$FY288</f>
        <v/>
      </c>
      <c r="GB288" s="62">
        <f>SUMIFS(tblSafety[FAI],tblSafety[Date],$A288)</f>
        <v/>
      </c>
      <c r="GC288" s="62">
        <f>IF($B288=$B287,$GC287,0)+$GB288</f>
        <v/>
      </c>
      <c r="GD288" s="62">
        <f>$GD287+$GB288</f>
        <v/>
      </c>
      <c r="GE288" s="62">
        <f>SUMIFS(tblSafety[Recordables],tblSafety[Date],$A288)</f>
        <v/>
      </c>
      <c r="GF288" s="62">
        <f>IF($B288=$B287,$GF287,0)+$GE288</f>
        <v/>
      </c>
      <c r="GG288" s="62">
        <f>$GG287+$GE288</f>
        <v/>
      </c>
      <c r="GH288" s="62">
        <f>SUMIFS(tblSafety[Near_Miss],tblSafety[Date],$A288)</f>
        <v/>
      </c>
      <c r="GI288" s="62">
        <f>IF($B288=$B287,$GI287,0)+$GH288</f>
        <v/>
      </c>
      <c r="GJ288" s="62">
        <f>$GJ287+$GH288</f>
        <v/>
      </c>
      <c r="GK288" s="62">
        <f>SUMIFS(tblSafety[Hazard_Reports],tblSafety[Date],$A288)</f>
        <v/>
      </c>
      <c r="GL288" s="62">
        <f>IF($B288=$B287,$GL287,0)+$GK288</f>
        <v/>
      </c>
      <c r="GM288" s="62">
        <f>$GM287+$GK288</f>
        <v/>
      </c>
      <c r="GN288" s="62">
        <f>SUMIFS(tblSafety[HPI],tblSafety[Date],$A288)</f>
        <v/>
      </c>
      <c r="GO288" s="62">
        <f>IF($B288=$B287,$GO287,0)+$GN288</f>
        <v/>
      </c>
      <c r="GP288" s="62">
        <f>$GP287+$GN288</f>
        <v/>
      </c>
      <c r="GQ288" s="62">
        <f>SUMIFS(tblSafety[Env_Incidents],tblSafety[Date],$A288)</f>
        <v/>
      </c>
      <c r="GR288" s="62">
        <f>IF($B288=$B287,$GR287,0)+$GQ288</f>
        <v/>
      </c>
      <c r="GS288" s="62">
        <f>$GS287+$GQ288</f>
        <v/>
      </c>
      <c r="GT288" s="62">
        <f>SUMIFS(tblSafety[Community_Incidents],tblSafety[Date],$A288)</f>
        <v/>
      </c>
      <c r="GU288" s="62">
        <f>IF($B288=$B287,$GU287,0)+$GT288</f>
        <v/>
      </c>
      <c r="GV288" s="62">
        <f>$GV287+$GT288</f>
        <v/>
      </c>
      <c r="GW288" s="62">
        <f>SUMIFS(tblSafety[Vehicle_Incidents],tblSafety[Date],$A288)</f>
        <v/>
      </c>
      <c r="GX288" s="62">
        <f>IF($B288=$B287,$GX287,0)+$GW288</f>
        <v/>
      </c>
      <c r="GY288" s="62">
        <f>$GY287+$GW288</f>
        <v/>
      </c>
      <c r="GZ288" s="62">
        <f>SUMIFS(tblSafety[Toolbox_Talks],tblSafety[Date],$A288)</f>
        <v/>
      </c>
      <c r="HA288" s="62">
        <f>IF($B288=$B287,$HA287,0)+$GZ288</f>
        <v/>
      </c>
      <c r="HB288" s="62">
        <f>$HB287+$GZ288</f>
        <v/>
      </c>
      <c r="HC288" s="62">
        <f>SUMIFS(tblSafety[Inspections],tblSafety[Date],$A288)</f>
        <v/>
      </c>
      <c r="HD288" s="62">
        <f>IF($B288=$B287,$HD287,0)+$HC288</f>
        <v/>
      </c>
      <c r="HE288" s="62">
        <f>$HE287+$HC288</f>
        <v/>
      </c>
      <c r="HF288" s="56">
        <f>IFERROR((SUMIFS(tblSafety[Recordables],tblSafety[Date],"&gt;="&amp;EDATE($E288,-12),tblSafety[Date],"&lt;="&amp;$A288)+SUMIFS(tblSafetyHistory[Recordables],tblSafetyHistory[Month],"&gt;="&amp;EDATE($E288,-12),tblSafetyHistory[Month],"&lt;"&amp;cfg_YearStart))/(SUMIFS(tblSafety[Hours_Total],tblSafety[Date],"&gt;="&amp;EDATE($E288,-12),tblSafety[Date],"&lt;="&amp;$A288)+SUMIFS(tblSafetyHistory[Hours_Total],tblSafetyHistory[Month],"&gt;="&amp;EDATE($E288,-12),tblSafetyHistory[Month],"&lt;"&amp;cfg_YearStart))*1000000,"")</f>
        <v/>
      </c>
      <c r="HG288" s="56">
        <f>IFERROR((SUMIFS(tblSafety[LTI],tblSafety[Date],"&gt;="&amp;EDATE($E288,-12),tblSafety[Date],"&lt;="&amp;$A288)+SUMIFS(tblSafetyHistory[LTI],tblSafetyHistory[Month],"&gt;="&amp;EDATE($E288,-12),tblSafetyHistory[Month],"&lt;"&amp;cfg_YearStart))/(SUMIFS(tblSafety[Hours_Total],tblSafety[Date],"&gt;="&amp;EDATE($E288,-12),tblSafety[Date],"&lt;="&amp;$A288)+SUMIFS(tblSafetyHistory[Hours_Total],tblSafetyHistory[Month],"&gt;="&amp;EDATE($E288,-12),tblSafetyHistory[Month],"&lt;"&amp;cfg_YearStart))*1000000,"")</f>
        <v/>
      </c>
      <c r="HH288" s="62">
        <f>IF(MAX(N(cfg_PriorLTIDate),_xlfn.MAXIFS(tblSafety[Date],tblSafety[LTI],"&gt;0",tblSafety[Date],"&lt;="&amp;$A288))=0,"",$A288-MAX(N(cfg_PriorLTIDate),_xlfn.MAXIFS(tblSafety[Date],tblSafety[LTI],"&gt;0",tblSafety[Date],"&lt;="&amp;$A288)))</f>
        <v/>
      </c>
      <c r="HI288" s="55">
        <f>SUMIFS(tblBudget[Ore_Mined_t],tblBudget[Month],$E288)</f>
        <v/>
      </c>
      <c r="HJ288" s="55">
        <f>$HI288*$C288/$D288</f>
        <v/>
      </c>
      <c r="HK288" s="55">
        <f>SUMIFS(tblBudget[Ore_Mined_t],tblBudget[Month],"&lt;"&amp;$E288)+$HJ288</f>
        <v/>
      </c>
      <c r="HL288" s="55">
        <f>SUMIFS(tblBudget[Ore_oz],tblBudget[Month],$E288)</f>
        <v/>
      </c>
      <c r="HM288" s="55">
        <f>$HL288*$C288/$D288</f>
        <v/>
      </c>
      <c r="HN288" s="55">
        <f>SUMIFS(tblBudget[Ore_oz],tblBudget[Month],"&lt;"&amp;$E288)+$HM288</f>
        <v/>
      </c>
      <c r="HO288" s="56">
        <f>IFERROR(IF(($HI288)&gt;0,($HL288*cfg_TroyOz)/($HI288),""),"")</f>
        <v/>
      </c>
      <c r="HP288" s="56">
        <f>IFERROR(IF(($HJ288)&gt;0,($HM288*cfg_TroyOz)/($HJ288),""),"")</f>
        <v/>
      </c>
      <c r="HQ288" s="56">
        <f>IFERROR(IF(($HK288)&gt;0,($HN288*cfg_TroyOz)/($HK288),""),"")</f>
        <v/>
      </c>
      <c r="HR288" s="55">
        <f>SUMIFS(tblBudget[Waste_t],tblBudget[Month],$E288)</f>
        <v/>
      </c>
      <c r="HS288" s="55">
        <f>$HR288*$C288/$D288</f>
        <v/>
      </c>
      <c r="HT288" s="55">
        <f>SUMIFS(tblBudget[Waste_t],tblBudget[Month],"&lt;"&amp;$E288)+$HS288</f>
        <v/>
      </c>
      <c r="HU288" s="55">
        <f>SUMIFS(tblBudget[TMM_t],tblBudget[Month],$E288)</f>
        <v/>
      </c>
      <c r="HV288" s="55">
        <f>$HU288*$C288/$D288</f>
        <v/>
      </c>
      <c r="HW288" s="55">
        <f>SUMIFS(tblBudget[TMM_t],tblBudget[Month],"&lt;"&amp;$E288)+$HV288</f>
        <v/>
      </c>
      <c r="HX288" s="56">
        <f>IFERROR(IF(($HI288)&gt;0,($HR288)/($HI288),""),"")</f>
        <v/>
      </c>
      <c r="HY288" s="56">
        <f>IFERROR(IF(($HJ288)&gt;0,($HS288)/($HJ288),""),"")</f>
        <v/>
      </c>
      <c r="HZ288" s="56">
        <f>IFERROR(IF(($HK288)&gt;0,($HT288)/($HK288),""),"")</f>
        <v/>
      </c>
      <c r="IA288" s="55">
        <f>SUMIFS(tblBudget[Drill_m],tblBudget[Month],$E288)</f>
        <v/>
      </c>
      <c r="IB288" s="55">
        <f>$IA288*$C288/$D288</f>
        <v/>
      </c>
      <c r="IC288" s="55">
        <f>SUMIFS(tblBudget[Drill_m],tblBudget[Month],"&lt;"&amp;$E288)+$IB288</f>
        <v/>
      </c>
      <c r="ID288" s="55">
        <f>SUMIFS(tblBudget[Diesel_L],tblBudget[Month],$E288)</f>
        <v/>
      </c>
      <c r="IE288" s="55">
        <f>$ID288*$C288/$D288</f>
        <v/>
      </c>
      <c r="IF288" s="55">
        <f>SUMIFS(tblBudget[Diesel_L],tblBudget[Month],"&lt;"&amp;$E288)+$IE288</f>
        <v/>
      </c>
      <c r="IG288" s="55">
        <f>SUMIFS(tblBudget[Milled_t],tblBudget[Month],$E288)</f>
        <v/>
      </c>
      <c r="IH288" s="55">
        <f>$IG288*$C288/$D288</f>
        <v/>
      </c>
      <c r="II288" s="55">
        <f>SUMIFS(tblBudget[Milled_t],tblBudget[Month],"&lt;"&amp;$E288)+$IH288</f>
        <v/>
      </c>
      <c r="IJ288" s="55">
        <f>SUMIFS(tblBudget[Feed_oz],tblBudget[Month],$E288)</f>
        <v/>
      </c>
      <c r="IK288" s="55">
        <f>$IJ288*$C288/$D288</f>
        <v/>
      </c>
      <c r="IL288" s="55">
        <f>SUMIFS(tblBudget[Feed_oz],tblBudget[Month],"&lt;"&amp;$E288)+$IK288</f>
        <v/>
      </c>
      <c r="IM288" s="55">
        <f>SUMIFS(tblBudget[Recovered_oz],tblBudget[Month],$E288)</f>
        <v/>
      </c>
      <c r="IN288" s="55">
        <f>$IM288*$C288/$D288</f>
        <v/>
      </c>
      <c r="IO288" s="55">
        <f>SUMIFS(tblBudget[Recovered_oz],tblBudget[Month],"&lt;"&amp;$E288)+$IN288</f>
        <v/>
      </c>
      <c r="IP288" s="56">
        <f>IFERROR(IF(($IG288)&gt;0,($IJ288*cfg_TroyOz)/($IG288),""),"")</f>
        <v/>
      </c>
      <c r="IQ288" s="56">
        <f>IFERROR(IF(($IH288)&gt;0,($IK288*cfg_TroyOz)/($IH288),""),"")</f>
        <v/>
      </c>
      <c r="IR288" s="56">
        <f>IFERROR(IF(($II288)&gt;0,($IL288*cfg_TroyOz)/($II288),""),"")</f>
        <v/>
      </c>
      <c r="IS288" s="67">
        <f>IFERROR(IF(($IJ288)&gt;0,($IM288)/($IJ288),""),"")</f>
        <v/>
      </c>
      <c r="IT288" s="67">
        <f>IFERROR(IF(($IK288)&gt;0,($IN288)/($IK288),""),"")</f>
        <v/>
      </c>
      <c r="IU288" s="67">
        <f>IFERROR(IF(($IL288)&gt;0,($IO288)/($IL288),""),"")</f>
        <v/>
      </c>
      <c r="IV288" s="55">
        <f>SUMIFS(tblBudget[Gold_Poured_oz],tblBudget[Month],$E288)</f>
        <v/>
      </c>
      <c r="IW288" s="55">
        <f>$IV288*$C288/$D288</f>
        <v/>
      </c>
      <c r="IX288" s="55">
        <f>SUMIFS(tblBudget[Gold_Poured_oz],tblBudget[Month],"&lt;"&amp;$E288)+$IW288</f>
        <v/>
      </c>
      <c r="IY288" s="57">
        <f>SUMIFS(tblBudget[Hours_Worked],tblBudget[Month],$E288)</f>
        <v/>
      </c>
      <c r="IZ288" s="57">
        <f>$IY288*$C288/$D288</f>
        <v/>
      </c>
      <c r="JA288" s="57">
        <f>SUMIFS(tblBudget[Hours_Worked],tblBudget[Month],"&lt;"&amp;$E288)+$IZ288</f>
        <v/>
      </c>
    </row>
    <row r="289">
      <c r="A289" s="54" t="n">
        <v>46310</v>
      </c>
      <c r="B289">
        <f>MONTH($A289)</f>
        <v/>
      </c>
      <c r="C289">
        <f>DAY($A289)</f>
        <v/>
      </c>
      <c r="D289">
        <f>DAY(EOMONTH($A289,0))</f>
        <v/>
      </c>
      <c r="E289" s="54">
        <f>DATE(YEAR($A289),MONTH($A289),1)</f>
        <v/>
      </c>
      <c r="F289" s="55">
        <f>SUMIFS(tblMovement[Tonnes_t],tblMovement[Date],$A289,tblMovement[Is_Ore],1,tblMovement[Source_Type],"Pit")</f>
        <v/>
      </c>
      <c r="G289" s="55">
        <f>IF($B289=$B288,$G288,0)+$F289</f>
        <v/>
      </c>
      <c r="H289" s="55">
        <f>$H288+$F289</f>
        <v/>
      </c>
      <c r="I289" s="55">
        <f>SUMIFS(tblMovement[Ore_oz],tblMovement[Date],$A289,tblMovement[Source_Type],"Pit")</f>
        <v/>
      </c>
      <c r="J289" s="55">
        <f>IF($B289=$B288,$J288,0)+$I289</f>
        <v/>
      </c>
      <c r="K289" s="55">
        <f>$K288+$I289</f>
        <v/>
      </c>
      <c r="L289" s="56">
        <f>IFERROR(IF(($F289)&gt;0,($I289*cfg_TroyOz)/($F289),""),"")</f>
        <v/>
      </c>
      <c r="M289" s="56">
        <f>IFERROR(IF(($G289)&gt;0,($J289*cfg_TroyOz)/($G289),""),"")</f>
        <v/>
      </c>
      <c r="N289" s="56">
        <f>IFERROR(IF(($H289)&gt;0,($K289*cfg_TroyOz)/($H289),""),"")</f>
        <v/>
      </c>
      <c r="O289" s="55">
        <f>SUMIFS(tblMovement[Tonnes_t],tblMovement[Date],$A289,tblMovement[Is_Ore],0,tblMovement[Source_Type],"Pit")</f>
        <v/>
      </c>
      <c r="P289" s="55">
        <f>IF($B289=$B288,$P288,0)+$O289</f>
        <v/>
      </c>
      <c r="Q289" s="55">
        <f>$Q288+$O289</f>
        <v/>
      </c>
      <c r="R289" s="55">
        <f>$F289+$O289</f>
        <v/>
      </c>
      <c r="S289" s="55">
        <f>IF($B289=$B288,$S288,0)+$R289</f>
        <v/>
      </c>
      <c r="T289" s="55">
        <f>$T288+$R289</f>
        <v/>
      </c>
      <c r="U289" s="56">
        <f>IFERROR(IF(($F289)&gt;0,($O289)/($F289),""),"")</f>
        <v/>
      </c>
      <c r="V289" s="56">
        <f>IFERROR(IF(($G289)&gt;0,($P289)/($G289),""),"")</f>
        <v/>
      </c>
      <c r="W289" s="56">
        <f>IFERROR(IF(($H289)&gt;0,($Q289)/($H289),""),"")</f>
        <v/>
      </c>
      <c r="X289" s="55">
        <f>SUMIFS(tblMovement[Tonnes_t],tblMovement[Date],$A289,tblMovement[Source_Type],"Stockpile")</f>
        <v/>
      </c>
      <c r="Y289" s="55">
        <f>IF($B289=$B288,$Y288,0)+$X289</f>
        <v/>
      </c>
      <c r="Z289" s="55">
        <f>$Z288+$X289</f>
        <v/>
      </c>
      <c r="AA289" s="55">
        <f>SUMIFS(tblMiningDaily[Drill_m],tblMiningDaily[Date],$A289)</f>
        <v/>
      </c>
      <c r="AB289" s="55">
        <f>IF($B289=$B288,$AB288,0)+$AA289</f>
        <v/>
      </c>
      <c r="AC289" s="55">
        <f>$AC288+$AA289</f>
        <v/>
      </c>
      <c r="AD289" s="55">
        <f>SUMIFS(tblMiningDaily[Blast_t],tblMiningDaily[Date],$A289)</f>
        <v/>
      </c>
      <c r="AE289" s="55">
        <f>IF($B289=$B288,$AE288,0)+$AD289</f>
        <v/>
      </c>
      <c r="AF289" s="55">
        <f>$AF288+$AD289</f>
        <v/>
      </c>
      <c r="AG289" s="55">
        <f>SUMIFS(tblMiningDaily[Explosives_kg],tblMiningDaily[Date],$A289)</f>
        <v/>
      </c>
      <c r="AH289" s="55">
        <f>IF($B289=$B288,$AH288,0)+$AG289</f>
        <v/>
      </c>
      <c r="AI289" s="55">
        <f>$AI288+$AG289</f>
        <v/>
      </c>
      <c r="AJ289" s="56">
        <f>IFERROR(IF(($AD289)&gt;0,($AG289)/($AD289),""),"")</f>
        <v/>
      </c>
      <c r="AK289" s="56">
        <f>IFERROR(IF(($AE289)&gt;0,($AH289)/($AE289),""),"")</f>
        <v/>
      </c>
      <c r="AL289" s="56">
        <f>IFERROR(IF(($AF289)&gt;0,($AI289)/($AF289),""),"")</f>
        <v/>
      </c>
      <c r="AM289" s="55">
        <f>SUMIFS(tblMiningDaily[Diesel_L],tblMiningDaily[Date],$A289)</f>
        <v/>
      </c>
      <c r="AN289" s="55">
        <f>IF($B289=$B288,$AN288,0)+$AM289</f>
        <v/>
      </c>
      <c r="AO289" s="55">
        <f>$AO288+$AM289</f>
        <v/>
      </c>
      <c r="AP289" s="55">
        <f>SUMIFS(tblMiningDaily[Dewatering_m3],tblMiningDaily[Date],$A289)</f>
        <v/>
      </c>
      <c r="AQ289" s="55">
        <f>IF($B289=$B288,$AQ288,0)+$AP289</f>
        <v/>
      </c>
      <c r="AR289" s="55">
        <f>$AR288+$AP289</f>
        <v/>
      </c>
      <c r="AS289" s="57">
        <f>SUMIFS(tblFleet[Calendar_h],tblFleet[Date],$A289,tblFleet[Equipment_Class],"Excavator")</f>
        <v/>
      </c>
      <c r="AT289" s="57">
        <f>IF($B289=$B288,$AT288,0)+$AS289</f>
        <v/>
      </c>
      <c r="AU289" s="57">
        <f>$AU288+$AS289</f>
        <v/>
      </c>
      <c r="AV289" s="57">
        <f>SUMIFS(tblFleet[Available_h],tblFleet[Date],$A289,tblFleet[Equipment_Class],"Excavator")</f>
        <v/>
      </c>
      <c r="AW289" s="57">
        <f>IF($B289=$B288,$AW288,0)+$AV289</f>
        <v/>
      </c>
      <c r="AX289" s="57">
        <f>$AX288+$AV289</f>
        <v/>
      </c>
      <c r="AY289" s="57">
        <f>SUMIFS(tblFleet[Operating_h],tblFleet[Date],$A289,tblFleet[Equipment_Class],"Excavator")</f>
        <v/>
      </c>
      <c r="AZ289" s="57">
        <f>IF($B289=$B288,$AZ288,0)+$AY289</f>
        <v/>
      </c>
      <c r="BA289" s="57">
        <f>$BA288+$AY289</f>
        <v/>
      </c>
      <c r="BB289" s="67">
        <f>IFERROR(IF(($AS289)&gt;0,($AV289)/($AS289),""),"")</f>
        <v/>
      </c>
      <c r="BC289" s="67">
        <f>IFERROR(IF(($AT289)&gt;0,($AW289)/($AT289),""),"")</f>
        <v/>
      </c>
      <c r="BD289" s="67">
        <f>IFERROR(IF(($AU289)&gt;0,($AX289)/($AU289),""),"")</f>
        <v/>
      </c>
      <c r="BE289" s="67">
        <f>IFERROR(IF(($AV289)&gt;0,($AY289)/($AV289),""),"")</f>
        <v/>
      </c>
      <c r="BF289" s="67">
        <f>IFERROR(IF(($AW289)&gt;0,($AZ289)/($AW289),""),"")</f>
        <v/>
      </c>
      <c r="BG289" s="67">
        <f>IFERROR(IF(($AX289)&gt;0,($BA289)/($AX289),""),"")</f>
        <v/>
      </c>
      <c r="BH289" s="57">
        <f>SUMIFS(tblFleet[Calendar_h],tblFleet[Date],$A289,tblFleet[Equipment_Class],"Haul Truck")</f>
        <v/>
      </c>
      <c r="BI289" s="57">
        <f>IF($B289=$B288,$BI288,0)+$BH289</f>
        <v/>
      </c>
      <c r="BJ289" s="57">
        <f>$BJ288+$BH289</f>
        <v/>
      </c>
      <c r="BK289" s="57">
        <f>SUMIFS(tblFleet[Available_h],tblFleet[Date],$A289,tblFleet[Equipment_Class],"Haul Truck")</f>
        <v/>
      </c>
      <c r="BL289" s="57">
        <f>IF($B289=$B288,$BL288,0)+$BK289</f>
        <v/>
      </c>
      <c r="BM289" s="57">
        <f>$BM288+$BK289</f>
        <v/>
      </c>
      <c r="BN289" s="57">
        <f>SUMIFS(tblFleet[Operating_h],tblFleet[Date],$A289,tblFleet[Equipment_Class],"Haul Truck")</f>
        <v/>
      </c>
      <c r="BO289" s="57">
        <f>IF($B289=$B288,$BO288,0)+$BN289</f>
        <v/>
      </c>
      <c r="BP289" s="57">
        <f>$BP288+$BN289</f>
        <v/>
      </c>
      <c r="BQ289" s="67">
        <f>IFERROR(IF(($BH289)&gt;0,($BK289)/($BH289),""),"")</f>
        <v/>
      </c>
      <c r="BR289" s="67">
        <f>IFERROR(IF(($BI289)&gt;0,($BL289)/($BI289),""),"")</f>
        <v/>
      </c>
      <c r="BS289" s="67">
        <f>IFERROR(IF(($BJ289)&gt;0,($BM289)/($BJ289),""),"")</f>
        <v/>
      </c>
      <c r="BT289" s="67">
        <f>IFERROR(IF(($BK289)&gt;0,($BN289)/($BK289),""),"")</f>
        <v/>
      </c>
      <c r="BU289" s="67">
        <f>IFERROR(IF(($BL289)&gt;0,($BO289)/($BL289),""),"")</f>
        <v/>
      </c>
      <c r="BV289" s="67">
        <f>IFERROR(IF(($BM289)&gt;0,($BP289)/($BM289),""),"")</f>
        <v/>
      </c>
      <c r="BW289" s="55">
        <f>SUMIFS(tblPlant[Crushed_t],tblPlant[Date],$A289)</f>
        <v/>
      </c>
      <c r="BX289" s="55">
        <f>IF($B289=$B288,$BX288,0)+$BW289</f>
        <v/>
      </c>
      <c r="BY289" s="55">
        <f>$BY288+$BW289</f>
        <v/>
      </c>
      <c r="BZ289" s="55">
        <f>SUMIFS(tblPlant[Milled_t],tblPlant[Date],$A289)</f>
        <v/>
      </c>
      <c r="CA289" s="55">
        <f>IF($B289=$B288,$CA288,0)+$BZ289</f>
        <v/>
      </c>
      <c r="CB289" s="55">
        <f>$CB288+$BZ289</f>
        <v/>
      </c>
      <c r="CC289" s="55">
        <f>SUMIFS(tblPlant[Feed_oz],tblPlant[Date],$A289)</f>
        <v/>
      </c>
      <c r="CD289" s="55">
        <f>IF($B289=$B288,$CD288,0)+$CC289</f>
        <v/>
      </c>
      <c r="CE289" s="55">
        <f>$CE288+$CC289</f>
        <v/>
      </c>
      <c r="CF289" s="55">
        <f>SUMIFS(tblPlant[Tails_oz],tblPlant[Date],$A289)</f>
        <v/>
      </c>
      <c r="CG289" s="55">
        <f>IF($B289=$B288,$CG288,0)+$CF289</f>
        <v/>
      </c>
      <c r="CH289" s="55">
        <f>$CH288+$CF289</f>
        <v/>
      </c>
      <c r="CI289" s="55">
        <f>SUMIFS(tblPlant[Recovered_oz],tblPlant[Date],$A289)</f>
        <v/>
      </c>
      <c r="CJ289" s="55">
        <f>IF($B289=$B288,$CJ288,0)+$CI289</f>
        <v/>
      </c>
      <c r="CK289" s="55">
        <f>$CK288+$CI289</f>
        <v/>
      </c>
      <c r="CL289" s="56">
        <f>IFERROR(IF(($BZ289)&gt;0,($CC289*cfg_TroyOz)/($BZ289),""),"")</f>
        <v/>
      </c>
      <c r="CM289" s="56">
        <f>IFERROR(IF(($CA289)&gt;0,($CD289*cfg_TroyOz)/($CA289),""),"")</f>
        <v/>
      </c>
      <c r="CN289" s="56">
        <f>IFERROR(IF(($CB289)&gt;0,($CE289*cfg_TroyOz)/($CB289),""),"")</f>
        <v/>
      </c>
      <c r="CO289" s="56">
        <f>IFERROR(IF(($BZ289)&gt;0,($CF289*cfg_TroyOz)/($BZ289),""),"")</f>
        <v/>
      </c>
      <c r="CP289" s="56">
        <f>IFERROR(IF(($CA289)&gt;0,($CG289*cfg_TroyOz)/($CA289),""),"")</f>
        <v/>
      </c>
      <c r="CQ289" s="56">
        <f>IFERROR(IF(($CB289)&gt;0,($CH289*cfg_TroyOz)/($CB289),""),"")</f>
        <v/>
      </c>
      <c r="CR289" s="67">
        <f>IFERROR(IF(($CC289)&gt;0,($CI289)/($CC289),""),"")</f>
        <v/>
      </c>
      <c r="CS289" s="67">
        <f>IFERROR(IF(($CD289)&gt;0,($CJ289)/($CD289),""),"")</f>
        <v/>
      </c>
      <c r="CT289" s="67">
        <f>IFERROR(IF(($CE289)&gt;0,($CK289)/($CE289),""),"")</f>
        <v/>
      </c>
      <c r="CU289" s="55">
        <f>SUMIFS(tblPlant[Gravity_Gold_oz],tblPlant[Date],$A289)</f>
        <v/>
      </c>
      <c r="CV289" s="55">
        <f>IF($B289=$B288,$CV288,0)+$CU289</f>
        <v/>
      </c>
      <c r="CW289" s="55">
        <f>$CW288+$CU289</f>
        <v/>
      </c>
      <c r="CX289" s="55">
        <f>SUMIFS(tblPlant[Gold_Poured_oz],tblPlant[Date],$A289)</f>
        <v/>
      </c>
      <c r="CY289" s="55">
        <f>IF($B289=$B288,$CY288,0)+$CX289</f>
        <v/>
      </c>
      <c r="CZ289" s="55">
        <f>$CZ288+$CX289</f>
        <v/>
      </c>
      <c r="DA289" s="57">
        <f>SUMIFS(tblPlant[Mill_Run_h],tblPlant[Date],$A289)</f>
        <v/>
      </c>
      <c r="DB289" s="57">
        <f>IF($B289=$B288,$DB288,0)+$DA289</f>
        <v/>
      </c>
      <c r="DC289" s="57">
        <f>$DC288+$DA289</f>
        <v/>
      </c>
      <c r="DD289" s="57">
        <f>SUMIFS(tblPlant[Mill_Planned_Maint_h],tblPlant[Date],$A289)</f>
        <v/>
      </c>
      <c r="DE289" s="57">
        <f>IF($B289=$B288,$DE288,0)+$DD289</f>
        <v/>
      </c>
      <c r="DF289" s="57">
        <f>$DF288+$DD289</f>
        <v/>
      </c>
      <c r="DG289" s="57">
        <f>SUMIFS(tblPlant[Mill_Unplanned_Down_h],tblPlant[Date],$A289)</f>
        <v/>
      </c>
      <c r="DH289" s="57">
        <f>IF($B289=$B288,$DH288,0)+$DG289</f>
        <v/>
      </c>
      <c r="DI289" s="57">
        <f>$DI288+$DG289</f>
        <v/>
      </c>
      <c r="DJ289" s="57">
        <f>COUNTIFS(tblPlant[Date],$A289,tblPlant[Mill_Run_h],"&lt;&gt;")*24</f>
        <v/>
      </c>
      <c r="DK289" s="57">
        <f>IF($B289=$B288,$DK288,0)+$DJ289</f>
        <v/>
      </c>
      <c r="DL289" s="57">
        <f>$DL288+$DJ289</f>
        <v/>
      </c>
      <c r="DM289" s="57">
        <f>SUMIFS(tblPlant[Crusher_Run_h],tblPlant[Date],$A289)</f>
        <v/>
      </c>
      <c r="DN289" s="57">
        <f>IF($B289=$B288,$DN288,0)+$DM289</f>
        <v/>
      </c>
      <c r="DO289" s="57">
        <f>$DO288+$DM289</f>
        <v/>
      </c>
      <c r="DP289" s="55">
        <f>IFERROR(IF(($DA289)&gt;0,($BZ289)/($DA289),""),"")</f>
        <v/>
      </c>
      <c r="DQ289" s="55">
        <f>IFERROR(IF(($DB289)&gt;0,($CA289)/($DB289),""),"")</f>
        <v/>
      </c>
      <c r="DR289" s="55">
        <f>IFERROR(IF(($DC289)&gt;0,($CB289)/($DC289),""),"")</f>
        <v/>
      </c>
      <c r="DS289" s="67">
        <f>IFERROR(IF(($DJ289)&gt;0,($DJ289-$DD289-$DG289)/($DJ289),""),"")</f>
        <v/>
      </c>
      <c r="DT289" s="67">
        <f>IFERROR(IF(($DK289)&gt;0,($DK289-$DE289-$DH289)/($DK289),""),"")</f>
        <v/>
      </c>
      <c r="DU289" s="67">
        <f>IFERROR(IF(($DL289)&gt;0,($DL289-$DF289-$DI289)/($DL289),""),"")</f>
        <v/>
      </c>
      <c r="DV289" s="67">
        <f>IFERROR(IF(($DJ289-$DD289-$DG289)&gt;0,($DA289)/($DJ289-$DD289-$DG289),""),"")</f>
        <v/>
      </c>
      <c r="DW289" s="67">
        <f>IFERROR(IF(($DK289-$DE289-$DH289)&gt;0,($DB289)/($DK289-$DE289-$DH289),""),"")</f>
        <v/>
      </c>
      <c r="DX289" s="67">
        <f>IFERROR(IF(($DL289-$DF289-$DI289)&gt;0,($DC289)/($DL289-$DF289-$DI289),""),"")</f>
        <v/>
      </c>
      <c r="DY289" s="55">
        <f>SUMIFS(tblPlant[Cyanide_kg],tblPlant[Date],$A289)</f>
        <v/>
      </c>
      <c r="DZ289" s="55">
        <f>IF($B289=$B288,$DZ288,0)+$DY289</f>
        <v/>
      </c>
      <c r="EA289" s="55">
        <f>$EA288+$DY289</f>
        <v/>
      </c>
      <c r="EB289" s="55">
        <f>SUMIFS(tblPlant[Lime_kg],tblPlant[Date],$A289)</f>
        <v/>
      </c>
      <c r="EC289" s="55">
        <f>IF($B289=$B288,$EC288,0)+$EB289</f>
        <v/>
      </c>
      <c r="ED289" s="55">
        <f>$ED288+$EB289</f>
        <v/>
      </c>
      <c r="EE289" s="55">
        <f>SUMIFS(tblPlant[Grinding_Media_kg],tblPlant[Date],$A289)</f>
        <v/>
      </c>
      <c r="EF289" s="55">
        <f>IF($B289=$B288,$EF288,0)+$EE289</f>
        <v/>
      </c>
      <c r="EG289" s="55">
        <f>$EG288+$EE289</f>
        <v/>
      </c>
      <c r="EH289" s="55">
        <f>SUMIFS(tblPlant[Power_kWh],tblPlant[Date],$A289)</f>
        <v/>
      </c>
      <c r="EI289" s="55">
        <f>IF($B289=$B288,$EI288,0)+$EH289</f>
        <v/>
      </c>
      <c r="EJ289" s="55">
        <f>$EJ288+$EH289</f>
        <v/>
      </c>
      <c r="EK289" s="55">
        <f>SUMIFS(tblPlant[Raw_Water_m3],tblPlant[Date],$A289)</f>
        <v/>
      </c>
      <c r="EL289" s="55">
        <f>IF($B289=$B288,$EL288,0)+$EK289</f>
        <v/>
      </c>
      <c r="EM289" s="55">
        <f>$EM288+$EK289</f>
        <v/>
      </c>
      <c r="EN289" s="56">
        <f>IFERROR(IF(($BZ289)&gt;0,($DY289)/($BZ289),""),"")</f>
        <v/>
      </c>
      <c r="EO289" s="56">
        <f>IFERROR(IF(($CA289)&gt;0,($DZ289)/($CA289),""),"")</f>
        <v/>
      </c>
      <c r="EP289" s="56">
        <f>IFERROR(IF(($CB289)&gt;0,($EA289)/($CB289),""),"")</f>
        <v/>
      </c>
      <c r="EQ289" s="56">
        <f>IFERROR(IF(($BZ289)&gt;0,($EB289)/($BZ289),""),"")</f>
        <v/>
      </c>
      <c r="ER289" s="56">
        <f>IFERROR(IF(($CA289)&gt;0,($EC289)/($CA289),""),"")</f>
        <v/>
      </c>
      <c r="ES289" s="56">
        <f>IFERROR(IF(($CB289)&gt;0,($ED289)/($CB289),""),"")</f>
        <v/>
      </c>
      <c r="ET289" s="56">
        <f>IFERROR(IF(($BZ289)&gt;0,($EE289)/($BZ289),""),"")</f>
        <v/>
      </c>
      <c r="EU289" s="56">
        <f>IFERROR(IF(($CA289)&gt;0,($EF289)/($CA289),""),"")</f>
        <v/>
      </c>
      <c r="EV289" s="56">
        <f>IFERROR(IF(($CB289)&gt;0,($EG289)/($CB289),""),"")</f>
        <v/>
      </c>
      <c r="EW289" s="76">
        <f>IFERROR(IF(($BZ289)&gt;0,($EH289)/($BZ289),""),"")</f>
        <v/>
      </c>
      <c r="EX289" s="76">
        <f>IFERROR(IF(($CA289)&gt;0,($EI289)/($CA289),""),"")</f>
        <v/>
      </c>
      <c r="EY289" s="76">
        <f>IFERROR(IF(($CB289)&gt;0,($EJ289)/($CB289),""),"")</f>
        <v/>
      </c>
      <c r="EZ289" s="56">
        <f>IFERROR(IF(($BZ289)&gt;0,($EK289)/($BZ289),""),"")</f>
        <v/>
      </c>
      <c r="FA289" s="56">
        <f>IFERROR(IF(($CA289)&gt;0,($EL289)/($CA289),""),"")</f>
        <v/>
      </c>
      <c r="FB289" s="56">
        <f>IFERROR(IF(($CB289)&gt;0,($EM289)/($CB289),""),"")</f>
        <v/>
      </c>
      <c r="FC289" s="55">
        <f>IF(SUMIFS(tblPlant[GIC_oz],tblPlant[Date],$A289)&gt;0,SUMIFS(tblPlant[GIC_oz],tblPlant[Date],$A289),"")</f>
        <v/>
      </c>
      <c r="FD289" s="55">
        <f>SUMIFS(tblGold[Gold_oz],tblGold[Date],$A289,tblGold[Type],"Shipment")</f>
        <v/>
      </c>
      <c r="FE289" s="55">
        <f>IF($B289=$B288,$FE288,0)+$FD289</f>
        <v/>
      </c>
      <c r="FF289" s="55">
        <f>$FF288+$FD289</f>
        <v/>
      </c>
      <c r="FG289" s="55">
        <f>SUMIFS(tblGold[Gold_oz],tblGold[Date],$A289,tblGold[Type],"Sale")</f>
        <v/>
      </c>
      <c r="FH289" s="55">
        <f>IF($B289=$B288,$FH288,0)+$FG289</f>
        <v/>
      </c>
      <c r="FI289" s="55">
        <f>$FI288+$FG289</f>
        <v/>
      </c>
      <c r="FJ289" s="55">
        <f>SUMIFS(tblGold[Dore_kg],tblGold[Date],$A289,tblGold[Type],"Shipment")</f>
        <v/>
      </c>
      <c r="FK289" s="55">
        <f>IF($B289=$B288,$FK288,0)+$FJ289</f>
        <v/>
      </c>
      <c r="FL289" s="55">
        <f>$FL288+$FJ289</f>
        <v/>
      </c>
      <c r="FM289" s="57">
        <f>SUMIFS(tblSafety[Hours_Total],tblSafety[Date],$A289)</f>
        <v/>
      </c>
      <c r="FN289" s="57">
        <f>IF($B289=$B288,$FN288,0)+$FM289</f>
        <v/>
      </c>
      <c r="FO289" s="57">
        <f>$FO288+$FM289</f>
        <v/>
      </c>
      <c r="FP289" s="62">
        <f>SUMIFS(tblSafety[Fatality],tblSafety[Date],$A289)</f>
        <v/>
      </c>
      <c r="FQ289" s="62">
        <f>IF($B289=$B288,$FQ288,0)+$FP289</f>
        <v/>
      </c>
      <c r="FR289" s="62">
        <f>$FR288+$FP289</f>
        <v/>
      </c>
      <c r="FS289" s="62">
        <f>SUMIFS(tblSafety[LTI],tblSafety[Date],$A289)</f>
        <v/>
      </c>
      <c r="FT289" s="62">
        <f>IF($B289=$B288,$FT288,0)+$FS289</f>
        <v/>
      </c>
      <c r="FU289" s="62">
        <f>$FU288+$FS289</f>
        <v/>
      </c>
      <c r="FV289" s="62">
        <f>SUMIFS(tblSafety[RWI],tblSafety[Date],$A289)</f>
        <v/>
      </c>
      <c r="FW289" s="62">
        <f>IF($B289=$B288,$FW288,0)+$FV289</f>
        <v/>
      </c>
      <c r="FX289" s="62">
        <f>$FX288+$FV289</f>
        <v/>
      </c>
      <c r="FY289" s="62">
        <f>SUMIFS(tblSafety[MTI],tblSafety[Date],$A289)</f>
        <v/>
      </c>
      <c r="FZ289" s="62">
        <f>IF($B289=$B288,$FZ288,0)+$FY289</f>
        <v/>
      </c>
      <c r="GA289" s="62">
        <f>$GA288+$FY289</f>
        <v/>
      </c>
      <c r="GB289" s="62">
        <f>SUMIFS(tblSafety[FAI],tblSafety[Date],$A289)</f>
        <v/>
      </c>
      <c r="GC289" s="62">
        <f>IF($B289=$B288,$GC288,0)+$GB289</f>
        <v/>
      </c>
      <c r="GD289" s="62">
        <f>$GD288+$GB289</f>
        <v/>
      </c>
      <c r="GE289" s="62">
        <f>SUMIFS(tblSafety[Recordables],tblSafety[Date],$A289)</f>
        <v/>
      </c>
      <c r="GF289" s="62">
        <f>IF($B289=$B288,$GF288,0)+$GE289</f>
        <v/>
      </c>
      <c r="GG289" s="62">
        <f>$GG288+$GE289</f>
        <v/>
      </c>
      <c r="GH289" s="62">
        <f>SUMIFS(tblSafety[Near_Miss],tblSafety[Date],$A289)</f>
        <v/>
      </c>
      <c r="GI289" s="62">
        <f>IF($B289=$B288,$GI288,0)+$GH289</f>
        <v/>
      </c>
      <c r="GJ289" s="62">
        <f>$GJ288+$GH289</f>
        <v/>
      </c>
      <c r="GK289" s="62">
        <f>SUMIFS(tblSafety[Hazard_Reports],tblSafety[Date],$A289)</f>
        <v/>
      </c>
      <c r="GL289" s="62">
        <f>IF($B289=$B288,$GL288,0)+$GK289</f>
        <v/>
      </c>
      <c r="GM289" s="62">
        <f>$GM288+$GK289</f>
        <v/>
      </c>
      <c r="GN289" s="62">
        <f>SUMIFS(tblSafety[HPI],tblSafety[Date],$A289)</f>
        <v/>
      </c>
      <c r="GO289" s="62">
        <f>IF($B289=$B288,$GO288,0)+$GN289</f>
        <v/>
      </c>
      <c r="GP289" s="62">
        <f>$GP288+$GN289</f>
        <v/>
      </c>
      <c r="GQ289" s="62">
        <f>SUMIFS(tblSafety[Env_Incidents],tblSafety[Date],$A289)</f>
        <v/>
      </c>
      <c r="GR289" s="62">
        <f>IF($B289=$B288,$GR288,0)+$GQ289</f>
        <v/>
      </c>
      <c r="GS289" s="62">
        <f>$GS288+$GQ289</f>
        <v/>
      </c>
      <c r="GT289" s="62">
        <f>SUMIFS(tblSafety[Community_Incidents],tblSafety[Date],$A289)</f>
        <v/>
      </c>
      <c r="GU289" s="62">
        <f>IF($B289=$B288,$GU288,0)+$GT289</f>
        <v/>
      </c>
      <c r="GV289" s="62">
        <f>$GV288+$GT289</f>
        <v/>
      </c>
      <c r="GW289" s="62">
        <f>SUMIFS(tblSafety[Vehicle_Incidents],tblSafety[Date],$A289)</f>
        <v/>
      </c>
      <c r="GX289" s="62">
        <f>IF($B289=$B288,$GX288,0)+$GW289</f>
        <v/>
      </c>
      <c r="GY289" s="62">
        <f>$GY288+$GW289</f>
        <v/>
      </c>
      <c r="GZ289" s="62">
        <f>SUMIFS(tblSafety[Toolbox_Talks],tblSafety[Date],$A289)</f>
        <v/>
      </c>
      <c r="HA289" s="62">
        <f>IF($B289=$B288,$HA288,0)+$GZ289</f>
        <v/>
      </c>
      <c r="HB289" s="62">
        <f>$HB288+$GZ289</f>
        <v/>
      </c>
      <c r="HC289" s="62">
        <f>SUMIFS(tblSafety[Inspections],tblSafety[Date],$A289)</f>
        <v/>
      </c>
      <c r="HD289" s="62">
        <f>IF($B289=$B288,$HD288,0)+$HC289</f>
        <v/>
      </c>
      <c r="HE289" s="62">
        <f>$HE288+$HC289</f>
        <v/>
      </c>
      <c r="HF289" s="56">
        <f>IFERROR((SUMIFS(tblSafety[Recordables],tblSafety[Date],"&gt;="&amp;EDATE($E289,-12),tblSafety[Date],"&lt;="&amp;$A289)+SUMIFS(tblSafetyHistory[Recordables],tblSafetyHistory[Month],"&gt;="&amp;EDATE($E289,-12),tblSafetyHistory[Month],"&lt;"&amp;cfg_YearStart))/(SUMIFS(tblSafety[Hours_Total],tblSafety[Date],"&gt;="&amp;EDATE($E289,-12),tblSafety[Date],"&lt;="&amp;$A289)+SUMIFS(tblSafetyHistory[Hours_Total],tblSafetyHistory[Month],"&gt;="&amp;EDATE($E289,-12),tblSafetyHistory[Month],"&lt;"&amp;cfg_YearStart))*1000000,"")</f>
        <v/>
      </c>
      <c r="HG289" s="56">
        <f>IFERROR((SUMIFS(tblSafety[LTI],tblSafety[Date],"&gt;="&amp;EDATE($E289,-12),tblSafety[Date],"&lt;="&amp;$A289)+SUMIFS(tblSafetyHistory[LTI],tblSafetyHistory[Month],"&gt;="&amp;EDATE($E289,-12),tblSafetyHistory[Month],"&lt;"&amp;cfg_YearStart))/(SUMIFS(tblSafety[Hours_Total],tblSafety[Date],"&gt;="&amp;EDATE($E289,-12),tblSafety[Date],"&lt;="&amp;$A289)+SUMIFS(tblSafetyHistory[Hours_Total],tblSafetyHistory[Month],"&gt;="&amp;EDATE($E289,-12),tblSafetyHistory[Month],"&lt;"&amp;cfg_YearStart))*1000000,"")</f>
        <v/>
      </c>
      <c r="HH289" s="62">
        <f>IF(MAX(N(cfg_PriorLTIDate),_xlfn.MAXIFS(tblSafety[Date],tblSafety[LTI],"&gt;0",tblSafety[Date],"&lt;="&amp;$A289))=0,"",$A289-MAX(N(cfg_PriorLTIDate),_xlfn.MAXIFS(tblSafety[Date],tblSafety[LTI],"&gt;0",tblSafety[Date],"&lt;="&amp;$A289)))</f>
        <v/>
      </c>
      <c r="HI289" s="55">
        <f>SUMIFS(tblBudget[Ore_Mined_t],tblBudget[Month],$E289)</f>
        <v/>
      </c>
      <c r="HJ289" s="55">
        <f>$HI289*$C289/$D289</f>
        <v/>
      </c>
      <c r="HK289" s="55">
        <f>SUMIFS(tblBudget[Ore_Mined_t],tblBudget[Month],"&lt;"&amp;$E289)+$HJ289</f>
        <v/>
      </c>
      <c r="HL289" s="55">
        <f>SUMIFS(tblBudget[Ore_oz],tblBudget[Month],$E289)</f>
        <v/>
      </c>
      <c r="HM289" s="55">
        <f>$HL289*$C289/$D289</f>
        <v/>
      </c>
      <c r="HN289" s="55">
        <f>SUMIFS(tblBudget[Ore_oz],tblBudget[Month],"&lt;"&amp;$E289)+$HM289</f>
        <v/>
      </c>
      <c r="HO289" s="56">
        <f>IFERROR(IF(($HI289)&gt;0,($HL289*cfg_TroyOz)/($HI289),""),"")</f>
        <v/>
      </c>
      <c r="HP289" s="56">
        <f>IFERROR(IF(($HJ289)&gt;0,($HM289*cfg_TroyOz)/($HJ289),""),"")</f>
        <v/>
      </c>
      <c r="HQ289" s="56">
        <f>IFERROR(IF(($HK289)&gt;0,($HN289*cfg_TroyOz)/($HK289),""),"")</f>
        <v/>
      </c>
      <c r="HR289" s="55">
        <f>SUMIFS(tblBudget[Waste_t],tblBudget[Month],$E289)</f>
        <v/>
      </c>
      <c r="HS289" s="55">
        <f>$HR289*$C289/$D289</f>
        <v/>
      </c>
      <c r="HT289" s="55">
        <f>SUMIFS(tblBudget[Waste_t],tblBudget[Month],"&lt;"&amp;$E289)+$HS289</f>
        <v/>
      </c>
      <c r="HU289" s="55">
        <f>SUMIFS(tblBudget[TMM_t],tblBudget[Month],$E289)</f>
        <v/>
      </c>
      <c r="HV289" s="55">
        <f>$HU289*$C289/$D289</f>
        <v/>
      </c>
      <c r="HW289" s="55">
        <f>SUMIFS(tblBudget[TMM_t],tblBudget[Month],"&lt;"&amp;$E289)+$HV289</f>
        <v/>
      </c>
      <c r="HX289" s="56">
        <f>IFERROR(IF(($HI289)&gt;0,($HR289)/($HI289),""),"")</f>
        <v/>
      </c>
      <c r="HY289" s="56">
        <f>IFERROR(IF(($HJ289)&gt;0,($HS289)/($HJ289),""),"")</f>
        <v/>
      </c>
      <c r="HZ289" s="56">
        <f>IFERROR(IF(($HK289)&gt;0,($HT289)/($HK289),""),"")</f>
        <v/>
      </c>
      <c r="IA289" s="55">
        <f>SUMIFS(tblBudget[Drill_m],tblBudget[Month],$E289)</f>
        <v/>
      </c>
      <c r="IB289" s="55">
        <f>$IA289*$C289/$D289</f>
        <v/>
      </c>
      <c r="IC289" s="55">
        <f>SUMIFS(tblBudget[Drill_m],tblBudget[Month],"&lt;"&amp;$E289)+$IB289</f>
        <v/>
      </c>
      <c r="ID289" s="55">
        <f>SUMIFS(tblBudget[Diesel_L],tblBudget[Month],$E289)</f>
        <v/>
      </c>
      <c r="IE289" s="55">
        <f>$ID289*$C289/$D289</f>
        <v/>
      </c>
      <c r="IF289" s="55">
        <f>SUMIFS(tblBudget[Diesel_L],tblBudget[Month],"&lt;"&amp;$E289)+$IE289</f>
        <v/>
      </c>
      <c r="IG289" s="55">
        <f>SUMIFS(tblBudget[Milled_t],tblBudget[Month],$E289)</f>
        <v/>
      </c>
      <c r="IH289" s="55">
        <f>$IG289*$C289/$D289</f>
        <v/>
      </c>
      <c r="II289" s="55">
        <f>SUMIFS(tblBudget[Milled_t],tblBudget[Month],"&lt;"&amp;$E289)+$IH289</f>
        <v/>
      </c>
      <c r="IJ289" s="55">
        <f>SUMIFS(tblBudget[Feed_oz],tblBudget[Month],$E289)</f>
        <v/>
      </c>
      <c r="IK289" s="55">
        <f>$IJ289*$C289/$D289</f>
        <v/>
      </c>
      <c r="IL289" s="55">
        <f>SUMIFS(tblBudget[Feed_oz],tblBudget[Month],"&lt;"&amp;$E289)+$IK289</f>
        <v/>
      </c>
      <c r="IM289" s="55">
        <f>SUMIFS(tblBudget[Recovered_oz],tblBudget[Month],$E289)</f>
        <v/>
      </c>
      <c r="IN289" s="55">
        <f>$IM289*$C289/$D289</f>
        <v/>
      </c>
      <c r="IO289" s="55">
        <f>SUMIFS(tblBudget[Recovered_oz],tblBudget[Month],"&lt;"&amp;$E289)+$IN289</f>
        <v/>
      </c>
      <c r="IP289" s="56">
        <f>IFERROR(IF(($IG289)&gt;0,($IJ289*cfg_TroyOz)/($IG289),""),"")</f>
        <v/>
      </c>
      <c r="IQ289" s="56">
        <f>IFERROR(IF(($IH289)&gt;0,($IK289*cfg_TroyOz)/($IH289),""),"")</f>
        <v/>
      </c>
      <c r="IR289" s="56">
        <f>IFERROR(IF(($II289)&gt;0,($IL289*cfg_TroyOz)/($II289),""),"")</f>
        <v/>
      </c>
      <c r="IS289" s="67">
        <f>IFERROR(IF(($IJ289)&gt;0,($IM289)/($IJ289),""),"")</f>
        <v/>
      </c>
      <c r="IT289" s="67">
        <f>IFERROR(IF(($IK289)&gt;0,($IN289)/($IK289),""),"")</f>
        <v/>
      </c>
      <c r="IU289" s="67">
        <f>IFERROR(IF(($IL289)&gt;0,($IO289)/($IL289),""),"")</f>
        <v/>
      </c>
      <c r="IV289" s="55">
        <f>SUMIFS(tblBudget[Gold_Poured_oz],tblBudget[Month],$E289)</f>
        <v/>
      </c>
      <c r="IW289" s="55">
        <f>$IV289*$C289/$D289</f>
        <v/>
      </c>
      <c r="IX289" s="55">
        <f>SUMIFS(tblBudget[Gold_Poured_oz],tblBudget[Month],"&lt;"&amp;$E289)+$IW289</f>
        <v/>
      </c>
      <c r="IY289" s="57">
        <f>SUMIFS(tblBudget[Hours_Worked],tblBudget[Month],$E289)</f>
        <v/>
      </c>
      <c r="IZ289" s="57">
        <f>$IY289*$C289/$D289</f>
        <v/>
      </c>
      <c r="JA289" s="57">
        <f>SUMIFS(tblBudget[Hours_Worked],tblBudget[Month],"&lt;"&amp;$E289)+$IZ289</f>
        <v/>
      </c>
    </row>
    <row r="290">
      <c r="A290" s="54" t="n">
        <v>46311</v>
      </c>
      <c r="B290">
        <f>MONTH($A290)</f>
        <v/>
      </c>
      <c r="C290">
        <f>DAY($A290)</f>
        <v/>
      </c>
      <c r="D290">
        <f>DAY(EOMONTH($A290,0))</f>
        <v/>
      </c>
      <c r="E290" s="54">
        <f>DATE(YEAR($A290),MONTH($A290),1)</f>
        <v/>
      </c>
      <c r="F290" s="55">
        <f>SUMIFS(tblMovement[Tonnes_t],tblMovement[Date],$A290,tblMovement[Is_Ore],1,tblMovement[Source_Type],"Pit")</f>
        <v/>
      </c>
      <c r="G290" s="55">
        <f>IF($B290=$B289,$G289,0)+$F290</f>
        <v/>
      </c>
      <c r="H290" s="55">
        <f>$H289+$F290</f>
        <v/>
      </c>
      <c r="I290" s="55">
        <f>SUMIFS(tblMovement[Ore_oz],tblMovement[Date],$A290,tblMovement[Source_Type],"Pit")</f>
        <v/>
      </c>
      <c r="J290" s="55">
        <f>IF($B290=$B289,$J289,0)+$I290</f>
        <v/>
      </c>
      <c r="K290" s="55">
        <f>$K289+$I290</f>
        <v/>
      </c>
      <c r="L290" s="56">
        <f>IFERROR(IF(($F290)&gt;0,($I290*cfg_TroyOz)/($F290),""),"")</f>
        <v/>
      </c>
      <c r="M290" s="56">
        <f>IFERROR(IF(($G290)&gt;0,($J290*cfg_TroyOz)/($G290),""),"")</f>
        <v/>
      </c>
      <c r="N290" s="56">
        <f>IFERROR(IF(($H290)&gt;0,($K290*cfg_TroyOz)/($H290),""),"")</f>
        <v/>
      </c>
      <c r="O290" s="55">
        <f>SUMIFS(tblMovement[Tonnes_t],tblMovement[Date],$A290,tblMovement[Is_Ore],0,tblMovement[Source_Type],"Pit")</f>
        <v/>
      </c>
      <c r="P290" s="55">
        <f>IF($B290=$B289,$P289,0)+$O290</f>
        <v/>
      </c>
      <c r="Q290" s="55">
        <f>$Q289+$O290</f>
        <v/>
      </c>
      <c r="R290" s="55">
        <f>$F290+$O290</f>
        <v/>
      </c>
      <c r="S290" s="55">
        <f>IF($B290=$B289,$S289,0)+$R290</f>
        <v/>
      </c>
      <c r="T290" s="55">
        <f>$T289+$R290</f>
        <v/>
      </c>
      <c r="U290" s="56">
        <f>IFERROR(IF(($F290)&gt;0,($O290)/($F290),""),"")</f>
        <v/>
      </c>
      <c r="V290" s="56">
        <f>IFERROR(IF(($G290)&gt;0,($P290)/($G290),""),"")</f>
        <v/>
      </c>
      <c r="W290" s="56">
        <f>IFERROR(IF(($H290)&gt;0,($Q290)/($H290),""),"")</f>
        <v/>
      </c>
      <c r="X290" s="55">
        <f>SUMIFS(tblMovement[Tonnes_t],tblMovement[Date],$A290,tblMovement[Source_Type],"Stockpile")</f>
        <v/>
      </c>
      <c r="Y290" s="55">
        <f>IF($B290=$B289,$Y289,0)+$X290</f>
        <v/>
      </c>
      <c r="Z290" s="55">
        <f>$Z289+$X290</f>
        <v/>
      </c>
      <c r="AA290" s="55">
        <f>SUMIFS(tblMiningDaily[Drill_m],tblMiningDaily[Date],$A290)</f>
        <v/>
      </c>
      <c r="AB290" s="55">
        <f>IF($B290=$B289,$AB289,0)+$AA290</f>
        <v/>
      </c>
      <c r="AC290" s="55">
        <f>$AC289+$AA290</f>
        <v/>
      </c>
      <c r="AD290" s="55">
        <f>SUMIFS(tblMiningDaily[Blast_t],tblMiningDaily[Date],$A290)</f>
        <v/>
      </c>
      <c r="AE290" s="55">
        <f>IF($B290=$B289,$AE289,0)+$AD290</f>
        <v/>
      </c>
      <c r="AF290" s="55">
        <f>$AF289+$AD290</f>
        <v/>
      </c>
      <c r="AG290" s="55">
        <f>SUMIFS(tblMiningDaily[Explosives_kg],tblMiningDaily[Date],$A290)</f>
        <v/>
      </c>
      <c r="AH290" s="55">
        <f>IF($B290=$B289,$AH289,0)+$AG290</f>
        <v/>
      </c>
      <c r="AI290" s="55">
        <f>$AI289+$AG290</f>
        <v/>
      </c>
      <c r="AJ290" s="56">
        <f>IFERROR(IF(($AD290)&gt;0,($AG290)/($AD290),""),"")</f>
        <v/>
      </c>
      <c r="AK290" s="56">
        <f>IFERROR(IF(($AE290)&gt;0,($AH290)/($AE290),""),"")</f>
        <v/>
      </c>
      <c r="AL290" s="56">
        <f>IFERROR(IF(($AF290)&gt;0,($AI290)/($AF290),""),"")</f>
        <v/>
      </c>
      <c r="AM290" s="55">
        <f>SUMIFS(tblMiningDaily[Diesel_L],tblMiningDaily[Date],$A290)</f>
        <v/>
      </c>
      <c r="AN290" s="55">
        <f>IF($B290=$B289,$AN289,0)+$AM290</f>
        <v/>
      </c>
      <c r="AO290" s="55">
        <f>$AO289+$AM290</f>
        <v/>
      </c>
      <c r="AP290" s="55">
        <f>SUMIFS(tblMiningDaily[Dewatering_m3],tblMiningDaily[Date],$A290)</f>
        <v/>
      </c>
      <c r="AQ290" s="55">
        <f>IF($B290=$B289,$AQ289,0)+$AP290</f>
        <v/>
      </c>
      <c r="AR290" s="55">
        <f>$AR289+$AP290</f>
        <v/>
      </c>
      <c r="AS290" s="57">
        <f>SUMIFS(tblFleet[Calendar_h],tblFleet[Date],$A290,tblFleet[Equipment_Class],"Excavator")</f>
        <v/>
      </c>
      <c r="AT290" s="57">
        <f>IF($B290=$B289,$AT289,0)+$AS290</f>
        <v/>
      </c>
      <c r="AU290" s="57">
        <f>$AU289+$AS290</f>
        <v/>
      </c>
      <c r="AV290" s="57">
        <f>SUMIFS(tblFleet[Available_h],tblFleet[Date],$A290,tblFleet[Equipment_Class],"Excavator")</f>
        <v/>
      </c>
      <c r="AW290" s="57">
        <f>IF($B290=$B289,$AW289,0)+$AV290</f>
        <v/>
      </c>
      <c r="AX290" s="57">
        <f>$AX289+$AV290</f>
        <v/>
      </c>
      <c r="AY290" s="57">
        <f>SUMIFS(tblFleet[Operating_h],tblFleet[Date],$A290,tblFleet[Equipment_Class],"Excavator")</f>
        <v/>
      </c>
      <c r="AZ290" s="57">
        <f>IF($B290=$B289,$AZ289,0)+$AY290</f>
        <v/>
      </c>
      <c r="BA290" s="57">
        <f>$BA289+$AY290</f>
        <v/>
      </c>
      <c r="BB290" s="67">
        <f>IFERROR(IF(($AS290)&gt;0,($AV290)/($AS290),""),"")</f>
        <v/>
      </c>
      <c r="BC290" s="67">
        <f>IFERROR(IF(($AT290)&gt;0,($AW290)/($AT290),""),"")</f>
        <v/>
      </c>
      <c r="BD290" s="67">
        <f>IFERROR(IF(($AU290)&gt;0,($AX290)/($AU290),""),"")</f>
        <v/>
      </c>
      <c r="BE290" s="67">
        <f>IFERROR(IF(($AV290)&gt;0,($AY290)/($AV290),""),"")</f>
        <v/>
      </c>
      <c r="BF290" s="67">
        <f>IFERROR(IF(($AW290)&gt;0,($AZ290)/($AW290),""),"")</f>
        <v/>
      </c>
      <c r="BG290" s="67">
        <f>IFERROR(IF(($AX290)&gt;0,($BA290)/($AX290),""),"")</f>
        <v/>
      </c>
      <c r="BH290" s="57">
        <f>SUMIFS(tblFleet[Calendar_h],tblFleet[Date],$A290,tblFleet[Equipment_Class],"Haul Truck")</f>
        <v/>
      </c>
      <c r="BI290" s="57">
        <f>IF($B290=$B289,$BI289,0)+$BH290</f>
        <v/>
      </c>
      <c r="BJ290" s="57">
        <f>$BJ289+$BH290</f>
        <v/>
      </c>
      <c r="BK290" s="57">
        <f>SUMIFS(tblFleet[Available_h],tblFleet[Date],$A290,tblFleet[Equipment_Class],"Haul Truck")</f>
        <v/>
      </c>
      <c r="BL290" s="57">
        <f>IF($B290=$B289,$BL289,0)+$BK290</f>
        <v/>
      </c>
      <c r="BM290" s="57">
        <f>$BM289+$BK290</f>
        <v/>
      </c>
      <c r="BN290" s="57">
        <f>SUMIFS(tblFleet[Operating_h],tblFleet[Date],$A290,tblFleet[Equipment_Class],"Haul Truck")</f>
        <v/>
      </c>
      <c r="BO290" s="57">
        <f>IF($B290=$B289,$BO289,0)+$BN290</f>
        <v/>
      </c>
      <c r="BP290" s="57">
        <f>$BP289+$BN290</f>
        <v/>
      </c>
      <c r="BQ290" s="67">
        <f>IFERROR(IF(($BH290)&gt;0,($BK290)/($BH290),""),"")</f>
        <v/>
      </c>
      <c r="BR290" s="67">
        <f>IFERROR(IF(($BI290)&gt;0,($BL290)/($BI290),""),"")</f>
        <v/>
      </c>
      <c r="BS290" s="67">
        <f>IFERROR(IF(($BJ290)&gt;0,($BM290)/($BJ290),""),"")</f>
        <v/>
      </c>
      <c r="BT290" s="67">
        <f>IFERROR(IF(($BK290)&gt;0,($BN290)/($BK290),""),"")</f>
        <v/>
      </c>
      <c r="BU290" s="67">
        <f>IFERROR(IF(($BL290)&gt;0,($BO290)/($BL290),""),"")</f>
        <v/>
      </c>
      <c r="BV290" s="67">
        <f>IFERROR(IF(($BM290)&gt;0,($BP290)/($BM290),""),"")</f>
        <v/>
      </c>
      <c r="BW290" s="55">
        <f>SUMIFS(tblPlant[Crushed_t],tblPlant[Date],$A290)</f>
        <v/>
      </c>
      <c r="BX290" s="55">
        <f>IF($B290=$B289,$BX289,0)+$BW290</f>
        <v/>
      </c>
      <c r="BY290" s="55">
        <f>$BY289+$BW290</f>
        <v/>
      </c>
      <c r="BZ290" s="55">
        <f>SUMIFS(tblPlant[Milled_t],tblPlant[Date],$A290)</f>
        <v/>
      </c>
      <c r="CA290" s="55">
        <f>IF($B290=$B289,$CA289,0)+$BZ290</f>
        <v/>
      </c>
      <c r="CB290" s="55">
        <f>$CB289+$BZ290</f>
        <v/>
      </c>
      <c r="CC290" s="55">
        <f>SUMIFS(tblPlant[Feed_oz],tblPlant[Date],$A290)</f>
        <v/>
      </c>
      <c r="CD290" s="55">
        <f>IF($B290=$B289,$CD289,0)+$CC290</f>
        <v/>
      </c>
      <c r="CE290" s="55">
        <f>$CE289+$CC290</f>
        <v/>
      </c>
      <c r="CF290" s="55">
        <f>SUMIFS(tblPlant[Tails_oz],tblPlant[Date],$A290)</f>
        <v/>
      </c>
      <c r="CG290" s="55">
        <f>IF($B290=$B289,$CG289,0)+$CF290</f>
        <v/>
      </c>
      <c r="CH290" s="55">
        <f>$CH289+$CF290</f>
        <v/>
      </c>
      <c r="CI290" s="55">
        <f>SUMIFS(tblPlant[Recovered_oz],tblPlant[Date],$A290)</f>
        <v/>
      </c>
      <c r="CJ290" s="55">
        <f>IF($B290=$B289,$CJ289,0)+$CI290</f>
        <v/>
      </c>
      <c r="CK290" s="55">
        <f>$CK289+$CI290</f>
        <v/>
      </c>
      <c r="CL290" s="56">
        <f>IFERROR(IF(($BZ290)&gt;0,($CC290*cfg_TroyOz)/($BZ290),""),"")</f>
        <v/>
      </c>
      <c r="CM290" s="56">
        <f>IFERROR(IF(($CA290)&gt;0,($CD290*cfg_TroyOz)/($CA290),""),"")</f>
        <v/>
      </c>
      <c r="CN290" s="56">
        <f>IFERROR(IF(($CB290)&gt;0,($CE290*cfg_TroyOz)/($CB290),""),"")</f>
        <v/>
      </c>
      <c r="CO290" s="56">
        <f>IFERROR(IF(($BZ290)&gt;0,($CF290*cfg_TroyOz)/($BZ290),""),"")</f>
        <v/>
      </c>
      <c r="CP290" s="56">
        <f>IFERROR(IF(($CA290)&gt;0,($CG290*cfg_TroyOz)/($CA290),""),"")</f>
        <v/>
      </c>
      <c r="CQ290" s="56">
        <f>IFERROR(IF(($CB290)&gt;0,($CH290*cfg_TroyOz)/($CB290),""),"")</f>
        <v/>
      </c>
      <c r="CR290" s="67">
        <f>IFERROR(IF(($CC290)&gt;0,($CI290)/($CC290),""),"")</f>
        <v/>
      </c>
      <c r="CS290" s="67">
        <f>IFERROR(IF(($CD290)&gt;0,($CJ290)/($CD290),""),"")</f>
        <v/>
      </c>
      <c r="CT290" s="67">
        <f>IFERROR(IF(($CE290)&gt;0,($CK290)/($CE290),""),"")</f>
        <v/>
      </c>
      <c r="CU290" s="55">
        <f>SUMIFS(tblPlant[Gravity_Gold_oz],tblPlant[Date],$A290)</f>
        <v/>
      </c>
      <c r="CV290" s="55">
        <f>IF($B290=$B289,$CV289,0)+$CU290</f>
        <v/>
      </c>
      <c r="CW290" s="55">
        <f>$CW289+$CU290</f>
        <v/>
      </c>
      <c r="CX290" s="55">
        <f>SUMIFS(tblPlant[Gold_Poured_oz],tblPlant[Date],$A290)</f>
        <v/>
      </c>
      <c r="CY290" s="55">
        <f>IF($B290=$B289,$CY289,0)+$CX290</f>
        <v/>
      </c>
      <c r="CZ290" s="55">
        <f>$CZ289+$CX290</f>
        <v/>
      </c>
      <c r="DA290" s="57">
        <f>SUMIFS(tblPlant[Mill_Run_h],tblPlant[Date],$A290)</f>
        <v/>
      </c>
      <c r="DB290" s="57">
        <f>IF($B290=$B289,$DB289,0)+$DA290</f>
        <v/>
      </c>
      <c r="DC290" s="57">
        <f>$DC289+$DA290</f>
        <v/>
      </c>
      <c r="DD290" s="57">
        <f>SUMIFS(tblPlant[Mill_Planned_Maint_h],tblPlant[Date],$A290)</f>
        <v/>
      </c>
      <c r="DE290" s="57">
        <f>IF($B290=$B289,$DE289,0)+$DD290</f>
        <v/>
      </c>
      <c r="DF290" s="57">
        <f>$DF289+$DD290</f>
        <v/>
      </c>
      <c r="DG290" s="57">
        <f>SUMIFS(tblPlant[Mill_Unplanned_Down_h],tblPlant[Date],$A290)</f>
        <v/>
      </c>
      <c r="DH290" s="57">
        <f>IF($B290=$B289,$DH289,0)+$DG290</f>
        <v/>
      </c>
      <c r="DI290" s="57">
        <f>$DI289+$DG290</f>
        <v/>
      </c>
      <c r="DJ290" s="57">
        <f>COUNTIFS(tblPlant[Date],$A290,tblPlant[Mill_Run_h],"&lt;&gt;")*24</f>
        <v/>
      </c>
      <c r="DK290" s="57">
        <f>IF($B290=$B289,$DK289,0)+$DJ290</f>
        <v/>
      </c>
      <c r="DL290" s="57">
        <f>$DL289+$DJ290</f>
        <v/>
      </c>
      <c r="DM290" s="57">
        <f>SUMIFS(tblPlant[Crusher_Run_h],tblPlant[Date],$A290)</f>
        <v/>
      </c>
      <c r="DN290" s="57">
        <f>IF($B290=$B289,$DN289,0)+$DM290</f>
        <v/>
      </c>
      <c r="DO290" s="57">
        <f>$DO289+$DM290</f>
        <v/>
      </c>
      <c r="DP290" s="55">
        <f>IFERROR(IF(($DA290)&gt;0,($BZ290)/($DA290),""),"")</f>
        <v/>
      </c>
      <c r="DQ290" s="55">
        <f>IFERROR(IF(($DB290)&gt;0,($CA290)/($DB290),""),"")</f>
        <v/>
      </c>
      <c r="DR290" s="55">
        <f>IFERROR(IF(($DC290)&gt;0,($CB290)/($DC290),""),"")</f>
        <v/>
      </c>
      <c r="DS290" s="67">
        <f>IFERROR(IF(($DJ290)&gt;0,($DJ290-$DD290-$DG290)/($DJ290),""),"")</f>
        <v/>
      </c>
      <c r="DT290" s="67">
        <f>IFERROR(IF(($DK290)&gt;0,($DK290-$DE290-$DH290)/($DK290),""),"")</f>
        <v/>
      </c>
      <c r="DU290" s="67">
        <f>IFERROR(IF(($DL290)&gt;0,($DL290-$DF290-$DI290)/($DL290),""),"")</f>
        <v/>
      </c>
      <c r="DV290" s="67">
        <f>IFERROR(IF(($DJ290-$DD290-$DG290)&gt;0,($DA290)/($DJ290-$DD290-$DG290),""),"")</f>
        <v/>
      </c>
      <c r="DW290" s="67">
        <f>IFERROR(IF(($DK290-$DE290-$DH290)&gt;0,($DB290)/($DK290-$DE290-$DH290),""),"")</f>
        <v/>
      </c>
      <c r="DX290" s="67">
        <f>IFERROR(IF(($DL290-$DF290-$DI290)&gt;0,($DC290)/($DL290-$DF290-$DI290),""),"")</f>
        <v/>
      </c>
      <c r="DY290" s="55">
        <f>SUMIFS(tblPlant[Cyanide_kg],tblPlant[Date],$A290)</f>
        <v/>
      </c>
      <c r="DZ290" s="55">
        <f>IF($B290=$B289,$DZ289,0)+$DY290</f>
        <v/>
      </c>
      <c r="EA290" s="55">
        <f>$EA289+$DY290</f>
        <v/>
      </c>
      <c r="EB290" s="55">
        <f>SUMIFS(tblPlant[Lime_kg],tblPlant[Date],$A290)</f>
        <v/>
      </c>
      <c r="EC290" s="55">
        <f>IF($B290=$B289,$EC289,0)+$EB290</f>
        <v/>
      </c>
      <c r="ED290" s="55">
        <f>$ED289+$EB290</f>
        <v/>
      </c>
      <c r="EE290" s="55">
        <f>SUMIFS(tblPlant[Grinding_Media_kg],tblPlant[Date],$A290)</f>
        <v/>
      </c>
      <c r="EF290" s="55">
        <f>IF($B290=$B289,$EF289,0)+$EE290</f>
        <v/>
      </c>
      <c r="EG290" s="55">
        <f>$EG289+$EE290</f>
        <v/>
      </c>
      <c r="EH290" s="55">
        <f>SUMIFS(tblPlant[Power_kWh],tblPlant[Date],$A290)</f>
        <v/>
      </c>
      <c r="EI290" s="55">
        <f>IF($B290=$B289,$EI289,0)+$EH290</f>
        <v/>
      </c>
      <c r="EJ290" s="55">
        <f>$EJ289+$EH290</f>
        <v/>
      </c>
      <c r="EK290" s="55">
        <f>SUMIFS(tblPlant[Raw_Water_m3],tblPlant[Date],$A290)</f>
        <v/>
      </c>
      <c r="EL290" s="55">
        <f>IF($B290=$B289,$EL289,0)+$EK290</f>
        <v/>
      </c>
      <c r="EM290" s="55">
        <f>$EM289+$EK290</f>
        <v/>
      </c>
      <c r="EN290" s="56">
        <f>IFERROR(IF(($BZ290)&gt;0,($DY290)/($BZ290),""),"")</f>
        <v/>
      </c>
      <c r="EO290" s="56">
        <f>IFERROR(IF(($CA290)&gt;0,($DZ290)/($CA290),""),"")</f>
        <v/>
      </c>
      <c r="EP290" s="56">
        <f>IFERROR(IF(($CB290)&gt;0,($EA290)/($CB290),""),"")</f>
        <v/>
      </c>
      <c r="EQ290" s="56">
        <f>IFERROR(IF(($BZ290)&gt;0,($EB290)/($BZ290),""),"")</f>
        <v/>
      </c>
      <c r="ER290" s="56">
        <f>IFERROR(IF(($CA290)&gt;0,($EC290)/($CA290),""),"")</f>
        <v/>
      </c>
      <c r="ES290" s="56">
        <f>IFERROR(IF(($CB290)&gt;0,($ED290)/($CB290),""),"")</f>
        <v/>
      </c>
      <c r="ET290" s="56">
        <f>IFERROR(IF(($BZ290)&gt;0,($EE290)/($BZ290),""),"")</f>
        <v/>
      </c>
      <c r="EU290" s="56">
        <f>IFERROR(IF(($CA290)&gt;0,($EF290)/($CA290),""),"")</f>
        <v/>
      </c>
      <c r="EV290" s="56">
        <f>IFERROR(IF(($CB290)&gt;0,($EG290)/($CB290),""),"")</f>
        <v/>
      </c>
      <c r="EW290" s="76">
        <f>IFERROR(IF(($BZ290)&gt;0,($EH290)/($BZ290),""),"")</f>
        <v/>
      </c>
      <c r="EX290" s="76">
        <f>IFERROR(IF(($CA290)&gt;0,($EI290)/($CA290),""),"")</f>
        <v/>
      </c>
      <c r="EY290" s="76">
        <f>IFERROR(IF(($CB290)&gt;0,($EJ290)/($CB290),""),"")</f>
        <v/>
      </c>
      <c r="EZ290" s="56">
        <f>IFERROR(IF(($BZ290)&gt;0,($EK290)/($BZ290),""),"")</f>
        <v/>
      </c>
      <c r="FA290" s="56">
        <f>IFERROR(IF(($CA290)&gt;0,($EL290)/($CA290),""),"")</f>
        <v/>
      </c>
      <c r="FB290" s="56">
        <f>IFERROR(IF(($CB290)&gt;0,($EM290)/($CB290),""),"")</f>
        <v/>
      </c>
      <c r="FC290" s="55">
        <f>IF(SUMIFS(tblPlant[GIC_oz],tblPlant[Date],$A290)&gt;0,SUMIFS(tblPlant[GIC_oz],tblPlant[Date],$A290),"")</f>
        <v/>
      </c>
      <c r="FD290" s="55">
        <f>SUMIFS(tblGold[Gold_oz],tblGold[Date],$A290,tblGold[Type],"Shipment")</f>
        <v/>
      </c>
      <c r="FE290" s="55">
        <f>IF($B290=$B289,$FE289,0)+$FD290</f>
        <v/>
      </c>
      <c r="FF290" s="55">
        <f>$FF289+$FD290</f>
        <v/>
      </c>
      <c r="FG290" s="55">
        <f>SUMIFS(tblGold[Gold_oz],tblGold[Date],$A290,tblGold[Type],"Sale")</f>
        <v/>
      </c>
      <c r="FH290" s="55">
        <f>IF($B290=$B289,$FH289,0)+$FG290</f>
        <v/>
      </c>
      <c r="FI290" s="55">
        <f>$FI289+$FG290</f>
        <v/>
      </c>
      <c r="FJ290" s="55">
        <f>SUMIFS(tblGold[Dore_kg],tblGold[Date],$A290,tblGold[Type],"Shipment")</f>
        <v/>
      </c>
      <c r="FK290" s="55">
        <f>IF($B290=$B289,$FK289,0)+$FJ290</f>
        <v/>
      </c>
      <c r="FL290" s="55">
        <f>$FL289+$FJ290</f>
        <v/>
      </c>
      <c r="FM290" s="57">
        <f>SUMIFS(tblSafety[Hours_Total],tblSafety[Date],$A290)</f>
        <v/>
      </c>
      <c r="FN290" s="57">
        <f>IF($B290=$B289,$FN289,0)+$FM290</f>
        <v/>
      </c>
      <c r="FO290" s="57">
        <f>$FO289+$FM290</f>
        <v/>
      </c>
      <c r="FP290" s="62">
        <f>SUMIFS(tblSafety[Fatality],tblSafety[Date],$A290)</f>
        <v/>
      </c>
      <c r="FQ290" s="62">
        <f>IF($B290=$B289,$FQ289,0)+$FP290</f>
        <v/>
      </c>
      <c r="FR290" s="62">
        <f>$FR289+$FP290</f>
        <v/>
      </c>
      <c r="FS290" s="62">
        <f>SUMIFS(tblSafety[LTI],tblSafety[Date],$A290)</f>
        <v/>
      </c>
      <c r="FT290" s="62">
        <f>IF($B290=$B289,$FT289,0)+$FS290</f>
        <v/>
      </c>
      <c r="FU290" s="62">
        <f>$FU289+$FS290</f>
        <v/>
      </c>
      <c r="FV290" s="62">
        <f>SUMIFS(tblSafety[RWI],tblSafety[Date],$A290)</f>
        <v/>
      </c>
      <c r="FW290" s="62">
        <f>IF($B290=$B289,$FW289,0)+$FV290</f>
        <v/>
      </c>
      <c r="FX290" s="62">
        <f>$FX289+$FV290</f>
        <v/>
      </c>
      <c r="FY290" s="62">
        <f>SUMIFS(tblSafety[MTI],tblSafety[Date],$A290)</f>
        <v/>
      </c>
      <c r="FZ290" s="62">
        <f>IF($B290=$B289,$FZ289,0)+$FY290</f>
        <v/>
      </c>
      <c r="GA290" s="62">
        <f>$GA289+$FY290</f>
        <v/>
      </c>
      <c r="GB290" s="62">
        <f>SUMIFS(tblSafety[FAI],tblSafety[Date],$A290)</f>
        <v/>
      </c>
      <c r="GC290" s="62">
        <f>IF($B290=$B289,$GC289,0)+$GB290</f>
        <v/>
      </c>
      <c r="GD290" s="62">
        <f>$GD289+$GB290</f>
        <v/>
      </c>
      <c r="GE290" s="62">
        <f>SUMIFS(tblSafety[Recordables],tblSafety[Date],$A290)</f>
        <v/>
      </c>
      <c r="GF290" s="62">
        <f>IF($B290=$B289,$GF289,0)+$GE290</f>
        <v/>
      </c>
      <c r="GG290" s="62">
        <f>$GG289+$GE290</f>
        <v/>
      </c>
      <c r="GH290" s="62">
        <f>SUMIFS(tblSafety[Near_Miss],tblSafety[Date],$A290)</f>
        <v/>
      </c>
      <c r="GI290" s="62">
        <f>IF($B290=$B289,$GI289,0)+$GH290</f>
        <v/>
      </c>
      <c r="GJ290" s="62">
        <f>$GJ289+$GH290</f>
        <v/>
      </c>
      <c r="GK290" s="62">
        <f>SUMIFS(tblSafety[Hazard_Reports],tblSafety[Date],$A290)</f>
        <v/>
      </c>
      <c r="GL290" s="62">
        <f>IF($B290=$B289,$GL289,0)+$GK290</f>
        <v/>
      </c>
      <c r="GM290" s="62">
        <f>$GM289+$GK290</f>
        <v/>
      </c>
      <c r="GN290" s="62">
        <f>SUMIFS(tblSafety[HPI],tblSafety[Date],$A290)</f>
        <v/>
      </c>
      <c r="GO290" s="62">
        <f>IF($B290=$B289,$GO289,0)+$GN290</f>
        <v/>
      </c>
      <c r="GP290" s="62">
        <f>$GP289+$GN290</f>
        <v/>
      </c>
      <c r="GQ290" s="62">
        <f>SUMIFS(tblSafety[Env_Incidents],tblSafety[Date],$A290)</f>
        <v/>
      </c>
      <c r="GR290" s="62">
        <f>IF($B290=$B289,$GR289,0)+$GQ290</f>
        <v/>
      </c>
      <c r="GS290" s="62">
        <f>$GS289+$GQ290</f>
        <v/>
      </c>
      <c r="GT290" s="62">
        <f>SUMIFS(tblSafety[Community_Incidents],tblSafety[Date],$A290)</f>
        <v/>
      </c>
      <c r="GU290" s="62">
        <f>IF($B290=$B289,$GU289,0)+$GT290</f>
        <v/>
      </c>
      <c r="GV290" s="62">
        <f>$GV289+$GT290</f>
        <v/>
      </c>
      <c r="GW290" s="62">
        <f>SUMIFS(tblSafety[Vehicle_Incidents],tblSafety[Date],$A290)</f>
        <v/>
      </c>
      <c r="GX290" s="62">
        <f>IF($B290=$B289,$GX289,0)+$GW290</f>
        <v/>
      </c>
      <c r="GY290" s="62">
        <f>$GY289+$GW290</f>
        <v/>
      </c>
      <c r="GZ290" s="62">
        <f>SUMIFS(tblSafety[Toolbox_Talks],tblSafety[Date],$A290)</f>
        <v/>
      </c>
      <c r="HA290" s="62">
        <f>IF($B290=$B289,$HA289,0)+$GZ290</f>
        <v/>
      </c>
      <c r="HB290" s="62">
        <f>$HB289+$GZ290</f>
        <v/>
      </c>
      <c r="HC290" s="62">
        <f>SUMIFS(tblSafety[Inspections],tblSafety[Date],$A290)</f>
        <v/>
      </c>
      <c r="HD290" s="62">
        <f>IF($B290=$B289,$HD289,0)+$HC290</f>
        <v/>
      </c>
      <c r="HE290" s="62">
        <f>$HE289+$HC290</f>
        <v/>
      </c>
      <c r="HF290" s="56">
        <f>IFERROR((SUMIFS(tblSafety[Recordables],tblSafety[Date],"&gt;="&amp;EDATE($E290,-12),tblSafety[Date],"&lt;="&amp;$A290)+SUMIFS(tblSafetyHistory[Recordables],tblSafetyHistory[Month],"&gt;="&amp;EDATE($E290,-12),tblSafetyHistory[Month],"&lt;"&amp;cfg_YearStart))/(SUMIFS(tblSafety[Hours_Total],tblSafety[Date],"&gt;="&amp;EDATE($E290,-12),tblSafety[Date],"&lt;="&amp;$A290)+SUMIFS(tblSafetyHistory[Hours_Total],tblSafetyHistory[Month],"&gt;="&amp;EDATE($E290,-12),tblSafetyHistory[Month],"&lt;"&amp;cfg_YearStart))*1000000,"")</f>
        <v/>
      </c>
      <c r="HG290" s="56">
        <f>IFERROR((SUMIFS(tblSafety[LTI],tblSafety[Date],"&gt;="&amp;EDATE($E290,-12),tblSafety[Date],"&lt;="&amp;$A290)+SUMIFS(tblSafetyHistory[LTI],tblSafetyHistory[Month],"&gt;="&amp;EDATE($E290,-12),tblSafetyHistory[Month],"&lt;"&amp;cfg_YearStart))/(SUMIFS(tblSafety[Hours_Total],tblSafety[Date],"&gt;="&amp;EDATE($E290,-12),tblSafety[Date],"&lt;="&amp;$A290)+SUMIFS(tblSafetyHistory[Hours_Total],tblSafetyHistory[Month],"&gt;="&amp;EDATE($E290,-12),tblSafetyHistory[Month],"&lt;"&amp;cfg_YearStart))*1000000,"")</f>
        <v/>
      </c>
      <c r="HH290" s="62">
        <f>IF(MAX(N(cfg_PriorLTIDate),_xlfn.MAXIFS(tblSafety[Date],tblSafety[LTI],"&gt;0",tblSafety[Date],"&lt;="&amp;$A290))=0,"",$A290-MAX(N(cfg_PriorLTIDate),_xlfn.MAXIFS(tblSafety[Date],tblSafety[LTI],"&gt;0",tblSafety[Date],"&lt;="&amp;$A290)))</f>
        <v/>
      </c>
      <c r="HI290" s="55">
        <f>SUMIFS(tblBudget[Ore_Mined_t],tblBudget[Month],$E290)</f>
        <v/>
      </c>
      <c r="HJ290" s="55">
        <f>$HI290*$C290/$D290</f>
        <v/>
      </c>
      <c r="HK290" s="55">
        <f>SUMIFS(tblBudget[Ore_Mined_t],tblBudget[Month],"&lt;"&amp;$E290)+$HJ290</f>
        <v/>
      </c>
      <c r="HL290" s="55">
        <f>SUMIFS(tblBudget[Ore_oz],tblBudget[Month],$E290)</f>
        <v/>
      </c>
      <c r="HM290" s="55">
        <f>$HL290*$C290/$D290</f>
        <v/>
      </c>
      <c r="HN290" s="55">
        <f>SUMIFS(tblBudget[Ore_oz],tblBudget[Month],"&lt;"&amp;$E290)+$HM290</f>
        <v/>
      </c>
      <c r="HO290" s="56">
        <f>IFERROR(IF(($HI290)&gt;0,($HL290*cfg_TroyOz)/($HI290),""),"")</f>
        <v/>
      </c>
      <c r="HP290" s="56">
        <f>IFERROR(IF(($HJ290)&gt;0,($HM290*cfg_TroyOz)/($HJ290),""),"")</f>
        <v/>
      </c>
      <c r="HQ290" s="56">
        <f>IFERROR(IF(($HK290)&gt;0,($HN290*cfg_TroyOz)/($HK290),""),"")</f>
        <v/>
      </c>
      <c r="HR290" s="55">
        <f>SUMIFS(tblBudget[Waste_t],tblBudget[Month],$E290)</f>
        <v/>
      </c>
      <c r="HS290" s="55">
        <f>$HR290*$C290/$D290</f>
        <v/>
      </c>
      <c r="HT290" s="55">
        <f>SUMIFS(tblBudget[Waste_t],tblBudget[Month],"&lt;"&amp;$E290)+$HS290</f>
        <v/>
      </c>
      <c r="HU290" s="55">
        <f>SUMIFS(tblBudget[TMM_t],tblBudget[Month],$E290)</f>
        <v/>
      </c>
      <c r="HV290" s="55">
        <f>$HU290*$C290/$D290</f>
        <v/>
      </c>
      <c r="HW290" s="55">
        <f>SUMIFS(tblBudget[TMM_t],tblBudget[Month],"&lt;"&amp;$E290)+$HV290</f>
        <v/>
      </c>
      <c r="HX290" s="56">
        <f>IFERROR(IF(($HI290)&gt;0,($HR290)/($HI290),""),"")</f>
        <v/>
      </c>
      <c r="HY290" s="56">
        <f>IFERROR(IF(($HJ290)&gt;0,($HS290)/($HJ290),""),"")</f>
        <v/>
      </c>
      <c r="HZ290" s="56">
        <f>IFERROR(IF(($HK290)&gt;0,($HT290)/($HK290),""),"")</f>
        <v/>
      </c>
      <c r="IA290" s="55">
        <f>SUMIFS(tblBudget[Drill_m],tblBudget[Month],$E290)</f>
        <v/>
      </c>
      <c r="IB290" s="55">
        <f>$IA290*$C290/$D290</f>
        <v/>
      </c>
      <c r="IC290" s="55">
        <f>SUMIFS(tblBudget[Drill_m],tblBudget[Month],"&lt;"&amp;$E290)+$IB290</f>
        <v/>
      </c>
      <c r="ID290" s="55">
        <f>SUMIFS(tblBudget[Diesel_L],tblBudget[Month],$E290)</f>
        <v/>
      </c>
      <c r="IE290" s="55">
        <f>$ID290*$C290/$D290</f>
        <v/>
      </c>
      <c r="IF290" s="55">
        <f>SUMIFS(tblBudget[Diesel_L],tblBudget[Month],"&lt;"&amp;$E290)+$IE290</f>
        <v/>
      </c>
      <c r="IG290" s="55">
        <f>SUMIFS(tblBudget[Milled_t],tblBudget[Month],$E290)</f>
        <v/>
      </c>
      <c r="IH290" s="55">
        <f>$IG290*$C290/$D290</f>
        <v/>
      </c>
      <c r="II290" s="55">
        <f>SUMIFS(tblBudget[Milled_t],tblBudget[Month],"&lt;"&amp;$E290)+$IH290</f>
        <v/>
      </c>
      <c r="IJ290" s="55">
        <f>SUMIFS(tblBudget[Feed_oz],tblBudget[Month],$E290)</f>
        <v/>
      </c>
      <c r="IK290" s="55">
        <f>$IJ290*$C290/$D290</f>
        <v/>
      </c>
      <c r="IL290" s="55">
        <f>SUMIFS(tblBudget[Feed_oz],tblBudget[Month],"&lt;"&amp;$E290)+$IK290</f>
        <v/>
      </c>
      <c r="IM290" s="55">
        <f>SUMIFS(tblBudget[Recovered_oz],tblBudget[Month],$E290)</f>
        <v/>
      </c>
      <c r="IN290" s="55">
        <f>$IM290*$C290/$D290</f>
        <v/>
      </c>
      <c r="IO290" s="55">
        <f>SUMIFS(tblBudget[Recovered_oz],tblBudget[Month],"&lt;"&amp;$E290)+$IN290</f>
        <v/>
      </c>
      <c r="IP290" s="56">
        <f>IFERROR(IF(($IG290)&gt;0,($IJ290*cfg_TroyOz)/($IG290),""),"")</f>
        <v/>
      </c>
      <c r="IQ290" s="56">
        <f>IFERROR(IF(($IH290)&gt;0,($IK290*cfg_TroyOz)/($IH290),""),"")</f>
        <v/>
      </c>
      <c r="IR290" s="56">
        <f>IFERROR(IF(($II290)&gt;0,($IL290*cfg_TroyOz)/($II290),""),"")</f>
        <v/>
      </c>
      <c r="IS290" s="67">
        <f>IFERROR(IF(($IJ290)&gt;0,($IM290)/($IJ290),""),"")</f>
        <v/>
      </c>
      <c r="IT290" s="67">
        <f>IFERROR(IF(($IK290)&gt;0,($IN290)/($IK290),""),"")</f>
        <v/>
      </c>
      <c r="IU290" s="67">
        <f>IFERROR(IF(($IL290)&gt;0,($IO290)/($IL290),""),"")</f>
        <v/>
      </c>
      <c r="IV290" s="55">
        <f>SUMIFS(tblBudget[Gold_Poured_oz],tblBudget[Month],$E290)</f>
        <v/>
      </c>
      <c r="IW290" s="55">
        <f>$IV290*$C290/$D290</f>
        <v/>
      </c>
      <c r="IX290" s="55">
        <f>SUMIFS(tblBudget[Gold_Poured_oz],tblBudget[Month],"&lt;"&amp;$E290)+$IW290</f>
        <v/>
      </c>
      <c r="IY290" s="57">
        <f>SUMIFS(tblBudget[Hours_Worked],tblBudget[Month],$E290)</f>
        <v/>
      </c>
      <c r="IZ290" s="57">
        <f>$IY290*$C290/$D290</f>
        <v/>
      </c>
      <c r="JA290" s="57">
        <f>SUMIFS(tblBudget[Hours_Worked],tblBudget[Month],"&lt;"&amp;$E290)+$IZ290</f>
        <v/>
      </c>
    </row>
    <row r="291">
      <c r="A291" s="54" t="n">
        <v>46312</v>
      </c>
      <c r="B291">
        <f>MONTH($A291)</f>
        <v/>
      </c>
      <c r="C291">
        <f>DAY($A291)</f>
        <v/>
      </c>
      <c r="D291">
        <f>DAY(EOMONTH($A291,0))</f>
        <v/>
      </c>
      <c r="E291" s="54">
        <f>DATE(YEAR($A291),MONTH($A291),1)</f>
        <v/>
      </c>
      <c r="F291" s="55">
        <f>SUMIFS(tblMovement[Tonnes_t],tblMovement[Date],$A291,tblMovement[Is_Ore],1,tblMovement[Source_Type],"Pit")</f>
        <v/>
      </c>
      <c r="G291" s="55">
        <f>IF($B291=$B290,$G290,0)+$F291</f>
        <v/>
      </c>
      <c r="H291" s="55">
        <f>$H290+$F291</f>
        <v/>
      </c>
      <c r="I291" s="55">
        <f>SUMIFS(tblMovement[Ore_oz],tblMovement[Date],$A291,tblMovement[Source_Type],"Pit")</f>
        <v/>
      </c>
      <c r="J291" s="55">
        <f>IF($B291=$B290,$J290,0)+$I291</f>
        <v/>
      </c>
      <c r="K291" s="55">
        <f>$K290+$I291</f>
        <v/>
      </c>
      <c r="L291" s="56">
        <f>IFERROR(IF(($F291)&gt;0,($I291*cfg_TroyOz)/($F291),""),"")</f>
        <v/>
      </c>
      <c r="M291" s="56">
        <f>IFERROR(IF(($G291)&gt;0,($J291*cfg_TroyOz)/($G291),""),"")</f>
        <v/>
      </c>
      <c r="N291" s="56">
        <f>IFERROR(IF(($H291)&gt;0,($K291*cfg_TroyOz)/($H291),""),"")</f>
        <v/>
      </c>
      <c r="O291" s="55">
        <f>SUMIFS(tblMovement[Tonnes_t],tblMovement[Date],$A291,tblMovement[Is_Ore],0,tblMovement[Source_Type],"Pit")</f>
        <v/>
      </c>
      <c r="P291" s="55">
        <f>IF($B291=$B290,$P290,0)+$O291</f>
        <v/>
      </c>
      <c r="Q291" s="55">
        <f>$Q290+$O291</f>
        <v/>
      </c>
      <c r="R291" s="55">
        <f>$F291+$O291</f>
        <v/>
      </c>
      <c r="S291" s="55">
        <f>IF($B291=$B290,$S290,0)+$R291</f>
        <v/>
      </c>
      <c r="T291" s="55">
        <f>$T290+$R291</f>
        <v/>
      </c>
      <c r="U291" s="56">
        <f>IFERROR(IF(($F291)&gt;0,($O291)/($F291),""),"")</f>
        <v/>
      </c>
      <c r="V291" s="56">
        <f>IFERROR(IF(($G291)&gt;0,($P291)/($G291),""),"")</f>
        <v/>
      </c>
      <c r="W291" s="56">
        <f>IFERROR(IF(($H291)&gt;0,($Q291)/($H291),""),"")</f>
        <v/>
      </c>
      <c r="X291" s="55">
        <f>SUMIFS(tblMovement[Tonnes_t],tblMovement[Date],$A291,tblMovement[Source_Type],"Stockpile")</f>
        <v/>
      </c>
      <c r="Y291" s="55">
        <f>IF($B291=$B290,$Y290,0)+$X291</f>
        <v/>
      </c>
      <c r="Z291" s="55">
        <f>$Z290+$X291</f>
        <v/>
      </c>
      <c r="AA291" s="55">
        <f>SUMIFS(tblMiningDaily[Drill_m],tblMiningDaily[Date],$A291)</f>
        <v/>
      </c>
      <c r="AB291" s="55">
        <f>IF($B291=$B290,$AB290,0)+$AA291</f>
        <v/>
      </c>
      <c r="AC291" s="55">
        <f>$AC290+$AA291</f>
        <v/>
      </c>
      <c r="AD291" s="55">
        <f>SUMIFS(tblMiningDaily[Blast_t],tblMiningDaily[Date],$A291)</f>
        <v/>
      </c>
      <c r="AE291" s="55">
        <f>IF($B291=$B290,$AE290,0)+$AD291</f>
        <v/>
      </c>
      <c r="AF291" s="55">
        <f>$AF290+$AD291</f>
        <v/>
      </c>
      <c r="AG291" s="55">
        <f>SUMIFS(tblMiningDaily[Explosives_kg],tblMiningDaily[Date],$A291)</f>
        <v/>
      </c>
      <c r="AH291" s="55">
        <f>IF($B291=$B290,$AH290,0)+$AG291</f>
        <v/>
      </c>
      <c r="AI291" s="55">
        <f>$AI290+$AG291</f>
        <v/>
      </c>
      <c r="AJ291" s="56">
        <f>IFERROR(IF(($AD291)&gt;0,($AG291)/($AD291),""),"")</f>
        <v/>
      </c>
      <c r="AK291" s="56">
        <f>IFERROR(IF(($AE291)&gt;0,($AH291)/($AE291),""),"")</f>
        <v/>
      </c>
      <c r="AL291" s="56">
        <f>IFERROR(IF(($AF291)&gt;0,($AI291)/($AF291),""),"")</f>
        <v/>
      </c>
      <c r="AM291" s="55">
        <f>SUMIFS(tblMiningDaily[Diesel_L],tblMiningDaily[Date],$A291)</f>
        <v/>
      </c>
      <c r="AN291" s="55">
        <f>IF($B291=$B290,$AN290,0)+$AM291</f>
        <v/>
      </c>
      <c r="AO291" s="55">
        <f>$AO290+$AM291</f>
        <v/>
      </c>
      <c r="AP291" s="55">
        <f>SUMIFS(tblMiningDaily[Dewatering_m3],tblMiningDaily[Date],$A291)</f>
        <v/>
      </c>
      <c r="AQ291" s="55">
        <f>IF($B291=$B290,$AQ290,0)+$AP291</f>
        <v/>
      </c>
      <c r="AR291" s="55">
        <f>$AR290+$AP291</f>
        <v/>
      </c>
      <c r="AS291" s="57">
        <f>SUMIFS(tblFleet[Calendar_h],tblFleet[Date],$A291,tblFleet[Equipment_Class],"Excavator")</f>
        <v/>
      </c>
      <c r="AT291" s="57">
        <f>IF($B291=$B290,$AT290,0)+$AS291</f>
        <v/>
      </c>
      <c r="AU291" s="57">
        <f>$AU290+$AS291</f>
        <v/>
      </c>
      <c r="AV291" s="57">
        <f>SUMIFS(tblFleet[Available_h],tblFleet[Date],$A291,tblFleet[Equipment_Class],"Excavator")</f>
        <v/>
      </c>
      <c r="AW291" s="57">
        <f>IF($B291=$B290,$AW290,0)+$AV291</f>
        <v/>
      </c>
      <c r="AX291" s="57">
        <f>$AX290+$AV291</f>
        <v/>
      </c>
      <c r="AY291" s="57">
        <f>SUMIFS(tblFleet[Operating_h],tblFleet[Date],$A291,tblFleet[Equipment_Class],"Excavator")</f>
        <v/>
      </c>
      <c r="AZ291" s="57">
        <f>IF($B291=$B290,$AZ290,0)+$AY291</f>
        <v/>
      </c>
      <c r="BA291" s="57">
        <f>$BA290+$AY291</f>
        <v/>
      </c>
      <c r="BB291" s="67">
        <f>IFERROR(IF(($AS291)&gt;0,($AV291)/($AS291),""),"")</f>
        <v/>
      </c>
      <c r="BC291" s="67">
        <f>IFERROR(IF(($AT291)&gt;0,($AW291)/($AT291),""),"")</f>
        <v/>
      </c>
      <c r="BD291" s="67">
        <f>IFERROR(IF(($AU291)&gt;0,($AX291)/($AU291),""),"")</f>
        <v/>
      </c>
      <c r="BE291" s="67">
        <f>IFERROR(IF(($AV291)&gt;0,($AY291)/($AV291),""),"")</f>
        <v/>
      </c>
      <c r="BF291" s="67">
        <f>IFERROR(IF(($AW291)&gt;0,($AZ291)/($AW291),""),"")</f>
        <v/>
      </c>
      <c r="BG291" s="67">
        <f>IFERROR(IF(($AX291)&gt;0,($BA291)/($AX291),""),"")</f>
        <v/>
      </c>
      <c r="BH291" s="57">
        <f>SUMIFS(tblFleet[Calendar_h],tblFleet[Date],$A291,tblFleet[Equipment_Class],"Haul Truck")</f>
        <v/>
      </c>
      <c r="BI291" s="57">
        <f>IF($B291=$B290,$BI290,0)+$BH291</f>
        <v/>
      </c>
      <c r="BJ291" s="57">
        <f>$BJ290+$BH291</f>
        <v/>
      </c>
      <c r="BK291" s="57">
        <f>SUMIFS(tblFleet[Available_h],tblFleet[Date],$A291,tblFleet[Equipment_Class],"Haul Truck")</f>
        <v/>
      </c>
      <c r="BL291" s="57">
        <f>IF($B291=$B290,$BL290,0)+$BK291</f>
        <v/>
      </c>
      <c r="BM291" s="57">
        <f>$BM290+$BK291</f>
        <v/>
      </c>
      <c r="BN291" s="57">
        <f>SUMIFS(tblFleet[Operating_h],tblFleet[Date],$A291,tblFleet[Equipment_Class],"Haul Truck")</f>
        <v/>
      </c>
      <c r="BO291" s="57">
        <f>IF($B291=$B290,$BO290,0)+$BN291</f>
        <v/>
      </c>
      <c r="BP291" s="57">
        <f>$BP290+$BN291</f>
        <v/>
      </c>
      <c r="BQ291" s="67">
        <f>IFERROR(IF(($BH291)&gt;0,($BK291)/($BH291),""),"")</f>
        <v/>
      </c>
      <c r="BR291" s="67">
        <f>IFERROR(IF(($BI291)&gt;0,($BL291)/($BI291),""),"")</f>
        <v/>
      </c>
      <c r="BS291" s="67">
        <f>IFERROR(IF(($BJ291)&gt;0,($BM291)/($BJ291),""),"")</f>
        <v/>
      </c>
      <c r="BT291" s="67">
        <f>IFERROR(IF(($BK291)&gt;0,($BN291)/($BK291),""),"")</f>
        <v/>
      </c>
      <c r="BU291" s="67">
        <f>IFERROR(IF(($BL291)&gt;0,($BO291)/($BL291),""),"")</f>
        <v/>
      </c>
      <c r="BV291" s="67">
        <f>IFERROR(IF(($BM291)&gt;0,($BP291)/($BM291),""),"")</f>
        <v/>
      </c>
      <c r="BW291" s="55">
        <f>SUMIFS(tblPlant[Crushed_t],tblPlant[Date],$A291)</f>
        <v/>
      </c>
      <c r="BX291" s="55">
        <f>IF($B291=$B290,$BX290,0)+$BW291</f>
        <v/>
      </c>
      <c r="BY291" s="55">
        <f>$BY290+$BW291</f>
        <v/>
      </c>
      <c r="BZ291" s="55">
        <f>SUMIFS(tblPlant[Milled_t],tblPlant[Date],$A291)</f>
        <v/>
      </c>
      <c r="CA291" s="55">
        <f>IF($B291=$B290,$CA290,0)+$BZ291</f>
        <v/>
      </c>
      <c r="CB291" s="55">
        <f>$CB290+$BZ291</f>
        <v/>
      </c>
      <c r="CC291" s="55">
        <f>SUMIFS(tblPlant[Feed_oz],tblPlant[Date],$A291)</f>
        <v/>
      </c>
      <c r="CD291" s="55">
        <f>IF($B291=$B290,$CD290,0)+$CC291</f>
        <v/>
      </c>
      <c r="CE291" s="55">
        <f>$CE290+$CC291</f>
        <v/>
      </c>
      <c r="CF291" s="55">
        <f>SUMIFS(tblPlant[Tails_oz],tblPlant[Date],$A291)</f>
        <v/>
      </c>
      <c r="CG291" s="55">
        <f>IF($B291=$B290,$CG290,0)+$CF291</f>
        <v/>
      </c>
      <c r="CH291" s="55">
        <f>$CH290+$CF291</f>
        <v/>
      </c>
      <c r="CI291" s="55">
        <f>SUMIFS(tblPlant[Recovered_oz],tblPlant[Date],$A291)</f>
        <v/>
      </c>
      <c r="CJ291" s="55">
        <f>IF($B291=$B290,$CJ290,0)+$CI291</f>
        <v/>
      </c>
      <c r="CK291" s="55">
        <f>$CK290+$CI291</f>
        <v/>
      </c>
      <c r="CL291" s="56">
        <f>IFERROR(IF(($BZ291)&gt;0,($CC291*cfg_TroyOz)/($BZ291),""),"")</f>
        <v/>
      </c>
      <c r="CM291" s="56">
        <f>IFERROR(IF(($CA291)&gt;0,($CD291*cfg_TroyOz)/($CA291),""),"")</f>
        <v/>
      </c>
      <c r="CN291" s="56">
        <f>IFERROR(IF(($CB291)&gt;0,($CE291*cfg_TroyOz)/($CB291),""),"")</f>
        <v/>
      </c>
      <c r="CO291" s="56">
        <f>IFERROR(IF(($BZ291)&gt;0,($CF291*cfg_TroyOz)/($BZ291),""),"")</f>
        <v/>
      </c>
      <c r="CP291" s="56">
        <f>IFERROR(IF(($CA291)&gt;0,($CG291*cfg_TroyOz)/($CA291),""),"")</f>
        <v/>
      </c>
      <c r="CQ291" s="56">
        <f>IFERROR(IF(($CB291)&gt;0,($CH291*cfg_TroyOz)/($CB291),""),"")</f>
        <v/>
      </c>
      <c r="CR291" s="67">
        <f>IFERROR(IF(($CC291)&gt;0,($CI291)/($CC291),""),"")</f>
        <v/>
      </c>
      <c r="CS291" s="67">
        <f>IFERROR(IF(($CD291)&gt;0,($CJ291)/($CD291),""),"")</f>
        <v/>
      </c>
      <c r="CT291" s="67">
        <f>IFERROR(IF(($CE291)&gt;0,($CK291)/($CE291),""),"")</f>
        <v/>
      </c>
      <c r="CU291" s="55">
        <f>SUMIFS(tblPlant[Gravity_Gold_oz],tblPlant[Date],$A291)</f>
        <v/>
      </c>
      <c r="CV291" s="55">
        <f>IF($B291=$B290,$CV290,0)+$CU291</f>
        <v/>
      </c>
      <c r="CW291" s="55">
        <f>$CW290+$CU291</f>
        <v/>
      </c>
      <c r="CX291" s="55">
        <f>SUMIFS(tblPlant[Gold_Poured_oz],tblPlant[Date],$A291)</f>
        <v/>
      </c>
      <c r="CY291" s="55">
        <f>IF($B291=$B290,$CY290,0)+$CX291</f>
        <v/>
      </c>
      <c r="CZ291" s="55">
        <f>$CZ290+$CX291</f>
        <v/>
      </c>
      <c r="DA291" s="57">
        <f>SUMIFS(tblPlant[Mill_Run_h],tblPlant[Date],$A291)</f>
        <v/>
      </c>
      <c r="DB291" s="57">
        <f>IF($B291=$B290,$DB290,0)+$DA291</f>
        <v/>
      </c>
      <c r="DC291" s="57">
        <f>$DC290+$DA291</f>
        <v/>
      </c>
      <c r="DD291" s="57">
        <f>SUMIFS(tblPlant[Mill_Planned_Maint_h],tblPlant[Date],$A291)</f>
        <v/>
      </c>
      <c r="DE291" s="57">
        <f>IF($B291=$B290,$DE290,0)+$DD291</f>
        <v/>
      </c>
      <c r="DF291" s="57">
        <f>$DF290+$DD291</f>
        <v/>
      </c>
      <c r="DG291" s="57">
        <f>SUMIFS(tblPlant[Mill_Unplanned_Down_h],tblPlant[Date],$A291)</f>
        <v/>
      </c>
      <c r="DH291" s="57">
        <f>IF($B291=$B290,$DH290,0)+$DG291</f>
        <v/>
      </c>
      <c r="DI291" s="57">
        <f>$DI290+$DG291</f>
        <v/>
      </c>
      <c r="DJ291" s="57">
        <f>COUNTIFS(tblPlant[Date],$A291,tblPlant[Mill_Run_h],"&lt;&gt;")*24</f>
        <v/>
      </c>
      <c r="DK291" s="57">
        <f>IF($B291=$B290,$DK290,0)+$DJ291</f>
        <v/>
      </c>
      <c r="DL291" s="57">
        <f>$DL290+$DJ291</f>
        <v/>
      </c>
      <c r="DM291" s="57">
        <f>SUMIFS(tblPlant[Crusher_Run_h],tblPlant[Date],$A291)</f>
        <v/>
      </c>
      <c r="DN291" s="57">
        <f>IF($B291=$B290,$DN290,0)+$DM291</f>
        <v/>
      </c>
      <c r="DO291" s="57">
        <f>$DO290+$DM291</f>
        <v/>
      </c>
      <c r="DP291" s="55">
        <f>IFERROR(IF(($DA291)&gt;0,($BZ291)/($DA291),""),"")</f>
        <v/>
      </c>
      <c r="DQ291" s="55">
        <f>IFERROR(IF(($DB291)&gt;0,($CA291)/($DB291),""),"")</f>
        <v/>
      </c>
      <c r="DR291" s="55">
        <f>IFERROR(IF(($DC291)&gt;0,($CB291)/($DC291),""),"")</f>
        <v/>
      </c>
      <c r="DS291" s="67">
        <f>IFERROR(IF(($DJ291)&gt;0,($DJ291-$DD291-$DG291)/($DJ291),""),"")</f>
        <v/>
      </c>
      <c r="DT291" s="67">
        <f>IFERROR(IF(($DK291)&gt;0,($DK291-$DE291-$DH291)/($DK291),""),"")</f>
        <v/>
      </c>
      <c r="DU291" s="67">
        <f>IFERROR(IF(($DL291)&gt;0,($DL291-$DF291-$DI291)/($DL291),""),"")</f>
        <v/>
      </c>
      <c r="DV291" s="67">
        <f>IFERROR(IF(($DJ291-$DD291-$DG291)&gt;0,($DA291)/($DJ291-$DD291-$DG291),""),"")</f>
        <v/>
      </c>
      <c r="DW291" s="67">
        <f>IFERROR(IF(($DK291-$DE291-$DH291)&gt;0,($DB291)/($DK291-$DE291-$DH291),""),"")</f>
        <v/>
      </c>
      <c r="DX291" s="67">
        <f>IFERROR(IF(($DL291-$DF291-$DI291)&gt;0,($DC291)/($DL291-$DF291-$DI291),""),"")</f>
        <v/>
      </c>
      <c r="DY291" s="55">
        <f>SUMIFS(tblPlant[Cyanide_kg],tblPlant[Date],$A291)</f>
        <v/>
      </c>
      <c r="DZ291" s="55">
        <f>IF($B291=$B290,$DZ290,0)+$DY291</f>
        <v/>
      </c>
      <c r="EA291" s="55">
        <f>$EA290+$DY291</f>
        <v/>
      </c>
      <c r="EB291" s="55">
        <f>SUMIFS(tblPlant[Lime_kg],tblPlant[Date],$A291)</f>
        <v/>
      </c>
      <c r="EC291" s="55">
        <f>IF($B291=$B290,$EC290,0)+$EB291</f>
        <v/>
      </c>
      <c r="ED291" s="55">
        <f>$ED290+$EB291</f>
        <v/>
      </c>
      <c r="EE291" s="55">
        <f>SUMIFS(tblPlant[Grinding_Media_kg],tblPlant[Date],$A291)</f>
        <v/>
      </c>
      <c r="EF291" s="55">
        <f>IF($B291=$B290,$EF290,0)+$EE291</f>
        <v/>
      </c>
      <c r="EG291" s="55">
        <f>$EG290+$EE291</f>
        <v/>
      </c>
      <c r="EH291" s="55">
        <f>SUMIFS(tblPlant[Power_kWh],tblPlant[Date],$A291)</f>
        <v/>
      </c>
      <c r="EI291" s="55">
        <f>IF($B291=$B290,$EI290,0)+$EH291</f>
        <v/>
      </c>
      <c r="EJ291" s="55">
        <f>$EJ290+$EH291</f>
        <v/>
      </c>
      <c r="EK291" s="55">
        <f>SUMIFS(tblPlant[Raw_Water_m3],tblPlant[Date],$A291)</f>
        <v/>
      </c>
      <c r="EL291" s="55">
        <f>IF($B291=$B290,$EL290,0)+$EK291</f>
        <v/>
      </c>
      <c r="EM291" s="55">
        <f>$EM290+$EK291</f>
        <v/>
      </c>
      <c r="EN291" s="56">
        <f>IFERROR(IF(($BZ291)&gt;0,($DY291)/($BZ291),""),"")</f>
        <v/>
      </c>
      <c r="EO291" s="56">
        <f>IFERROR(IF(($CA291)&gt;0,($DZ291)/($CA291),""),"")</f>
        <v/>
      </c>
      <c r="EP291" s="56">
        <f>IFERROR(IF(($CB291)&gt;0,($EA291)/($CB291),""),"")</f>
        <v/>
      </c>
      <c r="EQ291" s="56">
        <f>IFERROR(IF(($BZ291)&gt;0,($EB291)/($BZ291),""),"")</f>
        <v/>
      </c>
      <c r="ER291" s="56">
        <f>IFERROR(IF(($CA291)&gt;0,($EC291)/($CA291),""),"")</f>
        <v/>
      </c>
      <c r="ES291" s="56">
        <f>IFERROR(IF(($CB291)&gt;0,($ED291)/($CB291),""),"")</f>
        <v/>
      </c>
      <c r="ET291" s="56">
        <f>IFERROR(IF(($BZ291)&gt;0,($EE291)/($BZ291),""),"")</f>
        <v/>
      </c>
      <c r="EU291" s="56">
        <f>IFERROR(IF(($CA291)&gt;0,($EF291)/($CA291),""),"")</f>
        <v/>
      </c>
      <c r="EV291" s="56">
        <f>IFERROR(IF(($CB291)&gt;0,($EG291)/($CB291),""),"")</f>
        <v/>
      </c>
      <c r="EW291" s="76">
        <f>IFERROR(IF(($BZ291)&gt;0,($EH291)/($BZ291),""),"")</f>
        <v/>
      </c>
      <c r="EX291" s="76">
        <f>IFERROR(IF(($CA291)&gt;0,($EI291)/($CA291),""),"")</f>
        <v/>
      </c>
      <c r="EY291" s="76">
        <f>IFERROR(IF(($CB291)&gt;0,($EJ291)/($CB291),""),"")</f>
        <v/>
      </c>
      <c r="EZ291" s="56">
        <f>IFERROR(IF(($BZ291)&gt;0,($EK291)/($BZ291),""),"")</f>
        <v/>
      </c>
      <c r="FA291" s="56">
        <f>IFERROR(IF(($CA291)&gt;0,($EL291)/($CA291),""),"")</f>
        <v/>
      </c>
      <c r="FB291" s="56">
        <f>IFERROR(IF(($CB291)&gt;0,($EM291)/($CB291),""),"")</f>
        <v/>
      </c>
      <c r="FC291" s="55">
        <f>IF(SUMIFS(tblPlant[GIC_oz],tblPlant[Date],$A291)&gt;0,SUMIFS(tblPlant[GIC_oz],tblPlant[Date],$A291),"")</f>
        <v/>
      </c>
      <c r="FD291" s="55">
        <f>SUMIFS(tblGold[Gold_oz],tblGold[Date],$A291,tblGold[Type],"Shipment")</f>
        <v/>
      </c>
      <c r="FE291" s="55">
        <f>IF($B291=$B290,$FE290,0)+$FD291</f>
        <v/>
      </c>
      <c r="FF291" s="55">
        <f>$FF290+$FD291</f>
        <v/>
      </c>
      <c r="FG291" s="55">
        <f>SUMIFS(tblGold[Gold_oz],tblGold[Date],$A291,tblGold[Type],"Sale")</f>
        <v/>
      </c>
      <c r="FH291" s="55">
        <f>IF($B291=$B290,$FH290,0)+$FG291</f>
        <v/>
      </c>
      <c r="FI291" s="55">
        <f>$FI290+$FG291</f>
        <v/>
      </c>
      <c r="FJ291" s="55">
        <f>SUMIFS(tblGold[Dore_kg],tblGold[Date],$A291,tblGold[Type],"Shipment")</f>
        <v/>
      </c>
      <c r="FK291" s="55">
        <f>IF($B291=$B290,$FK290,0)+$FJ291</f>
        <v/>
      </c>
      <c r="FL291" s="55">
        <f>$FL290+$FJ291</f>
        <v/>
      </c>
      <c r="FM291" s="57">
        <f>SUMIFS(tblSafety[Hours_Total],tblSafety[Date],$A291)</f>
        <v/>
      </c>
      <c r="FN291" s="57">
        <f>IF($B291=$B290,$FN290,0)+$FM291</f>
        <v/>
      </c>
      <c r="FO291" s="57">
        <f>$FO290+$FM291</f>
        <v/>
      </c>
      <c r="FP291" s="62">
        <f>SUMIFS(tblSafety[Fatality],tblSafety[Date],$A291)</f>
        <v/>
      </c>
      <c r="FQ291" s="62">
        <f>IF($B291=$B290,$FQ290,0)+$FP291</f>
        <v/>
      </c>
      <c r="FR291" s="62">
        <f>$FR290+$FP291</f>
        <v/>
      </c>
      <c r="FS291" s="62">
        <f>SUMIFS(tblSafety[LTI],tblSafety[Date],$A291)</f>
        <v/>
      </c>
      <c r="FT291" s="62">
        <f>IF($B291=$B290,$FT290,0)+$FS291</f>
        <v/>
      </c>
      <c r="FU291" s="62">
        <f>$FU290+$FS291</f>
        <v/>
      </c>
      <c r="FV291" s="62">
        <f>SUMIFS(tblSafety[RWI],tblSafety[Date],$A291)</f>
        <v/>
      </c>
      <c r="FW291" s="62">
        <f>IF($B291=$B290,$FW290,0)+$FV291</f>
        <v/>
      </c>
      <c r="FX291" s="62">
        <f>$FX290+$FV291</f>
        <v/>
      </c>
      <c r="FY291" s="62">
        <f>SUMIFS(tblSafety[MTI],tblSafety[Date],$A291)</f>
        <v/>
      </c>
      <c r="FZ291" s="62">
        <f>IF($B291=$B290,$FZ290,0)+$FY291</f>
        <v/>
      </c>
      <c r="GA291" s="62">
        <f>$GA290+$FY291</f>
        <v/>
      </c>
      <c r="GB291" s="62">
        <f>SUMIFS(tblSafety[FAI],tblSafety[Date],$A291)</f>
        <v/>
      </c>
      <c r="GC291" s="62">
        <f>IF($B291=$B290,$GC290,0)+$GB291</f>
        <v/>
      </c>
      <c r="GD291" s="62">
        <f>$GD290+$GB291</f>
        <v/>
      </c>
      <c r="GE291" s="62">
        <f>SUMIFS(tblSafety[Recordables],tblSafety[Date],$A291)</f>
        <v/>
      </c>
      <c r="GF291" s="62">
        <f>IF($B291=$B290,$GF290,0)+$GE291</f>
        <v/>
      </c>
      <c r="GG291" s="62">
        <f>$GG290+$GE291</f>
        <v/>
      </c>
      <c r="GH291" s="62">
        <f>SUMIFS(tblSafety[Near_Miss],tblSafety[Date],$A291)</f>
        <v/>
      </c>
      <c r="GI291" s="62">
        <f>IF($B291=$B290,$GI290,0)+$GH291</f>
        <v/>
      </c>
      <c r="GJ291" s="62">
        <f>$GJ290+$GH291</f>
        <v/>
      </c>
      <c r="GK291" s="62">
        <f>SUMIFS(tblSafety[Hazard_Reports],tblSafety[Date],$A291)</f>
        <v/>
      </c>
      <c r="GL291" s="62">
        <f>IF($B291=$B290,$GL290,0)+$GK291</f>
        <v/>
      </c>
      <c r="GM291" s="62">
        <f>$GM290+$GK291</f>
        <v/>
      </c>
      <c r="GN291" s="62">
        <f>SUMIFS(tblSafety[HPI],tblSafety[Date],$A291)</f>
        <v/>
      </c>
      <c r="GO291" s="62">
        <f>IF($B291=$B290,$GO290,0)+$GN291</f>
        <v/>
      </c>
      <c r="GP291" s="62">
        <f>$GP290+$GN291</f>
        <v/>
      </c>
      <c r="GQ291" s="62">
        <f>SUMIFS(tblSafety[Env_Incidents],tblSafety[Date],$A291)</f>
        <v/>
      </c>
      <c r="GR291" s="62">
        <f>IF($B291=$B290,$GR290,0)+$GQ291</f>
        <v/>
      </c>
      <c r="GS291" s="62">
        <f>$GS290+$GQ291</f>
        <v/>
      </c>
      <c r="GT291" s="62">
        <f>SUMIFS(tblSafety[Community_Incidents],tblSafety[Date],$A291)</f>
        <v/>
      </c>
      <c r="GU291" s="62">
        <f>IF($B291=$B290,$GU290,0)+$GT291</f>
        <v/>
      </c>
      <c r="GV291" s="62">
        <f>$GV290+$GT291</f>
        <v/>
      </c>
      <c r="GW291" s="62">
        <f>SUMIFS(tblSafety[Vehicle_Incidents],tblSafety[Date],$A291)</f>
        <v/>
      </c>
      <c r="GX291" s="62">
        <f>IF($B291=$B290,$GX290,0)+$GW291</f>
        <v/>
      </c>
      <c r="GY291" s="62">
        <f>$GY290+$GW291</f>
        <v/>
      </c>
      <c r="GZ291" s="62">
        <f>SUMIFS(tblSafety[Toolbox_Talks],tblSafety[Date],$A291)</f>
        <v/>
      </c>
      <c r="HA291" s="62">
        <f>IF($B291=$B290,$HA290,0)+$GZ291</f>
        <v/>
      </c>
      <c r="HB291" s="62">
        <f>$HB290+$GZ291</f>
        <v/>
      </c>
      <c r="HC291" s="62">
        <f>SUMIFS(tblSafety[Inspections],tblSafety[Date],$A291)</f>
        <v/>
      </c>
      <c r="HD291" s="62">
        <f>IF($B291=$B290,$HD290,0)+$HC291</f>
        <v/>
      </c>
      <c r="HE291" s="62">
        <f>$HE290+$HC291</f>
        <v/>
      </c>
      <c r="HF291" s="56">
        <f>IFERROR((SUMIFS(tblSafety[Recordables],tblSafety[Date],"&gt;="&amp;EDATE($E291,-12),tblSafety[Date],"&lt;="&amp;$A291)+SUMIFS(tblSafetyHistory[Recordables],tblSafetyHistory[Month],"&gt;="&amp;EDATE($E291,-12),tblSafetyHistory[Month],"&lt;"&amp;cfg_YearStart))/(SUMIFS(tblSafety[Hours_Total],tblSafety[Date],"&gt;="&amp;EDATE($E291,-12),tblSafety[Date],"&lt;="&amp;$A291)+SUMIFS(tblSafetyHistory[Hours_Total],tblSafetyHistory[Month],"&gt;="&amp;EDATE($E291,-12),tblSafetyHistory[Month],"&lt;"&amp;cfg_YearStart))*1000000,"")</f>
        <v/>
      </c>
      <c r="HG291" s="56">
        <f>IFERROR((SUMIFS(tblSafety[LTI],tblSafety[Date],"&gt;="&amp;EDATE($E291,-12),tblSafety[Date],"&lt;="&amp;$A291)+SUMIFS(tblSafetyHistory[LTI],tblSafetyHistory[Month],"&gt;="&amp;EDATE($E291,-12),tblSafetyHistory[Month],"&lt;"&amp;cfg_YearStart))/(SUMIFS(tblSafety[Hours_Total],tblSafety[Date],"&gt;="&amp;EDATE($E291,-12),tblSafety[Date],"&lt;="&amp;$A291)+SUMIFS(tblSafetyHistory[Hours_Total],tblSafetyHistory[Month],"&gt;="&amp;EDATE($E291,-12),tblSafetyHistory[Month],"&lt;"&amp;cfg_YearStart))*1000000,"")</f>
        <v/>
      </c>
      <c r="HH291" s="62">
        <f>IF(MAX(N(cfg_PriorLTIDate),_xlfn.MAXIFS(tblSafety[Date],tblSafety[LTI],"&gt;0",tblSafety[Date],"&lt;="&amp;$A291))=0,"",$A291-MAX(N(cfg_PriorLTIDate),_xlfn.MAXIFS(tblSafety[Date],tblSafety[LTI],"&gt;0",tblSafety[Date],"&lt;="&amp;$A291)))</f>
        <v/>
      </c>
      <c r="HI291" s="55">
        <f>SUMIFS(tblBudget[Ore_Mined_t],tblBudget[Month],$E291)</f>
        <v/>
      </c>
      <c r="HJ291" s="55">
        <f>$HI291*$C291/$D291</f>
        <v/>
      </c>
      <c r="HK291" s="55">
        <f>SUMIFS(tblBudget[Ore_Mined_t],tblBudget[Month],"&lt;"&amp;$E291)+$HJ291</f>
        <v/>
      </c>
      <c r="HL291" s="55">
        <f>SUMIFS(tblBudget[Ore_oz],tblBudget[Month],$E291)</f>
        <v/>
      </c>
      <c r="HM291" s="55">
        <f>$HL291*$C291/$D291</f>
        <v/>
      </c>
      <c r="HN291" s="55">
        <f>SUMIFS(tblBudget[Ore_oz],tblBudget[Month],"&lt;"&amp;$E291)+$HM291</f>
        <v/>
      </c>
      <c r="HO291" s="56">
        <f>IFERROR(IF(($HI291)&gt;0,($HL291*cfg_TroyOz)/($HI291),""),"")</f>
        <v/>
      </c>
      <c r="HP291" s="56">
        <f>IFERROR(IF(($HJ291)&gt;0,($HM291*cfg_TroyOz)/($HJ291),""),"")</f>
        <v/>
      </c>
      <c r="HQ291" s="56">
        <f>IFERROR(IF(($HK291)&gt;0,($HN291*cfg_TroyOz)/($HK291),""),"")</f>
        <v/>
      </c>
      <c r="HR291" s="55">
        <f>SUMIFS(tblBudget[Waste_t],tblBudget[Month],$E291)</f>
        <v/>
      </c>
      <c r="HS291" s="55">
        <f>$HR291*$C291/$D291</f>
        <v/>
      </c>
      <c r="HT291" s="55">
        <f>SUMIFS(tblBudget[Waste_t],tblBudget[Month],"&lt;"&amp;$E291)+$HS291</f>
        <v/>
      </c>
      <c r="HU291" s="55">
        <f>SUMIFS(tblBudget[TMM_t],tblBudget[Month],$E291)</f>
        <v/>
      </c>
      <c r="HV291" s="55">
        <f>$HU291*$C291/$D291</f>
        <v/>
      </c>
      <c r="HW291" s="55">
        <f>SUMIFS(tblBudget[TMM_t],tblBudget[Month],"&lt;"&amp;$E291)+$HV291</f>
        <v/>
      </c>
      <c r="HX291" s="56">
        <f>IFERROR(IF(($HI291)&gt;0,($HR291)/($HI291),""),"")</f>
        <v/>
      </c>
      <c r="HY291" s="56">
        <f>IFERROR(IF(($HJ291)&gt;0,($HS291)/($HJ291),""),"")</f>
        <v/>
      </c>
      <c r="HZ291" s="56">
        <f>IFERROR(IF(($HK291)&gt;0,($HT291)/($HK291),""),"")</f>
        <v/>
      </c>
      <c r="IA291" s="55">
        <f>SUMIFS(tblBudget[Drill_m],tblBudget[Month],$E291)</f>
        <v/>
      </c>
      <c r="IB291" s="55">
        <f>$IA291*$C291/$D291</f>
        <v/>
      </c>
      <c r="IC291" s="55">
        <f>SUMIFS(tblBudget[Drill_m],tblBudget[Month],"&lt;"&amp;$E291)+$IB291</f>
        <v/>
      </c>
      <c r="ID291" s="55">
        <f>SUMIFS(tblBudget[Diesel_L],tblBudget[Month],$E291)</f>
        <v/>
      </c>
      <c r="IE291" s="55">
        <f>$ID291*$C291/$D291</f>
        <v/>
      </c>
      <c r="IF291" s="55">
        <f>SUMIFS(tblBudget[Diesel_L],tblBudget[Month],"&lt;"&amp;$E291)+$IE291</f>
        <v/>
      </c>
      <c r="IG291" s="55">
        <f>SUMIFS(tblBudget[Milled_t],tblBudget[Month],$E291)</f>
        <v/>
      </c>
      <c r="IH291" s="55">
        <f>$IG291*$C291/$D291</f>
        <v/>
      </c>
      <c r="II291" s="55">
        <f>SUMIFS(tblBudget[Milled_t],tblBudget[Month],"&lt;"&amp;$E291)+$IH291</f>
        <v/>
      </c>
      <c r="IJ291" s="55">
        <f>SUMIFS(tblBudget[Feed_oz],tblBudget[Month],$E291)</f>
        <v/>
      </c>
      <c r="IK291" s="55">
        <f>$IJ291*$C291/$D291</f>
        <v/>
      </c>
      <c r="IL291" s="55">
        <f>SUMIFS(tblBudget[Feed_oz],tblBudget[Month],"&lt;"&amp;$E291)+$IK291</f>
        <v/>
      </c>
      <c r="IM291" s="55">
        <f>SUMIFS(tblBudget[Recovered_oz],tblBudget[Month],$E291)</f>
        <v/>
      </c>
      <c r="IN291" s="55">
        <f>$IM291*$C291/$D291</f>
        <v/>
      </c>
      <c r="IO291" s="55">
        <f>SUMIFS(tblBudget[Recovered_oz],tblBudget[Month],"&lt;"&amp;$E291)+$IN291</f>
        <v/>
      </c>
      <c r="IP291" s="56">
        <f>IFERROR(IF(($IG291)&gt;0,($IJ291*cfg_TroyOz)/($IG291),""),"")</f>
        <v/>
      </c>
      <c r="IQ291" s="56">
        <f>IFERROR(IF(($IH291)&gt;0,($IK291*cfg_TroyOz)/($IH291),""),"")</f>
        <v/>
      </c>
      <c r="IR291" s="56">
        <f>IFERROR(IF(($II291)&gt;0,($IL291*cfg_TroyOz)/($II291),""),"")</f>
        <v/>
      </c>
      <c r="IS291" s="67">
        <f>IFERROR(IF(($IJ291)&gt;0,($IM291)/($IJ291),""),"")</f>
        <v/>
      </c>
      <c r="IT291" s="67">
        <f>IFERROR(IF(($IK291)&gt;0,($IN291)/($IK291),""),"")</f>
        <v/>
      </c>
      <c r="IU291" s="67">
        <f>IFERROR(IF(($IL291)&gt;0,($IO291)/($IL291),""),"")</f>
        <v/>
      </c>
      <c r="IV291" s="55">
        <f>SUMIFS(tblBudget[Gold_Poured_oz],tblBudget[Month],$E291)</f>
        <v/>
      </c>
      <c r="IW291" s="55">
        <f>$IV291*$C291/$D291</f>
        <v/>
      </c>
      <c r="IX291" s="55">
        <f>SUMIFS(tblBudget[Gold_Poured_oz],tblBudget[Month],"&lt;"&amp;$E291)+$IW291</f>
        <v/>
      </c>
      <c r="IY291" s="57">
        <f>SUMIFS(tblBudget[Hours_Worked],tblBudget[Month],$E291)</f>
        <v/>
      </c>
      <c r="IZ291" s="57">
        <f>$IY291*$C291/$D291</f>
        <v/>
      </c>
      <c r="JA291" s="57">
        <f>SUMIFS(tblBudget[Hours_Worked],tblBudget[Month],"&lt;"&amp;$E291)+$IZ291</f>
        <v/>
      </c>
    </row>
    <row r="292">
      <c r="A292" s="54" t="n">
        <v>46313</v>
      </c>
      <c r="B292">
        <f>MONTH($A292)</f>
        <v/>
      </c>
      <c r="C292">
        <f>DAY($A292)</f>
        <v/>
      </c>
      <c r="D292">
        <f>DAY(EOMONTH($A292,0))</f>
        <v/>
      </c>
      <c r="E292" s="54">
        <f>DATE(YEAR($A292),MONTH($A292),1)</f>
        <v/>
      </c>
      <c r="F292" s="55">
        <f>SUMIFS(tblMovement[Tonnes_t],tblMovement[Date],$A292,tblMovement[Is_Ore],1,tblMovement[Source_Type],"Pit")</f>
        <v/>
      </c>
      <c r="G292" s="55">
        <f>IF($B292=$B291,$G291,0)+$F292</f>
        <v/>
      </c>
      <c r="H292" s="55">
        <f>$H291+$F292</f>
        <v/>
      </c>
      <c r="I292" s="55">
        <f>SUMIFS(tblMovement[Ore_oz],tblMovement[Date],$A292,tblMovement[Source_Type],"Pit")</f>
        <v/>
      </c>
      <c r="J292" s="55">
        <f>IF($B292=$B291,$J291,0)+$I292</f>
        <v/>
      </c>
      <c r="K292" s="55">
        <f>$K291+$I292</f>
        <v/>
      </c>
      <c r="L292" s="56">
        <f>IFERROR(IF(($F292)&gt;0,($I292*cfg_TroyOz)/($F292),""),"")</f>
        <v/>
      </c>
      <c r="M292" s="56">
        <f>IFERROR(IF(($G292)&gt;0,($J292*cfg_TroyOz)/($G292),""),"")</f>
        <v/>
      </c>
      <c r="N292" s="56">
        <f>IFERROR(IF(($H292)&gt;0,($K292*cfg_TroyOz)/($H292),""),"")</f>
        <v/>
      </c>
      <c r="O292" s="55">
        <f>SUMIFS(tblMovement[Tonnes_t],tblMovement[Date],$A292,tblMovement[Is_Ore],0,tblMovement[Source_Type],"Pit")</f>
        <v/>
      </c>
      <c r="P292" s="55">
        <f>IF($B292=$B291,$P291,0)+$O292</f>
        <v/>
      </c>
      <c r="Q292" s="55">
        <f>$Q291+$O292</f>
        <v/>
      </c>
      <c r="R292" s="55">
        <f>$F292+$O292</f>
        <v/>
      </c>
      <c r="S292" s="55">
        <f>IF($B292=$B291,$S291,0)+$R292</f>
        <v/>
      </c>
      <c r="T292" s="55">
        <f>$T291+$R292</f>
        <v/>
      </c>
      <c r="U292" s="56">
        <f>IFERROR(IF(($F292)&gt;0,($O292)/($F292),""),"")</f>
        <v/>
      </c>
      <c r="V292" s="56">
        <f>IFERROR(IF(($G292)&gt;0,($P292)/($G292),""),"")</f>
        <v/>
      </c>
      <c r="W292" s="56">
        <f>IFERROR(IF(($H292)&gt;0,($Q292)/($H292),""),"")</f>
        <v/>
      </c>
      <c r="X292" s="55">
        <f>SUMIFS(tblMovement[Tonnes_t],tblMovement[Date],$A292,tblMovement[Source_Type],"Stockpile")</f>
        <v/>
      </c>
      <c r="Y292" s="55">
        <f>IF($B292=$B291,$Y291,0)+$X292</f>
        <v/>
      </c>
      <c r="Z292" s="55">
        <f>$Z291+$X292</f>
        <v/>
      </c>
      <c r="AA292" s="55">
        <f>SUMIFS(tblMiningDaily[Drill_m],tblMiningDaily[Date],$A292)</f>
        <v/>
      </c>
      <c r="AB292" s="55">
        <f>IF($B292=$B291,$AB291,0)+$AA292</f>
        <v/>
      </c>
      <c r="AC292" s="55">
        <f>$AC291+$AA292</f>
        <v/>
      </c>
      <c r="AD292" s="55">
        <f>SUMIFS(tblMiningDaily[Blast_t],tblMiningDaily[Date],$A292)</f>
        <v/>
      </c>
      <c r="AE292" s="55">
        <f>IF($B292=$B291,$AE291,0)+$AD292</f>
        <v/>
      </c>
      <c r="AF292" s="55">
        <f>$AF291+$AD292</f>
        <v/>
      </c>
      <c r="AG292" s="55">
        <f>SUMIFS(tblMiningDaily[Explosives_kg],tblMiningDaily[Date],$A292)</f>
        <v/>
      </c>
      <c r="AH292" s="55">
        <f>IF($B292=$B291,$AH291,0)+$AG292</f>
        <v/>
      </c>
      <c r="AI292" s="55">
        <f>$AI291+$AG292</f>
        <v/>
      </c>
      <c r="AJ292" s="56">
        <f>IFERROR(IF(($AD292)&gt;0,($AG292)/($AD292),""),"")</f>
        <v/>
      </c>
      <c r="AK292" s="56">
        <f>IFERROR(IF(($AE292)&gt;0,($AH292)/($AE292),""),"")</f>
        <v/>
      </c>
      <c r="AL292" s="56">
        <f>IFERROR(IF(($AF292)&gt;0,($AI292)/($AF292),""),"")</f>
        <v/>
      </c>
      <c r="AM292" s="55">
        <f>SUMIFS(tblMiningDaily[Diesel_L],tblMiningDaily[Date],$A292)</f>
        <v/>
      </c>
      <c r="AN292" s="55">
        <f>IF($B292=$B291,$AN291,0)+$AM292</f>
        <v/>
      </c>
      <c r="AO292" s="55">
        <f>$AO291+$AM292</f>
        <v/>
      </c>
      <c r="AP292" s="55">
        <f>SUMIFS(tblMiningDaily[Dewatering_m3],tblMiningDaily[Date],$A292)</f>
        <v/>
      </c>
      <c r="AQ292" s="55">
        <f>IF($B292=$B291,$AQ291,0)+$AP292</f>
        <v/>
      </c>
      <c r="AR292" s="55">
        <f>$AR291+$AP292</f>
        <v/>
      </c>
      <c r="AS292" s="57">
        <f>SUMIFS(tblFleet[Calendar_h],tblFleet[Date],$A292,tblFleet[Equipment_Class],"Excavator")</f>
        <v/>
      </c>
      <c r="AT292" s="57">
        <f>IF($B292=$B291,$AT291,0)+$AS292</f>
        <v/>
      </c>
      <c r="AU292" s="57">
        <f>$AU291+$AS292</f>
        <v/>
      </c>
      <c r="AV292" s="57">
        <f>SUMIFS(tblFleet[Available_h],tblFleet[Date],$A292,tblFleet[Equipment_Class],"Excavator")</f>
        <v/>
      </c>
      <c r="AW292" s="57">
        <f>IF($B292=$B291,$AW291,0)+$AV292</f>
        <v/>
      </c>
      <c r="AX292" s="57">
        <f>$AX291+$AV292</f>
        <v/>
      </c>
      <c r="AY292" s="57">
        <f>SUMIFS(tblFleet[Operating_h],tblFleet[Date],$A292,tblFleet[Equipment_Class],"Excavator")</f>
        <v/>
      </c>
      <c r="AZ292" s="57">
        <f>IF($B292=$B291,$AZ291,0)+$AY292</f>
        <v/>
      </c>
      <c r="BA292" s="57">
        <f>$BA291+$AY292</f>
        <v/>
      </c>
      <c r="BB292" s="67">
        <f>IFERROR(IF(($AS292)&gt;0,($AV292)/($AS292),""),"")</f>
        <v/>
      </c>
      <c r="BC292" s="67">
        <f>IFERROR(IF(($AT292)&gt;0,($AW292)/($AT292),""),"")</f>
        <v/>
      </c>
      <c r="BD292" s="67">
        <f>IFERROR(IF(($AU292)&gt;0,($AX292)/($AU292),""),"")</f>
        <v/>
      </c>
      <c r="BE292" s="67">
        <f>IFERROR(IF(($AV292)&gt;0,($AY292)/($AV292),""),"")</f>
        <v/>
      </c>
      <c r="BF292" s="67">
        <f>IFERROR(IF(($AW292)&gt;0,($AZ292)/($AW292),""),"")</f>
        <v/>
      </c>
      <c r="BG292" s="67">
        <f>IFERROR(IF(($AX292)&gt;0,($BA292)/($AX292),""),"")</f>
        <v/>
      </c>
      <c r="BH292" s="57">
        <f>SUMIFS(tblFleet[Calendar_h],tblFleet[Date],$A292,tblFleet[Equipment_Class],"Haul Truck")</f>
        <v/>
      </c>
      <c r="BI292" s="57">
        <f>IF($B292=$B291,$BI291,0)+$BH292</f>
        <v/>
      </c>
      <c r="BJ292" s="57">
        <f>$BJ291+$BH292</f>
        <v/>
      </c>
      <c r="BK292" s="57">
        <f>SUMIFS(tblFleet[Available_h],tblFleet[Date],$A292,tblFleet[Equipment_Class],"Haul Truck")</f>
        <v/>
      </c>
      <c r="BL292" s="57">
        <f>IF($B292=$B291,$BL291,0)+$BK292</f>
        <v/>
      </c>
      <c r="BM292" s="57">
        <f>$BM291+$BK292</f>
        <v/>
      </c>
      <c r="BN292" s="57">
        <f>SUMIFS(tblFleet[Operating_h],tblFleet[Date],$A292,tblFleet[Equipment_Class],"Haul Truck")</f>
        <v/>
      </c>
      <c r="BO292" s="57">
        <f>IF($B292=$B291,$BO291,0)+$BN292</f>
        <v/>
      </c>
      <c r="BP292" s="57">
        <f>$BP291+$BN292</f>
        <v/>
      </c>
      <c r="BQ292" s="67">
        <f>IFERROR(IF(($BH292)&gt;0,($BK292)/($BH292),""),"")</f>
        <v/>
      </c>
      <c r="BR292" s="67">
        <f>IFERROR(IF(($BI292)&gt;0,($BL292)/($BI292),""),"")</f>
        <v/>
      </c>
      <c r="BS292" s="67">
        <f>IFERROR(IF(($BJ292)&gt;0,($BM292)/($BJ292),""),"")</f>
        <v/>
      </c>
      <c r="BT292" s="67">
        <f>IFERROR(IF(($BK292)&gt;0,($BN292)/($BK292),""),"")</f>
        <v/>
      </c>
      <c r="BU292" s="67">
        <f>IFERROR(IF(($BL292)&gt;0,($BO292)/($BL292),""),"")</f>
        <v/>
      </c>
      <c r="BV292" s="67">
        <f>IFERROR(IF(($BM292)&gt;0,($BP292)/($BM292),""),"")</f>
        <v/>
      </c>
      <c r="BW292" s="55">
        <f>SUMIFS(tblPlant[Crushed_t],tblPlant[Date],$A292)</f>
        <v/>
      </c>
      <c r="BX292" s="55">
        <f>IF($B292=$B291,$BX291,0)+$BW292</f>
        <v/>
      </c>
      <c r="BY292" s="55">
        <f>$BY291+$BW292</f>
        <v/>
      </c>
      <c r="BZ292" s="55">
        <f>SUMIFS(tblPlant[Milled_t],tblPlant[Date],$A292)</f>
        <v/>
      </c>
      <c r="CA292" s="55">
        <f>IF($B292=$B291,$CA291,0)+$BZ292</f>
        <v/>
      </c>
      <c r="CB292" s="55">
        <f>$CB291+$BZ292</f>
        <v/>
      </c>
      <c r="CC292" s="55">
        <f>SUMIFS(tblPlant[Feed_oz],tblPlant[Date],$A292)</f>
        <v/>
      </c>
      <c r="CD292" s="55">
        <f>IF($B292=$B291,$CD291,0)+$CC292</f>
        <v/>
      </c>
      <c r="CE292" s="55">
        <f>$CE291+$CC292</f>
        <v/>
      </c>
      <c r="CF292" s="55">
        <f>SUMIFS(tblPlant[Tails_oz],tblPlant[Date],$A292)</f>
        <v/>
      </c>
      <c r="CG292" s="55">
        <f>IF($B292=$B291,$CG291,0)+$CF292</f>
        <v/>
      </c>
      <c r="CH292" s="55">
        <f>$CH291+$CF292</f>
        <v/>
      </c>
      <c r="CI292" s="55">
        <f>SUMIFS(tblPlant[Recovered_oz],tblPlant[Date],$A292)</f>
        <v/>
      </c>
      <c r="CJ292" s="55">
        <f>IF($B292=$B291,$CJ291,0)+$CI292</f>
        <v/>
      </c>
      <c r="CK292" s="55">
        <f>$CK291+$CI292</f>
        <v/>
      </c>
      <c r="CL292" s="56">
        <f>IFERROR(IF(($BZ292)&gt;0,($CC292*cfg_TroyOz)/($BZ292),""),"")</f>
        <v/>
      </c>
      <c r="CM292" s="56">
        <f>IFERROR(IF(($CA292)&gt;0,($CD292*cfg_TroyOz)/($CA292),""),"")</f>
        <v/>
      </c>
      <c r="CN292" s="56">
        <f>IFERROR(IF(($CB292)&gt;0,($CE292*cfg_TroyOz)/($CB292),""),"")</f>
        <v/>
      </c>
      <c r="CO292" s="56">
        <f>IFERROR(IF(($BZ292)&gt;0,($CF292*cfg_TroyOz)/($BZ292),""),"")</f>
        <v/>
      </c>
      <c r="CP292" s="56">
        <f>IFERROR(IF(($CA292)&gt;0,($CG292*cfg_TroyOz)/($CA292),""),"")</f>
        <v/>
      </c>
      <c r="CQ292" s="56">
        <f>IFERROR(IF(($CB292)&gt;0,($CH292*cfg_TroyOz)/($CB292),""),"")</f>
        <v/>
      </c>
      <c r="CR292" s="67">
        <f>IFERROR(IF(($CC292)&gt;0,($CI292)/($CC292),""),"")</f>
        <v/>
      </c>
      <c r="CS292" s="67">
        <f>IFERROR(IF(($CD292)&gt;0,($CJ292)/($CD292),""),"")</f>
        <v/>
      </c>
      <c r="CT292" s="67">
        <f>IFERROR(IF(($CE292)&gt;0,($CK292)/($CE292),""),"")</f>
        <v/>
      </c>
      <c r="CU292" s="55">
        <f>SUMIFS(tblPlant[Gravity_Gold_oz],tblPlant[Date],$A292)</f>
        <v/>
      </c>
      <c r="CV292" s="55">
        <f>IF($B292=$B291,$CV291,0)+$CU292</f>
        <v/>
      </c>
      <c r="CW292" s="55">
        <f>$CW291+$CU292</f>
        <v/>
      </c>
      <c r="CX292" s="55">
        <f>SUMIFS(tblPlant[Gold_Poured_oz],tblPlant[Date],$A292)</f>
        <v/>
      </c>
      <c r="CY292" s="55">
        <f>IF($B292=$B291,$CY291,0)+$CX292</f>
        <v/>
      </c>
      <c r="CZ292" s="55">
        <f>$CZ291+$CX292</f>
        <v/>
      </c>
      <c r="DA292" s="57">
        <f>SUMIFS(tblPlant[Mill_Run_h],tblPlant[Date],$A292)</f>
        <v/>
      </c>
      <c r="DB292" s="57">
        <f>IF($B292=$B291,$DB291,0)+$DA292</f>
        <v/>
      </c>
      <c r="DC292" s="57">
        <f>$DC291+$DA292</f>
        <v/>
      </c>
      <c r="DD292" s="57">
        <f>SUMIFS(tblPlant[Mill_Planned_Maint_h],tblPlant[Date],$A292)</f>
        <v/>
      </c>
      <c r="DE292" s="57">
        <f>IF($B292=$B291,$DE291,0)+$DD292</f>
        <v/>
      </c>
      <c r="DF292" s="57">
        <f>$DF291+$DD292</f>
        <v/>
      </c>
      <c r="DG292" s="57">
        <f>SUMIFS(tblPlant[Mill_Unplanned_Down_h],tblPlant[Date],$A292)</f>
        <v/>
      </c>
      <c r="DH292" s="57">
        <f>IF($B292=$B291,$DH291,0)+$DG292</f>
        <v/>
      </c>
      <c r="DI292" s="57">
        <f>$DI291+$DG292</f>
        <v/>
      </c>
      <c r="DJ292" s="57">
        <f>COUNTIFS(tblPlant[Date],$A292,tblPlant[Mill_Run_h],"&lt;&gt;")*24</f>
        <v/>
      </c>
      <c r="DK292" s="57">
        <f>IF($B292=$B291,$DK291,0)+$DJ292</f>
        <v/>
      </c>
      <c r="DL292" s="57">
        <f>$DL291+$DJ292</f>
        <v/>
      </c>
      <c r="DM292" s="57">
        <f>SUMIFS(tblPlant[Crusher_Run_h],tblPlant[Date],$A292)</f>
        <v/>
      </c>
      <c r="DN292" s="57">
        <f>IF($B292=$B291,$DN291,0)+$DM292</f>
        <v/>
      </c>
      <c r="DO292" s="57">
        <f>$DO291+$DM292</f>
        <v/>
      </c>
      <c r="DP292" s="55">
        <f>IFERROR(IF(($DA292)&gt;0,($BZ292)/($DA292),""),"")</f>
        <v/>
      </c>
      <c r="DQ292" s="55">
        <f>IFERROR(IF(($DB292)&gt;0,($CA292)/($DB292),""),"")</f>
        <v/>
      </c>
      <c r="DR292" s="55">
        <f>IFERROR(IF(($DC292)&gt;0,($CB292)/($DC292),""),"")</f>
        <v/>
      </c>
      <c r="DS292" s="67">
        <f>IFERROR(IF(($DJ292)&gt;0,($DJ292-$DD292-$DG292)/($DJ292),""),"")</f>
        <v/>
      </c>
      <c r="DT292" s="67">
        <f>IFERROR(IF(($DK292)&gt;0,($DK292-$DE292-$DH292)/($DK292),""),"")</f>
        <v/>
      </c>
      <c r="DU292" s="67">
        <f>IFERROR(IF(($DL292)&gt;0,($DL292-$DF292-$DI292)/($DL292),""),"")</f>
        <v/>
      </c>
      <c r="DV292" s="67">
        <f>IFERROR(IF(($DJ292-$DD292-$DG292)&gt;0,($DA292)/($DJ292-$DD292-$DG292),""),"")</f>
        <v/>
      </c>
      <c r="DW292" s="67">
        <f>IFERROR(IF(($DK292-$DE292-$DH292)&gt;0,($DB292)/($DK292-$DE292-$DH292),""),"")</f>
        <v/>
      </c>
      <c r="DX292" s="67">
        <f>IFERROR(IF(($DL292-$DF292-$DI292)&gt;0,($DC292)/($DL292-$DF292-$DI292),""),"")</f>
        <v/>
      </c>
      <c r="DY292" s="55">
        <f>SUMIFS(tblPlant[Cyanide_kg],tblPlant[Date],$A292)</f>
        <v/>
      </c>
      <c r="DZ292" s="55">
        <f>IF($B292=$B291,$DZ291,0)+$DY292</f>
        <v/>
      </c>
      <c r="EA292" s="55">
        <f>$EA291+$DY292</f>
        <v/>
      </c>
      <c r="EB292" s="55">
        <f>SUMIFS(tblPlant[Lime_kg],tblPlant[Date],$A292)</f>
        <v/>
      </c>
      <c r="EC292" s="55">
        <f>IF($B292=$B291,$EC291,0)+$EB292</f>
        <v/>
      </c>
      <c r="ED292" s="55">
        <f>$ED291+$EB292</f>
        <v/>
      </c>
      <c r="EE292" s="55">
        <f>SUMIFS(tblPlant[Grinding_Media_kg],tblPlant[Date],$A292)</f>
        <v/>
      </c>
      <c r="EF292" s="55">
        <f>IF($B292=$B291,$EF291,0)+$EE292</f>
        <v/>
      </c>
      <c r="EG292" s="55">
        <f>$EG291+$EE292</f>
        <v/>
      </c>
      <c r="EH292" s="55">
        <f>SUMIFS(tblPlant[Power_kWh],tblPlant[Date],$A292)</f>
        <v/>
      </c>
      <c r="EI292" s="55">
        <f>IF($B292=$B291,$EI291,0)+$EH292</f>
        <v/>
      </c>
      <c r="EJ292" s="55">
        <f>$EJ291+$EH292</f>
        <v/>
      </c>
      <c r="EK292" s="55">
        <f>SUMIFS(tblPlant[Raw_Water_m3],tblPlant[Date],$A292)</f>
        <v/>
      </c>
      <c r="EL292" s="55">
        <f>IF($B292=$B291,$EL291,0)+$EK292</f>
        <v/>
      </c>
      <c r="EM292" s="55">
        <f>$EM291+$EK292</f>
        <v/>
      </c>
      <c r="EN292" s="56">
        <f>IFERROR(IF(($BZ292)&gt;0,($DY292)/($BZ292),""),"")</f>
        <v/>
      </c>
      <c r="EO292" s="56">
        <f>IFERROR(IF(($CA292)&gt;0,($DZ292)/($CA292),""),"")</f>
        <v/>
      </c>
      <c r="EP292" s="56">
        <f>IFERROR(IF(($CB292)&gt;0,($EA292)/($CB292),""),"")</f>
        <v/>
      </c>
      <c r="EQ292" s="56">
        <f>IFERROR(IF(($BZ292)&gt;0,($EB292)/($BZ292),""),"")</f>
        <v/>
      </c>
      <c r="ER292" s="56">
        <f>IFERROR(IF(($CA292)&gt;0,($EC292)/($CA292),""),"")</f>
        <v/>
      </c>
      <c r="ES292" s="56">
        <f>IFERROR(IF(($CB292)&gt;0,($ED292)/($CB292),""),"")</f>
        <v/>
      </c>
      <c r="ET292" s="56">
        <f>IFERROR(IF(($BZ292)&gt;0,($EE292)/($BZ292),""),"")</f>
        <v/>
      </c>
      <c r="EU292" s="56">
        <f>IFERROR(IF(($CA292)&gt;0,($EF292)/($CA292),""),"")</f>
        <v/>
      </c>
      <c r="EV292" s="56">
        <f>IFERROR(IF(($CB292)&gt;0,($EG292)/($CB292),""),"")</f>
        <v/>
      </c>
      <c r="EW292" s="76">
        <f>IFERROR(IF(($BZ292)&gt;0,($EH292)/($BZ292),""),"")</f>
        <v/>
      </c>
      <c r="EX292" s="76">
        <f>IFERROR(IF(($CA292)&gt;0,($EI292)/($CA292),""),"")</f>
        <v/>
      </c>
      <c r="EY292" s="76">
        <f>IFERROR(IF(($CB292)&gt;0,($EJ292)/($CB292),""),"")</f>
        <v/>
      </c>
      <c r="EZ292" s="56">
        <f>IFERROR(IF(($BZ292)&gt;0,($EK292)/($BZ292),""),"")</f>
        <v/>
      </c>
      <c r="FA292" s="56">
        <f>IFERROR(IF(($CA292)&gt;0,($EL292)/($CA292),""),"")</f>
        <v/>
      </c>
      <c r="FB292" s="56">
        <f>IFERROR(IF(($CB292)&gt;0,($EM292)/($CB292),""),"")</f>
        <v/>
      </c>
      <c r="FC292" s="55">
        <f>IF(SUMIFS(tblPlant[GIC_oz],tblPlant[Date],$A292)&gt;0,SUMIFS(tblPlant[GIC_oz],tblPlant[Date],$A292),"")</f>
        <v/>
      </c>
      <c r="FD292" s="55">
        <f>SUMIFS(tblGold[Gold_oz],tblGold[Date],$A292,tblGold[Type],"Shipment")</f>
        <v/>
      </c>
      <c r="FE292" s="55">
        <f>IF($B292=$B291,$FE291,0)+$FD292</f>
        <v/>
      </c>
      <c r="FF292" s="55">
        <f>$FF291+$FD292</f>
        <v/>
      </c>
      <c r="FG292" s="55">
        <f>SUMIFS(tblGold[Gold_oz],tblGold[Date],$A292,tblGold[Type],"Sale")</f>
        <v/>
      </c>
      <c r="FH292" s="55">
        <f>IF($B292=$B291,$FH291,0)+$FG292</f>
        <v/>
      </c>
      <c r="FI292" s="55">
        <f>$FI291+$FG292</f>
        <v/>
      </c>
      <c r="FJ292" s="55">
        <f>SUMIFS(tblGold[Dore_kg],tblGold[Date],$A292,tblGold[Type],"Shipment")</f>
        <v/>
      </c>
      <c r="FK292" s="55">
        <f>IF($B292=$B291,$FK291,0)+$FJ292</f>
        <v/>
      </c>
      <c r="FL292" s="55">
        <f>$FL291+$FJ292</f>
        <v/>
      </c>
      <c r="FM292" s="57">
        <f>SUMIFS(tblSafety[Hours_Total],tblSafety[Date],$A292)</f>
        <v/>
      </c>
      <c r="FN292" s="57">
        <f>IF($B292=$B291,$FN291,0)+$FM292</f>
        <v/>
      </c>
      <c r="FO292" s="57">
        <f>$FO291+$FM292</f>
        <v/>
      </c>
      <c r="FP292" s="62">
        <f>SUMIFS(tblSafety[Fatality],tblSafety[Date],$A292)</f>
        <v/>
      </c>
      <c r="FQ292" s="62">
        <f>IF($B292=$B291,$FQ291,0)+$FP292</f>
        <v/>
      </c>
      <c r="FR292" s="62">
        <f>$FR291+$FP292</f>
        <v/>
      </c>
      <c r="FS292" s="62">
        <f>SUMIFS(tblSafety[LTI],tblSafety[Date],$A292)</f>
        <v/>
      </c>
      <c r="FT292" s="62">
        <f>IF($B292=$B291,$FT291,0)+$FS292</f>
        <v/>
      </c>
      <c r="FU292" s="62">
        <f>$FU291+$FS292</f>
        <v/>
      </c>
      <c r="FV292" s="62">
        <f>SUMIFS(tblSafety[RWI],tblSafety[Date],$A292)</f>
        <v/>
      </c>
      <c r="FW292" s="62">
        <f>IF($B292=$B291,$FW291,0)+$FV292</f>
        <v/>
      </c>
      <c r="FX292" s="62">
        <f>$FX291+$FV292</f>
        <v/>
      </c>
      <c r="FY292" s="62">
        <f>SUMIFS(tblSafety[MTI],tblSafety[Date],$A292)</f>
        <v/>
      </c>
      <c r="FZ292" s="62">
        <f>IF($B292=$B291,$FZ291,0)+$FY292</f>
        <v/>
      </c>
      <c r="GA292" s="62">
        <f>$GA291+$FY292</f>
        <v/>
      </c>
      <c r="GB292" s="62">
        <f>SUMIFS(tblSafety[FAI],tblSafety[Date],$A292)</f>
        <v/>
      </c>
      <c r="GC292" s="62">
        <f>IF($B292=$B291,$GC291,0)+$GB292</f>
        <v/>
      </c>
      <c r="GD292" s="62">
        <f>$GD291+$GB292</f>
        <v/>
      </c>
      <c r="GE292" s="62">
        <f>SUMIFS(tblSafety[Recordables],tblSafety[Date],$A292)</f>
        <v/>
      </c>
      <c r="GF292" s="62">
        <f>IF($B292=$B291,$GF291,0)+$GE292</f>
        <v/>
      </c>
      <c r="GG292" s="62">
        <f>$GG291+$GE292</f>
        <v/>
      </c>
      <c r="GH292" s="62">
        <f>SUMIFS(tblSafety[Near_Miss],tblSafety[Date],$A292)</f>
        <v/>
      </c>
      <c r="GI292" s="62">
        <f>IF($B292=$B291,$GI291,0)+$GH292</f>
        <v/>
      </c>
      <c r="GJ292" s="62">
        <f>$GJ291+$GH292</f>
        <v/>
      </c>
      <c r="GK292" s="62">
        <f>SUMIFS(tblSafety[Hazard_Reports],tblSafety[Date],$A292)</f>
        <v/>
      </c>
      <c r="GL292" s="62">
        <f>IF($B292=$B291,$GL291,0)+$GK292</f>
        <v/>
      </c>
      <c r="GM292" s="62">
        <f>$GM291+$GK292</f>
        <v/>
      </c>
      <c r="GN292" s="62">
        <f>SUMIFS(tblSafety[HPI],tblSafety[Date],$A292)</f>
        <v/>
      </c>
      <c r="GO292" s="62">
        <f>IF($B292=$B291,$GO291,0)+$GN292</f>
        <v/>
      </c>
      <c r="GP292" s="62">
        <f>$GP291+$GN292</f>
        <v/>
      </c>
      <c r="GQ292" s="62">
        <f>SUMIFS(tblSafety[Env_Incidents],tblSafety[Date],$A292)</f>
        <v/>
      </c>
      <c r="GR292" s="62">
        <f>IF($B292=$B291,$GR291,0)+$GQ292</f>
        <v/>
      </c>
      <c r="GS292" s="62">
        <f>$GS291+$GQ292</f>
        <v/>
      </c>
      <c r="GT292" s="62">
        <f>SUMIFS(tblSafety[Community_Incidents],tblSafety[Date],$A292)</f>
        <v/>
      </c>
      <c r="GU292" s="62">
        <f>IF($B292=$B291,$GU291,0)+$GT292</f>
        <v/>
      </c>
      <c r="GV292" s="62">
        <f>$GV291+$GT292</f>
        <v/>
      </c>
      <c r="GW292" s="62">
        <f>SUMIFS(tblSafety[Vehicle_Incidents],tblSafety[Date],$A292)</f>
        <v/>
      </c>
      <c r="GX292" s="62">
        <f>IF($B292=$B291,$GX291,0)+$GW292</f>
        <v/>
      </c>
      <c r="GY292" s="62">
        <f>$GY291+$GW292</f>
        <v/>
      </c>
      <c r="GZ292" s="62">
        <f>SUMIFS(tblSafety[Toolbox_Talks],tblSafety[Date],$A292)</f>
        <v/>
      </c>
      <c r="HA292" s="62">
        <f>IF($B292=$B291,$HA291,0)+$GZ292</f>
        <v/>
      </c>
      <c r="HB292" s="62">
        <f>$HB291+$GZ292</f>
        <v/>
      </c>
      <c r="HC292" s="62">
        <f>SUMIFS(tblSafety[Inspections],tblSafety[Date],$A292)</f>
        <v/>
      </c>
      <c r="HD292" s="62">
        <f>IF($B292=$B291,$HD291,0)+$HC292</f>
        <v/>
      </c>
      <c r="HE292" s="62">
        <f>$HE291+$HC292</f>
        <v/>
      </c>
      <c r="HF292" s="56">
        <f>IFERROR((SUMIFS(tblSafety[Recordables],tblSafety[Date],"&gt;="&amp;EDATE($E292,-12),tblSafety[Date],"&lt;="&amp;$A292)+SUMIFS(tblSafetyHistory[Recordables],tblSafetyHistory[Month],"&gt;="&amp;EDATE($E292,-12),tblSafetyHistory[Month],"&lt;"&amp;cfg_YearStart))/(SUMIFS(tblSafety[Hours_Total],tblSafety[Date],"&gt;="&amp;EDATE($E292,-12),tblSafety[Date],"&lt;="&amp;$A292)+SUMIFS(tblSafetyHistory[Hours_Total],tblSafetyHistory[Month],"&gt;="&amp;EDATE($E292,-12),tblSafetyHistory[Month],"&lt;"&amp;cfg_YearStart))*1000000,"")</f>
        <v/>
      </c>
      <c r="HG292" s="56">
        <f>IFERROR((SUMIFS(tblSafety[LTI],tblSafety[Date],"&gt;="&amp;EDATE($E292,-12),tblSafety[Date],"&lt;="&amp;$A292)+SUMIFS(tblSafetyHistory[LTI],tblSafetyHistory[Month],"&gt;="&amp;EDATE($E292,-12),tblSafetyHistory[Month],"&lt;"&amp;cfg_YearStart))/(SUMIFS(tblSafety[Hours_Total],tblSafety[Date],"&gt;="&amp;EDATE($E292,-12),tblSafety[Date],"&lt;="&amp;$A292)+SUMIFS(tblSafetyHistory[Hours_Total],tblSafetyHistory[Month],"&gt;="&amp;EDATE($E292,-12),tblSafetyHistory[Month],"&lt;"&amp;cfg_YearStart))*1000000,"")</f>
        <v/>
      </c>
      <c r="HH292" s="62">
        <f>IF(MAX(N(cfg_PriorLTIDate),_xlfn.MAXIFS(tblSafety[Date],tblSafety[LTI],"&gt;0",tblSafety[Date],"&lt;="&amp;$A292))=0,"",$A292-MAX(N(cfg_PriorLTIDate),_xlfn.MAXIFS(tblSafety[Date],tblSafety[LTI],"&gt;0",tblSafety[Date],"&lt;="&amp;$A292)))</f>
        <v/>
      </c>
      <c r="HI292" s="55">
        <f>SUMIFS(tblBudget[Ore_Mined_t],tblBudget[Month],$E292)</f>
        <v/>
      </c>
      <c r="HJ292" s="55">
        <f>$HI292*$C292/$D292</f>
        <v/>
      </c>
      <c r="HK292" s="55">
        <f>SUMIFS(tblBudget[Ore_Mined_t],tblBudget[Month],"&lt;"&amp;$E292)+$HJ292</f>
        <v/>
      </c>
      <c r="HL292" s="55">
        <f>SUMIFS(tblBudget[Ore_oz],tblBudget[Month],$E292)</f>
        <v/>
      </c>
      <c r="HM292" s="55">
        <f>$HL292*$C292/$D292</f>
        <v/>
      </c>
      <c r="HN292" s="55">
        <f>SUMIFS(tblBudget[Ore_oz],tblBudget[Month],"&lt;"&amp;$E292)+$HM292</f>
        <v/>
      </c>
      <c r="HO292" s="56">
        <f>IFERROR(IF(($HI292)&gt;0,($HL292*cfg_TroyOz)/($HI292),""),"")</f>
        <v/>
      </c>
      <c r="HP292" s="56">
        <f>IFERROR(IF(($HJ292)&gt;0,($HM292*cfg_TroyOz)/($HJ292),""),"")</f>
        <v/>
      </c>
      <c r="HQ292" s="56">
        <f>IFERROR(IF(($HK292)&gt;0,($HN292*cfg_TroyOz)/($HK292),""),"")</f>
        <v/>
      </c>
      <c r="HR292" s="55">
        <f>SUMIFS(tblBudget[Waste_t],tblBudget[Month],$E292)</f>
        <v/>
      </c>
      <c r="HS292" s="55">
        <f>$HR292*$C292/$D292</f>
        <v/>
      </c>
      <c r="HT292" s="55">
        <f>SUMIFS(tblBudget[Waste_t],tblBudget[Month],"&lt;"&amp;$E292)+$HS292</f>
        <v/>
      </c>
      <c r="HU292" s="55">
        <f>SUMIFS(tblBudget[TMM_t],tblBudget[Month],$E292)</f>
        <v/>
      </c>
      <c r="HV292" s="55">
        <f>$HU292*$C292/$D292</f>
        <v/>
      </c>
      <c r="HW292" s="55">
        <f>SUMIFS(tblBudget[TMM_t],tblBudget[Month],"&lt;"&amp;$E292)+$HV292</f>
        <v/>
      </c>
      <c r="HX292" s="56">
        <f>IFERROR(IF(($HI292)&gt;0,($HR292)/($HI292),""),"")</f>
        <v/>
      </c>
      <c r="HY292" s="56">
        <f>IFERROR(IF(($HJ292)&gt;0,($HS292)/($HJ292),""),"")</f>
        <v/>
      </c>
      <c r="HZ292" s="56">
        <f>IFERROR(IF(($HK292)&gt;0,($HT292)/($HK292),""),"")</f>
        <v/>
      </c>
      <c r="IA292" s="55">
        <f>SUMIFS(tblBudget[Drill_m],tblBudget[Month],$E292)</f>
        <v/>
      </c>
      <c r="IB292" s="55">
        <f>$IA292*$C292/$D292</f>
        <v/>
      </c>
      <c r="IC292" s="55">
        <f>SUMIFS(tblBudget[Drill_m],tblBudget[Month],"&lt;"&amp;$E292)+$IB292</f>
        <v/>
      </c>
      <c r="ID292" s="55">
        <f>SUMIFS(tblBudget[Diesel_L],tblBudget[Month],$E292)</f>
        <v/>
      </c>
      <c r="IE292" s="55">
        <f>$ID292*$C292/$D292</f>
        <v/>
      </c>
      <c r="IF292" s="55">
        <f>SUMIFS(tblBudget[Diesel_L],tblBudget[Month],"&lt;"&amp;$E292)+$IE292</f>
        <v/>
      </c>
      <c r="IG292" s="55">
        <f>SUMIFS(tblBudget[Milled_t],tblBudget[Month],$E292)</f>
        <v/>
      </c>
      <c r="IH292" s="55">
        <f>$IG292*$C292/$D292</f>
        <v/>
      </c>
      <c r="II292" s="55">
        <f>SUMIFS(tblBudget[Milled_t],tblBudget[Month],"&lt;"&amp;$E292)+$IH292</f>
        <v/>
      </c>
      <c r="IJ292" s="55">
        <f>SUMIFS(tblBudget[Feed_oz],tblBudget[Month],$E292)</f>
        <v/>
      </c>
      <c r="IK292" s="55">
        <f>$IJ292*$C292/$D292</f>
        <v/>
      </c>
      <c r="IL292" s="55">
        <f>SUMIFS(tblBudget[Feed_oz],tblBudget[Month],"&lt;"&amp;$E292)+$IK292</f>
        <v/>
      </c>
      <c r="IM292" s="55">
        <f>SUMIFS(tblBudget[Recovered_oz],tblBudget[Month],$E292)</f>
        <v/>
      </c>
      <c r="IN292" s="55">
        <f>$IM292*$C292/$D292</f>
        <v/>
      </c>
      <c r="IO292" s="55">
        <f>SUMIFS(tblBudget[Recovered_oz],tblBudget[Month],"&lt;"&amp;$E292)+$IN292</f>
        <v/>
      </c>
      <c r="IP292" s="56">
        <f>IFERROR(IF(($IG292)&gt;0,($IJ292*cfg_TroyOz)/($IG292),""),"")</f>
        <v/>
      </c>
      <c r="IQ292" s="56">
        <f>IFERROR(IF(($IH292)&gt;0,($IK292*cfg_TroyOz)/($IH292),""),"")</f>
        <v/>
      </c>
      <c r="IR292" s="56">
        <f>IFERROR(IF(($II292)&gt;0,($IL292*cfg_TroyOz)/($II292),""),"")</f>
        <v/>
      </c>
      <c r="IS292" s="67">
        <f>IFERROR(IF(($IJ292)&gt;0,($IM292)/($IJ292),""),"")</f>
        <v/>
      </c>
      <c r="IT292" s="67">
        <f>IFERROR(IF(($IK292)&gt;0,($IN292)/($IK292),""),"")</f>
        <v/>
      </c>
      <c r="IU292" s="67">
        <f>IFERROR(IF(($IL292)&gt;0,($IO292)/($IL292),""),"")</f>
        <v/>
      </c>
      <c r="IV292" s="55">
        <f>SUMIFS(tblBudget[Gold_Poured_oz],tblBudget[Month],$E292)</f>
        <v/>
      </c>
      <c r="IW292" s="55">
        <f>$IV292*$C292/$D292</f>
        <v/>
      </c>
      <c r="IX292" s="55">
        <f>SUMIFS(tblBudget[Gold_Poured_oz],tblBudget[Month],"&lt;"&amp;$E292)+$IW292</f>
        <v/>
      </c>
      <c r="IY292" s="57">
        <f>SUMIFS(tblBudget[Hours_Worked],tblBudget[Month],$E292)</f>
        <v/>
      </c>
      <c r="IZ292" s="57">
        <f>$IY292*$C292/$D292</f>
        <v/>
      </c>
      <c r="JA292" s="57">
        <f>SUMIFS(tblBudget[Hours_Worked],tblBudget[Month],"&lt;"&amp;$E292)+$IZ292</f>
        <v/>
      </c>
    </row>
    <row r="293">
      <c r="A293" s="54" t="n">
        <v>46314</v>
      </c>
      <c r="B293">
        <f>MONTH($A293)</f>
        <v/>
      </c>
      <c r="C293">
        <f>DAY($A293)</f>
        <v/>
      </c>
      <c r="D293">
        <f>DAY(EOMONTH($A293,0))</f>
        <v/>
      </c>
      <c r="E293" s="54">
        <f>DATE(YEAR($A293),MONTH($A293),1)</f>
        <v/>
      </c>
      <c r="F293" s="55">
        <f>SUMIFS(tblMovement[Tonnes_t],tblMovement[Date],$A293,tblMovement[Is_Ore],1,tblMovement[Source_Type],"Pit")</f>
        <v/>
      </c>
      <c r="G293" s="55">
        <f>IF($B293=$B292,$G292,0)+$F293</f>
        <v/>
      </c>
      <c r="H293" s="55">
        <f>$H292+$F293</f>
        <v/>
      </c>
      <c r="I293" s="55">
        <f>SUMIFS(tblMovement[Ore_oz],tblMovement[Date],$A293,tblMovement[Source_Type],"Pit")</f>
        <v/>
      </c>
      <c r="J293" s="55">
        <f>IF($B293=$B292,$J292,0)+$I293</f>
        <v/>
      </c>
      <c r="K293" s="55">
        <f>$K292+$I293</f>
        <v/>
      </c>
      <c r="L293" s="56">
        <f>IFERROR(IF(($F293)&gt;0,($I293*cfg_TroyOz)/($F293),""),"")</f>
        <v/>
      </c>
      <c r="M293" s="56">
        <f>IFERROR(IF(($G293)&gt;0,($J293*cfg_TroyOz)/($G293),""),"")</f>
        <v/>
      </c>
      <c r="N293" s="56">
        <f>IFERROR(IF(($H293)&gt;0,($K293*cfg_TroyOz)/($H293),""),"")</f>
        <v/>
      </c>
      <c r="O293" s="55">
        <f>SUMIFS(tblMovement[Tonnes_t],tblMovement[Date],$A293,tblMovement[Is_Ore],0,tblMovement[Source_Type],"Pit")</f>
        <v/>
      </c>
      <c r="P293" s="55">
        <f>IF($B293=$B292,$P292,0)+$O293</f>
        <v/>
      </c>
      <c r="Q293" s="55">
        <f>$Q292+$O293</f>
        <v/>
      </c>
      <c r="R293" s="55">
        <f>$F293+$O293</f>
        <v/>
      </c>
      <c r="S293" s="55">
        <f>IF($B293=$B292,$S292,0)+$R293</f>
        <v/>
      </c>
      <c r="T293" s="55">
        <f>$T292+$R293</f>
        <v/>
      </c>
      <c r="U293" s="56">
        <f>IFERROR(IF(($F293)&gt;0,($O293)/($F293),""),"")</f>
        <v/>
      </c>
      <c r="V293" s="56">
        <f>IFERROR(IF(($G293)&gt;0,($P293)/($G293),""),"")</f>
        <v/>
      </c>
      <c r="W293" s="56">
        <f>IFERROR(IF(($H293)&gt;0,($Q293)/($H293),""),"")</f>
        <v/>
      </c>
      <c r="X293" s="55">
        <f>SUMIFS(tblMovement[Tonnes_t],tblMovement[Date],$A293,tblMovement[Source_Type],"Stockpile")</f>
        <v/>
      </c>
      <c r="Y293" s="55">
        <f>IF($B293=$B292,$Y292,0)+$X293</f>
        <v/>
      </c>
      <c r="Z293" s="55">
        <f>$Z292+$X293</f>
        <v/>
      </c>
      <c r="AA293" s="55">
        <f>SUMIFS(tblMiningDaily[Drill_m],tblMiningDaily[Date],$A293)</f>
        <v/>
      </c>
      <c r="AB293" s="55">
        <f>IF($B293=$B292,$AB292,0)+$AA293</f>
        <v/>
      </c>
      <c r="AC293" s="55">
        <f>$AC292+$AA293</f>
        <v/>
      </c>
      <c r="AD293" s="55">
        <f>SUMIFS(tblMiningDaily[Blast_t],tblMiningDaily[Date],$A293)</f>
        <v/>
      </c>
      <c r="AE293" s="55">
        <f>IF($B293=$B292,$AE292,0)+$AD293</f>
        <v/>
      </c>
      <c r="AF293" s="55">
        <f>$AF292+$AD293</f>
        <v/>
      </c>
      <c r="AG293" s="55">
        <f>SUMIFS(tblMiningDaily[Explosives_kg],tblMiningDaily[Date],$A293)</f>
        <v/>
      </c>
      <c r="AH293" s="55">
        <f>IF($B293=$B292,$AH292,0)+$AG293</f>
        <v/>
      </c>
      <c r="AI293" s="55">
        <f>$AI292+$AG293</f>
        <v/>
      </c>
      <c r="AJ293" s="56">
        <f>IFERROR(IF(($AD293)&gt;0,($AG293)/($AD293),""),"")</f>
        <v/>
      </c>
      <c r="AK293" s="56">
        <f>IFERROR(IF(($AE293)&gt;0,($AH293)/($AE293),""),"")</f>
        <v/>
      </c>
      <c r="AL293" s="56">
        <f>IFERROR(IF(($AF293)&gt;0,($AI293)/($AF293),""),"")</f>
        <v/>
      </c>
      <c r="AM293" s="55">
        <f>SUMIFS(tblMiningDaily[Diesel_L],tblMiningDaily[Date],$A293)</f>
        <v/>
      </c>
      <c r="AN293" s="55">
        <f>IF($B293=$B292,$AN292,0)+$AM293</f>
        <v/>
      </c>
      <c r="AO293" s="55">
        <f>$AO292+$AM293</f>
        <v/>
      </c>
      <c r="AP293" s="55">
        <f>SUMIFS(tblMiningDaily[Dewatering_m3],tblMiningDaily[Date],$A293)</f>
        <v/>
      </c>
      <c r="AQ293" s="55">
        <f>IF($B293=$B292,$AQ292,0)+$AP293</f>
        <v/>
      </c>
      <c r="AR293" s="55">
        <f>$AR292+$AP293</f>
        <v/>
      </c>
      <c r="AS293" s="57">
        <f>SUMIFS(tblFleet[Calendar_h],tblFleet[Date],$A293,tblFleet[Equipment_Class],"Excavator")</f>
        <v/>
      </c>
      <c r="AT293" s="57">
        <f>IF($B293=$B292,$AT292,0)+$AS293</f>
        <v/>
      </c>
      <c r="AU293" s="57">
        <f>$AU292+$AS293</f>
        <v/>
      </c>
      <c r="AV293" s="57">
        <f>SUMIFS(tblFleet[Available_h],tblFleet[Date],$A293,tblFleet[Equipment_Class],"Excavator")</f>
        <v/>
      </c>
      <c r="AW293" s="57">
        <f>IF($B293=$B292,$AW292,0)+$AV293</f>
        <v/>
      </c>
      <c r="AX293" s="57">
        <f>$AX292+$AV293</f>
        <v/>
      </c>
      <c r="AY293" s="57">
        <f>SUMIFS(tblFleet[Operating_h],tblFleet[Date],$A293,tblFleet[Equipment_Class],"Excavator")</f>
        <v/>
      </c>
      <c r="AZ293" s="57">
        <f>IF($B293=$B292,$AZ292,0)+$AY293</f>
        <v/>
      </c>
      <c r="BA293" s="57">
        <f>$BA292+$AY293</f>
        <v/>
      </c>
      <c r="BB293" s="67">
        <f>IFERROR(IF(($AS293)&gt;0,($AV293)/($AS293),""),"")</f>
        <v/>
      </c>
      <c r="BC293" s="67">
        <f>IFERROR(IF(($AT293)&gt;0,($AW293)/($AT293),""),"")</f>
        <v/>
      </c>
      <c r="BD293" s="67">
        <f>IFERROR(IF(($AU293)&gt;0,($AX293)/($AU293),""),"")</f>
        <v/>
      </c>
      <c r="BE293" s="67">
        <f>IFERROR(IF(($AV293)&gt;0,($AY293)/($AV293),""),"")</f>
        <v/>
      </c>
      <c r="BF293" s="67">
        <f>IFERROR(IF(($AW293)&gt;0,($AZ293)/($AW293),""),"")</f>
        <v/>
      </c>
      <c r="BG293" s="67">
        <f>IFERROR(IF(($AX293)&gt;0,($BA293)/($AX293),""),"")</f>
        <v/>
      </c>
      <c r="BH293" s="57">
        <f>SUMIFS(tblFleet[Calendar_h],tblFleet[Date],$A293,tblFleet[Equipment_Class],"Haul Truck")</f>
        <v/>
      </c>
      <c r="BI293" s="57">
        <f>IF($B293=$B292,$BI292,0)+$BH293</f>
        <v/>
      </c>
      <c r="BJ293" s="57">
        <f>$BJ292+$BH293</f>
        <v/>
      </c>
      <c r="BK293" s="57">
        <f>SUMIFS(tblFleet[Available_h],tblFleet[Date],$A293,tblFleet[Equipment_Class],"Haul Truck")</f>
        <v/>
      </c>
      <c r="BL293" s="57">
        <f>IF($B293=$B292,$BL292,0)+$BK293</f>
        <v/>
      </c>
      <c r="BM293" s="57">
        <f>$BM292+$BK293</f>
        <v/>
      </c>
      <c r="BN293" s="57">
        <f>SUMIFS(tblFleet[Operating_h],tblFleet[Date],$A293,tblFleet[Equipment_Class],"Haul Truck")</f>
        <v/>
      </c>
      <c r="BO293" s="57">
        <f>IF($B293=$B292,$BO292,0)+$BN293</f>
        <v/>
      </c>
      <c r="BP293" s="57">
        <f>$BP292+$BN293</f>
        <v/>
      </c>
      <c r="BQ293" s="67">
        <f>IFERROR(IF(($BH293)&gt;0,($BK293)/($BH293),""),"")</f>
        <v/>
      </c>
      <c r="BR293" s="67">
        <f>IFERROR(IF(($BI293)&gt;0,($BL293)/($BI293),""),"")</f>
        <v/>
      </c>
      <c r="BS293" s="67">
        <f>IFERROR(IF(($BJ293)&gt;0,($BM293)/($BJ293),""),"")</f>
        <v/>
      </c>
      <c r="BT293" s="67">
        <f>IFERROR(IF(($BK293)&gt;0,($BN293)/($BK293),""),"")</f>
        <v/>
      </c>
      <c r="BU293" s="67">
        <f>IFERROR(IF(($BL293)&gt;0,($BO293)/($BL293),""),"")</f>
        <v/>
      </c>
      <c r="BV293" s="67">
        <f>IFERROR(IF(($BM293)&gt;0,($BP293)/($BM293),""),"")</f>
        <v/>
      </c>
      <c r="BW293" s="55">
        <f>SUMIFS(tblPlant[Crushed_t],tblPlant[Date],$A293)</f>
        <v/>
      </c>
      <c r="BX293" s="55">
        <f>IF($B293=$B292,$BX292,0)+$BW293</f>
        <v/>
      </c>
      <c r="BY293" s="55">
        <f>$BY292+$BW293</f>
        <v/>
      </c>
      <c r="BZ293" s="55">
        <f>SUMIFS(tblPlant[Milled_t],tblPlant[Date],$A293)</f>
        <v/>
      </c>
      <c r="CA293" s="55">
        <f>IF($B293=$B292,$CA292,0)+$BZ293</f>
        <v/>
      </c>
      <c r="CB293" s="55">
        <f>$CB292+$BZ293</f>
        <v/>
      </c>
      <c r="CC293" s="55">
        <f>SUMIFS(tblPlant[Feed_oz],tblPlant[Date],$A293)</f>
        <v/>
      </c>
      <c r="CD293" s="55">
        <f>IF($B293=$B292,$CD292,0)+$CC293</f>
        <v/>
      </c>
      <c r="CE293" s="55">
        <f>$CE292+$CC293</f>
        <v/>
      </c>
      <c r="CF293" s="55">
        <f>SUMIFS(tblPlant[Tails_oz],tblPlant[Date],$A293)</f>
        <v/>
      </c>
      <c r="CG293" s="55">
        <f>IF($B293=$B292,$CG292,0)+$CF293</f>
        <v/>
      </c>
      <c r="CH293" s="55">
        <f>$CH292+$CF293</f>
        <v/>
      </c>
      <c r="CI293" s="55">
        <f>SUMIFS(tblPlant[Recovered_oz],tblPlant[Date],$A293)</f>
        <v/>
      </c>
      <c r="CJ293" s="55">
        <f>IF($B293=$B292,$CJ292,0)+$CI293</f>
        <v/>
      </c>
      <c r="CK293" s="55">
        <f>$CK292+$CI293</f>
        <v/>
      </c>
      <c r="CL293" s="56">
        <f>IFERROR(IF(($BZ293)&gt;0,($CC293*cfg_TroyOz)/($BZ293),""),"")</f>
        <v/>
      </c>
      <c r="CM293" s="56">
        <f>IFERROR(IF(($CA293)&gt;0,($CD293*cfg_TroyOz)/($CA293),""),"")</f>
        <v/>
      </c>
      <c r="CN293" s="56">
        <f>IFERROR(IF(($CB293)&gt;0,($CE293*cfg_TroyOz)/($CB293),""),"")</f>
        <v/>
      </c>
      <c r="CO293" s="56">
        <f>IFERROR(IF(($BZ293)&gt;0,($CF293*cfg_TroyOz)/($BZ293),""),"")</f>
        <v/>
      </c>
      <c r="CP293" s="56">
        <f>IFERROR(IF(($CA293)&gt;0,($CG293*cfg_TroyOz)/($CA293),""),"")</f>
        <v/>
      </c>
      <c r="CQ293" s="56">
        <f>IFERROR(IF(($CB293)&gt;0,($CH293*cfg_TroyOz)/($CB293),""),"")</f>
        <v/>
      </c>
      <c r="CR293" s="67">
        <f>IFERROR(IF(($CC293)&gt;0,($CI293)/($CC293),""),"")</f>
        <v/>
      </c>
      <c r="CS293" s="67">
        <f>IFERROR(IF(($CD293)&gt;0,($CJ293)/($CD293),""),"")</f>
        <v/>
      </c>
      <c r="CT293" s="67">
        <f>IFERROR(IF(($CE293)&gt;0,($CK293)/($CE293),""),"")</f>
        <v/>
      </c>
      <c r="CU293" s="55">
        <f>SUMIFS(tblPlant[Gravity_Gold_oz],tblPlant[Date],$A293)</f>
        <v/>
      </c>
      <c r="CV293" s="55">
        <f>IF($B293=$B292,$CV292,0)+$CU293</f>
        <v/>
      </c>
      <c r="CW293" s="55">
        <f>$CW292+$CU293</f>
        <v/>
      </c>
      <c r="CX293" s="55">
        <f>SUMIFS(tblPlant[Gold_Poured_oz],tblPlant[Date],$A293)</f>
        <v/>
      </c>
      <c r="CY293" s="55">
        <f>IF($B293=$B292,$CY292,0)+$CX293</f>
        <v/>
      </c>
      <c r="CZ293" s="55">
        <f>$CZ292+$CX293</f>
        <v/>
      </c>
      <c r="DA293" s="57">
        <f>SUMIFS(tblPlant[Mill_Run_h],tblPlant[Date],$A293)</f>
        <v/>
      </c>
      <c r="DB293" s="57">
        <f>IF($B293=$B292,$DB292,0)+$DA293</f>
        <v/>
      </c>
      <c r="DC293" s="57">
        <f>$DC292+$DA293</f>
        <v/>
      </c>
      <c r="DD293" s="57">
        <f>SUMIFS(tblPlant[Mill_Planned_Maint_h],tblPlant[Date],$A293)</f>
        <v/>
      </c>
      <c r="DE293" s="57">
        <f>IF($B293=$B292,$DE292,0)+$DD293</f>
        <v/>
      </c>
      <c r="DF293" s="57">
        <f>$DF292+$DD293</f>
        <v/>
      </c>
      <c r="DG293" s="57">
        <f>SUMIFS(tblPlant[Mill_Unplanned_Down_h],tblPlant[Date],$A293)</f>
        <v/>
      </c>
      <c r="DH293" s="57">
        <f>IF($B293=$B292,$DH292,0)+$DG293</f>
        <v/>
      </c>
      <c r="DI293" s="57">
        <f>$DI292+$DG293</f>
        <v/>
      </c>
      <c r="DJ293" s="57">
        <f>COUNTIFS(tblPlant[Date],$A293,tblPlant[Mill_Run_h],"&lt;&gt;")*24</f>
        <v/>
      </c>
      <c r="DK293" s="57">
        <f>IF($B293=$B292,$DK292,0)+$DJ293</f>
        <v/>
      </c>
      <c r="DL293" s="57">
        <f>$DL292+$DJ293</f>
        <v/>
      </c>
      <c r="DM293" s="57">
        <f>SUMIFS(tblPlant[Crusher_Run_h],tblPlant[Date],$A293)</f>
        <v/>
      </c>
      <c r="DN293" s="57">
        <f>IF($B293=$B292,$DN292,0)+$DM293</f>
        <v/>
      </c>
      <c r="DO293" s="57">
        <f>$DO292+$DM293</f>
        <v/>
      </c>
      <c r="DP293" s="55">
        <f>IFERROR(IF(($DA293)&gt;0,($BZ293)/($DA293),""),"")</f>
        <v/>
      </c>
      <c r="DQ293" s="55">
        <f>IFERROR(IF(($DB293)&gt;0,($CA293)/($DB293),""),"")</f>
        <v/>
      </c>
      <c r="DR293" s="55">
        <f>IFERROR(IF(($DC293)&gt;0,($CB293)/($DC293),""),"")</f>
        <v/>
      </c>
      <c r="DS293" s="67">
        <f>IFERROR(IF(($DJ293)&gt;0,($DJ293-$DD293-$DG293)/($DJ293),""),"")</f>
        <v/>
      </c>
      <c r="DT293" s="67">
        <f>IFERROR(IF(($DK293)&gt;0,($DK293-$DE293-$DH293)/($DK293),""),"")</f>
        <v/>
      </c>
      <c r="DU293" s="67">
        <f>IFERROR(IF(($DL293)&gt;0,($DL293-$DF293-$DI293)/($DL293),""),"")</f>
        <v/>
      </c>
      <c r="DV293" s="67">
        <f>IFERROR(IF(($DJ293-$DD293-$DG293)&gt;0,($DA293)/($DJ293-$DD293-$DG293),""),"")</f>
        <v/>
      </c>
      <c r="DW293" s="67">
        <f>IFERROR(IF(($DK293-$DE293-$DH293)&gt;0,($DB293)/($DK293-$DE293-$DH293),""),"")</f>
        <v/>
      </c>
      <c r="DX293" s="67">
        <f>IFERROR(IF(($DL293-$DF293-$DI293)&gt;0,($DC293)/($DL293-$DF293-$DI293),""),"")</f>
        <v/>
      </c>
      <c r="DY293" s="55">
        <f>SUMIFS(tblPlant[Cyanide_kg],tblPlant[Date],$A293)</f>
        <v/>
      </c>
      <c r="DZ293" s="55">
        <f>IF($B293=$B292,$DZ292,0)+$DY293</f>
        <v/>
      </c>
      <c r="EA293" s="55">
        <f>$EA292+$DY293</f>
        <v/>
      </c>
      <c r="EB293" s="55">
        <f>SUMIFS(tblPlant[Lime_kg],tblPlant[Date],$A293)</f>
        <v/>
      </c>
      <c r="EC293" s="55">
        <f>IF($B293=$B292,$EC292,0)+$EB293</f>
        <v/>
      </c>
      <c r="ED293" s="55">
        <f>$ED292+$EB293</f>
        <v/>
      </c>
      <c r="EE293" s="55">
        <f>SUMIFS(tblPlant[Grinding_Media_kg],tblPlant[Date],$A293)</f>
        <v/>
      </c>
      <c r="EF293" s="55">
        <f>IF($B293=$B292,$EF292,0)+$EE293</f>
        <v/>
      </c>
      <c r="EG293" s="55">
        <f>$EG292+$EE293</f>
        <v/>
      </c>
      <c r="EH293" s="55">
        <f>SUMIFS(tblPlant[Power_kWh],tblPlant[Date],$A293)</f>
        <v/>
      </c>
      <c r="EI293" s="55">
        <f>IF($B293=$B292,$EI292,0)+$EH293</f>
        <v/>
      </c>
      <c r="EJ293" s="55">
        <f>$EJ292+$EH293</f>
        <v/>
      </c>
      <c r="EK293" s="55">
        <f>SUMIFS(tblPlant[Raw_Water_m3],tblPlant[Date],$A293)</f>
        <v/>
      </c>
      <c r="EL293" s="55">
        <f>IF($B293=$B292,$EL292,0)+$EK293</f>
        <v/>
      </c>
      <c r="EM293" s="55">
        <f>$EM292+$EK293</f>
        <v/>
      </c>
      <c r="EN293" s="56">
        <f>IFERROR(IF(($BZ293)&gt;0,($DY293)/($BZ293),""),"")</f>
        <v/>
      </c>
      <c r="EO293" s="56">
        <f>IFERROR(IF(($CA293)&gt;0,($DZ293)/($CA293),""),"")</f>
        <v/>
      </c>
      <c r="EP293" s="56">
        <f>IFERROR(IF(($CB293)&gt;0,($EA293)/($CB293),""),"")</f>
        <v/>
      </c>
      <c r="EQ293" s="56">
        <f>IFERROR(IF(($BZ293)&gt;0,($EB293)/($BZ293),""),"")</f>
        <v/>
      </c>
      <c r="ER293" s="56">
        <f>IFERROR(IF(($CA293)&gt;0,($EC293)/($CA293),""),"")</f>
        <v/>
      </c>
      <c r="ES293" s="56">
        <f>IFERROR(IF(($CB293)&gt;0,($ED293)/($CB293),""),"")</f>
        <v/>
      </c>
      <c r="ET293" s="56">
        <f>IFERROR(IF(($BZ293)&gt;0,($EE293)/($BZ293),""),"")</f>
        <v/>
      </c>
      <c r="EU293" s="56">
        <f>IFERROR(IF(($CA293)&gt;0,($EF293)/($CA293),""),"")</f>
        <v/>
      </c>
      <c r="EV293" s="56">
        <f>IFERROR(IF(($CB293)&gt;0,($EG293)/($CB293),""),"")</f>
        <v/>
      </c>
      <c r="EW293" s="76">
        <f>IFERROR(IF(($BZ293)&gt;0,($EH293)/($BZ293),""),"")</f>
        <v/>
      </c>
      <c r="EX293" s="76">
        <f>IFERROR(IF(($CA293)&gt;0,($EI293)/($CA293),""),"")</f>
        <v/>
      </c>
      <c r="EY293" s="76">
        <f>IFERROR(IF(($CB293)&gt;0,($EJ293)/($CB293),""),"")</f>
        <v/>
      </c>
      <c r="EZ293" s="56">
        <f>IFERROR(IF(($BZ293)&gt;0,($EK293)/($BZ293),""),"")</f>
        <v/>
      </c>
      <c r="FA293" s="56">
        <f>IFERROR(IF(($CA293)&gt;0,($EL293)/($CA293),""),"")</f>
        <v/>
      </c>
      <c r="FB293" s="56">
        <f>IFERROR(IF(($CB293)&gt;0,($EM293)/($CB293),""),"")</f>
        <v/>
      </c>
      <c r="FC293" s="55">
        <f>IF(SUMIFS(tblPlant[GIC_oz],tblPlant[Date],$A293)&gt;0,SUMIFS(tblPlant[GIC_oz],tblPlant[Date],$A293),"")</f>
        <v/>
      </c>
      <c r="FD293" s="55">
        <f>SUMIFS(tblGold[Gold_oz],tblGold[Date],$A293,tblGold[Type],"Shipment")</f>
        <v/>
      </c>
      <c r="FE293" s="55">
        <f>IF($B293=$B292,$FE292,0)+$FD293</f>
        <v/>
      </c>
      <c r="FF293" s="55">
        <f>$FF292+$FD293</f>
        <v/>
      </c>
      <c r="FG293" s="55">
        <f>SUMIFS(tblGold[Gold_oz],tblGold[Date],$A293,tblGold[Type],"Sale")</f>
        <v/>
      </c>
      <c r="FH293" s="55">
        <f>IF($B293=$B292,$FH292,0)+$FG293</f>
        <v/>
      </c>
      <c r="FI293" s="55">
        <f>$FI292+$FG293</f>
        <v/>
      </c>
      <c r="FJ293" s="55">
        <f>SUMIFS(tblGold[Dore_kg],tblGold[Date],$A293,tblGold[Type],"Shipment")</f>
        <v/>
      </c>
      <c r="FK293" s="55">
        <f>IF($B293=$B292,$FK292,0)+$FJ293</f>
        <v/>
      </c>
      <c r="FL293" s="55">
        <f>$FL292+$FJ293</f>
        <v/>
      </c>
      <c r="FM293" s="57">
        <f>SUMIFS(tblSafety[Hours_Total],tblSafety[Date],$A293)</f>
        <v/>
      </c>
      <c r="FN293" s="57">
        <f>IF($B293=$B292,$FN292,0)+$FM293</f>
        <v/>
      </c>
      <c r="FO293" s="57">
        <f>$FO292+$FM293</f>
        <v/>
      </c>
      <c r="FP293" s="62">
        <f>SUMIFS(tblSafety[Fatality],tblSafety[Date],$A293)</f>
        <v/>
      </c>
      <c r="FQ293" s="62">
        <f>IF($B293=$B292,$FQ292,0)+$FP293</f>
        <v/>
      </c>
      <c r="FR293" s="62">
        <f>$FR292+$FP293</f>
        <v/>
      </c>
      <c r="FS293" s="62">
        <f>SUMIFS(tblSafety[LTI],tblSafety[Date],$A293)</f>
        <v/>
      </c>
      <c r="FT293" s="62">
        <f>IF($B293=$B292,$FT292,0)+$FS293</f>
        <v/>
      </c>
      <c r="FU293" s="62">
        <f>$FU292+$FS293</f>
        <v/>
      </c>
      <c r="FV293" s="62">
        <f>SUMIFS(tblSafety[RWI],tblSafety[Date],$A293)</f>
        <v/>
      </c>
      <c r="FW293" s="62">
        <f>IF($B293=$B292,$FW292,0)+$FV293</f>
        <v/>
      </c>
      <c r="FX293" s="62">
        <f>$FX292+$FV293</f>
        <v/>
      </c>
      <c r="FY293" s="62">
        <f>SUMIFS(tblSafety[MTI],tblSafety[Date],$A293)</f>
        <v/>
      </c>
      <c r="FZ293" s="62">
        <f>IF($B293=$B292,$FZ292,0)+$FY293</f>
        <v/>
      </c>
      <c r="GA293" s="62">
        <f>$GA292+$FY293</f>
        <v/>
      </c>
      <c r="GB293" s="62">
        <f>SUMIFS(tblSafety[FAI],tblSafety[Date],$A293)</f>
        <v/>
      </c>
      <c r="GC293" s="62">
        <f>IF($B293=$B292,$GC292,0)+$GB293</f>
        <v/>
      </c>
      <c r="GD293" s="62">
        <f>$GD292+$GB293</f>
        <v/>
      </c>
      <c r="GE293" s="62">
        <f>SUMIFS(tblSafety[Recordables],tblSafety[Date],$A293)</f>
        <v/>
      </c>
      <c r="GF293" s="62">
        <f>IF($B293=$B292,$GF292,0)+$GE293</f>
        <v/>
      </c>
      <c r="GG293" s="62">
        <f>$GG292+$GE293</f>
        <v/>
      </c>
      <c r="GH293" s="62">
        <f>SUMIFS(tblSafety[Near_Miss],tblSafety[Date],$A293)</f>
        <v/>
      </c>
      <c r="GI293" s="62">
        <f>IF($B293=$B292,$GI292,0)+$GH293</f>
        <v/>
      </c>
      <c r="GJ293" s="62">
        <f>$GJ292+$GH293</f>
        <v/>
      </c>
      <c r="GK293" s="62">
        <f>SUMIFS(tblSafety[Hazard_Reports],tblSafety[Date],$A293)</f>
        <v/>
      </c>
      <c r="GL293" s="62">
        <f>IF($B293=$B292,$GL292,0)+$GK293</f>
        <v/>
      </c>
      <c r="GM293" s="62">
        <f>$GM292+$GK293</f>
        <v/>
      </c>
      <c r="GN293" s="62">
        <f>SUMIFS(tblSafety[HPI],tblSafety[Date],$A293)</f>
        <v/>
      </c>
      <c r="GO293" s="62">
        <f>IF($B293=$B292,$GO292,0)+$GN293</f>
        <v/>
      </c>
      <c r="GP293" s="62">
        <f>$GP292+$GN293</f>
        <v/>
      </c>
      <c r="GQ293" s="62">
        <f>SUMIFS(tblSafety[Env_Incidents],tblSafety[Date],$A293)</f>
        <v/>
      </c>
      <c r="GR293" s="62">
        <f>IF($B293=$B292,$GR292,0)+$GQ293</f>
        <v/>
      </c>
      <c r="GS293" s="62">
        <f>$GS292+$GQ293</f>
        <v/>
      </c>
      <c r="GT293" s="62">
        <f>SUMIFS(tblSafety[Community_Incidents],tblSafety[Date],$A293)</f>
        <v/>
      </c>
      <c r="GU293" s="62">
        <f>IF($B293=$B292,$GU292,0)+$GT293</f>
        <v/>
      </c>
      <c r="GV293" s="62">
        <f>$GV292+$GT293</f>
        <v/>
      </c>
      <c r="GW293" s="62">
        <f>SUMIFS(tblSafety[Vehicle_Incidents],tblSafety[Date],$A293)</f>
        <v/>
      </c>
      <c r="GX293" s="62">
        <f>IF($B293=$B292,$GX292,0)+$GW293</f>
        <v/>
      </c>
      <c r="GY293" s="62">
        <f>$GY292+$GW293</f>
        <v/>
      </c>
      <c r="GZ293" s="62">
        <f>SUMIFS(tblSafety[Toolbox_Talks],tblSafety[Date],$A293)</f>
        <v/>
      </c>
      <c r="HA293" s="62">
        <f>IF($B293=$B292,$HA292,0)+$GZ293</f>
        <v/>
      </c>
      <c r="HB293" s="62">
        <f>$HB292+$GZ293</f>
        <v/>
      </c>
      <c r="HC293" s="62">
        <f>SUMIFS(tblSafety[Inspections],tblSafety[Date],$A293)</f>
        <v/>
      </c>
      <c r="HD293" s="62">
        <f>IF($B293=$B292,$HD292,0)+$HC293</f>
        <v/>
      </c>
      <c r="HE293" s="62">
        <f>$HE292+$HC293</f>
        <v/>
      </c>
      <c r="HF293" s="56">
        <f>IFERROR((SUMIFS(tblSafety[Recordables],tblSafety[Date],"&gt;="&amp;EDATE($E293,-12),tblSafety[Date],"&lt;="&amp;$A293)+SUMIFS(tblSafetyHistory[Recordables],tblSafetyHistory[Month],"&gt;="&amp;EDATE($E293,-12),tblSafetyHistory[Month],"&lt;"&amp;cfg_YearStart))/(SUMIFS(tblSafety[Hours_Total],tblSafety[Date],"&gt;="&amp;EDATE($E293,-12),tblSafety[Date],"&lt;="&amp;$A293)+SUMIFS(tblSafetyHistory[Hours_Total],tblSafetyHistory[Month],"&gt;="&amp;EDATE($E293,-12),tblSafetyHistory[Month],"&lt;"&amp;cfg_YearStart))*1000000,"")</f>
        <v/>
      </c>
      <c r="HG293" s="56">
        <f>IFERROR((SUMIFS(tblSafety[LTI],tblSafety[Date],"&gt;="&amp;EDATE($E293,-12),tblSafety[Date],"&lt;="&amp;$A293)+SUMIFS(tblSafetyHistory[LTI],tblSafetyHistory[Month],"&gt;="&amp;EDATE($E293,-12),tblSafetyHistory[Month],"&lt;"&amp;cfg_YearStart))/(SUMIFS(tblSafety[Hours_Total],tblSafety[Date],"&gt;="&amp;EDATE($E293,-12),tblSafety[Date],"&lt;="&amp;$A293)+SUMIFS(tblSafetyHistory[Hours_Total],tblSafetyHistory[Month],"&gt;="&amp;EDATE($E293,-12),tblSafetyHistory[Month],"&lt;"&amp;cfg_YearStart))*1000000,"")</f>
        <v/>
      </c>
      <c r="HH293" s="62">
        <f>IF(MAX(N(cfg_PriorLTIDate),_xlfn.MAXIFS(tblSafety[Date],tblSafety[LTI],"&gt;0",tblSafety[Date],"&lt;="&amp;$A293))=0,"",$A293-MAX(N(cfg_PriorLTIDate),_xlfn.MAXIFS(tblSafety[Date],tblSafety[LTI],"&gt;0",tblSafety[Date],"&lt;="&amp;$A293)))</f>
        <v/>
      </c>
      <c r="HI293" s="55">
        <f>SUMIFS(tblBudget[Ore_Mined_t],tblBudget[Month],$E293)</f>
        <v/>
      </c>
      <c r="HJ293" s="55">
        <f>$HI293*$C293/$D293</f>
        <v/>
      </c>
      <c r="HK293" s="55">
        <f>SUMIFS(tblBudget[Ore_Mined_t],tblBudget[Month],"&lt;"&amp;$E293)+$HJ293</f>
        <v/>
      </c>
      <c r="HL293" s="55">
        <f>SUMIFS(tblBudget[Ore_oz],tblBudget[Month],$E293)</f>
        <v/>
      </c>
      <c r="HM293" s="55">
        <f>$HL293*$C293/$D293</f>
        <v/>
      </c>
      <c r="HN293" s="55">
        <f>SUMIFS(tblBudget[Ore_oz],tblBudget[Month],"&lt;"&amp;$E293)+$HM293</f>
        <v/>
      </c>
      <c r="HO293" s="56">
        <f>IFERROR(IF(($HI293)&gt;0,($HL293*cfg_TroyOz)/($HI293),""),"")</f>
        <v/>
      </c>
      <c r="HP293" s="56">
        <f>IFERROR(IF(($HJ293)&gt;0,($HM293*cfg_TroyOz)/($HJ293),""),"")</f>
        <v/>
      </c>
      <c r="HQ293" s="56">
        <f>IFERROR(IF(($HK293)&gt;0,($HN293*cfg_TroyOz)/($HK293),""),"")</f>
        <v/>
      </c>
      <c r="HR293" s="55">
        <f>SUMIFS(tblBudget[Waste_t],tblBudget[Month],$E293)</f>
        <v/>
      </c>
      <c r="HS293" s="55">
        <f>$HR293*$C293/$D293</f>
        <v/>
      </c>
      <c r="HT293" s="55">
        <f>SUMIFS(tblBudget[Waste_t],tblBudget[Month],"&lt;"&amp;$E293)+$HS293</f>
        <v/>
      </c>
      <c r="HU293" s="55">
        <f>SUMIFS(tblBudget[TMM_t],tblBudget[Month],$E293)</f>
        <v/>
      </c>
      <c r="HV293" s="55">
        <f>$HU293*$C293/$D293</f>
        <v/>
      </c>
      <c r="HW293" s="55">
        <f>SUMIFS(tblBudget[TMM_t],tblBudget[Month],"&lt;"&amp;$E293)+$HV293</f>
        <v/>
      </c>
      <c r="HX293" s="56">
        <f>IFERROR(IF(($HI293)&gt;0,($HR293)/($HI293),""),"")</f>
        <v/>
      </c>
      <c r="HY293" s="56">
        <f>IFERROR(IF(($HJ293)&gt;0,($HS293)/($HJ293),""),"")</f>
        <v/>
      </c>
      <c r="HZ293" s="56">
        <f>IFERROR(IF(($HK293)&gt;0,($HT293)/($HK293),""),"")</f>
        <v/>
      </c>
      <c r="IA293" s="55">
        <f>SUMIFS(tblBudget[Drill_m],tblBudget[Month],$E293)</f>
        <v/>
      </c>
      <c r="IB293" s="55">
        <f>$IA293*$C293/$D293</f>
        <v/>
      </c>
      <c r="IC293" s="55">
        <f>SUMIFS(tblBudget[Drill_m],tblBudget[Month],"&lt;"&amp;$E293)+$IB293</f>
        <v/>
      </c>
      <c r="ID293" s="55">
        <f>SUMIFS(tblBudget[Diesel_L],tblBudget[Month],$E293)</f>
        <v/>
      </c>
      <c r="IE293" s="55">
        <f>$ID293*$C293/$D293</f>
        <v/>
      </c>
      <c r="IF293" s="55">
        <f>SUMIFS(tblBudget[Diesel_L],tblBudget[Month],"&lt;"&amp;$E293)+$IE293</f>
        <v/>
      </c>
      <c r="IG293" s="55">
        <f>SUMIFS(tblBudget[Milled_t],tblBudget[Month],$E293)</f>
        <v/>
      </c>
      <c r="IH293" s="55">
        <f>$IG293*$C293/$D293</f>
        <v/>
      </c>
      <c r="II293" s="55">
        <f>SUMIFS(tblBudget[Milled_t],tblBudget[Month],"&lt;"&amp;$E293)+$IH293</f>
        <v/>
      </c>
      <c r="IJ293" s="55">
        <f>SUMIFS(tblBudget[Feed_oz],tblBudget[Month],$E293)</f>
        <v/>
      </c>
      <c r="IK293" s="55">
        <f>$IJ293*$C293/$D293</f>
        <v/>
      </c>
      <c r="IL293" s="55">
        <f>SUMIFS(tblBudget[Feed_oz],tblBudget[Month],"&lt;"&amp;$E293)+$IK293</f>
        <v/>
      </c>
      <c r="IM293" s="55">
        <f>SUMIFS(tblBudget[Recovered_oz],tblBudget[Month],$E293)</f>
        <v/>
      </c>
      <c r="IN293" s="55">
        <f>$IM293*$C293/$D293</f>
        <v/>
      </c>
      <c r="IO293" s="55">
        <f>SUMIFS(tblBudget[Recovered_oz],tblBudget[Month],"&lt;"&amp;$E293)+$IN293</f>
        <v/>
      </c>
      <c r="IP293" s="56">
        <f>IFERROR(IF(($IG293)&gt;0,($IJ293*cfg_TroyOz)/($IG293),""),"")</f>
        <v/>
      </c>
      <c r="IQ293" s="56">
        <f>IFERROR(IF(($IH293)&gt;0,($IK293*cfg_TroyOz)/($IH293),""),"")</f>
        <v/>
      </c>
      <c r="IR293" s="56">
        <f>IFERROR(IF(($II293)&gt;0,($IL293*cfg_TroyOz)/($II293),""),"")</f>
        <v/>
      </c>
      <c r="IS293" s="67">
        <f>IFERROR(IF(($IJ293)&gt;0,($IM293)/($IJ293),""),"")</f>
        <v/>
      </c>
      <c r="IT293" s="67">
        <f>IFERROR(IF(($IK293)&gt;0,($IN293)/($IK293),""),"")</f>
        <v/>
      </c>
      <c r="IU293" s="67">
        <f>IFERROR(IF(($IL293)&gt;0,($IO293)/($IL293),""),"")</f>
        <v/>
      </c>
      <c r="IV293" s="55">
        <f>SUMIFS(tblBudget[Gold_Poured_oz],tblBudget[Month],$E293)</f>
        <v/>
      </c>
      <c r="IW293" s="55">
        <f>$IV293*$C293/$D293</f>
        <v/>
      </c>
      <c r="IX293" s="55">
        <f>SUMIFS(tblBudget[Gold_Poured_oz],tblBudget[Month],"&lt;"&amp;$E293)+$IW293</f>
        <v/>
      </c>
      <c r="IY293" s="57">
        <f>SUMIFS(tblBudget[Hours_Worked],tblBudget[Month],$E293)</f>
        <v/>
      </c>
      <c r="IZ293" s="57">
        <f>$IY293*$C293/$D293</f>
        <v/>
      </c>
      <c r="JA293" s="57">
        <f>SUMIFS(tblBudget[Hours_Worked],tblBudget[Month],"&lt;"&amp;$E293)+$IZ293</f>
        <v/>
      </c>
    </row>
    <row r="294">
      <c r="A294" s="54" t="n">
        <v>46315</v>
      </c>
      <c r="B294">
        <f>MONTH($A294)</f>
        <v/>
      </c>
      <c r="C294">
        <f>DAY($A294)</f>
        <v/>
      </c>
      <c r="D294">
        <f>DAY(EOMONTH($A294,0))</f>
        <v/>
      </c>
      <c r="E294" s="54">
        <f>DATE(YEAR($A294),MONTH($A294),1)</f>
        <v/>
      </c>
      <c r="F294" s="55">
        <f>SUMIFS(tblMovement[Tonnes_t],tblMovement[Date],$A294,tblMovement[Is_Ore],1,tblMovement[Source_Type],"Pit")</f>
        <v/>
      </c>
      <c r="G294" s="55">
        <f>IF($B294=$B293,$G293,0)+$F294</f>
        <v/>
      </c>
      <c r="H294" s="55">
        <f>$H293+$F294</f>
        <v/>
      </c>
      <c r="I294" s="55">
        <f>SUMIFS(tblMovement[Ore_oz],tblMovement[Date],$A294,tblMovement[Source_Type],"Pit")</f>
        <v/>
      </c>
      <c r="J294" s="55">
        <f>IF($B294=$B293,$J293,0)+$I294</f>
        <v/>
      </c>
      <c r="K294" s="55">
        <f>$K293+$I294</f>
        <v/>
      </c>
      <c r="L294" s="56">
        <f>IFERROR(IF(($F294)&gt;0,($I294*cfg_TroyOz)/($F294),""),"")</f>
        <v/>
      </c>
      <c r="M294" s="56">
        <f>IFERROR(IF(($G294)&gt;0,($J294*cfg_TroyOz)/($G294),""),"")</f>
        <v/>
      </c>
      <c r="N294" s="56">
        <f>IFERROR(IF(($H294)&gt;0,($K294*cfg_TroyOz)/($H294),""),"")</f>
        <v/>
      </c>
      <c r="O294" s="55">
        <f>SUMIFS(tblMovement[Tonnes_t],tblMovement[Date],$A294,tblMovement[Is_Ore],0,tblMovement[Source_Type],"Pit")</f>
        <v/>
      </c>
      <c r="P294" s="55">
        <f>IF($B294=$B293,$P293,0)+$O294</f>
        <v/>
      </c>
      <c r="Q294" s="55">
        <f>$Q293+$O294</f>
        <v/>
      </c>
      <c r="R294" s="55">
        <f>$F294+$O294</f>
        <v/>
      </c>
      <c r="S294" s="55">
        <f>IF($B294=$B293,$S293,0)+$R294</f>
        <v/>
      </c>
      <c r="T294" s="55">
        <f>$T293+$R294</f>
        <v/>
      </c>
      <c r="U294" s="56">
        <f>IFERROR(IF(($F294)&gt;0,($O294)/($F294),""),"")</f>
        <v/>
      </c>
      <c r="V294" s="56">
        <f>IFERROR(IF(($G294)&gt;0,($P294)/($G294),""),"")</f>
        <v/>
      </c>
      <c r="W294" s="56">
        <f>IFERROR(IF(($H294)&gt;0,($Q294)/($H294),""),"")</f>
        <v/>
      </c>
      <c r="X294" s="55">
        <f>SUMIFS(tblMovement[Tonnes_t],tblMovement[Date],$A294,tblMovement[Source_Type],"Stockpile")</f>
        <v/>
      </c>
      <c r="Y294" s="55">
        <f>IF($B294=$B293,$Y293,0)+$X294</f>
        <v/>
      </c>
      <c r="Z294" s="55">
        <f>$Z293+$X294</f>
        <v/>
      </c>
      <c r="AA294" s="55">
        <f>SUMIFS(tblMiningDaily[Drill_m],tblMiningDaily[Date],$A294)</f>
        <v/>
      </c>
      <c r="AB294" s="55">
        <f>IF($B294=$B293,$AB293,0)+$AA294</f>
        <v/>
      </c>
      <c r="AC294" s="55">
        <f>$AC293+$AA294</f>
        <v/>
      </c>
      <c r="AD294" s="55">
        <f>SUMIFS(tblMiningDaily[Blast_t],tblMiningDaily[Date],$A294)</f>
        <v/>
      </c>
      <c r="AE294" s="55">
        <f>IF($B294=$B293,$AE293,0)+$AD294</f>
        <v/>
      </c>
      <c r="AF294" s="55">
        <f>$AF293+$AD294</f>
        <v/>
      </c>
      <c r="AG294" s="55">
        <f>SUMIFS(tblMiningDaily[Explosives_kg],tblMiningDaily[Date],$A294)</f>
        <v/>
      </c>
      <c r="AH294" s="55">
        <f>IF($B294=$B293,$AH293,0)+$AG294</f>
        <v/>
      </c>
      <c r="AI294" s="55">
        <f>$AI293+$AG294</f>
        <v/>
      </c>
      <c r="AJ294" s="56">
        <f>IFERROR(IF(($AD294)&gt;0,($AG294)/($AD294),""),"")</f>
        <v/>
      </c>
      <c r="AK294" s="56">
        <f>IFERROR(IF(($AE294)&gt;0,($AH294)/($AE294),""),"")</f>
        <v/>
      </c>
      <c r="AL294" s="56">
        <f>IFERROR(IF(($AF294)&gt;0,($AI294)/($AF294),""),"")</f>
        <v/>
      </c>
      <c r="AM294" s="55">
        <f>SUMIFS(tblMiningDaily[Diesel_L],tblMiningDaily[Date],$A294)</f>
        <v/>
      </c>
      <c r="AN294" s="55">
        <f>IF($B294=$B293,$AN293,0)+$AM294</f>
        <v/>
      </c>
      <c r="AO294" s="55">
        <f>$AO293+$AM294</f>
        <v/>
      </c>
      <c r="AP294" s="55">
        <f>SUMIFS(tblMiningDaily[Dewatering_m3],tblMiningDaily[Date],$A294)</f>
        <v/>
      </c>
      <c r="AQ294" s="55">
        <f>IF($B294=$B293,$AQ293,0)+$AP294</f>
        <v/>
      </c>
      <c r="AR294" s="55">
        <f>$AR293+$AP294</f>
        <v/>
      </c>
      <c r="AS294" s="57">
        <f>SUMIFS(tblFleet[Calendar_h],tblFleet[Date],$A294,tblFleet[Equipment_Class],"Excavator")</f>
        <v/>
      </c>
      <c r="AT294" s="57">
        <f>IF($B294=$B293,$AT293,0)+$AS294</f>
        <v/>
      </c>
      <c r="AU294" s="57">
        <f>$AU293+$AS294</f>
        <v/>
      </c>
      <c r="AV294" s="57">
        <f>SUMIFS(tblFleet[Available_h],tblFleet[Date],$A294,tblFleet[Equipment_Class],"Excavator")</f>
        <v/>
      </c>
      <c r="AW294" s="57">
        <f>IF($B294=$B293,$AW293,0)+$AV294</f>
        <v/>
      </c>
      <c r="AX294" s="57">
        <f>$AX293+$AV294</f>
        <v/>
      </c>
      <c r="AY294" s="57">
        <f>SUMIFS(tblFleet[Operating_h],tblFleet[Date],$A294,tblFleet[Equipment_Class],"Excavator")</f>
        <v/>
      </c>
      <c r="AZ294" s="57">
        <f>IF($B294=$B293,$AZ293,0)+$AY294</f>
        <v/>
      </c>
      <c r="BA294" s="57">
        <f>$BA293+$AY294</f>
        <v/>
      </c>
      <c r="BB294" s="67">
        <f>IFERROR(IF(($AS294)&gt;0,($AV294)/($AS294),""),"")</f>
        <v/>
      </c>
      <c r="BC294" s="67">
        <f>IFERROR(IF(($AT294)&gt;0,($AW294)/($AT294),""),"")</f>
        <v/>
      </c>
      <c r="BD294" s="67">
        <f>IFERROR(IF(($AU294)&gt;0,($AX294)/($AU294),""),"")</f>
        <v/>
      </c>
      <c r="BE294" s="67">
        <f>IFERROR(IF(($AV294)&gt;0,($AY294)/($AV294),""),"")</f>
        <v/>
      </c>
      <c r="BF294" s="67">
        <f>IFERROR(IF(($AW294)&gt;0,($AZ294)/($AW294),""),"")</f>
        <v/>
      </c>
      <c r="BG294" s="67">
        <f>IFERROR(IF(($AX294)&gt;0,($BA294)/($AX294),""),"")</f>
        <v/>
      </c>
      <c r="BH294" s="57">
        <f>SUMIFS(tblFleet[Calendar_h],tblFleet[Date],$A294,tblFleet[Equipment_Class],"Haul Truck")</f>
        <v/>
      </c>
      <c r="BI294" s="57">
        <f>IF($B294=$B293,$BI293,0)+$BH294</f>
        <v/>
      </c>
      <c r="BJ294" s="57">
        <f>$BJ293+$BH294</f>
        <v/>
      </c>
      <c r="BK294" s="57">
        <f>SUMIFS(tblFleet[Available_h],tblFleet[Date],$A294,tblFleet[Equipment_Class],"Haul Truck")</f>
        <v/>
      </c>
      <c r="BL294" s="57">
        <f>IF($B294=$B293,$BL293,0)+$BK294</f>
        <v/>
      </c>
      <c r="BM294" s="57">
        <f>$BM293+$BK294</f>
        <v/>
      </c>
      <c r="BN294" s="57">
        <f>SUMIFS(tblFleet[Operating_h],tblFleet[Date],$A294,tblFleet[Equipment_Class],"Haul Truck")</f>
        <v/>
      </c>
      <c r="BO294" s="57">
        <f>IF($B294=$B293,$BO293,0)+$BN294</f>
        <v/>
      </c>
      <c r="BP294" s="57">
        <f>$BP293+$BN294</f>
        <v/>
      </c>
      <c r="BQ294" s="67">
        <f>IFERROR(IF(($BH294)&gt;0,($BK294)/($BH294),""),"")</f>
        <v/>
      </c>
      <c r="BR294" s="67">
        <f>IFERROR(IF(($BI294)&gt;0,($BL294)/($BI294),""),"")</f>
        <v/>
      </c>
      <c r="BS294" s="67">
        <f>IFERROR(IF(($BJ294)&gt;0,($BM294)/($BJ294),""),"")</f>
        <v/>
      </c>
      <c r="BT294" s="67">
        <f>IFERROR(IF(($BK294)&gt;0,($BN294)/($BK294),""),"")</f>
        <v/>
      </c>
      <c r="BU294" s="67">
        <f>IFERROR(IF(($BL294)&gt;0,($BO294)/($BL294),""),"")</f>
        <v/>
      </c>
      <c r="BV294" s="67">
        <f>IFERROR(IF(($BM294)&gt;0,($BP294)/($BM294),""),"")</f>
        <v/>
      </c>
      <c r="BW294" s="55">
        <f>SUMIFS(tblPlant[Crushed_t],tblPlant[Date],$A294)</f>
        <v/>
      </c>
      <c r="BX294" s="55">
        <f>IF($B294=$B293,$BX293,0)+$BW294</f>
        <v/>
      </c>
      <c r="BY294" s="55">
        <f>$BY293+$BW294</f>
        <v/>
      </c>
      <c r="BZ294" s="55">
        <f>SUMIFS(tblPlant[Milled_t],tblPlant[Date],$A294)</f>
        <v/>
      </c>
      <c r="CA294" s="55">
        <f>IF($B294=$B293,$CA293,0)+$BZ294</f>
        <v/>
      </c>
      <c r="CB294" s="55">
        <f>$CB293+$BZ294</f>
        <v/>
      </c>
      <c r="CC294" s="55">
        <f>SUMIFS(tblPlant[Feed_oz],tblPlant[Date],$A294)</f>
        <v/>
      </c>
      <c r="CD294" s="55">
        <f>IF($B294=$B293,$CD293,0)+$CC294</f>
        <v/>
      </c>
      <c r="CE294" s="55">
        <f>$CE293+$CC294</f>
        <v/>
      </c>
      <c r="CF294" s="55">
        <f>SUMIFS(tblPlant[Tails_oz],tblPlant[Date],$A294)</f>
        <v/>
      </c>
      <c r="CG294" s="55">
        <f>IF($B294=$B293,$CG293,0)+$CF294</f>
        <v/>
      </c>
      <c r="CH294" s="55">
        <f>$CH293+$CF294</f>
        <v/>
      </c>
      <c r="CI294" s="55">
        <f>SUMIFS(tblPlant[Recovered_oz],tblPlant[Date],$A294)</f>
        <v/>
      </c>
      <c r="CJ294" s="55">
        <f>IF($B294=$B293,$CJ293,0)+$CI294</f>
        <v/>
      </c>
      <c r="CK294" s="55">
        <f>$CK293+$CI294</f>
        <v/>
      </c>
      <c r="CL294" s="56">
        <f>IFERROR(IF(($BZ294)&gt;0,($CC294*cfg_TroyOz)/($BZ294),""),"")</f>
        <v/>
      </c>
      <c r="CM294" s="56">
        <f>IFERROR(IF(($CA294)&gt;0,($CD294*cfg_TroyOz)/($CA294),""),"")</f>
        <v/>
      </c>
      <c r="CN294" s="56">
        <f>IFERROR(IF(($CB294)&gt;0,($CE294*cfg_TroyOz)/($CB294),""),"")</f>
        <v/>
      </c>
      <c r="CO294" s="56">
        <f>IFERROR(IF(($BZ294)&gt;0,($CF294*cfg_TroyOz)/($BZ294),""),"")</f>
        <v/>
      </c>
      <c r="CP294" s="56">
        <f>IFERROR(IF(($CA294)&gt;0,($CG294*cfg_TroyOz)/($CA294),""),"")</f>
        <v/>
      </c>
      <c r="CQ294" s="56">
        <f>IFERROR(IF(($CB294)&gt;0,($CH294*cfg_TroyOz)/($CB294),""),"")</f>
        <v/>
      </c>
      <c r="CR294" s="67">
        <f>IFERROR(IF(($CC294)&gt;0,($CI294)/($CC294),""),"")</f>
        <v/>
      </c>
      <c r="CS294" s="67">
        <f>IFERROR(IF(($CD294)&gt;0,($CJ294)/($CD294),""),"")</f>
        <v/>
      </c>
      <c r="CT294" s="67">
        <f>IFERROR(IF(($CE294)&gt;0,($CK294)/($CE294),""),"")</f>
        <v/>
      </c>
      <c r="CU294" s="55">
        <f>SUMIFS(tblPlant[Gravity_Gold_oz],tblPlant[Date],$A294)</f>
        <v/>
      </c>
      <c r="CV294" s="55">
        <f>IF($B294=$B293,$CV293,0)+$CU294</f>
        <v/>
      </c>
      <c r="CW294" s="55">
        <f>$CW293+$CU294</f>
        <v/>
      </c>
      <c r="CX294" s="55">
        <f>SUMIFS(tblPlant[Gold_Poured_oz],tblPlant[Date],$A294)</f>
        <v/>
      </c>
      <c r="CY294" s="55">
        <f>IF($B294=$B293,$CY293,0)+$CX294</f>
        <v/>
      </c>
      <c r="CZ294" s="55">
        <f>$CZ293+$CX294</f>
        <v/>
      </c>
      <c r="DA294" s="57">
        <f>SUMIFS(tblPlant[Mill_Run_h],tblPlant[Date],$A294)</f>
        <v/>
      </c>
      <c r="DB294" s="57">
        <f>IF($B294=$B293,$DB293,0)+$DA294</f>
        <v/>
      </c>
      <c r="DC294" s="57">
        <f>$DC293+$DA294</f>
        <v/>
      </c>
      <c r="DD294" s="57">
        <f>SUMIFS(tblPlant[Mill_Planned_Maint_h],tblPlant[Date],$A294)</f>
        <v/>
      </c>
      <c r="DE294" s="57">
        <f>IF($B294=$B293,$DE293,0)+$DD294</f>
        <v/>
      </c>
      <c r="DF294" s="57">
        <f>$DF293+$DD294</f>
        <v/>
      </c>
      <c r="DG294" s="57">
        <f>SUMIFS(tblPlant[Mill_Unplanned_Down_h],tblPlant[Date],$A294)</f>
        <v/>
      </c>
      <c r="DH294" s="57">
        <f>IF($B294=$B293,$DH293,0)+$DG294</f>
        <v/>
      </c>
      <c r="DI294" s="57">
        <f>$DI293+$DG294</f>
        <v/>
      </c>
      <c r="DJ294" s="57">
        <f>COUNTIFS(tblPlant[Date],$A294,tblPlant[Mill_Run_h],"&lt;&gt;")*24</f>
        <v/>
      </c>
      <c r="DK294" s="57">
        <f>IF($B294=$B293,$DK293,0)+$DJ294</f>
        <v/>
      </c>
      <c r="DL294" s="57">
        <f>$DL293+$DJ294</f>
        <v/>
      </c>
      <c r="DM294" s="57">
        <f>SUMIFS(tblPlant[Crusher_Run_h],tblPlant[Date],$A294)</f>
        <v/>
      </c>
      <c r="DN294" s="57">
        <f>IF($B294=$B293,$DN293,0)+$DM294</f>
        <v/>
      </c>
      <c r="DO294" s="57">
        <f>$DO293+$DM294</f>
        <v/>
      </c>
      <c r="DP294" s="55">
        <f>IFERROR(IF(($DA294)&gt;0,($BZ294)/($DA294),""),"")</f>
        <v/>
      </c>
      <c r="DQ294" s="55">
        <f>IFERROR(IF(($DB294)&gt;0,($CA294)/($DB294),""),"")</f>
        <v/>
      </c>
      <c r="DR294" s="55">
        <f>IFERROR(IF(($DC294)&gt;0,($CB294)/($DC294),""),"")</f>
        <v/>
      </c>
      <c r="DS294" s="67">
        <f>IFERROR(IF(($DJ294)&gt;0,($DJ294-$DD294-$DG294)/($DJ294),""),"")</f>
        <v/>
      </c>
      <c r="DT294" s="67">
        <f>IFERROR(IF(($DK294)&gt;0,($DK294-$DE294-$DH294)/($DK294),""),"")</f>
        <v/>
      </c>
      <c r="DU294" s="67">
        <f>IFERROR(IF(($DL294)&gt;0,($DL294-$DF294-$DI294)/($DL294),""),"")</f>
        <v/>
      </c>
      <c r="DV294" s="67">
        <f>IFERROR(IF(($DJ294-$DD294-$DG294)&gt;0,($DA294)/($DJ294-$DD294-$DG294),""),"")</f>
        <v/>
      </c>
      <c r="DW294" s="67">
        <f>IFERROR(IF(($DK294-$DE294-$DH294)&gt;0,($DB294)/($DK294-$DE294-$DH294),""),"")</f>
        <v/>
      </c>
      <c r="DX294" s="67">
        <f>IFERROR(IF(($DL294-$DF294-$DI294)&gt;0,($DC294)/($DL294-$DF294-$DI294),""),"")</f>
        <v/>
      </c>
      <c r="DY294" s="55">
        <f>SUMIFS(tblPlant[Cyanide_kg],tblPlant[Date],$A294)</f>
        <v/>
      </c>
      <c r="DZ294" s="55">
        <f>IF($B294=$B293,$DZ293,0)+$DY294</f>
        <v/>
      </c>
      <c r="EA294" s="55">
        <f>$EA293+$DY294</f>
        <v/>
      </c>
      <c r="EB294" s="55">
        <f>SUMIFS(tblPlant[Lime_kg],tblPlant[Date],$A294)</f>
        <v/>
      </c>
      <c r="EC294" s="55">
        <f>IF($B294=$B293,$EC293,0)+$EB294</f>
        <v/>
      </c>
      <c r="ED294" s="55">
        <f>$ED293+$EB294</f>
        <v/>
      </c>
      <c r="EE294" s="55">
        <f>SUMIFS(tblPlant[Grinding_Media_kg],tblPlant[Date],$A294)</f>
        <v/>
      </c>
      <c r="EF294" s="55">
        <f>IF($B294=$B293,$EF293,0)+$EE294</f>
        <v/>
      </c>
      <c r="EG294" s="55">
        <f>$EG293+$EE294</f>
        <v/>
      </c>
      <c r="EH294" s="55">
        <f>SUMIFS(tblPlant[Power_kWh],tblPlant[Date],$A294)</f>
        <v/>
      </c>
      <c r="EI294" s="55">
        <f>IF($B294=$B293,$EI293,0)+$EH294</f>
        <v/>
      </c>
      <c r="EJ294" s="55">
        <f>$EJ293+$EH294</f>
        <v/>
      </c>
      <c r="EK294" s="55">
        <f>SUMIFS(tblPlant[Raw_Water_m3],tblPlant[Date],$A294)</f>
        <v/>
      </c>
      <c r="EL294" s="55">
        <f>IF($B294=$B293,$EL293,0)+$EK294</f>
        <v/>
      </c>
      <c r="EM294" s="55">
        <f>$EM293+$EK294</f>
        <v/>
      </c>
      <c r="EN294" s="56">
        <f>IFERROR(IF(($BZ294)&gt;0,($DY294)/($BZ294),""),"")</f>
        <v/>
      </c>
      <c r="EO294" s="56">
        <f>IFERROR(IF(($CA294)&gt;0,($DZ294)/($CA294),""),"")</f>
        <v/>
      </c>
      <c r="EP294" s="56">
        <f>IFERROR(IF(($CB294)&gt;0,($EA294)/($CB294),""),"")</f>
        <v/>
      </c>
      <c r="EQ294" s="56">
        <f>IFERROR(IF(($BZ294)&gt;0,($EB294)/($BZ294),""),"")</f>
        <v/>
      </c>
      <c r="ER294" s="56">
        <f>IFERROR(IF(($CA294)&gt;0,($EC294)/($CA294),""),"")</f>
        <v/>
      </c>
      <c r="ES294" s="56">
        <f>IFERROR(IF(($CB294)&gt;0,($ED294)/($CB294),""),"")</f>
        <v/>
      </c>
      <c r="ET294" s="56">
        <f>IFERROR(IF(($BZ294)&gt;0,($EE294)/($BZ294),""),"")</f>
        <v/>
      </c>
      <c r="EU294" s="56">
        <f>IFERROR(IF(($CA294)&gt;0,($EF294)/($CA294),""),"")</f>
        <v/>
      </c>
      <c r="EV294" s="56">
        <f>IFERROR(IF(($CB294)&gt;0,($EG294)/($CB294),""),"")</f>
        <v/>
      </c>
      <c r="EW294" s="76">
        <f>IFERROR(IF(($BZ294)&gt;0,($EH294)/($BZ294),""),"")</f>
        <v/>
      </c>
      <c r="EX294" s="76">
        <f>IFERROR(IF(($CA294)&gt;0,($EI294)/($CA294),""),"")</f>
        <v/>
      </c>
      <c r="EY294" s="76">
        <f>IFERROR(IF(($CB294)&gt;0,($EJ294)/($CB294),""),"")</f>
        <v/>
      </c>
      <c r="EZ294" s="56">
        <f>IFERROR(IF(($BZ294)&gt;0,($EK294)/($BZ294),""),"")</f>
        <v/>
      </c>
      <c r="FA294" s="56">
        <f>IFERROR(IF(($CA294)&gt;0,($EL294)/($CA294),""),"")</f>
        <v/>
      </c>
      <c r="FB294" s="56">
        <f>IFERROR(IF(($CB294)&gt;0,($EM294)/($CB294),""),"")</f>
        <v/>
      </c>
      <c r="FC294" s="55">
        <f>IF(SUMIFS(tblPlant[GIC_oz],tblPlant[Date],$A294)&gt;0,SUMIFS(tblPlant[GIC_oz],tblPlant[Date],$A294),"")</f>
        <v/>
      </c>
      <c r="FD294" s="55">
        <f>SUMIFS(tblGold[Gold_oz],tblGold[Date],$A294,tblGold[Type],"Shipment")</f>
        <v/>
      </c>
      <c r="FE294" s="55">
        <f>IF($B294=$B293,$FE293,0)+$FD294</f>
        <v/>
      </c>
      <c r="FF294" s="55">
        <f>$FF293+$FD294</f>
        <v/>
      </c>
      <c r="FG294" s="55">
        <f>SUMIFS(tblGold[Gold_oz],tblGold[Date],$A294,tblGold[Type],"Sale")</f>
        <v/>
      </c>
      <c r="FH294" s="55">
        <f>IF($B294=$B293,$FH293,0)+$FG294</f>
        <v/>
      </c>
      <c r="FI294" s="55">
        <f>$FI293+$FG294</f>
        <v/>
      </c>
      <c r="FJ294" s="55">
        <f>SUMIFS(tblGold[Dore_kg],tblGold[Date],$A294,tblGold[Type],"Shipment")</f>
        <v/>
      </c>
      <c r="FK294" s="55">
        <f>IF($B294=$B293,$FK293,0)+$FJ294</f>
        <v/>
      </c>
      <c r="FL294" s="55">
        <f>$FL293+$FJ294</f>
        <v/>
      </c>
      <c r="FM294" s="57">
        <f>SUMIFS(tblSafety[Hours_Total],tblSafety[Date],$A294)</f>
        <v/>
      </c>
      <c r="FN294" s="57">
        <f>IF($B294=$B293,$FN293,0)+$FM294</f>
        <v/>
      </c>
      <c r="FO294" s="57">
        <f>$FO293+$FM294</f>
        <v/>
      </c>
      <c r="FP294" s="62">
        <f>SUMIFS(tblSafety[Fatality],tblSafety[Date],$A294)</f>
        <v/>
      </c>
      <c r="FQ294" s="62">
        <f>IF($B294=$B293,$FQ293,0)+$FP294</f>
        <v/>
      </c>
      <c r="FR294" s="62">
        <f>$FR293+$FP294</f>
        <v/>
      </c>
      <c r="FS294" s="62">
        <f>SUMIFS(tblSafety[LTI],tblSafety[Date],$A294)</f>
        <v/>
      </c>
      <c r="FT294" s="62">
        <f>IF($B294=$B293,$FT293,0)+$FS294</f>
        <v/>
      </c>
      <c r="FU294" s="62">
        <f>$FU293+$FS294</f>
        <v/>
      </c>
      <c r="FV294" s="62">
        <f>SUMIFS(tblSafety[RWI],tblSafety[Date],$A294)</f>
        <v/>
      </c>
      <c r="FW294" s="62">
        <f>IF($B294=$B293,$FW293,0)+$FV294</f>
        <v/>
      </c>
      <c r="FX294" s="62">
        <f>$FX293+$FV294</f>
        <v/>
      </c>
      <c r="FY294" s="62">
        <f>SUMIFS(tblSafety[MTI],tblSafety[Date],$A294)</f>
        <v/>
      </c>
      <c r="FZ294" s="62">
        <f>IF($B294=$B293,$FZ293,0)+$FY294</f>
        <v/>
      </c>
      <c r="GA294" s="62">
        <f>$GA293+$FY294</f>
        <v/>
      </c>
      <c r="GB294" s="62">
        <f>SUMIFS(tblSafety[FAI],tblSafety[Date],$A294)</f>
        <v/>
      </c>
      <c r="GC294" s="62">
        <f>IF($B294=$B293,$GC293,0)+$GB294</f>
        <v/>
      </c>
      <c r="GD294" s="62">
        <f>$GD293+$GB294</f>
        <v/>
      </c>
      <c r="GE294" s="62">
        <f>SUMIFS(tblSafety[Recordables],tblSafety[Date],$A294)</f>
        <v/>
      </c>
      <c r="GF294" s="62">
        <f>IF($B294=$B293,$GF293,0)+$GE294</f>
        <v/>
      </c>
      <c r="GG294" s="62">
        <f>$GG293+$GE294</f>
        <v/>
      </c>
      <c r="GH294" s="62">
        <f>SUMIFS(tblSafety[Near_Miss],tblSafety[Date],$A294)</f>
        <v/>
      </c>
      <c r="GI294" s="62">
        <f>IF($B294=$B293,$GI293,0)+$GH294</f>
        <v/>
      </c>
      <c r="GJ294" s="62">
        <f>$GJ293+$GH294</f>
        <v/>
      </c>
      <c r="GK294" s="62">
        <f>SUMIFS(tblSafety[Hazard_Reports],tblSafety[Date],$A294)</f>
        <v/>
      </c>
      <c r="GL294" s="62">
        <f>IF($B294=$B293,$GL293,0)+$GK294</f>
        <v/>
      </c>
      <c r="GM294" s="62">
        <f>$GM293+$GK294</f>
        <v/>
      </c>
      <c r="GN294" s="62">
        <f>SUMIFS(tblSafety[HPI],tblSafety[Date],$A294)</f>
        <v/>
      </c>
      <c r="GO294" s="62">
        <f>IF($B294=$B293,$GO293,0)+$GN294</f>
        <v/>
      </c>
      <c r="GP294" s="62">
        <f>$GP293+$GN294</f>
        <v/>
      </c>
      <c r="GQ294" s="62">
        <f>SUMIFS(tblSafety[Env_Incidents],tblSafety[Date],$A294)</f>
        <v/>
      </c>
      <c r="GR294" s="62">
        <f>IF($B294=$B293,$GR293,0)+$GQ294</f>
        <v/>
      </c>
      <c r="GS294" s="62">
        <f>$GS293+$GQ294</f>
        <v/>
      </c>
      <c r="GT294" s="62">
        <f>SUMIFS(tblSafety[Community_Incidents],tblSafety[Date],$A294)</f>
        <v/>
      </c>
      <c r="GU294" s="62">
        <f>IF($B294=$B293,$GU293,0)+$GT294</f>
        <v/>
      </c>
      <c r="GV294" s="62">
        <f>$GV293+$GT294</f>
        <v/>
      </c>
      <c r="GW294" s="62">
        <f>SUMIFS(tblSafety[Vehicle_Incidents],tblSafety[Date],$A294)</f>
        <v/>
      </c>
      <c r="GX294" s="62">
        <f>IF($B294=$B293,$GX293,0)+$GW294</f>
        <v/>
      </c>
      <c r="GY294" s="62">
        <f>$GY293+$GW294</f>
        <v/>
      </c>
      <c r="GZ294" s="62">
        <f>SUMIFS(tblSafety[Toolbox_Talks],tblSafety[Date],$A294)</f>
        <v/>
      </c>
      <c r="HA294" s="62">
        <f>IF($B294=$B293,$HA293,0)+$GZ294</f>
        <v/>
      </c>
      <c r="HB294" s="62">
        <f>$HB293+$GZ294</f>
        <v/>
      </c>
      <c r="HC294" s="62">
        <f>SUMIFS(tblSafety[Inspections],tblSafety[Date],$A294)</f>
        <v/>
      </c>
      <c r="HD294" s="62">
        <f>IF($B294=$B293,$HD293,0)+$HC294</f>
        <v/>
      </c>
      <c r="HE294" s="62">
        <f>$HE293+$HC294</f>
        <v/>
      </c>
      <c r="HF294" s="56">
        <f>IFERROR((SUMIFS(tblSafety[Recordables],tblSafety[Date],"&gt;="&amp;EDATE($E294,-12),tblSafety[Date],"&lt;="&amp;$A294)+SUMIFS(tblSafetyHistory[Recordables],tblSafetyHistory[Month],"&gt;="&amp;EDATE($E294,-12),tblSafetyHistory[Month],"&lt;"&amp;cfg_YearStart))/(SUMIFS(tblSafety[Hours_Total],tblSafety[Date],"&gt;="&amp;EDATE($E294,-12),tblSafety[Date],"&lt;="&amp;$A294)+SUMIFS(tblSafetyHistory[Hours_Total],tblSafetyHistory[Month],"&gt;="&amp;EDATE($E294,-12),tblSafetyHistory[Month],"&lt;"&amp;cfg_YearStart))*1000000,"")</f>
        <v/>
      </c>
      <c r="HG294" s="56">
        <f>IFERROR((SUMIFS(tblSafety[LTI],tblSafety[Date],"&gt;="&amp;EDATE($E294,-12),tblSafety[Date],"&lt;="&amp;$A294)+SUMIFS(tblSafetyHistory[LTI],tblSafetyHistory[Month],"&gt;="&amp;EDATE($E294,-12),tblSafetyHistory[Month],"&lt;"&amp;cfg_YearStart))/(SUMIFS(tblSafety[Hours_Total],tblSafety[Date],"&gt;="&amp;EDATE($E294,-12),tblSafety[Date],"&lt;="&amp;$A294)+SUMIFS(tblSafetyHistory[Hours_Total],tblSafetyHistory[Month],"&gt;="&amp;EDATE($E294,-12),tblSafetyHistory[Month],"&lt;"&amp;cfg_YearStart))*1000000,"")</f>
        <v/>
      </c>
      <c r="HH294" s="62">
        <f>IF(MAX(N(cfg_PriorLTIDate),_xlfn.MAXIFS(tblSafety[Date],tblSafety[LTI],"&gt;0",tblSafety[Date],"&lt;="&amp;$A294))=0,"",$A294-MAX(N(cfg_PriorLTIDate),_xlfn.MAXIFS(tblSafety[Date],tblSafety[LTI],"&gt;0",tblSafety[Date],"&lt;="&amp;$A294)))</f>
        <v/>
      </c>
      <c r="HI294" s="55">
        <f>SUMIFS(tblBudget[Ore_Mined_t],tblBudget[Month],$E294)</f>
        <v/>
      </c>
      <c r="HJ294" s="55">
        <f>$HI294*$C294/$D294</f>
        <v/>
      </c>
      <c r="HK294" s="55">
        <f>SUMIFS(tblBudget[Ore_Mined_t],tblBudget[Month],"&lt;"&amp;$E294)+$HJ294</f>
        <v/>
      </c>
      <c r="HL294" s="55">
        <f>SUMIFS(tblBudget[Ore_oz],tblBudget[Month],$E294)</f>
        <v/>
      </c>
      <c r="HM294" s="55">
        <f>$HL294*$C294/$D294</f>
        <v/>
      </c>
      <c r="HN294" s="55">
        <f>SUMIFS(tblBudget[Ore_oz],tblBudget[Month],"&lt;"&amp;$E294)+$HM294</f>
        <v/>
      </c>
      <c r="HO294" s="56">
        <f>IFERROR(IF(($HI294)&gt;0,($HL294*cfg_TroyOz)/($HI294),""),"")</f>
        <v/>
      </c>
      <c r="HP294" s="56">
        <f>IFERROR(IF(($HJ294)&gt;0,($HM294*cfg_TroyOz)/($HJ294),""),"")</f>
        <v/>
      </c>
      <c r="HQ294" s="56">
        <f>IFERROR(IF(($HK294)&gt;0,($HN294*cfg_TroyOz)/($HK294),""),"")</f>
        <v/>
      </c>
      <c r="HR294" s="55">
        <f>SUMIFS(tblBudget[Waste_t],tblBudget[Month],$E294)</f>
        <v/>
      </c>
      <c r="HS294" s="55">
        <f>$HR294*$C294/$D294</f>
        <v/>
      </c>
      <c r="HT294" s="55">
        <f>SUMIFS(tblBudget[Waste_t],tblBudget[Month],"&lt;"&amp;$E294)+$HS294</f>
        <v/>
      </c>
      <c r="HU294" s="55">
        <f>SUMIFS(tblBudget[TMM_t],tblBudget[Month],$E294)</f>
        <v/>
      </c>
      <c r="HV294" s="55">
        <f>$HU294*$C294/$D294</f>
        <v/>
      </c>
      <c r="HW294" s="55">
        <f>SUMIFS(tblBudget[TMM_t],tblBudget[Month],"&lt;"&amp;$E294)+$HV294</f>
        <v/>
      </c>
      <c r="HX294" s="56">
        <f>IFERROR(IF(($HI294)&gt;0,($HR294)/($HI294),""),"")</f>
        <v/>
      </c>
      <c r="HY294" s="56">
        <f>IFERROR(IF(($HJ294)&gt;0,($HS294)/($HJ294),""),"")</f>
        <v/>
      </c>
      <c r="HZ294" s="56">
        <f>IFERROR(IF(($HK294)&gt;0,($HT294)/($HK294),""),"")</f>
        <v/>
      </c>
      <c r="IA294" s="55">
        <f>SUMIFS(tblBudget[Drill_m],tblBudget[Month],$E294)</f>
        <v/>
      </c>
      <c r="IB294" s="55">
        <f>$IA294*$C294/$D294</f>
        <v/>
      </c>
      <c r="IC294" s="55">
        <f>SUMIFS(tblBudget[Drill_m],tblBudget[Month],"&lt;"&amp;$E294)+$IB294</f>
        <v/>
      </c>
      <c r="ID294" s="55">
        <f>SUMIFS(tblBudget[Diesel_L],tblBudget[Month],$E294)</f>
        <v/>
      </c>
      <c r="IE294" s="55">
        <f>$ID294*$C294/$D294</f>
        <v/>
      </c>
      <c r="IF294" s="55">
        <f>SUMIFS(tblBudget[Diesel_L],tblBudget[Month],"&lt;"&amp;$E294)+$IE294</f>
        <v/>
      </c>
      <c r="IG294" s="55">
        <f>SUMIFS(tblBudget[Milled_t],tblBudget[Month],$E294)</f>
        <v/>
      </c>
      <c r="IH294" s="55">
        <f>$IG294*$C294/$D294</f>
        <v/>
      </c>
      <c r="II294" s="55">
        <f>SUMIFS(tblBudget[Milled_t],tblBudget[Month],"&lt;"&amp;$E294)+$IH294</f>
        <v/>
      </c>
      <c r="IJ294" s="55">
        <f>SUMIFS(tblBudget[Feed_oz],tblBudget[Month],$E294)</f>
        <v/>
      </c>
      <c r="IK294" s="55">
        <f>$IJ294*$C294/$D294</f>
        <v/>
      </c>
      <c r="IL294" s="55">
        <f>SUMIFS(tblBudget[Feed_oz],tblBudget[Month],"&lt;"&amp;$E294)+$IK294</f>
        <v/>
      </c>
      <c r="IM294" s="55">
        <f>SUMIFS(tblBudget[Recovered_oz],tblBudget[Month],$E294)</f>
        <v/>
      </c>
      <c r="IN294" s="55">
        <f>$IM294*$C294/$D294</f>
        <v/>
      </c>
      <c r="IO294" s="55">
        <f>SUMIFS(tblBudget[Recovered_oz],tblBudget[Month],"&lt;"&amp;$E294)+$IN294</f>
        <v/>
      </c>
      <c r="IP294" s="56">
        <f>IFERROR(IF(($IG294)&gt;0,($IJ294*cfg_TroyOz)/($IG294),""),"")</f>
        <v/>
      </c>
      <c r="IQ294" s="56">
        <f>IFERROR(IF(($IH294)&gt;0,($IK294*cfg_TroyOz)/($IH294),""),"")</f>
        <v/>
      </c>
      <c r="IR294" s="56">
        <f>IFERROR(IF(($II294)&gt;0,($IL294*cfg_TroyOz)/($II294),""),"")</f>
        <v/>
      </c>
      <c r="IS294" s="67">
        <f>IFERROR(IF(($IJ294)&gt;0,($IM294)/($IJ294),""),"")</f>
        <v/>
      </c>
      <c r="IT294" s="67">
        <f>IFERROR(IF(($IK294)&gt;0,($IN294)/($IK294),""),"")</f>
        <v/>
      </c>
      <c r="IU294" s="67">
        <f>IFERROR(IF(($IL294)&gt;0,($IO294)/($IL294),""),"")</f>
        <v/>
      </c>
      <c r="IV294" s="55">
        <f>SUMIFS(tblBudget[Gold_Poured_oz],tblBudget[Month],$E294)</f>
        <v/>
      </c>
      <c r="IW294" s="55">
        <f>$IV294*$C294/$D294</f>
        <v/>
      </c>
      <c r="IX294" s="55">
        <f>SUMIFS(tblBudget[Gold_Poured_oz],tblBudget[Month],"&lt;"&amp;$E294)+$IW294</f>
        <v/>
      </c>
      <c r="IY294" s="57">
        <f>SUMIFS(tblBudget[Hours_Worked],tblBudget[Month],$E294)</f>
        <v/>
      </c>
      <c r="IZ294" s="57">
        <f>$IY294*$C294/$D294</f>
        <v/>
      </c>
      <c r="JA294" s="57">
        <f>SUMIFS(tblBudget[Hours_Worked],tblBudget[Month],"&lt;"&amp;$E294)+$IZ294</f>
        <v/>
      </c>
    </row>
    <row r="295">
      <c r="A295" s="54" t="n">
        <v>46316</v>
      </c>
      <c r="B295">
        <f>MONTH($A295)</f>
        <v/>
      </c>
      <c r="C295">
        <f>DAY($A295)</f>
        <v/>
      </c>
      <c r="D295">
        <f>DAY(EOMONTH($A295,0))</f>
        <v/>
      </c>
      <c r="E295" s="54">
        <f>DATE(YEAR($A295),MONTH($A295),1)</f>
        <v/>
      </c>
      <c r="F295" s="55">
        <f>SUMIFS(tblMovement[Tonnes_t],tblMovement[Date],$A295,tblMovement[Is_Ore],1,tblMovement[Source_Type],"Pit")</f>
        <v/>
      </c>
      <c r="G295" s="55">
        <f>IF($B295=$B294,$G294,0)+$F295</f>
        <v/>
      </c>
      <c r="H295" s="55">
        <f>$H294+$F295</f>
        <v/>
      </c>
      <c r="I295" s="55">
        <f>SUMIFS(tblMovement[Ore_oz],tblMovement[Date],$A295,tblMovement[Source_Type],"Pit")</f>
        <v/>
      </c>
      <c r="J295" s="55">
        <f>IF($B295=$B294,$J294,0)+$I295</f>
        <v/>
      </c>
      <c r="K295" s="55">
        <f>$K294+$I295</f>
        <v/>
      </c>
      <c r="L295" s="56">
        <f>IFERROR(IF(($F295)&gt;0,($I295*cfg_TroyOz)/($F295),""),"")</f>
        <v/>
      </c>
      <c r="M295" s="56">
        <f>IFERROR(IF(($G295)&gt;0,($J295*cfg_TroyOz)/($G295),""),"")</f>
        <v/>
      </c>
      <c r="N295" s="56">
        <f>IFERROR(IF(($H295)&gt;0,($K295*cfg_TroyOz)/($H295),""),"")</f>
        <v/>
      </c>
      <c r="O295" s="55">
        <f>SUMIFS(tblMovement[Tonnes_t],tblMovement[Date],$A295,tblMovement[Is_Ore],0,tblMovement[Source_Type],"Pit")</f>
        <v/>
      </c>
      <c r="P295" s="55">
        <f>IF($B295=$B294,$P294,0)+$O295</f>
        <v/>
      </c>
      <c r="Q295" s="55">
        <f>$Q294+$O295</f>
        <v/>
      </c>
      <c r="R295" s="55">
        <f>$F295+$O295</f>
        <v/>
      </c>
      <c r="S295" s="55">
        <f>IF($B295=$B294,$S294,0)+$R295</f>
        <v/>
      </c>
      <c r="T295" s="55">
        <f>$T294+$R295</f>
        <v/>
      </c>
      <c r="U295" s="56">
        <f>IFERROR(IF(($F295)&gt;0,($O295)/($F295),""),"")</f>
        <v/>
      </c>
      <c r="V295" s="56">
        <f>IFERROR(IF(($G295)&gt;0,($P295)/($G295),""),"")</f>
        <v/>
      </c>
      <c r="W295" s="56">
        <f>IFERROR(IF(($H295)&gt;0,($Q295)/($H295),""),"")</f>
        <v/>
      </c>
      <c r="X295" s="55">
        <f>SUMIFS(tblMovement[Tonnes_t],tblMovement[Date],$A295,tblMovement[Source_Type],"Stockpile")</f>
        <v/>
      </c>
      <c r="Y295" s="55">
        <f>IF($B295=$B294,$Y294,0)+$X295</f>
        <v/>
      </c>
      <c r="Z295" s="55">
        <f>$Z294+$X295</f>
        <v/>
      </c>
      <c r="AA295" s="55">
        <f>SUMIFS(tblMiningDaily[Drill_m],tblMiningDaily[Date],$A295)</f>
        <v/>
      </c>
      <c r="AB295" s="55">
        <f>IF($B295=$B294,$AB294,0)+$AA295</f>
        <v/>
      </c>
      <c r="AC295" s="55">
        <f>$AC294+$AA295</f>
        <v/>
      </c>
      <c r="AD295" s="55">
        <f>SUMIFS(tblMiningDaily[Blast_t],tblMiningDaily[Date],$A295)</f>
        <v/>
      </c>
      <c r="AE295" s="55">
        <f>IF($B295=$B294,$AE294,0)+$AD295</f>
        <v/>
      </c>
      <c r="AF295" s="55">
        <f>$AF294+$AD295</f>
        <v/>
      </c>
      <c r="AG295" s="55">
        <f>SUMIFS(tblMiningDaily[Explosives_kg],tblMiningDaily[Date],$A295)</f>
        <v/>
      </c>
      <c r="AH295" s="55">
        <f>IF($B295=$B294,$AH294,0)+$AG295</f>
        <v/>
      </c>
      <c r="AI295" s="55">
        <f>$AI294+$AG295</f>
        <v/>
      </c>
      <c r="AJ295" s="56">
        <f>IFERROR(IF(($AD295)&gt;0,($AG295)/($AD295),""),"")</f>
        <v/>
      </c>
      <c r="AK295" s="56">
        <f>IFERROR(IF(($AE295)&gt;0,($AH295)/($AE295),""),"")</f>
        <v/>
      </c>
      <c r="AL295" s="56">
        <f>IFERROR(IF(($AF295)&gt;0,($AI295)/($AF295),""),"")</f>
        <v/>
      </c>
      <c r="AM295" s="55">
        <f>SUMIFS(tblMiningDaily[Diesel_L],tblMiningDaily[Date],$A295)</f>
        <v/>
      </c>
      <c r="AN295" s="55">
        <f>IF($B295=$B294,$AN294,0)+$AM295</f>
        <v/>
      </c>
      <c r="AO295" s="55">
        <f>$AO294+$AM295</f>
        <v/>
      </c>
      <c r="AP295" s="55">
        <f>SUMIFS(tblMiningDaily[Dewatering_m3],tblMiningDaily[Date],$A295)</f>
        <v/>
      </c>
      <c r="AQ295" s="55">
        <f>IF($B295=$B294,$AQ294,0)+$AP295</f>
        <v/>
      </c>
      <c r="AR295" s="55">
        <f>$AR294+$AP295</f>
        <v/>
      </c>
      <c r="AS295" s="57">
        <f>SUMIFS(tblFleet[Calendar_h],tblFleet[Date],$A295,tblFleet[Equipment_Class],"Excavator")</f>
        <v/>
      </c>
      <c r="AT295" s="57">
        <f>IF($B295=$B294,$AT294,0)+$AS295</f>
        <v/>
      </c>
      <c r="AU295" s="57">
        <f>$AU294+$AS295</f>
        <v/>
      </c>
      <c r="AV295" s="57">
        <f>SUMIFS(tblFleet[Available_h],tblFleet[Date],$A295,tblFleet[Equipment_Class],"Excavator")</f>
        <v/>
      </c>
      <c r="AW295" s="57">
        <f>IF($B295=$B294,$AW294,0)+$AV295</f>
        <v/>
      </c>
      <c r="AX295" s="57">
        <f>$AX294+$AV295</f>
        <v/>
      </c>
      <c r="AY295" s="57">
        <f>SUMIFS(tblFleet[Operating_h],tblFleet[Date],$A295,tblFleet[Equipment_Class],"Excavator")</f>
        <v/>
      </c>
      <c r="AZ295" s="57">
        <f>IF($B295=$B294,$AZ294,0)+$AY295</f>
        <v/>
      </c>
      <c r="BA295" s="57">
        <f>$BA294+$AY295</f>
        <v/>
      </c>
      <c r="BB295" s="67">
        <f>IFERROR(IF(($AS295)&gt;0,($AV295)/($AS295),""),"")</f>
        <v/>
      </c>
      <c r="BC295" s="67">
        <f>IFERROR(IF(($AT295)&gt;0,($AW295)/($AT295),""),"")</f>
        <v/>
      </c>
      <c r="BD295" s="67">
        <f>IFERROR(IF(($AU295)&gt;0,($AX295)/($AU295),""),"")</f>
        <v/>
      </c>
      <c r="BE295" s="67">
        <f>IFERROR(IF(($AV295)&gt;0,($AY295)/($AV295),""),"")</f>
        <v/>
      </c>
      <c r="BF295" s="67">
        <f>IFERROR(IF(($AW295)&gt;0,($AZ295)/($AW295),""),"")</f>
        <v/>
      </c>
      <c r="BG295" s="67">
        <f>IFERROR(IF(($AX295)&gt;0,($BA295)/($AX295),""),"")</f>
        <v/>
      </c>
      <c r="BH295" s="57">
        <f>SUMIFS(tblFleet[Calendar_h],tblFleet[Date],$A295,tblFleet[Equipment_Class],"Haul Truck")</f>
        <v/>
      </c>
      <c r="BI295" s="57">
        <f>IF($B295=$B294,$BI294,0)+$BH295</f>
        <v/>
      </c>
      <c r="BJ295" s="57">
        <f>$BJ294+$BH295</f>
        <v/>
      </c>
      <c r="BK295" s="57">
        <f>SUMIFS(tblFleet[Available_h],tblFleet[Date],$A295,tblFleet[Equipment_Class],"Haul Truck")</f>
        <v/>
      </c>
      <c r="BL295" s="57">
        <f>IF($B295=$B294,$BL294,0)+$BK295</f>
        <v/>
      </c>
      <c r="BM295" s="57">
        <f>$BM294+$BK295</f>
        <v/>
      </c>
      <c r="BN295" s="57">
        <f>SUMIFS(tblFleet[Operating_h],tblFleet[Date],$A295,tblFleet[Equipment_Class],"Haul Truck")</f>
        <v/>
      </c>
      <c r="BO295" s="57">
        <f>IF($B295=$B294,$BO294,0)+$BN295</f>
        <v/>
      </c>
      <c r="BP295" s="57">
        <f>$BP294+$BN295</f>
        <v/>
      </c>
      <c r="BQ295" s="67">
        <f>IFERROR(IF(($BH295)&gt;0,($BK295)/($BH295),""),"")</f>
        <v/>
      </c>
      <c r="BR295" s="67">
        <f>IFERROR(IF(($BI295)&gt;0,($BL295)/($BI295),""),"")</f>
        <v/>
      </c>
      <c r="BS295" s="67">
        <f>IFERROR(IF(($BJ295)&gt;0,($BM295)/($BJ295),""),"")</f>
        <v/>
      </c>
      <c r="BT295" s="67">
        <f>IFERROR(IF(($BK295)&gt;0,($BN295)/($BK295),""),"")</f>
        <v/>
      </c>
      <c r="BU295" s="67">
        <f>IFERROR(IF(($BL295)&gt;0,($BO295)/($BL295),""),"")</f>
        <v/>
      </c>
      <c r="BV295" s="67">
        <f>IFERROR(IF(($BM295)&gt;0,($BP295)/($BM295),""),"")</f>
        <v/>
      </c>
      <c r="BW295" s="55">
        <f>SUMIFS(tblPlant[Crushed_t],tblPlant[Date],$A295)</f>
        <v/>
      </c>
      <c r="BX295" s="55">
        <f>IF($B295=$B294,$BX294,0)+$BW295</f>
        <v/>
      </c>
      <c r="BY295" s="55">
        <f>$BY294+$BW295</f>
        <v/>
      </c>
      <c r="BZ295" s="55">
        <f>SUMIFS(tblPlant[Milled_t],tblPlant[Date],$A295)</f>
        <v/>
      </c>
      <c r="CA295" s="55">
        <f>IF($B295=$B294,$CA294,0)+$BZ295</f>
        <v/>
      </c>
      <c r="CB295" s="55">
        <f>$CB294+$BZ295</f>
        <v/>
      </c>
      <c r="CC295" s="55">
        <f>SUMIFS(tblPlant[Feed_oz],tblPlant[Date],$A295)</f>
        <v/>
      </c>
      <c r="CD295" s="55">
        <f>IF($B295=$B294,$CD294,0)+$CC295</f>
        <v/>
      </c>
      <c r="CE295" s="55">
        <f>$CE294+$CC295</f>
        <v/>
      </c>
      <c r="CF295" s="55">
        <f>SUMIFS(tblPlant[Tails_oz],tblPlant[Date],$A295)</f>
        <v/>
      </c>
      <c r="CG295" s="55">
        <f>IF($B295=$B294,$CG294,0)+$CF295</f>
        <v/>
      </c>
      <c r="CH295" s="55">
        <f>$CH294+$CF295</f>
        <v/>
      </c>
      <c r="CI295" s="55">
        <f>SUMIFS(tblPlant[Recovered_oz],tblPlant[Date],$A295)</f>
        <v/>
      </c>
      <c r="CJ295" s="55">
        <f>IF($B295=$B294,$CJ294,0)+$CI295</f>
        <v/>
      </c>
      <c r="CK295" s="55">
        <f>$CK294+$CI295</f>
        <v/>
      </c>
      <c r="CL295" s="56">
        <f>IFERROR(IF(($BZ295)&gt;0,($CC295*cfg_TroyOz)/($BZ295),""),"")</f>
        <v/>
      </c>
      <c r="CM295" s="56">
        <f>IFERROR(IF(($CA295)&gt;0,($CD295*cfg_TroyOz)/($CA295),""),"")</f>
        <v/>
      </c>
      <c r="CN295" s="56">
        <f>IFERROR(IF(($CB295)&gt;0,($CE295*cfg_TroyOz)/($CB295),""),"")</f>
        <v/>
      </c>
      <c r="CO295" s="56">
        <f>IFERROR(IF(($BZ295)&gt;0,($CF295*cfg_TroyOz)/($BZ295),""),"")</f>
        <v/>
      </c>
      <c r="CP295" s="56">
        <f>IFERROR(IF(($CA295)&gt;0,($CG295*cfg_TroyOz)/($CA295),""),"")</f>
        <v/>
      </c>
      <c r="CQ295" s="56">
        <f>IFERROR(IF(($CB295)&gt;0,($CH295*cfg_TroyOz)/($CB295),""),"")</f>
        <v/>
      </c>
      <c r="CR295" s="67">
        <f>IFERROR(IF(($CC295)&gt;0,($CI295)/($CC295),""),"")</f>
        <v/>
      </c>
      <c r="CS295" s="67">
        <f>IFERROR(IF(($CD295)&gt;0,($CJ295)/($CD295),""),"")</f>
        <v/>
      </c>
      <c r="CT295" s="67">
        <f>IFERROR(IF(($CE295)&gt;0,($CK295)/($CE295),""),"")</f>
        <v/>
      </c>
      <c r="CU295" s="55">
        <f>SUMIFS(tblPlant[Gravity_Gold_oz],tblPlant[Date],$A295)</f>
        <v/>
      </c>
      <c r="CV295" s="55">
        <f>IF($B295=$B294,$CV294,0)+$CU295</f>
        <v/>
      </c>
      <c r="CW295" s="55">
        <f>$CW294+$CU295</f>
        <v/>
      </c>
      <c r="CX295" s="55">
        <f>SUMIFS(tblPlant[Gold_Poured_oz],tblPlant[Date],$A295)</f>
        <v/>
      </c>
      <c r="CY295" s="55">
        <f>IF($B295=$B294,$CY294,0)+$CX295</f>
        <v/>
      </c>
      <c r="CZ295" s="55">
        <f>$CZ294+$CX295</f>
        <v/>
      </c>
      <c r="DA295" s="57">
        <f>SUMIFS(tblPlant[Mill_Run_h],tblPlant[Date],$A295)</f>
        <v/>
      </c>
      <c r="DB295" s="57">
        <f>IF($B295=$B294,$DB294,0)+$DA295</f>
        <v/>
      </c>
      <c r="DC295" s="57">
        <f>$DC294+$DA295</f>
        <v/>
      </c>
      <c r="DD295" s="57">
        <f>SUMIFS(tblPlant[Mill_Planned_Maint_h],tblPlant[Date],$A295)</f>
        <v/>
      </c>
      <c r="DE295" s="57">
        <f>IF($B295=$B294,$DE294,0)+$DD295</f>
        <v/>
      </c>
      <c r="DF295" s="57">
        <f>$DF294+$DD295</f>
        <v/>
      </c>
      <c r="DG295" s="57">
        <f>SUMIFS(tblPlant[Mill_Unplanned_Down_h],tblPlant[Date],$A295)</f>
        <v/>
      </c>
      <c r="DH295" s="57">
        <f>IF($B295=$B294,$DH294,0)+$DG295</f>
        <v/>
      </c>
      <c r="DI295" s="57">
        <f>$DI294+$DG295</f>
        <v/>
      </c>
      <c r="DJ295" s="57">
        <f>COUNTIFS(tblPlant[Date],$A295,tblPlant[Mill_Run_h],"&lt;&gt;")*24</f>
        <v/>
      </c>
      <c r="DK295" s="57">
        <f>IF($B295=$B294,$DK294,0)+$DJ295</f>
        <v/>
      </c>
      <c r="DL295" s="57">
        <f>$DL294+$DJ295</f>
        <v/>
      </c>
      <c r="DM295" s="57">
        <f>SUMIFS(tblPlant[Crusher_Run_h],tblPlant[Date],$A295)</f>
        <v/>
      </c>
      <c r="DN295" s="57">
        <f>IF($B295=$B294,$DN294,0)+$DM295</f>
        <v/>
      </c>
      <c r="DO295" s="57">
        <f>$DO294+$DM295</f>
        <v/>
      </c>
      <c r="DP295" s="55">
        <f>IFERROR(IF(($DA295)&gt;0,($BZ295)/($DA295),""),"")</f>
        <v/>
      </c>
      <c r="DQ295" s="55">
        <f>IFERROR(IF(($DB295)&gt;0,($CA295)/($DB295),""),"")</f>
        <v/>
      </c>
      <c r="DR295" s="55">
        <f>IFERROR(IF(($DC295)&gt;0,($CB295)/($DC295),""),"")</f>
        <v/>
      </c>
      <c r="DS295" s="67">
        <f>IFERROR(IF(($DJ295)&gt;0,($DJ295-$DD295-$DG295)/($DJ295),""),"")</f>
        <v/>
      </c>
      <c r="DT295" s="67">
        <f>IFERROR(IF(($DK295)&gt;0,($DK295-$DE295-$DH295)/($DK295),""),"")</f>
        <v/>
      </c>
      <c r="DU295" s="67">
        <f>IFERROR(IF(($DL295)&gt;0,($DL295-$DF295-$DI295)/($DL295),""),"")</f>
        <v/>
      </c>
      <c r="DV295" s="67">
        <f>IFERROR(IF(($DJ295-$DD295-$DG295)&gt;0,($DA295)/($DJ295-$DD295-$DG295),""),"")</f>
        <v/>
      </c>
      <c r="DW295" s="67">
        <f>IFERROR(IF(($DK295-$DE295-$DH295)&gt;0,($DB295)/($DK295-$DE295-$DH295),""),"")</f>
        <v/>
      </c>
      <c r="DX295" s="67">
        <f>IFERROR(IF(($DL295-$DF295-$DI295)&gt;0,($DC295)/($DL295-$DF295-$DI295),""),"")</f>
        <v/>
      </c>
      <c r="DY295" s="55">
        <f>SUMIFS(tblPlant[Cyanide_kg],tblPlant[Date],$A295)</f>
        <v/>
      </c>
      <c r="DZ295" s="55">
        <f>IF($B295=$B294,$DZ294,0)+$DY295</f>
        <v/>
      </c>
      <c r="EA295" s="55">
        <f>$EA294+$DY295</f>
        <v/>
      </c>
      <c r="EB295" s="55">
        <f>SUMIFS(tblPlant[Lime_kg],tblPlant[Date],$A295)</f>
        <v/>
      </c>
      <c r="EC295" s="55">
        <f>IF($B295=$B294,$EC294,0)+$EB295</f>
        <v/>
      </c>
      <c r="ED295" s="55">
        <f>$ED294+$EB295</f>
        <v/>
      </c>
      <c r="EE295" s="55">
        <f>SUMIFS(tblPlant[Grinding_Media_kg],tblPlant[Date],$A295)</f>
        <v/>
      </c>
      <c r="EF295" s="55">
        <f>IF($B295=$B294,$EF294,0)+$EE295</f>
        <v/>
      </c>
      <c r="EG295" s="55">
        <f>$EG294+$EE295</f>
        <v/>
      </c>
      <c r="EH295" s="55">
        <f>SUMIFS(tblPlant[Power_kWh],tblPlant[Date],$A295)</f>
        <v/>
      </c>
      <c r="EI295" s="55">
        <f>IF($B295=$B294,$EI294,0)+$EH295</f>
        <v/>
      </c>
      <c r="EJ295" s="55">
        <f>$EJ294+$EH295</f>
        <v/>
      </c>
      <c r="EK295" s="55">
        <f>SUMIFS(tblPlant[Raw_Water_m3],tblPlant[Date],$A295)</f>
        <v/>
      </c>
      <c r="EL295" s="55">
        <f>IF($B295=$B294,$EL294,0)+$EK295</f>
        <v/>
      </c>
      <c r="EM295" s="55">
        <f>$EM294+$EK295</f>
        <v/>
      </c>
      <c r="EN295" s="56">
        <f>IFERROR(IF(($BZ295)&gt;0,($DY295)/($BZ295),""),"")</f>
        <v/>
      </c>
      <c r="EO295" s="56">
        <f>IFERROR(IF(($CA295)&gt;0,($DZ295)/($CA295),""),"")</f>
        <v/>
      </c>
      <c r="EP295" s="56">
        <f>IFERROR(IF(($CB295)&gt;0,($EA295)/($CB295),""),"")</f>
        <v/>
      </c>
      <c r="EQ295" s="56">
        <f>IFERROR(IF(($BZ295)&gt;0,($EB295)/($BZ295),""),"")</f>
        <v/>
      </c>
      <c r="ER295" s="56">
        <f>IFERROR(IF(($CA295)&gt;0,($EC295)/($CA295),""),"")</f>
        <v/>
      </c>
      <c r="ES295" s="56">
        <f>IFERROR(IF(($CB295)&gt;0,($ED295)/($CB295),""),"")</f>
        <v/>
      </c>
      <c r="ET295" s="56">
        <f>IFERROR(IF(($BZ295)&gt;0,($EE295)/($BZ295),""),"")</f>
        <v/>
      </c>
      <c r="EU295" s="56">
        <f>IFERROR(IF(($CA295)&gt;0,($EF295)/($CA295),""),"")</f>
        <v/>
      </c>
      <c r="EV295" s="56">
        <f>IFERROR(IF(($CB295)&gt;0,($EG295)/($CB295),""),"")</f>
        <v/>
      </c>
      <c r="EW295" s="76">
        <f>IFERROR(IF(($BZ295)&gt;0,($EH295)/($BZ295),""),"")</f>
        <v/>
      </c>
      <c r="EX295" s="76">
        <f>IFERROR(IF(($CA295)&gt;0,($EI295)/($CA295),""),"")</f>
        <v/>
      </c>
      <c r="EY295" s="76">
        <f>IFERROR(IF(($CB295)&gt;0,($EJ295)/($CB295),""),"")</f>
        <v/>
      </c>
      <c r="EZ295" s="56">
        <f>IFERROR(IF(($BZ295)&gt;0,($EK295)/($BZ295),""),"")</f>
        <v/>
      </c>
      <c r="FA295" s="56">
        <f>IFERROR(IF(($CA295)&gt;0,($EL295)/($CA295),""),"")</f>
        <v/>
      </c>
      <c r="FB295" s="56">
        <f>IFERROR(IF(($CB295)&gt;0,($EM295)/($CB295),""),"")</f>
        <v/>
      </c>
      <c r="FC295" s="55">
        <f>IF(SUMIFS(tblPlant[GIC_oz],tblPlant[Date],$A295)&gt;0,SUMIFS(tblPlant[GIC_oz],tblPlant[Date],$A295),"")</f>
        <v/>
      </c>
      <c r="FD295" s="55">
        <f>SUMIFS(tblGold[Gold_oz],tblGold[Date],$A295,tblGold[Type],"Shipment")</f>
        <v/>
      </c>
      <c r="FE295" s="55">
        <f>IF($B295=$B294,$FE294,0)+$FD295</f>
        <v/>
      </c>
      <c r="FF295" s="55">
        <f>$FF294+$FD295</f>
        <v/>
      </c>
      <c r="FG295" s="55">
        <f>SUMIFS(tblGold[Gold_oz],tblGold[Date],$A295,tblGold[Type],"Sale")</f>
        <v/>
      </c>
      <c r="FH295" s="55">
        <f>IF($B295=$B294,$FH294,0)+$FG295</f>
        <v/>
      </c>
      <c r="FI295" s="55">
        <f>$FI294+$FG295</f>
        <v/>
      </c>
      <c r="FJ295" s="55">
        <f>SUMIFS(tblGold[Dore_kg],tblGold[Date],$A295,tblGold[Type],"Shipment")</f>
        <v/>
      </c>
      <c r="FK295" s="55">
        <f>IF($B295=$B294,$FK294,0)+$FJ295</f>
        <v/>
      </c>
      <c r="FL295" s="55">
        <f>$FL294+$FJ295</f>
        <v/>
      </c>
      <c r="FM295" s="57">
        <f>SUMIFS(tblSafety[Hours_Total],tblSafety[Date],$A295)</f>
        <v/>
      </c>
      <c r="FN295" s="57">
        <f>IF($B295=$B294,$FN294,0)+$FM295</f>
        <v/>
      </c>
      <c r="FO295" s="57">
        <f>$FO294+$FM295</f>
        <v/>
      </c>
      <c r="FP295" s="62">
        <f>SUMIFS(tblSafety[Fatality],tblSafety[Date],$A295)</f>
        <v/>
      </c>
      <c r="FQ295" s="62">
        <f>IF($B295=$B294,$FQ294,0)+$FP295</f>
        <v/>
      </c>
      <c r="FR295" s="62">
        <f>$FR294+$FP295</f>
        <v/>
      </c>
      <c r="FS295" s="62">
        <f>SUMIFS(tblSafety[LTI],tblSafety[Date],$A295)</f>
        <v/>
      </c>
      <c r="FT295" s="62">
        <f>IF($B295=$B294,$FT294,0)+$FS295</f>
        <v/>
      </c>
      <c r="FU295" s="62">
        <f>$FU294+$FS295</f>
        <v/>
      </c>
      <c r="FV295" s="62">
        <f>SUMIFS(tblSafety[RWI],tblSafety[Date],$A295)</f>
        <v/>
      </c>
      <c r="FW295" s="62">
        <f>IF($B295=$B294,$FW294,0)+$FV295</f>
        <v/>
      </c>
      <c r="FX295" s="62">
        <f>$FX294+$FV295</f>
        <v/>
      </c>
      <c r="FY295" s="62">
        <f>SUMIFS(tblSafety[MTI],tblSafety[Date],$A295)</f>
        <v/>
      </c>
      <c r="FZ295" s="62">
        <f>IF($B295=$B294,$FZ294,0)+$FY295</f>
        <v/>
      </c>
      <c r="GA295" s="62">
        <f>$GA294+$FY295</f>
        <v/>
      </c>
      <c r="GB295" s="62">
        <f>SUMIFS(tblSafety[FAI],tblSafety[Date],$A295)</f>
        <v/>
      </c>
      <c r="GC295" s="62">
        <f>IF($B295=$B294,$GC294,0)+$GB295</f>
        <v/>
      </c>
      <c r="GD295" s="62">
        <f>$GD294+$GB295</f>
        <v/>
      </c>
      <c r="GE295" s="62">
        <f>SUMIFS(tblSafety[Recordables],tblSafety[Date],$A295)</f>
        <v/>
      </c>
      <c r="GF295" s="62">
        <f>IF($B295=$B294,$GF294,0)+$GE295</f>
        <v/>
      </c>
      <c r="GG295" s="62">
        <f>$GG294+$GE295</f>
        <v/>
      </c>
      <c r="GH295" s="62">
        <f>SUMIFS(tblSafety[Near_Miss],tblSafety[Date],$A295)</f>
        <v/>
      </c>
      <c r="GI295" s="62">
        <f>IF($B295=$B294,$GI294,0)+$GH295</f>
        <v/>
      </c>
      <c r="GJ295" s="62">
        <f>$GJ294+$GH295</f>
        <v/>
      </c>
      <c r="GK295" s="62">
        <f>SUMIFS(tblSafety[Hazard_Reports],tblSafety[Date],$A295)</f>
        <v/>
      </c>
      <c r="GL295" s="62">
        <f>IF($B295=$B294,$GL294,0)+$GK295</f>
        <v/>
      </c>
      <c r="GM295" s="62">
        <f>$GM294+$GK295</f>
        <v/>
      </c>
      <c r="GN295" s="62">
        <f>SUMIFS(tblSafety[HPI],tblSafety[Date],$A295)</f>
        <v/>
      </c>
      <c r="GO295" s="62">
        <f>IF($B295=$B294,$GO294,0)+$GN295</f>
        <v/>
      </c>
      <c r="GP295" s="62">
        <f>$GP294+$GN295</f>
        <v/>
      </c>
      <c r="GQ295" s="62">
        <f>SUMIFS(tblSafety[Env_Incidents],tblSafety[Date],$A295)</f>
        <v/>
      </c>
      <c r="GR295" s="62">
        <f>IF($B295=$B294,$GR294,0)+$GQ295</f>
        <v/>
      </c>
      <c r="GS295" s="62">
        <f>$GS294+$GQ295</f>
        <v/>
      </c>
      <c r="GT295" s="62">
        <f>SUMIFS(tblSafety[Community_Incidents],tblSafety[Date],$A295)</f>
        <v/>
      </c>
      <c r="GU295" s="62">
        <f>IF($B295=$B294,$GU294,0)+$GT295</f>
        <v/>
      </c>
      <c r="GV295" s="62">
        <f>$GV294+$GT295</f>
        <v/>
      </c>
      <c r="GW295" s="62">
        <f>SUMIFS(tblSafety[Vehicle_Incidents],tblSafety[Date],$A295)</f>
        <v/>
      </c>
      <c r="GX295" s="62">
        <f>IF($B295=$B294,$GX294,0)+$GW295</f>
        <v/>
      </c>
      <c r="GY295" s="62">
        <f>$GY294+$GW295</f>
        <v/>
      </c>
      <c r="GZ295" s="62">
        <f>SUMIFS(tblSafety[Toolbox_Talks],tblSafety[Date],$A295)</f>
        <v/>
      </c>
      <c r="HA295" s="62">
        <f>IF($B295=$B294,$HA294,0)+$GZ295</f>
        <v/>
      </c>
      <c r="HB295" s="62">
        <f>$HB294+$GZ295</f>
        <v/>
      </c>
      <c r="HC295" s="62">
        <f>SUMIFS(tblSafety[Inspections],tblSafety[Date],$A295)</f>
        <v/>
      </c>
      <c r="HD295" s="62">
        <f>IF($B295=$B294,$HD294,0)+$HC295</f>
        <v/>
      </c>
      <c r="HE295" s="62">
        <f>$HE294+$HC295</f>
        <v/>
      </c>
      <c r="HF295" s="56">
        <f>IFERROR((SUMIFS(tblSafety[Recordables],tblSafety[Date],"&gt;="&amp;EDATE($E295,-12),tblSafety[Date],"&lt;="&amp;$A295)+SUMIFS(tblSafetyHistory[Recordables],tblSafetyHistory[Month],"&gt;="&amp;EDATE($E295,-12),tblSafetyHistory[Month],"&lt;"&amp;cfg_YearStart))/(SUMIFS(tblSafety[Hours_Total],tblSafety[Date],"&gt;="&amp;EDATE($E295,-12),tblSafety[Date],"&lt;="&amp;$A295)+SUMIFS(tblSafetyHistory[Hours_Total],tblSafetyHistory[Month],"&gt;="&amp;EDATE($E295,-12),tblSafetyHistory[Month],"&lt;"&amp;cfg_YearStart))*1000000,"")</f>
        <v/>
      </c>
      <c r="HG295" s="56">
        <f>IFERROR((SUMIFS(tblSafety[LTI],tblSafety[Date],"&gt;="&amp;EDATE($E295,-12),tblSafety[Date],"&lt;="&amp;$A295)+SUMIFS(tblSafetyHistory[LTI],tblSafetyHistory[Month],"&gt;="&amp;EDATE($E295,-12),tblSafetyHistory[Month],"&lt;"&amp;cfg_YearStart))/(SUMIFS(tblSafety[Hours_Total],tblSafety[Date],"&gt;="&amp;EDATE($E295,-12),tblSafety[Date],"&lt;="&amp;$A295)+SUMIFS(tblSafetyHistory[Hours_Total],tblSafetyHistory[Month],"&gt;="&amp;EDATE($E295,-12),tblSafetyHistory[Month],"&lt;"&amp;cfg_YearStart))*1000000,"")</f>
        <v/>
      </c>
      <c r="HH295" s="62">
        <f>IF(MAX(N(cfg_PriorLTIDate),_xlfn.MAXIFS(tblSafety[Date],tblSafety[LTI],"&gt;0",tblSafety[Date],"&lt;="&amp;$A295))=0,"",$A295-MAX(N(cfg_PriorLTIDate),_xlfn.MAXIFS(tblSafety[Date],tblSafety[LTI],"&gt;0",tblSafety[Date],"&lt;="&amp;$A295)))</f>
        <v/>
      </c>
      <c r="HI295" s="55">
        <f>SUMIFS(tblBudget[Ore_Mined_t],tblBudget[Month],$E295)</f>
        <v/>
      </c>
      <c r="HJ295" s="55">
        <f>$HI295*$C295/$D295</f>
        <v/>
      </c>
      <c r="HK295" s="55">
        <f>SUMIFS(tblBudget[Ore_Mined_t],tblBudget[Month],"&lt;"&amp;$E295)+$HJ295</f>
        <v/>
      </c>
      <c r="HL295" s="55">
        <f>SUMIFS(tblBudget[Ore_oz],tblBudget[Month],$E295)</f>
        <v/>
      </c>
      <c r="HM295" s="55">
        <f>$HL295*$C295/$D295</f>
        <v/>
      </c>
      <c r="HN295" s="55">
        <f>SUMIFS(tblBudget[Ore_oz],tblBudget[Month],"&lt;"&amp;$E295)+$HM295</f>
        <v/>
      </c>
      <c r="HO295" s="56">
        <f>IFERROR(IF(($HI295)&gt;0,($HL295*cfg_TroyOz)/($HI295),""),"")</f>
        <v/>
      </c>
      <c r="HP295" s="56">
        <f>IFERROR(IF(($HJ295)&gt;0,($HM295*cfg_TroyOz)/($HJ295),""),"")</f>
        <v/>
      </c>
      <c r="HQ295" s="56">
        <f>IFERROR(IF(($HK295)&gt;0,($HN295*cfg_TroyOz)/($HK295),""),"")</f>
        <v/>
      </c>
      <c r="HR295" s="55">
        <f>SUMIFS(tblBudget[Waste_t],tblBudget[Month],$E295)</f>
        <v/>
      </c>
      <c r="HS295" s="55">
        <f>$HR295*$C295/$D295</f>
        <v/>
      </c>
      <c r="HT295" s="55">
        <f>SUMIFS(tblBudget[Waste_t],tblBudget[Month],"&lt;"&amp;$E295)+$HS295</f>
        <v/>
      </c>
      <c r="HU295" s="55">
        <f>SUMIFS(tblBudget[TMM_t],tblBudget[Month],$E295)</f>
        <v/>
      </c>
      <c r="HV295" s="55">
        <f>$HU295*$C295/$D295</f>
        <v/>
      </c>
      <c r="HW295" s="55">
        <f>SUMIFS(tblBudget[TMM_t],tblBudget[Month],"&lt;"&amp;$E295)+$HV295</f>
        <v/>
      </c>
      <c r="HX295" s="56">
        <f>IFERROR(IF(($HI295)&gt;0,($HR295)/($HI295),""),"")</f>
        <v/>
      </c>
      <c r="HY295" s="56">
        <f>IFERROR(IF(($HJ295)&gt;0,($HS295)/($HJ295),""),"")</f>
        <v/>
      </c>
      <c r="HZ295" s="56">
        <f>IFERROR(IF(($HK295)&gt;0,($HT295)/($HK295),""),"")</f>
        <v/>
      </c>
      <c r="IA295" s="55">
        <f>SUMIFS(tblBudget[Drill_m],tblBudget[Month],$E295)</f>
        <v/>
      </c>
      <c r="IB295" s="55">
        <f>$IA295*$C295/$D295</f>
        <v/>
      </c>
      <c r="IC295" s="55">
        <f>SUMIFS(tblBudget[Drill_m],tblBudget[Month],"&lt;"&amp;$E295)+$IB295</f>
        <v/>
      </c>
      <c r="ID295" s="55">
        <f>SUMIFS(tblBudget[Diesel_L],tblBudget[Month],$E295)</f>
        <v/>
      </c>
      <c r="IE295" s="55">
        <f>$ID295*$C295/$D295</f>
        <v/>
      </c>
      <c r="IF295" s="55">
        <f>SUMIFS(tblBudget[Diesel_L],tblBudget[Month],"&lt;"&amp;$E295)+$IE295</f>
        <v/>
      </c>
      <c r="IG295" s="55">
        <f>SUMIFS(tblBudget[Milled_t],tblBudget[Month],$E295)</f>
        <v/>
      </c>
      <c r="IH295" s="55">
        <f>$IG295*$C295/$D295</f>
        <v/>
      </c>
      <c r="II295" s="55">
        <f>SUMIFS(tblBudget[Milled_t],tblBudget[Month],"&lt;"&amp;$E295)+$IH295</f>
        <v/>
      </c>
      <c r="IJ295" s="55">
        <f>SUMIFS(tblBudget[Feed_oz],tblBudget[Month],$E295)</f>
        <v/>
      </c>
      <c r="IK295" s="55">
        <f>$IJ295*$C295/$D295</f>
        <v/>
      </c>
      <c r="IL295" s="55">
        <f>SUMIFS(tblBudget[Feed_oz],tblBudget[Month],"&lt;"&amp;$E295)+$IK295</f>
        <v/>
      </c>
      <c r="IM295" s="55">
        <f>SUMIFS(tblBudget[Recovered_oz],tblBudget[Month],$E295)</f>
        <v/>
      </c>
      <c r="IN295" s="55">
        <f>$IM295*$C295/$D295</f>
        <v/>
      </c>
      <c r="IO295" s="55">
        <f>SUMIFS(tblBudget[Recovered_oz],tblBudget[Month],"&lt;"&amp;$E295)+$IN295</f>
        <v/>
      </c>
      <c r="IP295" s="56">
        <f>IFERROR(IF(($IG295)&gt;0,($IJ295*cfg_TroyOz)/($IG295),""),"")</f>
        <v/>
      </c>
      <c r="IQ295" s="56">
        <f>IFERROR(IF(($IH295)&gt;0,($IK295*cfg_TroyOz)/($IH295),""),"")</f>
        <v/>
      </c>
      <c r="IR295" s="56">
        <f>IFERROR(IF(($II295)&gt;0,($IL295*cfg_TroyOz)/($II295),""),"")</f>
        <v/>
      </c>
      <c r="IS295" s="67">
        <f>IFERROR(IF(($IJ295)&gt;0,($IM295)/($IJ295),""),"")</f>
        <v/>
      </c>
      <c r="IT295" s="67">
        <f>IFERROR(IF(($IK295)&gt;0,($IN295)/($IK295),""),"")</f>
        <v/>
      </c>
      <c r="IU295" s="67">
        <f>IFERROR(IF(($IL295)&gt;0,($IO295)/($IL295),""),"")</f>
        <v/>
      </c>
      <c r="IV295" s="55">
        <f>SUMIFS(tblBudget[Gold_Poured_oz],tblBudget[Month],$E295)</f>
        <v/>
      </c>
      <c r="IW295" s="55">
        <f>$IV295*$C295/$D295</f>
        <v/>
      </c>
      <c r="IX295" s="55">
        <f>SUMIFS(tblBudget[Gold_Poured_oz],tblBudget[Month],"&lt;"&amp;$E295)+$IW295</f>
        <v/>
      </c>
      <c r="IY295" s="57">
        <f>SUMIFS(tblBudget[Hours_Worked],tblBudget[Month],$E295)</f>
        <v/>
      </c>
      <c r="IZ295" s="57">
        <f>$IY295*$C295/$D295</f>
        <v/>
      </c>
      <c r="JA295" s="57">
        <f>SUMIFS(tblBudget[Hours_Worked],tblBudget[Month],"&lt;"&amp;$E295)+$IZ295</f>
        <v/>
      </c>
    </row>
    <row r="296">
      <c r="A296" s="54" t="n">
        <v>46317</v>
      </c>
      <c r="B296">
        <f>MONTH($A296)</f>
        <v/>
      </c>
      <c r="C296">
        <f>DAY($A296)</f>
        <v/>
      </c>
      <c r="D296">
        <f>DAY(EOMONTH($A296,0))</f>
        <v/>
      </c>
      <c r="E296" s="54">
        <f>DATE(YEAR($A296),MONTH($A296),1)</f>
        <v/>
      </c>
      <c r="F296" s="55">
        <f>SUMIFS(tblMovement[Tonnes_t],tblMovement[Date],$A296,tblMovement[Is_Ore],1,tblMovement[Source_Type],"Pit")</f>
        <v/>
      </c>
      <c r="G296" s="55">
        <f>IF($B296=$B295,$G295,0)+$F296</f>
        <v/>
      </c>
      <c r="H296" s="55">
        <f>$H295+$F296</f>
        <v/>
      </c>
      <c r="I296" s="55">
        <f>SUMIFS(tblMovement[Ore_oz],tblMovement[Date],$A296,tblMovement[Source_Type],"Pit")</f>
        <v/>
      </c>
      <c r="J296" s="55">
        <f>IF($B296=$B295,$J295,0)+$I296</f>
        <v/>
      </c>
      <c r="K296" s="55">
        <f>$K295+$I296</f>
        <v/>
      </c>
      <c r="L296" s="56">
        <f>IFERROR(IF(($F296)&gt;0,($I296*cfg_TroyOz)/($F296),""),"")</f>
        <v/>
      </c>
      <c r="M296" s="56">
        <f>IFERROR(IF(($G296)&gt;0,($J296*cfg_TroyOz)/($G296),""),"")</f>
        <v/>
      </c>
      <c r="N296" s="56">
        <f>IFERROR(IF(($H296)&gt;0,($K296*cfg_TroyOz)/($H296),""),"")</f>
        <v/>
      </c>
      <c r="O296" s="55">
        <f>SUMIFS(tblMovement[Tonnes_t],tblMovement[Date],$A296,tblMovement[Is_Ore],0,tblMovement[Source_Type],"Pit")</f>
        <v/>
      </c>
      <c r="P296" s="55">
        <f>IF($B296=$B295,$P295,0)+$O296</f>
        <v/>
      </c>
      <c r="Q296" s="55">
        <f>$Q295+$O296</f>
        <v/>
      </c>
      <c r="R296" s="55">
        <f>$F296+$O296</f>
        <v/>
      </c>
      <c r="S296" s="55">
        <f>IF($B296=$B295,$S295,0)+$R296</f>
        <v/>
      </c>
      <c r="T296" s="55">
        <f>$T295+$R296</f>
        <v/>
      </c>
      <c r="U296" s="56">
        <f>IFERROR(IF(($F296)&gt;0,($O296)/($F296),""),"")</f>
        <v/>
      </c>
      <c r="V296" s="56">
        <f>IFERROR(IF(($G296)&gt;0,($P296)/($G296),""),"")</f>
        <v/>
      </c>
      <c r="W296" s="56">
        <f>IFERROR(IF(($H296)&gt;0,($Q296)/($H296),""),"")</f>
        <v/>
      </c>
      <c r="X296" s="55">
        <f>SUMIFS(tblMovement[Tonnes_t],tblMovement[Date],$A296,tblMovement[Source_Type],"Stockpile")</f>
        <v/>
      </c>
      <c r="Y296" s="55">
        <f>IF($B296=$B295,$Y295,0)+$X296</f>
        <v/>
      </c>
      <c r="Z296" s="55">
        <f>$Z295+$X296</f>
        <v/>
      </c>
      <c r="AA296" s="55">
        <f>SUMIFS(tblMiningDaily[Drill_m],tblMiningDaily[Date],$A296)</f>
        <v/>
      </c>
      <c r="AB296" s="55">
        <f>IF($B296=$B295,$AB295,0)+$AA296</f>
        <v/>
      </c>
      <c r="AC296" s="55">
        <f>$AC295+$AA296</f>
        <v/>
      </c>
      <c r="AD296" s="55">
        <f>SUMIFS(tblMiningDaily[Blast_t],tblMiningDaily[Date],$A296)</f>
        <v/>
      </c>
      <c r="AE296" s="55">
        <f>IF($B296=$B295,$AE295,0)+$AD296</f>
        <v/>
      </c>
      <c r="AF296" s="55">
        <f>$AF295+$AD296</f>
        <v/>
      </c>
      <c r="AG296" s="55">
        <f>SUMIFS(tblMiningDaily[Explosives_kg],tblMiningDaily[Date],$A296)</f>
        <v/>
      </c>
      <c r="AH296" s="55">
        <f>IF($B296=$B295,$AH295,0)+$AG296</f>
        <v/>
      </c>
      <c r="AI296" s="55">
        <f>$AI295+$AG296</f>
        <v/>
      </c>
      <c r="AJ296" s="56">
        <f>IFERROR(IF(($AD296)&gt;0,($AG296)/($AD296),""),"")</f>
        <v/>
      </c>
      <c r="AK296" s="56">
        <f>IFERROR(IF(($AE296)&gt;0,($AH296)/($AE296),""),"")</f>
        <v/>
      </c>
      <c r="AL296" s="56">
        <f>IFERROR(IF(($AF296)&gt;0,($AI296)/($AF296),""),"")</f>
        <v/>
      </c>
      <c r="AM296" s="55">
        <f>SUMIFS(tblMiningDaily[Diesel_L],tblMiningDaily[Date],$A296)</f>
        <v/>
      </c>
      <c r="AN296" s="55">
        <f>IF($B296=$B295,$AN295,0)+$AM296</f>
        <v/>
      </c>
      <c r="AO296" s="55">
        <f>$AO295+$AM296</f>
        <v/>
      </c>
      <c r="AP296" s="55">
        <f>SUMIFS(tblMiningDaily[Dewatering_m3],tblMiningDaily[Date],$A296)</f>
        <v/>
      </c>
      <c r="AQ296" s="55">
        <f>IF($B296=$B295,$AQ295,0)+$AP296</f>
        <v/>
      </c>
      <c r="AR296" s="55">
        <f>$AR295+$AP296</f>
        <v/>
      </c>
      <c r="AS296" s="57">
        <f>SUMIFS(tblFleet[Calendar_h],tblFleet[Date],$A296,tblFleet[Equipment_Class],"Excavator")</f>
        <v/>
      </c>
      <c r="AT296" s="57">
        <f>IF($B296=$B295,$AT295,0)+$AS296</f>
        <v/>
      </c>
      <c r="AU296" s="57">
        <f>$AU295+$AS296</f>
        <v/>
      </c>
      <c r="AV296" s="57">
        <f>SUMIFS(tblFleet[Available_h],tblFleet[Date],$A296,tblFleet[Equipment_Class],"Excavator")</f>
        <v/>
      </c>
      <c r="AW296" s="57">
        <f>IF($B296=$B295,$AW295,0)+$AV296</f>
        <v/>
      </c>
      <c r="AX296" s="57">
        <f>$AX295+$AV296</f>
        <v/>
      </c>
      <c r="AY296" s="57">
        <f>SUMIFS(tblFleet[Operating_h],tblFleet[Date],$A296,tblFleet[Equipment_Class],"Excavator")</f>
        <v/>
      </c>
      <c r="AZ296" s="57">
        <f>IF($B296=$B295,$AZ295,0)+$AY296</f>
        <v/>
      </c>
      <c r="BA296" s="57">
        <f>$BA295+$AY296</f>
        <v/>
      </c>
      <c r="BB296" s="67">
        <f>IFERROR(IF(($AS296)&gt;0,($AV296)/($AS296),""),"")</f>
        <v/>
      </c>
      <c r="BC296" s="67">
        <f>IFERROR(IF(($AT296)&gt;0,($AW296)/($AT296),""),"")</f>
        <v/>
      </c>
      <c r="BD296" s="67">
        <f>IFERROR(IF(($AU296)&gt;0,($AX296)/($AU296),""),"")</f>
        <v/>
      </c>
      <c r="BE296" s="67">
        <f>IFERROR(IF(($AV296)&gt;0,($AY296)/($AV296),""),"")</f>
        <v/>
      </c>
      <c r="BF296" s="67">
        <f>IFERROR(IF(($AW296)&gt;0,($AZ296)/($AW296),""),"")</f>
        <v/>
      </c>
      <c r="BG296" s="67">
        <f>IFERROR(IF(($AX296)&gt;0,($BA296)/($AX296),""),"")</f>
        <v/>
      </c>
      <c r="BH296" s="57">
        <f>SUMIFS(tblFleet[Calendar_h],tblFleet[Date],$A296,tblFleet[Equipment_Class],"Haul Truck")</f>
        <v/>
      </c>
      <c r="BI296" s="57">
        <f>IF($B296=$B295,$BI295,0)+$BH296</f>
        <v/>
      </c>
      <c r="BJ296" s="57">
        <f>$BJ295+$BH296</f>
        <v/>
      </c>
      <c r="BK296" s="57">
        <f>SUMIFS(tblFleet[Available_h],tblFleet[Date],$A296,tblFleet[Equipment_Class],"Haul Truck")</f>
        <v/>
      </c>
      <c r="BL296" s="57">
        <f>IF($B296=$B295,$BL295,0)+$BK296</f>
        <v/>
      </c>
      <c r="BM296" s="57">
        <f>$BM295+$BK296</f>
        <v/>
      </c>
      <c r="BN296" s="57">
        <f>SUMIFS(tblFleet[Operating_h],tblFleet[Date],$A296,tblFleet[Equipment_Class],"Haul Truck")</f>
        <v/>
      </c>
      <c r="BO296" s="57">
        <f>IF($B296=$B295,$BO295,0)+$BN296</f>
        <v/>
      </c>
      <c r="BP296" s="57">
        <f>$BP295+$BN296</f>
        <v/>
      </c>
      <c r="BQ296" s="67">
        <f>IFERROR(IF(($BH296)&gt;0,($BK296)/($BH296),""),"")</f>
        <v/>
      </c>
      <c r="BR296" s="67">
        <f>IFERROR(IF(($BI296)&gt;0,($BL296)/($BI296),""),"")</f>
        <v/>
      </c>
      <c r="BS296" s="67">
        <f>IFERROR(IF(($BJ296)&gt;0,($BM296)/($BJ296),""),"")</f>
        <v/>
      </c>
      <c r="BT296" s="67">
        <f>IFERROR(IF(($BK296)&gt;0,($BN296)/($BK296),""),"")</f>
        <v/>
      </c>
      <c r="BU296" s="67">
        <f>IFERROR(IF(($BL296)&gt;0,($BO296)/($BL296),""),"")</f>
        <v/>
      </c>
      <c r="BV296" s="67">
        <f>IFERROR(IF(($BM296)&gt;0,($BP296)/($BM296),""),"")</f>
        <v/>
      </c>
      <c r="BW296" s="55">
        <f>SUMIFS(tblPlant[Crushed_t],tblPlant[Date],$A296)</f>
        <v/>
      </c>
      <c r="BX296" s="55">
        <f>IF($B296=$B295,$BX295,0)+$BW296</f>
        <v/>
      </c>
      <c r="BY296" s="55">
        <f>$BY295+$BW296</f>
        <v/>
      </c>
      <c r="BZ296" s="55">
        <f>SUMIFS(tblPlant[Milled_t],tblPlant[Date],$A296)</f>
        <v/>
      </c>
      <c r="CA296" s="55">
        <f>IF($B296=$B295,$CA295,0)+$BZ296</f>
        <v/>
      </c>
      <c r="CB296" s="55">
        <f>$CB295+$BZ296</f>
        <v/>
      </c>
      <c r="CC296" s="55">
        <f>SUMIFS(tblPlant[Feed_oz],tblPlant[Date],$A296)</f>
        <v/>
      </c>
      <c r="CD296" s="55">
        <f>IF($B296=$B295,$CD295,0)+$CC296</f>
        <v/>
      </c>
      <c r="CE296" s="55">
        <f>$CE295+$CC296</f>
        <v/>
      </c>
      <c r="CF296" s="55">
        <f>SUMIFS(tblPlant[Tails_oz],tblPlant[Date],$A296)</f>
        <v/>
      </c>
      <c r="CG296" s="55">
        <f>IF($B296=$B295,$CG295,0)+$CF296</f>
        <v/>
      </c>
      <c r="CH296" s="55">
        <f>$CH295+$CF296</f>
        <v/>
      </c>
      <c r="CI296" s="55">
        <f>SUMIFS(tblPlant[Recovered_oz],tblPlant[Date],$A296)</f>
        <v/>
      </c>
      <c r="CJ296" s="55">
        <f>IF($B296=$B295,$CJ295,0)+$CI296</f>
        <v/>
      </c>
      <c r="CK296" s="55">
        <f>$CK295+$CI296</f>
        <v/>
      </c>
      <c r="CL296" s="56">
        <f>IFERROR(IF(($BZ296)&gt;0,($CC296*cfg_TroyOz)/($BZ296),""),"")</f>
        <v/>
      </c>
      <c r="CM296" s="56">
        <f>IFERROR(IF(($CA296)&gt;0,($CD296*cfg_TroyOz)/($CA296),""),"")</f>
        <v/>
      </c>
      <c r="CN296" s="56">
        <f>IFERROR(IF(($CB296)&gt;0,($CE296*cfg_TroyOz)/($CB296),""),"")</f>
        <v/>
      </c>
      <c r="CO296" s="56">
        <f>IFERROR(IF(($BZ296)&gt;0,($CF296*cfg_TroyOz)/($BZ296),""),"")</f>
        <v/>
      </c>
      <c r="CP296" s="56">
        <f>IFERROR(IF(($CA296)&gt;0,($CG296*cfg_TroyOz)/($CA296),""),"")</f>
        <v/>
      </c>
      <c r="CQ296" s="56">
        <f>IFERROR(IF(($CB296)&gt;0,($CH296*cfg_TroyOz)/($CB296),""),"")</f>
        <v/>
      </c>
      <c r="CR296" s="67">
        <f>IFERROR(IF(($CC296)&gt;0,($CI296)/($CC296),""),"")</f>
        <v/>
      </c>
      <c r="CS296" s="67">
        <f>IFERROR(IF(($CD296)&gt;0,($CJ296)/($CD296),""),"")</f>
        <v/>
      </c>
      <c r="CT296" s="67">
        <f>IFERROR(IF(($CE296)&gt;0,($CK296)/($CE296),""),"")</f>
        <v/>
      </c>
      <c r="CU296" s="55">
        <f>SUMIFS(tblPlant[Gravity_Gold_oz],tblPlant[Date],$A296)</f>
        <v/>
      </c>
      <c r="CV296" s="55">
        <f>IF($B296=$B295,$CV295,0)+$CU296</f>
        <v/>
      </c>
      <c r="CW296" s="55">
        <f>$CW295+$CU296</f>
        <v/>
      </c>
      <c r="CX296" s="55">
        <f>SUMIFS(tblPlant[Gold_Poured_oz],tblPlant[Date],$A296)</f>
        <v/>
      </c>
      <c r="CY296" s="55">
        <f>IF($B296=$B295,$CY295,0)+$CX296</f>
        <v/>
      </c>
      <c r="CZ296" s="55">
        <f>$CZ295+$CX296</f>
        <v/>
      </c>
      <c r="DA296" s="57">
        <f>SUMIFS(tblPlant[Mill_Run_h],tblPlant[Date],$A296)</f>
        <v/>
      </c>
      <c r="DB296" s="57">
        <f>IF($B296=$B295,$DB295,0)+$DA296</f>
        <v/>
      </c>
      <c r="DC296" s="57">
        <f>$DC295+$DA296</f>
        <v/>
      </c>
      <c r="DD296" s="57">
        <f>SUMIFS(tblPlant[Mill_Planned_Maint_h],tblPlant[Date],$A296)</f>
        <v/>
      </c>
      <c r="DE296" s="57">
        <f>IF($B296=$B295,$DE295,0)+$DD296</f>
        <v/>
      </c>
      <c r="DF296" s="57">
        <f>$DF295+$DD296</f>
        <v/>
      </c>
      <c r="DG296" s="57">
        <f>SUMIFS(tblPlant[Mill_Unplanned_Down_h],tblPlant[Date],$A296)</f>
        <v/>
      </c>
      <c r="DH296" s="57">
        <f>IF($B296=$B295,$DH295,0)+$DG296</f>
        <v/>
      </c>
      <c r="DI296" s="57">
        <f>$DI295+$DG296</f>
        <v/>
      </c>
      <c r="DJ296" s="57">
        <f>COUNTIFS(tblPlant[Date],$A296,tblPlant[Mill_Run_h],"&lt;&gt;")*24</f>
        <v/>
      </c>
      <c r="DK296" s="57">
        <f>IF($B296=$B295,$DK295,0)+$DJ296</f>
        <v/>
      </c>
      <c r="DL296" s="57">
        <f>$DL295+$DJ296</f>
        <v/>
      </c>
      <c r="DM296" s="57">
        <f>SUMIFS(tblPlant[Crusher_Run_h],tblPlant[Date],$A296)</f>
        <v/>
      </c>
      <c r="DN296" s="57">
        <f>IF($B296=$B295,$DN295,0)+$DM296</f>
        <v/>
      </c>
      <c r="DO296" s="57">
        <f>$DO295+$DM296</f>
        <v/>
      </c>
      <c r="DP296" s="55">
        <f>IFERROR(IF(($DA296)&gt;0,($BZ296)/($DA296),""),"")</f>
        <v/>
      </c>
      <c r="DQ296" s="55">
        <f>IFERROR(IF(($DB296)&gt;0,($CA296)/($DB296),""),"")</f>
        <v/>
      </c>
      <c r="DR296" s="55">
        <f>IFERROR(IF(($DC296)&gt;0,($CB296)/($DC296),""),"")</f>
        <v/>
      </c>
      <c r="DS296" s="67">
        <f>IFERROR(IF(($DJ296)&gt;0,($DJ296-$DD296-$DG296)/($DJ296),""),"")</f>
        <v/>
      </c>
      <c r="DT296" s="67">
        <f>IFERROR(IF(($DK296)&gt;0,($DK296-$DE296-$DH296)/($DK296),""),"")</f>
        <v/>
      </c>
      <c r="DU296" s="67">
        <f>IFERROR(IF(($DL296)&gt;0,($DL296-$DF296-$DI296)/($DL296),""),"")</f>
        <v/>
      </c>
      <c r="DV296" s="67">
        <f>IFERROR(IF(($DJ296-$DD296-$DG296)&gt;0,($DA296)/($DJ296-$DD296-$DG296),""),"")</f>
        <v/>
      </c>
      <c r="DW296" s="67">
        <f>IFERROR(IF(($DK296-$DE296-$DH296)&gt;0,($DB296)/($DK296-$DE296-$DH296),""),"")</f>
        <v/>
      </c>
      <c r="DX296" s="67">
        <f>IFERROR(IF(($DL296-$DF296-$DI296)&gt;0,($DC296)/($DL296-$DF296-$DI296),""),"")</f>
        <v/>
      </c>
      <c r="DY296" s="55">
        <f>SUMIFS(tblPlant[Cyanide_kg],tblPlant[Date],$A296)</f>
        <v/>
      </c>
      <c r="DZ296" s="55">
        <f>IF($B296=$B295,$DZ295,0)+$DY296</f>
        <v/>
      </c>
      <c r="EA296" s="55">
        <f>$EA295+$DY296</f>
        <v/>
      </c>
      <c r="EB296" s="55">
        <f>SUMIFS(tblPlant[Lime_kg],tblPlant[Date],$A296)</f>
        <v/>
      </c>
      <c r="EC296" s="55">
        <f>IF($B296=$B295,$EC295,0)+$EB296</f>
        <v/>
      </c>
      <c r="ED296" s="55">
        <f>$ED295+$EB296</f>
        <v/>
      </c>
      <c r="EE296" s="55">
        <f>SUMIFS(tblPlant[Grinding_Media_kg],tblPlant[Date],$A296)</f>
        <v/>
      </c>
      <c r="EF296" s="55">
        <f>IF($B296=$B295,$EF295,0)+$EE296</f>
        <v/>
      </c>
      <c r="EG296" s="55">
        <f>$EG295+$EE296</f>
        <v/>
      </c>
      <c r="EH296" s="55">
        <f>SUMIFS(tblPlant[Power_kWh],tblPlant[Date],$A296)</f>
        <v/>
      </c>
      <c r="EI296" s="55">
        <f>IF($B296=$B295,$EI295,0)+$EH296</f>
        <v/>
      </c>
      <c r="EJ296" s="55">
        <f>$EJ295+$EH296</f>
        <v/>
      </c>
      <c r="EK296" s="55">
        <f>SUMIFS(tblPlant[Raw_Water_m3],tblPlant[Date],$A296)</f>
        <v/>
      </c>
      <c r="EL296" s="55">
        <f>IF($B296=$B295,$EL295,0)+$EK296</f>
        <v/>
      </c>
      <c r="EM296" s="55">
        <f>$EM295+$EK296</f>
        <v/>
      </c>
      <c r="EN296" s="56">
        <f>IFERROR(IF(($BZ296)&gt;0,($DY296)/($BZ296),""),"")</f>
        <v/>
      </c>
      <c r="EO296" s="56">
        <f>IFERROR(IF(($CA296)&gt;0,($DZ296)/($CA296),""),"")</f>
        <v/>
      </c>
      <c r="EP296" s="56">
        <f>IFERROR(IF(($CB296)&gt;0,($EA296)/($CB296),""),"")</f>
        <v/>
      </c>
      <c r="EQ296" s="56">
        <f>IFERROR(IF(($BZ296)&gt;0,($EB296)/($BZ296),""),"")</f>
        <v/>
      </c>
      <c r="ER296" s="56">
        <f>IFERROR(IF(($CA296)&gt;0,($EC296)/($CA296),""),"")</f>
        <v/>
      </c>
      <c r="ES296" s="56">
        <f>IFERROR(IF(($CB296)&gt;0,($ED296)/($CB296),""),"")</f>
        <v/>
      </c>
      <c r="ET296" s="56">
        <f>IFERROR(IF(($BZ296)&gt;0,($EE296)/($BZ296),""),"")</f>
        <v/>
      </c>
      <c r="EU296" s="56">
        <f>IFERROR(IF(($CA296)&gt;0,($EF296)/($CA296),""),"")</f>
        <v/>
      </c>
      <c r="EV296" s="56">
        <f>IFERROR(IF(($CB296)&gt;0,($EG296)/($CB296),""),"")</f>
        <v/>
      </c>
      <c r="EW296" s="76">
        <f>IFERROR(IF(($BZ296)&gt;0,($EH296)/($BZ296),""),"")</f>
        <v/>
      </c>
      <c r="EX296" s="76">
        <f>IFERROR(IF(($CA296)&gt;0,($EI296)/($CA296),""),"")</f>
        <v/>
      </c>
      <c r="EY296" s="76">
        <f>IFERROR(IF(($CB296)&gt;0,($EJ296)/($CB296),""),"")</f>
        <v/>
      </c>
      <c r="EZ296" s="56">
        <f>IFERROR(IF(($BZ296)&gt;0,($EK296)/($BZ296),""),"")</f>
        <v/>
      </c>
      <c r="FA296" s="56">
        <f>IFERROR(IF(($CA296)&gt;0,($EL296)/($CA296),""),"")</f>
        <v/>
      </c>
      <c r="FB296" s="56">
        <f>IFERROR(IF(($CB296)&gt;0,($EM296)/($CB296),""),"")</f>
        <v/>
      </c>
      <c r="FC296" s="55">
        <f>IF(SUMIFS(tblPlant[GIC_oz],tblPlant[Date],$A296)&gt;0,SUMIFS(tblPlant[GIC_oz],tblPlant[Date],$A296),"")</f>
        <v/>
      </c>
      <c r="FD296" s="55">
        <f>SUMIFS(tblGold[Gold_oz],tblGold[Date],$A296,tblGold[Type],"Shipment")</f>
        <v/>
      </c>
      <c r="FE296" s="55">
        <f>IF($B296=$B295,$FE295,0)+$FD296</f>
        <v/>
      </c>
      <c r="FF296" s="55">
        <f>$FF295+$FD296</f>
        <v/>
      </c>
      <c r="FG296" s="55">
        <f>SUMIFS(tblGold[Gold_oz],tblGold[Date],$A296,tblGold[Type],"Sale")</f>
        <v/>
      </c>
      <c r="FH296" s="55">
        <f>IF($B296=$B295,$FH295,0)+$FG296</f>
        <v/>
      </c>
      <c r="FI296" s="55">
        <f>$FI295+$FG296</f>
        <v/>
      </c>
      <c r="FJ296" s="55">
        <f>SUMIFS(tblGold[Dore_kg],tblGold[Date],$A296,tblGold[Type],"Shipment")</f>
        <v/>
      </c>
      <c r="FK296" s="55">
        <f>IF($B296=$B295,$FK295,0)+$FJ296</f>
        <v/>
      </c>
      <c r="FL296" s="55">
        <f>$FL295+$FJ296</f>
        <v/>
      </c>
      <c r="FM296" s="57">
        <f>SUMIFS(tblSafety[Hours_Total],tblSafety[Date],$A296)</f>
        <v/>
      </c>
      <c r="FN296" s="57">
        <f>IF($B296=$B295,$FN295,0)+$FM296</f>
        <v/>
      </c>
      <c r="FO296" s="57">
        <f>$FO295+$FM296</f>
        <v/>
      </c>
      <c r="FP296" s="62">
        <f>SUMIFS(tblSafety[Fatality],tblSafety[Date],$A296)</f>
        <v/>
      </c>
      <c r="FQ296" s="62">
        <f>IF($B296=$B295,$FQ295,0)+$FP296</f>
        <v/>
      </c>
      <c r="FR296" s="62">
        <f>$FR295+$FP296</f>
        <v/>
      </c>
      <c r="FS296" s="62">
        <f>SUMIFS(tblSafety[LTI],tblSafety[Date],$A296)</f>
        <v/>
      </c>
      <c r="FT296" s="62">
        <f>IF($B296=$B295,$FT295,0)+$FS296</f>
        <v/>
      </c>
      <c r="FU296" s="62">
        <f>$FU295+$FS296</f>
        <v/>
      </c>
      <c r="FV296" s="62">
        <f>SUMIFS(tblSafety[RWI],tblSafety[Date],$A296)</f>
        <v/>
      </c>
      <c r="FW296" s="62">
        <f>IF($B296=$B295,$FW295,0)+$FV296</f>
        <v/>
      </c>
      <c r="FX296" s="62">
        <f>$FX295+$FV296</f>
        <v/>
      </c>
      <c r="FY296" s="62">
        <f>SUMIFS(tblSafety[MTI],tblSafety[Date],$A296)</f>
        <v/>
      </c>
      <c r="FZ296" s="62">
        <f>IF($B296=$B295,$FZ295,0)+$FY296</f>
        <v/>
      </c>
      <c r="GA296" s="62">
        <f>$GA295+$FY296</f>
        <v/>
      </c>
      <c r="GB296" s="62">
        <f>SUMIFS(tblSafety[FAI],tblSafety[Date],$A296)</f>
        <v/>
      </c>
      <c r="GC296" s="62">
        <f>IF($B296=$B295,$GC295,0)+$GB296</f>
        <v/>
      </c>
      <c r="GD296" s="62">
        <f>$GD295+$GB296</f>
        <v/>
      </c>
      <c r="GE296" s="62">
        <f>SUMIFS(tblSafety[Recordables],tblSafety[Date],$A296)</f>
        <v/>
      </c>
      <c r="GF296" s="62">
        <f>IF($B296=$B295,$GF295,0)+$GE296</f>
        <v/>
      </c>
      <c r="GG296" s="62">
        <f>$GG295+$GE296</f>
        <v/>
      </c>
      <c r="GH296" s="62">
        <f>SUMIFS(tblSafety[Near_Miss],tblSafety[Date],$A296)</f>
        <v/>
      </c>
      <c r="GI296" s="62">
        <f>IF($B296=$B295,$GI295,0)+$GH296</f>
        <v/>
      </c>
      <c r="GJ296" s="62">
        <f>$GJ295+$GH296</f>
        <v/>
      </c>
      <c r="GK296" s="62">
        <f>SUMIFS(tblSafety[Hazard_Reports],tblSafety[Date],$A296)</f>
        <v/>
      </c>
      <c r="GL296" s="62">
        <f>IF($B296=$B295,$GL295,0)+$GK296</f>
        <v/>
      </c>
      <c r="GM296" s="62">
        <f>$GM295+$GK296</f>
        <v/>
      </c>
      <c r="GN296" s="62">
        <f>SUMIFS(tblSafety[HPI],tblSafety[Date],$A296)</f>
        <v/>
      </c>
      <c r="GO296" s="62">
        <f>IF($B296=$B295,$GO295,0)+$GN296</f>
        <v/>
      </c>
      <c r="GP296" s="62">
        <f>$GP295+$GN296</f>
        <v/>
      </c>
      <c r="GQ296" s="62">
        <f>SUMIFS(tblSafety[Env_Incidents],tblSafety[Date],$A296)</f>
        <v/>
      </c>
      <c r="GR296" s="62">
        <f>IF($B296=$B295,$GR295,0)+$GQ296</f>
        <v/>
      </c>
      <c r="GS296" s="62">
        <f>$GS295+$GQ296</f>
        <v/>
      </c>
      <c r="GT296" s="62">
        <f>SUMIFS(tblSafety[Community_Incidents],tblSafety[Date],$A296)</f>
        <v/>
      </c>
      <c r="GU296" s="62">
        <f>IF($B296=$B295,$GU295,0)+$GT296</f>
        <v/>
      </c>
      <c r="GV296" s="62">
        <f>$GV295+$GT296</f>
        <v/>
      </c>
      <c r="GW296" s="62">
        <f>SUMIFS(tblSafety[Vehicle_Incidents],tblSafety[Date],$A296)</f>
        <v/>
      </c>
      <c r="GX296" s="62">
        <f>IF($B296=$B295,$GX295,0)+$GW296</f>
        <v/>
      </c>
      <c r="GY296" s="62">
        <f>$GY295+$GW296</f>
        <v/>
      </c>
      <c r="GZ296" s="62">
        <f>SUMIFS(tblSafety[Toolbox_Talks],tblSafety[Date],$A296)</f>
        <v/>
      </c>
      <c r="HA296" s="62">
        <f>IF($B296=$B295,$HA295,0)+$GZ296</f>
        <v/>
      </c>
      <c r="HB296" s="62">
        <f>$HB295+$GZ296</f>
        <v/>
      </c>
      <c r="HC296" s="62">
        <f>SUMIFS(tblSafety[Inspections],tblSafety[Date],$A296)</f>
        <v/>
      </c>
      <c r="HD296" s="62">
        <f>IF($B296=$B295,$HD295,0)+$HC296</f>
        <v/>
      </c>
      <c r="HE296" s="62">
        <f>$HE295+$HC296</f>
        <v/>
      </c>
      <c r="HF296" s="56">
        <f>IFERROR((SUMIFS(tblSafety[Recordables],tblSafety[Date],"&gt;="&amp;EDATE($E296,-12),tblSafety[Date],"&lt;="&amp;$A296)+SUMIFS(tblSafetyHistory[Recordables],tblSafetyHistory[Month],"&gt;="&amp;EDATE($E296,-12),tblSafetyHistory[Month],"&lt;"&amp;cfg_YearStart))/(SUMIFS(tblSafety[Hours_Total],tblSafety[Date],"&gt;="&amp;EDATE($E296,-12),tblSafety[Date],"&lt;="&amp;$A296)+SUMIFS(tblSafetyHistory[Hours_Total],tblSafetyHistory[Month],"&gt;="&amp;EDATE($E296,-12),tblSafetyHistory[Month],"&lt;"&amp;cfg_YearStart))*1000000,"")</f>
        <v/>
      </c>
      <c r="HG296" s="56">
        <f>IFERROR((SUMIFS(tblSafety[LTI],tblSafety[Date],"&gt;="&amp;EDATE($E296,-12),tblSafety[Date],"&lt;="&amp;$A296)+SUMIFS(tblSafetyHistory[LTI],tblSafetyHistory[Month],"&gt;="&amp;EDATE($E296,-12),tblSafetyHistory[Month],"&lt;"&amp;cfg_YearStart))/(SUMIFS(tblSafety[Hours_Total],tblSafety[Date],"&gt;="&amp;EDATE($E296,-12),tblSafety[Date],"&lt;="&amp;$A296)+SUMIFS(tblSafetyHistory[Hours_Total],tblSafetyHistory[Month],"&gt;="&amp;EDATE($E296,-12),tblSafetyHistory[Month],"&lt;"&amp;cfg_YearStart))*1000000,"")</f>
        <v/>
      </c>
      <c r="HH296" s="62">
        <f>IF(MAX(N(cfg_PriorLTIDate),_xlfn.MAXIFS(tblSafety[Date],tblSafety[LTI],"&gt;0",tblSafety[Date],"&lt;="&amp;$A296))=0,"",$A296-MAX(N(cfg_PriorLTIDate),_xlfn.MAXIFS(tblSafety[Date],tblSafety[LTI],"&gt;0",tblSafety[Date],"&lt;="&amp;$A296)))</f>
        <v/>
      </c>
      <c r="HI296" s="55">
        <f>SUMIFS(tblBudget[Ore_Mined_t],tblBudget[Month],$E296)</f>
        <v/>
      </c>
      <c r="HJ296" s="55">
        <f>$HI296*$C296/$D296</f>
        <v/>
      </c>
      <c r="HK296" s="55">
        <f>SUMIFS(tblBudget[Ore_Mined_t],tblBudget[Month],"&lt;"&amp;$E296)+$HJ296</f>
        <v/>
      </c>
      <c r="HL296" s="55">
        <f>SUMIFS(tblBudget[Ore_oz],tblBudget[Month],$E296)</f>
        <v/>
      </c>
      <c r="HM296" s="55">
        <f>$HL296*$C296/$D296</f>
        <v/>
      </c>
      <c r="HN296" s="55">
        <f>SUMIFS(tblBudget[Ore_oz],tblBudget[Month],"&lt;"&amp;$E296)+$HM296</f>
        <v/>
      </c>
      <c r="HO296" s="56">
        <f>IFERROR(IF(($HI296)&gt;0,($HL296*cfg_TroyOz)/($HI296),""),"")</f>
        <v/>
      </c>
      <c r="HP296" s="56">
        <f>IFERROR(IF(($HJ296)&gt;0,($HM296*cfg_TroyOz)/($HJ296),""),"")</f>
        <v/>
      </c>
      <c r="HQ296" s="56">
        <f>IFERROR(IF(($HK296)&gt;0,($HN296*cfg_TroyOz)/($HK296),""),"")</f>
        <v/>
      </c>
      <c r="HR296" s="55">
        <f>SUMIFS(tblBudget[Waste_t],tblBudget[Month],$E296)</f>
        <v/>
      </c>
      <c r="HS296" s="55">
        <f>$HR296*$C296/$D296</f>
        <v/>
      </c>
      <c r="HT296" s="55">
        <f>SUMIFS(tblBudget[Waste_t],tblBudget[Month],"&lt;"&amp;$E296)+$HS296</f>
        <v/>
      </c>
      <c r="HU296" s="55">
        <f>SUMIFS(tblBudget[TMM_t],tblBudget[Month],$E296)</f>
        <v/>
      </c>
      <c r="HV296" s="55">
        <f>$HU296*$C296/$D296</f>
        <v/>
      </c>
      <c r="HW296" s="55">
        <f>SUMIFS(tblBudget[TMM_t],tblBudget[Month],"&lt;"&amp;$E296)+$HV296</f>
        <v/>
      </c>
      <c r="HX296" s="56">
        <f>IFERROR(IF(($HI296)&gt;0,($HR296)/($HI296),""),"")</f>
        <v/>
      </c>
      <c r="HY296" s="56">
        <f>IFERROR(IF(($HJ296)&gt;0,($HS296)/($HJ296),""),"")</f>
        <v/>
      </c>
      <c r="HZ296" s="56">
        <f>IFERROR(IF(($HK296)&gt;0,($HT296)/($HK296),""),"")</f>
        <v/>
      </c>
      <c r="IA296" s="55">
        <f>SUMIFS(tblBudget[Drill_m],tblBudget[Month],$E296)</f>
        <v/>
      </c>
      <c r="IB296" s="55">
        <f>$IA296*$C296/$D296</f>
        <v/>
      </c>
      <c r="IC296" s="55">
        <f>SUMIFS(tblBudget[Drill_m],tblBudget[Month],"&lt;"&amp;$E296)+$IB296</f>
        <v/>
      </c>
      <c r="ID296" s="55">
        <f>SUMIFS(tblBudget[Diesel_L],tblBudget[Month],$E296)</f>
        <v/>
      </c>
      <c r="IE296" s="55">
        <f>$ID296*$C296/$D296</f>
        <v/>
      </c>
      <c r="IF296" s="55">
        <f>SUMIFS(tblBudget[Diesel_L],tblBudget[Month],"&lt;"&amp;$E296)+$IE296</f>
        <v/>
      </c>
      <c r="IG296" s="55">
        <f>SUMIFS(tblBudget[Milled_t],tblBudget[Month],$E296)</f>
        <v/>
      </c>
      <c r="IH296" s="55">
        <f>$IG296*$C296/$D296</f>
        <v/>
      </c>
      <c r="II296" s="55">
        <f>SUMIFS(tblBudget[Milled_t],tblBudget[Month],"&lt;"&amp;$E296)+$IH296</f>
        <v/>
      </c>
      <c r="IJ296" s="55">
        <f>SUMIFS(tblBudget[Feed_oz],tblBudget[Month],$E296)</f>
        <v/>
      </c>
      <c r="IK296" s="55">
        <f>$IJ296*$C296/$D296</f>
        <v/>
      </c>
      <c r="IL296" s="55">
        <f>SUMIFS(tblBudget[Feed_oz],tblBudget[Month],"&lt;"&amp;$E296)+$IK296</f>
        <v/>
      </c>
      <c r="IM296" s="55">
        <f>SUMIFS(tblBudget[Recovered_oz],tblBudget[Month],$E296)</f>
        <v/>
      </c>
      <c r="IN296" s="55">
        <f>$IM296*$C296/$D296</f>
        <v/>
      </c>
      <c r="IO296" s="55">
        <f>SUMIFS(tblBudget[Recovered_oz],tblBudget[Month],"&lt;"&amp;$E296)+$IN296</f>
        <v/>
      </c>
      <c r="IP296" s="56">
        <f>IFERROR(IF(($IG296)&gt;0,($IJ296*cfg_TroyOz)/($IG296),""),"")</f>
        <v/>
      </c>
      <c r="IQ296" s="56">
        <f>IFERROR(IF(($IH296)&gt;0,($IK296*cfg_TroyOz)/($IH296),""),"")</f>
        <v/>
      </c>
      <c r="IR296" s="56">
        <f>IFERROR(IF(($II296)&gt;0,($IL296*cfg_TroyOz)/($II296),""),"")</f>
        <v/>
      </c>
      <c r="IS296" s="67">
        <f>IFERROR(IF(($IJ296)&gt;0,($IM296)/($IJ296),""),"")</f>
        <v/>
      </c>
      <c r="IT296" s="67">
        <f>IFERROR(IF(($IK296)&gt;0,($IN296)/($IK296),""),"")</f>
        <v/>
      </c>
      <c r="IU296" s="67">
        <f>IFERROR(IF(($IL296)&gt;0,($IO296)/($IL296),""),"")</f>
        <v/>
      </c>
      <c r="IV296" s="55">
        <f>SUMIFS(tblBudget[Gold_Poured_oz],tblBudget[Month],$E296)</f>
        <v/>
      </c>
      <c r="IW296" s="55">
        <f>$IV296*$C296/$D296</f>
        <v/>
      </c>
      <c r="IX296" s="55">
        <f>SUMIFS(tblBudget[Gold_Poured_oz],tblBudget[Month],"&lt;"&amp;$E296)+$IW296</f>
        <v/>
      </c>
      <c r="IY296" s="57">
        <f>SUMIFS(tblBudget[Hours_Worked],tblBudget[Month],$E296)</f>
        <v/>
      </c>
      <c r="IZ296" s="57">
        <f>$IY296*$C296/$D296</f>
        <v/>
      </c>
      <c r="JA296" s="57">
        <f>SUMIFS(tblBudget[Hours_Worked],tblBudget[Month],"&lt;"&amp;$E296)+$IZ296</f>
        <v/>
      </c>
    </row>
    <row r="297">
      <c r="A297" s="54" t="n">
        <v>46318</v>
      </c>
      <c r="B297">
        <f>MONTH($A297)</f>
        <v/>
      </c>
      <c r="C297">
        <f>DAY($A297)</f>
        <v/>
      </c>
      <c r="D297">
        <f>DAY(EOMONTH($A297,0))</f>
        <v/>
      </c>
      <c r="E297" s="54">
        <f>DATE(YEAR($A297),MONTH($A297),1)</f>
        <v/>
      </c>
      <c r="F297" s="55">
        <f>SUMIFS(tblMovement[Tonnes_t],tblMovement[Date],$A297,tblMovement[Is_Ore],1,tblMovement[Source_Type],"Pit")</f>
        <v/>
      </c>
      <c r="G297" s="55">
        <f>IF($B297=$B296,$G296,0)+$F297</f>
        <v/>
      </c>
      <c r="H297" s="55">
        <f>$H296+$F297</f>
        <v/>
      </c>
      <c r="I297" s="55">
        <f>SUMIFS(tblMovement[Ore_oz],tblMovement[Date],$A297,tblMovement[Source_Type],"Pit")</f>
        <v/>
      </c>
      <c r="J297" s="55">
        <f>IF($B297=$B296,$J296,0)+$I297</f>
        <v/>
      </c>
      <c r="K297" s="55">
        <f>$K296+$I297</f>
        <v/>
      </c>
      <c r="L297" s="56">
        <f>IFERROR(IF(($F297)&gt;0,($I297*cfg_TroyOz)/($F297),""),"")</f>
        <v/>
      </c>
      <c r="M297" s="56">
        <f>IFERROR(IF(($G297)&gt;0,($J297*cfg_TroyOz)/($G297),""),"")</f>
        <v/>
      </c>
      <c r="N297" s="56">
        <f>IFERROR(IF(($H297)&gt;0,($K297*cfg_TroyOz)/($H297),""),"")</f>
        <v/>
      </c>
      <c r="O297" s="55">
        <f>SUMIFS(tblMovement[Tonnes_t],tblMovement[Date],$A297,tblMovement[Is_Ore],0,tblMovement[Source_Type],"Pit")</f>
        <v/>
      </c>
      <c r="P297" s="55">
        <f>IF($B297=$B296,$P296,0)+$O297</f>
        <v/>
      </c>
      <c r="Q297" s="55">
        <f>$Q296+$O297</f>
        <v/>
      </c>
      <c r="R297" s="55">
        <f>$F297+$O297</f>
        <v/>
      </c>
      <c r="S297" s="55">
        <f>IF($B297=$B296,$S296,0)+$R297</f>
        <v/>
      </c>
      <c r="T297" s="55">
        <f>$T296+$R297</f>
        <v/>
      </c>
      <c r="U297" s="56">
        <f>IFERROR(IF(($F297)&gt;0,($O297)/($F297),""),"")</f>
        <v/>
      </c>
      <c r="V297" s="56">
        <f>IFERROR(IF(($G297)&gt;0,($P297)/($G297),""),"")</f>
        <v/>
      </c>
      <c r="W297" s="56">
        <f>IFERROR(IF(($H297)&gt;0,($Q297)/($H297),""),"")</f>
        <v/>
      </c>
      <c r="X297" s="55">
        <f>SUMIFS(tblMovement[Tonnes_t],tblMovement[Date],$A297,tblMovement[Source_Type],"Stockpile")</f>
        <v/>
      </c>
      <c r="Y297" s="55">
        <f>IF($B297=$B296,$Y296,0)+$X297</f>
        <v/>
      </c>
      <c r="Z297" s="55">
        <f>$Z296+$X297</f>
        <v/>
      </c>
      <c r="AA297" s="55">
        <f>SUMIFS(tblMiningDaily[Drill_m],tblMiningDaily[Date],$A297)</f>
        <v/>
      </c>
      <c r="AB297" s="55">
        <f>IF($B297=$B296,$AB296,0)+$AA297</f>
        <v/>
      </c>
      <c r="AC297" s="55">
        <f>$AC296+$AA297</f>
        <v/>
      </c>
      <c r="AD297" s="55">
        <f>SUMIFS(tblMiningDaily[Blast_t],tblMiningDaily[Date],$A297)</f>
        <v/>
      </c>
      <c r="AE297" s="55">
        <f>IF($B297=$B296,$AE296,0)+$AD297</f>
        <v/>
      </c>
      <c r="AF297" s="55">
        <f>$AF296+$AD297</f>
        <v/>
      </c>
      <c r="AG297" s="55">
        <f>SUMIFS(tblMiningDaily[Explosives_kg],tblMiningDaily[Date],$A297)</f>
        <v/>
      </c>
      <c r="AH297" s="55">
        <f>IF($B297=$B296,$AH296,0)+$AG297</f>
        <v/>
      </c>
      <c r="AI297" s="55">
        <f>$AI296+$AG297</f>
        <v/>
      </c>
      <c r="AJ297" s="56">
        <f>IFERROR(IF(($AD297)&gt;0,($AG297)/($AD297),""),"")</f>
        <v/>
      </c>
      <c r="AK297" s="56">
        <f>IFERROR(IF(($AE297)&gt;0,($AH297)/($AE297),""),"")</f>
        <v/>
      </c>
      <c r="AL297" s="56">
        <f>IFERROR(IF(($AF297)&gt;0,($AI297)/($AF297),""),"")</f>
        <v/>
      </c>
      <c r="AM297" s="55">
        <f>SUMIFS(tblMiningDaily[Diesel_L],tblMiningDaily[Date],$A297)</f>
        <v/>
      </c>
      <c r="AN297" s="55">
        <f>IF($B297=$B296,$AN296,0)+$AM297</f>
        <v/>
      </c>
      <c r="AO297" s="55">
        <f>$AO296+$AM297</f>
        <v/>
      </c>
      <c r="AP297" s="55">
        <f>SUMIFS(tblMiningDaily[Dewatering_m3],tblMiningDaily[Date],$A297)</f>
        <v/>
      </c>
      <c r="AQ297" s="55">
        <f>IF($B297=$B296,$AQ296,0)+$AP297</f>
        <v/>
      </c>
      <c r="AR297" s="55">
        <f>$AR296+$AP297</f>
        <v/>
      </c>
      <c r="AS297" s="57">
        <f>SUMIFS(tblFleet[Calendar_h],tblFleet[Date],$A297,tblFleet[Equipment_Class],"Excavator")</f>
        <v/>
      </c>
      <c r="AT297" s="57">
        <f>IF($B297=$B296,$AT296,0)+$AS297</f>
        <v/>
      </c>
      <c r="AU297" s="57">
        <f>$AU296+$AS297</f>
        <v/>
      </c>
      <c r="AV297" s="57">
        <f>SUMIFS(tblFleet[Available_h],tblFleet[Date],$A297,tblFleet[Equipment_Class],"Excavator")</f>
        <v/>
      </c>
      <c r="AW297" s="57">
        <f>IF($B297=$B296,$AW296,0)+$AV297</f>
        <v/>
      </c>
      <c r="AX297" s="57">
        <f>$AX296+$AV297</f>
        <v/>
      </c>
      <c r="AY297" s="57">
        <f>SUMIFS(tblFleet[Operating_h],tblFleet[Date],$A297,tblFleet[Equipment_Class],"Excavator")</f>
        <v/>
      </c>
      <c r="AZ297" s="57">
        <f>IF($B297=$B296,$AZ296,0)+$AY297</f>
        <v/>
      </c>
      <c r="BA297" s="57">
        <f>$BA296+$AY297</f>
        <v/>
      </c>
      <c r="BB297" s="67">
        <f>IFERROR(IF(($AS297)&gt;0,($AV297)/($AS297),""),"")</f>
        <v/>
      </c>
      <c r="BC297" s="67">
        <f>IFERROR(IF(($AT297)&gt;0,($AW297)/($AT297),""),"")</f>
        <v/>
      </c>
      <c r="BD297" s="67">
        <f>IFERROR(IF(($AU297)&gt;0,($AX297)/($AU297),""),"")</f>
        <v/>
      </c>
      <c r="BE297" s="67">
        <f>IFERROR(IF(($AV297)&gt;0,($AY297)/($AV297),""),"")</f>
        <v/>
      </c>
      <c r="BF297" s="67">
        <f>IFERROR(IF(($AW297)&gt;0,($AZ297)/($AW297),""),"")</f>
        <v/>
      </c>
      <c r="BG297" s="67">
        <f>IFERROR(IF(($AX297)&gt;0,($BA297)/($AX297),""),"")</f>
        <v/>
      </c>
      <c r="BH297" s="57">
        <f>SUMIFS(tblFleet[Calendar_h],tblFleet[Date],$A297,tblFleet[Equipment_Class],"Haul Truck")</f>
        <v/>
      </c>
      <c r="BI297" s="57">
        <f>IF($B297=$B296,$BI296,0)+$BH297</f>
        <v/>
      </c>
      <c r="BJ297" s="57">
        <f>$BJ296+$BH297</f>
        <v/>
      </c>
      <c r="BK297" s="57">
        <f>SUMIFS(tblFleet[Available_h],tblFleet[Date],$A297,tblFleet[Equipment_Class],"Haul Truck")</f>
        <v/>
      </c>
      <c r="BL297" s="57">
        <f>IF($B297=$B296,$BL296,0)+$BK297</f>
        <v/>
      </c>
      <c r="BM297" s="57">
        <f>$BM296+$BK297</f>
        <v/>
      </c>
      <c r="BN297" s="57">
        <f>SUMIFS(tblFleet[Operating_h],tblFleet[Date],$A297,tblFleet[Equipment_Class],"Haul Truck")</f>
        <v/>
      </c>
      <c r="BO297" s="57">
        <f>IF($B297=$B296,$BO296,0)+$BN297</f>
        <v/>
      </c>
      <c r="BP297" s="57">
        <f>$BP296+$BN297</f>
        <v/>
      </c>
      <c r="BQ297" s="67">
        <f>IFERROR(IF(($BH297)&gt;0,($BK297)/($BH297),""),"")</f>
        <v/>
      </c>
      <c r="BR297" s="67">
        <f>IFERROR(IF(($BI297)&gt;0,($BL297)/($BI297),""),"")</f>
        <v/>
      </c>
      <c r="BS297" s="67">
        <f>IFERROR(IF(($BJ297)&gt;0,($BM297)/($BJ297),""),"")</f>
        <v/>
      </c>
      <c r="BT297" s="67">
        <f>IFERROR(IF(($BK297)&gt;0,($BN297)/($BK297),""),"")</f>
        <v/>
      </c>
      <c r="BU297" s="67">
        <f>IFERROR(IF(($BL297)&gt;0,($BO297)/($BL297),""),"")</f>
        <v/>
      </c>
      <c r="BV297" s="67">
        <f>IFERROR(IF(($BM297)&gt;0,($BP297)/($BM297),""),"")</f>
        <v/>
      </c>
      <c r="BW297" s="55">
        <f>SUMIFS(tblPlant[Crushed_t],tblPlant[Date],$A297)</f>
        <v/>
      </c>
      <c r="BX297" s="55">
        <f>IF($B297=$B296,$BX296,0)+$BW297</f>
        <v/>
      </c>
      <c r="BY297" s="55">
        <f>$BY296+$BW297</f>
        <v/>
      </c>
      <c r="BZ297" s="55">
        <f>SUMIFS(tblPlant[Milled_t],tblPlant[Date],$A297)</f>
        <v/>
      </c>
      <c r="CA297" s="55">
        <f>IF($B297=$B296,$CA296,0)+$BZ297</f>
        <v/>
      </c>
      <c r="CB297" s="55">
        <f>$CB296+$BZ297</f>
        <v/>
      </c>
      <c r="CC297" s="55">
        <f>SUMIFS(tblPlant[Feed_oz],tblPlant[Date],$A297)</f>
        <v/>
      </c>
      <c r="CD297" s="55">
        <f>IF($B297=$B296,$CD296,0)+$CC297</f>
        <v/>
      </c>
      <c r="CE297" s="55">
        <f>$CE296+$CC297</f>
        <v/>
      </c>
      <c r="CF297" s="55">
        <f>SUMIFS(tblPlant[Tails_oz],tblPlant[Date],$A297)</f>
        <v/>
      </c>
      <c r="CG297" s="55">
        <f>IF($B297=$B296,$CG296,0)+$CF297</f>
        <v/>
      </c>
      <c r="CH297" s="55">
        <f>$CH296+$CF297</f>
        <v/>
      </c>
      <c r="CI297" s="55">
        <f>SUMIFS(tblPlant[Recovered_oz],tblPlant[Date],$A297)</f>
        <v/>
      </c>
      <c r="CJ297" s="55">
        <f>IF($B297=$B296,$CJ296,0)+$CI297</f>
        <v/>
      </c>
      <c r="CK297" s="55">
        <f>$CK296+$CI297</f>
        <v/>
      </c>
      <c r="CL297" s="56">
        <f>IFERROR(IF(($BZ297)&gt;0,($CC297*cfg_TroyOz)/($BZ297),""),"")</f>
        <v/>
      </c>
      <c r="CM297" s="56">
        <f>IFERROR(IF(($CA297)&gt;0,($CD297*cfg_TroyOz)/($CA297),""),"")</f>
        <v/>
      </c>
      <c r="CN297" s="56">
        <f>IFERROR(IF(($CB297)&gt;0,($CE297*cfg_TroyOz)/($CB297),""),"")</f>
        <v/>
      </c>
      <c r="CO297" s="56">
        <f>IFERROR(IF(($BZ297)&gt;0,($CF297*cfg_TroyOz)/($BZ297),""),"")</f>
        <v/>
      </c>
      <c r="CP297" s="56">
        <f>IFERROR(IF(($CA297)&gt;0,($CG297*cfg_TroyOz)/($CA297),""),"")</f>
        <v/>
      </c>
      <c r="CQ297" s="56">
        <f>IFERROR(IF(($CB297)&gt;0,($CH297*cfg_TroyOz)/($CB297),""),"")</f>
        <v/>
      </c>
      <c r="CR297" s="67">
        <f>IFERROR(IF(($CC297)&gt;0,($CI297)/($CC297),""),"")</f>
        <v/>
      </c>
      <c r="CS297" s="67">
        <f>IFERROR(IF(($CD297)&gt;0,($CJ297)/($CD297),""),"")</f>
        <v/>
      </c>
      <c r="CT297" s="67">
        <f>IFERROR(IF(($CE297)&gt;0,($CK297)/($CE297),""),"")</f>
        <v/>
      </c>
      <c r="CU297" s="55">
        <f>SUMIFS(tblPlant[Gravity_Gold_oz],tblPlant[Date],$A297)</f>
        <v/>
      </c>
      <c r="CV297" s="55">
        <f>IF($B297=$B296,$CV296,0)+$CU297</f>
        <v/>
      </c>
      <c r="CW297" s="55">
        <f>$CW296+$CU297</f>
        <v/>
      </c>
      <c r="CX297" s="55">
        <f>SUMIFS(tblPlant[Gold_Poured_oz],tblPlant[Date],$A297)</f>
        <v/>
      </c>
      <c r="CY297" s="55">
        <f>IF($B297=$B296,$CY296,0)+$CX297</f>
        <v/>
      </c>
      <c r="CZ297" s="55">
        <f>$CZ296+$CX297</f>
        <v/>
      </c>
      <c r="DA297" s="57">
        <f>SUMIFS(tblPlant[Mill_Run_h],tblPlant[Date],$A297)</f>
        <v/>
      </c>
      <c r="DB297" s="57">
        <f>IF($B297=$B296,$DB296,0)+$DA297</f>
        <v/>
      </c>
      <c r="DC297" s="57">
        <f>$DC296+$DA297</f>
        <v/>
      </c>
      <c r="DD297" s="57">
        <f>SUMIFS(tblPlant[Mill_Planned_Maint_h],tblPlant[Date],$A297)</f>
        <v/>
      </c>
      <c r="DE297" s="57">
        <f>IF($B297=$B296,$DE296,0)+$DD297</f>
        <v/>
      </c>
      <c r="DF297" s="57">
        <f>$DF296+$DD297</f>
        <v/>
      </c>
      <c r="DG297" s="57">
        <f>SUMIFS(tblPlant[Mill_Unplanned_Down_h],tblPlant[Date],$A297)</f>
        <v/>
      </c>
      <c r="DH297" s="57">
        <f>IF($B297=$B296,$DH296,0)+$DG297</f>
        <v/>
      </c>
      <c r="DI297" s="57">
        <f>$DI296+$DG297</f>
        <v/>
      </c>
      <c r="DJ297" s="57">
        <f>COUNTIFS(tblPlant[Date],$A297,tblPlant[Mill_Run_h],"&lt;&gt;")*24</f>
        <v/>
      </c>
      <c r="DK297" s="57">
        <f>IF($B297=$B296,$DK296,0)+$DJ297</f>
        <v/>
      </c>
      <c r="DL297" s="57">
        <f>$DL296+$DJ297</f>
        <v/>
      </c>
      <c r="DM297" s="57">
        <f>SUMIFS(tblPlant[Crusher_Run_h],tblPlant[Date],$A297)</f>
        <v/>
      </c>
      <c r="DN297" s="57">
        <f>IF($B297=$B296,$DN296,0)+$DM297</f>
        <v/>
      </c>
      <c r="DO297" s="57">
        <f>$DO296+$DM297</f>
        <v/>
      </c>
      <c r="DP297" s="55">
        <f>IFERROR(IF(($DA297)&gt;0,($BZ297)/($DA297),""),"")</f>
        <v/>
      </c>
      <c r="DQ297" s="55">
        <f>IFERROR(IF(($DB297)&gt;0,($CA297)/($DB297),""),"")</f>
        <v/>
      </c>
      <c r="DR297" s="55">
        <f>IFERROR(IF(($DC297)&gt;0,($CB297)/($DC297),""),"")</f>
        <v/>
      </c>
      <c r="DS297" s="67">
        <f>IFERROR(IF(($DJ297)&gt;0,($DJ297-$DD297-$DG297)/($DJ297),""),"")</f>
        <v/>
      </c>
      <c r="DT297" s="67">
        <f>IFERROR(IF(($DK297)&gt;0,($DK297-$DE297-$DH297)/($DK297),""),"")</f>
        <v/>
      </c>
      <c r="DU297" s="67">
        <f>IFERROR(IF(($DL297)&gt;0,($DL297-$DF297-$DI297)/($DL297),""),"")</f>
        <v/>
      </c>
      <c r="DV297" s="67">
        <f>IFERROR(IF(($DJ297-$DD297-$DG297)&gt;0,($DA297)/($DJ297-$DD297-$DG297),""),"")</f>
        <v/>
      </c>
      <c r="DW297" s="67">
        <f>IFERROR(IF(($DK297-$DE297-$DH297)&gt;0,($DB297)/($DK297-$DE297-$DH297),""),"")</f>
        <v/>
      </c>
      <c r="DX297" s="67">
        <f>IFERROR(IF(($DL297-$DF297-$DI297)&gt;0,($DC297)/($DL297-$DF297-$DI297),""),"")</f>
        <v/>
      </c>
      <c r="DY297" s="55">
        <f>SUMIFS(tblPlant[Cyanide_kg],tblPlant[Date],$A297)</f>
        <v/>
      </c>
      <c r="DZ297" s="55">
        <f>IF($B297=$B296,$DZ296,0)+$DY297</f>
        <v/>
      </c>
      <c r="EA297" s="55">
        <f>$EA296+$DY297</f>
        <v/>
      </c>
      <c r="EB297" s="55">
        <f>SUMIFS(tblPlant[Lime_kg],tblPlant[Date],$A297)</f>
        <v/>
      </c>
      <c r="EC297" s="55">
        <f>IF($B297=$B296,$EC296,0)+$EB297</f>
        <v/>
      </c>
      <c r="ED297" s="55">
        <f>$ED296+$EB297</f>
        <v/>
      </c>
      <c r="EE297" s="55">
        <f>SUMIFS(tblPlant[Grinding_Media_kg],tblPlant[Date],$A297)</f>
        <v/>
      </c>
      <c r="EF297" s="55">
        <f>IF($B297=$B296,$EF296,0)+$EE297</f>
        <v/>
      </c>
      <c r="EG297" s="55">
        <f>$EG296+$EE297</f>
        <v/>
      </c>
      <c r="EH297" s="55">
        <f>SUMIFS(tblPlant[Power_kWh],tblPlant[Date],$A297)</f>
        <v/>
      </c>
      <c r="EI297" s="55">
        <f>IF($B297=$B296,$EI296,0)+$EH297</f>
        <v/>
      </c>
      <c r="EJ297" s="55">
        <f>$EJ296+$EH297</f>
        <v/>
      </c>
      <c r="EK297" s="55">
        <f>SUMIFS(tblPlant[Raw_Water_m3],tblPlant[Date],$A297)</f>
        <v/>
      </c>
      <c r="EL297" s="55">
        <f>IF($B297=$B296,$EL296,0)+$EK297</f>
        <v/>
      </c>
      <c r="EM297" s="55">
        <f>$EM296+$EK297</f>
        <v/>
      </c>
      <c r="EN297" s="56">
        <f>IFERROR(IF(($BZ297)&gt;0,($DY297)/($BZ297),""),"")</f>
        <v/>
      </c>
      <c r="EO297" s="56">
        <f>IFERROR(IF(($CA297)&gt;0,($DZ297)/($CA297),""),"")</f>
        <v/>
      </c>
      <c r="EP297" s="56">
        <f>IFERROR(IF(($CB297)&gt;0,($EA297)/($CB297),""),"")</f>
        <v/>
      </c>
      <c r="EQ297" s="56">
        <f>IFERROR(IF(($BZ297)&gt;0,($EB297)/($BZ297),""),"")</f>
        <v/>
      </c>
      <c r="ER297" s="56">
        <f>IFERROR(IF(($CA297)&gt;0,($EC297)/($CA297),""),"")</f>
        <v/>
      </c>
      <c r="ES297" s="56">
        <f>IFERROR(IF(($CB297)&gt;0,($ED297)/($CB297),""),"")</f>
        <v/>
      </c>
      <c r="ET297" s="56">
        <f>IFERROR(IF(($BZ297)&gt;0,($EE297)/($BZ297),""),"")</f>
        <v/>
      </c>
      <c r="EU297" s="56">
        <f>IFERROR(IF(($CA297)&gt;0,($EF297)/($CA297),""),"")</f>
        <v/>
      </c>
      <c r="EV297" s="56">
        <f>IFERROR(IF(($CB297)&gt;0,($EG297)/($CB297),""),"")</f>
        <v/>
      </c>
      <c r="EW297" s="76">
        <f>IFERROR(IF(($BZ297)&gt;0,($EH297)/($BZ297),""),"")</f>
        <v/>
      </c>
      <c r="EX297" s="76">
        <f>IFERROR(IF(($CA297)&gt;0,($EI297)/($CA297),""),"")</f>
        <v/>
      </c>
      <c r="EY297" s="76">
        <f>IFERROR(IF(($CB297)&gt;0,($EJ297)/($CB297),""),"")</f>
        <v/>
      </c>
      <c r="EZ297" s="56">
        <f>IFERROR(IF(($BZ297)&gt;0,($EK297)/($BZ297),""),"")</f>
        <v/>
      </c>
      <c r="FA297" s="56">
        <f>IFERROR(IF(($CA297)&gt;0,($EL297)/($CA297),""),"")</f>
        <v/>
      </c>
      <c r="FB297" s="56">
        <f>IFERROR(IF(($CB297)&gt;0,($EM297)/($CB297),""),"")</f>
        <v/>
      </c>
      <c r="FC297" s="55">
        <f>IF(SUMIFS(tblPlant[GIC_oz],tblPlant[Date],$A297)&gt;0,SUMIFS(tblPlant[GIC_oz],tblPlant[Date],$A297),"")</f>
        <v/>
      </c>
      <c r="FD297" s="55">
        <f>SUMIFS(tblGold[Gold_oz],tblGold[Date],$A297,tblGold[Type],"Shipment")</f>
        <v/>
      </c>
      <c r="FE297" s="55">
        <f>IF($B297=$B296,$FE296,0)+$FD297</f>
        <v/>
      </c>
      <c r="FF297" s="55">
        <f>$FF296+$FD297</f>
        <v/>
      </c>
      <c r="FG297" s="55">
        <f>SUMIFS(tblGold[Gold_oz],tblGold[Date],$A297,tblGold[Type],"Sale")</f>
        <v/>
      </c>
      <c r="FH297" s="55">
        <f>IF($B297=$B296,$FH296,0)+$FG297</f>
        <v/>
      </c>
      <c r="FI297" s="55">
        <f>$FI296+$FG297</f>
        <v/>
      </c>
      <c r="FJ297" s="55">
        <f>SUMIFS(tblGold[Dore_kg],tblGold[Date],$A297,tblGold[Type],"Shipment")</f>
        <v/>
      </c>
      <c r="FK297" s="55">
        <f>IF($B297=$B296,$FK296,0)+$FJ297</f>
        <v/>
      </c>
      <c r="FL297" s="55">
        <f>$FL296+$FJ297</f>
        <v/>
      </c>
      <c r="FM297" s="57">
        <f>SUMIFS(tblSafety[Hours_Total],tblSafety[Date],$A297)</f>
        <v/>
      </c>
      <c r="FN297" s="57">
        <f>IF($B297=$B296,$FN296,0)+$FM297</f>
        <v/>
      </c>
      <c r="FO297" s="57">
        <f>$FO296+$FM297</f>
        <v/>
      </c>
      <c r="FP297" s="62">
        <f>SUMIFS(tblSafety[Fatality],tblSafety[Date],$A297)</f>
        <v/>
      </c>
      <c r="FQ297" s="62">
        <f>IF($B297=$B296,$FQ296,0)+$FP297</f>
        <v/>
      </c>
      <c r="FR297" s="62">
        <f>$FR296+$FP297</f>
        <v/>
      </c>
      <c r="FS297" s="62">
        <f>SUMIFS(tblSafety[LTI],tblSafety[Date],$A297)</f>
        <v/>
      </c>
      <c r="FT297" s="62">
        <f>IF($B297=$B296,$FT296,0)+$FS297</f>
        <v/>
      </c>
      <c r="FU297" s="62">
        <f>$FU296+$FS297</f>
        <v/>
      </c>
      <c r="FV297" s="62">
        <f>SUMIFS(tblSafety[RWI],tblSafety[Date],$A297)</f>
        <v/>
      </c>
      <c r="FW297" s="62">
        <f>IF($B297=$B296,$FW296,0)+$FV297</f>
        <v/>
      </c>
      <c r="FX297" s="62">
        <f>$FX296+$FV297</f>
        <v/>
      </c>
      <c r="FY297" s="62">
        <f>SUMIFS(tblSafety[MTI],tblSafety[Date],$A297)</f>
        <v/>
      </c>
      <c r="FZ297" s="62">
        <f>IF($B297=$B296,$FZ296,0)+$FY297</f>
        <v/>
      </c>
      <c r="GA297" s="62">
        <f>$GA296+$FY297</f>
        <v/>
      </c>
      <c r="GB297" s="62">
        <f>SUMIFS(tblSafety[FAI],tblSafety[Date],$A297)</f>
        <v/>
      </c>
      <c r="GC297" s="62">
        <f>IF($B297=$B296,$GC296,0)+$GB297</f>
        <v/>
      </c>
      <c r="GD297" s="62">
        <f>$GD296+$GB297</f>
        <v/>
      </c>
      <c r="GE297" s="62">
        <f>SUMIFS(tblSafety[Recordables],tblSafety[Date],$A297)</f>
        <v/>
      </c>
      <c r="GF297" s="62">
        <f>IF($B297=$B296,$GF296,0)+$GE297</f>
        <v/>
      </c>
      <c r="GG297" s="62">
        <f>$GG296+$GE297</f>
        <v/>
      </c>
      <c r="GH297" s="62">
        <f>SUMIFS(tblSafety[Near_Miss],tblSafety[Date],$A297)</f>
        <v/>
      </c>
      <c r="GI297" s="62">
        <f>IF($B297=$B296,$GI296,0)+$GH297</f>
        <v/>
      </c>
      <c r="GJ297" s="62">
        <f>$GJ296+$GH297</f>
        <v/>
      </c>
      <c r="GK297" s="62">
        <f>SUMIFS(tblSafety[Hazard_Reports],tblSafety[Date],$A297)</f>
        <v/>
      </c>
      <c r="GL297" s="62">
        <f>IF($B297=$B296,$GL296,0)+$GK297</f>
        <v/>
      </c>
      <c r="GM297" s="62">
        <f>$GM296+$GK297</f>
        <v/>
      </c>
      <c r="GN297" s="62">
        <f>SUMIFS(tblSafety[HPI],tblSafety[Date],$A297)</f>
        <v/>
      </c>
      <c r="GO297" s="62">
        <f>IF($B297=$B296,$GO296,0)+$GN297</f>
        <v/>
      </c>
      <c r="GP297" s="62">
        <f>$GP296+$GN297</f>
        <v/>
      </c>
      <c r="GQ297" s="62">
        <f>SUMIFS(tblSafety[Env_Incidents],tblSafety[Date],$A297)</f>
        <v/>
      </c>
      <c r="GR297" s="62">
        <f>IF($B297=$B296,$GR296,0)+$GQ297</f>
        <v/>
      </c>
      <c r="GS297" s="62">
        <f>$GS296+$GQ297</f>
        <v/>
      </c>
      <c r="GT297" s="62">
        <f>SUMIFS(tblSafety[Community_Incidents],tblSafety[Date],$A297)</f>
        <v/>
      </c>
      <c r="GU297" s="62">
        <f>IF($B297=$B296,$GU296,0)+$GT297</f>
        <v/>
      </c>
      <c r="GV297" s="62">
        <f>$GV296+$GT297</f>
        <v/>
      </c>
      <c r="GW297" s="62">
        <f>SUMIFS(tblSafety[Vehicle_Incidents],tblSafety[Date],$A297)</f>
        <v/>
      </c>
      <c r="GX297" s="62">
        <f>IF($B297=$B296,$GX296,0)+$GW297</f>
        <v/>
      </c>
      <c r="GY297" s="62">
        <f>$GY296+$GW297</f>
        <v/>
      </c>
      <c r="GZ297" s="62">
        <f>SUMIFS(tblSafety[Toolbox_Talks],tblSafety[Date],$A297)</f>
        <v/>
      </c>
      <c r="HA297" s="62">
        <f>IF($B297=$B296,$HA296,0)+$GZ297</f>
        <v/>
      </c>
      <c r="HB297" s="62">
        <f>$HB296+$GZ297</f>
        <v/>
      </c>
      <c r="HC297" s="62">
        <f>SUMIFS(tblSafety[Inspections],tblSafety[Date],$A297)</f>
        <v/>
      </c>
      <c r="HD297" s="62">
        <f>IF($B297=$B296,$HD296,0)+$HC297</f>
        <v/>
      </c>
      <c r="HE297" s="62">
        <f>$HE296+$HC297</f>
        <v/>
      </c>
      <c r="HF297" s="56">
        <f>IFERROR((SUMIFS(tblSafety[Recordables],tblSafety[Date],"&gt;="&amp;EDATE($E297,-12),tblSafety[Date],"&lt;="&amp;$A297)+SUMIFS(tblSafetyHistory[Recordables],tblSafetyHistory[Month],"&gt;="&amp;EDATE($E297,-12),tblSafetyHistory[Month],"&lt;"&amp;cfg_YearStart))/(SUMIFS(tblSafety[Hours_Total],tblSafety[Date],"&gt;="&amp;EDATE($E297,-12),tblSafety[Date],"&lt;="&amp;$A297)+SUMIFS(tblSafetyHistory[Hours_Total],tblSafetyHistory[Month],"&gt;="&amp;EDATE($E297,-12),tblSafetyHistory[Month],"&lt;"&amp;cfg_YearStart))*1000000,"")</f>
        <v/>
      </c>
      <c r="HG297" s="56">
        <f>IFERROR((SUMIFS(tblSafety[LTI],tblSafety[Date],"&gt;="&amp;EDATE($E297,-12),tblSafety[Date],"&lt;="&amp;$A297)+SUMIFS(tblSafetyHistory[LTI],tblSafetyHistory[Month],"&gt;="&amp;EDATE($E297,-12),tblSafetyHistory[Month],"&lt;"&amp;cfg_YearStart))/(SUMIFS(tblSafety[Hours_Total],tblSafety[Date],"&gt;="&amp;EDATE($E297,-12),tblSafety[Date],"&lt;="&amp;$A297)+SUMIFS(tblSafetyHistory[Hours_Total],tblSafetyHistory[Month],"&gt;="&amp;EDATE($E297,-12),tblSafetyHistory[Month],"&lt;"&amp;cfg_YearStart))*1000000,"")</f>
        <v/>
      </c>
      <c r="HH297" s="62">
        <f>IF(MAX(N(cfg_PriorLTIDate),_xlfn.MAXIFS(tblSafety[Date],tblSafety[LTI],"&gt;0",tblSafety[Date],"&lt;="&amp;$A297))=0,"",$A297-MAX(N(cfg_PriorLTIDate),_xlfn.MAXIFS(tblSafety[Date],tblSafety[LTI],"&gt;0",tblSafety[Date],"&lt;="&amp;$A297)))</f>
        <v/>
      </c>
      <c r="HI297" s="55">
        <f>SUMIFS(tblBudget[Ore_Mined_t],tblBudget[Month],$E297)</f>
        <v/>
      </c>
      <c r="HJ297" s="55">
        <f>$HI297*$C297/$D297</f>
        <v/>
      </c>
      <c r="HK297" s="55">
        <f>SUMIFS(tblBudget[Ore_Mined_t],tblBudget[Month],"&lt;"&amp;$E297)+$HJ297</f>
        <v/>
      </c>
      <c r="HL297" s="55">
        <f>SUMIFS(tblBudget[Ore_oz],tblBudget[Month],$E297)</f>
        <v/>
      </c>
      <c r="HM297" s="55">
        <f>$HL297*$C297/$D297</f>
        <v/>
      </c>
      <c r="HN297" s="55">
        <f>SUMIFS(tblBudget[Ore_oz],tblBudget[Month],"&lt;"&amp;$E297)+$HM297</f>
        <v/>
      </c>
      <c r="HO297" s="56">
        <f>IFERROR(IF(($HI297)&gt;0,($HL297*cfg_TroyOz)/($HI297),""),"")</f>
        <v/>
      </c>
      <c r="HP297" s="56">
        <f>IFERROR(IF(($HJ297)&gt;0,($HM297*cfg_TroyOz)/($HJ297),""),"")</f>
        <v/>
      </c>
      <c r="HQ297" s="56">
        <f>IFERROR(IF(($HK297)&gt;0,($HN297*cfg_TroyOz)/($HK297),""),"")</f>
        <v/>
      </c>
      <c r="HR297" s="55">
        <f>SUMIFS(tblBudget[Waste_t],tblBudget[Month],$E297)</f>
        <v/>
      </c>
      <c r="HS297" s="55">
        <f>$HR297*$C297/$D297</f>
        <v/>
      </c>
      <c r="HT297" s="55">
        <f>SUMIFS(tblBudget[Waste_t],tblBudget[Month],"&lt;"&amp;$E297)+$HS297</f>
        <v/>
      </c>
      <c r="HU297" s="55">
        <f>SUMIFS(tblBudget[TMM_t],tblBudget[Month],$E297)</f>
        <v/>
      </c>
      <c r="HV297" s="55">
        <f>$HU297*$C297/$D297</f>
        <v/>
      </c>
      <c r="HW297" s="55">
        <f>SUMIFS(tblBudget[TMM_t],tblBudget[Month],"&lt;"&amp;$E297)+$HV297</f>
        <v/>
      </c>
      <c r="HX297" s="56">
        <f>IFERROR(IF(($HI297)&gt;0,($HR297)/($HI297),""),"")</f>
        <v/>
      </c>
      <c r="HY297" s="56">
        <f>IFERROR(IF(($HJ297)&gt;0,($HS297)/($HJ297),""),"")</f>
        <v/>
      </c>
      <c r="HZ297" s="56">
        <f>IFERROR(IF(($HK297)&gt;0,($HT297)/($HK297),""),"")</f>
        <v/>
      </c>
      <c r="IA297" s="55">
        <f>SUMIFS(tblBudget[Drill_m],tblBudget[Month],$E297)</f>
        <v/>
      </c>
      <c r="IB297" s="55">
        <f>$IA297*$C297/$D297</f>
        <v/>
      </c>
      <c r="IC297" s="55">
        <f>SUMIFS(tblBudget[Drill_m],tblBudget[Month],"&lt;"&amp;$E297)+$IB297</f>
        <v/>
      </c>
      <c r="ID297" s="55">
        <f>SUMIFS(tblBudget[Diesel_L],tblBudget[Month],$E297)</f>
        <v/>
      </c>
      <c r="IE297" s="55">
        <f>$ID297*$C297/$D297</f>
        <v/>
      </c>
      <c r="IF297" s="55">
        <f>SUMIFS(tblBudget[Diesel_L],tblBudget[Month],"&lt;"&amp;$E297)+$IE297</f>
        <v/>
      </c>
      <c r="IG297" s="55">
        <f>SUMIFS(tblBudget[Milled_t],tblBudget[Month],$E297)</f>
        <v/>
      </c>
      <c r="IH297" s="55">
        <f>$IG297*$C297/$D297</f>
        <v/>
      </c>
      <c r="II297" s="55">
        <f>SUMIFS(tblBudget[Milled_t],tblBudget[Month],"&lt;"&amp;$E297)+$IH297</f>
        <v/>
      </c>
      <c r="IJ297" s="55">
        <f>SUMIFS(tblBudget[Feed_oz],tblBudget[Month],$E297)</f>
        <v/>
      </c>
      <c r="IK297" s="55">
        <f>$IJ297*$C297/$D297</f>
        <v/>
      </c>
      <c r="IL297" s="55">
        <f>SUMIFS(tblBudget[Feed_oz],tblBudget[Month],"&lt;"&amp;$E297)+$IK297</f>
        <v/>
      </c>
      <c r="IM297" s="55">
        <f>SUMIFS(tblBudget[Recovered_oz],tblBudget[Month],$E297)</f>
        <v/>
      </c>
      <c r="IN297" s="55">
        <f>$IM297*$C297/$D297</f>
        <v/>
      </c>
      <c r="IO297" s="55">
        <f>SUMIFS(tblBudget[Recovered_oz],tblBudget[Month],"&lt;"&amp;$E297)+$IN297</f>
        <v/>
      </c>
      <c r="IP297" s="56">
        <f>IFERROR(IF(($IG297)&gt;0,($IJ297*cfg_TroyOz)/($IG297),""),"")</f>
        <v/>
      </c>
      <c r="IQ297" s="56">
        <f>IFERROR(IF(($IH297)&gt;0,($IK297*cfg_TroyOz)/($IH297),""),"")</f>
        <v/>
      </c>
      <c r="IR297" s="56">
        <f>IFERROR(IF(($II297)&gt;0,($IL297*cfg_TroyOz)/($II297),""),"")</f>
        <v/>
      </c>
      <c r="IS297" s="67">
        <f>IFERROR(IF(($IJ297)&gt;0,($IM297)/($IJ297),""),"")</f>
        <v/>
      </c>
      <c r="IT297" s="67">
        <f>IFERROR(IF(($IK297)&gt;0,($IN297)/($IK297),""),"")</f>
        <v/>
      </c>
      <c r="IU297" s="67">
        <f>IFERROR(IF(($IL297)&gt;0,($IO297)/($IL297),""),"")</f>
        <v/>
      </c>
      <c r="IV297" s="55">
        <f>SUMIFS(tblBudget[Gold_Poured_oz],tblBudget[Month],$E297)</f>
        <v/>
      </c>
      <c r="IW297" s="55">
        <f>$IV297*$C297/$D297</f>
        <v/>
      </c>
      <c r="IX297" s="55">
        <f>SUMIFS(tblBudget[Gold_Poured_oz],tblBudget[Month],"&lt;"&amp;$E297)+$IW297</f>
        <v/>
      </c>
      <c r="IY297" s="57">
        <f>SUMIFS(tblBudget[Hours_Worked],tblBudget[Month],$E297)</f>
        <v/>
      </c>
      <c r="IZ297" s="57">
        <f>$IY297*$C297/$D297</f>
        <v/>
      </c>
      <c r="JA297" s="57">
        <f>SUMIFS(tblBudget[Hours_Worked],tblBudget[Month],"&lt;"&amp;$E297)+$IZ297</f>
        <v/>
      </c>
    </row>
    <row r="298">
      <c r="A298" s="54" t="n">
        <v>46319</v>
      </c>
      <c r="B298">
        <f>MONTH($A298)</f>
        <v/>
      </c>
      <c r="C298">
        <f>DAY($A298)</f>
        <v/>
      </c>
      <c r="D298">
        <f>DAY(EOMONTH($A298,0))</f>
        <v/>
      </c>
      <c r="E298" s="54">
        <f>DATE(YEAR($A298),MONTH($A298),1)</f>
        <v/>
      </c>
      <c r="F298" s="55">
        <f>SUMIFS(tblMovement[Tonnes_t],tblMovement[Date],$A298,tblMovement[Is_Ore],1,tblMovement[Source_Type],"Pit")</f>
        <v/>
      </c>
      <c r="G298" s="55">
        <f>IF($B298=$B297,$G297,0)+$F298</f>
        <v/>
      </c>
      <c r="H298" s="55">
        <f>$H297+$F298</f>
        <v/>
      </c>
      <c r="I298" s="55">
        <f>SUMIFS(tblMovement[Ore_oz],tblMovement[Date],$A298,tblMovement[Source_Type],"Pit")</f>
        <v/>
      </c>
      <c r="J298" s="55">
        <f>IF($B298=$B297,$J297,0)+$I298</f>
        <v/>
      </c>
      <c r="K298" s="55">
        <f>$K297+$I298</f>
        <v/>
      </c>
      <c r="L298" s="56">
        <f>IFERROR(IF(($F298)&gt;0,($I298*cfg_TroyOz)/($F298),""),"")</f>
        <v/>
      </c>
      <c r="M298" s="56">
        <f>IFERROR(IF(($G298)&gt;0,($J298*cfg_TroyOz)/($G298),""),"")</f>
        <v/>
      </c>
      <c r="N298" s="56">
        <f>IFERROR(IF(($H298)&gt;0,($K298*cfg_TroyOz)/($H298),""),"")</f>
        <v/>
      </c>
      <c r="O298" s="55">
        <f>SUMIFS(tblMovement[Tonnes_t],tblMovement[Date],$A298,tblMovement[Is_Ore],0,tblMovement[Source_Type],"Pit")</f>
        <v/>
      </c>
      <c r="P298" s="55">
        <f>IF($B298=$B297,$P297,0)+$O298</f>
        <v/>
      </c>
      <c r="Q298" s="55">
        <f>$Q297+$O298</f>
        <v/>
      </c>
      <c r="R298" s="55">
        <f>$F298+$O298</f>
        <v/>
      </c>
      <c r="S298" s="55">
        <f>IF($B298=$B297,$S297,0)+$R298</f>
        <v/>
      </c>
      <c r="T298" s="55">
        <f>$T297+$R298</f>
        <v/>
      </c>
      <c r="U298" s="56">
        <f>IFERROR(IF(($F298)&gt;0,($O298)/($F298),""),"")</f>
        <v/>
      </c>
      <c r="V298" s="56">
        <f>IFERROR(IF(($G298)&gt;0,($P298)/($G298),""),"")</f>
        <v/>
      </c>
      <c r="W298" s="56">
        <f>IFERROR(IF(($H298)&gt;0,($Q298)/($H298),""),"")</f>
        <v/>
      </c>
      <c r="X298" s="55">
        <f>SUMIFS(tblMovement[Tonnes_t],tblMovement[Date],$A298,tblMovement[Source_Type],"Stockpile")</f>
        <v/>
      </c>
      <c r="Y298" s="55">
        <f>IF($B298=$B297,$Y297,0)+$X298</f>
        <v/>
      </c>
      <c r="Z298" s="55">
        <f>$Z297+$X298</f>
        <v/>
      </c>
      <c r="AA298" s="55">
        <f>SUMIFS(tblMiningDaily[Drill_m],tblMiningDaily[Date],$A298)</f>
        <v/>
      </c>
      <c r="AB298" s="55">
        <f>IF($B298=$B297,$AB297,0)+$AA298</f>
        <v/>
      </c>
      <c r="AC298" s="55">
        <f>$AC297+$AA298</f>
        <v/>
      </c>
      <c r="AD298" s="55">
        <f>SUMIFS(tblMiningDaily[Blast_t],tblMiningDaily[Date],$A298)</f>
        <v/>
      </c>
      <c r="AE298" s="55">
        <f>IF($B298=$B297,$AE297,0)+$AD298</f>
        <v/>
      </c>
      <c r="AF298" s="55">
        <f>$AF297+$AD298</f>
        <v/>
      </c>
      <c r="AG298" s="55">
        <f>SUMIFS(tblMiningDaily[Explosives_kg],tblMiningDaily[Date],$A298)</f>
        <v/>
      </c>
      <c r="AH298" s="55">
        <f>IF($B298=$B297,$AH297,0)+$AG298</f>
        <v/>
      </c>
      <c r="AI298" s="55">
        <f>$AI297+$AG298</f>
        <v/>
      </c>
      <c r="AJ298" s="56">
        <f>IFERROR(IF(($AD298)&gt;0,($AG298)/($AD298),""),"")</f>
        <v/>
      </c>
      <c r="AK298" s="56">
        <f>IFERROR(IF(($AE298)&gt;0,($AH298)/($AE298),""),"")</f>
        <v/>
      </c>
      <c r="AL298" s="56">
        <f>IFERROR(IF(($AF298)&gt;0,($AI298)/($AF298),""),"")</f>
        <v/>
      </c>
      <c r="AM298" s="55">
        <f>SUMIFS(tblMiningDaily[Diesel_L],tblMiningDaily[Date],$A298)</f>
        <v/>
      </c>
      <c r="AN298" s="55">
        <f>IF($B298=$B297,$AN297,0)+$AM298</f>
        <v/>
      </c>
      <c r="AO298" s="55">
        <f>$AO297+$AM298</f>
        <v/>
      </c>
      <c r="AP298" s="55">
        <f>SUMIFS(tblMiningDaily[Dewatering_m3],tblMiningDaily[Date],$A298)</f>
        <v/>
      </c>
      <c r="AQ298" s="55">
        <f>IF($B298=$B297,$AQ297,0)+$AP298</f>
        <v/>
      </c>
      <c r="AR298" s="55">
        <f>$AR297+$AP298</f>
        <v/>
      </c>
      <c r="AS298" s="57">
        <f>SUMIFS(tblFleet[Calendar_h],tblFleet[Date],$A298,tblFleet[Equipment_Class],"Excavator")</f>
        <v/>
      </c>
      <c r="AT298" s="57">
        <f>IF($B298=$B297,$AT297,0)+$AS298</f>
        <v/>
      </c>
      <c r="AU298" s="57">
        <f>$AU297+$AS298</f>
        <v/>
      </c>
      <c r="AV298" s="57">
        <f>SUMIFS(tblFleet[Available_h],tblFleet[Date],$A298,tblFleet[Equipment_Class],"Excavator")</f>
        <v/>
      </c>
      <c r="AW298" s="57">
        <f>IF($B298=$B297,$AW297,0)+$AV298</f>
        <v/>
      </c>
      <c r="AX298" s="57">
        <f>$AX297+$AV298</f>
        <v/>
      </c>
      <c r="AY298" s="57">
        <f>SUMIFS(tblFleet[Operating_h],tblFleet[Date],$A298,tblFleet[Equipment_Class],"Excavator")</f>
        <v/>
      </c>
      <c r="AZ298" s="57">
        <f>IF($B298=$B297,$AZ297,0)+$AY298</f>
        <v/>
      </c>
      <c r="BA298" s="57">
        <f>$BA297+$AY298</f>
        <v/>
      </c>
      <c r="BB298" s="67">
        <f>IFERROR(IF(($AS298)&gt;0,($AV298)/($AS298),""),"")</f>
        <v/>
      </c>
      <c r="BC298" s="67">
        <f>IFERROR(IF(($AT298)&gt;0,($AW298)/($AT298),""),"")</f>
        <v/>
      </c>
      <c r="BD298" s="67">
        <f>IFERROR(IF(($AU298)&gt;0,($AX298)/($AU298),""),"")</f>
        <v/>
      </c>
      <c r="BE298" s="67">
        <f>IFERROR(IF(($AV298)&gt;0,($AY298)/($AV298),""),"")</f>
        <v/>
      </c>
      <c r="BF298" s="67">
        <f>IFERROR(IF(($AW298)&gt;0,($AZ298)/($AW298),""),"")</f>
        <v/>
      </c>
      <c r="BG298" s="67">
        <f>IFERROR(IF(($AX298)&gt;0,($BA298)/($AX298),""),"")</f>
        <v/>
      </c>
      <c r="BH298" s="57">
        <f>SUMIFS(tblFleet[Calendar_h],tblFleet[Date],$A298,tblFleet[Equipment_Class],"Haul Truck")</f>
        <v/>
      </c>
      <c r="BI298" s="57">
        <f>IF($B298=$B297,$BI297,0)+$BH298</f>
        <v/>
      </c>
      <c r="BJ298" s="57">
        <f>$BJ297+$BH298</f>
        <v/>
      </c>
      <c r="BK298" s="57">
        <f>SUMIFS(tblFleet[Available_h],tblFleet[Date],$A298,tblFleet[Equipment_Class],"Haul Truck")</f>
        <v/>
      </c>
      <c r="BL298" s="57">
        <f>IF($B298=$B297,$BL297,0)+$BK298</f>
        <v/>
      </c>
      <c r="BM298" s="57">
        <f>$BM297+$BK298</f>
        <v/>
      </c>
      <c r="BN298" s="57">
        <f>SUMIFS(tblFleet[Operating_h],tblFleet[Date],$A298,tblFleet[Equipment_Class],"Haul Truck")</f>
        <v/>
      </c>
      <c r="BO298" s="57">
        <f>IF($B298=$B297,$BO297,0)+$BN298</f>
        <v/>
      </c>
      <c r="BP298" s="57">
        <f>$BP297+$BN298</f>
        <v/>
      </c>
      <c r="BQ298" s="67">
        <f>IFERROR(IF(($BH298)&gt;0,($BK298)/($BH298),""),"")</f>
        <v/>
      </c>
      <c r="BR298" s="67">
        <f>IFERROR(IF(($BI298)&gt;0,($BL298)/($BI298),""),"")</f>
        <v/>
      </c>
      <c r="BS298" s="67">
        <f>IFERROR(IF(($BJ298)&gt;0,($BM298)/($BJ298),""),"")</f>
        <v/>
      </c>
      <c r="BT298" s="67">
        <f>IFERROR(IF(($BK298)&gt;0,($BN298)/($BK298),""),"")</f>
        <v/>
      </c>
      <c r="BU298" s="67">
        <f>IFERROR(IF(($BL298)&gt;0,($BO298)/($BL298),""),"")</f>
        <v/>
      </c>
      <c r="BV298" s="67">
        <f>IFERROR(IF(($BM298)&gt;0,($BP298)/($BM298),""),"")</f>
        <v/>
      </c>
      <c r="BW298" s="55">
        <f>SUMIFS(tblPlant[Crushed_t],tblPlant[Date],$A298)</f>
        <v/>
      </c>
      <c r="BX298" s="55">
        <f>IF($B298=$B297,$BX297,0)+$BW298</f>
        <v/>
      </c>
      <c r="BY298" s="55">
        <f>$BY297+$BW298</f>
        <v/>
      </c>
      <c r="BZ298" s="55">
        <f>SUMIFS(tblPlant[Milled_t],tblPlant[Date],$A298)</f>
        <v/>
      </c>
      <c r="CA298" s="55">
        <f>IF($B298=$B297,$CA297,0)+$BZ298</f>
        <v/>
      </c>
      <c r="CB298" s="55">
        <f>$CB297+$BZ298</f>
        <v/>
      </c>
      <c r="CC298" s="55">
        <f>SUMIFS(tblPlant[Feed_oz],tblPlant[Date],$A298)</f>
        <v/>
      </c>
      <c r="CD298" s="55">
        <f>IF($B298=$B297,$CD297,0)+$CC298</f>
        <v/>
      </c>
      <c r="CE298" s="55">
        <f>$CE297+$CC298</f>
        <v/>
      </c>
      <c r="CF298" s="55">
        <f>SUMIFS(tblPlant[Tails_oz],tblPlant[Date],$A298)</f>
        <v/>
      </c>
      <c r="CG298" s="55">
        <f>IF($B298=$B297,$CG297,0)+$CF298</f>
        <v/>
      </c>
      <c r="CH298" s="55">
        <f>$CH297+$CF298</f>
        <v/>
      </c>
      <c r="CI298" s="55">
        <f>SUMIFS(tblPlant[Recovered_oz],tblPlant[Date],$A298)</f>
        <v/>
      </c>
      <c r="CJ298" s="55">
        <f>IF($B298=$B297,$CJ297,0)+$CI298</f>
        <v/>
      </c>
      <c r="CK298" s="55">
        <f>$CK297+$CI298</f>
        <v/>
      </c>
      <c r="CL298" s="56">
        <f>IFERROR(IF(($BZ298)&gt;0,($CC298*cfg_TroyOz)/($BZ298),""),"")</f>
        <v/>
      </c>
      <c r="CM298" s="56">
        <f>IFERROR(IF(($CA298)&gt;0,($CD298*cfg_TroyOz)/($CA298),""),"")</f>
        <v/>
      </c>
      <c r="CN298" s="56">
        <f>IFERROR(IF(($CB298)&gt;0,($CE298*cfg_TroyOz)/($CB298),""),"")</f>
        <v/>
      </c>
      <c r="CO298" s="56">
        <f>IFERROR(IF(($BZ298)&gt;0,($CF298*cfg_TroyOz)/($BZ298),""),"")</f>
        <v/>
      </c>
      <c r="CP298" s="56">
        <f>IFERROR(IF(($CA298)&gt;0,($CG298*cfg_TroyOz)/($CA298),""),"")</f>
        <v/>
      </c>
      <c r="CQ298" s="56">
        <f>IFERROR(IF(($CB298)&gt;0,($CH298*cfg_TroyOz)/($CB298),""),"")</f>
        <v/>
      </c>
      <c r="CR298" s="67">
        <f>IFERROR(IF(($CC298)&gt;0,($CI298)/($CC298),""),"")</f>
        <v/>
      </c>
      <c r="CS298" s="67">
        <f>IFERROR(IF(($CD298)&gt;0,($CJ298)/($CD298),""),"")</f>
        <v/>
      </c>
      <c r="CT298" s="67">
        <f>IFERROR(IF(($CE298)&gt;0,($CK298)/($CE298),""),"")</f>
        <v/>
      </c>
      <c r="CU298" s="55">
        <f>SUMIFS(tblPlant[Gravity_Gold_oz],tblPlant[Date],$A298)</f>
        <v/>
      </c>
      <c r="CV298" s="55">
        <f>IF($B298=$B297,$CV297,0)+$CU298</f>
        <v/>
      </c>
      <c r="CW298" s="55">
        <f>$CW297+$CU298</f>
        <v/>
      </c>
      <c r="CX298" s="55">
        <f>SUMIFS(tblPlant[Gold_Poured_oz],tblPlant[Date],$A298)</f>
        <v/>
      </c>
      <c r="CY298" s="55">
        <f>IF($B298=$B297,$CY297,0)+$CX298</f>
        <v/>
      </c>
      <c r="CZ298" s="55">
        <f>$CZ297+$CX298</f>
        <v/>
      </c>
      <c r="DA298" s="57">
        <f>SUMIFS(tblPlant[Mill_Run_h],tblPlant[Date],$A298)</f>
        <v/>
      </c>
      <c r="DB298" s="57">
        <f>IF($B298=$B297,$DB297,0)+$DA298</f>
        <v/>
      </c>
      <c r="DC298" s="57">
        <f>$DC297+$DA298</f>
        <v/>
      </c>
      <c r="DD298" s="57">
        <f>SUMIFS(tblPlant[Mill_Planned_Maint_h],tblPlant[Date],$A298)</f>
        <v/>
      </c>
      <c r="DE298" s="57">
        <f>IF($B298=$B297,$DE297,0)+$DD298</f>
        <v/>
      </c>
      <c r="DF298" s="57">
        <f>$DF297+$DD298</f>
        <v/>
      </c>
      <c r="DG298" s="57">
        <f>SUMIFS(tblPlant[Mill_Unplanned_Down_h],tblPlant[Date],$A298)</f>
        <v/>
      </c>
      <c r="DH298" s="57">
        <f>IF($B298=$B297,$DH297,0)+$DG298</f>
        <v/>
      </c>
      <c r="DI298" s="57">
        <f>$DI297+$DG298</f>
        <v/>
      </c>
      <c r="DJ298" s="57">
        <f>COUNTIFS(tblPlant[Date],$A298,tblPlant[Mill_Run_h],"&lt;&gt;")*24</f>
        <v/>
      </c>
      <c r="DK298" s="57">
        <f>IF($B298=$B297,$DK297,0)+$DJ298</f>
        <v/>
      </c>
      <c r="DL298" s="57">
        <f>$DL297+$DJ298</f>
        <v/>
      </c>
      <c r="DM298" s="57">
        <f>SUMIFS(tblPlant[Crusher_Run_h],tblPlant[Date],$A298)</f>
        <v/>
      </c>
      <c r="DN298" s="57">
        <f>IF($B298=$B297,$DN297,0)+$DM298</f>
        <v/>
      </c>
      <c r="DO298" s="57">
        <f>$DO297+$DM298</f>
        <v/>
      </c>
      <c r="DP298" s="55">
        <f>IFERROR(IF(($DA298)&gt;0,($BZ298)/($DA298),""),"")</f>
        <v/>
      </c>
      <c r="DQ298" s="55">
        <f>IFERROR(IF(($DB298)&gt;0,($CA298)/($DB298),""),"")</f>
        <v/>
      </c>
      <c r="DR298" s="55">
        <f>IFERROR(IF(($DC298)&gt;0,($CB298)/($DC298),""),"")</f>
        <v/>
      </c>
      <c r="DS298" s="67">
        <f>IFERROR(IF(($DJ298)&gt;0,($DJ298-$DD298-$DG298)/($DJ298),""),"")</f>
        <v/>
      </c>
      <c r="DT298" s="67">
        <f>IFERROR(IF(($DK298)&gt;0,($DK298-$DE298-$DH298)/($DK298),""),"")</f>
        <v/>
      </c>
      <c r="DU298" s="67">
        <f>IFERROR(IF(($DL298)&gt;0,($DL298-$DF298-$DI298)/($DL298),""),"")</f>
        <v/>
      </c>
      <c r="DV298" s="67">
        <f>IFERROR(IF(($DJ298-$DD298-$DG298)&gt;0,($DA298)/($DJ298-$DD298-$DG298),""),"")</f>
        <v/>
      </c>
      <c r="DW298" s="67">
        <f>IFERROR(IF(($DK298-$DE298-$DH298)&gt;0,($DB298)/($DK298-$DE298-$DH298),""),"")</f>
        <v/>
      </c>
      <c r="DX298" s="67">
        <f>IFERROR(IF(($DL298-$DF298-$DI298)&gt;0,($DC298)/($DL298-$DF298-$DI298),""),"")</f>
        <v/>
      </c>
      <c r="DY298" s="55">
        <f>SUMIFS(tblPlant[Cyanide_kg],tblPlant[Date],$A298)</f>
        <v/>
      </c>
      <c r="DZ298" s="55">
        <f>IF($B298=$B297,$DZ297,0)+$DY298</f>
        <v/>
      </c>
      <c r="EA298" s="55">
        <f>$EA297+$DY298</f>
        <v/>
      </c>
      <c r="EB298" s="55">
        <f>SUMIFS(tblPlant[Lime_kg],tblPlant[Date],$A298)</f>
        <v/>
      </c>
      <c r="EC298" s="55">
        <f>IF($B298=$B297,$EC297,0)+$EB298</f>
        <v/>
      </c>
      <c r="ED298" s="55">
        <f>$ED297+$EB298</f>
        <v/>
      </c>
      <c r="EE298" s="55">
        <f>SUMIFS(tblPlant[Grinding_Media_kg],tblPlant[Date],$A298)</f>
        <v/>
      </c>
      <c r="EF298" s="55">
        <f>IF($B298=$B297,$EF297,0)+$EE298</f>
        <v/>
      </c>
      <c r="EG298" s="55">
        <f>$EG297+$EE298</f>
        <v/>
      </c>
      <c r="EH298" s="55">
        <f>SUMIFS(tblPlant[Power_kWh],tblPlant[Date],$A298)</f>
        <v/>
      </c>
      <c r="EI298" s="55">
        <f>IF($B298=$B297,$EI297,0)+$EH298</f>
        <v/>
      </c>
      <c r="EJ298" s="55">
        <f>$EJ297+$EH298</f>
        <v/>
      </c>
      <c r="EK298" s="55">
        <f>SUMIFS(tblPlant[Raw_Water_m3],tblPlant[Date],$A298)</f>
        <v/>
      </c>
      <c r="EL298" s="55">
        <f>IF($B298=$B297,$EL297,0)+$EK298</f>
        <v/>
      </c>
      <c r="EM298" s="55">
        <f>$EM297+$EK298</f>
        <v/>
      </c>
      <c r="EN298" s="56">
        <f>IFERROR(IF(($BZ298)&gt;0,($DY298)/($BZ298),""),"")</f>
        <v/>
      </c>
      <c r="EO298" s="56">
        <f>IFERROR(IF(($CA298)&gt;0,($DZ298)/($CA298),""),"")</f>
        <v/>
      </c>
      <c r="EP298" s="56">
        <f>IFERROR(IF(($CB298)&gt;0,($EA298)/($CB298),""),"")</f>
        <v/>
      </c>
      <c r="EQ298" s="56">
        <f>IFERROR(IF(($BZ298)&gt;0,($EB298)/($BZ298),""),"")</f>
        <v/>
      </c>
      <c r="ER298" s="56">
        <f>IFERROR(IF(($CA298)&gt;0,($EC298)/($CA298),""),"")</f>
        <v/>
      </c>
      <c r="ES298" s="56">
        <f>IFERROR(IF(($CB298)&gt;0,($ED298)/($CB298),""),"")</f>
        <v/>
      </c>
      <c r="ET298" s="56">
        <f>IFERROR(IF(($BZ298)&gt;0,($EE298)/($BZ298),""),"")</f>
        <v/>
      </c>
      <c r="EU298" s="56">
        <f>IFERROR(IF(($CA298)&gt;0,($EF298)/($CA298),""),"")</f>
        <v/>
      </c>
      <c r="EV298" s="56">
        <f>IFERROR(IF(($CB298)&gt;0,($EG298)/($CB298),""),"")</f>
        <v/>
      </c>
      <c r="EW298" s="76">
        <f>IFERROR(IF(($BZ298)&gt;0,($EH298)/($BZ298),""),"")</f>
        <v/>
      </c>
      <c r="EX298" s="76">
        <f>IFERROR(IF(($CA298)&gt;0,($EI298)/($CA298),""),"")</f>
        <v/>
      </c>
      <c r="EY298" s="76">
        <f>IFERROR(IF(($CB298)&gt;0,($EJ298)/($CB298),""),"")</f>
        <v/>
      </c>
      <c r="EZ298" s="56">
        <f>IFERROR(IF(($BZ298)&gt;0,($EK298)/($BZ298),""),"")</f>
        <v/>
      </c>
      <c r="FA298" s="56">
        <f>IFERROR(IF(($CA298)&gt;0,($EL298)/($CA298),""),"")</f>
        <v/>
      </c>
      <c r="FB298" s="56">
        <f>IFERROR(IF(($CB298)&gt;0,($EM298)/($CB298),""),"")</f>
        <v/>
      </c>
      <c r="FC298" s="55">
        <f>IF(SUMIFS(tblPlant[GIC_oz],tblPlant[Date],$A298)&gt;0,SUMIFS(tblPlant[GIC_oz],tblPlant[Date],$A298),"")</f>
        <v/>
      </c>
      <c r="FD298" s="55">
        <f>SUMIFS(tblGold[Gold_oz],tblGold[Date],$A298,tblGold[Type],"Shipment")</f>
        <v/>
      </c>
      <c r="FE298" s="55">
        <f>IF($B298=$B297,$FE297,0)+$FD298</f>
        <v/>
      </c>
      <c r="FF298" s="55">
        <f>$FF297+$FD298</f>
        <v/>
      </c>
      <c r="FG298" s="55">
        <f>SUMIFS(tblGold[Gold_oz],tblGold[Date],$A298,tblGold[Type],"Sale")</f>
        <v/>
      </c>
      <c r="FH298" s="55">
        <f>IF($B298=$B297,$FH297,0)+$FG298</f>
        <v/>
      </c>
      <c r="FI298" s="55">
        <f>$FI297+$FG298</f>
        <v/>
      </c>
      <c r="FJ298" s="55">
        <f>SUMIFS(tblGold[Dore_kg],tblGold[Date],$A298,tblGold[Type],"Shipment")</f>
        <v/>
      </c>
      <c r="FK298" s="55">
        <f>IF($B298=$B297,$FK297,0)+$FJ298</f>
        <v/>
      </c>
      <c r="FL298" s="55">
        <f>$FL297+$FJ298</f>
        <v/>
      </c>
      <c r="FM298" s="57">
        <f>SUMIFS(tblSafety[Hours_Total],tblSafety[Date],$A298)</f>
        <v/>
      </c>
      <c r="FN298" s="57">
        <f>IF($B298=$B297,$FN297,0)+$FM298</f>
        <v/>
      </c>
      <c r="FO298" s="57">
        <f>$FO297+$FM298</f>
        <v/>
      </c>
      <c r="FP298" s="62">
        <f>SUMIFS(tblSafety[Fatality],tblSafety[Date],$A298)</f>
        <v/>
      </c>
      <c r="FQ298" s="62">
        <f>IF($B298=$B297,$FQ297,0)+$FP298</f>
        <v/>
      </c>
      <c r="FR298" s="62">
        <f>$FR297+$FP298</f>
        <v/>
      </c>
      <c r="FS298" s="62">
        <f>SUMIFS(tblSafety[LTI],tblSafety[Date],$A298)</f>
        <v/>
      </c>
      <c r="FT298" s="62">
        <f>IF($B298=$B297,$FT297,0)+$FS298</f>
        <v/>
      </c>
      <c r="FU298" s="62">
        <f>$FU297+$FS298</f>
        <v/>
      </c>
      <c r="FV298" s="62">
        <f>SUMIFS(tblSafety[RWI],tblSafety[Date],$A298)</f>
        <v/>
      </c>
      <c r="FW298" s="62">
        <f>IF($B298=$B297,$FW297,0)+$FV298</f>
        <v/>
      </c>
      <c r="FX298" s="62">
        <f>$FX297+$FV298</f>
        <v/>
      </c>
      <c r="FY298" s="62">
        <f>SUMIFS(tblSafety[MTI],tblSafety[Date],$A298)</f>
        <v/>
      </c>
      <c r="FZ298" s="62">
        <f>IF($B298=$B297,$FZ297,0)+$FY298</f>
        <v/>
      </c>
      <c r="GA298" s="62">
        <f>$GA297+$FY298</f>
        <v/>
      </c>
      <c r="GB298" s="62">
        <f>SUMIFS(tblSafety[FAI],tblSafety[Date],$A298)</f>
        <v/>
      </c>
      <c r="GC298" s="62">
        <f>IF($B298=$B297,$GC297,0)+$GB298</f>
        <v/>
      </c>
      <c r="GD298" s="62">
        <f>$GD297+$GB298</f>
        <v/>
      </c>
      <c r="GE298" s="62">
        <f>SUMIFS(tblSafety[Recordables],tblSafety[Date],$A298)</f>
        <v/>
      </c>
      <c r="GF298" s="62">
        <f>IF($B298=$B297,$GF297,0)+$GE298</f>
        <v/>
      </c>
      <c r="GG298" s="62">
        <f>$GG297+$GE298</f>
        <v/>
      </c>
      <c r="GH298" s="62">
        <f>SUMIFS(tblSafety[Near_Miss],tblSafety[Date],$A298)</f>
        <v/>
      </c>
      <c r="GI298" s="62">
        <f>IF($B298=$B297,$GI297,0)+$GH298</f>
        <v/>
      </c>
      <c r="GJ298" s="62">
        <f>$GJ297+$GH298</f>
        <v/>
      </c>
      <c r="GK298" s="62">
        <f>SUMIFS(tblSafety[Hazard_Reports],tblSafety[Date],$A298)</f>
        <v/>
      </c>
      <c r="GL298" s="62">
        <f>IF($B298=$B297,$GL297,0)+$GK298</f>
        <v/>
      </c>
      <c r="GM298" s="62">
        <f>$GM297+$GK298</f>
        <v/>
      </c>
      <c r="GN298" s="62">
        <f>SUMIFS(tblSafety[HPI],tblSafety[Date],$A298)</f>
        <v/>
      </c>
      <c r="GO298" s="62">
        <f>IF($B298=$B297,$GO297,0)+$GN298</f>
        <v/>
      </c>
      <c r="GP298" s="62">
        <f>$GP297+$GN298</f>
        <v/>
      </c>
      <c r="GQ298" s="62">
        <f>SUMIFS(tblSafety[Env_Incidents],tblSafety[Date],$A298)</f>
        <v/>
      </c>
      <c r="GR298" s="62">
        <f>IF($B298=$B297,$GR297,0)+$GQ298</f>
        <v/>
      </c>
      <c r="GS298" s="62">
        <f>$GS297+$GQ298</f>
        <v/>
      </c>
      <c r="GT298" s="62">
        <f>SUMIFS(tblSafety[Community_Incidents],tblSafety[Date],$A298)</f>
        <v/>
      </c>
      <c r="GU298" s="62">
        <f>IF($B298=$B297,$GU297,0)+$GT298</f>
        <v/>
      </c>
      <c r="GV298" s="62">
        <f>$GV297+$GT298</f>
        <v/>
      </c>
      <c r="GW298" s="62">
        <f>SUMIFS(tblSafety[Vehicle_Incidents],tblSafety[Date],$A298)</f>
        <v/>
      </c>
      <c r="GX298" s="62">
        <f>IF($B298=$B297,$GX297,0)+$GW298</f>
        <v/>
      </c>
      <c r="GY298" s="62">
        <f>$GY297+$GW298</f>
        <v/>
      </c>
      <c r="GZ298" s="62">
        <f>SUMIFS(tblSafety[Toolbox_Talks],tblSafety[Date],$A298)</f>
        <v/>
      </c>
      <c r="HA298" s="62">
        <f>IF($B298=$B297,$HA297,0)+$GZ298</f>
        <v/>
      </c>
      <c r="HB298" s="62">
        <f>$HB297+$GZ298</f>
        <v/>
      </c>
      <c r="HC298" s="62">
        <f>SUMIFS(tblSafety[Inspections],tblSafety[Date],$A298)</f>
        <v/>
      </c>
      <c r="HD298" s="62">
        <f>IF($B298=$B297,$HD297,0)+$HC298</f>
        <v/>
      </c>
      <c r="HE298" s="62">
        <f>$HE297+$HC298</f>
        <v/>
      </c>
      <c r="HF298" s="56">
        <f>IFERROR((SUMIFS(tblSafety[Recordables],tblSafety[Date],"&gt;="&amp;EDATE($E298,-12),tblSafety[Date],"&lt;="&amp;$A298)+SUMIFS(tblSafetyHistory[Recordables],tblSafetyHistory[Month],"&gt;="&amp;EDATE($E298,-12),tblSafetyHistory[Month],"&lt;"&amp;cfg_YearStart))/(SUMIFS(tblSafety[Hours_Total],tblSafety[Date],"&gt;="&amp;EDATE($E298,-12),tblSafety[Date],"&lt;="&amp;$A298)+SUMIFS(tblSafetyHistory[Hours_Total],tblSafetyHistory[Month],"&gt;="&amp;EDATE($E298,-12),tblSafetyHistory[Month],"&lt;"&amp;cfg_YearStart))*1000000,"")</f>
        <v/>
      </c>
      <c r="HG298" s="56">
        <f>IFERROR((SUMIFS(tblSafety[LTI],tblSafety[Date],"&gt;="&amp;EDATE($E298,-12),tblSafety[Date],"&lt;="&amp;$A298)+SUMIFS(tblSafetyHistory[LTI],tblSafetyHistory[Month],"&gt;="&amp;EDATE($E298,-12),tblSafetyHistory[Month],"&lt;"&amp;cfg_YearStart))/(SUMIFS(tblSafety[Hours_Total],tblSafety[Date],"&gt;="&amp;EDATE($E298,-12),tblSafety[Date],"&lt;="&amp;$A298)+SUMIFS(tblSafetyHistory[Hours_Total],tblSafetyHistory[Month],"&gt;="&amp;EDATE($E298,-12),tblSafetyHistory[Month],"&lt;"&amp;cfg_YearStart))*1000000,"")</f>
        <v/>
      </c>
      <c r="HH298" s="62">
        <f>IF(MAX(N(cfg_PriorLTIDate),_xlfn.MAXIFS(tblSafety[Date],tblSafety[LTI],"&gt;0",tblSafety[Date],"&lt;="&amp;$A298))=0,"",$A298-MAX(N(cfg_PriorLTIDate),_xlfn.MAXIFS(tblSafety[Date],tblSafety[LTI],"&gt;0",tblSafety[Date],"&lt;="&amp;$A298)))</f>
        <v/>
      </c>
      <c r="HI298" s="55">
        <f>SUMIFS(tblBudget[Ore_Mined_t],tblBudget[Month],$E298)</f>
        <v/>
      </c>
      <c r="HJ298" s="55">
        <f>$HI298*$C298/$D298</f>
        <v/>
      </c>
      <c r="HK298" s="55">
        <f>SUMIFS(tblBudget[Ore_Mined_t],tblBudget[Month],"&lt;"&amp;$E298)+$HJ298</f>
        <v/>
      </c>
      <c r="HL298" s="55">
        <f>SUMIFS(tblBudget[Ore_oz],tblBudget[Month],$E298)</f>
        <v/>
      </c>
      <c r="HM298" s="55">
        <f>$HL298*$C298/$D298</f>
        <v/>
      </c>
      <c r="HN298" s="55">
        <f>SUMIFS(tblBudget[Ore_oz],tblBudget[Month],"&lt;"&amp;$E298)+$HM298</f>
        <v/>
      </c>
      <c r="HO298" s="56">
        <f>IFERROR(IF(($HI298)&gt;0,($HL298*cfg_TroyOz)/($HI298),""),"")</f>
        <v/>
      </c>
      <c r="HP298" s="56">
        <f>IFERROR(IF(($HJ298)&gt;0,($HM298*cfg_TroyOz)/($HJ298),""),"")</f>
        <v/>
      </c>
      <c r="HQ298" s="56">
        <f>IFERROR(IF(($HK298)&gt;0,($HN298*cfg_TroyOz)/($HK298),""),"")</f>
        <v/>
      </c>
      <c r="HR298" s="55">
        <f>SUMIFS(tblBudget[Waste_t],tblBudget[Month],$E298)</f>
        <v/>
      </c>
      <c r="HS298" s="55">
        <f>$HR298*$C298/$D298</f>
        <v/>
      </c>
      <c r="HT298" s="55">
        <f>SUMIFS(tblBudget[Waste_t],tblBudget[Month],"&lt;"&amp;$E298)+$HS298</f>
        <v/>
      </c>
      <c r="HU298" s="55">
        <f>SUMIFS(tblBudget[TMM_t],tblBudget[Month],$E298)</f>
        <v/>
      </c>
      <c r="HV298" s="55">
        <f>$HU298*$C298/$D298</f>
        <v/>
      </c>
      <c r="HW298" s="55">
        <f>SUMIFS(tblBudget[TMM_t],tblBudget[Month],"&lt;"&amp;$E298)+$HV298</f>
        <v/>
      </c>
      <c r="HX298" s="56">
        <f>IFERROR(IF(($HI298)&gt;0,($HR298)/($HI298),""),"")</f>
        <v/>
      </c>
      <c r="HY298" s="56">
        <f>IFERROR(IF(($HJ298)&gt;0,($HS298)/($HJ298),""),"")</f>
        <v/>
      </c>
      <c r="HZ298" s="56">
        <f>IFERROR(IF(($HK298)&gt;0,($HT298)/($HK298),""),"")</f>
        <v/>
      </c>
      <c r="IA298" s="55">
        <f>SUMIFS(tblBudget[Drill_m],tblBudget[Month],$E298)</f>
        <v/>
      </c>
      <c r="IB298" s="55">
        <f>$IA298*$C298/$D298</f>
        <v/>
      </c>
      <c r="IC298" s="55">
        <f>SUMIFS(tblBudget[Drill_m],tblBudget[Month],"&lt;"&amp;$E298)+$IB298</f>
        <v/>
      </c>
      <c r="ID298" s="55">
        <f>SUMIFS(tblBudget[Diesel_L],tblBudget[Month],$E298)</f>
        <v/>
      </c>
      <c r="IE298" s="55">
        <f>$ID298*$C298/$D298</f>
        <v/>
      </c>
      <c r="IF298" s="55">
        <f>SUMIFS(tblBudget[Diesel_L],tblBudget[Month],"&lt;"&amp;$E298)+$IE298</f>
        <v/>
      </c>
      <c r="IG298" s="55">
        <f>SUMIFS(tblBudget[Milled_t],tblBudget[Month],$E298)</f>
        <v/>
      </c>
      <c r="IH298" s="55">
        <f>$IG298*$C298/$D298</f>
        <v/>
      </c>
      <c r="II298" s="55">
        <f>SUMIFS(tblBudget[Milled_t],tblBudget[Month],"&lt;"&amp;$E298)+$IH298</f>
        <v/>
      </c>
      <c r="IJ298" s="55">
        <f>SUMIFS(tblBudget[Feed_oz],tblBudget[Month],$E298)</f>
        <v/>
      </c>
      <c r="IK298" s="55">
        <f>$IJ298*$C298/$D298</f>
        <v/>
      </c>
      <c r="IL298" s="55">
        <f>SUMIFS(tblBudget[Feed_oz],tblBudget[Month],"&lt;"&amp;$E298)+$IK298</f>
        <v/>
      </c>
      <c r="IM298" s="55">
        <f>SUMIFS(tblBudget[Recovered_oz],tblBudget[Month],$E298)</f>
        <v/>
      </c>
      <c r="IN298" s="55">
        <f>$IM298*$C298/$D298</f>
        <v/>
      </c>
      <c r="IO298" s="55">
        <f>SUMIFS(tblBudget[Recovered_oz],tblBudget[Month],"&lt;"&amp;$E298)+$IN298</f>
        <v/>
      </c>
      <c r="IP298" s="56">
        <f>IFERROR(IF(($IG298)&gt;0,($IJ298*cfg_TroyOz)/($IG298),""),"")</f>
        <v/>
      </c>
      <c r="IQ298" s="56">
        <f>IFERROR(IF(($IH298)&gt;0,($IK298*cfg_TroyOz)/($IH298),""),"")</f>
        <v/>
      </c>
      <c r="IR298" s="56">
        <f>IFERROR(IF(($II298)&gt;0,($IL298*cfg_TroyOz)/($II298),""),"")</f>
        <v/>
      </c>
      <c r="IS298" s="67">
        <f>IFERROR(IF(($IJ298)&gt;0,($IM298)/($IJ298),""),"")</f>
        <v/>
      </c>
      <c r="IT298" s="67">
        <f>IFERROR(IF(($IK298)&gt;0,($IN298)/($IK298),""),"")</f>
        <v/>
      </c>
      <c r="IU298" s="67">
        <f>IFERROR(IF(($IL298)&gt;0,($IO298)/($IL298),""),"")</f>
        <v/>
      </c>
      <c r="IV298" s="55">
        <f>SUMIFS(tblBudget[Gold_Poured_oz],tblBudget[Month],$E298)</f>
        <v/>
      </c>
      <c r="IW298" s="55">
        <f>$IV298*$C298/$D298</f>
        <v/>
      </c>
      <c r="IX298" s="55">
        <f>SUMIFS(tblBudget[Gold_Poured_oz],tblBudget[Month],"&lt;"&amp;$E298)+$IW298</f>
        <v/>
      </c>
      <c r="IY298" s="57">
        <f>SUMIFS(tblBudget[Hours_Worked],tblBudget[Month],$E298)</f>
        <v/>
      </c>
      <c r="IZ298" s="57">
        <f>$IY298*$C298/$D298</f>
        <v/>
      </c>
      <c r="JA298" s="57">
        <f>SUMIFS(tblBudget[Hours_Worked],tblBudget[Month],"&lt;"&amp;$E298)+$IZ298</f>
        <v/>
      </c>
    </row>
    <row r="299">
      <c r="A299" s="54" t="n">
        <v>46320</v>
      </c>
      <c r="B299">
        <f>MONTH($A299)</f>
        <v/>
      </c>
      <c r="C299">
        <f>DAY($A299)</f>
        <v/>
      </c>
      <c r="D299">
        <f>DAY(EOMONTH($A299,0))</f>
        <v/>
      </c>
      <c r="E299" s="54">
        <f>DATE(YEAR($A299),MONTH($A299),1)</f>
        <v/>
      </c>
      <c r="F299" s="55">
        <f>SUMIFS(tblMovement[Tonnes_t],tblMovement[Date],$A299,tblMovement[Is_Ore],1,tblMovement[Source_Type],"Pit")</f>
        <v/>
      </c>
      <c r="G299" s="55">
        <f>IF($B299=$B298,$G298,0)+$F299</f>
        <v/>
      </c>
      <c r="H299" s="55">
        <f>$H298+$F299</f>
        <v/>
      </c>
      <c r="I299" s="55">
        <f>SUMIFS(tblMovement[Ore_oz],tblMovement[Date],$A299,tblMovement[Source_Type],"Pit")</f>
        <v/>
      </c>
      <c r="J299" s="55">
        <f>IF($B299=$B298,$J298,0)+$I299</f>
        <v/>
      </c>
      <c r="K299" s="55">
        <f>$K298+$I299</f>
        <v/>
      </c>
      <c r="L299" s="56">
        <f>IFERROR(IF(($F299)&gt;0,($I299*cfg_TroyOz)/($F299),""),"")</f>
        <v/>
      </c>
      <c r="M299" s="56">
        <f>IFERROR(IF(($G299)&gt;0,($J299*cfg_TroyOz)/($G299),""),"")</f>
        <v/>
      </c>
      <c r="N299" s="56">
        <f>IFERROR(IF(($H299)&gt;0,($K299*cfg_TroyOz)/($H299),""),"")</f>
        <v/>
      </c>
      <c r="O299" s="55">
        <f>SUMIFS(tblMovement[Tonnes_t],tblMovement[Date],$A299,tblMovement[Is_Ore],0,tblMovement[Source_Type],"Pit")</f>
        <v/>
      </c>
      <c r="P299" s="55">
        <f>IF($B299=$B298,$P298,0)+$O299</f>
        <v/>
      </c>
      <c r="Q299" s="55">
        <f>$Q298+$O299</f>
        <v/>
      </c>
      <c r="R299" s="55">
        <f>$F299+$O299</f>
        <v/>
      </c>
      <c r="S299" s="55">
        <f>IF($B299=$B298,$S298,0)+$R299</f>
        <v/>
      </c>
      <c r="T299" s="55">
        <f>$T298+$R299</f>
        <v/>
      </c>
      <c r="U299" s="56">
        <f>IFERROR(IF(($F299)&gt;0,($O299)/($F299),""),"")</f>
        <v/>
      </c>
      <c r="V299" s="56">
        <f>IFERROR(IF(($G299)&gt;0,($P299)/($G299),""),"")</f>
        <v/>
      </c>
      <c r="W299" s="56">
        <f>IFERROR(IF(($H299)&gt;0,($Q299)/($H299),""),"")</f>
        <v/>
      </c>
      <c r="X299" s="55">
        <f>SUMIFS(tblMovement[Tonnes_t],tblMovement[Date],$A299,tblMovement[Source_Type],"Stockpile")</f>
        <v/>
      </c>
      <c r="Y299" s="55">
        <f>IF($B299=$B298,$Y298,0)+$X299</f>
        <v/>
      </c>
      <c r="Z299" s="55">
        <f>$Z298+$X299</f>
        <v/>
      </c>
      <c r="AA299" s="55">
        <f>SUMIFS(tblMiningDaily[Drill_m],tblMiningDaily[Date],$A299)</f>
        <v/>
      </c>
      <c r="AB299" s="55">
        <f>IF($B299=$B298,$AB298,0)+$AA299</f>
        <v/>
      </c>
      <c r="AC299" s="55">
        <f>$AC298+$AA299</f>
        <v/>
      </c>
      <c r="AD299" s="55">
        <f>SUMIFS(tblMiningDaily[Blast_t],tblMiningDaily[Date],$A299)</f>
        <v/>
      </c>
      <c r="AE299" s="55">
        <f>IF($B299=$B298,$AE298,0)+$AD299</f>
        <v/>
      </c>
      <c r="AF299" s="55">
        <f>$AF298+$AD299</f>
        <v/>
      </c>
      <c r="AG299" s="55">
        <f>SUMIFS(tblMiningDaily[Explosives_kg],tblMiningDaily[Date],$A299)</f>
        <v/>
      </c>
      <c r="AH299" s="55">
        <f>IF($B299=$B298,$AH298,0)+$AG299</f>
        <v/>
      </c>
      <c r="AI299" s="55">
        <f>$AI298+$AG299</f>
        <v/>
      </c>
      <c r="AJ299" s="56">
        <f>IFERROR(IF(($AD299)&gt;0,($AG299)/($AD299),""),"")</f>
        <v/>
      </c>
      <c r="AK299" s="56">
        <f>IFERROR(IF(($AE299)&gt;0,($AH299)/($AE299),""),"")</f>
        <v/>
      </c>
      <c r="AL299" s="56">
        <f>IFERROR(IF(($AF299)&gt;0,($AI299)/($AF299),""),"")</f>
        <v/>
      </c>
      <c r="AM299" s="55">
        <f>SUMIFS(tblMiningDaily[Diesel_L],tblMiningDaily[Date],$A299)</f>
        <v/>
      </c>
      <c r="AN299" s="55">
        <f>IF($B299=$B298,$AN298,0)+$AM299</f>
        <v/>
      </c>
      <c r="AO299" s="55">
        <f>$AO298+$AM299</f>
        <v/>
      </c>
      <c r="AP299" s="55">
        <f>SUMIFS(tblMiningDaily[Dewatering_m3],tblMiningDaily[Date],$A299)</f>
        <v/>
      </c>
      <c r="AQ299" s="55">
        <f>IF($B299=$B298,$AQ298,0)+$AP299</f>
        <v/>
      </c>
      <c r="AR299" s="55">
        <f>$AR298+$AP299</f>
        <v/>
      </c>
      <c r="AS299" s="57">
        <f>SUMIFS(tblFleet[Calendar_h],tblFleet[Date],$A299,tblFleet[Equipment_Class],"Excavator")</f>
        <v/>
      </c>
      <c r="AT299" s="57">
        <f>IF($B299=$B298,$AT298,0)+$AS299</f>
        <v/>
      </c>
      <c r="AU299" s="57">
        <f>$AU298+$AS299</f>
        <v/>
      </c>
      <c r="AV299" s="57">
        <f>SUMIFS(tblFleet[Available_h],tblFleet[Date],$A299,tblFleet[Equipment_Class],"Excavator")</f>
        <v/>
      </c>
      <c r="AW299" s="57">
        <f>IF($B299=$B298,$AW298,0)+$AV299</f>
        <v/>
      </c>
      <c r="AX299" s="57">
        <f>$AX298+$AV299</f>
        <v/>
      </c>
      <c r="AY299" s="57">
        <f>SUMIFS(tblFleet[Operating_h],tblFleet[Date],$A299,tblFleet[Equipment_Class],"Excavator")</f>
        <v/>
      </c>
      <c r="AZ299" s="57">
        <f>IF($B299=$B298,$AZ298,0)+$AY299</f>
        <v/>
      </c>
      <c r="BA299" s="57">
        <f>$BA298+$AY299</f>
        <v/>
      </c>
      <c r="BB299" s="67">
        <f>IFERROR(IF(($AS299)&gt;0,($AV299)/($AS299),""),"")</f>
        <v/>
      </c>
      <c r="BC299" s="67">
        <f>IFERROR(IF(($AT299)&gt;0,($AW299)/($AT299),""),"")</f>
        <v/>
      </c>
      <c r="BD299" s="67">
        <f>IFERROR(IF(($AU299)&gt;0,($AX299)/($AU299),""),"")</f>
        <v/>
      </c>
      <c r="BE299" s="67">
        <f>IFERROR(IF(($AV299)&gt;0,($AY299)/($AV299),""),"")</f>
        <v/>
      </c>
      <c r="BF299" s="67">
        <f>IFERROR(IF(($AW299)&gt;0,($AZ299)/($AW299),""),"")</f>
        <v/>
      </c>
      <c r="BG299" s="67">
        <f>IFERROR(IF(($AX299)&gt;0,($BA299)/($AX299),""),"")</f>
        <v/>
      </c>
      <c r="BH299" s="57">
        <f>SUMIFS(tblFleet[Calendar_h],tblFleet[Date],$A299,tblFleet[Equipment_Class],"Haul Truck")</f>
        <v/>
      </c>
      <c r="BI299" s="57">
        <f>IF($B299=$B298,$BI298,0)+$BH299</f>
        <v/>
      </c>
      <c r="BJ299" s="57">
        <f>$BJ298+$BH299</f>
        <v/>
      </c>
      <c r="BK299" s="57">
        <f>SUMIFS(tblFleet[Available_h],tblFleet[Date],$A299,tblFleet[Equipment_Class],"Haul Truck")</f>
        <v/>
      </c>
      <c r="BL299" s="57">
        <f>IF($B299=$B298,$BL298,0)+$BK299</f>
        <v/>
      </c>
      <c r="BM299" s="57">
        <f>$BM298+$BK299</f>
        <v/>
      </c>
      <c r="BN299" s="57">
        <f>SUMIFS(tblFleet[Operating_h],tblFleet[Date],$A299,tblFleet[Equipment_Class],"Haul Truck")</f>
        <v/>
      </c>
      <c r="BO299" s="57">
        <f>IF($B299=$B298,$BO298,0)+$BN299</f>
        <v/>
      </c>
      <c r="BP299" s="57">
        <f>$BP298+$BN299</f>
        <v/>
      </c>
      <c r="BQ299" s="67">
        <f>IFERROR(IF(($BH299)&gt;0,($BK299)/($BH299),""),"")</f>
        <v/>
      </c>
      <c r="BR299" s="67">
        <f>IFERROR(IF(($BI299)&gt;0,($BL299)/($BI299),""),"")</f>
        <v/>
      </c>
      <c r="BS299" s="67">
        <f>IFERROR(IF(($BJ299)&gt;0,($BM299)/($BJ299),""),"")</f>
        <v/>
      </c>
      <c r="BT299" s="67">
        <f>IFERROR(IF(($BK299)&gt;0,($BN299)/($BK299),""),"")</f>
        <v/>
      </c>
      <c r="BU299" s="67">
        <f>IFERROR(IF(($BL299)&gt;0,($BO299)/($BL299),""),"")</f>
        <v/>
      </c>
      <c r="BV299" s="67">
        <f>IFERROR(IF(($BM299)&gt;0,($BP299)/($BM299),""),"")</f>
        <v/>
      </c>
      <c r="BW299" s="55">
        <f>SUMIFS(tblPlant[Crushed_t],tblPlant[Date],$A299)</f>
        <v/>
      </c>
      <c r="BX299" s="55">
        <f>IF($B299=$B298,$BX298,0)+$BW299</f>
        <v/>
      </c>
      <c r="BY299" s="55">
        <f>$BY298+$BW299</f>
        <v/>
      </c>
      <c r="BZ299" s="55">
        <f>SUMIFS(tblPlant[Milled_t],tblPlant[Date],$A299)</f>
        <v/>
      </c>
      <c r="CA299" s="55">
        <f>IF($B299=$B298,$CA298,0)+$BZ299</f>
        <v/>
      </c>
      <c r="CB299" s="55">
        <f>$CB298+$BZ299</f>
        <v/>
      </c>
      <c r="CC299" s="55">
        <f>SUMIFS(tblPlant[Feed_oz],tblPlant[Date],$A299)</f>
        <v/>
      </c>
      <c r="CD299" s="55">
        <f>IF($B299=$B298,$CD298,0)+$CC299</f>
        <v/>
      </c>
      <c r="CE299" s="55">
        <f>$CE298+$CC299</f>
        <v/>
      </c>
      <c r="CF299" s="55">
        <f>SUMIFS(tblPlant[Tails_oz],tblPlant[Date],$A299)</f>
        <v/>
      </c>
      <c r="CG299" s="55">
        <f>IF($B299=$B298,$CG298,0)+$CF299</f>
        <v/>
      </c>
      <c r="CH299" s="55">
        <f>$CH298+$CF299</f>
        <v/>
      </c>
      <c r="CI299" s="55">
        <f>SUMIFS(tblPlant[Recovered_oz],tblPlant[Date],$A299)</f>
        <v/>
      </c>
      <c r="CJ299" s="55">
        <f>IF($B299=$B298,$CJ298,0)+$CI299</f>
        <v/>
      </c>
      <c r="CK299" s="55">
        <f>$CK298+$CI299</f>
        <v/>
      </c>
      <c r="CL299" s="56">
        <f>IFERROR(IF(($BZ299)&gt;0,($CC299*cfg_TroyOz)/($BZ299),""),"")</f>
        <v/>
      </c>
      <c r="CM299" s="56">
        <f>IFERROR(IF(($CA299)&gt;0,($CD299*cfg_TroyOz)/($CA299),""),"")</f>
        <v/>
      </c>
      <c r="CN299" s="56">
        <f>IFERROR(IF(($CB299)&gt;0,($CE299*cfg_TroyOz)/($CB299),""),"")</f>
        <v/>
      </c>
      <c r="CO299" s="56">
        <f>IFERROR(IF(($BZ299)&gt;0,($CF299*cfg_TroyOz)/($BZ299),""),"")</f>
        <v/>
      </c>
      <c r="CP299" s="56">
        <f>IFERROR(IF(($CA299)&gt;0,($CG299*cfg_TroyOz)/($CA299),""),"")</f>
        <v/>
      </c>
      <c r="CQ299" s="56">
        <f>IFERROR(IF(($CB299)&gt;0,($CH299*cfg_TroyOz)/($CB299),""),"")</f>
        <v/>
      </c>
      <c r="CR299" s="67">
        <f>IFERROR(IF(($CC299)&gt;0,($CI299)/($CC299),""),"")</f>
        <v/>
      </c>
      <c r="CS299" s="67">
        <f>IFERROR(IF(($CD299)&gt;0,($CJ299)/($CD299),""),"")</f>
        <v/>
      </c>
      <c r="CT299" s="67">
        <f>IFERROR(IF(($CE299)&gt;0,($CK299)/($CE299),""),"")</f>
        <v/>
      </c>
      <c r="CU299" s="55">
        <f>SUMIFS(tblPlant[Gravity_Gold_oz],tblPlant[Date],$A299)</f>
        <v/>
      </c>
      <c r="CV299" s="55">
        <f>IF($B299=$B298,$CV298,0)+$CU299</f>
        <v/>
      </c>
      <c r="CW299" s="55">
        <f>$CW298+$CU299</f>
        <v/>
      </c>
      <c r="CX299" s="55">
        <f>SUMIFS(tblPlant[Gold_Poured_oz],tblPlant[Date],$A299)</f>
        <v/>
      </c>
      <c r="CY299" s="55">
        <f>IF($B299=$B298,$CY298,0)+$CX299</f>
        <v/>
      </c>
      <c r="CZ299" s="55">
        <f>$CZ298+$CX299</f>
        <v/>
      </c>
      <c r="DA299" s="57">
        <f>SUMIFS(tblPlant[Mill_Run_h],tblPlant[Date],$A299)</f>
        <v/>
      </c>
      <c r="DB299" s="57">
        <f>IF($B299=$B298,$DB298,0)+$DA299</f>
        <v/>
      </c>
      <c r="DC299" s="57">
        <f>$DC298+$DA299</f>
        <v/>
      </c>
      <c r="DD299" s="57">
        <f>SUMIFS(tblPlant[Mill_Planned_Maint_h],tblPlant[Date],$A299)</f>
        <v/>
      </c>
      <c r="DE299" s="57">
        <f>IF($B299=$B298,$DE298,0)+$DD299</f>
        <v/>
      </c>
      <c r="DF299" s="57">
        <f>$DF298+$DD299</f>
        <v/>
      </c>
      <c r="DG299" s="57">
        <f>SUMIFS(tblPlant[Mill_Unplanned_Down_h],tblPlant[Date],$A299)</f>
        <v/>
      </c>
      <c r="DH299" s="57">
        <f>IF($B299=$B298,$DH298,0)+$DG299</f>
        <v/>
      </c>
      <c r="DI299" s="57">
        <f>$DI298+$DG299</f>
        <v/>
      </c>
      <c r="DJ299" s="57">
        <f>COUNTIFS(tblPlant[Date],$A299,tblPlant[Mill_Run_h],"&lt;&gt;")*24</f>
        <v/>
      </c>
      <c r="DK299" s="57">
        <f>IF($B299=$B298,$DK298,0)+$DJ299</f>
        <v/>
      </c>
      <c r="DL299" s="57">
        <f>$DL298+$DJ299</f>
        <v/>
      </c>
      <c r="DM299" s="57">
        <f>SUMIFS(tblPlant[Crusher_Run_h],tblPlant[Date],$A299)</f>
        <v/>
      </c>
      <c r="DN299" s="57">
        <f>IF($B299=$B298,$DN298,0)+$DM299</f>
        <v/>
      </c>
      <c r="DO299" s="57">
        <f>$DO298+$DM299</f>
        <v/>
      </c>
      <c r="DP299" s="55">
        <f>IFERROR(IF(($DA299)&gt;0,($BZ299)/($DA299),""),"")</f>
        <v/>
      </c>
      <c r="DQ299" s="55">
        <f>IFERROR(IF(($DB299)&gt;0,($CA299)/($DB299),""),"")</f>
        <v/>
      </c>
      <c r="DR299" s="55">
        <f>IFERROR(IF(($DC299)&gt;0,($CB299)/($DC299),""),"")</f>
        <v/>
      </c>
      <c r="DS299" s="67">
        <f>IFERROR(IF(($DJ299)&gt;0,($DJ299-$DD299-$DG299)/($DJ299),""),"")</f>
        <v/>
      </c>
      <c r="DT299" s="67">
        <f>IFERROR(IF(($DK299)&gt;0,($DK299-$DE299-$DH299)/($DK299),""),"")</f>
        <v/>
      </c>
      <c r="DU299" s="67">
        <f>IFERROR(IF(($DL299)&gt;0,($DL299-$DF299-$DI299)/($DL299),""),"")</f>
        <v/>
      </c>
      <c r="DV299" s="67">
        <f>IFERROR(IF(($DJ299-$DD299-$DG299)&gt;0,($DA299)/($DJ299-$DD299-$DG299),""),"")</f>
        <v/>
      </c>
      <c r="DW299" s="67">
        <f>IFERROR(IF(($DK299-$DE299-$DH299)&gt;0,($DB299)/($DK299-$DE299-$DH299),""),"")</f>
        <v/>
      </c>
      <c r="DX299" s="67">
        <f>IFERROR(IF(($DL299-$DF299-$DI299)&gt;0,($DC299)/($DL299-$DF299-$DI299),""),"")</f>
        <v/>
      </c>
      <c r="DY299" s="55">
        <f>SUMIFS(tblPlant[Cyanide_kg],tblPlant[Date],$A299)</f>
        <v/>
      </c>
      <c r="DZ299" s="55">
        <f>IF($B299=$B298,$DZ298,0)+$DY299</f>
        <v/>
      </c>
      <c r="EA299" s="55">
        <f>$EA298+$DY299</f>
        <v/>
      </c>
      <c r="EB299" s="55">
        <f>SUMIFS(tblPlant[Lime_kg],tblPlant[Date],$A299)</f>
        <v/>
      </c>
      <c r="EC299" s="55">
        <f>IF($B299=$B298,$EC298,0)+$EB299</f>
        <v/>
      </c>
      <c r="ED299" s="55">
        <f>$ED298+$EB299</f>
        <v/>
      </c>
      <c r="EE299" s="55">
        <f>SUMIFS(tblPlant[Grinding_Media_kg],tblPlant[Date],$A299)</f>
        <v/>
      </c>
      <c r="EF299" s="55">
        <f>IF($B299=$B298,$EF298,0)+$EE299</f>
        <v/>
      </c>
      <c r="EG299" s="55">
        <f>$EG298+$EE299</f>
        <v/>
      </c>
      <c r="EH299" s="55">
        <f>SUMIFS(tblPlant[Power_kWh],tblPlant[Date],$A299)</f>
        <v/>
      </c>
      <c r="EI299" s="55">
        <f>IF($B299=$B298,$EI298,0)+$EH299</f>
        <v/>
      </c>
      <c r="EJ299" s="55">
        <f>$EJ298+$EH299</f>
        <v/>
      </c>
      <c r="EK299" s="55">
        <f>SUMIFS(tblPlant[Raw_Water_m3],tblPlant[Date],$A299)</f>
        <v/>
      </c>
      <c r="EL299" s="55">
        <f>IF($B299=$B298,$EL298,0)+$EK299</f>
        <v/>
      </c>
      <c r="EM299" s="55">
        <f>$EM298+$EK299</f>
        <v/>
      </c>
      <c r="EN299" s="56">
        <f>IFERROR(IF(($BZ299)&gt;0,($DY299)/($BZ299),""),"")</f>
        <v/>
      </c>
      <c r="EO299" s="56">
        <f>IFERROR(IF(($CA299)&gt;0,($DZ299)/($CA299),""),"")</f>
        <v/>
      </c>
      <c r="EP299" s="56">
        <f>IFERROR(IF(($CB299)&gt;0,($EA299)/($CB299),""),"")</f>
        <v/>
      </c>
      <c r="EQ299" s="56">
        <f>IFERROR(IF(($BZ299)&gt;0,($EB299)/($BZ299),""),"")</f>
        <v/>
      </c>
      <c r="ER299" s="56">
        <f>IFERROR(IF(($CA299)&gt;0,($EC299)/($CA299),""),"")</f>
        <v/>
      </c>
      <c r="ES299" s="56">
        <f>IFERROR(IF(($CB299)&gt;0,($ED299)/($CB299),""),"")</f>
        <v/>
      </c>
      <c r="ET299" s="56">
        <f>IFERROR(IF(($BZ299)&gt;0,($EE299)/($BZ299),""),"")</f>
        <v/>
      </c>
      <c r="EU299" s="56">
        <f>IFERROR(IF(($CA299)&gt;0,($EF299)/($CA299),""),"")</f>
        <v/>
      </c>
      <c r="EV299" s="56">
        <f>IFERROR(IF(($CB299)&gt;0,($EG299)/($CB299),""),"")</f>
        <v/>
      </c>
      <c r="EW299" s="76">
        <f>IFERROR(IF(($BZ299)&gt;0,($EH299)/($BZ299),""),"")</f>
        <v/>
      </c>
      <c r="EX299" s="76">
        <f>IFERROR(IF(($CA299)&gt;0,($EI299)/($CA299),""),"")</f>
        <v/>
      </c>
      <c r="EY299" s="76">
        <f>IFERROR(IF(($CB299)&gt;0,($EJ299)/($CB299),""),"")</f>
        <v/>
      </c>
      <c r="EZ299" s="56">
        <f>IFERROR(IF(($BZ299)&gt;0,($EK299)/($BZ299),""),"")</f>
        <v/>
      </c>
      <c r="FA299" s="56">
        <f>IFERROR(IF(($CA299)&gt;0,($EL299)/($CA299),""),"")</f>
        <v/>
      </c>
      <c r="FB299" s="56">
        <f>IFERROR(IF(($CB299)&gt;0,($EM299)/($CB299),""),"")</f>
        <v/>
      </c>
      <c r="FC299" s="55">
        <f>IF(SUMIFS(tblPlant[GIC_oz],tblPlant[Date],$A299)&gt;0,SUMIFS(tblPlant[GIC_oz],tblPlant[Date],$A299),"")</f>
        <v/>
      </c>
      <c r="FD299" s="55">
        <f>SUMIFS(tblGold[Gold_oz],tblGold[Date],$A299,tblGold[Type],"Shipment")</f>
        <v/>
      </c>
      <c r="FE299" s="55">
        <f>IF($B299=$B298,$FE298,0)+$FD299</f>
        <v/>
      </c>
      <c r="FF299" s="55">
        <f>$FF298+$FD299</f>
        <v/>
      </c>
      <c r="FG299" s="55">
        <f>SUMIFS(tblGold[Gold_oz],tblGold[Date],$A299,tblGold[Type],"Sale")</f>
        <v/>
      </c>
      <c r="FH299" s="55">
        <f>IF($B299=$B298,$FH298,0)+$FG299</f>
        <v/>
      </c>
      <c r="FI299" s="55">
        <f>$FI298+$FG299</f>
        <v/>
      </c>
      <c r="FJ299" s="55">
        <f>SUMIFS(tblGold[Dore_kg],tblGold[Date],$A299,tblGold[Type],"Shipment")</f>
        <v/>
      </c>
      <c r="FK299" s="55">
        <f>IF($B299=$B298,$FK298,0)+$FJ299</f>
        <v/>
      </c>
      <c r="FL299" s="55">
        <f>$FL298+$FJ299</f>
        <v/>
      </c>
      <c r="FM299" s="57">
        <f>SUMIFS(tblSafety[Hours_Total],tblSafety[Date],$A299)</f>
        <v/>
      </c>
      <c r="FN299" s="57">
        <f>IF($B299=$B298,$FN298,0)+$FM299</f>
        <v/>
      </c>
      <c r="FO299" s="57">
        <f>$FO298+$FM299</f>
        <v/>
      </c>
      <c r="FP299" s="62">
        <f>SUMIFS(tblSafety[Fatality],tblSafety[Date],$A299)</f>
        <v/>
      </c>
      <c r="FQ299" s="62">
        <f>IF($B299=$B298,$FQ298,0)+$FP299</f>
        <v/>
      </c>
      <c r="FR299" s="62">
        <f>$FR298+$FP299</f>
        <v/>
      </c>
      <c r="FS299" s="62">
        <f>SUMIFS(tblSafety[LTI],tblSafety[Date],$A299)</f>
        <v/>
      </c>
      <c r="FT299" s="62">
        <f>IF($B299=$B298,$FT298,0)+$FS299</f>
        <v/>
      </c>
      <c r="FU299" s="62">
        <f>$FU298+$FS299</f>
        <v/>
      </c>
      <c r="FV299" s="62">
        <f>SUMIFS(tblSafety[RWI],tblSafety[Date],$A299)</f>
        <v/>
      </c>
      <c r="FW299" s="62">
        <f>IF($B299=$B298,$FW298,0)+$FV299</f>
        <v/>
      </c>
      <c r="FX299" s="62">
        <f>$FX298+$FV299</f>
        <v/>
      </c>
      <c r="FY299" s="62">
        <f>SUMIFS(tblSafety[MTI],tblSafety[Date],$A299)</f>
        <v/>
      </c>
      <c r="FZ299" s="62">
        <f>IF($B299=$B298,$FZ298,0)+$FY299</f>
        <v/>
      </c>
      <c r="GA299" s="62">
        <f>$GA298+$FY299</f>
        <v/>
      </c>
      <c r="GB299" s="62">
        <f>SUMIFS(tblSafety[FAI],tblSafety[Date],$A299)</f>
        <v/>
      </c>
      <c r="GC299" s="62">
        <f>IF($B299=$B298,$GC298,0)+$GB299</f>
        <v/>
      </c>
      <c r="GD299" s="62">
        <f>$GD298+$GB299</f>
        <v/>
      </c>
      <c r="GE299" s="62">
        <f>SUMIFS(tblSafety[Recordables],tblSafety[Date],$A299)</f>
        <v/>
      </c>
      <c r="GF299" s="62">
        <f>IF($B299=$B298,$GF298,0)+$GE299</f>
        <v/>
      </c>
      <c r="GG299" s="62">
        <f>$GG298+$GE299</f>
        <v/>
      </c>
      <c r="GH299" s="62">
        <f>SUMIFS(tblSafety[Near_Miss],tblSafety[Date],$A299)</f>
        <v/>
      </c>
      <c r="GI299" s="62">
        <f>IF($B299=$B298,$GI298,0)+$GH299</f>
        <v/>
      </c>
      <c r="GJ299" s="62">
        <f>$GJ298+$GH299</f>
        <v/>
      </c>
      <c r="GK299" s="62">
        <f>SUMIFS(tblSafety[Hazard_Reports],tblSafety[Date],$A299)</f>
        <v/>
      </c>
      <c r="GL299" s="62">
        <f>IF($B299=$B298,$GL298,0)+$GK299</f>
        <v/>
      </c>
      <c r="GM299" s="62">
        <f>$GM298+$GK299</f>
        <v/>
      </c>
      <c r="GN299" s="62">
        <f>SUMIFS(tblSafety[HPI],tblSafety[Date],$A299)</f>
        <v/>
      </c>
      <c r="GO299" s="62">
        <f>IF($B299=$B298,$GO298,0)+$GN299</f>
        <v/>
      </c>
      <c r="GP299" s="62">
        <f>$GP298+$GN299</f>
        <v/>
      </c>
      <c r="GQ299" s="62">
        <f>SUMIFS(tblSafety[Env_Incidents],tblSafety[Date],$A299)</f>
        <v/>
      </c>
      <c r="GR299" s="62">
        <f>IF($B299=$B298,$GR298,0)+$GQ299</f>
        <v/>
      </c>
      <c r="GS299" s="62">
        <f>$GS298+$GQ299</f>
        <v/>
      </c>
      <c r="GT299" s="62">
        <f>SUMIFS(tblSafety[Community_Incidents],tblSafety[Date],$A299)</f>
        <v/>
      </c>
      <c r="GU299" s="62">
        <f>IF($B299=$B298,$GU298,0)+$GT299</f>
        <v/>
      </c>
      <c r="GV299" s="62">
        <f>$GV298+$GT299</f>
        <v/>
      </c>
      <c r="GW299" s="62">
        <f>SUMIFS(tblSafety[Vehicle_Incidents],tblSafety[Date],$A299)</f>
        <v/>
      </c>
      <c r="GX299" s="62">
        <f>IF($B299=$B298,$GX298,0)+$GW299</f>
        <v/>
      </c>
      <c r="GY299" s="62">
        <f>$GY298+$GW299</f>
        <v/>
      </c>
      <c r="GZ299" s="62">
        <f>SUMIFS(tblSafety[Toolbox_Talks],tblSafety[Date],$A299)</f>
        <v/>
      </c>
      <c r="HA299" s="62">
        <f>IF($B299=$B298,$HA298,0)+$GZ299</f>
        <v/>
      </c>
      <c r="HB299" s="62">
        <f>$HB298+$GZ299</f>
        <v/>
      </c>
      <c r="HC299" s="62">
        <f>SUMIFS(tblSafety[Inspections],tblSafety[Date],$A299)</f>
        <v/>
      </c>
      <c r="HD299" s="62">
        <f>IF($B299=$B298,$HD298,0)+$HC299</f>
        <v/>
      </c>
      <c r="HE299" s="62">
        <f>$HE298+$HC299</f>
        <v/>
      </c>
      <c r="HF299" s="56">
        <f>IFERROR((SUMIFS(tblSafety[Recordables],tblSafety[Date],"&gt;="&amp;EDATE($E299,-12),tblSafety[Date],"&lt;="&amp;$A299)+SUMIFS(tblSafetyHistory[Recordables],tblSafetyHistory[Month],"&gt;="&amp;EDATE($E299,-12),tblSafetyHistory[Month],"&lt;"&amp;cfg_YearStart))/(SUMIFS(tblSafety[Hours_Total],tblSafety[Date],"&gt;="&amp;EDATE($E299,-12),tblSafety[Date],"&lt;="&amp;$A299)+SUMIFS(tblSafetyHistory[Hours_Total],tblSafetyHistory[Month],"&gt;="&amp;EDATE($E299,-12),tblSafetyHistory[Month],"&lt;"&amp;cfg_YearStart))*1000000,"")</f>
        <v/>
      </c>
      <c r="HG299" s="56">
        <f>IFERROR((SUMIFS(tblSafety[LTI],tblSafety[Date],"&gt;="&amp;EDATE($E299,-12),tblSafety[Date],"&lt;="&amp;$A299)+SUMIFS(tblSafetyHistory[LTI],tblSafetyHistory[Month],"&gt;="&amp;EDATE($E299,-12),tblSafetyHistory[Month],"&lt;"&amp;cfg_YearStart))/(SUMIFS(tblSafety[Hours_Total],tblSafety[Date],"&gt;="&amp;EDATE($E299,-12),tblSafety[Date],"&lt;="&amp;$A299)+SUMIFS(tblSafetyHistory[Hours_Total],tblSafetyHistory[Month],"&gt;="&amp;EDATE($E299,-12),tblSafetyHistory[Month],"&lt;"&amp;cfg_YearStart))*1000000,"")</f>
        <v/>
      </c>
      <c r="HH299" s="62">
        <f>IF(MAX(N(cfg_PriorLTIDate),_xlfn.MAXIFS(tblSafety[Date],tblSafety[LTI],"&gt;0",tblSafety[Date],"&lt;="&amp;$A299))=0,"",$A299-MAX(N(cfg_PriorLTIDate),_xlfn.MAXIFS(tblSafety[Date],tblSafety[LTI],"&gt;0",tblSafety[Date],"&lt;="&amp;$A299)))</f>
        <v/>
      </c>
      <c r="HI299" s="55">
        <f>SUMIFS(tblBudget[Ore_Mined_t],tblBudget[Month],$E299)</f>
        <v/>
      </c>
      <c r="HJ299" s="55">
        <f>$HI299*$C299/$D299</f>
        <v/>
      </c>
      <c r="HK299" s="55">
        <f>SUMIFS(tblBudget[Ore_Mined_t],tblBudget[Month],"&lt;"&amp;$E299)+$HJ299</f>
        <v/>
      </c>
      <c r="HL299" s="55">
        <f>SUMIFS(tblBudget[Ore_oz],tblBudget[Month],$E299)</f>
        <v/>
      </c>
      <c r="HM299" s="55">
        <f>$HL299*$C299/$D299</f>
        <v/>
      </c>
      <c r="HN299" s="55">
        <f>SUMIFS(tblBudget[Ore_oz],tblBudget[Month],"&lt;"&amp;$E299)+$HM299</f>
        <v/>
      </c>
      <c r="HO299" s="56">
        <f>IFERROR(IF(($HI299)&gt;0,($HL299*cfg_TroyOz)/($HI299),""),"")</f>
        <v/>
      </c>
      <c r="HP299" s="56">
        <f>IFERROR(IF(($HJ299)&gt;0,($HM299*cfg_TroyOz)/($HJ299),""),"")</f>
        <v/>
      </c>
      <c r="HQ299" s="56">
        <f>IFERROR(IF(($HK299)&gt;0,($HN299*cfg_TroyOz)/($HK299),""),"")</f>
        <v/>
      </c>
      <c r="HR299" s="55">
        <f>SUMIFS(tblBudget[Waste_t],tblBudget[Month],$E299)</f>
        <v/>
      </c>
      <c r="HS299" s="55">
        <f>$HR299*$C299/$D299</f>
        <v/>
      </c>
      <c r="HT299" s="55">
        <f>SUMIFS(tblBudget[Waste_t],tblBudget[Month],"&lt;"&amp;$E299)+$HS299</f>
        <v/>
      </c>
      <c r="HU299" s="55">
        <f>SUMIFS(tblBudget[TMM_t],tblBudget[Month],$E299)</f>
        <v/>
      </c>
      <c r="HV299" s="55">
        <f>$HU299*$C299/$D299</f>
        <v/>
      </c>
      <c r="HW299" s="55">
        <f>SUMIFS(tblBudget[TMM_t],tblBudget[Month],"&lt;"&amp;$E299)+$HV299</f>
        <v/>
      </c>
      <c r="HX299" s="56">
        <f>IFERROR(IF(($HI299)&gt;0,($HR299)/($HI299),""),"")</f>
        <v/>
      </c>
      <c r="HY299" s="56">
        <f>IFERROR(IF(($HJ299)&gt;0,($HS299)/($HJ299),""),"")</f>
        <v/>
      </c>
      <c r="HZ299" s="56">
        <f>IFERROR(IF(($HK299)&gt;0,($HT299)/($HK299),""),"")</f>
        <v/>
      </c>
      <c r="IA299" s="55">
        <f>SUMIFS(tblBudget[Drill_m],tblBudget[Month],$E299)</f>
        <v/>
      </c>
      <c r="IB299" s="55">
        <f>$IA299*$C299/$D299</f>
        <v/>
      </c>
      <c r="IC299" s="55">
        <f>SUMIFS(tblBudget[Drill_m],tblBudget[Month],"&lt;"&amp;$E299)+$IB299</f>
        <v/>
      </c>
      <c r="ID299" s="55">
        <f>SUMIFS(tblBudget[Diesel_L],tblBudget[Month],$E299)</f>
        <v/>
      </c>
      <c r="IE299" s="55">
        <f>$ID299*$C299/$D299</f>
        <v/>
      </c>
      <c r="IF299" s="55">
        <f>SUMIFS(tblBudget[Diesel_L],tblBudget[Month],"&lt;"&amp;$E299)+$IE299</f>
        <v/>
      </c>
      <c r="IG299" s="55">
        <f>SUMIFS(tblBudget[Milled_t],tblBudget[Month],$E299)</f>
        <v/>
      </c>
      <c r="IH299" s="55">
        <f>$IG299*$C299/$D299</f>
        <v/>
      </c>
      <c r="II299" s="55">
        <f>SUMIFS(tblBudget[Milled_t],tblBudget[Month],"&lt;"&amp;$E299)+$IH299</f>
        <v/>
      </c>
      <c r="IJ299" s="55">
        <f>SUMIFS(tblBudget[Feed_oz],tblBudget[Month],$E299)</f>
        <v/>
      </c>
      <c r="IK299" s="55">
        <f>$IJ299*$C299/$D299</f>
        <v/>
      </c>
      <c r="IL299" s="55">
        <f>SUMIFS(tblBudget[Feed_oz],tblBudget[Month],"&lt;"&amp;$E299)+$IK299</f>
        <v/>
      </c>
      <c r="IM299" s="55">
        <f>SUMIFS(tblBudget[Recovered_oz],tblBudget[Month],$E299)</f>
        <v/>
      </c>
      <c r="IN299" s="55">
        <f>$IM299*$C299/$D299</f>
        <v/>
      </c>
      <c r="IO299" s="55">
        <f>SUMIFS(tblBudget[Recovered_oz],tblBudget[Month],"&lt;"&amp;$E299)+$IN299</f>
        <v/>
      </c>
      <c r="IP299" s="56">
        <f>IFERROR(IF(($IG299)&gt;0,($IJ299*cfg_TroyOz)/($IG299),""),"")</f>
        <v/>
      </c>
      <c r="IQ299" s="56">
        <f>IFERROR(IF(($IH299)&gt;0,($IK299*cfg_TroyOz)/($IH299),""),"")</f>
        <v/>
      </c>
      <c r="IR299" s="56">
        <f>IFERROR(IF(($II299)&gt;0,($IL299*cfg_TroyOz)/($II299),""),"")</f>
        <v/>
      </c>
      <c r="IS299" s="67">
        <f>IFERROR(IF(($IJ299)&gt;0,($IM299)/($IJ299),""),"")</f>
        <v/>
      </c>
      <c r="IT299" s="67">
        <f>IFERROR(IF(($IK299)&gt;0,($IN299)/($IK299),""),"")</f>
        <v/>
      </c>
      <c r="IU299" s="67">
        <f>IFERROR(IF(($IL299)&gt;0,($IO299)/($IL299),""),"")</f>
        <v/>
      </c>
      <c r="IV299" s="55">
        <f>SUMIFS(tblBudget[Gold_Poured_oz],tblBudget[Month],$E299)</f>
        <v/>
      </c>
      <c r="IW299" s="55">
        <f>$IV299*$C299/$D299</f>
        <v/>
      </c>
      <c r="IX299" s="55">
        <f>SUMIFS(tblBudget[Gold_Poured_oz],tblBudget[Month],"&lt;"&amp;$E299)+$IW299</f>
        <v/>
      </c>
      <c r="IY299" s="57">
        <f>SUMIFS(tblBudget[Hours_Worked],tblBudget[Month],$E299)</f>
        <v/>
      </c>
      <c r="IZ299" s="57">
        <f>$IY299*$C299/$D299</f>
        <v/>
      </c>
      <c r="JA299" s="57">
        <f>SUMIFS(tblBudget[Hours_Worked],tblBudget[Month],"&lt;"&amp;$E299)+$IZ299</f>
        <v/>
      </c>
    </row>
    <row r="300">
      <c r="A300" s="54" t="n">
        <v>46321</v>
      </c>
      <c r="B300">
        <f>MONTH($A300)</f>
        <v/>
      </c>
      <c r="C300">
        <f>DAY($A300)</f>
        <v/>
      </c>
      <c r="D300">
        <f>DAY(EOMONTH($A300,0))</f>
        <v/>
      </c>
      <c r="E300" s="54">
        <f>DATE(YEAR($A300),MONTH($A300),1)</f>
        <v/>
      </c>
      <c r="F300" s="55">
        <f>SUMIFS(tblMovement[Tonnes_t],tblMovement[Date],$A300,tblMovement[Is_Ore],1,tblMovement[Source_Type],"Pit")</f>
        <v/>
      </c>
      <c r="G300" s="55">
        <f>IF($B300=$B299,$G299,0)+$F300</f>
        <v/>
      </c>
      <c r="H300" s="55">
        <f>$H299+$F300</f>
        <v/>
      </c>
      <c r="I300" s="55">
        <f>SUMIFS(tblMovement[Ore_oz],tblMovement[Date],$A300,tblMovement[Source_Type],"Pit")</f>
        <v/>
      </c>
      <c r="J300" s="55">
        <f>IF($B300=$B299,$J299,0)+$I300</f>
        <v/>
      </c>
      <c r="K300" s="55">
        <f>$K299+$I300</f>
        <v/>
      </c>
      <c r="L300" s="56">
        <f>IFERROR(IF(($F300)&gt;0,($I300*cfg_TroyOz)/($F300),""),"")</f>
        <v/>
      </c>
      <c r="M300" s="56">
        <f>IFERROR(IF(($G300)&gt;0,($J300*cfg_TroyOz)/($G300),""),"")</f>
        <v/>
      </c>
      <c r="N300" s="56">
        <f>IFERROR(IF(($H300)&gt;0,($K300*cfg_TroyOz)/($H300),""),"")</f>
        <v/>
      </c>
      <c r="O300" s="55">
        <f>SUMIFS(tblMovement[Tonnes_t],tblMovement[Date],$A300,tblMovement[Is_Ore],0,tblMovement[Source_Type],"Pit")</f>
        <v/>
      </c>
      <c r="P300" s="55">
        <f>IF($B300=$B299,$P299,0)+$O300</f>
        <v/>
      </c>
      <c r="Q300" s="55">
        <f>$Q299+$O300</f>
        <v/>
      </c>
      <c r="R300" s="55">
        <f>$F300+$O300</f>
        <v/>
      </c>
      <c r="S300" s="55">
        <f>IF($B300=$B299,$S299,0)+$R300</f>
        <v/>
      </c>
      <c r="T300" s="55">
        <f>$T299+$R300</f>
        <v/>
      </c>
      <c r="U300" s="56">
        <f>IFERROR(IF(($F300)&gt;0,($O300)/($F300),""),"")</f>
        <v/>
      </c>
      <c r="V300" s="56">
        <f>IFERROR(IF(($G300)&gt;0,($P300)/($G300),""),"")</f>
        <v/>
      </c>
      <c r="W300" s="56">
        <f>IFERROR(IF(($H300)&gt;0,($Q300)/($H300),""),"")</f>
        <v/>
      </c>
      <c r="X300" s="55">
        <f>SUMIFS(tblMovement[Tonnes_t],tblMovement[Date],$A300,tblMovement[Source_Type],"Stockpile")</f>
        <v/>
      </c>
      <c r="Y300" s="55">
        <f>IF($B300=$B299,$Y299,0)+$X300</f>
        <v/>
      </c>
      <c r="Z300" s="55">
        <f>$Z299+$X300</f>
        <v/>
      </c>
      <c r="AA300" s="55">
        <f>SUMIFS(tblMiningDaily[Drill_m],tblMiningDaily[Date],$A300)</f>
        <v/>
      </c>
      <c r="AB300" s="55">
        <f>IF($B300=$B299,$AB299,0)+$AA300</f>
        <v/>
      </c>
      <c r="AC300" s="55">
        <f>$AC299+$AA300</f>
        <v/>
      </c>
      <c r="AD300" s="55">
        <f>SUMIFS(tblMiningDaily[Blast_t],tblMiningDaily[Date],$A300)</f>
        <v/>
      </c>
      <c r="AE300" s="55">
        <f>IF($B300=$B299,$AE299,0)+$AD300</f>
        <v/>
      </c>
      <c r="AF300" s="55">
        <f>$AF299+$AD300</f>
        <v/>
      </c>
      <c r="AG300" s="55">
        <f>SUMIFS(tblMiningDaily[Explosives_kg],tblMiningDaily[Date],$A300)</f>
        <v/>
      </c>
      <c r="AH300" s="55">
        <f>IF($B300=$B299,$AH299,0)+$AG300</f>
        <v/>
      </c>
      <c r="AI300" s="55">
        <f>$AI299+$AG300</f>
        <v/>
      </c>
      <c r="AJ300" s="56">
        <f>IFERROR(IF(($AD300)&gt;0,($AG300)/($AD300),""),"")</f>
        <v/>
      </c>
      <c r="AK300" s="56">
        <f>IFERROR(IF(($AE300)&gt;0,($AH300)/($AE300),""),"")</f>
        <v/>
      </c>
      <c r="AL300" s="56">
        <f>IFERROR(IF(($AF300)&gt;0,($AI300)/($AF300),""),"")</f>
        <v/>
      </c>
      <c r="AM300" s="55">
        <f>SUMIFS(tblMiningDaily[Diesel_L],tblMiningDaily[Date],$A300)</f>
        <v/>
      </c>
      <c r="AN300" s="55">
        <f>IF($B300=$B299,$AN299,0)+$AM300</f>
        <v/>
      </c>
      <c r="AO300" s="55">
        <f>$AO299+$AM300</f>
        <v/>
      </c>
      <c r="AP300" s="55">
        <f>SUMIFS(tblMiningDaily[Dewatering_m3],tblMiningDaily[Date],$A300)</f>
        <v/>
      </c>
      <c r="AQ300" s="55">
        <f>IF($B300=$B299,$AQ299,0)+$AP300</f>
        <v/>
      </c>
      <c r="AR300" s="55">
        <f>$AR299+$AP300</f>
        <v/>
      </c>
      <c r="AS300" s="57">
        <f>SUMIFS(tblFleet[Calendar_h],tblFleet[Date],$A300,tblFleet[Equipment_Class],"Excavator")</f>
        <v/>
      </c>
      <c r="AT300" s="57">
        <f>IF($B300=$B299,$AT299,0)+$AS300</f>
        <v/>
      </c>
      <c r="AU300" s="57">
        <f>$AU299+$AS300</f>
        <v/>
      </c>
      <c r="AV300" s="57">
        <f>SUMIFS(tblFleet[Available_h],tblFleet[Date],$A300,tblFleet[Equipment_Class],"Excavator")</f>
        <v/>
      </c>
      <c r="AW300" s="57">
        <f>IF($B300=$B299,$AW299,0)+$AV300</f>
        <v/>
      </c>
      <c r="AX300" s="57">
        <f>$AX299+$AV300</f>
        <v/>
      </c>
      <c r="AY300" s="57">
        <f>SUMIFS(tblFleet[Operating_h],tblFleet[Date],$A300,tblFleet[Equipment_Class],"Excavator")</f>
        <v/>
      </c>
      <c r="AZ300" s="57">
        <f>IF($B300=$B299,$AZ299,0)+$AY300</f>
        <v/>
      </c>
      <c r="BA300" s="57">
        <f>$BA299+$AY300</f>
        <v/>
      </c>
      <c r="BB300" s="67">
        <f>IFERROR(IF(($AS300)&gt;0,($AV300)/($AS300),""),"")</f>
        <v/>
      </c>
      <c r="BC300" s="67">
        <f>IFERROR(IF(($AT300)&gt;0,($AW300)/($AT300),""),"")</f>
        <v/>
      </c>
      <c r="BD300" s="67">
        <f>IFERROR(IF(($AU300)&gt;0,($AX300)/($AU300),""),"")</f>
        <v/>
      </c>
      <c r="BE300" s="67">
        <f>IFERROR(IF(($AV300)&gt;0,($AY300)/($AV300),""),"")</f>
        <v/>
      </c>
      <c r="BF300" s="67">
        <f>IFERROR(IF(($AW300)&gt;0,($AZ300)/($AW300),""),"")</f>
        <v/>
      </c>
      <c r="BG300" s="67">
        <f>IFERROR(IF(($AX300)&gt;0,($BA300)/($AX300),""),"")</f>
        <v/>
      </c>
      <c r="BH300" s="57">
        <f>SUMIFS(tblFleet[Calendar_h],tblFleet[Date],$A300,tblFleet[Equipment_Class],"Haul Truck")</f>
        <v/>
      </c>
      <c r="BI300" s="57">
        <f>IF($B300=$B299,$BI299,0)+$BH300</f>
        <v/>
      </c>
      <c r="BJ300" s="57">
        <f>$BJ299+$BH300</f>
        <v/>
      </c>
      <c r="BK300" s="57">
        <f>SUMIFS(tblFleet[Available_h],tblFleet[Date],$A300,tblFleet[Equipment_Class],"Haul Truck")</f>
        <v/>
      </c>
      <c r="BL300" s="57">
        <f>IF($B300=$B299,$BL299,0)+$BK300</f>
        <v/>
      </c>
      <c r="BM300" s="57">
        <f>$BM299+$BK300</f>
        <v/>
      </c>
      <c r="BN300" s="57">
        <f>SUMIFS(tblFleet[Operating_h],tblFleet[Date],$A300,tblFleet[Equipment_Class],"Haul Truck")</f>
        <v/>
      </c>
      <c r="BO300" s="57">
        <f>IF($B300=$B299,$BO299,0)+$BN300</f>
        <v/>
      </c>
      <c r="BP300" s="57">
        <f>$BP299+$BN300</f>
        <v/>
      </c>
      <c r="BQ300" s="67">
        <f>IFERROR(IF(($BH300)&gt;0,($BK300)/($BH300),""),"")</f>
        <v/>
      </c>
      <c r="BR300" s="67">
        <f>IFERROR(IF(($BI300)&gt;0,($BL300)/($BI300),""),"")</f>
        <v/>
      </c>
      <c r="BS300" s="67">
        <f>IFERROR(IF(($BJ300)&gt;0,($BM300)/($BJ300),""),"")</f>
        <v/>
      </c>
      <c r="BT300" s="67">
        <f>IFERROR(IF(($BK300)&gt;0,($BN300)/($BK300),""),"")</f>
        <v/>
      </c>
      <c r="BU300" s="67">
        <f>IFERROR(IF(($BL300)&gt;0,($BO300)/($BL300),""),"")</f>
        <v/>
      </c>
      <c r="BV300" s="67">
        <f>IFERROR(IF(($BM300)&gt;0,($BP300)/($BM300),""),"")</f>
        <v/>
      </c>
      <c r="BW300" s="55">
        <f>SUMIFS(tblPlant[Crushed_t],tblPlant[Date],$A300)</f>
        <v/>
      </c>
      <c r="BX300" s="55">
        <f>IF($B300=$B299,$BX299,0)+$BW300</f>
        <v/>
      </c>
      <c r="BY300" s="55">
        <f>$BY299+$BW300</f>
        <v/>
      </c>
      <c r="BZ300" s="55">
        <f>SUMIFS(tblPlant[Milled_t],tblPlant[Date],$A300)</f>
        <v/>
      </c>
      <c r="CA300" s="55">
        <f>IF($B300=$B299,$CA299,0)+$BZ300</f>
        <v/>
      </c>
      <c r="CB300" s="55">
        <f>$CB299+$BZ300</f>
        <v/>
      </c>
      <c r="CC300" s="55">
        <f>SUMIFS(tblPlant[Feed_oz],tblPlant[Date],$A300)</f>
        <v/>
      </c>
      <c r="CD300" s="55">
        <f>IF($B300=$B299,$CD299,0)+$CC300</f>
        <v/>
      </c>
      <c r="CE300" s="55">
        <f>$CE299+$CC300</f>
        <v/>
      </c>
      <c r="CF300" s="55">
        <f>SUMIFS(tblPlant[Tails_oz],tblPlant[Date],$A300)</f>
        <v/>
      </c>
      <c r="CG300" s="55">
        <f>IF($B300=$B299,$CG299,0)+$CF300</f>
        <v/>
      </c>
      <c r="CH300" s="55">
        <f>$CH299+$CF300</f>
        <v/>
      </c>
      <c r="CI300" s="55">
        <f>SUMIFS(tblPlant[Recovered_oz],tblPlant[Date],$A300)</f>
        <v/>
      </c>
      <c r="CJ300" s="55">
        <f>IF($B300=$B299,$CJ299,0)+$CI300</f>
        <v/>
      </c>
      <c r="CK300" s="55">
        <f>$CK299+$CI300</f>
        <v/>
      </c>
      <c r="CL300" s="56">
        <f>IFERROR(IF(($BZ300)&gt;0,($CC300*cfg_TroyOz)/($BZ300),""),"")</f>
        <v/>
      </c>
      <c r="CM300" s="56">
        <f>IFERROR(IF(($CA300)&gt;0,($CD300*cfg_TroyOz)/($CA300),""),"")</f>
        <v/>
      </c>
      <c r="CN300" s="56">
        <f>IFERROR(IF(($CB300)&gt;0,($CE300*cfg_TroyOz)/($CB300),""),"")</f>
        <v/>
      </c>
      <c r="CO300" s="56">
        <f>IFERROR(IF(($BZ300)&gt;0,($CF300*cfg_TroyOz)/($BZ300),""),"")</f>
        <v/>
      </c>
      <c r="CP300" s="56">
        <f>IFERROR(IF(($CA300)&gt;0,($CG300*cfg_TroyOz)/($CA300),""),"")</f>
        <v/>
      </c>
      <c r="CQ300" s="56">
        <f>IFERROR(IF(($CB300)&gt;0,($CH300*cfg_TroyOz)/($CB300),""),"")</f>
        <v/>
      </c>
      <c r="CR300" s="67">
        <f>IFERROR(IF(($CC300)&gt;0,($CI300)/($CC300),""),"")</f>
        <v/>
      </c>
      <c r="CS300" s="67">
        <f>IFERROR(IF(($CD300)&gt;0,($CJ300)/($CD300),""),"")</f>
        <v/>
      </c>
      <c r="CT300" s="67">
        <f>IFERROR(IF(($CE300)&gt;0,($CK300)/($CE300),""),"")</f>
        <v/>
      </c>
      <c r="CU300" s="55">
        <f>SUMIFS(tblPlant[Gravity_Gold_oz],tblPlant[Date],$A300)</f>
        <v/>
      </c>
      <c r="CV300" s="55">
        <f>IF($B300=$B299,$CV299,0)+$CU300</f>
        <v/>
      </c>
      <c r="CW300" s="55">
        <f>$CW299+$CU300</f>
        <v/>
      </c>
      <c r="CX300" s="55">
        <f>SUMIFS(tblPlant[Gold_Poured_oz],tblPlant[Date],$A300)</f>
        <v/>
      </c>
      <c r="CY300" s="55">
        <f>IF($B300=$B299,$CY299,0)+$CX300</f>
        <v/>
      </c>
      <c r="CZ300" s="55">
        <f>$CZ299+$CX300</f>
        <v/>
      </c>
      <c r="DA300" s="57">
        <f>SUMIFS(tblPlant[Mill_Run_h],tblPlant[Date],$A300)</f>
        <v/>
      </c>
      <c r="DB300" s="57">
        <f>IF($B300=$B299,$DB299,0)+$DA300</f>
        <v/>
      </c>
      <c r="DC300" s="57">
        <f>$DC299+$DA300</f>
        <v/>
      </c>
      <c r="DD300" s="57">
        <f>SUMIFS(tblPlant[Mill_Planned_Maint_h],tblPlant[Date],$A300)</f>
        <v/>
      </c>
      <c r="DE300" s="57">
        <f>IF($B300=$B299,$DE299,0)+$DD300</f>
        <v/>
      </c>
      <c r="DF300" s="57">
        <f>$DF299+$DD300</f>
        <v/>
      </c>
      <c r="DG300" s="57">
        <f>SUMIFS(tblPlant[Mill_Unplanned_Down_h],tblPlant[Date],$A300)</f>
        <v/>
      </c>
      <c r="DH300" s="57">
        <f>IF($B300=$B299,$DH299,0)+$DG300</f>
        <v/>
      </c>
      <c r="DI300" s="57">
        <f>$DI299+$DG300</f>
        <v/>
      </c>
      <c r="DJ300" s="57">
        <f>COUNTIFS(tblPlant[Date],$A300,tblPlant[Mill_Run_h],"&lt;&gt;")*24</f>
        <v/>
      </c>
      <c r="DK300" s="57">
        <f>IF($B300=$B299,$DK299,0)+$DJ300</f>
        <v/>
      </c>
      <c r="DL300" s="57">
        <f>$DL299+$DJ300</f>
        <v/>
      </c>
      <c r="DM300" s="57">
        <f>SUMIFS(tblPlant[Crusher_Run_h],tblPlant[Date],$A300)</f>
        <v/>
      </c>
      <c r="DN300" s="57">
        <f>IF($B300=$B299,$DN299,0)+$DM300</f>
        <v/>
      </c>
      <c r="DO300" s="57">
        <f>$DO299+$DM300</f>
        <v/>
      </c>
      <c r="DP300" s="55">
        <f>IFERROR(IF(($DA300)&gt;0,($BZ300)/($DA300),""),"")</f>
        <v/>
      </c>
      <c r="DQ300" s="55">
        <f>IFERROR(IF(($DB300)&gt;0,($CA300)/($DB300),""),"")</f>
        <v/>
      </c>
      <c r="DR300" s="55">
        <f>IFERROR(IF(($DC300)&gt;0,($CB300)/($DC300),""),"")</f>
        <v/>
      </c>
      <c r="DS300" s="67">
        <f>IFERROR(IF(($DJ300)&gt;0,($DJ300-$DD300-$DG300)/($DJ300),""),"")</f>
        <v/>
      </c>
      <c r="DT300" s="67">
        <f>IFERROR(IF(($DK300)&gt;0,($DK300-$DE300-$DH300)/($DK300),""),"")</f>
        <v/>
      </c>
      <c r="DU300" s="67">
        <f>IFERROR(IF(($DL300)&gt;0,($DL300-$DF300-$DI300)/($DL300),""),"")</f>
        <v/>
      </c>
      <c r="DV300" s="67">
        <f>IFERROR(IF(($DJ300-$DD300-$DG300)&gt;0,($DA300)/($DJ300-$DD300-$DG300),""),"")</f>
        <v/>
      </c>
      <c r="DW300" s="67">
        <f>IFERROR(IF(($DK300-$DE300-$DH300)&gt;0,($DB300)/($DK300-$DE300-$DH300),""),"")</f>
        <v/>
      </c>
      <c r="DX300" s="67">
        <f>IFERROR(IF(($DL300-$DF300-$DI300)&gt;0,($DC300)/($DL300-$DF300-$DI300),""),"")</f>
        <v/>
      </c>
      <c r="DY300" s="55">
        <f>SUMIFS(tblPlant[Cyanide_kg],tblPlant[Date],$A300)</f>
        <v/>
      </c>
      <c r="DZ300" s="55">
        <f>IF($B300=$B299,$DZ299,0)+$DY300</f>
        <v/>
      </c>
      <c r="EA300" s="55">
        <f>$EA299+$DY300</f>
        <v/>
      </c>
      <c r="EB300" s="55">
        <f>SUMIFS(tblPlant[Lime_kg],tblPlant[Date],$A300)</f>
        <v/>
      </c>
      <c r="EC300" s="55">
        <f>IF($B300=$B299,$EC299,0)+$EB300</f>
        <v/>
      </c>
      <c r="ED300" s="55">
        <f>$ED299+$EB300</f>
        <v/>
      </c>
      <c r="EE300" s="55">
        <f>SUMIFS(tblPlant[Grinding_Media_kg],tblPlant[Date],$A300)</f>
        <v/>
      </c>
      <c r="EF300" s="55">
        <f>IF($B300=$B299,$EF299,0)+$EE300</f>
        <v/>
      </c>
      <c r="EG300" s="55">
        <f>$EG299+$EE300</f>
        <v/>
      </c>
      <c r="EH300" s="55">
        <f>SUMIFS(tblPlant[Power_kWh],tblPlant[Date],$A300)</f>
        <v/>
      </c>
      <c r="EI300" s="55">
        <f>IF($B300=$B299,$EI299,0)+$EH300</f>
        <v/>
      </c>
      <c r="EJ300" s="55">
        <f>$EJ299+$EH300</f>
        <v/>
      </c>
      <c r="EK300" s="55">
        <f>SUMIFS(tblPlant[Raw_Water_m3],tblPlant[Date],$A300)</f>
        <v/>
      </c>
      <c r="EL300" s="55">
        <f>IF($B300=$B299,$EL299,0)+$EK300</f>
        <v/>
      </c>
      <c r="EM300" s="55">
        <f>$EM299+$EK300</f>
        <v/>
      </c>
      <c r="EN300" s="56">
        <f>IFERROR(IF(($BZ300)&gt;0,($DY300)/($BZ300),""),"")</f>
        <v/>
      </c>
      <c r="EO300" s="56">
        <f>IFERROR(IF(($CA300)&gt;0,($DZ300)/($CA300),""),"")</f>
        <v/>
      </c>
      <c r="EP300" s="56">
        <f>IFERROR(IF(($CB300)&gt;0,($EA300)/($CB300),""),"")</f>
        <v/>
      </c>
      <c r="EQ300" s="56">
        <f>IFERROR(IF(($BZ300)&gt;0,($EB300)/($BZ300),""),"")</f>
        <v/>
      </c>
      <c r="ER300" s="56">
        <f>IFERROR(IF(($CA300)&gt;0,($EC300)/($CA300),""),"")</f>
        <v/>
      </c>
      <c r="ES300" s="56">
        <f>IFERROR(IF(($CB300)&gt;0,($ED300)/($CB300),""),"")</f>
        <v/>
      </c>
      <c r="ET300" s="56">
        <f>IFERROR(IF(($BZ300)&gt;0,($EE300)/($BZ300),""),"")</f>
        <v/>
      </c>
      <c r="EU300" s="56">
        <f>IFERROR(IF(($CA300)&gt;0,($EF300)/($CA300),""),"")</f>
        <v/>
      </c>
      <c r="EV300" s="56">
        <f>IFERROR(IF(($CB300)&gt;0,($EG300)/($CB300),""),"")</f>
        <v/>
      </c>
      <c r="EW300" s="76">
        <f>IFERROR(IF(($BZ300)&gt;0,($EH300)/($BZ300),""),"")</f>
        <v/>
      </c>
      <c r="EX300" s="76">
        <f>IFERROR(IF(($CA300)&gt;0,($EI300)/($CA300),""),"")</f>
        <v/>
      </c>
      <c r="EY300" s="76">
        <f>IFERROR(IF(($CB300)&gt;0,($EJ300)/($CB300),""),"")</f>
        <v/>
      </c>
      <c r="EZ300" s="56">
        <f>IFERROR(IF(($BZ300)&gt;0,($EK300)/($BZ300),""),"")</f>
        <v/>
      </c>
      <c r="FA300" s="56">
        <f>IFERROR(IF(($CA300)&gt;0,($EL300)/($CA300),""),"")</f>
        <v/>
      </c>
      <c r="FB300" s="56">
        <f>IFERROR(IF(($CB300)&gt;0,($EM300)/($CB300),""),"")</f>
        <v/>
      </c>
      <c r="FC300" s="55">
        <f>IF(SUMIFS(tblPlant[GIC_oz],tblPlant[Date],$A300)&gt;0,SUMIFS(tblPlant[GIC_oz],tblPlant[Date],$A300),"")</f>
        <v/>
      </c>
      <c r="FD300" s="55">
        <f>SUMIFS(tblGold[Gold_oz],tblGold[Date],$A300,tblGold[Type],"Shipment")</f>
        <v/>
      </c>
      <c r="FE300" s="55">
        <f>IF($B300=$B299,$FE299,0)+$FD300</f>
        <v/>
      </c>
      <c r="FF300" s="55">
        <f>$FF299+$FD300</f>
        <v/>
      </c>
      <c r="FG300" s="55">
        <f>SUMIFS(tblGold[Gold_oz],tblGold[Date],$A300,tblGold[Type],"Sale")</f>
        <v/>
      </c>
      <c r="FH300" s="55">
        <f>IF($B300=$B299,$FH299,0)+$FG300</f>
        <v/>
      </c>
      <c r="FI300" s="55">
        <f>$FI299+$FG300</f>
        <v/>
      </c>
      <c r="FJ300" s="55">
        <f>SUMIFS(tblGold[Dore_kg],tblGold[Date],$A300,tblGold[Type],"Shipment")</f>
        <v/>
      </c>
      <c r="FK300" s="55">
        <f>IF($B300=$B299,$FK299,0)+$FJ300</f>
        <v/>
      </c>
      <c r="FL300" s="55">
        <f>$FL299+$FJ300</f>
        <v/>
      </c>
      <c r="FM300" s="57">
        <f>SUMIFS(tblSafety[Hours_Total],tblSafety[Date],$A300)</f>
        <v/>
      </c>
      <c r="FN300" s="57">
        <f>IF($B300=$B299,$FN299,0)+$FM300</f>
        <v/>
      </c>
      <c r="FO300" s="57">
        <f>$FO299+$FM300</f>
        <v/>
      </c>
      <c r="FP300" s="62">
        <f>SUMIFS(tblSafety[Fatality],tblSafety[Date],$A300)</f>
        <v/>
      </c>
      <c r="FQ300" s="62">
        <f>IF($B300=$B299,$FQ299,0)+$FP300</f>
        <v/>
      </c>
      <c r="FR300" s="62">
        <f>$FR299+$FP300</f>
        <v/>
      </c>
      <c r="FS300" s="62">
        <f>SUMIFS(tblSafety[LTI],tblSafety[Date],$A300)</f>
        <v/>
      </c>
      <c r="FT300" s="62">
        <f>IF($B300=$B299,$FT299,0)+$FS300</f>
        <v/>
      </c>
      <c r="FU300" s="62">
        <f>$FU299+$FS300</f>
        <v/>
      </c>
      <c r="FV300" s="62">
        <f>SUMIFS(tblSafety[RWI],tblSafety[Date],$A300)</f>
        <v/>
      </c>
      <c r="FW300" s="62">
        <f>IF($B300=$B299,$FW299,0)+$FV300</f>
        <v/>
      </c>
      <c r="FX300" s="62">
        <f>$FX299+$FV300</f>
        <v/>
      </c>
      <c r="FY300" s="62">
        <f>SUMIFS(tblSafety[MTI],tblSafety[Date],$A300)</f>
        <v/>
      </c>
      <c r="FZ300" s="62">
        <f>IF($B300=$B299,$FZ299,0)+$FY300</f>
        <v/>
      </c>
      <c r="GA300" s="62">
        <f>$GA299+$FY300</f>
        <v/>
      </c>
      <c r="GB300" s="62">
        <f>SUMIFS(tblSafety[FAI],tblSafety[Date],$A300)</f>
        <v/>
      </c>
      <c r="GC300" s="62">
        <f>IF($B300=$B299,$GC299,0)+$GB300</f>
        <v/>
      </c>
      <c r="GD300" s="62">
        <f>$GD299+$GB300</f>
        <v/>
      </c>
      <c r="GE300" s="62">
        <f>SUMIFS(tblSafety[Recordables],tblSafety[Date],$A300)</f>
        <v/>
      </c>
      <c r="GF300" s="62">
        <f>IF($B300=$B299,$GF299,0)+$GE300</f>
        <v/>
      </c>
      <c r="GG300" s="62">
        <f>$GG299+$GE300</f>
        <v/>
      </c>
      <c r="GH300" s="62">
        <f>SUMIFS(tblSafety[Near_Miss],tblSafety[Date],$A300)</f>
        <v/>
      </c>
      <c r="GI300" s="62">
        <f>IF($B300=$B299,$GI299,0)+$GH300</f>
        <v/>
      </c>
      <c r="GJ300" s="62">
        <f>$GJ299+$GH300</f>
        <v/>
      </c>
      <c r="GK300" s="62">
        <f>SUMIFS(tblSafety[Hazard_Reports],tblSafety[Date],$A300)</f>
        <v/>
      </c>
      <c r="GL300" s="62">
        <f>IF($B300=$B299,$GL299,0)+$GK300</f>
        <v/>
      </c>
      <c r="GM300" s="62">
        <f>$GM299+$GK300</f>
        <v/>
      </c>
      <c r="GN300" s="62">
        <f>SUMIFS(tblSafety[HPI],tblSafety[Date],$A300)</f>
        <v/>
      </c>
      <c r="GO300" s="62">
        <f>IF($B300=$B299,$GO299,0)+$GN300</f>
        <v/>
      </c>
      <c r="GP300" s="62">
        <f>$GP299+$GN300</f>
        <v/>
      </c>
      <c r="GQ300" s="62">
        <f>SUMIFS(tblSafety[Env_Incidents],tblSafety[Date],$A300)</f>
        <v/>
      </c>
      <c r="GR300" s="62">
        <f>IF($B300=$B299,$GR299,0)+$GQ300</f>
        <v/>
      </c>
      <c r="GS300" s="62">
        <f>$GS299+$GQ300</f>
        <v/>
      </c>
      <c r="GT300" s="62">
        <f>SUMIFS(tblSafety[Community_Incidents],tblSafety[Date],$A300)</f>
        <v/>
      </c>
      <c r="GU300" s="62">
        <f>IF($B300=$B299,$GU299,0)+$GT300</f>
        <v/>
      </c>
      <c r="GV300" s="62">
        <f>$GV299+$GT300</f>
        <v/>
      </c>
      <c r="GW300" s="62">
        <f>SUMIFS(tblSafety[Vehicle_Incidents],tblSafety[Date],$A300)</f>
        <v/>
      </c>
      <c r="GX300" s="62">
        <f>IF($B300=$B299,$GX299,0)+$GW300</f>
        <v/>
      </c>
      <c r="GY300" s="62">
        <f>$GY299+$GW300</f>
        <v/>
      </c>
      <c r="GZ300" s="62">
        <f>SUMIFS(tblSafety[Toolbox_Talks],tblSafety[Date],$A300)</f>
        <v/>
      </c>
      <c r="HA300" s="62">
        <f>IF($B300=$B299,$HA299,0)+$GZ300</f>
        <v/>
      </c>
      <c r="HB300" s="62">
        <f>$HB299+$GZ300</f>
        <v/>
      </c>
      <c r="HC300" s="62">
        <f>SUMIFS(tblSafety[Inspections],tblSafety[Date],$A300)</f>
        <v/>
      </c>
      <c r="HD300" s="62">
        <f>IF($B300=$B299,$HD299,0)+$HC300</f>
        <v/>
      </c>
      <c r="HE300" s="62">
        <f>$HE299+$HC300</f>
        <v/>
      </c>
      <c r="HF300" s="56">
        <f>IFERROR((SUMIFS(tblSafety[Recordables],tblSafety[Date],"&gt;="&amp;EDATE($E300,-12),tblSafety[Date],"&lt;="&amp;$A300)+SUMIFS(tblSafetyHistory[Recordables],tblSafetyHistory[Month],"&gt;="&amp;EDATE($E300,-12),tblSafetyHistory[Month],"&lt;"&amp;cfg_YearStart))/(SUMIFS(tblSafety[Hours_Total],tblSafety[Date],"&gt;="&amp;EDATE($E300,-12),tblSafety[Date],"&lt;="&amp;$A300)+SUMIFS(tblSafetyHistory[Hours_Total],tblSafetyHistory[Month],"&gt;="&amp;EDATE($E300,-12),tblSafetyHistory[Month],"&lt;"&amp;cfg_YearStart))*1000000,"")</f>
        <v/>
      </c>
      <c r="HG300" s="56">
        <f>IFERROR((SUMIFS(tblSafety[LTI],tblSafety[Date],"&gt;="&amp;EDATE($E300,-12),tblSafety[Date],"&lt;="&amp;$A300)+SUMIFS(tblSafetyHistory[LTI],tblSafetyHistory[Month],"&gt;="&amp;EDATE($E300,-12),tblSafetyHistory[Month],"&lt;"&amp;cfg_YearStart))/(SUMIFS(tblSafety[Hours_Total],tblSafety[Date],"&gt;="&amp;EDATE($E300,-12),tblSafety[Date],"&lt;="&amp;$A300)+SUMIFS(tblSafetyHistory[Hours_Total],tblSafetyHistory[Month],"&gt;="&amp;EDATE($E300,-12),tblSafetyHistory[Month],"&lt;"&amp;cfg_YearStart))*1000000,"")</f>
        <v/>
      </c>
      <c r="HH300" s="62">
        <f>IF(MAX(N(cfg_PriorLTIDate),_xlfn.MAXIFS(tblSafety[Date],tblSafety[LTI],"&gt;0",tblSafety[Date],"&lt;="&amp;$A300))=0,"",$A300-MAX(N(cfg_PriorLTIDate),_xlfn.MAXIFS(tblSafety[Date],tblSafety[LTI],"&gt;0",tblSafety[Date],"&lt;="&amp;$A300)))</f>
        <v/>
      </c>
      <c r="HI300" s="55">
        <f>SUMIFS(tblBudget[Ore_Mined_t],tblBudget[Month],$E300)</f>
        <v/>
      </c>
      <c r="HJ300" s="55">
        <f>$HI300*$C300/$D300</f>
        <v/>
      </c>
      <c r="HK300" s="55">
        <f>SUMIFS(tblBudget[Ore_Mined_t],tblBudget[Month],"&lt;"&amp;$E300)+$HJ300</f>
        <v/>
      </c>
      <c r="HL300" s="55">
        <f>SUMIFS(tblBudget[Ore_oz],tblBudget[Month],$E300)</f>
        <v/>
      </c>
      <c r="HM300" s="55">
        <f>$HL300*$C300/$D300</f>
        <v/>
      </c>
      <c r="HN300" s="55">
        <f>SUMIFS(tblBudget[Ore_oz],tblBudget[Month],"&lt;"&amp;$E300)+$HM300</f>
        <v/>
      </c>
      <c r="HO300" s="56">
        <f>IFERROR(IF(($HI300)&gt;0,($HL300*cfg_TroyOz)/($HI300),""),"")</f>
        <v/>
      </c>
      <c r="HP300" s="56">
        <f>IFERROR(IF(($HJ300)&gt;0,($HM300*cfg_TroyOz)/($HJ300),""),"")</f>
        <v/>
      </c>
      <c r="HQ300" s="56">
        <f>IFERROR(IF(($HK300)&gt;0,($HN300*cfg_TroyOz)/($HK300),""),"")</f>
        <v/>
      </c>
      <c r="HR300" s="55">
        <f>SUMIFS(tblBudget[Waste_t],tblBudget[Month],$E300)</f>
        <v/>
      </c>
      <c r="HS300" s="55">
        <f>$HR300*$C300/$D300</f>
        <v/>
      </c>
      <c r="HT300" s="55">
        <f>SUMIFS(tblBudget[Waste_t],tblBudget[Month],"&lt;"&amp;$E300)+$HS300</f>
        <v/>
      </c>
      <c r="HU300" s="55">
        <f>SUMIFS(tblBudget[TMM_t],tblBudget[Month],$E300)</f>
        <v/>
      </c>
      <c r="HV300" s="55">
        <f>$HU300*$C300/$D300</f>
        <v/>
      </c>
      <c r="HW300" s="55">
        <f>SUMIFS(tblBudget[TMM_t],tblBudget[Month],"&lt;"&amp;$E300)+$HV300</f>
        <v/>
      </c>
      <c r="HX300" s="56">
        <f>IFERROR(IF(($HI300)&gt;0,($HR300)/($HI300),""),"")</f>
        <v/>
      </c>
      <c r="HY300" s="56">
        <f>IFERROR(IF(($HJ300)&gt;0,($HS300)/($HJ300),""),"")</f>
        <v/>
      </c>
      <c r="HZ300" s="56">
        <f>IFERROR(IF(($HK300)&gt;0,($HT300)/($HK300),""),"")</f>
        <v/>
      </c>
      <c r="IA300" s="55">
        <f>SUMIFS(tblBudget[Drill_m],tblBudget[Month],$E300)</f>
        <v/>
      </c>
      <c r="IB300" s="55">
        <f>$IA300*$C300/$D300</f>
        <v/>
      </c>
      <c r="IC300" s="55">
        <f>SUMIFS(tblBudget[Drill_m],tblBudget[Month],"&lt;"&amp;$E300)+$IB300</f>
        <v/>
      </c>
      <c r="ID300" s="55">
        <f>SUMIFS(tblBudget[Diesel_L],tblBudget[Month],$E300)</f>
        <v/>
      </c>
      <c r="IE300" s="55">
        <f>$ID300*$C300/$D300</f>
        <v/>
      </c>
      <c r="IF300" s="55">
        <f>SUMIFS(tblBudget[Diesel_L],tblBudget[Month],"&lt;"&amp;$E300)+$IE300</f>
        <v/>
      </c>
      <c r="IG300" s="55">
        <f>SUMIFS(tblBudget[Milled_t],tblBudget[Month],$E300)</f>
        <v/>
      </c>
      <c r="IH300" s="55">
        <f>$IG300*$C300/$D300</f>
        <v/>
      </c>
      <c r="II300" s="55">
        <f>SUMIFS(tblBudget[Milled_t],tblBudget[Month],"&lt;"&amp;$E300)+$IH300</f>
        <v/>
      </c>
      <c r="IJ300" s="55">
        <f>SUMIFS(tblBudget[Feed_oz],tblBudget[Month],$E300)</f>
        <v/>
      </c>
      <c r="IK300" s="55">
        <f>$IJ300*$C300/$D300</f>
        <v/>
      </c>
      <c r="IL300" s="55">
        <f>SUMIFS(tblBudget[Feed_oz],tblBudget[Month],"&lt;"&amp;$E300)+$IK300</f>
        <v/>
      </c>
      <c r="IM300" s="55">
        <f>SUMIFS(tblBudget[Recovered_oz],tblBudget[Month],$E300)</f>
        <v/>
      </c>
      <c r="IN300" s="55">
        <f>$IM300*$C300/$D300</f>
        <v/>
      </c>
      <c r="IO300" s="55">
        <f>SUMIFS(tblBudget[Recovered_oz],tblBudget[Month],"&lt;"&amp;$E300)+$IN300</f>
        <v/>
      </c>
      <c r="IP300" s="56">
        <f>IFERROR(IF(($IG300)&gt;0,($IJ300*cfg_TroyOz)/($IG300),""),"")</f>
        <v/>
      </c>
      <c r="IQ300" s="56">
        <f>IFERROR(IF(($IH300)&gt;0,($IK300*cfg_TroyOz)/($IH300),""),"")</f>
        <v/>
      </c>
      <c r="IR300" s="56">
        <f>IFERROR(IF(($II300)&gt;0,($IL300*cfg_TroyOz)/($II300),""),"")</f>
        <v/>
      </c>
      <c r="IS300" s="67">
        <f>IFERROR(IF(($IJ300)&gt;0,($IM300)/($IJ300),""),"")</f>
        <v/>
      </c>
      <c r="IT300" s="67">
        <f>IFERROR(IF(($IK300)&gt;0,($IN300)/($IK300),""),"")</f>
        <v/>
      </c>
      <c r="IU300" s="67">
        <f>IFERROR(IF(($IL300)&gt;0,($IO300)/($IL300),""),"")</f>
        <v/>
      </c>
      <c r="IV300" s="55">
        <f>SUMIFS(tblBudget[Gold_Poured_oz],tblBudget[Month],$E300)</f>
        <v/>
      </c>
      <c r="IW300" s="55">
        <f>$IV300*$C300/$D300</f>
        <v/>
      </c>
      <c r="IX300" s="55">
        <f>SUMIFS(tblBudget[Gold_Poured_oz],tblBudget[Month],"&lt;"&amp;$E300)+$IW300</f>
        <v/>
      </c>
      <c r="IY300" s="57">
        <f>SUMIFS(tblBudget[Hours_Worked],tblBudget[Month],$E300)</f>
        <v/>
      </c>
      <c r="IZ300" s="57">
        <f>$IY300*$C300/$D300</f>
        <v/>
      </c>
      <c r="JA300" s="57">
        <f>SUMIFS(tblBudget[Hours_Worked],tblBudget[Month],"&lt;"&amp;$E300)+$IZ300</f>
        <v/>
      </c>
    </row>
    <row r="301">
      <c r="A301" s="54" t="n">
        <v>46322</v>
      </c>
      <c r="B301">
        <f>MONTH($A301)</f>
        <v/>
      </c>
      <c r="C301">
        <f>DAY($A301)</f>
        <v/>
      </c>
      <c r="D301">
        <f>DAY(EOMONTH($A301,0))</f>
        <v/>
      </c>
      <c r="E301" s="54">
        <f>DATE(YEAR($A301),MONTH($A301),1)</f>
        <v/>
      </c>
      <c r="F301" s="55">
        <f>SUMIFS(tblMovement[Tonnes_t],tblMovement[Date],$A301,tblMovement[Is_Ore],1,tblMovement[Source_Type],"Pit")</f>
        <v/>
      </c>
      <c r="G301" s="55">
        <f>IF($B301=$B300,$G300,0)+$F301</f>
        <v/>
      </c>
      <c r="H301" s="55">
        <f>$H300+$F301</f>
        <v/>
      </c>
      <c r="I301" s="55">
        <f>SUMIFS(tblMovement[Ore_oz],tblMovement[Date],$A301,tblMovement[Source_Type],"Pit")</f>
        <v/>
      </c>
      <c r="J301" s="55">
        <f>IF($B301=$B300,$J300,0)+$I301</f>
        <v/>
      </c>
      <c r="K301" s="55">
        <f>$K300+$I301</f>
        <v/>
      </c>
      <c r="L301" s="56">
        <f>IFERROR(IF(($F301)&gt;0,($I301*cfg_TroyOz)/($F301),""),"")</f>
        <v/>
      </c>
      <c r="M301" s="56">
        <f>IFERROR(IF(($G301)&gt;0,($J301*cfg_TroyOz)/($G301),""),"")</f>
        <v/>
      </c>
      <c r="N301" s="56">
        <f>IFERROR(IF(($H301)&gt;0,($K301*cfg_TroyOz)/($H301),""),"")</f>
        <v/>
      </c>
      <c r="O301" s="55">
        <f>SUMIFS(tblMovement[Tonnes_t],tblMovement[Date],$A301,tblMovement[Is_Ore],0,tblMovement[Source_Type],"Pit")</f>
        <v/>
      </c>
      <c r="P301" s="55">
        <f>IF($B301=$B300,$P300,0)+$O301</f>
        <v/>
      </c>
      <c r="Q301" s="55">
        <f>$Q300+$O301</f>
        <v/>
      </c>
      <c r="R301" s="55">
        <f>$F301+$O301</f>
        <v/>
      </c>
      <c r="S301" s="55">
        <f>IF($B301=$B300,$S300,0)+$R301</f>
        <v/>
      </c>
      <c r="T301" s="55">
        <f>$T300+$R301</f>
        <v/>
      </c>
      <c r="U301" s="56">
        <f>IFERROR(IF(($F301)&gt;0,($O301)/($F301),""),"")</f>
        <v/>
      </c>
      <c r="V301" s="56">
        <f>IFERROR(IF(($G301)&gt;0,($P301)/($G301),""),"")</f>
        <v/>
      </c>
      <c r="W301" s="56">
        <f>IFERROR(IF(($H301)&gt;0,($Q301)/($H301),""),"")</f>
        <v/>
      </c>
      <c r="X301" s="55">
        <f>SUMIFS(tblMovement[Tonnes_t],tblMovement[Date],$A301,tblMovement[Source_Type],"Stockpile")</f>
        <v/>
      </c>
      <c r="Y301" s="55">
        <f>IF($B301=$B300,$Y300,0)+$X301</f>
        <v/>
      </c>
      <c r="Z301" s="55">
        <f>$Z300+$X301</f>
        <v/>
      </c>
      <c r="AA301" s="55">
        <f>SUMIFS(tblMiningDaily[Drill_m],tblMiningDaily[Date],$A301)</f>
        <v/>
      </c>
      <c r="AB301" s="55">
        <f>IF($B301=$B300,$AB300,0)+$AA301</f>
        <v/>
      </c>
      <c r="AC301" s="55">
        <f>$AC300+$AA301</f>
        <v/>
      </c>
      <c r="AD301" s="55">
        <f>SUMIFS(tblMiningDaily[Blast_t],tblMiningDaily[Date],$A301)</f>
        <v/>
      </c>
      <c r="AE301" s="55">
        <f>IF($B301=$B300,$AE300,0)+$AD301</f>
        <v/>
      </c>
      <c r="AF301" s="55">
        <f>$AF300+$AD301</f>
        <v/>
      </c>
      <c r="AG301" s="55">
        <f>SUMIFS(tblMiningDaily[Explosives_kg],tblMiningDaily[Date],$A301)</f>
        <v/>
      </c>
      <c r="AH301" s="55">
        <f>IF($B301=$B300,$AH300,0)+$AG301</f>
        <v/>
      </c>
      <c r="AI301" s="55">
        <f>$AI300+$AG301</f>
        <v/>
      </c>
      <c r="AJ301" s="56">
        <f>IFERROR(IF(($AD301)&gt;0,($AG301)/($AD301),""),"")</f>
        <v/>
      </c>
      <c r="AK301" s="56">
        <f>IFERROR(IF(($AE301)&gt;0,($AH301)/($AE301),""),"")</f>
        <v/>
      </c>
      <c r="AL301" s="56">
        <f>IFERROR(IF(($AF301)&gt;0,($AI301)/($AF301),""),"")</f>
        <v/>
      </c>
      <c r="AM301" s="55">
        <f>SUMIFS(tblMiningDaily[Diesel_L],tblMiningDaily[Date],$A301)</f>
        <v/>
      </c>
      <c r="AN301" s="55">
        <f>IF($B301=$B300,$AN300,0)+$AM301</f>
        <v/>
      </c>
      <c r="AO301" s="55">
        <f>$AO300+$AM301</f>
        <v/>
      </c>
      <c r="AP301" s="55">
        <f>SUMIFS(tblMiningDaily[Dewatering_m3],tblMiningDaily[Date],$A301)</f>
        <v/>
      </c>
      <c r="AQ301" s="55">
        <f>IF($B301=$B300,$AQ300,0)+$AP301</f>
        <v/>
      </c>
      <c r="AR301" s="55">
        <f>$AR300+$AP301</f>
        <v/>
      </c>
      <c r="AS301" s="57">
        <f>SUMIFS(tblFleet[Calendar_h],tblFleet[Date],$A301,tblFleet[Equipment_Class],"Excavator")</f>
        <v/>
      </c>
      <c r="AT301" s="57">
        <f>IF($B301=$B300,$AT300,0)+$AS301</f>
        <v/>
      </c>
      <c r="AU301" s="57">
        <f>$AU300+$AS301</f>
        <v/>
      </c>
      <c r="AV301" s="57">
        <f>SUMIFS(tblFleet[Available_h],tblFleet[Date],$A301,tblFleet[Equipment_Class],"Excavator")</f>
        <v/>
      </c>
      <c r="AW301" s="57">
        <f>IF($B301=$B300,$AW300,0)+$AV301</f>
        <v/>
      </c>
      <c r="AX301" s="57">
        <f>$AX300+$AV301</f>
        <v/>
      </c>
      <c r="AY301" s="57">
        <f>SUMIFS(tblFleet[Operating_h],tblFleet[Date],$A301,tblFleet[Equipment_Class],"Excavator")</f>
        <v/>
      </c>
      <c r="AZ301" s="57">
        <f>IF($B301=$B300,$AZ300,0)+$AY301</f>
        <v/>
      </c>
      <c r="BA301" s="57">
        <f>$BA300+$AY301</f>
        <v/>
      </c>
      <c r="BB301" s="67">
        <f>IFERROR(IF(($AS301)&gt;0,($AV301)/($AS301),""),"")</f>
        <v/>
      </c>
      <c r="BC301" s="67">
        <f>IFERROR(IF(($AT301)&gt;0,($AW301)/($AT301),""),"")</f>
        <v/>
      </c>
      <c r="BD301" s="67">
        <f>IFERROR(IF(($AU301)&gt;0,($AX301)/($AU301),""),"")</f>
        <v/>
      </c>
      <c r="BE301" s="67">
        <f>IFERROR(IF(($AV301)&gt;0,($AY301)/($AV301),""),"")</f>
        <v/>
      </c>
      <c r="BF301" s="67">
        <f>IFERROR(IF(($AW301)&gt;0,($AZ301)/($AW301),""),"")</f>
        <v/>
      </c>
      <c r="BG301" s="67">
        <f>IFERROR(IF(($AX301)&gt;0,($BA301)/($AX301),""),"")</f>
        <v/>
      </c>
      <c r="BH301" s="57">
        <f>SUMIFS(tblFleet[Calendar_h],tblFleet[Date],$A301,tblFleet[Equipment_Class],"Haul Truck")</f>
        <v/>
      </c>
      <c r="BI301" s="57">
        <f>IF($B301=$B300,$BI300,0)+$BH301</f>
        <v/>
      </c>
      <c r="BJ301" s="57">
        <f>$BJ300+$BH301</f>
        <v/>
      </c>
      <c r="BK301" s="57">
        <f>SUMIFS(tblFleet[Available_h],tblFleet[Date],$A301,tblFleet[Equipment_Class],"Haul Truck")</f>
        <v/>
      </c>
      <c r="BL301" s="57">
        <f>IF($B301=$B300,$BL300,0)+$BK301</f>
        <v/>
      </c>
      <c r="BM301" s="57">
        <f>$BM300+$BK301</f>
        <v/>
      </c>
      <c r="BN301" s="57">
        <f>SUMIFS(tblFleet[Operating_h],tblFleet[Date],$A301,tblFleet[Equipment_Class],"Haul Truck")</f>
        <v/>
      </c>
      <c r="BO301" s="57">
        <f>IF($B301=$B300,$BO300,0)+$BN301</f>
        <v/>
      </c>
      <c r="BP301" s="57">
        <f>$BP300+$BN301</f>
        <v/>
      </c>
      <c r="BQ301" s="67">
        <f>IFERROR(IF(($BH301)&gt;0,($BK301)/($BH301),""),"")</f>
        <v/>
      </c>
      <c r="BR301" s="67">
        <f>IFERROR(IF(($BI301)&gt;0,($BL301)/($BI301),""),"")</f>
        <v/>
      </c>
      <c r="BS301" s="67">
        <f>IFERROR(IF(($BJ301)&gt;0,($BM301)/($BJ301),""),"")</f>
        <v/>
      </c>
      <c r="BT301" s="67">
        <f>IFERROR(IF(($BK301)&gt;0,($BN301)/($BK301),""),"")</f>
        <v/>
      </c>
      <c r="BU301" s="67">
        <f>IFERROR(IF(($BL301)&gt;0,($BO301)/($BL301),""),"")</f>
        <v/>
      </c>
      <c r="BV301" s="67">
        <f>IFERROR(IF(($BM301)&gt;0,($BP301)/($BM301),""),"")</f>
        <v/>
      </c>
      <c r="BW301" s="55">
        <f>SUMIFS(tblPlant[Crushed_t],tblPlant[Date],$A301)</f>
        <v/>
      </c>
      <c r="BX301" s="55">
        <f>IF($B301=$B300,$BX300,0)+$BW301</f>
        <v/>
      </c>
      <c r="BY301" s="55">
        <f>$BY300+$BW301</f>
        <v/>
      </c>
      <c r="BZ301" s="55">
        <f>SUMIFS(tblPlant[Milled_t],tblPlant[Date],$A301)</f>
        <v/>
      </c>
      <c r="CA301" s="55">
        <f>IF($B301=$B300,$CA300,0)+$BZ301</f>
        <v/>
      </c>
      <c r="CB301" s="55">
        <f>$CB300+$BZ301</f>
        <v/>
      </c>
      <c r="CC301" s="55">
        <f>SUMIFS(tblPlant[Feed_oz],tblPlant[Date],$A301)</f>
        <v/>
      </c>
      <c r="CD301" s="55">
        <f>IF($B301=$B300,$CD300,0)+$CC301</f>
        <v/>
      </c>
      <c r="CE301" s="55">
        <f>$CE300+$CC301</f>
        <v/>
      </c>
      <c r="CF301" s="55">
        <f>SUMIFS(tblPlant[Tails_oz],tblPlant[Date],$A301)</f>
        <v/>
      </c>
      <c r="CG301" s="55">
        <f>IF($B301=$B300,$CG300,0)+$CF301</f>
        <v/>
      </c>
      <c r="CH301" s="55">
        <f>$CH300+$CF301</f>
        <v/>
      </c>
      <c r="CI301" s="55">
        <f>SUMIFS(tblPlant[Recovered_oz],tblPlant[Date],$A301)</f>
        <v/>
      </c>
      <c r="CJ301" s="55">
        <f>IF($B301=$B300,$CJ300,0)+$CI301</f>
        <v/>
      </c>
      <c r="CK301" s="55">
        <f>$CK300+$CI301</f>
        <v/>
      </c>
      <c r="CL301" s="56">
        <f>IFERROR(IF(($BZ301)&gt;0,($CC301*cfg_TroyOz)/($BZ301),""),"")</f>
        <v/>
      </c>
      <c r="CM301" s="56">
        <f>IFERROR(IF(($CA301)&gt;0,($CD301*cfg_TroyOz)/($CA301),""),"")</f>
        <v/>
      </c>
      <c r="CN301" s="56">
        <f>IFERROR(IF(($CB301)&gt;0,($CE301*cfg_TroyOz)/($CB301),""),"")</f>
        <v/>
      </c>
      <c r="CO301" s="56">
        <f>IFERROR(IF(($BZ301)&gt;0,($CF301*cfg_TroyOz)/($BZ301),""),"")</f>
        <v/>
      </c>
      <c r="CP301" s="56">
        <f>IFERROR(IF(($CA301)&gt;0,($CG301*cfg_TroyOz)/($CA301),""),"")</f>
        <v/>
      </c>
      <c r="CQ301" s="56">
        <f>IFERROR(IF(($CB301)&gt;0,($CH301*cfg_TroyOz)/($CB301),""),"")</f>
        <v/>
      </c>
      <c r="CR301" s="67">
        <f>IFERROR(IF(($CC301)&gt;0,($CI301)/($CC301),""),"")</f>
        <v/>
      </c>
      <c r="CS301" s="67">
        <f>IFERROR(IF(($CD301)&gt;0,($CJ301)/($CD301),""),"")</f>
        <v/>
      </c>
      <c r="CT301" s="67">
        <f>IFERROR(IF(($CE301)&gt;0,($CK301)/($CE301),""),"")</f>
        <v/>
      </c>
      <c r="CU301" s="55">
        <f>SUMIFS(tblPlant[Gravity_Gold_oz],tblPlant[Date],$A301)</f>
        <v/>
      </c>
      <c r="CV301" s="55">
        <f>IF($B301=$B300,$CV300,0)+$CU301</f>
        <v/>
      </c>
      <c r="CW301" s="55">
        <f>$CW300+$CU301</f>
        <v/>
      </c>
      <c r="CX301" s="55">
        <f>SUMIFS(tblPlant[Gold_Poured_oz],tblPlant[Date],$A301)</f>
        <v/>
      </c>
      <c r="CY301" s="55">
        <f>IF($B301=$B300,$CY300,0)+$CX301</f>
        <v/>
      </c>
      <c r="CZ301" s="55">
        <f>$CZ300+$CX301</f>
        <v/>
      </c>
      <c r="DA301" s="57">
        <f>SUMIFS(tblPlant[Mill_Run_h],tblPlant[Date],$A301)</f>
        <v/>
      </c>
      <c r="DB301" s="57">
        <f>IF($B301=$B300,$DB300,0)+$DA301</f>
        <v/>
      </c>
      <c r="DC301" s="57">
        <f>$DC300+$DA301</f>
        <v/>
      </c>
      <c r="DD301" s="57">
        <f>SUMIFS(tblPlant[Mill_Planned_Maint_h],tblPlant[Date],$A301)</f>
        <v/>
      </c>
      <c r="DE301" s="57">
        <f>IF($B301=$B300,$DE300,0)+$DD301</f>
        <v/>
      </c>
      <c r="DF301" s="57">
        <f>$DF300+$DD301</f>
        <v/>
      </c>
      <c r="DG301" s="57">
        <f>SUMIFS(tblPlant[Mill_Unplanned_Down_h],tblPlant[Date],$A301)</f>
        <v/>
      </c>
      <c r="DH301" s="57">
        <f>IF($B301=$B300,$DH300,0)+$DG301</f>
        <v/>
      </c>
      <c r="DI301" s="57">
        <f>$DI300+$DG301</f>
        <v/>
      </c>
      <c r="DJ301" s="57">
        <f>COUNTIFS(tblPlant[Date],$A301,tblPlant[Mill_Run_h],"&lt;&gt;")*24</f>
        <v/>
      </c>
      <c r="DK301" s="57">
        <f>IF($B301=$B300,$DK300,0)+$DJ301</f>
        <v/>
      </c>
      <c r="DL301" s="57">
        <f>$DL300+$DJ301</f>
        <v/>
      </c>
      <c r="DM301" s="57">
        <f>SUMIFS(tblPlant[Crusher_Run_h],tblPlant[Date],$A301)</f>
        <v/>
      </c>
      <c r="DN301" s="57">
        <f>IF($B301=$B300,$DN300,0)+$DM301</f>
        <v/>
      </c>
      <c r="DO301" s="57">
        <f>$DO300+$DM301</f>
        <v/>
      </c>
      <c r="DP301" s="55">
        <f>IFERROR(IF(($DA301)&gt;0,($BZ301)/($DA301),""),"")</f>
        <v/>
      </c>
      <c r="DQ301" s="55">
        <f>IFERROR(IF(($DB301)&gt;0,($CA301)/($DB301),""),"")</f>
        <v/>
      </c>
      <c r="DR301" s="55">
        <f>IFERROR(IF(($DC301)&gt;0,($CB301)/($DC301),""),"")</f>
        <v/>
      </c>
      <c r="DS301" s="67">
        <f>IFERROR(IF(($DJ301)&gt;0,($DJ301-$DD301-$DG301)/($DJ301),""),"")</f>
        <v/>
      </c>
      <c r="DT301" s="67">
        <f>IFERROR(IF(($DK301)&gt;0,($DK301-$DE301-$DH301)/($DK301),""),"")</f>
        <v/>
      </c>
      <c r="DU301" s="67">
        <f>IFERROR(IF(($DL301)&gt;0,($DL301-$DF301-$DI301)/($DL301),""),"")</f>
        <v/>
      </c>
      <c r="DV301" s="67">
        <f>IFERROR(IF(($DJ301-$DD301-$DG301)&gt;0,($DA301)/($DJ301-$DD301-$DG301),""),"")</f>
        <v/>
      </c>
      <c r="DW301" s="67">
        <f>IFERROR(IF(($DK301-$DE301-$DH301)&gt;0,($DB301)/($DK301-$DE301-$DH301),""),"")</f>
        <v/>
      </c>
      <c r="DX301" s="67">
        <f>IFERROR(IF(($DL301-$DF301-$DI301)&gt;0,($DC301)/($DL301-$DF301-$DI301),""),"")</f>
        <v/>
      </c>
      <c r="DY301" s="55">
        <f>SUMIFS(tblPlant[Cyanide_kg],tblPlant[Date],$A301)</f>
        <v/>
      </c>
      <c r="DZ301" s="55">
        <f>IF($B301=$B300,$DZ300,0)+$DY301</f>
        <v/>
      </c>
      <c r="EA301" s="55">
        <f>$EA300+$DY301</f>
        <v/>
      </c>
      <c r="EB301" s="55">
        <f>SUMIFS(tblPlant[Lime_kg],tblPlant[Date],$A301)</f>
        <v/>
      </c>
      <c r="EC301" s="55">
        <f>IF($B301=$B300,$EC300,0)+$EB301</f>
        <v/>
      </c>
      <c r="ED301" s="55">
        <f>$ED300+$EB301</f>
        <v/>
      </c>
      <c r="EE301" s="55">
        <f>SUMIFS(tblPlant[Grinding_Media_kg],tblPlant[Date],$A301)</f>
        <v/>
      </c>
      <c r="EF301" s="55">
        <f>IF($B301=$B300,$EF300,0)+$EE301</f>
        <v/>
      </c>
      <c r="EG301" s="55">
        <f>$EG300+$EE301</f>
        <v/>
      </c>
      <c r="EH301" s="55">
        <f>SUMIFS(tblPlant[Power_kWh],tblPlant[Date],$A301)</f>
        <v/>
      </c>
      <c r="EI301" s="55">
        <f>IF($B301=$B300,$EI300,0)+$EH301</f>
        <v/>
      </c>
      <c r="EJ301" s="55">
        <f>$EJ300+$EH301</f>
        <v/>
      </c>
      <c r="EK301" s="55">
        <f>SUMIFS(tblPlant[Raw_Water_m3],tblPlant[Date],$A301)</f>
        <v/>
      </c>
      <c r="EL301" s="55">
        <f>IF($B301=$B300,$EL300,0)+$EK301</f>
        <v/>
      </c>
      <c r="EM301" s="55">
        <f>$EM300+$EK301</f>
        <v/>
      </c>
      <c r="EN301" s="56">
        <f>IFERROR(IF(($BZ301)&gt;0,($DY301)/($BZ301),""),"")</f>
        <v/>
      </c>
      <c r="EO301" s="56">
        <f>IFERROR(IF(($CA301)&gt;0,($DZ301)/($CA301),""),"")</f>
        <v/>
      </c>
      <c r="EP301" s="56">
        <f>IFERROR(IF(($CB301)&gt;0,($EA301)/($CB301),""),"")</f>
        <v/>
      </c>
      <c r="EQ301" s="56">
        <f>IFERROR(IF(($BZ301)&gt;0,($EB301)/($BZ301),""),"")</f>
        <v/>
      </c>
      <c r="ER301" s="56">
        <f>IFERROR(IF(($CA301)&gt;0,($EC301)/($CA301),""),"")</f>
        <v/>
      </c>
      <c r="ES301" s="56">
        <f>IFERROR(IF(($CB301)&gt;0,($ED301)/($CB301),""),"")</f>
        <v/>
      </c>
      <c r="ET301" s="56">
        <f>IFERROR(IF(($BZ301)&gt;0,($EE301)/($BZ301),""),"")</f>
        <v/>
      </c>
      <c r="EU301" s="56">
        <f>IFERROR(IF(($CA301)&gt;0,($EF301)/($CA301),""),"")</f>
        <v/>
      </c>
      <c r="EV301" s="56">
        <f>IFERROR(IF(($CB301)&gt;0,($EG301)/($CB301),""),"")</f>
        <v/>
      </c>
      <c r="EW301" s="76">
        <f>IFERROR(IF(($BZ301)&gt;0,($EH301)/($BZ301),""),"")</f>
        <v/>
      </c>
      <c r="EX301" s="76">
        <f>IFERROR(IF(($CA301)&gt;0,($EI301)/($CA301),""),"")</f>
        <v/>
      </c>
      <c r="EY301" s="76">
        <f>IFERROR(IF(($CB301)&gt;0,($EJ301)/($CB301),""),"")</f>
        <v/>
      </c>
      <c r="EZ301" s="56">
        <f>IFERROR(IF(($BZ301)&gt;0,($EK301)/($BZ301),""),"")</f>
        <v/>
      </c>
      <c r="FA301" s="56">
        <f>IFERROR(IF(($CA301)&gt;0,($EL301)/($CA301),""),"")</f>
        <v/>
      </c>
      <c r="FB301" s="56">
        <f>IFERROR(IF(($CB301)&gt;0,($EM301)/($CB301),""),"")</f>
        <v/>
      </c>
      <c r="FC301" s="55">
        <f>IF(SUMIFS(tblPlant[GIC_oz],tblPlant[Date],$A301)&gt;0,SUMIFS(tblPlant[GIC_oz],tblPlant[Date],$A301),"")</f>
        <v/>
      </c>
      <c r="FD301" s="55">
        <f>SUMIFS(tblGold[Gold_oz],tblGold[Date],$A301,tblGold[Type],"Shipment")</f>
        <v/>
      </c>
      <c r="FE301" s="55">
        <f>IF($B301=$B300,$FE300,0)+$FD301</f>
        <v/>
      </c>
      <c r="FF301" s="55">
        <f>$FF300+$FD301</f>
        <v/>
      </c>
      <c r="FG301" s="55">
        <f>SUMIFS(tblGold[Gold_oz],tblGold[Date],$A301,tblGold[Type],"Sale")</f>
        <v/>
      </c>
      <c r="FH301" s="55">
        <f>IF($B301=$B300,$FH300,0)+$FG301</f>
        <v/>
      </c>
      <c r="FI301" s="55">
        <f>$FI300+$FG301</f>
        <v/>
      </c>
      <c r="FJ301" s="55">
        <f>SUMIFS(tblGold[Dore_kg],tblGold[Date],$A301,tblGold[Type],"Shipment")</f>
        <v/>
      </c>
      <c r="FK301" s="55">
        <f>IF($B301=$B300,$FK300,0)+$FJ301</f>
        <v/>
      </c>
      <c r="FL301" s="55">
        <f>$FL300+$FJ301</f>
        <v/>
      </c>
      <c r="FM301" s="57">
        <f>SUMIFS(tblSafety[Hours_Total],tblSafety[Date],$A301)</f>
        <v/>
      </c>
      <c r="FN301" s="57">
        <f>IF($B301=$B300,$FN300,0)+$FM301</f>
        <v/>
      </c>
      <c r="FO301" s="57">
        <f>$FO300+$FM301</f>
        <v/>
      </c>
      <c r="FP301" s="62">
        <f>SUMIFS(tblSafety[Fatality],tblSafety[Date],$A301)</f>
        <v/>
      </c>
      <c r="FQ301" s="62">
        <f>IF($B301=$B300,$FQ300,0)+$FP301</f>
        <v/>
      </c>
      <c r="FR301" s="62">
        <f>$FR300+$FP301</f>
        <v/>
      </c>
      <c r="FS301" s="62">
        <f>SUMIFS(tblSafety[LTI],tblSafety[Date],$A301)</f>
        <v/>
      </c>
      <c r="FT301" s="62">
        <f>IF($B301=$B300,$FT300,0)+$FS301</f>
        <v/>
      </c>
      <c r="FU301" s="62">
        <f>$FU300+$FS301</f>
        <v/>
      </c>
      <c r="FV301" s="62">
        <f>SUMIFS(tblSafety[RWI],tblSafety[Date],$A301)</f>
        <v/>
      </c>
      <c r="FW301" s="62">
        <f>IF($B301=$B300,$FW300,0)+$FV301</f>
        <v/>
      </c>
      <c r="FX301" s="62">
        <f>$FX300+$FV301</f>
        <v/>
      </c>
      <c r="FY301" s="62">
        <f>SUMIFS(tblSafety[MTI],tblSafety[Date],$A301)</f>
        <v/>
      </c>
      <c r="FZ301" s="62">
        <f>IF($B301=$B300,$FZ300,0)+$FY301</f>
        <v/>
      </c>
      <c r="GA301" s="62">
        <f>$GA300+$FY301</f>
        <v/>
      </c>
      <c r="GB301" s="62">
        <f>SUMIFS(tblSafety[FAI],tblSafety[Date],$A301)</f>
        <v/>
      </c>
      <c r="GC301" s="62">
        <f>IF($B301=$B300,$GC300,0)+$GB301</f>
        <v/>
      </c>
      <c r="GD301" s="62">
        <f>$GD300+$GB301</f>
        <v/>
      </c>
      <c r="GE301" s="62">
        <f>SUMIFS(tblSafety[Recordables],tblSafety[Date],$A301)</f>
        <v/>
      </c>
      <c r="GF301" s="62">
        <f>IF($B301=$B300,$GF300,0)+$GE301</f>
        <v/>
      </c>
      <c r="GG301" s="62">
        <f>$GG300+$GE301</f>
        <v/>
      </c>
      <c r="GH301" s="62">
        <f>SUMIFS(tblSafety[Near_Miss],tblSafety[Date],$A301)</f>
        <v/>
      </c>
      <c r="GI301" s="62">
        <f>IF($B301=$B300,$GI300,0)+$GH301</f>
        <v/>
      </c>
      <c r="GJ301" s="62">
        <f>$GJ300+$GH301</f>
        <v/>
      </c>
      <c r="GK301" s="62">
        <f>SUMIFS(tblSafety[Hazard_Reports],tblSafety[Date],$A301)</f>
        <v/>
      </c>
      <c r="GL301" s="62">
        <f>IF($B301=$B300,$GL300,0)+$GK301</f>
        <v/>
      </c>
      <c r="GM301" s="62">
        <f>$GM300+$GK301</f>
        <v/>
      </c>
      <c r="GN301" s="62">
        <f>SUMIFS(tblSafety[HPI],tblSafety[Date],$A301)</f>
        <v/>
      </c>
      <c r="GO301" s="62">
        <f>IF($B301=$B300,$GO300,0)+$GN301</f>
        <v/>
      </c>
      <c r="GP301" s="62">
        <f>$GP300+$GN301</f>
        <v/>
      </c>
      <c r="GQ301" s="62">
        <f>SUMIFS(tblSafety[Env_Incidents],tblSafety[Date],$A301)</f>
        <v/>
      </c>
      <c r="GR301" s="62">
        <f>IF($B301=$B300,$GR300,0)+$GQ301</f>
        <v/>
      </c>
      <c r="GS301" s="62">
        <f>$GS300+$GQ301</f>
        <v/>
      </c>
      <c r="GT301" s="62">
        <f>SUMIFS(tblSafety[Community_Incidents],tblSafety[Date],$A301)</f>
        <v/>
      </c>
      <c r="GU301" s="62">
        <f>IF($B301=$B300,$GU300,0)+$GT301</f>
        <v/>
      </c>
      <c r="GV301" s="62">
        <f>$GV300+$GT301</f>
        <v/>
      </c>
      <c r="GW301" s="62">
        <f>SUMIFS(tblSafety[Vehicle_Incidents],tblSafety[Date],$A301)</f>
        <v/>
      </c>
      <c r="GX301" s="62">
        <f>IF($B301=$B300,$GX300,0)+$GW301</f>
        <v/>
      </c>
      <c r="GY301" s="62">
        <f>$GY300+$GW301</f>
        <v/>
      </c>
      <c r="GZ301" s="62">
        <f>SUMIFS(tblSafety[Toolbox_Talks],tblSafety[Date],$A301)</f>
        <v/>
      </c>
      <c r="HA301" s="62">
        <f>IF($B301=$B300,$HA300,0)+$GZ301</f>
        <v/>
      </c>
      <c r="HB301" s="62">
        <f>$HB300+$GZ301</f>
        <v/>
      </c>
      <c r="HC301" s="62">
        <f>SUMIFS(tblSafety[Inspections],tblSafety[Date],$A301)</f>
        <v/>
      </c>
      <c r="HD301" s="62">
        <f>IF($B301=$B300,$HD300,0)+$HC301</f>
        <v/>
      </c>
      <c r="HE301" s="62">
        <f>$HE300+$HC301</f>
        <v/>
      </c>
      <c r="HF301" s="56">
        <f>IFERROR((SUMIFS(tblSafety[Recordables],tblSafety[Date],"&gt;="&amp;EDATE($E301,-12),tblSafety[Date],"&lt;="&amp;$A301)+SUMIFS(tblSafetyHistory[Recordables],tblSafetyHistory[Month],"&gt;="&amp;EDATE($E301,-12),tblSafetyHistory[Month],"&lt;"&amp;cfg_YearStart))/(SUMIFS(tblSafety[Hours_Total],tblSafety[Date],"&gt;="&amp;EDATE($E301,-12),tblSafety[Date],"&lt;="&amp;$A301)+SUMIFS(tblSafetyHistory[Hours_Total],tblSafetyHistory[Month],"&gt;="&amp;EDATE($E301,-12),tblSafetyHistory[Month],"&lt;"&amp;cfg_YearStart))*1000000,"")</f>
        <v/>
      </c>
      <c r="HG301" s="56">
        <f>IFERROR((SUMIFS(tblSafety[LTI],tblSafety[Date],"&gt;="&amp;EDATE($E301,-12),tblSafety[Date],"&lt;="&amp;$A301)+SUMIFS(tblSafetyHistory[LTI],tblSafetyHistory[Month],"&gt;="&amp;EDATE($E301,-12),tblSafetyHistory[Month],"&lt;"&amp;cfg_YearStart))/(SUMIFS(tblSafety[Hours_Total],tblSafety[Date],"&gt;="&amp;EDATE($E301,-12),tblSafety[Date],"&lt;="&amp;$A301)+SUMIFS(tblSafetyHistory[Hours_Total],tblSafetyHistory[Month],"&gt;="&amp;EDATE($E301,-12),tblSafetyHistory[Month],"&lt;"&amp;cfg_YearStart))*1000000,"")</f>
        <v/>
      </c>
      <c r="HH301" s="62">
        <f>IF(MAX(N(cfg_PriorLTIDate),_xlfn.MAXIFS(tblSafety[Date],tblSafety[LTI],"&gt;0",tblSafety[Date],"&lt;="&amp;$A301))=0,"",$A301-MAX(N(cfg_PriorLTIDate),_xlfn.MAXIFS(tblSafety[Date],tblSafety[LTI],"&gt;0",tblSafety[Date],"&lt;="&amp;$A301)))</f>
        <v/>
      </c>
      <c r="HI301" s="55">
        <f>SUMIFS(tblBudget[Ore_Mined_t],tblBudget[Month],$E301)</f>
        <v/>
      </c>
      <c r="HJ301" s="55">
        <f>$HI301*$C301/$D301</f>
        <v/>
      </c>
      <c r="HK301" s="55">
        <f>SUMIFS(tblBudget[Ore_Mined_t],tblBudget[Month],"&lt;"&amp;$E301)+$HJ301</f>
        <v/>
      </c>
      <c r="HL301" s="55">
        <f>SUMIFS(tblBudget[Ore_oz],tblBudget[Month],$E301)</f>
        <v/>
      </c>
      <c r="HM301" s="55">
        <f>$HL301*$C301/$D301</f>
        <v/>
      </c>
      <c r="HN301" s="55">
        <f>SUMIFS(tblBudget[Ore_oz],tblBudget[Month],"&lt;"&amp;$E301)+$HM301</f>
        <v/>
      </c>
      <c r="HO301" s="56">
        <f>IFERROR(IF(($HI301)&gt;0,($HL301*cfg_TroyOz)/($HI301),""),"")</f>
        <v/>
      </c>
      <c r="HP301" s="56">
        <f>IFERROR(IF(($HJ301)&gt;0,($HM301*cfg_TroyOz)/($HJ301),""),"")</f>
        <v/>
      </c>
      <c r="HQ301" s="56">
        <f>IFERROR(IF(($HK301)&gt;0,($HN301*cfg_TroyOz)/($HK301),""),"")</f>
        <v/>
      </c>
      <c r="HR301" s="55">
        <f>SUMIFS(tblBudget[Waste_t],tblBudget[Month],$E301)</f>
        <v/>
      </c>
      <c r="HS301" s="55">
        <f>$HR301*$C301/$D301</f>
        <v/>
      </c>
      <c r="HT301" s="55">
        <f>SUMIFS(tblBudget[Waste_t],tblBudget[Month],"&lt;"&amp;$E301)+$HS301</f>
        <v/>
      </c>
      <c r="HU301" s="55">
        <f>SUMIFS(tblBudget[TMM_t],tblBudget[Month],$E301)</f>
        <v/>
      </c>
      <c r="HV301" s="55">
        <f>$HU301*$C301/$D301</f>
        <v/>
      </c>
      <c r="HW301" s="55">
        <f>SUMIFS(tblBudget[TMM_t],tblBudget[Month],"&lt;"&amp;$E301)+$HV301</f>
        <v/>
      </c>
      <c r="HX301" s="56">
        <f>IFERROR(IF(($HI301)&gt;0,($HR301)/($HI301),""),"")</f>
        <v/>
      </c>
      <c r="HY301" s="56">
        <f>IFERROR(IF(($HJ301)&gt;0,($HS301)/($HJ301),""),"")</f>
        <v/>
      </c>
      <c r="HZ301" s="56">
        <f>IFERROR(IF(($HK301)&gt;0,($HT301)/($HK301),""),"")</f>
        <v/>
      </c>
      <c r="IA301" s="55">
        <f>SUMIFS(tblBudget[Drill_m],tblBudget[Month],$E301)</f>
        <v/>
      </c>
      <c r="IB301" s="55">
        <f>$IA301*$C301/$D301</f>
        <v/>
      </c>
      <c r="IC301" s="55">
        <f>SUMIFS(tblBudget[Drill_m],tblBudget[Month],"&lt;"&amp;$E301)+$IB301</f>
        <v/>
      </c>
      <c r="ID301" s="55">
        <f>SUMIFS(tblBudget[Diesel_L],tblBudget[Month],$E301)</f>
        <v/>
      </c>
      <c r="IE301" s="55">
        <f>$ID301*$C301/$D301</f>
        <v/>
      </c>
      <c r="IF301" s="55">
        <f>SUMIFS(tblBudget[Diesel_L],tblBudget[Month],"&lt;"&amp;$E301)+$IE301</f>
        <v/>
      </c>
      <c r="IG301" s="55">
        <f>SUMIFS(tblBudget[Milled_t],tblBudget[Month],$E301)</f>
        <v/>
      </c>
      <c r="IH301" s="55">
        <f>$IG301*$C301/$D301</f>
        <v/>
      </c>
      <c r="II301" s="55">
        <f>SUMIFS(tblBudget[Milled_t],tblBudget[Month],"&lt;"&amp;$E301)+$IH301</f>
        <v/>
      </c>
      <c r="IJ301" s="55">
        <f>SUMIFS(tblBudget[Feed_oz],tblBudget[Month],$E301)</f>
        <v/>
      </c>
      <c r="IK301" s="55">
        <f>$IJ301*$C301/$D301</f>
        <v/>
      </c>
      <c r="IL301" s="55">
        <f>SUMIFS(tblBudget[Feed_oz],tblBudget[Month],"&lt;"&amp;$E301)+$IK301</f>
        <v/>
      </c>
      <c r="IM301" s="55">
        <f>SUMIFS(tblBudget[Recovered_oz],tblBudget[Month],$E301)</f>
        <v/>
      </c>
      <c r="IN301" s="55">
        <f>$IM301*$C301/$D301</f>
        <v/>
      </c>
      <c r="IO301" s="55">
        <f>SUMIFS(tblBudget[Recovered_oz],tblBudget[Month],"&lt;"&amp;$E301)+$IN301</f>
        <v/>
      </c>
      <c r="IP301" s="56">
        <f>IFERROR(IF(($IG301)&gt;0,($IJ301*cfg_TroyOz)/($IG301),""),"")</f>
        <v/>
      </c>
      <c r="IQ301" s="56">
        <f>IFERROR(IF(($IH301)&gt;0,($IK301*cfg_TroyOz)/($IH301),""),"")</f>
        <v/>
      </c>
      <c r="IR301" s="56">
        <f>IFERROR(IF(($II301)&gt;0,($IL301*cfg_TroyOz)/($II301),""),"")</f>
        <v/>
      </c>
      <c r="IS301" s="67">
        <f>IFERROR(IF(($IJ301)&gt;0,($IM301)/($IJ301),""),"")</f>
        <v/>
      </c>
      <c r="IT301" s="67">
        <f>IFERROR(IF(($IK301)&gt;0,($IN301)/($IK301),""),"")</f>
        <v/>
      </c>
      <c r="IU301" s="67">
        <f>IFERROR(IF(($IL301)&gt;0,($IO301)/($IL301),""),"")</f>
        <v/>
      </c>
      <c r="IV301" s="55">
        <f>SUMIFS(tblBudget[Gold_Poured_oz],tblBudget[Month],$E301)</f>
        <v/>
      </c>
      <c r="IW301" s="55">
        <f>$IV301*$C301/$D301</f>
        <v/>
      </c>
      <c r="IX301" s="55">
        <f>SUMIFS(tblBudget[Gold_Poured_oz],tblBudget[Month],"&lt;"&amp;$E301)+$IW301</f>
        <v/>
      </c>
      <c r="IY301" s="57">
        <f>SUMIFS(tblBudget[Hours_Worked],tblBudget[Month],$E301)</f>
        <v/>
      </c>
      <c r="IZ301" s="57">
        <f>$IY301*$C301/$D301</f>
        <v/>
      </c>
      <c r="JA301" s="57">
        <f>SUMIFS(tblBudget[Hours_Worked],tblBudget[Month],"&lt;"&amp;$E301)+$IZ301</f>
        <v/>
      </c>
    </row>
    <row r="302">
      <c r="A302" s="54" t="n">
        <v>46323</v>
      </c>
      <c r="B302">
        <f>MONTH($A302)</f>
        <v/>
      </c>
      <c r="C302">
        <f>DAY($A302)</f>
        <v/>
      </c>
      <c r="D302">
        <f>DAY(EOMONTH($A302,0))</f>
        <v/>
      </c>
      <c r="E302" s="54">
        <f>DATE(YEAR($A302),MONTH($A302),1)</f>
        <v/>
      </c>
      <c r="F302" s="55">
        <f>SUMIFS(tblMovement[Tonnes_t],tblMovement[Date],$A302,tblMovement[Is_Ore],1,tblMovement[Source_Type],"Pit")</f>
        <v/>
      </c>
      <c r="G302" s="55">
        <f>IF($B302=$B301,$G301,0)+$F302</f>
        <v/>
      </c>
      <c r="H302" s="55">
        <f>$H301+$F302</f>
        <v/>
      </c>
      <c r="I302" s="55">
        <f>SUMIFS(tblMovement[Ore_oz],tblMovement[Date],$A302,tblMovement[Source_Type],"Pit")</f>
        <v/>
      </c>
      <c r="J302" s="55">
        <f>IF($B302=$B301,$J301,0)+$I302</f>
        <v/>
      </c>
      <c r="K302" s="55">
        <f>$K301+$I302</f>
        <v/>
      </c>
      <c r="L302" s="56">
        <f>IFERROR(IF(($F302)&gt;0,($I302*cfg_TroyOz)/($F302),""),"")</f>
        <v/>
      </c>
      <c r="M302" s="56">
        <f>IFERROR(IF(($G302)&gt;0,($J302*cfg_TroyOz)/($G302),""),"")</f>
        <v/>
      </c>
      <c r="N302" s="56">
        <f>IFERROR(IF(($H302)&gt;0,($K302*cfg_TroyOz)/($H302),""),"")</f>
        <v/>
      </c>
      <c r="O302" s="55">
        <f>SUMIFS(tblMovement[Tonnes_t],tblMovement[Date],$A302,tblMovement[Is_Ore],0,tblMovement[Source_Type],"Pit")</f>
        <v/>
      </c>
      <c r="P302" s="55">
        <f>IF($B302=$B301,$P301,0)+$O302</f>
        <v/>
      </c>
      <c r="Q302" s="55">
        <f>$Q301+$O302</f>
        <v/>
      </c>
      <c r="R302" s="55">
        <f>$F302+$O302</f>
        <v/>
      </c>
      <c r="S302" s="55">
        <f>IF($B302=$B301,$S301,0)+$R302</f>
        <v/>
      </c>
      <c r="T302" s="55">
        <f>$T301+$R302</f>
        <v/>
      </c>
      <c r="U302" s="56">
        <f>IFERROR(IF(($F302)&gt;0,($O302)/($F302),""),"")</f>
        <v/>
      </c>
      <c r="V302" s="56">
        <f>IFERROR(IF(($G302)&gt;0,($P302)/($G302),""),"")</f>
        <v/>
      </c>
      <c r="W302" s="56">
        <f>IFERROR(IF(($H302)&gt;0,($Q302)/($H302),""),"")</f>
        <v/>
      </c>
      <c r="X302" s="55">
        <f>SUMIFS(tblMovement[Tonnes_t],tblMovement[Date],$A302,tblMovement[Source_Type],"Stockpile")</f>
        <v/>
      </c>
      <c r="Y302" s="55">
        <f>IF($B302=$B301,$Y301,0)+$X302</f>
        <v/>
      </c>
      <c r="Z302" s="55">
        <f>$Z301+$X302</f>
        <v/>
      </c>
      <c r="AA302" s="55">
        <f>SUMIFS(tblMiningDaily[Drill_m],tblMiningDaily[Date],$A302)</f>
        <v/>
      </c>
      <c r="AB302" s="55">
        <f>IF($B302=$B301,$AB301,0)+$AA302</f>
        <v/>
      </c>
      <c r="AC302" s="55">
        <f>$AC301+$AA302</f>
        <v/>
      </c>
      <c r="AD302" s="55">
        <f>SUMIFS(tblMiningDaily[Blast_t],tblMiningDaily[Date],$A302)</f>
        <v/>
      </c>
      <c r="AE302" s="55">
        <f>IF($B302=$B301,$AE301,0)+$AD302</f>
        <v/>
      </c>
      <c r="AF302" s="55">
        <f>$AF301+$AD302</f>
        <v/>
      </c>
      <c r="AG302" s="55">
        <f>SUMIFS(tblMiningDaily[Explosives_kg],tblMiningDaily[Date],$A302)</f>
        <v/>
      </c>
      <c r="AH302" s="55">
        <f>IF($B302=$B301,$AH301,0)+$AG302</f>
        <v/>
      </c>
      <c r="AI302" s="55">
        <f>$AI301+$AG302</f>
        <v/>
      </c>
      <c r="AJ302" s="56">
        <f>IFERROR(IF(($AD302)&gt;0,($AG302)/($AD302),""),"")</f>
        <v/>
      </c>
      <c r="AK302" s="56">
        <f>IFERROR(IF(($AE302)&gt;0,($AH302)/($AE302),""),"")</f>
        <v/>
      </c>
      <c r="AL302" s="56">
        <f>IFERROR(IF(($AF302)&gt;0,($AI302)/($AF302),""),"")</f>
        <v/>
      </c>
      <c r="AM302" s="55">
        <f>SUMIFS(tblMiningDaily[Diesel_L],tblMiningDaily[Date],$A302)</f>
        <v/>
      </c>
      <c r="AN302" s="55">
        <f>IF($B302=$B301,$AN301,0)+$AM302</f>
        <v/>
      </c>
      <c r="AO302" s="55">
        <f>$AO301+$AM302</f>
        <v/>
      </c>
      <c r="AP302" s="55">
        <f>SUMIFS(tblMiningDaily[Dewatering_m3],tblMiningDaily[Date],$A302)</f>
        <v/>
      </c>
      <c r="AQ302" s="55">
        <f>IF($B302=$B301,$AQ301,0)+$AP302</f>
        <v/>
      </c>
      <c r="AR302" s="55">
        <f>$AR301+$AP302</f>
        <v/>
      </c>
      <c r="AS302" s="57">
        <f>SUMIFS(tblFleet[Calendar_h],tblFleet[Date],$A302,tblFleet[Equipment_Class],"Excavator")</f>
        <v/>
      </c>
      <c r="AT302" s="57">
        <f>IF($B302=$B301,$AT301,0)+$AS302</f>
        <v/>
      </c>
      <c r="AU302" s="57">
        <f>$AU301+$AS302</f>
        <v/>
      </c>
      <c r="AV302" s="57">
        <f>SUMIFS(tblFleet[Available_h],tblFleet[Date],$A302,tblFleet[Equipment_Class],"Excavator")</f>
        <v/>
      </c>
      <c r="AW302" s="57">
        <f>IF($B302=$B301,$AW301,0)+$AV302</f>
        <v/>
      </c>
      <c r="AX302" s="57">
        <f>$AX301+$AV302</f>
        <v/>
      </c>
      <c r="AY302" s="57">
        <f>SUMIFS(tblFleet[Operating_h],tblFleet[Date],$A302,tblFleet[Equipment_Class],"Excavator")</f>
        <v/>
      </c>
      <c r="AZ302" s="57">
        <f>IF($B302=$B301,$AZ301,0)+$AY302</f>
        <v/>
      </c>
      <c r="BA302" s="57">
        <f>$BA301+$AY302</f>
        <v/>
      </c>
      <c r="BB302" s="67">
        <f>IFERROR(IF(($AS302)&gt;0,($AV302)/($AS302),""),"")</f>
        <v/>
      </c>
      <c r="BC302" s="67">
        <f>IFERROR(IF(($AT302)&gt;0,($AW302)/($AT302),""),"")</f>
        <v/>
      </c>
      <c r="BD302" s="67">
        <f>IFERROR(IF(($AU302)&gt;0,($AX302)/($AU302),""),"")</f>
        <v/>
      </c>
      <c r="BE302" s="67">
        <f>IFERROR(IF(($AV302)&gt;0,($AY302)/($AV302),""),"")</f>
        <v/>
      </c>
      <c r="BF302" s="67">
        <f>IFERROR(IF(($AW302)&gt;0,($AZ302)/($AW302),""),"")</f>
        <v/>
      </c>
      <c r="BG302" s="67">
        <f>IFERROR(IF(($AX302)&gt;0,($BA302)/($AX302),""),"")</f>
        <v/>
      </c>
      <c r="BH302" s="57">
        <f>SUMIFS(tblFleet[Calendar_h],tblFleet[Date],$A302,tblFleet[Equipment_Class],"Haul Truck")</f>
        <v/>
      </c>
      <c r="BI302" s="57">
        <f>IF($B302=$B301,$BI301,0)+$BH302</f>
        <v/>
      </c>
      <c r="BJ302" s="57">
        <f>$BJ301+$BH302</f>
        <v/>
      </c>
      <c r="BK302" s="57">
        <f>SUMIFS(tblFleet[Available_h],tblFleet[Date],$A302,tblFleet[Equipment_Class],"Haul Truck")</f>
        <v/>
      </c>
      <c r="BL302" s="57">
        <f>IF($B302=$B301,$BL301,0)+$BK302</f>
        <v/>
      </c>
      <c r="BM302" s="57">
        <f>$BM301+$BK302</f>
        <v/>
      </c>
      <c r="BN302" s="57">
        <f>SUMIFS(tblFleet[Operating_h],tblFleet[Date],$A302,tblFleet[Equipment_Class],"Haul Truck")</f>
        <v/>
      </c>
      <c r="BO302" s="57">
        <f>IF($B302=$B301,$BO301,0)+$BN302</f>
        <v/>
      </c>
      <c r="BP302" s="57">
        <f>$BP301+$BN302</f>
        <v/>
      </c>
      <c r="BQ302" s="67">
        <f>IFERROR(IF(($BH302)&gt;0,($BK302)/($BH302),""),"")</f>
        <v/>
      </c>
      <c r="BR302" s="67">
        <f>IFERROR(IF(($BI302)&gt;0,($BL302)/($BI302),""),"")</f>
        <v/>
      </c>
      <c r="BS302" s="67">
        <f>IFERROR(IF(($BJ302)&gt;0,($BM302)/($BJ302),""),"")</f>
        <v/>
      </c>
      <c r="BT302" s="67">
        <f>IFERROR(IF(($BK302)&gt;0,($BN302)/($BK302),""),"")</f>
        <v/>
      </c>
      <c r="BU302" s="67">
        <f>IFERROR(IF(($BL302)&gt;0,($BO302)/($BL302),""),"")</f>
        <v/>
      </c>
      <c r="BV302" s="67">
        <f>IFERROR(IF(($BM302)&gt;0,($BP302)/($BM302),""),"")</f>
        <v/>
      </c>
      <c r="BW302" s="55">
        <f>SUMIFS(tblPlant[Crushed_t],tblPlant[Date],$A302)</f>
        <v/>
      </c>
      <c r="BX302" s="55">
        <f>IF($B302=$B301,$BX301,0)+$BW302</f>
        <v/>
      </c>
      <c r="BY302" s="55">
        <f>$BY301+$BW302</f>
        <v/>
      </c>
      <c r="BZ302" s="55">
        <f>SUMIFS(tblPlant[Milled_t],tblPlant[Date],$A302)</f>
        <v/>
      </c>
      <c r="CA302" s="55">
        <f>IF($B302=$B301,$CA301,0)+$BZ302</f>
        <v/>
      </c>
      <c r="CB302" s="55">
        <f>$CB301+$BZ302</f>
        <v/>
      </c>
      <c r="CC302" s="55">
        <f>SUMIFS(tblPlant[Feed_oz],tblPlant[Date],$A302)</f>
        <v/>
      </c>
      <c r="CD302" s="55">
        <f>IF($B302=$B301,$CD301,0)+$CC302</f>
        <v/>
      </c>
      <c r="CE302" s="55">
        <f>$CE301+$CC302</f>
        <v/>
      </c>
      <c r="CF302" s="55">
        <f>SUMIFS(tblPlant[Tails_oz],tblPlant[Date],$A302)</f>
        <v/>
      </c>
      <c r="CG302" s="55">
        <f>IF($B302=$B301,$CG301,0)+$CF302</f>
        <v/>
      </c>
      <c r="CH302" s="55">
        <f>$CH301+$CF302</f>
        <v/>
      </c>
      <c r="CI302" s="55">
        <f>SUMIFS(tblPlant[Recovered_oz],tblPlant[Date],$A302)</f>
        <v/>
      </c>
      <c r="CJ302" s="55">
        <f>IF($B302=$B301,$CJ301,0)+$CI302</f>
        <v/>
      </c>
      <c r="CK302" s="55">
        <f>$CK301+$CI302</f>
        <v/>
      </c>
      <c r="CL302" s="56">
        <f>IFERROR(IF(($BZ302)&gt;0,($CC302*cfg_TroyOz)/($BZ302),""),"")</f>
        <v/>
      </c>
      <c r="CM302" s="56">
        <f>IFERROR(IF(($CA302)&gt;0,($CD302*cfg_TroyOz)/($CA302),""),"")</f>
        <v/>
      </c>
      <c r="CN302" s="56">
        <f>IFERROR(IF(($CB302)&gt;0,($CE302*cfg_TroyOz)/($CB302),""),"")</f>
        <v/>
      </c>
      <c r="CO302" s="56">
        <f>IFERROR(IF(($BZ302)&gt;0,($CF302*cfg_TroyOz)/($BZ302),""),"")</f>
        <v/>
      </c>
      <c r="CP302" s="56">
        <f>IFERROR(IF(($CA302)&gt;0,($CG302*cfg_TroyOz)/($CA302),""),"")</f>
        <v/>
      </c>
      <c r="CQ302" s="56">
        <f>IFERROR(IF(($CB302)&gt;0,($CH302*cfg_TroyOz)/($CB302),""),"")</f>
        <v/>
      </c>
      <c r="CR302" s="67">
        <f>IFERROR(IF(($CC302)&gt;0,($CI302)/($CC302),""),"")</f>
        <v/>
      </c>
      <c r="CS302" s="67">
        <f>IFERROR(IF(($CD302)&gt;0,($CJ302)/($CD302),""),"")</f>
        <v/>
      </c>
      <c r="CT302" s="67">
        <f>IFERROR(IF(($CE302)&gt;0,($CK302)/($CE302),""),"")</f>
        <v/>
      </c>
      <c r="CU302" s="55">
        <f>SUMIFS(tblPlant[Gravity_Gold_oz],tblPlant[Date],$A302)</f>
        <v/>
      </c>
      <c r="CV302" s="55">
        <f>IF($B302=$B301,$CV301,0)+$CU302</f>
        <v/>
      </c>
      <c r="CW302" s="55">
        <f>$CW301+$CU302</f>
        <v/>
      </c>
      <c r="CX302" s="55">
        <f>SUMIFS(tblPlant[Gold_Poured_oz],tblPlant[Date],$A302)</f>
        <v/>
      </c>
      <c r="CY302" s="55">
        <f>IF($B302=$B301,$CY301,0)+$CX302</f>
        <v/>
      </c>
      <c r="CZ302" s="55">
        <f>$CZ301+$CX302</f>
        <v/>
      </c>
      <c r="DA302" s="57">
        <f>SUMIFS(tblPlant[Mill_Run_h],tblPlant[Date],$A302)</f>
        <v/>
      </c>
      <c r="DB302" s="57">
        <f>IF($B302=$B301,$DB301,0)+$DA302</f>
        <v/>
      </c>
      <c r="DC302" s="57">
        <f>$DC301+$DA302</f>
        <v/>
      </c>
      <c r="DD302" s="57">
        <f>SUMIFS(tblPlant[Mill_Planned_Maint_h],tblPlant[Date],$A302)</f>
        <v/>
      </c>
      <c r="DE302" s="57">
        <f>IF($B302=$B301,$DE301,0)+$DD302</f>
        <v/>
      </c>
      <c r="DF302" s="57">
        <f>$DF301+$DD302</f>
        <v/>
      </c>
      <c r="DG302" s="57">
        <f>SUMIFS(tblPlant[Mill_Unplanned_Down_h],tblPlant[Date],$A302)</f>
        <v/>
      </c>
      <c r="DH302" s="57">
        <f>IF($B302=$B301,$DH301,0)+$DG302</f>
        <v/>
      </c>
      <c r="DI302" s="57">
        <f>$DI301+$DG302</f>
        <v/>
      </c>
      <c r="DJ302" s="57">
        <f>COUNTIFS(tblPlant[Date],$A302,tblPlant[Mill_Run_h],"&lt;&gt;")*24</f>
        <v/>
      </c>
      <c r="DK302" s="57">
        <f>IF($B302=$B301,$DK301,0)+$DJ302</f>
        <v/>
      </c>
      <c r="DL302" s="57">
        <f>$DL301+$DJ302</f>
        <v/>
      </c>
      <c r="DM302" s="57">
        <f>SUMIFS(tblPlant[Crusher_Run_h],tblPlant[Date],$A302)</f>
        <v/>
      </c>
      <c r="DN302" s="57">
        <f>IF($B302=$B301,$DN301,0)+$DM302</f>
        <v/>
      </c>
      <c r="DO302" s="57">
        <f>$DO301+$DM302</f>
        <v/>
      </c>
      <c r="DP302" s="55">
        <f>IFERROR(IF(($DA302)&gt;0,($BZ302)/($DA302),""),"")</f>
        <v/>
      </c>
      <c r="DQ302" s="55">
        <f>IFERROR(IF(($DB302)&gt;0,($CA302)/($DB302),""),"")</f>
        <v/>
      </c>
      <c r="DR302" s="55">
        <f>IFERROR(IF(($DC302)&gt;0,($CB302)/($DC302),""),"")</f>
        <v/>
      </c>
      <c r="DS302" s="67">
        <f>IFERROR(IF(($DJ302)&gt;0,($DJ302-$DD302-$DG302)/($DJ302),""),"")</f>
        <v/>
      </c>
      <c r="DT302" s="67">
        <f>IFERROR(IF(($DK302)&gt;0,($DK302-$DE302-$DH302)/($DK302),""),"")</f>
        <v/>
      </c>
      <c r="DU302" s="67">
        <f>IFERROR(IF(($DL302)&gt;0,($DL302-$DF302-$DI302)/($DL302),""),"")</f>
        <v/>
      </c>
      <c r="DV302" s="67">
        <f>IFERROR(IF(($DJ302-$DD302-$DG302)&gt;0,($DA302)/($DJ302-$DD302-$DG302),""),"")</f>
        <v/>
      </c>
      <c r="DW302" s="67">
        <f>IFERROR(IF(($DK302-$DE302-$DH302)&gt;0,($DB302)/($DK302-$DE302-$DH302),""),"")</f>
        <v/>
      </c>
      <c r="DX302" s="67">
        <f>IFERROR(IF(($DL302-$DF302-$DI302)&gt;0,($DC302)/($DL302-$DF302-$DI302),""),"")</f>
        <v/>
      </c>
      <c r="DY302" s="55">
        <f>SUMIFS(tblPlant[Cyanide_kg],tblPlant[Date],$A302)</f>
        <v/>
      </c>
      <c r="DZ302" s="55">
        <f>IF($B302=$B301,$DZ301,0)+$DY302</f>
        <v/>
      </c>
      <c r="EA302" s="55">
        <f>$EA301+$DY302</f>
        <v/>
      </c>
      <c r="EB302" s="55">
        <f>SUMIFS(tblPlant[Lime_kg],tblPlant[Date],$A302)</f>
        <v/>
      </c>
      <c r="EC302" s="55">
        <f>IF($B302=$B301,$EC301,0)+$EB302</f>
        <v/>
      </c>
      <c r="ED302" s="55">
        <f>$ED301+$EB302</f>
        <v/>
      </c>
      <c r="EE302" s="55">
        <f>SUMIFS(tblPlant[Grinding_Media_kg],tblPlant[Date],$A302)</f>
        <v/>
      </c>
      <c r="EF302" s="55">
        <f>IF($B302=$B301,$EF301,0)+$EE302</f>
        <v/>
      </c>
      <c r="EG302" s="55">
        <f>$EG301+$EE302</f>
        <v/>
      </c>
      <c r="EH302" s="55">
        <f>SUMIFS(tblPlant[Power_kWh],tblPlant[Date],$A302)</f>
        <v/>
      </c>
      <c r="EI302" s="55">
        <f>IF($B302=$B301,$EI301,0)+$EH302</f>
        <v/>
      </c>
      <c r="EJ302" s="55">
        <f>$EJ301+$EH302</f>
        <v/>
      </c>
      <c r="EK302" s="55">
        <f>SUMIFS(tblPlant[Raw_Water_m3],tblPlant[Date],$A302)</f>
        <v/>
      </c>
      <c r="EL302" s="55">
        <f>IF($B302=$B301,$EL301,0)+$EK302</f>
        <v/>
      </c>
      <c r="EM302" s="55">
        <f>$EM301+$EK302</f>
        <v/>
      </c>
      <c r="EN302" s="56">
        <f>IFERROR(IF(($BZ302)&gt;0,($DY302)/($BZ302),""),"")</f>
        <v/>
      </c>
      <c r="EO302" s="56">
        <f>IFERROR(IF(($CA302)&gt;0,($DZ302)/($CA302),""),"")</f>
        <v/>
      </c>
      <c r="EP302" s="56">
        <f>IFERROR(IF(($CB302)&gt;0,($EA302)/($CB302),""),"")</f>
        <v/>
      </c>
      <c r="EQ302" s="56">
        <f>IFERROR(IF(($BZ302)&gt;0,($EB302)/($BZ302),""),"")</f>
        <v/>
      </c>
      <c r="ER302" s="56">
        <f>IFERROR(IF(($CA302)&gt;0,($EC302)/($CA302),""),"")</f>
        <v/>
      </c>
      <c r="ES302" s="56">
        <f>IFERROR(IF(($CB302)&gt;0,($ED302)/($CB302),""),"")</f>
        <v/>
      </c>
      <c r="ET302" s="56">
        <f>IFERROR(IF(($BZ302)&gt;0,($EE302)/($BZ302),""),"")</f>
        <v/>
      </c>
      <c r="EU302" s="56">
        <f>IFERROR(IF(($CA302)&gt;0,($EF302)/($CA302),""),"")</f>
        <v/>
      </c>
      <c r="EV302" s="56">
        <f>IFERROR(IF(($CB302)&gt;0,($EG302)/($CB302),""),"")</f>
        <v/>
      </c>
      <c r="EW302" s="76">
        <f>IFERROR(IF(($BZ302)&gt;0,($EH302)/($BZ302),""),"")</f>
        <v/>
      </c>
      <c r="EX302" s="76">
        <f>IFERROR(IF(($CA302)&gt;0,($EI302)/($CA302),""),"")</f>
        <v/>
      </c>
      <c r="EY302" s="76">
        <f>IFERROR(IF(($CB302)&gt;0,($EJ302)/($CB302),""),"")</f>
        <v/>
      </c>
      <c r="EZ302" s="56">
        <f>IFERROR(IF(($BZ302)&gt;0,($EK302)/($BZ302),""),"")</f>
        <v/>
      </c>
      <c r="FA302" s="56">
        <f>IFERROR(IF(($CA302)&gt;0,($EL302)/($CA302),""),"")</f>
        <v/>
      </c>
      <c r="FB302" s="56">
        <f>IFERROR(IF(($CB302)&gt;0,($EM302)/($CB302),""),"")</f>
        <v/>
      </c>
      <c r="FC302" s="55">
        <f>IF(SUMIFS(tblPlant[GIC_oz],tblPlant[Date],$A302)&gt;0,SUMIFS(tblPlant[GIC_oz],tblPlant[Date],$A302),"")</f>
        <v/>
      </c>
      <c r="FD302" s="55">
        <f>SUMIFS(tblGold[Gold_oz],tblGold[Date],$A302,tblGold[Type],"Shipment")</f>
        <v/>
      </c>
      <c r="FE302" s="55">
        <f>IF($B302=$B301,$FE301,0)+$FD302</f>
        <v/>
      </c>
      <c r="FF302" s="55">
        <f>$FF301+$FD302</f>
        <v/>
      </c>
      <c r="FG302" s="55">
        <f>SUMIFS(tblGold[Gold_oz],tblGold[Date],$A302,tblGold[Type],"Sale")</f>
        <v/>
      </c>
      <c r="FH302" s="55">
        <f>IF($B302=$B301,$FH301,0)+$FG302</f>
        <v/>
      </c>
      <c r="FI302" s="55">
        <f>$FI301+$FG302</f>
        <v/>
      </c>
      <c r="FJ302" s="55">
        <f>SUMIFS(tblGold[Dore_kg],tblGold[Date],$A302,tblGold[Type],"Shipment")</f>
        <v/>
      </c>
      <c r="FK302" s="55">
        <f>IF($B302=$B301,$FK301,0)+$FJ302</f>
        <v/>
      </c>
      <c r="FL302" s="55">
        <f>$FL301+$FJ302</f>
        <v/>
      </c>
      <c r="FM302" s="57">
        <f>SUMIFS(tblSafety[Hours_Total],tblSafety[Date],$A302)</f>
        <v/>
      </c>
      <c r="FN302" s="57">
        <f>IF($B302=$B301,$FN301,0)+$FM302</f>
        <v/>
      </c>
      <c r="FO302" s="57">
        <f>$FO301+$FM302</f>
        <v/>
      </c>
      <c r="FP302" s="62">
        <f>SUMIFS(tblSafety[Fatality],tblSafety[Date],$A302)</f>
        <v/>
      </c>
      <c r="FQ302" s="62">
        <f>IF($B302=$B301,$FQ301,0)+$FP302</f>
        <v/>
      </c>
      <c r="FR302" s="62">
        <f>$FR301+$FP302</f>
        <v/>
      </c>
      <c r="FS302" s="62">
        <f>SUMIFS(tblSafety[LTI],tblSafety[Date],$A302)</f>
        <v/>
      </c>
      <c r="FT302" s="62">
        <f>IF($B302=$B301,$FT301,0)+$FS302</f>
        <v/>
      </c>
      <c r="FU302" s="62">
        <f>$FU301+$FS302</f>
        <v/>
      </c>
      <c r="FV302" s="62">
        <f>SUMIFS(tblSafety[RWI],tblSafety[Date],$A302)</f>
        <v/>
      </c>
      <c r="FW302" s="62">
        <f>IF($B302=$B301,$FW301,0)+$FV302</f>
        <v/>
      </c>
      <c r="FX302" s="62">
        <f>$FX301+$FV302</f>
        <v/>
      </c>
      <c r="FY302" s="62">
        <f>SUMIFS(tblSafety[MTI],tblSafety[Date],$A302)</f>
        <v/>
      </c>
      <c r="FZ302" s="62">
        <f>IF($B302=$B301,$FZ301,0)+$FY302</f>
        <v/>
      </c>
      <c r="GA302" s="62">
        <f>$GA301+$FY302</f>
        <v/>
      </c>
      <c r="GB302" s="62">
        <f>SUMIFS(tblSafety[FAI],tblSafety[Date],$A302)</f>
        <v/>
      </c>
      <c r="GC302" s="62">
        <f>IF($B302=$B301,$GC301,0)+$GB302</f>
        <v/>
      </c>
      <c r="GD302" s="62">
        <f>$GD301+$GB302</f>
        <v/>
      </c>
      <c r="GE302" s="62">
        <f>SUMIFS(tblSafety[Recordables],tblSafety[Date],$A302)</f>
        <v/>
      </c>
      <c r="GF302" s="62">
        <f>IF($B302=$B301,$GF301,0)+$GE302</f>
        <v/>
      </c>
      <c r="GG302" s="62">
        <f>$GG301+$GE302</f>
        <v/>
      </c>
      <c r="GH302" s="62">
        <f>SUMIFS(tblSafety[Near_Miss],tblSafety[Date],$A302)</f>
        <v/>
      </c>
      <c r="GI302" s="62">
        <f>IF($B302=$B301,$GI301,0)+$GH302</f>
        <v/>
      </c>
      <c r="GJ302" s="62">
        <f>$GJ301+$GH302</f>
        <v/>
      </c>
      <c r="GK302" s="62">
        <f>SUMIFS(tblSafety[Hazard_Reports],tblSafety[Date],$A302)</f>
        <v/>
      </c>
      <c r="GL302" s="62">
        <f>IF($B302=$B301,$GL301,0)+$GK302</f>
        <v/>
      </c>
      <c r="GM302" s="62">
        <f>$GM301+$GK302</f>
        <v/>
      </c>
      <c r="GN302" s="62">
        <f>SUMIFS(tblSafety[HPI],tblSafety[Date],$A302)</f>
        <v/>
      </c>
      <c r="GO302" s="62">
        <f>IF($B302=$B301,$GO301,0)+$GN302</f>
        <v/>
      </c>
      <c r="GP302" s="62">
        <f>$GP301+$GN302</f>
        <v/>
      </c>
      <c r="GQ302" s="62">
        <f>SUMIFS(tblSafety[Env_Incidents],tblSafety[Date],$A302)</f>
        <v/>
      </c>
      <c r="GR302" s="62">
        <f>IF($B302=$B301,$GR301,0)+$GQ302</f>
        <v/>
      </c>
      <c r="GS302" s="62">
        <f>$GS301+$GQ302</f>
        <v/>
      </c>
      <c r="GT302" s="62">
        <f>SUMIFS(tblSafety[Community_Incidents],tblSafety[Date],$A302)</f>
        <v/>
      </c>
      <c r="GU302" s="62">
        <f>IF($B302=$B301,$GU301,0)+$GT302</f>
        <v/>
      </c>
      <c r="GV302" s="62">
        <f>$GV301+$GT302</f>
        <v/>
      </c>
      <c r="GW302" s="62">
        <f>SUMIFS(tblSafety[Vehicle_Incidents],tblSafety[Date],$A302)</f>
        <v/>
      </c>
      <c r="GX302" s="62">
        <f>IF($B302=$B301,$GX301,0)+$GW302</f>
        <v/>
      </c>
      <c r="GY302" s="62">
        <f>$GY301+$GW302</f>
        <v/>
      </c>
      <c r="GZ302" s="62">
        <f>SUMIFS(tblSafety[Toolbox_Talks],tblSafety[Date],$A302)</f>
        <v/>
      </c>
      <c r="HA302" s="62">
        <f>IF($B302=$B301,$HA301,0)+$GZ302</f>
        <v/>
      </c>
      <c r="HB302" s="62">
        <f>$HB301+$GZ302</f>
        <v/>
      </c>
      <c r="HC302" s="62">
        <f>SUMIFS(tblSafety[Inspections],tblSafety[Date],$A302)</f>
        <v/>
      </c>
      <c r="HD302" s="62">
        <f>IF($B302=$B301,$HD301,0)+$HC302</f>
        <v/>
      </c>
      <c r="HE302" s="62">
        <f>$HE301+$HC302</f>
        <v/>
      </c>
      <c r="HF302" s="56">
        <f>IFERROR((SUMIFS(tblSafety[Recordables],tblSafety[Date],"&gt;="&amp;EDATE($E302,-12),tblSafety[Date],"&lt;="&amp;$A302)+SUMIFS(tblSafetyHistory[Recordables],tblSafetyHistory[Month],"&gt;="&amp;EDATE($E302,-12),tblSafetyHistory[Month],"&lt;"&amp;cfg_YearStart))/(SUMIFS(tblSafety[Hours_Total],tblSafety[Date],"&gt;="&amp;EDATE($E302,-12),tblSafety[Date],"&lt;="&amp;$A302)+SUMIFS(tblSafetyHistory[Hours_Total],tblSafetyHistory[Month],"&gt;="&amp;EDATE($E302,-12),tblSafetyHistory[Month],"&lt;"&amp;cfg_YearStart))*1000000,"")</f>
        <v/>
      </c>
      <c r="HG302" s="56">
        <f>IFERROR((SUMIFS(tblSafety[LTI],tblSafety[Date],"&gt;="&amp;EDATE($E302,-12),tblSafety[Date],"&lt;="&amp;$A302)+SUMIFS(tblSafetyHistory[LTI],tblSafetyHistory[Month],"&gt;="&amp;EDATE($E302,-12),tblSafetyHistory[Month],"&lt;"&amp;cfg_YearStart))/(SUMIFS(tblSafety[Hours_Total],tblSafety[Date],"&gt;="&amp;EDATE($E302,-12),tblSafety[Date],"&lt;="&amp;$A302)+SUMIFS(tblSafetyHistory[Hours_Total],tblSafetyHistory[Month],"&gt;="&amp;EDATE($E302,-12),tblSafetyHistory[Month],"&lt;"&amp;cfg_YearStart))*1000000,"")</f>
        <v/>
      </c>
      <c r="HH302" s="62">
        <f>IF(MAX(N(cfg_PriorLTIDate),_xlfn.MAXIFS(tblSafety[Date],tblSafety[LTI],"&gt;0",tblSafety[Date],"&lt;="&amp;$A302))=0,"",$A302-MAX(N(cfg_PriorLTIDate),_xlfn.MAXIFS(tblSafety[Date],tblSafety[LTI],"&gt;0",tblSafety[Date],"&lt;="&amp;$A302)))</f>
        <v/>
      </c>
      <c r="HI302" s="55">
        <f>SUMIFS(tblBudget[Ore_Mined_t],tblBudget[Month],$E302)</f>
        <v/>
      </c>
      <c r="HJ302" s="55">
        <f>$HI302*$C302/$D302</f>
        <v/>
      </c>
      <c r="HK302" s="55">
        <f>SUMIFS(tblBudget[Ore_Mined_t],tblBudget[Month],"&lt;"&amp;$E302)+$HJ302</f>
        <v/>
      </c>
      <c r="HL302" s="55">
        <f>SUMIFS(tblBudget[Ore_oz],tblBudget[Month],$E302)</f>
        <v/>
      </c>
      <c r="HM302" s="55">
        <f>$HL302*$C302/$D302</f>
        <v/>
      </c>
      <c r="HN302" s="55">
        <f>SUMIFS(tblBudget[Ore_oz],tblBudget[Month],"&lt;"&amp;$E302)+$HM302</f>
        <v/>
      </c>
      <c r="HO302" s="56">
        <f>IFERROR(IF(($HI302)&gt;0,($HL302*cfg_TroyOz)/($HI302),""),"")</f>
        <v/>
      </c>
      <c r="HP302" s="56">
        <f>IFERROR(IF(($HJ302)&gt;0,($HM302*cfg_TroyOz)/($HJ302),""),"")</f>
        <v/>
      </c>
      <c r="HQ302" s="56">
        <f>IFERROR(IF(($HK302)&gt;0,($HN302*cfg_TroyOz)/($HK302),""),"")</f>
        <v/>
      </c>
      <c r="HR302" s="55">
        <f>SUMIFS(tblBudget[Waste_t],tblBudget[Month],$E302)</f>
        <v/>
      </c>
      <c r="HS302" s="55">
        <f>$HR302*$C302/$D302</f>
        <v/>
      </c>
      <c r="HT302" s="55">
        <f>SUMIFS(tblBudget[Waste_t],tblBudget[Month],"&lt;"&amp;$E302)+$HS302</f>
        <v/>
      </c>
      <c r="HU302" s="55">
        <f>SUMIFS(tblBudget[TMM_t],tblBudget[Month],$E302)</f>
        <v/>
      </c>
      <c r="HV302" s="55">
        <f>$HU302*$C302/$D302</f>
        <v/>
      </c>
      <c r="HW302" s="55">
        <f>SUMIFS(tblBudget[TMM_t],tblBudget[Month],"&lt;"&amp;$E302)+$HV302</f>
        <v/>
      </c>
      <c r="HX302" s="56">
        <f>IFERROR(IF(($HI302)&gt;0,($HR302)/($HI302),""),"")</f>
        <v/>
      </c>
      <c r="HY302" s="56">
        <f>IFERROR(IF(($HJ302)&gt;0,($HS302)/($HJ302),""),"")</f>
        <v/>
      </c>
      <c r="HZ302" s="56">
        <f>IFERROR(IF(($HK302)&gt;0,($HT302)/($HK302),""),"")</f>
        <v/>
      </c>
      <c r="IA302" s="55">
        <f>SUMIFS(tblBudget[Drill_m],tblBudget[Month],$E302)</f>
        <v/>
      </c>
      <c r="IB302" s="55">
        <f>$IA302*$C302/$D302</f>
        <v/>
      </c>
      <c r="IC302" s="55">
        <f>SUMIFS(tblBudget[Drill_m],tblBudget[Month],"&lt;"&amp;$E302)+$IB302</f>
        <v/>
      </c>
      <c r="ID302" s="55">
        <f>SUMIFS(tblBudget[Diesel_L],tblBudget[Month],$E302)</f>
        <v/>
      </c>
      <c r="IE302" s="55">
        <f>$ID302*$C302/$D302</f>
        <v/>
      </c>
      <c r="IF302" s="55">
        <f>SUMIFS(tblBudget[Diesel_L],tblBudget[Month],"&lt;"&amp;$E302)+$IE302</f>
        <v/>
      </c>
      <c r="IG302" s="55">
        <f>SUMIFS(tblBudget[Milled_t],tblBudget[Month],$E302)</f>
        <v/>
      </c>
      <c r="IH302" s="55">
        <f>$IG302*$C302/$D302</f>
        <v/>
      </c>
      <c r="II302" s="55">
        <f>SUMIFS(tblBudget[Milled_t],tblBudget[Month],"&lt;"&amp;$E302)+$IH302</f>
        <v/>
      </c>
      <c r="IJ302" s="55">
        <f>SUMIFS(tblBudget[Feed_oz],tblBudget[Month],$E302)</f>
        <v/>
      </c>
      <c r="IK302" s="55">
        <f>$IJ302*$C302/$D302</f>
        <v/>
      </c>
      <c r="IL302" s="55">
        <f>SUMIFS(tblBudget[Feed_oz],tblBudget[Month],"&lt;"&amp;$E302)+$IK302</f>
        <v/>
      </c>
      <c r="IM302" s="55">
        <f>SUMIFS(tblBudget[Recovered_oz],tblBudget[Month],$E302)</f>
        <v/>
      </c>
      <c r="IN302" s="55">
        <f>$IM302*$C302/$D302</f>
        <v/>
      </c>
      <c r="IO302" s="55">
        <f>SUMIFS(tblBudget[Recovered_oz],tblBudget[Month],"&lt;"&amp;$E302)+$IN302</f>
        <v/>
      </c>
      <c r="IP302" s="56">
        <f>IFERROR(IF(($IG302)&gt;0,($IJ302*cfg_TroyOz)/($IG302),""),"")</f>
        <v/>
      </c>
      <c r="IQ302" s="56">
        <f>IFERROR(IF(($IH302)&gt;0,($IK302*cfg_TroyOz)/($IH302),""),"")</f>
        <v/>
      </c>
      <c r="IR302" s="56">
        <f>IFERROR(IF(($II302)&gt;0,($IL302*cfg_TroyOz)/($II302),""),"")</f>
        <v/>
      </c>
      <c r="IS302" s="67">
        <f>IFERROR(IF(($IJ302)&gt;0,($IM302)/($IJ302),""),"")</f>
        <v/>
      </c>
      <c r="IT302" s="67">
        <f>IFERROR(IF(($IK302)&gt;0,($IN302)/($IK302),""),"")</f>
        <v/>
      </c>
      <c r="IU302" s="67">
        <f>IFERROR(IF(($IL302)&gt;0,($IO302)/($IL302),""),"")</f>
        <v/>
      </c>
      <c r="IV302" s="55">
        <f>SUMIFS(tblBudget[Gold_Poured_oz],tblBudget[Month],$E302)</f>
        <v/>
      </c>
      <c r="IW302" s="55">
        <f>$IV302*$C302/$D302</f>
        <v/>
      </c>
      <c r="IX302" s="55">
        <f>SUMIFS(tblBudget[Gold_Poured_oz],tblBudget[Month],"&lt;"&amp;$E302)+$IW302</f>
        <v/>
      </c>
      <c r="IY302" s="57">
        <f>SUMIFS(tblBudget[Hours_Worked],tblBudget[Month],$E302)</f>
        <v/>
      </c>
      <c r="IZ302" s="57">
        <f>$IY302*$C302/$D302</f>
        <v/>
      </c>
      <c r="JA302" s="57">
        <f>SUMIFS(tblBudget[Hours_Worked],tblBudget[Month],"&lt;"&amp;$E302)+$IZ302</f>
        <v/>
      </c>
    </row>
    <row r="303">
      <c r="A303" s="54" t="n">
        <v>46324</v>
      </c>
      <c r="B303">
        <f>MONTH($A303)</f>
        <v/>
      </c>
      <c r="C303">
        <f>DAY($A303)</f>
        <v/>
      </c>
      <c r="D303">
        <f>DAY(EOMONTH($A303,0))</f>
        <v/>
      </c>
      <c r="E303" s="54">
        <f>DATE(YEAR($A303),MONTH($A303),1)</f>
        <v/>
      </c>
      <c r="F303" s="55">
        <f>SUMIFS(tblMovement[Tonnes_t],tblMovement[Date],$A303,tblMovement[Is_Ore],1,tblMovement[Source_Type],"Pit")</f>
        <v/>
      </c>
      <c r="G303" s="55">
        <f>IF($B303=$B302,$G302,0)+$F303</f>
        <v/>
      </c>
      <c r="H303" s="55">
        <f>$H302+$F303</f>
        <v/>
      </c>
      <c r="I303" s="55">
        <f>SUMIFS(tblMovement[Ore_oz],tblMovement[Date],$A303,tblMovement[Source_Type],"Pit")</f>
        <v/>
      </c>
      <c r="J303" s="55">
        <f>IF($B303=$B302,$J302,0)+$I303</f>
        <v/>
      </c>
      <c r="K303" s="55">
        <f>$K302+$I303</f>
        <v/>
      </c>
      <c r="L303" s="56">
        <f>IFERROR(IF(($F303)&gt;0,($I303*cfg_TroyOz)/($F303),""),"")</f>
        <v/>
      </c>
      <c r="M303" s="56">
        <f>IFERROR(IF(($G303)&gt;0,($J303*cfg_TroyOz)/($G303),""),"")</f>
        <v/>
      </c>
      <c r="N303" s="56">
        <f>IFERROR(IF(($H303)&gt;0,($K303*cfg_TroyOz)/($H303),""),"")</f>
        <v/>
      </c>
      <c r="O303" s="55">
        <f>SUMIFS(tblMovement[Tonnes_t],tblMovement[Date],$A303,tblMovement[Is_Ore],0,tblMovement[Source_Type],"Pit")</f>
        <v/>
      </c>
      <c r="P303" s="55">
        <f>IF($B303=$B302,$P302,0)+$O303</f>
        <v/>
      </c>
      <c r="Q303" s="55">
        <f>$Q302+$O303</f>
        <v/>
      </c>
      <c r="R303" s="55">
        <f>$F303+$O303</f>
        <v/>
      </c>
      <c r="S303" s="55">
        <f>IF($B303=$B302,$S302,0)+$R303</f>
        <v/>
      </c>
      <c r="T303" s="55">
        <f>$T302+$R303</f>
        <v/>
      </c>
      <c r="U303" s="56">
        <f>IFERROR(IF(($F303)&gt;0,($O303)/($F303),""),"")</f>
        <v/>
      </c>
      <c r="V303" s="56">
        <f>IFERROR(IF(($G303)&gt;0,($P303)/($G303),""),"")</f>
        <v/>
      </c>
      <c r="W303" s="56">
        <f>IFERROR(IF(($H303)&gt;0,($Q303)/($H303),""),"")</f>
        <v/>
      </c>
      <c r="X303" s="55">
        <f>SUMIFS(tblMovement[Tonnes_t],tblMovement[Date],$A303,tblMovement[Source_Type],"Stockpile")</f>
        <v/>
      </c>
      <c r="Y303" s="55">
        <f>IF($B303=$B302,$Y302,0)+$X303</f>
        <v/>
      </c>
      <c r="Z303" s="55">
        <f>$Z302+$X303</f>
        <v/>
      </c>
      <c r="AA303" s="55">
        <f>SUMIFS(tblMiningDaily[Drill_m],tblMiningDaily[Date],$A303)</f>
        <v/>
      </c>
      <c r="AB303" s="55">
        <f>IF($B303=$B302,$AB302,0)+$AA303</f>
        <v/>
      </c>
      <c r="AC303" s="55">
        <f>$AC302+$AA303</f>
        <v/>
      </c>
      <c r="AD303" s="55">
        <f>SUMIFS(tblMiningDaily[Blast_t],tblMiningDaily[Date],$A303)</f>
        <v/>
      </c>
      <c r="AE303" s="55">
        <f>IF($B303=$B302,$AE302,0)+$AD303</f>
        <v/>
      </c>
      <c r="AF303" s="55">
        <f>$AF302+$AD303</f>
        <v/>
      </c>
      <c r="AG303" s="55">
        <f>SUMIFS(tblMiningDaily[Explosives_kg],tblMiningDaily[Date],$A303)</f>
        <v/>
      </c>
      <c r="AH303" s="55">
        <f>IF($B303=$B302,$AH302,0)+$AG303</f>
        <v/>
      </c>
      <c r="AI303" s="55">
        <f>$AI302+$AG303</f>
        <v/>
      </c>
      <c r="AJ303" s="56">
        <f>IFERROR(IF(($AD303)&gt;0,($AG303)/($AD303),""),"")</f>
        <v/>
      </c>
      <c r="AK303" s="56">
        <f>IFERROR(IF(($AE303)&gt;0,($AH303)/($AE303),""),"")</f>
        <v/>
      </c>
      <c r="AL303" s="56">
        <f>IFERROR(IF(($AF303)&gt;0,($AI303)/($AF303),""),"")</f>
        <v/>
      </c>
      <c r="AM303" s="55">
        <f>SUMIFS(tblMiningDaily[Diesel_L],tblMiningDaily[Date],$A303)</f>
        <v/>
      </c>
      <c r="AN303" s="55">
        <f>IF($B303=$B302,$AN302,0)+$AM303</f>
        <v/>
      </c>
      <c r="AO303" s="55">
        <f>$AO302+$AM303</f>
        <v/>
      </c>
      <c r="AP303" s="55">
        <f>SUMIFS(tblMiningDaily[Dewatering_m3],tblMiningDaily[Date],$A303)</f>
        <v/>
      </c>
      <c r="AQ303" s="55">
        <f>IF($B303=$B302,$AQ302,0)+$AP303</f>
        <v/>
      </c>
      <c r="AR303" s="55">
        <f>$AR302+$AP303</f>
        <v/>
      </c>
      <c r="AS303" s="57">
        <f>SUMIFS(tblFleet[Calendar_h],tblFleet[Date],$A303,tblFleet[Equipment_Class],"Excavator")</f>
        <v/>
      </c>
      <c r="AT303" s="57">
        <f>IF($B303=$B302,$AT302,0)+$AS303</f>
        <v/>
      </c>
      <c r="AU303" s="57">
        <f>$AU302+$AS303</f>
        <v/>
      </c>
      <c r="AV303" s="57">
        <f>SUMIFS(tblFleet[Available_h],tblFleet[Date],$A303,tblFleet[Equipment_Class],"Excavator")</f>
        <v/>
      </c>
      <c r="AW303" s="57">
        <f>IF($B303=$B302,$AW302,0)+$AV303</f>
        <v/>
      </c>
      <c r="AX303" s="57">
        <f>$AX302+$AV303</f>
        <v/>
      </c>
      <c r="AY303" s="57">
        <f>SUMIFS(tblFleet[Operating_h],tblFleet[Date],$A303,tblFleet[Equipment_Class],"Excavator")</f>
        <v/>
      </c>
      <c r="AZ303" s="57">
        <f>IF($B303=$B302,$AZ302,0)+$AY303</f>
        <v/>
      </c>
      <c r="BA303" s="57">
        <f>$BA302+$AY303</f>
        <v/>
      </c>
      <c r="BB303" s="67">
        <f>IFERROR(IF(($AS303)&gt;0,($AV303)/($AS303),""),"")</f>
        <v/>
      </c>
      <c r="BC303" s="67">
        <f>IFERROR(IF(($AT303)&gt;0,($AW303)/($AT303),""),"")</f>
        <v/>
      </c>
      <c r="BD303" s="67">
        <f>IFERROR(IF(($AU303)&gt;0,($AX303)/($AU303),""),"")</f>
        <v/>
      </c>
      <c r="BE303" s="67">
        <f>IFERROR(IF(($AV303)&gt;0,($AY303)/($AV303),""),"")</f>
        <v/>
      </c>
      <c r="BF303" s="67">
        <f>IFERROR(IF(($AW303)&gt;0,($AZ303)/($AW303),""),"")</f>
        <v/>
      </c>
      <c r="BG303" s="67">
        <f>IFERROR(IF(($AX303)&gt;0,($BA303)/($AX303),""),"")</f>
        <v/>
      </c>
      <c r="BH303" s="57">
        <f>SUMIFS(tblFleet[Calendar_h],tblFleet[Date],$A303,tblFleet[Equipment_Class],"Haul Truck")</f>
        <v/>
      </c>
      <c r="BI303" s="57">
        <f>IF($B303=$B302,$BI302,0)+$BH303</f>
        <v/>
      </c>
      <c r="BJ303" s="57">
        <f>$BJ302+$BH303</f>
        <v/>
      </c>
      <c r="BK303" s="57">
        <f>SUMIFS(tblFleet[Available_h],tblFleet[Date],$A303,tblFleet[Equipment_Class],"Haul Truck")</f>
        <v/>
      </c>
      <c r="BL303" s="57">
        <f>IF($B303=$B302,$BL302,0)+$BK303</f>
        <v/>
      </c>
      <c r="BM303" s="57">
        <f>$BM302+$BK303</f>
        <v/>
      </c>
      <c r="BN303" s="57">
        <f>SUMIFS(tblFleet[Operating_h],tblFleet[Date],$A303,tblFleet[Equipment_Class],"Haul Truck")</f>
        <v/>
      </c>
      <c r="BO303" s="57">
        <f>IF($B303=$B302,$BO302,0)+$BN303</f>
        <v/>
      </c>
      <c r="BP303" s="57">
        <f>$BP302+$BN303</f>
        <v/>
      </c>
      <c r="BQ303" s="67">
        <f>IFERROR(IF(($BH303)&gt;0,($BK303)/($BH303),""),"")</f>
        <v/>
      </c>
      <c r="BR303" s="67">
        <f>IFERROR(IF(($BI303)&gt;0,($BL303)/($BI303),""),"")</f>
        <v/>
      </c>
      <c r="BS303" s="67">
        <f>IFERROR(IF(($BJ303)&gt;0,($BM303)/($BJ303),""),"")</f>
        <v/>
      </c>
      <c r="BT303" s="67">
        <f>IFERROR(IF(($BK303)&gt;0,($BN303)/($BK303),""),"")</f>
        <v/>
      </c>
      <c r="BU303" s="67">
        <f>IFERROR(IF(($BL303)&gt;0,($BO303)/($BL303),""),"")</f>
        <v/>
      </c>
      <c r="BV303" s="67">
        <f>IFERROR(IF(($BM303)&gt;0,($BP303)/($BM303),""),"")</f>
        <v/>
      </c>
      <c r="BW303" s="55">
        <f>SUMIFS(tblPlant[Crushed_t],tblPlant[Date],$A303)</f>
        <v/>
      </c>
      <c r="BX303" s="55">
        <f>IF($B303=$B302,$BX302,0)+$BW303</f>
        <v/>
      </c>
      <c r="BY303" s="55">
        <f>$BY302+$BW303</f>
        <v/>
      </c>
      <c r="BZ303" s="55">
        <f>SUMIFS(tblPlant[Milled_t],tblPlant[Date],$A303)</f>
        <v/>
      </c>
      <c r="CA303" s="55">
        <f>IF($B303=$B302,$CA302,0)+$BZ303</f>
        <v/>
      </c>
      <c r="CB303" s="55">
        <f>$CB302+$BZ303</f>
        <v/>
      </c>
      <c r="CC303" s="55">
        <f>SUMIFS(tblPlant[Feed_oz],tblPlant[Date],$A303)</f>
        <v/>
      </c>
      <c r="CD303" s="55">
        <f>IF($B303=$B302,$CD302,0)+$CC303</f>
        <v/>
      </c>
      <c r="CE303" s="55">
        <f>$CE302+$CC303</f>
        <v/>
      </c>
      <c r="CF303" s="55">
        <f>SUMIFS(tblPlant[Tails_oz],tblPlant[Date],$A303)</f>
        <v/>
      </c>
      <c r="CG303" s="55">
        <f>IF($B303=$B302,$CG302,0)+$CF303</f>
        <v/>
      </c>
      <c r="CH303" s="55">
        <f>$CH302+$CF303</f>
        <v/>
      </c>
      <c r="CI303" s="55">
        <f>SUMIFS(tblPlant[Recovered_oz],tblPlant[Date],$A303)</f>
        <v/>
      </c>
      <c r="CJ303" s="55">
        <f>IF($B303=$B302,$CJ302,0)+$CI303</f>
        <v/>
      </c>
      <c r="CK303" s="55">
        <f>$CK302+$CI303</f>
        <v/>
      </c>
      <c r="CL303" s="56">
        <f>IFERROR(IF(($BZ303)&gt;0,($CC303*cfg_TroyOz)/($BZ303),""),"")</f>
        <v/>
      </c>
      <c r="CM303" s="56">
        <f>IFERROR(IF(($CA303)&gt;0,($CD303*cfg_TroyOz)/($CA303),""),"")</f>
        <v/>
      </c>
      <c r="CN303" s="56">
        <f>IFERROR(IF(($CB303)&gt;0,($CE303*cfg_TroyOz)/($CB303),""),"")</f>
        <v/>
      </c>
      <c r="CO303" s="56">
        <f>IFERROR(IF(($BZ303)&gt;0,($CF303*cfg_TroyOz)/($BZ303),""),"")</f>
        <v/>
      </c>
      <c r="CP303" s="56">
        <f>IFERROR(IF(($CA303)&gt;0,($CG303*cfg_TroyOz)/($CA303),""),"")</f>
        <v/>
      </c>
      <c r="CQ303" s="56">
        <f>IFERROR(IF(($CB303)&gt;0,($CH303*cfg_TroyOz)/($CB303),""),"")</f>
        <v/>
      </c>
      <c r="CR303" s="67">
        <f>IFERROR(IF(($CC303)&gt;0,($CI303)/($CC303),""),"")</f>
        <v/>
      </c>
      <c r="CS303" s="67">
        <f>IFERROR(IF(($CD303)&gt;0,($CJ303)/($CD303),""),"")</f>
        <v/>
      </c>
      <c r="CT303" s="67">
        <f>IFERROR(IF(($CE303)&gt;0,($CK303)/($CE303),""),"")</f>
        <v/>
      </c>
      <c r="CU303" s="55">
        <f>SUMIFS(tblPlant[Gravity_Gold_oz],tblPlant[Date],$A303)</f>
        <v/>
      </c>
      <c r="CV303" s="55">
        <f>IF($B303=$B302,$CV302,0)+$CU303</f>
        <v/>
      </c>
      <c r="CW303" s="55">
        <f>$CW302+$CU303</f>
        <v/>
      </c>
      <c r="CX303" s="55">
        <f>SUMIFS(tblPlant[Gold_Poured_oz],tblPlant[Date],$A303)</f>
        <v/>
      </c>
      <c r="CY303" s="55">
        <f>IF($B303=$B302,$CY302,0)+$CX303</f>
        <v/>
      </c>
      <c r="CZ303" s="55">
        <f>$CZ302+$CX303</f>
        <v/>
      </c>
      <c r="DA303" s="57">
        <f>SUMIFS(tblPlant[Mill_Run_h],tblPlant[Date],$A303)</f>
        <v/>
      </c>
      <c r="DB303" s="57">
        <f>IF($B303=$B302,$DB302,0)+$DA303</f>
        <v/>
      </c>
      <c r="DC303" s="57">
        <f>$DC302+$DA303</f>
        <v/>
      </c>
      <c r="DD303" s="57">
        <f>SUMIFS(tblPlant[Mill_Planned_Maint_h],tblPlant[Date],$A303)</f>
        <v/>
      </c>
      <c r="DE303" s="57">
        <f>IF($B303=$B302,$DE302,0)+$DD303</f>
        <v/>
      </c>
      <c r="DF303" s="57">
        <f>$DF302+$DD303</f>
        <v/>
      </c>
      <c r="DG303" s="57">
        <f>SUMIFS(tblPlant[Mill_Unplanned_Down_h],tblPlant[Date],$A303)</f>
        <v/>
      </c>
      <c r="DH303" s="57">
        <f>IF($B303=$B302,$DH302,0)+$DG303</f>
        <v/>
      </c>
      <c r="DI303" s="57">
        <f>$DI302+$DG303</f>
        <v/>
      </c>
      <c r="DJ303" s="57">
        <f>COUNTIFS(tblPlant[Date],$A303,tblPlant[Mill_Run_h],"&lt;&gt;")*24</f>
        <v/>
      </c>
      <c r="DK303" s="57">
        <f>IF($B303=$B302,$DK302,0)+$DJ303</f>
        <v/>
      </c>
      <c r="DL303" s="57">
        <f>$DL302+$DJ303</f>
        <v/>
      </c>
      <c r="DM303" s="57">
        <f>SUMIFS(tblPlant[Crusher_Run_h],tblPlant[Date],$A303)</f>
        <v/>
      </c>
      <c r="DN303" s="57">
        <f>IF($B303=$B302,$DN302,0)+$DM303</f>
        <v/>
      </c>
      <c r="DO303" s="57">
        <f>$DO302+$DM303</f>
        <v/>
      </c>
      <c r="DP303" s="55">
        <f>IFERROR(IF(($DA303)&gt;0,($BZ303)/($DA303),""),"")</f>
        <v/>
      </c>
      <c r="DQ303" s="55">
        <f>IFERROR(IF(($DB303)&gt;0,($CA303)/($DB303),""),"")</f>
        <v/>
      </c>
      <c r="DR303" s="55">
        <f>IFERROR(IF(($DC303)&gt;0,($CB303)/($DC303),""),"")</f>
        <v/>
      </c>
      <c r="DS303" s="67">
        <f>IFERROR(IF(($DJ303)&gt;0,($DJ303-$DD303-$DG303)/($DJ303),""),"")</f>
        <v/>
      </c>
      <c r="DT303" s="67">
        <f>IFERROR(IF(($DK303)&gt;0,($DK303-$DE303-$DH303)/($DK303),""),"")</f>
        <v/>
      </c>
      <c r="DU303" s="67">
        <f>IFERROR(IF(($DL303)&gt;0,($DL303-$DF303-$DI303)/($DL303),""),"")</f>
        <v/>
      </c>
      <c r="DV303" s="67">
        <f>IFERROR(IF(($DJ303-$DD303-$DG303)&gt;0,($DA303)/($DJ303-$DD303-$DG303),""),"")</f>
        <v/>
      </c>
      <c r="DW303" s="67">
        <f>IFERROR(IF(($DK303-$DE303-$DH303)&gt;0,($DB303)/($DK303-$DE303-$DH303),""),"")</f>
        <v/>
      </c>
      <c r="DX303" s="67">
        <f>IFERROR(IF(($DL303-$DF303-$DI303)&gt;0,($DC303)/($DL303-$DF303-$DI303),""),"")</f>
        <v/>
      </c>
      <c r="DY303" s="55">
        <f>SUMIFS(tblPlant[Cyanide_kg],tblPlant[Date],$A303)</f>
        <v/>
      </c>
      <c r="DZ303" s="55">
        <f>IF($B303=$B302,$DZ302,0)+$DY303</f>
        <v/>
      </c>
      <c r="EA303" s="55">
        <f>$EA302+$DY303</f>
        <v/>
      </c>
      <c r="EB303" s="55">
        <f>SUMIFS(tblPlant[Lime_kg],tblPlant[Date],$A303)</f>
        <v/>
      </c>
      <c r="EC303" s="55">
        <f>IF($B303=$B302,$EC302,0)+$EB303</f>
        <v/>
      </c>
      <c r="ED303" s="55">
        <f>$ED302+$EB303</f>
        <v/>
      </c>
      <c r="EE303" s="55">
        <f>SUMIFS(tblPlant[Grinding_Media_kg],tblPlant[Date],$A303)</f>
        <v/>
      </c>
      <c r="EF303" s="55">
        <f>IF($B303=$B302,$EF302,0)+$EE303</f>
        <v/>
      </c>
      <c r="EG303" s="55">
        <f>$EG302+$EE303</f>
        <v/>
      </c>
      <c r="EH303" s="55">
        <f>SUMIFS(tblPlant[Power_kWh],tblPlant[Date],$A303)</f>
        <v/>
      </c>
      <c r="EI303" s="55">
        <f>IF($B303=$B302,$EI302,0)+$EH303</f>
        <v/>
      </c>
      <c r="EJ303" s="55">
        <f>$EJ302+$EH303</f>
        <v/>
      </c>
      <c r="EK303" s="55">
        <f>SUMIFS(tblPlant[Raw_Water_m3],tblPlant[Date],$A303)</f>
        <v/>
      </c>
      <c r="EL303" s="55">
        <f>IF($B303=$B302,$EL302,0)+$EK303</f>
        <v/>
      </c>
      <c r="EM303" s="55">
        <f>$EM302+$EK303</f>
        <v/>
      </c>
      <c r="EN303" s="56">
        <f>IFERROR(IF(($BZ303)&gt;0,($DY303)/($BZ303),""),"")</f>
        <v/>
      </c>
      <c r="EO303" s="56">
        <f>IFERROR(IF(($CA303)&gt;0,($DZ303)/($CA303),""),"")</f>
        <v/>
      </c>
      <c r="EP303" s="56">
        <f>IFERROR(IF(($CB303)&gt;0,($EA303)/($CB303),""),"")</f>
        <v/>
      </c>
      <c r="EQ303" s="56">
        <f>IFERROR(IF(($BZ303)&gt;0,($EB303)/($BZ303),""),"")</f>
        <v/>
      </c>
      <c r="ER303" s="56">
        <f>IFERROR(IF(($CA303)&gt;0,($EC303)/($CA303),""),"")</f>
        <v/>
      </c>
      <c r="ES303" s="56">
        <f>IFERROR(IF(($CB303)&gt;0,($ED303)/($CB303),""),"")</f>
        <v/>
      </c>
      <c r="ET303" s="56">
        <f>IFERROR(IF(($BZ303)&gt;0,($EE303)/($BZ303),""),"")</f>
        <v/>
      </c>
      <c r="EU303" s="56">
        <f>IFERROR(IF(($CA303)&gt;0,($EF303)/($CA303),""),"")</f>
        <v/>
      </c>
      <c r="EV303" s="56">
        <f>IFERROR(IF(($CB303)&gt;0,($EG303)/($CB303),""),"")</f>
        <v/>
      </c>
      <c r="EW303" s="76">
        <f>IFERROR(IF(($BZ303)&gt;0,($EH303)/($BZ303),""),"")</f>
        <v/>
      </c>
      <c r="EX303" s="76">
        <f>IFERROR(IF(($CA303)&gt;0,($EI303)/($CA303),""),"")</f>
        <v/>
      </c>
      <c r="EY303" s="76">
        <f>IFERROR(IF(($CB303)&gt;0,($EJ303)/($CB303),""),"")</f>
        <v/>
      </c>
      <c r="EZ303" s="56">
        <f>IFERROR(IF(($BZ303)&gt;0,($EK303)/($BZ303),""),"")</f>
        <v/>
      </c>
      <c r="FA303" s="56">
        <f>IFERROR(IF(($CA303)&gt;0,($EL303)/($CA303),""),"")</f>
        <v/>
      </c>
      <c r="FB303" s="56">
        <f>IFERROR(IF(($CB303)&gt;0,($EM303)/($CB303),""),"")</f>
        <v/>
      </c>
      <c r="FC303" s="55">
        <f>IF(SUMIFS(tblPlant[GIC_oz],tblPlant[Date],$A303)&gt;0,SUMIFS(tblPlant[GIC_oz],tblPlant[Date],$A303),"")</f>
        <v/>
      </c>
      <c r="FD303" s="55">
        <f>SUMIFS(tblGold[Gold_oz],tblGold[Date],$A303,tblGold[Type],"Shipment")</f>
        <v/>
      </c>
      <c r="FE303" s="55">
        <f>IF($B303=$B302,$FE302,0)+$FD303</f>
        <v/>
      </c>
      <c r="FF303" s="55">
        <f>$FF302+$FD303</f>
        <v/>
      </c>
      <c r="FG303" s="55">
        <f>SUMIFS(tblGold[Gold_oz],tblGold[Date],$A303,tblGold[Type],"Sale")</f>
        <v/>
      </c>
      <c r="FH303" s="55">
        <f>IF($B303=$B302,$FH302,0)+$FG303</f>
        <v/>
      </c>
      <c r="FI303" s="55">
        <f>$FI302+$FG303</f>
        <v/>
      </c>
      <c r="FJ303" s="55">
        <f>SUMIFS(tblGold[Dore_kg],tblGold[Date],$A303,tblGold[Type],"Shipment")</f>
        <v/>
      </c>
      <c r="FK303" s="55">
        <f>IF($B303=$B302,$FK302,0)+$FJ303</f>
        <v/>
      </c>
      <c r="FL303" s="55">
        <f>$FL302+$FJ303</f>
        <v/>
      </c>
      <c r="FM303" s="57">
        <f>SUMIFS(tblSafety[Hours_Total],tblSafety[Date],$A303)</f>
        <v/>
      </c>
      <c r="FN303" s="57">
        <f>IF($B303=$B302,$FN302,0)+$FM303</f>
        <v/>
      </c>
      <c r="FO303" s="57">
        <f>$FO302+$FM303</f>
        <v/>
      </c>
      <c r="FP303" s="62">
        <f>SUMIFS(tblSafety[Fatality],tblSafety[Date],$A303)</f>
        <v/>
      </c>
      <c r="FQ303" s="62">
        <f>IF($B303=$B302,$FQ302,0)+$FP303</f>
        <v/>
      </c>
      <c r="FR303" s="62">
        <f>$FR302+$FP303</f>
        <v/>
      </c>
      <c r="FS303" s="62">
        <f>SUMIFS(tblSafety[LTI],tblSafety[Date],$A303)</f>
        <v/>
      </c>
      <c r="FT303" s="62">
        <f>IF($B303=$B302,$FT302,0)+$FS303</f>
        <v/>
      </c>
      <c r="FU303" s="62">
        <f>$FU302+$FS303</f>
        <v/>
      </c>
      <c r="FV303" s="62">
        <f>SUMIFS(tblSafety[RWI],tblSafety[Date],$A303)</f>
        <v/>
      </c>
      <c r="FW303" s="62">
        <f>IF($B303=$B302,$FW302,0)+$FV303</f>
        <v/>
      </c>
      <c r="FX303" s="62">
        <f>$FX302+$FV303</f>
        <v/>
      </c>
      <c r="FY303" s="62">
        <f>SUMIFS(tblSafety[MTI],tblSafety[Date],$A303)</f>
        <v/>
      </c>
      <c r="FZ303" s="62">
        <f>IF($B303=$B302,$FZ302,0)+$FY303</f>
        <v/>
      </c>
      <c r="GA303" s="62">
        <f>$GA302+$FY303</f>
        <v/>
      </c>
      <c r="GB303" s="62">
        <f>SUMIFS(tblSafety[FAI],tblSafety[Date],$A303)</f>
        <v/>
      </c>
      <c r="GC303" s="62">
        <f>IF($B303=$B302,$GC302,0)+$GB303</f>
        <v/>
      </c>
      <c r="GD303" s="62">
        <f>$GD302+$GB303</f>
        <v/>
      </c>
      <c r="GE303" s="62">
        <f>SUMIFS(tblSafety[Recordables],tblSafety[Date],$A303)</f>
        <v/>
      </c>
      <c r="GF303" s="62">
        <f>IF($B303=$B302,$GF302,0)+$GE303</f>
        <v/>
      </c>
      <c r="GG303" s="62">
        <f>$GG302+$GE303</f>
        <v/>
      </c>
      <c r="GH303" s="62">
        <f>SUMIFS(tblSafety[Near_Miss],tblSafety[Date],$A303)</f>
        <v/>
      </c>
      <c r="GI303" s="62">
        <f>IF($B303=$B302,$GI302,0)+$GH303</f>
        <v/>
      </c>
      <c r="GJ303" s="62">
        <f>$GJ302+$GH303</f>
        <v/>
      </c>
      <c r="GK303" s="62">
        <f>SUMIFS(tblSafety[Hazard_Reports],tblSafety[Date],$A303)</f>
        <v/>
      </c>
      <c r="GL303" s="62">
        <f>IF($B303=$B302,$GL302,0)+$GK303</f>
        <v/>
      </c>
      <c r="GM303" s="62">
        <f>$GM302+$GK303</f>
        <v/>
      </c>
      <c r="GN303" s="62">
        <f>SUMIFS(tblSafety[HPI],tblSafety[Date],$A303)</f>
        <v/>
      </c>
      <c r="GO303" s="62">
        <f>IF($B303=$B302,$GO302,0)+$GN303</f>
        <v/>
      </c>
      <c r="GP303" s="62">
        <f>$GP302+$GN303</f>
        <v/>
      </c>
      <c r="GQ303" s="62">
        <f>SUMIFS(tblSafety[Env_Incidents],tblSafety[Date],$A303)</f>
        <v/>
      </c>
      <c r="GR303" s="62">
        <f>IF($B303=$B302,$GR302,0)+$GQ303</f>
        <v/>
      </c>
      <c r="GS303" s="62">
        <f>$GS302+$GQ303</f>
        <v/>
      </c>
      <c r="GT303" s="62">
        <f>SUMIFS(tblSafety[Community_Incidents],tblSafety[Date],$A303)</f>
        <v/>
      </c>
      <c r="GU303" s="62">
        <f>IF($B303=$B302,$GU302,0)+$GT303</f>
        <v/>
      </c>
      <c r="GV303" s="62">
        <f>$GV302+$GT303</f>
        <v/>
      </c>
      <c r="GW303" s="62">
        <f>SUMIFS(tblSafety[Vehicle_Incidents],tblSafety[Date],$A303)</f>
        <v/>
      </c>
      <c r="GX303" s="62">
        <f>IF($B303=$B302,$GX302,0)+$GW303</f>
        <v/>
      </c>
      <c r="GY303" s="62">
        <f>$GY302+$GW303</f>
        <v/>
      </c>
      <c r="GZ303" s="62">
        <f>SUMIFS(tblSafety[Toolbox_Talks],tblSafety[Date],$A303)</f>
        <v/>
      </c>
      <c r="HA303" s="62">
        <f>IF($B303=$B302,$HA302,0)+$GZ303</f>
        <v/>
      </c>
      <c r="HB303" s="62">
        <f>$HB302+$GZ303</f>
        <v/>
      </c>
      <c r="HC303" s="62">
        <f>SUMIFS(tblSafety[Inspections],tblSafety[Date],$A303)</f>
        <v/>
      </c>
      <c r="HD303" s="62">
        <f>IF($B303=$B302,$HD302,0)+$HC303</f>
        <v/>
      </c>
      <c r="HE303" s="62">
        <f>$HE302+$HC303</f>
        <v/>
      </c>
      <c r="HF303" s="56">
        <f>IFERROR((SUMIFS(tblSafety[Recordables],tblSafety[Date],"&gt;="&amp;EDATE($E303,-12),tblSafety[Date],"&lt;="&amp;$A303)+SUMIFS(tblSafetyHistory[Recordables],tblSafetyHistory[Month],"&gt;="&amp;EDATE($E303,-12),tblSafetyHistory[Month],"&lt;"&amp;cfg_YearStart))/(SUMIFS(tblSafety[Hours_Total],tblSafety[Date],"&gt;="&amp;EDATE($E303,-12),tblSafety[Date],"&lt;="&amp;$A303)+SUMIFS(tblSafetyHistory[Hours_Total],tblSafetyHistory[Month],"&gt;="&amp;EDATE($E303,-12),tblSafetyHistory[Month],"&lt;"&amp;cfg_YearStart))*1000000,"")</f>
        <v/>
      </c>
      <c r="HG303" s="56">
        <f>IFERROR((SUMIFS(tblSafety[LTI],tblSafety[Date],"&gt;="&amp;EDATE($E303,-12),tblSafety[Date],"&lt;="&amp;$A303)+SUMIFS(tblSafetyHistory[LTI],tblSafetyHistory[Month],"&gt;="&amp;EDATE($E303,-12),tblSafetyHistory[Month],"&lt;"&amp;cfg_YearStart))/(SUMIFS(tblSafety[Hours_Total],tblSafety[Date],"&gt;="&amp;EDATE($E303,-12),tblSafety[Date],"&lt;="&amp;$A303)+SUMIFS(tblSafetyHistory[Hours_Total],tblSafetyHistory[Month],"&gt;="&amp;EDATE($E303,-12),tblSafetyHistory[Month],"&lt;"&amp;cfg_YearStart))*1000000,"")</f>
        <v/>
      </c>
      <c r="HH303" s="62">
        <f>IF(MAX(N(cfg_PriorLTIDate),_xlfn.MAXIFS(tblSafety[Date],tblSafety[LTI],"&gt;0",tblSafety[Date],"&lt;="&amp;$A303))=0,"",$A303-MAX(N(cfg_PriorLTIDate),_xlfn.MAXIFS(tblSafety[Date],tblSafety[LTI],"&gt;0",tblSafety[Date],"&lt;="&amp;$A303)))</f>
        <v/>
      </c>
      <c r="HI303" s="55">
        <f>SUMIFS(tblBudget[Ore_Mined_t],tblBudget[Month],$E303)</f>
        <v/>
      </c>
      <c r="HJ303" s="55">
        <f>$HI303*$C303/$D303</f>
        <v/>
      </c>
      <c r="HK303" s="55">
        <f>SUMIFS(tblBudget[Ore_Mined_t],tblBudget[Month],"&lt;"&amp;$E303)+$HJ303</f>
        <v/>
      </c>
      <c r="HL303" s="55">
        <f>SUMIFS(tblBudget[Ore_oz],tblBudget[Month],$E303)</f>
        <v/>
      </c>
      <c r="HM303" s="55">
        <f>$HL303*$C303/$D303</f>
        <v/>
      </c>
      <c r="HN303" s="55">
        <f>SUMIFS(tblBudget[Ore_oz],tblBudget[Month],"&lt;"&amp;$E303)+$HM303</f>
        <v/>
      </c>
      <c r="HO303" s="56">
        <f>IFERROR(IF(($HI303)&gt;0,($HL303*cfg_TroyOz)/($HI303),""),"")</f>
        <v/>
      </c>
      <c r="HP303" s="56">
        <f>IFERROR(IF(($HJ303)&gt;0,($HM303*cfg_TroyOz)/($HJ303),""),"")</f>
        <v/>
      </c>
      <c r="HQ303" s="56">
        <f>IFERROR(IF(($HK303)&gt;0,($HN303*cfg_TroyOz)/($HK303),""),"")</f>
        <v/>
      </c>
      <c r="HR303" s="55">
        <f>SUMIFS(tblBudget[Waste_t],tblBudget[Month],$E303)</f>
        <v/>
      </c>
      <c r="HS303" s="55">
        <f>$HR303*$C303/$D303</f>
        <v/>
      </c>
      <c r="HT303" s="55">
        <f>SUMIFS(tblBudget[Waste_t],tblBudget[Month],"&lt;"&amp;$E303)+$HS303</f>
        <v/>
      </c>
      <c r="HU303" s="55">
        <f>SUMIFS(tblBudget[TMM_t],tblBudget[Month],$E303)</f>
        <v/>
      </c>
      <c r="HV303" s="55">
        <f>$HU303*$C303/$D303</f>
        <v/>
      </c>
      <c r="HW303" s="55">
        <f>SUMIFS(tblBudget[TMM_t],tblBudget[Month],"&lt;"&amp;$E303)+$HV303</f>
        <v/>
      </c>
      <c r="HX303" s="56">
        <f>IFERROR(IF(($HI303)&gt;0,($HR303)/($HI303),""),"")</f>
        <v/>
      </c>
      <c r="HY303" s="56">
        <f>IFERROR(IF(($HJ303)&gt;0,($HS303)/($HJ303),""),"")</f>
        <v/>
      </c>
      <c r="HZ303" s="56">
        <f>IFERROR(IF(($HK303)&gt;0,($HT303)/($HK303),""),"")</f>
        <v/>
      </c>
      <c r="IA303" s="55">
        <f>SUMIFS(tblBudget[Drill_m],tblBudget[Month],$E303)</f>
        <v/>
      </c>
      <c r="IB303" s="55">
        <f>$IA303*$C303/$D303</f>
        <v/>
      </c>
      <c r="IC303" s="55">
        <f>SUMIFS(tblBudget[Drill_m],tblBudget[Month],"&lt;"&amp;$E303)+$IB303</f>
        <v/>
      </c>
      <c r="ID303" s="55">
        <f>SUMIFS(tblBudget[Diesel_L],tblBudget[Month],$E303)</f>
        <v/>
      </c>
      <c r="IE303" s="55">
        <f>$ID303*$C303/$D303</f>
        <v/>
      </c>
      <c r="IF303" s="55">
        <f>SUMIFS(tblBudget[Diesel_L],tblBudget[Month],"&lt;"&amp;$E303)+$IE303</f>
        <v/>
      </c>
      <c r="IG303" s="55">
        <f>SUMIFS(tblBudget[Milled_t],tblBudget[Month],$E303)</f>
        <v/>
      </c>
      <c r="IH303" s="55">
        <f>$IG303*$C303/$D303</f>
        <v/>
      </c>
      <c r="II303" s="55">
        <f>SUMIFS(tblBudget[Milled_t],tblBudget[Month],"&lt;"&amp;$E303)+$IH303</f>
        <v/>
      </c>
      <c r="IJ303" s="55">
        <f>SUMIFS(tblBudget[Feed_oz],tblBudget[Month],$E303)</f>
        <v/>
      </c>
      <c r="IK303" s="55">
        <f>$IJ303*$C303/$D303</f>
        <v/>
      </c>
      <c r="IL303" s="55">
        <f>SUMIFS(tblBudget[Feed_oz],tblBudget[Month],"&lt;"&amp;$E303)+$IK303</f>
        <v/>
      </c>
      <c r="IM303" s="55">
        <f>SUMIFS(tblBudget[Recovered_oz],tblBudget[Month],$E303)</f>
        <v/>
      </c>
      <c r="IN303" s="55">
        <f>$IM303*$C303/$D303</f>
        <v/>
      </c>
      <c r="IO303" s="55">
        <f>SUMIFS(tblBudget[Recovered_oz],tblBudget[Month],"&lt;"&amp;$E303)+$IN303</f>
        <v/>
      </c>
      <c r="IP303" s="56">
        <f>IFERROR(IF(($IG303)&gt;0,($IJ303*cfg_TroyOz)/($IG303),""),"")</f>
        <v/>
      </c>
      <c r="IQ303" s="56">
        <f>IFERROR(IF(($IH303)&gt;0,($IK303*cfg_TroyOz)/($IH303),""),"")</f>
        <v/>
      </c>
      <c r="IR303" s="56">
        <f>IFERROR(IF(($II303)&gt;0,($IL303*cfg_TroyOz)/($II303),""),"")</f>
        <v/>
      </c>
      <c r="IS303" s="67">
        <f>IFERROR(IF(($IJ303)&gt;0,($IM303)/($IJ303),""),"")</f>
        <v/>
      </c>
      <c r="IT303" s="67">
        <f>IFERROR(IF(($IK303)&gt;0,($IN303)/($IK303),""),"")</f>
        <v/>
      </c>
      <c r="IU303" s="67">
        <f>IFERROR(IF(($IL303)&gt;0,($IO303)/($IL303),""),"")</f>
        <v/>
      </c>
      <c r="IV303" s="55">
        <f>SUMIFS(tblBudget[Gold_Poured_oz],tblBudget[Month],$E303)</f>
        <v/>
      </c>
      <c r="IW303" s="55">
        <f>$IV303*$C303/$D303</f>
        <v/>
      </c>
      <c r="IX303" s="55">
        <f>SUMIFS(tblBudget[Gold_Poured_oz],tblBudget[Month],"&lt;"&amp;$E303)+$IW303</f>
        <v/>
      </c>
      <c r="IY303" s="57">
        <f>SUMIFS(tblBudget[Hours_Worked],tblBudget[Month],$E303)</f>
        <v/>
      </c>
      <c r="IZ303" s="57">
        <f>$IY303*$C303/$D303</f>
        <v/>
      </c>
      <c r="JA303" s="57">
        <f>SUMIFS(tblBudget[Hours_Worked],tblBudget[Month],"&lt;"&amp;$E303)+$IZ303</f>
        <v/>
      </c>
    </row>
    <row r="304">
      <c r="A304" s="54" t="n">
        <v>46325</v>
      </c>
      <c r="B304">
        <f>MONTH($A304)</f>
        <v/>
      </c>
      <c r="C304">
        <f>DAY($A304)</f>
        <v/>
      </c>
      <c r="D304">
        <f>DAY(EOMONTH($A304,0))</f>
        <v/>
      </c>
      <c r="E304" s="54">
        <f>DATE(YEAR($A304),MONTH($A304),1)</f>
        <v/>
      </c>
      <c r="F304" s="55">
        <f>SUMIFS(tblMovement[Tonnes_t],tblMovement[Date],$A304,tblMovement[Is_Ore],1,tblMovement[Source_Type],"Pit")</f>
        <v/>
      </c>
      <c r="G304" s="55">
        <f>IF($B304=$B303,$G303,0)+$F304</f>
        <v/>
      </c>
      <c r="H304" s="55">
        <f>$H303+$F304</f>
        <v/>
      </c>
      <c r="I304" s="55">
        <f>SUMIFS(tblMovement[Ore_oz],tblMovement[Date],$A304,tblMovement[Source_Type],"Pit")</f>
        <v/>
      </c>
      <c r="J304" s="55">
        <f>IF($B304=$B303,$J303,0)+$I304</f>
        <v/>
      </c>
      <c r="K304" s="55">
        <f>$K303+$I304</f>
        <v/>
      </c>
      <c r="L304" s="56">
        <f>IFERROR(IF(($F304)&gt;0,($I304*cfg_TroyOz)/($F304),""),"")</f>
        <v/>
      </c>
      <c r="M304" s="56">
        <f>IFERROR(IF(($G304)&gt;0,($J304*cfg_TroyOz)/($G304),""),"")</f>
        <v/>
      </c>
      <c r="N304" s="56">
        <f>IFERROR(IF(($H304)&gt;0,($K304*cfg_TroyOz)/($H304),""),"")</f>
        <v/>
      </c>
      <c r="O304" s="55">
        <f>SUMIFS(tblMovement[Tonnes_t],tblMovement[Date],$A304,tblMovement[Is_Ore],0,tblMovement[Source_Type],"Pit")</f>
        <v/>
      </c>
      <c r="P304" s="55">
        <f>IF($B304=$B303,$P303,0)+$O304</f>
        <v/>
      </c>
      <c r="Q304" s="55">
        <f>$Q303+$O304</f>
        <v/>
      </c>
      <c r="R304" s="55">
        <f>$F304+$O304</f>
        <v/>
      </c>
      <c r="S304" s="55">
        <f>IF($B304=$B303,$S303,0)+$R304</f>
        <v/>
      </c>
      <c r="T304" s="55">
        <f>$T303+$R304</f>
        <v/>
      </c>
      <c r="U304" s="56">
        <f>IFERROR(IF(($F304)&gt;0,($O304)/($F304),""),"")</f>
        <v/>
      </c>
      <c r="V304" s="56">
        <f>IFERROR(IF(($G304)&gt;0,($P304)/($G304),""),"")</f>
        <v/>
      </c>
      <c r="W304" s="56">
        <f>IFERROR(IF(($H304)&gt;0,($Q304)/($H304),""),"")</f>
        <v/>
      </c>
      <c r="X304" s="55">
        <f>SUMIFS(tblMovement[Tonnes_t],tblMovement[Date],$A304,tblMovement[Source_Type],"Stockpile")</f>
        <v/>
      </c>
      <c r="Y304" s="55">
        <f>IF($B304=$B303,$Y303,0)+$X304</f>
        <v/>
      </c>
      <c r="Z304" s="55">
        <f>$Z303+$X304</f>
        <v/>
      </c>
      <c r="AA304" s="55">
        <f>SUMIFS(tblMiningDaily[Drill_m],tblMiningDaily[Date],$A304)</f>
        <v/>
      </c>
      <c r="AB304" s="55">
        <f>IF($B304=$B303,$AB303,0)+$AA304</f>
        <v/>
      </c>
      <c r="AC304" s="55">
        <f>$AC303+$AA304</f>
        <v/>
      </c>
      <c r="AD304" s="55">
        <f>SUMIFS(tblMiningDaily[Blast_t],tblMiningDaily[Date],$A304)</f>
        <v/>
      </c>
      <c r="AE304" s="55">
        <f>IF($B304=$B303,$AE303,0)+$AD304</f>
        <v/>
      </c>
      <c r="AF304" s="55">
        <f>$AF303+$AD304</f>
        <v/>
      </c>
      <c r="AG304" s="55">
        <f>SUMIFS(tblMiningDaily[Explosives_kg],tblMiningDaily[Date],$A304)</f>
        <v/>
      </c>
      <c r="AH304" s="55">
        <f>IF($B304=$B303,$AH303,0)+$AG304</f>
        <v/>
      </c>
      <c r="AI304" s="55">
        <f>$AI303+$AG304</f>
        <v/>
      </c>
      <c r="AJ304" s="56">
        <f>IFERROR(IF(($AD304)&gt;0,($AG304)/($AD304),""),"")</f>
        <v/>
      </c>
      <c r="AK304" s="56">
        <f>IFERROR(IF(($AE304)&gt;0,($AH304)/($AE304),""),"")</f>
        <v/>
      </c>
      <c r="AL304" s="56">
        <f>IFERROR(IF(($AF304)&gt;0,($AI304)/($AF304),""),"")</f>
        <v/>
      </c>
      <c r="AM304" s="55">
        <f>SUMIFS(tblMiningDaily[Diesel_L],tblMiningDaily[Date],$A304)</f>
        <v/>
      </c>
      <c r="AN304" s="55">
        <f>IF($B304=$B303,$AN303,0)+$AM304</f>
        <v/>
      </c>
      <c r="AO304" s="55">
        <f>$AO303+$AM304</f>
        <v/>
      </c>
      <c r="AP304" s="55">
        <f>SUMIFS(tblMiningDaily[Dewatering_m3],tblMiningDaily[Date],$A304)</f>
        <v/>
      </c>
      <c r="AQ304" s="55">
        <f>IF($B304=$B303,$AQ303,0)+$AP304</f>
        <v/>
      </c>
      <c r="AR304" s="55">
        <f>$AR303+$AP304</f>
        <v/>
      </c>
      <c r="AS304" s="57">
        <f>SUMIFS(tblFleet[Calendar_h],tblFleet[Date],$A304,tblFleet[Equipment_Class],"Excavator")</f>
        <v/>
      </c>
      <c r="AT304" s="57">
        <f>IF($B304=$B303,$AT303,0)+$AS304</f>
        <v/>
      </c>
      <c r="AU304" s="57">
        <f>$AU303+$AS304</f>
        <v/>
      </c>
      <c r="AV304" s="57">
        <f>SUMIFS(tblFleet[Available_h],tblFleet[Date],$A304,tblFleet[Equipment_Class],"Excavator")</f>
        <v/>
      </c>
      <c r="AW304" s="57">
        <f>IF($B304=$B303,$AW303,0)+$AV304</f>
        <v/>
      </c>
      <c r="AX304" s="57">
        <f>$AX303+$AV304</f>
        <v/>
      </c>
      <c r="AY304" s="57">
        <f>SUMIFS(tblFleet[Operating_h],tblFleet[Date],$A304,tblFleet[Equipment_Class],"Excavator")</f>
        <v/>
      </c>
      <c r="AZ304" s="57">
        <f>IF($B304=$B303,$AZ303,0)+$AY304</f>
        <v/>
      </c>
      <c r="BA304" s="57">
        <f>$BA303+$AY304</f>
        <v/>
      </c>
      <c r="BB304" s="67">
        <f>IFERROR(IF(($AS304)&gt;0,($AV304)/($AS304),""),"")</f>
        <v/>
      </c>
      <c r="BC304" s="67">
        <f>IFERROR(IF(($AT304)&gt;0,($AW304)/($AT304),""),"")</f>
        <v/>
      </c>
      <c r="BD304" s="67">
        <f>IFERROR(IF(($AU304)&gt;0,($AX304)/($AU304),""),"")</f>
        <v/>
      </c>
      <c r="BE304" s="67">
        <f>IFERROR(IF(($AV304)&gt;0,($AY304)/($AV304),""),"")</f>
        <v/>
      </c>
      <c r="BF304" s="67">
        <f>IFERROR(IF(($AW304)&gt;0,($AZ304)/($AW304),""),"")</f>
        <v/>
      </c>
      <c r="BG304" s="67">
        <f>IFERROR(IF(($AX304)&gt;0,($BA304)/($AX304),""),"")</f>
        <v/>
      </c>
      <c r="BH304" s="57">
        <f>SUMIFS(tblFleet[Calendar_h],tblFleet[Date],$A304,tblFleet[Equipment_Class],"Haul Truck")</f>
        <v/>
      </c>
      <c r="BI304" s="57">
        <f>IF($B304=$B303,$BI303,0)+$BH304</f>
        <v/>
      </c>
      <c r="BJ304" s="57">
        <f>$BJ303+$BH304</f>
        <v/>
      </c>
      <c r="BK304" s="57">
        <f>SUMIFS(tblFleet[Available_h],tblFleet[Date],$A304,tblFleet[Equipment_Class],"Haul Truck")</f>
        <v/>
      </c>
      <c r="BL304" s="57">
        <f>IF($B304=$B303,$BL303,0)+$BK304</f>
        <v/>
      </c>
      <c r="BM304" s="57">
        <f>$BM303+$BK304</f>
        <v/>
      </c>
      <c r="BN304" s="57">
        <f>SUMIFS(tblFleet[Operating_h],tblFleet[Date],$A304,tblFleet[Equipment_Class],"Haul Truck")</f>
        <v/>
      </c>
      <c r="BO304" s="57">
        <f>IF($B304=$B303,$BO303,0)+$BN304</f>
        <v/>
      </c>
      <c r="BP304" s="57">
        <f>$BP303+$BN304</f>
        <v/>
      </c>
      <c r="BQ304" s="67">
        <f>IFERROR(IF(($BH304)&gt;0,($BK304)/($BH304),""),"")</f>
        <v/>
      </c>
      <c r="BR304" s="67">
        <f>IFERROR(IF(($BI304)&gt;0,($BL304)/($BI304),""),"")</f>
        <v/>
      </c>
      <c r="BS304" s="67">
        <f>IFERROR(IF(($BJ304)&gt;0,($BM304)/($BJ304),""),"")</f>
        <v/>
      </c>
      <c r="BT304" s="67">
        <f>IFERROR(IF(($BK304)&gt;0,($BN304)/($BK304),""),"")</f>
        <v/>
      </c>
      <c r="BU304" s="67">
        <f>IFERROR(IF(($BL304)&gt;0,($BO304)/($BL304),""),"")</f>
        <v/>
      </c>
      <c r="BV304" s="67">
        <f>IFERROR(IF(($BM304)&gt;0,($BP304)/($BM304),""),"")</f>
        <v/>
      </c>
      <c r="BW304" s="55">
        <f>SUMIFS(tblPlant[Crushed_t],tblPlant[Date],$A304)</f>
        <v/>
      </c>
      <c r="BX304" s="55">
        <f>IF($B304=$B303,$BX303,0)+$BW304</f>
        <v/>
      </c>
      <c r="BY304" s="55">
        <f>$BY303+$BW304</f>
        <v/>
      </c>
      <c r="BZ304" s="55">
        <f>SUMIFS(tblPlant[Milled_t],tblPlant[Date],$A304)</f>
        <v/>
      </c>
      <c r="CA304" s="55">
        <f>IF($B304=$B303,$CA303,0)+$BZ304</f>
        <v/>
      </c>
      <c r="CB304" s="55">
        <f>$CB303+$BZ304</f>
        <v/>
      </c>
      <c r="CC304" s="55">
        <f>SUMIFS(tblPlant[Feed_oz],tblPlant[Date],$A304)</f>
        <v/>
      </c>
      <c r="CD304" s="55">
        <f>IF($B304=$B303,$CD303,0)+$CC304</f>
        <v/>
      </c>
      <c r="CE304" s="55">
        <f>$CE303+$CC304</f>
        <v/>
      </c>
      <c r="CF304" s="55">
        <f>SUMIFS(tblPlant[Tails_oz],tblPlant[Date],$A304)</f>
        <v/>
      </c>
      <c r="CG304" s="55">
        <f>IF($B304=$B303,$CG303,0)+$CF304</f>
        <v/>
      </c>
      <c r="CH304" s="55">
        <f>$CH303+$CF304</f>
        <v/>
      </c>
      <c r="CI304" s="55">
        <f>SUMIFS(tblPlant[Recovered_oz],tblPlant[Date],$A304)</f>
        <v/>
      </c>
      <c r="CJ304" s="55">
        <f>IF($B304=$B303,$CJ303,0)+$CI304</f>
        <v/>
      </c>
      <c r="CK304" s="55">
        <f>$CK303+$CI304</f>
        <v/>
      </c>
      <c r="CL304" s="56">
        <f>IFERROR(IF(($BZ304)&gt;0,($CC304*cfg_TroyOz)/($BZ304),""),"")</f>
        <v/>
      </c>
      <c r="CM304" s="56">
        <f>IFERROR(IF(($CA304)&gt;0,($CD304*cfg_TroyOz)/($CA304),""),"")</f>
        <v/>
      </c>
      <c r="CN304" s="56">
        <f>IFERROR(IF(($CB304)&gt;0,($CE304*cfg_TroyOz)/($CB304),""),"")</f>
        <v/>
      </c>
      <c r="CO304" s="56">
        <f>IFERROR(IF(($BZ304)&gt;0,($CF304*cfg_TroyOz)/($BZ304),""),"")</f>
        <v/>
      </c>
      <c r="CP304" s="56">
        <f>IFERROR(IF(($CA304)&gt;0,($CG304*cfg_TroyOz)/($CA304),""),"")</f>
        <v/>
      </c>
      <c r="CQ304" s="56">
        <f>IFERROR(IF(($CB304)&gt;0,($CH304*cfg_TroyOz)/($CB304),""),"")</f>
        <v/>
      </c>
      <c r="CR304" s="67">
        <f>IFERROR(IF(($CC304)&gt;0,($CI304)/($CC304),""),"")</f>
        <v/>
      </c>
      <c r="CS304" s="67">
        <f>IFERROR(IF(($CD304)&gt;0,($CJ304)/($CD304),""),"")</f>
        <v/>
      </c>
      <c r="CT304" s="67">
        <f>IFERROR(IF(($CE304)&gt;0,($CK304)/($CE304),""),"")</f>
        <v/>
      </c>
      <c r="CU304" s="55">
        <f>SUMIFS(tblPlant[Gravity_Gold_oz],tblPlant[Date],$A304)</f>
        <v/>
      </c>
      <c r="CV304" s="55">
        <f>IF($B304=$B303,$CV303,0)+$CU304</f>
        <v/>
      </c>
      <c r="CW304" s="55">
        <f>$CW303+$CU304</f>
        <v/>
      </c>
      <c r="CX304" s="55">
        <f>SUMIFS(tblPlant[Gold_Poured_oz],tblPlant[Date],$A304)</f>
        <v/>
      </c>
      <c r="CY304" s="55">
        <f>IF($B304=$B303,$CY303,0)+$CX304</f>
        <v/>
      </c>
      <c r="CZ304" s="55">
        <f>$CZ303+$CX304</f>
        <v/>
      </c>
      <c r="DA304" s="57">
        <f>SUMIFS(tblPlant[Mill_Run_h],tblPlant[Date],$A304)</f>
        <v/>
      </c>
      <c r="DB304" s="57">
        <f>IF($B304=$B303,$DB303,0)+$DA304</f>
        <v/>
      </c>
      <c r="DC304" s="57">
        <f>$DC303+$DA304</f>
        <v/>
      </c>
      <c r="DD304" s="57">
        <f>SUMIFS(tblPlant[Mill_Planned_Maint_h],tblPlant[Date],$A304)</f>
        <v/>
      </c>
      <c r="DE304" s="57">
        <f>IF($B304=$B303,$DE303,0)+$DD304</f>
        <v/>
      </c>
      <c r="DF304" s="57">
        <f>$DF303+$DD304</f>
        <v/>
      </c>
      <c r="DG304" s="57">
        <f>SUMIFS(tblPlant[Mill_Unplanned_Down_h],tblPlant[Date],$A304)</f>
        <v/>
      </c>
      <c r="DH304" s="57">
        <f>IF($B304=$B303,$DH303,0)+$DG304</f>
        <v/>
      </c>
      <c r="DI304" s="57">
        <f>$DI303+$DG304</f>
        <v/>
      </c>
      <c r="DJ304" s="57">
        <f>COUNTIFS(tblPlant[Date],$A304,tblPlant[Mill_Run_h],"&lt;&gt;")*24</f>
        <v/>
      </c>
      <c r="DK304" s="57">
        <f>IF($B304=$B303,$DK303,0)+$DJ304</f>
        <v/>
      </c>
      <c r="DL304" s="57">
        <f>$DL303+$DJ304</f>
        <v/>
      </c>
      <c r="DM304" s="57">
        <f>SUMIFS(tblPlant[Crusher_Run_h],tblPlant[Date],$A304)</f>
        <v/>
      </c>
      <c r="DN304" s="57">
        <f>IF($B304=$B303,$DN303,0)+$DM304</f>
        <v/>
      </c>
      <c r="DO304" s="57">
        <f>$DO303+$DM304</f>
        <v/>
      </c>
      <c r="DP304" s="55">
        <f>IFERROR(IF(($DA304)&gt;0,($BZ304)/($DA304),""),"")</f>
        <v/>
      </c>
      <c r="DQ304" s="55">
        <f>IFERROR(IF(($DB304)&gt;0,($CA304)/($DB304),""),"")</f>
        <v/>
      </c>
      <c r="DR304" s="55">
        <f>IFERROR(IF(($DC304)&gt;0,($CB304)/($DC304),""),"")</f>
        <v/>
      </c>
      <c r="DS304" s="67">
        <f>IFERROR(IF(($DJ304)&gt;0,($DJ304-$DD304-$DG304)/($DJ304),""),"")</f>
        <v/>
      </c>
      <c r="DT304" s="67">
        <f>IFERROR(IF(($DK304)&gt;0,($DK304-$DE304-$DH304)/($DK304),""),"")</f>
        <v/>
      </c>
      <c r="DU304" s="67">
        <f>IFERROR(IF(($DL304)&gt;0,($DL304-$DF304-$DI304)/($DL304),""),"")</f>
        <v/>
      </c>
      <c r="DV304" s="67">
        <f>IFERROR(IF(($DJ304-$DD304-$DG304)&gt;0,($DA304)/($DJ304-$DD304-$DG304),""),"")</f>
        <v/>
      </c>
      <c r="DW304" s="67">
        <f>IFERROR(IF(($DK304-$DE304-$DH304)&gt;0,($DB304)/($DK304-$DE304-$DH304),""),"")</f>
        <v/>
      </c>
      <c r="DX304" s="67">
        <f>IFERROR(IF(($DL304-$DF304-$DI304)&gt;0,($DC304)/($DL304-$DF304-$DI304),""),"")</f>
        <v/>
      </c>
      <c r="DY304" s="55">
        <f>SUMIFS(tblPlant[Cyanide_kg],tblPlant[Date],$A304)</f>
        <v/>
      </c>
      <c r="DZ304" s="55">
        <f>IF($B304=$B303,$DZ303,0)+$DY304</f>
        <v/>
      </c>
      <c r="EA304" s="55">
        <f>$EA303+$DY304</f>
        <v/>
      </c>
      <c r="EB304" s="55">
        <f>SUMIFS(tblPlant[Lime_kg],tblPlant[Date],$A304)</f>
        <v/>
      </c>
      <c r="EC304" s="55">
        <f>IF($B304=$B303,$EC303,0)+$EB304</f>
        <v/>
      </c>
      <c r="ED304" s="55">
        <f>$ED303+$EB304</f>
        <v/>
      </c>
      <c r="EE304" s="55">
        <f>SUMIFS(tblPlant[Grinding_Media_kg],tblPlant[Date],$A304)</f>
        <v/>
      </c>
      <c r="EF304" s="55">
        <f>IF($B304=$B303,$EF303,0)+$EE304</f>
        <v/>
      </c>
      <c r="EG304" s="55">
        <f>$EG303+$EE304</f>
        <v/>
      </c>
      <c r="EH304" s="55">
        <f>SUMIFS(tblPlant[Power_kWh],tblPlant[Date],$A304)</f>
        <v/>
      </c>
      <c r="EI304" s="55">
        <f>IF($B304=$B303,$EI303,0)+$EH304</f>
        <v/>
      </c>
      <c r="EJ304" s="55">
        <f>$EJ303+$EH304</f>
        <v/>
      </c>
      <c r="EK304" s="55">
        <f>SUMIFS(tblPlant[Raw_Water_m3],tblPlant[Date],$A304)</f>
        <v/>
      </c>
      <c r="EL304" s="55">
        <f>IF($B304=$B303,$EL303,0)+$EK304</f>
        <v/>
      </c>
      <c r="EM304" s="55">
        <f>$EM303+$EK304</f>
        <v/>
      </c>
      <c r="EN304" s="56">
        <f>IFERROR(IF(($BZ304)&gt;0,($DY304)/($BZ304),""),"")</f>
        <v/>
      </c>
      <c r="EO304" s="56">
        <f>IFERROR(IF(($CA304)&gt;0,($DZ304)/($CA304),""),"")</f>
        <v/>
      </c>
      <c r="EP304" s="56">
        <f>IFERROR(IF(($CB304)&gt;0,($EA304)/($CB304),""),"")</f>
        <v/>
      </c>
      <c r="EQ304" s="56">
        <f>IFERROR(IF(($BZ304)&gt;0,($EB304)/($BZ304),""),"")</f>
        <v/>
      </c>
      <c r="ER304" s="56">
        <f>IFERROR(IF(($CA304)&gt;0,($EC304)/($CA304),""),"")</f>
        <v/>
      </c>
      <c r="ES304" s="56">
        <f>IFERROR(IF(($CB304)&gt;0,($ED304)/($CB304),""),"")</f>
        <v/>
      </c>
      <c r="ET304" s="56">
        <f>IFERROR(IF(($BZ304)&gt;0,($EE304)/($BZ304),""),"")</f>
        <v/>
      </c>
      <c r="EU304" s="56">
        <f>IFERROR(IF(($CA304)&gt;0,($EF304)/($CA304),""),"")</f>
        <v/>
      </c>
      <c r="EV304" s="56">
        <f>IFERROR(IF(($CB304)&gt;0,($EG304)/($CB304),""),"")</f>
        <v/>
      </c>
      <c r="EW304" s="76">
        <f>IFERROR(IF(($BZ304)&gt;0,($EH304)/($BZ304),""),"")</f>
        <v/>
      </c>
      <c r="EX304" s="76">
        <f>IFERROR(IF(($CA304)&gt;0,($EI304)/($CA304),""),"")</f>
        <v/>
      </c>
      <c r="EY304" s="76">
        <f>IFERROR(IF(($CB304)&gt;0,($EJ304)/($CB304),""),"")</f>
        <v/>
      </c>
      <c r="EZ304" s="56">
        <f>IFERROR(IF(($BZ304)&gt;0,($EK304)/($BZ304),""),"")</f>
        <v/>
      </c>
      <c r="FA304" s="56">
        <f>IFERROR(IF(($CA304)&gt;0,($EL304)/($CA304),""),"")</f>
        <v/>
      </c>
      <c r="FB304" s="56">
        <f>IFERROR(IF(($CB304)&gt;0,($EM304)/($CB304),""),"")</f>
        <v/>
      </c>
      <c r="FC304" s="55">
        <f>IF(SUMIFS(tblPlant[GIC_oz],tblPlant[Date],$A304)&gt;0,SUMIFS(tblPlant[GIC_oz],tblPlant[Date],$A304),"")</f>
        <v/>
      </c>
      <c r="FD304" s="55">
        <f>SUMIFS(tblGold[Gold_oz],tblGold[Date],$A304,tblGold[Type],"Shipment")</f>
        <v/>
      </c>
      <c r="FE304" s="55">
        <f>IF($B304=$B303,$FE303,0)+$FD304</f>
        <v/>
      </c>
      <c r="FF304" s="55">
        <f>$FF303+$FD304</f>
        <v/>
      </c>
      <c r="FG304" s="55">
        <f>SUMIFS(tblGold[Gold_oz],tblGold[Date],$A304,tblGold[Type],"Sale")</f>
        <v/>
      </c>
      <c r="FH304" s="55">
        <f>IF($B304=$B303,$FH303,0)+$FG304</f>
        <v/>
      </c>
      <c r="FI304" s="55">
        <f>$FI303+$FG304</f>
        <v/>
      </c>
      <c r="FJ304" s="55">
        <f>SUMIFS(tblGold[Dore_kg],tblGold[Date],$A304,tblGold[Type],"Shipment")</f>
        <v/>
      </c>
      <c r="FK304" s="55">
        <f>IF($B304=$B303,$FK303,0)+$FJ304</f>
        <v/>
      </c>
      <c r="FL304" s="55">
        <f>$FL303+$FJ304</f>
        <v/>
      </c>
      <c r="FM304" s="57">
        <f>SUMIFS(tblSafety[Hours_Total],tblSafety[Date],$A304)</f>
        <v/>
      </c>
      <c r="FN304" s="57">
        <f>IF($B304=$B303,$FN303,0)+$FM304</f>
        <v/>
      </c>
      <c r="FO304" s="57">
        <f>$FO303+$FM304</f>
        <v/>
      </c>
      <c r="FP304" s="62">
        <f>SUMIFS(tblSafety[Fatality],tblSafety[Date],$A304)</f>
        <v/>
      </c>
      <c r="FQ304" s="62">
        <f>IF($B304=$B303,$FQ303,0)+$FP304</f>
        <v/>
      </c>
      <c r="FR304" s="62">
        <f>$FR303+$FP304</f>
        <v/>
      </c>
      <c r="FS304" s="62">
        <f>SUMIFS(tblSafety[LTI],tblSafety[Date],$A304)</f>
        <v/>
      </c>
      <c r="FT304" s="62">
        <f>IF($B304=$B303,$FT303,0)+$FS304</f>
        <v/>
      </c>
      <c r="FU304" s="62">
        <f>$FU303+$FS304</f>
        <v/>
      </c>
      <c r="FV304" s="62">
        <f>SUMIFS(tblSafety[RWI],tblSafety[Date],$A304)</f>
        <v/>
      </c>
      <c r="FW304" s="62">
        <f>IF($B304=$B303,$FW303,0)+$FV304</f>
        <v/>
      </c>
      <c r="FX304" s="62">
        <f>$FX303+$FV304</f>
        <v/>
      </c>
      <c r="FY304" s="62">
        <f>SUMIFS(tblSafety[MTI],tblSafety[Date],$A304)</f>
        <v/>
      </c>
      <c r="FZ304" s="62">
        <f>IF($B304=$B303,$FZ303,0)+$FY304</f>
        <v/>
      </c>
      <c r="GA304" s="62">
        <f>$GA303+$FY304</f>
        <v/>
      </c>
      <c r="GB304" s="62">
        <f>SUMIFS(tblSafety[FAI],tblSafety[Date],$A304)</f>
        <v/>
      </c>
      <c r="GC304" s="62">
        <f>IF($B304=$B303,$GC303,0)+$GB304</f>
        <v/>
      </c>
      <c r="GD304" s="62">
        <f>$GD303+$GB304</f>
        <v/>
      </c>
      <c r="GE304" s="62">
        <f>SUMIFS(tblSafety[Recordables],tblSafety[Date],$A304)</f>
        <v/>
      </c>
      <c r="GF304" s="62">
        <f>IF($B304=$B303,$GF303,0)+$GE304</f>
        <v/>
      </c>
      <c r="GG304" s="62">
        <f>$GG303+$GE304</f>
        <v/>
      </c>
      <c r="GH304" s="62">
        <f>SUMIFS(tblSafety[Near_Miss],tblSafety[Date],$A304)</f>
        <v/>
      </c>
      <c r="GI304" s="62">
        <f>IF($B304=$B303,$GI303,0)+$GH304</f>
        <v/>
      </c>
      <c r="GJ304" s="62">
        <f>$GJ303+$GH304</f>
        <v/>
      </c>
      <c r="GK304" s="62">
        <f>SUMIFS(tblSafety[Hazard_Reports],tblSafety[Date],$A304)</f>
        <v/>
      </c>
      <c r="GL304" s="62">
        <f>IF($B304=$B303,$GL303,0)+$GK304</f>
        <v/>
      </c>
      <c r="GM304" s="62">
        <f>$GM303+$GK304</f>
        <v/>
      </c>
      <c r="GN304" s="62">
        <f>SUMIFS(tblSafety[HPI],tblSafety[Date],$A304)</f>
        <v/>
      </c>
      <c r="GO304" s="62">
        <f>IF($B304=$B303,$GO303,0)+$GN304</f>
        <v/>
      </c>
      <c r="GP304" s="62">
        <f>$GP303+$GN304</f>
        <v/>
      </c>
      <c r="GQ304" s="62">
        <f>SUMIFS(tblSafety[Env_Incidents],tblSafety[Date],$A304)</f>
        <v/>
      </c>
      <c r="GR304" s="62">
        <f>IF($B304=$B303,$GR303,0)+$GQ304</f>
        <v/>
      </c>
      <c r="GS304" s="62">
        <f>$GS303+$GQ304</f>
        <v/>
      </c>
      <c r="GT304" s="62">
        <f>SUMIFS(tblSafety[Community_Incidents],tblSafety[Date],$A304)</f>
        <v/>
      </c>
      <c r="GU304" s="62">
        <f>IF($B304=$B303,$GU303,0)+$GT304</f>
        <v/>
      </c>
      <c r="GV304" s="62">
        <f>$GV303+$GT304</f>
        <v/>
      </c>
      <c r="GW304" s="62">
        <f>SUMIFS(tblSafety[Vehicle_Incidents],tblSafety[Date],$A304)</f>
        <v/>
      </c>
      <c r="GX304" s="62">
        <f>IF($B304=$B303,$GX303,0)+$GW304</f>
        <v/>
      </c>
      <c r="GY304" s="62">
        <f>$GY303+$GW304</f>
        <v/>
      </c>
      <c r="GZ304" s="62">
        <f>SUMIFS(tblSafety[Toolbox_Talks],tblSafety[Date],$A304)</f>
        <v/>
      </c>
      <c r="HA304" s="62">
        <f>IF($B304=$B303,$HA303,0)+$GZ304</f>
        <v/>
      </c>
      <c r="HB304" s="62">
        <f>$HB303+$GZ304</f>
        <v/>
      </c>
      <c r="HC304" s="62">
        <f>SUMIFS(tblSafety[Inspections],tblSafety[Date],$A304)</f>
        <v/>
      </c>
      <c r="HD304" s="62">
        <f>IF($B304=$B303,$HD303,0)+$HC304</f>
        <v/>
      </c>
      <c r="HE304" s="62">
        <f>$HE303+$HC304</f>
        <v/>
      </c>
      <c r="HF304" s="56">
        <f>IFERROR((SUMIFS(tblSafety[Recordables],tblSafety[Date],"&gt;="&amp;EDATE($E304,-12),tblSafety[Date],"&lt;="&amp;$A304)+SUMIFS(tblSafetyHistory[Recordables],tblSafetyHistory[Month],"&gt;="&amp;EDATE($E304,-12),tblSafetyHistory[Month],"&lt;"&amp;cfg_YearStart))/(SUMIFS(tblSafety[Hours_Total],tblSafety[Date],"&gt;="&amp;EDATE($E304,-12),tblSafety[Date],"&lt;="&amp;$A304)+SUMIFS(tblSafetyHistory[Hours_Total],tblSafetyHistory[Month],"&gt;="&amp;EDATE($E304,-12),tblSafetyHistory[Month],"&lt;"&amp;cfg_YearStart))*1000000,"")</f>
        <v/>
      </c>
      <c r="HG304" s="56">
        <f>IFERROR((SUMIFS(tblSafety[LTI],tblSafety[Date],"&gt;="&amp;EDATE($E304,-12),tblSafety[Date],"&lt;="&amp;$A304)+SUMIFS(tblSafetyHistory[LTI],tblSafetyHistory[Month],"&gt;="&amp;EDATE($E304,-12),tblSafetyHistory[Month],"&lt;"&amp;cfg_YearStart))/(SUMIFS(tblSafety[Hours_Total],tblSafety[Date],"&gt;="&amp;EDATE($E304,-12),tblSafety[Date],"&lt;="&amp;$A304)+SUMIFS(tblSafetyHistory[Hours_Total],tblSafetyHistory[Month],"&gt;="&amp;EDATE($E304,-12),tblSafetyHistory[Month],"&lt;"&amp;cfg_YearStart))*1000000,"")</f>
        <v/>
      </c>
      <c r="HH304" s="62">
        <f>IF(MAX(N(cfg_PriorLTIDate),_xlfn.MAXIFS(tblSafety[Date],tblSafety[LTI],"&gt;0",tblSafety[Date],"&lt;="&amp;$A304))=0,"",$A304-MAX(N(cfg_PriorLTIDate),_xlfn.MAXIFS(tblSafety[Date],tblSafety[LTI],"&gt;0",tblSafety[Date],"&lt;="&amp;$A304)))</f>
        <v/>
      </c>
      <c r="HI304" s="55">
        <f>SUMIFS(tblBudget[Ore_Mined_t],tblBudget[Month],$E304)</f>
        <v/>
      </c>
      <c r="HJ304" s="55">
        <f>$HI304*$C304/$D304</f>
        <v/>
      </c>
      <c r="HK304" s="55">
        <f>SUMIFS(tblBudget[Ore_Mined_t],tblBudget[Month],"&lt;"&amp;$E304)+$HJ304</f>
        <v/>
      </c>
      <c r="HL304" s="55">
        <f>SUMIFS(tblBudget[Ore_oz],tblBudget[Month],$E304)</f>
        <v/>
      </c>
      <c r="HM304" s="55">
        <f>$HL304*$C304/$D304</f>
        <v/>
      </c>
      <c r="HN304" s="55">
        <f>SUMIFS(tblBudget[Ore_oz],tblBudget[Month],"&lt;"&amp;$E304)+$HM304</f>
        <v/>
      </c>
      <c r="HO304" s="56">
        <f>IFERROR(IF(($HI304)&gt;0,($HL304*cfg_TroyOz)/($HI304),""),"")</f>
        <v/>
      </c>
      <c r="HP304" s="56">
        <f>IFERROR(IF(($HJ304)&gt;0,($HM304*cfg_TroyOz)/($HJ304),""),"")</f>
        <v/>
      </c>
      <c r="HQ304" s="56">
        <f>IFERROR(IF(($HK304)&gt;0,($HN304*cfg_TroyOz)/($HK304),""),"")</f>
        <v/>
      </c>
      <c r="HR304" s="55">
        <f>SUMIFS(tblBudget[Waste_t],tblBudget[Month],$E304)</f>
        <v/>
      </c>
      <c r="HS304" s="55">
        <f>$HR304*$C304/$D304</f>
        <v/>
      </c>
      <c r="HT304" s="55">
        <f>SUMIFS(tblBudget[Waste_t],tblBudget[Month],"&lt;"&amp;$E304)+$HS304</f>
        <v/>
      </c>
      <c r="HU304" s="55">
        <f>SUMIFS(tblBudget[TMM_t],tblBudget[Month],$E304)</f>
        <v/>
      </c>
      <c r="HV304" s="55">
        <f>$HU304*$C304/$D304</f>
        <v/>
      </c>
      <c r="HW304" s="55">
        <f>SUMIFS(tblBudget[TMM_t],tblBudget[Month],"&lt;"&amp;$E304)+$HV304</f>
        <v/>
      </c>
      <c r="HX304" s="56">
        <f>IFERROR(IF(($HI304)&gt;0,($HR304)/($HI304),""),"")</f>
        <v/>
      </c>
      <c r="HY304" s="56">
        <f>IFERROR(IF(($HJ304)&gt;0,($HS304)/($HJ304),""),"")</f>
        <v/>
      </c>
      <c r="HZ304" s="56">
        <f>IFERROR(IF(($HK304)&gt;0,($HT304)/($HK304),""),"")</f>
        <v/>
      </c>
      <c r="IA304" s="55">
        <f>SUMIFS(tblBudget[Drill_m],tblBudget[Month],$E304)</f>
        <v/>
      </c>
      <c r="IB304" s="55">
        <f>$IA304*$C304/$D304</f>
        <v/>
      </c>
      <c r="IC304" s="55">
        <f>SUMIFS(tblBudget[Drill_m],tblBudget[Month],"&lt;"&amp;$E304)+$IB304</f>
        <v/>
      </c>
      <c r="ID304" s="55">
        <f>SUMIFS(tblBudget[Diesel_L],tblBudget[Month],$E304)</f>
        <v/>
      </c>
      <c r="IE304" s="55">
        <f>$ID304*$C304/$D304</f>
        <v/>
      </c>
      <c r="IF304" s="55">
        <f>SUMIFS(tblBudget[Diesel_L],tblBudget[Month],"&lt;"&amp;$E304)+$IE304</f>
        <v/>
      </c>
      <c r="IG304" s="55">
        <f>SUMIFS(tblBudget[Milled_t],tblBudget[Month],$E304)</f>
        <v/>
      </c>
      <c r="IH304" s="55">
        <f>$IG304*$C304/$D304</f>
        <v/>
      </c>
      <c r="II304" s="55">
        <f>SUMIFS(tblBudget[Milled_t],tblBudget[Month],"&lt;"&amp;$E304)+$IH304</f>
        <v/>
      </c>
      <c r="IJ304" s="55">
        <f>SUMIFS(tblBudget[Feed_oz],tblBudget[Month],$E304)</f>
        <v/>
      </c>
      <c r="IK304" s="55">
        <f>$IJ304*$C304/$D304</f>
        <v/>
      </c>
      <c r="IL304" s="55">
        <f>SUMIFS(tblBudget[Feed_oz],tblBudget[Month],"&lt;"&amp;$E304)+$IK304</f>
        <v/>
      </c>
      <c r="IM304" s="55">
        <f>SUMIFS(tblBudget[Recovered_oz],tblBudget[Month],$E304)</f>
        <v/>
      </c>
      <c r="IN304" s="55">
        <f>$IM304*$C304/$D304</f>
        <v/>
      </c>
      <c r="IO304" s="55">
        <f>SUMIFS(tblBudget[Recovered_oz],tblBudget[Month],"&lt;"&amp;$E304)+$IN304</f>
        <v/>
      </c>
      <c r="IP304" s="56">
        <f>IFERROR(IF(($IG304)&gt;0,($IJ304*cfg_TroyOz)/($IG304),""),"")</f>
        <v/>
      </c>
      <c r="IQ304" s="56">
        <f>IFERROR(IF(($IH304)&gt;0,($IK304*cfg_TroyOz)/($IH304),""),"")</f>
        <v/>
      </c>
      <c r="IR304" s="56">
        <f>IFERROR(IF(($II304)&gt;0,($IL304*cfg_TroyOz)/($II304),""),"")</f>
        <v/>
      </c>
      <c r="IS304" s="67">
        <f>IFERROR(IF(($IJ304)&gt;0,($IM304)/($IJ304),""),"")</f>
        <v/>
      </c>
      <c r="IT304" s="67">
        <f>IFERROR(IF(($IK304)&gt;0,($IN304)/($IK304),""),"")</f>
        <v/>
      </c>
      <c r="IU304" s="67">
        <f>IFERROR(IF(($IL304)&gt;0,($IO304)/($IL304),""),"")</f>
        <v/>
      </c>
      <c r="IV304" s="55">
        <f>SUMIFS(tblBudget[Gold_Poured_oz],tblBudget[Month],$E304)</f>
        <v/>
      </c>
      <c r="IW304" s="55">
        <f>$IV304*$C304/$D304</f>
        <v/>
      </c>
      <c r="IX304" s="55">
        <f>SUMIFS(tblBudget[Gold_Poured_oz],tblBudget[Month],"&lt;"&amp;$E304)+$IW304</f>
        <v/>
      </c>
      <c r="IY304" s="57">
        <f>SUMIFS(tblBudget[Hours_Worked],tblBudget[Month],$E304)</f>
        <v/>
      </c>
      <c r="IZ304" s="57">
        <f>$IY304*$C304/$D304</f>
        <v/>
      </c>
      <c r="JA304" s="57">
        <f>SUMIFS(tblBudget[Hours_Worked],tblBudget[Month],"&lt;"&amp;$E304)+$IZ304</f>
        <v/>
      </c>
    </row>
    <row r="305">
      <c r="A305" s="54" t="n">
        <v>46326</v>
      </c>
      <c r="B305">
        <f>MONTH($A305)</f>
        <v/>
      </c>
      <c r="C305">
        <f>DAY($A305)</f>
        <v/>
      </c>
      <c r="D305">
        <f>DAY(EOMONTH($A305,0))</f>
        <v/>
      </c>
      <c r="E305" s="54">
        <f>DATE(YEAR($A305),MONTH($A305),1)</f>
        <v/>
      </c>
      <c r="F305" s="55">
        <f>SUMIFS(tblMovement[Tonnes_t],tblMovement[Date],$A305,tblMovement[Is_Ore],1,tblMovement[Source_Type],"Pit")</f>
        <v/>
      </c>
      <c r="G305" s="55">
        <f>IF($B305=$B304,$G304,0)+$F305</f>
        <v/>
      </c>
      <c r="H305" s="55">
        <f>$H304+$F305</f>
        <v/>
      </c>
      <c r="I305" s="55">
        <f>SUMIFS(tblMovement[Ore_oz],tblMovement[Date],$A305,tblMovement[Source_Type],"Pit")</f>
        <v/>
      </c>
      <c r="J305" s="55">
        <f>IF($B305=$B304,$J304,0)+$I305</f>
        <v/>
      </c>
      <c r="K305" s="55">
        <f>$K304+$I305</f>
        <v/>
      </c>
      <c r="L305" s="56">
        <f>IFERROR(IF(($F305)&gt;0,($I305*cfg_TroyOz)/($F305),""),"")</f>
        <v/>
      </c>
      <c r="M305" s="56">
        <f>IFERROR(IF(($G305)&gt;0,($J305*cfg_TroyOz)/($G305),""),"")</f>
        <v/>
      </c>
      <c r="N305" s="56">
        <f>IFERROR(IF(($H305)&gt;0,($K305*cfg_TroyOz)/($H305),""),"")</f>
        <v/>
      </c>
      <c r="O305" s="55">
        <f>SUMIFS(tblMovement[Tonnes_t],tblMovement[Date],$A305,tblMovement[Is_Ore],0,tblMovement[Source_Type],"Pit")</f>
        <v/>
      </c>
      <c r="P305" s="55">
        <f>IF($B305=$B304,$P304,0)+$O305</f>
        <v/>
      </c>
      <c r="Q305" s="55">
        <f>$Q304+$O305</f>
        <v/>
      </c>
      <c r="R305" s="55">
        <f>$F305+$O305</f>
        <v/>
      </c>
      <c r="S305" s="55">
        <f>IF($B305=$B304,$S304,0)+$R305</f>
        <v/>
      </c>
      <c r="T305" s="55">
        <f>$T304+$R305</f>
        <v/>
      </c>
      <c r="U305" s="56">
        <f>IFERROR(IF(($F305)&gt;0,($O305)/($F305),""),"")</f>
        <v/>
      </c>
      <c r="V305" s="56">
        <f>IFERROR(IF(($G305)&gt;0,($P305)/($G305),""),"")</f>
        <v/>
      </c>
      <c r="W305" s="56">
        <f>IFERROR(IF(($H305)&gt;0,($Q305)/($H305),""),"")</f>
        <v/>
      </c>
      <c r="X305" s="55">
        <f>SUMIFS(tblMovement[Tonnes_t],tblMovement[Date],$A305,tblMovement[Source_Type],"Stockpile")</f>
        <v/>
      </c>
      <c r="Y305" s="55">
        <f>IF($B305=$B304,$Y304,0)+$X305</f>
        <v/>
      </c>
      <c r="Z305" s="55">
        <f>$Z304+$X305</f>
        <v/>
      </c>
      <c r="AA305" s="55">
        <f>SUMIFS(tblMiningDaily[Drill_m],tblMiningDaily[Date],$A305)</f>
        <v/>
      </c>
      <c r="AB305" s="55">
        <f>IF($B305=$B304,$AB304,0)+$AA305</f>
        <v/>
      </c>
      <c r="AC305" s="55">
        <f>$AC304+$AA305</f>
        <v/>
      </c>
      <c r="AD305" s="55">
        <f>SUMIFS(tblMiningDaily[Blast_t],tblMiningDaily[Date],$A305)</f>
        <v/>
      </c>
      <c r="AE305" s="55">
        <f>IF($B305=$B304,$AE304,0)+$AD305</f>
        <v/>
      </c>
      <c r="AF305" s="55">
        <f>$AF304+$AD305</f>
        <v/>
      </c>
      <c r="AG305" s="55">
        <f>SUMIFS(tblMiningDaily[Explosives_kg],tblMiningDaily[Date],$A305)</f>
        <v/>
      </c>
      <c r="AH305" s="55">
        <f>IF($B305=$B304,$AH304,0)+$AG305</f>
        <v/>
      </c>
      <c r="AI305" s="55">
        <f>$AI304+$AG305</f>
        <v/>
      </c>
      <c r="AJ305" s="56">
        <f>IFERROR(IF(($AD305)&gt;0,($AG305)/($AD305),""),"")</f>
        <v/>
      </c>
      <c r="AK305" s="56">
        <f>IFERROR(IF(($AE305)&gt;0,($AH305)/($AE305),""),"")</f>
        <v/>
      </c>
      <c r="AL305" s="56">
        <f>IFERROR(IF(($AF305)&gt;0,($AI305)/($AF305),""),"")</f>
        <v/>
      </c>
      <c r="AM305" s="55">
        <f>SUMIFS(tblMiningDaily[Diesel_L],tblMiningDaily[Date],$A305)</f>
        <v/>
      </c>
      <c r="AN305" s="55">
        <f>IF($B305=$B304,$AN304,0)+$AM305</f>
        <v/>
      </c>
      <c r="AO305" s="55">
        <f>$AO304+$AM305</f>
        <v/>
      </c>
      <c r="AP305" s="55">
        <f>SUMIFS(tblMiningDaily[Dewatering_m3],tblMiningDaily[Date],$A305)</f>
        <v/>
      </c>
      <c r="AQ305" s="55">
        <f>IF($B305=$B304,$AQ304,0)+$AP305</f>
        <v/>
      </c>
      <c r="AR305" s="55">
        <f>$AR304+$AP305</f>
        <v/>
      </c>
      <c r="AS305" s="57">
        <f>SUMIFS(tblFleet[Calendar_h],tblFleet[Date],$A305,tblFleet[Equipment_Class],"Excavator")</f>
        <v/>
      </c>
      <c r="AT305" s="57">
        <f>IF($B305=$B304,$AT304,0)+$AS305</f>
        <v/>
      </c>
      <c r="AU305" s="57">
        <f>$AU304+$AS305</f>
        <v/>
      </c>
      <c r="AV305" s="57">
        <f>SUMIFS(tblFleet[Available_h],tblFleet[Date],$A305,tblFleet[Equipment_Class],"Excavator")</f>
        <v/>
      </c>
      <c r="AW305" s="57">
        <f>IF($B305=$B304,$AW304,0)+$AV305</f>
        <v/>
      </c>
      <c r="AX305" s="57">
        <f>$AX304+$AV305</f>
        <v/>
      </c>
      <c r="AY305" s="57">
        <f>SUMIFS(tblFleet[Operating_h],tblFleet[Date],$A305,tblFleet[Equipment_Class],"Excavator")</f>
        <v/>
      </c>
      <c r="AZ305" s="57">
        <f>IF($B305=$B304,$AZ304,0)+$AY305</f>
        <v/>
      </c>
      <c r="BA305" s="57">
        <f>$BA304+$AY305</f>
        <v/>
      </c>
      <c r="BB305" s="67">
        <f>IFERROR(IF(($AS305)&gt;0,($AV305)/($AS305),""),"")</f>
        <v/>
      </c>
      <c r="BC305" s="67">
        <f>IFERROR(IF(($AT305)&gt;0,($AW305)/($AT305),""),"")</f>
        <v/>
      </c>
      <c r="BD305" s="67">
        <f>IFERROR(IF(($AU305)&gt;0,($AX305)/($AU305),""),"")</f>
        <v/>
      </c>
      <c r="BE305" s="67">
        <f>IFERROR(IF(($AV305)&gt;0,($AY305)/($AV305),""),"")</f>
        <v/>
      </c>
      <c r="BF305" s="67">
        <f>IFERROR(IF(($AW305)&gt;0,($AZ305)/($AW305),""),"")</f>
        <v/>
      </c>
      <c r="BG305" s="67">
        <f>IFERROR(IF(($AX305)&gt;0,($BA305)/($AX305),""),"")</f>
        <v/>
      </c>
      <c r="BH305" s="57">
        <f>SUMIFS(tblFleet[Calendar_h],tblFleet[Date],$A305,tblFleet[Equipment_Class],"Haul Truck")</f>
        <v/>
      </c>
      <c r="BI305" s="57">
        <f>IF($B305=$B304,$BI304,0)+$BH305</f>
        <v/>
      </c>
      <c r="BJ305" s="57">
        <f>$BJ304+$BH305</f>
        <v/>
      </c>
      <c r="BK305" s="57">
        <f>SUMIFS(tblFleet[Available_h],tblFleet[Date],$A305,tblFleet[Equipment_Class],"Haul Truck")</f>
        <v/>
      </c>
      <c r="BL305" s="57">
        <f>IF($B305=$B304,$BL304,0)+$BK305</f>
        <v/>
      </c>
      <c r="BM305" s="57">
        <f>$BM304+$BK305</f>
        <v/>
      </c>
      <c r="BN305" s="57">
        <f>SUMIFS(tblFleet[Operating_h],tblFleet[Date],$A305,tblFleet[Equipment_Class],"Haul Truck")</f>
        <v/>
      </c>
      <c r="BO305" s="57">
        <f>IF($B305=$B304,$BO304,0)+$BN305</f>
        <v/>
      </c>
      <c r="BP305" s="57">
        <f>$BP304+$BN305</f>
        <v/>
      </c>
      <c r="BQ305" s="67">
        <f>IFERROR(IF(($BH305)&gt;0,($BK305)/($BH305),""),"")</f>
        <v/>
      </c>
      <c r="BR305" s="67">
        <f>IFERROR(IF(($BI305)&gt;0,($BL305)/($BI305),""),"")</f>
        <v/>
      </c>
      <c r="BS305" s="67">
        <f>IFERROR(IF(($BJ305)&gt;0,($BM305)/($BJ305),""),"")</f>
        <v/>
      </c>
      <c r="BT305" s="67">
        <f>IFERROR(IF(($BK305)&gt;0,($BN305)/($BK305),""),"")</f>
        <v/>
      </c>
      <c r="BU305" s="67">
        <f>IFERROR(IF(($BL305)&gt;0,($BO305)/($BL305),""),"")</f>
        <v/>
      </c>
      <c r="BV305" s="67">
        <f>IFERROR(IF(($BM305)&gt;0,($BP305)/($BM305),""),"")</f>
        <v/>
      </c>
      <c r="BW305" s="55">
        <f>SUMIFS(tblPlant[Crushed_t],tblPlant[Date],$A305)</f>
        <v/>
      </c>
      <c r="BX305" s="55">
        <f>IF($B305=$B304,$BX304,0)+$BW305</f>
        <v/>
      </c>
      <c r="BY305" s="55">
        <f>$BY304+$BW305</f>
        <v/>
      </c>
      <c r="BZ305" s="55">
        <f>SUMIFS(tblPlant[Milled_t],tblPlant[Date],$A305)</f>
        <v/>
      </c>
      <c r="CA305" s="55">
        <f>IF($B305=$B304,$CA304,0)+$BZ305</f>
        <v/>
      </c>
      <c r="CB305" s="55">
        <f>$CB304+$BZ305</f>
        <v/>
      </c>
      <c r="CC305" s="55">
        <f>SUMIFS(tblPlant[Feed_oz],tblPlant[Date],$A305)</f>
        <v/>
      </c>
      <c r="CD305" s="55">
        <f>IF($B305=$B304,$CD304,0)+$CC305</f>
        <v/>
      </c>
      <c r="CE305" s="55">
        <f>$CE304+$CC305</f>
        <v/>
      </c>
      <c r="CF305" s="55">
        <f>SUMIFS(tblPlant[Tails_oz],tblPlant[Date],$A305)</f>
        <v/>
      </c>
      <c r="CG305" s="55">
        <f>IF($B305=$B304,$CG304,0)+$CF305</f>
        <v/>
      </c>
      <c r="CH305" s="55">
        <f>$CH304+$CF305</f>
        <v/>
      </c>
      <c r="CI305" s="55">
        <f>SUMIFS(tblPlant[Recovered_oz],tblPlant[Date],$A305)</f>
        <v/>
      </c>
      <c r="CJ305" s="55">
        <f>IF($B305=$B304,$CJ304,0)+$CI305</f>
        <v/>
      </c>
      <c r="CK305" s="55">
        <f>$CK304+$CI305</f>
        <v/>
      </c>
      <c r="CL305" s="56">
        <f>IFERROR(IF(($BZ305)&gt;0,($CC305*cfg_TroyOz)/($BZ305),""),"")</f>
        <v/>
      </c>
      <c r="CM305" s="56">
        <f>IFERROR(IF(($CA305)&gt;0,($CD305*cfg_TroyOz)/($CA305),""),"")</f>
        <v/>
      </c>
      <c r="CN305" s="56">
        <f>IFERROR(IF(($CB305)&gt;0,($CE305*cfg_TroyOz)/($CB305),""),"")</f>
        <v/>
      </c>
      <c r="CO305" s="56">
        <f>IFERROR(IF(($BZ305)&gt;0,($CF305*cfg_TroyOz)/($BZ305),""),"")</f>
        <v/>
      </c>
      <c r="CP305" s="56">
        <f>IFERROR(IF(($CA305)&gt;0,($CG305*cfg_TroyOz)/($CA305),""),"")</f>
        <v/>
      </c>
      <c r="CQ305" s="56">
        <f>IFERROR(IF(($CB305)&gt;0,($CH305*cfg_TroyOz)/($CB305),""),"")</f>
        <v/>
      </c>
      <c r="CR305" s="67">
        <f>IFERROR(IF(($CC305)&gt;0,($CI305)/($CC305),""),"")</f>
        <v/>
      </c>
      <c r="CS305" s="67">
        <f>IFERROR(IF(($CD305)&gt;0,($CJ305)/($CD305),""),"")</f>
        <v/>
      </c>
      <c r="CT305" s="67">
        <f>IFERROR(IF(($CE305)&gt;0,($CK305)/($CE305),""),"")</f>
        <v/>
      </c>
      <c r="CU305" s="55">
        <f>SUMIFS(tblPlant[Gravity_Gold_oz],tblPlant[Date],$A305)</f>
        <v/>
      </c>
      <c r="CV305" s="55">
        <f>IF($B305=$B304,$CV304,0)+$CU305</f>
        <v/>
      </c>
      <c r="CW305" s="55">
        <f>$CW304+$CU305</f>
        <v/>
      </c>
      <c r="CX305" s="55">
        <f>SUMIFS(tblPlant[Gold_Poured_oz],tblPlant[Date],$A305)</f>
        <v/>
      </c>
      <c r="CY305" s="55">
        <f>IF($B305=$B304,$CY304,0)+$CX305</f>
        <v/>
      </c>
      <c r="CZ305" s="55">
        <f>$CZ304+$CX305</f>
        <v/>
      </c>
      <c r="DA305" s="57">
        <f>SUMIFS(tblPlant[Mill_Run_h],tblPlant[Date],$A305)</f>
        <v/>
      </c>
      <c r="DB305" s="57">
        <f>IF($B305=$B304,$DB304,0)+$DA305</f>
        <v/>
      </c>
      <c r="DC305" s="57">
        <f>$DC304+$DA305</f>
        <v/>
      </c>
      <c r="DD305" s="57">
        <f>SUMIFS(tblPlant[Mill_Planned_Maint_h],tblPlant[Date],$A305)</f>
        <v/>
      </c>
      <c r="DE305" s="57">
        <f>IF($B305=$B304,$DE304,0)+$DD305</f>
        <v/>
      </c>
      <c r="DF305" s="57">
        <f>$DF304+$DD305</f>
        <v/>
      </c>
      <c r="DG305" s="57">
        <f>SUMIFS(tblPlant[Mill_Unplanned_Down_h],tblPlant[Date],$A305)</f>
        <v/>
      </c>
      <c r="DH305" s="57">
        <f>IF($B305=$B304,$DH304,0)+$DG305</f>
        <v/>
      </c>
      <c r="DI305" s="57">
        <f>$DI304+$DG305</f>
        <v/>
      </c>
      <c r="DJ305" s="57">
        <f>COUNTIFS(tblPlant[Date],$A305,tblPlant[Mill_Run_h],"&lt;&gt;")*24</f>
        <v/>
      </c>
      <c r="DK305" s="57">
        <f>IF($B305=$B304,$DK304,0)+$DJ305</f>
        <v/>
      </c>
      <c r="DL305" s="57">
        <f>$DL304+$DJ305</f>
        <v/>
      </c>
      <c r="DM305" s="57">
        <f>SUMIFS(tblPlant[Crusher_Run_h],tblPlant[Date],$A305)</f>
        <v/>
      </c>
      <c r="DN305" s="57">
        <f>IF($B305=$B304,$DN304,0)+$DM305</f>
        <v/>
      </c>
      <c r="DO305" s="57">
        <f>$DO304+$DM305</f>
        <v/>
      </c>
      <c r="DP305" s="55">
        <f>IFERROR(IF(($DA305)&gt;0,($BZ305)/($DA305),""),"")</f>
        <v/>
      </c>
      <c r="DQ305" s="55">
        <f>IFERROR(IF(($DB305)&gt;0,($CA305)/($DB305),""),"")</f>
        <v/>
      </c>
      <c r="DR305" s="55">
        <f>IFERROR(IF(($DC305)&gt;0,($CB305)/($DC305),""),"")</f>
        <v/>
      </c>
      <c r="DS305" s="67">
        <f>IFERROR(IF(($DJ305)&gt;0,($DJ305-$DD305-$DG305)/($DJ305),""),"")</f>
        <v/>
      </c>
      <c r="DT305" s="67">
        <f>IFERROR(IF(($DK305)&gt;0,($DK305-$DE305-$DH305)/($DK305),""),"")</f>
        <v/>
      </c>
      <c r="DU305" s="67">
        <f>IFERROR(IF(($DL305)&gt;0,($DL305-$DF305-$DI305)/($DL305),""),"")</f>
        <v/>
      </c>
      <c r="DV305" s="67">
        <f>IFERROR(IF(($DJ305-$DD305-$DG305)&gt;0,($DA305)/($DJ305-$DD305-$DG305),""),"")</f>
        <v/>
      </c>
      <c r="DW305" s="67">
        <f>IFERROR(IF(($DK305-$DE305-$DH305)&gt;0,($DB305)/($DK305-$DE305-$DH305),""),"")</f>
        <v/>
      </c>
      <c r="DX305" s="67">
        <f>IFERROR(IF(($DL305-$DF305-$DI305)&gt;0,($DC305)/($DL305-$DF305-$DI305),""),"")</f>
        <v/>
      </c>
      <c r="DY305" s="55">
        <f>SUMIFS(tblPlant[Cyanide_kg],tblPlant[Date],$A305)</f>
        <v/>
      </c>
      <c r="DZ305" s="55">
        <f>IF($B305=$B304,$DZ304,0)+$DY305</f>
        <v/>
      </c>
      <c r="EA305" s="55">
        <f>$EA304+$DY305</f>
        <v/>
      </c>
      <c r="EB305" s="55">
        <f>SUMIFS(tblPlant[Lime_kg],tblPlant[Date],$A305)</f>
        <v/>
      </c>
      <c r="EC305" s="55">
        <f>IF($B305=$B304,$EC304,0)+$EB305</f>
        <v/>
      </c>
      <c r="ED305" s="55">
        <f>$ED304+$EB305</f>
        <v/>
      </c>
      <c r="EE305" s="55">
        <f>SUMIFS(tblPlant[Grinding_Media_kg],tblPlant[Date],$A305)</f>
        <v/>
      </c>
      <c r="EF305" s="55">
        <f>IF($B305=$B304,$EF304,0)+$EE305</f>
        <v/>
      </c>
      <c r="EG305" s="55">
        <f>$EG304+$EE305</f>
        <v/>
      </c>
      <c r="EH305" s="55">
        <f>SUMIFS(tblPlant[Power_kWh],tblPlant[Date],$A305)</f>
        <v/>
      </c>
      <c r="EI305" s="55">
        <f>IF($B305=$B304,$EI304,0)+$EH305</f>
        <v/>
      </c>
      <c r="EJ305" s="55">
        <f>$EJ304+$EH305</f>
        <v/>
      </c>
      <c r="EK305" s="55">
        <f>SUMIFS(tblPlant[Raw_Water_m3],tblPlant[Date],$A305)</f>
        <v/>
      </c>
      <c r="EL305" s="55">
        <f>IF($B305=$B304,$EL304,0)+$EK305</f>
        <v/>
      </c>
      <c r="EM305" s="55">
        <f>$EM304+$EK305</f>
        <v/>
      </c>
      <c r="EN305" s="56">
        <f>IFERROR(IF(($BZ305)&gt;0,($DY305)/($BZ305),""),"")</f>
        <v/>
      </c>
      <c r="EO305" s="56">
        <f>IFERROR(IF(($CA305)&gt;0,($DZ305)/($CA305),""),"")</f>
        <v/>
      </c>
      <c r="EP305" s="56">
        <f>IFERROR(IF(($CB305)&gt;0,($EA305)/($CB305),""),"")</f>
        <v/>
      </c>
      <c r="EQ305" s="56">
        <f>IFERROR(IF(($BZ305)&gt;0,($EB305)/($BZ305),""),"")</f>
        <v/>
      </c>
      <c r="ER305" s="56">
        <f>IFERROR(IF(($CA305)&gt;0,($EC305)/($CA305),""),"")</f>
        <v/>
      </c>
      <c r="ES305" s="56">
        <f>IFERROR(IF(($CB305)&gt;0,($ED305)/($CB305),""),"")</f>
        <v/>
      </c>
      <c r="ET305" s="56">
        <f>IFERROR(IF(($BZ305)&gt;0,($EE305)/($BZ305),""),"")</f>
        <v/>
      </c>
      <c r="EU305" s="56">
        <f>IFERROR(IF(($CA305)&gt;0,($EF305)/($CA305),""),"")</f>
        <v/>
      </c>
      <c r="EV305" s="56">
        <f>IFERROR(IF(($CB305)&gt;0,($EG305)/($CB305),""),"")</f>
        <v/>
      </c>
      <c r="EW305" s="76">
        <f>IFERROR(IF(($BZ305)&gt;0,($EH305)/($BZ305),""),"")</f>
        <v/>
      </c>
      <c r="EX305" s="76">
        <f>IFERROR(IF(($CA305)&gt;0,($EI305)/($CA305),""),"")</f>
        <v/>
      </c>
      <c r="EY305" s="76">
        <f>IFERROR(IF(($CB305)&gt;0,($EJ305)/($CB305),""),"")</f>
        <v/>
      </c>
      <c r="EZ305" s="56">
        <f>IFERROR(IF(($BZ305)&gt;0,($EK305)/($BZ305),""),"")</f>
        <v/>
      </c>
      <c r="FA305" s="56">
        <f>IFERROR(IF(($CA305)&gt;0,($EL305)/($CA305),""),"")</f>
        <v/>
      </c>
      <c r="FB305" s="56">
        <f>IFERROR(IF(($CB305)&gt;0,($EM305)/($CB305),""),"")</f>
        <v/>
      </c>
      <c r="FC305" s="55">
        <f>IF(SUMIFS(tblPlant[GIC_oz],tblPlant[Date],$A305)&gt;0,SUMIFS(tblPlant[GIC_oz],tblPlant[Date],$A305),"")</f>
        <v/>
      </c>
      <c r="FD305" s="55">
        <f>SUMIFS(tblGold[Gold_oz],tblGold[Date],$A305,tblGold[Type],"Shipment")</f>
        <v/>
      </c>
      <c r="FE305" s="55">
        <f>IF($B305=$B304,$FE304,0)+$FD305</f>
        <v/>
      </c>
      <c r="FF305" s="55">
        <f>$FF304+$FD305</f>
        <v/>
      </c>
      <c r="FG305" s="55">
        <f>SUMIFS(tblGold[Gold_oz],tblGold[Date],$A305,tblGold[Type],"Sale")</f>
        <v/>
      </c>
      <c r="FH305" s="55">
        <f>IF($B305=$B304,$FH304,0)+$FG305</f>
        <v/>
      </c>
      <c r="FI305" s="55">
        <f>$FI304+$FG305</f>
        <v/>
      </c>
      <c r="FJ305" s="55">
        <f>SUMIFS(tblGold[Dore_kg],tblGold[Date],$A305,tblGold[Type],"Shipment")</f>
        <v/>
      </c>
      <c r="FK305" s="55">
        <f>IF($B305=$B304,$FK304,0)+$FJ305</f>
        <v/>
      </c>
      <c r="FL305" s="55">
        <f>$FL304+$FJ305</f>
        <v/>
      </c>
      <c r="FM305" s="57">
        <f>SUMIFS(tblSafety[Hours_Total],tblSafety[Date],$A305)</f>
        <v/>
      </c>
      <c r="FN305" s="57">
        <f>IF($B305=$B304,$FN304,0)+$FM305</f>
        <v/>
      </c>
      <c r="FO305" s="57">
        <f>$FO304+$FM305</f>
        <v/>
      </c>
      <c r="FP305" s="62">
        <f>SUMIFS(tblSafety[Fatality],tblSafety[Date],$A305)</f>
        <v/>
      </c>
      <c r="FQ305" s="62">
        <f>IF($B305=$B304,$FQ304,0)+$FP305</f>
        <v/>
      </c>
      <c r="FR305" s="62">
        <f>$FR304+$FP305</f>
        <v/>
      </c>
      <c r="FS305" s="62">
        <f>SUMIFS(tblSafety[LTI],tblSafety[Date],$A305)</f>
        <v/>
      </c>
      <c r="FT305" s="62">
        <f>IF($B305=$B304,$FT304,0)+$FS305</f>
        <v/>
      </c>
      <c r="FU305" s="62">
        <f>$FU304+$FS305</f>
        <v/>
      </c>
      <c r="FV305" s="62">
        <f>SUMIFS(tblSafety[RWI],tblSafety[Date],$A305)</f>
        <v/>
      </c>
      <c r="FW305" s="62">
        <f>IF($B305=$B304,$FW304,0)+$FV305</f>
        <v/>
      </c>
      <c r="FX305" s="62">
        <f>$FX304+$FV305</f>
        <v/>
      </c>
      <c r="FY305" s="62">
        <f>SUMIFS(tblSafety[MTI],tblSafety[Date],$A305)</f>
        <v/>
      </c>
      <c r="FZ305" s="62">
        <f>IF($B305=$B304,$FZ304,0)+$FY305</f>
        <v/>
      </c>
      <c r="GA305" s="62">
        <f>$GA304+$FY305</f>
        <v/>
      </c>
      <c r="GB305" s="62">
        <f>SUMIFS(tblSafety[FAI],tblSafety[Date],$A305)</f>
        <v/>
      </c>
      <c r="GC305" s="62">
        <f>IF($B305=$B304,$GC304,0)+$GB305</f>
        <v/>
      </c>
      <c r="GD305" s="62">
        <f>$GD304+$GB305</f>
        <v/>
      </c>
      <c r="GE305" s="62">
        <f>SUMIFS(tblSafety[Recordables],tblSafety[Date],$A305)</f>
        <v/>
      </c>
      <c r="GF305" s="62">
        <f>IF($B305=$B304,$GF304,0)+$GE305</f>
        <v/>
      </c>
      <c r="GG305" s="62">
        <f>$GG304+$GE305</f>
        <v/>
      </c>
      <c r="GH305" s="62">
        <f>SUMIFS(tblSafety[Near_Miss],tblSafety[Date],$A305)</f>
        <v/>
      </c>
      <c r="GI305" s="62">
        <f>IF($B305=$B304,$GI304,0)+$GH305</f>
        <v/>
      </c>
      <c r="GJ305" s="62">
        <f>$GJ304+$GH305</f>
        <v/>
      </c>
      <c r="GK305" s="62">
        <f>SUMIFS(tblSafety[Hazard_Reports],tblSafety[Date],$A305)</f>
        <v/>
      </c>
      <c r="GL305" s="62">
        <f>IF($B305=$B304,$GL304,0)+$GK305</f>
        <v/>
      </c>
      <c r="GM305" s="62">
        <f>$GM304+$GK305</f>
        <v/>
      </c>
      <c r="GN305" s="62">
        <f>SUMIFS(tblSafety[HPI],tblSafety[Date],$A305)</f>
        <v/>
      </c>
      <c r="GO305" s="62">
        <f>IF($B305=$B304,$GO304,0)+$GN305</f>
        <v/>
      </c>
      <c r="GP305" s="62">
        <f>$GP304+$GN305</f>
        <v/>
      </c>
      <c r="GQ305" s="62">
        <f>SUMIFS(tblSafety[Env_Incidents],tblSafety[Date],$A305)</f>
        <v/>
      </c>
      <c r="GR305" s="62">
        <f>IF($B305=$B304,$GR304,0)+$GQ305</f>
        <v/>
      </c>
      <c r="GS305" s="62">
        <f>$GS304+$GQ305</f>
        <v/>
      </c>
      <c r="GT305" s="62">
        <f>SUMIFS(tblSafety[Community_Incidents],tblSafety[Date],$A305)</f>
        <v/>
      </c>
      <c r="GU305" s="62">
        <f>IF($B305=$B304,$GU304,0)+$GT305</f>
        <v/>
      </c>
      <c r="GV305" s="62">
        <f>$GV304+$GT305</f>
        <v/>
      </c>
      <c r="GW305" s="62">
        <f>SUMIFS(tblSafety[Vehicle_Incidents],tblSafety[Date],$A305)</f>
        <v/>
      </c>
      <c r="GX305" s="62">
        <f>IF($B305=$B304,$GX304,0)+$GW305</f>
        <v/>
      </c>
      <c r="GY305" s="62">
        <f>$GY304+$GW305</f>
        <v/>
      </c>
      <c r="GZ305" s="62">
        <f>SUMIFS(tblSafety[Toolbox_Talks],tblSafety[Date],$A305)</f>
        <v/>
      </c>
      <c r="HA305" s="62">
        <f>IF($B305=$B304,$HA304,0)+$GZ305</f>
        <v/>
      </c>
      <c r="HB305" s="62">
        <f>$HB304+$GZ305</f>
        <v/>
      </c>
      <c r="HC305" s="62">
        <f>SUMIFS(tblSafety[Inspections],tblSafety[Date],$A305)</f>
        <v/>
      </c>
      <c r="HD305" s="62">
        <f>IF($B305=$B304,$HD304,0)+$HC305</f>
        <v/>
      </c>
      <c r="HE305" s="62">
        <f>$HE304+$HC305</f>
        <v/>
      </c>
      <c r="HF305" s="56">
        <f>IFERROR((SUMIFS(tblSafety[Recordables],tblSafety[Date],"&gt;="&amp;EDATE($E305,-12),tblSafety[Date],"&lt;="&amp;$A305)+SUMIFS(tblSafetyHistory[Recordables],tblSafetyHistory[Month],"&gt;="&amp;EDATE($E305,-12),tblSafetyHistory[Month],"&lt;"&amp;cfg_YearStart))/(SUMIFS(tblSafety[Hours_Total],tblSafety[Date],"&gt;="&amp;EDATE($E305,-12),tblSafety[Date],"&lt;="&amp;$A305)+SUMIFS(tblSafetyHistory[Hours_Total],tblSafetyHistory[Month],"&gt;="&amp;EDATE($E305,-12),tblSafetyHistory[Month],"&lt;"&amp;cfg_YearStart))*1000000,"")</f>
        <v/>
      </c>
      <c r="HG305" s="56">
        <f>IFERROR((SUMIFS(tblSafety[LTI],tblSafety[Date],"&gt;="&amp;EDATE($E305,-12),tblSafety[Date],"&lt;="&amp;$A305)+SUMIFS(tblSafetyHistory[LTI],tblSafetyHistory[Month],"&gt;="&amp;EDATE($E305,-12),tblSafetyHistory[Month],"&lt;"&amp;cfg_YearStart))/(SUMIFS(tblSafety[Hours_Total],tblSafety[Date],"&gt;="&amp;EDATE($E305,-12),tblSafety[Date],"&lt;="&amp;$A305)+SUMIFS(tblSafetyHistory[Hours_Total],tblSafetyHistory[Month],"&gt;="&amp;EDATE($E305,-12),tblSafetyHistory[Month],"&lt;"&amp;cfg_YearStart))*1000000,"")</f>
        <v/>
      </c>
      <c r="HH305" s="62">
        <f>IF(MAX(N(cfg_PriorLTIDate),_xlfn.MAXIFS(tblSafety[Date],tblSafety[LTI],"&gt;0",tblSafety[Date],"&lt;="&amp;$A305))=0,"",$A305-MAX(N(cfg_PriorLTIDate),_xlfn.MAXIFS(tblSafety[Date],tblSafety[LTI],"&gt;0",tblSafety[Date],"&lt;="&amp;$A305)))</f>
        <v/>
      </c>
      <c r="HI305" s="55">
        <f>SUMIFS(tblBudget[Ore_Mined_t],tblBudget[Month],$E305)</f>
        <v/>
      </c>
      <c r="HJ305" s="55">
        <f>$HI305*$C305/$D305</f>
        <v/>
      </c>
      <c r="HK305" s="55">
        <f>SUMIFS(tblBudget[Ore_Mined_t],tblBudget[Month],"&lt;"&amp;$E305)+$HJ305</f>
        <v/>
      </c>
      <c r="HL305" s="55">
        <f>SUMIFS(tblBudget[Ore_oz],tblBudget[Month],$E305)</f>
        <v/>
      </c>
      <c r="HM305" s="55">
        <f>$HL305*$C305/$D305</f>
        <v/>
      </c>
      <c r="HN305" s="55">
        <f>SUMIFS(tblBudget[Ore_oz],tblBudget[Month],"&lt;"&amp;$E305)+$HM305</f>
        <v/>
      </c>
      <c r="HO305" s="56">
        <f>IFERROR(IF(($HI305)&gt;0,($HL305*cfg_TroyOz)/($HI305),""),"")</f>
        <v/>
      </c>
      <c r="HP305" s="56">
        <f>IFERROR(IF(($HJ305)&gt;0,($HM305*cfg_TroyOz)/($HJ305),""),"")</f>
        <v/>
      </c>
      <c r="HQ305" s="56">
        <f>IFERROR(IF(($HK305)&gt;0,($HN305*cfg_TroyOz)/($HK305),""),"")</f>
        <v/>
      </c>
      <c r="HR305" s="55">
        <f>SUMIFS(tblBudget[Waste_t],tblBudget[Month],$E305)</f>
        <v/>
      </c>
      <c r="HS305" s="55">
        <f>$HR305*$C305/$D305</f>
        <v/>
      </c>
      <c r="HT305" s="55">
        <f>SUMIFS(tblBudget[Waste_t],tblBudget[Month],"&lt;"&amp;$E305)+$HS305</f>
        <v/>
      </c>
      <c r="HU305" s="55">
        <f>SUMIFS(tblBudget[TMM_t],tblBudget[Month],$E305)</f>
        <v/>
      </c>
      <c r="HV305" s="55">
        <f>$HU305*$C305/$D305</f>
        <v/>
      </c>
      <c r="HW305" s="55">
        <f>SUMIFS(tblBudget[TMM_t],tblBudget[Month],"&lt;"&amp;$E305)+$HV305</f>
        <v/>
      </c>
      <c r="HX305" s="56">
        <f>IFERROR(IF(($HI305)&gt;0,($HR305)/($HI305),""),"")</f>
        <v/>
      </c>
      <c r="HY305" s="56">
        <f>IFERROR(IF(($HJ305)&gt;0,($HS305)/($HJ305),""),"")</f>
        <v/>
      </c>
      <c r="HZ305" s="56">
        <f>IFERROR(IF(($HK305)&gt;0,($HT305)/($HK305),""),"")</f>
        <v/>
      </c>
      <c r="IA305" s="55">
        <f>SUMIFS(tblBudget[Drill_m],tblBudget[Month],$E305)</f>
        <v/>
      </c>
      <c r="IB305" s="55">
        <f>$IA305*$C305/$D305</f>
        <v/>
      </c>
      <c r="IC305" s="55">
        <f>SUMIFS(tblBudget[Drill_m],tblBudget[Month],"&lt;"&amp;$E305)+$IB305</f>
        <v/>
      </c>
      <c r="ID305" s="55">
        <f>SUMIFS(tblBudget[Diesel_L],tblBudget[Month],$E305)</f>
        <v/>
      </c>
      <c r="IE305" s="55">
        <f>$ID305*$C305/$D305</f>
        <v/>
      </c>
      <c r="IF305" s="55">
        <f>SUMIFS(tblBudget[Diesel_L],tblBudget[Month],"&lt;"&amp;$E305)+$IE305</f>
        <v/>
      </c>
      <c r="IG305" s="55">
        <f>SUMIFS(tblBudget[Milled_t],tblBudget[Month],$E305)</f>
        <v/>
      </c>
      <c r="IH305" s="55">
        <f>$IG305*$C305/$D305</f>
        <v/>
      </c>
      <c r="II305" s="55">
        <f>SUMIFS(tblBudget[Milled_t],tblBudget[Month],"&lt;"&amp;$E305)+$IH305</f>
        <v/>
      </c>
      <c r="IJ305" s="55">
        <f>SUMIFS(tblBudget[Feed_oz],tblBudget[Month],$E305)</f>
        <v/>
      </c>
      <c r="IK305" s="55">
        <f>$IJ305*$C305/$D305</f>
        <v/>
      </c>
      <c r="IL305" s="55">
        <f>SUMIFS(tblBudget[Feed_oz],tblBudget[Month],"&lt;"&amp;$E305)+$IK305</f>
        <v/>
      </c>
      <c r="IM305" s="55">
        <f>SUMIFS(tblBudget[Recovered_oz],tblBudget[Month],$E305)</f>
        <v/>
      </c>
      <c r="IN305" s="55">
        <f>$IM305*$C305/$D305</f>
        <v/>
      </c>
      <c r="IO305" s="55">
        <f>SUMIFS(tblBudget[Recovered_oz],tblBudget[Month],"&lt;"&amp;$E305)+$IN305</f>
        <v/>
      </c>
      <c r="IP305" s="56">
        <f>IFERROR(IF(($IG305)&gt;0,($IJ305*cfg_TroyOz)/($IG305),""),"")</f>
        <v/>
      </c>
      <c r="IQ305" s="56">
        <f>IFERROR(IF(($IH305)&gt;0,($IK305*cfg_TroyOz)/($IH305),""),"")</f>
        <v/>
      </c>
      <c r="IR305" s="56">
        <f>IFERROR(IF(($II305)&gt;0,($IL305*cfg_TroyOz)/($II305),""),"")</f>
        <v/>
      </c>
      <c r="IS305" s="67">
        <f>IFERROR(IF(($IJ305)&gt;0,($IM305)/($IJ305),""),"")</f>
        <v/>
      </c>
      <c r="IT305" s="67">
        <f>IFERROR(IF(($IK305)&gt;0,($IN305)/($IK305),""),"")</f>
        <v/>
      </c>
      <c r="IU305" s="67">
        <f>IFERROR(IF(($IL305)&gt;0,($IO305)/($IL305),""),"")</f>
        <v/>
      </c>
      <c r="IV305" s="55">
        <f>SUMIFS(tblBudget[Gold_Poured_oz],tblBudget[Month],$E305)</f>
        <v/>
      </c>
      <c r="IW305" s="55">
        <f>$IV305*$C305/$D305</f>
        <v/>
      </c>
      <c r="IX305" s="55">
        <f>SUMIFS(tblBudget[Gold_Poured_oz],tblBudget[Month],"&lt;"&amp;$E305)+$IW305</f>
        <v/>
      </c>
      <c r="IY305" s="57">
        <f>SUMIFS(tblBudget[Hours_Worked],tblBudget[Month],$E305)</f>
        <v/>
      </c>
      <c r="IZ305" s="57">
        <f>$IY305*$C305/$D305</f>
        <v/>
      </c>
      <c r="JA305" s="57">
        <f>SUMIFS(tblBudget[Hours_Worked],tblBudget[Month],"&lt;"&amp;$E305)+$IZ305</f>
        <v/>
      </c>
    </row>
    <row r="306">
      <c r="A306" s="54" t="n">
        <v>46327</v>
      </c>
      <c r="B306">
        <f>MONTH($A306)</f>
        <v/>
      </c>
      <c r="C306">
        <f>DAY($A306)</f>
        <v/>
      </c>
      <c r="D306">
        <f>DAY(EOMONTH($A306,0))</f>
        <v/>
      </c>
      <c r="E306" s="54">
        <f>DATE(YEAR($A306),MONTH($A306),1)</f>
        <v/>
      </c>
      <c r="F306" s="55">
        <f>SUMIFS(tblMovement[Tonnes_t],tblMovement[Date],$A306,tblMovement[Is_Ore],1,tblMovement[Source_Type],"Pit")</f>
        <v/>
      </c>
      <c r="G306" s="55">
        <f>IF($B306=$B305,$G305,0)+$F306</f>
        <v/>
      </c>
      <c r="H306" s="55">
        <f>$H305+$F306</f>
        <v/>
      </c>
      <c r="I306" s="55">
        <f>SUMIFS(tblMovement[Ore_oz],tblMovement[Date],$A306,tblMovement[Source_Type],"Pit")</f>
        <v/>
      </c>
      <c r="J306" s="55">
        <f>IF($B306=$B305,$J305,0)+$I306</f>
        <v/>
      </c>
      <c r="K306" s="55">
        <f>$K305+$I306</f>
        <v/>
      </c>
      <c r="L306" s="56">
        <f>IFERROR(IF(($F306)&gt;0,($I306*cfg_TroyOz)/($F306),""),"")</f>
        <v/>
      </c>
      <c r="M306" s="56">
        <f>IFERROR(IF(($G306)&gt;0,($J306*cfg_TroyOz)/($G306),""),"")</f>
        <v/>
      </c>
      <c r="N306" s="56">
        <f>IFERROR(IF(($H306)&gt;0,($K306*cfg_TroyOz)/($H306),""),"")</f>
        <v/>
      </c>
      <c r="O306" s="55">
        <f>SUMIFS(tblMovement[Tonnes_t],tblMovement[Date],$A306,tblMovement[Is_Ore],0,tblMovement[Source_Type],"Pit")</f>
        <v/>
      </c>
      <c r="P306" s="55">
        <f>IF($B306=$B305,$P305,0)+$O306</f>
        <v/>
      </c>
      <c r="Q306" s="55">
        <f>$Q305+$O306</f>
        <v/>
      </c>
      <c r="R306" s="55">
        <f>$F306+$O306</f>
        <v/>
      </c>
      <c r="S306" s="55">
        <f>IF($B306=$B305,$S305,0)+$R306</f>
        <v/>
      </c>
      <c r="T306" s="55">
        <f>$T305+$R306</f>
        <v/>
      </c>
      <c r="U306" s="56">
        <f>IFERROR(IF(($F306)&gt;0,($O306)/($F306),""),"")</f>
        <v/>
      </c>
      <c r="V306" s="56">
        <f>IFERROR(IF(($G306)&gt;0,($P306)/($G306),""),"")</f>
        <v/>
      </c>
      <c r="W306" s="56">
        <f>IFERROR(IF(($H306)&gt;0,($Q306)/($H306),""),"")</f>
        <v/>
      </c>
      <c r="X306" s="55">
        <f>SUMIFS(tblMovement[Tonnes_t],tblMovement[Date],$A306,tblMovement[Source_Type],"Stockpile")</f>
        <v/>
      </c>
      <c r="Y306" s="55">
        <f>IF($B306=$B305,$Y305,0)+$X306</f>
        <v/>
      </c>
      <c r="Z306" s="55">
        <f>$Z305+$X306</f>
        <v/>
      </c>
      <c r="AA306" s="55">
        <f>SUMIFS(tblMiningDaily[Drill_m],tblMiningDaily[Date],$A306)</f>
        <v/>
      </c>
      <c r="AB306" s="55">
        <f>IF($B306=$B305,$AB305,0)+$AA306</f>
        <v/>
      </c>
      <c r="AC306" s="55">
        <f>$AC305+$AA306</f>
        <v/>
      </c>
      <c r="AD306" s="55">
        <f>SUMIFS(tblMiningDaily[Blast_t],tblMiningDaily[Date],$A306)</f>
        <v/>
      </c>
      <c r="AE306" s="55">
        <f>IF($B306=$B305,$AE305,0)+$AD306</f>
        <v/>
      </c>
      <c r="AF306" s="55">
        <f>$AF305+$AD306</f>
        <v/>
      </c>
      <c r="AG306" s="55">
        <f>SUMIFS(tblMiningDaily[Explosives_kg],tblMiningDaily[Date],$A306)</f>
        <v/>
      </c>
      <c r="AH306" s="55">
        <f>IF($B306=$B305,$AH305,0)+$AG306</f>
        <v/>
      </c>
      <c r="AI306" s="55">
        <f>$AI305+$AG306</f>
        <v/>
      </c>
      <c r="AJ306" s="56">
        <f>IFERROR(IF(($AD306)&gt;0,($AG306)/($AD306),""),"")</f>
        <v/>
      </c>
      <c r="AK306" s="56">
        <f>IFERROR(IF(($AE306)&gt;0,($AH306)/($AE306),""),"")</f>
        <v/>
      </c>
      <c r="AL306" s="56">
        <f>IFERROR(IF(($AF306)&gt;0,($AI306)/($AF306),""),"")</f>
        <v/>
      </c>
      <c r="AM306" s="55">
        <f>SUMIFS(tblMiningDaily[Diesel_L],tblMiningDaily[Date],$A306)</f>
        <v/>
      </c>
      <c r="AN306" s="55">
        <f>IF($B306=$B305,$AN305,0)+$AM306</f>
        <v/>
      </c>
      <c r="AO306" s="55">
        <f>$AO305+$AM306</f>
        <v/>
      </c>
      <c r="AP306" s="55">
        <f>SUMIFS(tblMiningDaily[Dewatering_m3],tblMiningDaily[Date],$A306)</f>
        <v/>
      </c>
      <c r="AQ306" s="55">
        <f>IF($B306=$B305,$AQ305,0)+$AP306</f>
        <v/>
      </c>
      <c r="AR306" s="55">
        <f>$AR305+$AP306</f>
        <v/>
      </c>
      <c r="AS306" s="57">
        <f>SUMIFS(tblFleet[Calendar_h],tblFleet[Date],$A306,tblFleet[Equipment_Class],"Excavator")</f>
        <v/>
      </c>
      <c r="AT306" s="57">
        <f>IF($B306=$B305,$AT305,0)+$AS306</f>
        <v/>
      </c>
      <c r="AU306" s="57">
        <f>$AU305+$AS306</f>
        <v/>
      </c>
      <c r="AV306" s="57">
        <f>SUMIFS(tblFleet[Available_h],tblFleet[Date],$A306,tblFleet[Equipment_Class],"Excavator")</f>
        <v/>
      </c>
      <c r="AW306" s="57">
        <f>IF($B306=$B305,$AW305,0)+$AV306</f>
        <v/>
      </c>
      <c r="AX306" s="57">
        <f>$AX305+$AV306</f>
        <v/>
      </c>
      <c r="AY306" s="57">
        <f>SUMIFS(tblFleet[Operating_h],tblFleet[Date],$A306,tblFleet[Equipment_Class],"Excavator")</f>
        <v/>
      </c>
      <c r="AZ306" s="57">
        <f>IF($B306=$B305,$AZ305,0)+$AY306</f>
        <v/>
      </c>
      <c r="BA306" s="57">
        <f>$BA305+$AY306</f>
        <v/>
      </c>
      <c r="BB306" s="67">
        <f>IFERROR(IF(($AS306)&gt;0,($AV306)/($AS306),""),"")</f>
        <v/>
      </c>
      <c r="BC306" s="67">
        <f>IFERROR(IF(($AT306)&gt;0,($AW306)/($AT306),""),"")</f>
        <v/>
      </c>
      <c r="BD306" s="67">
        <f>IFERROR(IF(($AU306)&gt;0,($AX306)/($AU306),""),"")</f>
        <v/>
      </c>
      <c r="BE306" s="67">
        <f>IFERROR(IF(($AV306)&gt;0,($AY306)/($AV306),""),"")</f>
        <v/>
      </c>
      <c r="BF306" s="67">
        <f>IFERROR(IF(($AW306)&gt;0,($AZ306)/($AW306),""),"")</f>
        <v/>
      </c>
      <c r="BG306" s="67">
        <f>IFERROR(IF(($AX306)&gt;0,($BA306)/($AX306),""),"")</f>
        <v/>
      </c>
      <c r="BH306" s="57">
        <f>SUMIFS(tblFleet[Calendar_h],tblFleet[Date],$A306,tblFleet[Equipment_Class],"Haul Truck")</f>
        <v/>
      </c>
      <c r="BI306" s="57">
        <f>IF($B306=$B305,$BI305,0)+$BH306</f>
        <v/>
      </c>
      <c r="BJ306" s="57">
        <f>$BJ305+$BH306</f>
        <v/>
      </c>
      <c r="BK306" s="57">
        <f>SUMIFS(tblFleet[Available_h],tblFleet[Date],$A306,tblFleet[Equipment_Class],"Haul Truck")</f>
        <v/>
      </c>
      <c r="BL306" s="57">
        <f>IF($B306=$B305,$BL305,0)+$BK306</f>
        <v/>
      </c>
      <c r="BM306" s="57">
        <f>$BM305+$BK306</f>
        <v/>
      </c>
      <c r="BN306" s="57">
        <f>SUMIFS(tblFleet[Operating_h],tblFleet[Date],$A306,tblFleet[Equipment_Class],"Haul Truck")</f>
        <v/>
      </c>
      <c r="BO306" s="57">
        <f>IF($B306=$B305,$BO305,0)+$BN306</f>
        <v/>
      </c>
      <c r="BP306" s="57">
        <f>$BP305+$BN306</f>
        <v/>
      </c>
      <c r="BQ306" s="67">
        <f>IFERROR(IF(($BH306)&gt;0,($BK306)/($BH306),""),"")</f>
        <v/>
      </c>
      <c r="BR306" s="67">
        <f>IFERROR(IF(($BI306)&gt;0,($BL306)/($BI306),""),"")</f>
        <v/>
      </c>
      <c r="BS306" s="67">
        <f>IFERROR(IF(($BJ306)&gt;0,($BM306)/($BJ306),""),"")</f>
        <v/>
      </c>
      <c r="BT306" s="67">
        <f>IFERROR(IF(($BK306)&gt;0,($BN306)/($BK306),""),"")</f>
        <v/>
      </c>
      <c r="BU306" s="67">
        <f>IFERROR(IF(($BL306)&gt;0,($BO306)/($BL306),""),"")</f>
        <v/>
      </c>
      <c r="BV306" s="67">
        <f>IFERROR(IF(($BM306)&gt;0,($BP306)/($BM306),""),"")</f>
        <v/>
      </c>
      <c r="BW306" s="55">
        <f>SUMIFS(tblPlant[Crushed_t],tblPlant[Date],$A306)</f>
        <v/>
      </c>
      <c r="BX306" s="55">
        <f>IF($B306=$B305,$BX305,0)+$BW306</f>
        <v/>
      </c>
      <c r="BY306" s="55">
        <f>$BY305+$BW306</f>
        <v/>
      </c>
      <c r="BZ306" s="55">
        <f>SUMIFS(tblPlant[Milled_t],tblPlant[Date],$A306)</f>
        <v/>
      </c>
      <c r="CA306" s="55">
        <f>IF($B306=$B305,$CA305,0)+$BZ306</f>
        <v/>
      </c>
      <c r="CB306" s="55">
        <f>$CB305+$BZ306</f>
        <v/>
      </c>
      <c r="CC306" s="55">
        <f>SUMIFS(tblPlant[Feed_oz],tblPlant[Date],$A306)</f>
        <v/>
      </c>
      <c r="CD306" s="55">
        <f>IF($B306=$B305,$CD305,0)+$CC306</f>
        <v/>
      </c>
      <c r="CE306" s="55">
        <f>$CE305+$CC306</f>
        <v/>
      </c>
      <c r="CF306" s="55">
        <f>SUMIFS(tblPlant[Tails_oz],tblPlant[Date],$A306)</f>
        <v/>
      </c>
      <c r="CG306" s="55">
        <f>IF($B306=$B305,$CG305,0)+$CF306</f>
        <v/>
      </c>
      <c r="CH306" s="55">
        <f>$CH305+$CF306</f>
        <v/>
      </c>
      <c r="CI306" s="55">
        <f>SUMIFS(tblPlant[Recovered_oz],tblPlant[Date],$A306)</f>
        <v/>
      </c>
      <c r="CJ306" s="55">
        <f>IF($B306=$B305,$CJ305,0)+$CI306</f>
        <v/>
      </c>
      <c r="CK306" s="55">
        <f>$CK305+$CI306</f>
        <v/>
      </c>
      <c r="CL306" s="56">
        <f>IFERROR(IF(($BZ306)&gt;0,($CC306*cfg_TroyOz)/($BZ306),""),"")</f>
        <v/>
      </c>
      <c r="CM306" s="56">
        <f>IFERROR(IF(($CA306)&gt;0,($CD306*cfg_TroyOz)/($CA306),""),"")</f>
        <v/>
      </c>
      <c r="CN306" s="56">
        <f>IFERROR(IF(($CB306)&gt;0,($CE306*cfg_TroyOz)/($CB306),""),"")</f>
        <v/>
      </c>
      <c r="CO306" s="56">
        <f>IFERROR(IF(($BZ306)&gt;0,($CF306*cfg_TroyOz)/($BZ306),""),"")</f>
        <v/>
      </c>
      <c r="CP306" s="56">
        <f>IFERROR(IF(($CA306)&gt;0,($CG306*cfg_TroyOz)/($CA306),""),"")</f>
        <v/>
      </c>
      <c r="CQ306" s="56">
        <f>IFERROR(IF(($CB306)&gt;0,($CH306*cfg_TroyOz)/($CB306),""),"")</f>
        <v/>
      </c>
      <c r="CR306" s="67">
        <f>IFERROR(IF(($CC306)&gt;0,($CI306)/($CC306),""),"")</f>
        <v/>
      </c>
      <c r="CS306" s="67">
        <f>IFERROR(IF(($CD306)&gt;0,($CJ306)/($CD306),""),"")</f>
        <v/>
      </c>
      <c r="CT306" s="67">
        <f>IFERROR(IF(($CE306)&gt;0,($CK306)/($CE306),""),"")</f>
        <v/>
      </c>
      <c r="CU306" s="55">
        <f>SUMIFS(tblPlant[Gravity_Gold_oz],tblPlant[Date],$A306)</f>
        <v/>
      </c>
      <c r="CV306" s="55">
        <f>IF($B306=$B305,$CV305,0)+$CU306</f>
        <v/>
      </c>
      <c r="CW306" s="55">
        <f>$CW305+$CU306</f>
        <v/>
      </c>
      <c r="CX306" s="55">
        <f>SUMIFS(tblPlant[Gold_Poured_oz],tblPlant[Date],$A306)</f>
        <v/>
      </c>
      <c r="CY306" s="55">
        <f>IF($B306=$B305,$CY305,0)+$CX306</f>
        <v/>
      </c>
      <c r="CZ306" s="55">
        <f>$CZ305+$CX306</f>
        <v/>
      </c>
      <c r="DA306" s="57">
        <f>SUMIFS(tblPlant[Mill_Run_h],tblPlant[Date],$A306)</f>
        <v/>
      </c>
      <c r="DB306" s="57">
        <f>IF($B306=$B305,$DB305,0)+$DA306</f>
        <v/>
      </c>
      <c r="DC306" s="57">
        <f>$DC305+$DA306</f>
        <v/>
      </c>
      <c r="DD306" s="57">
        <f>SUMIFS(tblPlant[Mill_Planned_Maint_h],tblPlant[Date],$A306)</f>
        <v/>
      </c>
      <c r="DE306" s="57">
        <f>IF($B306=$B305,$DE305,0)+$DD306</f>
        <v/>
      </c>
      <c r="DF306" s="57">
        <f>$DF305+$DD306</f>
        <v/>
      </c>
      <c r="DG306" s="57">
        <f>SUMIFS(tblPlant[Mill_Unplanned_Down_h],tblPlant[Date],$A306)</f>
        <v/>
      </c>
      <c r="DH306" s="57">
        <f>IF($B306=$B305,$DH305,0)+$DG306</f>
        <v/>
      </c>
      <c r="DI306" s="57">
        <f>$DI305+$DG306</f>
        <v/>
      </c>
      <c r="DJ306" s="57">
        <f>COUNTIFS(tblPlant[Date],$A306,tblPlant[Mill_Run_h],"&lt;&gt;")*24</f>
        <v/>
      </c>
      <c r="DK306" s="57">
        <f>IF($B306=$B305,$DK305,0)+$DJ306</f>
        <v/>
      </c>
      <c r="DL306" s="57">
        <f>$DL305+$DJ306</f>
        <v/>
      </c>
      <c r="DM306" s="57">
        <f>SUMIFS(tblPlant[Crusher_Run_h],tblPlant[Date],$A306)</f>
        <v/>
      </c>
      <c r="DN306" s="57">
        <f>IF($B306=$B305,$DN305,0)+$DM306</f>
        <v/>
      </c>
      <c r="DO306" s="57">
        <f>$DO305+$DM306</f>
        <v/>
      </c>
      <c r="DP306" s="55">
        <f>IFERROR(IF(($DA306)&gt;0,($BZ306)/($DA306),""),"")</f>
        <v/>
      </c>
      <c r="DQ306" s="55">
        <f>IFERROR(IF(($DB306)&gt;0,($CA306)/($DB306),""),"")</f>
        <v/>
      </c>
      <c r="DR306" s="55">
        <f>IFERROR(IF(($DC306)&gt;0,($CB306)/($DC306),""),"")</f>
        <v/>
      </c>
      <c r="DS306" s="67">
        <f>IFERROR(IF(($DJ306)&gt;0,($DJ306-$DD306-$DG306)/($DJ306),""),"")</f>
        <v/>
      </c>
      <c r="DT306" s="67">
        <f>IFERROR(IF(($DK306)&gt;0,($DK306-$DE306-$DH306)/($DK306),""),"")</f>
        <v/>
      </c>
      <c r="DU306" s="67">
        <f>IFERROR(IF(($DL306)&gt;0,($DL306-$DF306-$DI306)/($DL306),""),"")</f>
        <v/>
      </c>
      <c r="DV306" s="67">
        <f>IFERROR(IF(($DJ306-$DD306-$DG306)&gt;0,($DA306)/($DJ306-$DD306-$DG306),""),"")</f>
        <v/>
      </c>
      <c r="DW306" s="67">
        <f>IFERROR(IF(($DK306-$DE306-$DH306)&gt;0,($DB306)/($DK306-$DE306-$DH306),""),"")</f>
        <v/>
      </c>
      <c r="DX306" s="67">
        <f>IFERROR(IF(($DL306-$DF306-$DI306)&gt;0,($DC306)/($DL306-$DF306-$DI306),""),"")</f>
        <v/>
      </c>
      <c r="DY306" s="55">
        <f>SUMIFS(tblPlant[Cyanide_kg],tblPlant[Date],$A306)</f>
        <v/>
      </c>
      <c r="DZ306" s="55">
        <f>IF($B306=$B305,$DZ305,0)+$DY306</f>
        <v/>
      </c>
      <c r="EA306" s="55">
        <f>$EA305+$DY306</f>
        <v/>
      </c>
      <c r="EB306" s="55">
        <f>SUMIFS(tblPlant[Lime_kg],tblPlant[Date],$A306)</f>
        <v/>
      </c>
      <c r="EC306" s="55">
        <f>IF($B306=$B305,$EC305,0)+$EB306</f>
        <v/>
      </c>
      <c r="ED306" s="55">
        <f>$ED305+$EB306</f>
        <v/>
      </c>
      <c r="EE306" s="55">
        <f>SUMIFS(tblPlant[Grinding_Media_kg],tblPlant[Date],$A306)</f>
        <v/>
      </c>
      <c r="EF306" s="55">
        <f>IF($B306=$B305,$EF305,0)+$EE306</f>
        <v/>
      </c>
      <c r="EG306" s="55">
        <f>$EG305+$EE306</f>
        <v/>
      </c>
      <c r="EH306" s="55">
        <f>SUMIFS(tblPlant[Power_kWh],tblPlant[Date],$A306)</f>
        <v/>
      </c>
      <c r="EI306" s="55">
        <f>IF($B306=$B305,$EI305,0)+$EH306</f>
        <v/>
      </c>
      <c r="EJ306" s="55">
        <f>$EJ305+$EH306</f>
        <v/>
      </c>
      <c r="EK306" s="55">
        <f>SUMIFS(tblPlant[Raw_Water_m3],tblPlant[Date],$A306)</f>
        <v/>
      </c>
      <c r="EL306" s="55">
        <f>IF($B306=$B305,$EL305,0)+$EK306</f>
        <v/>
      </c>
      <c r="EM306" s="55">
        <f>$EM305+$EK306</f>
        <v/>
      </c>
      <c r="EN306" s="56">
        <f>IFERROR(IF(($BZ306)&gt;0,($DY306)/($BZ306),""),"")</f>
        <v/>
      </c>
      <c r="EO306" s="56">
        <f>IFERROR(IF(($CA306)&gt;0,($DZ306)/($CA306),""),"")</f>
        <v/>
      </c>
      <c r="EP306" s="56">
        <f>IFERROR(IF(($CB306)&gt;0,($EA306)/($CB306),""),"")</f>
        <v/>
      </c>
      <c r="EQ306" s="56">
        <f>IFERROR(IF(($BZ306)&gt;0,($EB306)/($BZ306),""),"")</f>
        <v/>
      </c>
      <c r="ER306" s="56">
        <f>IFERROR(IF(($CA306)&gt;0,($EC306)/($CA306),""),"")</f>
        <v/>
      </c>
      <c r="ES306" s="56">
        <f>IFERROR(IF(($CB306)&gt;0,($ED306)/($CB306),""),"")</f>
        <v/>
      </c>
      <c r="ET306" s="56">
        <f>IFERROR(IF(($BZ306)&gt;0,($EE306)/($BZ306),""),"")</f>
        <v/>
      </c>
      <c r="EU306" s="56">
        <f>IFERROR(IF(($CA306)&gt;0,($EF306)/($CA306),""),"")</f>
        <v/>
      </c>
      <c r="EV306" s="56">
        <f>IFERROR(IF(($CB306)&gt;0,($EG306)/($CB306),""),"")</f>
        <v/>
      </c>
      <c r="EW306" s="76">
        <f>IFERROR(IF(($BZ306)&gt;0,($EH306)/($BZ306),""),"")</f>
        <v/>
      </c>
      <c r="EX306" s="76">
        <f>IFERROR(IF(($CA306)&gt;0,($EI306)/($CA306),""),"")</f>
        <v/>
      </c>
      <c r="EY306" s="76">
        <f>IFERROR(IF(($CB306)&gt;0,($EJ306)/($CB306),""),"")</f>
        <v/>
      </c>
      <c r="EZ306" s="56">
        <f>IFERROR(IF(($BZ306)&gt;0,($EK306)/($BZ306),""),"")</f>
        <v/>
      </c>
      <c r="FA306" s="56">
        <f>IFERROR(IF(($CA306)&gt;0,($EL306)/($CA306),""),"")</f>
        <v/>
      </c>
      <c r="FB306" s="56">
        <f>IFERROR(IF(($CB306)&gt;0,($EM306)/($CB306),""),"")</f>
        <v/>
      </c>
      <c r="FC306" s="55">
        <f>IF(SUMIFS(tblPlant[GIC_oz],tblPlant[Date],$A306)&gt;0,SUMIFS(tblPlant[GIC_oz],tblPlant[Date],$A306),"")</f>
        <v/>
      </c>
      <c r="FD306" s="55">
        <f>SUMIFS(tblGold[Gold_oz],tblGold[Date],$A306,tblGold[Type],"Shipment")</f>
        <v/>
      </c>
      <c r="FE306" s="55">
        <f>IF($B306=$B305,$FE305,0)+$FD306</f>
        <v/>
      </c>
      <c r="FF306" s="55">
        <f>$FF305+$FD306</f>
        <v/>
      </c>
      <c r="FG306" s="55">
        <f>SUMIFS(tblGold[Gold_oz],tblGold[Date],$A306,tblGold[Type],"Sale")</f>
        <v/>
      </c>
      <c r="FH306" s="55">
        <f>IF($B306=$B305,$FH305,0)+$FG306</f>
        <v/>
      </c>
      <c r="FI306" s="55">
        <f>$FI305+$FG306</f>
        <v/>
      </c>
      <c r="FJ306" s="55">
        <f>SUMIFS(tblGold[Dore_kg],tblGold[Date],$A306,tblGold[Type],"Shipment")</f>
        <v/>
      </c>
      <c r="FK306" s="55">
        <f>IF($B306=$B305,$FK305,0)+$FJ306</f>
        <v/>
      </c>
      <c r="FL306" s="55">
        <f>$FL305+$FJ306</f>
        <v/>
      </c>
      <c r="FM306" s="57">
        <f>SUMIFS(tblSafety[Hours_Total],tblSafety[Date],$A306)</f>
        <v/>
      </c>
      <c r="FN306" s="57">
        <f>IF($B306=$B305,$FN305,0)+$FM306</f>
        <v/>
      </c>
      <c r="FO306" s="57">
        <f>$FO305+$FM306</f>
        <v/>
      </c>
      <c r="FP306" s="62">
        <f>SUMIFS(tblSafety[Fatality],tblSafety[Date],$A306)</f>
        <v/>
      </c>
      <c r="FQ306" s="62">
        <f>IF($B306=$B305,$FQ305,0)+$FP306</f>
        <v/>
      </c>
      <c r="FR306" s="62">
        <f>$FR305+$FP306</f>
        <v/>
      </c>
      <c r="FS306" s="62">
        <f>SUMIFS(tblSafety[LTI],tblSafety[Date],$A306)</f>
        <v/>
      </c>
      <c r="FT306" s="62">
        <f>IF($B306=$B305,$FT305,0)+$FS306</f>
        <v/>
      </c>
      <c r="FU306" s="62">
        <f>$FU305+$FS306</f>
        <v/>
      </c>
      <c r="FV306" s="62">
        <f>SUMIFS(tblSafety[RWI],tblSafety[Date],$A306)</f>
        <v/>
      </c>
      <c r="FW306" s="62">
        <f>IF($B306=$B305,$FW305,0)+$FV306</f>
        <v/>
      </c>
      <c r="FX306" s="62">
        <f>$FX305+$FV306</f>
        <v/>
      </c>
      <c r="FY306" s="62">
        <f>SUMIFS(tblSafety[MTI],tblSafety[Date],$A306)</f>
        <v/>
      </c>
      <c r="FZ306" s="62">
        <f>IF($B306=$B305,$FZ305,0)+$FY306</f>
        <v/>
      </c>
      <c r="GA306" s="62">
        <f>$GA305+$FY306</f>
        <v/>
      </c>
      <c r="GB306" s="62">
        <f>SUMIFS(tblSafety[FAI],tblSafety[Date],$A306)</f>
        <v/>
      </c>
      <c r="GC306" s="62">
        <f>IF($B306=$B305,$GC305,0)+$GB306</f>
        <v/>
      </c>
      <c r="GD306" s="62">
        <f>$GD305+$GB306</f>
        <v/>
      </c>
      <c r="GE306" s="62">
        <f>SUMIFS(tblSafety[Recordables],tblSafety[Date],$A306)</f>
        <v/>
      </c>
      <c r="GF306" s="62">
        <f>IF($B306=$B305,$GF305,0)+$GE306</f>
        <v/>
      </c>
      <c r="GG306" s="62">
        <f>$GG305+$GE306</f>
        <v/>
      </c>
      <c r="GH306" s="62">
        <f>SUMIFS(tblSafety[Near_Miss],tblSafety[Date],$A306)</f>
        <v/>
      </c>
      <c r="GI306" s="62">
        <f>IF($B306=$B305,$GI305,0)+$GH306</f>
        <v/>
      </c>
      <c r="GJ306" s="62">
        <f>$GJ305+$GH306</f>
        <v/>
      </c>
      <c r="GK306" s="62">
        <f>SUMIFS(tblSafety[Hazard_Reports],tblSafety[Date],$A306)</f>
        <v/>
      </c>
      <c r="GL306" s="62">
        <f>IF($B306=$B305,$GL305,0)+$GK306</f>
        <v/>
      </c>
      <c r="GM306" s="62">
        <f>$GM305+$GK306</f>
        <v/>
      </c>
      <c r="GN306" s="62">
        <f>SUMIFS(tblSafety[HPI],tblSafety[Date],$A306)</f>
        <v/>
      </c>
      <c r="GO306" s="62">
        <f>IF($B306=$B305,$GO305,0)+$GN306</f>
        <v/>
      </c>
      <c r="GP306" s="62">
        <f>$GP305+$GN306</f>
        <v/>
      </c>
      <c r="GQ306" s="62">
        <f>SUMIFS(tblSafety[Env_Incidents],tblSafety[Date],$A306)</f>
        <v/>
      </c>
      <c r="GR306" s="62">
        <f>IF($B306=$B305,$GR305,0)+$GQ306</f>
        <v/>
      </c>
      <c r="GS306" s="62">
        <f>$GS305+$GQ306</f>
        <v/>
      </c>
      <c r="GT306" s="62">
        <f>SUMIFS(tblSafety[Community_Incidents],tblSafety[Date],$A306)</f>
        <v/>
      </c>
      <c r="GU306" s="62">
        <f>IF($B306=$B305,$GU305,0)+$GT306</f>
        <v/>
      </c>
      <c r="GV306" s="62">
        <f>$GV305+$GT306</f>
        <v/>
      </c>
      <c r="GW306" s="62">
        <f>SUMIFS(tblSafety[Vehicle_Incidents],tblSafety[Date],$A306)</f>
        <v/>
      </c>
      <c r="GX306" s="62">
        <f>IF($B306=$B305,$GX305,0)+$GW306</f>
        <v/>
      </c>
      <c r="GY306" s="62">
        <f>$GY305+$GW306</f>
        <v/>
      </c>
      <c r="GZ306" s="62">
        <f>SUMIFS(tblSafety[Toolbox_Talks],tblSafety[Date],$A306)</f>
        <v/>
      </c>
      <c r="HA306" s="62">
        <f>IF($B306=$B305,$HA305,0)+$GZ306</f>
        <v/>
      </c>
      <c r="HB306" s="62">
        <f>$HB305+$GZ306</f>
        <v/>
      </c>
      <c r="HC306" s="62">
        <f>SUMIFS(tblSafety[Inspections],tblSafety[Date],$A306)</f>
        <v/>
      </c>
      <c r="HD306" s="62">
        <f>IF($B306=$B305,$HD305,0)+$HC306</f>
        <v/>
      </c>
      <c r="HE306" s="62">
        <f>$HE305+$HC306</f>
        <v/>
      </c>
      <c r="HF306" s="56">
        <f>IFERROR((SUMIFS(tblSafety[Recordables],tblSafety[Date],"&gt;="&amp;EDATE($E306,-12),tblSafety[Date],"&lt;="&amp;$A306)+SUMIFS(tblSafetyHistory[Recordables],tblSafetyHistory[Month],"&gt;="&amp;EDATE($E306,-12),tblSafetyHistory[Month],"&lt;"&amp;cfg_YearStart))/(SUMIFS(tblSafety[Hours_Total],tblSafety[Date],"&gt;="&amp;EDATE($E306,-12),tblSafety[Date],"&lt;="&amp;$A306)+SUMIFS(tblSafetyHistory[Hours_Total],tblSafetyHistory[Month],"&gt;="&amp;EDATE($E306,-12),tblSafetyHistory[Month],"&lt;"&amp;cfg_YearStart))*1000000,"")</f>
        <v/>
      </c>
      <c r="HG306" s="56">
        <f>IFERROR((SUMIFS(tblSafety[LTI],tblSafety[Date],"&gt;="&amp;EDATE($E306,-12),tblSafety[Date],"&lt;="&amp;$A306)+SUMIFS(tblSafetyHistory[LTI],tblSafetyHistory[Month],"&gt;="&amp;EDATE($E306,-12),tblSafetyHistory[Month],"&lt;"&amp;cfg_YearStart))/(SUMIFS(tblSafety[Hours_Total],tblSafety[Date],"&gt;="&amp;EDATE($E306,-12),tblSafety[Date],"&lt;="&amp;$A306)+SUMIFS(tblSafetyHistory[Hours_Total],tblSafetyHistory[Month],"&gt;="&amp;EDATE($E306,-12),tblSafetyHistory[Month],"&lt;"&amp;cfg_YearStart))*1000000,"")</f>
        <v/>
      </c>
      <c r="HH306" s="62">
        <f>IF(MAX(N(cfg_PriorLTIDate),_xlfn.MAXIFS(tblSafety[Date],tblSafety[LTI],"&gt;0",tblSafety[Date],"&lt;="&amp;$A306))=0,"",$A306-MAX(N(cfg_PriorLTIDate),_xlfn.MAXIFS(tblSafety[Date],tblSafety[LTI],"&gt;0",tblSafety[Date],"&lt;="&amp;$A306)))</f>
        <v/>
      </c>
      <c r="HI306" s="55">
        <f>SUMIFS(tblBudget[Ore_Mined_t],tblBudget[Month],$E306)</f>
        <v/>
      </c>
      <c r="HJ306" s="55">
        <f>$HI306*$C306/$D306</f>
        <v/>
      </c>
      <c r="HK306" s="55">
        <f>SUMIFS(tblBudget[Ore_Mined_t],tblBudget[Month],"&lt;"&amp;$E306)+$HJ306</f>
        <v/>
      </c>
      <c r="HL306" s="55">
        <f>SUMIFS(tblBudget[Ore_oz],tblBudget[Month],$E306)</f>
        <v/>
      </c>
      <c r="HM306" s="55">
        <f>$HL306*$C306/$D306</f>
        <v/>
      </c>
      <c r="HN306" s="55">
        <f>SUMIFS(tblBudget[Ore_oz],tblBudget[Month],"&lt;"&amp;$E306)+$HM306</f>
        <v/>
      </c>
      <c r="HO306" s="56">
        <f>IFERROR(IF(($HI306)&gt;0,($HL306*cfg_TroyOz)/($HI306),""),"")</f>
        <v/>
      </c>
      <c r="HP306" s="56">
        <f>IFERROR(IF(($HJ306)&gt;0,($HM306*cfg_TroyOz)/($HJ306),""),"")</f>
        <v/>
      </c>
      <c r="HQ306" s="56">
        <f>IFERROR(IF(($HK306)&gt;0,($HN306*cfg_TroyOz)/($HK306),""),"")</f>
        <v/>
      </c>
      <c r="HR306" s="55">
        <f>SUMIFS(tblBudget[Waste_t],tblBudget[Month],$E306)</f>
        <v/>
      </c>
      <c r="HS306" s="55">
        <f>$HR306*$C306/$D306</f>
        <v/>
      </c>
      <c r="HT306" s="55">
        <f>SUMIFS(tblBudget[Waste_t],tblBudget[Month],"&lt;"&amp;$E306)+$HS306</f>
        <v/>
      </c>
      <c r="HU306" s="55">
        <f>SUMIFS(tblBudget[TMM_t],tblBudget[Month],$E306)</f>
        <v/>
      </c>
      <c r="HV306" s="55">
        <f>$HU306*$C306/$D306</f>
        <v/>
      </c>
      <c r="HW306" s="55">
        <f>SUMIFS(tblBudget[TMM_t],tblBudget[Month],"&lt;"&amp;$E306)+$HV306</f>
        <v/>
      </c>
      <c r="HX306" s="56">
        <f>IFERROR(IF(($HI306)&gt;0,($HR306)/($HI306),""),"")</f>
        <v/>
      </c>
      <c r="HY306" s="56">
        <f>IFERROR(IF(($HJ306)&gt;0,($HS306)/($HJ306),""),"")</f>
        <v/>
      </c>
      <c r="HZ306" s="56">
        <f>IFERROR(IF(($HK306)&gt;0,($HT306)/($HK306),""),"")</f>
        <v/>
      </c>
      <c r="IA306" s="55">
        <f>SUMIFS(tblBudget[Drill_m],tblBudget[Month],$E306)</f>
        <v/>
      </c>
      <c r="IB306" s="55">
        <f>$IA306*$C306/$D306</f>
        <v/>
      </c>
      <c r="IC306" s="55">
        <f>SUMIFS(tblBudget[Drill_m],tblBudget[Month],"&lt;"&amp;$E306)+$IB306</f>
        <v/>
      </c>
      <c r="ID306" s="55">
        <f>SUMIFS(tblBudget[Diesel_L],tblBudget[Month],$E306)</f>
        <v/>
      </c>
      <c r="IE306" s="55">
        <f>$ID306*$C306/$D306</f>
        <v/>
      </c>
      <c r="IF306" s="55">
        <f>SUMIFS(tblBudget[Diesel_L],tblBudget[Month],"&lt;"&amp;$E306)+$IE306</f>
        <v/>
      </c>
      <c r="IG306" s="55">
        <f>SUMIFS(tblBudget[Milled_t],tblBudget[Month],$E306)</f>
        <v/>
      </c>
      <c r="IH306" s="55">
        <f>$IG306*$C306/$D306</f>
        <v/>
      </c>
      <c r="II306" s="55">
        <f>SUMIFS(tblBudget[Milled_t],tblBudget[Month],"&lt;"&amp;$E306)+$IH306</f>
        <v/>
      </c>
      <c r="IJ306" s="55">
        <f>SUMIFS(tblBudget[Feed_oz],tblBudget[Month],$E306)</f>
        <v/>
      </c>
      <c r="IK306" s="55">
        <f>$IJ306*$C306/$D306</f>
        <v/>
      </c>
      <c r="IL306" s="55">
        <f>SUMIFS(tblBudget[Feed_oz],tblBudget[Month],"&lt;"&amp;$E306)+$IK306</f>
        <v/>
      </c>
      <c r="IM306" s="55">
        <f>SUMIFS(tblBudget[Recovered_oz],tblBudget[Month],$E306)</f>
        <v/>
      </c>
      <c r="IN306" s="55">
        <f>$IM306*$C306/$D306</f>
        <v/>
      </c>
      <c r="IO306" s="55">
        <f>SUMIFS(tblBudget[Recovered_oz],tblBudget[Month],"&lt;"&amp;$E306)+$IN306</f>
        <v/>
      </c>
      <c r="IP306" s="56">
        <f>IFERROR(IF(($IG306)&gt;0,($IJ306*cfg_TroyOz)/($IG306),""),"")</f>
        <v/>
      </c>
      <c r="IQ306" s="56">
        <f>IFERROR(IF(($IH306)&gt;0,($IK306*cfg_TroyOz)/($IH306),""),"")</f>
        <v/>
      </c>
      <c r="IR306" s="56">
        <f>IFERROR(IF(($II306)&gt;0,($IL306*cfg_TroyOz)/($II306),""),"")</f>
        <v/>
      </c>
      <c r="IS306" s="67">
        <f>IFERROR(IF(($IJ306)&gt;0,($IM306)/($IJ306),""),"")</f>
        <v/>
      </c>
      <c r="IT306" s="67">
        <f>IFERROR(IF(($IK306)&gt;0,($IN306)/($IK306),""),"")</f>
        <v/>
      </c>
      <c r="IU306" s="67">
        <f>IFERROR(IF(($IL306)&gt;0,($IO306)/($IL306),""),"")</f>
        <v/>
      </c>
      <c r="IV306" s="55">
        <f>SUMIFS(tblBudget[Gold_Poured_oz],tblBudget[Month],$E306)</f>
        <v/>
      </c>
      <c r="IW306" s="55">
        <f>$IV306*$C306/$D306</f>
        <v/>
      </c>
      <c r="IX306" s="55">
        <f>SUMIFS(tblBudget[Gold_Poured_oz],tblBudget[Month],"&lt;"&amp;$E306)+$IW306</f>
        <v/>
      </c>
      <c r="IY306" s="57">
        <f>SUMIFS(tblBudget[Hours_Worked],tblBudget[Month],$E306)</f>
        <v/>
      </c>
      <c r="IZ306" s="57">
        <f>$IY306*$C306/$D306</f>
        <v/>
      </c>
      <c r="JA306" s="57">
        <f>SUMIFS(tblBudget[Hours_Worked],tblBudget[Month],"&lt;"&amp;$E306)+$IZ306</f>
        <v/>
      </c>
    </row>
    <row r="307">
      <c r="A307" s="54" t="n">
        <v>46328</v>
      </c>
      <c r="B307">
        <f>MONTH($A307)</f>
        <v/>
      </c>
      <c r="C307">
        <f>DAY($A307)</f>
        <v/>
      </c>
      <c r="D307">
        <f>DAY(EOMONTH($A307,0))</f>
        <v/>
      </c>
      <c r="E307" s="54">
        <f>DATE(YEAR($A307),MONTH($A307),1)</f>
        <v/>
      </c>
      <c r="F307" s="55">
        <f>SUMIFS(tblMovement[Tonnes_t],tblMovement[Date],$A307,tblMovement[Is_Ore],1,tblMovement[Source_Type],"Pit")</f>
        <v/>
      </c>
      <c r="G307" s="55">
        <f>IF($B307=$B306,$G306,0)+$F307</f>
        <v/>
      </c>
      <c r="H307" s="55">
        <f>$H306+$F307</f>
        <v/>
      </c>
      <c r="I307" s="55">
        <f>SUMIFS(tblMovement[Ore_oz],tblMovement[Date],$A307,tblMovement[Source_Type],"Pit")</f>
        <v/>
      </c>
      <c r="J307" s="55">
        <f>IF($B307=$B306,$J306,0)+$I307</f>
        <v/>
      </c>
      <c r="K307" s="55">
        <f>$K306+$I307</f>
        <v/>
      </c>
      <c r="L307" s="56">
        <f>IFERROR(IF(($F307)&gt;0,($I307*cfg_TroyOz)/($F307),""),"")</f>
        <v/>
      </c>
      <c r="M307" s="56">
        <f>IFERROR(IF(($G307)&gt;0,($J307*cfg_TroyOz)/($G307),""),"")</f>
        <v/>
      </c>
      <c r="N307" s="56">
        <f>IFERROR(IF(($H307)&gt;0,($K307*cfg_TroyOz)/($H307),""),"")</f>
        <v/>
      </c>
      <c r="O307" s="55">
        <f>SUMIFS(tblMovement[Tonnes_t],tblMovement[Date],$A307,tblMovement[Is_Ore],0,tblMovement[Source_Type],"Pit")</f>
        <v/>
      </c>
      <c r="P307" s="55">
        <f>IF($B307=$B306,$P306,0)+$O307</f>
        <v/>
      </c>
      <c r="Q307" s="55">
        <f>$Q306+$O307</f>
        <v/>
      </c>
      <c r="R307" s="55">
        <f>$F307+$O307</f>
        <v/>
      </c>
      <c r="S307" s="55">
        <f>IF($B307=$B306,$S306,0)+$R307</f>
        <v/>
      </c>
      <c r="T307" s="55">
        <f>$T306+$R307</f>
        <v/>
      </c>
      <c r="U307" s="56">
        <f>IFERROR(IF(($F307)&gt;0,($O307)/($F307),""),"")</f>
        <v/>
      </c>
      <c r="V307" s="56">
        <f>IFERROR(IF(($G307)&gt;0,($P307)/($G307),""),"")</f>
        <v/>
      </c>
      <c r="W307" s="56">
        <f>IFERROR(IF(($H307)&gt;0,($Q307)/($H307),""),"")</f>
        <v/>
      </c>
      <c r="X307" s="55">
        <f>SUMIFS(tblMovement[Tonnes_t],tblMovement[Date],$A307,tblMovement[Source_Type],"Stockpile")</f>
        <v/>
      </c>
      <c r="Y307" s="55">
        <f>IF($B307=$B306,$Y306,0)+$X307</f>
        <v/>
      </c>
      <c r="Z307" s="55">
        <f>$Z306+$X307</f>
        <v/>
      </c>
      <c r="AA307" s="55">
        <f>SUMIFS(tblMiningDaily[Drill_m],tblMiningDaily[Date],$A307)</f>
        <v/>
      </c>
      <c r="AB307" s="55">
        <f>IF($B307=$B306,$AB306,0)+$AA307</f>
        <v/>
      </c>
      <c r="AC307" s="55">
        <f>$AC306+$AA307</f>
        <v/>
      </c>
      <c r="AD307" s="55">
        <f>SUMIFS(tblMiningDaily[Blast_t],tblMiningDaily[Date],$A307)</f>
        <v/>
      </c>
      <c r="AE307" s="55">
        <f>IF($B307=$B306,$AE306,0)+$AD307</f>
        <v/>
      </c>
      <c r="AF307" s="55">
        <f>$AF306+$AD307</f>
        <v/>
      </c>
      <c r="AG307" s="55">
        <f>SUMIFS(tblMiningDaily[Explosives_kg],tblMiningDaily[Date],$A307)</f>
        <v/>
      </c>
      <c r="AH307" s="55">
        <f>IF($B307=$B306,$AH306,0)+$AG307</f>
        <v/>
      </c>
      <c r="AI307" s="55">
        <f>$AI306+$AG307</f>
        <v/>
      </c>
      <c r="AJ307" s="56">
        <f>IFERROR(IF(($AD307)&gt;0,($AG307)/($AD307),""),"")</f>
        <v/>
      </c>
      <c r="AK307" s="56">
        <f>IFERROR(IF(($AE307)&gt;0,($AH307)/($AE307),""),"")</f>
        <v/>
      </c>
      <c r="AL307" s="56">
        <f>IFERROR(IF(($AF307)&gt;0,($AI307)/($AF307),""),"")</f>
        <v/>
      </c>
      <c r="AM307" s="55">
        <f>SUMIFS(tblMiningDaily[Diesel_L],tblMiningDaily[Date],$A307)</f>
        <v/>
      </c>
      <c r="AN307" s="55">
        <f>IF($B307=$B306,$AN306,0)+$AM307</f>
        <v/>
      </c>
      <c r="AO307" s="55">
        <f>$AO306+$AM307</f>
        <v/>
      </c>
      <c r="AP307" s="55">
        <f>SUMIFS(tblMiningDaily[Dewatering_m3],tblMiningDaily[Date],$A307)</f>
        <v/>
      </c>
      <c r="AQ307" s="55">
        <f>IF($B307=$B306,$AQ306,0)+$AP307</f>
        <v/>
      </c>
      <c r="AR307" s="55">
        <f>$AR306+$AP307</f>
        <v/>
      </c>
      <c r="AS307" s="57">
        <f>SUMIFS(tblFleet[Calendar_h],tblFleet[Date],$A307,tblFleet[Equipment_Class],"Excavator")</f>
        <v/>
      </c>
      <c r="AT307" s="57">
        <f>IF($B307=$B306,$AT306,0)+$AS307</f>
        <v/>
      </c>
      <c r="AU307" s="57">
        <f>$AU306+$AS307</f>
        <v/>
      </c>
      <c r="AV307" s="57">
        <f>SUMIFS(tblFleet[Available_h],tblFleet[Date],$A307,tblFleet[Equipment_Class],"Excavator")</f>
        <v/>
      </c>
      <c r="AW307" s="57">
        <f>IF($B307=$B306,$AW306,0)+$AV307</f>
        <v/>
      </c>
      <c r="AX307" s="57">
        <f>$AX306+$AV307</f>
        <v/>
      </c>
      <c r="AY307" s="57">
        <f>SUMIFS(tblFleet[Operating_h],tblFleet[Date],$A307,tblFleet[Equipment_Class],"Excavator")</f>
        <v/>
      </c>
      <c r="AZ307" s="57">
        <f>IF($B307=$B306,$AZ306,0)+$AY307</f>
        <v/>
      </c>
      <c r="BA307" s="57">
        <f>$BA306+$AY307</f>
        <v/>
      </c>
      <c r="BB307" s="67">
        <f>IFERROR(IF(($AS307)&gt;0,($AV307)/($AS307),""),"")</f>
        <v/>
      </c>
      <c r="BC307" s="67">
        <f>IFERROR(IF(($AT307)&gt;0,($AW307)/($AT307),""),"")</f>
        <v/>
      </c>
      <c r="BD307" s="67">
        <f>IFERROR(IF(($AU307)&gt;0,($AX307)/($AU307),""),"")</f>
        <v/>
      </c>
      <c r="BE307" s="67">
        <f>IFERROR(IF(($AV307)&gt;0,($AY307)/($AV307),""),"")</f>
        <v/>
      </c>
      <c r="BF307" s="67">
        <f>IFERROR(IF(($AW307)&gt;0,($AZ307)/($AW307),""),"")</f>
        <v/>
      </c>
      <c r="BG307" s="67">
        <f>IFERROR(IF(($AX307)&gt;0,($BA307)/($AX307),""),"")</f>
        <v/>
      </c>
      <c r="BH307" s="57">
        <f>SUMIFS(tblFleet[Calendar_h],tblFleet[Date],$A307,tblFleet[Equipment_Class],"Haul Truck")</f>
        <v/>
      </c>
      <c r="BI307" s="57">
        <f>IF($B307=$B306,$BI306,0)+$BH307</f>
        <v/>
      </c>
      <c r="BJ307" s="57">
        <f>$BJ306+$BH307</f>
        <v/>
      </c>
      <c r="BK307" s="57">
        <f>SUMIFS(tblFleet[Available_h],tblFleet[Date],$A307,tblFleet[Equipment_Class],"Haul Truck")</f>
        <v/>
      </c>
      <c r="BL307" s="57">
        <f>IF($B307=$B306,$BL306,0)+$BK307</f>
        <v/>
      </c>
      <c r="BM307" s="57">
        <f>$BM306+$BK307</f>
        <v/>
      </c>
      <c r="BN307" s="57">
        <f>SUMIFS(tblFleet[Operating_h],tblFleet[Date],$A307,tblFleet[Equipment_Class],"Haul Truck")</f>
        <v/>
      </c>
      <c r="BO307" s="57">
        <f>IF($B307=$B306,$BO306,0)+$BN307</f>
        <v/>
      </c>
      <c r="BP307" s="57">
        <f>$BP306+$BN307</f>
        <v/>
      </c>
      <c r="BQ307" s="67">
        <f>IFERROR(IF(($BH307)&gt;0,($BK307)/($BH307),""),"")</f>
        <v/>
      </c>
      <c r="BR307" s="67">
        <f>IFERROR(IF(($BI307)&gt;0,($BL307)/($BI307),""),"")</f>
        <v/>
      </c>
      <c r="BS307" s="67">
        <f>IFERROR(IF(($BJ307)&gt;0,($BM307)/($BJ307),""),"")</f>
        <v/>
      </c>
      <c r="BT307" s="67">
        <f>IFERROR(IF(($BK307)&gt;0,($BN307)/($BK307),""),"")</f>
        <v/>
      </c>
      <c r="BU307" s="67">
        <f>IFERROR(IF(($BL307)&gt;0,($BO307)/($BL307),""),"")</f>
        <v/>
      </c>
      <c r="BV307" s="67">
        <f>IFERROR(IF(($BM307)&gt;0,($BP307)/($BM307),""),"")</f>
        <v/>
      </c>
      <c r="BW307" s="55">
        <f>SUMIFS(tblPlant[Crushed_t],tblPlant[Date],$A307)</f>
        <v/>
      </c>
      <c r="BX307" s="55">
        <f>IF($B307=$B306,$BX306,0)+$BW307</f>
        <v/>
      </c>
      <c r="BY307" s="55">
        <f>$BY306+$BW307</f>
        <v/>
      </c>
      <c r="BZ307" s="55">
        <f>SUMIFS(tblPlant[Milled_t],tblPlant[Date],$A307)</f>
        <v/>
      </c>
      <c r="CA307" s="55">
        <f>IF($B307=$B306,$CA306,0)+$BZ307</f>
        <v/>
      </c>
      <c r="CB307" s="55">
        <f>$CB306+$BZ307</f>
        <v/>
      </c>
      <c r="CC307" s="55">
        <f>SUMIFS(tblPlant[Feed_oz],tblPlant[Date],$A307)</f>
        <v/>
      </c>
      <c r="CD307" s="55">
        <f>IF($B307=$B306,$CD306,0)+$CC307</f>
        <v/>
      </c>
      <c r="CE307" s="55">
        <f>$CE306+$CC307</f>
        <v/>
      </c>
      <c r="CF307" s="55">
        <f>SUMIFS(tblPlant[Tails_oz],tblPlant[Date],$A307)</f>
        <v/>
      </c>
      <c r="CG307" s="55">
        <f>IF($B307=$B306,$CG306,0)+$CF307</f>
        <v/>
      </c>
      <c r="CH307" s="55">
        <f>$CH306+$CF307</f>
        <v/>
      </c>
      <c r="CI307" s="55">
        <f>SUMIFS(tblPlant[Recovered_oz],tblPlant[Date],$A307)</f>
        <v/>
      </c>
      <c r="CJ307" s="55">
        <f>IF($B307=$B306,$CJ306,0)+$CI307</f>
        <v/>
      </c>
      <c r="CK307" s="55">
        <f>$CK306+$CI307</f>
        <v/>
      </c>
      <c r="CL307" s="56">
        <f>IFERROR(IF(($BZ307)&gt;0,($CC307*cfg_TroyOz)/($BZ307),""),"")</f>
        <v/>
      </c>
      <c r="CM307" s="56">
        <f>IFERROR(IF(($CA307)&gt;0,($CD307*cfg_TroyOz)/($CA307),""),"")</f>
        <v/>
      </c>
      <c r="CN307" s="56">
        <f>IFERROR(IF(($CB307)&gt;0,($CE307*cfg_TroyOz)/($CB307),""),"")</f>
        <v/>
      </c>
      <c r="CO307" s="56">
        <f>IFERROR(IF(($BZ307)&gt;0,($CF307*cfg_TroyOz)/($BZ307),""),"")</f>
        <v/>
      </c>
      <c r="CP307" s="56">
        <f>IFERROR(IF(($CA307)&gt;0,($CG307*cfg_TroyOz)/($CA307),""),"")</f>
        <v/>
      </c>
      <c r="CQ307" s="56">
        <f>IFERROR(IF(($CB307)&gt;0,($CH307*cfg_TroyOz)/($CB307),""),"")</f>
        <v/>
      </c>
      <c r="CR307" s="67">
        <f>IFERROR(IF(($CC307)&gt;0,($CI307)/($CC307),""),"")</f>
        <v/>
      </c>
      <c r="CS307" s="67">
        <f>IFERROR(IF(($CD307)&gt;0,($CJ307)/($CD307),""),"")</f>
        <v/>
      </c>
      <c r="CT307" s="67">
        <f>IFERROR(IF(($CE307)&gt;0,($CK307)/($CE307),""),"")</f>
        <v/>
      </c>
      <c r="CU307" s="55">
        <f>SUMIFS(tblPlant[Gravity_Gold_oz],tblPlant[Date],$A307)</f>
        <v/>
      </c>
      <c r="CV307" s="55">
        <f>IF($B307=$B306,$CV306,0)+$CU307</f>
        <v/>
      </c>
      <c r="CW307" s="55">
        <f>$CW306+$CU307</f>
        <v/>
      </c>
      <c r="CX307" s="55">
        <f>SUMIFS(tblPlant[Gold_Poured_oz],tblPlant[Date],$A307)</f>
        <v/>
      </c>
      <c r="CY307" s="55">
        <f>IF($B307=$B306,$CY306,0)+$CX307</f>
        <v/>
      </c>
      <c r="CZ307" s="55">
        <f>$CZ306+$CX307</f>
        <v/>
      </c>
      <c r="DA307" s="57">
        <f>SUMIFS(tblPlant[Mill_Run_h],tblPlant[Date],$A307)</f>
        <v/>
      </c>
      <c r="DB307" s="57">
        <f>IF($B307=$B306,$DB306,0)+$DA307</f>
        <v/>
      </c>
      <c r="DC307" s="57">
        <f>$DC306+$DA307</f>
        <v/>
      </c>
      <c r="DD307" s="57">
        <f>SUMIFS(tblPlant[Mill_Planned_Maint_h],tblPlant[Date],$A307)</f>
        <v/>
      </c>
      <c r="DE307" s="57">
        <f>IF($B307=$B306,$DE306,0)+$DD307</f>
        <v/>
      </c>
      <c r="DF307" s="57">
        <f>$DF306+$DD307</f>
        <v/>
      </c>
      <c r="DG307" s="57">
        <f>SUMIFS(tblPlant[Mill_Unplanned_Down_h],tblPlant[Date],$A307)</f>
        <v/>
      </c>
      <c r="DH307" s="57">
        <f>IF($B307=$B306,$DH306,0)+$DG307</f>
        <v/>
      </c>
      <c r="DI307" s="57">
        <f>$DI306+$DG307</f>
        <v/>
      </c>
      <c r="DJ307" s="57">
        <f>COUNTIFS(tblPlant[Date],$A307,tblPlant[Mill_Run_h],"&lt;&gt;")*24</f>
        <v/>
      </c>
      <c r="DK307" s="57">
        <f>IF($B307=$B306,$DK306,0)+$DJ307</f>
        <v/>
      </c>
      <c r="DL307" s="57">
        <f>$DL306+$DJ307</f>
        <v/>
      </c>
      <c r="DM307" s="57">
        <f>SUMIFS(tblPlant[Crusher_Run_h],tblPlant[Date],$A307)</f>
        <v/>
      </c>
      <c r="DN307" s="57">
        <f>IF($B307=$B306,$DN306,0)+$DM307</f>
        <v/>
      </c>
      <c r="DO307" s="57">
        <f>$DO306+$DM307</f>
        <v/>
      </c>
      <c r="DP307" s="55">
        <f>IFERROR(IF(($DA307)&gt;0,($BZ307)/($DA307),""),"")</f>
        <v/>
      </c>
      <c r="DQ307" s="55">
        <f>IFERROR(IF(($DB307)&gt;0,($CA307)/($DB307),""),"")</f>
        <v/>
      </c>
      <c r="DR307" s="55">
        <f>IFERROR(IF(($DC307)&gt;0,($CB307)/($DC307),""),"")</f>
        <v/>
      </c>
      <c r="DS307" s="67">
        <f>IFERROR(IF(($DJ307)&gt;0,($DJ307-$DD307-$DG307)/($DJ307),""),"")</f>
        <v/>
      </c>
      <c r="DT307" s="67">
        <f>IFERROR(IF(($DK307)&gt;0,($DK307-$DE307-$DH307)/($DK307),""),"")</f>
        <v/>
      </c>
      <c r="DU307" s="67">
        <f>IFERROR(IF(($DL307)&gt;0,($DL307-$DF307-$DI307)/($DL307),""),"")</f>
        <v/>
      </c>
      <c r="DV307" s="67">
        <f>IFERROR(IF(($DJ307-$DD307-$DG307)&gt;0,($DA307)/($DJ307-$DD307-$DG307),""),"")</f>
        <v/>
      </c>
      <c r="DW307" s="67">
        <f>IFERROR(IF(($DK307-$DE307-$DH307)&gt;0,($DB307)/($DK307-$DE307-$DH307),""),"")</f>
        <v/>
      </c>
      <c r="DX307" s="67">
        <f>IFERROR(IF(($DL307-$DF307-$DI307)&gt;0,($DC307)/($DL307-$DF307-$DI307),""),"")</f>
        <v/>
      </c>
      <c r="DY307" s="55">
        <f>SUMIFS(tblPlant[Cyanide_kg],tblPlant[Date],$A307)</f>
        <v/>
      </c>
      <c r="DZ307" s="55">
        <f>IF($B307=$B306,$DZ306,0)+$DY307</f>
        <v/>
      </c>
      <c r="EA307" s="55">
        <f>$EA306+$DY307</f>
        <v/>
      </c>
      <c r="EB307" s="55">
        <f>SUMIFS(tblPlant[Lime_kg],tblPlant[Date],$A307)</f>
        <v/>
      </c>
      <c r="EC307" s="55">
        <f>IF($B307=$B306,$EC306,0)+$EB307</f>
        <v/>
      </c>
      <c r="ED307" s="55">
        <f>$ED306+$EB307</f>
        <v/>
      </c>
      <c r="EE307" s="55">
        <f>SUMIFS(tblPlant[Grinding_Media_kg],tblPlant[Date],$A307)</f>
        <v/>
      </c>
      <c r="EF307" s="55">
        <f>IF($B307=$B306,$EF306,0)+$EE307</f>
        <v/>
      </c>
      <c r="EG307" s="55">
        <f>$EG306+$EE307</f>
        <v/>
      </c>
      <c r="EH307" s="55">
        <f>SUMIFS(tblPlant[Power_kWh],tblPlant[Date],$A307)</f>
        <v/>
      </c>
      <c r="EI307" s="55">
        <f>IF($B307=$B306,$EI306,0)+$EH307</f>
        <v/>
      </c>
      <c r="EJ307" s="55">
        <f>$EJ306+$EH307</f>
        <v/>
      </c>
      <c r="EK307" s="55">
        <f>SUMIFS(tblPlant[Raw_Water_m3],tblPlant[Date],$A307)</f>
        <v/>
      </c>
      <c r="EL307" s="55">
        <f>IF($B307=$B306,$EL306,0)+$EK307</f>
        <v/>
      </c>
      <c r="EM307" s="55">
        <f>$EM306+$EK307</f>
        <v/>
      </c>
      <c r="EN307" s="56">
        <f>IFERROR(IF(($BZ307)&gt;0,($DY307)/($BZ307),""),"")</f>
        <v/>
      </c>
      <c r="EO307" s="56">
        <f>IFERROR(IF(($CA307)&gt;0,($DZ307)/($CA307),""),"")</f>
        <v/>
      </c>
      <c r="EP307" s="56">
        <f>IFERROR(IF(($CB307)&gt;0,($EA307)/($CB307),""),"")</f>
        <v/>
      </c>
      <c r="EQ307" s="56">
        <f>IFERROR(IF(($BZ307)&gt;0,($EB307)/($BZ307),""),"")</f>
        <v/>
      </c>
      <c r="ER307" s="56">
        <f>IFERROR(IF(($CA307)&gt;0,($EC307)/($CA307),""),"")</f>
        <v/>
      </c>
      <c r="ES307" s="56">
        <f>IFERROR(IF(($CB307)&gt;0,($ED307)/($CB307),""),"")</f>
        <v/>
      </c>
      <c r="ET307" s="56">
        <f>IFERROR(IF(($BZ307)&gt;0,($EE307)/($BZ307),""),"")</f>
        <v/>
      </c>
      <c r="EU307" s="56">
        <f>IFERROR(IF(($CA307)&gt;0,($EF307)/($CA307),""),"")</f>
        <v/>
      </c>
      <c r="EV307" s="56">
        <f>IFERROR(IF(($CB307)&gt;0,($EG307)/($CB307),""),"")</f>
        <v/>
      </c>
      <c r="EW307" s="76">
        <f>IFERROR(IF(($BZ307)&gt;0,($EH307)/($BZ307),""),"")</f>
        <v/>
      </c>
      <c r="EX307" s="76">
        <f>IFERROR(IF(($CA307)&gt;0,($EI307)/($CA307),""),"")</f>
        <v/>
      </c>
      <c r="EY307" s="76">
        <f>IFERROR(IF(($CB307)&gt;0,($EJ307)/($CB307),""),"")</f>
        <v/>
      </c>
      <c r="EZ307" s="56">
        <f>IFERROR(IF(($BZ307)&gt;0,($EK307)/($BZ307),""),"")</f>
        <v/>
      </c>
      <c r="FA307" s="56">
        <f>IFERROR(IF(($CA307)&gt;0,($EL307)/($CA307),""),"")</f>
        <v/>
      </c>
      <c r="FB307" s="56">
        <f>IFERROR(IF(($CB307)&gt;0,($EM307)/($CB307),""),"")</f>
        <v/>
      </c>
      <c r="FC307" s="55">
        <f>IF(SUMIFS(tblPlant[GIC_oz],tblPlant[Date],$A307)&gt;0,SUMIFS(tblPlant[GIC_oz],tblPlant[Date],$A307),"")</f>
        <v/>
      </c>
      <c r="FD307" s="55">
        <f>SUMIFS(tblGold[Gold_oz],tblGold[Date],$A307,tblGold[Type],"Shipment")</f>
        <v/>
      </c>
      <c r="FE307" s="55">
        <f>IF($B307=$B306,$FE306,0)+$FD307</f>
        <v/>
      </c>
      <c r="FF307" s="55">
        <f>$FF306+$FD307</f>
        <v/>
      </c>
      <c r="FG307" s="55">
        <f>SUMIFS(tblGold[Gold_oz],tblGold[Date],$A307,tblGold[Type],"Sale")</f>
        <v/>
      </c>
      <c r="FH307" s="55">
        <f>IF($B307=$B306,$FH306,0)+$FG307</f>
        <v/>
      </c>
      <c r="FI307" s="55">
        <f>$FI306+$FG307</f>
        <v/>
      </c>
      <c r="FJ307" s="55">
        <f>SUMIFS(tblGold[Dore_kg],tblGold[Date],$A307,tblGold[Type],"Shipment")</f>
        <v/>
      </c>
      <c r="FK307" s="55">
        <f>IF($B307=$B306,$FK306,0)+$FJ307</f>
        <v/>
      </c>
      <c r="FL307" s="55">
        <f>$FL306+$FJ307</f>
        <v/>
      </c>
      <c r="FM307" s="57">
        <f>SUMIFS(tblSafety[Hours_Total],tblSafety[Date],$A307)</f>
        <v/>
      </c>
      <c r="FN307" s="57">
        <f>IF($B307=$B306,$FN306,0)+$FM307</f>
        <v/>
      </c>
      <c r="FO307" s="57">
        <f>$FO306+$FM307</f>
        <v/>
      </c>
      <c r="FP307" s="62">
        <f>SUMIFS(tblSafety[Fatality],tblSafety[Date],$A307)</f>
        <v/>
      </c>
      <c r="FQ307" s="62">
        <f>IF($B307=$B306,$FQ306,0)+$FP307</f>
        <v/>
      </c>
      <c r="FR307" s="62">
        <f>$FR306+$FP307</f>
        <v/>
      </c>
      <c r="FS307" s="62">
        <f>SUMIFS(tblSafety[LTI],tblSafety[Date],$A307)</f>
        <v/>
      </c>
      <c r="FT307" s="62">
        <f>IF($B307=$B306,$FT306,0)+$FS307</f>
        <v/>
      </c>
      <c r="FU307" s="62">
        <f>$FU306+$FS307</f>
        <v/>
      </c>
      <c r="FV307" s="62">
        <f>SUMIFS(tblSafety[RWI],tblSafety[Date],$A307)</f>
        <v/>
      </c>
      <c r="FW307" s="62">
        <f>IF($B307=$B306,$FW306,0)+$FV307</f>
        <v/>
      </c>
      <c r="FX307" s="62">
        <f>$FX306+$FV307</f>
        <v/>
      </c>
      <c r="FY307" s="62">
        <f>SUMIFS(tblSafety[MTI],tblSafety[Date],$A307)</f>
        <v/>
      </c>
      <c r="FZ307" s="62">
        <f>IF($B307=$B306,$FZ306,0)+$FY307</f>
        <v/>
      </c>
      <c r="GA307" s="62">
        <f>$GA306+$FY307</f>
        <v/>
      </c>
      <c r="GB307" s="62">
        <f>SUMIFS(tblSafety[FAI],tblSafety[Date],$A307)</f>
        <v/>
      </c>
      <c r="GC307" s="62">
        <f>IF($B307=$B306,$GC306,0)+$GB307</f>
        <v/>
      </c>
      <c r="GD307" s="62">
        <f>$GD306+$GB307</f>
        <v/>
      </c>
      <c r="GE307" s="62">
        <f>SUMIFS(tblSafety[Recordables],tblSafety[Date],$A307)</f>
        <v/>
      </c>
      <c r="GF307" s="62">
        <f>IF($B307=$B306,$GF306,0)+$GE307</f>
        <v/>
      </c>
      <c r="GG307" s="62">
        <f>$GG306+$GE307</f>
        <v/>
      </c>
      <c r="GH307" s="62">
        <f>SUMIFS(tblSafety[Near_Miss],tblSafety[Date],$A307)</f>
        <v/>
      </c>
      <c r="GI307" s="62">
        <f>IF($B307=$B306,$GI306,0)+$GH307</f>
        <v/>
      </c>
      <c r="GJ307" s="62">
        <f>$GJ306+$GH307</f>
        <v/>
      </c>
      <c r="GK307" s="62">
        <f>SUMIFS(tblSafety[Hazard_Reports],tblSafety[Date],$A307)</f>
        <v/>
      </c>
      <c r="GL307" s="62">
        <f>IF($B307=$B306,$GL306,0)+$GK307</f>
        <v/>
      </c>
      <c r="GM307" s="62">
        <f>$GM306+$GK307</f>
        <v/>
      </c>
      <c r="GN307" s="62">
        <f>SUMIFS(tblSafety[HPI],tblSafety[Date],$A307)</f>
        <v/>
      </c>
      <c r="GO307" s="62">
        <f>IF($B307=$B306,$GO306,0)+$GN307</f>
        <v/>
      </c>
      <c r="GP307" s="62">
        <f>$GP306+$GN307</f>
        <v/>
      </c>
      <c r="GQ307" s="62">
        <f>SUMIFS(tblSafety[Env_Incidents],tblSafety[Date],$A307)</f>
        <v/>
      </c>
      <c r="GR307" s="62">
        <f>IF($B307=$B306,$GR306,0)+$GQ307</f>
        <v/>
      </c>
      <c r="GS307" s="62">
        <f>$GS306+$GQ307</f>
        <v/>
      </c>
      <c r="GT307" s="62">
        <f>SUMIFS(tblSafety[Community_Incidents],tblSafety[Date],$A307)</f>
        <v/>
      </c>
      <c r="GU307" s="62">
        <f>IF($B307=$B306,$GU306,0)+$GT307</f>
        <v/>
      </c>
      <c r="GV307" s="62">
        <f>$GV306+$GT307</f>
        <v/>
      </c>
      <c r="GW307" s="62">
        <f>SUMIFS(tblSafety[Vehicle_Incidents],tblSafety[Date],$A307)</f>
        <v/>
      </c>
      <c r="GX307" s="62">
        <f>IF($B307=$B306,$GX306,0)+$GW307</f>
        <v/>
      </c>
      <c r="GY307" s="62">
        <f>$GY306+$GW307</f>
        <v/>
      </c>
      <c r="GZ307" s="62">
        <f>SUMIFS(tblSafety[Toolbox_Talks],tblSafety[Date],$A307)</f>
        <v/>
      </c>
      <c r="HA307" s="62">
        <f>IF($B307=$B306,$HA306,0)+$GZ307</f>
        <v/>
      </c>
      <c r="HB307" s="62">
        <f>$HB306+$GZ307</f>
        <v/>
      </c>
      <c r="HC307" s="62">
        <f>SUMIFS(tblSafety[Inspections],tblSafety[Date],$A307)</f>
        <v/>
      </c>
      <c r="HD307" s="62">
        <f>IF($B307=$B306,$HD306,0)+$HC307</f>
        <v/>
      </c>
      <c r="HE307" s="62">
        <f>$HE306+$HC307</f>
        <v/>
      </c>
      <c r="HF307" s="56">
        <f>IFERROR((SUMIFS(tblSafety[Recordables],tblSafety[Date],"&gt;="&amp;EDATE($E307,-12),tblSafety[Date],"&lt;="&amp;$A307)+SUMIFS(tblSafetyHistory[Recordables],tblSafetyHistory[Month],"&gt;="&amp;EDATE($E307,-12),tblSafetyHistory[Month],"&lt;"&amp;cfg_YearStart))/(SUMIFS(tblSafety[Hours_Total],tblSafety[Date],"&gt;="&amp;EDATE($E307,-12),tblSafety[Date],"&lt;="&amp;$A307)+SUMIFS(tblSafetyHistory[Hours_Total],tblSafetyHistory[Month],"&gt;="&amp;EDATE($E307,-12),tblSafetyHistory[Month],"&lt;"&amp;cfg_YearStart))*1000000,"")</f>
        <v/>
      </c>
      <c r="HG307" s="56">
        <f>IFERROR((SUMIFS(tblSafety[LTI],tblSafety[Date],"&gt;="&amp;EDATE($E307,-12),tblSafety[Date],"&lt;="&amp;$A307)+SUMIFS(tblSafetyHistory[LTI],tblSafetyHistory[Month],"&gt;="&amp;EDATE($E307,-12),tblSafetyHistory[Month],"&lt;"&amp;cfg_YearStart))/(SUMIFS(tblSafety[Hours_Total],tblSafety[Date],"&gt;="&amp;EDATE($E307,-12),tblSafety[Date],"&lt;="&amp;$A307)+SUMIFS(tblSafetyHistory[Hours_Total],tblSafetyHistory[Month],"&gt;="&amp;EDATE($E307,-12),tblSafetyHistory[Month],"&lt;"&amp;cfg_YearStart))*1000000,"")</f>
        <v/>
      </c>
      <c r="HH307" s="62">
        <f>IF(MAX(N(cfg_PriorLTIDate),_xlfn.MAXIFS(tblSafety[Date],tblSafety[LTI],"&gt;0",tblSafety[Date],"&lt;="&amp;$A307))=0,"",$A307-MAX(N(cfg_PriorLTIDate),_xlfn.MAXIFS(tblSafety[Date],tblSafety[LTI],"&gt;0",tblSafety[Date],"&lt;="&amp;$A307)))</f>
        <v/>
      </c>
      <c r="HI307" s="55">
        <f>SUMIFS(tblBudget[Ore_Mined_t],tblBudget[Month],$E307)</f>
        <v/>
      </c>
      <c r="HJ307" s="55">
        <f>$HI307*$C307/$D307</f>
        <v/>
      </c>
      <c r="HK307" s="55">
        <f>SUMIFS(tblBudget[Ore_Mined_t],tblBudget[Month],"&lt;"&amp;$E307)+$HJ307</f>
        <v/>
      </c>
      <c r="HL307" s="55">
        <f>SUMIFS(tblBudget[Ore_oz],tblBudget[Month],$E307)</f>
        <v/>
      </c>
      <c r="HM307" s="55">
        <f>$HL307*$C307/$D307</f>
        <v/>
      </c>
      <c r="HN307" s="55">
        <f>SUMIFS(tblBudget[Ore_oz],tblBudget[Month],"&lt;"&amp;$E307)+$HM307</f>
        <v/>
      </c>
      <c r="HO307" s="56">
        <f>IFERROR(IF(($HI307)&gt;0,($HL307*cfg_TroyOz)/($HI307),""),"")</f>
        <v/>
      </c>
      <c r="HP307" s="56">
        <f>IFERROR(IF(($HJ307)&gt;0,($HM307*cfg_TroyOz)/($HJ307),""),"")</f>
        <v/>
      </c>
      <c r="HQ307" s="56">
        <f>IFERROR(IF(($HK307)&gt;0,($HN307*cfg_TroyOz)/($HK307),""),"")</f>
        <v/>
      </c>
      <c r="HR307" s="55">
        <f>SUMIFS(tblBudget[Waste_t],tblBudget[Month],$E307)</f>
        <v/>
      </c>
      <c r="HS307" s="55">
        <f>$HR307*$C307/$D307</f>
        <v/>
      </c>
      <c r="HT307" s="55">
        <f>SUMIFS(tblBudget[Waste_t],tblBudget[Month],"&lt;"&amp;$E307)+$HS307</f>
        <v/>
      </c>
      <c r="HU307" s="55">
        <f>SUMIFS(tblBudget[TMM_t],tblBudget[Month],$E307)</f>
        <v/>
      </c>
      <c r="HV307" s="55">
        <f>$HU307*$C307/$D307</f>
        <v/>
      </c>
      <c r="HW307" s="55">
        <f>SUMIFS(tblBudget[TMM_t],tblBudget[Month],"&lt;"&amp;$E307)+$HV307</f>
        <v/>
      </c>
      <c r="HX307" s="56">
        <f>IFERROR(IF(($HI307)&gt;0,($HR307)/($HI307),""),"")</f>
        <v/>
      </c>
      <c r="HY307" s="56">
        <f>IFERROR(IF(($HJ307)&gt;0,($HS307)/($HJ307),""),"")</f>
        <v/>
      </c>
      <c r="HZ307" s="56">
        <f>IFERROR(IF(($HK307)&gt;0,($HT307)/($HK307),""),"")</f>
        <v/>
      </c>
      <c r="IA307" s="55">
        <f>SUMIFS(tblBudget[Drill_m],tblBudget[Month],$E307)</f>
        <v/>
      </c>
      <c r="IB307" s="55">
        <f>$IA307*$C307/$D307</f>
        <v/>
      </c>
      <c r="IC307" s="55">
        <f>SUMIFS(tblBudget[Drill_m],tblBudget[Month],"&lt;"&amp;$E307)+$IB307</f>
        <v/>
      </c>
      <c r="ID307" s="55">
        <f>SUMIFS(tblBudget[Diesel_L],tblBudget[Month],$E307)</f>
        <v/>
      </c>
      <c r="IE307" s="55">
        <f>$ID307*$C307/$D307</f>
        <v/>
      </c>
      <c r="IF307" s="55">
        <f>SUMIFS(tblBudget[Diesel_L],tblBudget[Month],"&lt;"&amp;$E307)+$IE307</f>
        <v/>
      </c>
      <c r="IG307" s="55">
        <f>SUMIFS(tblBudget[Milled_t],tblBudget[Month],$E307)</f>
        <v/>
      </c>
      <c r="IH307" s="55">
        <f>$IG307*$C307/$D307</f>
        <v/>
      </c>
      <c r="II307" s="55">
        <f>SUMIFS(tblBudget[Milled_t],tblBudget[Month],"&lt;"&amp;$E307)+$IH307</f>
        <v/>
      </c>
      <c r="IJ307" s="55">
        <f>SUMIFS(tblBudget[Feed_oz],tblBudget[Month],$E307)</f>
        <v/>
      </c>
      <c r="IK307" s="55">
        <f>$IJ307*$C307/$D307</f>
        <v/>
      </c>
      <c r="IL307" s="55">
        <f>SUMIFS(tblBudget[Feed_oz],tblBudget[Month],"&lt;"&amp;$E307)+$IK307</f>
        <v/>
      </c>
      <c r="IM307" s="55">
        <f>SUMIFS(tblBudget[Recovered_oz],tblBudget[Month],$E307)</f>
        <v/>
      </c>
      <c r="IN307" s="55">
        <f>$IM307*$C307/$D307</f>
        <v/>
      </c>
      <c r="IO307" s="55">
        <f>SUMIFS(tblBudget[Recovered_oz],tblBudget[Month],"&lt;"&amp;$E307)+$IN307</f>
        <v/>
      </c>
      <c r="IP307" s="56">
        <f>IFERROR(IF(($IG307)&gt;0,($IJ307*cfg_TroyOz)/($IG307),""),"")</f>
        <v/>
      </c>
      <c r="IQ307" s="56">
        <f>IFERROR(IF(($IH307)&gt;0,($IK307*cfg_TroyOz)/($IH307),""),"")</f>
        <v/>
      </c>
      <c r="IR307" s="56">
        <f>IFERROR(IF(($II307)&gt;0,($IL307*cfg_TroyOz)/($II307),""),"")</f>
        <v/>
      </c>
      <c r="IS307" s="67">
        <f>IFERROR(IF(($IJ307)&gt;0,($IM307)/($IJ307),""),"")</f>
        <v/>
      </c>
      <c r="IT307" s="67">
        <f>IFERROR(IF(($IK307)&gt;0,($IN307)/($IK307),""),"")</f>
        <v/>
      </c>
      <c r="IU307" s="67">
        <f>IFERROR(IF(($IL307)&gt;0,($IO307)/($IL307),""),"")</f>
        <v/>
      </c>
      <c r="IV307" s="55">
        <f>SUMIFS(tblBudget[Gold_Poured_oz],tblBudget[Month],$E307)</f>
        <v/>
      </c>
      <c r="IW307" s="55">
        <f>$IV307*$C307/$D307</f>
        <v/>
      </c>
      <c r="IX307" s="55">
        <f>SUMIFS(tblBudget[Gold_Poured_oz],tblBudget[Month],"&lt;"&amp;$E307)+$IW307</f>
        <v/>
      </c>
      <c r="IY307" s="57">
        <f>SUMIFS(tblBudget[Hours_Worked],tblBudget[Month],$E307)</f>
        <v/>
      </c>
      <c r="IZ307" s="57">
        <f>$IY307*$C307/$D307</f>
        <v/>
      </c>
      <c r="JA307" s="57">
        <f>SUMIFS(tblBudget[Hours_Worked],tblBudget[Month],"&lt;"&amp;$E307)+$IZ307</f>
        <v/>
      </c>
    </row>
    <row r="308">
      <c r="A308" s="54" t="n">
        <v>46329</v>
      </c>
      <c r="B308">
        <f>MONTH($A308)</f>
        <v/>
      </c>
      <c r="C308">
        <f>DAY($A308)</f>
        <v/>
      </c>
      <c r="D308">
        <f>DAY(EOMONTH($A308,0))</f>
        <v/>
      </c>
      <c r="E308" s="54">
        <f>DATE(YEAR($A308),MONTH($A308),1)</f>
        <v/>
      </c>
      <c r="F308" s="55">
        <f>SUMIFS(tblMovement[Tonnes_t],tblMovement[Date],$A308,tblMovement[Is_Ore],1,tblMovement[Source_Type],"Pit")</f>
        <v/>
      </c>
      <c r="G308" s="55">
        <f>IF($B308=$B307,$G307,0)+$F308</f>
        <v/>
      </c>
      <c r="H308" s="55">
        <f>$H307+$F308</f>
        <v/>
      </c>
      <c r="I308" s="55">
        <f>SUMIFS(tblMovement[Ore_oz],tblMovement[Date],$A308,tblMovement[Source_Type],"Pit")</f>
        <v/>
      </c>
      <c r="J308" s="55">
        <f>IF($B308=$B307,$J307,0)+$I308</f>
        <v/>
      </c>
      <c r="K308" s="55">
        <f>$K307+$I308</f>
        <v/>
      </c>
      <c r="L308" s="56">
        <f>IFERROR(IF(($F308)&gt;0,($I308*cfg_TroyOz)/($F308),""),"")</f>
        <v/>
      </c>
      <c r="M308" s="56">
        <f>IFERROR(IF(($G308)&gt;0,($J308*cfg_TroyOz)/($G308),""),"")</f>
        <v/>
      </c>
      <c r="N308" s="56">
        <f>IFERROR(IF(($H308)&gt;0,($K308*cfg_TroyOz)/($H308),""),"")</f>
        <v/>
      </c>
      <c r="O308" s="55">
        <f>SUMIFS(tblMovement[Tonnes_t],tblMovement[Date],$A308,tblMovement[Is_Ore],0,tblMovement[Source_Type],"Pit")</f>
        <v/>
      </c>
      <c r="P308" s="55">
        <f>IF($B308=$B307,$P307,0)+$O308</f>
        <v/>
      </c>
      <c r="Q308" s="55">
        <f>$Q307+$O308</f>
        <v/>
      </c>
      <c r="R308" s="55">
        <f>$F308+$O308</f>
        <v/>
      </c>
      <c r="S308" s="55">
        <f>IF($B308=$B307,$S307,0)+$R308</f>
        <v/>
      </c>
      <c r="T308" s="55">
        <f>$T307+$R308</f>
        <v/>
      </c>
      <c r="U308" s="56">
        <f>IFERROR(IF(($F308)&gt;0,($O308)/($F308),""),"")</f>
        <v/>
      </c>
      <c r="V308" s="56">
        <f>IFERROR(IF(($G308)&gt;0,($P308)/($G308),""),"")</f>
        <v/>
      </c>
      <c r="W308" s="56">
        <f>IFERROR(IF(($H308)&gt;0,($Q308)/($H308),""),"")</f>
        <v/>
      </c>
      <c r="X308" s="55">
        <f>SUMIFS(tblMovement[Tonnes_t],tblMovement[Date],$A308,tblMovement[Source_Type],"Stockpile")</f>
        <v/>
      </c>
      <c r="Y308" s="55">
        <f>IF($B308=$B307,$Y307,0)+$X308</f>
        <v/>
      </c>
      <c r="Z308" s="55">
        <f>$Z307+$X308</f>
        <v/>
      </c>
      <c r="AA308" s="55">
        <f>SUMIFS(tblMiningDaily[Drill_m],tblMiningDaily[Date],$A308)</f>
        <v/>
      </c>
      <c r="AB308" s="55">
        <f>IF($B308=$B307,$AB307,0)+$AA308</f>
        <v/>
      </c>
      <c r="AC308" s="55">
        <f>$AC307+$AA308</f>
        <v/>
      </c>
      <c r="AD308" s="55">
        <f>SUMIFS(tblMiningDaily[Blast_t],tblMiningDaily[Date],$A308)</f>
        <v/>
      </c>
      <c r="AE308" s="55">
        <f>IF($B308=$B307,$AE307,0)+$AD308</f>
        <v/>
      </c>
      <c r="AF308" s="55">
        <f>$AF307+$AD308</f>
        <v/>
      </c>
      <c r="AG308" s="55">
        <f>SUMIFS(tblMiningDaily[Explosives_kg],tblMiningDaily[Date],$A308)</f>
        <v/>
      </c>
      <c r="AH308" s="55">
        <f>IF($B308=$B307,$AH307,0)+$AG308</f>
        <v/>
      </c>
      <c r="AI308" s="55">
        <f>$AI307+$AG308</f>
        <v/>
      </c>
      <c r="AJ308" s="56">
        <f>IFERROR(IF(($AD308)&gt;0,($AG308)/($AD308),""),"")</f>
        <v/>
      </c>
      <c r="AK308" s="56">
        <f>IFERROR(IF(($AE308)&gt;0,($AH308)/($AE308),""),"")</f>
        <v/>
      </c>
      <c r="AL308" s="56">
        <f>IFERROR(IF(($AF308)&gt;0,($AI308)/($AF308),""),"")</f>
        <v/>
      </c>
      <c r="AM308" s="55">
        <f>SUMIFS(tblMiningDaily[Diesel_L],tblMiningDaily[Date],$A308)</f>
        <v/>
      </c>
      <c r="AN308" s="55">
        <f>IF($B308=$B307,$AN307,0)+$AM308</f>
        <v/>
      </c>
      <c r="AO308" s="55">
        <f>$AO307+$AM308</f>
        <v/>
      </c>
      <c r="AP308" s="55">
        <f>SUMIFS(tblMiningDaily[Dewatering_m3],tblMiningDaily[Date],$A308)</f>
        <v/>
      </c>
      <c r="AQ308" s="55">
        <f>IF($B308=$B307,$AQ307,0)+$AP308</f>
        <v/>
      </c>
      <c r="AR308" s="55">
        <f>$AR307+$AP308</f>
        <v/>
      </c>
      <c r="AS308" s="57">
        <f>SUMIFS(tblFleet[Calendar_h],tblFleet[Date],$A308,tblFleet[Equipment_Class],"Excavator")</f>
        <v/>
      </c>
      <c r="AT308" s="57">
        <f>IF($B308=$B307,$AT307,0)+$AS308</f>
        <v/>
      </c>
      <c r="AU308" s="57">
        <f>$AU307+$AS308</f>
        <v/>
      </c>
      <c r="AV308" s="57">
        <f>SUMIFS(tblFleet[Available_h],tblFleet[Date],$A308,tblFleet[Equipment_Class],"Excavator")</f>
        <v/>
      </c>
      <c r="AW308" s="57">
        <f>IF($B308=$B307,$AW307,0)+$AV308</f>
        <v/>
      </c>
      <c r="AX308" s="57">
        <f>$AX307+$AV308</f>
        <v/>
      </c>
      <c r="AY308" s="57">
        <f>SUMIFS(tblFleet[Operating_h],tblFleet[Date],$A308,tblFleet[Equipment_Class],"Excavator")</f>
        <v/>
      </c>
      <c r="AZ308" s="57">
        <f>IF($B308=$B307,$AZ307,0)+$AY308</f>
        <v/>
      </c>
      <c r="BA308" s="57">
        <f>$BA307+$AY308</f>
        <v/>
      </c>
      <c r="BB308" s="67">
        <f>IFERROR(IF(($AS308)&gt;0,($AV308)/($AS308),""),"")</f>
        <v/>
      </c>
      <c r="BC308" s="67">
        <f>IFERROR(IF(($AT308)&gt;0,($AW308)/($AT308),""),"")</f>
        <v/>
      </c>
      <c r="BD308" s="67">
        <f>IFERROR(IF(($AU308)&gt;0,($AX308)/($AU308),""),"")</f>
        <v/>
      </c>
      <c r="BE308" s="67">
        <f>IFERROR(IF(($AV308)&gt;0,($AY308)/($AV308),""),"")</f>
        <v/>
      </c>
      <c r="BF308" s="67">
        <f>IFERROR(IF(($AW308)&gt;0,($AZ308)/($AW308),""),"")</f>
        <v/>
      </c>
      <c r="BG308" s="67">
        <f>IFERROR(IF(($AX308)&gt;0,($BA308)/($AX308),""),"")</f>
        <v/>
      </c>
      <c r="BH308" s="57">
        <f>SUMIFS(tblFleet[Calendar_h],tblFleet[Date],$A308,tblFleet[Equipment_Class],"Haul Truck")</f>
        <v/>
      </c>
      <c r="BI308" s="57">
        <f>IF($B308=$B307,$BI307,0)+$BH308</f>
        <v/>
      </c>
      <c r="BJ308" s="57">
        <f>$BJ307+$BH308</f>
        <v/>
      </c>
      <c r="BK308" s="57">
        <f>SUMIFS(tblFleet[Available_h],tblFleet[Date],$A308,tblFleet[Equipment_Class],"Haul Truck")</f>
        <v/>
      </c>
      <c r="BL308" s="57">
        <f>IF($B308=$B307,$BL307,0)+$BK308</f>
        <v/>
      </c>
      <c r="BM308" s="57">
        <f>$BM307+$BK308</f>
        <v/>
      </c>
      <c r="BN308" s="57">
        <f>SUMIFS(tblFleet[Operating_h],tblFleet[Date],$A308,tblFleet[Equipment_Class],"Haul Truck")</f>
        <v/>
      </c>
      <c r="BO308" s="57">
        <f>IF($B308=$B307,$BO307,0)+$BN308</f>
        <v/>
      </c>
      <c r="BP308" s="57">
        <f>$BP307+$BN308</f>
        <v/>
      </c>
      <c r="BQ308" s="67">
        <f>IFERROR(IF(($BH308)&gt;0,($BK308)/($BH308),""),"")</f>
        <v/>
      </c>
      <c r="BR308" s="67">
        <f>IFERROR(IF(($BI308)&gt;0,($BL308)/($BI308),""),"")</f>
        <v/>
      </c>
      <c r="BS308" s="67">
        <f>IFERROR(IF(($BJ308)&gt;0,($BM308)/($BJ308),""),"")</f>
        <v/>
      </c>
      <c r="BT308" s="67">
        <f>IFERROR(IF(($BK308)&gt;0,($BN308)/($BK308),""),"")</f>
        <v/>
      </c>
      <c r="BU308" s="67">
        <f>IFERROR(IF(($BL308)&gt;0,($BO308)/($BL308),""),"")</f>
        <v/>
      </c>
      <c r="BV308" s="67">
        <f>IFERROR(IF(($BM308)&gt;0,($BP308)/($BM308),""),"")</f>
        <v/>
      </c>
      <c r="BW308" s="55">
        <f>SUMIFS(tblPlant[Crushed_t],tblPlant[Date],$A308)</f>
        <v/>
      </c>
      <c r="BX308" s="55">
        <f>IF($B308=$B307,$BX307,0)+$BW308</f>
        <v/>
      </c>
      <c r="BY308" s="55">
        <f>$BY307+$BW308</f>
        <v/>
      </c>
      <c r="BZ308" s="55">
        <f>SUMIFS(tblPlant[Milled_t],tblPlant[Date],$A308)</f>
        <v/>
      </c>
      <c r="CA308" s="55">
        <f>IF($B308=$B307,$CA307,0)+$BZ308</f>
        <v/>
      </c>
      <c r="CB308" s="55">
        <f>$CB307+$BZ308</f>
        <v/>
      </c>
      <c r="CC308" s="55">
        <f>SUMIFS(tblPlant[Feed_oz],tblPlant[Date],$A308)</f>
        <v/>
      </c>
      <c r="CD308" s="55">
        <f>IF($B308=$B307,$CD307,0)+$CC308</f>
        <v/>
      </c>
      <c r="CE308" s="55">
        <f>$CE307+$CC308</f>
        <v/>
      </c>
      <c r="CF308" s="55">
        <f>SUMIFS(tblPlant[Tails_oz],tblPlant[Date],$A308)</f>
        <v/>
      </c>
      <c r="CG308" s="55">
        <f>IF($B308=$B307,$CG307,0)+$CF308</f>
        <v/>
      </c>
      <c r="CH308" s="55">
        <f>$CH307+$CF308</f>
        <v/>
      </c>
      <c r="CI308" s="55">
        <f>SUMIFS(tblPlant[Recovered_oz],tblPlant[Date],$A308)</f>
        <v/>
      </c>
      <c r="CJ308" s="55">
        <f>IF($B308=$B307,$CJ307,0)+$CI308</f>
        <v/>
      </c>
      <c r="CK308" s="55">
        <f>$CK307+$CI308</f>
        <v/>
      </c>
      <c r="CL308" s="56">
        <f>IFERROR(IF(($BZ308)&gt;0,($CC308*cfg_TroyOz)/($BZ308),""),"")</f>
        <v/>
      </c>
      <c r="CM308" s="56">
        <f>IFERROR(IF(($CA308)&gt;0,($CD308*cfg_TroyOz)/($CA308),""),"")</f>
        <v/>
      </c>
      <c r="CN308" s="56">
        <f>IFERROR(IF(($CB308)&gt;0,($CE308*cfg_TroyOz)/($CB308),""),"")</f>
        <v/>
      </c>
      <c r="CO308" s="56">
        <f>IFERROR(IF(($BZ308)&gt;0,($CF308*cfg_TroyOz)/($BZ308),""),"")</f>
        <v/>
      </c>
      <c r="CP308" s="56">
        <f>IFERROR(IF(($CA308)&gt;0,($CG308*cfg_TroyOz)/($CA308),""),"")</f>
        <v/>
      </c>
      <c r="CQ308" s="56">
        <f>IFERROR(IF(($CB308)&gt;0,($CH308*cfg_TroyOz)/($CB308),""),"")</f>
        <v/>
      </c>
      <c r="CR308" s="67">
        <f>IFERROR(IF(($CC308)&gt;0,($CI308)/($CC308),""),"")</f>
        <v/>
      </c>
      <c r="CS308" s="67">
        <f>IFERROR(IF(($CD308)&gt;0,($CJ308)/($CD308),""),"")</f>
        <v/>
      </c>
      <c r="CT308" s="67">
        <f>IFERROR(IF(($CE308)&gt;0,($CK308)/($CE308),""),"")</f>
        <v/>
      </c>
      <c r="CU308" s="55">
        <f>SUMIFS(tblPlant[Gravity_Gold_oz],tblPlant[Date],$A308)</f>
        <v/>
      </c>
      <c r="CV308" s="55">
        <f>IF($B308=$B307,$CV307,0)+$CU308</f>
        <v/>
      </c>
      <c r="CW308" s="55">
        <f>$CW307+$CU308</f>
        <v/>
      </c>
      <c r="CX308" s="55">
        <f>SUMIFS(tblPlant[Gold_Poured_oz],tblPlant[Date],$A308)</f>
        <v/>
      </c>
      <c r="CY308" s="55">
        <f>IF($B308=$B307,$CY307,0)+$CX308</f>
        <v/>
      </c>
      <c r="CZ308" s="55">
        <f>$CZ307+$CX308</f>
        <v/>
      </c>
      <c r="DA308" s="57">
        <f>SUMIFS(tblPlant[Mill_Run_h],tblPlant[Date],$A308)</f>
        <v/>
      </c>
      <c r="DB308" s="57">
        <f>IF($B308=$B307,$DB307,0)+$DA308</f>
        <v/>
      </c>
      <c r="DC308" s="57">
        <f>$DC307+$DA308</f>
        <v/>
      </c>
      <c r="DD308" s="57">
        <f>SUMIFS(tblPlant[Mill_Planned_Maint_h],tblPlant[Date],$A308)</f>
        <v/>
      </c>
      <c r="DE308" s="57">
        <f>IF($B308=$B307,$DE307,0)+$DD308</f>
        <v/>
      </c>
      <c r="DF308" s="57">
        <f>$DF307+$DD308</f>
        <v/>
      </c>
      <c r="DG308" s="57">
        <f>SUMIFS(tblPlant[Mill_Unplanned_Down_h],tblPlant[Date],$A308)</f>
        <v/>
      </c>
      <c r="DH308" s="57">
        <f>IF($B308=$B307,$DH307,0)+$DG308</f>
        <v/>
      </c>
      <c r="DI308" s="57">
        <f>$DI307+$DG308</f>
        <v/>
      </c>
      <c r="DJ308" s="57">
        <f>COUNTIFS(tblPlant[Date],$A308,tblPlant[Mill_Run_h],"&lt;&gt;")*24</f>
        <v/>
      </c>
      <c r="DK308" s="57">
        <f>IF($B308=$B307,$DK307,0)+$DJ308</f>
        <v/>
      </c>
      <c r="DL308" s="57">
        <f>$DL307+$DJ308</f>
        <v/>
      </c>
      <c r="DM308" s="57">
        <f>SUMIFS(tblPlant[Crusher_Run_h],tblPlant[Date],$A308)</f>
        <v/>
      </c>
      <c r="DN308" s="57">
        <f>IF($B308=$B307,$DN307,0)+$DM308</f>
        <v/>
      </c>
      <c r="DO308" s="57">
        <f>$DO307+$DM308</f>
        <v/>
      </c>
      <c r="DP308" s="55">
        <f>IFERROR(IF(($DA308)&gt;0,($BZ308)/($DA308),""),"")</f>
        <v/>
      </c>
      <c r="DQ308" s="55">
        <f>IFERROR(IF(($DB308)&gt;0,($CA308)/($DB308),""),"")</f>
        <v/>
      </c>
      <c r="DR308" s="55">
        <f>IFERROR(IF(($DC308)&gt;0,($CB308)/($DC308),""),"")</f>
        <v/>
      </c>
      <c r="DS308" s="67">
        <f>IFERROR(IF(($DJ308)&gt;0,($DJ308-$DD308-$DG308)/($DJ308),""),"")</f>
        <v/>
      </c>
      <c r="DT308" s="67">
        <f>IFERROR(IF(($DK308)&gt;0,($DK308-$DE308-$DH308)/($DK308),""),"")</f>
        <v/>
      </c>
      <c r="DU308" s="67">
        <f>IFERROR(IF(($DL308)&gt;0,($DL308-$DF308-$DI308)/($DL308),""),"")</f>
        <v/>
      </c>
      <c r="DV308" s="67">
        <f>IFERROR(IF(($DJ308-$DD308-$DG308)&gt;0,($DA308)/($DJ308-$DD308-$DG308),""),"")</f>
        <v/>
      </c>
      <c r="DW308" s="67">
        <f>IFERROR(IF(($DK308-$DE308-$DH308)&gt;0,($DB308)/($DK308-$DE308-$DH308),""),"")</f>
        <v/>
      </c>
      <c r="DX308" s="67">
        <f>IFERROR(IF(($DL308-$DF308-$DI308)&gt;0,($DC308)/($DL308-$DF308-$DI308),""),"")</f>
        <v/>
      </c>
      <c r="DY308" s="55">
        <f>SUMIFS(tblPlant[Cyanide_kg],tblPlant[Date],$A308)</f>
        <v/>
      </c>
      <c r="DZ308" s="55">
        <f>IF($B308=$B307,$DZ307,0)+$DY308</f>
        <v/>
      </c>
      <c r="EA308" s="55">
        <f>$EA307+$DY308</f>
        <v/>
      </c>
      <c r="EB308" s="55">
        <f>SUMIFS(tblPlant[Lime_kg],tblPlant[Date],$A308)</f>
        <v/>
      </c>
      <c r="EC308" s="55">
        <f>IF($B308=$B307,$EC307,0)+$EB308</f>
        <v/>
      </c>
      <c r="ED308" s="55">
        <f>$ED307+$EB308</f>
        <v/>
      </c>
      <c r="EE308" s="55">
        <f>SUMIFS(tblPlant[Grinding_Media_kg],tblPlant[Date],$A308)</f>
        <v/>
      </c>
      <c r="EF308" s="55">
        <f>IF($B308=$B307,$EF307,0)+$EE308</f>
        <v/>
      </c>
      <c r="EG308" s="55">
        <f>$EG307+$EE308</f>
        <v/>
      </c>
      <c r="EH308" s="55">
        <f>SUMIFS(tblPlant[Power_kWh],tblPlant[Date],$A308)</f>
        <v/>
      </c>
      <c r="EI308" s="55">
        <f>IF($B308=$B307,$EI307,0)+$EH308</f>
        <v/>
      </c>
      <c r="EJ308" s="55">
        <f>$EJ307+$EH308</f>
        <v/>
      </c>
      <c r="EK308" s="55">
        <f>SUMIFS(tblPlant[Raw_Water_m3],tblPlant[Date],$A308)</f>
        <v/>
      </c>
      <c r="EL308" s="55">
        <f>IF($B308=$B307,$EL307,0)+$EK308</f>
        <v/>
      </c>
      <c r="EM308" s="55">
        <f>$EM307+$EK308</f>
        <v/>
      </c>
      <c r="EN308" s="56">
        <f>IFERROR(IF(($BZ308)&gt;0,($DY308)/($BZ308),""),"")</f>
        <v/>
      </c>
      <c r="EO308" s="56">
        <f>IFERROR(IF(($CA308)&gt;0,($DZ308)/($CA308),""),"")</f>
        <v/>
      </c>
      <c r="EP308" s="56">
        <f>IFERROR(IF(($CB308)&gt;0,($EA308)/($CB308),""),"")</f>
        <v/>
      </c>
      <c r="EQ308" s="56">
        <f>IFERROR(IF(($BZ308)&gt;0,($EB308)/($BZ308),""),"")</f>
        <v/>
      </c>
      <c r="ER308" s="56">
        <f>IFERROR(IF(($CA308)&gt;0,($EC308)/($CA308),""),"")</f>
        <v/>
      </c>
      <c r="ES308" s="56">
        <f>IFERROR(IF(($CB308)&gt;0,($ED308)/($CB308),""),"")</f>
        <v/>
      </c>
      <c r="ET308" s="56">
        <f>IFERROR(IF(($BZ308)&gt;0,($EE308)/($BZ308),""),"")</f>
        <v/>
      </c>
      <c r="EU308" s="56">
        <f>IFERROR(IF(($CA308)&gt;0,($EF308)/($CA308),""),"")</f>
        <v/>
      </c>
      <c r="EV308" s="56">
        <f>IFERROR(IF(($CB308)&gt;0,($EG308)/($CB308),""),"")</f>
        <v/>
      </c>
      <c r="EW308" s="76">
        <f>IFERROR(IF(($BZ308)&gt;0,($EH308)/($BZ308),""),"")</f>
        <v/>
      </c>
      <c r="EX308" s="76">
        <f>IFERROR(IF(($CA308)&gt;0,($EI308)/($CA308),""),"")</f>
        <v/>
      </c>
      <c r="EY308" s="76">
        <f>IFERROR(IF(($CB308)&gt;0,($EJ308)/($CB308),""),"")</f>
        <v/>
      </c>
      <c r="EZ308" s="56">
        <f>IFERROR(IF(($BZ308)&gt;0,($EK308)/($BZ308),""),"")</f>
        <v/>
      </c>
      <c r="FA308" s="56">
        <f>IFERROR(IF(($CA308)&gt;0,($EL308)/($CA308),""),"")</f>
        <v/>
      </c>
      <c r="FB308" s="56">
        <f>IFERROR(IF(($CB308)&gt;0,($EM308)/($CB308),""),"")</f>
        <v/>
      </c>
      <c r="FC308" s="55">
        <f>IF(SUMIFS(tblPlant[GIC_oz],tblPlant[Date],$A308)&gt;0,SUMIFS(tblPlant[GIC_oz],tblPlant[Date],$A308),"")</f>
        <v/>
      </c>
      <c r="FD308" s="55">
        <f>SUMIFS(tblGold[Gold_oz],tblGold[Date],$A308,tblGold[Type],"Shipment")</f>
        <v/>
      </c>
      <c r="FE308" s="55">
        <f>IF($B308=$B307,$FE307,0)+$FD308</f>
        <v/>
      </c>
      <c r="FF308" s="55">
        <f>$FF307+$FD308</f>
        <v/>
      </c>
      <c r="FG308" s="55">
        <f>SUMIFS(tblGold[Gold_oz],tblGold[Date],$A308,tblGold[Type],"Sale")</f>
        <v/>
      </c>
      <c r="FH308" s="55">
        <f>IF($B308=$B307,$FH307,0)+$FG308</f>
        <v/>
      </c>
      <c r="FI308" s="55">
        <f>$FI307+$FG308</f>
        <v/>
      </c>
      <c r="FJ308" s="55">
        <f>SUMIFS(tblGold[Dore_kg],tblGold[Date],$A308,tblGold[Type],"Shipment")</f>
        <v/>
      </c>
      <c r="FK308" s="55">
        <f>IF($B308=$B307,$FK307,0)+$FJ308</f>
        <v/>
      </c>
      <c r="FL308" s="55">
        <f>$FL307+$FJ308</f>
        <v/>
      </c>
      <c r="FM308" s="57">
        <f>SUMIFS(tblSafety[Hours_Total],tblSafety[Date],$A308)</f>
        <v/>
      </c>
      <c r="FN308" s="57">
        <f>IF($B308=$B307,$FN307,0)+$FM308</f>
        <v/>
      </c>
      <c r="FO308" s="57">
        <f>$FO307+$FM308</f>
        <v/>
      </c>
      <c r="FP308" s="62">
        <f>SUMIFS(tblSafety[Fatality],tblSafety[Date],$A308)</f>
        <v/>
      </c>
      <c r="FQ308" s="62">
        <f>IF($B308=$B307,$FQ307,0)+$FP308</f>
        <v/>
      </c>
      <c r="FR308" s="62">
        <f>$FR307+$FP308</f>
        <v/>
      </c>
      <c r="FS308" s="62">
        <f>SUMIFS(tblSafety[LTI],tblSafety[Date],$A308)</f>
        <v/>
      </c>
      <c r="FT308" s="62">
        <f>IF($B308=$B307,$FT307,0)+$FS308</f>
        <v/>
      </c>
      <c r="FU308" s="62">
        <f>$FU307+$FS308</f>
        <v/>
      </c>
      <c r="FV308" s="62">
        <f>SUMIFS(tblSafety[RWI],tblSafety[Date],$A308)</f>
        <v/>
      </c>
      <c r="FW308" s="62">
        <f>IF($B308=$B307,$FW307,0)+$FV308</f>
        <v/>
      </c>
      <c r="FX308" s="62">
        <f>$FX307+$FV308</f>
        <v/>
      </c>
      <c r="FY308" s="62">
        <f>SUMIFS(tblSafety[MTI],tblSafety[Date],$A308)</f>
        <v/>
      </c>
      <c r="FZ308" s="62">
        <f>IF($B308=$B307,$FZ307,0)+$FY308</f>
        <v/>
      </c>
      <c r="GA308" s="62">
        <f>$GA307+$FY308</f>
        <v/>
      </c>
      <c r="GB308" s="62">
        <f>SUMIFS(tblSafety[FAI],tblSafety[Date],$A308)</f>
        <v/>
      </c>
      <c r="GC308" s="62">
        <f>IF($B308=$B307,$GC307,0)+$GB308</f>
        <v/>
      </c>
      <c r="GD308" s="62">
        <f>$GD307+$GB308</f>
        <v/>
      </c>
      <c r="GE308" s="62">
        <f>SUMIFS(tblSafety[Recordables],tblSafety[Date],$A308)</f>
        <v/>
      </c>
      <c r="GF308" s="62">
        <f>IF($B308=$B307,$GF307,0)+$GE308</f>
        <v/>
      </c>
      <c r="GG308" s="62">
        <f>$GG307+$GE308</f>
        <v/>
      </c>
      <c r="GH308" s="62">
        <f>SUMIFS(tblSafety[Near_Miss],tblSafety[Date],$A308)</f>
        <v/>
      </c>
      <c r="GI308" s="62">
        <f>IF($B308=$B307,$GI307,0)+$GH308</f>
        <v/>
      </c>
      <c r="GJ308" s="62">
        <f>$GJ307+$GH308</f>
        <v/>
      </c>
      <c r="GK308" s="62">
        <f>SUMIFS(tblSafety[Hazard_Reports],tblSafety[Date],$A308)</f>
        <v/>
      </c>
      <c r="GL308" s="62">
        <f>IF($B308=$B307,$GL307,0)+$GK308</f>
        <v/>
      </c>
      <c r="GM308" s="62">
        <f>$GM307+$GK308</f>
        <v/>
      </c>
      <c r="GN308" s="62">
        <f>SUMIFS(tblSafety[HPI],tblSafety[Date],$A308)</f>
        <v/>
      </c>
      <c r="GO308" s="62">
        <f>IF($B308=$B307,$GO307,0)+$GN308</f>
        <v/>
      </c>
      <c r="GP308" s="62">
        <f>$GP307+$GN308</f>
        <v/>
      </c>
      <c r="GQ308" s="62">
        <f>SUMIFS(tblSafety[Env_Incidents],tblSafety[Date],$A308)</f>
        <v/>
      </c>
      <c r="GR308" s="62">
        <f>IF($B308=$B307,$GR307,0)+$GQ308</f>
        <v/>
      </c>
      <c r="GS308" s="62">
        <f>$GS307+$GQ308</f>
        <v/>
      </c>
      <c r="GT308" s="62">
        <f>SUMIFS(tblSafety[Community_Incidents],tblSafety[Date],$A308)</f>
        <v/>
      </c>
      <c r="GU308" s="62">
        <f>IF($B308=$B307,$GU307,0)+$GT308</f>
        <v/>
      </c>
      <c r="GV308" s="62">
        <f>$GV307+$GT308</f>
        <v/>
      </c>
      <c r="GW308" s="62">
        <f>SUMIFS(tblSafety[Vehicle_Incidents],tblSafety[Date],$A308)</f>
        <v/>
      </c>
      <c r="GX308" s="62">
        <f>IF($B308=$B307,$GX307,0)+$GW308</f>
        <v/>
      </c>
      <c r="GY308" s="62">
        <f>$GY307+$GW308</f>
        <v/>
      </c>
      <c r="GZ308" s="62">
        <f>SUMIFS(tblSafety[Toolbox_Talks],tblSafety[Date],$A308)</f>
        <v/>
      </c>
      <c r="HA308" s="62">
        <f>IF($B308=$B307,$HA307,0)+$GZ308</f>
        <v/>
      </c>
      <c r="HB308" s="62">
        <f>$HB307+$GZ308</f>
        <v/>
      </c>
      <c r="HC308" s="62">
        <f>SUMIFS(tblSafety[Inspections],tblSafety[Date],$A308)</f>
        <v/>
      </c>
      <c r="HD308" s="62">
        <f>IF($B308=$B307,$HD307,0)+$HC308</f>
        <v/>
      </c>
      <c r="HE308" s="62">
        <f>$HE307+$HC308</f>
        <v/>
      </c>
      <c r="HF308" s="56">
        <f>IFERROR((SUMIFS(tblSafety[Recordables],tblSafety[Date],"&gt;="&amp;EDATE($E308,-12),tblSafety[Date],"&lt;="&amp;$A308)+SUMIFS(tblSafetyHistory[Recordables],tblSafetyHistory[Month],"&gt;="&amp;EDATE($E308,-12),tblSafetyHistory[Month],"&lt;"&amp;cfg_YearStart))/(SUMIFS(tblSafety[Hours_Total],tblSafety[Date],"&gt;="&amp;EDATE($E308,-12),tblSafety[Date],"&lt;="&amp;$A308)+SUMIFS(tblSafetyHistory[Hours_Total],tblSafetyHistory[Month],"&gt;="&amp;EDATE($E308,-12),tblSafetyHistory[Month],"&lt;"&amp;cfg_YearStart))*1000000,"")</f>
        <v/>
      </c>
      <c r="HG308" s="56">
        <f>IFERROR((SUMIFS(tblSafety[LTI],tblSafety[Date],"&gt;="&amp;EDATE($E308,-12),tblSafety[Date],"&lt;="&amp;$A308)+SUMIFS(tblSafetyHistory[LTI],tblSafetyHistory[Month],"&gt;="&amp;EDATE($E308,-12),tblSafetyHistory[Month],"&lt;"&amp;cfg_YearStart))/(SUMIFS(tblSafety[Hours_Total],tblSafety[Date],"&gt;="&amp;EDATE($E308,-12),tblSafety[Date],"&lt;="&amp;$A308)+SUMIFS(tblSafetyHistory[Hours_Total],tblSafetyHistory[Month],"&gt;="&amp;EDATE($E308,-12),tblSafetyHistory[Month],"&lt;"&amp;cfg_YearStart))*1000000,"")</f>
        <v/>
      </c>
      <c r="HH308" s="62">
        <f>IF(MAX(N(cfg_PriorLTIDate),_xlfn.MAXIFS(tblSafety[Date],tblSafety[LTI],"&gt;0",tblSafety[Date],"&lt;="&amp;$A308))=0,"",$A308-MAX(N(cfg_PriorLTIDate),_xlfn.MAXIFS(tblSafety[Date],tblSafety[LTI],"&gt;0",tblSafety[Date],"&lt;="&amp;$A308)))</f>
        <v/>
      </c>
      <c r="HI308" s="55">
        <f>SUMIFS(tblBudget[Ore_Mined_t],tblBudget[Month],$E308)</f>
        <v/>
      </c>
      <c r="HJ308" s="55">
        <f>$HI308*$C308/$D308</f>
        <v/>
      </c>
      <c r="HK308" s="55">
        <f>SUMIFS(tblBudget[Ore_Mined_t],tblBudget[Month],"&lt;"&amp;$E308)+$HJ308</f>
        <v/>
      </c>
      <c r="HL308" s="55">
        <f>SUMIFS(tblBudget[Ore_oz],tblBudget[Month],$E308)</f>
        <v/>
      </c>
      <c r="HM308" s="55">
        <f>$HL308*$C308/$D308</f>
        <v/>
      </c>
      <c r="HN308" s="55">
        <f>SUMIFS(tblBudget[Ore_oz],tblBudget[Month],"&lt;"&amp;$E308)+$HM308</f>
        <v/>
      </c>
      <c r="HO308" s="56">
        <f>IFERROR(IF(($HI308)&gt;0,($HL308*cfg_TroyOz)/($HI308),""),"")</f>
        <v/>
      </c>
      <c r="HP308" s="56">
        <f>IFERROR(IF(($HJ308)&gt;0,($HM308*cfg_TroyOz)/($HJ308),""),"")</f>
        <v/>
      </c>
      <c r="HQ308" s="56">
        <f>IFERROR(IF(($HK308)&gt;0,($HN308*cfg_TroyOz)/($HK308),""),"")</f>
        <v/>
      </c>
      <c r="HR308" s="55">
        <f>SUMIFS(tblBudget[Waste_t],tblBudget[Month],$E308)</f>
        <v/>
      </c>
      <c r="HS308" s="55">
        <f>$HR308*$C308/$D308</f>
        <v/>
      </c>
      <c r="HT308" s="55">
        <f>SUMIFS(tblBudget[Waste_t],tblBudget[Month],"&lt;"&amp;$E308)+$HS308</f>
        <v/>
      </c>
      <c r="HU308" s="55">
        <f>SUMIFS(tblBudget[TMM_t],tblBudget[Month],$E308)</f>
        <v/>
      </c>
      <c r="HV308" s="55">
        <f>$HU308*$C308/$D308</f>
        <v/>
      </c>
      <c r="HW308" s="55">
        <f>SUMIFS(tblBudget[TMM_t],tblBudget[Month],"&lt;"&amp;$E308)+$HV308</f>
        <v/>
      </c>
      <c r="HX308" s="56">
        <f>IFERROR(IF(($HI308)&gt;0,($HR308)/($HI308),""),"")</f>
        <v/>
      </c>
      <c r="HY308" s="56">
        <f>IFERROR(IF(($HJ308)&gt;0,($HS308)/($HJ308),""),"")</f>
        <v/>
      </c>
      <c r="HZ308" s="56">
        <f>IFERROR(IF(($HK308)&gt;0,($HT308)/($HK308),""),"")</f>
        <v/>
      </c>
      <c r="IA308" s="55">
        <f>SUMIFS(tblBudget[Drill_m],tblBudget[Month],$E308)</f>
        <v/>
      </c>
      <c r="IB308" s="55">
        <f>$IA308*$C308/$D308</f>
        <v/>
      </c>
      <c r="IC308" s="55">
        <f>SUMIFS(tblBudget[Drill_m],tblBudget[Month],"&lt;"&amp;$E308)+$IB308</f>
        <v/>
      </c>
      <c r="ID308" s="55">
        <f>SUMIFS(tblBudget[Diesel_L],tblBudget[Month],$E308)</f>
        <v/>
      </c>
      <c r="IE308" s="55">
        <f>$ID308*$C308/$D308</f>
        <v/>
      </c>
      <c r="IF308" s="55">
        <f>SUMIFS(tblBudget[Diesel_L],tblBudget[Month],"&lt;"&amp;$E308)+$IE308</f>
        <v/>
      </c>
      <c r="IG308" s="55">
        <f>SUMIFS(tblBudget[Milled_t],tblBudget[Month],$E308)</f>
        <v/>
      </c>
      <c r="IH308" s="55">
        <f>$IG308*$C308/$D308</f>
        <v/>
      </c>
      <c r="II308" s="55">
        <f>SUMIFS(tblBudget[Milled_t],tblBudget[Month],"&lt;"&amp;$E308)+$IH308</f>
        <v/>
      </c>
      <c r="IJ308" s="55">
        <f>SUMIFS(tblBudget[Feed_oz],tblBudget[Month],$E308)</f>
        <v/>
      </c>
      <c r="IK308" s="55">
        <f>$IJ308*$C308/$D308</f>
        <v/>
      </c>
      <c r="IL308" s="55">
        <f>SUMIFS(tblBudget[Feed_oz],tblBudget[Month],"&lt;"&amp;$E308)+$IK308</f>
        <v/>
      </c>
      <c r="IM308" s="55">
        <f>SUMIFS(tblBudget[Recovered_oz],tblBudget[Month],$E308)</f>
        <v/>
      </c>
      <c r="IN308" s="55">
        <f>$IM308*$C308/$D308</f>
        <v/>
      </c>
      <c r="IO308" s="55">
        <f>SUMIFS(tblBudget[Recovered_oz],tblBudget[Month],"&lt;"&amp;$E308)+$IN308</f>
        <v/>
      </c>
      <c r="IP308" s="56">
        <f>IFERROR(IF(($IG308)&gt;0,($IJ308*cfg_TroyOz)/($IG308),""),"")</f>
        <v/>
      </c>
      <c r="IQ308" s="56">
        <f>IFERROR(IF(($IH308)&gt;0,($IK308*cfg_TroyOz)/($IH308),""),"")</f>
        <v/>
      </c>
      <c r="IR308" s="56">
        <f>IFERROR(IF(($II308)&gt;0,($IL308*cfg_TroyOz)/($II308),""),"")</f>
        <v/>
      </c>
      <c r="IS308" s="67">
        <f>IFERROR(IF(($IJ308)&gt;0,($IM308)/($IJ308),""),"")</f>
        <v/>
      </c>
      <c r="IT308" s="67">
        <f>IFERROR(IF(($IK308)&gt;0,($IN308)/($IK308),""),"")</f>
        <v/>
      </c>
      <c r="IU308" s="67">
        <f>IFERROR(IF(($IL308)&gt;0,($IO308)/($IL308),""),"")</f>
        <v/>
      </c>
      <c r="IV308" s="55">
        <f>SUMIFS(tblBudget[Gold_Poured_oz],tblBudget[Month],$E308)</f>
        <v/>
      </c>
      <c r="IW308" s="55">
        <f>$IV308*$C308/$D308</f>
        <v/>
      </c>
      <c r="IX308" s="55">
        <f>SUMIFS(tblBudget[Gold_Poured_oz],tblBudget[Month],"&lt;"&amp;$E308)+$IW308</f>
        <v/>
      </c>
      <c r="IY308" s="57">
        <f>SUMIFS(tblBudget[Hours_Worked],tblBudget[Month],$E308)</f>
        <v/>
      </c>
      <c r="IZ308" s="57">
        <f>$IY308*$C308/$D308</f>
        <v/>
      </c>
      <c r="JA308" s="57">
        <f>SUMIFS(tblBudget[Hours_Worked],tblBudget[Month],"&lt;"&amp;$E308)+$IZ308</f>
        <v/>
      </c>
    </row>
    <row r="309">
      <c r="A309" s="54" t="n">
        <v>46330</v>
      </c>
      <c r="B309">
        <f>MONTH($A309)</f>
        <v/>
      </c>
      <c r="C309">
        <f>DAY($A309)</f>
        <v/>
      </c>
      <c r="D309">
        <f>DAY(EOMONTH($A309,0))</f>
        <v/>
      </c>
      <c r="E309" s="54">
        <f>DATE(YEAR($A309),MONTH($A309),1)</f>
        <v/>
      </c>
      <c r="F309" s="55">
        <f>SUMIFS(tblMovement[Tonnes_t],tblMovement[Date],$A309,tblMovement[Is_Ore],1,tblMovement[Source_Type],"Pit")</f>
        <v/>
      </c>
      <c r="G309" s="55">
        <f>IF($B309=$B308,$G308,0)+$F309</f>
        <v/>
      </c>
      <c r="H309" s="55">
        <f>$H308+$F309</f>
        <v/>
      </c>
      <c r="I309" s="55">
        <f>SUMIFS(tblMovement[Ore_oz],tblMovement[Date],$A309,tblMovement[Source_Type],"Pit")</f>
        <v/>
      </c>
      <c r="J309" s="55">
        <f>IF($B309=$B308,$J308,0)+$I309</f>
        <v/>
      </c>
      <c r="K309" s="55">
        <f>$K308+$I309</f>
        <v/>
      </c>
      <c r="L309" s="56">
        <f>IFERROR(IF(($F309)&gt;0,($I309*cfg_TroyOz)/($F309),""),"")</f>
        <v/>
      </c>
      <c r="M309" s="56">
        <f>IFERROR(IF(($G309)&gt;0,($J309*cfg_TroyOz)/($G309),""),"")</f>
        <v/>
      </c>
      <c r="N309" s="56">
        <f>IFERROR(IF(($H309)&gt;0,($K309*cfg_TroyOz)/($H309),""),"")</f>
        <v/>
      </c>
      <c r="O309" s="55">
        <f>SUMIFS(tblMovement[Tonnes_t],tblMovement[Date],$A309,tblMovement[Is_Ore],0,tblMovement[Source_Type],"Pit")</f>
        <v/>
      </c>
      <c r="P309" s="55">
        <f>IF($B309=$B308,$P308,0)+$O309</f>
        <v/>
      </c>
      <c r="Q309" s="55">
        <f>$Q308+$O309</f>
        <v/>
      </c>
      <c r="R309" s="55">
        <f>$F309+$O309</f>
        <v/>
      </c>
      <c r="S309" s="55">
        <f>IF($B309=$B308,$S308,0)+$R309</f>
        <v/>
      </c>
      <c r="T309" s="55">
        <f>$T308+$R309</f>
        <v/>
      </c>
      <c r="U309" s="56">
        <f>IFERROR(IF(($F309)&gt;0,($O309)/($F309),""),"")</f>
        <v/>
      </c>
      <c r="V309" s="56">
        <f>IFERROR(IF(($G309)&gt;0,($P309)/($G309),""),"")</f>
        <v/>
      </c>
      <c r="W309" s="56">
        <f>IFERROR(IF(($H309)&gt;0,($Q309)/($H309),""),"")</f>
        <v/>
      </c>
      <c r="X309" s="55">
        <f>SUMIFS(tblMovement[Tonnes_t],tblMovement[Date],$A309,tblMovement[Source_Type],"Stockpile")</f>
        <v/>
      </c>
      <c r="Y309" s="55">
        <f>IF($B309=$B308,$Y308,0)+$X309</f>
        <v/>
      </c>
      <c r="Z309" s="55">
        <f>$Z308+$X309</f>
        <v/>
      </c>
      <c r="AA309" s="55">
        <f>SUMIFS(tblMiningDaily[Drill_m],tblMiningDaily[Date],$A309)</f>
        <v/>
      </c>
      <c r="AB309" s="55">
        <f>IF($B309=$B308,$AB308,0)+$AA309</f>
        <v/>
      </c>
      <c r="AC309" s="55">
        <f>$AC308+$AA309</f>
        <v/>
      </c>
      <c r="AD309" s="55">
        <f>SUMIFS(tblMiningDaily[Blast_t],tblMiningDaily[Date],$A309)</f>
        <v/>
      </c>
      <c r="AE309" s="55">
        <f>IF($B309=$B308,$AE308,0)+$AD309</f>
        <v/>
      </c>
      <c r="AF309" s="55">
        <f>$AF308+$AD309</f>
        <v/>
      </c>
      <c r="AG309" s="55">
        <f>SUMIFS(tblMiningDaily[Explosives_kg],tblMiningDaily[Date],$A309)</f>
        <v/>
      </c>
      <c r="AH309" s="55">
        <f>IF($B309=$B308,$AH308,0)+$AG309</f>
        <v/>
      </c>
      <c r="AI309" s="55">
        <f>$AI308+$AG309</f>
        <v/>
      </c>
      <c r="AJ309" s="56">
        <f>IFERROR(IF(($AD309)&gt;0,($AG309)/($AD309),""),"")</f>
        <v/>
      </c>
      <c r="AK309" s="56">
        <f>IFERROR(IF(($AE309)&gt;0,($AH309)/($AE309),""),"")</f>
        <v/>
      </c>
      <c r="AL309" s="56">
        <f>IFERROR(IF(($AF309)&gt;0,($AI309)/($AF309),""),"")</f>
        <v/>
      </c>
      <c r="AM309" s="55">
        <f>SUMIFS(tblMiningDaily[Diesel_L],tblMiningDaily[Date],$A309)</f>
        <v/>
      </c>
      <c r="AN309" s="55">
        <f>IF($B309=$B308,$AN308,0)+$AM309</f>
        <v/>
      </c>
      <c r="AO309" s="55">
        <f>$AO308+$AM309</f>
        <v/>
      </c>
      <c r="AP309" s="55">
        <f>SUMIFS(tblMiningDaily[Dewatering_m3],tblMiningDaily[Date],$A309)</f>
        <v/>
      </c>
      <c r="AQ309" s="55">
        <f>IF($B309=$B308,$AQ308,0)+$AP309</f>
        <v/>
      </c>
      <c r="AR309" s="55">
        <f>$AR308+$AP309</f>
        <v/>
      </c>
      <c r="AS309" s="57">
        <f>SUMIFS(tblFleet[Calendar_h],tblFleet[Date],$A309,tblFleet[Equipment_Class],"Excavator")</f>
        <v/>
      </c>
      <c r="AT309" s="57">
        <f>IF($B309=$B308,$AT308,0)+$AS309</f>
        <v/>
      </c>
      <c r="AU309" s="57">
        <f>$AU308+$AS309</f>
        <v/>
      </c>
      <c r="AV309" s="57">
        <f>SUMIFS(tblFleet[Available_h],tblFleet[Date],$A309,tblFleet[Equipment_Class],"Excavator")</f>
        <v/>
      </c>
      <c r="AW309" s="57">
        <f>IF($B309=$B308,$AW308,0)+$AV309</f>
        <v/>
      </c>
      <c r="AX309" s="57">
        <f>$AX308+$AV309</f>
        <v/>
      </c>
      <c r="AY309" s="57">
        <f>SUMIFS(tblFleet[Operating_h],tblFleet[Date],$A309,tblFleet[Equipment_Class],"Excavator")</f>
        <v/>
      </c>
      <c r="AZ309" s="57">
        <f>IF($B309=$B308,$AZ308,0)+$AY309</f>
        <v/>
      </c>
      <c r="BA309" s="57">
        <f>$BA308+$AY309</f>
        <v/>
      </c>
      <c r="BB309" s="67">
        <f>IFERROR(IF(($AS309)&gt;0,($AV309)/($AS309),""),"")</f>
        <v/>
      </c>
      <c r="BC309" s="67">
        <f>IFERROR(IF(($AT309)&gt;0,($AW309)/($AT309),""),"")</f>
        <v/>
      </c>
      <c r="BD309" s="67">
        <f>IFERROR(IF(($AU309)&gt;0,($AX309)/($AU309),""),"")</f>
        <v/>
      </c>
      <c r="BE309" s="67">
        <f>IFERROR(IF(($AV309)&gt;0,($AY309)/($AV309),""),"")</f>
        <v/>
      </c>
      <c r="BF309" s="67">
        <f>IFERROR(IF(($AW309)&gt;0,($AZ309)/($AW309),""),"")</f>
        <v/>
      </c>
      <c r="BG309" s="67">
        <f>IFERROR(IF(($AX309)&gt;0,($BA309)/($AX309),""),"")</f>
        <v/>
      </c>
      <c r="BH309" s="57">
        <f>SUMIFS(tblFleet[Calendar_h],tblFleet[Date],$A309,tblFleet[Equipment_Class],"Haul Truck")</f>
        <v/>
      </c>
      <c r="BI309" s="57">
        <f>IF($B309=$B308,$BI308,0)+$BH309</f>
        <v/>
      </c>
      <c r="BJ309" s="57">
        <f>$BJ308+$BH309</f>
        <v/>
      </c>
      <c r="BK309" s="57">
        <f>SUMIFS(tblFleet[Available_h],tblFleet[Date],$A309,tblFleet[Equipment_Class],"Haul Truck")</f>
        <v/>
      </c>
      <c r="BL309" s="57">
        <f>IF($B309=$B308,$BL308,0)+$BK309</f>
        <v/>
      </c>
      <c r="BM309" s="57">
        <f>$BM308+$BK309</f>
        <v/>
      </c>
      <c r="BN309" s="57">
        <f>SUMIFS(tblFleet[Operating_h],tblFleet[Date],$A309,tblFleet[Equipment_Class],"Haul Truck")</f>
        <v/>
      </c>
      <c r="BO309" s="57">
        <f>IF($B309=$B308,$BO308,0)+$BN309</f>
        <v/>
      </c>
      <c r="BP309" s="57">
        <f>$BP308+$BN309</f>
        <v/>
      </c>
      <c r="BQ309" s="67">
        <f>IFERROR(IF(($BH309)&gt;0,($BK309)/($BH309),""),"")</f>
        <v/>
      </c>
      <c r="BR309" s="67">
        <f>IFERROR(IF(($BI309)&gt;0,($BL309)/($BI309),""),"")</f>
        <v/>
      </c>
      <c r="BS309" s="67">
        <f>IFERROR(IF(($BJ309)&gt;0,($BM309)/($BJ309),""),"")</f>
        <v/>
      </c>
      <c r="BT309" s="67">
        <f>IFERROR(IF(($BK309)&gt;0,($BN309)/($BK309),""),"")</f>
        <v/>
      </c>
      <c r="BU309" s="67">
        <f>IFERROR(IF(($BL309)&gt;0,($BO309)/($BL309),""),"")</f>
        <v/>
      </c>
      <c r="BV309" s="67">
        <f>IFERROR(IF(($BM309)&gt;0,($BP309)/($BM309),""),"")</f>
        <v/>
      </c>
      <c r="BW309" s="55">
        <f>SUMIFS(tblPlant[Crushed_t],tblPlant[Date],$A309)</f>
        <v/>
      </c>
      <c r="BX309" s="55">
        <f>IF($B309=$B308,$BX308,0)+$BW309</f>
        <v/>
      </c>
      <c r="BY309" s="55">
        <f>$BY308+$BW309</f>
        <v/>
      </c>
      <c r="BZ309" s="55">
        <f>SUMIFS(tblPlant[Milled_t],tblPlant[Date],$A309)</f>
        <v/>
      </c>
      <c r="CA309" s="55">
        <f>IF($B309=$B308,$CA308,0)+$BZ309</f>
        <v/>
      </c>
      <c r="CB309" s="55">
        <f>$CB308+$BZ309</f>
        <v/>
      </c>
      <c r="CC309" s="55">
        <f>SUMIFS(tblPlant[Feed_oz],tblPlant[Date],$A309)</f>
        <v/>
      </c>
      <c r="CD309" s="55">
        <f>IF($B309=$B308,$CD308,0)+$CC309</f>
        <v/>
      </c>
      <c r="CE309" s="55">
        <f>$CE308+$CC309</f>
        <v/>
      </c>
      <c r="CF309" s="55">
        <f>SUMIFS(tblPlant[Tails_oz],tblPlant[Date],$A309)</f>
        <v/>
      </c>
      <c r="CG309" s="55">
        <f>IF($B309=$B308,$CG308,0)+$CF309</f>
        <v/>
      </c>
      <c r="CH309" s="55">
        <f>$CH308+$CF309</f>
        <v/>
      </c>
      <c r="CI309" s="55">
        <f>SUMIFS(tblPlant[Recovered_oz],tblPlant[Date],$A309)</f>
        <v/>
      </c>
      <c r="CJ309" s="55">
        <f>IF($B309=$B308,$CJ308,0)+$CI309</f>
        <v/>
      </c>
      <c r="CK309" s="55">
        <f>$CK308+$CI309</f>
        <v/>
      </c>
      <c r="CL309" s="56">
        <f>IFERROR(IF(($BZ309)&gt;0,($CC309*cfg_TroyOz)/($BZ309),""),"")</f>
        <v/>
      </c>
      <c r="CM309" s="56">
        <f>IFERROR(IF(($CA309)&gt;0,($CD309*cfg_TroyOz)/($CA309),""),"")</f>
        <v/>
      </c>
      <c r="CN309" s="56">
        <f>IFERROR(IF(($CB309)&gt;0,($CE309*cfg_TroyOz)/($CB309),""),"")</f>
        <v/>
      </c>
      <c r="CO309" s="56">
        <f>IFERROR(IF(($BZ309)&gt;0,($CF309*cfg_TroyOz)/($BZ309),""),"")</f>
        <v/>
      </c>
      <c r="CP309" s="56">
        <f>IFERROR(IF(($CA309)&gt;0,($CG309*cfg_TroyOz)/($CA309),""),"")</f>
        <v/>
      </c>
      <c r="CQ309" s="56">
        <f>IFERROR(IF(($CB309)&gt;0,($CH309*cfg_TroyOz)/($CB309),""),"")</f>
        <v/>
      </c>
      <c r="CR309" s="67">
        <f>IFERROR(IF(($CC309)&gt;0,($CI309)/($CC309),""),"")</f>
        <v/>
      </c>
      <c r="CS309" s="67">
        <f>IFERROR(IF(($CD309)&gt;0,($CJ309)/($CD309),""),"")</f>
        <v/>
      </c>
      <c r="CT309" s="67">
        <f>IFERROR(IF(($CE309)&gt;0,($CK309)/($CE309),""),"")</f>
        <v/>
      </c>
      <c r="CU309" s="55">
        <f>SUMIFS(tblPlant[Gravity_Gold_oz],tblPlant[Date],$A309)</f>
        <v/>
      </c>
      <c r="CV309" s="55">
        <f>IF($B309=$B308,$CV308,0)+$CU309</f>
        <v/>
      </c>
      <c r="CW309" s="55">
        <f>$CW308+$CU309</f>
        <v/>
      </c>
      <c r="CX309" s="55">
        <f>SUMIFS(tblPlant[Gold_Poured_oz],tblPlant[Date],$A309)</f>
        <v/>
      </c>
      <c r="CY309" s="55">
        <f>IF($B309=$B308,$CY308,0)+$CX309</f>
        <v/>
      </c>
      <c r="CZ309" s="55">
        <f>$CZ308+$CX309</f>
        <v/>
      </c>
      <c r="DA309" s="57">
        <f>SUMIFS(tblPlant[Mill_Run_h],tblPlant[Date],$A309)</f>
        <v/>
      </c>
      <c r="DB309" s="57">
        <f>IF($B309=$B308,$DB308,0)+$DA309</f>
        <v/>
      </c>
      <c r="DC309" s="57">
        <f>$DC308+$DA309</f>
        <v/>
      </c>
      <c r="DD309" s="57">
        <f>SUMIFS(tblPlant[Mill_Planned_Maint_h],tblPlant[Date],$A309)</f>
        <v/>
      </c>
      <c r="DE309" s="57">
        <f>IF($B309=$B308,$DE308,0)+$DD309</f>
        <v/>
      </c>
      <c r="DF309" s="57">
        <f>$DF308+$DD309</f>
        <v/>
      </c>
      <c r="DG309" s="57">
        <f>SUMIFS(tblPlant[Mill_Unplanned_Down_h],tblPlant[Date],$A309)</f>
        <v/>
      </c>
      <c r="DH309" s="57">
        <f>IF($B309=$B308,$DH308,0)+$DG309</f>
        <v/>
      </c>
      <c r="DI309" s="57">
        <f>$DI308+$DG309</f>
        <v/>
      </c>
      <c r="DJ309" s="57">
        <f>COUNTIFS(tblPlant[Date],$A309,tblPlant[Mill_Run_h],"&lt;&gt;")*24</f>
        <v/>
      </c>
      <c r="DK309" s="57">
        <f>IF($B309=$B308,$DK308,0)+$DJ309</f>
        <v/>
      </c>
      <c r="DL309" s="57">
        <f>$DL308+$DJ309</f>
        <v/>
      </c>
      <c r="DM309" s="57">
        <f>SUMIFS(tblPlant[Crusher_Run_h],tblPlant[Date],$A309)</f>
        <v/>
      </c>
      <c r="DN309" s="57">
        <f>IF($B309=$B308,$DN308,0)+$DM309</f>
        <v/>
      </c>
      <c r="DO309" s="57">
        <f>$DO308+$DM309</f>
        <v/>
      </c>
      <c r="DP309" s="55">
        <f>IFERROR(IF(($DA309)&gt;0,($BZ309)/($DA309),""),"")</f>
        <v/>
      </c>
      <c r="DQ309" s="55">
        <f>IFERROR(IF(($DB309)&gt;0,($CA309)/($DB309),""),"")</f>
        <v/>
      </c>
      <c r="DR309" s="55">
        <f>IFERROR(IF(($DC309)&gt;0,($CB309)/($DC309),""),"")</f>
        <v/>
      </c>
      <c r="DS309" s="67">
        <f>IFERROR(IF(($DJ309)&gt;0,($DJ309-$DD309-$DG309)/($DJ309),""),"")</f>
        <v/>
      </c>
      <c r="DT309" s="67">
        <f>IFERROR(IF(($DK309)&gt;0,($DK309-$DE309-$DH309)/($DK309),""),"")</f>
        <v/>
      </c>
      <c r="DU309" s="67">
        <f>IFERROR(IF(($DL309)&gt;0,($DL309-$DF309-$DI309)/($DL309),""),"")</f>
        <v/>
      </c>
      <c r="DV309" s="67">
        <f>IFERROR(IF(($DJ309-$DD309-$DG309)&gt;0,($DA309)/($DJ309-$DD309-$DG309),""),"")</f>
        <v/>
      </c>
      <c r="DW309" s="67">
        <f>IFERROR(IF(($DK309-$DE309-$DH309)&gt;0,($DB309)/($DK309-$DE309-$DH309),""),"")</f>
        <v/>
      </c>
      <c r="DX309" s="67">
        <f>IFERROR(IF(($DL309-$DF309-$DI309)&gt;0,($DC309)/($DL309-$DF309-$DI309),""),"")</f>
        <v/>
      </c>
      <c r="DY309" s="55">
        <f>SUMIFS(tblPlant[Cyanide_kg],tblPlant[Date],$A309)</f>
        <v/>
      </c>
      <c r="DZ309" s="55">
        <f>IF($B309=$B308,$DZ308,0)+$DY309</f>
        <v/>
      </c>
      <c r="EA309" s="55">
        <f>$EA308+$DY309</f>
        <v/>
      </c>
      <c r="EB309" s="55">
        <f>SUMIFS(tblPlant[Lime_kg],tblPlant[Date],$A309)</f>
        <v/>
      </c>
      <c r="EC309" s="55">
        <f>IF($B309=$B308,$EC308,0)+$EB309</f>
        <v/>
      </c>
      <c r="ED309" s="55">
        <f>$ED308+$EB309</f>
        <v/>
      </c>
      <c r="EE309" s="55">
        <f>SUMIFS(tblPlant[Grinding_Media_kg],tblPlant[Date],$A309)</f>
        <v/>
      </c>
      <c r="EF309" s="55">
        <f>IF($B309=$B308,$EF308,0)+$EE309</f>
        <v/>
      </c>
      <c r="EG309" s="55">
        <f>$EG308+$EE309</f>
        <v/>
      </c>
      <c r="EH309" s="55">
        <f>SUMIFS(tblPlant[Power_kWh],tblPlant[Date],$A309)</f>
        <v/>
      </c>
      <c r="EI309" s="55">
        <f>IF($B309=$B308,$EI308,0)+$EH309</f>
        <v/>
      </c>
      <c r="EJ309" s="55">
        <f>$EJ308+$EH309</f>
        <v/>
      </c>
      <c r="EK309" s="55">
        <f>SUMIFS(tblPlant[Raw_Water_m3],tblPlant[Date],$A309)</f>
        <v/>
      </c>
      <c r="EL309" s="55">
        <f>IF($B309=$B308,$EL308,0)+$EK309</f>
        <v/>
      </c>
      <c r="EM309" s="55">
        <f>$EM308+$EK309</f>
        <v/>
      </c>
      <c r="EN309" s="56">
        <f>IFERROR(IF(($BZ309)&gt;0,($DY309)/($BZ309),""),"")</f>
        <v/>
      </c>
      <c r="EO309" s="56">
        <f>IFERROR(IF(($CA309)&gt;0,($DZ309)/($CA309),""),"")</f>
        <v/>
      </c>
      <c r="EP309" s="56">
        <f>IFERROR(IF(($CB309)&gt;0,($EA309)/($CB309),""),"")</f>
        <v/>
      </c>
      <c r="EQ309" s="56">
        <f>IFERROR(IF(($BZ309)&gt;0,($EB309)/($BZ309),""),"")</f>
        <v/>
      </c>
      <c r="ER309" s="56">
        <f>IFERROR(IF(($CA309)&gt;0,($EC309)/($CA309),""),"")</f>
        <v/>
      </c>
      <c r="ES309" s="56">
        <f>IFERROR(IF(($CB309)&gt;0,($ED309)/($CB309),""),"")</f>
        <v/>
      </c>
      <c r="ET309" s="56">
        <f>IFERROR(IF(($BZ309)&gt;0,($EE309)/($BZ309),""),"")</f>
        <v/>
      </c>
      <c r="EU309" s="56">
        <f>IFERROR(IF(($CA309)&gt;0,($EF309)/($CA309),""),"")</f>
        <v/>
      </c>
      <c r="EV309" s="56">
        <f>IFERROR(IF(($CB309)&gt;0,($EG309)/($CB309),""),"")</f>
        <v/>
      </c>
      <c r="EW309" s="76">
        <f>IFERROR(IF(($BZ309)&gt;0,($EH309)/($BZ309),""),"")</f>
        <v/>
      </c>
      <c r="EX309" s="76">
        <f>IFERROR(IF(($CA309)&gt;0,($EI309)/($CA309),""),"")</f>
        <v/>
      </c>
      <c r="EY309" s="76">
        <f>IFERROR(IF(($CB309)&gt;0,($EJ309)/($CB309),""),"")</f>
        <v/>
      </c>
      <c r="EZ309" s="56">
        <f>IFERROR(IF(($BZ309)&gt;0,($EK309)/($BZ309),""),"")</f>
        <v/>
      </c>
      <c r="FA309" s="56">
        <f>IFERROR(IF(($CA309)&gt;0,($EL309)/($CA309),""),"")</f>
        <v/>
      </c>
      <c r="FB309" s="56">
        <f>IFERROR(IF(($CB309)&gt;0,($EM309)/($CB309),""),"")</f>
        <v/>
      </c>
      <c r="FC309" s="55">
        <f>IF(SUMIFS(tblPlant[GIC_oz],tblPlant[Date],$A309)&gt;0,SUMIFS(tblPlant[GIC_oz],tblPlant[Date],$A309),"")</f>
        <v/>
      </c>
      <c r="FD309" s="55">
        <f>SUMIFS(tblGold[Gold_oz],tblGold[Date],$A309,tblGold[Type],"Shipment")</f>
        <v/>
      </c>
      <c r="FE309" s="55">
        <f>IF($B309=$B308,$FE308,0)+$FD309</f>
        <v/>
      </c>
      <c r="FF309" s="55">
        <f>$FF308+$FD309</f>
        <v/>
      </c>
      <c r="FG309" s="55">
        <f>SUMIFS(tblGold[Gold_oz],tblGold[Date],$A309,tblGold[Type],"Sale")</f>
        <v/>
      </c>
      <c r="FH309" s="55">
        <f>IF($B309=$B308,$FH308,0)+$FG309</f>
        <v/>
      </c>
      <c r="FI309" s="55">
        <f>$FI308+$FG309</f>
        <v/>
      </c>
      <c r="FJ309" s="55">
        <f>SUMIFS(tblGold[Dore_kg],tblGold[Date],$A309,tblGold[Type],"Shipment")</f>
        <v/>
      </c>
      <c r="FK309" s="55">
        <f>IF($B309=$B308,$FK308,0)+$FJ309</f>
        <v/>
      </c>
      <c r="FL309" s="55">
        <f>$FL308+$FJ309</f>
        <v/>
      </c>
      <c r="FM309" s="57">
        <f>SUMIFS(tblSafety[Hours_Total],tblSafety[Date],$A309)</f>
        <v/>
      </c>
      <c r="FN309" s="57">
        <f>IF($B309=$B308,$FN308,0)+$FM309</f>
        <v/>
      </c>
      <c r="FO309" s="57">
        <f>$FO308+$FM309</f>
        <v/>
      </c>
      <c r="FP309" s="62">
        <f>SUMIFS(tblSafety[Fatality],tblSafety[Date],$A309)</f>
        <v/>
      </c>
      <c r="FQ309" s="62">
        <f>IF($B309=$B308,$FQ308,0)+$FP309</f>
        <v/>
      </c>
      <c r="FR309" s="62">
        <f>$FR308+$FP309</f>
        <v/>
      </c>
      <c r="FS309" s="62">
        <f>SUMIFS(tblSafety[LTI],tblSafety[Date],$A309)</f>
        <v/>
      </c>
      <c r="FT309" s="62">
        <f>IF($B309=$B308,$FT308,0)+$FS309</f>
        <v/>
      </c>
      <c r="FU309" s="62">
        <f>$FU308+$FS309</f>
        <v/>
      </c>
      <c r="FV309" s="62">
        <f>SUMIFS(tblSafety[RWI],tblSafety[Date],$A309)</f>
        <v/>
      </c>
      <c r="FW309" s="62">
        <f>IF($B309=$B308,$FW308,0)+$FV309</f>
        <v/>
      </c>
      <c r="FX309" s="62">
        <f>$FX308+$FV309</f>
        <v/>
      </c>
      <c r="FY309" s="62">
        <f>SUMIFS(tblSafety[MTI],tblSafety[Date],$A309)</f>
        <v/>
      </c>
      <c r="FZ309" s="62">
        <f>IF($B309=$B308,$FZ308,0)+$FY309</f>
        <v/>
      </c>
      <c r="GA309" s="62">
        <f>$GA308+$FY309</f>
        <v/>
      </c>
      <c r="GB309" s="62">
        <f>SUMIFS(tblSafety[FAI],tblSafety[Date],$A309)</f>
        <v/>
      </c>
      <c r="GC309" s="62">
        <f>IF($B309=$B308,$GC308,0)+$GB309</f>
        <v/>
      </c>
      <c r="GD309" s="62">
        <f>$GD308+$GB309</f>
        <v/>
      </c>
      <c r="GE309" s="62">
        <f>SUMIFS(tblSafety[Recordables],tblSafety[Date],$A309)</f>
        <v/>
      </c>
      <c r="GF309" s="62">
        <f>IF($B309=$B308,$GF308,0)+$GE309</f>
        <v/>
      </c>
      <c r="GG309" s="62">
        <f>$GG308+$GE309</f>
        <v/>
      </c>
      <c r="GH309" s="62">
        <f>SUMIFS(tblSafety[Near_Miss],tblSafety[Date],$A309)</f>
        <v/>
      </c>
      <c r="GI309" s="62">
        <f>IF($B309=$B308,$GI308,0)+$GH309</f>
        <v/>
      </c>
      <c r="GJ309" s="62">
        <f>$GJ308+$GH309</f>
        <v/>
      </c>
      <c r="GK309" s="62">
        <f>SUMIFS(tblSafety[Hazard_Reports],tblSafety[Date],$A309)</f>
        <v/>
      </c>
      <c r="GL309" s="62">
        <f>IF($B309=$B308,$GL308,0)+$GK309</f>
        <v/>
      </c>
      <c r="GM309" s="62">
        <f>$GM308+$GK309</f>
        <v/>
      </c>
      <c r="GN309" s="62">
        <f>SUMIFS(tblSafety[HPI],tblSafety[Date],$A309)</f>
        <v/>
      </c>
      <c r="GO309" s="62">
        <f>IF($B309=$B308,$GO308,0)+$GN309</f>
        <v/>
      </c>
      <c r="GP309" s="62">
        <f>$GP308+$GN309</f>
        <v/>
      </c>
      <c r="GQ309" s="62">
        <f>SUMIFS(tblSafety[Env_Incidents],tblSafety[Date],$A309)</f>
        <v/>
      </c>
      <c r="GR309" s="62">
        <f>IF($B309=$B308,$GR308,0)+$GQ309</f>
        <v/>
      </c>
      <c r="GS309" s="62">
        <f>$GS308+$GQ309</f>
        <v/>
      </c>
      <c r="GT309" s="62">
        <f>SUMIFS(tblSafety[Community_Incidents],tblSafety[Date],$A309)</f>
        <v/>
      </c>
      <c r="GU309" s="62">
        <f>IF($B309=$B308,$GU308,0)+$GT309</f>
        <v/>
      </c>
      <c r="GV309" s="62">
        <f>$GV308+$GT309</f>
        <v/>
      </c>
      <c r="GW309" s="62">
        <f>SUMIFS(tblSafety[Vehicle_Incidents],tblSafety[Date],$A309)</f>
        <v/>
      </c>
      <c r="GX309" s="62">
        <f>IF($B309=$B308,$GX308,0)+$GW309</f>
        <v/>
      </c>
      <c r="GY309" s="62">
        <f>$GY308+$GW309</f>
        <v/>
      </c>
      <c r="GZ309" s="62">
        <f>SUMIFS(tblSafety[Toolbox_Talks],tblSafety[Date],$A309)</f>
        <v/>
      </c>
      <c r="HA309" s="62">
        <f>IF($B309=$B308,$HA308,0)+$GZ309</f>
        <v/>
      </c>
      <c r="HB309" s="62">
        <f>$HB308+$GZ309</f>
        <v/>
      </c>
      <c r="HC309" s="62">
        <f>SUMIFS(tblSafety[Inspections],tblSafety[Date],$A309)</f>
        <v/>
      </c>
      <c r="HD309" s="62">
        <f>IF($B309=$B308,$HD308,0)+$HC309</f>
        <v/>
      </c>
      <c r="HE309" s="62">
        <f>$HE308+$HC309</f>
        <v/>
      </c>
      <c r="HF309" s="56">
        <f>IFERROR((SUMIFS(tblSafety[Recordables],tblSafety[Date],"&gt;="&amp;EDATE($E309,-12),tblSafety[Date],"&lt;="&amp;$A309)+SUMIFS(tblSafetyHistory[Recordables],tblSafetyHistory[Month],"&gt;="&amp;EDATE($E309,-12),tblSafetyHistory[Month],"&lt;"&amp;cfg_YearStart))/(SUMIFS(tblSafety[Hours_Total],tblSafety[Date],"&gt;="&amp;EDATE($E309,-12),tblSafety[Date],"&lt;="&amp;$A309)+SUMIFS(tblSafetyHistory[Hours_Total],tblSafetyHistory[Month],"&gt;="&amp;EDATE($E309,-12),tblSafetyHistory[Month],"&lt;"&amp;cfg_YearStart))*1000000,"")</f>
        <v/>
      </c>
      <c r="HG309" s="56">
        <f>IFERROR((SUMIFS(tblSafety[LTI],tblSafety[Date],"&gt;="&amp;EDATE($E309,-12),tblSafety[Date],"&lt;="&amp;$A309)+SUMIFS(tblSafetyHistory[LTI],tblSafetyHistory[Month],"&gt;="&amp;EDATE($E309,-12),tblSafetyHistory[Month],"&lt;"&amp;cfg_YearStart))/(SUMIFS(tblSafety[Hours_Total],tblSafety[Date],"&gt;="&amp;EDATE($E309,-12),tblSafety[Date],"&lt;="&amp;$A309)+SUMIFS(tblSafetyHistory[Hours_Total],tblSafetyHistory[Month],"&gt;="&amp;EDATE($E309,-12),tblSafetyHistory[Month],"&lt;"&amp;cfg_YearStart))*1000000,"")</f>
        <v/>
      </c>
      <c r="HH309" s="62">
        <f>IF(MAX(N(cfg_PriorLTIDate),_xlfn.MAXIFS(tblSafety[Date],tblSafety[LTI],"&gt;0",tblSafety[Date],"&lt;="&amp;$A309))=0,"",$A309-MAX(N(cfg_PriorLTIDate),_xlfn.MAXIFS(tblSafety[Date],tblSafety[LTI],"&gt;0",tblSafety[Date],"&lt;="&amp;$A309)))</f>
        <v/>
      </c>
      <c r="HI309" s="55">
        <f>SUMIFS(tblBudget[Ore_Mined_t],tblBudget[Month],$E309)</f>
        <v/>
      </c>
      <c r="HJ309" s="55">
        <f>$HI309*$C309/$D309</f>
        <v/>
      </c>
      <c r="HK309" s="55">
        <f>SUMIFS(tblBudget[Ore_Mined_t],tblBudget[Month],"&lt;"&amp;$E309)+$HJ309</f>
        <v/>
      </c>
      <c r="HL309" s="55">
        <f>SUMIFS(tblBudget[Ore_oz],tblBudget[Month],$E309)</f>
        <v/>
      </c>
      <c r="HM309" s="55">
        <f>$HL309*$C309/$D309</f>
        <v/>
      </c>
      <c r="HN309" s="55">
        <f>SUMIFS(tblBudget[Ore_oz],tblBudget[Month],"&lt;"&amp;$E309)+$HM309</f>
        <v/>
      </c>
      <c r="HO309" s="56">
        <f>IFERROR(IF(($HI309)&gt;0,($HL309*cfg_TroyOz)/($HI309),""),"")</f>
        <v/>
      </c>
      <c r="HP309" s="56">
        <f>IFERROR(IF(($HJ309)&gt;0,($HM309*cfg_TroyOz)/($HJ309),""),"")</f>
        <v/>
      </c>
      <c r="HQ309" s="56">
        <f>IFERROR(IF(($HK309)&gt;0,($HN309*cfg_TroyOz)/($HK309),""),"")</f>
        <v/>
      </c>
      <c r="HR309" s="55">
        <f>SUMIFS(tblBudget[Waste_t],tblBudget[Month],$E309)</f>
        <v/>
      </c>
      <c r="HS309" s="55">
        <f>$HR309*$C309/$D309</f>
        <v/>
      </c>
      <c r="HT309" s="55">
        <f>SUMIFS(tblBudget[Waste_t],tblBudget[Month],"&lt;"&amp;$E309)+$HS309</f>
        <v/>
      </c>
      <c r="HU309" s="55">
        <f>SUMIFS(tblBudget[TMM_t],tblBudget[Month],$E309)</f>
        <v/>
      </c>
      <c r="HV309" s="55">
        <f>$HU309*$C309/$D309</f>
        <v/>
      </c>
      <c r="HW309" s="55">
        <f>SUMIFS(tblBudget[TMM_t],tblBudget[Month],"&lt;"&amp;$E309)+$HV309</f>
        <v/>
      </c>
      <c r="HX309" s="56">
        <f>IFERROR(IF(($HI309)&gt;0,($HR309)/($HI309),""),"")</f>
        <v/>
      </c>
      <c r="HY309" s="56">
        <f>IFERROR(IF(($HJ309)&gt;0,($HS309)/($HJ309),""),"")</f>
        <v/>
      </c>
      <c r="HZ309" s="56">
        <f>IFERROR(IF(($HK309)&gt;0,($HT309)/($HK309),""),"")</f>
        <v/>
      </c>
      <c r="IA309" s="55">
        <f>SUMIFS(tblBudget[Drill_m],tblBudget[Month],$E309)</f>
        <v/>
      </c>
      <c r="IB309" s="55">
        <f>$IA309*$C309/$D309</f>
        <v/>
      </c>
      <c r="IC309" s="55">
        <f>SUMIFS(tblBudget[Drill_m],tblBudget[Month],"&lt;"&amp;$E309)+$IB309</f>
        <v/>
      </c>
      <c r="ID309" s="55">
        <f>SUMIFS(tblBudget[Diesel_L],tblBudget[Month],$E309)</f>
        <v/>
      </c>
      <c r="IE309" s="55">
        <f>$ID309*$C309/$D309</f>
        <v/>
      </c>
      <c r="IF309" s="55">
        <f>SUMIFS(tblBudget[Diesel_L],tblBudget[Month],"&lt;"&amp;$E309)+$IE309</f>
        <v/>
      </c>
      <c r="IG309" s="55">
        <f>SUMIFS(tblBudget[Milled_t],tblBudget[Month],$E309)</f>
        <v/>
      </c>
      <c r="IH309" s="55">
        <f>$IG309*$C309/$D309</f>
        <v/>
      </c>
      <c r="II309" s="55">
        <f>SUMIFS(tblBudget[Milled_t],tblBudget[Month],"&lt;"&amp;$E309)+$IH309</f>
        <v/>
      </c>
      <c r="IJ309" s="55">
        <f>SUMIFS(tblBudget[Feed_oz],tblBudget[Month],$E309)</f>
        <v/>
      </c>
      <c r="IK309" s="55">
        <f>$IJ309*$C309/$D309</f>
        <v/>
      </c>
      <c r="IL309" s="55">
        <f>SUMIFS(tblBudget[Feed_oz],tblBudget[Month],"&lt;"&amp;$E309)+$IK309</f>
        <v/>
      </c>
      <c r="IM309" s="55">
        <f>SUMIFS(tblBudget[Recovered_oz],tblBudget[Month],$E309)</f>
        <v/>
      </c>
      <c r="IN309" s="55">
        <f>$IM309*$C309/$D309</f>
        <v/>
      </c>
      <c r="IO309" s="55">
        <f>SUMIFS(tblBudget[Recovered_oz],tblBudget[Month],"&lt;"&amp;$E309)+$IN309</f>
        <v/>
      </c>
      <c r="IP309" s="56">
        <f>IFERROR(IF(($IG309)&gt;0,($IJ309*cfg_TroyOz)/($IG309),""),"")</f>
        <v/>
      </c>
      <c r="IQ309" s="56">
        <f>IFERROR(IF(($IH309)&gt;0,($IK309*cfg_TroyOz)/($IH309),""),"")</f>
        <v/>
      </c>
      <c r="IR309" s="56">
        <f>IFERROR(IF(($II309)&gt;0,($IL309*cfg_TroyOz)/($II309),""),"")</f>
        <v/>
      </c>
      <c r="IS309" s="67">
        <f>IFERROR(IF(($IJ309)&gt;0,($IM309)/($IJ309),""),"")</f>
        <v/>
      </c>
      <c r="IT309" s="67">
        <f>IFERROR(IF(($IK309)&gt;0,($IN309)/($IK309),""),"")</f>
        <v/>
      </c>
      <c r="IU309" s="67">
        <f>IFERROR(IF(($IL309)&gt;0,($IO309)/($IL309),""),"")</f>
        <v/>
      </c>
      <c r="IV309" s="55">
        <f>SUMIFS(tblBudget[Gold_Poured_oz],tblBudget[Month],$E309)</f>
        <v/>
      </c>
      <c r="IW309" s="55">
        <f>$IV309*$C309/$D309</f>
        <v/>
      </c>
      <c r="IX309" s="55">
        <f>SUMIFS(tblBudget[Gold_Poured_oz],tblBudget[Month],"&lt;"&amp;$E309)+$IW309</f>
        <v/>
      </c>
      <c r="IY309" s="57">
        <f>SUMIFS(tblBudget[Hours_Worked],tblBudget[Month],$E309)</f>
        <v/>
      </c>
      <c r="IZ309" s="57">
        <f>$IY309*$C309/$D309</f>
        <v/>
      </c>
      <c r="JA309" s="57">
        <f>SUMIFS(tblBudget[Hours_Worked],tblBudget[Month],"&lt;"&amp;$E309)+$IZ309</f>
        <v/>
      </c>
    </row>
    <row r="310">
      <c r="A310" s="54" t="n">
        <v>46331</v>
      </c>
      <c r="B310">
        <f>MONTH($A310)</f>
        <v/>
      </c>
      <c r="C310">
        <f>DAY($A310)</f>
        <v/>
      </c>
      <c r="D310">
        <f>DAY(EOMONTH($A310,0))</f>
        <v/>
      </c>
      <c r="E310" s="54">
        <f>DATE(YEAR($A310),MONTH($A310),1)</f>
        <v/>
      </c>
      <c r="F310" s="55">
        <f>SUMIFS(tblMovement[Tonnes_t],tblMovement[Date],$A310,tblMovement[Is_Ore],1,tblMovement[Source_Type],"Pit")</f>
        <v/>
      </c>
      <c r="G310" s="55">
        <f>IF($B310=$B309,$G309,0)+$F310</f>
        <v/>
      </c>
      <c r="H310" s="55">
        <f>$H309+$F310</f>
        <v/>
      </c>
      <c r="I310" s="55">
        <f>SUMIFS(tblMovement[Ore_oz],tblMovement[Date],$A310,tblMovement[Source_Type],"Pit")</f>
        <v/>
      </c>
      <c r="J310" s="55">
        <f>IF($B310=$B309,$J309,0)+$I310</f>
        <v/>
      </c>
      <c r="K310" s="55">
        <f>$K309+$I310</f>
        <v/>
      </c>
      <c r="L310" s="56">
        <f>IFERROR(IF(($F310)&gt;0,($I310*cfg_TroyOz)/($F310),""),"")</f>
        <v/>
      </c>
      <c r="M310" s="56">
        <f>IFERROR(IF(($G310)&gt;0,($J310*cfg_TroyOz)/($G310),""),"")</f>
        <v/>
      </c>
      <c r="N310" s="56">
        <f>IFERROR(IF(($H310)&gt;0,($K310*cfg_TroyOz)/($H310),""),"")</f>
        <v/>
      </c>
      <c r="O310" s="55">
        <f>SUMIFS(tblMovement[Tonnes_t],tblMovement[Date],$A310,tblMovement[Is_Ore],0,tblMovement[Source_Type],"Pit")</f>
        <v/>
      </c>
      <c r="P310" s="55">
        <f>IF($B310=$B309,$P309,0)+$O310</f>
        <v/>
      </c>
      <c r="Q310" s="55">
        <f>$Q309+$O310</f>
        <v/>
      </c>
      <c r="R310" s="55">
        <f>$F310+$O310</f>
        <v/>
      </c>
      <c r="S310" s="55">
        <f>IF($B310=$B309,$S309,0)+$R310</f>
        <v/>
      </c>
      <c r="T310" s="55">
        <f>$T309+$R310</f>
        <v/>
      </c>
      <c r="U310" s="56">
        <f>IFERROR(IF(($F310)&gt;0,($O310)/($F310),""),"")</f>
        <v/>
      </c>
      <c r="V310" s="56">
        <f>IFERROR(IF(($G310)&gt;0,($P310)/($G310),""),"")</f>
        <v/>
      </c>
      <c r="W310" s="56">
        <f>IFERROR(IF(($H310)&gt;0,($Q310)/($H310),""),"")</f>
        <v/>
      </c>
      <c r="X310" s="55">
        <f>SUMIFS(tblMovement[Tonnes_t],tblMovement[Date],$A310,tblMovement[Source_Type],"Stockpile")</f>
        <v/>
      </c>
      <c r="Y310" s="55">
        <f>IF($B310=$B309,$Y309,0)+$X310</f>
        <v/>
      </c>
      <c r="Z310" s="55">
        <f>$Z309+$X310</f>
        <v/>
      </c>
      <c r="AA310" s="55">
        <f>SUMIFS(tblMiningDaily[Drill_m],tblMiningDaily[Date],$A310)</f>
        <v/>
      </c>
      <c r="AB310" s="55">
        <f>IF($B310=$B309,$AB309,0)+$AA310</f>
        <v/>
      </c>
      <c r="AC310" s="55">
        <f>$AC309+$AA310</f>
        <v/>
      </c>
      <c r="AD310" s="55">
        <f>SUMIFS(tblMiningDaily[Blast_t],tblMiningDaily[Date],$A310)</f>
        <v/>
      </c>
      <c r="AE310" s="55">
        <f>IF($B310=$B309,$AE309,0)+$AD310</f>
        <v/>
      </c>
      <c r="AF310" s="55">
        <f>$AF309+$AD310</f>
        <v/>
      </c>
      <c r="AG310" s="55">
        <f>SUMIFS(tblMiningDaily[Explosives_kg],tblMiningDaily[Date],$A310)</f>
        <v/>
      </c>
      <c r="AH310" s="55">
        <f>IF($B310=$B309,$AH309,0)+$AG310</f>
        <v/>
      </c>
      <c r="AI310" s="55">
        <f>$AI309+$AG310</f>
        <v/>
      </c>
      <c r="AJ310" s="56">
        <f>IFERROR(IF(($AD310)&gt;0,($AG310)/($AD310),""),"")</f>
        <v/>
      </c>
      <c r="AK310" s="56">
        <f>IFERROR(IF(($AE310)&gt;0,($AH310)/($AE310),""),"")</f>
        <v/>
      </c>
      <c r="AL310" s="56">
        <f>IFERROR(IF(($AF310)&gt;0,($AI310)/($AF310),""),"")</f>
        <v/>
      </c>
      <c r="AM310" s="55">
        <f>SUMIFS(tblMiningDaily[Diesel_L],tblMiningDaily[Date],$A310)</f>
        <v/>
      </c>
      <c r="AN310" s="55">
        <f>IF($B310=$B309,$AN309,0)+$AM310</f>
        <v/>
      </c>
      <c r="AO310" s="55">
        <f>$AO309+$AM310</f>
        <v/>
      </c>
      <c r="AP310" s="55">
        <f>SUMIFS(tblMiningDaily[Dewatering_m3],tblMiningDaily[Date],$A310)</f>
        <v/>
      </c>
      <c r="AQ310" s="55">
        <f>IF($B310=$B309,$AQ309,0)+$AP310</f>
        <v/>
      </c>
      <c r="AR310" s="55">
        <f>$AR309+$AP310</f>
        <v/>
      </c>
      <c r="AS310" s="57">
        <f>SUMIFS(tblFleet[Calendar_h],tblFleet[Date],$A310,tblFleet[Equipment_Class],"Excavator")</f>
        <v/>
      </c>
      <c r="AT310" s="57">
        <f>IF($B310=$B309,$AT309,0)+$AS310</f>
        <v/>
      </c>
      <c r="AU310" s="57">
        <f>$AU309+$AS310</f>
        <v/>
      </c>
      <c r="AV310" s="57">
        <f>SUMIFS(tblFleet[Available_h],tblFleet[Date],$A310,tblFleet[Equipment_Class],"Excavator")</f>
        <v/>
      </c>
      <c r="AW310" s="57">
        <f>IF($B310=$B309,$AW309,0)+$AV310</f>
        <v/>
      </c>
      <c r="AX310" s="57">
        <f>$AX309+$AV310</f>
        <v/>
      </c>
      <c r="AY310" s="57">
        <f>SUMIFS(tblFleet[Operating_h],tblFleet[Date],$A310,tblFleet[Equipment_Class],"Excavator")</f>
        <v/>
      </c>
      <c r="AZ310" s="57">
        <f>IF($B310=$B309,$AZ309,0)+$AY310</f>
        <v/>
      </c>
      <c r="BA310" s="57">
        <f>$BA309+$AY310</f>
        <v/>
      </c>
      <c r="BB310" s="67">
        <f>IFERROR(IF(($AS310)&gt;0,($AV310)/($AS310),""),"")</f>
        <v/>
      </c>
      <c r="BC310" s="67">
        <f>IFERROR(IF(($AT310)&gt;0,($AW310)/($AT310),""),"")</f>
        <v/>
      </c>
      <c r="BD310" s="67">
        <f>IFERROR(IF(($AU310)&gt;0,($AX310)/($AU310),""),"")</f>
        <v/>
      </c>
      <c r="BE310" s="67">
        <f>IFERROR(IF(($AV310)&gt;0,($AY310)/($AV310),""),"")</f>
        <v/>
      </c>
      <c r="BF310" s="67">
        <f>IFERROR(IF(($AW310)&gt;0,($AZ310)/($AW310),""),"")</f>
        <v/>
      </c>
      <c r="BG310" s="67">
        <f>IFERROR(IF(($AX310)&gt;0,($BA310)/($AX310),""),"")</f>
        <v/>
      </c>
      <c r="BH310" s="57">
        <f>SUMIFS(tblFleet[Calendar_h],tblFleet[Date],$A310,tblFleet[Equipment_Class],"Haul Truck")</f>
        <v/>
      </c>
      <c r="BI310" s="57">
        <f>IF($B310=$B309,$BI309,0)+$BH310</f>
        <v/>
      </c>
      <c r="BJ310" s="57">
        <f>$BJ309+$BH310</f>
        <v/>
      </c>
      <c r="BK310" s="57">
        <f>SUMIFS(tblFleet[Available_h],tblFleet[Date],$A310,tblFleet[Equipment_Class],"Haul Truck")</f>
        <v/>
      </c>
      <c r="BL310" s="57">
        <f>IF($B310=$B309,$BL309,0)+$BK310</f>
        <v/>
      </c>
      <c r="BM310" s="57">
        <f>$BM309+$BK310</f>
        <v/>
      </c>
      <c r="BN310" s="57">
        <f>SUMIFS(tblFleet[Operating_h],tblFleet[Date],$A310,tblFleet[Equipment_Class],"Haul Truck")</f>
        <v/>
      </c>
      <c r="BO310" s="57">
        <f>IF($B310=$B309,$BO309,0)+$BN310</f>
        <v/>
      </c>
      <c r="BP310" s="57">
        <f>$BP309+$BN310</f>
        <v/>
      </c>
      <c r="BQ310" s="67">
        <f>IFERROR(IF(($BH310)&gt;0,($BK310)/($BH310),""),"")</f>
        <v/>
      </c>
      <c r="BR310" s="67">
        <f>IFERROR(IF(($BI310)&gt;0,($BL310)/($BI310),""),"")</f>
        <v/>
      </c>
      <c r="BS310" s="67">
        <f>IFERROR(IF(($BJ310)&gt;0,($BM310)/($BJ310),""),"")</f>
        <v/>
      </c>
      <c r="BT310" s="67">
        <f>IFERROR(IF(($BK310)&gt;0,($BN310)/($BK310),""),"")</f>
        <v/>
      </c>
      <c r="BU310" s="67">
        <f>IFERROR(IF(($BL310)&gt;0,($BO310)/($BL310),""),"")</f>
        <v/>
      </c>
      <c r="BV310" s="67">
        <f>IFERROR(IF(($BM310)&gt;0,($BP310)/($BM310),""),"")</f>
        <v/>
      </c>
      <c r="BW310" s="55">
        <f>SUMIFS(tblPlant[Crushed_t],tblPlant[Date],$A310)</f>
        <v/>
      </c>
      <c r="BX310" s="55">
        <f>IF($B310=$B309,$BX309,0)+$BW310</f>
        <v/>
      </c>
      <c r="BY310" s="55">
        <f>$BY309+$BW310</f>
        <v/>
      </c>
      <c r="BZ310" s="55">
        <f>SUMIFS(tblPlant[Milled_t],tblPlant[Date],$A310)</f>
        <v/>
      </c>
      <c r="CA310" s="55">
        <f>IF($B310=$B309,$CA309,0)+$BZ310</f>
        <v/>
      </c>
      <c r="CB310" s="55">
        <f>$CB309+$BZ310</f>
        <v/>
      </c>
      <c r="CC310" s="55">
        <f>SUMIFS(tblPlant[Feed_oz],tblPlant[Date],$A310)</f>
        <v/>
      </c>
      <c r="CD310" s="55">
        <f>IF($B310=$B309,$CD309,0)+$CC310</f>
        <v/>
      </c>
      <c r="CE310" s="55">
        <f>$CE309+$CC310</f>
        <v/>
      </c>
      <c r="CF310" s="55">
        <f>SUMIFS(tblPlant[Tails_oz],tblPlant[Date],$A310)</f>
        <v/>
      </c>
      <c r="CG310" s="55">
        <f>IF($B310=$B309,$CG309,0)+$CF310</f>
        <v/>
      </c>
      <c r="CH310" s="55">
        <f>$CH309+$CF310</f>
        <v/>
      </c>
      <c r="CI310" s="55">
        <f>SUMIFS(tblPlant[Recovered_oz],tblPlant[Date],$A310)</f>
        <v/>
      </c>
      <c r="CJ310" s="55">
        <f>IF($B310=$B309,$CJ309,0)+$CI310</f>
        <v/>
      </c>
      <c r="CK310" s="55">
        <f>$CK309+$CI310</f>
        <v/>
      </c>
      <c r="CL310" s="56">
        <f>IFERROR(IF(($BZ310)&gt;0,($CC310*cfg_TroyOz)/($BZ310),""),"")</f>
        <v/>
      </c>
      <c r="CM310" s="56">
        <f>IFERROR(IF(($CA310)&gt;0,($CD310*cfg_TroyOz)/($CA310),""),"")</f>
        <v/>
      </c>
      <c r="CN310" s="56">
        <f>IFERROR(IF(($CB310)&gt;0,($CE310*cfg_TroyOz)/($CB310),""),"")</f>
        <v/>
      </c>
      <c r="CO310" s="56">
        <f>IFERROR(IF(($BZ310)&gt;0,($CF310*cfg_TroyOz)/($BZ310),""),"")</f>
        <v/>
      </c>
      <c r="CP310" s="56">
        <f>IFERROR(IF(($CA310)&gt;0,($CG310*cfg_TroyOz)/($CA310),""),"")</f>
        <v/>
      </c>
      <c r="CQ310" s="56">
        <f>IFERROR(IF(($CB310)&gt;0,($CH310*cfg_TroyOz)/($CB310),""),"")</f>
        <v/>
      </c>
      <c r="CR310" s="67">
        <f>IFERROR(IF(($CC310)&gt;0,($CI310)/($CC310),""),"")</f>
        <v/>
      </c>
      <c r="CS310" s="67">
        <f>IFERROR(IF(($CD310)&gt;0,($CJ310)/($CD310),""),"")</f>
        <v/>
      </c>
      <c r="CT310" s="67">
        <f>IFERROR(IF(($CE310)&gt;0,($CK310)/($CE310),""),"")</f>
        <v/>
      </c>
      <c r="CU310" s="55">
        <f>SUMIFS(tblPlant[Gravity_Gold_oz],tblPlant[Date],$A310)</f>
        <v/>
      </c>
      <c r="CV310" s="55">
        <f>IF($B310=$B309,$CV309,0)+$CU310</f>
        <v/>
      </c>
      <c r="CW310" s="55">
        <f>$CW309+$CU310</f>
        <v/>
      </c>
      <c r="CX310" s="55">
        <f>SUMIFS(tblPlant[Gold_Poured_oz],tblPlant[Date],$A310)</f>
        <v/>
      </c>
      <c r="CY310" s="55">
        <f>IF($B310=$B309,$CY309,0)+$CX310</f>
        <v/>
      </c>
      <c r="CZ310" s="55">
        <f>$CZ309+$CX310</f>
        <v/>
      </c>
      <c r="DA310" s="57">
        <f>SUMIFS(tblPlant[Mill_Run_h],tblPlant[Date],$A310)</f>
        <v/>
      </c>
      <c r="DB310" s="57">
        <f>IF($B310=$B309,$DB309,0)+$DA310</f>
        <v/>
      </c>
      <c r="DC310" s="57">
        <f>$DC309+$DA310</f>
        <v/>
      </c>
      <c r="DD310" s="57">
        <f>SUMIFS(tblPlant[Mill_Planned_Maint_h],tblPlant[Date],$A310)</f>
        <v/>
      </c>
      <c r="DE310" s="57">
        <f>IF($B310=$B309,$DE309,0)+$DD310</f>
        <v/>
      </c>
      <c r="DF310" s="57">
        <f>$DF309+$DD310</f>
        <v/>
      </c>
      <c r="DG310" s="57">
        <f>SUMIFS(tblPlant[Mill_Unplanned_Down_h],tblPlant[Date],$A310)</f>
        <v/>
      </c>
      <c r="DH310" s="57">
        <f>IF($B310=$B309,$DH309,0)+$DG310</f>
        <v/>
      </c>
      <c r="DI310" s="57">
        <f>$DI309+$DG310</f>
        <v/>
      </c>
      <c r="DJ310" s="57">
        <f>COUNTIFS(tblPlant[Date],$A310,tblPlant[Mill_Run_h],"&lt;&gt;")*24</f>
        <v/>
      </c>
      <c r="DK310" s="57">
        <f>IF($B310=$B309,$DK309,0)+$DJ310</f>
        <v/>
      </c>
      <c r="DL310" s="57">
        <f>$DL309+$DJ310</f>
        <v/>
      </c>
      <c r="DM310" s="57">
        <f>SUMIFS(tblPlant[Crusher_Run_h],tblPlant[Date],$A310)</f>
        <v/>
      </c>
      <c r="DN310" s="57">
        <f>IF($B310=$B309,$DN309,0)+$DM310</f>
        <v/>
      </c>
      <c r="DO310" s="57">
        <f>$DO309+$DM310</f>
        <v/>
      </c>
      <c r="DP310" s="55">
        <f>IFERROR(IF(($DA310)&gt;0,($BZ310)/($DA310),""),"")</f>
        <v/>
      </c>
      <c r="DQ310" s="55">
        <f>IFERROR(IF(($DB310)&gt;0,($CA310)/($DB310),""),"")</f>
        <v/>
      </c>
      <c r="DR310" s="55">
        <f>IFERROR(IF(($DC310)&gt;0,($CB310)/($DC310),""),"")</f>
        <v/>
      </c>
      <c r="DS310" s="67">
        <f>IFERROR(IF(($DJ310)&gt;0,($DJ310-$DD310-$DG310)/($DJ310),""),"")</f>
        <v/>
      </c>
      <c r="DT310" s="67">
        <f>IFERROR(IF(($DK310)&gt;0,($DK310-$DE310-$DH310)/($DK310),""),"")</f>
        <v/>
      </c>
      <c r="DU310" s="67">
        <f>IFERROR(IF(($DL310)&gt;0,($DL310-$DF310-$DI310)/($DL310),""),"")</f>
        <v/>
      </c>
      <c r="DV310" s="67">
        <f>IFERROR(IF(($DJ310-$DD310-$DG310)&gt;0,($DA310)/($DJ310-$DD310-$DG310),""),"")</f>
        <v/>
      </c>
      <c r="DW310" s="67">
        <f>IFERROR(IF(($DK310-$DE310-$DH310)&gt;0,($DB310)/($DK310-$DE310-$DH310),""),"")</f>
        <v/>
      </c>
      <c r="DX310" s="67">
        <f>IFERROR(IF(($DL310-$DF310-$DI310)&gt;0,($DC310)/($DL310-$DF310-$DI310),""),"")</f>
        <v/>
      </c>
      <c r="DY310" s="55">
        <f>SUMIFS(tblPlant[Cyanide_kg],tblPlant[Date],$A310)</f>
        <v/>
      </c>
      <c r="DZ310" s="55">
        <f>IF($B310=$B309,$DZ309,0)+$DY310</f>
        <v/>
      </c>
      <c r="EA310" s="55">
        <f>$EA309+$DY310</f>
        <v/>
      </c>
      <c r="EB310" s="55">
        <f>SUMIFS(tblPlant[Lime_kg],tblPlant[Date],$A310)</f>
        <v/>
      </c>
      <c r="EC310" s="55">
        <f>IF($B310=$B309,$EC309,0)+$EB310</f>
        <v/>
      </c>
      <c r="ED310" s="55">
        <f>$ED309+$EB310</f>
        <v/>
      </c>
      <c r="EE310" s="55">
        <f>SUMIFS(tblPlant[Grinding_Media_kg],tblPlant[Date],$A310)</f>
        <v/>
      </c>
      <c r="EF310" s="55">
        <f>IF($B310=$B309,$EF309,0)+$EE310</f>
        <v/>
      </c>
      <c r="EG310" s="55">
        <f>$EG309+$EE310</f>
        <v/>
      </c>
      <c r="EH310" s="55">
        <f>SUMIFS(tblPlant[Power_kWh],tblPlant[Date],$A310)</f>
        <v/>
      </c>
      <c r="EI310" s="55">
        <f>IF($B310=$B309,$EI309,0)+$EH310</f>
        <v/>
      </c>
      <c r="EJ310" s="55">
        <f>$EJ309+$EH310</f>
        <v/>
      </c>
      <c r="EK310" s="55">
        <f>SUMIFS(tblPlant[Raw_Water_m3],tblPlant[Date],$A310)</f>
        <v/>
      </c>
      <c r="EL310" s="55">
        <f>IF($B310=$B309,$EL309,0)+$EK310</f>
        <v/>
      </c>
      <c r="EM310" s="55">
        <f>$EM309+$EK310</f>
        <v/>
      </c>
      <c r="EN310" s="56">
        <f>IFERROR(IF(($BZ310)&gt;0,($DY310)/($BZ310),""),"")</f>
        <v/>
      </c>
      <c r="EO310" s="56">
        <f>IFERROR(IF(($CA310)&gt;0,($DZ310)/($CA310),""),"")</f>
        <v/>
      </c>
      <c r="EP310" s="56">
        <f>IFERROR(IF(($CB310)&gt;0,($EA310)/($CB310),""),"")</f>
        <v/>
      </c>
      <c r="EQ310" s="56">
        <f>IFERROR(IF(($BZ310)&gt;0,($EB310)/($BZ310),""),"")</f>
        <v/>
      </c>
      <c r="ER310" s="56">
        <f>IFERROR(IF(($CA310)&gt;0,($EC310)/($CA310),""),"")</f>
        <v/>
      </c>
      <c r="ES310" s="56">
        <f>IFERROR(IF(($CB310)&gt;0,($ED310)/($CB310),""),"")</f>
        <v/>
      </c>
      <c r="ET310" s="56">
        <f>IFERROR(IF(($BZ310)&gt;0,($EE310)/($BZ310),""),"")</f>
        <v/>
      </c>
      <c r="EU310" s="56">
        <f>IFERROR(IF(($CA310)&gt;0,($EF310)/($CA310),""),"")</f>
        <v/>
      </c>
      <c r="EV310" s="56">
        <f>IFERROR(IF(($CB310)&gt;0,($EG310)/($CB310),""),"")</f>
        <v/>
      </c>
      <c r="EW310" s="76">
        <f>IFERROR(IF(($BZ310)&gt;0,($EH310)/($BZ310),""),"")</f>
        <v/>
      </c>
      <c r="EX310" s="76">
        <f>IFERROR(IF(($CA310)&gt;0,($EI310)/($CA310),""),"")</f>
        <v/>
      </c>
      <c r="EY310" s="76">
        <f>IFERROR(IF(($CB310)&gt;0,($EJ310)/($CB310),""),"")</f>
        <v/>
      </c>
      <c r="EZ310" s="56">
        <f>IFERROR(IF(($BZ310)&gt;0,($EK310)/($BZ310),""),"")</f>
        <v/>
      </c>
      <c r="FA310" s="56">
        <f>IFERROR(IF(($CA310)&gt;0,($EL310)/($CA310),""),"")</f>
        <v/>
      </c>
      <c r="FB310" s="56">
        <f>IFERROR(IF(($CB310)&gt;0,($EM310)/($CB310),""),"")</f>
        <v/>
      </c>
      <c r="FC310" s="55">
        <f>IF(SUMIFS(tblPlant[GIC_oz],tblPlant[Date],$A310)&gt;0,SUMIFS(tblPlant[GIC_oz],tblPlant[Date],$A310),"")</f>
        <v/>
      </c>
      <c r="FD310" s="55">
        <f>SUMIFS(tblGold[Gold_oz],tblGold[Date],$A310,tblGold[Type],"Shipment")</f>
        <v/>
      </c>
      <c r="FE310" s="55">
        <f>IF($B310=$B309,$FE309,0)+$FD310</f>
        <v/>
      </c>
      <c r="FF310" s="55">
        <f>$FF309+$FD310</f>
        <v/>
      </c>
      <c r="FG310" s="55">
        <f>SUMIFS(tblGold[Gold_oz],tblGold[Date],$A310,tblGold[Type],"Sale")</f>
        <v/>
      </c>
      <c r="FH310" s="55">
        <f>IF($B310=$B309,$FH309,0)+$FG310</f>
        <v/>
      </c>
      <c r="FI310" s="55">
        <f>$FI309+$FG310</f>
        <v/>
      </c>
      <c r="FJ310" s="55">
        <f>SUMIFS(tblGold[Dore_kg],tblGold[Date],$A310,tblGold[Type],"Shipment")</f>
        <v/>
      </c>
      <c r="FK310" s="55">
        <f>IF($B310=$B309,$FK309,0)+$FJ310</f>
        <v/>
      </c>
      <c r="FL310" s="55">
        <f>$FL309+$FJ310</f>
        <v/>
      </c>
      <c r="FM310" s="57">
        <f>SUMIFS(tblSafety[Hours_Total],tblSafety[Date],$A310)</f>
        <v/>
      </c>
      <c r="FN310" s="57">
        <f>IF($B310=$B309,$FN309,0)+$FM310</f>
        <v/>
      </c>
      <c r="FO310" s="57">
        <f>$FO309+$FM310</f>
        <v/>
      </c>
      <c r="FP310" s="62">
        <f>SUMIFS(tblSafety[Fatality],tblSafety[Date],$A310)</f>
        <v/>
      </c>
      <c r="FQ310" s="62">
        <f>IF($B310=$B309,$FQ309,0)+$FP310</f>
        <v/>
      </c>
      <c r="FR310" s="62">
        <f>$FR309+$FP310</f>
        <v/>
      </c>
      <c r="FS310" s="62">
        <f>SUMIFS(tblSafety[LTI],tblSafety[Date],$A310)</f>
        <v/>
      </c>
      <c r="FT310" s="62">
        <f>IF($B310=$B309,$FT309,0)+$FS310</f>
        <v/>
      </c>
      <c r="FU310" s="62">
        <f>$FU309+$FS310</f>
        <v/>
      </c>
      <c r="FV310" s="62">
        <f>SUMIFS(tblSafety[RWI],tblSafety[Date],$A310)</f>
        <v/>
      </c>
      <c r="FW310" s="62">
        <f>IF($B310=$B309,$FW309,0)+$FV310</f>
        <v/>
      </c>
      <c r="FX310" s="62">
        <f>$FX309+$FV310</f>
        <v/>
      </c>
      <c r="FY310" s="62">
        <f>SUMIFS(tblSafety[MTI],tblSafety[Date],$A310)</f>
        <v/>
      </c>
      <c r="FZ310" s="62">
        <f>IF($B310=$B309,$FZ309,0)+$FY310</f>
        <v/>
      </c>
      <c r="GA310" s="62">
        <f>$GA309+$FY310</f>
        <v/>
      </c>
      <c r="GB310" s="62">
        <f>SUMIFS(tblSafety[FAI],tblSafety[Date],$A310)</f>
        <v/>
      </c>
      <c r="GC310" s="62">
        <f>IF($B310=$B309,$GC309,0)+$GB310</f>
        <v/>
      </c>
      <c r="GD310" s="62">
        <f>$GD309+$GB310</f>
        <v/>
      </c>
      <c r="GE310" s="62">
        <f>SUMIFS(tblSafety[Recordables],tblSafety[Date],$A310)</f>
        <v/>
      </c>
      <c r="GF310" s="62">
        <f>IF($B310=$B309,$GF309,0)+$GE310</f>
        <v/>
      </c>
      <c r="GG310" s="62">
        <f>$GG309+$GE310</f>
        <v/>
      </c>
      <c r="GH310" s="62">
        <f>SUMIFS(tblSafety[Near_Miss],tblSafety[Date],$A310)</f>
        <v/>
      </c>
      <c r="GI310" s="62">
        <f>IF($B310=$B309,$GI309,0)+$GH310</f>
        <v/>
      </c>
      <c r="GJ310" s="62">
        <f>$GJ309+$GH310</f>
        <v/>
      </c>
      <c r="GK310" s="62">
        <f>SUMIFS(tblSafety[Hazard_Reports],tblSafety[Date],$A310)</f>
        <v/>
      </c>
      <c r="GL310" s="62">
        <f>IF($B310=$B309,$GL309,0)+$GK310</f>
        <v/>
      </c>
      <c r="GM310" s="62">
        <f>$GM309+$GK310</f>
        <v/>
      </c>
      <c r="GN310" s="62">
        <f>SUMIFS(tblSafety[HPI],tblSafety[Date],$A310)</f>
        <v/>
      </c>
      <c r="GO310" s="62">
        <f>IF($B310=$B309,$GO309,0)+$GN310</f>
        <v/>
      </c>
      <c r="GP310" s="62">
        <f>$GP309+$GN310</f>
        <v/>
      </c>
      <c r="GQ310" s="62">
        <f>SUMIFS(tblSafety[Env_Incidents],tblSafety[Date],$A310)</f>
        <v/>
      </c>
      <c r="GR310" s="62">
        <f>IF($B310=$B309,$GR309,0)+$GQ310</f>
        <v/>
      </c>
      <c r="GS310" s="62">
        <f>$GS309+$GQ310</f>
        <v/>
      </c>
      <c r="GT310" s="62">
        <f>SUMIFS(tblSafety[Community_Incidents],tblSafety[Date],$A310)</f>
        <v/>
      </c>
      <c r="GU310" s="62">
        <f>IF($B310=$B309,$GU309,0)+$GT310</f>
        <v/>
      </c>
      <c r="GV310" s="62">
        <f>$GV309+$GT310</f>
        <v/>
      </c>
      <c r="GW310" s="62">
        <f>SUMIFS(tblSafety[Vehicle_Incidents],tblSafety[Date],$A310)</f>
        <v/>
      </c>
      <c r="GX310" s="62">
        <f>IF($B310=$B309,$GX309,0)+$GW310</f>
        <v/>
      </c>
      <c r="GY310" s="62">
        <f>$GY309+$GW310</f>
        <v/>
      </c>
      <c r="GZ310" s="62">
        <f>SUMIFS(tblSafety[Toolbox_Talks],tblSafety[Date],$A310)</f>
        <v/>
      </c>
      <c r="HA310" s="62">
        <f>IF($B310=$B309,$HA309,0)+$GZ310</f>
        <v/>
      </c>
      <c r="HB310" s="62">
        <f>$HB309+$GZ310</f>
        <v/>
      </c>
      <c r="HC310" s="62">
        <f>SUMIFS(tblSafety[Inspections],tblSafety[Date],$A310)</f>
        <v/>
      </c>
      <c r="HD310" s="62">
        <f>IF($B310=$B309,$HD309,0)+$HC310</f>
        <v/>
      </c>
      <c r="HE310" s="62">
        <f>$HE309+$HC310</f>
        <v/>
      </c>
      <c r="HF310" s="56">
        <f>IFERROR((SUMIFS(tblSafety[Recordables],tblSafety[Date],"&gt;="&amp;EDATE($E310,-12),tblSafety[Date],"&lt;="&amp;$A310)+SUMIFS(tblSafetyHistory[Recordables],tblSafetyHistory[Month],"&gt;="&amp;EDATE($E310,-12),tblSafetyHistory[Month],"&lt;"&amp;cfg_YearStart))/(SUMIFS(tblSafety[Hours_Total],tblSafety[Date],"&gt;="&amp;EDATE($E310,-12),tblSafety[Date],"&lt;="&amp;$A310)+SUMIFS(tblSafetyHistory[Hours_Total],tblSafetyHistory[Month],"&gt;="&amp;EDATE($E310,-12),tblSafetyHistory[Month],"&lt;"&amp;cfg_YearStart))*1000000,"")</f>
        <v/>
      </c>
      <c r="HG310" s="56">
        <f>IFERROR((SUMIFS(tblSafety[LTI],tblSafety[Date],"&gt;="&amp;EDATE($E310,-12),tblSafety[Date],"&lt;="&amp;$A310)+SUMIFS(tblSafetyHistory[LTI],tblSafetyHistory[Month],"&gt;="&amp;EDATE($E310,-12),tblSafetyHistory[Month],"&lt;"&amp;cfg_YearStart))/(SUMIFS(tblSafety[Hours_Total],tblSafety[Date],"&gt;="&amp;EDATE($E310,-12),tblSafety[Date],"&lt;="&amp;$A310)+SUMIFS(tblSafetyHistory[Hours_Total],tblSafetyHistory[Month],"&gt;="&amp;EDATE($E310,-12),tblSafetyHistory[Month],"&lt;"&amp;cfg_YearStart))*1000000,"")</f>
        <v/>
      </c>
      <c r="HH310" s="62">
        <f>IF(MAX(N(cfg_PriorLTIDate),_xlfn.MAXIFS(tblSafety[Date],tblSafety[LTI],"&gt;0",tblSafety[Date],"&lt;="&amp;$A310))=0,"",$A310-MAX(N(cfg_PriorLTIDate),_xlfn.MAXIFS(tblSafety[Date],tblSafety[LTI],"&gt;0",tblSafety[Date],"&lt;="&amp;$A310)))</f>
        <v/>
      </c>
      <c r="HI310" s="55">
        <f>SUMIFS(tblBudget[Ore_Mined_t],tblBudget[Month],$E310)</f>
        <v/>
      </c>
      <c r="HJ310" s="55">
        <f>$HI310*$C310/$D310</f>
        <v/>
      </c>
      <c r="HK310" s="55">
        <f>SUMIFS(tblBudget[Ore_Mined_t],tblBudget[Month],"&lt;"&amp;$E310)+$HJ310</f>
        <v/>
      </c>
      <c r="HL310" s="55">
        <f>SUMIFS(tblBudget[Ore_oz],tblBudget[Month],$E310)</f>
        <v/>
      </c>
      <c r="HM310" s="55">
        <f>$HL310*$C310/$D310</f>
        <v/>
      </c>
      <c r="HN310" s="55">
        <f>SUMIFS(tblBudget[Ore_oz],tblBudget[Month],"&lt;"&amp;$E310)+$HM310</f>
        <v/>
      </c>
      <c r="HO310" s="56">
        <f>IFERROR(IF(($HI310)&gt;0,($HL310*cfg_TroyOz)/($HI310),""),"")</f>
        <v/>
      </c>
      <c r="HP310" s="56">
        <f>IFERROR(IF(($HJ310)&gt;0,($HM310*cfg_TroyOz)/($HJ310),""),"")</f>
        <v/>
      </c>
      <c r="HQ310" s="56">
        <f>IFERROR(IF(($HK310)&gt;0,($HN310*cfg_TroyOz)/($HK310),""),"")</f>
        <v/>
      </c>
      <c r="HR310" s="55">
        <f>SUMIFS(tblBudget[Waste_t],tblBudget[Month],$E310)</f>
        <v/>
      </c>
      <c r="HS310" s="55">
        <f>$HR310*$C310/$D310</f>
        <v/>
      </c>
      <c r="HT310" s="55">
        <f>SUMIFS(tblBudget[Waste_t],tblBudget[Month],"&lt;"&amp;$E310)+$HS310</f>
        <v/>
      </c>
      <c r="HU310" s="55">
        <f>SUMIFS(tblBudget[TMM_t],tblBudget[Month],$E310)</f>
        <v/>
      </c>
      <c r="HV310" s="55">
        <f>$HU310*$C310/$D310</f>
        <v/>
      </c>
      <c r="HW310" s="55">
        <f>SUMIFS(tblBudget[TMM_t],tblBudget[Month],"&lt;"&amp;$E310)+$HV310</f>
        <v/>
      </c>
      <c r="HX310" s="56">
        <f>IFERROR(IF(($HI310)&gt;0,($HR310)/($HI310),""),"")</f>
        <v/>
      </c>
      <c r="HY310" s="56">
        <f>IFERROR(IF(($HJ310)&gt;0,($HS310)/($HJ310),""),"")</f>
        <v/>
      </c>
      <c r="HZ310" s="56">
        <f>IFERROR(IF(($HK310)&gt;0,($HT310)/($HK310),""),"")</f>
        <v/>
      </c>
      <c r="IA310" s="55">
        <f>SUMIFS(tblBudget[Drill_m],tblBudget[Month],$E310)</f>
        <v/>
      </c>
      <c r="IB310" s="55">
        <f>$IA310*$C310/$D310</f>
        <v/>
      </c>
      <c r="IC310" s="55">
        <f>SUMIFS(tblBudget[Drill_m],tblBudget[Month],"&lt;"&amp;$E310)+$IB310</f>
        <v/>
      </c>
      <c r="ID310" s="55">
        <f>SUMIFS(tblBudget[Diesel_L],tblBudget[Month],$E310)</f>
        <v/>
      </c>
      <c r="IE310" s="55">
        <f>$ID310*$C310/$D310</f>
        <v/>
      </c>
      <c r="IF310" s="55">
        <f>SUMIFS(tblBudget[Diesel_L],tblBudget[Month],"&lt;"&amp;$E310)+$IE310</f>
        <v/>
      </c>
      <c r="IG310" s="55">
        <f>SUMIFS(tblBudget[Milled_t],tblBudget[Month],$E310)</f>
        <v/>
      </c>
      <c r="IH310" s="55">
        <f>$IG310*$C310/$D310</f>
        <v/>
      </c>
      <c r="II310" s="55">
        <f>SUMIFS(tblBudget[Milled_t],tblBudget[Month],"&lt;"&amp;$E310)+$IH310</f>
        <v/>
      </c>
      <c r="IJ310" s="55">
        <f>SUMIFS(tblBudget[Feed_oz],tblBudget[Month],$E310)</f>
        <v/>
      </c>
      <c r="IK310" s="55">
        <f>$IJ310*$C310/$D310</f>
        <v/>
      </c>
      <c r="IL310" s="55">
        <f>SUMIFS(tblBudget[Feed_oz],tblBudget[Month],"&lt;"&amp;$E310)+$IK310</f>
        <v/>
      </c>
      <c r="IM310" s="55">
        <f>SUMIFS(tblBudget[Recovered_oz],tblBudget[Month],$E310)</f>
        <v/>
      </c>
      <c r="IN310" s="55">
        <f>$IM310*$C310/$D310</f>
        <v/>
      </c>
      <c r="IO310" s="55">
        <f>SUMIFS(tblBudget[Recovered_oz],tblBudget[Month],"&lt;"&amp;$E310)+$IN310</f>
        <v/>
      </c>
      <c r="IP310" s="56">
        <f>IFERROR(IF(($IG310)&gt;0,($IJ310*cfg_TroyOz)/($IG310),""),"")</f>
        <v/>
      </c>
      <c r="IQ310" s="56">
        <f>IFERROR(IF(($IH310)&gt;0,($IK310*cfg_TroyOz)/($IH310),""),"")</f>
        <v/>
      </c>
      <c r="IR310" s="56">
        <f>IFERROR(IF(($II310)&gt;0,($IL310*cfg_TroyOz)/($II310),""),"")</f>
        <v/>
      </c>
      <c r="IS310" s="67">
        <f>IFERROR(IF(($IJ310)&gt;0,($IM310)/($IJ310),""),"")</f>
        <v/>
      </c>
      <c r="IT310" s="67">
        <f>IFERROR(IF(($IK310)&gt;0,($IN310)/($IK310),""),"")</f>
        <v/>
      </c>
      <c r="IU310" s="67">
        <f>IFERROR(IF(($IL310)&gt;0,($IO310)/($IL310),""),"")</f>
        <v/>
      </c>
      <c r="IV310" s="55">
        <f>SUMIFS(tblBudget[Gold_Poured_oz],tblBudget[Month],$E310)</f>
        <v/>
      </c>
      <c r="IW310" s="55">
        <f>$IV310*$C310/$D310</f>
        <v/>
      </c>
      <c r="IX310" s="55">
        <f>SUMIFS(tblBudget[Gold_Poured_oz],tblBudget[Month],"&lt;"&amp;$E310)+$IW310</f>
        <v/>
      </c>
      <c r="IY310" s="57">
        <f>SUMIFS(tblBudget[Hours_Worked],tblBudget[Month],$E310)</f>
        <v/>
      </c>
      <c r="IZ310" s="57">
        <f>$IY310*$C310/$D310</f>
        <v/>
      </c>
      <c r="JA310" s="57">
        <f>SUMIFS(tblBudget[Hours_Worked],tblBudget[Month],"&lt;"&amp;$E310)+$IZ310</f>
        <v/>
      </c>
    </row>
    <row r="311">
      <c r="A311" s="54" t="n">
        <v>46332</v>
      </c>
      <c r="B311">
        <f>MONTH($A311)</f>
        <v/>
      </c>
      <c r="C311">
        <f>DAY($A311)</f>
        <v/>
      </c>
      <c r="D311">
        <f>DAY(EOMONTH($A311,0))</f>
        <v/>
      </c>
      <c r="E311" s="54">
        <f>DATE(YEAR($A311),MONTH($A311),1)</f>
        <v/>
      </c>
      <c r="F311" s="55">
        <f>SUMIFS(tblMovement[Tonnes_t],tblMovement[Date],$A311,tblMovement[Is_Ore],1,tblMovement[Source_Type],"Pit")</f>
        <v/>
      </c>
      <c r="G311" s="55">
        <f>IF($B311=$B310,$G310,0)+$F311</f>
        <v/>
      </c>
      <c r="H311" s="55">
        <f>$H310+$F311</f>
        <v/>
      </c>
      <c r="I311" s="55">
        <f>SUMIFS(tblMovement[Ore_oz],tblMovement[Date],$A311,tblMovement[Source_Type],"Pit")</f>
        <v/>
      </c>
      <c r="J311" s="55">
        <f>IF($B311=$B310,$J310,0)+$I311</f>
        <v/>
      </c>
      <c r="K311" s="55">
        <f>$K310+$I311</f>
        <v/>
      </c>
      <c r="L311" s="56">
        <f>IFERROR(IF(($F311)&gt;0,($I311*cfg_TroyOz)/($F311),""),"")</f>
        <v/>
      </c>
      <c r="M311" s="56">
        <f>IFERROR(IF(($G311)&gt;0,($J311*cfg_TroyOz)/($G311),""),"")</f>
        <v/>
      </c>
      <c r="N311" s="56">
        <f>IFERROR(IF(($H311)&gt;0,($K311*cfg_TroyOz)/($H311),""),"")</f>
        <v/>
      </c>
      <c r="O311" s="55">
        <f>SUMIFS(tblMovement[Tonnes_t],tblMovement[Date],$A311,tblMovement[Is_Ore],0,tblMovement[Source_Type],"Pit")</f>
        <v/>
      </c>
      <c r="P311" s="55">
        <f>IF($B311=$B310,$P310,0)+$O311</f>
        <v/>
      </c>
      <c r="Q311" s="55">
        <f>$Q310+$O311</f>
        <v/>
      </c>
      <c r="R311" s="55">
        <f>$F311+$O311</f>
        <v/>
      </c>
      <c r="S311" s="55">
        <f>IF($B311=$B310,$S310,0)+$R311</f>
        <v/>
      </c>
      <c r="T311" s="55">
        <f>$T310+$R311</f>
        <v/>
      </c>
      <c r="U311" s="56">
        <f>IFERROR(IF(($F311)&gt;0,($O311)/($F311),""),"")</f>
        <v/>
      </c>
      <c r="V311" s="56">
        <f>IFERROR(IF(($G311)&gt;0,($P311)/($G311),""),"")</f>
        <v/>
      </c>
      <c r="W311" s="56">
        <f>IFERROR(IF(($H311)&gt;0,($Q311)/($H311),""),"")</f>
        <v/>
      </c>
      <c r="X311" s="55">
        <f>SUMIFS(tblMovement[Tonnes_t],tblMovement[Date],$A311,tblMovement[Source_Type],"Stockpile")</f>
        <v/>
      </c>
      <c r="Y311" s="55">
        <f>IF($B311=$B310,$Y310,0)+$X311</f>
        <v/>
      </c>
      <c r="Z311" s="55">
        <f>$Z310+$X311</f>
        <v/>
      </c>
      <c r="AA311" s="55">
        <f>SUMIFS(tblMiningDaily[Drill_m],tblMiningDaily[Date],$A311)</f>
        <v/>
      </c>
      <c r="AB311" s="55">
        <f>IF($B311=$B310,$AB310,0)+$AA311</f>
        <v/>
      </c>
      <c r="AC311" s="55">
        <f>$AC310+$AA311</f>
        <v/>
      </c>
      <c r="AD311" s="55">
        <f>SUMIFS(tblMiningDaily[Blast_t],tblMiningDaily[Date],$A311)</f>
        <v/>
      </c>
      <c r="AE311" s="55">
        <f>IF($B311=$B310,$AE310,0)+$AD311</f>
        <v/>
      </c>
      <c r="AF311" s="55">
        <f>$AF310+$AD311</f>
        <v/>
      </c>
      <c r="AG311" s="55">
        <f>SUMIFS(tblMiningDaily[Explosives_kg],tblMiningDaily[Date],$A311)</f>
        <v/>
      </c>
      <c r="AH311" s="55">
        <f>IF($B311=$B310,$AH310,0)+$AG311</f>
        <v/>
      </c>
      <c r="AI311" s="55">
        <f>$AI310+$AG311</f>
        <v/>
      </c>
      <c r="AJ311" s="56">
        <f>IFERROR(IF(($AD311)&gt;0,($AG311)/($AD311),""),"")</f>
        <v/>
      </c>
      <c r="AK311" s="56">
        <f>IFERROR(IF(($AE311)&gt;0,($AH311)/($AE311),""),"")</f>
        <v/>
      </c>
      <c r="AL311" s="56">
        <f>IFERROR(IF(($AF311)&gt;0,($AI311)/($AF311),""),"")</f>
        <v/>
      </c>
      <c r="AM311" s="55">
        <f>SUMIFS(tblMiningDaily[Diesel_L],tblMiningDaily[Date],$A311)</f>
        <v/>
      </c>
      <c r="AN311" s="55">
        <f>IF($B311=$B310,$AN310,0)+$AM311</f>
        <v/>
      </c>
      <c r="AO311" s="55">
        <f>$AO310+$AM311</f>
        <v/>
      </c>
      <c r="AP311" s="55">
        <f>SUMIFS(tblMiningDaily[Dewatering_m3],tblMiningDaily[Date],$A311)</f>
        <v/>
      </c>
      <c r="AQ311" s="55">
        <f>IF($B311=$B310,$AQ310,0)+$AP311</f>
        <v/>
      </c>
      <c r="AR311" s="55">
        <f>$AR310+$AP311</f>
        <v/>
      </c>
      <c r="AS311" s="57">
        <f>SUMIFS(tblFleet[Calendar_h],tblFleet[Date],$A311,tblFleet[Equipment_Class],"Excavator")</f>
        <v/>
      </c>
      <c r="AT311" s="57">
        <f>IF($B311=$B310,$AT310,0)+$AS311</f>
        <v/>
      </c>
      <c r="AU311" s="57">
        <f>$AU310+$AS311</f>
        <v/>
      </c>
      <c r="AV311" s="57">
        <f>SUMIFS(tblFleet[Available_h],tblFleet[Date],$A311,tblFleet[Equipment_Class],"Excavator")</f>
        <v/>
      </c>
      <c r="AW311" s="57">
        <f>IF($B311=$B310,$AW310,0)+$AV311</f>
        <v/>
      </c>
      <c r="AX311" s="57">
        <f>$AX310+$AV311</f>
        <v/>
      </c>
      <c r="AY311" s="57">
        <f>SUMIFS(tblFleet[Operating_h],tblFleet[Date],$A311,tblFleet[Equipment_Class],"Excavator")</f>
        <v/>
      </c>
      <c r="AZ311" s="57">
        <f>IF($B311=$B310,$AZ310,0)+$AY311</f>
        <v/>
      </c>
      <c r="BA311" s="57">
        <f>$BA310+$AY311</f>
        <v/>
      </c>
      <c r="BB311" s="67">
        <f>IFERROR(IF(($AS311)&gt;0,($AV311)/($AS311),""),"")</f>
        <v/>
      </c>
      <c r="BC311" s="67">
        <f>IFERROR(IF(($AT311)&gt;0,($AW311)/($AT311),""),"")</f>
        <v/>
      </c>
      <c r="BD311" s="67">
        <f>IFERROR(IF(($AU311)&gt;0,($AX311)/($AU311),""),"")</f>
        <v/>
      </c>
      <c r="BE311" s="67">
        <f>IFERROR(IF(($AV311)&gt;0,($AY311)/($AV311),""),"")</f>
        <v/>
      </c>
      <c r="BF311" s="67">
        <f>IFERROR(IF(($AW311)&gt;0,($AZ311)/($AW311),""),"")</f>
        <v/>
      </c>
      <c r="BG311" s="67">
        <f>IFERROR(IF(($AX311)&gt;0,($BA311)/($AX311),""),"")</f>
        <v/>
      </c>
      <c r="BH311" s="57">
        <f>SUMIFS(tblFleet[Calendar_h],tblFleet[Date],$A311,tblFleet[Equipment_Class],"Haul Truck")</f>
        <v/>
      </c>
      <c r="BI311" s="57">
        <f>IF($B311=$B310,$BI310,0)+$BH311</f>
        <v/>
      </c>
      <c r="BJ311" s="57">
        <f>$BJ310+$BH311</f>
        <v/>
      </c>
      <c r="BK311" s="57">
        <f>SUMIFS(tblFleet[Available_h],tblFleet[Date],$A311,tblFleet[Equipment_Class],"Haul Truck")</f>
        <v/>
      </c>
      <c r="BL311" s="57">
        <f>IF($B311=$B310,$BL310,0)+$BK311</f>
        <v/>
      </c>
      <c r="BM311" s="57">
        <f>$BM310+$BK311</f>
        <v/>
      </c>
      <c r="BN311" s="57">
        <f>SUMIFS(tblFleet[Operating_h],tblFleet[Date],$A311,tblFleet[Equipment_Class],"Haul Truck")</f>
        <v/>
      </c>
      <c r="BO311" s="57">
        <f>IF($B311=$B310,$BO310,0)+$BN311</f>
        <v/>
      </c>
      <c r="BP311" s="57">
        <f>$BP310+$BN311</f>
        <v/>
      </c>
      <c r="BQ311" s="67">
        <f>IFERROR(IF(($BH311)&gt;0,($BK311)/($BH311),""),"")</f>
        <v/>
      </c>
      <c r="BR311" s="67">
        <f>IFERROR(IF(($BI311)&gt;0,($BL311)/($BI311),""),"")</f>
        <v/>
      </c>
      <c r="BS311" s="67">
        <f>IFERROR(IF(($BJ311)&gt;0,($BM311)/($BJ311),""),"")</f>
        <v/>
      </c>
      <c r="BT311" s="67">
        <f>IFERROR(IF(($BK311)&gt;0,($BN311)/($BK311),""),"")</f>
        <v/>
      </c>
      <c r="BU311" s="67">
        <f>IFERROR(IF(($BL311)&gt;0,($BO311)/($BL311),""),"")</f>
        <v/>
      </c>
      <c r="BV311" s="67">
        <f>IFERROR(IF(($BM311)&gt;0,($BP311)/($BM311),""),"")</f>
        <v/>
      </c>
      <c r="BW311" s="55">
        <f>SUMIFS(tblPlant[Crushed_t],tblPlant[Date],$A311)</f>
        <v/>
      </c>
      <c r="BX311" s="55">
        <f>IF($B311=$B310,$BX310,0)+$BW311</f>
        <v/>
      </c>
      <c r="BY311" s="55">
        <f>$BY310+$BW311</f>
        <v/>
      </c>
      <c r="BZ311" s="55">
        <f>SUMIFS(tblPlant[Milled_t],tblPlant[Date],$A311)</f>
        <v/>
      </c>
      <c r="CA311" s="55">
        <f>IF($B311=$B310,$CA310,0)+$BZ311</f>
        <v/>
      </c>
      <c r="CB311" s="55">
        <f>$CB310+$BZ311</f>
        <v/>
      </c>
      <c r="CC311" s="55">
        <f>SUMIFS(tblPlant[Feed_oz],tblPlant[Date],$A311)</f>
        <v/>
      </c>
      <c r="CD311" s="55">
        <f>IF($B311=$B310,$CD310,0)+$CC311</f>
        <v/>
      </c>
      <c r="CE311" s="55">
        <f>$CE310+$CC311</f>
        <v/>
      </c>
      <c r="CF311" s="55">
        <f>SUMIFS(tblPlant[Tails_oz],tblPlant[Date],$A311)</f>
        <v/>
      </c>
      <c r="CG311" s="55">
        <f>IF($B311=$B310,$CG310,0)+$CF311</f>
        <v/>
      </c>
      <c r="CH311" s="55">
        <f>$CH310+$CF311</f>
        <v/>
      </c>
      <c r="CI311" s="55">
        <f>SUMIFS(tblPlant[Recovered_oz],tblPlant[Date],$A311)</f>
        <v/>
      </c>
      <c r="CJ311" s="55">
        <f>IF($B311=$B310,$CJ310,0)+$CI311</f>
        <v/>
      </c>
      <c r="CK311" s="55">
        <f>$CK310+$CI311</f>
        <v/>
      </c>
      <c r="CL311" s="56">
        <f>IFERROR(IF(($BZ311)&gt;0,($CC311*cfg_TroyOz)/($BZ311),""),"")</f>
        <v/>
      </c>
      <c r="CM311" s="56">
        <f>IFERROR(IF(($CA311)&gt;0,($CD311*cfg_TroyOz)/($CA311),""),"")</f>
        <v/>
      </c>
      <c r="CN311" s="56">
        <f>IFERROR(IF(($CB311)&gt;0,($CE311*cfg_TroyOz)/($CB311),""),"")</f>
        <v/>
      </c>
      <c r="CO311" s="56">
        <f>IFERROR(IF(($BZ311)&gt;0,($CF311*cfg_TroyOz)/($BZ311),""),"")</f>
        <v/>
      </c>
      <c r="CP311" s="56">
        <f>IFERROR(IF(($CA311)&gt;0,($CG311*cfg_TroyOz)/($CA311),""),"")</f>
        <v/>
      </c>
      <c r="CQ311" s="56">
        <f>IFERROR(IF(($CB311)&gt;0,($CH311*cfg_TroyOz)/($CB311),""),"")</f>
        <v/>
      </c>
      <c r="CR311" s="67">
        <f>IFERROR(IF(($CC311)&gt;0,($CI311)/($CC311),""),"")</f>
        <v/>
      </c>
      <c r="CS311" s="67">
        <f>IFERROR(IF(($CD311)&gt;0,($CJ311)/($CD311),""),"")</f>
        <v/>
      </c>
      <c r="CT311" s="67">
        <f>IFERROR(IF(($CE311)&gt;0,($CK311)/($CE311),""),"")</f>
        <v/>
      </c>
      <c r="CU311" s="55">
        <f>SUMIFS(tblPlant[Gravity_Gold_oz],tblPlant[Date],$A311)</f>
        <v/>
      </c>
      <c r="CV311" s="55">
        <f>IF($B311=$B310,$CV310,0)+$CU311</f>
        <v/>
      </c>
      <c r="CW311" s="55">
        <f>$CW310+$CU311</f>
        <v/>
      </c>
      <c r="CX311" s="55">
        <f>SUMIFS(tblPlant[Gold_Poured_oz],tblPlant[Date],$A311)</f>
        <v/>
      </c>
      <c r="CY311" s="55">
        <f>IF($B311=$B310,$CY310,0)+$CX311</f>
        <v/>
      </c>
      <c r="CZ311" s="55">
        <f>$CZ310+$CX311</f>
        <v/>
      </c>
      <c r="DA311" s="57">
        <f>SUMIFS(tblPlant[Mill_Run_h],tblPlant[Date],$A311)</f>
        <v/>
      </c>
      <c r="DB311" s="57">
        <f>IF($B311=$B310,$DB310,0)+$DA311</f>
        <v/>
      </c>
      <c r="DC311" s="57">
        <f>$DC310+$DA311</f>
        <v/>
      </c>
      <c r="DD311" s="57">
        <f>SUMIFS(tblPlant[Mill_Planned_Maint_h],tblPlant[Date],$A311)</f>
        <v/>
      </c>
      <c r="DE311" s="57">
        <f>IF($B311=$B310,$DE310,0)+$DD311</f>
        <v/>
      </c>
      <c r="DF311" s="57">
        <f>$DF310+$DD311</f>
        <v/>
      </c>
      <c r="DG311" s="57">
        <f>SUMIFS(tblPlant[Mill_Unplanned_Down_h],tblPlant[Date],$A311)</f>
        <v/>
      </c>
      <c r="DH311" s="57">
        <f>IF($B311=$B310,$DH310,0)+$DG311</f>
        <v/>
      </c>
      <c r="DI311" s="57">
        <f>$DI310+$DG311</f>
        <v/>
      </c>
      <c r="DJ311" s="57">
        <f>COUNTIFS(tblPlant[Date],$A311,tblPlant[Mill_Run_h],"&lt;&gt;")*24</f>
        <v/>
      </c>
      <c r="DK311" s="57">
        <f>IF($B311=$B310,$DK310,0)+$DJ311</f>
        <v/>
      </c>
      <c r="DL311" s="57">
        <f>$DL310+$DJ311</f>
        <v/>
      </c>
      <c r="DM311" s="57">
        <f>SUMIFS(tblPlant[Crusher_Run_h],tblPlant[Date],$A311)</f>
        <v/>
      </c>
      <c r="DN311" s="57">
        <f>IF($B311=$B310,$DN310,0)+$DM311</f>
        <v/>
      </c>
      <c r="DO311" s="57">
        <f>$DO310+$DM311</f>
        <v/>
      </c>
      <c r="DP311" s="55">
        <f>IFERROR(IF(($DA311)&gt;0,($BZ311)/($DA311),""),"")</f>
        <v/>
      </c>
      <c r="DQ311" s="55">
        <f>IFERROR(IF(($DB311)&gt;0,($CA311)/($DB311),""),"")</f>
        <v/>
      </c>
      <c r="DR311" s="55">
        <f>IFERROR(IF(($DC311)&gt;0,($CB311)/($DC311),""),"")</f>
        <v/>
      </c>
      <c r="DS311" s="67">
        <f>IFERROR(IF(($DJ311)&gt;0,($DJ311-$DD311-$DG311)/($DJ311),""),"")</f>
        <v/>
      </c>
      <c r="DT311" s="67">
        <f>IFERROR(IF(($DK311)&gt;0,($DK311-$DE311-$DH311)/($DK311),""),"")</f>
        <v/>
      </c>
      <c r="DU311" s="67">
        <f>IFERROR(IF(($DL311)&gt;0,($DL311-$DF311-$DI311)/($DL311),""),"")</f>
        <v/>
      </c>
      <c r="DV311" s="67">
        <f>IFERROR(IF(($DJ311-$DD311-$DG311)&gt;0,($DA311)/($DJ311-$DD311-$DG311),""),"")</f>
        <v/>
      </c>
      <c r="DW311" s="67">
        <f>IFERROR(IF(($DK311-$DE311-$DH311)&gt;0,($DB311)/($DK311-$DE311-$DH311),""),"")</f>
        <v/>
      </c>
      <c r="DX311" s="67">
        <f>IFERROR(IF(($DL311-$DF311-$DI311)&gt;0,($DC311)/($DL311-$DF311-$DI311),""),"")</f>
        <v/>
      </c>
      <c r="DY311" s="55">
        <f>SUMIFS(tblPlant[Cyanide_kg],tblPlant[Date],$A311)</f>
        <v/>
      </c>
      <c r="DZ311" s="55">
        <f>IF($B311=$B310,$DZ310,0)+$DY311</f>
        <v/>
      </c>
      <c r="EA311" s="55">
        <f>$EA310+$DY311</f>
        <v/>
      </c>
      <c r="EB311" s="55">
        <f>SUMIFS(tblPlant[Lime_kg],tblPlant[Date],$A311)</f>
        <v/>
      </c>
      <c r="EC311" s="55">
        <f>IF($B311=$B310,$EC310,0)+$EB311</f>
        <v/>
      </c>
      <c r="ED311" s="55">
        <f>$ED310+$EB311</f>
        <v/>
      </c>
      <c r="EE311" s="55">
        <f>SUMIFS(tblPlant[Grinding_Media_kg],tblPlant[Date],$A311)</f>
        <v/>
      </c>
      <c r="EF311" s="55">
        <f>IF($B311=$B310,$EF310,0)+$EE311</f>
        <v/>
      </c>
      <c r="EG311" s="55">
        <f>$EG310+$EE311</f>
        <v/>
      </c>
      <c r="EH311" s="55">
        <f>SUMIFS(tblPlant[Power_kWh],tblPlant[Date],$A311)</f>
        <v/>
      </c>
      <c r="EI311" s="55">
        <f>IF($B311=$B310,$EI310,0)+$EH311</f>
        <v/>
      </c>
      <c r="EJ311" s="55">
        <f>$EJ310+$EH311</f>
        <v/>
      </c>
      <c r="EK311" s="55">
        <f>SUMIFS(tblPlant[Raw_Water_m3],tblPlant[Date],$A311)</f>
        <v/>
      </c>
      <c r="EL311" s="55">
        <f>IF($B311=$B310,$EL310,0)+$EK311</f>
        <v/>
      </c>
      <c r="EM311" s="55">
        <f>$EM310+$EK311</f>
        <v/>
      </c>
      <c r="EN311" s="56">
        <f>IFERROR(IF(($BZ311)&gt;0,($DY311)/($BZ311),""),"")</f>
        <v/>
      </c>
      <c r="EO311" s="56">
        <f>IFERROR(IF(($CA311)&gt;0,($DZ311)/($CA311),""),"")</f>
        <v/>
      </c>
      <c r="EP311" s="56">
        <f>IFERROR(IF(($CB311)&gt;0,($EA311)/($CB311),""),"")</f>
        <v/>
      </c>
      <c r="EQ311" s="56">
        <f>IFERROR(IF(($BZ311)&gt;0,($EB311)/($BZ311),""),"")</f>
        <v/>
      </c>
      <c r="ER311" s="56">
        <f>IFERROR(IF(($CA311)&gt;0,($EC311)/($CA311),""),"")</f>
        <v/>
      </c>
      <c r="ES311" s="56">
        <f>IFERROR(IF(($CB311)&gt;0,($ED311)/($CB311),""),"")</f>
        <v/>
      </c>
      <c r="ET311" s="56">
        <f>IFERROR(IF(($BZ311)&gt;0,($EE311)/($BZ311),""),"")</f>
        <v/>
      </c>
      <c r="EU311" s="56">
        <f>IFERROR(IF(($CA311)&gt;0,($EF311)/($CA311),""),"")</f>
        <v/>
      </c>
      <c r="EV311" s="56">
        <f>IFERROR(IF(($CB311)&gt;0,($EG311)/($CB311),""),"")</f>
        <v/>
      </c>
      <c r="EW311" s="76">
        <f>IFERROR(IF(($BZ311)&gt;0,($EH311)/($BZ311),""),"")</f>
        <v/>
      </c>
      <c r="EX311" s="76">
        <f>IFERROR(IF(($CA311)&gt;0,($EI311)/($CA311),""),"")</f>
        <v/>
      </c>
      <c r="EY311" s="76">
        <f>IFERROR(IF(($CB311)&gt;0,($EJ311)/($CB311),""),"")</f>
        <v/>
      </c>
      <c r="EZ311" s="56">
        <f>IFERROR(IF(($BZ311)&gt;0,($EK311)/($BZ311),""),"")</f>
        <v/>
      </c>
      <c r="FA311" s="56">
        <f>IFERROR(IF(($CA311)&gt;0,($EL311)/($CA311),""),"")</f>
        <v/>
      </c>
      <c r="FB311" s="56">
        <f>IFERROR(IF(($CB311)&gt;0,($EM311)/($CB311),""),"")</f>
        <v/>
      </c>
      <c r="FC311" s="55">
        <f>IF(SUMIFS(tblPlant[GIC_oz],tblPlant[Date],$A311)&gt;0,SUMIFS(tblPlant[GIC_oz],tblPlant[Date],$A311),"")</f>
        <v/>
      </c>
      <c r="FD311" s="55">
        <f>SUMIFS(tblGold[Gold_oz],tblGold[Date],$A311,tblGold[Type],"Shipment")</f>
        <v/>
      </c>
      <c r="FE311" s="55">
        <f>IF($B311=$B310,$FE310,0)+$FD311</f>
        <v/>
      </c>
      <c r="FF311" s="55">
        <f>$FF310+$FD311</f>
        <v/>
      </c>
      <c r="FG311" s="55">
        <f>SUMIFS(tblGold[Gold_oz],tblGold[Date],$A311,tblGold[Type],"Sale")</f>
        <v/>
      </c>
      <c r="FH311" s="55">
        <f>IF($B311=$B310,$FH310,0)+$FG311</f>
        <v/>
      </c>
      <c r="FI311" s="55">
        <f>$FI310+$FG311</f>
        <v/>
      </c>
      <c r="FJ311" s="55">
        <f>SUMIFS(tblGold[Dore_kg],tblGold[Date],$A311,tblGold[Type],"Shipment")</f>
        <v/>
      </c>
      <c r="FK311" s="55">
        <f>IF($B311=$B310,$FK310,0)+$FJ311</f>
        <v/>
      </c>
      <c r="FL311" s="55">
        <f>$FL310+$FJ311</f>
        <v/>
      </c>
      <c r="FM311" s="57">
        <f>SUMIFS(tblSafety[Hours_Total],tblSafety[Date],$A311)</f>
        <v/>
      </c>
      <c r="FN311" s="57">
        <f>IF($B311=$B310,$FN310,0)+$FM311</f>
        <v/>
      </c>
      <c r="FO311" s="57">
        <f>$FO310+$FM311</f>
        <v/>
      </c>
      <c r="FP311" s="62">
        <f>SUMIFS(tblSafety[Fatality],tblSafety[Date],$A311)</f>
        <v/>
      </c>
      <c r="FQ311" s="62">
        <f>IF($B311=$B310,$FQ310,0)+$FP311</f>
        <v/>
      </c>
      <c r="FR311" s="62">
        <f>$FR310+$FP311</f>
        <v/>
      </c>
      <c r="FS311" s="62">
        <f>SUMIFS(tblSafety[LTI],tblSafety[Date],$A311)</f>
        <v/>
      </c>
      <c r="FT311" s="62">
        <f>IF($B311=$B310,$FT310,0)+$FS311</f>
        <v/>
      </c>
      <c r="FU311" s="62">
        <f>$FU310+$FS311</f>
        <v/>
      </c>
      <c r="FV311" s="62">
        <f>SUMIFS(tblSafety[RWI],tblSafety[Date],$A311)</f>
        <v/>
      </c>
      <c r="FW311" s="62">
        <f>IF($B311=$B310,$FW310,0)+$FV311</f>
        <v/>
      </c>
      <c r="FX311" s="62">
        <f>$FX310+$FV311</f>
        <v/>
      </c>
      <c r="FY311" s="62">
        <f>SUMIFS(tblSafety[MTI],tblSafety[Date],$A311)</f>
        <v/>
      </c>
      <c r="FZ311" s="62">
        <f>IF($B311=$B310,$FZ310,0)+$FY311</f>
        <v/>
      </c>
      <c r="GA311" s="62">
        <f>$GA310+$FY311</f>
        <v/>
      </c>
      <c r="GB311" s="62">
        <f>SUMIFS(tblSafety[FAI],tblSafety[Date],$A311)</f>
        <v/>
      </c>
      <c r="GC311" s="62">
        <f>IF($B311=$B310,$GC310,0)+$GB311</f>
        <v/>
      </c>
      <c r="GD311" s="62">
        <f>$GD310+$GB311</f>
        <v/>
      </c>
      <c r="GE311" s="62">
        <f>SUMIFS(tblSafety[Recordables],tblSafety[Date],$A311)</f>
        <v/>
      </c>
      <c r="GF311" s="62">
        <f>IF($B311=$B310,$GF310,0)+$GE311</f>
        <v/>
      </c>
      <c r="GG311" s="62">
        <f>$GG310+$GE311</f>
        <v/>
      </c>
      <c r="GH311" s="62">
        <f>SUMIFS(tblSafety[Near_Miss],tblSafety[Date],$A311)</f>
        <v/>
      </c>
      <c r="GI311" s="62">
        <f>IF($B311=$B310,$GI310,0)+$GH311</f>
        <v/>
      </c>
      <c r="GJ311" s="62">
        <f>$GJ310+$GH311</f>
        <v/>
      </c>
      <c r="GK311" s="62">
        <f>SUMIFS(tblSafety[Hazard_Reports],tblSafety[Date],$A311)</f>
        <v/>
      </c>
      <c r="GL311" s="62">
        <f>IF($B311=$B310,$GL310,0)+$GK311</f>
        <v/>
      </c>
      <c r="GM311" s="62">
        <f>$GM310+$GK311</f>
        <v/>
      </c>
      <c r="GN311" s="62">
        <f>SUMIFS(tblSafety[HPI],tblSafety[Date],$A311)</f>
        <v/>
      </c>
      <c r="GO311" s="62">
        <f>IF($B311=$B310,$GO310,0)+$GN311</f>
        <v/>
      </c>
      <c r="GP311" s="62">
        <f>$GP310+$GN311</f>
        <v/>
      </c>
      <c r="GQ311" s="62">
        <f>SUMIFS(tblSafety[Env_Incidents],tblSafety[Date],$A311)</f>
        <v/>
      </c>
      <c r="GR311" s="62">
        <f>IF($B311=$B310,$GR310,0)+$GQ311</f>
        <v/>
      </c>
      <c r="GS311" s="62">
        <f>$GS310+$GQ311</f>
        <v/>
      </c>
      <c r="GT311" s="62">
        <f>SUMIFS(tblSafety[Community_Incidents],tblSafety[Date],$A311)</f>
        <v/>
      </c>
      <c r="GU311" s="62">
        <f>IF($B311=$B310,$GU310,0)+$GT311</f>
        <v/>
      </c>
      <c r="GV311" s="62">
        <f>$GV310+$GT311</f>
        <v/>
      </c>
      <c r="GW311" s="62">
        <f>SUMIFS(tblSafety[Vehicle_Incidents],tblSafety[Date],$A311)</f>
        <v/>
      </c>
      <c r="GX311" s="62">
        <f>IF($B311=$B310,$GX310,0)+$GW311</f>
        <v/>
      </c>
      <c r="GY311" s="62">
        <f>$GY310+$GW311</f>
        <v/>
      </c>
      <c r="GZ311" s="62">
        <f>SUMIFS(tblSafety[Toolbox_Talks],tblSafety[Date],$A311)</f>
        <v/>
      </c>
      <c r="HA311" s="62">
        <f>IF($B311=$B310,$HA310,0)+$GZ311</f>
        <v/>
      </c>
      <c r="HB311" s="62">
        <f>$HB310+$GZ311</f>
        <v/>
      </c>
      <c r="HC311" s="62">
        <f>SUMIFS(tblSafety[Inspections],tblSafety[Date],$A311)</f>
        <v/>
      </c>
      <c r="HD311" s="62">
        <f>IF($B311=$B310,$HD310,0)+$HC311</f>
        <v/>
      </c>
      <c r="HE311" s="62">
        <f>$HE310+$HC311</f>
        <v/>
      </c>
      <c r="HF311" s="56">
        <f>IFERROR((SUMIFS(tblSafety[Recordables],tblSafety[Date],"&gt;="&amp;EDATE($E311,-12),tblSafety[Date],"&lt;="&amp;$A311)+SUMIFS(tblSafetyHistory[Recordables],tblSafetyHistory[Month],"&gt;="&amp;EDATE($E311,-12),tblSafetyHistory[Month],"&lt;"&amp;cfg_YearStart))/(SUMIFS(tblSafety[Hours_Total],tblSafety[Date],"&gt;="&amp;EDATE($E311,-12),tblSafety[Date],"&lt;="&amp;$A311)+SUMIFS(tblSafetyHistory[Hours_Total],tblSafetyHistory[Month],"&gt;="&amp;EDATE($E311,-12),tblSafetyHistory[Month],"&lt;"&amp;cfg_YearStart))*1000000,"")</f>
        <v/>
      </c>
      <c r="HG311" s="56">
        <f>IFERROR((SUMIFS(tblSafety[LTI],tblSafety[Date],"&gt;="&amp;EDATE($E311,-12),tblSafety[Date],"&lt;="&amp;$A311)+SUMIFS(tblSafetyHistory[LTI],tblSafetyHistory[Month],"&gt;="&amp;EDATE($E311,-12),tblSafetyHistory[Month],"&lt;"&amp;cfg_YearStart))/(SUMIFS(tblSafety[Hours_Total],tblSafety[Date],"&gt;="&amp;EDATE($E311,-12),tblSafety[Date],"&lt;="&amp;$A311)+SUMIFS(tblSafetyHistory[Hours_Total],tblSafetyHistory[Month],"&gt;="&amp;EDATE($E311,-12),tblSafetyHistory[Month],"&lt;"&amp;cfg_YearStart))*1000000,"")</f>
        <v/>
      </c>
      <c r="HH311" s="62">
        <f>IF(MAX(N(cfg_PriorLTIDate),_xlfn.MAXIFS(tblSafety[Date],tblSafety[LTI],"&gt;0",tblSafety[Date],"&lt;="&amp;$A311))=0,"",$A311-MAX(N(cfg_PriorLTIDate),_xlfn.MAXIFS(tblSafety[Date],tblSafety[LTI],"&gt;0",tblSafety[Date],"&lt;="&amp;$A311)))</f>
        <v/>
      </c>
      <c r="HI311" s="55">
        <f>SUMIFS(tblBudget[Ore_Mined_t],tblBudget[Month],$E311)</f>
        <v/>
      </c>
      <c r="HJ311" s="55">
        <f>$HI311*$C311/$D311</f>
        <v/>
      </c>
      <c r="HK311" s="55">
        <f>SUMIFS(tblBudget[Ore_Mined_t],tblBudget[Month],"&lt;"&amp;$E311)+$HJ311</f>
        <v/>
      </c>
      <c r="HL311" s="55">
        <f>SUMIFS(tblBudget[Ore_oz],tblBudget[Month],$E311)</f>
        <v/>
      </c>
      <c r="HM311" s="55">
        <f>$HL311*$C311/$D311</f>
        <v/>
      </c>
      <c r="HN311" s="55">
        <f>SUMIFS(tblBudget[Ore_oz],tblBudget[Month],"&lt;"&amp;$E311)+$HM311</f>
        <v/>
      </c>
      <c r="HO311" s="56">
        <f>IFERROR(IF(($HI311)&gt;0,($HL311*cfg_TroyOz)/($HI311),""),"")</f>
        <v/>
      </c>
      <c r="HP311" s="56">
        <f>IFERROR(IF(($HJ311)&gt;0,($HM311*cfg_TroyOz)/($HJ311),""),"")</f>
        <v/>
      </c>
      <c r="HQ311" s="56">
        <f>IFERROR(IF(($HK311)&gt;0,($HN311*cfg_TroyOz)/($HK311),""),"")</f>
        <v/>
      </c>
      <c r="HR311" s="55">
        <f>SUMIFS(tblBudget[Waste_t],tblBudget[Month],$E311)</f>
        <v/>
      </c>
      <c r="HS311" s="55">
        <f>$HR311*$C311/$D311</f>
        <v/>
      </c>
      <c r="HT311" s="55">
        <f>SUMIFS(tblBudget[Waste_t],tblBudget[Month],"&lt;"&amp;$E311)+$HS311</f>
        <v/>
      </c>
      <c r="HU311" s="55">
        <f>SUMIFS(tblBudget[TMM_t],tblBudget[Month],$E311)</f>
        <v/>
      </c>
      <c r="HV311" s="55">
        <f>$HU311*$C311/$D311</f>
        <v/>
      </c>
      <c r="HW311" s="55">
        <f>SUMIFS(tblBudget[TMM_t],tblBudget[Month],"&lt;"&amp;$E311)+$HV311</f>
        <v/>
      </c>
      <c r="HX311" s="56">
        <f>IFERROR(IF(($HI311)&gt;0,($HR311)/($HI311),""),"")</f>
        <v/>
      </c>
      <c r="HY311" s="56">
        <f>IFERROR(IF(($HJ311)&gt;0,($HS311)/($HJ311),""),"")</f>
        <v/>
      </c>
      <c r="HZ311" s="56">
        <f>IFERROR(IF(($HK311)&gt;0,($HT311)/($HK311),""),"")</f>
        <v/>
      </c>
      <c r="IA311" s="55">
        <f>SUMIFS(tblBudget[Drill_m],tblBudget[Month],$E311)</f>
        <v/>
      </c>
      <c r="IB311" s="55">
        <f>$IA311*$C311/$D311</f>
        <v/>
      </c>
      <c r="IC311" s="55">
        <f>SUMIFS(tblBudget[Drill_m],tblBudget[Month],"&lt;"&amp;$E311)+$IB311</f>
        <v/>
      </c>
      <c r="ID311" s="55">
        <f>SUMIFS(tblBudget[Diesel_L],tblBudget[Month],$E311)</f>
        <v/>
      </c>
      <c r="IE311" s="55">
        <f>$ID311*$C311/$D311</f>
        <v/>
      </c>
      <c r="IF311" s="55">
        <f>SUMIFS(tblBudget[Diesel_L],tblBudget[Month],"&lt;"&amp;$E311)+$IE311</f>
        <v/>
      </c>
      <c r="IG311" s="55">
        <f>SUMIFS(tblBudget[Milled_t],tblBudget[Month],$E311)</f>
        <v/>
      </c>
      <c r="IH311" s="55">
        <f>$IG311*$C311/$D311</f>
        <v/>
      </c>
      <c r="II311" s="55">
        <f>SUMIFS(tblBudget[Milled_t],tblBudget[Month],"&lt;"&amp;$E311)+$IH311</f>
        <v/>
      </c>
      <c r="IJ311" s="55">
        <f>SUMIFS(tblBudget[Feed_oz],tblBudget[Month],$E311)</f>
        <v/>
      </c>
      <c r="IK311" s="55">
        <f>$IJ311*$C311/$D311</f>
        <v/>
      </c>
      <c r="IL311" s="55">
        <f>SUMIFS(tblBudget[Feed_oz],tblBudget[Month],"&lt;"&amp;$E311)+$IK311</f>
        <v/>
      </c>
      <c r="IM311" s="55">
        <f>SUMIFS(tblBudget[Recovered_oz],tblBudget[Month],$E311)</f>
        <v/>
      </c>
      <c r="IN311" s="55">
        <f>$IM311*$C311/$D311</f>
        <v/>
      </c>
      <c r="IO311" s="55">
        <f>SUMIFS(tblBudget[Recovered_oz],tblBudget[Month],"&lt;"&amp;$E311)+$IN311</f>
        <v/>
      </c>
      <c r="IP311" s="56">
        <f>IFERROR(IF(($IG311)&gt;0,($IJ311*cfg_TroyOz)/($IG311),""),"")</f>
        <v/>
      </c>
      <c r="IQ311" s="56">
        <f>IFERROR(IF(($IH311)&gt;0,($IK311*cfg_TroyOz)/($IH311),""),"")</f>
        <v/>
      </c>
      <c r="IR311" s="56">
        <f>IFERROR(IF(($II311)&gt;0,($IL311*cfg_TroyOz)/($II311),""),"")</f>
        <v/>
      </c>
      <c r="IS311" s="67">
        <f>IFERROR(IF(($IJ311)&gt;0,($IM311)/($IJ311),""),"")</f>
        <v/>
      </c>
      <c r="IT311" s="67">
        <f>IFERROR(IF(($IK311)&gt;0,($IN311)/($IK311),""),"")</f>
        <v/>
      </c>
      <c r="IU311" s="67">
        <f>IFERROR(IF(($IL311)&gt;0,($IO311)/($IL311),""),"")</f>
        <v/>
      </c>
      <c r="IV311" s="55">
        <f>SUMIFS(tblBudget[Gold_Poured_oz],tblBudget[Month],$E311)</f>
        <v/>
      </c>
      <c r="IW311" s="55">
        <f>$IV311*$C311/$D311</f>
        <v/>
      </c>
      <c r="IX311" s="55">
        <f>SUMIFS(tblBudget[Gold_Poured_oz],tblBudget[Month],"&lt;"&amp;$E311)+$IW311</f>
        <v/>
      </c>
      <c r="IY311" s="57">
        <f>SUMIFS(tblBudget[Hours_Worked],tblBudget[Month],$E311)</f>
        <v/>
      </c>
      <c r="IZ311" s="57">
        <f>$IY311*$C311/$D311</f>
        <v/>
      </c>
      <c r="JA311" s="57">
        <f>SUMIFS(tblBudget[Hours_Worked],tblBudget[Month],"&lt;"&amp;$E311)+$IZ311</f>
        <v/>
      </c>
    </row>
    <row r="312">
      <c r="A312" s="54" t="n">
        <v>46333</v>
      </c>
      <c r="B312">
        <f>MONTH($A312)</f>
        <v/>
      </c>
      <c r="C312">
        <f>DAY($A312)</f>
        <v/>
      </c>
      <c r="D312">
        <f>DAY(EOMONTH($A312,0))</f>
        <v/>
      </c>
      <c r="E312" s="54">
        <f>DATE(YEAR($A312),MONTH($A312),1)</f>
        <v/>
      </c>
      <c r="F312" s="55">
        <f>SUMIFS(tblMovement[Tonnes_t],tblMovement[Date],$A312,tblMovement[Is_Ore],1,tblMovement[Source_Type],"Pit")</f>
        <v/>
      </c>
      <c r="G312" s="55">
        <f>IF($B312=$B311,$G311,0)+$F312</f>
        <v/>
      </c>
      <c r="H312" s="55">
        <f>$H311+$F312</f>
        <v/>
      </c>
      <c r="I312" s="55">
        <f>SUMIFS(tblMovement[Ore_oz],tblMovement[Date],$A312,tblMovement[Source_Type],"Pit")</f>
        <v/>
      </c>
      <c r="J312" s="55">
        <f>IF($B312=$B311,$J311,0)+$I312</f>
        <v/>
      </c>
      <c r="K312" s="55">
        <f>$K311+$I312</f>
        <v/>
      </c>
      <c r="L312" s="56">
        <f>IFERROR(IF(($F312)&gt;0,($I312*cfg_TroyOz)/($F312),""),"")</f>
        <v/>
      </c>
      <c r="M312" s="56">
        <f>IFERROR(IF(($G312)&gt;0,($J312*cfg_TroyOz)/($G312),""),"")</f>
        <v/>
      </c>
      <c r="N312" s="56">
        <f>IFERROR(IF(($H312)&gt;0,($K312*cfg_TroyOz)/($H312),""),"")</f>
        <v/>
      </c>
      <c r="O312" s="55">
        <f>SUMIFS(tblMovement[Tonnes_t],tblMovement[Date],$A312,tblMovement[Is_Ore],0,tblMovement[Source_Type],"Pit")</f>
        <v/>
      </c>
      <c r="P312" s="55">
        <f>IF($B312=$B311,$P311,0)+$O312</f>
        <v/>
      </c>
      <c r="Q312" s="55">
        <f>$Q311+$O312</f>
        <v/>
      </c>
      <c r="R312" s="55">
        <f>$F312+$O312</f>
        <v/>
      </c>
      <c r="S312" s="55">
        <f>IF($B312=$B311,$S311,0)+$R312</f>
        <v/>
      </c>
      <c r="T312" s="55">
        <f>$T311+$R312</f>
        <v/>
      </c>
      <c r="U312" s="56">
        <f>IFERROR(IF(($F312)&gt;0,($O312)/($F312),""),"")</f>
        <v/>
      </c>
      <c r="V312" s="56">
        <f>IFERROR(IF(($G312)&gt;0,($P312)/($G312),""),"")</f>
        <v/>
      </c>
      <c r="W312" s="56">
        <f>IFERROR(IF(($H312)&gt;0,($Q312)/($H312),""),"")</f>
        <v/>
      </c>
      <c r="X312" s="55">
        <f>SUMIFS(tblMovement[Tonnes_t],tblMovement[Date],$A312,tblMovement[Source_Type],"Stockpile")</f>
        <v/>
      </c>
      <c r="Y312" s="55">
        <f>IF($B312=$B311,$Y311,0)+$X312</f>
        <v/>
      </c>
      <c r="Z312" s="55">
        <f>$Z311+$X312</f>
        <v/>
      </c>
      <c r="AA312" s="55">
        <f>SUMIFS(tblMiningDaily[Drill_m],tblMiningDaily[Date],$A312)</f>
        <v/>
      </c>
      <c r="AB312" s="55">
        <f>IF($B312=$B311,$AB311,0)+$AA312</f>
        <v/>
      </c>
      <c r="AC312" s="55">
        <f>$AC311+$AA312</f>
        <v/>
      </c>
      <c r="AD312" s="55">
        <f>SUMIFS(tblMiningDaily[Blast_t],tblMiningDaily[Date],$A312)</f>
        <v/>
      </c>
      <c r="AE312" s="55">
        <f>IF($B312=$B311,$AE311,0)+$AD312</f>
        <v/>
      </c>
      <c r="AF312" s="55">
        <f>$AF311+$AD312</f>
        <v/>
      </c>
      <c r="AG312" s="55">
        <f>SUMIFS(tblMiningDaily[Explosives_kg],tblMiningDaily[Date],$A312)</f>
        <v/>
      </c>
      <c r="AH312" s="55">
        <f>IF($B312=$B311,$AH311,0)+$AG312</f>
        <v/>
      </c>
      <c r="AI312" s="55">
        <f>$AI311+$AG312</f>
        <v/>
      </c>
      <c r="AJ312" s="56">
        <f>IFERROR(IF(($AD312)&gt;0,($AG312)/($AD312),""),"")</f>
        <v/>
      </c>
      <c r="AK312" s="56">
        <f>IFERROR(IF(($AE312)&gt;0,($AH312)/($AE312),""),"")</f>
        <v/>
      </c>
      <c r="AL312" s="56">
        <f>IFERROR(IF(($AF312)&gt;0,($AI312)/($AF312),""),"")</f>
        <v/>
      </c>
      <c r="AM312" s="55">
        <f>SUMIFS(tblMiningDaily[Diesel_L],tblMiningDaily[Date],$A312)</f>
        <v/>
      </c>
      <c r="AN312" s="55">
        <f>IF($B312=$B311,$AN311,0)+$AM312</f>
        <v/>
      </c>
      <c r="AO312" s="55">
        <f>$AO311+$AM312</f>
        <v/>
      </c>
      <c r="AP312" s="55">
        <f>SUMIFS(tblMiningDaily[Dewatering_m3],tblMiningDaily[Date],$A312)</f>
        <v/>
      </c>
      <c r="AQ312" s="55">
        <f>IF($B312=$B311,$AQ311,0)+$AP312</f>
        <v/>
      </c>
      <c r="AR312" s="55">
        <f>$AR311+$AP312</f>
        <v/>
      </c>
      <c r="AS312" s="57">
        <f>SUMIFS(tblFleet[Calendar_h],tblFleet[Date],$A312,tblFleet[Equipment_Class],"Excavator")</f>
        <v/>
      </c>
      <c r="AT312" s="57">
        <f>IF($B312=$B311,$AT311,0)+$AS312</f>
        <v/>
      </c>
      <c r="AU312" s="57">
        <f>$AU311+$AS312</f>
        <v/>
      </c>
      <c r="AV312" s="57">
        <f>SUMIFS(tblFleet[Available_h],tblFleet[Date],$A312,tblFleet[Equipment_Class],"Excavator")</f>
        <v/>
      </c>
      <c r="AW312" s="57">
        <f>IF($B312=$B311,$AW311,0)+$AV312</f>
        <v/>
      </c>
      <c r="AX312" s="57">
        <f>$AX311+$AV312</f>
        <v/>
      </c>
      <c r="AY312" s="57">
        <f>SUMIFS(tblFleet[Operating_h],tblFleet[Date],$A312,tblFleet[Equipment_Class],"Excavator")</f>
        <v/>
      </c>
      <c r="AZ312" s="57">
        <f>IF($B312=$B311,$AZ311,0)+$AY312</f>
        <v/>
      </c>
      <c r="BA312" s="57">
        <f>$BA311+$AY312</f>
        <v/>
      </c>
      <c r="BB312" s="67">
        <f>IFERROR(IF(($AS312)&gt;0,($AV312)/($AS312),""),"")</f>
        <v/>
      </c>
      <c r="BC312" s="67">
        <f>IFERROR(IF(($AT312)&gt;0,($AW312)/($AT312),""),"")</f>
        <v/>
      </c>
      <c r="BD312" s="67">
        <f>IFERROR(IF(($AU312)&gt;0,($AX312)/($AU312),""),"")</f>
        <v/>
      </c>
      <c r="BE312" s="67">
        <f>IFERROR(IF(($AV312)&gt;0,($AY312)/($AV312),""),"")</f>
        <v/>
      </c>
      <c r="BF312" s="67">
        <f>IFERROR(IF(($AW312)&gt;0,($AZ312)/($AW312),""),"")</f>
        <v/>
      </c>
      <c r="BG312" s="67">
        <f>IFERROR(IF(($AX312)&gt;0,($BA312)/($AX312),""),"")</f>
        <v/>
      </c>
      <c r="BH312" s="57">
        <f>SUMIFS(tblFleet[Calendar_h],tblFleet[Date],$A312,tblFleet[Equipment_Class],"Haul Truck")</f>
        <v/>
      </c>
      <c r="BI312" s="57">
        <f>IF($B312=$B311,$BI311,0)+$BH312</f>
        <v/>
      </c>
      <c r="BJ312" s="57">
        <f>$BJ311+$BH312</f>
        <v/>
      </c>
      <c r="BK312" s="57">
        <f>SUMIFS(tblFleet[Available_h],tblFleet[Date],$A312,tblFleet[Equipment_Class],"Haul Truck")</f>
        <v/>
      </c>
      <c r="BL312" s="57">
        <f>IF($B312=$B311,$BL311,0)+$BK312</f>
        <v/>
      </c>
      <c r="BM312" s="57">
        <f>$BM311+$BK312</f>
        <v/>
      </c>
      <c r="BN312" s="57">
        <f>SUMIFS(tblFleet[Operating_h],tblFleet[Date],$A312,tblFleet[Equipment_Class],"Haul Truck")</f>
        <v/>
      </c>
      <c r="BO312" s="57">
        <f>IF($B312=$B311,$BO311,0)+$BN312</f>
        <v/>
      </c>
      <c r="BP312" s="57">
        <f>$BP311+$BN312</f>
        <v/>
      </c>
      <c r="BQ312" s="67">
        <f>IFERROR(IF(($BH312)&gt;0,($BK312)/($BH312),""),"")</f>
        <v/>
      </c>
      <c r="BR312" s="67">
        <f>IFERROR(IF(($BI312)&gt;0,($BL312)/($BI312),""),"")</f>
        <v/>
      </c>
      <c r="BS312" s="67">
        <f>IFERROR(IF(($BJ312)&gt;0,($BM312)/($BJ312),""),"")</f>
        <v/>
      </c>
      <c r="BT312" s="67">
        <f>IFERROR(IF(($BK312)&gt;0,($BN312)/($BK312),""),"")</f>
        <v/>
      </c>
      <c r="BU312" s="67">
        <f>IFERROR(IF(($BL312)&gt;0,($BO312)/($BL312),""),"")</f>
        <v/>
      </c>
      <c r="BV312" s="67">
        <f>IFERROR(IF(($BM312)&gt;0,($BP312)/($BM312),""),"")</f>
        <v/>
      </c>
      <c r="BW312" s="55">
        <f>SUMIFS(tblPlant[Crushed_t],tblPlant[Date],$A312)</f>
        <v/>
      </c>
      <c r="BX312" s="55">
        <f>IF($B312=$B311,$BX311,0)+$BW312</f>
        <v/>
      </c>
      <c r="BY312" s="55">
        <f>$BY311+$BW312</f>
        <v/>
      </c>
      <c r="BZ312" s="55">
        <f>SUMIFS(tblPlant[Milled_t],tblPlant[Date],$A312)</f>
        <v/>
      </c>
      <c r="CA312" s="55">
        <f>IF($B312=$B311,$CA311,0)+$BZ312</f>
        <v/>
      </c>
      <c r="CB312" s="55">
        <f>$CB311+$BZ312</f>
        <v/>
      </c>
      <c r="CC312" s="55">
        <f>SUMIFS(tblPlant[Feed_oz],tblPlant[Date],$A312)</f>
        <v/>
      </c>
      <c r="CD312" s="55">
        <f>IF($B312=$B311,$CD311,0)+$CC312</f>
        <v/>
      </c>
      <c r="CE312" s="55">
        <f>$CE311+$CC312</f>
        <v/>
      </c>
      <c r="CF312" s="55">
        <f>SUMIFS(tblPlant[Tails_oz],tblPlant[Date],$A312)</f>
        <v/>
      </c>
      <c r="CG312" s="55">
        <f>IF($B312=$B311,$CG311,0)+$CF312</f>
        <v/>
      </c>
      <c r="CH312" s="55">
        <f>$CH311+$CF312</f>
        <v/>
      </c>
      <c r="CI312" s="55">
        <f>SUMIFS(tblPlant[Recovered_oz],tblPlant[Date],$A312)</f>
        <v/>
      </c>
      <c r="CJ312" s="55">
        <f>IF($B312=$B311,$CJ311,0)+$CI312</f>
        <v/>
      </c>
      <c r="CK312" s="55">
        <f>$CK311+$CI312</f>
        <v/>
      </c>
      <c r="CL312" s="56">
        <f>IFERROR(IF(($BZ312)&gt;0,($CC312*cfg_TroyOz)/($BZ312),""),"")</f>
        <v/>
      </c>
      <c r="CM312" s="56">
        <f>IFERROR(IF(($CA312)&gt;0,($CD312*cfg_TroyOz)/($CA312),""),"")</f>
        <v/>
      </c>
      <c r="CN312" s="56">
        <f>IFERROR(IF(($CB312)&gt;0,($CE312*cfg_TroyOz)/($CB312),""),"")</f>
        <v/>
      </c>
      <c r="CO312" s="56">
        <f>IFERROR(IF(($BZ312)&gt;0,($CF312*cfg_TroyOz)/($BZ312),""),"")</f>
        <v/>
      </c>
      <c r="CP312" s="56">
        <f>IFERROR(IF(($CA312)&gt;0,($CG312*cfg_TroyOz)/($CA312),""),"")</f>
        <v/>
      </c>
      <c r="CQ312" s="56">
        <f>IFERROR(IF(($CB312)&gt;0,($CH312*cfg_TroyOz)/($CB312),""),"")</f>
        <v/>
      </c>
      <c r="CR312" s="67">
        <f>IFERROR(IF(($CC312)&gt;0,($CI312)/($CC312),""),"")</f>
        <v/>
      </c>
      <c r="CS312" s="67">
        <f>IFERROR(IF(($CD312)&gt;0,($CJ312)/($CD312),""),"")</f>
        <v/>
      </c>
      <c r="CT312" s="67">
        <f>IFERROR(IF(($CE312)&gt;0,($CK312)/($CE312),""),"")</f>
        <v/>
      </c>
      <c r="CU312" s="55">
        <f>SUMIFS(tblPlant[Gravity_Gold_oz],tblPlant[Date],$A312)</f>
        <v/>
      </c>
      <c r="CV312" s="55">
        <f>IF($B312=$B311,$CV311,0)+$CU312</f>
        <v/>
      </c>
      <c r="CW312" s="55">
        <f>$CW311+$CU312</f>
        <v/>
      </c>
      <c r="CX312" s="55">
        <f>SUMIFS(tblPlant[Gold_Poured_oz],tblPlant[Date],$A312)</f>
        <v/>
      </c>
      <c r="CY312" s="55">
        <f>IF($B312=$B311,$CY311,0)+$CX312</f>
        <v/>
      </c>
      <c r="CZ312" s="55">
        <f>$CZ311+$CX312</f>
        <v/>
      </c>
      <c r="DA312" s="57">
        <f>SUMIFS(tblPlant[Mill_Run_h],tblPlant[Date],$A312)</f>
        <v/>
      </c>
      <c r="DB312" s="57">
        <f>IF($B312=$B311,$DB311,0)+$DA312</f>
        <v/>
      </c>
      <c r="DC312" s="57">
        <f>$DC311+$DA312</f>
        <v/>
      </c>
      <c r="DD312" s="57">
        <f>SUMIFS(tblPlant[Mill_Planned_Maint_h],tblPlant[Date],$A312)</f>
        <v/>
      </c>
      <c r="DE312" s="57">
        <f>IF($B312=$B311,$DE311,0)+$DD312</f>
        <v/>
      </c>
      <c r="DF312" s="57">
        <f>$DF311+$DD312</f>
        <v/>
      </c>
      <c r="DG312" s="57">
        <f>SUMIFS(tblPlant[Mill_Unplanned_Down_h],tblPlant[Date],$A312)</f>
        <v/>
      </c>
      <c r="DH312" s="57">
        <f>IF($B312=$B311,$DH311,0)+$DG312</f>
        <v/>
      </c>
      <c r="DI312" s="57">
        <f>$DI311+$DG312</f>
        <v/>
      </c>
      <c r="DJ312" s="57">
        <f>COUNTIFS(tblPlant[Date],$A312,tblPlant[Mill_Run_h],"&lt;&gt;")*24</f>
        <v/>
      </c>
      <c r="DK312" s="57">
        <f>IF($B312=$B311,$DK311,0)+$DJ312</f>
        <v/>
      </c>
      <c r="DL312" s="57">
        <f>$DL311+$DJ312</f>
        <v/>
      </c>
      <c r="DM312" s="57">
        <f>SUMIFS(tblPlant[Crusher_Run_h],tblPlant[Date],$A312)</f>
        <v/>
      </c>
      <c r="DN312" s="57">
        <f>IF($B312=$B311,$DN311,0)+$DM312</f>
        <v/>
      </c>
      <c r="DO312" s="57">
        <f>$DO311+$DM312</f>
        <v/>
      </c>
      <c r="DP312" s="55">
        <f>IFERROR(IF(($DA312)&gt;0,($BZ312)/($DA312),""),"")</f>
        <v/>
      </c>
      <c r="DQ312" s="55">
        <f>IFERROR(IF(($DB312)&gt;0,($CA312)/($DB312),""),"")</f>
        <v/>
      </c>
      <c r="DR312" s="55">
        <f>IFERROR(IF(($DC312)&gt;0,($CB312)/($DC312),""),"")</f>
        <v/>
      </c>
      <c r="DS312" s="67">
        <f>IFERROR(IF(($DJ312)&gt;0,($DJ312-$DD312-$DG312)/($DJ312),""),"")</f>
        <v/>
      </c>
      <c r="DT312" s="67">
        <f>IFERROR(IF(($DK312)&gt;0,($DK312-$DE312-$DH312)/($DK312),""),"")</f>
        <v/>
      </c>
      <c r="DU312" s="67">
        <f>IFERROR(IF(($DL312)&gt;0,($DL312-$DF312-$DI312)/($DL312),""),"")</f>
        <v/>
      </c>
      <c r="DV312" s="67">
        <f>IFERROR(IF(($DJ312-$DD312-$DG312)&gt;0,($DA312)/($DJ312-$DD312-$DG312),""),"")</f>
        <v/>
      </c>
      <c r="DW312" s="67">
        <f>IFERROR(IF(($DK312-$DE312-$DH312)&gt;0,($DB312)/($DK312-$DE312-$DH312),""),"")</f>
        <v/>
      </c>
      <c r="DX312" s="67">
        <f>IFERROR(IF(($DL312-$DF312-$DI312)&gt;0,($DC312)/($DL312-$DF312-$DI312),""),"")</f>
        <v/>
      </c>
      <c r="DY312" s="55">
        <f>SUMIFS(tblPlant[Cyanide_kg],tblPlant[Date],$A312)</f>
        <v/>
      </c>
      <c r="DZ312" s="55">
        <f>IF($B312=$B311,$DZ311,0)+$DY312</f>
        <v/>
      </c>
      <c r="EA312" s="55">
        <f>$EA311+$DY312</f>
        <v/>
      </c>
      <c r="EB312" s="55">
        <f>SUMIFS(tblPlant[Lime_kg],tblPlant[Date],$A312)</f>
        <v/>
      </c>
      <c r="EC312" s="55">
        <f>IF($B312=$B311,$EC311,0)+$EB312</f>
        <v/>
      </c>
      <c r="ED312" s="55">
        <f>$ED311+$EB312</f>
        <v/>
      </c>
      <c r="EE312" s="55">
        <f>SUMIFS(tblPlant[Grinding_Media_kg],tblPlant[Date],$A312)</f>
        <v/>
      </c>
      <c r="EF312" s="55">
        <f>IF($B312=$B311,$EF311,0)+$EE312</f>
        <v/>
      </c>
      <c r="EG312" s="55">
        <f>$EG311+$EE312</f>
        <v/>
      </c>
      <c r="EH312" s="55">
        <f>SUMIFS(tblPlant[Power_kWh],tblPlant[Date],$A312)</f>
        <v/>
      </c>
      <c r="EI312" s="55">
        <f>IF($B312=$B311,$EI311,0)+$EH312</f>
        <v/>
      </c>
      <c r="EJ312" s="55">
        <f>$EJ311+$EH312</f>
        <v/>
      </c>
      <c r="EK312" s="55">
        <f>SUMIFS(tblPlant[Raw_Water_m3],tblPlant[Date],$A312)</f>
        <v/>
      </c>
      <c r="EL312" s="55">
        <f>IF($B312=$B311,$EL311,0)+$EK312</f>
        <v/>
      </c>
      <c r="EM312" s="55">
        <f>$EM311+$EK312</f>
        <v/>
      </c>
      <c r="EN312" s="56">
        <f>IFERROR(IF(($BZ312)&gt;0,($DY312)/($BZ312),""),"")</f>
        <v/>
      </c>
      <c r="EO312" s="56">
        <f>IFERROR(IF(($CA312)&gt;0,($DZ312)/($CA312),""),"")</f>
        <v/>
      </c>
      <c r="EP312" s="56">
        <f>IFERROR(IF(($CB312)&gt;0,($EA312)/($CB312),""),"")</f>
        <v/>
      </c>
      <c r="EQ312" s="56">
        <f>IFERROR(IF(($BZ312)&gt;0,($EB312)/($BZ312),""),"")</f>
        <v/>
      </c>
      <c r="ER312" s="56">
        <f>IFERROR(IF(($CA312)&gt;0,($EC312)/($CA312),""),"")</f>
        <v/>
      </c>
      <c r="ES312" s="56">
        <f>IFERROR(IF(($CB312)&gt;0,($ED312)/($CB312),""),"")</f>
        <v/>
      </c>
      <c r="ET312" s="56">
        <f>IFERROR(IF(($BZ312)&gt;0,($EE312)/($BZ312),""),"")</f>
        <v/>
      </c>
      <c r="EU312" s="56">
        <f>IFERROR(IF(($CA312)&gt;0,($EF312)/($CA312),""),"")</f>
        <v/>
      </c>
      <c r="EV312" s="56">
        <f>IFERROR(IF(($CB312)&gt;0,($EG312)/($CB312),""),"")</f>
        <v/>
      </c>
      <c r="EW312" s="76">
        <f>IFERROR(IF(($BZ312)&gt;0,($EH312)/($BZ312),""),"")</f>
        <v/>
      </c>
      <c r="EX312" s="76">
        <f>IFERROR(IF(($CA312)&gt;0,($EI312)/($CA312),""),"")</f>
        <v/>
      </c>
      <c r="EY312" s="76">
        <f>IFERROR(IF(($CB312)&gt;0,($EJ312)/($CB312),""),"")</f>
        <v/>
      </c>
      <c r="EZ312" s="56">
        <f>IFERROR(IF(($BZ312)&gt;0,($EK312)/($BZ312),""),"")</f>
        <v/>
      </c>
      <c r="FA312" s="56">
        <f>IFERROR(IF(($CA312)&gt;0,($EL312)/($CA312),""),"")</f>
        <v/>
      </c>
      <c r="FB312" s="56">
        <f>IFERROR(IF(($CB312)&gt;0,($EM312)/($CB312),""),"")</f>
        <v/>
      </c>
      <c r="FC312" s="55">
        <f>IF(SUMIFS(tblPlant[GIC_oz],tblPlant[Date],$A312)&gt;0,SUMIFS(tblPlant[GIC_oz],tblPlant[Date],$A312),"")</f>
        <v/>
      </c>
      <c r="FD312" s="55">
        <f>SUMIFS(tblGold[Gold_oz],tblGold[Date],$A312,tblGold[Type],"Shipment")</f>
        <v/>
      </c>
      <c r="FE312" s="55">
        <f>IF($B312=$B311,$FE311,0)+$FD312</f>
        <v/>
      </c>
      <c r="FF312" s="55">
        <f>$FF311+$FD312</f>
        <v/>
      </c>
      <c r="FG312" s="55">
        <f>SUMIFS(tblGold[Gold_oz],tblGold[Date],$A312,tblGold[Type],"Sale")</f>
        <v/>
      </c>
      <c r="FH312" s="55">
        <f>IF($B312=$B311,$FH311,0)+$FG312</f>
        <v/>
      </c>
      <c r="FI312" s="55">
        <f>$FI311+$FG312</f>
        <v/>
      </c>
      <c r="FJ312" s="55">
        <f>SUMIFS(tblGold[Dore_kg],tblGold[Date],$A312,tblGold[Type],"Shipment")</f>
        <v/>
      </c>
      <c r="FK312" s="55">
        <f>IF($B312=$B311,$FK311,0)+$FJ312</f>
        <v/>
      </c>
      <c r="FL312" s="55">
        <f>$FL311+$FJ312</f>
        <v/>
      </c>
      <c r="FM312" s="57">
        <f>SUMIFS(tblSafety[Hours_Total],tblSafety[Date],$A312)</f>
        <v/>
      </c>
      <c r="FN312" s="57">
        <f>IF($B312=$B311,$FN311,0)+$FM312</f>
        <v/>
      </c>
      <c r="FO312" s="57">
        <f>$FO311+$FM312</f>
        <v/>
      </c>
      <c r="FP312" s="62">
        <f>SUMIFS(tblSafety[Fatality],tblSafety[Date],$A312)</f>
        <v/>
      </c>
      <c r="FQ312" s="62">
        <f>IF($B312=$B311,$FQ311,0)+$FP312</f>
        <v/>
      </c>
      <c r="FR312" s="62">
        <f>$FR311+$FP312</f>
        <v/>
      </c>
      <c r="FS312" s="62">
        <f>SUMIFS(tblSafety[LTI],tblSafety[Date],$A312)</f>
        <v/>
      </c>
      <c r="FT312" s="62">
        <f>IF($B312=$B311,$FT311,0)+$FS312</f>
        <v/>
      </c>
      <c r="FU312" s="62">
        <f>$FU311+$FS312</f>
        <v/>
      </c>
      <c r="FV312" s="62">
        <f>SUMIFS(tblSafety[RWI],tblSafety[Date],$A312)</f>
        <v/>
      </c>
      <c r="FW312" s="62">
        <f>IF($B312=$B311,$FW311,0)+$FV312</f>
        <v/>
      </c>
      <c r="FX312" s="62">
        <f>$FX311+$FV312</f>
        <v/>
      </c>
      <c r="FY312" s="62">
        <f>SUMIFS(tblSafety[MTI],tblSafety[Date],$A312)</f>
        <v/>
      </c>
      <c r="FZ312" s="62">
        <f>IF($B312=$B311,$FZ311,0)+$FY312</f>
        <v/>
      </c>
      <c r="GA312" s="62">
        <f>$GA311+$FY312</f>
        <v/>
      </c>
      <c r="GB312" s="62">
        <f>SUMIFS(tblSafety[FAI],tblSafety[Date],$A312)</f>
        <v/>
      </c>
      <c r="GC312" s="62">
        <f>IF($B312=$B311,$GC311,0)+$GB312</f>
        <v/>
      </c>
      <c r="GD312" s="62">
        <f>$GD311+$GB312</f>
        <v/>
      </c>
      <c r="GE312" s="62">
        <f>SUMIFS(tblSafety[Recordables],tblSafety[Date],$A312)</f>
        <v/>
      </c>
      <c r="GF312" s="62">
        <f>IF($B312=$B311,$GF311,0)+$GE312</f>
        <v/>
      </c>
      <c r="GG312" s="62">
        <f>$GG311+$GE312</f>
        <v/>
      </c>
      <c r="GH312" s="62">
        <f>SUMIFS(tblSafety[Near_Miss],tblSafety[Date],$A312)</f>
        <v/>
      </c>
      <c r="GI312" s="62">
        <f>IF($B312=$B311,$GI311,0)+$GH312</f>
        <v/>
      </c>
      <c r="GJ312" s="62">
        <f>$GJ311+$GH312</f>
        <v/>
      </c>
      <c r="GK312" s="62">
        <f>SUMIFS(tblSafety[Hazard_Reports],tblSafety[Date],$A312)</f>
        <v/>
      </c>
      <c r="GL312" s="62">
        <f>IF($B312=$B311,$GL311,0)+$GK312</f>
        <v/>
      </c>
      <c r="GM312" s="62">
        <f>$GM311+$GK312</f>
        <v/>
      </c>
      <c r="GN312" s="62">
        <f>SUMIFS(tblSafety[HPI],tblSafety[Date],$A312)</f>
        <v/>
      </c>
      <c r="GO312" s="62">
        <f>IF($B312=$B311,$GO311,0)+$GN312</f>
        <v/>
      </c>
      <c r="GP312" s="62">
        <f>$GP311+$GN312</f>
        <v/>
      </c>
      <c r="GQ312" s="62">
        <f>SUMIFS(tblSafety[Env_Incidents],tblSafety[Date],$A312)</f>
        <v/>
      </c>
      <c r="GR312" s="62">
        <f>IF($B312=$B311,$GR311,0)+$GQ312</f>
        <v/>
      </c>
      <c r="GS312" s="62">
        <f>$GS311+$GQ312</f>
        <v/>
      </c>
      <c r="GT312" s="62">
        <f>SUMIFS(tblSafety[Community_Incidents],tblSafety[Date],$A312)</f>
        <v/>
      </c>
      <c r="GU312" s="62">
        <f>IF($B312=$B311,$GU311,0)+$GT312</f>
        <v/>
      </c>
      <c r="GV312" s="62">
        <f>$GV311+$GT312</f>
        <v/>
      </c>
      <c r="GW312" s="62">
        <f>SUMIFS(tblSafety[Vehicle_Incidents],tblSafety[Date],$A312)</f>
        <v/>
      </c>
      <c r="GX312" s="62">
        <f>IF($B312=$B311,$GX311,0)+$GW312</f>
        <v/>
      </c>
      <c r="GY312" s="62">
        <f>$GY311+$GW312</f>
        <v/>
      </c>
      <c r="GZ312" s="62">
        <f>SUMIFS(tblSafety[Toolbox_Talks],tblSafety[Date],$A312)</f>
        <v/>
      </c>
      <c r="HA312" s="62">
        <f>IF($B312=$B311,$HA311,0)+$GZ312</f>
        <v/>
      </c>
      <c r="HB312" s="62">
        <f>$HB311+$GZ312</f>
        <v/>
      </c>
      <c r="HC312" s="62">
        <f>SUMIFS(tblSafety[Inspections],tblSafety[Date],$A312)</f>
        <v/>
      </c>
      <c r="HD312" s="62">
        <f>IF($B312=$B311,$HD311,0)+$HC312</f>
        <v/>
      </c>
      <c r="HE312" s="62">
        <f>$HE311+$HC312</f>
        <v/>
      </c>
      <c r="HF312" s="56">
        <f>IFERROR((SUMIFS(tblSafety[Recordables],tblSafety[Date],"&gt;="&amp;EDATE($E312,-12),tblSafety[Date],"&lt;="&amp;$A312)+SUMIFS(tblSafetyHistory[Recordables],tblSafetyHistory[Month],"&gt;="&amp;EDATE($E312,-12),tblSafetyHistory[Month],"&lt;"&amp;cfg_YearStart))/(SUMIFS(tblSafety[Hours_Total],tblSafety[Date],"&gt;="&amp;EDATE($E312,-12),tblSafety[Date],"&lt;="&amp;$A312)+SUMIFS(tblSafetyHistory[Hours_Total],tblSafetyHistory[Month],"&gt;="&amp;EDATE($E312,-12),tblSafetyHistory[Month],"&lt;"&amp;cfg_YearStart))*1000000,"")</f>
        <v/>
      </c>
      <c r="HG312" s="56">
        <f>IFERROR((SUMIFS(tblSafety[LTI],tblSafety[Date],"&gt;="&amp;EDATE($E312,-12),tblSafety[Date],"&lt;="&amp;$A312)+SUMIFS(tblSafetyHistory[LTI],tblSafetyHistory[Month],"&gt;="&amp;EDATE($E312,-12),tblSafetyHistory[Month],"&lt;"&amp;cfg_YearStart))/(SUMIFS(tblSafety[Hours_Total],tblSafety[Date],"&gt;="&amp;EDATE($E312,-12),tblSafety[Date],"&lt;="&amp;$A312)+SUMIFS(tblSafetyHistory[Hours_Total],tblSafetyHistory[Month],"&gt;="&amp;EDATE($E312,-12),tblSafetyHistory[Month],"&lt;"&amp;cfg_YearStart))*1000000,"")</f>
        <v/>
      </c>
      <c r="HH312" s="62">
        <f>IF(MAX(N(cfg_PriorLTIDate),_xlfn.MAXIFS(tblSafety[Date],tblSafety[LTI],"&gt;0",tblSafety[Date],"&lt;="&amp;$A312))=0,"",$A312-MAX(N(cfg_PriorLTIDate),_xlfn.MAXIFS(tblSafety[Date],tblSafety[LTI],"&gt;0",tblSafety[Date],"&lt;="&amp;$A312)))</f>
        <v/>
      </c>
      <c r="HI312" s="55">
        <f>SUMIFS(tblBudget[Ore_Mined_t],tblBudget[Month],$E312)</f>
        <v/>
      </c>
      <c r="HJ312" s="55">
        <f>$HI312*$C312/$D312</f>
        <v/>
      </c>
      <c r="HK312" s="55">
        <f>SUMIFS(tblBudget[Ore_Mined_t],tblBudget[Month],"&lt;"&amp;$E312)+$HJ312</f>
        <v/>
      </c>
      <c r="HL312" s="55">
        <f>SUMIFS(tblBudget[Ore_oz],tblBudget[Month],$E312)</f>
        <v/>
      </c>
      <c r="HM312" s="55">
        <f>$HL312*$C312/$D312</f>
        <v/>
      </c>
      <c r="HN312" s="55">
        <f>SUMIFS(tblBudget[Ore_oz],tblBudget[Month],"&lt;"&amp;$E312)+$HM312</f>
        <v/>
      </c>
      <c r="HO312" s="56">
        <f>IFERROR(IF(($HI312)&gt;0,($HL312*cfg_TroyOz)/($HI312),""),"")</f>
        <v/>
      </c>
      <c r="HP312" s="56">
        <f>IFERROR(IF(($HJ312)&gt;0,($HM312*cfg_TroyOz)/($HJ312),""),"")</f>
        <v/>
      </c>
      <c r="HQ312" s="56">
        <f>IFERROR(IF(($HK312)&gt;0,($HN312*cfg_TroyOz)/($HK312),""),"")</f>
        <v/>
      </c>
      <c r="HR312" s="55">
        <f>SUMIFS(tblBudget[Waste_t],tblBudget[Month],$E312)</f>
        <v/>
      </c>
      <c r="HS312" s="55">
        <f>$HR312*$C312/$D312</f>
        <v/>
      </c>
      <c r="HT312" s="55">
        <f>SUMIFS(tblBudget[Waste_t],tblBudget[Month],"&lt;"&amp;$E312)+$HS312</f>
        <v/>
      </c>
      <c r="HU312" s="55">
        <f>SUMIFS(tblBudget[TMM_t],tblBudget[Month],$E312)</f>
        <v/>
      </c>
      <c r="HV312" s="55">
        <f>$HU312*$C312/$D312</f>
        <v/>
      </c>
      <c r="HW312" s="55">
        <f>SUMIFS(tblBudget[TMM_t],tblBudget[Month],"&lt;"&amp;$E312)+$HV312</f>
        <v/>
      </c>
      <c r="HX312" s="56">
        <f>IFERROR(IF(($HI312)&gt;0,($HR312)/($HI312),""),"")</f>
        <v/>
      </c>
      <c r="HY312" s="56">
        <f>IFERROR(IF(($HJ312)&gt;0,($HS312)/($HJ312),""),"")</f>
        <v/>
      </c>
      <c r="HZ312" s="56">
        <f>IFERROR(IF(($HK312)&gt;0,($HT312)/($HK312),""),"")</f>
        <v/>
      </c>
      <c r="IA312" s="55">
        <f>SUMIFS(tblBudget[Drill_m],tblBudget[Month],$E312)</f>
        <v/>
      </c>
      <c r="IB312" s="55">
        <f>$IA312*$C312/$D312</f>
        <v/>
      </c>
      <c r="IC312" s="55">
        <f>SUMIFS(tblBudget[Drill_m],tblBudget[Month],"&lt;"&amp;$E312)+$IB312</f>
        <v/>
      </c>
      <c r="ID312" s="55">
        <f>SUMIFS(tblBudget[Diesel_L],tblBudget[Month],$E312)</f>
        <v/>
      </c>
      <c r="IE312" s="55">
        <f>$ID312*$C312/$D312</f>
        <v/>
      </c>
      <c r="IF312" s="55">
        <f>SUMIFS(tblBudget[Diesel_L],tblBudget[Month],"&lt;"&amp;$E312)+$IE312</f>
        <v/>
      </c>
      <c r="IG312" s="55">
        <f>SUMIFS(tblBudget[Milled_t],tblBudget[Month],$E312)</f>
        <v/>
      </c>
      <c r="IH312" s="55">
        <f>$IG312*$C312/$D312</f>
        <v/>
      </c>
      <c r="II312" s="55">
        <f>SUMIFS(tblBudget[Milled_t],tblBudget[Month],"&lt;"&amp;$E312)+$IH312</f>
        <v/>
      </c>
      <c r="IJ312" s="55">
        <f>SUMIFS(tblBudget[Feed_oz],tblBudget[Month],$E312)</f>
        <v/>
      </c>
      <c r="IK312" s="55">
        <f>$IJ312*$C312/$D312</f>
        <v/>
      </c>
      <c r="IL312" s="55">
        <f>SUMIFS(tblBudget[Feed_oz],tblBudget[Month],"&lt;"&amp;$E312)+$IK312</f>
        <v/>
      </c>
      <c r="IM312" s="55">
        <f>SUMIFS(tblBudget[Recovered_oz],tblBudget[Month],$E312)</f>
        <v/>
      </c>
      <c r="IN312" s="55">
        <f>$IM312*$C312/$D312</f>
        <v/>
      </c>
      <c r="IO312" s="55">
        <f>SUMIFS(tblBudget[Recovered_oz],tblBudget[Month],"&lt;"&amp;$E312)+$IN312</f>
        <v/>
      </c>
      <c r="IP312" s="56">
        <f>IFERROR(IF(($IG312)&gt;0,($IJ312*cfg_TroyOz)/($IG312),""),"")</f>
        <v/>
      </c>
      <c r="IQ312" s="56">
        <f>IFERROR(IF(($IH312)&gt;0,($IK312*cfg_TroyOz)/($IH312),""),"")</f>
        <v/>
      </c>
      <c r="IR312" s="56">
        <f>IFERROR(IF(($II312)&gt;0,($IL312*cfg_TroyOz)/($II312),""),"")</f>
        <v/>
      </c>
      <c r="IS312" s="67">
        <f>IFERROR(IF(($IJ312)&gt;0,($IM312)/($IJ312),""),"")</f>
        <v/>
      </c>
      <c r="IT312" s="67">
        <f>IFERROR(IF(($IK312)&gt;0,($IN312)/($IK312),""),"")</f>
        <v/>
      </c>
      <c r="IU312" s="67">
        <f>IFERROR(IF(($IL312)&gt;0,($IO312)/($IL312),""),"")</f>
        <v/>
      </c>
      <c r="IV312" s="55">
        <f>SUMIFS(tblBudget[Gold_Poured_oz],tblBudget[Month],$E312)</f>
        <v/>
      </c>
      <c r="IW312" s="55">
        <f>$IV312*$C312/$D312</f>
        <v/>
      </c>
      <c r="IX312" s="55">
        <f>SUMIFS(tblBudget[Gold_Poured_oz],tblBudget[Month],"&lt;"&amp;$E312)+$IW312</f>
        <v/>
      </c>
      <c r="IY312" s="57">
        <f>SUMIFS(tblBudget[Hours_Worked],tblBudget[Month],$E312)</f>
        <v/>
      </c>
      <c r="IZ312" s="57">
        <f>$IY312*$C312/$D312</f>
        <v/>
      </c>
      <c r="JA312" s="57">
        <f>SUMIFS(tblBudget[Hours_Worked],tblBudget[Month],"&lt;"&amp;$E312)+$IZ312</f>
        <v/>
      </c>
    </row>
    <row r="313">
      <c r="A313" s="54" t="n">
        <v>46334</v>
      </c>
      <c r="B313">
        <f>MONTH($A313)</f>
        <v/>
      </c>
      <c r="C313">
        <f>DAY($A313)</f>
        <v/>
      </c>
      <c r="D313">
        <f>DAY(EOMONTH($A313,0))</f>
        <v/>
      </c>
      <c r="E313" s="54">
        <f>DATE(YEAR($A313),MONTH($A313),1)</f>
        <v/>
      </c>
      <c r="F313" s="55">
        <f>SUMIFS(tblMovement[Tonnes_t],tblMovement[Date],$A313,tblMovement[Is_Ore],1,tblMovement[Source_Type],"Pit")</f>
        <v/>
      </c>
      <c r="G313" s="55">
        <f>IF($B313=$B312,$G312,0)+$F313</f>
        <v/>
      </c>
      <c r="H313" s="55">
        <f>$H312+$F313</f>
        <v/>
      </c>
      <c r="I313" s="55">
        <f>SUMIFS(tblMovement[Ore_oz],tblMovement[Date],$A313,tblMovement[Source_Type],"Pit")</f>
        <v/>
      </c>
      <c r="J313" s="55">
        <f>IF($B313=$B312,$J312,0)+$I313</f>
        <v/>
      </c>
      <c r="K313" s="55">
        <f>$K312+$I313</f>
        <v/>
      </c>
      <c r="L313" s="56">
        <f>IFERROR(IF(($F313)&gt;0,($I313*cfg_TroyOz)/($F313),""),"")</f>
        <v/>
      </c>
      <c r="M313" s="56">
        <f>IFERROR(IF(($G313)&gt;0,($J313*cfg_TroyOz)/($G313),""),"")</f>
        <v/>
      </c>
      <c r="N313" s="56">
        <f>IFERROR(IF(($H313)&gt;0,($K313*cfg_TroyOz)/($H313),""),"")</f>
        <v/>
      </c>
      <c r="O313" s="55">
        <f>SUMIFS(tblMovement[Tonnes_t],tblMovement[Date],$A313,tblMovement[Is_Ore],0,tblMovement[Source_Type],"Pit")</f>
        <v/>
      </c>
      <c r="P313" s="55">
        <f>IF($B313=$B312,$P312,0)+$O313</f>
        <v/>
      </c>
      <c r="Q313" s="55">
        <f>$Q312+$O313</f>
        <v/>
      </c>
      <c r="R313" s="55">
        <f>$F313+$O313</f>
        <v/>
      </c>
      <c r="S313" s="55">
        <f>IF($B313=$B312,$S312,0)+$R313</f>
        <v/>
      </c>
      <c r="T313" s="55">
        <f>$T312+$R313</f>
        <v/>
      </c>
      <c r="U313" s="56">
        <f>IFERROR(IF(($F313)&gt;0,($O313)/($F313),""),"")</f>
        <v/>
      </c>
      <c r="V313" s="56">
        <f>IFERROR(IF(($G313)&gt;0,($P313)/($G313),""),"")</f>
        <v/>
      </c>
      <c r="W313" s="56">
        <f>IFERROR(IF(($H313)&gt;0,($Q313)/($H313),""),"")</f>
        <v/>
      </c>
      <c r="X313" s="55">
        <f>SUMIFS(tblMovement[Tonnes_t],tblMovement[Date],$A313,tblMovement[Source_Type],"Stockpile")</f>
        <v/>
      </c>
      <c r="Y313" s="55">
        <f>IF($B313=$B312,$Y312,0)+$X313</f>
        <v/>
      </c>
      <c r="Z313" s="55">
        <f>$Z312+$X313</f>
        <v/>
      </c>
      <c r="AA313" s="55">
        <f>SUMIFS(tblMiningDaily[Drill_m],tblMiningDaily[Date],$A313)</f>
        <v/>
      </c>
      <c r="AB313" s="55">
        <f>IF($B313=$B312,$AB312,0)+$AA313</f>
        <v/>
      </c>
      <c r="AC313" s="55">
        <f>$AC312+$AA313</f>
        <v/>
      </c>
      <c r="AD313" s="55">
        <f>SUMIFS(tblMiningDaily[Blast_t],tblMiningDaily[Date],$A313)</f>
        <v/>
      </c>
      <c r="AE313" s="55">
        <f>IF($B313=$B312,$AE312,0)+$AD313</f>
        <v/>
      </c>
      <c r="AF313" s="55">
        <f>$AF312+$AD313</f>
        <v/>
      </c>
      <c r="AG313" s="55">
        <f>SUMIFS(tblMiningDaily[Explosives_kg],tblMiningDaily[Date],$A313)</f>
        <v/>
      </c>
      <c r="AH313" s="55">
        <f>IF($B313=$B312,$AH312,0)+$AG313</f>
        <v/>
      </c>
      <c r="AI313" s="55">
        <f>$AI312+$AG313</f>
        <v/>
      </c>
      <c r="AJ313" s="56">
        <f>IFERROR(IF(($AD313)&gt;0,($AG313)/($AD313),""),"")</f>
        <v/>
      </c>
      <c r="AK313" s="56">
        <f>IFERROR(IF(($AE313)&gt;0,($AH313)/($AE313),""),"")</f>
        <v/>
      </c>
      <c r="AL313" s="56">
        <f>IFERROR(IF(($AF313)&gt;0,($AI313)/($AF313),""),"")</f>
        <v/>
      </c>
      <c r="AM313" s="55">
        <f>SUMIFS(tblMiningDaily[Diesel_L],tblMiningDaily[Date],$A313)</f>
        <v/>
      </c>
      <c r="AN313" s="55">
        <f>IF($B313=$B312,$AN312,0)+$AM313</f>
        <v/>
      </c>
      <c r="AO313" s="55">
        <f>$AO312+$AM313</f>
        <v/>
      </c>
      <c r="AP313" s="55">
        <f>SUMIFS(tblMiningDaily[Dewatering_m3],tblMiningDaily[Date],$A313)</f>
        <v/>
      </c>
      <c r="AQ313" s="55">
        <f>IF($B313=$B312,$AQ312,0)+$AP313</f>
        <v/>
      </c>
      <c r="AR313" s="55">
        <f>$AR312+$AP313</f>
        <v/>
      </c>
      <c r="AS313" s="57">
        <f>SUMIFS(tblFleet[Calendar_h],tblFleet[Date],$A313,tblFleet[Equipment_Class],"Excavator")</f>
        <v/>
      </c>
      <c r="AT313" s="57">
        <f>IF($B313=$B312,$AT312,0)+$AS313</f>
        <v/>
      </c>
      <c r="AU313" s="57">
        <f>$AU312+$AS313</f>
        <v/>
      </c>
      <c r="AV313" s="57">
        <f>SUMIFS(tblFleet[Available_h],tblFleet[Date],$A313,tblFleet[Equipment_Class],"Excavator")</f>
        <v/>
      </c>
      <c r="AW313" s="57">
        <f>IF($B313=$B312,$AW312,0)+$AV313</f>
        <v/>
      </c>
      <c r="AX313" s="57">
        <f>$AX312+$AV313</f>
        <v/>
      </c>
      <c r="AY313" s="57">
        <f>SUMIFS(tblFleet[Operating_h],tblFleet[Date],$A313,tblFleet[Equipment_Class],"Excavator")</f>
        <v/>
      </c>
      <c r="AZ313" s="57">
        <f>IF($B313=$B312,$AZ312,0)+$AY313</f>
        <v/>
      </c>
      <c r="BA313" s="57">
        <f>$BA312+$AY313</f>
        <v/>
      </c>
      <c r="BB313" s="67">
        <f>IFERROR(IF(($AS313)&gt;0,($AV313)/($AS313),""),"")</f>
        <v/>
      </c>
      <c r="BC313" s="67">
        <f>IFERROR(IF(($AT313)&gt;0,($AW313)/($AT313),""),"")</f>
        <v/>
      </c>
      <c r="BD313" s="67">
        <f>IFERROR(IF(($AU313)&gt;0,($AX313)/($AU313),""),"")</f>
        <v/>
      </c>
      <c r="BE313" s="67">
        <f>IFERROR(IF(($AV313)&gt;0,($AY313)/($AV313),""),"")</f>
        <v/>
      </c>
      <c r="BF313" s="67">
        <f>IFERROR(IF(($AW313)&gt;0,($AZ313)/($AW313),""),"")</f>
        <v/>
      </c>
      <c r="BG313" s="67">
        <f>IFERROR(IF(($AX313)&gt;0,($BA313)/($AX313),""),"")</f>
        <v/>
      </c>
      <c r="BH313" s="57">
        <f>SUMIFS(tblFleet[Calendar_h],tblFleet[Date],$A313,tblFleet[Equipment_Class],"Haul Truck")</f>
        <v/>
      </c>
      <c r="BI313" s="57">
        <f>IF($B313=$B312,$BI312,0)+$BH313</f>
        <v/>
      </c>
      <c r="BJ313" s="57">
        <f>$BJ312+$BH313</f>
        <v/>
      </c>
      <c r="BK313" s="57">
        <f>SUMIFS(tblFleet[Available_h],tblFleet[Date],$A313,tblFleet[Equipment_Class],"Haul Truck")</f>
        <v/>
      </c>
      <c r="BL313" s="57">
        <f>IF($B313=$B312,$BL312,0)+$BK313</f>
        <v/>
      </c>
      <c r="BM313" s="57">
        <f>$BM312+$BK313</f>
        <v/>
      </c>
      <c r="BN313" s="57">
        <f>SUMIFS(tblFleet[Operating_h],tblFleet[Date],$A313,tblFleet[Equipment_Class],"Haul Truck")</f>
        <v/>
      </c>
      <c r="BO313" s="57">
        <f>IF($B313=$B312,$BO312,0)+$BN313</f>
        <v/>
      </c>
      <c r="BP313" s="57">
        <f>$BP312+$BN313</f>
        <v/>
      </c>
      <c r="BQ313" s="67">
        <f>IFERROR(IF(($BH313)&gt;0,($BK313)/($BH313),""),"")</f>
        <v/>
      </c>
      <c r="BR313" s="67">
        <f>IFERROR(IF(($BI313)&gt;0,($BL313)/($BI313),""),"")</f>
        <v/>
      </c>
      <c r="BS313" s="67">
        <f>IFERROR(IF(($BJ313)&gt;0,($BM313)/($BJ313),""),"")</f>
        <v/>
      </c>
      <c r="BT313" s="67">
        <f>IFERROR(IF(($BK313)&gt;0,($BN313)/($BK313),""),"")</f>
        <v/>
      </c>
      <c r="BU313" s="67">
        <f>IFERROR(IF(($BL313)&gt;0,($BO313)/($BL313),""),"")</f>
        <v/>
      </c>
      <c r="BV313" s="67">
        <f>IFERROR(IF(($BM313)&gt;0,($BP313)/($BM313),""),"")</f>
        <v/>
      </c>
      <c r="BW313" s="55">
        <f>SUMIFS(tblPlant[Crushed_t],tblPlant[Date],$A313)</f>
        <v/>
      </c>
      <c r="BX313" s="55">
        <f>IF($B313=$B312,$BX312,0)+$BW313</f>
        <v/>
      </c>
      <c r="BY313" s="55">
        <f>$BY312+$BW313</f>
        <v/>
      </c>
      <c r="BZ313" s="55">
        <f>SUMIFS(tblPlant[Milled_t],tblPlant[Date],$A313)</f>
        <v/>
      </c>
      <c r="CA313" s="55">
        <f>IF($B313=$B312,$CA312,0)+$BZ313</f>
        <v/>
      </c>
      <c r="CB313" s="55">
        <f>$CB312+$BZ313</f>
        <v/>
      </c>
      <c r="CC313" s="55">
        <f>SUMIFS(tblPlant[Feed_oz],tblPlant[Date],$A313)</f>
        <v/>
      </c>
      <c r="CD313" s="55">
        <f>IF($B313=$B312,$CD312,0)+$CC313</f>
        <v/>
      </c>
      <c r="CE313" s="55">
        <f>$CE312+$CC313</f>
        <v/>
      </c>
      <c r="CF313" s="55">
        <f>SUMIFS(tblPlant[Tails_oz],tblPlant[Date],$A313)</f>
        <v/>
      </c>
      <c r="CG313" s="55">
        <f>IF($B313=$B312,$CG312,0)+$CF313</f>
        <v/>
      </c>
      <c r="CH313" s="55">
        <f>$CH312+$CF313</f>
        <v/>
      </c>
      <c r="CI313" s="55">
        <f>SUMIFS(tblPlant[Recovered_oz],tblPlant[Date],$A313)</f>
        <v/>
      </c>
      <c r="CJ313" s="55">
        <f>IF($B313=$B312,$CJ312,0)+$CI313</f>
        <v/>
      </c>
      <c r="CK313" s="55">
        <f>$CK312+$CI313</f>
        <v/>
      </c>
      <c r="CL313" s="56">
        <f>IFERROR(IF(($BZ313)&gt;0,($CC313*cfg_TroyOz)/($BZ313),""),"")</f>
        <v/>
      </c>
      <c r="CM313" s="56">
        <f>IFERROR(IF(($CA313)&gt;0,($CD313*cfg_TroyOz)/($CA313),""),"")</f>
        <v/>
      </c>
      <c r="CN313" s="56">
        <f>IFERROR(IF(($CB313)&gt;0,($CE313*cfg_TroyOz)/($CB313),""),"")</f>
        <v/>
      </c>
      <c r="CO313" s="56">
        <f>IFERROR(IF(($BZ313)&gt;0,($CF313*cfg_TroyOz)/($BZ313),""),"")</f>
        <v/>
      </c>
      <c r="CP313" s="56">
        <f>IFERROR(IF(($CA313)&gt;0,($CG313*cfg_TroyOz)/($CA313),""),"")</f>
        <v/>
      </c>
      <c r="CQ313" s="56">
        <f>IFERROR(IF(($CB313)&gt;0,($CH313*cfg_TroyOz)/($CB313),""),"")</f>
        <v/>
      </c>
      <c r="CR313" s="67">
        <f>IFERROR(IF(($CC313)&gt;0,($CI313)/($CC313),""),"")</f>
        <v/>
      </c>
      <c r="CS313" s="67">
        <f>IFERROR(IF(($CD313)&gt;0,($CJ313)/($CD313),""),"")</f>
        <v/>
      </c>
      <c r="CT313" s="67">
        <f>IFERROR(IF(($CE313)&gt;0,($CK313)/($CE313),""),"")</f>
        <v/>
      </c>
      <c r="CU313" s="55">
        <f>SUMIFS(tblPlant[Gravity_Gold_oz],tblPlant[Date],$A313)</f>
        <v/>
      </c>
      <c r="CV313" s="55">
        <f>IF($B313=$B312,$CV312,0)+$CU313</f>
        <v/>
      </c>
      <c r="CW313" s="55">
        <f>$CW312+$CU313</f>
        <v/>
      </c>
      <c r="CX313" s="55">
        <f>SUMIFS(tblPlant[Gold_Poured_oz],tblPlant[Date],$A313)</f>
        <v/>
      </c>
      <c r="CY313" s="55">
        <f>IF($B313=$B312,$CY312,0)+$CX313</f>
        <v/>
      </c>
      <c r="CZ313" s="55">
        <f>$CZ312+$CX313</f>
        <v/>
      </c>
      <c r="DA313" s="57">
        <f>SUMIFS(tblPlant[Mill_Run_h],tblPlant[Date],$A313)</f>
        <v/>
      </c>
      <c r="DB313" s="57">
        <f>IF($B313=$B312,$DB312,0)+$DA313</f>
        <v/>
      </c>
      <c r="DC313" s="57">
        <f>$DC312+$DA313</f>
        <v/>
      </c>
      <c r="DD313" s="57">
        <f>SUMIFS(tblPlant[Mill_Planned_Maint_h],tblPlant[Date],$A313)</f>
        <v/>
      </c>
      <c r="DE313" s="57">
        <f>IF($B313=$B312,$DE312,0)+$DD313</f>
        <v/>
      </c>
      <c r="DF313" s="57">
        <f>$DF312+$DD313</f>
        <v/>
      </c>
      <c r="DG313" s="57">
        <f>SUMIFS(tblPlant[Mill_Unplanned_Down_h],tblPlant[Date],$A313)</f>
        <v/>
      </c>
      <c r="DH313" s="57">
        <f>IF($B313=$B312,$DH312,0)+$DG313</f>
        <v/>
      </c>
      <c r="DI313" s="57">
        <f>$DI312+$DG313</f>
        <v/>
      </c>
      <c r="DJ313" s="57">
        <f>COUNTIFS(tblPlant[Date],$A313,tblPlant[Mill_Run_h],"&lt;&gt;")*24</f>
        <v/>
      </c>
      <c r="DK313" s="57">
        <f>IF($B313=$B312,$DK312,0)+$DJ313</f>
        <v/>
      </c>
      <c r="DL313" s="57">
        <f>$DL312+$DJ313</f>
        <v/>
      </c>
      <c r="DM313" s="57">
        <f>SUMIFS(tblPlant[Crusher_Run_h],tblPlant[Date],$A313)</f>
        <v/>
      </c>
      <c r="DN313" s="57">
        <f>IF($B313=$B312,$DN312,0)+$DM313</f>
        <v/>
      </c>
      <c r="DO313" s="57">
        <f>$DO312+$DM313</f>
        <v/>
      </c>
      <c r="DP313" s="55">
        <f>IFERROR(IF(($DA313)&gt;0,($BZ313)/($DA313),""),"")</f>
        <v/>
      </c>
      <c r="DQ313" s="55">
        <f>IFERROR(IF(($DB313)&gt;0,($CA313)/($DB313),""),"")</f>
        <v/>
      </c>
      <c r="DR313" s="55">
        <f>IFERROR(IF(($DC313)&gt;0,($CB313)/($DC313),""),"")</f>
        <v/>
      </c>
      <c r="DS313" s="67">
        <f>IFERROR(IF(($DJ313)&gt;0,($DJ313-$DD313-$DG313)/($DJ313),""),"")</f>
        <v/>
      </c>
      <c r="DT313" s="67">
        <f>IFERROR(IF(($DK313)&gt;0,($DK313-$DE313-$DH313)/($DK313),""),"")</f>
        <v/>
      </c>
      <c r="DU313" s="67">
        <f>IFERROR(IF(($DL313)&gt;0,($DL313-$DF313-$DI313)/($DL313),""),"")</f>
        <v/>
      </c>
      <c r="DV313" s="67">
        <f>IFERROR(IF(($DJ313-$DD313-$DG313)&gt;0,($DA313)/($DJ313-$DD313-$DG313),""),"")</f>
        <v/>
      </c>
      <c r="DW313" s="67">
        <f>IFERROR(IF(($DK313-$DE313-$DH313)&gt;0,($DB313)/($DK313-$DE313-$DH313),""),"")</f>
        <v/>
      </c>
      <c r="DX313" s="67">
        <f>IFERROR(IF(($DL313-$DF313-$DI313)&gt;0,($DC313)/($DL313-$DF313-$DI313),""),"")</f>
        <v/>
      </c>
      <c r="DY313" s="55">
        <f>SUMIFS(tblPlant[Cyanide_kg],tblPlant[Date],$A313)</f>
        <v/>
      </c>
      <c r="DZ313" s="55">
        <f>IF($B313=$B312,$DZ312,0)+$DY313</f>
        <v/>
      </c>
      <c r="EA313" s="55">
        <f>$EA312+$DY313</f>
        <v/>
      </c>
      <c r="EB313" s="55">
        <f>SUMIFS(tblPlant[Lime_kg],tblPlant[Date],$A313)</f>
        <v/>
      </c>
      <c r="EC313" s="55">
        <f>IF($B313=$B312,$EC312,0)+$EB313</f>
        <v/>
      </c>
      <c r="ED313" s="55">
        <f>$ED312+$EB313</f>
        <v/>
      </c>
      <c r="EE313" s="55">
        <f>SUMIFS(tblPlant[Grinding_Media_kg],tblPlant[Date],$A313)</f>
        <v/>
      </c>
      <c r="EF313" s="55">
        <f>IF($B313=$B312,$EF312,0)+$EE313</f>
        <v/>
      </c>
      <c r="EG313" s="55">
        <f>$EG312+$EE313</f>
        <v/>
      </c>
      <c r="EH313" s="55">
        <f>SUMIFS(tblPlant[Power_kWh],tblPlant[Date],$A313)</f>
        <v/>
      </c>
      <c r="EI313" s="55">
        <f>IF($B313=$B312,$EI312,0)+$EH313</f>
        <v/>
      </c>
      <c r="EJ313" s="55">
        <f>$EJ312+$EH313</f>
        <v/>
      </c>
      <c r="EK313" s="55">
        <f>SUMIFS(tblPlant[Raw_Water_m3],tblPlant[Date],$A313)</f>
        <v/>
      </c>
      <c r="EL313" s="55">
        <f>IF($B313=$B312,$EL312,0)+$EK313</f>
        <v/>
      </c>
      <c r="EM313" s="55">
        <f>$EM312+$EK313</f>
        <v/>
      </c>
      <c r="EN313" s="56">
        <f>IFERROR(IF(($BZ313)&gt;0,($DY313)/($BZ313),""),"")</f>
        <v/>
      </c>
      <c r="EO313" s="56">
        <f>IFERROR(IF(($CA313)&gt;0,($DZ313)/($CA313),""),"")</f>
        <v/>
      </c>
      <c r="EP313" s="56">
        <f>IFERROR(IF(($CB313)&gt;0,($EA313)/($CB313),""),"")</f>
        <v/>
      </c>
      <c r="EQ313" s="56">
        <f>IFERROR(IF(($BZ313)&gt;0,($EB313)/($BZ313),""),"")</f>
        <v/>
      </c>
      <c r="ER313" s="56">
        <f>IFERROR(IF(($CA313)&gt;0,($EC313)/($CA313),""),"")</f>
        <v/>
      </c>
      <c r="ES313" s="56">
        <f>IFERROR(IF(($CB313)&gt;0,($ED313)/($CB313),""),"")</f>
        <v/>
      </c>
      <c r="ET313" s="56">
        <f>IFERROR(IF(($BZ313)&gt;0,($EE313)/($BZ313),""),"")</f>
        <v/>
      </c>
      <c r="EU313" s="56">
        <f>IFERROR(IF(($CA313)&gt;0,($EF313)/($CA313),""),"")</f>
        <v/>
      </c>
      <c r="EV313" s="56">
        <f>IFERROR(IF(($CB313)&gt;0,($EG313)/($CB313),""),"")</f>
        <v/>
      </c>
      <c r="EW313" s="76">
        <f>IFERROR(IF(($BZ313)&gt;0,($EH313)/($BZ313),""),"")</f>
        <v/>
      </c>
      <c r="EX313" s="76">
        <f>IFERROR(IF(($CA313)&gt;0,($EI313)/($CA313),""),"")</f>
        <v/>
      </c>
      <c r="EY313" s="76">
        <f>IFERROR(IF(($CB313)&gt;0,($EJ313)/($CB313),""),"")</f>
        <v/>
      </c>
      <c r="EZ313" s="56">
        <f>IFERROR(IF(($BZ313)&gt;0,($EK313)/($BZ313),""),"")</f>
        <v/>
      </c>
      <c r="FA313" s="56">
        <f>IFERROR(IF(($CA313)&gt;0,($EL313)/($CA313),""),"")</f>
        <v/>
      </c>
      <c r="FB313" s="56">
        <f>IFERROR(IF(($CB313)&gt;0,($EM313)/($CB313),""),"")</f>
        <v/>
      </c>
      <c r="FC313" s="55">
        <f>IF(SUMIFS(tblPlant[GIC_oz],tblPlant[Date],$A313)&gt;0,SUMIFS(tblPlant[GIC_oz],tblPlant[Date],$A313),"")</f>
        <v/>
      </c>
      <c r="FD313" s="55">
        <f>SUMIFS(tblGold[Gold_oz],tblGold[Date],$A313,tblGold[Type],"Shipment")</f>
        <v/>
      </c>
      <c r="FE313" s="55">
        <f>IF($B313=$B312,$FE312,0)+$FD313</f>
        <v/>
      </c>
      <c r="FF313" s="55">
        <f>$FF312+$FD313</f>
        <v/>
      </c>
      <c r="FG313" s="55">
        <f>SUMIFS(tblGold[Gold_oz],tblGold[Date],$A313,tblGold[Type],"Sale")</f>
        <v/>
      </c>
      <c r="FH313" s="55">
        <f>IF($B313=$B312,$FH312,0)+$FG313</f>
        <v/>
      </c>
      <c r="FI313" s="55">
        <f>$FI312+$FG313</f>
        <v/>
      </c>
      <c r="FJ313" s="55">
        <f>SUMIFS(tblGold[Dore_kg],tblGold[Date],$A313,tblGold[Type],"Shipment")</f>
        <v/>
      </c>
      <c r="FK313" s="55">
        <f>IF($B313=$B312,$FK312,0)+$FJ313</f>
        <v/>
      </c>
      <c r="FL313" s="55">
        <f>$FL312+$FJ313</f>
        <v/>
      </c>
      <c r="FM313" s="57">
        <f>SUMIFS(tblSafety[Hours_Total],tblSafety[Date],$A313)</f>
        <v/>
      </c>
      <c r="FN313" s="57">
        <f>IF($B313=$B312,$FN312,0)+$FM313</f>
        <v/>
      </c>
      <c r="FO313" s="57">
        <f>$FO312+$FM313</f>
        <v/>
      </c>
      <c r="FP313" s="62">
        <f>SUMIFS(tblSafety[Fatality],tblSafety[Date],$A313)</f>
        <v/>
      </c>
      <c r="FQ313" s="62">
        <f>IF($B313=$B312,$FQ312,0)+$FP313</f>
        <v/>
      </c>
      <c r="FR313" s="62">
        <f>$FR312+$FP313</f>
        <v/>
      </c>
      <c r="FS313" s="62">
        <f>SUMIFS(tblSafety[LTI],tblSafety[Date],$A313)</f>
        <v/>
      </c>
      <c r="FT313" s="62">
        <f>IF($B313=$B312,$FT312,0)+$FS313</f>
        <v/>
      </c>
      <c r="FU313" s="62">
        <f>$FU312+$FS313</f>
        <v/>
      </c>
      <c r="FV313" s="62">
        <f>SUMIFS(tblSafety[RWI],tblSafety[Date],$A313)</f>
        <v/>
      </c>
      <c r="FW313" s="62">
        <f>IF($B313=$B312,$FW312,0)+$FV313</f>
        <v/>
      </c>
      <c r="FX313" s="62">
        <f>$FX312+$FV313</f>
        <v/>
      </c>
      <c r="FY313" s="62">
        <f>SUMIFS(tblSafety[MTI],tblSafety[Date],$A313)</f>
        <v/>
      </c>
      <c r="FZ313" s="62">
        <f>IF($B313=$B312,$FZ312,0)+$FY313</f>
        <v/>
      </c>
      <c r="GA313" s="62">
        <f>$GA312+$FY313</f>
        <v/>
      </c>
      <c r="GB313" s="62">
        <f>SUMIFS(tblSafety[FAI],tblSafety[Date],$A313)</f>
        <v/>
      </c>
      <c r="GC313" s="62">
        <f>IF($B313=$B312,$GC312,0)+$GB313</f>
        <v/>
      </c>
      <c r="GD313" s="62">
        <f>$GD312+$GB313</f>
        <v/>
      </c>
      <c r="GE313" s="62">
        <f>SUMIFS(tblSafety[Recordables],tblSafety[Date],$A313)</f>
        <v/>
      </c>
      <c r="GF313" s="62">
        <f>IF($B313=$B312,$GF312,0)+$GE313</f>
        <v/>
      </c>
      <c r="GG313" s="62">
        <f>$GG312+$GE313</f>
        <v/>
      </c>
      <c r="GH313" s="62">
        <f>SUMIFS(tblSafety[Near_Miss],tblSafety[Date],$A313)</f>
        <v/>
      </c>
      <c r="GI313" s="62">
        <f>IF($B313=$B312,$GI312,0)+$GH313</f>
        <v/>
      </c>
      <c r="GJ313" s="62">
        <f>$GJ312+$GH313</f>
        <v/>
      </c>
      <c r="GK313" s="62">
        <f>SUMIFS(tblSafety[Hazard_Reports],tblSafety[Date],$A313)</f>
        <v/>
      </c>
      <c r="GL313" s="62">
        <f>IF($B313=$B312,$GL312,0)+$GK313</f>
        <v/>
      </c>
      <c r="GM313" s="62">
        <f>$GM312+$GK313</f>
        <v/>
      </c>
      <c r="GN313" s="62">
        <f>SUMIFS(tblSafety[HPI],tblSafety[Date],$A313)</f>
        <v/>
      </c>
      <c r="GO313" s="62">
        <f>IF($B313=$B312,$GO312,0)+$GN313</f>
        <v/>
      </c>
      <c r="GP313" s="62">
        <f>$GP312+$GN313</f>
        <v/>
      </c>
      <c r="GQ313" s="62">
        <f>SUMIFS(tblSafety[Env_Incidents],tblSafety[Date],$A313)</f>
        <v/>
      </c>
      <c r="GR313" s="62">
        <f>IF($B313=$B312,$GR312,0)+$GQ313</f>
        <v/>
      </c>
      <c r="GS313" s="62">
        <f>$GS312+$GQ313</f>
        <v/>
      </c>
      <c r="GT313" s="62">
        <f>SUMIFS(tblSafety[Community_Incidents],tblSafety[Date],$A313)</f>
        <v/>
      </c>
      <c r="GU313" s="62">
        <f>IF($B313=$B312,$GU312,0)+$GT313</f>
        <v/>
      </c>
      <c r="GV313" s="62">
        <f>$GV312+$GT313</f>
        <v/>
      </c>
      <c r="GW313" s="62">
        <f>SUMIFS(tblSafety[Vehicle_Incidents],tblSafety[Date],$A313)</f>
        <v/>
      </c>
      <c r="GX313" s="62">
        <f>IF($B313=$B312,$GX312,0)+$GW313</f>
        <v/>
      </c>
      <c r="GY313" s="62">
        <f>$GY312+$GW313</f>
        <v/>
      </c>
      <c r="GZ313" s="62">
        <f>SUMIFS(tblSafety[Toolbox_Talks],tblSafety[Date],$A313)</f>
        <v/>
      </c>
      <c r="HA313" s="62">
        <f>IF($B313=$B312,$HA312,0)+$GZ313</f>
        <v/>
      </c>
      <c r="HB313" s="62">
        <f>$HB312+$GZ313</f>
        <v/>
      </c>
      <c r="HC313" s="62">
        <f>SUMIFS(tblSafety[Inspections],tblSafety[Date],$A313)</f>
        <v/>
      </c>
      <c r="HD313" s="62">
        <f>IF($B313=$B312,$HD312,0)+$HC313</f>
        <v/>
      </c>
      <c r="HE313" s="62">
        <f>$HE312+$HC313</f>
        <v/>
      </c>
      <c r="HF313" s="56">
        <f>IFERROR((SUMIFS(tblSafety[Recordables],tblSafety[Date],"&gt;="&amp;EDATE($E313,-12),tblSafety[Date],"&lt;="&amp;$A313)+SUMIFS(tblSafetyHistory[Recordables],tblSafetyHistory[Month],"&gt;="&amp;EDATE($E313,-12),tblSafetyHistory[Month],"&lt;"&amp;cfg_YearStart))/(SUMIFS(tblSafety[Hours_Total],tblSafety[Date],"&gt;="&amp;EDATE($E313,-12),tblSafety[Date],"&lt;="&amp;$A313)+SUMIFS(tblSafetyHistory[Hours_Total],tblSafetyHistory[Month],"&gt;="&amp;EDATE($E313,-12),tblSafetyHistory[Month],"&lt;"&amp;cfg_YearStart))*1000000,"")</f>
        <v/>
      </c>
      <c r="HG313" s="56">
        <f>IFERROR((SUMIFS(tblSafety[LTI],tblSafety[Date],"&gt;="&amp;EDATE($E313,-12),tblSafety[Date],"&lt;="&amp;$A313)+SUMIFS(tblSafetyHistory[LTI],tblSafetyHistory[Month],"&gt;="&amp;EDATE($E313,-12),tblSafetyHistory[Month],"&lt;"&amp;cfg_YearStart))/(SUMIFS(tblSafety[Hours_Total],tblSafety[Date],"&gt;="&amp;EDATE($E313,-12),tblSafety[Date],"&lt;="&amp;$A313)+SUMIFS(tblSafetyHistory[Hours_Total],tblSafetyHistory[Month],"&gt;="&amp;EDATE($E313,-12),tblSafetyHistory[Month],"&lt;"&amp;cfg_YearStart))*1000000,"")</f>
        <v/>
      </c>
      <c r="HH313" s="62">
        <f>IF(MAX(N(cfg_PriorLTIDate),_xlfn.MAXIFS(tblSafety[Date],tblSafety[LTI],"&gt;0",tblSafety[Date],"&lt;="&amp;$A313))=0,"",$A313-MAX(N(cfg_PriorLTIDate),_xlfn.MAXIFS(tblSafety[Date],tblSafety[LTI],"&gt;0",tblSafety[Date],"&lt;="&amp;$A313)))</f>
        <v/>
      </c>
      <c r="HI313" s="55">
        <f>SUMIFS(tblBudget[Ore_Mined_t],tblBudget[Month],$E313)</f>
        <v/>
      </c>
      <c r="HJ313" s="55">
        <f>$HI313*$C313/$D313</f>
        <v/>
      </c>
      <c r="HK313" s="55">
        <f>SUMIFS(tblBudget[Ore_Mined_t],tblBudget[Month],"&lt;"&amp;$E313)+$HJ313</f>
        <v/>
      </c>
      <c r="HL313" s="55">
        <f>SUMIFS(tblBudget[Ore_oz],tblBudget[Month],$E313)</f>
        <v/>
      </c>
      <c r="HM313" s="55">
        <f>$HL313*$C313/$D313</f>
        <v/>
      </c>
      <c r="HN313" s="55">
        <f>SUMIFS(tblBudget[Ore_oz],tblBudget[Month],"&lt;"&amp;$E313)+$HM313</f>
        <v/>
      </c>
      <c r="HO313" s="56">
        <f>IFERROR(IF(($HI313)&gt;0,($HL313*cfg_TroyOz)/($HI313),""),"")</f>
        <v/>
      </c>
      <c r="HP313" s="56">
        <f>IFERROR(IF(($HJ313)&gt;0,($HM313*cfg_TroyOz)/($HJ313),""),"")</f>
        <v/>
      </c>
      <c r="HQ313" s="56">
        <f>IFERROR(IF(($HK313)&gt;0,($HN313*cfg_TroyOz)/($HK313),""),"")</f>
        <v/>
      </c>
      <c r="HR313" s="55">
        <f>SUMIFS(tblBudget[Waste_t],tblBudget[Month],$E313)</f>
        <v/>
      </c>
      <c r="HS313" s="55">
        <f>$HR313*$C313/$D313</f>
        <v/>
      </c>
      <c r="HT313" s="55">
        <f>SUMIFS(tblBudget[Waste_t],tblBudget[Month],"&lt;"&amp;$E313)+$HS313</f>
        <v/>
      </c>
      <c r="HU313" s="55">
        <f>SUMIFS(tblBudget[TMM_t],tblBudget[Month],$E313)</f>
        <v/>
      </c>
      <c r="HV313" s="55">
        <f>$HU313*$C313/$D313</f>
        <v/>
      </c>
      <c r="HW313" s="55">
        <f>SUMIFS(tblBudget[TMM_t],tblBudget[Month],"&lt;"&amp;$E313)+$HV313</f>
        <v/>
      </c>
      <c r="HX313" s="56">
        <f>IFERROR(IF(($HI313)&gt;0,($HR313)/($HI313),""),"")</f>
        <v/>
      </c>
      <c r="HY313" s="56">
        <f>IFERROR(IF(($HJ313)&gt;0,($HS313)/($HJ313),""),"")</f>
        <v/>
      </c>
      <c r="HZ313" s="56">
        <f>IFERROR(IF(($HK313)&gt;0,($HT313)/($HK313),""),"")</f>
        <v/>
      </c>
      <c r="IA313" s="55">
        <f>SUMIFS(tblBudget[Drill_m],tblBudget[Month],$E313)</f>
        <v/>
      </c>
      <c r="IB313" s="55">
        <f>$IA313*$C313/$D313</f>
        <v/>
      </c>
      <c r="IC313" s="55">
        <f>SUMIFS(tblBudget[Drill_m],tblBudget[Month],"&lt;"&amp;$E313)+$IB313</f>
        <v/>
      </c>
      <c r="ID313" s="55">
        <f>SUMIFS(tblBudget[Diesel_L],tblBudget[Month],$E313)</f>
        <v/>
      </c>
      <c r="IE313" s="55">
        <f>$ID313*$C313/$D313</f>
        <v/>
      </c>
      <c r="IF313" s="55">
        <f>SUMIFS(tblBudget[Diesel_L],tblBudget[Month],"&lt;"&amp;$E313)+$IE313</f>
        <v/>
      </c>
      <c r="IG313" s="55">
        <f>SUMIFS(tblBudget[Milled_t],tblBudget[Month],$E313)</f>
        <v/>
      </c>
      <c r="IH313" s="55">
        <f>$IG313*$C313/$D313</f>
        <v/>
      </c>
      <c r="II313" s="55">
        <f>SUMIFS(tblBudget[Milled_t],tblBudget[Month],"&lt;"&amp;$E313)+$IH313</f>
        <v/>
      </c>
      <c r="IJ313" s="55">
        <f>SUMIFS(tblBudget[Feed_oz],tblBudget[Month],$E313)</f>
        <v/>
      </c>
      <c r="IK313" s="55">
        <f>$IJ313*$C313/$D313</f>
        <v/>
      </c>
      <c r="IL313" s="55">
        <f>SUMIFS(tblBudget[Feed_oz],tblBudget[Month],"&lt;"&amp;$E313)+$IK313</f>
        <v/>
      </c>
      <c r="IM313" s="55">
        <f>SUMIFS(tblBudget[Recovered_oz],tblBudget[Month],$E313)</f>
        <v/>
      </c>
      <c r="IN313" s="55">
        <f>$IM313*$C313/$D313</f>
        <v/>
      </c>
      <c r="IO313" s="55">
        <f>SUMIFS(tblBudget[Recovered_oz],tblBudget[Month],"&lt;"&amp;$E313)+$IN313</f>
        <v/>
      </c>
      <c r="IP313" s="56">
        <f>IFERROR(IF(($IG313)&gt;0,($IJ313*cfg_TroyOz)/($IG313),""),"")</f>
        <v/>
      </c>
      <c r="IQ313" s="56">
        <f>IFERROR(IF(($IH313)&gt;0,($IK313*cfg_TroyOz)/($IH313),""),"")</f>
        <v/>
      </c>
      <c r="IR313" s="56">
        <f>IFERROR(IF(($II313)&gt;0,($IL313*cfg_TroyOz)/($II313),""),"")</f>
        <v/>
      </c>
      <c r="IS313" s="67">
        <f>IFERROR(IF(($IJ313)&gt;0,($IM313)/($IJ313),""),"")</f>
        <v/>
      </c>
      <c r="IT313" s="67">
        <f>IFERROR(IF(($IK313)&gt;0,($IN313)/($IK313),""),"")</f>
        <v/>
      </c>
      <c r="IU313" s="67">
        <f>IFERROR(IF(($IL313)&gt;0,($IO313)/($IL313),""),"")</f>
        <v/>
      </c>
      <c r="IV313" s="55">
        <f>SUMIFS(tblBudget[Gold_Poured_oz],tblBudget[Month],$E313)</f>
        <v/>
      </c>
      <c r="IW313" s="55">
        <f>$IV313*$C313/$D313</f>
        <v/>
      </c>
      <c r="IX313" s="55">
        <f>SUMIFS(tblBudget[Gold_Poured_oz],tblBudget[Month],"&lt;"&amp;$E313)+$IW313</f>
        <v/>
      </c>
      <c r="IY313" s="57">
        <f>SUMIFS(tblBudget[Hours_Worked],tblBudget[Month],$E313)</f>
        <v/>
      </c>
      <c r="IZ313" s="57">
        <f>$IY313*$C313/$D313</f>
        <v/>
      </c>
      <c r="JA313" s="57">
        <f>SUMIFS(tblBudget[Hours_Worked],tblBudget[Month],"&lt;"&amp;$E313)+$IZ313</f>
        <v/>
      </c>
    </row>
    <row r="314">
      <c r="A314" s="54" t="n">
        <v>46335</v>
      </c>
      <c r="B314">
        <f>MONTH($A314)</f>
        <v/>
      </c>
      <c r="C314">
        <f>DAY($A314)</f>
        <v/>
      </c>
      <c r="D314">
        <f>DAY(EOMONTH($A314,0))</f>
        <v/>
      </c>
      <c r="E314" s="54">
        <f>DATE(YEAR($A314),MONTH($A314),1)</f>
        <v/>
      </c>
      <c r="F314" s="55">
        <f>SUMIFS(tblMovement[Tonnes_t],tblMovement[Date],$A314,tblMovement[Is_Ore],1,tblMovement[Source_Type],"Pit")</f>
        <v/>
      </c>
      <c r="G314" s="55">
        <f>IF($B314=$B313,$G313,0)+$F314</f>
        <v/>
      </c>
      <c r="H314" s="55">
        <f>$H313+$F314</f>
        <v/>
      </c>
      <c r="I314" s="55">
        <f>SUMIFS(tblMovement[Ore_oz],tblMovement[Date],$A314,tblMovement[Source_Type],"Pit")</f>
        <v/>
      </c>
      <c r="J314" s="55">
        <f>IF($B314=$B313,$J313,0)+$I314</f>
        <v/>
      </c>
      <c r="K314" s="55">
        <f>$K313+$I314</f>
        <v/>
      </c>
      <c r="L314" s="56">
        <f>IFERROR(IF(($F314)&gt;0,($I314*cfg_TroyOz)/($F314),""),"")</f>
        <v/>
      </c>
      <c r="M314" s="56">
        <f>IFERROR(IF(($G314)&gt;0,($J314*cfg_TroyOz)/($G314),""),"")</f>
        <v/>
      </c>
      <c r="N314" s="56">
        <f>IFERROR(IF(($H314)&gt;0,($K314*cfg_TroyOz)/($H314),""),"")</f>
        <v/>
      </c>
      <c r="O314" s="55">
        <f>SUMIFS(tblMovement[Tonnes_t],tblMovement[Date],$A314,tblMovement[Is_Ore],0,tblMovement[Source_Type],"Pit")</f>
        <v/>
      </c>
      <c r="P314" s="55">
        <f>IF($B314=$B313,$P313,0)+$O314</f>
        <v/>
      </c>
      <c r="Q314" s="55">
        <f>$Q313+$O314</f>
        <v/>
      </c>
      <c r="R314" s="55">
        <f>$F314+$O314</f>
        <v/>
      </c>
      <c r="S314" s="55">
        <f>IF($B314=$B313,$S313,0)+$R314</f>
        <v/>
      </c>
      <c r="T314" s="55">
        <f>$T313+$R314</f>
        <v/>
      </c>
      <c r="U314" s="56">
        <f>IFERROR(IF(($F314)&gt;0,($O314)/($F314),""),"")</f>
        <v/>
      </c>
      <c r="V314" s="56">
        <f>IFERROR(IF(($G314)&gt;0,($P314)/($G314),""),"")</f>
        <v/>
      </c>
      <c r="W314" s="56">
        <f>IFERROR(IF(($H314)&gt;0,($Q314)/($H314),""),"")</f>
        <v/>
      </c>
      <c r="X314" s="55">
        <f>SUMIFS(tblMovement[Tonnes_t],tblMovement[Date],$A314,tblMovement[Source_Type],"Stockpile")</f>
        <v/>
      </c>
      <c r="Y314" s="55">
        <f>IF($B314=$B313,$Y313,0)+$X314</f>
        <v/>
      </c>
      <c r="Z314" s="55">
        <f>$Z313+$X314</f>
        <v/>
      </c>
      <c r="AA314" s="55">
        <f>SUMIFS(tblMiningDaily[Drill_m],tblMiningDaily[Date],$A314)</f>
        <v/>
      </c>
      <c r="AB314" s="55">
        <f>IF($B314=$B313,$AB313,0)+$AA314</f>
        <v/>
      </c>
      <c r="AC314" s="55">
        <f>$AC313+$AA314</f>
        <v/>
      </c>
      <c r="AD314" s="55">
        <f>SUMIFS(tblMiningDaily[Blast_t],tblMiningDaily[Date],$A314)</f>
        <v/>
      </c>
      <c r="AE314" s="55">
        <f>IF($B314=$B313,$AE313,0)+$AD314</f>
        <v/>
      </c>
      <c r="AF314" s="55">
        <f>$AF313+$AD314</f>
        <v/>
      </c>
      <c r="AG314" s="55">
        <f>SUMIFS(tblMiningDaily[Explosives_kg],tblMiningDaily[Date],$A314)</f>
        <v/>
      </c>
      <c r="AH314" s="55">
        <f>IF($B314=$B313,$AH313,0)+$AG314</f>
        <v/>
      </c>
      <c r="AI314" s="55">
        <f>$AI313+$AG314</f>
        <v/>
      </c>
      <c r="AJ314" s="56">
        <f>IFERROR(IF(($AD314)&gt;0,($AG314)/($AD314),""),"")</f>
        <v/>
      </c>
      <c r="AK314" s="56">
        <f>IFERROR(IF(($AE314)&gt;0,($AH314)/($AE314),""),"")</f>
        <v/>
      </c>
      <c r="AL314" s="56">
        <f>IFERROR(IF(($AF314)&gt;0,($AI314)/($AF314),""),"")</f>
        <v/>
      </c>
      <c r="AM314" s="55">
        <f>SUMIFS(tblMiningDaily[Diesel_L],tblMiningDaily[Date],$A314)</f>
        <v/>
      </c>
      <c r="AN314" s="55">
        <f>IF($B314=$B313,$AN313,0)+$AM314</f>
        <v/>
      </c>
      <c r="AO314" s="55">
        <f>$AO313+$AM314</f>
        <v/>
      </c>
      <c r="AP314" s="55">
        <f>SUMIFS(tblMiningDaily[Dewatering_m3],tblMiningDaily[Date],$A314)</f>
        <v/>
      </c>
      <c r="AQ314" s="55">
        <f>IF($B314=$B313,$AQ313,0)+$AP314</f>
        <v/>
      </c>
      <c r="AR314" s="55">
        <f>$AR313+$AP314</f>
        <v/>
      </c>
      <c r="AS314" s="57">
        <f>SUMIFS(tblFleet[Calendar_h],tblFleet[Date],$A314,tblFleet[Equipment_Class],"Excavator")</f>
        <v/>
      </c>
      <c r="AT314" s="57">
        <f>IF($B314=$B313,$AT313,0)+$AS314</f>
        <v/>
      </c>
      <c r="AU314" s="57">
        <f>$AU313+$AS314</f>
        <v/>
      </c>
      <c r="AV314" s="57">
        <f>SUMIFS(tblFleet[Available_h],tblFleet[Date],$A314,tblFleet[Equipment_Class],"Excavator")</f>
        <v/>
      </c>
      <c r="AW314" s="57">
        <f>IF($B314=$B313,$AW313,0)+$AV314</f>
        <v/>
      </c>
      <c r="AX314" s="57">
        <f>$AX313+$AV314</f>
        <v/>
      </c>
      <c r="AY314" s="57">
        <f>SUMIFS(tblFleet[Operating_h],tblFleet[Date],$A314,tblFleet[Equipment_Class],"Excavator")</f>
        <v/>
      </c>
      <c r="AZ314" s="57">
        <f>IF($B314=$B313,$AZ313,0)+$AY314</f>
        <v/>
      </c>
      <c r="BA314" s="57">
        <f>$BA313+$AY314</f>
        <v/>
      </c>
      <c r="BB314" s="67">
        <f>IFERROR(IF(($AS314)&gt;0,($AV314)/($AS314),""),"")</f>
        <v/>
      </c>
      <c r="BC314" s="67">
        <f>IFERROR(IF(($AT314)&gt;0,($AW314)/($AT314),""),"")</f>
        <v/>
      </c>
      <c r="BD314" s="67">
        <f>IFERROR(IF(($AU314)&gt;0,($AX314)/($AU314),""),"")</f>
        <v/>
      </c>
      <c r="BE314" s="67">
        <f>IFERROR(IF(($AV314)&gt;0,($AY314)/($AV314),""),"")</f>
        <v/>
      </c>
      <c r="BF314" s="67">
        <f>IFERROR(IF(($AW314)&gt;0,($AZ314)/($AW314),""),"")</f>
        <v/>
      </c>
      <c r="BG314" s="67">
        <f>IFERROR(IF(($AX314)&gt;0,($BA314)/($AX314),""),"")</f>
        <v/>
      </c>
      <c r="BH314" s="57">
        <f>SUMIFS(tblFleet[Calendar_h],tblFleet[Date],$A314,tblFleet[Equipment_Class],"Haul Truck")</f>
        <v/>
      </c>
      <c r="BI314" s="57">
        <f>IF($B314=$B313,$BI313,0)+$BH314</f>
        <v/>
      </c>
      <c r="BJ314" s="57">
        <f>$BJ313+$BH314</f>
        <v/>
      </c>
      <c r="BK314" s="57">
        <f>SUMIFS(tblFleet[Available_h],tblFleet[Date],$A314,tblFleet[Equipment_Class],"Haul Truck")</f>
        <v/>
      </c>
      <c r="BL314" s="57">
        <f>IF($B314=$B313,$BL313,0)+$BK314</f>
        <v/>
      </c>
      <c r="BM314" s="57">
        <f>$BM313+$BK314</f>
        <v/>
      </c>
      <c r="BN314" s="57">
        <f>SUMIFS(tblFleet[Operating_h],tblFleet[Date],$A314,tblFleet[Equipment_Class],"Haul Truck")</f>
        <v/>
      </c>
      <c r="BO314" s="57">
        <f>IF($B314=$B313,$BO313,0)+$BN314</f>
        <v/>
      </c>
      <c r="BP314" s="57">
        <f>$BP313+$BN314</f>
        <v/>
      </c>
      <c r="BQ314" s="67">
        <f>IFERROR(IF(($BH314)&gt;0,($BK314)/($BH314),""),"")</f>
        <v/>
      </c>
      <c r="BR314" s="67">
        <f>IFERROR(IF(($BI314)&gt;0,($BL314)/($BI314),""),"")</f>
        <v/>
      </c>
      <c r="BS314" s="67">
        <f>IFERROR(IF(($BJ314)&gt;0,($BM314)/($BJ314),""),"")</f>
        <v/>
      </c>
      <c r="BT314" s="67">
        <f>IFERROR(IF(($BK314)&gt;0,($BN314)/($BK314),""),"")</f>
        <v/>
      </c>
      <c r="BU314" s="67">
        <f>IFERROR(IF(($BL314)&gt;0,($BO314)/($BL314),""),"")</f>
        <v/>
      </c>
      <c r="BV314" s="67">
        <f>IFERROR(IF(($BM314)&gt;0,($BP314)/($BM314),""),"")</f>
        <v/>
      </c>
      <c r="BW314" s="55">
        <f>SUMIFS(tblPlant[Crushed_t],tblPlant[Date],$A314)</f>
        <v/>
      </c>
      <c r="BX314" s="55">
        <f>IF($B314=$B313,$BX313,0)+$BW314</f>
        <v/>
      </c>
      <c r="BY314" s="55">
        <f>$BY313+$BW314</f>
        <v/>
      </c>
      <c r="BZ314" s="55">
        <f>SUMIFS(tblPlant[Milled_t],tblPlant[Date],$A314)</f>
        <v/>
      </c>
      <c r="CA314" s="55">
        <f>IF($B314=$B313,$CA313,0)+$BZ314</f>
        <v/>
      </c>
      <c r="CB314" s="55">
        <f>$CB313+$BZ314</f>
        <v/>
      </c>
      <c r="CC314" s="55">
        <f>SUMIFS(tblPlant[Feed_oz],tblPlant[Date],$A314)</f>
        <v/>
      </c>
      <c r="CD314" s="55">
        <f>IF($B314=$B313,$CD313,0)+$CC314</f>
        <v/>
      </c>
      <c r="CE314" s="55">
        <f>$CE313+$CC314</f>
        <v/>
      </c>
      <c r="CF314" s="55">
        <f>SUMIFS(tblPlant[Tails_oz],tblPlant[Date],$A314)</f>
        <v/>
      </c>
      <c r="CG314" s="55">
        <f>IF($B314=$B313,$CG313,0)+$CF314</f>
        <v/>
      </c>
      <c r="CH314" s="55">
        <f>$CH313+$CF314</f>
        <v/>
      </c>
      <c r="CI314" s="55">
        <f>SUMIFS(tblPlant[Recovered_oz],tblPlant[Date],$A314)</f>
        <v/>
      </c>
      <c r="CJ314" s="55">
        <f>IF($B314=$B313,$CJ313,0)+$CI314</f>
        <v/>
      </c>
      <c r="CK314" s="55">
        <f>$CK313+$CI314</f>
        <v/>
      </c>
      <c r="CL314" s="56">
        <f>IFERROR(IF(($BZ314)&gt;0,($CC314*cfg_TroyOz)/($BZ314),""),"")</f>
        <v/>
      </c>
      <c r="CM314" s="56">
        <f>IFERROR(IF(($CA314)&gt;0,($CD314*cfg_TroyOz)/($CA314),""),"")</f>
        <v/>
      </c>
      <c r="CN314" s="56">
        <f>IFERROR(IF(($CB314)&gt;0,($CE314*cfg_TroyOz)/($CB314),""),"")</f>
        <v/>
      </c>
      <c r="CO314" s="56">
        <f>IFERROR(IF(($BZ314)&gt;0,($CF314*cfg_TroyOz)/($BZ314),""),"")</f>
        <v/>
      </c>
      <c r="CP314" s="56">
        <f>IFERROR(IF(($CA314)&gt;0,($CG314*cfg_TroyOz)/($CA314),""),"")</f>
        <v/>
      </c>
      <c r="CQ314" s="56">
        <f>IFERROR(IF(($CB314)&gt;0,($CH314*cfg_TroyOz)/($CB314),""),"")</f>
        <v/>
      </c>
      <c r="CR314" s="67">
        <f>IFERROR(IF(($CC314)&gt;0,($CI314)/($CC314),""),"")</f>
        <v/>
      </c>
      <c r="CS314" s="67">
        <f>IFERROR(IF(($CD314)&gt;0,($CJ314)/($CD314),""),"")</f>
        <v/>
      </c>
      <c r="CT314" s="67">
        <f>IFERROR(IF(($CE314)&gt;0,($CK314)/($CE314),""),"")</f>
        <v/>
      </c>
      <c r="CU314" s="55">
        <f>SUMIFS(tblPlant[Gravity_Gold_oz],tblPlant[Date],$A314)</f>
        <v/>
      </c>
      <c r="CV314" s="55">
        <f>IF($B314=$B313,$CV313,0)+$CU314</f>
        <v/>
      </c>
      <c r="CW314" s="55">
        <f>$CW313+$CU314</f>
        <v/>
      </c>
      <c r="CX314" s="55">
        <f>SUMIFS(tblPlant[Gold_Poured_oz],tblPlant[Date],$A314)</f>
        <v/>
      </c>
      <c r="CY314" s="55">
        <f>IF($B314=$B313,$CY313,0)+$CX314</f>
        <v/>
      </c>
      <c r="CZ314" s="55">
        <f>$CZ313+$CX314</f>
        <v/>
      </c>
      <c r="DA314" s="57">
        <f>SUMIFS(tblPlant[Mill_Run_h],tblPlant[Date],$A314)</f>
        <v/>
      </c>
      <c r="DB314" s="57">
        <f>IF($B314=$B313,$DB313,0)+$DA314</f>
        <v/>
      </c>
      <c r="DC314" s="57">
        <f>$DC313+$DA314</f>
        <v/>
      </c>
      <c r="DD314" s="57">
        <f>SUMIFS(tblPlant[Mill_Planned_Maint_h],tblPlant[Date],$A314)</f>
        <v/>
      </c>
      <c r="DE314" s="57">
        <f>IF($B314=$B313,$DE313,0)+$DD314</f>
        <v/>
      </c>
      <c r="DF314" s="57">
        <f>$DF313+$DD314</f>
        <v/>
      </c>
      <c r="DG314" s="57">
        <f>SUMIFS(tblPlant[Mill_Unplanned_Down_h],tblPlant[Date],$A314)</f>
        <v/>
      </c>
      <c r="DH314" s="57">
        <f>IF($B314=$B313,$DH313,0)+$DG314</f>
        <v/>
      </c>
      <c r="DI314" s="57">
        <f>$DI313+$DG314</f>
        <v/>
      </c>
      <c r="DJ314" s="57">
        <f>COUNTIFS(tblPlant[Date],$A314,tblPlant[Mill_Run_h],"&lt;&gt;")*24</f>
        <v/>
      </c>
      <c r="DK314" s="57">
        <f>IF($B314=$B313,$DK313,0)+$DJ314</f>
        <v/>
      </c>
      <c r="DL314" s="57">
        <f>$DL313+$DJ314</f>
        <v/>
      </c>
      <c r="DM314" s="57">
        <f>SUMIFS(tblPlant[Crusher_Run_h],tblPlant[Date],$A314)</f>
        <v/>
      </c>
      <c r="DN314" s="57">
        <f>IF($B314=$B313,$DN313,0)+$DM314</f>
        <v/>
      </c>
      <c r="DO314" s="57">
        <f>$DO313+$DM314</f>
        <v/>
      </c>
      <c r="DP314" s="55">
        <f>IFERROR(IF(($DA314)&gt;0,($BZ314)/($DA314),""),"")</f>
        <v/>
      </c>
      <c r="DQ314" s="55">
        <f>IFERROR(IF(($DB314)&gt;0,($CA314)/($DB314),""),"")</f>
        <v/>
      </c>
      <c r="DR314" s="55">
        <f>IFERROR(IF(($DC314)&gt;0,($CB314)/($DC314),""),"")</f>
        <v/>
      </c>
      <c r="DS314" s="67">
        <f>IFERROR(IF(($DJ314)&gt;0,($DJ314-$DD314-$DG314)/($DJ314),""),"")</f>
        <v/>
      </c>
      <c r="DT314" s="67">
        <f>IFERROR(IF(($DK314)&gt;0,($DK314-$DE314-$DH314)/($DK314),""),"")</f>
        <v/>
      </c>
      <c r="DU314" s="67">
        <f>IFERROR(IF(($DL314)&gt;0,($DL314-$DF314-$DI314)/($DL314),""),"")</f>
        <v/>
      </c>
      <c r="DV314" s="67">
        <f>IFERROR(IF(($DJ314-$DD314-$DG314)&gt;0,($DA314)/($DJ314-$DD314-$DG314),""),"")</f>
        <v/>
      </c>
      <c r="DW314" s="67">
        <f>IFERROR(IF(($DK314-$DE314-$DH314)&gt;0,($DB314)/($DK314-$DE314-$DH314),""),"")</f>
        <v/>
      </c>
      <c r="DX314" s="67">
        <f>IFERROR(IF(($DL314-$DF314-$DI314)&gt;0,($DC314)/($DL314-$DF314-$DI314),""),"")</f>
        <v/>
      </c>
      <c r="DY314" s="55">
        <f>SUMIFS(tblPlant[Cyanide_kg],tblPlant[Date],$A314)</f>
        <v/>
      </c>
      <c r="DZ314" s="55">
        <f>IF($B314=$B313,$DZ313,0)+$DY314</f>
        <v/>
      </c>
      <c r="EA314" s="55">
        <f>$EA313+$DY314</f>
        <v/>
      </c>
      <c r="EB314" s="55">
        <f>SUMIFS(tblPlant[Lime_kg],tblPlant[Date],$A314)</f>
        <v/>
      </c>
      <c r="EC314" s="55">
        <f>IF($B314=$B313,$EC313,0)+$EB314</f>
        <v/>
      </c>
      <c r="ED314" s="55">
        <f>$ED313+$EB314</f>
        <v/>
      </c>
      <c r="EE314" s="55">
        <f>SUMIFS(tblPlant[Grinding_Media_kg],tblPlant[Date],$A314)</f>
        <v/>
      </c>
      <c r="EF314" s="55">
        <f>IF($B314=$B313,$EF313,0)+$EE314</f>
        <v/>
      </c>
      <c r="EG314" s="55">
        <f>$EG313+$EE314</f>
        <v/>
      </c>
      <c r="EH314" s="55">
        <f>SUMIFS(tblPlant[Power_kWh],tblPlant[Date],$A314)</f>
        <v/>
      </c>
      <c r="EI314" s="55">
        <f>IF($B314=$B313,$EI313,0)+$EH314</f>
        <v/>
      </c>
      <c r="EJ314" s="55">
        <f>$EJ313+$EH314</f>
        <v/>
      </c>
      <c r="EK314" s="55">
        <f>SUMIFS(tblPlant[Raw_Water_m3],tblPlant[Date],$A314)</f>
        <v/>
      </c>
      <c r="EL314" s="55">
        <f>IF($B314=$B313,$EL313,0)+$EK314</f>
        <v/>
      </c>
      <c r="EM314" s="55">
        <f>$EM313+$EK314</f>
        <v/>
      </c>
      <c r="EN314" s="56">
        <f>IFERROR(IF(($BZ314)&gt;0,($DY314)/($BZ314),""),"")</f>
        <v/>
      </c>
      <c r="EO314" s="56">
        <f>IFERROR(IF(($CA314)&gt;0,($DZ314)/($CA314),""),"")</f>
        <v/>
      </c>
      <c r="EP314" s="56">
        <f>IFERROR(IF(($CB314)&gt;0,($EA314)/($CB314),""),"")</f>
        <v/>
      </c>
      <c r="EQ314" s="56">
        <f>IFERROR(IF(($BZ314)&gt;0,($EB314)/($BZ314),""),"")</f>
        <v/>
      </c>
      <c r="ER314" s="56">
        <f>IFERROR(IF(($CA314)&gt;0,($EC314)/($CA314),""),"")</f>
        <v/>
      </c>
      <c r="ES314" s="56">
        <f>IFERROR(IF(($CB314)&gt;0,($ED314)/($CB314),""),"")</f>
        <v/>
      </c>
      <c r="ET314" s="56">
        <f>IFERROR(IF(($BZ314)&gt;0,($EE314)/($BZ314),""),"")</f>
        <v/>
      </c>
      <c r="EU314" s="56">
        <f>IFERROR(IF(($CA314)&gt;0,($EF314)/($CA314),""),"")</f>
        <v/>
      </c>
      <c r="EV314" s="56">
        <f>IFERROR(IF(($CB314)&gt;0,($EG314)/($CB314),""),"")</f>
        <v/>
      </c>
      <c r="EW314" s="76">
        <f>IFERROR(IF(($BZ314)&gt;0,($EH314)/($BZ314),""),"")</f>
        <v/>
      </c>
      <c r="EX314" s="76">
        <f>IFERROR(IF(($CA314)&gt;0,($EI314)/($CA314),""),"")</f>
        <v/>
      </c>
      <c r="EY314" s="76">
        <f>IFERROR(IF(($CB314)&gt;0,($EJ314)/($CB314),""),"")</f>
        <v/>
      </c>
      <c r="EZ314" s="56">
        <f>IFERROR(IF(($BZ314)&gt;0,($EK314)/($BZ314),""),"")</f>
        <v/>
      </c>
      <c r="FA314" s="56">
        <f>IFERROR(IF(($CA314)&gt;0,($EL314)/($CA314),""),"")</f>
        <v/>
      </c>
      <c r="FB314" s="56">
        <f>IFERROR(IF(($CB314)&gt;0,($EM314)/($CB314),""),"")</f>
        <v/>
      </c>
      <c r="FC314" s="55">
        <f>IF(SUMIFS(tblPlant[GIC_oz],tblPlant[Date],$A314)&gt;0,SUMIFS(tblPlant[GIC_oz],tblPlant[Date],$A314),"")</f>
        <v/>
      </c>
      <c r="FD314" s="55">
        <f>SUMIFS(tblGold[Gold_oz],tblGold[Date],$A314,tblGold[Type],"Shipment")</f>
        <v/>
      </c>
      <c r="FE314" s="55">
        <f>IF($B314=$B313,$FE313,0)+$FD314</f>
        <v/>
      </c>
      <c r="FF314" s="55">
        <f>$FF313+$FD314</f>
        <v/>
      </c>
      <c r="FG314" s="55">
        <f>SUMIFS(tblGold[Gold_oz],tblGold[Date],$A314,tblGold[Type],"Sale")</f>
        <v/>
      </c>
      <c r="FH314" s="55">
        <f>IF($B314=$B313,$FH313,0)+$FG314</f>
        <v/>
      </c>
      <c r="FI314" s="55">
        <f>$FI313+$FG314</f>
        <v/>
      </c>
      <c r="FJ314" s="55">
        <f>SUMIFS(tblGold[Dore_kg],tblGold[Date],$A314,tblGold[Type],"Shipment")</f>
        <v/>
      </c>
      <c r="FK314" s="55">
        <f>IF($B314=$B313,$FK313,0)+$FJ314</f>
        <v/>
      </c>
      <c r="FL314" s="55">
        <f>$FL313+$FJ314</f>
        <v/>
      </c>
      <c r="FM314" s="57">
        <f>SUMIFS(tblSafety[Hours_Total],tblSafety[Date],$A314)</f>
        <v/>
      </c>
      <c r="FN314" s="57">
        <f>IF($B314=$B313,$FN313,0)+$FM314</f>
        <v/>
      </c>
      <c r="FO314" s="57">
        <f>$FO313+$FM314</f>
        <v/>
      </c>
      <c r="FP314" s="62">
        <f>SUMIFS(tblSafety[Fatality],tblSafety[Date],$A314)</f>
        <v/>
      </c>
      <c r="FQ314" s="62">
        <f>IF($B314=$B313,$FQ313,0)+$FP314</f>
        <v/>
      </c>
      <c r="FR314" s="62">
        <f>$FR313+$FP314</f>
        <v/>
      </c>
      <c r="FS314" s="62">
        <f>SUMIFS(tblSafety[LTI],tblSafety[Date],$A314)</f>
        <v/>
      </c>
      <c r="FT314" s="62">
        <f>IF($B314=$B313,$FT313,0)+$FS314</f>
        <v/>
      </c>
      <c r="FU314" s="62">
        <f>$FU313+$FS314</f>
        <v/>
      </c>
      <c r="FV314" s="62">
        <f>SUMIFS(tblSafety[RWI],tblSafety[Date],$A314)</f>
        <v/>
      </c>
      <c r="FW314" s="62">
        <f>IF($B314=$B313,$FW313,0)+$FV314</f>
        <v/>
      </c>
      <c r="FX314" s="62">
        <f>$FX313+$FV314</f>
        <v/>
      </c>
      <c r="FY314" s="62">
        <f>SUMIFS(tblSafety[MTI],tblSafety[Date],$A314)</f>
        <v/>
      </c>
      <c r="FZ314" s="62">
        <f>IF($B314=$B313,$FZ313,0)+$FY314</f>
        <v/>
      </c>
      <c r="GA314" s="62">
        <f>$GA313+$FY314</f>
        <v/>
      </c>
      <c r="GB314" s="62">
        <f>SUMIFS(tblSafety[FAI],tblSafety[Date],$A314)</f>
        <v/>
      </c>
      <c r="GC314" s="62">
        <f>IF($B314=$B313,$GC313,0)+$GB314</f>
        <v/>
      </c>
      <c r="GD314" s="62">
        <f>$GD313+$GB314</f>
        <v/>
      </c>
      <c r="GE314" s="62">
        <f>SUMIFS(tblSafety[Recordables],tblSafety[Date],$A314)</f>
        <v/>
      </c>
      <c r="GF314" s="62">
        <f>IF($B314=$B313,$GF313,0)+$GE314</f>
        <v/>
      </c>
      <c r="GG314" s="62">
        <f>$GG313+$GE314</f>
        <v/>
      </c>
      <c r="GH314" s="62">
        <f>SUMIFS(tblSafety[Near_Miss],tblSafety[Date],$A314)</f>
        <v/>
      </c>
      <c r="GI314" s="62">
        <f>IF($B314=$B313,$GI313,0)+$GH314</f>
        <v/>
      </c>
      <c r="GJ314" s="62">
        <f>$GJ313+$GH314</f>
        <v/>
      </c>
      <c r="GK314" s="62">
        <f>SUMIFS(tblSafety[Hazard_Reports],tblSafety[Date],$A314)</f>
        <v/>
      </c>
      <c r="GL314" s="62">
        <f>IF($B314=$B313,$GL313,0)+$GK314</f>
        <v/>
      </c>
      <c r="GM314" s="62">
        <f>$GM313+$GK314</f>
        <v/>
      </c>
      <c r="GN314" s="62">
        <f>SUMIFS(tblSafety[HPI],tblSafety[Date],$A314)</f>
        <v/>
      </c>
      <c r="GO314" s="62">
        <f>IF($B314=$B313,$GO313,0)+$GN314</f>
        <v/>
      </c>
      <c r="GP314" s="62">
        <f>$GP313+$GN314</f>
        <v/>
      </c>
      <c r="GQ314" s="62">
        <f>SUMIFS(tblSafety[Env_Incidents],tblSafety[Date],$A314)</f>
        <v/>
      </c>
      <c r="GR314" s="62">
        <f>IF($B314=$B313,$GR313,0)+$GQ314</f>
        <v/>
      </c>
      <c r="GS314" s="62">
        <f>$GS313+$GQ314</f>
        <v/>
      </c>
      <c r="GT314" s="62">
        <f>SUMIFS(tblSafety[Community_Incidents],tblSafety[Date],$A314)</f>
        <v/>
      </c>
      <c r="GU314" s="62">
        <f>IF($B314=$B313,$GU313,0)+$GT314</f>
        <v/>
      </c>
      <c r="GV314" s="62">
        <f>$GV313+$GT314</f>
        <v/>
      </c>
      <c r="GW314" s="62">
        <f>SUMIFS(tblSafety[Vehicle_Incidents],tblSafety[Date],$A314)</f>
        <v/>
      </c>
      <c r="GX314" s="62">
        <f>IF($B314=$B313,$GX313,0)+$GW314</f>
        <v/>
      </c>
      <c r="GY314" s="62">
        <f>$GY313+$GW314</f>
        <v/>
      </c>
      <c r="GZ314" s="62">
        <f>SUMIFS(tblSafety[Toolbox_Talks],tblSafety[Date],$A314)</f>
        <v/>
      </c>
      <c r="HA314" s="62">
        <f>IF($B314=$B313,$HA313,0)+$GZ314</f>
        <v/>
      </c>
      <c r="HB314" s="62">
        <f>$HB313+$GZ314</f>
        <v/>
      </c>
      <c r="HC314" s="62">
        <f>SUMIFS(tblSafety[Inspections],tblSafety[Date],$A314)</f>
        <v/>
      </c>
      <c r="HD314" s="62">
        <f>IF($B314=$B313,$HD313,0)+$HC314</f>
        <v/>
      </c>
      <c r="HE314" s="62">
        <f>$HE313+$HC314</f>
        <v/>
      </c>
      <c r="HF314" s="56">
        <f>IFERROR((SUMIFS(tblSafety[Recordables],tblSafety[Date],"&gt;="&amp;EDATE($E314,-12),tblSafety[Date],"&lt;="&amp;$A314)+SUMIFS(tblSafetyHistory[Recordables],tblSafetyHistory[Month],"&gt;="&amp;EDATE($E314,-12),tblSafetyHistory[Month],"&lt;"&amp;cfg_YearStart))/(SUMIFS(tblSafety[Hours_Total],tblSafety[Date],"&gt;="&amp;EDATE($E314,-12),tblSafety[Date],"&lt;="&amp;$A314)+SUMIFS(tblSafetyHistory[Hours_Total],tblSafetyHistory[Month],"&gt;="&amp;EDATE($E314,-12),tblSafetyHistory[Month],"&lt;"&amp;cfg_YearStart))*1000000,"")</f>
        <v/>
      </c>
      <c r="HG314" s="56">
        <f>IFERROR((SUMIFS(tblSafety[LTI],tblSafety[Date],"&gt;="&amp;EDATE($E314,-12),tblSafety[Date],"&lt;="&amp;$A314)+SUMIFS(tblSafetyHistory[LTI],tblSafetyHistory[Month],"&gt;="&amp;EDATE($E314,-12),tblSafetyHistory[Month],"&lt;"&amp;cfg_YearStart))/(SUMIFS(tblSafety[Hours_Total],tblSafety[Date],"&gt;="&amp;EDATE($E314,-12),tblSafety[Date],"&lt;="&amp;$A314)+SUMIFS(tblSafetyHistory[Hours_Total],tblSafetyHistory[Month],"&gt;="&amp;EDATE($E314,-12),tblSafetyHistory[Month],"&lt;"&amp;cfg_YearStart))*1000000,"")</f>
        <v/>
      </c>
      <c r="HH314" s="62">
        <f>IF(MAX(N(cfg_PriorLTIDate),_xlfn.MAXIFS(tblSafety[Date],tblSafety[LTI],"&gt;0",tblSafety[Date],"&lt;="&amp;$A314))=0,"",$A314-MAX(N(cfg_PriorLTIDate),_xlfn.MAXIFS(tblSafety[Date],tblSafety[LTI],"&gt;0",tblSafety[Date],"&lt;="&amp;$A314)))</f>
        <v/>
      </c>
      <c r="HI314" s="55">
        <f>SUMIFS(tblBudget[Ore_Mined_t],tblBudget[Month],$E314)</f>
        <v/>
      </c>
      <c r="HJ314" s="55">
        <f>$HI314*$C314/$D314</f>
        <v/>
      </c>
      <c r="HK314" s="55">
        <f>SUMIFS(tblBudget[Ore_Mined_t],tblBudget[Month],"&lt;"&amp;$E314)+$HJ314</f>
        <v/>
      </c>
      <c r="HL314" s="55">
        <f>SUMIFS(tblBudget[Ore_oz],tblBudget[Month],$E314)</f>
        <v/>
      </c>
      <c r="HM314" s="55">
        <f>$HL314*$C314/$D314</f>
        <v/>
      </c>
      <c r="HN314" s="55">
        <f>SUMIFS(tblBudget[Ore_oz],tblBudget[Month],"&lt;"&amp;$E314)+$HM314</f>
        <v/>
      </c>
      <c r="HO314" s="56">
        <f>IFERROR(IF(($HI314)&gt;0,($HL314*cfg_TroyOz)/($HI314),""),"")</f>
        <v/>
      </c>
      <c r="HP314" s="56">
        <f>IFERROR(IF(($HJ314)&gt;0,($HM314*cfg_TroyOz)/($HJ314),""),"")</f>
        <v/>
      </c>
      <c r="HQ314" s="56">
        <f>IFERROR(IF(($HK314)&gt;0,($HN314*cfg_TroyOz)/($HK314),""),"")</f>
        <v/>
      </c>
      <c r="HR314" s="55">
        <f>SUMIFS(tblBudget[Waste_t],tblBudget[Month],$E314)</f>
        <v/>
      </c>
      <c r="HS314" s="55">
        <f>$HR314*$C314/$D314</f>
        <v/>
      </c>
      <c r="HT314" s="55">
        <f>SUMIFS(tblBudget[Waste_t],tblBudget[Month],"&lt;"&amp;$E314)+$HS314</f>
        <v/>
      </c>
      <c r="HU314" s="55">
        <f>SUMIFS(tblBudget[TMM_t],tblBudget[Month],$E314)</f>
        <v/>
      </c>
      <c r="HV314" s="55">
        <f>$HU314*$C314/$D314</f>
        <v/>
      </c>
      <c r="HW314" s="55">
        <f>SUMIFS(tblBudget[TMM_t],tblBudget[Month],"&lt;"&amp;$E314)+$HV314</f>
        <v/>
      </c>
      <c r="HX314" s="56">
        <f>IFERROR(IF(($HI314)&gt;0,($HR314)/($HI314),""),"")</f>
        <v/>
      </c>
      <c r="HY314" s="56">
        <f>IFERROR(IF(($HJ314)&gt;0,($HS314)/($HJ314),""),"")</f>
        <v/>
      </c>
      <c r="HZ314" s="56">
        <f>IFERROR(IF(($HK314)&gt;0,($HT314)/($HK314),""),"")</f>
        <v/>
      </c>
      <c r="IA314" s="55">
        <f>SUMIFS(tblBudget[Drill_m],tblBudget[Month],$E314)</f>
        <v/>
      </c>
      <c r="IB314" s="55">
        <f>$IA314*$C314/$D314</f>
        <v/>
      </c>
      <c r="IC314" s="55">
        <f>SUMIFS(tblBudget[Drill_m],tblBudget[Month],"&lt;"&amp;$E314)+$IB314</f>
        <v/>
      </c>
      <c r="ID314" s="55">
        <f>SUMIFS(tblBudget[Diesel_L],tblBudget[Month],$E314)</f>
        <v/>
      </c>
      <c r="IE314" s="55">
        <f>$ID314*$C314/$D314</f>
        <v/>
      </c>
      <c r="IF314" s="55">
        <f>SUMIFS(tblBudget[Diesel_L],tblBudget[Month],"&lt;"&amp;$E314)+$IE314</f>
        <v/>
      </c>
      <c r="IG314" s="55">
        <f>SUMIFS(tblBudget[Milled_t],tblBudget[Month],$E314)</f>
        <v/>
      </c>
      <c r="IH314" s="55">
        <f>$IG314*$C314/$D314</f>
        <v/>
      </c>
      <c r="II314" s="55">
        <f>SUMIFS(tblBudget[Milled_t],tblBudget[Month],"&lt;"&amp;$E314)+$IH314</f>
        <v/>
      </c>
      <c r="IJ314" s="55">
        <f>SUMIFS(tblBudget[Feed_oz],tblBudget[Month],$E314)</f>
        <v/>
      </c>
      <c r="IK314" s="55">
        <f>$IJ314*$C314/$D314</f>
        <v/>
      </c>
      <c r="IL314" s="55">
        <f>SUMIFS(tblBudget[Feed_oz],tblBudget[Month],"&lt;"&amp;$E314)+$IK314</f>
        <v/>
      </c>
      <c r="IM314" s="55">
        <f>SUMIFS(tblBudget[Recovered_oz],tblBudget[Month],$E314)</f>
        <v/>
      </c>
      <c r="IN314" s="55">
        <f>$IM314*$C314/$D314</f>
        <v/>
      </c>
      <c r="IO314" s="55">
        <f>SUMIFS(tblBudget[Recovered_oz],tblBudget[Month],"&lt;"&amp;$E314)+$IN314</f>
        <v/>
      </c>
      <c r="IP314" s="56">
        <f>IFERROR(IF(($IG314)&gt;0,($IJ314*cfg_TroyOz)/($IG314),""),"")</f>
        <v/>
      </c>
      <c r="IQ314" s="56">
        <f>IFERROR(IF(($IH314)&gt;0,($IK314*cfg_TroyOz)/($IH314),""),"")</f>
        <v/>
      </c>
      <c r="IR314" s="56">
        <f>IFERROR(IF(($II314)&gt;0,($IL314*cfg_TroyOz)/($II314),""),"")</f>
        <v/>
      </c>
      <c r="IS314" s="67">
        <f>IFERROR(IF(($IJ314)&gt;0,($IM314)/($IJ314),""),"")</f>
        <v/>
      </c>
      <c r="IT314" s="67">
        <f>IFERROR(IF(($IK314)&gt;0,($IN314)/($IK314),""),"")</f>
        <v/>
      </c>
      <c r="IU314" s="67">
        <f>IFERROR(IF(($IL314)&gt;0,($IO314)/($IL314),""),"")</f>
        <v/>
      </c>
      <c r="IV314" s="55">
        <f>SUMIFS(tblBudget[Gold_Poured_oz],tblBudget[Month],$E314)</f>
        <v/>
      </c>
      <c r="IW314" s="55">
        <f>$IV314*$C314/$D314</f>
        <v/>
      </c>
      <c r="IX314" s="55">
        <f>SUMIFS(tblBudget[Gold_Poured_oz],tblBudget[Month],"&lt;"&amp;$E314)+$IW314</f>
        <v/>
      </c>
      <c r="IY314" s="57">
        <f>SUMIFS(tblBudget[Hours_Worked],tblBudget[Month],$E314)</f>
        <v/>
      </c>
      <c r="IZ314" s="57">
        <f>$IY314*$C314/$D314</f>
        <v/>
      </c>
      <c r="JA314" s="57">
        <f>SUMIFS(tblBudget[Hours_Worked],tblBudget[Month],"&lt;"&amp;$E314)+$IZ314</f>
        <v/>
      </c>
    </row>
    <row r="315">
      <c r="A315" s="54" t="n">
        <v>46336</v>
      </c>
      <c r="B315">
        <f>MONTH($A315)</f>
        <v/>
      </c>
      <c r="C315">
        <f>DAY($A315)</f>
        <v/>
      </c>
      <c r="D315">
        <f>DAY(EOMONTH($A315,0))</f>
        <v/>
      </c>
      <c r="E315" s="54">
        <f>DATE(YEAR($A315),MONTH($A315),1)</f>
        <v/>
      </c>
      <c r="F315" s="55">
        <f>SUMIFS(tblMovement[Tonnes_t],tblMovement[Date],$A315,tblMovement[Is_Ore],1,tblMovement[Source_Type],"Pit")</f>
        <v/>
      </c>
      <c r="G315" s="55">
        <f>IF($B315=$B314,$G314,0)+$F315</f>
        <v/>
      </c>
      <c r="H315" s="55">
        <f>$H314+$F315</f>
        <v/>
      </c>
      <c r="I315" s="55">
        <f>SUMIFS(tblMovement[Ore_oz],tblMovement[Date],$A315,tblMovement[Source_Type],"Pit")</f>
        <v/>
      </c>
      <c r="J315" s="55">
        <f>IF($B315=$B314,$J314,0)+$I315</f>
        <v/>
      </c>
      <c r="K315" s="55">
        <f>$K314+$I315</f>
        <v/>
      </c>
      <c r="L315" s="56">
        <f>IFERROR(IF(($F315)&gt;0,($I315*cfg_TroyOz)/($F315),""),"")</f>
        <v/>
      </c>
      <c r="M315" s="56">
        <f>IFERROR(IF(($G315)&gt;0,($J315*cfg_TroyOz)/($G315),""),"")</f>
        <v/>
      </c>
      <c r="N315" s="56">
        <f>IFERROR(IF(($H315)&gt;0,($K315*cfg_TroyOz)/($H315),""),"")</f>
        <v/>
      </c>
      <c r="O315" s="55">
        <f>SUMIFS(tblMovement[Tonnes_t],tblMovement[Date],$A315,tblMovement[Is_Ore],0,tblMovement[Source_Type],"Pit")</f>
        <v/>
      </c>
      <c r="P315" s="55">
        <f>IF($B315=$B314,$P314,0)+$O315</f>
        <v/>
      </c>
      <c r="Q315" s="55">
        <f>$Q314+$O315</f>
        <v/>
      </c>
      <c r="R315" s="55">
        <f>$F315+$O315</f>
        <v/>
      </c>
      <c r="S315" s="55">
        <f>IF($B315=$B314,$S314,0)+$R315</f>
        <v/>
      </c>
      <c r="T315" s="55">
        <f>$T314+$R315</f>
        <v/>
      </c>
      <c r="U315" s="56">
        <f>IFERROR(IF(($F315)&gt;0,($O315)/($F315),""),"")</f>
        <v/>
      </c>
      <c r="V315" s="56">
        <f>IFERROR(IF(($G315)&gt;0,($P315)/($G315),""),"")</f>
        <v/>
      </c>
      <c r="W315" s="56">
        <f>IFERROR(IF(($H315)&gt;0,($Q315)/($H315),""),"")</f>
        <v/>
      </c>
      <c r="X315" s="55">
        <f>SUMIFS(tblMovement[Tonnes_t],tblMovement[Date],$A315,tblMovement[Source_Type],"Stockpile")</f>
        <v/>
      </c>
      <c r="Y315" s="55">
        <f>IF($B315=$B314,$Y314,0)+$X315</f>
        <v/>
      </c>
      <c r="Z315" s="55">
        <f>$Z314+$X315</f>
        <v/>
      </c>
      <c r="AA315" s="55">
        <f>SUMIFS(tblMiningDaily[Drill_m],tblMiningDaily[Date],$A315)</f>
        <v/>
      </c>
      <c r="AB315" s="55">
        <f>IF($B315=$B314,$AB314,0)+$AA315</f>
        <v/>
      </c>
      <c r="AC315" s="55">
        <f>$AC314+$AA315</f>
        <v/>
      </c>
      <c r="AD315" s="55">
        <f>SUMIFS(tblMiningDaily[Blast_t],tblMiningDaily[Date],$A315)</f>
        <v/>
      </c>
      <c r="AE315" s="55">
        <f>IF($B315=$B314,$AE314,0)+$AD315</f>
        <v/>
      </c>
      <c r="AF315" s="55">
        <f>$AF314+$AD315</f>
        <v/>
      </c>
      <c r="AG315" s="55">
        <f>SUMIFS(tblMiningDaily[Explosives_kg],tblMiningDaily[Date],$A315)</f>
        <v/>
      </c>
      <c r="AH315" s="55">
        <f>IF($B315=$B314,$AH314,0)+$AG315</f>
        <v/>
      </c>
      <c r="AI315" s="55">
        <f>$AI314+$AG315</f>
        <v/>
      </c>
      <c r="AJ315" s="56">
        <f>IFERROR(IF(($AD315)&gt;0,($AG315)/($AD315),""),"")</f>
        <v/>
      </c>
      <c r="AK315" s="56">
        <f>IFERROR(IF(($AE315)&gt;0,($AH315)/($AE315),""),"")</f>
        <v/>
      </c>
      <c r="AL315" s="56">
        <f>IFERROR(IF(($AF315)&gt;0,($AI315)/($AF315),""),"")</f>
        <v/>
      </c>
      <c r="AM315" s="55">
        <f>SUMIFS(tblMiningDaily[Diesel_L],tblMiningDaily[Date],$A315)</f>
        <v/>
      </c>
      <c r="AN315" s="55">
        <f>IF($B315=$B314,$AN314,0)+$AM315</f>
        <v/>
      </c>
      <c r="AO315" s="55">
        <f>$AO314+$AM315</f>
        <v/>
      </c>
      <c r="AP315" s="55">
        <f>SUMIFS(tblMiningDaily[Dewatering_m3],tblMiningDaily[Date],$A315)</f>
        <v/>
      </c>
      <c r="AQ315" s="55">
        <f>IF($B315=$B314,$AQ314,0)+$AP315</f>
        <v/>
      </c>
      <c r="AR315" s="55">
        <f>$AR314+$AP315</f>
        <v/>
      </c>
      <c r="AS315" s="57">
        <f>SUMIFS(tblFleet[Calendar_h],tblFleet[Date],$A315,tblFleet[Equipment_Class],"Excavator")</f>
        <v/>
      </c>
      <c r="AT315" s="57">
        <f>IF($B315=$B314,$AT314,0)+$AS315</f>
        <v/>
      </c>
      <c r="AU315" s="57">
        <f>$AU314+$AS315</f>
        <v/>
      </c>
      <c r="AV315" s="57">
        <f>SUMIFS(tblFleet[Available_h],tblFleet[Date],$A315,tblFleet[Equipment_Class],"Excavator")</f>
        <v/>
      </c>
      <c r="AW315" s="57">
        <f>IF($B315=$B314,$AW314,0)+$AV315</f>
        <v/>
      </c>
      <c r="AX315" s="57">
        <f>$AX314+$AV315</f>
        <v/>
      </c>
      <c r="AY315" s="57">
        <f>SUMIFS(tblFleet[Operating_h],tblFleet[Date],$A315,tblFleet[Equipment_Class],"Excavator")</f>
        <v/>
      </c>
      <c r="AZ315" s="57">
        <f>IF($B315=$B314,$AZ314,0)+$AY315</f>
        <v/>
      </c>
      <c r="BA315" s="57">
        <f>$BA314+$AY315</f>
        <v/>
      </c>
      <c r="BB315" s="67">
        <f>IFERROR(IF(($AS315)&gt;0,($AV315)/($AS315),""),"")</f>
        <v/>
      </c>
      <c r="BC315" s="67">
        <f>IFERROR(IF(($AT315)&gt;0,($AW315)/($AT315),""),"")</f>
        <v/>
      </c>
      <c r="BD315" s="67">
        <f>IFERROR(IF(($AU315)&gt;0,($AX315)/($AU315),""),"")</f>
        <v/>
      </c>
      <c r="BE315" s="67">
        <f>IFERROR(IF(($AV315)&gt;0,($AY315)/($AV315),""),"")</f>
        <v/>
      </c>
      <c r="BF315" s="67">
        <f>IFERROR(IF(($AW315)&gt;0,($AZ315)/($AW315),""),"")</f>
        <v/>
      </c>
      <c r="BG315" s="67">
        <f>IFERROR(IF(($AX315)&gt;0,($BA315)/($AX315),""),"")</f>
        <v/>
      </c>
      <c r="BH315" s="57">
        <f>SUMIFS(tblFleet[Calendar_h],tblFleet[Date],$A315,tblFleet[Equipment_Class],"Haul Truck")</f>
        <v/>
      </c>
      <c r="BI315" s="57">
        <f>IF($B315=$B314,$BI314,0)+$BH315</f>
        <v/>
      </c>
      <c r="BJ315" s="57">
        <f>$BJ314+$BH315</f>
        <v/>
      </c>
      <c r="BK315" s="57">
        <f>SUMIFS(tblFleet[Available_h],tblFleet[Date],$A315,tblFleet[Equipment_Class],"Haul Truck")</f>
        <v/>
      </c>
      <c r="BL315" s="57">
        <f>IF($B315=$B314,$BL314,0)+$BK315</f>
        <v/>
      </c>
      <c r="BM315" s="57">
        <f>$BM314+$BK315</f>
        <v/>
      </c>
      <c r="BN315" s="57">
        <f>SUMIFS(tblFleet[Operating_h],tblFleet[Date],$A315,tblFleet[Equipment_Class],"Haul Truck")</f>
        <v/>
      </c>
      <c r="BO315" s="57">
        <f>IF($B315=$B314,$BO314,0)+$BN315</f>
        <v/>
      </c>
      <c r="BP315" s="57">
        <f>$BP314+$BN315</f>
        <v/>
      </c>
      <c r="BQ315" s="67">
        <f>IFERROR(IF(($BH315)&gt;0,($BK315)/($BH315),""),"")</f>
        <v/>
      </c>
      <c r="BR315" s="67">
        <f>IFERROR(IF(($BI315)&gt;0,($BL315)/($BI315),""),"")</f>
        <v/>
      </c>
      <c r="BS315" s="67">
        <f>IFERROR(IF(($BJ315)&gt;0,($BM315)/($BJ315),""),"")</f>
        <v/>
      </c>
      <c r="BT315" s="67">
        <f>IFERROR(IF(($BK315)&gt;0,($BN315)/($BK315),""),"")</f>
        <v/>
      </c>
      <c r="BU315" s="67">
        <f>IFERROR(IF(($BL315)&gt;0,($BO315)/($BL315),""),"")</f>
        <v/>
      </c>
      <c r="BV315" s="67">
        <f>IFERROR(IF(($BM315)&gt;0,($BP315)/($BM315),""),"")</f>
        <v/>
      </c>
      <c r="BW315" s="55">
        <f>SUMIFS(tblPlant[Crushed_t],tblPlant[Date],$A315)</f>
        <v/>
      </c>
      <c r="BX315" s="55">
        <f>IF($B315=$B314,$BX314,0)+$BW315</f>
        <v/>
      </c>
      <c r="BY315" s="55">
        <f>$BY314+$BW315</f>
        <v/>
      </c>
      <c r="BZ315" s="55">
        <f>SUMIFS(tblPlant[Milled_t],tblPlant[Date],$A315)</f>
        <v/>
      </c>
      <c r="CA315" s="55">
        <f>IF($B315=$B314,$CA314,0)+$BZ315</f>
        <v/>
      </c>
      <c r="CB315" s="55">
        <f>$CB314+$BZ315</f>
        <v/>
      </c>
      <c r="CC315" s="55">
        <f>SUMIFS(tblPlant[Feed_oz],tblPlant[Date],$A315)</f>
        <v/>
      </c>
      <c r="CD315" s="55">
        <f>IF($B315=$B314,$CD314,0)+$CC315</f>
        <v/>
      </c>
      <c r="CE315" s="55">
        <f>$CE314+$CC315</f>
        <v/>
      </c>
      <c r="CF315" s="55">
        <f>SUMIFS(tblPlant[Tails_oz],tblPlant[Date],$A315)</f>
        <v/>
      </c>
      <c r="CG315" s="55">
        <f>IF($B315=$B314,$CG314,0)+$CF315</f>
        <v/>
      </c>
      <c r="CH315" s="55">
        <f>$CH314+$CF315</f>
        <v/>
      </c>
      <c r="CI315" s="55">
        <f>SUMIFS(tblPlant[Recovered_oz],tblPlant[Date],$A315)</f>
        <v/>
      </c>
      <c r="CJ315" s="55">
        <f>IF($B315=$B314,$CJ314,0)+$CI315</f>
        <v/>
      </c>
      <c r="CK315" s="55">
        <f>$CK314+$CI315</f>
        <v/>
      </c>
      <c r="CL315" s="56">
        <f>IFERROR(IF(($BZ315)&gt;0,($CC315*cfg_TroyOz)/($BZ315),""),"")</f>
        <v/>
      </c>
      <c r="CM315" s="56">
        <f>IFERROR(IF(($CA315)&gt;0,($CD315*cfg_TroyOz)/($CA315),""),"")</f>
        <v/>
      </c>
      <c r="CN315" s="56">
        <f>IFERROR(IF(($CB315)&gt;0,($CE315*cfg_TroyOz)/($CB315),""),"")</f>
        <v/>
      </c>
      <c r="CO315" s="56">
        <f>IFERROR(IF(($BZ315)&gt;0,($CF315*cfg_TroyOz)/($BZ315),""),"")</f>
        <v/>
      </c>
      <c r="CP315" s="56">
        <f>IFERROR(IF(($CA315)&gt;0,($CG315*cfg_TroyOz)/($CA315),""),"")</f>
        <v/>
      </c>
      <c r="CQ315" s="56">
        <f>IFERROR(IF(($CB315)&gt;0,($CH315*cfg_TroyOz)/($CB315),""),"")</f>
        <v/>
      </c>
      <c r="CR315" s="67">
        <f>IFERROR(IF(($CC315)&gt;0,($CI315)/($CC315),""),"")</f>
        <v/>
      </c>
      <c r="CS315" s="67">
        <f>IFERROR(IF(($CD315)&gt;0,($CJ315)/($CD315),""),"")</f>
        <v/>
      </c>
      <c r="CT315" s="67">
        <f>IFERROR(IF(($CE315)&gt;0,($CK315)/($CE315),""),"")</f>
        <v/>
      </c>
      <c r="CU315" s="55">
        <f>SUMIFS(tblPlant[Gravity_Gold_oz],tblPlant[Date],$A315)</f>
        <v/>
      </c>
      <c r="CV315" s="55">
        <f>IF($B315=$B314,$CV314,0)+$CU315</f>
        <v/>
      </c>
      <c r="CW315" s="55">
        <f>$CW314+$CU315</f>
        <v/>
      </c>
      <c r="CX315" s="55">
        <f>SUMIFS(tblPlant[Gold_Poured_oz],tblPlant[Date],$A315)</f>
        <v/>
      </c>
      <c r="CY315" s="55">
        <f>IF($B315=$B314,$CY314,0)+$CX315</f>
        <v/>
      </c>
      <c r="CZ315" s="55">
        <f>$CZ314+$CX315</f>
        <v/>
      </c>
      <c r="DA315" s="57">
        <f>SUMIFS(tblPlant[Mill_Run_h],tblPlant[Date],$A315)</f>
        <v/>
      </c>
      <c r="DB315" s="57">
        <f>IF($B315=$B314,$DB314,0)+$DA315</f>
        <v/>
      </c>
      <c r="DC315" s="57">
        <f>$DC314+$DA315</f>
        <v/>
      </c>
      <c r="DD315" s="57">
        <f>SUMIFS(tblPlant[Mill_Planned_Maint_h],tblPlant[Date],$A315)</f>
        <v/>
      </c>
      <c r="DE315" s="57">
        <f>IF($B315=$B314,$DE314,0)+$DD315</f>
        <v/>
      </c>
      <c r="DF315" s="57">
        <f>$DF314+$DD315</f>
        <v/>
      </c>
      <c r="DG315" s="57">
        <f>SUMIFS(tblPlant[Mill_Unplanned_Down_h],tblPlant[Date],$A315)</f>
        <v/>
      </c>
      <c r="DH315" s="57">
        <f>IF($B315=$B314,$DH314,0)+$DG315</f>
        <v/>
      </c>
      <c r="DI315" s="57">
        <f>$DI314+$DG315</f>
        <v/>
      </c>
      <c r="DJ315" s="57">
        <f>COUNTIFS(tblPlant[Date],$A315,tblPlant[Mill_Run_h],"&lt;&gt;")*24</f>
        <v/>
      </c>
      <c r="DK315" s="57">
        <f>IF($B315=$B314,$DK314,0)+$DJ315</f>
        <v/>
      </c>
      <c r="DL315" s="57">
        <f>$DL314+$DJ315</f>
        <v/>
      </c>
      <c r="DM315" s="57">
        <f>SUMIFS(tblPlant[Crusher_Run_h],tblPlant[Date],$A315)</f>
        <v/>
      </c>
      <c r="DN315" s="57">
        <f>IF($B315=$B314,$DN314,0)+$DM315</f>
        <v/>
      </c>
      <c r="DO315" s="57">
        <f>$DO314+$DM315</f>
        <v/>
      </c>
      <c r="DP315" s="55">
        <f>IFERROR(IF(($DA315)&gt;0,($BZ315)/($DA315),""),"")</f>
        <v/>
      </c>
      <c r="DQ315" s="55">
        <f>IFERROR(IF(($DB315)&gt;0,($CA315)/($DB315),""),"")</f>
        <v/>
      </c>
      <c r="DR315" s="55">
        <f>IFERROR(IF(($DC315)&gt;0,($CB315)/($DC315),""),"")</f>
        <v/>
      </c>
      <c r="DS315" s="67">
        <f>IFERROR(IF(($DJ315)&gt;0,($DJ315-$DD315-$DG315)/($DJ315),""),"")</f>
        <v/>
      </c>
      <c r="DT315" s="67">
        <f>IFERROR(IF(($DK315)&gt;0,($DK315-$DE315-$DH315)/($DK315),""),"")</f>
        <v/>
      </c>
      <c r="DU315" s="67">
        <f>IFERROR(IF(($DL315)&gt;0,($DL315-$DF315-$DI315)/($DL315),""),"")</f>
        <v/>
      </c>
      <c r="DV315" s="67">
        <f>IFERROR(IF(($DJ315-$DD315-$DG315)&gt;0,($DA315)/($DJ315-$DD315-$DG315),""),"")</f>
        <v/>
      </c>
      <c r="DW315" s="67">
        <f>IFERROR(IF(($DK315-$DE315-$DH315)&gt;0,($DB315)/($DK315-$DE315-$DH315),""),"")</f>
        <v/>
      </c>
      <c r="DX315" s="67">
        <f>IFERROR(IF(($DL315-$DF315-$DI315)&gt;0,($DC315)/($DL315-$DF315-$DI315),""),"")</f>
        <v/>
      </c>
      <c r="DY315" s="55">
        <f>SUMIFS(tblPlant[Cyanide_kg],tblPlant[Date],$A315)</f>
        <v/>
      </c>
      <c r="DZ315" s="55">
        <f>IF($B315=$B314,$DZ314,0)+$DY315</f>
        <v/>
      </c>
      <c r="EA315" s="55">
        <f>$EA314+$DY315</f>
        <v/>
      </c>
      <c r="EB315" s="55">
        <f>SUMIFS(tblPlant[Lime_kg],tblPlant[Date],$A315)</f>
        <v/>
      </c>
      <c r="EC315" s="55">
        <f>IF($B315=$B314,$EC314,0)+$EB315</f>
        <v/>
      </c>
      <c r="ED315" s="55">
        <f>$ED314+$EB315</f>
        <v/>
      </c>
      <c r="EE315" s="55">
        <f>SUMIFS(tblPlant[Grinding_Media_kg],tblPlant[Date],$A315)</f>
        <v/>
      </c>
      <c r="EF315" s="55">
        <f>IF($B315=$B314,$EF314,0)+$EE315</f>
        <v/>
      </c>
      <c r="EG315" s="55">
        <f>$EG314+$EE315</f>
        <v/>
      </c>
      <c r="EH315" s="55">
        <f>SUMIFS(tblPlant[Power_kWh],tblPlant[Date],$A315)</f>
        <v/>
      </c>
      <c r="EI315" s="55">
        <f>IF($B315=$B314,$EI314,0)+$EH315</f>
        <v/>
      </c>
      <c r="EJ315" s="55">
        <f>$EJ314+$EH315</f>
        <v/>
      </c>
      <c r="EK315" s="55">
        <f>SUMIFS(tblPlant[Raw_Water_m3],tblPlant[Date],$A315)</f>
        <v/>
      </c>
      <c r="EL315" s="55">
        <f>IF($B315=$B314,$EL314,0)+$EK315</f>
        <v/>
      </c>
      <c r="EM315" s="55">
        <f>$EM314+$EK315</f>
        <v/>
      </c>
      <c r="EN315" s="56">
        <f>IFERROR(IF(($BZ315)&gt;0,($DY315)/($BZ315),""),"")</f>
        <v/>
      </c>
      <c r="EO315" s="56">
        <f>IFERROR(IF(($CA315)&gt;0,($DZ315)/($CA315),""),"")</f>
        <v/>
      </c>
      <c r="EP315" s="56">
        <f>IFERROR(IF(($CB315)&gt;0,($EA315)/($CB315),""),"")</f>
        <v/>
      </c>
      <c r="EQ315" s="56">
        <f>IFERROR(IF(($BZ315)&gt;0,($EB315)/($BZ315),""),"")</f>
        <v/>
      </c>
      <c r="ER315" s="56">
        <f>IFERROR(IF(($CA315)&gt;0,($EC315)/($CA315),""),"")</f>
        <v/>
      </c>
      <c r="ES315" s="56">
        <f>IFERROR(IF(($CB315)&gt;0,($ED315)/($CB315),""),"")</f>
        <v/>
      </c>
      <c r="ET315" s="56">
        <f>IFERROR(IF(($BZ315)&gt;0,($EE315)/($BZ315),""),"")</f>
        <v/>
      </c>
      <c r="EU315" s="56">
        <f>IFERROR(IF(($CA315)&gt;0,($EF315)/($CA315),""),"")</f>
        <v/>
      </c>
      <c r="EV315" s="56">
        <f>IFERROR(IF(($CB315)&gt;0,($EG315)/($CB315),""),"")</f>
        <v/>
      </c>
      <c r="EW315" s="76">
        <f>IFERROR(IF(($BZ315)&gt;0,($EH315)/($BZ315),""),"")</f>
        <v/>
      </c>
      <c r="EX315" s="76">
        <f>IFERROR(IF(($CA315)&gt;0,($EI315)/($CA315),""),"")</f>
        <v/>
      </c>
      <c r="EY315" s="76">
        <f>IFERROR(IF(($CB315)&gt;0,($EJ315)/($CB315),""),"")</f>
        <v/>
      </c>
      <c r="EZ315" s="56">
        <f>IFERROR(IF(($BZ315)&gt;0,($EK315)/($BZ315),""),"")</f>
        <v/>
      </c>
      <c r="FA315" s="56">
        <f>IFERROR(IF(($CA315)&gt;0,($EL315)/($CA315),""),"")</f>
        <v/>
      </c>
      <c r="FB315" s="56">
        <f>IFERROR(IF(($CB315)&gt;0,($EM315)/($CB315),""),"")</f>
        <v/>
      </c>
      <c r="FC315" s="55">
        <f>IF(SUMIFS(tblPlant[GIC_oz],tblPlant[Date],$A315)&gt;0,SUMIFS(tblPlant[GIC_oz],tblPlant[Date],$A315),"")</f>
        <v/>
      </c>
      <c r="FD315" s="55">
        <f>SUMIFS(tblGold[Gold_oz],tblGold[Date],$A315,tblGold[Type],"Shipment")</f>
        <v/>
      </c>
      <c r="FE315" s="55">
        <f>IF($B315=$B314,$FE314,0)+$FD315</f>
        <v/>
      </c>
      <c r="FF315" s="55">
        <f>$FF314+$FD315</f>
        <v/>
      </c>
      <c r="FG315" s="55">
        <f>SUMIFS(tblGold[Gold_oz],tblGold[Date],$A315,tblGold[Type],"Sale")</f>
        <v/>
      </c>
      <c r="FH315" s="55">
        <f>IF($B315=$B314,$FH314,0)+$FG315</f>
        <v/>
      </c>
      <c r="FI315" s="55">
        <f>$FI314+$FG315</f>
        <v/>
      </c>
      <c r="FJ315" s="55">
        <f>SUMIFS(tblGold[Dore_kg],tblGold[Date],$A315,tblGold[Type],"Shipment")</f>
        <v/>
      </c>
      <c r="FK315" s="55">
        <f>IF($B315=$B314,$FK314,0)+$FJ315</f>
        <v/>
      </c>
      <c r="FL315" s="55">
        <f>$FL314+$FJ315</f>
        <v/>
      </c>
      <c r="FM315" s="57">
        <f>SUMIFS(tblSafety[Hours_Total],tblSafety[Date],$A315)</f>
        <v/>
      </c>
      <c r="FN315" s="57">
        <f>IF($B315=$B314,$FN314,0)+$FM315</f>
        <v/>
      </c>
      <c r="FO315" s="57">
        <f>$FO314+$FM315</f>
        <v/>
      </c>
      <c r="FP315" s="62">
        <f>SUMIFS(tblSafety[Fatality],tblSafety[Date],$A315)</f>
        <v/>
      </c>
      <c r="FQ315" s="62">
        <f>IF($B315=$B314,$FQ314,0)+$FP315</f>
        <v/>
      </c>
      <c r="FR315" s="62">
        <f>$FR314+$FP315</f>
        <v/>
      </c>
      <c r="FS315" s="62">
        <f>SUMIFS(tblSafety[LTI],tblSafety[Date],$A315)</f>
        <v/>
      </c>
      <c r="FT315" s="62">
        <f>IF($B315=$B314,$FT314,0)+$FS315</f>
        <v/>
      </c>
      <c r="FU315" s="62">
        <f>$FU314+$FS315</f>
        <v/>
      </c>
      <c r="FV315" s="62">
        <f>SUMIFS(tblSafety[RWI],tblSafety[Date],$A315)</f>
        <v/>
      </c>
      <c r="FW315" s="62">
        <f>IF($B315=$B314,$FW314,0)+$FV315</f>
        <v/>
      </c>
      <c r="FX315" s="62">
        <f>$FX314+$FV315</f>
        <v/>
      </c>
      <c r="FY315" s="62">
        <f>SUMIFS(tblSafety[MTI],tblSafety[Date],$A315)</f>
        <v/>
      </c>
      <c r="FZ315" s="62">
        <f>IF($B315=$B314,$FZ314,0)+$FY315</f>
        <v/>
      </c>
      <c r="GA315" s="62">
        <f>$GA314+$FY315</f>
        <v/>
      </c>
      <c r="GB315" s="62">
        <f>SUMIFS(tblSafety[FAI],tblSafety[Date],$A315)</f>
        <v/>
      </c>
      <c r="GC315" s="62">
        <f>IF($B315=$B314,$GC314,0)+$GB315</f>
        <v/>
      </c>
      <c r="GD315" s="62">
        <f>$GD314+$GB315</f>
        <v/>
      </c>
      <c r="GE315" s="62">
        <f>SUMIFS(tblSafety[Recordables],tblSafety[Date],$A315)</f>
        <v/>
      </c>
      <c r="GF315" s="62">
        <f>IF($B315=$B314,$GF314,0)+$GE315</f>
        <v/>
      </c>
      <c r="GG315" s="62">
        <f>$GG314+$GE315</f>
        <v/>
      </c>
      <c r="GH315" s="62">
        <f>SUMIFS(tblSafety[Near_Miss],tblSafety[Date],$A315)</f>
        <v/>
      </c>
      <c r="GI315" s="62">
        <f>IF($B315=$B314,$GI314,0)+$GH315</f>
        <v/>
      </c>
      <c r="GJ315" s="62">
        <f>$GJ314+$GH315</f>
        <v/>
      </c>
      <c r="GK315" s="62">
        <f>SUMIFS(tblSafety[Hazard_Reports],tblSafety[Date],$A315)</f>
        <v/>
      </c>
      <c r="GL315" s="62">
        <f>IF($B315=$B314,$GL314,0)+$GK315</f>
        <v/>
      </c>
      <c r="GM315" s="62">
        <f>$GM314+$GK315</f>
        <v/>
      </c>
      <c r="GN315" s="62">
        <f>SUMIFS(tblSafety[HPI],tblSafety[Date],$A315)</f>
        <v/>
      </c>
      <c r="GO315" s="62">
        <f>IF($B315=$B314,$GO314,0)+$GN315</f>
        <v/>
      </c>
      <c r="GP315" s="62">
        <f>$GP314+$GN315</f>
        <v/>
      </c>
      <c r="GQ315" s="62">
        <f>SUMIFS(tblSafety[Env_Incidents],tblSafety[Date],$A315)</f>
        <v/>
      </c>
      <c r="GR315" s="62">
        <f>IF($B315=$B314,$GR314,0)+$GQ315</f>
        <v/>
      </c>
      <c r="GS315" s="62">
        <f>$GS314+$GQ315</f>
        <v/>
      </c>
      <c r="GT315" s="62">
        <f>SUMIFS(tblSafety[Community_Incidents],tblSafety[Date],$A315)</f>
        <v/>
      </c>
      <c r="GU315" s="62">
        <f>IF($B315=$B314,$GU314,0)+$GT315</f>
        <v/>
      </c>
      <c r="GV315" s="62">
        <f>$GV314+$GT315</f>
        <v/>
      </c>
      <c r="GW315" s="62">
        <f>SUMIFS(tblSafety[Vehicle_Incidents],tblSafety[Date],$A315)</f>
        <v/>
      </c>
      <c r="GX315" s="62">
        <f>IF($B315=$B314,$GX314,0)+$GW315</f>
        <v/>
      </c>
      <c r="GY315" s="62">
        <f>$GY314+$GW315</f>
        <v/>
      </c>
      <c r="GZ315" s="62">
        <f>SUMIFS(tblSafety[Toolbox_Talks],tblSafety[Date],$A315)</f>
        <v/>
      </c>
      <c r="HA315" s="62">
        <f>IF($B315=$B314,$HA314,0)+$GZ315</f>
        <v/>
      </c>
      <c r="HB315" s="62">
        <f>$HB314+$GZ315</f>
        <v/>
      </c>
      <c r="HC315" s="62">
        <f>SUMIFS(tblSafety[Inspections],tblSafety[Date],$A315)</f>
        <v/>
      </c>
      <c r="HD315" s="62">
        <f>IF($B315=$B314,$HD314,0)+$HC315</f>
        <v/>
      </c>
      <c r="HE315" s="62">
        <f>$HE314+$HC315</f>
        <v/>
      </c>
      <c r="HF315" s="56">
        <f>IFERROR((SUMIFS(tblSafety[Recordables],tblSafety[Date],"&gt;="&amp;EDATE($E315,-12),tblSafety[Date],"&lt;="&amp;$A315)+SUMIFS(tblSafetyHistory[Recordables],tblSafetyHistory[Month],"&gt;="&amp;EDATE($E315,-12),tblSafetyHistory[Month],"&lt;"&amp;cfg_YearStart))/(SUMIFS(tblSafety[Hours_Total],tblSafety[Date],"&gt;="&amp;EDATE($E315,-12),tblSafety[Date],"&lt;="&amp;$A315)+SUMIFS(tblSafetyHistory[Hours_Total],tblSafetyHistory[Month],"&gt;="&amp;EDATE($E315,-12),tblSafetyHistory[Month],"&lt;"&amp;cfg_YearStart))*1000000,"")</f>
        <v/>
      </c>
      <c r="HG315" s="56">
        <f>IFERROR((SUMIFS(tblSafety[LTI],tblSafety[Date],"&gt;="&amp;EDATE($E315,-12),tblSafety[Date],"&lt;="&amp;$A315)+SUMIFS(tblSafetyHistory[LTI],tblSafetyHistory[Month],"&gt;="&amp;EDATE($E315,-12),tblSafetyHistory[Month],"&lt;"&amp;cfg_YearStart))/(SUMIFS(tblSafety[Hours_Total],tblSafety[Date],"&gt;="&amp;EDATE($E315,-12),tblSafety[Date],"&lt;="&amp;$A315)+SUMIFS(tblSafetyHistory[Hours_Total],tblSafetyHistory[Month],"&gt;="&amp;EDATE($E315,-12),tblSafetyHistory[Month],"&lt;"&amp;cfg_YearStart))*1000000,"")</f>
        <v/>
      </c>
      <c r="HH315" s="62">
        <f>IF(MAX(N(cfg_PriorLTIDate),_xlfn.MAXIFS(tblSafety[Date],tblSafety[LTI],"&gt;0",tblSafety[Date],"&lt;="&amp;$A315))=0,"",$A315-MAX(N(cfg_PriorLTIDate),_xlfn.MAXIFS(tblSafety[Date],tblSafety[LTI],"&gt;0",tblSafety[Date],"&lt;="&amp;$A315)))</f>
        <v/>
      </c>
      <c r="HI315" s="55">
        <f>SUMIFS(tblBudget[Ore_Mined_t],tblBudget[Month],$E315)</f>
        <v/>
      </c>
      <c r="HJ315" s="55">
        <f>$HI315*$C315/$D315</f>
        <v/>
      </c>
      <c r="HK315" s="55">
        <f>SUMIFS(tblBudget[Ore_Mined_t],tblBudget[Month],"&lt;"&amp;$E315)+$HJ315</f>
        <v/>
      </c>
      <c r="HL315" s="55">
        <f>SUMIFS(tblBudget[Ore_oz],tblBudget[Month],$E315)</f>
        <v/>
      </c>
      <c r="HM315" s="55">
        <f>$HL315*$C315/$D315</f>
        <v/>
      </c>
      <c r="HN315" s="55">
        <f>SUMIFS(tblBudget[Ore_oz],tblBudget[Month],"&lt;"&amp;$E315)+$HM315</f>
        <v/>
      </c>
      <c r="HO315" s="56">
        <f>IFERROR(IF(($HI315)&gt;0,($HL315*cfg_TroyOz)/($HI315),""),"")</f>
        <v/>
      </c>
      <c r="HP315" s="56">
        <f>IFERROR(IF(($HJ315)&gt;0,($HM315*cfg_TroyOz)/($HJ315),""),"")</f>
        <v/>
      </c>
      <c r="HQ315" s="56">
        <f>IFERROR(IF(($HK315)&gt;0,($HN315*cfg_TroyOz)/($HK315),""),"")</f>
        <v/>
      </c>
      <c r="HR315" s="55">
        <f>SUMIFS(tblBudget[Waste_t],tblBudget[Month],$E315)</f>
        <v/>
      </c>
      <c r="HS315" s="55">
        <f>$HR315*$C315/$D315</f>
        <v/>
      </c>
      <c r="HT315" s="55">
        <f>SUMIFS(tblBudget[Waste_t],tblBudget[Month],"&lt;"&amp;$E315)+$HS315</f>
        <v/>
      </c>
      <c r="HU315" s="55">
        <f>SUMIFS(tblBudget[TMM_t],tblBudget[Month],$E315)</f>
        <v/>
      </c>
      <c r="HV315" s="55">
        <f>$HU315*$C315/$D315</f>
        <v/>
      </c>
      <c r="HW315" s="55">
        <f>SUMIFS(tblBudget[TMM_t],tblBudget[Month],"&lt;"&amp;$E315)+$HV315</f>
        <v/>
      </c>
      <c r="HX315" s="56">
        <f>IFERROR(IF(($HI315)&gt;0,($HR315)/($HI315),""),"")</f>
        <v/>
      </c>
      <c r="HY315" s="56">
        <f>IFERROR(IF(($HJ315)&gt;0,($HS315)/($HJ315),""),"")</f>
        <v/>
      </c>
      <c r="HZ315" s="56">
        <f>IFERROR(IF(($HK315)&gt;0,($HT315)/($HK315),""),"")</f>
        <v/>
      </c>
      <c r="IA315" s="55">
        <f>SUMIFS(tblBudget[Drill_m],tblBudget[Month],$E315)</f>
        <v/>
      </c>
      <c r="IB315" s="55">
        <f>$IA315*$C315/$D315</f>
        <v/>
      </c>
      <c r="IC315" s="55">
        <f>SUMIFS(tblBudget[Drill_m],tblBudget[Month],"&lt;"&amp;$E315)+$IB315</f>
        <v/>
      </c>
      <c r="ID315" s="55">
        <f>SUMIFS(tblBudget[Diesel_L],tblBudget[Month],$E315)</f>
        <v/>
      </c>
      <c r="IE315" s="55">
        <f>$ID315*$C315/$D315</f>
        <v/>
      </c>
      <c r="IF315" s="55">
        <f>SUMIFS(tblBudget[Diesel_L],tblBudget[Month],"&lt;"&amp;$E315)+$IE315</f>
        <v/>
      </c>
      <c r="IG315" s="55">
        <f>SUMIFS(tblBudget[Milled_t],tblBudget[Month],$E315)</f>
        <v/>
      </c>
      <c r="IH315" s="55">
        <f>$IG315*$C315/$D315</f>
        <v/>
      </c>
      <c r="II315" s="55">
        <f>SUMIFS(tblBudget[Milled_t],tblBudget[Month],"&lt;"&amp;$E315)+$IH315</f>
        <v/>
      </c>
      <c r="IJ315" s="55">
        <f>SUMIFS(tblBudget[Feed_oz],tblBudget[Month],$E315)</f>
        <v/>
      </c>
      <c r="IK315" s="55">
        <f>$IJ315*$C315/$D315</f>
        <v/>
      </c>
      <c r="IL315" s="55">
        <f>SUMIFS(tblBudget[Feed_oz],tblBudget[Month],"&lt;"&amp;$E315)+$IK315</f>
        <v/>
      </c>
      <c r="IM315" s="55">
        <f>SUMIFS(tblBudget[Recovered_oz],tblBudget[Month],$E315)</f>
        <v/>
      </c>
      <c r="IN315" s="55">
        <f>$IM315*$C315/$D315</f>
        <v/>
      </c>
      <c r="IO315" s="55">
        <f>SUMIFS(tblBudget[Recovered_oz],tblBudget[Month],"&lt;"&amp;$E315)+$IN315</f>
        <v/>
      </c>
      <c r="IP315" s="56">
        <f>IFERROR(IF(($IG315)&gt;0,($IJ315*cfg_TroyOz)/($IG315),""),"")</f>
        <v/>
      </c>
      <c r="IQ315" s="56">
        <f>IFERROR(IF(($IH315)&gt;0,($IK315*cfg_TroyOz)/($IH315),""),"")</f>
        <v/>
      </c>
      <c r="IR315" s="56">
        <f>IFERROR(IF(($II315)&gt;0,($IL315*cfg_TroyOz)/($II315),""),"")</f>
        <v/>
      </c>
      <c r="IS315" s="67">
        <f>IFERROR(IF(($IJ315)&gt;0,($IM315)/($IJ315),""),"")</f>
        <v/>
      </c>
      <c r="IT315" s="67">
        <f>IFERROR(IF(($IK315)&gt;0,($IN315)/($IK315),""),"")</f>
        <v/>
      </c>
      <c r="IU315" s="67">
        <f>IFERROR(IF(($IL315)&gt;0,($IO315)/($IL315),""),"")</f>
        <v/>
      </c>
      <c r="IV315" s="55">
        <f>SUMIFS(tblBudget[Gold_Poured_oz],tblBudget[Month],$E315)</f>
        <v/>
      </c>
      <c r="IW315" s="55">
        <f>$IV315*$C315/$D315</f>
        <v/>
      </c>
      <c r="IX315" s="55">
        <f>SUMIFS(tblBudget[Gold_Poured_oz],tblBudget[Month],"&lt;"&amp;$E315)+$IW315</f>
        <v/>
      </c>
      <c r="IY315" s="57">
        <f>SUMIFS(tblBudget[Hours_Worked],tblBudget[Month],$E315)</f>
        <v/>
      </c>
      <c r="IZ315" s="57">
        <f>$IY315*$C315/$D315</f>
        <v/>
      </c>
      <c r="JA315" s="57">
        <f>SUMIFS(tblBudget[Hours_Worked],tblBudget[Month],"&lt;"&amp;$E315)+$IZ315</f>
        <v/>
      </c>
    </row>
    <row r="316">
      <c r="A316" s="54" t="n">
        <v>46337</v>
      </c>
      <c r="B316">
        <f>MONTH($A316)</f>
        <v/>
      </c>
      <c r="C316">
        <f>DAY($A316)</f>
        <v/>
      </c>
      <c r="D316">
        <f>DAY(EOMONTH($A316,0))</f>
        <v/>
      </c>
      <c r="E316" s="54">
        <f>DATE(YEAR($A316),MONTH($A316),1)</f>
        <v/>
      </c>
      <c r="F316" s="55">
        <f>SUMIFS(tblMovement[Tonnes_t],tblMovement[Date],$A316,tblMovement[Is_Ore],1,tblMovement[Source_Type],"Pit")</f>
        <v/>
      </c>
      <c r="G316" s="55">
        <f>IF($B316=$B315,$G315,0)+$F316</f>
        <v/>
      </c>
      <c r="H316" s="55">
        <f>$H315+$F316</f>
        <v/>
      </c>
      <c r="I316" s="55">
        <f>SUMIFS(tblMovement[Ore_oz],tblMovement[Date],$A316,tblMovement[Source_Type],"Pit")</f>
        <v/>
      </c>
      <c r="J316" s="55">
        <f>IF($B316=$B315,$J315,0)+$I316</f>
        <v/>
      </c>
      <c r="K316" s="55">
        <f>$K315+$I316</f>
        <v/>
      </c>
      <c r="L316" s="56">
        <f>IFERROR(IF(($F316)&gt;0,($I316*cfg_TroyOz)/($F316),""),"")</f>
        <v/>
      </c>
      <c r="M316" s="56">
        <f>IFERROR(IF(($G316)&gt;0,($J316*cfg_TroyOz)/($G316),""),"")</f>
        <v/>
      </c>
      <c r="N316" s="56">
        <f>IFERROR(IF(($H316)&gt;0,($K316*cfg_TroyOz)/($H316),""),"")</f>
        <v/>
      </c>
      <c r="O316" s="55">
        <f>SUMIFS(tblMovement[Tonnes_t],tblMovement[Date],$A316,tblMovement[Is_Ore],0,tblMovement[Source_Type],"Pit")</f>
        <v/>
      </c>
      <c r="P316" s="55">
        <f>IF($B316=$B315,$P315,0)+$O316</f>
        <v/>
      </c>
      <c r="Q316" s="55">
        <f>$Q315+$O316</f>
        <v/>
      </c>
      <c r="R316" s="55">
        <f>$F316+$O316</f>
        <v/>
      </c>
      <c r="S316" s="55">
        <f>IF($B316=$B315,$S315,0)+$R316</f>
        <v/>
      </c>
      <c r="T316" s="55">
        <f>$T315+$R316</f>
        <v/>
      </c>
      <c r="U316" s="56">
        <f>IFERROR(IF(($F316)&gt;0,($O316)/($F316),""),"")</f>
        <v/>
      </c>
      <c r="V316" s="56">
        <f>IFERROR(IF(($G316)&gt;0,($P316)/($G316),""),"")</f>
        <v/>
      </c>
      <c r="W316" s="56">
        <f>IFERROR(IF(($H316)&gt;0,($Q316)/($H316),""),"")</f>
        <v/>
      </c>
      <c r="X316" s="55">
        <f>SUMIFS(tblMovement[Tonnes_t],tblMovement[Date],$A316,tblMovement[Source_Type],"Stockpile")</f>
        <v/>
      </c>
      <c r="Y316" s="55">
        <f>IF($B316=$B315,$Y315,0)+$X316</f>
        <v/>
      </c>
      <c r="Z316" s="55">
        <f>$Z315+$X316</f>
        <v/>
      </c>
      <c r="AA316" s="55">
        <f>SUMIFS(tblMiningDaily[Drill_m],tblMiningDaily[Date],$A316)</f>
        <v/>
      </c>
      <c r="AB316" s="55">
        <f>IF($B316=$B315,$AB315,0)+$AA316</f>
        <v/>
      </c>
      <c r="AC316" s="55">
        <f>$AC315+$AA316</f>
        <v/>
      </c>
      <c r="AD316" s="55">
        <f>SUMIFS(tblMiningDaily[Blast_t],tblMiningDaily[Date],$A316)</f>
        <v/>
      </c>
      <c r="AE316" s="55">
        <f>IF($B316=$B315,$AE315,0)+$AD316</f>
        <v/>
      </c>
      <c r="AF316" s="55">
        <f>$AF315+$AD316</f>
        <v/>
      </c>
      <c r="AG316" s="55">
        <f>SUMIFS(tblMiningDaily[Explosives_kg],tblMiningDaily[Date],$A316)</f>
        <v/>
      </c>
      <c r="AH316" s="55">
        <f>IF($B316=$B315,$AH315,0)+$AG316</f>
        <v/>
      </c>
      <c r="AI316" s="55">
        <f>$AI315+$AG316</f>
        <v/>
      </c>
      <c r="AJ316" s="56">
        <f>IFERROR(IF(($AD316)&gt;0,($AG316)/($AD316),""),"")</f>
        <v/>
      </c>
      <c r="AK316" s="56">
        <f>IFERROR(IF(($AE316)&gt;0,($AH316)/($AE316),""),"")</f>
        <v/>
      </c>
      <c r="AL316" s="56">
        <f>IFERROR(IF(($AF316)&gt;0,($AI316)/($AF316),""),"")</f>
        <v/>
      </c>
      <c r="AM316" s="55">
        <f>SUMIFS(tblMiningDaily[Diesel_L],tblMiningDaily[Date],$A316)</f>
        <v/>
      </c>
      <c r="AN316" s="55">
        <f>IF($B316=$B315,$AN315,0)+$AM316</f>
        <v/>
      </c>
      <c r="AO316" s="55">
        <f>$AO315+$AM316</f>
        <v/>
      </c>
      <c r="AP316" s="55">
        <f>SUMIFS(tblMiningDaily[Dewatering_m3],tblMiningDaily[Date],$A316)</f>
        <v/>
      </c>
      <c r="AQ316" s="55">
        <f>IF($B316=$B315,$AQ315,0)+$AP316</f>
        <v/>
      </c>
      <c r="AR316" s="55">
        <f>$AR315+$AP316</f>
        <v/>
      </c>
      <c r="AS316" s="57">
        <f>SUMIFS(tblFleet[Calendar_h],tblFleet[Date],$A316,tblFleet[Equipment_Class],"Excavator")</f>
        <v/>
      </c>
      <c r="AT316" s="57">
        <f>IF($B316=$B315,$AT315,0)+$AS316</f>
        <v/>
      </c>
      <c r="AU316" s="57">
        <f>$AU315+$AS316</f>
        <v/>
      </c>
      <c r="AV316" s="57">
        <f>SUMIFS(tblFleet[Available_h],tblFleet[Date],$A316,tblFleet[Equipment_Class],"Excavator")</f>
        <v/>
      </c>
      <c r="AW316" s="57">
        <f>IF($B316=$B315,$AW315,0)+$AV316</f>
        <v/>
      </c>
      <c r="AX316" s="57">
        <f>$AX315+$AV316</f>
        <v/>
      </c>
      <c r="AY316" s="57">
        <f>SUMIFS(tblFleet[Operating_h],tblFleet[Date],$A316,tblFleet[Equipment_Class],"Excavator")</f>
        <v/>
      </c>
      <c r="AZ316" s="57">
        <f>IF($B316=$B315,$AZ315,0)+$AY316</f>
        <v/>
      </c>
      <c r="BA316" s="57">
        <f>$BA315+$AY316</f>
        <v/>
      </c>
      <c r="BB316" s="67">
        <f>IFERROR(IF(($AS316)&gt;0,($AV316)/($AS316),""),"")</f>
        <v/>
      </c>
      <c r="BC316" s="67">
        <f>IFERROR(IF(($AT316)&gt;0,($AW316)/($AT316),""),"")</f>
        <v/>
      </c>
      <c r="BD316" s="67">
        <f>IFERROR(IF(($AU316)&gt;0,($AX316)/($AU316),""),"")</f>
        <v/>
      </c>
      <c r="BE316" s="67">
        <f>IFERROR(IF(($AV316)&gt;0,($AY316)/($AV316),""),"")</f>
        <v/>
      </c>
      <c r="BF316" s="67">
        <f>IFERROR(IF(($AW316)&gt;0,($AZ316)/($AW316),""),"")</f>
        <v/>
      </c>
      <c r="BG316" s="67">
        <f>IFERROR(IF(($AX316)&gt;0,($BA316)/($AX316),""),"")</f>
        <v/>
      </c>
      <c r="BH316" s="57">
        <f>SUMIFS(tblFleet[Calendar_h],tblFleet[Date],$A316,tblFleet[Equipment_Class],"Haul Truck")</f>
        <v/>
      </c>
      <c r="BI316" s="57">
        <f>IF($B316=$B315,$BI315,0)+$BH316</f>
        <v/>
      </c>
      <c r="BJ316" s="57">
        <f>$BJ315+$BH316</f>
        <v/>
      </c>
      <c r="BK316" s="57">
        <f>SUMIFS(tblFleet[Available_h],tblFleet[Date],$A316,tblFleet[Equipment_Class],"Haul Truck")</f>
        <v/>
      </c>
      <c r="BL316" s="57">
        <f>IF($B316=$B315,$BL315,0)+$BK316</f>
        <v/>
      </c>
      <c r="BM316" s="57">
        <f>$BM315+$BK316</f>
        <v/>
      </c>
      <c r="BN316" s="57">
        <f>SUMIFS(tblFleet[Operating_h],tblFleet[Date],$A316,tblFleet[Equipment_Class],"Haul Truck")</f>
        <v/>
      </c>
      <c r="BO316" s="57">
        <f>IF($B316=$B315,$BO315,0)+$BN316</f>
        <v/>
      </c>
      <c r="BP316" s="57">
        <f>$BP315+$BN316</f>
        <v/>
      </c>
      <c r="BQ316" s="67">
        <f>IFERROR(IF(($BH316)&gt;0,($BK316)/($BH316),""),"")</f>
        <v/>
      </c>
      <c r="BR316" s="67">
        <f>IFERROR(IF(($BI316)&gt;0,($BL316)/($BI316),""),"")</f>
        <v/>
      </c>
      <c r="BS316" s="67">
        <f>IFERROR(IF(($BJ316)&gt;0,($BM316)/($BJ316),""),"")</f>
        <v/>
      </c>
      <c r="BT316" s="67">
        <f>IFERROR(IF(($BK316)&gt;0,($BN316)/($BK316),""),"")</f>
        <v/>
      </c>
      <c r="BU316" s="67">
        <f>IFERROR(IF(($BL316)&gt;0,($BO316)/($BL316),""),"")</f>
        <v/>
      </c>
      <c r="BV316" s="67">
        <f>IFERROR(IF(($BM316)&gt;0,($BP316)/($BM316),""),"")</f>
        <v/>
      </c>
      <c r="BW316" s="55">
        <f>SUMIFS(tblPlant[Crushed_t],tblPlant[Date],$A316)</f>
        <v/>
      </c>
      <c r="BX316" s="55">
        <f>IF($B316=$B315,$BX315,0)+$BW316</f>
        <v/>
      </c>
      <c r="BY316" s="55">
        <f>$BY315+$BW316</f>
        <v/>
      </c>
      <c r="BZ316" s="55">
        <f>SUMIFS(tblPlant[Milled_t],tblPlant[Date],$A316)</f>
        <v/>
      </c>
      <c r="CA316" s="55">
        <f>IF($B316=$B315,$CA315,0)+$BZ316</f>
        <v/>
      </c>
      <c r="CB316" s="55">
        <f>$CB315+$BZ316</f>
        <v/>
      </c>
      <c r="CC316" s="55">
        <f>SUMIFS(tblPlant[Feed_oz],tblPlant[Date],$A316)</f>
        <v/>
      </c>
      <c r="CD316" s="55">
        <f>IF($B316=$B315,$CD315,0)+$CC316</f>
        <v/>
      </c>
      <c r="CE316" s="55">
        <f>$CE315+$CC316</f>
        <v/>
      </c>
      <c r="CF316" s="55">
        <f>SUMIFS(tblPlant[Tails_oz],tblPlant[Date],$A316)</f>
        <v/>
      </c>
      <c r="CG316" s="55">
        <f>IF($B316=$B315,$CG315,0)+$CF316</f>
        <v/>
      </c>
      <c r="CH316" s="55">
        <f>$CH315+$CF316</f>
        <v/>
      </c>
      <c r="CI316" s="55">
        <f>SUMIFS(tblPlant[Recovered_oz],tblPlant[Date],$A316)</f>
        <v/>
      </c>
      <c r="CJ316" s="55">
        <f>IF($B316=$B315,$CJ315,0)+$CI316</f>
        <v/>
      </c>
      <c r="CK316" s="55">
        <f>$CK315+$CI316</f>
        <v/>
      </c>
      <c r="CL316" s="56">
        <f>IFERROR(IF(($BZ316)&gt;0,($CC316*cfg_TroyOz)/($BZ316),""),"")</f>
        <v/>
      </c>
      <c r="CM316" s="56">
        <f>IFERROR(IF(($CA316)&gt;0,($CD316*cfg_TroyOz)/($CA316),""),"")</f>
        <v/>
      </c>
      <c r="CN316" s="56">
        <f>IFERROR(IF(($CB316)&gt;0,($CE316*cfg_TroyOz)/($CB316),""),"")</f>
        <v/>
      </c>
      <c r="CO316" s="56">
        <f>IFERROR(IF(($BZ316)&gt;0,($CF316*cfg_TroyOz)/($BZ316),""),"")</f>
        <v/>
      </c>
      <c r="CP316" s="56">
        <f>IFERROR(IF(($CA316)&gt;0,($CG316*cfg_TroyOz)/($CA316),""),"")</f>
        <v/>
      </c>
      <c r="CQ316" s="56">
        <f>IFERROR(IF(($CB316)&gt;0,($CH316*cfg_TroyOz)/($CB316),""),"")</f>
        <v/>
      </c>
      <c r="CR316" s="67">
        <f>IFERROR(IF(($CC316)&gt;0,($CI316)/($CC316),""),"")</f>
        <v/>
      </c>
      <c r="CS316" s="67">
        <f>IFERROR(IF(($CD316)&gt;0,($CJ316)/($CD316),""),"")</f>
        <v/>
      </c>
      <c r="CT316" s="67">
        <f>IFERROR(IF(($CE316)&gt;0,($CK316)/($CE316),""),"")</f>
        <v/>
      </c>
      <c r="CU316" s="55">
        <f>SUMIFS(tblPlant[Gravity_Gold_oz],tblPlant[Date],$A316)</f>
        <v/>
      </c>
      <c r="CV316" s="55">
        <f>IF($B316=$B315,$CV315,0)+$CU316</f>
        <v/>
      </c>
      <c r="CW316" s="55">
        <f>$CW315+$CU316</f>
        <v/>
      </c>
      <c r="CX316" s="55">
        <f>SUMIFS(tblPlant[Gold_Poured_oz],tblPlant[Date],$A316)</f>
        <v/>
      </c>
      <c r="CY316" s="55">
        <f>IF($B316=$B315,$CY315,0)+$CX316</f>
        <v/>
      </c>
      <c r="CZ316" s="55">
        <f>$CZ315+$CX316</f>
        <v/>
      </c>
      <c r="DA316" s="57">
        <f>SUMIFS(tblPlant[Mill_Run_h],tblPlant[Date],$A316)</f>
        <v/>
      </c>
      <c r="DB316" s="57">
        <f>IF($B316=$B315,$DB315,0)+$DA316</f>
        <v/>
      </c>
      <c r="DC316" s="57">
        <f>$DC315+$DA316</f>
        <v/>
      </c>
      <c r="DD316" s="57">
        <f>SUMIFS(tblPlant[Mill_Planned_Maint_h],tblPlant[Date],$A316)</f>
        <v/>
      </c>
      <c r="DE316" s="57">
        <f>IF($B316=$B315,$DE315,0)+$DD316</f>
        <v/>
      </c>
      <c r="DF316" s="57">
        <f>$DF315+$DD316</f>
        <v/>
      </c>
      <c r="DG316" s="57">
        <f>SUMIFS(tblPlant[Mill_Unplanned_Down_h],tblPlant[Date],$A316)</f>
        <v/>
      </c>
      <c r="DH316" s="57">
        <f>IF($B316=$B315,$DH315,0)+$DG316</f>
        <v/>
      </c>
      <c r="DI316" s="57">
        <f>$DI315+$DG316</f>
        <v/>
      </c>
      <c r="DJ316" s="57">
        <f>COUNTIFS(tblPlant[Date],$A316,tblPlant[Mill_Run_h],"&lt;&gt;")*24</f>
        <v/>
      </c>
      <c r="DK316" s="57">
        <f>IF($B316=$B315,$DK315,0)+$DJ316</f>
        <v/>
      </c>
      <c r="DL316" s="57">
        <f>$DL315+$DJ316</f>
        <v/>
      </c>
      <c r="DM316" s="57">
        <f>SUMIFS(tblPlant[Crusher_Run_h],tblPlant[Date],$A316)</f>
        <v/>
      </c>
      <c r="DN316" s="57">
        <f>IF($B316=$B315,$DN315,0)+$DM316</f>
        <v/>
      </c>
      <c r="DO316" s="57">
        <f>$DO315+$DM316</f>
        <v/>
      </c>
      <c r="DP316" s="55">
        <f>IFERROR(IF(($DA316)&gt;0,($BZ316)/($DA316),""),"")</f>
        <v/>
      </c>
      <c r="DQ316" s="55">
        <f>IFERROR(IF(($DB316)&gt;0,($CA316)/($DB316),""),"")</f>
        <v/>
      </c>
      <c r="DR316" s="55">
        <f>IFERROR(IF(($DC316)&gt;0,($CB316)/($DC316),""),"")</f>
        <v/>
      </c>
      <c r="DS316" s="67">
        <f>IFERROR(IF(($DJ316)&gt;0,($DJ316-$DD316-$DG316)/($DJ316),""),"")</f>
        <v/>
      </c>
      <c r="DT316" s="67">
        <f>IFERROR(IF(($DK316)&gt;0,($DK316-$DE316-$DH316)/($DK316),""),"")</f>
        <v/>
      </c>
      <c r="DU316" s="67">
        <f>IFERROR(IF(($DL316)&gt;0,($DL316-$DF316-$DI316)/($DL316),""),"")</f>
        <v/>
      </c>
      <c r="DV316" s="67">
        <f>IFERROR(IF(($DJ316-$DD316-$DG316)&gt;0,($DA316)/($DJ316-$DD316-$DG316),""),"")</f>
        <v/>
      </c>
      <c r="DW316" s="67">
        <f>IFERROR(IF(($DK316-$DE316-$DH316)&gt;0,($DB316)/($DK316-$DE316-$DH316),""),"")</f>
        <v/>
      </c>
      <c r="DX316" s="67">
        <f>IFERROR(IF(($DL316-$DF316-$DI316)&gt;0,($DC316)/($DL316-$DF316-$DI316),""),"")</f>
        <v/>
      </c>
      <c r="DY316" s="55">
        <f>SUMIFS(tblPlant[Cyanide_kg],tblPlant[Date],$A316)</f>
        <v/>
      </c>
      <c r="DZ316" s="55">
        <f>IF($B316=$B315,$DZ315,0)+$DY316</f>
        <v/>
      </c>
      <c r="EA316" s="55">
        <f>$EA315+$DY316</f>
        <v/>
      </c>
      <c r="EB316" s="55">
        <f>SUMIFS(tblPlant[Lime_kg],tblPlant[Date],$A316)</f>
        <v/>
      </c>
      <c r="EC316" s="55">
        <f>IF($B316=$B315,$EC315,0)+$EB316</f>
        <v/>
      </c>
      <c r="ED316" s="55">
        <f>$ED315+$EB316</f>
        <v/>
      </c>
      <c r="EE316" s="55">
        <f>SUMIFS(tblPlant[Grinding_Media_kg],tblPlant[Date],$A316)</f>
        <v/>
      </c>
      <c r="EF316" s="55">
        <f>IF($B316=$B315,$EF315,0)+$EE316</f>
        <v/>
      </c>
      <c r="EG316" s="55">
        <f>$EG315+$EE316</f>
        <v/>
      </c>
      <c r="EH316" s="55">
        <f>SUMIFS(tblPlant[Power_kWh],tblPlant[Date],$A316)</f>
        <v/>
      </c>
      <c r="EI316" s="55">
        <f>IF($B316=$B315,$EI315,0)+$EH316</f>
        <v/>
      </c>
      <c r="EJ316" s="55">
        <f>$EJ315+$EH316</f>
        <v/>
      </c>
      <c r="EK316" s="55">
        <f>SUMIFS(tblPlant[Raw_Water_m3],tblPlant[Date],$A316)</f>
        <v/>
      </c>
      <c r="EL316" s="55">
        <f>IF($B316=$B315,$EL315,0)+$EK316</f>
        <v/>
      </c>
      <c r="EM316" s="55">
        <f>$EM315+$EK316</f>
        <v/>
      </c>
      <c r="EN316" s="56">
        <f>IFERROR(IF(($BZ316)&gt;0,($DY316)/($BZ316),""),"")</f>
        <v/>
      </c>
      <c r="EO316" s="56">
        <f>IFERROR(IF(($CA316)&gt;0,($DZ316)/($CA316),""),"")</f>
        <v/>
      </c>
      <c r="EP316" s="56">
        <f>IFERROR(IF(($CB316)&gt;0,($EA316)/($CB316),""),"")</f>
        <v/>
      </c>
      <c r="EQ316" s="56">
        <f>IFERROR(IF(($BZ316)&gt;0,($EB316)/($BZ316),""),"")</f>
        <v/>
      </c>
      <c r="ER316" s="56">
        <f>IFERROR(IF(($CA316)&gt;0,($EC316)/($CA316),""),"")</f>
        <v/>
      </c>
      <c r="ES316" s="56">
        <f>IFERROR(IF(($CB316)&gt;0,($ED316)/($CB316),""),"")</f>
        <v/>
      </c>
      <c r="ET316" s="56">
        <f>IFERROR(IF(($BZ316)&gt;0,($EE316)/($BZ316),""),"")</f>
        <v/>
      </c>
      <c r="EU316" s="56">
        <f>IFERROR(IF(($CA316)&gt;0,($EF316)/($CA316),""),"")</f>
        <v/>
      </c>
      <c r="EV316" s="56">
        <f>IFERROR(IF(($CB316)&gt;0,($EG316)/($CB316),""),"")</f>
        <v/>
      </c>
      <c r="EW316" s="76">
        <f>IFERROR(IF(($BZ316)&gt;0,($EH316)/($BZ316),""),"")</f>
        <v/>
      </c>
      <c r="EX316" s="76">
        <f>IFERROR(IF(($CA316)&gt;0,($EI316)/($CA316),""),"")</f>
        <v/>
      </c>
      <c r="EY316" s="76">
        <f>IFERROR(IF(($CB316)&gt;0,($EJ316)/($CB316),""),"")</f>
        <v/>
      </c>
      <c r="EZ316" s="56">
        <f>IFERROR(IF(($BZ316)&gt;0,($EK316)/($BZ316),""),"")</f>
        <v/>
      </c>
      <c r="FA316" s="56">
        <f>IFERROR(IF(($CA316)&gt;0,($EL316)/($CA316),""),"")</f>
        <v/>
      </c>
      <c r="FB316" s="56">
        <f>IFERROR(IF(($CB316)&gt;0,($EM316)/($CB316),""),"")</f>
        <v/>
      </c>
      <c r="FC316" s="55">
        <f>IF(SUMIFS(tblPlant[GIC_oz],tblPlant[Date],$A316)&gt;0,SUMIFS(tblPlant[GIC_oz],tblPlant[Date],$A316),"")</f>
        <v/>
      </c>
      <c r="FD316" s="55">
        <f>SUMIFS(tblGold[Gold_oz],tblGold[Date],$A316,tblGold[Type],"Shipment")</f>
        <v/>
      </c>
      <c r="FE316" s="55">
        <f>IF($B316=$B315,$FE315,0)+$FD316</f>
        <v/>
      </c>
      <c r="FF316" s="55">
        <f>$FF315+$FD316</f>
        <v/>
      </c>
      <c r="FG316" s="55">
        <f>SUMIFS(tblGold[Gold_oz],tblGold[Date],$A316,tblGold[Type],"Sale")</f>
        <v/>
      </c>
      <c r="FH316" s="55">
        <f>IF($B316=$B315,$FH315,0)+$FG316</f>
        <v/>
      </c>
      <c r="FI316" s="55">
        <f>$FI315+$FG316</f>
        <v/>
      </c>
      <c r="FJ316" s="55">
        <f>SUMIFS(tblGold[Dore_kg],tblGold[Date],$A316,tblGold[Type],"Shipment")</f>
        <v/>
      </c>
      <c r="FK316" s="55">
        <f>IF($B316=$B315,$FK315,0)+$FJ316</f>
        <v/>
      </c>
      <c r="FL316" s="55">
        <f>$FL315+$FJ316</f>
        <v/>
      </c>
      <c r="FM316" s="57">
        <f>SUMIFS(tblSafety[Hours_Total],tblSafety[Date],$A316)</f>
        <v/>
      </c>
      <c r="FN316" s="57">
        <f>IF($B316=$B315,$FN315,0)+$FM316</f>
        <v/>
      </c>
      <c r="FO316" s="57">
        <f>$FO315+$FM316</f>
        <v/>
      </c>
      <c r="FP316" s="62">
        <f>SUMIFS(tblSafety[Fatality],tblSafety[Date],$A316)</f>
        <v/>
      </c>
      <c r="FQ316" s="62">
        <f>IF($B316=$B315,$FQ315,0)+$FP316</f>
        <v/>
      </c>
      <c r="FR316" s="62">
        <f>$FR315+$FP316</f>
        <v/>
      </c>
      <c r="FS316" s="62">
        <f>SUMIFS(tblSafety[LTI],tblSafety[Date],$A316)</f>
        <v/>
      </c>
      <c r="FT316" s="62">
        <f>IF($B316=$B315,$FT315,0)+$FS316</f>
        <v/>
      </c>
      <c r="FU316" s="62">
        <f>$FU315+$FS316</f>
        <v/>
      </c>
      <c r="FV316" s="62">
        <f>SUMIFS(tblSafety[RWI],tblSafety[Date],$A316)</f>
        <v/>
      </c>
      <c r="FW316" s="62">
        <f>IF($B316=$B315,$FW315,0)+$FV316</f>
        <v/>
      </c>
      <c r="FX316" s="62">
        <f>$FX315+$FV316</f>
        <v/>
      </c>
      <c r="FY316" s="62">
        <f>SUMIFS(tblSafety[MTI],tblSafety[Date],$A316)</f>
        <v/>
      </c>
      <c r="FZ316" s="62">
        <f>IF($B316=$B315,$FZ315,0)+$FY316</f>
        <v/>
      </c>
      <c r="GA316" s="62">
        <f>$GA315+$FY316</f>
        <v/>
      </c>
      <c r="GB316" s="62">
        <f>SUMIFS(tblSafety[FAI],tblSafety[Date],$A316)</f>
        <v/>
      </c>
      <c r="GC316" s="62">
        <f>IF($B316=$B315,$GC315,0)+$GB316</f>
        <v/>
      </c>
      <c r="GD316" s="62">
        <f>$GD315+$GB316</f>
        <v/>
      </c>
      <c r="GE316" s="62">
        <f>SUMIFS(tblSafety[Recordables],tblSafety[Date],$A316)</f>
        <v/>
      </c>
      <c r="GF316" s="62">
        <f>IF($B316=$B315,$GF315,0)+$GE316</f>
        <v/>
      </c>
      <c r="GG316" s="62">
        <f>$GG315+$GE316</f>
        <v/>
      </c>
      <c r="GH316" s="62">
        <f>SUMIFS(tblSafety[Near_Miss],tblSafety[Date],$A316)</f>
        <v/>
      </c>
      <c r="GI316" s="62">
        <f>IF($B316=$B315,$GI315,0)+$GH316</f>
        <v/>
      </c>
      <c r="GJ316" s="62">
        <f>$GJ315+$GH316</f>
        <v/>
      </c>
      <c r="GK316" s="62">
        <f>SUMIFS(tblSafety[Hazard_Reports],tblSafety[Date],$A316)</f>
        <v/>
      </c>
      <c r="GL316" s="62">
        <f>IF($B316=$B315,$GL315,0)+$GK316</f>
        <v/>
      </c>
      <c r="GM316" s="62">
        <f>$GM315+$GK316</f>
        <v/>
      </c>
      <c r="GN316" s="62">
        <f>SUMIFS(tblSafety[HPI],tblSafety[Date],$A316)</f>
        <v/>
      </c>
      <c r="GO316" s="62">
        <f>IF($B316=$B315,$GO315,0)+$GN316</f>
        <v/>
      </c>
      <c r="GP316" s="62">
        <f>$GP315+$GN316</f>
        <v/>
      </c>
      <c r="GQ316" s="62">
        <f>SUMIFS(tblSafety[Env_Incidents],tblSafety[Date],$A316)</f>
        <v/>
      </c>
      <c r="GR316" s="62">
        <f>IF($B316=$B315,$GR315,0)+$GQ316</f>
        <v/>
      </c>
      <c r="GS316" s="62">
        <f>$GS315+$GQ316</f>
        <v/>
      </c>
      <c r="GT316" s="62">
        <f>SUMIFS(tblSafety[Community_Incidents],tblSafety[Date],$A316)</f>
        <v/>
      </c>
      <c r="GU316" s="62">
        <f>IF($B316=$B315,$GU315,0)+$GT316</f>
        <v/>
      </c>
      <c r="GV316" s="62">
        <f>$GV315+$GT316</f>
        <v/>
      </c>
      <c r="GW316" s="62">
        <f>SUMIFS(tblSafety[Vehicle_Incidents],tblSafety[Date],$A316)</f>
        <v/>
      </c>
      <c r="GX316" s="62">
        <f>IF($B316=$B315,$GX315,0)+$GW316</f>
        <v/>
      </c>
      <c r="GY316" s="62">
        <f>$GY315+$GW316</f>
        <v/>
      </c>
      <c r="GZ316" s="62">
        <f>SUMIFS(tblSafety[Toolbox_Talks],tblSafety[Date],$A316)</f>
        <v/>
      </c>
      <c r="HA316" s="62">
        <f>IF($B316=$B315,$HA315,0)+$GZ316</f>
        <v/>
      </c>
      <c r="HB316" s="62">
        <f>$HB315+$GZ316</f>
        <v/>
      </c>
      <c r="HC316" s="62">
        <f>SUMIFS(tblSafety[Inspections],tblSafety[Date],$A316)</f>
        <v/>
      </c>
      <c r="HD316" s="62">
        <f>IF($B316=$B315,$HD315,0)+$HC316</f>
        <v/>
      </c>
      <c r="HE316" s="62">
        <f>$HE315+$HC316</f>
        <v/>
      </c>
      <c r="HF316" s="56">
        <f>IFERROR((SUMIFS(tblSafety[Recordables],tblSafety[Date],"&gt;="&amp;EDATE($E316,-12),tblSafety[Date],"&lt;="&amp;$A316)+SUMIFS(tblSafetyHistory[Recordables],tblSafetyHistory[Month],"&gt;="&amp;EDATE($E316,-12),tblSafetyHistory[Month],"&lt;"&amp;cfg_YearStart))/(SUMIFS(tblSafety[Hours_Total],tblSafety[Date],"&gt;="&amp;EDATE($E316,-12),tblSafety[Date],"&lt;="&amp;$A316)+SUMIFS(tblSafetyHistory[Hours_Total],tblSafetyHistory[Month],"&gt;="&amp;EDATE($E316,-12),tblSafetyHistory[Month],"&lt;"&amp;cfg_YearStart))*1000000,"")</f>
        <v/>
      </c>
      <c r="HG316" s="56">
        <f>IFERROR((SUMIFS(tblSafety[LTI],tblSafety[Date],"&gt;="&amp;EDATE($E316,-12),tblSafety[Date],"&lt;="&amp;$A316)+SUMIFS(tblSafetyHistory[LTI],tblSafetyHistory[Month],"&gt;="&amp;EDATE($E316,-12),tblSafetyHistory[Month],"&lt;"&amp;cfg_YearStart))/(SUMIFS(tblSafety[Hours_Total],tblSafety[Date],"&gt;="&amp;EDATE($E316,-12),tblSafety[Date],"&lt;="&amp;$A316)+SUMIFS(tblSafetyHistory[Hours_Total],tblSafetyHistory[Month],"&gt;="&amp;EDATE($E316,-12),tblSafetyHistory[Month],"&lt;"&amp;cfg_YearStart))*1000000,"")</f>
        <v/>
      </c>
      <c r="HH316" s="62">
        <f>IF(MAX(N(cfg_PriorLTIDate),_xlfn.MAXIFS(tblSafety[Date],tblSafety[LTI],"&gt;0",tblSafety[Date],"&lt;="&amp;$A316))=0,"",$A316-MAX(N(cfg_PriorLTIDate),_xlfn.MAXIFS(tblSafety[Date],tblSafety[LTI],"&gt;0",tblSafety[Date],"&lt;="&amp;$A316)))</f>
        <v/>
      </c>
      <c r="HI316" s="55">
        <f>SUMIFS(tblBudget[Ore_Mined_t],tblBudget[Month],$E316)</f>
        <v/>
      </c>
      <c r="HJ316" s="55">
        <f>$HI316*$C316/$D316</f>
        <v/>
      </c>
      <c r="HK316" s="55">
        <f>SUMIFS(tblBudget[Ore_Mined_t],tblBudget[Month],"&lt;"&amp;$E316)+$HJ316</f>
        <v/>
      </c>
      <c r="HL316" s="55">
        <f>SUMIFS(tblBudget[Ore_oz],tblBudget[Month],$E316)</f>
        <v/>
      </c>
      <c r="HM316" s="55">
        <f>$HL316*$C316/$D316</f>
        <v/>
      </c>
      <c r="HN316" s="55">
        <f>SUMIFS(tblBudget[Ore_oz],tblBudget[Month],"&lt;"&amp;$E316)+$HM316</f>
        <v/>
      </c>
      <c r="HO316" s="56">
        <f>IFERROR(IF(($HI316)&gt;0,($HL316*cfg_TroyOz)/($HI316),""),"")</f>
        <v/>
      </c>
      <c r="HP316" s="56">
        <f>IFERROR(IF(($HJ316)&gt;0,($HM316*cfg_TroyOz)/($HJ316),""),"")</f>
        <v/>
      </c>
      <c r="HQ316" s="56">
        <f>IFERROR(IF(($HK316)&gt;0,($HN316*cfg_TroyOz)/($HK316),""),"")</f>
        <v/>
      </c>
      <c r="HR316" s="55">
        <f>SUMIFS(tblBudget[Waste_t],tblBudget[Month],$E316)</f>
        <v/>
      </c>
      <c r="HS316" s="55">
        <f>$HR316*$C316/$D316</f>
        <v/>
      </c>
      <c r="HT316" s="55">
        <f>SUMIFS(tblBudget[Waste_t],tblBudget[Month],"&lt;"&amp;$E316)+$HS316</f>
        <v/>
      </c>
      <c r="HU316" s="55">
        <f>SUMIFS(tblBudget[TMM_t],tblBudget[Month],$E316)</f>
        <v/>
      </c>
      <c r="HV316" s="55">
        <f>$HU316*$C316/$D316</f>
        <v/>
      </c>
      <c r="HW316" s="55">
        <f>SUMIFS(tblBudget[TMM_t],tblBudget[Month],"&lt;"&amp;$E316)+$HV316</f>
        <v/>
      </c>
      <c r="HX316" s="56">
        <f>IFERROR(IF(($HI316)&gt;0,($HR316)/($HI316),""),"")</f>
        <v/>
      </c>
      <c r="HY316" s="56">
        <f>IFERROR(IF(($HJ316)&gt;0,($HS316)/($HJ316),""),"")</f>
        <v/>
      </c>
      <c r="HZ316" s="56">
        <f>IFERROR(IF(($HK316)&gt;0,($HT316)/($HK316),""),"")</f>
        <v/>
      </c>
      <c r="IA316" s="55">
        <f>SUMIFS(tblBudget[Drill_m],tblBudget[Month],$E316)</f>
        <v/>
      </c>
      <c r="IB316" s="55">
        <f>$IA316*$C316/$D316</f>
        <v/>
      </c>
      <c r="IC316" s="55">
        <f>SUMIFS(tblBudget[Drill_m],tblBudget[Month],"&lt;"&amp;$E316)+$IB316</f>
        <v/>
      </c>
      <c r="ID316" s="55">
        <f>SUMIFS(tblBudget[Diesel_L],tblBudget[Month],$E316)</f>
        <v/>
      </c>
      <c r="IE316" s="55">
        <f>$ID316*$C316/$D316</f>
        <v/>
      </c>
      <c r="IF316" s="55">
        <f>SUMIFS(tblBudget[Diesel_L],tblBudget[Month],"&lt;"&amp;$E316)+$IE316</f>
        <v/>
      </c>
      <c r="IG316" s="55">
        <f>SUMIFS(tblBudget[Milled_t],tblBudget[Month],$E316)</f>
        <v/>
      </c>
      <c r="IH316" s="55">
        <f>$IG316*$C316/$D316</f>
        <v/>
      </c>
      <c r="II316" s="55">
        <f>SUMIFS(tblBudget[Milled_t],tblBudget[Month],"&lt;"&amp;$E316)+$IH316</f>
        <v/>
      </c>
      <c r="IJ316" s="55">
        <f>SUMIFS(tblBudget[Feed_oz],tblBudget[Month],$E316)</f>
        <v/>
      </c>
      <c r="IK316" s="55">
        <f>$IJ316*$C316/$D316</f>
        <v/>
      </c>
      <c r="IL316" s="55">
        <f>SUMIFS(tblBudget[Feed_oz],tblBudget[Month],"&lt;"&amp;$E316)+$IK316</f>
        <v/>
      </c>
      <c r="IM316" s="55">
        <f>SUMIFS(tblBudget[Recovered_oz],tblBudget[Month],$E316)</f>
        <v/>
      </c>
      <c r="IN316" s="55">
        <f>$IM316*$C316/$D316</f>
        <v/>
      </c>
      <c r="IO316" s="55">
        <f>SUMIFS(tblBudget[Recovered_oz],tblBudget[Month],"&lt;"&amp;$E316)+$IN316</f>
        <v/>
      </c>
      <c r="IP316" s="56">
        <f>IFERROR(IF(($IG316)&gt;0,($IJ316*cfg_TroyOz)/($IG316),""),"")</f>
        <v/>
      </c>
      <c r="IQ316" s="56">
        <f>IFERROR(IF(($IH316)&gt;0,($IK316*cfg_TroyOz)/($IH316),""),"")</f>
        <v/>
      </c>
      <c r="IR316" s="56">
        <f>IFERROR(IF(($II316)&gt;0,($IL316*cfg_TroyOz)/($II316),""),"")</f>
        <v/>
      </c>
      <c r="IS316" s="67">
        <f>IFERROR(IF(($IJ316)&gt;0,($IM316)/($IJ316),""),"")</f>
        <v/>
      </c>
      <c r="IT316" s="67">
        <f>IFERROR(IF(($IK316)&gt;0,($IN316)/($IK316),""),"")</f>
        <v/>
      </c>
      <c r="IU316" s="67">
        <f>IFERROR(IF(($IL316)&gt;0,($IO316)/($IL316),""),"")</f>
        <v/>
      </c>
      <c r="IV316" s="55">
        <f>SUMIFS(tblBudget[Gold_Poured_oz],tblBudget[Month],$E316)</f>
        <v/>
      </c>
      <c r="IW316" s="55">
        <f>$IV316*$C316/$D316</f>
        <v/>
      </c>
      <c r="IX316" s="55">
        <f>SUMIFS(tblBudget[Gold_Poured_oz],tblBudget[Month],"&lt;"&amp;$E316)+$IW316</f>
        <v/>
      </c>
      <c r="IY316" s="57">
        <f>SUMIFS(tblBudget[Hours_Worked],tblBudget[Month],$E316)</f>
        <v/>
      </c>
      <c r="IZ316" s="57">
        <f>$IY316*$C316/$D316</f>
        <v/>
      </c>
      <c r="JA316" s="57">
        <f>SUMIFS(tblBudget[Hours_Worked],tblBudget[Month],"&lt;"&amp;$E316)+$IZ316</f>
        <v/>
      </c>
    </row>
    <row r="317">
      <c r="A317" s="54" t="n">
        <v>46338</v>
      </c>
      <c r="B317">
        <f>MONTH($A317)</f>
        <v/>
      </c>
      <c r="C317">
        <f>DAY($A317)</f>
        <v/>
      </c>
      <c r="D317">
        <f>DAY(EOMONTH($A317,0))</f>
        <v/>
      </c>
      <c r="E317" s="54">
        <f>DATE(YEAR($A317),MONTH($A317),1)</f>
        <v/>
      </c>
      <c r="F317" s="55">
        <f>SUMIFS(tblMovement[Tonnes_t],tblMovement[Date],$A317,tblMovement[Is_Ore],1,tblMovement[Source_Type],"Pit")</f>
        <v/>
      </c>
      <c r="G317" s="55">
        <f>IF($B317=$B316,$G316,0)+$F317</f>
        <v/>
      </c>
      <c r="H317" s="55">
        <f>$H316+$F317</f>
        <v/>
      </c>
      <c r="I317" s="55">
        <f>SUMIFS(tblMovement[Ore_oz],tblMovement[Date],$A317,tblMovement[Source_Type],"Pit")</f>
        <v/>
      </c>
      <c r="J317" s="55">
        <f>IF($B317=$B316,$J316,0)+$I317</f>
        <v/>
      </c>
      <c r="K317" s="55">
        <f>$K316+$I317</f>
        <v/>
      </c>
      <c r="L317" s="56">
        <f>IFERROR(IF(($F317)&gt;0,($I317*cfg_TroyOz)/($F317),""),"")</f>
        <v/>
      </c>
      <c r="M317" s="56">
        <f>IFERROR(IF(($G317)&gt;0,($J317*cfg_TroyOz)/($G317),""),"")</f>
        <v/>
      </c>
      <c r="N317" s="56">
        <f>IFERROR(IF(($H317)&gt;0,($K317*cfg_TroyOz)/($H317),""),"")</f>
        <v/>
      </c>
      <c r="O317" s="55">
        <f>SUMIFS(tblMovement[Tonnes_t],tblMovement[Date],$A317,tblMovement[Is_Ore],0,tblMovement[Source_Type],"Pit")</f>
        <v/>
      </c>
      <c r="P317" s="55">
        <f>IF($B317=$B316,$P316,0)+$O317</f>
        <v/>
      </c>
      <c r="Q317" s="55">
        <f>$Q316+$O317</f>
        <v/>
      </c>
      <c r="R317" s="55">
        <f>$F317+$O317</f>
        <v/>
      </c>
      <c r="S317" s="55">
        <f>IF($B317=$B316,$S316,0)+$R317</f>
        <v/>
      </c>
      <c r="T317" s="55">
        <f>$T316+$R317</f>
        <v/>
      </c>
      <c r="U317" s="56">
        <f>IFERROR(IF(($F317)&gt;0,($O317)/($F317),""),"")</f>
        <v/>
      </c>
      <c r="V317" s="56">
        <f>IFERROR(IF(($G317)&gt;0,($P317)/($G317),""),"")</f>
        <v/>
      </c>
      <c r="W317" s="56">
        <f>IFERROR(IF(($H317)&gt;0,($Q317)/($H317),""),"")</f>
        <v/>
      </c>
      <c r="X317" s="55">
        <f>SUMIFS(tblMovement[Tonnes_t],tblMovement[Date],$A317,tblMovement[Source_Type],"Stockpile")</f>
        <v/>
      </c>
      <c r="Y317" s="55">
        <f>IF($B317=$B316,$Y316,0)+$X317</f>
        <v/>
      </c>
      <c r="Z317" s="55">
        <f>$Z316+$X317</f>
        <v/>
      </c>
      <c r="AA317" s="55">
        <f>SUMIFS(tblMiningDaily[Drill_m],tblMiningDaily[Date],$A317)</f>
        <v/>
      </c>
      <c r="AB317" s="55">
        <f>IF($B317=$B316,$AB316,0)+$AA317</f>
        <v/>
      </c>
      <c r="AC317" s="55">
        <f>$AC316+$AA317</f>
        <v/>
      </c>
      <c r="AD317" s="55">
        <f>SUMIFS(tblMiningDaily[Blast_t],tblMiningDaily[Date],$A317)</f>
        <v/>
      </c>
      <c r="AE317" s="55">
        <f>IF($B317=$B316,$AE316,0)+$AD317</f>
        <v/>
      </c>
      <c r="AF317" s="55">
        <f>$AF316+$AD317</f>
        <v/>
      </c>
      <c r="AG317" s="55">
        <f>SUMIFS(tblMiningDaily[Explosives_kg],tblMiningDaily[Date],$A317)</f>
        <v/>
      </c>
      <c r="AH317" s="55">
        <f>IF($B317=$B316,$AH316,0)+$AG317</f>
        <v/>
      </c>
      <c r="AI317" s="55">
        <f>$AI316+$AG317</f>
        <v/>
      </c>
      <c r="AJ317" s="56">
        <f>IFERROR(IF(($AD317)&gt;0,($AG317)/($AD317),""),"")</f>
        <v/>
      </c>
      <c r="AK317" s="56">
        <f>IFERROR(IF(($AE317)&gt;0,($AH317)/($AE317),""),"")</f>
        <v/>
      </c>
      <c r="AL317" s="56">
        <f>IFERROR(IF(($AF317)&gt;0,($AI317)/($AF317),""),"")</f>
        <v/>
      </c>
      <c r="AM317" s="55">
        <f>SUMIFS(tblMiningDaily[Diesel_L],tblMiningDaily[Date],$A317)</f>
        <v/>
      </c>
      <c r="AN317" s="55">
        <f>IF($B317=$B316,$AN316,0)+$AM317</f>
        <v/>
      </c>
      <c r="AO317" s="55">
        <f>$AO316+$AM317</f>
        <v/>
      </c>
      <c r="AP317" s="55">
        <f>SUMIFS(tblMiningDaily[Dewatering_m3],tblMiningDaily[Date],$A317)</f>
        <v/>
      </c>
      <c r="AQ317" s="55">
        <f>IF($B317=$B316,$AQ316,0)+$AP317</f>
        <v/>
      </c>
      <c r="AR317" s="55">
        <f>$AR316+$AP317</f>
        <v/>
      </c>
      <c r="AS317" s="57">
        <f>SUMIFS(tblFleet[Calendar_h],tblFleet[Date],$A317,tblFleet[Equipment_Class],"Excavator")</f>
        <v/>
      </c>
      <c r="AT317" s="57">
        <f>IF($B317=$B316,$AT316,0)+$AS317</f>
        <v/>
      </c>
      <c r="AU317" s="57">
        <f>$AU316+$AS317</f>
        <v/>
      </c>
      <c r="AV317" s="57">
        <f>SUMIFS(tblFleet[Available_h],tblFleet[Date],$A317,tblFleet[Equipment_Class],"Excavator")</f>
        <v/>
      </c>
      <c r="AW317" s="57">
        <f>IF($B317=$B316,$AW316,0)+$AV317</f>
        <v/>
      </c>
      <c r="AX317" s="57">
        <f>$AX316+$AV317</f>
        <v/>
      </c>
      <c r="AY317" s="57">
        <f>SUMIFS(tblFleet[Operating_h],tblFleet[Date],$A317,tblFleet[Equipment_Class],"Excavator")</f>
        <v/>
      </c>
      <c r="AZ317" s="57">
        <f>IF($B317=$B316,$AZ316,0)+$AY317</f>
        <v/>
      </c>
      <c r="BA317" s="57">
        <f>$BA316+$AY317</f>
        <v/>
      </c>
      <c r="BB317" s="67">
        <f>IFERROR(IF(($AS317)&gt;0,($AV317)/($AS317),""),"")</f>
        <v/>
      </c>
      <c r="BC317" s="67">
        <f>IFERROR(IF(($AT317)&gt;0,($AW317)/($AT317),""),"")</f>
        <v/>
      </c>
      <c r="BD317" s="67">
        <f>IFERROR(IF(($AU317)&gt;0,($AX317)/($AU317),""),"")</f>
        <v/>
      </c>
      <c r="BE317" s="67">
        <f>IFERROR(IF(($AV317)&gt;0,($AY317)/($AV317),""),"")</f>
        <v/>
      </c>
      <c r="BF317" s="67">
        <f>IFERROR(IF(($AW317)&gt;0,($AZ317)/($AW317),""),"")</f>
        <v/>
      </c>
      <c r="BG317" s="67">
        <f>IFERROR(IF(($AX317)&gt;0,($BA317)/($AX317),""),"")</f>
        <v/>
      </c>
      <c r="BH317" s="57">
        <f>SUMIFS(tblFleet[Calendar_h],tblFleet[Date],$A317,tblFleet[Equipment_Class],"Haul Truck")</f>
        <v/>
      </c>
      <c r="BI317" s="57">
        <f>IF($B317=$B316,$BI316,0)+$BH317</f>
        <v/>
      </c>
      <c r="BJ317" s="57">
        <f>$BJ316+$BH317</f>
        <v/>
      </c>
      <c r="BK317" s="57">
        <f>SUMIFS(tblFleet[Available_h],tblFleet[Date],$A317,tblFleet[Equipment_Class],"Haul Truck")</f>
        <v/>
      </c>
      <c r="BL317" s="57">
        <f>IF($B317=$B316,$BL316,0)+$BK317</f>
        <v/>
      </c>
      <c r="BM317" s="57">
        <f>$BM316+$BK317</f>
        <v/>
      </c>
      <c r="BN317" s="57">
        <f>SUMIFS(tblFleet[Operating_h],tblFleet[Date],$A317,tblFleet[Equipment_Class],"Haul Truck")</f>
        <v/>
      </c>
      <c r="BO317" s="57">
        <f>IF($B317=$B316,$BO316,0)+$BN317</f>
        <v/>
      </c>
      <c r="BP317" s="57">
        <f>$BP316+$BN317</f>
        <v/>
      </c>
      <c r="BQ317" s="67">
        <f>IFERROR(IF(($BH317)&gt;0,($BK317)/($BH317),""),"")</f>
        <v/>
      </c>
      <c r="BR317" s="67">
        <f>IFERROR(IF(($BI317)&gt;0,($BL317)/($BI317),""),"")</f>
        <v/>
      </c>
      <c r="BS317" s="67">
        <f>IFERROR(IF(($BJ317)&gt;0,($BM317)/($BJ317),""),"")</f>
        <v/>
      </c>
      <c r="BT317" s="67">
        <f>IFERROR(IF(($BK317)&gt;0,($BN317)/($BK317),""),"")</f>
        <v/>
      </c>
      <c r="BU317" s="67">
        <f>IFERROR(IF(($BL317)&gt;0,($BO317)/($BL317),""),"")</f>
        <v/>
      </c>
      <c r="BV317" s="67">
        <f>IFERROR(IF(($BM317)&gt;0,($BP317)/($BM317),""),"")</f>
        <v/>
      </c>
      <c r="BW317" s="55">
        <f>SUMIFS(tblPlant[Crushed_t],tblPlant[Date],$A317)</f>
        <v/>
      </c>
      <c r="BX317" s="55">
        <f>IF($B317=$B316,$BX316,0)+$BW317</f>
        <v/>
      </c>
      <c r="BY317" s="55">
        <f>$BY316+$BW317</f>
        <v/>
      </c>
      <c r="BZ317" s="55">
        <f>SUMIFS(tblPlant[Milled_t],tblPlant[Date],$A317)</f>
        <v/>
      </c>
      <c r="CA317" s="55">
        <f>IF($B317=$B316,$CA316,0)+$BZ317</f>
        <v/>
      </c>
      <c r="CB317" s="55">
        <f>$CB316+$BZ317</f>
        <v/>
      </c>
      <c r="CC317" s="55">
        <f>SUMIFS(tblPlant[Feed_oz],tblPlant[Date],$A317)</f>
        <v/>
      </c>
      <c r="CD317" s="55">
        <f>IF($B317=$B316,$CD316,0)+$CC317</f>
        <v/>
      </c>
      <c r="CE317" s="55">
        <f>$CE316+$CC317</f>
        <v/>
      </c>
      <c r="CF317" s="55">
        <f>SUMIFS(tblPlant[Tails_oz],tblPlant[Date],$A317)</f>
        <v/>
      </c>
      <c r="CG317" s="55">
        <f>IF($B317=$B316,$CG316,0)+$CF317</f>
        <v/>
      </c>
      <c r="CH317" s="55">
        <f>$CH316+$CF317</f>
        <v/>
      </c>
      <c r="CI317" s="55">
        <f>SUMIFS(tblPlant[Recovered_oz],tblPlant[Date],$A317)</f>
        <v/>
      </c>
      <c r="CJ317" s="55">
        <f>IF($B317=$B316,$CJ316,0)+$CI317</f>
        <v/>
      </c>
      <c r="CK317" s="55">
        <f>$CK316+$CI317</f>
        <v/>
      </c>
      <c r="CL317" s="56">
        <f>IFERROR(IF(($BZ317)&gt;0,($CC317*cfg_TroyOz)/($BZ317),""),"")</f>
        <v/>
      </c>
      <c r="CM317" s="56">
        <f>IFERROR(IF(($CA317)&gt;0,($CD317*cfg_TroyOz)/($CA317),""),"")</f>
        <v/>
      </c>
      <c r="CN317" s="56">
        <f>IFERROR(IF(($CB317)&gt;0,($CE317*cfg_TroyOz)/($CB317),""),"")</f>
        <v/>
      </c>
      <c r="CO317" s="56">
        <f>IFERROR(IF(($BZ317)&gt;0,($CF317*cfg_TroyOz)/($BZ317),""),"")</f>
        <v/>
      </c>
      <c r="CP317" s="56">
        <f>IFERROR(IF(($CA317)&gt;0,($CG317*cfg_TroyOz)/($CA317),""),"")</f>
        <v/>
      </c>
      <c r="CQ317" s="56">
        <f>IFERROR(IF(($CB317)&gt;0,($CH317*cfg_TroyOz)/($CB317),""),"")</f>
        <v/>
      </c>
      <c r="CR317" s="67">
        <f>IFERROR(IF(($CC317)&gt;0,($CI317)/($CC317),""),"")</f>
        <v/>
      </c>
      <c r="CS317" s="67">
        <f>IFERROR(IF(($CD317)&gt;0,($CJ317)/($CD317),""),"")</f>
        <v/>
      </c>
      <c r="CT317" s="67">
        <f>IFERROR(IF(($CE317)&gt;0,($CK317)/($CE317),""),"")</f>
        <v/>
      </c>
      <c r="CU317" s="55">
        <f>SUMIFS(tblPlant[Gravity_Gold_oz],tblPlant[Date],$A317)</f>
        <v/>
      </c>
      <c r="CV317" s="55">
        <f>IF($B317=$B316,$CV316,0)+$CU317</f>
        <v/>
      </c>
      <c r="CW317" s="55">
        <f>$CW316+$CU317</f>
        <v/>
      </c>
      <c r="CX317" s="55">
        <f>SUMIFS(tblPlant[Gold_Poured_oz],tblPlant[Date],$A317)</f>
        <v/>
      </c>
      <c r="CY317" s="55">
        <f>IF($B317=$B316,$CY316,0)+$CX317</f>
        <v/>
      </c>
      <c r="CZ317" s="55">
        <f>$CZ316+$CX317</f>
        <v/>
      </c>
      <c r="DA317" s="57">
        <f>SUMIFS(tblPlant[Mill_Run_h],tblPlant[Date],$A317)</f>
        <v/>
      </c>
      <c r="DB317" s="57">
        <f>IF($B317=$B316,$DB316,0)+$DA317</f>
        <v/>
      </c>
      <c r="DC317" s="57">
        <f>$DC316+$DA317</f>
        <v/>
      </c>
      <c r="DD317" s="57">
        <f>SUMIFS(tblPlant[Mill_Planned_Maint_h],tblPlant[Date],$A317)</f>
        <v/>
      </c>
      <c r="DE317" s="57">
        <f>IF($B317=$B316,$DE316,0)+$DD317</f>
        <v/>
      </c>
      <c r="DF317" s="57">
        <f>$DF316+$DD317</f>
        <v/>
      </c>
      <c r="DG317" s="57">
        <f>SUMIFS(tblPlant[Mill_Unplanned_Down_h],tblPlant[Date],$A317)</f>
        <v/>
      </c>
      <c r="DH317" s="57">
        <f>IF($B317=$B316,$DH316,0)+$DG317</f>
        <v/>
      </c>
      <c r="DI317" s="57">
        <f>$DI316+$DG317</f>
        <v/>
      </c>
      <c r="DJ317" s="57">
        <f>COUNTIFS(tblPlant[Date],$A317,tblPlant[Mill_Run_h],"&lt;&gt;")*24</f>
        <v/>
      </c>
      <c r="DK317" s="57">
        <f>IF($B317=$B316,$DK316,0)+$DJ317</f>
        <v/>
      </c>
      <c r="DL317" s="57">
        <f>$DL316+$DJ317</f>
        <v/>
      </c>
      <c r="DM317" s="57">
        <f>SUMIFS(tblPlant[Crusher_Run_h],tblPlant[Date],$A317)</f>
        <v/>
      </c>
      <c r="DN317" s="57">
        <f>IF($B317=$B316,$DN316,0)+$DM317</f>
        <v/>
      </c>
      <c r="DO317" s="57">
        <f>$DO316+$DM317</f>
        <v/>
      </c>
      <c r="DP317" s="55">
        <f>IFERROR(IF(($DA317)&gt;0,($BZ317)/($DA317),""),"")</f>
        <v/>
      </c>
      <c r="DQ317" s="55">
        <f>IFERROR(IF(($DB317)&gt;0,($CA317)/($DB317),""),"")</f>
        <v/>
      </c>
      <c r="DR317" s="55">
        <f>IFERROR(IF(($DC317)&gt;0,($CB317)/($DC317),""),"")</f>
        <v/>
      </c>
      <c r="DS317" s="67">
        <f>IFERROR(IF(($DJ317)&gt;0,($DJ317-$DD317-$DG317)/($DJ317),""),"")</f>
        <v/>
      </c>
      <c r="DT317" s="67">
        <f>IFERROR(IF(($DK317)&gt;0,($DK317-$DE317-$DH317)/($DK317),""),"")</f>
        <v/>
      </c>
      <c r="DU317" s="67">
        <f>IFERROR(IF(($DL317)&gt;0,($DL317-$DF317-$DI317)/($DL317),""),"")</f>
        <v/>
      </c>
      <c r="DV317" s="67">
        <f>IFERROR(IF(($DJ317-$DD317-$DG317)&gt;0,($DA317)/($DJ317-$DD317-$DG317),""),"")</f>
        <v/>
      </c>
      <c r="DW317" s="67">
        <f>IFERROR(IF(($DK317-$DE317-$DH317)&gt;0,($DB317)/($DK317-$DE317-$DH317),""),"")</f>
        <v/>
      </c>
      <c r="DX317" s="67">
        <f>IFERROR(IF(($DL317-$DF317-$DI317)&gt;0,($DC317)/($DL317-$DF317-$DI317),""),"")</f>
        <v/>
      </c>
      <c r="DY317" s="55">
        <f>SUMIFS(tblPlant[Cyanide_kg],tblPlant[Date],$A317)</f>
        <v/>
      </c>
      <c r="DZ317" s="55">
        <f>IF($B317=$B316,$DZ316,0)+$DY317</f>
        <v/>
      </c>
      <c r="EA317" s="55">
        <f>$EA316+$DY317</f>
        <v/>
      </c>
      <c r="EB317" s="55">
        <f>SUMIFS(tblPlant[Lime_kg],tblPlant[Date],$A317)</f>
        <v/>
      </c>
      <c r="EC317" s="55">
        <f>IF($B317=$B316,$EC316,0)+$EB317</f>
        <v/>
      </c>
      <c r="ED317" s="55">
        <f>$ED316+$EB317</f>
        <v/>
      </c>
      <c r="EE317" s="55">
        <f>SUMIFS(tblPlant[Grinding_Media_kg],tblPlant[Date],$A317)</f>
        <v/>
      </c>
      <c r="EF317" s="55">
        <f>IF($B317=$B316,$EF316,0)+$EE317</f>
        <v/>
      </c>
      <c r="EG317" s="55">
        <f>$EG316+$EE317</f>
        <v/>
      </c>
      <c r="EH317" s="55">
        <f>SUMIFS(tblPlant[Power_kWh],tblPlant[Date],$A317)</f>
        <v/>
      </c>
      <c r="EI317" s="55">
        <f>IF($B317=$B316,$EI316,0)+$EH317</f>
        <v/>
      </c>
      <c r="EJ317" s="55">
        <f>$EJ316+$EH317</f>
        <v/>
      </c>
      <c r="EK317" s="55">
        <f>SUMIFS(tblPlant[Raw_Water_m3],tblPlant[Date],$A317)</f>
        <v/>
      </c>
      <c r="EL317" s="55">
        <f>IF($B317=$B316,$EL316,0)+$EK317</f>
        <v/>
      </c>
      <c r="EM317" s="55">
        <f>$EM316+$EK317</f>
        <v/>
      </c>
      <c r="EN317" s="56">
        <f>IFERROR(IF(($BZ317)&gt;0,($DY317)/($BZ317),""),"")</f>
        <v/>
      </c>
      <c r="EO317" s="56">
        <f>IFERROR(IF(($CA317)&gt;0,($DZ317)/($CA317),""),"")</f>
        <v/>
      </c>
      <c r="EP317" s="56">
        <f>IFERROR(IF(($CB317)&gt;0,($EA317)/($CB317),""),"")</f>
        <v/>
      </c>
      <c r="EQ317" s="56">
        <f>IFERROR(IF(($BZ317)&gt;0,($EB317)/($BZ317),""),"")</f>
        <v/>
      </c>
      <c r="ER317" s="56">
        <f>IFERROR(IF(($CA317)&gt;0,($EC317)/($CA317),""),"")</f>
        <v/>
      </c>
      <c r="ES317" s="56">
        <f>IFERROR(IF(($CB317)&gt;0,($ED317)/($CB317),""),"")</f>
        <v/>
      </c>
      <c r="ET317" s="56">
        <f>IFERROR(IF(($BZ317)&gt;0,($EE317)/($BZ317),""),"")</f>
        <v/>
      </c>
      <c r="EU317" s="56">
        <f>IFERROR(IF(($CA317)&gt;0,($EF317)/($CA317),""),"")</f>
        <v/>
      </c>
      <c r="EV317" s="56">
        <f>IFERROR(IF(($CB317)&gt;0,($EG317)/($CB317),""),"")</f>
        <v/>
      </c>
      <c r="EW317" s="76">
        <f>IFERROR(IF(($BZ317)&gt;0,($EH317)/($BZ317),""),"")</f>
        <v/>
      </c>
      <c r="EX317" s="76">
        <f>IFERROR(IF(($CA317)&gt;0,($EI317)/($CA317),""),"")</f>
        <v/>
      </c>
      <c r="EY317" s="76">
        <f>IFERROR(IF(($CB317)&gt;0,($EJ317)/($CB317),""),"")</f>
        <v/>
      </c>
      <c r="EZ317" s="56">
        <f>IFERROR(IF(($BZ317)&gt;0,($EK317)/($BZ317),""),"")</f>
        <v/>
      </c>
      <c r="FA317" s="56">
        <f>IFERROR(IF(($CA317)&gt;0,($EL317)/($CA317),""),"")</f>
        <v/>
      </c>
      <c r="FB317" s="56">
        <f>IFERROR(IF(($CB317)&gt;0,($EM317)/($CB317),""),"")</f>
        <v/>
      </c>
      <c r="FC317" s="55">
        <f>IF(SUMIFS(tblPlant[GIC_oz],tblPlant[Date],$A317)&gt;0,SUMIFS(tblPlant[GIC_oz],tblPlant[Date],$A317),"")</f>
        <v/>
      </c>
      <c r="FD317" s="55">
        <f>SUMIFS(tblGold[Gold_oz],tblGold[Date],$A317,tblGold[Type],"Shipment")</f>
        <v/>
      </c>
      <c r="FE317" s="55">
        <f>IF($B317=$B316,$FE316,0)+$FD317</f>
        <v/>
      </c>
      <c r="FF317" s="55">
        <f>$FF316+$FD317</f>
        <v/>
      </c>
      <c r="FG317" s="55">
        <f>SUMIFS(tblGold[Gold_oz],tblGold[Date],$A317,tblGold[Type],"Sale")</f>
        <v/>
      </c>
      <c r="FH317" s="55">
        <f>IF($B317=$B316,$FH316,0)+$FG317</f>
        <v/>
      </c>
      <c r="FI317" s="55">
        <f>$FI316+$FG317</f>
        <v/>
      </c>
      <c r="FJ317" s="55">
        <f>SUMIFS(tblGold[Dore_kg],tblGold[Date],$A317,tblGold[Type],"Shipment")</f>
        <v/>
      </c>
      <c r="FK317" s="55">
        <f>IF($B317=$B316,$FK316,0)+$FJ317</f>
        <v/>
      </c>
      <c r="FL317" s="55">
        <f>$FL316+$FJ317</f>
        <v/>
      </c>
      <c r="FM317" s="57">
        <f>SUMIFS(tblSafety[Hours_Total],tblSafety[Date],$A317)</f>
        <v/>
      </c>
      <c r="FN317" s="57">
        <f>IF($B317=$B316,$FN316,0)+$FM317</f>
        <v/>
      </c>
      <c r="FO317" s="57">
        <f>$FO316+$FM317</f>
        <v/>
      </c>
      <c r="FP317" s="62">
        <f>SUMIFS(tblSafety[Fatality],tblSafety[Date],$A317)</f>
        <v/>
      </c>
      <c r="FQ317" s="62">
        <f>IF($B317=$B316,$FQ316,0)+$FP317</f>
        <v/>
      </c>
      <c r="FR317" s="62">
        <f>$FR316+$FP317</f>
        <v/>
      </c>
      <c r="FS317" s="62">
        <f>SUMIFS(tblSafety[LTI],tblSafety[Date],$A317)</f>
        <v/>
      </c>
      <c r="FT317" s="62">
        <f>IF($B317=$B316,$FT316,0)+$FS317</f>
        <v/>
      </c>
      <c r="FU317" s="62">
        <f>$FU316+$FS317</f>
        <v/>
      </c>
      <c r="FV317" s="62">
        <f>SUMIFS(tblSafety[RWI],tblSafety[Date],$A317)</f>
        <v/>
      </c>
      <c r="FW317" s="62">
        <f>IF($B317=$B316,$FW316,0)+$FV317</f>
        <v/>
      </c>
      <c r="FX317" s="62">
        <f>$FX316+$FV317</f>
        <v/>
      </c>
      <c r="FY317" s="62">
        <f>SUMIFS(tblSafety[MTI],tblSafety[Date],$A317)</f>
        <v/>
      </c>
      <c r="FZ317" s="62">
        <f>IF($B317=$B316,$FZ316,0)+$FY317</f>
        <v/>
      </c>
      <c r="GA317" s="62">
        <f>$GA316+$FY317</f>
        <v/>
      </c>
      <c r="GB317" s="62">
        <f>SUMIFS(tblSafety[FAI],tblSafety[Date],$A317)</f>
        <v/>
      </c>
      <c r="GC317" s="62">
        <f>IF($B317=$B316,$GC316,0)+$GB317</f>
        <v/>
      </c>
      <c r="GD317" s="62">
        <f>$GD316+$GB317</f>
        <v/>
      </c>
      <c r="GE317" s="62">
        <f>SUMIFS(tblSafety[Recordables],tblSafety[Date],$A317)</f>
        <v/>
      </c>
      <c r="GF317" s="62">
        <f>IF($B317=$B316,$GF316,0)+$GE317</f>
        <v/>
      </c>
      <c r="GG317" s="62">
        <f>$GG316+$GE317</f>
        <v/>
      </c>
      <c r="GH317" s="62">
        <f>SUMIFS(tblSafety[Near_Miss],tblSafety[Date],$A317)</f>
        <v/>
      </c>
      <c r="GI317" s="62">
        <f>IF($B317=$B316,$GI316,0)+$GH317</f>
        <v/>
      </c>
      <c r="GJ317" s="62">
        <f>$GJ316+$GH317</f>
        <v/>
      </c>
      <c r="GK317" s="62">
        <f>SUMIFS(tblSafety[Hazard_Reports],tblSafety[Date],$A317)</f>
        <v/>
      </c>
      <c r="GL317" s="62">
        <f>IF($B317=$B316,$GL316,0)+$GK317</f>
        <v/>
      </c>
      <c r="GM317" s="62">
        <f>$GM316+$GK317</f>
        <v/>
      </c>
      <c r="GN317" s="62">
        <f>SUMIFS(tblSafety[HPI],tblSafety[Date],$A317)</f>
        <v/>
      </c>
      <c r="GO317" s="62">
        <f>IF($B317=$B316,$GO316,0)+$GN317</f>
        <v/>
      </c>
      <c r="GP317" s="62">
        <f>$GP316+$GN317</f>
        <v/>
      </c>
      <c r="GQ317" s="62">
        <f>SUMIFS(tblSafety[Env_Incidents],tblSafety[Date],$A317)</f>
        <v/>
      </c>
      <c r="GR317" s="62">
        <f>IF($B317=$B316,$GR316,0)+$GQ317</f>
        <v/>
      </c>
      <c r="GS317" s="62">
        <f>$GS316+$GQ317</f>
        <v/>
      </c>
      <c r="GT317" s="62">
        <f>SUMIFS(tblSafety[Community_Incidents],tblSafety[Date],$A317)</f>
        <v/>
      </c>
      <c r="GU317" s="62">
        <f>IF($B317=$B316,$GU316,0)+$GT317</f>
        <v/>
      </c>
      <c r="GV317" s="62">
        <f>$GV316+$GT317</f>
        <v/>
      </c>
      <c r="GW317" s="62">
        <f>SUMIFS(tblSafety[Vehicle_Incidents],tblSafety[Date],$A317)</f>
        <v/>
      </c>
      <c r="GX317" s="62">
        <f>IF($B317=$B316,$GX316,0)+$GW317</f>
        <v/>
      </c>
      <c r="GY317" s="62">
        <f>$GY316+$GW317</f>
        <v/>
      </c>
      <c r="GZ317" s="62">
        <f>SUMIFS(tblSafety[Toolbox_Talks],tblSafety[Date],$A317)</f>
        <v/>
      </c>
      <c r="HA317" s="62">
        <f>IF($B317=$B316,$HA316,0)+$GZ317</f>
        <v/>
      </c>
      <c r="HB317" s="62">
        <f>$HB316+$GZ317</f>
        <v/>
      </c>
      <c r="HC317" s="62">
        <f>SUMIFS(tblSafety[Inspections],tblSafety[Date],$A317)</f>
        <v/>
      </c>
      <c r="HD317" s="62">
        <f>IF($B317=$B316,$HD316,0)+$HC317</f>
        <v/>
      </c>
      <c r="HE317" s="62">
        <f>$HE316+$HC317</f>
        <v/>
      </c>
      <c r="HF317" s="56">
        <f>IFERROR((SUMIFS(tblSafety[Recordables],tblSafety[Date],"&gt;="&amp;EDATE($E317,-12),tblSafety[Date],"&lt;="&amp;$A317)+SUMIFS(tblSafetyHistory[Recordables],tblSafetyHistory[Month],"&gt;="&amp;EDATE($E317,-12),tblSafetyHistory[Month],"&lt;"&amp;cfg_YearStart))/(SUMIFS(tblSafety[Hours_Total],tblSafety[Date],"&gt;="&amp;EDATE($E317,-12),tblSafety[Date],"&lt;="&amp;$A317)+SUMIFS(tblSafetyHistory[Hours_Total],tblSafetyHistory[Month],"&gt;="&amp;EDATE($E317,-12),tblSafetyHistory[Month],"&lt;"&amp;cfg_YearStart))*1000000,"")</f>
        <v/>
      </c>
      <c r="HG317" s="56">
        <f>IFERROR((SUMIFS(tblSafety[LTI],tblSafety[Date],"&gt;="&amp;EDATE($E317,-12),tblSafety[Date],"&lt;="&amp;$A317)+SUMIFS(tblSafetyHistory[LTI],tblSafetyHistory[Month],"&gt;="&amp;EDATE($E317,-12),tblSafetyHistory[Month],"&lt;"&amp;cfg_YearStart))/(SUMIFS(tblSafety[Hours_Total],tblSafety[Date],"&gt;="&amp;EDATE($E317,-12),tblSafety[Date],"&lt;="&amp;$A317)+SUMIFS(tblSafetyHistory[Hours_Total],tblSafetyHistory[Month],"&gt;="&amp;EDATE($E317,-12),tblSafetyHistory[Month],"&lt;"&amp;cfg_YearStart))*1000000,"")</f>
        <v/>
      </c>
      <c r="HH317" s="62">
        <f>IF(MAX(N(cfg_PriorLTIDate),_xlfn.MAXIFS(tblSafety[Date],tblSafety[LTI],"&gt;0",tblSafety[Date],"&lt;="&amp;$A317))=0,"",$A317-MAX(N(cfg_PriorLTIDate),_xlfn.MAXIFS(tblSafety[Date],tblSafety[LTI],"&gt;0",tblSafety[Date],"&lt;="&amp;$A317)))</f>
        <v/>
      </c>
      <c r="HI317" s="55">
        <f>SUMIFS(tblBudget[Ore_Mined_t],tblBudget[Month],$E317)</f>
        <v/>
      </c>
      <c r="HJ317" s="55">
        <f>$HI317*$C317/$D317</f>
        <v/>
      </c>
      <c r="HK317" s="55">
        <f>SUMIFS(tblBudget[Ore_Mined_t],tblBudget[Month],"&lt;"&amp;$E317)+$HJ317</f>
        <v/>
      </c>
      <c r="HL317" s="55">
        <f>SUMIFS(tblBudget[Ore_oz],tblBudget[Month],$E317)</f>
        <v/>
      </c>
      <c r="HM317" s="55">
        <f>$HL317*$C317/$D317</f>
        <v/>
      </c>
      <c r="HN317" s="55">
        <f>SUMIFS(tblBudget[Ore_oz],tblBudget[Month],"&lt;"&amp;$E317)+$HM317</f>
        <v/>
      </c>
      <c r="HO317" s="56">
        <f>IFERROR(IF(($HI317)&gt;0,($HL317*cfg_TroyOz)/($HI317),""),"")</f>
        <v/>
      </c>
      <c r="HP317" s="56">
        <f>IFERROR(IF(($HJ317)&gt;0,($HM317*cfg_TroyOz)/($HJ317),""),"")</f>
        <v/>
      </c>
      <c r="HQ317" s="56">
        <f>IFERROR(IF(($HK317)&gt;0,($HN317*cfg_TroyOz)/($HK317),""),"")</f>
        <v/>
      </c>
      <c r="HR317" s="55">
        <f>SUMIFS(tblBudget[Waste_t],tblBudget[Month],$E317)</f>
        <v/>
      </c>
      <c r="HS317" s="55">
        <f>$HR317*$C317/$D317</f>
        <v/>
      </c>
      <c r="HT317" s="55">
        <f>SUMIFS(tblBudget[Waste_t],tblBudget[Month],"&lt;"&amp;$E317)+$HS317</f>
        <v/>
      </c>
      <c r="HU317" s="55">
        <f>SUMIFS(tblBudget[TMM_t],tblBudget[Month],$E317)</f>
        <v/>
      </c>
      <c r="HV317" s="55">
        <f>$HU317*$C317/$D317</f>
        <v/>
      </c>
      <c r="HW317" s="55">
        <f>SUMIFS(tblBudget[TMM_t],tblBudget[Month],"&lt;"&amp;$E317)+$HV317</f>
        <v/>
      </c>
      <c r="HX317" s="56">
        <f>IFERROR(IF(($HI317)&gt;0,($HR317)/($HI317),""),"")</f>
        <v/>
      </c>
      <c r="HY317" s="56">
        <f>IFERROR(IF(($HJ317)&gt;0,($HS317)/($HJ317),""),"")</f>
        <v/>
      </c>
      <c r="HZ317" s="56">
        <f>IFERROR(IF(($HK317)&gt;0,($HT317)/($HK317),""),"")</f>
        <v/>
      </c>
      <c r="IA317" s="55">
        <f>SUMIFS(tblBudget[Drill_m],tblBudget[Month],$E317)</f>
        <v/>
      </c>
      <c r="IB317" s="55">
        <f>$IA317*$C317/$D317</f>
        <v/>
      </c>
      <c r="IC317" s="55">
        <f>SUMIFS(tblBudget[Drill_m],tblBudget[Month],"&lt;"&amp;$E317)+$IB317</f>
        <v/>
      </c>
      <c r="ID317" s="55">
        <f>SUMIFS(tblBudget[Diesel_L],tblBudget[Month],$E317)</f>
        <v/>
      </c>
      <c r="IE317" s="55">
        <f>$ID317*$C317/$D317</f>
        <v/>
      </c>
      <c r="IF317" s="55">
        <f>SUMIFS(tblBudget[Diesel_L],tblBudget[Month],"&lt;"&amp;$E317)+$IE317</f>
        <v/>
      </c>
      <c r="IG317" s="55">
        <f>SUMIFS(tblBudget[Milled_t],tblBudget[Month],$E317)</f>
        <v/>
      </c>
      <c r="IH317" s="55">
        <f>$IG317*$C317/$D317</f>
        <v/>
      </c>
      <c r="II317" s="55">
        <f>SUMIFS(tblBudget[Milled_t],tblBudget[Month],"&lt;"&amp;$E317)+$IH317</f>
        <v/>
      </c>
      <c r="IJ317" s="55">
        <f>SUMIFS(tblBudget[Feed_oz],tblBudget[Month],$E317)</f>
        <v/>
      </c>
      <c r="IK317" s="55">
        <f>$IJ317*$C317/$D317</f>
        <v/>
      </c>
      <c r="IL317" s="55">
        <f>SUMIFS(tblBudget[Feed_oz],tblBudget[Month],"&lt;"&amp;$E317)+$IK317</f>
        <v/>
      </c>
      <c r="IM317" s="55">
        <f>SUMIFS(tblBudget[Recovered_oz],tblBudget[Month],$E317)</f>
        <v/>
      </c>
      <c r="IN317" s="55">
        <f>$IM317*$C317/$D317</f>
        <v/>
      </c>
      <c r="IO317" s="55">
        <f>SUMIFS(tblBudget[Recovered_oz],tblBudget[Month],"&lt;"&amp;$E317)+$IN317</f>
        <v/>
      </c>
      <c r="IP317" s="56">
        <f>IFERROR(IF(($IG317)&gt;0,($IJ317*cfg_TroyOz)/($IG317),""),"")</f>
        <v/>
      </c>
      <c r="IQ317" s="56">
        <f>IFERROR(IF(($IH317)&gt;0,($IK317*cfg_TroyOz)/($IH317),""),"")</f>
        <v/>
      </c>
      <c r="IR317" s="56">
        <f>IFERROR(IF(($II317)&gt;0,($IL317*cfg_TroyOz)/($II317),""),"")</f>
        <v/>
      </c>
      <c r="IS317" s="67">
        <f>IFERROR(IF(($IJ317)&gt;0,($IM317)/($IJ317),""),"")</f>
        <v/>
      </c>
      <c r="IT317" s="67">
        <f>IFERROR(IF(($IK317)&gt;0,($IN317)/($IK317),""),"")</f>
        <v/>
      </c>
      <c r="IU317" s="67">
        <f>IFERROR(IF(($IL317)&gt;0,($IO317)/($IL317),""),"")</f>
        <v/>
      </c>
      <c r="IV317" s="55">
        <f>SUMIFS(tblBudget[Gold_Poured_oz],tblBudget[Month],$E317)</f>
        <v/>
      </c>
      <c r="IW317" s="55">
        <f>$IV317*$C317/$D317</f>
        <v/>
      </c>
      <c r="IX317" s="55">
        <f>SUMIFS(tblBudget[Gold_Poured_oz],tblBudget[Month],"&lt;"&amp;$E317)+$IW317</f>
        <v/>
      </c>
      <c r="IY317" s="57">
        <f>SUMIFS(tblBudget[Hours_Worked],tblBudget[Month],$E317)</f>
        <v/>
      </c>
      <c r="IZ317" s="57">
        <f>$IY317*$C317/$D317</f>
        <v/>
      </c>
      <c r="JA317" s="57">
        <f>SUMIFS(tblBudget[Hours_Worked],tblBudget[Month],"&lt;"&amp;$E317)+$IZ317</f>
        <v/>
      </c>
    </row>
    <row r="318">
      <c r="A318" s="54" t="n">
        <v>46339</v>
      </c>
      <c r="B318">
        <f>MONTH($A318)</f>
        <v/>
      </c>
      <c r="C318">
        <f>DAY($A318)</f>
        <v/>
      </c>
      <c r="D318">
        <f>DAY(EOMONTH($A318,0))</f>
        <v/>
      </c>
      <c r="E318" s="54">
        <f>DATE(YEAR($A318),MONTH($A318),1)</f>
        <v/>
      </c>
      <c r="F318" s="55">
        <f>SUMIFS(tblMovement[Tonnes_t],tblMovement[Date],$A318,tblMovement[Is_Ore],1,tblMovement[Source_Type],"Pit")</f>
        <v/>
      </c>
      <c r="G318" s="55">
        <f>IF($B318=$B317,$G317,0)+$F318</f>
        <v/>
      </c>
      <c r="H318" s="55">
        <f>$H317+$F318</f>
        <v/>
      </c>
      <c r="I318" s="55">
        <f>SUMIFS(tblMovement[Ore_oz],tblMovement[Date],$A318,tblMovement[Source_Type],"Pit")</f>
        <v/>
      </c>
      <c r="J318" s="55">
        <f>IF($B318=$B317,$J317,0)+$I318</f>
        <v/>
      </c>
      <c r="K318" s="55">
        <f>$K317+$I318</f>
        <v/>
      </c>
      <c r="L318" s="56">
        <f>IFERROR(IF(($F318)&gt;0,($I318*cfg_TroyOz)/($F318),""),"")</f>
        <v/>
      </c>
      <c r="M318" s="56">
        <f>IFERROR(IF(($G318)&gt;0,($J318*cfg_TroyOz)/($G318),""),"")</f>
        <v/>
      </c>
      <c r="N318" s="56">
        <f>IFERROR(IF(($H318)&gt;0,($K318*cfg_TroyOz)/($H318),""),"")</f>
        <v/>
      </c>
      <c r="O318" s="55">
        <f>SUMIFS(tblMovement[Tonnes_t],tblMovement[Date],$A318,tblMovement[Is_Ore],0,tblMovement[Source_Type],"Pit")</f>
        <v/>
      </c>
      <c r="P318" s="55">
        <f>IF($B318=$B317,$P317,0)+$O318</f>
        <v/>
      </c>
      <c r="Q318" s="55">
        <f>$Q317+$O318</f>
        <v/>
      </c>
      <c r="R318" s="55">
        <f>$F318+$O318</f>
        <v/>
      </c>
      <c r="S318" s="55">
        <f>IF($B318=$B317,$S317,0)+$R318</f>
        <v/>
      </c>
      <c r="T318" s="55">
        <f>$T317+$R318</f>
        <v/>
      </c>
      <c r="U318" s="56">
        <f>IFERROR(IF(($F318)&gt;0,($O318)/($F318),""),"")</f>
        <v/>
      </c>
      <c r="V318" s="56">
        <f>IFERROR(IF(($G318)&gt;0,($P318)/($G318),""),"")</f>
        <v/>
      </c>
      <c r="W318" s="56">
        <f>IFERROR(IF(($H318)&gt;0,($Q318)/($H318),""),"")</f>
        <v/>
      </c>
      <c r="X318" s="55">
        <f>SUMIFS(tblMovement[Tonnes_t],tblMovement[Date],$A318,tblMovement[Source_Type],"Stockpile")</f>
        <v/>
      </c>
      <c r="Y318" s="55">
        <f>IF($B318=$B317,$Y317,0)+$X318</f>
        <v/>
      </c>
      <c r="Z318" s="55">
        <f>$Z317+$X318</f>
        <v/>
      </c>
      <c r="AA318" s="55">
        <f>SUMIFS(tblMiningDaily[Drill_m],tblMiningDaily[Date],$A318)</f>
        <v/>
      </c>
      <c r="AB318" s="55">
        <f>IF($B318=$B317,$AB317,0)+$AA318</f>
        <v/>
      </c>
      <c r="AC318" s="55">
        <f>$AC317+$AA318</f>
        <v/>
      </c>
      <c r="AD318" s="55">
        <f>SUMIFS(tblMiningDaily[Blast_t],tblMiningDaily[Date],$A318)</f>
        <v/>
      </c>
      <c r="AE318" s="55">
        <f>IF($B318=$B317,$AE317,0)+$AD318</f>
        <v/>
      </c>
      <c r="AF318" s="55">
        <f>$AF317+$AD318</f>
        <v/>
      </c>
      <c r="AG318" s="55">
        <f>SUMIFS(tblMiningDaily[Explosives_kg],tblMiningDaily[Date],$A318)</f>
        <v/>
      </c>
      <c r="AH318" s="55">
        <f>IF($B318=$B317,$AH317,0)+$AG318</f>
        <v/>
      </c>
      <c r="AI318" s="55">
        <f>$AI317+$AG318</f>
        <v/>
      </c>
      <c r="AJ318" s="56">
        <f>IFERROR(IF(($AD318)&gt;0,($AG318)/($AD318),""),"")</f>
        <v/>
      </c>
      <c r="AK318" s="56">
        <f>IFERROR(IF(($AE318)&gt;0,($AH318)/($AE318),""),"")</f>
        <v/>
      </c>
      <c r="AL318" s="56">
        <f>IFERROR(IF(($AF318)&gt;0,($AI318)/($AF318),""),"")</f>
        <v/>
      </c>
      <c r="AM318" s="55">
        <f>SUMIFS(tblMiningDaily[Diesel_L],tblMiningDaily[Date],$A318)</f>
        <v/>
      </c>
      <c r="AN318" s="55">
        <f>IF($B318=$B317,$AN317,0)+$AM318</f>
        <v/>
      </c>
      <c r="AO318" s="55">
        <f>$AO317+$AM318</f>
        <v/>
      </c>
      <c r="AP318" s="55">
        <f>SUMIFS(tblMiningDaily[Dewatering_m3],tblMiningDaily[Date],$A318)</f>
        <v/>
      </c>
      <c r="AQ318" s="55">
        <f>IF($B318=$B317,$AQ317,0)+$AP318</f>
        <v/>
      </c>
      <c r="AR318" s="55">
        <f>$AR317+$AP318</f>
        <v/>
      </c>
      <c r="AS318" s="57">
        <f>SUMIFS(tblFleet[Calendar_h],tblFleet[Date],$A318,tblFleet[Equipment_Class],"Excavator")</f>
        <v/>
      </c>
      <c r="AT318" s="57">
        <f>IF($B318=$B317,$AT317,0)+$AS318</f>
        <v/>
      </c>
      <c r="AU318" s="57">
        <f>$AU317+$AS318</f>
        <v/>
      </c>
      <c r="AV318" s="57">
        <f>SUMIFS(tblFleet[Available_h],tblFleet[Date],$A318,tblFleet[Equipment_Class],"Excavator")</f>
        <v/>
      </c>
      <c r="AW318" s="57">
        <f>IF($B318=$B317,$AW317,0)+$AV318</f>
        <v/>
      </c>
      <c r="AX318" s="57">
        <f>$AX317+$AV318</f>
        <v/>
      </c>
      <c r="AY318" s="57">
        <f>SUMIFS(tblFleet[Operating_h],tblFleet[Date],$A318,tblFleet[Equipment_Class],"Excavator")</f>
        <v/>
      </c>
      <c r="AZ318" s="57">
        <f>IF($B318=$B317,$AZ317,0)+$AY318</f>
        <v/>
      </c>
      <c r="BA318" s="57">
        <f>$BA317+$AY318</f>
        <v/>
      </c>
      <c r="BB318" s="67">
        <f>IFERROR(IF(($AS318)&gt;0,($AV318)/($AS318),""),"")</f>
        <v/>
      </c>
      <c r="BC318" s="67">
        <f>IFERROR(IF(($AT318)&gt;0,($AW318)/($AT318),""),"")</f>
        <v/>
      </c>
      <c r="BD318" s="67">
        <f>IFERROR(IF(($AU318)&gt;0,($AX318)/($AU318),""),"")</f>
        <v/>
      </c>
      <c r="BE318" s="67">
        <f>IFERROR(IF(($AV318)&gt;0,($AY318)/($AV318),""),"")</f>
        <v/>
      </c>
      <c r="BF318" s="67">
        <f>IFERROR(IF(($AW318)&gt;0,($AZ318)/($AW318),""),"")</f>
        <v/>
      </c>
      <c r="BG318" s="67">
        <f>IFERROR(IF(($AX318)&gt;0,($BA318)/($AX318),""),"")</f>
        <v/>
      </c>
      <c r="BH318" s="57">
        <f>SUMIFS(tblFleet[Calendar_h],tblFleet[Date],$A318,tblFleet[Equipment_Class],"Haul Truck")</f>
        <v/>
      </c>
      <c r="BI318" s="57">
        <f>IF($B318=$B317,$BI317,0)+$BH318</f>
        <v/>
      </c>
      <c r="BJ318" s="57">
        <f>$BJ317+$BH318</f>
        <v/>
      </c>
      <c r="BK318" s="57">
        <f>SUMIFS(tblFleet[Available_h],tblFleet[Date],$A318,tblFleet[Equipment_Class],"Haul Truck")</f>
        <v/>
      </c>
      <c r="BL318" s="57">
        <f>IF($B318=$B317,$BL317,0)+$BK318</f>
        <v/>
      </c>
      <c r="BM318" s="57">
        <f>$BM317+$BK318</f>
        <v/>
      </c>
      <c r="BN318" s="57">
        <f>SUMIFS(tblFleet[Operating_h],tblFleet[Date],$A318,tblFleet[Equipment_Class],"Haul Truck")</f>
        <v/>
      </c>
      <c r="BO318" s="57">
        <f>IF($B318=$B317,$BO317,0)+$BN318</f>
        <v/>
      </c>
      <c r="BP318" s="57">
        <f>$BP317+$BN318</f>
        <v/>
      </c>
      <c r="BQ318" s="67">
        <f>IFERROR(IF(($BH318)&gt;0,($BK318)/($BH318),""),"")</f>
        <v/>
      </c>
      <c r="BR318" s="67">
        <f>IFERROR(IF(($BI318)&gt;0,($BL318)/($BI318),""),"")</f>
        <v/>
      </c>
      <c r="BS318" s="67">
        <f>IFERROR(IF(($BJ318)&gt;0,($BM318)/($BJ318),""),"")</f>
        <v/>
      </c>
      <c r="BT318" s="67">
        <f>IFERROR(IF(($BK318)&gt;0,($BN318)/($BK318),""),"")</f>
        <v/>
      </c>
      <c r="BU318" s="67">
        <f>IFERROR(IF(($BL318)&gt;0,($BO318)/($BL318),""),"")</f>
        <v/>
      </c>
      <c r="BV318" s="67">
        <f>IFERROR(IF(($BM318)&gt;0,($BP318)/($BM318),""),"")</f>
        <v/>
      </c>
      <c r="BW318" s="55">
        <f>SUMIFS(tblPlant[Crushed_t],tblPlant[Date],$A318)</f>
        <v/>
      </c>
      <c r="BX318" s="55">
        <f>IF($B318=$B317,$BX317,0)+$BW318</f>
        <v/>
      </c>
      <c r="BY318" s="55">
        <f>$BY317+$BW318</f>
        <v/>
      </c>
      <c r="BZ318" s="55">
        <f>SUMIFS(tblPlant[Milled_t],tblPlant[Date],$A318)</f>
        <v/>
      </c>
      <c r="CA318" s="55">
        <f>IF($B318=$B317,$CA317,0)+$BZ318</f>
        <v/>
      </c>
      <c r="CB318" s="55">
        <f>$CB317+$BZ318</f>
        <v/>
      </c>
      <c r="CC318" s="55">
        <f>SUMIFS(tblPlant[Feed_oz],tblPlant[Date],$A318)</f>
        <v/>
      </c>
      <c r="CD318" s="55">
        <f>IF($B318=$B317,$CD317,0)+$CC318</f>
        <v/>
      </c>
      <c r="CE318" s="55">
        <f>$CE317+$CC318</f>
        <v/>
      </c>
      <c r="CF318" s="55">
        <f>SUMIFS(tblPlant[Tails_oz],tblPlant[Date],$A318)</f>
        <v/>
      </c>
      <c r="CG318" s="55">
        <f>IF($B318=$B317,$CG317,0)+$CF318</f>
        <v/>
      </c>
      <c r="CH318" s="55">
        <f>$CH317+$CF318</f>
        <v/>
      </c>
      <c r="CI318" s="55">
        <f>SUMIFS(tblPlant[Recovered_oz],tblPlant[Date],$A318)</f>
        <v/>
      </c>
      <c r="CJ318" s="55">
        <f>IF($B318=$B317,$CJ317,0)+$CI318</f>
        <v/>
      </c>
      <c r="CK318" s="55">
        <f>$CK317+$CI318</f>
        <v/>
      </c>
      <c r="CL318" s="56">
        <f>IFERROR(IF(($BZ318)&gt;0,($CC318*cfg_TroyOz)/($BZ318),""),"")</f>
        <v/>
      </c>
      <c r="CM318" s="56">
        <f>IFERROR(IF(($CA318)&gt;0,($CD318*cfg_TroyOz)/($CA318),""),"")</f>
        <v/>
      </c>
      <c r="CN318" s="56">
        <f>IFERROR(IF(($CB318)&gt;0,($CE318*cfg_TroyOz)/($CB318),""),"")</f>
        <v/>
      </c>
      <c r="CO318" s="56">
        <f>IFERROR(IF(($BZ318)&gt;0,($CF318*cfg_TroyOz)/($BZ318),""),"")</f>
        <v/>
      </c>
      <c r="CP318" s="56">
        <f>IFERROR(IF(($CA318)&gt;0,($CG318*cfg_TroyOz)/($CA318),""),"")</f>
        <v/>
      </c>
      <c r="CQ318" s="56">
        <f>IFERROR(IF(($CB318)&gt;0,($CH318*cfg_TroyOz)/($CB318),""),"")</f>
        <v/>
      </c>
      <c r="CR318" s="67">
        <f>IFERROR(IF(($CC318)&gt;0,($CI318)/($CC318),""),"")</f>
        <v/>
      </c>
      <c r="CS318" s="67">
        <f>IFERROR(IF(($CD318)&gt;0,($CJ318)/($CD318),""),"")</f>
        <v/>
      </c>
      <c r="CT318" s="67">
        <f>IFERROR(IF(($CE318)&gt;0,($CK318)/($CE318),""),"")</f>
        <v/>
      </c>
      <c r="CU318" s="55">
        <f>SUMIFS(tblPlant[Gravity_Gold_oz],tblPlant[Date],$A318)</f>
        <v/>
      </c>
      <c r="CV318" s="55">
        <f>IF($B318=$B317,$CV317,0)+$CU318</f>
        <v/>
      </c>
      <c r="CW318" s="55">
        <f>$CW317+$CU318</f>
        <v/>
      </c>
      <c r="CX318" s="55">
        <f>SUMIFS(tblPlant[Gold_Poured_oz],tblPlant[Date],$A318)</f>
        <v/>
      </c>
      <c r="CY318" s="55">
        <f>IF($B318=$B317,$CY317,0)+$CX318</f>
        <v/>
      </c>
      <c r="CZ318" s="55">
        <f>$CZ317+$CX318</f>
        <v/>
      </c>
      <c r="DA318" s="57">
        <f>SUMIFS(tblPlant[Mill_Run_h],tblPlant[Date],$A318)</f>
        <v/>
      </c>
      <c r="DB318" s="57">
        <f>IF($B318=$B317,$DB317,0)+$DA318</f>
        <v/>
      </c>
      <c r="DC318" s="57">
        <f>$DC317+$DA318</f>
        <v/>
      </c>
      <c r="DD318" s="57">
        <f>SUMIFS(tblPlant[Mill_Planned_Maint_h],tblPlant[Date],$A318)</f>
        <v/>
      </c>
      <c r="DE318" s="57">
        <f>IF($B318=$B317,$DE317,0)+$DD318</f>
        <v/>
      </c>
      <c r="DF318" s="57">
        <f>$DF317+$DD318</f>
        <v/>
      </c>
      <c r="DG318" s="57">
        <f>SUMIFS(tblPlant[Mill_Unplanned_Down_h],tblPlant[Date],$A318)</f>
        <v/>
      </c>
      <c r="DH318" s="57">
        <f>IF($B318=$B317,$DH317,0)+$DG318</f>
        <v/>
      </c>
      <c r="DI318" s="57">
        <f>$DI317+$DG318</f>
        <v/>
      </c>
      <c r="DJ318" s="57">
        <f>COUNTIFS(tblPlant[Date],$A318,tblPlant[Mill_Run_h],"&lt;&gt;")*24</f>
        <v/>
      </c>
      <c r="DK318" s="57">
        <f>IF($B318=$B317,$DK317,0)+$DJ318</f>
        <v/>
      </c>
      <c r="DL318" s="57">
        <f>$DL317+$DJ318</f>
        <v/>
      </c>
      <c r="DM318" s="57">
        <f>SUMIFS(tblPlant[Crusher_Run_h],tblPlant[Date],$A318)</f>
        <v/>
      </c>
      <c r="DN318" s="57">
        <f>IF($B318=$B317,$DN317,0)+$DM318</f>
        <v/>
      </c>
      <c r="DO318" s="57">
        <f>$DO317+$DM318</f>
        <v/>
      </c>
      <c r="DP318" s="55">
        <f>IFERROR(IF(($DA318)&gt;0,($BZ318)/($DA318),""),"")</f>
        <v/>
      </c>
      <c r="DQ318" s="55">
        <f>IFERROR(IF(($DB318)&gt;0,($CA318)/($DB318),""),"")</f>
        <v/>
      </c>
      <c r="DR318" s="55">
        <f>IFERROR(IF(($DC318)&gt;0,($CB318)/($DC318),""),"")</f>
        <v/>
      </c>
      <c r="DS318" s="67">
        <f>IFERROR(IF(($DJ318)&gt;0,($DJ318-$DD318-$DG318)/($DJ318),""),"")</f>
        <v/>
      </c>
      <c r="DT318" s="67">
        <f>IFERROR(IF(($DK318)&gt;0,($DK318-$DE318-$DH318)/($DK318),""),"")</f>
        <v/>
      </c>
      <c r="DU318" s="67">
        <f>IFERROR(IF(($DL318)&gt;0,($DL318-$DF318-$DI318)/($DL318),""),"")</f>
        <v/>
      </c>
      <c r="DV318" s="67">
        <f>IFERROR(IF(($DJ318-$DD318-$DG318)&gt;0,($DA318)/($DJ318-$DD318-$DG318),""),"")</f>
        <v/>
      </c>
      <c r="DW318" s="67">
        <f>IFERROR(IF(($DK318-$DE318-$DH318)&gt;0,($DB318)/($DK318-$DE318-$DH318),""),"")</f>
        <v/>
      </c>
      <c r="DX318" s="67">
        <f>IFERROR(IF(($DL318-$DF318-$DI318)&gt;0,($DC318)/($DL318-$DF318-$DI318),""),"")</f>
        <v/>
      </c>
      <c r="DY318" s="55">
        <f>SUMIFS(tblPlant[Cyanide_kg],tblPlant[Date],$A318)</f>
        <v/>
      </c>
      <c r="DZ318" s="55">
        <f>IF($B318=$B317,$DZ317,0)+$DY318</f>
        <v/>
      </c>
      <c r="EA318" s="55">
        <f>$EA317+$DY318</f>
        <v/>
      </c>
      <c r="EB318" s="55">
        <f>SUMIFS(tblPlant[Lime_kg],tblPlant[Date],$A318)</f>
        <v/>
      </c>
      <c r="EC318" s="55">
        <f>IF($B318=$B317,$EC317,0)+$EB318</f>
        <v/>
      </c>
      <c r="ED318" s="55">
        <f>$ED317+$EB318</f>
        <v/>
      </c>
      <c r="EE318" s="55">
        <f>SUMIFS(tblPlant[Grinding_Media_kg],tblPlant[Date],$A318)</f>
        <v/>
      </c>
      <c r="EF318" s="55">
        <f>IF($B318=$B317,$EF317,0)+$EE318</f>
        <v/>
      </c>
      <c r="EG318" s="55">
        <f>$EG317+$EE318</f>
        <v/>
      </c>
      <c r="EH318" s="55">
        <f>SUMIFS(tblPlant[Power_kWh],tblPlant[Date],$A318)</f>
        <v/>
      </c>
      <c r="EI318" s="55">
        <f>IF($B318=$B317,$EI317,0)+$EH318</f>
        <v/>
      </c>
      <c r="EJ318" s="55">
        <f>$EJ317+$EH318</f>
        <v/>
      </c>
      <c r="EK318" s="55">
        <f>SUMIFS(tblPlant[Raw_Water_m3],tblPlant[Date],$A318)</f>
        <v/>
      </c>
      <c r="EL318" s="55">
        <f>IF($B318=$B317,$EL317,0)+$EK318</f>
        <v/>
      </c>
      <c r="EM318" s="55">
        <f>$EM317+$EK318</f>
        <v/>
      </c>
      <c r="EN318" s="56">
        <f>IFERROR(IF(($BZ318)&gt;0,($DY318)/($BZ318),""),"")</f>
        <v/>
      </c>
      <c r="EO318" s="56">
        <f>IFERROR(IF(($CA318)&gt;0,($DZ318)/($CA318),""),"")</f>
        <v/>
      </c>
      <c r="EP318" s="56">
        <f>IFERROR(IF(($CB318)&gt;0,($EA318)/($CB318),""),"")</f>
        <v/>
      </c>
      <c r="EQ318" s="56">
        <f>IFERROR(IF(($BZ318)&gt;0,($EB318)/($BZ318),""),"")</f>
        <v/>
      </c>
      <c r="ER318" s="56">
        <f>IFERROR(IF(($CA318)&gt;0,($EC318)/($CA318),""),"")</f>
        <v/>
      </c>
      <c r="ES318" s="56">
        <f>IFERROR(IF(($CB318)&gt;0,($ED318)/($CB318),""),"")</f>
        <v/>
      </c>
      <c r="ET318" s="56">
        <f>IFERROR(IF(($BZ318)&gt;0,($EE318)/($BZ318),""),"")</f>
        <v/>
      </c>
      <c r="EU318" s="56">
        <f>IFERROR(IF(($CA318)&gt;0,($EF318)/($CA318),""),"")</f>
        <v/>
      </c>
      <c r="EV318" s="56">
        <f>IFERROR(IF(($CB318)&gt;0,($EG318)/($CB318),""),"")</f>
        <v/>
      </c>
      <c r="EW318" s="76">
        <f>IFERROR(IF(($BZ318)&gt;0,($EH318)/($BZ318),""),"")</f>
        <v/>
      </c>
      <c r="EX318" s="76">
        <f>IFERROR(IF(($CA318)&gt;0,($EI318)/($CA318),""),"")</f>
        <v/>
      </c>
      <c r="EY318" s="76">
        <f>IFERROR(IF(($CB318)&gt;0,($EJ318)/($CB318),""),"")</f>
        <v/>
      </c>
      <c r="EZ318" s="56">
        <f>IFERROR(IF(($BZ318)&gt;0,($EK318)/($BZ318),""),"")</f>
        <v/>
      </c>
      <c r="FA318" s="56">
        <f>IFERROR(IF(($CA318)&gt;0,($EL318)/($CA318),""),"")</f>
        <v/>
      </c>
      <c r="FB318" s="56">
        <f>IFERROR(IF(($CB318)&gt;0,($EM318)/($CB318),""),"")</f>
        <v/>
      </c>
      <c r="FC318" s="55">
        <f>IF(SUMIFS(tblPlant[GIC_oz],tblPlant[Date],$A318)&gt;0,SUMIFS(tblPlant[GIC_oz],tblPlant[Date],$A318),"")</f>
        <v/>
      </c>
      <c r="FD318" s="55">
        <f>SUMIFS(tblGold[Gold_oz],tblGold[Date],$A318,tblGold[Type],"Shipment")</f>
        <v/>
      </c>
      <c r="FE318" s="55">
        <f>IF($B318=$B317,$FE317,0)+$FD318</f>
        <v/>
      </c>
      <c r="FF318" s="55">
        <f>$FF317+$FD318</f>
        <v/>
      </c>
      <c r="FG318" s="55">
        <f>SUMIFS(tblGold[Gold_oz],tblGold[Date],$A318,tblGold[Type],"Sale")</f>
        <v/>
      </c>
      <c r="FH318" s="55">
        <f>IF($B318=$B317,$FH317,0)+$FG318</f>
        <v/>
      </c>
      <c r="FI318" s="55">
        <f>$FI317+$FG318</f>
        <v/>
      </c>
      <c r="FJ318" s="55">
        <f>SUMIFS(tblGold[Dore_kg],tblGold[Date],$A318,tblGold[Type],"Shipment")</f>
        <v/>
      </c>
      <c r="FK318" s="55">
        <f>IF($B318=$B317,$FK317,0)+$FJ318</f>
        <v/>
      </c>
      <c r="FL318" s="55">
        <f>$FL317+$FJ318</f>
        <v/>
      </c>
      <c r="FM318" s="57">
        <f>SUMIFS(tblSafety[Hours_Total],tblSafety[Date],$A318)</f>
        <v/>
      </c>
      <c r="FN318" s="57">
        <f>IF($B318=$B317,$FN317,0)+$FM318</f>
        <v/>
      </c>
      <c r="FO318" s="57">
        <f>$FO317+$FM318</f>
        <v/>
      </c>
      <c r="FP318" s="62">
        <f>SUMIFS(tblSafety[Fatality],tblSafety[Date],$A318)</f>
        <v/>
      </c>
      <c r="FQ318" s="62">
        <f>IF($B318=$B317,$FQ317,0)+$FP318</f>
        <v/>
      </c>
      <c r="FR318" s="62">
        <f>$FR317+$FP318</f>
        <v/>
      </c>
      <c r="FS318" s="62">
        <f>SUMIFS(tblSafety[LTI],tblSafety[Date],$A318)</f>
        <v/>
      </c>
      <c r="FT318" s="62">
        <f>IF($B318=$B317,$FT317,0)+$FS318</f>
        <v/>
      </c>
      <c r="FU318" s="62">
        <f>$FU317+$FS318</f>
        <v/>
      </c>
      <c r="FV318" s="62">
        <f>SUMIFS(tblSafety[RWI],tblSafety[Date],$A318)</f>
        <v/>
      </c>
      <c r="FW318" s="62">
        <f>IF($B318=$B317,$FW317,0)+$FV318</f>
        <v/>
      </c>
      <c r="FX318" s="62">
        <f>$FX317+$FV318</f>
        <v/>
      </c>
      <c r="FY318" s="62">
        <f>SUMIFS(tblSafety[MTI],tblSafety[Date],$A318)</f>
        <v/>
      </c>
      <c r="FZ318" s="62">
        <f>IF($B318=$B317,$FZ317,0)+$FY318</f>
        <v/>
      </c>
      <c r="GA318" s="62">
        <f>$GA317+$FY318</f>
        <v/>
      </c>
      <c r="GB318" s="62">
        <f>SUMIFS(tblSafety[FAI],tblSafety[Date],$A318)</f>
        <v/>
      </c>
      <c r="GC318" s="62">
        <f>IF($B318=$B317,$GC317,0)+$GB318</f>
        <v/>
      </c>
      <c r="GD318" s="62">
        <f>$GD317+$GB318</f>
        <v/>
      </c>
      <c r="GE318" s="62">
        <f>SUMIFS(tblSafety[Recordables],tblSafety[Date],$A318)</f>
        <v/>
      </c>
      <c r="GF318" s="62">
        <f>IF($B318=$B317,$GF317,0)+$GE318</f>
        <v/>
      </c>
      <c r="GG318" s="62">
        <f>$GG317+$GE318</f>
        <v/>
      </c>
      <c r="GH318" s="62">
        <f>SUMIFS(tblSafety[Near_Miss],tblSafety[Date],$A318)</f>
        <v/>
      </c>
      <c r="GI318" s="62">
        <f>IF($B318=$B317,$GI317,0)+$GH318</f>
        <v/>
      </c>
      <c r="GJ318" s="62">
        <f>$GJ317+$GH318</f>
        <v/>
      </c>
      <c r="GK318" s="62">
        <f>SUMIFS(tblSafety[Hazard_Reports],tblSafety[Date],$A318)</f>
        <v/>
      </c>
      <c r="GL318" s="62">
        <f>IF($B318=$B317,$GL317,0)+$GK318</f>
        <v/>
      </c>
      <c r="GM318" s="62">
        <f>$GM317+$GK318</f>
        <v/>
      </c>
      <c r="GN318" s="62">
        <f>SUMIFS(tblSafety[HPI],tblSafety[Date],$A318)</f>
        <v/>
      </c>
      <c r="GO318" s="62">
        <f>IF($B318=$B317,$GO317,0)+$GN318</f>
        <v/>
      </c>
      <c r="GP318" s="62">
        <f>$GP317+$GN318</f>
        <v/>
      </c>
      <c r="GQ318" s="62">
        <f>SUMIFS(tblSafety[Env_Incidents],tblSafety[Date],$A318)</f>
        <v/>
      </c>
      <c r="GR318" s="62">
        <f>IF($B318=$B317,$GR317,0)+$GQ318</f>
        <v/>
      </c>
      <c r="GS318" s="62">
        <f>$GS317+$GQ318</f>
        <v/>
      </c>
      <c r="GT318" s="62">
        <f>SUMIFS(tblSafety[Community_Incidents],tblSafety[Date],$A318)</f>
        <v/>
      </c>
      <c r="GU318" s="62">
        <f>IF($B318=$B317,$GU317,0)+$GT318</f>
        <v/>
      </c>
      <c r="GV318" s="62">
        <f>$GV317+$GT318</f>
        <v/>
      </c>
      <c r="GW318" s="62">
        <f>SUMIFS(tblSafety[Vehicle_Incidents],tblSafety[Date],$A318)</f>
        <v/>
      </c>
      <c r="GX318" s="62">
        <f>IF($B318=$B317,$GX317,0)+$GW318</f>
        <v/>
      </c>
      <c r="GY318" s="62">
        <f>$GY317+$GW318</f>
        <v/>
      </c>
      <c r="GZ318" s="62">
        <f>SUMIFS(tblSafety[Toolbox_Talks],tblSafety[Date],$A318)</f>
        <v/>
      </c>
      <c r="HA318" s="62">
        <f>IF($B318=$B317,$HA317,0)+$GZ318</f>
        <v/>
      </c>
      <c r="HB318" s="62">
        <f>$HB317+$GZ318</f>
        <v/>
      </c>
      <c r="HC318" s="62">
        <f>SUMIFS(tblSafety[Inspections],tblSafety[Date],$A318)</f>
        <v/>
      </c>
      <c r="HD318" s="62">
        <f>IF($B318=$B317,$HD317,0)+$HC318</f>
        <v/>
      </c>
      <c r="HE318" s="62">
        <f>$HE317+$HC318</f>
        <v/>
      </c>
      <c r="HF318" s="56">
        <f>IFERROR((SUMIFS(tblSafety[Recordables],tblSafety[Date],"&gt;="&amp;EDATE($E318,-12),tblSafety[Date],"&lt;="&amp;$A318)+SUMIFS(tblSafetyHistory[Recordables],tblSafetyHistory[Month],"&gt;="&amp;EDATE($E318,-12),tblSafetyHistory[Month],"&lt;"&amp;cfg_YearStart))/(SUMIFS(tblSafety[Hours_Total],tblSafety[Date],"&gt;="&amp;EDATE($E318,-12),tblSafety[Date],"&lt;="&amp;$A318)+SUMIFS(tblSafetyHistory[Hours_Total],tblSafetyHistory[Month],"&gt;="&amp;EDATE($E318,-12),tblSafetyHistory[Month],"&lt;"&amp;cfg_YearStart))*1000000,"")</f>
        <v/>
      </c>
      <c r="HG318" s="56">
        <f>IFERROR((SUMIFS(tblSafety[LTI],tblSafety[Date],"&gt;="&amp;EDATE($E318,-12),tblSafety[Date],"&lt;="&amp;$A318)+SUMIFS(tblSafetyHistory[LTI],tblSafetyHistory[Month],"&gt;="&amp;EDATE($E318,-12),tblSafetyHistory[Month],"&lt;"&amp;cfg_YearStart))/(SUMIFS(tblSafety[Hours_Total],tblSafety[Date],"&gt;="&amp;EDATE($E318,-12),tblSafety[Date],"&lt;="&amp;$A318)+SUMIFS(tblSafetyHistory[Hours_Total],tblSafetyHistory[Month],"&gt;="&amp;EDATE($E318,-12),tblSafetyHistory[Month],"&lt;"&amp;cfg_YearStart))*1000000,"")</f>
        <v/>
      </c>
      <c r="HH318" s="62">
        <f>IF(MAX(N(cfg_PriorLTIDate),_xlfn.MAXIFS(tblSafety[Date],tblSafety[LTI],"&gt;0",tblSafety[Date],"&lt;="&amp;$A318))=0,"",$A318-MAX(N(cfg_PriorLTIDate),_xlfn.MAXIFS(tblSafety[Date],tblSafety[LTI],"&gt;0",tblSafety[Date],"&lt;="&amp;$A318)))</f>
        <v/>
      </c>
      <c r="HI318" s="55">
        <f>SUMIFS(tblBudget[Ore_Mined_t],tblBudget[Month],$E318)</f>
        <v/>
      </c>
      <c r="HJ318" s="55">
        <f>$HI318*$C318/$D318</f>
        <v/>
      </c>
      <c r="HK318" s="55">
        <f>SUMIFS(tblBudget[Ore_Mined_t],tblBudget[Month],"&lt;"&amp;$E318)+$HJ318</f>
        <v/>
      </c>
      <c r="HL318" s="55">
        <f>SUMIFS(tblBudget[Ore_oz],tblBudget[Month],$E318)</f>
        <v/>
      </c>
      <c r="HM318" s="55">
        <f>$HL318*$C318/$D318</f>
        <v/>
      </c>
      <c r="HN318" s="55">
        <f>SUMIFS(tblBudget[Ore_oz],tblBudget[Month],"&lt;"&amp;$E318)+$HM318</f>
        <v/>
      </c>
      <c r="HO318" s="56">
        <f>IFERROR(IF(($HI318)&gt;0,($HL318*cfg_TroyOz)/($HI318),""),"")</f>
        <v/>
      </c>
      <c r="HP318" s="56">
        <f>IFERROR(IF(($HJ318)&gt;0,($HM318*cfg_TroyOz)/($HJ318),""),"")</f>
        <v/>
      </c>
      <c r="HQ318" s="56">
        <f>IFERROR(IF(($HK318)&gt;0,($HN318*cfg_TroyOz)/($HK318),""),"")</f>
        <v/>
      </c>
      <c r="HR318" s="55">
        <f>SUMIFS(tblBudget[Waste_t],tblBudget[Month],$E318)</f>
        <v/>
      </c>
      <c r="HS318" s="55">
        <f>$HR318*$C318/$D318</f>
        <v/>
      </c>
      <c r="HT318" s="55">
        <f>SUMIFS(tblBudget[Waste_t],tblBudget[Month],"&lt;"&amp;$E318)+$HS318</f>
        <v/>
      </c>
      <c r="HU318" s="55">
        <f>SUMIFS(tblBudget[TMM_t],tblBudget[Month],$E318)</f>
        <v/>
      </c>
      <c r="HV318" s="55">
        <f>$HU318*$C318/$D318</f>
        <v/>
      </c>
      <c r="HW318" s="55">
        <f>SUMIFS(tblBudget[TMM_t],tblBudget[Month],"&lt;"&amp;$E318)+$HV318</f>
        <v/>
      </c>
      <c r="HX318" s="56">
        <f>IFERROR(IF(($HI318)&gt;0,($HR318)/($HI318),""),"")</f>
        <v/>
      </c>
      <c r="HY318" s="56">
        <f>IFERROR(IF(($HJ318)&gt;0,($HS318)/($HJ318),""),"")</f>
        <v/>
      </c>
      <c r="HZ318" s="56">
        <f>IFERROR(IF(($HK318)&gt;0,($HT318)/($HK318),""),"")</f>
        <v/>
      </c>
      <c r="IA318" s="55">
        <f>SUMIFS(tblBudget[Drill_m],tblBudget[Month],$E318)</f>
        <v/>
      </c>
      <c r="IB318" s="55">
        <f>$IA318*$C318/$D318</f>
        <v/>
      </c>
      <c r="IC318" s="55">
        <f>SUMIFS(tblBudget[Drill_m],tblBudget[Month],"&lt;"&amp;$E318)+$IB318</f>
        <v/>
      </c>
      <c r="ID318" s="55">
        <f>SUMIFS(tblBudget[Diesel_L],tblBudget[Month],$E318)</f>
        <v/>
      </c>
      <c r="IE318" s="55">
        <f>$ID318*$C318/$D318</f>
        <v/>
      </c>
      <c r="IF318" s="55">
        <f>SUMIFS(tblBudget[Diesel_L],tblBudget[Month],"&lt;"&amp;$E318)+$IE318</f>
        <v/>
      </c>
      <c r="IG318" s="55">
        <f>SUMIFS(tblBudget[Milled_t],tblBudget[Month],$E318)</f>
        <v/>
      </c>
      <c r="IH318" s="55">
        <f>$IG318*$C318/$D318</f>
        <v/>
      </c>
      <c r="II318" s="55">
        <f>SUMIFS(tblBudget[Milled_t],tblBudget[Month],"&lt;"&amp;$E318)+$IH318</f>
        <v/>
      </c>
      <c r="IJ318" s="55">
        <f>SUMIFS(tblBudget[Feed_oz],tblBudget[Month],$E318)</f>
        <v/>
      </c>
      <c r="IK318" s="55">
        <f>$IJ318*$C318/$D318</f>
        <v/>
      </c>
      <c r="IL318" s="55">
        <f>SUMIFS(tblBudget[Feed_oz],tblBudget[Month],"&lt;"&amp;$E318)+$IK318</f>
        <v/>
      </c>
      <c r="IM318" s="55">
        <f>SUMIFS(tblBudget[Recovered_oz],tblBudget[Month],$E318)</f>
        <v/>
      </c>
      <c r="IN318" s="55">
        <f>$IM318*$C318/$D318</f>
        <v/>
      </c>
      <c r="IO318" s="55">
        <f>SUMIFS(tblBudget[Recovered_oz],tblBudget[Month],"&lt;"&amp;$E318)+$IN318</f>
        <v/>
      </c>
      <c r="IP318" s="56">
        <f>IFERROR(IF(($IG318)&gt;0,($IJ318*cfg_TroyOz)/($IG318),""),"")</f>
        <v/>
      </c>
      <c r="IQ318" s="56">
        <f>IFERROR(IF(($IH318)&gt;0,($IK318*cfg_TroyOz)/($IH318),""),"")</f>
        <v/>
      </c>
      <c r="IR318" s="56">
        <f>IFERROR(IF(($II318)&gt;0,($IL318*cfg_TroyOz)/($II318),""),"")</f>
        <v/>
      </c>
      <c r="IS318" s="67">
        <f>IFERROR(IF(($IJ318)&gt;0,($IM318)/($IJ318),""),"")</f>
        <v/>
      </c>
      <c r="IT318" s="67">
        <f>IFERROR(IF(($IK318)&gt;0,($IN318)/($IK318),""),"")</f>
        <v/>
      </c>
      <c r="IU318" s="67">
        <f>IFERROR(IF(($IL318)&gt;0,($IO318)/($IL318),""),"")</f>
        <v/>
      </c>
      <c r="IV318" s="55">
        <f>SUMIFS(tblBudget[Gold_Poured_oz],tblBudget[Month],$E318)</f>
        <v/>
      </c>
      <c r="IW318" s="55">
        <f>$IV318*$C318/$D318</f>
        <v/>
      </c>
      <c r="IX318" s="55">
        <f>SUMIFS(tblBudget[Gold_Poured_oz],tblBudget[Month],"&lt;"&amp;$E318)+$IW318</f>
        <v/>
      </c>
      <c r="IY318" s="57">
        <f>SUMIFS(tblBudget[Hours_Worked],tblBudget[Month],$E318)</f>
        <v/>
      </c>
      <c r="IZ318" s="57">
        <f>$IY318*$C318/$D318</f>
        <v/>
      </c>
      <c r="JA318" s="57">
        <f>SUMIFS(tblBudget[Hours_Worked],tblBudget[Month],"&lt;"&amp;$E318)+$IZ318</f>
        <v/>
      </c>
    </row>
    <row r="319">
      <c r="A319" s="54" t="n">
        <v>46340</v>
      </c>
      <c r="B319">
        <f>MONTH($A319)</f>
        <v/>
      </c>
      <c r="C319">
        <f>DAY($A319)</f>
        <v/>
      </c>
      <c r="D319">
        <f>DAY(EOMONTH($A319,0))</f>
        <v/>
      </c>
      <c r="E319" s="54">
        <f>DATE(YEAR($A319),MONTH($A319),1)</f>
        <v/>
      </c>
      <c r="F319" s="55">
        <f>SUMIFS(tblMovement[Tonnes_t],tblMovement[Date],$A319,tblMovement[Is_Ore],1,tblMovement[Source_Type],"Pit")</f>
        <v/>
      </c>
      <c r="G319" s="55">
        <f>IF($B319=$B318,$G318,0)+$F319</f>
        <v/>
      </c>
      <c r="H319" s="55">
        <f>$H318+$F319</f>
        <v/>
      </c>
      <c r="I319" s="55">
        <f>SUMIFS(tblMovement[Ore_oz],tblMovement[Date],$A319,tblMovement[Source_Type],"Pit")</f>
        <v/>
      </c>
      <c r="J319" s="55">
        <f>IF($B319=$B318,$J318,0)+$I319</f>
        <v/>
      </c>
      <c r="K319" s="55">
        <f>$K318+$I319</f>
        <v/>
      </c>
      <c r="L319" s="56">
        <f>IFERROR(IF(($F319)&gt;0,($I319*cfg_TroyOz)/($F319),""),"")</f>
        <v/>
      </c>
      <c r="M319" s="56">
        <f>IFERROR(IF(($G319)&gt;0,($J319*cfg_TroyOz)/($G319),""),"")</f>
        <v/>
      </c>
      <c r="N319" s="56">
        <f>IFERROR(IF(($H319)&gt;0,($K319*cfg_TroyOz)/($H319),""),"")</f>
        <v/>
      </c>
      <c r="O319" s="55">
        <f>SUMIFS(tblMovement[Tonnes_t],tblMovement[Date],$A319,tblMovement[Is_Ore],0,tblMovement[Source_Type],"Pit")</f>
        <v/>
      </c>
      <c r="P319" s="55">
        <f>IF($B319=$B318,$P318,0)+$O319</f>
        <v/>
      </c>
      <c r="Q319" s="55">
        <f>$Q318+$O319</f>
        <v/>
      </c>
      <c r="R319" s="55">
        <f>$F319+$O319</f>
        <v/>
      </c>
      <c r="S319" s="55">
        <f>IF($B319=$B318,$S318,0)+$R319</f>
        <v/>
      </c>
      <c r="T319" s="55">
        <f>$T318+$R319</f>
        <v/>
      </c>
      <c r="U319" s="56">
        <f>IFERROR(IF(($F319)&gt;0,($O319)/($F319),""),"")</f>
        <v/>
      </c>
      <c r="V319" s="56">
        <f>IFERROR(IF(($G319)&gt;0,($P319)/($G319),""),"")</f>
        <v/>
      </c>
      <c r="W319" s="56">
        <f>IFERROR(IF(($H319)&gt;0,($Q319)/($H319),""),"")</f>
        <v/>
      </c>
      <c r="X319" s="55">
        <f>SUMIFS(tblMovement[Tonnes_t],tblMovement[Date],$A319,tblMovement[Source_Type],"Stockpile")</f>
        <v/>
      </c>
      <c r="Y319" s="55">
        <f>IF($B319=$B318,$Y318,0)+$X319</f>
        <v/>
      </c>
      <c r="Z319" s="55">
        <f>$Z318+$X319</f>
        <v/>
      </c>
      <c r="AA319" s="55">
        <f>SUMIFS(tblMiningDaily[Drill_m],tblMiningDaily[Date],$A319)</f>
        <v/>
      </c>
      <c r="AB319" s="55">
        <f>IF($B319=$B318,$AB318,0)+$AA319</f>
        <v/>
      </c>
      <c r="AC319" s="55">
        <f>$AC318+$AA319</f>
        <v/>
      </c>
      <c r="AD319" s="55">
        <f>SUMIFS(tblMiningDaily[Blast_t],tblMiningDaily[Date],$A319)</f>
        <v/>
      </c>
      <c r="AE319" s="55">
        <f>IF($B319=$B318,$AE318,0)+$AD319</f>
        <v/>
      </c>
      <c r="AF319" s="55">
        <f>$AF318+$AD319</f>
        <v/>
      </c>
      <c r="AG319" s="55">
        <f>SUMIFS(tblMiningDaily[Explosives_kg],tblMiningDaily[Date],$A319)</f>
        <v/>
      </c>
      <c r="AH319" s="55">
        <f>IF($B319=$B318,$AH318,0)+$AG319</f>
        <v/>
      </c>
      <c r="AI319" s="55">
        <f>$AI318+$AG319</f>
        <v/>
      </c>
      <c r="AJ319" s="56">
        <f>IFERROR(IF(($AD319)&gt;0,($AG319)/($AD319),""),"")</f>
        <v/>
      </c>
      <c r="AK319" s="56">
        <f>IFERROR(IF(($AE319)&gt;0,($AH319)/($AE319),""),"")</f>
        <v/>
      </c>
      <c r="AL319" s="56">
        <f>IFERROR(IF(($AF319)&gt;0,($AI319)/($AF319),""),"")</f>
        <v/>
      </c>
      <c r="AM319" s="55">
        <f>SUMIFS(tblMiningDaily[Diesel_L],tblMiningDaily[Date],$A319)</f>
        <v/>
      </c>
      <c r="AN319" s="55">
        <f>IF($B319=$B318,$AN318,0)+$AM319</f>
        <v/>
      </c>
      <c r="AO319" s="55">
        <f>$AO318+$AM319</f>
        <v/>
      </c>
      <c r="AP319" s="55">
        <f>SUMIFS(tblMiningDaily[Dewatering_m3],tblMiningDaily[Date],$A319)</f>
        <v/>
      </c>
      <c r="AQ319" s="55">
        <f>IF($B319=$B318,$AQ318,0)+$AP319</f>
        <v/>
      </c>
      <c r="AR319" s="55">
        <f>$AR318+$AP319</f>
        <v/>
      </c>
      <c r="AS319" s="57">
        <f>SUMIFS(tblFleet[Calendar_h],tblFleet[Date],$A319,tblFleet[Equipment_Class],"Excavator")</f>
        <v/>
      </c>
      <c r="AT319" s="57">
        <f>IF($B319=$B318,$AT318,0)+$AS319</f>
        <v/>
      </c>
      <c r="AU319" s="57">
        <f>$AU318+$AS319</f>
        <v/>
      </c>
      <c r="AV319" s="57">
        <f>SUMIFS(tblFleet[Available_h],tblFleet[Date],$A319,tblFleet[Equipment_Class],"Excavator")</f>
        <v/>
      </c>
      <c r="AW319" s="57">
        <f>IF($B319=$B318,$AW318,0)+$AV319</f>
        <v/>
      </c>
      <c r="AX319" s="57">
        <f>$AX318+$AV319</f>
        <v/>
      </c>
      <c r="AY319" s="57">
        <f>SUMIFS(tblFleet[Operating_h],tblFleet[Date],$A319,tblFleet[Equipment_Class],"Excavator")</f>
        <v/>
      </c>
      <c r="AZ319" s="57">
        <f>IF($B319=$B318,$AZ318,0)+$AY319</f>
        <v/>
      </c>
      <c r="BA319" s="57">
        <f>$BA318+$AY319</f>
        <v/>
      </c>
      <c r="BB319" s="67">
        <f>IFERROR(IF(($AS319)&gt;0,($AV319)/($AS319),""),"")</f>
        <v/>
      </c>
      <c r="BC319" s="67">
        <f>IFERROR(IF(($AT319)&gt;0,($AW319)/($AT319),""),"")</f>
        <v/>
      </c>
      <c r="BD319" s="67">
        <f>IFERROR(IF(($AU319)&gt;0,($AX319)/($AU319),""),"")</f>
        <v/>
      </c>
      <c r="BE319" s="67">
        <f>IFERROR(IF(($AV319)&gt;0,($AY319)/($AV319),""),"")</f>
        <v/>
      </c>
      <c r="BF319" s="67">
        <f>IFERROR(IF(($AW319)&gt;0,($AZ319)/($AW319),""),"")</f>
        <v/>
      </c>
      <c r="BG319" s="67">
        <f>IFERROR(IF(($AX319)&gt;0,($BA319)/($AX319),""),"")</f>
        <v/>
      </c>
      <c r="BH319" s="57">
        <f>SUMIFS(tblFleet[Calendar_h],tblFleet[Date],$A319,tblFleet[Equipment_Class],"Haul Truck")</f>
        <v/>
      </c>
      <c r="BI319" s="57">
        <f>IF($B319=$B318,$BI318,0)+$BH319</f>
        <v/>
      </c>
      <c r="BJ319" s="57">
        <f>$BJ318+$BH319</f>
        <v/>
      </c>
      <c r="BK319" s="57">
        <f>SUMIFS(tblFleet[Available_h],tblFleet[Date],$A319,tblFleet[Equipment_Class],"Haul Truck")</f>
        <v/>
      </c>
      <c r="BL319" s="57">
        <f>IF($B319=$B318,$BL318,0)+$BK319</f>
        <v/>
      </c>
      <c r="BM319" s="57">
        <f>$BM318+$BK319</f>
        <v/>
      </c>
      <c r="BN319" s="57">
        <f>SUMIFS(tblFleet[Operating_h],tblFleet[Date],$A319,tblFleet[Equipment_Class],"Haul Truck")</f>
        <v/>
      </c>
      <c r="BO319" s="57">
        <f>IF($B319=$B318,$BO318,0)+$BN319</f>
        <v/>
      </c>
      <c r="BP319" s="57">
        <f>$BP318+$BN319</f>
        <v/>
      </c>
      <c r="BQ319" s="67">
        <f>IFERROR(IF(($BH319)&gt;0,($BK319)/($BH319),""),"")</f>
        <v/>
      </c>
      <c r="BR319" s="67">
        <f>IFERROR(IF(($BI319)&gt;0,($BL319)/($BI319),""),"")</f>
        <v/>
      </c>
      <c r="BS319" s="67">
        <f>IFERROR(IF(($BJ319)&gt;0,($BM319)/($BJ319),""),"")</f>
        <v/>
      </c>
      <c r="BT319" s="67">
        <f>IFERROR(IF(($BK319)&gt;0,($BN319)/($BK319),""),"")</f>
        <v/>
      </c>
      <c r="BU319" s="67">
        <f>IFERROR(IF(($BL319)&gt;0,($BO319)/($BL319),""),"")</f>
        <v/>
      </c>
      <c r="BV319" s="67">
        <f>IFERROR(IF(($BM319)&gt;0,($BP319)/($BM319),""),"")</f>
        <v/>
      </c>
      <c r="BW319" s="55">
        <f>SUMIFS(tblPlant[Crushed_t],tblPlant[Date],$A319)</f>
        <v/>
      </c>
      <c r="BX319" s="55">
        <f>IF($B319=$B318,$BX318,0)+$BW319</f>
        <v/>
      </c>
      <c r="BY319" s="55">
        <f>$BY318+$BW319</f>
        <v/>
      </c>
      <c r="BZ319" s="55">
        <f>SUMIFS(tblPlant[Milled_t],tblPlant[Date],$A319)</f>
        <v/>
      </c>
      <c r="CA319" s="55">
        <f>IF($B319=$B318,$CA318,0)+$BZ319</f>
        <v/>
      </c>
      <c r="CB319" s="55">
        <f>$CB318+$BZ319</f>
        <v/>
      </c>
      <c r="CC319" s="55">
        <f>SUMIFS(tblPlant[Feed_oz],tblPlant[Date],$A319)</f>
        <v/>
      </c>
      <c r="CD319" s="55">
        <f>IF($B319=$B318,$CD318,0)+$CC319</f>
        <v/>
      </c>
      <c r="CE319" s="55">
        <f>$CE318+$CC319</f>
        <v/>
      </c>
      <c r="CF319" s="55">
        <f>SUMIFS(tblPlant[Tails_oz],tblPlant[Date],$A319)</f>
        <v/>
      </c>
      <c r="CG319" s="55">
        <f>IF($B319=$B318,$CG318,0)+$CF319</f>
        <v/>
      </c>
      <c r="CH319" s="55">
        <f>$CH318+$CF319</f>
        <v/>
      </c>
      <c r="CI319" s="55">
        <f>SUMIFS(tblPlant[Recovered_oz],tblPlant[Date],$A319)</f>
        <v/>
      </c>
      <c r="CJ319" s="55">
        <f>IF($B319=$B318,$CJ318,0)+$CI319</f>
        <v/>
      </c>
      <c r="CK319" s="55">
        <f>$CK318+$CI319</f>
        <v/>
      </c>
      <c r="CL319" s="56">
        <f>IFERROR(IF(($BZ319)&gt;0,($CC319*cfg_TroyOz)/($BZ319),""),"")</f>
        <v/>
      </c>
      <c r="CM319" s="56">
        <f>IFERROR(IF(($CA319)&gt;0,($CD319*cfg_TroyOz)/($CA319),""),"")</f>
        <v/>
      </c>
      <c r="CN319" s="56">
        <f>IFERROR(IF(($CB319)&gt;0,($CE319*cfg_TroyOz)/($CB319),""),"")</f>
        <v/>
      </c>
      <c r="CO319" s="56">
        <f>IFERROR(IF(($BZ319)&gt;0,($CF319*cfg_TroyOz)/($BZ319),""),"")</f>
        <v/>
      </c>
      <c r="CP319" s="56">
        <f>IFERROR(IF(($CA319)&gt;0,($CG319*cfg_TroyOz)/($CA319),""),"")</f>
        <v/>
      </c>
      <c r="CQ319" s="56">
        <f>IFERROR(IF(($CB319)&gt;0,($CH319*cfg_TroyOz)/($CB319),""),"")</f>
        <v/>
      </c>
      <c r="CR319" s="67">
        <f>IFERROR(IF(($CC319)&gt;0,($CI319)/($CC319),""),"")</f>
        <v/>
      </c>
      <c r="CS319" s="67">
        <f>IFERROR(IF(($CD319)&gt;0,($CJ319)/($CD319),""),"")</f>
        <v/>
      </c>
      <c r="CT319" s="67">
        <f>IFERROR(IF(($CE319)&gt;0,($CK319)/($CE319),""),"")</f>
        <v/>
      </c>
      <c r="CU319" s="55">
        <f>SUMIFS(tblPlant[Gravity_Gold_oz],tblPlant[Date],$A319)</f>
        <v/>
      </c>
      <c r="CV319" s="55">
        <f>IF($B319=$B318,$CV318,0)+$CU319</f>
        <v/>
      </c>
      <c r="CW319" s="55">
        <f>$CW318+$CU319</f>
        <v/>
      </c>
      <c r="CX319" s="55">
        <f>SUMIFS(tblPlant[Gold_Poured_oz],tblPlant[Date],$A319)</f>
        <v/>
      </c>
      <c r="CY319" s="55">
        <f>IF($B319=$B318,$CY318,0)+$CX319</f>
        <v/>
      </c>
      <c r="CZ319" s="55">
        <f>$CZ318+$CX319</f>
        <v/>
      </c>
      <c r="DA319" s="57">
        <f>SUMIFS(tblPlant[Mill_Run_h],tblPlant[Date],$A319)</f>
        <v/>
      </c>
      <c r="DB319" s="57">
        <f>IF($B319=$B318,$DB318,0)+$DA319</f>
        <v/>
      </c>
      <c r="DC319" s="57">
        <f>$DC318+$DA319</f>
        <v/>
      </c>
      <c r="DD319" s="57">
        <f>SUMIFS(tblPlant[Mill_Planned_Maint_h],tblPlant[Date],$A319)</f>
        <v/>
      </c>
      <c r="DE319" s="57">
        <f>IF($B319=$B318,$DE318,0)+$DD319</f>
        <v/>
      </c>
      <c r="DF319" s="57">
        <f>$DF318+$DD319</f>
        <v/>
      </c>
      <c r="DG319" s="57">
        <f>SUMIFS(tblPlant[Mill_Unplanned_Down_h],tblPlant[Date],$A319)</f>
        <v/>
      </c>
      <c r="DH319" s="57">
        <f>IF($B319=$B318,$DH318,0)+$DG319</f>
        <v/>
      </c>
      <c r="DI319" s="57">
        <f>$DI318+$DG319</f>
        <v/>
      </c>
      <c r="DJ319" s="57">
        <f>COUNTIFS(tblPlant[Date],$A319,tblPlant[Mill_Run_h],"&lt;&gt;")*24</f>
        <v/>
      </c>
      <c r="DK319" s="57">
        <f>IF($B319=$B318,$DK318,0)+$DJ319</f>
        <v/>
      </c>
      <c r="DL319" s="57">
        <f>$DL318+$DJ319</f>
        <v/>
      </c>
      <c r="DM319" s="57">
        <f>SUMIFS(tblPlant[Crusher_Run_h],tblPlant[Date],$A319)</f>
        <v/>
      </c>
      <c r="DN319" s="57">
        <f>IF($B319=$B318,$DN318,0)+$DM319</f>
        <v/>
      </c>
      <c r="DO319" s="57">
        <f>$DO318+$DM319</f>
        <v/>
      </c>
      <c r="DP319" s="55">
        <f>IFERROR(IF(($DA319)&gt;0,($BZ319)/($DA319),""),"")</f>
        <v/>
      </c>
      <c r="DQ319" s="55">
        <f>IFERROR(IF(($DB319)&gt;0,($CA319)/($DB319),""),"")</f>
        <v/>
      </c>
      <c r="DR319" s="55">
        <f>IFERROR(IF(($DC319)&gt;0,($CB319)/($DC319),""),"")</f>
        <v/>
      </c>
      <c r="DS319" s="67">
        <f>IFERROR(IF(($DJ319)&gt;0,($DJ319-$DD319-$DG319)/($DJ319),""),"")</f>
        <v/>
      </c>
      <c r="DT319" s="67">
        <f>IFERROR(IF(($DK319)&gt;0,($DK319-$DE319-$DH319)/($DK319),""),"")</f>
        <v/>
      </c>
      <c r="DU319" s="67">
        <f>IFERROR(IF(($DL319)&gt;0,($DL319-$DF319-$DI319)/($DL319),""),"")</f>
        <v/>
      </c>
      <c r="DV319" s="67">
        <f>IFERROR(IF(($DJ319-$DD319-$DG319)&gt;0,($DA319)/($DJ319-$DD319-$DG319),""),"")</f>
        <v/>
      </c>
      <c r="DW319" s="67">
        <f>IFERROR(IF(($DK319-$DE319-$DH319)&gt;0,($DB319)/($DK319-$DE319-$DH319),""),"")</f>
        <v/>
      </c>
      <c r="DX319" s="67">
        <f>IFERROR(IF(($DL319-$DF319-$DI319)&gt;0,($DC319)/($DL319-$DF319-$DI319),""),"")</f>
        <v/>
      </c>
      <c r="DY319" s="55">
        <f>SUMIFS(tblPlant[Cyanide_kg],tblPlant[Date],$A319)</f>
        <v/>
      </c>
      <c r="DZ319" s="55">
        <f>IF($B319=$B318,$DZ318,0)+$DY319</f>
        <v/>
      </c>
      <c r="EA319" s="55">
        <f>$EA318+$DY319</f>
        <v/>
      </c>
      <c r="EB319" s="55">
        <f>SUMIFS(tblPlant[Lime_kg],tblPlant[Date],$A319)</f>
        <v/>
      </c>
      <c r="EC319" s="55">
        <f>IF($B319=$B318,$EC318,0)+$EB319</f>
        <v/>
      </c>
      <c r="ED319" s="55">
        <f>$ED318+$EB319</f>
        <v/>
      </c>
      <c r="EE319" s="55">
        <f>SUMIFS(tblPlant[Grinding_Media_kg],tblPlant[Date],$A319)</f>
        <v/>
      </c>
      <c r="EF319" s="55">
        <f>IF($B319=$B318,$EF318,0)+$EE319</f>
        <v/>
      </c>
      <c r="EG319" s="55">
        <f>$EG318+$EE319</f>
        <v/>
      </c>
      <c r="EH319" s="55">
        <f>SUMIFS(tblPlant[Power_kWh],tblPlant[Date],$A319)</f>
        <v/>
      </c>
      <c r="EI319" s="55">
        <f>IF($B319=$B318,$EI318,0)+$EH319</f>
        <v/>
      </c>
      <c r="EJ319" s="55">
        <f>$EJ318+$EH319</f>
        <v/>
      </c>
      <c r="EK319" s="55">
        <f>SUMIFS(tblPlant[Raw_Water_m3],tblPlant[Date],$A319)</f>
        <v/>
      </c>
      <c r="EL319" s="55">
        <f>IF($B319=$B318,$EL318,0)+$EK319</f>
        <v/>
      </c>
      <c r="EM319" s="55">
        <f>$EM318+$EK319</f>
        <v/>
      </c>
      <c r="EN319" s="56">
        <f>IFERROR(IF(($BZ319)&gt;0,($DY319)/($BZ319),""),"")</f>
        <v/>
      </c>
      <c r="EO319" s="56">
        <f>IFERROR(IF(($CA319)&gt;0,($DZ319)/($CA319),""),"")</f>
        <v/>
      </c>
      <c r="EP319" s="56">
        <f>IFERROR(IF(($CB319)&gt;0,($EA319)/($CB319),""),"")</f>
        <v/>
      </c>
      <c r="EQ319" s="56">
        <f>IFERROR(IF(($BZ319)&gt;0,($EB319)/($BZ319),""),"")</f>
        <v/>
      </c>
      <c r="ER319" s="56">
        <f>IFERROR(IF(($CA319)&gt;0,($EC319)/($CA319),""),"")</f>
        <v/>
      </c>
      <c r="ES319" s="56">
        <f>IFERROR(IF(($CB319)&gt;0,($ED319)/($CB319),""),"")</f>
        <v/>
      </c>
      <c r="ET319" s="56">
        <f>IFERROR(IF(($BZ319)&gt;0,($EE319)/($BZ319),""),"")</f>
        <v/>
      </c>
      <c r="EU319" s="56">
        <f>IFERROR(IF(($CA319)&gt;0,($EF319)/($CA319),""),"")</f>
        <v/>
      </c>
      <c r="EV319" s="56">
        <f>IFERROR(IF(($CB319)&gt;0,($EG319)/($CB319),""),"")</f>
        <v/>
      </c>
      <c r="EW319" s="76">
        <f>IFERROR(IF(($BZ319)&gt;0,($EH319)/($BZ319),""),"")</f>
        <v/>
      </c>
      <c r="EX319" s="76">
        <f>IFERROR(IF(($CA319)&gt;0,($EI319)/($CA319),""),"")</f>
        <v/>
      </c>
      <c r="EY319" s="76">
        <f>IFERROR(IF(($CB319)&gt;0,($EJ319)/($CB319),""),"")</f>
        <v/>
      </c>
      <c r="EZ319" s="56">
        <f>IFERROR(IF(($BZ319)&gt;0,($EK319)/($BZ319),""),"")</f>
        <v/>
      </c>
      <c r="FA319" s="56">
        <f>IFERROR(IF(($CA319)&gt;0,($EL319)/($CA319),""),"")</f>
        <v/>
      </c>
      <c r="FB319" s="56">
        <f>IFERROR(IF(($CB319)&gt;0,($EM319)/($CB319),""),"")</f>
        <v/>
      </c>
      <c r="FC319" s="55">
        <f>IF(SUMIFS(tblPlant[GIC_oz],tblPlant[Date],$A319)&gt;0,SUMIFS(tblPlant[GIC_oz],tblPlant[Date],$A319),"")</f>
        <v/>
      </c>
      <c r="FD319" s="55">
        <f>SUMIFS(tblGold[Gold_oz],tblGold[Date],$A319,tblGold[Type],"Shipment")</f>
        <v/>
      </c>
      <c r="FE319" s="55">
        <f>IF($B319=$B318,$FE318,0)+$FD319</f>
        <v/>
      </c>
      <c r="FF319" s="55">
        <f>$FF318+$FD319</f>
        <v/>
      </c>
      <c r="FG319" s="55">
        <f>SUMIFS(tblGold[Gold_oz],tblGold[Date],$A319,tblGold[Type],"Sale")</f>
        <v/>
      </c>
      <c r="FH319" s="55">
        <f>IF($B319=$B318,$FH318,0)+$FG319</f>
        <v/>
      </c>
      <c r="FI319" s="55">
        <f>$FI318+$FG319</f>
        <v/>
      </c>
      <c r="FJ319" s="55">
        <f>SUMIFS(tblGold[Dore_kg],tblGold[Date],$A319,tblGold[Type],"Shipment")</f>
        <v/>
      </c>
      <c r="FK319" s="55">
        <f>IF($B319=$B318,$FK318,0)+$FJ319</f>
        <v/>
      </c>
      <c r="FL319" s="55">
        <f>$FL318+$FJ319</f>
        <v/>
      </c>
      <c r="FM319" s="57">
        <f>SUMIFS(tblSafety[Hours_Total],tblSafety[Date],$A319)</f>
        <v/>
      </c>
      <c r="FN319" s="57">
        <f>IF($B319=$B318,$FN318,0)+$FM319</f>
        <v/>
      </c>
      <c r="FO319" s="57">
        <f>$FO318+$FM319</f>
        <v/>
      </c>
      <c r="FP319" s="62">
        <f>SUMIFS(tblSafety[Fatality],tblSafety[Date],$A319)</f>
        <v/>
      </c>
      <c r="FQ319" s="62">
        <f>IF($B319=$B318,$FQ318,0)+$FP319</f>
        <v/>
      </c>
      <c r="FR319" s="62">
        <f>$FR318+$FP319</f>
        <v/>
      </c>
      <c r="FS319" s="62">
        <f>SUMIFS(tblSafety[LTI],tblSafety[Date],$A319)</f>
        <v/>
      </c>
      <c r="FT319" s="62">
        <f>IF($B319=$B318,$FT318,0)+$FS319</f>
        <v/>
      </c>
      <c r="FU319" s="62">
        <f>$FU318+$FS319</f>
        <v/>
      </c>
      <c r="FV319" s="62">
        <f>SUMIFS(tblSafety[RWI],tblSafety[Date],$A319)</f>
        <v/>
      </c>
      <c r="FW319" s="62">
        <f>IF($B319=$B318,$FW318,0)+$FV319</f>
        <v/>
      </c>
      <c r="FX319" s="62">
        <f>$FX318+$FV319</f>
        <v/>
      </c>
      <c r="FY319" s="62">
        <f>SUMIFS(tblSafety[MTI],tblSafety[Date],$A319)</f>
        <v/>
      </c>
      <c r="FZ319" s="62">
        <f>IF($B319=$B318,$FZ318,0)+$FY319</f>
        <v/>
      </c>
      <c r="GA319" s="62">
        <f>$GA318+$FY319</f>
        <v/>
      </c>
      <c r="GB319" s="62">
        <f>SUMIFS(tblSafety[FAI],tblSafety[Date],$A319)</f>
        <v/>
      </c>
      <c r="GC319" s="62">
        <f>IF($B319=$B318,$GC318,0)+$GB319</f>
        <v/>
      </c>
      <c r="GD319" s="62">
        <f>$GD318+$GB319</f>
        <v/>
      </c>
      <c r="GE319" s="62">
        <f>SUMIFS(tblSafety[Recordables],tblSafety[Date],$A319)</f>
        <v/>
      </c>
      <c r="GF319" s="62">
        <f>IF($B319=$B318,$GF318,0)+$GE319</f>
        <v/>
      </c>
      <c r="GG319" s="62">
        <f>$GG318+$GE319</f>
        <v/>
      </c>
      <c r="GH319" s="62">
        <f>SUMIFS(tblSafety[Near_Miss],tblSafety[Date],$A319)</f>
        <v/>
      </c>
      <c r="GI319" s="62">
        <f>IF($B319=$B318,$GI318,0)+$GH319</f>
        <v/>
      </c>
      <c r="GJ319" s="62">
        <f>$GJ318+$GH319</f>
        <v/>
      </c>
      <c r="GK319" s="62">
        <f>SUMIFS(tblSafety[Hazard_Reports],tblSafety[Date],$A319)</f>
        <v/>
      </c>
      <c r="GL319" s="62">
        <f>IF($B319=$B318,$GL318,0)+$GK319</f>
        <v/>
      </c>
      <c r="GM319" s="62">
        <f>$GM318+$GK319</f>
        <v/>
      </c>
      <c r="GN319" s="62">
        <f>SUMIFS(tblSafety[HPI],tblSafety[Date],$A319)</f>
        <v/>
      </c>
      <c r="GO319" s="62">
        <f>IF($B319=$B318,$GO318,0)+$GN319</f>
        <v/>
      </c>
      <c r="GP319" s="62">
        <f>$GP318+$GN319</f>
        <v/>
      </c>
      <c r="GQ319" s="62">
        <f>SUMIFS(tblSafety[Env_Incidents],tblSafety[Date],$A319)</f>
        <v/>
      </c>
      <c r="GR319" s="62">
        <f>IF($B319=$B318,$GR318,0)+$GQ319</f>
        <v/>
      </c>
      <c r="GS319" s="62">
        <f>$GS318+$GQ319</f>
        <v/>
      </c>
      <c r="GT319" s="62">
        <f>SUMIFS(tblSafety[Community_Incidents],tblSafety[Date],$A319)</f>
        <v/>
      </c>
      <c r="GU319" s="62">
        <f>IF($B319=$B318,$GU318,0)+$GT319</f>
        <v/>
      </c>
      <c r="GV319" s="62">
        <f>$GV318+$GT319</f>
        <v/>
      </c>
      <c r="GW319" s="62">
        <f>SUMIFS(tblSafety[Vehicle_Incidents],tblSafety[Date],$A319)</f>
        <v/>
      </c>
      <c r="GX319" s="62">
        <f>IF($B319=$B318,$GX318,0)+$GW319</f>
        <v/>
      </c>
      <c r="GY319" s="62">
        <f>$GY318+$GW319</f>
        <v/>
      </c>
      <c r="GZ319" s="62">
        <f>SUMIFS(tblSafety[Toolbox_Talks],tblSafety[Date],$A319)</f>
        <v/>
      </c>
      <c r="HA319" s="62">
        <f>IF($B319=$B318,$HA318,0)+$GZ319</f>
        <v/>
      </c>
      <c r="HB319" s="62">
        <f>$HB318+$GZ319</f>
        <v/>
      </c>
      <c r="HC319" s="62">
        <f>SUMIFS(tblSafety[Inspections],tblSafety[Date],$A319)</f>
        <v/>
      </c>
      <c r="HD319" s="62">
        <f>IF($B319=$B318,$HD318,0)+$HC319</f>
        <v/>
      </c>
      <c r="HE319" s="62">
        <f>$HE318+$HC319</f>
        <v/>
      </c>
      <c r="HF319" s="56">
        <f>IFERROR((SUMIFS(tblSafety[Recordables],tblSafety[Date],"&gt;="&amp;EDATE($E319,-12),tblSafety[Date],"&lt;="&amp;$A319)+SUMIFS(tblSafetyHistory[Recordables],tblSafetyHistory[Month],"&gt;="&amp;EDATE($E319,-12),tblSafetyHistory[Month],"&lt;"&amp;cfg_YearStart))/(SUMIFS(tblSafety[Hours_Total],tblSafety[Date],"&gt;="&amp;EDATE($E319,-12),tblSafety[Date],"&lt;="&amp;$A319)+SUMIFS(tblSafetyHistory[Hours_Total],tblSafetyHistory[Month],"&gt;="&amp;EDATE($E319,-12),tblSafetyHistory[Month],"&lt;"&amp;cfg_YearStart))*1000000,"")</f>
        <v/>
      </c>
      <c r="HG319" s="56">
        <f>IFERROR((SUMIFS(tblSafety[LTI],tblSafety[Date],"&gt;="&amp;EDATE($E319,-12),tblSafety[Date],"&lt;="&amp;$A319)+SUMIFS(tblSafetyHistory[LTI],tblSafetyHistory[Month],"&gt;="&amp;EDATE($E319,-12),tblSafetyHistory[Month],"&lt;"&amp;cfg_YearStart))/(SUMIFS(tblSafety[Hours_Total],tblSafety[Date],"&gt;="&amp;EDATE($E319,-12),tblSafety[Date],"&lt;="&amp;$A319)+SUMIFS(tblSafetyHistory[Hours_Total],tblSafetyHistory[Month],"&gt;="&amp;EDATE($E319,-12),tblSafetyHistory[Month],"&lt;"&amp;cfg_YearStart))*1000000,"")</f>
        <v/>
      </c>
      <c r="HH319" s="62">
        <f>IF(MAX(N(cfg_PriorLTIDate),_xlfn.MAXIFS(tblSafety[Date],tblSafety[LTI],"&gt;0",tblSafety[Date],"&lt;="&amp;$A319))=0,"",$A319-MAX(N(cfg_PriorLTIDate),_xlfn.MAXIFS(tblSafety[Date],tblSafety[LTI],"&gt;0",tblSafety[Date],"&lt;="&amp;$A319)))</f>
        <v/>
      </c>
      <c r="HI319" s="55">
        <f>SUMIFS(tblBudget[Ore_Mined_t],tblBudget[Month],$E319)</f>
        <v/>
      </c>
      <c r="HJ319" s="55">
        <f>$HI319*$C319/$D319</f>
        <v/>
      </c>
      <c r="HK319" s="55">
        <f>SUMIFS(tblBudget[Ore_Mined_t],tblBudget[Month],"&lt;"&amp;$E319)+$HJ319</f>
        <v/>
      </c>
      <c r="HL319" s="55">
        <f>SUMIFS(tblBudget[Ore_oz],tblBudget[Month],$E319)</f>
        <v/>
      </c>
      <c r="HM319" s="55">
        <f>$HL319*$C319/$D319</f>
        <v/>
      </c>
      <c r="HN319" s="55">
        <f>SUMIFS(tblBudget[Ore_oz],tblBudget[Month],"&lt;"&amp;$E319)+$HM319</f>
        <v/>
      </c>
      <c r="HO319" s="56">
        <f>IFERROR(IF(($HI319)&gt;0,($HL319*cfg_TroyOz)/($HI319),""),"")</f>
        <v/>
      </c>
      <c r="HP319" s="56">
        <f>IFERROR(IF(($HJ319)&gt;0,($HM319*cfg_TroyOz)/($HJ319),""),"")</f>
        <v/>
      </c>
      <c r="HQ319" s="56">
        <f>IFERROR(IF(($HK319)&gt;0,($HN319*cfg_TroyOz)/($HK319),""),"")</f>
        <v/>
      </c>
      <c r="HR319" s="55">
        <f>SUMIFS(tblBudget[Waste_t],tblBudget[Month],$E319)</f>
        <v/>
      </c>
      <c r="HS319" s="55">
        <f>$HR319*$C319/$D319</f>
        <v/>
      </c>
      <c r="HT319" s="55">
        <f>SUMIFS(tblBudget[Waste_t],tblBudget[Month],"&lt;"&amp;$E319)+$HS319</f>
        <v/>
      </c>
      <c r="HU319" s="55">
        <f>SUMIFS(tblBudget[TMM_t],tblBudget[Month],$E319)</f>
        <v/>
      </c>
      <c r="HV319" s="55">
        <f>$HU319*$C319/$D319</f>
        <v/>
      </c>
      <c r="HW319" s="55">
        <f>SUMIFS(tblBudget[TMM_t],tblBudget[Month],"&lt;"&amp;$E319)+$HV319</f>
        <v/>
      </c>
      <c r="HX319" s="56">
        <f>IFERROR(IF(($HI319)&gt;0,($HR319)/($HI319),""),"")</f>
        <v/>
      </c>
      <c r="HY319" s="56">
        <f>IFERROR(IF(($HJ319)&gt;0,($HS319)/($HJ319),""),"")</f>
        <v/>
      </c>
      <c r="HZ319" s="56">
        <f>IFERROR(IF(($HK319)&gt;0,($HT319)/($HK319),""),"")</f>
        <v/>
      </c>
      <c r="IA319" s="55">
        <f>SUMIFS(tblBudget[Drill_m],tblBudget[Month],$E319)</f>
        <v/>
      </c>
      <c r="IB319" s="55">
        <f>$IA319*$C319/$D319</f>
        <v/>
      </c>
      <c r="IC319" s="55">
        <f>SUMIFS(tblBudget[Drill_m],tblBudget[Month],"&lt;"&amp;$E319)+$IB319</f>
        <v/>
      </c>
      <c r="ID319" s="55">
        <f>SUMIFS(tblBudget[Diesel_L],tblBudget[Month],$E319)</f>
        <v/>
      </c>
      <c r="IE319" s="55">
        <f>$ID319*$C319/$D319</f>
        <v/>
      </c>
      <c r="IF319" s="55">
        <f>SUMIFS(tblBudget[Diesel_L],tblBudget[Month],"&lt;"&amp;$E319)+$IE319</f>
        <v/>
      </c>
      <c r="IG319" s="55">
        <f>SUMIFS(tblBudget[Milled_t],tblBudget[Month],$E319)</f>
        <v/>
      </c>
      <c r="IH319" s="55">
        <f>$IG319*$C319/$D319</f>
        <v/>
      </c>
      <c r="II319" s="55">
        <f>SUMIFS(tblBudget[Milled_t],tblBudget[Month],"&lt;"&amp;$E319)+$IH319</f>
        <v/>
      </c>
      <c r="IJ319" s="55">
        <f>SUMIFS(tblBudget[Feed_oz],tblBudget[Month],$E319)</f>
        <v/>
      </c>
      <c r="IK319" s="55">
        <f>$IJ319*$C319/$D319</f>
        <v/>
      </c>
      <c r="IL319" s="55">
        <f>SUMIFS(tblBudget[Feed_oz],tblBudget[Month],"&lt;"&amp;$E319)+$IK319</f>
        <v/>
      </c>
      <c r="IM319" s="55">
        <f>SUMIFS(tblBudget[Recovered_oz],tblBudget[Month],$E319)</f>
        <v/>
      </c>
      <c r="IN319" s="55">
        <f>$IM319*$C319/$D319</f>
        <v/>
      </c>
      <c r="IO319" s="55">
        <f>SUMIFS(tblBudget[Recovered_oz],tblBudget[Month],"&lt;"&amp;$E319)+$IN319</f>
        <v/>
      </c>
      <c r="IP319" s="56">
        <f>IFERROR(IF(($IG319)&gt;0,($IJ319*cfg_TroyOz)/($IG319),""),"")</f>
        <v/>
      </c>
      <c r="IQ319" s="56">
        <f>IFERROR(IF(($IH319)&gt;0,($IK319*cfg_TroyOz)/($IH319),""),"")</f>
        <v/>
      </c>
      <c r="IR319" s="56">
        <f>IFERROR(IF(($II319)&gt;0,($IL319*cfg_TroyOz)/($II319),""),"")</f>
        <v/>
      </c>
      <c r="IS319" s="67">
        <f>IFERROR(IF(($IJ319)&gt;0,($IM319)/($IJ319),""),"")</f>
        <v/>
      </c>
      <c r="IT319" s="67">
        <f>IFERROR(IF(($IK319)&gt;0,($IN319)/($IK319),""),"")</f>
        <v/>
      </c>
      <c r="IU319" s="67">
        <f>IFERROR(IF(($IL319)&gt;0,($IO319)/($IL319),""),"")</f>
        <v/>
      </c>
      <c r="IV319" s="55">
        <f>SUMIFS(tblBudget[Gold_Poured_oz],tblBudget[Month],$E319)</f>
        <v/>
      </c>
      <c r="IW319" s="55">
        <f>$IV319*$C319/$D319</f>
        <v/>
      </c>
      <c r="IX319" s="55">
        <f>SUMIFS(tblBudget[Gold_Poured_oz],tblBudget[Month],"&lt;"&amp;$E319)+$IW319</f>
        <v/>
      </c>
      <c r="IY319" s="57">
        <f>SUMIFS(tblBudget[Hours_Worked],tblBudget[Month],$E319)</f>
        <v/>
      </c>
      <c r="IZ319" s="57">
        <f>$IY319*$C319/$D319</f>
        <v/>
      </c>
      <c r="JA319" s="57">
        <f>SUMIFS(tblBudget[Hours_Worked],tblBudget[Month],"&lt;"&amp;$E319)+$IZ319</f>
        <v/>
      </c>
    </row>
    <row r="320">
      <c r="A320" s="54" t="n">
        <v>46341</v>
      </c>
      <c r="B320">
        <f>MONTH($A320)</f>
        <v/>
      </c>
      <c r="C320">
        <f>DAY($A320)</f>
        <v/>
      </c>
      <c r="D320">
        <f>DAY(EOMONTH($A320,0))</f>
        <v/>
      </c>
      <c r="E320" s="54">
        <f>DATE(YEAR($A320),MONTH($A320),1)</f>
        <v/>
      </c>
      <c r="F320" s="55">
        <f>SUMIFS(tblMovement[Tonnes_t],tblMovement[Date],$A320,tblMovement[Is_Ore],1,tblMovement[Source_Type],"Pit")</f>
        <v/>
      </c>
      <c r="G320" s="55">
        <f>IF($B320=$B319,$G319,0)+$F320</f>
        <v/>
      </c>
      <c r="H320" s="55">
        <f>$H319+$F320</f>
        <v/>
      </c>
      <c r="I320" s="55">
        <f>SUMIFS(tblMovement[Ore_oz],tblMovement[Date],$A320,tblMovement[Source_Type],"Pit")</f>
        <v/>
      </c>
      <c r="J320" s="55">
        <f>IF($B320=$B319,$J319,0)+$I320</f>
        <v/>
      </c>
      <c r="K320" s="55">
        <f>$K319+$I320</f>
        <v/>
      </c>
      <c r="L320" s="56">
        <f>IFERROR(IF(($F320)&gt;0,($I320*cfg_TroyOz)/($F320),""),"")</f>
        <v/>
      </c>
      <c r="M320" s="56">
        <f>IFERROR(IF(($G320)&gt;0,($J320*cfg_TroyOz)/($G320),""),"")</f>
        <v/>
      </c>
      <c r="N320" s="56">
        <f>IFERROR(IF(($H320)&gt;0,($K320*cfg_TroyOz)/($H320),""),"")</f>
        <v/>
      </c>
      <c r="O320" s="55">
        <f>SUMIFS(tblMovement[Tonnes_t],tblMovement[Date],$A320,tblMovement[Is_Ore],0,tblMovement[Source_Type],"Pit")</f>
        <v/>
      </c>
      <c r="P320" s="55">
        <f>IF($B320=$B319,$P319,0)+$O320</f>
        <v/>
      </c>
      <c r="Q320" s="55">
        <f>$Q319+$O320</f>
        <v/>
      </c>
      <c r="R320" s="55">
        <f>$F320+$O320</f>
        <v/>
      </c>
      <c r="S320" s="55">
        <f>IF($B320=$B319,$S319,0)+$R320</f>
        <v/>
      </c>
      <c r="T320" s="55">
        <f>$T319+$R320</f>
        <v/>
      </c>
      <c r="U320" s="56">
        <f>IFERROR(IF(($F320)&gt;0,($O320)/($F320),""),"")</f>
        <v/>
      </c>
      <c r="V320" s="56">
        <f>IFERROR(IF(($G320)&gt;0,($P320)/($G320),""),"")</f>
        <v/>
      </c>
      <c r="W320" s="56">
        <f>IFERROR(IF(($H320)&gt;0,($Q320)/($H320),""),"")</f>
        <v/>
      </c>
      <c r="X320" s="55">
        <f>SUMIFS(tblMovement[Tonnes_t],tblMovement[Date],$A320,tblMovement[Source_Type],"Stockpile")</f>
        <v/>
      </c>
      <c r="Y320" s="55">
        <f>IF($B320=$B319,$Y319,0)+$X320</f>
        <v/>
      </c>
      <c r="Z320" s="55">
        <f>$Z319+$X320</f>
        <v/>
      </c>
      <c r="AA320" s="55">
        <f>SUMIFS(tblMiningDaily[Drill_m],tblMiningDaily[Date],$A320)</f>
        <v/>
      </c>
      <c r="AB320" s="55">
        <f>IF($B320=$B319,$AB319,0)+$AA320</f>
        <v/>
      </c>
      <c r="AC320" s="55">
        <f>$AC319+$AA320</f>
        <v/>
      </c>
      <c r="AD320" s="55">
        <f>SUMIFS(tblMiningDaily[Blast_t],tblMiningDaily[Date],$A320)</f>
        <v/>
      </c>
      <c r="AE320" s="55">
        <f>IF($B320=$B319,$AE319,0)+$AD320</f>
        <v/>
      </c>
      <c r="AF320" s="55">
        <f>$AF319+$AD320</f>
        <v/>
      </c>
      <c r="AG320" s="55">
        <f>SUMIFS(tblMiningDaily[Explosives_kg],tblMiningDaily[Date],$A320)</f>
        <v/>
      </c>
      <c r="AH320" s="55">
        <f>IF($B320=$B319,$AH319,0)+$AG320</f>
        <v/>
      </c>
      <c r="AI320" s="55">
        <f>$AI319+$AG320</f>
        <v/>
      </c>
      <c r="AJ320" s="56">
        <f>IFERROR(IF(($AD320)&gt;0,($AG320)/($AD320),""),"")</f>
        <v/>
      </c>
      <c r="AK320" s="56">
        <f>IFERROR(IF(($AE320)&gt;0,($AH320)/($AE320),""),"")</f>
        <v/>
      </c>
      <c r="AL320" s="56">
        <f>IFERROR(IF(($AF320)&gt;0,($AI320)/($AF320),""),"")</f>
        <v/>
      </c>
      <c r="AM320" s="55">
        <f>SUMIFS(tblMiningDaily[Diesel_L],tblMiningDaily[Date],$A320)</f>
        <v/>
      </c>
      <c r="AN320" s="55">
        <f>IF($B320=$B319,$AN319,0)+$AM320</f>
        <v/>
      </c>
      <c r="AO320" s="55">
        <f>$AO319+$AM320</f>
        <v/>
      </c>
      <c r="AP320" s="55">
        <f>SUMIFS(tblMiningDaily[Dewatering_m3],tblMiningDaily[Date],$A320)</f>
        <v/>
      </c>
      <c r="AQ320" s="55">
        <f>IF($B320=$B319,$AQ319,0)+$AP320</f>
        <v/>
      </c>
      <c r="AR320" s="55">
        <f>$AR319+$AP320</f>
        <v/>
      </c>
      <c r="AS320" s="57">
        <f>SUMIFS(tblFleet[Calendar_h],tblFleet[Date],$A320,tblFleet[Equipment_Class],"Excavator")</f>
        <v/>
      </c>
      <c r="AT320" s="57">
        <f>IF($B320=$B319,$AT319,0)+$AS320</f>
        <v/>
      </c>
      <c r="AU320" s="57">
        <f>$AU319+$AS320</f>
        <v/>
      </c>
      <c r="AV320" s="57">
        <f>SUMIFS(tblFleet[Available_h],tblFleet[Date],$A320,tblFleet[Equipment_Class],"Excavator")</f>
        <v/>
      </c>
      <c r="AW320" s="57">
        <f>IF($B320=$B319,$AW319,0)+$AV320</f>
        <v/>
      </c>
      <c r="AX320" s="57">
        <f>$AX319+$AV320</f>
        <v/>
      </c>
      <c r="AY320" s="57">
        <f>SUMIFS(tblFleet[Operating_h],tblFleet[Date],$A320,tblFleet[Equipment_Class],"Excavator")</f>
        <v/>
      </c>
      <c r="AZ320" s="57">
        <f>IF($B320=$B319,$AZ319,0)+$AY320</f>
        <v/>
      </c>
      <c r="BA320" s="57">
        <f>$BA319+$AY320</f>
        <v/>
      </c>
      <c r="BB320" s="67">
        <f>IFERROR(IF(($AS320)&gt;0,($AV320)/($AS320),""),"")</f>
        <v/>
      </c>
      <c r="BC320" s="67">
        <f>IFERROR(IF(($AT320)&gt;0,($AW320)/($AT320),""),"")</f>
        <v/>
      </c>
      <c r="BD320" s="67">
        <f>IFERROR(IF(($AU320)&gt;0,($AX320)/($AU320),""),"")</f>
        <v/>
      </c>
      <c r="BE320" s="67">
        <f>IFERROR(IF(($AV320)&gt;0,($AY320)/($AV320),""),"")</f>
        <v/>
      </c>
      <c r="BF320" s="67">
        <f>IFERROR(IF(($AW320)&gt;0,($AZ320)/($AW320),""),"")</f>
        <v/>
      </c>
      <c r="BG320" s="67">
        <f>IFERROR(IF(($AX320)&gt;0,($BA320)/($AX320),""),"")</f>
        <v/>
      </c>
      <c r="BH320" s="57">
        <f>SUMIFS(tblFleet[Calendar_h],tblFleet[Date],$A320,tblFleet[Equipment_Class],"Haul Truck")</f>
        <v/>
      </c>
      <c r="BI320" s="57">
        <f>IF($B320=$B319,$BI319,0)+$BH320</f>
        <v/>
      </c>
      <c r="BJ320" s="57">
        <f>$BJ319+$BH320</f>
        <v/>
      </c>
      <c r="BK320" s="57">
        <f>SUMIFS(tblFleet[Available_h],tblFleet[Date],$A320,tblFleet[Equipment_Class],"Haul Truck")</f>
        <v/>
      </c>
      <c r="BL320" s="57">
        <f>IF($B320=$B319,$BL319,0)+$BK320</f>
        <v/>
      </c>
      <c r="BM320" s="57">
        <f>$BM319+$BK320</f>
        <v/>
      </c>
      <c r="BN320" s="57">
        <f>SUMIFS(tblFleet[Operating_h],tblFleet[Date],$A320,tblFleet[Equipment_Class],"Haul Truck")</f>
        <v/>
      </c>
      <c r="BO320" s="57">
        <f>IF($B320=$B319,$BO319,0)+$BN320</f>
        <v/>
      </c>
      <c r="BP320" s="57">
        <f>$BP319+$BN320</f>
        <v/>
      </c>
      <c r="BQ320" s="67">
        <f>IFERROR(IF(($BH320)&gt;0,($BK320)/($BH320),""),"")</f>
        <v/>
      </c>
      <c r="BR320" s="67">
        <f>IFERROR(IF(($BI320)&gt;0,($BL320)/($BI320),""),"")</f>
        <v/>
      </c>
      <c r="BS320" s="67">
        <f>IFERROR(IF(($BJ320)&gt;0,($BM320)/($BJ320),""),"")</f>
        <v/>
      </c>
      <c r="BT320" s="67">
        <f>IFERROR(IF(($BK320)&gt;0,($BN320)/($BK320),""),"")</f>
        <v/>
      </c>
      <c r="BU320" s="67">
        <f>IFERROR(IF(($BL320)&gt;0,($BO320)/($BL320),""),"")</f>
        <v/>
      </c>
      <c r="BV320" s="67">
        <f>IFERROR(IF(($BM320)&gt;0,($BP320)/($BM320),""),"")</f>
        <v/>
      </c>
      <c r="BW320" s="55">
        <f>SUMIFS(tblPlant[Crushed_t],tblPlant[Date],$A320)</f>
        <v/>
      </c>
      <c r="BX320" s="55">
        <f>IF($B320=$B319,$BX319,0)+$BW320</f>
        <v/>
      </c>
      <c r="BY320" s="55">
        <f>$BY319+$BW320</f>
        <v/>
      </c>
      <c r="BZ320" s="55">
        <f>SUMIFS(tblPlant[Milled_t],tblPlant[Date],$A320)</f>
        <v/>
      </c>
      <c r="CA320" s="55">
        <f>IF($B320=$B319,$CA319,0)+$BZ320</f>
        <v/>
      </c>
      <c r="CB320" s="55">
        <f>$CB319+$BZ320</f>
        <v/>
      </c>
      <c r="CC320" s="55">
        <f>SUMIFS(tblPlant[Feed_oz],tblPlant[Date],$A320)</f>
        <v/>
      </c>
      <c r="CD320" s="55">
        <f>IF($B320=$B319,$CD319,0)+$CC320</f>
        <v/>
      </c>
      <c r="CE320" s="55">
        <f>$CE319+$CC320</f>
        <v/>
      </c>
      <c r="CF320" s="55">
        <f>SUMIFS(tblPlant[Tails_oz],tblPlant[Date],$A320)</f>
        <v/>
      </c>
      <c r="CG320" s="55">
        <f>IF($B320=$B319,$CG319,0)+$CF320</f>
        <v/>
      </c>
      <c r="CH320" s="55">
        <f>$CH319+$CF320</f>
        <v/>
      </c>
      <c r="CI320" s="55">
        <f>SUMIFS(tblPlant[Recovered_oz],tblPlant[Date],$A320)</f>
        <v/>
      </c>
      <c r="CJ320" s="55">
        <f>IF($B320=$B319,$CJ319,0)+$CI320</f>
        <v/>
      </c>
      <c r="CK320" s="55">
        <f>$CK319+$CI320</f>
        <v/>
      </c>
      <c r="CL320" s="56">
        <f>IFERROR(IF(($BZ320)&gt;0,($CC320*cfg_TroyOz)/($BZ320),""),"")</f>
        <v/>
      </c>
      <c r="CM320" s="56">
        <f>IFERROR(IF(($CA320)&gt;0,($CD320*cfg_TroyOz)/($CA320),""),"")</f>
        <v/>
      </c>
      <c r="CN320" s="56">
        <f>IFERROR(IF(($CB320)&gt;0,($CE320*cfg_TroyOz)/($CB320),""),"")</f>
        <v/>
      </c>
      <c r="CO320" s="56">
        <f>IFERROR(IF(($BZ320)&gt;0,($CF320*cfg_TroyOz)/($BZ320),""),"")</f>
        <v/>
      </c>
      <c r="CP320" s="56">
        <f>IFERROR(IF(($CA320)&gt;0,($CG320*cfg_TroyOz)/($CA320),""),"")</f>
        <v/>
      </c>
      <c r="CQ320" s="56">
        <f>IFERROR(IF(($CB320)&gt;0,($CH320*cfg_TroyOz)/($CB320),""),"")</f>
        <v/>
      </c>
      <c r="CR320" s="67">
        <f>IFERROR(IF(($CC320)&gt;0,($CI320)/($CC320),""),"")</f>
        <v/>
      </c>
      <c r="CS320" s="67">
        <f>IFERROR(IF(($CD320)&gt;0,($CJ320)/($CD320),""),"")</f>
        <v/>
      </c>
      <c r="CT320" s="67">
        <f>IFERROR(IF(($CE320)&gt;0,($CK320)/($CE320),""),"")</f>
        <v/>
      </c>
      <c r="CU320" s="55">
        <f>SUMIFS(tblPlant[Gravity_Gold_oz],tblPlant[Date],$A320)</f>
        <v/>
      </c>
      <c r="CV320" s="55">
        <f>IF($B320=$B319,$CV319,0)+$CU320</f>
        <v/>
      </c>
      <c r="CW320" s="55">
        <f>$CW319+$CU320</f>
        <v/>
      </c>
      <c r="CX320" s="55">
        <f>SUMIFS(tblPlant[Gold_Poured_oz],tblPlant[Date],$A320)</f>
        <v/>
      </c>
      <c r="CY320" s="55">
        <f>IF($B320=$B319,$CY319,0)+$CX320</f>
        <v/>
      </c>
      <c r="CZ320" s="55">
        <f>$CZ319+$CX320</f>
        <v/>
      </c>
      <c r="DA320" s="57">
        <f>SUMIFS(tblPlant[Mill_Run_h],tblPlant[Date],$A320)</f>
        <v/>
      </c>
      <c r="DB320" s="57">
        <f>IF($B320=$B319,$DB319,0)+$DA320</f>
        <v/>
      </c>
      <c r="DC320" s="57">
        <f>$DC319+$DA320</f>
        <v/>
      </c>
      <c r="DD320" s="57">
        <f>SUMIFS(tblPlant[Mill_Planned_Maint_h],tblPlant[Date],$A320)</f>
        <v/>
      </c>
      <c r="DE320" s="57">
        <f>IF($B320=$B319,$DE319,0)+$DD320</f>
        <v/>
      </c>
      <c r="DF320" s="57">
        <f>$DF319+$DD320</f>
        <v/>
      </c>
      <c r="DG320" s="57">
        <f>SUMIFS(tblPlant[Mill_Unplanned_Down_h],tblPlant[Date],$A320)</f>
        <v/>
      </c>
      <c r="DH320" s="57">
        <f>IF($B320=$B319,$DH319,0)+$DG320</f>
        <v/>
      </c>
      <c r="DI320" s="57">
        <f>$DI319+$DG320</f>
        <v/>
      </c>
      <c r="DJ320" s="57">
        <f>COUNTIFS(tblPlant[Date],$A320,tblPlant[Mill_Run_h],"&lt;&gt;")*24</f>
        <v/>
      </c>
      <c r="DK320" s="57">
        <f>IF($B320=$B319,$DK319,0)+$DJ320</f>
        <v/>
      </c>
      <c r="DL320" s="57">
        <f>$DL319+$DJ320</f>
        <v/>
      </c>
      <c r="DM320" s="57">
        <f>SUMIFS(tblPlant[Crusher_Run_h],tblPlant[Date],$A320)</f>
        <v/>
      </c>
      <c r="DN320" s="57">
        <f>IF($B320=$B319,$DN319,0)+$DM320</f>
        <v/>
      </c>
      <c r="DO320" s="57">
        <f>$DO319+$DM320</f>
        <v/>
      </c>
      <c r="DP320" s="55">
        <f>IFERROR(IF(($DA320)&gt;0,($BZ320)/($DA320),""),"")</f>
        <v/>
      </c>
      <c r="DQ320" s="55">
        <f>IFERROR(IF(($DB320)&gt;0,($CA320)/($DB320),""),"")</f>
        <v/>
      </c>
      <c r="DR320" s="55">
        <f>IFERROR(IF(($DC320)&gt;0,($CB320)/($DC320),""),"")</f>
        <v/>
      </c>
      <c r="DS320" s="67">
        <f>IFERROR(IF(($DJ320)&gt;0,($DJ320-$DD320-$DG320)/($DJ320),""),"")</f>
        <v/>
      </c>
      <c r="DT320" s="67">
        <f>IFERROR(IF(($DK320)&gt;0,($DK320-$DE320-$DH320)/($DK320),""),"")</f>
        <v/>
      </c>
      <c r="DU320" s="67">
        <f>IFERROR(IF(($DL320)&gt;0,($DL320-$DF320-$DI320)/($DL320),""),"")</f>
        <v/>
      </c>
      <c r="DV320" s="67">
        <f>IFERROR(IF(($DJ320-$DD320-$DG320)&gt;0,($DA320)/($DJ320-$DD320-$DG320),""),"")</f>
        <v/>
      </c>
      <c r="DW320" s="67">
        <f>IFERROR(IF(($DK320-$DE320-$DH320)&gt;0,($DB320)/($DK320-$DE320-$DH320),""),"")</f>
        <v/>
      </c>
      <c r="DX320" s="67">
        <f>IFERROR(IF(($DL320-$DF320-$DI320)&gt;0,($DC320)/($DL320-$DF320-$DI320),""),"")</f>
        <v/>
      </c>
      <c r="DY320" s="55">
        <f>SUMIFS(tblPlant[Cyanide_kg],tblPlant[Date],$A320)</f>
        <v/>
      </c>
      <c r="DZ320" s="55">
        <f>IF($B320=$B319,$DZ319,0)+$DY320</f>
        <v/>
      </c>
      <c r="EA320" s="55">
        <f>$EA319+$DY320</f>
        <v/>
      </c>
      <c r="EB320" s="55">
        <f>SUMIFS(tblPlant[Lime_kg],tblPlant[Date],$A320)</f>
        <v/>
      </c>
      <c r="EC320" s="55">
        <f>IF($B320=$B319,$EC319,0)+$EB320</f>
        <v/>
      </c>
      <c r="ED320" s="55">
        <f>$ED319+$EB320</f>
        <v/>
      </c>
      <c r="EE320" s="55">
        <f>SUMIFS(tblPlant[Grinding_Media_kg],tblPlant[Date],$A320)</f>
        <v/>
      </c>
      <c r="EF320" s="55">
        <f>IF($B320=$B319,$EF319,0)+$EE320</f>
        <v/>
      </c>
      <c r="EG320" s="55">
        <f>$EG319+$EE320</f>
        <v/>
      </c>
      <c r="EH320" s="55">
        <f>SUMIFS(tblPlant[Power_kWh],tblPlant[Date],$A320)</f>
        <v/>
      </c>
      <c r="EI320" s="55">
        <f>IF($B320=$B319,$EI319,0)+$EH320</f>
        <v/>
      </c>
      <c r="EJ320" s="55">
        <f>$EJ319+$EH320</f>
        <v/>
      </c>
      <c r="EK320" s="55">
        <f>SUMIFS(tblPlant[Raw_Water_m3],tblPlant[Date],$A320)</f>
        <v/>
      </c>
      <c r="EL320" s="55">
        <f>IF($B320=$B319,$EL319,0)+$EK320</f>
        <v/>
      </c>
      <c r="EM320" s="55">
        <f>$EM319+$EK320</f>
        <v/>
      </c>
      <c r="EN320" s="56">
        <f>IFERROR(IF(($BZ320)&gt;0,($DY320)/($BZ320),""),"")</f>
        <v/>
      </c>
      <c r="EO320" s="56">
        <f>IFERROR(IF(($CA320)&gt;0,($DZ320)/($CA320),""),"")</f>
        <v/>
      </c>
      <c r="EP320" s="56">
        <f>IFERROR(IF(($CB320)&gt;0,($EA320)/($CB320),""),"")</f>
        <v/>
      </c>
      <c r="EQ320" s="56">
        <f>IFERROR(IF(($BZ320)&gt;0,($EB320)/($BZ320),""),"")</f>
        <v/>
      </c>
      <c r="ER320" s="56">
        <f>IFERROR(IF(($CA320)&gt;0,($EC320)/($CA320),""),"")</f>
        <v/>
      </c>
      <c r="ES320" s="56">
        <f>IFERROR(IF(($CB320)&gt;0,($ED320)/($CB320),""),"")</f>
        <v/>
      </c>
      <c r="ET320" s="56">
        <f>IFERROR(IF(($BZ320)&gt;0,($EE320)/($BZ320),""),"")</f>
        <v/>
      </c>
      <c r="EU320" s="56">
        <f>IFERROR(IF(($CA320)&gt;0,($EF320)/($CA320),""),"")</f>
        <v/>
      </c>
      <c r="EV320" s="56">
        <f>IFERROR(IF(($CB320)&gt;0,($EG320)/($CB320),""),"")</f>
        <v/>
      </c>
      <c r="EW320" s="76">
        <f>IFERROR(IF(($BZ320)&gt;0,($EH320)/($BZ320),""),"")</f>
        <v/>
      </c>
      <c r="EX320" s="76">
        <f>IFERROR(IF(($CA320)&gt;0,($EI320)/($CA320),""),"")</f>
        <v/>
      </c>
      <c r="EY320" s="76">
        <f>IFERROR(IF(($CB320)&gt;0,($EJ320)/($CB320),""),"")</f>
        <v/>
      </c>
      <c r="EZ320" s="56">
        <f>IFERROR(IF(($BZ320)&gt;0,($EK320)/($BZ320),""),"")</f>
        <v/>
      </c>
      <c r="FA320" s="56">
        <f>IFERROR(IF(($CA320)&gt;0,($EL320)/($CA320),""),"")</f>
        <v/>
      </c>
      <c r="FB320" s="56">
        <f>IFERROR(IF(($CB320)&gt;0,($EM320)/($CB320),""),"")</f>
        <v/>
      </c>
      <c r="FC320" s="55">
        <f>IF(SUMIFS(tblPlant[GIC_oz],tblPlant[Date],$A320)&gt;0,SUMIFS(tblPlant[GIC_oz],tblPlant[Date],$A320),"")</f>
        <v/>
      </c>
      <c r="FD320" s="55">
        <f>SUMIFS(tblGold[Gold_oz],tblGold[Date],$A320,tblGold[Type],"Shipment")</f>
        <v/>
      </c>
      <c r="FE320" s="55">
        <f>IF($B320=$B319,$FE319,0)+$FD320</f>
        <v/>
      </c>
      <c r="FF320" s="55">
        <f>$FF319+$FD320</f>
        <v/>
      </c>
      <c r="FG320" s="55">
        <f>SUMIFS(tblGold[Gold_oz],tblGold[Date],$A320,tblGold[Type],"Sale")</f>
        <v/>
      </c>
      <c r="FH320" s="55">
        <f>IF($B320=$B319,$FH319,0)+$FG320</f>
        <v/>
      </c>
      <c r="FI320" s="55">
        <f>$FI319+$FG320</f>
        <v/>
      </c>
      <c r="FJ320" s="55">
        <f>SUMIFS(tblGold[Dore_kg],tblGold[Date],$A320,tblGold[Type],"Shipment")</f>
        <v/>
      </c>
      <c r="FK320" s="55">
        <f>IF($B320=$B319,$FK319,0)+$FJ320</f>
        <v/>
      </c>
      <c r="FL320" s="55">
        <f>$FL319+$FJ320</f>
        <v/>
      </c>
      <c r="FM320" s="57">
        <f>SUMIFS(tblSafety[Hours_Total],tblSafety[Date],$A320)</f>
        <v/>
      </c>
      <c r="FN320" s="57">
        <f>IF($B320=$B319,$FN319,0)+$FM320</f>
        <v/>
      </c>
      <c r="FO320" s="57">
        <f>$FO319+$FM320</f>
        <v/>
      </c>
      <c r="FP320" s="62">
        <f>SUMIFS(tblSafety[Fatality],tblSafety[Date],$A320)</f>
        <v/>
      </c>
      <c r="FQ320" s="62">
        <f>IF($B320=$B319,$FQ319,0)+$FP320</f>
        <v/>
      </c>
      <c r="FR320" s="62">
        <f>$FR319+$FP320</f>
        <v/>
      </c>
      <c r="FS320" s="62">
        <f>SUMIFS(tblSafety[LTI],tblSafety[Date],$A320)</f>
        <v/>
      </c>
      <c r="FT320" s="62">
        <f>IF($B320=$B319,$FT319,0)+$FS320</f>
        <v/>
      </c>
      <c r="FU320" s="62">
        <f>$FU319+$FS320</f>
        <v/>
      </c>
      <c r="FV320" s="62">
        <f>SUMIFS(tblSafety[RWI],tblSafety[Date],$A320)</f>
        <v/>
      </c>
      <c r="FW320" s="62">
        <f>IF($B320=$B319,$FW319,0)+$FV320</f>
        <v/>
      </c>
      <c r="FX320" s="62">
        <f>$FX319+$FV320</f>
        <v/>
      </c>
      <c r="FY320" s="62">
        <f>SUMIFS(tblSafety[MTI],tblSafety[Date],$A320)</f>
        <v/>
      </c>
      <c r="FZ320" s="62">
        <f>IF($B320=$B319,$FZ319,0)+$FY320</f>
        <v/>
      </c>
      <c r="GA320" s="62">
        <f>$GA319+$FY320</f>
        <v/>
      </c>
      <c r="GB320" s="62">
        <f>SUMIFS(tblSafety[FAI],tblSafety[Date],$A320)</f>
        <v/>
      </c>
      <c r="GC320" s="62">
        <f>IF($B320=$B319,$GC319,0)+$GB320</f>
        <v/>
      </c>
      <c r="GD320" s="62">
        <f>$GD319+$GB320</f>
        <v/>
      </c>
      <c r="GE320" s="62">
        <f>SUMIFS(tblSafety[Recordables],tblSafety[Date],$A320)</f>
        <v/>
      </c>
      <c r="GF320" s="62">
        <f>IF($B320=$B319,$GF319,0)+$GE320</f>
        <v/>
      </c>
      <c r="GG320" s="62">
        <f>$GG319+$GE320</f>
        <v/>
      </c>
      <c r="GH320" s="62">
        <f>SUMIFS(tblSafety[Near_Miss],tblSafety[Date],$A320)</f>
        <v/>
      </c>
      <c r="GI320" s="62">
        <f>IF($B320=$B319,$GI319,0)+$GH320</f>
        <v/>
      </c>
      <c r="GJ320" s="62">
        <f>$GJ319+$GH320</f>
        <v/>
      </c>
      <c r="GK320" s="62">
        <f>SUMIFS(tblSafety[Hazard_Reports],tblSafety[Date],$A320)</f>
        <v/>
      </c>
      <c r="GL320" s="62">
        <f>IF($B320=$B319,$GL319,0)+$GK320</f>
        <v/>
      </c>
      <c r="GM320" s="62">
        <f>$GM319+$GK320</f>
        <v/>
      </c>
      <c r="GN320" s="62">
        <f>SUMIFS(tblSafety[HPI],tblSafety[Date],$A320)</f>
        <v/>
      </c>
      <c r="GO320" s="62">
        <f>IF($B320=$B319,$GO319,0)+$GN320</f>
        <v/>
      </c>
      <c r="GP320" s="62">
        <f>$GP319+$GN320</f>
        <v/>
      </c>
      <c r="GQ320" s="62">
        <f>SUMIFS(tblSafety[Env_Incidents],tblSafety[Date],$A320)</f>
        <v/>
      </c>
      <c r="GR320" s="62">
        <f>IF($B320=$B319,$GR319,0)+$GQ320</f>
        <v/>
      </c>
      <c r="GS320" s="62">
        <f>$GS319+$GQ320</f>
        <v/>
      </c>
      <c r="GT320" s="62">
        <f>SUMIFS(tblSafety[Community_Incidents],tblSafety[Date],$A320)</f>
        <v/>
      </c>
      <c r="GU320" s="62">
        <f>IF($B320=$B319,$GU319,0)+$GT320</f>
        <v/>
      </c>
      <c r="GV320" s="62">
        <f>$GV319+$GT320</f>
        <v/>
      </c>
      <c r="GW320" s="62">
        <f>SUMIFS(tblSafety[Vehicle_Incidents],tblSafety[Date],$A320)</f>
        <v/>
      </c>
      <c r="GX320" s="62">
        <f>IF($B320=$B319,$GX319,0)+$GW320</f>
        <v/>
      </c>
      <c r="GY320" s="62">
        <f>$GY319+$GW320</f>
        <v/>
      </c>
      <c r="GZ320" s="62">
        <f>SUMIFS(tblSafety[Toolbox_Talks],tblSafety[Date],$A320)</f>
        <v/>
      </c>
      <c r="HA320" s="62">
        <f>IF($B320=$B319,$HA319,0)+$GZ320</f>
        <v/>
      </c>
      <c r="HB320" s="62">
        <f>$HB319+$GZ320</f>
        <v/>
      </c>
      <c r="HC320" s="62">
        <f>SUMIFS(tblSafety[Inspections],tblSafety[Date],$A320)</f>
        <v/>
      </c>
      <c r="HD320" s="62">
        <f>IF($B320=$B319,$HD319,0)+$HC320</f>
        <v/>
      </c>
      <c r="HE320" s="62">
        <f>$HE319+$HC320</f>
        <v/>
      </c>
      <c r="HF320" s="56">
        <f>IFERROR((SUMIFS(tblSafety[Recordables],tblSafety[Date],"&gt;="&amp;EDATE($E320,-12),tblSafety[Date],"&lt;="&amp;$A320)+SUMIFS(tblSafetyHistory[Recordables],tblSafetyHistory[Month],"&gt;="&amp;EDATE($E320,-12),tblSafetyHistory[Month],"&lt;"&amp;cfg_YearStart))/(SUMIFS(tblSafety[Hours_Total],tblSafety[Date],"&gt;="&amp;EDATE($E320,-12),tblSafety[Date],"&lt;="&amp;$A320)+SUMIFS(tblSafetyHistory[Hours_Total],tblSafetyHistory[Month],"&gt;="&amp;EDATE($E320,-12),tblSafetyHistory[Month],"&lt;"&amp;cfg_YearStart))*1000000,"")</f>
        <v/>
      </c>
      <c r="HG320" s="56">
        <f>IFERROR((SUMIFS(tblSafety[LTI],tblSafety[Date],"&gt;="&amp;EDATE($E320,-12),tblSafety[Date],"&lt;="&amp;$A320)+SUMIFS(tblSafetyHistory[LTI],tblSafetyHistory[Month],"&gt;="&amp;EDATE($E320,-12),tblSafetyHistory[Month],"&lt;"&amp;cfg_YearStart))/(SUMIFS(tblSafety[Hours_Total],tblSafety[Date],"&gt;="&amp;EDATE($E320,-12),tblSafety[Date],"&lt;="&amp;$A320)+SUMIFS(tblSafetyHistory[Hours_Total],tblSafetyHistory[Month],"&gt;="&amp;EDATE($E320,-12),tblSafetyHistory[Month],"&lt;"&amp;cfg_YearStart))*1000000,"")</f>
        <v/>
      </c>
      <c r="HH320" s="62">
        <f>IF(MAX(N(cfg_PriorLTIDate),_xlfn.MAXIFS(tblSafety[Date],tblSafety[LTI],"&gt;0",tblSafety[Date],"&lt;="&amp;$A320))=0,"",$A320-MAX(N(cfg_PriorLTIDate),_xlfn.MAXIFS(tblSafety[Date],tblSafety[LTI],"&gt;0",tblSafety[Date],"&lt;="&amp;$A320)))</f>
        <v/>
      </c>
      <c r="HI320" s="55">
        <f>SUMIFS(tblBudget[Ore_Mined_t],tblBudget[Month],$E320)</f>
        <v/>
      </c>
      <c r="HJ320" s="55">
        <f>$HI320*$C320/$D320</f>
        <v/>
      </c>
      <c r="HK320" s="55">
        <f>SUMIFS(tblBudget[Ore_Mined_t],tblBudget[Month],"&lt;"&amp;$E320)+$HJ320</f>
        <v/>
      </c>
      <c r="HL320" s="55">
        <f>SUMIFS(tblBudget[Ore_oz],tblBudget[Month],$E320)</f>
        <v/>
      </c>
      <c r="HM320" s="55">
        <f>$HL320*$C320/$D320</f>
        <v/>
      </c>
      <c r="HN320" s="55">
        <f>SUMIFS(tblBudget[Ore_oz],tblBudget[Month],"&lt;"&amp;$E320)+$HM320</f>
        <v/>
      </c>
      <c r="HO320" s="56">
        <f>IFERROR(IF(($HI320)&gt;0,($HL320*cfg_TroyOz)/($HI320),""),"")</f>
        <v/>
      </c>
      <c r="HP320" s="56">
        <f>IFERROR(IF(($HJ320)&gt;0,($HM320*cfg_TroyOz)/($HJ320),""),"")</f>
        <v/>
      </c>
      <c r="HQ320" s="56">
        <f>IFERROR(IF(($HK320)&gt;0,($HN320*cfg_TroyOz)/($HK320),""),"")</f>
        <v/>
      </c>
      <c r="HR320" s="55">
        <f>SUMIFS(tblBudget[Waste_t],tblBudget[Month],$E320)</f>
        <v/>
      </c>
      <c r="HS320" s="55">
        <f>$HR320*$C320/$D320</f>
        <v/>
      </c>
      <c r="HT320" s="55">
        <f>SUMIFS(tblBudget[Waste_t],tblBudget[Month],"&lt;"&amp;$E320)+$HS320</f>
        <v/>
      </c>
      <c r="HU320" s="55">
        <f>SUMIFS(tblBudget[TMM_t],tblBudget[Month],$E320)</f>
        <v/>
      </c>
      <c r="HV320" s="55">
        <f>$HU320*$C320/$D320</f>
        <v/>
      </c>
      <c r="HW320" s="55">
        <f>SUMIFS(tblBudget[TMM_t],tblBudget[Month],"&lt;"&amp;$E320)+$HV320</f>
        <v/>
      </c>
      <c r="HX320" s="56">
        <f>IFERROR(IF(($HI320)&gt;0,($HR320)/($HI320),""),"")</f>
        <v/>
      </c>
      <c r="HY320" s="56">
        <f>IFERROR(IF(($HJ320)&gt;0,($HS320)/($HJ320),""),"")</f>
        <v/>
      </c>
      <c r="HZ320" s="56">
        <f>IFERROR(IF(($HK320)&gt;0,($HT320)/($HK320),""),"")</f>
        <v/>
      </c>
      <c r="IA320" s="55">
        <f>SUMIFS(tblBudget[Drill_m],tblBudget[Month],$E320)</f>
        <v/>
      </c>
      <c r="IB320" s="55">
        <f>$IA320*$C320/$D320</f>
        <v/>
      </c>
      <c r="IC320" s="55">
        <f>SUMIFS(tblBudget[Drill_m],tblBudget[Month],"&lt;"&amp;$E320)+$IB320</f>
        <v/>
      </c>
      <c r="ID320" s="55">
        <f>SUMIFS(tblBudget[Diesel_L],tblBudget[Month],$E320)</f>
        <v/>
      </c>
      <c r="IE320" s="55">
        <f>$ID320*$C320/$D320</f>
        <v/>
      </c>
      <c r="IF320" s="55">
        <f>SUMIFS(tblBudget[Diesel_L],tblBudget[Month],"&lt;"&amp;$E320)+$IE320</f>
        <v/>
      </c>
      <c r="IG320" s="55">
        <f>SUMIFS(tblBudget[Milled_t],tblBudget[Month],$E320)</f>
        <v/>
      </c>
      <c r="IH320" s="55">
        <f>$IG320*$C320/$D320</f>
        <v/>
      </c>
      <c r="II320" s="55">
        <f>SUMIFS(tblBudget[Milled_t],tblBudget[Month],"&lt;"&amp;$E320)+$IH320</f>
        <v/>
      </c>
      <c r="IJ320" s="55">
        <f>SUMIFS(tblBudget[Feed_oz],tblBudget[Month],$E320)</f>
        <v/>
      </c>
      <c r="IK320" s="55">
        <f>$IJ320*$C320/$D320</f>
        <v/>
      </c>
      <c r="IL320" s="55">
        <f>SUMIFS(tblBudget[Feed_oz],tblBudget[Month],"&lt;"&amp;$E320)+$IK320</f>
        <v/>
      </c>
      <c r="IM320" s="55">
        <f>SUMIFS(tblBudget[Recovered_oz],tblBudget[Month],$E320)</f>
        <v/>
      </c>
      <c r="IN320" s="55">
        <f>$IM320*$C320/$D320</f>
        <v/>
      </c>
      <c r="IO320" s="55">
        <f>SUMIFS(tblBudget[Recovered_oz],tblBudget[Month],"&lt;"&amp;$E320)+$IN320</f>
        <v/>
      </c>
      <c r="IP320" s="56">
        <f>IFERROR(IF(($IG320)&gt;0,($IJ320*cfg_TroyOz)/($IG320),""),"")</f>
        <v/>
      </c>
      <c r="IQ320" s="56">
        <f>IFERROR(IF(($IH320)&gt;0,($IK320*cfg_TroyOz)/($IH320),""),"")</f>
        <v/>
      </c>
      <c r="IR320" s="56">
        <f>IFERROR(IF(($II320)&gt;0,($IL320*cfg_TroyOz)/($II320),""),"")</f>
        <v/>
      </c>
      <c r="IS320" s="67">
        <f>IFERROR(IF(($IJ320)&gt;0,($IM320)/($IJ320),""),"")</f>
        <v/>
      </c>
      <c r="IT320" s="67">
        <f>IFERROR(IF(($IK320)&gt;0,($IN320)/($IK320),""),"")</f>
        <v/>
      </c>
      <c r="IU320" s="67">
        <f>IFERROR(IF(($IL320)&gt;0,($IO320)/($IL320),""),"")</f>
        <v/>
      </c>
      <c r="IV320" s="55">
        <f>SUMIFS(tblBudget[Gold_Poured_oz],tblBudget[Month],$E320)</f>
        <v/>
      </c>
      <c r="IW320" s="55">
        <f>$IV320*$C320/$D320</f>
        <v/>
      </c>
      <c r="IX320" s="55">
        <f>SUMIFS(tblBudget[Gold_Poured_oz],tblBudget[Month],"&lt;"&amp;$E320)+$IW320</f>
        <v/>
      </c>
      <c r="IY320" s="57">
        <f>SUMIFS(tblBudget[Hours_Worked],tblBudget[Month],$E320)</f>
        <v/>
      </c>
      <c r="IZ320" s="57">
        <f>$IY320*$C320/$D320</f>
        <v/>
      </c>
      <c r="JA320" s="57">
        <f>SUMIFS(tblBudget[Hours_Worked],tblBudget[Month],"&lt;"&amp;$E320)+$IZ320</f>
        <v/>
      </c>
    </row>
    <row r="321">
      <c r="A321" s="54" t="n">
        <v>46342</v>
      </c>
      <c r="B321">
        <f>MONTH($A321)</f>
        <v/>
      </c>
      <c r="C321">
        <f>DAY($A321)</f>
        <v/>
      </c>
      <c r="D321">
        <f>DAY(EOMONTH($A321,0))</f>
        <v/>
      </c>
      <c r="E321" s="54">
        <f>DATE(YEAR($A321),MONTH($A321),1)</f>
        <v/>
      </c>
      <c r="F321" s="55">
        <f>SUMIFS(tblMovement[Tonnes_t],tblMovement[Date],$A321,tblMovement[Is_Ore],1,tblMovement[Source_Type],"Pit")</f>
        <v/>
      </c>
      <c r="G321" s="55">
        <f>IF($B321=$B320,$G320,0)+$F321</f>
        <v/>
      </c>
      <c r="H321" s="55">
        <f>$H320+$F321</f>
        <v/>
      </c>
      <c r="I321" s="55">
        <f>SUMIFS(tblMovement[Ore_oz],tblMovement[Date],$A321,tblMovement[Source_Type],"Pit")</f>
        <v/>
      </c>
      <c r="J321" s="55">
        <f>IF($B321=$B320,$J320,0)+$I321</f>
        <v/>
      </c>
      <c r="K321" s="55">
        <f>$K320+$I321</f>
        <v/>
      </c>
      <c r="L321" s="56">
        <f>IFERROR(IF(($F321)&gt;0,($I321*cfg_TroyOz)/($F321),""),"")</f>
        <v/>
      </c>
      <c r="M321" s="56">
        <f>IFERROR(IF(($G321)&gt;0,($J321*cfg_TroyOz)/($G321),""),"")</f>
        <v/>
      </c>
      <c r="N321" s="56">
        <f>IFERROR(IF(($H321)&gt;0,($K321*cfg_TroyOz)/($H321),""),"")</f>
        <v/>
      </c>
      <c r="O321" s="55">
        <f>SUMIFS(tblMovement[Tonnes_t],tblMovement[Date],$A321,tblMovement[Is_Ore],0,tblMovement[Source_Type],"Pit")</f>
        <v/>
      </c>
      <c r="P321" s="55">
        <f>IF($B321=$B320,$P320,0)+$O321</f>
        <v/>
      </c>
      <c r="Q321" s="55">
        <f>$Q320+$O321</f>
        <v/>
      </c>
      <c r="R321" s="55">
        <f>$F321+$O321</f>
        <v/>
      </c>
      <c r="S321" s="55">
        <f>IF($B321=$B320,$S320,0)+$R321</f>
        <v/>
      </c>
      <c r="T321" s="55">
        <f>$T320+$R321</f>
        <v/>
      </c>
      <c r="U321" s="56">
        <f>IFERROR(IF(($F321)&gt;0,($O321)/($F321),""),"")</f>
        <v/>
      </c>
      <c r="V321" s="56">
        <f>IFERROR(IF(($G321)&gt;0,($P321)/($G321),""),"")</f>
        <v/>
      </c>
      <c r="W321" s="56">
        <f>IFERROR(IF(($H321)&gt;0,($Q321)/($H321),""),"")</f>
        <v/>
      </c>
      <c r="X321" s="55">
        <f>SUMIFS(tblMovement[Tonnes_t],tblMovement[Date],$A321,tblMovement[Source_Type],"Stockpile")</f>
        <v/>
      </c>
      <c r="Y321" s="55">
        <f>IF($B321=$B320,$Y320,0)+$X321</f>
        <v/>
      </c>
      <c r="Z321" s="55">
        <f>$Z320+$X321</f>
        <v/>
      </c>
      <c r="AA321" s="55">
        <f>SUMIFS(tblMiningDaily[Drill_m],tblMiningDaily[Date],$A321)</f>
        <v/>
      </c>
      <c r="AB321" s="55">
        <f>IF($B321=$B320,$AB320,0)+$AA321</f>
        <v/>
      </c>
      <c r="AC321" s="55">
        <f>$AC320+$AA321</f>
        <v/>
      </c>
      <c r="AD321" s="55">
        <f>SUMIFS(tblMiningDaily[Blast_t],tblMiningDaily[Date],$A321)</f>
        <v/>
      </c>
      <c r="AE321" s="55">
        <f>IF($B321=$B320,$AE320,0)+$AD321</f>
        <v/>
      </c>
      <c r="AF321" s="55">
        <f>$AF320+$AD321</f>
        <v/>
      </c>
      <c r="AG321" s="55">
        <f>SUMIFS(tblMiningDaily[Explosives_kg],tblMiningDaily[Date],$A321)</f>
        <v/>
      </c>
      <c r="AH321" s="55">
        <f>IF($B321=$B320,$AH320,0)+$AG321</f>
        <v/>
      </c>
      <c r="AI321" s="55">
        <f>$AI320+$AG321</f>
        <v/>
      </c>
      <c r="AJ321" s="56">
        <f>IFERROR(IF(($AD321)&gt;0,($AG321)/($AD321),""),"")</f>
        <v/>
      </c>
      <c r="AK321" s="56">
        <f>IFERROR(IF(($AE321)&gt;0,($AH321)/($AE321),""),"")</f>
        <v/>
      </c>
      <c r="AL321" s="56">
        <f>IFERROR(IF(($AF321)&gt;0,($AI321)/($AF321),""),"")</f>
        <v/>
      </c>
      <c r="AM321" s="55">
        <f>SUMIFS(tblMiningDaily[Diesel_L],tblMiningDaily[Date],$A321)</f>
        <v/>
      </c>
      <c r="AN321" s="55">
        <f>IF($B321=$B320,$AN320,0)+$AM321</f>
        <v/>
      </c>
      <c r="AO321" s="55">
        <f>$AO320+$AM321</f>
        <v/>
      </c>
      <c r="AP321" s="55">
        <f>SUMIFS(tblMiningDaily[Dewatering_m3],tblMiningDaily[Date],$A321)</f>
        <v/>
      </c>
      <c r="AQ321" s="55">
        <f>IF($B321=$B320,$AQ320,0)+$AP321</f>
        <v/>
      </c>
      <c r="AR321" s="55">
        <f>$AR320+$AP321</f>
        <v/>
      </c>
      <c r="AS321" s="57">
        <f>SUMIFS(tblFleet[Calendar_h],tblFleet[Date],$A321,tblFleet[Equipment_Class],"Excavator")</f>
        <v/>
      </c>
      <c r="AT321" s="57">
        <f>IF($B321=$B320,$AT320,0)+$AS321</f>
        <v/>
      </c>
      <c r="AU321" s="57">
        <f>$AU320+$AS321</f>
        <v/>
      </c>
      <c r="AV321" s="57">
        <f>SUMIFS(tblFleet[Available_h],tblFleet[Date],$A321,tblFleet[Equipment_Class],"Excavator")</f>
        <v/>
      </c>
      <c r="AW321" s="57">
        <f>IF($B321=$B320,$AW320,0)+$AV321</f>
        <v/>
      </c>
      <c r="AX321" s="57">
        <f>$AX320+$AV321</f>
        <v/>
      </c>
      <c r="AY321" s="57">
        <f>SUMIFS(tblFleet[Operating_h],tblFleet[Date],$A321,tblFleet[Equipment_Class],"Excavator")</f>
        <v/>
      </c>
      <c r="AZ321" s="57">
        <f>IF($B321=$B320,$AZ320,0)+$AY321</f>
        <v/>
      </c>
      <c r="BA321" s="57">
        <f>$BA320+$AY321</f>
        <v/>
      </c>
      <c r="BB321" s="67">
        <f>IFERROR(IF(($AS321)&gt;0,($AV321)/($AS321),""),"")</f>
        <v/>
      </c>
      <c r="BC321" s="67">
        <f>IFERROR(IF(($AT321)&gt;0,($AW321)/($AT321),""),"")</f>
        <v/>
      </c>
      <c r="BD321" s="67">
        <f>IFERROR(IF(($AU321)&gt;0,($AX321)/($AU321),""),"")</f>
        <v/>
      </c>
      <c r="BE321" s="67">
        <f>IFERROR(IF(($AV321)&gt;0,($AY321)/($AV321),""),"")</f>
        <v/>
      </c>
      <c r="BF321" s="67">
        <f>IFERROR(IF(($AW321)&gt;0,($AZ321)/($AW321),""),"")</f>
        <v/>
      </c>
      <c r="BG321" s="67">
        <f>IFERROR(IF(($AX321)&gt;0,($BA321)/($AX321),""),"")</f>
        <v/>
      </c>
      <c r="BH321" s="57">
        <f>SUMIFS(tblFleet[Calendar_h],tblFleet[Date],$A321,tblFleet[Equipment_Class],"Haul Truck")</f>
        <v/>
      </c>
      <c r="BI321" s="57">
        <f>IF($B321=$B320,$BI320,0)+$BH321</f>
        <v/>
      </c>
      <c r="BJ321" s="57">
        <f>$BJ320+$BH321</f>
        <v/>
      </c>
      <c r="BK321" s="57">
        <f>SUMIFS(tblFleet[Available_h],tblFleet[Date],$A321,tblFleet[Equipment_Class],"Haul Truck")</f>
        <v/>
      </c>
      <c r="BL321" s="57">
        <f>IF($B321=$B320,$BL320,0)+$BK321</f>
        <v/>
      </c>
      <c r="BM321" s="57">
        <f>$BM320+$BK321</f>
        <v/>
      </c>
      <c r="BN321" s="57">
        <f>SUMIFS(tblFleet[Operating_h],tblFleet[Date],$A321,tblFleet[Equipment_Class],"Haul Truck")</f>
        <v/>
      </c>
      <c r="BO321" s="57">
        <f>IF($B321=$B320,$BO320,0)+$BN321</f>
        <v/>
      </c>
      <c r="BP321" s="57">
        <f>$BP320+$BN321</f>
        <v/>
      </c>
      <c r="BQ321" s="67">
        <f>IFERROR(IF(($BH321)&gt;0,($BK321)/($BH321),""),"")</f>
        <v/>
      </c>
      <c r="BR321" s="67">
        <f>IFERROR(IF(($BI321)&gt;0,($BL321)/($BI321),""),"")</f>
        <v/>
      </c>
      <c r="BS321" s="67">
        <f>IFERROR(IF(($BJ321)&gt;0,($BM321)/($BJ321),""),"")</f>
        <v/>
      </c>
      <c r="BT321" s="67">
        <f>IFERROR(IF(($BK321)&gt;0,($BN321)/($BK321),""),"")</f>
        <v/>
      </c>
      <c r="BU321" s="67">
        <f>IFERROR(IF(($BL321)&gt;0,($BO321)/($BL321),""),"")</f>
        <v/>
      </c>
      <c r="BV321" s="67">
        <f>IFERROR(IF(($BM321)&gt;0,($BP321)/($BM321),""),"")</f>
        <v/>
      </c>
      <c r="BW321" s="55">
        <f>SUMIFS(tblPlant[Crushed_t],tblPlant[Date],$A321)</f>
        <v/>
      </c>
      <c r="BX321" s="55">
        <f>IF($B321=$B320,$BX320,0)+$BW321</f>
        <v/>
      </c>
      <c r="BY321" s="55">
        <f>$BY320+$BW321</f>
        <v/>
      </c>
      <c r="BZ321" s="55">
        <f>SUMIFS(tblPlant[Milled_t],tblPlant[Date],$A321)</f>
        <v/>
      </c>
      <c r="CA321" s="55">
        <f>IF($B321=$B320,$CA320,0)+$BZ321</f>
        <v/>
      </c>
      <c r="CB321" s="55">
        <f>$CB320+$BZ321</f>
        <v/>
      </c>
      <c r="CC321" s="55">
        <f>SUMIFS(tblPlant[Feed_oz],tblPlant[Date],$A321)</f>
        <v/>
      </c>
      <c r="CD321" s="55">
        <f>IF($B321=$B320,$CD320,0)+$CC321</f>
        <v/>
      </c>
      <c r="CE321" s="55">
        <f>$CE320+$CC321</f>
        <v/>
      </c>
      <c r="CF321" s="55">
        <f>SUMIFS(tblPlant[Tails_oz],tblPlant[Date],$A321)</f>
        <v/>
      </c>
      <c r="CG321" s="55">
        <f>IF($B321=$B320,$CG320,0)+$CF321</f>
        <v/>
      </c>
      <c r="CH321" s="55">
        <f>$CH320+$CF321</f>
        <v/>
      </c>
      <c r="CI321" s="55">
        <f>SUMIFS(tblPlant[Recovered_oz],tblPlant[Date],$A321)</f>
        <v/>
      </c>
      <c r="CJ321" s="55">
        <f>IF($B321=$B320,$CJ320,0)+$CI321</f>
        <v/>
      </c>
      <c r="CK321" s="55">
        <f>$CK320+$CI321</f>
        <v/>
      </c>
      <c r="CL321" s="56">
        <f>IFERROR(IF(($BZ321)&gt;0,($CC321*cfg_TroyOz)/($BZ321),""),"")</f>
        <v/>
      </c>
      <c r="CM321" s="56">
        <f>IFERROR(IF(($CA321)&gt;0,($CD321*cfg_TroyOz)/($CA321),""),"")</f>
        <v/>
      </c>
      <c r="CN321" s="56">
        <f>IFERROR(IF(($CB321)&gt;0,($CE321*cfg_TroyOz)/($CB321),""),"")</f>
        <v/>
      </c>
      <c r="CO321" s="56">
        <f>IFERROR(IF(($BZ321)&gt;0,($CF321*cfg_TroyOz)/($BZ321),""),"")</f>
        <v/>
      </c>
      <c r="CP321" s="56">
        <f>IFERROR(IF(($CA321)&gt;0,($CG321*cfg_TroyOz)/($CA321),""),"")</f>
        <v/>
      </c>
      <c r="CQ321" s="56">
        <f>IFERROR(IF(($CB321)&gt;0,($CH321*cfg_TroyOz)/($CB321),""),"")</f>
        <v/>
      </c>
      <c r="CR321" s="67">
        <f>IFERROR(IF(($CC321)&gt;0,($CI321)/($CC321),""),"")</f>
        <v/>
      </c>
      <c r="CS321" s="67">
        <f>IFERROR(IF(($CD321)&gt;0,($CJ321)/($CD321),""),"")</f>
        <v/>
      </c>
      <c r="CT321" s="67">
        <f>IFERROR(IF(($CE321)&gt;0,($CK321)/($CE321),""),"")</f>
        <v/>
      </c>
      <c r="CU321" s="55">
        <f>SUMIFS(tblPlant[Gravity_Gold_oz],tblPlant[Date],$A321)</f>
        <v/>
      </c>
      <c r="CV321" s="55">
        <f>IF($B321=$B320,$CV320,0)+$CU321</f>
        <v/>
      </c>
      <c r="CW321" s="55">
        <f>$CW320+$CU321</f>
        <v/>
      </c>
      <c r="CX321" s="55">
        <f>SUMIFS(tblPlant[Gold_Poured_oz],tblPlant[Date],$A321)</f>
        <v/>
      </c>
      <c r="CY321" s="55">
        <f>IF($B321=$B320,$CY320,0)+$CX321</f>
        <v/>
      </c>
      <c r="CZ321" s="55">
        <f>$CZ320+$CX321</f>
        <v/>
      </c>
      <c r="DA321" s="57">
        <f>SUMIFS(tblPlant[Mill_Run_h],tblPlant[Date],$A321)</f>
        <v/>
      </c>
      <c r="DB321" s="57">
        <f>IF($B321=$B320,$DB320,0)+$DA321</f>
        <v/>
      </c>
      <c r="DC321" s="57">
        <f>$DC320+$DA321</f>
        <v/>
      </c>
      <c r="DD321" s="57">
        <f>SUMIFS(tblPlant[Mill_Planned_Maint_h],tblPlant[Date],$A321)</f>
        <v/>
      </c>
      <c r="DE321" s="57">
        <f>IF($B321=$B320,$DE320,0)+$DD321</f>
        <v/>
      </c>
      <c r="DF321" s="57">
        <f>$DF320+$DD321</f>
        <v/>
      </c>
      <c r="DG321" s="57">
        <f>SUMIFS(tblPlant[Mill_Unplanned_Down_h],tblPlant[Date],$A321)</f>
        <v/>
      </c>
      <c r="DH321" s="57">
        <f>IF($B321=$B320,$DH320,0)+$DG321</f>
        <v/>
      </c>
      <c r="DI321" s="57">
        <f>$DI320+$DG321</f>
        <v/>
      </c>
      <c r="DJ321" s="57">
        <f>COUNTIFS(tblPlant[Date],$A321,tblPlant[Mill_Run_h],"&lt;&gt;")*24</f>
        <v/>
      </c>
      <c r="DK321" s="57">
        <f>IF($B321=$B320,$DK320,0)+$DJ321</f>
        <v/>
      </c>
      <c r="DL321" s="57">
        <f>$DL320+$DJ321</f>
        <v/>
      </c>
      <c r="DM321" s="57">
        <f>SUMIFS(tblPlant[Crusher_Run_h],tblPlant[Date],$A321)</f>
        <v/>
      </c>
      <c r="DN321" s="57">
        <f>IF($B321=$B320,$DN320,0)+$DM321</f>
        <v/>
      </c>
      <c r="DO321" s="57">
        <f>$DO320+$DM321</f>
        <v/>
      </c>
      <c r="DP321" s="55">
        <f>IFERROR(IF(($DA321)&gt;0,($BZ321)/($DA321),""),"")</f>
        <v/>
      </c>
      <c r="DQ321" s="55">
        <f>IFERROR(IF(($DB321)&gt;0,($CA321)/($DB321),""),"")</f>
        <v/>
      </c>
      <c r="DR321" s="55">
        <f>IFERROR(IF(($DC321)&gt;0,($CB321)/($DC321),""),"")</f>
        <v/>
      </c>
      <c r="DS321" s="67">
        <f>IFERROR(IF(($DJ321)&gt;0,($DJ321-$DD321-$DG321)/($DJ321),""),"")</f>
        <v/>
      </c>
      <c r="DT321" s="67">
        <f>IFERROR(IF(($DK321)&gt;0,($DK321-$DE321-$DH321)/($DK321),""),"")</f>
        <v/>
      </c>
      <c r="DU321" s="67">
        <f>IFERROR(IF(($DL321)&gt;0,($DL321-$DF321-$DI321)/($DL321),""),"")</f>
        <v/>
      </c>
      <c r="DV321" s="67">
        <f>IFERROR(IF(($DJ321-$DD321-$DG321)&gt;0,($DA321)/($DJ321-$DD321-$DG321),""),"")</f>
        <v/>
      </c>
      <c r="DW321" s="67">
        <f>IFERROR(IF(($DK321-$DE321-$DH321)&gt;0,($DB321)/($DK321-$DE321-$DH321),""),"")</f>
        <v/>
      </c>
      <c r="DX321" s="67">
        <f>IFERROR(IF(($DL321-$DF321-$DI321)&gt;0,($DC321)/($DL321-$DF321-$DI321),""),"")</f>
        <v/>
      </c>
      <c r="DY321" s="55">
        <f>SUMIFS(tblPlant[Cyanide_kg],tblPlant[Date],$A321)</f>
        <v/>
      </c>
      <c r="DZ321" s="55">
        <f>IF($B321=$B320,$DZ320,0)+$DY321</f>
        <v/>
      </c>
      <c r="EA321" s="55">
        <f>$EA320+$DY321</f>
        <v/>
      </c>
      <c r="EB321" s="55">
        <f>SUMIFS(tblPlant[Lime_kg],tblPlant[Date],$A321)</f>
        <v/>
      </c>
      <c r="EC321" s="55">
        <f>IF($B321=$B320,$EC320,0)+$EB321</f>
        <v/>
      </c>
      <c r="ED321" s="55">
        <f>$ED320+$EB321</f>
        <v/>
      </c>
      <c r="EE321" s="55">
        <f>SUMIFS(tblPlant[Grinding_Media_kg],tblPlant[Date],$A321)</f>
        <v/>
      </c>
      <c r="EF321" s="55">
        <f>IF($B321=$B320,$EF320,0)+$EE321</f>
        <v/>
      </c>
      <c r="EG321" s="55">
        <f>$EG320+$EE321</f>
        <v/>
      </c>
      <c r="EH321" s="55">
        <f>SUMIFS(tblPlant[Power_kWh],tblPlant[Date],$A321)</f>
        <v/>
      </c>
      <c r="EI321" s="55">
        <f>IF($B321=$B320,$EI320,0)+$EH321</f>
        <v/>
      </c>
      <c r="EJ321" s="55">
        <f>$EJ320+$EH321</f>
        <v/>
      </c>
      <c r="EK321" s="55">
        <f>SUMIFS(tblPlant[Raw_Water_m3],tblPlant[Date],$A321)</f>
        <v/>
      </c>
      <c r="EL321" s="55">
        <f>IF($B321=$B320,$EL320,0)+$EK321</f>
        <v/>
      </c>
      <c r="EM321" s="55">
        <f>$EM320+$EK321</f>
        <v/>
      </c>
      <c r="EN321" s="56">
        <f>IFERROR(IF(($BZ321)&gt;0,($DY321)/($BZ321),""),"")</f>
        <v/>
      </c>
      <c r="EO321" s="56">
        <f>IFERROR(IF(($CA321)&gt;0,($DZ321)/($CA321),""),"")</f>
        <v/>
      </c>
      <c r="EP321" s="56">
        <f>IFERROR(IF(($CB321)&gt;0,($EA321)/($CB321),""),"")</f>
        <v/>
      </c>
      <c r="EQ321" s="56">
        <f>IFERROR(IF(($BZ321)&gt;0,($EB321)/($BZ321),""),"")</f>
        <v/>
      </c>
      <c r="ER321" s="56">
        <f>IFERROR(IF(($CA321)&gt;0,($EC321)/($CA321),""),"")</f>
        <v/>
      </c>
      <c r="ES321" s="56">
        <f>IFERROR(IF(($CB321)&gt;0,($ED321)/($CB321),""),"")</f>
        <v/>
      </c>
      <c r="ET321" s="56">
        <f>IFERROR(IF(($BZ321)&gt;0,($EE321)/($BZ321),""),"")</f>
        <v/>
      </c>
      <c r="EU321" s="56">
        <f>IFERROR(IF(($CA321)&gt;0,($EF321)/($CA321),""),"")</f>
        <v/>
      </c>
      <c r="EV321" s="56">
        <f>IFERROR(IF(($CB321)&gt;0,($EG321)/($CB321),""),"")</f>
        <v/>
      </c>
      <c r="EW321" s="76">
        <f>IFERROR(IF(($BZ321)&gt;0,($EH321)/($BZ321),""),"")</f>
        <v/>
      </c>
      <c r="EX321" s="76">
        <f>IFERROR(IF(($CA321)&gt;0,($EI321)/($CA321),""),"")</f>
        <v/>
      </c>
      <c r="EY321" s="76">
        <f>IFERROR(IF(($CB321)&gt;0,($EJ321)/($CB321),""),"")</f>
        <v/>
      </c>
      <c r="EZ321" s="56">
        <f>IFERROR(IF(($BZ321)&gt;0,($EK321)/($BZ321),""),"")</f>
        <v/>
      </c>
      <c r="FA321" s="56">
        <f>IFERROR(IF(($CA321)&gt;0,($EL321)/($CA321),""),"")</f>
        <v/>
      </c>
      <c r="FB321" s="56">
        <f>IFERROR(IF(($CB321)&gt;0,($EM321)/($CB321),""),"")</f>
        <v/>
      </c>
      <c r="FC321" s="55">
        <f>IF(SUMIFS(tblPlant[GIC_oz],tblPlant[Date],$A321)&gt;0,SUMIFS(tblPlant[GIC_oz],tblPlant[Date],$A321),"")</f>
        <v/>
      </c>
      <c r="FD321" s="55">
        <f>SUMIFS(tblGold[Gold_oz],tblGold[Date],$A321,tblGold[Type],"Shipment")</f>
        <v/>
      </c>
      <c r="FE321" s="55">
        <f>IF($B321=$B320,$FE320,0)+$FD321</f>
        <v/>
      </c>
      <c r="FF321" s="55">
        <f>$FF320+$FD321</f>
        <v/>
      </c>
      <c r="FG321" s="55">
        <f>SUMIFS(tblGold[Gold_oz],tblGold[Date],$A321,tblGold[Type],"Sale")</f>
        <v/>
      </c>
      <c r="FH321" s="55">
        <f>IF($B321=$B320,$FH320,0)+$FG321</f>
        <v/>
      </c>
      <c r="FI321" s="55">
        <f>$FI320+$FG321</f>
        <v/>
      </c>
      <c r="FJ321" s="55">
        <f>SUMIFS(tblGold[Dore_kg],tblGold[Date],$A321,tblGold[Type],"Shipment")</f>
        <v/>
      </c>
      <c r="FK321" s="55">
        <f>IF($B321=$B320,$FK320,0)+$FJ321</f>
        <v/>
      </c>
      <c r="FL321" s="55">
        <f>$FL320+$FJ321</f>
        <v/>
      </c>
      <c r="FM321" s="57">
        <f>SUMIFS(tblSafety[Hours_Total],tblSafety[Date],$A321)</f>
        <v/>
      </c>
      <c r="FN321" s="57">
        <f>IF($B321=$B320,$FN320,0)+$FM321</f>
        <v/>
      </c>
      <c r="FO321" s="57">
        <f>$FO320+$FM321</f>
        <v/>
      </c>
      <c r="FP321" s="62">
        <f>SUMIFS(tblSafety[Fatality],tblSafety[Date],$A321)</f>
        <v/>
      </c>
      <c r="FQ321" s="62">
        <f>IF($B321=$B320,$FQ320,0)+$FP321</f>
        <v/>
      </c>
      <c r="FR321" s="62">
        <f>$FR320+$FP321</f>
        <v/>
      </c>
      <c r="FS321" s="62">
        <f>SUMIFS(tblSafety[LTI],tblSafety[Date],$A321)</f>
        <v/>
      </c>
      <c r="FT321" s="62">
        <f>IF($B321=$B320,$FT320,0)+$FS321</f>
        <v/>
      </c>
      <c r="FU321" s="62">
        <f>$FU320+$FS321</f>
        <v/>
      </c>
      <c r="FV321" s="62">
        <f>SUMIFS(tblSafety[RWI],tblSafety[Date],$A321)</f>
        <v/>
      </c>
      <c r="FW321" s="62">
        <f>IF($B321=$B320,$FW320,0)+$FV321</f>
        <v/>
      </c>
      <c r="FX321" s="62">
        <f>$FX320+$FV321</f>
        <v/>
      </c>
      <c r="FY321" s="62">
        <f>SUMIFS(tblSafety[MTI],tblSafety[Date],$A321)</f>
        <v/>
      </c>
      <c r="FZ321" s="62">
        <f>IF($B321=$B320,$FZ320,0)+$FY321</f>
        <v/>
      </c>
      <c r="GA321" s="62">
        <f>$GA320+$FY321</f>
        <v/>
      </c>
      <c r="GB321" s="62">
        <f>SUMIFS(tblSafety[FAI],tblSafety[Date],$A321)</f>
        <v/>
      </c>
      <c r="GC321" s="62">
        <f>IF($B321=$B320,$GC320,0)+$GB321</f>
        <v/>
      </c>
      <c r="GD321" s="62">
        <f>$GD320+$GB321</f>
        <v/>
      </c>
      <c r="GE321" s="62">
        <f>SUMIFS(tblSafety[Recordables],tblSafety[Date],$A321)</f>
        <v/>
      </c>
      <c r="GF321" s="62">
        <f>IF($B321=$B320,$GF320,0)+$GE321</f>
        <v/>
      </c>
      <c r="GG321" s="62">
        <f>$GG320+$GE321</f>
        <v/>
      </c>
      <c r="GH321" s="62">
        <f>SUMIFS(tblSafety[Near_Miss],tblSafety[Date],$A321)</f>
        <v/>
      </c>
      <c r="GI321" s="62">
        <f>IF($B321=$B320,$GI320,0)+$GH321</f>
        <v/>
      </c>
      <c r="GJ321" s="62">
        <f>$GJ320+$GH321</f>
        <v/>
      </c>
      <c r="GK321" s="62">
        <f>SUMIFS(tblSafety[Hazard_Reports],tblSafety[Date],$A321)</f>
        <v/>
      </c>
      <c r="GL321" s="62">
        <f>IF($B321=$B320,$GL320,0)+$GK321</f>
        <v/>
      </c>
      <c r="GM321" s="62">
        <f>$GM320+$GK321</f>
        <v/>
      </c>
      <c r="GN321" s="62">
        <f>SUMIFS(tblSafety[HPI],tblSafety[Date],$A321)</f>
        <v/>
      </c>
      <c r="GO321" s="62">
        <f>IF($B321=$B320,$GO320,0)+$GN321</f>
        <v/>
      </c>
      <c r="GP321" s="62">
        <f>$GP320+$GN321</f>
        <v/>
      </c>
      <c r="GQ321" s="62">
        <f>SUMIFS(tblSafety[Env_Incidents],tblSafety[Date],$A321)</f>
        <v/>
      </c>
      <c r="GR321" s="62">
        <f>IF($B321=$B320,$GR320,0)+$GQ321</f>
        <v/>
      </c>
      <c r="GS321" s="62">
        <f>$GS320+$GQ321</f>
        <v/>
      </c>
      <c r="GT321" s="62">
        <f>SUMIFS(tblSafety[Community_Incidents],tblSafety[Date],$A321)</f>
        <v/>
      </c>
      <c r="GU321" s="62">
        <f>IF($B321=$B320,$GU320,0)+$GT321</f>
        <v/>
      </c>
      <c r="GV321" s="62">
        <f>$GV320+$GT321</f>
        <v/>
      </c>
      <c r="GW321" s="62">
        <f>SUMIFS(tblSafety[Vehicle_Incidents],tblSafety[Date],$A321)</f>
        <v/>
      </c>
      <c r="GX321" s="62">
        <f>IF($B321=$B320,$GX320,0)+$GW321</f>
        <v/>
      </c>
      <c r="GY321" s="62">
        <f>$GY320+$GW321</f>
        <v/>
      </c>
      <c r="GZ321" s="62">
        <f>SUMIFS(tblSafety[Toolbox_Talks],tblSafety[Date],$A321)</f>
        <v/>
      </c>
      <c r="HA321" s="62">
        <f>IF($B321=$B320,$HA320,0)+$GZ321</f>
        <v/>
      </c>
      <c r="HB321" s="62">
        <f>$HB320+$GZ321</f>
        <v/>
      </c>
      <c r="HC321" s="62">
        <f>SUMIFS(tblSafety[Inspections],tblSafety[Date],$A321)</f>
        <v/>
      </c>
      <c r="HD321" s="62">
        <f>IF($B321=$B320,$HD320,0)+$HC321</f>
        <v/>
      </c>
      <c r="HE321" s="62">
        <f>$HE320+$HC321</f>
        <v/>
      </c>
      <c r="HF321" s="56">
        <f>IFERROR((SUMIFS(tblSafety[Recordables],tblSafety[Date],"&gt;="&amp;EDATE($E321,-12),tblSafety[Date],"&lt;="&amp;$A321)+SUMIFS(tblSafetyHistory[Recordables],tblSafetyHistory[Month],"&gt;="&amp;EDATE($E321,-12),tblSafetyHistory[Month],"&lt;"&amp;cfg_YearStart))/(SUMIFS(tblSafety[Hours_Total],tblSafety[Date],"&gt;="&amp;EDATE($E321,-12),tblSafety[Date],"&lt;="&amp;$A321)+SUMIFS(tblSafetyHistory[Hours_Total],tblSafetyHistory[Month],"&gt;="&amp;EDATE($E321,-12),tblSafetyHistory[Month],"&lt;"&amp;cfg_YearStart))*1000000,"")</f>
        <v/>
      </c>
      <c r="HG321" s="56">
        <f>IFERROR((SUMIFS(tblSafety[LTI],tblSafety[Date],"&gt;="&amp;EDATE($E321,-12),tblSafety[Date],"&lt;="&amp;$A321)+SUMIFS(tblSafetyHistory[LTI],tblSafetyHistory[Month],"&gt;="&amp;EDATE($E321,-12),tblSafetyHistory[Month],"&lt;"&amp;cfg_YearStart))/(SUMIFS(tblSafety[Hours_Total],tblSafety[Date],"&gt;="&amp;EDATE($E321,-12),tblSafety[Date],"&lt;="&amp;$A321)+SUMIFS(tblSafetyHistory[Hours_Total],tblSafetyHistory[Month],"&gt;="&amp;EDATE($E321,-12),tblSafetyHistory[Month],"&lt;"&amp;cfg_YearStart))*1000000,"")</f>
        <v/>
      </c>
      <c r="HH321" s="62">
        <f>IF(MAX(N(cfg_PriorLTIDate),_xlfn.MAXIFS(tblSafety[Date],tblSafety[LTI],"&gt;0",tblSafety[Date],"&lt;="&amp;$A321))=0,"",$A321-MAX(N(cfg_PriorLTIDate),_xlfn.MAXIFS(tblSafety[Date],tblSafety[LTI],"&gt;0",tblSafety[Date],"&lt;="&amp;$A321)))</f>
        <v/>
      </c>
      <c r="HI321" s="55">
        <f>SUMIFS(tblBudget[Ore_Mined_t],tblBudget[Month],$E321)</f>
        <v/>
      </c>
      <c r="HJ321" s="55">
        <f>$HI321*$C321/$D321</f>
        <v/>
      </c>
      <c r="HK321" s="55">
        <f>SUMIFS(tblBudget[Ore_Mined_t],tblBudget[Month],"&lt;"&amp;$E321)+$HJ321</f>
        <v/>
      </c>
      <c r="HL321" s="55">
        <f>SUMIFS(tblBudget[Ore_oz],tblBudget[Month],$E321)</f>
        <v/>
      </c>
      <c r="HM321" s="55">
        <f>$HL321*$C321/$D321</f>
        <v/>
      </c>
      <c r="HN321" s="55">
        <f>SUMIFS(tblBudget[Ore_oz],tblBudget[Month],"&lt;"&amp;$E321)+$HM321</f>
        <v/>
      </c>
      <c r="HO321" s="56">
        <f>IFERROR(IF(($HI321)&gt;0,($HL321*cfg_TroyOz)/($HI321),""),"")</f>
        <v/>
      </c>
      <c r="HP321" s="56">
        <f>IFERROR(IF(($HJ321)&gt;0,($HM321*cfg_TroyOz)/($HJ321),""),"")</f>
        <v/>
      </c>
      <c r="HQ321" s="56">
        <f>IFERROR(IF(($HK321)&gt;0,($HN321*cfg_TroyOz)/($HK321),""),"")</f>
        <v/>
      </c>
      <c r="HR321" s="55">
        <f>SUMIFS(tblBudget[Waste_t],tblBudget[Month],$E321)</f>
        <v/>
      </c>
      <c r="HS321" s="55">
        <f>$HR321*$C321/$D321</f>
        <v/>
      </c>
      <c r="HT321" s="55">
        <f>SUMIFS(tblBudget[Waste_t],tblBudget[Month],"&lt;"&amp;$E321)+$HS321</f>
        <v/>
      </c>
      <c r="HU321" s="55">
        <f>SUMIFS(tblBudget[TMM_t],tblBudget[Month],$E321)</f>
        <v/>
      </c>
      <c r="HV321" s="55">
        <f>$HU321*$C321/$D321</f>
        <v/>
      </c>
      <c r="HW321" s="55">
        <f>SUMIFS(tblBudget[TMM_t],tblBudget[Month],"&lt;"&amp;$E321)+$HV321</f>
        <v/>
      </c>
      <c r="HX321" s="56">
        <f>IFERROR(IF(($HI321)&gt;0,($HR321)/($HI321),""),"")</f>
        <v/>
      </c>
      <c r="HY321" s="56">
        <f>IFERROR(IF(($HJ321)&gt;0,($HS321)/($HJ321),""),"")</f>
        <v/>
      </c>
      <c r="HZ321" s="56">
        <f>IFERROR(IF(($HK321)&gt;0,($HT321)/($HK321),""),"")</f>
        <v/>
      </c>
      <c r="IA321" s="55">
        <f>SUMIFS(tblBudget[Drill_m],tblBudget[Month],$E321)</f>
        <v/>
      </c>
      <c r="IB321" s="55">
        <f>$IA321*$C321/$D321</f>
        <v/>
      </c>
      <c r="IC321" s="55">
        <f>SUMIFS(tblBudget[Drill_m],tblBudget[Month],"&lt;"&amp;$E321)+$IB321</f>
        <v/>
      </c>
      <c r="ID321" s="55">
        <f>SUMIFS(tblBudget[Diesel_L],tblBudget[Month],$E321)</f>
        <v/>
      </c>
      <c r="IE321" s="55">
        <f>$ID321*$C321/$D321</f>
        <v/>
      </c>
      <c r="IF321" s="55">
        <f>SUMIFS(tblBudget[Diesel_L],tblBudget[Month],"&lt;"&amp;$E321)+$IE321</f>
        <v/>
      </c>
      <c r="IG321" s="55">
        <f>SUMIFS(tblBudget[Milled_t],tblBudget[Month],$E321)</f>
        <v/>
      </c>
      <c r="IH321" s="55">
        <f>$IG321*$C321/$D321</f>
        <v/>
      </c>
      <c r="II321" s="55">
        <f>SUMIFS(tblBudget[Milled_t],tblBudget[Month],"&lt;"&amp;$E321)+$IH321</f>
        <v/>
      </c>
      <c r="IJ321" s="55">
        <f>SUMIFS(tblBudget[Feed_oz],tblBudget[Month],$E321)</f>
        <v/>
      </c>
      <c r="IK321" s="55">
        <f>$IJ321*$C321/$D321</f>
        <v/>
      </c>
      <c r="IL321" s="55">
        <f>SUMIFS(tblBudget[Feed_oz],tblBudget[Month],"&lt;"&amp;$E321)+$IK321</f>
        <v/>
      </c>
      <c r="IM321" s="55">
        <f>SUMIFS(tblBudget[Recovered_oz],tblBudget[Month],$E321)</f>
        <v/>
      </c>
      <c r="IN321" s="55">
        <f>$IM321*$C321/$D321</f>
        <v/>
      </c>
      <c r="IO321" s="55">
        <f>SUMIFS(tblBudget[Recovered_oz],tblBudget[Month],"&lt;"&amp;$E321)+$IN321</f>
        <v/>
      </c>
      <c r="IP321" s="56">
        <f>IFERROR(IF(($IG321)&gt;0,($IJ321*cfg_TroyOz)/($IG321),""),"")</f>
        <v/>
      </c>
      <c r="IQ321" s="56">
        <f>IFERROR(IF(($IH321)&gt;0,($IK321*cfg_TroyOz)/($IH321),""),"")</f>
        <v/>
      </c>
      <c r="IR321" s="56">
        <f>IFERROR(IF(($II321)&gt;0,($IL321*cfg_TroyOz)/($II321),""),"")</f>
        <v/>
      </c>
      <c r="IS321" s="67">
        <f>IFERROR(IF(($IJ321)&gt;0,($IM321)/($IJ321),""),"")</f>
        <v/>
      </c>
      <c r="IT321" s="67">
        <f>IFERROR(IF(($IK321)&gt;0,($IN321)/($IK321),""),"")</f>
        <v/>
      </c>
      <c r="IU321" s="67">
        <f>IFERROR(IF(($IL321)&gt;0,($IO321)/($IL321),""),"")</f>
        <v/>
      </c>
      <c r="IV321" s="55">
        <f>SUMIFS(tblBudget[Gold_Poured_oz],tblBudget[Month],$E321)</f>
        <v/>
      </c>
      <c r="IW321" s="55">
        <f>$IV321*$C321/$D321</f>
        <v/>
      </c>
      <c r="IX321" s="55">
        <f>SUMIFS(tblBudget[Gold_Poured_oz],tblBudget[Month],"&lt;"&amp;$E321)+$IW321</f>
        <v/>
      </c>
      <c r="IY321" s="57">
        <f>SUMIFS(tblBudget[Hours_Worked],tblBudget[Month],$E321)</f>
        <v/>
      </c>
      <c r="IZ321" s="57">
        <f>$IY321*$C321/$D321</f>
        <v/>
      </c>
      <c r="JA321" s="57">
        <f>SUMIFS(tblBudget[Hours_Worked],tblBudget[Month],"&lt;"&amp;$E321)+$IZ321</f>
        <v/>
      </c>
    </row>
    <row r="322">
      <c r="A322" s="54" t="n">
        <v>46343</v>
      </c>
      <c r="B322">
        <f>MONTH($A322)</f>
        <v/>
      </c>
      <c r="C322">
        <f>DAY($A322)</f>
        <v/>
      </c>
      <c r="D322">
        <f>DAY(EOMONTH($A322,0))</f>
        <v/>
      </c>
      <c r="E322" s="54">
        <f>DATE(YEAR($A322),MONTH($A322),1)</f>
        <v/>
      </c>
      <c r="F322" s="55">
        <f>SUMIFS(tblMovement[Tonnes_t],tblMovement[Date],$A322,tblMovement[Is_Ore],1,tblMovement[Source_Type],"Pit")</f>
        <v/>
      </c>
      <c r="G322" s="55">
        <f>IF($B322=$B321,$G321,0)+$F322</f>
        <v/>
      </c>
      <c r="H322" s="55">
        <f>$H321+$F322</f>
        <v/>
      </c>
      <c r="I322" s="55">
        <f>SUMIFS(tblMovement[Ore_oz],tblMovement[Date],$A322,tblMovement[Source_Type],"Pit")</f>
        <v/>
      </c>
      <c r="J322" s="55">
        <f>IF($B322=$B321,$J321,0)+$I322</f>
        <v/>
      </c>
      <c r="K322" s="55">
        <f>$K321+$I322</f>
        <v/>
      </c>
      <c r="L322" s="56">
        <f>IFERROR(IF(($F322)&gt;0,($I322*cfg_TroyOz)/($F322),""),"")</f>
        <v/>
      </c>
      <c r="M322" s="56">
        <f>IFERROR(IF(($G322)&gt;0,($J322*cfg_TroyOz)/($G322),""),"")</f>
        <v/>
      </c>
      <c r="N322" s="56">
        <f>IFERROR(IF(($H322)&gt;0,($K322*cfg_TroyOz)/($H322),""),"")</f>
        <v/>
      </c>
      <c r="O322" s="55">
        <f>SUMIFS(tblMovement[Tonnes_t],tblMovement[Date],$A322,tblMovement[Is_Ore],0,tblMovement[Source_Type],"Pit")</f>
        <v/>
      </c>
      <c r="P322" s="55">
        <f>IF($B322=$B321,$P321,0)+$O322</f>
        <v/>
      </c>
      <c r="Q322" s="55">
        <f>$Q321+$O322</f>
        <v/>
      </c>
      <c r="R322" s="55">
        <f>$F322+$O322</f>
        <v/>
      </c>
      <c r="S322" s="55">
        <f>IF($B322=$B321,$S321,0)+$R322</f>
        <v/>
      </c>
      <c r="T322" s="55">
        <f>$T321+$R322</f>
        <v/>
      </c>
      <c r="U322" s="56">
        <f>IFERROR(IF(($F322)&gt;0,($O322)/($F322),""),"")</f>
        <v/>
      </c>
      <c r="V322" s="56">
        <f>IFERROR(IF(($G322)&gt;0,($P322)/($G322),""),"")</f>
        <v/>
      </c>
      <c r="W322" s="56">
        <f>IFERROR(IF(($H322)&gt;0,($Q322)/($H322),""),"")</f>
        <v/>
      </c>
      <c r="X322" s="55">
        <f>SUMIFS(tblMovement[Tonnes_t],tblMovement[Date],$A322,tblMovement[Source_Type],"Stockpile")</f>
        <v/>
      </c>
      <c r="Y322" s="55">
        <f>IF($B322=$B321,$Y321,0)+$X322</f>
        <v/>
      </c>
      <c r="Z322" s="55">
        <f>$Z321+$X322</f>
        <v/>
      </c>
      <c r="AA322" s="55">
        <f>SUMIFS(tblMiningDaily[Drill_m],tblMiningDaily[Date],$A322)</f>
        <v/>
      </c>
      <c r="AB322" s="55">
        <f>IF($B322=$B321,$AB321,0)+$AA322</f>
        <v/>
      </c>
      <c r="AC322" s="55">
        <f>$AC321+$AA322</f>
        <v/>
      </c>
      <c r="AD322" s="55">
        <f>SUMIFS(tblMiningDaily[Blast_t],tblMiningDaily[Date],$A322)</f>
        <v/>
      </c>
      <c r="AE322" s="55">
        <f>IF($B322=$B321,$AE321,0)+$AD322</f>
        <v/>
      </c>
      <c r="AF322" s="55">
        <f>$AF321+$AD322</f>
        <v/>
      </c>
      <c r="AG322" s="55">
        <f>SUMIFS(tblMiningDaily[Explosives_kg],tblMiningDaily[Date],$A322)</f>
        <v/>
      </c>
      <c r="AH322" s="55">
        <f>IF($B322=$B321,$AH321,0)+$AG322</f>
        <v/>
      </c>
      <c r="AI322" s="55">
        <f>$AI321+$AG322</f>
        <v/>
      </c>
      <c r="AJ322" s="56">
        <f>IFERROR(IF(($AD322)&gt;0,($AG322)/($AD322),""),"")</f>
        <v/>
      </c>
      <c r="AK322" s="56">
        <f>IFERROR(IF(($AE322)&gt;0,($AH322)/($AE322),""),"")</f>
        <v/>
      </c>
      <c r="AL322" s="56">
        <f>IFERROR(IF(($AF322)&gt;0,($AI322)/($AF322),""),"")</f>
        <v/>
      </c>
      <c r="AM322" s="55">
        <f>SUMIFS(tblMiningDaily[Diesel_L],tblMiningDaily[Date],$A322)</f>
        <v/>
      </c>
      <c r="AN322" s="55">
        <f>IF($B322=$B321,$AN321,0)+$AM322</f>
        <v/>
      </c>
      <c r="AO322" s="55">
        <f>$AO321+$AM322</f>
        <v/>
      </c>
      <c r="AP322" s="55">
        <f>SUMIFS(tblMiningDaily[Dewatering_m3],tblMiningDaily[Date],$A322)</f>
        <v/>
      </c>
      <c r="AQ322" s="55">
        <f>IF($B322=$B321,$AQ321,0)+$AP322</f>
        <v/>
      </c>
      <c r="AR322" s="55">
        <f>$AR321+$AP322</f>
        <v/>
      </c>
      <c r="AS322" s="57">
        <f>SUMIFS(tblFleet[Calendar_h],tblFleet[Date],$A322,tblFleet[Equipment_Class],"Excavator")</f>
        <v/>
      </c>
      <c r="AT322" s="57">
        <f>IF($B322=$B321,$AT321,0)+$AS322</f>
        <v/>
      </c>
      <c r="AU322" s="57">
        <f>$AU321+$AS322</f>
        <v/>
      </c>
      <c r="AV322" s="57">
        <f>SUMIFS(tblFleet[Available_h],tblFleet[Date],$A322,tblFleet[Equipment_Class],"Excavator")</f>
        <v/>
      </c>
      <c r="AW322" s="57">
        <f>IF($B322=$B321,$AW321,0)+$AV322</f>
        <v/>
      </c>
      <c r="AX322" s="57">
        <f>$AX321+$AV322</f>
        <v/>
      </c>
      <c r="AY322" s="57">
        <f>SUMIFS(tblFleet[Operating_h],tblFleet[Date],$A322,tblFleet[Equipment_Class],"Excavator")</f>
        <v/>
      </c>
      <c r="AZ322" s="57">
        <f>IF($B322=$B321,$AZ321,0)+$AY322</f>
        <v/>
      </c>
      <c r="BA322" s="57">
        <f>$BA321+$AY322</f>
        <v/>
      </c>
      <c r="BB322" s="67">
        <f>IFERROR(IF(($AS322)&gt;0,($AV322)/($AS322),""),"")</f>
        <v/>
      </c>
      <c r="BC322" s="67">
        <f>IFERROR(IF(($AT322)&gt;0,($AW322)/($AT322),""),"")</f>
        <v/>
      </c>
      <c r="BD322" s="67">
        <f>IFERROR(IF(($AU322)&gt;0,($AX322)/($AU322),""),"")</f>
        <v/>
      </c>
      <c r="BE322" s="67">
        <f>IFERROR(IF(($AV322)&gt;0,($AY322)/($AV322),""),"")</f>
        <v/>
      </c>
      <c r="BF322" s="67">
        <f>IFERROR(IF(($AW322)&gt;0,($AZ322)/($AW322),""),"")</f>
        <v/>
      </c>
      <c r="BG322" s="67">
        <f>IFERROR(IF(($AX322)&gt;0,($BA322)/($AX322),""),"")</f>
        <v/>
      </c>
      <c r="BH322" s="57">
        <f>SUMIFS(tblFleet[Calendar_h],tblFleet[Date],$A322,tblFleet[Equipment_Class],"Haul Truck")</f>
        <v/>
      </c>
      <c r="BI322" s="57">
        <f>IF($B322=$B321,$BI321,0)+$BH322</f>
        <v/>
      </c>
      <c r="BJ322" s="57">
        <f>$BJ321+$BH322</f>
        <v/>
      </c>
      <c r="BK322" s="57">
        <f>SUMIFS(tblFleet[Available_h],tblFleet[Date],$A322,tblFleet[Equipment_Class],"Haul Truck")</f>
        <v/>
      </c>
      <c r="BL322" s="57">
        <f>IF($B322=$B321,$BL321,0)+$BK322</f>
        <v/>
      </c>
      <c r="BM322" s="57">
        <f>$BM321+$BK322</f>
        <v/>
      </c>
      <c r="BN322" s="57">
        <f>SUMIFS(tblFleet[Operating_h],tblFleet[Date],$A322,tblFleet[Equipment_Class],"Haul Truck")</f>
        <v/>
      </c>
      <c r="BO322" s="57">
        <f>IF($B322=$B321,$BO321,0)+$BN322</f>
        <v/>
      </c>
      <c r="BP322" s="57">
        <f>$BP321+$BN322</f>
        <v/>
      </c>
      <c r="BQ322" s="67">
        <f>IFERROR(IF(($BH322)&gt;0,($BK322)/($BH322),""),"")</f>
        <v/>
      </c>
      <c r="BR322" s="67">
        <f>IFERROR(IF(($BI322)&gt;0,($BL322)/($BI322),""),"")</f>
        <v/>
      </c>
      <c r="BS322" s="67">
        <f>IFERROR(IF(($BJ322)&gt;0,($BM322)/($BJ322),""),"")</f>
        <v/>
      </c>
      <c r="BT322" s="67">
        <f>IFERROR(IF(($BK322)&gt;0,($BN322)/($BK322),""),"")</f>
        <v/>
      </c>
      <c r="BU322" s="67">
        <f>IFERROR(IF(($BL322)&gt;0,($BO322)/($BL322),""),"")</f>
        <v/>
      </c>
      <c r="BV322" s="67">
        <f>IFERROR(IF(($BM322)&gt;0,($BP322)/($BM322),""),"")</f>
        <v/>
      </c>
      <c r="BW322" s="55">
        <f>SUMIFS(tblPlant[Crushed_t],tblPlant[Date],$A322)</f>
        <v/>
      </c>
      <c r="BX322" s="55">
        <f>IF($B322=$B321,$BX321,0)+$BW322</f>
        <v/>
      </c>
      <c r="BY322" s="55">
        <f>$BY321+$BW322</f>
        <v/>
      </c>
      <c r="BZ322" s="55">
        <f>SUMIFS(tblPlant[Milled_t],tblPlant[Date],$A322)</f>
        <v/>
      </c>
      <c r="CA322" s="55">
        <f>IF($B322=$B321,$CA321,0)+$BZ322</f>
        <v/>
      </c>
      <c r="CB322" s="55">
        <f>$CB321+$BZ322</f>
        <v/>
      </c>
      <c r="CC322" s="55">
        <f>SUMIFS(tblPlant[Feed_oz],tblPlant[Date],$A322)</f>
        <v/>
      </c>
      <c r="CD322" s="55">
        <f>IF($B322=$B321,$CD321,0)+$CC322</f>
        <v/>
      </c>
      <c r="CE322" s="55">
        <f>$CE321+$CC322</f>
        <v/>
      </c>
      <c r="CF322" s="55">
        <f>SUMIFS(tblPlant[Tails_oz],tblPlant[Date],$A322)</f>
        <v/>
      </c>
      <c r="CG322" s="55">
        <f>IF($B322=$B321,$CG321,0)+$CF322</f>
        <v/>
      </c>
      <c r="CH322" s="55">
        <f>$CH321+$CF322</f>
        <v/>
      </c>
      <c r="CI322" s="55">
        <f>SUMIFS(tblPlant[Recovered_oz],tblPlant[Date],$A322)</f>
        <v/>
      </c>
      <c r="CJ322" s="55">
        <f>IF($B322=$B321,$CJ321,0)+$CI322</f>
        <v/>
      </c>
      <c r="CK322" s="55">
        <f>$CK321+$CI322</f>
        <v/>
      </c>
      <c r="CL322" s="56">
        <f>IFERROR(IF(($BZ322)&gt;0,($CC322*cfg_TroyOz)/($BZ322),""),"")</f>
        <v/>
      </c>
      <c r="CM322" s="56">
        <f>IFERROR(IF(($CA322)&gt;0,($CD322*cfg_TroyOz)/($CA322),""),"")</f>
        <v/>
      </c>
      <c r="CN322" s="56">
        <f>IFERROR(IF(($CB322)&gt;0,($CE322*cfg_TroyOz)/($CB322),""),"")</f>
        <v/>
      </c>
      <c r="CO322" s="56">
        <f>IFERROR(IF(($BZ322)&gt;0,($CF322*cfg_TroyOz)/($BZ322),""),"")</f>
        <v/>
      </c>
      <c r="CP322" s="56">
        <f>IFERROR(IF(($CA322)&gt;0,($CG322*cfg_TroyOz)/($CA322),""),"")</f>
        <v/>
      </c>
      <c r="CQ322" s="56">
        <f>IFERROR(IF(($CB322)&gt;0,($CH322*cfg_TroyOz)/($CB322),""),"")</f>
        <v/>
      </c>
      <c r="CR322" s="67">
        <f>IFERROR(IF(($CC322)&gt;0,($CI322)/($CC322),""),"")</f>
        <v/>
      </c>
      <c r="CS322" s="67">
        <f>IFERROR(IF(($CD322)&gt;0,($CJ322)/($CD322),""),"")</f>
        <v/>
      </c>
      <c r="CT322" s="67">
        <f>IFERROR(IF(($CE322)&gt;0,($CK322)/($CE322),""),"")</f>
        <v/>
      </c>
      <c r="CU322" s="55">
        <f>SUMIFS(tblPlant[Gravity_Gold_oz],tblPlant[Date],$A322)</f>
        <v/>
      </c>
      <c r="CV322" s="55">
        <f>IF($B322=$B321,$CV321,0)+$CU322</f>
        <v/>
      </c>
      <c r="CW322" s="55">
        <f>$CW321+$CU322</f>
        <v/>
      </c>
      <c r="CX322" s="55">
        <f>SUMIFS(tblPlant[Gold_Poured_oz],tblPlant[Date],$A322)</f>
        <v/>
      </c>
      <c r="CY322" s="55">
        <f>IF($B322=$B321,$CY321,0)+$CX322</f>
        <v/>
      </c>
      <c r="CZ322" s="55">
        <f>$CZ321+$CX322</f>
        <v/>
      </c>
      <c r="DA322" s="57">
        <f>SUMIFS(tblPlant[Mill_Run_h],tblPlant[Date],$A322)</f>
        <v/>
      </c>
      <c r="DB322" s="57">
        <f>IF($B322=$B321,$DB321,0)+$DA322</f>
        <v/>
      </c>
      <c r="DC322" s="57">
        <f>$DC321+$DA322</f>
        <v/>
      </c>
      <c r="DD322" s="57">
        <f>SUMIFS(tblPlant[Mill_Planned_Maint_h],tblPlant[Date],$A322)</f>
        <v/>
      </c>
      <c r="DE322" s="57">
        <f>IF($B322=$B321,$DE321,0)+$DD322</f>
        <v/>
      </c>
      <c r="DF322" s="57">
        <f>$DF321+$DD322</f>
        <v/>
      </c>
      <c r="DG322" s="57">
        <f>SUMIFS(tblPlant[Mill_Unplanned_Down_h],tblPlant[Date],$A322)</f>
        <v/>
      </c>
      <c r="DH322" s="57">
        <f>IF($B322=$B321,$DH321,0)+$DG322</f>
        <v/>
      </c>
      <c r="DI322" s="57">
        <f>$DI321+$DG322</f>
        <v/>
      </c>
      <c r="DJ322" s="57">
        <f>COUNTIFS(tblPlant[Date],$A322,tblPlant[Mill_Run_h],"&lt;&gt;")*24</f>
        <v/>
      </c>
      <c r="DK322" s="57">
        <f>IF($B322=$B321,$DK321,0)+$DJ322</f>
        <v/>
      </c>
      <c r="DL322" s="57">
        <f>$DL321+$DJ322</f>
        <v/>
      </c>
      <c r="DM322" s="57">
        <f>SUMIFS(tblPlant[Crusher_Run_h],tblPlant[Date],$A322)</f>
        <v/>
      </c>
      <c r="DN322" s="57">
        <f>IF($B322=$B321,$DN321,0)+$DM322</f>
        <v/>
      </c>
      <c r="DO322" s="57">
        <f>$DO321+$DM322</f>
        <v/>
      </c>
      <c r="DP322" s="55">
        <f>IFERROR(IF(($DA322)&gt;0,($BZ322)/($DA322),""),"")</f>
        <v/>
      </c>
      <c r="DQ322" s="55">
        <f>IFERROR(IF(($DB322)&gt;0,($CA322)/($DB322),""),"")</f>
        <v/>
      </c>
      <c r="DR322" s="55">
        <f>IFERROR(IF(($DC322)&gt;0,($CB322)/($DC322),""),"")</f>
        <v/>
      </c>
      <c r="DS322" s="67">
        <f>IFERROR(IF(($DJ322)&gt;0,($DJ322-$DD322-$DG322)/($DJ322),""),"")</f>
        <v/>
      </c>
      <c r="DT322" s="67">
        <f>IFERROR(IF(($DK322)&gt;0,($DK322-$DE322-$DH322)/($DK322),""),"")</f>
        <v/>
      </c>
      <c r="DU322" s="67">
        <f>IFERROR(IF(($DL322)&gt;0,($DL322-$DF322-$DI322)/($DL322),""),"")</f>
        <v/>
      </c>
      <c r="DV322" s="67">
        <f>IFERROR(IF(($DJ322-$DD322-$DG322)&gt;0,($DA322)/($DJ322-$DD322-$DG322),""),"")</f>
        <v/>
      </c>
      <c r="DW322" s="67">
        <f>IFERROR(IF(($DK322-$DE322-$DH322)&gt;0,($DB322)/($DK322-$DE322-$DH322),""),"")</f>
        <v/>
      </c>
      <c r="DX322" s="67">
        <f>IFERROR(IF(($DL322-$DF322-$DI322)&gt;0,($DC322)/($DL322-$DF322-$DI322),""),"")</f>
        <v/>
      </c>
      <c r="DY322" s="55">
        <f>SUMIFS(tblPlant[Cyanide_kg],tblPlant[Date],$A322)</f>
        <v/>
      </c>
      <c r="DZ322" s="55">
        <f>IF($B322=$B321,$DZ321,0)+$DY322</f>
        <v/>
      </c>
      <c r="EA322" s="55">
        <f>$EA321+$DY322</f>
        <v/>
      </c>
      <c r="EB322" s="55">
        <f>SUMIFS(tblPlant[Lime_kg],tblPlant[Date],$A322)</f>
        <v/>
      </c>
      <c r="EC322" s="55">
        <f>IF($B322=$B321,$EC321,0)+$EB322</f>
        <v/>
      </c>
      <c r="ED322" s="55">
        <f>$ED321+$EB322</f>
        <v/>
      </c>
      <c r="EE322" s="55">
        <f>SUMIFS(tblPlant[Grinding_Media_kg],tblPlant[Date],$A322)</f>
        <v/>
      </c>
      <c r="EF322" s="55">
        <f>IF($B322=$B321,$EF321,0)+$EE322</f>
        <v/>
      </c>
      <c r="EG322" s="55">
        <f>$EG321+$EE322</f>
        <v/>
      </c>
      <c r="EH322" s="55">
        <f>SUMIFS(tblPlant[Power_kWh],tblPlant[Date],$A322)</f>
        <v/>
      </c>
      <c r="EI322" s="55">
        <f>IF($B322=$B321,$EI321,0)+$EH322</f>
        <v/>
      </c>
      <c r="EJ322" s="55">
        <f>$EJ321+$EH322</f>
        <v/>
      </c>
      <c r="EK322" s="55">
        <f>SUMIFS(tblPlant[Raw_Water_m3],tblPlant[Date],$A322)</f>
        <v/>
      </c>
      <c r="EL322" s="55">
        <f>IF($B322=$B321,$EL321,0)+$EK322</f>
        <v/>
      </c>
      <c r="EM322" s="55">
        <f>$EM321+$EK322</f>
        <v/>
      </c>
      <c r="EN322" s="56">
        <f>IFERROR(IF(($BZ322)&gt;0,($DY322)/($BZ322),""),"")</f>
        <v/>
      </c>
      <c r="EO322" s="56">
        <f>IFERROR(IF(($CA322)&gt;0,($DZ322)/($CA322),""),"")</f>
        <v/>
      </c>
      <c r="EP322" s="56">
        <f>IFERROR(IF(($CB322)&gt;0,($EA322)/($CB322),""),"")</f>
        <v/>
      </c>
      <c r="EQ322" s="56">
        <f>IFERROR(IF(($BZ322)&gt;0,($EB322)/($BZ322),""),"")</f>
        <v/>
      </c>
      <c r="ER322" s="56">
        <f>IFERROR(IF(($CA322)&gt;0,($EC322)/($CA322),""),"")</f>
        <v/>
      </c>
      <c r="ES322" s="56">
        <f>IFERROR(IF(($CB322)&gt;0,($ED322)/($CB322),""),"")</f>
        <v/>
      </c>
      <c r="ET322" s="56">
        <f>IFERROR(IF(($BZ322)&gt;0,($EE322)/($BZ322),""),"")</f>
        <v/>
      </c>
      <c r="EU322" s="56">
        <f>IFERROR(IF(($CA322)&gt;0,($EF322)/($CA322),""),"")</f>
        <v/>
      </c>
      <c r="EV322" s="56">
        <f>IFERROR(IF(($CB322)&gt;0,($EG322)/($CB322),""),"")</f>
        <v/>
      </c>
      <c r="EW322" s="76">
        <f>IFERROR(IF(($BZ322)&gt;0,($EH322)/($BZ322),""),"")</f>
        <v/>
      </c>
      <c r="EX322" s="76">
        <f>IFERROR(IF(($CA322)&gt;0,($EI322)/($CA322),""),"")</f>
        <v/>
      </c>
      <c r="EY322" s="76">
        <f>IFERROR(IF(($CB322)&gt;0,($EJ322)/($CB322),""),"")</f>
        <v/>
      </c>
      <c r="EZ322" s="56">
        <f>IFERROR(IF(($BZ322)&gt;0,($EK322)/($BZ322),""),"")</f>
        <v/>
      </c>
      <c r="FA322" s="56">
        <f>IFERROR(IF(($CA322)&gt;0,($EL322)/($CA322),""),"")</f>
        <v/>
      </c>
      <c r="FB322" s="56">
        <f>IFERROR(IF(($CB322)&gt;0,($EM322)/($CB322),""),"")</f>
        <v/>
      </c>
      <c r="FC322" s="55">
        <f>IF(SUMIFS(tblPlant[GIC_oz],tblPlant[Date],$A322)&gt;0,SUMIFS(tblPlant[GIC_oz],tblPlant[Date],$A322),"")</f>
        <v/>
      </c>
      <c r="FD322" s="55">
        <f>SUMIFS(tblGold[Gold_oz],tblGold[Date],$A322,tblGold[Type],"Shipment")</f>
        <v/>
      </c>
      <c r="FE322" s="55">
        <f>IF($B322=$B321,$FE321,0)+$FD322</f>
        <v/>
      </c>
      <c r="FF322" s="55">
        <f>$FF321+$FD322</f>
        <v/>
      </c>
      <c r="FG322" s="55">
        <f>SUMIFS(tblGold[Gold_oz],tblGold[Date],$A322,tblGold[Type],"Sale")</f>
        <v/>
      </c>
      <c r="FH322" s="55">
        <f>IF($B322=$B321,$FH321,0)+$FG322</f>
        <v/>
      </c>
      <c r="FI322" s="55">
        <f>$FI321+$FG322</f>
        <v/>
      </c>
      <c r="FJ322" s="55">
        <f>SUMIFS(tblGold[Dore_kg],tblGold[Date],$A322,tblGold[Type],"Shipment")</f>
        <v/>
      </c>
      <c r="FK322" s="55">
        <f>IF($B322=$B321,$FK321,0)+$FJ322</f>
        <v/>
      </c>
      <c r="FL322" s="55">
        <f>$FL321+$FJ322</f>
        <v/>
      </c>
      <c r="FM322" s="57">
        <f>SUMIFS(tblSafety[Hours_Total],tblSafety[Date],$A322)</f>
        <v/>
      </c>
      <c r="FN322" s="57">
        <f>IF($B322=$B321,$FN321,0)+$FM322</f>
        <v/>
      </c>
      <c r="FO322" s="57">
        <f>$FO321+$FM322</f>
        <v/>
      </c>
      <c r="FP322" s="62">
        <f>SUMIFS(tblSafety[Fatality],tblSafety[Date],$A322)</f>
        <v/>
      </c>
      <c r="FQ322" s="62">
        <f>IF($B322=$B321,$FQ321,0)+$FP322</f>
        <v/>
      </c>
      <c r="FR322" s="62">
        <f>$FR321+$FP322</f>
        <v/>
      </c>
      <c r="FS322" s="62">
        <f>SUMIFS(tblSafety[LTI],tblSafety[Date],$A322)</f>
        <v/>
      </c>
      <c r="FT322" s="62">
        <f>IF($B322=$B321,$FT321,0)+$FS322</f>
        <v/>
      </c>
      <c r="FU322" s="62">
        <f>$FU321+$FS322</f>
        <v/>
      </c>
      <c r="FV322" s="62">
        <f>SUMIFS(tblSafety[RWI],tblSafety[Date],$A322)</f>
        <v/>
      </c>
      <c r="FW322" s="62">
        <f>IF($B322=$B321,$FW321,0)+$FV322</f>
        <v/>
      </c>
      <c r="FX322" s="62">
        <f>$FX321+$FV322</f>
        <v/>
      </c>
      <c r="FY322" s="62">
        <f>SUMIFS(tblSafety[MTI],tblSafety[Date],$A322)</f>
        <v/>
      </c>
      <c r="FZ322" s="62">
        <f>IF($B322=$B321,$FZ321,0)+$FY322</f>
        <v/>
      </c>
      <c r="GA322" s="62">
        <f>$GA321+$FY322</f>
        <v/>
      </c>
      <c r="GB322" s="62">
        <f>SUMIFS(tblSafety[FAI],tblSafety[Date],$A322)</f>
        <v/>
      </c>
      <c r="GC322" s="62">
        <f>IF($B322=$B321,$GC321,0)+$GB322</f>
        <v/>
      </c>
      <c r="GD322" s="62">
        <f>$GD321+$GB322</f>
        <v/>
      </c>
      <c r="GE322" s="62">
        <f>SUMIFS(tblSafety[Recordables],tblSafety[Date],$A322)</f>
        <v/>
      </c>
      <c r="GF322" s="62">
        <f>IF($B322=$B321,$GF321,0)+$GE322</f>
        <v/>
      </c>
      <c r="GG322" s="62">
        <f>$GG321+$GE322</f>
        <v/>
      </c>
      <c r="GH322" s="62">
        <f>SUMIFS(tblSafety[Near_Miss],tblSafety[Date],$A322)</f>
        <v/>
      </c>
      <c r="GI322" s="62">
        <f>IF($B322=$B321,$GI321,0)+$GH322</f>
        <v/>
      </c>
      <c r="GJ322" s="62">
        <f>$GJ321+$GH322</f>
        <v/>
      </c>
      <c r="GK322" s="62">
        <f>SUMIFS(tblSafety[Hazard_Reports],tblSafety[Date],$A322)</f>
        <v/>
      </c>
      <c r="GL322" s="62">
        <f>IF($B322=$B321,$GL321,0)+$GK322</f>
        <v/>
      </c>
      <c r="GM322" s="62">
        <f>$GM321+$GK322</f>
        <v/>
      </c>
      <c r="GN322" s="62">
        <f>SUMIFS(tblSafety[HPI],tblSafety[Date],$A322)</f>
        <v/>
      </c>
      <c r="GO322" s="62">
        <f>IF($B322=$B321,$GO321,0)+$GN322</f>
        <v/>
      </c>
      <c r="GP322" s="62">
        <f>$GP321+$GN322</f>
        <v/>
      </c>
      <c r="GQ322" s="62">
        <f>SUMIFS(tblSafety[Env_Incidents],tblSafety[Date],$A322)</f>
        <v/>
      </c>
      <c r="GR322" s="62">
        <f>IF($B322=$B321,$GR321,0)+$GQ322</f>
        <v/>
      </c>
      <c r="GS322" s="62">
        <f>$GS321+$GQ322</f>
        <v/>
      </c>
      <c r="GT322" s="62">
        <f>SUMIFS(tblSafety[Community_Incidents],tblSafety[Date],$A322)</f>
        <v/>
      </c>
      <c r="GU322" s="62">
        <f>IF($B322=$B321,$GU321,0)+$GT322</f>
        <v/>
      </c>
      <c r="GV322" s="62">
        <f>$GV321+$GT322</f>
        <v/>
      </c>
      <c r="GW322" s="62">
        <f>SUMIFS(tblSafety[Vehicle_Incidents],tblSafety[Date],$A322)</f>
        <v/>
      </c>
      <c r="GX322" s="62">
        <f>IF($B322=$B321,$GX321,0)+$GW322</f>
        <v/>
      </c>
      <c r="GY322" s="62">
        <f>$GY321+$GW322</f>
        <v/>
      </c>
      <c r="GZ322" s="62">
        <f>SUMIFS(tblSafety[Toolbox_Talks],tblSafety[Date],$A322)</f>
        <v/>
      </c>
      <c r="HA322" s="62">
        <f>IF($B322=$B321,$HA321,0)+$GZ322</f>
        <v/>
      </c>
      <c r="HB322" s="62">
        <f>$HB321+$GZ322</f>
        <v/>
      </c>
      <c r="HC322" s="62">
        <f>SUMIFS(tblSafety[Inspections],tblSafety[Date],$A322)</f>
        <v/>
      </c>
      <c r="HD322" s="62">
        <f>IF($B322=$B321,$HD321,0)+$HC322</f>
        <v/>
      </c>
      <c r="HE322" s="62">
        <f>$HE321+$HC322</f>
        <v/>
      </c>
      <c r="HF322" s="56">
        <f>IFERROR((SUMIFS(tblSafety[Recordables],tblSafety[Date],"&gt;="&amp;EDATE($E322,-12),tblSafety[Date],"&lt;="&amp;$A322)+SUMIFS(tblSafetyHistory[Recordables],tblSafetyHistory[Month],"&gt;="&amp;EDATE($E322,-12),tblSafetyHistory[Month],"&lt;"&amp;cfg_YearStart))/(SUMIFS(tblSafety[Hours_Total],tblSafety[Date],"&gt;="&amp;EDATE($E322,-12),tblSafety[Date],"&lt;="&amp;$A322)+SUMIFS(tblSafetyHistory[Hours_Total],tblSafetyHistory[Month],"&gt;="&amp;EDATE($E322,-12),tblSafetyHistory[Month],"&lt;"&amp;cfg_YearStart))*1000000,"")</f>
        <v/>
      </c>
      <c r="HG322" s="56">
        <f>IFERROR((SUMIFS(tblSafety[LTI],tblSafety[Date],"&gt;="&amp;EDATE($E322,-12),tblSafety[Date],"&lt;="&amp;$A322)+SUMIFS(tblSafetyHistory[LTI],tblSafetyHistory[Month],"&gt;="&amp;EDATE($E322,-12),tblSafetyHistory[Month],"&lt;"&amp;cfg_YearStart))/(SUMIFS(tblSafety[Hours_Total],tblSafety[Date],"&gt;="&amp;EDATE($E322,-12),tblSafety[Date],"&lt;="&amp;$A322)+SUMIFS(tblSafetyHistory[Hours_Total],tblSafetyHistory[Month],"&gt;="&amp;EDATE($E322,-12),tblSafetyHistory[Month],"&lt;"&amp;cfg_YearStart))*1000000,"")</f>
        <v/>
      </c>
      <c r="HH322" s="62">
        <f>IF(MAX(N(cfg_PriorLTIDate),_xlfn.MAXIFS(tblSafety[Date],tblSafety[LTI],"&gt;0",tblSafety[Date],"&lt;="&amp;$A322))=0,"",$A322-MAX(N(cfg_PriorLTIDate),_xlfn.MAXIFS(tblSafety[Date],tblSafety[LTI],"&gt;0",tblSafety[Date],"&lt;="&amp;$A322)))</f>
        <v/>
      </c>
      <c r="HI322" s="55">
        <f>SUMIFS(tblBudget[Ore_Mined_t],tblBudget[Month],$E322)</f>
        <v/>
      </c>
      <c r="HJ322" s="55">
        <f>$HI322*$C322/$D322</f>
        <v/>
      </c>
      <c r="HK322" s="55">
        <f>SUMIFS(tblBudget[Ore_Mined_t],tblBudget[Month],"&lt;"&amp;$E322)+$HJ322</f>
        <v/>
      </c>
      <c r="HL322" s="55">
        <f>SUMIFS(tblBudget[Ore_oz],tblBudget[Month],$E322)</f>
        <v/>
      </c>
      <c r="HM322" s="55">
        <f>$HL322*$C322/$D322</f>
        <v/>
      </c>
      <c r="HN322" s="55">
        <f>SUMIFS(tblBudget[Ore_oz],tblBudget[Month],"&lt;"&amp;$E322)+$HM322</f>
        <v/>
      </c>
      <c r="HO322" s="56">
        <f>IFERROR(IF(($HI322)&gt;0,($HL322*cfg_TroyOz)/($HI322),""),"")</f>
        <v/>
      </c>
      <c r="HP322" s="56">
        <f>IFERROR(IF(($HJ322)&gt;0,($HM322*cfg_TroyOz)/($HJ322),""),"")</f>
        <v/>
      </c>
      <c r="HQ322" s="56">
        <f>IFERROR(IF(($HK322)&gt;0,($HN322*cfg_TroyOz)/($HK322),""),"")</f>
        <v/>
      </c>
      <c r="HR322" s="55">
        <f>SUMIFS(tblBudget[Waste_t],tblBudget[Month],$E322)</f>
        <v/>
      </c>
      <c r="HS322" s="55">
        <f>$HR322*$C322/$D322</f>
        <v/>
      </c>
      <c r="HT322" s="55">
        <f>SUMIFS(tblBudget[Waste_t],tblBudget[Month],"&lt;"&amp;$E322)+$HS322</f>
        <v/>
      </c>
      <c r="HU322" s="55">
        <f>SUMIFS(tblBudget[TMM_t],tblBudget[Month],$E322)</f>
        <v/>
      </c>
      <c r="HV322" s="55">
        <f>$HU322*$C322/$D322</f>
        <v/>
      </c>
      <c r="HW322" s="55">
        <f>SUMIFS(tblBudget[TMM_t],tblBudget[Month],"&lt;"&amp;$E322)+$HV322</f>
        <v/>
      </c>
      <c r="HX322" s="56">
        <f>IFERROR(IF(($HI322)&gt;0,($HR322)/($HI322),""),"")</f>
        <v/>
      </c>
      <c r="HY322" s="56">
        <f>IFERROR(IF(($HJ322)&gt;0,($HS322)/($HJ322),""),"")</f>
        <v/>
      </c>
      <c r="HZ322" s="56">
        <f>IFERROR(IF(($HK322)&gt;0,($HT322)/($HK322),""),"")</f>
        <v/>
      </c>
      <c r="IA322" s="55">
        <f>SUMIFS(tblBudget[Drill_m],tblBudget[Month],$E322)</f>
        <v/>
      </c>
      <c r="IB322" s="55">
        <f>$IA322*$C322/$D322</f>
        <v/>
      </c>
      <c r="IC322" s="55">
        <f>SUMIFS(tblBudget[Drill_m],tblBudget[Month],"&lt;"&amp;$E322)+$IB322</f>
        <v/>
      </c>
      <c r="ID322" s="55">
        <f>SUMIFS(tblBudget[Diesel_L],tblBudget[Month],$E322)</f>
        <v/>
      </c>
      <c r="IE322" s="55">
        <f>$ID322*$C322/$D322</f>
        <v/>
      </c>
      <c r="IF322" s="55">
        <f>SUMIFS(tblBudget[Diesel_L],tblBudget[Month],"&lt;"&amp;$E322)+$IE322</f>
        <v/>
      </c>
      <c r="IG322" s="55">
        <f>SUMIFS(tblBudget[Milled_t],tblBudget[Month],$E322)</f>
        <v/>
      </c>
      <c r="IH322" s="55">
        <f>$IG322*$C322/$D322</f>
        <v/>
      </c>
      <c r="II322" s="55">
        <f>SUMIFS(tblBudget[Milled_t],tblBudget[Month],"&lt;"&amp;$E322)+$IH322</f>
        <v/>
      </c>
      <c r="IJ322" s="55">
        <f>SUMIFS(tblBudget[Feed_oz],tblBudget[Month],$E322)</f>
        <v/>
      </c>
      <c r="IK322" s="55">
        <f>$IJ322*$C322/$D322</f>
        <v/>
      </c>
      <c r="IL322" s="55">
        <f>SUMIFS(tblBudget[Feed_oz],tblBudget[Month],"&lt;"&amp;$E322)+$IK322</f>
        <v/>
      </c>
      <c r="IM322" s="55">
        <f>SUMIFS(tblBudget[Recovered_oz],tblBudget[Month],$E322)</f>
        <v/>
      </c>
      <c r="IN322" s="55">
        <f>$IM322*$C322/$D322</f>
        <v/>
      </c>
      <c r="IO322" s="55">
        <f>SUMIFS(tblBudget[Recovered_oz],tblBudget[Month],"&lt;"&amp;$E322)+$IN322</f>
        <v/>
      </c>
      <c r="IP322" s="56">
        <f>IFERROR(IF(($IG322)&gt;0,($IJ322*cfg_TroyOz)/($IG322),""),"")</f>
        <v/>
      </c>
      <c r="IQ322" s="56">
        <f>IFERROR(IF(($IH322)&gt;0,($IK322*cfg_TroyOz)/($IH322),""),"")</f>
        <v/>
      </c>
      <c r="IR322" s="56">
        <f>IFERROR(IF(($II322)&gt;0,($IL322*cfg_TroyOz)/($II322),""),"")</f>
        <v/>
      </c>
      <c r="IS322" s="67">
        <f>IFERROR(IF(($IJ322)&gt;0,($IM322)/($IJ322),""),"")</f>
        <v/>
      </c>
      <c r="IT322" s="67">
        <f>IFERROR(IF(($IK322)&gt;0,($IN322)/($IK322),""),"")</f>
        <v/>
      </c>
      <c r="IU322" s="67">
        <f>IFERROR(IF(($IL322)&gt;0,($IO322)/($IL322),""),"")</f>
        <v/>
      </c>
      <c r="IV322" s="55">
        <f>SUMIFS(tblBudget[Gold_Poured_oz],tblBudget[Month],$E322)</f>
        <v/>
      </c>
      <c r="IW322" s="55">
        <f>$IV322*$C322/$D322</f>
        <v/>
      </c>
      <c r="IX322" s="55">
        <f>SUMIFS(tblBudget[Gold_Poured_oz],tblBudget[Month],"&lt;"&amp;$E322)+$IW322</f>
        <v/>
      </c>
      <c r="IY322" s="57">
        <f>SUMIFS(tblBudget[Hours_Worked],tblBudget[Month],$E322)</f>
        <v/>
      </c>
      <c r="IZ322" s="57">
        <f>$IY322*$C322/$D322</f>
        <v/>
      </c>
      <c r="JA322" s="57">
        <f>SUMIFS(tblBudget[Hours_Worked],tblBudget[Month],"&lt;"&amp;$E322)+$IZ322</f>
        <v/>
      </c>
    </row>
    <row r="323">
      <c r="A323" s="54" t="n">
        <v>46344</v>
      </c>
      <c r="B323">
        <f>MONTH($A323)</f>
        <v/>
      </c>
      <c r="C323">
        <f>DAY($A323)</f>
        <v/>
      </c>
      <c r="D323">
        <f>DAY(EOMONTH($A323,0))</f>
        <v/>
      </c>
      <c r="E323" s="54">
        <f>DATE(YEAR($A323),MONTH($A323),1)</f>
        <v/>
      </c>
      <c r="F323" s="55">
        <f>SUMIFS(tblMovement[Tonnes_t],tblMovement[Date],$A323,tblMovement[Is_Ore],1,tblMovement[Source_Type],"Pit")</f>
        <v/>
      </c>
      <c r="G323" s="55">
        <f>IF($B323=$B322,$G322,0)+$F323</f>
        <v/>
      </c>
      <c r="H323" s="55">
        <f>$H322+$F323</f>
        <v/>
      </c>
      <c r="I323" s="55">
        <f>SUMIFS(tblMovement[Ore_oz],tblMovement[Date],$A323,tblMovement[Source_Type],"Pit")</f>
        <v/>
      </c>
      <c r="J323" s="55">
        <f>IF($B323=$B322,$J322,0)+$I323</f>
        <v/>
      </c>
      <c r="K323" s="55">
        <f>$K322+$I323</f>
        <v/>
      </c>
      <c r="L323" s="56">
        <f>IFERROR(IF(($F323)&gt;0,($I323*cfg_TroyOz)/($F323),""),"")</f>
        <v/>
      </c>
      <c r="M323" s="56">
        <f>IFERROR(IF(($G323)&gt;0,($J323*cfg_TroyOz)/($G323),""),"")</f>
        <v/>
      </c>
      <c r="N323" s="56">
        <f>IFERROR(IF(($H323)&gt;0,($K323*cfg_TroyOz)/($H323),""),"")</f>
        <v/>
      </c>
      <c r="O323" s="55">
        <f>SUMIFS(tblMovement[Tonnes_t],tblMovement[Date],$A323,tblMovement[Is_Ore],0,tblMovement[Source_Type],"Pit")</f>
        <v/>
      </c>
      <c r="P323" s="55">
        <f>IF($B323=$B322,$P322,0)+$O323</f>
        <v/>
      </c>
      <c r="Q323" s="55">
        <f>$Q322+$O323</f>
        <v/>
      </c>
      <c r="R323" s="55">
        <f>$F323+$O323</f>
        <v/>
      </c>
      <c r="S323" s="55">
        <f>IF($B323=$B322,$S322,0)+$R323</f>
        <v/>
      </c>
      <c r="T323" s="55">
        <f>$T322+$R323</f>
        <v/>
      </c>
      <c r="U323" s="56">
        <f>IFERROR(IF(($F323)&gt;0,($O323)/($F323),""),"")</f>
        <v/>
      </c>
      <c r="V323" s="56">
        <f>IFERROR(IF(($G323)&gt;0,($P323)/($G323),""),"")</f>
        <v/>
      </c>
      <c r="W323" s="56">
        <f>IFERROR(IF(($H323)&gt;0,($Q323)/($H323),""),"")</f>
        <v/>
      </c>
      <c r="X323" s="55">
        <f>SUMIFS(tblMovement[Tonnes_t],tblMovement[Date],$A323,tblMovement[Source_Type],"Stockpile")</f>
        <v/>
      </c>
      <c r="Y323" s="55">
        <f>IF($B323=$B322,$Y322,0)+$X323</f>
        <v/>
      </c>
      <c r="Z323" s="55">
        <f>$Z322+$X323</f>
        <v/>
      </c>
      <c r="AA323" s="55">
        <f>SUMIFS(tblMiningDaily[Drill_m],tblMiningDaily[Date],$A323)</f>
        <v/>
      </c>
      <c r="AB323" s="55">
        <f>IF($B323=$B322,$AB322,0)+$AA323</f>
        <v/>
      </c>
      <c r="AC323" s="55">
        <f>$AC322+$AA323</f>
        <v/>
      </c>
      <c r="AD323" s="55">
        <f>SUMIFS(tblMiningDaily[Blast_t],tblMiningDaily[Date],$A323)</f>
        <v/>
      </c>
      <c r="AE323" s="55">
        <f>IF($B323=$B322,$AE322,0)+$AD323</f>
        <v/>
      </c>
      <c r="AF323" s="55">
        <f>$AF322+$AD323</f>
        <v/>
      </c>
      <c r="AG323" s="55">
        <f>SUMIFS(tblMiningDaily[Explosives_kg],tblMiningDaily[Date],$A323)</f>
        <v/>
      </c>
      <c r="AH323" s="55">
        <f>IF($B323=$B322,$AH322,0)+$AG323</f>
        <v/>
      </c>
      <c r="AI323" s="55">
        <f>$AI322+$AG323</f>
        <v/>
      </c>
      <c r="AJ323" s="56">
        <f>IFERROR(IF(($AD323)&gt;0,($AG323)/($AD323),""),"")</f>
        <v/>
      </c>
      <c r="AK323" s="56">
        <f>IFERROR(IF(($AE323)&gt;0,($AH323)/($AE323),""),"")</f>
        <v/>
      </c>
      <c r="AL323" s="56">
        <f>IFERROR(IF(($AF323)&gt;0,($AI323)/($AF323),""),"")</f>
        <v/>
      </c>
      <c r="AM323" s="55">
        <f>SUMIFS(tblMiningDaily[Diesel_L],tblMiningDaily[Date],$A323)</f>
        <v/>
      </c>
      <c r="AN323" s="55">
        <f>IF($B323=$B322,$AN322,0)+$AM323</f>
        <v/>
      </c>
      <c r="AO323" s="55">
        <f>$AO322+$AM323</f>
        <v/>
      </c>
      <c r="AP323" s="55">
        <f>SUMIFS(tblMiningDaily[Dewatering_m3],tblMiningDaily[Date],$A323)</f>
        <v/>
      </c>
      <c r="AQ323" s="55">
        <f>IF($B323=$B322,$AQ322,0)+$AP323</f>
        <v/>
      </c>
      <c r="AR323" s="55">
        <f>$AR322+$AP323</f>
        <v/>
      </c>
      <c r="AS323" s="57">
        <f>SUMIFS(tblFleet[Calendar_h],tblFleet[Date],$A323,tblFleet[Equipment_Class],"Excavator")</f>
        <v/>
      </c>
      <c r="AT323" s="57">
        <f>IF($B323=$B322,$AT322,0)+$AS323</f>
        <v/>
      </c>
      <c r="AU323" s="57">
        <f>$AU322+$AS323</f>
        <v/>
      </c>
      <c r="AV323" s="57">
        <f>SUMIFS(tblFleet[Available_h],tblFleet[Date],$A323,tblFleet[Equipment_Class],"Excavator")</f>
        <v/>
      </c>
      <c r="AW323" s="57">
        <f>IF($B323=$B322,$AW322,0)+$AV323</f>
        <v/>
      </c>
      <c r="AX323" s="57">
        <f>$AX322+$AV323</f>
        <v/>
      </c>
      <c r="AY323" s="57">
        <f>SUMIFS(tblFleet[Operating_h],tblFleet[Date],$A323,tblFleet[Equipment_Class],"Excavator")</f>
        <v/>
      </c>
      <c r="AZ323" s="57">
        <f>IF($B323=$B322,$AZ322,0)+$AY323</f>
        <v/>
      </c>
      <c r="BA323" s="57">
        <f>$BA322+$AY323</f>
        <v/>
      </c>
      <c r="BB323" s="67">
        <f>IFERROR(IF(($AS323)&gt;0,($AV323)/($AS323),""),"")</f>
        <v/>
      </c>
      <c r="BC323" s="67">
        <f>IFERROR(IF(($AT323)&gt;0,($AW323)/($AT323),""),"")</f>
        <v/>
      </c>
      <c r="BD323" s="67">
        <f>IFERROR(IF(($AU323)&gt;0,($AX323)/($AU323),""),"")</f>
        <v/>
      </c>
      <c r="BE323" s="67">
        <f>IFERROR(IF(($AV323)&gt;0,($AY323)/($AV323),""),"")</f>
        <v/>
      </c>
      <c r="BF323" s="67">
        <f>IFERROR(IF(($AW323)&gt;0,($AZ323)/($AW323),""),"")</f>
        <v/>
      </c>
      <c r="BG323" s="67">
        <f>IFERROR(IF(($AX323)&gt;0,($BA323)/($AX323),""),"")</f>
        <v/>
      </c>
      <c r="BH323" s="57">
        <f>SUMIFS(tblFleet[Calendar_h],tblFleet[Date],$A323,tblFleet[Equipment_Class],"Haul Truck")</f>
        <v/>
      </c>
      <c r="BI323" s="57">
        <f>IF($B323=$B322,$BI322,0)+$BH323</f>
        <v/>
      </c>
      <c r="BJ323" s="57">
        <f>$BJ322+$BH323</f>
        <v/>
      </c>
      <c r="BK323" s="57">
        <f>SUMIFS(tblFleet[Available_h],tblFleet[Date],$A323,tblFleet[Equipment_Class],"Haul Truck")</f>
        <v/>
      </c>
      <c r="BL323" s="57">
        <f>IF($B323=$B322,$BL322,0)+$BK323</f>
        <v/>
      </c>
      <c r="BM323" s="57">
        <f>$BM322+$BK323</f>
        <v/>
      </c>
      <c r="BN323" s="57">
        <f>SUMIFS(tblFleet[Operating_h],tblFleet[Date],$A323,tblFleet[Equipment_Class],"Haul Truck")</f>
        <v/>
      </c>
      <c r="BO323" s="57">
        <f>IF($B323=$B322,$BO322,0)+$BN323</f>
        <v/>
      </c>
      <c r="BP323" s="57">
        <f>$BP322+$BN323</f>
        <v/>
      </c>
      <c r="BQ323" s="67">
        <f>IFERROR(IF(($BH323)&gt;0,($BK323)/($BH323),""),"")</f>
        <v/>
      </c>
      <c r="BR323" s="67">
        <f>IFERROR(IF(($BI323)&gt;0,($BL323)/($BI323),""),"")</f>
        <v/>
      </c>
      <c r="BS323" s="67">
        <f>IFERROR(IF(($BJ323)&gt;0,($BM323)/($BJ323),""),"")</f>
        <v/>
      </c>
      <c r="BT323" s="67">
        <f>IFERROR(IF(($BK323)&gt;0,($BN323)/($BK323),""),"")</f>
        <v/>
      </c>
      <c r="BU323" s="67">
        <f>IFERROR(IF(($BL323)&gt;0,($BO323)/($BL323),""),"")</f>
        <v/>
      </c>
      <c r="BV323" s="67">
        <f>IFERROR(IF(($BM323)&gt;0,($BP323)/($BM323),""),"")</f>
        <v/>
      </c>
      <c r="BW323" s="55">
        <f>SUMIFS(tblPlant[Crushed_t],tblPlant[Date],$A323)</f>
        <v/>
      </c>
      <c r="BX323" s="55">
        <f>IF($B323=$B322,$BX322,0)+$BW323</f>
        <v/>
      </c>
      <c r="BY323" s="55">
        <f>$BY322+$BW323</f>
        <v/>
      </c>
      <c r="BZ323" s="55">
        <f>SUMIFS(tblPlant[Milled_t],tblPlant[Date],$A323)</f>
        <v/>
      </c>
      <c r="CA323" s="55">
        <f>IF($B323=$B322,$CA322,0)+$BZ323</f>
        <v/>
      </c>
      <c r="CB323" s="55">
        <f>$CB322+$BZ323</f>
        <v/>
      </c>
      <c r="CC323" s="55">
        <f>SUMIFS(tblPlant[Feed_oz],tblPlant[Date],$A323)</f>
        <v/>
      </c>
      <c r="CD323" s="55">
        <f>IF($B323=$B322,$CD322,0)+$CC323</f>
        <v/>
      </c>
      <c r="CE323" s="55">
        <f>$CE322+$CC323</f>
        <v/>
      </c>
      <c r="CF323" s="55">
        <f>SUMIFS(tblPlant[Tails_oz],tblPlant[Date],$A323)</f>
        <v/>
      </c>
      <c r="CG323" s="55">
        <f>IF($B323=$B322,$CG322,0)+$CF323</f>
        <v/>
      </c>
      <c r="CH323" s="55">
        <f>$CH322+$CF323</f>
        <v/>
      </c>
      <c r="CI323" s="55">
        <f>SUMIFS(tblPlant[Recovered_oz],tblPlant[Date],$A323)</f>
        <v/>
      </c>
      <c r="CJ323" s="55">
        <f>IF($B323=$B322,$CJ322,0)+$CI323</f>
        <v/>
      </c>
      <c r="CK323" s="55">
        <f>$CK322+$CI323</f>
        <v/>
      </c>
      <c r="CL323" s="56">
        <f>IFERROR(IF(($BZ323)&gt;0,($CC323*cfg_TroyOz)/($BZ323),""),"")</f>
        <v/>
      </c>
      <c r="CM323" s="56">
        <f>IFERROR(IF(($CA323)&gt;0,($CD323*cfg_TroyOz)/($CA323),""),"")</f>
        <v/>
      </c>
      <c r="CN323" s="56">
        <f>IFERROR(IF(($CB323)&gt;0,($CE323*cfg_TroyOz)/($CB323),""),"")</f>
        <v/>
      </c>
      <c r="CO323" s="56">
        <f>IFERROR(IF(($BZ323)&gt;0,($CF323*cfg_TroyOz)/($BZ323),""),"")</f>
        <v/>
      </c>
      <c r="CP323" s="56">
        <f>IFERROR(IF(($CA323)&gt;0,($CG323*cfg_TroyOz)/($CA323),""),"")</f>
        <v/>
      </c>
      <c r="CQ323" s="56">
        <f>IFERROR(IF(($CB323)&gt;0,($CH323*cfg_TroyOz)/($CB323),""),"")</f>
        <v/>
      </c>
      <c r="CR323" s="67">
        <f>IFERROR(IF(($CC323)&gt;0,($CI323)/($CC323),""),"")</f>
        <v/>
      </c>
      <c r="CS323" s="67">
        <f>IFERROR(IF(($CD323)&gt;0,($CJ323)/($CD323),""),"")</f>
        <v/>
      </c>
      <c r="CT323" s="67">
        <f>IFERROR(IF(($CE323)&gt;0,($CK323)/($CE323),""),"")</f>
        <v/>
      </c>
      <c r="CU323" s="55">
        <f>SUMIFS(tblPlant[Gravity_Gold_oz],tblPlant[Date],$A323)</f>
        <v/>
      </c>
      <c r="CV323" s="55">
        <f>IF($B323=$B322,$CV322,0)+$CU323</f>
        <v/>
      </c>
      <c r="CW323" s="55">
        <f>$CW322+$CU323</f>
        <v/>
      </c>
      <c r="CX323" s="55">
        <f>SUMIFS(tblPlant[Gold_Poured_oz],tblPlant[Date],$A323)</f>
        <v/>
      </c>
      <c r="CY323" s="55">
        <f>IF($B323=$B322,$CY322,0)+$CX323</f>
        <v/>
      </c>
      <c r="CZ323" s="55">
        <f>$CZ322+$CX323</f>
        <v/>
      </c>
      <c r="DA323" s="57">
        <f>SUMIFS(tblPlant[Mill_Run_h],tblPlant[Date],$A323)</f>
        <v/>
      </c>
      <c r="DB323" s="57">
        <f>IF($B323=$B322,$DB322,0)+$DA323</f>
        <v/>
      </c>
      <c r="DC323" s="57">
        <f>$DC322+$DA323</f>
        <v/>
      </c>
      <c r="DD323" s="57">
        <f>SUMIFS(tblPlant[Mill_Planned_Maint_h],tblPlant[Date],$A323)</f>
        <v/>
      </c>
      <c r="DE323" s="57">
        <f>IF($B323=$B322,$DE322,0)+$DD323</f>
        <v/>
      </c>
      <c r="DF323" s="57">
        <f>$DF322+$DD323</f>
        <v/>
      </c>
      <c r="DG323" s="57">
        <f>SUMIFS(tblPlant[Mill_Unplanned_Down_h],tblPlant[Date],$A323)</f>
        <v/>
      </c>
      <c r="DH323" s="57">
        <f>IF($B323=$B322,$DH322,0)+$DG323</f>
        <v/>
      </c>
      <c r="DI323" s="57">
        <f>$DI322+$DG323</f>
        <v/>
      </c>
      <c r="DJ323" s="57">
        <f>COUNTIFS(tblPlant[Date],$A323,tblPlant[Mill_Run_h],"&lt;&gt;")*24</f>
        <v/>
      </c>
      <c r="DK323" s="57">
        <f>IF($B323=$B322,$DK322,0)+$DJ323</f>
        <v/>
      </c>
      <c r="DL323" s="57">
        <f>$DL322+$DJ323</f>
        <v/>
      </c>
      <c r="DM323" s="57">
        <f>SUMIFS(tblPlant[Crusher_Run_h],tblPlant[Date],$A323)</f>
        <v/>
      </c>
      <c r="DN323" s="57">
        <f>IF($B323=$B322,$DN322,0)+$DM323</f>
        <v/>
      </c>
      <c r="DO323" s="57">
        <f>$DO322+$DM323</f>
        <v/>
      </c>
      <c r="DP323" s="55">
        <f>IFERROR(IF(($DA323)&gt;0,($BZ323)/($DA323),""),"")</f>
        <v/>
      </c>
      <c r="DQ323" s="55">
        <f>IFERROR(IF(($DB323)&gt;0,($CA323)/($DB323),""),"")</f>
        <v/>
      </c>
      <c r="DR323" s="55">
        <f>IFERROR(IF(($DC323)&gt;0,($CB323)/($DC323),""),"")</f>
        <v/>
      </c>
      <c r="DS323" s="67">
        <f>IFERROR(IF(($DJ323)&gt;0,($DJ323-$DD323-$DG323)/($DJ323),""),"")</f>
        <v/>
      </c>
      <c r="DT323" s="67">
        <f>IFERROR(IF(($DK323)&gt;0,($DK323-$DE323-$DH323)/($DK323),""),"")</f>
        <v/>
      </c>
      <c r="DU323" s="67">
        <f>IFERROR(IF(($DL323)&gt;0,($DL323-$DF323-$DI323)/($DL323),""),"")</f>
        <v/>
      </c>
      <c r="DV323" s="67">
        <f>IFERROR(IF(($DJ323-$DD323-$DG323)&gt;0,($DA323)/($DJ323-$DD323-$DG323),""),"")</f>
        <v/>
      </c>
      <c r="DW323" s="67">
        <f>IFERROR(IF(($DK323-$DE323-$DH323)&gt;0,($DB323)/($DK323-$DE323-$DH323),""),"")</f>
        <v/>
      </c>
      <c r="DX323" s="67">
        <f>IFERROR(IF(($DL323-$DF323-$DI323)&gt;0,($DC323)/($DL323-$DF323-$DI323),""),"")</f>
        <v/>
      </c>
      <c r="DY323" s="55">
        <f>SUMIFS(tblPlant[Cyanide_kg],tblPlant[Date],$A323)</f>
        <v/>
      </c>
      <c r="DZ323" s="55">
        <f>IF($B323=$B322,$DZ322,0)+$DY323</f>
        <v/>
      </c>
      <c r="EA323" s="55">
        <f>$EA322+$DY323</f>
        <v/>
      </c>
      <c r="EB323" s="55">
        <f>SUMIFS(tblPlant[Lime_kg],tblPlant[Date],$A323)</f>
        <v/>
      </c>
      <c r="EC323" s="55">
        <f>IF($B323=$B322,$EC322,0)+$EB323</f>
        <v/>
      </c>
      <c r="ED323" s="55">
        <f>$ED322+$EB323</f>
        <v/>
      </c>
      <c r="EE323" s="55">
        <f>SUMIFS(tblPlant[Grinding_Media_kg],tblPlant[Date],$A323)</f>
        <v/>
      </c>
      <c r="EF323" s="55">
        <f>IF($B323=$B322,$EF322,0)+$EE323</f>
        <v/>
      </c>
      <c r="EG323" s="55">
        <f>$EG322+$EE323</f>
        <v/>
      </c>
      <c r="EH323" s="55">
        <f>SUMIFS(tblPlant[Power_kWh],tblPlant[Date],$A323)</f>
        <v/>
      </c>
      <c r="EI323" s="55">
        <f>IF($B323=$B322,$EI322,0)+$EH323</f>
        <v/>
      </c>
      <c r="EJ323" s="55">
        <f>$EJ322+$EH323</f>
        <v/>
      </c>
      <c r="EK323" s="55">
        <f>SUMIFS(tblPlant[Raw_Water_m3],tblPlant[Date],$A323)</f>
        <v/>
      </c>
      <c r="EL323" s="55">
        <f>IF($B323=$B322,$EL322,0)+$EK323</f>
        <v/>
      </c>
      <c r="EM323" s="55">
        <f>$EM322+$EK323</f>
        <v/>
      </c>
      <c r="EN323" s="56">
        <f>IFERROR(IF(($BZ323)&gt;0,($DY323)/($BZ323),""),"")</f>
        <v/>
      </c>
      <c r="EO323" s="56">
        <f>IFERROR(IF(($CA323)&gt;0,($DZ323)/($CA323),""),"")</f>
        <v/>
      </c>
      <c r="EP323" s="56">
        <f>IFERROR(IF(($CB323)&gt;0,($EA323)/($CB323),""),"")</f>
        <v/>
      </c>
      <c r="EQ323" s="56">
        <f>IFERROR(IF(($BZ323)&gt;0,($EB323)/($BZ323),""),"")</f>
        <v/>
      </c>
      <c r="ER323" s="56">
        <f>IFERROR(IF(($CA323)&gt;0,($EC323)/($CA323),""),"")</f>
        <v/>
      </c>
      <c r="ES323" s="56">
        <f>IFERROR(IF(($CB323)&gt;0,($ED323)/($CB323),""),"")</f>
        <v/>
      </c>
      <c r="ET323" s="56">
        <f>IFERROR(IF(($BZ323)&gt;0,($EE323)/($BZ323),""),"")</f>
        <v/>
      </c>
      <c r="EU323" s="56">
        <f>IFERROR(IF(($CA323)&gt;0,($EF323)/($CA323),""),"")</f>
        <v/>
      </c>
      <c r="EV323" s="56">
        <f>IFERROR(IF(($CB323)&gt;0,($EG323)/($CB323),""),"")</f>
        <v/>
      </c>
      <c r="EW323" s="76">
        <f>IFERROR(IF(($BZ323)&gt;0,($EH323)/($BZ323),""),"")</f>
        <v/>
      </c>
      <c r="EX323" s="76">
        <f>IFERROR(IF(($CA323)&gt;0,($EI323)/($CA323),""),"")</f>
        <v/>
      </c>
      <c r="EY323" s="76">
        <f>IFERROR(IF(($CB323)&gt;0,($EJ323)/($CB323),""),"")</f>
        <v/>
      </c>
      <c r="EZ323" s="56">
        <f>IFERROR(IF(($BZ323)&gt;0,($EK323)/($BZ323),""),"")</f>
        <v/>
      </c>
      <c r="FA323" s="56">
        <f>IFERROR(IF(($CA323)&gt;0,($EL323)/($CA323),""),"")</f>
        <v/>
      </c>
      <c r="FB323" s="56">
        <f>IFERROR(IF(($CB323)&gt;0,($EM323)/($CB323),""),"")</f>
        <v/>
      </c>
      <c r="FC323" s="55">
        <f>IF(SUMIFS(tblPlant[GIC_oz],tblPlant[Date],$A323)&gt;0,SUMIFS(tblPlant[GIC_oz],tblPlant[Date],$A323),"")</f>
        <v/>
      </c>
      <c r="FD323" s="55">
        <f>SUMIFS(tblGold[Gold_oz],tblGold[Date],$A323,tblGold[Type],"Shipment")</f>
        <v/>
      </c>
      <c r="FE323" s="55">
        <f>IF($B323=$B322,$FE322,0)+$FD323</f>
        <v/>
      </c>
      <c r="FF323" s="55">
        <f>$FF322+$FD323</f>
        <v/>
      </c>
      <c r="FG323" s="55">
        <f>SUMIFS(tblGold[Gold_oz],tblGold[Date],$A323,tblGold[Type],"Sale")</f>
        <v/>
      </c>
      <c r="FH323" s="55">
        <f>IF($B323=$B322,$FH322,0)+$FG323</f>
        <v/>
      </c>
      <c r="FI323" s="55">
        <f>$FI322+$FG323</f>
        <v/>
      </c>
      <c r="FJ323" s="55">
        <f>SUMIFS(tblGold[Dore_kg],tblGold[Date],$A323,tblGold[Type],"Shipment")</f>
        <v/>
      </c>
      <c r="FK323" s="55">
        <f>IF($B323=$B322,$FK322,0)+$FJ323</f>
        <v/>
      </c>
      <c r="FL323" s="55">
        <f>$FL322+$FJ323</f>
        <v/>
      </c>
      <c r="FM323" s="57">
        <f>SUMIFS(tblSafety[Hours_Total],tblSafety[Date],$A323)</f>
        <v/>
      </c>
      <c r="FN323" s="57">
        <f>IF($B323=$B322,$FN322,0)+$FM323</f>
        <v/>
      </c>
      <c r="FO323" s="57">
        <f>$FO322+$FM323</f>
        <v/>
      </c>
      <c r="FP323" s="62">
        <f>SUMIFS(tblSafety[Fatality],tblSafety[Date],$A323)</f>
        <v/>
      </c>
      <c r="FQ323" s="62">
        <f>IF($B323=$B322,$FQ322,0)+$FP323</f>
        <v/>
      </c>
      <c r="FR323" s="62">
        <f>$FR322+$FP323</f>
        <v/>
      </c>
      <c r="FS323" s="62">
        <f>SUMIFS(tblSafety[LTI],tblSafety[Date],$A323)</f>
        <v/>
      </c>
      <c r="FT323" s="62">
        <f>IF($B323=$B322,$FT322,0)+$FS323</f>
        <v/>
      </c>
      <c r="FU323" s="62">
        <f>$FU322+$FS323</f>
        <v/>
      </c>
      <c r="FV323" s="62">
        <f>SUMIFS(tblSafety[RWI],tblSafety[Date],$A323)</f>
        <v/>
      </c>
      <c r="FW323" s="62">
        <f>IF($B323=$B322,$FW322,0)+$FV323</f>
        <v/>
      </c>
      <c r="FX323" s="62">
        <f>$FX322+$FV323</f>
        <v/>
      </c>
      <c r="FY323" s="62">
        <f>SUMIFS(tblSafety[MTI],tblSafety[Date],$A323)</f>
        <v/>
      </c>
      <c r="FZ323" s="62">
        <f>IF($B323=$B322,$FZ322,0)+$FY323</f>
        <v/>
      </c>
      <c r="GA323" s="62">
        <f>$GA322+$FY323</f>
        <v/>
      </c>
      <c r="GB323" s="62">
        <f>SUMIFS(tblSafety[FAI],tblSafety[Date],$A323)</f>
        <v/>
      </c>
      <c r="GC323" s="62">
        <f>IF($B323=$B322,$GC322,0)+$GB323</f>
        <v/>
      </c>
      <c r="GD323" s="62">
        <f>$GD322+$GB323</f>
        <v/>
      </c>
      <c r="GE323" s="62">
        <f>SUMIFS(tblSafety[Recordables],tblSafety[Date],$A323)</f>
        <v/>
      </c>
      <c r="GF323" s="62">
        <f>IF($B323=$B322,$GF322,0)+$GE323</f>
        <v/>
      </c>
      <c r="GG323" s="62">
        <f>$GG322+$GE323</f>
        <v/>
      </c>
      <c r="GH323" s="62">
        <f>SUMIFS(tblSafety[Near_Miss],tblSafety[Date],$A323)</f>
        <v/>
      </c>
      <c r="GI323" s="62">
        <f>IF($B323=$B322,$GI322,0)+$GH323</f>
        <v/>
      </c>
      <c r="GJ323" s="62">
        <f>$GJ322+$GH323</f>
        <v/>
      </c>
      <c r="GK323" s="62">
        <f>SUMIFS(tblSafety[Hazard_Reports],tblSafety[Date],$A323)</f>
        <v/>
      </c>
      <c r="GL323" s="62">
        <f>IF($B323=$B322,$GL322,0)+$GK323</f>
        <v/>
      </c>
      <c r="GM323" s="62">
        <f>$GM322+$GK323</f>
        <v/>
      </c>
      <c r="GN323" s="62">
        <f>SUMIFS(tblSafety[HPI],tblSafety[Date],$A323)</f>
        <v/>
      </c>
      <c r="GO323" s="62">
        <f>IF($B323=$B322,$GO322,0)+$GN323</f>
        <v/>
      </c>
      <c r="GP323" s="62">
        <f>$GP322+$GN323</f>
        <v/>
      </c>
      <c r="GQ323" s="62">
        <f>SUMIFS(tblSafety[Env_Incidents],tblSafety[Date],$A323)</f>
        <v/>
      </c>
      <c r="GR323" s="62">
        <f>IF($B323=$B322,$GR322,0)+$GQ323</f>
        <v/>
      </c>
      <c r="GS323" s="62">
        <f>$GS322+$GQ323</f>
        <v/>
      </c>
      <c r="GT323" s="62">
        <f>SUMIFS(tblSafety[Community_Incidents],tblSafety[Date],$A323)</f>
        <v/>
      </c>
      <c r="GU323" s="62">
        <f>IF($B323=$B322,$GU322,0)+$GT323</f>
        <v/>
      </c>
      <c r="GV323" s="62">
        <f>$GV322+$GT323</f>
        <v/>
      </c>
      <c r="GW323" s="62">
        <f>SUMIFS(tblSafety[Vehicle_Incidents],tblSafety[Date],$A323)</f>
        <v/>
      </c>
      <c r="GX323" s="62">
        <f>IF($B323=$B322,$GX322,0)+$GW323</f>
        <v/>
      </c>
      <c r="GY323" s="62">
        <f>$GY322+$GW323</f>
        <v/>
      </c>
      <c r="GZ323" s="62">
        <f>SUMIFS(tblSafety[Toolbox_Talks],tblSafety[Date],$A323)</f>
        <v/>
      </c>
      <c r="HA323" s="62">
        <f>IF($B323=$B322,$HA322,0)+$GZ323</f>
        <v/>
      </c>
      <c r="HB323" s="62">
        <f>$HB322+$GZ323</f>
        <v/>
      </c>
      <c r="HC323" s="62">
        <f>SUMIFS(tblSafety[Inspections],tblSafety[Date],$A323)</f>
        <v/>
      </c>
      <c r="HD323" s="62">
        <f>IF($B323=$B322,$HD322,0)+$HC323</f>
        <v/>
      </c>
      <c r="HE323" s="62">
        <f>$HE322+$HC323</f>
        <v/>
      </c>
      <c r="HF323" s="56">
        <f>IFERROR((SUMIFS(tblSafety[Recordables],tblSafety[Date],"&gt;="&amp;EDATE($E323,-12),tblSafety[Date],"&lt;="&amp;$A323)+SUMIFS(tblSafetyHistory[Recordables],tblSafetyHistory[Month],"&gt;="&amp;EDATE($E323,-12),tblSafetyHistory[Month],"&lt;"&amp;cfg_YearStart))/(SUMIFS(tblSafety[Hours_Total],tblSafety[Date],"&gt;="&amp;EDATE($E323,-12),tblSafety[Date],"&lt;="&amp;$A323)+SUMIFS(tblSafetyHistory[Hours_Total],tblSafetyHistory[Month],"&gt;="&amp;EDATE($E323,-12),tblSafetyHistory[Month],"&lt;"&amp;cfg_YearStart))*1000000,"")</f>
        <v/>
      </c>
      <c r="HG323" s="56">
        <f>IFERROR((SUMIFS(tblSafety[LTI],tblSafety[Date],"&gt;="&amp;EDATE($E323,-12),tblSafety[Date],"&lt;="&amp;$A323)+SUMIFS(tblSafetyHistory[LTI],tblSafetyHistory[Month],"&gt;="&amp;EDATE($E323,-12),tblSafetyHistory[Month],"&lt;"&amp;cfg_YearStart))/(SUMIFS(tblSafety[Hours_Total],tblSafety[Date],"&gt;="&amp;EDATE($E323,-12),tblSafety[Date],"&lt;="&amp;$A323)+SUMIFS(tblSafetyHistory[Hours_Total],tblSafetyHistory[Month],"&gt;="&amp;EDATE($E323,-12),tblSafetyHistory[Month],"&lt;"&amp;cfg_YearStart))*1000000,"")</f>
        <v/>
      </c>
      <c r="HH323" s="62">
        <f>IF(MAX(N(cfg_PriorLTIDate),_xlfn.MAXIFS(tblSafety[Date],tblSafety[LTI],"&gt;0",tblSafety[Date],"&lt;="&amp;$A323))=0,"",$A323-MAX(N(cfg_PriorLTIDate),_xlfn.MAXIFS(tblSafety[Date],tblSafety[LTI],"&gt;0",tblSafety[Date],"&lt;="&amp;$A323)))</f>
        <v/>
      </c>
      <c r="HI323" s="55">
        <f>SUMIFS(tblBudget[Ore_Mined_t],tblBudget[Month],$E323)</f>
        <v/>
      </c>
      <c r="HJ323" s="55">
        <f>$HI323*$C323/$D323</f>
        <v/>
      </c>
      <c r="HK323" s="55">
        <f>SUMIFS(tblBudget[Ore_Mined_t],tblBudget[Month],"&lt;"&amp;$E323)+$HJ323</f>
        <v/>
      </c>
      <c r="HL323" s="55">
        <f>SUMIFS(tblBudget[Ore_oz],tblBudget[Month],$E323)</f>
        <v/>
      </c>
      <c r="HM323" s="55">
        <f>$HL323*$C323/$D323</f>
        <v/>
      </c>
      <c r="HN323" s="55">
        <f>SUMIFS(tblBudget[Ore_oz],tblBudget[Month],"&lt;"&amp;$E323)+$HM323</f>
        <v/>
      </c>
      <c r="HO323" s="56">
        <f>IFERROR(IF(($HI323)&gt;0,($HL323*cfg_TroyOz)/($HI323),""),"")</f>
        <v/>
      </c>
      <c r="HP323" s="56">
        <f>IFERROR(IF(($HJ323)&gt;0,($HM323*cfg_TroyOz)/($HJ323),""),"")</f>
        <v/>
      </c>
      <c r="HQ323" s="56">
        <f>IFERROR(IF(($HK323)&gt;0,($HN323*cfg_TroyOz)/($HK323),""),"")</f>
        <v/>
      </c>
      <c r="HR323" s="55">
        <f>SUMIFS(tblBudget[Waste_t],tblBudget[Month],$E323)</f>
        <v/>
      </c>
      <c r="HS323" s="55">
        <f>$HR323*$C323/$D323</f>
        <v/>
      </c>
      <c r="HT323" s="55">
        <f>SUMIFS(tblBudget[Waste_t],tblBudget[Month],"&lt;"&amp;$E323)+$HS323</f>
        <v/>
      </c>
      <c r="HU323" s="55">
        <f>SUMIFS(tblBudget[TMM_t],tblBudget[Month],$E323)</f>
        <v/>
      </c>
      <c r="HV323" s="55">
        <f>$HU323*$C323/$D323</f>
        <v/>
      </c>
      <c r="HW323" s="55">
        <f>SUMIFS(tblBudget[TMM_t],tblBudget[Month],"&lt;"&amp;$E323)+$HV323</f>
        <v/>
      </c>
      <c r="HX323" s="56">
        <f>IFERROR(IF(($HI323)&gt;0,($HR323)/($HI323),""),"")</f>
        <v/>
      </c>
      <c r="HY323" s="56">
        <f>IFERROR(IF(($HJ323)&gt;0,($HS323)/($HJ323),""),"")</f>
        <v/>
      </c>
      <c r="HZ323" s="56">
        <f>IFERROR(IF(($HK323)&gt;0,($HT323)/($HK323),""),"")</f>
        <v/>
      </c>
      <c r="IA323" s="55">
        <f>SUMIFS(tblBudget[Drill_m],tblBudget[Month],$E323)</f>
        <v/>
      </c>
      <c r="IB323" s="55">
        <f>$IA323*$C323/$D323</f>
        <v/>
      </c>
      <c r="IC323" s="55">
        <f>SUMIFS(tblBudget[Drill_m],tblBudget[Month],"&lt;"&amp;$E323)+$IB323</f>
        <v/>
      </c>
      <c r="ID323" s="55">
        <f>SUMIFS(tblBudget[Diesel_L],tblBudget[Month],$E323)</f>
        <v/>
      </c>
      <c r="IE323" s="55">
        <f>$ID323*$C323/$D323</f>
        <v/>
      </c>
      <c r="IF323" s="55">
        <f>SUMIFS(tblBudget[Diesel_L],tblBudget[Month],"&lt;"&amp;$E323)+$IE323</f>
        <v/>
      </c>
      <c r="IG323" s="55">
        <f>SUMIFS(tblBudget[Milled_t],tblBudget[Month],$E323)</f>
        <v/>
      </c>
      <c r="IH323" s="55">
        <f>$IG323*$C323/$D323</f>
        <v/>
      </c>
      <c r="II323" s="55">
        <f>SUMIFS(tblBudget[Milled_t],tblBudget[Month],"&lt;"&amp;$E323)+$IH323</f>
        <v/>
      </c>
      <c r="IJ323" s="55">
        <f>SUMIFS(tblBudget[Feed_oz],tblBudget[Month],$E323)</f>
        <v/>
      </c>
      <c r="IK323" s="55">
        <f>$IJ323*$C323/$D323</f>
        <v/>
      </c>
      <c r="IL323" s="55">
        <f>SUMIFS(tblBudget[Feed_oz],tblBudget[Month],"&lt;"&amp;$E323)+$IK323</f>
        <v/>
      </c>
      <c r="IM323" s="55">
        <f>SUMIFS(tblBudget[Recovered_oz],tblBudget[Month],$E323)</f>
        <v/>
      </c>
      <c r="IN323" s="55">
        <f>$IM323*$C323/$D323</f>
        <v/>
      </c>
      <c r="IO323" s="55">
        <f>SUMIFS(tblBudget[Recovered_oz],tblBudget[Month],"&lt;"&amp;$E323)+$IN323</f>
        <v/>
      </c>
      <c r="IP323" s="56">
        <f>IFERROR(IF(($IG323)&gt;0,($IJ323*cfg_TroyOz)/($IG323),""),"")</f>
        <v/>
      </c>
      <c r="IQ323" s="56">
        <f>IFERROR(IF(($IH323)&gt;0,($IK323*cfg_TroyOz)/($IH323),""),"")</f>
        <v/>
      </c>
      <c r="IR323" s="56">
        <f>IFERROR(IF(($II323)&gt;0,($IL323*cfg_TroyOz)/($II323),""),"")</f>
        <v/>
      </c>
      <c r="IS323" s="67">
        <f>IFERROR(IF(($IJ323)&gt;0,($IM323)/($IJ323),""),"")</f>
        <v/>
      </c>
      <c r="IT323" s="67">
        <f>IFERROR(IF(($IK323)&gt;0,($IN323)/($IK323),""),"")</f>
        <v/>
      </c>
      <c r="IU323" s="67">
        <f>IFERROR(IF(($IL323)&gt;0,($IO323)/($IL323),""),"")</f>
        <v/>
      </c>
      <c r="IV323" s="55">
        <f>SUMIFS(tblBudget[Gold_Poured_oz],tblBudget[Month],$E323)</f>
        <v/>
      </c>
      <c r="IW323" s="55">
        <f>$IV323*$C323/$D323</f>
        <v/>
      </c>
      <c r="IX323" s="55">
        <f>SUMIFS(tblBudget[Gold_Poured_oz],tblBudget[Month],"&lt;"&amp;$E323)+$IW323</f>
        <v/>
      </c>
      <c r="IY323" s="57">
        <f>SUMIFS(tblBudget[Hours_Worked],tblBudget[Month],$E323)</f>
        <v/>
      </c>
      <c r="IZ323" s="57">
        <f>$IY323*$C323/$D323</f>
        <v/>
      </c>
      <c r="JA323" s="57">
        <f>SUMIFS(tblBudget[Hours_Worked],tblBudget[Month],"&lt;"&amp;$E323)+$IZ323</f>
        <v/>
      </c>
    </row>
    <row r="324">
      <c r="A324" s="54" t="n">
        <v>46345</v>
      </c>
      <c r="B324">
        <f>MONTH($A324)</f>
        <v/>
      </c>
      <c r="C324">
        <f>DAY($A324)</f>
        <v/>
      </c>
      <c r="D324">
        <f>DAY(EOMONTH($A324,0))</f>
        <v/>
      </c>
      <c r="E324" s="54">
        <f>DATE(YEAR($A324),MONTH($A324),1)</f>
        <v/>
      </c>
      <c r="F324" s="55">
        <f>SUMIFS(tblMovement[Tonnes_t],tblMovement[Date],$A324,tblMovement[Is_Ore],1,tblMovement[Source_Type],"Pit")</f>
        <v/>
      </c>
      <c r="G324" s="55">
        <f>IF($B324=$B323,$G323,0)+$F324</f>
        <v/>
      </c>
      <c r="H324" s="55">
        <f>$H323+$F324</f>
        <v/>
      </c>
      <c r="I324" s="55">
        <f>SUMIFS(tblMovement[Ore_oz],tblMovement[Date],$A324,tblMovement[Source_Type],"Pit")</f>
        <v/>
      </c>
      <c r="J324" s="55">
        <f>IF($B324=$B323,$J323,0)+$I324</f>
        <v/>
      </c>
      <c r="K324" s="55">
        <f>$K323+$I324</f>
        <v/>
      </c>
      <c r="L324" s="56">
        <f>IFERROR(IF(($F324)&gt;0,($I324*cfg_TroyOz)/($F324),""),"")</f>
        <v/>
      </c>
      <c r="M324" s="56">
        <f>IFERROR(IF(($G324)&gt;0,($J324*cfg_TroyOz)/($G324),""),"")</f>
        <v/>
      </c>
      <c r="N324" s="56">
        <f>IFERROR(IF(($H324)&gt;0,($K324*cfg_TroyOz)/($H324),""),"")</f>
        <v/>
      </c>
      <c r="O324" s="55">
        <f>SUMIFS(tblMovement[Tonnes_t],tblMovement[Date],$A324,tblMovement[Is_Ore],0,tblMovement[Source_Type],"Pit")</f>
        <v/>
      </c>
      <c r="P324" s="55">
        <f>IF($B324=$B323,$P323,0)+$O324</f>
        <v/>
      </c>
      <c r="Q324" s="55">
        <f>$Q323+$O324</f>
        <v/>
      </c>
      <c r="R324" s="55">
        <f>$F324+$O324</f>
        <v/>
      </c>
      <c r="S324" s="55">
        <f>IF($B324=$B323,$S323,0)+$R324</f>
        <v/>
      </c>
      <c r="T324" s="55">
        <f>$T323+$R324</f>
        <v/>
      </c>
      <c r="U324" s="56">
        <f>IFERROR(IF(($F324)&gt;0,($O324)/($F324),""),"")</f>
        <v/>
      </c>
      <c r="V324" s="56">
        <f>IFERROR(IF(($G324)&gt;0,($P324)/($G324),""),"")</f>
        <v/>
      </c>
      <c r="W324" s="56">
        <f>IFERROR(IF(($H324)&gt;0,($Q324)/($H324),""),"")</f>
        <v/>
      </c>
      <c r="X324" s="55">
        <f>SUMIFS(tblMovement[Tonnes_t],tblMovement[Date],$A324,tblMovement[Source_Type],"Stockpile")</f>
        <v/>
      </c>
      <c r="Y324" s="55">
        <f>IF($B324=$B323,$Y323,0)+$X324</f>
        <v/>
      </c>
      <c r="Z324" s="55">
        <f>$Z323+$X324</f>
        <v/>
      </c>
      <c r="AA324" s="55">
        <f>SUMIFS(tblMiningDaily[Drill_m],tblMiningDaily[Date],$A324)</f>
        <v/>
      </c>
      <c r="AB324" s="55">
        <f>IF($B324=$B323,$AB323,0)+$AA324</f>
        <v/>
      </c>
      <c r="AC324" s="55">
        <f>$AC323+$AA324</f>
        <v/>
      </c>
      <c r="AD324" s="55">
        <f>SUMIFS(tblMiningDaily[Blast_t],tblMiningDaily[Date],$A324)</f>
        <v/>
      </c>
      <c r="AE324" s="55">
        <f>IF($B324=$B323,$AE323,0)+$AD324</f>
        <v/>
      </c>
      <c r="AF324" s="55">
        <f>$AF323+$AD324</f>
        <v/>
      </c>
      <c r="AG324" s="55">
        <f>SUMIFS(tblMiningDaily[Explosives_kg],tblMiningDaily[Date],$A324)</f>
        <v/>
      </c>
      <c r="AH324" s="55">
        <f>IF($B324=$B323,$AH323,0)+$AG324</f>
        <v/>
      </c>
      <c r="AI324" s="55">
        <f>$AI323+$AG324</f>
        <v/>
      </c>
      <c r="AJ324" s="56">
        <f>IFERROR(IF(($AD324)&gt;0,($AG324)/($AD324),""),"")</f>
        <v/>
      </c>
      <c r="AK324" s="56">
        <f>IFERROR(IF(($AE324)&gt;0,($AH324)/($AE324),""),"")</f>
        <v/>
      </c>
      <c r="AL324" s="56">
        <f>IFERROR(IF(($AF324)&gt;0,($AI324)/($AF324),""),"")</f>
        <v/>
      </c>
      <c r="AM324" s="55">
        <f>SUMIFS(tblMiningDaily[Diesel_L],tblMiningDaily[Date],$A324)</f>
        <v/>
      </c>
      <c r="AN324" s="55">
        <f>IF($B324=$B323,$AN323,0)+$AM324</f>
        <v/>
      </c>
      <c r="AO324" s="55">
        <f>$AO323+$AM324</f>
        <v/>
      </c>
      <c r="AP324" s="55">
        <f>SUMIFS(tblMiningDaily[Dewatering_m3],tblMiningDaily[Date],$A324)</f>
        <v/>
      </c>
      <c r="AQ324" s="55">
        <f>IF($B324=$B323,$AQ323,0)+$AP324</f>
        <v/>
      </c>
      <c r="AR324" s="55">
        <f>$AR323+$AP324</f>
        <v/>
      </c>
      <c r="AS324" s="57">
        <f>SUMIFS(tblFleet[Calendar_h],tblFleet[Date],$A324,tblFleet[Equipment_Class],"Excavator")</f>
        <v/>
      </c>
      <c r="AT324" s="57">
        <f>IF($B324=$B323,$AT323,0)+$AS324</f>
        <v/>
      </c>
      <c r="AU324" s="57">
        <f>$AU323+$AS324</f>
        <v/>
      </c>
      <c r="AV324" s="57">
        <f>SUMIFS(tblFleet[Available_h],tblFleet[Date],$A324,tblFleet[Equipment_Class],"Excavator")</f>
        <v/>
      </c>
      <c r="AW324" s="57">
        <f>IF($B324=$B323,$AW323,0)+$AV324</f>
        <v/>
      </c>
      <c r="AX324" s="57">
        <f>$AX323+$AV324</f>
        <v/>
      </c>
      <c r="AY324" s="57">
        <f>SUMIFS(tblFleet[Operating_h],tblFleet[Date],$A324,tblFleet[Equipment_Class],"Excavator")</f>
        <v/>
      </c>
      <c r="AZ324" s="57">
        <f>IF($B324=$B323,$AZ323,0)+$AY324</f>
        <v/>
      </c>
      <c r="BA324" s="57">
        <f>$BA323+$AY324</f>
        <v/>
      </c>
      <c r="BB324" s="67">
        <f>IFERROR(IF(($AS324)&gt;0,($AV324)/($AS324),""),"")</f>
        <v/>
      </c>
      <c r="BC324" s="67">
        <f>IFERROR(IF(($AT324)&gt;0,($AW324)/($AT324),""),"")</f>
        <v/>
      </c>
      <c r="BD324" s="67">
        <f>IFERROR(IF(($AU324)&gt;0,($AX324)/($AU324),""),"")</f>
        <v/>
      </c>
      <c r="BE324" s="67">
        <f>IFERROR(IF(($AV324)&gt;0,($AY324)/($AV324),""),"")</f>
        <v/>
      </c>
      <c r="BF324" s="67">
        <f>IFERROR(IF(($AW324)&gt;0,($AZ324)/($AW324),""),"")</f>
        <v/>
      </c>
      <c r="BG324" s="67">
        <f>IFERROR(IF(($AX324)&gt;0,($BA324)/($AX324),""),"")</f>
        <v/>
      </c>
      <c r="BH324" s="57">
        <f>SUMIFS(tblFleet[Calendar_h],tblFleet[Date],$A324,tblFleet[Equipment_Class],"Haul Truck")</f>
        <v/>
      </c>
      <c r="BI324" s="57">
        <f>IF($B324=$B323,$BI323,0)+$BH324</f>
        <v/>
      </c>
      <c r="BJ324" s="57">
        <f>$BJ323+$BH324</f>
        <v/>
      </c>
      <c r="BK324" s="57">
        <f>SUMIFS(tblFleet[Available_h],tblFleet[Date],$A324,tblFleet[Equipment_Class],"Haul Truck")</f>
        <v/>
      </c>
      <c r="BL324" s="57">
        <f>IF($B324=$B323,$BL323,0)+$BK324</f>
        <v/>
      </c>
      <c r="BM324" s="57">
        <f>$BM323+$BK324</f>
        <v/>
      </c>
      <c r="BN324" s="57">
        <f>SUMIFS(tblFleet[Operating_h],tblFleet[Date],$A324,tblFleet[Equipment_Class],"Haul Truck")</f>
        <v/>
      </c>
      <c r="BO324" s="57">
        <f>IF($B324=$B323,$BO323,0)+$BN324</f>
        <v/>
      </c>
      <c r="BP324" s="57">
        <f>$BP323+$BN324</f>
        <v/>
      </c>
      <c r="BQ324" s="67">
        <f>IFERROR(IF(($BH324)&gt;0,($BK324)/($BH324),""),"")</f>
        <v/>
      </c>
      <c r="BR324" s="67">
        <f>IFERROR(IF(($BI324)&gt;0,($BL324)/($BI324),""),"")</f>
        <v/>
      </c>
      <c r="BS324" s="67">
        <f>IFERROR(IF(($BJ324)&gt;0,($BM324)/($BJ324),""),"")</f>
        <v/>
      </c>
      <c r="BT324" s="67">
        <f>IFERROR(IF(($BK324)&gt;0,($BN324)/($BK324),""),"")</f>
        <v/>
      </c>
      <c r="BU324" s="67">
        <f>IFERROR(IF(($BL324)&gt;0,($BO324)/($BL324),""),"")</f>
        <v/>
      </c>
      <c r="BV324" s="67">
        <f>IFERROR(IF(($BM324)&gt;0,($BP324)/($BM324),""),"")</f>
        <v/>
      </c>
      <c r="BW324" s="55">
        <f>SUMIFS(tblPlant[Crushed_t],tblPlant[Date],$A324)</f>
        <v/>
      </c>
      <c r="BX324" s="55">
        <f>IF($B324=$B323,$BX323,0)+$BW324</f>
        <v/>
      </c>
      <c r="BY324" s="55">
        <f>$BY323+$BW324</f>
        <v/>
      </c>
      <c r="BZ324" s="55">
        <f>SUMIFS(tblPlant[Milled_t],tblPlant[Date],$A324)</f>
        <v/>
      </c>
      <c r="CA324" s="55">
        <f>IF($B324=$B323,$CA323,0)+$BZ324</f>
        <v/>
      </c>
      <c r="CB324" s="55">
        <f>$CB323+$BZ324</f>
        <v/>
      </c>
      <c r="CC324" s="55">
        <f>SUMIFS(tblPlant[Feed_oz],tblPlant[Date],$A324)</f>
        <v/>
      </c>
      <c r="CD324" s="55">
        <f>IF($B324=$B323,$CD323,0)+$CC324</f>
        <v/>
      </c>
      <c r="CE324" s="55">
        <f>$CE323+$CC324</f>
        <v/>
      </c>
      <c r="CF324" s="55">
        <f>SUMIFS(tblPlant[Tails_oz],tblPlant[Date],$A324)</f>
        <v/>
      </c>
      <c r="CG324" s="55">
        <f>IF($B324=$B323,$CG323,0)+$CF324</f>
        <v/>
      </c>
      <c r="CH324" s="55">
        <f>$CH323+$CF324</f>
        <v/>
      </c>
      <c r="CI324" s="55">
        <f>SUMIFS(tblPlant[Recovered_oz],tblPlant[Date],$A324)</f>
        <v/>
      </c>
      <c r="CJ324" s="55">
        <f>IF($B324=$B323,$CJ323,0)+$CI324</f>
        <v/>
      </c>
      <c r="CK324" s="55">
        <f>$CK323+$CI324</f>
        <v/>
      </c>
      <c r="CL324" s="56">
        <f>IFERROR(IF(($BZ324)&gt;0,($CC324*cfg_TroyOz)/($BZ324),""),"")</f>
        <v/>
      </c>
      <c r="CM324" s="56">
        <f>IFERROR(IF(($CA324)&gt;0,($CD324*cfg_TroyOz)/($CA324),""),"")</f>
        <v/>
      </c>
      <c r="CN324" s="56">
        <f>IFERROR(IF(($CB324)&gt;0,($CE324*cfg_TroyOz)/($CB324),""),"")</f>
        <v/>
      </c>
      <c r="CO324" s="56">
        <f>IFERROR(IF(($BZ324)&gt;0,($CF324*cfg_TroyOz)/($BZ324),""),"")</f>
        <v/>
      </c>
      <c r="CP324" s="56">
        <f>IFERROR(IF(($CA324)&gt;0,($CG324*cfg_TroyOz)/($CA324),""),"")</f>
        <v/>
      </c>
      <c r="CQ324" s="56">
        <f>IFERROR(IF(($CB324)&gt;0,($CH324*cfg_TroyOz)/($CB324),""),"")</f>
        <v/>
      </c>
      <c r="CR324" s="67">
        <f>IFERROR(IF(($CC324)&gt;0,($CI324)/($CC324),""),"")</f>
        <v/>
      </c>
      <c r="CS324" s="67">
        <f>IFERROR(IF(($CD324)&gt;0,($CJ324)/($CD324),""),"")</f>
        <v/>
      </c>
      <c r="CT324" s="67">
        <f>IFERROR(IF(($CE324)&gt;0,($CK324)/($CE324),""),"")</f>
        <v/>
      </c>
      <c r="CU324" s="55">
        <f>SUMIFS(tblPlant[Gravity_Gold_oz],tblPlant[Date],$A324)</f>
        <v/>
      </c>
      <c r="CV324" s="55">
        <f>IF($B324=$B323,$CV323,0)+$CU324</f>
        <v/>
      </c>
      <c r="CW324" s="55">
        <f>$CW323+$CU324</f>
        <v/>
      </c>
      <c r="CX324" s="55">
        <f>SUMIFS(tblPlant[Gold_Poured_oz],tblPlant[Date],$A324)</f>
        <v/>
      </c>
      <c r="CY324" s="55">
        <f>IF($B324=$B323,$CY323,0)+$CX324</f>
        <v/>
      </c>
      <c r="CZ324" s="55">
        <f>$CZ323+$CX324</f>
        <v/>
      </c>
      <c r="DA324" s="57">
        <f>SUMIFS(tblPlant[Mill_Run_h],tblPlant[Date],$A324)</f>
        <v/>
      </c>
      <c r="DB324" s="57">
        <f>IF($B324=$B323,$DB323,0)+$DA324</f>
        <v/>
      </c>
      <c r="DC324" s="57">
        <f>$DC323+$DA324</f>
        <v/>
      </c>
      <c r="DD324" s="57">
        <f>SUMIFS(tblPlant[Mill_Planned_Maint_h],tblPlant[Date],$A324)</f>
        <v/>
      </c>
      <c r="DE324" s="57">
        <f>IF($B324=$B323,$DE323,0)+$DD324</f>
        <v/>
      </c>
      <c r="DF324" s="57">
        <f>$DF323+$DD324</f>
        <v/>
      </c>
      <c r="DG324" s="57">
        <f>SUMIFS(tblPlant[Mill_Unplanned_Down_h],tblPlant[Date],$A324)</f>
        <v/>
      </c>
      <c r="DH324" s="57">
        <f>IF($B324=$B323,$DH323,0)+$DG324</f>
        <v/>
      </c>
      <c r="DI324" s="57">
        <f>$DI323+$DG324</f>
        <v/>
      </c>
      <c r="DJ324" s="57">
        <f>COUNTIFS(tblPlant[Date],$A324,tblPlant[Mill_Run_h],"&lt;&gt;")*24</f>
        <v/>
      </c>
      <c r="DK324" s="57">
        <f>IF($B324=$B323,$DK323,0)+$DJ324</f>
        <v/>
      </c>
      <c r="DL324" s="57">
        <f>$DL323+$DJ324</f>
        <v/>
      </c>
      <c r="DM324" s="57">
        <f>SUMIFS(tblPlant[Crusher_Run_h],tblPlant[Date],$A324)</f>
        <v/>
      </c>
      <c r="DN324" s="57">
        <f>IF($B324=$B323,$DN323,0)+$DM324</f>
        <v/>
      </c>
      <c r="DO324" s="57">
        <f>$DO323+$DM324</f>
        <v/>
      </c>
      <c r="DP324" s="55">
        <f>IFERROR(IF(($DA324)&gt;0,($BZ324)/($DA324),""),"")</f>
        <v/>
      </c>
      <c r="DQ324" s="55">
        <f>IFERROR(IF(($DB324)&gt;0,($CA324)/($DB324),""),"")</f>
        <v/>
      </c>
      <c r="DR324" s="55">
        <f>IFERROR(IF(($DC324)&gt;0,($CB324)/($DC324),""),"")</f>
        <v/>
      </c>
      <c r="DS324" s="67">
        <f>IFERROR(IF(($DJ324)&gt;0,($DJ324-$DD324-$DG324)/($DJ324),""),"")</f>
        <v/>
      </c>
      <c r="DT324" s="67">
        <f>IFERROR(IF(($DK324)&gt;0,($DK324-$DE324-$DH324)/($DK324),""),"")</f>
        <v/>
      </c>
      <c r="DU324" s="67">
        <f>IFERROR(IF(($DL324)&gt;0,($DL324-$DF324-$DI324)/($DL324),""),"")</f>
        <v/>
      </c>
      <c r="DV324" s="67">
        <f>IFERROR(IF(($DJ324-$DD324-$DG324)&gt;0,($DA324)/($DJ324-$DD324-$DG324),""),"")</f>
        <v/>
      </c>
      <c r="DW324" s="67">
        <f>IFERROR(IF(($DK324-$DE324-$DH324)&gt;0,($DB324)/($DK324-$DE324-$DH324),""),"")</f>
        <v/>
      </c>
      <c r="DX324" s="67">
        <f>IFERROR(IF(($DL324-$DF324-$DI324)&gt;0,($DC324)/($DL324-$DF324-$DI324),""),"")</f>
        <v/>
      </c>
      <c r="DY324" s="55">
        <f>SUMIFS(tblPlant[Cyanide_kg],tblPlant[Date],$A324)</f>
        <v/>
      </c>
      <c r="DZ324" s="55">
        <f>IF($B324=$B323,$DZ323,0)+$DY324</f>
        <v/>
      </c>
      <c r="EA324" s="55">
        <f>$EA323+$DY324</f>
        <v/>
      </c>
      <c r="EB324" s="55">
        <f>SUMIFS(tblPlant[Lime_kg],tblPlant[Date],$A324)</f>
        <v/>
      </c>
      <c r="EC324" s="55">
        <f>IF($B324=$B323,$EC323,0)+$EB324</f>
        <v/>
      </c>
      <c r="ED324" s="55">
        <f>$ED323+$EB324</f>
        <v/>
      </c>
      <c r="EE324" s="55">
        <f>SUMIFS(tblPlant[Grinding_Media_kg],tblPlant[Date],$A324)</f>
        <v/>
      </c>
      <c r="EF324" s="55">
        <f>IF($B324=$B323,$EF323,0)+$EE324</f>
        <v/>
      </c>
      <c r="EG324" s="55">
        <f>$EG323+$EE324</f>
        <v/>
      </c>
      <c r="EH324" s="55">
        <f>SUMIFS(tblPlant[Power_kWh],tblPlant[Date],$A324)</f>
        <v/>
      </c>
      <c r="EI324" s="55">
        <f>IF($B324=$B323,$EI323,0)+$EH324</f>
        <v/>
      </c>
      <c r="EJ324" s="55">
        <f>$EJ323+$EH324</f>
        <v/>
      </c>
      <c r="EK324" s="55">
        <f>SUMIFS(tblPlant[Raw_Water_m3],tblPlant[Date],$A324)</f>
        <v/>
      </c>
      <c r="EL324" s="55">
        <f>IF($B324=$B323,$EL323,0)+$EK324</f>
        <v/>
      </c>
      <c r="EM324" s="55">
        <f>$EM323+$EK324</f>
        <v/>
      </c>
      <c r="EN324" s="56">
        <f>IFERROR(IF(($BZ324)&gt;0,($DY324)/($BZ324),""),"")</f>
        <v/>
      </c>
      <c r="EO324" s="56">
        <f>IFERROR(IF(($CA324)&gt;0,($DZ324)/($CA324),""),"")</f>
        <v/>
      </c>
      <c r="EP324" s="56">
        <f>IFERROR(IF(($CB324)&gt;0,($EA324)/($CB324),""),"")</f>
        <v/>
      </c>
      <c r="EQ324" s="56">
        <f>IFERROR(IF(($BZ324)&gt;0,($EB324)/($BZ324),""),"")</f>
        <v/>
      </c>
      <c r="ER324" s="56">
        <f>IFERROR(IF(($CA324)&gt;0,($EC324)/($CA324),""),"")</f>
        <v/>
      </c>
      <c r="ES324" s="56">
        <f>IFERROR(IF(($CB324)&gt;0,($ED324)/($CB324),""),"")</f>
        <v/>
      </c>
      <c r="ET324" s="56">
        <f>IFERROR(IF(($BZ324)&gt;0,($EE324)/($BZ324),""),"")</f>
        <v/>
      </c>
      <c r="EU324" s="56">
        <f>IFERROR(IF(($CA324)&gt;0,($EF324)/($CA324),""),"")</f>
        <v/>
      </c>
      <c r="EV324" s="56">
        <f>IFERROR(IF(($CB324)&gt;0,($EG324)/($CB324),""),"")</f>
        <v/>
      </c>
      <c r="EW324" s="76">
        <f>IFERROR(IF(($BZ324)&gt;0,($EH324)/($BZ324),""),"")</f>
        <v/>
      </c>
      <c r="EX324" s="76">
        <f>IFERROR(IF(($CA324)&gt;0,($EI324)/($CA324),""),"")</f>
        <v/>
      </c>
      <c r="EY324" s="76">
        <f>IFERROR(IF(($CB324)&gt;0,($EJ324)/($CB324),""),"")</f>
        <v/>
      </c>
      <c r="EZ324" s="56">
        <f>IFERROR(IF(($BZ324)&gt;0,($EK324)/($BZ324),""),"")</f>
        <v/>
      </c>
      <c r="FA324" s="56">
        <f>IFERROR(IF(($CA324)&gt;0,($EL324)/($CA324),""),"")</f>
        <v/>
      </c>
      <c r="FB324" s="56">
        <f>IFERROR(IF(($CB324)&gt;0,($EM324)/($CB324),""),"")</f>
        <v/>
      </c>
      <c r="FC324" s="55">
        <f>IF(SUMIFS(tblPlant[GIC_oz],tblPlant[Date],$A324)&gt;0,SUMIFS(tblPlant[GIC_oz],tblPlant[Date],$A324),"")</f>
        <v/>
      </c>
      <c r="FD324" s="55">
        <f>SUMIFS(tblGold[Gold_oz],tblGold[Date],$A324,tblGold[Type],"Shipment")</f>
        <v/>
      </c>
      <c r="FE324" s="55">
        <f>IF($B324=$B323,$FE323,0)+$FD324</f>
        <v/>
      </c>
      <c r="FF324" s="55">
        <f>$FF323+$FD324</f>
        <v/>
      </c>
      <c r="FG324" s="55">
        <f>SUMIFS(tblGold[Gold_oz],tblGold[Date],$A324,tblGold[Type],"Sale")</f>
        <v/>
      </c>
      <c r="FH324" s="55">
        <f>IF($B324=$B323,$FH323,0)+$FG324</f>
        <v/>
      </c>
      <c r="FI324" s="55">
        <f>$FI323+$FG324</f>
        <v/>
      </c>
      <c r="FJ324" s="55">
        <f>SUMIFS(tblGold[Dore_kg],tblGold[Date],$A324,tblGold[Type],"Shipment")</f>
        <v/>
      </c>
      <c r="FK324" s="55">
        <f>IF($B324=$B323,$FK323,0)+$FJ324</f>
        <v/>
      </c>
      <c r="FL324" s="55">
        <f>$FL323+$FJ324</f>
        <v/>
      </c>
      <c r="FM324" s="57">
        <f>SUMIFS(tblSafety[Hours_Total],tblSafety[Date],$A324)</f>
        <v/>
      </c>
      <c r="FN324" s="57">
        <f>IF($B324=$B323,$FN323,0)+$FM324</f>
        <v/>
      </c>
      <c r="FO324" s="57">
        <f>$FO323+$FM324</f>
        <v/>
      </c>
      <c r="FP324" s="62">
        <f>SUMIFS(tblSafety[Fatality],tblSafety[Date],$A324)</f>
        <v/>
      </c>
      <c r="FQ324" s="62">
        <f>IF($B324=$B323,$FQ323,0)+$FP324</f>
        <v/>
      </c>
      <c r="FR324" s="62">
        <f>$FR323+$FP324</f>
        <v/>
      </c>
      <c r="FS324" s="62">
        <f>SUMIFS(tblSafety[LTI],tblSafety[Date],$A324)</f>
        <v/>
      </c>
      <c r="FT324" s="62">
        <f>IF($B324=$B323,$FT323,0)+$FS324</f>
        <v/>
      </c>
      <c r="FU324" s="62">
        <f>$FU323+$FS324</f>
        <v/>
      </c>
      <c r="FV324" s="62">
        <f>SUMIFS(tblSafety[RWI],tblSafety[Date],$A324)</f>
        <v/>
      </c>
      <c r="FW324" s="62">
        <f>IF($B324=$B323,$FW323,0)+$FV324</f>
        <v/>
      </c>
      <c r="FX324" s="62">
        <f>$FX323+$FV324</f>
        <v/>
      </c>
      <c r="FY324" s="62">
        <f>SUMIFS(tblSafety[MTI],tblSafety[Date],$A324)</f>
        <v/>
      </c>
      <c r="FZ324" s="62">
        <f>IF($B324=$B323,$FZ323,0)+$FY324</f>
        <v/>
      </c>
      <c r="GA324" s="62">
        <f>$GA323+$FY324</f>
        <v/>
      </c>
      <c r="GB324" s="62">
        <f>SUMIFS(tblSafety[FAI],tblSafety[Date],$A324)</f>
        <v/>
      </c>
      <c r="GC324" s="62">
        <f>IF($B324=$B323,$GC323,0)+$GB324</f>
        <v/>
      </c>
      <c r="GD324" s="62">
        <f>$GD323+$GB324</f>
        <v/>
      </c>
      <c r="GE324" s="62">
        <f>SUMIFS(tblSafety[Recordables],tblSafety[Date],$A324)</f>
        <v/>
      </c>
      <c r="GF324" s="62">
        <f>IF($B324=$B323,$GF323,0)+$GE324</f>
        <v/>
      </c>
      <c r="GG324" s="62">
        <f>$GG323+$GE324</f>
        <v/>
      </c>
      <c r="GH324" s="62">
        <f>SUMIFS(tblSafety[Near_Miss],tblSafety[Date],$A324)</f>
        <v/>
      </c>
      <c r="GI324" s="62">
        <f>IF($B324=$B323,$GI323,0)+$GH324</f>
        <v/>
      </c>
      <c r="GJ324" s="62">
        <f>$GJ323+$GH324</f>
        <v/>
      </c>
      <c r="GK324" s="62">
        <f>SUMIFS(tblSafety[Hazard_Reports],tblSafety[Date],$A324)</f>
        <v/>
      </c>
      <c r="GL324" s="62">
        <f>IF($B324=$B323,$GL323,0)+$GK324</f>
        <v/>
      </c>
      <c r="GM324" s="62">
        <f>$GM323+$GK324</f>
        <v/>
      </c>
      <c r="GN324" s="62">
        <f>SUMIFS(tblSafety[HPI],tblSafety[Date],$A324)</f>
        <v/>
      </c>
      <c r="GO324" s="62">
        <f>IF($B324=$B323,$GO323,0)+$GN324</f>
        <v/>
      </c>
      <c r="GP324" s="62">
        <f>$GP323+$GN324</f>
        <v/>
      </c>
      <c r="GQ324" s="62">
        <f>SUMIFS(tblSafety[Env_Incidents],tblSafety[Date],$A324)</f>
        <v/>
      </c>
      <c r="GR324" s="62">
        <f>IF($B324=$B323,$GR323,0)+$GQ324</f>
        <v/>
      </c>
      <c r="GS324" s="62">
        <f>$GS323+$GQ324</f>
        <v/>
      </c>
      <c r="GT324" s="62">
        <f>SUMIFS(tblSafety[Community_Incidents],tblSafety[Date],$A324)</f>
        <v/>
      </c>
      <c r="GU324" s="62">
        <f>IF($B324=$B323,$GU323,0)+$GT324</f>
        <v/>
      </c>
      <c r="GV324" s="62">
        <f>$GV323+$GT324</f>
        <v/>
      </c>
      <c r="GW324" s="62">
        <f>SUMIFS(tblSafety[Vehicle_Incidents],tblSafety[Date],$A324)</f>
        <v/>
      </c>
      <c r="GX324" s="62">
        <f>IF($B324=$B323,$GX323,0)+$GW324</f>
        <v/>
      </c>
      <c r="GY324" s="62">
        <f>$GY323+$GW324</f>
        <v/>
      </c>
      <c r="GZ324" s="62">
        <f>SUMIFS(tblSafety[Toolbox_Talks],tblSafety[Date],$A324)</f>
        <v/>
      </c>
      <c r="HA324" s="62">
        <f>IF($B324=$B323,$HA323,0)+$GZ324</f>
        <v/>
      </c>
      <c r="HB324" s="62">
        <f>$HB323+$GZ324</f>
        <v/>
      </c>
      <c r="HC324" s="62">
        <f>SUMIFS(tblSafety[Inspections],tblSafety[Date],$A324)</f>
        <v/>
      </c>
      <c r="HD324" s="62">
        <f>IF($B324=$B323,$HD323,0)+$HC324</f>
        <v/>
      </c>
      <c r="HE324" s="62">
        <f>$HE323+$HC324</f>
        <v/>
      </c>
      <c r="HF324" s="56">
        <f>IFERROR((SUMIFS(tblSafety[Recordables],tblSafety[Date],"&gt;="&amp;EDATE($E324,-12),tblSafety[Date],"&lt;="&amp;$A324)+SUMIFS(tblSafetyHistory[Recordables],tblSafetyHistory[Month],"&gt;="&amp;EDATE($E324,-12),tblSafetyHistory[Month],"&lt;"&amp;cfg_YearStart))/(SUMIFS(tblSafety[Hours_Total],tblSafety[Date],"&gt;="&amp;EDATE($E324,-12),tblSafety[Date],"&lt;="&amp;$A324)+SUMIFS(tblSafetyHistory[Hours_Total],tblSafetyHistory[Month],"&gt;="&amp;EDATE($E324,-12),tblSafetyHistory[Month],"&lt;"&amp;cfg_YearStart))*1000000,"")</f>
        <v/>
      </c>
      <c r="HG324" s="56">
        <f>IFERROR((SUMIFS(tblSafety[LTI],tblSafety[Date],"&gt;="&amp;EDATE($E324,-12),tblSafety[Date],"&lt;="&amp;$A324)+SUMIFS(tblSafetyHistory[LTI],tblSafetyHistory[Month],"&gt;="&amp;EDATE($E324,-12),tblSafetyHistory[Month],"&lt;"&amp;cfg_YearStart))/(SUMIFS(tblSafety[Hours_Total],tblSafety[Date],"&gt;="&amp;EDATE($E324,-12),tblSafety[Date],"&lt;="&amp;$A324)+SUMIFS(tblSafetyHistory[Hours_Total],tblSafetyHistory[Month],"&gt;="&amp;EDATE($E324,-12),tblSafetyHistory[Month],"&lt;"&amp;cfg_YearStart))*1000000,"")</f>
        <v/>
      </c>
      <c r="HH324" s="62">
        <f>IF(MAX(N(cfg_PriorLTIDate),_xlfn.MAXIFS(tblSafety[Date],tblSafety[LTI],"&gt;0",tblSafety[Date],"&lt;="&amp;$A324))=0,"",$A324-MAX(N(cfg_PriorLTIDate),_xlfn.MAXIFS(tblSafety[Date],tblSafety[LTI],"&gt;0",tblSafety[Date],"&lt;="&amp;$A324)))</f>
        <v/>
      </c>
      <c r="HI324" s="55">
        <f>SUMIFS(tblBudget[Ore_Mined_t],tblBudget[Month],$E324)</f>
        <v/>
      </c>
      <c r="HJ324" s="55">
        <f>$HI324*$C324/$D324</f>
        <v/>
      </c>
      <c r="HK324" s="55">
        <f>SUMIFS(tblBudget[Ore_Mined_t],tblBudget[Month],"&lt;"&amp;$E324)+$HJ324</f>
        <v/>
      </c>
      <c r="HL324" s="55">
        <f>SUMIFS(tblBudget[Ore_oz],tblBudget[Month],$E324)</f>
        <v/>
      </c>
      <c r="HM324" s="55">
        <f>$HL324*$C324/$D324</f>
        <v/>
      </c>
      <c r="HN324" s="55">
        <f>SUMIFS(tblBudget[Ore_oz],tblBudget[Month],"&lt;"&amp;$E324)+$HM324</f>
        <v/>
      </c>
      <c r="HO324" s="56">
        <f>IFERROR(IF(($HI324)&gt;0,($HL324*cfg_TroyOz)/($HI324),""),"")</f>
        <v/>
      </c>
      <c r="HP324" s="56">
        <f>IFERROR(IF(($HJ324)&gt;0,($HM324*cfg_TroyOz)/($HJ324),""),"")</f>
        <v/>
      </c>
      <c r="HQ324" s="56">
        <f>IFERROR(IF(($HK324)&gt;0,($HN324*cfg_TroyOz)/($HK324),""),"")</f>
        <v/>
      </c>
      <c r="HR324" s="55">
        <f>SUMIFS(tblBudget[Waste_t],tblBudget[Month],$E324)</f>
        <v/>
      </c>
      <c r="HS324" s="55">
        <f>$HR324*$C324/$D324</f>
        <v/>
      </c>
      <c r="HT324" s="55">
        <f>SUMIFS(tblBudget[Waste_t],tblBudget[Month],"&lt;"&amp;$E324)+$HS324</f>
        <v/>
      </c>
      <c r="HU324" s="55">
        <f>SUMIFS(tblBudget[TMM_t],tblBudget[Month],$E324)</f>
        <v/>
      </c>
      <c r="HV324" s="55">
        <f>$HU324*$C324/$D324</f>
        <v/>
      </c>
      <c r="HW324" s="55">
        <f>SUMIFS(tblBudget[TMM_t],tblBudget[Month],"&lt;"&amp;$E324)+$HV324</f>
        <v/>
      </c>
      <c r="HX324" s="56">
        <f>IFERROR(IF(($HI324)&gt;0,($HR324)/($HI324),""),"")</f>
        <v/>
      </c>
      <c r="HY324" s="56">
        <f>IFERROR(IF(($HJ324)&gt;0,($HS324)/($HJ324),""),"")</f>
        <v/>
      </c>
      <c r="HZ324" s="56">
        <f>IFERROR(IF(($HK324)&gt;0,($HT324)/($HK324),""),"")</f>
        <v/>
      </c>
      <c r="IA324" s="55">
        <f>SUMIFS(tblBudget[Drill_m],tblBudget[Month],$E324)</f>
        <v/>
      </c>
      <c r="IB324" s="55">
        <f>$IA324*$C324/$D324</f>
        <v/>
      </c>
      <c r="IC324" s="55">
        <f>SUMIFS(tblBudget[Drill_m],tblBudget[Month],"&lt;"&amp;$E324)+$IB324</f>
        <v/>
      </c>
      <c r="ID324" s="55">
        <f>SUMIFS(tblBudget[Diesel_L],tblBudget[Month],$E324)</f>
        <v/>
      </c>
      <c r="IE324" s="55">
        <f>$ID324*$C324/$D324</f>
        <v/>
      </c>
      <c r="IF324" s="55">
        <f>SUMIFS(tblBudget[Diesel_L],tblBudget[Month],"&lt;"&amp;$E324)+$IE324</f>
        <v/>
      </c>
      <c r="IG324" s="55">
        <f>SUMIFS(tblBudget[Milled_t],tblBudget[Month],$E324)</f>
        <v/>
      </c>
      <c r="IH324" s="55">
        <f>$IG324*$C324/$D324</f>
        <v/>
      </c>
      <c r="II324" s="55">
        <f>SUMIFS(tblBudget[Milled_t],tblBudget[Month],"&lt;"&amp;$E324)+$IH324</f>
        <v/>
      </c>
      <c r="IJ324" s="55">
        <f>SUMIFS(tblBudget[Feed_oz],tblBudget[Month],$E324)</f>
        <v/>
      </c>
      <c r="IK324" s="55">
        <f>$IJ324*$C324/$D324</f>
        <v/>
      </c>
      <c r="IL324" s="55">
        <f>SUMIFS(tblBudget[Feed_oz],tblBudget[Month],"&lt;"&amp;$E324)+$IK324</f>
        <v/>
      </c>
      <c r="IM324" s="55">
        <f>SUMIFS(tblBudget[Recovered_oz],tblBudget[Month],$E324)</f>
        <v/>
      </c>
      <c r="IN324" s="55">
        <f>$IM324*$C324/$D324</f>
        <v/>
      </c>
      <c r="IO324" s="55">
        <f>SUMIFS(tblBudget[Recovered_oz],tblBudget[Month],"&lt;"&amp;$E324)+$IN324</f>
        <v/>
      </c>
      <c r="IP324" s="56">
        <f>IFERROR(IF(($IG324)&gt;0,($IJ324*cfg_TroyOz)/($IG324),""),"")</f>
        <v/>
      </c>
      <c r="IQ324" s="56">
        <f>IFERROR(IF(($IH324)&gt;0,($IK324*cfg_TroyOz)/($IH324),""),"")</f>
        <v/>
      </c>
      <c r="IR324" s="56">
        <f>IFERROR(IF(($II324)&gt;0,($IL324*cfg_TroyOz)/($II324),""),"")</f>
        <v/>
      </c>
      <c r="IS324" s="67">
        <f>IFERROR(IF(($IJ324)&gt;0,($IM324)/($IJ324),""),"")</f>
        <v/>
      </c>
      <c r="IT324" s="67">
        <f>IFERROR(IF(($IK324)&gt;0,($IN324)/($IK324),""),"")</f>
        <v/>
      </c>
      <c r="IU324" s="67">
        <f>IFERROR(IF(($IL324)&gt;0,($IO324)/($IL324),""),"")</f>
        <v/>
      </c>
      <c r="IV324" s="55">
        <f>SUMIFS(tblBudget[Gold_Poured_oz],tblBudget[Month],$E324)</f>
        <v/>
      </c>
      <c r="IW324" s="55">
        <f>$IV324*$C324/$D324</f>
        <v/>
      </c>
      <c r="IX324" s="55">
        <f>SUMIFS(tblBudget[Gold_Poured_oz],tblBudget[Month],"&lt;"&amp;$E324)+$IW324</f>
        <v/>
      </c>
      <c r="IY324" s="57">
        <f>SUMIFS(tblBudget[Hours_Worked],tblBudget[Month],$E324)</f>
        <v/>
      </c>
      <c r="IZ324" s="57">
        <f>$IY324*$C324/$D324</f>
        <v/>
      </c>
      <c r="JA324" s="57">
        <f>SUMIFS(tblBudget[Hours_Worked],tblBudget[Month],"&lt;"&amp;$E324)+$IZ324</f>
        <v/>
      </c>
    </row>
    <row r="325">
      <c r="A325" s="54" t="n">
        <v>46346</v>
      </c>
      <c r="B325">
        <f>MONTH($A325)</f>
        <v/>
      </c>
      <c r="C325">
        <f>DAY($A325)</f>
        <v/>
      </c>
      <c r="D325">
        <f>DAY(EOMONTH($A325,0))</f>
        <v/>
      </c>
      <c r="E325" s="54">
        <f>DATE(YEAR($A325),MONTH($A325),1)</f>
        <v/>
      </c>
      <c r="F325" s="55">
        <f>SUMIFS(tblMovement[Tonnes_t],tblMovement[Date],$A325,tblMovement[Is_Ore],1,tblMovement[Source_Type],"Pit")</f>
        <v/>
      </c>
      <c r="G325" s="55">
        <f>IF($B325=$B324,$G324,0)+$F325</f>
        <v/>
      </c>
      <c r="H325" s="55">
        <f>$H324+$F325</f>
        <v/>
      </c>
      <c r="I325" s="55">
        <f>SUMIFS(tblMovement[Ore_oz],tblMovement[Date],$A325,tblMovement[Source_Type],"Pit")</f>
        <v/>
      </c>
      <c r="J325" s="55">
        <f>IF($B325=$B324,$J324,0)+$I325</f>
        <v/>
      </c>
      <c r="K325" s="55">
        <f>$K324+$I325</f>
        <v/>
      </c>
      <c r="L325" s="56">
        <f>IFERROR(IF(($F325)&gt;0,($I325*cfg_TroyOz)/($F325),""),"")</f>
        <v/>
      </c>
      <c r="M325" s="56">
        <f>IFERROR(IF(($G325)&gt;0,($J325*cfg_TroyOz)/($G325),""),"")</f>
        <v/>
      </c>
      <c r="N325" s="56">
        <f>IFERROR(IF(($H325)&gt;0,($K325*cfg_TroyOz)/($H325),""),"")</f>
        <v/>
      </c>
      <c r="O325" s="55">
        <f>SUMIFS(tblMovement[Tonnes_t],tblMovement[Date],$A325,tblMovement[Is_Ore],0,tblMovement[Source_Type],"Pit")</f>
        <v/>
      </c>
      <c r="P325" s="55">
        <f>IF($B325=$B324,$P324,0)+$O325</f>
        <v/>
      </c>
      <c r="Q325" s="55">
        <f>$Q324+$O325</f>
        <v/>
      </c>
      <c r="R325" s="55">
        <f>$F325+$O325</f>
        <v/>
      </c>
      <c r="S325" s="55">
        <f>IF($B325=$B324,$S324,0)+$R325</f>
        <v/>
      </c>
      <c r="T325" s="55">
        <f>$T324+$R325</f>
        <v/>
      </c>
      <c r="U325" s="56">
        <f>IFERROR(IF(($F325)&gt;0,($O325)/($F325),""),"")</f>
        <v/>
      </c>
      <c r="V325" s="56">
        <f>IFERROR(IF(($G325)&gt;0,($P325)/($G325),""),"")</f>
        <v/>
      </c>
      <c r="W325" s="56">
        <f>IFERROR(IF(($H325)&gt;0,($Q325)/($H325),""),"")</f>
        <v/>
      </c>
      <c r="X325" s="55">
        <f>SUMIFS(tblMovement[Tonnes_t],tblMovement[Date],$A325,tblMovement[Source_Type],"Stockpile")</f>
        <v/>
      </c>
      <c r="Y325" s="55">
        <f>IF($B325=$B324,$Y324,0)+$X325</f>
        <v/>
      </c>
      <c r="Z325" s="55">
        <f>$Z324+$X325</f>
        <v/>
      </c>
      <c r="AA325" s="55">
        <f>SUMIFS(tblMiningDaily[Drill_m],tblMiningDaily[Date],$A325)</f>
        <v/>
      </c>
      <c r="AB325" s="55">
        <f>IF($B325=$B324,$AB324,0)+$AA325</f>
        <v/>
      </c>
      <c r="AC325" s="55">
        <f>$AC324+$AA325</f>
        <v/>
      </c>
      <c r="AD325" s="55">
        <f>SUMIFS(tblMiningDaily[Blast_t],tblMiningDaily[Date],$A325)</f>
        <v/>
      </c>
      <c r="AE325" s="55">
        <f>IF($B325=$B324,$AE324,0)+$AD325</f>
        <v/>
      </c>
      <c r="AF325" s="55">
        <f>$AF324+$AD325</f>
        <v/>
      </c>
      <c r="AG325" s="55">
        <f>SUMIFS(tblMiningDaily[Explosives_kg],tblMiningDaily[Date],$A325)</f>
        <v/>
      </c>
      <c r="AH325" s="55">
        <f>IF($B325=$B324,$AH324,0)+$AG325</f>
        <v/>
      </c>
      <c r="AI325" s="55">
        <f>$AI324+$AG325</f>
        <v/>
      </c>
      <c r="AJ325" s="56">
        <f>IFERROR(IF(($AD325)&gt;0,($AG325)/($AD325),""),"")</f>
        <v/>
      </c>
      <c r="AK325" s="56">
        <f>IFERROR(IF(($AE325)&gt;0,($AH325)/($AE325),""),"")</f>
        <v/>
      </c>
      <c r="AL325" s="56">
        <f>IFERROR(IF(($AF325)&gt;0,($AI325)/($AF325),""),"")</f>
        <v/>
      </c>
      <c r="AM325" s="55">
        <f>SUMIFS(tblMiningDaily[Diesel_L],tblMiningDaily[Date],$A325)</f>
        <v/>
      </c>
      <c r="AN325" s="55">
        <f>IF($B325=$B324,$AN324,0)+$AM325</f>
        <v/>
      </c>
      <c r="AO325" s="55">
        <f>$AO324+$AM325</f>
        <v/>
      </c>
      <c r="AP325" s="55">
        <f>SUMIFS(tblMiningDaily[Dewatering_m3],tblMiningDaily[Date],$A325)</f>
        <v/>
      </c>
      <c r="AQ325" s="55">
        <f>IF($B325=$B324,$AQ324,0)+$AP325</f>
        <v/>
      </c>
      <c r="AR325" s="55">
        <f>$AR324+$AP325</f>
        <v/>
      </c>
      <c r="AS325" s="57">
        <f>SUMIFS(tblFleet[Calendar_h],tblFleet[Date],$A325,tblFleet[Equipment_Class],"Excavator")</f>
        <v/>
      </c>
      <c r="AT325" s="57">
        <f>IF($B325=$B324,$AT324,0)+$AS325</f>
        <v/>
      </c>
      <c r="AU325" s="57">
        <f>$AU324+$AS325</f>
        <v/>
      </c>
      <c r="AV325" s="57">
        <f>SUMIFS(tblFleet[Available_h],tblFleet[Date],$A325,tblFleet[Equipment_Class],"Excavator")</f>
        <v/>
      </c>
      <c r="AW325" s="57">
        <f>IF($B325=$B324,$AW324,0)+$AV325</f>
        <v/>
      </c>
      <c r="AX325" s="57">
        <f>$AX324+$AV325</f>
        <v/>
      </c>
      <c r="AY325" s="57">
        <f>SUMIFS(tblFleet[Operating_h],tblFleet[Date],$A325,tblFleet[Equipment_Class],"Excavator")</f>
        <v/>
      </c>
      <c r="AZ325" s="57">
        <f>IF($B325=$B324,$AZ324,0)+$AY325</f>
        <v/>
      </c>
      <c r="BA325" s="57">
        <f>$BA324+$AY325</f>
        <v/>
      </c>
      <c r="BB325" s="67">
        <f>IFERROR(IF(($AS325)&gt;0,($AV325)/($AS325),""),"")</f>
        <v/>
      </c>
      <c r="BC325" s="67">
        <f>IFERROR(IF(($AT325)&gt;0,($AW325)/($AT325),""),"")</f>
        <v/>
      </c>
      <c r="BD325" s="67">
        <f>IFERROR(IF(($AU325)&gt;0,($AX325)/($AU325),""),"")</f>
        <v/>
      </c>
      <c r="BE325" s="67">
        <f>IFERROR(IF(($AV325)&gt;0,($AY325)/($AV325),""),"")</f>
        <v/>
      </c>
      <c r="BF325" s="67">
        <f>IFERROR(IF(($AW325)&gt;0,($AZ325)/($AW325),""),"")</f>
        <v/>
      </c>
      <c r="BG325" s="67">
        <f>IFERROR(IF(($AX325)&gt;0,($BA325)/($AX325),""),"")</f>
        <v/>
      </c>
      <c r="BH325" s="57">
        <f>SUMIFS(tblFleet[Calendar_h],tblFleet[Date],$A325,tblFleet[Equipment_Class],"Haul Truck")</f>
        <v/>
      </c>
      <c r="BI325" s="57">
        <f>IF($B325=$B324,$BI324,0)+$BH325</f>
        <v/>
      </c>
      <c r="BJ325" s="57">
        <f>$BJ324+$BH325</f>
        <v/>
      </c>
      <c r="BK325" s="57">
        <f>SUMIFS(tblFleet[Available_h],tblFleet[Date],$A325,tblFleet[Equipment_Class],"Haul Truck")</f>
        <v/>
      </c>
      <c r="BL325" s="57">
        <f>IF($B325=$B324,$BL324,0)+$BK325</f>
        <v/>
      </c>
      <c r="BM325" s="57">
        <f>$BM324+$BK325</f>
        <v/>
      </c>
      <c r="BN325" s="57">
        <f>SUMIFS(tblFleet[Operating_h],tblFleet[Date],$A325,tblFleet[Equipment_Class],"Haul Truck")</f>
        <v/>
      </c>
      <c r="BO325" s="57">
        <f>IF($B325=$B324,$BO324,0)+$BN325</f>
        <v/>
      </c>
      <c r="BP325" s="57">
        <f>$BP324+$BN325</f>
        <v/>
      </c>
      <c r="BQ325" s="67">
        <f>IFERROR(IF(($BH325)&gt;0,($BK325)/($BH325),""),"")</f>
        <v/>
      </c>
      <c r="BR325" s="67">
        <f>IFERROR(IF(($BI325)&gt;0,($BL325)/($BI325),""),"")</f>
        <v/>
      </c>
      <c r="BS325" s="67">
        <f>IFERROR(IF(($BJ325)&gt;0,($BM325)/($BJ325),""),"")</f>
        <v/>
      </c>
      <c r="BT325" s="67">
        <f>IFERROR(IF(($BK325)&gt;0,($BN325)/($BK325),""),"")</f>
        <v/>
      </c>
      <c r="BU325" s="67">
        <f>IFERROR(IF(($BL325)&gt;0,($BO325)/($BL325),""),"")</f>
        <v/>
      </c>
      <c r="BV325" s="67">
        <f>IFERROR(IF(($BM325)&gt;0,($BP325)/($BM325),""),"")</f>
        <v/>
      </c>
      <c r="BW325" s="55">
        <f>SUMIFS(tblPlant[Crushed_t],tblPlant[Date],$A325)</f>
        <v/>
      </c>
      <c r="BX325" s="55">
        <f>IF($B325=$B324,$BX324,0)+$BW325</f>
        <v/>
      </c>
      <c r="BY325" s="55">
        <f>$BY324+$BW325</f>
        <v/>
      </c>
      <c r="BZ325" s="55">
        <f>SUMIFS(tblPlant[Milled_t],tblPlant[Date],$A325)</f>
        <v/>
      </c>
      <c r="CA325" s="55">
        <f>IF($B325=$B324,$CA324,0)+$BZ325</f>
        <v/>
      </c>
      <c r="CB325" s="55">
        <f>$CB324+$BZ325</f>
        <v/>
      </c>
      <c r="CC325" s="55">
        <f>SUMIFS(tblPlant[Feed_oz],tblPlant[Date],$A325)</f>
        <v/>
      </c>
      <c r="CD325" s="55">
        <f>IF($B325=$B324,$CD324,0)+$CC325</f>
        <v/>
      </c>
      <c r="CE325" s="55">
        <f>$CE324+$CC325</f>
        <v/>
      </c>
      <c r="CF325" s="55">
        <f>SUMIFS(tblPlant[Tails_oz],tblPlant[Date],$A325)</f>
        <v/>
      </c>
      <c r="CG325" s="55">
        <f>IF($B325=$B324,$CG324,0)+$CF325</f>
        <v/>
      </c>
      <c r="CH325" s="55">
        <f>$CH324+$CF325</f>
        <v/>
      </c>
      <c r="CI325" s="55">
        <f>SUMIFS(tblPlant[Recovered_oz],tblPlant[Date],$A325)</f>
        <v/>
      </c>
      <c r="CJ325" s="55">
        <f>IF($B325=$B324,$CJ324,0)+$CI325</f>
        <v/>
      </c>
      <c r="CK325" s="55">
        <f>$CK324+$CI325</f>
        <v/>
      </c>
      <c r="CL325" s="56">
        <f>IFERROR(IF(($BZ325)&gt;0,($CC325*cfg_TroyOz)/($BZ325),""),"")</f>
        <v/>
      </c>
      <c r="CM325" s="56">
        <f>IFERROR(IF(($CA325)&gt;0,($CD325*cfg_TroyOz)/($CA325),""),"")</f>
        <v/>
      </c>
      <c r="CN325" s="56">
        <f>IFERROR(IF(($CB325)&gt;0,($CE325*cfg_TroyOz)/($CB325),""),"")</f>
        <v/>
      </c>
      <c r="CO325" s="56">
        <f>IFERROR(IF(($BZ325)&gt;0,($CF325*cfg_TroyOz)/($BZ325),""),"")</f>
        <v/>
      </c>
      <c r="CP325" s="56">
        <f>IFERROR(IF(($CA325)&gt;0,($CG325*cfg_TroyOz)/($CA325),""),"")</f>
        <v/>
      </c>
      <c r="CQ325" s="56">
        <f>IFERROR(IF(($CB325)&gt;0,($CH325*cfg_TroyOz)/($CB325),""),"")</f>
        <v/>
      </c>
      <c r="CR325" s="67">
        <f>IFERROR(IF(($CC325)&gt;0,($CI325)/($CC325),""),"")</f>
        <v/>
      </c>
      <c r="CS325" s="67">
        <f>IFERROR(IF(($CD325)&gt;0,($CJ325)/($CD325),""),"")</f>
        <v/>
      </c>
      <c r="CT325" s="67">
        <f>IFERROR(IF(($CE325)&gt;0,($CK325)/($CE325),""),"")</f>
        <v/>
      </c>
      <c r="CU325" s="55">
        <f>SUMIFS(tblPlant[Gravity_Gold_oz],tblPlant[Date],$A325)</f>
        <v/>
      </c>
      <c r="CV325" s="55">
        <f>IF($B325=$B324,$CV324,0)+$CU325</f>
        <v/>
      </c>
      <c r="CW325" s="55">
        <f>$CW324+$CU325</f>
        <v/>
      </c>
      <c r="CX325" s="55">
        <f>SUMIFS(tblPlant[Gold_Poured_oz],tblPlant[Date],$A325)</f>
        <v/>
      </c>
      <c r="CY325" s="55">
        <f>IF($B325=$B324,$CY324,0)+$CX325</f>
        <v/>
      </c>
      <c r="CZ325" s="55">
        <f>$CZ324+$CX325</f>
        <v/>
      </c>
      <c r="DA325" s="57">
        <f>SUMIFS(tblPlant[Mill_Run_h],tblPlant[Date],$A325)</f>
        <v/>
      </c>
      <c r="DB325" s="57">
        <f>IF($B325=$B324,$DB324,0)+$DA325</f>
        <v/>
      </c>
      <c r="DC325" s="57">
        <f>$DC324+$DA325</f>
        <v/>
      </c>
      <c r="DD325" s="57">
        <f>SUMIFS(tblPlant[Mill_Planned_Maint_h],tblPlant[Date],$A325)</f>
        <v/>
      </c>
      <c r="DE325" s="57">
        <f>IF($B325=$B324,$DE324,0)+$DD325</f>
        <v/>
      </c>
      <c r="DF325" s="57">
        <f>$DF324+$DD325</f>
        <v/>
      </c>
      <c r="DG325" s="57">
        <f>SUMIFS(tblPlant[Mill_Unplanned_Down_h],tblPlant[Date],$A325)</f>
        <v/>
      </c>
      <c r="DH325" s="57">
        <f>IF($B325=$B324,$DH324,0)+$DG325</f>
        <v/>
      </c>
      <c r="DI325" s="57">
        <f>$DI324+$DG325</f>
        <v/>
      </c>
      <c r="DJ325" s="57">
        <f>COUNTIFS(tblPlant[Date],$A325,tblPlant[Mill_Run_h],"&lt;&gt;")*24</f>
        <v/>
      </c>
      <c r="DK325" s="57">
        <f>IF($B325=$B324,$DK324,0)+$DJ325</f>
        <v/>
      </c>
      <c r="DL325" s="57">
        <f>$DL324+$DJ325</f>
        <v/>
      </c>
      <c r="DM325" s="57">
        <f>SUMIFS(tblPlant[Crusher_Run_h],tblPlant[Date],$A325)</f>
        <v/>
      </c>
      <c r="DN325" s="57">
        <f>IF($B325=$B324,$DN324,0)+$DM325</f>
        <v/>
      </c>
      <c r="DO325" s="57">
        <f>$DO324+$DM325</f>
        <v/>
      </c>
      <c r="DP325" s="55">
        <f>IFERROR(IF(($DA325)&gt;0,($BZ325)/($DA325),""),"")</f>
        <v/>
      </c>
      <c r="DQ325" s="55">
        <f>IFERROR(IF(($DB325)&gt;0,($CA325)/($DB325),""),"")</f>
        <v/>
      </c>
      <c r="DR325" s="55">
        <f>IFERROR(IF(($DC325)&gt;0,($CB325)/($DC325),""),"")</f>
        <v/>
      </c>
      <c r="DS325" s="67">
        <f>IFERROR(IF(($DJ325)&gt;0,($DJ325-$DD325-$DG325)/($DJ325),""),"")</f>
        <v/>
      </c>
      <c r="DT325" s="67">
        <f>IFERROR(IF(($DK325)&gt;0,($DK325-$DE325-$DH325)/($DK325),""),"")</f>
        <v/>
      </c>
      <c r="DU325" s="67">
        <f>IFERROR(IF(($DL325)&gt;0,($DL325-$DF325-$DI325)/($DL325),""),"")</f>
        <v/>
      </c>
      <c r="DV325" s="67">
        <f>IFERROR(IF(($DJ325-$DD325-$DG325)&gt;0,($DA325)/($DJ325-$DD325-$DG325),""),"")</f>
        <v/>
      </c>
      <c r="DW325" s="67">
        <f>IFERROR(IF(($DK325-$DE325-$DH325)&gt;0,($DB325)/($DK325-$DE325-$DH325),""),"")</f>
        <v/>
      </c>
      <c r="DX325" s="67">
        <f>IFERROR(IF(($DL325-$DF325-$DI325)&gt;0,($DC325)/($DL325-$DF325-$DI325),""),"")</f>
        <v/>
      </c>
      <c r="DY325" s="55">
        <f>SUMIFS(tblPlant[Cyanide_kg],tblPlant[Date],$A325)</f>
        <v/>
      </c>
      <c r="DZ325" s="55">
        <f>IF($B325=$B324,$DZ324,0)+$DY325</f>
        <v/>
      </c>
      <c r="EA325" s="55">
        <f>$EA324+$DY325</f>
        <v/>
      </c>
      <c r="EB325" s="55">
        <f>SUMIFS(tblPlant[Lime_kg],tblPlant[Date],$A325)</f>
        <v/>
      </c>
      <c r="EC325" s="55">
        <f>IF($B325=$B324,$EC324,0)+$EB325</f>
        <v/>
      </c>
      <c r="ED325" s="55">
        <f>$ED324+$EB325</f>
        <v/>
      </c>
      <c r="EE325" s="55">
        <f>SUMIFS(tblPlant[Grinding_Media_kg],tblPlant[Date],$A325)</f>
        <v/>
      </c>
      <c r="EF325" s="55">
        <f>IF($B325=$B324,$EF324,0)+$EE325</f>
        <v/>
      </c>
      <c r="EG325" s="55">
        <f>$EG324+$EE325</f>
        <v/>
      </c>
      <c r="EH325" s="55">
        <f>SUMIFS(tblPlant[Power_kWh],tblPlant[Date],$A325)</f>
        <v/>
      </c>
      <c r="EI325" s="55">
        <f>IF($B325=$B324,$EI324,0)+$EH325</f>
        <v/>
      </c>
      <c r="EJ325" s="55">
        <f>$EJ324+$EH325</f>
        <v/>
      </c>
      <c r="EK325" s="55">
        <f>SUMIFS(tblPlant[Raw_Water_m3],tblPlant[Date],$A325)</f>
        <v/>
      </c>
      <c r="EL325" s="55">
        <f>IF($B325=$B324,$EL324,0)+$EK325</f>
        <v/>
      </c>
      <c r="EM325" s="55">
        <f>$EM324+$EK325</f>
        <v/>
      </c>
      <c r="EN325" s="56">
        <f>IFERROR(IF(($BZ325)&gt;0,($DY325)/($BZ325),""),"")</f>
        <v/>
      </c>
      <c r="EO325" s="56">
        <f>IFERROR(IF(($CA325)&gt;0,($DZ325)/($CA325),""),"")</f>
        <v/>
      </c>
      <c r="EP325" s="56">
        <f>IFERROR(IF(($CB325)&gt;0,($EA325)/($CB325),""),"")</f>
        <v/>
      </c>
      <c r="EQ325" s="56">
        <f>IFERROR(IF(($BZ325)&gt;0,($EB325)/($BZ325),""),"")</f>
        <v/>
      </c>
      <c r="ER325" s="56">
        <f>IFERROR(IF(($CA325)&gt;0,($EC325)/($CA325),""),"")</f>
        <v/>
      </c>
      <c r="ES325" s="56">
        <f>IFERROR(IF(($CB325)&gt;0,($ED325)/($CB325),""),"")</f>
        <v/>
      </c>
      <c r="ET325" s="56">
        <f>IFERROR(IF(($BZ325)&gt;0,($EE325)/($BZ325),""),"")</f>
        <v/>
      </c>
      <c r="EU325" s="56">
        <f>IFERROR(IF(($CA325)&gt;0,($EF325)/($CA325),""),"")</f>
        <v/>
      </c>
      <c r="EV325" s="56">
        <f>IFERROR(IF(($CB325)&gt;0,($EG325)/($CB325),""),"")</f>
        <v/>
      </c>
      <c r="EW325" s="76">
        <f>IFERROR(IF(($BZ325)&gt;0,($EH325)/($BZ325),""),"")</f>
        <v/>
      </c>
      <c r="EX325" s="76">
        <f>IFERROR(IF(($CA325)&gt;0,($EI325)/($CA325),""),"")</f>
        <v/>
      </c>
      <c r="EY325" s="76">
        <f>IFERROR(IF(($CB325)&gt;0,($EJ325)/($CB325),""),"")</f>
        <v/>
      </c>
      <c r="EZ325" s="56">
        <f>IFERROR(IF(($BZ325)&gt;0,($EK325)/($BZ325),""),"")</f>
        <v/>
      </c>
      <c r="FA325" s="56">
        <f>IFERROR(IF(($CA325)&gt;0,($EL325)/($CA325),""),"")</f>
        <v/>
      </c>
      <c r="FB325" s="56">
        <f>IFERROR(IF(($CB325)&gt;0,($EM325)/($CB325),""),"")</f>
        <v/>
      </c>
      <c r="FC325" s="55">
        <f>IF(SUMIFS(tblPlant[GIC_oz],tblPlant[Date],$A325)&gt;0,SUMIFS(tblPlant[GIC_oz],tblPlant[Date],$A325),"")</f>
        <v/>
      </c>
      <c r="FD325" s="55">
        <f>SUMIFS(tblGold[Gold_oz],tblGold[Date],$A325,tblGold[Type],"Shipment")</f>
        <v/>
      </c>
      <c r="FE325" s="55">
        <f>IF($B325=$B324,$FE324,0)+$FD325</f>
        <v/>
      </c>
      <c r="FF325" s="55">
        <f>$FF324+$FD325</f>
        <v/>
      </c>
      <c r="FG325" s="55">
        <f>SUMIFS(tblGold[Gold_oz],tblGold[Date],$A325,tblGold[Type],"Sale")</f>
        <v/>
      </c>
      <c r="FH325" s="55">
        <f>IF($B325=$B324,$FH324,0)+$FG325</f>
        <v/>
      </c>
      <c r="FI325" s="55">
        <f>$FI324+$FG325</f>
        <v/>
      </c>
      <c r="FJ325" s="55">
        <f>SUMIFS(tblGold[Dore_kg],tblGold[Date],$A325,tblGold[Type],"Shipment")</f>
        <v/>
      </c>
      <c r="FK325" s="55">
        <f>IF($B325=$B324,$FK324,0)+$FJ325</f>
        <v/>
      </c>
      <c r="FL325" s="55">
        <f>$FL324+$FJ325</f>
        <v/>
      </c>
      <c r="FM325" s="57">
        <f>SUMIFS(tblSafety[Hours_Total],tblSafety[Date],$A325)</f>
        <v/>
      </c>
      <c r="FN325" s="57">
        <f>IF($B325=$B324,$FN324,0)+$FM325</f>
        <v/>
      </c>
      <c r="FO325" s="57">
        <f>$FO324+$FM325</f>
        <v/>
      </c>
      <c r="FP325" s="62">
        <f>SUMIFS(tblSafety[Fatality],tblSafety[Date],$A325)</f>
        <v/>
      </c>
      <c r="FQ325" s="62">
        <f>IF($B325=$B324,$FQ324,0)+$FP325</f>
        <v/>
      </c>
      <c r="FR325" s="62">
        <f>$FR324+$FP325</f>
        <v/>
      </c>
      <c r="FS325" s="62">
        <f>SUMIFS(tblSafety[LTI],tblSafety[Date],$A325)</f>
        <v/>
      </c>
      <c r="FT325" s="62">
        <f>IF($B325=$B324,$FT324,0)+$FS325</f>
        <v/>
      </c>
      <c r="FU325" s="62">
        <f>$FU324+$FS325</f>
        <v/>
      </c>
      <c r="FV325" s="62">
        <f>SUMIFS(tblSafety[RWI],tblSafety[Date],$A325)</f>
        <v/>
      </c>
      <c r="FW325" s="62">
        <f>IF($B325=$B324,$FW324,0)+$FV325</f>
        <v/>
      </c>
      <c r="FX325" s="62">
        <f>$FX324+$FV325</f>
        <v/>
      </c>
      <c r="FY325" s="62">
        <f>SUMIFS(tblSafety[MTI],tblSafety[Date],$A325)</f>
        <v/>
      </c>
      <c r="FZ325" s="62">
        <f>IF($B325=$B324,$FZ324,0)+$FY325</f>
        <v/>
      </c>
      <c r="GA325" s="62">
        <f>$GA324+$FY325</f>
        <v/>
      </c>
      <c r="GB325" s="62">
        <f>SUMIFS(tblSafety[FAI],tblSafety[Date],$A325)</f>
        <v/>
      </c>
      <c r="GC325" s="62">
        <f>IF($B325=$B324,$GC324,0)+$GB325</f>
        <v/>
      </c>
      <c r="GD325" s="62">
        <f>$GD324+$GB325</f>
        <v/>
      </c>
      <c r="GE325" s="62">
        <f>SUMIFS(tblSafety[Recordables],tblSafety[Date],$A325)</f>
        <v/>
      </c>
      <c r="GF325" s="62">
        <f>IF($B325=$B324,$GF324,0)+$GE325</f>
        <v/>
      </c>
      <c r="GG325" s="62">
        <f>$GG324+$GE325</f>
        <v/>
      </c>
      <c r="GH325" s="62">
        <f>SUMIFS(tblSafety[Near_Miss],tblSafety[Date],$A325)</f>
        <v/>
      </c>
      <c r="GI325" s="62">
        <f>IF($B325=$B324,$GI324,0)+$GH325</f>
        <v/>
      </c>
      <c r="GJ325" s="62">
        <f>$GJ324+$GH325</f>
        <v/>
      </c>
      <c r="GK325" s="62">
        <f>SUMIFS(tblSafety[Hazard_Reports],tblSafety[Date],$A325)</f>
        <v/>
      </c>
      <c r="GL325" s="62">
        <f>IF($B325=$B324,$GL324,0)+$GK325</f>
        <v/>
      </c>
      <c r="GM325" s="62">
        <f>$GM324+$GK325</f>
        <v/>
      </c>
      <c r="GN325" s="62">
        <f>SUMIFS(tblSafety[HPI],tblSafety[Date],$A325)</f>
        <v/>
      </c>
      <c r="GO325" s="62">
        <f>IF($B325=$B324,$GO324,0)+$GN325</f>
        <v/>
      </c>
      <c r="GP325" s="62">
        <f>$GP324+$GN325</f>
        <v/>
      </c>
      <c r="GQ325" s="62">
        <f>SUMIFS(tblSafety[Env_Incidents],tblSafety[Date],$A325)</f>
        <v/>
      </c>
      <c r="GR325" s="62">
        <f>IF($B325=$B324,$GR324,0)+$GQ325</f>
        <v/>
      </c>
      <c r="GS325" s="62">
        <f>$GS324+$GQ325</f>
        <v/>
      </c>
      <c r="GT325" s="62">
        <f>SUMIFS(tblSafety[Community_Incidents],tblSafety[Date],$A325)</f>
        <v/>
      </c>
      <c r="GU325" s="62">
        <f>IF($B325=$B324,$GU324,0)+$GT325</f>
        <v/>
      </c>
      <c r="GV325" s="62">
        <f>$GV324+$GT325</f>
        <v/>
      </c>
      <c r="GW325" s="62">
        <f>SUMIFS(tblSafety[Vehicle_Incidents],tblSafety[Date],$A325)</f>
        <v/>
      </c>
      <c r="GX325" s="62">
        <f>IF($B325=$B324,$GX324,0)+$GW325</f>
        <v/>
      </c>
      <c r="GY325" s="62">
        <f>$GY324+$GW325</f>
        <v/>
      </c>
      <c r="GZ325" s="62">
        <f>SUMIFS(tblSafety[Toolbox_Talks],tblSafety[Date],$A325)</f>
        <v/>
      </c>
      <c r="HA325" s="62">
        <f>IF($B325=$B324,$HA324,0)+$GZ325</f>
        <v/>
      </c>
      <c r="HB325" s="62">
        <f>$HB324+$GZ325</f>
        <v/>
      </c>
      <c r="HC325" s="62">
        <f>SUMIFS(tblSafety[Inspections],tblSafety[Date],$A325)</f>
        <v/>
      </c>
      <c r="HD325" s="62">
        <f>IF($B325=$B324,$HD324,0)+$HC325</f>
        <v/>
      </c>
      <c r="HE325" s="62">
        <f>$HE324+$HC325</f>
        <v/>
      </c>
      <c r="HF325" s="56">
        <f>IFERROR((SUMIFS(tblSafety[Recordables],tblSafety[Date],"&gt;="&amp;EDATE($E325,-12),tblSafety[Date],"&lt;="&amp;$A325)+SUMIFS(tblSafetyHistory[Recordables],tblSafetyHistory[Month],"&gt;="&amp;EDATE($E325,-12),tblSafetyHistory[Month],"&lt;"&amp;cfg_YearStart))/(SUMIFS(tblSafety[Hours_Total],tblSafety[Date],"&gt;="&amp;EDATE($E325,-12),tblSafety[Date],"&lt;="&amp;$A325)+SUMIFS(tblSafetyHistory[Hours_Total],tblSafetyHistory[Month],"&gt;="&amp;EDATE($E325,-12),tblSafetyHistory[Month],"&lt;"&amp;cfg_YearStart))*1000000,"")</f>
        <v/>
      </c>
      <c r="HG325" s="56">
        <f>IFERROR((SUMIFS(tblSafety[LTI],tblSafety[Date],"&gt;="&amp;EDATE($E325,-12),tblSafety[Date],"&lt;="&amp;$A325)+SUMIFS(tblSafetyHistory[LTI],tblSafetyHistory[Month],"&gt;="&amp;EDATE($E325,-12),tblSafetyHistory[Month],"&lt;"&amp;cfg_YearStart))/(SUMIFS(tblSafety[Hours_Total],tblSafety[Date],"&gt;="&amp;EDATE($E325,-12),tblSafety[Date],"&lt;="&amp;$A325)+SUMIFS(tblSafetyHistory[Hours_Total],tblSafetyHistory[Month],"&gt;="&amp;EDATE($E325,-12),tblSafetyHistory[Month],"&lt;"&amp;cfg_YearStart))*1000000,"")</f>
        <v/>
      </c>
      <c r="HH325" s="62">
        <f>IF(MAX(N(cfg_PriorLTIDate),_xlfn.MAXIFS(tblSafety[Date],tblSafety[LTI],"&gt;0",tblSafety[Date],"&lt;="&amp;$A325))=0,"",$A325-MAX(N(cfg_PriorLTIDate),_xlfn.MAXIFS(tblSafety[Date],tblSafety[LTI],"&gt;0",tblSafety[Date],"&lt;="&amp;$A325)))</f>
        <v/>
      </c>
      <c r="HI325" s="55">
        <f>SUMIFS(tblBudget[Ore_Mined_t],tblBudget[Month],$E325)</f>
        <v/>
      </c>
      <c r="HJ325" s="55">
        <f>$HI325*$C325/$D325</f>
        <v/>
      </c>
      <c r="HK325" s="55">
        <f>SUMIFS(tblBudget[Ore_Mined_t],tblBudget[Month],"&lt;"&amp;$E325)+$HJ325</f>
        <v/>
      </c>
      <c r="HL325" s="55">
        <f>SUMIFS(tblBudget[Ore_oz],tblBudget[Month],$E325)</f>
        <v/>
      </c>
      <c r="HM325" s="55">
        <f>$HL325*$C325/$D325</f>
        <v/>
      </c>
      <c r="HN325" s="55">
        <f>SUMIFS(tblBudget[Ore_oz],tblBudget[Month],"&lt;"&amp;$E325)+$HM325</f>
        <v/>
      </c>
      <c r="HO325" s="56">
        <f>IFERROR(IF(($HI325)&gt;0,($HL325*cfg_TroyOz)/($HI325),""),"")</f>
        <v/>
      </c>
      <c r="HP325" s="56">
        <f>IFERROR(IF(($HJ325)&gt;0,($HM325*cfg_TroyOz)/($HJ325),""),"")</f>
        <v/>
      </c>
      <c r="HQ325" s="56">
        <f>IFERROR(IF(($HK325)&gt;0,($HN325*cfg_TroyOz)/($HK325),""),"")</f>
        <v/>
      </c>
      <c r="HR325" s="55">
        <f>SUMIFS(tblBudget[Waste_t],tblBudget[Month],$E325)</f>
        <v/>
      </c>
      <c r="HS325" s="55">
        <f>$HR325*$C325/$D325</f>
        <v/>
      </c>
      <c r="HT325" s="55">
        <f>SUMIFS(tblBudget[Waste_t],tblBudget[Month],"&lt;"&amp;$E325)+$HS325</f>
        <v/>
      </c>
      <c r="HU325" s="55">
        <f>SUMIFS(tblBudget[TMM_t],tblBudget[Month],$E325)</f>
        <v/>
      </c>
      <c r="HV325" s="55">
        <f>$HU325*$C325/$D325</f>
        <v/>
      </c>
      <c r="HW325" s="55">
        <f>SUMIFS(tblBudget[TMM_t],tblBudget[Month],"&lt;"&amp;$E325)+$HV325</f>
        <v/>
      </c>
      <c r="HX325" s="56">
        <f>IFERROR(IF(($HI325)&gt;0,($HR325)/($HI325),""),"")</f>
        <v/>
      </c>
      <c r="HY325" s="56">
        <f>IFERROR(IF(($HJ325)&gt;0,($HS325)/($HJ325),""),"")</f>
        <v/>
      </c>
      <c r="HZ325" s="56">
        <f>IFERROR(IF(($HK325)&gt;0,($HT325)/($HK325),""),"")</f>
        <v/>
      </c>
      <c r="IA325" s="55">
        <f>SUMIFS(tblBudget[Drill_m],tblBudget[Month],$E325)</f>
        <v/>
      </c>
      <c r="IB325" s="55">
        <f>$IA325*$C325/$D325</f>
        <v/>
      </c>
      <c r="IC325" s="55">
        <f>SUMIFS(tblBudget[Drill_m],tblBudget[Month],"&lt;"&amp;$E325)+$IB325</f>
        <v/>
      </c>
      <c r="ID325" s="55">
        <f>SUMIFS(tblBudget[Diesel_L],tblBudget[Month],$E325)</f>
        <v/>
      </c>
      <c r="IE325" s="55">
        <f>$ID325*$C325/$D325</f>
        <v/>
      </c>
      <c r="IF325" s="55">
        <f>SUMIFS(tblBudget[Diesel_L],tblBudget[Month],"&lt;"&amp;$E325)+$IE325</f>
        <v/>
      </c>
      <c r="IG325" s="55">
        <f>SUMIFS(tblBudget[Milled_t],tblBudget[Month],$E325)</f>
        <v/>
      </c>
      <c r="IH325" s="55">
        <f>$IG325*$C325/$D325</f>
        <v/>
      </c>
      <c r="II325" s="55">
        <f>SUMIFS(tblBudget[Milled_t],tblBudget[Month],"&lt;"&amp;$E325)+$IH325</f>
        <v/>
      </c>
      <c r="IJ325" s="55">
        <f>SUMIFS(tblBudget[Feed_oz],tblBudget[Month],$E325)</f>
        <v/>
      </c>
      <c r="IK325" s="55">
        <f>$IJ325*$C325/$D325</f>
        <v/>
      </c>
      <c r="IL325" s="55">
        <f>SUMIFS(tblBudget[Feed_oz],tblBudget[Month],"&lt;"&amp;$E325)+$IK325</f>
        <v/>
      </c>
      <c r="IM325" s="55">
        <f>SUMIFS(tblBudget[Recovered_oz],tblBudget[Month],$E325)</f>
        <v/>
      </c>
      <c r="IN325" s="55">
        <f>$IM325*$C325/$D325</f>
        <v/>
      </c>
      <c r="IO325" s="55">
        <f>SUMIFS(tblBudget[Recovered_oz],tblBudget[Month],"&lt;"&amp;$E325)+$IN325</f>
        <v/>
      </c>
      <c r="IP325" s="56">
        <f>IFERROR(IF(($IG325)&gt;0,($IJ325*cfg_TroyOz)/($IG325),""),"")</f>
        <v/>
      </c>
      <c r="IQ325" s="56">
        <f>IFERROR(IF(($IH325)&gt;0,($IK325*cfg_TroyOz)/($IH325),""),"")</f>
        <v/>
      </c>
      <c r="IR325" s="56">
        <f>IFERROR(IF(($II325)&gt;0,($IL325*cfg_TroyOz)/($II325),""),"")</f>
        <v/>
      </c>
      <c r="IS325" s="67">
        <f>IFERROR(IF(($IJ325)&gt;0,($IM325)/($IJ325),""),"")</f>
        <v/>
      </c>
      <c r="IT325" s="67">
        <f>IFERROR(IF(($IK325)&gt;0,($IN325)/($IK325),""),"")</f>
        <v/>
      </c>
      <c r="IU325" s="67">
        <f>IFERROR(IF(($IL325)&gt;0,($IO325)/($IL325),""),"")</f>
        <v/>
      </c>
      <c r="IV325" s="55">
        <f>SUMIFS(tblBudget[Gold_Poured_oz],tblBudget[Month],$E325)</f>
        <v/>
      </c>
      <c r="IW325" s="55">
        <f>$IV325*$C325/$D325</f>
        <v/>
      </c>
      <c r="IX325" s="55">
        <f>SUMIFS(tblBudget[Gold_Poured_oz],tblBudget[Month],"&lt;"&amp;$E325)+$IW325</f>
        <v/>
      </c>
      <c r="IY325" s="57">
        <f>SUMIFS(tblBudget[Hours_Worked],tblBudget[Month],$E325)</f>
        <v/>
      </c>
      <c r="IZ325" s="57">
        <f>$IY325*$C325/$D325</f>
        <v/>
      </c>
      <c r="JA325" s="57">
        <f>SUMIFS(tblBudget[Hours_Worked],tblBudget[Month],"&lt;"&amp;$E325)+$IZ325</f>
        <v/>
      </c>
    </row>
    <row r="326">
      <c r="A326" s="54" t="n">
        <v>46347</v>
      </c>
      <c r="B326">
        <f>MONTH($A326)</f>
        <v/>
      </c>
      <c r="C326">
        <f>DAY($A326)</f>
        <v/>
      </c>
      <c r="D326">
        <f>DAY(EOMONTH($A326,0))</f>
        <v/>
      </c>
      <c r="E326" s="54">
        <f>DATE(YEAR($A326),MONTH($A326),1)</f>
        <v/>
      </c>
      <c r="F326" s="55">
        <f>SUMIFS(tblMovement[Tonnes_t],tblMovement[Date],$A326,tblMovement[Is_Ore],1,tblMovement[Source_Type],"Pit")</f>
        <v/>
      </c>
      <c r="G326" s="55">
        <f>IF($B326=$B325,$G325,0)+$F326</f>
        <v/>
      </c>
      <c r="H326" s="55">
        <f>$H325+$F326</f>
        <v/>
      </c>
      <c r="I326" s="55">
        <f>SUMIFS(tblMovement[Ore_oz],tblMovement[Date],$A326,tblMovement[Source_Type],"Pit")</f>
        <v/>
      </c>
      <c r="J326" s="55">
        <f>IF($B326=$B325,$J325,0)+$I326</f>
        <v/>
      </c>
      <c r="K326" s="55">
        <f>$K325+$I326</f>
        <v/>
      </c>
      <c r="L326" s="56">
        <f>IFERROR(IF(($F326)&gt;0,($I326*cfg_TroyOz)/($F326),""),"")</f>
        <v/>
      </c>
      <c r="M326" s="56">
        <f>IFERROR(IF(($G326)&gt;0,($J326*cfg_TroyOz)/($G326),""),"")</f>
        <v/>
      </c>
      <c r="N326" s="56">
        <f>IFERROR(IF(($H326)&gt;0,($K326*cfg_TroyOz)/($H326),""),"")</f>
        <v/>
      </c>
      <c r="O326" s="55">
        <f>SUMIFS(tblMovement[Tonnes_t],tblMovement[Date],$A326,tblMovement[Is_Ore],0,tblMovement[Source_Type],"Pit")</f>
        <v/>
      </c>
      <c r="P326" s="55">
        <f>IF($B326=$B325,$P325,0)+$O326</f>
        <v/>
      </c>
      <c r="Q326" s="55">
        <f>$Q325+$O326</f>
        <v/>
      </c>
      <c r="R326" s="55">
        <f>$F326+$O326</f>
        <v/>
      </c>
      <c r="S326" s="55">
        <f>IF($B326=$B325,$S325,0)+$R326</f>
        <v/>
      </c>
      <c r="T326" s="55">
        <f>$T325+$R326</f>
        <v/>
      </c>
      <c r="U326" s="56">
        <f>IFERROR(IF(($F326)&gt;0,($O326)/($F326),""),"")</f>
        <v/>
      </c>
      <c r="V326" s="56">
        <f>IFERROR(IF(($G326)&gt;0,($P326)/($G326),""),"")</f>
        <v/>
      </c>
      <c r="W326" s="56">
        <f>IFERROR(IF(($H326)&gt;0,($Q326)/($H326),""),"")</f>
        <v/>
      </c>
      <c r="X326" s="55">
        <f>SUMIFS(tblMovement[Tonnes_t],tblMovement[Date],$A326,tblMovement[Source_Type],"Stockpile")</f>
        <v/>
      </c>
      <c r="Y326" s="55">
        <f>IF($B326=$B325,$Y325,0)+$X326</f>
        <v/>
      </c>
      <c r="Z326" s="55">
        <f>$Z325+$X326</f>
        <v/>
      </c>
      <c r="AA326" s="55">
        <f>SUMIFS(tblMiningDaily[Drill_m],tblMiningDaily[Date],$A326)</f>
        <v/>
      </c>
      <c r="AB326" s="55">
        <f>IF($B326=$B325,$AB325,0)+$AA326</f>
        <v/>
      </c>
      <c r="AC326" s="55">
        <f>$AC325+$AA326</f>
        <v/>
      </c>
      <c r="AD326" s="55">
        <f>SUMIFS(tblMiningDaily[Blast_t],tblMiningDaily[Date],$A326)</f>
        <v/>
      </c>
      <c r="AE326" s="55">
        <f>IF($B326=$B325,$AE325,0)+$AD326</f>
        <v/>
      </c>
      <c r="AF326" s="55">
        <f>$AF325+$AD326</f>
        <v/>
      </c>
      <c r="AG326" s="55">
        <f>SUMIFS(tblMiningDaily[Explosives_kg],tblMiningDaily[Date],$A326)</f>
        <v/>
      </c>
      <c r="AH326" s="55">
        <f>IF($B326=$B325,$AH325,0)+$AG326</f>
        <v/>
      </c>
      <c r="AI326" s="55">
        <f>$AI325+$AG326</f>
        <v/>
      </c>
      <c r="AJ326" s="56">
        <f>IFERROR(IF(($AD326)&gt;0,($AG326)/($AD326),""),"")</f>
        <v/>
      </c>
      <c r="AK326" s="56">
        <f>IFERROR(IF(($AE326)&gt;0,($AH326)/($AE326),""),"")</f>
        <v/>
      </c>
      <c r="AL326" s="56">
        <f>IFERROR(IF(($AF326)&gt;0,($AI326)/($AF326),""),"")</f>
        <v/>
      </c>
      <c r="AM326" s="55">
        <f>SUMIFS(tblMiningDaily[Diesel_L],tblMiningDaily[Date],$A326)</f>
        <v/>
      </c>
      <c r="AN326" s="55">
        <f>IF($B326=$B325,$AN325,0)+$AM326</f>
        <v/>
      </c>
      <c r="AO326" s="55">
        <f>$AO325+$AM326</f>
        <v/>
      </c>
      <c r="AP326" s="55">
        <f>SUMIFS(tblMiningDaily[Dewatering_m3],tblMiningDaily[Date],$A326)</f>
        <v/>
      </c>
      <c r="AQ326" s="55">
        <f>IF($B326=$B325,$AQ325,0)+$AP326</f>
        <v/>
      </c>
      <c r="AR326" s="55">
        <f>$AR325+$AP326</f>
        <v/>
      </c>
      <c r="AS326" s="57">
        <f>SUMIFS(tblFleet[Calendar_h],tblFleet[Date],$A326,tblFleet[Equipment_Class],"Excavator")</f>
        <v/>
      </c>
      <c r="AT326" s="57">
        <f>IF($B326=$B325,$AT325,0)+$AS326</f>
        <v/>
      </c>
      <c r="AU326" s="57">
        <f>$AU325+$AS326</f>
        <v/>
      </c>
      <c r="AV326" s="57">
        <f>SUMIFS(tblFleet[Available_h],tblFleet[Date],$A326,tblFleet[Equipment_Class],"Excavator")</f>
        <v/>
      </c>
      <c r="AW326" s="57">
        <f>IF($B326=$B325,$AW325,0)+$AV326</f>
        <v/>
      </c>
      <c r="AX326" s="57">
        <f>$AX325+$AV326</f>
        <v/>
      </c>
      <c r="AY326" s="57">
        <f>SUMIFS(tblFleet[Operating_h],tblFleet[Date],$A326,tblFleet[Equipment_Class],"Excavator")</f>
        <v/>
      </c>
      <c r="AZ326" s="57">
        <f>IF($B326=$B325,$AZ325,0)+$AY326</f>
        <v/>
      </c>
      <c r="BA326" s="57">
        <f>$BA325+$AY326</f>
        <v/>
      </c>
      <c r="BB326" s="67">
        <f>IFERROR(IF(($AS326)&gt;0,($AV326)/($AS326),""),"")</f>
        <v/>
      </c>
      <c r="BC326" s="67">
        <f>IFERROR(IF(($AT326)&gt;0,($AW326)/($AT326),""),"")</f>
        <v/>
      </c>
      <c r="BD326" s="67">
        <f>IFERROR(IF(($AU326)&gt;0,($AX326)/($AU326),""),"")</f>
        <v/>
      </c>
      <c r="BE326" s="67">
        <f>IFERROR(IF(($AV326)&gt;0,($AY326)/($AV326),""),"")</f>
        <v/>
      </c>
      <c r="BF326" s="67">
        <f>IFERROR(IF(($AW326)&gt;0,($AZ326)/($AW326),""),"")</f>
        <v/>
      </c>
      <c r="BG326" s="67">
        <f>IFERROR(IF(($AX326)&gt;0,($BA326)/($AX326),""),"")</f>
        <v/>
      </c>
      <c r="BH326" s="57">
        <f>SUMIFS(tblFleet[Calendar_h],tblFleet[Date],$A326,tblFleet[Equipment_Class],"Haul Truck")</f>
        <v/>
      </c>
      <c r="BI326" s="57">
        <f>IF($B326=$B325,$BI325,0)+$BH326</f>
        <v/>
      </c>
      <c r="BJ326" s="57">
        <f>$BJ325+$BH326</f>
        <v/>
      </c>
      <c r="BK326" s="57">
        <f>SUMIFS(tblFleet[Available_h],tblFleet[Date],$A326,tblFleet[Equipment_Class],"Haul Truck")</f>
        <v/>
      </c>
      <c r="BL326" s="57">
        <f>IF($B326=$B325,$BL325,0)+$BK326</f>
        <v/>
      </c>
      <c r="BM326" s="57">
        <f>$BM325+$BK326</f>
        <v/>
      </c>
      <c r="BN326" s="57">
        <f>SUMIFS(tblFleet[Operating_h],tblFleet[Date],$A326,tblFleet[Equipment_Class],"Haul Truck")</f>
        <v/>
      </c>
      <c r="BO326" s="57">
        <f>IF($B326=$B325,$BO325,0)+$BN326</f>
        <v/>
      </c>
      <c r="BP326" s="57">
        <f>$BP325+$BN326</f>
        <v/>
      </c>
      <c r="BQ326" s="67">
        <f>IFERROR(IF(($BH326)&gt;0,($BK326)/($BH326),""),"")</f>
        <v/>
      </c>
      <c r="BR326" s="67">
        <f>IFERROR(IF(($BI326)&gt;0,($BL326)/($BI326),""),"")</f>
        <v/>
      </c>
      <c r="BS326" s="67">
        <f>IFERROR(IF(($BJ326)&gt;0,($BM326)/($BJ326),""),"")</f>
        <v/>
      </c>
      <c r="BT326" s="67">
        <f>IFERROR(IF(($BK326)&gt;0,($BN326)/($BK326),""),"")</f>
        <v/>
      </c>
      <c r="BU326" s="67">
        <f>IFERROR(IF(($BL326)&gt;0,($BO326)/($BL326),""),"")</f>
        <v/>
      </c>
      <c r="BV326" s="67">
        <f>IFERROR(IF(($BM326)&gt;0,($BP326)/($BM326),""),"")</f>
        <v/>
      </c>
      <c r="BW326" s="55">
        <f>SUMIFS(tblPlant[Crushed_t],tblPlant[Date],$A326)</f>
        <v/>
      </c>
      <c r="BX326" s="55">
        <f>IF($B326=$B325,$BX325,0)+$BW326</f>
        <v/>
      </c>
      <c r="BY326" s="55">
        <f>$BY325+$BW326</f>
        <v/>
      </c>
      <c r="BZ326" s="55">
        <f>SUMIFS(tblPlant[Milled_t],tblPlant[Date],$A326)</f>
        <v/>
      </c>
      <c r="CA326" s="55">
        <f>IF($B326=$B325,$CA325,0)+$BZ326</f>
        <v/>
      </c>
      <c r="CB326" s="55">
        <f>$CB325+$BZ326</f>
        <v/>
      </c>
      <c r="CC326" s="55">
        <f>SUMIFS(tblPlant[Feed_oz],tblPlant[Date],$A326)</f>
        <v/>
      </c>
      <c r="CD326" s="55">
        <f>IF($B326=$B325,$CD325,0)+$CC326</f>
        <v/>
      </c>
      <c r="CE326" s="55">
        <f>$CE325+$CC326</f>
        <v/>
      </c>
      <c r="CF326" s="55">
        <f>SUMIFS(tblPlant[Tails_oz],tblPlant[Date],$A326)</f>
        <v/>
      </c>
      <c r="CG326" s="55">
        <f>IF($B326=$B325,$CG325,0)+$CF326</f>
        <v/>
      </c>
      <c r="CH326" s="55">
        <f>$CH325+$CF326</f>
        <v/>
      </c>
      <c r="CI326" s="55">
        <f>SUMIFS(tblPlant[Recovered_oz],tblPlant[Date],$A326)</f>
        <v/>
      </c>
      <c r="CJ326" s="55">
        <f>IF($B326=$B325,$CJ325,0)+$CI326</f>
        <v/>
      </c>
      <c r="CK326" s="55">
        <f>$CK325+$CI326</f>
        <v/>
      </c>
      <c r="CL326" s="56">
        <f>IFERROR(IF(($BZ326)&gt;0,($CC326*cfg_TroyOz)/($BZ326),""),"")</f>
        <v/>
      </c>
      <c r="CM326" s="56">
        <f>IFERROR(IF(($CA326)&gt;0,($CD326*cfg_TroyOz)/($CA326),""),"")</f>
        <v/>
      </c>
      <c r="CN326" s="56">
        <f>IFERROR(IF(($CB326)&gt;0,($CE326*cfg_TroyOz)/($CB326),""),"")</f>
        <v/>
      </c>
      <c r="CO326" s="56">
        <f>IFERROR(IF(($BZ326)&gt;0,($CF326*cfg_TroyOz)/($BZ326),""),"")</f>
        <v/>
      </c>
      <c r="CP326" s="56">
        <f>IFERROR(IF(($CA326)&gt;0,($CG326*cfg_TroyOz)/($CA326),""),"")</f>
        <v/>
      </c>
      <c r="CQ326" s="56">
        <f>IFERROR(IF(($CB326)&gt;0,($CH326*cfg_TroyOz)/($CB326),""),"")</f>
        <v/>
      </c>
      <c r="CR326" s="67">
        <f>IFERROR(IF(($CC326)&gt;0,($CI326)/($CC326),""),"")</f>
        <v/>
      </c>
      <c r="CS326" s="67">
        <f>IFERROR(IF(($CD326)&gt;0,($CJ326)/($CD326),""),"")</f>
        <v/>
      </c>
      <c r="CT326" s="67">
        <f>IFERROR(IF(($CE326)&gt;0,($CK326)/($CE326),""),"")</f>
        <v/>
      </c>
      <c r="CU326" s="55">
        <f>SUMIFS(tblPlant[Gravity_Gold_oz],tblPlant[Date],$A326)</f>
        <v/>
      </c>
      <c r="CV326" s="55">
        <f>IF($B326=$B325,$CV325,0)+$CU326</f>
        <v/>
      </c>
      <c r="CW326" s="55">
        <f>$CW325+$CU326</f>
        <v/>
      </c>
      <c r="CX326" s="55">
        <f>SUMIFS(tblPlant[Gold_Poured_oz],tblPlant[Date],$A326)</f>
        <v/>
      </c>
      <c r="CY326" s="55">
        <f>IF($B326=$B325,$CY325,0)+$CX326</f>
        <v/>
      </c>
      <c r="CZ326" s="55">
        <f>$CZ325+$CX326</f>
        <v/>
      </c>
      <c r="DA326" s="57">
        <f>SUMIFS(tblPlant[Mill_Run_h],tblPlant[Date],$A326)</f>
        <v/>
      </c>
      <c r="DB326" s="57">
        <f>IF($B326=$B325,$DB325,0)+$DA326</f>
        <v/>
      </c>
      <c r="DC326" s="57">
        <f>$DC325+$DA326</f>
        <v/>
      </c>
      <c r="DD326" s="57">
        <f>SUMIFS(tblPlant[Mill_Planned_Maint_h],tblPlant[Date],$A326)</f>
        <v/>
      </c>
      <c r="DE326" s="57">
        <f>IF($B326=$B325,$DE325,0)+$DD326</f>
        <v/>
      </c>
      <c r="DF326" s="57">
        <f>$DF325+$DD326</f>
        <v/>
      </c>
      <c r="DG326" s="57">
        <f>SUMIFS(tblPlant[Mill_Unplanned_Down_h],tblPlant[Date],$A326)</f>
        <v/>
      </c>
      <c r="DH326" s="57">
        <f>IF($B326=$B325,$DH325,0)+$DG326</f>
        <v/>
      </c>
      <c r="DI326" s="57">
        <f>$DI325+$DG326</f>
        <v/>
      </c>
      <c r="DJ326" s="57">
        <f>COUNTIFS(tblPlant[Date],$A326,tblPlant[Mill_Run_h],"&lt;&gt;")*24</f>
        <v/>
      </c>
      <c r="DK326" s="57">
        <f>IF($B326=$B325,$DK325,0)+$DJ326</f>
        <v/>
      </c>
      <c r="DL326" s="57">
        <f>$DL325+$DJ326</f>
        <v/>
      </c>
      <c r="DM326" s="57">
        <f>SUMIFS(tblPlant[Crusher_Run_h],tblPlant[Date],$A326)</f>
        <v/>
      </c>
      <c r="DN326" s="57">
        <f>IF($B326=$B325,$DN325,0)+$DM326</f>
        <v/>
      </c>
      <c r="DO326" s="57">
        <f>$DO325+$DM326</f>
        <v/>
      </c>
      <c r="DP326" s="55">
        <f>IFERROR(IF(($DA326)&gt;0,($BZ326)/($DA326),""),"")</f>
        <v/>
      </c>
      <c r="DQ326" s="55">
        <f>IFERROR(IF(($DB326)&gt;0,($CA326)/($DB326),""),"")</f>
        <v/>
      </c>
      <c r="DR326" s="55">
        <f>IFERROR(IF(($DC326)&gt;0,($CB326)/($DC326),""),"")</f>
        <v/>
      </c>
      <c r="DS326" s="67">
        <f>IFERROR(IF(($DJ326)&gt;0,($DJ326-$DD326-$DG326)/($DJ326),""),"")</f>
        <v/>
      </c>
      <c r="DT326" s="67">
        <f>IFERROR(IF(($DK326)&gt;0,($DK326-$DE326-$DH326)/($DK326),""),"")</f>
        <v/>
      </c>
      <c r="DU326" s="67">
        <f>IFERROR(IF(($DL326)&gt;0,($DL326-$DF326-$DI326)/($DL326),""),"")</f>
        <v/>
      </c>
      <c r="DV326" s="67">
        <f>IFERROR(IF(($DJ326-$DD326-$DG326)&gt;0,($DA326)/($DJ326-$DD326-$DG326),""),"")</f>
        <v/>
      </c>
      <c r="DW326" s="67">
        <f>IFERROR(IF(($DK326-$DE326-$DH326)&gt;0,($DB326)/($DK326-$DE326-$DH326),""),"")</f>
        <v/>
      </c>
      <c r="DX326" s="67">
        <f>IFERROR(IF(($DL326-$DF326-$DI326)&gt;0,($DC326)/($DL326-$DF326-$DI326),""),"")</f>
        <v/>
      </c>
      <c r="DY326" s="55">
        <f>SUMIFS(tblPlant[Cyanide_kg],tblPlant[Date],$A326)</f>
        <v/>
      </c>
      <c r="DZ326" s="55">
        <f>IF($B326=$B325,$DZ325,0)+$DY326</f>
        <v/>
      </c>
      <c r="EA326" s="55">
        <f>$EA325+$DY326</f>
        <v/>
      </c>
      <c r="EB326" s="55">
        <f>SUMIFS(tblPlant[Lime_kg],tblPlant[Date],$A326)</f>
        <v/>
      </c>
      <c r="EC326" s="55">
        <f>IF($B326=$B325,$EC325,0)+$EB326</f>
        <v/>
      </c>
      <c r="ED326" s="55">
        <f>$ED325+$EB326</f>
        <v/>
      </c>
      <c r="EE326" s="55">
        <f>SUMIFS(tblPlant[Grinding_Media_kg],tblPlant[Date],$A326)</f>
        <v/>
      </c>
      <c r="EF326" s="55">
        <f>IF($B326=$B325,$EF325,0)+$EE326</f>
        <v/>
      </c>
      <c r="EG326" s="55">
        <f>$EG325+$EE326</f>
        <v/>
      </c>
      <c r="EH326" s="55">
        <f>SUMIFS(tblPlant[Power_kWh],tblPlant[Date],$A326)</f>
        <v/>
      </c>
      <c r="EI326" s="55">
        <f>IF($B326=$B325,$EI325,0)+$EH326</f>
        <v/>
      </c>
      <c r="EJ326" s="55">
        <f>$EJ325+$EH326</f>
        <v/>
      </c>
      <c r="EK326" s="55">
        <f>SUMIFS(tblPlant[Raw_Water_m3],tblPlant[Date],$A326)</f>
        <v/>
      </c>
      <c r="EL326" s="55">
        <f>IF($B326=$B325,$EL325,0)+$EK326</f>
        <v/>
      </c>
      <c r="EM326" s="55">
        <f>$EM325+$EK326</f>
        <v/>
      </c>
      <c r="EN326" s="56">
        <f>IFERROR(IF(($BZ326)&gt;0,($DY326)/($BZ326),""),"")</f>
        <v/>
      </c>
      <c r="EO326" s="56">
        <f>IFERROR(IF(($CA326)&gt;0,($DZ326)/($CA326),""),"")</f>
        <v/>
      </c>
      <c r="EP326" s="56">
        <f>IFERROR(IF(($CB326)&gt;0,($EA326)/($CB326),""),"")</f>
        <v/>
      </c>
      <c r="EQ326" s="56">
        <f>IFERROR(IF(($BZ326)&gt;0,($EB326)/($BZ326),""),"")</f>
        <v/>
      </c>
      <c r="ER326" s="56">
        <f>IFERROR(IF(($CA326)&gt;0,($EC326)/($CA326),""),"")</f>
        <v/>
      </c>
      <c r="ES326" s="56">
        <f>IFERROR(IF(($CB326)&gt;0,($ED326)/($CB326),""),"")</f>
        <v/>
      </c>
      <c r="ET326" s="56">
        <f>IFERROR(IF(($BZ326)&gt;0,($EE326)/($BZ326),""),"")</f>
        <v/>
      </c>
      <c r="EU326" s="56">
        <f>IFERROR(IF(($CA326)&gt;0,($EF326)/($CA326),""),"")</f>
        <v/>
      </c>
      <c r="EV326" s="56">
        <f>IFERROR(IF(($CB326)&gt;0,($EG326)/($CB326),""),"")</f>
        <v/>
      </c>
      <c r="EW326" s="76">
        <f>IFERROR(IF(($BZ326)&gt;0,($EH326)/($BZ326),""),"")</f>
        <v/>
      </c>
      <c r="EX326" s="76">
        <f>IFERROR(IF(($CA326)&gt;0,($EI326)/($CA326),""),"")</f>
        <v/>
      </c>
      <c r="EY326" s="76">
        <f>IFERROR(IF(($CB326)&gt;0,($EJ326)/($CB326),""),"")</f>
        <v/>
      </c>
      <c r="EZ326" s="56">
        <f>IFERROR(IF(($BZ326)&gt;0,($EK326)/($BZ326),""),"")</f>
        <v/>
      </c>
      <c r="FA326" s="56">
        <f>IFERROR(IF(($CA326)&gt;0,($EL326)/($CA326),""),"")</f>
        <v/>
      </c>
      <c r="FB326" s="56">
        <f>IFERROR(IF(($CB326)&gt;0,($EM326)/($CB326),""),"")</f>
        <v/>
      </c>
      <c r="FC326" s="55">
        <f>IF(SUMIFS(tblPlant[GIC_oz],tblPlant[Date],$A326)&gt;0,SUMIFS(tblPlant[GIC_oz],tblPlant[Date],$A326),"")</f>
        <v/>
      </c>
      <c r="FD326" s="55">
        <f>SUMIFS(tblGold[Gold_oz],tblGold[Date],$A326,tblGold[Type],"Shipment")</f>
        <v/>
      </c>
      <c r="FE326" s="55">
        <f>IF($B326=$B325,$FE325,0)+$FD326</f>
        <v/>
      </c>
      <c r="FF326" s="55">
        <f>$FF325+$FD326</f>
        <v/>
      </c>
      <c r="FG326" s="55">
        <f>SUMIFS(tblGold[Gold_oz],tblGold[Date],$A326,tblGold[Type],"Sale")</f>
        <v/>
      </c>
      <c r="FH326" s="55">
        <f>IF($B326=$B325,$FH325,0)+$FG326</f>
        <v/>
      </c>
      <c r="FI326" s="55">
        <f>$FI325+$FG326</f>
        <v/>
      </c>
      <c r="FJ326" s="55">
        <f>SUMIFS(tblGold[Dore_kg],tblGold[Date],$A326,tblGold[Type],"Shipment")</f>
        <v/>
      </c>
      <c r="FK326" s="55">
        <f>IF($B326=$B325,$FK325,0)+$FJ326</f>
        <v/>
      </c>
      <c r="FL326" s="55">
        <f>$FL325+$FJ326</f>
        <v/>
      </c>
      <c r="FM326" s="57">
        <f>SUMIFS(tblSafety[Hours_Total],tblSafety[Date],$A326)</f>
        <v/>
      </c>
      <c r="FN326" s="57">
        <f>IF($B326=$B325,$FN325,0)+$FM326</f>
        <v/>
      </c>
      <c r="FO326" s="57">
        <f>$FO325+$FM326</f>
        <v/>
      </c>
      <c r="FP326" s="62">
        <f>SUMIFS(tblSafety[Fatality],tblSafety[Date],$A326)</f>
        <v/>
      </c>
      <c r="FQ326" s="62">
        <f>IF($B326=$B325,$FQ325,0)+$FP326</f>
        <v/>
      </c>
      <c r="FR326" s="62">
        <f>$FR325+$FP326</f>
        <v/>
      </c>
      <c r="FS326" s="62">
        <f>SUMIFS(tblSafety[LTI],tblSafety[Date],$A326)</f>
        <v/>
      </c>
      <c r="FT326" s="62">
        <f>IF($B326=$B325,$FT325,0)+$FS326</f>
        <v/>
      </c>
      <c r="FU326" s="62">
        <f>$FU325+$FS326</f>
        <v/>
      </c>
      <c r="FV326" s="62">
        <f>SUMIFS(tblSafety[RWI],tblSafety[Date],$A326)</f>
        <v/>
      </c>
      <c r="FW326" s="62">
        <f>IF($B326=$B325,$FW325,0)+$FV326</f>
        <v/>
      </c>
      <c r="FX326" s="62">
        <f>$FX325+$FV326</f>
        <v/>
      </c>
      <c r="FY326" s="62">
        <f>SUMIFS(tblSafety[MTI],tblSafety[Date],$A326)</f>
        <v/>
      </c>
      <c r="FZ326" s="62">
        <f>IF($B326=$B325,$FZ325,0)+$FY326</f>
        <v/>
      </c>
      <c r="GA326" s="62">
        <f>$GA325+$FY326</f>
        <v/>
      </c>
      <c r="GB326" s="62">
        <f>SUMIFS(tblSafety[FAI],tblSafety[Date],$A326)</f>
        <v/>
      </c>
      <c r="GC326" s="62">
        <f>IF($B326=$B325,$GC325,0)+$GB326</f>
        <v/>
      </c>
      <c r="GD326" s="62">
        <f>$GD325+$GB326</f>
        <v/>
      </c>
      <c r="GE326" s="62">
        <f>SUMIFS(tblSafety[Recordables],tblSafety[Date],$A326)</f>
        <v/>
      </c>
      <c r="GF326" s="62">
        <f>IF($B326=$B325,$GF325,0)+$GE326</f>
        <v/>
      </c>
      <c r="GG326" s="62">
        <f>$GG325+$GE326</f>
        <v/>
      </c>
      <c r="GH326" s="62">
        <f>SUMIFS(tblSafety[Near_Miss],tblSafety[Date],$A326)</f>
        <v/>
      </c>
      <c r="GI326" s="62">
        <f>IF($B326=$B325,$GI325,0)+$GH326</f>
        <v/>
      </c>
      <c r="GJ326" s="62">
        <f>$GJ325+$GH326</f>
        <v/>
      </c>
      <c r="GK326" s="62">
        <f>SUMIFS(tblSafety[Hazard_Reports],tblSafety[Date],$A326)</f>
        <v/>
      </c>
      <c r="GL326" s="62">
        <f>IF($B326=$B325,$GL325,0)+$GK326</f>
        <v/>
      </c>
      <c r="GM326" s="62">
        <f>$GM325+$GK326</f>
        <v/>
      </c>
      <c r="GN326" s="62">
        <f>SUMIFS(tblSafety[HPI],tblSafety[Date],$A326)</f>
        <v/>
      </c>
      <c r="GO326" s="62">
        <f>IF($B326=$B325,$GO325,0)+$GN326</f>
        <v/>
      </c>
      <c r="GP326" s="62">
        <f>$GP325+$GN326</f>
        <v/>
      </c>
      <c r="GQ326" s="62">
        <f>SUMIFS(tblSafety[Env_Incidents],tblSafety[Date],$A326)</f>
        <v/>
      </c>
      <c r="GR326" s="62">
        <f>IF($B326=$B325,$GR325,0)+$GQ326</f>
        <v/>
      </c>
      <c r="GS326" s="62">
        <f>$GS325+$GQ326</f>
        <v/>
      </c>
      <c r="GT326" s="62">
        <f>SUMIFS(tblSafety[Community_Incidents],tblSafety[Date],$A326)</f>
        <v/>
      </c>
      <c r="GU326" s="62">
        <f>IF($B326=$B325,$GU325,0)+$GT326</f>
        <v/>
      </c>
      <c r="GV326" s="62">
        <f>$GV325+$GT326</f>
        <v/>
      </c>
      <c r="GW326" s="62">
        <f>SUMIFS(tblSafety[Vehicle_Incidents],tblSafety[Date],$A326)</f>
        <v/>
      </c>
      <c r="GX326" s="62">
        <f>IF($B326=$B325,$GX325,0)+$GW326</f>
        <v/>
      </c>
      <c r="GY326" s="62">
        <f>$GY325+$GW326</f>
        <v/>
      </c>
      <c r="GZ326" s="62">
        <f>SUMIFS(tblSafety[Toolbox_Talks],tblSafety[Date],$A326)</f>
        <v/>
      </c>
      <c r="HA326" s="62">
        <f>IF($B326=$B325,$HA325,0)+$GZ326</f>
        <v/>
      </c>
      <c r="HB326" s="62">
        <f>$HB325+$GZ326</f>
        <v/>
      </c>
      <c r="HC326" s="62">
        <f>SUMIFS(tblSafety[Inspections],tblSafety[Date],$A326)</f>
        <v/>
      </c>
      <c r="HD326" s="62">
        <f>IF($B326=$B325,$HD325,0)+$HC326</f>
        <v/>
      </c>
      <c r="HE326" s="62">
        <f>$HE325+$HC326</f>
        <v/>
      </c>
      <c r="HF326" s="56">
        <f>IFERROR((SUMIFS(tblSafety[Recordables],tblSafety[Date],"&gt;="&amp;EDATE($E326,-12),tblSafety[Date],"&lt;="&amp;$A326)+SUMIFS(tblSafetyHistory[Recordables],tblSafetyHistory[Month],"&gt;="&amp;EDATE($E326,-12),tblSafetyHistory[Month],"&lt;"&amp;cfg_YearStart))/(SUMIFS(tblSafety[Hours_Total],tblSafety[Date],"&gt;="&amp;EDATE($E326,-12),tblSafety[Date],"&lt;="&amp;$A326)+SUMIFS(tblSafetyHistory[Hours_Total],tblSafetyHistory[Month],"&gt;="&amp;EDATE($E326,-12),tblSafetyHistory[Month],"&lt;"&amp;cfg_YearStart))*1000000,"")</f>
        <v/>
      </c>
      <c r="HG326" s="56">
        <f>IFERROR((SUMIFS(tblSafety[LTI],tblSafety[Date],"&gt;="&amp;EDATE($E326,-12),tblSafety[Date],"&lt;="&amp;$A326)+SUMIFS(tblSafetyHistory[LTI],tblSafetyHistory[Month],"&gt;="&amp;EDATE($E326,-12),tblSafetyHistory[Month],"&lt;"&amp;cfg_YearStart))/(SUMIFS(tblSafety[Hours_Total],tblSafety[Date],"&gt;="&amp;EDATE($E326,-12),tblSafety[Date],"&lt;="&amp;$A326)+SUMIFS(tblSafetyHistory[Hours_Total],tblSafetyHistory[Month],"&gt;="&amp;EDATE($E326,-12),tblSafetyHistory[Month],"&lt;"&amp;cfg_YearStart))*1000000,"")</f>
        <v/>
      </c>
      <c r="HH326" s="62">
        <f>IF(MAX(N(cfg_PriorLTIDate),_xlfn.MAXIFS(tblSafety[Date],tblSafety[LTI],"&gt;0",tblSafety[Date],"&lt;="&amp;$A326))=0,"",$A326-MAX(N(cfg_PriorLTIDate),_xlfn.MAXIFS(tblSafety[Date],tblSafety[LTI],"&gt;0",tblSafety[Date],"&lt;="&amp;$A326)))</f>
        <v/>
      </c>
      <c r="HI326" s="55">
        <f>SUMIFS(tblBudget[Ore_Mined_t],tblBudget[Month],$E326)</f>
        <v/>
      </c>
      <c r="HJ326" s="55">
        <f>$HI326*$C326/$D326</f>
        <v/>
      </c>
      <c r="HK326" s="55">
        <f>SUMIFS(tblBudget[Ore_Mined_t],tblBudget[Month],"&lt;"&amp;$E326)+$HJ326</f>
        <v/>
      </c>
      <c r="HL326" s="55">
        <f>SUMIFS(tblBudget[Ore_oz],tblBudget[Month],$E326)</f>
        <v/>
      </c>
      <c r="HM326" s="55">
        <f>$HL326*$C326/$D326</f>
        <v/>
      </c>
      <c r="HN326" s="55">
        <f>SUMIFS(tblBudget[Ore_oz],tblBudget[Month],"&lt;"&amp;$E326)+$HM326</f>
        <v/>
      </c>
      <c r="HO326" s="56">
        <f>IFERROR(IF(($HI326)&gt;0,($HL326*cfg_TroyOz)/($HI326),""),"")</f>
        <v/>
      </c>
      <c r="HP326" s="56">
        <f>IFERROR(IF(($HJ326)&gt;0,($HM326*cfg_TroyOz)/($HJ326),""),"")</f>
        <v/>
      </c>
      <c r="HQ326" s="56">
        <f>IFERROR(IF(($HK326)&gt;0,($HN326*cfg_TroyOz)/($HK326),""),"")</f>
        <v/>
      </c>
      <c r="HR326" s="55">
        <f>SUMIFS(tblBudget[Waste_t],tblBudget[Month],$E326)</f>
        <v/>
      </c>
      <c r="HS326" s="55">
        <f>$HR326*$C326/$D326</f>
        <v/>
      </c>
      <c r="HT326" s="55">
        <f>SUMIFS(tblBudget[Waste_t],tblBudget[Month],"&lt;"&amp;$E326)+$HS326</f>
        <v/>
      </c>
      <c r="HU326" s="55">
        <f>SUMIFS(tblBudget[TMM_t],tblBudget[Month],$E326)</f>
        <v/>
      </c>
      <c r="HV326" s="55">
        <f>$HU326*$C326/$D326</f>
        <v/>
      </c>
      <c r="HW326" s="55">
        <f>SUMIFS(tblBudget[TMM_t],tblBudget[Month],"&lt;"&amp;$E326)+$HV326</f>
        <v/>
      </c>
      <c r="HX326" s="56">
        <f>IFERROR(IF(($HI326)&gt;0,($HR326)/($HI326),""),"")</f>
        <v/>
      </c>
      <c r="HY326" s="56">
        <f>IFERROR(IF(($HJ326)&gt;0,($HS326)/($HJ326),""),"")</f>
        <v/>
      </c>
      <c r="HZ326" s="56">
        <f>IFERROR(IF(($HK326)&gt;0,($HT326)/($HK326),""),"")</f>
        <v/>
      </c>
      <c r="IA326" s="55">
        <f>SUMIFS(tblBudget[Drill_m],tblBudget[Month],$E326)</f>
        <v/>
      </c>
      <c r="IB326" s="55">
        <f>$IA326*$C326/$D326</f>
        <v/>
      </c>
      <c r="IC326" s="55">
        <f>SUMIFS(tblBudget[Drill_m],tblBudget[Month],"&lt;"&amp;$E326)+$IB326</f>
        <v/>
      </c>
      <c r="ID326" s="55">
        <f>SUMIFS(tblBudget[Diesel_L],tblBudget[Month],$E326)</f>
        <v/>
      </c>
      <c r="IE326" s="55">
        <f>$ID326*$C326/$D326</f>
        <v/>
      </c>
      <c r="IF326" s="55">
        <f>SUMIFS(tblBudget[Diesel_L],tblBudget[Month],"&lt;"&amp;$E326)+$IE326</f>
        <v/>
      </c>
      <c r="IG326" s="55">
        <f>SUMIFS(tblBudget[Milled_t],tblBudget[Month],$E326)</f>
        <v/>
      </c>
      <c r="IH326" s="55">
        <f>$IG326*$C326/$D326</f>
        <v/>
      </c>
      <c r="II326" s="55">
        <f>SUMIFS(tblBudget[Milled_t],tblBudget[Month],"&lt;"&amp;$E326)+$IH326</f>
        <v/>
      </c>
      <c r="IJ326" s="55">
        <f>SUMIFS(tblBudget[Feed_oz],tblBudget[Month],$E326)</f>
        <v/>
      </c>
      <c r="IK326" s="55">
        <f>$IJ326*$C326/$D326</f>
        <v/>
      </c>
      <c r="IL326" s="55">
        <f>SUMIFS(tblBudget[Feed_oz],tblBudget[Month],"&lt;"&amp;$E326)+$IK326</f>
        <v/>
      </c>
      <c r="IM326" s="55">
        <f>SUMIFS(tblBudget[Recovered_oz],tblBudget[Month],$E326)</f>
        <v/>
      </c>
      <c r="IN326" s="55">
        <f>$IM326*$C326/$D326</f>
        <v/>
      </c>
      <c r="IO326" s="55">
        <f>SUMIFS(tblBudget[Recovered_oz],tblBudget[Month],"&lt;"&amp;$E326)+$IN326</f>
        <v/>
      </c>
      <c r="IP326" s="56">
        <f>IFERROR(IF(($IG326)&gt;0,($IJ326*cfg_TroyOz)/($IG326),""),"")</f>
        <v/>
      </c>
      <c r="IQ326" s="56">
        <f>IFERROR(IF(($IH326)&gt;0,($IK326*cfg_TroyOz)/($IH326),""),"")</f>
        <v/>
      </c>
      <c r="IR326" s="56">
        <f>IFERROR(IF(($II326)&gt;0,($IL326*cfg_TroyOz)/($II326),""),"")</f>
        <v/>
      </c>
      <c r="IS326" s="67">
        <f>IFERROR(IF(($IJ326)&gt;0,($IM326)/($IJ326),""),"")</f>
        <v/>
      </c>
      <c r="IT326" s="67">
        <f>IFERROR(IF(($IK326)&gt;0,($IN326)/($IK326),""),"")</f>
        <v/>
      </c>
      <c r="IU326" s="67">
        <f>IFERROR(IF(($IL326)&gt;0,($IO326)/($IL326),""),"")</f>
        <v/>
      </c>
      <c r="IV326" s="55">
        <f>SUMIFS(tblBudget[Gold_Poured_oz],tblBudget[Month],$E326)</f>
        <v/>
      </c>
      <c r="IW326" s="55">
        <f>$IV326*$C326/$D326</f>
        <v/>
      </c>
      <c r="IX326" s="55">
        <f>SUMIFS(tblBudget[Gold_Poured_oz],tblBudget[Month],"&lt;"&amp;$E326)+$IW326</f>
        <v/>
      </c>
      <c r="IY326" s="57">
        <f>SUMIFS(tblBudget[Hours_Worked],tblBudget[Month],$E326)</f>
        <v/>
      </c>
      <c r="IZ326" s="57">
        <f>$IY326*$C326/$D326</f>
        <v/>
      </c>
      <c r="JA326" s="57">
        <f>SUMIFS(tblBudget[Hours_Worked],tblBudget[Month],"&lt;"&amp;$E326)+$IZ326</f>
        <v/>
      </c>
    </row>
    <row r="327">
      <c r="A327" s="54" t="n">
        <v>46348</v>
      </c>
      <c r="B327">
        <f>MONTH($A327)</f>
        <v/>
      </c>
      <c r="C327">
        <f>DAY($A327)</f>
        <v/>
      </c>
      <c r="D327">
        <f>DAY(EOMONTH($A327,0))</f>
        <v/>
      </c>
      <c r="E327" s="54">
        <f>DATE(YEAR($A327),MONTH($A327),1)</f>
        <v/>
      </c>
      <c r="F327" s="55">
        <f>SUMIFS(tblMovement[Tonnes_t],tblMovement[Date],$A327,tblMovement[Is_Ore],1,tblMovement[Source_Type],"Pit")</f>
        <v/>
      </c>
      <c r="G327" s="55">
        <f>IF($B327=$B326,$G326,0)+$F327</f>
        <v/>
      </c>
      <c r="H327" s="55">
        <f>$H326+$F327</f>
        <v/>
      </c>
      <c r="I327" s="55">
        <f>SUMIFS(tblMovement[Ore_oz],tblMovement[Date],$A327,tblMovement[Source_Type],"Pit")</f>
        <v/>
      </c>
      <c r="J327" s="55">
        <f>IF($B327=$B326,$J326,0)+$I327</f>
        <v/>
      </c>
      <c r="K327" s="55">
        <f>$K326+$I327</f>
        <v/>
      </c>
      <c r="L327" s="56">
        <f>IFERROR(IF(($F327)&gt;0,($I327*cfg_TroyOz)/($F327),""),"")</f>
        <v/>
      </c>
      <c r="M327" s="56">
        <f>IFERROR(IF(($G327)&gt;0,($J327*cfg_TroyOz)/($G327),""),"")</f>
        <v/>
      </c>
      <c r="N327" s="56">
        <f>IFERROR(IF(($H327)&gt;0,($K327*cfg_TroyOz)/($H327),""),"")</f>
        <v/>
      </c>
      <c r="O327" s="55">
        <f>SUMIFS(tblMovement[Tonnes_t],tblMovement[Date],$A327,tblMovement[Is_Ore],0,tblMovement[Source_Type],"Pit")</f>
        <v/>
      </c>
      <c r="P327" s="55">
        <f>IF($B327=$B326,$P326,0)+$O327</f>
        <v/>
      </c>
      <c r="Q327" s="55">
        <f>$Q326+$O327</f>
        <v/>
      </c>
      <c r="R327" s="55">
        <f>$F327+$O327</f>
        <v/>
      </c>
      <c r="S327" s="55">
        <f>IF($B327=$B326,$S326,0)+$R327</f>
        <v/>
      </c>
      <c r="T327" s="55">
        <f>$T326+$R327</f>
        <v/>
      </c>
      <c r="U327" s="56">
        <f>IFERROR(IF(($F327)&gt;0,($O327)/($F327),""),"")</f>
        <v/>
      </c>
      <c r="V327" s="56">
        <f>IFERROR(IF(($G327)&gt;0,($P327)/($G327),""),"")</f>
        <v/>
      </c>
      <c r="W327" s="56">
        <f>IFERROR(IF(($H327)&gt;0,($Q327)/($H327),""),"")</f>
        <v/>
      </c>
      <c r="X327" s="55">
        <f>SUMIFS(tblMovement[Tonnes_t],tblMovement[Date],$A327,tblMovement[Source_Type],"Stockpile")</f>
        <v/>
      </c>
      <c r="Y327" s="55">
        <f>IF($B327=$B326,$Y326,0)+$X327</f>
        <v/>
      </c>
      <c r="Z327" s="55">
        <f>$Z326+$X327</f>
        <v/>
      </c>
      <c r="AA327" s="55">
        <f>SUMIFS(tblMiningDaily[Drill_m],tblMiningDaily[Date],$A327)</f>
        <v/>
      </c>
      <c r="AB327" s="55">
        <f>IF($B327=$B326,$AB326,0)+$AA327</f>
        <v/>
      </c>
      <c r="AC327" s="55">
        <f>$AC326+$AA327</f>
        <v/>
      </c>
      <c r="AD327" s="55">
        <f>SUMIFS(tblMiningDaily[Blast_t],tblMiningDaily[Date],$A327)</f>
        <v/>
      </c>
      <c r="AE327" s="55">
        <f>IF($B327=$B326,$AE326,0)+$AD327</f>
        <v/>
      </c>
      <c r="AF327" s="55">
        <f>$AF326+$AD327</f>
        <v/>
      </c>
      <c r="AG327" s="55">
        <f>SUMIFS(tblMiningDaily[Explosives_kg],tblMiningDaily[Date],$A327)</f>
        <v/>
      </c>
      <c r="AH327" s="55">
        <f>IF($B327=$B326,$AH326,0)+$AG327</f>
        <v/>
      </c>
      <c r="AI327" s="55">
        <f>$AI326+$AG327</f>
        <v/>
      </c>
      <c r="AJ327" s="56">
        <f>IFERROR(IF(($AD327)&gt;0,($AG327)/($AD327),""),"")</f>
        <v/>
      </c>
      <c r="AK327" s="56">
        <f>IFERROR(IF(($AE327)&gt;0,($AH327)/($AE327),""),"")</f>
        <v/>
      </c>
      <c r="AL327" s="56">
        <f>IFERROR(IF(($AF327)&gt;0,($AI327)/($AF327),""),"")</f>
        <v/>
      </c>
      <c r="AM327" s="55">
        <f>SUMIFS(tblMiningDaily[Diesel_L],tblMiningDaily[Date],$A327)</f>
        <v/>
      </c>
      <c r="AN327" s="55">
        <f>IF($B327=$B326,$AN326,0)+$AM327</f>
        <v/>
      </c>
      <c r="AO327" s="55">
        <f>$AO326+$AM327</f>
        <v/>
      </c>
      <c r="AP327" s="55">
        <f>SUMIFS(tblMiningDaily[Dewatering_m3],tblMiningDaily[Date],$A327)</f>
        <v/>
      </c>
      <c r="AQ327" s="55">
        <f>IF($B327=$B326,$AQ326,0)+$AP327</f>
        <v/>
      </c>
      <c r="AR327" s="55">
        <f>$AR326+$AP327</f>
        <v/>
      </c>
      <c r="AS327" s="57">
        <f>SUMIFS(tblFleet[Calendar_h],tblFleet[Date],$A327,tblFleet[Equipment_Class],"Excavator")</f>
        <v/>
      </c>
      <c r="AT327" s="57">
        <f>IF($B327=$B326,$AT326,0)+$AS327</f>
        <v/>
      </c>
      <c r="AU327" s="57">
        <f>$AU326+$AS327</f>
        <v/>
      </c>
      <c r="AV327" s="57">
        <f>SUMIFS(tblFleet[Available_h],tblFleet[Date],$A327,tblFleet[Equipment_Class],"Excavator")</f>
        <v/>
      </c>
      <c r="AW327" s="57">
        <f>IF($B327=$B326,$AW326,0)+$AV327</f>
        <v/>
      </c>
      <c r="AX327" s="57">
        <f>$AX326+$AV327</f>
        <v/>
      </c>
      <c r="AY327" s="57">
        <f>SUMIFS(tblFleet[Operating_h],tblFleet[Date],$A327,tblFleet[Equipment_Class],"Excavator")</f>
        <v/>
      </c>
      <c r="AZ327" s="57">
        <f>IF($B327=$B326,$AZ326,0)+$AY327</f>
        <v/>
      </c>
      <c r="BA327" s="57">
        <f>$BA326+$AY327</f>
        <v/>
      </c>
      <c r="BB327" s="67">
        <f>IFERROR(IF(($AS327)&gt;0,($AV327)/($AS327),""),"")</f>
        <v/>
      </c>
      <c r="BC327" s="67">
        <f>IFERROR(IF(($AT327)&gt;0,($AW327)/($AT327),""),"")</f>
        <v/>
      </c>
      <c r="BD327" s="67">
        <f>IFERROR(IF(($AU327)&gt;0,($AX327)/($AU327),""),"")</f>
        <v/>
      </c>
      <c r="BE327" s="67">
        <f>IFERROR(IF(($AV327)&gt;0,($AY327)/($AV327),""),"")</f>
        <v/>
      </c>
      <c r="BF327" s="67">
        <f>IFERROR(IF(($AW327)&gt;0,($AZ327)/($AW327),""),"")</f>
        <v/>
      </c>
      <c r="BG327" s="67">
        <f>IFERROR(IF(($AX327)&gt;0,($BA327)/($AX327),""),"")</f>
        <v/>
      </c>
      <c r="BH327" s="57">
        <f>SUMIFS(tblFleet[Calendar_h],tblFleet[Date],$A327,tblFleet[Equipment_Class],"Haul Truck")</f>
        <v/>
      </c>
      <c r="BI327" s="57">
        <f>IF($B327=$B326,$BI326,0)+$BH327</f>
        <v/>
      </c>
      <c r="BJ327" s="57">
        <f>$BJ326+$BH327</f>
        <v/>
      </c>
      <c r="BK327" s="57">
        <f>SUMIFS(tblFleet[Available_h],tblFleet[Date],$A327,tblFleet[Equipment_Class],"Haul Truck")</f>
        <v/>
      </c>
      <c r="BL327" s="57">
        <f>IF($B327=$B326,$BL326,0)+$BK327</f>
        <v/>
      </c>
      <c r="BM327" s="57">
        <f>$BM326+$BK327</f>
        <v/>
      </c>
      <c r="BN327" s="57">
        <f>SUMIFS(tblFleet[Operating_h],tblFleet[Date],$A327,tblFleet[Equipment_Class],"Haul Truck")</f>
        <v/>
      </c>
      <c r="BO327" s="57">
        <f>IF($B327=$B326,$BO326,0)+$BN327</f>
        <v/>
      </c>
      <c r="BP327" s="57">
        <f>$BP326+$BN327</f>
        <v/>
      </c>
      <c r="BQ327" s="67">
        <f>IFERROR(IF(($BH327)&gt;0,($BK327)/($BH327),""),"")</f>
        <v/>
      </c>
      <c r="BR327" s="67">
        <f>IFERROR(IF(($BI327)&gt;0,($BL327)/($BI327),""),"")</f>
        <v/>
      </c>
      <c r="BS327" s="67">
        <f>IFERROR(IF(($BJ327)&gt;0,($BM327)/($BJ327),""),"")</f>
        <v/>
      </c>
      <c r="BT327" s="67">
        <f>IFERROR(IF(($BK327)&gt;0,($BN327)/($BK327),""),"")</f>
        <v/>
      </c>
      <c r="BU327" s="67">
        <f>IFERROR(IF(($BL327)&gt;0,($BO327)/($BL327),""),"")</f>
        <v/>
      </c>
      <c r="BV327" s="67">
        <f>IFERROR(IF(($BM327)&gt;0,($BP327)/($BM327),""),"")</f>
        <v/>
      </c>
      <c r="BW327" s="55">
        <f>SUMIFS(tblPlant[Crushed_t],tblPlant[Date],$A327)</f>
        <v/>
      </c>
      <c r="BX327" s="55">
        <f>IF($B327=$B326,$BX326,0)+$BW327</f>
        <v/>
      </c>
      <c r="BY327" s="55">
        <f>$BY326+$BW327</f>
        <v/>
      </c>
      <c r="BZ327" s="55">
        <f>SUMIFS(tblPlant[Milled_t],tblPlant[Date],$A327)</f>
        <v/>
      </c>
      <c r="CA327" s="55">
        <f>IF($B327=$B326,$CA326,0)+$BZ327</f>
        <v/>
      </c>
      <c r="CB327" s="55">
        <f>$CB326+$BZ327</f>
        <v/>
      </c>
      <c r="CC327" s="55">
        <f>SUMIFS(tblPlant[Feed_oz],tblPlant[Date],$A327)</f>
        <v/>
      </c>
      <c r="CD327" s="55">
        <f>IF($B327=$B326,$CD326,0)+$CC327</f>
        <v/>
      </c>
      <c r="CE327" s="55">
        <f>$CE326+$CC327</f>
        <v/>
      </c>
      <c r="CF327" s="55">
        <f>SUMIFS(tblPlant[Tails_oz],tblPlant[Date],$A327)</f>
        <v/>
      </c>
      <c r="CG327" s="55">
        <f>IF($B327=$B326,$CG326,0)+$CF327</f>
        <v/>
      </c>
      <c r="CH327" s="55">
        <f>$CH326+$CF327</f>
        <v/>
      </c>
      <c r="CI327" s="55">
        <f>SUMIFS(tblPlant[Recovered_oz],tblPlant[Date],$A327)</f>
        <v/>
      </c>
      <c r="CJ327" s="55">
        <f>IF($B327=$B326,$CJ326,0)+$CI327</f>
        <v/>
      </c>
      <c r="CK327" s="55">
        <f>$CK326+$CI327</f>
        <v/>
      </c>
      <c r="CL327" s="56">
        <f>IFERROR(IF(($BZ327)&gt;0,($CC327*cfg_TroyOz)/($BZ327),""),"")</f>
        <v/>
      </c>
      <c r="CM327" s="56">
        <f>IFERROR(IF(($CA327)&gt;0,($CD327*cfg_TroyOz)/($CA327),""),"")</f>
        <v/>
      </c>
      <c r="CN327" s="56">
        <f>IFERROR(IF(($CB327)&gt;0,($CE327*cfg_TroyOz)/($CB327),""),"")</f>
        <v/>
      </c>
      <c r="CO327" s="56">
        <f>IFERROR(IF(($BZ327)&gt;0,($CF327*cfg_TroyOz)/($BZ327),""),"")</f>
        <v/>
      </c>
      <c r="CP327" s="56">
        <f>IFERROR(IF(($CA327)&gt;0,($CG327*cfg_TroyOz)/($CA327),""),"")</f>
        <v/>
      </c>
      <c r="CQ327" s="56">
        <f>IFERROR(IF(($CB327)&gt;0,($CH327*cfg_TroyOz)/($CB327),""),"")</f>
        <v/>
      </c>
      <c r="CR327" s="67">
        <f>IFERROR(IF(($CC327)&gt;0,($CI327)/($CC327),""),"")</f>
        <v/>
      </c>
      <c r="CS327" s="67">
        <f>IFERROR(IF(($CD327)&gt;0,($CJ327)/($CD327),""),"")</f>
        <v/>
      </c>
      <c r="CT327" s="67">
        <f>IFERROR(IF(($CE327)&gt;0,($CK327)/($CE327),""),"")</f>
        <v/>
      </c>
      <c r="CU327" s="55">
        <f>SUMIFS(tblPlant[Gravity_Gold_oz],tblPlant[Date],$A327)</f>
        <v/>
      </c>
      <c r="CV327" s="55">
        <f>IF($B327=$B326,$CV326,0)+$CU327</f>
        <v/>
      </c>
      <c r="CW327" s="55">
        <f>$CW326+$CU327</f>
        <v/>
      </c>
      <c r="CX327" s="55">
        <f>SUMIFS(tblPlant[Gold_Poured_oz],tblPlant[Date],$A327)</f>
        <v/>
      </c>
      <c r="CY327" s="55">
        <f>IF($B327=$B326,$CY326,0)+$CX327</f>
        <v/>
      </c>
      <c r="CZ327" s="55">
        <f>$CZ326+$CX327</f>
        <v/>
      </c>
      <c r="DA327" s="57">
        <f>SUMIFS(tblPlant[Mill_Run_h],tblPlant[Date],$A327)</f>
        <v/>
      </c>
      <c r="DB327" s="57">
        <f>IF($B327=$B326,$DB326,0)+$DA327</f>
        <v/>
      </c>
      <c r="DC327" s="57">
        <f>$DC326+$DA327</f>
        <v/>
      </c>
      <c r="DD327" s="57">
        <f>SUMIFS(tblPlant[Mill_Planned_Maint_h],tblPlant[Date],$A327)</f>
        <v/>
      </c>
      <c r="DE327" s="57">
        <f>IF($B327=$B326,$DE326,0)+$DD327</f>
        <v/>
      </c>
      <c r="DF327" s="57">
        <f>$DF326+$DD327</f>
        <v/>
      </c>
      <c r="DG327" s="57">
        <f>SUMIFS(tblPlant[Mill_Unplanned_Down_h],tblPlant[Date],$A327)</f>
        <v/>
      </c>
      <c r="DH327" s="57">
        <f>IF($B327=$B326,$DH326,0)+$DG327</f>
        <v/>
      </c>
      <c r="DI327" s="57">
        <f>$DI326+$DG327</f>
        <v/>
      </c>
      <c r="DJ327" s="57">
        <f>COUNTIFS(tblPlant[Date],$A327,tblPlant[Mill_Run_h],"&lt;&gt;")*24</f>
        <v/>
      </c>
      <c r="DK327" s="57">
        <f>IF($B327=$B326,$DK326,0)+$DJ327</f>
        <v/>
      </c>
      <c r="DL327" s="57">
        <f>$DL326+$DJ327</f>
        <v/>
      </c>
      <c r="DM327" s="57">
        <f>SUMIFS(tblPlant[Crusher_Run_h],tblPlant[Date],$A327)</f>
        <v/>
      </c>
      <c r="DN327" s="57">
        <f>IF($B327=$B326,$DN326,0)+$DM327</f>
        <v/>
      </c>
      <c r="DO327" s="57">
        <f>$DO326+$DM327</f>
        <v/>
      </c>
      <c r="DP327" s="55">
        <f>IFERROR(IF(($DA327)&gt;0,($BZ327)/($DA327),""),"")</f>
        <v/>
      </c>
      <c r="DQ327" s="55">
        <f>IFERROR(IF(($DB327)&gt;0,($CA327)/($DB327),""),"")</f>
        <v/>
      </c>
      <c r="DR327" s="55">
        <f>IFERROR(IF(($DC327)&gt;0,($CB327)/($DC327),""),"")</f>
        <v/>
      </c>
      <c r="DS327" s="67">
        <f>IFERROR(IF(($DJ327)&gt;0,($DJ327-$DD327-$DG327)/($DJ327),""),"")</f>
        <v/>
      </c>
      <c r="DT327" s="67">
        <f>IFERROR(IF(($DK327)&gt;0,($DK327-$DE327-$DH327)/($DK327),""),"")</f>
        <v/>
      </c>
      <c r="DU327" s="67">
        <f>IFERROR(IF(($DL327)&gt;0,($DL327-$DF327-$DI327)/($DL327),""),"")</f>
        <v/>
      </c>
      <c r="DV327" s="67">
        <f>IFERROR(IF(($DJ327-$DD327-$DG327)&gt;0,($DA327)/($DJ327-$DD327-$DG327),""),"")</f>
        <v/>
      </c>
      <c r="DW327" s="67">
        <f>IFERROR(IF(($DK327-$DE327-$DH327)&gt;0,($DB327)/($DK327-$DE327-$DH327),""),"")</f>
        <v/>
      </c>
      <c r="DX327" s="67">
        <f>IFERROR(IF(($DL327-$DF327-$DI327)&gt;0,($DC327)/($DL327-$DF327-$DI327),""),"")</f>
        <v/>
      </c>
      <c r="DY327" s="55">
        <f>SUMIFS(tblPlant[Cyanide_kg],tblPlant[Date],$A327)</f>
        <v/>
      </c>
      <c r="DZ327" s="55">
        <f>IF($B327=$B326,$DZ326,0)+$DY327</f>
        <v/>
      </c>
      <c r="EA327" s="55">
        <f>$EA326+$DY327</f>
        <v/>
      </c>
      <c r="EB327" s="55">
        <f>SUMIFS(tblPlant[Lime_kg],tblPlant[Date],$A327)</f>
        <v/>
      </c>
      <c r="EC327" s="55">
        <f>IF($B327=$B326,$EC326,0)+$EB327</f>
        <v/>
      </c>
      <c r="ED327" s="55">
        <f>$ED326+$EB327</f>
        <v/>
      </c>
      <c r="EE327" s="55">
        <f>SUMIFS(tblPlant[Grinding_Media_kg],tblPlant[Date],$A327)</f>
        <v/>
      </c>
      <c r="EF327" s="55">
        <f>IF($B327=$B326,$EF326,0)+$EE327</f>
        <v/>
      </c>
      <c r="EG327" s="55">
        <f>$EG326+$EE327</f>
        <v/>
      </c>
      <c r="EH327" s="55">
        <f>SUMIFS(tblPlant[Power_kWh],tblPlant[Date],$A327)</f>
        <v/>
      </c>
      <c r="EI327" s="55">
        <f>IF($B327=$B326,$EI326,0)+$EH327</f>
        <v/>
      </c>
      <c r="EJ327" s="55">
        <f>$EJ326+$EH327</f>
        <v/>
      </c>
      <c r="EK327" s="55">
        <f>SUMIFS(tblPlant[Raw_Water_m3],tblPlant[Date],$A327)</f>
        <v/>
      </c>
      <c r="EL327" s="55">
        <f>IF($B327=$B326,$EL326,0)+$EK327</f>
        <v/>
      </c>
      <c r="EM327" s="55">
        <f>$EM326+$EK327</f>
        <v/>
      </c>
      <c r="EN327" s="56">
        <f>IFERROR(IF(($BZ327)&gt;0,($DY327)/($BZ327),""),"")</f>
        <v/>
      </c>
      <c r="EO327" s="56">
        <f>IFERROR(IF(($CA327)&gt;0,($DZ327)/($CA327),""),"")</f>
        <v/>
      </c>
      <c r="EP327" s="56">
        <f>IFERROR(IF(($CB327)&gt;0,($EA327)/($CB327),""),"")</f>
        <v/>
      </c>
      <c r="EQ327" s="56">
        <f>IFERROR(IF(($BZ327)&gt;0,($EB327)/($BZ327),""),"")</f>
        <v/>
      </c>
      <c r="ER327" s="56">
        <f>IFERROR(IF(($CA327)&gt;0,($EC327)/($CA327),""),"")</f>
        <v/>
      </c>
      <c r="ES327" s="56">
        <f>IFERROR(IF(($CB327)&gt;0,($ED327)/($CB327),""),"")</f>
        <v/>
      </c>
      <c r="ET327" s="56">
        <f>IFERROR(IF(($BZ327)&gt;0,($EE327)/($BZ327),""),"")</f>
        <v/>
      </c>
      <c r="EU327" s="56">
        <f>IFERROR(IF(($CA327)&gt;0,($EF327)/($CA327),""),"")</f>
        <v/>
      </c>
      <c r="EV327" s="56">
        <f>IFERROR(IF(($CB327)&gt;0,($EG327)/($CB327),""),"")</f>
        <v/>
      </c>
      <c r="EW327" s="76">
        <f>IFERROR(IF(($BZ327)&gt;0,($EH327)/($BZ327),""),"")</f>
        <v/>
      </c>
      <c r="EX327" s="76">
        <f>IFERROR(IF(($CA327)&gt;0,($EI327)/($CA327),""),"")</f>
        <v/>
      </c>
      <c r="EY327" s="76">
        <f>IFERROR(IF(($CB327)&gt;0,($EJ327)/($CB327),""),"")</f>
        <v/>
      </c>
      <c r="EZ327" s="56">
        <f>IFERROR(IF(($BZ327)&gt;0,($EK327)/($BZ327),""),"")</f>
        <v/>
      </c>
      <c r="FA327" s="56">
        <f>IFERROR(IF(($CA327)&gt;0,($EL327)/($CA327),""),"")</f>
        <v/>
      </c>
      <c r="FB327" s="56">
        <f>IFERROR(IF(($CB327)&gt;0,($EM327)/($CB327),""),"")</f>
        <v/>
      </c>
      <c r="FC327" s="55">
        <f>IF(SUMIFS(tblPlant[GIC_oz],tblPlant[Date],$A327)&gt;0,SUMIFS(tblPlant[GIC_oz],tblPlant[Date],$A327),"")</f>
        <v/>
      </c>
      <c r="FD327" s="55">
        <f>SUMIFS(tblGold[Gold_oz],tblGold[Date],$A327,tblGold[Type],"Shipment")</f>
        <v/>
      </c>
      <c r="FE327" s="55">
        <f>IF($B327=$B326,$FE326,0)+$FD327</f>
        <v/>
      </c>
      <c r="FF327" s="55">
        <f>$FF326+$FD327</f>
        <v/>
      </c>
      <c r="FG327" s="55">
        <f>SUMIFS(tblGold[Gold_oz],tblGold[Date],$A327,tblGold[Type],"Sale")</f>
        <v/>
      </c>
      <c r="FH327" s="55">
        <f>IF($B327=$B326,$FH326,0)+$FG327</f>
        <v/>
      </c>
      <c r="FI327" s="55">
        <f>$FI326+$FG327</f>
        <v/>
      </c>
      <c r="FJ327" s="55">
        <f>SUMIFS(tblGold[Dore_kg],tblGold[Date],$A327,tblGold[Type],"Shipment")</f>
        <v/>
      </c>
      <c r="FK327" s="55">
        <f>IF($B327=$B326,$FK326,0)+$FJ327</f>
        <v/>
      </c>
      <c r="FL327" s="55">
        <f>$FL326+$FJ327</f>
        <v/>
      </c>
      <c r="FM327" s="57">
        <f>SUMIFS(tblSafety[Hours_Total],tblSafety[Date],$A327)</f>
        <v/>
      </c>
      <c r="FN327" s="57">
        <f>IF($B327=$B326,$FN326,0)+$FM327</f>
        <v/>
      </c>
      <c r="FO327" s="57">
        <f>$FO326+$FM327</f>
        <v/>
      </c>
      <c r="FP327" s="62">
        <f>SUMIFS(tblSafety[Fatality],tblSafety[Date],$A327)</f>
        <v/>
      </c>
      <c r="FQ327" s="62">
        <f>IF($B327=$B326,$FQ326,0)+$FP327</f>
        <v/>
      </c>
      <c r="FR327" s="62">
        <f>$FR326+$FP327</f>
        <v/>
      </c>
      <c r="FS327" s="62">
        <f>SUMIFS(tblSafety[LTI],tblSafety[Date],$A327)</f>
        <v/>
      </c>
      <c r="FT327" s="62">
        <f>IF($B327=$B326,$FT326,0)+$FS327</f>
        <v/>
      </c>
      <c r="FU327" s="62">
        <f>$FU326+$FS327</f>
        <v/>
      </c>
      <c r="FV327" s="62">
        <f>SUMIFS(tblSafety[RWI],tblSafety[Date],$A327)</f>
        <v/>
      </c>
      <c r="FW327" s="62">
        <f>IF($B327=$B326,$FW326,0)+$FV327</f>
        <v/>
      </c>
      <c r="FX327" s="62">
        <f>$FX326+$FV327</f>
        <v/>
      </c>
      <c r="FY327" s="62">
        <f>SUMIFS(tblSafety[MTI],tblSafety[Date],$A327)</f>
        <v/>
      </c>
      <c r="FZ327" s="62">
        <f>IF($B327=$B326,$FZ326,0)+$FY327</f>
        <v/>
      </c>
      <c r="GA327" s="62">
        <f>$GA326+$FY327</f>
        <v/>
      </c>
      <c r="GB327" s="62">
        <f>SUMIFS(tblSafety[FAI],tblSafety[Date],$A327)</f>
        <v/>
      </c>
      <c r="GC327" s="62">
        <f>IF($B327=$B326,$GC326,0)+$GB327</f>
        <v/>
      </c>
      <c r="GD327" s="62">
        <f>$GD326+$GB327</f>
        <v/>
      </c>
      <c r="GE327" s="62">
        <f>SUMIFS(tblSafety[Recordables],tblSafety[Date],$A327)</f>
        <v/>
      </c>
      <c r="GF327" s="62">
        <f>IF($B327=$B326,$GF326,0)+$GE327</f>
        <v/>
      </c>
      <c r="GG327" s="62">
        <f>$GG326+$GE327</f>
        <v/>
      </c>
      <c r="GH327" s="62">
        <f>SUMIFS(tblSafety[Near_Miss],tblSafety[Date],$A327)</f>
        <v/>
      </c>
      <c r="GI327" s="62">
        <f>IF($B327=$B326,$GI326,0)+$GH327</f>
        <v/>
      </c>
      <c r="GJ327" s="62">
        <f>$GJ326+$GH327</f>
        <v/>
      </c>
      <c r="GK327" s="62">
        <f>SUMIFS(tblSafety[Hazard_Reports],tblSafety[Date],$A327)</f>
        <v/>
      </c>
      <c r="GL327" s="62">
        <f>IF($B327=$B326,$GL326,0)+$GK327</f>
        <v/>
      </c>
      <c r="GM327" s="62">
        <f>$GM326+$GK327</f>
        <v/>
      </c>
      <c r="GN327" s="62">
        <f>SUMIFS(tblSafety[HPI],tblSafety[Date],$A327)</f>
        <v/>
      </c>
      <c r="GO327" s="62">
        <f>IF($B327=$B326,$GO326,0)+$GN327</f>
        <v/>
      </c>
      <c r="GP327" s="62">
        <f>$GP326+$GN327</f>
        <v/>
      </c>
      <c r="GQ327" s="62">
        <f>SUMIFS(tblSafety[Env_Incidents],tblSafety[Date],$A327)</f>
        <v/>
      </c>
      <c r="GR327" s="62">
        <f>IF($B327=$B326,$GR326,0)+$GQ327</f>
        <v/>
      </c>
      <c r="GS327" s="62">
        <f>$GS326+$GQ327</f>
        <v/>
      </c>
      <c r="GT327" s="62">
        <f>SUMIFS(tblSafety[Community_Incidents],tblSafety[Date],$A327)</f>
        <v/>
      </c>
      <c r="GU327" s="62">
        <f>IF($B327=$B326,$GU326,0)+$GT327</f>
        <v/>
      </c>
      <c r="GV327" s="62">
        <f>$GV326+$GT327</f>
        <v/>
      </c>
      <c r="GW327" s="62">
        <f>SUMIFS(tblSafety[Vehicle_Incidents],tblSafety[Date],$A327)</f>
        <v/>
      </c>
      <c r="GX327" s="62">
        <f>IF($B327=$B326,$GX326,0)+$GW327</f>
        <v/>
      </c>
      <c r="GY327" s="62">
        <f>$GY326+$GW327</f>
        <v/>
      </c>
      <c r="GZ327" s="62">
        <f>SUMIFS(tblSafety[Toolbox_Talks],tblSafety[Date],$A327)</f>
        <v/>
      </c>
      <c r="HA327" s="62">
        <f>IF($B327=$B326,$HA326,0)+$GZ327</f>
        <v/>
      </c>
      <c r="HB327" s="62">
        <f>$HB326+$GZ327</f>
        <v/>
      </c>
      <c r="HC327" s="62">
        <f>SUMIFS(tblSafety[Inspections],tblSafety[Date],$A327)</f>
        <v/>
      </c>
      <c r="HD327" s="62">
        <f>IF($B327=$B326,$HD326,0)+$HC327</f>
        <v/>
      </c>
      <c r="HE327" s="62">
        <f>$HE326+$HC327</f>
        <v/>
      </c>
      <c r="HF327" s="56">
        <f>IFERROR((SUMIFS(tblSafety[Recordables],tblSafety[Date],"&gt;="&amp;EDATE($E327,-12),tblSafety[Date],"&lt;="&amp;$A327)+SUMIFS(tblSafetyHistory[Recordables],tblSafetyHistory[Month],"&gt;="&amp;EDATE($E327,-12),tblSafetyHistory[Month],"&lt;"&amp;cfg_YearStart))/(SUMIFS(tblSafety[Hours_Total],tblSafety[Date],"&gt;="&amp;EDATE($E327,-12),tblSafety[Date],"&lt;="&amp;$A327)+SUMIFS(tblSafetyHistory[Hours_Total],tblSafetyHistory[Month],"&gt;="&amp;EDATE($E327,-12),tblSafetyHistory[Month],"&lt;"&amp;cfg_YearStart))*1000000,"")</f>
        <v/>
      </c>
      <c r="HG327" s="56">
        <f>IFERROR((SUMIFS(tblSafety[LTI],tblSafety[Date],"&gt;="&amp;EDATE($E327,-12),tblSafety[Date],"&lt;="&amp;$A327)+SUMIFS(tblSafetyHistory[LTI],tblSafetyHistory[Month],"&gt;="&amp;EDATE($E327,-12),tblSafetyHistory[Month],"&lt;"&amp;cfg_YearStart))/(SUMIFS(tblSafety[Hours_Total],tblSafety[Date],"&gt;="&amp;EDATE($E327,-12),tblSafety[Date],"&lt;="&amp;$A327)+SUMIFS(tblSafetyHistory[Hours_Total],tblSafetyHistory[Month],"&gt;="&amp;EDATE($E327,-12),tblSafetyHistory[Month],"&lt;"&amp;cfg_YearStart))*1000000,"")</f>
        <v/>
      </c>
      <c r="HH327" s="62">
        <f>IF(MAX(N(cfg_PriorLTIDate),_xlfn.MAXIFS(tblSafety[Date],tblSafety[LTI],"&gt;0",tblSafety[Date],"&lt;="&amp;$A327))=0,"",$A327-MAX(N(cfg_PriorLTIDate),_xlfn.MAXIFS(tblSafety[Date],tblSafety[LTI],"&gt;0",tblSafety[Date],"&lt;="&amp;$A327)))</f>
        <v/>
      </c>
      <c r="HI327" s="55">
        <f>SUMIFS(tblBudget[Ore_Mined_t],tblBudget[Month],$E327)</f>
        <v/>
      </c>
      <c r="HJ327" s="55">
        <f>$HI327*$C327/$D327</f>
        <v/>
      </c>
      <c r="HK327" s="55">
        <f>SUMIFS(tblBudget[Ore_Mined_t],tblBudget[Month],"&lt;"&amp;$E327)+$HJ327</f>
        <v/>
      </c>
      <c r="HL327" s="55">
        <f>SUMIFS(tblBudget[Ore_oz],tblBudget[Month],$E327)</f>
        <v/>
      </c>
      <c r="HM327" s="55">
        <f>$HL327*$C327/$D327</f>
        <v/>
      </c>
      <c r="HN327" s="55">
        <f>SUMIFS(tblBudget[Ore_oz],tblBudget[Month],"&lt;"&amp;$E327)+$HM327</f>
        <v/>
      </c>
      <c r="HO327" s="56">
        <f>IFERROR(IF(($HI327)&gt;0,($HL327*cfg_TroyOz)/($HI327),""),"")</f>
        <v/>
      </c>
      <c r="HP327" s="56">
        <f>IFERROR(IF(($HJ327)&gt;0,($HM327*cfg_TroyOz)/($HJ327),""),"")</f>
        <v/>
      </c>
      <c r="HQ327" s="56">
        <f>IFERROR(IF(($HK327)&gt;0,($HN327*cfg_TroyOz)/($HK327),""),"")</f>
        <v/>
      </c>
      <c r="HR327" s="55">
        <f>SUMIFS(tblBudget[Waste_t],tblBudget[Month],$E327)</f>
        <v/>
      </c>
      <c r="HS327" s="55">
        <f>$HR327*$C327/$D327</f>
        <v/>
      </c>
      <c r="HT327" s="55">
        <f>SUMIFS(tblBudget[Waste_t],tblBudget[Month],"&lt;"&amp;$E327)+$HS327</f>
        <v/>
      </c>
      <c r="HU327" s="55">
        <f>SUMIFS(tblBudget[TMM_t],tblBudget[Month],$E327)</f>
        <v/>
      </c>
      <c r="HV327" s="55">
        <f>$HU327*$C327/$D327</f>
        <v/>
      </c>
      <c r="HW327" s="55">
        <f>SUMIFS(tblBudget[TMM_t],tblBudget[Month],"&lt;"&amp;$E327)+$HV327</f>
        <v/>
      </c>
      <c r="HX327" s="56">
        <f>IFERROR(IF(($HI327)&gt;0,($HR327)/($HI327),""),"")</f>
        <v/>
      </c>
      <c r="HY327" s="56">
        <f>IFERROR(IF(($HJ327)&gt;0,($HS327)/($HJ327),""),"")</f>
        <v/>
      </c>
      <c r="HZ327" s="56">
        <f>IFERROR(IF(($HK327)&gt;0,($HT327)/($HK327),""),"")</f>
        <v/>
      </c>
      <c r="IA327" s="55">
        <f>SUMIFS(tblBudget[Drill_m],tblBudget[Month],$E327)</f>
        <v/>
      </c>
      <c r="IB327" s="55">
        <f>$IA327*$C327/$D327</f>
        <v/>
      </c>
      <c r="IC327" s="55">
        <f>SUMIFS(tblBudget[Drill_m],tblBudget[Month],"&lt;"&amp;$E327)+$IB327</f>
        <v/>
      </c>
      <c r="ID327" s="55">
        <f>SUMIFS(tblBudget[Diesel_L],tblBudget[Month],$E327)</f>
        <v/>
      </c>
      <c r="IE327" s="55">
        <f>$ID327*$C327/$D327</f>
        <v/>
      </c>
      <c r="IF327" s="55">
        <f>SUMIFS(tblBudget[Diesel_L],tblBudget[Month],"&lt;"&amp;$E327)+$IE327</f>
        <v/>
      </c>
      <c r="IG327" s="55">
        <f>SUMIFS(tblBudget[Milled_t],tblBudget[Month],$E327)</f>
        <v/>
      </c>
      <c r="IH327" s="55">
        <f>$IG327*$C327/$D327</f>
        <v/>
      </c>
      <c r="II327" s="55">
        <f>SUMIFS(tblBudget[Milled_t],tblBudget[Month],"&lt;"&amp;$E327)+$IH327</f>
        <v/>
      </c>
      <c r="IJ327" s="55">
        <f>SUMIFS(tblBudget[Feed_oz],tblBudget[Month],$E327)</f>
        <v/>
      </c>
      <c r="IK327" s="55">
        <f>$IJ327*$C327/$D327</f>
        <v/>
      </c>
      <c r="IL327" s="55">
        <f>SUMIFS(tblBudget[Feed_oz],tblBudget[Month],"&lt;"&amp;$E327)+$IK327</f>
        <v/>
      </c>
      <c r="IM327" s="55">
        <f>SUMIFS(tblBudget[Recovered_oz],tblBudget[Month],$E327)</f>
        <v/>
      </c>
      <c r="IN327" s="55">
        <f>$IM327*$C327/$D327</f>
        <v/>
      </c>
      <c r="IO327" s="55">
        <f>SUMIFS(tblBudget[Recovered_oz],tblBudget[Month],"&lt;"&amp;$E327)+$IN327</f>
        <v/>
      </c>
      <c r="IP327" s="56">
        <f>IFERROR(IF(($IG327)&gt;0,($IJ327*cfg_TroyOz)/($IG327),""),"")</f>
        <v/>
      </c>
      <c r="IQ327" s="56">
        <f>IFERROR(IF(($IH327)&gt;0,($IK327*cfg_TroyOz)/($IH327),""),"")</f>
        <v/>
      </c>
      <c r="IR327" s="56">
        <f>IFERROR(IF(($II327)&gt;0,($IL327*cfg_TroyOz)/($II327),""),"")</f>
        <v/>
      </c>
      <c r="IS327" s="67">
        <f>IFERROR(IF(($IJ327)&gt;0,($IM327)/($IJ327),""),"")</f>
        <v/>
      </c>
      <c r="IT327" s="67">
        <f>IFERROR(IF(($IK327)&gt;0,($IN327)/($IK327),""),"")</f>
        <v/>
      </c>
      <c r="IU327" s="67">
        <f>IFERROR(IF(($IL327)&gt;0,($IO327)/($IL327),""),"")</f>
        <v/>
      </c>
      <c r="IV327" s="55">
        <f>SUMIFS(tblBudget[Gold_Poured_oz],tblBudget[Month],$E327)</f>
        <v/>
      </c>
      <c r="IW327" s="55">
        <f>$IV327*$C327/$D327</f>
        <v/>
      </c>
      <c r="IX327" s="55">
        <f>SUMIFS(tblBudget[Gold_Poured_oz],tblBudget[Month],"&lt;"&amp;$E327)+$IW327</f>
        <v/>
      </c>
      <c r="IY327" s="57">
        <f>SUMIFS(tblBudget[Hours_Worked],tblBudget[Month],$E327)</f>
        <v/>
      </c>
      <c r="IZ327" s="57">
        <f>$IY327*$C327/$D327</f>
        <v/>
      </c>
      <c r="JA327" s="57">
        <f>SUMIFS(tblBudget[Hours_Worked],tblBudget[Month],"&lt;"&amp;$E327)+$IZ327</f>
        <v/>
      </c>
    </row>
    <row r="328">
      <c r="A328" s="54" t="n">
        <v>46349</v>
      </c>
      <c r="B328">
        <f>MONTH($A328)</f>
        <v/>
      </c>
      <c r="C328">
        <f>DAY($A328)</f>
        <v/>
      </c>
      <c r="D328">
        <f>DAY(EOMONTH($A328,0))</f>
        <v/>
      </c>
      <c r="E328" s="54">
        <f>DATE(YEAR($A328),MONTH($A328),1)</f>
        <v/>
      </c>
      <c r="F328" s="55">
        <f>SUMIFS(tblMovement[Tonnes_t],tblMovement[Date],$A328,tblMovement[Is_Ore],1,tblMovement[Source_Type],"Pit")</f>
        <v/>
      </c>
      <c r="G328" s="55">
        <f>IF($B328=$B327,$G327,0)+$F328</f>
        <v/>
      </c>
      <c r="H328" s="55">
        <f>$H327+$F328</f>
        <v/>
      </c>
      <c r="I328" s="55">
        <f>SUMIFS(tblMovement[Ore_oz],tblMovement[Date],$A328,tblMovement[Source_Type],"Pit")</f>
        <v/>
      </c>
      <c r="J328" s="55">
        <f>IF($B328=$B327,$J327,0)+$I328</f>
        <v/>
      </c>
      <c r="K328" s="55">
        <f>$K327+$I328</f>
        <v/>
      </c>
      <c r="L328" s="56">
        <f>IFERROR(IF(($F328)&gt;0,($I328*cfg_TroyOz)/($F328),""),"")</f>
        <v/>
      </c>
      <c r="M328" s="56">
        <f>IFERROR(IF(($G328)&gt;0,($J328*cfg_TroyOz)/($G328),""),"")</f>
        <v/>
      </c>
      <c r="N328" s="56">
        <f>IFERROR(IF(($H328)&gt;0,($K328*cfg_TroyOz)/($H328),""),"")</f>
        <v/>
      </c>
      <c r="O328" s="55">
        <f>SUMIFS(tblMovement[Tonnes_t],tblMovement[Date],$A328,tblMovement[Is_Ore],0,tblMovement[Source_Type],"Pit")</f>
        <v/>
      </c>
      <c r="P328" s="55">
        <f>IF($B328=$B327,$P327,0)+$O328</f>
        <v/>
      </c>
      <c r="Q328" s="55">
        <f>$Q327+$O328</f>
        <v/>
      </c>
      <c r="R328" s="55">
        <f>$F328+$O328</f>
        <v/>
      </c>
      <c r="S328" s="55">
        <f>IF($B328=$B327,$S327,0)+$R328</f>
        <v/>
      </c>
      <c r="T328" s="55">
        <f>$T327+$R328</f>
        <v/>
      </c>
      <c r="U328" s="56">
        <f>IFERROR(IF(($F328)&gt;0,($O328)/($F328),""),"")</f>
        <v/>
      </c>
      <c r="V328" s="56">
        <f>IFERROR(IF(($G328)&gt;0,($P328)/($G328),""),"")</f>
        <v/>
      </c>
      <c r="W328" s="56">
        <f>IFERROR(IF(($H328)&gt;0,($Q328)/($H328),""),"")</f>
        <v/>
      </c>
      <c r="X328" s="55">
        <f>SUMIFS(tblMovement[Tonnes_t],tblMovement[Date],$A328,tblMovement[Source_Type],"Stockpile")</f>
        <v/>
      </c>
      <c r="Y328" s="55">
        <f>IF($B328=$B327,$Y327,0)+$X328</f>
        <v/>
      </c>
      <c r="Z328" s="55">
        <f>$Z327+$X328</f>
        <v/>
      </c>
      <c r="AA328" s="55">
        <f>SUMIFS(tblMiningDaily[Drill_m],tblMiningDaily[Date],$A328)</f>
        <v/>
      </c>
      <c r="AB328" s="55">
        <f>IF($B328=$B327,$AB327,0)+$AA328</f>
        <v/>
      </c>
      <c r="AC328" s="55">
        <f>$AC327+$AA328</f>
        <v/>
      </c>
      <c r="AD328" s="55">
        <f>SUMIFS(tblMiningDaily[Blast_t],tblMiningDaily[Date],$A328)</f>
        <v/>
      </c>
      <c r="AE328" s="55">
        <f>IF($B328=$B327,$AE327,0)+$AD328</f>
        <v/>
      </c>
      <c r="AF328" s="55">
        <f>$AF327+$AD328</f>
        <v/>
      </c>
      <c r="AG328" s="55">
        <f>SUMIFS(tblMiningDaily[Explosives_kg],tblMiningDaily[Date],$A328)</f>
        <v/>
      </c>
      <c r="AH328" s="55">
        <f>IF($B328=$B327,$AH327,0)+$AG328</f>
        <v/>
      </c>
      <c r="AI328" s="55">
        <f>$AI327+$AG328</f>
        <v/>
      </c>
      <c r="AJ328" s="56">
        <f>IFERROR(IF(($AD328)&gt;0,($AG328)/($AD328),""),"")</f>
        <v/>
      </c>
      <c r="AK328" s="56">
        <f>IFERROR(IF(($AE328)&gt;0,($AH328)/($AE328),""),"")</f>
        <v/>
      </c>
      <c r="AL328" s="56">
        <f>IFERROR(IF(($AF328)&gt;0,($AI328)/($AF328),""),"")</f>
        <v/>
      </c>
      <c r="AM328" s="55">
        <f>SUMIFS(tblMiningDaily[Diesel_L],tblMiningDaily[Date],$A328)</f>
        <v/>
      </c>
      <c r="AN328" s="55">
        <f>IF($B328=$B327,$AN327,0)+$AM328</f>
        <v/>
      </c>
      <c r="AO328" s="55">
        <f>$AO327+$AM328</f>
        <v/>
      </c>
      <c r="AP328" s="55">
        <f>SUMIFS(tblMiningDaily[Dewatering_m3],tblMiningDaily[Date],$A328)</f>
        <v/>
      </c>
      <c r="AQ328" s="55">
        <f>IF($B328=$B327,$AQ327,0)+$AP328</f>
        <v/>
      </c>
      <c r="AR328" s="55">
        <f>$AR327+$AP328</f>
        <v/>
      </c>
      <c r="AS328" s="57">
        <f>SUMIFS(tblFleet[Calendar_h],tblFleet[Date],$A328,tblFleet[Equipment_Class],"Excavator")</f>
        <v/>
      </c>
      <c r="AT328" s="57">
        <f>IF($B328=$B327,$AT327,0)+$AS328</f>
        <v/>
      </c>
      <c r="AU328" s="57">
        <f>$AU327+$AS328</f>
        <v/>
      </c>
      <c r="AV328" s="57">
        <f>SUMIFS(tblFleet[Available_h],tblFleet[Date],$A328,tblFleet[Equipment_Class],"Excavator")</f>
        <v/>
      </c>
      <c r="AW328" s="57">
        <f>IF($B328=$B327,$AW327,0)+$AV328</f>
        <v/>
      </c>
      <c r="AX328" s="57">
        <f>$AX327+$AV328</f>
        <v/>
      </c>
      <c r="AY328" s="57">
        <f>SUMIFS(tblFleet[Operating_h],tblFleet[Date],$A328,tblFleet[Equipment_Class],"Excavator")</f>
        <v/>
      </c>
      <c r="AZ328" s="57">
        <f>IF($B328=$B327,$AZ327,0)+$AY328</f>
        <v/>
      </c>
      <c r="BA328" s="57">
        <f>$BA327+$AY328</f>
        <v/>
      </c>
      <c r="BB328" s="67">
        <f>IFERROR(IF(($AS328)&gt;0,($AV328)/($AS328),""),"")</f>
        <v/>
      </c>
      <c r="BC328" s="67">
        <f>IFERROR(IF(($AT328)&gt;0,($AW328)/($AT328),""),"")</f>
        <v/>
      </c>
      <c r="BD328" s="67">
        <f>IFERROR(IF(($AU328)&gt;0,($AX328)/($AU328),""),"")</f>
        <v/>
      </c>
      <c r="BE328" s="67">
        <f>IFERROR(IF(($AV328)&gt;0,($AY328)/($AV328),""),"")</f>
        <v/>
      </c>
      <c r="BF328" s="67">
        <f>IFERROR(IF(($AW328)&gt;0,($AZ328)/($AW328),""),"")</f>
        <v/>
      </c>
      <c r="BG328" s="67">
        <f>IFERROR(IF(($AX328)&gt;0,($BA328)/($AX328),""),"")</f>
        <v/>
      </c>
      <c r="BH328" s="57">
        <f>SUMIFS(tblFleet[Calendar_h],tblFleet[Date],$A328,tblFleet[Equipment_Class],"Haul Truck")</f>
        <v/>
      </c>
      <c r="BI328" s="57">
        <f>IF($B328=$B327,$BI327,0)+$BH328</f>
        <v/>
      </c>
      <c r="BJ328" s="57">
        <f>$BJ327+$BH328</f>
        <v/>
      </c>
      <c r="BK328" s="57">
        <f>SUMIFS(tblFleet[Available_h],tblFleet[Date],$A328,tblFleet[Equipment_Class],"Haul Truck")</f>
        <v/>
      </c>
      <c r="BL328" s="57">
        <f>IF($B328=$B327,$BL327,0)+$BK328</f>
        <v/>
      </c>
      <c r="BM328" s="57">
        <f>$BM327+$BK328</f>
        <v/>
      </c>
      <c r="BN328" s="57">
        <f>SUMIFS(tblFleet[Operating_h],tblFleet[Date],$A328,tblFleet[Equipment_Class],"Haul Truck")</f>
        <v/>
      </c>
      <c r="BO328" s="57">
        <f>IF($B328=$B327,$BO327,0)+$BN328</f>
        <v/>
      </c>
      <c r="BP328" s="57">
        <f>$BP327+$BN328</f>
        <v/>
      </c>
      <c r="BQ328" s="67">
        <f>IFERROR(IF(($BH328)&gt;0,($BK328)/($BH328),""),"")</f>
        <v/>
      </c>
      <c r="BR328" s="67">
        <f>IFERROR(IF(($BI328)&gt;0,($BL328)/($BI328),""),"")</f>
        <v/>
      </c>
      <c r="BS328" s="67">
        <f>IFERROR(IF(($BJ328)&gt;0,($BM328)/($BJ328),""),"")</f>
        <v/>
      </c>
      <c r="BT328" s="67">
        <f>IFERROR(IF(($BK328)&gt;0,($BN328)/($BK328),""),"")</f>
        <v/>
      </c>
      <c r="BU328" s="67">
        <f>IFERROR(IF(($BL328)&gt;0,($BO328)/($BL328),""),"")</f>
        <v/>
      </c>
      <c r="BV328" s="67">
        <f>IFERROR(IF(($BM328)&gt;0,($BP328)/($BM328),""),"")</f>
        <v/>
      </c>
      <c r="BW328" s="55">
        <f>SUMIFS(tblPlant[Crushed_t],tblPlant[Date],$A328)</f>
        <v/>
      </c>
      <c r="BX328" s="55">
        <f>IF($B328=$B327,$BX327,0)+$BW328</f>
        <v/>
      </c>
      <c r="BY328" s="55">
        <f>$BY327+$BW328</f>
        <v/>
      </c>
      <c r="BZ328" s="55">
        <f>SUMIFS(tblPlant[Milled_t],tblPlant[Date],$A328)</f>
        <v/>
      </c>
      <c r="CA328" s="55">
        <f>IF($B328=$B327,$CA327,0)+$BZ328</f>
        <v/>
      </c>
      <c r="CB328" s="55">
        <f>$CB327+$BZ328</f>
        <v/>
      </c>
      <c r="CC328" s="55">
        <f>SUMIFS(tblPlant[Feed_oz],tblPlant[Date],$A328)</f>
        <v/>
      </c>
      <c r="CD328" s="55">
        <f>IF($B328=$B327,$CD327,0)+$CC328</f>
        <v/>
      </c>
      <c r="CE328" s="55">
        <f>$CE327+$CC328</f>
        <v/>
      </c>
      <c r="CF328" s="55">
        <f>SUMIFS(tblPlant[Tails_oz],tblPlant[Date],$A328)</f>
        <v/>
      </c>
      <c r="CG328" s="55">
        <f>IF($B328=$B327,$CG327,0)+$CF328</f>
        <v/>
      </c>
      <c r="CH328" s="55">
        <f>$CH327+$CF328</f>
        <v/>
      </c>
      <c r="CI328" s="55">
        <f>SUMIFS(tblPlant[Recovered_oz],tblPlant[Date],$A328)</f>
        <v/>
      </c>
      <c r="CJ328" s="55">
        <f>IF($B328=$B327,$CJ327,0)+$CI328</f>
        <v/>
      </c>
      <c r="CK328" s="55">
        <f>$CK327+$CI328</f>
        <v/>
      </c>
      <c r="CL328" s="56">
        <f>IFERROR(IF(($BZ328)&gt;0,($CC328*cfg_TroyOz)/($BZ328),""),"")</f>
        <v/>
      </c>
      <c r="CM328" s="56">
        <f>IFERROR(IF(($CA328)&gt;0,($CD328*cfg_TroyOz)/($CA328),""),"")</f>
        <v/>
      </c>
      <c r="CN328" s="56">
        <f>IFERROR(IF(($CB328)&gt;0,($CE328*cfg_TroyOz)/($CB328),""),"")</f>
        <v/>
      </c>
      <c r="CO328" s="56">
        <f>IFERROR(IF(($BZ328)&gt;0,($CF328*cfg_TroyOz)/($BZ328),""),"")</f>
        <v/>
      </c>
      <c r="CP328" s="56">
        <f>IFERROR(IF(($CA328)&gt;0,($CG328*cfg_TroyOz)/($CA328),""),"")</f>
        <v/>
      </c>
      <c r="CQ328" s="56">
        <f>IFERROR(IF(($CB328)&gt;0,($CH328*cfg_TroyOz)/($CB328),""),"")</f>
        <v/>
      </c>
      <c r="CR328" s="67">
        <f>IFERROR(IF(($CC328)&gt;0,($CI328)/($CC328),""),"")</f>
        <v/>
      </c>
      <c r="CS328" s="67">
        <f>IFERROR(IF(($CD328)&gt;0,($CJ328)/($CD328),""),"")</f>
        <v/>
      </c>
      <c r="CT328" s="67">
        <f>IFERROR(IF(($CE328)&gt;0,($CK328)/($CE328),""),"")</f>
        <v/>
      </c>
      <c r="CU328" s="55">
        <f>SUMIFS(tblPlant[Gravity_Gold_oz],tblPlant[Date],$A328)</f>
        <v/>
      </c>
      <c r="CV328" s="55">
        <f>IF($B328=$B327,$CV327,0)+$CU328</f>
        <v/>
      </c>
      <c r="CW328" s="55">
        <f>$CW327+$CU328</f>
        <v/>
      </c>
      <c r="CX328" s="55">
        <f>SUMIFS(tblPlant[Gold_Poured_oz],tblPlant[Date],$A328)</f>
        <v/>
      </c>
      <c r="CY328" s="55">
        <f>IF($B328=$B327,$CY327,0)+$CX328</f>
        <v/>
      </c>
      <c r="CZ328" s="55">
        <f>$CZ327+$CX328</f>
        <v/>
      </c>
      <c r="DA328" s="57">
        <f>SUMIFS(tblPlant[Mill_Run_h],tblPlant[Date],$A328)</f>
        <v/>
      </c>
      <c r="DB328" s="57">
        <f>IF($B328=$B327,$DB327,0)+$DA328</f>
        <v/>
      </c>
      <c r="DC328" s="57">
        <f>$DC327+$DA328</f>
        <v/>
      </c>
      <c r="DD328" s="57">
        <f>SUMIFS(tblPlant[Mill_Planned_Maint_h],tblPlant[Date],$A328)</f>
        <v/>
      </c>
      <c r="DE328" s="57">
        <f>IF($B328=$B327,$DE327,0)+$DD328</f>
        <v/>
      </c>
      <c r="DF328" s="57">
        <f>$DF327+$DD328</f>
        <v/>
      </c>
      <c r="DG328" s="57">
        <f>SUMIFS(tblPlant[Mill_Unplanned_Down_h],tblPlant[Date],$A328)</f>
        <v/>
      </c>
      <c r="DH328" s="57">
        <f>IF($B328=$B327,$DH327,0)+$DG328</f>
        <v/>
      </c>
      <c r="DI328" s="57">
        <f>$DI327+$DG328</f>
        <v/>
      </c>
      <c r="DJ328" s="57">
        <f>COUNTIFS(tblPlant[Date],$A328,tblPlant[Mill_Run_h],"&lt;&gt;")*24</f>
        <v/>
      </c>
      <c r="DK328" s="57">
        <f>IF($B328=$B327,$DK327,0)+$DJ328</f>
        <v/>
      </c>
      <c r="DL328" s="57">
        <f>$DL327+$DJ328</f>
        <v/>
      </c>
      <c r="DM328" s="57">
        <f>SUMIFS(tblPlant[Crusher_Run_h],tblPlant[Date],$A328)</f>
        <v/>
      </c>
      <c r="DN328" s="57">
        <f>IF($B328=$B327,$DN327,0)+$DM328</f>
        <v/>
      </c>
      <c r="DO328" s="57">
        <f>$DO327+$DM328</f>
        <v/>
      </c>
      <c r="DP328" s="55">
        <f>IFERROR(IF(($DA328)&gt;0,($BZ328)/($DA328),""),"")</f>
        <v/>
      </c>
      <c r="DQ328" s="55">
        <f>IFERROR(IF(($DB328)&gt;0,($CA328)/($DB328),""),"")</f>
        <v/>
      </c>
      <c r="DR328" s="55">
        <f>IFERROR(IF(($DC328)&gt;0,($CB328)/($DC328),""),"")</f>
        <v/>
      </c>
      <c r="DS328" s="67">
        <f>IFERROR(IF(($DJ328)&gt;0,($DJ328-$DD328-$DG328)/($DJ328),""),"")</f>
        <v/>
      </c>
      <c r="DT328" s="67">
        <f>IFERROR(IF(($DK328)&gt;0,($DK328-$DE328-$DH328)/($DK328),""),"")</f>
        <v/>
      </c>
      <c r="DU328" s="67">
        <f>IFERROR(IF(($DL328)&gt;0,($DL328-$DF328-$DI328)/($DL328),""),"")</f>
        <v/>
      </c>
      <c r="DV328" s="67">
        <f>IFERROR(IF(($DJ328-$DD328-$DG328)&gt;0,($DA328)/($DJ328-$DD328-$DG328),""),"")</f>
        <v/>
      </c>
      <c r="DW328" s="67">
        <f>IFERROR(IF(($DK328-$DE328-$DH328)&gt;0,($DB328)/($DK328-$DE328-$DH328),""),"")</f>
        <v/>
      </c>
      <c r="DX328" s="67">
        <f>IFERROR(IF(($DL328-$DF328-$DI328)&gt;0,($DC328)/($DL328-$DF328-$DI328),""),"")</f>
        <v/>
      </c>
      <c r="DY328" s="55">
        <f>SUMIFS(tblPlant[Cyanide_kg],tblPlant[Date],$A328)</f>
        <v/>
      </c>
      <c r="DZ328" s="55">
        <f>IF($B328=$B327,$DZ327,0)+$DY328</f>
        <v/>
      </c>
      <c r="EA328" s="55">
        <f>$EA327+$DY328</f>
        <v/>
      </c>
      <c r="EB328" s="55">
        <f>SUMIFS(tblPlant[Lime_kg],tblPlant[Date],$A328)</f>
        <v/>
      </c>
      <c r="EC328" s="55">
        <f>IF($B328=$B327,$EC327,0)+$EB328</f>
        <v/>
      </c>
      <c r="ED328" s="55">
        <f>$ED327+$EB328</f>
        <v/>
      </c>
      <c r="EE328" s="55">
        <f>SUMIFS(tblPlant[Grinding_Media_kg],tblPlant[Date],$A328)</f>
        <v/>
      </c>
      <c r="EF328" s="55">
        <f>IF($B328=$B327,$EF327,0)+$EE328</f>
        <v/>
      </c>
      <c r="EG328" s="55">
        <f>$EG327+$EE328</f>
        <v/>
      </c>
      <c r="EH328" s="55">
        <f>SUMIFS(tblPlant[Power_kWh],tblPlant[Date],$A328)</f>
        <v/>
      </c>
      <c r="EI328" s="55">
        <f>IF($B328=$B327,$EI327,0)+$EH328</f>
        <v/>
      </c>
      <c r="EJ328" s="55">
        <f>$EJ327+$EH328</f>
        <v/>
      </c>
      <c r="EK328" s="55">
        <f>SUMIFS(tblPlant[Raw_Water_m3],tblPlant[Date],$A328)</f>
        <v/>
      </c>
      <c r="EL328" s="55">
        <f>IF($B328=$B327,$EL327,0)+$EK328</f>
        <v/>
      </c>
      <c r="EM328" s="55">
        <f>$EM327+$EK328</f>
        <v/>
      </c>
      <c r="EN328" s="56">
        <f>IFERROR(IF(($BZ328)&gt;0,($DY328)/($BZ328),""),"")</f>
        <v/>
      </c>
      <c r="EO328" s="56">
        <f>IFERROR(IF(($CA328)&gt;0,($DZ328)/($CA328),""),"")</f>
        <v/>
      </c>
      <c r="EP328" s="56">
        <f>IFERROR(IF(($CB328)&gt;0,($EA328)/($CB328),""),"")</f>
        <v/>
      </c>
      <c r="EQ328" s="56">
        <f>IFERROR(IF(($BZ328)&gt;0,($EB328)/($BZ328),""),"")</f>
        <v/>
      </c>
      <c r="ER328" s="56">
        <f>IFERROR(IF(($CA328)&gt;0,($EC328)/($CA328),""),"")</f>
        <v/>
      </c>
      <c r="ES328" s="56">
        <f>IFERROR(IF(($CB328)&gt;0,($ED328)/($CB328),""),"")</f>
        <v/>
      </c>
      <c r="ET328" s="56">
        <f>IFERROR(IF(($BZ328)&gt;0,($EE328)/($BZ328),""),"")</f>
        <v/>
      </c>
      <c r="EU328" s="56">
        <f>IFERROR(IF(($CA328)&gt;0,($EF328)/($CA328),""),"")</f>
        <v/>
      </c>
      <c r="EV328" s="56">
        <f>IFERROR(IF(($CB328)&gt;0,($EG328)/($CB328),""),"")</f>
        <v/>
      </c>
      <c r="EW328" s="76">
        <f>IFERROR(IF(($BZ328)&gt;0,($EH328)/($BZ328),""),"")</f>
        <v/>
      </c>
      <c r="EX328" s="76">
        <f>IFERROR(IF(($CA328)&gt;0,($EI328)/($CA328),""),"")</f>
        <v/>
      </c>
      <c r="EY328" s="76">
        <f>IFERROR(IF(($CB328)&gt;0,($EJ328)/($CB328),""),"")</f>
        <v/>
      </c>
      <c r="EZ328" s="56">
        <f>IFERROR(IF(($BZ328)&gt;0,($EK328)/($BZ328),""),"")</f>
        <v/>
      </c>
      <c r="FA328" s="56">
        <f>IFERROR(IF(($CA328)&gt;0,($EL328)/($CA328),""),"")</f>
        <v/>
      </c>
      <c r="FB328" s="56">
        <f>IFERROR(IF(($CB328)&gt;0,($EM328)/($CB328),""),"")</f>
        <v/>
      </c>
      <c r="FC328" s="55">
        <f>IF(SUMIFS(tblPlant[GIC_oz],tblPlant[Date],$A328)&gt;0,SUMIFS(tblPlant[GIC_oz],tblPlant[Date],$A328),"")</f>
        <v/>
      </c>
      <c r="FD328" s="55">
        <f>SUMIFS(tblGold[Gold_oz],tblGold[Date],$A328,tblGold[Type],"Shipment")</f>
        <v/>
      </c>
      <c r="FE328" s="55">
        <f>IF($B328=$B327,$FE327,0)+$FD328</f>
        <v/>
      </c>
      <c r="FF328" s="55">
        <f>$FF327+$FD328</f>
        <v/>
      </c>
      <c r="FG328" s="55">
        <f>SUMIFS(tblGold[Gold_oz],tblGold[Date],$A328,tblGold[Type],"Sale")</f>
        <v/>
      </c>
      <c r="FH328" s="55">
        <f>IF($B328=$B327,$FH327,0)+$FG328</f>
        <v/>
      </c>
      <c r="FI328" s="55">
        <f>$FI327+$FG328</f>
        <v/>
      </c>
      <c r="FJ328" s="55">
        <f>SUMIFS(tblGold[Dore_kg],tblGold[Date],$A328,tblGold[Type],"Shipment")</f>
        <v/>
      </c>
      <c r="FK328" s="55">
        <f>IF($B328=$B327,$FK327,0)+$FJ328</f>
        <v/>
      </c>
      <c r="FL328" s="55">
        <f>$FL327+$FJ328</f>
        <v/>
      </c>
      <c r="FM328" s="57">
        <f>SUMIFS(tblSafety[Hours_Total],tblSafety[Date],$A328)</f>
        <v/>
      </c>
      <c r="FN328" s="57">
        <f>IF($B328=$B327,$FN327,0)+$FM328</f>
        <v/>
      </c>
      <c r="FO328" s="57">
        <f>$FO327+$FM328</f>
        <v/>
      </c>
      <c r="FP328" s="62">
        <f>SUMIFS(tblSafety[Fatality],tblSafety[Date],$A328)</f>
        <v/>
      </c>
      <c r="FQ328" s="62">
        <f>IF($B328=$B327,$FQ327,0)+$FP328</f>
        <v/>
      </c>
      <c r="FR328" s="62">
        <f>$FR327+$FP328</f>
        <v/>
      </c>
      <c r="FS328" s="62">
        <f>SUMIFS(tblSafety[LTI],tblSafety[Date],$A328)</f>
        <v/>
      </c>
      <c r="FT328" s="62">
        <f>IF($B328=$B327,$FT327,0)+$FS328</f>
        <v/>
      </c>
      <c r="FU328" s="62">
        <f>$FU327+$FS328</f>
        <v/>
      </c>
      <c r="FV328" s="62">
        <f>SUMIFS(tblSafety[RWI],tblSafety[Date],$A328)</f>
        <v/>
      </c>
      <c r="FW328" s="62">
        <f>IF($B328=$B327,$FW327,0)+$FV328</f>
        <v/>
      </c>
      <c r="FX328" s="62">
        <f>$FX327+$FV328</f>
        <v/>
      </c>
      <c r="FY328" s="62">
        <f>SUMIFS(tblSafety[MTI],tblSafety[Date],$A328)</f>
        <v/>
      </c>
      <c r="FZ328" s="62">
        <f>IF($B328=$B327,$FZ327,0)+$FY328</f>
        <v/>
      </c>
      <c r="GA328" s="62">
        <f>$GA327+$FY328</f>
        <v/>
      </c>
      <c r="GB328" s="62">
        <f>SUMIFS(tblSafety[FAI],tblSafety[Date],$A328)</f>
        <v/>
      </c>
      <c r="GC328" s="62">
        <f>IF($B328=$B327,$GC327,0)+$GB328</f>
        <v/>
      </c>
      <c r="GD328" s="62">
        <f>$GD327+$GB328</f>
        <v/>
      </c>
      <c r="GE328" s="62">
        <f>SUMIFS(tblSafety[Recordables],tblSafety[Date],$A328)</f>
        <v/>
      </c>
      <c r="GF328" s="62">
        <f>IF($B328=$B327,$GF327,0)+$GE328</f>
        <v/>
      </c>
      <c r="GG328" s="62">
        <f>$GG327+$GE328</f>
        <v/>
      </c>
      <c r="GH328" s="62">
        <f>SUMIFS(tblSafety[Near_Miss],tblSafety[Date],$A328)</f>
        <v/>
      </c>
      <c r="GI328" s="62">
        <f>IF($B328=$B327,$GI327,0)+$GH328</f>
        <v/>
      </c>
      <c r="GJ328" s="62">
        <f>$GJ327+$GH328</f>
        <v/>
      </c>
      <c r="GK328" s="62">
        <f>SUMIFS(tblSafety[Hazard_Reports],tblSafety[Date],$A328)</f>
        <v/>
      </c>
      <c r="GL328" s="62">
        <f>IF($B328=$B327,$GL327,0)+$GK328</f>
        <v/>
      </c>
      <c r="GM328" s="62">
        <f>$GM327+$GK328</f>
        <v/>
      </c>
      <c r="GN328" s="62">
        <f>SUMIFS(tblSafety[HPI],tblSafety[Date],$A328)</f>
        <v/>
      </c>
      <c r="GO328" s="62">
        <f>IF($B328=$B327,$GO327,0)+$GN328</f>
        <v/>
      </c>
      <c r="GP328" s="62">
        <f>$GP327+$GN328</f>
        <v/>
      </c>
      <c r="GQ328" s="62">
        <f>SUMIFS(tblSafety[Env_Incidents],tblSafety[Date],$A328)</f>
        <v/>
      </c>
      <c r="GR328" s="62">
        <f>IF($B328=$B327,$GR327,0)+$GQ328</f>
        <v/>
      </c>
      <c r="GS328" s="62">
        <f>$GS327+$GQ328</f>
        <v/>
      </c>
      <c r="GT328" s="62">
        <f>SUMIFS(tblSafety[Community_Incidents],tblSafety[Date],$A328)</f>
        <v/>
      </c>
      <c r="GU328" s="62">
        <f>IF($B328=$B327,$GU327,0)+$GT328</f>
        <v/>
      </c>
      <c r="GV328" s="62">
        <f>$GV327+$GT328</f>
        <v/>
      </c>
      <c r="GW328" s="62">
        <f>SUMIFS(tblSafety[Vehicle_Incidents],tblSafety[Date],$A328)</f>
        <v/>
      </c>
      <c r="GX328" s="62">
        <f>IF($B328=$B327,$GX327,0)+$GW328</f>
        <v/>
      </c>
      <c r="GY328" s="62">
        <f>$GY327+$GW328</f>
        <v/>
      </c>
      <c r="GZ328" s="62">
        <f>SUMIFS(tblSafety[Toolbox_Talks],tblSafety[Date],$A328)</f>
        <v/>
      </c>
      <c r="HA328" s="62">
        <f>IF($B328=$B327,$HA327,0)+$GZ328</f>
        <v/>
      </c>
      <c r="HB328" s="62">
        <f>$HB327+$GZ328</f>
        <v/>
      </c>
      <c r="HC328" s="62">
        <f>SUMIFS(tblSafety[Inspections],tblSafety[Date],$A328)</f>
        <v/>
      </c>
      <c r="HD328" s="62">
        <f>IF($B328=$B327,$HD327,0)+$HC328</f>
        <v/>
      </c>
      <c r="HE328" s="62">
        <f>$HE327+$HC328</f>
        <v/>
      </c>
      <c r="HF328" s="56">
        <f>IFERROR((SUMIFS(tblSafety[Recordables],tblSafety[Date],"&gt;="&amp;EDATE($E328,-12),tblSafety[Date],"&lt;="&amp;$A328)+SUMIFS(tblSafetyHistory[Recordables],tblSafetyHistory[Month],"&gt;="&amp;EDATE($E328,-12),tblSafetyHistory[Month],"&lt;"&amp;cfg_YearStart))/(SUMIFS(tblSafety[Hours_Total],tblSafety[Date],"&gt;="&amp;EDATE($E328,-12),tblSafety[Date],"&lt;="&amp;$A328)+SUMIFS(tblSafetyHistory[Hours_Total],tblSafetyHistory[Month],"&gt;="&amp;EDATE($E328,-12),tblSafetyHistory[Month],"&lt;"&amp;cfg_YearStart))*1000000,"")</f>
        <v/>
      </c>
      <c r="HG328" s="56">
        <f>IFERROR((SUMIFS(tblSafety[LTI],tblSafety[Date],"&gt;="&amp;EDATE($E328,-12),tblSafety[Date],"&lt;="&amp;$A328)+SUMIFS(tblSafetyHistory[LTI],tblSafetyHistory[Month],"&gt;="&amp;EDATE($E328,-12),tblSafetyHistory[Month],"&lt;"&amp;cfg_YearStart))/(SUMIFS(tblSafety[Hours_Total],tblSafety[Date],"&gt;="&amp;EDATE($E328,-12),tblSafety[Date],"&lt;="&amp;$A328)+SUMIFS(tblSafetyHistory[Hours_Total],tblSafetyHistory[Month],"&gt;="&amp;EDATE($E328,-12),tblSafetyHistory[Month],"&lt;"&amp;cfg_YearStart))*1000000,"")</f>
        <v/>
      </c>
      <c r="HH328" s="62">
        <f>IF(MAX(N(cfg_PriorLTIDate),_xlfn.MAXIFS(tblSafety[Date],tblSafety[LTI],"&gt;0",tblSafety[Date],"&lt;="&amp;$A328))=0,"",$A328-MAX(N(cfg_PriorLTIDate),_xlfn.MAXIFS(tblSafety[Date],tblSafety[LTI],"&gt;0",tblSafety[Date],"&lt;="&amp;$A328)))</f>
        <v/>
      </c>
      <c r="HI328" s="55">
        <f>SUMIFS(tblBudget[Ore_Mined_t],tblBudget[Month],$E328)</f>
        <v/>
      </c>
      <c r="HJ328" s="55">
        <f>$HI328*$C328/$D328</f>
        <v/>
      </c>
      <c r="HK328" s="55">
        <f>SUMIFS(tblBudget[Ore_Mined_t],tblBudget[Month],"&lt;"&amp;$E328)+$HJ328</f>
        <v/>
      </c>
      <c r="HL328" s="55">
        <f>SUMIFS(tblBudget[Ore_oz],tblBudget[Month],$E328)</f>
        <v/>
      </c>
      <c r="HM328" s="55">
        <f>$HL328*$C328/$D328</f>
        <v/>
      </c>
      <c r="HN328" s="55">
        <f>SUMIFS(tblBudget[Ore_oz],tblBudget[Month],"&lt;"&amp;$E328)+$HM328</f>
        <v/>
      </c>
      <c r="HO328" s="56">
        <f>IFERROR(IF(($HI328)&gt;0,($HL328*cfg_TroyOz)/($HI328),""),"")</f>
        <v/>
      </c>
      <c r="HP328" s="56">
        <f>IFERROR(IF(($HJ328)&gt;0,($HM328*cfg_TroyOz)/($HJ328),""),"")</f>
        <v/>
      </c>
      <c r="HQ328" s="56">
        <f>IFERROR(IF(($HK328)&gt;0,($HN328*cfg_TroyOz)/($HK328),""),"")</f>
        <v/>
      </c>
      <c r="HR328" s="55">
        <f>SUMIFS(tblBudget[Waste_t],tblBudget[Month],$E328)</f>
        <v/>
      </c>
      <c r="HS328" s="55">
        <f>$HR328*$C328/$D328</f>
        <v/>
      </c>
      <c r="HT328" s="55">
        <f>SUMIFS(tblBudget[Waste_t],tblBudget[Month],"&lt;"&amp;$E328)+$HS328</f>
        <v/>
      </c>
      <c r="HU328" s="55">
        <f>SUMIFS(tblBudget[TMM_t],tblBudget[Month],$E328)</f>
        <v/>
      </c>
      <c r="HV328" s="55">
        <f>$HU328*$C328/$D328</f>
        <v/>
      </c>
      <c r="HW328" s="55">
        <f>SUMIFS(tblBudget[TMM_t],tblBudget[Month],"&lt;"&amp;$E328)+$HV328</f>
        <v/>
      </c>
      <c r="HX328" s="56">
        <f>IFERROR(IF(($HI328)&gt;0,($HR328)/($HI328),""),"")</f>
        <v/>
      </c>
      <c r="HY328" s="56">
        <f>IFERROR(IF(($HJ328)&gt;0,($HS328)/($HJ328),""),"")</f>
        <v/>
      </c>
      <c r="HZ328" s="56">
        <f>IFERROR(IF(($HK328)&gt;0,($HT328)/($HK328),""),"")</f>
        <v/>
      </c>
      <c r="IA328" s="55">
        <f>SUMIFS(tblBudget[Drill_m],tblBudget[Month],$E328)</f>
        <v/>
      </c>
      <c r="IB328" s="55">
        <f>$IA328*$C328/$D328</f>
        <v/>
      </c>
      <c r="IC328" s="55">
        <f>SUMIFS(tblBudget[Drill_m],tblBudget[Month],"&lt;"&amp;$E328)+$IB328</f>
        <v/>
      </c>
      <c r="ID328" s="55">
        <f>SUMIFS(tblBudget[Diesel_L],tblBudget[Month],$E328)</f>
        <v/>
      </c>
      <c r="IE328" s="55">
        <f>$ID328*$C328/$D328</f>
        <v/>
      </c>
      <c r="IF328" s="55">
        <f>SUMIFS(tblBudget[Diesel_L],tblBudget[Month],"&lt;"&amp;$E328)+$IE328</f>
        <v/>
      </c>
      <c r="IG328" s="55">
        <f>SUMIFS(tblBudget[Milled_t],tblBudget[Month],$E328)</f>
        <v/>
      </c>
      <c r="IH328" s="55">
        <f>$IG328*$C328/$D328</f>
        <v/>
      </c>
      <c r="II328" s="55">
        <f>SUMIFS(tblBudget[Milled_t],tblBudget[Month],"&lt;"&amp;$E328)+$IH328</f>
        <v/>
      </c>
      <c r="IJ328" s="55">
        <f>SUMIFS(tblBudget[Feed_oz],tblBudget[Month],$E328)</f>
        <v/>
      </c>
      <c r="IK328" s="55">
        <f>$IJ328*$C328/$D328</f>
        <v/>
      </c>
      <c r="IL328" s="55">
        <f>SUMIFS(tblBudget[Feed_oz],tblBudget[Month],"&lt;"&amp;$E328)+$IK328</f>
        <v/>
      </c>
      <c r="IM328" s="55">
        <f>SUMIFS(tblBudget[Recovered_oz],tblBudget[Month],$E328)</f>
        <v/>
      </c>
      <c r="IN328" s="55">
        <f>$IM328*$C328/$D328</f>
        <v/>
      </c>
      <c r="IO328" s="55">
        <f>SUMIFS(tblBudget[Recovered_oz],tblBudget[Month],"&lt;"&amp;$E328)+$IN328</f>
        <v/>
      </c>
      <c r="IP328" s="56">
        <f>IFERROR(IF(($IG328)&gt;0,($IJ328*cfg_TroyOz)/($IG328),""),"")</f>
        <v/>
      </c>
      <c r="IQ328" s="56">
        <f>IFERROR(IF(($IH328)&gt;0,($IK328*cfg_TroyOz)/($IH328),""),"")</f>
        <v/>
      </c>
      <c r="IR328" s="56">
        <f>IFERROR(IF(($II328)&gt;0,($IL328*cfg_TroyOz)/($II328),""),"")</f>
        <v/>
      </c>
      <c r="IS328" s="67">
        <f>IFERROR(IF(($IJ328)&gt;0,($IM328)/($IJ328),""),"")</f>
        <v/>
      </c>
      <c r="IT328" s="67">
        <f>IFERROR(IF(($IK328)&gt;0,($IN328)/($IK328),""),"")</f>
        <v/>
      </c>
      <c r="IU328" s="67">
        <f>IFERROR(IF(($IL328)&gt;0,($IO328)/($IL328),""),"")</f>
        <v/>
      </c>
      <c r="IV328" s="55">
        <f>SUMIFS(tblBudget[Gold_Poured_oz],tblBudget[Month],$E328)</f>
        <v/>
      </c>
      <c r="IW328" s="55">
        <f>$IV328*$C328/$D328</f>
        <v/>
      </c>
      <c r="IX328" s="55">
        <f>SUMIFS(tblBudget[Gold_Poured_oz],tblBudget[Month],"&lt;"&amp;$E328)+$IW328</f>
        <v/>
      </c>
      <c r="IY328" s="57">
        <f>SUMIFS(tblBudget[Hours_Worked],tblBudget[Month],$E328)</f>
        <v/>
      </c>
      <c r="IZ328" s="57">
        <f>$IY328*$C328/$D328</f>
        <v/>
      </c>
      <c r="JA328" s="57">
        <f>SUMIFS(tblBudget[Hours_Worked],tblBudget[Month],"&lt;"&amp;$E328)+$IZ328</f>
        <v/>
      </c>
    </row>
    <row r="329">
      <c r="A329" s="54" t="n">
        <v>46350</v>
      </c>
      <c r="B329">
        <f>MONTH($A329)</f>
        <v/>
      </c>
      <c r="C329">
        <f>DAY($A329)</f>
        <v/>
      </c>
      <c r="D329">
        <f>DAY(EOMONTH($A329,0))</f>
        <v/>
      </c>
      <c r="E329" s="54">
        <f>DATE(YEAR($A329),MONTH($A329),1)</f>
        <v/>
      </c>
      <c r="F329" s="55">
        <f>SUMIFS(tblMovement[Tonnes_t],tblMovement[Date],$A329,tblMovement[Is_Ore],1,tblMovement[Source_Type],"Pit")</f>
        <v/>
      </c>
      <c r="G329" s="55">
        <f>IF($B329=$B328,$G328,0)+$F329</f>
        <v/>
      </c>
      <c r="H329" s="55">
        <f>$H328+$F329</f>
        <v/>
      </c>
      <c r="I329" s="55">
        <f>SUMIFS(tblMovement[Ore_oz],tblMovement[Date],$A329,tblMovement[Source_Type],"Pit")</f>
        <v/>
      </c>
      <c r="J329" s="55">
        <f>IF($B329=$B328,$J328,0)+$I329</f>
        <v/>
      </c>
      <c r="K329" s="55">
        <f>$K328+$I329</f>
        <v/>
      </c>
      <c r="L329" s="56">
        <f>IFERROR(IF(($F329)&gt;0,($I329*cfg_TroyOz)/($F329),""),"")</f>
        <v/>
      </c>
      <c r="M329" s="56">
        <f>IFERROR(IF(($G329)&gt;0,($J329*cfg_TroyOz)/($G329),""),"")</f>
        <v/>
      </c>
      <c r="N329" s="56">
        <f>IFERROR(IF(($H329)&gt;0,($K329*cfg_TroyOz)/($H329),""),"")</f>
        <v/>
      </c>
      <c r="O329" s="55">
        <f>SUMIFS(tblMovement[Tonnes_t],tblMovement[Date],$A329,tblMovement[Is_Ore],0,tblMovement[Source_Type],"Pit")</f>
        <v/>
      </c>
      <c r="P329" s="55">
        <f>IF($B329=$B328,$P328,0)+$O329</f>
        <v/>
      </c>
      <c r="Q329" s="55">
        <f>$Q328+$O329</f>
        <v/>
      </c>
      <c r="R329" s="55">
        <f>$F329+$O329</f>
        <v/>
      </c>
      <c r="S329" s="55">
        <f>IF($B329=$B328,$S328,0)+$R329</f>
        <v/>
      </c>
      <c r="T329" s="55">
        <f>$T328+$R329</f>
        <v/>
      </c>
      <c r="U329" s="56">
        <f>IFERROR(IF(($F329)&gt;0,($O329)/($F329),""),"")</f>
        <v/>
      </c>
      <c r="V329" s="56">
        <f>IFERROR(IF(($G329)&gt;0,($P329)/($G329),""),"")</f>
        <v/>
      </c>
      <c r="W329" s="56">
        <f>IFERROR(IF(($H329)&gt;0,($Q329)/($H329),""),"")</f>
        <v/>
      </c>
      <c r="X329" s="55">
        <f>SUMIFS(tblMovement[Tonnes_t],tblMovement[Date],$A329,tblMovement[Source_Type],"Stockpile")</f>
        <v/>
      </c>
      <c r="Y329" s="55">
        <f>IF($B329=$B328,$Y328,0)+$X329</f>
        <v/>
      </c>
      <c r="Z329" s="55">
        <f>$Z328+$X329</f>
        <v/>
      </c>
      <c r="AA329" s="55">
        <f>SUMIFS(tblMiningDaily[Drill_m],tblMiningDaily[Date],$A329)</f>
        <v/>
      </c>
      <c r="AB329" s="55">
        <f>IF($B329=$B328,$AB328,0)+$AA329</f>
        <v/>
      </c>
      <c r="AC329" s="55">
        <f>$AC328+$AA329</f>
        <v/>
      </c>
      <c r="AD329" s="55">
        <f>SUMIFS(tblMiningDaily[Blast_t],tblMiningDaily[Date],$A329)</f>
        <v/>
      </c>
      <c r="AE329" s="55">
        <f>IF($B329=$B328,$AE328,0)+$AD329</f>
        <v/>
      </c>
      <c r="AF329" s="55">
        <f>$AF328+$AD329</f>
        <v/>
      </c>
      <c r="AG329" s="55">
        <f>SUMIFS(tblMiningDaily[Explosives_kg],tblMiningDaily[Date],$A329)</f>
        <v/>
      </c>
      <c r="AH329" s="55">
        <f>IF($B329=$B328,$AH328,0)+$AG329</f>
        <v/>
      </c>
      <c r="AI329" s="55">
        <f>$AI328+$AG329</f>
        <v/>
      </c>
      <c r="AJ329" s="56">
        <f>IFERROR(IF(($AD329)&gt;0,($AG329)/($AD329),""),"")</f>
        <v/>
      </c>
      <c r="AK329" s="56">
        <f>IFERROR(IF(($AE329)&gt;0,($AH329)/($AE329),""),"")</f>
        <v/>
      </c>
      <c r="AL329" s="56">
        <f>IFERROR(IF(($AF329)&gt;0,($AI329)/($AF329),""),"")</f>
        <v/>
      </c>
      <c r="AM329" s="55">
        <f>SUMIFS(tblMiningDaily[Diesel_L],tblMiningDaily[Date],$A329)</f>
        <v/>
      </c>
      <c r="AN329" s="55">
        <f>IF($B329=$B328,$AN328,0)+$AM329</f>
        <v/>
      </c>
      <c r="AO329" s="55">
        <f>$AO328+$AM329</f>
        <v/>
      </c>
      <c r="AP329" s="55">
        <f>SUMIFS(tblMiningDaily[Dewatering_m3],tblMiningDaily[Date],$A329)</f>
        <v/>
      </c>
      <c r="AQ329" s="55">
        <f>IF($B329=$B328,$AQ328,0)+$AP329</f>
        <v/>
      </c>
      <c r="AR329" s="55">
        <f>$AR328+$AP329</f>
        <v/>
      </c>
      <c r="AS329" s="57">
        <f>SUMIFS(tblFleet[Calendar_h],tblFleet[Date],$A329,tblFleet[Equipment_Class],"Excavator")</f>
        <v/>
      </c>
      <c r="AT329" s="57">
        <f>IF($B329=$B328,$AT328,0)+$AS329</f>
        <v/>
      </c>
      <c r="AU329" s="57">
        <f>$AU328+$AS329</f>
        <v/>
      </c>
      <c r="AV329" s="57">
        <f>SUMIFS(tblFleet[Available_h],tblFleet[Date],$A329,tblFleet[Equipment_Class],"Excavator")</f>
        <v/>
      </c>
      <c r="AW329" s="57">
        <f>IF($B329=$B328,$AW328,0)+$AV329</f>
        <v/>
      </c>
      <c r="AX329" s="57">
        <f>$AX328+$AV329</f>
        <v/>
      </c>
      <c r="AY329" s="57">
        <f>SUMIFS(tblFleet[Operating_h],tblFleet[Date],$A329,tblFleet[Equipment_Class],"Excavator")</f>
        <v/>
      </c>
      <c r="AZ329" s="57">
        <f>IF($B329=$B328,$AZ328,0)+$AY329</f>
        <v/>
      </c>
      <c r="BA329" s="57">
        <f>$BA328+$AY329</f>
        <v/>
      </c>
      <c r="BB329" s="67">
        <f>IFERROR(IF(($AS329)&gt;0,($AV329)/($AS329),""),"")</f>
        <v/>
      </c>
      <c r="BC329" s="67">
        <f>IFERROR(IF(($AT329)&gt;0,($AW329)/($AT329),""),"")</f>
        <v/>
      </c>
      <c r="BD329" s="67">
        <f>IFERROR(IF(($AU329)&gt;0,($AX329)/($AU329),""),"")</f>
        <v/>
      </c>
      <c r="BE329" s="67">
        <f>IFERROR(IF(($AV329)&gt;0,($AY329)/($AV329),""),"")</f>
        <v/>
      </c>
      <c r="BF329" s="67">
        <f>IFERROR(IF(($AW329)&gt;0,($AZ329)/($AW329),""),"")</f>
        <v/>
      </c>
      <c r="BG329" s="67">
        <f>IFERROR(IF(($AX329)&gt;0,($BA329)/($AX329),""),"")</f>
        <v/>
      </c>
      <c r="BH329" s="57">
        <f>SUMIFS(tblFleet[Calendar_h],tblFleet[Date],$A329,tblFleet[Equipment_Class],"Haul Truck")</f>
        <v/>
      </c>
      <c r="BI329" s="57">
        <f>IF($B329=$B328,$BI328,0)+$BH329</f>
        <v/>
      </c>
      <c r="BJ329" s="57">
        <f>$BJ328+$BH329</f>
        <v/>
      </c>
      <c r="BK329" s="57">
        <f>SUMIFS(tblFleet[Available_h],tblFleet[Date],$A329,tblFleet[Equipment_Class],"Haul Truck")</f>
        <v/>
      </c>
      <c r="BL329" s="57">
        <f>IF($B329=$B328,$BL328,0)+$BK329</f>
        <v/>
      </c>
      <c r="BM329" s="57">
        <f>$BM328+$BK329</f>
        <v/>
      </c>
      <c r="BN329" s="57">
        <f>SUMIFS(tblFleet[Operating_h],tblFleet[Date],$A329,tblFleet[Equipment_Class],"Haul Truck")</f>
        <v/>
      </c>
      <c r="BO329" s="57">
        <f>IF($B329=$B328,$BO328,0)+$BN329</f>
        <v/>
      </c>
      <c r="BP329" s="57">
        <f>$BP328+$BN329</f>
        <v/>
      </c>
      <c r="BQ329" s="67">
        <f>IFERROR(IF(($BH329)&gt;0,($BK329)/($BH329),""),"")</f>
        <v/>
      </c>
      <c r="BR329" s="67">
        <f>IFERROR(IF(($BI329)&gt;0,($BL329)/($BI329),""),"")</f>
        <v/>
      </c>
      <c r="BS329" s="67">
        <f>IFERROR(IF(($BJ329)&gt;0,($BM329)/($BJ329),""),"")</f>
        <v/>
      </c>
      <c r="BT329" s="67">
        <f>IFERROR(IF(($BK329)&gt;0,($BN329)/($BK329),""),"")</f>
        <v/>
      </c>
      <c r="BU329" s="67">
        <f>IFERROR(IF(($BL329)&gt;0,($BO329)/($BL329),""),"")</f>
        <v/>
      </c>
      <c r="BV329" s="67">
        <f>IFERROR(IF(($BM329)&gt;0,($BP329)/($BM329),""),"")</f>
        <v/>
      </c>
      <c r="BW329" s="55">
        <f>SUMIFS(tblPlant[Crushed_t],tblPlant[Date],$A329)</f>
        <v/>
      </c>
      <c r="BX329" s="55">
        <f>IF($B329=$B328,$BX328,0)+$BW329</f>
        <v/>
      </c>
      <c r="BY329" s="55">
        <f>$BY328+$BW329</f>
        <v/>
      </c>
      <c r="BZ329" s="55">
        <f>SUMIFS(tblPlant[Milled_t],tblPlant[Date],$A329)</f>
        <v/>
      </c>
      <c r="CA329" s="55">
        <f>IF($B329=$B328,$CA328,0)+$BZ329</f>
        <v/>
      </c>
      <c r="CB329" s="55">
        <f>$CB328+$BZ329</f>
        <v/>
      </c>
      <c r="CC329" s="55">
        <f>SUMIFS(tblPlant[Feed_oz],tblPlant[Date],$A329)</f>
        <v/>
      </c>
      <c r="CD329" s="55">
        <f>IF($B329=$B328,$CD328,0)+$CC329</f>
        <v/>
      </c>
      <c r="CE329" s="55">
        <f>$CE328+$CC329</f>
        <v/>
      </c>
      <c r="CF329" s="55">
        <f>SUMIFS(tblPlant[Tails_oz],tblPlant[Date],$A329)</f>
        <v/>
      </c>
      <c r="CG329" s="55">
        <f>IF($B329=$B328,$CG328,0)+$CF329</f>
        <v/>
      </c>
      <c r="CH329" s="55">
        <f>$CH328+$CF329</f>
        <v/>
      </c>
      <c r="CI329" s="55">
        <f>SUMIFS(tblPlant[Recovered_oz],tblPlant[Date],$A329)</f>
        <v/>
      </c>
      <c r="CJ329" s="55">
        <f>IF($B329=$B328,$CJ328,0)+$CI329</f>
        <v/>
      </c>
      <c r="CK329" s="55">
        <f>$CK328+$CI329</f>
        <v/>
      </c>
      <c r="CL329" s="56">
        <f>IFERROR(IF(($BZ329)&gt;0,($CC329*cfg_TroyOz)/($BZ329),""),"")</f>
        <v/>
      </c>
      <c r="CM329" s="56">
        <f>IFERROR(IF(($CA329)&gt;0,($CD329*cfg_TroyOz)/($CA329),""),"")</f>
        <v/>
      </c>
      <c r="CN329" s="56">
        <f>IFERROR(IF(($CB329)&gt;0,($CE329*cfg_TroyOz)/($CB329),""),"")</f>
        <v/>
      </c>
      <c r="CO329" s="56">
        <f>IFERROR(IF(($BZ329)&gt;0,($CF329*cfg_TroyOz)/($BZ329),""),"")</f>
        <v/>
      </c>
      <c r="CP329" s="56">
        <f>IFERROR(IF(($CA329)&gt;0,($CG329*cfg_TroyOz)/($CA329),""),"")</f>
        <v/>
      </c>
      <c r="CQ329" s="56">
        <f>IFERROR(IF(($CB329)&gt;0,($CH329*cfg_TroyOz)/($CB329),""),"")</f>
        <v/>
      </c>
      <c r="CR329" s="67">
        <f>IFERROR(IF(($CC329)&gt;0,($CI329)/($CC329),""),"")</f>
        <v/>
      </c>
      <c r="CS329" s="67">
        <f>IFERROR(IF(($CD329)&gt;0,($CJ329)/($CD329),""),"")</f>
        <v/>
      </c>
      <c r="CT329" s="67">
        <f>IFERROR(IF(($CE329)&gt;0,($CK329)/($CE329),""),"")</f>
        <v/>
      </c>
      <c r="CU329" s="55">
        <f>SUMIFS(tblPlant[Gravity_Gold_oz],tblPlant[Date],$A329)</f>
        <v/>
      </c>
      <c r="CV329" s="55">
        <f>IF($B329=$B328,$CV328,0)+$CU329</f>
        <v/>
      </c>
      <c r="CW329" s="55">
        <f>$CW328+$CU329</f>
        <v/>
      </c>
      <c r="CX329" s="55">
        <f>SUMIFS(tblPlant[Gold_Poured_oz],tblPlant[Date],$A329)</f>
        <v/>
      </c>
      <c r="CY329" s="55">
        <f>IF($B329=$B328,$CY328,0)+$CX329</f>
        <v/>
      </c>
      <c r="CZ329" s="55">
        <f>$CZ328+$CX329</f>
        <v/>
      </c>
      <c r="DA329" s="57">
        <f>SUMIFS(tblPlant[Mill_Run_h],tblPlant[Date],$A329)</f>
        <v/>
      </c>
      <c r="DB329" s="57">
        <f>IF($B329=$B328,$DB328,0)+$DA329</f>
        <v/>
      </c>
      <c r="DC329" s="57">
        <f>$DC328+$DA329</f>
        <v/>
      </c>
      <c r="DD329" s="57">
        <f>SUMIFS(tblPlant[Mill_Planned_Maint_h],tblPlant[Date],$A329)</f>
        <v/>
      </c>
      <c r="DE329" s="57">
        <f>IF($B329=$B328,$DE328,0)+$DD329</f>
        <v/>
      </c>
      <c r="DF329" s="57">
        <f>$DF328+$DD329</f>
        <v/>
      </c>
      <c r="DG329" s="57">
        <f>SUMIFS(tblPlant[Mill_Unplanned_Down_h],tblPlant[Date],$A329)</f>
        <v/>
      </c>
      <c r="DH329" s="57">
        <f>IF($B329=$B328,$DH328,0)+$DG329</f>
        <v/>
      </c>
      <c r="DI329" s="57">
        <f>$DI328+$DG329</f>
        <v/>
      </c>
      <c r="DJ329" s="57">
        <f>COUNTIFS(tblPlant[Date],$A329,tblPlant[Mill_Run_h],"&lt;&gt;")*24</f>
        <v/>
      </c>
      <c r="DK329" s="57">
        <f>IF($B329=$B328,$DK328,0)+$DJ329</f>
        <v/>
      </c>
      <c r="DL329" s="57">
        <f>$DL328+$DJ329</f>
        <v/>
      </c>
      <c r="DM329" s="57">
        <f>SUMIFS(tblPlant[Crusher_Run_h],tblPlant[Date],$A329)</f>
        <v/>
      </c>
      <c r="DN329" s="57">
        <f>IF($B329=$B328,$DN328,0)+$DM329</f>
        <v/>
      </c>
      <c r="DO329" s="57">
        <f>$DO328+$DM329</f>
        <v/>
      </c>
      <c r="DP329" s="55">
        <f>IFERROR(IF(($DA329)&gt;0,($BZ329)/($DA329),""),"")</f>
        <v/>
      </c>
      <c r="DQ329" s="55">
        <f>IFERROR(IF(($DB329)&gt;0,($CA329)/($DB329),""),"")</f>
        <v/>
      </c>
      <c r="DR329" s="55">
        <f>IFERROR(IF(($DC329)&gt;0,($CB329)/($DC329),""),"")</f>
        <v/>
      </c>
      <c r="DS329" s="67">
        <f>IFERROR(IF(($DJ329)&gt;0,($DJ329-$DD329-$DG329)/($DJ329),""),"")</f>
        <v/>
      </c>
      <c r="DT329" s="67">
        <f>IFERROR(IF(($DK329)&gt;0,($DK329-$DE329-$DH329)/($DK329),""),"")</f>
        <v/>
      </c>
      <c r="DU329" s="67">
        <f>IFERROR(IF(($DL329)&gt;0,($DL329-$DF329-$DI329)/($DL329),""),"")</f>
        <v/>
      </c>
      <c r="DV329" s="67">
        <f>IFERROR(IF(($DJ329-$DD329-$DG329)&gt;0,($DA329)/($DJ329-$DD329-$DG329),""),"")</f>
        <v/>
      </c>
      <c r="DW329" s="67">
        <f>IFERROR(IF(($DK329-$DE329-$DH329)&gt;0,($DB329)/($DK329-$DE329-$DH329),""),"")</f>
        <v/>
      </c>
      <c r="DX329" s="67">
        <f>IFERROR(IF(($DL329-$DF329-$DI329)&gt;0,($DC329)/($DL329-$DF329-$DI329),""),"")</f>
        <v/>
      </c>
      <c r="DY329" s="55">
        <f>SUMIFS(tblPlant[Cyanide_kg],tblPlant[Date],$A329)</f>
        <v/>
      </c>
      <c r="DZ329" s="55">
        <f>IF($B329=$B328,$DZ328,0)+$DY329</f>
        <v/>
      </c>
      <c r="EA329" s="55">
        <f>$EA328+$DY329</f>
        <v/>
      </c>
      <c r="EB329" s="55">
        <f>SUMIFS(tblPlant[Lime_kg],tblPlant[Date],$A329)</f>
        <v/>
      </c>
      <c r="EC329" s="55">
        <f>IF($B329=$B328,$EC328,0)+$EB329</f>
        <v/>
      </c>
      <c r="ED329" s="55">
        <f>$ED328+$EB329</f>
        <v/>
      </c>
      <c r="EE329" s="55">
        <f>SUMIFS(tblPlant[Grinding_Media_kg],tblPlant[Date],$A329)</f>
        <v/>
      </c>
      <c r="EF329" s="55">
        <f>IF($B329=$B328,$EF328,0)+$EE329</f>
        <v/>
      </c>
      <c r="EG329" s="55">
        <f>$EG328+$EE329</f>
        <v/>
      </c>
      <c r="EH329" s="55">
        <f>SUMIFS(tblPlant[Power_kWh],tblPlant[Date],$A329)</f>
        <v/>
      </c>
      <c r="EI329" s="55">
        <f>IF($B329=$B328,$EI328,0)+$EH329</f>
        <v/>
      </c>
      <c r="EJ329" s="55">
        <f>$EJ328+$EH329</f>
        <v/>
      </c>
      <c r="EK329" s="55">
        <f>SUMIFS(tblPlant[Raw_Water_m3],tblPlant[Date],$A329)</f>
        <v/>
      </c>
      <c r="EL329" s="55">
        <f>IF($B329=$B328,$EL328,0)+$EK329</f>
        <v/>
      </c>
      <c r="EM329" s="55">
        <f>$EM328+$EK329</f>
        <v/>
      </c>
      <c r="EN329" s="56">
        <f>IFERROR(IF(($BZ329)&gt;0,($DY329)/($BZ329),""),"")</f>
        <v/>
      </c>
      <c r="EO329" s="56">
        <f>IFERROR(IF(($CA329)&gt;0,($DZ329)/($CA329),""),"")</f>
        <v/>
      </c>
      <c r="EP329" s="56">
        <f>IFERROR(IF(($CB329)&gt;0,($EA329)/($CB329),""),"")</f>
        <v/>
      </c>
      <c r="EQ329" s="56">
        <f>IFERROR(IF(($BZ329)&gt;0,($EB329)/($BZ329),""),"")</f>
        <v/>
      </c>
      <c r="ER329" s="56">
        <f>IFERROR(IF(($CA329)&gt;0,($EC329)/($CA329),""),"")</f>
        <v/>
      </c>
      <c r="ES329" s="56">
        <f>IFERROR(IF(($CB329)&gt;0,($ED329)/($CB329),""),"")</f>
        <v/>
      </c>
      <c r="ET329" s="56">
        <f>IFERROR(IF(($BZ329)&gt;0,($EE329)/($BZ329),""),"")</f>
        <v/>
      </c>
      <c r="EU329" s="56">
        <f>IFERROR(IF(($CA329)&gt;0,($EF329)/($CA329),""),"")</f>
        <v/>
      </c>
      <c r="EV329" s="56">
        <f>IFERROR(IF(($CB329)&gt;0,($EG329)/($CB329),""),"")</f>
        <v/>
      </c>
      <c r="EW329" s="76">
        <f>IFERROR(IF(($BZ329)&gt;0,($EH329)/($BZ329),""),"")</f>
        <v/>
      </c>
      <c r="EX329" s="76">
        <f>IFERROR(IF(($CA329)&gt;0,($EI329)/($CA329),""),"")</f>
        <v/>
      </c>
      <c r="EY329" s="76">
        <f>IFERROR(IF(($CB329)&gt;0,($EJ329)/($CB329),""),"")</f>
        <v/>
      </c>
      <c r="EZ329" s="56">
        <f>IFERROR(IF(($BZ329)&gt;0,($EK329)/($BZ329),""),"")</f>
        <v/>
      </c>
      <c r="FA329" s="56">
        <f>IFERROR(IF(($CA329)&gt;0,($EL329)/($CA329),""),"")</f>
        <v/>
      </c>
      <c r="FB329" s="56">
        <f>IFERROR(IF(($CB329)&gt;0,($EM329)/($CB329),""),"")</f>
        <v/>
      </c>
      <c r="FC329" s="55">
        <f>IF(SUMIFS(tblPlant[GIC_oz],tblPlant[Date],$A329)&gt;0,SUMIFS(tblPlant[GIC_oz],tblPlant[Date],$A329),"")</f>
        <v/>
      </c>
      <c r="FD329" s="55">
        <f>SUMIFS(tblGold[Gold_oz],tblGold[Date],$A329,tblGold[Type],"Shipment")</f>
        <v/>
      </c>
      <c r="FE329" s="55">
        <f>IF($B329=$B328,$FE328,0)+$FD329</f>
        <v/>
      </c>
      <c r="FF329" s="55">
        <f>$FF328+$FD329</f>
        <v/>
      </c>
      <c r="FG329" s="55">
        <f>SUMIFS(tblGold[Gold_oz],tblGold[Date],$A329,tblGold[Type],"Sale")</f>
        <v/>
      </c>
      <c r="FH329" s="55">
        <f>IF($B329=$B328,$FH328,0)+$FG329</f>
        <v/>
      </c>
      <c r="FI329" s="55">
        <f>$FI328+$FG329</f>
        <v/>
      </c>
      <c r="FJ329" s="55">
        <f>SUMIFS(tblGold[Dore_kg],tblGold[Date],$A329,tblGold[Type],"Shipment")</f>
        <v/>
      </c>
      <c r="FK329" s="55">
        <f>IF($B329=$B328,$FK328,0)+$FJ329</f>
        <v/>
      </c>
      <c r="FL329" s="55">
        <f>$FL328+$FJ329</f>
        <v/>
      </c>
      <c r="FM329" s="57">
        <f>SUMIFS(tblSafety[Hours_Total],tblSafety[Date],$A329)</f>
        <v/>
      </c>
      <c r="FN329" s="57">
        <f>IF($B329=$B328,$FN328,0)+$FM329</f>
        <v/>
      </c>
      <c r="FO329" s="57">
        <f>$FO328+$FM329</f>
        <v/>
      </c>
      <c r="FP329" s="62">
        <f>SUMIFS(tblSafety[Fatality],tblSafety[Date],$A329)</f>
        <v/>
      </c>
      <c r="FQ329" s="62">
        <f>IF($B329=$B328,$FQ328,0)+$FP329</f>
        <v/>
      </c>
      <c r="FR329" s="62">
        <f>$FR328+$FP329</f>
        <v/>
      </c>
      <c r="FS329" s="62">
        <f>SUMIFS(tblSafety[LTI],tblSafety[Date],$A329)</f>
        <v/>
      </c>
      <c r="FT329" s="62">
        <f>IF($B329=$B328,$FT328,0)+$FS329</f>
        <v/>
      </c>
      <c r="FU329" s="62">
        <f>$FU328+$FS329</f>
        <v/>
      </c>
      <c r="FV329" s="62">
        <f>SUMIFS(tblSafety[RWI],tblSafety[Date],$A329)</f>
        <v/>
      </c>
      <c r="FW329" s="62">
        <f>IF($B329=$B328,$FW328,0)+$FV329</f>
        <v/>
      </c>
      <c r="FX329" s="62">
        <f>$FX328+$FV329</f>
        <v/>
      </c>
      <c r="FY329" s="62">
        <f>SUMIFS(tblSafety[MTI],tblSafety[Date],$A329)</f>
        <v/>
      </c>
      <c r="FZ329" s="62">
        <f>IF($B329=$B328,$FZ328,0)+$FY329</f>
        <v/>
      </c>
      <c r="GA329" s="62">
        <f>$GA328+$FY329</f>
        <v/>
      </c>
      <c r="GB329" s="62">
        <f>SUMIFS(tblSafety[FAI],tblSafety[Date],$A329)</f>
        <v/>
      </c>
      <c r="GC329" s="62">
        <f>IF($B329=$B328,$GC328,0)+$GB329</f>
        <v/>
      </c>
      <c r="GD329" s="62">
        <f>$GD328+$GB329</f>
        <v/>
      </c>
      <c r="GE329" s="62">
        <f>SUMIFS(tblSafety[Recordables],tblSafety[Date],$A329)</f>
        <v/>
      </c>
      <c r="GF329" s="62">
        <f>IF($B329=$B328,$GF328,0)+$GE329</f>
        <v/>
      </c>
      <c r="GG329" s="62">
        <f>$GG328+$GE329</f>
        <v/>
      </c>
      <c r="GH329" s="62">
        <f>SUMIFS(tblSafety[Near_Miss],tblSafety[Date],$A329)</f>
        <v/>
      </c>
      <c r="GI329" s="62">
        <f>IF($B329=$B328,$GI328,0)+$GH329</f>
        <v/>
      </c>
      <c r="GJ329" s="62">
        <f>$GJ328+$GH329</f>
        <v/>
      </c>
      <c r="GK329" s="62">
        <f>SUMIFS(tblSafety[Hazard_Reports],tblSafety[Date],$A329)</f>
        <v/>
      </c>
      <c r="GL329" s="62">
        <f>IF($B329=$B328,$GL328,0)+$GK329</f>
        <v/>
      </c>
      <c r="GM329" s="62">
        <f>$GM328+$GK329</f>
        <v/>
      </c>
      <c r="GN329" s="62">
        <f>SUMIFS(tblSafety[HPI],tblSafety[Date],$A329)</f>
        <v/>
      </c>
      <c r="GO329" s="62">
        <f>IF($B329=$B328,$GO328,0)+$GN329</f>
        <v/>
      </c>
      <c r="GP329" s="62">
        <f>$GP328+$GN329</f>
        <v/>
      </c>
      <c r="GQ329" s="62">
        <f>SUMIFS(tblSafety[Env_Incidents],tblSafety[Date],$A329)</f>
        <v/>
      </c>
      <c r="GR329" s="62">
        <f>IF($B329=$B328,$GR328,0)+$GQ329</f>
        <v/>
      </c>
      <c r="GS329" s="62">
        <f>$GS328+$GQ329</f>
        <v/>
      </c>
      <c r="GT329" s="62">
        <f>SUMIFS(tblSafety[Community_Incidents],tblSafety[Date],$A329)</f>
        <v/>
      </c>
      <c r="GU329" s="62">
        <f>IF($B329=$B328,$GU328,0)+$GT329</f>
        <v/>
      </c>
      <c r="GV329" s="62">
        <f>$GV328+$GT329</f>
        <v/>
      </c>
      <c r="GW329" s="62">
        <f>SUMIFS(tblSafety[Vehicle_Incidents],tblSafety[Date],$A329)</f>
        <v/>
      </c>
      <c r="GX329" s="62">
        <f>IF($B329=$B328,$GX328,0)+$GW329</f>
        <v/>
      </c>
      <c r="GY329" s="62">
        <f>$GY328+$GW329</f>
        <v/>
      </c>
      <c r="GZ329" s="62">
        <f>SUMIFS(tblSafety[Toolbox_Talks],tblSafety[Date],$A329)</f>
        <v/>
      </c>
      <c r="HA329" s="62">
        <f>IF($B329=$B328,$HA328,0)+$GZ329</f>
        <v/>
      </c>
      <c r="HB329" s="62">
        <f>$HB328+$GZ329</f>
        <v/>
      </c>
      <c r="HC329" s="62">
        <f>SUMIFS(tblSafety[Inspections],tblSafety[Date],$A329)</f>
        <v/>
      </c>
      <c r="HD329" s="62">
        <f>IF($B329=$B328,$HD328,0)+$HC329</f>
        <v/>
      </c>
      <c r="HE329" s="62">
        <f>$HE328+$HC329</f>
        <v/>
      </c>
      <c r="HF329" s="56">
        <f>IFERROR((SUMIFS(tblSafety[Recordables],tblSafety[Date],"&gt;="&amp;EDATE($E329,-12),tblSafety[Date],"&lt;="&amp;$A329)+SUMIFS(tblSafetyHistory[Recordables],tblSafetyHistory[Month],"&gt;="&amp;EDATE($E329,-12),tblSafetyHistory[Month],"&lt;"&amp;cfg_YearStart))/(SUMIFS(tblSafety[Hours_Total],tblSafety[Date],"&gt;="&amp;EDATE($E329,-12),tblSafety[Date],"&lt;="&amp;$A329)+SUMIFS(tblSafetyHistory[Hours_Total],tblSafetyHistory[Month],"&gt;="&amp;EDATE($E329,-12),tblSafetyHistory[Month],"&lt;"&amp;cfg_YearStart))*1000000,"")</f>
        <v/>
      </c>
      <c r="HG329" s="56">
        <f>IFERROR((SUMIFS(tblSafety[LTI],tblSafety[Date],"&gt;="&amp;EDATE($E329,-12),tblSafety[Date],"&lt;="&amp;$A329)+SUMIFS(tblSafetyHistory[LTI],tblSafetyHistory[Month],"&gt;="&amp;EDATE($E329,-12),tblSafetyHistory[Month],"&lt;"&amp;cfg_YearStart))/(SUMIFS(tblSafety[Hours_Total],tblSafety[Date],"&gt;="&amp;EDATE($E329,-12),tblSafety[Date],"&lt;="&amp;$A329)+SUMIFS(tblSafetyHistory[Hours_Total],tblSafetyHistory[Month],"&gt;="&amp;EDATE($E329,-12),tblSafetyHistory[Month],"&lt;"&amp;cfg_YearStart))*1000000,"")</f>
        <v/>
      </c>
      <c r="HH329" s="62">
        <f>IF(MAX(N(cfg_PriorLTIDate),_xlfn.MAXIFS(tblSafety[Date],tblSafety[LTI],"&gt;0",tblSafety[Date],"&lt;="&amp;$A329))=0,"",$A329-MAX(N(cfg_PriorLTIDate),_xlfn.MAXIFS(tblSafety[Date],tblSafety[LTI],"&gt;0",tblSafety[Date],"&lt;="&amp;$A329)))</f>
        <v/>
      </c>
      <c r="HI329" s="55">
        <f>SUMIFS(tblBudget[Ore_Mined_t],tblBudget[Month],$E329)</f>
        <v/>
      </c>
      <c r="HJ329" s="55">
        <f>$HI329*$C329/$D329</f>
        <v/>
      </c>
      <c r="HK329" s="55">
        <f>SUMIFS(tblBudget[Ore_Mined_t],tblBudget[Month],"&lt;"&amp;$E329)+$HJ329</f>
        <v/>
      </c>
      <c r="HL329" s="55">
        <f>SUMIFS(tblBudget[Ore_oz],tblBudget[Month],$E329)</f>
        <v/>
      </c>
      <c r="HM329" s="55">
        <f>$HL329*$C329/$D329</f>
        <v/>
      </c>
      <c r="HN329" s="55">
        <f>SUMIFS(tblBudget[Ore_oz],tblBudget[Month],"&lt;"&amp;$E329)+$HM329</f>
        <v/>
      </c>
      <c r="HO329" s="56">
        <f>IFERROR(IF(($HI329)&gt;0,($HL329*cfg_TroyOz)/($HI329),""),"")</f>
        <v/>
      </c>
      <c r="HP329" s="56">
        <f>IFERROR(IF(($HJ329)&gt;0,($HM329*cfg_TroyOz)/($HJ329),""),"")</f>
        <v/>
      </c>
      <c r="HQ329" s="56">
        <f>IFERROR(IF(($HK329)&gt;0,($HN329*cfg_TroyOz)/($HK329),""),"")</f>
        <v/>
      </c>
      <c r="HR329" s="55">
        <f>SUMIFS(tblBudget[Waste_t],tblBudget[Month],$E329)</f>
        <v/>
      </c>
      <c r="HS329" s="55">
        <f>$HR329*$C329/$D329</f>
        <v/>
      </c>
      <c r="HT329" s="55">
        <f>SUMIFS(tblBudget[Waste_t],tblBudget[Month],"&lt;"&amp;$E329)+$HS329</f>
        <v/>
      </c>
      <c r="HU329" s="55">
        <f>SUMIFS(tblBudget[TMM_t],tblBudget[Month],$E329)</f>
        <v/>
      </c>
      <c r="HV329" s="55">
        <f>$HU329*$C329/$D329</f>
        <v/>
      </c>
      <c r="HW329" s="55">
        <f>SUMIFS(tblBudget[TMM_t],tblBudget[Month],"&lt;"&amp;$E329)+$HV329</f>
        <v/>
      </c>
      <c r="HX329" s="56">
        <f>IFERROR(IF(($HI329)&gt;0,($HR329)/($HI329),""),"")</f>
        <v/>
      </c>
      <c r="HY329" s="56">
        <f>IFERROR(IF(($HJ329)&gt;0,($HS329)/($HJ329),""),"")</f>
        <v/>
      </c>
      <c r="HZ329" s="56">
        <f>IFERROR(IF(($HK329)&gt;0,($HT329)/($HK329),""),"")</f>
        <v/>
      </c>
      <c r="IA329" s="55">
        <f>SUMIFS(tblBudget[Drill_m],tblBudget[Month],$E329)</f>
        <v/>
      </c>
      <c r="IB329" s="55">
        <f>$IA329*$C329/$D329</f>
        <v/>
      </c>
      <c r="IC329" s="55">
        <f>SUMIFS(tblBudget[Drill_m],tblBudget[Month],"&lt;"&amp;$E329)+$IB329</f>
        <v/>
      </c>
      <c r="ID329" s="55">
        <f>SUMIFS(tblBudget[Diesel_L],tblBudget[Month],$E329)</f>
        <v/>
      </c>
      <c r="IE329" s="55">
        <f>$ID329*$C329/$D329</f>
        <v/>
      </c>
      <c r="IF329" s="55">
        <f>SUMIFS(tblBudget[Diesel_L],tblBudget[Month],"&lt;"&amp;$E329)+$IE329</f>
        <v/>
      </c>
      <c r="IG329" s="55">
        <f>SUMIFS(tblBudget[Milled_t],tblBudget[Month],$E329)</f>
        <v/>
      </c>
      <c r="IH329" s="55">
        <f>$IG329*$C329/$D329</f>
        <v/>
      </c>
      <c r="II329" s="55">
        <f>SUMIFS(tblBudget[Milled_t],tblBudget[Month],"&lt;"&amp;$E329)+$IH329</f>
        <v/>
      </c>
      <c r="IJ329" s="55">
        <f>SUMIFS(tblBudget[Feed_oz],tblBudget[Month],$E329)</f>
        <v/>
      </c>
      <c r="IK329" s="55">
        <f>$IJ329*$C329/$D329</f>
        <v/>
      </c>
      <c r="IL329" s="55">
        <f>SUMIFS(tblBudget[Feed_oz],tblBudget[Month],"&lt;"&amp;$E329)+$IK329</f>
        <v/>
      </c>
      <c r="IM329" s="55">
        <f>SUMIFS(tblBudget[Recovered_oz],tblBudget[Month],$E329)</f>
        <v/>
      </c>
      <c r="IN329" s="55">
        <f>$IM329*$C329/$D329</f>
        <v/>
      </c>
      <c r="IO329" s="55">
        <f>SUMIFS(tblBudget[Recovered_oz],tblBudget[Month],"&lt;"&amp;$E329)+$IN329</f>
        <v/>
      </c>
      <c r="IP329" s="56">
        <f>IFERROR(IF(($IG329)&gt;0,($IJ329*cfg_TroyOz)/($IG329),""),"")</f>
        <v/>
      </c>
      <c r="IQ329" s="56">
        <f>IFERROR(IF(($IH329)&gt;0,($IK329*cfg_TroyOz)/($IH329),""),"")</f>
        <v/>
      </c>
      <c r="IR329" s="56">
        <f>IFERROR(IF(($II329)&gt;0,($IL329*cfg_TroyOz)/($II329),""),"")</f>
        <v/>
      </c>
      <c r="IS329" s="67">
        <f>IFERROR(IF(($IJ329)&gt;0,($IM329)/($IJ329),""),"")</f>
        <v/>
      </c>
      <c r="IT329" s="67">
        <f>IFERROR(IF(($IK329)&gt;0,($IN329)/($IK329),""),"")</f>
        <v/>
      </c>
      <c r="IU329" s="67">
        <f>IFERROR(IF(($IL329)&gt;0,($IO329)/($IL329),""),"")</f>
        <v/>
      </c>
      <c r="IV329" s="55">
        <f>SUMIFS(tblBudget[Gold_Poured_oz],tblBudget[Month],$E329)</f>
        <v/>
      </c>
      <c r="IW329" s="55">
        <f>$IV329*$C329/$D329</f>
        <v/>
      </c>
      <c r="IX329" s="55">
        <f>SUMIFS(tblBudget[Gold_Poured_oz],tblBudget[Month],"&lt;"&amp;$E329)+$IW329</f>
        <v/>
      </c>
      <c r="IY329" s="57">
        <f>SUMIFS(tblBudget[Hours_Worked],tblBudget[Month],$E329)</f>
        <v/>
      </c>
      <c r="IZ329" s="57">
        <f>$IY329*$C329/$D329</f>
        <v/>
      </c>
      <c r="JA329" s="57">
        <f>SUMIFS(tblBudget[Hours_Worked],tblBudget[Month],"&lt;"&amp;$E329)+$IZ329</f>
        <v/>
      </c>
    </row>
    <row r="330">
      <c r="A330" s="54" t="n">
        <v>46351</v>
      </c>
      <c r="B330">
        <f>MONTH($A330)</f>
        <v/>
      </c>
      <c r="C330">
        <f>DAY($A330)</f>
        <v/>
      </c>
      <c r="D330">
        <f>DAY(EOMONTH($A330,0))</f>
        <v/>
      </c>
      <c r="E330" s="54">
        <f>DATE(YEAR($A330),MONTH($A330),1)</f>
        <v/>
      </c>
      <c r="F330" s="55">
        <f>SUMIFS(tblMovement[Tonnes_t],tblMovement[Date],$A330,tblMovement[Is_Ore],1,tblMovement[Source_Type],"Pit")</f>
        <v/>
      </c>
      <c r="G330" s="55">
        <f>IF($B330=$B329,$G329,0)+$F330</f>
        <v/>
      </c>
      <c r="H330" s="55">
        <f>$H329+$F330</f>
        <v/>
      </c>
      <c r="I330" s="55">
        <f>SUMIFS(tblMovement[Ore_oz],tblMovement[Date],$A330,tblMovement[Source_Type],"Pit")</f>
        <v/>
      </c>
      <c r="J330" s="55">
        <f>IF($B330=$B329,$J329,0)+$I330</f>
        <v/>
      </c>
      <c r="K330" s="55">
        <f>$K329+$I330</f>
        <v/>
      </c>
      <c r="L330" s="56">
        <f>IFERROR(IF(($F330)&gt;0,($I330*cfg_TroyOz)/($F330),""),"")</f>
        <v/>
      </c>
      <c r="M330" s="56">
        <f>IFERROR(IF(($G330)&gt;0,($J330*cfg_TroyOz)/($G330),""),"")</f>
        <v/>
      </c>
      <c r="N330" s="56">
        <f>IFERROR(IF(($H330)&gt;0,($K330*cfg_TroyOz)/($H330),""),"")</f>
        <v/>
      </c>
      <c r="O330" s="55">
        <f>SUMIFS(tblMovement[Tonnes_t],tblMovement[Date],$A330,tblMovement[Is_Ore],0,tblMovement[Source_Type],"Pit")</f>
        <v/>
      </c>
      <c r="P330" s="55">
        <f>IF($B330=$B329,$P329,0)+$O330</f>
        <v/>
      </c>
      <c r="Q330" s="55">
        <f>$Q329+$O330</f>
        <v/>
      </c>
      <c r="R330" s="55">
        <f>$F330+$O330</f>
        <v/>
      </c>
      <c r="S330" s="55">
        <f>IF($B330=$B329,$S329,0)+$R330</f>
        <v/>
      </c>
      <c r="T330" s="55">
        <f>$T329+$R330</f>
        <v/>
      </c>
      <c r="U330" s="56">
        <f>IFERROR(IF(($F330)&gt;0,($O330)/($F330),""),"")</f>
        <v/>
      </c>
      <c r="V330" s="56">
        <f>IFERROR(IF(($G330)&gt;0,($P330)/($G330),""),"")</f>
        <v/>
      </c>
      <c r="W330" s="56">
        <f>IFERROR(IF(($H330)&gt;0,($Q330)/($H330),""),"")</f>
        <v/>
      </c>
      <c r="X330" s="55">
        <f>SUMIFS(tblMovement[Tonnes_t],tblMovement[Date],$A330,tblMovement[Source_Type],"Stockpile")</f>
        <v/>
      </c>
      <c r="Y330" s="55">
        <f>IF($B330=$B329,$Y329,0)+$X330</f>
        <v/>
      </c>
      <c r="Z330" s="55">
        <f>$Z329+$X330</f>
        <v/>
      </c>
      <c r="AA330" s="55">
        <f>SUMIFS(tblMiningDaily[Drill_m],tblMiningDaily[Date],$A330)</f>
        <v/>
      </c>
      <c r="AB330" s="55">
        <f>IF($B330=$B329,$AB329,0)+$AA330</f>
        <v/>
      </c>
      <c r="AC330" s="55">
        <f>$AC329+$AA330</f>
        <v/>
      </c>
      <c r="AD330" s="55">
        <f>SUMIFS(tblMiningDaily[Blast_t],tblMiningDaily[Date],$A330)</f>
        <v/>
      </c>
      <c r="AE330" s="55">
        <f>IF($B330=$B329,$AE329,0)+$AD330</f>
        <v/>
      </c>
      <c r="AF330" s="55">
        <f>$AF329+$AD330</f>
        <v/>
      </c>
      <c r="AG330" s="55">
        <f>SUMIFS(tblMiningDaily[Explosives_kg],tblMiningDaily[Date],$A330)</f>
        <v/>
      </c>
      <c r="AH330" s="55">
        <f>IF($B330=$B329,$AH329,0)+$AG330</f>
        <v/>
      </c>
      <c r="AI330" s="55">
        <f>$AI329+$AG330</f>
        <v/>
      </c>
      <c r="AJ330" s="56">
        <f>IFERROR(IF(($AD330)&gt;0,($AG330)/($AD330),""),"")</f>
        <v/>
      </c>
      <c r="AK330" s="56">
        <f>IFERROR(IF(($AE330)&gt;0,($AH330)/($AE330),""),"")</f>
        <v/>
      </c>
      <c r="AL330" s="56">
        <f>IFERROR(IF(($AF330)&gt;0,($AI330)/($AF330),""),"")</f>
        <v/>
      </c>
      <c r="AM330" s="55">
        <f>SUMIFS(tblMiningDaily[Diesel_L],tblMiningDaily[Date],$A330)</f>
        <v/>
      </c>
      <c r="AN330" s="55">
        <f>IF($B330=$B329,$AN329,0)+$AM330</f>
        <v/>
      </c>
      <c r="AO330" s="55">
        <f>$AO329+$AM330</f>
        <v/>
      </c>
      <c r="AP330" s="55">
        <f>SUMIFS(tblMiningDaily[Dewatering_m3],tblMiningDaily[Date],$A330)</f>
        <v/>
      </c>
      <c r="AQ330" s="55">
        <f>IF($B330=$B329,$AQ329,0)+$AP330</f>
        <v/>
      </c>
      <c r="AR330" s="55">
        <f>$AR329+$AP330</f>
        <v/>
      </c>
      <c r="AS330" s="57">
        <f>SUMIFS(tblFleet[Calendar_h],tblFleet[Date],$A330,tblFleet[Equipment_Class],"Excavator")</f>
        <v/>
      </c>
      <c r="AT330" s="57">
        <f>IF($B330=$B329,$AT329,0)+$AS330</f>
        <v/>
      </c>
      <c r="AU330" s="57">
        <f>$AU329+$AS330</f>
        <v/>
      </c>
      <c r="AV330" s="57">
        <f>SUMIFS(tblFleet[Available_h],tblFleet[Date],$A330,tblFleet[Equipment_Class],"Excavator")</f>
        <v/>
      </c>
      <c r="AW330" s="57">
        <f>IF($B330=$B329,$AW329,0)+$AV330</f>
        <v/>
      </c>
      <c r="AX330" s="57">
        <f>$AX329+$AV330</f>
        <v/>
      </c>
      <c r="AY330" s="57">
        <f>SUMIFS(tblFleet[Operating_h],tblFleet[Date],$A330,tblFleet[Equipment_Class],"Excavator")</f>
        <v/>
      </c>
      <c r="AZ330" s="57">
        <f>IF($B330=$B329,$AZ329,0)+$AY330</f>
        <v/>
      </c>
      <c r="BA330" s="57">
        <f>$BA329+$AY330</f>
        <v/>
      </c>
      <c r="BB330" s="67">
        <f>IFERROR(IF(($AS330)&gt;0,($AV330)/($AS330),""),"")</f>
        <v/>
      </c>
      <c r="BC330" s="67">
        <f>IFERROR(IF(($AT330)&gt;0,($AW330)/($AT330),""),"")</f>
        <v/>
      </c>
      <c r="BD330" s="67">
        <f>IFERROR(IF(($AU330)&gt;0,($AX330)/($AU330),""),"")</f>
        <v/>
      </c>
      <c r="BE330" s="67">
        <f>IFERROR(IF(($AV330)&gt;0,($AY330)/($AV330),""),"")</f>
        <v/>
      </c>
      <c r="BF330" s="67">
        <f>IFERROR(IF(($AW330)&gt;0,($AZ330)/($AW330),""),"")</f>
        <v/>
      </c>
      <c r="BG330" s="67">
        <f>IFERROR(IF(($AX330)&gt;0,($BA330)/($AX330),""),"")</f>
        <v/>
      </c>
      <c r="BH330" s="57">
        <f>SUMIFS(tblFleet[Calendar_h],tblFleet[Date],$A330,tblFleet[Equipment_Class],"Haul Truck")</f>
        <v/>
      </c>
      <c r="BI330" s="57">
        <f>IF($B330=$B329,$BI329,0)+$BH330</f>
        <v/>
      </c>
      <c r="BJ330" s="57">
        <f>$BJ329+$BH330</f>
        <v/>
      </c>
      <c r="BK330" s="57">
        <f>SUMIFS(tblFleet[Available_h],tblFleet[Date],$A330,tblFleet[Equipment_Class],"Haul Truck")</f>
        <v/>
      </c>
      <c r="BL330" s="57">
        <f>IF($B330=$B329,$BL329,0)+$BK330</f>
        <v/>
      </c>
      <c r="BM330" s="57">
        <f>$BM329+$BK330</f>
        <v/>
      </c>
      <c r="BN330" s="57">
        <f>SUMIFS(tblFleet[Operating_h],tblFleet[Date],$A330,tblFleet[Equipment_Class],"Haul Truck")</f>
        <v/>
      </c>
      <c r="BO330" s="57">
        <f>IF($B330=$B329,$BO329,0)+$BN330</f>
        <v/>
      </c>
      <c r="BP330" s="57">
        <f>$BP329+$BN330</f>
        <v/>
      </c>
      <c r="BQ330" s="67">
        <f>IFERROR(IF(($BH330)&gt;0,($BK330)/($BH330),""),"")</f>
        <v/>
      </c>
      <c r="BR330" s="67">
        <f>IFERROR(IF(($BI330)&gt;0,($BL330)/($BI330),""),"")</f>
        <v/>
      </c>
      <c r="BS330" s="67">
        <f>IFERROR(IF(($BJ330)&gt;0,($BM330)/($BJ330),""),"")</f>
        <v/>
      </c>
      <c r="BT330" s="67">
        <f>IFERROR(IF(($BK330)&gt;0,($BN330)/($BK330),""),"")</f>
        <v/>
      </c>
      <c r="BU330" s="67">
        <f>IFERROR(IF(($BL330)&gt;0,($BO330)/($BL330),""),"")</f>
        <v/>
      </c>
      <c r="BV330" s="67">
        <f>IFERROR(IF(($BM330)&gt;0,($BP330)/($BM330),""),"")</f>
        <v/>
      </c>
      <c r="BW330" s="55">
        <f>SUMIFS(tblPlant[Crushed_t],tblPlant[Date],$A330)</f>
        <v/>
      </c>
      <c r="BX330" s="55">
        <f>IF($B330=$B329,$BX329,0)+$BW330</f>
        <v/>
      </c>
      <c r="BY330" s="55">
        <f>$BY329+$BW330</f>
        <v/>
      </c>
      <c r="BZ330" s="55">
        <f>SUMIFS(tblPlant[Milled_t],tblPlant[Date],$A330)</f>
        <v/>
      </c>
      <c r="CA330" s="55">
        <f>IF($B330=$B329,$CA329,0)+$BZ330</f>
        <v/>
      </c>
      <c r="CB330" s="55">
        <f>$CB329+$BZ330</f>
        <v/>
      </c>
      <c r="CC330" s="55">
        <f>SUMIFS(tblPlant[Feed_oz],tblPlant[Date],$A330)</f>
        <v/>
      </c>
      <c r="CD330" s="55">
        <f>IF($B330=$B329,$CD329,0)+$CC330</f>
        <v/>
      </c>
      <c r="CE330" s="55">
        <f>$CE329+$CC330</f>
        <v/>
      </c>
      <c r="CF330" s="55">
        <f>SUMIFS(tblPlant[Tails_oz],tblPlant[Date],$A330)</f>
        <v/>
      </c>
      <c r="CG330" s="55">
        <f>IF($B330=$B329,$CG329,0)+$CF330</f>
        <v/>
      </c>
      <c r="CH330" s="55">
        <f>$CH329+$CF330</f>
        <v/>
      </c>
      <c r="CI330" s="55">
        <f>SUMIFS(tblPlant[Recovered_oz],tblPlant[Date],$A330)</f>
        <v/>
      </c>
      <c r="CJ330" s="55">
        <f>IF($B330=$B329,$CJ329,0)+$CI330</f>
        <v/>
      </c>
      <c r="CK330" s="55">
        <f>$CK329+$CI330</f>
        <v/>
      </c>
      <c r="CL330" s="56">
        <f>IFERROR(IF(($BZ330)&gt;0,($CC330*cfg_TroyOz)/($BZ330),""),"")</f>
        <v/>
      </c>
      <c r="CM330" s="56">
        <f>IFERROR(IF(($CA330)&gt;0,($CD330*cfg_TroyOz)/($CA330),""),"")</f>
        <v/>
      </c>
      <c r="CN330" s="56">
        <f>IFERROR(IF(($CB330)&gt;0,($CE330*cfg_TroyOz)/($CB330),""),"")</f>
        <v/>
      </c>
      <c r="CO330" s="56">
        <f>IFERROR(IF(($BZ330)&gt;0,($CF330*cfg_TroyOz)/($BZ330),""),"")</f>
        <v/>
      </c>
      <c r="CP330" s="56">
        <f>IFERROR(IF(($CA330)&gt;0,($CG330*cfg_TroyOz)/($CA330),""),"")</f>
        <v/>
      </c>
      <c r="CQ330" s="56">
        <f>IFERROR(IF(($CB330)&gt;0,($CH330*cfg_TroyOz)/($CB330),""),"")</f>
        <v/>
      </c>
      <c r="CR330" s="67">
        <f>IFERROR(IF(($CC330)&gt;0,($CI330)/($CC330),""),"")</f>
        <v/>
      </c>
      <c r="CS330" s="67">
        <f>IFERROR(IF(($CD330)&gt;0,($CJ330)/($CD330),""),"")</f>
        <v/>
      </c>
      <c r="CT330" s="67">
        <f>IFERROR(IF(($CE330)&gt;0,($CK330)/($CE330),""),"")</f>
        <v/>
      </c>
      <c r="CU330" s="55">
        <f>SUMIFS(tblPlant[Gravity_Gold_oz],tblPlant[Date],$A330)</f>
        <v/>
      </c>
      <c r="CV330" s="55">
        <f>IF($B330=$B329,$CV329,0)+$CU330</f>
        <v/>
      </c>
      <c r="CW330" s="55">
        <f>$CW329+$CU330</f>
        <v/>
      </c>
      <c r="CX330" s="55">
        <f>SUMIFS(tblPlant[Gold_Poured_oz],tblPlant[Date],$A330)</f>
        <v/>
      </c>
      <c r="CY330" s="55">
        <f>IF($B330=$B329,$CY329,0)+$CX330</f>
        <v/>
      </c>
      <c r="CZ330" s="55">
        <f>$CZ329+$CX330</f>
        <v/>
      </c>
      <c r="DA330" s="57">
        <f>SUMIFS(tblPlant[Mill_Run_h],tblPlant[Date],$A330)</f>
        <v/>
      </c>
      <c r="DB330" s="57">
        <f>IF($B330=$B329,$DB329,0)+$DA330</f>
        <v/>
      </c>
      <c r="DC330" s="57">
        <f>$DC329+$DA330</f>
        <v/>
      </c>
      <c r="DD330" s="57">
        <f>SUMIFS(tblPlant[Mill_Planned_Maint_h],tblPlant[Date],$A330)</f>
        <v/>
      </c>
      <c r="DE330" s="57">
        <f>IF($B330=$B329,$DE329,0)+$DD330</f>
        <v/>
      </c>
      <c r="DF330" s="57">
        <f>$DF329+$DD330</f>
        <v/>
      </c>
      <c r="DG330" s="57">
        <f>SUMIFS(tblPlant[Mill_Unplanned_Down_h],tblPlant[Date],$A330)</f>
        <v/>
      </c>
      <c r="DH330" s="57">
        <f>IF($B330=$B329,$DH329,0)+$DG330</f>
        <v/>
      </c>
      <c r="DI330" s="57">
        <f>$DI329+$DG330</f>
        <v/>
      </c>
      <c r="DJ330" s="57">
        <f>COUNTIFS(tblPlant[Date],$A330,tblPlant[Mill_Run_h],"&lt;&gt;")*24</f>
        <v/>
      </c>
      <c r="DK330" s="57">
        <f>IF($B330=$B329,$DK329,0)+$DJ330</f>
        <v/>
      </c>
      <c r="DL330" s="57">
        <f>$DL329+$DJ330</f>
        <v/>
      </c>
      <c r="DM330" s="57">
        <f>SUMIFS(tblPlant[Crusher_Run_h],tblPlant[Date],$A330)</f>
        <v/>
      </c>
      <c r="DN330" s="57">
        <f>IF($B330=$B329,$DN329,0)+$DM330</f>
        <v/>
      </c>
      <c r="DO330" s="57">
        <f>$DO329+$DM330</f>
        <v/>
      </c>
      <c r="DP330" s="55">
        <f>IFERROR(IF(($DA330)&gt;0,($BZ330)/($DA330),""),"")</f>
        <v/>
      </c>
      <c r="DQ330" s="55">
        <f>IFERROR(IF(($DB330)&gt;0,($CA330)/($DB330),""),"")</f>
        <v/>
      </c>
      <c r="DR330" s="55">
        <f>IFERROR(IF(($DC330)&gt;0,($CB330)/($DC330),""),"")</f>
        <v/>
      </c>
      <c r="DS330" s="67">
        <f>IFERROR(IF(($DJ330)&gt;0,($DJ330-$DD330-$DG330)/($DJ330),""),"")</f>
        <v/>
      </c>
      <c r="DT330" s="67">
        <f>IFERROR(IF(($DK330)&gt;0,($DK330-$DE330-$DH330)/($DK330),""),"")</f>
        <v/>
      </c>
      <c r="DU330" s="67">
        <f>IFERROR(IF(($DL330)&gt;0,($DL330-$DF330-$DI330)/($DL330),""),"")</f>
        <v/>
      </c>
      <c r="DV330" s="67">
        <f>IFERROR(IF(($DJ330-$DD330-$DG330)&gt;0,($DA330)/($DJ330-$DD330-$DG330),""),"")</f>
        <v/>
      </c>
      <c r="DW330" s="67">
        <f>IFERROR(IF(($DK330-$DE330-$DH330)&gt;0,($DB330)/($DK330-$DE330-$DH330),""),"")</f>
        <v/>
      </c>
      <c r="DX330" s="67">
        <f>IFERROR(IF(($DL330-$DF330-$DI330)&gt;0,($DC330)/($DL330-$DF330-$DI330),""),"")</f>
        <v/>
      </c>
      <c r="DY330" s="55">
        <f>SUMIFS(tblPlant[Cyanide_kg],tblPlant[Date],$A330)</f>
        <v/>
      </c>
      <c r="DZ330" s="55">
        <f>IF($B330=$B329,$DZ329,0)+$DY330</f>
        <v/>
      </c>
      <c r="EA330" s="55">
        <f>$EA329+$DY330</f>
        <v/>
      </c>
      <c r="EB330" s="55">
        <f>SUMIFS(tblPlant[Lime_kg],tblPlant[Date],$A330)</f>
        <v/>
      </c>
      <c r="EC330" s="55">
        <f>IF($B330=$B329,$EC329,0)+$EB330</f>
        <v/>
      </c>
      <c r="ED330" s="55">
        <f>$ED329+$EB330</f>
        <v/>
      </c>
      <c r="EE330" s="55">
        <f>SUMIFS(tblPlant[Grinding_Media_kg],tblPlant[Date],$A330)</f>
        <v/>
      </c>
      <c r="EF330" s="55">
        <f>IF($B330=$B329,$EF329,0)+$EE330</f>
        <v/>
      </c>
      <c r="EG330" s="55">
        <f>$EG329+$EE330</f>
        <v/>
      </c>
      <c r="EH330" s="55">
        <f>SUMIFS(tblPlant[Power_kWh],tblPlant[Date],$A330)</f>
        <v/>
      </c>
      <c r="EI330" s="55">
        <f>IF($B330=$B329,$EI329,0)+$EH330</f>
        <v/>
      </c>
      <c r="EJ330" s="55">
        <f>$EJ329+$EH330</f>
        <v/>
      </c>
      <c r="EK330" s="55">
        <f>SUMIFS(tblPlant[Raw_Water_m3],tblPlant[Date],$A330)</f>
        <v/>
      </c>
      <c r="EL330" s="55">
        <f>IF($B330=$B329,$EL329,0)+$EK330</f>
        <v/>
      </c>
      <c r="EM330" s="55">
        <f>$EM329+$EK330</f>
        <v/>
      </c>
      <c r="EN330" s="56">
        <f>IFERROR(IF(($BZ330)&gt;0,($DY330)/($BZ330),""),"")</f>
        <v/>
      </c>
      <c r="EO330" s="56">
        <f>IFERROR(IF(($CA330)&gt;0,($DZ330)/($CA330),""),"")</f>
        <v/>
      </c>
      <c r="EP330" s="56">
        <f>IFERROR(IF(($CB330)&gt;0,($EA330)/($CB330),""),"")</f>
        <v/>
      </c>
      <c r="EQ330" s="56">
        <f>IFERROR(IF(($BZ330)&gt;0,($EB330)/($BZ330),""),"")</f>
        <v/>
      </c>
      <c r="ER330" s="56">
        <f>IFERROR(IF(($CA330)&gt;0,($EC330)/($CA330),""),"")</f>
        <v/>
      </c>
      <c r="ES330" s="56">
        <f>IFERROR(IF(($CB330)&gt;0,($ED330)/($CB330),""),"")</f>
        <v/>
      </c>
      <c r="ET330" s="56">
        <f>IFERROR(IF(($BZ330)&gt;0,($EE330)/($BZ330),""),"")</f>
        <v/>
      </c>
      <c r="EU330" s="56">
        <f>IFERROR(IF(($CA330)&gt;0,($EF330)/($CA330),""),"")</f>
        <v/>
      </c>
      <c r="EV330" s="56">
        <f>IFERROR(IF(($CB330)&gt;0,($EG330)/($CB330),""),"")</f>
        <v/>
      </c>
      <c r="EW330" s="76">
        <f>IFERROR(IF(($BZ330)&gt;0,($EH330)/($BZ330),""),"")</f>
        <v/>
      </c>
      <c r="EX330" s="76">
        <f>IFERROR(IF(($CA330)&gt;0,($EI330)/($CA330),""),"")</f>
        <v/>
      </c>
      <c r="EY330" s="76">
        <f>IFERROR(IF(($CB330)&gt;0,($EJ330)/($CB330),""),"")</f>
        <v/>
      </c>
      <c r="EZ330" s="56">
        <f>IFERROR(IF(($BZ330)&gt;0,($EK330)/($BZ330),""),"")</f>
        <v/>
      </c>
      <c r="FA330" s="56">
        <f>IFERROR(IF(($CA330)&gt;0,($EL330)/($CA330),""),"")</f>
        <v/>
      </c>
      <c r="FB330" s="56">
        <f>IFERROR(IF(($CB330)&gt;0,($EM330)/($CB330),""),"")</f>
        <v/>
      </c>
      <c r="FC330" s="55">
        <f>IF(SUMIFS(tblPlant[GIC_oz],tblPlant[Date],$A330)&gt;0,SUMIFS(tblPlant[GIC_oz],tblPlant[Date],$A330),"")</f>
        <v/>
      </c>
      <c r="FD330" s="55">
        <f>SUMIFS(tblGold[Gold_oz],tblGold[Date],$A330,tblGold[Type],"Shipment")</f>
        <v/>
      </c>
      <c r="FE330" s="55">
        <f>IF($B330=$B329,$FE329,0)+$FD330</f>
        <v/>
      </c>
      <c r="FF330" s="55">
        <f>$FF329+$FD330</f>
        <v/>
      </c>
      <c r="FG330" s="55">
        <f>SUMIFS(tblGold[Gold_oz],tblGold[Date],$A330,tblGold[Type],"Sale")</f>
        <v/>
      </c>
      <c r="FH330" s="55">
        <f>IF($B330=$B329,$FH329,0)+$FG330</f>
        <v/>
      </c>
      <c r="FI330" s="55">
        <f>$FI329+$FG330</f>
        <v/>
      </c>
      <c r="FJ330" s="55">
        <f>SUMIFS(tblGold[Dore_kg],tblGold[Date],$A330,tblGold[Type],"Shipment")</f>
        <v/>
      </c>
      <c r="FK330" s="55">
        <f>IF($B330=$B329,$FK329,0)+$FJ330</f>
        <v/>
      </c>
      <c r="FL330" s="55">
        <f>$FL329+$FJ330</f>
        <v/>
      </c>
      <c r="FM330" s="57">
        <f>SUMIFS(tblSafety[Hours_Total],tblSafety[Date],$A330)</f>
        <v/>
      </c>
      <c r="FN330" s="57">
        <f>IF($B330=$B329,$FN329,0)+$FM330</f>
        <v/>
      </c>
      <c r="FO330" s="57">
        <f>$FO329+$FM330</f>
        <v/>
      </c>
      <c r="FP330" s="62">
        <f>SUMIFS(tblSafety[Fatality],tblSafety[Date],$A330)</f>
        <v/>
      </c>
      <c r="FQ330" s="62">
        <f>IF($B330=$B329,$FQ329,0)+$FP330</f>
        <v/>
      </c>
      <c r="FR330" s="62">
        <f>$FR329+$FP330</f>
        <v/>
      </c>
      <c r="FS330" s="62">
        <f>SUMIFS(tblSafety[LTI],tblSafety[Date],$A330)</f>
        <v/>
      </c>
      <c r="FT330" s="62">
        <f>IF($B330=$B329,$FT329,0)+$FS330</f>
        <v/>
      </c>
      <c r="FU330" s="62">
        <f>$FU329+$FS330</f>
        <v/>
      </c>
      <c r="FV330" s="62">
        <f>SUMIFS(tblSafety[RWI],tblSafety[Date],$A330)</f>
        <v/>
      </c>
      <c r="FW330" s="62">
        <f>IF($B330=$B329,$FW329,0)+$FV330</f>
        <v/>
      </c>
      <c r="FX330" s="62">
        <f>$FX329+$FV330</f>
        <v/>
      </c>
      <c r="FY330" s="62">
        <f>SUMIFS(tblSafety[MTI],tblSafety[Date],$A330)</f>
        <v/>
      </c>
      <c r="FZ330" s="62">
        <f>IF($B330=$B329,$FZ329,0)+$FY330</f>
        <v/>
      </c>
      <c r="GA330" s="62">
        <f>$GA329+$FY330</f>
        <v/>
      </c>
      <c r="GB330" s="62">
        <f>SUMIFS(tblSafety[FAI],tblSafety[Date],$A330)</f>
        <v/>
      </c>
      <c r="GC330" s="62">
        <f>IF($B330=$B329,$GC329,0)+$GB330</f>
        <v/>
      </c>
      <c r="GD330" s="62">
        <f>$GD329+$GB330</f>
        <v/>
      </c>
      <c r="GE330" s="62">
        <f>SUMIFS(tblSafety[Recordables],tblSafety[Date],$A330)</f>
        <v/>
      </c>
      <c r="GF330" s="62">
        <f>IF($B330=$B329,$GF329,0)+$GE330</f>
        <v/>
      </c>
      <c r="GG330" s="62">
        <f>$GG329+$GE330</f>
        <v/>
      </c>
      <c r="GH330" s="62">
        <f>SUMIFS(tblSafety[Near_Miss],tblSafety[Date],$A330)</f>
        <v/>
      </c>
      <c r="GI330" s="62">
        <f>IF($B330=$B329,$GI329,0)+$GH330</f>
        <v/>
      </c>
      <c r="GJ330" s="62">
        <f>$GJ329+$GH330</f>
        <v/>
      </c>
      <c r="GK330" s="62">
        <f>SUMIFS(tblSafety[Hazard_Reports],tblSafety[Date],$A330)</f>
        <v/>
      </c>
      <c r="GL330" s="62">
        <f>IF($B330=$B329,$GL329,0)+$GK330</f>
        <v/>
      </c>
      <c r="GM330" s="62">
        <f>$GM329+$GK330</f>
        <v/>
      </c>
      <c r="GN330" s="62">
        <f>SUMIFS(tblSafety[HPI],tblSafety[Date],$A330)</f>
        <v/>
      </c>
      <c r="GO330" s="62">
        <f>IF($B330=$B329,$GO329,0)+$GN330</f>
        <v/>
      </c>
      <c r="GP330" s="62">
        <f>$GP329+$GN330</f>
        <v/>
      </c>
      <c r="GQ330" s="62">
        <f>SUMIFS(tblSafety[Env_Incidents],tblSafety[Date],$A330)</f>
        <v/>
      </c>
      <c r="GR330" s="62">
        <f>IF($B330=$B329,$GR329,0)+$GQ330</f>
        <v/>
      </c>
      <c r="GS330" s="62">
        <f>$GS329+$GQ330</f>
        <v/>
      </c>
      <c r="GT330" s="62">
        <f>SUMIFS(tblSafety[Community_Incidents],tblSafety[Date],$A330)</f>
        <v/>
      </c>
      <c r="GU330" s="62">
        <f>IF($B330=$B329,$GU329,0)+$GT330</f>
        <v/>
      </c>
      <c r="GV330" s="62">
        <f>$GV329+$GT330</f>
        <v/>
      </c>
      <c r="GW330" s="62">
        <f>SUMIFS(tblSafety[Vehicle_Incidents],tblSafety[Date],$A330)</f>
        <v/>
      </c>
      <c r="GX330" s="62">
        <f>IF($B330=$B329,$GX329,0)+$GW330</f>
        <v/>
      </c>
      <c r="GY330" s="62">
        <f>$GY329+$GW330</f>
        <v/>
      </c>
      <c r="GZ330" s="62">
        <f>SUMIFS(tblSafety[Toolbox_Talks],tblSafety[Date],$A330)</f>
        <v/>
      </c>
      <c r="HA330" s="62">
        <f>IF($B330=$B329,$HA329,0)+$GZ330</f>
        <v/>
      </c>
      <c r="HB330" s="62">
        <f>$HB329+$GZ330</f>
        <v/>
      </c>
      <c r="HC330" s="62">
        <f>SUMIFS(tblSafety[Inspections],tblSafety[Date],$A330)</f>
        <v/>
      </c>
      <c r="HD330" s="62">
        <f>IF($B330=$B329,$HD329,0)+$HC330</f>
        <v/>
      </c>
      <c r="HE330" s="62">
        <f>$HE329+$HC330</f>
        <v/>
      </c>
      <c r="HF330" s="56">
        <f>IFERROR((SUMIFS(tblSafety[Recordables],tblSafety[Date],"&gt;="&amp;EDATE($E330,-12),tblSafety[Date],"&lt;="&amp;$A330)+SUMIFS(tblSafetyHistory[Recordables],tblSafetyHistory[Month],"&gt;="&amp;EDATE($E330,-12),tblSafetyHistory[Month],"&lt;"&amp;cfg_YearStart))/(SUMIFS(tblSafety[Hours_Total],tblSafety[Date],"&gt;="&amp;EDATE($E330,-12),tblSafety[Date],"&lt;="&amp;$A330)+SUMIFS(tblSafetyHistory[Hours_Total],tblSafetyHistory[Month],"&gt;="&amp;EDATE($E330,-12),tblSafetyHistory[Month],"&lt;"&amp;cfg_YearStart))*1000000,"")</f>
        <v/>
      </c>
      <c r="HG330" s="56">
        <f>IFERROR((SUMIFS(tblSafety[LTI],tblSafety[Date],"&gt;="&amp;EDATE($E330,-12),tblSafety[Date],"&lt;="&amp;$A330)+SUMIFS(tblSafetyHistory[LTI],tblSafetyHistory[Month],"&gt;="&amp;EDATE($E330,-12),tblSafetyHistory[Month],"&lt;"&amp;cfg_YearStart))/(SUMIFS(tblSafety[Hours_Total],tblSafety[Date],"&gt;="&amp;EDATE($E330,-12),tblSafety[Date],"&lt;="&amp;$A330)+SUMIFS(tblSafetyHistory[Hours_Total],tblSafetyHistory[Month],"&gt;="&amp;EDATE($E330,-12),tblSafetyHistory[Month],"&lt;"&amp;cfg_YearStart))*1000000,"")</f>
        <v/>
      </c>
      <c r="HH330" s="62">
        <f>IF(MAX(N(cfg_PriorLTIDate),_xlfn.MAXIFS(tblSafety[Date],tblSafety[LTI],"&gt;0",tblSafety[Date],"&lt;="&amp;$A330))=0,"",$A330-MAX(N(cfg_PriorLTIDate),_xlfn.MAXIFS(tblSafety[Date],tblSafety[LTI],"&gt;0",tblSafety[Date],"&lt;="&amp;$A330)))</f>
        <v/>
      </c>
      <c r="HI330" s="55">
        <f>SUMIFS(tblBudget[Ore_Mined_t],tblBudget[Month],$E330)</f>
        <v/>
      </c>
      <c r="HJ330" s="55">
        <f>$HI330*$C330/$D330</f>
        <v/>
      </c>
      <c r="HK330" s="55">
        <f>SUMIFS(tblBudget[Ore_Mined_t],tblBudget[Month],"&lt;"&amp;$E330)+$HJ330</f>
        <v/>
      </c>
      <c r="HL330" s="55">
        <f>SUMIFS(tblBudget[Ore_oz],tblBudget[Month],$E330)</f>
        <v/>
      </c>
      <c r="HM330" s="55">
        <f>$HL330*$C330/$D330</f>
        <v/>
      </c>
      <c r="HN330" s="55">
        <f>SUMIFS(tblBudget[Ore_oz],tblBudget[Month],"&lt;"&amp;$E330)+$HM330</f>
        <v/>
      </c>
      <c r="HO330" s="56">
        <f>IFERROR(IF(($HI330)&gt;0,($HL330*cfg_TroyOz)/($HI330),""),"")</f>
        <v/>
      </c>
      <c r="HP330" s="56">
        <f>IFERROR(IF(($HJ330)&gt;0,($HM330*cfg_TroyOz)/($HJ330),""),"")</f>
        <v/>
      </c>
      <c r="HQ330" s="56">
        <f>IFERROR(IF(($HK330)&gt;0,($HN330*cfg_TroyOz)/($HK330),""),"")</f>
        <v/>
      </c>
      <c r="HR330" s="55">
        <f>SUMIFS(tblBudget[Waste_t],tblBudget[Month],$E330)</f>
        <v/>
      </c>
      <c r="HS330" s="55">
        <f>$HR330*$C330/$D330</f>
        <v/>
      </c>
      <c r="HT330" s="55">
        <f>SUMIFS(tblBudget[Waste_t],tblBudget[Month],"&lt;"&amp;$E330)+$HS330</f>
        <v/>
      </c>
      <c r="HU330" s="55">
        <f>SUMIFS(tblBudget[TMM_t],tblBudget[Month],$E330)</f>
        <v/>
      </c>
      <c r="HV330" s="55">
        <f>$HU330*$C330/$D330</f>
        <v/>
      </c>
      <c r="HW330" s="55">
        <f>SUMIFS(tblBudget[TMM_t],tblBudget[Month],"&lt;"&amp;$E330)+$HV330</f>
        <v/>
      </c>
      <c r="HX330" s="56">
        <f>IFERROR(IF(($HI330)&gt;0,($HR330)/($HI330),""),"")</f>
        <v/>
      </c>
      <c r="HY330" s="56">
        <f>IFERROR(IF(($HJ330)&gt;0,($HS330)/($HJ330),""),"")</f>
        <v/>
      </c>
      <c r="HZ330" s="56">
        <f>IFERROR(IF(($HK330)&gt;0,($HT330)/($HK330),""),"")</f>
        <v/>
      </c>
      <c r="IA330" s="55">
        <f>SUMIFS(tblBudget[Drill_m],tblBudget[Month],$E330)</f>
        <v/>
      </c>
      <c r="IB330" s="55">
        <f>$IA330*$C330/$D330</f>
        <v/>
      </c>
      <c r="IC330" s="55">
        <f>SUMIFS(tblBudget[Drill_m],tblBudget[Month],"&lt;"&amp;$E330)+$IB330</f>
        <v/>
      </c>
      <c r="ID330" s="55">
        <f>SUMIFS(tblBudget[Diesel_L],tblBudget[Month],$E330)</f>
        <v/>
      </c>
      <c r="IE330" s="55">
        <f>$ID330*$C330/$D330</f>
        <v/>
      </c>
      <c r="IF330" s="55">
        <f>SUMIFS(tblBudget[Diesel_L],tblBudget[Month],"&lt;"&amp;$E330)+$IE330</f>
        <v/>
      </c>
      <c r="IG330" s="55">
        <f>SUMIFS(tblBudget[Milled_t],tblBudget[Month],$E330)</f>
        <v/>
      </c>
      <c r="IH330" s="55">
        <f>$IG330*$C330/$D330</f>
        <v/>
      </c>
      <c r="II330" s="55">
        <f>SUMIFS(tblBudget[Milled_t],tblBudget[Month],"&lt;"&amp;$E330)+$IH330</f>
        <v/>
      </c>
      <c r="IJ330" s="55">
        <f>SUMIFS(tblBudget[Feed_oz],tblBudget[Month],$E330)</f>
        <v/>
      </c>
      <c r="IK330" s="55">
        <f>$IJ330*$C330/$D330</f>
        <v/>
      </c>
      <c r="IL330" s="55">
        <f>SUMIFS(tblBudget[Feed_oz],tblBudget[Month],"&lt;"&amp;$E330)+$IK330</f>
        <v/>
      </c>
      <c r="IM330" s="55">
        <f>SUMIFS(tblBudget[Recovered_oz],tblBudget[Month],$E330)</f>
        <v/>
      </c>
      <c r="IN330" s="55">
        <f>$IM330*$C330/$D330</f>
        <v/>
      </c>
      <c r="IO330" s="55">
        <f>SUMIFS(tblBudget[Recovered_oz],tblBudget[Month],"&lt;"&amp;$E330)+$IN330</f>
        <v/>
      </c>
      <c r="IP330" s="56">
        <f>IFERROR(IF(($IG330)&gt;0,($IJ330*cfg_TroyOz)/($IG330),""),"")</f>
        <v/>
      </c>
      <c r="IQ330" s="56">
        <f>IFERROR(IF(($IH330)&gt;0,($IK330*cfg_TroyOz)/($IH330),""),"")</f>
        <v/>
      </c>
      <c r="IR330" s="56">
        <f>IFERROR(IF(($II330)&gt;0,($IL330*cfg_TroyOz)/($II330),""),"")</f>
        <v/>
      </c>
      <c r="IS330" s="67">
        <f>IFERROR(IF(($IJ330)&gt;0,($IM330)/($IJ330),""),"")</f>
        <v/>
      </c>
      <c r="IT330" s="67">
        <f>IFERROR(IF(($IK330)&gt;0,($IN330)/($IK330),""),"")</f>
        <v/>
      </c>
      <c r="IU330" s="67">
        <f>IFERROR(IF(($IL330)&gt;0,($IO330)/($IL330),""),"")</f>
        <v/>
      </c>
      <c r="IV330" s="55">
        <f>SUMIFS(tblBudget[Gold_Poured_oz],tblBudget[Month],$E330)</f>
        <v/>
      </c>
      <c r="IW330" s="55">
        <f>$IV330*$C330/$D330</f>
        <v/>
      </c>
      <c r="IX330" s="55">
        <f>SUMIFS(tblBudget[Gold_Poured_oz],tblBudget[Month],"&lt;"&amp;$E330)+$IW330</f>
        <v/>
      </c>
      <c r="IY330" s="57">
        <f>SUMIFS(tblBudget[Hours_Worked],tblBudget[Month],$E330)</f>
        <v/>
      </c>
      <c r="IZ330" s="57">
        <f>$IY330*$C330/$D330</f>
        <v/>
      </c>
      <c r="JA330" s="57">
        <f>SUMIFS(tblBudget[Hours_Worked],tblBudget[Month],"&lt;"&amp;$E330)+$IZ330</f>
        <v/>
      </c>
    </row>
    <row r="331">
      <c r="A331" s="54" t="n">
        <v>46352</v>
      </c>
      <c r="B331">
        <f>MONTH($A331)</f>
        <v/>
      </c>
      <c r="C331">
        <f>DAY($A331)</f>
        <v/>
      </c>
      <c r="D331">
        <f>DAY(EOMONTH($A331,0))</f>
        <v/>
      </c>
      <c r="E331" s="54">
        <f>DATE(YEAR($A331),MONTH($A331),1)</f>
        <v/>
      </c>
      <c r="F331" s="55">
        <f>SUMIFS(tblMovement[Tonnes_t],tblMovement[Date],$A331,tblMovement[Is_Ore],1,tblMovement[Source_Type],"Pit")</f>
        <v/>
      </c>
      <c r="G331" s="55">
        <f>IF($B331=$B330,$G330,0)+$F331</f>
        <v/>
      </c>
      <c r="H331" s="55">
        <f>$H330+$F331</f>
        <v/>
      </c>
      <c r="I331" s="55">
        <f>SUMIFS(tblMovement[Ore_oz],tblMovement[Date],$A331,tblMovement[Source_Type],"Pit")</f>
        <v/>
      </c>
      <c r="J331" s="55">
        <f>IF($B331=$B330,$J330,0)+$I331</f>
        <v/>
      </c>
      <c r="K331" s="55">
        <f>$K330+$I331</f>
        <v/>
      </c>
      <c r="L331" s="56">
        <f>IFERROR(IF(($F331)&gt;0,($I331*cfg_TroyOz)/($F331),""),"")</f>
        <v/>
      </c>
      <c r="M331" s="56">
        <f>IFERROR(IF(($G331)&gt;0,($J331*cfg_TroyOz)/($G331),""),"")</f>
        <v/>
      </c>
      <c r="N331" s="56">
        <f>IFERROR(IF(($H331)&gt;0,($K331*cfg_TroyOz)/($H331),""),"")</f>
        <v/>
      </c>
      <c r="O331" s="55">
        <f>SUMIFS(tblMovement[Tonnes_t],tblMovement[Date],$A331,tblMovement[Is_Ore],0,tblMovement[Source_Type],"Pit")</f>
        <v/>
      </c>
      <c r="P331" s="55">
        <f>IF($B331=$B330,$P330,0)+$O331</f>
        <v/>
      </c>
      <c r="Q331" s="55">
        <f>$Q330+$O331</f>
        <v/>
      </c>
      <c r="R331" s="55">
        <f>$F331+$O331</f>
        <v/>
      </c>
      <c r="S331" s="55">
        <f>IF($B331=$B330,$S330,0)+$R331</f>
        <v/>
      </c>
      <c r="T331" s="55">
        <f>$T330+$R331</f>
        <v/>
      </c>
      <c r="U331" s="56">
        <f>IFERROR(IF(($F331)&gt;0,($O331)/($F331),""),"")</f>
        <v/>
      </c>
      <c r="V331" s="56">
        <f>IFERROR(IF(($G331)&gt;0,($P331)/($G331),""),"")</f>
        <v/>
      </c>
      <c r="W331" s="56">
        <f>IFERROR(IF(($H331)&gt;0,($Q331)/($H331),""),"")</f>
        <v/>
      </c>
      <c r="X331" s="55">
        <f>SUMIFS(tblMovement[Tonnes_t],tblMovement[Date],$A331,tblMovement[Source_Type],"Stockpile")</f>
        <v/>
      </c>
      <c r="Y331" s="55">
        <f>IF($B331=$B330,$Y330,0)+$X331</f>
        <v/>
      </c>
      <c r="Z331" s="55">
        <f>$Z330+$X331</f>
        <v/>
      </c>
      <c r="AA331" s="55">
        <f>SUMIFS(tblMiningDaily[Drill_m],tblMiningDaily[Date],$A331)</f>
        <v/>
      </c>
      <c r="AB331" s="55">
        <f>IF($B331=$B330,$AB330,0)+$AA331</f>
        <v/>
      </c>
      <c r="AC331" s="55">
        <f>$AC330+$AA331</f>
        <v/>
      </c>
      <c r="AD331" s="55">
        <f>SUMIFS(tblMiningDaily[Blast_t],tblMiningDaily[Date],$A331)</f>
        <v/>
      </c>
      <c r="AE331" s="55">
        <f>IF($B331=$B330,$AE330,0)+$AD331</f>
        <v/>
      </c>
      <c r="AF331" s="55">
        <f>$AF330+$AD331</f>
        <v/>
      </c>
      <c r="AG331" s="55">
        <f>SUMIFS(tblMiningDaily[Explosives_kg],tblMiningDaily[Date],$A331)</f>
        <v/>
      </c>
      <c r="AH331" s="55">
        <f>IF($B331=$B330,$AH330,0)+$AG331</f>
        <v/>
      </c>
      <c r="AI331" s="55">
        <f>$AI330+$AG331</f>
        <v/>
      </c>
      <c r="AJ331" s="56">
        <f>IFERROR(IF(($AD331)&gt;0,($AG331)/($AD331),""),"")</f>
        <v/>
      </c>
      <c r="AK331" s="56">
        <f>IFERROR(IF(($AE331)&gt;0,($AH331)/($AE331),""),"")</f>
        <v/>
      </c>
      <c r="AL331" s="56">
        <f>IFERROR(IF(($AF331)&gt;0,($AI331)/($AF331),""),"")</f>
        <v/>
      </c>
      <c r="AM331" s="55">
        <f>SUMIFS(tblMiningDaily[Diesel_L],tblMiningDaily[Date],$A331)</f>
        <v/>
      </c>
      <c r="AN331" s="55">
        <f>IF($B331=$B330,$AN330,0)+$AM331</f>
        <v/>
      </c>
      <c r="AO331" s="55">
        <f>$AO330+$AM331</f>
        <v/>
      </c>
      <c r="AP331" s="55">
        <f>SUMIFS(tblMiningDaily[Dewatering_m3],tblMiningDaily[Date],$A331)</f>
        <v/>
      </c>
      <c r="AQ331" s="55">
        <f>IF($B331=$B330,$AQ330,0)+$AP331</f>
        <v/>
      </c>
      <c r="AR331" s="55">
        <f>$AR330+$AP331</f>
        <v/>
      </c>
      <c r="AS331" s="57">
        <f>SUMIFS(tblFleet[Calendar_h],tblFleet[Date],$A331,tblFleet[Equipment_Class],"Excavator")</f>
        <v/>
      </c>
      <c r="AT331" s="57">
        <f>IF($B331=$B330,$AT330,0)+$AS331</f>
        <v/>
      </c>
      <c r="AU331" s="57">
        <f>$AU330+$AS331</f>
        <v/>
      </c>
      <c r="AV331" s="57">
        <f>SUMIFS(tblFleet[Available_h],tblFleet[Date],$A331,tblFleet[Equipment_Class],"Excavator")</f>
        <v/>
      </c>
      <c r="AW331" s="57">
        <f>IF($B331=$B330,$AW330,0)+$AV331</f>
        <v/>
      </c>
      <c r="AX331" s="57">
        <f>$AX330+$AV331</f>
        <v/>
      </c>
      <c r="AY331" s="57">
        <f>SUMIFS(tblFleet[Operating_h],tblFleet[Date],$A331,tblFleet[Equipment_Class],"Excavator")</f>
        <v/>
      </c>
      <c r="AZ331" s="57">
        <f>IF($B331=$B330,$AZ330,0)+$AY331</f>
        <v/>
      </c>
      <c r="BA331" s="57">
        <f>$BA330+$AY331</f>
        <v/>
      </c>
      <c r="BB331" s="67">
        <f>IFERROR(IF(($AS331)&gt;0,($AV331)/($AS331),""),"")</f>
        <v/>
      </c>
      <c r="BC331" s="67">
        <f>IFERROR(IF(($AT331)&gt;0,($AW331)/($AT331),""),"")</f>
        <v/>
      </c>
      <c r="BD331" s="67">
        <f>IFERROR(IF(($AU331)&gt;0,($AX331)/($AU331),""),"")</f>
        <v/>
      </c>
      <c r="BE331" s="67">
        <f>IFERROR(IF(($AV331)&gt;0,($AY331)/($AV331),""),"")</f>
        <v/>
      </c>
      <c r="BF331" s="67">
        <f>IFERROR(IF(($AW331)&gt;0,($AZ331)/($AW331),""),"")</f>
        <v/>
      </c>
      <c r="BG331" s="67">
        <f>IFERROR(IF(($AX331)&gt;0,($BA331)/($AX331),""),"")</f>
        <v/>
      </c>
      <c r="BH331" s="57">
        <f>SUMIFS(tblFleet[Calendar_h],tblFleet[Date],$A331,tblFleet[Equipment_Class],"Haul Truck")</f>
        <v/>
      </c>
      <c r="BI331" s="57">
        <f>IF($B331=$B330,$BI330,0)+$BH331</f>
        <v/>
      </c>
      <c r="BJ331" s="57">
        <f>$BJ330+$BH331</f>
        <v/>
      </c>
      <c r="BK331" s="57">
        <f>SUMIFS(tblFleet[Available_h],tblFleet[Date],$A331,tblFleet[Equipment_Class],"Haul Truck")</f>
        <v/>
      </c>
      <c r="BL331" s="57">
        <f>IF($B331=$B330,$BL330,0)+$BK331</f>
        <v/>
      </c>
      <c r="BM331" s="57">
        <f>$BM330+$BK331</f>
        <v/>
      </c>
      <c r="BN331" s="57">
        <f>SUMIFS(tblFleet[Operating_h],tblFleet[Date],$A331,tblFleet[Equipment_Class],"Haul Truck")</f>
        <v/>
      </c>
      <c r="BO331" s="57">
        <f>IF($B331=$B330,$BO330,0)+$BN331</f>
        <v/>
      </c>
      <c r="BP331" s="57">
        <f>$BP330+$BN331</f>
        <v/>
      </c>
      <c r="BQ331" s="67">
        <f>IFERROR(IF(($BH331)&gt;0,($BK331)/($BH331),""),"")</f>
        <v/>
      </c>
      <c r="BR331" s="67">
        <f>IFERROR(IF(($BI331)&gt;0,($BL331)/($BI331),""),"")</f>
        <v/>
      </c>
      <c r="BS331" s="67">
        <f>IFERROR(IF(($BJ331)&gt;0,($BM331)/($BJ331),""),"")</f>
        <v/>
      </c>
      <c r="BT331" s="67">
        <f>IFERROR(IF(($BK331)&gt;0,($BN331)/($BK331),""),"")</f>
        <v/>
      </c>
      <c r="BU331" s="67">
        <f>IFERROR(IF(($BL331)&gt;0,($BO331)/($BL331),""),"")</f>
        <v/>
      </c>
      <c r="BV331" s="67">
        <f>IFERROR(IF(($BM331)&gt;0,($BP331)/($BM331),""),"")</f>
        <v/>
      </c>
      <c r="BW331" s="55">
        <f>SUMIFS(tblPlant[Crushed_t],tblPlant[Date],$A331)</f>
        <v/>
      </c>
      <c r="BX331" s="55">
        <f>IF($B331=$B330,$BX330,0)+$BW331</f>
        <v/>
      </c>
      <c r="BY331" s="55">
        <f>$BY330+$BW331</f>
        <v/>
      </c>
      <c r="BZ331" s="55">
        <f>SUMIFS(tblPlant[Milled_t],tblPlant[Date],$A331)</f>
        <v/>
      </c>
      <c r="CA331" s="55">
        <f>IF($B331=$B330,$CA330,0)+$BZ331</f>
        <v/>
      </c>
      <c r="CB331" s="55">
        <f>$CB330+$BZ331</f>
        <v/>
      </c>
      <c r="CC331" s="55">
        <f>SUMIFS(tblPlant[Feed_oz],tblPlant[Date],$A331)</f>
        <v/>
      </c>
      <c r="CD331" s="55">
        <f>IF($B331=$B330,$CD330,0)+$CC331</f>
        <v/>
      </c>
      <c r="CE331" s="55">
        <f>$CE330+$CC331</f>
        <v/>
      </c>
      <c r="CF331" s="55">
        <f>SUMIFS(tblPlant[Tails_oz],tblPlant[Date],$A331)</f>
        <v/>
      </c>
      <c r="CG331" s="55">
        <f>IF($B331=$B330,$CG330,0)+$CF331</f>
        <v/>
      </c>
      <c r="CH331" s="55">
        <f>$CH330+$CF331</f>
        <v/>
      </c>
      <c r="CI331" s="55">
        <f>SUMIFS(tblPlant[Recovered_oz],tblPlant[Date],$A331)</f>
        <v/>
      </c>
      <c r="CJ331" s="55">
        <f>IF($B331=$B330,$CJ330,0)+$CI331</f>
        <v/>
      </c>
      <c r="CK331" s="55">
        <f>$CK330+$CI331</f>
        <v/>
      </c>
      <c r="CL331" s="56">
        <f>IFERROR(IF(($BZ331)&gt;0,($CC331*cfg_TroyOz)/($BZ331),""),"")</f>
        <v/>
      </c>
      <c r="CM331" s="56">
        <f>IFERROR(IF(($CA331)&gt;0,($CD331*cfg_TroyOz)/($CA331),""),"")</f>
        <v/>
      </c>
      <c r="CN331" s="56">
        <f>IFERROR(IF(($CB331)&gt;0,($CE331*cfg_TroyOz)/($CB331),""),"")</f>
        <v/>
      </c>
      <c r="CO331" s="56">
        <f>IFERROR(IF(($BZ331)&gt;0,($CF331*cfg_TroyOz)/($BZ331),""),"")</f>
        <v/>
      </c>
      <c r="CP331" s="56">
        <f>IFERROR(IF(($CA331)&gt;0,($CG331*cfg_TroyOz)/($CA331),""),"")</f>
        <v/>
      </c>
      <c r="CQ331" s="56">
        <f>IFERROR(IF(($CB331)&gt;0,($CH331*cfg_TroyOz)/($CB331),""),"")</f>
        <v/>
      </c>
      <c r="CR331" s="67">
        <f>IFERROR(IF(($CC331)&gt;0,($CI331)/($CC331),""),"")</f>
        <v/>
      </c>
      <c r="CS331" s="67">
        <f>IFERROR(IF(($CD331)&gt;0,($CJ331)/($CD331),""),"")</f>
        <v/>
      </c>
      <c r="CT331" s="67">
        <f>IFERROR(IF(($CE331)&gt;0,($CK331)/($CE331),""),"")</f>
        <v/>
      </c>
      <c r="CU331" s="55">
        <f>SUMIFS(tblPlant[Gravity_Gold_oz],tblPlant[Date],$A331)</f>
        <v/>
      </c>
      <c r="CV331" s="55">
        <f>IF($B331=$B330,$CV330,0)+$CU331</f>
        <v/>
      </c>
      <c r="CW331" s="55">
        <f>$CW330+$CU331</f>
        <v/>
      </c>
      <c r="CX331" s="55">
        <f>SUMIFS(tblPlant[Gold_Poured_oz],tblPlant[Date],$A331)</f>
        <v/>
      </c>
      <c r="CY331" s="55">
        <f>IF($B331=$B330,$CY330,0)+$CX331</f>
        <v/>
      </c>
      <c r="CZ331" s="55">
        <f>$CZ330+$CX331</f>
        <v/>
      </c>
      <c r="DA331" s="57">
        <f>SUMIFS(tblPlant[Mill_Run_h],tblPlant[Date],$A331)</f>
        <v/>
      </c>
      <c r="DB331" s="57">
        <f>IF($B331=$B330,$DB330,0)+$DA331</f>
        <v/>
      </c>
      <c r="DC331" s="57">
        <f>$DC330+$DA331</f>
        <v/>
      </c>
      <c r="DD331" s="57">
        <f>SUMIFS(tblPlant[Mill_Planned_Maint_h],tblPlant[Date],$A331)</f>
        <v/>
      </c>
      <c r="DE331" s="57">
        <f>IF($B331=$B330,$DE330,0)+$DD331</f>
        <v/>
      </c>
      <c r="DF331" s="57">
        <f>$DF330+$DD331</f>
        <v/>
      </c>
      <c r="DG331" s="57">
        <f>SUMIFS(tblPlant[Mill_Unplanned_Down_h],tblPlant[Date],$A331)</f>
        <v/>
      </c>
      <c r="DH331" s="57">
        <f>IF($B331=$B330,$DH330,0)+$DG331</f>
        <v/>
      </c>
      <c r="DI331" s="57">
        <f>$DI330+$DG331</f>
        <v/>
      </c>
      <c r="DJ331" s="57">
        <f>COUNTIFS(tblPlant[Date],$A331,tblPlant[Mill_Run_h],"&lt;&gt;")*24</f>
        <v/>
      </c>
      <c r="DK331" s="57">
        <f>IF($B331=$B330,$DK330,0)+$DJ331</f>
        <v/>
      </c>
      <c r="DL331" s="57">
        <f>$DL330+$DJ331</f>
        <v/>
      </c>
      <c r="DM331" s="57">
        <f>SUMIFS(tblPlant[Crusher_Run_h],tblPlant[Date],$A331)</f>
        <v/>
      </c>
      <c r="DN331" s="57">
        <f>IF($B331=$B330,$DN330,0)+$DM331</f>
        <v/>
      </c>
      <c r="DO331" s="57">
        <f>$DO330+$DM331</f>
        <v/>
      </c>
      <c r="DP331" s="55">
        <f>IFERROR(IF(($DA331)&gt;0,($BZ331)/($DA331),""),"")</f>
        <v/>
      </c>
      <c r="DQ331" s="55">
        <f>IFERROR(IF(($DB331)&gt;0,($CA331)/($DB331),""),"")</f>
        <v/>
      </c>
      <c r="DR331" s="55">
        <f>IFERROR(IF(($DC331)&gt;0,($CB331)/($DC331),""),"")</f>
        <v/>
      </c>
      <c r="DS331" s="67">
        <f>IFERROR(IF(($DJ331)&gt;0,($DJ331-$DD331-$DG331)/($DJ331),""),"")</f>
        <v/>
      </c>
      <c r="DT331" s="67">
        <f>IFERROR(IF(($DK331)&gt;0,($DK331-$DE331-$DH331)/($DK331),""),"")</f>
        <v/>
      </c>
      <c r="DU331" s="67">
        <f>IFERROR(IF(($DL331)&gt;0,($DL331-$DF331-$DI331)/($DL331),""),"")</f>
        <v/>
      </c>
      <c r="DV331" s="67">
        <f>IFERROR(IF(($DJ331-$DD331-$DG331)&gt;0,($DA331)/($DJ331-$DD331-$DG331),""),"")</f>
        <v/>
      </c>
      <c r="DW331" s="67">
        <f>IFERROR(IF(($DK331-$DE331-$DH331)&gt;0,($DB331)/($DK331-$DE331-$DH331),""),"")</f>
        <v/>
      </c>
      <c r="DX331" s="67">
        <f>IFERROR(IF(($DL331-$DF331-$DI331)&gt;0,($DC331)/($DL331-$DF331-$DI331),""),"")</f>
        <v/>
      </c>
      <c r="DY331" s="55">
        <f>SUMIFS(tblPlant[Cyanide_kg],tblPlant[Date],$A331)</f>
        <v/>
      </c>
      <c r="DZ331" s="55">
        <f>IF($B331=$B330,$DZ330,0)+$DY331</f>
        <v/>
      </c>
      <c r="EA331" s="55">
        <f>$EA330+$DY331</f>
        <v/>
      </c>
      <c r="EB331" s="55">
        <f>SUMIFS(tblPlant[Lime_kg],tblPlant[Date],$A331)</f>
        <v/>
      </c>
      <c r="EC331" s="55">
        <f>IF($B331=$B330,$EC330,0)+$EB331</f>
        <v/>
      </c>
      <c r="ED331" s="55">
        <f>$ED330+$EB331</f>
        <v/>
      </c>
      <c r="EE331" s="55">
        <f>SUMIFS(tblPlant[Grinding_Media_kg],tblPlant[Date],$A331)</f>
        <v/>
      </c>
      <c r="EF331" s="55">
        <f>IF($B331=$B330,$EF330,0)+$EE331</f>
        <v/>
      </c>
      <c r="EG331" s="55">
        <f>$EG330+$EE331</f>
        <v/>
      </c>
      <c r="EH331" s="55">
        <f>SUMIFS(tblPlant[Power_kWh],tblPlant[Date],$A331)</f>
        <v/>
      </c>
      <c r="EI331" s="55">
        <f>IF($B331=$B330,$EI330,0)+$EH331</f>
        <v/>
      </c>
      <c r="EJ331" s="55">
        <f>$EJ330+$EH331</f>
        <v/>
      </c>
      <c r="EK331" s="55">
        <f>SUMIFS(tblPlant[Raw_Water_m3],tblPlant[Date],$A331)</f>
        <v/>
      </c>
      <c r="EL331" s="55">
        <f>IF($B331=$B330,$EL330,0)+$EK331</f>
        <v/>
      </c>
      <c r="EM331" s="55">
        <f>$EM330+$EK331</f>
        <v/>
      </c>
      <c r="EN331" s="56">
        <f>IFERROR(IF(($BZ331)&gt;0,($DY331)/($BZ331),""),"")</f>
        <v/>
      </c>
      <c r="EO331" s="56">
        <f>IFERROR(IF(($CA331)&gt;0,($DZ331)/($CA331),""),"")</f>
        <v/>
      </c>
      <c r="EP331" s="56">
        <f>IFERROR(IF(($CB331)&gt;0,($EA331)/($CB331),""),"")</f>
        <v/>
      </c>
      <c r="EQ331" s="56">
        <f>IFERROR(IF(($BZ331)&gt;0,($EB331)/($BZ331),""),"")</f>
        <v/>
      </c>
      <c r="ER331" s="56">
        <f>IFERROR(IF(($CA331)&gt;0,($EC331)/($CA331),""),"")</f>
        <v/>
      </c>
      <c r="ES331" s="56">
        <f>IFERROR(IF(($CB331)&gt;0,($ED331)/($CB331),""),"")</f>
        <v/>
      </c>
      <c r="ET331" s="56">
        <f>IFERROR(IF(($BZ331)&gt;0,($EE331)/($BZ331),""),"")</f>
        <v/>
      </c>
      <c r="EU331" s="56">
        <f>IFERROR(IF(($CA331)&gt;0,($EF331)/($CA331),""),"")</f>
        <v/>
      </c>
      <c r="EV331" s="56">
        <f>IFERROR(IF(($CB331)&gt;0,($EG331)/($CB331),""),"")</f>
        <v/>
      </c>
      <c r="EW331" s="76">
        <f>IFERROR(IF(($BZ331)&gt;0,($EH331)/($BZ331),""),"")</f>
        <v/>
      </c>
      <c r="EX331" s="76">
        <f>IFERROR(IF(($CA331)&gt;0,($EI331)/($CA331),""),"")</f>
        <v/>
      </c>
      <c r="EY331" s="76">
        <f>IFERROR(IF(($CB331)&gt;0,($EJ331)/($CB331),""),"")</f>
        <v/>
      </c>
      <c r="EZ331" s="56">
        <f>IFERROR(IF(($BZ331)&gt;0,($EK331)/($BZ331),""),"")</f>
        <v/>
      </c>
      <c r="FA331" s="56">
        <f>IFERROR(IF(($CA331)&gt;0,($EL331)/($CA331),""),"")</f>
        <v/>
      </c>
      <c r="FB331" s="56">
        <f>IFERROR(IF(($CB331)&gt;0,($EM331)/($CB331),""),"")</f>
        <v/>
      </c>
      <c r="FC331" s="55">
        <f>IF(SUMIFS(tblPlant[GIC_oz],tblPlant[Date],$A331)&gt;0,SUMIFS(tblPlant[GIC_oz],tblPlant[Date],$A331),"")</f>
        <v/>
      </c>
      <c r="FD331" s="55">
        <f>SUMIFS(tblGold[Gold_oz],tblGold[Date],$A331,tblGold[Type],"Shipment")</f>
        <v/>
      </c>
      <c r="FE331" s="55">
        <f>IF($B331=$B330,$FE330,0)+$FD331</f>
        <v/>
      </c>
      <c r="FF331" s="55">
        <f>$FF330+$FD331</f>
        <v/>
      </c>
      <c r="FG331" s="55">
        <f>SUMIFS(tblGold[Gold_oz],tblGold[Date],$A331,tblGold[Type],"Sale")</f>
        <v/>
      </c>
      <c r="FH331" s="55">
        <f>IF($B331=$B330,$FH330,0)+$FG331</f>
        <v/>
      </c>
      <c r="FI331" s="55">
        <f>$FI330+$FG331</f>
        <v/>
      </c>
      <c r="FJ331" s="55">
        <f>SUMIFS(tblGold[Dore_kg],tblGold[Date],$A331,tblGold[Type],"Shipment")</f>
        <v/>
      </c>
      <c r="FK331" s="55">
        <f>IF($B331=$B330,$FK330,0)+$FJ331</f>
        <v/>
      </c>
      <c r="FL331" s="55">
        <f>$FL330+$FJ331</f>
        <v/>
      </c>
      <c r="FM331" s="57">
        <f>SUMIFS(tblSafety[Hours_Total],tblSafety[Date],$A331)</f>
        <v/>
      </c>
      <c r="FN331" s="57">
        <f>IF($B331=$B330,$FN330,0)+$FM331</f>
        <v/>
      </c>
      <c r="FO331" s="57">
        <f>$FO330+$FM331</f>
        <v/>
      </c>
      <c r="FP331" s="62">
        <f>SUMIFS(tblSafety[Fatality],tblSafety[Date],$A331)</f>
        <v/>
      </c>
      <c r="FQ331" s="62">
        <f>IF($B331=$B330,$FQ330,0)+$FP331</f>
        <v/>
      </c>
      <c r="FR331" s="62">
        <f>$FR330+$FP331</f>
        <v/>
      </c>
      <c r="FS331" s="62">
        <f>SUMIFS(tblSafety[LTI],tblSafety[Date],$A331)</f>
        <v/>
      </c>
      <c r="FT331" s="62">
        <f>IF($B331=$B330,$FT330,0)+$FS331</f>
        <v/>
      </c>
      <c r="FU331" s="62">
        <f>$FU330+$FS331</f>
        <v/>
      </c>
      <c r="FV331" s="62">
        <f>SUMIFS(tblSafety[RWI],tblSafety[Date],$A331)</f>
        <v/>
      </c>
      <c r="FW331" s="62">
        <f>IF($B331=$B330,$FW330,0)+$FV331</f>
        <v/>
      </c>
      <c r="FX331" s="62">
        <f>$FX330+$FV331</f>
        <v/>
      </c>
      <c r="FY331" s="62">
        <f>SUMIFS(tblSafety[MTI],tblSafety[Date],$A331)</f>
        <v/>
      </c>
      <c r="FZ331" s="62">
        <f>IF($B331=$B330,$FZ330,0)+$FY331</f>
        <v/>
      </c>
      <c r="GA331" s="62">
        <f>$GA330+$FY331</f>
        <v/>
      </c>
      <c r="GB331" s="62">
        <f>SUMIFS(tblSafety[FAI],tblSafety[Date],$A331)</f>
        <v/>
      </c>
      <c r="GC331" s="62">
        <f>IF($B331=$B330,$GC330,0)+$GB331</f>
        <v/>
      </c>
      <c r="GD331" s="62">
        <f>$GD330+$GB331</f>
        <v/>
      </c>
      <c r="GE331" s="62">
        <f>SUMIFS(tblSafety[Recordables],tblSafety[Date],$A331)</f>
        <v/>
      </c>
      <c r="GF331" s="62">
        <f>IF($B331=$B330,$GF330,0)+$GE331</f>
        <v/>
      </c>
      <c r="GG331" s="62">
        <f>$GG330+$GE331</f>
        <v/>
      </c>
      <c r="GH331" s="62">
        <f>SUMIFS(tblSafety[Near_Miss],tblSafety[Date],$A331)</f>
        <v/>
      </c>
      <c r="GI331" s="62">
        <f>IF($B331=$B330,$GI330,0)+$GH331</f>
        <v/>
      </c>
      <c r="GJ331" s="62">
        <f>$GJ330+$GH331</f>
        <v/>
      </c>
      <c r="GK331" s="62">
        <f>SUMIFS(tblSafety[Hazard_Reports],tblSafety[Date],$A331)</f>
        <v/>
      </c>
      <c r="GL331" s="62">
        <f>IF($B331=$B330,$GL330,0)+$GK331</f>
        <v/>
      </c>
      <c r="GM331" s="62">
        <f>$GM330+$GK331</f>
        <v/>
      </c>
      <c r="GN331" s="62">
        <f>SUMIFS(tblSafety[HPI],tblSafety[Date],$A331)</f>
        <v/>
      </c>
      <c r="GO331" s="62">
        <f>IF($B331=$B330,$GO330,0)+$GN331</f>
        <v/>
      </c>
      <c r="GP331" s="62">
        <f>$GP330+$GN331</f>
        <v/>
      </c>
      <c r="GQ331" s="62">
        <f>SUMIFS(tblSafety[Env_Incidents],tblSafety[Date],$A331)</f>
        <v/>
      </c>
      <c r="GR331" s="62">
        <f>IF($B331=$B330,$GR330,0)+$GQ331</f>
        <v/>
      </c>
      <c r="GS331" s="62">
        <f>$GS330+$GQ331</f>
        <v/>
      </c>
      <c r="GT331" s="62">
        <f>SUMIFS(tblSafety[Community_Incidents],tblSafety[Date],$A331)</f>
        <v/>
      </c>
      <c r="GU331" s="62">
        <f>IF($B331=$B330,$GU330,0)+$GT331</f>
        <v/>
      </c>
      <c r="GV331" s="62">
        <f>$GV330+$GT331</f>
        <v/>
      </c>
      <c r="GW331" s="62">
        <f>SUMIFS(tblSafety[Vehicle_Incidents],tblSafety[Date],$A331)</f>
        <v/>
      </c>
      <c r="GX331" s="62">
        <f>IF($B331=$B330,$GX330,0)+$GW331</f>
        <v/>
      </c>
      <c r="GY331" s="62">
        <f>$GY330+$GW331</f>
        <v/>
      </c>
      <c r="GZ331" s="62">
        <f>SUMIFS(tblSafety[Toolbox_Talks],tblSafety[Date],$A331)</f>
        <v/>
      </c>
      <c r="HA331" s="62">
        <f>IF($B331=$B330,$HA330,0)+$GZ331</f>
        <v/>
      </c>
      <c r="HB331" s="62">
        <f>$HB330+$GZ331</f>
        <v/>
      </c>
      <c r="HC331" s="62">
        <f>SUMIFS(tblSafety[Inspections],tblSafety[Date],$A331)</f>
        <v/>
      </c>
      <c r="HD331" s="62">
        <f>IF($B331=$B330,$HD330,0)+$HC331</f>
        <v/>
      </c>
      <c r="HE331" s="62">
        <f>$HE330+$HC331</f>
        <v/>
      </c>
      <c r="HF331" s="56">
        <f>IFERROR((SUMIFS(tblSafety[Recordables],tblSafety[Date],"&gt;="&amp;EDATE($E331,-12),tblSafety[Date],"&lt;="&amp;$A331)+SUMIFS(tblSafetyHistory[Recordables],tblSafetyHistory[Month],"&gt;="&amp;EDATE($E331,-12),tblSafetyHistory[Month],"&lt;"&amp;cfg_YearStart))/(SUMIFS(tblSafety[Hours_Total],tblSafety[Date],"&gt;="&amp;EDATE($E331,-12),tblSafety[Date],"&lt;="&amp;$A331)+SUMIFS(tblSafetyHistory[Hours_Total],tblSafetyHistory[Month],"&gt;="&amp;EDATE($E331,-12),tblSafetyHistory[Month],"&lt;"&amp;cfg_YearStart))*1000000,"")</f>
        <v/>
      </c>
      <c r="HG331" s="56">
        <f>IFERROR((SUMIFS(tblSafety[LTI],tblSafety[Date],"&gt;="&amp;EDATE($E331,-12),tblSafety[Date],"&lt;="&amp;$A331)+SUMIFS(tblSafetyHistory[LTI],tblSafetyHistory[Month],"&gt;="&amp;EDATE($E331,-12),tblSafetyHistory[Month],"&lt;"&amp;cfg_YearStart))/(SUMIFS(tblSafety[Hours_Total],tblSafety[Date],"&gt;="&amp;EDATE($E331,-12),tblSafety[Date],"&lt;="&amp;$A331)+SUMIFS(tblSafetyHistory[Hours_Total],tblSafetyHistory[Month],"&gt;="&amp;EDATE($E331,-12),tblSafetyHistory[Month],"&lt;"&amp;cfg_YearStart))*1000000,"")</f>
        <v/>
      </c>
      <c r="HH331" s="62">
        <f>IF(MAX(N(cfg_PriorLTIDate),_xlfn.MAXIFS(tblSafety[Date],tblSafety[LTI],"&gt;0",tblSafety[Date],"&lt;="&amp;$A331))=0,"",$A331-MAX(N(cfg_PriorLTIDate),_xlfn.MAXIFS(tblSafety[Date],tblSafety[LTI],"&gt;0",tblSafety[Date],"&lt;="&amp;$A331)))</f>
        <v/>
      </c>
      <c r="HI331" s="55">
        <f>SUMIFS(tblBudget[Ore_Mined_t],tblBudget[Month],$E331)</f>
        <v/>
      </c>
      <c r="HJ331" s="55">
        <f>$HI331*$C331/$D331</f>
        <v/>
      </c>
      <c r="HK331" s="55">
        <f>SUMIFS(tblBudget[Ore_Mined_t],tblBudget[Month],"&lt;"&amp;$E331)+$HJ331</f>
        <v/>
      </c>
      <c r="HL331" s="55">
        <f>SUMIFS(tblBudget[Ore_oz],tblBudget[Month],$E331)</f>
        <v/>
      </c>
      <c r="HM331" s="55">
        <f>$HL331*$C331/$D331</f>
        <v/>
      </c>
      <c r="HN331" s="55">
        <f>SUMIFS(tblBudget[Ore_oz],tblBudget[Month],"&lt;"&amp;$E331)+$HM331</f>
        <v/>
      </c>
      <c r="HO331" s="56">
        <f>IFERROR(IF(($HI331)&gt;0,($HL331*cfg_TroyOz)/($HI331),""),"")</f>
        <v/>
      </c>
      <c r="HP331" s="56">
        <f>IFERROR(IF(($HJ331)&gt;0,($HM331*cfg_TroyOz)/($HJ331),""),"")</f>
        <v/>
      </c>
      <c r="HQ331" s="56">
        <f>IFERROR(IF(($HK331)&gt;0,($HN331*cfg_TroyOz)/($HK331),""),"")</f>
        <v/>
      </c>
      <c r="HR331" s="55">
        <f>SUMIFS(tblBudget[Waste_t],tblBudget[Month],$E331)</f>
        <v/>
      </c>
      <c r="HS331" s="55">
        <f>$HR331*$C331/$D331</f>
        <v/>
      </c>
      <c r="HT331" s="55">
        <f>SUMIFS(tblBudget[Waste_t],tblBudget[Month],"&lt;"&amp;$E331)+$HS331</f>
        <v/>
      </c>
      <c r="HU331" s="55">
        <f>SUMIFS(tblBudget[TMM_t],tblBudget[Month],$E331)</f>
        <v/>
      </c>
      <c r="HV331" s="55">
        <f>$HU331*$C331/$D331</f>
        <v/>
      </c>
      <c r="HW331" s="55">
        <f>SUMIFS(tblBudget[TMM_t],tblBudget[Month],"&lt;"&amp;$E331)+$HV331</f>
        <v/>
      </c>
      <c r="HX331" s="56">
        <f>IFERROR(IF(($HI331)&gt;0,($HR331)/($HI331),""),"")</f>
        <v/>
      </c>
      <c r="HY331" s="56">
        <f>IFERROR(IF(($HJ331)&gt;0,($HS331)/($HJ331),""),"")</f>
        <v/>
      </c>
      <c r="HZ331" s="56">
        <f>IFERROR(IF(($HK331)&gt;0,($HT331)/($HK331),""),"")</f>
        <v/>
      </c>
      <c r="IA331" s="55">
        <f>SUMIFS(tblBudget[Drill_m],tblBudget[Month],$E331)</f>
        <v/>
      </c>
      <c r="IB331" s="55">
        <f>$IA331*$C331/$D331</f>
        <v/>
      </c>
      <c r="IC331" s="55">
        <f>SUMIFS(tblBudget[Drill_m],tblBudget[Month],"&lt;"&amp;$E331)+$IB331</f>
        <v/>
      </c>
      <c r="ID331" s="55">
        <f>SUMIFS(tblBudget[Diesel_L],tblBudget[Month],$E331)</f>
        <v/>
      </c>
      <c r="IE331" s="55">
        <f>$ID331*$C331/$D331</f>
        <v/>
      </c>
      <c r="IF331" s="55">
        <f>SUMIFS(tblBudget[Diesel_L],tblBudget[Month],"&lt;"&amp;$E331)+$IE331</f>
        <v/>
      </c>
      <c r="IG331" s="55">
        <f>SUMIFS(tblBudget[Milled_t],tblBudget[Month],$E331)</f>
        <v/>
      </c>
      <c r="IH331" s="55">
        <f>$IG331*$C331/$D331</f>
        <v/>
      </c>
      <c r="II331" s="55">
        <f>SUMIFS(tblBudget[Milled_t],tblBudget[Month],"&lt;"&amp;$E331)+$IH331</f>
        <v/>
      </c>
      <c r="IJ331" s="55">
        <f>SUMIFS(tblBudget[Feed_oz],tblBudget[Month],$E331)</f>
        <v/>
      </c>
      <c r="IK331" s="55">
        <f>$IJ331*$C331/$D331</f>
        <v/>
      </c>
      <c r="IL331" s="55">
        <f>SUMIFS(tblBudget[Feed_oz],tblBudget[Month],"&lt;"&amp;$E331)+$IK331</f>
        <v/>
      </c>
      <c r="IM331" s="55">
        <f>SUMIFS(tblBudget[Recovered_oz],tblBudget[Month],$E331)</f>
        <v/>
      </c>
      <c r="IN331" s="55">
        <f>$IM331*$C331/$D331</f>
        <v/>
      </c>
      <c r="IO331" s="55">
        <f>SUMIFS(tblBudget[Recovered_oz],tblBudget[Month],"&lt;"&amp;$E331)+$IN331</f>
        <v/>
      </c>
      <c r="IP331" s="56">
        <f>IFERROR(IF(($IG331)&gt;0,($IJ331*cfg_TroyOz)/($IG331),""),"")</f>
        <v/>
      </c>
      <c r="IQ331" s="56">
        <f>IFERROR(IF(($IH331)&gt;0,($IK331*cfg_TroyOz)/($IH331),""),"")</f>
        <v/>
      </c>
      <c r="IR331" s="56">
        <f>IFERROR(IF(($II331)&gt;0,($IL331*cfg_TroyOz)/($II331),""),"")</f>
        <v/>
      </c>
      <c r="IS331" s="67">
        <f>IFERROR(IF(($IJ331)&gt;0,($IM331)/($IJ331),""),"")</f>
        <v/>
      </c>
      <c r="IT331" s="67">
        <f>IFERROR(IF(($IK331)&gt;0,($IN331)/($IK331),""),"")</f>
        <v/>
      </c>
      <c r="IU331" s="67">
        <f>IFERROR(IF(($IL331)&gt;0,($IO331)/($IL331),""),"")</f>
        <v/>
      </c>
      <c r="IV331" s="55">
        <f>SUMIFS(tblBudget[Gold_Poured_oz],tblBudget[Month],$E331)</f>
        <v/>
      </c>
      <c r="IW331" s="55">
        <f>$IV331*$C331/$D331</f>
        <v/>
      </c>
      <c r="IX331" s="55">
        <f>SUMIFS(tblBudget[Gold_Poured_oz],tblBudget[Month],"&lt;"&amp;$E331)+$IW331</f>
        <v/>
      </c>
      <c r="IY331" s="57">
        <f>SUMIFS(tblBudget[Hours_Worked],tblBudget[Month],$E331)</f>
        <v/>
      </c>
      <c r="IZ331" s="57">
        <f>$IY331*$C331/$D331</f>
        <v/>
      </c>
      <c r="JA331" s="57">
        <f>SUMIFS(tblBudget[Hours_Worked],tblBudget[Month],"&lt;"&amp;$E331)+$IZ331</f>
        <v/>
      </c>
    </row>
    <row r="332">
      <c r="A332" s="54" t="n">
        <v>46353</v>
      </c>
      <c r="B332">
        <f>MONTH($A332)</f>
        <v/>
      </c>
      <c r="C332">
        <f>DAY($A332)</f>
        <v/>
      </c>
      <c r="D332">
        <f>DAY(EOMONTH($A332,0))</f>
        <v/>
      </c>
      <c r="E332" s="54">
        <f>DATE(YEAR($A332),MONTH($A332),1)</f>
        <v/>
      </c>
      <c r="F332" s="55">
        <f>SUMIFS(tblMovement[Tonnes_t],tblMovement[Date],$A332,tblMovement[Is_Ore],1,tblMovement[Source_Type],"Pit")</f>
        <v/>
      </c>
      <c r="G332" s="55">
        <f>IF($B332=$B331,$G331,0)+$F332</f>
        <v/>
      </c>
      <c r="H332" s="55">
        <f>$H331+$F332</f>
        <v/>
      </c>
      <c r="I332" s="55">
        <f>SUMIFS(tblMovement[Ore_oz],tblMovement[Date],$A332,tblMovement[Source_Type],"Pit")</f>
        <v/>
      </c>
      <c r="J332" s="55">
        <f>IF($B332=$B331,$J331,0)+$I332</f>
        <v/>
      </c>
      <c r="K332" s="55">
        <f>$K331+$I332</f>
        <v/>
      </c>
      <c r="L332" s="56">
        <f>IFERROR(IF(($F332)&gt;0,($I332*cfg_TroyOz)/($F332),""),"")</f>
        <v/>
      </c>
      <c r="M332" s="56">
        <f>IFERROR(IF(($G332)&gt;0,($J332*cfg_TroyOz)/($G332),""),"")</f>
        <v/>
      </c>
      <c r="N332" s="56">
        <f>IFERROR(IF(($H332)&gt;0,($K332*cfg_TroyOz)/($H332),""),"")</f>
        <v/>
      </c>
      <c r="O332" s="55">
        <f>SUMIFS(tblMovement[Tonnes_t],tblMovement[Date],$A332,tblMovement[Is_Ore],0,tblMovement[Source_Type],"Pit")</f>
        <v/>
      </c>
      <c r="P332" s="55">
        <f>IF($B332=$B331,$P331,0)+$O332</f>
        <v/>
      </c>
      <c r="Q332" s="55">
        <f>$Q331+$O332</f>
        <v/>
      </c>
      <c r="R332" s="55">
        <f>$F332+$O332</f>
        <v/>
      </c>
      <c r="S332" s="55">
        <f>IF($B332=$B331,$S331,0)+$R332</f>
        <v/>
      </c>
      <c r="T332" s="55">
        <f>$T331+$R332</f>
        <v/>
      </c>
      <c r="U332" s="56">
        <f>IFERROR(IF(($F332)&gt;0,($O332)/($F332),""),"")</f>
        <v/>
      </c>
      <c r="V332" s="56">
        <f>IFERROR(IF(($G332)&gt;0,($P332)/($G332),""),"")</f>
        <v/>
      </c>
      <c r="W332" s="56">
        <f>IFERROR(IF(($H332)&gt;0,($Q332)/($H332),""),"")</f>
        <v/>
      </c>
      <c r="X332" s="55">
        <f>SUMIFS(tblMovement[Tonnes_t],tblMovement[Date],$A332,tblMovement[Source_Type],"Stockpile")</f>
        <v/>
      </c>
      <c r="Y332" s="55">
        <f>IF($B332=$B331,$Y331,0)+$X332</f>
        <v/>
      </c>
      <c r="Z332" s="55">
        <f>$Z331+$X332</f>
        <v/>
      </c>
      <c r="AA332" s="55">
        <f>SUMIFS(tblMiningDaily[Drill_m],tblMiningDaily[Date],$A332)</f>
        <v/>
      </c>
      <c r="AB332" s="55">
        <f>IF($B332=$B331,$AB331,0)+$AA332</f>
        <v/>
      </c>
      <c r="AC332" s="55">
        <f>$AC331+$AA332</f>
        <v/>
      </c>
      <c r="AD332" s="55">
        <f>SUMIFS(tblMiningDaily[Blast_t],tblMiningDaily[Date],$A332)</f>
        <v/>
      </c>
      <c r="AE332" s="55">
        <f>IF($B332=$B331,$AE331,0)+$AD332</f>
        <v/>
      </c>
      <c r="AF332" s="55">
        <f>$AF331+$AD332</f>
        <v/>
      </c>
      <c r="AG332" s="55">
        <f>SUMIFS(tblMiningDaily[Explosives_kg],tblMiningDaily[Date],$A332)</f>
        <v/>
      </c>
      <c r="AH332" s="55">
        <f>IF($B332=$B331,$AH331,0)+$AG332</f>
        <v/>
      </c>
      <c r="AI332" s="55">
        <f>$AI331+$AG332</f>
        <v/>
      </c>
      <c r="AJ332" s="56">
        <f>IFERROR(IF(($AD332)&gt;0,($AG332)/($AD332),""),"")</f>
        <v/>
      </c>
      <c r="AK332" s="56">
        <f>IFERROR(IF(($AE332)&gt;0,($AH332)/($AE332),""),"")</f>
        <v/>
      </c>
      <c r="AL332" s="56">
        <f>IFERROR(IF(($AF332)&gt;0,($AI332)/($AF332),""),"")</f>
        <v/>
      </c>
      <c r="AM332" s="55">
        <f>SUMIFS(tblMiningDaily[Diesel_L],tblMiningDaily[Date],$A332)</f>
        <v/>
      </c>
      <c r="AN332" s="55">
        <f>IF($B332=$B331,$AN331,0)+$AM332</f>
        <v/>
      </c>
      <c r="AO332" s="55">
        <f>$AO331+$AM332</f>
        <v/>
      </c>
      <c r="AP332" s="55">
        <f>SUMIFS(tblMiningDaily[Dewatering_m3],tblMiningDaily[Date],$A332)</f>
        <v/>
      </c>
      <c r="AQ332" s="55">
        <f>IF($B332=$B331,$AQ331,0)+$AP332</f>
        <v/>
      </c>
      <c r="AR332" s="55">
        <f>$AR331+$AP332</f>
        <v/>
      </c>
      <c r="AS332" s="57">
        <f>SUMIFS(tblFleet[Calendar_h],tblFleet[Date],$A332,tblFleet[Equipment_Class],"Excavator")</f>
        <v/>
      </c>
      <c r="AT332" s="57">
        <f>IF($B332=$B331,$AT331,0)+$AS332</f>
        <v/>
      </c>
      <c r="AU332" s="57">
        <f>$AU331+$AS332</f>
        <v/>
      </c>
      <c r="AV332" s="57">
        <f>SUMIFS(tblFleet[Available_h],tblFleet[Date],$A332,tblFleet[Equipment_Class],"Excavator")</f>
        <v/>
      </c>
      <c r="AW332" s="57">
        <f>IF($B332=$B331,$AW331,0)+$AV332</f>
        <v/>
      </c>
      <c r="AX332" s="57">
        <f>$AX331+$AV332</f>
        <v/>
      </c>
      <c r="AY332" s="57">
        <f>SUMIFS(tblFleet[Operating_h],tblFleet[Date],$A332,tblFleet[Equipment_Class],"Excavator")</f>
        <v/>
      </c>
      <c r="AZ332" s="57">
        <f>IF($B332=$B331,$AZ331,0)+$AY332</f>
        <v/>
      </c>
      <c r="BA332" s="57">
        <f>$BA331+$AY332</f>
        <v/>
      </c>
      <c r="BB332" s="67">
        <f>IFERROR(IF(($AS332)&gt;0,($AV332)/($AS332),""),"")</f>
        <v/>
      </c>
      <c r="BC332" s="67">
        <f>IFERROR(IF(($AT332)&gt;0,($AW332)/($AT332),""),"")</f>
        <v/>
      </c>
      <c r="BD332" s="67">
        <f>IFERROR(IF(($AU332)&gt;0,($AX332)/($AU332),""),"")</f>
        <v/>
      </c>
      <c r="BE332" s="67">
        <f>IFERROR(IF(($AV332)&gt;0,($AY332)/($AV332),""),"")</f>
        <v/>
      </c>
      <c r="BF332" s="67">
        <f>IFERROR(IF(($AW332)&gt;0,($AZ332)/($AW332),""),"")</f>
        <v/>
      </c>
      <c r="BG332" s="67">
        <f>IFERROR(IF(($AX332)&gt;0,($BA332)/($AX332),""),"")</f>
        <v/>
      </c>
      <c r="BH332" s="57">
        <f>SUMIFS(tblFleet[Calendar_h],tblFleet[Date],$A332,tblFleet[Equipment_Class],"Haul Truck")</f>
        <v/>
      </c>
      <c r="BI332" s="57">
        <f>IF($B332=$B331,$BI331,0)+$BH332</f>
        <v/>
      </c>
      <c r="BJ332" s="57">
        <f>$BJ331+$BH332</f>
        <v/>
      </c>
      <c r="BK332" s="57">
        <f>SUMIFS(tblFleet[Available_h],tblFleet[Date],$A332,tblFleet[Equipment_Class],"Haul Truck")</f>
        <v/>
      </c>
      <c r="BL332" s="57">
        <f>IF($B332=$B331,$BL331,0)+$BK332</f>
        <v/>
      </c>
      <c r="BM332" s="57">
        <f>$BM331+$BK332</f>
        <v/>
      </c>
      <c r="BN332" s="57">
        <f>SUMIFS(tblFleet[Operating_h],tblFleet[Date],$A332,tblFleet[Equipment_Class],"Haul Truck")</f>
        <v/>
      </c>
      <c r="BO332" s="57">
        <f>IF($B332=$B331,$BO331,0)+$BN332</f>
        <v/>
      </c>
      <c r="BP332" s="57">
        <f>$BP331+$BN332</f>
        <v/>
      </c>
      <c r="BQ332" s="67">
        <f>IFERROR(IF(($BH332)&gt;0,($BK332)/($BH332),""),"")</f>
        <v/>
      </c>
      <c r="BR332" s="67">
        <f>IFERROR(IF(($BI332)&gt;0,($BL332)/($BI332),""),"")</f>
        <v/>
      </c>
      <c r="BS332" s="67">
        <f>IFERROR(IF(($BJ332)&gt;0,($BM332)/($BJ332),""),"")</f>
        <v/>
      </c>
      <c r="BT332" s="67">
        <f>IFERROR(IF(($BK332)&gt;0,($BN332)/($BK332),""),"")</f>
        <v/>
      </c>
      <c r="BU332" s="67">
        <f>IFERROR(IF(($BL332)&gt;0,($BO332)/($BL332),""),"")</f>
        <v/>
      </c>
      <c r="BV332" s="67">
        <f>IFERROR(IF(($BM332)&gt;0,($BP332)/($BM332),""),"")</f>
        <v/>
      </c>
      <c r="BW332" s="55">
        <f>SUMIFS(tblPlant[Crushed_t],tblPlant[Date],$A332)</f>
        <v/>
      </c>
      <c r="BX332" s="55">
        <f>IF($B332=$B331,$BX331,0)+$BW332</f>
        <v/>
      </c>
      <c r="BY332" s="55">
        <f>$BY331+$BW332</f>
        <v/>
      </c>
      <c r="BZ332" s="55">
        <f>SUMIFS(tblPlant[Milled_t],tblPlant[Date],$A332)</f>
        <v/>
      </c>
      <c r="CA332" s="55">
        <f>IF($B332=$B331,$CA331,0)+$BZ332</f>
        <v/>
      </c>
      <c r="CB332" s="55">
        <f>$CB331+$BZ332</f>
        <v/>
      </c>
      <c r="CC332" s="55">
        <f>SUMIFS(tblPlant[Feed_oz],tblPlant[Date],$A332)</f>
        <v/>
      </c>
      <c r="CD332" s="55">
        <f>IF($B332=$B331,$CD331,0)+$CC332</f>
        <v/>
      </c>
      <c r="CE332" s="55">
        <f>$CE331+$CC332</f>
        <v/>
      </c>
      <c r="CF332" s="55">
        <f>SUMIFS(tblPlant[Tails_oz],tblPlant[Date],$A332)</f>
        <v/>
      </c>
      <c r="CG332" s="55">
        <f>IF($B332=$B331,$CG331,0)+$CF332</f>
        <v/>
      </c>
      <c r="CH332" s="55">
        <f>$CH331+$CF332</f>
        <v/>
      </c>
      <c r="CI332" s="55">
        <f>SUMIFS(tblPlant[Recovered_oz],tblPlant[Date],$A332)</f>
        <v/>
      </c>
      <c r="CJ332" s="55">
        <f>IF($B332=$B331,$CJ331,0)+$CI332</f>
        <v/>
      </c>
      <c r="CK332" s="55">
        <f>$CK331+$CI332</f>
        <v/>
      </c>
      <c r="CL332" s="56">
        <f>IFERROR(IF(($BZ332)&gt;0,($CC332*cfg_TroyOz)/($BZ332),""),"")</f>
        <v/>
      </c>
      <c r="CM332" s="56">
        <f>IFERROR(IF(($CA332)&gt;0,($CD332*cfg_TroyOz)/($CA332),""),"")</f>
        <v/>
      </c>
      <c r="CN332" s="56">
        <f>IFERROR(IF(($CB332)&gt;0,($CE332*cfg_TroyOz)/($CB332),""),"")</f>
        <v/>
      </c>
      <c r="CO332" s="56">
        <f>IFERROR(IF(($BZ332)&gt;0,($CF332*cfg_TroyOz)/($BZ332),""),"")</f>
        <v/>
      </c>
      <c r="CP332" s="56">
        <f>IFERROR(IF(($CA332)&gt;0,($CG332*cfg_TroyOz)/($CA332),""),"")</f>
        <v/>
      </c>
      <c r="CQ332" s="56">
        <f>IFERROR(IF(($CB332)&gt;0,($CH332*cfg_TroyOz)/($CB332),""),"")</f>
        <v/>
      </c>
      <c r="CR332" s="67">
        <f>IFERROR(IF(($CC332)&gt;0,($CI332)/($CC332),""),"")</f>
        <v/>
      </c>
      <c r="CS332" s="67">
        <f>IFERROR(IF(($CD332)&gt;0,($CJ332)/($CD332),""),"")</f>
        <v/>
      </c>
      <c r="CT332" s="67">
        <f>IFERROR(IF(($CE332)&gt;0,($CK332)/($CE332),""),"")</f>
        <v/>
      </c>
      <c r="CU332" s="55">
        <f>SUMIFS(tblPlant[Gravity_Gold_oz],tblPlant[Date],$A332)</f>
        <v/>
      </c>
      <c r="CV332" s="55">
        <f>IF($B332=$B331,$CV331,0)+$CU332</f>
        <v/>
      </c>
      <c r="CW332" s="55">
        <f>$CW331+$CU332</f>
        <v/>
      </c>
      <c r="CX332" s="55">
        <f>SUMIFS(tblPlant[Gold_Poured_oz],tblPlant[Date],$A332)</f>
        <v/>
      </c>
      <c r="CY332" s="55">
        <f>IF($B332=$B331,$CY331,0)+$CX332</f>
        <v/>
      </c>
      <c r="CZ332" s="55">
        <f>$CZ331+$CX332</f>
        <v/>
      </c>
      <c r="DA332" s="57">
        <f>SUMIFS(tblPlant[Mill_Run_h],tblPlant[Date],$A332)</f>
        <v/>
      </c>
      <c r="DB332" s="57">
        <f>IF($B332=$B331,$DB331,0)+$DA332</f>
        <v/>
      </c>
      <c r="DC332" s="57">
        <f>$DC331+$DA332</f>
        <v/>
      </c>
      <c r="DD332" s="57">
        <f>SUMIFS(tblPlant[Mill_Planned_Maint_h],tblPlant[Date],$A332)</f>
        <v/>
      </c>
      <c r="DE332" s="57">
        <f>IF($B332=$B331,$DE331,0)+$DD332</f>
        <v/>
      </c>
      <c r="DF332" s="57">
        <f>$DF331+$DD332</f>
        <v/>
      </c>
      <c r="DG332" s="57">
        <f>SUMIFS(tblPlant[Mill_Unplanned_Down_h],tblPlant[Date],$A332)</f>
        <v/>
      </c>
      <c r="DH332" s="57">
        <f>IF($B332=$B331,$DH331,0)+$DG332</f>
        <v/>
      </c>
      <c r="DI332" s="57">
        <f>$DI331+$DG332</f>
        <v/>
      </c>
      <c r="DJ332" s="57">
        <f>COUNTIFS(tblPlant[Date],$A332,tblPlant[Mill_Run_h],"&lt;&gt;")*24</f>
        <v/>
      </c>
      <c r="DK332" s="57">
        <f>IF($B332=$B331,$DK331,0)+$DJ332</f>
        <v/>
      </c>
      <c r="DL332" s="57">
        <f>$DL331+$DJ332</f>
        <v/>
      </c>
      <c r="DM332" s="57">
        <f>SUMIFS(tblPlant[Crusher_Run_h],tblPlant[Date],$A332)</f>
        <v/>
      </c>
      <c r="DN332" s="57">
        <f>IF($B332=$B331,$DN331,0)+$DM332</f>
        <v/>
      </c>
      <c r="DO332" s="57">
        <f>$DO331+$DM332</f>
        <v/>
      </c>
      <c r="DP332" s="55">
        <f>IFERROR(IF(($DA332)&gt;0,($BZ332)/($DA332),""),"")</f>
        <v/>
      </c>
      <c r="DQ332" s="55">
        <f>IFERROR(IF(($DB332)&gt;0,($CA332)/($DB332),""),"")</f>
        <v/>
      </c>
      <c r="DR332" s="55">
        <f>IFERROR(IF(($DC332)&gt;0,($CB332)/($DC332),""),"")</f>
        <v/>
      </c>
      <c r="DS332" s="67">
        <f>IFERROR(IF(($DJ332)&gt;0,($DJ332-$DD332-$DG332)/($DJ332),""),"")</f>
        <v/>
      </c>
      <c r="DT332" s="67">
        <f>IFERROR(IF(($DK332)&gt;0,($DK332-$DE332-$DH332)/($DK332),""),"")</f>
        <v/>
      </c>
      <c r="DU332" s="67">
        <f>IFERROR(IF(($DL332)&gt;0,($DL332-$DF332-$DI332)/($DL332),""),"")</f>
        <v/>
      </c>
      <c r="DV332" s="67">
        <f>IFERROR(IF(($DJ332-$DD332-$DG332)&gt;0,($DA332)/($DJ332-$DD332-$DG332),""),"")</f>
        <v/>
      </c>
      <c r="DW332" s="67">
        <f>IFERROR(IF(($DK332-$DE332-$DH332)&gt;0,($DB332)/($DK332-$DE332-$DH332),""),"")</f>
        <v/>
      </c>
      <c r="DX332" s="67">
        <f>IFERROR(IF(($DL332-$DF332-$DI332)&gt;0,($DC332)/($DL332-$DF332-$DI332),""),"")</f>
        <v/>
      </c>
      <c r="DY332" s="55">
        <f>SUMIFS(tblPlant[Cyanide_kg],tblPlant[Date],$A332)</f>
        <v/>
      </c>
      <c r="DZ332" s="55">
        <f>IF($B332=$B331,$DZ331,0)+$DY332</f>
        <v/>
      </c>
      <c r="EA332" s="55">
        <f>$EA331+$DY332</f>
        <v/>
      </c>
      <c r="EB332" s="55">
        <f>SUMIFS(tblPlant[Lime_kg],tblPlant[Date],$A332)</f>
        <v/>
      </c>
      <c r="EC332" s="55">
        <f>IF($B332=$B331,$EC331,0)+$EB332</f>
        <v/>
      </c>
      <c r="ED332" s="55">
        <f>$ED331+$EB332</f>
        <v/>
      </c>
      <c r="EE332" s="55">
        <f>SUMIFS(tblPlant[Grinding_Media_kg],tblPlant[Date],$A332)</f>
        <v/>
      </c>
      <c r="EF332" s="55">
        <f>IF($B332=$B331,$EF331,0)+$EE332</f>
        <v/>
      </c>
      <c r="EG332" s="55">
        <f>$EG331+$EE332</f>
        <v/>
      </c>
      <c r="EH332" s="55">
        <f>SUMIFS(tblPlant[Power_kWh],tblPlant[Date],$A332)</f>
        <v/>
      </c>
      <c r="EI332" s="55">
        <f>IF($B332=$B331,$EI331,0)+$EH332</f>
        <v/>
      </c>
      <c r="EJ332" s="55">
        <f>$EJ331+$EH332</f>
        <v/>
      </c>
      <c r="EK332" s="55">
        <f>SUMIFS(tblPlant[Raw_Water_m3],tblPlant[Date],$A332)</f>
        <v/>
      </c>
      <c r="EL332" s="55">
        <f>IF($B332=$B331,$EL331,0)+$EK332</f>
        <v/>
      </c>
      <c r="EM332" s="55">
        <f>$EM331+$EK332</f>
        <v/>
      </c>
      <c r="EN332" s="56">
        <f>IFERROR(IF(($BZ332)&gt;0,($DY332)/($BZ332),""),"")</f>
        <v/>
      </c>
      <c r="EO332" s="56">
        <f>IFERROR(IF(($CA332)&gt;0,($DZ332)/($CA332),""),"")</f>
        <v/>
      </c>
      <c r="EP332" s="56">
        <f>IFERROR(IF(($CB332)&gt;0,($EA332)/($CB332),""),"")</f>
        <v/>
      </c>
      <c r="EQ332" s="56">
        <f>IFERROR(IF(($BZ332)&gt;0,($EB332)/($BZ332),""),"")</f>
        <v/>
      </c>
      <c r="ER332" s="56">
        <f>IFERROR(IF(($CA332)&gt;0,($EC332)/($CA332),""),"")</f>
        <v/>
      </c>
      <c r="ES332" s="56">
        <f>IFERROR(IF(($CB332)&gt;0,($ED332)/($CB332),""),"")</f>
        <v/>
      </c>
      <c r="ET332" s="56">
        <f>IFERROR(IF(($BZ332)&gt;0,($EE332)/($BZ332),""),"")</f>
        <v/>
      </c>
      <c r="EU332" s="56">
        <f>IFERROR(IF(($CA332)&gt;0,($EF332)/($CA332),""),"")</f>
        <v/>
      </c>
      <c r="EV332" s="56">
        <f>IFERROR(IF(($CB332)&gt;0,($EG332)/($CB332),""),"")</f>
        <v/>
      </c>
      <c r="EW332" s="76">
        <f>IFERROR(IF(($BZ332)&gt;0,($EH332)/($BZ332),""),"")</f>
        <v/>
      </c>
      <c r="EX332" s="76">
        <f>IFERROR(IF(($CA332)&gt;0,($EI332)/($CA332),""),"")</f>
        <v/>
      </c>
      <c r="EY332" s="76">
        <f>IFERROR(IF(($CB332)&gt;0,($EJ332)/($CB332),""),"")</f>
        <v/>
      </c>
      <c r="EZ332" s="56">
        <f>IFERROR(IF(($BZ332)&gt;0,($EK332)/($BZ332),""),"")</f>
        <v/>
      </c>
      <c r="FA332" s="56">
        <f>IFERROR(IF(($CA332)&gt;0,($EL332)/($CA332),""),"")</f>
        <v/>
      </c>
      <c r="FB332" s="56">
        <f>IFERROR(IF(($CB332)&gt;0,($EM332)/($CB332),""),"")</f>
        <v/>
      </c>
      <c r="FC332" s="55">
        <f>IF(SUMIFS(tblPlant[GIC_oz],tblPlant[Date],$A332)&gt;0,SUMIFS(tblPlant[GIC_oz],tblPlant[Date],$A332),"")</f>
        <v/>
      </c>
      <c r="FD332" s="55">
        <f>SUMIFS(tblGold[Gold_oz],tblGold[Date],$A332,tblGold[Type],"Shipment")</f>
        <v/>
      </c>
      <c r="FE332" s="55">
        <f>IF($B332=$B331,$FE331,0)+$FD332</f>
        <v/>
      </c>
      <c r="FF332" s="55">
        <f>$FF331+$FD332</f>
        <v/>
      </c>
      <c r="FG332" s="55">
        <f>SUMIFS(tblGold[Gold_oz],tblGold[Date],$A332,tblGold[Type],"Sale")</f>
        <v/>
      </c>
      <c r="FH332" s="55">
        <f>IF($B332=$B331,$FH331,0)+$FG332</f>
        <v/>
      </c>
      <c r="FI332" s="55">
        <f>$FI331+$FG332</f>
        <v/>
      </c>
      <c r="FJ332" s="55">
        <f>SUMIFS(tblGold[Dore_kg],tblGold[Date],$A332,tblGold[Type],"Shipment")</f>
        <v/>
      </c>
      <c r="FK332" s="55">
        <f>IF($B332=$B331,$FK331,0)+$FJ332</f>
        <v/>
      </c>
      <c r="FL332" s="55">
        <f>$FL331+$FJ332</f>
        <v/>
      </c>
      <c r="FM332" s="57">
        <f>SUMIFS(tblSafety[Hours_Total],tblSafety[Date],$A332)</f>
        <v/>
      </c>
      <c r="FN332" s="57">
        <f>IF($B332=$B331,$FN331,0)+$FM332</f>
        <v/>
      </c>
      <c r="FO332" s="57">
        <f>$FO331+$FM332</f>
        <v/>
      </c>
      <c r="FP332" s="62">
        <f>SUMIFS(tblSafety[Fatality],tblSafety[Date],$A332)</f>
        <v/>
      </c>
      <c r="FQ332" s="62">
        <f>IF($B332=$B331,$FQ331,0)+$FP332</f>
        <v/>
      </c>
      <c r="FR332" s="62">
        <f>$FR331+$FP332</f>
        <v/>
      </c>
      <c r="FS332" s="62">
        <f>SUMIFS(tblSafety[LTI],tblSafety[Date],$A332)</f>
        <v/>
      </c>
      <c r="FT332" s="62">
        <f>IF($B332=$B331,$FT331,0)+$FS332</f>
        <v/>
      </c>
      <c r="FU332" s="62">
        <f>$FU331+$FS332</f>
        <v/>
      </c>
      <c r="FV332" s="62">
        <f>SUMIFS(tblSafety[RWI],tblSafety[Date],$A332)</f>
        <v/>
      </c>
      <c r="FW332" s="62">
        <f>IF($B332=$B331,$FW331,0)+$FV332</f>
        <v/>
      </c>
      <c r="FX332" s="62">
        <f>$FX331+$FV332</f>
        <v/>
      </c>
      <c r="FY332" s="62">
        <f>SUMIFS(tblSafety[MTI],tblSafety[Date],$A332)</f>
        <v/>
      </c>
      <c r="FZ332" s="62">
        <f>IF($B332=$B331,$FZ331,0)+$FY332</f>
        <v/>
      </c>
      <c r="GA332" s="62">
        <f>$GA331+$FY332</f>
        <v/>
      </c>
      <c r="GB332" s="62">
        <f>SUMIFS(tblSafety[FAI],tblSafety[Date],$A332)</f>
        <v/>
      </c>
      <c r="GC332" s="62">
        <f>IF($B332=$B331,$GC331,0)+$GB332</f>
        <v/>
      </c>
      <c r="GD332" s="62">
        <f>$GD331+$GB332</f>
        <v/>
      </c>
      <c r="GE332" s="62">
        <f>SUMIFS(tblSafety[Recordables],tblSafety[Date],$A332)</f>
        <v/>
      </c>
      <c r="GF332" s="62">
        <f>IF($B332=$B331,$GF331,0)+$GE332</f>
        <v/>
      </c>
      <c r="GG332" s="62">
        <f>$GG331+$GE332</f>
        <v/>
      </c>
      <c r="GH332" s="62">
        <f>SUMIFS(tblSafety[Near_Miss],tblSafety[Date],$A332)</f>
        <v/>
      </c>
      <c r="GI332" s="62">
        <f>IF($B332=$B331,$GI331,0)+$GH332</f>
        <v/>
      </c>
      <c r="GJ332" s="62">
        <f>$GJ331+$GH332</f>
        <v/>
      </c>
      <c r="GK332" s="62">
        <f>SUMIFS(tblSafety[Hazard_Reports],tblSafety[Date],$A332)</f>
        <v/>
      </c>
      <c r="GL332" s="62">
        <f>IF($B332=$B331,$GL331,0)+$GK332</f>
        <v/>
      </c>
      <c r="GM332" s="62">
        <f>$GM331+$GK332</f>
        <v/>
      </c>
      <c r="GN332" s="62">
        <f>SUMIFS(tblSafety[HPI],tblSafety[Date],$A332)</f>
        <v/>
      </c>
      <c r="GO332" s="62">
        <f>IF($B332=$B331,$GO331,0)+$GN332</f>
        <v/>
      </c>
      <c r="GP332" s="62">
        <f>$GP331+$GN332</f>
        <v/>
      </c>
      <c r="GQ332" s="62">
        <f>SUMIFS(tblSafety[Env_Incidents],tblSafety[Date],$A332)</f>
        <v/>
      </c>
      <c r="GR332" s="62">
        <f>IF($B332=$B331,$GR331,0)+$GQ332</f>
        <v/>
      </c>
      <c r="GS332" s="62">
        <f>$GS331+$GQ332</f>
        <v/>
      </c>
      <c r="GT332" s="62">
        <f>SUMIFS(tblSafety[Community_Incidents],tblSafety[Date],$A332)</f>
        <v/>
      </c>
      <c r="GU332" s="62">
        <f>IF($B332=$B331,$GU331,0)+$GT332</f>
        <v/>
      </c>
      <c r="GV332" s="62">
        <f>$GV331+$GT332</f>
        <v/>
      </c>
      <c r="GW332" s="62">
        <f>SUMIFS(tblSafety[Vehicle_Incidents],tblSafety[Date],$A332)</f>
        <v/>
      </c>
      <c r="GX332" s="62">
        <f>IF($B332=$B331,$GX331,0)+$GW332</f>
        <v/>
      </c>
      <c r="GY332" s="62">
        <f>$GY331+$GW332</f>
        <v/>
      </c>
      <c r="GZ332" s="62">
        <f>SUMIFS(tblSafety[Toolbox_Talks],tblSafety[Date],$A332)</f>
        <v/>
      </c>
      <c r="HA332" s="62">
        <f>IF($B332=$B331,$HA331,0)+$GZ332</f>
        <v/>
      </c>
      <c r="HB332" s="62">
        <f>$HB331+$GZ332</f>
        <v/>
      </c>
      <c r="HC332" s="62">
        <f>SUMIFS(tblSafety[Inspections],tblSafety[Date],$A332)</f>
        <v/>
      </c>
      <c r="HD332" s="62">
        <f>IF($B332=$B331,$HD331,0)+$HC332</f>
        <v/>
      </c>
      <c r="HE332" s="62">
        <f>$HE331+$HC332</f>
        <v/>
      </c>
      <c r="HF332" s="56">
        <f>IFERROR((SUMIFS(tblSafety[Recordables],tblSafety[Date],"&gt;="&amp;EDATE($E332,-12),tblSafety[Date],"&lt;="&amp;$A332)+SUMIFS(tblSafetyHistory[Recordables],tblSafetyHistory[Month],"&gt;="&amp;EDATE($E332,-12),tblSafetyHistory[Month],"&lt;"&amp;cfg_YearStart))/(SUMIFS(tblSafety[Hours_Total],tblSafety[Date],"&gt;="&amp;EDATE($E332,-12),tblSafety[Date],"&lt;="&amp;$A332)+SUMIFS(tblSafetyHistory[Hours_Total],tblSafetyHistory[Month],"&gt;="&amp;EDATE($E332,-12),tblSafetyHistory[Month],"&lt;"&amp;cfg_YearStart))*1000000,"")</f>
        <v/>
      </c>
      <c r="HG332" s="56">
        <f>IFERROR((SUMIFS(tblSafety[LTI],tblSafety[Date],"&gt;="&amp;EDATE($E332,-12),tblSafety[Date],"&lt;="&amp;$A332)+SUMIFS(tblSafetyHistory[LTI],tblSafetyHistory[Month],"&gt;="&amp;EDATE($E332,-12),tblSafetyHistory[Month],"&lt;"&amp;cfg_YearStart))/(SUMIFS(tblSafety[Hours_Total],tblSafety[Date],"&gt;="&amp;EDATE($E332,-12),tblSafety[Date],"&lt;="&amp;$A332)+SUMIFS(tblSafetyHistory[Hours_Total],tblSafetyHistory[Month],"&gt;="&amp;EDATE($E332,-12),tblSafetyHistory[Month],"&lt;"&amp;cfg_YearStart))*1000000,"")</f>
        <v/>
      </c>
      <c r="HH332" s="62">
        <f>IF(MAX(N(cfg_PriorLTIDate),_xlfn.MAXIFS(tblSafety[Date],tblSafety[LTI],"&gt;0",tblSafety[Date],"&lt;="&amp;$A332))=0,"",$A332-MAX(N(cfg_PriorLTIDate),_xlfn.MAXIFS(tblSafety[Date],tblSafety[LTI],"&gt;0",tblSafety[Date],"&lt;="&amp;$A332)))</f>
        <v/>
      </c>
      <c r="HI332" s="55">
        <f>SUMIFS(tblBudget[Ore_Mined_t],tblBudget[Month],$E332)</f>
        <v/>
      </c>
      <c r="HJ332" s="55">
        <f>$HI332*$C332/$D332</f>
        <v/>
      </c>
      <c r="HK332" s="55">
        <f>SUMIFS(tblBudget[Ore_Mined_t],tblBudget[Month],"&lt;"&amp;$E332)+$HJ332</f>
        <v/>
      </c>
      <c r="HL332" s="55">
        <f>SUMIFS(tblBudget[Ore_oz],tblBudget[Month],$E332)</f>
        <v/>
      </c>
      <c r="HM332" s="55">
        <f>$HL332*$C332/$D332</f>
        <v/>
      </c>
      <c r="HN332" s="55">
        <f>SUMIFS(tblBudget[Ore_oz],tblBudget[Month],"&lt;"&amp;$E332)+$HM332</f>
        <v/>
      </c>
      <c r="HO332" s="56">
        <f>IFERROR(IF(($HI332)&gt;0,($HL332*cfg_TroyOz)/($HI332),""),"")</f>
        <v/>
      </c>
      <c r="HP332" s="56">
        <f>IFERROR(IF(($HJ332)&gt;0,($HM332*cfg_TroyOz)/($HJ332),""),"")</f>
        <v/>
      </c>
      <c r="HQ332" s="56">
        <f>IFERROR(IF(($HK332)&gt;0,($HN332*cfg_TroyOz)/($HK332),""),"")</f>
        <v/>
      </c>
      <c r="HR332" s="55">
        <f>SUMIFS(tblBudget[Waste_t],tblBudget[Month],$E332)</f>
        <v/>
      </c>
      <c r="HS332" s="55">
        <f>$HR332*$C332/$D332</f>
        <v/>
      </c>
      <c r="HT332" s="55">
        <f>SUMIFS(tblBudget[Waste_t],tblBudget[Month],"&lt;"&amp;$E332)+$HS332</f>
        <v/>
      </c>
      <c r="HU332" s="55">
        <f>SUMIFS(tblBudget[TMM_t],tblBudget[Month],$E332)</f>
        <v/>
      </c>
      <c r="HV332" s="55">
        <f>$HU332*$C332/$D332</f>
        <v/>
      </c>
      <c r="HW332" s="55">
        <f>SUMIFS(tblBudget[TMM_t],tblBudget[Month],"&lt;"&amp;$E332)+$HV332</f>
        <v/>
      </c>
      <c r="HX332" s="56">
        <f>IFERROR(IF(($HI332)&gt;0,($HR332)/($HI332),""),"")</f>
        <v/>
      </c>
      <c r="HY332" s="56">
        <f>IFERROR(IF(($HJ332)&gt;0,($HS332)/($HJ332),""),"")</f>
        <v/>
      </c>
      <c r="HZ332" s="56">
        <f>IFERROR(IF(($HK332)&gt;0,($HT332)/($HK332),""),"")</f>
        <v/>
      </c>
      <c r="IA332" s="55">
        <f>SUMIFS(tblBudget[Drill_m],tblBudget[Month],$E332)</f>
        <v/>
      </c>
      <c r="IB332" s="55">
        <f>$IA332*$C332/$D332</f>
        <v/>
      </c>
      <c r="IC332" s="55">
        <f>SUMIFS(tblBudget[Drill_m],tblBudget[Month],"&lt;"&amp;$E332)+$IB332</f>
        <v/>
      </c>
      <c r="ID332" s="55">
        <f>SUMIFS(tblBudget[Diesel_L],tblBudget[Month],$E332)</f>
        <v/>
      </c>
      <c r="IE332" s="55">
        <f>$ID332*$C332/$D332</f>
        <v/>
      </c>
      <c r="IF332" s="55">
        <f>SUMIFS(tblBudget[Diesel_L],tblBudget[Month],"&lt;"&amp;$E332)+$IE332</f>
        <v/>
      </c>
      <c r="IG332" s="55">
        <f>SUMIFS(tblBudget[Milled_t],tblBudget[Month],$E332)</f>
        <v/>
      </c>
      <c r="IH332" s="55">
        <f>$IG332*$C332/$D332</f>
        <v/>
      </c>
      <c r="II332" s="55">
        <f>SUMIFS(tblBudget[Milled_t],tblBudget[Month],"&lt;"&amp;$E332)+$IH332</f>
        <v/>
      </c>
      <c r="IJ332" s="55">
        <f>SUMIFS(tblBudget[Feed_oz],tblBudget[Month],$E332)</f>
        <v/>
      </c>
      <c r="IK332" s="55">
        <f>$IJ332*$C332/$D332</f>
        <v/>
      </c>
      <c r="IL332" s="55">
        <f>SUMIFS(tblBudget[Feed_oz],tblBudget[Month],"&lt;"&amp;$E332)+$IK332</f>
        <v/>
      </c>
      <c r="IM332" s="55">
        <f>SUMIFS(tblBudget[Recovered_oz],tblBudget[Month],$E332)</f>
        <v/>
      </c>
      <c r="IN332" s="55">
        <f>$IM332*$C332/$D332</f>
        <v/>
      </c>
      <c r="IO332" s="55">
        <f>SUMIFS(tblBudget[Recovered_oz],tblBudget[Month],"&lt;"&amp;$E332)+$IN332</f>
        <v/>
      </c>
      <c r="IP332" s="56">
        <f>IFERROR(IF(($IG332)&gt;0,($IJ332*cfg_TroyOz)/($IG332),""),"")</f>
        <v/>
      </c>
      <c r="IQ332" s="56">
        <f>IFERROR(IF(($IH332)&gt;0,($IK332*cfg_TroyOz)/($IH332),""),"")</f>
        <v/>
      </c>
      <c r="IR332" s="56">
        <f>IFERROR(IF(($II332)&gt;0,($IL332*cfg_TroyOz)/($II332),""),"")</f>
        <v/>
      </c>
      <c r="IS332" s="67">
        <f>IFERROR(IF(($IJ332)&gt;0,($IM332)/($IJ332),""),"")</f>
        <v/>
      </c>
      <c r="IT332" s="67">
        <f>IFERROR(IF(($IK332)&gt;0,($IN332)/($IK332),""),"")</f>
        <v/>
      </c>
      <c r="IU332" s="67">
        <f>IFERROR(IF(($IL332)&gt;0,($IO332)/($IL332),""),"")</f>
        <v/>
      </c>
      <c r="IV332" s="55">
        <f>SUMIFS(tblBudget[Gold_Poured_oz],tblBudget[Month],$E332)</f>
        <v/>
      </c>
      <c r="IW332" s="55">
        <f>$IV332*$C332/$D332</f>
        <v/>
      </c>
      <c r="IX332" s="55">
        <f>SUMIFS(tblBudget[Gold_Poured_oz],tblBudget[Month],"&lt;"&amp;$E332)+$IW332</f>
        <v/>
      </c>
      <c r="IY332" s="57">
        <f>SUMIFS(tblBudget[Hours_Worked],tblBudget[Month],$E332)</f>
        <v/>
      </c>
      <c r="IZ332" s="57">
        <f>$IY332*$C332/$D332</f>
        <v/>
      </c>
      <c r="JA332" s="57">
        <f>SUMIFS(tblBudget[Hours_Worked],tblBudget[Month],"&lt;"&amp;$E332)+$IZ332</f>
        <v/>
      </c>
    </row>
    <row r="333">
      <c r="A333" s="54" t="n">
        <v>46354</v>
      </c>
      <c r="B333">
        <f>MONTH($A333)</f>
        <v/>
      </c>
      <c r="C333">
        <f>DAY($A333)</f>
        <v/>
      </c>
      <c r="D333">
        <f>DAY(EOMONTH($A333,0))</f>
        <v/>
      </c>
      <c r="E333" s="54">
        <f>DATE(YEAR($A333),MONTH($A333),1)</f>
        <v/>
      </c>
      <c r="F333" s="55">
        <f>SUMIFS(tblMovement[Tonnes_t],tblMovement[Date],$A333,tblMovement[Is_Ore],1,tblMovement[Source_Type],"Pit")</f>
        <v/>
      </c>
      <c r="G333" s="55">
        <f>IF($B333=$B332,$G332,0)+$F333</f>
        <v/>
      </c>
      <c r="H333" s="55">
        <f>$H332+$F333</f>
        <v/>
      </c>
      <c r="I333" s="55">
        <f>SUMIFS(tblMovement[Ore_oz],tblMovement[Date],$A333,tblMovement[Source_Type],"Pit")</f>
        <v/>
      </c>
      <c r="J333" s="55">
        <f>IF($B333=$B332,$J332,0)+$I333</f>
        <v/>
      </c>
      <c r="K333" s="55">
        <f>$K332+$I333</f>
        <v/>
      </c>
      <c r="L333" s="56">
        <f>IFERROR(IF(($F333)&gt;0,($I333*cfg_TroyOz)/($F333),""),"")</f>
        <v/>
      </c>
      <c r="M333" s="56">
        <f>IFERROR(IF(($G333)&gt;0,($J333*cfg_TroyOz)/($G333),""),"")</f>
        <v/>
      </c>
      <c r="N333" s="56">
        <f>IFERROR(IF(($H333)&gt;0,($K333*cfg_TroyOz)/($H333),""),"")</f>
        <v/>
      </c>
      <c r="O333" s="55">
        <f>SUMIFS(tblMovement[Tonnes_t],tblMovement[Date],$A333,tblMovement[Is_Ore],0,tblMovement[Source_Type],"Pit")</f>
        <v/>
      </c>
      <c r="P333" s="55">
        <f>IF($B333=$B332,$P332,0)+$O333</f>
        <v/>
      </c>
      <c r="Q333" s="55">
        <f>$Q332+$O333</f>
        <v/>
      </c>
      <c r="R333" s="55">
        <f>$F333+$O333</f>
        <v/>
      </c>
      <c r="S333" s="55">
        <f>IF($B333=$B332,$S332,0)+$R333</f>
        <v/>
      </c>
      <c r="T333" s="55">
        <f>$T332+$R333</f>
        <v/>
      </c>
      <c r="U333" s="56">
        <f>IFERROR(IF(($F333)&gt;0,($O333)/($F333),""),"")</f>
        <v/>
      </c>
      <c r="V333" s="56">
        <f>IFERROR(IF(($G333)&gt;0,($P333)/($G333),""),"")</f>
        <v/>
      </c>
      <c r="W333" s="56">
        <f>IFERROR(IF(($H333)&gt;0,($Q333)/($H333),""),"")</f>
        <v/>
      </c>
      <c r="X333" s="55">
        <f>SUMIFS(tblMovement[Tonnes_t],tblMovement[Date],$A333,tblMovement[Source_Type],"Stockpile")</f>
        <v/>
      </c>
      <c r="Y333" s="55">
        <f>IF($B333=$B332,$Y332,0)+$X333</f>
        <v/>
      </c>
      <c r="Z333" s="55">
        <f>$Z332+$X333</f>
        <v/>
      </c>
      <c r="AA333" s="55">
        <f>SUMIFS(tblMiningDaily[Drill_m],tblMiningDaily[Date],$A333)</f>
        <v/>
      </c>
      <c r="AB333" s="55">
        <f>IF($B333=$B332,$AB332,0)+$AA333</f>
        <v/>
      </c>
      <c r="AC333" s="55">
        <f>$AC332+$AA333</f>
        <v/>
      </c>
      <c r="AD333" s="55">
        <f>SUMIFS(tblMiningDaily[Blast_t],tblMiningDaily[Date],$A333)</f>
        <v/>
      </c>
      <c r="AE333" s="55">
        <f>IF($B333=$B332,$AE332,0)+$AD333</f>
        <v/>
      </c>
      <c r="AF333" s="55">
        <f>$AF332+$AD333</f>
        <v/>
      </c>
      <c r="AG333" s="55">
        <f>SUMIFS(tblMiningDaily[Explosives_kg],tblMiningDaily[Date],$A333)</f>
        <v/>
      </c>
      <c r="AH333" s="55">
        <f>IF($B333=$B332,$AH332,0)+$AG333</f>
        <v/>
      </c>
      <c r="AI333" s="55">
        <f>$AI332+$AG333</f>
        <v/>
      </c>
      <c r="AJ333" s="56">
        <f>IFERROR(IF(($AD333)&gt;0,($AG333)/($AD333),""),"")</f>
        <v/>
      </c>
      <c r="AK333" s="56">
        <f>IFERROR(IF(($AE333)&gt;0,($AH333)/($AE333),""),"")</f>
        <v/>
      </c>
      <c r="AL333" s="56">
        <f>IFERROR(IF(($AF333)&gt;0,($AI333)/($AF333),""),"")</f>
        <v/>
      </c>
      <c r="AM333" s="55">
        <f>SUMIFS(tblMiningDaily[Diesel_L],tblMiningDaily[Date],$A333)</f>
        <v/>
      </c>
      <c r="AN333" s="55">
        <f>IF($B333=$B332,$AN332,0)+$AM333</f>
        <v/>
      </c>
      <c r="AO333" s="55">
        <f>$AO332+$AM333</f>
        <v/>
      </c>
      <c r="AP333" s="55">
        <f>SUMIFS(tblMiningDaily[Dewatering_m3],tblMiningDaily[Date],$A333)</f>
        <v/>
      </c>
      <c r="AQ333" s="55">
        <f>IF($B333=$B332,$AQ332,0)+$AP333</f>
        <v/>
      </c>
      <c r="AR333" s="55">
        <f>$AR332+$AP333</f>
        <v/>
      </c>
      <c r="AS333" s="57">
        <f>SUMIFS(tblFleet[Calendar_h],tblFleet[Date],$A333,tblFleet[Equipment_Class],"Excavator")</f>
        <v/>
      </c>
      <c r="AT333" s="57">
        <f>IF($B333=$B332,$AT332,0)+$AS333</f>
        <v/>
      </c>
      <c r="AU333" s="57">
        <f>$AU332+$AS333</f>
        <v/>
      </c>
      <c r="AV333" s="57">
        <f>SUMIFS(tblFleet[Available_h],tblFleet[Date],$A333,tblFleet[Equipment_Class],"Excavator")</f>
        <v/>
      </c>
      <c r="AW333" s="57">
        <f>IF($B333=$B332,$AW332,0)+$AV333</f>
        <v/>
      </c>
      <c r="AX333" s="57">
        <f>$AX332+$AV333</f>
        <v/>
      </c>
      <c r="AY333" s="57">
        <f>SUMIFS(tblFleet[Operating_h],tblFleet[Date],$A333,tblFleet[Equipment_Class],"Excavator")</f>
        <v/>
      </c>
      <c r="AZ333" s="57">
        <f>IF($B333=$B332,$AZ332,0)+$AY333</f>
        <v/>
      </c>
      <c r="BA333" s="57">
        <f>$BA332+$AY333</f>
        <v/>
      </c>
      <c r="BB333" s="67">
        <f>IFERROR(IF(($AS333)&gt;0,($AV333)/($AS333),""),"")</f>
        <v/>
      </c>
      <c r="BC333" s="67">
        <f>IFERROR(IF(($AT333)&gt;0,($AW333)/($AT333),""),"")</f>
        <v/>
      </c>
      <c r="BD333" s="67">
        <f>IFERROR(IF(($AU333)&gt;0,($AX333)/($AU333),""),"")</f>
        <v/>
      </c>
      <c r="BE333" s="67">
        <f>IFERROR(IF(($AV333)&gt;0,($AY333)/($AV333),""),"")</f>
        <v/>
      </c>
      <c r="BF333" s="67">
        <f>IFERROR(IF(($AW333)&gt;0,($AZ333)/($AW333),""),"")</f>
        <v/>
      </c>
      <c r="BG333" s="67">
        <f>IFERROR(IF(($AX333)&gt;0,($BA333)/($AX333),""),"")</f>
        <v/>
      </c>
      <c r="BH333" s="57">
        <f>SUMIFS(tblFleet[Calendar_h],tblFleet[Date],$A333,tblFleet[Equipment_Class],"Haul Truck")</f>
        <v/>
      </c>
      <c r="BI333" s="57">
        <f>IF($B333=$B332,$BI332,0)+$BH333</f>
        <v/>
      </c>
      <c r="BJ333" s="57">
        <f>$BJ332+$BH333</f>
        <v/>
      </c>
      <c r="BK333" s="57">
        <f>SUMIFS(tblFleet[Available_h],tblFleet[Date],$A333,tblFleet[Equipment_Class],"Haul Truck")</f>
        <v/>
      </c>
      <c r="BL333" s="57">
        <f>IF($B333=$B332,$BL332,0)+$BK333</f>
        <v/>
      </c>
      <c r="BM333" s="57">
        <f>$BM332+$BK333</f>
        <v/>
      </c>
      <c r="BN333" s="57">
        <f>SUMIFS(tblFleet[Operating_h],tblFleet[Date],$A333,tblFleet[Equipment_Class],"Haul Truck")</f>
        <v/>
      </c>
      <c r="BO333" s="57">
        <f>IF($B333=$B332,$BO332,0)+$BN333</f>
        <v/>
      </c>
      <c r="BP333" s="57">
        <f>$BP332+$BN333</f>
        <v/>
      </c>
      <c r="BQ333" s="67">
        <f>IFERROR(IF(($BH333)&gt;0,($BK333)/($BH333),""),"")</f>
        <v/>
      </c>
      <c r="BR333" s="67">
        <f>IFERROR(IF(($BI333)&gt;0,($BL333)/($BI333),""),"")</f>
        <v/>
      </c>
      <c r="BS333" s="67">
        <f>IFERROR(IF(($BJ333)&gt;0,($BM333)/($BJ333),""),"")</f>
        <v/>
      </c>
      <c r="BT333" s="67">
        <f>IFERROR(IF(($BK333)&gt;0,($BN333)/($BK333),""),"")</f>
        <v/>
      </c>
      <c r="BU333" s="67">
        <f>IFERROR(IF(($BL333)&gt;0,($BO333)/($BL333),""),"")</f>
        <v/>
      </c>
      <c r="BV333" s="67">
        <f>IFERROR(IF(($BM333)&gt;0,($BP333)/($BM333),""),"")</f>
        <v/>
      </c>
      <c r="BW333" s="55">
        <f>SUMIFS(tblPlant[Crushed_t],tblPlant[Date],$A333)</f>
        <v/>
      </c>
      <c r="BX333" s="55">
        <f>IF($B333=$B332,$BX332,0)+$BW333</f>
        <v/>
      </c>
      <c r="BY333" s="55">
        <f>$BY332+$BW333</f>
        <v/>
      </c>
      <c r="BZ333" s="55">
        <f>SUMIFS(tblPlant[Milled_t],tblPlant[Date],$A333)</f>
        <v/>
      </c>
      <c r="CA333" s="55">
        <f>IF($B333=$B332,$CA332,0)+$BZ333</f>
        <v/>
      </c>
      <c r="CB333" s="55">
        <f>$CB332+$BZ333</f>
        <v/>
      </c>
      <c r="CC333" s="55">
        <f>SUMIFS(tblPlant[Feed_oz],tblPlant[Date],$A333)</f>
        <v/>
      </c>
      <c r="CD333" s="55">
        <f>IF($B333=$B332,$CD332,0)+$CC333</f>
        <v/>
      </c>
      <c r="CE333" s="55">
        <f>$CE332+$CC333</f>
        <v/>
      </c>
      <c r="CF333" s="55">
        <f>SUMIFS(tblPlant[Tails_oz],tblPlant[Date],$A333)</f>
        <v/>
      </c>
      <c r="CG333" s="55">
        <f>IF($B333=$B332,$CG332,0)+$CF333</f>
        <v/>
      </c>
      <c r="CH333" s="55">
        <f>$CH332+$CF333</f>
        <v/>
      </c>
      <c r="CI333" s="55">
        <f>SUMIFS(tblPlant[Recovered_oz],tblPlant[Date],$A333)</f>
        <v/>
      </c>
      <c r="CJ333" s="55">
        <f>IF($B333=$B332,$CJ332,0)+$CI333</f>
        <v/>
      </c>
      <c r="CK333" s="55">
        <f>$CK332+$CI333</f>
        <v/>
      </c>
      <c r="CL333" s="56">
        <f>IFERROR(IF(($BZ333)&gt;0,($CC333*cfg_TroyOz)/($BZ333),""),"")</f>
        <v/>
      </c>
      <c r="CM333" s="56">
        <f>IFERROR(IF(($CA333)&gt;0,($CD333*cfg_TroyOz)/($CA333),""),"")</f>
        <v/>
      </c>
      <c r="CN333" s="56">
        <f>IFERROR(IF(($CB333)&gt;0,($CE333*cfg_TroyOz)/($CB333),""),"")</f>
        <v/>
      </c>
      <c r="CO333" s="56">
        <f>IFERROR(IF(($BZ333)&gt;0,($CF333*cfg_TroyOz)/($BZ333),""),"")</f>
        <v/>
      </c>
      <c r="CP333" s="56">
        <f>IFERROR(IF(($CA333)&gt;0,($CG333*cfg_TroyOz)/($CA333),""),"")</f>
        <v/>
      </c>
      <c r="CQ333" s="56">
        <f>IFERROR(IF(($CB333)&gt;0,($CH333*cfg_TroyOz)/($CB333),""),"")</f>
        <v/>
      </c>
      <c r="CR333" s="67">
        <f>IFERROR(IF(($CC333)&gt;0,($CI333)/($CC333),""),"")</f>
        <v/>
      </c>
      <c r="CS333" s="67">
        <f>IFERROR(IF(($CD333)&gt;0,($CJ333)/($CD333),""),"")</f>
        <v/>
      </c>
      <c r="CT333" s="67">
        <f>IFERROR(IF(($CE333)&gt;0,($CK333)/($CE333),""),"")</f>
        <v/>
      </c>
      <c r="CU333" s="55">
        <f>SUMIFS(tblPlant[Gravity_Gold_oz],tblPlant[Date],$A333)</f>
        <v/>
      </c>
      <c r="CV333" s="55">
        <f>IF($B333=$B332,$CV332,0)+$CU333</f>
        <v/>
      </c>
      <c r="CW333" s="55">
        <f>$CW332+$CU333</f>
        <v/>
      </c>
      <c r="CX333" s="55">
        <f>SUMIFS(tblPlant[Gold_Poured_oz],tblPlant[Date],$A333)</f>
        <v/>
      </c>
      <c r="CY333" s="55">
        <f>IF($B333=$B332,$CY332,0)+$CX333</f>
        <v/>
      </c>
      <c r="CZ333" s="55">
        <f>$CZ332+$CX333</f>
        <v/>
      </c>
      <c r="DA333" s="57">
        <f>SUMIFS(tblPlant[Mill_Run_h],tblPlant[Date],$A333)</f>
        <v/>
      </c>
      <c r="DB333" s="57">
        <f>IF($B333=$B332,$DB332,0)+$DA333</f>
        <v/>
      </c>
      <c r="DC333" s="57">
        <f>$DC332+$DA333</f>
        <v/>
      </c>
      <c r="DD333" s="57">
        <f>SUMIFS(tblPlant[Mill_Planned_Maint_h],tblPlant[Date],$A333)</f>
        <v/>
      </c>
      <c r="DE333" s="57">
        <f>IF($B333=$B332,$DE332,0)+$DD333</f>
        <v/>
      </c>
      <c r="DF333" s="57">
        <f>$DF332+$DD333</f>
        <v/>
      </c>
      <c r="DG333" s="57">
        <f>SUMIFS(tblPlant[Mill_Unplanned_Down_h],tblPlant[Date],$A333)</f>
        <v/>
      </c>
      <c r="DH333" s="57">
        <f>IF($B333=$B332,$DH332,0)+$DG333</f>
        <v/>
      </c>
      <c r="DI333" s="57">
        <f>$DI332+$DG333</f>
        <v/>
      </c>
      <c r="DJ333" s="57">
        <f>COUNTIFS(tblPlant[Date],$A333,tblPlant[Mill_Run_h],"&lt;&gt;")*24</f>
        <v/>
      </c>
      <c r="DK333" s="57">
        <f>IF($B333=$B332,$DK332,0)+$DJ333</f>
        <v/>
      </c>
      <c r="DL333" s="57">
        <f>$DL332+$DJ333</f>
        <v/>
      </c>
      <c r="DM333" s="57">
        <f>SUMIFS(tblPlant[Crusher_Run_h],tblPlant[Date],$A333)</f>
        <v/>
      </c>
      <c r="DN333" s="57">
        <f>IF($B333=$B332,$DN332,0)+$DM333</f>
        <v/>
      </c>
      <c r="DO333" s="57">
        <f>$DO332+$DM333</f>
        <v/>
      </c>
      <c r="DP333" s="55">
        <f>IFERROR(IF(($DA333)&gt;0,($BZ333)/($DA333),""),"")</f>
        <v/>
      </c>
      <c r="DQ333" s="55">
        <f>IFERROR(IF(($DB333)&gt;0,($CA333)/($DB333),""),"")</f>
        <v/>
      </c>
      <c r="DR333" s="55">
        <f>IFERROR(IF(($DC333)&gt;0,($CB333)/($DC333),""),"")</f>
        <v/>
      </c>
      <c r="DS333" s="67">
        <f>IFERROR(IF(($DJ333)&gt;0,($DJ333-$DD333-$DG333)/($DJ333),""),"")</f>
        <v/>
      </c>
      <c r="DT333" s="67">
        <f>IFERROR(IF(($DK333)&gt;0,($DK333-$DE333-$DH333)/($DK333),""),"")</f>
        <v/>
      </c>
      <c r="DU333" s="67">
        <f>IFERROR(IF(($DL333)&gt;0,($DL333-$DF333-$DI333)/($DL333),""),"")</f>
        <v/>
      </c>
      <c r="DV333" s="67">
        <f>IFERROR(IF(($DJ333-$DD333-$DG333)&gt;0,($DA333)/($DJ333-$DD333-$DG333),""),"")</f>
        <v/>
      </c>
      <c r="DW333" s="67">
        <f>IFERROR(IF(($DK333-$DE333-$DH333)&gt;0,($DB333)/($DK333-$DE333-$DH333),""),"")</f>
        <v/>
      </c>
      <c r="DX333" s="67">
        <f>IFERROR(IF(($DL333-$DF333-$DI333)&gt;0,($DC333)/($DL333-$DF333-$DI333),""),"")</f>
        <v/>
      </c>
      <c r="DY333" s="55">
        <f>SUMIFS(tblPlant[Cyanide_kg],tblPlant[Date],$A333)</f>
        <v/>
      </c>
      <c r="DZ333" s="55">
        <f>IF($B333=$B332,$DZ332,0)+$DY333</f>
        <v/>
      </c>
      <c r="EA333" s="55">
        <f>$EA332+$DY333</f>
        <v/>
      </c>
      <c r="EB333" s="55">
        <f>SUMIFS(tblPlant[Lime_kg],tblPlant[Date],$A333)</f>
        <v/>
      </c>
      <c r="EC333" s="55">
        <f>IF($B333=$B332,$EC332,0)+$EB333</f>
        <v/>
      </c>
      <c r="ED333" s="55">
        <f>$ED332+$EB333</f>
        <v/>
      </c>
      <c r="EE333" s="55">
        <f>SUMIFS(tblPlant[Grinding_Media_kg],tblPlant[Date],$A333)</f>
        <v/>
      </c>
      <c r="EF333" s="55">
        <f>IF($B333=$B332,$EF332,0)+$EE333</f>
        <v/>
      </c>
      <c r="EG333" s="55">
        <f>$EG332+$EE333</f>
        <v/>
      </c>
      <c r="EH333" s="55">
        <f>SUMIFS(tblPlant[Power_kWh],tblPlant[Date],$A333)</f>
        <v/>
      </c>
      <c r="EI333" s="55">
        <f>IF($B333=$B332,$EI332,0)+$EH333</f>
        <v/>
      </c>
      <c r="EJ333" s="55">
        <f>$EJ332+$EH333</f>
        <v/>
      </c>
      <c r="EK333" s="55">
        <f>SUMIFS(tblPlant[Raw_Water_m3],tblPlant[Date],$A333)</f>
        <v/>
      </c>
      <c r="EL333" s="55">
        <f>IF($B333=$B332,$EL332,0)+$EK333</f>
        <v/>
      </c>
      <c r="EM333" s="55">
        <f>$EM332+$EK333</f>
        <v/>
      </c>
      <c r="EN333" s="56">
        <f>IFERROR(IF(($BZ333)&gt;0,($DY333)/($BZ333),""),"")</f>
        <v/>
      </c>
      <c r="EO333" s="56">
        <f>IFERROR(IF(($CA333)&gt;0,($DZ333)/($CA333),""),"")</f>
        <v/>
      </c>
      <c r="EP333" s="56">
        <f>IFERROR(IF(($CB333)&gt;0,($EA333)/($CB333),""),"")</f>
        <v/>
      </c>
      <c r="EQ333" s="56">
        <f>IFERROR(IF(($BZ333)&gt;0,($EB333)/($BZ333),""),"")</f>
        <v/>
      </c>
      <c r="ER333" s="56">
        <f>IFERROR(IF(($CA333)&gt;0,($EC333)/($CA333),""),"")</f>
        <v/>
      </c>
      <c r="ES333" s="56">
        <f>IFERROR(IF(($CB333)&gt;0,($ED333)/($CB333),""),"")</f>
        <v/>
      </c>
      <c r="ET333" s="56">
        <f>IFERROR(IF(($BZ333)&gt;0,($EE333)/($BZ333),""),"")</f>
        <v/>
      </c>
      <c r="EU333" s="56">
        <f>IFERROR(IF(($CA333)&gt;0,($EF333)/($CA333),""),"")</f>
        <v/>
      </c>
      <c r="EV333" s="56">
        <f>IFERROR(IF(($CB333)&gt;0,($EG333)/($CB333),""),"")</f>
        <v/>
      </c>
      <c r="EW333" s="76">
        <f>IFERROR(IF(($BZ333)&gt;0,($EH333)/($BZ333),""),"")</f>
        <v/>
      </c>
      <c r="EX333" s="76">
        <f>IFERROR(IF(($CA333)&gt;0,($EI333)/($CA333),""),"")</f>
        <v/>
      </c>
      <c r="EY333" s="76">
        <f>IFERROR(IF(($CB333)&gt;0,($EJ333)/($CB333),""),"")</f>
        <v/>
      </c>
      <c r="EZ333" s="56">
        <f>IFERROR(IF(($BZ333)&gt;0,($EK333)/($BZ333),""),"")</f>
        <v/>
      </c>
      <c r="FA333" s="56">
        <f>IFERROR(IF(($CA333)&gt;0,($EL333)/($CA333),""),"")</f>
        <v/>
      </c>
      <c r="FB333" s="56">
        <f>IFERROR(IF(($CB333)&gt;0,($EM333)/($CB333),""),"")</f>
        <v/>
      </c>
      <c r="FC333" s="55">
        <f>IF(SUMIFS(tblPlant[GIC_oz],tblPlant[Date],$A333)&gt;0,SUMIFS(tblPlant[GIC_oz],tblPlant[Date],$A333),"")</f>
        <v/>
      </c>
      <c r="FD333" s="55">
        <f>SUMIFS(tblGold[Gold_oz],tblGold[Date],$A333,tblGold[Type],"Shipment")</f>
        <v/>
      </c>
      <c r="FE333" s="55">
        <f>IF($B333=$B332,$FE332,0)+$FD333</f>
        <v/>
      </c>
      <c r="FF333" s="55">
        <f>$FF332+$FD333</f>
        <v/>
      </c>
      <c r="FG333" s="55">
        <f>SUMIFS(tblGold[Gold_oz],tblGold[Date],$A333,tblGold[Type],"Sale")</f>
        <v/>
      </c>
      <c r="FH333" s="55">
        <f>IF($B333=$B332,$FH332,0)+$FG333</f>
        <v/>
      </c>
      <c r="FI333" s="55">
        <f>$FI332+$FG333</f>
        <v/>
      </c>
      <c r="FJ333" s="55">
        <f>SUMIFS(tblGold[Dore_kg],tblGold[Date],$A333,tblGold[Type],"Shipment")</f>
        <v/>
      </c>
      <c r="FK333" s="55">
        <f>IF($B333=$B332,$FK332,0)+$FJ333</f>
        <v/>
      </c>
      <c r="FL333" s="55">
        <f>$FL332+$FJ333</f>
        <v/>
      </c>
      <c r="FM333" s="57">
        <f>SUMIFS(tblSafety[Hours_Total],tblSafety[Date],$A333)</f>
        <v/>
      </c>
      <c r="FN333" s="57">
        <f>IF($B333=$B332,$FN332,0)+$FM333</f>
        <v/>
      </c>
      <c r="FO333" s="57">
        <f>$FO332+$FM333</f>
        <v/>
      </c>
      <c r="FP333" s="62">
        <f>SUMIFS(tblSafety[Fatality],tblSafety[Date],$A333)</f>
        <v/>
      </c>
      <c r="FQ333" s="62">
        <f>IF($B333=$B332,$FQ332,0)+$FP333</f>
        <v/>
      </c>
      <c r="FR333" s="62">
        <f>$FR332+$FP333</f>
        <v/>
      </c>
      <c r="FS333" s="62">
        <f>SUMIFS(tblSafety[LTI],tblSafety[Date],$A333)</f>
        <v/>
      </c>
      <c r="FT333" s="62">
        <f>IF($B333=$B332,$FT332,0)+$FS333</f>
        <v/>
      </c>
      <c r="FU333" s="62">
        <f>$FU332+$FS333</f>
        <v/>
      </c>
      <c r="FV333" s="62">
        <f>SUMIFS(tblSafety[RWI],tblSafety[Date],$A333)</f>
        <v/>
      </c>
      <c r="FW333" s="62">
        <f>IF($B333=$B332,$FW332,0)+$FV333</f>
        <v/>
      </c>
      <c r="FX333" s="62">
        <f>$FX332+$FV333</f>
        <v/>
      </c>
      <c r="FY333" s="62">
        <f>SUMIFS(tblSafety[MTI],tblSafety[Date],$A333)</f>
        <v/>
      </c>
      <c r="FZ333" s="62">
        <f>IF($B333=$B332,$FZ332,0)+$FY333</f>
        <v/>
      </c>
      <c r="GA333" s="62">
        <f>$GA332+$FY333</f>
        <v/>
      </c>
      <c r="GB333" s="62">
        <f>SUMIFS(tblSafety[FAI],tblSafety[Date],$A333)</f>
        <v/>
      </c>
      <c r="GC333" s="62">
        <f>IF($B333=$B332,$GC332,0)+$GB333</f>
        <v/>
      </c>
      <c r="GD333" s="62">
        <f>$GD332+$GB333</f>
        <v/>
      </c>
      <c r="GE333" s="62">
        <f>SUMIFS(tblSafety[Recordables],tblSafety[Date],$A333)</f>
        <v/>
      </c>
      <c r="GF333" s="62">
        <f>IF($B333=$B332,$GF332,0)+$GE333</f>
        <v/>
      </c>
      <c r="GG333" s="62">
        <f>$GG332+$GE333</f>
        <v/>
      </c>
      <c r="GH333" s="62">
        <f>SUMIFS(tblSafety[Near_Miss],tblSafety[Date],$A333)</f>
        <v/>
      </c>
      <c r="GI333" s="62">
        <f>IF($B333=$B332,$GI332,0)+$GH333</f>
        <v/>
      </c>
      <c r="GJ333" s="62">
        <f>$GJ332+$GH333</f>
        <v/>
      </c>
      <c r="GK333" s="62">
        <f>SUMIFS(tblSafety[Hazard_Reports],tblSafety[Date],$A333)</f>
        <v/>
      </c>
      <c r="GL333" s="62">
        <f>IF($B333=$B332,$GL332,0)+$GK333</f>
        <v/>
      </c>
      <c r="GM333" s="62">
        <f>$GM332+$GK333</f>
        <v/>
      </c>
      <c r="GN333" s="62">
        <f>SUMIFS(tblSafety[HPI],tblSafety[Date],$A333)</f>
        <v/>
      </c>
      <c r="GO333" s="62">
        <f>IF($B333=$B332,$GO332,0)+$GN333</f>
        <v/>
      </c>
      <c r="GP333" s="62">
        <f>$GP332+$GN333</f>
        <v/>
      </c>
      <c r="GQ333" s="62">
        <f>SUMIFS(tblSafety[Env_Incidents],tblSafety[Date],$A333)</f>
        <v/>
      </c>
      <c r="GR333" s="62">
        <f>IF($B333=$B332,$GR332,0)+$GQ333</f>
        <v/>
      </c>
      <c r="GS333" s="62">
        <f>$GS332+$GQ333</f>
        <v/>
      </c>
      <c r="GT333" s="62">
        <f>SUMIFS(tblSafety[Community_Incidents],tblSafety[Date],$A333)</f>
        <v/>
      </c>
      <c r="GU333" s="62">
        <f>IF($B333=$B332,$GU332,0)+$GT333</f>
        <v/>
      </c>
      <c r="GV333" s="62">
        <f>$GV332+$GT333</f>
        <v/>
      </c>
      <c r="GW333" s="62">
        <f>SUMIFS(tblSafety[Vehicle_Incidents],tblSafety[Date],$A333)</f>
        <v/>
      </c>
      <c r="GX333" s="62">
        <f>IF($B333=$B332,$GX332,0)+$GW333</f>
        <v/>
      </c>
      <c r="GY333" s="62">
        <f>$GY332+$GW333</f>
        <v/>
      </c>
      <c r="GZ333" s="62">
        <f>SUMIFS(tblSafety[Toolbox_Talks],tblSafety[Date],$A333)</f>
        <v/>
      </c>
      <c r="HA333" s="62">
        <f>IF($B333=$B332,$HA332,0)+$GZ333</f>
        <v/>
      </c>
      <c r="HB333" s="62">
        <f>$HB332+$GZ333</f>
        <v/>
      </c>
      <c r="HC333" s="62">
        <f>SUMIFS(tblSafety[Inspections],tblSafety[Date],$A333)</f>
        <v/>
      </c>
      <c r="HD333" s="62">
        <f>IF($B333=$B332,$HD332,0)+$HC333</f>
        <v/>
      </c>
      <c r="HE333" s="62">
        <f>$HE332+$HC333</f>
        <v/>
      </c>
      <c r="HF333" s="56">
        <f>IFERROR((SUMIFS(tblSafety[Recordables],tblSafety[Date],"&gt;="&amp;EDATE($E333,-12),tblSafety[Date],"&lt;="&amp;$A333)+SUMIFS(tblSafetyHistory[Recordables],tblSafetyHistory[Month],"&gt;="&amp;EDATE($E333,-12),tblSafetyHistory[Month],"&lt;"&amp;cfg_YearStart))/(SUMIFS(tblSafety[Hours_Total],tblSafety[Date],"&gt;="&amp;EDATE($E333,-12),tblSafety[Date],"&lt;="&amp;$A333)+SUMIFS(tblSafetyHistory[Hours_Total],tblSafetyHistory[Month],"&gt;="&amp;EDATE($E333,-12),tblSafetyHistory[Month],"&lt;"&amp;cfg_YearStart))*1000000,"")</f>
        <v/>
      </c>
      <c r="HG333" s="56">
        <f>IFERROR((SUMIFS(tblSafety[LTI],tblSafety[Date],"&gt;="&amp;EDATE($E333,-12),tblSafety[Date],"&lt;="&amp;$A333)+SUMIFS(tblSafetyHistory[LTI],tblSafetyHistory[Month],"&gt;="&amp;EDATE($E333,-12),tblSafetyHistory[Month],"&lt;"&amp;cfg_YearStart))/(SUMIFS(tblSafety[Hours_Total],tblSafety[Date],"&gt;="&amp;EDATE($E333,-12),tblSafety[Date],"&lt;="&amp;$A333)+SUMIFS(tblSafetyHistory[Hours_Total],tblSafetyHistory[Month],"&gt;="&amp;EDATE($E333,-12),tblSafetyHistory[Month],"&lt;"&amp;cfg_YearStart))*1000000,"")</f>
        <v/>
      </c>
      <c r="HH333" s="62">
        <f>IF(MAX(N(cfg_PriorLTIDate),_xlfn.MAXIFS(tblSafety[Date],tblSafety[LTI],"&gt;0",tblSafety[Date],"&lt;="&amp;$A333))=0,"",$A333-MAX(N(cfg_PriorLTIDate),_xlfn.MAXIFS(tblSafety[Date],tblSafety[LTI],"&gt;0",tblSafety[Date],"&lt;="&amp;$A333)))</f>
        <v/>
      </c>
      <c r="HI333" s="55">
        <f>SUMIFS(tblBudget[Ore_Mined_t],tblBudget[Month],$E333)</f>
        <v/>
      </c>
      <c r="HJ333" s="55">
        <f>$HI333*$C333/$D333</f>
        <v/>
      </c>
      <c r="HK333" s="55">
        <f>SUMIFS(tblBudget[Ore_Mined_t],tblBudget[Month],"&lt;"&amp;$E333)+$HJ333</f>
        <v/>
      </c>
      <c r="HL333" s="55">
        <f>SUMIFS(tblBudget[Ore_oz],tblBudget[Month],$E333)</f>
        <v/>
      </c>
      <c r="HM333" s="55">
        <f>$HL333*$C333/$D333</f>
        <v/>
      </c>
      <c r="HN333" s="55">
        <f>SUMIFS(tblBudget[Ore_oz],tblBudget[Month],"&lt;"&amp;$E333)+$HM333</f>
        <v/>
      </c>
      <c r="HO333" s="56">
        <f>IFERROR(IF(($HI333)&gt;0,($HL333*cfg_TroyOz)/($HI333),""),"")</f>
        <v/>
      </c>
      <c r="HP333" s="56">
        <f>IFERROR(IF(($HJ333)&gt;0,($HM333*cfg_TroyOz)/($HJ333),""),"")</f>
        <v/>
      </c>
      <c r="HQ333" s="56">
        <f>IFERROR(IF(($HK333)&gt;0,($HN333*cfg_TroyOz)/($HK333),""),"")</f>
        <v/>
      </c>
      <c r="HR333" s="55">
        <f>SUMIFS(tblBudget[Waste_t],tblBudget[Month],$E333)</f>
        <v/>
      </c>
      <c r="HS333" s="55">
        <f>$HR333*$C333/$D333</f>
        <v/>
      </c>
      <c r="HT333" s="55">
        <f>SUMIFS(tblBudget[Waste_t],tblBudget[Month],"&lt;"&amp;$E333)+$HS333</f>
        <v/>
      </c>
      <c r="HU333" s="55">
        <f>SUMIFS(tblBudget[TMM_t],tblBudget[Month],$E333)</f>
        <v/>
      </c>
      <c r="HV333" s="55">
        <f>$HU333*$C333/$D333</f>
        <v/>
      </c>
      <c r="HW333" s="55">
        <f>SUMIFS(tblBudget[TMM_t],tblBudget[Month],"&lt;"&amp;$E333)+$HV333</f>
        <v/>
      </c>
      <c r="HX333" s="56">
        <f>IFERROR(IF(($HI333)&gt;0,($HR333)/($HI333),""),"")</f>
        <v/>
      </c>
      <c r="HY333" s="56">
        <f>IFERROR(IF(($HJ333)&gt;0,($HS333)/($HJ333),""),"")</f>
        <v/>
      </c>
      <c r="HZ333" s="56">
        <f>IFERROR(IF(($HK333)&gt;0,($HT333)/($HK333),""),"")</f>
        <v/>
      </c>
      <c r="IA333" s="55">
        <f>SUMIFS(tblBudget[Drill_m],tblBudget[Month],$E333)</f>
        <v/>
      </c>
      <c r="IB333" s="55">
        <f>$IA333*$C333/$D333</f>
        <v/>
      </c>
      <c r="IC333" s="55">
        <f>SUMIFS(tblBudget[Drill_m],tblBudget[Month],"&lt;"&amp;$E333)+$IB333</f>
        <v/>
      </c>
      <c r="ID333" s="55">
        <f>SUMIFS(tblBudget[Diesel_L],tblBudget[Month],$E333)</f>
        <v/>
      </c>
      <c r="IE333" s="55">
        <f>$ID333*$C333/$D333</f>
        <v/>
      </c>
      <c r="IF333" s="55">
        <f>SUMIFS(tblBudget[Diesel_L],tblBudget[Month],"&lt;"&amp;$E333)+$IE333</f>
        <v/>
      </c>
      <c r="IG333" s="55">
        <f>SUMIFS(tblBudget[Milled_t],tblBudget[Month],$E333)</f>
        <v/>
      </c>
      <c r="IH333" s="55">
        <f>$IG333*$C333/$D333</f>
        <v/>
      </c>
      <c r="II333" s="55">
        <f>SUMIFS(tblBudget[Milled_t],tblBudget[Month],"&lt;"&amp;$E333)+$IH333</f>
        <v/>
      </c>
      <c r="IJ333" s="55">
        <f>SUMIFS(tblBudget[Feed_oz],tblBudget[Month],$E333)</f>
        <v/>
      </c>
      <c r="IK333" s="55">
        <f>$IJ333*$C333/$D333</f>
        <v/>
      </c>
      <c r="IL333" s="55">
        <f>SUMIFS(tblBudget[Feed_oz],tblBudget[Month],"&lt;"&amp;$E333)+$IK333</f>
        <v/>
      </c>
      <c r="IM333" s="55">
        <f>SUMIFS(tblBudget[Recovered_oz],tblBudget[Month],$E333)</f>
        <v/>
      </c>
      <c r="IN333" s="55">
        <f>$IM333*$C333/$D333</f>
        <v/>
      </c>
      <c r="IO333" s="55">
        <f>SUMIFS(tblBudget[Recovered_oz],tblBudget[Month],"&lt;"&amp;$E333)+$IN333</f>
        <v/>
      </c>
      <c r="IP333" s="56">
        <f>IFERROR(IF(($IG333)&gt;0,($IJ333*cfg_TroyOz)/($IG333),""),"")</f>
        <v/>
      </c>
      <c r="IQ333" s="56">
        <f>IFERROR(IF(($IH333)&gt;0,($IK333*cfg_TroyOz)/($IH333),""),"")</f>
        <v/>
      </c>
      <c r="IR333" s="56">
        <f>IFERROR(IF(($II333)&gt;0,($IL333*cfg_TroyOz)/($II333),""),"")</f>
        <v/>
      </c>
      <c r="IS333" s="67">
        <f>IFERROR(IF(($IJ333)&gt;0,($IM333)/($IJ333),""),"")</f>
        <v/>
      </c>
      <c r="IT333" s="67">
        <f>IFERROR(IF(($IK333)&gt;0,($IN333)/($IK333),""),"")</f>
        <v/>
      </c>
      <c r="IU333" s="67">
        <f>IFERROR(IF(($IL333)&gt;0,($IO333)/($IL333),""),"")</f>
        <v/>
      </c>
      <c r="IV333" s="55">
        <f>SUMIFS(tblBudget[Gold_Poured_oz],tblBudget[Month],$E333)</f>
        <v/>
      </c>
      <c r="IW333" s="55">
        <f>$IV333*$C333/$D333</f>
        <v/>
      </c>
      <c r="IX333" s="55">
        <f>SUMIFS(tblBudget[Gold_Poured_oz],tblBudget[Month],"&lt;"&amp;$E333)+$IW333</f>
        <v/>
      </c>
      <c r="IY333" s="57">
        <f>SUMIFS(tblBudget[Hours_Worked],tblBudget[Month],$E333)</f>
        <v/>
      </c>
      <c r="IZ333" s="57">
        <f>$IY333*$C333/$D333</f>
        <v/>
      </c>
      <c r="JA333" s="57">
        <f>SUMIFS(tblBudget[Hours_Worked],tblBudget[Month],"&lt;"&amp;$E333)+$IZ333</f>
        <v/>
      </c>
    </row>
    <row r="334">
      <c r="A334" s="54" t="n">
        <v>46355</v>
      </c>
      <c r="B334">
        <f>MONTH($A334)</f>
        <v/>
      </c>
      <c r="C334">
        <f>DAY($A334)</f>
        <v/>
      </c>
      <c r="D334">
        <f>DAY(EOMONTH($A334,0))</f>
        <v/>
      </c>
      <c r="E334" s="54">
        <f>DATE(YEAR($A334),MONTH($A334),1)</f>
        <v/>
      </c>
      <c r="F334" s="55">
        <f>SUMIFS(tblMovement[Tonnes_t],tblMovement[Date],$A334,tblMovement[Is_Ore],1,tblMovement[Source_Type],"Pit")</f>
        <v/>
      </c>
      <c r="G334" s="55">
        <f>IF($B334=$B333,$G333,0)+$F334</f>
        <v/>
      </c>
      <c r="H334" s="55">
        <f>$H333+$F334</f>
        <v/>
      </c>
      <c r="I334" s="55">
        <f>SUMIFS(tblMovement[Ore_oz],tblMovement[Date],$A334,tblMovement[Source_Type],"Pit")</f>
        <v/>
      </c>
      <c r="J334" s="55">
        <f>IF($B334=$B333,$J333,0)+$I334</f>
        <v/>
      </c>
      <c r="K334" s="55">
        <f>$K333+$I334</f>
        <v/>
      </c>
      <c r="L334" s="56">
        <f>IFERROR(IF(($F334)&gt;0,($I334*cfg_TroyOz)/($F334),""),"")</f>
        <v/>
      </c>
      <c r="M334" s="56">
        <f>IFERROR(IF(($G334)&gt;0,($J334*cfg_TroyOz)/($G334),""),"")</f>
        <v/>
      </c>
      <c r="N334" s="56">
        <f>IFERROR(IF(($H334)&gt;0,($K334*cfg_TroyOz)/($H334),""),"")</f>
        <v/>
      </c>
      <c r="O334" s="55">
        <f>SUMIFS(tblMovement[Tonnes_t],tblMovement[Date],$A334,tblMovement[Is_Ore],0,tblMovement[Source_Type],"Pit")</f>
        <v/>
      </c>
      <c r="P334" s="55">
        <f>IF($B334=$B333,$P333,0)+$O334</f>
        <v/>
      </c>
      <c r="Q334" s="55">
        <f>$Q333+$O334</f>
        <v/>
      </c>
      <c r="R334" s="55">
        <f>$F334+$O334</f>
        <v/>
      </c>
      <c r="S334" s="55">
        <f>IF($B334=$B333,$S333,0)+$R334</f>
        <v/>
      </c>
      <c r="T334" s="55">
        <f>$T333+$R334</f>
        <v/>
      </c>
      <c r="U334" s="56">
        <f>IFERROR(IF(($F334)&gt;0,($O334)/($F334),""),"")</f>
        <v/>
      </c>
      <c r="V334" s="56">
        <f>IFERROR(IF(($G334)&gt;0,($P334)/($G334),""),"")</f>
        <v/>
      </c>
      <c r="W334" s="56">
        <f>IFERROR(IF(($H334)&gt;0,($Q334)/($H334),""),"")</f>
        <v/>
      </c>
      <c r="X334" s="55">
        <f>SUMIFS(tblMovement[Tonnes_t],tblMovement[Date],$A334,tblMovement[Source_Type],"Stockpile")</f>
        <v/>
      </c>
      <c r="Y334" s="55">
        <f>IF($B334=$B333,$Y333,0)+$X334</f>
        <v/>
      </c>
      <c r="Z334" s="55">
        <f>$Z333+$X334</f>
        <v/>
      </c>
      <c r="AA334" s="55">
        <f>SUMIFS(tblMiningDaily[Drill_m],tblMiningDaily[Date],$A334)</f>
        <v/>
      </c>
      <c r="AB334" s="55">
        <f>IF($B334=$B333,$AB333,0)+$AA334</f>
        <v/>
      </c>
      <c r="AC334" s="55">
        <f>$AC333+$AA334</f>
        <v/>
      </c>
      <c r="AD334" s="55">
        <f>SUMIFS(tblMiningDaily[Blast_t],tblMiningDaily[Date],$A334)</f>
        <v/>
      </c>
      <c r="AE334" s="55">
        <f>IF($B334=$B333,$AE333,0)+$AD334</f>
        <v/>
      </c>
      <c r="AF334" s="55">
        <f>$AF333+$AD334</f>
        <v/>
      </c>
      <c r="AG334" s="55">
        <f>SUMIFS(tblMiningDaily[Explosives_kg],tblMiningDaily[Date],$A334)</f>
        <v/>
      </c>
      <c r="AH334" s="55">
        <f>IF($B334=$B333,$AH333,0)+$AG334</f>
        <v/>
      </c>
      <c r="AI334" s="55">
        <f>$AI333+$AG334</f>
        <v/>
      </c>
      <c r="AJ334" s="56">
        <f>IFERROR(IF(($AD334)&gt;0,($AG334)/($AD334),""),"")</f>
        <v/>
      </c>
      <c r="AK334" s="56">
        <f>IFERROR(IF(($AE334)&gt;0,($AH334)/($AE334),""),"")</f>
        <v/>
      </c>
      <c r="AL334" s="56">
        <f>IFERROR(IF(($AF334)&gt;0,($AI334)/($AF334),""),"")</f>
        <v/>
      </c>
      <c r="AM334" s="55">
        <f>SUMIFS(tblMiningDaily[Diesel_L],tblMiningDaily[Date],$A334)</f>
        <v/>
      </c>
      <c r="AN334" s="55">
        <f>IF($B334=$B333,$AN333,0)+$AM334</f>
        <v/>
      </c>
      <c r="AO334" s="55">
        <f>$AO333+$AM334</f>
        <v/>
      </c>
      <c r="AP334" s="55">
        <f>SUMIFS(tblMiningDaily[Dewatering_m3],tblMiningDaily[Date],$A334)</f>
        <v/>
      </c>
      <c r="AQ334" s="55">
        <f>IF($B334=$B333,$AQ333,0)+$AP334</f>
        <v/>
      </c>
      <c r="AR334" s="55">
        <f>$AR333+$AP334</f>
        <v/>
      </c>
      <c r="AS334" s="57">
        <f>SUMIFS(tblFleet[Calendar_h],tblFleet[Date],$A334,tblFleet[Equipment_Class],"Excavator")</f>
        <v/>
      </c>
      <c r="AT334" s="57">
        <f>IF($B334=$B333,$AT333,0)+$AS334</f>
        <v/>
      </c>
      <c r="AU334" s="57">
        <f>$AU333+$AS334</f>
        <v/>
      </c>
      <c r="AV334" s="57">
        <f>SUMIFS(tblFleet[Available_h],tblFleet[Date],$A334,tblFleet[Equipment_Class],"Excavator")</f>
        <v/>
      </c>
      <c r="AW334" s="57">
        <f>IF($B334=$B333,$AW333,0)+$AV334</f>
        <v/>
      </c>
      <c r="AX334" s="57">
        <f>$AX333+$AV334</f>
        <v/>
      </c>
      <c r="AY334" s="57">
        <f>SUMIFS(tblFleet[Operating_h],tblFleet[Date],$A334,tblFleet[Equipment_Class],"Excavator")</f>
        <v/>
      </c>
      <c r="AZ334" s="57">
        <f>IF($B334=$B333,$AZ333,0)+$AY334</f>
        <v/>
      </c>
      <c r="BA334" s="57">
        <f>$BA333+$AY334</f>
        <v/>
      </c>
      <c r="BB334" s="67">
        <f>IFERROR(IF(($AS334)&gt;0,($AV334)/($AS334),""),"")</f>
        <v/>
      </c>
      <c r="BC334" s="67">
        <f>IFERROR(IF(($AT334)&gt;0,($AW334)/($AT334),""),"")</f>
        <v/>
      </c>
      <c r="BD334" s="67">
        <f>IFERROR(IF(($AU334)&gt;0,($AX334)/($AU334),""),"")</f>
        <v/>
      </c>
      <c r="BE334" s="67">
        <f>IFERROR(IF(($AV334)&gt;0,($AY334)/($AV334),""),"")</f>
        <v/>
      </c>
      <c r="BF334" s="67">
        <f>IFERROR(IF(($AW334)&gt;0,($AZ334)/($AW334),""),"")</f>
        <v/>
      </c>
      <c r="BG334" s="67">
        <f>IFERROR(IF(($AX334)&gt;0,($BA334)/($AX334),""),"")</f>
        <v/>
      </c>
      <c r="BH334" s="57">
        <f>SUMIFS(tblFleet[Calendar_h],tblFleet[Date],$A334,tblFleet[Equipment_Class],"Haul Truck")</f>
        <v/>
      </c>
      <c r="BI334" s="57">
        <f>IF($B334=$B333,$BI333,0)+$BH334</f>
        <v/>
      </c>
      <c r="BJ334" s="57">
        <f>$BJ333+$BH334</f>
        <v/>
      </c>
      <c r="BK334" s="57">
        <f>SUMIFS(tblFleet[Available_h],tblFleet[Date],$A334,tblFleet[Equipment_Class],"Haul Truck")</f>
        <v/>
      </c>
      <c r="BL334" s="57">
        <f>IF($B334=$B333,$BL333,0)+$BK334</f>
        <v/>
      </c>
      <c r="BM334" s="57">
        <f>$BM333+$BK334</f>
        <v/>
      </c>
      <c r="BN334" s="57">
        <f>SUMIFS(tblFleet[Operating_h],tblFleet[Date],$A334,tblFleet[Equipment_Class],"Haul Truck")</f>
        <v/>
      </c>
      <c r="BO334" s="57">
        <f>IF($B334=$B333,$BO333,0)+$BN334</f>
        <v/>
      </c>
      <c r="BP334" s="57">
        <f>$BP333+$BN334</f>
        <v/>
      </c>
      <c r="BQ334" s="67">
        <f>IFERROR(IF(($BH334)&gt;0,($BK334)/($BH334),""),"")</f>
        <v/>
      </c>
      <c r="BR334" s="67">
        <f>IFERROR(IF(($BI334)&gt;0,($BL334)/($BI334),""),"")</f>
        <v/>
      </c>
      <c r="BS334" s="67">
        <f>IFERROR(IF(($BJ334)&gt;0,($BM334)/($BJ334),""),"")</f>
        <v/>
      </c>
      <c r="BT334" s="67">
        <f>IFERROR(IF(($BK334)&gt;0,($BN334)/($BK334),""),"")</f>
        <v/>
      </c>
      <c r="BU334" s="67">
        <f>IFERROR(IF(($BL334)&gt;0,($BO334)/($BL334),""),"")</f>
        <v/>
      </c>
      <c r="BV334" s="67">
        <f>IFERROR(IF(($BM334)&gt;0,($BP334)/($BM334),""),"")</f>
        <v/>
      </c>
      <c r="BW334" s="55">
        <f>SUMIFS(tblPlant[Crushed_t],tblPlant[Date],$A334)</f>
        <v/>
      </c>
      <c r="BX334" s="55">
        <f>IF($B334=$B333,$BX333,0)+$BW334</f>
        <v/>
      </c>
      <c r="BY334" s="55">
        <f>$BY333+$BW334</f>
        <v/>
      </c>
      <c r="BZ334" s="55">
        <f>SUMIFS(tblPlant[Milled_t],tblPlant[Date],$A334)</f>
        <v/>
      </c>
      <c r="CA334" s="55">
        <f>IF($B334=$B333,$CA333,0)+$BZ334</f>
        <v/>
      </c>
      <c r="CB334" s="55">
        <f>$CB333+$BZ334</f>
        <v/>
      </c>
      <c r="CC334" s="55">
        <f>SUMIFS(tblPlant[Feed_oz],tblPlant[Date],$A334)</f>
        <v/>
      </c>
      <c r="CD334" s="55">
        <f>IF($B334=$B333,$CD333,0)+$CC334</f>
        <v/>
      </c>
      <c r="CE334" s="55">
        <f>$CE333+$CC334</f>
        <v/>
      </c>
      <c r="CF334" s="55">
        <f>SUMIFS(tblPlant[Tails_oz],tblPlant[Date],$A334)</f>
        <v/>
      </c>
      <c r="CG334" s="55">
        <f>IF($B334=$B333,$CG333,0)+$CF334</f>
        <v/>
      </c>
      <c r="CH334" s="55">
        <f>$CH333+$CF334</f>
        <v/>
      </c>
      <c r="CI334" s="55">
        <f>SUMIFS(tblPlant[Recovered_oz],tblPlant[Date],$A334)</f>
        <v/>
      </c>
      <c r="CJ334" s="55">
        <f>IF($B334=$B333,$CJ333,0)+$CI334</f>
        <v/>
      </c>
      <c r="CK334" s="55">
        <f>$CK333+$CI334</f>
        <v/>
      </c>
      <c r="CL334" s="56">
        <f>IFERROR(IF(($BZ334)&gt;0,($CC334*cfg_TroyOz)/($BZ334),""),"")</f>
        <v/>
      </c>
      <c r="CM334" s="56">
        <f>IFERROR(IF(($CA334)&gt;0,($CD334*cfg_TroyOz)/($CA334),""),"")</f>
        <v/>
      </c>
      <c r="CN334" s="56">
        <f>IFERROR(IF(($CB334)&gt;0,($CE334*cfg_TroyOz)/($CB334),""),"")</f>
        <v/>
      </c>
      <c r="CO334" s="56">
        <f>IFERROR(IF(($BZ334)&gt;0,($CF334*cfg_TroyOz)/($BZ334),""),"")</f>
        <v/>
      </c>
      <c r="CP334" s="56">
        <f>IFERROR(IF(($CA334)&gt;0,($CG334*cfg_TroyOz)/($CA334),""),"")</f>
        <v/>
      </c>
      <c r="CQ334" s="56">
        <f>IFERROR(IF(($CB334)&gt;0,($CH334*cfg_TroyOz)/($CB334),""),"")</f>
        <v/>
      </c>
      <c r="CR334" s="67">
        <f>IFERROR(IF(($CC334)&gt;0,($CI334)/($CC334),""),"")</f>
        <v/>
      </c>
      <c r="CS334" s="67">
        <f>IFERROR(IF(($CD334)&gt;0,($CJ334)/($CD334),""),"")</f>
        <v/>
      </c>
      <c r="CT334" s="67">
        <f>IFERROR(IF(($CE334)&gt;0,($CK334)/($CE334),""),"")</f>
        <v/>
      </c>
      <c r="CU334" s="55">
        <f>SUMIFS(tblPlant[Gravity_Gold_oz],tblPlant[Date],$A334)</f>
        <v/>
      </c>
      <c r="CV334" s="55">
        <f>IF($B334=$B333,$CV333,0)+$CU334</f>
        <v/>
      </c>
      <c r="CW334" s="55">
        <f>$CW333+$CU334</f>
        <v/>
      </c>
      <c r="CX334" s="55">
        <f>SUMIFS(tblPlant[Gold_Poured_oz],tblPlant[Date],$A334)</f>
        <v/>
      </c>
      <c r="CY334" s="55">
        <f>IF($B334=$B333,$CY333,0)+$CX334</f>
        <v/>
      </c>
      <c r="CZ334" s="55">
        <f>$CZ333+$CX334</f>
        <v/>
      </c>
      <c r="DA334" s="57">
        <f>SUMIFS(tblPlant[Mill_Run_h],tblPlant[Date],$A334)</f>
        <v/>
      </c>
      <c r="DB334" s="57">
        <f>IF($B334=$B333,$DB333,0)+$DA334</f>
        <v/>
      </c>
      <c r="DC334" s="57">
        <f>$DC333+$DA334</f>
        <v/>
      </c>
      <c r="DD334" s="57">
        <f>SUMIFS(tblPlant[Mill_Planned_Maint_h],tblPlant[Date],$A334)</f>
        <v/>
      </c>
      <c r="DE334" s="57">
        <f>IF($B334=$B333,$DE333,0)+$DD334</f>
        <v/>
      </c>
      <c r="DF334" s="57">
        <f>$DF333+$DD334</f>
        <v/>
      </c>
      <c r="DG334" s="57">
        <f>SUMIFS(tblPlant[Mill_Unplanned_Down_h],tblPlant[Date],$A334)</f>
        <v/>
      </c>
      <c r="DH334" s="57">
        <f>IF($B334=$B333,$DH333,0)+$DG334</f>
        <v/>
      </c>
      <c r="DI334" s="57">
        <f>$DI333+$DG334</f>
        <v/>
      </c>
      <c r="DJ334" s="57">
        <f>COUNTIFS(tblPlant[Date],$A334,tblPlant[Mill_Run_h],"&lt;&gt;")*24</f>
        <v/>
      </c>
      <c r="DK334" s="57">
        <f>IF($B334=$B333,$DK333,0)+$DJ334</f>
        <v/>
      </c>
      <c r="DL334" s="57">
        <f>$DL333+$DJ334</f>
        <v/>
      </c>
      <c r="DM334" s="57">
        <f>SUMIFS(tblPlant[Crusher_Run_h],tblPlant[Date],$A334)</f>
        <v/>
      </c>
      <c r="DN334" s="57">
        <f>IF($B334=$B333,$DN333,0)+$DM334</f>
        <v/>
      </c>
      <c r="DO334" s="57">
        <f>$DO333+$DM334</f>
        <v/>
      </c>
      <c r="DP334" s="55">
        <f>IFERROR(IF(($DA334)&gt;0,($BZ334)/($DA334),""),"")</f>
        <v/>
      </c>
      <c r="DQ334" s="55">
        <f>IFERROR(IF(($DB334)&gt;0,($CA334)/($DB334),""),"")</f>
        <v/>
      </c>
      <c r="DR334" s="55">
        <f>IFERROR(IF(($DC334)&gt;0,($CB334)/($DC334),""),"")</f>
        <v/>
      </c>
      <c r="DS334" s="67">
        <f>IFERROR(IF(($DJ334)&gt;0,($DJ334-$DD334-$DG334)/($DJ334),""),"")</f>
        <v/>
      </c>
      <c r="DT334" s="67">
        <f>IFERROR(IF(($DK334)&gt;0,($DK334-$DE334-$DH334)/($DK334),""),"")</f>
        <v/>
      </c>
      <c r="DU334" s="67">
        <f>IFERROR(IF(($DL334)&gt;0,($DL334-$DF334-$DI334)/($DL334),""),"")</f>
        <v/>
      </c>
      <c r="DV334" s="67">
        <f>IFERROR(IF(($DJ334-$DD334-$DG334)&gt;0,($DA334)/($DJ334-$DD334-$DG334),""),"")</f>
        <v/>
      </c>
      <c r="DW334" s="67">
        <f>IFERROR(IF(($DK334-$DE334-$DH334)&gt;0,($DB334)/($DK334-$DE334-$DH334),""),"")</f>
        <v/>
      </c>
      <c r="DX334" s="67">
        <f>IFERROR(IF(($DL334-$DF334-$DI334)&gt;0,($DC334)/($DL334-$DF334-$DI334),""),"")</f>
        <v/>
      </c>
      <c r="DY334" s="55">
        <f>SUMIFS(tblPlant[Cyanide_kg],tblPlant[Date],$A334)</f>
        <v/>
      </c>
      <c r="DZ334" s="55">
        <f>IF($B334=$B333,$DZ333,0)+$DY334</f>
        <v/>
      </c>
      <c r="EA334" s="55">
        <f>$EA333+$DY334</f>
        <v/>
      </c>
      <c r="EB334" s="55">
        <f>SUMIFS(tblPlant[Lime_kg],tblPlant[Date],$A334)</f>
        <v/>
      </c>
      <c r="EC334" s="55">
        <f>IF($B334=$B333,$EC333,0)+$EB334</f>
        <v/>
      </c>
      <c r="ED334" s="55">
        <f>$ED333+$EB334</f>
        <v/>
      </c>
      <c r="EE334" s="55">
        <f>SUMIFS(tblPlant[Grinding_Media_kg],tblPlant[Date],$A334)</f>
        <v/>
      </c>
      <c r="EF334" s="55">
        <f>IF($B334=$B333,$EF333,0)+$EE334</f>
        <v/>
      </c>
      <c r="EG334" s="55">
        <f>$EG333+$EE334</f>
        <v/>
      </c>
      <c r="EH334" s="55">
        <f>SUMIFS(tblPlant[Power_kWh],tblPlant[Date],$A334)</f>
        <v/>
      </c>
      <c r="EI334" s="55">
        <f>IF($B334=$B333,$EI333,0)+$EH334</f>
        <v/>
      </c>
      <c r="EJ334" s="55">
        <f>$EJ333+$EH334</f>
        <v/>
      </c>
      <c r="EK334" s="55">
        <f>SUMIFS(tblPlant[Raw_Water_m3],tblPlant[Date],$A334)</f>
        <v/>
      </c>
      <c r="EL334" s="55">
        <f>IF($B334=$B333,$EL333,0)+$EK334</f>
        <v/>
      </c>
      <c r="EM334" s="55">
        <f>$EM333+$EK334</f>
        <v/>
      </c>
      <c r="EN334" s="56">
        <f>IFERROR(IF(($BZ334)&gt;0,($DY334)/($BZ334),""),"")</f>
        <v/>
      </c>
      <c r="EO334" s="56">
        <f>IFERROR(IF(($CA334)&gt;0,($DZ334)/($CA334),""),"")</f>
        <v/>
      </c>
      <c r="EP334" s="56">
        <f>IFERROR(IF(($CB334)&gt;0,($EA334)/($CB334),""),"")</f>
        <v/>
      </c>
      <c r="EQ334" s="56">
        <f>IFERROR(IF(($BZ334)&gt;0,($EB334)/($BZ334),""),"")</f>
        <v/>
      </c>
      <c r="ER334" s="56">
        <f>IFERROR(IF(($CA334)&gt;0,($EC334)/($CA334),""),"")</f>
        <v/>
      </c>
      <c r="ES334" s="56">
        <f>IFERROR(IF(($CB334)&gt;0,($ED334)/($CB334),""),"")</f>
        <v/>
      </c>
      <c r="ET334" s="56">
        <f>IFERROR(IF(($BZ334)&gt;0,($EE334)/($BZ334),""),"")</f>
        <v/>
      </c>
      <c r="EU334" s="56">
        <f>IFERROR(IF(($CA334)&gt;0,($EF334)/($CA334),""),"")</f>
        <v/>
      </c>
      <c r="EV334" s="56">
        <f>IFERROR(IF(($CB334)&gt;0,($EG334)/($CB334),""),"")</f>
        <v/>
      </c>
      <c r="EW334" s="76">
        <f>IFERROR(IF(($BZ334)&gt;0,($EH334)/($BZ334),""),"")</f>
        <v/>
      </c>
      <c r="EX334" s="76">
        <f>IFERROR(IF(($CA334)&gt;0,($EI334)/($CA334),""),"")</f>
        <v/>
      </c>
      <c r="EY334" s="76">
        <f>IFERROR(IF(($CB334)&gt;0,($EJ334)/($CB334),""),"")</f>
        <v/>
      </c>
      <c r="EZ334" s="56">
        <f>IFERROR(IF(($BZ334)&gt;0,($EK334)/($BZ334),""),"")</f>
        <v/>
      </c>
      <c r="FA334" s="56">
        <f>IFERROR(IF(($CA334)&gt;0,($EL334)/($CA334),""),"")</f>
        <v/>
      </c>
      <c r="FB334" s="56">
        <f>IFERROR(IF(($CB334)&gt;0,($EM334)/($CB334),""),"")</f>
        <v/>
      </c>
      <c r="FC334" s="55">
        <f>IF(SUMIFS(tblPlant[GIC_oz],tblPlant[Date],$A334)&gt;0,SUMIFS(tblPlant[GIC_oz],tblPlant[Date],$A334),"")</f>
        <v/>
      </c>
      <c r="FD334" s="55">
        <f>SUMIFS(tblGold[Gold_oz],tblGold[Date],$A334,tblGold[Type],"Shipment")</f>
        <v/>
      </c>
      <c r="FE334" s="55">
        <f>IF($B334=$B333,$FE333,0)+$FD334</f>
        <v/>
      </c>
      <c r="FF334" s="55">
        <f>$FF333+$FD334</f>
        <v/>
      </c>
      <c r="FG334" s="55">
        <f>SUMIFS(tblGold[Gold_oz],tblGold[Date],$A334,tblGold[Type],"Sale")</f>
        <v/>
      </c>
      <c r="FH334" s="55">
        <f>IF($B334=$B333,$FH333,0)+$FG334</f>
        <v/>
      </c>
      <c r="FI334" s="55">
        <f>$FI333+$FG334</f>
        <v/>
      </c>
      <c r="FJ334" s="55">
        <f>SUMIFS(tblGold[Dore_kg],tblGold[Date],$A334,tblGold[Type],"Shipment")</f>
        <v/>
      </c>
      <c r="FK334" s="55">
        <f>IF($B334=$B333,$FK333,0)+$FJ334</f>
        <v/>
      </c>
      <c r="FL334" s="55">
        <f>$FL333+$FJ334</f>
        <v/>
      </c>
      <c r="FM334" s="57">
        <f>SUMIFS(tblSafety[Hours_Total],tblSafety[Date],$A334)</f>
        <v/>
      </c>
      <c r="FN334" s="57">
        <f>IF($B334=$B333,$FN333,0)+$FM334</f>
        <v/>
      </c>
      <c r="FO334" s="57">
        <f>$FO333+$FM334</f>
        <v/>
      </c>
      <c r="FP334" s="62">
        <f>SUMIFS(tblSafety[Fatality],tblSafety[Date],$A334)</f>
        <v/>
      </c>
      <c r="FQ334" s="62">
        <f>IF($B334=$B333,$FQ333,0)+$FP334</f>
        <v/>
      </c>
      <c r="FR334" s="62">
        <f>$FR333+$FP334</f>
        <v/>
      </c>
      <c r="FS334" s="62">
        <f>SUMIFS(tblSafety[LTI],tblSafety[Date],$A334)</f>
        <v/>
      </c>
      <c r="FT334" s="62">
        <f>IF($B334=$B333,$FT333,0)+$FS334</f>
        <v/>
      </c>
      <c r="FU334" s="62">
        <f>$FU333+$FS334</f>
        <v/>
      </c>
      <c r="FV334" s="62">
        <f>SUMIFS(tblSafety[RWI],tblSafety[Date],$A334)</f>
        <v/>
      </c>
      <c r="FW334" s="62">
        <f>IF($B334=$B333,$FW333,0)+$FV334</f>
        <v/>
      </c>
      <c r="FX334" s="62">
        <f>$FX333+$FV334</f>
        <v/>
      </c>
      <c r="FY334" s="62">
        <f>SUMIFS(tblSafety[MTI],tblSafety[Date],$A334)</f>
        <v/>
      </c>
      <c r="FZ334" s="62">
        <f>IF($B334=$B333,$FZ333,0)+$FY334</f>
        <v/>
      </c>
      <c r="GA334" s="62">
        <f>$GA333+$FY334</f>
        <v/>
      </c>
      <c r="GB334" s="62">
        <f>SUMIFS(tblSafety[FAI],tblSafety[Date],$A334)</f>
        <v/>
      </c>
      <c r="GC334" s="62">
        <f>IF($B334=$B333,$GC333,0)+$GB334</f>
        <v/>
      </c>
      <c r="GD334" s="62">
        <f>$GD333+$GB334</f>
        <v/>
      </c>
      <c r="GE334" s="62">
        <f>SUMIFS(tblSafety[Recordables],tblSafety[Date],$A334)</f>
        <v/>
      </c>
      <c r="GF334" s="62">
        <f>IF($B334=$B333,$GF333,0)+$GE334</f>
        <v/>
      </c>
      <c r="GG334" s="62">
        <f>$GG333+$GE334</f>
        <v/>
      </c>
      <c r="GH334" s="62">
        <f>SUMIFS(tblSafety[Near_Miss],tblSafety[Date],$A334)</f>
        <v/>
      </c>
      <c r="GI334" s="62">
        <f>IF($B334=$B333,$GI333,0)+$GH334</f>
        <v/>
      </c>
      <c r="GJ334" s="62">
        <f>$GJ333+$GH334</f>
        <v/>
      </c>
      <c r="GK334" s="62">
        <f>SUMIFS(tblSafety[Hazard_Reports],tblSafety[Date],$A334)</f>
        <v/>
      </c>
      <c r="GL334" s="62">
        <f>IF($B334=$B333,$GL333,0)+$GK334</f>
        <v/>
      </c>
      <c r="GM334" s="62">
        <f>$GM333+$GK334</f>
        <v/>
      </c>
      <c r="GN334" s="62">
        <f>SUMIFS(tblSafety[HPI],tblSafety[Date],$A334)</f>
        <v/>
      </c>
      <c r="GO334" s="62">
        <f>IF($B334=$B333,$GO333,0)+$GN334</f>
        <v/>
      </c>
      <c r="GP334" s="62">
        <f>$GP333+$GN334</f>
        <v/>
      </c>
      <c r="GQ334" s="62">
        <f>SUMIFS(tblSafety[Env_Incidents],tblSafety[Date],$A334)</f>
        <v/>
      </c>
      <c r="GR334" s="62">
        <f>IF($B334=$B333,$GR333,0)+$GQ334</f>
        <v/>
      </c>
      <c r="GS334" s="62">
        <f>$GS333+$GQ334</f>
        <v/>
      </c>
      <c r="GT334" s="62">
        <f>SUMIFS(tblSafety[Community_Incidents],tblSafety[Date],$A334)</f>
        <v/>
      </c>
      <c r="GU334" s="62">
        <f>IF($B334=$B333,$GU333,0)+$GT334</f>
        <v/>
      </c>
      <c r="GV334" s="62">
        <f>$GV333+$GT334</f>
        <v/>
      </c>
      <c r="GW334" s="62">
        <f>SUMIFS(tblSafety[Vehicle_Incidents],tblSafety[Date],$A334)</f>
        <v/>
      </c>
      <c r="GX334" s="62">
        <f>IF($B334=$B333,$GX333,0)+$GW334</f>
        <v/>
      </c>
      <c r="GY334" s="62">
        <f>$GY333+$GW334</f>
        <v/>
      </c>
      <c r="GZ334" s="62">
        <f>SUMIFS(tblSafety[Toolbox_Talks],tblSafety[Date],$A334)</f>
        <v/>
      </c>
      <c r="HA334" s="62">
        <f>IF($B334=$B333,$HA333,0)+$GZ334</f>
        <v/>
      </c>
      <c r="HB334" s="62">
        <f>$HB333+$GZ334</f>
        <v/>
      </c>
      <c r="HC334" s="62">
        <f>SUMIFS(tblSafety[Inspections],tblSafety[Date],$A334)</f>
        <v/>
      </c>
      <c r="HD334" s="62">
        <f>IF($B334=$B333,$HD333,0)+$HC334</f>
        <v/>
      </c>
      <c r="HE334" s="62">
        <f>$HE333+$HC334</f>
        <v/>
      </c>
      <c r="HF334" s="56">
        <f>IFERROR((SUMIFS(tblSafety[Recordables],tblSafety[Date],"&gt;="&amp;EDATE($E334,-12),tblSafety[Date],"&lt;="&amp;$A334)+SUMIFS(tblSafetyHistory[Recordables],tblSafetyHistory[Month],"&gt;="&amp;EDATE($E334,-12),tblSafetyHistory[Month],"&lt;"&amp;cfg_YearStart))/(SUMIFS(tblSafety[Hours_Total],tblSafety[Date],"&gt;="&amp;EDATE($E334,-12),tblSafety[Date],"&lt;="&amp;$A334)+SUMIFS(tblSafetyHistory[Hours_Total],tblSafetyHistory[Month],"&gt;="&amp;EDATE($E334,-12),tblSafetyHistory[Month],"&lt;"&amp;cfg_YearStart))*1000000,"")</f>
        <v/>
      </c>
      <c r="HG334" s="56">
        <f>IFERROR((SUMIFS(tblSafety[LTI],tblSafety[Date],"&gt;="&amp;EDATE($E334,-12),tblSafety[Date],"&lt;="&amp;$A334)+SUMIFS(tblSafetyHistory[LTI],tblSafetyHistory[Month],"&gt;="&amp;EDATE($E334,-12),tblSafetyHistory[Month],"&lt;"&amp;cfg_YearStart))/(SUMIFS(tblSafety[Hours_Total],tblSafety[Date],"&gt;="&amp;EDATE($E334,-12),tblSafety[Date],"&lt;="&amp;$A334)+SUMIFS(tblSafetyHistory[Hours_Total],tblSafetyHistory[Month],"&gt;="&amp;EDATE($E334,-12),tblSafetyHistory[Month],"&lt;"&amp;cfg_YearStart))*1000000,"")</f>
        <v/>
      </c>
      <c r="HH334" s="62">
        <f>IF(MAX(N(cfg_PriorLTIDate),_xlfn.MAXIFS(tblSafety[Date],tblSafety[LTI],"&gt;0",tblSafety[Date],"&lt;="&amp;$A334))=0,"",$A334-MAX(N(cfg_PriorLTIDate),_xlfn.MAXIFS(tblSafety[Date],tblSafety[LTI],"&gt;0",tblSafety[Date],"&lt;="&amp;$A334)))</f>
        <v/>
      </c>
      <c r="HI334" s="55">
        <f>SUMIFS(tblBudget[Ore_Mined_t],tblBudget[Month],$E334)</f>
        <v/>
      </c>
      <c r="HJ334" s="55">
        <f>$HI334*$C334/$D334</f>
        <v/>
      </c>
      <c r="HK334" s="55">
        <f>SUMIFS(tblBudget[Ore_Mined_t],tblBudget[Month],"&lt;"&amp;$E334)+$HJ334</f>
        <v/>
      </c>
      <c r="HL334" s="55">
        <f>SUMIFS(tblBudget[Ore_oz],tblBudget[Month],$E334)</f>
        <v/>
      </c>
      <c r="HM334" s="55">
        <f>$HL334*$C334/$D334</f>
        <v/>
      </c>
      <c r="HN334" s="55">
        <f>SUMIFS(tblBudget[Ore_oz],tblBudget[Month],"&lt;"&amp;$E334)+$HM334</f>
        <v/>
      </c>
      <c r="HO334" s="56">
        <f>IFERROR(IF(($HI334)&gt;0,($HL334*cfg_TroyOz)/($HI334),""),"")</f>
        <v/>
      </c>
      <c r="HP334" s="56">
        <f>IFERROR(IF(($HJ334)&gt;0,($HM334*cfg_TroyOz)/($HJ334),""),"")</f>
        <v/>
      </c>
      <c r="HQ334" s="56">
        <f>IFERROR(IF(($HK334)&gt;0,($HN334*cfg_TroyOz)/($HK334),""),"")</f>
        <v/>
      </c>
      <c r="HR334" s="55">
        <f>SUMIFS(tblBudget[Waste_t],tblBudget[Month],$E334)</f>
        <v/>
      </c>
      <c r="HS334" s="55">
        <f>$HR334*$C334/$D334</f>
        <v/>
      </c>
      <c r="HT334" s="55">
        <f>SUMIFS(tblBudget[Waste_t],tblBudget[Month],"&lt;"&amp;$E334)+$HS334</f>
        <v/>
      </c>
      <c r="HU334" s="55">
        <f>SUMIFS(tblBudget[TMM_t],tblBudget[Month],$E334)</f>
        <v/>
      </c>
      <c r="HV334" s="55">
        <f>$HU334*$C334/$D334</f>
        <v/>
      </c>
      <c r="HW334" s="55">
        <f>SUMIFS(tblBudget[TMM_t],tblBudget[Month],"&lt;"&amp;$E334)+$HV334</f>
        <v/>
      </c>
      <c r="HX334" s="56">
        <f>IFERROR(IF(($HI334)&gt;0,($HR334)/($HI334),""),"")</f>
        <v/>
      </c>
      <c r="HY334" s="56">
        <f>IFERROR(IF(($HJ334)&gt;0,($HS334)/($HJ334),""),"")</f>
        <v/>
      </c>
      <c r="HZ334" s="56">
        <f>IFERROR(IF(($HK334)&gt;0,($HT334)/($HK334),""),"")</f>
        <v/>
      </c>
      <c r="IA334" s="55">
        <f>SUMIFS(tblBudget[Drill_m],tblBudget[Month],$E334)</f>
        <v/>
      </c>
      <c r="IB334" s="55">
        <f>$IA334*$C334/$D334</f>
        <v/>
      </c>
      <c r="IC334" s="55">
        <f>SUMIFS(tblBudget[Drill_m],tblBudget[Month],"&lt;"&amp;$E334)+$IB334</f>
        <v/>
      </c>
      <c r="ID334" s="55">
        <f>SUMIFS(tblBudget[Diesel_L],tblBudget[Month],$E334)</f>
        <v/>
      </c>
      <c r="IE334" s="55">
        <f>$ID334*$C334/$D334</f>
        <v/>
      </c>
      <c r="IF334" s="55">
        <f>SUMIFS(tblBudget[Diesel_L],tblBudget[Month],"&lt;"&amp;$E334)+$IE334</f>
        <v/>
      </c>
      <c r="IG334" s="55">
        <f>SUMIFS(tblBudget[Milled_t],tblBudget[Month],$E334)</f>
        <v/>
      </c>
      <c r="IH334" s="55">
        <f>$IG334*$C334/$D334</f>
        <v/>
      </c>
      <c r="II334" s="55">
        <f>SUMIFS(tblBudget[Milled_t],tblBudget[Month],"&lt;"&amp;$E334)+$IH334</f>
        <v/>
      </c>
      <c r="IJ334" s="55">
        <f>SUMIFS(tblBudget[Feed_oz],tblBudget[Month],$E334)</f>
        <v/>
      </c>
      <c r="IK334" s="55">
        <f>$IJ334*$C334/$D334</f>
        <v/>
      </c>
      <c r="IL334" s="55">
        <f>SUMIFS(tblBudget[Feed_oz],tblBudget[Month],"&lt;"&amp;$E334)+$IK334</f>
        <v/>
      </c>
      <c r="IM334" s="55">
        <f>SUMIFS(tblBudget[Recovered_oz],tblBudget[Month],$E334)</f>
        <v/>
      </c>
      <c r="IN334" s="55">
        <f>$IM334*$C334/$D334</f>
        <v/>
      </c>
      <c r="IO334" s="55">
        <f>SUMIFS(tblBudget[Recovered_oz],tblBudget[Month],"&lt;"&amp;$E334)+$IN334</f>
        <v/>
      </c>
      <c r="IP334" s="56">
        <f>IFERROR(IF(($IG334)&gt;0,($IJ334*cfg_TroyOz)/($IG334),""),"")</f>
        <v/>
      </c>
      <c r="IQ334" s="56">
        <f>IFERROR(IF(($IH334)&gt;0,($IK334*cfg_TroyOz)/($IH334),""),"")</f>
        <v/>
      </c>
      <c r="IR334" s="56">
        <f>IFERROR(IF(($II334)&gt;0,($IL334*cfg_TroyOz)/($II334),""),"")</f>
        <v/>
      </c>
      <c r="IS334" s="67">
        <f>IFERROR(IF(($IJ334)&gt;0,($IM334)/($IJ334),""),"")</f>
        <v/>
      </c>
      <c r="IT334" s="67">
        <f>IFERROR(IF(($IK334)&gt;0,($IN334)/($IK334),""),"")</f>
        <v/>
      </c>
      <c r="IU334" s="67">
        <f>IFERROR(IF(($IL334)&gt;0,($IO334)/($IL334),""),"")</f>
        <v/>
      </c>
      <c r="IV334" s="55">
        <f>SUMIFS(tblBudget[Gold_Poured_oz],tblBudget[Month],$E334)</f>
        <v/>
      </c>
      <c r="IW334" s="55">
        <f>$IV334*$C334/$D334</f>
        <v/>
      </c>
      <c r="IX334" s="55">
        <f>SUMIFS(tblBudget[Gold_Poured_oz],tblBudget[Month],"&lt;"&amp;$E334)+$IW334</f>
        <v/>
      </c>
      <c r="IY334" s="57">
        <f>SUMIFS(tblBudget[Hours_Worked],tblBudget[Month],$E334)</f>
        <v/>
      </c>
      <c r="IZ334" s="57">
        <f>$IY334*$C334/$D334</f>
        <v/>
      </c>
      <c r="JA334" s="57">
        <f>SUMIFS(tblBudget[Hours_Worked],tblBudget[Month],"&lt;"&amp;$E334)+$IZ334</f>
        <v/>
      </c>
    </row>
    <row r="335">
      <c r="A335" s="54" t="n">
        <v>46356</v>
      </c>
      <c r="B335">
        <f>MONTH($A335)</f>
        <v/>
      </c>
      <c r="C335">
        <f>DAY($A335)</f>
        <v/>
      </c>
      <c r="D335">
        <f>DAY(EOMONTH($A335,0))</f>
        <v/>
      </c>
      <c r="E335" s="54">
        <f>DATE(YEAR($A335),MONTH($A335),1)</f>
        <v/>
      </c>
      <c r="F335" s="55">
        <f>SUMIFS(tblMovement[Tonnes_t],tblMovement[Date],$A335,tblMovement[Is_Ore],1,tblMovement[Source_Type],"Pit")</f>
        <v/>
      </c>
      <c r="G335" s="55">
        <f>IF($B335=$B334,$G334,0)+$F335</f>
        <v/>
      </c>
      <c r="H335" s="55">
        <f>$H334+$F335</f>
        <v/>
      </c>
      <c r="I335" s="55">
        <f>SUMIFS(tblMovement[Ore_oz],tblMovement[Date],$A335,tblMovement[Source_Type],"Pit")</f>
        <v/>
      </c>
      <c r="J335" s="55">
        <f>IF($B335=$B334,$J334,0)+$I335</f>
        <v/>
      </c>
      <c r="K335" s="55">
        <f>$K334+$I335</f>
        <v/>
      </c>
      <c r="L335" s="56">
        <f>IFERROR(IF(($F335)&gt;0,($I335*cfg_TroyOz)/($F335),""),"")</f>
        <v/>
      </c>
      <c r="M335" s="56">
        <f>IFERROR(IF(($G335)&gt;0,($J335*cfg_TroyOz)/($G335),""),"")</f>
        <v/>
      </c>
      <c r="N335" s="56">
        <f>IFERROR(IF(($H335)&gt;0,($K335*cfg_TroyOz)/($H335),""),"")</f>
        <v/>
      </c>
      <c r="O335" s="55">
        <f>SUMIFS(tblMovement[Tonnes_t],tblMovement[Date],$A335,tblMovement[Is_Ore],0,tblMovement[Source_Type],"Pit")</f>
        <v/>
      </c>
      <c r="P335" s="55">
        <f>IF($B335=$B334,$P334,0)+$O335</f>
        <v/>
      </c>
      <c r="Q335" s="55">
        <f>$Q334+$O335</f>
        <v/>
      </c>
      <c r="R335" s="55">
        <f>$F335+$O335</f>
        <v/>
      </c>
      <c r="S335" s="55">
        <f>IF($B335=$B334,$S334,0)+$R335</f>
        <v/>
      </c>
      <c r="T335" s="55">
        <f>$T334+$R335</f>
        <v/>
      </c>
      <c r="U335" s="56">
        <f>IFERROR(IF(($F335)&gt;0,($O335)/($F335),""),"")</f>
        <v/>
      </c>
      <c r="V335" s="56">
        <f>IFERROR(IF(($G335)&gt;0,($P335)/($G335),""),"")</f>
        <v/>
      </c>
      <c r="W335" s="56">
        <f>IFERROR(IF(($H335)&gt;0,($Q335)/($H335),""),"")</f>
        <v/>
      </c>
      <c r="X335" s="55">
        <f>SUMIFS(tblMovement[Tonnes_t],tblMovement[Date],$A335,tblMovement[Source_Type],"Stockpile")</f>
        <v/>
      </c>
      <c r="Y335" s="55">
        <f>IF($B335=$B334,$Y334,0)+$X335</f>
        <v/>
      </c>
      <c r="Z335" s="55">
        <f>$Z334+$X335</f>
        <v/>
      </c>
      <c r="AA335" s="55">
        <f>SUMIFS(tblMiningDaily[Drill_m],tblMiningDaily[Date],$A335)</f>
        <v/>
      </c>
      <c r="AB335" s="55">
        <f>IF($B335=$B334,$AB334,0)+$AA335</f>
        <v/>
      </c>
      <c r="AC335" s="55">
        <f>$AC334+$AA335</f>
        <v/>
      </c>
      <c r="AD335" s="55">
        <f>SUMIFS(tblMiningDaily[Blast_t],tblMiningDaily[Date],$A335)</f>
        <v/>
      </c>
      <c r="AE335" s="55">
        <f>IF($B335=$B334,$AE334,0)+$AD335</f>
        <v/>
      </c>
      <c r="AF335" s="55">
        <f>$AF334+$AD335</f>
        <v/>
      </c>
      <c r="AG335" s="55">
        <f>SUMIFS(tblMiningDaily[Explosives_kg],tblMiningDaily[Date],$A335)</f>
        <v/>
      </c>
      <c r="AH335" s="55">
        <f>IF($B335=$B334,$AH334,0)+$AG335</f>
        <v/>
      </c>
      <c r="AI335" s="55">
        <f>$AI334+$AG335</f>
        <v/>
      </c>
      <c r="AJ335" s="56">
        <f>IFERROR(IF(($AD335)&gt;0,($AG335)/($AD335),""),"")</f>
        <v/>
      </c>
      <c r="AK335" s="56">
        <f>IFERROR(IF(($AE335)&gt;0,($AH335)/($AE335),""),"")</f>
        <v/>
      </c>
      <c r="AL335" s="56">
        <f>IFERROR(IF(($AF335)&gt;0,($AI335)/($AF335),""),"")</f>
        <v/>
      </c>
      <c r="AM335" s="55">
        <f>SUMIFS(tblMiningDaily[Diesel_L],tblMiningDaily[Date],$A335)</f>
        <v/>
      </c>
      <c r="AN335" s="55">
        <f>IF($B335=$B334,$AN334,0)+$AM335</f>
        <v/>
      </c>
      <c r="AO335" s="55">
        <f>$AO334+$AM335</f>
        <v/>
      </c>
      <c r="AP335" s="55">
        <f>SUMIFS(tblMiningDaily[Dewatering_m3],tblMiningDaily[Date],$A335)</f>
        <v/>
      </c>
      <c r="AQ335" s="55">
        <f>IF($B335=$B334,$AQ334,0)+$AP335</f>
        <v/>
      </c>
      <c r="AR335" s="55">
        <f>$AR334+$AP335</f>
        <v/>
      </c>
      <c r="AS335" s="57">
        <f>SUMIFS(tblFleet[Calendar_h],tblFleet[Date],$A335,tblFleet[Equipment_Class],"Excavator")</f>
        <v/>
      </c>
      <c r="AT335" s="57">
        <f>IF($B335=$B334,$AT334,0)+$AS335</f>
        <v/>
      </c>
      <c r="AU335" s="57">
        <f>$AU334+$AS335</f>
        <v/>
      </c>
      <c r="AV335" s="57">
        <f>SUMIFS(tblFleet[Available_h],tblFleet[Date],$A335,tblFleet[Equipment_Class],"Excavator")</f>
        <v/>
      </c>
      <c r="AW335" s="57">
        <f>IF($B335=$B334,$AW334,0)+$AV335</f>
        <v/>
      </c>
      <c r="AX335" s="57">
        <f>$AX334+$AV335</f>
        <v/>
      </c>
      <c r="AY335" s="57">
        <f>SUMIFS(tblFleet[Operating_h],tblFleet[Date],$A335,tblFleet[Equipment_Class],"Excavator")</f>
        <v/>
      </c>
      <c r="AZ335" s="57">
        <f>IF($B335=$B334,$AZ334,0)+$AY335</f>
        <v/>
      </c>
      <c r="BA335" s="57">
        <f>$BA334+$AY335</f>
        <v/>
      </c>
      <c r="BB335" s="67">
        <f>IFERROR(IF(($AS335)&gt;0,($AV335)/($AS335),""),"")</f>
        <v/>
      </c>
      <c r="BC335" s="67">
        <f>IFERROR(IF(($AT335)&gt;0,($AW335)/($AT335),""),"")</f>
        <v/>
      </c>
      <c r="BD335" s="67">
        <f>IFERROR(IF(($AU335)&gt;0,($AX335)/($AU335),""),"")</f>
        <v/>
      </c>
      <c r="BE335" s="67">
        <f>IFERROR(IF(($AV335)&gt;0,($AY335)/($AV335),""),"")</f>
        <v/>
      </c>
      <c r="BF335" s="67">
        <f>IFERROR(IF(($AW335)&gt;0,($AZ335)/($AW335),""),"")</f>
        <v/>
      </c>
      <c r="BG335" s="67">
        <f>IFERROR(IF(($AX335)&gt;0,($BA335)/($AX335),""),"")</f>
        <v/>
      </c>
      <c r="BH335" s="57">
        <f>SUMIFS(tblFleet[Calendar_h],tblFleet[Date],$A335,tblFleet[Equipment_Class],"Haul Truck")</f>
        <v/>
      </c>
      <c r="BI335" s="57">
        <f>IF($B335=$B334,$BI334,0)+$BH335</f>
        <v/>
      </c>
      <c r="BJ335" s="57">
        <f>$BJ334+$BH335</f>
        <v/>
      </c>
      <c r="BK335" s="57">
        <f>SUMIFS(tblFleet[Available_h],tblFleet[Date],$A335,tblFleet[Equipment_Class],"Haul Truck")</f>
        <v/>
      </c>
      <c r="BL335" s="57">
        <f>IF($B335=$B334,$BL334,0)+$BK335</f>
        <v/>
      </c>
      <c r="BM335" s="57">
        <f>$BM334+$BK335</f>
        <v/>
      </c>
      <c r="BN335" s="57">
        <f>SUMIFS(tblFleet[Operating_h],tblFleet[Date],$A335,tblFleet[Equipment_Class],"Haul Truck")</f>
        <v/>
      </c>
      <c r="BO335" s="57">
        <f>IF($B335=$B334,$BO334,0)+$BN335</f>
        <v/>
      </c>
      <c r="BP335" s="57">
        <f>$BP334+$BN335</f>
        <v/>
      </c>
      <c r="BQ335" s="67">
        <f>IFERROR(IF(($BH335)&gt;0,($BK335)/($BH335),""),"")</f>
        <v/>
      </c>
      <c r="BR335" s="67">
        <f>IFERROR(IF(($BI335)&gt;0,($BL335)/($BI335),""),"")</f>
        <v/>
      </c>
      <c r="BS335" s="67">
        <f>IFERROR(IF(($BJ335)&gt;0,($BM335)/($BJ335),""),"")</f>
        <v/>
      </c>
      <c r="BT335" s="67">
        <f>IFERROR(IF(($BK335)&gt;0,($BN335)/($BK335),""),"")</f>
        <v/>
      </c>
      <c r="BU335" s="67">
        <f>IFERROR(IF(($BL335)&gt;0,($BO335)/($BL335),""),"")</f>
        <v/>
      </c>
      <c r="BV335" s="67">
        <f>IFERROR(IF(($BM335)&gt;0,($BP335)/($BM335),""),"")</f>
        <v/>
      </c>
      <c r="BW335" s="55">
        <f>SUMIFS(tblPlant[Crushed_t],tblPlant[Date],$A335)</f>
        <v/>
      </c>
      <c r="BX335" s="55">
        <f>IF($B335=$B334,$BX334,0)+$BW335</f>
        <v/>
      </c>
      <c r="BY335" s="55">
        <f>$BY334+$BW335</f>
        <v/>
      </c>
      <c r="BZ335" s="55">
        <f>SUMIFS(tblPlant[Milled_t],tblPlant[Date],$A335)</f>
        <v/>
      </c>
      <c r="CA335" s="55">
        <f>IF($B335=$B334,$CA334,0)+$BZ335</f>
        <v/>
      </c>
      <c r="CB335" s="55">
        <f>$CB334+$BZ335</f>
        <v/>
      </c>
      <c r="CC335" s="55">
        <f>SUMIFS(tblPlant[Feed_oz],tblPlant[Date],$A335)</f>
        <v/>
      </c>
      <c r="CD335" s="55">
        <f>IF($B335=$B334,$CD334,0)+$CC335</f>
        <v/>
      </c>
      <c r="CE335" s="55">
        <f>$CE334+$CC335</f>
        <v/>
      </c>
      <c r="CF335" s="55">
        <f>SUMIFS(tblPlant[Tails_oz],tblPlant[Date],$A335)</f>
        <v/>
      </c>
      <c r="CG335" s="55">
        <f>IF($B335=$B334,$CG334,0)+$CF335</f>
        <v/>
      </c>
      <c r="CH335" s="55">
        <f>$CH334+$CF335</f>
        <v/>
      </c>
      <c r="CI335" s="55">
        <f>SUMIFS(tblPlant[Recovered_oz],tblPlant[Date],$A335)</f>
        <v/>
      </c>
      <c r="CJ335" s="55">
        <f>IF($B335=$B334,$CJ334,0)+$CI335</f>
        <v/>
      </c>
      <c r="CK335" s="55">
        <f>$CK334+$CI335</f>
        <v/>
      </c>
      <c r="CL335" s="56">
        <f>IFERROR(IF(($BZ335)&gt;0,($CC335*cfg_TroyOz)/($BZ335),""),"")</f>
        <v/>
      </c>
      <c r="CM335" s="56">
        <f>IFERROR(IF(($CA335)&gt;0,($CD335*cfg_TroyOz)/($CA335),""),"")</f>
        <v/>
      </c>
      <c r="CN335" s="56">
        <f>IFERROR(IF(($CB335)&gt;0,($CE335*cfg_TroyOz)/($CB335),""),"")</f>
        <v/>
      </c>
      <c r="CO335" s="56">
        <f>IFERROR(IF(($BZ335)&gt;0,($CF335*cfg_TroyOz)/($BZ335),""),"")</f>
        <v/>
      </c>
      <c r="CP335" s="56">
        <f>IFERROR(IF(($CA335)&gt;0,($CG335*cfg_TroyOz)/($CA335),""),"")</f>
        <v/>
      </c>
      <c r="CQ335" s="56">
        <f>IFERROR(IF(($CB335)&gt;0,($CH335*cfg_TroyOz)/($CB335),""),"")</f>
        <v/>
      </c>
      <c r="CR335" s="67">
        <f>IFERROR(IF(($CC335)&gt;0,($CI335)/($CC335),""),"")</f>
        <v/>
      </c>
      <c r="CS335" s="67">
        <f>IFERROR(IF(($CD335)&gt;0,($CJ335)/($CD335),""),"")</f>
        <v/>
      </c>
      <c r="CT335" s="67">
        <f>IFERROR(IF(($CE335)&gt;0,($CK335)/($CE335),""),"")</f>
        <v/>
      </c>
      <c r="CU335" s="55">
        <f>SUMIFS(tblPlant[Gravity_Gold_oz],tblPlant[Date],$A335)</f>
        <v/>
      </c>
      <c r="CV335" s="55">
        <f>IF($B335=$B334,$CV334,0)+$CU335</f>
        <v/>
      </c>
      <c r="CW335" s="55">
        <f>$CW334+$CU335</f>
        <v/>
      </c>
      <c r="CX335" s="55">
        <f>SUMIFS(tblPlant[Gold_Poured_oz],tblPlant[Date],$A335)</f>
        <v/>
      </c>
      <c r="CY335" s="55">
        <f>IF($B335=$B334,$CY334,0)+$CX335</f>
        <v/>
      </c>
      <c r="CZ335" s="55">
        <f>$CZ334+$CX335</f>
        <v/>
      </c>
      <c r="DA335" s="57">
        <f>SUMIFS(tblPlant[Mill_Run_h],tblPlant[Date],$A335)</f>
        <v/>
      </c>
      <c r="DB335" s="57">
        <f>IF($B335=$B334,$DB334,0)+$DA335</f>
        <v/>
      </c>
      <c r="DC335" s="57">
        <f>$DC334+$DA335</f>
        <v/>
      </c>
      <c r="DD335" s="57">
        <f>SUMIFS(tblPlant[Mill_Planned_Maint_h],tblPlant[Date],$A335)</f>
        <v/>
      </c>
      <c r="DE335" s="57">
        <f>IF($B335=$B334,$DE334,0)+$DD335</f>
        <v/>
      </c>
      <c r="DF335" s="57">
        <f>$DF334+$DD335</f>
        <v/>
      </c>
      <c r="DG335" s="57">
        <f>SUMIFS(tblPlant[Mill_Unplanned_Down_h],tblPlant[Date],$A335)</f>
        <v/>
      </c>
      <c r="DH335" s="57">
        <f>IF($B335=$B334,$DH334,0)+$DG335</f>
        <v/>
      </c>
      <c r="DI335" s="57">
        <f>$DI334+$DG335</f>
        <v/>
      </c>
      <c r="DJ335" s="57">
        <f>COUNTIFS(tblPlant[Date],$A335,tblPlant[Mill_Run_h],"&lt;&gt;")*24</f>
        <v/>
      </c>
      <c r="DK335" s="57">
        <f>IF($B335=$B334,$DK334,0)+$DJ335</f>
        <v/>
      </c>
      <c r="DL335" s="57">
        <f>$DL334+$DJ335</f>
        <v/>
      </c>
      <c r="DM335" s="57">
        <f>SUMIFS(tblPlant[Crusher_Run_h],tblPlant[Date],$A335)</f>
        <v/>
      </c>
      <c r="DN335" s="57">
        <f>IF($B335=$B334,$DN334,0)+$DM335</f>
        <v/>
      </c>
      <c r="DO335" s="57">
        <f>$DO334+$DM335</f>
        <v/>
      </c>
      <c r="DP335" s="55">
        <f>IFERROR(IF(($DA335)&gt;0,($BZ335)/($DA335),""),"")</f>
        <v/>
      </c>
      <c r="DQ335" s="55">
        <f>IFERROR(IF(($DB335)&gt;0,($CA335)/($DB335),""),"")</f>
        <v/>
      </c>
      <c r="DR335" s="55">
        <f>IFERROR(IF(($DC335)&gt;0,($CB335)/($DC335),""),"")</f>
        <v/>
      </c>
      <c r="DS335" s="67">
        <f>IFERROR(IF(($DJ335)&gt;0,($DJ335-$DD335-$DG335)/($DJ335),""),"")</f>
        <v/>
      </c>
      <c r="DT335" s="67">
        <f>IFERROR(IF(($DK335)&gt;0,($DK335-$DE335-$DH335)/($DK335),""),"")</f>
        <v/>
      </c>
      <c r="DU335" s="67">
        <f>IFERROR(IF(($DL335)&gt;0,($DL335-$DF335-$DI335)/($DL335),""),"")</f>
        <v/>
      </c>
      <c r="DV335" s="67">
        <f>IFERROR(IF(($DJ335-$DD335-$DG335)&gt;0,($DA335)/($DJ335-$DD335-$DG335),""),"")</f>
        <v/>
      </c>
      <c r="DW335" s="67">
        <f>IFERROR(IF(($DK335-$DE335-$DH335)&gt;0,($DB335)/($DK335-$DE335-$DH335),""),"")</f>
        <v/>
      </c>
      <c r="DX335" s="67">
        <f>IFERROR(IF(($DL335-$DF335-$DI335)&gt;0,($DC335)/($DL335-$DF335-$DI335),""),"")</f>
        <v/>
      </c>
      <c r="DY335" s="55">
        <f>SUMIFS(tblPlant[Cyanide_kg],tblPlant[Date],$A335)</f>
        <v/>
      </c>
      <c r="DZ335" s="55">
        <f>IF($B335=$B334,$DZ334,0)+$DY335</f>
        <v/>
      </c>
      <c r="EA335" s="55">
        <f>$EA334+$DY335</f>
        <v/>
      </c>
      <c r="EB335" s="55">
        <f>SUMIFS(tblPlant[Lime_kg],tblPlant[Date],$A335)</f>
        <v/>
      </c>
      <c r="EC335" s="55">
        <f>IF($B335=$B334,$EC334,0)+$EB335</f>
        <v/>
      </c>
      <c r="ED335" s="55">
        <f>$ED334+$EB335</f>
        <v/>
      </c>
      <c r="EE335" s="55">
        <f>SUMIFS(tblPlant[Grinding_Media_kg],tblPlant[Date],$A335)</f>
        <v/>
      </c>
      <c r="EF335" s="55">
        <f>IF($B335=$B334,$EF334,0)+$EE335</f>
        <v/>
      </c>
      <c r="EG335" s="55">
        <f>$EG334+$EE335</f>
        <v/>
      </c>
      <c r="EH335" s="55">
        <f>SUMIFS(tblPlant[Power_kWh],tblPlant[Date],$A335)</f>
        <v/>
      </c>
      <c r="EI335" s="55">
        <f>IF($B335=$B334,$EI334,0)+$EH335</f>
        <v/>
      </c>
      <c r="EJ335" s="55">
        <f>$EJ334+$EH335</f>
        <v/>
      </c>
      <c r="EK335" s="55">
        <f>SUMIFS(tblPlant[Raw_Water_m3],tblPlant[Date],$A335)</f>
        <v/>
      </c>
      <c r="EL335" s="55">
        <f>IF($B335=$B334,$EL334,0)+$EK335</f>
        <v/>
      </c>
      <c r="EM335" s="55">
        <f>$EM334+$EK335</f>
        <v/>
      </c>
      <c r="EN335" s="56">
        <f>IFERROR(IF(($BZ335)&gt;0,($DY335)/($BZ335),""),"")</f>
        <v/>
      </c>
      <c r="EO335" s="56">
        <f>IFERROR(IF(($CA335)&gt;0,($DZ335)/($CA335),""),"")</f>
        <v/>
      </c>
      <c r="EP335" s="56">
        <f>IFERROR(IF(($CB335)&gt;0,($EA335)/($CB335),""),"")</f>
        <v/>
      </c>
      <c r="EQ335" s="56">
        <f>IFERROR(IF(($BZ335)&gt;0,($EB335)/($BZ335),""),"")</f>
        <v/>
      </c>
      <c r="ER335" s="56">
        <f>IFERROR(IF(($CA335)&gt;0,($EC335)/($CA335),""),"")</f>
        <v/>
      </c>
      <c r="ES335" s="56">
        <f>IFERROR(IF(($CB335)&gt;0,($ED335)/($CB335),""),"")</f>
        <v/>
      </c>
      <c r="ET335" s="56">
        <f>IFERROR(IF(($BZ335)&gt;0,($EE335)/($BZ335),""),"")</f>
        <v/>
      </c>
      <c r="EU335" s="56">
        <f>IFERROR(IF(($CA335)&gt;0,($EF335)/($CA335),""),"")</f>
        <v/>
      </c>
      <c r="EV335" s="56">
        <f>IFERROR(IF(($CB335)&gt;0,($EG335)/($CB335),""),"")</f>
        <v/>
      </c>
      <c r="EW335" s="76">
        <f>IFERROR(IF(($BZ335)&gt;0,($EH335)/($BZ335),""),"")</f>
        <v/>
      </c>
      <c r="EX335" s="76">
        <f>IFERROR(IF(($CA335)&gt;0,($EI335)/($CA335),""),"")</f>
        <v/>
      </c>
      <c r="EY335" s="76">
        <f>IFERROR(IF(($CB335)&gt;0,($EJ335)/($CB335),""),"")</f>
        <v/>
      </c>
      <c r="EZ335" s="56">
        <f>IFERROR(IF(($BZ335)&gt;0,($EK335)/($BZ335),""),"")</f>
        <v/>
      </c>
      <c r="FA335" s="56">
        <f>IFERROR(IF(($CA335)&gt;0,($EL335)/($CA335),""),"")</f>
        <v/>
      </c>
      <c r="FB335" s="56">
        <f>IFERROR(IF(($CB335)&gt;0,($EM335)/($CB335),""),"")</f>
        <v/>
      </c>
      <c r="FC335" s="55">
        <f>IF(SUMIFS(tblPlant[GIC_oz],tblPlant[Date],$A335)&gt;0,SUMIFS(tblPlant[GIC_oz],tblPlant[Date],$A335),"")</f>
        <v/>
      </c>
      <c r="FD335" s="55">
        <f>SUMIFS(tblGold[Gold_oz],tblGold[Date],$A335,tblGold[Type],"Shipment")</f>
        <v/>
      </c>
      <c r="FE335" s="55">
        <f>IF($B335=$B334,$FE334,0)+$FD335</f>
        <v/>
      </c>
      <c r="FF335" s="55">
        <f>$FF334+$FD335</f>
        <v/>
      </c>
      <c r="FG335" s="55">
        <f>SUMIFS(tblGold[Gold_oz],tblGold[Date],$A335,tblGold[Type],"Sale")</f>
        <v/>
      </c>
      <c r="FH335" s="55">
        <f>IF($B335=$B334,$FH334,0)+$FG335</f>
        <v/>
      </c>
      <c r="FI335" s="55">
        <f>$FI334+$FG335</f>
        <v/>
      </c>
      <c r="FJ335" s="55">
        <f>SUMIFS(tblGold[Dore_kg],tblGold[Date],$A335,tblGold[Type],"Shipment")</f>
        <v/>
      </c>
      <c r="FK335" s="55">
        <f>IF($B335=$B334,$FK334,0)+$FJ335</f>
        <v/>
      </c>
      <c r="FL335" s="55">
        <f>$FL334+$FJ335</f>
        <v/>
      </c>
      <c r="FM335" s="57">
        <f>SUMIFS(tblSafety[Hours_Total],tblSafety[Date],$A335)</f>
        <v/>
      </c>
      <c r="FN335" s="57">
        <f>IF($B335=$B334,$FN334,0)+$FM335</f>
        <v/>
      </c>
      <c r="FO335" s="57">
        <f>$FO334+$FM335</f>
        <v/>
      </c>
      <c r="FP335" s="62">
        <f>SUMIFS(tblSafety[Fatality],tblSafety[Date],$A335)</f>
        <v/>
      </c>
      <c r="FQ335" s="62">
        <f>IF($B335=$B334,$FQ334,0)+$FP335</f>
        <v/>
      </c>
      <c r="FR335" s="62">
        <f>$FR334+$FP335</f>
        <v/>
      </c>
      <c r="FS335" s="62">
        <f>SUMIFS(tblSafety[LTI],tblSafety[Date],$A335)</f>
        <v/>
      </c>
      <c r="FT335" s="62">
        <f>IF($B335=$B334,$FT334,0)+$FS335</f>
        <v/>
      </c>
      <c r="FU335" s="62">
        <f>$FU334+$FS335</f>
        <v/>
      </c>
      <c r="FV335" s="62">
        <f>SUMIFS(tblSafety[RWI],tblSafety[Date],$A335)</f>
        <v/>
      </c>
      <c r="FW335" s="62">
        <f>IF($B335=$B334,$FW334,0)+$FV335</f>
        <v/>
      </c>
      <c r="FX335" s="62">
        <f>$FX334+$FV335</f>
        <v/>
      </c>
      <c r="FY335" s="62">
        <f>SUMIFS(tblSafety[MTI],tblSafety[Date],$A335)</f>
        <v/>
      </c>
      <c r="FZ335" s="62">
        <f>IF($B335=$B334,$FZ334,0)+$FY335</f>
        <v/>
      </c>
      <c r="GA335" s="62">
        <f>$GA334+$FY335</f>
        <v/>
      </c>
      <c r="GB335" s="62">
        <f>SUMIFS(tblSafety[FAI],tblSafety[Date],$A335)</f>
        <v/>
      </c>
      <c r="GC335" s="62">
        <f>IF($B335=$B334,$GC334,0)+$GB335</f>
        <v/>
      </c>
      <c r="GD335" s="62">
        <f>$GD334+$GB335</f>
        <v/>
      </c>
      <c r="GE335" s="62">
        <f>SUMIFS(tblSafety[Recordables],tblSafety[Date],$A335)</f>
        <v/>
      </c>
      <c r="GF335" s="62">
        <f>IF($B335=$B334,$GF334,0)+$GE335</f>
        <v/>
      </c>
      <c r="GG335" s="62">
        <f>$GG334+$GE335</f>
        <v/>
      </c>
      <c r="GH335" s="62">
        <f>SUMIFS(tblSafety[Near_Miss],tblSafety[Date],$A335)</f>
        <v/>
      </c>
      <c r="GI335" s="62">
        <f>IF($B335=$B334,$GI334,0)+$GH335</f>
        <v/>
      </c>
      <c r="GJ335" s="62">
        <f>$GJ334+$GH335</f>
        <v/>
      </c>
      <c r="GK335" s="62">
        <f>SUMIFS(tblSafety[Hazard_Reports],tblSafety[Date],$A335)</f>
        <v/>
      </c>
      <c r="GL335" s="62">
        <f>IF($B335=$B334,$GL334,0)+$GK335</f>
        <v/>
      </c>
      <c r="GM335" s="62">
        <f>$GM334+$GK335</f>
        <v/>
      </c>
      <c r="GN335" s="62">
        <f>SUMIFS(tblSafety[HPI],tblSafety[Date],$A335)</f>
        <v/>
      </c>
      <c r="GO335" s="62">
        <f>IF($B335=$B334,$GO334,0)+$GN335</f>
        <v/>
      </c>
      <c r="GP335" s="62">
        <f>$GP334+$GN335</f>
        <v/>
      </c>
      <c r="GQ335" s="62">
        <f>SUMIFS(tblSafety[Env_Incidents],tblSafety[Date],$A335)</f>
        <v/>
      </c>
      <c r="GR335" s="62">
        <f>IF($B335=$B334,$GR334,0)+$GQ335</f>
        <v/>
      </c>
      <c r="GS335" s="62">
        <f>$GS334+$GQ335</f>
        <v/>
      </c>
      <c r="GT335" s="62">
        <f>SUMIFS(tblSafety[Community_Incidents],tblSafety[Date],$A335)</f>
        <v/>
      </c>
      <c r="GU335" s="62">
        <f>IF($B335=$B334,$GU334,0)+$GT335</f>
        <v/>
      </c>
      <c r="GV335" s="62">
        <f>$GV334+$GT335</f>
        <v/>
      </c>
      <c r="GW335" s="62">
        <f>SUMIFS(tblSafety[Vehicle_Incidents],tblSafety[Date],$A335)</f>
        <v/>
      </c>
      <c r="GX335" s="62">
        <f>IF($B335=$B334,$GX334,0)+$GW335</f>
        <v/>
      </c>
      <c r="GY335" s="62">
        <f>$GY334+$GW335</f>
        <v/>
      </c>
      <c r="GZ335" s="62">
        <f>SUMIFS(tblSafety[Toolbox_Talks],tblSafety[Date],$A335)</f>
        <v/>
      </c>
      <c r="HA335" s="62">
        <f>IF($B335=$B334,$HA334,0)+$GZ335</f>
        <v/>
      </c>
      <c r="HB335" s="62">
        <f>$HB334+$GZ335</f>
        <v/>
      </c>
      <c r="HC335" s="62">
        <f>SUMIFS(tblSafety[Inspections],tblSafety[Date],$A335)</f>
        <v/>
      </c>
      <c r="HD335" s="62">
        <f>IF($B335=$B334,$HD334,0)+$HC335</f>
        <v/>
      </c>
      <c r="HE335" s="62">
        <f>$HE334+$HC335</f>
        <v/>
      </c>
      <c r="HF335" s="56">
        <f>IFERROR((SUMIFS(tblSafety[Recordables],tblSafety[Date],"&gt;="&amp;EDATE($E335,-12),tblSafety[Date],"&lt;="&amp;$A335)+SUMIFS(tblSafetyHistory[Recordables],tblSafetyHistory[Month],"&gt;="&amp;EDATE($E335,-12),tblSafetyHistory[Month],"&lt;"&amp;cfg_YearStart))/(SUMIFS(tblSafety[Hours_Total],tblSafety[Date],"&gt;="&amp;EDATE($E335,-12),tblSafety[Date],"&lt;="&amp;$A335)+SUMIFS(tblSafetyHistory[Hours_Total],tblSafetyHistory[Month],"&gt;="&amp;EDATE($E335,-12),tblSafetyHistory[Month],"&lt;"&amp;cfg_YearStart))*1000000,"")</f>
        <v/>
      </c>
      <c r="HG335" s="56">
        <f>IFERROR((SUMIFS(tblSafety[LTI],tblSafety[Date],"&gt;="&amp;EDATE($E335,-12),tblSafety[Date],"&lt;="&amp;$A335)+SUMIFS(tblSafetyHistory[LTI],tblSafetyHistory[Month],"&gt;="&amp;EDATE($E335,-12),tblSafetyHistory[Month],"&lt;"&amp;cfg_YearStart))/(SUMIFS(tblSafety[Hours_Total],tblSafety[Date],"&gt;="&amp;EDATE($E335,-12),tblSafety[Date],"&lt;="&amp;$A335)+SUMIFS(tblSafetyHistory[Hours_Total],tblSafetyHistory[Month],"&gt;="&amp;EDATE($E335,-12),tblSafetyHistory[Month],"&lt;"&amp;cfg_YearStart))*1000000,"")</f>
        <v/>
      </c>
      <c r="HH335" s="62">
        <f>IF(MAX(N(cfg_PriorLTIDate),_xlfn.MAXIFS(tblSafety[Date],tblSafety[LTI],"&gt;0",tblSafety[Date],"&lt;="&amp;$A335))=0,"",$A335-MAX(N(cfg_PriorLTIDate),_xlfn.MAXIFS(tblSafety[Date],tblSafety[LTI],"&gt;0",tblSafety[Date],"&lt;="&amp;$A335)))</f>
        <v/>
      </c>
      <c r="HI335" s="55">
        <f>SUMIFS(tblBudget[Ore_Mined_t],tblBudget[Month],$E335)</f>
        <v/>
      </c>
      <c r="HJ335" s="55">
        <f>$HI335*$C335/$D335</f>
        <v/>
      </c>
      <c r="HK335" s="55">
        <f>SUMIFS(tblBudget[Ore_Mined_t],tblBudget[Month],"&lt;"&amp;$E335)+$HJ335</f>
        <v/>
      </c>
      <c r="HL335" s="55">
        <f>SUMIFS(tblBudget[Ore_oz],tblBudget[Month],$E335)</f>
        <v/>
      </c>
      <c r="HM335" s="55">
        <f>$HL335*$C335/$D335</f>
        <v/>
      </c>
      <c r="HN335" s="55">
        <f>SUMIFS(tblBudget[Ore_oz],tblBudget[Month],"&lt;"&amp;$E335)+$HM335</f>
        <v/>
      </c>
      <c r="HO335" s="56">
        <f>IFERROR(IF(($HI335)&gt;0,($HL335*cfg_TroyOz)/($HI335),""),"")</f>
        <v/>
      </c>
      <c r="HP335" s="56">
        <f>IFERROR(IF(($HJ335)&gt;0,($HM335*cfg_TroyOz)/($HJ335),""),"")</f>
        <v/>
      </c>
      <c r="HQ335" s="56">
        <f>IFERROR(IF(($HK335)&gt;0,($HN335*cfg_TroyOz)/($HK335),""),"")</f>
        <v/>
      </c>
      <c r="HR335" s="55">
        <f>SUMIFS(tblBudget[Waste_t],tblBudget[Month],$E335)</f>
        <v/>
      </c>
      <c r="HS335" s="55">
        <f>$HR335*$C335/$D335</f>
        <v/>
      </c>
      <c r="HT335" s="55">
        <f>SUMIFS(tblBudget[Waste_t],tblBudget[Month],"&lt;"&amp;$E335)+$HS335</f>
        <v/>
      </c>
      <c r="HU335" s="55">
        <f>SUMIFS(tblBudget[TMM_t],tblBudget[Month],$E335)</f>
        <v/>
      </c>
      <c r="HV335" s="55">
        <f>$HU335*$C335/$D335</f>
        <v/>
      </c>
      <c r="HW335" s="55">
        <f>SUMIFS(tblBudget[TMM_t],tblBudget[Month],"&lt;"&amp;$E335)+$HV335</f>
        <v/>
      </c>
      <c r="HX335" s="56">
        <f>IFERROR(IF(($HI335)&gt;0,($HR335)/($HI335),""),"")</f>
        <v/>
      </c>
      <c r="HY335" s="56">
        <f>IFERROR(IF(($HJ335)&gt;0,($HS335)/($HJ335),""),"")</f>
        <v/>
      </c>
      <c r="HZ335" s="56">
        <f>IFERROR(IF(($HK335)&gt;0,($HT335)/($HK335),""),"")</f>
        <v/>
      </c>
      <c r="IA335" s="55">
        <f>SUMIFS(tblBudget[Drill_m],tblBudget[Month],$E335)</f>
        <v/>
      </c>
      <c r="IB335" s="55">
        <f>$IA335*$C335/$D335</f>
        <v/>
      </c>
      <c r="IC335" s="55">
        <f>SUMIFS(tblBudget[Drill_m],tblBudget[Month],"&lt;"&amp;$E335)+$IB335</f>
        <v/>
      </c>
      <c r="ID335" s="55">
        <f>SUMIFS(tblBudget[Diesel_L],tblBudget[Month],$E335)</f>
        <v/>
      </c>
      <c r="IE335" s="55">
        <f>$ID335*$C335/$D335</f>
        <v/>
      </c>
      <c r="IF335" s="55">
        <f>SUMIFS(tblBudget[Diesel_L],tblBudget[Month],"&lt;"&amp;$E335)+$IE335</f>
        <v/>
      </c>
      <c r="IG335" s="55">
        <f>SUMIFS(tblBudget[Milled_t],tblBudget[Month],$E335)</f>
        <v/>
      </c>
      <c r="IH335" s="55">
        <f>$IG335*$C335/$D335</f>
        <v/>
      </c>
      <c r="II335" s="55">
        <f>SUMIFS(tblBudget[Milled_t],tblBudget[Month],"&lt;"&amp;$E335)+$IH335</f>
        <v/>
      </c>
      <c r="IJ335" s="55">
        <f>SUMIFS(tblBudget[Feed_oz],tblBudget[Month],$E335)</f>
        <v/>
      </c>
      <c r="IK335" s="55">
        <f>$IJ335*$C335/$D335</f>
        <v/>
      </c>
      <c r="IL335" s="55">
        <f>SUMIFS(tblBudget[Feed_oz],tblBudget[Month],"&lt;"&amp;$E335)+$IK335</f>
        <v/>
      </c>
      <c r="IM335" s="55">
        <f>SUMIFS(tblBudget[Recovered_oz],tblBudget[Month],$E335)</f>
        <v/>
      </c>
      <c r="IN335" s="55">
        <f>$IM335*$C335/$D335</f>
        <v/>
      </c>
      <c r="IO335" s="55">
        <f>SUMIFS(tblBudget[Recovered_oz],tblBudget[Month],"&lt;"&amp;$E335)+$IN335</f>
        <v/>
      </c>
      <c r="IP335" s="56">
        <f>IFERROR(IF(($IG335)&gt;0,($IJ335*cfg_TroyOz)/($IG335),""),"")</f>
        <v/>
      </c>
      <c r="IQ335" s="56">
        <f>IFERROR(IF(($IH335)&gt;0,($IK335*cfg_TroyOz)/($IH335),""),"")</f>
        <v/>
      </c>
      <c r="IR335" s="56">
        <f>IFERROR(IF(($II335)&gt;0,($IL335*cfg_TroyOz)/($II335),""),"")</f>
        <v/>
      </c>
      <c r="IS335" s="67">
        <f>IFERROR(IF(($IJ335)&gt;0,($IM335)/($IJ335),""),"")</f>
        <v/>
      </c>
      <c r="IT335" s="67">
        <f>IFERROR(IF(($IK335)&gt;0,($IN335)/($IK335),""),"")</f>
        <v/>
      </c>
      <c r="IU335" s="67">
        <f>IFERROR(IF(($IL335)&gt;0,($IO335)/($IL335),""),"")</f>
        <v/>
      </c>
      <c r="IV335" s="55">
        <f>SUMIFS(tblBudget[Gold_Poured_oz],tblBudget[Month],$E335)</f>
        <v/>
      </c>
      <c r="IW335" s="55">
        <f>$IV335*$C335/$D335</f>
        <v/>
      </c>
      <c r="IX335" s="55">
        <f>SUMIFS(tblBudget[Gold_Poured_oz],tblBudget[Month],"&lt;"&amp;$E335)+$IW335</f>
        <v/>
      </c>
      <c r="IY335" s="57">
        <f>SUMIFS(tblBudget[Hours_Worked],tblBudget[Month],$E335)</f>
        <v/>
      </c>
      <c r="IZ335" s="57">
        <f>$IY335*$C335/$D335</f>
        <v/>
      </c>
      <c r="JA335" s="57">
        <f>SUMIFS(tblBudget[Hours_Worked],tblBudget[Month],"&lt;"&amp;$E335)+$IZ335</f>
        <v/>
      </c>
    </row>
    <row r="336">
      <c r="A336" s="54" t="n">
        <v>46357</v>
      </c>
      <c r="B336">
        <f>MONTH($A336)</f>
        <v/>
      </c>
      <c r="C336">
        <f>DAY($A336)</f>
        <v/>
      </c>
      <c r="D336">
        <f>DAY(EOMONTH($A336,0))</f>
        <v/>
      </c>
      <c r="E336" s="54">
        <f>DATE(YEAR($A336),MONTH($A336),1)</f>
        <v/>
      </c>
      <c r="F336" s="55">
        <f>SUMIFS(tblMovement[Tonnes_t],tblMovement[Date],$A336,tblMovement[Is_Ore],1,tblMovement[Source_Type],"Pit")</f>
        <v/>
      </c>
      <c r="G336" s="55">
        <f>IF($B336=$B335,$G335,0)+$F336</f>
        <v/>
      </c>
      <c r="H336" s="55">
        <f>$H335+$F336</f>
        <v/>
      </c>
      <c r="I336" s="55">
        <f>SUMIFS(tblMovement[Ore_oz],tblMovement[Date],$A336,tblMovement[Source_Type],"Pit")</f>
        <v/>
      </c>
      <c r="J336" s="55">
        <f>IF($B336=$B335,$J335,0)+$I336</f>
        <v/>
      </c>
      <c r="K336" s="55">
        <f>$K335+$I336</f>
        <v/>
      </c>
      <c r="L336" s="56">
        <f>IFERROR(IF(($F336)&gt;0,($I336*cfg_TroyOz)/($F336),""),"")</f>
        <v/>
      </c>
      <c r="M336" s="56">
        <f>IFERROR(IF(($G336)&gt;0,($J336*cfg_TroyOz)/($G336),""),"")</f>
        <v/>
      </c>
      <c r="N336" s="56">
        <f>IFERROR(IF(($H336)&gt;0,($K336*cfg_TroyOz)/($H336),""),"")</f>
        <v/>
      </c>
      <c r="O336" s="55">
        <f>SUMIFS(tblMovement[Tonnes_t],tblMovement[Date],$A336,tblMovement[Is_Ore],0,tblMovement[Source_Type],"Pit")</f>
        <v/>
      </c>
      <c r="P336" s="55">
        <f>IF($B336=$B335,$P335,0)+$O336</f>
        <v/>
      </c>
      <c r="Q336" s="55">
        <f>$Q335+$O336</f>
        <v/>
      </c>
      <c r="R336" s="55">
        <f>$F336+$O336</f>
        <v/>
      </c>
      <c r="S336" s="55">
        <f>IF($B336=$B335,$S335,0)+$R336</f>
        <v/>
      </c>
      <c r="T336" s="55">
        <f>$T335+$R336</f>
        <v/>
      </c>
      <c r="U336" s="56">
        <f>IFERROR(IF(($F336)&gt;0,($O336)/($F336),""),"")</f>
        <v/>
      </c>
      <c r="V336" s="56">
        <f>IFERROR(IF(($G336)&gt;0,($P336)/($G336),""),"")</f>
        <v/>
      </c>
      <c r="W336" s="56">
        <f>IFERROR(IF(($H336)&gt;0,($Q336)/($H336),""),"")</f>
        <v/>
      </c>
      <c r="X336" s="55">
        <f>SUMIFS(tblMovement[Tonnes_t],tblMovement[Date],$A336,tblMovement[Source_Type],"Stockpile")</f>
        <v/>
      </c>
      <c r="Y336" s="55">
        <f>IF($B336=$B335,$Y335,0)+$X336</f>
        <v/>
      </c>
      <c r="Z336" s="55">
        <f>$Z335+$X336</f>
        <v/>
      </c>
      <c r="AA336" s="55">
        <f>SUMIFS(tblMiningDaily[Drill_m],tblMiningDaily[Date],$A336)</f>
        <v/>
      </c>
      <c r="AB336" s="55">
        <f>IF($B336=$B335,$AB335,0)+$AA336</f>
        <v/>
      </c>
      <c r="AC336" s="55">
        <f>$AC335+$AA336</f>
        <v/>
      </c>
      <c r="AD336" s="55">
        <f>SUMIFS(tblMiningDaily[Blast_t],tblMiningDaily[Date],$A336)</f>
        <v/>
      </c>
      <c r="AE336" s="55">
        <f>IF($B336=$B335,$AE335,0)+$AD336</f>
        <v/>
      </c>
      <c r="AF336" s="55">
        <f>$AF335+$AD336</f>
        <v/>
      </c>
      <c r="AG336" s="55">
        <f>SUMIFS(tblMiningDaily[Explosives_kg],tblMiningDaily[Date],$A336)</f>
        <v/>
      </c>
      <c r="AH336" s="55">
        <f>IF($B336=$B335,$AH335,0)+$AG336</f>
        <v/>
      </c>
      <c r="AI336" s="55">
        <f>$AI335+$AG336</f>
        <v/>
      </c>
      <c r="AJ336" s="56">
        <f>IFERROR(IF(($AD336)&gt;0,($AG336)/($AD336),""),"")</f>
        <v/>
      </c>
      <c r="AK336" s="56">
        <f>IFERROR(IF(($AE336)&gt;0,($AH336)/($AE336),""),"")</f>
        <v/>
      </c>
      <c r="AL336" s="56">
        <f>IFERROR(IF(($AF336)&gt;0,($AI336)/($AF336),""),"")</f>
        <v/>
      </c>
      <c r="AM336" s="55">
        <f>SUMIFS(tblMiningDaily[Diesel_L],tblMiningDaily[Date],$A336)</f>
        <v/>
      </c>
      <c r="AN336" s="55">
        <f>IF($B336=$B335,$AN335,0)+$AM336</f>
        <v/>
      </c>
      <c r="AO336" s="55">
        <f>$AO335+$AM336</f>
        <v/>
      </c>
      <c r="AP336" s="55">
        <f>SUMIFS(tblMiningDaily[Dewatering_m3],tblMiningDaily[Date],$A336)</f>
        <v/>
      </c>
      <c r="AQ336" s="55">
        <f>IF($B336=$B335,$AQ335,0)+$AP336</f>
        <v/>
      </c>
      <c r="AR336" s="55">
        <f>$AR335+$AP336</f>
        <v/>
      </c>
      <c r="AS336" s="57">
        <f>SUMIFS(tblFleet[Calendar_h],tblFleet[Date],$A336,tblFleet[Equipment_Class],"Excavator")</f>
        <v/>
      </c>
      <c r="AT336" s="57">
        <f>IF($B336=$B335,$AT335,0)+$AS336</f>
        <v/>
      </c>
      <c r="AU336" s="57">
        <f>$AU335+$AS336</f>
        <v/>
      </c>
      <c r="AV336" s="57">
        <f>SUMIFS(tblFleet[Available_h],tblFleet[Date],$A336,tblFleet[Equipment_Class],"Excavator")</f>
        <v/>
      </c>
      <c r="AW336" s="57">
        <f>IF($B336=$B335,$AW335,0)+$AV336</f>
        <v/>
      </c>
      <c r="AX336" s="57">
        <f>$AX335+$AV336</f>
        <v/>
      </c>
      <c r="AY336" s="57">
        <f>SUMIFS(tblFleet[Operating_h],tblFleet[Date],$A336,tblFleet[Equipment_Class],"Excavator")</f>
        <v/>
      </c>
      <c r="AZ336" s="57">
        <f>IF($B336=$B335,$AZ335,0)+$AY336</f>
        <v/>
      </c>
      <c r="BA336" s="57">
        <f>$BA335+$AY336</f>
        <v/>
      </c>
      <c r="BB336" s="67">
        <f>IFERROR(IF(($AS336)&gt;0,($AV336)/($AS336),""),"")</f>
        <v/>
      </c>
      <c r="BC336" s="67">
        <f>IFERROR(IF(($AT336)&gt;0,($AW336)/($AT336),""),"")</f>
        <v/>
      </c>
      <c r="BD336" s="67">
        <f>IFERROR(IF(($AU336)&gt;0,($AX336)/($AU336),""),"")</f>
        <v/>
      </c>
      <c r="BE336" s="67">
        <f>IFERROR(IF(($AV336)&gt;0,($AY336)/($AV336),""),"")</f>
        <v/>
      </c>
      <c r="BF336" s="67">
        <f>IFERROR(IF(($AW336)&gt;0,($AZ336)/($AW336),""),"")</f>
        <v/>
      </c>
      <c r="BG336" s="67">
        <f>IFERROR(IF(($AX336)&gt;0,($BA336)/($AX336),""),"")</f>
        <v/>
      </c>
      <c r="BH336" s="57">
        <f>SUMIFS(tblFleet[Calendar_h],tblFleet[Date],$A336,tblFleet[Equipment_Class],"Haul Truck")</f>
        <v/>
      </c>
      <c r="BI336" s="57">
        <f>IF($B336=$B335,$BI335,0)+$BH336</f>
        <v/>
      </c>
      <c r="BJ336" s="57">
        <f>$BJ335+$BH336</f>
        <v/>
      </c>
      <c r="BK336" s="57">
        <f>SUMIFS(tblFleet[Available_h],tblFleet[Date],$A336,tblFleet[Equipment_Class],"Haul Truck")</f>
        <v/>
      </c>
      <c r="BL336" s="57">
        <f>IF($B336=$B335,$BL335,0)+$BK336</f>
        <v/>
      </c>
      <c r="BM336" s="57">
        <f>$BM335+$BK336</f>
        <v/>
      </c>
      <c r="BN336" s="57">
        <f>SUMIFS(tblFleet[Operating_h],tblFleet[Date],$A336,tblFleet[Equipment_Class],"Haul Truck")</f>
        <v/>
      </c>
      <c r="BO336" s="57">
        <f>IF($B336=$B335,$BO335,0)+$BN336</f>
        <v/>
      </c>
      <c r="BP336" s="57">
        <f>$BP335+$BN336</f>
        <v/>
      </c>
      <c r="BQ336" s="67">
        <f>IFERROR(IF(($BH336)&gt;0,($BK336)/($BH336),""),"")</f>
        <v/>
      </c>
      <c r="BR336" s="67">
        <f>IFERROR(IF(($BI336)&gt;0,($BL336)/($BI336),""),"")</f>
        <v/>
      </c>
      <c r="BS336" s="67">
        <f>IFERROR(IF(($BJ336)&gt;0,($BM336)/($BJ336),""),"")</f>
        <v/>
      </c>
      <c r="BT336" s="67">
        <f>IFERROR(IF(($BK336)&gt;0,($BN336)/($BK336),""),"")</f>
        <v/>
      </c>
      <c r="BU336" s="67">
        <f>IFERROR(IF(($BL336)&gt;0,($BO336)/($BL336),""),"")</f>
        <v/>
      </c>
      <c r="BV336" s="67">
        <f>IFERROR(IF(($BM336)&gt;0,($BP336)/($BM336),""),"")</f>
        <v/>
      </c>
      <c r="BW336" s="55">
        <f>SUMIFS(tblPlant[Crushed_t],tblPlant[Date],$A336)</f>
        <v/>
      </c>
      <c r="BX336" s="55">
        <f>IF($B336=$B335,$BX335,0)+$BW336</f>
        <v/>
      </c>
      <c r="BY336" s="55">
        <f>$BY335+$BW336</f>
        <v/>
      </c>
      <c r="BZ336" s="55">
        <f>SUMIFS(tblPlant[Milled_t],tblPlant[Date],$A336)</f>
        <v/>
      </c>
      <c r="CA336" s="55">
        <f>IF($B336=$B335,$CA335,0)+$BZ336</f>
        <v/>
      </c>
      <c r="CB336" s="55">
        <f>$CB335+$BZ336</f>
        <v/>
      </c>
      <c r="CC336" s="55">
        <f>SUMIFS(tblPlant[Feed_oz],tblPlant[Date],$A336)</f>
        <v/>
      </c>
      <c r="CD336" s="55">
        <f>IF($B336=$B335,$CD335,0)+$CC336</f>
        <v/>
      </c>
      <c r="CE336" s="55">
        <f>$CE335+$CC336</f>
        <v/>
      </c>
      <c r="CF336" s="55">
        <f>SUMIFS(tblPlant[Tails_oz],tblPlant[Date],$A336)</f>
        <v/>
      </c>
      <c r="CG336" s="55">
        <f>IF($B336=$B335,$CG335,0)+$CF336</f>
        <v/>
      </c>
      <c r="CH336" s="55">
        <f>$CH335+$CF336</f>
        <v/>
      </c>
      <c r="CI336" s="55">
        <f>SUMIFS(tblPlant[Recovered_oz],tblPlant[Date],$A336)</f>
        <v/>
      </c>
      <c r="CJ336" s="55">
        <f>IF($B336=$B335,$CJ335,0)+$CI336</f>
        <v/>
      </c>
      <c r="CK336" s="55">
        <f>$CK335+$CI336</f>
        <v/>
      </c>
      <c r="CL336" s="56">
        <f>IFERROR(IF(($BZ336)&gt;0,($CC336*cfg_TroyOz)/($BZ336),""),"")</f>
        <v/>
      </c>
      <c r="CM336" s="56">
        <f>IFERROR(IF(($CA336)&gt;0,($CD336*cfg_TroyOz)/($CA336),""),"")</f>
        <v/>
      </c>
      <c r="CN336" s="56">
        <f>IFERROR(IF(($CB336)&gt;0,($CE336*cfg_TroyOz)/($CB336),""),"")</f>
        <v/>
      </c>
      <c r="CO336" s="56">
        <f>IFERROR(IF(($BZ336)&gt;0,($CF336*cfg_TroyOz)/($BZ336),""),"")</f>
        <v/>
      </c>
      <c r="CP336" s="56">
        <f>IFERROR(IF(($CA336)&gt;0,($CG336*cfg_TroyOz)/($CA336),""),"")</f>
        <v/>
      </c>
      <c r="CQ336" s="56">
        <f>IFERROR(IF(($CB336)&gt;0,($CH336*cfg_TroyOz)/($CB336),""),"")</f>
        <v/>
      </c>
      <c r="CR336" s="67">
        <f>IFERROR(IF(($CC336)&gt;0,($CI336)/($CC336),""),"")</f>
        <v/>
      </c>
      <c r="CS336" s="67">
        <f>IFERROR(IF(($CD336)&gt;0,($CJ336)/($CD336),""),"")</f>
        <v/>
      </c>
      <c r="CT336" s="67">
        <f>IFERROR(IF(($CE336)&gt;0,($CK336)/($CE336),""),"")</f>
        <v/>
      </c>
      <c r="CU336" s="55">
        <f>SUMIFS(tblPlant[Gravity_Gold_oz],tblPlant[Date],$A336)</f>
        <v/>
      </c>
      <c r="CV336" s="55">
        <f>IF($B336=$B335,$CV335,0)+$CU336</f>
        <v/>
      </c>
      <c r="CW336" s="55">
        <f>$CW335+$CU336</f>
        <v/>
      </c>
      <c r="CX336" s="55">
        <f>SUMIFS(tblPlant[Gold_Poured_oz],tblPlant[Date],$A336)</f>
        <v/>
      </c>
      <c r="CY336" s="55">
        <f>IF($B336=$B335,$CY335,0)+$CX336</f>
        <v/>
      </c>
      <c r="CZ336" s="55">
        <f>$CZ335+$CX336</f>
        <v/>
      </c>
      <c r="DA336" s="57">
        <f>SUMIFS(tblPlant[Mill_Run_h],tblPlant[Date],$A336)</f>
        <v/>
      </c>
      <c r="DB336" s="57">
        <f>IF($B336=$B335,$DB335,0)+$DA336</f>
        <v/>
      </c>
      <c r="DC336" s="57">
        <f>$DC335+$DA336</f>
        <v/>
      </c>
      <c r="DD336" s="57">
        <f>SUMIFS(tblPlant[Mill_Planned_Maint_h],tblPlant[Date],$A336)</f>
        <v/>
      </c>
      <c r="DE336" s="57">
        <f>IF($B336=$B335,$DE335,0)+$DD336</f>
        <v/>
      </c>
      <c r="DF336" s="57">
        <f>$DF335+$DD336</f>
        <v/>
      </c>
      <c r="DG336" s="57">
        <f>SUMIFS(tblPlant[Mill_Unplanned_Down_h],tblPlant[Date],$A336)</f>
        <v/>
      </c>
      <c r="DH336" s="57">
        <f>IF($B336=$B335,$DH335,0)+$DG336</f>
        <v/>
      </c>
      <c r="DI336" s="57">
        <f>$DI335+$DG336</f>
        <v/>
      </c>
      <c r="DJ336" s="57">
        <f>COUNTIFS(tblPlant[Date],$A336,tblPlant[Mill_Run_h],"&lt;&gt;")*24</f>
        <v/>
      </c>
      <c r="DK336" s="57">
        <f>IF($B336=$B335,$DK335,0)+$DJ336</f>
        <v/>
      </c>
      <c r="DL336" s="57">
        <f>$DL335+$DJ336</f>
        <v/>
      </c>
      <c r="DM336" s="57">
        <f>SUMIFS(tblPlant[Crusher_Run_h],tblPlant[Date],$A336)</f>
        <v/>
      </c>
      <c r="DN336" s="57">
        <f>IF($B336=$B335,$DN335,0)+$DM336</f>
        <v/>
      </c>
      <c r="DO336" s="57">
        <f>$DO335+$DM336</f>
        <v/>
      </c>
      <c r="DP336" s="55">
        <f>IFERROR(IF(($DA336)&gt;0,($BZ336)/($DA336),""),"")</f>
        <v/>
      </c>
      <c r="DQ336" s="55">
        <f>IFERROR(IF(($DB336)&gt;0,($CA336)/($DB336),""),"")</f>
        <v/>
      </c>
      <c r="DR336" s="55">
        <f>IFERROR(IF(($DC336)&gt;0,($CB336)/($DC336),""),"")</f>
        <v/>
      </c>
      <c r="DS336" s="67">
        <f>IFERROR(IF(($DJ336)&gt;0,($DJ336-$DD336-$DG336)/($DJ336),""),"")</f>
        <v/>
      </c>
      <c r="DT336" s="67">
        <f>IFERROR(IF(($DK336)&gt;0,($DK336-$DE336-$DH336)/($DK336),""),"")</f>
        <v/>
      </c>
      <c r="DU336" s="67">
        <f>IFERROR(IF(($DL336)&gt;0,($DL336-$DF336-$DI336)/($DL336),""),"")</f>
        <v/>
      </c>
      <c r="DV336" s="67">
        <f>IFERROR(IF(($DJ336-$DD336-$DG336)&gt;0,($DA336)/($DJ336-$DD336-$DG336),""),"")</f>
        <v/>
      </c>
      <c r="DW336" s="67">
        <f>IFERROR(IF(($DK336-$DE336-$DH336)&gt;0,($DB336)/($DK336-$DE336-$DH336),""),"")</f>
        <v/>
      </c>
      <c r="DX336" s="67">
        <f>IFERROR(IF(($DL336-$DF336-$DI336)&gt;0,($DC336)/($DL336-$DF336-$DI336),""),"")</f>
        <v/>
      </c>
      <c r="DY336" s="55">
        <f>SUMIFS(tblPlant[Cyanide_kg],tblPlant[Date],$A336)</f>
        <v/>
      </c>
      <c r="DZ336" s="55">
        <f>IF($B336=$B335,$DZ335,0)+$DY336</f>
        <v/>
      </c>
      <c r="EA336" s="55">
        <f>$EA335+$DY336</f>
        <v/>
      </c>
      <c r="EB336" s="55">
        <f>SUMIFS(tblPlant[Lime_kg],tblPlant[Date],$A336)</f>
        <v/>
      </c>
      <c r="EC336" s="55">
        <f>IF($B336=$B335,$EC335,0)+$EB336</f>
        <v/>
      </c>
      <c r="ED336" s="55">
        <f>$ED335+$EB336</f>
        <v/>
      </c>
      <c r="EE336" s="55">
        <f>SUMIFS(tblPlant[Grinding_Media_kg],tblPlant[Date],$A336)</f>
        <v/>
      </c>
      <c r="EF336" s="55">
        <f>IF($B336=$B335,$EF335,0)+$EE336</f>
        <v/>
      </c>
      <c r="EG336" s="55">
        <f>$EG335+$EE336</f>
        <v/>
      </c>
      <c r="EH336" s="55">
        <f>SUMIFS(tblPlant[Power_kWh],tblPlant[Date],$A336)</f>
        <v/>
      </c>
      <c r="EI336" s="55">
        <f>IF($B336=$B335,$EI335,0)+$EH336</f>
        <v/>
      </c>
      <c r="EJ336" s="55">
        <f>$EJ335+$EH336</f>
        <v/>
      </c>
      <c r="EK336" s="55">
        <f>SUMIFS(tblPlant[Raw_Water_m3],tblPlant[Date],$A336)</f>
        <v/>
      </c>
      <c r="EL336" s="55">
        <f>IF($B336=$B335,$EL335,0)+$EK336</f>
        <v/>
      </c>
      <c r="EM336" s="55">
        <f>$EM335+$EK336</f>
        <v/>
      </c>
      <c r="EN336" s="56">
        <f>IFERROR(IF(($BZ336)&gt;0,($DY336)/($BZ336),""),"")</f>
        <v/>
      </c>
      <c r="EO336" s="56">
        <f>IFERROR(IF(($CA336)&gt;0,($DZ336)/($CA336),""),"")</f>
        <v/>
      </c>
      <c r="EP336" s="56">
        <f>IFERROR(IF(($CB336)&gt;0,($EA336)/($CB336),""),"")</f>
        <v/>
      </c>
      <c r="EQ336" s="56">
        <f>IFERROR(IF(($BZ336)&gt;0,($EB336)/($BZ336),""),"")</f>
        <v/>
      </c>
      <c r="ER336" s="56">
        <f>IFERROR(IF(($CA336)&gt;0,($EC336)/($CA336),""),"")</f>
        <v/>
      </c>
      <c r="ES336" s="56">
        <f>IFERROR(IF(($CB336)&gt;0,($ED336)/($CB336),""),"")</f>
        <v/>
      </c>
      <c r="ET336" s="56">
        <f>IFERROR(IF(($BZ336)&gt;0,($EE336)/($BZ336),""),"")</f>
        <v/>
      </c>
      <c r="EU336" s="56">
        <f>IFERROR(IF(($CA336)&gt;0,($EF336)/($CA336),""),"")</f>
        <v/>
      </c>
      <c r="EV336" s="56">
        <f>IFERROR(IF(($CB336)&gt;0,($EG336)/($CB336),""),"")</f>
        <v/>
      </c>
      <c r="EW336" s="76">
        <f>IFERROR(IF(($BZ336)&gt;0,($EH336)/($BZ336),""),"")</f>
        <v/>
      </c>
      <c r="EX336" s="76">
        <f>IFERROR(IF(($CA336)&gt;0,($EI336)/($CA336),""),"")</f>
        <v/>
      </c>
      <c r="EY336" s="76">
        <f>IFERROR(IF(($CB336)&gt;0,($EJ336)/($CB336),""),"")</f>
        <v/>
      </c>
      <c r="EZ336" s="56">
        <f>IFERROR(IF(($BZ336)&gt;0,($EK336)/($BZ336),""),"")</f>
        <v/>
      </c>
      <c r="FA336" s="56">
        <f>IFERROR(IF(($CA336)&gt;0,($EL336)/($CA336),""),"")</f>
        <v/>
      </c>
      <c r="FB336" s="56">
        <f>IFERROR(IF(($CB336)&gt;0,($EM336)/($CB336),""),"")</f>
        <v/>
      </c>
      <c r="FC336" s="55">
        <f>IF(SUMIFS(tblPlant[GIC_oz],tblPlant[Date],$A336)&gt;0,SUMIFS(tblPlant[GIC_oz],tblPlant[Date],$A336),"")</f>
        <v/>
      </c>
      <c r="FD336" s="55">
        <f>SUMIFS(tblGold[Gold_oz],tblGold[Date],$A336,tblGold[Type],"Shipment")</f>
        <v/>
      </c>
      <c r="FE336" s="55">
        <f>IF($B336=$B335,$FE335,0)+$FD336</f>
        <v/>
      </c>
      <c r="FF336" s="55">
        <f>$FF335+$FD336</f>
        <v/>
      </c>
      <c r="FG336" s="55">
        <f>SUMIFS(tblGold[Gold_oz],tblGold[Date],$A336,tblGold[Type],"Sale")</f>
        <v/>
      </c>
      <c r="FH336" s="55">
        <f>IF($B336=$B335,$FH335,0)+$FG336</f>
        <v/>
      </c>
      <c r="FI336" s="55">
        <f>$FI335+$FG336</f>
        <v/>
      </c>
      <c r="FJ336" s="55">
        <f>SUMIFS(tblGold[Dore_kg],tblGold[Date],$A336,tblGold[Type],"Shipment")</f>
        <v/>
      </c>
      <c r="FK336" s="55">
        <f>IF($B336=$B335,$FK335,0)+$FJ336</f>
        <v/>
      </c>
      <c r="FL336" s="55">
        <f>$FL335+$FJ336</f>
        <v/>
      </c>
      <c r="FM336" s="57">
        <f>SUMIFS(tblSafety[Hours_Total],tblSafety[Date],$A336)</f>
        <v/>
      </c>
      <c r="FN336" s="57">
        <f>IF($B336=$B335,$FN335,0)+$FM336</f>
        <v/>
      </c>
      <c r="FO336" s="57">
        <f>$FO335+$FM336</f>
        <v/>
      </c>
      <c r="FP336" s="62">
        <f>SUMIFS(tblSafety[Fatality],tblSafety[Date],$A336)</f>
        <v/>
      </c>
      <c r="FQ336" s="62">
        <f>IF($B336=$B335,$FQ335,0)+$FP336</f>
        <v/>
      </c>
      <c r="FR336" s="62">
        <f>$FR335+$FP336</f>
        <v/>
      </c>
      <c r="FS336" s="62">
        <f>SUMIFS(tblSafety[LTI],tblSafety[Date],$A336)</f>
        <v/>
      </c>
      <c r="FT336" s="62">
        <f>IF($B336=$B335,$FT335,0)+$FS336</f>
        <v/>
      </c>
      <c r="FU336" s="62">
        <f>$FU335+$FS336</f>
        <v/>
      </c>
      <c r="FV336" s="62">
        <f>SUMIFS(tblSafety[RWI],tblSafety[Date],$A336)</f>
        <v/>
      </c>
      <c r="FW336" s="62">
        <f>IF($B336=$B335,$FW335,0)+$FV336</f>
        <v/>
      </c>
      <c r="FX336" s="62">
        <f>$FX335+$FV336</f>
        <v/>
      </c>
      <c r="FY336" s="62">
        <f>SUMIFS(tblSafety[MTI],tblSafety[Date],$A336)</f>
        <v/>
      </c>
      <c r="FZ336" s="62">
        <f>IF($B336=$B335,$FZ335,0)+$FY336</f>
        <v/>
      </c>
      <c r="GA336" s="62">
        <f>$GA335+$FY336</f>
        <v/>
      </c>
      <c r="GB336" s="62">
        <f>SUMIFS(tblSafety[FAI],tblSafety[Date],$A336)</f>
        <v/>
      </c>
      <c r="GC336" s="62">
        <f>IF($B336=$B335,$GC335,0)+$GB336</f>
        <v/>
      </c>
      <c r="GD336" s="62">
        <f>$GD335+$GB336</f>
        <v/>
      </c>
      <c r="GE336" s="62">
        <f>SUMIFS(tblSafety[Recordables],tblSafety[Date],$A336)</f>
        <v/>
      </c>
      <c r="GF336" s="62">
        <f>IF($B336=$B335,$GF335,0)+$GE336</f>
        <v/>
      </c>
      <c r="GG336" s="62">
        <f>$GG335+$GE336</f>
        <v/>
      </c>
      <c r="GH336" s="62">
        <f>SUMIFS(tblSafety[Near_Miss],tblSafety[Date],$A336)</f>
        <v/>
      </c>
      <c r="GI336" s="62">
        <f>IF($B336=$B335,$GI335,0)+$GH336</f>
        <v/>
      </c>
      <c r="GJ336" s="62">
        <f>$GJ335+$GH336</f>
        <v/>
      </c>
      <c r="GK336" s="62">
        <f>SUMIFS(tblSafety[Hazard_Reports],tblSafety[Date],$A336)</f>
        <v/>
      </c>
      <c r="GL336" s="62">
        <f>IF($B336=$B335,$GL335,0)+$GK336</f>
        <v/>
      </c>
      <c r="GM336" s="62">
        <f>$GM335+$GK336</f>
        <v/>
      </c>
      <c r="GN336" s="62">
        <f>SUMIFS(tblSafety[HPI],tblSafety[Date],$A336)</f>
        <v/>
      </c>
      <c r="GO336" s="62">
        <f>IF($B336=$B335,$GO335,0)+$GN336</f>
        <v/>
      </c>
      <c r="GP336" s="62">
        <f>$GP335+$GN336</f>
        <v/>
      </c>
      <c r="GQ336" s="62">
        <f>SUMIFS(tblSafety[Env_Incidents],tblSafety[Date],$A336)</f>
        <v/>
      </c>
      <c r="GR336" s="62">
        <f>IF($B336=$B335,$GR335,0)+$GQ336</f>
        <v/>
      </c>
      <c r="GS336" s="62">
        <f>$GS335+$GQ336</f>
        <v/>
      </c>
      <c r="GT336" s="62">
        <f>SUMIFS(tblSafety[Community_Incidents],tblSafety[Date],$A336)</f>
        <v/>
      </c>
      <c r="GU336" s="62">
        <f>IF($B336=$B335,$GU335,0)+$GT336</f>
        <v/>
      </c>
      <c r="GV336" s="62">
        <f>$GV335+$GT336</f>
        <v/>
      </c>
      <c r="GW336" s="62">
        <f>SUMIFS(tblSafety[Vehicle_Incidents],tblSafety[Date],$A336)</f>
        <v/>
      </c>
      <c r="GX336" s="62">
        <f>IF($B336=$B335,$GX335,0)+$GW336</f>
        <v/>
      </c>
      <c r="GY336" s="62">
        <f>$GY335+$GW336</f>
        <v/>
      </c>
      <c r="GZ336" s="62">
        <f>SUMIFS(tblSafety[Toolbox_Talks],tblSafety[Date],$A336)</f>
        <v/>
      </c>
      <c r="HA336" s="62">
        <f>IF($B336=$B335,$HA335,0)+$GZ336</f>
        <v/>
      </c>
      <c r="HB336" s="62">
        <f>$HB335+$GZ336</f>
        <v/>
      </c>
      <c r="HC336" s="62">
        <f>SUMIFS(tblSafety[Inspections],tblSafety[Date],$A336)</f>
        <v/>
      </c>
      <c r="HD336" s="62">
        <f>IF($B336=$B335,$HD335,0)+$HC336</f>
        <v/>
      </c>
      <c r="HE336" s="62">
        <f>$HE335+$HC336</f>
        <v/>
      </c>
      <c r="HF336" s="56">
        <f>IFERROR((SUMIFS(tblSafety[Recordables],tblSafety[Date],"&gt;="&amp;EDATE($E336,-12),tblSafety[Date],"&lt;="&amp;$A336)+SUMIFS(tblSafetyHistory[Recordables],tblSafetyHistory[Month],"&gt;="&amp;EDATE($E336,-12),tblSafetyHistory[Month],"&lt;"&amp;cfg_YearStart))/(SUMIFS(tblSafety[Hours_Total],tblSafety[Date],"&gt;="&amp;EDATE($E336,-12),tblSafety[Date],"&lt;="&amp;$A336)+SUMIFS(tblSafetyHistory[Hours_Total],tblSafetyHistory[Month],"&gt;="&amp;EDATE($E336,-12),tblSafetyHistory[Month],"&lt;"&amp;cfg_YearStart))*1000000,"")</f>
        <v/>
      </c>
      <c r="HG336" s="56">
        <f>IFERROR((SUMIFS(tblSafety[LTI],tblSafety[Date],"&gt;="&amp;EDATE($E336,-12),tblSafety[Date],"&lt;="&amp;$A336)+SUMIFS(tblSafetyHistory[LTI],tblSafetyHistory[Month],"&gt;="&amp;EDATE($E336,-12),tblSafetyHistory[Month],"&lt;"&amp;cfg_YearStart))/(SUMIFS(tblSafety[Hours_Total],tblSafety[Date],"&gt;="&amp;EDATE($E336,-12),tblSafety[Date],"&lt;="&amp;$A336)+SUMIFS(tblSafetyHistory[Hours_Total],tblSafetyHistory[Month],"&gt;="&amp;EDATE($E336,-12),tblSafetyHistory[Month],"&lt;"&amp;cfg_YearStart))*1000000,"")</f>
        <v/>
      </c>
      <c r="HH336" s="62">
        <f>IF(MAX(N(cfg_PriorLTIDate),_xlfn.MAXIFS(tblSafety[Date],tblSafety[LTI],"&gt;0",tblSafety[Date],"&lt;="&amp;$A336))=0,"",$A336-MAX(N(cfg_PriorLTIDate),_xlfn.MAXIFS(tblSafety[Date],tblSafety[LTI],"&gt;0",tblSafety[Date],"&lt;="&amp;$A336)))</f>
        <v/>
      </c>
      <c r="HI336" s="55">
        <f>SUMIFS(tblBudget[Ore_Mined_t],tblBudget[Month],$E336)</f>
        <v/>
      </c>
      <c r="HJ336" s="55">
        <f>$HI336*$C336/$D336</f>
        <v/>
      </c>
      <c r="HK336" s="55">
        <f>SUMIFS(tblBudget[Ore_Mined_t],tblBudget[Month],"&lt;"&amp;$E336)+$HJ336</f>
        <v/>
      </c>
      <c r="HL336" s="55">
        <f>SUMIFS(tblBudget[Ore_oz],tblBudget[Month],$E336)</f>
        <v/>
      </c>
      <c r="HM336" s="55">
        <f>$HL336*$C336/$D336</f>
        <v/>
      </c>
      <c r="HN336" s="55">
        <f>SUMIFS(tblBudget[Ore_oz],tblBudget[Month],"&lt;"&amp;$E336)+$HM336</f>
        <v/>
      </c>
      <c r="HO336" s="56">
        <f>IFERROR(IF(($HI336)&gt;0,($HL336*cfg_TroyOz)/($HI336),""),"")</f>
        <v/>
      </c>
      <c r="HP336" s="56">
        <f>IFERROR(IF(($HJ336)&gt;0,($HM336*cfg_TroyOz)/($HJ336),""),"")</f>
        <v/>
      </c>
      <c r="HQ336" s="56">
        <f>IFERROR(IF(($HK336)&gt;0,($HN336*cfg_TroyOz)/($HK336),""),"")</f>
        <v/>
      </c>
      <c r="HR336" s="55">
        <f>SUMIFS(tblBudget[Waste_t],tblBudget[Month],$E336)</f>
        <v/>
      </c>
      <c r="HS336" s="55">
        <f>$HR336*$C336/$D336</f>
        <v/>
      </c>
      <c r="HT336" s="55">
        <f>SUMIFS(tblBudget[Waste_t],tblBudget[Month],"&lt;"&amp;$E336)+$HS336</f>
        <v/>
      </c>
      <c r="HU336" s="55">
        <f>SUMIFS(tblBudget[TMM_t],tblBudget[Month],$E336)</f>
        <v/>
      </c>
      <c r="HV336" s="55">
        <f>$HU336*$C336/$D336</f>
        <v/>
      </c>
      <c r="HW336" s="55">
        <f>SUMIFS(tblBudget[TMM_t],tblBudget[Month],"&lt;"&amp;$E336)+$HV336</f>
        <v/>
      </c>
      <c r="HX336" s="56">
        <f>IFERROR(IF(($HI336)&gt;0,($HR336)/($HI336),""),"")</f>
        <v/>
      </c>
      <c r="HY336" s="56">
        <f>IFERROR(IF(($HJ336)&gt;0,($HS336)/($HJ336),""),"")</f>
        <v/>
      </c>
      <c r="HZ336" s="56">
        <f>IFERROR(IF(($HK336)&gt;0,($HT336)/($HK336),""),"")</f>
        <v/>
      </c>
      <c r="IA336" s="55">
        <f>SUMIFS(tblBudget[Drill_m],tblBudget[Month],$E336)</f>
        <v/>
      </c>
      <c r="IB336" s="55">
        <f>$IA336*$C336/$D336</f>
        <v/>
      </c>
      <c r="IC336" s="55">
        <f>SUMIFS(tblBudget[Drill_m],tblBudget[Month],"&lt;"&amp;$E336)+$IB336</f>
        <v/>
      </c>
      <c r="ID336" s="55">
        <f>SUMIFS(tblBudget[Diesel_L],tblBudget[Month],$E336)</f>
        <v/>
      </c>
      <c r="IE336" s="55">
        <f>$ID336*$C336/$D336</f>
        <v/>
      </c>
      <c r="IF336" s="55">
        <f>SUMIFS(tblBudget[Diesel_L],tblBudget[Month],"&lt;"&amp;$E336)+$IE336</f>
        <v/>
      </c>
      <c r="IG336" s="55">
        <f>SUMIFS(tblBudget[Milled_t],tblBudget[Month],$E336)</f>
        <v/>
      </c>
      <c r="IH336" s="55">
        <f>$IG336*$C336/$D336</f>
        <v/>
      </c>
      <c r="II336" s="55">
        <f>SUMIFS(tblBudget[Milled_t],tblBudget[Month],"&lt;"&amp;$E336)+$IH336</f>
        <v/>
      </c>
      <c r="IJ336" s="55">
        <f>SUMIFS(tblBudget[Feed_oz],tblBudget[Month],$E336)</f>
        <v/>
      </c>
      <c r="IK336" s="55">
        <f>$IJ336*$C336/$D336</f>
        <v/>
      </c>
      <c r="IL336" s="55">
        <f>SUMIFS(tblBudget[Feed_oz],tblBudget[Month],"&lt;"&amp;$E336)+$IK336</f>
        <v/>
      </c>
      <c r="IM336" s="55">
        <f>SUMIFS(tblBudget[Recovered_oz],tblBudget[Month],$E336)</f>
        <v/>
      </c>
      <c r="IN336" s="55">
        <f>$IM336*$C336/$D336</f>
        <v/>
      </c>
      <c r="IO336" s="55">
        <f>SUMIFS(tblBudget[Recovered_oz],tblBudget[Month],"&lt;"&amp;$E336)+$IN336</f>
        <v/>
      </c>
      <c r="IP336" s="56">
        <f>IFERROR(IF(($IG336)&gt;0,($IJ336*cfg_TroyOz)/($IG336),""),"")</f>
        <v/>
      </c>
      <c r="IQ336" s="56">
        <f>IFERROR(IF(($IH336)&gt;0,($IK336*cfg_TroyOz)/($IH336),""),"")</f>
        <v/>
      </c>
      <c r="IR336" s="56">
        <f>IFERROR(IF(($II336)&gt;0,($IL336*cfg_TroyOz)/($II336),""),"")</f>
        <v/>
      </c>
      <c r="IS336" s="67">
        <f>IFERROR(IF(($IJ336)&gt;0,($IM336)/($IJ336),""),"")</f>
        <v/>
      </c>
      <c r="IT336" s="67">
        <f>IFERROR(IF(($IK336)&gt;0,($IN336)/($IK336),""),"")</f>
        <v/>
      </c>
      <c r="IU336" s="67">
        <f>IFERROR(IF(($IL336)&gt;0,($IO336)/($IL336),""),"")</f>
        <v/>
      </c>
      <c r="IV336" s="55">
        <f>SUMIFS(tblBudget[Gold_Poured_oz],tblBudget[Month],$E336)</f>
        <v/>
      </c>
      <c r="IW336" s="55">
        <f>$IV336*$C336/$D336</f>
        <v/>
      </c>
      <c r="IX336" s="55">
        <f>SUMIFS(tblBudget[Gold_Poured_oz],tblBudget[Month],"&lt;"&amp;$E336)+$IW336</f>
        <v/>
      </c>
      <c r="IY336" s="57">
        <f>SUMIFS(tblBudget[Hours_Worked],tblBudget[Month],$E336)</f>
        <v/>
      </c>
      <c r="IZ336" s="57">
        <f>$IY336*$C336/$D336</f>
        <v/>
      </c>
      <c r="JA336" s="57">
        <f>SUMIFS(tblBudget[Hours_Worked],tblBudget[Month],"&lt;"&amp;$E336)+$IZ336</f>
        <v/>
      </c>
    </row>
    <row r="337">
      <c r="A337" s="54" t="n">
        <v>46358</v>
      </c>
      <c r="B337">
        <f>MONTH($A337)</f>
        <v/>
      </c>
      <c r="C337">
        <f>DAY($A337)</f>
        <v/>
      </c>
      <c r="D337">
        <f>DAY(EOMONTH($A337,0))</f>
        <v/>
      </c>
      <c r="E337" s="54">
        <f>DATE(YEAR($A337),MONTH($A337),1)</f>
        <v/>
      </c>
      <c r="F337" s="55">
        <f>SUMIFS(tblMovement[Tonnes_t],tblMovement[Date],$A337,tblMovement[Is_Ore],1,tblMovement[Source_Type],"Pit")</f>
        <v/>
      </c>
      <c r="G337" s="55">
        <f>IF($B337=$B336,$G336,0)+$F337</f>
        <v/>
      </c>
      <c r="H337" s="55">
        <f>$H336+$F337</f>
        <v/>
      </c>
      <c r="I337" s="55">
        <f>SUMIFS(tblMovement[Ore_oz],tblMovement[Date],$A337,tblMovement[Source_Type],"Pit")</f>
        <v/>
      </c>
      <c r="J337" s="55">
        <f>IF($B337=$B336,$J336,0)+$I337</f>
        <v/>
      </c>
      <c r="K337" s="55">
        <f>$K336+$I337</f>
        <v/>
      </c>
      <c r="L337" s="56">
        <f>IFERROR(IF(($F337)&gt;0,($I337*cfg_TroyOz)/($F337),""),"")</f>
        <v/>
      </c>
      <c r="M337" s="56">
        <f>IFERROR(IF(($G337)&gt;0,($J337*cfg_TroyOz)/($G337),""),"")</f>
        <v/>
      </c>
      <c r="N337" s="56">
        <f>IFERROR(IF(($H337)&gt;0,($K337*cfg_TroyOz)/($H337),""),"")</f>
        <v/>
      </c>
      <c r="O337" s="55">
        <f>SUMIFS(tblMovement[Tonnes_t],tblMovement[Date],$A337,tblMovement[Is_Ore],0,tblMovement[Source_Type],"Pit")</f>
        <v/>
      </c>
      <c r="P337" s="55">
        <f>IF($B337=$B336,$P336,0)+$O337</f>
        <v/>
      </c>
      <c r="Q337" s="55">
        <f>$Q336+$O337</f>
        <v/>
      </c>
      <c r="R337" s="55">
        <f>$F337+$O337</f>
        <v/>
      </c>
      <c r="S337" s="55">
        <f>IF($B337=$B336,$S336,0)+$R337</f>
        <v/>
      </c>
      <c r="T337" s="55">
        <f>$T336+$R337</f>
        <v/>
      </c>
      <c r="U337" s="56">
        <f>IFERROR(IF(($F337)&gt;0,($O337)/($F337),""),"")</f>
        <v/>
      </c>
      <c r="V337" s="56">
        <f>IFERROR(IF(($G337)&gt;0,($P337)/($G337),""),"")</f>
        <v/>
      </c>
      <c r="W337" s="56">
        <f>IFERROR(IF(($H337)&gt;0,($Q337)/($H337),""),"")</f>
        <v/>
      </c>
      <c r="X337" s="55">
        <f>SUMIFS(tblMovement[Tonnes_t],tblMovement[Date],$A337,tblMovement[Source_Type],"Stockpile")</f>
        <v/>
      </c>
      <c r="Y337" s="55">
        <f>IF($B337=$B336,$Y336,0)+$X337</f>
        <v/>
      </c>
      <c r="Z337" s="55">
        <f>$Z336+$X337</f>
        <v/>
      </c>
      <c r="AA337" s="55">
        <f>SUMIFS(tblMiningDaily[Drill_m],tblMiningDaily[Date],$A337)</f>
        <v/>
      </c>
      <c r="AB337" s="55">
        <f>IF($B337=$B336,$AB336,0)+$AA337</f>
        <v/>
      </c>
      <c r="AC337" s="55">
        <f>$AC336+$AA337</f>
        <v/>
      </c>
      <c r="AD337" s="55">
        <f>SUMIFS(tblMiningDaily[Blast_t],tblMiningDaily[Date],$A337)</f>
        <v/>
      </c>
      <c r="AE337" s="55">
        <f>IF($B337=$B336,$AE336,0)+$AD337</f>
        <v/>
      </c>
      <c r="AF337" s="55">
        <f>$AF336+$AD337</f>
        <v/>
      </c>
      <c r="AG337" s="55">
        <f>SUMIFS(tblMiningDaily[Explosives_kg],tblMiningDaily[Date],$A337)</f>
        <v/>
      </c>
      <c r="AH337" s="55">
        <f>IF($B337=$B336,$AH336,0)+$AG337</f>
        <v/>
      </c>
      <c r="AI337" s="55">
        <f>$AI336+$AG337</f>
        <v/>
      </c>
      <c r="AJ337" s="56">
        <f>IFERROR(IF(($AD337)&gt;0,($AG337)/($AD337),""),"")</f>
        <v/>
      </c>
      <c r="AK337" s="56">
        <f>IFERROR(IF(($AE337)&gt;0,($AH337)/($AE337),""),"")</f>
        <v/>
      </c>
      <c r="AL337" s="56">
        <f>IFERROR(IF(($AF337)&gt;0,($AI337)/($AF337),""),"")</f>
        <v/>
      </c>
      <c r="AM337" s="55">
        <f>SUMIFS(tblMiningDaily[Diesel_L],tblMiningDaily[Date],$A337)</f>
        <v/>
      </c>
      <c r="AN337" s="55">
        <f>IF($B337=$B336,$AN336,0)+$AM337</f>
        <v/>
      </c>
      <c r="AO337" s="55">
        <f>$AO336+$AM337</f>
        <v/>
      </c>
      <c r="AP337" s="55">
        <f>SUMIFS(tblMiningDaily[Dewatering_m3],tblMiningDaily[Date],$A337)</f>
        <v/>
      </c>
      <c r="AQ337" s="55">
        <f>IF($B337=$B336,$AQ336,0)+$AP337</f>
        <v/>
      </c>
      <c r="AR337" s="55">
        <f>$AR336+$AP337</f>
        <v/>
      </c>
      <c r="AS337" s="57">
        <f>SUMIFS(tblFleet[Calendar_h],tblFleet[Date],$A337,tblFleet[Equipment_Class],"Excavator")</f>
        <v/>
      </c>
      <c r="AT337" s="57">
        <f>IF($B337=$B336,$AT336,0)+$AS337</f>
        <v/>
      </c>
      <c r="AU337" s="57">
        <f>$AU336+$AS337</f>
        <v/>
      </c>
      <c r="AV337" s="57">
        <f>SUMIFS(tblFleet[Available_h],tblFleet[Date],$A337,tblFleet[Equipment_Class],"Excavator")</f>
        <v/>
      </c>
      <c r="AW337" s="57">
        <f>IF($B337=$B336,$AW336,0)+$AV337</f>
        <v/>
      </c>
      <c r="AX337" s="57">
        <f>$AX336+$AV337</f>
        <v/>
      </c>
      <c r="AY337" s="57">
        <f>SUMIFS(tblFleet[Operating_h],tblFleet[Date],$A337,tblFleet[Equipment_Class],"Excavator")</f>
        <v/>
      </c>
      <c r="AZ337" s="57">
        <f>IF($B337=$B336,$AZ336,0)+$AY337</f>
        <v/>
      </c>
      <c r="BA337" s="57">
        <f>$BA336+$AY337</f>
        <v/>
      </c>
      <c r="BB337" s="67">
        <f>IFERROR(IF(($AS337)&gt;0,($AV337)/($AS337),""),"")</f>
        <v/>
      </c>
      <c r="BC337" s="67">
        <f>IFERROR(IF(($AT337)&gt;0,($AW337)/($AT337),""),"")</f>
        <v/>
      </c>
      <c r="BD337" s="67">
        <f>IFERROR(IF(($AU337)&gt;0,($AX337)/($AU337),""),"")</f>
        <v/>
      </c>
      <c r="BE337" s="67">
        <f>IFERROR(IF(($AV337)&gt;0,($AY337)/($AV337),""),"")</f>
        <v/>
      </c>
      <c r="BF337" s="67">
        <f>IFERROR(IF(($AW337)&gt;0,($AZ337)/($AW337),""),"")</f>
        <v/>
      </c>
      <c r="BG337" s="67">
        <f>IFERROR(IF(($AX337)&gt;0,($BA337)/($AX337),""),"")</f>
        <v/>
      </c>
      <c r="BH337" s="57">
        <f>SUMIFS(tblFleet[Calendar_h],tblFleet[Date],$A337,tblFleet[Equipment_Class],"Haul Truck")</f>
        <v/>
      </c>
      <c r="BI337" s="57">
        <f>IF($B337=$B336,$BI336,0)+$BH337</f>
        <v/>
      </c>
      <c r="BJ337" s="57">
        <f>$BJ336+$BH337</f>
        <v/>
      </c>
      <c r="BK337" s="57">
        <f>SUMIFS(tblFleet[Available_h],tblFleet[Date],$A337,tblFleet[Equipment_Class],"Haul Truck")</f>
        <v/>
      </c>
      <c r="BL337" s="57">
        <f>IF($B337=$B336,$BL336,0)+$BK337</f>
        <v/>
      </c>
      <c r="BM337" s="57">
        <f>$BM336+$BK337</f>
        <v/>
      </c>
      <c r="BN337" s="57">
        <f>SUMIFS(tblFleet[Operating_h],tblFleet[Date],$A337,tblFleet[Equipment_Class],"Haul Truck")</f>
        <v/>
      </c>
      <c r="BO337" s="57">
        <f>IF($B337=$B336,$BO336,0)+$BN337</f>
        <v/>
      </c>
      <c r="BP337" s="57">
        <f>$BP336+$BN337</f>
        <v/>
      </c>
      <c r="BQ337" s="67">
        <f>IFERROR(IF(($BH337)&gt;0,($BK337)/($BH337),""),"")</f>
        <v/>
      </c>
      <c r="BR337" s="67">
        <f>IFERROR(IF(($BI337)&gt;0,($BL337)/($BI337),""),"")</f>
        <v/>
      </c>
      <c r="BS337" s="67">
        <f>IFERROR(IF(($BJ337)&gt;0,($BM337)/($BJ337),""),"")</f>
        <v/>
      </c>
      <c r="BT337" s="67">
        <f>IFERROR(IF(($BK337)&gt;0,($BN337)/($BK337),""),"")</f>
        <v/>
      </c>
      <c r="BU337" s="67">
        <f>IFERROR(IF(($BL337)&gt;0,($BO337)/($BL337),""),"")</f>
        <v/>
      </c>
      <c r="BV337" s="67">
        <f>IFERROR(IF(($BM337)&gt;0,($BP337)/($BM337),""),"")</f>
        <v/>
      </c>
      <c r="BW337" s="55">
        <f>SUMIFS(tblPlant[Crushed_t],tblPlant[Date],$A337)</f>
        <v/>
      </c>
      <c r="BX337" s="55">
        <f>IF($B337=$B336,$BX336,0)+$BW337</f>
        <v/>
      </c>
      <c r="BY337" s="55">
        <f>$BY336+$BW337</f>
        <v/>
      </c>
      <c r="BZ337" s="55">
        <f>SUMIFS(tblPlant[Milled_t],tblPlant[Date],$A337)</f>
        <v/>
      </c>
      <c r="CA337" s="55">
        <f>IF($B337=$B336,$CA336,0)+$BZ337</f>
        <v/>
      </c>
      <c r="CB337" s="55">
        <f>$CB336+$BZ337</f>
        <v/>
      </c>
      <c r="CC337" s="55">
        <f>SUMIFS(tblPlant[Feed_oz],tblPlant[Date],$A337)</f>
        <v/>
      </c>
      <c r="CD337" s="55">
        <f>IF($B337=$B336,$CD336,0)+$CC337</f>
        <v/>
      </c>
      <c r="CE337" s="55">
        <f>$CE336+$CC337</f>
        <v/>
      </c>
      <c r="CF337" s="55">
        <f>SUMIFS(tblPlant[Tails_oz],tblPlant[Date],$A337)</f>
        <v/>
      </c>
      <c r="CG337" s="55">
        <f>IF($B337=$B336,$CG336,0)+$CF337</f>
        <v/>
      </c>
      <c r="CH337" s="55">
        <f>$CH336+$CF337</f>
        <v/>
      </c>
      <c r="CI337" s="55">
        <f>SUMIFS(tblPlant[Recovered_oz],tblPlant[Date],$A337)</f>
        <v/>
      </c>
      <c r="CJ337" s="55">
        <f>IF($B337=$B336,$CJ336,0)+$CI337</f>
        <v/>
      </c>
      <c r="CK337" s="55">
        <f>$CK336+$CI337</f>
        <v/>
      </c>
      <c r="CL337" s="56">
        <f>IFERROR(IF(($BZ337)&gt;0,($CC337*cfg_TroyOz)/($BZ337),""),"")</f>
        <v/>
      </c>
      <c r="CM337" s="56">
        <f>IFERROR(IF(($CA337)&gt;0,($CD337*cfg_TroyOz)/($CA337),""),"")</f>
        <v/>
      </c>
      <c r="CN337" s="56">
        <f>IFERROR(IF(($CB337)&gt;0,($CE337*cfg_TroyOz)/($CB337),""),"")</f>
        <v/>
      </c>
      <c r="CO337" s="56">
        <f>IFERROR(IF(($BZ337)&gt;0,($CF337*cfg_TroyOz)/($BZ337),""),"")</f>
        <v/>
      </c>
      <c r="CP337" s="56">
        <f>IFERROR(IF(($CA337)&gt;0,($CG337*cfg_TroyOz)/($CA337),""),"")</f>
        <v/>
      </c>
      <c r="CQ337" s="56">
        <f>IFERROR(IF(($CB337)&gt;0,($CH337*cfg_TroyOz)/($CB337),""),"")</f>
        <v/>
      </c>
      <c r="CR337" s="67">
        <f>IFERROR(IF(($CC337)&gt;0,($CI337)/($CC337),""),"")</f>
        <v/>
      </c>
      <c r="CS337" s="67">
        <f>IFERROR(IF(($CD337)&gt;0,($CJ337)/($CD337),""),"")</f>
        <v/>
      </c>
      <c r="CT337" s="67">
        <f>IFERROR(IF(($CE337)&gt;0,($CK337)/($CE337),""),"")</f>
        <v/>
      </c>
      <c r="CU337" s="55">
        <f>SUMIFS(tblPlant[Gravity_Gold_oz],tblPlant[Date],$A337)</f>
        <v/>
      </c>
      <c r="CV337" s="55">
        <f>IF($B337=$B336,$CV336,0)+$CU337</f>
        <v/>
      </c>
      <c r="CW337" s="55">
        <f>$CW336+$CU337</f>
        <v/>
      </c>
      <c r="CX337" s="55">
        <f>SUMIFS(tblPlant[Gold_Poured_oz],tblPlant[Date],$A337)</f>
        <v/>
      </c>
      <c r="CY337" s="55">
        <f>IF($B337=$B336,$CY336,0)+$CX337</f>
        <v/>
      </c>
      <c r="CZ337" s="55">
        <f>$CZ336+$CX337</f>
        <v/>
      </c>
      <c r="DA337" s="57">
        <f>SUMIFS(tblPlant[Mill_Run_h],tblPlant[Date],$A337)</f>
        <v/>
      </c>
      <c r="DB337" s="57">
        <f>IF($B337=$B336,$DB336,0)+$DA337</f>
        <v/>
      </c>
      <c r="DC337" s="57">
        <f>$DC336+$DA337</f>
        <v/>
      </c>
      <c r="DD337" s="57">
        <f>SUMIFS(tblPlant[Mill_Planned_Maint_h],tblPlant[Date],$A337)</f>
        <v/>
      </c>
      <c r="DE337" s="57">
        <f>IF($B337=$B336,$DE336,0)+$DD337</f>
        <v/>
      </c>
      <c r="DF337" s="57">
        <f>$DF336+$DD337</f>
        <v/>
      </c>
      <c r="DG337" s="57">
        <f>SUMIFS(tblPlant[Mill_Unplanned_Down_h],tblPlant[Date],$A337)</f>
        <v/>
      </c>
      <c r="DH337" s="57">
        <f>IF($B337=$B336,$DH336,0)+$DG337</f>
        <v/>
      </c>
      <c r="DI337" s="57">
        <f>$DI336+$DG337</f>
        <v/>
      </c>
      <c r="DJ337" s="57">
        <f>COUNTIFS(tblPlant[Date],$A337,tblPlant[Mill_Run_h],"&lt;&gt;")*24</f>
        <v/>
      </c>
      <c r="DK337" s="57">
        <f>IF($B337=$B336,$DK336,0)+$DJ337</f>
        <v/>
      </c>
      <c r="DL337" s="57">
        <f>$DL336+$DJ337</f>
        <v/>
      </c>
      <c r="DM337" s="57">
        <f>SUMIFS(tblPlant[Crusher_Run_h],tblPlant[Date],$A337)</f>
        <v/>
      </c>
      <c r="DN337" s="57">
        <f>IF($B337=$B336,$DN336,0)+$DM337</f>
        <v/>
      </c>
      <c r="DO337" s="57">
        <f>$DO336+$DM337</f>
        <v/>
      </c>
      <c r="DP337" s="55">
        <f>IFERROR(IF(($DA337)&gt;0,($BZ337)/($DA337),""),"")</f>
        <v/>
      </c>
      <c r="DQ337" s="55">
        <f>IFERROR(IF(($DB337)&gt;0,($CA337)/($DB337),""),"")</f>
        <v/>
      </c>
      <c r="DR337" s="55">
        <f>IFERROR(IF(($DC337)&gt;0,($CB337)/($DC337),""),"")</f>
        <v/>
      </c>
      <c r="DS337" s="67">
        <f>IFERROR(IF(($DJ337)&gt;0,($DJ337-$DD337-$DG337)/($DJ337),""),"")</f>
        <v/>
      </c>
      <c r="DT337" s="67">
        <f>IFERROR(IF(($DK337)&gt;0,($DK337-$DE337-$DH337)/($DK337),""),"")</f>
        <v/>
      </c>
      <c r="DU337" s="67">
        <f>IFERROR(IF(($DL337)&gt;0,($DL337-$DF337-$DI337)/($DL337),""),"")</f>
        <v/>
      </c>
      <c r="DV337" s="67">
        <f>IFERROR(IF(($DJ337-$DD337-$DG337)&gt;0,($DA337)/($DJ337-$DD337-$DG337),""),"")</f>
        <v/>
      </c>
      <c r="DW337" s="67">
        <f>IFERROR(IF(($DK337-$DE337-$DH337)&gt;0,($DB337)/($DK337-$DE337-$DH337),""),"")</f>
        <v/>
      </c>
      <c r="DX337" s="67">
        <f>IFERROR(IF(($DL337-$DF337-$DI337)&gt;0,($DC337)/($DL337-$DF337-$DI337),""),"")</f>
        <v/>
      </c>
      <c r="DY337" s="55">
        <f>SUMIFS(tblPlant[Cyanide_kg],tblPlant[Date],$A337)</f>
        <v/>
      </c>
      <c r="DZ337" s="55">
        <f>IF($B337=$B336,$DZ336,0)+$DY337</f>
        <v/>
      </c>
      <c r="EA337" s="55">
        <f>$EA336+$DY337</f>
        <v/>
      </c>
      <c r="EB337" s="55">
        <f>SUMIFS(tblPlant[Lime_kg],tblPlant[Date],$A337)</f>
        <v/>
      </c>
      <c r="EC337" s="55">
        <f>IF($B337=$B336,$EC336,0)+$EB337</f>
        <v/>
      </c>
      <c r="ED337" s="55">
        <f>$ED336+$EB337</f>
        <v/>
      </c>
      <c r="EE337" s="55">
        <f>SUMIFS(tblPlant[Grinding_Media_kg],tblPlant[Date],$A337)</f>
        <v/>
      </c>
      <c r="EF337" s="55">
        <f>IF($B337=$B336,$EF336,0)+$EE337</f>
        <v/>
      </c>
      <c r="EG337" s="55">
        <f>$EG336+$EE337</f>
        <v/>
      </c>
      <c r="EH337" s="55">
        <f>SUMIFS(tblPlant[Power_kWh],tblPlant[Date],$A337)</f>
        <v/>
      </c>
      <c r="EI337" s="55">
        <f>IF($B337=$B336,$EI336,0)+$EH337</f>
        <v/>
      </c>
      <c r="EJ337" s="55">
        <f>$EJ336+$EH337</f>
        <v/>
      </c>
      <c r="EK337" s="55">
        <f>SUMIFS(tblPlant[Raw_Water_m3],tblPlant[Date],$A337)</f>
        <v/>
      </c>
      <c r="EL337" s="55">
        <f>IF($B337=$B336,$EL336,0)+$EK337</f>
        <v/>
      </c>
      <c r="EM337" s="55">
        <f>$EM336+$EK337</f>
        <v/>
      </c>
      <c r="EN337" s="56">
        <f>IFERROR(IF(($BZ337)&gt;0,($DY337)/($BZ337),""),"")</f>
        <v/>
      </c>
      <c r="EO337" s="56">
        <f>IFERROR(IF(($CA337)&gt;0,($DZ337)/($CA337),""),"")</f>
        <v/>
      </c>
      <c r="EP337" s="56">
        <f>IFERROR(IF(($CB337)&gt;0,($EA337)/($CB337),""),"")</f>
        <v/>
      </c>
      <c r="EQ337" s="56">
        <f>IFERROR(IF(($BZ337)&gt;0,($EB337)/($BZ337),""),"")</f>
        <v/>
      </c>
      <c r="ER337" s="56">
        <f>IFERROR(IF(($CA337)&gt;0,($EC337)/($CA337),""),"")</f>
        <v/>
      </c>
      <c r="ES337" s="56">
        <f>IFERROR(IF(($CB337)&gt;0,($ED337)/($CB337),""),"")</f>
        <v/>
      </c>
      <c r="ET337" s="56">
        <f>IFERROR(IF(($BZ337)&gt;0,($EE337)/($BZ337),""),"")</f>
        <v/>
      </c>
      <c r="EU337" s="56">
        <f>IFERROR(IF(($CA337)&gt;0,($EF337)/($CA337),""),"")</f>
        <v/>
      </c>
      <c r="EV337" s="56">
        <f>IFERROR(IF(($CB337)&gt;0,($EG337)/($CB337),""),"")</f>
        <v/>
      </c>
      <c r="EW337" s="76">
        <f>IFERROR(IF(($BZ337)&gt;0,($EH337)/($BZ337),""),"")</f>
        <v/>
      </c>
      <c r="EX337" s="76">
        <f>IFERROR(IF(($CA337)&gt;0,($EI337)/($CA337),""),"")</f>
        <v/>
      </c>
      <c r="EY337" s="76">
        <f>IFERROR(IF(($CB337)&gt;0,($EJ337)/($CB337),""),"")</f>
        <v/>
      </c>
      <c r="EZ337" s="56">
        <f>IFERROR(IF(($BZ337)&gt;0,($EK337)/($BZ337),""),"")</f>
        <v/>
      </c>
      <c r="FA337" s="56">
        <f>IFERROR(IF(($CA337)&gt;0,($EL337)/($CA337),""),"")</f>
        <v/>
      </c>
      <c r="FB337" s="56">
        <f>IFERROR(IF(($CB337)&gt;0,($EM337)/($CB337),""),"")</f>
        <v/>
      </c>
      <c r="FC337" s="55">
        <f>IF(SUMIFS(tblPlant[GIC_oz],tblPlant[Date],$A337)&gt;0,SUMIFS(tblPlant[GIC_oz],tblPlant[Date],$A337),"")</f>
        <v/>
      </c>
      <c r="FD337" s="55">
        <f>SUMIFS(tblGold[Gold_oz],tblGold[Date],$A337,tblGold[Type],"Shipment")</f>
        <v/>
      </c>
      <c r="FE337" s="55">
        <f>IF($B337=$B336,$FE336,0)+$FD337</f>
        <v/>
      </c>
      <c r="FF337" s="55">
        <f>$FF336+$FD337</f>
        <v/>
      </c>
      <c r="FG337" s="55">
        <f>SUMIFS(tblGold[Gold_oz],tblGold[Date],$A337,tblGold[Type],"Sale")</f>
        <v/>
      </c>
      <c r="FH337" s="55">
        <f>IF($B337=$B336,$FH336,0)+$FG337</f>
        <v/>
      </c>
      <c r="FI337" s="55">
        <f>$FI336+$FG337</f>
        <v/>
      </c>
      <c r="FJ337" s="55">
        <f>SUMIFS(tblGold[Dore_kg],tblGold[Date],$A337,tblGold[Type],"Shipment")</f>
        <v/>
      </c>
      <c r="FK337" s="55">
        <f>IF($B337=$B336,$FK336,0)+$FJ337</f>
        <v/>
      </c>
      <c r="FL337" s="55">
        <f>$FL336+$FJ337</f>
        <v/>
      </c>
      <c r="FM337" s="57">
        <f>SUMIFS(tblSafety[Hours_Total],tblSafety[Date],$A337)</f>
        <v/>
      </c>
      <c r="FN337" s="57">
        <f>IF($B337=$B336,$FN336,0)+$FM337</f>
        <v/>
      </c>
      <c r="FO337" s="57">
        <f>$FO336+$FM337</f>
        <v/>
      </c>
      <c r="FP337" s="62">
        <f>SUMIFS(tblSafety[Fatality],tblSafety[Date],$A337)</f>
        <v/>
      </c>
      <c r="FQ337" s="62">
        <f>IF($B337=$B336,$FQ336,0)+$FP337</f>
        <v/>
      </c>
      <c r="FR337" s="62">
        <f>$FR336+$FP337</f>
        <v/>
      </c>
      <c r="FS337" s="62">
        <f>SUMIFS(tblSafety[LTI],tblSafety[Date],$A337)</f>
        <v/>
      </c>
      <c r="FT337" s="62">
        <f>IF($B337=$B336,$FT336,0)+$FS337</f>
        <v/>
      </c>
      <c r="FU337" s="62">
        <f>$FU336+$FS337</f>
        <v/>
      </c>
      <c r="FV337" s="62">
        <f>SUMIFS(tblSafety[RWI],tblSafety[Date],$A337)</f>
        <v/>
      </c>
      <c r="FW337" s="62">
        <f>IF($B337=$B336,$FW336,0)+$FV337</f>
        <v/>
      </c>
      <c r="FX337" s="62">
        <f>$FX336+$FV337</f>
        <v/>
      </c>
      <c r="FY337" s="62">
        <f>SUMIFS(tblSafety[MTI],tblSafety[Date],$A337)</f>
        <v/>
      </c>
      <c r="FZ337" s="62">
        <f>IF($B337=$B336,$FZ336,0)+$FY337</f>
        <v/>
      </c>
      <c r="GA337" s="62">
        <f>$GA336+$FY337</f>
        <v/>
      </c>
      <c r="GB337" s="62">
        <f>SUMIFS(tblSafety[FAI],tblSafety[Date],$A337)</f>
        <v/>
      </c>
      <c r="GC337" s="62">
        <f>IF($B337=$B336,$GC336,0)+$GB337</f>
        <v/>
      </c>
      <c r="GD337" s="62">
        <f>$GD336+$GB337</f>
        <v/>
      </c>
      <c r="GE337" s="62">
        <f>SUMIFS(tblSafety[Recordables],tblSafety[Date],$A337)</f>
        <v/>
      </c>
      <c r="GF337" s="62">
        <f>IF($B337=$B336,$GF336,0)+$GE337</f>
        <v/>
      </c>
      <c r="GG337" s="62">
        <f>$GG336+$GE337</f>
        <v/>
      </c>
      <c r="GH337" s="62">
        <f>SUMIFS(tblSafety[Near_Miss],tblSafety[Date],$A337)</f>
        <v/>
      </c>
      <c r="GI337" s="62">
        <f>IF($B337=$B336,$GI336,0)+$GH337</f>
        <v/>
      </c>
      <c r="GJ337" s="62">
        <f>$GJ336+$GH337</f>
        <v/>
      </c>
      <c r="GK337" s="62">
        <f>SUMIFS(tblSafety[Hazard_Reports],tblSafety[Date],$A337)</f>
        <v/>
      </c>
      <c r="GL337" s="62">
        <f>IF($B337=$B336,$GL336,0)+$GK337</f>
        <v/>
      </c>
      <c r="GM337" s="62">
        <f>$GM336+$GK337</f>
        <v/>
      </c>
      <c r="GN337" s="62">
        <f>SUMIFS(tblSafety[HPI],tblSafety[Date],$A337)</f>
        <v/>
      </c>
      <c r="GO337" s="62">
        <f>IF($B337=$B336,$GO336,0)+$GN337</f>
        <v/>
      </c>
      <c r="GP337" s="62">
        <f>$GP336+$GN337</f>
        <v/>
      </c>
      <c r="GQ337" s="62">
        <f>SUMIFS(tblSafety[Env_Incidents],tblSafety[Date],$A337)</f>
        <v/>
      </c>
      <c r="GR337" s="62">
        <f>IF($B337=$B336,$GR336,0)+$GQ337</f>
        <v/>
      </c>
      <c r="GS337" s="62">
        <f>$GS336+$GQ337</f>
        <v/>
      </c>
      <c r="GT337" s="62">
        <f>SUMIFS(tblSafety[Community_Incidents],tblSafety[Date],$A337)</f>
        <v/>
      </c>
      <c r="GU337" s="62">
        <f>IF($B337=$B336,$GU336,0)+$GT337</f>
        <v/>
      </c>
      <c r="GV337" s="62">
        <f>$GV336+$GT337</f>
        <v/>
      </c>
      <c r="GW337" s="62">
        <f>SUMIFS(tblSafety[Vehicle_Incidents],tblSafety[Date],$A337)</f>
        <v/>
      </c>
      <c r="GX337" s="62">
        <f>IF($B337=$B336,$GX336,0)+$GW337</f>
        <v/>
      </c>
      <c r="GY337" s="62">
        <f>$GY336+$GW337</f>
        <v/>
      </c>
      <c r="GZ337" s="62">
        <f>SUMIFS(tblSafety[Toolbox_Talks],tblSafety[Date],$A337)</f>
        <v/>
      </c>
      <c r="HA337" s="62">
        <f>IF($B337=$B336,$HA336,0)+$GZ337</f>
        <v/>
      </c>
      <c r="HB337" s="62">
        <f>$HB336+$GZ337</f>
        <v/>
      </c>
      <c r="HC337" s="62">
        <f>SUMIFS(tblSafety[Inspections],tblSafety[Date],$A337)</f>
        <v/>
      </c>
      <c r="HD337" s="62">
        <f>IF($B337=$B336,$HD336,0)+$HC337</f>
        <v/>
      </c>
      <c r="HE337" s="62">
        <f>$HE336+$HC337</f>
        <v/>
      </c>
      <c r="HF337" s="56">
        <f>IFERROR((SUMIFS(tblSafety[Recordables],tblSafety[Date],"&gt;="&amp;EDATE($E337,-12),tblSafety[Date],"&lt;="&amp;$A337)+SUMIFS(tblSafetyHistory[Recordables],tblSafetyHistory[Month],"&gt;="&amp;EDATE($E337,-12),tblSafetyHistory[Month],"&lt;"&amp;cfg_YearStart))/(SUMIFS(tblSafety[Hours_Total],tblSafety[Date],"&gt;="&amp;EDATE($E337,-12),tblSafety[Date],"&lt;="&amp;$A337)+SUMIFS(tblSafetyHistory[Hours_Total],tblSafetyHistory[Month],"&gt;="&amp;EDATE($E337,-12),tblSafetyHistory[Month],"&lt;"&amp;cfg_YearStart))*1000000,"")</f>
        <v/>
      </c>
      <c r="HG337" s="56">
        <f>IFERROR((SUMIFS(tblSafety[LTI],tblSafety[Date],"&gt;="&amp;EDATE($E337,-12),tblSafety[Date],"&lt;="&amp;$A337)+SUMIFS(tblSafetyHistory[LTI],tblSafetyHistory[Month],"&gt;="&amp;EDATE($E337,-12),tblSafetyHistory[Month],"&lt;"&amp;cfg_YearStart))/(SUMIFS(tblSafety[Hours_Total],tblSafety[Date],"&gt;="&amp;EDATE($E337,-12),tblSafety[Date],"&lt;="&amp;$A337)+SUMIFS(tblSafetyHistory[Hours_Total],tblSafetyHistory[Month],"&gt;="&amp;EDATE($E337,-12),tblSafetyHistory[Month],"&lt;"&amp;cfg_YearStart))*1000000,"")</f>
        <v/>
      </c>
      <c r="HH337" s="62">
        <f>IF(MAX(N(cfg_PriorLTIDate),_xlfn.MAXIFS(tblSafety[Date],tblSafety[LTI],"&gt;0",tblSafety[Date],"&lt;="&amp;$A337))=0,"",$A337-MAX(N(cfg_PriorLTIDate),_xlfn.MAXIFS(tblSafety[Date],tblSafety[LTI],"&gt;0",tblSafety[Date],"&lt;="&amp;$A337)))</f>
        <v/>
      </c>
      <c r="HI337" s="55">
        <f>SUMIFS(tblBudget[Ore_Mined_t],tblBudget[Month],$E337)</f>
        <v/>
      </c>
      <c r="HJ337" s="55">
        <f>$HI337*$C337/$D337</f>
        <v/>
      </c>
      <c r="HK337" s="55">
        <f>SUMIFS(tblBudget[Ore_Mined_t],tblBudget[Month],"&lt;"&amp;$E337)+$HJ337</f>
        <v/>
      </c>
      <c r="HL337" s="55">
        <f>SUMIFS(tblBudget[Ore_oz],tblBudget[Month],$E337)</f>
        <v/>
      </c>
      <c r="HM337" s="55">
        <f>$HL337*$C337/$D337</f>
        <v/>
      </c>
      <c r="HN337" s="55">
        <f>SUMIFS(tblBudget[Ore_oz],tblBudget[Month],"&lt;"&amp;$E337)+$HM337</f>
        <v/>
      </c>
      <c r="HO337" s="56">
        <f>IFERROR(IF(($HI337)&gt;0,($HL337*cfg_TroyOz)/($HI337),""),"")</f>
        <v/>
      </c>
      <c r="HP337" s="56">
        <f>IFERROR(IF(($HJ337)&gt;0,($HM337*cfg_TroyOz)/($HJ337),""),"")</f>
        <v/>
      </c>
      <c r="HQ337" s="56">
        <f>IFERROR(IF(($HK337)&gt;0,($HN337*cfg_TroyOz)/($HK337),""),"")</f>
        <v/>
      </c>
      <c r="HR337" s="55">
        <f>SUMIFS(tblBudget[Waste_t],tblBudget[Month],$E337)</f>
        <v/>
      </c>
      <c r="HS337" s="55">
        <f>$HR337*$C337/$D337</f>
        <v/>
      </c>
      <c r="HT337" s="55">
        <f>SUMIFS(tblBudget[Waste_t],tblBudget[Month],"&lt;"&amp;$E337)+$HS337</f>
        <v/>
      </c>
      <c r="HU337" s="55">
        <f>SUMIFS(tblBudget[TMM_t],tblBudget[Month],$E337)</f>
        <v/>
      </c>
      <c r="HV337" s="55">
        <f>$HU337*$C337/$D337</f>
        <v/>
      </c>
      <c r="HW337" s="55">
        <f>SUMIFS(tblBudget[TMM_t],tblBudget[Month],"&lt;"&amp;$E337)+$HV337</f>
        <v/>
      </c>
      <c r="HX337" s="56">
        <f>IFERROR(IF(($HI337)&gt;0,($HR337)/($HI337),""),"")</f>
        <v/>
      </c>
      <c r="HY337" s="56">
        <f>IFERROR(IF(($HJ337)&gt;0,($HS337)/($HJ337),""),"")</f>
        <v/>
      </c>
      <c r="HZ337" s="56">
        <f>IFERROR(IF(($HK337)&gt;0,($HT337)/($HK337),""),"")</f>
        <v/>
      </c>
      <c r="IA337" s="55">
        <f>SUMIFS(tblBudget[Drill_m],tblBudget[Month],$E337)</f>
        <v/>
      </c>
      <c r="IB337" s="55">
        <f>$IA337*$C337/$D337</f>
        <v/>
      </c>
      <c r="IC337" s="55">
        <f>SUMIFS(tblBudget[Drill_m],tblBudget[Month],"&lt;"&amp;$E337)+$IB337</f>
        <v/>
      </c>
      <c r="ID337" s="55">
        <f>SUMIFS(tblBudget[Diesel_L],tblBudget[Month],$E337)</f>
        <v/>
      </c>
      <c r="IE337" s="55">
        <f>$ID337*$C337/$D337</f>
        <v/>
      </c>
      <c r="IF337" s="55">
        <f>SUMIFS(tblBudget[Diesel_L],tblBudget[Month],"&lt;"&amp;$E337)+$IE337</f>
        <v/>
      </c>
      <c r="IG337" s="55">
        <f>SUMIFS(tblBudget[Milled_t],tblBudget[Month],$E337)</f>
        <v/>
      </c>
      <c r="IH337" s="55">
        <f>$IG337*$C337/$D337</f>
        <v/>
      </c>
      <c r="II337" s="55">
        <f>SUMIFS(tblBudget[Milled_t],tblBudget[Month],"&lt;"&amp;$E337)+$IH337</f>
        <v/>
      </c>
      <c r="IJ337" s="55">
        <f>SUMIFS(tblBudget[Feed_oz],tblBudget[Month],$E337)</f>
        <v/>
      </c>
      <c r="IK337" s="55">
        <f>$IJ337*$C337/$D337</f>
        <v/>
      </c>
      <c r="IL337" s="55">
        <f>SUMIFS(tblBudget[Feed_oz],tblBudget[Month],"&lt;"&amp;$E337)+$IK337</f>
        <v/>
      </c>
      <c r="IM337" s="55">
        <f>SUMIFS(tblBudget[Recovered_oz],tblBudget[Month],$E337)</f>
        <v/>
      </c>
      <c r="IN337" s="55">
        <f>$IM337*$C337/$D337</f>
        <v/>
      </c>
      <c r="IO337" s="55">
        <f>SUMIFS(tblBudget[Recovered_oz],tblBudget[Month],"&lt;"&amp;$E337)+$IN337</f>
        <v/>
      </c>
      <c r="IP337" s="56">
        <f>IFERROR(IF(($IG337)&gt;0,($IJ337*cfg_TroyOz)/($IG337),""),"")</f>
        <v/>
      </c>
      <c r="IQ337" s="56">
        <f>IFERROR(IF(($IH337)&gt;0,($IK337*cfg_TroyOz)/($IH337),""),"")</f>
        <v/>
      </c>
      <c r="IR337" s="56">
        <f>IFERROR(IF(($II337)&gt;0,($IL337*cfg_TroyOz)/($II337),""),"")</f>
        <v/>
      </c>
      <c r="IS337" s="67">
        <f>IFERROR(IF(($IJ337)&gt;0,($IM337)/($IJ337),""),"")</f>
        <v/>
      </c>
      <c r="IT337" s="67">
        <f>IFERROR(IF(($IK337)&gt;0,($IN337)/($IK337),""),"")</f>
        <v/>
      </c>
      <c r="IU337" s="67">
        <f>IFERROR(IF(($IL337)&gt;0,($IO337)/($IL337),""),"")</f>
        <v/>
      </c>
      <c r="IV337" s="55">
        <f>SUMIFS(tblBudget[Gold_Poured_oz],tblBudget[Month],$E337)</f>
        <v/>
      </c>
      <c r="IW337" s="55">
        <f>$IV337*$C337/$D337</f>
        <v/>
      </c>
      <c r="IX337" s="55">
        <f>SUMIFS(tblBudget[Gold_Poured_oz],tblBudget[Month],"&lt;"&amp;$E337)+$IW337</f>
        <v/>
      </c>
      <c r="IY337" s="57">
        <f>SUMIFS(tblBudget[Hours_Worked],tblBudget[Month],$E337)</f>
        <v/>
      </c>
      <c r="IZ337" s="57">
        <f>$IY337*$C337/$D337</f>
        <v/>
      </c>
      <c r="JA337" s="57">
        <f>SUMIFS(tblBudget[Hours_Worked],tblBudget[Month],"&lt;"&amp;$E337)+$IZ337</f>
        <v/>
      </c>
    </row>
    <row r="338">
      <c r="A338" s="54" t="n">
        <v>46359</v>
      </c>
      <c r="B338">
        <f>MONTH($A338)</f>
        <v/>
      </c>
      <c r="C338">
        <f>DAY($A338)</f>
        <v/>
      </c>
      <c r="D338">
        <f>DAY(EOMONTH($A338,0))</f>
        <v/>
      </c>
      <c r="E338" s="54">
        <f>DATE(YEAR($A338),MONTH($A338),1)</f>
        <v/>
      </c>
      <c r="F338" s="55">
        <f>SUMIFS(tblMovement[Tonnes_t],tblMovement[Date],$A338,tblMovement[Is_Ore],1,tblMovement[Source_Type],"Pit")</f>
        <v/>
      </c>
      <c r="G338" s="55">
        <f>IF($B338=$B337,$G337,0)+$F338</f>
        <v/>
      </c>
      <c r="H338" s="55">
        <f>$H337+$F338</f>
        <v/>
      </c>
      <c r="I338" s="55">
        <f>SUMIFS(tblMovement[Ore_oz],tblMovement[Date],$A338,tblMovement[Source_Type],"Pit")</f>
        <v/>
      </c>
      <c r="J338" s="55">
        <f>IF($B338=$B337,$J337,0)+$I338</f>
        <v/>
      </c>
      <c r="K338" s="55">
        <f>$K337+$I338</f>
        <v/>
      </c>
      <c r="L338" s="56">
        <f>IFERROR(IF(($F338)&gt;0,($I338*cfg_TroyOz)/($F338),""),"")</f>
        <v/>
      </c>
      <c r="M338" s="56">
        <f>IFERROR(IF(($G338)&gt;0,($J338*cfg_TroyOz)/($G338),""),"")</f>
        <v/>
      </c>
      <c r="N338" s="56">
        <f>IFERROR(IF(($H338)&gt;0,($K338*cfg_TroyOz)/($H338),""),"")</f>
        <v/>
      </c>
      <c r="O338" s="55">
        <f>SUMIFS(tblMovement[Tonnes_t],tblMovement[Date],$A338,tblMovement[Is_Ore],0,tblMovement[Source_Type],"Pit")</f>
        <v/>
      </c>
      <c r="P338" s="55">
        <f>IF($B338=$B337,$P337,0)+$O338</f>
        <v/>
      </c>
      <c r="Q338" s="55">
        <f>$Q337+$O338</f>
        <v/>
      </c>
      <c r="R338" s="55">
        <f>$F338+$O338</f>
        <v/>
      </c>
      <c r="S338" s="55">
        <f>IF($B338=$B337,$S337,0)+$R338</f>
        <v/>
      </c>
      <c r="T338" s="55">
        <f>$T337+$R338</f>
        <v/>
      </c>
      <c r="U338" s="56">
        <f>IFERROR(IF(($F338)&gt;0,($O338)/($F338),""),"")</f>
        <v/>
      </c>
      <c r="V338" s="56">
        <f>IFERROR(IF(($G338)&gt;0,($P338)/($G338),""),"")</f>
        <v/>
      </c>
      <c r="W338" s="56">
        <f>IFERROR(IF(($H338)&gt;0,($Q338)/($H338),""),"")</f>
        <v/>
      </c>
      <c r="X338" s="55">
        <f>SUMIFS(tblMovement[Tonnes_t],tblMovement[Date],$A338,tblMovement[Source_Type],"Stockpile")</f>
        <v/>
      </c>
      <c r="Y338" s="55">
        <f>IF($B338=$B337,$Y337,0)+$X338</f>
        <v/>
      </c>
      <c r="Z338" s="55">
        <f>$Z337+$X338</f>
        <v/>
      </c>
      <c r="AA338" s="55">
        <f>SUMIFS(tblMiningDaily[Drill_m],tblMiningDaily[Date],$A338)</f>
        <v/>
      </c>
      <c r="AB338" s="55">
        <f>IF($B338=$B337,$AB337,0)+$AA338</f>
        <v/>
      </c>
      <c r="AC338" s="55">
        <f>$AC337+$AA338</f>
        <v/>
      </c>
      <c r="AD338" s="55">
        <f>SUMIFS(tblMiningDaily[Blast_t],tblMiningDaily[Date],$A338)</f>
        <v/>
      </c>
      <c r="AE338" s="55">
        <f>IF($B338=$B337,$AE337,0)+$AD338</f>
        <v/>
      </c>
      <c r="AF338" s="55">
        <f>$AF337+$AD338</f>
        <v/>
      </c>
      <c r="AG338" s="55">
        <f>SUMIFS(tblMiningDaily[Explosives_kg],tblMiningDaily[Date],$A338)</f>
        <v/>
      </c>
      <c r="AH338" s="55">
        <f>IF($B338=$B337,$AH337,0)+$AG338</f>
        <v/>
      </c>
      <c r="AI338" s="55">
        <f>$AI337+$AG338</f>
        <v/>
      </c>
      <c r="AJ338" s="56">
        <f>IFERROR(IF(($AD338)&gt;0,($AG338)/($AD338),""),"")</f>
        <v/>
      </c>
      <c r="AK338" s="56">
        <f>IFERROR(IF(($AE338)&gt;0,($AH338)/($AE338),""),"")</f>
        <v/>
      </c>
      <c r="AL338" s="56">
        <f>IFERROR(IF(($AF338)&gt;0,($AI338)/($AF338),""),"")</f>
        <v/>
      </c>
      <c r="AM338" s="55">
        <f>SUMIFS(tblMiningDaily[Diesel_L],tblMiningDaily[Date],$A338)</f>
        <v/>
      </c>
      <c r="AN338" s="55">
        <f>IF($B338=$B337,$AN337,0)+$AM338</f>
        <v/>
      </c>
      <c r="AO338" s="55">
        <f>$AO337+$AM338</f>
        <v/>
      </c>
      <c r="AP338" s="55">
        <f>SUMIFS(tblMiningDaily[Dewatering_m3],tblMiningDaily[Date],$A338)</f>
        <v/>
      </c>
      <c r="AQ338" s="55">
        <f>IF($B338=$B337,$AQ337,0)+$AP338</f>
        <v/>
      </c>
      <c r="AR338" s="55">
        <f>$AR337+$AP338</f>
        <v/>
      </c>
      <c r="AS338" s="57">
        <f>SUMIFS(tblFleet[Calendar_h],tblFleet[Date],$A338,tblFleet[Equipment_Class],"Excavator")</f>
        <v/>
      </c>
      <c r="AT338" s="57">
        <f>IF($B338=$B337,$AT337,0)+$AS338</f>
        <v/>
      </c>
      <c r="AU338" s="57">
        <f>$AU337+$AS338</f>
        <v/>
      </c>
      <c r="AV338" s="57">
        <f>SUMIFS(tblFleet[Available_h],tblFleet[Date],$A338,tblFleet[Equipment_Class],"Excavator")</f>
        <v/>
      </c>
      <c r="AW338" s="57">
        <f>IF($B338=$B337,$AW337,0)+$AV338</f>
        <v/>
      </c>
      <c r="AX338" s="57">
        <f>$AX337+$AV338</f>
        <v/>
      </c>
      <c r="AY338" s="57">
        <f>SUMIFS(tblFleet[Operating_h],tblFleet[Date],$A338,tblFleet[Equipment_Class],"Excavator")</f>
        <v/>
      </c>
      <c r="AZ338" s="57">
        <f>IF($B338=$B337,$AZ337,0)+$AY338</f>
        <v/>
      </c>
      <c r="BA338" s="57">
        <f>$BA337+$AY338</f>
        <v/>
      </c>
      <c r="BB338" s="67">
        <f>IFERROR(IF(($AS338)&gt;0,($AV338)/($AS338),""),"")</f>
        <v/>
      </c>
      <c r="BC338" s="67">
        <f>IFERROR(IF(($AT338)&gt;0,($AW338)/($AT338),""),"")</f>
        <v/>
      </c>
      <c r="BD338" s="67">
        <f>IFERROR(IF(($AU338)&gt;0,($AX338)/($AU338),""),"")</f>
        <v/>
      </c>
      <c r="BE338" s="67">
        <f>IFERROR(IF(($AV338)&gt;0,($AY338)/($AV338),""),"")</f>
        <v/>
      </c>
      <c r="BF338" s="67">
        <f>IFERROR(IF(($AW338)&gt;0,($AZ338)/($AW338),""),"")</f>
        <v/>
      </c>
      <c r="BG338" s="67">
        <f>IFERROR(IF(($AX338)&gt;0,($BA338)/($AX338),""),"")</f>
        <v/>
      </c>
      <c r="BH338" s="57">
        <f>SUMIFS(tblFleet[Calendar_h],tblFleet[Date],$A338,tblFleet[Equipment_Class],"Haul Truck")</f>
        <v/>
      </c>
      <c r="BI338" s="57">
        <f>IF($B338=$B337,$BI337,0)+$BH338</f>
        <v/>
      </c>
      <c r="BJ338" s="57">
        <f>$BJ337+$BH338</f>
        <v/>
      </c>
      <c r="BK338" s="57">
        <f>SUMIFS(tblFleet[Available_h],tblFleet[Date],$A338,tblFleet[Equipment_Class],"Haul Truck")</f>
        <v/>
      </c>
      <c r="BL338" s="57">
        <f>IF($B338=$B337,$BL337,0)+$BK338</f>
        <v/>
      </c>
      <c r="BM338" s="57">
        <f>$BM337+$BK338</f>
        <v/>
      </c>
      <c r="BN338" s="57">
        <f>SUMIFS(tblFleet[Operating_h],tblFleet[Date],$A338,tblFleet[Equipment_Class],"Haul Truck")</f>
        <v/>
      </c>
      <c r="BO338" s="57">
        <f>IF($B338=$B337,$BO337,0)+$BN338</f>
        <v/>
      </c>
      <c r="BP338" s="57">
        <f>$BP337+$BN338</f>
        <v/>
      </c>
      <c r="BQ338" s="67">
        <f>IFERROR(IF(($BH338)&gt;0,($BK338)/($BH338),""),"")</f>
        <v/>
      </c>
      <c r="BR338" s="67">
        <f>IFERROR(IF(($BI338)&gt;0,($BL338)/($BI338),""),"")</f>
        <v/>
      </c>
      <c r="BS338" s="67">
        <f>IFERROR(IF(($BJ338)&gt;0,($BM338)/($BJ338),""),"")</f>
        <v/>
      </c>
      <c r="BT338" s="67">
        <f>IFERROR(IF(($BK338)&gt;0,($BN338)/($BK338),""),"")</f>
        <v/>
      </c>
      <c r="BU338" s="67">
        <f>IFERROR(IF(($BL338)&gt;0,($BO338)/($BL338),""),"")</f>
        <v/>
      </c>
      <c r="BV338" s="67">
        <f>IFERROR(IF(($BM338)&gt;0,($BP338)/($BM338),""),"")</f>
        <v/>
      </c>
      <c r="BW338" s="55">
        <f>SUMIFS(tblPlant[Crushed_t],tblPlant[Date],$A338)</f>
        <v/>
      </c>
      <c r="BX338" s="55">
        <f>IF($B338=$B337,$BX337,0)+$BW338</f>
        <v/>
      </c>
      <c r="BY338" s="55">
        <f>$BY337+$BW338</f>
        <v/>
      </c>
      <c r="BZ338" s="55">
        <f>SUMIFS(tblPlant[Milled_t],tblPlant[Date],$A338)</f>
        <v/>
      </c>
      <c r="CA338" s="55">
        <f>IF($B338=$B337,$CA337,0)+$BZ338</f>
        <v/>
      </c>
      <c r="CB338" s="55">
        <f>$CB337+$BZ338</f>
        <v/>
      </c>
      <c r="CC338" s="55">
        <f>SUMIFS(tblPlant[Feed_oz],tblPlant[Date],$A338)</f>
        <v/>
      </c>
      <c r="CD338" s="55">
        <f>IF($B338=$B337,$CD337,0)+$CC338</f>
        <v/>
      </c>
      <c r="CE338" s="55">
        <f>$CE337+$CC338</f>
        <v/>
      </c>
      <c r="CF338" s="55">
        <f>SUMIFS(tblPlant[Tails_oz],tblPlant[Date],$A338)</f>
        <v/>
      </c>
      <c r="CG338" s="55">
        <f>IF($B338=$B337,$CG337,0)+$CF338</f>
        <v/>
      </c>
      <c r="CH338" s="55">
        <f>$CH337+$CF338</f>
        <v/>
      </c>
      <c r="CI338" s="55">
        <f>SUMIFS(tblPlant[Recovered_oz],tblPlant[Date],$A338)</f>
        <v/>
      </c>
      <c r="CJ338" s="55">
        <f>IF($B338=$B337,$CJ337,0)+$CI338</f>
        <v/>
      </c>
      <c r="CK338" s="55">
        <f>$CK337+$CI338</f>
        <v/>
      </c>
      <c r="CL338" s="56">
        <f>IFERROR(IF(($BZ338)&gt;0,($CC338*cfg_TroyOz)/($BZ338),""),"")</f>
        <v/>
      </c>
      <c r="CM338" s="56">
        <f>IFERROR(IF(($CA338)&gt;0,($CD338*cfg_TroyOz)/($CA338),""),"")</f>
        <v/>
      </c>
      <c r="CN338" s="56">
        <f>IFERROR(IF(($CB338)&gt;0,($CE338*cfg_TroyOz)/($CB338),""),"")</f>
        <v/>
      </c>
      <c r="CO338" s="56">
        <f>IFERROR(IF(($BZ338)&gt;0,($CF338*cfg_TroyOz)/($BZ338),""),"")</f>
        <v/>
      </c>
      <c r="CP338" s="56">
        <f>IFERROR(IF(($CA338)&gt;0,($CG338*cfg_TroyOz)/($CA338),""),"")</f>
        <v/>
      </c>
      <c r="CQ338" s="56">
        <f>IFERROR(IF(($CB338)&gt;0,($CH338*cfg_TroyOz)/($CB338),""),"")</f>
        <v/>
      </c>
      <c r="CR338" s="67">
        <f>IFERROR(IF(($CC338)&gt;0,($CI338)/($CC338),""),"")</f>
        <v/>
      </c>
      <c r="CS338" s="67">
        <f>IFERROR(IF(($CD338)&gt;0,($CJ338)/($CD338),""),"")</f>
        <v/>
      </c>
      <c r="CT338" s="67">
        <f>IFERROR(IF(($CE338)&gt;0,($CK338)/($CE338),""),"")</f>
        <v/>
      </c>
      <c r="CU338" s="55">
        <f>SUMIFS(tblPlant[Gravity_Gold_oz],tblPlant[Date],$A338)</f>
        <v/>
      </c>
      <c r="CV338" s="55">
        <f>IF($B338=$B337,$CV337,0)+$CU338</f>
        <v/>
      </c>
      <c r="CW338" s="55">
        <f>$CW337+$CU338</f>
        <v/>
      </c>
      <c r="CX338" s="55">
        <f>SUMIFS(tblPlant[Gold_Poured_oz],tblPlant[Date],$A338)</f>
        <v/>
      </c>
      <c r="CY338" s="55">
        <f>IF($B338=$B337,$CY337,0)+$CX338</f>
        <v/>
      </c>
      <c r="CZ338" s="55">
        <f>$CZ337+$CX338</f>
        <v/>
      </c>
      <c r="DA338" s="57">
        <f>SUMIFS(tblPlant[Mill_Run_h],tblPlant[Date],$A338)</f>
        <v/>
      </c>
      <c r="DB338" s="57">
        <f>IF($B338=$B337,$DB337,0)+$DA338</f>
        <v/>
      </c>
      <c r="DC338" s="57">
        <f>$DC337+$DA338</f>
        <v/>
      </c>
      <c r="DD338" s="57">
        <f>SUMIFS(tblPlant[Mill_Planned_Maint_h],tblPlant[Date],$A338)</f>
        <v/>
      </c>
      <c r="DE338" s="57">
        <f>IF($B338=$B337,$DE337,0)+$DD338</f>
        <v/>
      </c>
      <c r="DF338" s="57">
        <f>$DF337+$DD338</f>
        <v/>
      </c>
      <c r="DG338" s="57">
        <f>SUMIFS(tblPlant[Mill_Unplanned_Down_h],tblPlant[Date],$A338)</f>
        <v/>
      </c>
      <c r="DH338" s="57">
        <f>IF($B338=$B337,$DH337,0)+$DG338</f>
        <v/>
      </c>
      <c r="DI338" s="57">
        <f>$DI337+$DG338</f>
        <v/>
      </c>
      <c r="DJ338" s="57">
        <f>COUNTIFS(tblPlant[Date],$A338,tblPlant[Mill_Run_h],"&lt;&gt;")*24</f>
        <v/>
      </c>
      <c r="DK338" s="57">
        <f>IF($B338=$B337,$DK337,0)+$DJ338</f>
        <v/>
      </c>
      <c r="DL338" s="57">
        <f>$DL337+$DJ338</f>
        <v/>
      </c>
      <c r="DM338" s="57">
        <f>SUMIFS(tblPlant[Crusher_Run_h],tblPlant[Date],$A338)</f>
        <v/>
      </c>
      <c r="DN338" s="57">
        <f>IF($B338=$B337,$DN337,0)+$DM338</f>
        <v/>
      </c>
      <c r="DO338" s="57">
        <f>$DO337+$DM338</f>
        <v/>
      </c>
      <c r="DP338" s="55">
        <f>IFERROR(IF(($DA338)&gt;0,($BZ338)/($DA338),""),"")</f>
        <v/>
      </c>
      <c r="DQ338" s="55">
        <f>IFERROR(IF(($DB338)&gt;0,($CA338)/($DB338),""),"")</f>
        <v/>
      </c>
      <c r="DR338" s="55">
        <f>IFERROR(IF(($DC338)&gt;0,($CB338)/($DC338),""),"")</f>
        <v/>
      </c>
      <c r="DS338" s="67">
        <f>IFERROR(IF(($DJ338)&gt;0,($DJ338-$DD338-$DG338)/($DJ338),""),"")</f>
        <v/>
      </c>
      <c r="DT338" s="67">
        <f>IFERROR(IF(($DK338)&gt;0,($DK338-$DE338-$DH338)/($DK338),""),"")</f>
        <v/>
      </c>
      <c r="DU338" s="67">
        <f>IFERROR(IF(($DL338)&gt;0,($DL338-$DF338-$DI338)/($DL338),""),"")</f>
        <v/>
      </c>
      <c r="DV338" s="67">
        <f>IFERROR(IF(($DJ338-$DD338-$DG338)&gt;0,($DA338)/($DJ338-$DD338-$DG338),""),"")</f>
        <v/>
      </c>
      <c r="DW338" s="67">
        <f>IFERROR(IF(($DK338-$DE338-$DH338)&gt;0,($DB338)/($DK338-$DE338-$DH338),""),"")</f>
        <v/>
      </c>
      <c r="DX338" s="67">
        <f>IFERROR(IF(($DL338-$DF338-$DI338)&gt;0,($DC338)/($DL338-$DF338-$DI338),""),"")</f>
        <v/>
      </c>
      <c r="DY338" s="55">
        <f>SUMIFS(tblPlant[Cyanide_kg],tblPlant[Date],$A338)</f>
        <v/>
      </c>
      <c r="DZ338" s="55">
        <f>IF($B338=$B337,$DZ337,0)+$DY338</f>
        <v/>
      </c>
      <c r="EA338" s="55">
        <f>$EA337+$DY338</f>
        <v/>
      </c>
      <c r="EB338" s="55">
        <f>SUMIFS(tblPlant[Lime_kg],tblPlant[Date],$A338)</f>
        <v/>
      </c>
      <c r="EC338" s="55">
        <f>IF($B338=$B337,$EC337,0)+$EB338</f>
        <v/>
      </c>
      <c r="ED338" s="55">
        <f>$ED337+$EB338</f>
        <v/>
      </c>
      <c r="EE338" s="55">
        <f>SUMIFS(tblPlant[Grinding_Media_kg],tblPlant[Date],$A338)</f>
        <v/>
      </c>
      <c r="EF338" s="55">
        <f>IF($B338=$B337,$EF337,0)+$EE338</f>
        <v/>
      </c>
      <c r="EG338" s="55">
        <f>$EG337+$EE338</f>
        <v/>
      </c>
      <c r="EH338" s="55">
        <f>SUMIFS(tblPlant[Power_kWh],tblPlant[Date],$A338)</f>
        <v/>
      </c>
      <c r="EI338" s="55">
        <f>IF($B338=$B337,$EI337,0)+$EH338</f>
        <v/>
      </c>
      <c r="EJ338" s="55">
        <f>$EJ337+$EH338</f>
        <v/>
      </c>
      <c r="EK338" s="55">
        <f>SUMIFS(tblPlant[Raw_Water_m3],tblPlant[Date],$A338)</f>
        <v/>
      </c>
      <c r="EL338" s="55">
        <f>IF($B338=$B337,$EL337,0)+$EK338</f>
        <v/>
      </c>
      <c r="EM338" s="55">
        <f>$EM337+$EK338</f>
        <v/>
      </c>
      <c r="EN338" s="56">
        <f>IFERROR(IF(($BZ338)&gt;0,($DY338)/($BZ338),""),"")</f>
        <v/>
      </c>
      <c r="EO338" s="56">
        <f>IFERROR(IF(($CA338)&gt;0,($DZ338)/($CA338),""),"")</f>
        <v/>
      </c>
      <c r="EP338" s="56">
        <f>IFERROR(IF(($CB338)&gt;0,($EA338)/($CB338),""),"")</f>
        <v/>
      </c>
      <c r="EQ338" s="56">
        <f>IFERROR(IF(($BZ338)&gt;0,($EB338)/($BZ338),""),"")</f>
        <v/>
      </c>
      <c r="ER338" s="56">
        <f>IFERROR(IF(($CA338)&gt;0,($EC338)/($CA338),""),"")</f>
        <v/>
      </c>
      <c r="ES338" s="56">
        <f>IFERROR(IF(($CB338)&gt;0,($ED338)/($CB338),""),"")</f>
        <v/>
      </c>
      <c r="ET338" s="56">
        <f>IFERROR(IF(($BZ338)&gt;0,($EE338)/($BZ338),""),"")</f>
        <v/>
      </c>
      <c r="EU338" s="56">
        <f>IFERROR(IF(($CA338)&gt;0,($EF338)/($CA338),""),"")</f>
        <v/>
      </c>
      <c r="EV338" s="56">
        <f>IFERROR(IF(($CB338)&gt;0,($EG338)/($CB338),""),"")</f>
        <v/>
      </c>
      <c r="EW338" s="76">
        <f>IFERROR(IF(($BZ338)&gt;0,($EH338)/($BZ338),""),"")</f>
        <v/>
      </c>
      <c r="EX338" s="76">
        <f>IFERROR(IF(($CA338)&gt;0,($EI338)/($CA338),""),"")</f>
        <v/>
      </c>
      <c r="EY338" s="76">
        <f>IFERROR(IF(($CB338)&gt;0,($EJ338)/($CB338),""),"")</f>
        <v/>
      </c>
      <c r="EZ338" s="56">
        <f>IFERROR(IF(($BZ338)&gt;0,($EK338)/($BZ338),""),"")</f>
        <v/>
      </c>
      <c r="FA338" s="56">
        <f>IFERROR(IF(($CA338)&gt;0,($EL338)/($CA338),""),"")</f>
        <v/>
      </c>
      <c r="FB338" s="56">
        <f>IFERROR(IF(($CB338)&gt;0,($EM338)/($CB338),""),"")</f>
        <v/>
      </c>
      <c r="FC338" s="55">
        <f>IF(SUMIFS(tblPlant[GIC_oz],tblPlant[Date],$A338)&gt;0,SUMIFS(tblPlant[GIC_oz],tblPlant[Date],$A338),"")</f>
        <v/>
      </c>
      <c r="FD338" s="55">
        <f>SUMIFS(tblGold[Gold_oz],tblGold[Date],$A338,tblGold[Type],"Shipment")</f>
        <v/>
      </c>
      <c r="FE338" s="55">
        <f>IF($B338=$B337,$FE337,0)+$FD338</f>
        <v/>
      </c>
      <c r="FF338" s="55">
        <f>$FF337+$FD338</f>
        <v/>
      </c>
      <c r="FG338" s="55">
        <f>SUMIFS(tblGold[Gold_oz],tblGold[Date],$A338,tblGold[Type],"Sale")</f>
        <v/>
      </c>
      <c r="FH338" s="55">
        <f>IF($B338=$B337,$FH337,0)+$FG338</f>
        <v/>
      </c>
      <c r="FI338" s="55">
        <f>$FI337+$FG338</f>
        <v/>
      </c>
      <c r="FJ338" s="55">
        <f>SUMIFS(tblGold[Dore_kg],tblGold[Date],$A338,tblGold[Type],"Shipment")</f>
        <v/>
      </c>
      <c r="FK338" s="55">
        <f>IF($B338=$B337,$FK337,0)+$FJ338</f>
        <v/>
      </c>
      <c r="FL338" s="55">
        <f>$FL337+$FJ338</f>
        <v/>
      </c>
      <c r="FM338" s="57">
        <f>SUMIFS(tblSafety[Hours_Total],tblSafety[Date],$A338)</f>
        <v/>
      </c>
      <c r="FN338" s="57">
        <f>IF($B338=$B337,$FN337,0)+$FM338</f>
        <v/>
      </c>
      <c r="FO338" s="57">
        <f>$FO337+$FM338</f>
        <v/>
      </c>
      <c r="FP338" s="62">
        <f>SUMIFS(tblSafety[Fatality],tblSafety[Date],$A338)</f>
        <v/>
      </c>
      <c r="FQ338" s="62">
        <f>IF($B338=$B337,$FQ337,0)+$FP338</f>
        <v/>
      </c>
      <c r="FR338" s="62">
        <f>$FR337+$FP338</f>
        <v/>
      </c>
      <c r="FS338" s="62">
        <f>SUMIFS(tblSafety[LTI],tblSafety[Date],$A338)</f>
        <v/>
      </c>
      <c r="FT338" s="62">
        <f>IF($B338=$B337,$FT337,0)+$FS338</f>
        <v/>
      </c>
      <c r="FU338" s="62">
        <f>$FU337+$FS338</f>
        <v/>
      </c>
      <c r="FV338" s="62">
        <f>SUMIFS(tblSafety[RWI],tblSafety[Date],$A338)</f>
        <v/>
      </c>
      <c r="FW338" s="62">
        <f>IF($B338=$B337,$FW337,0)+$FV338</f>
        <v/>
      </c>
      <c r="FX338" s="62">
        <f>$FX337+$FV338</f>
        <v/>
      </c>
      <c r="FY338" s="62">
        <f>SUMIFS(tblSafety[MTI],tblSafety[Date],$A338)</f>
        <v/>
      </c>
      <c r="FZ338" s="62">
        <f>IF($B338=$B337,$FZ337,0)+$FY338</f>
        <v/>
      </c>
      <c r="GA338" s="62">
        <f>$GA337+$FY338</f>
        <v/>
      </c>
      <c r="GB338" s="62">
        <f>SUMIFS(tblSafety[FAI],tblSafety[Date],$A338)</f>
        <v/>
      </c>
      <c r="GC338" s="62">
        <f>IF($B338=$B337,$GC337,0)+$GB338</f>
        <v/>
      </c>
      <c r="GD338" s="62">
        <f>$GD337+$GB338</f>
        <v/>
      </c>
      <c r="GE338" s="62">
        <f>SUMIFS(tblSafety[Recordables],tblSafety[Date],$A338)</f>
        <v/>
      </c>
      <c r="GF338" s="62">
        <f>IF($B338=$B337,$GF337,0)+$GE338</f>
        <v/>
      </c>
      <c r="GG338" s="62">
        <f>$GG337+$GE338</f>
        <v/>
      </c>
      <c r="GH338" s="62">
        <f>SUMIFS(tblSafety[Near_Miss],tblSafety[Date],$A338)</f>
        <v/>
      </c>
      <c r="GI338" s="62">
        <f>IF($B338=$B337,$GI337,0)+$GH338</f>
        <v/>
      </c>
      <c r="GJ338" s="62">
        <f>$GJ337+$GH338</f>
        <v/>
      </c>
      <c r="GK338" s="62">
        <f>SUMIFS(tblSafety[Hazard_Reports],tblSafety[Date],$A338)</f>
        <v/>
      </c>
      <c r="GL338" s="62">
        <f>IF($B338=$B337,$GL337,0)+$GK338</f>
        <v/>
      </c>
      <c r="GM338" s="62">
        <f>$GM337+$GK338</f>
        <v/>
      </c>
      <c r="GN338" s="62">
        <f>SUMIFS(tblSafety[HPI],tblSafety[Date],$A338)</f>
        <v/>
      </c>
      <c r="GO338" s="62">
        <f>IF($B338=$B337,$GO337,0)+$GN338</f>
        <v/>
      </c>
      <c r="GP338" s="62">
        <f>$GP337+$GN338</f>
        <v/>
      </c>
      <c r="GQ338" s="62">
        <f>SUMIFS(tblSafety[Env_Incidents],tblSafety[Date],$A338)</f>
        <v/>
      </c>
      <c r="GR338" s="62">
        <f>IF($B338=$B337,$GR337,0)+$GQ338</f>
        <v/>
      </c>
      <c r="GS338" s="62">
        <f>$GS337+$GQ338</f>
        <v/>
      </c>
      <c r="GT338" s="62">
        <f>SUMIFS(tblSafety[Community_Incidents],tblSafety[Date],$A338)</f>
        <v/>
      </c>
      <c r="GU338" s="62">
        <f>IF($B338=$B337,$GU337,0)+$GT338</f>
        <v/>
      </c>
      <c r="GV338" s="62">
        <f>$GV337+$GT338</f>
        <v/>
      </c>
      <c r="GW338" s="62">
        <f>SUMIFS(tblSafety[Vehicle_Incidents],tblSafety[Date],$A338)</f>
        <v/>
      </c>
      <c r="GX338" s="62">
        <f>IF($B338=$B337,$GX337,0)+$GW338</f>
        <v/>
      </c>
      <c r="GY338" s="62">
        <f>$GY337+$GW338</f>
        <v/>
      </c>
      <c r="GZ338" s="62">
        <f>SUMIFS(tblSafety[Toolbox_Talks],tblSafety[Date],$A338)</f>
        <v/>
      </c>
      <c r="HA338" s="62">
        <f>IF($B338=$B337,$HA337,0)+$GZ338</f>
        <v/>
      </c>
      <c r="HB338" s="62">
        <f>$HB337+$GZ338</f>
        <v/>
      </c>
      <c r="HC338" s="62">
        <f>SUMIFS(tblSafety[Inspections],tblSafety[Date],$A338)</f>
        <v/>
      </c>
      <c r="HD338" s="62">
        <f>IF($B338=$B337,$HD337,0)+$HC338</f>
        <v/>
      </c>
      <c r="HE338" s="62">
        <f>$HE337+$HC338</f>
        <v/>
      </c>
      <c r="HF338" s="56">
        <f>IFERROR((SUMIFS(tblSafety[Recordables],tblSafety[Date],"&gt;="&amp;EDATE($E338,-12),tblSafety[Date],"&lt;="&amp;$A338)+SUMIFS(tblSafetyHistory[Recordables],tblSafetyHistory[Month],"&gt;="&amp;EDATE($E338,-12),tblSafetyHistory[Month],"&lt;"&amp;cfg_YearStart))/(SUMIFS(tblSafety[Hours_Total],tblSafety[Date],"&gt;="&amp;EDATE($E338,-12),tblSafety[Date],"&lt;="&amp;$A338)+SUMIFS(tblSafetyHistory[Hours_Total],tblSafetyHistory[Month],"&gt;="&amp;EDATE($E338,-12),tblSafetyHistory[Month],"&lt;"&amp;cfg_YearStart))*1000000,"")</f>
        <v/>
      </c>
      <c r="HG338" s="56">
        <f>IFERROR((SUMIFS(tblSafety[LTI],tblSafety[Date],"&gt;="&amp;EDATE($E338,-12),tblSafety[Date],"&lt;="&amp;$A338)+SUMIFS(tblSafetyHistory[LTI],tblSafetyHistory[Month],"&gt;="&amp;EDATE($E338,-12),tblSafetyHistory[Month],"&lt;"&amp;cfg_YearStart))/(SUMIFS(tblSafety[Hours_Total],tblSafety[Date],"&gt;="&amp;EDATE($E338,-12),tblSafety[Date],"&lt;="&amp;$A338)+SUMIFS(tblSafetyHistory[Hours_Total],tblSafetyHistory[Month],"&gt;="&amp;EDATE($E338,-12),tblSafetyHistory[Month],"&lt;"&amp;cfg_YearStart))*1000000,"")</f>
        <v/>
      </c>
      <c r="HH338" s="62">
        <f>IF(MAX(N(cfg_PriorLTIDate),_xlfn.MAXIFS(tblSafety[Date],tblSafety[LTI],"&gt;0",tblSafety[Date],"&lt;="&amp;$A338))=0,"",$A338-MAX(N(cfg_PriorLTIDate),_xlfn.MAXIFS(tblSafety[Date],tblSafety[LTI],"&gt;0",tblSafety[Date],"&lt;="&amp;$A338)))</f>
        <v/>
      </c>
      <c r="HI338" s="55">
        <f>SUMIFS(tblBudget[Ore_Mined_t],tblBudget[Month],$E338)</f>
        <v/>
      </c>
      <c r="HJ338" s="55">
        <f>$HI338*$C338/$D338</f>
        <v/>
      </c>
      <c r="HK338" s="55">
        <f>SUMIFS(tblBudget[Ore_Mined_t],tblBudget[Month],"&lt;"&amp;$E338)+$HJ338</f>
        <v/>
      </c>
      <c r="HL338" s="55">
        <f>SUMIFS(tblBudget[Ore_oz],tblBudget[Month],$E338)</f>
        <v/>
      </c>
      <c r="HM338" s="55">
        <f>$HL338*$C338/$D338</f>
        <v/>
      </c>
      <c r="HN338" s="55">
        <f>SUMIFS(tblBudget[Ore_oz],tblBudget[Month],"&lt;"&amp;$E338)+$HM338</f>
        <v/>
      </c>
      <c r="HO338" s="56">
        <f>IFERROR(IF(($HI338)&gt;0,($HL338*cfg_TroyOz)/($HI338),""),"")</f>
        <v/>
      </c>
      <c r="HP338" s="56">
        <f>IFERROR(IF(($HJ338)&gt;0,($HM338*cfg_TroyOz)/($HJ338),""),"")</f>
        <v/>
      </c>
      <c r="HQ338" s="56">
        <f>IFERROR(IF(($HK338)&gt;0,($HN338*cfg_TroyOz)/($HK338),""),"")</f>
        <v/>
      </c>
      <c r="HR338" s="55">
        <f>SUMIFS(tblBudget[Waste_t],tblBudget[Month],$E338)</f>
        <v/>
      </c>
      <c r="HS338" s="55">
        <f>$HR338*$C338/$D338</f>
        <v/>
      </c>
      <c r="HT338" s="55">
        <f>SUMIFS(tblBudget[Waste_t],tblBudget[Month],"&lt;"&amp;$E338)+$HS338</f>
        <v/>
      </c>
      <c r="HU338" s="55">
        <f>SUMIFS(tblBudget[TMM_t],tblBudget[Month],$E338)</f>
        <v/>
      </c>
      <c r="HV338" s="55">
        <f>$HU338*$C338/$D338</f>
        <v/>
      </c>
      <c r="HW338" s="55">
        <f>SUMIFS(tblBudget[TMM_t],tblBudget[Month],"&lt;"&amp;$E338)+$HV338</f>
        <v/>
      </c>
      <c r="HX338" s="56">
        <f>IFERROR(IF(($HI338)&gt;0,($HR338)/($HI338),""),"")</f>
        <v/>
      </c>
      <c r="HY338" s="56">
        <f>IFERROR(IF(($HJ338)&gt;0,($HS338)/($HJ338),""),"")</f>
        <v/>
      </c>
      <c r="HZ338" s="56">
        <f>IFERROR(IF(($HK338)&gt;0,($HT338)/($HK338),""),"")</f>
        <v/>
      </c>
      <c r="IA338" s="55">
        <f>SUMIFS(tblBudget[Drill_m],tblBudget[Month],$E338)</f>
        <v/>
      </c>
      <c r="IB338" s="55">
        <f>$IA338*$C338/$D338</f>
        <v/>
      </c>
      <c r="IC338" s="55">
        <f>SUMIFS(tblBudget[Drill_m],tblBudget[Month],"&lt;"&amp;$E338)+$IB338</f>
        <v/>
      </c>
      <c r="ID338" s="55">
        <f>SUMIFS(tblBudget[Diesel_L],tblBudget[Month],$E338)</f>
        <v/>
      </c>
      <c r="IE338" s="55">
        <f>$ID338*$C338/$D338</f>
        <v/>
      </c>
      <c r="IF338" s="55">
        <f>SUMIFS(tblBudget[Diesel_L],tblBudget[Month],"&lt;"&amp;$E338)+$IE338</f>
        <v/>
      </c>
      <c r="IG338" s="55">
        <f>SUMIFS(tblBudget[Milled_t],tblBudget[Month],$E338)</f>
        <v/>
      </c>
      <c r="IH338" s="55">
        <f>$IG338*$C338/$D338</f>
        <v/>
      </c>
      <c r="II338" s="55">
        <f>SUMIFS(tblBudget[Milled_t],tblBudget[Month],"&lt;"&amp;$E338)+$IH338</f>
        <v/>
      </c>
      <c r="IJ338" s="55">
        <f>SUMIFS(tblBudget[Feed_oz],tblBudget[Month],$E338)</f>
        <v/>
      </c>
      <c r="IK338" s="55">
        <f>$IJ338*$C338/$D338</f>
        <v/>
      </c>
      <c r="IL338" s="55">
        <f>SUMIFS(tblBudget[Feed_oz],tblBudget[Month],"&lt;"&amp;$E338)+$IK338</f>
        <v/>
      </c>
      <c r="IM338" s="55">
        <f>SUMIFS(tblBudget[Recovered_oz],tblBudget[Month],$E338)</f>
        <v/>
      </c>
      <c r="IN338" s="55">
        <f>$IM338*$C338/$D338</f>
        <v/>
      </c>
      <c r="IO338" s="55">
        <f>SUMIFS(tblBudget[Recovered_oz],tblBudget[Month],"&lt;"&amp;$E338)+$IN338</f>
        <v/>
      </c>
      <c r="IP338" s="56">
        <f>IFERROR(IF(($IG338)&gt;0,($IJ338*cfg_TroyOz)/($IG338),""),"")</f>
        <v/>
      </c>
      <c r="IQ338" s="56">
        <f>IFERROR(IF(($IH338)&gt;0,($IK338*cfg_TroyOz)/($IH338),""),"")</f>
        <v/>
      </c>
      <c r="IR338" s="56">
        <f>IFERROR(IF(($II338)&gt;0,($IL338*cfg_TroyOz)/($II338),""),"")</f>
        <v/>
      </c>
      <c r="IS338" s="67">
        <f>IFERROR(IF(($IJ338)&gt;0,($IM338)/($IJ338),""),"")</f>
        <v/>
      </c>
      <c r="IT338" s="67">
        <f>IFERROR(IF(($IK338)&gt;0,($IN338)/($IK338),""),"")</f>
        <v/>
      </c>
      <c r="IU338" s="67">
        <f>IFERROR(IF(($IL338)&gt;0,($IO338)/($IL338),""),"")</f>
        <v/>
      </c>
      <c r="IV338" s="55">
        <f>SUMIFS(tblBudget[Gold_Poured_oz],tblBudget[Month],$E338)</f>
        <v/>
      </c>
      <c r="IW338" s="55">
        <f>$IV338*$C338/$D338</f>
        <v/>
      </c>
      <c r="IX338" s="55">
        <f>SUMIFS(tblBudget[Gold_Poured_oz],tblBudget[Month],"&lt;"&amp;$E338)+$IW338</f>
        <v/>
      </c>
      <c r="IY338" s="57">
        <f>SUMIFS(tblBudget[Hours_Worked],tblBudget[Month],$E338)</f>
        <v/>
      </c>
      <c r="IZ338" s="57">
        <f>$IY338*$C338/$D338</f>
        <v/>
      </c>
      <c r="JA338" s="57">
        <f>SUMIFS(tblBudget[Hours_Worked],tblBudget[Month],"&lt;"&amp;$E338)+$IZ338</f>
        <v/>
      </c>
    </row>
    <row r="339">
      <c r="A339" s="54" t="n">
        <v>46360</v>
      </c>
      <c r="B339">
        <f>MONTH($A339)</f>
        <v/>
      </c>
      <c r="C339">
        <f>DAY($A339)</f>
        <v/>
      </c>
      <c r="D339">
        <f>DAY(EOMONTH($A339,0))</f>
        <v/>
      </c>
      <c r="E339" s="54">
        <f>DATE(YEAR($A339),MONTH($A339),1)</f>
        <v/>
      </c>
      <c r="F339" s="55">
        <f>SUMIFS(tblMovement[Tonnes_t],tblMovement[Date],$A339,tblMovement[Is_Ore],1,tblMovement[Source_Type],"Pit")</f>
        <v/>
      </c>
      <c r="G339" s="55">
        <f>IF($B339=$B338,$G338,0)+$F339</f>
        <v/>
      </c>
      <c r="H339" s="55">
        <f>$H338+$F339</f>
        <v/>
      </c>
      <c r="I339" s="55">
        <f>SUMIFS(tblMovement[Ore_oz],tblMovement[Date],$A339,tblMovement[Source_Type],"Pit")</f>
        <v/>
      </c>
      <c r="J339" s="55">
        <f>IF($B339=$B338,$J338,0)+$I339</f>
        <v/>
      </c>
      <c r="K339" s="55">
        <f>$K338+$I339</f>
        <v/>
      </c>
      <c r="L339" s="56">
        <f>IFERROR(IF(($F339)&gt;0,($I339*cfg_TroyOz)/($F339),""),"")</f>
        <v/>
      </c>
      <c r="M339" s="56">
        <f>IFERROR(IF(($G339)&gt;0,($J339*cfg_TroyOz)/($G339),""),"")</f>
        <v/>
      </c>
      <c r="N339" s="56">
        <f>IFERROR(IF(($H339)&gt;0,($K339*cfg_TroyOz)/($H339),""),"")</f>
        <v/>
      </c>
      <c r="O339" s="55">
        <f>SUMIFS(tblMovement[Tonnes_t],tblMovement[Date],$A339,tblMovement[Is_Ore],0,tblMovement[Source_Type],"Pit")</f>
        <v/>
      </c>
      <c r="P339" s="55">
        <f>IF($B339=$B338,$P338,0)+$O339</f>
        <v/>
      </c>
      <c r="Q339" s="55">
        <f>$Q338+$O339</f>
        <v/>
      </c>
      <c r="R339" s="55">
        <f>$F339+$O339</f>
        <v/>
      </c>
      <c r="S339" s="55">
        <f>IF($B339=$B338,$S338,0)+$R339</f>
        <v/>
      </c>
      <c r="T339" s="55">
        <f>$T338+$R339</f>
        <v/>
      </c>
      <c r="U339" s="56">
        <f>IFERROR(IF(($F339)&gt;0,($O339)/($F339),""),"")</f>
        <v/>
      </c>
      <c r="V339" s="56">
        <f>IFERROR(IF(($G339)&gt;0,($P339)/($G339),""),"")</f>
        <v/>
      </c>
      <c r="W339" s="56">
        <f>IFERROR(IF(($H339)&gt;0,($Q339)/($H339),""),"")</f>
        <v/>
      </c>
      <c r="X339" s="55">
        <f>SUMIFS(tblMovement[Tonnes_t],tblMovement[Date],$A339,tblMovement[Source_Type],"Stockpile")</f>
        <v/>
      </c>
      <c r="Y339" s="55">
        <f>IF($B339=$B338,$Y338,0)+$X339</f>
        <v/>
      </c>
      <c r="Z339" s="55">
        <f>$Z338+$X339</f>
        <v/>
      </c>
      <c r="AA339" s="55">
        <f>SUMIFS(tblMiningDaily[Drill_m],tblMiningDaily[Date],$A339)</f>
        <v/>
      </c>
      <c r="AB339" s="55">
        <f>IF($B339=$B338,$AB338,0)+$AA339</f>
        <v/>
      </c>
      <c r="AC339" s="55">
        <f>$AC338+$AA339</f>
        <v/>
      </c>
      <c r="AD339" s="55">
        <f>SUMIFS(tblMiningDaily[Blast_t],tblMiningDaily[Date],$A339)</f>
        <v/>
      </c>
      <c r="AE339" s="55">
        <f>IF($B339=$B338,$AE338,0)+$AD339</f>
        <v/>
      </c>
      <c r="AF339" s="55">
        <f>$AF338+$AD339</f>
        <v/>
      </c>
      <c r="AG339" s="55">
        <f>SUMIFS(tblMiningDaily[Explosives_kg],tblMiningDaily[Date],$A339)</f>
        <v/>
      </c>
      <c r="AH339" s="55">
        <f>IF($B339=$B338,$AH338,0)+$AG339</f>
        <v/>
      </c>
      <c r="AI339" s="55">
        <f>$AI338+$AG339</f>
        <v/>
      </c>
      <c r="AJ339" s="56">
        <f>IFERROR(IF(($AD339)&gt;0,($AG339)/($AD339),""),"")</f>
        <v/>
      </c>
      <c r="AK339" s="56">
        <f>IFERROR(IF(($AE339)&gt;0,($AH339)/($AE339),""),"")</f>
        <v/>
      </c>
      <c r="AL339" s="56">
        <f>IFERROR(IF(($AF339)&gt;0,($AI339)/($AF339),""),"")</f>
        <v/>
      </c>
      <c r="AM339" s="55">
        <f>SUMIFS(tblMiningDaily[Diesel_L],tblMiningDaily[Date],$A339)</f>
        <v/>
      </c>
      <c r="AN339" s="55">
        <f>IF($B339=$B338,$AN338,0)+$AM339</f>
        <v/>
      </c>
      <c r="AO339" s="55">
        <f>$AO338+$AM339</f>
        <v/>
      </c>
      <c r="AP339" s="55">
        <f>SUMIFS(tblMiningDaily[Dewatering_m3],tblMiningDaily[Date],$A339)</f>
        <v/>
      </c>
      <c r="AQ339" s="55">
        <f>IF($B339=$B338,$AQ338,0)+$AP339</f>
        <v/>
      </c>
      <c r="AR339" s="55">
        <f>$AR338+$AP339</f>
        <v/>
      </c>
      <c r="AS339" s="57">
        <f>SUMIFS(tblFleet[Calendar_h],tblFleet[Date],$A339,tblFleet[Equipment_Class],"Excavator")</f>
        <v/>
      </c>
      <c r="AT339" s="57">
        <f>IF($B339=$B338,$AT338,0)+$AS339</f>
        <v/>
      </c>
      <c r="AU339" s="57">
        <f>$AU338+$AS339</f>
        <v/>
      </c>
      <c r="AV339" s="57">
        <f>SUMIFS(tblFleet[Available_h],tblFleet[Date],$A339,tblFleet[Equipment_Class],"Excavator")</f>
        <v/>
      </c>
      <c r="AW339" s="57">
        <f>IF($B339=$B338,$AW338,0)+$AV339</f>
        <v/>
      </c>
      <c r="AX339" s="57">
        <f>$AX338+$AV339</f>
        <v/>
      </c>
      <c r="AY339" s="57">
        <f>SUMIFS(tblFleet[Operating_h],tblFleet[Date],$A339,tblFleet[Equipment_Class],"Excavator")</f>
        <v/>
      </c>
      <c r="AZ339" s="57">
        <f>IF($B339=$B338,$AZ338,0)+$AY339</f>
        <v/>
      </c>
      <c r="BA339" s="57">
        <f>$BA338+$AY339</f>
        <v/>
      </c>
      <c r="BB339" s="67">
        <f>IFERROR(IF(($AS339)&gt;0,($AV339)/($AS339),""),"")</f>
        <v/>
      </c>
      <c r="BC339" s="67">
        <f>IFERROR(IF(($AT339)&gt;0,($AW339)/($AT339),""),"")</f>
        <v/>
      </c>
      <c r="BD339" s="67">
        <f>IFERROR(IF(($AU339)&gt;0,($AX339)/($AU339),""),"")</f>
        <v/>
      </c>
      <c r="BE339" s="67">
        <f>IFERROR(IF(($AV339)&gt;0,($AY339)/($AV339),""),"")</f>
        <v/>
      </c>
      <c r="BF339" s="67">
        <f>IFERROR(IF(($AW339)&gt;0,($AZ339)/($AW339),""),"")</f>
        <v/>
      </c>
      <c r="BG339" s="67">
        <f>IFERROR(IF(($AX339)&gt;0,($BA339)/($AX339),""),"")</f>
        <v/>
      </c>
      <c r="BH339" s="57">
        <f>SUMIFS(tblFleet[Calendar_h],tblFleet[Date],$A339,tblFleet[Equipment_Class],"Haul Truck")</f>
        <v/>
      </c>
      <c r="BI339" s="57">
        <f>IF($B339=$B338,$BI338,0)+$BH339</f>
        <v/>
      </c>
      <c r="BJ339" s="57">
        <f>$BJ338+$BH339</f>
        <v/>
      </c>
      <c r="BK339" s="57">
        <f>SUMIFS(tblFleet[Available_h],tblFleet[Date],$A339,tblFleet[Equipment_Class],"Haul Truck")</f>
        <v/>
      </c>
      <c r="BL339" s="57">
        <f>IF($B339=$B338,$BL338,0)+$BK339</f>
        <v/>
      </c>
      <c r="BM339" s="57">
        <f>$BM338+$BK339</f>
        <v/>
      </c>
      <c r="BN339" s="57">
        <f>SUMIFS(tblFleet[Operating_h],tblFleet[Date],$A339,tblFleet[Equipment_Class],"Haul Truck")</f>
        <v/>
      </c>
      <c r="BO339" s="57">
        <f>IF($B339=$B338,$BO338,0)+$BN339</f>
        <v/>
      </c>
      <c r="BP339" s="57">
        <f>$BP338+$BN339</f>
        <v/>
      </c>
      <c r="BQ339" s="67">
        <f>IFERROR(IF(($BH339)&gt;0,($BK339)/($BH339),""),"")</f>
        <v/>
      </c>
      <c r="BR339" s="67">
        <f>IFERROR(IF(($BI339)&gt;0,($BL339)/($BI339),""),"")</f>
        <v/>
      </c>
      <c r="BS339" s="67">
        <f>IFERROR(IF(($BJ339)&gt;0,($BM339)/($BJ339),""),"")</f>
        <v/>
      </c>
      <c r="BT339" s="67">
        <f>IFERROR(IF(($BK339)&gt;0,($BN339)/($BK339),""),"")</f>
        <v/>
      </c>
      <c r="BU339" s="67">
        <f>IFERROR(IF(($BL339)&gt;0,($BO339)/($BL339),""),"")</f>
        <v/>
      </c>
      <c r="BV339" s="67">
        <f>IFERROR(IF(($BM339)&gt;0,($BP339)/($BM339),""),"")</f>
        <v/>
      </c>
      <c r="BW339" s="55">
        <f>SUMIFS(tblPlant[Crushed_t],tblPlant[Date],$A339)</f>
        <v/>
      </c>
      <c r="BX339" s="55">
        <f>IF($B339=$B338,$BX338,0)+$BW339</f>
        <v/>
      </c>
      <c r="BY339" s="55">
        <f>$BY338+$BW339</f>
        <v/>
      </c>
      <c r="BZ339" s="55">
        <f>SUMIFS(tblPlant[Milled_t],tblPlant[Date],$A339)</f>
        <v/>
      </c>
      <c r="CA339" s="55">
        <f>IF($B339=$B338,$CA338,0)+$BZ339</f>
        <v/>
      </c>
      <c r="CB339" s="55">
        <f>$CB338+$BZ339</f>
        <v/>
      </c>
      <c r="CC339" s="55">
        <f>SUMIFS(tblPlant[Feed_oz],tblPlant[Date],$A339)</f>
        <v/>
      </c>
      <c r="CD339" s="55">
        <f>IF($B339=$B338,$CD338,0)+$CC339</f>
        <v/>
      </c>
      <c r="CE339" s="55">
        <f>$CE338+$CC339</f>
        <v/>
      </c>
      <c r="CF339" s="55">
        <f>SUMIFS(tblPlant[Tails_oz],tblPlant[Date],$A339)</f>
        <v/>
      </c>
      <c r="CG339" s="55">
        <f>IF($B339=$B338,$CG338,0)+$CF339</f>
        <v/>
      </c>
      <c r="CH339" s="55">
        <f>$CH338+$CF339</f>
        <v/>
      </c>
      <c r="CI339" s="55">
        <f>SUMIFS(tblPlant[Recovered_oz],tblPlant[Date],$A339)</f>
        <v/>
      </c>
      <c r="CJ339" s="55">
        <f>IF($B339=$B338,$CJ338,0)+$CI339</f>
        <v/>
      </c>
      <c r="CK339" s="55">
        <f>$CK338+$CI339</f>
        <v/>
      </c>
      <c r="CL339" s="56">
        <f>IFERROR(IF(($BZ339)&gt;0,($CC339*cfg_TroyOz)/($BZ339),""),"")</f>
        <v/>
      </c>
      <c r="CM339" s="56">
        <f>IFERROR(IF(($CA339)&gt;0,($CD339*cfg_TroyOz)/($CA339),""),"")</f>
        <v/>
      </c>
      <c r="CN339" s="56">
        <f>IFERROR(IF(($CB339)&gt;0,($CE339*cfg_TroyOz)/($CB339),""),"")</f>
        <v/>
      </c>
      <c r="CO339" s="56">
        <f>IFERROR(IF(($BZ339)&gt;0,($CF339*cfg_TroyOz)/($BZ339),""),"")</f>
        <v/>
      </c>
      <c r="CP339" s="56">
        <f>IFERROR(IF(($CA339)&gt;0,($CG339*cfg_TroyOz)/($CA339),""),"")</f>
        <v/>
      </c>
      <c r="CQ339" s="56">
        <f>IFERROR(IF(($CB339)&gt;0,($CH339*cfg_TroyOz)/($CB339),""),"")</f>
        <v/>
      </c>
      <c r="CR339" s="67">
        <f>IFERROR(IF(($CC339)&gt;0,($CI339)/($CC339),""),"")</f>
        <v/>
      </c>
      <c r="CS339" s="67">
        <f>IFERROR(IF(($CD339)&gt;0,($CJ339)/($CD339),""),"")</f>
        <v/>
      </c>
      <c r="CT339" s="67">
        <f>IFERROR(IF(($CE339)&gt;0,($CK339)/($CE339),""),"")</f>
        <v/>
      </c>
      <c r="CU339" s="55">
        <f>SUMIFS(tblPlant[Gravity_Gold_oz],tblPlant[Date],$A339)</f>
        <v/>
      </c>
      <c r="CV339" s="55">
        <f>IF($B339=$B338,$CV338,0)+$CU339</f>
        <v/>
      </c>
      <c r="CW339" s="55">
        <f>$CW338+$CU339</f>
        <v/>
      </c>
      <c r="CX339" s="55">
        <f>SUMIFS(tblPlant[Gold_Poured_oz],tblPlant[Date],$A339)</f>
        <v/>
      </c>
      <c r="CY339" s="55">
        <f>IF($B339=$B338,$CY338,0)+$CX339</f>
        <v/>
      </c>
      <c r="CZ339" s="55">
        <f>$CZ338+$CX339</f>
        <v/>
      </c>
      <c r="DA339" s="57">
        <f>SUMIFS(tblPlant[Mill_Run_h],tblPlant[Date],$A339)</f>
        <v/>
      </c>
      <c r="DB339" s="57">
        <f>IF($B339=$B338,$DB338,0)+$DA339</f>
        <v/>
      </c>
      <c r="DC339" s="57">
        <f>$DC338+$DA339</f>
        <v/>
      </c>
      <c r="DD339" s="57">
        <f>SUMIFS(tblPlant[Mill_Planned_Maint_h],tblPlant[Date],$A339)</f>
        <v/>
      </c>
      <c r="DE339" s="57">
        <f>IF($B339=$B338,$DE338,0)+$DD339</f>
        <v/>
      </c>
      <c r="DF339" s="57">
        <f>$DF338+$DD339</f>
        <v/>
      </c>
      <c r="DG339" s="57">
        <f>SUMIFS(tblPlant[Mill_Unplanned_Down_h],tblPlant[Date],$A339)</f>
        <v/>
      </c>
      <c r="DH339" s="57">
        <f>IF($B339=$B338,$DH338,0)+$DG339</f>
        <v/>
      </c>
      <c r="DI339" s="57">
        <f>$DI338+$DG339</f>
        <v/>
      </c>
      <c r="DJ339" s="57">
        <f>COUNTIFS(tblPlant[Date],$A339,tblPlant[Mill_Run_h],"&lt;&gt;")*24</f>
        <v/>
      </c>
      <c r="DK339" s="57">
        <f>IF($B339=$B338,$DK338,0)+$DJ339</f>
        <v/>
      </c>
      <c r="DL339" s="57">
        <f>$DL338+$DJ339</f>
        <v/>
      </c>
      <c r="DM339" s="57">
        <f>SUMIFS(tblPlant[Crusher_Run_h],tblPlant[Date],$A339)</f>
        <v/>
      </c>
      <c r="DN339" s="57">
        <f>IF($B339=$B338,$DN338,0)+$DM339</f>
        <v/>
      </c>
      <c r="DO339" s="57">
        <f>$DO338+$DM339</f>
        <v/>
      </c>
      <c r="DP339" s="55">
        <f>IFERROR(IF(($DA339)&gt;0,($BZ339)/($DA339),""),"")</f>
        <v/>
      </c>
      <c r="DQ339" s="55">
        <f>IFERROR(IF(($DB339)&gt;0,($CA339)/($DB339),""),"")</f>
        <v/>
      </c>
      <c r="DR339" s="55">
        <f>IFERROR(IF(($DC339)&gt;0,($CB339)/($DC339),""),"")</f>
        <v/>
      </c>
      <c r="DS339" s="67">
        <f>IFERROR(IF(($DJ339)&gt;0,($DJ339-$DD339-$DG339)/($DJ339),""),"")</f>
        <v/>
      </c>
      <c r="DT339" s="67">
        <f>IFERROR(IF(($DK339)&gt;0,($DK339-$DE339-$DH339)/($DK339),""),"")</f>
        <v/>
      </c>
      <c r="DU339" s="67">
        <f>IFERROR(IF(($DL339)&gt;0,($DL339-$DF339-$DI339)/($DL339),""),"")</f>
        <v/>
      </c>
      <c r="DV339" s="67">
        <f>IFERROR(IF(($DJ339-$DD339-$DG339)&gt;0,($DA339)/($DJ339-$DD339-$DG339),""),"")</f>
        <v/>
      </c>
      <c r="DW339" s="67">
        <f>IFERROR(IF(($DK339-$DE339-$DH339)&gt;0,($DB339)/($DK339-$DE339-$DH339),""),"")</f>
        <v/>
      </c>
      <c r="DX339" s="67">
        <f>IFERROR(IF(($DL339-$DF339-$DI339)&gt;0,($DC339)/($DL339-$DF339-$DI339),""),"")</f>
        <v/>
      </c>
      <c r="DY339" s="55">
        <f>SUMIFS(tblPlant[Cyanide_kg],tblPlant[Date],$A339)</f>
        <v/>
      </c>
      <c r="DZ339" s="55">
        <f>IF($B339=$B338,$DZ338,0)+$DY339</f>
        <v/>
      </c>
      <c r="EA339" s="55">
        <f>$EA338+$DY339</f>
        <v/>
      </c>
      <c r="EB339" s="55">
        <f>SUMIFS(tblPlant[Lime_kg],tblPlant[Date],$A339)</f>
        <v/>
      </c>
      <c r="EC339" s="55">
        <f>IF($B339=$B338,$EC338,0)+$EB339</f>
        <v/>
      </c>
      <c r="ED339" s="55">
        <f>$ED338+$EB339</f>
        <v/>
      </c>
      <c r="EE339" s="55">
        <f>SUMIFS(tblPlant[Grinding_Media_kg],tblPlant[Date],$A339)</f>
        <v/>
      </c>
      <c r="EF339" s="55">
        <f>IF($B339=$B338,$EF338,0)+$EE339</f>
        <v/>
      </c>
      <c r="EG339" s="55">
        <f>$EG338+$EE339</f>
        <v/>
      </c>
      <c r="EH339" s="55">
        <f>SUMIFS(tblPlant[Power_kWh],tblPlant[Date],$A339)</f>
        <v/>
      </c>
      <c r="EI339" s="55">
        <f>IF($B339=$B338,$EI338,0)+$EH339</f>
        <v/>
      </c>
      <c r="EJ339" s="55">
        <f>$EJ338+$EH339</f>
        <v/>
      </c>
      <c r="EK339" s="55">
        <f>SUMIFS(tblPlant[Raw_Water_m3],tblPlant[Date],$A339)</f>
        <v/>
      </c>
      <c r="EL339" s="55">
        <f>IF($B339=$B338,$EL338,0)+$EK339</f>
        <v/>
      </c>
      <c r="EM339" s="55">
        <f>$EM338+$EK339</f>
        <v/>
      </c>
      <c r="EN339" s="56">
        <f>IFERROR(IF(($BZ339)&gt;0,($DY339)/($BZ339),""),"")</f>
        <v/>
      </c>
      <c r="EO339" s="56">
        <f>IFERROR(IF(($CA339)&gt;0,($DZ339)/($CA339),""),"")</f>
        <v/>
      </c>
      <c r="EP339" s="56">
        <f>IFERROR(IF(($CB339)&gt;0,($EA339)/($CB339),""),"")</f>
        <v/>
      </c>
      <c r="EQ339" s="56">
        <f>IFERROR(IF(($BZ339)&gt;0,($EB339)/($BZ339),""),"")</f>
        <v/>
      </c>
      <c r="ER339" s="56">
        <f>IFERROR(IF(($CA339)&gt;0,($EC339)/($CA339),""),"")</f>
        <v/>
      </c>
      <c r="ES339" s="56">
        <f>IFERROR(IF(($CB339)&gt;0,($ED339)/($CB339),""),"")</f>
        <v/>
      </c>
      <c r="ET339" s="56">
        <f>IFERROR(IF(($BZ339)&gt;0,($EE339)/($BZ339),""),"")</f>
        <v/>
      </c>
      <c r="EU339" s="56">
        <f>IFERROR(IF(($CA339)&gt;0,($EF339)/($CA339),""),"")</f>
        <v/>
      </c>
      <c r="EV339" s="56">
        <f>IFERROR(IF(($CB339)&gt;0,($EG339)/($CB339),""),"")</f>
        <v/>
      </c>
      <c r="EW339" s="76">
        <f>IFERROR(IF(($BZ339)&gt;0,($EH339)/($BZ339),""),"")</f>
        <v/>
      </c>
      <c r="EX339" s="76">
        <f>IFERROR(IF(($CA339)&gt;0,($EI339)/($CA339),""),"")</f>
        <v/>
      </c>
      <c r="EY339" s="76">
        <f>IFERROR(IF(($CB339)&gt;0,($EJ339)/($CB339),""),"")</f>
        <v/>
      </c>
      <c r="EZ339" s="56">
        <f>IFERROR(IF(($BZ339)&gt;0,($EK339)/($BZ339),""),"")</f>
        <v/>
      </c>
      <c r="FA339" s="56">
        <f>IFERROR(IF(($CA339)&gt;0,($EL339)/($CA339),""),"")</f>
        <v/>
      </c>
      <c r="FB339" s="56">
        <f>IFERROR(IF(($CB339)&gt;0,($EM339)/($CB339),""),"")</f>
        <v/>
      </c>
      <c r="FC339" s="55">
        <f>IF(SUMIFS(tblPlant[GIC_oz],tblPlant[Date],$A339)&gt;0,SUMIFS(tblPlant[GIC_oz],tblPlant[Date],$A339),"")</f>
        <v/>
      </c>
      <c r="FD339" s="55">
        <f>SUMIFS(tblGold[Gold_oz],tblGold[Date],$A339,tblGold[Type],"Shipment")</f>
        <v/>
      </c>
      <c r="FE339" s="55">
        <f>IF($B339=$B338,$FE338,0)+$FD339</f>
        <v/>
      </c>
      <c r="FF339" s="55">
        <f>$FF338+$FD339</f>
        <v/>
      </c>
      <c r="FG339" s="55">
        <f>SUMIFS(tblGold[Gold_oz],tblGold[Date],$A339,tblGold[Type],"Sale")</f>
        <v/>
      </c>
      <c r="FH339" s="55">
        <f>IF($B339=$B338,$FH338,0)+$FG339</f>
        <v/>
      </c>
      <c r="FI339" s="55">
        <f>$FI338+$FG339</f>
        <v/>
      </c>
      <c r="FJ339" s="55">
        <f>SUMIFS(tblGold[Dore_kg],tblGold[Date],$A339,tblGold[Type],"Shipment")</f>
        <v/>
      </c>
      <c r="FK339" s="55">
        <f>IF($B339=$B338,$FK338,0)+$FJ339</f>
        <v/>
      </c>
      <c r="FL339" s="55">
        <f>$FL338+$FJ339</f>
        <v/>
      </c>
      <c r="FM339" s="57">
        <f>SUMIFS(tblSafety[Hours_Total],tblSafety[Date],$A339)</f>
        <v/>
      </c>
      <c r="FN339" s="57">
        <f>IF($B339=$B338,$FN338,0)+$FM339</f>
        <v/>
      </c>
      <c r="FO339" s="57">
        <f>$FO338+$FM339</f>
        <v/>
      </c>
      <c r="FP339" s="62">
        <f>SUMIFS(tblSafety[Fatality],tblSafety[Date],$A339)</f>
        <v/>
      </c>
      <c r="FQ339" s="62">
        <f>IF($B339=$B338,$FQ338,0)+$FP339</f>
        <v/>
      </c>
      <c r="FR339" s="62">
        <f>$FR338+$FP339</f>
        <v/>
      </c>
      <c r="FS339" s="62">
        <f>SUMIFS(tblSafety[LTI],tblSafety[Date],$A339)</f>
        <v/>
      </c>
      <c r="FT339" s="62">
        <f>IF($B339=$B338,$FT338,0)+$FS339</f>
        <v/>
      </c>
      <c r="FU339" s="62">
        <f>$FU338+$FS339</f>
        <v/>
      </c>
      <c r="FV339" s="62">
        <f>SUMIFS(tblSafety[RWI],tblSafety[Date],$A339)</f>
        <v/>
      </c>
      <c r="FW339" s="62">
        <f>IF($B339=$B338,$FW338,0)+$FV339</f>
        <v/>
      </c>
      <c r="FX339" s="62">
        <f>$FX338+$FV339</f>
        <v/>
      </c>
      <c r="FY339" s="62">
        <f>SUMIFS(tblSafety[MTI],tblSafety[Date],$A339)</f>
        <v/>
      </c>
      <c r="FZ339" s="62">
        <f>IF($B339=$B338,$FZ338,0)+$FY339</f>
        <v/>
      </c>
      <c r="GA339" s="62">
        <f>$GA338+$FY339</f>
        <v/>
      </c>
      <c r="GB339" s="62">
        <f>SUMIFS(tblSafety[FAI],tblSafety[Date],$A339)</f>
        <v/>
      </c>
      <c r="GC339" s="62">
        <f>IF($B339=$B338,$GC338,0)+$GB339</f>
        <v/>
      </c>
      <c r="GD339" s="62">
        <f>$GD338+$GB339</f>
        <v/>
      </c>
      <c r="GE339" s="62">
        <f>SUMIFS(tblSafety[Recordables],tblSafety[Date],$A339)</f>
        <v/>
      </c>
      <c r="GF339" s="62">
        <f>IF($B339=$B338,$GF338,0)+$GE339</f>
        <v/>
      </c>
      <c r="GG339" s="62">
        <f>$GG338+$GE339</f>
        <v/>
      </c>
      <c r="GH339" s="62">
        <f>SUMIFS(tblSafety[Near_Miss],tblSafety[Date],$A339)</f>
        <v/>
      </c>
      <c r="GI339" s="62">
        <f>IF($B339=$B338,$GI338,0)+$GH339</f>
        <v/>
      </c>
      <c r="GJ339" s="62">
        <f>$GJ338+$GH339</f>
        <v/>
      </c>
      <c r="GK339" s="62">
        <f>SUMIFS(tblSafety[Hazard_Reports],tblSafety[Date],$A339)</f>
        <v/>
      </c>
      <c r="GL339" s="62">
        <f>IF($B339=$B338,$GL338,0)+$GK339</f>
        <v/>
      </c>
      <c r="GM339" s="62">
        <f>$GM338+$GK339</f>
        <v/>
      </c>
      <c r="GN339" s="62">
        <f>SUMIFS(tblSafety[HPI],tblSafety[Date],$A339)</f>
        <v/>
      </c>
      <c r="GO339" s="62">
        <f>IF($B339=$B338,$GO338,0)+$GN339</f>
        <v/>
      </c>
      <c r="GP339" s="62">
        <f>$GP338+$GN339</f>
        <v/>
      </c>
      <c r="GQ339" s="62">
        <f>SUMIFS(tblSafety[Env_Incidents],tblSafety[Date],$A339)</f>
        <v/>
      </c>
      <c r="GR339" s="62">
        <f>IF($B339=$B338,$GR338,0)+$GQ339</f>
        <v/>
      </c>
      <c r="GS339" s="62">
        <f>$GS338+$GQ339</f>
        <v/>
      </c>
      <c r="GT339" s="62">
        <f>SUMIFS(tblSafety[Community_Incidents],tblSafety[Date],$A339)</f>
        <v/>
      </c>
      <c r="GU339" s="62">
        <f>IF($B339=$B338,$GU338,0)+$GT339</f>
        <v/>
      </c>
      <c r="GV339" s="62">
        <f>$GV338+$GT339</f>
        <v/>
      </c>
      <c r="GW339" s="62">
        <f>SUMIFS(tblSafety[Vehicle_Incidents],tblSafety[Date],$A339)</f>
        <v/>
      </c>
      <c r="GX339" s="62">
        <f>IF($B339=$B338,$GX338,0)+$GW339</f>
        <v/>
      </c>
      <c r="GY339" s="62">
        <f>$GY338+$GW339</f>
        <v/>
      </c>
      <c r="GZ339" s="62">
        <f>SUMIFS(tblSafety[Toolbox_Talks],tblSafety[Date],$A339)</f>
        <v/>
      </c>
      <c r="HA339" s="62">
        <f>IF($B339=$B338,$HA338,0)+$GZ339</f>
        <v/>
      </c>
      <c r="HB339" s="62">
        <f>$HB338+$GZ339</f>
        <v/>
      </c>
      <c r="HC339" s="62">
        <f>SUMIFS(tblSafety[Inspections],tblSafety[Date],$A339)</f>
        <v/>
      </c>
      <c r="HD339" s="62">
        <f>IF($B339=$B338,$HD338,0)+$HC339</f>
        <v/>
      </c>
      <c r="HE339" s="62">
        <f>$HE338+$HC339</f>
        <v/>
      </c>
      <c r="HF339" s="56">
        <f>IFERROR((SUMIFS(tblSafety[Recordables],tblSafety[Date],"&gt;="&amp;EDATE($E339,-12),tblSafety[Date],"&lt;="&amp;$A339)+SUMIFS(tblSafetyHistory[Recordables],tblSafetyHistory[Month],"&gt;="&amp;EDATE($E339,-12),tblSafetyHistory[Month],"&lt;"&amp;cfg_YearStart))/(SUMIFS(tblSafety[Hours_Total],tblSafety[Date],"&gt;="&amp;EDATE($E339,-12),tblSafety[Date],"&lt;="&amp;$A339)+SUMIFS(tblSafetyHistory[Hours_Total],tblSafetyHistory[Month],"&gt;="&amp;EDATE($E339,-12),tblSafetyHistory[Month],"&lt;"&amp;cfg_YearStart))*1000000,"")</f>
        <v/>
      </c>
      <c r="HG339" s="56">
        <f>IFERROR((SUMIFS(tblSafety[LTI],tblSafety[Date],"&gt;="&amp;EDATE($E339,-12),tblSafety[Date],"&lt;="&amp;$A339)+SUMIFS(tblSafetyHistory[LTI],tblSafetyHistory[Month],"&gt;="&amp;EDATE($E339,-12),tblSafetyHistory[Month],"&lt;"&amp;cfg_YearStart))/(SUMIFS(tblSafety[Hours_Total],tblSafety[Date],"&gt;="&amp;EDATE($E339,-12),tblSafety[Date],"&lt;="&amp;$A339)+SUMIFS(tblSafetyHistory[Hours_Total],tblSafetyHistory[Month],"&gt;="&amp;EDATE($E339,-12),tblSafetyHistory[Month],"&lt;"&amp;cfg_YearStart))*1000000,"")</f>
        <v/>
      </c>
      <c r="HH339" s="62">
        <f>IF(MAX(N(cfg_PriorLTIDate),_xlfn.MAXIFS(tblSafety[Date],tblSafety[LTI],"&gt;0",tblSafety[Date],"&lt;="&amp;$A339))=0,"",$A339-MAX(N(cfg_PriorLTIDate),_xlfn.MAXIFS(tblSafety[Date],tblSafety[LTI],"&gt;0",tblSafety[Date],"&lt;="&amp;$A339)))</f>
        <v/>
      </c>
      <c r="HI339" s="55">
        <f>SUMIFS(tblBudget[Ore_Mined_t],tblBudget[Month],$E339)</f>
        <v/>
      </c>
      <c r="HJ339" s="55">
        <f>$HI339*$C339/$D339</f>
        <v/>
      </c>
      <c r="HK339" s="55">
        <f>SUMIFS(tblBudget[Ore_Mined_t],tblBudget[Month],"&lt;"&amp;$E339)+$HJ339</f>
        <v/>
      </c>
      <c r="HL339" s="55">
        <f>SUMIFS(tblBudget[Ore_oz],tblBudget[Month],$E339)</f>
        <v/>
      </c>
      <c r="HM339" s="55">
        <f>$HL339*$C339/$D339</f>
        <v/>
      </c>
      <c r="HN339" s="55">
        <f>SUMIFS(tblBudget[Ore_oz],tblBudget[Month],"&lt;"&amp;$E339)+$HM339</f>
        <v/>
      </c>
      <c r="HO339" s="56">
        <f>IFERROR(IF(($HI339)&gt;0,($HL339*cfg_TroyOz)/($HI339),""),"")</f>
        <v/>
      </c>
      <c r="HP339" s="56">
        <f>IFERROR(IF(($HJ339)&gt;0,($HM339*cfg_TroyOz)/($HJ339),""),"")</f>
        <v/>
      </c>
      <c r="HQ339" s="56">
        <f>IFERROR(IF(($HK339)&gt;0,($HN339*cfg_TroyOz)/($HK339),""),"")</f>
        <v/>
      </c>
      <c r="HR339" s="55">
        <f>SUMIFS(tblBudget[Waste_t],tblBudget[Month],$E339)</f>
        <v/>
      </c>
      <c r="HS339" s="55">
        <f>$HR339*$C339/$D339</f>
        <v/>
      </c>
      <c r="HT339" s="55">
        <f>SUMIFS(tblBudget[Waste_t],tblBudget[Month],"&lt;"&amp;$E339)+$HS339</f>
        <v/>
      </c>
      <c r="HU339" s="55">
        <f>SUMIFS(tblBudget[TMM_t],tblBudget[Month],$E339)</f>
        <v/>
      </c>
      <c r="HV339" s="55">
        <f>$HU339*$C339/$D339</f>
        <v/>
      </c>
      <c r="HW339" s="55">
        <f>SUMIFS(tblBudget[TMM_t],tblBudget[Month],"&lt;"&amp;$E339)+$HV339</f>
        <v/>
      </c>
      <c r="HX339" s="56">
        <f>IFERROR(IF(($HI339)&gt;0,($HR339)/($HI339),""),"")</f>
        <v/>
      </c>
      <c r="HY339" s="56">
        <f>IFERROR(IF(($HJ339)&gt;0,($HS339)/($HJ339),""),"")</f>
        <v/>
      </c>
      <c r="HZ339" s="56">
        <f>IFERROR(IF(($HK339)&gt;0,($HT339)/($HK339),""),"")</f>
        <v/>
      </c>
      <c r="IA339" s="55">
        <f>SUMIFS(tblBudget[Drill_m],tblBudget[Month],$E339)</f>
        <v/>
      </c>
      <c r="IB339" s="55">
        <f>$IA339*$C339/$D339</f>
        <v/>
      </c>
      <c r="IC339" s="55">
        <f>SUMIFS(tblBudget[Drill_m],tblBudget[Month],"&lt;"&amp;$E339)+$IB339</f>
        <v/>
      </c>
      <c r="ID339" s="55">
        <f>SUMIFS(tblBudget[Diesel_L],tblBudget[Month],$E339)</f>
        <v/>
      </c>
      <c r="IE339" s="55">
        <f>$ID339*$C339/$D339</f>
        <v/>
      </c>
      <c r="IF339" s="55">
        <f>SUMIFS(tblBudget[Diesel_L],tblBudget[Month],"&lt;"&amp;$E339)+$IE339</f>
        <v/>
      </c>
      <c r="IG339" s="55">
        <f>SUMIFS(tblBudget[Milled_t],tblBudget[Month],$E339)</f>
        <v/>
      </c>
      <c r="IH339" s="55">
        <f>$IG339*$C339/$D339</f>
        <v/>
      </c>
      <c r="II339" s="55">
        <f>SUMIFS(tblBudget[Milled_t],tblBudget[Month],"&lt;"&amp;$E339)+$IH339</f>
        <v/>
      </c>
      <c r="IJ339" s="55">
        <f>SUMIFS(tblBudget[Feed_oz],tblBudget[Month],$E339)</f>
        <v/>
      </c>
      <c r="IK339" s="55">
        <f>$IJ339*$C339/$D339</f>
        <v/>
      </c>
      <c r="IL339" s="55">
        <f>SUMIFS(tblBudget[Feed_oz],tblBudget[Month],"&lt;"&amp;$E339)+$IK339</f>
        <v/>
      </c>
      <c r="IM339" s="55">
        <f>SUMIFS(tblBudget[Recovered_oz],tblBudget[Month],$E339)</f>
        <v/>
      </c>
      <c r="IN339" s="55">
        <f>$IM339*$C339/$D339</f>
        <v/>
      </c>
      <c r="IO339" s="55">
        <f>SUMIFS(tblBudget[Recovered_oz],tblBudget[Month],"&lt;"&amp;$E339)+$IN339</f>
        <v/>
      </c>
      <c r="IP339" s="56">
        <f>IFERROR(IF(($IG339)&gt;0,($IJ339*cfg_TroyOz)/($IG339),""),"")</f>
        <v/>
      </c>
      <c r="IQ339" s="56">
        <f>IFERROR(IF(($IH339)&gt;0,($IK339*cfg_TroyOz)/($IH339),""),"")</f>
        <v/>
      </c>
      <c r="IR339" s="56">
        <f>IFERROR(IF(($II339)&gt;0,($IL339*cfg_TroyOz)/($II339),""),"")</f>
        <v/>
      </c>
      <c r="IS339" s="67">
        <f>IFERROR(IF(($IJ339)&gt;0,($IM339)/($IJ339),""),"")</f>
        <v/>
      </c>
      <c r="IT339" s="67">
        <f>IFERROR(IF(($IK339)&gt;0,($IN339)/($IK339),""),"")</f>
        <v/>
      </c>
      <c r="IU339" s="67">
        <f>IFERROR(IF(($IL339)&gt;0,($IO339)/($IL339),""),"")</f>
        <v/>
      </c>
      <c r="IV339" s="55">
        <f>SUMIFS(tblBudget[Gold_Poured_oz],tblBudget[Month],$E339)</f>
        <v/>
      </c>
      <c r="IW339" s="55">
        <f>$IV339*$C339/$D339</f>
        <v/>
      </c>
      <c r="IX339" s="55">
        <f>SUMIFS(tblBudget[Gold_Poured_oz],tblBudget[Month],"&lt;"&amp;$E339)+$IW339</f>
        <v/>
      </c>
      <c r="IY339" s="57">
        <f>SUMIFS(tblBudget[Hours_Worked],tblBudget[Month],$E339)</f>
        <v/>
      </c>
      <c r="IZ339" s="57">
        <f>$IY339*$C339/$D339</f>
        <v/>
      </c>
      <c r="JA339" s="57">
        <f>SUMIFS(tblBudget[Hours_Worked],tblBudget[Month],"&lt;"&amp;$E339)+$IZ339</f>
        <v/>
      </c>
    </row>
    <row r="340">
      <c r="A340" s="54" t="n">
        <v>46361</v>
      </c>
      <c r="B340">
        <f>MONTH($A340)</f>
        <v/>
      </c>
      <c r="C340">
        <f>DAY($A340)</f>
        <v/>
      </c>
      <c r="D340">
        <f>DAY(EOMONTH($A340,0))</f>
        <v/>
      </c>
      <c r="E340" s="54">
        <f>DATE(YEAR($A340),MONTH($A340),1)</f>
        <v/>
      </c>
      <c r="F340" s="55">
        <f>SUMIFS(tblMovement[Tonnes_t],tblMovement[Date],$A340,tblMovement[Is_Ore],1,tblMovement[Source_Type],"Pit")</f>
        <v/>
      </c>
      <c r="G340" s="55">
        <f>IF($B340=$B339,$G339,0)+$F340</f>
        <v/>
      </c>
      <c r="H340" s="55">
        <f>$H339+$F340</f>
        <v/>
      </c>
      <c r="I340" s="55">
        <f>SUMIFS(tblMovement[Ore_oz],tblMovement[Date],$A340,tblMovement[Source_Type],"Pit")</f>
        <v/>
      </c>
      <c r="J340" s="55">
        <f>IF($B340=$B339,$J339,0)+$I340</f>
        <v/>
      </c>
      <c r="K340" s="55">
        <f>$K339+$I340</f>
        <v/>
      </c>
      <c r="L340" s="56">
        <f>IFERROR(IF(($F340)&gt;0,($I340*cfg_TroyOz)/($F340),""),"")</f>
        <v/>
      </c>
      <c r="M340" s="56">
        <f>IFERROR(IF(($G340)&gt;0,($J340*cfg_TroyOz)/($G340),""),"")</f>
        <v/>
      </c>
      <c r="N340" s="56">
        <f>IFERROR(IF(($H340)&gt;0,($K340*cfg_TroyOz)/($H340),""),"")</f>
        <v/>
      </c>
      <c r="O340" s="55">
        <f>SUMIFS(tblMovement[Tonnes_t],tblMovement[Date],$A340,tblMovement[Is_Ore],0,tblMovement[Source_Type],"Pit")</f>
        <v/>
      </c>
      <c r="P340" s="55">
        <f>IF($B340=$B339,$P339,0)+$O340</f>
        <v/>
      </c>
      <c r="Q340" s="55">
        <f>$Q339+$O340</f>
        <v/>
      </c>
      <c r="R340" s="55">
        <f>$F340+$O340</f>
        <v/>
      </c>
      <c r="S340" s="55">
        <f>IF($B340=$B339,$S339,0)+$R340</f>
        <v/>
      </c>
      <c r="T340" s="55">
        <f>$T339+$R340</f>
        <v/>
      </c>
      <c r="U340" s="56">
        <f>IFERROR(IF(($F340)&gt;0,($O340)/($F340),""),"")</f>
        <v/>
      </c>
      <c r="V340" s="56">
        <f>IFERROR(IF(($G340)&gt;0,($P340)/($G340),""),"")</f>
        <v/>
      </c>
      <c r="W340" s="56">
        <f>IFERROR(IF(($H340)&gt;0,($Q340)/($H340),""),"")</f>
        <v/>
      </c>
      <c r="X340" s="55">
        <f>SUMIFS(tblMovement[Tonnes_t],tblMovement[Date],$A340,tblMovement[Source_Type],"Stockpile")</f>
        <v/>
      </c>
      <c r="Y340" s="55">
        <f>IF($B340=$B339,$Y339,0)+$X340</f>
        <v/>
      </c>
      <c r="Z340" s="55">
        <f>$Z339+$X340</f>
        <v/>
      </c>
      <c r="AA340" s="55">
        <f>SUMIFS(tblMiningDaily[Drill_m],tblMiningDaily[Date],$A340)</f>
        <v/>
      </c>
      <c r="AB340" s="55">
        <f>IF($B340=$B339,$AB339,0)+$AA340</f>
        <v/>
      </c>
      <c r="AC340" s="55">
        <f>$AC339+$AA340</f>
        <v/>
      </c>
      <c r="AD340" s="55">
        <f>SUMIFS(tblMiningDaily[Blast_t],tblMiningDaily[Date],$A340)</f>
        <v/>
      </c>
      <c r="AE340" s="55">
        <f>IF($B340=$B339,$AE339,0)+$AD340</f>
        <v/>
      </c>
      <c r="AF340" s="55">
        <f>$AF339+$AD340</f>
        <v/>
      </c>
      <c r="AG340" s="55">
        <f>SUMIFS(tblMiningDaily[Explosives_kg],tblMiningDaily[Date],$A340)</f>
        <v/>
      </c>
      <c r="AH340" s="55">
        <f>IF($B340=$B339,$AH339,0)+$AG340</f>
        <v/>
      </c>
      <c r="AI340" s="55">
        <f>$AI339+$AG340</f>
        <v/>
      </c>
      <c r="AJ340" s="56">
        <f>IFERROR(IF(($AD340)&gt;0,($AG340)/($AD340),""),"")</f>
        <v/>
      </c>
      <c r="AK340" s="56">
        <f>IFERROR(IF(($AE340)&gt;0,($AH340)/($AE340),""),"")</f>
        <v/>
      </c>
      <c r="AL340" s="56">
        <f>IFERROR(IF(($AF340)&gt;0,($AI340)/($AF340),""),"")</f>
        <v/>
      </c>
      <c r="AM340" s="55">
        <f>SUMIFS(tblMiningDaily[Diesel_L],tblMiningDaily[Date],$A340)</f>
        <v/>
      </c>
      <c r="AN340" s="55">
        <f>IF($B340=$B339,$AN339,0)+$AM340</f>
        <v/>
      </c>
      <c r="AO340" s="55">
        <f>$AO339+$AM340</f>
        <v/>
      </c>
      <c r="AP340" s="55">
        <f>SUMIFS(tblMiningDaily[Dewatering_m3],tblMiningDaily[Date],$A340)</f>
        <v/>
      </c>
      <c r="AQ340" s="55">
        <f>IF($B340=$B339,$AQ339,0)+$AP340</f>
        <v/>
      </c>
      <c r="AR340" s="55">
        <f>$AR339+$AP340</f>
        <v/>
      </c>
      <c r="AS340" s="57">
        <f>SUMIFS(tblFleet[Calendar_h],tblFleet[Date],$A340,tblFleet[Equipment_Class],"Excavator")</f>
        <v/>
      </c>
      <c r="AT340" s="57">
        <f>IF($B340=$B339,$AT339,0)+$AS340</f>
        <v/>
      </c>
      <c r="AU340" s="57">
        <f>$AU339+$AS340</f>
        <v/>
      </c>
      <c r="AV340" s="57">
        <f>SUMIFS(tblFleet[Available_h],tblFleet[Date],$A340,tblFleet[Equipment_Class],"Excavator")</f>
        <v/>
      </c>
      <c r="AW340" s="57">
        <f>IF($B340=$B339,$AW339,0)+$AV340</f>
        <v/>
      </c>
      <c r="AX340" s="57">
        <f>$AX339+$AV340</f>
        <v/>
      </c>
      <c r="AY340" s="57">
        <f>SUMIFS(tblFleet[Operating_h],tblFleet[Date],$A340,tblFleet[Equipment_Class],"Excavator")</f>
        <v/>
      </c>
      <c r="AZ340" s="57">
        <f>IF($B340=$B339,$AZ339,0)+$AY340</f>
        <v/>
      </c>
      <c r="BA340" s="57">
        <f>$BA339+$AY340</f>
        <v/>
      </c>
      <c r="BB340" s="67">
        <f>IFERROR(IF(($AS340)&gt;0,($AV340)/($AS340),""),"")</f>
        <v/>
      </c>
      <c r="BC340" s="67">
        <f>IFERROR(IF(($AT340)&gt;0,($AW340)/($AT340),""),"")</f>
        <v/>
      </c>
      <c r="BD340" s="67">
        <f>IFERROR(IF(($AU340)&gt;0,($AX340)/($AU340),""),"")</f>
        <v/>
      </c>
      <c r="BE340" s="67">
        <f>IFERROR(IF(($AV340)&gt;0,($AY340)/($AV340),""),"")</f>
        <v/>
      </c>
      <c r="BF340" s="67">
        <f>IFERROR(IF(($AW340)&gt;0,($AZ340)/($AW340),""),"")</f>
        <v/>
      </c>
      <c r="BG340" s="67">
        <f>IFERROR(IF(($AX340)&gt;0,($BA340)/($AX340),""),"")</f>
        <v/>
      </c>
      <c r="BH340" s="57">
        <f>SUMIFS(tblFleet[Calendar_h],tblFleet[Date],$A340,tblFleet[Equipment_Class],"Haul Truck")</f>
        <v/>
      </c>
      <c r="BI340" s="57">
        <f>IF($B340=$B339,$BI339,0)+$BH340</f>
        <v/>
      </c>
      <c r="BJ340" s="57">
        <f>$BJ339+$BH340</f>
        <v/>
      </c>
      <c r="BK340" s="57">
        <f>SUMIFS(tblFleet[Available_h],tblFleet[Date],$A340,tblFleet[Equipment_Class],"Haul Truck")</f>
        <v/>
      </c>
      <c r="BL340" s="57">
        <f>IF($B340=$B339,$BL339,0)+$BK340</f>
        <v/>
      </c>
      <c r="BM340" s="57">
        <f>$BM339+$BK340</f>
        <v/>
      </c>
      <c r="BN340" s="57">
        <f>SUMIFS(tblFleet[Operating_h],tblFleet[Date],$A340,tblFleet[Equipment_Class],"Haul Truck")</f>
        <v/>
      </c>
      <c r="BO340" s="57">
        <f>IF($B340=$B339,$BO339,0)+$BN340</f>
        <v/>
      </c>
      <c r="BP340" s="57">
        <f>$BP339+$BN340</f>
        <v/>
      </c>
      <c r="BQ340" s="67">
        <f>IFERROR(IF(($BH340)&gt;0,($BK340)/($BH340),""),"")</f>
        <v/>
      </c>
      <c r="BR340" s="67">
        <f>IFERROR(IF(($BI340)&gt;0,($BL340)/($BI340),""),"")</f>
        <v/>
      </c>
      <c r="BS340" s="67">
        <f>IFERROR(IF(($BJ340)&gt;0,($BM340)/($BJ340),""),"")</f>
        <v/>
      </c>
      <c r="BT340" s="67">
        <f>IFERROR(IF(($BK340)&gt;0,($BN340)/($BK340),""),"")</f>
        <v/>
      </c>
      <c r="BU340" s="67">
        <f>IFERROR(IF(($BL340)&gt;0,($BO340)/($BL340),""),"")</f>
        <v/>
      </c>
      <c r="BV340" s="67">
        <f>IFERROR(IF(($BM340)&gt;0,($BP340)/($BM340),""),"")</f>
        <v/>
      </c>
      <c r="BW340" s="55">
        <f>SUMIFS(tblPlant[Crushed_t],tblPlant[Date],$A340)</f>
        <v/>
      </c>
      <c r="BX340" s="55">
        <f>IF($B340=$B339,$BX339,0)+$BW340</f>
        <v/>
      </c>
      <c r="BY340" s="55">
        <f>$BY339+$BW340</f>
        <v/>
      </c>
      <c r="BZ340" s="55">
        <f>SUMIFS(tblPlant[Milled_t],tblPlant[Date],$A340)</f>
        <v/>
      </c>
      <c r="CA340" s="55">
        <f>IF($B340=$B339,$CA339,0)+$BZ340</f>
        <v/>
      </c>
      <c r="CB340" s="55">
        <f>$CB339+$BZ340</f>
        <v/>
      </c>
      <c r="CC340" s="55">
        <f>SUMIFS(tblPlant[Feed_oz],tblPlant[Date],$A340)</f>
        <v/>
      </c>
      <c r="CD340" s="55">
        <f>IF($B340=$B339,$CD339,0)+$CC340</f>
        <v/>
      </c>
      <c r="CE340" s="55">
        <f>$CE339+$CC340</f>
        <v/>
      </c>
      <c r="CF340" s="55">
        <f>SUMIFS(tblPlant[Tails_oz],tblPlant[Date],$A340)</f>
        <v/>
      </c>
      <c r="CG340" s="55">
        <f>IF($B340=$B339,$CG339,0)+$CF340</f>
        <v/>
      </c>
      <c r="CH340" s="55">
        <f>$CH339+$CF340</f>
        <v/>
      </c>
      <c r="CI340" s="55">
        <f>SUMIFS(tblPlant[Recovered_oz],tblPlant[Date],$A340)</f>
        <v/>
      </c>
      <c r="CJ340" s="55">
        <f>IF($B340=$B339,$CJ339,0)+$CI340</f>
        <v/>
      </c>
      <c r="CK340" s="55">
        <f>$CK339+$CI340</f>
        <v/>
      </c>
      <c r="CL340" s="56">
        <f>IFERROR(IF(($BZ340)&gt;0,($CC340*cfg_TroyOz)/($BZ340),""),"")</f>
        <v/>
      </c>
      <c r="CM340" s="56">
        <f>IFERROR(IF(($CA340)&gt;0,($CD340*cfg_TroyOz)/($CA340),""),"")</f>
        <v/>
      </c>
      <c r="CN340" s="56">
        <f>IFERROR(IF(($CB340)&gt;0,($CE340*cfg_TroyOz)/($CB340),""),"")</f>
        <v/>
      </c>
      <c r="CO340" s="56">
        <f>IFERROR(IF(($BZ340)&gt;0,($CF340*cfg_TroyOz)/($BZ340),""),"")</f>
        <v/>
      </c>
      <c r="CP340" s="56">
        <f>IFERROR(IF(($CA340)&gt;0,($CG340*cfg_TroyOz)/($CA340),""),"")</f>
        <v/>
      </c>
      <c r="CQ340" s="56">
        <f>IFERROR(IF(($CB340)&gt;0,($CH340*cfg_TroyOz)/($CB340),""),"")</f>
        <v/>
      </c>
      <c r="CR340" s="67">
        <f>IFERROR(IF(($CC340)&gt;0,($CI340)/($CC340),""),"")</f>
        <v/>
      </c>
      <c r="CS340" s="67">
        <f>IFERROR(IF(($CD340)&gt;0,($CJ340)/($CD340),""),"")</f>
        <v/>
      </c>
      <c r="CT340" s="67">
        <f>IFERROR(IF(($CE340)&gt;0,($CK340)/($CE340),""),"")</f>
        <v/>
      </c>
      <c r="CU340" s="55">
        <f>SUMIFS(tblPlant[Gravity_Gold_oz],tblPlant[Date],$A340)</f>
        <v/>
      </c>
      <c r="CV340" s="55">
        <f>IF($B340=$B339,$CV339,0)+$CU340</f>
        <v/>
      </c>
      <c r="CW340" s="55">
        <f>$CW339+$CU340</f>
        <v/>
      </c>
      <c r="CX340" s="55">
        <f>SUMIFS(tblPlant[Gold_Poured_oz],tblPlant[Date],$A340)</f>
        <v/>
      </c>
      <c r="CY340" s="55">
        <f>IF($B340=$B339,$CY339,0)+$CX340</f>
        <v/>
      </c>
      <c r="CZ340" s="55">
        <f>$CZ339+$CX340</f>
        <v/>
      </c>
      <c r="DA340" s="57">
        <f>SUMIFS(tblPlant[Mill_Run_h],tblPlant[Date],$A340)</f>
        <v/>
      </c>
      <c r="DB340" s="57">
        <f>IF($B340=$B339,$DB339,0)+$DA340</f>
        <v/>
      </c>
      <c r="DC340" s="57">
        <f>$DC339+$DA340</f>
        <v/>
      </c>
      <c r="DD340" s="57">
        <f>SUMIFS(tblPlant[Mill_Planned_Maint_h],tblPlant[Date],$A340)</f>
        <v/>
      </c>
      <c r="DE340" s="57">
        <f>IF($B340=$B339,$DE339,0)+$DD340</f>
        <v/>
      </c>
      <c r="DF340" s="57">
        <f>$DF339+$DD340</f>
        <v/>
      </c>
      <c r="DG340" s="57">
        <f>SUMIFS(tblPlant[Mill_Unplanned_Down_h],tblPlant[Date],$A340)</f>
        <v/>
      </c>
      <c r="DH340" s="57">
        <f>IF($B340=$B339,$DH339,0)+$DG340</f>
        <v/>
      </c>
      <c r="DI340" s="57">
        <f>$DI339+$DG340</f>
        <v/>
      </c>
      <c r="DJ340" s="57">
        <f>COUNTIFS(tblPlant[Date],$A340,tblPlant[Mill_Run_h],"&lt;&gt;")*24</f>
        <v/>
      </c>
      <c r="DK340" s="57">
        <f>IF($B340=$B339,$DK339,0)+$DJ340</f>
        <v/>
      </c>
      <c r="DL340" s="57">
        <f>$DL339+$DJ340</f>
        <v/>
      </c>
      <c r="DM340" s="57">
        <f>SUMIFS(tblPlant[Crusher_Run_h],tblPlant[Date],$A340)</f>
        <v/>
      </c>
      <c r="DN340" s="57">
        <f>IF($B340=$B339,$DN339,0)+$DM340</f>
        <v/>
      </c>
      <c r="DO340" s="57">
        <f>$DO339+$DM340</f>
        <v/>
      </c>
      <c r="DP340" s="55">
        <f>IFERROR(IF(($DA340)&gt;0,($BZ340)/($DA340),""),"")</f>
        <v/>
      </c>
      <c r="DQ340" s="55">
        <f>IFERROR(IF(($DB340)&gt;0,($CA340)/($DB340),""),"")</f>
        <v/>
      </c>
      <c r="DR340" s="55">
        <f>IFERROR(IF(($DC340)&gt;0,($CB340)/($DC340),""),"")</f>
        <v/>
      </c>
      <c r="DS340" s="67">
        <f>IFERROR(IF(($DJ340)&gt;0,($DJ340-$DD340-$DG340)/($DJ340),""),"")</f>
        <v/>
      </c>
      <c r="DT340" s="67">
        <f>IFERROR(IF(($DK340)&gt;0,($DK340-$DE340-$DH340)/($DK340),""),"")</f>
        <v/>
      </c>
      <c r="DU340" s="67">
        <f>IFERROR(IF(($DL340)&gt;0,($DL340-$DF340-$DI340)/($DL340),""),"")</f>
        <v/>
      </c>
      <c r="DV340" s="67">
        <f>IFERROR(IF(($DJ340-$DD340-$DG340)&gt;0,($DA340)/($DJ340-$DD340-$DG340),""),"")</f>
        <v/>
      </c>
      <c r="DW340" s="67">
        <f>IFERROR(IF(($DK340-$DE340-$DH340)&gt;0,($DB340)/($DK340-$DE340-$DH340),""),"")</f>
        <v/>
      </c>
      <c r="DX340" s="67">
        <f>IFERROR(IF(($DL340-$DF340-$DI340)&gt;0,($DC340)/($DL340-$DF340-$DI340),""),"")</f>
        <v/>
      </c>
      <c r="DY340" s="55">
        <f>SUMIFS(tblPlant[Cyanide_kg],tblPlant[Date],$A340)</f>
        <v/>
      </c>
      <c r="DZ340" s="55">
        <f>IF($B340=$B339,$DZ339,0)+$DY340</f>
        <v/>
      </c>
      <c r="EA340" s="55">
        <f>$EA339+$DY340</f>
        <v/>
      </c>
      <c r="EB340" s="55">
        <f>SUMIFS(tblPlant[Lime_kg],tblPlant[Date],$A340)</f>
        <v/>
      </c>
      <c r="EC340" s="55">
        <f>IF($B340=$B339,$EC339,0)+$EB340</f>
        <v/>
      </c>
      <c r="ED340" s="55">
        <f>$ED339+$EB340</f>
        <v/>
      </c>
      <c r="EE340" s="55">
        <f>SUMIFS(tblPlant[Grinding_Media_kg],tblPlant[Date],$A340)</f>
        <v/>
      </c>
      <c r="EF340" s="55">
        <f>IF($B340=$B339,$EF339,0)+$EE340</f>
        <v/>
      </c>
      <c r="EG340" s="55">
        <f>$EG339+$EE340</f>
        <v/>
      </c>
      <c r="EH340" s="55">
        <f>SUMIFS(tblPlant[Power_kWh],tblPlant[Date],$A340)</f>
        <v/>
      </c>
      <c r="EI340" s="55">
        <f>IF($B340=$B339,$EI339,0)+$EH340</f>
        <v/>
      </c>
      <c r="EJ340" s="55">
        <f>$EJ339+$EH340</f>
        <v/>
      </c>
      <c r="EK340" s="55">
        <f>SUMIFS(tblPlant[Raw_Water_m3],tblPlant[Date],$A340)</f>
        <v/>
      </c>
      <c r="EL340" s="55">
        <f>IF($B340=$B339,$EL339,0)+$EK340</f>
        <v/>
      </c>
      <c r="EM340" s="55">
        <f>$EM339+$EK340</f>
        <v/>
      </c>
      <c r="EN340" s="56">
        <f>IFERROR(IF(($BZ340)&gt;0,($DY340)/($BZ340),""),"")</f>
        <v/>
      </c>
      <c r="EO340" s="56">
        <f>IFERROR(IF(($CA340)&gt;0,($DZ340)/($CA340),""),"")</f>
        <v/>
      </c>
      <c r="EP340" s="56">
        <f>IFERROR(IF(($CB340)&gt;0,($EA340)/($CB340),""),"")</f>
        <v/>
      </c>
      <c r="EQ340" s="56">
        <f>IFERROR(IF(($BZ340)&gt;0,($EB340)/($BZ340),""),"")</f>
        <v/>
      </c>
      <c r="ER340" s="56">
        <f>IFERROR(IF(($CA340)&gt;0,($EC340)/($CA340),""),"")</f>
        <v/>
      </c>
      <c r="ES340" s="56">
        <f>IFERROR(IF(($CB340)&gt;0,($ED340)/($CB340),""),"")</f>
        <v/>
      </c>
      <c r="ET340" s="56">
        <f>IFERROR(IF(($BZ340)&gt;0,($EE340)/($BZ340),""),"")</f>
        <v/>
      </c>
      <c r="EU340" s="56">
        <f>IFERROR(IF(($CA340)&gt;0,($EF340)/($CA340),""),"")</f>
        <v/>
      </c>
      <c r="EV340" s="56">
        <f>IFERROR(IF(($CB340)&gt;0,($EG340)/($CB340),""),"")</f>
        <v/>
      </c>
      <c r="EW340" s="76">
        <f>IFERROR(IF(($BZ340)&gt;0,($EH340)/($BZ340),""),"")</f>
        <v/>
      </c>
      <c r="EX340" s="76">
        <f>IFERROR(IF(($CA340)&gt;0,($EI340)/($CA340),""),"")</f>
        <v/>
      </c>
      <c r="EY340" s="76">
        <f>IFERROR(IF(($CB340)&gt;0,($EJ340)/($CB340),""),"")</f>
        <v/>
      </c>
      <c r="EZ340" s="56">
        <f>IFERROR(IF(($BZ340)&gt;0,($EK340)/($BZ340),""),"")</f>
        <v/>
      </c>
      <c r="FA340" s="56">
        <f>IFERROR(IF(($CA340)&gt;0,($EL340)/($CA340),""),"")</f>
        <v/>
      </c>
      <c r="FB340" s="56">
        <f>IFERROR(IF(($CB340)&gt;0,($EM340)/($CB340),""),"")</f>
        <v/>
      </c>
      <c r="FC340" s="55">
        <f>IF(SUMIFS(tblPlant[GIC_oz],tblPlant[Date],$A340)&gt;0,SUMIFS(tblPlant[GIC_oz],tblPlant[Date],$A340),"")</f>
        <v/>
      </c>
      <c r="FD340" s="55">
        <f>SUMIFS(tblGold[Gold_oz],tblGold[Date],$A340,tblGold[Type],"Shipment")</f>
        <v/>
      </c>
      <c r="FE340" s="55">
        <f>IF($B340=$B339,$FE339,0)+$FD340</f>
        <v/>
      </c>
      <c r="FF340" s="55">
        <f>$FF339+$FD340</f>
        <v/>
      </c>
      <c r="FG340" s="55">
        <f>SUMIFS(tblGold[Gold_oz],tblGold[Date],$A340,tblGold[Type],"Sale")</f>
        <v/>
      </c>
      <c r="FH340" s="55">
        <f>IF($B340=$B339,$FH339,0)+$FG340</f>
        <v/>
      </c>
      <c r="FI340" s="55">
        <f>$FI339+$FG340</f>
        <v/>
      </c>
      <c r="FJ340" s="55">
        <f>SUMIFS(tblGold[Dore_kg],tblGold[Date],$A340,tblGold[Type],"Shipment")</f>
        <v/>
      </c>
      <c r="FK340" s="55">
        <f>IF($B340=$B339,$FK339,0)+$FJ340</f>
        <v/>
      </c>
      <c r="FL340" s="55">
        <f>$FL339+$FJ340</f>
        <v/>
      </c>
      <c r="FM340" s="57">
        <f>SUMIFS(tblSafety[Hours_Total],tblSafety[Date],$A340)</f>
        <v/>
      </c>
      <c r="FN340" s="57">
        <f>IF($B340=$B339,$FN339,0)+$FM340</f>
        <v/>
      </c>
      <c r="FO340" s="57">
        <f>$FO339+$FM340</f>
        <v/>
      </c>
      <c r="FP340" s="62">
        <f>SUMIFS(tblSafety[Fatality],tblSafety[Date],$A340)</f>
        <v/>
      </c>
      <c r="FQ340" s="62">
        <f>IF($B340=$B339,$FQ339,0)+$FP340</f>
        <v/>
      </c>
      <c r="FR340" s="62">
        <f>$FR339+$FP340</f>
        <v/>
      </c>
      <c r="FS340" s="62">
        <f>SUMIFS(tblSafety[LTI],tblSafety[Date],$A340)</f>
        <v/>
      </c>
      <c r="FT340" s="62">
        <f>IF($B340=$B339,$FT339,0)+$FS340</f>
        <v/>
      </c>
      <c r="FU340" s="62">
        <f>$FU339+$FS340</f>
        <v/>
      </c>
      <c r="FV340" s="62">
        <f>SUMIFS(tblSafety[RWI],tblSafety[Date],$A340)</f>
        <v/>
      </c>
      <c r="FW340" s="62">
        <f>IF($B340=$B339,$FW339,0)+$FV340</f>
        <v/>
      </c>
      <c r="FX340" s="62">
        <f>$FX339+$FV340</f>
        <v/>
      </c>
      <c r="FY340" s="62">
        <f>SUMIFS(tblSafety[MTI],tblSafety[Date],$A340)</f>
        <v/>
      </c>
      <c r="FZ340" s="62">
        <f>IF($B340=$B339,$FZ339,0)+$FY340</f>
        <v/>
      </c>
      <c r="GA340" s="62">
        <f>$GA339+$FY340</f>
        <v/>
      </c>
      <c r="GB340" s="62">
        <f>SUMIFS(tblSafety[FAI],tblSafety[Date],$A340)</f>
        <v/>
      </c>
      <c r="GC340" s="62">
        <f>IF($B340=$B339,$GC339,0)+$GB340</f>
        <v/>
      </c>
      <c r="GD340" s="62">
        <f>$GD339+$GB340</f>
        <v/>
      </c>
      <c r="GE340" s="62">
        <f>SUMIFS(tblSafety[Recordables],tblSafety[Date],$A340)</f>
        <v/>
      </c>
      <c r="GF340" s="62">
        <f>IF($B340=$B339,$GF339,0)+$GE340</f>
        <v/>
      </c>
      <c r="GG340" s="62">
        <f>$GG339+$GE340</f>
        <v/>
      </c>
      <c r="GH340" s="62">
        <f>SUMIFS(tblSafety[Near_Miss],tblSafety[Date],$A340)</f>
        <v/>
      </c>
      <c r="GI340" s="62">
        <f>IF($B340=$B339,$GI339,0)+$GH340</f>
        <v/>
      </c>
      <c r="GJ340" s="62">
        <f>$GJ339+$GH340</f>
        <v/>
      </c>
      <c r="GK340" s="62">
        <f>SUMIFS(tblSafety[Hazard_Reports],tblSafety[Date],$A340)</f>
        <v/>
      </c>
      <c r="GL340" s="62">
        <f>IF($B340=$B339,$GL339,0)+$GK340</f>
        <v/>
      </c>
      <c r="GM340" s="62">
        <f>$GM339+$GK340</f>
        <v/>
      </c>
      <c r="GN340" s="62">
        <f>SUMIFS(tblSafety[HPI],tblSafety[Date],$A340)</f>
        <v/>
      </c>
      <c r="GO340" s="62">
        <f>IF($B340=$B339,$GO339,0)+$GN340</f>
        <v/>
      </c>
      <c r="GP340" s="62">
        <f>$GP339+$GN340</f>
        <v/>
      </c>
      <c r="GQ340" s="62">
        <f>SUMIFS(tblSafety[Env_Incidents],tblSafety[Date],$A340)</f>
        <v/>
      </c>
      <c r="GR340" s="62">
        <f>IF($B340=$B339,$GR339,0)+$GQ340</f>
        <v/>
      </c>
      <c r="GS340" s="62">
        <f>$GS339+$GQ340</f>
        <v/>
      </c>
      <c r="GT340" s="62">
        <f>SUMIFS(tblSafety[Community_Incidents],tblSafety[Date],$A340)</f>
        <v/>
      </c>
      <c r="GU340" s="62">
        <f>IF($B340=$B339,$GU339,0)+$GT340</f>
        <v/>
      </c>
      <c r="GV340" s="62">
        <f>$GV339+$GT340</f>
        <v/>
      </c>
      <c r="GW340" s="62">
        <f>SUMIFS(tblSafety[Vehicle_Incidents],tblSafety[Date],$A340)</f>
        <v/>
      </c>
      <c r="GX340" s="62">
        <f>IF($B340=$B339,$GX339,0)+$GW340</f>
        <v/>
      </c>
      <c r="GY340" s="62">
        <f>$GY339+$GW340</f>
        <v/>
      </c>
      <c r="GZ340" s="62">
        <f>SUMIFS(tblSafety[Toolbox_Talks],tblSafety[Date],$A340)</f>
        <v/>
      </c>
      <c r="HA340" s="62">
        <f>IF($B340=$B339,$HA339,0)+$GZ340</f>
        <v/>
      </c>
      <c r="HB340" s="62">
        <f>$HB339+$GZ340</f>
        <v/>
      </c>
      <c r="HC340" s="62">
        <f>SUMIFS(tblSafety[Inspections],tblSafety[Date],$A340)</f>
        <v/>
      </c>
      <c r="HD340" s="62">
        <f>IF($B340=$B339,$HD339,0)+$HC340</f>
        <v/>
      </c>
      <c r="HE340" s="62">
        <f>$HE339+$HC340</f>
        <v/>
      </c>
      <c r="HF340" s="56">
        <f>IFERROR((SUMIFS(tblSafety[Recordables],tblSafety[Date],"&gt;="&amp;EDATE($E340,-12),tblSafety[Date],"&lt;="&amp;$A340)+SUMIFS(tblSafetyHistory[Recordables],tblSafetyHistory[Month],"&gt;="&amp;EDATE($E340,-12),tblSafetyHistory[Month],"&lt;"&amp;cfg_YearStart))/(SUMIFS(tblSafety[Hours_Total],tblSafety[Date],"&gt;="&amp;EDATE($E340,-12),tblSafety[Date],"&lt;="&amp;$A340)+SUMIFS(tblSafetyHistory[Hours_Total],tblSafetyHistory[Month],"&gt;="&amp;EDATE($E340,-12),tblSafetyHistory[Month],"&lt;"&amp;cfg_YearStart))*1000000,"")</f>
        <v/>
      </c>
      <c r="HG340" s="56">
        <f>IFERROR((SUMIFS(tblSafety[LTI],tblSafety[Date],"&gt;="&amp;EDATE($E340,-12),tblSafety[Date],"&lt;="&amp;$A340)+SUMIFS(tblSafetyHistory[LTI],tblSafetyHistory[Month],"&gt;="&amp;EDATE($E340,-12),tblSafetyHistory[Month],"&lt;"&amp;cfg_YearStart))/(SUMIFS(tblSafety[Hours_Total],tblSafety[Date],"&gt;="&amp;EDATE($E340,-12),tblSafety[Date],"&lt;="&amp;$A340)+SUMIFS(tblSafetyHistory[Hours_Total],tblSafetyHistory[Month],"&gt;="&amp;EDATE($E340,-12),tblSafetyHistory[Month],"&lt;"&amp;cfg_YearStart))*1000000,"")</f>
        <v/>
      </c>
      <c r="HH340" s="62">
        <f>IF(MAX(N(cfg_PriorLTIDate),_xlfn.MAXIFS(tblSafety[Date],tblSafety[LTI],"&gt;0",tblSafety[Date],"&lt;="&amp;$A340))=0,"",$A340-MAX(N(cfg_PriorLTIDate),_xlfn.MAXIFS(tblSafety[Date],tblSafety[LTI],"&gt;0",tblSafety[Date],"&lt;="&amp;$A340)))</f>
        <v/>
      </c>
      <c r="HI340" s="55">
        <f>SUMIFS(tblBudget[Ore_Mined_t],tblBudget[Month],$E340)</f>
        <v/>
      </c>
      <c r="HJ340" s="55">
        <f>$HI340*$C340/$D340</f>
        <v/>
      </c>
      <c r="HK340" s="55">
        <f>SUMIFS(tblBudget[Ore_Mined_t],tblBudget[Month],"&lt;"&amp;$E340)+$HJ340</f>
        <v/>
      </c>
      <c r="HL340" s="55">
        <f>SUMIFS(tblBudget[Ore_oz],tblBudget[Month],$E340)</f>
        <v/>
      </c>
      <c r="HM340" s="55">
        <f>$HL340*$C340/$D340</f>
        <v/>
      </c>
      <c r="HN340" s="55">
        <f>SUMIFS(tblBudget[Ore_oz],tblBudget[Month],"&lt;"&amp;$E340)+$HM340</f>
        <v/>
      </c>
      <c r="HO340" s="56">
        <f>IFERROR(IF(($HI340)&gt;0,($HL340*cfg_TroyOz)/($HI340),""),"")</f>
        <v/>
      </c>
      <c r="HP340" s="56">
        <f>IFERROR(IF(($HJ340)&gt;0,($HM340*cfg_TroyOz)/($HJ340),""),"")</f>
        <v/>
      </c>
      <c r="HQ340" s="56">
        <f>IFERROR(IF(($HK340)&gt;0,($HN340*cfg_TroyOz)/($HK340),""),"")</f>
        <v/>
      </c>
      <c r="HR340" s="55">
        <f>SUMIFS(tblBudget[Waste_t],tblBudget[Month],$E340)</f>
        <v/>
      </c>
      <c r="HS340" s="55">
        <f>$HR340*$C340/$D340</f>
        <v/>
      </c>
      <c r="HT340" s="55">
        <f>SUMIFS(tblBudget[Waste_t],tblBudget[Month],"&lt;"&amp;$E340)+$HS340</f>
        <v/>
      </c>
      <c r="HU340" s="55">
        <f>SUMIFS(tblBudget[TMM_t],tblBudget[Month],$E340)</f>
        <v/>
      </c>
      <c r="HV340" s="55">
        <f>$HU340*$C340/$D340</f>
        <v/>
      </c>
      <c r="HW340" s="55">
        <f>SUMIFS(tblBudget[TMM_t],tblBudget[Month],"&lt;"&amp;$E340)+$HV340</f>
        <v/>
      </c>
      <c r="HX340" s="56">
        <f>IFERROR(IF(($HI340)&gt;0,($HR340)/($HI340),""),"")</f>
        <v/>
      </c>
      <c r="HY340" s="56">
        <f>IFERROR(IF(($HJ340)&gt;0,($HS340)/($HJ340),""),"")</f>
        <v/>
      </c>
      <c r="HZ340" s="56">
        <f>IFERROR(IF(($HK340)&gt;0,($HT340)/($HK340),""),"")</f>
        <v/>
      </c>
      <c r="IA340" s="55">
        <f>SUMIFS(tblBudget[Drill_m],tblBudget[Month],$E340)</f>
        <v/>
      </c>
      <c r="IB340" s="55">
        <f>$IA340*$C340/$D340</f>
        <v/>
      </c>
      <c r="IC340" s="55">
        <f>SUMIFS(tblBudget[Drill_m],tblBudget[Month],"&lt;"&amp;$E340)+$IB340</f>
        <v/>
      </c>
      <c r="ID340" s="55">
        <f>SUMIFS(tblBudget[Diesel_L],tblBudget[Month],$E340)</f>
        <v/>
      </c>
      <c r="IE340" s="55">
        <f>$ID340*$C340/$D340</f>
        <v/>
      </c>
      <c r="IF340" s="55">
        <f>SUMIFS(tblBudget[Diesel_L],tblBudget[Month],"&lt;"&amp;$E340)+$IE340</f>
        <v/>
      </c>
      <c r="IG340" s="55">
        <f>SUMIFS(tblBudget[Milled_t],tblBudget[Month],$E340)</f>
        <v/>
      </c>
      <c r="IH340" s="55">
        <f>$IG340*$C340/$D340</f>
        <v/>
      </c>
      <c r="II340" s="55">
        <f>SUMIFS(tblBudget[Milled_t],tblBudget[Month],"&lt;"&amp;$E340)+$IH340</f>
        <v/>
      </c>
      <c r="IJ340" s="55">
        <f>SUMIFS(tblBudget[Feed_oz],tblBudget[Month],$E340)</f>
        <v/>
      </c>
      <c r="IK340" s="55">
        <f>$IJ340*$C340/$D340</f>
        <v/>
      </c>
      <c r="IL340" s="55">
        <f>SUMIFS(tblBudget[Feed_oz],tblBudget[Month],"&lt;"&amp;$E340)+$IK340</f>
        <v/>
      </c>
      <c r="IM340" s="55">
        <f>SUMIFS(tblBudget[Recovered_oz],tblBudget[Month],$E340)</f>
        <v/>
      </c>
      <c r="IN340" s="55">
        <f>$IM340*$C340/$D340</f>
        <v/>
      </c>
      <c r="IO340" s="55">
        <f>SUMIFS(tblBudget[Recovered_oz],tblBudget[Month],"&lt;"&amp;$E340)+$IN340</f>
        <v/>
      </c>
      <c r="IP340" s="56">
        <f>IFERROR(IF(($IG340)&gt;0,($IJ340*cfg_TroyOz)/($IG340),""),"")</f>
        <v/>
      </c>
      <c r="IQ340" s="56">
        <f>IFERROR(IF(($IH340)&gt;0,($IK340*cfg_TroyOz)/($IH340),""),"")</f>
        <v/>
      </c>
      <c r="IR340" s="56">
        <f>IFERROR(IF(($II340)&gt;0,($IL340*cfg_TroyOz)/($II340),""),"")</f>
        <v/>
      </c>
      <c r="IS340" s="67">
        <f>IFERROR(IF(($IJ340)&gt;0,($IM340)/($IJ340),""),"")</f>
        <v/>
      </c>
      <c r="IT340" s="67">
        <f>IFERROR(IF(($IK340)&gt;0,($IN340)/($IK340),""),"")</f>
        <v/>
      </c>
      <c r="IU340" s="67">
        <f>IFERROR(IF(($IL340)&gt;0,($IO340)/($IL340),""),"")</f>
        <v/>
      </c>
      <c r="IV340" s="55">
        <f>SUMIFS(tblBudget[Gold_Poured_oz],tblBudget[Month],$E340)</f>
        <v/>
      </c>
      <c r="IW340" s="55">
        <f>$IV340*$C340/$D340</f>
        <v/>
      </c>
      <c r="IX340" s="55">
        <f>SUMIFS(tblBudget[Gold_Poured_oz],tblBudget[Month],"&lt;"&amp;$E340)+$IW340</f>
        <v/>
      </c>
      <c r="IY340" s="57">
        <f>SUMIFS(tblBudget[Hours_Worked],tblBudget[Month],$E340)</f>
        <v/>
      </c>
      <c r="IZ340" s="57">
        <f>$IY340*$C340/$D340</f>
        <v/>
      </c>
      <c r="JA340" s="57">
        <f>SUMIFS(tblBudget[Hours_Worked],tblBudget[Month],"&lt;"&amp;$E340)+$IZ340</f>
        <v/>
      </c>
    </row>
    <row r="341">
      <c r="A341" s="54" t="n">
        <v>46362</v>
      </c>
      <c r="B341">
        <f>MONTH($A341)</f>
        <v/>
      </c>
      <c r="C341">
        <f>DAY($A341)</f>
        <v/>
      </c>
      <c r="D341">
        <f>DAY(EOMONTH($A341,0))</f>
        <v/>
      </c>
      <c r="E341" s="54">
        <f>DATE(YEAR($A341),MONTH($A341),1)</f>
        <v/>
      </c>
      <c r="F341" s="55">
        <f>SUMIFS(tblMovement[Tonnes_t],tblMovement[Date],$A341,tblMovement[Is_Ore],1,tblMovement[Source_Type],"Pit")</f>
        <v/>
      </c>
      <c r="G341" s="55">
        <f>IF($B341=$B340,$G340,0)+$F341</f>
        <v/>
      </c>
      <c r="H341" s="55">
        <f>$H340+$F341</f>
        <v/>
      </c>
      <c r="I341" s="55">
        <f>SUMIFS(tblMovement[Ore_oz],tblMovement[Date],$A341,tblMovement[Source_Type],"Pit")</f>
        <v/>
      </c>
      <c r="J341" s="55">
        <f>IF($B341=$B340,$J340,0)+$I341</f>
        <v/>
      </c>
      <c r="K341" s="55">
        <f>$K340+$I341</f>
        <v/>
      </c>
      <c r="L341" s="56">
        <f>IFERROR(IF(($F341)&gt;0,($I341*cfg_TroyOz)/($F341),""),"")</f>
        <v/>
      </c>
      <c r="M341" s="56">
        <f>IFERROR(IF(($G341)&gt;0,($J341*cfg_TroyOz)/($G341),""),"")</f>
        <v/>
      </c>
      <c r="N341" s="56">
        <f>IFERROR(IF(($H341)&gt;0,($K341*cfg_TroyOz)/($H341),""),"")</f>
        <v/>
      </c>
      <c r="O341" s="55">
        <f>SUMIFS(tblMovement[Tonnes_t],tblMovement[Date],$A341,tblMovement[Is_Ore],0,tblMovement[Source_Type],"Pit")</f>
        <v/>
      </c>
      <c r="P341" s="55">
        <f>IF($B341=$B340,$P340,0)+$O341</f>
        <v/>
      </c>
      <c r="Q341" s="55">
        <f>$Q340+$O341</f>
        <v/>
      </c>
      <c r="R341" s="55">
        <f>$F341+$O341</f>
        <v/>
      </c>
      <c r="S341" s="55">
        <f>IF($B341=$B340,$S340,0)+$R341</f>
        <v/>
      </c>
      <c r="T341" s="55">
        <f>$T340+$R341</f>
        <v/>
      </c>
      <c r="U341" s="56">
        <f>IFERROR(IF(($F341)&gt;0,($O341)/($F341),""),"")</f>
        <v/>
      </c>
      <c r="V341" s="56">
        <f>IFERROR(IF(($G341)&gt;0,($P341)/($G341),""),"")</f>
        <v/>
      </c>
      <c r="W341" s="56">
        <f>IFERROR(IF(($H341)&gt;0,($Q341)/($H341),""),"")</f>
        <v/>
      </c>
      <c r="X341" s="55">
        <f>SUMIFS(tblMovement[Tonnes_t],tblMovement[Date],$A341,tblMovement[Source_Type],"Stockpile")</f>
        <v/>
      </c>
      <c r="Y341" s="55">
        <f>IF($B341=$B340,$Y340,0)+$X341</f>
        <v/>
      </c>
      <c r="Z341" s="55">
        <f>$Z340+$X341</f>
        <v/>
      </c>
      <c r="AA341" s="55">
        <f>SUMIFS(tblMiningDaily[Drill_m],tblMiningDaily[Date],$A341)</f>
        <v/>
      </c>
      <c r="AB341" s="55">
        <f>IF($B341=$B340,$AB340,0)+$AA341</f>
        <v/>
      </c>
      <c r="AC341" s="55">
        <f>$AC340+$AA341</f>
        <v/>
      </c>
      <c r="AD341" s="55">
        <f>SUMIFS(tblMiningDaily[Blast_t],tblMiningDaily[Date],$A341)</f>
        <v/>
      </c>
      <c r="AE341" s="55">
        <f>IF($B341=$B340,$AE340,0)+$AD341</f>
        <v/>
      </c>
      <c r="AF341" s="55">
        <f>$AF340+$AD341</f>
        <v/>
      </c>
      <c r="AG341" s="55">
        <f>SUMIFS(tblMiningDaily[Explosives_kg],tblMiningDaily[Date],$A341)</f>
        <v/>
      </c>
      <c r="AH341" s="55">
        <f>IF($B341=$B340,$AH340,0)+$AG341</f>
        <v/>
      </c>
      <c r="AI341" s="55">
        <f>$AI340+$AG341</f>
        <v/>
      </c>
      <c r="AJ341" s="56">
        <f>IFERROR(IF(($AD341)&gt;0,($AG341)/($AD341),""),"")</f>
        <v/>
      </c>
      <c r="AK341" s="56">
        <f>IFERROR(IF(($AE341)&gt;0,($AH341)/($AE341),""),"")</f>
        <v/>
      </c>
      <c r="AL341" s="56">
        <f>IFERROR(IF(($AF341)&gt;0,($AI341)/($AF341),""),"")</f>
        <v/>
      </c>
      <c r="AM341" s="55">
        <f>SUMIFS(tblMiningDaily[Diesel_L],tblMiningDaily[Date],$A341)</f>
        <v/>
      </c>
      <c r="AN341" s="55">
        <f>IF($B341=$B340,$AN340,0)+$AM341</f>
        <v/>
      </c>
      <c r="AO341" s="55">
        <f>$AO340+$AM341</f>
        <v/>
      </c>
      <c r="AP341" s="55">
        <f>SUMIFS(tblMiningDaily[Dewatering_m3],tblMiningDaily[Date],$A341)</f>
        <v/>
      </c>
      <c r="AQ341" s="55">
        <f>IF($B341=$B340,$AQ340,0)+$AP341</f>
        <v/>
      </c>
      <c r="AR341" s="55">
        <f>$AR340+$AP341</f>
        <v/>
      </c>
      <c r="AS341" s="57">
        <f>SUMIFS(tblFleet[Calendar_h],tblFleet[Date],$A341,tblFleet[Equipment_Class],"Excavator")</f>
        <v/>
      </c>
      <c r="AT341" s="57">
        <f>IF($B341=$B340,$AT340,0)+$AS341</f>
        <v/>
      </c>
      <c r="AU341" s="57">
        <f>$AU340+$AS341</f>
        <v/>
      </c>
      <c r="AV341" s="57">
        <f>SUMIFS(tblFleet[Available_h],tblFleet[Date],$A341,tblFleet[Equipment_Class],"Excavator")</f>
        <v/>
      </c>
      <c r="AW341" s="57">
        <f>IF($B341=$B340,$AW340,0)+$AV341</f>
        <v/>
      </c>
      <c r="AX341" s="57">
        <f>$AX340+$AV341</f>
        <v/>
      </c>
      <c r="AY341" s="57">
        <f>SUMIFS(tblFleet[Operating_h],tblFleet[Date],$A341,tblFleet[Equipment_Class],"Excavator")</f>
        <v/>
      </c>
      <c r="AZ341" s="57">
        <f>IF($B341=$B340,$AZ340,0)+$AY341</f>
        <v/>
      </c>
      <c r="BA341" s="57">
        <f>$BA340+$AY341</f>
        <v/>
      </c>
      <c r="BB341" s="67">
        <f>IFERROR(IF(($AS341)&gt;0,($AV341)/($AS341),""),"")</f>
        <v/>
      </c>
      <c r="BC341" s="67">
        <f>IFERROR(IF(($AT341)&gt;0,($AW341)/($AT341),""),"")</f>
        <v/>
      </c>
      <c r="BD341" s="67">
        <f>IFERROR(IF(($AU341)&gt;0,($AX341)/($AU341),""),"")</f>
        <v/>
      </c>
      <c r="BE341" s="67">
        <f>IFERROR(IF(($AV341)&gt;0,($AY341)/($AV341),""),"")</f>
        <v/>
      </c>
      <c r="BF341" s="67">
        <f>IFERROR(IF(($AW341)&gt;0,($AZ341)/($AW341),""),"")</f>
        <v/>
      </c>
      <c r="BG341" s="67">
        <f>IFERROR(IF(($AX341)&gt;0,($BA341)/($AX341),""),"")</f>
        <v/>
      </c>
      <c r="BH341" s="57">
        <f>SUMIFS(tblFleet[Calendar_h],tblFleet[Date],$A341,tblFleet[Equipment_Class],"Haul Truck")</f>
        <v/>
      </c>
      <c r="BI341" s="57">
        <f>IF($B341=$B340,$BI340,0)+$BH341</f>
        <v/>
      </c>
      <c r="BJ341" s="57">
        <f>$BJ340+$BH341</f>
        <v/>
      </c>
      <c r="BK341" s="57">
        <f>SUMIFS(tblFleet[Available_h],tblFleet[Date],$A341,tblFleet[Equipment_Class],"Haul Truck")</f>
        <v/>
      </c>
      <c r="BL341" s="57">
        <f>IF($B341=$B340,$BL340,0)+$BK341</f>
        <v/>
      </c>
      <c r="BM341" s="57">
        <f>$BM340+$BK341</f>
        <v/>
      </c>
      <c r="BN341" s="57">
        <f>SUMIFS(tblFleet[Operating_h],tblFleet[Date],$A341,tblFleet[Equipment_Class],"Haul Truck")</f>
        <v/>
      </c>
      <c r="BO341" s="57">
        <f>IF($B341=$B340,$BO340,0)+$BN341</f>
        <v/>
      </c>
      <c r="BP341" s="57">
        <f>$BP340+$BN341</f>
        <v/>
      </c>
      <c r="BQ341" s="67">
        <f>IFERROR(IF(($BH341)&gt;0,($BK341)/($BH341),""),"")</f>
        <v/>
      </c>
      <c r="BR341" s="67">
        <f>IFERROR(IF(($BI341)&gt;0,($BL341)/($BI341),""),"")</f>
        <v/>
      </c>
      <c r="BS341" s="67">
        <f>IFERROR(IF(($BJ341)&gt;0,($BM341)/($BJ341),""),"")</f>
        <v/>
      </c>
      <c r="BT341" s="67">
        <f>IFERROR(IF(($BK341)&gt;0,($BN341)/($BK341),""),"")</f>
        <v/>
      </c>
      <c r="BU341" s="67">
        <f>IFERROR(IF(($BL341)&gt;0,($BO341)/($BL341),""),"")</f>
        <v/>
      </c>
      <c r="BV341" s="67">
        <f>IFERROR(IF(($BM341)&gt;0,($BP341)/($BM341),""),"")</f>
        <v/>
      </c>
      <c r="BW341" s="55">
        <f>SUMIFS(tblPlant[Crushed_t],tblPlant[Date],$A341)</f>
        <v/>
      </c>
      <c r="BX341" s="55">
        <f>IF($B341=$B340,$BX340,0)+$BW341</f>
        <v/>
      </c>
      <c r="BY341" s="55">
        <f>$BY340+$BW341</f>
        <v/>
      </c>
      <c r="BZ341" s="55">
        <f>SUMIFS(tblPlant[Milled_t],tblPlant[Date],$A341)</f>
        <v/>
      </c>
      <c r="CA341" s="55">
        <f>IF($B341=$B340,$CA340,0)+$BZ341</f>
        <v/>
      </c>
      <c r="CB341" s="55">
        <f>$CB340+$BZ341</f>
        <v/>
      </c>
      <c r="CC341" s="55">
        <f>SUMIFS(tblPlant[Feed_oz],tblPlant[Date],$A341)</f>
        <v/>
      </c>
      <c r="CD341" s="55">
        <f>IF($B341=$B340,$CD340,0)+$CC341</f>
        <v/>
      </c>
      <c r="CE341" s="55">
        <f>$CE340+$CC341</f>
        <v/>
      </c>
      <c r="CF341" s="55">
        <f>SUMIFS(tblPlant[Tails_oz],tblPlant[Date],$A341)</f>
        <v/>
      </c>
      <c r="CG341" s="55">
        <f>IF($B341=$B340,$CG340,0)+$CF341</f>
        <v/>
      </c>
      <c r="CH341" s="55">
        <f>$CH340+$CF341</f>
        <v/>
      </c>
      <c r="CI341" s="55">
        <f>SUMIFS(tblPlant[Recovered_oz],tblPlant[Date],$A341)</f>
        <v/>
      </c>
      <c r="CJ341" s="55">
        <f>IF($B341=$B340,$CJ340,0)+$CI341</f>
        <v/>
      </c>
      <c r="CK341" s="55">
        <f>$CK340+$CI341</f>
        <v/>
      </c>
      <c r="CL341" s="56">
        <f>IFERROR(IF(($BZ341)&gt;0,($CC341*cfg_TroyOz)/($BZ341),""),"")</f>
        <v/>
      </c>
      <c r="CM341" s="56">
        <f>IFERROR(IF(($CA341)&gt;0,($CD341*cfg_TroyOz)/($CA341),""),"")</f>
        <v/>
      </c>
      <c r="CN341" s="56">
        <f>IFERROR(IF(($CB341)&gt;0,($CE341*cfg_TroyOz)/($CB341),""),"")</f>
        <v/>
      </c>
      <c r="CO341" s="56">
        <f>IFERROR(IF(($BZ341)&gt;0,($CF341*cfg_TroyOz)/($BZ341),""),"")</f>
        <v/>
      </c>
      <c r="CP341" s="56">
        <f>IFERROR(IF(($CA341)&gt;0,($CG341*cfg_TroyOz)/($CA341),""),"")</f>
        <v/>
      </c>
      <c r="CQ341" s="56">
        <f>IFERROR(IF(($CB341)&gt;0,($CH341*cfg_TroyOz)/($CB341),""),"")</f>
        <v/>
      </c>
      <c r="CR341" s="67">
        <f>IFERROR(IF(($CC341)&gt;0,($CI341)/($CC341),""),"")</f>
        <v/>
      </c>
      <c r="CS341" s="67">
        <f>IFERROR(IF(($CD341)&gt;0,($CJ341)/($CD341),""),"")</f>
        <v/>
      </c>
      <c r="CT341" s="67">
        <f>IFERROR(IF(($CE341)&gt;0,($CK341)/($CE341),""),"")</f>
        <v/>
      </c>
      <c r="CU341" s="55">
        <f>SUMIFS(tblPlant[Gravity_Gold_oz],tblPlant[Date],$A341)</f>
        <v/>
      </c>
      <c r="CV341" s="55">
        <f>IF($B341=$B340,$CV340,0)+$CU341</f>
        <v/>
      </c>
      <c r="CW341" s="55">
        <f>$CW340+$CU341</f>
        <v/>
      </c>
      <c r="CX341" s="55">
        <f>SUMIFS(tblPlant[Gold_Poured_oz],tblPlant[Date],$A341)</f>
        <v/>
      </c>
      <c r="CY341" s="55">
        <f>IF($B341=$B340,$CY340,0)+$CX341</f>
        <v/>
      </c>
      <c r="CZ341" s="55">
        <f>$CZ340+$CX341</f>
        <v/>
      </c>
      <c r="DA341" s="57">
        <f>SUMIFS(tblPlant[Mill_Run_h],tblPlant[Date],$A341)</f>
        <v/>
      </c>
      <c r="DB341" s="57">
        <f>IF($B341=$B340,$DB340,0)+$DA341</f>
        <v/>
      </c>
      <c r="DC341" s="57">
        <f>$DC340+$DA341</f>
        <v/>
      </c>
      <c r="DD341" s="57">
        <f>SUMIFS(tblPlant[Mill_Planned_Maint_h],tblPlant[Date],$A341)</f>
        <v/>
      </c>
      <c r="DE341" s="57">
        <f>IF($B341=$B340,$DE340,0)+$DD341</f>
        <v/>
      </c>
      <c r="DF341" s="57">
        <f>$DF340+$DD341</f>
        <v/>
      </c>
      <c r="DG341" s="57">
        <f>SUMIFS(tblPlant[Mill_Unplanned_Down_h],tblPlant[Date],$A341)</f>
        <v/>
      </c>
      <c r="DH341" s="57">
        <f>IF($B341=$B340,$DH340,0)+$DG341</f>
        <v/>
      </c>
      <c r="DI341" s="57">
        <f>$DI340+$DG341</f>
        <v/>
      </c>
      <c r="DJ341" s="57">
        <f>COUNTIFS(tblPlant[Date],$A341,tblPlant[Mill_Run_h],"&lt;&gt;")*24</f>
        <v/>
      </c>
      <c r="DK341" s="57">
        <f>IF($B341=$B340,$DK340,0)+$DJ341</f>
        <v/>
      </c>
      <c r="DL341" s="57">
        <f>$DL340+$DJ341</f>
        <v/>
      </c>
      <c r="DM341" s="57">
        <f>SUMIFS(tblPlant[Crusher_Run_h],tblPlant[Date],$A341)</f>
        <v/>
      </c>
      <c r="DN341" s="57">
        <f>IF($B341=$B340,$DN340,0)+$DM341</f>
        <v/>
      </c>
      <c r="DO341" s="57">
        <f>$DO340+$DM341</f>
        <v/>
      </c>
      <c r="DP341" s="55">
        <f>IFERROR(IF(($DA341)&gt;0,($BZ341)/($DA341),""),"")</f>
        <v/>
      </c>
      <c r="DQ341" s="55">
        <f>IFERROR(IF(($DB341)&gt;0,($CA341)/($DB341),""),"")</f>
        <v/>
      </c>
      <c r="DR341" s="55">
        <f>IFERROR(IF(($DC341)&gt;0,($CB341)/($DC341),""),"")</f>
        <v/>
      </c>
      <c r="DS341" s="67">
        <f>IFERROR(IF(($DJ341)&gt;0,($DJ341-$DD341-$DG341)/($DJ341),""),"")</f>
        <v/>
      </c>
      <c r="DT341" s="67">
        <f>IFERROR(IF(($DK341)&gt;0,($DK341-$DE341-$DH341)/($DK341),""),"")</f>
        <v/>
      </c>
      <c r="DU341" s="67">
        <f>IFERROR(IF(($DL341)&gt;0,($DL341-$DF341-$DI341)/($DL341),""),"")</f>
        <v/>
      </c>
      <c r="DV341" s="67">
        <f>IFERROR(IF(($DJ341-$DD341-$DG341)&gt;0,($DA341)/($DJ341-$DD341-$DG341),""),"")</f>
        <v/>
      </c>
      <c r="DW341" s="67">
        <f>IFERROR(IF(($DK341-$DE341-$DH341)&gt;0,($DB341)/($DK341-$DE341-$DH341),""),"")</f>
        <v/>
      </c>
      <c r="DX341" s="67">
        <f>IFERROR(IF(($DL341-$DF341-$DI341)&gt;0,($DC341)/($DL341-$DF341-$DI341),""),"")</f>
        <v/>
      </c>
      <c r="DY341" s="55">
        <f>SUMIFS(tblPlant[Cyanide_kg],tblPlant[Date],$A341)</f>
        <v/>
      </c>
      <c r="DZ341" s="55">
        <f>IF($B341=$B340,$DZ340,0)+$DY341</f>
        <v/>
      </c>
      <c r="EA341" s="55">
        <f>$EA340+$DY341</f>
        <v/>
      </c>
      <c r="EB341" s="55">
        <f>SUMIFS(tblPlant[Lime_kg],tblPlant[Date],$A341)</f>
        <v/>
      </c>
      <c r="EC341" s="55">
        <f>IF($B341=$B340,$EC340,0)+$EB341</f>
        <v/>
      </c>
      <c r="ED341" s="55">
        <f>$ED340+$EB341</f>
        <v/>
      </c>
      <c r="EE341" s="55">
        <f>SUMIFS(tblPlant[Grinding_Media_kg],tblPlant[Date],$A341)</f>
        <v/>
      </c>
      <c r="EF341" s="55">
        <f>IF($B341=$B340,$EF340,0)+$EE341</f>
        <v/>
      </c>
      <c r="EG341" s="55">
        <f>$EG340+$EE341</f>
        <v/>
      </c>
      <c r="EH341" s="55">
        <f>SUMIFS(tblPlant[Power_kWh],tblPlant[Date],$A341)</f>
        <v/>
      </c>
      <c r="EI341" s="55">
        <f>IF($B341=$B340,$EI340,0)+$EH341</f>
        <v/>
      </c>
      <c r="EJ341" s="55">
        <f>$EJ340+$EH341</f>
        <v/>
      </c>
      <c r="EK341" s="55">
        <f>SUMIFS(tblPlant[Raw_Water_m3],tblPlant[Date],$A341)</f>
        <v/>
      </c>
      <c r="EL341" s="55">
        <f>IF($B341=$B340,$EL340,0)+$EK341</f>
        <v/>
      </c>
      <c r="EM341" s="55">
        <f>$EM340+$EK341</f>
        <v/>
      </c>
      <c r="EN341" s="56">
        <f>IFERROR(IF(($BZ341)&gt;0,($DY341)/($BZ341),""),"")</f>
        <v/>
      </c>
      <c r="EO341" s="56">
        <f>IFERROR(IF(($CA341)&gt;0,($DZ341)/($CA341),""),"")</f>
        <v/>
      </c>
      <c r="EP341" s="56">
        <f>IFERROR(IF(($CB341)&gt;0,($EA341)/($CB341),""),"")</f>
        <v/>
      </c>
      <c r="EQ341" s="56">
        <f>IFERROR(IF(($BZ341)&gt;0,($EB341)/($BZ341),""),"")</f>
        <v/>
      </c>
      <c r="ER341" s="56">
        <f>IFERROR(IF(($CA341)&gt;0,($EC341)/($CA341),""),"")</f>
        <v/>
      </c>
      <c r="ES341" s="56">
        <f>IFERROR(IF(($CB341)&gt;0,($ED341)/($CB341),""),"")</f>
        <v/>
      </c>
      <c r="ET341" s="56">
        <f>IFERROR(IF(($BZ341)&gt;0,($EE341)/($BZ341),""),"")</f>
        <v/>
      </c>
      <c r="EU341" s="56">
        <f>IFERROR(IF(($CA341)&gt;0,($EF341)/($CA341),""),"")</f>
        <v/>
      </c>
      <c r="EV341" s="56">
        <f>IFERROR(IF(($CB341)&gt;0,($EG341)/($CB341),""),"")</f>
        <v/>
      </c>
      <c r="EW341" s="76">
        <f>IFERROR(IF(($BZ341)&gt;0,($EH341)/($BZ341),""),"")</f>
        <v/>
      </c>
      <c r="EX341" s="76">
        <f>IFERROR(IF(($CA341)&gt;0,($EI341)/($CA341),""),"")</f>
        <v/>
      </c>
      <c r="EY341" s="76">
        <f>IFERROR(IF(($CB341)&gt;0,($EJ341)/($CB341),""),"")</f>
        <v/>
      </c>
      <c r="EZ341" s="56">
        <f>IFERROR(IF(($BZ341)&gt;0,($EK341)/($BZ341),""),"")</f>
        <v/>
      </c>
      <c r="FA341" s="56">
        <f>IFERROR(IF(($CA341)&gt;0,($EL341)/($CA341),""),"")</f>
        <v/>
      </c>
      <c r="FB341" s="56">
        <f>IFERROR(IF(($CB341)&gt;0,($EM341)/($CB341),""),"")</f>
        <v/>
      </c>
      <c r="FC341" s="55">
        <f>IF(SUMIFS(tblPlant[GIC_oz],tblPlant[Date],$A341)&gt;0,SUMIFS(tblPlant[GIC_oz],tblPlant[Date],$A341),"")</f>
        <v/>
      </c>
      <c r="FD341" s="55">
        <f>SUMIFS(tblGold[Gold_oz],tblGold[Date],$A341,tblGold[Type],"Shipment")</f>
        <v/>
      </c>
      <c r="FE341" s="55">
        <f>IF($B341=$B340,$FE340,0)+$FD341</f>
        <v/>
      </c>
      <c r="FF341" s="55">
        <f>$FF340+$FD341</f>
        <v/>
      </c>
      <c r="FG341" s="55">
        <f>SUMIFS(tblGold[Gold_oz],tblGold[Date],$A341,tblGold[Type],"Sale")</f>
        <v/>
      </c>
      <c r="FH341" s="55">
        <f>IF($B341=$B340,$FH340,0)+$FG341</f>
        <v/>
      </c>
      <c r="FI341" s="55">
        <f>$FI340+$FG341</f>
        <v/>
      </c>
      <c r="FJ341" s="55">
        <f>SUMIFS(tblGold[Dore_kg],tblGold[Date],$A341,tblGold[Type],"Shipment")</f>
        <v/>
      </c>
      <c r="FK341" s="55">
        <f>IF($B341=$B340,$FK340,0)+$FJ341</f>
        <v/>
      </c>
      <c r="FL341" s="55">
        <f>$FL340+$FJ341</f>
        <v/>
      </c>
      <c r="FM341" s="57">
        <f>SUMIFS(tblSafety[Hours_Total],tblSafety[Date],$A341)</f>
        <v/>
      </c>
      <c r="FN341" s="57">
        <f>IF($B341=$B340,$FN340,0)+$FM341</f>
        <v/>
      </c>
      <c r="FO341" s="57">
        <f>$FO340+$FM341</f>
        <v/>
      </c>
      <c r="FP341" s="62">
        <f>SUMIFS(tblSafety[Fatality],tblSafety[Date],$A341)</f>
        <v/>
      </c>
      <c r="FQ341" s="62">
        <f>IF($B341=$B340,$FQ340,0)+$FP341</f>
        <v/>
      </c>
      <c r="FR341" s="62">
        <f>$FR340+$FP341</f>
        <v/>
      </c>
      <c r="FS341" s="62">
        <f>SUMIFS(tblSafety[LTI],tblSafety[Date],$A341)</f>
        <v/>
      </c>
      <c r="FT341" s="62">
        <f>IF($B341=$B340,$FT340,0)+$FS341</f>
        <v/>
      </c>
      <c r="FU341" s="62">
        <f>$FU340+$FS341</f>
        <v/>
      </c>
      <c r="FV341" s="62">
        <f>SUMIFS(tblSafety[RWI],tblSafety[Date],$A341)</f>
        <v/>
      </c>
      <c r="FW341" s="62">
        <f>IF($B341=$B340,$FW340,0)+$FV341</f>
        <v/>
      </c>
      <c r="FX341" s="62">
        <f>$FX340+$FV341</f>
        <v/>
      </c>
      <c r="FY341" s="62">
        <f>SUMIFS(tblSafety[MTI],tblSafety[Date],$A341)</f>
        <v/>
      </c>
      <c r="FZ341" s="62">
        <f>IF($B341=$B340,$FZ340,0)+$FY341</f>
        <v/>
      </c>
      <c r="GA341" s="62">
        <f>$GA340+$FY341</f>
        <v/>
      </c>
      <c r="GB341" s="62">
        <f>SUMIFS(tblSafety[FAI],tblSafety[Date],$A341)</f>
        <v/>
      </c>
      <c r="GC341" s="62">
        <f>IF($B341=$B340,$GC340,0)+$GB341</f>
        <v/>
      </c>
      <c r="GD341" s="62">
        <f>$GD340+$GB341</f>
        <v/>
      </c>
      <c r="GE341" s="62">
        <f>SUMIFS(tblSafety[Recordables],tblSafety[Date],$A341)</f>
        <v/>
      </c>
      <c r="GF341" s="62">
        <f>IF($B341=$B340,$GF340,0)+$GE341</f>
        <v/>
      </c>
      <c r="GG341" s="62">
        <f>$GG340+$GE341</f>
        <v/>
      </c>
      <c r="GH341" s="62">
        <f>SUMIFS(tblSafety[Near_Miss],tblSafety[Date],$A341)</f>
        <v/>
      </c>
      <c r="GI341" s="62">
        <f>IF($B341=$B340,$GI340,0)+$GH341</f>
        <v/>
      </c>
      <c r="GJ341" s="62">
        <f>$GJ340+$GH341</f>
        <v/>
      </c>
      <c r="GK341" s="62">
        <f>SUMIFS(tblSafety[Hazard_Reports],tblSafety[Date],$A341)</f>
        <v/>
      </c>
      <c r="GL341" s="62">
        <f>IF($B341=$B340,$GL340,0)+$GK341</f>
        <v/>
      </c>
      <c r="GM341" s="62">
        <f>$GM340+$GK341</f>
        <v/>
      </c>
      <c r="GN341" s="62">
        <f>SUMIFS(tblSafety[HPI],tblSafety[Date],$A341)</f>
        <v/>
      </c>
      <c r="GO341" s="62">
        <f>IF($B341=$B340,$GO340,0)+$GN341</f>
        <v/>
      </c>
      <c r="GP341" s="62">
        <f>$GP340+$GN341</f>
        <v/>
      </c>
      <c r="GQ341" s="62">
        <f>SUMIFS(tblSafety[Env_Incidents],tblSafety[Date],$A341)</f>
        <v/>
      </c>
      <c r="GR341" s="62">
        <f>IF($B341=$B340,$GR340,0)+$GQ341</f>
        <v/>
      </c>
      <c r="GS341" s="62">
        <f>$GS340+$GQ341</f>
        <v/>
      </c>
      <c r="GT341" s="62">
        <f>SUMIFS(tblSafety[Community_Incidents],tblSafety[Date],$A341)</f>
        <v/>
      </c>
      <c r="GU341" s="62">
        <f>IF($B341=$B340,$GU340,0)+$GT341</f>
        <v/>
      </c>
      <c r="GV341" s="62">
        <f>$GV340+$GT341</f>
        <v/>
      </c>
      <c r="GW341" s="62">
        <f>SUMIFS(tblSafety[Vehicle_Incidents],tblSafety[Date],$A341)</f>
        <v/>
      </c>
      <c r="GX341" s="62">
        <f>IF($B341=$B340,$GX340,0)+$GW341</f>
        <v/>
      </c>
      <c r="GY341" s="62">
        <f>$GY340+$GW341</f>
        <v/>
      </c>
      <c r="GZ341" s="62">
        <f>SUMIFS(tblSafety[Toolbox_Talks],tblSafety[Date],$A341)</f>
        <v/>
      </c>
      <c r="HA341" s="62">
        <f>IF($B341=$B340,$HA340,0)+$GZ341</f>
        <v/>
      </c>
      <c r="HB341" s="62">
        <f>$HB340+$GZ341</f>
        <v/>
      </c>
      <c r="HC341" s="62">
        <f>SUMIFS(tblSafety[Inspections],tblSafety[Date],$A341)</f>
        <v/>
      </c>
      <c r="HD341" s="62">
        <f>IF($B341=$B340,$HD340,0)+$HC341</f>
        <v/>
      </c>
      <c r="HE341" s="62">
        <f>$HE340+$HC341</f>
        <v/>
      </c>
      <c r="HF341" s="56">
        <f>IFERROR((SUMIFS(tblSafety[Recordables],tblSafety[Date],"&gt;="&amp;EDATE($E341,-12),tblSafety[Date],"&lt;="&amp;$A341)+SUMIFS(tblSafetyHistory[Recordables],tblSafetyHistory[Month],"&gt;="&amp;EDATE($E341,-12),tblSafetyHistory[Month],"&lt;"&amp;cfg_YearStart))/(SUMIFS(tblSafety[Hours_Total],tblSafety[Date],"&gt;="&amp;EDATE($E341,-12),tblSafety[Date],"&lt;="&amp;$A341)+SUMIFS(tblSafetyHistory[Hours_Total],tblSafetyHistory[Month],"&gt;="&amp;EDATE($E341,-12),tblSafetyHistory[Month],"&lt;"&amp;cfg_YearStart))*1000000,"")</f>
        <v/>
      </c>
      <c r="HG341" s="56">
        <f>IFERROR((SUMIFS(tblSafety[LTI],tblSafety[Date],"&gt;="&amp;EDATE($E341,-12),tblSafety[Date],"&lt;="&amp;$A341)+SUMIFS(tblSafetyHistory[LTI],tblSafetyHistory[Month],"&gt;="&amp;EDATE($E341,-12),tblSafetyHistory[Month],"&lt;"&amp;cfg_YearStart))/(SUMIFS(tblSafety[Hours_Total],tblSafety[Date],"&gt;="&amp;EDATE($E341,-12),tblSafety[Date],"&lt;="&amp;$A341)+SUMIFS(tblSafetyHistory[Hours_Total],tblSafetyHistory[Month],"&gt;="&amp;EDATE($E341,-12),tblSafetyHistory[Month],"&lt;"&amp;cfg_YearStart))*1000000,"")</f>
        <v/>
      </c>
      <c r="HH341" s="62">
        <f>IF(MAX(N(cfg_PriorLTIDate),_xlfn.MAXIFS(tblSafety[Date],tblSafety[LTI],"&gt;0",tblSafety[Date],"&lt;="&amp;$A341))=0,"",$A341-MAX(N(cfg_PriorLTIDate),_xlfn.MAXIFS(tblSafety[Date],tblSafety[LTI],"&gt;0",tblSafety[Date],"&lt;="&amp;$A341)))</f>
        <v/>
      </c>
      <c r="HI341" s="55">
        <f>SUMIFS(tblBudget[Ore_Mined_t],tblBudget[Month],$E341)</f>
        <v/>
      </c>
      <c r="HJ341" s="55">
        <f>$HI341*$C341/$D341</f>
        <v/>
      </c>
      <c r="HK341" s="55">
        <f>SUMIFS(tblBudget[Ore_Mined_t],tblBudget[Month],"&lt;"&amp;$E341)+$HJ341</f>
        <v/>
      </c>
      <c r="HL341" s="55">
        <f>SUMIFS(tblBudget[Ore_oz],tblBudget[Month],$E341)</f>
        <v/>
      </c>
      <c r="HM341" s="55">
        <f>$HL341*$C341/$D341</f>
        <v/>
      </c>
      <c r="HN341" s="55">
        <f>SUMIFS(tblBudget[Ore_oz],tblBudget[Month],"&lt;"&amp;$E341)+$HM341</f>
        <v/>
      </c>
      <c r="HO341" s="56">
        <f>IFERROR(IF(($HI341)&gt;0,($HL341*cfg_TroyOz)/($HI341),""),"")</f>
        <v/>
      </c>
      <c r="HP341" s="56">
        <f>IFERROR(IF(($HJ341)&gt;0,($HM341*cfg_TroyOz)/($HJ341),""),"")</f>
        <v/>
      </c>
      <c r="HQ341" s="56">
        <f>IFERROR(IF(($HK341)&gt;0,($HN341*cfg_TroyOz)/($HK341),""),"")</f>
        <v/>
      </c>
      <c r="HR341" s="55">
        <f>SUMIFS(tblBudget[Waste_t],tblBudget[Month],$E341)</f>
        <v/>
      </c>
      <c r="HS341" s="55">
        <f>$HR341*$C341/$D341</f>
        <v/>
      </c>
      <c r="HT341" s="55">
        <f>SUMIFS(tblBudget[Waste_t],tblBudget[Month],"&lt;"&amp;$E341)+$HS341</f>
        <v/>
      </c>
      <c r="HU341" s="55">
        <f>SUMIFS(tblBudget[TMM_t],tblBudget[Month],$E341)</f>
        <v/>
      </c>
      <c r="HV341" s="55">
        <f>$HU341*$C341/$D341</f>
        <v/>
      </c>
      <c r="HW341" s="55">
        <f>SUMIFS(tblBudget[TMM_t],tblBudget[Month],"&lt;"&amp;$E341)+$HV341</f>
        <v/>
      </c>
      <c r="HX341" s="56">
        <f>IFERROR(IF(($HI341)&gt;0,($HR341)/($HI341),""),"")</f>
        <v/>
      </c>
      <c r="HY341" s="56">
        <f>IFERROR(IF(($HJ341)&gt;0,($HS341)/($HJ341),""),"")</f>
        <v/>
      </c>
      <c r="HZ341" s="56">
        <f>IFERROR(IF(($HK341)&gt;0,($HT341)/($HK341),""),"")</f>
        <v/>
      </c>
      <c r="IA341" s="55">
        <f>SUMIFS(tblBudget[Drill_m],tblBudget[Month],$E341)</f>
        <v/>
      </c>
      <c r="IB341" s="55">
        <f>$IA341*$C341/$D341</f>
        <v/>
      </c>
      <c r="IC341" s="55">
        <f>SUMIFS(tblBudget[Drill_m],tblBudget[Month],"&lt;"&amp;$E341)+$IB341</f>
        <v/>
      </c>
      <c r="ID341" s="55">
        <f>SUMIFS(tblBudget[Diesel_L],tblBudget[Month],$E341)</f>
        <v/>
      </c>
      <c r="IE341" s="55">
        <f>$ID341*$C341/$D341</f>
        <v/>
      </c>
      <c r="IF341" s="55">
        <f>SUMIFS(tblBudget[Diesel_L],tblBudget[Month],"&lt;"&amp;$E341)+$IE341</f>
        <v/>
      </c>
      <c r="IG341" s="55">
        <f>SUMIFS(tblBudget[Milled_t],tblBudget[Month],$E341)</f>
        <v/>
      </c>
      <c r="IH341" s="55">
        <f>$IG341*$C341/$D341</f>
        <v/>
      </c>
      <c r="II341" s="55">
        <f>SUMIFS(tblBudget[Milled_t],tblBudget[Month],"&lt;"&amp;$E341)+$IH341</f>
        <v/>
      </c>
      <c r="IJ341" s="55">
        <f>SUMIFS(tblBudget[Feed_oz],tblBudget[Month],$E341)</f>
        <v/>
      </c>
      <c r="IK341" s="55">
        <f>$IJ341*$C341/$D341</f>
        <v/>
      </c>
      <c r="IL341" s="55">
        <f>SUMIFS(tblBudget[Feed_oz],tblBudget[Month],"&lt;"&amp;$E341)+$IK341</f>
        <v/>
      </c>
      <c r="IM341" s="55">
        <f>SUMIFS(tblBudget[Recovered_oz],tblBudget[Month],$E341)</f>
        <v/>
      </c>
      <c r="IN341" s="55">
        <f>$IM341*$C341/$D341</f>
        <v/>
      </c>
      <c r="IO341" s="55">
        <f>SUMIFS(tblBudget[Recovered_oz],tblBudget[Month],"&lt;"&amp;$E341)+$IN341</f>
        <v/>
      </c>
      <c r="IP341" s="56">
        <f>IFERROR(IF(($IG341)&gt;0,($IJ341*cfg_TroyOz)/($IG341),""),"")</f>
        <v/>
      </c>
      <c r="IQ341" s="56">
        <f>IFERROR(IF(($IH341)&gt;0,($IK341*cfg_TroyOz)/($IH341),""),"")</f>
        <v/>
      </c>
      <c r="IR341" s="56">
        <f>IFERROR(IF(($II341)&gt;0,($IL341*cfg_TroyOz)/($II341),""),"")</f>
        <v/>
      </c>
      <c r="IS341" s="67">
        <f>IFERROR(IF(($IJ341)&gt;0,($IM341)/($IJ341),""),"")</f>
        <v/>
      </c>
      <c r="IT341" s="67">
        <f>IFERROR(IF(($IK341)&gt;0,($IN341)/($IK341),""),"")</f>
        <v/>
      </c>
      <c r="IU341" s="67">
        <f>IFERROR(IF(($IL341)&gt;0,($IO341)/($IL341),""),"")</f>
        <v/>
      </c>
      <c r="IV341" s="55">
        <f>SUMIFS(tblBudget[Gold_Poured_oz],tblBudget[Month],$E341)</f>
        <v/>
      </c>
      <c r="IW341" s="55">
        <f>$IV341*$C341/$D341</f>
        <v/>
      </c>
      <c r="IX341" s="55">
        <f>SUMIFS(tblBudget[Gold_Poured_oz],tblBudget[Month],"&lt;"&amp;$E341)+$IW341</f>
        <v/>
      </c>
      <c r="IY341" s="57">
        <f>SUMIFS(tblBudget[Hours_Worked],tblBudget[Month],$E341)</f>
        <v/>
      </c>
      <c r="IZ341" s="57">
        <f>$IY341*$C341/$D341</f>
        <v/>
      </c>
      <c r="JA341" s="57">
        <f>SUMIFS(tblBudget[Hours_Worked],tblBudget[Month],"&lt;"&amp;$E341)+$IZ341</f>
        <v/>
      </c>
    </row>
    <row r="342">
      <c r="A342" s="54" t="n">
        <v>46363</v>
      </c>
      <c r="B342">
        <f>MONTH($A342)</f>
        <v/>
      </c>
      <c r="C342">
        <f>DAY($A342)</f>
        <v/>
      </c>
      <c r="D342">
        <f>DAY(EOMONTH($A342,0))</f>
        <v/>
      </c>
      <c r="E342" s="54">
        <f>DATE(YEAR($A342),MONTH($A342),1)</f>
        <v/>
      </c>
      <c r="F342" s="55">
        <f>SUMIFS(tblMovement[Tonnes_t],tblMovement[Date],$A342,tblMovement[Is_Ore],1,tblMovement[Source_Type],"Pit")</f>
        <v/>
      </c>
      <c r="G342" s="55">
        <f>IF($B342=$B341,$G341,0)+$F342</f>
        <v/>
      </c>
      <c r="H342" s="55">
        <f>$H341+$F342</f>
        <v/>
      </c>
      <c r="I342" s="55">
        <f>SUMIFS(tblMovement[Ore_oz],tblMovement[Date],$A342,tblMovement[Source_Type],"Pit")</f>
        <v/>
      </c>
      <c r="J342" s="55">
        <f>IF($B342=$B341,$J341,0)+$I342</f>
        <v/>
      </c>
      <c r="K342" s="55">
        <f>$K341+$I342</f>
        <v/>
      </c>
      <c r="L342" s="56">
        <f>IFERROR(IF(($F342)&gt;0,($I342*cfg_TroyOz)/($F342),""),"")</f>
        <v/>
      </c>
      <c r="M342" s="56">
        <f>IFERROR(IF(($G342)&gt;0,($J342*cfg_TroyOz)/($G342),""),"")</f>
        <v/>
      </c>
      <c r="N342" s="56">
        <f>IFERROR(IF(($H342)&gt;0,($K342*cfg_TroyOz)/($H342),""),"")</f>
        <v/>
      </c>
      <c r="O342" s="55">
        <f>SUMIFS(tblMovement[Tonnes_t],tblMovement[Date],$A342,tblMovement[Is_Ore],0,tblMovement[Source_Type],"Pit")</f>
        <v/>
      </c>
      <c r="P342" s="55">
        <f>IF($B342=$B341,$P341,0)+$O342</f>
        <v/>
      </c>
      <c r="Q342" s="55">
        <f>$Q341+$O342</f>
        <v/>
      </c>
      <c r="R342" s="55">
        <f>$F342+$O342</f>
        <v/>
      </c>
      <c r="S342" s="55">
        <f>IF($B342=$B341,$S341,0)+$R342</f>
        <v/>
      </c>
      <c r="T342" s="55">
        <f>$T341+$R342</f>
        <v/>
      </c>
      <c r="U342" s="56">
        <f>IFERROR(IF(($F342)&gt;0,($O342)/($F342),""),"")</f>
        <v/>
      </c>
      <c r="V342" s="56">
        <f>IFERROR(IF(($G342)&gt;0,($P342)/($G342),""),"")</f>
        <v/>
      </c>
      <c r="W342" s="56">
        <f>IFERROR(IF(($H342)&gt;0,($Q342)/($H342),""),"")</f>
        <v/>
      </c>
      <c r="X342" s="55">
        <f>SUMIFS(tblMovement[Tonnes_t],tblMovement[Date],$A342,tblMovement[Source_Type],"Stockpile")</f>
        <v/>
      </c>
      <c r="Y342" s="55">
        <f>IF($B342=$B341,$Y341,0)+$X342</f>
        <v/>
      </c>
      <c r="Z342" s="55">
        <f>$Z341+$X342</f>
        <v/>
      </c>
      <c r="AA342" s="55">
        <f>SUMIFS(tblMiningDaily[Drill_m],tblMiningDaily[Date],$A342)</f>
        <v/>
      </c>
      <c r="AB342" s="55">
        <f>IF($B342=$B341,$AB341,0)+$AA342</f>
        <v/>
      </c>
      <c r="AC342" s="55">
        <f>$AC341+$AA342</f>
        <v/>
      </c>
      <c r="AD342" s="55">
        <f>SUMIFS(tblMiningDaily[Blast_t],tblMiningDaily[Date],$A342)</f>
        <v/>
      </c>
      <c r="AE342" s="55">
        <f>IF($B342=$B341,$AE341,0)+$AD342</f>
        <v/>
      </c>
      <c r="AF342" s="55">
        <f>$AF341+$AD342</f>
        <v/>
      </c>
      <c r="AG342" s="55">
        <f>SUMIFS(tblMiningDaily[Explosives_kg],tblMiningDaily[Date],$A342)</f>
        <v/>
      </c>
      <c r="AH342" s="55">
        <f>IF($B342=$B341,$AH341,0)+$AG342</f>
        <v/>
      </c>
      <c r="AI342" s="55">
        <f>$AI341+$AG342</f>
        <v/>
      </c>
      <c r="AJ342" s="56">
        <f>IFERROR(IF(($AD342)&gt;0,($AG342)/($AD342),""),"")</f>
        <v/>
      </c>
      <c r="AK342" s="56">
        <f>IFERROR(IF(($AE342)&gt;0,($AH342)/($AE342),""),"")</f>
        <v/>
      </c>
      <c r="AL342" s="56">
        <f>IFERROR(IF(($AF342)&gt;0,($AI342)/($AF342),""),"")</f>
        <v/>
      </c>
      <c r="AM342" s="55">
        <f>SUMIFS(tblMiningDaily[Diesel_L],tblMiningDaily[Date],$A342)</f>
        <v/>
      </c>
      <c r="AN342" s="55">
        <f>IF($B342=$B341,$AN341,0)+$AM342</f>
        <v/>
      </c>
      <c r="AO342" s="55">
        <f>$AO341+$AM342</f>
        <v/>
      </c>
      <c r="AP342" s="55">
        <f>SUMIFS(tblMiningDaily[Dewatering_m3],tblMiningDaily[Date],$A342)</f>
        <v/>
      </c>
      <c r="AQ342" s="55">
        <f>IF($B342=$B341,$AQ341,0)+$AP342</f>
        <v/>
      </c>
      <c r="AR342" s="55">
        <f>$AR341+$AP342</f>
        <v/>
      </c>
      <c r="AS342" s="57">
        <f>SUMIFS(tblFleet[Calendar_h],tblFleet[Date],$A342,tblFleet[Equipment_Class],"Excavator")</f>
        <v/>
      </c>
      <c r="AT342" s="57">
        <f>IF($B342=$B341,$AT341,0)+$AS342</f>
        <v/>
      </c>
      <c r="AU342" s="57">
        <f>$AU341+$AS342</f>
        <v/>
      </c>
      <c r="AV342" s="57">
        <f>SUMIFS(tblFleet[Available_h],tblFleet[Date],$A342,tblFleet[Equipment_Class],"Excavator")</f>
        <v/>
      </c>
      <c r="AW342" s="57">
        <f>IF($B342=$B341,$AW341,0)+$AV342</f>
        <v/>
      </c>
      <c r="AX342" s="57">
        <f>$AX341+$AV342</f>
        <v/>
      </c>
      <c r="AY342" s="57">
        <f>SUMIFS(tblFleet[Operating_h],tblFleet[Date],$A342,tblFleet[Equipment_Class],"Excavator")</f>
        <v/>
      </c>
      <c r="AZ342" s="57">
        <f>IF($B342=$B341,$AZ341,0)+$AY342</f>
        <v/>
      </c>
      <c r="BA342" s="57">
        <f>$BA341+$AY342</f>
        <v/>
      </c>
      <c r="BB342" s="67">
        <f>IFERROR(IF(($AS342)&gt;0,($AV342)/($AS342),""),"")</f>
        <v/>
      </c>
      <c r="BC342" s="67">
        <f>IFERROR(IF(($AT342)&gt;0,($AW342)/($AT342),""),"")</f>
        <v/>
      </c>
      <c r="BD342" s="67">
        <f>IFERROR(IF(($AU342)&gt;0,($AX342)/($AU342),""),"")</f>
        <v/>
      </c>
      <c r="BE342" s="67">
        <f>IFERROR(IF(($AV342)&gt;0,($AY342)/($AV342),""),"")</f>
        <v/>
      </c>
      <c r="BF342" s="67">
        <f>IFERROR(IF(($AW342)&gt;0,($AZ342)/($AW342),""),"")</f>
        <v/>
      </c>
      <c r="BG342" s="67">
        <f>IFERROR(IF(($AX342)&gt;0,($BA342)/($AX342),""),"")</f>
        <v/>
      </c>
      <c r="BH342" s="57">
        <f>SUMIFS(tblFleet[Calendar_h],tblFleet[Date],$A342,tblFleet[Equipment_Class],"Haul Truck")</f>
        <v/>
      </c>
      <c r="BI342" s="57">
        <f>IF($B342=$B341,$BI341,0)+$BH342</f>
        <v/>
      </c>
      <c r="BJ342" s="57">
        <f>$BJ341+$BH342</f>
        <v/>
      </c>
      <c r="BK342" s="57">
        <f>SUMIFS(tblFleet[Available_h],tblFleet[Date],$A342,tblFleet[Equipment_Class],"Haul Truck")</f>
        <v/>
      </c>
      <c r="BL342" s="57">
        <f>IF($B342=$B341,$BL341,0)+$BK342</f>
        <v/>
      </c>
      <c r="BM342" s="57">
        <f>$BM341+$BK342</f>
        <v/>
      </c>
      <c r="BN342" s="57">
        <f>SUMIFS(tblFleet[Operating_h],tblFleet[Date],$A342,tblFleet[Equipment_Class],"Haul Truck")</f>
        <v/>
      </c>
      <c r="BO342" s="57">
        <f>IF($B342=$B341,$BO341,0)+$BN342</f>
        <v/>
      </c>
      <c r="BP342" s="57">
        <f>$BP341+$BN342</f>
        <v/>
      </c>
      <c r="BQ342" s="67">
        <f>IFERROR(IF(($BH342)&gt;0,($BK342)/($BH342),""),"")</f>
        <v/>
      </c>
      <c r="BR342" s="67">
        <f>IFERROR(IF(($BI342)&gt;0,($BL342)/($BI342),""),"")</f>
        <v/>
      </c>
      <c r="BS342" s="67">
        <f>IFERROR(IF(($BJ342)&gt;0,($BM342)/($BJ342),""),"")</f>
        <v/>
      </c>
      <c r="BT342" s="67">
        <f>IFERROR(IF(($BK342)&gt;0,($BN342)/($BK342),""),"")</f>
        <v/>
      </c>
      <c r="BU342" s="67">
        <f>IFERROR(IF(($BL342)&gt;0,($BO342)/($BL342),""),"")</f>
        <v/>
      </c>
      <c r="BV342" s="67">
        <f>IFERROR(IF(($BM342)&gt;0,($BP342)/($BM342),""),"")</f>
        <v/>
      </c>
      <c r="BW342" s="55">
        <f>SUMIFS(tblPlant[Crushed_t],tblPlant[Date],$A342)</f>
        <v/>
      </c>
      <c r="BX342" s="55">
        <f>IF($B342=$B341,$BX341,0)+$BW342</f>
        <v/>
      </c>
      <c r="BY342" s="55">
        <f>$BY341+$BW342</f>
        <v/>
      </c>
      <c r="BZ342" s="55">
        <f>SUMIFS(tblPlant[Milled_t],tblPlant[Date],$A342)</f>
        <v/>
      </c>
      <c r="CA342" s="55">
        <f>IF($B342=$B341,$CA341,0)+$BZ342</f>
        <v/>
      </c>
      <c r="CB342" s="55">
        <f>$CB341+$BZ342</f>
        <v/>
      </c>
      <c r="CC342" s="55">
        <f>SUMIFS(tblPlant[Feed_oz],tblPlant[Date],$A342)</f>
        <v/>
      </c>
      <c r="CD342" s="55">
        <f>IF($B342=$B341,$CD341,0)+$CC342</f>
        <v/>
      </c>
      <c r="CE342" s="55">
        <f>$CE341+$CC342</f>
        <v/>
      </c>
      <c r="CF342" s="55">
        <f>SUMIFS(tblPlant[Tails_oz],tblPlant[Date],$A342)</f>
        <v/>
      </c>
      <c r="CG342" s="55">
        <f>IF($B342=$B341,$CG341,0)+$CF342</f>
        <v/>
      </c>
      <c r="CH342" s="55">
        <f>$CH341+$CF342</f>
        <v/>
      </c>
      <c r="CI342" s="55">
        <f>SUMIFS(tblPlant[Recovered_oz],tblPlant[Date],$A342)</f>
        <v/>
      </c>
      <c r="CJ342" s="55">
        <f>IF($B342=$B341,$CJ341,0)+$CI342</f>
        <v/>
      </c>
      <c r="CK342" s="55">
        <f>$CK341+$CI342</f>
        <v/>
      </c>
      <c r="CL342" s="56">
        <f>IFERROR(IF(($BZ342)&gt;0,($CC342*cfg_TroyOz)/($BZ342),""),"")</f>
        <v/>
      </c>
      <c r="CM342" s="56">
        <f>IFERROR(IF(($CA342)&gt;0,($CD342*cfg_TroyOz)/($CA342),""),"")</f>
        <v/>
      </c>
      <c r="CN342" s="56">
        <f>IFERROR(IF(($CB342)&gt;0,($CE342*cfg_TroyOz)/($CB342),""),"")</f>
        <v/>
      </c>
      <c r="CO342" s="56">
        <f>IFERROR(IF(($BZ342)&gt;0,($CF342*cfg_TroyOz)/($BZ342),""),"")</f>
        <v/>
      </c>
      <c r="CP342" s="56">
        <f>IFERROR(IF(($CA342)&gt;0,($CG342*cfg_TroyOz)/($CA342),""),"")</f>
        <v/>
      </c>
      <c r="CQ342" s="56">
        <f>IFERROR(IF(($CB342)&gt;0,($CH342*cfg_TroyOz)/($CB342),""),"")</f>
        <v/>
      </c>
      <c r="CR342" s="67">
        <f>IFERROR(IF(($CC342)&gt;0,($CI342)/($CC342),""),"")</f>
        <v/>
      </c>
      <c r="CS342" s="67">
        <f>IFERROR(IF(($CD342)&gt;0,($CJ342)/($CD342),""),"")</f>
        <v/>
      </c>
      <c r="CT342" s="67">
        <f>IFERROR(IF(($CE342)&gt;0,($CK342)/($CE342),""),"")</f>
        <v/>
      </c>
      <c r="CU342" s="55">
        <f>SUMIFS(tblPlant[Gravity_Gold_oz],tblPlant[Date],$A342)</f>
        <v/>
      </c>
      <c r="CV342" s="55">
        <f>IF($B342=$B341,$CV341,0)+$CU342</f>
        <v/>
      </c>
      <c r="CW342" s="55">
        <f>$CW341+$CU342</f>
        <v/>
      </c>
      <c r="CX342" s="55">
        <f>SUMIFS(tblPlant[Gold_Poured_oz],tblPlant[Date],$A342)</f>
        <v/>
      </c>
      <c r="CY342" s="55">
        <f>IF($B342=$B341,$CY341,0)+$CX342</f>
        <v/>
      </c>
      <c r="CZ342" s="55">
        <f>$CZ341+$CX342</f>
        <v/>
      </c>
      <c r="DA342" s="57">
        <f>SUMIFS(tblPlant[Mill_Run_h],tblPlant[Date],$A342)</f>
        <v/>
      </c>
      <c r="DB342" s="57">
        <f>IF($B342=$B341,$DB341,0)+$DA342</f>
        <v/>
      </c>
      <c r="DC342" s="57">
        <f>$DC341+$DA342</f>
        <v/>
      </c>
      <c r="DD342" s="57">
        <f>SUMIFS(tblPlant[Mill_Planned_Maint_h],tblPlant[Date],$A342)</f>
        <v/>
      </c>
      <c r="DE342" s="57">
        <f>IF($B342=$B341,$DE341,0)+$DD342</f>
        <v/>
      </c>
      <c r="DF342" s="57">
        <f>$DF341+$DD342</f>
        <v/>
      </c>
      <c r="DG342" s="57">
        <f>SUMIFS(tblPlant[Mill_Unplanned_Down_h],tblPlant[Date],$A342)</f>
        <v/>
      </c>
      <c r="DH342" s="57">
        <f>IF($B342=$B341,$DH341,0)+$DG342</f>
        <v/>
      </c>
      <c r="DI342" s="57">
        <f>$DI341+$DG342</f>
        <v/>
      </c>
      <c r="DJ342" s="57">
        <f>COUNTIFS(tblPlant[Date],$A342,tblPlant[Mill_Run_h],"&lt;&gt;")*24</f>
        <v/>
      </c>
      <c r="DK342" s="57">
        <f>IF($B342=$B341,$DK341,0)+$DJ342</f>
        <v/>
      </c>
      <c r="DL342" s="57">
        <f>$DL341+$DJ342</f>
        <v/>
      </c>
      <c r="DM342" s="57">
        <f>SUMIFS(tblPlant[Crusher_Run_h],tblPlant[Date],$A342)</f>
        <v/>
      </c>
      <c r="DN342" s="57">
        <f>IF($B342=$B341,$DN341,0)+$DM342</f>
        <v/>
      </c>
      <c r="DO342" s="57">
        <f>$DO341+$DM342</f>
        <v/>
      </c>
      <c r="DP342" s="55">
        <f>IFERROR(IF(($DA342)&gt;0,($BZ342)/($DA342),""),"")</f>
        <v/>
      </c>
      <c r="DQ342" s="55">
        <f>IFERROR(IF(($DB342)&gt;0,($CA342)/($DB342),""),"")</f>
        <v/>
      </c>
      <c r="DR342" s="55">
        <f>IFERROR(IF(($DC342)&gt;0,($CB342)/($DC342),""),"")</f>
        <v/>
      </c>
      <c r="DS342" s="67">
        <f>IFERROR(IF(($DJ342)&gt;0,($DJ342-$DD342-$DG342)/($DJ342),""),"")</f>
        <v/>
      </c>
      <c r="DT342" s="67">
        <f>IFERROR(IF(($DK342)&gt;0,($DK342-$DE342-$DH342)/($DK342),""),"")</f>
        <v/>
      </c>
      <c r="DU342" s="67">
        <f>IFERROR(IF(($DL342)&gt;0,($DL342-$DF342-$DI342)/($DL342),""),"")</f>
        <v/>
      </c>
      <c r="DV342" s="67">
        <f>IFERROR(IF(($DJ342-$DD342-$DG342)&gt;0,($DA342)/($DJ342-$DD342-$DG342),""),"")</f>
        <v/>
      </c>
      <c r="DW342" s="67">
        <f>IFERROR(IF(($DK342-$DE342-$DH342)&gt;0,($DB342)/($DK342-$DE342-$DH342),""),"")</f>
        <v/>
      </c>
      <c r="DX342" s="67">
        <f>IFERROR(IF(($DL342-$DF342-$DI342)&gt;0,($DC342)/($DL342-$DF342-$DI342),""),"")</f>
        <v/>
      </c>
      <c r="DY342" s="55">
        <f>SUMIFS(tblPlant[Cyanide_kg],tblPlant[Date],$A342)</f>
        <v/>
      </c>
      <c r="DZ342" s="55">
        <f>IF($B342=$B341,$DZ341,0)+$DY342</f>
        <v/>
      </c>
      <c r="EA342" s="55">
        <f>$EA341+$DY342</f>
        <v/>
      </c>
      <c r="EB342" s="55">
        <f>SUMIFS(tblPlant[Lime_kg],tblPlant[Date],$A342)</f>
        <v/>
      </c>
      <c r="EC342" s="55">
        <f>IF($B342=$B341,$EC341,0)+$EB342</f>
        <v/>
      </c>
      <c r="ED342" s="55">
        <f>$ED341+$EB342</f>
        <v/>
      </c>
      <c r="EE342" s="55">
        <f>SUMIFS(tblPlant[Grinding_Media_kg],tblPlant[Date],$A342)</f>
        <v/>
      </c>
      <c r="EF342" s="55">
        <f>IF($B342=$B341,$EF341,0)+$EE342</f>
        <v/>
      </c>
      <c r="EG342" s="55">
        <f>$EG341+$EE342</f>
        <v/>
      </c>
      <c r="EH342" s="55">
        <f>SUMIFS(tblPlant[Power_kWh],tblPlant[Date],$A342)</f>
        <v/>
      </c>
      <c r="EI342" s="55">
        <f>IF($B342=$B341,$EI341,0)+$EH342</f>
        <v/>
      </c>
      <c r="EJ342" s="55">
        <f>$EJ341+$EH342</f>
        <v/>
      </c>
      <c r="EK342" s="55">
        <f>SUMIFS(tblPlant[Raw_Water_m3],tblPlant[Date],$A342)</f>
        <v/>
      </c>
      <c r="EL342" s="55">
        <f>IF($B342=$B341,$EL341,0)+$EK342</f>
        <v/>
      </c>
      <c r="EM342" s="55">
        <f>$EM341+$EK342</f>
        <v/>
      </c>
      <c r="EN342" s="56">
        <f>IFERROR(IF(($BZ342)&gt;0,($DY342)/($BZ342),""),"")</f>
        <v/>
      </c>
      <c r="EO342" s="56">
        <f>IFERROR(IF(($CA342)&gt;0,($DZ342)/($CA342),""),"")</f>
        <v/>
      </c>
      <c r="EP342" s="56">
        <f>IFERROR(IF(($CB342)&gt;0,($EA342)/($CB342),""),"")</f>
        <v/>
      </c>
      <c r="EQ342" s="56">
        <f>IFERROR(IF(($BZ342)&gt;0,($EB342)/($BZ342),""),"")</f>
        <v/>
      </c>
      <c r="ER342" s="56">
        <f>IFERROR(IF(($CA342)&gt;0,($EC342)/($CA342),""),"")</f>
        <v/>
      </c>
      <c r="ES342" s="56">
        <f>IFERROR(IF(($CB342)&gt;0,($ED342)/($CB342),""),"")</f>
        <v/>
      </c>
      <c r="ET342" s="56">
        <f>IFERROR(IF(($BZ342)&gt;0,($EE342)/($BZ342),""),"")</f>
        <v/>
      </c>
      <c r="EU342" s="56">
        <f>IFERROR(IF(($CA342)&gt;0,($EF342)/($CA342),""),"")</f>
        <v/>
      </c>
      <c r="EV342" s="56">
        <f>IFERROR(IF(($CB342)&gt;0,($EG342)/($CB342),""),"")</f>
        <v/>
      </c>
      <c r="EW342" s="76">
        <f>IFERROR(IF(($BZ342)&gt;0,($EH342)/($BZ342),""),"")</f>
        <v/>
      </c>
      <c r="EX342" s="76">
        <f>IFERROR(IF(($CA342)&gt;0,($EI342)/($CA342),""),"")</f>
        <v/>
      </c>
      <c r="EY342" s="76">
        <f>IFERROR(IF(($CB342)&gt;0,($EJ342)/($CB342),""),"")</f>
        <v/>
      </c>
      <c r="EZ342" s="56">
        <f>IFERROR(IF(($BZ342)&gt;0,($EK342)/($BZ342),""),"")</f>
        <v/>
      </c>
      <c r="FA342" s="56">
        <f>IFERROR(IF(($CA342)&gt;0,($EL342)/($CA342),""),"")</f>
        <v/>
      </c>
      <c r="FB342" s="56">
        <f>IFERROR(IF(($CB342)&gt;0,($EM342)/($CB342),""),"")</f>
        <v/>
      </c>
      <c r="FC342" s="55">
        <f>IF(SUMIFS(tblPlant[GIC_oz],tblPlant[Date],$A342)&gt;0,SUMIFS(tblPlant[GIC_oz],tblPlant[Date],$A342),"")</f>
        <v/>
      </c>
      <c r="FD342" s="55">
        <f>SUMIFS(tblGold[Gold_oz],tblGold[Date],$A342,tblGold[Type],"Shipment")</f>
        <v/>
      </c>
      <c r="FE342" s="55">
        <f>IF($B342=$B341,$FE341,0)+$FD342</f>
        <v/>
      </c>
      <c r="FF342" s="55">
        <f>$FF341+$FD342</f>
        <v/>
      </c>
      <c r="FG342" s="55">
        <f>SUMIFS(tblGold[Gold_oz],tblGold[Date],$A342,tblGold[Type],"Sale")</f>
        <v/>
      </c>
      <c r="FH342" s="55">
        <f>IF($B342=$B341,$FH341,0)+$FG342</f>
        <v/>
      </c>
      <c r="FI342" s="55">
        <f>$FI341+$FG342</f>
        <v/>
      </c>
      <c r="FJ342" s="55">
        <f>SUMIFS(tblGold[Dore_kg],tblGold[Date],$A342,tblGold[Type],"Shipment")</f>
        <v/>
      </c>
      <c r="FK342" s="55">
        <f>IF($B342=$B341,$FK341,0)+$FJ342</f>
        <v/>
      </c>
      <c r="FL342" s="55">
        <f>$FL341+$FJ342</f>
        <v/>
      </c>
      <c r="FM342" s="57">
        <f>SUMIFS(tblSafety[Hours_Total],tblSafety[Date],$A342)</f>
        <v/>
      </c>
      <c r="FN342" s="57">
        <f>IF($B342=$B341,$FN341,0)+$FM342</f>
        <v/>
      </c>
      <c r="FO342" s="57">
        <f>$FO341+$FM342</f>
        <v/>
      </c>
      <c r="FP342" s="62">
        <f>SUMIFS(tblSafety[Fatality],tblSafety[Date],$A342)</f>
        <v/>
      </c>
      <c r="FQ342" s="62">
        <f>IF($B342=$B341,$FQ341,0)+$FP342</f>
        <v/>
      </c>
      <c r="FR342" s="62">
        <f>$FR341+$FP342</f>
        <v/>
      </c>
      <c r="FS342" s="62">
        <f>SUMIFS(tblSafety[LTI],tblSafety[Date],$A342)</f>
        <v/>
      </c>
      <c r="FT342" s="62">
        <f>IF($B342=$B341,$FT341,0)+$FS342</f>
        <v/>
      </c>
      <c r="FU342" s="62">
        <f>$FU341+$FS342</f>
        <v/>
      </c>
      <c r="FV342" s="62">
        <f>SUMIFS(tblSafety[RWI],tblSafety[Date],$A342)</f>
        <v/>
      </c>
      <c r="FW342" s="62">
        <f>IF($B342=$B341,$FW341,0)+$FV342</f>
        <v/>
      </c>
      <c r="FX342" s="62">
        <f>$FX341+$FV342</f>
        <v/>
      </c>
      <c r="FY342" s="62">
        <f>SUMIFS(tblSafety[MTI],tblSafety[Date],$A342)</f>
        <v/>
      </c>
      <c r="FZ342" s="62">
        <f>IF($B342=$B341,$FZ341,0)+$FY342</f>
        <v/>
      </c>
      <c r="GA342" s="62">
        <f>$GA341+$FY342</f>
        <v/>
      </c>
      <c r="GB342" s="62">
        <f>SUMIFS(tblSafety[FAI],tblSafety[Date],$A342)</f>
        <v/>
      </c>
      <c r="GC342" s="62">
        <f>IF($B342=$B341,$GC341,0)+$GB342</f>
        <v/>
      </c>
      <c r="GD342" s="62">
        <f>$GD341+$GB342</f>
        <v/>
      </c>
      <c r="GE342" s="62">
        <f>SUMIFS(tblSafety[Recordables],tblSafety[Date],$A342)</f>
        <v/>
      </c>
      <c r="GF342" s="62">
        <f>IF($B342=$B341,$GF341,0)+$GE342</f>
        <v/>
      </c>
      <c r="GG342" s="62">
        <f>$GG341+$GE342</f>
        <v/>
      </c>
      <c r="GH342" s="62">
        <f>SUMIFS(tblSafety[Near_Miss],tblSafety[Date],$A342)</f>
        <v/>
      </c>
      <c r="GI342" s="62">
        <f>IF($B342=$B341,$GI341,0)+$GH342</f>
        <v/>
      </c>
      <c r="GJ342" s="62">
        <f>$GJ341+$GH342</f>
        <v/>
      </c>
      <c r="GK342" s="62">
        <f>SUMIFS(tblSafety[Hazard_Reports],tblSafety[Date],$A342)</f>
        <v/>
      </c>
      <c r="GL342" s="62">
        <f>IF($B342=$B341,$GL341,0)+$GK342</f>
        <v/>
      </c>
      <c r="GM342" s="62">
        <f>$GM341+$GK342</f>
        <v/>
      </c>
      <c r="GN342" s="62">
        <f>SUMIFS(tblSafety[HPI],tblSafety[Date],$A342)</f>
        <v/>
      </c>
      <c r="GO342" s="62">
        <f>IF($B342=$B341,$GO341,0)+$GN342</f>
        <v/>
      </c>
      <c r="GP342" s="62">
        <f>$GP341+$GN342</f>
        <v/>
      </c>
      <c r="GQ342" s="62">
        <f>SUMIFS(tblSafety[Env_Incidents],tblSafety[Date],$A342)</f>
        <v/>
      </c>
      <c r="GR342" s="62">
        <f>IF($B342=$B341,$GR341,0)+$GQ342</f>
        <v/>
      </c>
      <c r="GS342" s="62">
        <f>$GS341+$GQ342</f>
        <v/>
      </c>
      <c r="GT342" s="62">
        <f>SUMIFS(tblSafety[Community_Incidents],tblSafety[Date],$A342)</f>
        <v/>
      </c>
      <c r="GU342" s="62">
        <f>IF($B342=$B341,$GU341,0)+$GT342</f>
        <v/>
      </c>
      <c r="GV342" s="62">
        <f>$GV341+$GT342</f>
        <v/>
      </c>
      <c r="GW342" s="62">
        <f>SUMIFS(tblSafety[Vehicle_Incidents],tblSafety[Date],$A342)</f>
        <v/>
      </c>
      <c r="GX342" s="62">
        <f>IF($B342=$B341,$GX341,0)+$GW342</f>
        <v/>
      </c>
      <c r="GY342" s="62">
        <f>$GY341+$GW342</f>
        <v/>
      </c>
      <c r="GZ342" s="62">
        <f>SUMIFS(tblSafety[Toolbox_Talks],tblSafety[Date],$A342)</f>
        <v/>
      </c>
      <c r="HA342" s="62">
        <f>IF($B342=$B341,$HA341,0)+$GZ342</f>
        <v/>
      </c>
      <c r="HB342" s="62">
        <f>$HB341+$GZ342</f>
        <v/>
      </c>
      <c r="HC342" s="62">
        <f>SUMIFS(tblSafety[Inspections],tblSafety[Date],$A342)</f>
        <v/>
      </c>
      <c r="HD342" s="62">
        <f>IF($B342=$B341,$HD341,0)+$HC342</f>
        <v/>
      </c>
      <c r="HE342" s="62">
        <f>$HE341+$HC342</f>
        <v/>
      </c>
      <c r="HF342" s="56">
        <f>IFERROR((SUMIFS(tblSafety[Recordables],tblSafety[Date],"&gt;="&amp;EDATE($E342,-12),tblSafety[Date],"&lt;="&amp;$A342)+SUMIFS(tblSafetyHistory[Recordables],tblSafetyHistory[Month],"&gt;="&amp;EDATE($E342,-12),tblSafetyHistory[Month],"&lt;"&amp;cfg_YearStart))/(SUMIFS(tblSafety[Hours_Total],tblSafety[Date],"&gt;="&amp;EDATE($E342,-12),tblSafety[Date],"&lt;="&amp;$A342)+SUMIFS(tblSafetyHistory[Hours_Total],tblSafetyHistory[Month],"&gt;="&amp;EDATE($E342,-12),tblSafetyHistory[Month],"&lt;"&amp;cfg_YearStart))*1000000,"")</f>
        <v/>
      </c>
      <c r="HG342" s="56">
        <f>IFERROR((SUMIFS(tblSafety[LTI],tblSafety[Date],"&gt;="&amp;EDATE($E342,-12),tblSafety[Date],"&lt;="&amp;$A342)+SUMIFS(tblSafetyHistory[LTI],tblSafetyHistory[Month],"&gt;="&amp;EDATE($E342,-12),tblSafetyHistory[Month],"&lt;"&amp;cfg_YearStart))/(SUMIFS(tblSafety[Hours_Total],tblSafety[Date],"&gt;="&amp;EDATE($E342,-12),tblSafety[Date],"&lt;="&amp;$A342)+SUMIFS(tblSafetyHistory[Hours_Total],tblSafetyHistory[Month],"&gt;="&amp;EDATE($E342,-12),tblSafetyHistory[Month],"&lt;"&amp;cfg_YearStart))*1000000,"")</f>
        <v/>
      </c>
      <c r="HH342" s="62">
        <f>IF(MAX(N(cfg_PriorLTIDate),_xlfn.MAXIFS(tblSafety[Date],tblSafety[LTI],"&gt;0",tblSafety[Date],"&lt;="&amp;$A342))=0,"",$A342-MAX(N(cfg_PriorLTIDate),_xlfn.MAXIFS(tblSafety[Date],tblSafety[LTI],"&gt;0",tblSafety[Date],"&lt;="&amp;$A342)))</f>
        <v/>
      </c>
      <c r="HI342" s="55">
        <f>SUMIFS(tblBudget[Ore_Mined_t],tblBudget[Month],$E342)</f>
        <v/>
      </c>
      <c r="HJ342" s="55">
        <f>$HI342*$C342/$D342</f>
        <v/>
      </c>
      <c r="HK342" s="55">
        <f>SUMIFS(tblBudget[Ore_Mined_t],tblBudget[Month],"&lt;"&amp;$E342)+$HJ342</f>
        <v/>
      </c>
      <c r="HL342" s="55">
        <f>SUMIFS(tblBudget[Ore_oz],tblBudget[Month],$E342)</f>
        <v/>
      </c>
      <c r="HM342" s="55">
        <f>$HL342*$C342/$D342</f>
        <v/>
      </c>
      <c r="HN342" s="55">
        <f>SUMIFS(tblBudget[Ore_oz],tblBudget[Month],"&lt;"&amp;$E342)+$HM342</f>
        <v/>
      </c>
      <c r="HO342" s="56">
        <f>IFERROR(IF(($HI342)&gt;0,($HL342*cfg_TroyOz)/($HI342),""),"")</f>
        <v/>
      </c>
      <c r="HP342" s="56">
        <f>IFERROR(IF(($HJ342)&gt;0,($HM342*cfg_TroyOz)/($HJ342),""),"")</f>
        <v/>
      </c>
      <c r="HQ342" s="56">
        <f>IFERROR(IF(($HK342)&gt;0,($HN342*cfg_TroyOz)/($HK342),""),"")</f>
        <v/>
      </c>
      <c r="HR342" s="55">
        <f>SUMIFS(tblBudget[Waste_t],tblBudget[Month],$E342)</f>
        <v/>
      </c>
      <c r="HS342" s="55">
        <f>$HR342*$C342/$D342</f>
        <v/>
      </c>
      <c r="HT342" s="55">
        <f>SUMIFS(tblBudget[Waste_t],tblBudget[Month],"&lt;"&amp;$E342)+$HS342</f>
        <v/>
      </c>
      <c r="HU342" s="55">
        <f>SUMIFS(tblBudget[TMM_t],tblBudget[Month],$E342)</f>
        <v/>
      </c>
      <c r="HV342" s="55">
        <f>$HU342*$C342/$D342</f>
        <v/>
      </c>
      <c r="HW342" s="55">
        <f>SUMIFS(tblBudget[TMM_t],tblBudget[Month],"&lt;"&amp;$E342)+$HV342</f>
        <v/>
      </c>
      <c r="HX342" s="56">
        <f>IFERROR(IF(($HI342)&gt;0,($HR342)/($HI342),""),"")</f>
        <v/>
      </c>
      <c r="HY342" s="56">
        <f>IFERROR(IF(($HJ342)&gt;0,($HS342)/($HJ342),""),"")</f>
        <v/>
      </c>
      <c r="HZ342" s="56">
        <f>IFERROR(IF(($HK342)&gt;0,($HT342)/($HK342),""),"")</f>
        <v/>
      </c>
      <c r="IA342" s="55">
        <f>SUMIFS(tblBudget[Drill_m],tblBudget[Month],$E342)</f>
        <v/>
      </c>
      <c r="IB342" s="55">
        <f>$IA342*$C342/$D342</f>
        <v/>
      </c>
      <c r="IC342" s="55">
        <f>SUMIFS(tblBudget[Drill_m],tblBudget[Month],"&lt;"&amp;$E342)+$IB342</f>
        <v/>
      </c>
      <c r="ID342" s="55">
        <f>SUMIFS(tblBudget[Diesel_L],tblBudget[Month],$E342)</f>
        <v/>
      </c>
      <c r="IE342" s="55">
        <f>$ID342*$C342/$D342</f>
        <v/>
      </c>
      <c r="IF342" s="55">
        <f>SUMIFS(tblBudget[Diesel_L],tblBudget[Month],"&lt;"&amp;$E342)+$IE342</f>
        <v/>
      </c>
      <c r="IG342" s="55">
        <f>SUMIFS(tblBudget[Milled_t],tblBudget[Month],$E342)</f>
        <v/>
      </c>
      <c r="IH342" s="55">
        <f>$IG342*$C342/$D342</f>
        <v/>
      </c>
      <c r="II342" s="55">
        <f>SUMIFS(tblBudget[Milled_t],tblBudget[Month],"&lt;"&amp;$E342)+$IH342</f>
        <v/>
      </c>
      <c r="IJ342" s="55">
        <f>SUMIFS(tblBudget[Feed_oz],tblBudget[Month],$E342)</f>
        <v/>
      </c>
      <c r="IK342" s="55">
        <f>$IJ342*$C342/$D342</f>
        <v/>
      </c>
      <c r="IL342" s="55">
        <f>SUMIFS(tblBudget[Feed_oz],tblBudget[Month],"&lt;"&amp;$E342)+$IK342</f>
        <v/>
      </c>
      <c r="IM342" s="55">
        <f>SUMIFS(tblBudget[Recovered_oz],tblBudget[Month],$E342)</f>
        <v/>
      </c>
      <c r="IN342" s="55">
        <f>$IM342*$C342/$D342</f>
        <v/>
      </c>
      <c r="IO342" s="55">
        <f>SUMIFS(tblBudget[Recovered_oz],tblBudget[Month],"&lt;"&amp;$E342)+$IN342</f>
        <v/>
      </c>
      <c r="IP342" s="56">
        <f>IFERROR(IF(($IG342)&gt;0,($IJ342*cfg_TroyOz)/($IG342),""),"")</f>
        <v/>
      </c>
      <c r="IQ342" s="56">
        <f>IFERROR(IF(($IH342)&gt;0,($IK342*cfg_TroyOz)/($IH342),""),"")</f>
        <v/>
      </c>
      <c r="IR342" s="56">
        <f>IFERROR(IF(($II342)&gt;0,($IL342*cfg_TroyOz)/($II342),""),"")</f>
        <v/>
      </c>
      <c r="IS342" s="67">
        <f>IFERROR(IF(($IJ342)&gt;0,($IM342)/($IJ342),""),"")</f>
        <v/>
      </c>
      <c r="IT342" s="67">
        <f>IFERROR(IF(($IK342)&gt;0,($IN342)/($IK342),""),"")</f>
        <v/>
      </c>
      <c r="IU342" s="67">
        <f>IFERROR(IF(($IL342)&gt;0,($IO342)/($IL342),""),"")</f>
        <v/>
      </c>
      <c r="IV342" s="55">
        <f>SUMIFS(tblBudget[Gold_Poured_oz],tblBudget[Month],$E342)</f>
        <v/>
      </c>
      <c r="IW342" s="55">
        <f>$IV342*$C342/$D342</f>
        <v/>
      </c>
      <c r="IX342" s="55">
        <f>SUMIFS(tblBudget[Gold_Poured_oz],tblBudget[Month],"&lt;"&amp;$E342)+$IW342</f>
        <v/>
      </c>
      <c r="IY342" s="57">
        <f>SUMIFS(tblBudget[Hours_Worked],tblBudget[Month],$E342)</f>
        <v/>
      </c>
      <c r="IZ342" s="57">
        <f>$IY342*$C342/$D342</f>
        <v/>
      </c>
      <c r="JA342" s="57">
        <f>SUMIFS(tblBudget[Hours_Worked],tblBudget[Month],"&lt;"&amp;$E342)+$IZ342</f>
        <v/>
      </c>
    </row>
    <row r="343">
      <c r="A343" s="54" t="n">
        <v>46364</v>
      </c>
      <c r="B343">
        <f>MONTH($A343)</f>
        <v/>
      </c>
      <c r="C343">
        <f>DAY($A343)</f>
        <v/>
      </c>
      <c r="D343">
        <f>DAY(EOMONTH($A343,0))</f>
        <v/>
      </c>
      <c r="E343" s="54">
        <f>DATE(YEAR($A343),MONTH($A343),1)</f>
        <v/>
      </c>
      <c r="F343" s="55">
        <f>SUMIFS(tblMovement[Tonnes_t],tblMovement[Date],$A343,tblMovement[Is_Ore],1,tblMovement[Source_Type],"Pit")</f>
        <v/>
      </c>
      <c r="G343" s="55">
        <f>IF($B343=$B342,$G342,0)+$F343</f>
        <v/>
      </c>
      <c r="H343" s="55">
        <f>$H342+$F343</f>
        <v/>
      </c>
      <c r="I343" s="55">
        <f>SUMIFS(tblMovement[Ore_oz],tblMovement[Date],$A343,tblMovement[Source_Type],"Pit")</f>
        <v/>
      </c>
      <c r="J343" s="55">
        <f>IF($B343=$B342,$J342,0)+$I343</f>
        <v/>
      </c>
      <c r="K343" s="55">
        <f>$K342+$I343</f>
        <v/>
      </c>
      <c r="L343" s="56">
        <f>IFERROR(IF(($F343)&gt;0,($I343*cfg_TroyOz)/($F343),""),"")</f>
        <v/>
      </c>
      <c r="M343" s="56">
        <f>IFERROR(IF(($G343)&gt;0,($J343*cfg_TroyOz)/($G343),""),"")</f>
        <v/>
      </c>
      <c r="N343" s="56">
        <f>IFERROR(IF(($H343)&gt;0,($K343*cfg_TroyOz)/($H343),""),"")</f>
        <v/>
      </c>
      <c r="O343" s="55">
        <f>SUMIFS(tblMovement[Tonnes_t],tblMovement[Date],$A343,tblMovement[Is_Ore],0,tblMovement[Source_Type],"Pit")</f>
        <v/>
      </c>
      <c r="P343" s="55">
        <f>IF($B343=$B342,$P342,0)+$O343</f>
        <v/>
      </c>
      <c r="Q343" s="55">
        <f>$Q342+$O343</f>
        <v/>
      </c>
      <c r="R343" s="55">
        <f>$F343+$O343</f>
        <v/>
      </c>
      <c r="S343" s="55">
        <f>IF($B343=$B342,$S342,0)+$R343</f>
        <v/>
      </c>
      <c r="T343" s="55">
        <f>$T342+$R343</f>
        <v/>
      </c>
      <c r="U343" s="56">
        <f>IFERROR(IF(($F343)&gt;0,($O343)/($F343),""),"")</f>
        <v/>
      </c>
      <c r="V343" s="56">
        <f>IFERROR(IF(($G343)&gt;0,($P343)/($G343),""),"")</f>
        <v/>
      </c>
      <c r="W343" s="56">
        <f>IFERROR(IF(($H343)&gt;0,($Q343)/($H343),""),"")</f>
        <v/>
      </c>
      <c r="X343" s="55">
        <f>SUMIFS(tblMovement[Tonnes_t],tblMovement[Date],$A343,tblMovement[Source_Type],"Stockpile")</f>
        <v/>
      </c>
      <c r="Y343" s="55">
        <f>IF($B343=$B342,$Y342,0)+$X343</f>
        <v/>
      </c>
      <c r="Z343" s="55">
        <f>$Z342+$X343</f>
        <v/>
      </c>
      <c r="AA343" s="55">
        <f>SUMIFS(tblMiningDaily[Drill_m],tblMiningDaily[Date],$A343)</f>
        <v/>
      </c>
      <c r="AB343" s="55">
        <f>IF($B343=$B342,$AB342,0)+$AA343</f>
        <v/>
      </c>
      <c r="AC343" s="55">
        <f>$AC342+$AA343</f>
        <v/>
      </c>
      <c r="AD343" s="55">
        <f>SUMIFS(tblMiningDaily[Blast_t],tblMiningDaily[Date],$A343)</f>
        <v/>
      </c>
      <c r="AE343" s="55">
        <f>IF($B343=$B342,$AE342,0)+$AD343</f>
        <v/>
      </c>
      <c r="AF343" s="55">
        <f>$AF342+$AD343</f>
        <v/>
      </c>
      <c r="AG343" s="55">
        <f>SUMIFS(tblMiningDaily[Explosives_kg],tblMiningDaily[Date],$A343)</f>
        <v/>
      </c>
      <c r="AH343" s="55">
        <f>IF($B343=$B342,$AH342,0)+$AG343</f>
        <v/>
      </c>
      <c r="AI343" s="55">
        <f>$AI342+$AG343</f>
        <v/>
      </c>
      <c r="AJ343" s="56">
        <f>IFERROR(IF(($AD343)&gt;0,($AG343)/($AD343),""),"")</f>
        <v/>
      </c>
      <c r="AK343" s="56">
        <f>IFERROR(IF(($AE343)&gt;0,($AH343)/($AE343),""),"")</f>
        <v/>
      </c>
      <c r="AL343" s="56">
        <f>IFERROR(IF(($AF343)&gt;0,($AI343)/($AF343),""),"")</f>
        <v/>
      </c>
      <c r="AM343" s="55">
        <f>SUMIFS(tblMiningDaily[Diesel_L],tblMiningDaily[Date],$A343)</f>
        <v/>
      </c>
      <c r="AN343" s="55">
        <f>IF($B343=$B342,$AN342,0)+$AM343</f>
        <v/>
      </c>
      <c r="AO343" s="55">
        <f>$AO342+$AM343</f>
        <v/>
      </c>
      <c r="AP343" s="55">
        <f>SUMIFS(tblMiningDaily[Dewatering_m3],tblMiningDaily[Date],$A343)</f>
        <v/>
      </c>
      <c r="AQ343" s="55">
        <f>IF($B343=$B342,$AQ342,0)+$AP343</f>
        <v/>
      </c>
      <c r="AR343" s="55">
        <f>$AR342+$AP343</f>
        <v/>
      </c>
      <c r="AS343" s="57">
        <f>SUMIFS(tblFleet[Calendar_h],tblFleet[Date],$A343,tblFleet[Equipment_Class],"Excavator")</f>
        <v/>
      </c>
      <c r="AT343" s="57">
        <f>IF($B343=$B342,$AT342,0)+$AS343</f>
        <v/>
      </c>
      <c r="AU343" s="57">
        <f>$AU342+$AS343</f>
        <v/>
      </c>
      <c r="AV343" s="57">
        <f>SUMIFS(tblFleet[Available_h],tblFleet[Date],$A343,tblFleet[Equipment_Class],"Excavator")</f>
        <v/>
      </c>
      <c r="AW343" s="57">
        <f>IF($B343=$B342,$AW342,0)+$AV343</f>
        <v/>
      </c>
      <c r="AX343" s="57">
        <f>$AX342+$AV343</f>
        <v/>
      </c>
      <c r="AY343" s="57">
        <f>SUMIFS(tblFleet[Operating_h],tblFleet[Date],$A343,tblFleet[Equipment_Class],"Excavator")</f>
        <v/>
      </c>
      <c r="AZ343" s="57">
        <f>IF($B343=$B342,$AZ342,0)+$AY343</f>
        <v/>
      </c>
      <c r="BA343" s="57">
        <f>$BA342+$AY343</f>
        <v/>
      </c>
      <c r="BB343" s="67">
        <f>IFERROR(IF(($AS343)&gt;0,($AV343)/($AS343),""),"")</f>
        <v/>
      </c>
      <c r="BC343" s="67">
        <f>IFERROR(IF(($AT343)&gt;0,($AW343)/($AT343),""),"")</f>
        <v/>
      </c>
      <c r="BD343" s="67">
        <f>IFERROR(IF(($AU343)&gt;0,($AX343)/($AU343),""),"")</f>
        <v/>
      </c>
      <c r="BE343" s="67">
        <f>IFERROR(IF(($AV343)&gt;0,($AY343)/($AV343),""),"")</f>
        <v/>
      </c>
      <c r="BF343" s="67">
        <f>IFERROR(IF(($AW343)&gt;0,($AZ343)/($AW343),""),"")</f>
        <v/>
      </c>
      <c r="BG343" s="67">
        <f>IFERROR(IF(($AX343)&gt;0,($BA343)/($AX343),""),"")</f>
        <v/>
      </c>
      <c r="BH343" s="57">
        <f>SUMIFS(tblFleet[Calendar_h],tblFleet[Date],$A343,tblFleet[Equipment_Class],"Haul Truck")</f>
        <v/>
      </c>
      <c r="BI343" s="57">
        <f>IF($B343=$B342,$BI342,0)+$BH343</f>
        <v/>
      </c>
      <c r="BJ343" s="57">
        <f>$BJ342+$BH343</f>
        <v/>
      </c>
      <c r="BK343" s="57">
        <f>SUMIFS(tblFleet[Available_h],tblFleet[Date],$A343,tblFleet[Equipment_Class],"Haul Truck")</f>
        <v/>
      </c>
      <c r="BL343" s="57">
        <f>IF($B343=$B342,$BL342,0)+$BK343</f>
        <v/>
      </c>
      <c r="BM343" s="57">
        <f>$BM342+$BK343</f>
        <v/>
      </c>
      <c r="BN343" s="57">
        <f>SUMIFS(tblFleet[Operating_h],tblFleet[Date],$A343,tblFleet[Equipment_Class],"Haul Truck")</f>
        <v/>
      </c>
      <c r="BO343" s="57">
        <f>IF($B343=$B342,$BO342,0)+$BN343</f>
        <v/>
      </c>
      <c r="BP343" s="57">
        <f>$BP342+$BN343</f>
        <v/>
      </c>
      <c r="BQ343" s="67">
        <f>IFERROR(IF(($BH343)&gt;0,($BK343)/($BH343),""),"")</f>
        <v/>
      </c>
      <c r="BR343" s="67">
        <f>IFERROR(IF(($BI343)&gt;0,($BL343)/($BI343),""),"")</f>
        <v/>
      </c>
      <c r="BS343" s="67">
        <f>IFERROR(IF(($BJ343)&gt;0,($BM343)/($BJ343),""),"")</f>
        <v/>
      </c>
      <c r="BT343" s="67">
        <f>IFERROR(IF(($BK343)&gt;0,($BN343)/($BK343),""),"")</f>
        <v/>
      </c>
      <c r="BU343" s="67">
        <f>IFERROR(IF(($BL343)&gt;0,($BO343)/($BL343),""),"")</f>
        <v/>
      </c>
      <c r="BV343" s="67">
        <f>IFERROR(IF(($BM343)&gt;0,($BP343)/($BM343),""),"")</f>
        <v/>
      </c>
      <c r="BW343" s="55">
        <f>SUMIFS(tblPlant[Crushed_t],tblPlant[Date],$A343)</f>
        <v/>
      </c>
      <c r="BX343" s="55">
        <f>IF($B343=$B342,$BX342,0)+$BW343</f>
        <v/>
      </c>
      <c r="BY343" s="55">
        <f>$BY342+$BW343</f>
        <v/>
      </c>
      <c r="BZ343" s="55">
        <f>SUMIFS(tblPlant[Milled_t],tblPlant[Date],$A343)</f>
        <v/>
      </c>
      <c r="CA343" s="55">
        <f>IF($B343=$B342,$CA342,0)+$BZ343</f>
        <v/>
      </c>
      <c r="CB343" s="55">
        <f>$CB342+$BZ343</f>
        <v/>
      </c>
      <c r="CC343" s="55">
        <f>SUMIFS(tblPlant[Feed_oz],tblPlant[Date],$A343)</f>
        <v/>
      </c>
      <c r="CD343" s="55">
        <f>IF($B343=$B342,$CD342,0)+$CC343</f>
        <v/>
      </c>
      <c r="CE343" s="55">
        <f>$CE342+$CC343</f>
        <v/>
      </c>
      <c r="CF343" s="55">
        <f>SUMIFS(tblPlant[Tails_oz],tblPlant[Date],$A343)</f>
        <v/>
      </c>
      <c r="CG343" s="55">
        <f>IF($B343=$B342,$CG342,0)+$CF343</f>
        <v/>
      </c>
      <c r="CH343" s="55">
        <f>$CH342+$CF343</f>
        <v/>
      </c>
      <c r="CI343" s="55">
        <f>SUMIFS(tblPlant[Recovered_oz],tblPlant[Date],$A343)</f>
        <v/>
      </c>
      <c r="CJ343" s="55">
        <f>IF($B343=$B342,$CJ342,0)+$CI343</f>
        <v/>
      </c>
      <c r="CK343" s="55">
        <f>$CK342+$CI343</f>
        <v/>
      </c>
      <c r="CL343" s="56">
        <f>IFERROR(IF(($BZ343)&gt;0,($CC343*cfg_TroyOz)/($BZ343),""),"")</f>
        <v/>
      </c>
      <c r="CM343" s="56">
        <f>IFERROR(IF(($CA343)&gt;0,($CD343*cfg_TroyOz)/($CA343),""),"")</f>
        <v/>
      </c>
      <c r="CN343" s="56">
        <f>IFERROR(IF(($CB343)&gt;0,($CE343*cfg_TroyOz)/($CB343),""),"")</f>
        <v/>
      </c>
      <c r="CO343" s="56">
        <f>IFERROR(IF(($BZ343)&gt;0,($CF343*cfg_TroyOz)/($BZ343),""),"")</f>
        <v/>
      </c>
      <c r="CP343" s="56">
        <f>IFERROR(IF(($CA343)&gt;0,($CG343*cfg_TroyOz)/($CA343),""),"")</f>
        <v/>
      </c>
      <c r="CQ343" s="56">
        <f>IFERROR(IF(($CB343)&gt;0,($CH343*cfg_TroyOz)/($CB343),""),"")</f>
        <v/>
      </c>
      <c r="CR343" s="67">
        <f>IFERROR(IF(($CC343)&gt;0,($CI343)/($CC343),""),"")</f>
        <v/>
      </c>
      <c r="CS343" s="67">
        <f>IFERROR(IF(($CD343)&gt;0,($CJ343)/($CD343),""),"")</f>
        <v/>
      </c>
      <c r="CT343" s="67">
        <f>IFERROR(IF(($CE343)&gt;0,($CK343)/($CE343),""),"")</f>
        <v/>
      </c>
      <c r="CU343" s="55">
        <f>SUMIFS(tblPlant[Gravity_Gold_oz],tblPlant[Date],$A343)</f>
        <v/>
      </c>
      <c r="CV343" s="55">
        <f>IF($B343=$B342,$CV342,0)+$CU343</f>
        <v/>
      </c>
      <c r="CW343" s="55">
        <f>$CW342+$CU343</f>
        <v/>
      </c>
      <c r="CX343" s="55">
        <f>SUMIFS(tblPlant[Gold_Poured_oz],tblPlant[Date],$A343)</f>
        <v/>
      </c>
      <c r="CY343" s="55">
        <f>IF($B343=$B342,$CY342,0)+$CX343</f>
        <v/>
      </c>
      <c r="CZ343" s="55">
        <f>$CZ342+$CX343</f>
        <v/>
      </c>
      <c r="DA343" s="57">
        <f>SUMIFS(tblPlant[Mill_Run_h],tblPlant[Date],$A343)</f>
        <v/>
      </c>
      <c r="DB343" s="57">
        <f>IF($B343=$B342,$DB342,0)+$DA343</f>
        <v/>
      </c>
      <c r="DC343" s="57">
        <f>$DC342+$DA343</f>
        <v/>
      </c>
      <c r="DD343" s="57">
        <f>SUMIFS(tblPlant[Mill_Planned_Maint_h],tblPlant[Date],$A343)</f>
        <v/>
      </c>
      <c r="DE343" s="57">
        <f>IF($B343=$B342,$DE342,0)+$DD343</f>
        <v/>
      </c>
      <c r="DF343" s="57">
        <f>$DF342+$DD343</f>
        <v/>
      </c>
      <c r="DG343" s="57">
        <f>SUMIFS(tblPlant[Mill_Unplanned_Down_h],tblPlant[Date],$A343)</f>
        <v/>
      </c>
      <c r="DH343" s="57">
        <f>IF($B343=$B342,$DH342,0)+$DG343</f>
        <v/>
      </c>
      <c r="DI343" s="57">
        <f>$DI342+$DG343</f>
        <v/>
      </c>
      <c r="DJ343" s="57">
        <f>COUNTIFS(tblPlant[Date],$A343,tblPlant[Mill_Run_h],"&lt;&gt;")*24</f>
        <v/>
      </c>
      <c r="DK343" s="57">
        <f>IF($B343=$B342,$DK342,0)+$DJ343</f>
        <v/>
      </c>
      <c r="DL343" s="57">
        <f>$DL342+$DJ343</f>
        <v/>
      </c>
      <c r="DM343" s="57">
        <f>SUMIFS(tblPlant[Crusher_Run_h],tblPlant[Date],$A343)</f>
        <v/>
      </c>
      <c r="DN343" s="57">
        <f>IF($B343=$B342,$DN342,0)+$DM343</f>
        <v/>
      </c>
      <c r="DO343" s="57">
        <f>$DO342+$DM343</f>
        <v/>
      </c>
      <c r="DP343" s="55">
        <f>IFERROR(IF(($DA343)&gt;0,($BZ343)/($DA343),""),"")</f>
        <v/>
      </c>
      <c r="DQ343" s="55">
        <f>IFERROR(IF(($DB343)&gt;0,($CA343)/($DB343),""),"")</f>
        <v/>
      </c>
      <c r="DR343" s="55">
        <f>IFERROR(IF(($DC343)&gt;0,($CB343)/($DC343),""),"")</f>
        <v/>
      </c>
      <c r="DS343" s="67">
        <f>IFERROR(IF(($DJ343)&gt;0,($DJ343-$DD343-$DG343)/($DJ343),""),"")</f>
        <v/>
      </c>
      <c r="DT343" s="67">
        <f>IFERROR(IF(($DK343)&gt;0,($DK343-$DE343-$DH343)/($DK343),""),"")</f>
        <v/>
      </c>
      <c r="DU343" s="67">
        <f>IFERROR(IF(($DL343)&gt;0,($DL343-$DF343-$DI343)/($DL343),""),"")</f>
        <v/>
      </c>
      <c r="DV343" s="67">
        <f>IFERROR(IF(($DJ343-$DD343-$DG343)&gt;0,($DA343)/($DJ343-$DD343-$DG343),""),"")</f>
        <v/>
      </c>
      <c r="DW343" s="67">
        <f>IFERROR(IF(($DK343-$DE343-$DH343)&gt;0,($DB343)/($DK343-$DE343-$DH343),""),"")</f>
        <v/>
      </c>
      <c r="DX343" s="67">
        <f>IFERROR(IF(($DL343-$DF343-$DI343)&gt;0,($DC343)/($DL343-$DF343-$DI343),""),"")</f>
        <v/>
      </c>
      <c r="DY343" s="55">
        <f>SUMIFS(tblPlant[Cyanide_kg],tblPlant[Date],$A343)</f>
        <v/>
      </c>
      <c r="DZ343" s="55">
        <f>IF($B343=$B342,$DZ342,0)+$DY343</f>
        <v/>
      </c>
      <c r="EA343" s="55">
        <f>$EA342+$DY343</f>
        <v/>
      </c>
      <c r="EB343" s="55">
        <f>SUMIFS(tblPlant[Lime_kg],tblPlant[Date],$A343)</f>
        <v/>
      </c>
      <c r="EC343" s="55">
        <f>IF($B343=$B342,$EC342,0)+$EB343</f>
        <v/>
      </c>
      <c r="ED343" s="55">
        <f>$ED342+$EB343</f>
        <v/>
      </c>
      <c r="EE343" s="55">
        <f>SUMIFS(tblPlant[Grinding_Media_kg],tblPlant[Date],$A343)</f>
        <v/>
      </c>
      <c r="EF343" s="55">
        <f>IF($B343=$B342,$EF342,0)+$EE343</f>
        <v/>
      </c>
      <c r="EG343" s="55">
        <f>$EG342+$EE343</f>
        <v/>
      </c>
      <c r="EH343" s="55">
        <f>SUMIFS(tblPlant[Power_kWh],tblPlant[Date],$A343)</f>
        <v/>
      </c>
      <c r="EI343" s="55">
        <f>IF($B343=$B342,$EI342,0)+$EH343</f>
        <v/>
      </c>
      <c r="EJ343" s="55">
        <f>$EJ342+$EH343</f>
        <v/>
      </c>
      <c r="EK343" s="55">
        <f>SUMIFS(tblPlant[Raw_Water_m3],tblPlant[Date],$A343)</f>
        <v/>
      </c>
      <c r="EL343" s="55">
        <f>IF($B343=$B342,$EL342,0)+$EK343</f>
        <v/>
      </c>
      <c r="EM343" s="55">
        <f>$EM342+$EK343</f>
        <v/>
      </c>
      <c r="EN343" s="56">
        <f>IFERROR(IF(($BZ343)&gt;0,($DY343)/($BZ343),""),"")</f>
        <v/>
      </c>
      <c r="EO343" s="56">
        <f>IFERROR(IF(($CA343)&gt;0,($DZ343)/($CA343),""),"")</f>
        <v/>
      </c>
      <c r="EP343" s="56">
        <f>IFERROR(IF(($CB343)&gt;0,($EA343)/($CB343),""),"")</f>
        <v/>
      </c>
      <c r="EQ343" s="56">
        <f>IFERROR(IF(($BZ343)&gt;0,($EB343)/($BZ343),""),"")</f>
        <v/>
      </c>
      <c r="ER343" s="56">
        <f>IFERROR(IF(($CA343)&gt;0,($EC343)/($CA343),""),"")</f>
        <v/>
      </c>
      <c r="ES343" s="56">
        <f>IFERROR(IF(($CB343)&gt;0,($ED343)/($CB343),""),"")</f>
        <v/>
      </c>
      <c r="ET343" s="56">
        <f>IFERROR(IF(($BZ343)&gt;0,($EE343)/($BZ343),""),"")</f>
        <v/>
      </c>
      <c r="EU343" s="56">
        <f>IFERROR(IF(($CA343)&gt;0,($EF343)/($CA343),""),"")</f>
        <v/>
      </c>
      <c r="EV343" s="56">
        <f>IFERROR(IF(($CB343)&gt;0,($EG343)/($CB343),""),"")</f>
        <v/>
      </c>
      <c r="EW343" s="76">
        <f>IFERROR(IF(($BZ343)&gt;0,($EH343)/($BZ343),""),"")</f>
        <v/>
      </c>
      <c r="EX343" s="76">
        <f>IFERROR(IF(($CA343)&gt;0,($EI343)/($CA343),""),"")</f>
        <v/>
      </c>
      <c r="EY343" s="76">
        <f>IFERROR(IF(($CB343)&gt;0,($EJ343)/($CB343),""),"")</f>
        <v/>
      </c>
      <c r="EZ343" s="56">
        <f>IFERROR(IF(($BZ343)&gt;0,($EK343)/($BZ343),""),"")</f>
        <v/>
      </c>
      <c r="FA343" s="56">
        <f>IFERROR(IF(($CA343)&gt;0,($EL343)/($CA343),""),"")</f>
        <v/>
      </c>
      <c r="FB343" s="56">
        <f>IFERROR(IF(($CB343)&gt;0,($EM343)/($CB343),""),"")</f>
        <v/>
      </c>
      <c r="FC343" s="55">
        <f>IF(SUMIFS(tblPlant[GIC_oz],tblPlant[Date],$A343)&gt;0,SUMIFS(tblPlant[GIC_oz],tblPlant[Date],$A343),"")</f>
        <v/>
      </c>
      <c r="FD343" s="55">
        <f>SUMIFS(tblGold[Gold_oz],tblGold[Date],$A343,tblGold[Type],"Shipment")</f>
        <v/>
      </c>
      <c r="FE343" s="55">
        <f>IF($B343=$B342,$FE342,0)+$FD343</f>
        <v/>
      </c>
      <c r="FF343" s="55">
        <f>$FF342+$FD343</f>
        <v/>
      </c>
      <c r="FG343" s="55">
        <f>SUMIFS(tblGold[Gold_oz],tblGold[Date],$A343,tblGold[Type],"Sale")</f>
        <v/>
      </c>
      <c r="FH343" s="55">
        <f>IF($B343=$B342,$FH342,0)+$FG343</f>
        <v/>
      </c>
      <c r="FI343" s="55">
        <f>$FI342+$FG343</f>
        <v/>
      </c>
      <c r="FJ343" s="55">
        <f>SUMIFS(tblGold[Dore_kg],tblGold[Date],$A343,tblGold[Type],"Shipment")</f>
        <v/>
      </c>
      <c r="FK343" s="55">
        <f>IF($B343=$B342,$FK342,0)+$FJ343</f>
        <v/>
      </c>
      <c r="FL343" s="55">
        <f>$FL342+$FJ343</f>
        <v/>
      </c>
      <c r="FM343" s="57">
        <f>SUMIFS(tblSafety[Hours_Total],tblSafety[Date],$A343)</f>
        <v/>
      </c>
      <c r="FN343" s="57">
        <f>IF($B343=$B342,$FN342,0)+$FM343</f>
        <v/>
      </c>
      <c r="FO343" s="57">
        <f>$FO342+$FM343</f>
        <v/>
      </c>
      <c r="FP343" s="62">
        <f>SUMIFS(tblSafety[Fatality],tblSafety[Date],$A343)</f>
        <v/>
      </c>
      <c r="FQ343" s="62">
        <f>IF($B343=$B342,$FQ342,0)+$FP343</f>
        <v/>
      </c>
      <c r="FR343" s="62">
        <f>$FR342+$FP343</f>
        <v/>
      </c>
      <c r="FS343" s="62">
        <f>SUMIFS(tblSafety[LTI],tblSafety[Date],$A343)</f>
        <v/>
      </c>
      <c r="FT343" s="62">
        <f>IF($B343=$B342,$FT342,0)+$FS343</f>
        <v/>
      </c>
      <c r="FU343" s="62">
        <f>$FU342+$FS343</f>
        <v/>
      </c>
      <c r="FV343" s="62">
        <f>SUMIFS(tblSafety[RWI],tblSafety[Date],$A343)</f>
        <v/>
      </c>
      <c r="FW343" s="62">
        <f>IF($B343=$B342,$FW342,0)+$FV343</f>
        <v/>
      </c>
      <c r="FX343" s="62">
        <f>$FX342+$FV343</f>
        <v/>
      </c>
      <c r="FY343" s="62">
        <f>SUMIFS(tblSafety[MTI],tblSafety[Date],$A343)</f>
        <v/>
      </c>
      <c r="FZ343" s="62">
        <f>IF($B343=$B342,$FZ342,0)+$FY343</f>
        <v/>
      </c>
      <c r="GA343" s="62">
        <f>$GA342+$FY343</f>
        <v/>
      </c>
      <c r="GB343" s="62">
        <f>SUMIFS(tblSafety[FAI],tblSafety[Date],$A343)</f>
        <v/>
      </c>
      <c r="GC343" s="62">
        <f>IF($B343=$B342,$GC342,0)+$GB343</f>
        <v/>
      </c>
      <c r="GD343" s="62">
        <f>$GD342+$GB343</f>
        <v/>
      </c>
      <c r="GE343" s="62">
        <f>SUMIFS(tblSafety[Recordables],tblSafety[Date],$A343)</f>
        <v/>
      </c>
      <c r="GF343" s="62">
        <f>IF($B343=$B342,$GF342,0)+$GE343</f>
        <v/>
      </c>
      <c r="GG343" s="62">
        <f>$GG342+$GE343</f>
        <v/>
      </c>
      <c r="GH343" s="62">
        <f>SUMIFS(tblSafety[Near_Miss],tblSafety[Date],$A343)</f>
        <v/>
      </c>
      <c r="GI343" s="62">
        <f>IF($B343=$B342,$GI342,0)+$GH343</f>
        <v/>
      </c>
      <c r="GJ343" s="62">
        <f>$GJ342+$GH343</f>
        <v/>
      </c>
      <c r="GK343" s="62">
        <f>SUMIFS(tblSafety[Hazard_Reports],tblSafety[Date],$A343)</f>
        <v/>
      </c>
      <c r="GL343" s="62">
        <f>IF($B343=$B342,$GL342,0)+$GK343</f>
        <v/>
      </c>
      <c r="GM343" s="62">
        <f>$GM342+$GK343</f>
        <v/>
      </c>
      <c r="GN343" s="62">
        <f>SUMIFS(tblSafety[HPI],tblSafety[Date],$A343)</f>
        <v/>
      </c>
      <c r="GO343" s="62">
        <f>IF($B343=$B342,$GO342,0)+$GN343</f>
        <v/>
      </c>
      <c r="GP343" s="62">
        <f>$GP342+$GN343</f>
        <v/>
      </c>
      <c r="GQ343" s="62">
        <f>SUMIFS(tblSafety[Env_Incidents],tblSafety[Date],$A343)</f>
        <v/>
      </c>
      <c r="GR343" s="62">
        <f>IF($B343=$B342,$GR342,0)+$GQ343</f>
        <v/>
      </c>
      <c r="GS343" s="62">
        <f>$GS342+$GQ343</f>
        <v/>
      </c>
      <c r="GT343" s="62">
        <f>SUMIFS(tblSafety[Community_Incidents],tblSafety[Date],$A343)</f>
        <v/>
      </c>
      <c r="GU343" s="62">
        <f>IF($B343=$B342,$GU342,0)+$GT343</f>
        <v/>
      </c>
      <c r="GV343" s="62">
        <f>$GV342+$GT343</f>
        <v/>
      </c>
      <c r="GW343" s="62">
        <f>SUMIFS(tblSafety[Vehicle_Incidents],tblSafety[Date],$A343)</f>
        <v/>
      </c>
      <c r="GX343" s="62">
        <f>IF($B343=$B342,$GX342,0)+$GW343</f>
        <v/>
      </c>
      <c r="GY343" s="62">
        <f>$GY342+$GW343</f>
        <v/>
      </c>
      <c r="GZ343" s="62">
        <f>SUMIFS(tblSafety[Toolbox_Talks],tblSafety[Date],$A343)</f>
        <v/>
      </c>
      <c r="HA343" s="62">
        <f>IF($B343=$B342,$HA342,0)+$GZ343</f>
        <v/>
      </c>
      <c r="HB343" s="62">
        <f>$HB342+$GZ343</f>
        <v/>
      </c>
      <c r="HC343" s="62">
        <f>SUMIFS(tblSafety[Inspections],tblSafety[Date],$A343)</f>
        <v/>
      </c>
      <c r="HD343" s="62">
        <f>IF($B343=$B342,$HD342,0)+$HC343</f>
        <v/>
      </c>
      <c r="HE343" s="62">
        <f>$HE342+$HC343</f>
        <v/>
      </c>
      <c r="HF343" s="56">
        <f>IFERROR((SUMIFS(tblSafety[Recordables],tblSafety[Date],"&gt;="&amp;EDATE($E343,-12),tblSafety[Date],"&lt;="&amp;$A343)+SUMIFS(tblSafetyHistory[Recordables],tblSafetyHistory[Month],"&gt;="&amp;EDATE($E343,-12),tblSafetyHistory[Month],"&lt;"&amp;cfg_YearStart))/(SUMIFS(tblSafety[Hours_Total],tblSafety[Date],"&gt;="&amp;EDATE($E343,-12),tblSafety[Date],"&lt;="&amp;$A343)+SUMIFS(tblSafetyHistory[Hours_Total],tblSafetyHistory[Month],"&gt;="&amp;EDATE($E343,-12),tblSafetyHistory[Month],"&lt;"&amp;cfg_YearStart))*1000000,"")</f>
        <v/>
      </c>
      <c r="HG343" s="56">
        <f>IFERROR((SUMIFS(tblSafety[LTI],tblSafety[Date],"&gt;="&amp;EDATE($E343,-12),tblSafety[Date],"&lt;="&amp;$A343)+SUMIFS(tblSafetyHistory[LTI],tblSafetyHistory[Month],"&gt;="&amp;EDATE($E343,-12),tblSafetyHistory[Month],"&lt;"&amp;cfg_YearStart))/(SUMIFS(tblSafety[Hours_Total],tblSafety[Date],"&gt;="&amp;EDATE($E343,-12),tblSafety[Date],"&lt;="&amp;$A343)+SUMIFS(tblSafetyHistory[Hours_Total],tblSafetyHistory[Month],"&gt;="&amp;EDATE($E343,-12),tblSafetyHistory[Month],"&lt;"&amp;cfg_YearStart))*1000000,"")</f>
        <v/>
      </c>
      <c r="HH343" s="62">
        <f>IF(MAX(N(cfg_PriorLTIDate),_xlfn.MAXIFS(tblSafety[Date],tblSafety[LTI],"&gt;0",tblSafety[Date],"&lt;="&amp;$A343))=0,"",$A343-MAX(N(cfg_PriorLTIDate),_xlfn.MAXIFS(tblSafety[Date],tblSafety[LTI],"&gt;0",tblSafety[Date],"&lt;="&amp;$A343)))</f>
        <v/>
      </c>
      <c r="HI343" s="55">
        <f>SUMIFS(tblBudget[Ore_Mined_t],tblBudget[Month],$E343)</f>
        <v/>
      </c>
      <c r="HJ343" s="55">
        <f>$HI343*$C343/$D343</f>
        <v/>
      </c>
      <c r="HK343" s="55">
        <f>SUMIFS(tblBudget[Ore_Mined_t],tblBudget[Month],"&lt;"&amp;$E343)+$HJ343</f>
        <v/>
      </c>
      <c r="HL343" s="55">
        <f>SUMIFS(tblBudget[Ore_oz],tblBudget[Month],$E343)</f>
        <v/>
      </c>
      <c r="HM343" s="55">
        <f>$HL343*$C343/$D343</f>
        <v/>
      </c>
      <c r="HN343" s="55">
        <f>SUMIFS(tblBudget[Ore_oz],tblBudget[Month],"&lt;"&amp;$E343)+$HM343</f>
        <v/>
      </c>
      <c r="HO343" s="56">
        <f>IFERROR(IF(($HI343)&gt;0,($HL343*cfg_TroyOz)/($HI343),""),"")</f>
        <v/>
      </c>
      <c r="HP343" s="56">
        <f>IFERROR(IF(($HJ343)&gt;0,($HM343*cfg_TroyOz)/($HJ343),""),"")</f>
        <v/>
      </c>
      <c r="HQ343" s="56">
        <f>IFERROR(IF(($HK343)&gt;0,($HN343*cfg_TroyOz)/($HK343),""),"")</f>
        <v/>
      </c>
      <c r="HR343" s="55">
        <f>SUMIFS(tblBudget[Waste_t],tblBudget[Month],$E343)</f>
        <v/>
      </c>
      <c r="HS343" s="55">
        <f>$HR343*$C343/$D343</f>
        <v/>
      </c>
      <c r="HT343" s="55">
        <f>SUMIFS(tblBudget[Waste_t],tblBudget[Month],"&lt;"&amp;$E343)+$HS343</f>
        <v/>
      </c>
      <c r="HU343" s="55">
        <f>SUMIFS(tblBudget[TMM_t],tblBudget[Month],$E343)</f>
        <v/>
      </c>
      <c r="HV343" s="55">
        <f>$HU343*$C343/$D343</f>
        <v/>
      </c>
      <c r="HW343" s="55">
        <f>SUMIFS(tblBudget[TMM_t],tblBudget[Month],"&lt;"&amp;$E343)+$HV343</f>
        <v/>
      </c>
      <c r="HX343" s="56">
        <f>IFERROR(IF(($HI343)&gt;0,($HR343)/($HI343),""),"")</f>
        <v/>
      </c>
      <c r="HY343" s="56">
        <f>IFERROR(IF(($HJ343)&gt;0,($HS343)/($HJ343),""),"")</f>
        <v/>
      </c>
      <c r="HZ343" s="56">
        <f>IFERROR(IF(($HK343)&gt;0,($HT343)/($HK343),""),"")</f>
        <v/>
      </c>
      <c r="IA343" s="55">
        <f>SUMIFS(tblBudget[Drill_m],tblBudget[Month],$E343)</f>
        <v/>
      </c>
      <c r="IB343" s="55">
        <f>$IA343*$C343/$D343</f>
        <v/>
      </c>
      <c r="IC343" s="55">
        <f>SUMIFS(tblBudget[Drill_m],tblBudget[Month],"&lt;"&amp;$E343)+$IB343</f>
        <v/>
      </c>
      <c r="ID343" s="55">
        <f>SUMIFS(tblBudget[Diesel_L],tblBudget[Month],$E343)</f>
        <v/>
      </c>
      <c r="IE343" s="55">
        <f>$ID343*$C343/$D343</f>
        <v/>
      </c>
      <c r="IF343" s="55">
        <f>SUMIFS(tblBudget[Diesel_L],tblBudget[Month],"&lt;"&amp;$E343)+$IE343</f>
        <v/>
      </c>
      <c r="IG343" s="55">
        <f>SUMIFS(tblBudget[Milled_t],tblBudget[Month],$E343)</f>
        <v/>
      </c>
      <c r="IH343" s="55">
        <f>$IG343*$C343/$D343</f>
        <v/>
      </c>
      <c r="II343" s="55">
        <f>SUMIFS(tblBudget[Milled_t],tblBudget[Month],"&lt;"&amp;$E343)+$IH343</f>
        <v/>
      </c>
      <c r="IJ343" s="55">
        <f>SUMIFS(tblBudget[Feed_oz],tblBudget[Month],$E343)</f>
        <v/>
      </c>
      <c r="IK343" s="55">
        <f>$IJ343*$C343/$D343</f>
        <v/>
      </c>
      <c r="IL343" s="55">
        <f>SUMIFS(tblBudget[Feed_oz],tblBudget[Month],"&lt;"&amp;$E343)+$IK343</f>
        <v/>
      </c>
      <c r="IM343" s="55">
        <f>SUMIFS(tblBudget[Recovered_oz],tblBudget[Month],$E343)</f>
        <v/>
      </c>
      <c r="IN343" s="55">
        <f>$IM343*$C343/$D343</f>
        <v/>
      </c>
      <c r="IO343" s="55">
        <f>SUMIFS(tblBudget[Recovered_oz],tblBudget[Month],"&lt;"&amp;$E343)+$IN343</f>
        <v/>
      </c>
      <c r="IP343" s="56">
        <f>IFERROR(IF(($IG343)&gt;0,($IJ343*cfg_TroyOz)/($IG343),""),"")</f>
        <v/>
      </c>
      <c r="IQ343" s="56">
        <f>IFERROR(IF(($IH343)&gt;0,($IK343*cfg_TroyOz)/($IH343),""),"")</f>
        <v/>
      </c>
      <c r="IR343" s="56">
        <f>IFERROR(IF(($II343)&gt;0,($IL343*cfg_TroyOz)/($II343),""),"")</f>
        <v/>
      </c>
      <c r="IS343" s="67">
        <f>IFERROR(IF(($IJ343)&gt;0,($IM343)/($IJ343),""),"")</f>
        <v/>
      </c>
      <c r="IT343" s="67">
        <f>IFERROR(IF(($IK343)&gt;0,($IN343)/($IK343),""),"")</f>
        <v/>
      </c>
      <c r="IU343" s="67">
        <f>IFERROR(IF(($IL343)&gt;0,($IO343)/($IL343),""),"")</f>
        <v/>
      </c>
      <c r="IV343" s="55">
        <f>SUMIFS(tblBudget[Gold_Poured_oz],tblBudget[Month],$E343)</f>
        <v/>
      </c>
      <c r="IW343" s="55">
        <f>$IV343*$C343/$D343</f>
        <v/>
      </c>
      <c r="IX343" s="55">
        <f>SUMIFS(tblBudget[Gold_Poured_oz],tblBudget[Month],"&lt;"&amp;$E343)+$IW343</f>
        <v/>
      </c>
      <c r="IY343" s="57">
        <f>SUMIFS(tblBudget[Hours_Worked],tblBudget[Month],$E343)</f>
        <v/>
      </c>
      <c r="IZ343" s="57">
        <f>$IY343*$C343/$D343</f>
        <v/>
      </c>
      <c r="JA343" s="57">
        <f>SUMIFS(tblBudget[Hours_Worked],tblBudget[Month],"&lt;"&amp;$E343)+$IZ343</f>
        <v/>
      </c>
    </row>
    <row r="344">
      <c r="A344" s="54" t="n">
        <v>46365</v>
      </c>
      <c r="B344">
        <f>MONTH($A344)</f>
        <v/>
      </c>
      <c r="C344">
        <f>DAY($A344)</f>
        <v/>
      </c>
      <c r="D344">
        <f>DAY(EOMONTH($A344,0))</f>
        <v/>
      </c>
      <c r="E344" s="54">
        <f>DATE(YEAR($A344),MONTH($A344),1)</f>
        <v/>
      </c>
      <c r="F344" s="55">
        <f>SUMIFS(tblMovement[Tonnes_t],tblMovement[Date],$A344,tblMovement[Is_Ore],1,tblMovement[Source_Type],"Pit")</f>
        <v/>
      </c>
      <c r="G344" s="55">
        <f>IF($B344=$B343,$G343,0)+$F344</f>
        <v/>
      </c>
      <c r="H344" s="55">
        <f>$H343+$F344</f>
        <v/>
      </c>
      <c r="I344" s="55">
        <f>SUMIFS(tblMovement[Ore_oz],tblMovement[Date],$A344,tblMovement[Source_Type],"Pit")</f>
        <v/>
      </c>
      <c r="J344" s="55">
        <f>IF($B344=$B343,$J343,0)+$I344</f>
        <v/>
      </c>
      <c r="K344" s="55">
        <f>$K343+$I344</f>
        <v/>
      </c>
      <c r="L344" s="56">
        <f>IFERROR(IF(($F344)&gt;0,($I344*cfg_TroyOz)/($F344),""),"")</f>
        <v/>
      </c>
      <c r="M344" s="56">
        <f>IFERROR(IF(($G344)&gt;0,($J344*cfg_TroyOz)/($G344),""),"")</f>
        <v/>
      </c>
      <c r="N344" s="56">
        <f>IFERROR(IF(($H344)&gt;0,($K344*cfg_TroyOz)/($H344),""),"")</f>
        <v/>
      </c>
      <c r="O344" s="55">
        <f>SUMIFS(tblMovement[Tonnes_t],tblMovement[Date],$A344,tblMovement[Is_Ore],0,tblMovement[Source_Type],"Pit")</f>
        <v/>
      </c>
      <c r="P344" s="55">
        <f>IF($B344=$B343,$P343,0)+$O344</f>
        <v/>
      </c>
      <c r="Q344" s="55">
        <f>$Q343+$O344</f>
        <v/>
      </c>
      <c r="R344" s="55">
        <f>$F344+$O344</f>
        <v/>
      </c>
      <c r="S344" s="55">
        <f>IF($B344=$B343,$S343,0)+$R344</f>
        <v/>
      </c>
      <c r="T344" s="55">
        <f>$T343+$R344</f>
        <v/>
      </c>
      <c r="U344" s="56">
        <f>IFERROR(IF(($F344)&gt;0,($O344)/($F344),""),"")</f>
        <v/>
      </c>
      <c r="V344" s="56">
        <f>IFERROR(IF(($G344)&gt;0,($P344)/($G344),""),"")</f>
        <v/>
      </c>
      <c r="W344" s="56">
        <f>IFERROR(IF(($H344)&gt;0,($Q344)/($H344),""),"")</f>
        <v/>
      </c>
      <c r="X344" s="55">
        <f>SUMIFS(tblMovement[Tonnes_t],tblMovement[Date],$A344,tblMovement[Source_Type],"Stockpile")</f>
        <v/>
      </c>
      <c r="Y344" s="55">
        <f>IF($B344=$B343,$Y343,0)+$X344</f>
        <v/>
      </c>
      <c r="Z344" s="55">
        <f>$Z343+$X344</f>
        <v/>
      </c>
      <c r="AA344" s="55">
        <f>SUMIFS(tblMiningDaily[Drill_m],tblMiningDaily[Date],$A344)</f>
        <v/>
      </c>
      <c r="AB344" s="55">
        <f>IF($B344=$B343,$AB343,0)+$AA344</f>
        <v/>
      </c>
      <c r="AC344" s="55">
        <f>$AC343+$AA344</f>
        <v/>
      </c>
      <c r="AD344" s="55">
        <f>SUMIFS(tblMiningDaily[Blast_t],tblMiningDaily[Date],$A344)</f>
        <v/>
      </c>
      <c r="AE344" s="55">
        <f>IF($B344=$B343,$AE343,0)+$AD344</f>
        <v/>
      </c>
      <c r="AF344" s="55">
        <f>$AF343+$AD344</f>
        <v/>
      </c>
      <c r="AG344" s="55">
        <f>SUMIFS(tblMiningDaily[Explosives_kg],tblMiningDaily[Date],$A344)</f>
        <v/>
      </c>
      <c r="AH344" s="55">
        <f>IF($B344=$B343,$AH343,0)+$AG344</f>
        <v/>
      </c>
      <c r="AI344" s="55">
        <f>$AI343+$AG344</f>
        <v/>
      </c>
      <c r="AJ344" s="56">
        <f>IFERROR(IF(($AD344)&gt;0,($AG344)/($AD344),""),"")</f>
        <v/>
      </c>
      <c r="AK344" s="56">
        <f>IFERROR(IF(($AE344)&gt;0,($AH344)/($AE344),""),"")</f>
        <v/>
      </c>
      <c r="AL344" s="56">
        <f>IFERROR(IF(($AF344)&gt;0,($AI344)/($AF344),""),"")</f>
        <v/>
      </c>
      <c r="AM344" s="55">
        <f>SUMIFS(tblMiningDaily[Diesel_L],tblMiningDaily[Date],$A344)</f>
        <v/>
      </c>
      <c r="AN344" s="55">
        <f>IF($B344=$B343,$AN343,0)+$AM344</f>
        <v/>
      </c>
      <c r="AO344" s="55">
        <f>$AO343+$AM344</f>
        <v/>
      </c>
      <c r="AP344" s="55">
        <f>SUMIFS(tblMiningDaily[Dewatering_m3],tblMiningDaily[Date],$A344)</f>
        <v/>
      </c>
      <c r="AQ344" s="55">
        <f>IF($B344=$B343,$AQ343,0)+$AP344</f>
        <v/>
      </c>
      <c r="AR344" s="55">
        <f>$AR343+$AP344</f>
        <v/>
      </c>
      <c r="AS344" s="57">
        <f>SUMIFS(tblFleet[Calendar_h],tblFleet[Date],$A344,tblFleet[Equipment_Class],"Excavator")</f>
        <v/>
      </c>
      <c r="AT344" s="57">
        <f>IF($B344=$B343,$AT343,0)+$AS344</f>
        <v/>
      </c>
      <c r="AU344" s="57">
        <f>$AU343+$AS344</f>
        <v/>
      </c>
      <c r="AV344" s="57">
        <f>SUMIFS(tblFleet[Available_h],tblFleet[Date],$A344,tblFleet[Equipment_Class],"Excavator")</f>
        <v/>
      </c>
      <c r="AW344" s="57">
        <f>IF($B344=$B343,$AW343,0)+$AV344</f>
        <v/>
      </c>
      <c r="AX344" s="57">
        <f>$AX343+$AV344</f>
        <v/>
      </c>
      <c r="AY344" s="57">
        <f>SUMIFS(tblFleet[Operating_h],tblFleet[Date],$A344,tblFleet[Equipment_Class],"Excavator")</f>
        <v/>
      </c>
      <c r="AZ344" s="57">
        <f>IF($B344=$B343,$AZ343,0)+$AY344</f>
        <v/>
      </c>
      <c r="BA344" s="57">
        <f>$BA343+$AY344</f>
        <v/>
      </c>
      <c r="BB344" s="67">
        <f>IFERROR(IF(($AS344)&gt;0,($AV344)/($AS344),""),"")</f>
        <v/>
      </c>
      <c r="BC344" s="67">
        <f>IFERROR(IF(($AT344)&gt;0,($AW344)/($AT344),""),"")</f>
        <v/>
      </c>
      <c r="BD344" s="67">
        <f>IFERROR(IF(($AU344)&gt;0,($AX344)/($AU344),""),"")</f>
        <v/>
      </c>
      <c r="BE344" s="67">
        <f>IFERROR(IF(($AV344)&gt;0,($AY344)/($AV344),""),"")</f>
        <v/>
      </c>
      <c r="BF344" s="67">
        <f>IFERROR(IF(($AW344)&gt;0,($AZ344)/($AW344),""),"")</f>
        <v/>
      </c>
      <c r="BG344" s="67">
        <f>IFERROR(IF(($AX344)&gt;0,($BA344)/($AX344),""),"")</f>
        <v/>
      </c>
      <c r="BH344" s="57">
        <f>SUMIFS(tblFleet[Calendar_h],tblFleet[Date],$A344,tblFleet[Equipment_Class],"Haul Truck")</f>
        <v/>
      </c>
      <c r="BI344" s="57">
        <f>IF($B344=$B343,$BI343,0)+$BH344</f>
        <v/>
      </c>
      <c r="BJ344" s="57">
        <f>$BJ343+$BH344</f>
        <v/>
      </c>
      <c r="BK344" s="57">
        <f>SUMIFS(tblFleet[Available_h],tblFleet[Date],$A344,tblFleet[Equipment_Class],"Haul Truck")</f>
        <v/>
      </c>
      <c r="BL344" s="57">
        <f>IF($B344=$B343,$BL343,0)+$BK344</f>
        <v/>
      </c>
      <c r="BM344" s="57">
        <f>$BM343+$BK344</f>
        <v/>
      </c>
      <c r="BN344" s="57">
        <f>SUMIFS(tblFleet[Operating_h],tblFleet[Date],$A344,tblFleet[Equipment_Class],"Haul Truck")</f>
        <v/>
      </c>
      <c r="BO344" s="57">
        <f>IF($B344=$B343,$BO343,0)+$BN344</f>
        <v/>
      </c>
      <c r="BP344" s="57">
        <f>$BP343+$BN344</f>
        <v/>
      </c>
      <c r="BQ344" s="67">
        <f>IFERROR(IF(($BH344)&gt;0,($BK344)/($BH344),""),"")</f>
        <v/>
      </c>
      <c r="BR344" s="67">
        <f>IFERROR(IF(($BI344)&gt;0,($BL344)/($BI344),""),"")</f>
        <v/>
      </c>
      <c r="BS344" s="67">
        <f>IFERROR(IF(($BJ344)&gt;0,($BM344)/($BJ344),""),"")</f>
        <v/>
      </c>
      <c r="BT344" s="67">
        <f>IFERROR(IF(($BK344)&gt;0,($BN344)/($BK344),""),"")</f>
        <v/>
      </c>
      <c r="BU344" s="67">
        <f>IFERROR(IF(($BL344)&gt;0,($BO344)/($BL344),""),"")</f>
        <v/>
      </c>
      <c r="BV344" s="67">
        <f>IFERROR(IF(($BM344)&gt;0,($BP344)/($BM344),""),"")</f>
        <v/>
      </c>
      <c r="BW344" s="55">
        <f>SUMIFS(tblPlant[Crushed_t],tblPlant[Date],$A344)</f>
        <v/>
      </c>
      <c r="BX344" s="55">
        <f>IF($B344=$B343,$BX343,0)+$BW344</f>
        <v/>
      </c>
      <c r="BY344" s="55">
        <f>$BY343+$BW344</f>
        <v/>
      </c>
      <c r="BZ344" s="55">
        <f>SUMIFS(tblPlant[Milled_t],tblPlant[Date],$A344)</f>
        <v/>
      </c>
      <c r="CA344" s="55">
        <f>IF($B344=$B343,$CA343,0)+$BZ344</f>
        <v/>
      </c>
      <c r="CB344" s="55">
        <f>$CB343+$BZ344</f>
        <v/>
      </c>
      <c r="CC344" s="55">
        <f>SUMIFS(tblPlant[Feed_oz],tblPlant[Date],$A344)</f>
        <v/>
      </c>
      <c r="CD344" s="55">
        <f>IF($B344=$B343,$CD343,0)+$CC344</f>
        <v/>
      </c>
      <c r="CE344" s="55">
        <f>$CE343+$CC344</f>
        <v/>
      </c>
      <c r="CF344" s="55">
        <f>SUMIFS(tblPlant[Tails_oz],tblPlant[Date],$A344)</f>
        <v/>
      </c>
      <c r="CG344" s="55">
        <f>IF($B344=$B343,$CG343,0)+$CF344</f>
        <v/>
      </c>
      <c r="CH344" s="55">
        <f>$CH343+$CF344</f>
        <v/>
      </c>
      <c r="CI344" s="55">
        <f>SUMIFS(tblPlant[Recovered_oz],tblPlant[Date],$A344)</f>
        <v/>
      </c>
      <c r="CJ344" s="55">
        <f>IF($B344=$B343,$CJ343,0)+$CI344</f>
        <v/>
      </c>
      <c r="CK344" s="55">
        <f>$CK343+$CI344</f>
        <v/>
      </c>
      <c r="CL344" s="56">
        <f>IFERROR(IF(($BZ344)&gt;0,($CC344*cfg_TroyOz)/($BZ344),""),"")</f>
        <v/>
      </c>
      <c r="CM344" s="56">
        <f>IFERROR(IF(($CA344)&gt;0,($CD344*cfg_TroyOz)/($CA344),""),"")</f>
        <v/>
      </c>
      <c r="CN344" s="56">
        <f>IFERROR(IF(($CB344)&gt;0,($CE344*cfg_TroyOz)/($CB344),""),"")</f>
        <v/>
      </c>
      <c r="CO344" s="56">
        <f>IFERROR(IF(($BZ344)&gt;0,($CF344*cfg_TroyOz)/($BZ344),""),"")</f>
        <v/>
      </c>
      <c r="CP344" s="56">
        <f>IFERROR(IF(($CA344)&gt;0,($CG344*cfg_TroyOz)/($CA344),""),"")</f>
        <v/>
      </c>
      <c r="CQ344" s="56">
        <f>IFERROR(IF(($CB344)&gt;0,($CH344*cfg_TroyOz)/($CB344),""),"")</f>
        <v/>
      </c>
      <c r="CR344" s="67">
        <f>IFERROR(IF(($CC344)&gt;0,($CI344)/($CC344),""),"")</f>
        <v/>
      </c>
      <c r="CS344" s="67">
        <f>IFERROR(IF(($CD344)&gt;0,($CJ344)/($CD344),""),"")</f>
        <v/>
      </c>
      <c r="CT344" s="67">
        <f>IFERROR(IF(($CE344)&gt;0,($CK344)/($CE344),""),"")</f>
        <v/>
      </c>
      <c r="CU344" s="55">
        <f>SUMIFS(tblPlant[Gravity_Gold_oz],tblPlant[Date],$A344)</f>
        <v/>
      </c>
      <c r="CV344" s="55">
        <f>IF($B344=$B343,$CV343,0)+$CU344</f>
        <v/>
      </c>
      <c r="CW344" s="55">
        <f>$CW343+$CU344</f>
        <v/>
      </c>
      <c r="CX344" s="55">
        <f>SUMIFS(tblPlant[Gold_Poured_oz],tblPlant[Date],$A344)</f>
        <v/>
      </c>
      <c r="CY344" s="55">
        <f>IF($B344=$B343,$CY343,0)+$CX344</f>
        <v/>
      </c>
      <c r="CZ344" s="55">
        <f>$CZ343+$CX344</f>
        <v/>
      </c>
      <c r="DA344" s="57">
        <f>SUMIFS(tblPlant[Mill_Run_h],tblPlant[Date],$A344)</f>
        <v/>
      </c>
      <c r="DB344" s="57">
        <f>IF($B344=$B343,$DB343,0)+$DA344</f>
        <v/>
      </c>
      <c r="DC344" s="57">
        <f>$DC343+$DA344</f>
        <v/>
      </c>
      <c r="DD344" s="57">
        <f>SUMIFS(tblPlant[Mill_Planned_Maint_h],tblPlant[Date],$A344)</f>
        <v/>
      </c>
      <c r="DE344" s="57">
        <f>IF($B344=$B343,$DE343,0)+$DD344</f>
        <v/>
      </c>
      <c r="DF344" s="57">
        <f>$DF343+$DD344</f>
        <v/>
      </c>
      <c r="DG344" s="57">
        <f>SUMIFS(tblPlant[Mill_Unplanned_Down_h],tblPlant[Date],$A344)</f>
        <v/>
      </c>
      <c r="DH344" s="57">
        <f>IF($B344=$B343,$DH343,0)+$DG344</f>
        <v/>
      </c>
      <c r="DI344" s="57">
        <f>$DI343+$DG344</f>
        <v/>
      </c>
      <c r="DJ344" s="57">
        <f>COUNTIFS(tblPlant[Date],$A344,tblPlant[Mill_Run_h],"&lt;&gt;")*24</f>
        <v/>
      </c>
      <c r="DK344" s="57">
        <f>IF($B344=$B343,$DK343,0)+$DJ344</f>
        <v/>
      </c>
      <c r="DL344" s="57">
        <f>$DL343+$DJ344</f>
        <v/>
      </c>
      <c r="DM344" s="57">
        <f>SUMIFS(tblPlant[Crusher_Run_h],tblPlant[Date],$A344)</f>
        <v/>
      </c>
      <c r="DN344" s="57">
        <f>IF($B344=$B343,$DN343,0)+$DM344</f>
        <v/>
      </c>
      <c r="DO344" s="57">
        <f>$DO343+$DM344</f>
        <v/>
      </c>
      <c r="DP344" s="55">
        <f>IFERROR(IF(($DA344)&gt;0,($BZ344)/($DA344),""),"")</f>
        <v/>
      </c>
      <c r="DQ344" s="55">
        <f>IFERROR(IF(($DB344)&gt;0,($CA344)/($DB344),""),"")</f>
        <v/>
      </c>
      <c r="DR344" s="55">
        <f>IFERROR(IF(($DC344)&gt;0,($CB344)/($DC344),""),"")</f>
        <v/>
      </c>
      <c r="DS344" s="67">
        <f>IFERROR(IF(($DJ344)&gt;0,($DJ344-$DD344-$DG344)/($DJ344),""),"")</f>
        <v/>
      </c>
      <c r="DT344" s="67">
        <f>IFERROR(IF(($DK344)&gt;0,($DK344-$DE344-$DH344)/($DK344),""),"")</f>
        <v/>
      </c>
      <c r="DU344" s="67">
        <f>IFERROR(IF(($DL344)&gt;0,($DL344-$DF344-$DI344)/($DL344),""),"")</f>
        <v/>
      </c>
      <c r="DV344" s="67">
        <f>IFERROR(IF(($DJ344-$DD344-$DG344)&gt;0,($DA344)/($DJ344-$DD344-$DG344),""),"")</f>
        <v/>
      </c>
      <c r="DW344" s="67">
        <f>IFERROR(IF(($DK344-$DE344-$DH344)&gt;0,($DB344)/($DK344-$DE344-$DH344),""),"")</f>
        <v/>
      </c>
      <c r="DX344" s="67">
        <f>IFERROR(IF(($DL344-$DF344-$DI344)&gt;0,($DC344)/($DL344-$DF344-$DI344),""),"")</f>
        <v/>
      </c>
      <c r="DY344" s="55">
        <f>SUMIFS(tblPlant[Cyanide_kg],tblPlant[Date],$A344)</f>
        <v/>
      </c>
      <c r="DZ344" s="55">
        <f>IF($B344=$B343,$DZ343,0)+$DY344</f>
        <v/>
      </c>
      <c r="EA344" s="55">
        <f>$EA343+$DY344</f>
        <v/>
      </c>
      <c r="EB344" s="55">
        <f>SUMIFS(tblPlant[Lime_kg],tblPlant[Date],$A344)</f>
        <v/>
      </c>
      <c r="EC344" s="55">
        <f>IF($B344=$B343,$EC343,0)+$EB344</f>
        <v/>
      </c>
      <c r="ED344" s="55">
        <f>$ED343+$EB344</f>
        <v/>
      </c>
      <c r="EE344" s="55">
        <f>SUMIFS(tblPlant[Grinding_Media_kg],tblPlant[Date],$A344)</f>
        <v/>
      </c>
      <c r="EF344" s="55">
        <f>IF($B344=$B343,$EF343,0)+$EE344</f>
        <v/>
      </c>
      <c r="EG344" s="55">
        <f>$EG343+$EE344</f>
        <v/>
      </c>
      <c r="EH344" s="55">
        <f>SUMIFS(tblPlant[Power_kWh],tblPlant[Date],$A344)</f>
        <v/>
      </c>
      <c r="EI344" s="55">
        <f>IF($B344=$B343,$EI343,0)+$EH344</f>
        <v/>
      </c>
      <c r="EJ344" s="55">
        <f>$EJ343+$EH344</f>
        <v/>
      </c>
      <c r="EK344" s="55">
        <f>SUMIFS(tblPlant[Raw_Water_m3],tblPlant[Date],$A344)</f>
        <v/>
      </c>
      <c r="EL344" s="55">
        <f>IF($B344=$B343,$EL343,0)+$EK344</f>
        <v/>
      </c>
      <c r="EM344" s="55">
        <f>$EM343+$EK344</f>
        <v/>
      </c>
      <c r="EN344" s="56">
        <f>IFERROR(IF(($BZ344)&gt;0,($DY344)/($BZ344),""),"")</f>
        <v/>
      </c>
      <c r="EO344" s="56">
        <f>IFERROR(IF(($CA344)&gt;0,($DZ344)/($CA344),""),"")</f>
        <v/>
      </c>
      <c r="EP344" s="56">
        <f>IFERROR(IF(($CB344)&gt;0,($EA344)/($CB344),""),"")</f>
        <v/>
      </c>
      <c r="EQ344" s="56">
        <f>IFERROR(IF(($BZ344)&gt;0,($EB344)/($BZ344),""),"")</f>
        <v/>
      </c>
      <c r="ER344" s="56">
        <f>IFERROR(IF(($CA344)&gt;0,($EC344)/($CA344),""),"")</f>
        <v/>
      </c>
      <c r="ES344" s="56">
        <f>IFERROR(IF(($CB344)&gt;0,($ED344)/($CB344),""),"")</f>
        <v/>
      </c>
      <c r="ET344" s="56">
        <f>IFERROR(IF(($BZ344)&gt;0,($EE344)/($BZ344),""),"")</f>
        <v/>
      </c>
      <c r="EU344" s="56">
        <f>IFERROR(IF(($CA344)&gt;0,($EF344)/($CA344),""),"")</f>
        <v/>
      </c>
      <c r="EV344" s="56">
        <f>IFERROR(IF(($CB344)&gt;0,($EG344)/($CB344),""),"")</f>
        <v/>
      </c>
      <c r="EW344" s="76">
        <f>IFERROR(IF(($BZ344)&gt;0,($EH344)/($BZ344),""),"")</f>
        <v/>
      </c>
      <c r="EX344" s="76">
        <f>IFERROR(IF(($CA344)&gt;0,($EI344)/($CA344),""),"")</f>
        <v/>
      </c>
      <c r="EY344" s="76">
        <f>IFERROR(IF(($CB344)&gt;0,($EJ344)/($CB344),""),"")</f>
        <v/>
      </c>
      <c r="EZ344" s="56">
        <f>IFERROR(IF(($BZ344)&gt;0,($EK344)/($BZ344),""),"")</f>
        <v/>
      </c>
      <c r="FA344" s="56">
        <f>IFERROR(IF(($CA344)&gt;0,($EL344)/($CA344),""),"")</f>
        <v/>
      </c>
      <c r="FB344" s="56">
        <f>IFERROR(IF(($CB344)&gt;0,($EM344)/($CB344),""),"")</f>
        <v/>
      </c>
      <c r="FC344" s="55">
        <f>IF(SUMIFS(tblPlant[GIC_oz],tblPlant[Date],$A344)&gt;0,SUMIFS(tblPlant[GIC_oz],tblPlant[Date],$A344),"")</f>
        <v/>
      </c>
      <c r="FD344" s="55">
        <f>SUMIFS(tblGold[Gold_oz],tblGold[Date],$A344,tblGold[Type],"Shipment")</f>
        <v/>
      </c>
      <c r="FE344" s="55">
        <f>IF($B344=$B343,$FE343,0)+$FD344</f>
        <v/>
      </c>
      <c r="FF344" s="55">
        <f>$FF343+$FD344</f>
        <v/>
      </c>
      <c r="FG344" s="55">
        <f>SUMIFS(tblGold[Gold_oz],tblGold[Date],$A344,tblGold[Type],"Sale")</f>
        <v/>
      </c>
      <c r="FH344" s="55">
        <f>IF($B344=$B343,$FH343,0)+$FG344</f>
        <v/>
      </c>
      <c r="FI344" s="55">
        <f>$FI343+$FG344</f>
        <v/>
      </c>
      <c r="FJ344" s="55">
        <f>SUMIFS(tblGold[Dore_kg],tblGold[Date],$A344,tblGold[Type],"Shipment")</f>
        <v/>
      </c>
      <c r="FK344" s="55">
        <f>IF($B344=$B343,$FK343,0)+$FJ344</f>
        <v/>
      </c>
      <c r="FL344" s="55">
        <f>$FL343+$FJ344</f>
        <v/>
      </c>
      <c r="FM344" s="57">
        <f>SUMIFS(tblSafety[Hours_Total],tblSafety[Date],$A344)</f>
        <v/>
      </c>
      <c r="FN344" s="57">
        <f>IF($B344=$B343,$FN343,0)+$FM344</f>
        <v/>
      </c>
      <c r="FO344" s="57">
        <f>$FO343+$FM344</f>
        <v/>
      </c>
      <c r="FP344" s="62">
        <f>SUMIFS(tblSafety[Fatality],tblSafety[Date],$A344)</f>
        <v/>
      </c>
      <c r="FQ344" s="62">
        <f>IF($B344=$B343,$FQ343,0)+$FP344</f>
        <v/>
      </c>
      <c r="FR344" s="62">
        <f>$FR343+$FP344</f>
        <v/>
      </c>
      <c r="FS344" s="62">
        <f>SUMIFS(tblSafety[LTI],tblSafety[Date],$A344)</f>
        <v/>
      </c>
      <c r="FT344" s="62">
        <f>IF($B344=$B343,$FT343,0)+$FS344</f>
        <v/>
      </c>
      <c r="FU344" s="62">
        <f>$FU343+$FS344</f>
        <v/>
      </c>
      <c r="FV344" s="62">
        <f>SUMIFS(tblSafety[RWI],tblSafety[Date],$A344)</f>
        <v/>
      </c>
      <c r="FW344" s="62">
        <f>IF($B344=$B343,$FW343,0)+$FV344</f>
        <v/>
      </c>
      <c r="FX344" s="62">
        <f>$FX343+$FV344</f>
        <v/>
      </c>
      <c r="FY344" s="62">
        <f>SUMIFS(tblSafety[MTI],tblSafety[Date],$A344)</f>
        <v/>
      </c>
      <c r="FZ344" s="62">
        <f>IF($B344=$B343,$FZ343,0)+$FY344</f>
        <v/>
      </c>
      <c r="GA344" s="62">
        <f>$GA343+$FY344</f>
        <v/>
      </c>
      <c r="GB344" s="62">
        <f>SUMIFS(tblSafety[FAI],tblSafety[Date],$A344)</f>
        <v/>
      </c>
      <c r="GC344" s="62">
        <f>IF($B344=$B343,$GC343,0)+$GB344</f>
        <v/>
      </c>
      <c r="GD344" s="62">
        <f>$GD343+$GB344</f>
        <v/>
      </c>
      <c r="GE344" s="62">
        <f>SUMIFS(tblSafety[Recordables],tblSafety[Date],$A344)</f>
        <v/>
      </c>
      <c r="GF344" s="62">
        <f>IF($B344=$B343,$GF343,0)+$GE344</f>
        <v/>
      </c>
      <c r="GG344" s="62">
        <f>$GG343+$GE344</f>
        <v/>
      </c>
      <c r="GH344" s="62">
        <f>SUMIFS(tblSafety[Near_Miss],tblSafety[Date],$A344)</f>
        <v/>
      </c>
      <c r="GI344" s="62">
        <f>IF($B344=$B343,$GI343,0)+$GH344</f>
        <v/>
      </c>
      <c r="GJ344" s="62">
        <f>$GJ343+$GH344</f>
        <v/>
      </c>
      <c r="GK344" s="62">
        <f>SUMIFS(tblSafety[Hazard_Reports],tblSafety[Date],$A344)</f>
        <v/>
      </c>
      <c r="GL344" s="62">
        <f>IF($B344=$B343,$GL343,0)+$GK344</f>
        <v/>
      </c>
      <c r="GM344" s="62">
        <f>$GM343+$GK344</f>
        <v/>
      </c>
      <c r="GN344" s="62">
        <f>SUMIFS(tblSafety[HPI],tblSafety[Date],$A344)</f>
        <v/>
      </c>
      <c r="GO344" s="62">
        <f>IF($B344=$B343,$GO343,0)+$GN344</f>
        <v/>
      </c>
      <c r="GP344" s="62">
        <f>$GP343+$GN344</f>
        <v/>
      </c>
      <c r="GQ344" s="62">
        <f>SUMIFS(tblSafety[Env_Incidents],tblSafety[Date],$A344)</f>
        <v/>
      </c>
      <c r="GR344" s="62">
        <f>IF($B344=$B343,$GR343,0)+$GQ344</f>
        <v/>
      </c>
      <c r="GS344" s="62">
        <f>$GS343+$GQ344</f>
        <v/>
      </c>
      <c r="GT344" s="62">
        <f>SUMIFS(tblSafety[Community_Incidents],tblSafety[Date],$A344)</f>
        <v/>
      </c>
      <c r="GU344" s="62">
        <f>IF($B344=$B343,$GU343,0)+$GT344</f>
        <v/>
      </c>
      <c r="GV344" s="62">
        <f>$GV343+$GT344</f>
        <v/>
      </c>
      <c r="GW344" s="62">
        <f>SUMIFS(tblSafety[Vehicle_Incidents],tblSafety[Date],$A344)</f>
        <v/>
      </c>
      <c r="GX344" s="62">
        <f>IF($B344=$B343,$GX343,0)+$GW344</f>
        <v/>
      </c>
      <c r="GY344" s="62">
        <f>$GY343+$GW344</f>
        <v/>
      </c>
      <c r="GZ344" s="62">
        <f>SUMIFS(tblSafety[Toolbox_Talks],tblSafety[Date],$A344)</f>
        <v/>
      </c>
      <c r="HA344" s="62">
        <f>IF($B344=$B343,$HA343,0)+$GZ344</f>
        <v/>
      </c>
      <c r="HB344" s="62">
        <f>$HB343+$GZ344</f>
        <v/>
      </c>
      <c r="HC344" s="62">
        <f>SUMIFS(tblSafety[Inspections],tblSafety[Date],$A344)</f>
        <v/>
      </c>
      <c r="HD344" s="62">
        <f>IF($B344=$B343,$HD343,0)+$HC344</f>
        <v/>
      </c>
      <c r="HE344" s="62">
        <f>$HE343+$HC344</f>
        <v/>
      </c>
      <c r="HF344" s="56">
        <f>IFERROR((SUMIFS(tblSafety[Recordables],tblSafety[Date],"&gt;="&amp;EDATE($E344,-12),tblSafety[Date],"&lt;="&amp;$A344)+SUMIFS(tblSafetyHistory[Recordables],tblSafetyHistory[Month],"&gt;="&amp;EDATE($E344,-12),tblSafetyHistory[Month],"&lt;"&amp;cfg_YearStart))/(SUMIFS(tblSafety[Hours_Total],tblSafety[Date],"&gt;="&amp;EDATE($E344,-12),tblSafety[Date],"&lt;="&amp;$A344)+SUMIFS(tblSafetyHistory[Hours_Total],tblSafetyHistory[Month],"&gt;="&amp;EDATE($E344,-12),tblSafetyHistory[Month],"&lt;"&amp;cfg_YearStart))*1000000,"")</f>
        <v/>
      </c>
      <c r="HG344" s="56">
        <f>IFERROR((SUMIFS(tblSafety[LTI],tblSafety[Date],"&gt;="&amp;EDATE($E344,-12),tblSafety[Date],"&lt;="&amp;$A344)+SUMIFS(tblSafetyHistory[LTI],tblSafetyHistory[Month],"&gt;="&amp;EDATE($E344,-12),tblSafetyHistory[Month],"&lt;"&amp;cfg_YearStart))/(SUMIFS(tblSafety[Hours_Total],tblSafety[Date],"&gt;="&amp;EDATE($E344,-12),tblSafety[Date],"&lt;="&amp;$A344)+SUMIFS(tblSafetyHistory[Hours_Total],tblSafetyHistory[Month],"&gt;="&amp;EDATE($E344,-12),tblSafetyHistory[Month],"&lt;"&amp;cfg_YearStart))*1000000,"")</f>
        <v/>
      </c>
      <c r="HH344" s="62">
        <f>IF(MAX(N(cfg_PriorLTIDate),_xlfn.MAXIFS(tblSafety[Date],tblSafety[LTI],"&gt;0",tblSafety[Date],"&lt;="&amp;$A344))=0,"",$A344-MAX(N(cfg_PriorLTIDate),_xlfn.MAXIFS(tblSafety[Date],tblSafety[LTI],"&gt;0",tblSafety[Date],"&lt;="&amp;$A344)))</f>
        <v/>
      </c>
      <c r="HI344" s="55">
        <f>SUMIFS(tblBudget[Ore_Mined_t],tblBudget[Month],$E344)</f>
        <v/>
      </c>
      <c r="HJ344" s="55">
        <f>$HI344*$C344/$D344</f>
        <v/>
      </c>
      <c r="HK344" s="55">
        <f>SUMIFS(tblBudget[Ore_Mined_t],tblBudget[Month],"&lt;"&amp;$E344)+$HJ344</f>
        <v/>
      </c>
      <c r="HL344" s="55">
        <f>SUMIFS(tblBudget[Ore_oz],tblBudget[Month],$E344)</f>
        <v/>
      </c>
      <c r="HM344" s="55">
        <f>$HL344*$C344/$D344</f>
        <v/>
      </c>
      <c r="HN344" s="55">
        <f>SUMIFS(tblBudget[Ore_oz],tblBudget[Month],"&lt;"&amp;$E344)+$HM344</f>
        <v/>
      </c>
      <c r="HO344" s="56">
        <f>IFERROR(IF(($HI344)&gt;0,($HL344*cfg_TroyOz)/($HI344),""),"")</f>
        <v/>
      </c>
      <c r="HP344" s="56">
        <f>IFERROR(IF(($HJ344)&gt;0,($HM344*cfg_TroyOz)/($HJ344),""),"")</f>
        <v/>
      </c>
      <c r="HQ344" s="56">
        <f>IFERROR(IF(($HK344)&gt;0,($HN344*cfg_TroyOz)/($HK344),""),"")</f>
        <v/>
      </c>
      <c r="HR344" s="55">
        <f>SUMIFS(tblBudget[Waste_t],tblBudget[Month],$E344)</f>
        <v/>
      </c>
      <c r="HS344" s="55">
        <f>$HR344*$C344/$D344</f>
        <v/>
      </c>
      <c r="HT344" s="55">
        <f>SUMIFS(tblBudget[Waste_t],tblBudget[Month],"&lt;"&amp;$E344)+$HS344</f>
        <v/>
      </c>
      <c r="HU344" s="55">
        <f>SUMIFS(tblBudget[TMM_t],tblBudget[Month],$E344)</f>
        <v/>
      </c>
      <c r="HV344" s="55">
        <f>$HU344*$C344/$D344</f>
        <v/>
      </c>
      <c r="HW344" s="55">
        <f>SUMIFS(tblBudget[TMM_t],tblBudget[Month],"&lt;"&amp;$E344)+$HV344</f>
        <v/>
      </c>
      <c r="HX344" s="56">
        <f>IFERROR(IF(($HI344)&gt;0,($HR344)/($HI344),""),"")</f>
        <v/>
      </c>
      <c r="HY344" s="56">
        <f>IFERROR(IF(($HJ344)&gt;0,($HS344)/($HJ344),""),"")</f>
        <v/>
      </c>
      <c r="HZ344" s="56">
        <f>IFERROR(IF(($HK344)&gt;0,($HT344)/($HK344),""),"")</f>
        <v/>
      </c>
      <c r="IA344" s="55">
        <f>SUMIFS(tblBudget[Drill_m],tblBudget[Month],$E344)</f>
        <v/>
      </c>
      <c r="IB344" s="55">
        <f>$IA344*$C344/$D344</f>
        <v/>
      </c>
      <c r="IC344" s="55">
        <f>SUMIFS(tblBudget[Drill_m],tblBudget[Month],"&lt;"&amp;$E344)+$IB344</f>
        <v/>
      </c>
      <c r="ID344" s="55">
        <f>SUMIFS(tblBudget[Diesel_L],tblBudget[Month],$E344)</f>
        <v/>
      </c>
      <c r="IE344" s="55">
        <f>$ID344*$C344/$D344</f>
        <v/>
      </c>
      <c r="IF344" s="55">
        <f>SUMIFS(tblBudget[Diesel_L],tblBudget[Month],"&lt;"&amp;$E344)+$IE344</f>
        <v/>
      </c>
      <c r="IG344" s="55">
        <f>SUMIFS(tblBudget[Milled_t],tblBudget[Month],$E344)</f>
        <v/>
      </c>
      <c r="IH344" s="55">
        <f>$IG344*$C344/$D344</f>
        <v/>
      </c>
      <c r="II344" s="55">
        <f>SUMIFS(tblBudget[Milled_t],tblBudget[Month],"&lt;"&amp;$E344)+$IH344</f>
        <v/>
      </c>
      <c r="IJ344" s="55">
        <f>SUMIFS(tblBudget[Feed_oz],tblBudget[Month],$E344)</f>
        <v/>
      </c>
      <c r="IK344" s="55">
        <f>$IJ344*$C344/$D344</f>
        <v/>
      </c>
      <c r="IL344" s="55">
        <f>SUMIFS(tblBudget[Feed_oz],tblBudget[Month],"&lt;"&amp;$E344)+$IK344</f>
        <v/>
      </c>
      <c r="IM344" s="55">
        <f>SUMIFS(tblBudget[Recovered_oz],tblBudget[Month],$E344)</f>
        <v/>
      </c>
      <c r="IN344" s="55">
        <f>$IM344*$C344/$D344</f>
        <v/>
      </c>
      <c r="IO344" s="55">
        <f>SUMIFS(tblBudget[Recovered_oz],tblBudget[Month],"&lt;"&amp;$E344)+$IN344</f>
        <v/>
      </c>
      <c r="IP344" s="56">
        <f>IFERROR(IF(($IG344)&gt;0,($IJ344*cfg_TroyOz)/($IG344),""),"")</f>
        <v/>
      </c>
      <c r="IQ344" s="56">
        <f>IFERROR(IF(($IH344)&gt;0,($IK344*cfg_TroyOz)/($IH344),""),"")</f>
        <v/>
      </c>
      <c r="IR344" s="56">
        <f>IFERROR(IF(($II344)&gt;0,($IL344*cfg_TroyOz)/($II344),""),"")</f>
        <v/>
      </c>
      <c r="IS344" s="67">
        <f>IFERROR(IF(($IJ344)&gt;0,($IM344)/($IJ344),""),"")</f>
        <v/>
      </c>
      <c r="IT344" s="67">
        <f>IFERROR(IF(($IK344)&gt;0,($IN344)/($IK344),""),"")</f>
        <v/>
      </c>
      <c r="IU344" s="67">
        <f>IFERROR(IF(($IL344)&gt;0,($IO344)/($IL344),""),"")</f>
        <v/>
      </c>
      <c r="IV344" s="55">
        <f>SUMIFS(tblBudget[Gold_Poured_oz],tblBudget[Month],$E344)</f>
        <v/>
      </c>
      <c r="IW344" s="55">
        <f>$IV344*$C344/$D344</f>
        <v/>
      </c>
      <c r="IX344" s="55">
        <f>SUMIFS(tblBudget[Gold_Poured_oz],tblBudget[Month],"&lt;"&amp;$E344)+$IW344</f>
        <v/>
      </c>
      <c r="IY344" s="57">
        <f>SUMIFS(tblBudget[Hours_Worked],tblBudget[Month],$E344)</f>
        <v/>
      </c>
      <c r="IZ344" s="57">
        <f>$IY344*$C344/$D344</f>
        <v/>
      </c>
      <c r="JA344" s="57">
        <f>SUMIFS(tblBudget[Hours_Worked],tblBudget[Month],"&lt;"&amp;$E344)+$IZ344</f>
        <v/>
      </c>
    </row>
    <row r="345">
      <c r="A345" s="54" t="n">
        <v>46366</v>
      </c>
      <c r="B345">
        <f>MONTH($A345)</f>
        <v/>
      </c>
      <c r="C345">
        <f>DAY($A345)</f>
        <v/>
      </c>
      <c r="D345">
        <f>DAY(EOMONTH($A345,0))</f>
        <v/>
      </c>
      <c r="E345" s="54">
        <f>DATE(YEAR($A345),MONTH($A345),1)</f>
        <v/>
      </c>
      <c r="F345" s="55">
        <f>SUMIFS(tblMovement[Tonnes_t],tblMovement[Date],$A345,tblMovement[Is_Ore],1,tblMovement[Source_Type],"Pit")</f>
        <v/>
      </c>
      <c r="G345" s="55">
        <f>IF($B345=$B344,$G344,0)+$F345</f>
        <v/>
      </c>
      <c r="H345" s="55">
        <f>$H344+$F345</f>
        <v/>
      </c>
      <c r="I345" s="55">
        <f>SUMIFS(tblMovement[Ore_oz],tblMovement[Date],$A345,tblMovement[Source_Type],"Pit")</f>
        <v/>
      </c>
      <c r="J345" s="55">
        <f>IF($B345=$B344,$J344,0)+$I345</f>
        <v/>
      </c>
      <c r="K345" s="55">
        <f>$K344+$I345</f>
        <v/>
      </c>
      <c r="L345" s="56">
        <f>IFERROR(IF(($F345)&gt;0,($I345*cfg_TroyOz)/($F345),""),"")</f>
        <v/>
      </c>
      <c r="M345" s="56">
        <f>IFERROR(IF(($G345)&gt;0,($J345*cfg_TroyOz)/($G345),""),"")</f>
        <v/>
      </c>
      <c r="N345" s="56">
        <f>IFERROR(IF(($H345)&gt;0,($K345*cfg_TroyOz)/($H345),""),"")</f>
        <v/>
      </c>
      <c r="O345" s="55">
        <f>SUMIFS(tblMovement[Tonnes_t],tblMovement[Date],$A345,tblMovement[Is_Ore],0,tblMovement[Source_Type],"Pit")</f>
        <v/>
      </c>
      <c r="P345" s="55">
        <f>IF($B345=$B344,$P344,0)+$O345</f>
        <v/>
      </c>
      <c r="Q345" s="55">
        <f>$Q344+$O345</f>
        <v/>
      </c>
      <c r="R345" s="55">
        <f>$F345+$O345</f>
        <v/>
      </c>
      <c r="S345" s="55">
        <f>IF($B345=$B344,$S344,0)+$R345</f>
        <v/>
      </c>
      <c r="T345" s="55">
        <f>$T344+$R345</f>
        <v/>
      </c>
      <c r="U345" s="56">
        <f>IFERROR(IF(($F345)&gt;0,($O345)/($F345),""),"")</f>
        <v/>
      </c>
      <c r="V345" s="56">
        <f>IFERROR(IF(($G345)&gt;0,($P345)/($G345),""),"")</f>
        <v/>
      </c>
      <c r="W345" s="56">
        <f>IFERROR(IF(($H345)&gt;0,($Q345)/($H345),""),"")</f>
        <v/>
      </c>
      <c r="X345" s="55">
        <f>SUMIFS(tblMovement[Tonnes_t],tblMovement[Date],$A345,tblMovement[Source_Type],"Stockpile")</f>
        <v/>
      </c>
      <c r="Y345" s="55">
        <f>IF($B345=$B344,$Y344,0)+$X345</f>
        <v/>
      </c>
      <c r="Z345" s="55">
        <f>$Z344+$X345</f>
        <v/>
      </c>
      <c r="AA345" s="55">
        <f>SUMIFS(tblMiningDaily[Drill_m],tblMiningDaily[Date],$A345)</f>
        <v/>
      </c>
      <c r="AB345" s="55">
        <f>IF($B345=$B344,$AB344,0)+$AA345</f>
        <v/>
      </c>
      <c r="AC345" s="55">
        <f>$AC344+$AA345</f>
        <v/>
      </c>
      <c r="AD345" s="55">
        <f>SUMIFS(tblMiningDaily[Blast_t],tblMiningDaily[Date],$A345)</f>
        <v/>
      </c>
      <c r="AE345" s="55">
        <f>IF($B345=$B344,$AE344,0)+$AD345</f>
        <v/>
      </c>
      <c r="AF345" s="55">
        <f>$AF344+$AD345</f>
        <v/>
      </c>
      <c r="AG345" s="55">
        <f>SUMIFS(tblMiningDaily[Explosives_kg],tblMiningDaily[Date],$A345)</f>
        <v/>
      </c>
      <c r="AH345" s="55">
        <f>IF($B345=$B344,$AH344,0)+$AG345</f>
        <v/>
      </c>
      <c r="AI345" s="55">
        <f>$AI344+$AG345</f>
        <v/>
      </c>
      <c r="AJ345" s="56">
        <f>IFERROR(IF(($AD345)&gt;0,($AG345)/($AD345),""),"")</f>
        <v/>
      </c>
      <c r="AK345" s="56">
        <f>IFERROR(IF(($AE345)&gt;0,($AH345)/($AE345),""),"")</f>
        <v/>
      </c>
      <c r="AL345" s="56">
        <f>IFERROR(IF(($AF345)&gt;0,($AI345)/($AF345),""),"")</f>
        <v/>
      </c>
      <c r="AM345" s="55">
        <f>SUMIFS(tblMiningDaily[Diesel_L],tblMiningDaily[Date],$A345)</f>
        <v/>
      </c>
      <c r="AN345" s="55">
        <f>IF($B345=$B344,$AN344,0)+$AM345</f>
        <v/>
      </c>
      <c r="AO345" s="55">
        <f>$AO344+$AM345</f>
        <v/>
      </c>
      <c r="AP345" s="55">
        <f>SUMIFS(tblMiningDaily[Dewatering_m3],tblMiningDaily[Date],$A345)</f>
        <v/>
      </c>
      <c r="AQ345" s="55">
        <f>IF($B345=$B344,$AQ344,0)+$AP345</f>
        <v/>
      </c>
      <c r="AR345" s="55">
        <f>$AR344+$AP345</f>
        <v/>
      </c>
      <c r="AS345" s="57">
        <f>SUMIFS(tblFleet[Calendar_h],tblFleet[Date],$A345,tblFleet[Equipment_Class],"Excavator")</f>
        <v/>
      </c>
      <c r="AT345" s="57">
        <f>IF($B345=$B344,$AT344,0)+$AS345</f>
        <v/>
      </c>
      <c r="AU345" s="57">
        <f>$AU344+$AS345</f>
        <v/>
      </c>
      <c r="AV345" s="57">
        <f>SUMIFS(tblFleet[Available_h],tblFleet[Date],$A345,tblFleet[Equipment_Class],"Excavator")</f>
        <v/>
      </c>
      <c r="AW345" s="57">
        <f>IF($B345=$B344,$AW344,0)+$AV345</f>
        <v/>
      </c>
      <c r="AX345" s="57">
        <f>$AX344+$AV345</f>
        <v/>
      </c>
      <c r="AY345" s="57">
        <f>SUMIFS(tblFleet[Operating_h],tblFleet[Date],$A345,tblFleet[Equipment_Class],"Excavator")</f>
        <v/>
      </c>
      <c r="AZ345" s="57">
        <f>IF($B345=$B344,$AZ344,0)+$AY345</f>
        <v/>
      </c>
      <c r="BA345" s="57">
        <f>$BA344+$AY345</f>
        <v/>
      </c>
      <c r="BB345" s="67">
        <f>IFERROR(IF(($AS345)&gt;0,($AV345)/($AS345),""),"")</f>
        <v/>
      </c>
      <c r="BC345" s="67">
        <f>IFERROR(IF(($AT345)&gt;0,($AW345)/($AT345),""),"")</f>
        <v/>
      </c>
      <c r="BD345" s="67">
        <f>IFERROR(IF(($AU345)&gt;0,($AX345)/($AU345),""),"")</f>
        <v/>
      </c>
      <c r="BE345" s="67">
        <f>IFERROR(IF(($AV345)&gt;0,($AY345)/($AV345),""),"")</f>
        <v/>
      </c>
      <c r="BF345" s="67">
        <f>IFERROR(IF(($AW345)&gt;0,($AZ345)/($AW345),""),"")</f>
        <v/>
      </c>
      <c r="BG345" s="67">
        <f>IFERROR(IF(($AX345)&gt;0,($BA345)/($AX345),""),"")</f>
        <v/>
      </c>
      <c r="BH345" s="57">
        <f>SUMIFS(tblFleet[Calendar_h],tblFleet[Date],$A345,tblFleet[Equipment_Class],"Haul Truck")</f>
        <v/>
      </c>
      <c r="BI345" s="57">
        <f>IF($B345=$B344,$BI344,0)+$BH345</f>
        <v/>
      </c>
      <c r="BJ345" s="57">
        <f>$BJ344+$BH345</f>
        <v/>
      </c>
      <c r="BK345" s="57">
        <f>SUMIFS(tblFleet[Available_h],tblFleet[Date],$A345,tblFleet[Equipment_Class],"Haul Truck")</f>
        <v/>
      </c>
      <c r="BL345" s="57">
        <f>IF($B345=$B344,$BL344,0)+$BK345</f>
        <v/>
      </c>
      <c r="BM345" s="57">
        <f>$BM344+$BK345</f>
        <v/>
      </c>
      <c r="BN345" s="57">
        <f>SUMIFS(tblFleet[Operating_h],tblFleet[Date],$A345,tblFleet[Equipment_Class],"Haul Truck")</f>
        <v/>
      </c>
      <c r="BO345" s="57">
        <f>IF($B345=$B344,$BO344,0)+$BN345</f>
        <v/>
      </c>
      <c r="BP345" s="57">
        <f>$BP344+$BN345</f>
        <v/>
      </c>
      <c r="BQ345" s="67">
        <f>IFERROR(IF(($BH345)&gt;0,($BK345)/($BH345),""),"")</f>
        <v/>
      </c>
      <c r="BR345" s="67">
        <f>IFERROR(IF(($BI345)&gt;0,($BL345)/($BI345),""),"")</f>
        <v/>
      </c>
      <c r="BS345" s="67">
        <f>IFERROR(IF(($BJ345)&gt;0,($BM345)/($BJ345),""),"")</f>
        <v/>
      </c>
      <c r="BT345" s="67">
        <f>IFERROR(IF(($BK345)&gt;0,($BN345)/($BK345),""),"")</f>
        <v/>
      </c>
      <c r="BU345" s="67">
        <f>IFERROR(IF(($BL345)&gt;0,($BO345)/($BL345),""),"")</f>
        <v/>
      </c>
      <c r="BV345" s="67">
        <f>IFERROR(IF(($BM345)&gt;0,($BP345)/($BM345),""),"")</f>
        <v/>
      </c>
      <c r="BW345" s="55">
        <f>SUMIFS(tblPlant[Crushed_t],tblPlant[Date],$A345)</f>
        <v/>
      </c>
      <c r="BX345" s="55">
        <f>IF($B345=$B344,$BX344,0)+$BW345</f>
        <v/>
      </c>
      <c r="BY345" s="55">
        <f>$BY344+$BW345</f>
        <v/>
      </c>
      <c r="BZ345" s="55">
        <f>SUMIFS(tblPlant[Milled_t],tblPlant[Date],$A345)</f>
        <v/>
      </c>
      <c r="CA345" s="55">
        <f>IF($B345=$B344,$CA344,0)+$BZ345</f>
        <v/>
      </c>
      <c r="CB345" s="55">
        <f>$CB344+$BZ345</f>
        <v/>
      </c>
      <c r="CC345" s="55">
        <f>SUMIFS(tblPlant[Feed_oz],tblPlant[Date],$A345)</f>
        <v/>
      </c>
      <c r="CD345" s="55">
        <f>IF($B345=$B344,$CD344,0)+$CC345</f>
        <v/>
      </c>
      <c r="CE345" s="55">
        <f>$CE344+$CC345</f>
        <v/>
      </c>
      <c r="CF345" s="55">
        <f>SUMIFS(tblPlant[Tails_oz],tblPlant[Date],$A345)</f>
        <v/>
      </c>
      <c r="CG345" s="55">
        <f>IF($B345=$B344,$CG344,0)+$CF345</f>
        <v/>
      </c>
      <c r="CH345" s="55">
        <f>$CH344+$CF345</f>
        <v/>
      </c>
      <c r="CI345" s="55">
        <f>SUMIFS(tblPlant[Recovered_oz],tblPlant[Date],$A345)</f>
        <v/>
      </c>
      <c r="CJ345" s="55">
        <f>IF($B345=$B344,$CJ344,0)+$CI345</f>
        <v/>
      </c>
      <c r="CK345" s="55">
        <f>$CK344+$CI345</f>
        <v/>
      </c>
      <c r="CL345" s="56">
        <f>IFERROR(IF(($BZ345)&gt;0,($CC345*cfg_TroyOz)/($BZ345),""),"")</f>
        <v/>
      </c>
      <c r="CM345" s="56">
        <f>IFERROR(IF(($CA345)&gt;0,($CD345*cfg_TroyOz)/($CA345),""),"")</f>
        <v/>
      </c>
      <c r="CN345" s="56">
        <f>IFERROR(IF(($CB345)&gt;0,($CE345*cfg_TroyOz)/($CB345),""),"")</f>
        <v/>
      </c>
      <c r="CO345" s="56">
        <f>IFERROR(IF(($BZ345)&gt;0,($CF345*cfg_TroyOz)/($BZ345),""),"")</f>
        <v/>
      </c>
      <c r="CP345" s="56">
        <f>IFERROR(IF(($CA345)&gt;0,($CG345*cfg_TroyOz)/($CA345),""),"")</f>
        <v/>
      </c>
      <c r="CQ345" s="56">
        <f>IFERROR(IF(($CB345)&gt;0,($CH345*cfg_TroyOz)/($CB345),""),"")</f>
        <v/>
      </c>
      <c r="CR345" s="67">
        <f>IFERROR(IF(($CC345)&gt;0,($CI345)/($CC345),""),"")</f>
        <v/>
      </c>
      <c r="CS345" s="67">
        <f>IFERROR(IF(($CD345)&gt;0,($CJ345)/($CD345),""),"")</f>
        <v/>
      </c>
      <c r="CT345" s="67">
        <f>IFERROR(IF(($CE345)&gt;0,($CK345)/($CE345),""),"")</f>
        <v/>
      </c>
      <c r="CU345" s="55">
        <f>SUMIFS(tblPlant[Gravity_Gold_oz],tblPlant[Date],$A345)</f>
        <v/>
      </c>
      <c r="CV345" s="55">
        <f>IF($B345=$B344,$CV344,0)+$CU345</f>
        <v/>
      </c>
      <c r="CW345" s="55">
        <f>$CW344+$CU345</f>
        <v/>
      </c>
      <c r="CX345" s="55">
        <f>SUMIFS(tblPlant[Gold_Poured_oz],tblPlant[Date],$A345)</f>
        <v/>
      </c>
      <c r="CY345" s="55">
        <f>IF($B345=$B344,$CY344,0)+$CX345</f>
        <v/>
      </c>
      <c r="CZ345" s="55">
        <f>$CZ344+$CX345</f>
        <v/>
      </c>
      <c r="DA345" s="57">
        <f>SUMIFS(tblPlant[Mill_Run_h],tblPlant[Date],$A345)</f>
        <v/>
      </c>
      <c r="DB345" s="57">
        <f>IF($B345=$B344,$DB344,0)+$DA345</f>
        <v/>
      </c>
      <c r="DC345" s="57">
        <f>$DC344+$DA345</f>
        <v/>
      </c>
      <c r="DD345" s="57">
        <f>SUMIFS(tblPlant[Mill_Planned_Maint_h],tblPlant[Date],$A345)</f>
        <v/>
      </c>
      <c r="DE345" s="57">
        <f>IF($B345=$B344,$DE344,0)+$DD345</f>
        <v/>
      </c>
      <c r="DF345" s="57">
        <f>$DF344+$DD345</f>
        <v/>
      </c>
      <c r="DG345" s="57">
        <f>SUMIFS(tblPlant[Mill_Unplanned_Down_h],tblPlant[Date],$A345)</f>
        <v/>
      </c>
      <c r="DH345" s="57">
        <f>IF($B345=$B344,$DH344,0)+$DG345</f>
        <v/>
      </c>
      <c r="DI345" s="57">
        <f>$DI344+$DG345</f>
        <v/>
      </c>
      <c r="DJ345" s="57">
        <f>COUNTIFS(tblPlant[Date],$A345,tblPlant[Mill_Run_h],"&lt;&gt;")*24</f>
        <v/>
      </c>
      <c r="DK345" s="57">
        <f>IF($B345=$B344,$DK344,0)+$DJ345</f>
        <v/>
      </c>
      <c r="DL345" s="57">
        <f>$DL344+$DJ345</f>
        <v/>
      </c>
      <c r="DM345" s="57">
        <f>SUMIFS(tblPlant[Crusher_Run_h],tblPlant[Date],$A345)</f>
        <v/>
      </c>
      <c r="DN345" s="57">
        <f>IF($B345=$B344,$DN344,0)+$DM345</f>
        <v/>
      </c>
      <c r="DO345" s="57">
        <f>$DO344+$DM345</f>
        <v/>
      </c>
      <c r="DP345" s="55">
        <f>IFERROR(IF(($DA345)&gt;0,($BZ345)/($DA345),""),"")</f>
        <v/>
      </c>
      <c r="DQ345" s="55">
        <f>IFERROR(IF(($DB345)&gt;0,($CA345)/($DB345),""),"")</f>
        <v/>
      </c>
      <c r="DR345" s="55">
        <f>IFERROR(IF(($DC345)&gt;0,($CB345)/($DC345),""),"")</f>
        <v/>
      </c>
      <c r="DS345" s="67">
        <f>IFERROR(IF(($DJ345)&gt;0,($DJ345-$DD345-$DG345)/($DJ345),""),"")</f>
        <v/>
      </c>
      <c r="DT345" s="67">
        <f>IFERROR(IF(($DK345)&gt;0,($DK345-$DE345-$DH345)/($DK345),""),"")</f>
        <v/>
      </c>
      <c r="DU345" s="67">
        <f>IFERROR(IF(($DL345)&gt;0,($DL345-$DF345-$DI345)/($DL345),""),"")</f>
        <v/>
      </c>
      <c r="DV345" s="67">
        <f>IFERROR(IF(($DJ345-$DD345-$DG345)&gt;0,($DA345)/($DJ345-$DD345-$DG345),""),"")</f>
        <v/>
      </c>
      <c r="DW345" s="67">
        <f>IFERROR(IF(($DK345-$DE345-$DH345)&gt;0,($DB345)/($DK345-$DE345-$DH345),""),"")</f>
        <v/>
      </c>
      <c r="DX345" s="67">
        <f>IFERROR(IF(($DL345-$DF345-$DI345)&gt;0,($DC345)/($DL345-$DF345-$DI345),""),"")</f>
        <v/>
      </c>
      <c r="DY345" s="55">
        <f>SUMIFS(tblPlant[Cyanide_kg],tblPlant[Date],$A345)</f>
        <v/>
      </c>
      <c r="DZ345" s="55">
        <f>IF($B345=$B344,$DZ344,0)+$DY345</f>
        <v/>
      </c>
      <c r="EA345" s="55">
        <f>$EA344+$DY345</f>
        <v/>
      </c>
      <c r="EB345" s="55">
        <f>SUMIFS(tblPlant[Lime_kg],tblPlant[Date],$A345)</f>
        <v/>
      </c>
      <c r="EC345" s="55">
        <f>IF($B345=$B344,$EC344,0)+$EB345</f>
        <v/>
      </c>
      <c r="ED345" s="55">
        <f>$ED344+$EB345</f>
        <v/>
      </c>
      <c r="EE345" s="55">
        <f>SUMIFS(tblPlant[Grinding_Media_kg],tblPlant[Date],$A345)</f>
        <v/>
      </c>
      <c r="EF345" s="55">
        <f>IF($B345=$B344,$EF344,0)+$EE345</f>
        <v/>
      </c>
      <c r="EG345" s="55">
        <f>$EG344+$EE345</f>
        <v/>
      </c>
      <c r="EH345" s="55">
        <f>SUMIFS(tblPlant[Power_kWh],tblPlant[Date],$A345)</f>
        <v/>
      </c>
      <c r="EI345" s="55">
        <f>IF($B345=$B344,$EI344,0)+$EH345</f>
        <v/>
      </c>
      <c r="EJ345" s="55">
        <f>$EJ344+$EH345</f>
        <v/>
      </c>
      <c r="EK345" s="55">
        <f>SUMIFS(tblPlant[Raw_Water_m3],tblPlant[Date],$A345)</f>
        <v/>
      </c>
      <c r="EL345" s="55">
        <f>IF($B345=$B344,$EL344,0)+$EK345</f>
        <v/>
      </c>
      <c r="EM345" s="55">
        <f>$EM344+$EK345</f>
        <v/>
      </c>
      <c r="EN345" s="56">
        <f>IFERROR(IF(($BZ345)&gt;0,($DY345)/($BZ345),""),"")</f>
        <v/>
      </c>
      <c r="EO345" s="56">
        <f>IFERROR(IF(($CA345)&gt;0,($DZ345)/($CA345),""),"")</f>
        <v/>
      </c>
      <c r="EP345" s="56">
        <f>IFERROR(IF(($CB345)&gt;0,($EA345)/($CB345),""),"")</f>
        <v/>
      </c>
      <c r="EQ345" s="56">
        <f>IFERROR(IF(($BZ345)&gt;0,($EB345)/($BZ345),""),"")</f>
        <v/>
      </c>
      <c r="ER345" s="56">
        <f>IFERROR(IF(($CA345)&gt;0,($EC345)/($CA345),""),"")</f>
        <v/>
      </c>
      <c r="ES345" s="56">
        <f>IFERROR(IF(($CB345)&gt;0,($ED345)/($CB345),""),"")</f>
        <v/>
      </c>
      <c r="ET345" s="56">
        <f>IFERROR(IF(($BZ345)&gt;0,($EE345)/($BZ345),""),"")</f>
        <v/>
      </c>
      <c r="EU345" s="56">
        <f>IFERROR(IF(($CA345)&gt;0,($EF345)/($CA345),""),"")</f>
        <v/>
      </c>
      <c r="EV345" s="56">
        <f>IFERROR(IF(($CB345)&gt;0,($EG345)/($CB345),""),"")</f>
        <v/>
      </c>
      <c r="EW345" s="76">
        <f>IFERROR(IF(($BZ345)&gt;0,($EH345)/($BZ345),""),"")</f>
        <v/>
      </c>
      <c r="EX345" s="76">
        <f>IFERROR(IF(($CA345)&gt;0,($EI345)/($CA345),""),"")</f>
        <v/>
      </c>
      <c r="EY345" s="76">
        <f>IFERROR(IF(($CB345)&gt;0,($EJ345)/($CB345),""),"")</f>
        <v/>
      </c>
      <c r="EZ345" s="56">
        <f>IFERROR(IF(($BZ345)&gt;0,($EK345)/($BZ345),""),"")</f>
        <v/>
      </c>
      <c r="FA345" s="56">
        <f>IFERROR(IF(($CA345)&gt;0,($EL345)/($CA345),""),"")</f>
        <v/>
      </c>
      <c r="FB345" s="56">
        <f>IFERROR(IF(($CB345)&gt;0,($EM345)/($CB345),""),"")</f>
        <v/>
      </c>
      <c r="FC345" s="55">
        <f>IF(SUMIFS(tblPlant[GIC_oz],tblPlant[Date],$A345)&gt;0,SUMIFS(tblPlant[GIC_oz],tblPlant[Date],$A345),"")</f>
        <v/>
      </c>
      <c r="FD345" s="55">
        <f>SUMIFS(tblGold[Gold_oz],tblGold[Date],$A345,tblGold[Type],"Shipment")</f>
        <v/>
      </c>
      <c r="FE345" s="55">
        <f>IF($B345=$B344,$FE344,0)+$FD345</f>
        <v/>
      </c>
      <c r="FF345" s="55">
        <f>$FF344+$FD345</f>
        <v/>
      </c>
      <c r="FG345" s="55">
        <f>SUMIFS(tblGold[Gold_oz],tblGold[Date],$A345,tblGold[Type],"Sale")</f>
        <v/>
      </c>
      <c r="FH345" s="55">
        <f>IF($B345=$B344,$FH344,0)+$FG345</f>
        <v/>
      </c>
      <c r="FI345" s="55">
        <f>$FI344+$FG345</f>
        <v/>
      </c>
      <c r="FJ345" s="55">
        <f>SUMIFS(tblGold[Dore_kg],tblGold[Date],$A345,tblGold[Type],"Shipment")</f>
        <v/>
      </c>
      <c r="FK345" s="55">
        <f>IF($B345=$B344,$FK344,0)+$FJ345</f>
        <v/>
      </c>
      <c r="FL345" s="55">
        <f>$FL344+$FJ345</f>
        <v/>
      </c>
      <c r="FM345" s="57">
        <f>SUMIFS(tblSafety[Hours_Total],tblSafety[Date],$A345)</f>
        <v/>
      </c>
      <c r="FN345" s="57">
        <f>IF($B345=$B344,$FN344,0)+$FM345</f>
        <v/>
      </c>
      <c r="FO345" s="57">
        <f>$FO344+$FM345</f>
        <v/>
      </c>
      <c r="FP345" s="62">
        <f>SUMIFS(tblSafety[Fatality],tblSafety[Date],$A345)</f>
        <v/>
      </c>
      <c r="FQ345" s="62">
        <f>IF($B345=$B344,$FQ344,0)+$FP345</f>
        <v/>
      </c>
      <c r="FR345" s="62">
        <f>$FR344+$FP345</f>
        <v/>
      </c>
      <c r="FS345" s="62">
        <f>SUMIFS(tblSafety[LTI],tblSafety[Date],$A345)</f>
        <v/>
      </c>
      <c r="FT345" s="62">
        <f>IF($B345=$B344,$FT344,0)+$FS345</f>
        <v/>
      </c>
      <c r="FU345" s="62">
        <f>$FU344+$FS345</f>
        <v/>
      </c>
      <c r="FV345" s="62">
        <f>SUMIFS(tblSafety[RWI],tblSafety[Date],$A345)</f>
        <v/>
      </c>
      <c r="FW345" s="62">
        <f>IF($B345=$B344,$FW344,0)+$FV345</f>
        <v/>
      </c>
      <c r="FX345" s="62">
        <f>$FX344+$FV345</f>
        <v/>
      </c>
      <c r="FY345" s="62">
        <f>SUMIFS(tblSafety[MTI],tblSafety[Date],$A345)</f>
        <v/>
      </c>
      <c r="FZ345" s="62">
        <f>IF($B345=$B344,$FZ344,0)+$FY345</f>
        <v/>
      </c>
      <c r="GA345" s="62">
        <f>$GA344+$FY345</f>
        <v/>
      </c>
      <c r="GB345" s="62">
        <f>SUMIFS(tblSafety[FAI],tblSafety[Date],$A345)</f>
        <v/>
      </c>
      <c r="GC345" s="62">
        <f>IF($B345=$B344,$GC344,0)+$GB345</f>
        <v/>
      </c>
      <c r="GD345" s="62">
        <f>$GD344+$GB345</f>
        <v/>
      </c>
      <c r="GE345" s="62">
        <f>SUMIFS(tblSafety[Recordables],tblSafety[Date],$A345)</f>
        <v/>
      </c>
      <c r="GF345" s="62">
        <f>IF($B345=$B344,$GF344,0)+$GE345</f>
        <v/>
      </c>
      <c r="GG345" s="62">
        <f>$GG344+$GE345</f>
        <v/>
      </c>
      <c r="GH345" s="62">
        <f>SUMIFS(tblSafety[Near_Miss],tblSafety[Date],$A345)</f>
        <v/>
      </c>
      <c r="GI345" s="62">
        <f>IF($B345=$B344,$GI344,0)+$GH345</f>
        <v/>
      </c>
      <c r="GJ345" s="62">
        <f>$GJ344+$GH345</f>
        <v/>
      </c>
      <c r="GK345" s="62">
        <f>SUMIFS(tblSafety[Hazard_Reports],tblSafety[Date],$A345)</f>
        <v/>
      </c>
      <c r="GL345" s="62">
        <f>IF($B345=$B344,$GL344,0)+$GK345</f>
        <v/>
      </c>
      <c r="GM345" s="62">
        <f>$GM344+$GK345</f>
        <v/>
      </c>
      <c r="GN345" s="62">
        <f>SUMIFS(tblSafety[HPI],tblSafety[Date],$A345)</f>
        <v/>
      </c>
      <c r="GO345" s="62">
        <f>IF($B345=$B344,$GO344,0)+$GN345</f>
        <v/>
      </c>
      <c r="GP345" s="62">
        <f>$GP344+$GN345</f>
        <v/>
      </c>
      <c r="GQ345" s="62">
        <f>SUMIFS(tblSafety[Env_Incidents],tblSafety[Date],$A345)</f>
        <v/>
      </c>
      <c r="GR345" s="62">
        <f>IF($B345=$B344,$GR344,0)+$GQ345</f>
        <v/>
      </c>
      <c r="GS345" s="62">
        <f>$GS344+$GQ345</f>
        <v/>
      </c>
      <c r="GT345" s="62">
        <f>SUMIFS(tblSafety[Community_Incidents],tblSafety[Date],$A345)</f>
        <v/>
      </c>
      <c r="GU345" s="62">
        <f>IF($B345=$B344,$GU344,0)+$GT345</f>
        <v/>
      </c>
      <c r="GV345" s="62">
        <f>$GV344+$GT345</f>
        <v/>
      </c>
      <c r="GW345" s="62">
        <f>SUMIFS(tblSafety[Vehicle_Incidents],tblSafety[Date],$A345)</f>
        <v/>
      </c>
      <c r="GX345" s="62">
        <f>IF($B345=$B344,$GX344,0)+$GW345</f>
        <v/>
      </c>
      <c r="GY345" s="62">
        <f>$GY344+$GW345</f>
        <v/>
      </c>
      <c r="GZ345" s="62">
        <f>SUMIFS(tblSafety[Toolbox_Talks],tblSafety[Date],$A345)</f>
        <v/>
      </c>
      <c r="HA345" s="62">
        <f>IF($B345=$B344,$HA344,0)+$GZ345</f>
        <v/>
      </c>
      <c r="HB345" s="62">
        <f>$HB344+$GZ345</f>
        <v/>
      </c>
      <c r="HC345" s="62">
        <f>SUMIFS(tblSafety[Inspections],tblSafety[Date],$A345)</f>
        <v/>
      </c>
      <c r="HD345" s="62">
        <f>IF($B345=$B344,$HD344,0)+$HC345</f>
        <v/>
      </c>
      <c r="HE345" s="62">
        <f>$HE344+$HC345</f>
        <v/>
      </c>
      <c r="HF345" s="56">
        <f>IFERROR((SUMIFS(tblSafety[Recordables],tblSafety[Date],"&gt;="&amp;EDATE($E345,-12),tblSafety[Date],"&lt;="&amp;$A345)+SUMIFS(tblSafetyHistory[Recordables],tblSafetyHistory[Month],"&gt;="&amp;EDATE($E345,-12),tblSafetyHistory[Month],"&lt;"&amp;cfg_YearStart))/(SUMIFS(tblSafety[Hours_Total],tblSafety[Date],"&gt;="&amp;EDATE($E345,-12),tblSafety[Date],"&lt;="&amp;$A345)+SUMIFS(tblSafetyHistory[Hours_Total],tblSafetyHistory[Month],"&gt;="&amp;EDATE($E345,-12),tblSafetyHistory[Month],"&lt;"&amp;cfg_YearStart))*1000000,"")</f>
        <v/>
      </c>
      <c r="HG345" s="56">
        <f>IFERROR((SUMIFS(tblSafety[LTI],tblSafety[Date],"&gt;="&amp;EDATE($E345,-12),tblSafety[Date],"&lt;="&amp;$A345)+SUMIFS(tblSafetyHistory[LTI],tblSafetyHistory[Month],"&gt;="&amp;EDATE($E345,-12),tblSafetyHistory[Month],"&lt;"&amp;cfg_YearStart))/(SUMIFS(tblSafety[Hours_Total],tblSafety[Date],"&gt;="&amp;EDATE($E345,-12),tblSafety[Date],"&lt;="&amp;$A345)+SUMIFS(tblSafetyHistory[Hours_Total],tblSafetyHistory[Month],"&gt;="&amp;EDATE($E345,-12),tblSafetyHistory[Month],"&lt;"&amp;cfg_YearStart))*1000000,"")</f>
        <v/>
      </c>
      <c r="HH345" s="62">
        <f>IF(MAX(N(cfg_PriorLTIDate),_xlfn.MAXIFS(tblSafety[Date],tblSafety[LTI],"&gt;0",tblSafety[Date],"&lt;="&amp;$A345))=0,"",$A345-MAX(N(cfg_PriorLTIDate),_xlfn.MAXIFS(tblSafety[Date],tblSafety[LTI],"&gt;0",tblSafety[Date],"&lt;="&amp;$A345)))</f>
        <v/>
      </c>
      <c r="HI345" s="55">
        <f>SUMIFS(tblBudget[Ore_Mined_t],tblBudget[Month],$E345)</f>
        <v/>
      </c>
      <c r="HJ345" s="55">
        <f>$HI345*$C345/$D345</f>
        <v/>
      </c>
      <c r="HK345" s="55">
        <f>SUMIFS(tblBudget[Ore_Mined_t],tblBudget[Month],"&lt;"&amp;$E345)+$HJ345</f>
        <v/>
      </c>
      <c r="HL345" s="55">
        <f>SUMIFS(tblBudget[Ore_oz],tblBudget[Month],$E345)</f>
        <v/>
      </c>
      <c r="HM345" s="55">
        <f>$HL345*$C345/$D345</f>
        <v/>
      </c>
      <c r="HN345" s="55">
        <f>SUMIFS(tblBudget[Ore_oz],tblBudget[Month],"&lt;"&amp;$E345)+$HM345</f>
        <v/>
      </c>
      <c r="HO345" s="56">
        <f>IFERROR(IF(($HI345)&gt;0,($HL345*cfg_TroyOz)/($HI345),""),"")</f>
        <v/>
      </c>
      <c r="HP345" s="56">
        <f>IFERROR(IF(($HJ345)&gt;0,($HM345*cfg_TroyOz)/($HJ345),""),"")</f>
        <v/>
      </c>
      <c r="HQ345" s="56">
        <f>IFERROR(IF(($HK345)&gt;0,($HN345*cfg_TroyOz)/($HK345),""),"")</f>
        <v/>
      </c>
      <c r="HR345" s="55">
        <f>SUMIFS(tblBudget[Waste_t],tblBudget[Month],$E345)</f>
        <v/>
      </c>
      <c r="HS345" s="55">
        <f>$HR345*$C345/$D345</f>
        <v/>
      </c>
      <c r="HT345" s="55">
        <f>SUMIFS(tblBudget[Waste_t],tblBudget[Month],"&lt;"&amp;$E345)+$HS345</f>
        <v/>
      </c>
      <c r="HU345" s="55">
        <f>SUMIFS(tblBudget[TMM_t],tblBudget[Month],$E345)</f>
        <v/>
      </c>
      <c r="HV345" s="55">
        <f>$HU345*$C345/$D345</f>
        <v/>
      </c>
      <c r="HW345" s="55">
        <f>SUMIFS(tblBudget[TMM_t],tblBudget[Month],"&lt;"&amp;$E345)+$HV345</f>
        <v/>
      </c>
      <c r="HX345" s="56">
        <f>IFERROR(IF(($HI345)&gt;0,($HR345)/($HI345),""),"")</f>
        <v/>
      </c>
      <c r="HY345" s="56">
        <f>IFERROR(IF(($HJ345)&gt;0,($HS345)/($HJ345),""),"")</f>
        <v/>
      </c>
      <c r="HZ345" s="56">
        <f>IFERROR(IF(($HK345)&gt;0,($HT345)/($HK345),""),"")</f>
        <v/>
      </c>
      <c r="IA345" s="55">
        <f>SUMIFS(tblBudget[Drill_m],tblBudget[Month],$E345)</f>
        <v/>
      </c>
      <c r="IB345" s="55">
        <f>$IA345*$C345/$D345</f>
        <v/>
      </c>
      <c r="IC345" s="55">
        <f>SUMIFS(tblBudget[Drill_m],tblBudget[Month],"&lt;"&amp;$E345)+$IB345</f>
        <v/>
      </c>
      <c r="ID345" s="55">
        <f>SUMIFS(tblBudget[Diesel_L],tblBudget[Month],$E345)</f>
        <v/>
      </c>
      <c r="IE345" s="55">
        <f>$ID345*$C345/$D345</f>
        <v/>
      </c>
      <c r="IF345" s="55">
        <f>SUMIFS(tblBudget[Diesel_L],tblBudget[Month],"&lt;"&amp;$E345)+$IE345</f>
        <v/>
      </c>
      <c r="IG345" s="55">
        <f>SUMIFS(tblBudget[Milled_t],tblBudget[Month],$E345)</f>
        <v/>
      </c>
      <c r="IH345" s="55">
        <f>$IG345*$C345/$D345</f>
        <v/>
      </c>
      <c r="II345" s="55">
        <f>SUMIFS(tblBudget[Milled_t],tblBudget[Month],"&lt;"&amp;$E345)+$IH345</f>
        <v/>
      </c>
      <c r="IJ345" s="55">
        <f>SUMIFS(tblBudget[Feed_oz],tblBudget[Month],$E345)</f>
        <v/>
      </c>
      <c r="IK345" s="55">
        <f>$IJ345*$C345/$D345</f>
        <v/>
      </c>
      <c r="IL345" s="55">
        <f>SUMIFS(tblBudget[Feed_oz],tblBudget[Month],"&lt;"&amp;$E345)+$IK345</f>
        <v/>
      </c>
      <c r="IM345" s="55">
        <f>SUMIFS(tblBudget[Recovered_oz],tblBudget[Month],$E345)</f>
        <v/>
      </c>
      <c r="IN345" s="55">
        <f>$IM345*$C345/$D345</f>
        <v/>
      </c>
      <c r="IO345" s="55">
        <f>SUMIFS(tblBudget[Recovered_oz],tblBudget[Month],"&lt;"&amp;$E345)+$IN345</f>
        <v/>
      </c>
      <c r="IP345" s="56">
        <f>IFERROR(IF(($IG345)&gt;0,($IJ345*cfg_TroyOz)/($IG345),""),"")</f>
        <v/>
      </c>
      <c r="IQ345" s="56">
        <f>IFERROR(IF(($IH345)&gt;0,($IK345*cfg_TroyOz)/($IH345),""),"")</f>
        <v/>
      </c>
      <c r="IR345" s="56">
        <f>IFERROR(IF(($II345)&gt;0,($IL345*cfg_TroyOz)/($II345),""),"")</f>
        <v/>
      </c>
      <c r="IS345" s="67">
        <f>IFERROR(IF(($IJ345)&gt;0,($IM345)/($IJ345),""),"")</f>
        <v/>
      </c>
      <c r="IT345" s="67">
        <f>IFERROR(IF(($IK345)&gt;0,($IN345)/($IK345),""),"")</f>
        <v/>
      </c>
      <c r="IU345" s="67">
        <f>IFERROR(IF(($IL345)&gt;0,($IO345)/($IL345),""),"")</f>
        <v/>
      </c>
      <c r="IV345" s="55">
        <f>SUMIFS(tblBudget[Gold_Poured_oz],tblBudget[Month],$E345)</f>
        <v/>
      </c>
      <c r="IW345" s="55">
        <f>$IV345*$C345/$D345</f>
        <v/>
      </c>
      <c r="IX345" s="55">
        <f>SUMIFS(tblBudget[Gold_Poured_oz],tblBudget[Month],"&lt;"&amp;$E345)+$IW345</f>
        <v/>
      </c>
      <c r="IY345" s="57">
        <f>SUMIFS(tblBudget[Hours_Worked],tblBudget[Month],$E345)</f>
        <v/>
      </c>
      <c r="IZ345" s="57">
        <f>$IY345*$C345/$D345</f>
        <v/>
      </c>
      <c r="JA345" s="57">
        <f>SUMIFS(tblBudget[Hours_Worked],tblBudget[Month],"&lt;"&amp;$E345)+$IZ345</f>
        <v/>
      </c>
    </row>
    <row r="346">
      <c r="A346" s="54" t="n">
        <v>46367</v>
      </c>
      <c r="B346">
        <f>MONTH($A346)</f>
        <v/>
      </c>
      <c r="C346">
        <f>DAY($A346)</f>
        <v/>
      </c>
      <c r="D346">
        <f>DAY(EOMONTH($A346,0))</f>
        <v/>
      </c>
      <c r="E346" s="54">
        <f>DATE(YEAR($A346),MONTH($A346),1)</f>
        <v/>
      </c>
      <c r="F346" s="55">
        <f>SUMIFS(tblMovement[Tonnes_t],tblMovement[Date],$A346,tblMovement[Is_Ore],1,tblMovement[Source_Type],"Pit")</f>
        <v/>
      </c>
      <c r="G346" s="55">
        <f>IF($B346=$B345,$G345,0)+$F346</f>
        <v/>
      </c>
      <c r="H346" s="55">
        <f>$H345+$F346</f>
        <v/>
      </c>
      <c r="I346" s="55">
        <f>SUMIFS(tblMovement[Ore_oz],tblMovement[Date],$A346,tblMovement[Source_Type],"Pit")</f>
        <v/>
      </c>
      <c r="J346" s="55">
        <f>IF($B346=$B345,$J345,0)+$I346</f>
        <v/>
      </c>
      <c r="K346" s="55">
        <f>$K345+$I346</f>
        <v/>
      </c>
      <c r="L346" s="56">
        <f>IFERROR(IF(($F346)&gt;0,($I346*cfg_TroyOz)/($F346),""),"")</f>
        <v/>
      </c>
      <c r="M346" s="56">
        <f>IFERROR(IF(($G346)&gt;0,($J346*cfg_TroyOz)/($G346),""),"")</f>
        <v/>
      </c>
      <c r="N346" s="56">
        <f>IFERROR(IF(($H346)&gt;0,($K346*cfg_TroyOz)/($H346),""),"")</f>
        <v/>
      </c>
      <c r="O346" s="55">
        <f>SUMIFS(tblMovement[Tonnes_t],tblMovement[Date],$A346,tblMovement[Is_Ore],0,tblMovement[Source_Type],"Pit")</f>
        <v/>
      </c>
      <c r="P346" s="55">
        <f>IF($B346=$B345,$P345,0)+$O346</f>
        <v/>
      </c>
      <c r="Q346" s="55">
        <f>$Q345+$O346</f>
        <v/>
      </c>
      <c r="R346" s="55">
        <f>$F346+$O346</f>
        <v/>
      </c>
      <c r="S346" s="55">
        <f>IF($B346=$B345,$S345,0)+$R346</f>
        <v/>
      </c>
      <c r="T346" s="55">
        <f>$T345+$R346</f>
        <v/>
      </c>
      <c r="U346" s="56">
        <f>IFERROR(IF(($F346)&gt;0,($O346)/($F346),""),"")</f>
        <v/>
      </c>
      <c r="V346" s="56">
        <f>IFERROR(IF(($G346)&gt;0,($P346)/($G346),""),"")</f>
        <v/>
      </c>
      <c r="W346" s="56">
        <f>IFERROR(IF(($H346)&gt;0,($Q346)/($H346),""),"")</f>
        <v/>
      </c>
      <c r="X346" s="55">
        <f>SUMIFS(tblMovement[Tonnes_t],tblMovement[Date],$A346,tblMovement[Source_Type],"Stockpile")</f>
        <v/>
      </c>
      <c r="Y346" s="55">
        <f>IF($B346=$B345,$Y345,0)+$X346</f>
        <v/>
      </c>
      <c r="Z346" s="55">
        <f>$Z345+$X346</f>
        <v/>
      </c>
      <c r="AA346" s="55">
        <f>SUMIFS(tblMiningDaily[Drill_m],tblMiningDaily[Date],$A346)</f>
        <v/>
      </c>
      <c r="AB346" s="55">
        <f>IF($B346=$B345,$AB345,0)+$AA346</f>
        <v/>
      </c>
      <c r="AC346" s="55">
        <f>$AC345+$AA346</f>
        <v/>
      </c>
      <c r="AD346" s="55">
        <f>SUMIFS(tblMiningDaily[Blast_t],tblMiningDaily[Date],$A346)</f>
        <v/>
      </c>
      <c r="AE346" s="55">
        <f>IF($B346=$B345,$AE345,0)+$AD346</f>
        <v/>
      </c>
      <c r="AF346" s="55">
        <f>$AF345+$AD346</f>
        <v/>
      </c>
      <c r="AG346" s="55">
        <f>SUMIFS(tblMiningDaily[Explosives_kg],tblMiningDaily[Date],$A346)</f>
        <v/>
      </c>
      <c r="AH346" s="55">
        <f>IF($B346=$B345,$AH345,0)+$AG346</f>
        <v/>
      </c>
      <c r="AI346" s="55">
        <f>$AI345+$AG346</f>
        <v/>
      </c>
      <c r="AJ346" s="56">
        <f>IFERROR(IF(($AD346)&gt;0,($AG346)/($AD346),""),"")</f>
        <v/>
      </c>
      <c r="AK346" s="56">
        <f>IFERROR(IF(($AE346)&gt;0,($AH346)/($AE346),""),"")</f>
        <v/>
      </c>
      <c r="AL346" s="56">
        <f>IFERROR(IF(($AF346)&gt;0,($AI346)/($AF346),""),"")</f>
        <v/>
      </c>
      <c r="AM346" s="55">
        <f>SUMIFS(tblMiningDaily[Diesel_L],tblMiningDaily[Date],$A346)</f>
        <v/>
      </c>
      <c r="AN346" s="55">
        <f>IF($B346=$B345,$AN345,0)+$AM346</f>
        <v/>
      </c>
      <c r="AO346" s="55">
        <f>$AO345+$AM346</f>
        <v/>
      </c>
      <c r="AP346" s="55">
        <f>SUMIFS(tblMiningDaily[Dewatering_m3],tblMiningDaily[Date],$A346)</f>
        <v/>
      </c>
      <c r="AQ346" s="55">
        <f>IF($B346=$B345,$AQ345,0)+$AP346</f>
        <v/>
      </c>
      <c r="AR346" s="55">
        <f>$AR345+$AP346</f>
        <v/>
      </c>
      <c r="AS346" s="57">
        <f>SUMIFS(tblFleet[Calendar_h],tblFleet[Date],$A346,tblFleet[Equipment_Class],"Excavator")</f>
        <v/>
      </c>
      <c r="AT346" s="57">
        <f>IF($B346=$B345,$AT345,0)+$AS346</f>
        <v/>
      </c>
      <c r="AU346" s="57">
        <f>$AU345+$AS346</f>
        <v/>
      </c>
      <c r="AV346" s="57">
        <f>SUMIFS(tblFleet[Available_h],tblFleet[Date],$A346,tblFleet[Equipment_Class],"Excavator")</f>
        <v/>
      </c>
      <c r="AW346" s="57">
        <f>IF($B346=$B345,$AW345,0)+$AV346</f>
        <v/>
      </c>
      <c r="AX346" s="57">
        <f>$AX345+$AV346</f>
        <v/>
      </c>
      <c r="AY346" s="57">
        <f>SUMIFS(tblFleet[Operating_h],tblFleet[Date],$A346,tblFleet[Equipment_Class],"Excavator")</f>
        <v/>
      </c>
      <c r="AZ346" s="57">
        <f>IF($B346=$B345,$AZ345,0)+$AY346</f>
        <v/>
      </c>
      <c r="BA346" s="57">
        <f>$BA345+$AY346</f>
        <v/>
      </c>
      <c r="BB346" s="67">
        <f>IFERROR(IF(($AS346)&gt;0,($AV346)/($AS346),""),"")</f>
        <v/>
      </c>
      <c r="BC346" s="67">
        <f>IFERROR(IF(($AT346)&gt;0,($AW346)/($AT346),""),"")</f>
        <v/>
      </c>
      <c r="BD346" s="67">
        <f>IFERROR(IF(($AU346)&gt;0,($AX346)/($AU346),""),"")</f>
        <v/>
      </c>
      <c r="BE346" s="67">
        <f>IFERROR(IF(($AV346)&gt;0,($AY346)/($AV346),""),"")</f>
        <v/>
      </c>
      <c r="BF346" s="67">
        <f>IFERROR(IF(($AW346)&gt;0,($AZ346)/($AW346),""),"")</f>
        <v/>
      </c>
      <c r="BG346" s="67">
        <f>IFERROR(IF(($AX346)&gt;0,($BA346)/($AX346),""),"")</f>
        <v/>
      </c>
      <c r="BH346" s="57">
        <f>SUMIFS(tblFleet[Calendar_h],tblFleet[Date],$A346,tblFleet[Equipment_Class],"Haul Truck")</f>
        <v/>
      </c>
      <c r="BI346" s="57">
        <f>IF($B346=$B345,$BI345,0)+$BH346</f>
        <v/>
      </c>
      <c r="BJ346" s="57">
        <f>$BJ345+$BH346</f>
        <v/>
      </c>
      <c r="BK346" s="57">
        <f>SUMIFS(tblFleet[Available_h],tblFleet[Date],$A346,tblFleet[Equipment_Class],"Haul Truck")</f>
        <v/>
      </c>
      <c r="BL346" s="57">
        <f>IF($B346=$B345,$BL345,0)+$BK346</f>
        <v/>
      </c>
      <c r="BM346" s="57">
        <f>$BM345+$BK346</f>
        <v/>
      </c>
      <c r="BN346" s="57">
        <f>SUMIFS(tblFleet[Operating_h],tblFleet[Date],$A346,tblFleet[Equipment_Class],"Haul Truck")</f>
        <v/>
      </c>
      <c r="BO346" s="57">
        <f>IF($B346=$B345,$BO345,0)+$BN346</f>
        <v/>
      </c>
      <c r="BP346" s="57">
        <f>$BP345+$BN346</f>
        <v/>
      </c>
      <c r="BQ346" s="67">
        <f>IFERROR(IF(($BH346)&gt;0,($BK346)/($BH346),""),"")</f>
        <v/>
      </c>
      <c r="BR346" s="67">
        <f>IFERROR(IF(($BI346)&gt;0,($BL346)/($BI346),""),"")</f>
        <v/>
      </c>
      <c r="BS346" s="67">
        <f>IFERROR(IF(($BJ346)&gt;0,($BM346)/($BJ346),""),"")</f>
        <v/>
      </c>
      <c r="BT346" s="67">
        <f>IFERROR(IF(($BK346)&gt;0,($BN346)/($BK346),""),"")</f>
        <v/>
      </c>
      <c r="BU346" s="67">
        <f>IFERROR(IF(($BL346)&gt;0,($BO346)/($BL346),""),"")</f>
        <v/>
      </c>
      <c r="BV346" s="67">
        <f>IFERROR(IF(($BM346)&gt;0,($BP346)/($BM346),""),"")</f>
        <v/>
      </c>
      <c r="BW346" s="55">
        <f>SUMIFS(tblPlant[Crushed_t],tblPlant[Date],$A346)</f>
        <v/>
      </c>
      <c r="BX346" s="55">
        <f>IF($B346=$B345,$BX345,0)+$BW346</f>
        <v/>
      </c>
      <c r="BY346" s="55">
        <f>$BY345+$BW346</f>
        <v/>
      </c>
      <c r="BZ346" s="55">
        <f>SUMIFS(tblPlant[Milled_t],tblPlant[Date],$A346)</f>
        <v/>
      </c>
      <c r="CA346" s="55">
        <f>IF($B346=$B345,$CA345,0)+$BZ346</f>
        <v/>
      </c>
      <c r="CB346" s="55">
        <f>$CB345+$BZ346</f>
        <v/>
      </c>
      <c r="CC346" s="55">
        <f>SUMIFS(tblPlant[Feed_oz],tblPlant[Date],$A346)</f>
        <v/>
      </c>
      <c r="CD346" s="55">
        <f>IF($B346=$B345,$CD345,0)+$CC346</f>
        <v/>
      </c>
      <c r="CE346" s="55">
        <f>$CE345+$CC346</f>
        <v/>
      </c>
      <c r="CF346" s="55">
        <f>SUMIFS(tblPlant[Tails_oz],tblPlant[Date],$A346)</f>
        <v/>
      </c>
      <c r="CG346" s="55">
        <f>IF($B346=$B345,$CG345,0)+$CF346</f>
        <v/>
      </c>
      <c r="CH346" s="55">
        <f>$CH345+$CF346</f>
        <v/>
      </c>
      <c r="CI346" s="55">
        <f>SUMIFS(tblPlant[Recovered_oz],tblPlant[Date],$A346)</f>
        <v/>
      </c>
      <c r="CJ346" s="55">
        <f>IF($B346=$B345,$CJ345,0)+$CI346</f>
        <v/>
      </c>
      <c r="CK346" s="55">
        <f>$CK345+$CI346</f>
        <v/>
      </c>
      <c r="CL346" s="56">
        <f>IFERROR(IF(($BZ346)&gt;0,($CC346*cfg_TroyOz)/($BZ346),""),"")</f>
        <v/>
      </c>
      <c r="CM346" s="56">
        <f>IFERROR(IF(($CA346)&gt;0,($CD346*cfg_TroyOz)/($CA346),""),"")</f>
        <v/>
      </c>
      <c r="CN346" s="56">
        <f>IFERROR(IF(($CB346)&gt;0,($CE346*cfg_TroyOz)/($CB346),""),"")</f>
        <v/>
      </c>
      <c r="CO346" s="56">
        <f>IFERROR(IF(($BZ346)&gt;0,($CF346*cfg_TroyOz)/($BZ346),""),"")</f>
        <v/>
      </c>
      <c r="CP346" s="56">
        <f>IFERROR(IF(($CA346)&gt;0,($CG346*cfg_TroyOz)/($CA346),""),"")</f>
        <v/>
      </c>
      <c r="CQ346" s="56">
        <f>IFERROR(IF(($CB346)&gt;0,($CH346*cfg_TroyOz)/($CB346),""),"")</f>
        <v/>
      </c>
      <c r="CR346" s="67">
        <f>IFERROR(IF(($CC346)&gt;0,($CI346)/($CC346),""),"")</f>
        <v/>
      </c>
      <c r="CS346" s="67">
        <f>IFERROR(IF(($CD346)&gt;0,($CJ346)/($CD346),""),"")</f>
        <v/>
      </c>
      <c r="CT346" s="67">
        <f>IFERROR(IF(($CE346)&gt;0,($CK346)/($CE346),""),"")</f>
        <v/>
      </c>
      <c r="CU346" s="55">
        <f>SUMIFS(tblPlant[Gravity_Gold_oz],tblPlant[Date],$A346)</f>
        <v/>
      </c>
      <c r="CV346" s="55">
        <f>IF($B346=$B345,$CV345,0)+$CU346</f>
        <v/>
      </c>
      <c r="CW346" s="55">
        <f>$CW345+$CU346</f>
        <v/>
      </c>
      <c r="CX346" s="55">
        <f>SUMIFS(tblPlant[Gold_Poured_oz],tblPlant[Date],$A346)</f>
        <v/>
      </c>
      <c r="CY346" s="55">
        <f>IF($B346=$B345,$CY345,0)+$CX346</f>
        <v/>
      </c>
      <c r="CZ346" s="55">
        <f>$CZ345+$CX346</f>
        <v/>
      </c>
      <c r="DA346" s="57">
        <f>SUMIFS(tblPlant[Mill_Run_h],tblPlant[Date],$A346)</f>
        <v/>
      </c>
      <c r="DB346" s="57">
        <f>IF($B346=$B345,$DB345,0)+$DA346</f>
        <v/>
      </c>
      <c r="DC346" s="57">
        <f>$DC345+$DA346</f>
        <v/>
      </c>
      <c r="DD346" s="57">
        <f>SUMIFS(tblPlant[Mill_Planned_Maint_h],tblPlant[Date],$A346)</f>
        <v/>
      </c>
      <c r="DE346" s="57">
        <f>IF($B346=$B345,$DE345,0)+$DD346</f>
        <v/>
      </c>
      <c r="DF346" s="57">
        <f>$DF345+$DD346</f>
        <v/>
      </c>
      <c r="DG346" s="57">
        <f>SUMIFS(tblPlant[Mill_Unplanned_Down_h],tblPlant[Date],$A346)</f>
        <v/>
      </c>
      <c r="DH346" s="57">
        <f>IF($B346=$B345,$DH345,0)+$DG346</f>
        <v/>
      </c>
      <c r="DI346" s="57">
        <f>$DI345+$DG346</f>
        <v/>
      </c>
      <c r="DJ346" s="57">
        <f>COUNTIFS(tblPlant[Date],$A346,tblPlant[Mill_Run_h],"&lt;&gt;")*24</f>
        <v/>
      </c>
      <c r="DK346" s="57">
        <f>IF($B346=$B345,$DK345,0)+$DJ346</f>
        <v/>
      </c>
      <c r="DL346" s="57">
        <f>$DL345+$DJ346</f>
        <v/>
      </c>
      <c r="DM346" s="57">
        <f>SUMIFS(tblPlant[Crusher_Run_h],tblPlant[Date],$A346)</f>
        <v/>
      </c>
      <c r="DN346" s="57">
        <f>IF($B346=$B345,$DN345,0)+$DM346</f>
        <v/>
      </c>
      <c r="DO346" s="57">
        <f>$DO345+$DM346</f>
        <v/>
      </c>
      <c r="DP346" s="55">
        <f>IFERROR(IF(($DA346)&gt;0,($BZ346)/($DA346),""),"")</f>
        <v/>
      </c>
      <c r="DQ346" s="55">
        <f>IFERROR(IF(($DB346)&gt;0,($CA346)/($DB346),""),"")</f>
        <v/>
      </c>
      <c r="DR346" s="55">
        <f>IFERROR(IF(($DC346)&gt;0,($CB346)/($DC346),""),"")</f>
        <v/>
      </c>
      <c r="DS346" s="67">
        <f>IFERROR(IF(($DJ346)&gt;0,($DJ346-$DD346-$DG346)/($DJ346),""),"")</f>
        <v/>
      </c>
      <c r="DT346" s="67">
        <f>IFERROR(IF(($DK346)&gt;0,($DK346-$DE346-$DH346)/($DK346),""),"")</f>
        <v/>
      </c>
      <c r="DU346" s="67">
        <f>IFERROR(IF(($DL346)&gt;0,($DL346-$DF346-$DI346)/($DL346),""),"")</f>
        <v/>
      </c>
      <c r="DV346" s="67">
        <f>IFERROR(IF(($DJ346-$DD346-$DG346)&gt;0,($DA346)/($DJ346-$DD346-$DG346),""),"")</f>
        <v/>
      </c>
      <c r="DW346" s="67">
        <f>IFERROR(IF(($DK346-$DE346-$DH346)&gt;0,($DB346)/($DK346-$DE346-$DH346),""),"")</f>
        <v/>
      </c>
      <c r="DX346" s="67">
        <f>IFERROR(IF(($DL346-$DF346-$DI346)&gt;0,($DC346)/($DL346-$DF346-$DI346),""),"")</f>
        <v/>
      </c>
      <c r="DY346" s="55">
        <f>SUMIFS(tblPlant[Cyanide_kg],tblPlant[Date],$A346)</f>
        <v/>
      </c>
      <c r="DZ346" s="55">
        <f>IF($B346=$B345,$DZ345,0)+$DY346</f>
        <v/>
      </c>
      <c r="EA346" s="55">
        <f>$EA345+$DY346</f>
        <v/>
      </c>
      <c r="EB346" s="55">
        <f>SUMIFS(tblPlant[Lime_kg],tblPlant[Date],$A346)</f>
        <v/>
      </c>
      <c r="EC346" s="55">
        <f>IF($B346=$B345,$EC345,0)+$EB346</f>
        <v/>
      </c>
      <c r="ED346" s="55">
        <f>$ED345+$EB346</f>
        <v/>
      </c>
      <c r="EE346" s="55">
        <f>SUMIFS(tblPlant[Grinding_Media_kg],tblPlant[Date],$A346)</f>
        <v/>
      </c>
      <c r="EF346" s="55">
        <f>IF($B346=$B345,$EF345,0)+$EE346</f>
        <v/>
      </c>
      <c r="EG346" s="55">
        <f>$EG345+$EE346</f>
        <v/>
      </c>
      <c r="EH346" s="55">
        <f>SUMIFS(tblPlant[Power_kWh],tblPlant[Date],$A346)</f>
        <v/>
      </c>
      <c r="EI346" s="55">
        <f>IF($B346=$B345,$EI345,0)+$EH346</f>
        <v/>
      </c>
      <c r="EJ346" s="55">
        <f>$EJ345+$EH346</f>
        <v/>
      </c>
      <c r="EK346" s="55">
        <f>SUMIFS(tblPlant[Raw_Water_m3],tblPlant[Date],$A346)</f>
        <v/>
      </c>
      <c r="EL346" s="55">
        <f>IF($B346=$B345,$EL345,0)+$EK346</f>
        <v/>
      </c>
      <c r="EM346" s="55">
        <f>$EM345+$EK346</f>
        <v/>
      </c>
      <c r="EN346" s="56">
        <f>IFERROR(IF(($BZ346)&gt;0,($DY346)/($BZ346),""),"")</f>
        <v/>
      </c>
      <c r="EO346" s="56">
        <f>IFERROR(IF(($CA346)&gt;0,($DZ346)/($CA346),""),"")</f>
        <v/>
      </c>
      <c r="EP346" s="56">
        <f>IFERROR(IF(($CB346)&gt;0,($EA346)/($CB346),""),"")</f>
        <v/>
      </c>
      <c r="EQ346" s="56">
        <f>IFERROR(IF(($BZ346)&gt;0,($EB346)/($BZ346),""),"")</f>
        <v/>
      </c>
      <c r="ER346" s="56">
        <f>IFERROR(IF(($CA346)&gt;0,($EC346)/($CA346),""),"")</f>
        <v/>
      </c>
      <c r="ES346" s="56">
        <f>IFERROR(IF(($CB346)&gt;0,($ED346)/($CB346),""),"")</f>
        <v/>
      </c>
      <c r="ET346" s="56">
        <f>IFERROR(IF(($BZ346)&gt;0,($EE346)/($BZ346),""),"")</f>
        <v/>
      </c>
      <c r="EU346" s="56">
        <f>IFERROR(IF(($CA346)&gt;0,($EF346)/($CA346),""),"")</f>
        <v/>
      </c>
      <c r="EV346" s="56">
        <f>IFERROR(IF(($CB346)&gt;0,($EG346)/($CB346),""),"")</f>
        <v/>
      </c>
      <c r="EW346" s="76">
        <f>IFERROR(IF(($BZ346)&gt;0,($EH346)/($BZ346),""),"")</f>
        <v/>
      </c>
      <c r="EX346" s="76">
        <f>IFERROR(IF(($CA346)&gt;0,($EI346)/($CA346),""),"")</f>
        <v/>
      </c>
      <c r="EY346" s="76">
        <f>IFERROR(IF(($CB346)&gt;0,($EJ346)/($CB346),""),"")</f>
        <v/>
      </c>
      <c r="EZ346" s="56">
        <f>IFERROR(IF(($BZ346)&gt;0,($EK346)/($BZ346),""),"")</f>
        <v/>
      </c>
      <c r="FA346" s="56">
        <f>IFERROR(IF(($CA346)&gt;0,($EL346)/($CA346),""),"")</f>
        <v/>
      </c>
      <c r="FB346" s="56">
        <f>IFERROR(IF(($CB346)&gt;0,($EM346)/($CB346),""),"")</f>
        <v/>
      </c>
      <c r="FC346" s="55">
        <f>IF(SUMIFS(tblPlant[GIC_oz],tblPlant[Date],$A346)&gt;0,SUMIFS(tblPlant[GIC_oz],tblPlant[Date],$A346),"")</f>
        <v/>
      </c>
      <c r="FD346" s="55">
        <f>SUMIFS(tblGold[Gold_oz],tblGold[Date],$A346,tblGold[Type],"Shipment")</f>
        <v/>
      </c>
      <c r="FE346" s="55">
        <f>IF($B346=$B345,$FE345,0)+$FD346</f>
        <v/>
      </c>
      <c r="FF346" s="55">
        <f>$FF345+$FD346</f>
        <v/>
      </c>
      <c r="FG346" s="55">
        <f>SUMIFS(tblGold[Gold_oz],tblGold[Date],$A346,tblGold[Type],"Sale")</f>
        <v/>
      </c>
      <c r="FH346" s="55">
        <f>IF($B346=$B345,$FH345,0)+$FG346</f>
        <v/>
      </c>
      <c r="FI346" s="55">
        <f>$FI345+$FG346</f>
        <v/>
      </c>
      <c r="FJ346" s="55">
        <f>SUMIFS(tblGold[Dore_kg],tblGold[Date],$A346,tblGold[Type],"Shipment")</f>
        <v/>
      </c>
      <c r="FK346" s="55">
        <f>IF($B346=$B345,$FK345,0)+$FJ346</f>
        <v/>
      </c>
      <c r="FL346" s="55">
        <f>$FL345+$FJ346</f>
        <v/>
      </c>
      <c r="FM346" s="57">
        <f>SUMIFS(tblSafety[Hours_Total],tblSafety[Date],$A346)</f>
        <v/>
      </c>
      <c r="FN346" s="57">
        <f>IF($B346=$B345,$FN345,0)+$FM346</f>
        <v/>
      </c>
      <c r="FO346" s="57">
        <f>$FO345+$FM346</f>
        <v/>
      </c>
      <c r="FP346" s="62">
        <f>SUMIFS(tblSafety[Fatality],tblSafety[Date],$A346)</f>
        <v/>
      </c>
      <c r="FQ346" s="62">
        <f>IF($B346=$B345,$FQ345,0)+$FP346</f>
        <v/>
      </c>
      <c r="FR346" s="62">
        <f>$FR345+$FP346</f>
        <v/>
      </c>
      <c r="FS346" s="62">
        <f>SUMIFS(tblSafety[LTI],tblSafety[Date],$A346)</f>
        <v/>
      </c>
      <c r="FT346" s="62">
        <f>IF($B346=$B345,$FT345,0)+$FS346</f>
        <v/>
      </c>
      <c r="FU346" s="62">
        <f>$FU345+$FS346</f>
        <v/>
      </c>
      <c r="FV346" s="62">
        <f>SUMIFS(tblSafety[RWI],tblSafety[Date],$A346)</f>
        <v/>
      </c>
      <c r="FW346" s="62">
        <f>IF($B346=$B345,$FW345,0)+$FV346</f>
        <v/>
      </c>
      <c r="FX346" s="62">
        <f>$FX345+$FV346</f>
        <v/>
      </c>
      <c r="FY346" s="62">
        <f>SUMIFS(tblSafety[MTI],tblSafety[Date],$A346)</f>
        <v/>
      </c>
      <c r="FZ346" s="62">
        <f>IF($B346=$B345,$FZ345,0)+$FY346</f>
        <v/>
      </c>
      <c r="GA346" s="62">
        <f>$GA345+$FY346</f>
        <v/>
      </c>
      <c r="GB346" s="62">
        <f>SUMIFS(tblSafety[FAI],tblSafety[Date],$A346)</f>
        <v/>
      </c>
      <c r="GC346" s="62">
        <f>IF($B346=$B345,$GC345,0)+$GB346</f>
        <v/>
      </c>
      <c r="GD346" s="62">
        <f>$GD345+$GB346</f>
        <v/>
      </c>
      <c r="GE346" s="62">
        <f>SUMIFS(tblSafety[Recordables],tblSafety[Date],$A346)</f>
        <v/>
      </c>
      <c r="GF346" s="62">
        <f>IF($B346=$B345,$GF345,0)+$GE346</f>
        <v/>
      </c>
      <c r="GG346" s="62">
        <f>$GG345+$GE346</f>
        <v/>
      </c>
      <c r="GH346" s="62">
        <f>SUMIFS(tblSafety[Near_Miss],tblSafety[Date],$A346)</f>
        <v/>
      </c>
      <c r="GI346" s="62">
        <f>IF($B346=$B345,$GI345,0)+$GH346</f>
        <v/>
      </c>
      <c r="GJ346" s="62">
        <f>$GJ345+$GH346</f>
        <v/>
      </c>
      <c r="GK346" s="62">
        <f>SUMIFS(tblSafety[Hazard_Reports],tblSafety[Date],$A346)</f>
        <v/>
      </c>
      <c r="GL346" s="62">
        <f>IF($B346=$B345,$GL345,0)+$GK346</f>
        <v/>
      </c>
      <c r="GM346" s="62">
        <f>$GM345+$GK346</f>
        <v/>
      </c>
      <c r="GN346" s="62">
        <f>SUMIFS(tblSafety[HPI],tblSafety[Date],$A346)</f>
        <v/>
      </c>
      <c r="GO346" s="62">
        <f>IF($B346=$B345,$GO345,0)+$GN346</f>
        <v/>
      </c>
      <c r="GP346" s="62">
        <f>$GP345+$GN346</f>
        <v/>
      </c>
      <c r="GQ346" s="62">
        <f>SUMIFS(tblSafety[Env_Incidents],tblSafety[Date],$A346)</f>
        <v/>
      </c>
      <c r="GR346" s="62">
        <f>IF($B346=$B345,$GR345,0)+$GQ346</f>
        <v/>
      </c>
      <c r="GS346" s="62">
        <f>$GS345+$GQ346</f>
        <v/>
      </c>
      <c r="GT346" s="62">
        <f>SUMIFS(tblSafety[Community_Incidents],tblSafety[Date],$A346)</f>
        <v/>
      </c>
      <c r="GU346" s="62">
        <f>IF($B346=$B345,$GU345,0)+$GT346</f>
        <v/>
      </c>
      <c r="GV346" s="62">
        <f>$GV345+$GT346</f>
        <v/>
      </c>
      <c r="GW346" s="62">
        <f>SUMIFS(tblSafety[Vehicle_Incidents],tblSafety[Date],$A346)</f>
        <v/>
      </c>
      <c r="GX346" s="62">
        <f>IF($B346=$B345,$GX345,0)+$GW346</f>
        <v/>
      </c>
      <c r="GY346" s="62">
        <f>$GY345+$GW346</f>
        <v/>
      </c>
      <c r="GZ346" s="62">
        <f>SUMIFS(tblSafety[Toolbox_Talks],tblSafety[Date],$A346)</f>
        <v/>
      </c>
      <c r="HA346" s="62">
        <f>IF($B346=$B345,$HA345,0)+$GZ346</f>
        <v/>
      </c>
      <c r="HB346" s="62">
        <f>$HB345+$GZ346</f>
        <v/>
      </c>
      <c r="HC346" s="62">
        <f>SUMIFS(tblSafety[Inspections],tblSafety[Date],$A346)</f>
        <v/>
      </c>
      <c r="HD346" s="62">
        <f>IF($B346=$B345,$HD345,0)+$HC346</f>
        <v/>
      </c>
      <c r="HE346" s="62">
        <f>$HE345+$HC346</f>
        <v/>
      </c>
      <c r="HF346" s="56">
        <f>IFERROR((SUMIFS(tblSafety[Recordables],tblSafety[Date],"&gt;="&amp;EDATE($E346,-12),tblSafety[Date],"&lt;="&amp;$A346)+SUMIFS(tblSafetyHistory[Recordables],tblSafetyHistory[Month],"&gt;="&amp;EDATE($E346,-12),tblSafetyHistory[Month],"&lt;"&amp;cfg_YearStart))/(SUMIFS(tblSafety[Hours_Total],tblSafety[Date],"&gt;="&amp;EDATE($E346,-12),tblSafety[Date],"&lt;="&amp;$A346)+SUMIFS(tblSafetyHistory[Hours_Total],tblSafetyHistory[Month],"&gt;="&amp;EDATE($E346,-12),tblSafetyHistory[Month],"&lt;"&amp;cfg_YearStart))*1000000,"")</f>
        <v/>
      </c>
      <c r="HG346" s="56">
        <f>IFERROR((SUMIFS(tblSafety[LTI],tblSafety[Date],"&gt;="&amp;EDATE($E346,-12),tblSafety[Date],"&lt;="&amp;$A346)+SUMIFS(tblSafetyHistory[LTI],tblSafetyHistory[Month],"&gt;="&amp;EDATE($E346,-12),tblSafetyHistory[Month],"&lt;"&amp;cfg_YearStart))/(SUMIFS(tblSafety[Hours_Total],tblSafety[Date],"&gt;="&amp;EDATE($E346,-12),tblSafety[Date],"&lt;="&amp;$A346)+SUMIFS(tblSafetyHistory[Hours_Total],tblSafetyHistory[Month],"&gt;="&amp;EDATE($E346,-12),tblSafetyHistory[Month],"&lt;"&amp;cfg_YearStart))*1000000,"")</f>
        <v/>
      </c>
      <c r="HH346" s="62">
        <f>IF(MAX(N(cfg_PriorLTIDate),_xlfn.MAXIFS(tblSafety[Date],tblSafety[LTI],"&gt;0",tblSafety[Date],"&lt;="&amp;$A346))=0,"",$A346-MAX(N(cfg_PriorLTIDate),_xlfn.MAXIFS(tblSafety[Date],tblSafety[LTI],"&gt;0",tblSafety[Date],"&lt;="&amp;$A346)))</f>
        <v/>
      </c>
      <c r="HI346" s="55">
        <f>SUMIFS(tblBudget[Ore_Mined_t],tblBudget[Month],$E346)</f>
        <v/>
      </c>
      <c r="HJ346" s="55">
        <f>$HI346*$C346/$D346</f>
        <v/>
      </c>
      <c r="HK346" s="55">
        <f>SUMIFS(tblBudget[Ore_Mined_t],tblBudget[Month],"&lt;"&amp;$E346)+$HJ346</f>
        <v/>
      </c>
      <c r="HL346" s="55">
        <f>SUMIFS(tblBudget[Ore_oz],tblBudget[Month],$E346)</f>
        <v/>
      </c>
      <c r="HM346" s="55">
        <f>$HL346*$C346/$D346</f>
        <v/>
      </c>
      <c r="HN346" s="55">
        <f>SUMIFS(tblBudget[Ore_oz],tblBudget[Month],"&lt;"&amp;$E346)+$HM346</f>
        <v/>
      </c>
      <c r="HO346" s="56">
        <f>IFERROR(IF(($HI346)&gt;0,($HL346*cfg_TroyOz)/($HI346),""),"")</f>
        <v/>
      </c>
      <c r="HP346" s="56">
        <f>IFERROR(IF(($HJ346)&gt;0,($HM346*cfg_TroyOz)/($HJ346),""),"")</f>
        <v/>
      </c>
      <c r="HQ346" s="56">
        <f>IFERROR(IF(($HK346)&gt;0,($HN346*cfg_TroyOz)/($HK346),""),"")</f>
        <v/>
      </c>
      <c r="HR346" s="55">
        <f>SUMIFS(tblBudget[Waste_t],tblBudget[Month],$E346)</f>
        <v/>
      </c>
      <c r="HS346" s="55">
        <f>$HR346*$C346/$D346</f>
        <v/>
      </c>
      <c r="HT346" s="55">
        <f>SUMIFS(tblBudget[Waste_t],tblBudget[Month],"&lt;"&amp;$E346)+$HS346</f>
        <v/>
      </c>
      <c r="HU346" s="55">
        <f>SUMIFS(tblBudget[TMM_t],tblBudget[Month],$E346)</f>
        <v/>
      </c>
      <c r="HV346" s="55">
        <f>$HU346*$C346/$D346</f>
        <v/>
      </c>
      <c r="HW346" s="55">
        <f>SUMIFS(tblBudget[TMM_t],tblBudget[Month],"&lt;"&amp;$E346)+$HV346</f>
        <v/>
      </c>
      <c r="HX346" s="56">
        <f>IFERROR(IF(($HI346)&gt;0,($HR346)/($HI346),""),"")</f>
        <v/>
      </c>
      <c r="HY346" s="56">
        <f>IFERROR(IF(($HJ346)&gt;0,($HS346)/($HJ346),""),"")</f>
        <v/>
      </c>
      <c r="HZ346" s="56">
        <f>IFERROR(IF(($HK346)&gt;0,($HT346)/($HK346),""),"")</f>
        <v/>
      </c>
      <c r="IA346" s="55">
        <f>SUMIFS(tblBudget[Drill_m],tblBudget[Month],$E346)</f>
        <v/>
      </c>
      <c r="IB346" s="55">
        <f>$IA346*$C346/$D346</f>
        <v/>
      </c>
      <c r="IC346" s="55">
        <f>SUMIFS(tblBudget[Drill_m],tblBudget[Month],"&lt;"&amp;$E346)+$IB346</f>
        <v/>
      </c>
      <c r="ID346" s="55">
        <f>SUMIFS(tblBudget[Diesel_L],tblBudget[Month],$E346)</f>
        <v/>
      </c>
      <c r="IE346" s="55">
        <f>$ID346*$C346/$D346</f>
        <v/>
      </c>
      <c r="IF346" s="55">
        <f>SUMIFS(tblBudget[Diesel_L],tblBudget[Month],"&lt;"&amp;$E346)+$IE346</f>
        <v/>
      </c>
      <c r="IG346" s="55">
        <f>SUMIFS(tblBudget[Milled_t],tblBudget[Month],$E346)</f>
        <v/>
      </c>
      <c r="IH346" s="55">
        <f>$IG346*$C346/$D346</f>
        <v/>
      </c>
      <c r="II346" s="55">
        <f>SUMIFS(tblBudget[Milled_t],tblBudget[Month],"&lt;"&amp;$E346)+$IH346</f>
        <v/>
      </c>
      <c r="IJ346" s="55">
        <f>SUMIFS(tblBudget[Feed_oz],tblBudget[Month],$E346)</f>
        <v/>
      </c>
      <c r="IK346" s="55">
        <f>$IJ346*$C346/$D346</f>
        <v/>
      </c>
      <c r="IL346" s="55">
        <f>SUMIFS(tblBudget[Feed_oz],tblBudget[Month],"&lt;"&amp;$E346)+$IK346</f>
        <v/>
      </c>
      <c r="IM346" s="55">
        <f>SUMIFS(tblBudget[Recovered_oz],tblBudget[Month],$E346)</f>
        <v/>
      </c>
      <c r="IN346" s="55">
        <f>$IM346*$C346/$D346</f>
        <v/>
      </c>
      <c r="IO346" s="55">
        <f>SUMIFS(tblBudget[Recovered_oz],tblBudget[Month],"&lt;"&amp;$E346)+$IN346</f>
        <v/>
      </c>
      <c r="IP346" s="56">
        <f>IFERROR(IF(($IG346)&gt;0,($IJ346*cfg_TroyOz)/($IG346),""),"")</f>
        <v/>
      </c>
      <c r="IQ346" s="56">
        <f>IFERROR(IF(($IH346)&gt;0,($IK346*cfg_TroyOz)/($IH346),""),"")</f>
        <v/>
      </c>
      <c r="IR346" s="56">
        <f>IFERROR(IF(($II346)&gt;0,($IL346*cfg_TroyOz)/($II346),""),"")</f>
        <v/>
      </c>
      <c r="IS346" s="67">
        <f>IFERROR(IF(($IJ346)&gt;0,($IM346)/($IJ346),""),"")</f>
        <v/>
      </c>
      <c r="IT346" s="67">
        <f>IFERROR(IF(($IK346)&gt;0,($IN346)/($IK346),""),"")</f>
        <v/>
      </c>
      <c r="IU346" s="67">
        <f>IFERROR(IF(($IL346)&gt;0,($IO346)/($IL346),""),"")</f>
        <v/>
      </c>
      <c r="IV346" s="55">
        <f>SUMIFS(tblBudget[Gold_Poured_oz],tblBudget[Month],$E346)</f>
        <v/>
      </c>
      <c r="IW346" s="55">
        <f>$IV346*$C346/$D346</f>
        <v/>
      </c>
      <c r="IX346" s="55">
        <f>SUMIFS(tblBudget[Gold_Poured_oz],tblBudget[Month],"&lt;"&amp;$E346)+$IW346</f>
        <v/>
      </c>
      <c r="IY346" s="57">
        <f>SUMIFS(tblBudget[Hours_Worked],tblBudget[Month],$E346)</f>
        <v/>
      </c>
      <c r="IZ346" s="57">
        <f>$IY346*$C346/$D346</f>
        <v/>
      </c>
      <c r="JA346" s="57">
        <f>SUMIFS(tblBudget[Hours_Worked],tblBudget[Month],"&lt;"&amp;$E346)+$IZ346</f>
        <v/>
      </c>
    </row>
    <row r="347">
      <c r="A347" s="54" t="n">
        <v>46368</v>
      </c>
      <c r="B347">
        <f>MONTH($A347)</f>
        <v/>
      </c>
      <c r="C347">
        <f>DAY($A347)</f>
        <v/>
      </c>
      <c r="D347">
        <f>DAY(EOMONTH($A347,0))</f>
        <v/>
      </c>
      <c r="E347" s="54">
        <f>DATE(YEAR($A347),MONTH($A347),1)</f>
        <v/>
      </c>
      <c r="F347" s="55">
        <f>SUMIFS(tblMovement[Tonnes_t],tblMovement[Date],$A347,tblMovement[Is_Ore],1,tblMovement[Source_Type],"Pit")</f>
        <v/>
      </c>
      <c r="G347" s="55">
        <f>IF($B347=$B346,$G346,0)+$F347</f>
        <v/>
      </c>
      <c r="H347" s="55">
        <f>$H346+$F347</f>
        <v/>
      </c>
      <c r="I347" s="55">
        <f>SUMIFS(tblMovement[Ore_oz],tblMovement[Date],$A347,tblMovement[Source_Type],"Pit")</f>
        <v/>
      </c>
      <c r="J347" s="55">
        <f>IF($B347=$B346,$J346,0)+$I347</f>
        <v/>
      </c>
      <c r="K347" s="55">
        <f>$K346+$I347</f>
        <v/>
      </c>
      <c r="L347" s="56">
        <f>IFERROR(IF(($F347)&gt;0,($I347*cfg_TroyOz)/($F347),""),"")</f>
        <v/>
      </c>
      <c r="M347" s="56">
        <f>IFERROR(IF(($G347)&gt;0,($J347*cfg_TroyOz)/($G347),""),"")</f>
        <v/>
      </c>
      <c r="N347" s="56">
        <f>IFERROR(IF(($H347)&gt;0,($K347*cfg_TroyOz)/($H347),""),"")</f>
        <v/>
      </c>
      <c r="O347" s="55">
        <f>SUMIFS(tblMovement[Tonnes_t],tblMovement[Date],$A347,tblMovement[Is_Ore],0,tblMovement[Source_Type],"Pit")</f>
        <v/>
      </c>
      <c r="P347" s="55">
        <f>IF($B347=$B346,$P346,0)+$O347</f>
        <v/>
      </c>
      <c r="Q347" s="55">
        <f>$Q346+$O347</f>
        <v/>
      </c>
      <c r="R347" s="55">
        <f>$F347+$O347</f>
        <v/>
      </c>
      <c r="S347" s="55">
        <f>IF($B347=$B346,$S346,0)+$R347</f>
        <v/>
      </c>
      <c r="T347" s="55">
        <f>$T346+$R347</f>
        <v/>
      </c>
      <c r="U347" s="56">
        <f>IFERROR(IF(($F347)&gt;0,($O347)/($F347),""),"")</f>
        <v/>
      </c>
      <c r="V347" s="56">
        <f>IFERROR(IF(($G347)&gt;0,($P347)/($G347),""),"")</f>
        <v/>
      </c>
      <c r="W347" s="56">
        <f>IFERROR(IF(($H347)&gt;0,($Q347)/($H347),""),"")</f>
        <v/>
      </c>
      <c r="X347" s="55">
        <f>SUMIFS(tblMovement[Tonnes_t],tblMovement[Date],$A347,tblMovement[Source_Type],"Stockpile")</f>
        <v/>
      </c>
      <c r="Y347" s="55">
        <f>IF($B347=$B346,$Y346,0)+$X347</f>
        <v/>
      </c>
      <c r="Z347" s="55">
        <f>$Z346+$X347</f>
        <v/>
      </c>
      <c r="AA347" s="55">
        <f>SUMIFS(tblMiningDaily[Drill_m],tblMiningDaily[Date],$A347)</f>
        <v/>
      </c>
      <c r="AB347" s="55">
        <f>IF($B347=$B346,$AB346,0)+$AA347</f>
        <v/>
      </c>
      <c r="AC347" s="55">
        <f>$AC346+$AA347</f>
        <v/>
      </c>
      <c r="AD347" s="55">
        <f>SUMIFS(tblMiningDaily[Blast_t],tblMiningDaily[Date],$A347)</f>
        <v/>
      </c>
      <c r="AE347" s="55">
        <f>IF($B347=$B346,$AE346,0)+$AD347</f>
        <v/>
      </c>
      <c r="AF347" s="55">
        <f>$AF346+$AD347</f>
        <v/>
      </c>
      <c r="AG347" s="55">
        <f>SUMIFS(tblMiningDaily[Explosives_kg],tblMiningDaily[Date],$A347)</f>
        <v/>
      </c>
      <c r="AH347" s="55">
        <f>IF($B347=$B346,$AH346,0)+$AG347</f>
        <v/>
      </c>
      <c r="AI347" s="55">
        <f>$AI346+$AG347</f>
        <v/>
      </c>
      <c r="AJ347" s="56">
        <f>IFERROR(IF(($AD347)&gt;0,($AG347)/($AD347),""),"")</f>
        <v/>
      </c>
      <c r="AK347" s="56">
        <f>IFERROR(IF(($AE347)&gt;0,($AH347)/($AE347),""),"")</f>
        <v/>
      </c>
      <c r="AL347" s="56">
        <f>IFERROR(IF(($AF347)&gt;0,($AI347)/($AF347),""),"")</f>
        <v/>
      </c>
      <c r="AM347" s="55">
        <f>SUMIFS(tblMiningDaily[Diesel_L],tblMiningDaily[Date],$A347)</f>
        <v/>
      </c>
      <c r="AN347" s="55">
        <f>IF($B347=$B346,$AN346,0)+$AM347</f>
        <v/>
      </c>
      <c r="AO347" s="55">
        <f>$AO346+$AM347</f>
        <v/>
      </c>
      <c r="AP347" s="55">
        <f>SUMIFS(tblMiningDaily[Dewatering_m3],tblMiningDaily[Date],$A347)</f>
        <v/>
      </c>
      <c r="AQ347" s="55">
        <f>IF($B347=$B346,$AQ346,0)+$AP347</f>
        <v/>
      </c>
      <c r="AR347" s="55">
        <f>$AR346+$AP347</f>
        <v/>
      </c>
      <c r="AS347" s="57">
        <f>SUMIFS(tblFleet[Calendar_h],tblFleet[Date],$A347,tblFleet[Equipment_Class],"Excavator")</f>
        <v/>
      </c>
      <c r="AT347" s="57">
        <f>IF($B347=$B346,$AT346,0)+$AS347</f>
        <v/>
      </c>
      <c r="AU347" s="57">
        <f>$AU346+$AS347</f>
        <v/>
      </c>
      <c r="AV347" s="57">
        <f>SUMIFS(tblFleet[Available_h],tblFleet[Date],$A347,tblFleet[Equipment_Class],"Excavator")</f>
        <v/>
      </c>
      <c r="AW347" s="57">
        <f>IF($B347=$B346,$AW346,0)+$AV347</f>
        <v/>
      </c>
      <c r="AX347" s="57">
        <f>$AX346+$AV347</f>
        <v/>
      </c>
      <c r="AY347" s="57">
        <f>SUMIFS(tblFleet[Operating_h],tblFleet[Date],$A347,tblFleet[Equipment_Class],"Excavator")</f>
        <v/>
      </c>
      <c r="AZ347" s="57">
        <f>IF($B347=$B346,$AZ346,0)+$AY347</f>
        <v/>
      </c>
      <c r="BA347" s="57">
        <f>$BA346+$AY347</f>
        <v/>
      </c>
      <c r="BB347" s="67">
        <f>IFERROR(IF(($AS347)&gt;0,($AV347)/($AS347),""),"")</f>
        <v/>
      </c>
      <c r="BC347" s="67">
        <f>IFERROR(IF(($AT347)&gt;0,($AW347)/($AT347),""),"")</f>
        <v/>
      </c>
      <c r="BD347" s="67">
        <f>IFERROR(IF(($AU347)&gt;0,($AX347)/($AU347),""),"")</f>
        <v/>
      </c>
      <c r="BE347" s="67">
        <f>IFERROR(IF(($AV347)&gt;0,($AY347)/($AV347),""),"")</f>
        <v/>
      </c>
      <c r="BF347" s="67">
        <f>IFERROR(IF(($AW347)&gt;0,($AZ347)/($AW347),""),"")</f>
        <v/>
      </c>
      <c r="BG347" s="67">
        <f>IFERROR(IF(($AX347)&gt;0,($BA347)/($AX347),""),"")</f>
        <v/>
      </c>
      <c r="BH347" s="57">
        <f>SUMIFS(tblFleet[Calendar_h],tblFleet[Date],$A347,tblFleet[Equipment_Class],"Haul Truck")</f>
        <v/>
      </c>
      <c r="BI347" s="57">
        <f>IF($B347=$B346,$BI346,0)+$BH347</f>
        <v/>
      </c>
      <c r="BJ347" s="57">
        <f>$BJ346+$BH347</f>
        <v/>
      </c>
      <c r="BK347" s="57">
        <f>SUMIFS(tblFleet[Available_h],tblFleet[Date],$A347,tblFleet[Equipment_Class],"Haul Truck")</f>
        <v/>
      </c>
      <c r="BL347" s="57">
        <f>IF($B347=$B346,$BL346,0)+$BK347</f>
        <v/>
      </c>
      <c r="BM347" s="57">
        <f>$BM346+$BK347</f>
        <v/>
      </c>
      <c r="BN347" s="57">
        <f>SUMIFS(tblFleet[Operating_h],tblFleet[Date],$A347,tblFleet[Equipment_Class],"Haul Truck")</f>
        <v/>
      </c>
      <c r="BO347" s="57">
        <f>IF($B347=$B346,$BO346,0)+$BN347</f>
        <v/>
      </c>
      <c r="BP347" s="57">
        <f>$BP346+$BN347</f>
        <v/>
      </c>
      <c r="BQ347" s="67">
        <f>IFERROR(IF(($BH347)&gt;0,($BK347)/($BH347),""),"")</f>
        <v/>
      </c>
      <c r="BR347" s="67">
        <f>IFERROR(IF(($BI347)&gt;0,($BL347)/($BI347),""),"")</f>
        <v/>
      </c>
      <c r="BS347" s="67">
        <f>IFERROR(IF(($BJ347)&gt;0,($BM347)/($BJ347),""),"")</f>
        <v/>
      </c>
      <c r="BT347" s="67">
        <f>IFERROR(IF(($BK347)&gt;0,($BN347)/($BK347),""),"")</f>
        <v/>
      </c>
      <c r="BU347" s="67">
        <f>IFERROR(IF(($BL347)&gt;0,($BO347)/($BL347),""),"")</f>
        <v/>
      </c>
      <c r="BV347" s="67">
        <f>IFERROR(IF(($BM347)&gt;0,($BP347)/($BM347),""),"")</f>
        <v/>
      </c>
      <c r="BW347" s="55">
        <f>SUMIFS(tblPlant[Crushed_t],tblPlant[Date],$A347)</f>
        <v/>
      </c>
      <c r="BX347" s="55">
        <f>IF($B347=$B346,$BX346,0)+$BW347</f>
        <v/>
      </c>
      <c r="BY347" s="55">
        <f>$BY346+$BW347</f>
        <v/>
      </c>
      <c r="BZ347" s="55">
        <f>SUMIFS(tblPlant[Milled_t],tblPlant[Date],$A347)</f>
        <v/>
      </c>
      <c r="CA347" s="55">
        <f>IF($B347=$B346,$CA346,0)+$BZ347</f>
        <v/>
      </c>
      <c r="CB347" s="55">
        <f>$CB346+$BZ347</f>
        <v/>
      </c>
      <c r="CC347" s="55">
        <f>SUMIFS(tblPlant[Feed_oz],tblPlant[Date],$A347)</f>
        <v/>
      </c>
      <c r="CD347" s="55">
        <f>IF($B347=$B346,$CD346,0)+$CC347</f>
        <v/>
      </c>
      <c r="CE347" s="55">
        <f>$CE346+$CC347</f>
        <v/>
      </c>
      <c r="CF347" s="55">
        <f>SUMIFS(tblPlant[Tails_oz],tblPlant[Date],$A347)</f>
        <v/>
      </c>
      <c r="CG347" s="55">
        <f>IF($B347=$B346,$CG346,0)+$CF347</f>
        <v/>
      </c>
      <c r="CH347" s="55">
        <f>$CH346+$CF347</f>
        <v/>
      </c>
      <c r="CI347" s="55">
        <f>SUMIFS(tblPlant[Recovered_oz],tblPlant[Date],$A347)</f>
        <v/>
      </c>
      <c r="CJ347" s="55">
        <f>IF($B347=$B346,$CJ346,0)+$CI347</f>
        <v/>
      </c>
      <c r="CK347" s="55">
        <f>$CK346+$CI347</f>
        <v/>
      </c>
      <c r="CL347" s="56">
        <f>IFERROR(IF(($BZ347)&gt;0,($CC347*cfg_TroyOz)/($BZ347),""),"")</f>
        <v/>
      </c>
      <c r="CM347" s="56">
        <f>IFERROR(IF(($CA347)&gt;0,($CD347*cfg_TroyOz)/($CA347),""),"")</f>
        <v/>
      </c>
      <c r="CN347" s="56">
        <f>IFERROR(IF(($CB347)&gt;0,($CE347*cfg_TroyOz)/($CB347),""),"")</f>
        <v/>
      </c>
      <c r="CO347" s="56">
        <f>IFERROR(IF(($BZ347)&gt;0,($CF347*cfg_TroyOz)/($BZ347),""),"")</f>
        <v/>
      </c>
      <c r="CP347" s="56">
        <f>IFERROR(IF(($CA347)&gt;0,($CG347*cfg_TroyOz)/($CA347),""),"")</f>
        <v/>
      </c>
      <c r="CQ347" s="56">
        <f>IFERROR(IF(($CB347)&gt;0,($CH347*cfg_TroyOz)/($CB347),""),"")</f>
        <v/>
      </c>
      <c r="CR347" s="67">
        <f>IFERROR(IF(($CC347)&gt;0,($CI347)/($CC347),""),"")</f>
        <v/>
      </c>
      <c r="CS347" s="67">
        <f>IFERROR(IF(($CD347)&gt;0,($CJ347)/($CD347),""),"")</f>
        <v/>
      </c>
      <c r="CT347" s="67">
        <f>IFERROR(IF(($CE347)&gt;0,($CK347)/($CE347),""),"")</f>
        <v/>
      </c>
      <c r="CU347" s="55">
        <f>SUMIFS(tblPlant[Gravity_Gold_oz],tblPlant[Date],$A347)</f>
        <v/>
      </c>
      <c r="CV347" s="55">
        <f>IF($B347=$B346,$CV346,0)+$CU347</f>
        <v/>
      </c>
      <c r="CW347" s="55">
        <f>$CW346+$CU347</f>
        <v/>
      </c>
      <c r="CX347" s="55">
        <f>SUMIFS(tblPlant[Gold_Poured_oz],tblPlant[Date],$A347)</f>
        <v/>
      </c>
      <c r="CY347" s="55">
        <f>IF($B347=$B346,$CY346,0)+$CX347</f>
        <v/>
      </c>
      <c r="CZ347" s="55">
        <f>$CZ346+$CX347</f>
        <v/>
      </c>
      <c r="DA347" s="57">
        <f>SUMIFS(tblPlant[Mill_Run_h],tblPlant[Date],$A347)</f>
        <v/>
      </c>
      <c r="DB347" s="57">
        <f>IF($B347=$B346,$DB346,0)+$DA347</f>
        <v/>
      </c>
      <c r="DC347" s="57">
        <f>$DC346+$DA347</f>
        <v/>
      </c>
      <c r="DD347" s="57">
        <f>SUMIFS(tblPlant[Mill_Planned_Maint_h],tblPlant[Date],$A347)</f>
        <v/>
      </c>
      <c r="DE347" s="57">
        <f>IF($B347=$B346,$DE346,0)+$DD347</f>
        <v/>
      </c>
      <c r="DF347" s="57">
        <f>$DF346+$DD347</f>
        <v/>
      </c>
      <c r="DG347" s="57">
        <f>SUMIFS(tblPlant[Mill_Unplanned_Down_h],tblPlant[Date],$A347)</f>
        <v/>
      </c>
      <c r="DH347" s="57">
        <f>IF($B347=$B346,$DH346,0)+$DG347</f>
        <v/>
      </c>
      <c r="DI347" s="57">
        <f>$DI346+$DG347</f>
        <v/>
      </c>
      <c r="DJ347" s="57">
        <f>COUNTIFS(tblPlant[Date],$A347,tblPlant[Mill_Run_h],"&lt;&gt;")*24</f>
        <v/>
      </c>
      <c r="DK347" s="57">
        <f>IF($B347=$B346,$DK346,0)+$DJ347</f>
        <v/>
      </c>
      <c r="DL347" s="57">
        <f>$DL346+$DJ347</f>
        <v/>
      </c>
      <c r="DM347" s="57">
        <f>SUMIFS(tblPlant[Crusher_Run_h],tblPlant[Date],$A347)</f>
        <v/>
      </c>
      <c r="DN347" s="57">
        <f>IF($B347=$B346,$DN346,0)+$DM347</f>
        <v/>
      </c>
      <c r="DO347" s="57">
        <f>$DO346+$DM347</f>
        <v/>
      </c>
      <c r="DP347" s="55">
        <f>IFERROR(IF(($DA347)&gt;0,($BZ347)/($DA347),""),"")</f>
        <v/>
      </c>
      <c r="DQ347" s="55">
        <f>IFERROR(IF(($DB347)&gt;0,($CA347)/($DB347),""),"")</f>
        <v/>
      </c>
      <c r="DR347" s="55">
        <f>IFERROR(IF(($DC347)&gt;0,($CB347)/($DC347),""),"")</f>
        <v/>
      </c>
      <c r="DS347" s="67">
        <f>IFERROR(IF(($DJ347)&gt;0,($DJ347-$DD347-$DG347)/($DJ347),""),"")</f>
        <v/>
      </c>
      <c r="DT347" s="67">
        <f>IFERROR(IF(($DK347)&gt;0,($DK347-$DE347-$DH347)/($DK347),""),"")</f>
        <v/>
      </c>
      <c r="DU347" s="67">
        <f>IFERROR(IF(($DL347)&gt;0,($DL347-$DF347-$DI347)/($DL347),""),"")</f>
        <v/>
      </c>
      <c r="DV347" s="67">
        <f>IFERROR(IF(($DJ347-$DD347-$DG347)&gt;0,($DA347)/($DJ347-$DD347-$DG347),""),"")</f>
        <v/>
      </c>
      <c r="DW347" s="67">
        <f>IFERROR(IF(($DK347-$DE347-$DH347)&gt;0,($DB347)/($DK347-$DE347-$DH347),""),"")</f>
        <v/>
      </c>
      <c r="DX347" s="67">
        <f>IFERROR(IF(($DL347-$DF347-$DI347)&gt;0,($DC347)/($DL347-$DF347-$DI347),""),"")</f>
        <v/>
      </c>
      <c r="DY347" s="55">
        <f>SUMIFS(tblPlant[Cyanide_kg],tblPlant[Date],$A347)</f>
        <v/>
      </c>
      <c r="DZ347" s="55">
        <f>IF($B347=$B346,$DZ346,0)+$DY347</f>
        <v/>
      </c>
      <c r="EA347" s="55">
        <f>$EA346+$DY347</f>
        <v/>
      </c>
      <c r="EB347" s="55">
        <f>SUMIFS(tblPlant[Lime_kg],tblPlant[Date],$A347)</f>
        <v/>
      </c>
      <c r="EC347" s="55">
        <f>IF($B347=$B346,$EC346,0)+$EB347</f>
        <v/>
      </c>
      <c r="ED347" s="55">
        <f>$ED346+$EB347</f>
        <v/>
      </c>
      <c r="EE347" s="55">
        <f>SUMIFS(tblPlant[Grinding_Media_kg],tblPlant[Date],$A347)</f>
        <v/>
      </c>
      <c r="EF347" s="55">
        <f>IF($B347=$B346,$EF346,0)+$EE347</f>
        <v/>
      </c>
      <c r="EG347" s="55">
        <f>$EG346+$EE347</f>
        <v/>
      </c>
      <c r="EH347" s="55">
        <f>SUMIFS(tblPlant[Power_kWh],tblPlant[Date],$A347)</f>
        <v/>
      </c>
      <c r="EI347" s="55">
        <f>IF($B347=$B346,$EI346,0)+$EH347</f>
        <v/>
      </c>
      <c r="EJ347" s="55">
        <f>$EJ346+$EH347</f>
        <v/>
      </c>
      <c r="EK347" s="55">
        <f>SUMIFS(tblPlant[Raw_Water_m3],tblPlant[Date],$A347)</f>
        <v/>
      </c>
      <c r="EL347" s="55">
        <f>IF($B347=$B346,$EL346,0)+$EK347</f>
        <v/>
      </c>
      <c r="EM347" s="55">
        <f>$EM346+$EK347</f>
        <v/>
      </c>
      <c r="EN347" s="56">
        <f>IFERROR(IF(($BZ347)&gt;0,($DY347)/($BZ347),""),"")</f>
        <v/>
      </c>
      <c r="EO347" s="56">
        <f>IFERROR(IF(($CA347)&gt;0,($DZ347)/($CA347),""),"")</f>
        <v/>
      </c>
      <c r="EP347" s="56">
        <f>IFERROR(IF(($CB347)&gt;0,($EA347)/($CB347),""),"")</f>
        <v/>
      </c>
      <c r="EQ347" s="56">
        <f>IFERROR(IF(($BZ347)&gt;0,($EB347)/($BZ347),""),"")</f>
        <v/>
      </c>
      <c r="ER347" s="56">
        <f>IFERROR(IF(($CA347)&gt;0,($EC347)/($CA347),""),"")</f>
        <v/>
      </c>
      <c r="ES347" s="56">
        <f>IFERROR(IF(($CB347)&gt;0,($ED347)/($CB347),""),"")</f>
        <v/>
      </c>
      <c r="ET347" s="56">
        <f>IFERROR(IF(($BZ347)&gt;0,($EE347)/($BZ347),""),"")</f>
        <v/>
      </c>
      <c r="EU347" s="56">
        <f>IFERROR(IF(($CA347)&gt;0,($EF347)/($CA347),""),"")</f>
        <v/>
      </c>
      <c r="EV347" s="56">
        <f>IFERROR(IF(($CB347)&gt;0,($EG347)/($CB347),""),"")</f>
        <v/>
      </c>
      <c r="EW347" s="76">
        <f>IFERROR(IF(($BZ347)&gt;0,($EH347)/($BZ347),""),"")</f>
        <v/>
      </c>
      <c r="EX347" s="76">
        <f>IFERROR(IF(($CA347)&gt;0,($EI347)/($CA347),""),"")</f>
        <v/>
      </c>
      <c r="EY347" s="76">
        <f>IFERROR(IF(($CB347)&gt;0,($EJ347)/($CB347),""),"")</f>
        <v/>
      </c>
      <c r="EZ347" s="56">
        <f>IFERROR(IF(($BZ347)&gt;0,($EK347)/($BZ347),""),"")</f>
        <v/>
      </c>
      <c r="FA347" s="56">
        <f>IFERROR(IF(($CA347)&gt;0,($EL347)/($CA347),""),"")</f>
        <v/>
      </c>
      <c r="FB347" s="56">
        <f>IFERROR(IF(($CB347)&gt;0,($EM347)/($CB347),""),"")</f>
        <v/>
      </c>
      <c r="FC347" s="55">
        <f>IF(SUMIFS(tblPlant[GIC_oz],tblPlant[Date],$A347)&gt;0,SUMIFS(tblPlant[GIC_oz],tblPlant[Date],$A347),"")</f>
        <v/>
      </c>
      <c r="FD347" s="55">
        <f>SUMIFS(tblGold[Gold_oz],tblGold[Date],$A347,tblGold[Type],"Shipment")</f>
        <v/>
      </c>
      <c r="FE347" s="55">
        <f>IF($B347=$B346,$FE346,0)+$FD347</f>
        <v/>
      </c>
      <c r="FF347" s="55">
        <f>$FF346+$FD347</f>
        <v/>
      </c>
      <c r="FG347" s="55">
        <f>SUMIFS(tblGold[Gold_oz],tblGold[Date],$A347,tblGold[Type],"Sale")</f>
        <v/>
      </c>
      <c r="FH347" s="55">
        <f>IF($B347=$B346,$FH346,0)+$FG347</f>
        <v/>
      </c>
      <c r="FI347" s="55">
        <f>$FI346+$FG347</f>
        <v/>
      </c>
      <c r="FJ347" s="55">
        <f>SUMIFS(tblGold[Dore_kg],tblGold[Date],$A347,tblGold[Type],"Shipment")</f>
        <v/>
      </c>
      <c r="FK347" s="55">
        <f>IF($B347=$B346,$FK346,0)+$FJ347</f>
        <v/>
      </c>
      <c r="FL347" s="55">
        <f>$FL346+$FJ347</f>
        <v/>
      </c>
      <c r="FM347" s="57">
        <f>SUMIFS(tblSafety[Hours_Total],tblSafety[Date],$A347)</f>
        <v/>
      </c>
      <c r="FN347" s="57">
        <f>IF($B347=$B346,$FN346,0)+$FM347</f>
        <v/>
      </c>
      <c r="FO347" s="57">
        <f>$FO346+$FM347</f>
        <v/>
      </c>
      <c r="FP347" s="62">
        <f>SUMIFS(tblSafety[Fatality],tblSafety[Date],$A347)</f>
        <v/>
      </c>
      <c r="FQ347" s="62">
        <f>IF($B347=$B346,$FQ346,0)+$FP347</f>
        <v/>
      </c>
      <c r="FR347" s="62">
        <f>$FR346+$FP347</f>
        <v/>
      </c>
      <c r="FS347" s="62">
        <f>SUMIFS(tblSafety[LTI],tblSafety[Date],$A347)</f>
        <v/>
      </c>
      <c r="FT347" s="62">
        <f>IF($B347=$B346,$FT346,0)+$FS347</f>
        <v/>
      </c>
      <c r="FU347" s="62">
        <f>$FU346+$FS347</f>
        <v/>
      </c>
      <c r="FV347" s="62">
        <f>SUMIFS(tblSafety[RWI],tblSafety[Date],$A347)</f>
        <v/>
      </c>
      <c r="FW347" s="62">
        <f>IF($B347=$B346,$FW346,0)+$FV347</f>
        <v/>
      </c>
      <c r="FX347" s="62">
        <f>$FX346+$FV347</f>
        <v/>
      </c>
      <c r="FY347" s="62">
        <f>SUMIFS(tblSafety[MTI],tblSafety[Date],$A347)</f>
        <v/>
      </c>
      <c r="FZ347" s="62">
        <f>IF($B347=$B346,$FZ346,0)+$FY347</f>
        <v/>
      </c>
      <c r="GA347" s="62">
        <f>$GA346+$FY347</f>
        <v/>
      </c>
      <c r="GB347" s="62">
        <f>SUMIFS(tblSafety[FAI],tblSafety[Date],$A347)</f>
        <v/>
      </c>
      <c r="GC347" s="62">
        <f>IF($B347=$B346,$GC346,0)+$GB347</f>
        <v/>
      </c>
      <c r="GD347" s="62">
        <f>$GD346+$GB347</f>
        <v/>
      </c>
      <c r="GE347" s="62">
        <f>SUMIFS(tblSafety[Recordables],tblSafety[Date],$A347)</f>
        <v/>
      </c>
      <c r="GF347" s="62">
        <f>IF($B347=$B346,$GF346,0)+$GE347</f>
        <v/>
      </c>
      <c r="GG347" s="62">
        <f>$GG346+$GE347</f>
        <v/>
      </c>
      <c r="GH347" s="62">
        <f>SUMIFS(tblSafety[Near_Miss],tblSafety[Date],$A347)</f>
        <v/>
      </c>
      <c r="GI347" s="62">
        <f>IF($B347=$B346,$GI346,0)+$GH347</f>
        <v/>
      </c>
      <c r="GJ347" s="62">
        <f>$GJ346+$GH347</f>
        <v/>
      </c>
      <c r="GK347" s="62">
        <f>SUMIFS(tblSafety[Hazard_Reports],tblSafety[Date],$A347)</f>
        <v/>
      </c>
      <c r="GL347" s="62">
        <f>IF($B347=$B346,$GL346,0)+$GK347</f>
        <v/>
      </c>
      <c r="GM347" s="62">
        <f>$GM346+$GK347</f>
        <v/>
      </c>
      <c r="GN347" s="62">
        <f>SUMIFS(tblSafety[HPI],tblSafety[Date],$A347)</f>
        <v/>
      </c>
      <c r="GO347" s="62">
        <f>IF($B347=$B346,$GO346,0)+$GN347</f>
        <v/>
      </c>
      <c r="GP347" s="62">
        <f>$GP346+$GN347</f>
        <v/>
      </c>
      <c r="GQ347" s="62">
        <f>SUMIFS(tblSafety[Env_Incidents],tblSafety[Date],$A347)</f>
        <v/>
      </c>
      <c r="GR347" s="62">
        <f>IF($B347=$B346,$GR346,0)+$GQ347</f>
        <v/>
      </c>
      <c r="GS347" s="62">
        <f>$GS346+$GQ347</f>
        <v/>
      </c>
      <c r="GT347" s="62">
        <f>SUMIFS(tblSafety[Community_Incidents],tblSafety[Date],$A347)</f>
        <v/>
      </c>
      <c r="GU347" s="62">
        <f>IF($B347=$B346,$GU346,0)+$GT347</f>
        <v/>
      </c>
      <c r="GV347" s="62">
        <f>$GV346+$GT347</f>
        <v/>
      </c>
      <c r="GW347" s="62">
        <f>SUMIFS(tblSafety[Vehicle_Incidents],tblSafety[Date],$A347)</f>
        <v/>
      </c>
      <c r="GX347" s="62">
        <f>IF($B347=$B346,$GX346,0)+$GW347</f>
        <v/>
      </c>
      <c r="GY347" s="62">
        <f>$GY346+$GW347</f>
        <v/>
      </c>
      <c r="GZ347" s="62">
        <f>SUMIFS(tblSafety[Toolbox_Talks],tblSafety[Date],$A347)</f>
        <v/>
      </c>
      <c r="HA347" s="62">
        <f>IF($B347=$B346,$HA346,0)+$GZ347</f>
        <v/>
      </c>
      <c r="HB347" s="62">
        <f>$HB346+$GZ347</f>
        <v/>
      </c>
      <c r="HC347" s="62">
        <f>SUMIFS(tblSafety[Inspections],tblSafety[Date],$A347)</f>
        <v/>
      </c>
      <c r="HD347" s="62">
        <f>IF($B347=$B346,$HD346,0)+$HC347</f>
        <v/>
      </c>
      <c r="HE347" s="62">
        <f>$HE346+$HC347</f>
        <v/>
      </c>
      <c r="HF347" s="56">
        <f>IFERROR((SUMIFS(tblSafety[Recordables],tblSafety[Date],"&gt;="&amp;EDATE($E347,-12),tblSafety[Date],"&lt;="&amp;$A347)+SUMIFS(tblSafetyHistory[Recordables],tblSafetyHistory[Month],"&gt;="&amp;EDATE($E347,-12),tblSafetyHistory[Month],"&lt;"&amp;cfg_YearStart))/(SUMIFS(tblSafety[Hours_Total],tblSafety[Date],"&gt;="&amp;EDATE($E347,-12),tblSafety[Date],"&lt;="&amp;$A347)+SUMIFS(tblSafetyHistory[Hours_Total],tblSafetyHistory[Month],"&gt;="&amp;EDATE($E347,-12),tblSafetyHistory[Month],"&lt;"&amp;cfg_YearStart))*1000000,"")</f>
        <v/>
      </c>
      <c r="HG347" s="56">
        <f>IFERROR((SUMIFS(tblSafety[LTI],tblSafety[Date],"&gt;="&amp;EDATE($E347,-12),tblSafety[Date],"&lt;="&amp;$A347)+SUMIFS(tblSafetyHistory[LTI],tblSafetyHistory[Month],"&gt;="&amp;EDATE($E347,-12),tblSafetyHistory[Month],"&lt;"&amp;cfg_YearStart))/(SUMIFS(tblSafety[Hours_Total],tblSafety[Date],"&gt;="&amp;EDATE($E347,-12),tblSafety[Date],"&lt;="&amp;$A347)+SUMIFS(tblSafetyHistory[Hours_Total],tblSafetyHistory[Month],"&gt;="&amp;EDATE($E347,-12),tblSafetyHistory[Month],"&lt;"&amp;cfg_YearStart))*1000000,"")</f>
        <v/>
      </c>
      <c r="HH347" s="62">
        <f>IF(MAX(N(cfg_PriorLTIDate),_xlfn.MAXIFS(tblSafety[Date],tblSafety[LTI],"&gt;0",tblSafety[Date],"&lt;="&amp;$A347))=0,"",$A347-MAX(N(cfg_PriorLTIDate),_xlfn.MAXIFS(tblSafety[Date],tblSafety[LTI],"&gt;0",tblSafety[Date],"&lt;="&amp;$A347)))</f>
        <v/>
      </c>
      <c r="HI347" s="55">
        <f>SUMIFS(tblBudget[Ore_Mined_t],tblBudget[Month],$E347)</f>
        <v/>
      </c>
      <c r="HJ347" s="55">
        <f>$HI347*$C347/$D347</f>
        <v/>
      </c>
      <c r="HK347" s="55">
        <f>SUMIFS(tblBudget[Ore_Mined_t],tblBudget[Month],"&lt;"&amp;$E347)+$HJ347</f>
        <v/>
      </c>
      <c r="HL347" s="55">
        <f>SUMIFS(tblBudget[Ore_oz],tblBudget[Month],$E347)</f>
        <v/>
      </c>
      <c r="HM347" s="55">
        <f>$HL347*$C347/$D347</f>
        <v/>
      </c>
      <c r="HN347" s="55">
        <f>SUMIFS(tblBudget[Ore_oz],tblBudget[Month],"&lt;"&amp;$E347)+$HM347</f>
        <v/>
      </c>
      <c r="HO347" s="56">
        <f>IFERROR(IF(($HI347)&gt;0,($HL347*cfg_TroyOz)/($HI347),""),"")</f>
        <v/>
      </c>
      <c r="HP347" s="56">
        <f>IFERROR(IF(($HJ347)&gt;0,($HM347*cfg_TroyOz)/($HJ347),""),"")</f>
        <v/>
      </c>
      <c r="HQ347" s="56">
        <f>IFERROR(IF(($HK347)&gt;0,($HN347*cfg_TroyOz)/($HK347),""),"")</f>
        <v/>
      </c>
      <c r="HR347" s="55">
        <f>SUMIFS(tblBudget[Waste_t],tblBudget[Month],$E347)</f>
        <v/>
      </c>
      <c r="HS347" s="55">
        <f>$HR347*$C347/$D347</f>
        <v/>
      </c>
      <c r="HT347" s="55">
        <f>SUMIFS(tblBudget[Waste_t],tblBudget[Month],"&lt;"&amp;$E347)+$HS347</f>
        <v/>
      </c>
      <c r="HU347" s="55">
        <f>SUMIFS(tblBudget[TMM_t],tblBudget[Month],$E347)</f>
        <v/>
      </c>
      <c r="HV347" s="55">
        <f>$HU347*$C347/$D347</f>
        <v/>
      </c>
      <c r="HW347" s="55">
        <f>SUMIFS(tblBudget[TMM_t],tblBudget[Month],"&lt;"&amp;$E347)+$HV347</f>
        <v/>
      </c>
      <c r="HX347" s="56">
        <f>IFERROR(IF(($HI347)&gt;0,($HR347)/($HI347),""),"")</f>
        <v/>
      </c>
      <c r="HY347" s="56">
        <f>IFERROR(IF(($HJ347)&gt;0,($HS347)/($HJ347),""),"")</f>
        <v/>
      </c>
      <c r="HZ347" s="56">
        <f>IFERROR(IF(($HK347)&gt;0,($HT347)/($HK347),""),"")</f>
        <v/>
      </c>
      <c r="IA347" s="55">
        <f>SUMIFS(tblBudget[Drill_m],tblBudget[Month],$E347)</f>
        <v/>
      </c>
      <c r="IB347" s="55">
        <f>$IA347*$C347/$D347</f>
        <v/>
      </c>
      <c r="IC347" s="55">
        <f>SUMIFS(tblBudget[Drill_m],tblBudget[Month],"&lt;"&amp;$E347)+$IB347</f>
        <v/>
      </c>
      <c r="ID347" s="55">
        <f>SUMIFS(tblBudget[Diesel_L],tblBudget[Month],$E347)</f>
        <v/>
      </c>
      <c r="IE347" s="55">
        <f>$ID347*$C347/$D347</f>
        <v/>
      </c>
      <c r="IF347" s="55">
        <f>SUMIFS(tblBudget[Diesel_L],tblBudget[Month],"&lt;"&amp;$E347)+$IE347</f>
        <v/>
      </c>
      <c r="IG347" s="55">
        <f>SUMIFS(tblBudget[Milled_t],tblBudget[Month],$E347)</f>
        <v/>
      </c>
      <c r="IH347" s="55">
        <f>$IG347*$C347/$D347</f>
        <v/>
      </c>
      <c r="II347" s="55">
        <f>SUMIFS(tblBudget[Milled_t],tblBudget[Month],"&lt;"&amp;$E347)+$IH347</f>
        <v/>
      </c>
      <c r="IJ347" s="55">
        <f>SUMIFS(tblBudget[Feed_oz],tblBudget[Month],$E347)</f>
        <v/>
      </c>
      <c r="IK347" s="55">
        <f>$IJ347*$C347/$D347</f>
        <v/>
      </c>
      <c r="IL347" s="55">
        <f>SUMIFS(tblBudget[Feed_oz],tblBudget[Month],"&lt;"&amp;$E347)+$IK347</f>
        <v/>
      </c>
      <c r="IM347" s="55">
        <f>SUMIFS(tblBudget[Recovered_oz],tblBudget[Month],$E347)</f>
        <v/>
      </c>
      <c r="IN347" s="55">
        <f>$IM347*$C347/$D347</f>
        <v/>
      </c>
      <c r="IO347" s="55">
        <f>SUMIFS(tblBudget[Recovered_oz],tblBudget[Month],"&lt;"&amp;$E347)+$IN347</f>
        <v/>
      </c>
      <c r="IP347" s="56">
        <f>IFERROR(IF(($IG347)&gt;0,($IJ347*cfg_TroyOz)/($IG347),""),"")</f>
        <v/>
      </c>
      <c r="IQ347" s="56">
        <f>IFERROR(IF(($IH347)&gt;0,($IK347*cfg_TroyOz)/($IH347),""),"")</f>
        <v/>
      </c>
      <c r="IR347" s="56">
        <f>IFERROR(IF(($II347)&gt;0,($IL347*cfg_TroyOz)/($II347),""),"")</f>
        <v/>
      </c>
      <c r="IS347" s="67">
        <f>IFERROR(IF(($IJ347)&gt;0,($IM347)/($IJ347),""),"")</f>
        <v/>
      </c>
      <c r="IT347" s="67">
        <f>IFERROR(IF(($IK347)&gt;0,($IN347)/($IK347),""),"")</f>
        <v/>
      </c>
      <c r="IU347" s="67">
        <f>IFERROR(IF(($IL347)&gt;0,($IO347)/($IL347),""),"")</f>
        <v/>
      </c>
      <c r="IV347" s="55">
        <f>SUMIFS(tblBudget[Gold_Poured_oz],tblBudget[Month],$E347)</f>
        <v/>
      </c>
      <c r="IW347" s="55">
        <f>$IV347*$C347/$D347</f>
        <v/>
      </c>
      <c r="IX347" s="55">
        <f>SUMIFS(tblBudget[Gold_Poured_oz],tblBudget[Month],"&lt;"&amp;$E347)+$IW347</f>
        <v/>
      </c>
      <c r="IY347" s="57">
        <f>SUMIFS(tblBudget[Hours_Worked],tblBudget[Month],$E347)</f>
        <v/>
      </c>
      <c r="IZ347" s="57">
        <f>$IY347*$C347/$D347</f>
        <v/>
      </c>
      <c r="JA347" s="57">
        <f>SUMIFS(tblBudget[Hours_Worked],tblBudget[Month],"&lt;"&amp;$E347)+$IZ347</f>
        <v/>
      </c>
    </row>
    <row r="348">
      <c r="A348" s="54" t="n">
        <v>46369</v>
      </c>
      <c r="B348">
        <f>MONTH($A348)</f>
        <v/>
      </c>
      <c r="C348">
        <f>DAY($A348)</f>
        <v/>
      </c>
      <c r="D348">
        <f>DAY(EOMONTH($A348,0))</f>
        <v/>
      </c>
      <c r="E348" s="54">
        <f>DATE(YEAR($A348),MONTH($A348),1)</f>
        <v/>
      </c>
      <c r="F348" s="55">
        <f>SUMIFS(tblMovement[Tonnes_t],tblMovement[Date],$A348,tblMovement[Is_Ore],1,tblMovement[Source_Type],"Pit")</f>
        <v/>
      </c>
      <c r="G348" s="55">
        <f>IF($B348=$B347,$G347,0)+$F348</f>
        <v/>
      </c>
      <c r="H348" s="55">
        <f>$H347+$F348</f>
        <v/>
      </c>
      <c r="I348" s="55">
        <f>SUMIFS(tblMovement[Ore_oz],tblMovement[Date],$A348,tblMovement[Source_Type],"Pit")</f>
        <v/>
      </c>
      <c r="J348" s="55">
        <f>IF($B348=$B347,$J347,0)+$I348</f>
        <v/>
      </c>
      <c r="K348" s="55">
        <f>$K347+$I348</f>
        <v/>
      </c>
      <c r="L348" s="56">
        <f>IFERROR(IF(($F348)&gt;0,($I348*cfg_TroyOz)/($F348),""),"")</f>
        <v/>
      </c>
      <c r="M348" s="56">
        <f>IFERROR(IF(($G348)&gt;0,($J348*cfg_TroyOz)/($G348),""),"")</f>
        <v/>
      </c>
      <c r="N348" s="56">
        <f>IFERROR(IF(($H348)&gt;0,($K348*cfg_TroyOz)/($H348),""),"")</f>
        <v/>
      </c>
      <c r="O348" s="55">
        <f>SUMIFS(tblMovement[Tonnes_t],tblMovement[Date],$A348,tblMovement[Is_Ore],0,tblMovement[Source_Type],"Pit")</f>
        <v/>
      </c>
      <c r="P348" s="55">
        <f>IF($B348=$B347,$P347,0)+$O348</f>
        <v/>
      </c>
      <c r="Q348" s="55">
        <f>$Q347+$O348</f>
        <v/>
      </c>
      <c r="R348" s="55">
        <f>$F348+$O348</f>
        <v/>
      </c>
      <c r="S348" s="55">
        <f>IF($B348=$B347,$S347,0)+$R348</f>
        <v/>
      </c>
      <c r="T348" s="55">
        <f>$T347+$R348</f>
        <v/>
      </c>
      <c r="U348" s="56">
        <f>IFERROR(IF(($F348)&gt;0,($O348)/($F348),""),"")</f>
        <v/>
      </c>
      <c r="V348" s="56">
        <f>IFERROR(IF(($G348)&gt;0,($P348)/($G348),""),"")</f>
        <v/>
      </c>
      <c r="W348" s="56">
        <f>IFERROR(IF(($H348)&gt;0,($Q348)/($H348),""),"")</f>
        <v/>
      </c>
      <c r="X348" s="55">
        <f>SUMIFS(tblMovement[Tonnes_t],tblMovement[Date],$A348,tblMovement[Source_Type],"Stockpile")</f>
        <v/>
      </c>
      <c r="Y348" s="55">
        <f>IF($B348=$B347,$Y347,0)+$X348</f>
        <v/>
      </c>
      <c r="Z348" s="55">
        <f>$Z347+$X348</f>
        <v/>
      </c>
      <c r="AA348" s="55">
        <f>SUMIFS(tblMiningDaily[Drill_m],tblMiningDaily[Date],$A348)</f>
        <v/>
      </c>
      <c r="AB348" s="55">
        <f>IF($B348=$B347,$AB347,0)+$AA348</f>
        <v/>
      </c>
      <c r="AC348" s="55">
        <f>$AC347+$AA348</f>
        <v/>
      </c>
      <c r="AD348" s="55">
        <f>SUMIFS(tblMiningDaily[Blast_t],tblMiningDaily[Date],$A348)</f>
        <v/>
      </c>
      <c r="AE348" s="55">
        <f>IF($B348=$B347,$AE347,0)+$AD348</f>
        <v/>
      </c>
      <c r="AF348" s="55">
        <f>$AF347+$AD348</f>
        <v/>
      </c>
      <c r="AG348" s="55">
        <f>SUMIFS(tblMiningDaily[Explosives_kg],tblMiningDaily[Date],$A348)</f>
        <v/>
      </c>
      <c r="AH348" s="55">
        <f>IF($B348=$B347,$AH347,0)+$AG348</f>
        <v/>
      </c>
      <c r="AI348" s="55">
        <f>$AI347+$AG348</f>
        <v/>
      </c>
      <c r="AJ348" s="56">
        <f>IFERROR(IF(($AD348)&gt;0,($AG348)/($AD348),""),"")</f>
        <v/>
      </c>
      <c r="AK348" s="56">
        <f>IFERROR(IF(($AE348)&gt;0,($AH348)/($AE348),""),"")</f>
        <v/>
      </c>
      <c r="AL348" s="56">
        <f>IFERROR(IF(($AF348)&gt;0,($AI348)/($AF348),""),"")</f>
        <v/>
      </c>
      <c r="AM348" s="55">
        <f>SUMIFS(tblMiningDaily[Diesel_L],tblMiningDaily[Date],$A348)</f>
        <v/>
      </c>
      <c r="AN348" s="55">
        <f>IF($B348=$B347,$AN347,0)+$AM348</f>
        <v/>
      </c>
      <c r="AO348" s="55">
        <f>$AO347+$AM348</f>
        <v/>
      </c>
      <c r="AP348" s="55">
        <f>SUMIFS(tblMiningDaily[Dewatering_m3],tblMiningDaily[Date],$A348)</f>
        <v/>
      </c>
      <c r="AQ348" s="55">
        <f>IF($B348=$B347,$AQ347,0)+$AP348</f>
        <v/>
      </c>
      <c r="AR348" s="55">
        <f>$AR347+$AP348</f>
        <v/>
      </c>
      <c r="AS348" s="57">
        <f>SUMIFS(tblFleet[Calendar_h],tblFleet[Date],$A348,tblFleet[Equipment_Class],"Excavator")</f>
        <v/>
      </c>
      <c r="AT348" s="57">
        <f>IF($B348=$B347,$AT347,0)+$AS348</f>
        <v/>
      </c>
      <c r="AU348" s="57">
        <f>$AU347+$AS348</f>
        <v/>
      </c>
      <c r="AV348" s="57">
        <f>SUMIFS(tblFleet[Available_h],tblFleet[Date],$A348,tblFleet[Equipment_Class],"Excavator")</f>
        <v/>
      </c>
      <c r="AW348" s="57">
        <f>IF($B348=$B347,$AW347,0)+$AV348</f>
        <v/>
      </c>
      <c r="AX348" s="57">
        <f>$AX347+$AV348</f>
        <v/>
      </c>
      <c r="AY348" s="57">
        <f>SUMIFS(tblFleet[Operating_h],tblFleet[Date],$A348,tblFleet[Equipment_Class],"Excavator")</f>
        <v/>
      </c>
      <c r="AZ348" s="57">
        <f>IF($B348=$B347,$AZ347,0)+$AY348</f>
        <v/>
      </c>
      <c r="BA348" s="57">
        <f>$BA347+$AY348</f>
        <v/>
      </c>
      <c r="BB348" s="67">
        <f>IFERROR(IF(($AS348)&gt;0,($AV348)/($AS348),""),"")</f>
        <v/>
      </c>
      <c r="BC348" s="67">
        <f>IFERROR(IF(($AT348)&gt;0,($AW348)/($AT348),""),"")</f>
        <v/>
      </c>
      <c r="BD348" s="67">
        <f>IFERROR(IF(($AU348)&gt;0,($AX348)/($AU348),""),"")</f>
        <v/>
      </c>
      <c r="BE348" s="67">
        <f>IFERROR(IF(($AV348)&gt;0,($AY348)/($AV348),""),"")</f>
        <v/>
      </c>
      <c r="BF348" s="67">
        <f>IFERROR(IF(($AW348)&gt;0,($AZ348)/($AW348),""),"")</f>
        <v/>
      </c>
      <c r="BG348" s="67">
        <f>IFERROR(IF(($AX348)&gt;0,($BA348)/($AX348),""),"")</f>
        <v/>
      </c>
      <c r="BH348" s="57">
        <f>SUMIFS(tblFleet[Calendar_h],tblFleet[Date],$A348,tblFleet[Equipment_Class],"Haul Truck")</f>
        <v/>
      </c>
      <c r="BI348" s="57">
        <f>IF($B348=$B347,$BI347,0)+$BH348</f>
        <v/>
      </c>
      <c r="BJ348" s="57">
        <f>$BJ347+$BH348</f>
        <v/>
      </c>
      <c r="BK348" s="57">
        <f>SUMIFS(tblFleet[Available_h],tblFleet[Date],$A348,tblFleet[Equipment_Class],"Haul Truck")</f>
        <v/>
      </c>
      <c r="BL348" s="57">
        <f>IF($B348=$B347,$BL347,0)+$BK348</f>
        <v/>
      </c>
      <c r="BM348" s="57">
        <f>$BM347+$BK348</f>
        <v/>
      </c>
      <c r="BN348" s="57">
        <f>SUMIFS(tblFleet[Operating_h],tblFleet[Date],$A348,tblFleet[Equipment_Class],"Haul Truck")</f>
        <v/>
      </c>
      <c r="BO348" s="57">
        <f>IF($B348=$B347,$BO347,0)+$BN348</f>
        <v/>
      </c>
      <c r="BP348" s="57">
        <f>$BP347+$BN348</f>
        <v/>
      </c>
      <c r="BQ348" s="67">
        <f>IFERROR(IF(($BH348)&gt;0,($BK348)/($BH348),""),"")</f>
        <v/>
      </c>
      <c r="BR348" s="67">
        <f>IFERROR(IF(($BI348)&gt;0,($BL348)/($BI348),""),"")</f>
        <v/>
      </c>
      <c r="BS348" s="67">
        <f>IFERROR(IF(($BJ348)&gt;0,($BM348)/($BJ348),""),"")</f>
        <v/>
      </c>
      <c r="BT348" s="67">
        <f>IFERROR(IF(($BK348)&gt;0,($BN348)/($BK348),""),"")</f>
        <v/>
      </c>
      <c r="BU348" s="67">
        <f>IFERROR(IF(($BL348)&gt;0,($BO348)/($BL348),""),"")</f>
        <v/>
      </c>
      <c r="BV348" s="67">
        <f>IFERROR(IF(($BM348)&gt;0,($BP348)/($BM348),""),"")</f>
        <v/>
      </c>
      <c r="BW348" s="55">
        <f>SUMIFS(tblPlant[Crushed_t],tblPlant[Date],$A348)</f>
        <v/>
      </c>
      <c r="BX348" s="55">
        <f>IF($B348=$B347,$BX347,0)+$BW348</f>
        <v/>
      </c>
      <c r="BY348" s="55">
        <f>$BY347+$BW348</f>
        <v/>
      </c>
      <c r="BZ348" s="55">
        <f>SUMIFS(tblPlant[Milled_t],tblPlant[Date],$A348)</f>
        <v/>
      </c>
      <c r="CA348" s="55">
        <f>IF($B348=$B347,$CA347,0)+$BZ348</f>
        <v/>
      </c>
      <c r="CB348" s="55">
        <f>$CB347+$BZ348</f>
        <v/>
      </c>
      <c r="CC348" s="55">
        <f>SUMIFS(tblPlant[Feed_oz],tblPlant[Date],$A348)</f>
        <v/>
      </c>
      <c r="CD348" s="55">
        <f>IF($B348=$B347,$CD347,0)+$CC348</f>
        <v/>
      </c>
      <c r="CE348" s="55">
        <f>$CE347+$CC348</f>
        <v/>
      </c>
      <c r="CF348" s="55">
        <f>SUMIFS(tblPlant[Tails_oz],tblPlant[Date],$A348)</f>
        <v/>
      </c>
      <c r="CG348" s="55">
        <f>IF($B348=$B347,$CG347,0)+$CF348</f>
        <v/>
      </c>
      <c r="CH348" s="55">
        <f>$CH347+$CF348</f>
        <v/>
      </c>
      <c r="CI348" s="55">
        <f>SUMIFS(tblPlant[Recovered_oz],tblPlant[Date],$A348)</f>
        <v/>
      </c>
      <c r="CJ348" s="55">
        <f>IF($B348=$B347,$CJ347,0)+$CI348</f>
        <v/>
      </c>
      <c r="CK348" s="55">
        <f>$CK347+$CI348</f>
        <v/>
      </c>
      <c r="CL348" s="56">
        <f>IFERROR(IF(($BZ348)&gt;0,($CC348*cfg_TroyOz)/($BZ348),""),"")</f>
        <v/>
      </c>
      <c r="CM348" s="56">
        <f>IFERROR(IF(($CA348)&gt;0,($CD348*cfg_TroyOz)/($CA348),""),"")</f>
        <v/>
      </c>
      <c r="CN348" s="56">
        <f>IFERROR(IF(($CB348)&gt;0,($CE348*cfg_TroyOz)/($CB348),""),"")</f>
        <v/>
      </c>
      <c r="CO348" s="56">
        <f>IFERROR(IF(($BZ348)&gt;0,($CF348*cfg_TroyOz)/($BZ348),""),"")</f>
        <v/>
      </c>
      <c r="CP348" s="56">
        <f>IFERROR(IF(($CA348)&gt;0,($CG348*cfg_TroyOz)/($CA348),""),"")</f>
        <v/>
      </c>
      <c r="CQ348" s="56">
        <f>IFERROR(IF(($CB348)&gt;0,($CH348*cfg_TroyOz)/($CB348),""),"")</f>
        <v/>
      </c>
      <c r="CR348" s="67">
        <f>IFERROR(IF(($CC348)&gt;0,($CI348)/($CC348),""),"")</f>
        <v/>
      </c>
      <c r="CS348" s="67">
        <f>IFERROR(IF(($CD348)&gt;0,($CJ348)/($CD348),""),"")</f>
        <v/>
      </c>
      <c r="CT348" s="67">
        <f>IFERROR(IF(($CE348)&gt;0,($CK348)/($CE348),""),"")</f>
        <v/>
      </c>
      <c r="CU348" s="55">
        <f>SUMIFS(tblPlant[Gravity_Gold_oz],tblPlant[Date],$A348)</f>
        <v/>
      </c>
      <c r="CV348" s="55">
        <f>IF($B348=$B347,$CV347,0)+$CU348</f>
        <v/>
      </c>
      <c r="CW348" s="55">
        <f>$CW347+$CU348</f>
        <v/>
      </c>
      <c r="CX348" s="55">
        <f>SUMIFS(tblPlant[Gold_Poured_oz],tblPlant[Date],$A348)</f>
        <v/>
      </c>
      <c r="CY348" s="55">
        <f>IF($B348=$B347,$CY347,0)+$CX348</f>
        <v/>
      </c>
      <c r="CZ348" s="55">
        <f>$CZ347+$CX348</f>
        <v/>
      </c>
      <c r="DA348" s="57">
        <f>SUMIFS(tblPlant[Mill_Run_h],tblPlant[Date],$A348)</f>
        <v/>
      </c>
      <c r="DB348" s="57">
        <f>IF($B348=$B347,$DB347,0)+$DA348</f>
        <v/>
      </c>
      <c r="DC348" s="57">
        <f>$DC347+$DA348</f>
        <v/>
      </c>
      <c r="DD348" s="57">
        <f>SUMIFS(tblPlant[Mill_Planned_Maint_h],tblPlant[Date],$A348)</f>
        <v/>
      </c>
      <c r="DE348" s="57">
        <f>IF($B348=$B347,$DE347,0)+$DD348</f>
        <v/>
      </c>
      <c r="DF348" s="57">
        <f>$DF347+$DD348</f>
        <v/>
      </c>
      <c r="DG348" s="57">
        <f>SUMIFS(tblPlant[Mill_Unplanned_Down_h],tblPlant[Date],$A348)</f>
        <v/>
      </c>
      <c r="DH348" s="57">
        <f>IF($B348=$B347,$DH347,0)+$DG348</f>
        <v/>
      </c>
      <c r="DI348" s="57">
        <f>$DI347+$DG348</f>
        <v/>
      </c>
      <c r="DJ348" s="57">
        <f>COUNTIFS(tblPlant[Date],$A348,tblPlant[Mill_Run_h],"&lt;&gt;")*24</f>
        <v/>
      </c>
      <c r="DK348" s="57">
        <f>IF($B348=$B347,$DK347,0)+$DJ348</f>
        <v/>
      </c>
      <c r="DL348" s="57">
        <f>$DL347+$DJ348</f>
        <v/>
      </c>
      <c r="DM348" s="57">
        <f>SUMIFS(tblPlant[Crusher_Run_h],tblPlant[Date],$A348)</f>
        <v/>
      </c>
      <c r="DN348" s="57">
        <f>IF($B348=$B347,$DN347,0)+$DM348</f>
        <v/>
      </c>
      <c r="DO348" s="57">
        <f>$DO347+$DM348</f>
        <v/>
      </c>
      <c r="DP348" s="55">
        <f>IFERROR(IF(($DA348)&gt;0,($BZ348)/($DA348),""),"")</f>
        <v/>
      </c>
      <c r="DQ348" s="55">
        <f>IFERROR(IF(($DB348)&gt;0,($CA348)/($DB348),""),"")</f>
        <v/>
      </c>
      <c r="DR348" s="55">
        <f>IFERROR(IF(($DC348)&gt;0,($CB348)/($DC348),""),"")</f>
        <v/>
      </c>
      <c r="DS348" s="67">
        <f>IFERROR(IF(($DJ348)&gt;0,($DJ348-$DD348-$DG348)/($DJ348),""),"")</f>
        <v/>
      </c>
      <c r="DT348" s="67">
        <f>IFERROR(IF(($DK348)&gt;0,($DK348-$DE348-$DH348)/($DK348),""),"")</f>
        <v/>
      </c>
      <c r="DU348" s="67">
        <f>IFERROR(IF(($DL348)&gt;0,($DL348-$DF348-$DI348)/($DL348),""),"")</f>
        <v/>
      </c>
      <c r="DV348" s="67">
        <f>IFERROR(IF(($DJ348-$DD348-$DG348)&gt;0,($DA348)/($DJ348-$DD348-$DG348),""),"")</f>
        <v/>
      </c>
      <c r="DW348" s="67">
        <f>IFERROR(IF(($DK348-$DE348-$DH348)&gt;0,($DB348)/($DK348-$DE348-$DH348),""),"")</f>
        <v/>
      </c>
      <c r="DX348" s="67">
        <f>IFERROR(IF(($DL348-$DF348-$DI348)&gt;0,($DC348)/($DL348-$DF348-$DI348),""),"")</f>
        <v/>
      </c>
      <c r="DY348" s="55">
        <f>SUMIFS(tblPlant[Cyanide_kg],tblPlant[Date],$A348)</f>
        <v/>
      </c>
      <c r="DZ348" s="55">
        <f>IF($B348=$B347,$DZ347,0)+$DY348</f>
        <v/>
      </c>
      <c r="EA348" s="55">
        <f>$EA347+$DY348</f>
        <v/>
      </c>
      <c r="EB348" s="55">
        <f>SUMIFS(tblPlant[Lime_kg],tblPlant[Date],$A348)</f>
        <v/>
      </c>
      <c r="EC348" s="55">
        <f>IF($B348=$B347,$EC347,0)+$EB348</f>
        <v/>
      </c>
      <c r="ED348" s="55">
        <f>$ED347+$EB348</f>
        <v/>
      </c>
      <c r="EE348" s="55">
        <f>SUMIFS(tblPlant[Grinding_Media_kg],tblPlant[Date],$A348)</f>
        <v/>
      </c>
      <c r="EF348" s="55">
        <f>IF($B348=$B347,$EF347,0)+$EE348</f>
        <v/>
      </c>
      <c r="EG348" s="55">
        <f>$EG347+$EE348</f>
        <v/>
      </c>
      <c r="EH348" s="55">
        <f>SUMIFS(tblPlant[Power_kWh],tblPlant[Date],$A348)</f>
        <v/>
      </c>
      <c r="EI348" s="55">
        <f>IF($B348=$B347,$EI347,0)+$EH348</f>
        <v/>
      </c>
      <c r="EJ348" s="55">
        <f>$EJ347+$EH348</f>
        <v/>
      </c>
      <c r="EK348" s="55">
        <f>SUMIFS(tblPlant[Raw_Water_m3],tblPlant[Date],$A348)</f>
        <v/>
      </c>
      <c r="EL348" s="55">
        <f>IF($B348=$B347,$EL347,0)+$EK348</f>
        <v/>
      </c>
      <c r="EM348" s="55">
        <f>$EM347+$EK348</f>
        <v/>
      </c>
      <c r="EN348" s="56">
        <f>IFERROR(IF(($BZ348)&gt;0,($DY348)/($BZ348),""),"")</f>
        <v/>
      </c>
      <c r="EO348" s="56">
        <f>IFERROR(IF(($CA348)&gt;0,($DZ348)/($CA348),""),"")</f>
        <v/>
      </c>
      <c r="EP348" s="56">
        <f>IFERROR(IF(($CB348)&gt;0,($EA348)/($CB348),""),"")</f>
        <v/>
      </c>
      <c r="EQ348" s="56">
        <f>IFERROR(IF(($BZ348)&gt;0,($EB348)/($BZ348),""),"")</f>
        <v/>
      </c>
      <c r="ER348" s="56">
        <f>IFERROR(IF(($CA348)&gt;0,($EC348)/($CA348),""),"")</f>
        <v/>
      </c>
      <c r="ES348" s="56">
        <f>IFERROR(IF(($CB348)&gt;0,($ED348)/($CB348),""),"")</f>
        <v/>
      </c>
      <c r="ET348" s="56">
        <f>IFERROR(IF(($BZ348)&gt;0,($EE348)/($BZ348),""),"")</f>
        <v/>
      </c>
      <c r="EU348" s="56">
        <f>IFERROR(IF(($CA348)&gt;0,($EF348)/($CA348),""),"")</f>
        <v/>
      </c>
      <c r="EV348" s="56">
        <f>IFERROR(IF(($CB348)&gt;0,($EG348)/($CB348),""),"")</f>
        <v/>
      </c>
      <c r="EW348" s="76">
        <f>IFERROR(IF(($BZ348)&gt;0,($EH348)/($BZ348),""),"")</f>
        <v/>
      </c>
      <c r="EX348" s="76">
        <f>IFERROR(IF(($CA348)&gt;0,($EI348)/($CA348),""),"")</f>
        <v/>
      </c>
      <c r="EY348" s="76">
        <f>IFERROR(IF(($CB348)&gt;0,($EJ348)/($CB348),""),"")</f>
        <v/>
      </c>
      <c r="EZ348" s="56">
        <f>IFERROR(IF(($BZ348)&gt;0,($EK348)/($BZ348),""),"")</f>
        <v/>
      </c>
      <c r="FA348" s="56">
        <f>IFERROR(IF(($CA348)&gt;0,($EL348)/($CA348),""),"")</f>
        <v/>
      </c>
      <c r="FB348" s="56">
        <f>IFERROR(IF(($CB348)&gt;0,($EM348)/($CB348),""),"")</f>
        <v/>
      </c>
      <c r="FC348" s="55">
        <f>IF(SUMIFS(tblPlant[GIC_oz],tblPlant[Date],$A348)&gt;0,SUMIFS(tblPlant[GIC_oz],tblPlant[Date],$A348),"")</f>
        <v/>
      </c>
      <c r="FD348" s="55">
        <f>SUMIFS(tblGold[Gold_oz],tblGold[Date],$A348,tblGold[Type],"Shipment")</f>
        <v/>
      </c>
      <c r="FE348" s="55">
        <f>IF($B348=$B347,$FE347,0)+$FD348</f>
        <v/>
      </c>
      <c r="FF348" s="55">
        <f>$FF347+$FD348</f>
        <v/>
      </c>
      <c r="FG348" s="55">
        <f>SUMIFS(tblGold[Gold_oz],tblGold[Date],$A348,tblGold[Type],"Sale")</f>
        <v/>
      </c>
      <c r="FH348" s="55">
        <f>IF($B348=$B347,$FH347,0)+$FG348</f>
        <v/>
      </c>
      <c r="FI348" s="55">
        <f>$FI347+$FG348</f>
        <v/>
      </c>
      <c r="FJ348" s="55">
        <f>SUMIFS(tblGold[Dore_kg],tblGold[Date],$A348,tblGold[Type],"Shipment")</f>
        <v/>
      </c>
      <c r="FK348" s="55">
        <f>IF($B348=$B347,$FK347,0)+$FJ348</f>
        <v/>
      </c>
      <c r="FL348" s="55">
        <f>$FL347+$FJ348</f>
        <v/>
      </c>
      <c r="FM348" s="57">
        <f>SUMIFS(tblSafety[Hours_Total],tblSafety[Date],$A348)</f>
        <v/>
      </c>
      <c r="FN348" s="57">
        <f>IF($B348=$B347,$FN347,0)+$FM348</f>
        <v/>
      </c>
      <c r="FO348" s="57">
        <f>$FO347+$FM348</f>
        <v/>
      </c>
      <c r="FP348" s="62">
        <f>SUMIFS(tblSafety[Fatality],tblSafety[Date],$A348)</f>
        <v/>
      </c>
      <c r="FQ348" s="62">
        <f>IF($B348=$B347,$FQ347,0)+$FP348</f>
        <v/>
      </c>
      <c r="FR348" s="62">
        <f>$FR347+$FP348</f>
        <v/>
      </c>
      <c r="FS348" s="62">
        <f>SUMIFS(tblSafety[LTI],tblSafety[Date],$A348)</f>
        <v/>
      </c>
      <c r="FT348" s="62">
        <f>IF($B348=$B347,$FT347,0)+$FS348</f>
        <v/>
      </c>
      <c r="FU348" s="62">
        <f>$FU347+$FS348</f>
        <v/>
      </c>
      <c r="FV348" s="62">
        <f>SUMIFS(tblSafety[RWI],tblSafety[Date],$A348)</f>
        <v/>
      </c>
      <c r="FW348" s="62">
        <f>IF($B348=$B347,$FW347,0)+$FV348</f>
        <v/>
      </c>
      <c r="FX348" s="62">
        <f>$FX347+$FV348</f>
        <v/>
      </c>
      <c r="FY348" s="62">
        <f>SUMIFS(tblSafety[MTI],tblSafety[Date],$A348)</f>
        <v/>
      </c>
      <c r="FZ348" s="62">
        <f>IF($B348=$B347,$FZ347,0)+$FY348</f>
        <v/>
      </c>
      <c r="GA348" s="62">
        <f>$GA347+$FY348</f>
        <v/>
      </c>
      <c r="GB348" s="62">
        <f>SUMIFS(tblSafety[FAI],tblSafety[Date],$A348)</f>
        <v/>
      </c>
      <c r="GC348" s="62">
        <f>IF($B348=$B347,$GC347,0)+$GB348</f>
        <v/>
      </c>
      <c r="GD348" s="62">
        <f>$GD347+$GB348</f>
        <v/>
      </c>
      <c r="GE348" s="62">
        <f>SUMIFS(tblSafety[Recordables],tblSafety[Date],$A348)</f>
        <v/>
      </c>
      <c r="GF348" s="62">
        <f>IF($B348=$B347,$GF347,0)+$GE348</f>
        <v/>
      </c>
      <c r="GG348" s="62">
        <f>$GG347+$GE348</f>
        <v/>
      </c>
      <c r="GH348" s="62">
        <f>SUMIFS(tblSafety[Near_Miss],tblSafety[Date],$A348)</f>
        <v/>
      </c>
      <c r="GI348" s="62">
        <f>IF($B348=$B347,$GI347,0)+$GH348</f>
        <v/>
      </c>
      <c r="GJ348" s="62">
        <f>$GJ347+$GH348</f>
        <v/>
      </c>
      <c r="GK348" s="62">
        <f>SUMIFS(tblSafety[Hazard_Reports],tblSafety[Date],$A348)</f>
        <v/>
      </c>
      <c r="GL348" s="62">
        <f>IF($B348=$B347,$GL347,0)+$GK348</f>
        <v/>
      </c>
      <c r="GM348" s="62">
        <f>$GM347+$GK348</f>
        <v/>
      </c>
      <c r="GN348" s="62">
        <f>SUMIFS(tblSafety[HPI],tblSafety[Date],$A348)</f>
        <v/>
      </c>
      <c r="GO348" s="62">
        <f>IF($B348=$B347,$GO347,0)+$GN348</f>
        <v/>
      </c>
      <c r="GP348" s="62">
        <f>$GP347+$GN348</f>
        <v/>
      </c>
      <c r="GQ348" s="62">
        <f>SUMIFS(tblSafety[Env_Incidents],tblSafety[Date],$A348)</f>
        <v/>
      </c>
      <c r="GR348" s="62">
        <f>IF($B348=$B347,$GR347,0)+$GQ348</f>
        <v/>
      </c>
      <c r="GS348" s="62">
        <f>$GS347+$GQ348</f>
        <v/>
      </c>
      <c r="GT348" s="62">
        <f>SUMIFS(tblSafety[Community_Incidents],tblSafety[Date],$A348)</f>
        <v/>
      </c>
      <c r="GU348" s="62">
        <f>IF($B348=$B347,$GU347,0)+$GT348</f>
        <v/>
      </c>
      <c r="GV348" s="62">
        <f>$GV347+$GT348</f>
        <v/>
      </c>
      <c r="GW348" s="62">
        <f>SUMIFS(tblSafety[Vehicle_Incidents],tblSafety[Date],$A348)</f>
        <v/>
      </c>
      <c r="GX348" s="62">
        <f>IF($B348=$B347,$GX347,0)+$GW348</f>
        <v/>
      </c>
      <c r="GY348" s="62">
        <f>$GY347+$GW348</f>
        <v/>
      </c>
      <c r="GZ348" s="62">
        <f>SUMIFS(tblSafety[Toolbox_Talks],tblSafety[Date],$A348)</f>
        <v/>
      </c>
      <c r="HA348" s="62">
        <f>IF($B348=$B347,$HA347,0)+$GZ348</f>
        <v/>
      </c>
      <c r="HB348" s="62">
        <f>$HB347+$GZ348</f>
        <v/>
      </c>
      <c r="HC348" s="62">
        <f>SUMIFS(tblSafety[Inspections],tblSafety[Date],$A348)</f>
        <v/>
      </c>
      <c r="HD348" s="62">
        <f>IF($B348=$B347,$HD347,0)+$HC348</f>
        <v/>
      </c>
      <c r="HE348" s="62">
        <f>$HE347+$HC348</f>
        <v/>
      </c>
      <c r="HF348" s="56">
        <f>IFERROR((SUMIFS(tblSafety[Recordables],tblSafety[Date],"&gt;="&amp;EDATE($E348,-12),tblSafety[Date],"&lt;="&amp;$A348)+SUMIFS(tblSafetyHistory[Recordables],tblSafetyHistory[Month],"&gt;="&amp;EDATE($E348,-12),tblSafetyHistory[Month],"&lt;"&amp;cfg_YearStart))/(SUMIFS(tblSafety[Hours_Total],tblSafety[Date],"&gt;="&amp;EDATE($E348,-12),tblSafety[Date],"&lt;="&amp;$A348)+SUMIFS(tblSafetyHistory[Hours_Total],tblSafetyHistory[Month],"&gt;="&amp;EDATE($E348,-12),tblSafetyHistory[Month],"&lt;"&amp;cfg_YearStart))*1000000,"")</f>
        <v/>
      </c>
      <c r="HG348" s="56">
        <f>IFERROR((SUMIFS(tblSafety[LTI],tblSafety[Date],"&gt;="&amp;EDATE($E348,-12),tblSafety[Date],"&lt;="&amp;$A348)+SUMIFS(tblSafetyHistory[LTI],tblSafetyHistory[Month],"&gt;="&amp;EDATE($E348,-12),tblSafetyHistory[Month],"&lt;"&amp;cfg_YearStart))/(SUMIFS(tblSafety[Hours_Total],tblSafety[Date],"&gt;="&amp;EDATE($E348,-12),tblSafety[Date],"&lt;="&amp;$A348)+SUMIFS(tblSafetyHistory[Hours_Total],tblSafetyHistory[Month],"&gt;="&amp;EDATE($E348,-12),tblSafetyHistory[Month],"&lt;"&amp;cfg_YearStart))*1000000,"")</f>
        <v/>
      </c>
      <c r="HH348" s="62">
        <f>IF(MAX(N(cfg_PriorLTIDate),_xlfn.MAXIFS(tblSafety[Date],tblSafety[LTI],"&gt;0",tblSafety[Date],"&lt;="&amp;$A348))=0,"",$A348-MAX(N(cfg_PriorLTIDate),_xlfn.MAXIFS(tblSafety[Date],tblSafety[LTI],"&gt;0",tblSafety[Date],"&lt;="&amp;$A348)))</f>
        <v/>
      </c>
      <c r="HI348" s="55">
        <f>SUMIFS(tblBudget[Ore_Mined_t],tblBudget[Month],$E348)</f>
        <v/>
      </c>
      <c r="HJ348" s="55">
        <f>$HI348*$C348/$D348</f>
        <v/>
      </c>
      <c r="HK348" s="55">
        <f>SUMIFS(tblBudget[Ore_Mined_t],tblBudget[Month],"&lt;"&amp;$E348)+$HJ348</f>
        <v/>
      </c>
      <c r="HL348" s="55">
        <f>SUMIFS(tblBudget[Ore_oz],tblBudget[Month],$E348)</f>
        <v/>
      </c>
      <c r="HM348" s="55">
        <f>$HL348*$C348/$D348</f>
        <v/>
      </c>
      <c r="HN348" s="55">
        <f>SUMIFS(tblBudget[Ore_oz],tblBudget[Month],"&lt;"&amp;$E348)+$HM348</f>
        <v/>
      </c>
      <c r="HO348" s="56">
        <f>IFERROR(IF(($HI348)&gt;0,($HL348*cfg_TroyOz)/($HI348),""),"")</f>
        <v/>
      </c>
      <c r="HP348" s="56">
        <f>IFERROR(IF(($HJ348)&gt;0,($HM348*cfg_TroyOz)/($HJ348),""),"")</f>
        <v/>
      </c>
      <c r="HQ348" s="56">
        <f>IFERROR(IF(($HK348)&gt;0,($HN348*cfg_TroyOz)/($HK348),""),"")</f>
        <v/>
      </c>
      <c r="HR348" s="55">
        <f>SUMIFS(tblBudget[Waste_t],tblBudget[Month],$E348)</f>
        <v/>
      </c>
      <c r="HS348" s="55">
        <f>$HR348*$C348/$D348</f>
        <v/>
      </c>
      <c r="HT348" s="55">
        <f>SUMIFS(tblBudget[Waste_t],tblBudget[Month],"&lt;"&amp;$E348)+$HS348</f>
        <v/>
      </c>
      <c r="HU348" s="55">
        <f>SUMIFS(tblBudget[TMM_t],tblBudget[Month],$E348)</f>
        <v/>
      </c>
      <c r="HV348" s="55">
        <f>$HU348*$C348/$D348</f>
        <v/>
      </c>
      <c r="HW348" s="55">
        <f>SUMIFS(tblBudget[TMM_t],tblBudget[Month],"&lt;"&amp;$E348)+$HV348</f>
        <v/>
      </c>
      <c r="HX348" s="56">
        <f>IFERROR(IF(($HI348)&gt;0,($HR348)/($HI348),""),"")</f>
        <v/>
      </c>
      <c r="HY348" s="56">
        <f>IFERROR(IF(($HJ348)&gt;0,($HS348)/($HJ348),""),"")</f>
        <v/>
      </c>
      <c r="HZ348" s="56">
        <f>IFERROR(IF(($HK348)&gt;0,($HT348)/($HK348),""),"")</f>
        <v/>
      </c>
      <c r="IA348" s="55">
        <f>SUMIFS(tblBudget[Drill_m],tblBudget[Month],$E348)</f>
        <v/>
      </c>
      <c r="IB348" s="55">
        <f>$IA348*$C348/$D348</f>
        <v/>
      </c>
      <c r="IC348" s="55">
        <f>SUMIFS(tblBudget[Drill_m],tblBudget[Month],"&lt;"&amp;$E348)+$IB348</f>
        <v/>
      </c>
      <c r="ID348" s="55">
        <f>SUMIFS(tblBudget[Diesel_L],tblBudget[Month],$E348)</f>
        <v/>
      </c>
      <c r="IE348" s="55">
        <f>$ID348*$C348/$D348</f>
        <v/>
      </c>
      <c r="IF348" s="55">
        <f>SUMIFS(tblBudget[Diesel_L],tblBudget[Month],"&lt;"&amp;$E348)+$IE348</f>
        <v/>
      </c>
      <c r="IG348" s="55">
        <f>SUMIFS(tblBudget[Milled_t],tblBudget[Month],$E348)</f>
        <v/>
      </c>
      <c r="IH348" s="55">
        <f>$IG348*$C348/$D348</f>
        <v/>
      </c>
      <c r="II348" s="55">
        <f>SUMIFS(tblBudget[Milled_t],tblBudget[Month],"&lt;"&amp;$E348)+$IH348</f>
        <v/>
      </c>
      <c r="IJ348" s="55">
        <f>SUMIFS(tblBudget[Feed_oz],tblBudget[Month],$E348)</f>
        <v/>
      </c>
      <c r="IK348" s="55">
        <f>$IJ348*$C348/$D348</f>
        <v/>
      </c>
      <c r="IL348" s="55">
        <f>SUMIFS(tblBudget[Feed_oz],tblBudget[Month],"&lt;"&amp;$E348)+$IK348</f>
        <v/>
      </c>
      <c r="IM348" s="55">
        <f>SUMIFS(tblBudget[Recovered_oz],tblBudget[Month],$E348)</f>
        <v/>
      </c>
      <c r="IN348" s="55">
        <f>$IM348*$C348/$D348</f>
        <v/>
      </c>
      <c r="IO348" s="55">
        <f>SUMIFS(tblBudget[Recovered_oz],tblBudget[Month],"&lt;"&amp;$E348)+$IN348</f>
        <v/>
      </c>
      <c r="IP348" s="56">
        <f>IFERROR(IF(($IG348)&gt;0,($IJ348*cfg_TroyOz)/($IG348),""),"")</f>
        <v/>
      </c>
      <c r="IQ348" s="56">
        <f>IFERROR(IF(($IH348)&gt;0,($IK348*cfg_TroyOz)/($IH348),""),"")</f>
        <v/>
      </c>
      <c r="IR348" s="56">
        <f>IFERROR(IF(($II348)&gt;0,($IL348*cfg_TroyOz)/($II348),""),"")</f>
        <v/>
      </c>
      <c r="IS348" s="67">
        <f>IFERROR(IF(($IJ348)&gt;0,($IM348)/($IJ348),""),"")</f>
        <v/>
      </c>
      <c r="IT348" s="67">
        <f>IFERROR(IF(($IK348)&gt;0,($IN348)/($IK348),""),"")</f>
        <v/>
      </c>
      <c r="IU348" s="67">
        <f>IFERROR(IF(($IL348)&gt;0,($IO348)/($IL348),""),"")</f>
        <v/>
      </c>
      <c r="IV348" s="55">
        <f>SUMIFS(tblBudget[Gold_Poured_oz],tblBudget[Month],$E348)</f>
        <v/>
      </c>
      <c r="IW348" s="55">
        <f>$IV348*$C348/$D348</f>
        <v/>
      </c>
      <c r="IX348" s="55">
        <f>SUMIFS(tblBudget[Gold_Poured_oz],tblBudget[Month],"&lt;"&amp;$E348)+$IW348</f>
        <v/>
      </c>
      <c r="IY348" s="57">
        <f>SUMIFS(tblBudget[Hours_Worked],tblBudget[Month],$E348)</f>
        <v/>
      </c>
      <c r="IZ348" s="57">
        <f>$IY348*$C348/$D348</f>
        <v/>
      </c>
      <c r="JA348" s="57">
        <f>SUMIFS(tblBudget[Hours_Worked],tblBudget[Month],"&lt;"&amp;$E348)+$IZ348</f>
        <v/>
      </c>
    </row>
    <row r="349">
      <c r="A349" s="54" t="n">
        <v>46370</v>
      </c>
      <c r="B349">
        <f>MONTH($A349)</f>
        <v/>
      </c>
      <c r="C349">
        <f>DAY($A349)</f>
        <v/>
      </c>
      <c r="D349">
        <f>DAY(EOMONTH($A349,0))</f>
        <v/>
      </c>
      <c r="E349" s="54">
        <f>DATE(YEAR($A349),MONTH($A349),1)</f>
        <v/>
      </c>
      <c r="F349" s="55">
        <f>SUMIFS(tblMovement[Tonnes_t],tblMovement[Date],$A349,tblMovement[Is_Ore],1,tblMovement[Source_Type],"Pit")</f>
        <v/>
      </c>
      <c r="G349" s="55">
        <f>IF($B349=$B348,$G348,0)+$F349</f>
        <v/>
      </c>
      <c r="H349" s="55">
        <f>$H348+$F349</f>
        <v/>
      </c>
      <c r="I349" s="55">
        <f>SUMIFS(tblMovement[Ore_oz],tblMovement[Date],$A349,tblMovement[Source_Type],"Pit")</f>
        <v/>
      </c>
      <c r="J349" s="55">
        <f>IF($B349=$B348,$J348,0)+$I349</f>
        <v/>
      </c>
      <c r="K349" s="55">
        <f>$K348+$I349</f>
        <v/>
      </c>
      <c r="L349" s="56">
        <f>IFERROR(IF(($F349)&gt;0,($I349*cfg_TroyOz)/($F349),""),"")</f>
        <v/>
      </c>
      <c r="M349" s="56">
        <f>IFERROR(IF(($G349)&gt;0,($J349*cfg_TroyOz)/($G349),""),"")</f>
        <v/>
      </c>
      <c r="N349" s="56">
        <f>IFERROR(IF(($H349)&gt;0,($K349*cfg_TroyOz)/($H349),""),"")</f>
        <v/>
      </c>
      <c r="O349" s="55">
        <f>SUMIFS(tblMovement[Tonnes_t],tblMovement[Date],$A349,tblMovement[Is_Ore],0,tblMovement[Source_Type],"Pit")</f>
        <v/>
      </c>
      <c r="P349" s="55">
        <f>IF($B349=$B348,$P348,0)+$O349</f>
        <v/>
      </c>
      <c r="Q349" s="55">
        <f>$Q348+$O349</f>
        <v/>
      </c>
      <c r="R349" s="55">
        <f>$F349+$O349</f>
        <v/>
      </c>
      <c r="S349" s="55">
        <f>IF($B349=$B348,$S348,0)+$R349</f>
        <v/>
      </c>
      <c r="T349" s="55">
        <f>$T348+$R349</f>
        <v/>
      </c>
      <c r="U349" s="56">
        <f>IFERROR(IF(($F349)&gt;0,($O349)/($F349),""),"")</f>
        <v/>
      </c>
      <c r="V349" s="56">
        <f>IFERROR(IF(($G349)&gt;0,($P349)/($G349),""),"")</f>
        <v/>
      </c>
      <c r="W349" s="56">
        <f>IFERROR(IF(($H349)&gt;0,($Q349)/($H349),""),"")</f>
        <v/>
      </c>
      <c r="X349" s="55">
        <f>SUMIFS(tblMovement[Tonnes_t],tblMovement[Date],$A349,tblMovement[Source_Type],"Stockpile")</f>
        <v/>
      </c>
      <c r="Y349" s="55">
        <f>IF($B349=$B348,$Y348,0)+$X349</f>
        <v/>
      </c>
      <c r="Z349" s="55">
        <f>$Z348+$X349</f>
        <v/>
      </c>
      <c r="AA349" s="55">
        <f>SUMIFS(tblMiningDaily[Drill_m],tblMiningDaily[Date],$A349)</f>
        <v/>
      </c>
      <c r="AB349" s="55">
        <f>IF($B349=$B348,$AB348,0)+$AA349</f>
        <v/>
      </c>
      <c r="AC349" s="55">
        <f>$AC348+$AA349</f>
        <v/>
      </c>
      <c r="AD349" s="55">
        <f>SUMIFS(tblMiningDaily[Blast_t],tblMiningDaily[Date],$A349)</f>
        <v/>
      </c>
      <c r="AE349" s="55">
        <f>IF($B349=$B348,$AE348,0)+$AD349</f>
        <v/>
      </c>
      <c r="AF349" s="55">
        <f>$AF348+$AD349</f>
        <v/>
      </c>
      <c r="AG349" s="55">
        <f>SUMIFS(tblMiningDaily[Explosives_kg],tblMiningDaily[Date],$A349)</f>
        <v/>
      </c>
      <c r="AH349" s="55">
        <f>IF($B349=$B348,$AH348,0)+$AG349</f>
        <v/>
      </c>
      <c r="AI349" s="55">
        <f>$AI348+$AG349</f>
        <v/>
      </c>
      <c r="AJ349" s="56">
        <f>IFERROR(IF(($AD349)&gt;0,($AG349)/($AD349),""),"")</f>
        <v/>
      </c>
      <c r="AK349" s="56">
        <f>IFERROR(IF(($AE349)&gt;0,($AH349)/($AE349),""),"")</f>
        <v/>
      </c>
      <c r="AL349" s="56">
        <f>IFERROR(IF(($AF349)&gt;0,($AI349)/($AF349),""),"")</f>
        <v/>
      </c>
      <c r="AM349" s="55">
        <f>SUMIFS(tblMiningDaily[Diesel_L],tblMiningDaily[Date],$A349)</f>
        <v/>
      </c>
      <c r="AN349" s="55">
        <f>IF($B349=$B348,$AN348,0)+$AM349</f>
        <v/>
      </c>
      <c r="AO349" s="55">
        <f>$AO348+$AM349</f>
        <v/>
      </c>
      <c r="AP349" s="55">
        <f>SUMIFS(tblMiningDaily[Dewatering_m3],tblMiningDaily[Date],$A349)</f>
        <v/>
      </c>
      <c r="AQ349" s="55">
        <f>IF($B349=$B348,$AQ348,0)+$AP349</f>
        <v/>
      </c>
      <c r="AR349" s="55">
        <f>$AR348+$AP349</f>
        <v/>
      </c>
      <c r="AS349" s="57">
        <f>SUMIFS(tblFleet[Calendar_h],tblFleet[Date],$A349,tblFleet[Equipment_Class],"Excavator")</f>
        <v/>
      </c>
      <c r="AT349" s="57">
        <f>IF($B349=$B348,$AT348,0)+$AS349</f>
        <v/>
      </c>
      <c r="AU349" s="57">
        <f>$AU348+$AS349</f>
        <v/>
      </c>
      <c r="AV349" s="57">
        <f>SUMIFS(tblFleet[Available_h],tblFleet[Date],$A349,tblFleet[Equipment_Class],"Excavator")</f>
        <v/>
      </c>
      <c r="AW349" s="57">
        <f>IF($B349=$B348,$AW348,0)+$AV349</f>
        <v/>
      </c>
      <c r="AX349" s="57">
        <f>$AX348+$AV349</f>
        <v/>
      </c>
      <c r="AY349" s="57">
        <f>SUMIFS(tblFleet[Operating_h],tblFleet[Date],$A349,tblFleet[Equipment_Class],"Excavator")</f>
        <v/>
      </c>
      <c r="AZ349" s="57">
        <f>IF($B349=$B348,$AZ348,0)+$AY349</f>
        <v/>
      </c>
      <c r="BA349" s="57">
        <f>$BA348+$AY349</f>
        <v/>
      </c>
      <c r="BB349" s="67">
        <f>IFERROR(IF(($AS349)&gt;0,($AV349)/($AS349),""),"")</f>
        <v/>
      </c>
      <c r="BC349" s="67">
        <f>IFERROR(IF(($AT349)&gt;0,($AW349)/($AT349),""),"")</f>
        <v/>
      </c>
      <c r="BD349" s="67">
        <f>IFERROR(IF(($AU349)&gt;0,($AX349)/($AU349),""),"")</f>
        <v/>
      </c>
      <c r="BE349" s="67">
        <f>IFERROR(IF(($AV349)&gt;0,($AY349)/($AV349),""),"")</f>
        <v/>
      </c>
      <c r="BF349" s="67">
        <f>IFERROR(IF(($AW349)&gt;0,($AZ349)/($AW349),""),"")</f>
        <v/>
      </c>
      <c r="BG349" s="67">
        <f>IFERROR(IF(($AX349)&gt;0,($BA349)/($AX349),""),"")</f>
        <v/>
      </c>
      <c r="BH349" s="57">
        <f>SUMIFS(tblFleet[Calendar_h],tblFleet[Date],$A349,tblFleet[Equipment_Class],"Haul Truck")</f>
        <v/>
      </c>
      <c r="BI349" s="57">
        <f>IF($B349=$B348,$BI348,0)+$BH349</f>
        <v/>
      </c>
      <c r="BJ349" s="57">
        <f>$BJ348+$BH349</f>
        <v/>
      </c>
      <c r="BK349" s="57">
        <f>SUMIFS(tblFleet[Available_h],tblFleet[Date],$A349,tblFleet[Equipment_Class],"Haul Truck")</f>
        <v/>
      </c>
      <c r="BL349" s="57">
        <f>IF($B349=$B348,$BL348,0)+$BK349</f>
        <v/>
      </c>
      <c r="BM349" s="57">
        <f>$BM348+$BK349</f>
        <v/>
      </c>
      <c r="BN349" s="57">
        <f>SUMIFS(tblFleet[Operating_h],tblFleet[Date],$A349,tblFleet[Equipment_Class],"Haul Truck")</f>
        <v/>
      </c>
      <c r="BO349" s="57">
        <f>IF($B349=$B348,$BO348,0)+$BN349</f>
        <v/>
      </c>
      <c r="BP349" s="57">
        <f>$BP348+$BN349</f>
        <v/>
      </c>
      <c r="BQ349" s="67">
        <f>IFERROR(IF(($BH349)&gt;0,($BK349)/($BH349),""),"")</f>
        <v/>
      </c>
      <c r="BR349" s="67">
        <f>IFERROR(IF(($BI349)&gt;0,($BL349)/($BI349),""),"")</f>
        <v/>
      </c>
      <c r="BS349" s="67">
        <f>IFERROR(IF(($BJ349)&gt;0,($BM349)/($BJ349),""),"")</f>
        <v/>
      </c>
      <c r="BT349" s="67">
        <f>IFERROR(IF(($BK349)&gt;0,($BN349)/($BK349),""),"")</f>
        <v/>
      </c>
      <c r="BU349" s="67">
        <f>IFERROR(IF(($BL349)&gt;0,($BO349)/($BL349),""),"")</f>
        <v/>
      </c>
      <c r="BV349" s="67">
        <f>IFERROR(IF(($BM349)&gt;0,($BP349)/($BM349),""),"")</f>
        <v/>
      </c>
      <c r="BW349" s="55">
        <f>SUMIFS(tblPlant[Crushed_t],tblPlant[Date],$A349)</f>
        <v/>
      </c>
      <c r="BX349" s="55">
        <f>IF($B349=$B348,$BX348,0)+$BW349</f>
        <v/>
      </c>
      <c r="BY349" s="55">
        <f>$BY348+$BW349</f>
        <v/>
      </c>
      <c r="BZ349" s="55">
        <f>SUMIFS(tblPlant[Milled_t],tblPlant[Date],$A349)</f>
        <v/>
      </c>
      <c r="CA349" s="55">
        <f>IF($B349=$B348,$CA348,0)+$BZ349</f>
        <v/>
      </c>
      <c r="CB349" s="55">
        <f>$CB348+$BZ349</f>
        <v/>
      </c>
      <c r="CC349" s="55">
        <f>SUMIFS(tblPlant[Feed_oz],tblPlant[Date],$A349)</f>
        <v/>
      </c>
      <c r="CD349" s="55">
        <f>IF($B349=$B348,$CD348,0)+$CC349</f>
        <v/>
      </c>
      <c r="CE349" s="55">
        <f>$CE348+$CC349</f>
        <v/>
      </c>
      <c r="CF349" s="55">
        <f>SUMIFS(tblPlant[Tails_oz],tblPlant[Date],$A349)</f>
        <v/>
      </c>
      <c r="CG349" s="55">
        <f>IF($B349=$B348,$CG348,0)+$CF349</f>
        <v/>
      </c>
      <c r="CH349" s="55">
        <f>$CH348+$CF349</f>
        <v/>
      </c>
      <c r="CI349" s="55">
        <f>SUMIFS(tblPlant[Recovered_oz],tblPlant[Date],$A349)</f>
        <v/>
      </c>
      <c r="CJ349" s="55">
        <f>IF($B349=$B348,$CJ348,0)+$CI349</f>
        <v/>
      </c>
      <c r="CK349" s="55">
        <f>$CK348+$CI349</f>
        <v/>
      </c>
      <c r="CL349" s="56">
        <f>IFERROR(IF(($BZ349)&gt;0,($CC349*cfg_TroyOz)/($BZ349),""),"")</f>
        <v/>
      </c>
      <c r="CM349" s="56">
        <f>IFERROR(IF(($CA349)&gt;0,($CD349*cfg_TroyOz)/($CA349),""),"")</f>
        <v/>
      </c>
      <c r="CN349" s="56">
        <f>IFERROR(IF(($CB349)&gt;0,($CE349*cfg_TroyOz)/($CB349),""),"")</f>
        <v/>
      </c>
      <c r="CO349" s="56">
        <f>IFERROR(IF(($BZ349)&gt;0,($CF349*cfg_TroyOz)/($BZ349),""),"")</f>
        <v/>
      </c>
      <c r="CP349" s="56">
        <f>IFERROR(IF(($CA349)&gt;0,($CG349*cfg_TroyOz)/($CA349),""),"")</f>
        <v/>
      </c>
      <c r="CQ349" s="56">
        <f>IFERROR(IF(($CB349)&gt;0,($CH349*cfg_TroyOz)/($CB349),""),"")</f>
        <v/>
      </c>
      <c r="CR349" s="67">
        <f>IFERROR(IF(($CC349)&gt;0,($CI349)/($CC349),""),"")</f>
        <v/>
      </c>
      <c r="CS349" s="67">
        <f>IFERROR(IF(($CD349)&gt;0,($CJ349)/($CD349),""),"")</f>
        <v/>
      </c>
      <c r="CT349" s="67">
        <f>IFERROR(IF(($CE349)&gt;0,($CK349)/($CE349),""),"")</f>
        <v/>
      </c>
      <c r="CU349" s="55">
        <f>SUMIFS(tblPlant[Gravity_Gold_oz],tblPlant[Date],$A349)</f>
        <v/>
      </c>
      <c r="CV349" s="55">
        <f>IF($B349=$B348,$CV348,0)+$CU349</f>
        <v/>
      </c>
      <c r="CW349" s="55">
        <f>$CW348+$CU349</f>
        <v/>
      </c>
      <c r="CX349" s="55">
        <f>SUMIFS(tblPlant[Gold_Poured_oz],tblPlant[Date],$A349)</f>
        <v/>
      </c>
      <c r="CY349" s="55">
        <f>IF($B349=$B348,$CY348,0)+$CX349</f>
        <v/>
      </c>
      <c r="CZ349" s="55">
        <f>$CZ348+$CX349</f>
        <v/>
      </c>
      <c r="DA349" s="57">
        <f>SUMIFS(tblPlant[Mill_Run_h],tblPlant[Date],$A349)</f>
        <v/>
      </c>
      <c r="DB349" s="57">
        <f>IF($B349=$B348,$DB348,0)+$DA349</f>
        <v/>
      </c>
      <c r="DC349" s="57">
        <f>$DC348+$DA349</f>
        <v/>
      </c>
      <c r="DD349" s="57">
        <f>SUMIFS(tblPlant[Mill_Planned_Maint_h],tblPlant[Date],$A349)</f>
        <v/>
      </c>
      <c r="DE349" s="57">
        <f>IF($B349=$B348,$DE348,0)+$DD349</f>
        <v/>
      </c>
      <c r="DF349" s="57">
        <f>$DF348+$DD349</f>
        <v/>
      </c>
      <c r="DG349" s="57">
        <f>SUMIFS(tblPlant[Mill_Unplanned_Down_h],tblPlant[Date],$A349)</f>
        <v/>
      </c>
      <c r="DH349" s="57">
        <f>IF($B349=$B348,$DH348,0)+$DG349</f>
        <v/>
      </c>
      <c r="DI349" s="57">
        <f>$DI348+$DG349</f>
        <v/>
      </c>
      <c r="DJ349" s="57">
        <f>COUNTIFS(tblPlant[Date],$A349,tblPlant[Mill_Run_h],"&lt;&gt;")*24</f>
        <v/>
      </c>
      <c r="DK349" s="57">
        <f>IF($B349=$B348,$DK348,0)+$DJ349</f>
        <v/>
      </c>
      <c r="DL349" s="57">
        <f>$DL348+$DJ349</f>
        <v/>
      </c>
      <c r="DM349" s="57">
        <f>SUMIFS(tblPlant[Crusher_Run_h],tblPlant[Date],$A349)</f>
        <v/>
      </c>
      <c r="DN349" s="57">
        <f>IF($B349=$B348,$DN348,0)+$DM349</f>
        <v/>
      </c>
      <c r="DO349" s="57">
        <f>$DO348+$DM349</f>
        <v/>
      </c>
      <c r="DP349" s="55">
        <f>IFERROR(IF(($DA349)&gt;0,($BZ349)/($DA349),""),"")</f>
        <v/>
      </c>
      <c r="DQ349" s="55">
        <f>IFERROR(IF(($DB349)&gt;0,($CA349)/($DB349),""),"")</f>
        <v/>
      </c>
      <c r="DR349" s="55">
        <f>IFERROR(IF(($DC349)&gt;0,($CB349)/($DC349),""),"")</f>
        <v/>
      </c>
      <c r="DS349" s="67">
        <f>IFERROR(IF(($DJ349)&gt;0,($DJ349-$DD349-$DG349)/($DJ349),""),"")</f>
        <v/>
      </c>
      <c r="DT349" s="67">
        <f>IFERROR(IF(($DK349)&gt;0,($DK349-$DE349-$DH349)/($DK349),""),"")</f>
        <v/>
      </c>
      <c r="DU349" s="67">
        <f>IFERROR(IF(($DL349)&gt;0,($DL349-$DF349-$DI349)/($DL349),""),"")</f>
        <v/>
      </c>
      <c r="DV349" s="67">
        <f>IFERROR(IF(($DJ349-$DD349-$DG349)&gt;0,($DA349)/($DJ349-$DD349-$DG349),""),"")</f>
        <v/>
      </c>
      <c r="DW349" s="67">
        <f>IFERROR(IF(($DK349-$DE349-$DH349)&gt;0,($DB349)/($DK349-$DE349-$DH349),""),"")</f>
        <v/>
      </c>
      <c r="DX349" s="67">
        <f>IFERROR(IF(($DL349-$DF349-$DI349)&gt;0,($DC349)/($DL349-$DF349-$DI349),""),"")</f>
        <v/>
      </c>
      <c r="DY349" s="55">
        <f>SUMIFS(tblPlant[Cyanide_kg],tblPlant[Date],$A349)</f>
        <v/>
      </c>
      <c r="DZ349" s="55">
        <f>IF($B349=$B348,$DZ348,0)+$DY349</f>
        <v/>
      </c>
      <c r="EA349" s="55">
        <f>$EA348+$DY349</f>
        <v/>
      </c>
      <c r="EB349" s="55">
        <f>SUMIFS(tblPlant[Lime_kg],tblPlant[Date],$A349)</f>
        <v/>
      </c>
      <c r="EC349" s="55">
        <f>IF($B349=$B348,$EC348,0)+$EB349</f>
        <v/>
      </c>
      <c r="ED349" s="55">
        <f>$ED348+$EB349</f>
        <v/>
      </c>
      <c r="EE349" s="55">
        <f>SUMIFS(tblPlant[Grinding_Media_kg],tblPlant[Date],$A349)</f>
        <v/>
      </c>
      <c r="EF349" s="55">
        <f>IF($B349=$B348,$EF348,0)+$EE349</f>
        <v/>
      </c>
      <c r="EG349" s="55">
        <f>$EG348+$EE349</f>
        <v/>
      </c>
      <c r="EH349" s="55">
        <f>SUMIFS(tblPlant[Power_kWh],tblPlant[Date],$A349)</f>
        <v/>
      </c>
      <c r="EI349" s="55">
        <f>IF($B349=$B348,$EI348,0)+$EH349</f>
        <v/>
      </c>
      <c r="EJ349" s="55">
        <f>$EJ348+$EH349</f>
        <v/>
      </c>
      <c r="EK349" s="55">
        <f>SUMIFS(tblPlant[Raw_Water_m3],tblPlant[Date],$A349)</f>
        <v/>
      </c>
      <c r="EL349" s="55">
        <f>IF($B349=$B348,$EL348,0)+$EK349</f>
        <v/>
      </c>
      <c r="EM349" s="55">
        <f>$EM348+$EK349</f>
        <v/>
      </c>
      <c r="EN349" s="56">
        <f>IFERROR(IF(($BZ349)&gt;0,($DY349)/($BZ349),""),"")</f>
        <v/>
      </c>
      <c r="EO349" s="56">
        <f>IFERROR(IF(($CA349)&gt;0,($DZ349)/($CA349),""),"")</f>
        <v/>
      </c>
      <c r="EP349" s="56">
        <f>IFERROR(IF(($CB349)&gt;0,($EA349)/($CB349),""),"")</f>
        <v/>
      </c>
      <c r="EQ349" s="56">
        <f>IFERROR(IF(($BZ349)&gt;0,($EB349)/($BZ349),""),"")</f>
        <v/>
      </c>
      <c r="ER349" s="56">
        <f>IFERROR(IF(($CA349)&gt;0,($EC349)/($CA349),""),"")</f>
        <v/>
      </c>
      <c r="ES349" s="56">
        <f>IFERROR(IF(($CB349)&gt;0,($ED349)/($CB349),""),"")</f>
        <v/>
      </c>
      <c r="ET349" s="56">
        <f>IFERROR(IF(($BZ349)&gt;0,($EE349)/($BZ349),""),"")</f>
        <v/>
      </c>
      <c r="EU349" s="56">
        <f>IFERROR(IF(($CA349)&gt;0,($EF349)/($CA349),""),"")</f>
        <v/>
      </c>
      <c r="EV349" s="56">
        <f>IFERROR(IF(($CB349)&gt;0,($EG349)/($CB349),""),"")</f>
        <v/>
      </c>
      <c r="EW349" s="76">
        <f>IFERROR(IF(($BZ349)&gt;0,($EH349)/($BZ349),""),"")</f>
        <v/>
      </c>
      <c r="EX349" s="76">
        <f>IFERROR(IF(($CA349)&gt;0,($EI349)/($CA349),""),"")</f>
        <v/>
      </c>
      <c r="EY349" s="76">
        <f>IFERROR(IF(($CB349)&gt;0,($EJ349)/($CB349),""),"")</f>
        <v/>
      </c>
      <c r="EZ349" s="56">
        <f>IFERROR(IF(($BZ349)&gt;0,($EK349)/($BZ349),""),"")</f>
        <v/>
      </c>
      <c r="FA349" s="56">
        <f>IFERROR(IF(($CA349)&gt;0,($EL349)/($CA349),""),"")</f>
        <v/>
      </c>
      <c r="FB349" s="56">
        <f>IFERROR(IF(($CB349)&gt;0,($EM349)/($CB349),""),"")</f>
        <v/>
      </c>
      <c r="FC349" s="55">
        <f>IF(SUMIFS(tblPlant[GIC_oz],tblPlant[Date],$A349)&gt;0,SUMIFS(tblPlant[GIC_oz],tblPlant[Date],$A349),"")</f>
        <v/>
      </c>
      <c r="FD349" s="55">
        <f>SUMIFS(tblGold[Gold_oz],tblGold[Date],$A349,tblGold[Type],"Shipment")</f>
        <v/>
      </c>
      <c r="FE349" s="55">
        <f>IF($B349=$B348,$FE348,0)+$FD349</f>
        <v/>
      </c>
      <c r="FF349" s="55">
        <f>$FF348+$FD349</f>
        <v/>
      </c>
      <c r="FG349" s="55">
        <f>SUMIFS(tblGold[Gold_oz],tblGold[Date],$A349,tblGold[Type],"Sale")</f>
        <v/>
      </c>
      <c r="FH349" s="55">
        <f>IF($B349=$B348,$FH348,0)+$FG349</f>
        <v/>
      </c>
      <c r="FI349" s="55">
        <f>$FI348+$FG349</f>
        <v/>
      </c>
      <c r="FJ349" s="55">
        <f>SUMIFS(tblGold[Dore_kg],tblGold[Date],$A349,tblGold[Type],"Shipment")</f>
        <v/>
      </c>
      <c r="FK349" s="55">
        <f>IF($B349=$B348,$FK348,0)+$FJ349</f>
        <v/>
      </c>
      <c r="FL349" s="55">
        <f>$FL348+$FJ349</f>
        <v/>
      </c>
      <c r="FM349" s="57">
        <f>SUMIFS(tblSafety[Hours_Total],tblSafety[Date],$A349)</f>
        <v/>
      </c>
      <c r="FN349" s="57">
        <f>IF($B349=$B348,$FN348,0)+$FM349</f>
        <v/>
      </c>
      <c r="FO349" s="57">
        <f>$FO348+$FM349</f>
        <v/>
      </c>
      <c r="FP349" s="62">
        <f>SUMIFS(tblSafety[Fatality],tblSafety[Date],$A349)</f>
        <v/>
      </c>
      <c r="FQ349" s="62">
        <f>IF($B349=$B348,$FQ348,0)+$FP349</f>
        <v/>
      </c>
      <c r="FR349" s="62">
        <f>$FR348+$FP349</f>
        <v/>
      </c>
      <c r="FS349" s="62">
        <f>SUMIFS(tblSafety[LTI],tblSafety[Date],$A349)</f>
        <v/>
      </c>
      <c r="FT349" s="62">
        <f>IF($B349=$B348,$FT348,0)+$FS349</f>
        <v/>
      </c>
      <c r="FU349" s="62">
        <f>$FU348+$FS349</f>
        <v/>
      </c>
      <c r="FV349" s="62">
        <f>SUMIFS(tblSafety[RWI],tblSafety[Date],$A349)</f>
        <v/>
      </c>
      <c r="FW349" s="62">
        <f>IF($B349=$B348,$FW348,0)+$FV349</f>
        <v/>
      </c>
      <c r="FX349" s="62">
        <f>$FX348+$FV349</f>
        <v/>
      </c>
      <c r="FY349" s="62">
        <f>SUMIFS(tblSafety[MTI],tblSafety[Date],$A349)</f>
        <v/>
      </c>
      <c r="FZ349" s="62">
        <f>IF($B349=$B348,$FZ348,0)+$FY349</f>
        <v/>
      </c>
      <c r="GA349" s="62">
        <f>$GA348+$FY349</f>
        <v/>
      </c>
      <c r="GB349" s="62">
        <f>SUMIFS(tblSafety[FAI],tblSafety[Date],$A349)</f>
        <v/>
      </c>
      <c r="GC349" s="62">
        <f>IF($B349=$B348,$GC348,0)+$GB349</f>
        <v/>
      </c>
      <c r="GD349" s="62">
        <f>$GD348+$GB349</f>
        <v/>
      </c>
      <c r="GE349" s="62">
        <f>SUMIFS(tblSafety[Recordables],tblSafety[Date],$A349)</f>
        <v/>
      </c>
      <c r="GF349" s="62">
        <f>IF($B349=$B348,$GF348,0)+$GE349</f>
        <v/>
      </c>
      <c r="GG349" s="62">
        <f>$GG348+$GE349</f>
        <v/>
      </c>
      <c r="GH349" s="62">
        <f>SUMIFS(tblSafety[Near_Miss],tblSafety[Date],$A349)</f>
        <v/>
      </c>
      <c r="GI349" s="62">
        <f>IF($B349=$B348,$GI348,0)+$GH349</f>
        <v/>
      </c>
      <c r="GJ349" s="62">
        <f>$GJ348+$GH349</f>
        <v/>
      </c>
      <c r="GK349" s="62">
        <f>SUMIFS(tblSafety[Hazard_Reports],tblSafety[Date],$A349)</f>
        <v/>
      </c>
      <c r="GL349" s="62">
        <f>IF($B349=$B348,$GL348,0)+$GK349</f>
        <v/>
      </c>
      <c r="GM349" s="62">
        <f>$GM348+$GK349</f>
        <v/>
      </c>
      <c r="GN349" s="62">
        <f>SUMIFS(tblSafety[HPI],tblSafety[Date],$A349)</f>
        <v/>
      </c>
      <c r="GO349" s="62">
        <f>IF($B349=$B348,$GO348,0)+$GN349</f>
        <v/>
      </c>
      <c r="GP349" s="62">
        <f>$GP348+$GN349</f>
        <v/>
      </c>
      <c r="GQ349" s="62">
        <f>SUMIFS(tblSafety[Env_Incidents],tblSafety[Date],$A349)</f>
        <v/>
      </c>
      <c r="GR349" s="62">
        <f>IF($B349=$B348,$GR348,0)+$GQ349</f>
        <v/>
      </c>
      <c r="GS349" s="62">
        <f>$GS348+$GQ349</f>
        <v/>
      </c>
      <c r="GT349" s="62">
        <f>SUMIFS(tblSafety[Community_Incidents],tblSafety[Date],$A349)</f>
        <v/>
      </c>
      <c r="GU349" s="62">
        <f>IF($B349=$B348,$GU348,0)+$GT349</f>
        <v/>
      </c>
      <c r="GV349" s="62">
        <f>$GV348+$GT349</f>
        <v/>
      </c>
      <c r="GW349" s="62">
        <f>SUMIFS(tblSafety[Vehicle_Incidents],tblSafety[Date],$A349)</f>
        <v/>
      </c>
      <c r="GX349" s="62">
        <f>IF($B349=$B348,$GX348,0)+$GW349</f>
        <v/>
      </c>
      <c r="GY349" s="62">
        <f>$GY348+$GW349</f>
        <v/>
      </c>
      <c r="GZ349" s="62">
        <f>SUMIFS(tblSafety[Toolbox_Talks],tblSafety[Date],$A349)</f>
        <v/>
      </c>
      <c r="HA349" s="62">
        <f>IF($B349=$B348,$HA348,0)+$GZ349</f>
        <v/>
      </c>
      <c r="HB349" s="62">
        <f>$HB348+$GZ349</f>
        <v/>
      </c>
      <c r="HC349" s="62">
        <f>SUMIFS(tblSafety[Inspections],tblSafety[Date],$A349)</f>
        <v/>
      </c>
      <c r="HD349" s="62">
        <f>IF($B349=$B348,$HD348,0)+$HC349</f>
        <v/>
      </c>
      <c r="HE349" s="62">
        <f>$HE348+$HC349</f>
        <v/>
      </c>
      <c r="HF349" s="56">
        <f>IFERROR((SUMIFS(tblSafety[Recordables],tblSafety[Date],"&gt;="&amp;EDATE($E349,-12),tblSafety[Date],"&lt;="&amp;$A349)+SUMIFS(tblSafetyHistory[Recordables],tblSafetyHistory[Month],"&gt;="&amp;EDATE($E349,-12),tblSafetyHistory[Month],"&lt;"&amp;cfg_YearStart))/(SUMIFS(tblSafety[Hours_Total],tblSafety[Date],"&gt;="&amp;EDATE($E349,-12),tblSafety[Date],"&lt;="&amp;$A349)+SUMIFS(tblSafetyHistory[Hours_Total],tblSafetyHistory[Month],"&gt;="&amp;EDATE($E349,-12),tblSafetyHistory[Month],"&lt;"&amp;cfg_YearStart))*1000000,"")</f>
        <v/>
      </c>
      <c r="HG349" s="56">
        <f>IFERROR((SUMIFS(tblSafety[LTI],tblSafety[Date],"&gt;="&amp;EDATE($E349,-12),tblSafety[Date],"&lt;="&amp;$A349)+SUMIFS(tblSafetyHistory[LTI],tblSafetyHistory[Month],"&gt;="&amp;EDATE($E349,-12),tblSafetyHistory[Month],"&lt;"&amp;cfg_YearStart))/(SUMIFS(tblSafety[Hours_Total],tblSafety[Date],"&gt;="&amp;EDATE($E349,-12),tblSafety[Date],"&lt;="&amp;$A349)+SUMIFS(tblSafetyHistory[Hours_Total],tblSafetyHistory[Month],"&gt;="&amp;EDATE($E349,-12),tblSafetyHistory[Month],"&lt;"&amp;cfg_YearStart))*1000000,"")</f>
        <v/>
      </c>
      <c r="HH349" s="62">
        <f>IF(MAX(N(cfg_PriorLTIDate),_xlfn.MAXIFS(tblSafety[Date],tblSafety[LTI],"&gt;0",tblSafety[Date],"&lt;="&amp;$A349))=0,"",$A349-MAX(N(cfg_PriorLTIDate),_xlfn.MAXIFS(tblSafety[Date],tblSafety[LTI],"&gt;0",tblSafety[Date],"&lt;="&amp;$A349)))</f>
        <v/>
      </c>
      <c r="HI349" s="55">
        <f>SUMIFS(tblBudget[Ore_Mined_t],tblBudget[Month],$E349)</f>
        <v/>
      </c>
      <c r="HJ349" s="55">
        <f>$HI349*$C349/$D349</f>
        <v/>
      </c>
      <c r="HK349" s="55">
        <f>SUMIFS(tblBudget[Ore_Mined_t],tblBudget[Month],"&lt;"&amp;$E349)+$HJ349</f>
        <v/>
      </c>
      <c r="HL349" s="55">
        <f>SUMIFS(tblBudget[Ore_oz],tblBudget[Month],$E349)</f>
        <v/>
      </c>
      <c r="HM349" s="55">
        <f>$HL349*$C349/$D349</f>
        <v/>
      </c>
      <c r="HN349" s="55">
        <f>SUMIFS(tblBudget[Ore_oz],tblBudget[Month],"&lt;"&amp;$E349)+$HM349</f>
        <v/>
      </c>
      <c r="HO349" s="56">
        <f>IFERROR(IF(($HI349)&gt;0,($HL349*cfg_TroyOz)/($HI349),""),"")</f>
        <v/>
      </c>
      <c r="HP349" s="56">
        <f>IFERROR(IF(($HJ349)&gt;0,($HM349*cfg_TroyOz)/($HJ349),""),"")</f>
        <v/>
      </c>
      <c r="HQ349" s="56">
        <f>IFERROR(IF(($HK349)&gt;0,($HN349*cfg_TroyOz)/($HK349),""),"")</f>
        <v/>
      </c>
      <c r="HR349" s="55">
        <f>SUMIFS(tblBudget[Waste_t],tblBudget[Month],$E349)</f>
        <v/>
      </c>
      <c r="HS349" s="55">
        <f>$HR349*$C349/$D349</f>
        <v/>
      </c>
      <c r="HT349" s="55">
        <f>SUMIFS(tblBudget[Waste_t],tblBudget[Month],"&lt;"&amp;$E349)+$HS349</f>
        <v/>
      </c>
      <c r="HU349" s="55">
        <f>SUMIFS(tblBudget[TMM_t],tblBudget[Month],$E349)</f>
        <v/>
      </c>
      <c r="HV349" s="55">
        <f>$HU349*$C349/$D349</f>
        <v/>
      </c>
      <c r="HW349" s="55">
        <f>SUMIFS(tblBudget[TMM_t],tblBudget[Month],"&lt;"&amp;$E349)+$HV349</f>
        <v/>
      </c>
      <c r="HX349" s="56">
        <f>IFERROR(IF(($HI349)&gt;0,($HR349)/($HI349),""),"")</f>
        <v/>
      </c>
      <c r="HY349" s="56">
        <f>IFERROR(IF(($HJ349)&gt;0,($HS349)/($HJ349),""),"")</f>
        <v/>
      </c>
      <c r="HZ349" s="56">
        <f>IFERROR(IF(($HK349)&gt;0,($HT349)/($HK349),""),"")</f>
        <v/>
      </c>
      <c r="IA349" s="55">
        <f>SUMIFS(tblBudget[Drill_m],tblBudget[Month],$E349)</f>
        <v/>
      </c>
      <c r="IB349" s="55">
        <f>$IA349*$C349/$D349</f>
        <v/>
      </c>
      <c r="IC349" s="55">
        <f>SUMIFS(tblBudget[Drill_m],tblBudget[Month],"&lt;"&amp;$E349)+$IB349</f>
        <v/>
      </c>
      <c r="ID349" s="55">
        <f>SUMIFS(tblBudget[Diesel_L],tblBudget[Month],$E349)</f>
        <v/>
      </c>
      <c r="IE349" s="55">
        <f>$ID349*$C349/$D349</f>
        <v/>
      </c>
      <c r="IF349" s="55">
        <f>SUMIFS(tblBudget[Diesel_L],tblBudget[Month],"&lt;"&amp;$E349)+$IE349</f>
        <v/>
      </c>
      <c r="IG349" s="55">
        <f>SUMIFS(tblBudget[Milled_t],tblBudget[Month],$E349)</f>
        <v/>
      </c>
      <c r="IH349" s="55">
        <f>$IG349*$C349/$D349</f>
        <v/>
      </c>
      <c r="II349" s="55">
        <f>SUMIFS(tblBudget[Milled_t],tblBudget[Month],"&lt;"&amp;$E349)+$IH349</f>
        <v/>
      </c>
      <c r="IJ349" s="55">
        <f>SUMIFS(tblBudget[Feed_oz],tblBudget[Month],$E349)</f>
        <v/>
      </c>
      <c r="IK349" s="55">
        <f>$IJ349*$C349/$D349</f>
        <v/>
      </c>
      <c r="IL349" s="55">
        <f>SUMIFS(tblBudget[Feed_oz],tblBudget[Month],"&lt;"&amp;$E349)+$IK349</f>
        <v/>
      </c>
      <c r="IM349" s="55">
        <f>SUMIFS(tblBudget[Recovered_oz],tblBudget[Month],$E349)</f>
        <v/>
      </c>
      <c r="IN349" s="55">
        <f>$IM349*$C349/$D349</f>
        <v/>
      </c>
      <c r="IO349" s="55">
        <f>SUMIFS(tblBudget[Recovered_oz],tblBudget[Month],"&lt;"&amp;$E349)+$IN349</f>
        <v/>
      </c>
      <c r="IP349" s="56">
        <f>IFERROR(IF(($IG349)&gt;0,($IJ349*cfg_TroyOz)/($IG349),""),"")</f>
        <v/>
      </c>
      <c r="IQ349" s="56">
        <f>IFERROR(IF(($IH349)&gt;0,($IK349*cfg_TroyOz)/($IH349),""),"")</f>
        <v/>
      </c>
      <c r="IR349" s="56">
        <f>IFERROR(IF(($II349)&gt;0,($IL349*cfg_TroyOz)/($II349),""),"")</f>
        <v/>
      </c>
      <c r="IS349" s="67">
        <f>IFERROR(IF(($IJ349)&gt;0,($IM349)/($IJ349),""),"")</f>
        <v/>
      </c>
      <c r="IT349" s="67">
        <f>IFERROR(IF(($IK349)&gt;0,($IN349)/($IK349),""),"")</f>
        <v/>
      </c>
      <c r="IU349" s="67">
        <f>IFERROR(IF(($IL349)&gt;0,($IO349)/($IL349),""),"")</f>
        <v/>
      </c>
      <c r="IV349" s="55">
        <f>SUMIFS(tblBudget[Gold_Poured_oz],tblBudget[Month],$E349)</f>
        <v/>
      </c>
      <c r="IW349" s="55">
        <f>$IV349*$C349/$D349</f>
        <v/>
      </c>
      <c r="IX349" s="55">
        <f>SUMIFS(tblBudget[Gold_Poured_oz],tblBudget[Month],"&lt;"&amp;$E349)+$IW349</f>
        <v/>
      </c>
      <c r="IY349" s="57">
        <f>SUMIFS(tblBudget[Hours_Worked],tblBudget[Month],$E349)</f>
        <v/>
      </c>
      <c r="IZ349" s="57">
        <f>$IY349*$C349/$D349</f>
        <v/>
      </c>
      <c r="JA349" s="57">
        <f>SUMIFS(tblBudget[Hours_Worked],tblBudget[Month],"&lt;"&amp;$E349)+$IZ349</f>
        <v/>
      </c>
    </row>
    <row r="350">
      <c r="A350" s="54" t="n">
        <v>46371</v>
      </c>
      <c r="B350">
        <f>MONTH($A350)</f>
        <v/>
      </c>
      <c r="C350">
        <f>DAY($A350)</f>
        <v/>
      </c>
      <c r="D350">
        <f>DAY(EOMONTH($A350,0))</f>
        <v/>
      </c>
      <c r="E350" s="54">
        <f>DATE(YEAR($A350),MONTH($A350),1)</f>
        <v/>
      </c>
      <c r="F350" s="55">
        <f>SUMIFS(tblMovement[Tonnes_t],tblMovement[Date],$A350,tblMovement[Is_Ore],1,tblMovement[Source_Type],"Pit")</f>
        <v/>
      </c>
      <c r="G350" s="55">
        <f>IF($B350=$B349,$G349,0)+$F350</f>
        <v/>
      </c>
      <c r="H350" s="55">
        <f>$H349+$F350</f>
        <v/>
      </c>
      <c r="I350" s="55">
        <f>SUMIFS(tblMovement[Ore_oz],tblMovement[Date],$A350,tblMovement[Source_Type],"Pit")</f>
        <v/>
      </c>
      <c r="J350" s="55">
        <f>IF($B350=$B349,$J349,0)+$I350</f>
        <v/>
      </c>
      <c r="K350" s="55">
        <f>$K349+$I350</f>
        <v/>
      </c>
      <c r="L350" s="56">
        <f>IFERROR(IF(($F350)&gt;0,($I350*cfg_TroyOz)/($F350),""),"")</f>
        <v/>
      </c>
      <c r="M350" s="56">
        <f>IFERROR(IF(($G350)&gt;0,($J350*cfg_TroyOz)/($G350),""),"")</f>
        <v/>
      </c>
      <c r="N350" s="56">
        <f>IFERROR(IF(($H350)&gt;0,($K350*cfg_TroyOz)/($H350),""),"")</f>
        <v/>
      </c>
      <c r="O350" s="55">
        <f>SUMIFS(tblMovement[Tonnes_t],tblMovement[Date],$A350,tblMovement[Is_Ore],0,tblMovement[Source_Type],"Pit")</f>
        <v/>
      </c>
      <c r="P350" s="55">
        <f>IF($B350=$B349,$P349,0)+$O350</f>
        <v/>
      </c>
      <c r="Q350" s="55">
        <f>$Q349+$O350</f>
        <v/>
      </c>
      <c r="R350" s="55">
        <f>$F350+$O350</f>
        <v/>
      </c>
      <c r="S350" s="55">
        <f>IF($B350=$B349,$S349,0)+$R350</f>
        <v/>
      </c>
      <c r="T350" s="55">
        <f>$T349+$R350</f>
        <v/>
      </c>
      <c r="U350" s="56">
        <f>IFERROR(IF(($F350)&gt;0,($O350)/($F350),""),"")</f>
        <v/>
      </c>
      <c r="V350" s="56">
        <f>IFERROR(IF(($G350)&gt;0,($P350)/($G350),""),"")</f>
        <v/>
      </c>
      <c r="W350" s="56">
        <f>IFERROR(IF(($H350)&gt;0,($Q350)/($H350),""),"")</f>
        <v/>
      </c>
      <c r="X350" s="55">
        <f>SUMIFS(tblMovement[Tonnes_t],tblMovement[Date],$A350,tblMovement[Source_Type],"Stockpile")</f>
        <v/>
      </c>
      <c r="Y350" s="55">
        <f>IF($B350=$B349,$Y349,0)+$X350</f>
        <v/>
      </c>
      <c r="Z350" s="55">
        <f>$Z349+$X350</f>
        <v/>
      </c>
      <c r="AA350" s="55">
        <f>SUMIFS(tblMiningDaily[Drill_m],tblMiningDaily[Date],$A350)</f>
        <v/>
      </c>
      <c r="AB350" s="55">
        <f>IF($B350=$B349,$AB349,0)+$AA350</f>
        <v/>
      </c>
      <c r="AC350" s="55">
        <f>$AC349+$AA350</f>
        <v/>
      </c>
      <c r="AD350" s="55">
        <f>SUMIFS(tblMiningDaily[Blast_t],tblMiningDaily[Date],$A350)</f>
        <v/>
      </c>
      <c r="AE350" s="55">
        <f>IF($B350=$B349,$AE349,0)+$AD350</f>
        <v/>
      </c>
      <c r="AF350" s="55">
        <f>$AF349+$AD350</f>
        <v/>
      </c>
      <c r="AG350" s="55">
        <f>SUMIFS(tblMiningDaily[Explosives_kg],tblMiningDaily[Date],$A350)</f>
        <v/>
      </c>
      <c r="AH350" s="55">
        <f>IF($B350=$B349,$AH349,0)+$AG350</f>
        <v/>
      </c>
      <c r="AI350" s="55">
        <f>$AI349+$AG350</f>
        <v/>
      </c>
      <c r="AJ350" s="56">
        <f>IFERROR(IF(($AD350)&gt;0,($AG350)/($AD350),""),"")</f>
        <v/>
      </c>
      <c r="AK350" s="56">
        <f>IFERROR(IF(($AE350)&gt;0,($AH350)/($AE350),""),"")</f>
        <v/>
      </c>
      <c r="AL350" s="56">
        <f>IFERROR(IF(($AF350)&gt;0,($AI350)/($AF350),""),"")</f>
        <v/>
      </c>
      <c r="AM350" s="55">
        <f>SUMIFS(tblMiningDaily[Diesel_L],tblMiningDaily[Date],$A350)</f>
        <v/>
      </c>
      <c r="AN350" s="55">
        <f>IF($B350=$B349,$AN349,0)+$AM350</f>
        <v/>
      </c>
      <c r="AO350" s="55">
        <f>$AO349+$AM350</f>
        <v/>
      </c>
      <c r="AP350" s="55">
        <f>SUMIFS(tblMiningDaily[Dewatering_m3],tblMiningDaily[Date],$A350)</f>
        <v/>
      </c>
      <c r="AQ350" s="55">
        <f>IF($B350=$B349,$AQ349,0)+$AP350</f>
        <v/>
      </c>
      <c r="AR350" s="55">
        <f>$AR349+$AP350</f>
        <v/>
      </c>
      <c r="AS350" s="57">
        <f>SUMIFS(tblFleet[Calendar_h],tblFleet[Date],$A350,tblFleet[Equipment_Class],"Excavator")</f>
        <v/>
      </c>
      <c r="AT350" s="57">
        <f>IF($B350=$B349,$AT349,0)+$AS350</f>
        <v/>
      </c>
      <c r="AU350" s="57">
        <f>$AU349+$AS350</f>
        <v/>
      </c>
      <c r="AV350" s="57">
        <f>SUMIFS(tblFleet[Available_h],tblFleet[Date],$A350,tblFleet[Equipment_Class],"Excavator")</f>
        <v/>
      </c>
      <c r="AW350" s="57">
        <f>IF($B350=$B349,$AW349,0)+$AV350</f>
        <v/>
      </c>
      <c r="AX350" s="57">
        <f>$AX349+$AV350</f>
        <v/>
      </c>
      <c r="AY350" s="57">
        <f>SUMIFS(tblFleet[Operating_h],tblFleet[Date],$A350,tblFleet[Equipment_Class],"Excavator")</f>
        <v/>
      </c>
      <c r="AZ350" s="57">
        <f>IF($B350=$B349,$AZ349,0)+$AY350</f>
        <v/>
      </c>
      <c r="BA350" s="57">
        <f>$BA349+$AY350</f>
        <v/>
      </c>
      <c r="BB350" s="67">
        <f>IFERROR(IF(($AS350)&gt;0,($AV350)/($AS350),""),"")</f>
        <v/>
      </c>
      <c r="BC350" s="67">
        <f>IFERROR(IF(($AT350)&gt;0,($AW350)/($AT350),""),"")</f>
        <v/>
      </c>
      <c r="BD350" s="67">
        <f>IFERROR(IF(($AU350)&gt;0,($AX350)/($AU350),""),"")</f>
        <v/>
      </c>
      <c r="BE350" s="67">
        <f>IFERROR(IF(($AV350)&gt;0,($AY350)/($AV350),""),"")</f>
        <v/>
      </c>
      <c r="BF350" s="67">
        <f>IFERROR(IF(($AW350)&gt;0,($AZ350)/($AW350),""),"")</f>
        <v/>
      </c>
      <c r="BG350" s="67">
        <f>IFERROR(IF(($AX350)&gt;0,($BA350)/($AX350),""),"")</f>
        <v/>
      </c>
      <c r="BH350" s="57">
        <f>SUMIFS(tblFleet[Calendar_h],tblFleet[Date],$A350,tblFleet[Equipment_Class],"Haul Truck")</f>
        <v/>
      </c>
      <c r="BI350" s="57">
        <f>IF($B350=$B349,$BI349,0)+$BH350</f>
        <v/>
      </c>
      <c r="BJ350" s="57">
        <f>$BJ349+$BH350</f>
        <v/>
      </c>
      <c r="BK350" s="57">
        <f>SUMIFS(tblFleet[Available_h],tblFleet[Date],$A350,tblFleet[Equipment_Class],"Haul Truck")</f>
        <v/>
      </c>
      <c r="BL350" s="57">
        <f>IF($B350=$B349,$BL349,0)+$BK350</f>
        <v/>
      </c>
      <c r="BM350" s="57">
        <f>$BM349+$BK350</f>
        <v/>
      </c>
      <c r="BN350" s="57">
        <f>SUMIFS(tblFleet[Operating_h],tblFleet[Date],$A350,tblFleet[Equipment_Class],"Haul Truck")</f>
        <v/>
      </c>
      <c r="BO350" s="57">
        <f>IF($B350=$B349,$BO349,0)+$BN350</f>
        <v/>
      </c>
      <c r="BP350" s="57">
        <f>$BP349+$BN350</f>
        <v/>
      </c>
      <c r="BQ350" s="67">
        <f>IFERROR(IF(($BH350)&gt;0,($BK350)/($BH350),""),"")</f>
        <v/>
      </c>
      <c r="BR350" s="67">
        <f>IFERROR(IF(($BI350)&gt;0,($BL350)/($BI350),""),"")</f>
        <v/>
      </c>
      <c r="BS350" s="67">
        <f>IFERROR(IF(($BJ350)&gt;0,($BM350)/($BJ350),""),"")</f>
        <v/>
      </c>
      <c r="BT350" s="67">
        <f>IFERROR(IF(($BK350)&gt;0,($BN350)/($BK350),""),"")</f>
        <v/>
      </c>
      <c r="BU350" s="67">
        <f>IFERROR(IF(($BL350)&gt;0,($BO350)/($BL350),""),"")</f>
        <v/>
      </c>
      <c r="BV350" s="67">
        <f>IFERROR(IF(($BM350)&gt;0,($BP350)/($BM350),""),"")</f>
        <v/>
      </c>
      <c r="BW350" s="55">
        <f>SUMIFS(tblPlant[Crushed_t],tblPlant[Date],$A350)</f>
        <v/>
      </c>
      <c r="BX350" s="55">
        <f>IF($B350=$B349,$BX349,0)+$BW350</f>
        <v/>
      </c>
      <c r="BY350" s="55">
        <f>$BY349+$BW350</f>
        <v/>
      </c>
      <c r="BZ350" s="55">
        <f>SUMIFS(tblPlant[Milled_t],tblPlant[Date],$A350)</f>
        <v/>
      </c>
      <c r="CA350" s="55">
        <f>IF($B350=$B349,$CA349,0)+$BZ350</f>
        <v/>
      </c>
      <c r="CB350" s="55">
        <f>$CB349+$BZ350</f>
        <v/>
      </c>
      <c r="CC350" s="55">
        <f>SUMIFS(tblPlant[Feed_oz],tblPlant[Date],$A350)</f>
        <v/>
      </c>
      <c r="CD350" s="55">
        <f>IF($B350=$B349,$CD349,0)+$CC350</f>
        <v/>
      </c>
      <c r="CE350" s="55">
        <f>$CE349+$CC350</f>
        <v/>
      </c>
      <c r="CF350" s="55">
        <f>SUMIFS(tblPlant[Tails_oz],tblPlant[Date],$A350)</f>
        <v/>
      </c>
      <c r="CG350" s="55">
        <f>IF($B350=$B349,$CG349,0)+$CF350</f>
        <v/>
      </c>
      <c r="CH350" s="55">
        <f>$CH349+$CF350</f>
        <v/>
      </c>
      <c r="CI350" s="55">
        <f>SUMIFS(tblPlant[Recovered_oz],tblPlant[Date],$A350)</f>
        <v/>
      </c>
      <c r="CJ350" s="55">
        <f>IF($B350=$B349,$CJ349,0)+$CI350</f>
        <v/>
      </c>
      <c r="CK350" s="55">
        <f>$CK349+$CI350</f>
        <v/>
      </c>
      <c r="CL350" s="56">
        <f>IFERROR(IF(($BZ350)&gt;0,($CC350*cfg_TroyOz)/($BZ350),""),"")</f>
        <v/>
      </c>
      <c r="CM350" s="56">
        <f>IFERROR(IF(($CA350)&gt;0,($CD350*cfg_TroyOz)/($CA350),""),"")</f>
        <v/>
      </c>
      <c r="CN350" s="56">
        <f>IFERROR(IF(($CB350)&gt;0,($CE350*cfg_TroyOz)/($CB350),""),"")</f>
        <v/>
      </c>
      <c r="CO350" s="56">
        <f>IFERROR(IF(($BZ350)&gt;0,($CF350*cfg_TroyOz)/($BZ350),""),"")</f>
        <v/>
      </c>
      <c r="CP350" s="56">
        <f>IFERROR(IF(($CA350)&gt;0,($CG350*cfg_TroyOz)/($CA350),""),"")</f>
        <v/>
      </c>
      <c r="CQ350" s="56">
        <f>IFERROR(IF(($CB350)&gt;0,($CH350*cfg_TroyOz)/($CB350),""),"")</f>
        <v/>
      </c>
      <c r="CR350" s="67">
        <f>IFERROR(IF(($CC350)&gt;0,($CI350)/($CC350),""),"")</f>
        <v/>
      </c>
      <c r="CS350" s="67">
        <f>IFERROR(IF(($CD350)&gt;0,($CJ350)/($CD350),""),"")</f>
        <v/>
      </c>
      <c r="CT350" s="67">
        <f>IFERROR(IF(($CE350)&gt;0,($CK350)/($CE350),""),"")</f>
        <v/>
      </c>
      <c r="CU350" s="55">
        <f>SUMIFS(tblPlant[Gravity_Gold_oz],tblPlant[Date],$A350)</f>
        <v/>
      </c>
      <c r="CV350" s="55">
        <f>IF($B350=$B349,$CV349,0)+$CU350</f>
        <v/>
      </c>
      <c r="CW350" s="55">
        <f>$CW349+$CU350</f>
        <v/>
      </c>
      <c r="CX350" s="55">
        <f>SUMIFS(tblPlant[Gold_Poured_oz],tblPlant[Date],$A350)</f>
        <v/>
      </c>
      <c r="CY350" s="55">
        <f>IF($B350=$B349,$CY349,0)+$CX350</f>
        <v/>
      </c>
      <c r="CZ350" s="55">
        <f>$CZ349+$CX350</f>
        <v/>
      </c>
      <c r="DA350" s="57">
        <f>SUMIFS(tblPlant[Mill_Run_h],tblPlant[Date],$A350)</f>
        <v/>
      </c>
      <c r="DB350" s="57">
        <f>IF($B350=$B349,$DB349,0)+$DA350</f>
        <v/>
      </c>
      <c r="DC350" s="57">
        <f>$DC349+$DA350</f>
        <v/>
      </c>
      <c r="DD350" s="57">
        <f>SUMIFS(tblPlant[Mill_Planned_Maint_h],tblPlant[Date],$A350)</f>
        <v/>
      </c>
      <c r="DE350" s="57">
        <f>IF($B350=$B349,$DE349,0)+$DD350</f>
        <v/>
      </c>
      <c r="DF350" s="57">
        <f>$DF349+$DD350</f>
        <v/>
      </c>
      <c r="DG350" s="57">
        <f>SUMIFS(tblPlant[Mill_Unplanned_Down_h],tblPlant[Date],$A350)</f>
        <v/>
      </c>
      <c r="DH350" s="57">
        <f>IF($B350=$B349,$DH349,0)+$DG350</f>
        <v/>
      </c>
      <c r="DI350" s="57">
        <f>$DI349+$DG350</f>
        <v/>
      </c>
      <c r="DJ350" s="57">
        <f>COUNTIFS(tblPlant[Date],$A350,tblPlant[Mill_Run_h],"&lt;&gt;")*24</f>
        <v/>
      </c>
      <c r="DK350" s="57">
        <f>IF($B350=$B349,$DK349,0)+$DJ350</f>
        <v/>
      </c>
      <c r="DL350" s="57">
        <f>$DL349+$DJ350</f>
        <v/>
      </c>
      <c r="DM350" s="57">
        <f>SUMIFS(tblPlant[Crusher_Run_h],tblPlant[Date],$A350)</f>
        <v/>
      </c>
      <c r="DN350" s="57">
        <f>IF($B350=$B349,$DN349,0)+$DM350</f>
        <v/>
      </c>
      <c r="DO350" s="57">
        <f>$DO349+$DM350</f>
        <v/>
      </c>
      <c r="DP350" s="55">
        <f>IFERROR(IF(($DA350)&gt;0,($BZ350)/($DA350),""),"")</f>
        <v/>
      </c>
      <c r="DQ350" s="55">
        <f>IFERROR(IF(($DB350)&gt;0,($CA350)/($DB350),""),"")</f>
        <v/>
      </c>
      <c r="DR350" s="55">
        <f>IFERROR(IF(($DC350)&gt;0,($CB350)/($DC350),""),"")</f>
        <v/>
      </c>
      <c r="DS350" s="67">
        <f>IFERROR(IF(($DJ350)&gt;0,($DJ350-$DD350-$DG350)/($DJ350),""),"")</f>
        <v/>
      </c>
      <c r="DT350" s="67">
        <f>IFERROR(IF(($DK350)&gt;0,($DK350-$DE350-$DH350)/($DK350),""),"")</f>
        <v/>
      </c>
      <c r="DU350" s="67">
        <f>IFERROR(IF(($DL350)&gt;0,($DL350-$DF350-$DI350)/($DL350),""),"")</f>
        <v/>
      </c>
      <c r="DV350" s="67">
        <f>IFERROR(IF(($DJ350-$DD350-$DG350)&gt;0,($DA350)/($DJ350-$DD350-$DG350),""),"")</f>
        <v/>
      </c>
      <c r="DW350" s="67">
        <f>IFERROR(IF(($DK350-$DE350-$DH350)&gt;0,($DB350)/($DK350-$DE350-$DH350),""),"")</f>
        <v/>
      </c>
      <c r="DX350" s="67">
        <f>IFERROR(IF(($DL350-$DF350-$DI350)&gt;0,($DC350)/($DL350-$DF350-$DI350),""),"")</f>
        <v/>
      </c>
      <c r="DY350" s="55">
        <f>SUMIFS(tblPlant[Cyanide_kg],tblPlant[Date],$A350)</f>
        <v/>
      </c>
      <c r="DZ350" s="55">
        <f>IF($B350=$B349,$DZ349,0)+$DY350</f>
        <v/>
      </c>
      <c r="EA350" s="55">
        <f>$EA349+$DY350</f>
        <v/>
      </c>
      <c r="EB350" s="55">
        <f>SUMIFS(tblPlant[Lime_kg],tblPlant[Date],$A350)</f>
        <v/>
      </c>
      <c r="EC350" s="55">
        <f>IF($B350=$B349,$EC349,0)+$EB350</f>
        <v/>
      </c>
      <c r="ED350" s="55">
        <f>$ED349+$EB350</f>
        <v/>
      </c>
      <c r="EE350" s="55">
        <f>SUMIFS(tblPlant[Grinding_Media_kg],tblPlant[Date],$A350)</f>
        <v/>
      </c>
      <c r="EF350" s="55">
        <f>IF($B350=$B349,$EF349,0)+$EE350</f>
        <v/>
      </c>
      <c r="EG350" s="55">
        <f>$EG349+$EE350</f>
        <v/>
      </c>
      <c r="EH350" s="55">
        <f>SUMIFS(tblPlant[Power_kWh],tblPlant[Date],$A350)</f>
        <v/>
      </c>
      <c r="EI350" s="55">
        <f>IF($B350=$B349,$EI349,0)+$EH350</f>
        <v/>
      </c>
      <c r="EJ350" s="55">
        <f>$EJ349+$EH350</f>
        <v/>
      </c>
      <c r="EK350" s="55">
        <f>SUMIFS(tblPlant[Raw_Water_m3],tblPlant[Date],$A350)</f>
        <v/>
      </c>
      <c r="EL350" s="55">
        <f>IF($B350=$B349,$EL349,0)+$EK350</f>
        <v/>
      </c>
      <c r="EM350" s="55">
        <f>$EM349+$EK350</f>
        <v/>
      </c>
      <c r="EN350" s="56">
        <f>IFERROR(IF(($BZ350)&gt;0,($DY350)/($BZ350),""),"")</f>
        <v/>
      </c>
      <c r="EO350" s="56">
        <f>IFERROR(IF(($CA350)&gt;0,($DZ350)/($CA350),""),"")</f>
        <v/>
      </c>
      <c r="EP350" s="56">
        <f>IFERROR(IF(($CB350)&gt;0,($EA350)/($CB350),""),"")</f>
        <v/>
      </c>
      <c r="EQ350" s="56">
        <f>IFERROR(IF(($BZ350)&gt;0,($EB350)/($BZ350),""),"")</f>
        <v/>
      </c>
      <c r="ER350" s="56">
        <f>IFERROR(IF(($CA350)&gt;0,($EC350)/($CA350),""),"")</f>
        <v/>
      </c>
      <c r="ES350" s="56">
        <f>IFERROR(IF(($CB350)&gt;0,($ED350)/($CB350),""),"")</f>
        <v/>
      </c>
      <c r="ET350" s="56">
        <f>IFERROR(IF(($BZ350)&gt;0,($EE350)/($BZ350),""),"")</f>
        <v/>
      </c>
      <c r="EU350" s="56">
        <f>IFERROR(IF(($CA350)&gt;0,($EF350)/($CA350),""),"")</f>
        <v/>
      </c>
      <c r="EV350" s="56">
        <f>IFERROR(IF(($CB350)&gt;0,($EG350)/($CB350),""),"")</f>
        <v/>
      </c>
      <c r="EW350" s="76">
        <f>IFERROR(IF(($BZ350)&gt;0,($EH350)/($BZ350),""),"")</f>
        <v/>
      </c>
      <c r="EX350" s="76">
        <f>IFERROR(IF(($CA350)&gt;0,($EI350)/($CA350),""),"")</f>
        <v/>
      </c>
      <c r="EY350" s="76">
        <f>IFERROR(IF(($CB350)&gt;0,($EJ350)/($CB350),""),"")</f>
        <v/>
      </c>
      <c r="EZ350" s="56">
        <f>IFERROR(IF(($BZ350)&gt;0,($EK350)/($BZ350),""),"")</f>
        <v/>
      </c>
      <c r="FA350" s="56">
        <f>IFERROR(IF(($CA350)&gt;0,($EL350)/($CA350),""),"")</f>
        <v/>
      </c>
      <c r="FB350" s="56">
        <f>IFERROR(IF(($CB350)&gt;0,($EM350)/($CB350),""),"")</f>
        <v/>
      </c>
      <c r="FC350" s="55">
        <f>IF(SUMIFS(tblPlant[GIC_oz],tblPlant[Date],$A350)&gt;0,SUMIFS(tblPlant[GIC_oz],tblPlant[Date],$A350),"")</f>
        <v/>
      </c>
      <c r="FD350" s="55">
        <f>SUMIFS(tblGold[Gold_oz],tblGold[Date],$A350,tblGold[Type],"Shipment")</f>
        <v/>
      </c>
      <c r="FE350" s="55">
        <f>IF($B350=$B349,$FE349,0)+$FD350</f>
        <v/>
      </c>
      <c r="FF350" s="55">
        <f>$FF349+$FD350</f>
        <v/>
      </c>
      <c r="FG350" s="55">
        <f>SUMIFS(tblGold[Gold_oz],tblGold[Date],$A350,tblGold[Type],"Sale")</f>
        <v/>
      </c>
      <c r="FH350" s="55">
        <f>IF($B350=$B349,$FH349,0)+$FG350</f>
        <v/>
      </c>
      <c r="FI350" s="55">
        <f>$FI349+$FG350</f>
        <v/>
      </c>
      <c r="FJ350" s="55">
        <f>SUMIFS(tblGold[Dore_kg],tblGold[Date],$A350,tblGold[Type],"Shipment")</f>
        <v/>
      </c>
      <c r="FK350" s="55">
        <f>IF($B350=$B349,$FK349,0)+$FJ350</f>
        <v/>
      </c>
      <c r="FL350" s="55">
        <f>$FL349+$FJ350</f>
        <v/>
      </c>
      <c r="FM350" s="57">
        <f>SUMIFS(tblSafety[Hours_Total],tblSafety[Date],$A350)</f>
        <v/>
      </c>
      <c r="FN350" s="57">
        <f>IF($B350=$B349,$FN349,0)+$FM350</f>
        <v/>
      </c>
      <c r="FO350" s="57">
        <f>$FO349+$FM350</f>
        <v/>
      </c>
      <c r="FP350" s="62">
        <f>SUMIFS(tblSafety[Fatality],tblSafety[Date],$A350)</f>
        <v/>
      </c>
      <c r="FQ350" s="62">
        <f>IF($B350=$B349,$FQ349,0)+$FP350</f>
        <v/>
      </c>
      <c r="FR350" s="62">
        <f>$FR349+$FP350</f>
        <v/>
      </c>
      <c r="FS350" s="62">
        <f>SUMIFS(tblSafety[LTI],tblSafety[Date],$A350)</f>
        <v/>
      </c>
      <c r="FT350" s="62">
        <f>IF($B350=$B349,$FT349,0)+$FS350</f>
        <v/>
      </c>
      <c r="FU350" s="62">
        <f>$FU349+$FS350</f>
        <v/>
      </c>
      <c r="FV350" s="62">
        <f>SUMIFS(tblSafety[RWI],tblSafety[Date],$A350)</f>
        <v/>
      </c>
      <c r="FW350" s="62">
        <f>IF($B350=$B349,$FW349,0)+$FV350</f>
        <v/>
      </c>
      <c r="FX350" s="62">
        <f>$FX349+$FV350</f>
        <v/>
      </c>
      <c r="FY350" s="62">
        <f>SUMIFS(tblSafety[MTI],tblSafety[Date],$A350)</f>
        <v/>
      </c>
      <c r="FZ350" s="62">
        <f>IF($B350=$B349,$FZ349,0)+$FY350</f>
        <v/>
      </c>
      <c r="GA350" s="62">
        <f>$GA349+$FY350</f>
        <v/>
      </c>
      <c r="GB350" s="62">
        <f>SUMIFS(tblSafety[FAI],tblSafety[Date],$A350)</f>
        <v/>
      </c>
      <c r="GC350" s="62">
        <f>IF($B350=$B349,$GC349,0)+$GB350</f>
        <v/>
      </c>
      <c r="GD350" s="62">
        <f>$GD349+$GB350</f>
        <v/>
      </c>
      <c r="GE350" s="62">
        <f>SUMIFS(tblSafety[Recordables],tblSafety[Date],$A350)</f>
        <v/>
      </c>
      <c r="GF350" s="62">
        <f>IF($B350=$B349,$GF349,0)+$GE350</f>
        <v/>
      </c>
      <c r="GG350" s="62">
        <f>$GG349+$GE350</f>
        <v/>
      </c>
      <c r="GH350" s="62">
        <f>SUMIFS(tblSafety[Near_Miss],tblSafety[Date],$A350)</f>
        <v/>
      </c>
      <c r="GI350" s="62">
        <f>IF($B350=$B349,$GI349,0)+$GH350</f>
        <v/>
      </c>
      <c r="GJ350" s="62">
        <f>$GJ349+$GH350</f>
        <v/>
      </c>
      <c r="GK350" s="62">
        <f>SUMIFS(tblSafety[Hazard_Reports],tblSafety[Date],$A350)</f>
        <v/>
      </c>
      <c r="GL350" s="62">
        <f>IF($B350=$B349,$GL349,0)+$GK350</f>
        <v/>
      </c>
      <c r="GM350" s="62">
        <f>$GM349+$GK350</f>
        <v/>
      </c>
      <c r="GN350" s="62">
        <f>SUMIFS(tblSafety[HPI],tblSafety[Date],$A350)</f>
        <v/>
      </c>
      <c r="GO350" s="62">
        <f>IF($B350=$B349,$GO349,0)+$GN350</f>
        <v/>
      </c>
      <c r="GP350" s="62">
        <f>$GP349+$GN350</f>
        <v/>
      </c>
      <c r="GQ350" s="62">
        <f>SUMIFS(tblSafety[Env_Incidents],tblSafety[Date],$A350)</f>
        <v/>
      </c>
      <c r="GR350" s="62">
        <f>IF($B350=$B349,$GR349,0)+$GQ350</f>
        <v/>
      </c>
      <c r="GS350" s="62">
        <f>$GS349+$GQ350</f>
        <v/>
      </c>
      <c r="GT350" s="62">
        <f>SUMIFS(tblSafety[Community_Incidents],tblSafety[Date],$A350)</f>
        <v/>
      </c>
      <c r="GU350" s="62">
        <f>IF($B350=$B349,$GU349,0)+$GT350</f>
        <v/>
      </c>
      <c r="GV350" s="62">
        <f>$GV349+$GT350</f>
        <v/>
      </c>
      <c r="GW350" s="62">
        <f>SUMIFS(tblSafety[Vehicle_Incidents],tblSafety[Date],$A350)</f>
        <v/>
      </c>
      <c r="GX350" s="62">
        <f>IF($B350=$B349,$GX349,0)+$GW350</f>
        <v/>
      </c>
      <c r="GY350" s="62">
        <f>$GY349+$GW350</f>
        <v/>
      </c>
      <c r="GZ350" s="62">
        <f>SUMIFS(tblSafety[Toolbox_Talks],tblSafety[Date],$A350)</f>
        <v/>
      </c>
      <c r="HA350" s="62">
        <f>IF($B350=$B349,$HA349,0)+$GZ350</f>
        <v/>
      </c>
      <c r="HB350" s="62">
        <f>$HB349+$GZ350</f>
        <v/>
      </c>
      <c r="HC350" s="62">
        <f>SUMIFS(tblSafety[Inspections],tblSafety[Date],$A350)</f>
        <v/>
      </c>
      <c r="HD350" s="62">
        <f>IF($B350=$B349,$HD349,0)+$HC350</f>
        <v/>
      </c>
      <c r="HE350" s="62">
        <f>$HE349+$HC350</f>
        <v/>
      </c>
      <c r="HF350" s="56">
        <f>IFERROR((SUMIFS(tblSafety[Recordables],tblSafety[Date],"&gt;="&amp;EDATE($E350,-12),tblSafety[Date],"&lt;="&amp;$A350)+SUMIFS(tblSafetyHistory[Recordables],tblSafetyHistory[Month],"&gt;="&amp;EDATE($E350,-12),tblSafetyHistory[Month],"&lt;"&amp;cfg_YearStart))/(SUMIFS(tblSafety[Hours_Total],tblSafety[Date],"&gt;="&amp;EDATE($E350,-12),tblSafety[Date],"&lt;="&amp;$A350)+SUMIFS(tblSafetyHistory[Hours_Total],tblSafetyHistory[Month],"&gt;="&amp;EDATE($E350,-12),tblSafetyHistory[Month],"&lt;"&amp;cfg_YearStart))*1000000,"")</f>
        <v/>
      </c>
      <c r="HG350" s="56">
        <f>IFERROR((SUMIFS(tblSafety[LTI],tblSafety[Date],"&gt;="&amp;EDATE($E350,-12),tblSafety[Date],"&lt;="&amp;$A350)+SUMIFS(tblSafetyHistory[LTI],tblSafetyHistory[Month],"&gt;="&amp;EDATE($E350,-12),tblSafetyHistory[Month],"&lt;"&amp;cfg_YearStart))/(SUMIFS(tblSafety[Hours_Total],tblSafety[Date],"&gt;="&amp;EDATE($E350,-12),tblSafety[Date],"&lt;="&amp;$A350)+SUMIFS(tblSafetyHistory[Hours_Total],tblSafetyHistory[Month],"&gt;="&amp;EDATE($E350,-12),tblSafetyHistory[Month],"&lt;"&amp;cfg_YearStart))*1000000,"")</f>
        <v/>
      </c>
      <c r="HH350" s="62">
        <f>IF(MAX(N(cfg_PriorLTIDate),_xlfn.MAXIFS(tblSafety[Date],tblSafety[LTI],"&gt;0",tblSafety[Date],"&lt;="&amp;$A350))=0,"",$A350-MAX(N(cfg_PriorLTIDate),_xlfn.MAXIFS(tblSafety[Date],tblSafety[LTI],"&gt;0",tblSafety[Date],"&lt;="&amp;$A350)))</f>
        <v/>
      </c>
      <c r="HI350" s="55">
        <f>SUMIFS(tblBudget[Ore_Mined_t],tblBudget[Month],$E350)</f>
        <v/>
      </c>
      <c r="HJ350" s="55">
        <f>$HI350*$C350/$D350</f>
        <v/>
      </c>
      <c r="HK350" s="55">
        <f>SUMIFS(tblBudget[Ore_Mined_t],tblBudget[Month],"&lt;"&amp;$E350)+$HJ350</f>
        <v/>
      </c>
      <c r="HL350" s="55">
        <f>SUMIFS(tblBudget[Ore_oz],tblBudget[Month],$E350)</f>
        <v/>
      </c>
      <c r="HM350" s="55">
        <f>$HL350*$C350/$D350</f>
        <v/>
      </c>
      <c r="HN350" s="55">
        <f>SUMIFS(tblBudget[Ore_oz],tblBudget[Month],"&lt;"&amp;$E350)+$HM350</f>
        <v/>
      </c>
      <c r="HO350" s="56">
        <f>IFERROR(IF(($HI350)&gt;0,($HL350*cfg_TroyOz)/($HI350),""),"")</f>
        <v/>
      </c>
      <c r="HP350" s="56">
        <f>IFERROR(IF(($HJ350)&gt;0,($HM350*cfg_TroyOz)/($HJ350),""),"")</f>
        <v/>
      </c>
      <c r="HQ350" s="56">
        <f>IFERROR(IF(($HK350)&gt;0,($HN350*cfg_TroyOz)/($HK350),""),"")</f>
        <v/>
      </c>
      <c r="HR350" s="55">
        <f>SUMIFS(tblBudget[Waste_t],tblBudget[Month],$E350)</f>
        <v/>
      </c>
      <c r="HS350" s="55">
        <f>$HR350*$C350/$D350</f>
        <v/>
      </c>
      <c r="HT350" s="55">
        <f>SUMIFS(tblBudget[Waste_t],tblBudget[Month],"&lt;"&amp;$E350)+$HS350</f>
        <v/>
      </c>
      <c r="HU350" s="55">
        <f>SUMIFS(tblBudget[TMM_t],tblBudget[Month],$E350)</f>
        <v/>
      </c>
      <c r="HV350" s="55">
        <f>$HU350*$C350/$D350</f>
        <v/>
      </c>
      <c r="HW350" s="55">
        <f>SUMIFS(tblBudget[TMM_t],tblBudget[Month],"&lt;"&amp;$E350)+$HV350</f>
        <v/>
      </c>
      <c r="HX350" s="56">
        <f>IFERROR(IF(($HI350)&gt;0,($HR350)/($HI350),""),"")</f>
        <v/>
      </c>
      <c r="HY350" s="56">
        <f>IFERROR(IF(($HJ350)&gt;0,($HS350)/($HJ350),""),"")</f>
        <v/>
      </c>
      <c r="HZ350" s="56">
        <f>IFERROR(IF(($HK350)&gt;0,($HT350)/($HK350),""),"")</f>
        <v/>
      </c>
      <c r="IA350" s="55">
        <f>SUMIFS(tblBudget[Drill_m],tblBudget[Month],$E350)</f>
        <v/>
      </c>
      <c r="IB350" s="55">
        <f>$IA350*$C350/$D350</f>
        <v/>
      </c>
      <c r="IC350" s="55">
        <f>SUMIFS(tblBudget[Drill_m],tblBudget[Month],"&lt;"&amp;$E350)+$IB350</f>
        <v/>
      </c>
      <c r="ID350" s="55">
        <f>SUMIFS(tblBudget[Diesel_L],tblBudget[Month],$E350)</f>
        <v/>
      </c>
      <c r="IE350" s="55">
        <f>$ID350*$C350/$D350</f>
        <v/>
      </c>
      <c r="IF350" s="55">
        <f>SUMIFS(tblBudget[Diesel_L],tblBudget[Month],"&lt;"&amp;$E350)+$IE350</f>
        <v/>
      </c>
      <c r="IG350" s="55">
        <f>SUMIFS(tblBudget[Milled_t],tblBudget[Month],$E350)</f>
        <v/>
      </c>
      <c r="IH350" s="55">
        <f>$IG350*$C350/$D350</f>
        <v/>
      </c>
      <c r="II350" s="55">
        <f>SUMIFS(tblBudget[Milled_t],tblBudget[Month],"&lt;"&amp;$E350)+$IH350</f>
        <v/>
      </c>
      <c r="IJ350" s="55">
        <f>SUMIFS(tblBudget[Feed_oz],tblBudget[Month],$E350)</f>
        <v/>
      </c>
      <c r="IK350" s="55">
        <f>$IJ350*$C350/$D350</f>
        <v/>
      </c>
      <c r="IL350" s="55">
        <f>SUMIFS(tblBudget[Feed_oz],tblBudget[Month],"&lt;"&amp;$E350)+$IK350</f>
        <v/>
      </c>
      <c r="IM350" s="55">
        <f>SUMIFS(tblBudget[Recovered_oz],tblBudget[Month],$E350)</f>
        <v/>
      </c>
      <c r="IN350" s="55">
        <f>$IM350*$C350/$D350</f>
        <v/>
      </c>
      <c r="IO350" s="55">
        <f>SUMIFS(tblBudget[Recovered_oz],tblBudget[Month],"&lt;"&amp;$E350)+$IN350</f>
        <v/>
      </c>
      <c r="IP350" s="56">
        <f>IFERROR(IF(($IG350)&gt;0,($IJ350*cfg_TroyOz)/($IG350),""),"")</f>
        <v/>
      </c>
      <c r="IQ350" s="56">
        <f>IFERROR(IF(($IH350)&gt;0,($IK350*cfg_TroyOz)/($IH350),""),"")</f>
        <v/>
      </c>
      <c r="IR350" s="56">
        <f>IFERROR(IF(($II350)&gt;0,($IL350*cfg_TroyOz)/($II350),""),"")</f>
        <v/>
      </c>
      <c r="IS350" s="67">
        <f>IFERROR(IF(($IJ350)&gt;0,($IM350)/($IJ350),""),"")</f>
        <v/>
      </c>
      <c r="IT350" s="67">
        <f>IFERROR(IF(($IK350)&gt;0,($IN350)/($IK350),""),"")</f>
        <v/>
      </c>
      <c r="IU350" s="67">
        <f>IFERROR(IF(($IL350)&gt;0,($IO350)/($IL350),""),"")</f>
        <v/>
      </c>
      <c r="IV350" s="55">
        <f>SUMIFS(tblBudget[Gold_Poured_oz],tblBudget[Month],$E350)</f>
        <v/>
      </c>
      <c r="IW350" s="55">
        <f>$IV350*$C350/$D350</f>
        <v/>
      </c>
      <c r="IX350" s="55">
        <f>SUMIFS(tblBudget[Gold_Poured_oz],tblBudget[Month],"&lt;"&amp;$E350)+$IW350</f>
        <v/>
      </c>
      <c r="IY350" s="57">
        <f>SUMIFS(tblBudget[Hours_Worked],tblBudget[Month],$E350)</f>
        <v/>
      </c>
      <c r="IZ350" s="57">
        <f>$IY350*$C350/$D350</f>
        <v/>
      </c>
      <c r="JA350" s="57">
        <f>SUMIFS(tblBudget[Hours_Worked],tblBudget[Month],"&lt;"&amp;$E350)+$IZ350</f>
        <v/>
      </c>
    </row>
    <row r="351">
      <c r="A351" s="54" t="n">
        <v>46372</v>
      </c>
      <c r="B351">
        <f>MONTH($A351)</f>
        <v/>
      </c>
      <c r="C351">
        <f>DAY($A351)</f>
        <v/>
      </c>
      <c r="D351">
        <f>DAY(EOMONTH($A351,0))</f>
        <v/>
      </c>
      <c r="E351" s="54">
        <f>DATE(YEAR($A351),MONTH($A351),1)</f>
        <v/>
      </c>
      <c r="F351" s="55">
        <f>SUMIFS(tblMovement[Tonnes_t],tblMovement[Date],$A351,tblMovement[Is_Ore],1,tblMovement[Source_Type],"Pit")</f>
        <v/>
      </c>
      <c r="G351" s="55">
        <f>IF($B351=$B350,$G350,0)+$F351</f>
        <v/>
      </c>
      <c r="H351" s="55">
        <f>$H350+$F351</f>
        <v/>
      </c>
      <c r="I351" s="55">
        <f>SUMIFS(tblMovement[Ore_oz],tblMovement[Date],$A351,tblMovement[Source_Type],"Pit")</f>
        <v/>
      </c>
      <c r="J351" s="55">
        <f>IF($B351=$B350,$J350,0)+$I351</f>
        <v/>
      </c>
      <c r="K351" s="55">
        <f>$K350+$I351</f>
        <v/>
      </c>
      <c r="L351" s="56">
        <f>IFERROR(IF(($F351)&gt;0,($I351*cfg_TroyOz)/($F351),""),"")</f>
        <v/>
      </c>
      <c r="M351" s="56">
        <f>IFERROR(IF(($G351)&gt;0,($J351*cfg_TroyOz)/($G351),""),"")</f>
        <v/>
      </c>
      <c r="N351" s="56">
        <f>IFERROR(IF(($H351)&gt;0,($K351*cfg_TroyOz)/($H351),""),"")</f>
        <v/>
      </c>
      <c r="O351" s="55">
        <f>SUMIFS(tblMovement[Tonnes_t],tblMovement[Date],$A351,tblMovement[Is_Ore],0,tblMovement[Source_Type],"Pit")</f>
        <v/>
      </c>
      <c r="P351" s="55">
        <f>IF($B351=$B350,$P350,0)+$O351</f>
        <v/>
      </c>
      <c r="Q351" s="55">
        <f>$Q350+$O351</f>
        <v/>
      </c>
      <c r="R351" s="55">
        <f>$F351+$O351</f>
        <v/>
      </c>
      <c r="S351" s="55">
        <f>IF($B351=$B350,$S350,0)+$R351</f>
        <v/>
      </c>
      <c r="T351" s="55">
        <f>$T350+$R351</f>
        <v/>
      </c>
      <c r="U351" s="56">
        <f>IFERROR(IF(($F351)&gt;0,($O351)/($F351),""),"")</f>
        <v/>
      </c>
      <c r="V351" s="56">
        <f>IFERROR(IF(($G351)&gt;0,($P351)/($G351),""),"")</f>
        <v/>
      </c>
      <c r="W351" s="56">
        <f>IFERROR(IF(($H351)&gt;0,($Q351)/($H351),""),"")</f>
        <v/>
      </c>
      <c r="X351" s="55">
        <f>SUMIFS(tblMovement[Tonnes_t],tblMovement[Date],$A351,tblMovement[Source_Type],"Stockpile")</f>
        <v/>
      </c>
      <c r="Y351" s="55">
        <f>IF($B351=$B350,$Y350,0)+$X351</f>
        <v/>
      </c>
      <c r="Z351" s="55">
        <f>$Z350+$X351</f>
        <v/>
      </c>
      <c r="AA351" s="55">
        <f>SUMIFS(tblMiningDaily[Drill_m],tblMiningDaily[Date],$A351)</f>
        <v/>
      </c>
      <c r="AB351" s="55">
        <f>IF($B351=$B350,$AB350,0)+$AA351</f>
        <v/>
      </c>
      <c r="AC351" s="55">
        <f>$AC350+$AA351</f>
        <v/>
      </c>
      <c r="AD351" s="55">
        <f>SUMIFS(tblMiningDaily[Blast_t],tblMiningDaily[Date],$A351)</f>
        <v/>
      </c>
      <c r="AE351" s="55">
        <f>IF($B351=$B350,$AE350,0)+$AD351</f>
        <v/>
      </c>
      <c r="AF351" s="55">
        <f>$AF350+$AD351</f>
        <v/>
      </c>
      <c r="AG351" s="55">
        <f>SUMIFS(tblMiningDaily[Explosives_kg],tblMiningDaily[Date],$A351)</f>
        <v/>
      </c>
      <c r="AH351" s="55">
        <f>IF($B351=$B350,$AH350,0)+$AG351</f>
        <v/>
      </c>
      <c r="AI351" s="55">
        <f>$AI350+$AG351</f>
        <v/>
      </c>
      <c r="AJ351" s="56">
        <f>IFERROR(IF(($AD351)&gt;0,($AG351)/($AD351),""),"")</f>
        <v/>
      </c>
      <c r="AK351" s="56">
        <f>IFERROR(IF(($AE351)&gt;0,($AH351)/($AE351),""),"")</f>
        <v/>
      </c>
      <c r="AL351" s="56">
        <f>IFERROR(IF(($AF351)&gt;0,($AI351)/($AF351),""),"")</f>
        <v/>
      </c>
      <c r="AM351" s="55">
        <f>SUMIFS(tblMiningDaily[Diesel_L],tblMiningDaily[Date],$A351)</f>
        <v/>
      </c>
      <c r="AN351" s="55">
        <f>IF($B351=$B350,$AN350,0)+$AM351</f>
        <v/>
      </c>
      <c r="AO351" s="55">
        <f>$AO350+$AM351</f>
        <v/>
      </c>
      <c r="AP351" s="55">
        <f>SUMIFS(tblMiningDaily[Dewatering_m3],tblMiningDaily[Date],$A351)</f>
        <v/>
      </c>
      <c r="AQ351" s="55">
        <f>IF($B351=$B350,$AQ350,0)+$AP351</f>
        <v/>
      </c>
      <c r="AR351" s="55">
        <f>$AR350+$AP351</f>
        <v/>
      </c>
      <c r="AS351" s="57">
        <f>SUMIFS(tblFleet[Calendar_h],tblFleet[Date],$A351,tblFleet[Equipment_Class],"Excavator")</f>
        <v/>
      </c>
      <c r="AT351" s="57">
        <f>IF($B351=$B350,$AT350,0)+$AS351</f>
        <v/>
      </c>
      <c r="AU351" s="57">
        <f>$AU350+$AS351</f>
        <v/>
      </c>
      <c r="AV351" s="57">
        <f>SUMIFS(tblFleet[Available_h],tblFleet[Date],$A351,tblFleet[Equipment_Class],"Excavator")</f>
        <v/>
      </c>
      <c r="AW351" s="57">
        <f>IF($B351=$B350,$AW350,0)+$AV351</f>
        <v/>
      </c>
      <c r="AX351" s="57">
        <f>$AX350+$AV351</f>
        <v/>
      </c>
      <c r="AY351" s="57">
        <f>SUMIFS(tblFleet[Operating_h],tblFleet[Date],$A351,tblFleet[Equipment_Class],"Excavator")</f>
        <v/>
      </c>
      <c r="AZ351" s="57">
        <f>IF($B351=$B350,$AZ350,0)+$AY351</f>
        <v/>
      </c>
      <c r="BA351" s="57">
        <f>$BA350+$AY351</f>
        <v/>
      </c>
      <c r="BB351" s="67">
        <f>IFERROR(IF(($AS351)&gt;0,($AV351)/($AS351),""),"")</f>
        <v/>
      </c>
      <c r="BC351" s="67">
        <f>IFERROR(IF(($AT351)&gt;0,($AW351)/($AT351),""),"")</f>
        <v/>
      </c>
      <c r="BD351" s="67">
        <f>IFERROR(IF(($AU351)&gt;0,($AX351)/($AU351),""),"")</f>
        <v/>
      </c>
      <c r="BE351" s="67">
        <f>IFERROR(IF(($AV351)&gt;0,($AY351)/($AV351),""),"")</f>
        <v/>
      </c>
      <c r="BF351" s="67">
        <f>IFERROR(IF(($AW351)&gt;0,($AZ351)/($AW351),""),"")</f>
        <v/>
      </c>
      <c r="BG351" s="67">
        <f>IFERROR(IF(($AX351)&gt;0,($BA351)/($AX351),""),"")</f>
        <v/>
      </c>
      <c r="BH351" s="57">
        <f>SUMIFS(tblFleet[Calendar_h],tblFleet[Date],$A351,tblFleet[Equipment_Class],"Haul Truck")</f>
        <v/>
      </c>
      <c r="BI351" s="57">
        <f>IF($B351=$B350,$BI350,0)+$BH351</f>
        <v/>
      </c>
      <c r="BJ351" s="57">
        <f>$BJ350+$BH351</f>
        <v/>
      </c>
      <c r="BK351" s="57">
        <f>SUMIFS(tblFleet[Available_h],tblFleet[Date],$A351,tblFleet[Equipment_Class],"Haul Truck")</f>
        <v/>
      </c>
      <c r="BL351" s="57">
        <f>IF($B351=$B350,$BL350,0)+$BK351</f>
        <v/>
      </c>
      <c r="BM351" s="57">
        <f>$BM350+$BK351</f>
        <v/>
      </c>
      <c r="BN351" s="57">
        <f>SUMIFS(tblFleet[Operating_h],tblFleet[Date],$A351,tblFleet[Equipment_Class],"Haul Truck")</f>
        <v/>
      </c>
      <c r="BO351" s="57">
        <f>IF($B351=$B350,$BO350,0)+$BN351</f>
        <v/>
      </c>
      <c r="BP351" s="57">
        <f>$BP350+$BN351</f>
        <v/>
      </c>
      <c r="BQ351" s="67">
        <f>IFERROR(IF(($BH351)&gt;0,($BK351)/($BH351),""),"")</f>
        <v/>
      </c>
      <c r="BR351" s="67">
        <f>IFERROR(IF(($BI351)&gt;0,($BL351)/($BI351),""),"")</f>
        <v/>
      </c>
      <c r="BS351" s="67">
        <f>IFERROR(IF(($BJ351)&gt;0,($BM351)/($BJ351),""),"")</f>
        <v/>
      </c>
      <c r="BT351" s="67">
        <f>IFERROR(IF(($BK351)&gt;0,($BN351)/($BK351),""),"")</f>
        <v/>
      </c>
      <c r="BU351" s="67">
        <f>IFERROR(IF(($BL351)&gt;0,($BO351)/($BL351),""),"")</f>
        <v/>
      </c>
      <c r="BV351" s="67">
        <f>IFERROR(IF(($BM351)&gt;0,($BP351)/($BM351),""),"")</f>
        <v/>
      </c>
      <c r="BW351" s="55">
        <f>SUMIFS(tblPlant[Crushed_t],tblPlant[Date],$A351)</f>
        <v/>
      </c>
      <c r="BX351" s="55">
        <f>IF($B351=$B350,$BX350,0)+$BW351</f>
        <v/>
      </c>
      <c r="BY351" s="55">
        <f>$BY350+$BW351</f>
        <v/>
      </c>
      <c r="BZ351" s="55">
        <f>SUMIFS(tblPlant[Milled_t],tblPlant[Date],$A351)</f>
        <v/>
      </c>
      <c r="CA351" s="55">
        <f>IF($B351=$B350,$CA350,0)+$BZ351</f>
        <v/>
      </c>
      <c r="CB351" s="55">
        <f>$CB350+$BZ351</f>
        <v/>
      </c>
      <c r="CC351" s="55">
        <f>SUMIFS(tblPlant[Feed_oz],tblPlant[Date],$A351)</f>
        <v/>
      </c>
      <c r="CD351" s="55">
        <f>IF($B351=$B350,$CD350,0)+$CC351</f>
        <v/>
      </c>
      <c r="CE351" s="55">
        <f>$CE350+$CC351</f>
        <v/>
      </c>
      <c r="CF351" s="55">
        <f>SUMIFS(tblPlant[Tails_oz],tblPlant[Date],$A351)</f>
        <v/>
      </c>
      <c r="CG351" s="55">
        <f>IF($B351=$B350,$CG350,0)+$CF351</f>
        <v/>
      </c>
      <c r="CH351" s="55">
        <f>$CH350+$CF351</f>
        <v/>
      </c>
      <c r="CI351" s="55">
        <f>SUMIFS(tblPlant[Recovered_oz],tblPlant[Date],$A351)</f>
        <v/>
      </c>
      <c r="CJ351" s="55">
        <f>IF($B351=$B350,$CJ350,0)+$CI351</f>
        <v/>
      </c>
      <c r="CK351" s="55">
        <f>$CK350+$CI351</f>
        <v/>
      </c>
      <c r="CL351" s="56">
        <f>IFERROR(IF(($BZ351)&gt;0,($CC351*cfg_TroyOz)/($BZ351),""),"")</f>
        <v/>
      </c>
      <c r="CM351" s="56">
        <f>IFERROR(IF(($CA351)&gt;0,($CD351*cfg_TroyOz)/($CA351),""),"")</f>
        <v/>
      </c>
      <c r="CN351" s="56">
        <f>IFERROR(IF(($CB351)&gt;0,($CE351*cfg_TroyOz)/($CB351),""),"")</f>
        <v/>
      </c>
      <c r="CO351" s="56">
        <f>IFERROR(IF(($BZ351)&gt;0,($CF351*cfg_TroyOz)/($BZ351),""),"")</f>
        <v/>
      </c>
      <c r="CP351" s="56">
        <f>IFERROR(IF(($CA351)&gt;0,($CG351*cfg_TroyOz)/($CA351),""),"")</f>
        <v/>
      </c>
      <c r="CQ351" s="56">
        <f>IFERROR(IF(($CB351)&gt;0,($CH351*cfg_TroyOz)/($CB351),""),"")</f>
        <v/>
      </c>
      <c r="CR351" s="67">
        <f>IFERROR(IF(($CC351)&gt;0,($CI351)/($CC351),""),"")</f>
        <v/>
      </c>
      <c r="CS351" s="67">
        <f>IFERROR(IF(($CD351)&gt;0,($CJ351)/($CD351),""),"")</f>
        <v/>
      </c>
      <c r="CT351" s="67">
        <f>IFERROR(IF(($CE351)&gt;0,($CK351)/($CE351),""),"")</f>
        <v/>
      </c>
      <c r="CU351" s="55">
        <f>SUMIFS(tblPlant[Gravity_Gold_oz],tblPlant[Date],$A351)</f>
        <v/>
      </c>
      <c r="CV351" s="55">
        <f>IF($B351=$B350,$CV350,0)+$CU351</f>
        <v/>
      </c>
      <c r="CW351" s="55">
        <f>$CW350+$CU351</f>
        <v/>
      </c>
      <c r="CX351" s="55">
        <f>SUMIFS(tblPlant[Gold_Poured_oz],tblPlant[Date],$A351)</f>
        <v/>
      </c>
      <c r="CY351" s="55">
        <f>IF($B351=$B350,$CY350,0)+$CX351</f>
        <v/>
      </c>
      <c r="CZ351" s="55">
        <f>$CZ350+$CX351</f>
        <v/>
      </c>
      <c r="DA351" s="57">
        <f>SUMIFS(tblPlant[Mill_Run_h],tblPlant[Date],$A351)</f>
        <v/>
      </c>
      <c r="DB351" s="57">
        <f>IF($B351=$B350,$DB350,0)+$DA351</f>
        <v/>
      </c>
      <c r="DC351" s="57">
        <f>$DC350+$DA351</f>
        <v/>
      </c>
      <c r="DD351" s="57">
        <f>SUMIFS(tblPlant[Mill_Planned_Maint_h],tblPlant[Date],$A351)</f>
        <v/>
      </c>
      <c r="DE351" s="57">
        <f>IF($B351=$B350,$DE350,0)+$DD351</f>
        <v/>
      </c>
      <c r="DF351" s="57">
        <f>$DF350+$DD351</f>
        <v/>
      </c>
      <c r="DG351" s="57">
        <f>SUMIFS(tblPlant[Mill_Unplanned_Down_h],tblPlant[Date],$A351)</f>
        <v/>
      </c>
      <c r="DH351" s="57">
        <f>IF($B351=$B350,$DH350,0)+$DG351</f>
        <v/>
      </c>
      <c r="DI351" s="57">
        <f>$DI350+$DG351</f>
        <v/>
      </c>
      <c r="DJ351" s="57">
        <f>COUNTIFS(tblPlant[Date],$A351,tblPlant[Mill_Run_h],"&lt;&gt;")*24</f>
        <v/>
      </c>
      <c r="DK351" s="57">
        <f>IF($B351=$B350,$DK350,0)+$DJ351</f>
        <v/>
      </c>
      <c r="DL351" s="57">
        <f>$DL350+$DJ351</f>
        <v/>
      </c>
      <c r="DM351" s="57">
        <f>SUMIFS(tblPlant[Crusher_Run_h],tblPlant[Date],$A351)</f>
        <v/>
      </c>
      <c r="DN351" s="57">
        <f>IF($B351=$B350,$DN350,0)+$DM351</f>
        <v/>
      </c>
      <c r="DO351" s="57">
        <f>$DO350+$DM351</f>
        <v/>
      </c>
      <c r="DP351" s="55">
        <f>IFERROR(IF(($DA351)&gt;0,($BZ351)/($DA351),""),"")</f>
        <v/>
      </c>
      <c r="DQ351" s="55">
        <f>IFERROR(IF(($DB351)&gt;0,($CA351)/($DB351),""),"")</f>
        <v/>
      </c>
      <c r="DR351" s="55">
        <f>IFERROR(IF(($DC351)&gt;0,($CB351)/($DC351),""),"")</f>
        <v/>
      </c>
      <c r="DS351" s="67">
        <f>IFERROR(IF(($DJ351)&gt;0,($DJ351-$DD351-$DG351)/($DJ351),""),"")</f>
        <v/>
      </c>
      <c r="DT351" s="67">
        <f>IFERROR(IF(($DK351)&gt;0,($DK351-$DE351-$DH351)/($DK351),""),"")</f>
        <v/>
      </c>
      <c r="DU351" s="67">
        <f>IFERROR(IF(($DL351)&gt;0,($DL351-$DF351-$DI351)/($DL351),""),"")</f>
        <v/>
      </c>
      <c r="DV351" s="67">
        <f>IFERROR(IF(($DJ351-$DD351-$DG351)&gt;0,($DA351)/($DJ351-$DD351-$DG351),""),"")</f>
        <v/>
      </c>
      <c r="DW351" s="67">
        <f>IFERROR(IF(($DK351-$DE351-$DH351)&gt;0,($DB351)/($DK351-$DE351-$DH351),""),"")</f>
        <v/>
      </c>
      <c r="DX351" s="67">
        <f>IFERROR(IF(($DL351-$DF351-$DI351)&gt;0,($DC351)/($DL351-$DF351-$DI351),""),"")</f>
        <v/>
      </c>
      <c r="DY351" s="55">
        <f>SUMIFS(tblPlant[Cyanide_kg],tblPlant[Date],$A351)</f>
        <v/>
      </c>
      <c r="DZ351" s="55">
        <f>IF($B351=$B350,$DZ350,0)+$DY351</f>
        <v/>
      </c>
      <c r="EA351" s="55">
        <f>$EA350+$DY351</f>
        <v/>
      </c>
      <c r="EB351" s="55">
        <f>SUMIFS(tblPlant[Lime_kg],tblPlant[Date],$A351)</f>
        <v/>
      </c>
      <c r="EC351" s="55">
        <f>IF($B351=$B350,$EC350,0)+$EB351</f>
        <v/>
      </c>
      <c r="ED351" s="55">
        <f>$ED350+$EB351</f>
        <v/>
      </c>
      <c r="EE351" s="55">
        <f>SUMIFS(tblPlant[Grinding_Media_kg],tblPlant[Date],$A351)</f>
        <v/>
      </c>
      <c r="EF351" s="55">
        <f>IF($B351=$B350,$EF350,0)+$EE351</f>
        <v/>
      </c>
      <c r="EG351" s="55">
        <f>$EG350+$EE351</f>
        <v/>
      </c>
      <c r="EH351" s="55">
        <f>SUMIFS(tblPlant[Power_kWh],tblPlant[Date],$A351)</f>
        <v/>
      </c>
      <c r="EI351" s="55">
        <f>IF($B351=$B350,$EI350,0)+$EH351</f>
        <v/>
      </c>
      <c r="EJ351" s="55">
        <f>$EJ350+$EH351</f>
        <v/>
      </c>
      <c r="EK351" s="55">
        <f>SUMIFS(tblPlant[Raw_Water_m3],tblPlant[Date],$A351)</f>
        <v/>
      </c>
      <c r="EL351" s="55">
        <f>IF($B351=$B350,$EL350,0)+$EK351</f>
        <v/>
      </c>
      <c r="EM351" s="55">
        <f>$EM350+$EK351</f>
        <v/>
      </c>
      <c r="EN351" s="56">
        <f>IFERROR(IF(($BZ351)&gt;0,($DY351)/($BZ351),""),"")</f>
        <v/>
      </c>
      <c r="EO351" s="56">
        <f>IFERROR(IF(($CA351)&gt;0,($DZ351)/($CA351),""),"")</f>
        <v/>
      </c>
      <c r="EP351" s="56">
        <f>IFERROR(IF(($CB351)&gt;0,($EA351)/($CB351),""),"")</f>
        <v/>
      </c>
      <c r="EQ351" s="56">
        <f>IFERROR(IF(($BZ351)&gt;0,($EB351)/($BZ351),""),"")</f>
        <v/>
      </c>
      <c r="ER351" s="56">
        <f>IFERROR(IF(($CA351)&gt;0,($EC351)/($CA351),""),"")</f>
        <v/>
      </c>
      <c r="ES351" s="56">
        <f>IFERROR(IF(($CB351)&gt;0,($ED351)/($CB351),""),"")</f>
        <v/>
      </c>
      <c r="ET351" s="56">
        <f>IFERROR(IF(($BZ351)&gt;0,($EE351)/($BZ351),""),"")</f>
        <v/>
      </c>
      <c r="EU351" s="56">
        <f>IFERROR(IF(($CA351)&gt;0,($EF351)/($CA351),""),"")</f>
        <v/>
      </c>
      <c r="EV351" s="56">
        <f>IFERROR(IF(($CB351)&gt;0,($EG351)/($CB351),""),"")</f>
        <v/>
      </c>
      <c r="EW351" s="76">
        <f>IFERROR(IF(($BZ351)&gt;0,($EH351)/($BZ351),""),"")</f>
        <v/>
      </c>
      <c r="EX351" s="76">
        <f>IFERROR(IF(($CA351)&gt;0,($EI351)/($CA351),""),"")</f>
        <v/>
      </c>
      <c r="EY351" s="76">
        <f>IFERROR(IF(($CB351)&gt;0,($EJ351)/($CB351),""),"")</f>
        <v/>
      </c>
      <c r="EZ351" s="56">
        <f>IFERROR(IF(($BZ351)&gt;0,($EK351)/($BZ351),""),"")</f>
        <v/>
      </c>
      <c r="FA351" s="56">
        <f>IFERROR(IF(($CA351)&gt;0,($EL351)/($CA351),""),"")</f>
        <v/>
      </c>
      <c r="FB351" s="56">
        <f>IFERROR(IF(($CB351)&gt;0,($EM351)/($CB351),""),"")</f>
        <v/>
      </c>
      <c r="FC351" s="55">
        <f>IF(SUMIFS(tblPlant[GIC_oz],tblPlant[Date],$A351)&gt;0,SUMIFS(tblPlant[GIC_oz],tblPlant[Date],$A351),"")</f>
        <v/>
      </c>
      <c r="FD351" s="55">
        <f>SUMIFS(tblGold[Gold_oz],tblGold[Date],$A351,tblGold[Type],"Shipment")</f>
        <v/>
      </c>
      <c r="FE351" s="55">
        <f>IF($B351=$B350,$FE350,0)+$FD351</f>
        <v/>
      </c>
      <c r="FF351" s="55">
        <f>$FF350+$FD351</f>
        <v/>
      </c>
      <c r="FG351" s="55">
        <f>SUMIFS(tblGold[Gold_oz],tblGold[Date],$A351,tblGold[Type],"Sale")</f>
        <v/>
      </c>
      <c r="FH351" s="55">
        <f>IF($B351=$B350,$FH350,0)+$FG351</f>
        <v/>
      </c>
      <c r="FI351" s="55">
        <f>$FI350+$FG351</f>
        <v/>
      </c>
      <c r="FJ351" s="55">
        <f>SUMIFS(tblGold[Dore_kg],tblGold[Date],$A351,tblGold[Type],"Shipment")</f>
        <v/>
      </c>
      <c r="FK351" s="55">
        <f>IF($B351=$B350,$FK350,0)+$FJ351</f>
        <v/>
      </c>
      <c r="FL351" s="55">
        <f>$FL350+$FJ351</f>
        <v/>
      </c>
      <c r="FM351" s="57">
        <f>SUMIFS(tblSafety[Hours_Total],tblSafety[Date],$A351)</f>
        <v/>
      </c>
      <c r="FN351" s="57">
        <f>IF($B351=$B350,$FN350,0)+$FM351</f>
        <v/>
      </c>
      <c r="FO351" s="57">
        <f>$FO350+$FM351</f>
        <v/>
      </c>
      <c r="FP351" s="62">
        <f>SUMIFS(tblSafety[Fatality],tblSafety[Date],$A351)</f>
        <v/>
      </c>
      <c r="FQ351" s="62">
        <f>IF($B351=$B350,$FQ350,0)+$FP351</f>
        <v/>
      </c>
      <c r="FR351" s="62">
        <f>$FR350+$FP351</f>
        <v/>
      </c>
      <c r="FS351" s="62">
        <f>SUMIFS(tblSafety[LTI],tblSafety[Date],$A351)</f>
        <v/>
      </c>
      <c r="FT351" s="62">
        <f>IF($B351=$B350,$FT350,0)+$FS351</f>
        <v/>
      </c>
      <c r="FU351" s="62">
        <f>$FU350+$FS351</f>
        <v/>
      </c>
      <c r="FV351" s="62">
        <f>SUMIFS(tblSafety[RWI],tblSafety[Date],$A351)</f>
        <v/>
      </c>
      <c r="FW351" s="62">
        <f>IF($B351=$B350,$FW350,0)+$FV351</f>
        <v/>
      </c>
      <c r="FX351" s="62">
        <f>$FX350+$FV351</f>
        <v/>
      </c>
      <c r="FY351" s="62">
        <f>SUMIFS(tblSafety[MTI],tblSafety[Date],$A351)</f>
        <v/>
      </c>
      <c r="FZ351" s="62">
        <f>IF($B351=$B350,$FZ350,0)+$FY351</f>
        <v/>
      </c>
      <c r="GA351" s="62">
        <f>$GA350+$FY351</f>
        <v/>
      </c>
      <c r="GB351" s="62">
        <f>SUMIFS(tblSafety[FAI],tblSafety[Date],$A351)</f>
        <v/>
      </c>
      <c r="GC351" s="62">
        <f>IF($B351=$B350,$GC350,0)+$GB351</f>
        <v/>
      </c>
      <c r="GD351" s="62">
        <f>$GD350+$GB351</f>
        <v/>
      </c>
      <c r="GE351" s="62">
        <f>SUMIFS(tblSafety[Recordables],tblSafety[Date],$A351)</f>
        <v/>
      </c>
      <c r="GF351" s="62">
        <f>IF($B351=$B350,$GF350,0)+$GE351</f>
        <v/>
      </c>
      <c r="GG351" s="62">
        <f>$GG350+$GE351</f>
        <v/>
      </c>
      <c r="GH351" s="62">
        <f>SUMIFS(tblSafety[Near_Miss],tblSafety[Date],$A351)</f>
        <v/>
      </c>
      <c r="GI351" s="62">
        <f>IF($B351=$B350,$GI350,0)+$GH351</f>
        <v/>
      </c>
      <c r="GJ351" s="62">
        <f>$GJ350+$GH351</f>
        <v/>
      </c>
      <c r="GK351" s="62">
        <f>SUMIFS(tblSafety[Hazard_Reports],tblSafety[Date],$A351)</f>
        <v/>
      </c>
      <c r="GL351" s="62">
        <f>IF($B351=$B350,$GL350,0)+$GK351</f>
        <v/>
      </c>
      <c r="GM351" s="62">
        <f>$GM350+$GK351</f>
        <v/>
      </c>
      <c r="GN351" s="62">
        <f>SUMIFS(tblSafety[HPI],tblSafety[Date],$A351)</f>
        <v/>
      </c>
      <c r="GO351" s="62">
        <f>IF($B351=$B350,$GO350,0)+$GN351</f>
        <v/>
      </c>
      <c r="GP351" s="62">
        <f>$GP350+$GN351</f>
        <v/>
      </c>
      <c r="GQ351" s="62">
        <f>SUMIFS(tblSafety[Env_Incidents],tblSafety[Date],$A351)</f>
        <v/>
      </c>
      <c r="GR351" s="62">
        <f>IF($B351=$B350,$GR350,0)+$GQ351</f>
        <v/>
      </c>
      <c r="GS351" s="62">
        <f>$GS350+$GQ351</f>
        <v/>
      </c>
      <c r="GT351" s="62">
        <f>SUMIFS(tblSafety[Community_Incidents],tblSafety[Date],$A351)</f>
        <v/>
      </c>
      <c r="GU351" s="62">
        <f>IF($B351=$B350,$GU350,0)+$GT351</f>
        <v/>
      </c>
      <c r="GV351" s="62">
        <f>$GV350+$GT351</f>
        <v/>
      </c>
      <c r="GW351" s="62">
        <f>SUMIFS(tblSafety[Vehicle_Incidents],tblSafety[Date],$A351)</f>
        <v/>
      </c>
      <c r="GX351" s="62">
        <f>IF($B351=$B350,$GX350,0)+$GW351</f>
        <v/>
      </c>
      <c r="GY351" s="62">
        <f>$GY350+$GW351</f>
        <v/>
      </c>
      <c r="GZ351" s="62">
        <f>SUMIFS(tblSafety[Toolbox_Talks],tblSafety[Date],$A351)</f>
        <v/>
      </c>
      <c r="HA351" s="62">
        <f>IF($B351=$B350,$HA350,0)+$GZ351</f>
        <v/>
      </c>
      <c r="HB351" s="62">
        <f>$HB350+$GZ351</f>
        <v/>
      </c>
      <c r="HC351" s="62">
        <f>SUMIFS(tblSafety[Inspections],tblSafety[Date],$A351)</f>
        <v/>
      </c>
      <c r="HD351" s="62">
        <f>IF($B351=$B350,$HD350,0)+$HC351</f>
        <v/>
      </c>
      <c r="HE351" s="62">
        <f>$HE350+$HC351</f>
        <v/>
      </c>
      <c r="HF351" s="56">
        <f>IFERROR((SUMIFS(tblSafety[Recordables],tblSafety[Date],"&gt;="&amp;EDATE($E351,-12),tblSafety[Date],"&lt;="&amp;$A351)+SUMIFS(tblSafetyHistory[Recordables],tblSafetyHistory[Month],"&gt;="&amp;EDATE($E351,-12),tblSafetyHistory[Month],"&lt;"&amp;cfg_YearStart))/(SUMIFS(tblSafety[Hours_Total],tblSafety[Date],"&gt;="&amp;EDATE($E351,-12),tblSafety[Date],"&lt;="&amp;$A351)+SUMIFS(tblSafetyHistory[Hours_Total],tblSafetyHistory[Month],"&gt;="&amp;EDATE($E351,-12),tblSafetyHistory[Month],"&lt;"&amp;cfg_YearStart))*1000000,"")</f>
        <v/>
      </c>
      <c r="HG351" s="56">
        <f>IFERROR((SUMIFS(tblSafety[LTI],tblSafety[Date],"&gt;="&amp;EDATE($E351,-12),tblSafety[Date],"&lt;="&amp;$A351)+SUMIFS(tblSafetyHistory[LTI],tblSafetyHistory[Month],"&gt;="&amp;EDATE($E351,-12),tblSafetyHistory[Month],"&lt;"&amp;cfg_YearStart))/(SUMIFS(tblSafety[Hours_Total],tblSafety[Date],"&gt;="&amp;EDATE($E351,-12),tblSafety[Date],"&lt;="&amp;$A351)+SUMIFS(tblSafetyHistory[Hours_Total],tblSafetyHistory[Month],"&gt;="&amp;EDATE($E351,-12),tblSafetyHistory[Month],"&lt;"&amp;cfg_YearStart))*1000000,"")</f>
        <v/>
      </c>
      <c r="HH351" s="62">
        <f>IF(MAX(N(cfg_PriorLTIDate),_xlfn.MAXIFS(tblSafety[Date],tblSafety[LTI],"&gt;0",tblSafety[Date],"&lt;="&amp;$A351))=0,"",$A351-MAX(N(cfg_PriorLTIDate),_xlfn.MAXIFS(tblSafety[Date],tblSafety[LTI],"&gt;0",tblSafety[Date],"&lt;="&amp;$A351)))</f>
        <v/>
      </c>
      <c r="HI351" s="55">
        <f>SUMIFS(tblBudget[Ore_Mined_t],tblBudget[Month],$E351)</f>
        <v/>
      </c>
      <c r="HJ351" s="55">
        <f>$HI351*$C351/$D351</f>
        <v/>
      </c>
      <c r="HK351" s="55">
        <f>SUMIFS(tblBudget[Ore_Mined_t],tblBudget[Month],"&lt;"&amp;$E351)+$HJ351</f>
        <v/>
      </c>
      <c r="HL351" s="55">
        <f>SUMIFS(tblBudget[Ore_oz],tblBudget[Month],$E351)</f>
        <v/>
      </c>
      <c r="HM351" s="55">
        <f>$HL351*$C351/$D351</f>
        <v/>
      </c>
      <c r="HN351" s="55">
        <f>SUMIFS(tblBudget[Ore_oz],tblBudget[Month],"&lt;"&amp;$E351)+$HM351</f>
        <v/>
      </c>
      <c r="HO351" s="56">
        <f>IFERROR(IF(($HI351)&gt;0,($HL351*cfg_TroyOz)/($HI351),""),"")</f>
        <v/>
      </c>
      <c r="HP351" s="56">
        <f>IFERROR(IF(($HJ351)&gt;0,($HM351*cfg_TroyOz)/($HJ351),""),"")</f>
        <v/>
      </c>
      <c r="HQ351" s="56">
        <f>IFERROR(IF(($HK351)&gt;0,($HN351*cfg_TroyOz)/($HK351),""),"")</f>
        <v/>
      </c>
      <c r="HR351" s="55">
        <f>SUMIFS(tblBudget[Waste_t],tblBudget[Month],$E351)</f>
        <v/>
      </c>
      <c r="HS351" s="55">
        <f>$HR351*$C351/$D351</f>
        <v/>
      </c>
      <c r="HT351" s="55">
        <f>SUMIFS(tblBudget[Waste_t],tblBudget[Month],"&lt;"&amp;$E351)+$HS351</f>
        <v/>
      </c>
      <c r="HU351" s="55">
        <f>SUMIFS(tblBudget[TMM_t],tblBudget[Month],$E351)</f>
        <v/>
      </c>
      <c r="HV351" s="55">
        <f>$HU351*$C351/$D351</f>
        <v/>
      </c>
      <c r="HW351" s="55">
        <f>SUMIFS(tblBudget[TMM_t],tblBudget[Month],"&lt;"&amp;$E351)+$HV351</f>
        <v/>
      </c>
      <c r="HX351" s="56">
        <f>IFERROR(IF(($HI351)&gt;0,($HR351)/($HI351),""),"")</f>
        <v/>
      </c>
      <c r="HY351" s="56">
        <f>IFERROR(IF(($HJ351)&gt;0,($HS351)/($HJ351),""),"")</f>
        <v/>
      </c>
      <c r="HZ351" s="56">
        <f>IFERROR(IF(($HK351)&gt;0,($HT351)/($HK351),""),"")</f>
        <v/>
      </c>
      <c r="IA351" s="55">
        <f>SUMIFS(tblBudget[Drill_m],tblBudget[Month],$E351)</f>
        <v/>
      </c>
      <c r="IB351" s="55">
        <f>$IA351*$C351/$D351</f>
        <v/>
      </c>
      <c r="IC351" s="55">
        <f>SUMIFS(tblBudget[Drill_m],tblBudget[Month],"&lt;"&amp;$E351)+$IB351</f>
        <v/>
      </c>
      <c r="ID351" s="55">
        <f>SUMIFS(tblBudget[Diesel_L],tblBudget[Month],$E351)</f>
        <v/>
      </c>
      <c r="IE351" s="55">
        <f>$ID351*$C351/$D351</f>
        <v/>
      </c>
      <c r="IF351" s="55">
        <f>SUMIFS(tblBudget[Diesel_L],tblBudget[Month],"&lt;"&amp;$E351)+$IE351</f>
        <v/>
      </c>
      <c r="IG351" s="55">
        <f>SUMIFS(tblBudget[Milled_t],tblBudget[Month],$E351)</f>
        <v/>
      </c>
      <c r="IH351" s="55">
        <f>$IG351*$C351/$D351</f>
        <v/>
      </c>
      <c r="II351" s="55">
        <f>SUMIFS(tblBudget[Milled_t],tblBudget[Month],"&lt;"&amp;$E351)+$IH351</f>
        <v/>
      </c>
      <c r="IJ351" s="55">
        <f>SUMIFS(tblBudget[Feed_oz],tblBudget[Month],$E351)</f>
        <v/>
      </c>
      <c r="IK351" s="55">
        <f>$IJ351*$C351/$D351</f>
        <v/>
      </c>
      <c r="IL351" s="55">
        <f>SUMIFS(tblBudget[Feed_oz],tblBudget[Month],"&lt;"&amp;$E351)+$IK351</f>
        <v/>
      </c>
      <c r="IM351" s="55">
        <f>SUMIFS(tblBudget[Recovered_oz],tblBudget[Month],$E351)</f>
        <v/>
      </c>
      <c r="IN351" s="55">
        <f>$IM351*$C351/$D351</f>
        <v/>
      </c>
      <c r="IO351" s="55">
        <f>SUMIFS(tblBudget[Recovered_oz],tblBudget[Month],"&lt;"&amp;$E351)+$IN351</f>
        <v/>
      </c>
      <c r="IP351" s="56">
        <f>IFERROR(IF(($IG351)&gt;0,($IJ351*cfg_TroyOz)/($IG351),""),"")</f>
        <v/>
      </c>
      <c r="IQ351" s="56">
        <f>IFERROR(IF(($IH351)&gt;0,($IK351*cfg_TroyOz)/($IH351),""),"")</f>
        <v/>
      </c>
      <c r="IR351" s="56">
        <f>IFERROR(IF(($II351)&gt;0,($IL351*cfg_TroyOz)/($II351),""),"")</f>
        <v/>
      </c>
      <c r="IS351" s="67">
        <f>IFERROR(IF(($IJ351)&gt;0,($IM351)/($IJ351),""),"")</f>
        <v/>
      </c>
      <c r="IT351" s="67">
        <f>IFERROR(IF(($IK351)&gt;0,($IN351)/($IK351),""),"")</f>
        <v/>
      </c>
      <c r="IU351" s="67">
        <f>IFERROR(IF(($IL351)&gt;0,($IO351)/($IL351),""),"")</f>
        <v/>
      </c>
      <c r="IV351" s="55">
        <f>SUMIFS(tblBudget[Gold_Poured_oz],tblBudget[Month],$E351)</f>
        <v/>
      </c>
      <c r="IW351" s="55">
        <f>$IV351*$C351/$D351</f>
        <v/>
      </c>
      <c r="IX351" s="55">
        <f>SUMIFS(tblBudget[Gold_Poured_oz],tblBudget[Month],"&lt;"&amp;$E351)+$IW351</f>
        <v/>
      </c>
      <c r="IY351" s="57">
        <f>SUMIFS(tblBudget[Hours_Worked],tblBudget[Month],$E351)</f>
        <v/>
      </c>
      <c r="IZ351" s="57">
        <f>$IY351*$C351/$D351</f>
        <v/>
      </c>
      <c r="JA351" s="57">
        <f>SUMIFS(tblBudget[Hours_Worked],tblBudget[Month],"&lt;"&amp;$E351)+$IZ351</f>
        <v/>
      </c>
    </row>
    <row r="352">
      <c r="A352" s="54" t="n">
        <v>46373</v>
      </c>
      <c r="B352">
        <f>MONTH($A352)</f>
        <v/>
      </c>
      <c r="C352">
        <f>DAY($A352)</f>
        <v/>
      </c>
      <c r="D352">
        <f>DAY(EOMONTH($A352,0))</f>
        <v/>
      </c>
      <c r="E352" s="54">
        <f>DATE(YEAR($A352),MONTH($A352),1)</f>
        <v/>
      </c>
      <c r="F352" s="55">
        <f>SUMIFS(tblMovement[Tonnes_t],tblMovement[Date],$A352,tblMovement[Is_Ore],1,tblMovement[Source_Type],"Pit")</f>
        <v/>
      </c>
      <c r="G352" s="55">
        <f>IF($B352=$B351,$G351,0)+$F352</f>
        <v/>
      </c>
      <c r="H352" s="55">
        <f>$H351+$F352</f>
        <v/>
      </c>
      <c r="I352" s="55">
        <f>SUMIFS(tblMovement[Ore_oz],tblMovement[Date],$A352,tblMovement[Source_Type],"Pit")</f>
        <v/>
      </c>
      <c r="J352" s="55">
        <f>IF($B352=$B351,$J351,0)+$I352</f>
        <v/>
      </c>
      <c r="K352" s="55">
        <f>$K351+$I352</f>
        <v/>
      </c>
      <c r="L352" s="56">
        <f>IFERROR(IF(($F352)&gt;0,($I352*cfg_TroyOz)/($F352),""),"")</f>
        <v/>
      </c>
      <c r="M352" s="56">
        <f>IFERROR(IF(($G352)&gt;0,($J352*cfg_TroyOz)/($G352),""),"")</f>
        <v/>
      </c>
      <c r="N352" s="56">
        <f>IFERROR(IF(($H352)&gt;0,($K352*cfg_TroyOz)/($H352),""),"")</f>
        <v/>
      </c>
      <c r="O352" s="55">
        <f>SUMIFS(tblMovement[Tonnes_t],tblMovement[Date],$A352,tblMovement[Is_Ore],0,tblMovement[Source_Type],"Pit")</f>
        <v/>
      </c>
      <c r="P352" s="55">
        <f>IF($B352=$B351,$P351,0)+$O352</f>
        <v/>
      </c>
      <c r="Q352" s="55">
        <f>$Q351+$O352</f>
        <v/>
      </c>
      <c r="R352" s="55">
        <f>$F352+$O352</f>
        <v/>
      </c>
      <c r="S352" s="55">
        <f>IF($B352=$B351,$S351,0)+$R352</f>
        <v/>
      </c>
      <c r="T352" s="55">
        <f>$T351+$R352</f>
        <v/>
      </c>
      <c r="U352" s="56">
        <f>IFERROR(IF(($F352)&gt;0,($O352)/($F352),""),"")</f>
        <v/>
      </c>
      <c r="V352" s="56">
        <f>IFERROR(IF(($G352)&gt;0,($P352)/($G352),""),"")</f>
        <v/>
      </c>
      <c r="W352" s="56">
        <f>IFERROR(IF(($H352)&gt;0,($Q352)/($H352),""),"")</f>
        <v/>
      </c>
      <c r="X352" s="55">
        <f>SUMIFS(tblMovement[Tonnes_t],tblMovement[Date],$A352,tblMovement[Source_Type],"Stockpile")</f>
        <v/>
      </c>
      <c r="Y352" s="55">
        <f>IF($B352=$B351,$Y351,0)+$X352</f>
        <v/>
      </c>
      <c r="Z352" s="55">
        <f>$Z351+$X352</f>
        <v/>
      </c>
      <c r="AA352" s="55">
        <f>SUMIFS(tblMiningDaily[Drill_m],tblMiningDaily[Date],$A352)</f>
        <v/>
      </c>
      <c r="AB352" s="55">
        <f>IF($B352=$B351,$AB351,0)+$AA352</f>
        <v/>
      </c>
      <c r="AC352" s="55">
        <f>$AC351+$AA352</f>
        <v/>
      </c>
      <c r="AD352" s="55">
        <f>SUMIFS(tblMiningDaily[Blast_t],tblMiningDaily[Date],$A352)</f>
        <v/>
      </c>
      <c r="AE352" s="55">
        <f>IF($B352=$B351,$AE351,0)+$AD352</f>
        <v/>
      </c>
      <c r="AF352" s="55">
        <f>$AF351+$AD352</f>
        <v/>
      </c>
      <c r="AG352" s="55">
        <f>SUMIFS(tblMiningDaily[Explosives_kg],tblMiningDaily[Date],$A352)</f>
        <v/>
      </c>
      <c r="AH352" s="55">
        <f>IF($B352=$B351,$AH351,0)+$AG352</f>
        <v/>
      </c>
      <c r="AI352" s="55">
        <f>$AI351+$AG352</f>
        <v/>
      </c>
      <c r="AJ352" s="56">
        <f>IFERROR(IF(($AD352)&gt;0,($AG352)/($AD352),""),"")</f>
        <v/>
      </c>
      <c r="AK352" s="56">
        <f>IFERROR(IF(($AE352)&gt;0,($AH352)/($AE352),""),"")</f>
        <v/>
      </c>
      <c r="AL352" s="56">
        <f>IFERROR(IF(($AF352)&gt;0,($AI352)/($AF352),""),"")</f>
        <v/>
      </c>
      <c r="AM352" s="55">
        <f>SUMIFS(tblMiningDaily[Diesel_L],tblMiningDaily[Date],$A352)</f>
        <v/>
      </c>
      <c r="AN352" s="55">
        <f>IF($B352=$B351,$AN351,0)+$AM352</f>
        <v/>
      </c>
      <c r="AO352" s="55">
        <f>$AO351+$AM352</f>
        <v/>
      </c>
      <c r="AP352" s="55">
        <f>SUMIFS(tblMiningDaily[Dewatering_m3],tblMiningDaily[Date],$A352)</f>
        <v/>
      </c>
      <c r="AQ352" s="55">
        <f>IF($B352=$B351,$AQ351,0)+$AP352</f>
        <v/>
      </c>
      <c r="AR352" s="55">
        <f>$AR351+$AP352</f>
        <v/>
      </c>
      <c r="AS352" s="57">
        <f>SUMIFS(tblFleet[Calendar_h],tblFleet[Date],$A352,tblFleet[Equipment_Class],"Excavator")</f>
        <v/>
      </c>
      <c r="AT352" s="57">
        <f>IF($B352=$B351,$AT351,0)+$AS352</f>
        <v/>
      </c>
      <c r="AU352" s="57">
        <f>$AU351+$AS352</f>
        <v/>
      </c>
      <c r="AV352" s="57">
        <f>SUMIFS(tblFleet[Available_h],tblFleet[Date],$A352,tblFleet[Equipment_Class],"Excavator")</f>
        <v/>
      </c>
      <c r="AW352" s="57">
        <f>IF($B352=$B351,$AW351,0)+$AV352</f>
        <v/>
      </c>
      <c r="AX352" s="57">
        <f>$AX351+$AV352</f>
        <v/>
      </c>
      <c r="AY352" s="57">
        <f>SUMIFS(tblFleet[Operating_h],tblFleet[Date],$A352,tblFleet[Equipment_Class],"Excavator")</f>
        <v/>
      </c>
      <c r="AZ352" s="57">
        <f>IF($B352=$B351,$AZ351,0)+$AY352</f>
        <v/>
      </c>
      <c r="BA352" s="57">
        <f>$BA351+$AY352</f>
        <v/>
      </c>
      <c r="BB352" s="67">
        <f>IFERROR(IF(($AS352)&gt;0,($AV352)/($AS352),""),"")</f>
        <v/>
      </c>
      <c r="BC352" s="67">
        <f>IFERROR(IF(($AT352)&gt;0,($AW352)/($AT352),""),"")</f>
        <v/>
      </c>
      <c r="BD352" s="67">
        <f>IFERROR(IF(($AU352)&gt;0,($AX352)/($AU352),""),"")</f>
        <v/>
      </c>
      <c r="BE352" s="67">
        <f>IFERROR(IF(($AV352)&gt;0,($AY352)/($AV352),""),"")</f>
        <v/>
      </c>
      <c r="BF352" s="67">
        <f>IFERROR(IF(($AW352)&gt;0,($AZ352)/($AW352),""),"")</f>
        <v/>
      </c>
      <c r="BG352" s="67">
        <f>IFERROR(IF(($AX352)&gt;0,($BA352)/($AX352),""),"")</f>
        <v/>
      </c>
      <c r="BH352" s="57">
        <f>SUMIFS(tblFleet[Calendar_h],tblFleet[Date],$A352,tblFleet[Equipment_Class],"Haul Truck")</f>
        <v/>
      </c>
      <c r="BI352" s="57">
        <f>IF($B352=$B351,$BI351,0)+$BH352</f>
        <v/>
      </c>
      <c r="BJ352" s="57">
        <f>$BJ351+$BH352</f>
        <v/>
      </c>
      <c r="BK352" s="57">
        <f>SUMIFS(tblFleet[Available_h],tblFleet[Date],$A352,tblFleet[Equipment_Class],"Haul Truck")</f>
        <v/>
      </c>
      <c r="BL352" s="57">
        <f>IF($B352=$B351,$BL351,0)+$BK352</f>
        <v/>
      </c>
      <c r="BM352" s="57">
        <f>$BM351+$BK352</f>
        <v/>
      </c>
      <c r="BN352" s="57">
        <f>SUMIFS(tblFleet[Operating_h],tblFleet[Date],$A352,tblFleet[Equipment_Class],"Haul Truck")</f>
        <v/>
      </c>
      <c r="BO352" s="57">
        <f>IF($B352=$B351,$BO351,0)+$BN352</f>
        <v/>
      </c>
      <c r="BP352" s="57">
        <f>$BP351+$BN352</f>
        <v/>
      </c>
      <c r="BQ352" s="67">
        <f>IFERROR(IF(($BH352)&gt;0,($BK352)/($BH352),""),"")</f>
        <v/>
      </c>
      <c r="BR352" s="67">
        <f>IFERROR(IF(($BI352)&gt;0,($BL352)/($BI352),""),"")</f>
        <v/>
      </c>
      <c r="BS352" s="67">
        <f>IFERROR(IF(($BJ352)&gt;0,($BM352)/($BJ352),""),"")</f>
        <v/>
      </c>
      <c r="BT352" s="67">
        <f>IFERROR(IF(($BK352)&gt;0,($BN352)/($BK352),""),"")</f>
        <v/>
      </c>
      <c r="BU352" s="67">
        <f>IFERROR(IF(($BL352)&gt;0,($BO352)/($BL352),""),"")</f>
        <v/>
      </c>
      <c r="BV352" s="67">
        <f>IFERROR(IF(($BM352)&gt;0,($BP352)/($BM352),""),"")</f>
        <v/>
      </c>
      <c r="BW352" s="55">
        <f>SUMIFS(tblPlant[Crushed_t],tblPlant[Date],$A352)</f>
        <v/>
      </c>
      <c r="BX352" s="55">
        <f>IF($B352=$B351,$BX351,0)+$BW352</f>
        <v/>
      </c>
      <c r="BY352" s="55">
        <f>$BY351+$BW352</f>
        <v/>
      </c>
      <c r="BZ352" s="55">
        <f>SUMIFS(tblPlant[Milled_t],tblPlant[Date],$A352)</f>
        <v/>
      </c>
      <c r="CA352" s="55">
        <f>IF($B352=$B351,$CA351,0)+$BZ352</f>
        <v/>
      </c>
      <c r="CB352" s="55">
        <f>$CB351+$BZ352</f>
        <v/>
      </c>
      <c r="CC352" s="55">
        <f>SUMIFS(tblPlant[Feed_oz],tblPlant[Date],$A352)</f>
        <v/>
      </c>
      <c r="CD352" s="55">
        <f>IF($B352=$B351,$CD351,0)+$CC352</f>
        <v/>
      </c>
      <c r="CE352" s="55">
        <f>$CE351+$CC352</f>
        <v/>
      </c>
      <c r="CF352" s="55">
        <f>SUMIFS(tblPlant[Tails_oz],tblPlant[Date],$A352)</f>
        <v/>
      </c>
      <c r="CG352" s="55">
        <f>IF($B352=$B351,$CG351,0)+$CF352</f>
        <v/>
      </c>
      <c r="CH352" s="55">
        <f>$CH351+$CF352</f>
        <v/>
      </c>
      <c r="CI352" s="55">
        <f>SUMIFS(tblPlant[Recovered_oz],tblPlant[Date],$A352)</f>
        <v/>
      </c>
      <c r="CJ352" s="55">
        <f>IF($B352=$B351,$CJ351,0)+$CI352</f>
        <v/>
      </c>
      <c r="CK352" s="55">
        <f>$CK351+$CI352</f>
        <v/>
      </c>
      <c r="CL352" s="56">
        <f>IFERROR(IF(($BZ352)&gt;0,($CC352*cfg_TroyOz)/($BZ352),""),"")</f>
        <v/>
      </c>
      <c r="CM352" s="56">
        <f>IFERROR(IF(($CA352)&gt;0,($CD352*cfg_TroyOz)/($CA352),""),"")</f>
        <v/>
      </c>
      <c r="CN352" s="56">
        <f>IFERROR(IF(($CB352)&gt;0,($CE352*cfg_TroyOz)/($CB352),""),"")</f>
        <v/>
      </c>
      <c r="CO352" s="56">
        <f>IFERROR(IF(($BZ352)&gt;0,($CF352*cfg_TroyOz)/($BZ352),""),"")</f>
        <v/>
      </c>
      <c r="CP352" s="56">
        <f>IFERROR(IF(($CA352)&gt;0,($CG352*cfg_TroyOz)/($CA352),""),"")</f>
        <v/>
      </c>
      <c r="CQ352" s="56">
        <f>IFERROR(IF(($CB352)&gt;0,($CH352*cfg_TroyOz)/($CB352),""),"")</f>
        <v/>
      </c>
      <c r="CR352" s="67">
        <f>IFERROR(IF(($CC352)&gt;0,($CI352)/($CC352),""),"")</f>
        <v/>
      </c>
      <c r="CS352" s="67">
        <f>IFERROR(IF(($CD352)&gt;0,($CJ352)/($CD352),""),"")</f>
        <v/>
      </c>
      <c r="CT352" s="67">
        <f>IFERROR(IF(($CE352)&gt;0,($CK352)/($CE352),""),"")</f>
        <v/>
      </c>
      <c r="CU352" s="55">
        <f>SUMIFS(tblPlant[Gravity_Gold_oz],tblPlant[Date],$A352)</f>
        <v/>
      </c>
      <c r="CV352" s="55">
        <f>IF($B352=$B351,$CV351,0)+$CU352</f>
        <v/>
      </c>
      <c r="CW352" s="55">
        <f>$CW351+$CU352</f>
        <v/>
      </c>
      <c r="CX352" s="55">
        <f>SUMIFS(tblPlant[Gold_Poured_oz],tblPlant[Date],$A352)</f>
        <v/>
      </c>
      <c r="CY352" s="55">
        <f>IF($B352=$B351,$CY351,0)+$CX352</f>
        <v/>
      </c>
      <c r="CZ352" s="55">
        <f>$CZ351+$CX352</f>
        <v/>
      </c>
      <c r="DA352" s="57">
        <f>SUMIFS(tblPlant[Mill_Run_h],tblPlant[Date],$A352)</f>
        <v/>
      </c>
      <c r="DB352" s="57">
        <f>IF($B352=$B351,$DB351,0)+$DA352</f>
        <v/>
      </c>
      <c r="DC352" s="57">
        <f>$DC351+$DA352</f>
        <v/>
      </c>
      <c r="DD352" s="57">
        <f>SUMIFS(tblPlant[Mill_Planned_Maint_h],tblPlant[Date],$A352)</f>
        <v/>
      </c>
      <c r="DE352" s="57">
        <f>IF($B352=$B351,$DE351,0)+$DD352</f>
        <v/>
      </c>
      <c r="DF352" s="57">
        <f>$DF351+$DD352</f>
        <v/>
      </c>
      <c r="DG352" s="57">
        <f>SUMIFS(tblPlant[Mill_Unplanned_Down_h],tblPlant[Date],$A352)</f>
        <v/>
      </c>
      <c r="DH352" s="57">
        <f>IF($B352=$B351,$DH351,0)+$DG352</f>
        <v/>
      </c>
      <c r="DI352" s="57">
        <f>$DI351+$DG352</f>
        <v/>
      </c>
      <c r="DJ352" s="57">
        <f>COUNTIFS(tblPlant[Date],$A352,tblPlant[Mill_Run_h],"&lt;&gt;")*24</f>
        <v/>
      </c>
      <c r="DK352" s="57">
        <f>IF($B352=$B351,$DK351,0)+$DJ352</f>
        <v/>
      </c>
      <c r="DL352" s="57">
        <f>$DL351+$DJ352</f>
        <v/>
      </c>
      <c r="DM352" s="57">
        <f>SUMIFS(tblPlant[Crusher_Run_h],tblPlant[Date],$A352)</f>
        <v/>
      </c>
      <c r="DN352" s="57">
        <f>IF($B352=$B351,$DN351,0)+$DM352</f>
        <v/>
      </c>
      <c r="DO352" s="57">
        <f>$DO351+$DM352</f>
        <v/>
      </c>
      <c r="DP352" s="55">
        <f>IFERROR(IF(($DA352)&gt;0,($BZ352)/($DA352),""),"")</f>
        <v/>
      </c>
      <c r="DQ352" s="55">
        <f>IFERROR(IF(($DB352)&gt;0,($CA352)/($DB352),""),"")</f>
        <v/>
      </c>
      <c r="DR352" s="55">
        <f>IFERROR(IF(($DC352)&gt;0,($CB352)/($DC352),""),"")</f>
        <v/>
      </c>
      <c r="DS352" s="67">
        <f>IFERROR(IF(($DJ352)&gt;0,($DJ352-$DD352-$DG352)/($DJ352),""),"")</f>
        <v/>
      </c>
      <c r="DT352" s="67">
        <f>IFERROR(IF(($DK352)&gt;0,($DK352-$DE352-$DH352)/($DK352),""),"")</f>
        <v/>
      </c>
      <c r="DU352" s="67">
        <f>IFERROR(IF(($DL352)&gt;0,($DL352-$DF352-$DI352)/($DL352),""),"")</f>
        <v/>
      </c>
      <c r="DV352" s="67">
        <f>IFERROR(IF(($DJ352-$DD352-$DG352)&gt;0,($DA352)/($DJ352-$DD352-$DG352),""),"")</f>
        <v/>
      </c>
      <c r="DW352" s="67">
        <f>IFERROR(IF(($DK352-$DE352-$DH352)&gt;0,($DB352)/($DK352-$DE352-$DH352),""),"")</f>
        <v/>
      </c>
      <c r="DX352" s="67">
        <f>IFERROR(IF(($DL352-$DF352-$DI352)&gt;0,($DC352)/($DL352-$DF352-$DI352),""),"")</f>
        <v/>
      </c>
      <c r="DY352" s="55">
        <f>SUMIFS(tblPlant[Cyanide_kg],tblPlant[Date],$A352)</f>
        <v/>
      </c>
      <c r="DZ352" s="55">
        <f>IF($B352=$B351,$DZ351,0)+$DY352</f>
        <v/>
      </c>
      <c r="EA352" s="55">
        <f>$EA351+$DY352</f>
        <v/>
      </c>
      <c r="EB352" s="55">
        <f>SUMIFS(tblPlant[Lime_kg],tblPlant[Date],$A352)</f>
        <v/>
      </c>
      <c r="EC352" s="55">
        <f>IF($B352=$B351,$EC351,0)+$EB352</f>
        <v/>
      </c>
      <c r="ED352" s="55">
        <f>$ED351+$EB352</f>
        <v/>
      </c>
      <c r="EE352" s="55">
        <f>SUMIFS(tblPlant[Grinding_Media_kg],tblPlant[Date],$A352)</f>
        <v/>
      </c>
      <c r="EF352" s="55">
        <f>IF($B352=$B351,$EF351,0)+$EE352</f>
        <v/>
      </c>
      <c r="EG352" s="55">
        <f>$EG351+$EE352</f>
        <v/>
      </c>
      <c r="EH352" s="55">
        <f>SUMIFS(tblPlant[Power_kWh],tblPlant[Date],$A352)</f>
        <v/>
      </c>
      <c r="EI352" s="55">
        <f>IF($B352=$B351,$EI351,0)+$EH352</f>
        <v/>
      </c>
      <c r="EJ352" s="55">
        <f>$EJ351+$EH352</f>
        <v/>
      </c>
      <c r="EK352" s="55">
        <f>SUMIFS(tblPlant[Raw_Water_m3],tblPlant[Date],$A352)</f>
        <v/>
      </c>
      <c r="EL352" s="55">
        <f>IF($B352=$B351,$EL351,0)+$EK352</f>
        <v/>
      </c>
      <c r="EM352" s="55">
        <f>$EM351+$EK352</f>
        <v/>
      </c>
      <c r="EN352" s="56">
        <f>IFERROR(IF(($BZ352)&gt;0,($DY352)/($BZ352),""),"")</f>
        <v/>
      </c>
      <c r="EO352" s="56">
        <f>IFERROR(IF(($CA352)&gt;0,($DZ352)/($CA352),""),"")</f>
        <v/>
      </c>
      <c r="EP352" s="56">
        <f>IFERROR(IF(($CB352)&gt;0,($EA352)/($CB352),""),"")</f>
        <v/>
      </c>
      <c r="EQ352" s="56">
        <f>IFERROR(IF(($BZ352)&gt;0,($EB352)/($BZ352),""),"")</f>
        <v/>
      </c>
      <c r="ER352" s="56">
        <f>IFERROR(IF(($CA352)&gt;0,($EC352)/($CA352),""),"")</f>
        <v/>
      </c>
      <c r="ES352" s="56">
        <f>IFERROR(IF(($CB352)&gt;0,($ED352)/($CB352),""),"")</f>
        <v/>
      </c>
      <c r="ET352" s="56">
        <f>IFERROR(IF(($BZ352)&gt;0,($EE352)/($BZ352),""),"")</f>
        <v/>
      </c>
      <c r="EU352" s="56">
        <f>IFERROR(IF(($CA352)&gt;0,($EF352)/($CA352),""),"")</f>
        <v/>
      </c>
      <c r="EV352" s="56">
        <f>IFERROR(IF(($CB352)&gt;0,($EG352)/($CB352),""),"")</f>
        <v/>
      </c>
      <c r="EW352" s="76">
        <f>IFERROR(IF(($BZ352)&gt;0,($EH352)/($BZ352),""),"")</f>
        <v/>
      </c>
      <c r="EX352" s="76">
        <f>IFERROR(IF(($CA352)&gt;0,($EI352)/($CA352),""),"")</f>
        <v/>
      </c>
      <c r="EY352" s="76">
        <f>IFERROR(IF(($CB352)&gt;0,($EJ352)/($CB352),""),"")</f>
        <v/>
      </c>
      <c r="EZ352" s="56">
        <f>IFERROR(IF(($BZ352)&gt;0,($EK352)/($BZ352),""),"")</f>
        <v/>
      </c>
      <c r="FA352" s="56">
        <f>IFERROR(IF(($CA352)&gt;0,($EL352)/($CA352),""),"")</f>
        <v/>
      </c>
      <c r="FB352" s="56">
        <f>IFERROR(IF(($CB352)&gt;0,($EM352)/($CB352),""),"")</f>
        <v/>
      </c>
      <c r="FC352" s="55">
        <f>IF(SUMIFS(tblPlant[GIC_oz],tblPlant[Date],$A352)&gt;0,SUMIFS(tblPlant[GIC_oz],tblPlant[Date],$A352),"")</f>
        <v/>
      </c>
      <c r="FD352" s="55">
        <f>SUMIFS(tblGold[Gold_oz],tblGold[Date],$A352,tblGold[Type],"Shipment")</f>
        <v/>
      </c>
      <c r="FE352" s="55">
        <f>IF($B352=$B351,$FE351,0)+$FD352</f>
        <v/>
      </c>
      <c r="FF352" s="55">
        <f>$FF351+$FD352</f>
        <v/>
      </c>
      <c r="FG352" s="55">
        <f>SUMIFS(tblGold[Gold_oz],tblGold[Date],$A352,tblGold[Type],"Sale")</f>
        <v/>
      </c>
      <c r="FH352" s="55">
        <f>IF($B352=$B351,$FH351,0)+$FG352</f>
        <v/>
      </c>
      <c r="FI352" s="55">
        <f>$FI351+$FG352</f>
        <v/>
      </c>
      <c r="FJ352" s="55">
        <f>SUMIFS(tblGold[Dore_kg],tblGold[Date],$A352,tblGold[Type],"Shipment")</f>
        <v/>
      </c>
      <c r="FK352" s="55">
        <f>IF($B352=$B351,$FK351,0)+$FJ352</f>
        <v/>
      </c>
      <c r="FL352" s="55">
        <f>$FL351+$FJ352</f>
        <v/>
      </c>
      <c r="FM352" s="57">
        <f>SUMIFS(tblSafety[Hours_Total],tblSafety[Date],$A352)</f>
        <v/>
      </c>
      <c r="FN352" s="57">
        <f>IF($B352=$B351,$FN351,0)+$FM352</f>
        <v/>
      </c>
      <c r="FO352" s="57">
        <f>$FO351+$FM352</f>
        <v/>
      </c>
      <c r="FP352" s="62">
        <f>SUMIFS(tblSafety[Fatality],tblSafety[Date],$A352)</f>
        <v/>
      </c>
      <c r="FQ352" s="62">
        <f>IF($B352=$B351,$FQ351,0)+$FP352</f>
        <v/>
      </c>
      <c r="FR352" s="62">
        <f>$FR351+$FP352</f>
        <v/>
      </c>
      <c r="FS352" s="62">
        <f>SUMIFS(tblSafety[LTI],tblSafety[Date],$A352)</f>
        <v/>
      </c>
      <c r="FT352" s="62">
        <f>IF($B352=$B351,$FT351,0)+$FS352</f>
        <v/>
      </c>
      <c r="FU352" s="62">
        <f>$FU351+$FS352</f>
        <v/>
      </c>
      <c r="FV352" s="62">
        <f>SUMIFS(tblSafety[RWI],tblSafety[Date],$A352)</f>
        <v/>
      </c>
      <c r="FW352" s="62">
        <f>IF($B352=$B351,$FW351,0)+$FV352</f>
        <v/>
      </c>
      <c r="FX352" s="62">
        <f>$FX351+$FV352</f>
        <v/>
      </c>
      <c r="FY352" s="62">
        <f>SUMIFS(tblSafety[MTI],tblSafety[Date],$A352)</f>
        <v/>
      </c>
      <c r="FZ352" s="62">
        <f>IF($B352=$B351,$FZ351,0)+$FY352</f>
        <v/>
      </c>
      <c r="GA352" s="62">
        <f>$GA351+$FY352</f>
        <v/>
      </c>
      <c r="GB352" s="62">
        <f>SUMIFS(tblSafety[FAI],tblSafety[Date],$A352)</f>
        <v/>
      </c>
      <c r="GC352" s="62">
        <f>IF($B352=$B351,$GC351,0)+$GB352</f>
        <v/>
      </c>
      <c r="GD352" s="62">
        <f>$GD351+$GB352</f>
        <v/>
      </c>
      <c r="GE352" s="62">
        <f>SUMIFS(tblSafety[Recordables],tblSafety[Date],$A352)</f>
        <v/>
      </c>
      <c r="GF352" s="62">
        <f>IF($B352=$B351,$GF351,0)+$GE352</f>
        <v/>
      </c>
      <c r="GG352" s="62">
        <f>$GG351+$GE352</f>
        <v/>
      </c>
      <c r="GH352" s="62">
        <f>SUMIFS(tblSafety[Near_Miss],tblSafety[Date],$A352)</f>
        <v/>
      </c>
      <c r="GI352" s="62">
        <f>IF($B352=$B351,$GI351,0)+$GH352</f>
        <v/>
      </c>
      <c r="GJ352" s="62">
        <f>$GJ351+$GH352</f>
        <v/>
      </c>
      <c r="GK352" s="62">
        <f>SUMIFS(tblSafety[Hazard_Reports],tblSafety[Date],$A352)</f>
        <v/>
      </c>
      <c r="GL352" s="62">
        <f>IF($B352=$B351,$GL351,0)+$GK352</f>
        <v/>
      </c>
      <c r="GM352" s="62">
        <f>$GM351+$GK352</f>
        <v/>
      </c>
      <c r="GN352" s="62">
        <f>SUMIFS(tblSafety[HPI],tblSafety[Date],$A352)</f>
        <v/>
      </c>
      <c r="GO352" s="62">
        <f>IF($B352=$B351,$GO351,0)+$GN352</f>
        <v/>
      </c>
      <c r="GP352" s="62">
        <f>$GP351+$GN352</f>
        <v/>
      </c>
      <c r="GQ352" s="62">
        <f>SUMIFS(tblSafety[Env_Incidents],tblSafety[Date],$A352)</f>
        <v/>
      </c>
      <c r="GR352" s="62">
        <f>IF($B352=$B351,$GR351,0)+$GQ352</f>
        <v/>
      </c>
      <c r="GS352" s="62">
        <f>$GS351+$GQ352</f>
        <v/>
      </c>
      <c r="GT352" s="62">
        <f>SUMIFS(tblSafety[Community_Incidents],tblSafety[Date],$A352)</f>
        <v/>
      </c>
      <c r="GU352" s="62">
        <f>IF($B352=$B351,$GU351,0)+$GT352</f>
        <v/>
      </c>
      <c r="GV352" s="62">
        <f>$GV351+$GT352</f>
        <v/>
      </c>
      <c r="GW352" s="62">
        <f>SUMIFS(tblSafety[Vehicle_Incidents],tblSafety[Date],$A352)</f>
        <v/>
      </c>
      <c r="GX352" s="62">
        <f>IF($B352=$B351,$GX351,0)+$GW352</f>
        <v/>
      </c>
      <c r="GY352" s="62">
        <f>$GY351+$GW352</f>
        <v/>
      </c>
      <c r="GZ352" s="62">
        <f>SUMIFS(tblSafety[Toolbox_Talks],tblSafety[Date],$A352)</f>
        <v/>
      </c>
      <c r="HA352" s="62">
        <f>IF($B352=$B351,$HA351,0)+$GZ352</f>
        <v/>
      </c>
      <c r="HB352" s="62">
        <f>$HB351+$GZ352</f>
        <v/>
      </c>
      <c r="HC352" s="62">
        <f>SUMIFS(tblSafety[Inspections],tblSafety[Date],$A352)</f>
        <v/>
      </c>
      <c r="HD352" s="62">
        <f>IF($B352=$B351,$HD351,0)+$HC352</f>
        <v/>
      </c>
      <c r="HE352" s="62">
        <f>$HE351+$HC352</f>
        <v/>
      </c>
      <c r="HF352" s="56">
        <f>IFERROR((SUMIFS(tblSafety[Recordables],tblSafety[Date],"&gt;="&amp;EDATE($E352,-12),tblSafety[Date],"&lt;="&amp;$A352)+SUMIFS(tblSafetyHistory[Recordables],tblSafetyHistory[Month],"&gt;="&amp;EDATE($E352,-12),tblSafetyHistory[Month],"&lt;"&amp;cfg_YearStart))/(SUMIFS(tblSafety[Hours_Total],tblSafety[Date],"&gt;="&amp;EDATE($E352,-12),tblSafety[Date],"&lt;="&amp;$A352)+SUMIFS(tblSafetyHistory[Hours_Total],tblSafetyHistory[Month],"&gt;="&amp;EDATE($E352,-12),tblSafetyHistory[Month],"&lt;"&amp;cfg_YearStart))*1000000,"")</f>
        <v/>
      </c>
      <c r="HG352" s="56">
        <f>IFERROR((SUMIFS(tblSafety[LTI],tblSafety[Date],"&gt;="&amp;EDATE($E352,-12),tblSafety[Date],"&lt;="&amp;$A352)+SUMIFS(tblSafetyHistory[LTI],tblSafetyHistory[Month],"&gt;="&amp;EDATE($E352,-12),tblSafetyHistory[Month],"&lt;"&amp;cfg_YearStart))/(SUMIFS(tblSafety[Hours_Total],tblSafety[Date],"&gt;="&amp;EDATE($E352,-12),tblSafety[Date],"&lt;="&amp;$A352)+SUMIFS(tblSafetyHistory[Hours_Total],tblSafetyHistory[Month],"&gt;="&amp;EDATE($E352,-12),tblSafetyHistory[Month],"&lt;"&amp;cfg_YearStart))*1000000,"")</f>
        <v/>
      </c>
      <c r="HH352" s="62">
        <f>IF(MAX(N(cfg_PriorLTIDate),_xlfn.MAXIFS(tblSafety[Date],tblSafety[LTI],"&gt;0",tblSafety[Date],"&lt;="&amp;$A352))=0,"",$A352-MAX(N(cfg_PriorLTIDate),_xlfn.MAXIFS(tblSafety[Date],tblSafety[LTI],"&gt;0",tblSafety[Date],"&lt;="&amp;$A352)))</f>
        <v/>
      </c>
      <c r="HI352" s="55">
        <f>SUMIFS(tblBudget[Ore_Mined_t],tblBudget[Month],$E352)</f>
        <v/>
      </c>
      <c r="HJ352" s="55">
        <f>$HI352*$C352/$D352</f>
        <v/>
      </c>
      <c r="HK352" s="55">
        <f>SUMIFS(tblBudget[Ore_Mined_t],tblBudget[Month],"&lt;"&amp;$E352)+$HJ352</f>
        <v/>
      </c>
      <c r="HL352" s="55">
        <f>SUMIFS(tblBudget[Ore_oz],tblBudget[Month],$E352)</f>
        <v/>
      </c>
      <c r="HM352" s="55">
        <f>$HL352*$C352/$D352</f>
        <v/>
      </c>
      <c r="HN352" s="55">
        <f>SUMIFS(tblBudget[Ore_oz],tblBudget[Month],"&lt;"&amp;$E352)+$HM352</f>
        <v/>
      </c>
      <c r="HO352" s="56">
        <f>IFERROR(IF(($HI352)&gt;0,($HL352*cfg_TroyOz)/($HI352),""),"")</f>
        <v/>
      </c>
      <c r="HP352" s="56">
        <f>IFERROR(IF(($HJ352)&gt;0,($HM352*cfg_TroyOz)/($HJ352),""),"")</f>
        <v/>
      </c>
      <c r="HQ352" s="56">
        <f>IFERROR(IF(($HK352)&gt;0,($HN352*cfg_TroyOz)/($HK352),""),"")</f>
        <v/>
      </c>
      <c r="HR352" s="55">
        <f>SUMIFS(tblBudget[Waste_t],tblBudget[Month],$E352)</f>
        <v/>
      </c>
      <c r="HS352" s="55">
        <f>$HR352*$C352/$D352</f>
        <v/>
      </c>
      <c r="HT352" s="55">
        <f>SUMIFS(tblBudget[Waste_t],tblBudget[Month],"&lt;"&amp;$E352)+$HS352</f>
        <v/>
      </c>
      <c r="HU352" s="55">
        <f>SUMIFS(tblBudget[TMM_t],tblBudget[Month],$E352)</f>
        <v/>
      </c>
      <c r="HV352" s="55">
        <f>$HU352*$C352/$D352</f>
        <v/>
      </c>
      <c r="HW352" s="55">
        <f>SUMIFS(tblBudget[TMM_t],tblBudget[Month],"&lt;"&amp;$E352)+$HV352</f>
        <v/>
      </c>
      <c r="HX352" s="56">
        <f>IFERROR(IF(($HI352)&gt;0,($HR352)/($HI352),""),"")</f>
        <v/>
      </c>
      <c r="HY352" s="56">
        <f>IFERROR(IF(($HJ352)&gt;0,($HS352)/($HJ352),""),"")</f>
        <v/>
      </c>
      <c r="HZ352" s="56">
        <f>IFERROR(IF(($HK352)&gt;0,($HT352)/($HK352),""),"")</f>
        <v/>
      </c>
      <c r="IA352" s="55">
        <f>SUMIFS(tblBudget[Drill_m],tblBudget[Month],$E352)</f>
        <v/>
      </c>
      <c r="IB352" s="55">
        <f>$IA352*$C352/$D352</f>
        <v/>
      </c>
      <c r="IC352" s="55">
        <f>SUMIFS(tblBudget[Drill_m],tblBudget[Month],"&lt;"&amp;$E352)+$IB352</f>
        <v/>
      </c>
      <c r="ID352" s="55">
        <f>SUMIFS(tblBudget[Diesel_L],tblBudget[Month],$E352)</f>
        <v/>
      </c>
      <c r="IE352" s="55">
        <f>$ID352*$C352/$D352</f>
        <v/>
      </c>
      <c r="IF352" s="55">
        <f>SUMIFS(tblBudget[Diesel_L],tblBudget[Month],"&lt;"&amp;$E352)+$IE352</f>
        <v/>
      </c>
      <c r="IG352" s="55">
        <f>SUMIFS(tblBudget[Milled_t],tblBudget[Month],$E352)</f>
        <v/>
      </c>
      <c r="IH352" s="55">
        <f>$IG352*$C352/$D352</f>
        <v/>
      </c>
      <c r="II352" s="55">
        <f>SUMIFS(tblBudget[Milled_t],tblBudget[Month],"&lt;"&amp;$E352)+$IH352</f>
        <v/>
      </c>
      <c r="IJ352" s="55">
        <f>SUMIFS(tblBudget[Feed_oz],tblBudget[Month],$E352)</f>
        <v/>
      </c>
      <c r="IK352" s="55">
        <f>$IJ352*$C352/$D352</f>
        <v/>
      </c>
      <c r="IL352" s="55">
        <f>SUMIFS(tblBudget[Feed_oz],tblBudget[Month],"&lt;"&amp;$E352)+$IK352</f>
        <v/>
      </c>
      <c r="IM352" s="55">
        <f>SUMIFS(tblBudget[Recovered_oz],tblBudget[Month],$E352)</f>
        <v/>
      </c>
      <c r="IN352" s="55">
        <f>$IM352*$C352/$D352</f>
        <v/>
      </c>
      <c r="IO352" s="55">
        <f>SUMIFS(tblBudget[Recovered_oz],tblBudget[Month],"&lt;"&amp;$E352)+$IN352</f>
        <v/>
      </c>
      <c r="IP352" s="56">
        <f>IFERROR(IF(($IG352)&gt;0,($IJ352*cfg_TroyOz)/($IG352),""),"")</f>
        <v/>
      </c>
      <c r="IQ352" s="56">
        <f>IFERROR(IF(($IH352)&gt;0,($IK352*cfg_TroyOz)/($IH352),""),"")</f>
        <v/>
      </c>
      <c r="IR352" s="56">
        <f>IFERROR(IF(($II352)&gt;0,($IL352*cfg_TroyOz)/($II352),""),"")</f>
        <v/>
      </c>
      <c r="IS352" s="67">
        <f>IFERROR(IF(($IJ352)&gt;0,($IM352)/($IJ352),""),"")</f>
        <v/>
      </c>
      <c r="IT352" s="67">
        <f>IFERROR(IF(($IK352)&gt;0,($IN352)/($IK352),""),"")</f>
        <v/>
      </c>
      <c r="IU352" s="67">
        <f>IFERROR(IF(($IL352)&gt;0,($IO352)/($IL352),""),"")</f>
        <v/>
      </c>
      <c r="IV352" s="55">
        <f>SUMIFS(tblBudget[Gold_Poured_oz],tblBudget[Month],$E352)</f>
        <v/>
      </c>
      <c r="IW352" s="55">
        <f>$IV352*$C352/$D352</f>
        <v/>
      </c>
      <c r="IX352" s="55">
        <f>SUMIFS(tblBudget[Gold_Poured_oz],tblBudget[Month],"&lt;"&amp;$E352)+$IW352</f>
        <v/>
      </c>
      <c r="IY352" s="57">
        <f>SUMIFS(tblBudget[Hours_Worked],tblBudget[Month],$E352)</f>
        <v/>
      </c>
      <c r="IZ352" s="57">
        <f>$IY352*$C352/$D352</f>
        <v/>
      </c>
      <c r="JA352" s="57">
        <f>SUMIFS(tblBudget[Hours_Worked],tblBudget[Month],"&lt;"&amp;$E352)+$IZ352</f>
        <v/>
      </c>
    </row>
    <row r="353">
      <c r="A353" s="54" t="n">
        <v>46374</v>
      </c>
      <c r="B353">
        <f>MONTH($A353)</f>
        <v/>
      </c>
      <c r="C353">
        <f>DAY($A353)</f>
        <v/>
      </c>
      <c r="D353">
        <f>DAY(EOMONTH($A353,0))</f>
        <v/>
      </c>
      <c r="E353" s="54">
        <f>DATE(YEAR($A353),MONTH($A353),1)</f>
        <v/>
      </c>
      <c r="F353" s="55">
        <f>SUMIFS(tblMovement[Tonnes_t],tblMovement[Date],$A353,tblMovement[Is_Ore],1,tblMovement[Source_Type],"Pit")</f>
        <v/>
      </c>
      <c r="G353" s="55">
        <f>IF($B353=$B352,$G352,0)+$F353</f>
        <v/>
      </c>
      <c r="H353" s="55">
        <f>$H352+$F353</f>
        <v/>
      </c>
      <c r="I353" s="55">
        <f>SUMIFS(tblMovement[Ore_oz],tblMovement[Date],$A353,tblMovement[Source_Type],"Pit")</f>
        <v/>
      </c>
      <c r="J353" s="55">
        <f>IF($B353=$B352,$J352,0)+$I353</f>
        <v/>
      </c>
      <c r="K353" s="55">
        <f>$K352+$I353</f>
        <v/>
      </c>
      <c r="L353" s="56">
        <f>IFERROR(IF(($F353)&gt;0,($I353*cfg_TroyOz)/($F353),""),"")</f>
        <v/>
      </c>
      <c r="M353" s="56">
        <f>IFERROR(IF(($G353)&gt;0,($J353*cfg_TroyOz)/($G353),""),"")</f>
        <v/>
      </c>
      <c r="N353" s="56">
        <f>IFERROR(IF(($H353)&gt;0,($K353*cfg_TroyOz)/($H353),""),"")</f>
        <v/>
      </c>
      <c r="O353" s="55">
        <f>SUMIFS(tblMovement[Tonnes_t],tblMovement[Date],$A353,tblMovement[Is_Ore],0,tblMovement[Source_Type],"Pit")</f>
        <v/>
      </c>
      <c r="P353" s="55">
        <f>IF($B353=$B352,$P352,0)+$O353</f>
        <v/>
      </c>
      <c r="Q353" s="55">
        <f>$Q352+$O353</f>
        <v/>
      </c>
      <c r="R353" s="55">
        <f>$F353+$O353</f>
        <v/>
      </c>
      <c r="S353" s="55">
        <f>IF($B353=$B352,$S352,0)+$R353</f>
        <v/>
      </c>
      <c r="T353" s="55">
        <f>$T352+$R353</f>
        <v/>
      </c>
      <c r="U353" s="56">
        <f>IFERROR(IF(($F353)&gt;0,($O353)/($F353),""),"")</f>
        <v/>
      </c>
      <c r="V353" s="56">
        <f>IFERROR(IF(($G353)&gt;0,($P353)/($G353),""),"")</f>
        <v/>
      </c>
      <c r="W353" s="56">
        <f>IFERROR(IF(($H353)&gt;0,($Q353)/($H353),""),"")</f>
        <v/>
      </c>
      <c r="X353" s="55">
        <f>SUMIFS(tblMovement[Tonnes_t],tblMovement[Date],$A353,tblMovement[Source_Type],"Stockpile")</f>
        <v/>
      </c>
      <c r="Y353" s="55">
        <f>IF($B353=$B352,$Y352,0)+$X353</f>
        <v/>
      </c>
      <c r="Z353" s="55">
        <f>$Z352+$X353</f>
        <v/>
      </c>
      <c r="AA353" s="55">
        <f>SUMIFS(tblMiningDaily[Drill_m],tblMiningDaily[Date],$A353)</f>
        <v/>
      </c>
      <c r="AB353" s="55">
        <f>IF($B353=$B352,$AB352,0)+$AA353</f>
        <v/>
      </c>
      <c r="AC353" s="55">
        <f>$AC352+$AA353</f>
        <v/>
      </c>
      <c r="AD353" s="55">
        <f>SUMIFS(tblMiningDaily[Blast_t],tblMiningDaily[Date],$A353)</f>
        <v/>
      </c>
      <c r="AE353" s="55">
        <f>IF($B353=$B352,$AE352,0)+$AD353</f>
        <v/>
      </c>
      <c r="AF353" s="55">
        <f>$AF352+$AD353</f>
        <v/>
      </c>
      <c r="AG353" s="55">
        <f>SUMIFS(tblMiningDaily[Explosives_kg],tblMiningDaily[Date],$A353)</f>
        <v/>
      </c>
      <c r="AH353" s="55">
        <f>IF($B353=$B352,$AH352,0)+$AG353</f>
        <v/>
      </c>
      <c r="AI353" s="55">
        <f>$AI352+$AG353</f>
        <v/>
      </c>
      <c r="AJ353" s="56">
        <f>IFERROR(IF(($AD353)&gt;0,($AG353)/($AD353),""),"")</f>
        <v/>
      </c>
      <c r="AK353" s="56">
        <f>IFERROR(IF(($AE353)&gt;0,($AH353)/($AE353),""),"")</f>
        <v/>
      </c>
      <c r="AL353" s="56">
        <f>IFERROR(IF(($AF353)&gt;0,($AI353)/($AF353),""),"")</f>
        <v/>
      </c>
      <c r="AM353" s="55">
        <f>SUMIFS(tblMiningDaily[Diesel_L],tblMiningDaily[Date],$A353)</f>
        <v/>
      </c>
      <c r="AN353" s="55">
        <f>IF($B353=$B352,$AN352,0)+$AM353</f>
        <v/>
      </c>
      <c r="AO353" s="55">
        <f>$AO352+$AM353</f>
        <v/>
      </c>
      <c r="AP353" s="55">
        <f>SUMIFS(tblMiningDaily[Dewatering_m3],tblMiningDaily[Date],$A353)</f>
        <v/>
      </c>
      <c r="AQ353" s="55">
        <f>IF($B353=$B352,$AQ352,0)+$AP353</f>
        <v/>
      </c>
      <c r="AR353" s="55">
        <f>$AR352+$AP353</f>
        <v/>
      </c>
      <c r="AS353" s="57">
        <f>SUMIFS(tblFleet[Calendar_h],tblFleet[Date],$A353,tblFleet[Equipment_Class],"Excavator")</f>
        <v/>
      </c>
      <c r="AT353" s="57">
        <f>IF($B353=$B352,$AT352,0)+$AS353</f>
        <v/>
      </c>
      <c r="AU353" s="57">
        <f>$AU352+$AS353</f>
        <v/>
      </c>
      <c r="AV353" s="57">
        <f>SUMIFS(tblFleet[Available_h],tblFleet[Date],$A353,tblFleet[Equipment_Class],"Excavator")</f>
        <v/>
      </c>
      <c r="AW353" s="57">
        <f>IF($B353=$B352,$AW352,0)+$AV353</f>
        <v/>
      </c>
      <c r="AX353" s="57">
        <f>$AX352+$AV353</f>
        <v/>
      </c>
      <c r="AY353" s="57">
        <f>SUMIFS(tblFleet[Operating_h],tblFleet[Date],$A353,tblFleet[Equipment_Class],"Excavator")</f>
        <v/>
      </c>
      <c r="AZ353" s="57">
        <f>IF($B353=$B352,$AZ352,0)+$AY353</f>
        <v/>
      </c>
      <c r="BA353" s="57">
        <f>$BA352+$AY353</f>
        <v/>
      </c>
      <c r="BB353" s="67">
        <f>IFERROR(IF(($AS353)&gt;0,($AV353)/($AS353),""),"")</f>
        <v/>
      </c>
      <c r="BC353" s="67">
        <f>IFERROR(IF(($AT353)&gt;0,($AW353)/($AT353),""),"")</f>
        <v/>
      </c>
      <c r="BD353" s="67">
        <f>IFERROR(IF(($AU353)&gt;0,($AX353)/($AU353),""),"")</f>
        <v/>
      </c>
      <c r="BE353" s="67">
        <f>IFERROR(IF(($AV353)&gt;0,($AY353)/($AV353),""),"")</f>
        <v/>
      </c>
      <c r="BF353" s="67">
        <f>IFERROR(IF(($AW353)&gt;0,($AZ353)/($AW353),""),"")</f>
        <v/>
      </c>
      <c r="BG353" s="67">
        <f>IFERROR(IF(($AX353)&gt;0,($BA353)/($AX353),""),"")</f>
        <v/>
      </c>
      <c r="BH353" s="57">
        <f>SUMIFS(tblFleet[Calendar_h],tblFleet[Date],$A353,tblFleet[Equipment_Class],"Haul Truck")</f>
        <v/>
      </c>
      <c r="BI353" s="57">
        <f>IF($B353=$B352,$BI352,0)+$BH353</f>
        <v/>
      </c>
      <c r="BJ353" s="57">
        <f>$BJ352+$BH353</f>
        <v/>
      </c>
      <c r="BK353" s="57">
        <f>SUMIFS(tblFleet[Available_h],tblFleet[Date],$A353,tblFleet[Equipment_Class],"Haul Truck")</f>
        <v/>
      </c>
      <c r="BL353" s="57">
        <f>IF($B353=$B352,$BL352,0)+$BK353</f>
        <v/>
      </c>
      <c r="BM353" s="57">
        <f>$BM352+$BK353</f>
        <v/>
      </c>
      <c r="BN353" s="57">
        <f>SUMIFS(tblFleet[Operating_h],tblFleet[Date],$A353,tblFleet[Equipment_Class],"Haul Truck")</f>
        <v/>
      </c>
      <c r="BO353" s="57">
        <f>IF($B353=$B352,$BO352,0)+$BN353</f>
        <v/>
      </c>
      <c r="BP353" s="57">
        <f>$BP352+$BN353</f>
        <v/>
      </c>
      <c r="BQ353" s="67">
        <f>IFERROR(IF(($BH353)&gt;0,($BK353)/($BH353),""),"")</f>
        <v/>
      </c>
      <c r="BR353" s="67">
        <f>IFERROR(IF(($BI353)&gt;0,($BL353)/($BI353),""),"")</f>
        <v/>
      </c>
      <c r="BS353" s="67">
        <f>IFERROR(IF(($BJ353)&gt;0,($BM353)/($BJ353),""),"")</f>
        <v/>
      </c>
      <c r="BT353" s="67">
        <f>IFERROR(IF(($BK353)&gt;0,($BN353)/($BK353),""),"")</f>
        <v/>
      </c>
      <c r="BU353" s="67">
        <f>IFERROR(IF(($BL353)&gt;0,($BO353)/($BL353),""),"")</f>
        <v/>
      </c>
      <c r="BV353" s="67">
        <f>IFERROR(IF(($BM353)&gt;0,($BP353)/($BM353),""),"")</f>
        <v/>
      </c>
      <c r="BW353" s="55">
        <f>SUMIFS(tblPlant[Crushed_t],tblPlant[Date],$A353)</f>
        <v/>
      </c>
      <c r="BX353" s="55">
        <f>IF($B353=$B352,$BX352,0)+$BW353</f>
        <v/>
      </c>
      <c r="BY353" s="55">
        <f>$BY352+$BW353</f>
        <v/>
      </c>
      <c r="BZ353" s="55">
        <f>SUMIFS(tblPlant[Milled_t],tblPlant[Date],$A353)</f>
        <v/>
      </c>
      <c r="CA353" s="55">
        <f>IF($B353=$B352,$CA352,0)+$BZ353</f>
        <v/>
      </c>
      <c r="CB353" s="55">
        <f>$CB352+$BZ353</f>
        <v/>
      </c>
      <c r="CC353" s="55">
        <f>SUMIFS(tblPlant[Feed_oz],tblPlant[Date],$A353)</f>
        <v/>
      </c>
      <c r="CD353" s="55">
        <f>IF($B353=$B352,$CD352,0)+$CC353</f>
        <v/>
      </c>
      <c r="CE353" s="55">
        <f>$CE352+$CC353</f>
        <v/>
      </c>
      <c r="CF353" s="55">
        <f>SUMIFS(tblPlant[Tails_oz],tblPlant[Date],$A353)</f>
        <v/>
      </c>
      <c r="CG353" s="55">
        <f>IF($B353=$B352,$CG352,0)+$CF353</f>
        <v/>
      </c>
      <c r="CH353" s="55">
        <f>$CH352+$CF353</f>
        <v/>
      </c>
      <c r="CI353" s="55">
        <f>SUMIFS(tblPlant[Recovered_oz],tblPlant[Date],$A353)</f>
        <v/>
      </c>
      <c r="CJ353" s="55">
        <f>IF($B353=$B352,$CJ352,0)+$CI353</f>
        <v/>
      </c>
      <c r="CK353" s="55">
        <f>$CK352+$CI353</f>
        <v/>
      </c>
      <c r="CL353" s="56">
        <f>IFERROR(IF(($BZ353)&gt;0,($CC353*cfg_TroyOz)/($BZ353),""),"")</f>
        <v/>
      </c>
      <c r="CM353" s="56">
        <f>IFERROR(IF(($CA353)&gt;0,($CD353*cfg_TroyOz)/($CA353),""),"")</f>
        <v/>
      </c>
      <c r="CN353" s="56">
        <f>IFERROR(IF(($CB353)&gt;0,($CE353*cfg_TroyOz)/($CB353),""),"")</f>
        <v/>
      </c>
      <c r="CO353" s="56">
        <f>IFERROR(IF(($BZ353)&gt;0,($CF353*cfg_TroyOz)/($BZ353),""),"")</f>
        <v/>
      </c>
      <c r="CP353" s="56">
        <f>IFERROR(IF(($CA353)&gt;0,($CG353*cfg_TroyOz)/($CA353),""),"")</f>
        <v/>
      </c>
      <c r="CQ353" s="56">
        <f>IFERROR(IF(($CB353)&gt;0,($CH353*cfg_TroyOz)/($CB353),""),"")</f>
        <v/>
      </c>
      <c r="CR353" s="67">
        <f>IFERROR(IF(($CC353)&gt;0,($CI353)/($CC353),""),"")</f>
        <v/>
      </c>
      <c r="CS353" s="67">
        <f>IFERROR(IF(($CD353)&gt;0,($CJ353)/($CD353),""),"")</f>
        <v/>
      </c>
      <c r="CT353" s="67">
        <f>IFERROR(IF(($CE353)&gt;0,($CK353)/($CE353),""),"")</f>
        <v/>
      </c>
      <c r="CU353" s="55">
        <f>SUMIFS(tblPlant[Gravity_Gold_oz],tblPlant[Date],$A353)</f>
        <v/>
      </c>
      <c r="CV353" s="55">
        <f>IF($B353=$B352,$CV352,0)+$CU353</f>
        <v/>
      </c>
      <c r="CW353" s="55">
        <f>$CW352+$CU353</f>
        <v/>
      </c>
      <c r="CX353" s="55">
        <f>SUMIFS(tblPlant[Gold_Poured_oz],tblPlant[Date],$A353)</f>
        <v/>
      </c>
      <c r="CY353" s="55">
        <f>IF($B353=$B352,$CY352,0)+$CX353</f>
        <v/>
      </c>
      <c r="CZ353" s="55">
        <f>$CZ352+$CX353</f>
        <v/>
      </c>
      <c r="DA353" s="57">
        <f>SUMIFS(tblPlant[Mill_Run_h],tblPlant[Date],$A353)</f>
        <v/>
      </c>
      <c r="DB353" s="57">
        <f>IF($B353=$B352,$DB352,0)+$DA353</f>
        <v/>
      </c>
      <c r="DC353" s="57">
        <f>$DC352+$DA353</f>
        <v/>
      </c>
      <c r="DD353" s="57">
        <f>SUMIFS(tblPlant[Mill_Planned_Maint_h],tblPlant[Date],$A353)</f>
        <v/>
      </c>
      <c r="DE353" s="57">
        <f>IF($B353=$B352,$DE352,0)+$DD353</f>
        <v/>
      </c>
      <c r="DF353" s="57">
        <f>$DF352+$DD353</f>
        <v/>
      </c>
      <c r="DG353" s="57">
        <f>SUMIFS(tblPlant[Mill_Unplanned_Down_h],tblPlant[Date],$A353)</f>
        <v/>
      </c>
      <c r="DH353" s="57">
        <f>IF($B353=$B352,$DH352,0)+$DG353</f>
        <v/>
      </c>
      <c r="DI353" s="57">
        <f>$DI352+$DG353</f>
        <v/>
      </c>
      <c r="DJ353" s="57">
        <f>COUNTIFS(tblPlant[Date],$A353,tblPlant[Mill_Run_h],"&lt;&gt;")*24</f>
        <v/>
      </c>
      <c r="DK353" s="57">
        <f>IF($B353=$B352,$DK352,0)+$DJ353</f>
        <v/>
      </c>
      <c r="DL353" s="57">
        <f>$DL352+$DJ353</f>
        <v/>
      </c>
      <c r="DM353" s="57">
        <f>SUMIFS(tblPlant[Crusher_Run_h],tblPlant[Date],$A353)</f>
        <v/>
      </c>
      <c r="DN353" s="57">
        <f>IF($B353=$B352,$DN352,0)+$DM353</f>
        <v/>
      </c>
      <c r="DO353" s="57">
        <f>$DO352+$DM353</f>
        <v/>
      </c>
      <c r="DP353" s="55">
        <f>IFERROR(IF(($DA353)&gt;0,($BZ353)/($DA353),""),"")</f>
        <v/>
      </c>
      <c r="DQ353" s="55">
        <f>IFERROR(IF(($DB353)&gt;0,($CA353)/($DB353),""),"")</f>
        <v/>
      </c>
      <c r="DR353" s="55">
        <f>IFERROR(IF(($DC353)&gt;0,($CB353)/($DC353),""),"")</f>
        <v/>
      </c>
      <c r="DS353" s="67">
        <f>IFERROR(IF(($DJ353)&gt;0,($DJ353-$DD353-$DG353)/($DJ353),""),"")</f>
        <v/>
      </c>
      <c r="DT353" s="67">
        <f>IFERROR(IF(($DK353)&gt;0,($DK353-$DE353-$DH353)/($DK353),""),"")</f>
        <v/>
      </c>
      <c r="DU353" s="67">
        <f>IFERROR(IF(($DL353)&gt;0,($DL353-$DF353-$DI353)/($DL353),""),"")</f>
        <v/>
      </c>
      <c r="DV353" s="67">
        <f>IFERROR(IF(($DJ353-$DD353-$DG353)&gt;0,($DA353)/($DJ353-$DD353-$DG353),""),"")</f>
        <v/>
      </c>
      <c r="DW353" s="67">
        <f>IFERROR(IF(($DK353-$DE353-$DH353)&gt;0,($DB353)/($DK353-$DE353-$DH353),""),"")</f>
        <v/>
      </c>
      <c r="DX353" s="67">
        <f>IFERROR(IF(($DL353-$DF353-$DI353)&gt;0,($DC353)/($DL353-$DF353-$DI353),""),"")</f>
        <v/>
      </c>
      <c r="DY353" s="55">
        <f>SUMIFS(tblPlant[Cyanide_kg],tblPlant[Date],$A353)</f>
        <v/>
      </c>
      <c r="DZ353" s="55">
        <f>IF($B353=$B352,$DZ352,0)+$DY353</f>
        <v/>
      </c>
      <c r="EA353" s="55">
        <f>$EA352+$DY353</f>
        <v/>
      </c>
      <c r="EB353" s="55">
        <f>SUMIFS(tblPlant[Lime_kg],tblPlant[Date],$A353)</f>
        <v/>
      </c>
      <c r="EC353" s="55">
        <f>IF($B353=$B352,$EC352,0)+$EB353</f>
        <v/>
      </c>
      <c r="ED353" s="55">
        <f>$ED352+$EB353</f>
        <v/>
      </c>
      <c r="EE353" s="55">
        <f>SUMIFS(tblPlant[Grinding_Media_kg],tblPlant[Date],$A353)</f>
        <v/>
      </c>
      <c r="EF353" s="55">
        <f>IF($B353=$B352,$EF352,0)+$EE353</f>
        <v/>
      </c>
      <c r="EG353" s="55">
        <f>$EG352+$EE353</f>
        <v/>
      </c>
      <c r="EH353" s="55">
        <f>SUMIFS(tblPlant[Power_kWh],tblPlant[Date],$A353)</f>
        <v/>
      </c>
      <c r="EI353" s="55">
        <f>IF($B353=$B352,$EI352,0)+$EH353</f>
        <v/>
      </c>
      <c r="EJ353" s="55">
        <f>$EJ352+$EH353</f>
        <v/>
      </c>
      <c r="EK353" s="55">
        <f>SUMIFS(tblPlant[Raw_Water_m3],tblPlant[Date],$A353)</f>
        <v/>
      </c>
      <c r="EL353" s="55">
        <f>IF($B353=$B352,$EL352,0)+$EK353</f>
        <v/>
      </c>
      <c r="EM353" s="55">
        <f>$EM352+$EK353</f>
        <v/>
      </c>
      <c r="EN353" s="56">
        <f>IFERROR(IF(($BZ353)&gt;0,($DY353)/($BZ353),""),"")</f>
        <v/>
      </c>
      <c r="EO353" s="56">
        <f>IFERROR(IF(($CA353)&gt;0,($DZ353)/($CA353),""),"")</f>
        <v/>
      </c>
      <c r="EP353" s="56">
        <f>IFERROR(IF(($CB353)&gt;0,($EA353)/($CB353),""),"")</f>
        <v/>
      </c>
      <c r="EQ353" s="56">
        <f>IFERROR(IF(($BZ353)&gt;0,($EB353)/($BZ353),""),"")</f>
        <v/>
      </c>
      <c r="ER353" s="56">
        <f>IFERROR(IF(($CA353)&gt;0,($EC353)/($CA353),""),"")</f>
        <v/>
      </c>
      <c r="ES353" s="56">
        <f>IFERROR(IF(($CB353)&gt;0,($ED353)/($CB353),""),"")</f>
        <v/>
      </c>
      <c r="ET353" s="56">
        <f>IFERROR(IF(($BZ353)&gt;0,($EE353)/($BZ353),""),"")</f>
        <v/>
      </c>
      <c r="EU353" s="56">
        <f>IFERROR(IF(($CA353)&gt;0,($EF353)/($CA353),""),"")</f>
        <v/>
      </c>
      <c r="EV353" s="56">
        <f>IFERROR(IF(($CB353)&gt;0,($EG353)/($CB353),""),"")</f>
        <v/>
      </c>
      <c r="EW353" s="76">
        <f>IFERROR(IF(($BZ353)&gt;0,($EH353)/($BZ353),""),"")</f>
        <v/>
      </c>
      <c r="EX353" s="76">
        <f>IFERROR(IF(($CA353)&gt;0,($EI353)/($CA353),""),"")</f>
        <v/>
      </c>
      <c r="EY353" s="76">
        <f>IFERROR(IF(($CB353)&gt;0,($EJ353)/($CB353),""),"")</f>
        <v/>
      </c>
      <c r="EZ353" s="56">
        <f>IFERROR(IF(($BZ353)&gt;0,($EK353)/($BZ353),""),"")</f>
        <v/>
      </c>
      <c r="FA353" s="56">
        <f>IFERROR(IF(($CA353)&gt;0,($EL353)/($CA353),""),"")</f>
        <v/>
      </c>
      <c r="FB353" s="56">
        <f>IFERROR(IF(($CB353)&gt;0,($EM353)/($CB353),""),"")</f>
        <v/>
      </c>
      <c r="FC353" s="55">
        <f>IF(SUMIFS(tblPlant[GIC_oz],tblPlant[Date],$A353)&gt;0,SUMIFS(tblPlant[GIC_oz],tblPlant[Date],$A353),"")</f>
        <v/>
      </c>
      <c r="FD353" s="55">
        <f>SUMIFS(tblGold[Gold_oz],tblGold[Date],$A353,tblGold[Type],"Shipment")</f>
        <v/>
      </c>
      <c r="FE353" s="55">
        <f>IF($B353=$B352,$FE352,0)+$FD353</f>
        <v/>
      </c>
      <c r="FF353" s="55">
        <f>$FF352+$FD353</f>
        <v/>
      </c>
      <c r="FG353" s="55">
        <f>SUMIFS(tblGold[Gold_oz],tblGold[Date],$A353,tblGold[Type],"Sale")</f>
        <v/>
      </c>
      <c r="FH353" s="55">
        <f>IF($B353=$B352,$FH352,0)+$FG353</f>
        <v/>
      </c>
      <c r="FI353" s="55">
        <f>$FI352+$FG353</f>
        <v/>
      </c>
      <c r="FJ353" s="55">
        <f>SUMIFS(tblGold[Dore_kg],tblGold[Date],$A353,tblGold[Type],"Shipment")</f>
        <v/>
      </c>
      <c r="FK353" s="55">
        <f>IF($B353=$B352,$FK352,0)+$FJ353</f>
        <v/>
      </c>
      <c r="FL353" s="55">
        <f>$FL352+$FJ353</f>
        <v/>
      </c>
      <c r="FM353" s="57">
        <f>SUMIFS(tblSafety[Hours_Total],tblSafety[Date],$A353)</f>
        <v/>
      </c>
      <c r="FN353" s="57">
        <f>IF($B353=$B352,$FN352,0)+$FM353</f>
        <v/>
      </c>
      <c r="FO353" s="57">
        <f>$FO352+$FM353</f>
        <v/>
      </c>
      <c r="FP353" s="62">
        <f>SUMIFS(tblSafety[Fatality],tblSafety[Date],$A353)</f>
        <v/>
      </c>
      <c r="FQ353" s="62">
        <f>IF($B353=$B352,$FQ352,0)+$FP353</f>
        <v/>
      </c>
      <c r="FR353" s="62">
        <f>$FR352+$FP353</f>
        <v/>
      </c>
      <c r="FS353" s="62">
        <f>SUMIFS(tblSafety[LTI],tblSafety[Date],$A353)</f>
        <v/>
      </c>
      <c r="FT353" s="62">
        <f>IF($B353=$B352,$FT352,0)+$FS353</f>
        <v/>
      </c>
      <c r="FU353" s="62">
        <f>$FU352+$FS353</f>
        <v/>
      </c>
      <c r="FV353" s="62">
        <f>SUMIFS(tblSafety[RWI],tblSafety[Date],$A353)</f>
        <v/>
      </c>
      <c r="FW353" s="62">
        <f>IF($B353=$B352,$FW352,0)+$FV353</f>
        <v/>
      </c>
      <c r="FX353" s="62">
        <f>$FX352+$FV353</f>
        <v/>
      </c>
      <c r="FY353" s="62">
        <f>SUMIFS(tblSafety[MTI],tblSafety[Date],$A353)</f>
        <v/>
      </c>
      <c r="FZ353" s="62">
        <f>IF($B353=$B352,$FZ352,0)+$FY353</f>
        <v/>
      </c>
      <c r="GA353" s="62">
        <f>$GA352+$FY353</f>
        <v/>
      </c>
      <c r="GB353" s="62">
        <f>SUMIFS(tblSafety[FAI],tblSafety[Date],$A353)</f>
        <v/>
      </c>
      <c r="GC353" s="62">
        <f>IF($B353=$B352,$GC352,0)+$GB353</f>
        <v/>
      </c>
      <c r="GD353" s="62">
        <f>$GD352+$GB353</f>
        <v/>
      </c>
      <c r="GE353" s="62">
        <f>SUMIFS(tblSafety[Recordables],tblSafety[Date],$A353)</f>
        <v/>
      </c>
      <c r="GF353" s="62">
        <f>IF($B353=$B352,$GF352,0)+$GE353</f>
        <v/>
      </c>
      <c r="GG353" s="62">
        <f>$GG352+$GE353</f>
        <v/>
      </c>
      <c r="GH353" s="62">
        <f>SUMIFS(tblSafety[Near_Miss],tblSafety[Date],$A353)</f>
        <v/>
      </c>
      <c r="GI353" s="62">
        <f>IF($B353=$B352,$GI352,0)+$GH353</f>
        <v/>
      </c>
      <c r="GJ353" s="62">
        <f>$GJ352+$GH353</f>
        <v/>
      </c>
      <c r="GK353" s="62">
        <f>SUMIFS(tblSafety[Hazard_Reports],tblSafety[Date],$A353)</f>
        <v/>
      </c>
      <c r="GL353" s="62">
        <f>IF($B353=$B352,$GL352,0)+$GK353</f>
        <v/>
      </c>
      <c r="GM353" s="62">
        <f>$GM352+$GK353</f>
        <v/>
      </c>
      <c r="GN353" s="62">
        <f>SUMIFS(tblSafety[HPI],tblSafety[Date],$A353)</f>
        <v/>
      </c>
      <c r="GO353" s="62">
        <f>IF($B353=$B352,$GO352,0)+$GN353</f>
        <v/>
      </c>
      <c r="GP353" s="62">
        <f>$GP352+$GN353</f>
        <v/>
      </c>
      <c r="GQ353" s="62">
        <f>SUMIFS(tblSafety[Env_Incidents],tblSafety[Date],$A353)</f>
        <v/>
      </c>
      <c r="GR353" s="62">
        <f>IF($B353=$B352,$GR352,0)+$GQ353</f>
        <v/>
      </c>
      <c r="GS353" s="62">
        <f>$GS352+$GQ353</f>
        <v/>
      </c>
      <c r="GT353" s="62">
        <f>SUMIFS(tblSafety[Community_Incidents],tblSafety[Date],$A353)</f>
        <v/>
      </c>
      <c r="GU353" s="62">
        <f>IF($B353=$B352,$GU352,0)+$GT353</f>
        <v/>
      </c>
      <c r="GV353" s="62">
        <f>$GV352+$GT353</f>
        <v/>
      </c>
      <c r="GW353" s="62">
        <f>SUMIFS(tblSafety[Vehicle_Incidents],tblSafety[Date],$A353)</f>
        <v/>
      </c>
      <c r="GX353" s="62">
        <f>IF($B353=$B352,$GX352,0)+$GW353</f>
        <v/>
      </c>
      <c r="GY353" s="62">
        <f>$GY352+$GW353</f>
        <v/>
      </c>
      <c r="GZ353" s="62">
        <f>SUMIFS(tblSafety[Toolbox_Talks],tblSafety[Date],$A353)</f>
        <v/>
      </c>
      <c r="HA353" s="62">
        <f>IF($B353=$B352,$HA352,0)+$GZ353</f>
        <v/>
      </c>
      <c r="HB353" s="62">
        <f>$HB352+$GZ353</f>
        <v/>
      </c>
      <c r="HC353" s="62">
        <f>SUMIFS(tblSafety[Inspections],tblSafety[Date],$A353)</f>
        <v/>
      </c>
      <c r="HD353" s="62">
        <f>IF($B353=$B352,$HD352,0)+$HC353</f>
        <v/>
      </c>
      <c r="HE353" s="62">
        <f>$HE352+$HC353</f>
        <v/>
      </c>
      <c r="HF353" s="56">
        <f>IFERROR((SUMIFS(tblSafety[Recordables],tblSafety[Date],"&gt;="&amp;EDATE($E353,-12),tblSafety[Date],"&lt;="&amp;$A353)+SUMIFS(tblSafetyHistory[Recordables],tblSafetyHistory[Month],"&gt;="&amp;EDATE($E353,-12),tblSafetyHistory[Month],"&lt;"&amp;cfg_YearStart))/(SUMIFS(tblSafety[Hours_Total],tblSafety[Date],"&gt;="&amp;EDATE($E353,-12),tblSafety[Date],"&lt;="&amp;$A353)+SUMIFS(tblSafetyHistory[Hours_Total],tblSafetyHistory[Month],"&gt;="&amp;EDATE($E353,-12),tblSafetyHistory[Month],"&lt;"&amp;cfg_YearStart))*1000000,"")</f>
        <v/>
      </c>
      <c r="HG353" s="56">
        <f>IFERROR((SUMIFS(tblSafety[LTI],tblSafety[Date],"&gt;="&amp;EDATE($E353,-12),tblSafety[Date],"&lt;="&amp;$A353)+SUMIFS(tblSafetyHistory[LTI],tblSafetyHistory[Month],"&gt;="&amp;EDATE($E353,-12),tblSafetyHistory[Month],"&lt;"&amp;cfg_YearStart))/(SUMIFS(tblSafety[Hours_Total],tblSafety[Date],"&gt;="&amp;EDATE($E353,-12),tblSafety[Date],"&lt;="&amp;$A353)+SUMIFS(tblSafetyHistory[Hours_Total],tblSafetyHistory[Month],"&gt;="&amp;EDATE($E353,-12),tblSafetyHistory[Month],"&lt;"&amp;cfg_YearStart))*1000000,"")</f>
        <v/>
      </c>
      <c r="HH353" s="62">
        <f>IF(MAX(N(cfg_PriorLTIDate),_xlfn.MAXIFS(tblSafety[Date],tblSafety[LTI],"&gt;0",tblSafety[Date],"&lt;="&amp;$A353))=0,"",$A353-MAX(N(cfg_PriorLTIDate),_xlfn.MAXIFS(tblSafety[Date],tblSafety[LTI],"&gt;0",tblSafety[Date],"&lt;="&amp;$A353)))</f>
        <v/>
      </c>
      <c r="HI353" s="55">
        <f>SUMIFS(tblBudget[Ore_Mined_t],tblBudget[Month],$E353)</f>
        <v/>
      </c>
      <c r="HJ353" s="55">
        <f>$HI353*$C353/$D353</f>
        <v/>
      </c>
      <c r="HK353" s="55">
        <f>SUMIFS(tblBudget[Ore_Mined_t],tblBudget[Month],"&lt;"&amp;$E353)+$HJ353</f>
        <v/>
      </c>
      <c r="HL353" s="55">
        <f>SUMIFS(tblBudget[Ore_oz],tblBudget[Month],$E353)</f>
        <v/>
      </c>
      <c r="HM353" s="55">
        <f>$HL353*$C353/$D353</f>
        <v/>
      </c>
      <c r="HN353" s="55">
        <f>SUMIFS(tblBudget[Ore_oz],tblBudget[Month],"&lt;"&amp;$E353)+$HM353</f>
        <v/>
      </c>
      <c r="HO353" s="56">
        <f>IFERROR(IF(($HI353)&gt;0,($HL353*cfg_TroyOz)/($HI353),""),"")</f>
        <v/>
      </c>
      <c r="HP353" s="56">
        <f>IFERROR(IF(($HJ353)&gt;0,($HM353*cfg_TroyOz)/($HJ353),""),"")</f>
        <v/>
      </c>
      <c r="HQ353" s="56">
        <f>IFERROR(IF(($HK353)&gt;0,($HN353*cfg_TroyOz)/($HK353),""),"")</f>
        <v/>
      </c>
      <c r="HR353" s="55">
        <f>SUMIFS(tblBudget[Waste_t],tblBudget[Month],$E353)</f>
        <v/>
      </c>
      <c r="HS353" s="55">
        <f>$HR353*$C353/$D353</f>
        <v/>
      </c>
      <c r="HT353" s="55">
        <f>SUMIFS(tblBudget[Waste_t],tblBudget[Month],"&lt;"&amp;$E353)+$HS353</f>
        <v/>
      </c>
      <c r="HU353" s="55">
        <f>SUMIFS(tblBudget[TMM_t],tblBudget[Month],$E353)</f>
        <v/>
      </c>
      <c r="HV353" s="55">
        <f>$HU353*$C353/$D353</f>
        <v/>
      </c>
      <c r="HW353" s="55">
        <f>SUMIFS(tblBudget[TMM_t],tblBudget[Month],"&lt;"&amp;$E353)+$HV353</f>
        <v/>
      </c>
      <c r="HX353" s="56">
        <f>IFERROR(IF(($HI353)&gt;0,($HR353)/($HI353),""),"")</f>
        <v/>
      </c>
      <c r="HY353" s="56">
        <f>IFERROR(IF(($HJ353)&gt;0,($HS353)/($HJ353),""),"")</f>
        <v/>
      </c>
      <c r="HZ353" s="56">
        <f>IFERROR(IF(($HK353)&gt;0,($HT353)/($HK353),""),"")</f>
        <v/>
      </c>
      <c r="IA353" s="55">
        <f>SUMIFS(tblBudget[Drill_m],tblBudget[Month],$E353)</f>
        <v/>
      </c>
      <c r="IB353" s="55">
        <f>$IA353*$C353/$D353</f>
        <v/>
      </c>
      <c r="IC353" s="55">
        <f>SUMIFS(tblBudget[Drill_m],tblBudget[Month],"&lt;"&amp;$E353)+$IB353</f>
        <v/>
      </c>
      <c r="ID353" s="55">
        <f>SUMIFS(tblBudget[Diesel_L],tblBudget[Month],$E353)</f>
        <v/>
      </c>
      <c r="IE353" s="55">
        <f>$ID353*$C353/$D353</f>
        <v/>
      </c>
      <c r="IF353" s="55">
        <f>SUMIFS(tblBudget[Diesel_L],tblBudget[Month],"&lt;"&amp;$E353)+$IE353</f>
        <v/>
      </c>
      <c r="IG353" s="55">
        <f>SUMIFS(tblBudget[Milled_t],tblBudget[Month],$E353)</f>
        <v/>
      </c>
      <c r="IH353" s="55">
        <f>$IG353*$C353/$D353</f>
        <v/>
      </c>
      <c r="II353" s="55">
        <f>SUMIFS(tblBudget[Milled_t],tblBudget[Month],"&lt;"&amp;$E353)+$IH353</f>
        <v/>
      </c>
      <c r="IJ353" s="55">
        <f>SUMIFS(tblBudget[Feed_oz],tblBudget[Month],$E353)</f>
        <v/>
      </c>
      <c r="IK353" s="55">
        <f>$IJ353*$C353/$D353</f>
        <v/>
      </c>
      <c r="IL353" s="55">
        <f>SUMIFS(tblBudget[Feed_oz],tblBudget[Month],"&lt;"&amp;$E353)+$IK353</f>
        <v/>
      </c>
      <c r="IM353" s="55">
        <f>SUMIFS(tblBudget[Recovered_oz],tblBudget[Month],$E353)</f>
        <v/>
      </c>
      <c r="IN353" s="55">
        <f>$IM353*$C353/$D353</f>
        <v/>
      </c>
      <c r="IO353" s="55">
        <f>SUMIFS(tblBudget[Recovered_oz],tblBudget[Month],"&lt;"&amp;$E353)+$IN353</f>
        <v/>
      </c>
      <c r="IP353" s="56">
        <f>IFERROR(IF(($IG353)&gt;0,($IJ353*cfg_TroyOz)/($IG353),""),"")</f>
        <v/>
      </c>
      <c r="IQ353" s="56">
        <f>IFERROR(IF(($IH353)&gt;0,($IK353*cfg_TroyOz)/($IH353),""),"")</f>
        <v/>
      </c>
      <c r="IR353" s="56">
        <f>IFERROR(IF(($II353)&gt;0,($IL353*cfg_TroyOz)/($II353),""),"")</f>
        <v/>
      </c>
      <c r="IS353" s="67">
        <f>IFERROR(IF(($IJ353)&gt;0,($IM353)/($IJ353),""),"")</f>
        <v/>
      </c>
      <c r="IT353" s="67">
        <f>IFERROR(IF(($IK353)&gt;0,($IN353)/($IK353),""),"")</f>
        <v/>
      </c>
      <c r="IU353" s="67">
        <f>IFERROR(IF(($IL353)&gt;0,($IO353)/($IL353),""),"")</f>
        <v/>
      </c>
      <c r="IV353" s="55">
        <f>SUMIFS(tblBudget[Gold_Poured_oz],tblBudget[Month],$E353)</f>
        <v/>
      </c>
      <c r="IW353" s="55">
        <f>$IV353*$C353/$D353</f>
        <v/>
      </c>
      <c r="IX353" s="55">
        <f>SUMIFS(tblBudget[Gold_Poured_oz],tblBudget[Month],"&lt;"&amp;$E353)+$IW353</f>
        <v/>
      </c>
      <c r="IY353" s="57">
        <f>SUMIFS(tblBudget[Hours_Worked],tblBudget[Month],$E353)</f>
        <v/>
      </c>
      <c r="IZ353" s="57">
        <f>$IY353*$C353/$D353</f>
        <v/>
      </c>
      <c r="JA353" s="57">
        <f>SUMIFS(tblBudget[Hours_Worked],tblBudget[Month],"&lt;"&amp;$E353)+$IZ353</f>
        <v/>
      </c>
    </row>
    <row r="354">
      <c r="A354" s="54" t="n">
        <v>46375</v>
      </c>
      <c r="B354">
        <f>MONTH($A354)</f>
        <v/>
      </c>
      <c r="C354">
        <f>DAY($A354)</f>
        <v/>
      </c>
      <c r="D354">
        <f>DAY(EOMONTH($A354,0))</f>
        <v/>
      </c>
      <c r="E354" s="54">
        <f>DATE(YEAR($A354),MONTH($A354),1)</f>
        <v/>
      </c>
      <c r="F354" s="55">
        <f>SUMIFS(tblMovement[Tonnes_t],tblMovement[Date],$A354,tblMovement[Is_Ore],1,tblMovement[Source_Type],"Pit")</f>
        <v/>
      </c>
      <c r="G354" s="55">
        <f>IF($B354=$B353,$G353,0)+$F354</f>
        <v/>
      </c>
      <c r="H354" s="55">
        <f>$H353+$F354</f>
        <v/>
      </c>
      <c r="I354" s="55">
        <f>SUMIFS(tblMovement[Ore_oz],tblMovement[Date],$A354,tblMovement[Source_Type],"Pit")</f>
        <v/>
      </c>
      <c r="J354" s="55">
        <f>IF($B354=$B353,$J353,0)+$I354</f>
        <v/>
      </c>
      <c r="K354" s="55">
        <f>$K353+$I354</f>
        <v/>
      </c>
      <c r="L354" s="56">
        <f>IFERROR(IF(($F354)&gt;0,($I354*cfg_TroyOz)/($F354),""),"")</f>
        <v/>
      </c>
      <c r="M354" s="56">
        <f>IFERROR(IF(($G354)&gt;0,($J354*cfg_TroyOz)/($G354),""),"")</f>
        <v/>
      </c>
      <c r="N354" s="56">
        <f>IFERROR(IF(($H354)&gt;0,($K354*cfg_TroyOz)/($H354),""),"")</f>
        <v/>
      </c>
      <c r="O354" s="55">
        <f>SUMIFS(tblMovement[Tonnes_t],tblMovement[Date],$A354,tblMovement[Is_Ore],0,tblMovement[Source_Type],"Pit")</f>
        <v/>
      </c>
      <c r="P354" s="55">
        <f>IF($B354=$B353,$P353,0)+$O354</f>
        <v/>
      </c>
      <c r="Q354" s="55">
        <f>$Q353+$O354</f>
        <v/>
      </c>
      <c r="R354" s="55">
        <f>$F354+$O354</f>
        <v/>
      </c>
      <c r="S354" s="55">
        <f>IF($B354=$B353,$S353,0)+$R354</f>
        <v/>
      </c>
      <c r="T354" s="55">
        <f>$T353+$R354</f>
        <v/>
      </c>
      <c r="U354" s="56">
        <f>IFERROR(IF(($F354)&gt;0,($O354)/($F354),""),"")</f>
        <v/>
      </c>
      <c r="V354" s="56">
        <f>IFERROR(IF(($G354)&gt;0,($P354)/($G354),""),"")</f>
        <v/>
      </c>
      <c r="W354" s="56">
        <f>IFERROR(IF(($H354)&gt;0,($Q354)/($H354),""),"")</f>
        <v/>
      </c>
      <c r="X354" s="55">
        <f>SUMIFS(tblMovement[Tonnes_t],tblMovement[Date],$A354,tblMovement[Source_Type],"Stockpile")</f>
        <v/>
      </c>
      <c r="Y354" s="55">
        <f>IF($B354=$B353,$Y353,0)+$X354</f>
        <v/>
      </c>
      <c r="Z354" s="55">
        <f>$Z353+$X354</f>
        <v/>
      </c>
      <c r="AA354" s="55">
        <f>SUMIFS(tblMiningDaily[Drill_m],tblMiningDaily[Date],$A354)</f>
        <v/>
      </c>
      <c r="AB354" s="55">
        <f>IF($B354=$B353,$AB353,0)+$AA354</f>
        <v/>
      </c>
      <c r="AC354" s="55">
        <f>$AC353+$AA354</f>
        <v/>
      </c>
      <c r="AD354" s="55">
        <f>SUMIFS(tblMiningDaily[Blast_t],tblMiningDaily[Date],$A354)</f>
        <v/>
      </c>
      <c r="AE354" s="55">
        <f>IF($B354=$B353,$AE353,0)+$AD354</f>
        <v/>
      </c>
      <c r="AF354" s="55">
        <f>$AF353+$AD354</f>
        <v/>
      </c>
      <c r="AG354" s="55">
        <f>SUMIFS(tblMiningDaily[Explosives_kg],tblMiningDaily[Date],$A354)</f>
        <v/>
      </c>
      <c r="AH354" s="55">
        <f>IF($B354=$B353,$AH353,0)+$AG354</f>
        <v/>
      </c>
      <c r="AI354" s="55">
        <f>$AI353+$AG354</f>
        <v/>
      </c>
      <c r="AJ354" s="56">
        <f>IFERROR(IF(($AD354)&gt;0,($AG354)/($AD354),""),"")</f>
        <v/>
      </c>
      <c r="AK354" s="56">
        <f>IFERROR(IF(($AE354)&gt;0,($AH354)/($AE354),""),"")</f>
        <v/>
      </c>
      <c r="AL354" s="56">
        <f>IFERROR(IF(($AF354)&gt;0,($AI354)/($AF354),""),"")</f>
        <v/>
      </c>
      <c r="AM354" s="55">
        <f>SUMIFS(tblMiningDaily[Diesel_L],tblMiningDaily[Date],$A354)</f>
        <v/>
      </c>
      <c r="AN354" s="55">
        <f>IF($B354=$B353,$AN353,0)+$AM354</f>
        <v/>
      </c>
      <c r="AO354" s="55">
        <f>$AO353+$AM354</f>
        <v/>
      </c>
      <c r="AP354" s="55">
        <f>SUMIFS(tblMiningDaily[Dewatering_m3],tblMiningDaily[Date],$A354)</f>
        <v/>
      </c>
      <c r="AQ354" s="55">
        <f>IF($B354=$B353,$AQ353,0)+$AP354</f>
        <v/>
      </c>
      <c r="AR354" s="55">
        <f>$AR353+$AP354</f>
        <v/>
      </c>
      <c r="AS354" s="57">
        <f>SUMIFS(tblFleet[Calendar_h],tblFleet[Date],$A354,tblFleet[Equipment_Class],"Excavator")</f>
        <v/>
      </c>
      <c r="AT354" s="57">
        <f>IF($B354=$B353,$AT353,0)+$AS354</f>
        <v/>
      </c>
      <c r="AU354" s="57">
        <f>$AU353+$AS354</f>
        <v/>
      </c>
      <c r="AV354" s="57">
        <f>SUMIFS(tblFleet[Available_h],tblFleet[Date],$A354,tblFleet[Equipment_Class],"Excavator")</f>
        <v/>
      </c>
      <c r="AW354" s="57">
        <f>IF($B354=$B353,$AW353,0)+$AV354</f>
        <v/>
      </c>
      <c r="AX354" s="57">
        <f>$AX353+$AV354</f>
        <v/>
      </c>
      <c r="AY354" s="57">
        <f>SUMIFS(tblFleet[Operating_h],tblFleet[Date],$A354,tblFleet[Equipment_Class],"Excavator")</f>
        <v/>
      </c>
      <c r="AZ354" s="57">
        <f>IF($B354=$B353,$AZ353,0)+$AY354</f>
        <v/>
      </c>
      <c r="BA354" s="57">
        <f>$BA353+$AY354</f>
        <v/>
      </c>
      <c r="BB354" s="67">
        <f>IFERROR(IF(($AS354)&gt;0,($AV354)/($AS354),""),"")</f>
        <v/>
      </c>
      <c r="BC354" s="67">
        <f>IFERROR(IF(($AT354)&gt;0,($AW354)/($AT354),""),"")</f>
        <v/>
      </c>
      <c r="BD354" s="67">
        <f>IFERROR(IF(($AU354)&gt;0,($AX354)/($AU354),""),"")</f>
        <v/>
      </c>
      <c r="BE354" s="67">
        <f>IFERROR(IF(($AV354)&gt;0,($AY354)/($AV354),""),"")</f>
        <v/>
      </c>
      <c r="BF354" s="67">
        <f>IFERROR(IF(($AW354)&gt;0,($AZ354)/($AW354),""),"")</f>
        <v/>
      </c>
      <c r="BG354" s="67">
        <f>IFERROR(IF(($AX354)&gt;0,($BA354)/($AX354),""),"")</f>
        <v/>
      </c>
      <c r="BH354" s="57">
        <f>SUMIFS(tblFleet[Calendar_h],tblFleet[Date],$A354,tblFleet[Equipment_Class],"Haul Truck")</f>
        <v/>
      </c>
      <c r="BI354" s="57">
        <f>IF($B354=$B353,$BI353,0)+$BH354</f>
        <v/>
      </c>
      <c r="BJ354" s="57">
        <f>$BJ353+$BH354</f>
        <v/>
      </c>
      <c r="BK354" s="57">
        <f>SUMIFS(tblFleet[Available_h],tblFleet[Date],$A354,tblFleet[Equipment_Class],"Haul Truck")</f>
        <v/>
      </c>
      <c r="BL354" s="57">
        <f>IF($B354=$B353,$BL353,0)+$BK354</f>
        <v/>
      </c>
      <c r="BM354" s="57">
        <f>$BM353+$BK354</f>
        <v/>
      </c>
      <c r="BN354" s="57">
        <f>SUMIFS(tblFleet[Operating_h],tblFleet[Date],$A354,tblFleet[Equipment_Class],"Haul Truck")</f>
        <v/>
      </c>
      <c r="BO354" s="57">
        <f>IF($B354=$B353,$BO353,0)+$BN354</f>
        <v/>
      </c>
      <c r="BP354" s="57">
        <f>$BP353+$BN354</f>
        <v/>
      </c>
      <c r="BQ354" s="67">
        <f>IFERROR(IF(($BH354)&gt;0,($BK354)/($BH354),""),"")</f>
        <v/>
      </c>
      <c r="BR354" s="67">
        <f>IFERROR(IF(($BI354)&gt;0,($BL354)/($BI354),""),"")</f>
        <v/>
      </c>
      <c r="BS354" s="67">
        <f>IFERROR(IF(($BJ354)&gt;0,($BM354)/($BJ354),""),"")</f>
        <v/>
      </c>
      <c r="BT354" s="67">
        <f>IFERROR(IF(($BK354)&gt;0,($BN354)/($BK354),""),"")</f>
        <v/>
      </c>
      <c r="BU354" s="67">
        <f>IFERROR(IF(($BL354)&gt;0,($BO354)/($BL354),""),"")</f>
        <v/>
      </c>
      <c r="BV354" s="67">
        <f>IFERROR(IF(($BM354)&gt;0,($BP354)/($BM354),""),"")</f>
        <v/>
      </c>
      <c r="BW354" s="55">
        <f>SUMIFS(tblPlant[Crushed_t],tblPlant[Date],$A354)</f>
        <v/>
      </c>
      <c r="BX354" s="55">
        <f>IF($B354=$B353,$BX353,0)+$BW354</f>
        <v/>
      </c>
      <c r="BY354" s="55">
        <f>$BY353+$BW354</f>
        <v/>
      </c>
      <c r="BZ354" s="55">
        <f>SUMIFS(tblPlant[Milled_t],tblPlant[Date],$A354)</f>
        <v/>
      </c>
      <c r="CA354" s="55">
        <f>IF($B354=$B353,$CA353,0)+$BZ354</f>
        <v/>
      </c>
      <c r="CB354" s="55">
        <f>$CB353+$BZ354</f>
        <v/>
      </c>
      <c r="CC354" s="55">
        <f>SUMIFS(tblPlant[Feed_oz],tblPlant[Date],$A354)</f>
        <v/>
      </c>
      <c r="CD354" s="55">
        <f>IF($B354=$B353,$CD353,0)+$CC354</f>
        <v/>
      </c>
      <c r="CE354" s="55">
        <f>$CE353+$CC354</f>
        <v/>
      </c>
      <c r="CF354" s="55">
        <f>SUMIFS(tblPlant[Tails_oz],tblPlant[Date],$A354)</f>
        <v/>
      </c>
      <c r="CG354" s="55">
        <f>IF($B354=$B353,$CG353,0)+$CF354</f>
        <v/>
      </c>
      <c r="CH354" s="55">
        <f>$CH353+$CF354</f>
        <v/>
      </c>
      <c r="CI354" s="55">
        <f>SUMIFS(tblPlant[Recovered_oz],tblPlant[Date],$A354)</f>
        <v/>
      </c>
      <c r="CJ354" s="55">
        <f>IF($B354=$B353,$CJ353,0)+$CI354</f>
        <v/>
      </c>
      <c r="CK354" s="55">
        <f>$CK353+$CI354</f>
        <v/>
      </c>
      <c r="CL354" s="56">
        <f>IFERROR(IF(($BZ354)&gt;0,($CC354*cfg_TroyOz)/($BZ354),""),"")</f>
        <v/>
      </c>
      <c r="CM354" s="56">
        <f>IFERROR(IF(($CA354)&gt;0,($CD354*cfg_TroyOz)/($CA354),""),"")</f>
        <v/>
      </c>
      <c r="CN354" s="56">
        <f>IFERROR(IF(($CB354)&gt;0,($CE354*cfg_TroyOz)/($CB354),""),"")</f>
        <v/>
      </c>
      <c r="CO354" s="56">
        <f>IFERROR(IF(($BZ354)&gt;0,($CF354*cfg_TroyOz)/($BZ354),""),"")</f>
        <v/>
      </c>
      <c r="CP354" s="56">
        <f>IFERROR(IF(($CA354)&gt;0,($CG354*cfg_TroyOz)/($CA354),""),"")</f>
        <v/>
      </c>
      <c r="CQ354" s="56">
        <f>IFERROR(IF(($CB354)&gt;0,($CH354*cfg_TroyOz)/($CB354),""),"")</f>
        <v/>
      </c>
      <c r="CR354" s="67">
        <f>IFERROR(IF(($CC354)&gt;0,($CI354)/($CC354),""),"")</f>
        <v/>
      </c>
      <c r="CS354" s="67">
        <f>IFERROR(IF(($CD354)&gt;0,($CJ354)/($CD354),""),"")</f>
        <v/>
      </c>
      <c r="CT354" s="67">
        <f>IFERROR(IF(($CE354)&gt;0,($CK354)/($CE354),""),"")</f>
        <v/>
      </c>
      <c r="CU354" s="55">
        <f>SUMIFS(tblPlant[Gravity_Gold_oz],tblPlant[Date],$A354)</f>
        <v/>
      </c>
      <c r="CV354" s="55">
        <f>IF($B354=$B353,$CV353,0)+$CU354</f>
        <v/>
      </c>
      <c r="CW354" s="55">
        <f>$CW353+$CU354</f>
        <v/>
      </c>
      <c r="CX354" s="55">
        <f>SUMIFS(tblPlant[Gold_Poured_oz],tblPlant[Date],$A354)</f>
        <v/>
      </c>
      <c r="CY354" s="55">
        <f>IF($B354=$B353,$CY353,0)+$CX354</f>
        <v/>
      </c>
      <c r="CZ354" s="55">
        <f>$CZ353+$CX354</f>
        <v/>
      </c>
      <c r="DA354" s="57">
        <f>SUMIFS(tblPlant[Mill_Run_h],tblPlant[Date],$A354)</f>
        <v/>
      </c>
      <c r="DB354" s="57">
        <f>IF($B354=$B353,$DB353,0)+$DA354</f>
        <v/>
      </c>
      <c r="DC354" s="57">
        <f>$DC353+$DA354</f>
        <v/>
      </c>
      <c r="DD354" s="57">
        <f>SUMIFS(tblPlant[Mill_Planned_Maint_h],tblPlant[Date],$A354)</f>
        <v/>
      </c>
      <c r="DE354" s="57">
        <f>IF($B354=$B353,$DE353,0)+$DD354</f>
        <v/>
      </c>
      <c r="DF354" s="57">
        <f>$DF353+$DD354</f>
        <v/>
      </c>
      <c r="DG354" s="57">
        <f>SUMIFS(tblPlant[Mill_Unplanned_Down_h],tblPlant[Date],$A354)</f>
        <v/>
      </c>
      <c r="DH354" s="57">
        <f>IF($B354=$B353,$DH353,0)+$DG354</f>
        <v/>
      </c>
      <c r="DI354" s="57">
        <f>$DI353+$DG354</f>
        <v/>
      </c>
      <c r="DJ354" s="57">
        <f>COUNTIFS(tblPlant[Date],$A354,tblPlant[Mill_Run_h],"&lt;&gt;")*24</f>
        <v/>
      </c>
      <c r="DK354" s="57">
        <f>IF($B354=$B353,$DK353,0)+$DJ354</f>
        <v/>
      </c>
      <c r="DL354" s="57">
        <f>$DL353+$DJ354</f>
        <v/>
      </c>
      <c r="DM354" s="57">
        <f>SUMIFS(tblPlant[Crusher_Run_h],tblPlant[Date],$A354)</f>
        <v/>
      </c>
      <c r="DN354" s="57">
        <f>IF($B354=$B353,$DN353,0)+$DM354</f>
        <v/>
      </c>
      <c r="DO354" s="57">
        <f>$DO353+$DM354</f>
        <v/>
      </c>
      <c r="DP354" s="55">
        <f>IFERROR(IF(($DA354)&gt;0,($BZ354)/($DA354),""),"")</f>
        <v/>
      </c>
      <c r="DQ354" s="55">
        <f>IFERROR(IF(($DB354)&gt;0,($CA354)/($DB354),""),"")</f>
        <v/>
      </c>
      <c r="DR354" s="55">
        <f>IFERROR(IF(($DC354)&gt;0,($CB354)/($DC354),""),"")</f>
        <v/>
      </c>
      <c r="DS354" s="67">
        <f>IFERROR(IF(($DJ354)&gt;0,($DJ354-$DD354-$DG354)/($DJ354),""),"")</f>
        <v/>
      </c>
      <c r="DT354" s="67">
        <f>IFERROR(IF(($DK354)&gt;0,($DK354-$DE354-$DH354)/($DK354),""),"")</f>
        <v/>
      </c>
      <c r="DU354" s="67">
        <f>IFERROR(IF(($DL354)&gt;0,($DL354-$DF354-$DI354)/($DL354),""),"")</f>
        <v/>
      </c>
      <c r="DV354" s="67">
        <f>IFERROR(IF(($DJ354-$DD354-$DG354)&gt;0,($DA354)/($DJ354-$DD354-$DG354),""),"")</f>
        <v/>
      </c>
      <c r="DW354" s="67">
        <f>IFERROR(IF(($DK354-$DE354-$DH354)&gt;0,($DB354)/($DK354-$DE354-$DH354),""),"")</f>
        <v/>
      </c>
      <c r="DX354" s="67">
        <f>IFERROR(IF(($DL354-$DF354-$DI354)&gt;0,($DC354)/($DL354-$DF354-$DI354),""),"")</f>
        <v/>
      </c>
      <c r="DY354" s="55">
        <f>SUMIFS(tblPlant[Cyanide_kg],tblPlant[Date],$A354)</f>
        <v/>
      </c>
      <c r="DZ354" s="55">
        <f>IF($B354=$B353,$DZ353,0)+$DY354</f>
        <v/>
      </c>
      <c r="EA354" s="55">
        <f>$EA353+$DY354</f>
        <v/>
      </c>
      <c r="EB354" s="55">
        <f>SUMIFS(tblPlant[Lime_kg],tblPlant[Date],$A354)</f>
        <v/>
      </c>
      <c r="EC354" s="55">
        <f>IF($B354=$B353,$EC353,0)+$EB354</f>
        <v/>
      </c>
      <c r="ED354" s="55">
        <f>$ED353+$EB354</f>
        <v/>
      </c>
      <c r="EE354" s="55">
        <f>SUMIFS(tblPlant[Grinding_Media_kg],tblPlant[Date],$A354)</f>
        <v/>
      </c>
      <c r="EF354" s="55">
        <f>IF($B354=$B353,$EF353,0)+$EE354</f>
        <v/>
      </c>
      <c r="EG354" s="55">
        <f>$EG353+$EE354</f>
        <v/>
      </c>
      <c r="EH354" s="55">
        <f>SUMIFS(tblPlant[Power_kWh],tblPlant[Date],$A354)</f>
        <v/>
      </c>
      <c r="EI354" s="55">
        <f>IF($B354=$B353,$EI353,0)+$EH354</f>
        <v/>
      </c>
      <c r="EJ354" s="55">
        <f>$EJ353+$EH354</f>
        <v/>
      </c>
      <c r="EK354" s="55">
        <f>SUMIFS(tblPlant[Raw_Water_m3],tblPlant[Date],$A354)</f>
        <v/>
      </c>
      <c r="EL354" s="55">
        <f>IF($B354=$B353,$EL353,0)+$EK354</f>
        <v/>
      </c>
      <c r="EM354" s="55">
        <f>$EM353+$EK354</f>
        <v/>
      </c>
      <c r="EN354" s="56">
        <f>IFERROR(IF(($BZ354)&gt;0,($DY354)/($BZ354),""),"")</f>
        <v/>
      </c>
      <c r="EO354" s="56">
        <f>IFERROR(IF(($CA354)&gt;0,($DZ354)/($CA354),""),"")</f>
        <v/>
      </c>
      <c r="EP354" s="56">
        <f>IFERROR(IF(($CB354)&gt;0,($EA354)/($CB354),""),"")</f>
        <v/>
      </c>
      <c r="EQ354" s="56">
        <f>IFERROR(IF(($BZ354)&gt;0,($EB354)/($BZ354),""),"")</f>
        <v/>
      </c>
      <c r="ER354" s="56">
        <f>IFERROR(IF(($CA354)&gt;0,($EC354)/($CA354),""),"")</f>
        <v/>
      </c>
      <c r="ES354" s="56">
        <f>IFERROR(IF(($CB354)&gt;0,($ED354)/($CB354),""),"")</f>
        <v/>
      </c>
      <c r="ET354" s="56">
        <f>IFERROR(IF(($BZ354)&gt;0,($EE354)/($BZ354),""),"")</f>
        <v/>
      </c>
      <c r="EU354" s="56">
        <f>IFERROR(IF(($CA354)&gt;0,($EF354)/($CA354),""),"")</f>
        <v/>
      </c>
      <c r="EV354" s="56">
        <f>IFERROR(IF(($CB354)&gt;0,($EG354)/($CB354),""),"")</f>
        <v/>
      </c>
      <c r="EW354" s="76">
        <f>IFERROR(IF(($BZ354)&gt;0,($EH354)/($BZ354),""),"")</f>
        <v/>
      </c>
      <c r="EX354" s="76">
        <f>IFERROR(IF(($CA354)&gt;0,($EI354)/($CA354),""),"")</f>
        <v/>
      </c>
      <c r="EY354" s="76">
        <f>IFERROR(IF(($CB354)&gt;0,($EJ354)/($CB354),""),"")</f>
        <v/>
      </c>
      <c r="EZ354" s="56">
        <f>IFERROR(IF(($BZ354)&gt;0,($EK354)/($BZ354),""),"")</f>
        <v/>
      </c>
      <c r="FA354" s="56">
        <f>IFERROR(IF(($CA354)&gt;0,($EL354)/($CA354),""),"")</f>
        <v/>
      </c>
      <c r="FB354" s="56">
        <f>IFERROR(IF(($CB354)&gt;0,($EM354)/($CB354),""),"")</f>
        <v/>
      </c>
      <c r="FC354" s="55">
        <f>IF(SUMIFS(tblPlant[GIC_oz],tblPlant[Date],$A354)&gt;0,SUMIFS(tblPlant[GIC_oz],tblPlant[Date],$A354),"")</f>
        <v/>
      </c>
      <c r="FD354" s="55">
        <f>SUMIFS(tblGold[Gold_oz],tblGold[Date],$A354,tblGold[Type],"Shipment")</f>
        <v/>
      </c>
      <c r="FE354" s="55">
        <f>IF($B354=$B353,$FE353,0)+$FD354</f>
        <v/>
      </c>
      <c r="FF354" s="55">
        <f>$FF353+$FD354</f>
        <v/>
      </c>
      <c r="FG354" s="55">
        <f>SUMIFS(tblGold[Gold_oz],tblGold[Date],$A354,tblGold[Type],"Sale")</f>
        <v/>
      </c>
      <c r="FH354" s="55">
        <f>IF($B354=$B353,$FH353,0)+$FG354</f>
        <v/>
      </c>
      <c r="FI354" s="55">
        <f>$FI353+$FG354</f>
        <v/>
      </c>
      <c r="FJ354" s="55">
        <f>SUMIFS(tblGold[Dore_kg],tblGold[Date],$A354,tblGold[Type],"Shipment")</f>
        <v/>
      </c>
      <c r="FK354" s="55">
        <f>IF($B354=$B353,$FK353,0)+$FJ354</f>
        <v/>
      </c>
      <c r="FL354" s="55">
        <f>$FL353+$FJ354</f>
        <v/>
      </c>
      <c r="FM354" s="57">
        <f>SUMIFS(tblSafety[Hours_Total],tblSafety[Date],$A354)</f>
        <v/>
      </c>
      <c r="FN354" s="57">
        <f>IF($B354=$B353,$FN353,0)+$FM354</f>
        <v/>
      </c>
      <c r="FO354" s="57">
        <f>$FO353+$FM354</f>
        <v/>
      </c>
      <c r="FP354" s="62">
        <f>SUMIFS(tblSafety[Fatality],tblSafety[Date],$A354)</f>
        <v/>
      </c>
      <c r="FQ354" s="62">
        <f>IF($B354=$B353,$FQ353,0)+$FP354</f>
        <v/>
      </c>
      <c r="FR354" s="62">
        <f>$FR353+$FP354</f>
        <v/>
      </c>
      <c r="FS354" s="62">
        <f>SUMIFS(tblSafety[LTI],tblSafety[Date],$A354)</f>
        <v/>
      </c>
      <c r="FT354" s="62">
        <f>IF($B354=$B353,$FT353,0)+$FS354</f>
        <v/>
      </c>
      <c r="FU354" s="62">
        <f>$FU353+$FS354</f>
        <v/>
      </c>
      <c r="FV354" s="62">
        <f>SUMIFS(tblSafety[RWI],tblSafety[Date],$A354)</f>
        <v/>
      </c>
      <c r="FW354" s="62">
        <f>IF($B354=$B353,$FW353,0)+$FV354</f>
        <v/>
      </c>
      <c r="FX354" s="62">
        <f>$FX353+$FV354</f>
        <v/>
      </c>
      <c r="FY354" s="62">
        <f>SUMIFS(tblSafety[MTI],tblSafety[Date],$A354)</f>
        <v/>
      </c>
      <c r="FZ354" s="62">
        <f>IF($B354=$B353,$FZ353,0)+$FY354</f>
        <v/>
      </c>
      <c r="GA354" s="62">
        <f>$GA353+$FY354</f>
        <v/>
      </c>
      <c r="GB354" s="62">
        <f>SUMIFS(tblSafety[FAI],tblSafety[Date],$A354)</f>
        <v/>
      </c>
      <c r="GC354" s="62">
        <f>IF($B354=$B353,$GC353,0)+$GB354</f>
        <v/>
      </c>
      <c r="GD354" s="62">
        <f>$GD353+$GB354</f>
        <v/>
      </c>
      <c r="GE354" s="62">
        <f>SUMIFS(tblSafety[Recordables],tblSafety[Date],$A354)</f>
        <v/>
      </c>
      <c r="GF354" s="62">
        <f>IF($B354=$B353,$GF353,0)+$GE354</f>
        <v/>
      </c>
      <c r="GG354" s="62">
        <f>$GG353+$GE354</f>
        <v/>
      </c>
      <c r="GH354" s="62">
        <f>SUMIFS(tblSafety[Near_Miss],tblSafety[Date],$A354)</f>
        <v/>
      </c>
      <c r="GI354" s="62">
        <f>IF($B354=$B353,$GI353,0)+$GH354</f>
        <v/>
      </c>
      <c r="GJ354" s="62">
        <f>$GJ353+$GH354</f>
        <v/>
      </c>
      <c r="GK354" s="62">
        <f>SUMIFS(tblSafety[Hazard_Reports],tblSafety[Date],$A354)</f>
        <v/>
      </c>
      <c r="GL354" s="62">
        <f>IF($B354=$B353,$GL353,0)+$GK354</f>
        <v/>
      </c>
      <c r="GM354" s="62">
        <f>$GM353+$GK354</f>
        <v/>
      </c>
      <c r="GN354" s="62">
        <f>SUMIFS(tblSafety[HPI],tblSafety[Date],$A354)</f>
        <v/>
      </c>
      <c r="GO354" s="62">
        <f>IF($B354=$B353,$GO353,0)+$GN354</f>
        <v/>
      </c>
      <c r="GP354" s="62">
        <f>$GP353+$GN354</f>
        <v/>
      </c>
      <c r="GQ354" s="62">
        <f>SUMIFS(tblSafety[Env_Incidents],tblSafety[Date],$A354)</f>
        <v/>
      </c>
      <c r="GR354" s="62">
        <f>IF($B354=$B353,$GR353,0)+$GQ354</f>
        <v/>
      </c>
      <c r="GS354" s="62">
        <f>$GS353+$GQ354</f>
        <v/>
      </c>
      <c r="GT354" s="62">
        <f>SUMIFS(tblSafety[Community_Incidents],tblSafety[Date],$A354)</f>
        <v/>
      </c>
      <c r="GU354" s="62">
        <f>IF($B354=$B353,$GU353,0)+$GT354</f>
        <v/>
      </c>
      <c r="GV354" s="62">
        <f>$GV353+$GT354</f>
        <v/>
      </c>
      <c r="GW354" s="62">
        <f>SUMIFS(tblSafety[Vehicle_Incidents],tblSafety[Date],$A354)</f>
        <v/>
      </c>
      <c r="GX354" s="62">
        <f>IF($B354=$B353,$GX353,0)+$GW354</f>
        <v/>
      </c>
      <c r="GY354" s="62">
        <f>$GY353+$GW354</f>
        <v/>
      </c>
      <c r="GZ354" s="62">
        <f>SUMIFS(tblSafety[Toolbox_Talks],tblSafety[Date],$A354)</f>
        <v/>
      </c>
      <c r="HA354" s="62">
        <f>IF($B354=$B353,$HA353,0)+$GZ354</f>
        <v/>
      </c>
      <c r="HB354" s="62">
        <f>$HB353+$GZ354</f>
        <v/>
      </c>
      <c r="HC354" s="62">
        <f>SUMIFS(tblSafety[Inspections],tblSafety[Date],$A354)</f>
        <v/>
      </c>
      <c r="HD354" s="62">
        <f>IF($B354=$B353,$HD353,0)+$HC354</f>
        <v/>
      </c>
      <c r="HE354" s="62">
        <f>$HE353+$HC354</f>
        <v/>
      </c>
      <c r="HF354" s="56">
        <f>IFERROR((SUMIFS(tblSafety[Recordables],tblSafety[Date],"&gt;="&amp;EDATE($E354,-12),tblSafety[Date],"&lt;="&amp;$A354)+SUMIFS(tblSafetyHistory[Recordables],tblSafetyHistory[Month],"&gt;="&amp;EDATE($E354,-12),tblSafetyHistory[Month],"&lt;"&amp;cfg_YearStart))/(SUMIFS(tblSafety[Hours_Total],tblSafety[Date],"&gt;="&amp;EDATE($E354,-12),tblSafety[Date],"&lt;="&amp;$A354)+SUMIFS(tblSafetyHistory[Hours_Total],tblSafetyHistory[Month],"&gt;="&amp;EDATE($E354,-12),tblSafetyHistory[Month],"&lt;"&amp;cfg_YearStart))*1000000,"")</f>
        <v/>
      </c>
      <c r="HG354" s="56">
        <f>IFERROR((SUMIFS(tblSafety[LTI],tblSafety[Date],"&gt;="&amp;EDATE($E354,-12),tblSafety[Date],"&lt;="&amp;$A354)+SUMIFS(tblSafetyHistory[LTI],tblSafetyHistory[Month],"&gt;="&amp;EDATE($E354,-12),tblSafetyHistory[Month],"&lt;"&amp;cfg_YearStart))/(SUMIFS(tblSafety[Hours_Total],tblSafety[Date],"&gt;="&amp;EDATE($E354,-12),tblSafety[Date],"&lt;="&amp;$A354)+SUMIFS(tblSafetyHistory[Hours_Total],tblSafetyHistory[Month],"&gt;="&amp;EDATE($E354,-12),tblSafetyHistory[Month],"&lt;"&amp;cfg_YearStart))*1000000,"")</f>
        <v/>
      </c>
      <c r="HH354" s="62">
        <f>IF(MAX(N(cfg_PriorLTIDate),_xlfn.MAXIFS(tblSafety[Date],tblSafety[LTI],"&gt;0",tblSafety[Date],"&lt;="&amp;$A354))=0,"",$A354-MAX(N(cfg_PriorLTIDate),_xlfn.MAXIFS(tblSafety[Date],tblSafety[LTI],"&gt;0",tblSafety[Date],"&lt;="&amp;$A354)))</f>
        <v/>
      </c>
      <c r="HI354" s="55">
        <f>SUMIFS(tblBudget[Ore_Mined_t],tblBudget[Month],$E354)</f>
        <v/>
      </c>
      <c r="HJ354" s="55">
        <f>$HI354*$C354/$D354</f>
        <v/>
      </c>
      <c r="HK354" s="55">
        <f>SUMIFS(tblBudget[Ore_Mined_t],tblBudget[Month],"&lt;"&amp;$E354)+$HJ354</f>
        <v/>
      </c>
      <c r="HL354" s="55">
        <f>SUMIFS(tblBudget[Ore_oz],tblBudget[Month],$E354)</f>
        <v/>
      </c>
      <c r="HM354" s="55">
        <f>$HL354*$C354/$D354</f>
        <v/>
      </c>
      <c r="HN354" s="55">
        <f>SUMIFS(tblBudget[Ore_oz],tblBudget[Month],"&lt;"&amp;$E354)+$HM354</f>
        <v/>
      </c>
      <c r="HO354" s="56">
        <f>IFERROR(IF(($HI354)&gt;0,($HL354*cfg_TroyOz)/($HI354),""),"")</f>
        <v/>
      </c>
      <c r="HP354" s="56">
        <f>IFERROR(IF(($HJ354)&gt;0,($HM354*cfg_TroyOz)/($HJ354),""),"")</f>
        <v/>
      </c>
      <c r="HQ354" s="56">
        <f>IFERROR(IF(($HK354)&gt;0,($HN354*cfg_TroyOz)/($HK354),""),"")</f>
        <v/>
      </c>
      <c r="HR354" s="55">
        <f>SUMIFS(tblBudget[Waste_t],tblBudget[Month],$E354)</f>
        <v/>
      </c>
      <c r="HS354" s="55">
        <f>$HR354*$C354/$D354</f>
        <v/>
      </c>
      <c r="HT354" s="55">
        <f>SUMIFS(tblBudget[Waste_t],tblBudget[Month],"&lt;"&amp;$E354)+$HS354</f>
        <v/>
      </c>
      <c r="HU354" s="55">
        <f>SUMIFS(tblBudget[TMM_t],tblBudget[Month],$E354)</f>
        <v/>
      </c>
      <c r="HV354" s="55">
        <f>$HU354*$C354/$D354</f>
        <v/>
      </c>
      <c r="HW354" s="55">
        <f>SUMIFS(tblBudget[TMM_t],tblBudget[Month],"&lt;"&amp;$E354)+$HV354</f>
        <v/>
      </c>
      <c r="HX354" s="56">
        <f>IFERROR(IF(($HI354)&gt;0,($HR354)/($HI354),""),"")</f>
        <v/>
      </c>
      <c r="HY354" s="56">
        <f>IFERROR(IF(($HJ354)&gt;0,($HS354)/($HJ354),""),"")</f>
        <v/>
      </c>
      <c r="HZ354" s="56">
        <f>IFERROR(IF(($HK354)&gt;0,($HT354)/($HK354),""),"")</f>
        <v/>
      </c>
      <c r="IA354" s="55">
        <f>SUMIFS(tblBudget[Drill_m],tblBudget[Month],$E354)</f>
        <v/>
      </c>
      <c r="IB354" s="55">
        <f>$IA354*$C354/$D354</f>
        <v/>
      </c>
      <c r="IC354" s="55">
        <f>SUMIFS(tblBudget[Drill_m],tblBudget[Month],"&lt;"&amp;$E354)+$IB354</f>
        <v/>
      </c>
      <c r="ID354" s="55">
        <f>SUMIFS(tblBudget[Diesel_L],tblBudget[Month],$E354)</f>
        <v/>
      </c>
      <c r="IE354" s="55">
        <f>$ID354*$C354/$D354</f>
        <v/>
      </c>
      <c r="IF354" s="55">
        <f>SUMIFS(tblBudget[Diesel_L],tblBudget[Month],"&lt;"&amp;$E354)+$IE354</f>
        <v/>
      </c>
      <c r="IG354" s="55">
        <f>SUMIFS(tblBudget[Milled_t],tblBudget[Month],$E354)</f>
        <v/>
      </c>
      <c r="IH354" s="55">
        <f>$IG354*$C354/$D354</f>
        <v/>
      </c>
      <c r="II354" s="55">
        <f>SUMIFS(tblBudget[Milled_t],tblBudget[Month],"&lt;"&amp;$E354)+$IH354</f>
        <v/>
      </c>
      <c r="IJ354" s="55">
        <f>SUMIFS(tblBudget[Feed_oz],tblBudget[Month],$E354)</f>
        <v/>
      </c>
      <c r="IK354" s="55">
        <f>$IJ354*$C354/$D354</f>
        <v/>
      </c>
      <c r="IL354" s="55">
        <f>SUMIFS(tblBudget[Feed_oz],tblBudget[Month],"&lt;"&amp;$E354)+$IK354</f>
        <v/>
      </c>
      <c r="IM354" s="55">
        <f>SUMIFS(tblBudget[Recovered_oz],tblBudget[Month],$E354)</f>
        <v/>
      </c>
      <c r="IN354" s="55">
        <f>$IM354*$C354/$D354</f>
        <v/>
      </c>
      <c r="IO354" s="55">
        <f>SUMIFS(tblBudget[Recovered_oz],tblBudget[Month],"&lt;"&amp;$E354)+$IN354</f>
        <v/>
      </c>
      <c r="IP354" s="56">
        <f>IFERROR(IF(($IG354)&gt;0,($IJ354*cfg_TroyOz)/($IG354),""),"")</f>
        <v/>
      </c>
      <c r="IQ354" s="56">
        <f>IFERROR(IF(($IH354)&gt;0,($IK354*cfg_TroyOz)/($IH354),""),"")</f>
        <v/>
      </c>
      <c r="IR354" s="56">
        <f>IFERROR(IF(($II354)&gt;0,($IL354*cfg_TroyOz)/($II354),""),"")</f>
        <v/>
      </c>
      <c r="IS354" s="67">
        <f>IFERROR(IF(($IJ354)&gt;0,($IM354)/($IJ354),""),"")</f>
        <v/>
      </c>
      <c r="IT354" s="67">
        <f>IFERROR(IF(($IK354)&gt;0,($IN354)/($IK354),""),"")</f>
        <v/>
      </c>
      <c r="IU354" s="67">
        <f>IFERROR(IF(($IL354)&gt;0,($IO354)/($IL354),""),"")</f>
        <v/>
      </c>
      <c r="IV354" s="55">
        <f>SUMIFS(tblBudget[Gold_Poured_oz],tblBudget[Month],$E354)</f>
        <v/>
      </c>
      <c r="IW354" s="55">
        <f>$IV354*$C354/$D354</f>
        <v/>
      </c>
      <c r="IX354" s="55">
        <f>SUMIFS(tblBudget[Gold_Poured_oz],tblBudget[Month],"&lt;"&amp;$E354)+$IW354</f>
        <v/>
      </c>
      <c r="IY354" s="57">
        <f>SUMIFS(tblBudget[Hours_Worked],tblBudget[Month],$E354)</f>
        <v/>
      </c>
      <c r="IZ354" s="57">
        <f>$IY354*$C354/$D354</f>
        <v/>
      </c>
      <c r="JA354" s="57">
        <f>SUMIFS(tblBudget[Hours_Worked],tblBudget[Month],"&lt;"&amp;$E354)+$IZ354</f>
        <v/>
      </c>
    </row>
    <row r="355">
      <c r="A355" s="54" t="n">
        <v>46376</v>
      </c>
      <c r="B355">
        <f>MONTH($A355)</f>
        <v/>
      </c>
      <c r="C355">
        <f>DAY($A355)</f>
        <v/>
      </c>
      <c r="D355">
        <f>DAY(EOMONTH($A355,0))</f>
        <v/>
      </c>
      <c r="E355" s="54">
        <f>DATE(YEAR($A355),MONTH($A355),1)</f>
        <v/>
      </c>
      <c r="F355" s="55">
        <f>SUMIFS(tblMovement[Tonnes_t],tblMovement[Date],$A355,tblMovement[Is_Ore],1,tblMovement[Source_Type],"Pit")</f>
        <v/>
      </c>
      <c r="G355" s="55">
        <f>IF($B355=$B354,$G354,0)+$F355</f>
        <v/>
      </c>
      <c r="H355" s="55">
        <f>$H354+$F355</f>
        <v/>
      </c>
      <c r="I355" s="55">
        <f>SUMIFS(tblMovement[Ore_oz],tblMovement[Date],$A355,tblMovement[Source_Type],"Pit")</f>
        <v/>
      </c>
      <c r="J355" s="55">
        <f>IF($B355=$B354,$J354,0)+$I355</f>
        <v/>
      </c>
      <c r="K355" s="55">
        <f>$K354+$I355</f>
        <v/>
      </c>
      <c r="L355" s="56">
        <f>IFERROR(IF(($F355)&gt;0,($I355*cfg_TroyOz)/($F355),""),"")</f>
        <v/>
      </c>
      <c r="M355" s="56">
        <f>IFERROR(IF(($G355)&gt;0,($J355*cfg_TroyOz)/($G355),""),"")</f>
        <v/>
      </c>
      <c r="N355" s="56">
        <f>IFERROR(IF(($H355)&gt;0,($K355*cfg_TroyOz)/($H355),""),"")</f>
        <v/>
      </c>
      <c r="O355" s="55">
        <f>SUMIFS(tblMovement[Tonnes_t],tblMovement[Date],$A355,tblMovement[Is_Ore],0,tblMovement[Source_Type],"Pit")</f>
        <v/>
      </c>
      <c r="P355" s="55">
        <f>IF($B355=$B354,$P354,0)+$O355</f>
        <v/>
      </c>
      <c r="Q355" s="55">
        <f>$Q354+$O355</f>
        <v/>
      </c>
      <c r="R355" s="55">
        <f>$F355+$O355</f>
        <v/>
      </c>
      <c r="S355" s="55">
        <f>IF($B355=$B354,$S354,0)+$R355</f>
        <v/>
      </c>
      <c r="T355" s="55">
        <f>$T354+$R355</f>
        <v/>
      </c>
      <c r="U355" s="56">
        <f>IFERROR(IF(($F355)&gt;0,($O355)/($F355),""),"")</f>
        <v/>
      </c>
      <c r="V355" s="56">
        <f>IFERROR(IF(($G355)&gt;0,($P355)/($G355),""),"")</f>
        <v/>
      </c>
      <c r="W355" s="56">
        <f>IFERROR(IF(($H355)&gt;0,($Q355)/($H355),""),"")</f>
        <v/>
      </c>
      <c r="X355" s="55">
        <f>SUMIFS(tblMovement[Tonnes_t],tblMovement[Date],$A355,tblMovement[Source_Type],"Stockpile")</f>
        <v/>
      </c>
      <c r="Y355" s="55">
        <f>IF($B355=$B354,$Y354,0)+$X355</f>
        <v/>
      </c>
      <c r="Z355" s="55">
        <f>$Z354+$X355</f>
        <v/>
      </c>
      <c r="AA355" s="55">
        <f>SUMIFS(tblMiningDaily[Drill_m],tblMiningDaily[Date],$A355)</f>
        <v/>
      </c>
      <c r="AB355" s="55">
        <f>IF($B355=$B354,$AB354,0)+$AA355</f>
        <v/>
      </c>
      <c r="AC355" s="55">
        <f>$AC354+$AA355</f>
        <v/>
      </c>
      <c r="AD355" s="55">
        <f>SUMIFS(tblMiningDaily[Blast_t],tblMiningDaily[Date],$A355)</f>
        <v/>
      </c>
      <c r="AE355" s="55">
        <f>IF($B355=$B354,$AE354,0)+$AD355</f>
        <v/>
      </c>
      <c r="AF355" s="55">
        <f>$AF354+$AD355</f>
        <v/>
      </c>
      <c r="AG355" s="55">
        <f>SUMIFS(tblMiningDaily[Explosives_kg],tblMiningDaily[Date],$A355)</f>
        <v/>
      </c>
      <c r="AH355" s="55">
        <f>IF($B355=$B354,$AH354,0)+$AG355</f>
        <v/>
      </c>
      <c r="AI355" s="55">
        <f>$AI354+$AG355</f>
        <v/>
      </c>
      <c r="AJ355" s="56">
        <f>IFERROR(IF(($AD355)&gt;0,($AG355)/($AD355),""),"")</f>
        <v/>
      </c>
      <c r="AK355" s="56">
        <f>IFERROR(IF(($AE355)&gt;0,($AH355)/($AE355),""),"")</f>
        <v/>
      </c>
      <c r="AL355" s="56">
        <f>IFERROR(IF(($AF355)&gt;0,($AI355)/($AF355),""),"")</f>
        <v/>
      </c>
      <c r="AM355" s="55">
        <f>SUMIFS(tblMiningDaily[Diesel_L],tblMiningDaily[Date],$A355)</f>
        <v/>
      </c>
      <c r="AN355" s="55">
        <f>IF($B355=$B354,$AN354,0)+$AM355</f>
        <v/>
      </c>
      <c r="AO355" s="55">
        <f>$AO354+$AM355</f>
        <v/>
      </c>
      <c r="AP355" s="55">
        <f>SUMIFS(tblMiningDaily[Dewatering_m3],tblMiningDaily[Date],$A355)</f>
        <v/>
      </c>
      <c r="AQ355" s="55">
        <f>IF($B355=$B354,$AQ354,0)+$AP355</f>
        <v/>
      </c>
      <c r="AR355" s="55">
        <f>$AR354+$AP355</f>
        <v/>
      </c>
      <c r="AS355" s="57">
        <f>SUMIFS(tblFleet[Calendar_h],tblFleet[Date],$A355,tblFleet[Equipment_Class],"Excavator")</f>
        <v/>
      </c>
      <c r="AT355" s="57">
        <f>IF($B355=$B354,$AT354,0)+$AS355</f>
        <v/>
      </c>
      <c r="AU355" s="57">
        <f>$AU354+$AS355</f>
        <v/>
      </c>
      <c r="AV355" s="57">
        <f>SUMIFS(tblFleet[Available_h],tblFleet[Date],$A355,tblFleet[Equipment_Class],"Excavator")</f>
        <v/>
      </c>
      <c r="AW355" s="57">
        <f>IF($B355=$B354,$AW354,0)+$AV355</f>
        <v/>
      </c>
      <c r="AX355" s="57">
        <f>$AX354+$AV355</f>
        <v/>
      </c>
      <c r="AY355" s="57">
        <f>SUMIFS(tblFleet[Operating_h],tblFleet[Date],$A355,tblFleet[Equipment_Class],"Excavator")</f>
        <v/>
      </c>
      <c r="AZ355" s="57">
        <f>IF($B355=$B354,$AZ354,0)+$AY355</f>
        <v/>
      </c>
      <c r="BA355" s="57">
        <f>$BA354+$AY355</f>
        <v/>
      </c>
      <c r="BB355" s="67">
        <f>IFERROR(IF(($AS355)&gt;0,($AV355)/($AS355),""),"")</f>
        <v/>
      </c>
      <c r="BC355" s="67">
        <f>IFERROR(IF(($AT355)&gt;0,($AW355)/($AT355),""),"")</f>
        <v/>
      </c>
      <c r="BD355" s="67">
        <f>IFERROR(IF(($AU355)&gt;0,($AX355)/($AU355),""),"")</f>
        <v/>
      </c>
      <c r="BE355" s="67">
        <f>IFERROR(IF(($AV355)&gt;0,($AY355)/($AV355),""),"")</f>
        <v/>
      </c>
      <c r="BF355" s="67">
        <f>IFERROR(IF(($AW355)&gt;0,($AZ355)/($AW355),""),"")</f>
        <v/>
      </c>
      <c r="BG355" s="67">
        <f>IFERROR(IF(($AX355)&gt;0,($BA355)/($AX355),""),"")</f>
        <v/>
      </c>
      <c r="BH355" s="57">
        <f>SUMIFS(tblFleet[Calendar_h],tblFleet[Date],$A355,tblFleet[Equipment_Class],"Haul Truck")</f>
        <v/>
      </c>
      <c r="BI355" s="57">
        <f>IF($B355=$B354,$BI354,0)+$BH355</f>
        <v/>
      </c>
      <c r="BJ355" s="57">
        <f>$BJ354+$BH355</f>
        <v/>
      </c>
      <c r="BK355" s="57">
        <f>SUMIFS(tblFleet[Available_h],tblFleet[Date],$A355,tblFleet[Equipment_Class],"Haul Truck")</f>
        <v/>
      </c>
      <c r="BL355" s="57">
        <f>IF($B355=$B354,$BL354,0)+$BK355</f>
        <v/>
      </c>
      <c r="BM355" s="57">
        <f>$BM354+$BK355</f>
        <v/>
      </c>
      <c r="BN355" s="57">
        <f>SUMIFS(tblFleet[Operating_h],tblFleet[Date],$A355,tblFleet[Equipment_Class],"Haul Truck")</f>
        <v/>
      </c>
      <c r="BO355" s="57">
        <f>IF($B355=$B354,$BO354,0)+$BN355</f>
        <v/>
      </c>
      <c r="BP355" s="57">
        <f>$BP354+$BN355</f>
        <v/>
      </c>
      <c r="BQ355" s="67">
        <f>IFERROR(IF(($BH355)&gt;0,($BK355)/($BH355),""),"")</f>
        <v/>
      </c>
      <c r="BR355" s="67">
        <f>IFERROR(IF(($BI355)&gt;0,($BL355)/($BI355),""),"")</f>
        <v/>
      </c>
      <c r="BS355" s="67">
        <f>IFERROR(IF(($BJ355)&gt;0,($BM355)/($BJ355),""),"")</f>
        <v/>
      </c>
      <c r="BT355" s="67">
        <f>IFERROR(IF(($BK355)&gt;0,($BN355)/($BK355),""),"")</f>
        <v/>
      </c>
      <c r="BU355" s="67">
        <f>IFERROR(IF(($BL355)&gt;0,($BO355)/($BL355),""),"")</f>
        <v/>
      </c>
      <c r="BV355" s="67">
        <f>IFERROR(IF(($BM355)&gt;0,($BP355)/($BM355),""),"")</f>
        <v/>
      </c>
      <c r="BW355" s="55">
        <f>SUMIFS(tblPlant[Crushed_t],tblPlant[Date],$A355)</f>
        <v/>
      </c>
      <c r="BX355" s="55">
        <f>IF($B355=$B354,$BX354,0)+$BW355</f>
        <v/>
      </c>
      <c r="BY355" s="55">
        <f>$BY354+$BW355</f>
        <v/>
      </c>
      <c r="BZ355" s="55">
        <f>SUMIFS(tblPlant[Milled_t],tblPlant[Date],$A355)</f>
        <v/>
      </c>
      <c r="CA355" s="55">
        <f>IF($B355=$B354,$CA354,0)+$BZ355</f>
        <v/>
      </c>
      <c r="CB355" s="55">
        <f>$CB354+$BZ355</f>
        <v/>
      </c>
      <c r="CC355" s="55">
        <f>SUMIFS(tblPlant[Feed_oz],tblPlant[Date],$A355)</f>
        <v/>
      </c>
      <c r="CD355" s="55">
        <f>IF($B355=$B354,$CD354,0)+$CC355</f>
        <v/>
      </c>
      <c r="CE355" s="55">
        <f>$CE354+$CC355</f>
        <v/>
      </c>
      <c r="CF355" s="55">
        <f>SUMIFS(tblPlant[Tails_oz],tblPlant[Date],$A355)</f>
        <v/>
      </c>
      <c r="CG355" s="55">
        <f>IF($B355=$B354,$CG354,0)+$CF355</f>
        <v/>
      </c>
      <c r="CH355" s="55">
        <f>$CH354+$CF355</f>
        <v/>
      </c>
      <c r="CI355" s="55">
        <f>SUMIFS(tblPlant[Recovered_oz],tblPlant[Date],$A355)</f>
        <v/>
      </c>
      <c r="CJ355" s="55">
        <f>IF($B355=$B354,$CJ354,0)+$CI355</f>
        <v/>
      </c>
      <c r="CK355" s="55">
        <f>$CK354+$CI355</f>
        <v/>
      </c>
      <c r="CL355" s="56">
        <f>IFERROR(IF(($BZ355)&gt;0,($CC355*cfg_TroyOz)/($BZ355),""),"")</f>
        <v/>
      </c>
      <c r="CM355" s="56">
        <f>IFERROR(IF(($CA355)&gt;0,($CD355*cfg_TroyOz)/($CA355),""),"")</f>
        <v/>
      </c>
      <c r="CN355" s="56">
        <f>IFERROR(IF(($CB355)&gt;0,($CE355*cfg_TroyOz)/($CB355),""),"")</f>
        <v/>
      </c>
      <c r="CO355" s="56">
        <f>IFERROR(IF(($BZ355)&gt;0,($CF355*cfg_TroyOz)/($BZ355),""),"")</f>
        <v/>
      </c>
      <c r="CP355" s="56">
        <f>IFERROR(IF(($CA355)&gt;0,($CG355*cfg_TroyOz)/($CA355),""),"")</f>
        <v/>
      </c>
      <c r="CQ355" s="56">
        <f>IFERROR(IF(($CB355)&gt;0,($CH355*cfg_TroyOz)/($CB355),""),"")</f>
        <v/>
      </c>
      <c r="CR355" s="67">
        <f>IFERROR(IF(($CC355)&gt;0,($CI355)/($CC355),""),"")</f>
        <v/>
      </c>
      <c r="CS355" s="67">
        <f>IFERROR(IF(($CD355)&gt;0,($CJ355)/($CD355),""),"")</f>
        <v/>
      </c>
      <c r="CT355" s="67">
        <f>IFERROR(IF(($CE355)&gt;0,($CK355)/($CE355),""),"")</f>
        <v/>
      </c>
      <c r="CU355" s="55">
        <f>SUMIFS(tblPlant[Gravity_Gold_oz],tblPlant[Date],$A355)</f>
        <v/>
      </c>
      <c r="CV355" s="55">
        <f>IF($B355=$B354,$CV354,0)+$CU355</f>
        <v/>
      </c>
      <c r="CW355" s="55">
        <f>$CW354+$CU355</f>
        <v/>
      </c>
      <c r="CX355" s="55">
        <f>SUMIFS(tblPlant[Gold_Poured_oz],tblPlant[Date],$A355)</f>
        <v/>
      </c>
      <c r="CY355" s="55">
        <f>IF($B355=$B354,$CY354,0)+$CX355</f>
        <v/>
      </c>
      <c r="CZ355" s="55">
        <f>$CZ354+$CX355</f>
        <v/>
      </c>
      <c r="DA355" s="57">
        <f>SUMIFS(tblPlant[Mill_Run_h],tblPlant[Date],$A355)</f>
        <v/>
      </c>
      <c r="DB355" s="57">
        <f>IF($B355=$B354,$DB354,0)+$DA355</f>
        <v/>
      </c>
      <c r="DC355" s="57">
        <f>$DC354+$DA355</f>
        <v/>
      </c>
      <c r="DD355" s="57">
        <f>SUMIFS(tblPlant[Mill_Planned_Maint_h],tblPlant[Date],$A355)</f>
        <v/>
      </c>
      <c r="DE355" s="57">
        <f>IF($B355=$B354,$DE354,0)+$DD355</f>
        <v/>
      </c>
      <c r="DF355" s="57">
        <f>$DF354+$DD355</f>
        <v/>
      </c>
      <c r="DG355" s="57">
        <f>SUMIFS(tblPlant[Mill_Unplanned_Down_h],tblPlant[Date],$A355)</f>
        <v/>
      </c>
      <c r="DH355" s="57">
        <f>IF($B355=$B354,$DH354,0)+$DG355</f>
        <v/>
      </c>
      <c r="DI355" s="57">
        <f>$DI354+$DG355</f>
        <v/>
      </c>
      <c r="DJ355" s="57">
        <f>COUNTIFS(tblPlant[Date],$A355,tblPlant[Mill_Run_h],"&lt;&gt;")*24</f>
        <v/>
      </c>
      <c r="DK355" s="57">
        <f>IF($B355=$B354,$DK354,0)+$DJ355</f>
        <v/>
      </c>
      <c r="DL355" s="57">
        <f>$DL354+$DJ355</f>
        <v/>
      </c>
      <c r="DM355" s="57">
        <f>SUMIFS(tblPlant[Crusher_Run_h],tblPlant[Date],$A355)</f>
        <v/>
      </c>
      <c r="DN355" s="57">
        <f>IF($B355=$B354,$DN354,0)+$DM355</f>
        <v/>
      </c>
      <c r="DO355" s="57">
        <f>$DO354+$DM355</f>
        <v/>
      </c>
      <c r="DP355" s="55">
        <f>IFERROR(IF(($DA355)&gt;0,($BZ355)/($DA355),""),"")</f>
        <v/>
      </c>
      <c r="DQ355" s="55">
        <f>IFERROR(IF(($DB355)&gt;0,($CA355)/($DB355),""),"")</f>
        <v/>
      </c>
      <c r="DR355" s="55">
        <f>IFERROR(IF(($DC355)&gt;0,($CB355)/($DC355),""),"")</f>
        <v/>
      </c>
      <c r="DS355" s="67">
        <f>IFERROR(IF(($DJ355)&gt;0,($DJ355-$DD355-$DG355)/($DJ355),""),"")</f>
        <v/>
      </c>
      <c r="DT355" s="67">
        <f>IFERROR(IF(($DK355)&gt;0,($DK355-$DE355-$DH355)/($DK355),""),"")</f>
        <v/>
      </c>
      <c r="DU355" s="67">
        <f>IFERROR(IF(($DL355)&gt;0,($DL355-$DF355-$DI355)/($DL355),""),"")</f>
        <v/>
      </c>
      <c r="DV355" s="67">
        <f>IFERROR(IF(($DJ355-$DD355-$DG355)&gt;0,($DA355)/($DJ355-$DD355-$DG355),""),"")</f>
        <v/>
      </c>
      <c r="DW355" s="67">
        <f>IFERROR(IF(($DK355-$DE355-$DH355)&gt;0,($DB355)/($DK355-$DE355-$DH355),""),"")</f>
        <v/>
      </c>
      <c r="DX355" s="67">
        <f>IFERROR(IF(($DL355-$DF355-$DI355)&gt;0,($DC355)/($DL355-$DF355-$DI355),""),"")</f>
        <v/>
      </c>
      <c r="DY355" s="55">
        <f>SUMIFS(tblPlant[Cyanide_kg],tblPlant[Date],$A355)</f>
        <v/>
      </c>
      <c r="DZ355" s="55">
        <f>IF($B355=$B354,$DZ354,0)+$DY355</f>
        <v/>
      </c>
      <c r="EA355" s="55">
        <f>$EA354+$DY355</f>
        <v/>
      </c>
      <c r="EB355" s="55">
        <f>SUMIFS(tblPlant[Lime_kg],tblPlant[Date],$A355)</f>
        <v/>
      </c>
      <c r="EC355" s="55">
        <f>IF($B355=$B354,$EC354,0)+$EB355</f>
        <v/>
      </c>
      <c r="ED355" s="55">
        <f>$ED354+$EB355</f>
        <v/>
      </c>
      <c r="EE355" s="55">
        <f>SUMIFS(tblPlant[Grinding_Media_kg],tblPlant[Date],$A355)</f>
        <v/>
      </c>
      <c r="EF355" s="55">
        <f>IF($B355=$B354,$EF354,0)+$EE355</f>
        <v/>
      </c>
      <c r="EG355" s="55">
        <f>$EG354+$EE355</f>
        <v/>
      </c>
      <c r="EH355" s="55">
        <f>SUMIFS(tblPlant[Power_kWh],tblPlant[Date],$A355)</f>
        <v/>
      </c>
      <c r="EI355" s="55">
        <f>IF($B355=$B354,$EI354,0)+$EH355</f>
        <v/>
      </c>
      <c r="EJ355" s="55">
        <f>$EJ354+$EH355</f>
        <v/>
      </c>
      <c r="EK355" s="55">
        <f>SUMIFS(tblPlant[Raw_Water_m3],tblPlant[Date],$A355)</f>
        <v/>
      </c>
      <c r="EL355" s="55">
        <f>IF($B355=$B354,$EL354,0)+$EK355</f>
        <v/>
      </c>
      <c r="EM355" s="55">
        <f>$EM354+$EK355</f>
        <v/>
      </c>
      <c r="EN355" s="56">
        <f>IFERROR(IF(($BZ355)&gt;0,($DY355)/($BZ355),""),"")</f>
        <v/>
      </c>
      <c r="EO355" s="56">
        <f>IFERROR(IF(($CA355)&gt;0,($DZ355)/($CA355),""),"")</f>
        <v/>
      </c>
      <c r="EP355" s="56">
        <f>IFERROR(IF(($CB355)&gt;0,($EA355)/($CB355),""),"")</f>
        <v/>
      </c>
      <c r="EQ355" s="56">
        <f>IFERROR(IF(($BZ355)&gt;0,($EB355)/($BZ355),""),"")</f>
        <v/>
      </c>
      <c r="ER355" s="56">
        <f>IFERROR(IF(($CA355)&gt;0,($EC355)/($CA355),""),"")</f>
        <v/>
      </c>
      <c r="ES355" s="56">
        <f>IFERROR(IF(($CB355)&gt;0,($ED355)/($CB355),""),"")</f>
        <v/>
      </c>
      <c r="ET355" s="56">
        <f>IFERROR(IF(($BZ355)&gt;0,($EE355)/($BZ355),""),"")</f>
        <v/>
      </c>
      <c r="EU355" s="56">
        <f>IFERROR(IF(($CA355)&gt;0,($EF355)/($CA355),""),"")</f>
        <v/>
      </c>
      <c r="EV355" s="56">
        <f>IFERROR(IF(($CB355)&gt;0,($EG355)/($CB355),""),"")</f>
        <v/>
      </c>
      <c r="EW355" s="76">
        <f>IFERROR(IF(($BZ355)&gt;0,($EH355)/($BZ355),""),"")</f>
        <v/>
      </c>
      <c r="EX355" s="76">
        <f>IFERROR(IF(($CA355)&gt;0,($EI355)/($CA355),""),"")</f>
        <v/>
      </c>
      <c r="EY355" s="76">
        <f>IFERROR(IF(($CB355)&gt;0,($EJ355)/($CB355),""),"")</f>
        <v/>
      </c>
      <c r="EZ355" s="56">
        <f>IFERROR(IF(($BZ355)&gt;0,($EK355)/($BZ355),""),"")</f>
        <v/>
      </c>
      <c r="FA355" s="56">
        <f>IFERROR(IF(($CA355)&gt;0,($EL355)/($CA355),""),"")</f>
        <v/>
      </c>
      <c r="FB355" s="56">
        <f>IFERROR(IF(($CB355)&gt;0,($EM355)/($CB355),""),"")</f>
        <v/>
      </c>
      <c r="FC355" s="55">
        <f>IF(SUMIFS(tblPlant[GIC_oz],tblPlant[Date],$A355)&gt;0,SUMIFS(tblPlant[GIC_oz],tblPlant[Date],$A355),"")</f>
        <v/>
      </c>
      <c r="FD355" s="55">
        <f>SUMIFS(tblGold[Gold_oz],tblGold[Date],$A355,tblGold[Type],"Shipment")</f>
        <v/>
      </c>
      <c r="FE355" s="55">
        <f>IF($B355=$B354,$FE354,0)+$FD355</f>
        <v/>
      </c>
      <c r="FF355" s="55">
        <f>$FF354+$FD355</f>
        <v/>
      </c>
      <c r="FG355" s="55">
        <f>SUMIFS(tblGold[Gold_oz],tblGold[Date],$A355,tblGold[Type],"Sale")</f>
        <v/>
      </c>
      <c r="FH355" s="55">
        <f>IF($B355=$B354,$FH354,0)+$FG355</f>
        <v/>
      </c>
      <c r="FI355" s="55">
        <f>$FI354+$FG355</f>
        <v/>
      </c>
      <c r="FJ355" s="55">
        <f>SUMIFS(tblGold[Dore_kg],tblGold[Date],$A355,tblGold[Type],"Shipment")</f>
        <v/>
      </c>
      <c r="FK355" s="55">
        <f>IF($B355=$B354,$FK354,0)+$FJ355</f>
        <v/>
      </c>
      <c r="FL355" s="55">
        <f>$FL354+$FJ355</f>
        <v/>
      </c>
      <c r="FM355" s="57">
        <f>SUMIFS(tblSafety[Hours_Total],tblSafety[Date],$A355)</f>
        <v/>
      </c>
      <c r="FN355" s="57">
        <f>IF($B355=$B354,$FN354,0)+$FM355</f>
        <v/>
      </c>
      <c r="FO355" s="57">
        <f>$FO354+$FM355</f>
        <v/>
      </c>
      <c r="FP355" s="62">
        <f>SUMIFS(tblSafety[Fatality],tblSafety[Date],$A355)</f>
        <v/>
      </c>
      <c r="FQ355" s="62">
        <f>IF($B355=$B354,$FQ354,0)+$FP355</f>
        <v/>
      </c>
      <c r="FR355" s="62">
        <f>$FR354+$FP355</f>
        <v/>
      </c>
      <c r="FS355" s="62">
        <f>SUMIFS(tblSafety[LTI],tblSafety[Date],$A355)</f>
        <v/>
      </c>
      <c r="FT355" s="62">
        <f>IF($B355=$B354,$FT354,0)+$FS355</f>
        <v/>
      </c>
      <c r="FU355" s="62">
        <f>$FU354+$FS355</f>
        <v/>
      </c>
      <c r="FV355" s="62">
        <f>SUMIFS(tblSafety[RWI],tblSafety[Date],$A355)</f>
        <v/>
      </c>
      <c r="FW355" s="62">
        <f>IF($B355=$B354,$FW354,0)+$FV355</f>
        <v/>
      </c>
      <c r="FX355" s="62">
        <f>$FX354+$FV355</f>
        <v/>
      </c>
      <c r="FY355" s="62">
        <f>SUMIFS(tblSafety[MTI],tblSafety[Date],$A355)</f>
        <v/>
      </c>
      <c r="FZ355" s="62">
        <f>IF($B355=$B354,$FZ354,0)+$FY355</f>
        <v/>
      </c>
      <c r="GA355" s="62">
        <f>$GA354+$FY355</f>
        <v/>
      </c>
      <c r="GB355" s="62">
        <f>SUMIFS(tblSafety[FAI],tblSafety[Date],$A355)</f>
        <v/>
      </c>
      <c r="GC355" s="62">
        <f>IF($B355=$B354,$GC354,0)+$GB355</f>
        <v/>
      </c>
      <c r="GD355" s="62">
        <f>$GD354+$GB355</f>
        <v/>
      </c>
      <c r="GE355" s="62">
        <f>SUMIFS(tblSafety[Recordables],tblSafety[Date],$A355)</f>
        <v/>
      </c>
      <c r="GF355" s="62">
        <f>IF($B355=$B354,$GF354,0)+$GE355</f>
        <v/>
      </c>
      <c r="GG355" s="62">
        <f>$GG354+$GE355</f>
        <v/>
      </c>
      <c r="GH355" s="62">
        <f>SUMIFS(tblSafety[Near_Miss],tblSafety[Date],$A355)</f>
        <v/>
      </c>
      <c r="GI355" s="62">
        <f>IF($B355=$B354,$GI354,0)+$GH355</f>
        <v/>
      </c>
      <c r="GJ355" s="62">
        <f>$GJ354+$GH355</f>
        <v/>
      </c>
      <c r="GK355" s="62">
        <f>SUMIFS(tblSafety[Hazard_Reports],tblSafety[Date],$A355)</f>
        <v/>
      </c>
      <c r="GL355" s="62">
        <f>IF($B355=$B354,$GL354,0)+$GK355</f>
        <v/>
      </c>
      <c r="GM355" s="62">
        <f>$GM354+$GK355</f>
        <v/>
      </c>
      <c r="GN355" s="62">
        <f>SUMIFS(tblSafety[HPI],tblSafety[Date],$A355)</f>
        <v/>
      </c>
      <c r="GO355" s="62">
        <f>IF($B355=$B354,$GO354,0)+$GN355</f>
        <v/>
      </c>
      <c r="GP355" s="62">
        <f>$GP354+$GN355</f>
        <v/>
      </c>
      <c r="GQ355" s="62">
        <f>SUMIFS(tblSafety[Env_Incidents],tblSafety[Date],$A355)</f>
        <v/>
      </c>
      <c r="GR355" s="62">
        <f>IF($B355=$B354,$GR354,0)+$GQ355</f>
        <v/>
      </c>
      <c r="GS355" s="62">
        <f>$GS354+$GQ355</f>
        <v/>
      </c>
      <c r="GT355" s="62">
        <f>SUMIFS(tblSafety[Community_Incidents],tblSafety[Date],$A355)</f>
        <v/>
      </c>
      <c r="GU355" s="62">
        <f>IF($B355=$B354,$GU354,0)+$GT355</f>
        <v/>
      </c>
      <c r="GV355" s="62">
        <f>$GV354+$GT355</f>
        <v/>
      </c>
      <c r="GW355" s="62">
        <f>SUMIFS(tblSafety[Vehicle_Incidents],tblSafety[Date],$A355)</f>
        <v/>
      </c>
      <c r="GX355" s="62">
        <f>IF($B355=$B354,$GX354,0)+$GW355</f>
        <v/>
      </c>
      <c r="GY355" s="62">
        <f>$GY354+$GW355</f>
        <v/>
      </c>
      <c r="GZ355" s="62">
        <f>SUMIFS(tblSafety[Toolbox_Talks],tblSafety[Date],$A355)</f>
        <v/>
      </c>
      <c r="HA355" s="62">
        <f>IF($B355=$B354,$HA354,0)+$GZ355</f>
        <v/>
      </c>
      <c r="HB355" s="62">
        <f>$HB354+$GZ355</f>
        <v/>
      </c>
      <c r="HC355" s="62">
        <f>SUMIFS(tblSafety[Inspections],tblSafety[Date],$A355)</f>
        <v/>
      </c>
      <c r="HD355" s="62">
        <f>IF($B355=$B354,$HD354,0)+$HC355</f>
        <v/>
      </c>
      <c r="HE355" s="62">
        <f>$HE354+$HC355</f>
        <v/>
      </c>
      <c r="HF355" s="56">
        <f>IFERROR((SUMIFS(tblSafety[Recordables],tblSafety[Date],"&gt;="&amp;EDATE($E355,-12),tblSafety[Date],"&lt;="&amp;$A355)+SUMIFS(tblSafetyHistory[Recordables],tblSafetyHistory[Month],"&gt;="&amp;EDATE($E355,-12),tblSafetyHistory[Month],"&lt;"&amp;cfg_YearStart))/(SUMIFS(tblSafety[Hours_Total],tblSafety[Date],"&gt;="&amp;EDATE($E355,-12),tblSafety[Date],"&lt;="&amp;$A355)+SUMIFS(tblSafetyHistory[Hours_Total],tblSafetyHistory[Month],"&gt;="&amp;EDATE($E355,-12),tblSafetyHistory[Month],"&lt;"&amp;cfg_YearStart))*1000000,"")</f>
        <v/>
      </c>
      <c r="HG355" s="56">
        <f>IFERROR((SUMIFS(tblSafety[LTI],tblSafety[Date],"&gt;="&amp;EDATE($E355,-12),tblSafety[Date],"&lt;="&amp;$A355)+SUMIFS(tblSafetyHistory[LTI],tblSafetyHistory[Month],"&gt;="&amp;EDATE($E355,-12),tblSafetyHistory[Month],"&lt;"&amp;cfg_YearStart))/(SUMIFS(tblSafety[Hours_Total],tblSafety[Date],"&gt;="&amp;EDATE($E355,-12),tblSafety[Date],"&lt;="&amp;$A355)+SUMIFS(tblSafetyHistory[Hours_Total],tblSafetyHistory[Month],"&gt;="&amp;EDATE($E355,-12),tblSafetyHistory[Month],"&lt;"&amp;cfg_YearStart))*1000000,"")</f>
        <v/>
      </c>
      <c r="HH355" s="62">
        <f>IF(MAX(N(cfg_PriorLTIDate),_xlfn.MAXIFS(tblSafety[Date],tblSafety[LTI],"&gt;0",tblSafety[Date],"&lt;="&amp;$A355))=0,"",$A355-MAX(N(cfg_PriorLTIDate),_xlfn.MAXIFS(tblSafety[Date],tblSafety[LTI],"&gt;0",tblSafety[Date],"&lt;="&amp;$A355)))</f>
        <v/>
      </c>
      <c r="HI355" s="55">
        <f>SUMIFS(tblBudget[Ore_Mined_t],tblBudget[Month],$E355)</f>
        <v/>
      </c>
      <c r="HJ355" s="55">
        <f>$HI355*$C355/$D355</f>
        <v/>
      </c>
      <c r="HK355" s="55">
        <f>SUMIFS(tblBudget[Ore_Mined_t],tblBudget[Month],"&lt;"&amp;$E355)+$HJ355</f>
        <v/>
      </c>
      <c r="HL355" s="55">
        <f>SUMIFS(tblBudget[Ore_oz],tblBudget[Month],$E355)</f>
        <v/>
      </c>
      <c r="HM355" s="55">
        <f>$HL355*$C355/$D355</f>
        <v/>
      </c>
      <c r="HN355" s="55">
        <f>SUMIFS(tblBudget[Ore_oz],tblBudget[Month],"&lt;"&amp;$E355)+$HM355</f>
        <v/>
      </c>
      <c r="HO355" s="56">
        <f>IFERROR(IF(($HI355)&gt;0,($HL355*cfg_TroyOz)/($HI355),""),"")</f>
        <v/>
      </c>
      <c r="HP355" s="56">
        <f>IFERROR(IF(($HJ355)&gt;0,($HM355*cfg_TroyOz)/($HJ355),""),"")</f>
        <v/>
      </c>
      <c r="HQ355" s="56">
        <f>IFERROR(IF(($HK355)&gt;0,($HN355*cfg_TroyOz)/($HK355),""),"")</f>
        <v/>
      </c>
      <c r="HR355" s="55">
        <f>SUMIFS(tblBudget[Waste_t],tblBudget[Month],$E355)</f>
        <v/>
      </c>
      <c r="HS355" s="55">
        <f>$HR355*$C355/$D355</f>
        <v/>
      </c>
      <c r="HT355" s="55">
        <f>SUMIFS(tblBudget[Waste_t],tblBudget[Month],"&lt;"&amp;$E355)+$HS355</f>
        <v/>
      </c>
      <c r="HU355" s="55">
        <f>SUMIFS(tblBudget[TMM_t],tblBudget[Month],$E355)</f>
        <v/>
      </c>
      <c r="HV355" s="55">
        <f>$HU355*$C355/$D355</f>
        <v/>
      </c>
      <c r="HW355" s="55">
        <f>SUMIFS(tblBudget[TMM_t],tblBudget[Month],"&lt;"&amp;$E355)+$HV355</f>
        <v/>
      </c>
      <c r="HX355" s="56">
        <f>IFERROR(IF(($HI355)&gt;0,($HR355)/($HI355),""),"")</f>
        <v/>
      </c>
      <c r="HY355" s="56">
        <f>IFERROR(IF(($HJ355)&gt;0,($HS355)/($HJ355),""),"")</f>
        <v/>
      </c>
      <c r="HZ355" s="56">
        <f>IFERROR(IF(($HK355)&gt;0,($HT355)/($HK355),""),"")</f>
        <v/>
      </c>
      <c r="IA355" s="55">
        <f>SUMIFS(tblBudget[Drill_m],tblBudget[Month],$E355)</f>
        <v/>
      </c>
      <c r="IB355" s="55">
        <f>$IA355*$C355/$D355</f>
        <v/>
      </c>
      <c r="IC355" s="55">
        <f>SUMIFS(tblBudget[Drill_m],tblBudget[Month],"&lt;"&amp;$E355)+$IB355</f>
        <v/>
      </c>
      <c r="ID355" s="55">
        <f>SUMIFS(tblBudget[Diesel_L],tblBudget[Month],$E355)</f>
        <v/>
      </c>
      <c r="IE355" s="55">
        <f>$ID355*$C355/$D355</f>
        <v/>
      </c>
      <c r="IF355" s="55">
        <f>SUMIFS(tblBudget[Diesel_L],tblBudget[Month],"&lt;"&amp;$E355)+$IE355</f>
        <v/>
      </c>
      <c r="IG355" s="55">
        <f>SUMIFS(tblBudget[Milled_t],tblBudget[Month],$E355)</f>
        <v/>
      </c>
      <c r="IH355" s="55">
        <f>$IG355*$C355/$D355</f>
        <v/>
      </c>
      <c r="II355" s="55">
        <f>SUMIFS(tblBudget[Milled_t],tblBudget[Month],"&lt;"&amp;$E355)+$IH355</f>
        <v/>
      </c>
      <c r="IJ355" s="55">
        <f>SUMIFS(tblBudget[Feed_oz],tblBudget[Month],$E355)</f>
        <v/>
      </c>
      <c r="IK355" s="55">
        <f>$IJ355*$C355/$D355</f>
        <v/>
      </c>
      <c r="IL355" s="55">
        <f>SUMIFS(tblBudget[Feed_oz],tblBudget[Month],"&lt;"&amp;$E355)+$IK355</f>
        <v/>
      </c>
      <c r="IM355" s="55">
        <f>SUMIFS(tblBudget[Recovered_oz],tblBudget[Month],$E355)</f>
        <v/>
      </c>
      <c r="IN355" s="55">
        <f>$IM355*$C355/$D355</f>
        <v/>
      </c>
      <c r="IO355" s="55">
        <f>SUMIFS(tblBudget[Recovered_oz],tblBudget[Month],"&lt;"&amp;$E355)+$IN355</f>
        <v/>
      </c>
      <c r="IP355" s="56">
        <f>IFERROR(IF(($IG355)&gt;0,($IJ355*cfg_TroyOz)/($IG355),""),"")</f>
        <v/>
      </c>
      <c r="IQ355" s="56">
        <f>IFERROR(IF(($IH355)&gt;0,($IK355*cfg_TroyOz)/($IH355),""),"")</f>
        <v/>
      </c>
      <c r="IR355" s="56">
        <f>IFERROR(IF(($II355)&gt;0,($IL355*cfg_TroyOz)/($II355),""),"")</f>
        <v/>
      </c>
      <c r="IS355" s="67">
        <f>IFERROR(IF(($IJ355)&gt;0,($IM355)/($IJ355),""),"")</f>
        <v/>
      </c>
      <c r="IT355" s="67">
        <f>IFERROR(IF(($IK355)&gt;0,($IN355)/($IK355),""),"")</f>
        <v/>
      </c>
      <c r="IU355" s="67">
        <f>IFERROR(IF(($IL355)&gt;0,($IO355)/($IL355),""),"")</f>
        <v/>
      </c>
      <c r="IV355" s="55">
        <f>SUMIFS(tblBudget[Gold_Poured_oz],tblBudget[Month],$E355)</f>
        <v/>
      </c>
      <c r="IW355" s="55">
        <f>$IV355*$C355/$D355</f>
        <v/>
      </c>
      <c r="IX355" s="55">
        <f>SUMIFS(tblBudget[Gold_Poured_oz],tblBudget[Month],"&lt;"&amp;$E355)+$IW355</f>
        <v/>
      </c>
      <c r="IY355" s="57">
        <f>SUMIFS(tblBudget[Hours_Worked],tblBudget[Month],$E355)</f>
        <v/>
      </c>
      <c r="IZ355" s="57">
        <f>$IY355*$C355/$D355</f>
        <v/>
      </c>
      <c r="JA355" s="57">
        <f>SUMIFS(tblBudget[Hours_Worked],tblBudget[Month],"&lt;"&amp;$E355)+$IZ355</f>
        <v/>
      </c>
    </row>
    <row r="356">
      <c r="A356" s="54" t="n">
        <v>46377</v>
      </c>
      <c r="B356">
        <f>MONTH($A356)</f>
        <v/>
      </c>
      <c r="C356">
        <f>DAY($A356)</f>
        <v/>
      </c>
      <c r="D356">
        <f>DAY(EOMONTH($A356,0))</f>
        <v/>
      </c>
      <c r="E356" s="54">
        <f>DATE(YEAR($A356),MONTH($A356),1)</f>
        <v/>
      </c>
      <c r="F356" s="55">
        <f>SUMIFS(tblMovement[Tonnes_t],tblMovement[Date],$A356,tblMovement[Is_Ore],1,tblMovement[Source_Type],"Pit")</f>
        <v/>
      </c>
      <c r="G356" s="55">
        <f>IF($B356=$B355,$G355,0)+$F356</f>
        <v/>
      </c>
      <c r="H356" s="55">
        <f>$H355+$F356</f>
        <v/>
      </c>
      <c r="I356" s="55">
        <f>SUMIFS(tblMovement[Ore_oz],tblMovement[Date],$A356,tblMovement[Source_Type],"Pit")</f>
        <v/>
      </c>
      <c r="J356" s="55">
        <f>IF($B356=$B355,$J355,0)+$I356</f>
        <v/>
      </c>
      <c r="K356" s="55">
        <f>$K355+$I356</f>
        <v/>
      </c>
      <c r="L356" s="56">
        <f>IFERROR(IF(($F356)&gt;0,($I356*cfg_TroyOz)/($F356),""),"")</f>
        <v/>
      </c>
      <c r="M356" s="56">
        <f>IFERROR(IF(($G356)&gt;0,($J356*cfg_TroyOz)/($G356),""),"")</f>
        <v/>
      </c>
      <c r="N356" s="56">
        <f>IFERROR(IF(($H356)&gt;0,($K356*cfg_TroyOz)/($H356),""),"")</f>
        <v/>
      </c>
      <c r="O356" s="55">
        <f>SUMIFS(tblMovement[Tonnes_t],tblMovement[Date],$A356,tblMovement[Is_Ore],0,tblMovement[Source_Type],"Pit")</f>
        <v/>
      </c>
      <c r="P356" s="55">
        <f>IF($B356=$B355,$P355,0)+$O356</f>
        <v/>
      </c>
      <c r="Q356" s="55">
        <f>$Q355+$O356</f>
        <v/>
      </c>
      <c r="R356" s="55">
        <f>$F356+$O356</f>
        <v/>
      </c>
      <c r="S356" s="55">
        <f>IF($B356=$B355,$S355,0)+$R356</f>
        <v/>
      </c>
      <c r="T356" s="55">
        <f>$T355+$R356</f>
        <v/>
      </c>
      <c r="U356" s="56">
        <f>IFERROR(IF(($F356)&gt;0,($O356)/($F356),""),"")</f>
        <v/>
      </c>
      <c r="V356" s="56">
        <f>IFERROR(IF(($G356)&gt;0,($P356)/($G356),""),"")</f>
        <v/>
      </c>
      <c r="W356" s="56">
        <f>IFERROR(IF(($H356)&gt;0,($Q356)/($H356),""),"")</f>
        <v/>
      </c>
      <c r="X356" s="55">
        <f>SUMIFS(tblMovement[Tonnes_t],tblMovement[Date],$A356,tblMovement[Source_Type],"Stockpile")</f>
        <v/>
      </c>
      <c r="Y356" s="55">
        <f>IF($B356=$B355,$Y355,0)+$X356</f>
        <v/>
      </c>
      <c r="Z356" s="55">
        <f>$Z355+$X356</f>
        <v/>
      </c>
      <c r="AA356" s="55">
        <f>SUMIFS(tblMiningDaily[Drill_m],tblMiningDaily[Date],$A356)</f>
        <v/>
      </c>
      <c r="AB356" s="55">
        <f>IF($B356=$B355,$AB355,0)+$AA356</f>
        <v/>
      </c>
      <c r="AC356" s="55">
        <f>$AC355+$AA356</f>
        <v/>
      </c>
      <c r="AD356" s="55">
        <f>SUMIFS(tblMiningDaily[Blast_t],tblMiningDaily[Date],$A356)</f>
        <v/>
      </c>
      <c r="AE356" s="55">
        <f>IF($B356=$B355,$AE355,0)+$AD356</f>
        <v/>
      </c>
      <c r="AF356" s="55">
        <f>$AF355+$AD356</f>
        <v/>
      </c>
      <c r="AG356" s="55">
        <f>SUMIFS(tblMiningDaily[Explosives_kg],tblMiningDaily[Date],$A356)</f>
        <v/>
      </c>
      <c r="AH356" s="55">
        <f>IF($B356=$B355,$AH355,0)+$AG356</f>
        <v/>
      </c>
      <c r="AI356" s="55">
        <f>$AI355+$AG356</f>
        <v/>
      </c>
      <c r="AJ356" s="56">
        <f>IFERROR(IF(($AD356)&gt;0,($AG356)/($AD356),""),"")</f>
        <v/>
      </c>
      <c r="AK356" s="56">
        <f>IFERROR(IF(($AE356)&gt;0,($AH356)/($AE356),""),"")</f>
        <v/>
      </c>
      <c r="AL356" s="56">
        <f>IFERROR(IF(($AF356)&gt;0,($AI356)/($AF356),""),"")</f>
        <v/>
      </c>
      <c r="AM356" s="55">
        <f>SUMIFS(tblMiningDaily[Diesel_L],tblMiningDaily[Date],$A356)</f>
        <v/>
      </c>
      <c r="AN356" s="55">
        <f>IF($B356=$B355,$AN355,0)+$AM356</f>
        <v/>
      </c>
      <c r="AO356" s="55">
        <f>$AO355+$AM356</f>
        <v/>
      </c>
      <c r="AP356" s="55">
        <f>SUMIFS(tblMiningDaily[Dewatering_m3],tblMiningDaily[Date],$A356)</f>
        <v/>
      </c>
      <c r="AQ356" s="55">
        <f>IF($B356=$B355,$AQ355,0)+$AP356</f>
        <v/>
      </c>
      <c r="AR356" s="55">
        <f>$AR355+$AP356</f>
        <v/>
      </c>
      <c r="AS356" s="57">
        <f>SUMIFS(tblFleet[Calendar_h],tblFleet[Date],$A356,tblFleet[Equipment_Class],"Excavator")</f>
        <v/>
      </c>
      <c r="AT356" s="57">
        <f>IF($B356=$B355,$AT355,0)+$AS356</f>
        <v/>
      </c>
      <c r="AU356" s="57">
        <f>$AU355+$AS356</f>
        <v/>
      </c>
      <c r="AV356" s="57">
        <f>SUMIFS(tblFleet[Available_h],tblFleet[Date],$A356,tblFleet[Equipment_Class],"Excavator")</f>
        <v/>
      </c>
      <c r="AW356" s="57">
        <f>IF($B356=$B355,$AW355,0)+$AV356</f>
        <v/>
      </c>
      <c r="AX356" s="57">
        <f>$AX355+$AV356</f>
        <v/>
      </c>
      <c r="AY356" s="57">
        <f>SUMIFS(tblFleet[Operating_h],tblFleet[Date],$A356,tblFleet[Equipment_Class],"Excavator")</f>
        <v/>
      </c>
      <c r="AZ356" s="57">
        <f>IF($B356=$B355,$AZ355,0)+$AY356</f>
        <v/>
      </c>
      <c r="BA356" s="57">
        <f>$BA355+$AY356</f>
        <v/>
      </c>
      <c r="BB356" s="67">
        <f>IFERROR(IF(($AS356)&gt;0,($AV356)/($AS356),""),"")</f>
        <v/>
      </c>
      <c r="BC356" s="67">
        <f>IFERROR(IF(($AT356)&gt;0,($AW356)/($AT356),""),"")</f>
        <v/>
      </c>
      <c r="BD356" s="67">
        <f>IFERROR(IF(($AU356)&gt;0,($AX356)/($AU356),""),"")</f>
        <v/>
      </c>
      <c r="BE356" s="67">
        <f>IFERROR(IF(($AV356)&gt;0,($AY356)/($AV356),""),"")</f>
        <v/>
      </c>
      <c r="BF356" s="67">
        <f>IFERROR(IF(($AW356)&gt;0,($AZ356)/($AW356),""),"")</f>
        <v/>
      </c>
      <c r="BG356" s="67">
        <f>IFERROR(IF(($AX356)&gt;0,($BA356)/($AX356),""),"")</f>
        <v/>
      </c>
      <c r="BH356" s="57">
        <f>SUMIFS(tblFleet[Calendar_h],tblFleet[Date],$A356,tblFleet[Equipment_Class],"Haul Truck")</f>
        <v/>
      </c>
      <c r="BI356" s="57">
        <f>IF($B356=$B355,$BI355,0)+$BH356</f>
        <v/>
      </c>
      <c r="BJ356" s="57">
        <f>$BJ355+$BH356</f>
        <v/>
      </c>
      <c r="BK356" s="57">
        <f>SUMIFS(tblFleet[Available_h],tblFleet[Date],$A356,tblFleet[Equipment_Class],"Haul Truck")</f>
        <v/>
      </c>
      <c r="BL356" s="57">
        <f>IF($B356=$B355,$BL355,0)+$BK356</f>
        <v/>
      </c>
      <c r="BM356" s="57">
        <f>$BM355+$BK356</f>
        <v/>
      </c>
      <c r="BN356" s="57">
        <f>SUMIFS(tblFleet[Operating_h],tblFleet[Date],$A356,tblFleet[Equipment_Class],"Haul Truck")</f>
        <v/>
      </c>
      <c r="BO356" s="57">
        <f>IF($B356=$B355,$BO355,0)+$BN356</f>
        <v/>
      </c>
      <c r="BP356" s="57">
        <f>$BP355+$BN356</f>
        <v/>
      </c>
      <c r="BQ356" s="67">
        <f>IFERROR(IF(($BH356)&gt;0,($BK356)/($BH356),""),"")</f>
        <v/>
      </c>
      <c r="BR356" s="67">
        <f>IFERROR(IF(($BI356)&gt;0,($BL356)/($BI356),""),"")</f>
        <v/>
      </c>
      <c r="BS356" s="67">
        <f>IFERROR(IF(($BJ356)&gt;0,($BM356)/($BJ356),""),"")</f>
        <v/>
      </c>
      <c r="BT356" s="67">
        <f>IFERROR(IF(($BK356)&gt;0,($BN356)/($BK356),""),"")</f>
        <v/>
      </c>
      <c r="BU356" s="67">
        <f>IFERROR(IF(($BL356)&gt;0,($BO356)/($BL356),""),"")</f>
        <v/>
      </c>
      <c r="BV356" s="67">
        <f>IFERROR(IF(($BM356)&gt;0,($BP356)/($BM356),""),"")</f>
        <v/>
      </c>
      <c r="BW356" s="55">
        <f>SUMIFS(tblPlant[Crushed_t],tblPlant[Date],$A356)</f>
        <v/>
      </c>
      <c r="BX356" s="55">
        <f>IF($B356=$B355,$BX355,0)+$BW356</f>
        <v/>
      </c>
      <c r="BY356" s="55">
        <f>$BY355+$BW356</f>
        <v/>
      </c>
      <c r="BZ356" s="55">
        <f>SUMIFS(tblPlant[Milled_t],tblPlant[Date],$A356)</f>
        <v/>
      </c>
      <c r="CA356" s="55">
        <f>IF($B356=$B355,$CA355,0)+$BZ356</f>
        <v/>
      </c>
      <c r="CB356" s="55">
        <f>$CB355+$BZ356</f>
        <v/>
      </c>
      <c r="CC356" s="55">
        <f>SUMIFS(tblPlant[Feed_oz],tblPlant[Date],$A356)</f>
        <v/>
      </c>
      <c r="CD356" s="55">
        <f>IF($B356=$B355,$CD355,0)+$CC356</f>
        <v/>
      </c>
      <c r="CE356" s="55">
        <f>$CE355+$CC356</f>
        <v/>
      </c>
      <c r="CF356" s="55">
        <f>SUMIFS(tblPlant[Tails_oz],tblPlant[Date],$A356)</f>
        <v/>
      </c>
      <c r="CG356" s="55">
        <f>IF($B356=$B355,$CG355,0)+$CF356</f>
        <v/>
      </c>
      <c r="CH356" s="55">
        <f>$CH355+$CF356</f>
        <v/>
      </c>
      <c r="CI356" s="55">
        <f>SUMIFS(tblPlant[Recovered_oz],tblPlant[Date],$A356)</f>
        <v/>
      </c>
      <c r="CJ356" s="55">
        <f>IF($B356=$B355,$CJ355,0)+$CI356</f>
        <v/>
      </c>
      <c r="CK356" s="55">
        <f>$CK355+$CI356</f>
        <v/>
      </c>
      <c r="CL356" s="56">
        <f>IFERROR(IF(($BZ356)&gt;0,($CC356*cfg_TroyOz)/($BZ356),""),"")</f>
        <v/>
      </c>
      <c r="CM356" s="56">
        <f>IFERROR(IF(($CA356)&gt;0,($CD356*cfg_TroyOz)/($CA356),""),"")</f>
        <v/>
      </c>
      <c r="CN356" s="56">
        <f>IFERROR(IF(($CB356)&gt;0,($CE356*cfg_TroyOz)/($CB356),""),"")</f>
        <v/>
      </c>
      <c r="CO356" s="56">
        <f>IFERROR(IF(($BZ356)&gt;0,($CF356*cfg_TroyOz)/($BZ356),""),"")</f>
        <v/>
      </c>
      <c r="CP356" s="56">
        <f>IFERROR(IF(($CA356)&gt;0,($CG356*cfg_TroyOz)/($CA356),""),"")</f>
        <v/>
      </c>
      <c r="CQ356" s="56">
        <f>IFERROR(IF(($CB356)&gt;0,($CH356*cfg_TroyOz)/($CB356),""),"")</f>
        <v/>
      </c>
      <c r="CR356" s="67">
        <f>IFERROR(IF(($CC356)&gt;0,($CI356)/($CC356),""),"")</f>
        <v/>
      </c>
      <c r="CS356" s="67">
        <f>IFERROR(IF(($CD356)&gt;0,($CJ356)/($CD356),""),"")</f>
        <v/>
      </c>
      <c r="CT356" s="67">
        <f>IFERROR(IF(($CE356)&gt;0,($CK356)/($CE356),""),"")</f>
        <v/>
      </c>
      <c r="CU356" s="55">
        <f>SUMIFS(tblPlant[Gravity_Gold_oz],tblPlant[Date],$A356)</f>
        <v/>
      </c>
      <c r="CV356" s="55">
        <f>IF($B356=$B355,$CV355,0)+$CU356</f>
        <v/>
      </c>
      <c r="CW356" s="55">
        <f>$CW355+$CU356</f>
        <v/>
      </c>
      <c r="CX356" s="55">
        <f>SUMIFS(tblPlant[Gold_Poured_oz],tblPlant[Date],$A356)</f>
        <v/>
      </c>
      <c r="CY356" s="55">
        <f>IF($B356=$B355,$CY355,0)+$CX356</f>
        <v/>
      </c>
      <c r="CZ356" s="55">
        <f>$CZ355+$CX356</f>
        <v/>
      </c>
      <c r="DA356" s="57">
        <f>SUMIFS(tblPlant[Mill_Run_h],tblPlant[Date],$A356)</f>
        <v/>
      </c>
      <c r="DB356" s="57">
        <f>IF($B356=$B355,$DB355,0)+$DA356</f>
        <v/>
      </c>
      <c r="DC356" s="57">
        <f>$DC355+$DA356</f>
        <v/>
      </c>
      <c r="DD356" s="57">
        <f>SUMIFS(tblPlant[Mill_Planned_Maint_h],tblPlant[Date],$A356)</f>
        <v/>
      </c>
      <c r="DE356" s="57">
        <f>IF($B356=$B355,$DE355,0)+$DD356</f>
        <v/>
      </c>
      <c r="DF356" s="57">
        <f>$DF355+$DD356</f>
        <v/>
      </c>
      <c r="DG356" s="57">
        <f>SUMIFS(tblPlant[Mill_Unplanned_Down_h],tblPlant[Date],$A356)</f>
        <v/>
      </c>
      <c r="DH356" s="57">
        <f>IF($B356=$B355,$DH355,0)+$DG356</f>
        <v/>
      </c>
      <c r="DI356" s="57">
        <f>$DI355+$DG356</f>
        <v/>
      </c>
      <c r="DJ356" s="57">
        <f>COUNTIFS(tblPlant[Date],$A356,tblPlant[Mill_Run_h],"&lt;&gt;")*24</f>
        <v/>
      </c>
      <c r="DK356" s="57">
        <f>IF($B356=$B355,$DK355,0)+$DJ356</f>
        <v/>
      </c>
      <c r="DL356" s="57">
        <f>$DL355+$DJ356</f>
        <v/>
      </c>
      <c r="DM356" s="57">
        <f>SUMIFS(tblPlant[Crusher_Run_h],tblPlant[Date],$A356)</f>
        <v/>
      </c>
      <c r="DN356" s="57">
        <f>IF($B356=$B355,$DN355,0)+$DM356</f>
        <v/>
      </c>
      <c r="DO356" s="57">
        <f>$DO355+$DM356</f>
        <v/>
      </c>
      <c r="DP356" s="55">
        <f>IFERROR(IF(($DA356)&gt;0,($BZ356)/($DA356),""),"")</f>
        <v/>
      </c>
      <c r="DQ356" s="55">
        <f>IFERROR(IF(($DB356)&gt;0,($CA356)/($DB356),""),"")</f>
        <v/>
      </c>
      <c r="DR356" s="55">
        <f>IFERROR(IF(($DC356)&gt;0,($CB356)/($DC356),""),"")</f>
        <v/>
      </c>
      <c r="DS356" s="67">
        <f>IFERROR(IF(($DJ356)&gt;0,($DJ356-$DD356-$DG356)/($DJ356),""),"")</f>
        <v/>
      </c>
      <c r="DT356" s="67">
        <f>IFERROR(IF(($DK356)&gt;0,($DK356-$DE356-$DH356)/($DK356),""),"")</f>
        <v/>
      </c>
      <c r="DU356" s="67">
        <f>IFERROR(IF(($DL356)&gt;0,($DL356-$DF356-$DI356)/($DL356),""),"")</f>
        <v/>
      </c>
      <c r="DV356" s="67">
        <f>IFERROR(IF(($DJ356-$DD356-$DG356)&gt;0,($DA356)/($DJ356-$DD356-$DG356),""),"")</f>
        <v/>
      </c>
      <c r="DW356" s="67">
        <f>IFERROR(IF(($DK356-$DE356-$DH356)&gt;0,($DB356)/($DK356-$DE356-$DH356),""),"")</f>
        <v/>
      </c>
      <c r="DX356" s="67">
        <f>IFERROR(IF(($DL356-$DF356-$DI356)&gt;0,($DC356)/($DL356-$DF356-$DI356),""),"")</f>
        <v/>
      </c>
      <c r="DY356" s="55">
        <f>SUMIFS(tblPlant[Cyanide_kg],tblPlant[Date],$A356)</f>
        <v/>
      </c>
      <c r="DZ356" s="55">
        <f>IF($B356=$B355,$DZ355,0)+$DY356</f>
        <v/>
      </c>
      <c r="EA356" s="55">
        <f>$EA355+$DY356</f>
        <v/>
      </c>
      <c r="EB356" s="55">
        <f>SUMIFS(tblPlant[Lime_kg],tblPlant[Date],$A356)</f>
        <v/>
      </c>
      <c r="EC356" s="55">
        <f>IF($B356=$B355,$EC355,0)+$EB356</f>
        <v/>
      </c>
      <c r="ED356" s="55">
        <f>$ED355+$EB356</f>
        <v/>
      </c>
      <c r="EE356" s="55">
        <f>SUMIFS(tblPlant[Grinding_Media_kg],tblPlant[Date],$A356)</f>
        <v/>
      </c>
      <c r="EF356" s="55">
        <f>IF($B356=$B355,$EF355,0)+$EE356</f>
        <v/>
      </c>
      <c r="EG356" s="55">
        <f>$EG355+$EE356</f>
        <v/>
      </c>
      <c r="EH356" s="55">
        <f>SUMIFS(tblPlant[Power_kWh],tblPlant[Date],$A356)</f>
        <v/>
      </c>
      <c r="EI356" s="55">
        <f>IF($B356=$B355,$EI355,0)+$EH356</f>
        <v/>
      </c>
      <c r="EJ356" s="55">
        <f>$EJ355+$EH356</f>
        <v/>
      </c>
      <c r="EK356" s="55">
        <f>SUMIFS(tblPlant[Raw_Water_m3],tblPlant[Date],$A356)</f>
        <v/>
      </c>
      <c r="EL356" s="55">
        <f>IF($B356=$B355,$EL355,0)+$EK356</f>
        <v/>
      </c>
      <c r="EM356" s="55">
        <f>$EM355+$EK356</f>
        <v/>
      </c>
      <c r="EN356" s="56">
        <f>IFERROR(IF(($BZ356)&gt;0,($DY356)/($BZ356),""),"")</f>
        <v/>
      </c>
      <c r="EO356" s="56">
        <f>IFERROR(IF(($CA356)&gt;0,($DZ356)/($CA356),""),"")</f>
        <v/>
      </c>
      <c r="EP356" s="56">
        <f>IFERROR(IF(($CB356)&gt;0,($EA356)/($CB356),""),"")</f>
        <v/>
      </c>
      <c r="EQ356" s="56">
        <f>IFERROR(IF(($BZ356)&gt;0,($EB356)/($BZ356),""),"")</f>
        <v/>
      </c>
      <c r="ER356" s="56">
        <f>IFERROR(IF(($CA356)&gt;0,($EC356)/($CA356),""),"")</f>
        <v/>
      </c>
      <c r="ES356" s="56">
        <f>IFERROR(IF(($CB356)&gt;0,($ED356)/($CB356),""),"")</f>
        <v/>
      </c>
      <c r="ET356" s="56">
        <f>IFERROR(IF(($BZ356)&gt;0,($EE356)/($BZ356),""),"")</f>
        <v/>
      </c>
      <c r="EU356" s="56">
        <f>IFERROR(IF(($CA356)&gt;0,($EF356)/($CA356),""),"")</f>
        <v/>
      </c>
      <c r="EV356" s="56">
        <f>IFERROR(IF(($CB356)&gt;0,($EG356)/($CB356),""),"")</f>
        <v/>
      </c>
      <c r="EW356" s="76">
        <f>IFERROR(IF(($BZ356)&gt;0,($EH356)/($BZ356),""),"")</f>
        <v/>
      </c>
      <c r="EX356" s="76">
        <f>IFERROR(IF(($CA356)&gt;0,($EI356)/($CA356),""),"")</f>
        <v/>
      </c>
      <c r="EY356" s="76">
        <f>IFERROR(IF(($CB356)&gt;0,($EJ356)/($CB356),""),"")</f>
        <v/>
      </c>
      <c r="EZ356" s="56">
        <f>IFERROR(IF(($BZ356)&gt;0,($EK356)/($BZ356),""),"")</f>
        <v/>
      </c>
      <c r="FA356" s="56">
        <f>IFERROR(IF(($CA356)&gt;0,($EL356)/($CA356),""),"")</f>
        <v/>
      </c>
      <c r="FB356" s="56">
        <f>IFERROR(IF(($CB356)&gt;0,($EM356)/($CB356),""),"")</f>
        <v/>
      </c>
      <c r="FC356" s="55">
        <f>IF(SUMIFS(tblPlant[GIC_oz],tblPlant[Date],$A356)&gt;0,SUMIFS(tblPlant[GIC_oz],tblPlant[Date],$A356),"")</f>
        <v/>
      </c>
      <c r="FD356" s="55">
        <f>SUMIFS(tblGold[Gold_oz],tblGold[Date],$A356,tblGold[Type],"Shipment")</f>
        <v/>
      </c>
      <c r="FE356" s="55">
        <f>IF($B356=$B355,$FE355,0)+$FD356</f>
        <v/>
      </c>
      <c r="FF356" s="55">
        <f>$FF355+$FD356</f>
        <v/>
      </c>
      <c r="FG356" s="55">
        <f>SUMIFS(tblGold[Gold_oz],tblGold[Date],$A356,tblGold[Type],"Sale")</f>
        <v/>
      </c>
      <c r="FH356" s="55">
        <f>IF($B356=$B355,$FH355,0)+$FG356</f>
        <v/>
      </c>
      <c r="FI356" s="55">
        <f>$FI355+$FG356</f>
        <v/>
      </c>
      <c r="FJ356" s="55">
        <f>SUMIFS(tblGold[Dore_kg],tblGold[Date],$A356,tblGold[Type],"Shipment")</f>
        <v/>
      </c>
      <c r="FK356" s="55">
        <f>IF($B356=$B355,$FK355,0)+$FJ356</f>
        <v/>
      </c>
      <c r="FL356" s="55">
        <f>$FL355+$FJ356</f>
        <v/>
      </c>
      <c r="FM356" s="57">
        <f>SUMIFS(tblSafety[Hours_Total],tblSafety[Date],$A356)</f>
        <v/>
      </c>
      <c r="FN356" s="57">
        <f>IF($B356=$B355,$FN355,0)+$FM356</f>
        <v/>
      </c>
      <c r="FO356" s="57">
        <f>$FO355+$FM356</f>
        <v/>
      </c>
      <c r="FP356" s="62">
        <f>SUMIFS(tblSafety[Fatality],tblSafety[Date],$A356)</f>
        <v/>
      </c>
      <c r="FQ356" s="62">
        <f>IF($B356=$B355,$FQ355,0)+$FP356</f>
        <v/>
      </c>
      <c r="FR356" s="62">
        <f>$FR355+$FP356</f>
        <v/>
      </c>
      <c r="FS356" s="62">
        <f>SUMIFS(tblSafety[LTI],tblSafety[Date],$A356)</f>
        <v/>
      </c>
      <c r="FT356" s="62">
        <f>IF($B356=$B355,$FT355,0)+$FS356</f>
        <v/>
      </c>
      <c r="FU356" s="62">
        <f>$FU355+$FS356</f>
        <v/>
      </c>
      <c r="FV356" s="62">
        <f>SUMIFS(tblSafety[RWI],tblSafety[Date],$A356)</f>
        <v/>
      </c>
      <c r="FW356" s="62">
        <f>IF($B356=$B355,$FW355,0)+$FV356</f>
        <v/>
      </c>
      <c r="FX356" s="62">
        <f>$FX355+$FV356</f>
        <v/>
      </c>
      <c r="FY356" s="62">
        <f>SUMIFS(tblSafety[MTI],tblSafety[Date],$A356)</f>
        <v/>
      </c>
      <c r="FZ356" s="62">
        <f>IF($B356=$B355,$FZ355,0)+$FY356</f>
        <v/>
      </c>
      <c r="GA356" s="62">
        <f>$GA355+$FY356</f>
        <v/>
      </c>
      <c r="GB356" s="62">
        <f>SUMIFS(tblSafety[FAI],tblSafety[Date],$A356)</f>
        <v/>
      </c>
      <c r="GC356" s="62">
        <f>IF($B356=$B355,$GC355,0)+$GB356</f>
        <v/>
      </c>
      <c r="GD356" s="62">
        <f>$GD355+$GB356</f>
        <v/>
      </c>
      <c r="GE356" s="62">
        <f>SUMIFS(tblSafety[Recordables],tblSafety[Date],$A356)</f>
        <v/>
      </c>
      <c r="GF356" s="62">
        <f>IF($B356=$B355,$GF355,0)+$GE356</f>
        <v/>
      </c>
      <c r="GG356" s="62">
        <f>$GG355+$GE356</f>
        <v/>
      </c>
      <c r="GH356" s="62">
        <f>SUMIFS(tblSafety[Near_Miss],tblSafety[Date],$A356)</f>
        <v/>
      </c>
      <c r="GI356" s="62">
        <f>IF($B356=$B355,$GI355,0)+$GH356</f>
        <v/>
      </c>
      <c r="GJ356" s="62">
        <f>$GJ355+$GH356</f>
        <v/>
      </c>
      <c r="GK356" s="62">
        <f>SUMIFS(tblSafety[Hazard_Reports],tblSafety[Date],$A356)</f>
        <v/>
      </c>
      <c r="GL356" s="62">
        <f>IF($B356=$B355,$GL355,0)+$GK356</f>
        <v/>
      </c>
      <c r="GM356" s="62">
        <f>$GM355+$GK356</f>
        <v/>
      </c>
      <c r="GN356" s="62">
        <f>SUMIFS(tblSafety[HPI],tblSafety[Date],$A356)</f>
        <v/>
      </c>
      <c r="GO356" s="62">
        <f>IF($B356=$B355,$GO355,0)+$GN356</f>
        <v/>
      </c>
      <c r="GP356" s="62">
        <f>$GP355+$GN356</f>
        <v/>
      </c>
      <c r="GQ356" s="62">
        <f>SUMIFS(tblSafety[Env_Incidents],tblSafety[Date],$A356)</f>
        <v/>
      </c>
      <c r="GR356" s="62">
        <f>IF($B356=$B355,$GR355,0)+$GQ356</f>
        <v/>
      </c>
      <c r="GS356" s="62">
        <f>$GS355+$GQ356</f>
        <v/>
      </c>
      <c r="GT356" s="62">
        <f>SUMIFS(tblSafety[Community_Incidents],tblSafety[Date],$A356)</f>
        <v/>
      </c>
      <c r="GU356" s="62">
        <f>IF($B356=$B355,$GU355,0)+$GT356</f>
        <v/>
      </c>
      <c r="GV356" s="62">
        <f>$GV355+$GT356</f>
        <v/>
      </c>
      <c r="GW356" s="62">
        <f>SUMIFS(tblSafety[Vehicle_Incidents],tblSafety[Date],$A356)</f>
        <v/>
      </c>
      <c r="GX356" s="62">
        <f>IF($B356=$B355,$GX355,0)+$GW356</f>
        <v/>
      </c>
      <c r="GY356" s="62">
        <f>$GY355+$GW356</f>
        <v/>
      </c>
      <c r="GZ356" s="62">
        <f>SUMIFS(tblSafety[Toolbox_Talks],tblSafety[Date],$A356)</f>
        <v/>
      </c>
      <c r="HA356" s="62">
        <f>IF($B356=$B355,$HA355,0)+$GZ356</f>
        <v/>
      </c>
      <c r="HB356" s="62">
        <f>$HB355+$GZ356</f>
        <v/>
      </c>
      <c r="HC356" s="62">
        <f>SUMIFS(tblSafety[Inspections],tblSafety[Date],$A356)</f>
        <v/>
      </c>
      <c r="HD356" s="62">
        <f>IF($B356=$B355,$HD355,0)+$HC356</f>
        <v/>
      </c>
      <c r="HE356" s="62">
        <f>$HE355+$HC356</f>
        <v/>
      </c>
      <c r="HF356" s="56">
        <f>IFERROR((SUMIFS(tblSafety[Recordables],tblSafety[Date],"&gt;="&amp;EDATE($E356,-12),tblSafety[Date],"&lt;="&amp;$A356)+SUMIFS(tblSafetyHistory[Recordables],tblSafetyHistory[Month],"&gt;="&amp;EDATE($E356,-12),tblSafetyHistory[Month],"&lt;"&amp;cfg_YearStart))/(SUMIFS(tblSafety[Hours_Total],tblSafety[Date],"&gt;="&amp;EDATE($E356,-12),tblSafety[Date],"&lt;="&amp;$A356)+SUMIFS(tblSafetyHistory[Hours_Total],tblSafetyHistory[Month],"&gt;="&amp;EDATE($E356,-12),tblSafetyHistory[Month],"&lt;"&amp;cfg_YearStart))*1000000,"")</f>
        <v/>
      </c>
      <c r="HG356" s="56">
        <f>IFERROR((SUMIFS(tblSafety[LTI],tblSafety[Date],"&gt;="&amp;EDATE($E356,-12),tblSafety[Date],"&lt;="&amp;$A356)+SUMIFS(tblSafetyHistory[LTI],tblSafetyHistory[Month],"&gt;="&amp;EDATE($E356,-12),tblSafetyHistory[Month],"&lt;"&amp;cfg_YearStart))/(SUMIFS(tblSafety[Hours_Total],tblSafety[Date],"&gt;="&amp;EDATE($E356,-12),tblSafety[Date],"&lt;="&amp;$A356)+SUMIFS(tblSafetyHistory[Hours_Total],tblSafetyHistory[Month],"&gt;="&amp;EDATE($E356,-12),tblSafetyHistory[Month],"&lt;"&amp;cfg_YearStart))*1000000,"")</f>
        <v/>
      </c>
      <c r="HH356" s="62">
        <f>IF(MAX(N(cfg_PriorLTIDate),_xlfn.MAXIFS(tblSafety[Date],tblSafety[LTI],"&gt;0",tblSafety[Date],"&lt;="&amp;$A356))=0,"",$A356-MAX(N(cfg_PriorLTIDate),_xlfn.MAXIFS(tblSafety[Date],tblSafety[LTI],"&gt;0",tblSafety[Date],"&lt;="&amp;$A356)))</f>
        <v/>
      </c>
      <c r="HI356" s="55">
        <f>SUMIFS(tblBudget[Ore_Mined_t],tblBudget[Month],$E356)</f>
        <v/>
      </c>
      <c r="HJ356" s="55">
        <f>$HI356*$C356/$D356</f>
        <v/>
      </c>
      <c r="HK356" s="55">
        <f>SUMIFS(tblBudget[Ore_Mined_t],tblBudget[Month],"&lt;"&amp;$E356)+$HJ356</f>
        <v/>
      </c>
      <c r="HL356" s="55">
        <f>SUMIFS(tblBudget[Ore_oz],tblBudget[Month],$E356)</f>
        <v/>
      </c>
      <c r="HM356" s="55">
        <f>$HL356*$C356/$D356</f>
        <v/>
      </c>
      <c r="HN356" s="55">
        <f>SUMIFS(tblBudget[Ore_oz],tblBudget[Month],"&lt;"&amp;$E356)+$HM356</f>
        <v/>
      </c>
      <c r="HO356" s="56">
        <f>IFERROR(IF(($HI356)&gt;0,($HL356*cfg_TroyOz)/($HI356),""),"")</f>
        <v/>
      </c>
      <c r="HP356" s="56">
        <f>IFERROR(IF(($HJ356)&gt;0,($HM356*cfg_TroyOz)/($HJ356),""),"")</f>
        <v/>
      </c>
      <c r="HQ356" s="56">
        <f>IFERROR(IF(($HK356)&gt;0,($HN356*cfg_TroyOz)/($HK356),""),"")</f>
        <v/>
      </c>
      <c r="HR356" s="55">
        <f>SUMIFS(tblBudget[Waste_t],tblBudget[Month],$E356)</f>
        <v/>
      </c>
      <c r="HS356" s="55">
        <f>$HR356*$C356/$D356</f>
        <v/>
      </c>
      <c r="HT356" s="55">
        <f>SUMIFS(tblBudget[Waste_t],tblBudget[Month],"&lt;"&amp;$E356)+$HS356</f>
        <v/>
      </c>
      <c r="HU356" s="55">
        <f>SUMIFS(tblBudget[TMM_t],tblBudget[Month],$E356)</f>
        <v/>
      </c>
      <c r="HV356" s="55">
        <f>$HU356*$C356/$D356</f>
        <v/>
      </c>
      <c r="HW356" s="55">
        <f>SUMIFS(tblBudget[TMM_t],tblBudget[Month],"&lt;"&amp;$E356)+$HV356</f>
        <v/>
      </c>
      <c r="HX356" s="56">
        <f>IFERROR(IF(($HI356)&gt;0,($HR356)/($HI356),""),"")</f>
        <v/>
      </c>
      <c r="HY356" s="56">
        <f>IFERROR(IF(($HJ356)&gt;0,($HS356)/($HJ356),""),"")</f>
        <v/>
      </c>
      <c r="HZ356" s="56">
        <f>IFERROR(IF(($HK356)&gt;0,($HT356)/($HK356),""),"")</f>
        <v/>
      </c>
      <c r="IA356" s="55">
        <f>SUMIFS(tblBudget[Drill_m],tblBudget[Month],$E356)</f>
        <v/>
      </c>
      <c r="IB356" s="55">
        <f>$IA356*$C356/$D356</f>
        <v/>
      </c>
      <c r="IC356" s="55">
        <f>SUMIFS(tblBudget[Drill_m],tblBudget[Month],"&lt;"&amp;$E356)+$IB356</f>
        <v/>
      </c>
      <c r="ID356" s="55">
        <f>SUMIFS(tblBudget[Diesel_L],tblBudget[Month],$E356)</f>
        <v/>
      </c>
      <c r="IE356" s="55">
        <f>$ID356*$C356/$D356</f>
        <v/>
      </c>
      <c r="IF356" s="55">
        <f>SUMIFS(tblBudget[Diesel_L],tblBudget[Month],"&lt;"&amp;$E356)+$IE356</f>
        <v/>
      </c>
      <c r="IG356" s="55">
        <f>SUMIFS(tblBudget[Milled_t],tblBudget[Month],$E356)</f>
        <v/>
      </c>
      <c r="IH356" s="55">
        <f>$IG356*$C356/$D356</f>
        <v/>
      </c>
      <c r="II356" s="55">
        <f>SUMIFS(tblBudget[Milled_t],tblBudget[Month],"&lt;"&amp;$E356)+$IH356</f>
        <v/>
      </c>
      <c r="IJ356" s="55">
        <f>SUMIFS(tblBudget[Feed_oz],tblBudget[Month],$E356)</f>
        <v/>
      </c>
      <c r="IK356" s="55">
        <f>$IJ356*$C356/$D356</f>
        <v/>
      </c>
      <c r="IL356" s="55">
        <f>SUMIFS(tblBudget[Feed_oz],tblBudget[Month],"&lt;"&amp;$E356)+$IK356</f>
        <v/>
      </c>
      <c r="IM356" s="55">
        <f>SUMIFS(tblBudget[Recovered_oz],tblBudget[Month],$E356)</f>
        <v/>
      </c>
      <c r="IN356" s="55">
        <f>$IM356*$C356/$D356</f>
        <v/>
      </c>
      <c r="IO356" s="55">
        <f>SUMIFS(tblBudget[Recovered_oz],tblBudget[Month],"&lt;"&amp;$E356)+$IN356</f>
        <v/>
      </c>
      <c r="IP356" s="56">
        <f>IFERROR(IF(($IG356)&gt;0,($IJ356*cfg_TroyOz)/($IG356),""),"")</f>
        <v/>
      </c>
      <c r="IQ356" s="56">
        <f>IFERROR(IF(($IH356)&gt;0,($IK356*cfg_TroyOz)/($IH356),""),"")</f>
        <v/>
      </c>
      <c r="IR356" s="56">
        <f>IFERROR(IF(($II356)&gt;0,($IL356*cfg_TroyOz)/($II356),""),"")</f>
        <v/>
      </c>
      <c r="IS356" s="67">
        <f>IFERROR(IF(($IJ356)&gt;0,($IM356)/($IJ356),""),"")</f>
        <v/>
      </c>
      <c r="IT356" s="67">
        <f>IFERROR(IF(($IK356)&gt;0,($IN356)/($IK356),""),"")</f>
        <v/>
      </c>
      <c r="IU356" s="67">
        <f>IFERROR(IF(($IL356)&gt;0,($IO356)/($IL356),""),"")</f>
        <v/>
      </c>
      <c r="IV356" s="55">
        <f>SUMIFS(tblBudget[Gold_Poured_oz],tblBudget[Month],$E356)</f>
        <v/>
      </c>
      <c r="IW356" s="55">
        <f>$IV356*$C356/$D356</f>
        <v/>
      </c>
      <c r="IX356" s="55">
        <f>SUMIFS(tblBudget[Gold_Poured_oz],tblBudget[Month],"&lt;"&amp;$E356)+$IW356</f>
        <v/>
      </c>
      <c r="IY356" s="57">
        <f>SUMIFS(tblBudget[Hours_Worked],tblBudget[Month],$E356)</f>
        <v/>
      </c>
      <c r="IZ356" s="57">
        <f>$IY356*$C356/$D356</f>
        <v/>
      </c>
      <c r="JA356" s="57">
        <f>SUMIFS(tblBudget[Hours_Worked],tblBudget[Month],"&lt;"&amp;$E356)+$IZ356</f>
        <v/>
      </c>
    </row>
    <row r="357">
      <c r="A357" s="54" t="n">
        <v>46378</v>
      </c>
      <c r="B357">
        <f>MONTH($A357)</f>
        <v/>
      </c>
      <c r="C357">
        <f>DAY($A357)</f>
        <v/>
      </c>
      <c r="D357">
        <f>DAY(EOMONTH($A357,0))</f>
        <v/>
      </c>
      <c r="E357" s="54">
        <f>DATE(YEAR($A357),MONTH($A357),1)</f>
        <v/>
      </c>
      <c r="F357" s="55">
        <f>SUMIFS(tblMovement[Tonnes_t],tblMovement[Date],$A357,tblMovement[Is_Ore],1,tblMovement[Source_Type],"Pit")</f>
        <v/>
      </c>
      <c r="G357" s="55">
        <f>IF($B357=$B356,$G356,0)+$F357</f>
        <v/>
      </c>
      <c r="H357" s="55">
        <f>$H356+$F357</f>
        <v/>
      </c>
      <c r="I357" s="55">
        <f>SUMIFS(tblMovement[Ore_oz],tblMovement[Date],$A357,tblMovement[Source_Type],"Pit")</f>
        <v/>
      </c>
      <c r="J357" s="55">
        <f>IF($B357=$B356,$J356,0)+$I357</f>
        <v/>
      </c>
      <c r="K357" s="55">
        <f>$K356+$I357</f>
        <v/>
      </c>
      <c r="L357" s="56">
        <f>IFERROR(IF(($F357)&gt;0,($I357*cfg_TroyOz)/($F357),""),"")</f>
        <v/>
      </c>
      <c r="M357" s="56">
        <f>IFERROR(IF(($G357)&gt;0,($J357*cfg_TroyOz)/($G357),""),"")</f>
        <v/>
      </c>
      <c r="N357" s="56">
        <f>IFERROR(IF(($H357)&gt;0,($K357*cfg_TroyOz)/($H357),""),"")</f>
        <v/>
      </c>
      <c r="O357" s="55">
        <f>SUMIFS(tblMovement[Tonnes_t],tblMovement[Date],$A357,tblMovement[Is_Ore],0,tblMovement[Source_Type],"Pit")</f>
        <v/>
      </c>
      <c r="P357" s="55">
        <f>IF($B357=$B356,$P356,0)+$O357</f>
        <v/>
      </c>
      <c r="Q357" s="55">
        <f>$Q356+$O357</f>
        <v/>
      </c>
      <c r="R357" s="55">
        <f>$F357+$O357</f>
        <v/>
      </c>
      <c r="S357" s="55">
        <f>IF($B357=$B356,$S356,0)+$R357</f>
        <v/>
      </c>
      <c r="T357" s="55">
        <f>$T356+$R357</f>
        <v/>
      </c>
      <c r="U357" s="56">
        <f>IFERROR(IF(($F357)&gt;0,($O357)/($F357),""),"")</f>
        <v/>
      </c>
      <c r="V357" s="56">
        <f>IFERROR(IF(($G357)&gt;0,($P357)/($G357),""),"")</f>
        <v/>
      </c>
      <c r="W357" s="56">
        <f>IFERROR(IF(($H357)&gt;0,($Q357)/($H357),""),"")</f>
        <v/>
      </c>
      <c r="X357" s="55">
        <f>SUMIFS(tblMovement[Tonnes_t],tblMovement[Date],$A357,tblMovement[Source_Type],"Stockpile")</f>
        <v/>
      </c>
      <c r="Y357" s="55">
        <f>IF($B357=$B356,$Y356,0)+$X357</f>
        <v/>
      </c>
      <c r="Z357" s="55">
        <f>$Z356+$X357</f>
        <v/>
      </c>
      <c r="AA357" s="55">
        <f>SUMIFS(tblMiningDaily[Drill_m],tblMiningDaily[Date],$A357)</f>
        <v/>
      </c>
      <c r="AB357" s="55">
        <f>IF($B357=$B356,$AB356,0)+$AA357</f>
        <v/>
      </c>
      <c r="AC357" s="55">
        <f>$AC356+$AA357</f>
        <v/>
      </c>
      <c r="AD357" s="55">
        <f>SUMIFS(tblMiningDaily[Blast_t],tblMiningDaily[Date],$A357)</f>
        <v/>
      </c>
      <c r="AE357" s="55">
        <f>IF($B357=$B356,$AE356,0)+$AD357</f>
        <v/>
      </c>
      <c r="AF357" s="55">
        <f>$AF356+$AD357</f>
        <v/>
      </c>
      <c r="AG357" s="55">
        <f>SUMIFS(tblMiningDaily[Explosives_kg],tblMiningDaily[Date],$A357)</f>
        <v/>
      </c>
      <c r="AH357" s="55">
        <f>IF($B357=$B356,$AH356,0)+$AG357</f>
        <v/>
      </c>
      <c r="AI357" s="55">
        <f>$AI356+$AG357</f>
        <v/>
      </c>
      <c r="AJ357" s="56">
        <f>IFERROR(IF(($AD357)&gt;0,($AG357)/($AD357),""),"")</f>
        <v/>
      </c>
      <c r="AK357" s="56">
        <f>IFERROR(IF(($AE357)&gt;0,($AH357)/($AE357),""),"")</f>
        <v/>
      </c>
      <c r="AL357" s="56">
        <f>IFERROR(IF(($AF357)&gt;0,($AI357)/($AF357),""),"")</f>
        <v/>
      </c>
      <c r="AM357" s="55">
        <f>SUMIFS(tblMiningDaily[Diesel_L],tblMiningDaily[Date],$A357)</f>
        <v/>
      </c>
      <c r="AN357" s="55">
        <f>IF($B357=$B356,$AN356,0)+$AM357</f>
        <v/>
      </c>
      <c r="AO357" s="55">
        <f>$AO356+$AM357</f>
        <v/>
      </c>
      <c r="AP357" s="55">
        <f>SUMIFS(tblMiningDaily[Dewatering_m3],tblMiningDaily[Date],$A357)</f>
        <v/>
      </c>
      <c r="AQ357" s="55">
        <f>IF($B357=$B356,$AQ356,0)+$AP357</f>
        <v/>
      </c>
      <c r="AR357" s="55">
        <f>$AR356+$AP357</f>
        <v/>
      </c>
      <c r="AS357" s="57">
        <f>SUMIFS(tblFleet[Calendar_h],tblFleet[Date],$A357,tblFleet[Equipment_Class],"Excavator")</f>
        <v/>
      </c>
      <c r="AT357" s="57">
        <f>IF($B357=$B356,$AT356,0)+$AS357</f>
        <v/>
      </c>
      <c r="AU357" s="57">
        <f>$AU356+$AS357</f>
        <v/>
      </c>
      <c r="AV357" s="57">
        <f>SUMIFS(tblFleet[Available_h],tblFleet[Date],$A357,tblFleet[Equipment_Class],"Excavator")</f>
        <v/>
      </c>
      <c r="AW357" s="57">
        <f>IF($B357=$B356,$AW356,0)+$AV357</f>
        <v/>
      </c>
      <c r="AX357" s="57">
        <f>$AX356+$AV357</f>
        <v/>
      </c>
      <c r="AY357" s="57">
        <f>SUMIFS(tblFleet[Operating_h],tblFleet[Date],$A357,tblFleet[Equipment_Class],"Excavator")</f>
        <v/>
      </c>
      <c r="AZ357" s="57">
        <f>IF($B357=$B356,$AZ356,0)+$AY357</f>
        <v/>
      </c>
      <c r="BA357" s="57">
        <f>$BA356+$AY357</f>
        <v/>
      </c>
      <c r="BB357" s="67">
        <f>IFERROR(IF(($AS357)&gt;0,($AV357)/($AS357),""),"")</f>
        <v/>
      </c>
      <c r="BC357" s="67">
        <f>IFERROR(IF(($AT357)&gt;0,($AW357)/($AT357),""),"")</f>
        <v/>
      </c>
      <c r="BD357" s="67">
        <f>IFERROR(IF(($AU357)&gt;0,($AX357)/($AU357),""),"")</f>
        <v/>
      </c>
      <c r="BE357" s="67">
        <f>IFERROR(IF(($AV357)&gt;0,($AY357)/($AV357),""),"")</f>
        <v/>
      </c>
      <c r="BF357" s="67">
        <f>IFERROR(IF(($AW357)&gt;0,($AZ357)/($AW357),""),"")</f>
        <v/>
      </c>
      <c r="BG357" s="67">
        <f>IFERROR(IF(($AX357)&gt;0,($BA357)/($AX357),""),"")</f>
        <v/>
      </c>
      <c r="BH357" s="57">
        <f>SUMIFS(tblFleet[Calendar_h],tblFleet[Date],$A357,tblFleet[Equipment_Class],"Haul Truck")</f>
        <v/>
      </c>
      <c r="BI357" s="57">
        <f>IF($B357=$B356,$BI356,0)+$BH357</f>
        <v/>
      </c>
      <c r="BJ357" s="57">
        <f>$BJ356+$BH357</f>
        <v/>
      </c>
      <c r="BK357" s="57">
        <f>SUMIFS(tblFleet[Available_h],tblFleet[Date],$A357,tblFleet[Equipment_Class],"Haul Truck")</f>
        <v/>
      </c>
      <c r="BL357" s="57">
        <f>IF($B357=$B356,$BL356,0)+$BK357</f>
        <v/>
      </c>
      <c r="BM357" s="57">
        <f>$BM356+$BK357</f>
        <v/>
      </c>
      <c r="BN357" s="57">
        <f>SUMIFS(tblFleet[Operating_h],tblFleet[Date],$A357,tblFleet[Equipment_Class],"Haul Truck")</f>
        <v/>
      </c>
      <c r="BO357" s="57">
        <f>IF($B357=$B356,$BO356,0)+$BN357</f>
        <v/>
      </c>
      <c r="BP357" s="57">
        <f>$BP356+$BN357</f>
        <v/>
      </c>
      <c r="BQ357" s="67">
        <f>IFERROR(IF(($BH357)&gt;0,($BK357)/($BH357),""),"")</f>
        <v/>
      </c>
      <c r="BR357" s="67">
        <f>IFERROR(IF(($BI357)&gt;0,($BL357)/($BI357),""),"")</f>
        <v/>
      </c>
      <c r="BS357" s="67">
        <f>IFERROR(IF(($BJ357)&gt;0,($BM357)/($BJ357),""),"")</f>
        <v/>
      </c>
      <c r="BT357" s="67">
        <f>IFERROR(IF(($BK357)&gt;0,($BN357)/($BK357),""),"")</f>
        <v/>
      </c>
      <c r="BU357" s="67">
        <f>IFERROR(IF(($BL357)&gt;0,($BO357)/($BL357),""),"")</f>
        <v/>
      </c>
      <c r="BV357" s="67">
        <f>IFERROR(IF(($BM357)&gt;0,($BP357)/($BM357),""),"")</f>
        <v/>
      </c>
      <c r="BW357" s="55">
        <f>SUMIFS(tblPlant[Crushed_t],tblPlant[Date],$A357)</f>
        <v/>
      </c>
      <c r="BX357" s="55">
        <f>IF($B357=$B356,$BX356,0)+$BW357</f>
        <v/>
      </c>
      <c r="BY357" s="55">
        <f>$BY356+$BW357</f>
        <v/>
      </c>
      <c r="BZ357" s="55">
        <f>SUMIFS(tblPlant[Milled_t],tblPlant[Date],$A357)</f>
        <v/>
      </c>
      <c r="CA357" s="55">
        <f>IF($B357=$B356,$CA356,0)+$BZ357</f>
        <v/>
      </c>
      <c r="CB357" s="55">
        <f>$CB356+$BZ357</f>
        <v/>
      </c>
      <c r="CC357" s="55">
        <f>SUMIFS(tblPlant[Feed_oz],tblPlant[Date],$A357)</f>
        <v/>
      </c>
      <c r="CD357" s="55">
        <f>IF($B357=$B356,$CD356,0)+$CC357</f>
        <v/>
      </c>
      <c r="CE357" s="55">
        <f>$CE356+$CC357</f>
        <v/>
      </c>
      <c r="CF357" s="55">
        <f>SUMIFS(tblPlant[Tails_oz],tblPlant[Date],$A357)</f>
        <v/>
      </c>
      <c r="CG357" s="55">
        <f>IF($B357=$B356,$CG356,0)+$CF357</f>
        <v/>
      </c>
      <c r="CH357" s="55">
        <f>$CH356+$CF357</f>
        <v/>
      </c>
      <c r="CI357" s="55">
        <f>SUMIFS(tblPlant[Recovered_oz],tblPlant[Date],$A357)</f>
        <v/>
      </c>
      <c r="CJ357" s="55">
        <f>IF($B357=$B356,$CJ356,0)+$CI357</f>
        <v/>
      </c>
      <c r="CK357" s="55">
        <f>$CK356+$CI357</f>
        <v/>
      </c>
      <c r="CL357" s="56">
        <f>IFERROR(IF(($BZ357)&gt;0,($CC357*cfg_TroyOz)/($BZ357),""),"")</f>
        <v/>
      </c>
      <c r="CM357" s="56">
        <f>IFERROR(IF(($CA357)&gt;0,($CD357*cfg_TroyOz)/($CA357),""),"")</f>
        <v/>
      </c>
      <c r="CN357" s="56">
        <f>IFERROR(IF(($CB357)&gt;0,($CE357*cfg_TroyOz)/($CB357),""),"")</f>
        <v/>
      </c>
      <c r="CO357" s="56">
        <f>IFERROR(IF(($BZ357)&gt;0,($CF357*cfg_TroyOz)/($BZ357),""),"")</f>
        <v/>
      </c>
      <c r="CP357" s="56">
        <f>IFERROR(IF(($CA357)&gt;0,($CG357*cfg_TroyOz)/($CA357),""),"")</f>
        <v/>
      </c>
      <c r="CQ357" s="56">
        <f>IFERROR(IF(($CB357)&gt;0,($CH357*cfg_TroyOz)/($CB357),""),"")</f>
        <v/>
      </c>
      <c r="CR357" s="67">
        <f>IFERROR(IF(($CC357)&gt;0,($CI357)/($CC357),""),"")</f>
        <v/>
      </c>
      <c r="CS357" s="67">
        <f>IFERROR(IF(($CD357)&gt;0,($CJ357)/($CD357),""),"")</f>
        <v/>
      </c>
      <c r="CT357" s="67">
        <f>IFERROR(IF(($CE357)&gt;0,($CK357)/($CE357),""),"")</f>
        <v/>
      </c>
      <c r="CU357" s="55">
        <f>SUMIFS(tblPlant[Gravity_Gold_oz],tblPlant[Date],$A357)</f>
        <v/>
      </c>
      <c r="CV357" s="55">
        <f>IF($B357=$B356,$CV356,0)+$CU357</f>
        <v/>
      </c>
      <c r="CW357" s="55">
        <f>$CW356+$CU357</f>
        <v/>
      </c>
      <c r="CX357" s="55">
        <f>SUMIFS(tblPlant[Gold_Poured_oz],tblPlant[Date],$A357)</f>
        <v/>
      </c>
      <c r="CY357" s="55">
        <f>IF($B357=$B356,$CY356,0)+$CX357</f>
        <v/>
      </c>
      <c r="CZ357" s="55">
        <f>$CZ356+$CX357</f>
        <v/>
      </c>
      <c r="DA357" s="57">
        <f>SUMIFS(tblPlant[Mill_Run_h],tblPlant[Date],$A357)</f>
        <v/>
      </c>
      <c r="DB357" s="57">
        <f>IF($B357=$B356,$DB356,0)+$DA357</f>
        <v/>
      </c>
      <c r="DC357" s="57">
        <f>$DC356+$DA357</f>
        <v/>
      </c>
      <c r="DD357" s="57">
        <f>SUMIFS(tblPlant[Mill_Planned_Maint_h],tblPlant[Date],$A357)</f>
        <v/>
      </c>
      <c r="DE357" s="57">
        <f>IF($B357=$B356,$DE356,0)+$DD357</f>
        <v/>
      </c>
      <c r="DF357" s="57">
        <f>$DF356+$DD357</f>
        <v/>
      </c>
      <c r="DG357" s="57">
        <f>SUMIFS(tblPlant[Mill_Unplanned_Down_h],tblPlant[Date],$A357)</f>
        <v/>
      </c>
      <c r="DH357" s="57">
        <f>IF($B357=$B356,$DH356,0)+$DG357</f>
        <v/>
      </c>
      <c r="DI357" s="57">
        <f>$DI356+$DG357</f>
        <v/>
      </c>
      <c r="DJ357" s="57">
        <f>COUNTIFS(tblPlant[Date],$A357,tblPlant[Mill_Run_h],"&lt;&gt;")*24</f>
        <v/>
      </c>
      <c r="DK357" s="57">
        <f>IF($B357=$B356,$DK356,0)+$DJ357</f>
        <v/>
      </c>
      <c r="DL357" s="57">
        <f>$DL356+$DJ357</f>
        <v/>
      </c>
      <c r="DM357" s="57">
        <f>SUMIFS(tblPlant[Crusher_Run_h],tblPlant[Date],$A357)</f>
        <v/>
      </c>
      <c r="DN357" s="57">
        <f>IF($B357=$B356,$DN356,0)+$DM357</f>
        <v/>
      </c>
      <c r="DO357" s="57">
        <f>$DO356+$DM357</f>
        <v/>
      </c>
      <c r="DP357" s="55">
        <f>IFERROR(IF(($DA357)&gt;0,($BZ357)/($DA357),""),"")</f>
        <v/>
      </c>
      <c r="DQ357" s="55">
        <f>IFERROR(IF(($DB357)&gt;0,($CA357)/($DB357),""),"")</f>
        <v/>
      </c>
      <c r="DR357" s="55">
        <f>IFERROR(IF(($DC357)&gt;0,($CB357)/($DC357),""),"")</f>
        <v/>
      </c>
      <c r="DS357" s="67">
        <f>IFERROR(IF(($DJ357)&gt;0,($DJ357-$DD357-$DG357)/($DJ357),""),"")</f>
        <v/>
      </c>
      <c r="DT357" s="67">
        <f>IFERROR(IF(($DK357)&gt;0,($DK357-$DE357-$DH357)/($DK357),""),"")</f>
        <v/>
      </c>
      <c r="DU357" s="67">
        <f>IFERROR(IF(($DL357)&gt;0,($DL357-$DF357-$DI357)/($DL357),""),"")</f>
        <v/>
      </c>
      <c r="DV357" s="67">
        <f>IFERROR(IF(($DJ357-$DD357-$DG357)&gt;0,($DA357)/($DJ357-$DD357-$DG357),""),"")</f>
        <v/>
      </c>
      <c r="DW357" s="67">
        <f>IFERROR(IF(($DK357-$DE357-$DH357)&gt;0,($DB357)/($DK357-$DE357-$DH357),""),"")</f>
        <v/>
      </c>
      <c r="DX357" s="67">
        <f>IFERROR(IF(($DL357-$DF357-$DI357)&gt;0,($DC357)/($DL357-$DF357-$DI357),""),"")</f>
        <v/>
      </c>
      <c r="DY357" s="55">
        <f>SUMIFS(tblPlant[Cyanide_kg],tblPlant[Date],$A357)</f>
        <v/>
      </c>
      <c r="DZ357" s="55">
        <f>IF($B357=$B356,$DZ356,0)+$DY357</f>
        <v/>
      </c>
      <c r="EA357" s="55">
        <f>$EA356+$DY357</f>
        <v/>
      </c>
      <c r="EB357" s="55">
        <f>SUMIFS(tblPlant[Lime_kg],tblPlant[Date],$A357)</f>
        <v/>
      </c>
      <c r="EC357" s="55">
        <f>IF($B357=$B356,$EC356,0)+$EB357</f>
        <v/>
      </c>
      <c r="ED357" s="55">
        <f>$ED356+$EB357</f>
        <v/>
      </c>
      <c r="EE357" s="55">
        <f>SUMIFS(tblPlant[Grinding_Media_kg],tblPlant[Date],$A357)</f>
        <v/>
      </c>
      <c r="EF357" s="55">
        <f>IF($B357=$B356,$EF356,0)+$EE357</f>
        <v/>
      </c>
      <c r="EG357" s="55">
        <f>$EG356+$EE357</f>
        <v/>
      </c>
      <c r="EH357" s="55">
        <f>SUMIFS(tblPlant[Power_kWh],tblPlant[Date],$A357)</f>
        <v/>
      </c>
      <c r="EI357" s="55">
        <f>IF($B357=$B356,$EI356,0)+$EH357</f>
        <v/>
      </c>
      <c r="EJ357" s="55">
        <f>$EJ356+$EH357</f>
        <v/>
      </c>
      <c r="EK357" s="55">
        <f>SUMIFS(tblPlant[Raw_Water_m3],tblPlant[Date],$A357)</f>
        <v/>
      </c>
      <c r="EL357" s="55">
        <f>IF($B357=$B356,$EL356,0)+$EK357</f>
        <v/>
      </c>
      <c r="EM357" s="55">
        <f>$EM356+$EK357</f>
        <v/>
      </c>
      <c r="EN357" s="56">
        <f>IFERROR(IF(($BZ357)&gt;0,($DY357)/($BZ357),""),"")</f>
        <v/>
      </c>
      <c r="EO357" s="56">
        <f>IFERROR(IF(($CA357)&gt;0,($DZ357)/($CA357),""),"")</f>
        <v/>
      </c>
      <c r="EP357" s="56">
        <f>IFERROR(IF(($CB357)&gt;0,($EA357)/($CB357),""),"")</f>
        <v/>
      </c>
      <c r="EQ357" s="56">
        <f>IFERROR(IF(($BZ357)&gt;0,($EB357)/($BZ357),""),"")</f>
        <v/>
      </c>
      <c r="ER357" s="56">
        <f>IFERROR(IF(($CA357)&gt;0,($EC357)/($CA357),""),"")</f>
        <v/>
      </c>
      <c r="ES357" s="56">
        <f>IFERROR(IF(($CB357)&gt;0,($ED357)/($CB357),""),"")</f>
        <v/>
      </c>
      <c r="ET357" s="56">
        <f>IFERROR(IF(($BZ357)&gt;0,($EE357)/($BZ357),""),"")</f>
        <v/>
      </c>
      <c r="EU357" s="56">
        <f>IFERROR(IF(($CA357)&gt;0,($EF357)/($CA357),""),"")</f>
        <v/>
      </c>
      <c r="EV357" s="56">
        <f>IFERROR(IF(($CB357)&gt;0,($EG357)/($CB357),""),"")</f>
        <v/>
      </c>
      <c r="EW357" s="76">
        <f>IFERROR(IF(($BZ357)&gt;0,($EH357)/($BZ357),""),"")</f>
        <v/>
      </c>
      <c r="EX357" s="76">
        <f>IFERROR(IF(($CA357)&gt;0,($EI357)/($CA357),""),"")</f>
        <v/>
      </c>
      <c r="EY357" s="76">
        <f>IFERROR(IF(($CB357)&gt;0,($EJ357)/($CB357),""),"")</f>
        <v/>
      </c>
      <c r="EZ357" s="56">
        <f>IFERROR(IF(($BZ357)&gt;0,($EK357)/($BZ357),""),"")</f>
        <v/>
      </c>
      <c r="FA357" s="56">
        <f>IFERROR(IF(($CA357)&gt;0,($EL357)/($CA357),""),"")</f>
        <v/>
      </c>
      <c r="FB357" s="56">
        <f>IFERROR(IF(($CB357)&gt;0,($EM357)/($CB357),""),"")</f>
        <v/>
      </c>
      <c r="FC357" s="55">
        <f>IF(SUMIFS(tblPlant[GIC_oz],tblPlant[Date],$A357)&gt;0,SUMIFS(tblPlant[GIC_oz],tblPlant[Date],$A357),"")</f>
        <v/>
      </c>
      <c r="FD357" s="55">
        <f>SUMIFS(tblGold[Gold_oz],tblGold[Date],$A357,tblGold[Type],"Shipment")</f>
        <v/>
      </c>
      <c r="FE357" s="55">
        <f>IF($B357=$B356,$FE356,0)+$FD357</f>
        <v/>
      </c>
      <c r="FF357" s="55">
        <f>$FF356+$FD357</f>
        <v/>
      </c>
      <c r="FG357" s="55">
        <f>SUMIFS(tblGold[Gold_oz],tblGold[Date],$A357,tblGold[Type],"Sale")</f>
        <v/>
      </c>
      <c r="FH357" s="55">
        <f>IF($B357=$B356,$FH356,0)+$FG357</f>
        <v/>
      </c>
      <c r="FI357" s="55">
        <f>$FI356+$FG357</f>
        <v/>
      </c>
      <c r="FJ357" s="55">
        <f>SUMIFS(tblGold[Dore_kg],tblGold[Date],$A357,tblGold[Type],"Shipment")</f>
        <v/>
      </c>
      <c r="FK357" s="55">
        <f>IF($B357=$B356,$FK356,0)+$FJ357</f>
        <v/>
      </c>
      <c r="FL357" s="55">
        <f>$FL356+$FJ357</f>
        <v/>
      </c>
      <c r="FM357" s="57">
        <f>SUMIFS(tblSafety[Hours_Total],tblSafety[Date],$A357)</f>
        <v/>
      </c>
      <c r="FN357" s="57">
        <f>IF($B357=$B356,$FN356,0)+$FM357</f>
        <v/>
      </c>
      <c r="FO357" s="57">
        <f>$FO356+$FM357</f>
        <v/>
      </c>
      <c r="FP357" s="62">
        <f>SUMIFS(tblSafety[Fatality],tblSafety[Date],$A357)</f>
        <v/>
      </c>
      <c r="FQ357" s="62">
        <f>IF($B357=$B356,$FQ356,0)+$FP357</f>
        <v/>
      </c>
      <c r="FR357" s="62">
        <f>$FR356+$FP357</f>
        <v/>
      </c>
      <c r="FS357" s="62">
        <f>SUMIFS(tblSafety[LTI],tblSafety[Date],$A357)</f>
        <v/>
      </c>
      <c r="FT357" s="62">
        <f>IF($B357=$B356,$FT356,0)+$FS357</f>
        <v/>
      </c>
      <c r="FU357" s="62">
        <f>$FU356+$FS357</f>
        <v/>
      </c>
      <c r="FV357" s="62">
        <f>SUMIFS(tblSafety[RWI],tblSafety[Date],$A357)</f>
        <v/>
      </c>
      <c r="FW357" s="62">
        <f>IF($B357=$B356,$FW356,0)+$FV357</f>
        <v/>
      </c>
      <c r="FX357" s="62">
        <f>$FX356+$FV357</f>
        <v/>
      </c>
      <c r="FY357" s="62">
        <f>SUMIFS(tblSafety[MTI],tblSafety[Date],$A357)</f>
        <v/>
      </c>
      <c r="FZ357" s="62">
        <f>IF($B357=$B356,$FZ356,0)+$FY357</f>
        <v/>
      </c>
      <c r="GA357" s="62">
        <f>$GA356+$FY357</f>
        <v/>
      </c>
      <c r="GB357" s="62">
        <f>SUMIFS(tblSafety[FAI],tblSafety[Date],$A357)</f>
        <v/>
      </c>
      <c r="GC357" s="62">
        <f>IF($B357=$B356,$GC356,0)+$GB357</f>
        <v/>
      </c>
      <c r="GD357" s="62">
        <f>$GD356+$GB357</f>
        <v/>
      </c>
      <c r="GE357" s="62">
        <f>SUMIFS(tblSafety[Recordables],tblSafety[Date],$A357)</f>
        <v/>
      </c>
      <c r="GF357" s="62">
        <f>IF($B357=$B356,$GF356,0)+$GE357</f>
        <v/>
      </c>
      <c r="GG357" s="62">
        <f>$GG356+$GE357</f>
        <v/>
      </c>
      <c r="GH357" s="62">
        <f>SUMIFS(tblSafety[Near_Miss],tblSafety[Date],$A357)</f>
        <v/>
      </c>
      <c r="GI357" s="62">
        <f>IF($B357=$B356,$GI356,0)+$GH357</f>
        <v/>
      </c>
      <c r="GJ357" s="62">
        <f>$GJ356+$GH357</f>
        <v/>
      </c>
      <c r="GK357" s="62">
        <f>SUMIFS(tblSafety[Hazard_Reports],tblSafety[Date],$A357)</f>
        <v/>
      </c>
      <c r="GL357" s="62">
        <f>IF($B357=$B356,$GL356,0)+$GK357</f>
        <v/>
      </c>
      <c r="GM357" s="62">
        <f>$GM356+$GK357</f>
        <v/>
      </c>
      <c r="GN357" s="62">
        <f>SUMIFS(tblSafety[HPI],tblSafety[Date],$A357)</f>
        <v/>
      </c>
      <c r="GO357" s="62">
        <f>IF($B357=$B356,$GO356,0)+$GN357</f>
        <v/>
      </c>
      <c r="GP357" s="62">
        <f>$GP356+$GN357</f>
        <v/>
      </c>
      <c r="GQ357" s="62">
        <f>SUMIFS(tblSafety[Env_Incidents],tblSafety[Date],$A357)</f>
        <v/>
      </c>
      <c r="GR357" s="62">
        <f>IF($B357=$B356,$GR356,0)+$GQ357</f>
        <v/>
      </c>
      <c r="GS357" s="62">
        <f>$GS356+$GQ357</f>
        <v/>
      </c>
      <c r="GT357" s="62">
        <f>SUMIFS(tblSafety[Community_Incidents],tblSafety[Date],$A357)</f>
        <v/>
      </c>
      <c r="GU357" s="62">
        <f>IF($B357=$B356,$GU356,0)+$GT357</f>
        <v/>
      </c>
      <c r="GV357" s="62">
        <f>$GV356+$GT357</f>
        <v/>
      </c>
      <c r="GW357" s="62">
        <f>SUMIFS(tblSafety[Vehicle_Incidents],tblSafety[Date],$A357)</f>
        <v/>
      </c>
      <c r="GX357" s="62">
        <f>IF($B357=$B356,$GX356,0)+$GW357</f>
        <v/>
      </c>
      <c r="GY357" s="62">
        <f>$GY356+$GW357</f>
        <v/>
      </c>
      <c r="GZ357" s="62">
        <f>SUMIFS(tblSafety[Toolbox_Talks],tblSafety[Date],$A357)</f>
        <v/>
      </c>
      <c r="HA357" s="62">
        <f>IF($B357=$B356,$HA356,0)+$GZ357</f>
        <v/>
      </c>
      <c r="HB357" s="62">
        <f>$HB356+$GZ357</f>
        <v/>
      </c>
      <c r="HC357" s="62">
        <f>SUMIFS(tblSafety[Inspections],tblSafety[Date],$A357)</f>
        <v/>
      </c>
      <c r="HD357" s="62">
        <f>IF($B357=$B356,$HD356,0)+$HC357</f>
        <v/>
      </c>
      <c r="HE357" s="62">
        <f>$HE356+$HC357</f>
        <v/>
      </c>
      <c r="HF357" s="56">
        <f>IFERROR((SUMIFS(tblSafety[Recordables],tblSafety[Date],"&gt;="&amp;EDATE($E357,-12),tblSafety[Date],"&lt;="&amp;$A357)+SUMIFS(tblSafetyHistory[Recordables],tblSafetyHistory[Month],"&gt;="&amp;EDATE($E357,-12),tblSafetyHistory[Month],"&lt;"&amp;cfg_YearStart))/(SUMIFS(tblSafety[Hours_Total],tblSafety[Date],"&gt;="&amp;EDATE($E357,-12),tblSafety[Date],"&lt;="&amp;$A357)+SUMIFS(tblSafetyHistory[Hours_Total],tblSafetyHistory[Month],"&gt;="&amp;EDATE($E357,-12),tblSafetyHistory[Month],"&lt;"&amp;cfg_YearStart))*1000000,"")</f>
        <v/>
      </c>
      <c r="HG357" s="56">
        <f>IFERROR((SUMIFS(tblSafety[LTI],tblSafety[Date],"&gt;="&amp;EDATE($E357,-12),tblSafety[Date],"&lt;="&amp;$A357)+SUMIFS(tblSafetyHistory[LTI],tblSafetyHistory[Month],"&gt;="&amp;EDATE($E357,-12),tblSafetyHistory[Month],"&lt;"&amp;cfg_YearStart))/(SUMIFS(tblSafety[Hours_Total],tblSafety[Date],"&gt;="&amp;EDATE($E357,-12),tblSafety[Date],"&lt;="&amp;$A357)+SUMIFS(tblSafetyHistory[Hours_Total],tblSafetyHistory[Month],"&gt;="&amp;EDATE($E357,-12),tblSafetyHistory[Month],"&lt;"&amp;cfg_YearStart))*1000000,"")</f>
        <v/>
      </c>
      <c r="HH357" s="62">
        <f>IF(MAX(N(cfg_PriorLTIDate),_xlfn.MAXIFS(tblSafety[Date],tblSafety[LTI],"&gt;0",tblSafety[Date],"&lt;="&amp;$A357))=0,"",$A357-MAX(N(cfg_PriorLTIDate),_xlfn.MAXIFS(tblSafety[Date],tblSafety[LTI],"&gt;0",tblSafety[Date],"&lt;="&amp;$A357)))</f>
        <v/>
      </c>
      <c r="HI357" s="55">
        <f>SUMIFS(tblBudget[Ore_Mined_t],tblBudget[Month],$E357)</f>
        <v/>
      </c>
      <c r="HJ357" s="55">
        <f>$HI357*$C357/$D357</f>
        <v/>
      </c>
      <c r="HK357" s="55">
        <f>SUMIFS(tblBudget[Ore_Mined_t],tblBudget[Month],"&lt;"&amp;$E357)+$HJ357</f>
        <v/>
      </c>
      <c r="HL357" s="55">
        <f>SUMIFS(tblBudget[Ore_oz],tblBudget[Month],$E357)</f>
        <v/>
      </c>
      <c r="HM357" s="55">
        <f>$HL357*$C357/$D357</f>
        <v/>
      </c>
      <c r="HN357" s="55">
        <f>SUMIFS(tblBudget[Ore_oz],tblBudget[Month],"&lt;"&amp;$E357)+$HM357</f>
        <v/>
      </c>
      <c r="HO357" s="56">
        <f>IFERROR(IF(($HI357)&gt;0,($HL357*cfg_TroyOz)/($HI357),""),"")</f>
        <v/>
      </c>
      <c r="HP357" s="56">
        <f>IFERROR(IF(($HJ357)&gt;0,($HM357*cfg_TroyOz)/($HJ357),""),"")</f>
        <v/>
      </c>
      <c r="HQ357" s="56">
        <f>IFERROR(IF(($HK357)&gt;0,($HN357*cfg_TroyOz)/($HK357),""),"")</f>
        <v/>
      </c>
      <c r="HR357" s="55">
        <f>SUMIFS(tblBudget[Waste_t],tblBudget[Month],$E357)</f>
        <v/>
      </c>
      <c r="HS357" s="55">
        <f>$HR357*$C357/$D357</f>
        <v/>
      </c>
      <c r="HT357" s="55">
        <f>SUMIFS(tblBudget[Waste_t],tblBudget[Month],"&lt;"&amp;$E357)+$HS357</f>
        <v/>
      </c>
      <c r="HU357" s="55">
        <f>SUMIFS(tblBudget[TMM_t],tblBudget[Month],$E357)</f>
        <v/>
      </c>
      <c r="HV357" s="55">
        <f>$HU357*$C357/$D357</f>
        <v/>
      </c>
      <c r="HW357" s="55">
        <f>SUMIFS(tblBudget[TMM_t],tblBudget[Month],"&lt;"&amp;$E357)+$HV357</f>
        <v/>
      </c>
      <c r="HX357" s="56">
        <f>IFERROR(IF(($HI357)&gt;0,($HR357)/($HI357),""),"")</f>
        <v/>
      </c>
      <c r="HY357" s="56">
        <f>IFERROR(IF(($HJ357)&gt;0,($HS357)/($HJ357),""),"")</f>
        <v/>
      </c>
      <c r="HZ357" s="56">
        <f>IFERROR(IF(($HK357)&gt;0,($HT357)/($HK357),""),"")</f>
        <v/>
      </c>
      <c r="IA357" s="55">
        <f>SUMIFS(tblBudget[Drill_m],tblBudget[Month],$E357)</f>
        <v/>
      </c>
      <c r="IB357" s="55">
        <f>$IA357*$C357/$D357</f>
        <v/>
      </c>
      <c r="IC357" s="55">
        <f>SUMIFS(tblBudget[Drill_m],tblBudget[Month],"&lt;"&amp;$E357)+$IB357</f>
        <v/>
      </c>
      <c r="ID357" s="55">
        <f>SUMIFS(tblBudget[Diesel_L],tblBudget[Month],$E357)</f>
        <v/>
      </c>
      <c r="IE357" s="55">
        <f>$ID357*$C357/$D357</f>
        <v/>
      </c>
      <c r="IF357" s="55">
        <f>SUMIFS(tblBudget[Diesel_L],tblBudget[Month],"&lt;"&amp;$E357)+$IE357</f>
        <v/>
      </c>
      <c r="IG357" s="55">
        <f>SUMIFS(tblBudget[Milled_t],tblBudget[Month],$E357)</f>
        <v/>
      </c>
      <c r="IH357" s="55">
        <f>$IG357*$C357/$D357</f>
        <v/>
      </c>
      <c r="II357" s="55">
        <f>SUMIFS(tblBudget[Milled_t],tblBudget[Month],"&lt;"&amp;$E357)+$IH357</f>
        <v/>
      </c>
      <c r="IJ357" s="55">
        <f>SUMIFS(tblBudget[Feed_oz],tblBudget[Month],$E357)</f>
        <v/>
      </c>
      <c r="IK357" s="55">
        <f>$IJ357*$C357/$D357</f>
        <v/>
      </c>
      <c r="IL357" s="55">
        <f>SUMIFS(tblBudget[Feed_oz],tblBudget[Month],"&lt;"&amp;$E357)+$IK357</f>
        <v/>
      </c>
      <c r="IM357" s="55">
        <f>SUMIFS(tblBudget[Recovered_oz],tblBudget[Month],$E357)</f>
        <v/>
      </c>
      <c r="IN357" s="55">
        <f>$IM357*$C357/$D357</f>
        <v/>
      </c>
      <c r="IO357" s="55">
        <f>SUMIFS(tblBudget[Recovered_oz],tblBudget[Month],"&lt;"&amp;$E357)+$IN357</f>
        <v/>
      </c>
      <c r="IP357" s="56">
        <f>IFERROR(IF(($IG357)&gt;0,($IJ357*cfg_TroyOz)/($IG357),""),"")</f>
        <v/>
      </c>
      <c r="IQ357" s="56">
        <f>IFERROR(IF(($IH357)&gt;0,($IK357*cfg_TroyOz)/($IH357),""),"")</f>
        <v/>
      </c>
      <c r="IR357" s="56">
        <f>IFERROR(IF(($II357)&gt;0,($IL357*cfg_TroyOz)/($II357),""),"")</f>
        <v/>
      </c>
      <c r="IS357" s="67">
        <f>IFERROR(IF(($IJ357)&gt;0,($IM357)/($IJ357),""),"")</f>
        <v/>
      </c>
      <c r="IT357" s="67">
        <f>IFERROR(IF(($IK357)&gt;0,($IN357)/($IK357),""),"")</f>
        <v/>
      </c>
      <c r="IU357" s="67">
        <f>IFERROR(IF(($IL357)&gt;0,($IO357)/($IL357),""),"")</f>
        <v/>
      </c>
      <c r="IV357" s="55">
        <f>SUMIFS(tblBudget[Gold_Poured_oz],tblBudget[Month],$E357)</f>
        <v/>
      </c>
      <c r="IW357" s="55">
        <f>$IV357*$C357/$D357</f>
        <v/>
      </c>
      <c r="IX357" s="55">
        <f>SUMIFS(tblBudget[Gold_Poured_oz],tblBudget[Month],"&lt;"&amp;$E357)+$IW357</f>
        <v/>
      </c>
      <c r="IY357" s="57">
        <f>SUMIFS(tblBudget[Hours_Worked],tblBudget[Month],$E357)</f>
        <v/>
      </c>
      <c r="IZ357" s="57">
        <f>$IY357*$C357/$D357</f>
        <v/>
      </c>
      <c r="JA357" s="57">
        <f>SUMIFS(tblBudget[Hours_Worked],tblBudget[Month],"&lt;"&amp;$E357)+$IZ357</f>
        <v/>
      </c>
    </row>
    <row r="358">
      <c r="A358" s="54" t="n">
        <v>46379</v>
      </c>
      <c r="B358">
        <f>MONTH($A358)</f>
        <v/>
      </c>
      <c r="C358">
        <f>DAY($A358)</f>
        <v/>
      </c>
      <c r="D358">
        <f>DAY(EOMONTH($A358,0))</f>
        <v/>
      </c>
      <c r="E358" s="54">
        <f>DATE(YEAR($A358),MONTH($A358),1)</f>
        <v/>
      </c>
      <c r="F358" s="55">
        <f>SUMIFS(tblMovement[Tonnes_t],tblMovement[Date],$A358,tblMovement[Is_Ore],1,tblMovement[Source_Type],"Pit")</f>
        <v/>
      </c>
      <c r="G358" s="55">
        <f>IF($B358=$B357,$G357,0)+$F358</f>
        <v/>
      </c>
      <c r="H358" s="55">
        <f>$H357+$F358</f>
        <v/>
      </c>
      <c r="I358" s="55">
        <f>SUMIFS(tblMovement[Ore_oz],tblMovement[Date],$A358,tblMovement[Source_Type],"Pit")</f>
        <v/>
      </c>
      <c r="J358" s="55">
        <f>IF($B358=$B357,$J357,0)+$I358</f>
        <v/>
      </c>
      <c r="K358" s="55">
        <f>$K357+$I358</f>
        <v/>
      </c>
      <c r="L358" s="56">
        <f>IFERROR(IF(($F358)&gt;0,($I358*cfg_TroyOz)/($F358),""),"")</f>
        <v/>
      </c>
      <c r="M358" s="56">
        <f>IFERROR(IF(($G358)&gt;0,($J358*cfg_TroyOz)/($G358),""),"")</f>
        <v/>
      </c>
      <c r="N358" s="56">
        <f>IFERROR(IF(($H358)&gt;0,($K358*cfg_TroyOz)/($H358),""),"")</f>
        <v/>
      </c>
      <c r="O358" s="55">
        <f>SUMIFS(tblMovement[Tonnes_t],tblMovement[Date],$A358,tblMovement[Is_Ore],0,tblMovement[Source_Type],"Pit")</f>
        <v/>
      </c>
      <c r="P358" s="55">
        <f>IF($B358=$B357,$P357,0)+$O358</f>
        <v/>
      </c>
      <c r="Q358" s="55">
        <f>$Q357+$O358</f>
        <v/>
      </c>
      <c r="R358" s="55">
        <f>$F358+$O358</f>
        <v/>
      </c>
      <c r="S358" s="55">
        <f>IF($B358=$B357,$S357,0)+$R358</f>
        <v/>
      </c>
      <c r="T358" s="55">
        <f>$T357+$R358</f>
        <v/>
      </c>
      <c r="U358" s="56">
        <f>IFERROR(IF(($F358)&gt;0,($O358)/($F358),""),"")</f>
        <v/>
      </c>
      <c r="V358" s="56">
        <f>IFERROR(IF(($G358)&gt;0,($P358)/($G358),""),"")</f>
        <v/>
      </c>
      <c r="W358" s="56">
        <f>IFERROR(IF(($H358)&gt;0,($Q358)/($H358),""),"")</f>
        <v/>
      </c>
      <c r="X358" s="55">
        <f>SUMIFS(tblMovement[Tonnes_t],tblMovement[Date],$A358,tblMovement[Source_Type],"Stockpile")</f>
        <v/>
      </c>
      <c r="Y358" s="55">
        <f>IF($B358=$B357,$Y357,0)+$X358</f>
        <v/>
      </c>
      <c r="Z358" s="55">
        <f>$Z357+$X358</f>
        <v/>
      </c>
      <c r="AA358" s="55">
        <f>SUMIFS(tblMiningDaily[Drill_m],tblMiningDaily[Date],$A358)</f>
        <v/>
      </c>
      <c r="AB358" s="55">
        <f>IF($B358=$B357,$AB357,0)+$AA358</f>
        <v/>
      </c>
      <c r="AC358" s="55">
        <f>$AC357+$AA358</f>
        <v/>
      </c>
      <c r="AD358" s="55">
        <f>SUMIFS(tblMiningDaily[Blast_t],tblMiningDaily[Date],$A358)</f>
        <v/>
      </c>
      <c r="AE358" s="55">
        <f>IF($B358=$B357,$AE357,0)+$AD358</f>
        <v/>
      </c>
      <c r="AF358" s="55">
        <f>$AF357+$AD358</f>
        <v/>
      </c>
      <c r="AG358" s="55">
        <f>SUMIFS(tblMiningDaily[Explosives_kg],tblMiningDaily[Date],$A358)</f>
        <v/>
      </c>
      <c r="AH358" s="55">
        <f>IF($B358=$B357,$AH357,0)+$AG358</f>
        <v/>
      </c>
      <c r="AI358" s="55">
        <f>$AI357+$AG358</f>
        <v/>
      </c>
      <c r="AJ358" s="56">
        <f>IFERROR(IF(($AD358)&gt;0,($AG358)/($AD358),""),"")</f>
        <v/>
      </c>
      <c r="AK358" s="56">
        <f>IFERROR(IF(($AE358)&gt;0,($AH358)/($AE358),""),"")</f>
        <v/>
      </c>
      <c r="AL358" s="56">
        <f>IFERROR(IF(($AF358)&gt;0,($AI358)/($AF358),""),"")</f>
        <v/>
      </c>
      <c r="AM358" s="55">
        <f>SUMIFS(tblMiningDaily[Diesel_L],tblMiningDaily[Date],$A358)</f>
        <v/>
      </c>
      <c r="AN358" s="55">
        <f>IF($B358=$B357,$AN357,0)+$AM358</f>
        <v/>
      </c>
      <c r="AO358" s="55">
        <f>$AO357+$AM358</f>
        <v/>
      </c>
      <c r="AP358" s="55">
        <f>SUMIFS(tblMiningDaily[Dewatering_m3],tblMiningDaily[Date],$A358)</f>
        <v/>
      </c>
      <c r="AQ358" s="55">
        <f>IF($B358=$B357,$AQ357,0)+$AP358</f>
        <v/>
      </c>
      <c r="AR358" s="55">
        <f>$AR357+$AP358</f>
        <v/>
      </c>
      <c r="AS358" s="57">
        <f>SUMIFS(tblFleet[Calendar_h],tblFleet[Date],$A358,tblFleet[Equipment_Class],"Excavator")</f>
        <v/>
      </c>
      <c r="AT358" s="57">
        <f>IF($B358=$B357,$AT357,0)+$AS358</f>
        <v/>
      </c>
      <c r="AU358" s="57">
        <f>$AU357+$AS358</f>
        <v/>
      </c>
      <c r="AV358" s="57">
        <f>SUMIFS(tblFleet[Available_h],tblFleet[Date],$A358,tblFleet[Equipment_Class],"Excavator")</f>
        <v/>
      </c>
      <c r="AW358" s="57">
        <f>IF($B358=$B357,$AW357,0)+$AV358</f>
        <v/>
      </c>
      <c r="AX358" s="57">
        <f>$AX357+$AV358</f>
        <v/>
      </c>
      <c r="AY358" s="57">
        <f>SUMIFS(tblFleet[Operating_h],tblFleet[Date],$A358,tblFleet[Equipment_Class],"Excavator")</f>
        <v/>
      </c>
      <c r="AZ358" s="57">
        <f>IF($B358=$B357,$AZ357,0)+$AY358</f>
        <v/>
      </c>
      <c r="BA358" s="57">
        <f>$BA357+$AY358</f>
        <v/>
      </c>
      <c r="BB358" s="67">
        <f>IFERROR(IF(($AS358)&gt;0,($AV358)/($AS358),""),"")</f>
        <v/>
      </c>
      <c r="BC358" s="67">
        <f>IFERROR(IF(($AT358)&gt;0,($AW358)/($AT358),""),"")</f>
        <v/>
      </c>
      <c r="BD358" s="67">
        <f>IFERROR(IF(($AU358)&gt;0,($AX358)/($AU358),""),"")</f>
        <v/>
      </c>
      <c r="BE358" s="67">
        <f>IFERROR(IF(($AV358)&gt;0,($AY358)/($AV358),""),"")</f>
        <v/>
      </c>
      <c r="BF358" s="67">
        <f>IFERROR(IF(($AW358)&gt;0,($AZ358)/($AW358),""),"")</f>
        <v/>
      </c>
      <c r="BG358" s="67">
        <f>IFERROR(IF(($AX358)&gt;0,($BA358)/($AX358),""),"")</f>
        <v/>
      </c>
      <c r="BH358" s="57">
        <f>SUMIFS(tblFleet[Calendar_h],tblFleet[Date],$A358,tblFleet[Equipment_Class],"Haul Truck")</f>
        <v/>
      </c>
      <c r="BI358" s="57">
        <f>IF($B358=$B357,$BI357,0)+$BH358</f>
        <v/>
      </c>
      <c r="BJ358" s="57">
        <f>$BJ357+$BH358</f>
        <v/>
      </c>
      <c r="BK358" s="57">
        <f>SUMIFS(tblFleet[Available_h],tblFleet[Date],$A358,tblFleet[Equipment_Class],"Haul Truck")</f>
        <v/>
      </c>
      <c r="BL358" s="57">
        <f>IF($B358=$B357,$BL357,0)+$BK358</f>
        <v/>
      </c>
      <c r="BM358" s="57">
        <f>$BM357+$BK358</f>
        <v/>
      </c>
      <c r="BN358" s="57">
        <f>SUMIFS(tblFleet[Operating_h],tblFleet[Date],$A358,tblFleet[Equipment_Class],"Haul Truck")</f>
        <v/>
      </c>
      <c r="BO358" s="57">
        <f>IF($B358=$B357,$BO357,0)+$BN358</f>
        <v/>
      </c>
      <c r="BP358" s="57">
        <f>$BP357+$BN358</f>
        <v/>
      </c>
      <c r="BQ358" s="67">
        <f>IFERROR(IF(($BH358)&gt;0,($BK358)/($BH358),""),"")</f>
        <v/>
      </c>
      <c r="BR358" s="67">
        <f>IFERROR(IF(($BI358)&gt;0,($BL358)/($BI358),""),"")</f>
        <v/>
      </c>
      <c r="BS358" s="67">
        <f>IFERROR(IF(($BJ358)&gt;0,($BM358)/($BJ358),""),"")</f>
        <v/>
      </c>
      <c r="BT358" s="67">
        <f>IFERROR(IF(($BK358)&gt;0,($BN358)/($BK358),""),"")</f>
        <v/>
      </c>
      <c r="BU358" s="67">
        <f>IFERROR(IF(($BL358)&gt;0,($BO358)/($BL358),""),"")</f>
        <v/>
      </c>
      <c r="BV358" s="67">
        <f>IFERROR(IF(($BM358)&gt;0,($BP358)/($BM358),""),"")</f>
        <v/>
      </c>
      <c r="BW358" s="55">
        <f>SUMIFS(tblPlant[Crushed_t],tblPlant[Date],$A358)</f>
        <v/>
      </c>
      <c r="BX358" s="55">
        <f>IF($B358=$B357,$BX357,0)+$BW358</f>
        <v/>
      </c>
      <c r="BY358" s="55">
        <f>$BY357+$BW358</f>
        <v/>
      </c>
      <c r="BZ358" s="55">
        <f>SUMIFS(tblPlant[Milled_t],tblPlant[Date],$A358)</f>
        <v/>
      </c>
      <c r="CA358" s="55">
        <f>IF($B358=$B357,$CA357,0)+$BZ358</f>
        <v/>
      </c>
      <c r="CB358" s="55">
        <f>$CB357+$BZ358</f>
        <v/>
      </c>
      <c r="CC358" s="55">
        <f>SUMIFS(tblPlant[Feed_oz],tblPlant[Date],$A358)</f>
        <v/>
      </c>
      <c r="CD358" s="55">
        <f>IF($B358=$B357,$CD357,0)+$CC358</f>
        <v/>
      </c>
      <c r="CE358" s="55">
        <f>$CE357+$CC358</f>
        <v/>
      </c>
      <c r="CF358" s="55">
        <f>SUMIFS(tblPlant[Tails_oz],tblPlant[Date],$A358)</f>
        <v/>
      </c>
      <c r="CG358" s="55">
        <f>IF($B358=$B357,$CG357,0)+$CF358</f>
        <v/>
      </c>
      <c r="CH358" s="55">
        <f>$CH357+$CF358</f>
        <v/>
      </c>
      <c r="CI358" s="55">
        <f>SUMIFS(tblPlant[Recovered_oz],tblPlant[Date],$A358)</f>
        <v/>
      </c>
      <c r="CJ358" s="55">
        <f>IF($B358=$B357,$CJ357,0)+$CI358</f>
        <v/>
      </c>
      <c r="CK358" s="55">
        <f>$CK357+$CI358</f>
        <v/>
      </c>
      <c r="CL358" s="56">
        <f>IFERROR(IF(($BZ358)&gt;0,($CC358*cfg_TroyOz)/($BZ358),""),"")</f>
        <v/>
      </c>
      <c r="CM358" s="56">
        <f>IFERROR(IF(($CA358)&gt;0,($CD358*cfg_TroyOz)/($CA358),""),"")</f>
        <v/>
      </c>
      <c r="CN358" s="56">
        <f>IFERROR(IF(($CB358)&gt;0,($CE358*cfg_TroyOz)/($CB358),""),"")</f>
        <v/>
      </c>
      <c r="CO358" s="56">
        <f>IFERROR(IF(($BZ358)&gt;0,($CF358*cfg_TroyOz)/($BZ358),""),"")</f>
        <v/>
      </c>
      <c r="CP358" s="56">
        <f>IFERROR(IF(($CA358)&gt;0,($CG358*cfg_TroyOz)/($CA358),""),"")</f>
        <v/>
      </c>
      <c r="CQ358" s="56">
        <f>IFERROR(IF(($CB358)&gt;0,($CH358*cfg_TroyOz)/($CB358),""),"")</f>
        <v/>
      </c>
      <c r="CR358" s="67">
        <f>IFERROR(IF(($CC358)&gt;0,($CI358)/($CC358),""),"")</f>
        <v/>
      </c>
      <c r="CS358" s="67">
        <f>IFERROR(IF(($CD358)&gt;0,($CJ358)/($CD358),""),"")</f>
        <v/>
      </c>
      <c r="CT358" s="67">
        <f>IFERROR(IF(($CE358)&gt;0,($CK358)/($CE358),""),"")</f>
        <v/>
      </c>
      <c r="CU358" s="55">
        <f>SUMIFS(tblPlant[Gravity_Gold_oz],tblPlant[Date],$A358)</f>
        <v/>
      </c>
      <c r="CV358" s="55">
        <f>IF($B358=$B357,$CV357,0)+$CU358</f>
        <v/>
      </c>
      <c r="CW358" s="55">
        <f>$CW357+$CU358</f>
        <v/>
      </c>
      <c r="CX358" s="55">
        <f>SUMIFS(tblPlant[Gold_Poured_oz],tblPlant[Date],$A358)</f>
        <v/>
      </c>
      <c r="CY358" s="55">
        <f>IF($B358=$B357,$CY357,0)+$CX358</f>
        <v/>
      </c>
      <c r="CZ358" s="55">
        <f>$CZ357+$CX358</f>
        <v/>
      </c>
      <c r="DA358" s="57">
        <f>SUMIFS(tblPlant[Mill_Run_h],tblPlant[Date],$A358)</f>
        <v/>
      </c>
      <c r="DB358" s="57">
        <f>IF($B358=$B357,$DB357,0)+$DA358</f>
        <v/>
      </c>
      <c r="DC358" s="57">
        <f>$DC357+$DA358</f>
        <v/>
      </c>
      <c r="DD358" s="57">
        <f>SUMIFS(tblPlant[Mill_Planned_Maint_h],tblPlant[Date],$A358)</f>
        <v/>
      </c>
      <c r="DE358" s="57">
        <f>IF($B358=$B357,$DE357,0)+$DD358</f>
        <v/>
      </c>
      <c r="DF358" s="57">
        <f>$DF357+$DD358</f>
        <v/>
      </c>
      <c r="DG358" s="57">
        <f>SUMIFS(tblPlant[Mill_Unplanned_Down_h],tblPlant[Date],$A358)</f>
        <v/>
      </c>
      <c r="DH358" s="57">
        <f>IF($B358=$B357,$DH357,0)+$DG358</f>
        <v/>
      </c>
      <c r="DI358" s="57">
        <f>$DI357+$DG358</f>
        <v/>
      </c>
      <c r="DJ358" s="57">
        <f>COUNTIFS(tblPlant[Date],$A358,tblPlant[Mill_Run_h],"&lt;&gt;")*24</f>
        <v/>
      </c>
      <c r="DK358" s="57">
        <f>IF($B358=$B357,$DK357,0)+$DJ358</f>
        <v/>
      </c>
      <c r="DL358" s="57">
        <f>$DL357+$DJ358</f>
        <v/>
      </c>
      <c r="DM358" s="57">
        <f>SUMIFS(tblPlant[Crusher_Run_h],tblPlant[Date],$A358)</f>
        <v/>
      </c>
      <c r="DN358" s="57">
        <f>IF($B358=$B357,$DN357,0)+$DM358</f>
        <v/>
      </c>
      <c r="DO358" s="57">
        <f>$DO357+$DM358</f>
        <v/>
      </c>
      <c r="DP358" s="55">
        <f>IFERROR(IF(($DA358)&gt;0,($BZ358)/($DA358),""),"")</f>
        <v/>
      </c>
      <c r="DQ358" s="55">
        <f>IFERROR(IF(($DB358)&gt;0,($CA358)/($DB358),""),"")</f>
        <v/>
      </c>
      <c r="DR358" s="55">
        <f>IFERROR(IF(($DC358)&gt;0,($CB358)/($DC358),""),"")</f>
        <v/>
      </c>
      <c r="DS358" s="67">
        <f>IFERROR(IF(($DJ358)&gt;0,($DJ358-$DD358-$DG358)/($DJ358),""),"")</f>
        <v/>
      </c>
      <c r="DT358" s="67">
        <f>IFERROR(IF(($DK358)&gt;0,($DK358-$DE358-$DH358)/($DK358),""),"")</f>
        <v/>
      </c>
      <c r="DU358" s="67">
        <f>IFERROR(IF(($DL358)&gt;0,($DL358-$DF358-$DI358)/($DL358),""),"")</f>
        <v/>
      </c>
      <c r="DV358" s="67">
        <f>IFERROR(IF(($DJ358-$DD358-$DG358)&gt;0,($DA358)/($DJ358-$DD358-$DG358),""),"")</f>
        <v/>
      </c>
      <c r="DW358" s="67">
        <f>IFERROR(IF(($DK358-$DE358-$DH358)&gt;0,($DB358)/($DK358-$DE358-$DH358),""),"")</f>
        <v/>
      </c>
      <c r="DX358" s="67">
        <f>IFERROR(IF(($DL358-$DF358-$DI358)&gt;0,($DC358)/($DL358-$DF358-$DI358),""),"")</f>
        <v/>
      </c>
      <c r="DY358" s="55">
        <f>SUMIFS(tblPlant[Cyanide_kg],tblPlant[Date],$A358)</f>
        <v/>
      </c>
      <c r="DZ358" s="55">
        <f>IF($B358=$B357,$DZ357,0)+$DY358</f>
        <v/>
      </c>
      <c r="EA358" s="55">
        <f>$EA357+$DY358</f>
        <v/>
      </c>
      <c r="EB358" s="55">
        <f>SUMIFS(tblPlant[Lime_kg],tblPlant[Date],$A358)</f>
        <v/>
      </c>
      <c r="EC358" s="55">
        <f>IF($B358=$B357,$EC357,0)+$EB358</f>
        <v/>
      </c>
      <c r="ED358" s="55">
        <f>$ED357+$EB358</f>
        <v/>
      </c>
      <c r="EE358" s="55">
        <f>SUMIFS(tblPlant[Grinding_Media_kg],tblPlant[Date],$A358)</f>
        <v/>
      </c>
      <c r="EF358" s="55">
        <f>IF($B358=$B357,$EF357,0)+$EE358</f>
        <v/>
      </c>
      <c r="EG358" s="55">
        <f>$EG357+$EE358</f>
        <v/>
      </c>
      <c r="EH358" s="55">
        <f>SUMIFS(tblPlant[Power_kWh],tblPlant[Date],$A358)</f>
        <v/>
      </c>
      <c r="EI358" s="55">
        <f>IF($B358=$B357,$EI357,0)+$EH358</f>
        <v/>
      </c>
      <c r="EJ358" s="55">
        <f>$EJ357+$EH358</f>
        <v/>
      </c>
      <c r="EK358" s="55">
        <f>SUMIFS(tblPlant[Raw_Water_m3],tblPlant[Date],$A358)</f>
        <v/>
      </c>
      <c r="EL358" s="55">
        <f>IF($B358=$B357,$EL357,0)+$EK358</f>
        <v/>
      </c>
      <c r="EM358" s="55">
        <f>$EM357+$EK358</f>
        <v/>
      </c>
      <c r="EN358" s="56">
        <f>IFERROR(IF(($BZ358)&gt;0,($DY358)/($BZ358),""),"")</f>
        <v/>
      </c>
      <c r="EO358" s="56">
        <f>IFERROR(IF(($CA358)&gt;0,($DZ358)/($CA358),""),"")</f>
        <v/>
      </c>
      <c r="EP358" s="56">
        <f>IFERROR(IF(($CB358)&gt;0,($EA358)/($CB358),""),"")</f>
        <v/>
      </c>
      <c r="EQ358" s="56">
        <f>IFERROR(IF(($BZ358)&gt;0,($EB358)/($BZ358),""),"")</f>
        <v/>
      </c>
      <c r="ER358" s="56">
        <f>IFERROR(IF(($CA358)&gt;0,($EC358)/($CA358),""),"")</f>
        <v/>
      </c>
      <c r="ES358" s="56">
        <f>IFERROR(IF(($CB358)&gt;0,($ED358)/($CB358),""),"")</f>
        <v/>
      </c>
      <c r="ET358" s="56">
        <f>IFERROR(IF(($BZ358)&gt;0,($EE358)/($BZ358),""),"")</f>
        <v/>
      </c>
      <c r="EU358" s="56">
        <f>IFERROR(IF(($CA358)&gt;0,($EF358)/($CA358),""),"")</f>
        <v/>
      </c>
      <c r="EV358" s="56">
        <f>IFERROR(IF(($CB358)&gt;0,($EG358)/($CB358),""),"")</f>
        <v/>
      </c>
      <c r="EW358" s="76">
        <f>IFERROR(IF(($BZ358)&gt;0,($EH358)/($BZ358),""),"")</f>
        <v/>
      </c>
      <c r="EX358" s="76">
        <f>IFERROR(IF(($CA358)&gt;0,($EI358)/($CA358),""),"")</f>
        <v/>
      </c>
      <c r="EY358" s="76">
        <f>IFERROR(IF(($CB358)&gt;0,($EJ358)/($CB358),""),"")</f>
        <v/>
      </c>
      <c r="EZ358" s="56">
        <f>IFERROR(IF(($BZ358)&gt;0,($EK358)/($BZ358),""),"")</f>
        <v/>
      </c>
      <c r="FA358" s="56">
        <f>IFERROR(IF(($CA358)&gt;0,($EL358)/($CA358),""),"")</f>
        <v/>
      </c>
      <c r="FB358" s="56">
        <f>IFERROR(IF(($CB358)&gt;0,($EM358)/($CB358),""),"")</f>
        <v/>
      </c>
      <c r="FC358" s="55">
        <f>IF(SUMIFS(tblPlant[GIC_oz],tblPlant[Date],$A358)&gt;0,SUMIFS(tblPlant[GIC_oz],tblPlant[Date],$A358),"")</f>
        <v/>
      </c>
      <c r="FD358" s="55">
        <f>SUMIFS(tblGold[Gold_oz],tblGold[Date],$A358,tblGold[Type],"Shipment")</f>
        <v/>
      </c>
      <c r="FE358" s="55">
        <f>IF($B358=$B357,$FE357,0)+$FD358</f>
        <v/>
      </c>
      <c r="FF358" s="55">
        <f>$FF357+$FD358</f>
        <v/>
      </c>
      <c r="FG358" s="55">
        <f>SUMIFS(tblGold[Gold_oz],tblGold[Date],$A358,tblGold[Type],"Sale")</f>
        <v/>
      </c>
      <c r="FH358" s="55">
        <f>IF($B358=$B357,$FH357,0)+$FG358</f>
        <v/>
      </c>
      <c r="FI358" s="55">
        <f>$FI357+$FG358</f>
        <v/>
      </c>
      <c r="FJ358" s="55">
        <f>SUMIFS(tblGold[Dore_kg],tblGold[Date],$A358,tblGold[Type],"Shipment")</f>
        <v/>
      </c>
      <c r="FK358" s="55">
        <f>IF($B358=$B357,$FK357,0)+$FJ358</f>
        <v/>
      </c>
      <c r="FL358" s="55">
        <f>$FL357+$FJ358</f>
        <v/>
      </c>
      <c r="FM358" s="57">
        <f>SUMIFS(tblSafety[Hours_Total],tblSafety[Date],$A358)</f>
        <v/>
      </c>
      <c r="FN358" s="57">
        <f>IF($B358=$B357,$FN357,0)+$FM358</f>
        <v/>
      </c>
      <c r="FO358" s="57">
        <f>$FO357+$FM358</f>
        <v/>
      </c>
      <c r="FP358" s="62">
        <f>SUMIFS(tblSafety[Fatality],tblSafety[Date],$A358)</f>
        <v/>
      </c>
      <c r="FQ358" s="62">
        <f>IF($B358=$B357,$FQ357,0)+$FP358</f>
        <v/>
      </c>
      <c r="FR358" s="62">
        <f>$FR357+$FP358</f>
        <v/>
      </c>
      <c r="FS358" s="62">
        <f>SUMIFS(tblSafety[LTI],tblSafety[Date],$A358)</f>
        <v/>
      </c>
      <c r="FT358" s="62">
        <f>IF($B358=$B357,$FT357,0)+$FS358</f>
        <v/>
      </c>
      <c r="FU358" s="62">
        <f>$FU357+$FS358</f>
        <v/>
      </c>
      <c r="FV358" s="62">
        <f>SUMIFS(tblSafety[RWI],tblSafety[Date],$A358)</f>
        <v/>
      </c>
      <c r="FW358" s="62">
        <f>IF($B358=$B357,$FW357,0)+$FV358</f>
        <v/>
      </c>
      <c r="FX358" s="62">
        <f>$FX357+$FV358</f>
        <v/>
      </c>
      <c r="FY358" s="62">
        <f>SUMIFS(tblSafety[MTI],tblSafety[Date],$A358)</f>
        <v/>
      </c>
      <c r="FZ358" s="62">
        <f>IF($B358=$B357,$FZ357,0)+$FY358</f>
        <v/>
      </c>
      <c r="GA358" s="62">
        <f>$GA357+$FY358</f>
        <v/>
      </c>
      <c r="GB358" s="62">
        <f>SUMIFS(tblSafety[FAI],tblSafety[Date],$A358)</f>
        <v/>
      </c>
      <c r="GC358" s="62">
        <f>IF($B358=$B357,$GC357,0)+$GB358</f>
        <v/>
      </c>
      <c r="GD358" s="62">
        <f>$GD357+$GB358</f>
        <v/>
      </c>
      <c r="GE358" s="62">
        <f>SUMIFS(tblSafety[Recordables],tblSafety[Date],$A358)</f>
        <v/>
      </c>
      <c r="GF358" s="62">
        <f>IF($B358=$B357,$GF357,0)+$GE358</f>
        <v/>
      </c>
      <c r="GG358" s="62">
        <f>$GG357+$GE358</f>
        <v/>
      </c>
      <c r="GH358" s="62">
        <f>SUMIFS(tblSafety[Near_Miss],tblSafety[Date],$A358)</f>
        <v/>
      </c>
      <c r="GI358" s="62">
        <f>IF($B358=$B357,$GI357,0)+$GH358</f>
        <v/>
      </c>
      <c r="GJ358" s="62">
        <f>$GJ357+$GH358</f>
        <v/>
      </c>
      <c r="GK358" s="62">
        <f>SUMIFS(tblSafety[Hazard_Reports],tblSafety[Date],$A358)</f>
        <v/>
      </c>
      <c r="GL358" s="62">
        <f>IF($B358=$B357,$GL357,0)+$GK358</f>
        <v/>
      </c>
      <c r="GM358" s="62">
        <f>$GM357+$GK358</f>
        <v/>
      </c>
      <c r="GN358" s="62">
        <f>SUMIFS(tblSafety[HPI],tblSafety[Date],$A358)</f>
        <v/>
      </c>
      <c r="GO358" s="62">
        <f>IF($B358=$B357,$GO357,0)+$GN358</f>
        <v/>
      </c>
      <c r="GP358" s="62">
        <f>$GP357+$GN358</f>
        <v/>
      </c>
      <c r="GQ358" s="62">
        <f>SUMIFS(tblSafety[Env_Incidents],tblSafety[Date],$A358)</f>
        <v/>
      </c>
      <c r="GR358" s="62">
        <f>IF($B358=$B357,$GR357,0)+$GQ358</f>
        <v/>
      </c>
      <c r="GS358" s="62">
        <f>$GS357+$GQ358</f>
        <v/>
      </c>
      <c r="GT358" s="62">
        <f>SUMIFS(tblSafety[Community_Incidents],tblSafety[Date],$A358)</f>
        <v/>
      </c>
      <c r="GU358" s="62">
        <f>IF($B358=$B357,$GU357,0)+$GT358</f>
        <v/>
      </c>
      <c r="GV358" s="62">
        <f>$GV357+$GT358</f>
        <v/>
      </c>
      <c r="GW358" s="62">
        <f>SUMIFS(tblSafety[Vehicle_Incidents],tblSafety[Date],$A358)</f>
        <v/>
      </c>
      <c r="GX358" s="62">
        <f>IF($B358=$B357,$GX357,0)+$GW358</f>
        <v/>
      </c>
      <c r="GY358" s="62">
        <f>$GY357+$GW358</f>
        <v/>
      </c>
      <c r="GZ358" s="62">
        <f>SUMIFS(tblSafety[Toolbox_Talks],tblSafety[Date],$A358)</f>
        <v/>
      </c>
      <c r="HA358" s="62">
        <f>IF($B358=$B357,$HA357,0)+$GZ358</f>
        <v/>
      </c>
      <c r="HB358" s="62">
        <f>$HB357+$GZ358</f>
        <v/>
      </c>
      <c r="HC358" s="62">
        <f>SUMIFS(tblSafety[Inspections],tblSafety[Date],$A358)</f>
        <v/>
      </c>
      <c r="HD358" s="62">
        <f>IF($B358=$B357,$HD357,0)+$HC358</f>
        <v/>
      </c>
      <c r="HE358" s="62">
        <f>$HE357+$HC358</f>
        <v/>
      </c>
      <c r="HF358" s="56">
        <f>IFERROR((SUMIFS(tblSafety[Recordables],tblSafety[Date],"&gt;="&amp;EDATE($E358,-12),tblSafety[Date],"&lt;="&amp;$A358)+SUMIFS(tblSafetyHistory[Recordables],tblSafetyHistory[Month],"&gt;="&amp;EDATE($E358,-12),tblSafetyHistory[Month],"&lt;"&amp;cfg_YearStart))/(SUMIFS(tblSafety[Hours_Total],tblSafety[Date],"&gt;="&amp;EDATE($E358,-12),tblSafety[Date],"&lt;="&amp;$A358)+SUMIFS(tblSafetyHistory[Hours_Total],tblSafetyHistory[Month],"&gt;="&amp;EDATE($E358,-12),tblSafetyHistory[Month],"&lt;"&amp;cfg_YearStart))*1000000,"")</f>
        <v/>
      </c>
      <c r="HG358" s="56">
        <f>IFERROR((SUMIFS(tblSafety[LTI],tblSafety[Date],"&gt;="&amp;EDATE($E358,-12),tblSafety[Date],"&lt;="&amp;$A358)+SUMIFS(tblSafetyHistory[LTI],tblSafetyHistory[Month],"&gt;="&amp;EDATE($E358,-12),tblSafetyHistory[Month],"&lt;"&amp;cfg_YearStart))/(SUMIFS(tblSafety[Hours_Total],tblSafety[Date],"&gt;="&amp;EDATE($E358,-12),tblSafety[Date],"&lt;="&amp;$A358)+SUMIFS(tblSafetyHistory[Hours_Total],tblSafetyHistory[Month],"&gt;="&amp;EDATE($E358,-12),tblSafetyHistory[Month],"&lt;"&amp;cfg_YearStart))*1000000,"")</f>
        <v/>
      </c>
      <c r="HH358" s="62">
        <f>IF(MAX(N(cfg_PriorLTIDate),_xlfn.MAXIFS(tblSafety[Date],tblSafety[LTI],"&gt;0",tblSafety[Date],"&lt;="&amp;$A358))=0,"",$A358-MAX(N(cfg_PriorLTIDate),_xlfn.MAXIFS(tblSafety[Date],tblSafety[LTI],"&gt;0",tblSafety[Date],"&lt;="&amp;$A358)))</f>
        <v/>
      </c>
      <c r="HI358" s="55">
        <f>SUMIFS(tblBudget[Ore_Mined_t],tblBudget[Month],$E358)</f>
        <v/>
      </c>
      <c r="HJ358" s="55">
        <f>$HI358*$C358/$D358</f>
        <v/>
      </c>
      <c r="HK358" s="55">
        <f>SUMIFS(tblBudget[Ore_Mined_t],tblBudget[Month],"&lt;"&amp;$E358)+$HJ358</f>
        <v/>
      </c>
      <c r="HL358" s="55">
        <f>SUMIFS(tblBudget[Ore_oz],tblBudget[Month],$E358)</f>
        <v/>
      </c>
      <c r="HM358" s="55">
        <f>$HL358*$C358/$D358</f>
        <v/>
      </c>
      <c r="HN358" s="55">
        <f>SUMIFS(tblBudget[Ore_oz],tblBudget[Month],"&lt;"&amp;$E358)+$HM358</f>
        <v/>
      </c>
      <c r="HO358" s="56">
        <f>IFERROR(IF(($HI358)&gt;0,($HL358*cfg_TroyOz)/($HI358),""),"")</f>
        <v/>
      </c>
      <c r="HP358" s="56">
        <f>IFERROR(IF(($HJ358)&gt;0,($HM358*cfg_TroyOz)/($HJ358),""),"")</f>
        <v/>
      </c>
      <c r="HQ358" s="56">
        <f>IFERROR(IF(($HK358)&gt;0,($HN358*cfg_TroyOz)/($HK358),""),"")</f>
        <v/>
      </c>
      <c r="HR358" s="55">
        <f>SUMIFS(tblBudget[Waste_t],tblBudget[Month],$E358)</f>
        <v/>
      </c>
      <c r="HS358" s="55">
        <f>$HR358*$C358/$D358</f>
        <v/>
      </c>
      <c r="HT358" s="55">
        <f>SUMIFS(tblBudget[Waste_t],tblBudget[Month],"&lt;"&amp;$E358)+$HS358</f>
        <v/>
      </c>
      <c r="HU358" s="55">
        <f>SUMIFS(tblBudget[TMM_t],tblBudget[Month],$E358)</f>
        <v/>
      </c>
      <c r="HV358" s="55">
        <f>$HU358*$C358/$D358</f>
        <v/>
      </c>
      <c r="HW358" s="55">
        <f>SUMIFS(tblBudget[TMM_t],tblBudget[Month],"&lt;"&amp;$E358)+$HV358</f>
        <v/>
      </c>
      <c r="HX358" s="56">
        <f>IFERROR(IF(($HI358)&gt;0,($HR358)/($HI358),""),"")</f>
        <v/>
      </c>
      <c r="HY358" s="56">
        <f>IFERROR(IF(($HJ358)&gt;0,($HS358)/($HJ358),""),"")</f>
        <v/>
      </c>
      <c r="HZ358" s="56">
        <f>IFERROR(IF(($HK358)&gt;0,($HT358)/($HK358),""),"")</f>
        <v/>
      </c>
      <c r="IA358" s="55">
        <f>SUMIFS(tblBudget[Drill_m],tblBudget[Month],$E358)</f>
        <v/>
      </c>
      <c r="IB358" s="55">
        <f>$IA358*$C358/$D358</f>
        <v/>
      </c>
      <c r="IC358" s="55">
        <f>SUMIFS(tblBudget[Drill_m],tblBudget[Month],"&lt;"&amp;$E358)+$IB358</f>
        <v/>
      </c>
      <c r="ID358" s="55">
        <f>SUMIFS(tblBudget[Diesel_L],tblBudget[Month],$E358)</f>
        <v/>
      </c>
      <c r="IE358" s="55">
        <f>$ID358*$C358/$D358</f>
        <v/>
      </c>
      <c r="IF358" s="55">
        <f>SUMIFS(tblBudget[Diesel_L],tblBudget[Month],"&lt;"&amp;$E358)+$IE358</f>
        <v/>
      </c>
      <c r="IG358" s="55">
        <f>SUMIFS(tblBudget[Milled_t],tblBudget[Month],$E358)</f>
        <v/>
      </c>
      <c r="IH358" s="55">
        <f>$IG358*$C358/$D358</f>
        <v/>
      </c>
      <c r="II358" s="55">
        <f>SUMIFS(tblBudget[Milled_t],tblBudget[Month],"&lt;"&amp;$E358)+$IH358</f>
        <v/>
      </c>
      <c r="IJ358" s="55">
        <f>SUMIFS(tblBudget[Feed_oz],tblBudget[Month],$E358)</f>
        <v/>
      </c>
      <c r="IK358" s="55">
        <f>$IJ358*$C358/$D358</f>
        <v/>
      </c>
      <c r="IL358" s="55">
        <f>SUMIFS(tblBudget[Feed_oz],tblBudget[Month],"&lt;"&amp;$E358)+$IK358</f>
        <v/>
      </c>
      <c r="IM358" s="55">
        <f>SUMIFS(tblBudget[Recovered_oz],tblBudget[Month],$E358)</f>
        <v/>
      </c>
      <c r="IN358" s="55">
        <f>$IM358*$C358/$D358</f>
        <v/>
      </c>
      <c r="IO358" s="55">
        <f>SUMIFS(tblBudget[Recovered_oz],tblBudget[Month],"&lt;"&amp;$E358)+$IN358</f>
        <v/>
      </c>
      <c r="IP358" s="56">
        <f>IFERROR(IF(($IG358)&gt;0,($IJ358*cfg_TroyOz)/($IG358),""),"")</f>
        <v/>
      </c>
      <c r="IQ358" s="56">
        <f>IFERROR(IF(($IH358)&gt;0,($IK358*cfg_TroyOz)/($IH358),""),"")</f>
        <v/>
      </c>
      <c r="IR358" s="56">
        <f>IFERROR(IF(($II358)&gt;0,($IL358*cfg_TroyOz)/($II358),""),"")</f>
        <v/>
      </c>
      <c r="IS358" s="67">
        <f>IFERROR(IF(($IJ358)&gt;0,($IM358)/($IJ358),""),"")</f>
        <v/>
      </c>
      <c r="IT358" s="67">
        <f>IFERROR(IF(($IK358)&gt;0,($IN358)/($IK358),""),"")</f>
        <v/>
      </c>
      <c r="IU358" s="67">
        <f>IFERROR(IF(($IL358)&gt;0,($IO358)/($IL358),""),"")</f>
        <v/>
      </c>
      <c r="IV358" s="55">
        <f>SUMIFS(tblBudget[Gold_Poured_oz],tblBudget[Month],$E358)</f>
        <v/>
      </c>
      <c r="IW358" s="55">
        <f>$IV358*$C358/$D358</f>
        <v/>
      </c>
      <c r="IX358" s="55">
        <f>SUMIFS(tblBudget[Gold_Poured_oz],tblBudget[Month],"&lt;"&amp;$E358)+$IW358</f>
        <v/>
      </c>
      <c r="IY358" s="57">
        <f>SUMIFS(tblBudget[Hours_Worked],tblBudget[Month],$E358)</f>
        <v/>
      </c>
      <c r="IZ358" s="57">
        <f>$IY358*$C358/$D358</f>
        <v/>
      </c>
      <c r="JA358" s="57">
        <f>SUMIFS(tblBudget[Hours_Worked],tblBudget[Month],"&lt;"&amp;$E358)+$IZ358</f>
        <v/>
      </c>
    </row>
    <row r="359">
      <c r="A359" s="54" t="n">
        <v>46380</v>
      </c>
      <c r="B359">
        <f>MONTH($A359)</f>
        <v/>
      </c>
      <c r="C359">
        <f>DAY($A359)</f>
        <v/>
      </c>
      <c r="D359">
        <f>DAY(EOMONTH($A359,0))</f>
        <v/>
      </c>
      <c r="E359" s="54">
        <f>DATE(YEAR($A359),MONTH($A359),1)</f>
        <v/>
      </c>
      <c r="F359" s="55">
        <f>SUMIFS(tblMovement[Tonnes_t],tblMovement[Date],$A359,tblMovement[Is_Ore],1,tblMovement[Source_Type],"Pit")</f>
        <v/>
      </c>
      <c r="G359" s="55">
        <f>IF($B359=$B358,$G358,0)+$F359</f>
        <v/>
      </c>
      <c r="H359" s="55">
        <f>$H358+$F359</f>
        <v/>
      </c>
      <c r="I359" s="55">
        <f>SUMIFS(tblMovement[Ore_oz],tblMovement[Date],$A359,tblMovement[Source_Type],"Pit")</f>
        <v/>
      </c>
      <c r="J359" s="55">
        <f>IF($B359=$B358,$J358,0)+$I359</f>
        <v/>
      </c>
      <c r="K359" s="55">
        <f>$K358+$I359</f>
        <v/>
      </c>
      <c r="L359" s="56">
        <f>IFERROR(IF(($F359)&gt;0,($I359*cfg_TroyOz)/($F359),""),"")</f>
        <v/>
      </c>
      <c r="M359" s="56">
        <f>IFERROR(IF(($G359)&gt;0,($J359*cfg_TroyOz)/($G359),""),"")</f>
        <v/>
      </c>
      <c r="N359" s="56">
        <f>IFERROR(IF(($H359)&gt;0,($K359*cfg_TroyOz)/($H359),""),"")</f>
        <v/>
      </c>
      <c r="O359" s="55">
        <f>SUMIFS(tblMovement[Tonnes_t],tblMovement[Date],$A359,tblMovement[Is_Ore],0,tblMovement[Source_Type],"Pit")</f>
        <v/>
      </c>
      <c r="P359" s="55">
        <f>IF($B359=$B358,$P358,0)+$O359</f>
        <v/>
      </c>
      <c r="Q359" s="55">
        <f>$Q358+$O359</f>
        <v/>
      </c>
      <c r="R359" s="55">
        <f>$F359+$O359</f>
        <v/>
      </c>
      <c r="S359" s="55">
        <f>IF($B359=$B358,$S358,0)+$R359</f>
        <v/>
      </c>
      <c r="T359" s="55">
        <f>$T358+$R359</f>
        <v/>
      </c>
      <c r="U359" s="56">
        <f>IFERROR(IF(($F359)&gt;0,($O359)/($F359),""),"")</f>
        <v/>
      </c>
      <c r="V359" s="56">
        <f>IFERROR(IF(($G359)&gt;0,($P359)/($G359),""),"")</f>
        <v/>
      </c>
      <c r="W359" s="56">
        <f>IFERROR(IF(($H359)&gt;0,($Q359)/($H359),""),"")</f>
        <v/>
      </c>
      <c r="X359" s="55">
        <f>SUMIFS(tblMovement[Tonnes_t],tblMovement[Date],$A359,tblMovement[Source_Type],"Stockpile")</f>
        <v/>
      </c>
      <c r="Y359" s="55">
        <f>IF($B359=$B358,$Y358,0)+$X359</f>
        <v/>
      </c>
      <c r="Z359" s="55">
        <f>$Z358+$X359</f>
        <v/>
      </c>
      <c r="AA359" s="55">
        <f>SUMIFS(tblMiningDaily[Drill_m],tblMiningDaily[Date],$A359)</f>
        <v/>
      </c>
      <c r="AB359" s="55">
        <f>IF($B359=$B358,$AB358,0)+$AA359</f>
        <v/>
      </c>
      <c r="AC359" s="55">
        <f>$AC358+$AA359</f>
        <v/>
      </c>
      <c r="AD359" s="55">
        <f>SUMIFS(tblMiningDaily[Blast_t],tblMiningDaily[Date],$A359)</f>
        <v/>
      </c>
      <c r="AE359" s="55">
        <f>IF($B359=$B358,$AE358,0)+$AD359</f>
        <v/>
      </c>
      <c r="AF359" s="55">
        <f>$AF358+$AD359</f>
        <v/>
      </c>
      <c r="AG359" s="55">
        <f>SUMIFS(tblMiningDaily[Explosives_kg],tblMiningDaily[Date],$A359)</f>
        <v/>
      </c>
      <c r="AH359" s="55">
        <f>IF($B359=$B358,$AH358,0)+$AG359</f>
        <v/>
      </c>
      <c r="AI359" s="55">
        <f>$AI358+$AG359</f>
        <v/>
      </c>
      <c r="AJ359" s="56">
        <f>IFERROR(IF(($AD359)&gt;0,($AG359)/($AD359),""),"")</f>
        <v/>
      </c>
      <c r="AK359" s="56">
        <f>IFERROR(IF(($AE359)&gt;0,($AH359)/($AE359),""),"")</f>
        <v/>
      </c>
      <c r="AL359" s="56">
        <f>IFERROR(IF(($AF359)&gt;0,($AI359)/($AF359),""),"")</f>
        <v/>
      </c>
      <c r="AM359" s="55">
        <f>SUMIFS(tblMiningDaily[Diesel_L],tblMiningDaily[Date],$A359)</f>
        <v/>
      </c>
      <c r="AN359" s="55">
        <f>IF($B359=$B358,$AN358,0)+$AM359</f>
        <v/>
      </c>
      <c r="AO359" s="55">
        <f>$AO358+$AM359</f>
        <v/>
      </c>
      <c r="AP359" s="55">
        <f>SUMIFS(tblMiningDaily[Dewatering_m3],tblMiningDaily[Date],$A359)</f>
        <v/>
      </c>
      <c r="AQ359" s="55">
        <f>IF($B359=$B358,$AQ358,0)+$AP359</f>
        <v/>
      </c>
      <c r="AR359" s="55">
        <f>$AR358+$AP359</f>
        <v/>
      </c>
      <c r="AS359" s="57">
        <f>SUMIFS(tblFleet[Calendar_h],tblFleet[Date],$A359,tblFleet[Equipment_Class],"Excavator")</f>
        <v/>
      </c>
      <c r="AT359" s="57">
        <f>IF($B359=$B358,$AT358,0)+$AS359</f>
        <v/>
      </c>
      <c r="AU359" s="57">
        <f>$AU358+$AS359</f>
        <v/>
      </c>
      <c r="AV359" s="57">
        <f>SUMIFS(tblFleet[Available_h],tblFleet[Date],$A359,tblFleet[Equipment_Class],"Excavator")</f>
        <v/>
      </c>
      <c r="AW359" s="57">
        <f>IF($B359=$B358,$AW358,0)+$AV359</f>
        <v/>
      </c>
      <c r="AX359" s="57">
        <f>$AX358+$AV359</f>
        <v/>
      </c>
      <c r="AY359" s="57">
        <f>SUMIFS(tblFleet[Operating_h],tblFleet[Date],$A359,tblFleet[Equipment_Class],"Excavator")</f>
        <v/>
      </c>
      <c r="AZ359" s="57">
        <f>IF($B359=$B358,$AZ358,0)+$AY359</f>
        <v/>
      </c>
      <c r="BA359" s="57">
        <f>$BA358+$AY359</f>
        <v/>
      </c>
      <c r="BB359" s="67">
        <f>IFERROR(IF(($AS359)&gt;0,($AV359)/($AS359),""),"")</f>
        <v/>
      </c>
      <c r="BC359" s="67">
        <f>IFERROR(IF(($AT359)&gt;0,($AW359)/($AT359),""),"")</f>
        <v/>
      </c>
      <c r="BD359" s="67">
        <f>IFERROR(IF(($AU359)&gt;0,($AX359)/($AU359),""),"")</f>
        <v/>
      </c>
      <c r="BE359" s="67">
        <f>IFERROR(IF(($AV359)&gt;0,($AY359)/($AV359),""),"")</f>
        <v/>
      </c>
      <c r="BF359" s="67">
        <f>IFERROR(IF(($AW359)&gt;0,($AZ359)/($AW359),""),"")</f>
        <v/>
      </c>
      <c r="BG359" s="67">
        <f>IFERROR(IF(($AX359)&gt;0,($BA359)/($AX359),""),"")</f>
        <v/>
      </c>
      <c r="BH359" s="57">
        <f>SUMIFS(tblFleet[Calendar_h],tblFleet[Date],$A359,tblFleet[Equipment_Class],"Haul Truck")</f>
        <v/>
      </c>
      <c r="BI359" s="57">
        <f>IF($B359=$B358,$BI358,0)+$BH359</f>
        <v/>
      </c>
      <c r="BJ359" s="57">
        <f>$BJ358+$BH359</f>
        <v/>
      </c>
      <c r="BK359" s="57">
        <f>SUMIFS(tblFleet[Available_h],tblFleet[Date],$A359,tblFleet[Equipment_Class],"Haul Truck")</f>
        <v/>
      </c>
      <c r="BL359" s="57">
        <f>IF($B359=$B358,$BL358,0)+$BK359</f>
        <v/>
      </c>
      <c r="BM359" s="57">
        <f>$BM358+$BK359</f>
        <v/>
      </c>
      <c r="BN359" s="57">
        <f>SUMIFS(tblFleet[Operating_h],tblFleet[Date],$A359,tblFleet[Equipment_Class],"Haul Truck")</f>
        <v/>
      </c>
      <c r="BO359" s="57">
        <f>IF($B359=$B358,$BO358,0)+$BN359</f>
        <v/>
      </c>
      <c r="BP359" s="57">
        <f>$BP358+$BN359</f>
        <v/>
      </c>
      <c r="BQ359" s="67">
        <f>IFERROR(IF(($BH359)&gt;0,($BK359)/($BH359),""),"")</f>
        <v/>
      </c>
      <c r="BR359" s="67">
        <f>IFERROR(IF(($BI359)&gt;0,($BL359)/($BI359),""),"")</f>
        <v/>
      </c>
      <c r="BS359" s="67">
        <f>IFERROR(IF(($BJ359)&gt;0,($BM359)/($BJ359),""),"")</f>
        <v/>
      </c>
      <c r="BT359" s="67">
        <f>IFERROR(IF(($BK359)&gt;0,($BN359)/($BK359),""),"")</f>
        <v/>
      </c>
      <c r="BU359" s="67">
        <f>IFERROR(IF(($BL359)&gt;0,($BO359)/($BL359),""),"")</f>
        <v/>
      </c>
      <c r="BV359" s="67">
        <f>IFERROR(IF(($BM359)&gt;0,($BP359)/($BM359),""),"")</f>
        <v/>
      </c>
      <c r="BW359" s="55">
        <f>SUMIFS(tblPlant[Crushed_t],tblPlant[Date],$A359)</f>
        <v/>
      </c>
      <c r="BX359" s="55">
        <f>IF($B359=$B358,$BX358,0)+$BW359</f>
        <v/>
      </c>
      <c r="BY359" s="55">
        <f>$BY358+$BW359</f>
        <v/>
      </c>
      <c r="BZ359" s="55">
        <f>SUMIFS(tblPlant[Milled_t],tblPlant[Date],$A359)</f>
        <v/>
      </c>
      <c r="CA359" s="55">
        <f>IF($B359=$B358,$CA358,0)+$BZ359</f>
        <v/>
      </c>
      <c r="CB359" s="55">
        <f>$CB358+$BZ359</f>
        <v/>
      </c>
      <c r="CC359" s="55">
        <f>SUMIFS(tblPlant[Feed_oz],tblPlant[Date],$A359)</f>
        <v/>
      </c>
      <c r="CD359" s="55">
        <f>IF($B359=$B358,$CD358,0)+$CC359</f>
        <v/>
      </c>
      <c r="CE359" s="55">
        <f>$CE358+$CC359</f>
        <v/>
      </c>
      <c r="CF359" s="55">
        <f>SUMIFS(tblPlant[Tails_oz],tblPlant[Date],$A359)</f>
        <v/>
      </c>
      <c r="CG359" s="55">
        <f>IF($B359=$B358,$CG358,0)+$CF359</f>
        <v/>
      </c>
      <c r="CH359" s="55">
        <f>$CH358+$CF359</f>
        <v/>
      </c>
      <c r="CI359" s="55">
        <f>SUMIFS(tblPlant[Recovered_oz],tblPlant[Date],$A359)</f>
        <v/>
      </c>
      <c r="CJ359" s="55">
        <f>IF($B359=$B358,$CJ358,0)+$CI359</f>
        <v/>
      </c>
      <c r="CK359" s="55">
        <f>$CK358+$CI359</f>
        <v/>
      </c>
      <c r="CL359" s="56">
        <f>IFERROR(IF(($BZ359)&gt;0,($CC359*cfg_TroyOz)/($BZ359),""),"")</f>
        <v/>
      </c>
      <c r="CM359" s="56">
        <f>IFERROR(IF(($CA359)&gt;0,($CD359*cfg_TroyOz)/($CA359),""),"")</f>
        <v/>
      </c>
      <c r="CN359" s="56">
        <f>IFERROR(IF(($CB359)&gt;0,($CE359*cfg_TroyOz)/($CB359),""),"")</f>
        <v/>
      </c>
      <c r="CO359" s="56">
        <f>IFERROR(IF(($BZ359)&gt;0,($CF359*cfg_TroyOz)/($BZ359),""),"")</f>
        <v/>
      </c>
      <c r="CP359" s="56">
        <f>IFERROR(IF(($CA359)&gt;0,($CG359*cfg_TroyOz)/($CA359),""),"")</f>
        <v/>
      </c>
      <c r="CQ359" s="56">
        <f>IFERROR(IF(($CB359)&gt;0,($CH359*cfg_TroyOz)/($CB359),""),"")</f>
        <v/>
      </c>
      <c r="CR359" s="67">
        <f>IFERROR(IF(($CC359)&gt;0,($CI359)/($CC359),""),"")</f>
        <v/>
      </c>
      <c r="CS359" s="67">
        <f>IFERROR(IF(($CD359)&gt;0,($CJ359)/($CD359),""),"")</f>
        <v/>
      </c>
      <c r="CT359" s="67">
        <f>IFERROR(IF(($CE359)&gt;0,($CK359)/($CE359),""),"")</f>
        <v/>
      </c>
      <c r="CU359" s="55">
        <f>SUMIFS(tblPlant[Gravity_Gold_oz],tblPlant[Date],$A359)</f>
        <v/>
      </c>
      <c r="CV359" s="55">
        <f>IF($B359=$B358,$CV358,0)+$CU359</f>
        <v/>
      </c>
      <c r="CW359" s="55">
        <f>$CW358+$CU359</f>
        <v/>
      </c>
      <c r="CX359" s="55">
        <f>SUMIFS(tblPlant[Gold_Poured_oz],tblPlant[Date],$A359)</f>
        <v/>
      </c>
      <c r="CY359" s="55">
        <f>IF($B359=$B358,$CY358,0)+$CX359</f>
        <v/>
      </c>
      <c r="CZ359" s="55">
        <f>$CZ358+$CX359</f>
        <v/>
      </c>
      <c r="DA359" s="57">
        <f>SUMIFS(tblPlant[Mill_Run_h],tblPlant[Date],$A359)</f>
        <v/>
      </c>
      <c r="DB359" s="57">
        <f>IF($B359=$B358,$DB358,0)+$DA359</f>
        <v/>
      </c>
      <c r="DC359" s="57">
        <f>$DC358+$DA359</f>
        <v/>
      </c>
      <c r="DD359" s="57">
        <f>SUMIFS(tblPlant[Mill_Planned_Maint_h],tblPlant[Date],$A359)</f>
        <v/>
      </c>
      <c r="DE359" s="57">
        <f>IF($B359=$B358,$DE358,0)+$DD359</f>
        <v/>
      </c>
      <c r="DF359" s="57">
        <f>$DF358+$DD359</f>
        <v/>
      </c>
      <c r="DG359" s="57">
        <f>SUMIFS(tblPlant[Mill_Unplanned_Down_h],tblPlant[Date],$A359)</f>
        <v/>
      </c>
      <c r="DH359" s="57">
        <f>IF($B359=$B358,$DH358,0)+$DG359</f>
        <v/>
      </c>
      <c r="DI359" s="57">
        <f>$DI358+$DG359</f>
        <v/>
      </c>
      <c r="DJ359" s="57">
        <f>COUNTIFS(tblPlant[Date],$A359,tblPlant[Mill_Run_h],"&lt;&gt;")*24</f>
        <v/>
      </c>
      <c r="DK359" s="57">
        <f>IF($B359=$B358,$DK358,0)+$DJ359</f>
        <v/>
      </c>
      <c r="DL359" s="57">
        <f>$DL358+$DJ359</f>
        <v/>
      </c>
      <c r="DM359" s="57">
        <f>SUMIFS(tblPlant[Crusher_Run_h],tblPlant[Date],$A359)</f>
        <v/>
      </c>
      <c r="DN359" s="57">
        <f>IF($B359=$B358,$DN358,0)+$DM359</f>
        <v/>
      </c>
      <c r="DO359" s="57">
        <f>$DO358+$DM359</f>
        <v/>
      </c>
      <c r="DP359" s="55">
        <f>IFERROR(IF(($DA359)&gt;0,($BZ359)/($DA359),""),"")</f>
        <v/>
      </c>
      <c r="DQ359" s="55">
        <f>IFERROR(IF(($DB359)&gt;0,($CA359)/($DB359),""),"")</f>
        <v/>
      </c>
      <c r="DR359" s="55">
        <f>IFERROR(IF(($DC359)&gt;0,($CB359)/($DC359),""),"")</f>
        <v/>
      </c>
      <c r="DS359" s="67">
        <f>IFERROR(IF(($DJ359)&gt;0,($DJ359-$DD359-$DG359)/($DJ359),""),"")</f>
        <v/>
      </c>
      <c r="DT359" s="67">
        <f>IFERROR(IF(($DK359)&gt;0,($DK359-$DE359-$DH359)/($DK359),""),"")</f>
        <v/>
      </c>
      <c r="DU359" s="67">
        <f>IFERROR(IF(($DL359)&gt;0,($DL359-$DF359-$DI359)/($DL359),""),"")</f>
        <v/>
      </c>
      <c r="DV359" s="67">
        <f>IFERROR(IF(($DJ359-$DD359-$DG359)&gt;0,($DA359)/($DJ359-$DD359-$DG359),""),"")</f>
        <v/>
      </c>
      <c r="DW359" s="67">
        <f>IFERROR(IF(($DK359-$DE359-$DH359)&gt;0,($DB359)/($DK359-$DE359-$DH359),""),"")</f>
        <v/>
      </c>
      <c r="DX359" s="67">
        <f>IFERROR(IF(($DL359-$DF359-$DI359)&gt;0,($DC359)/($DL359-$DF359-$DI359),""),"")</f>
        <v/>
      </c>
      <c r="DY359" s="55">
        <f>SUMIFS(tblPlant[Cyanide_kg],tblPlant[Date],$A359)</f>
        <v/>
      </c>
      <c r="DZ359" s="55">
        <f>IF($B359=$B358,$DZ358,0)+$DY359</f>
        <v/>
      </c>
      <c r="EA359" s="55">
        <f>$EA358+$DY359</f>
        <v/>
      </c>
      <c r="EB359" s="55">
        <f>SUMIFS(tblPlant[Lime_kg],tblPlant[Date],$A359)</f>
        <v/>
      </c>
      <c r="EC359" s="55">
        <f>IF($B359=$B358,$EC358,0)+$EB359</f>
        <v/>
      </c>
      <c r="ED359" s="55">
        <f>$ED358+$EB359</f>
        <v/>
      </c>
      <c r="EE359" s="55">
        <f>SUMIFS(tblPlant[Grinding_Media_kg],tblPlant[Date],$A359)</f>
        <v/>
      </c>
      <c r="EF359" s="55">
        <f>IF($B359=$B358,$EF358,0)+$EE359</f>
        <v/>
      </c>
      <c r="EG359" s="55">
        <f>$EG358+$EE359</f>
        <v/>
      </c>
      <c r="EH359" s="55">
        <f>SUMIFS(tblPlant[Power_kWh],tblPlant[Date],$A359)</f>
        <v/>
      </c>
      <c r="EI359" s="55">
        <f>IF($B359=$B358,$EI358,0)+$EH359</f>
        <v/>
      </c>
      <c r="EJ359" s="55">
        <f>$EJ358+$EH359</f>
        <v/>
      </c>
      <c r="EK359" s="55">
        <f>SUMIFS(tblPlant[Raw_Water_m3],tblPlant[Date],$A359)</f>
        <v/>
      </c>
      <c r="EL359" s="55">
        <f>IF($B359=$B358,$EL358,0)+$EK359</f>
        <v/>
      </c>
      <c r="EM359" s="55">
        <f>$EM358+$EK359</f>
        <v/>
      </c>
      <c r="EN359" s="56">
        <f>IFERROR(IF(($BZ359)&gt;0,($DY359)/($BZ359),""),"")</f>
        <v/>
      </c>
      <c r="EO359" s="56">
        <f>IFERROR(IF(($CA359)&gt;0,($DZ359)/($CA359),""),"")</f>
        <v/>
      </c>
      <c r="EP359" s="56">
        <f>IFERROR(IF(($CB359)&gt;0,($EA359)/($CB359),""),"")</f>
        <v/>
      </c>
      <c r="EQ359" s="56">
        <f>IFERROR(IF(($BZ359)&gt;0,($EB359)/($BZ359),""),"")</f>
        <v/>
      </c>
      <c r="ER359" s="56">
        <f>IFERROR(IF(($CA359)&gt;0,($EC359)/($CA359),""),"")</f>
        <v/>
      </c>
      <c r="ES359" s="56">
        <f>IFERROR(IF(($CB359)&gt;0,($ED359)/($CB359),""),"")</f>
        <v/>
      </c>
      <c r="ET359" s="56">
        <f>IFERROR(IF(($BZ359)&gt;0,($EE359)/($BZ359),""),"")</f>
        <v/>
      </c>
      <c r="EU359" s="56">
        <f>IFERROR(IF(($CA359)&gt;0,($EF359)/($CA359),""),"")</f>
        <v/>
      </c>
      <c r="EV359" s="56">
        <f>IFERROR(IF(($CB359)&gt;0,($EG359)/($CB359),""),"")</f>
        <v/>
      </c>
      <c r="EW359" s="76">
        <f>IFERROR(IF(($BZ359)&gt;0,($EH359)/($BZ359),""),"")</f>
        <v/>
      </c>
      <c r="EX359" s="76">
        <f>IFERROR(IF(($CA359)&gt;0,($EI359)/($CA359),""),"")</f>
        <v/>
      </c>
      <c r="EY359" s="76">
        <f>IFERROR(IF(($CB359)&gt;0,($EJ359)/($CB359),""),"")</f>
        <v/>
      </c>
      <c r="EZ359" s="56">
        <f>IFERROR(IF(($BZ359)&gt;0,($EK359)/($BZ359),""),"")</f>
        <v/>
      </c>
      <c r="FA359" s="56">
        <f>IFERROR(IF(($CA359)&gt;0,($EL359)/($CA359),""),"")</f>
        <v/>
      </c>
      <c r="FB359" s="56">
        <f>IFERROR(IF(($CB359)&gt;0,($EM359)/($CB359),""),"")</f>
        <v/>
      </c>
      <c r="FC359" s="55">
        <f>IF(SUMIFS(tblPlant[GIC_oz],tblPlant[Date],$A359)&gt;0,SUMIFS(tblPlant[GIC_oz],tblPlant[Date],$A359),"")</f>
        <v/>
      </c>
      <c r="FD359" s="55">
        <f>SUMIFS(tblGold[Gold_oz],tblGold[Date],$A359,tblGold[Type],"Shipment")</f>
        <v/>
      </c>
      <c r="FE359" s="55">
        <f>IF($B359=$B358,$FE358,0)+$FD359</f>
        <v/>
      </c>
      <c r="FF359" s="55">
        <f>$FF358+$FD359</f>
        <v/>
      </c>
      <c r="FG359" s="55">
        <f>SUMIFS(tblGold[Gold_oz],tblGold[Date],$A359,tblGold[Type],"Sale")</f>
        <v/>
      </c>
      <c r="FH359" s="55">
        <f>IF($B359=$B358,$FH358,0)+$FG359</f>
        <v/>
      </c>
      <c r="FI359" s="55">
        <f>$FI358+$FG359</f>
        <v/>
      </c>
      <c r="FJ359" s="55">
        <f>SUMIFS(tblGold[Dore_kg],tblGold[Date],$A359,tblGold[Type],"Shipment")</f>
        <v/>
      </c>
      <c r="FK359" s="55">
        <f>IF($B359=$B358,$FK358,0)+$FJ359</f>
        <v/>
      </c>
      <c r="FL359" s="55">
        <f>$FL358+$FJ359</f>
        <v/>
      </c>
      <c r="FM359" s="57">
        <f>SUMIFS(tblSafety[Hours_Total],tblSafety[Date],$A359)</f>
        <v/>
      </c>
      <c r="FN359" s="57">
        <f>IF($B359=$B358,$FN358,0)+$FM359</f>
        <v/>
      </c>
      <c r="FO359" s="57">
        <f>$FO358+$FM359</f>
        <v/>
      </c>
      <c r="FP359" s="62">
        <f>SUMIFS(tblSafety[Fatality],tblSafety[Date],$A359)</f>
        <v/>
      </c>
      <c r="FQ359" s="62">
        <f>IF($B359=$B358,$FQ358,0)+$FP359</f>
        <v/>
      </c>
      <c r="FR359" s="62">
        <f>$FR358+$FP359</f>
        <v/>
      </c>
      <c r="FS359" s="62">
        <f>SUMIFS(tblSafety[LTI],tblSafety[Date],$A359)</f>
        <v/>
      </c>
      <c r="FT359" s="62">
        <f>IF($B359=$B358,$FT358,0)+$FS359</f>
        <v/>
      </c>
      <c r="FU359" s="62">
        <f>$FU358+$FS359</f>
        <v/>
      </c>
      <c r="FV359" s="62">
        <f>SUMIFS(tblSafety[RWI],tblSafety[Date],$A359)</f>
        <v/>
      </c>
      <c r="FW359" s="62">
        <f>IF($B359=$B358,$FW358,0)+$FV359</f>
        <v/>
      </c>
      <c r="FX359" s="62">
        <f>$FX358+$FV359</f>
        <v/>
      </c>
      <c r="FY359" s="62">
        <f>SUMIFS(tblSafety[MTI],tblSafety[Date],$A359)</f>
        <v/>
      </c>
      <c r="FZ359" s="62">
        <f>IF($B359=$B358,$FZ358,0)+$FY359</f>
        <v/>
      </c>
      <c r="GA359" s="62">
        <f>$GA358+$FY359</f>
        <v/>
      </c>
      <c r="GB359" s="62">
        <f>SUMIFS(tblSafety[FAI],tblSafety[Date],$A359)</f>
        <v/>
      </c>
      <c r="GC359" s="62">
        <f>IF($B359=$B358,$GC358,0)+$GB359</f>
        <v/>
      </c>
      <c r="GD359" s="62">
        <f>$GD358+$GB359</f>
        <v/>
      </c>
      <c r="GE359" s="62">
        <f>SUMIFS(tblSafety[Recordables],tblSafety[Date],$A359)</f>
        <v/>
      </c>
      <c r="GF359" s="62">
        <f>IF($B359=$B358,$GF358,0)+$GE359</f>
        <v/>
      </c>
      <c r="GG359" s="62">
        <f>$GG358+$GE359</f>
        <v/>
      </c>
      <c r="GH359" s="62">
        <f>SUMIFS(tblSafety[Near_Miss],tblSafety[Date],$A359)</f>
        <v/>
      </c>
      <c r="GI359" s="62">
        <f>IF($B359=$B358,$GI358,0)+$GH359</f>
        <v/>
      </c>
      <c r="GJ359" s="62">
        <f>$GJ358+$GH359</f>
        <v/>
      </c>
      <c r="GK359" s="62">
        <f>SUMIFS(tblSafety[Hazard_Reports],tblSafety[Date],$A359)</f>
        <v/>
      </c>
      <c r="GL359" s="62">
        <f>IF($B359=$B358,$GL358,0)+$GK359</f>
        <v/>
      </c>
      <c r="GM359" s="62">
        <f>$GM358+$GK359</f>
        <v/>
      </c>
      <c r="GN359" s="62">
        <f>SUMIFS(tblSafety[HPI],tblSafety[Date],$A359)</f>
        <v/>
      </c>
      <c r="GO359" s="62">
        <f>IF($B359=$B358,$GO358,0)+$GN359</f>
        <v/>
      </c>
      <c r="GP359" s="62">
        <f>$GP358+$GN359</f>
        <v/>
      </c>
      <c r="GQ359" s="62">
        <f>SUMIFS(tblSafety[Env_Incidents],tblSafety[Date],$A359)</f>
        <v/>
      </c>
      <c r="GR359" s="62">
        <f>IF($B359=$B358,$GR358,0)+$GQ359</f>
        <v/>
      </c>
      <c r="GS359" s="62">
        <f>$GS358+$GQ359</f>
        <v/>
      </c>
      <c r="GT359" s="62">
        <f>SUMIFS(tblSafety[Community_Incidents],tblSafety[Date],$A359)</f>
        <v/>
      </c>
      <c r="GU359" s="62">
        <f>IF($B359=$B358,$GU358,0)+$GT359</f>
        <v/>
      </c>
      <c r="GV359" s="62">
        <f>$GV358+$GT359</f>
        <v/>
      </c>
      <c r="GW359" s="62">
        <f>SUMIFS(tblSafety[Vehicle_Incidents],tblSafety[Date],$A359)</f>
        <v/>
      </c>
      <c r="GX359" s="62">
        <f>IF($B359=$B358,$GX358,0)+$GW359</f>
        <v/>
      </c>
      <c r="GY359" s="62">
        <f>$GY358+$GW359</f>
        <v/>
      </c>
      <c r="GZ359" s="62">
        <f>SUMIFS(tblSafety[Toolbox_Talks],tblSafety[Date],$A359)</f>
        <v/>
      </c>
      <c r="HA359" s="62">
        <f>IF($B359=$B358,$HA358,0)+$GZ359</f>
        <v/>
      </c>
      <c r="HB359" s="62">
        <f>$HB358+$GZ359</f>
        <v/>
      </c>
      <c r="HC359" s="62">
        <f>SUMIFS(tblSafety[Inspections],tblSafety[Date],$A359)</f>
        <v/>
      </c>
      <c r="HD359" s="62">
        <f>IF($B359=$B358,$HD358,0)+$HC359</f>
        <v/>
      </c>
      <c r="HE359" s="62">
        <f>$HE358+$HC359</f>
        <v/>
      </c>
      <c r="HF359" s="56">
        <f>IFERROR((SUMIFS(tblSafety[Recordables],tblSafety[Date],"&gt;="&amp;EDATE($E359,-12),tblSafety[Date],"&lt;="&amp;$A359)+SUMIFS(tblSafetyHistory[Recordables],tblSafetyHistory[Month],"&gt;="&amp;EDATE($E359,-12),tblSafetyHistory[Month],"&lt;"&amp;cfg_YearStart))/(SUMIFS(tblSafety[Hours_Total],tblSafety[Date],"&gt;="&amp;EDATE($E359,-12),tblSafety[Date],"&lt;="&amp;$A359)+SUMIFS(tblSafetyHistory[Hours_Total],tblSafetyHistory[Month],"&gt;="&amp;EDATE($E359,-12),tblSafetyHistory[Month],"&lt;"&amp;cfg_YearStart))*1000000,"")</f>
        <v/>
      </c>
      <c r="HG359" s="56">
        <f>IFERROR((SUMIFS(tblSafety[LTI],tblSafety[Date],"&gt;="&amp;EDATE($E359,-12),tblSafety[Date],"&lt;="&amp;$A359)+SUMIFS(tblSafetyHistory[LTI],tblSafetyHistory[Month],"&gt;="&amp;EDATE($E359,-12),tblSafetyHistory[Month],"&lt;"&amp;cfg_YearStart))/(SUMIFS(tblSafety[Hours_Total],tblSafety[Date],"&gt;="&amp;EDATE($E359,-12),tblSafety[Date],"&lt;="&amp;$A359)+SUMIFS(tblSafetyHistory[Hours_Total],tblSafetyHistory[Month],"&gt;="&amp;EDATE($E359,-12),tblSafetyHistory[Month],"&lt;"&amp;cfg_YearStart))*1000000,"")</f>
        <v/>
      </c>
      <c r="HH359" s="62">
        <f>IF(MAX(N(cfg_PriorLTIDate),_xlfn.MAXIFS(tblSafety[Date],tblSafety[LTI],"&gt;0",tblSafety[Date],"&lt;="&amp;$A359))=0,"",$A359-MAX(N(cfg_PriorLTIDate),_xlfn.MAXIFS(tblSafety[Date],tblSafety[LTI],"&gt;0",tblSafety[Date],"&lt;="&amp;$A359)))</f>
        <v/>
      </c>
      <c r="HI359" s="55">
        <f>SUMIFS(tblBudget[Ore_Mined_t],tblBudget[Month],$E359)</f>
        <v/>
      </c>
      <c r="HJ359" s="55">
        <f>$HI359*$C359/$D359</f>
        <v/>
      </c>
      <c r="HK359" s="55">
        <f>SUMIFS(tblBudget[Ore_Mined_t],tblBudget[Month],"&lt;"&amp;$E359)+$HJ359</f>
        <v/>
      </c>
      <c r="HL359" s="55">
        <f>SUMIFS(tblBudget[Ore_oz],tblBudget[Month],$E359)</f>
        <v/>
      </c>
      <c r="HM359" s="55">
        <f>$HL359*$C359/$D359</f>
        <v/>
      </c>
      <c r="HN359" s="55">
        <f>SUMIFS(tblBudget[Ore_oz],tblBudget[Month],"&lt;"&amp;$E359)+$HM359</f>
        <v/>
      </c>
      <c r="HO359" s="56">
        <f>IFERROR(IF(($HI359)&gt;0,($HL359*cfg_TroyOz)/($HI359),""),"")</f>
        <v/>
      </c>
      <c r="HP359" s="56">
        <f>IFERROR(IF(($HJ359)&gt;0,($HM359*cfg_TroyOz)/($HJ359),""),"")</f>
        <v/>
      </c>
      <c r="HQ359" s="56">
        <f>IFERROR(IF(($HK359)&gt;0,($HN359*cfg_TroyOz)/($HK359),""),"")</f>
        <v/>
      </c>
      <c r="HR359" s="55">
        <f>SUMIFS(tblBudget[Waste_t],tblBudget[Month],$E359)</f>
        <v/>
      </c>
      <c r="HS359" s="55">
        <f>$HR359*$C359/$D359</f>
        <v/>
      </c>
      <c r="HT359" s="55">
        <f>SUMIFS(tblBudget[Waste_t],tblBudget[Month],"&lt;"&amp;$E359)+$HS359</f>
        <v/>
      </c>
      <c r="HU359" s="55">
        <f>SUMIFS(tblBudget[TMM_t],tblBudget[Month],$E359)</f>
        <v/>
      </c>
      <c r="HV359" s="55">
        <f>$HU359*$C359/$D359</f>
        <v/>
      </c>
      <c r="HW359" s="55">
        <f>SUMIFS(tblBudget[TMM_t],tblBudget[Month],"&lt;"&amp;$E359)+$HV359</f>
        <v/>
      </c>
      <c r="HX359" s="56">
        <f>IFERROR(IF(($HI359)&gt;0,($HR359)/($HI359),""),"")</f>
        <v/>
      </c>
      <c r="HY359" s="56">
        <f>IFERROR(IF(($HJ359)&gt;0,($HS359)/($HJ359),""),"")</f>
        <v/>
      </c>
      <c r="HZ359" s="56">
        <f>IFERROR(IF(($HK359)&gt;0,($HT359)/($HK359),""),"")</f>
        <v/>
      </c>
      <c r="IA359" s="55">
        <f>SUMIFS(tblBudget[Drill_m],tblBudget[Month],$E359)</f>
        <v/>
      </c>
      <c r="IB359" s="55">
        <f>$IA359*$C359/$D359</f>
        <v/>
      </c>
      <c r="IC359" s="55">
        <f>SUMIFS(tblBudget[Drill_m],tblBudget[Month],"&lt;"&amp;$E359)+$IB359</f>
        <v/>
      </c>
      <c r="ID359" s="55">
        <f>SUMIFS(tblBudget[Diesel_L],tblBudget[Month],$E359)</f>
        <v/>
      </c>
      <c r="IE359" s="55">
        <f>$ID359*$C359/$D359</f>
        <v/>
      </c>
      <c r="IF359" s="55">
        <f>SUMIFS(tblBudget[Diesel_L],tblBudget[Month],"&lt;"&amp;$E359)+$IE359</f>
        <v/>
      </c>
      <c r="IG359" s="55">
        <f>SUMIFS(tblBudget[Milled_t],tblBudget[Month],$E359)</f>
        <v/>
      </c>
      <c r="IH359" s="55">
        <f>$IG359*$C359/$D359</f>
        <v/>
      </c>
      <c r="II359" s="55">
        <f>SUMIFS(tblBudget[Milled_t],tblBudget[Month],"&lt;"&amp;$E359)+$IH359</f>
        <v/>
      </c>
      <c r="IJ359" s="55">
        <f>SUMIFS(tblBudget[Feed_oz],tblBudget[Month],$E359)</f>
        <v/>
      </c>
      <c r="IK359" s="55">
        <f>$IJ359*$C359/$D359</f>
        <v/>
      </c>
      <c r="IL359" s="55">
        <f>SUMIFS(tblBudget[Feed_oz],tblBudget[Month],"&lt;"&amp;$E359)+$IK359</f>
        <v/>
      </c>
      <c r="IM359" s="55">
        <f>SUMIFS(tblBudget[Recovered_oz],tblBudget[Month],$E359)</f>
        <v/>
      </c>
      <c r="IN359" s="55">
        <f>$IM359*$C359/$D359</f>
        <v/>
      </c>
      <c r="IO359" s="55">
        <f>SUMIFS(tblBudget[Recovered_oz],tblBudget[Month],"&lt;"&amp;$E359)+$IN359</f>
        <v/>
      </c>
      <c r="IP359" s="56">
        <f>IFERROR(IF(($IG359)&gt;0,($IJ359*cfg_TroyOz)/($IG359),""),"")</f>
        <v/>
      </c>
      <c r="IQ359" s="56">
        <f>IFERROR(IF(($IH359)&gt;0,($IK359*cfg_TroyOz)/($IH359),""),"")</f>
        <v/>
      </c>
      <c r="IR359" s="56">
        <f>IFERROR(IF(($II359)&gt;0,($IL359*cfg_TroyOz)/($II359),""),"")</f>
        <v/>
      </c>
      <c r="IS359" s="67">
        <f>IFERROR(IF(($IJ359)&gt;0,($IM359)/($IJ359),""),"")</f>
        <v/>
      </c>
      <c r="IT359" s="67">
        <f>IFERROR(IF(($IK359)&gt;0,($IN359)/($IK359),""),"")</f>
        <v/>
      </c>
      <c r="IU359" s="67">
        <f>IFERROR(IF(($IL359)&gt;0,($IO359)/($IL359),""),"")</f>
        <v/>
      </c>
      <c r="IV359" s="55">
        <f>SUMIFS(tblBudget[Gold_Poured_oz],tblBudget[Month],$E359)</f>
        <v/>
      </c>
      <c r="IW359" s="55">
        <f>$IV359*$C359/$D359</f>
        <v/>
      </c>
      <c r="IX359" s="55">
        <f>SUMIFS(tblBudget[Gold_Poured_oz],tblBudget[Month],"&lt;"&amp;$E359)+$IW359</f>
        <v/>
      </c>
      <c r="IY359" s="57">
        <f>SUMIFS(tblBudget[Hours_Worked],tblBudget[Month],$E359)</f>
        <v/>
      </c>
      <c r="IZ359" s="57">
        <f>$IY359*$C359/$D359</f>
        <v/>
      </c>
      <c r="JA359" s="57">
        <f>SUMIFS(tblBudget[Hours_Worked],tblBudget[Month],"&lt;"&amp;$E359)+$IZ359</f>
        <v/>
      </c>
    </row>
    <row r="360">
      <c r="A360" s="54" t="n">
        <v>46381</v>
      </c>
      <c r="B360">
        <f>MONTH($A360)</f>
        <v/>
      </c>
      <c r="C360">
        <f>DAY($A360)</f>
        <v/>
      </c>
      <c r="D360">
        <f>DAY(EOMONTH($A360,0))</f>
        <v/>
      </c>
      <c r="E360" s="54">
        <f>DATE(YEAR($A360),MONTH($A360),1)</f>
        <v/>
      </c>
      <c r="F360" s="55">
        <f>SUMIFS(tblMovement[Tonnes_t],tblMovement[Date],$A360,tblMovement[Is_Ore],1,tblMovement[Source_Type],"Pit")</f>
        <v/>
      </c>
      <c r="G360" s="55">
        <f>IF($B360=$B359,$G359,0)+$F360</f>
        <v/>
      </c>
      <c r="H360" s="55">
        <f>$H359+$F360</f>
        <v/>
      </c>
      <c r="I360" s="55">
        <f>SUMIFS(tblMovement[Ore_oz],tblMovement[Date],$A360,tblMovement[Source_Type],"Pit")</f>
        <v/>
      </c>
      <c r="J360" s="55">
        <f>IF($B360=$B359,$J359,0)+$I360</f>
        <v/>
      </c>
      <c r="K360" s="55">
        <f>$K359+$I360</f>
        <v/>
      </c>
      <c r="L360" s="56">
        <f>IFERROR(IF(($F360)&gt;0,($I360*cfg_TroyOz)/($F360),""),"")</f>
        <v/>
      </c>
      <c r="M360" s="56">
        <f>IFERROR(IF(($G360)&gt;0,($J360*cfg_TroyOz)/($G360),""),"")</f>
        <v/>
      </c>
      <c r="N360" s="56">
        <f>IFERROR(IF(($H360)&gt;0,($K360*cfg_TroyOz)/($H360),""),"")</f>
        <v/>
      </c>
      <c r="O360" s="55">
        <f>SUMIFS(tblMovement[Tonnes_t],tblMovement[Date],$A360,tblMovement[Is_Ore],0,tblMovement[Source_Type],"Pit")</f>
        <v/>
      </c>
      <c r="P360" s="55">
        <f>IF($B360=$B359,$P359,0)+$O360</f>
        <v/>
      </c>
      <c r="Q360" s="55">
        <f>$Q359+$O360</f>
        <v/>
      </c>
      <c r="R360" s="55">
        <f>$F360+$O360</f>
        <v/>
      </c>
      <c r="S360" s="55">
        <f>IF($B360=$B359,$S359,0)+$R360</f>
        <v/>
      </c>
      <c r="T360" s="55">
        <f>$T359+$R360</f>
        <v/>
      </c>
      <c r="U360" s="56">
        <f>IFERROR(IF(($F360)&gt;0,($O360)/($F360),""),"")</f>
        <v/>
      </c>
      <c r="V360" s="56">
        <f>IFERROR(IF(($G360)&gt;0,($P360)/($G360),""),"")</f>
        <v/>
      </c>
      <c r="W360" s="56">
        <f>IFERROR(IF(($H360)&gt;0,($Q360)/($H360),""),"")</f>
        <v/>
      </c>
      <c r="X360" s="55">
        <f>SUMIFS(tblMovement[Tonnes_t],tblMovement[Date],$A360,tblMovement[Source_Type],"Stockpile")</f>
        <v/>
      </c>
      <c r="Y360" s="55">
        <f>IF($B360=$B359,$Y359,0)+$X360</f>
        <v/>
      </c>
      <c r="Z360" s="55">
        <f>$Z359+$X360</f>
        <v/>
      </c>
      <c r="AA360" s="55">
        <f>SUMIFS(tblMiningDaily[Drill_m],tblMiningDaily[Date],$A360)</f>
        <v/>
      </c>
      <c r="AB360" s="55">
        <f>IF($B360=$B359,$AB359,0)+$AA360</f>
        <v/>
      </c>
      <c r="AC360" s="55">
        <f>$AC359+$AA360</f>
        <v/>
      </c>
      <c r="AD360" s="55">
        <f>SUMIFS(tblMiningDaily[Blast_t],tblMiningDaily[Date],$A360)</f>
        <v/>
      </c>
      <c r="AE360" s="55">
        <f>IF($B360=$B359,$AE359,0)+$AD360</f>
        <v/>
      </c>
      <c r="AF360" s="55">
        <f>$AF359+$AD360</f>
        <v/>
      </c>
      <c r="AG360" s="55">
        <f>SUMIFS(tblMiningDaily[Explosives_kg],tblMiningDaily[Date],$A360)</f>
        <v/>
      </c>
      <c r="AH360" s="55">
        <f>IF($B360=$B359,$AH359,0)+$AG360</f>
        <v/>
      </c>
      <c r="AI360" s="55">
        <f>$AI359+$AG360</f>
        <v/>
      </c>
      <c r="AJ360" s="56">
        <f>IFERROR(IF(($AD360)&gt;0,($AG360)/($AD360),""),"")</f>
        <v/>
      </c>
      <c r="AK360" s="56">
        <f>IFERROR(IF(($AE360)&gt;0,($AH360)/($AE360),""),"")</f>
        <v/>
      </c>
      <c r="AL360" s="56">
        <f>IFERROR(IF(($AF360)&gt;0,($AI360)/($AF360),""),"")</f>
        <v/>
      </c>
      <c r="AM360" s="55">
        <f>SUMIFS(tblMiningDaily[Diesel_L],tblMiningDaily[Date],$A360)</f>
        <v/>
      </c>
      <c r="AN360" s="55">
        <f>IF($B360=$B359,$AN359,0)+$AM360</f>
        <v/>
      </c>
      <c r="AO360" s="55">
        <f>$AO359+$AM360</f>
        <v/>
      </c>
      <c r="AP360" s="55">
        <f>SUMIFS(tblMiningDaily[Dewatering_m3],tblMiningDaily[Date],$A360)</f>
        <v/>
      </c>
      <c r="AQ360" s="55">
        <f>IF($B360=$B359,$AQ359,0)+$AP360</f>
        <v/>
      </c>
      <c r="AR360" s="55">
        <f>$AR359+$AP360</f>
        <v/>
      </c>
      <c r="AS360" s="57">
        <f>SUMIFS(tblFleet[Calendar_h],tblFleet[Date],$A360,tblFleet[Equipment_Class],"Excavator")</f>
        <v/>
      </c>
      <c r="AT360" s="57">
        <f>IF($B360=$B359,$AT359,0)+$AS360</f>
        <v/>
      </c>
      <c r="AU360" s="57">
        <f>$AU359+$AS360</f>
        <v/>
      </c>
      <c r="AV360" s="57">
        <f>SUMIFS(tblFleet[Available_h],tblFleet[Date],$A360,tblFleet[Equipment_Class],"Excavator")</f>
        <v/>
      </c>
      <c r="AW360" s="57">
        <f>IF($B360=$B359,$AW359,0)+$AV360</f>
        <v/>
      </c>
      <c r="AX360" s="57">
        <f>$AX359+$AV360</f>
        <v/>
      </c>
      <c r="AY360" s="57">
        <f>SUMIFS(tblFleet[Operating_h],tblFleet[Date],$A360,tblFleet[Equipment_Class],"Excavator")</f>
        <v/>
      </c>
      <c r="AZ360" s="57">
        <f>IF($B360=$B359,$AZ359,0)+$AY360</f>
        <v/>
      </c>
      <c r="BA360" s="57">
        <f>$BA359+$AY360</f>
        <v/>
      </c>
      <c r="BB360" s="67">
        <f>IFERROR(IF(($AS360)&gt;0,($AV360)/($AS360),""),"")</f>
        <v/>
      </c>
      <c r="BC360" s="67">
        <f>IFERROR(IF(($AT360)&gt;0,($AW360)/($AT360),""),"")</f>
        <v/>
      </c>
      <c r="BD360" s="67">
        <f>IFERROR(IF(($AU360)&gt;0,($AX360)/($AU360),""),"")</f>
        <v/>
      </c>
      <c r="BE360" s="67">
        <f>IFERROR(IF(($AV360)&gt;0,($AY360)/($AV360),""),"")</f>
        <v/>
      </c>
      <c r="BF360" s="67">
        <f>IFERROR(IF(($AW360)&gt;0,($AZ360)/($AW360),""),"")</f>
        <v/>
      </c>
      <c r="BG360" s="67">
        <f>IFERROR(IF(($AX360)&gt;0,($BA360)/($AX360),""),"")</f>
        <v/>
      </c>
      <c r="BH360" s="57">
        <f>SUMIFS(tblFleet[Calendar_h],tblFleet[Date],$A360,tblFleet[Equipment_Class],"Haul Truck")</f>
        <v/>
      </c>
      <c r="BI360" s="57">
        <f>IF($B360=$B359,$BI359,0)+$BH360</f>
        <v/>
      </c>
      <c r="BJ360" s="57">
        <f>$BJ359+$BH360</f>
        <v/>
      </c>
      <c r="BK360" s="57">
        <f>SUMIFS(tblFleet[Available_h],tblFleet[Date],$A360,tblFleet[Equipment_Class],"Haul Truck")</f>
        <v/>
      </c>
      <c r="BL360" s="57">
        <f>IF($B360=$B359,$BL359,0)+$BK360</f>
        <v/>
      </c>
      <c r="BM360" s="57">
        <f>$BM359+$BK360</f>
        <v/>
      </c>
      <c r="BN360" s="57">
        <f>SUMIFS(tblFleet[Operating_h],tblFleet[Date],$A360,tblFleet[Equipment_Class],"Haul Truck")</f>
        <v/>
      </c>
      <c r="BO360" s="57">
        <f>IF($B360=$B359,$BO359,0)+$BN360</f>
        <v/>
      </c>
      <c r="BP360" s="57">
        <f>$BP359+$BN360</f>
        <v/>
      </c>
      <c r="BQ360" s="67">
        <f>IFERROR(IF(($BH360)&gt;0,($BK360)/($BH360),""),"")</f>
        <v/>
      </c>
      <c r="BR360" s="67">
        <f>IFERROR(IF(($BI360)&gt;0,($BL360)/($BI360),""),"")</f>
        <v/>
      </c>
      <c r="BS360" s="67">
        <f>IFERROR(IF(($BJ360)&gt;0,($BM360)/($BJ360),""),"")</f>
        <v/>
      </c>
      <c r="BT360" s="67">
        <f>IFERROR(IF(($BK360)&gt;0,($BN360)/($BK360),""),"")</f>
        <v/>
      </c>
      <c r="BU360" s="67">
        <f>IFERROR(IF(($BL360)&gt;0,($BO360)/($BL360),""),"")</f>
        <v/>
      </c>
      <c r="BV360" s="67">
        <f>IFERROR(IF(($BM360)&gt;0,($BP360)/($BM360),""),"")</f>
        <v/>
      </c>
      <c r="BW360" s="55">
        <f>SUMIFS(tblPlant[Crushed_t],tblPlant[Date],$A360)</f>
        <v/>
      </c>
      <c r="BX360" s="55">
        <f>IF($B360=$B359,$BX359,0)+$BW360</f>
        <v/>
      </c>
      <c r="BY360" s="55">
        <f>$BY359+$BW360</f>
        <v/>
      </c>
      <c r="BZ360" s="55">
        <f>SUMIFS(tblPlant[Milled_t],tblPlant[Date],$A360)</f>
        <v/>
      </c>
      <c r="CA360" s="55">
        <f>IF($B360=$B359,$CA359,0)+$BZ360</f>
        <v/>
      </c>
      <c r="CB360" s="55">
        <f>$CB359+$BZ360</f>
        <v/>
      </c>
      <c r="CC360" s="55">
        <f>SUMIFS(tblPlant[Feed_oz],tblPlant[Date],$A360)</f>
        <v/>
      </c>
      <c r="CD360" s="55">
        <f>IF($B360=$B359,$CD359,0)+$CC360</f>
        <v/>
      </c>
      <c r="CE360" s="55">
        <f>$CE359+$CC360</f>
        <v/>
      </c>
      <c r="CF360" s="55">
        <f>SUMIFS(tblPlant[Tails_oz],tblPlant[Date],$A360)</f>
        <v/>
      </c>
      <c r="CG360" s="55">
        <f>IF($B360=$B359,$CG359,0)+$CF360</f>
        <v/>
      </c>
      <c r="CH360" s="55">
        <f>$CH359+$CF360</f>
        <v/>
      </c>
      <c r="CI360" s="55">
        <f>SUMIFS(tblPlant[Recovered_oz],tblPlant[Date],$A360)</f>
        <v/>
      </c>
      <c r="CJ360" s="55">
        <f>IF($B360=$B359,$CJ359,0)+$CI360</f>
        <v/>
      </c>
      <c r="CK360" s="55">
        <f>$CK359+$CI360</f>
        <v/>
      </c>
      <c r="CL360" s="56">
        <f>IFERROR(IF(($BZ360)&gt;0,($CC360*cfg_TroyOz)/($BZ360),""),"")</f>
        <v/>
      </c>
      <c r="CM360" s="56">
        <f>IFERROR(IF(($CA360)&gt;0,($CD360*cfg_TroyOz)/($CA360),""),"")</f>
        <v/>
      </c>
      <c r="CN360" s="56">
        <f>IFERROR(IF(($CB360)&gt;0,($CE360*cfg_TroyOz)/($CB360),""),"")</f>
        <v/>
      </c>
      <c r="CO360" s="56">
        <f>IFERROR(IF(($BZ360)&gt;0,($CF360*cfg_TroyOz)/($BZ360),""),"")</f>
        <v/>
      </c>
      <c r="CP360" s="56">
        <f>IFERROR(IF(($CA360)&gt;0,($CG360*cfg_TroyOz)/($CA360),""),"")</f>
        <v/>
      </c>
      <c r="CQ360" s="56">
        <f>IFERROR(IF(($CB360)&gt;0,($CH360*cfg_TroyOz)/($CB360),""),"")</f>
        <v/>
      </c>
      <c r="CR360" s="67">
        <f>IFERROR(IF(($CC360)&gt;0,($CI360)/($CC360),""),"")</f>
        <v/>
      </c>
      <c r="CS360" s="67">
        <f>IFERROR(IF(($CD360)&gt;0,($CJ360)/($CD360),""),"")</f>
        <v/>
      </c>
      <c r="CT360" s="67">
        <f>IFERROR(IF(($CE360)&gt;0,($CK360)/($CE360),""),"")</f>
        <v/>
      </c>
      <c r="CU360" s="55">
        <f>SUMIFS(tblPlant[Gravity_Gold_oz],tblPlant[Date],$A360)</f>
        <v/>
      </c>
      <c r="CV360" s="55">
        <f>IF($B360=$B359,$CV359,0)+$CU360</f>
        <v/>
      </c>
      <c r="CW360" s="55">
        <f>$CW359+$CU360</f>
        <v/>
      </c>
      <c r="CX360" s="55">
        <f>SUMIFS(tblPlant[Gold_Poured_oz],tblPlant[Date],$A360)</f>
        <v/>
      </c>
      <c r="CY360" s="55">
        <f>IF($B360=$B359,$CY359,0)+$CX360</f>
        <v/>
      </c>
      <c r="CZ360" s="55">
        <f>$CZ359+$CX360</f>
        <v/>
      </c>
      <c r="DA360" s="57">
        <f>SUMIFS(tblPlant[Mill_Run_h],tblPlant[Date],$A360)</f>
        <v/>
      </c>
      <c r="DB360" s="57">
        <f>IF($B360=$B359,$DB359,0)+$DA360</f>
        <v/>
      </c>
      <c r="DC360" s="57">
        <f>$DC359+$DA360</f>
        <v/>
      </c>
      <c r="DD360" s="57">
        <f>SUMIFS(tblPlant[Mill_Planned_Maint_h],tblPlant[Date],$A360)</f>
        <v/>
      </c>
      <c r="DE360" s="57">
        <f>IF($B360=$B359,$DE359,0)+$DD360</f>
        <v/>
      </c>
      <c r="DF360" s="57">
        <f>$DF359+$DD360</f>
        <v/>
      </c>
      <c r="DG360" s="57">
        <f>SUMIFS(tblPlant[Mill_Unplanned_Down_h],tblPlant[Date],$A360)</f>
        <v/>
      </c>
      <c r="DH360" s="57">
        <f>IF($B360=$B359,$DH359,0)+$DG360</f>
        <v/>
      </c>
      <c r="DI360" s="57">
        <f>$DI359+$DG360</f>
        <v/>
      </c>
      <c r="DJ360" s="57">
        <f>COUNTIFS(tblPlant[Date],$A360,tblPlant[Mill_Run_h],"&lt;&gt;")*24</f>
        <v/>
      </c>
      <c r="DK360" s="57">
        <f>IF($B360=$B359,$DK359,0)+$DJ360</f>
        <v/>
      </c>
      <c r="DL360" s="57">
        <f>$DL359+$DJ360</f>
        <v/>
      </c>
      <c r="DM360" s="57">
        <f>SUMIFS(tblPlant[Crusher_Run_h],tblPlant[Date],$A360)</f>
        <v/>
      </c>
      <c r="DN360" s="57">
        <f>IF($B360=$B359,$DN359,0)+$DM360</f>
        <v/>
      </c>
      <c r="DO360" s="57">
        <f>$DO359+$DM360</f>
        <v/>
      </c>
      <c r="DP360" s="55">
        <f>IFERROR(IF(($DA360)&gt;0,($BZ360)/($DA360),""),"")</f>
        <v/>
      </c>
      <c r="DQ360" s="55">
        <f>IFERROR(IF(($DB360)&gt;0,($CA360)/($DB360),""),"")</f>
        <v/>
      </c>
      <c r="DR360" s="55">
        <f>IFERROR(IF(($DC360)&gt;0,($CB360)/($DC360),""),"")</f>
        <v/>
      </c>
      <c r="DS360" s="67">
        <f>IFERROR(IF(($DJ360)&gt;0,($DJ360-$DD360-$DG360)/($DJ360),""),"")</f>
        <v/>
      </c>
      <c r="DT360" s="67">
        <f>IFERROR(IF(($DK360)&gt;0,($DK360-$DE360-$DH360)/($DK360),""),"")</f>
        <v/>
      </c>
      <c r="DU360" s="67">
        <f>IFERROR(IF(($DL360)&gt;0,($DL360-$DF360-$DI360)/($DL360),""),"")</f>
        <v/>
      </c>
      <c r="DV360" s="67">
        <f>IFERROR(IF(($DJ360-$DD360-$DG360)&gt;0,($DA360)/($DJ360-$DD360-$DG360),""),"")</f>
        <v/>
      </c>
      <c r="DW360" s="67">
        <f>IFERROR(IF(($DK360-$DE360-$DH360)&gt;0,($DB360)/($DK360-$DE360-$DH360),""),"")</f>
        <v/>
      </c>
      <c r="DX360" s="67">
        <f>IFERROR(IF(($DL360-$DF360-$DI360)&gt;0,($DC360)/($DL360-$DF360-$DI360),""),"")</f>
        <v/>
      </c>
      <c r="DY360" s="55">
        <f>SUMIFS(tblPlant[Cyanide_kg],tblPlant[Date],$A360)</f>
        <v/>
      </c>
      <c r="DZ360" s="55">
        <f>IF($B360=$B359,$DZ359,0)+$DY360</f>
        <v/>
      </c>
      <c r="EA360" s="55">
        <f>$EA359+$DY360</f>
        <v/>
      </c>
      <c r="EB360" s="55">
        <f>SUMIFS(tblPlant[Lime_kg],tblPlant[Date],$A360)</f>
        <v/>
      </c>
      <c r="EC360" s="55">
        <f>IF($B360=$B359,$EC359,0)+$EB360</f>
        <v/>
      </c>
      <c r="ED360" s="55">
        <f>$ED359+$EB360</f>
        <v/>
      </c>
      <c r="EE360" s="55">
        <f>SUMIFS(tblPlant[Grinding_Media_kg],tblPlant[Date],$A360)</f>
        <v/>
      </c>
      <c r="EF360" s="55">
        <f>IF($B360=$B359,$EF359,0)+$EE360</f>
        <v/>
      </c>
      <c r="EG360" s="55">
        <f>$EG359+$EE360</f>
        <v/>
      </c>
      <c r="EH360" s="55">
        <f>SUMIFS(tblPlant[Power_kWh],tblPlant[Date],$A360)</f>
        <v/>
      </c>
      <c r="EI360" s="55">
        <f>IF($B360=$B359,$EI359,0)+$EH360</f>
        <v/>
      </c>
      <c r="EJ360" s="55">
        <f>$EJ359+$EH360</f>
        <v/>
      </c>
      <c r="EK360" s="55">
        <f>SUMIFS(tblPlant[Raw_Water_m3],tblPlant[Date],$A360)</f>
        <v/>
      </c>
      <c r="EL360" s="55">
        <f>IF($B360=$B359,$EL359,0)+$EK360</f>
        <v/>
      </c>
      <c r="EM360" s="55">
        <f>$EM359+$EK360</f>
        <v/>
      </c>
      <c r="EN360" s="56">
        <f>IFERROR(IF(($BZ360)&gt;0,($DY360)/($BZ360),""),"")</f>
        <v/>
      </c>
      <c r="EO360" s="56">
        <f>IFERROR(IF(($CA360)&gt;0,($DZ360)/($CA360),""),"")</f>
        <v/>
      </c>
      <c r="EP360" s="56">
        <f>IFERROR(IF(($CB360)&gt;0,($EA360)/($CB360),""),"")</f>
        <v/>
      </c>
      <c r="EQ360" s="56">
        <f>IFERROR(IF(($BZ360)&gt;0,($EB360)/($BZ360),""),"")</f>
        <v/>
      </c>
      <c r="ER360" s="56">
        <f>IFERROR(IF(($CA360)&gt;0,($EC360)/($CA360),""),"")</f>
        <v/>
      </c>
      <c r="ES360" s="56">
        <f>IFERROR(IF(($CB360)&gt;0,($ED360)/($CB360),""),"")</f>
        <v/>
      </c>
      <c r="ET360" s="56">
        <f>IFERROR(IF(($BZ360)&gt;0,($EE360)/($BZ360),""),"")</f>
        <v/>
      </c>
      <c r="EU360" s="56">
        <f>IFERROR(IF(($CA360)&gt;0,($EF360)/($CA360),""),"")</f>
        <v/>
      </c>
      <c r="EV360" s="56">
        <f>IFERROR(IF(($CB360)&gt;0,($EG360)/($CB360),""),"")</f>
        <v/>
      </c>
      <c r="EW360" s="76">
        <f>IFERROR(IF(($BZ360)&gt;0,($EH360)/($BZ360),""),"")</f>
        <v/>
      </c>
      <c r="EX360" s="76">
        <f>IFERROR(IF(($CA360)&gt;0,($EI360)/($CA360),""),"")</f>
        <v/>
      </c>
      <c r="EY360" s="76">
        <f>IFERROR(IF(($CB360)&gt;0,($EJ360)/($CB360),""),"")</f>
        <v/>
      </c>
      <c r="EZ360" s="56">
        <f>IFERROR(IF(($BZ360)&gt;0,($EK360)/($BZ360),""),"")</f>
        <v/>
      </c>
      <c r="FA360" s="56">
        <f>IFERROR(IF(($CA360)&gt;0,($EL360)/($CA360),""),"")</f>
        <v/>
      </c>
      <c r="FB360" s="56">
        <f>IFERROR(IF(($CB360)&gt;0,($EM360)/($CB360),""),"")</f>
        <v/>
      </c>
      <c r="FC360" s="55">
        <f>IF(SUMIFS(tblPlant[GIC_oz],tblPlant[Date],$A360)&gt;0,SUMIFS(tblPlant[GIC_oz],tblPlant[Date],$A360),"")</f>
        <v/>
      </c>
      <c r="FD360" s="55">
        <f>SUMIFS(tblGold[Gold_oz],tblGold[Date],$A360,tblGold[Type],"Shipment")</f>
        <v/>
      </c>
      <c r="FE360" s="55">
        <f>IF($B360=$B359,$FE359,0)+$FD360</f>
        <v/>
      </c>
      <c r="FF360" s="55">
        <f>$FF359+$FD360</f>
        <v/>
      </c>
      <c r="FG360" s="55">
        <f>SUMIFS(tblGold[Gold_oz],tblGold[Date],$A360,tblGold[Type],"Sale")</f>
        <v/>
      </c>
      <c r="FH360" s="55">
        <f>IF($B360=$B359,$FH359,0)+$FG360</f>
        <v/>
      </c>
      <c r="FI360" s="55">
        <f>$FI359+$FG360</f>
        <v/>
      </c>
      <c r="FJ360" s="55">
        <f>SUMIFS(tblGold[Dore_kg],tblGold[Date],$A360,tblGold[Type],"Shipment")</f>
        <v/>
      </c>
      <c r="FK360" s="55">
        <f>IF($B360=$B359,$FK359,0)+$FJ360</f>
        <v/>
      </c>
      <c r="FL360" s="55">
        <f>$FL359+$FJ360</f>
        <v/>
      </c>
      <c r="FM360" s="57">
        <f>SUMIFS(tblSafety[Hours_Total],tblSafety[Date],$A360)</f>
        <v/>
      </c>
      <c r="FN360" s="57">
        <f>IF($B360=$B359,$FN359,0)+$FM360</f>
        <v/>
      </c>
      <c r="FO360" s="57">
        <f>$FO359+$FM360</f>
        <v/>
      </c>
      <c r="FP360" s="62">
        <f>SUMIFS(tblSafety[Fatality],tblSafety[Date],$A360)</f>
        <v/>
      </c>
      <c r="FQ360" s="62">
        <f>IF($B360=$B359,$FQ359,0)+$FP360</f>
        <v/>
      </c>
      <c r="FR360" s="62">
        <f>$FR359+$FP360</f>
        <v/>
      </c>
      <c r="FS360" s="62">
        <f>SUMIFS(tblSafety[LTI],tblSafety[Date],$A360)</f>
        <v/>
      </c>
      <c r="FT360" s="62">
        <f>IF($B360=$B359,$FT359,0)+$FS360</f>
        <v/>
      </c>
      <c r="FU360" s="62">
        <f>$FU359+$FS360</f>
        <v/>
      </c>
      <c r="FV360" s="62">
        <f>SUMIFS(tblSafety[RWI],tblSafety[Date],$A360)</f>
        <v/>
      </c>
      <c r="FW360" s="62">
        <f>IF($B360=$B359,$FW359,0)+$FV360</f>
        <v/>
      </c>
      <c r="FX360" s="62">
        <f>$FX359+$FV360</f>
        <v/>
      </c>
      <c r="FY360" s="62">
        <f>SUMIFS(tblSafety[MTI],tblSafety[Date],$A360)</f>
        <v/>
      </c>
      <c r="FZ360" s="62">
        <f>IF($B360=$B359,$FZ359,0)+$FY360</f>
        <v/>
      </c>
      <c r="GA360" s="62">
        <f>$GA359+$FY360</f>
        <v/>
      </c>
      <c r="GB360" s="62">
        <f>SUMIFS(tblSafety[FAI],tblSafety[Date],$A360)</f>
        <v/>
      </c>
      <c r="GC360" s="62">
        <f>IF($B360=$B359,$GC359,0)+$GB360</f>
        <v/>
      </c>
      <c r="GD360" s="62">
        <f>$GD359+$GB360</f>
        <v/>
      </c>
      <c r="GE360" s="62">
        <f>SUMIFS(tblSafety[Recordables],tblSafety[Date],$A360)</f>
        <v/>
      </c>
      <c r="GF360" s="62">
        <f>IF($B360=$B359,$GF359,0)+$GE360</f>
        <v/>
      </c>
      <c r="GG360" s="62">
        <f>$GG359+$GE360</f>
        <v/>
      </c>
      <c r="GH360" s="62">
        <f>SUMIFS(tblSafety[Near_Miss],tblSafety[Date],$A360)</f>
        <v/>
      </c>
      <c r="GI360" s="62">
        <f>IF($B360=$B359,$GI359,0)+$GH360</f>
        <v/>
      </c>
      <c r="GJ360" s="62">
        <f>$GJ359+$GH360</f>
        <v/>
      </c>
      <c r="GK360" s="62">
        <f>SUMIFS(tblSafety[Hazard_Reports],tblSafety[Date],$A360)</f>
        <v/>
      </c>
      <c r="GL360" s="62">
        <f>IF($B360=$B359,$GL359,0)+$GK360</f>
        <v/>
      </c>
      <c r="GM360" s="62">
        <f>$GM359+$GK360</f>
        <v/>
      </c>
      <c r="GN360" s="62">
        <f>SUMIFS(tblSafety[HPI],tblSafety[Date],$A360)</f>
        <v/>
      </c>
      <c r="GO360" s="62">
        <f>IF($B360=$B359,$GO359,0)+$GN360</f>
        <v/>
      </c>
      <c r="GP360" s="62">
        <f>$GP359+$GN360</f>
        <v/>
      </c>
      <c r="GQ360" s="62">
        <f>SUMIFS(tblSafety[Env_Incidents],tblSafety[Date],$A360)</f>
        <v/>
      </c>
      <c r="GR360" s="62">
        <f>IF($B360=$B359,$GR359,0)+$GQ360</f>
        <v/>
      </c>
      <c r="GS360" s="62">
        <f>$GS359+$GQ360</f>
        <v/>
      </c>
      <c r="GT360" s="62">
        <f>SUMIFS(tblSafety[Community_Incidents],tblSafety[Date],$A360)</f>
        <v/>
      </c>
      <c r="GU360" s="62">
        <f>IF($B360=$B359,$GU359,0)+$GT360</f>
        <v/>
      </c>
      <c r="GV360" s="62">
        <f>$GV359+$GT360</f>
        <v/>
      </c>
      <c r="GW360" s="62">
        <f>SUMIFS(tblSafety[Vehicle_Incidents],tblSafety[Date],$A360)</f>
        <v/>
      </c>
      <c r="GX360" s="62">
        <f>IF($B360=$B359,$GX359,0)+$GW360</f>
        <v/>
      </c>
      <c r="GY360" s="62">
        <f>$GY359+$GW360</f>
        <v/>
      </c>
      <c r="GZ360" s="62">
        <f>SUMIFS(tblSafety[Toolbox_Talks],tblSafety[Date],$A360)</f>
        <v/>
      </c>
      <c r="HA360" s="62">
        <f>IF($B360=$B359,$HA359,0)+$GZ360</f>
        <v/>
      </c>
      <c r="HB360" s="62">
        <f>$HB359+$GZ360</f>
        <v/>
      </c>
      <c r="HC360" s="62">
        <f>SUMIFS(tblSafety[Inspections],tblSafety[Date],$A360)</f>
        <v/>
      </c>
      <c r="HD360" s="62">
        <f>IF($B360=$B359,$HD359,0)+$HC360</f>
        <v/>
      </c>
      <c r="HE360" s="62">
        <f>$HE359+$HC360</f>
        <v/>
      </c>
      <c r="HF360" s="56">
        <f>IFERROR((SUMIFS(tblSafety[Recordables],tblSafety[Date],"&gt;="&amp;EDATE($E360,-12),tblSafety[Date],"&lt;="&amp;$A360)+SUMIFS(tblSafetyHistory[Recordables],tblSafetyHistory[Month],"&gt;="&amp;EDATE($E360,-12),tblSafetyHistory[Month],"&lt;"&amp;cfg_YearStart))/(SUMIFS(tblSafety[Hours_Total],tblSafety[Date],"&gt;="&amp;EDATE($E360,-12),tblSafety[Date],"&lt;="&amp;$A360)+SUMIFS(tblSafetyHistory[Hours_Total],tblSafetyHistory[Month],"&gt;="&amp;EDATE($E360,-12),tblSafetyHistory[Month],"&lt;"&amp;cfg_YearStart))*1000000,"")</f>
        <v/>
      </c>
      <c r="HG360" s="56">
        <f>IFERROR((SUMIFS(tblSafety[LTI],tblSafety[Date],"&gt;="&amp;EDATE($E360,-12),tblSafety[Date],"&lt;="&amp;$A360)+SUMIFS(tblSafetyHistory[LTI],tblSafetyHistory[Month],"&gt;="&amp;EDATE($E360,-12),tblSafetyHistory[Month],"&lt;"&amp;cfg_YearStart))/(SUMIFS(tblSafety[Hours_Total],tblSafety[Date],"&gt;="&amp;EDATE($E360,-12),tblSafety[Date],"&lt;="&amp;$A360)+SUMIFS(tblSafetyHistory[Hours_Total],tblSafetyHistory[Month],"&gt;="&amp;EDATE($E360,-12),tblSafetyHistory[Month],"&lt;"&amp;cfg_YearStart))*1000000,"")</f>
        <v/>
      </c>
      <c r="HH360" s="62">
        <f>IF(MAX(N(cfg_PriorLTIDate),_xlfn.MAXIFS(tblSafety[Date],tblSafety[LTI],"&gt;0",tblSafety[Date],"&lt;="&amp;$A360))=0,"",$A360-MAX(N(cfg_PriorLTIDate),_xlfn.MAXIFS(tblSafety[Date],tblSafety[LTI],"&gt;0",tblSafety[Date],"&lt;="&amp;$A360)))</f>
        <v/>
      </c>
      <c r="HI360" s="55">
        <f>SUMIFS(tblBudget[Ore_Mined_t],tblBudget[Month],$E360)</f>
        <v/>
      </c>
      <c r="HJ360" s="55">
        <f>$HI360*$C360/$D360</f>
        <v/>
      </c>
      <c r="HK360" s="55">
        <f>SUMIFS(tblBudget[Ore_Mined_t],tblBudget[Month],"&lt;"&amp;$E360)+$HJ360</f>
        <v/>
      </c>
      <c r="HL360" s="55">
        <f>SUMIFS(tblBudget[Ore_oz],tblBudget[Month],$E360)</f>
        <v/>
      </c>
      <c r="HM360" s="55">
        <f>$HL360*$C360/$D360</f>
        <v/>
      </c>
      <c r="HN360" s="55">
        <f>SUMIFS(tblBudget[Ore_oz],tblBudget[Month],"&lt;"&amp;$E360)+$HM360</f>
        <v/>
      </c>
      <c r="HO360" s="56">
        <f>IFERROR(IF(($HI360)&gt;0,($HL360*cfg_TroyOz)/($HI360),""),"")</f>
        <v/>
      </c>
      <c r="HP360" s="56">
        <f>IFERROR(IF(($HJ360)&gt;0,($HM360*cfg_TroyOz)/($HJ360),""),"")</f>
        <v/>
      </c>
      <c r="HQ360" s="56">
        <f>IFERROR(IF(($HK360)&gt;0,($HN360*cfg_TroyOz)/($HK360),""),"")</f>
        <v/>
      </c>
      <c r="HR360" s="55">
        <f>SUMIFS(tblBudget[Waste_t],tblBudget[Month],$E360)</f>
        <v/>
      </c>
      <c r="HS360" s="55">
        <f>$HR360*$C360/$D360</f>
        <v/>
      </c>
      <c r="HT360" s="55">
        <f>SUMIFS(tblBudget[Waste_t],tblBudget[Month],"&lt;"&amp;$E360)+$HS360</f>
        <v/>
      </c>
      <c r="HU360" s="55">
        <f>SUMIFS(tblBudget[TMM_t],tblBudget[Month],$E360)</f>
        <v/>
      </c>
      <c r="HV360" s="55">
        <f>$HU360*$C360/$D360</f>
        <v/>
      </c>
      <c r="HW360" s="55">
        <f>SUMIFS(tblBudget[TMM_t],tblBudget[Month],"&lt;"&amp;$E360)+$HV360</f>
        <v/>
      </c>
      <c r="HX360" s="56">
        <f>IFERROR(IF(($HI360)&gt;0,($HR360)/($HI360),""),"")</f>
        <v/>
      </c>
      <c r="HY360" s="56">
        <f>IFERROR(IF(($HJ360)&gt;0,($HS360)/($HJ360),""),"")</f>
        <v/>
      </c>
      <c r="HZ360" s="56">
        <f>IFERROR(IF(($HK360)&gt;0,($HT360)/($HK360),""),"")</f>
        <v/>
      </c>
      <c r="IA360" s="55">
        <f>SUMIFS(tblBudget[Drill_m],tblBudget[Month],$E360)</f>
        <v/>
      </c>
      <c r="IB360" s="55">
        <f>$IA360*$C360/$D360</f>
        <v/>
      </c>
      <c r="IC360" s="55">
        <f>SUMIFS(tblBudget[Drill_m],tblBudget[Month],"&lt;"&amp;$E360)+$IB360</f>
        <v/>
      </c>
      <c r="ID360" s="55">
        <f>SUMIFS(tblBudget[Diesel_L],tblBudget[Month],$E360)</f>
        <v/>
      </c>
      <c r="IE360" s="55">
        <f>$ID360*$C360/$D360</f>
        <v/>
      </c>
      <c r="IF360" s="55">
        <f>SUMIFS(tblBudget[Diesel_L],tblBudget[Month],"&lt;"&amp;$E360)+$IE360</f>
        <v/>
      </c>
      <c r="IG360" s="55">
        <f>SUMIFS(tblBudget[Milled_t],tblBudget[Month],$E360)</f>
        <v/>
      </c>
      <c r="IH360" s="55">
        <f>$IG360*$C360/$D360</f>
        <v/>
      </c>
      <c r="II360" s="55">
        <f>SUMIFS(tblBudget[Milled_t],tblBudget[Month],"&lt;"&amp;$E360)+$IH360</f>
        <v/>
      </c>
      <c r="IJ360" s="55">
        <f>SUMIFS(tblBudget[Feed_oz],tblBudget[Month],$E360)</f>
        <v/>
      </c>
      <c r="IK360" s="55">
        <f>$IJ360*$C360/$D360</f>
        <v/>
      </c>
      <c r="IL360" s="55">
        <f>SUMIFS(tblBudget[Feed_oz],tblBudget[Month],"&lt;"&amp;$E360)+$IK360</f>
        <v/>
      </c>
      <c r="IM360" s="55">
        <f>SUMIFS(tblBudget[Recovered_oz],tblBudget[Month],$E360)</f>
        <v/>
      </c>
      <c r="IN360" s="55">
        <f>$IM360*$C360/$D360</f>
        <v/>
      </c>
      <c r="IO360" s="55">
        <f>SUMIFS(tblBudget[Recovered_oz],tblBudget[Month],"&lt;"&amp;$E360)+$IN360</f>
        <v/>
      </c>
      <c r="IP360" s="56">
        <f>IFERROR(IF(($IG360)&gt;0,($IJ360*cfg_TroyOz)/($IG360),""),"")</f>
        <v/>
      </c>
      <c r="IQ360" s="56">
        <f>IFERROR(IF(($IH360)&gt;0,($IK360*cfg_TroyOz)/($IH360),""),"")</f>
        <v/>
      </c>
      <c r="IR360" s="56">
        <f>IFERROR(IF(($II360)&gt;0,($IL360*cfg_TroyOz)/($II360),""),"")</f>
        <v/>
      </c>
      <c r="IS360" s="67">
        <f>IFERROR(IF(($IJ360)&gt;0,($IM360)/($IJ360),""),"")</f>
        <v/>
      </c>
      <c r="IT360" s="67">
        <f>IFERROR(IF(($IK360)&gt;0,($IN360)/($IK360),""),"")</f>
        <v/>
      </c>
      <c r="IU360" s="67">
        <f>IFERROR(IF(($IL360)&gt;0,($IO360)/($IL360),""),"")</f>
        <v/>
      </c>
      <c r="IV360" s="55">
        <f>SUMIFS(tblBudget[Gold_Poured_oz],tblBudget[Month],$E360)</f>
        <v/>
      </c>
      <c r="IW360" s="55">
        <f>$IV360*$C360/$D360</f>
        <v/>
      </c>
      <c r="IX360" s="55">
        <f>SUMIFS(tblBudget[Gold_Poured_oz],tblBudget[Month],"&lt;"&amp;$E360)+$IW360</f>
        <v/>
      </c>
      <c r="IY360" s="57">
        <f>SUMIFS(tblBudget[Hours_Worked],tblBudget[Month],$E360)</f>
        <v/>
      </c>
      <c r="IZ360" s="57">
        <f>$IY360*$C360/$D360</f>
        <v/>
      </c>
      <c r="JA360" s="57">
        <f>SUMIFS(tblBudget[Hours_Worked],tblBudget[Month],"&lt;"&amp;$E360)+$IZ360</f>
        <v/>
      </c>
    </row>
    <row r="361">
      <c r="A361" s="54" t="n">
        <v>46382</v>
      </c>
      <c r="B361">
        <f>MONTH($A361)</f>
        <v/>
      </c>
      <c r="C361">
        <f>DAY($A361)</f>
        <v/>
      </c>
      <c r="D361">
        <f>DAY(EOMONTH($A361,0))</f>
        <v/>
      </c>
      <c r="E361" s="54">
        <f>DATE(YEAR($A361),MONTH($A361),1)</f>
        <v/>
      </c>
      <c r="F361" s="55">
        <f>SUMIFS(tblMovement[Tonnes_t],tblMovement[Date],$A361,tblMovement[Is_Ore],1,tblMovement[Source_Type],"Pit")</f>
        <v/>
      </c>
      <c r="G361" s="55">
        <f>IF($B361=$B360,$G360,0)+$F361</f>
        <v/>
      </c>
      <c r="H361" s="55">
        <f>$H360+$F361</f>
        <v/>
      </c>
      <c r="I361" s="55">
        <f>SUMIFS(tblMovement[Ore_oz],tblMovement[Date],$A361,tblMovement[Source_Type],"Pit")</f>
        <v/>
      </c>
      <c r="J361" s="55">
        <f>IF($B361=$B360,$J360,0)+$I361</f>
        <v/>
      </c>
      <c r="K361" s="55">
        <f>$K360+$I361</f>
        <v/>
      </c>
      <c r="L361" s="56">
        <f>IFERROR(IF(($F361)&gt;0,($I361*cfg_TroyOz)/($F361),""),"")</f>
        <v/>
      </c>
      <c r="M361" s="56">
        <f>IFERROR(IF(($G361)&gt;0,($J361*cfg_TroyOz)/($G361),""),"")</f>
        <v/>
      </c>
      <c r="N361" s="56">
        <f>IFERROR(IF(($H361)&gt;0,($K361*cfg_TroyOz)/($H361),""),"")</f>
        <v/>
      </c>
      <c r="O361" s="55">
        <f>SUMIFS(tblMovement[Tonnes_t],tblMovement[Date],$A361,tblMovement[Is_Ore],0,tblMovement[Source_Type],"Pit")</f>
        <v/>
      </c>
      <c r="P361" s="55">
        <f>IF($B361=$B360,$P360,0)+$O361</f>
        <v/>
      </c>
      <c r="Q361" s="55">
        <f>$Q360+$O361</f>
        <v/>
      </c>
      <c r="R361" s="55">
        <f>$F361+$O361</f>
        <v/>
      </c>
      <c r="S361" s="55">
        <f>IF($B361=$B360,$S360,0)+$R361</f>
        <v/>
      </c>
      <c r="T361" s="55">
        <f>$T360+$R361</f>
        <v/>
      </c>
      <c r="U361" s="56">
        <f>IFERROR(IF(($F361)&gt;0,($O361)/($F361),""),"")</f>
        <v/>
      </c>
      <c r="V361" s="56">
        <f>IFERROR(IF(($G361)&gt;0,($P361)/($G361),""),"")</f>
        <v/>
      </c>
      <c r="W361" s="56">
        <f>IFERROR(IF(($H361)&gt;0,($Q361)/($H361),""),"")</f>
        <v/>
      </c>
      <c r="X361" s="55">
        <f>SUMIFS(tblMovement[Tonnes_t],tblMovement[Date],$A361,tblMovement[Source_Type],"Stockpile")</f>
        <v/>
      </c>
      <c r="Y361" s="55">
        <f>IF($B361=$B360,$Y360,0)+$X361</f>
        <v/>
      </c>
      <c r="Z361" s="55">
        <f>$Z360+$X361</f>
        <v/>
      </c>
      <c r="AA361" s="55">
        <f>SUMIFS(tblMiningDaily[Drill_m],tblMiningDaily[Date],$A361)</f>
        <v/>
      </c>
      <c r="AB361" s="55">
        <f>IF($B361=$B360,$AB360,0)+$AA361</f>
        <v/>
      </c>
      <c r="AC361" s="55">
        <f>$AC360+$AA361</f>
        <v/>
      </c>
      <c r="AD361" s="55">
        <f>SUMIFS(tblMiningDaily[Blast_t],tblMiningDaily[Date],$A361)</f>
        <v/>
      </c>
      <c r="AE361" s="55">
        <f>IF($B361=$B360,$AE360,0)+$AD361</f>
        <v/>
      </c>
      <c r="AF361" s="55">
        <f>$AF360+$AD361</f>
        <v/>
      </c>
      <c r="AG361" s="55">
        <f>SUMIFS(tblMiningDaily[Explosives_kg],tblMiningDaily[Date],$A361)</f>
        <v/>
      </c>
      <c r="AH361" s="55">
        <f>IF($B361=$B360,$AH360,0)+$AG361</f>
        <v/>
      </c>
      <c r="AI361" s="55">
        <f>$AI360+$AG361</f>
        <v/>
      </c>
      <c r="AJ361" s="56">
        <f>IFERROR(IF(($AD361)&gt;0,($AG361)/($AD361),""),"")</f>
        <v/>
      </c>
      <c r="AK361" s="56">
        <f>IFERROR(IF(($AE361)&gt;0,($AH361)/($AE361),""),"")</f>
        <v/>
      </c>
      <c r="AL361" s="56">
        <f>IFERROR(IF(($AF361)&gt;0,($AI361)/($AF361),""),"")</f>
        <v/>
      </c>
      <c r="AM361" s="55">
        <f>SUMIFS(tblMiningDaily[Diesel_L],tblMiningDaily[Date],$A361)</f>
        <v/>
      </c>
      <c r="AN361" s="55">
        <f>IF($B361=$B360,$AN360,0)+$AM361</f>
        <v/>
      </c>
      <c r="AO361" s="55">
        <f>$AO360+$AM361</f>
        <v/>
      </c>
      <c r="AP361" s="55">
        <f>SUMIFS(tblMiningDaily[Dewatering_m3],tblMiningDaily[Date],$A361)</f>
        <v/>
      </c>
      <c r="AQ361" s="55">
        <f>IF($B361=$B360,$AQ360,0)+$AP361</f>
        <v/>
      </c>
      <c r="AR361" s="55">
        <f>$AR360+$AP361</f>
        <v/>
      </c>
      <c r="AS361" s="57">
        <f>SUMIFS(tblFleet[Calendar_h],tblFleet[Date],$A361,tblFleet[Equipment_Class],"Excavator")</f>
        <v/>
      </c>
      <c r="AT361" s="57">
        <f>IF($B361=$B360,$AT360,0)+$AS361</f>
        <v/>
      </c>
      <c r="AU361" s="57">
        <f>$AU360+$AS361</f>
        <v/>
      </c>
      <c r="AV361" s="57">
        <f>SUMIFS(tblFleet[Available_h],tblFleet[Date],$A361,tblFleet[Equipment_Class],"Excavator")</f>
        <v/>
      </c>
      <c r="AW361" s="57">
        <f>IF($B361=$B360,$AW360,0)+$AV361</f>
        <v/>
      </c>
      <c r="AX361" s="57">
        <f>$AX360+$AV361</f>
        <v/>
      </c>
      <c r="AY361" s="57">
        <f>SUMIFS(tblFleet[Operating_h],tblFleet[Date],$A361,tblFleet[Equipment_Class],"Excavator")</f>
        <v/>
      </c>
      <c r="AZ361" s="57">
        <f>IF($B361=$B360,$AZ360,0)+$AY361</f>
        <v/>
      </c>
      <c r="BA361" s="57">
        <f>$BA360+$AY361</f>
        <v/>
      </c>
      <c r="BB361" s="67">
        <f>IFERROR(IF(($AS361)&gt;0,($AV361)/($AS361),""),"")</f>
        <v/>
      </c>
      <c r="BC361" s="67">
        <f>IFERROR(IF(($AT361)&gt;0,($AW361)/($AT361),""),"")</f>
        <v/>
      </c>
      <c r="BD361" s="67">
        <f>IFERROR(IF(($AU361)&gt;0,($AX361)/($AU361),""),"")</f>
        <v/>
      </c>
      <c r="BE361" s="67">
        <f>IFERROR(IF(($AV361)&gt;0,($AY361)/($AV361),""),"")</f>
        <v/>
      </c>
      <c r="BF361" s="67">
        <f>IFERROR(IF(($AW361)&gt;0,($AZ361)/($AW361),""),"")</f>
        <v/>
      </c>
      <c r="BG361" s="67">
        <f>IFERROR(IF(($AX361)&gt;0,($BA361)/($AX361),""),"")</f>
        <v/>
      </c>
      <c r="BH361" s="57">
        <f>SUMIFS(tblFleet[Calendar_h],tblFleet[Date],$A361,tblFleet[Equipment_Class],"Haul Truck")</f>
        <v/>
      </c>
      <c r="BI361" s="57">
        <f>IF($B361=$B360,$BI360,0)+$BH361</f>
        <v/>
      </c>
      <c r="BJ361" s="57">
        <f>$BJ360+$BH361</f>
        <v/>
      </c>
      <c r="BK361" s="57">
        <f>SUMIFS(tblFleet[Available_h],tblFleet[Date],$A361,tblFleet[Equipment_Class],"Haul Truck")</f>
        <v/>
      </c>
      <c r="BL361" s="57">
        <f>IF($B361=$B360,$BL360,0)+$BK361</f>
        <v/>
      </c>
      <c r="BM361" s="57">
        <f>$BM360+$BK361</f>
        <v/>
      </c>
      <c r="BN361" s="57">
        <f>SUMIFS(tblFleet[Operating_h],tblFleet[Date],$A361,tblFleet[Equipment_Class],"Haul Truck")</f>
        <v/>
      </c>
      <c r="BO361" s="57">
        <f>IF($B361=$B360,$BO360,0)+$BN361</f>
        <v/>
      </c>
      <c r="BP361" s="57">
        <f>$BP360+$BN361</f>
        <v/>
      </c>
      <c r="BQ361" s="67">
        <f>IFERROR(IF(($BH361)&gt;0,($BK361)/($BH361),""),"")</f>
        <v/>
      </c>
      <c r="BR361" s="67">
        <f>IFERROR(IF(($BI361)&gt;0,($BL361)/($BI361),""),"")</f>
        <v/>
      </c>
      <c r="BS361" s="67">
        <f>IFERROR(IF(($BJ361)&gt;0,($BM361)/($BJ361),""),"")</f>
        <v/>
      </c>
      <c r="BT361" s="67">
        <f>IFERROR(IF(($BK361)&gt;0,($BN361)/($BK361),""),"")</f>
        <v/>
      </c>
      <c r="BU361" s="67">
        <f>IFERROR(IF(($BL361)&gt;0,($BO361)/($BL361),""),"")</f>
        <v/>
      </c>
      <c r="BV361" s="67">
        <f>IFERROR(IF(($BM361)&gt;0,($BP361)/($BM361),""),"")</f>
        <v/>
      </c>
      <c r="BW361" s="55">
        <f>SUMIFS(tblPlant[Crushed_t],tblPlant[Date],$A361)</f>
        <v/>
      </c>
      <c r="BX361" s="55">
        <f>IF($B361=$B360,$BX360,0)+$BW361</f>
        <v/>
      </c>
      <c r="BY361" s="55">
        <f>$BY360+$BW361</f>
        <v/>
      </c>
      <c r="BZ361" s="55">
        <f>SUMIFS(tblPlant[Milled_t],tblPlant[Date],$A361)</f>
        <v/>
      </c>
      <c r="CA361" s="55">
        <f>IF($B361=$B360,$CA360,0)+$BZ361</f>
        <v/>
      </c>
      <c r="CB361" s="55">
        <f>$CB360+$BZ361</f>
        <v/>
      </c>
      <c r="CC361" s="55">
        <f>SUMIFS(tblPlant[Feed_oz],tblPlant[Date],$A361)</f>
        <v/>
      </c>
      <c r="CD361" s="55">
        <f>IF($B361=$B360,$CD360,0)+$CC361</f>
        <v/>
      </c>
      <c r="CE361" s="55">
        <f>$CE360+$CC361</f>
        <v/>
      </c>
      <c r="CF361" s="55">
        <f>SUMIFS(tblPlant[Tails_oz],tblPlant[Date],$A361)</f>
        <v/>
      </c>
      <c r="CG361" s="55">
        <f>IF($B361=$B360,$CG360,0)+$CF361</f>
        <v/>
      </c>
      <c r="CH361" s="55">
        <f>$CH360+$CF361</f>
        <v/>
      </c>
      <c r="CI361" s="55">
        <f>SUMIFS(tblPlant[Recovered_oz],tblPlant[Date],$A361)</f>
        <v/>
      </c>
      <c r="CJ361" s="55">
        <f>IF($B361=$B360,$CJ360,0)+$CI361</f>
        <v/>
      </c>
      <c r="CK361" s="55">
        <f>$CK360+$CI361</f>
        <v/>
      </c>
      <c r="CL361" s="56">
        <f>IFERROR(IF(($BZ361)&gt;0,($CC361*cfg_TroyOz)/($BZ361),""),"")</f>
        <v/>
      </c>
      <c r="CM361" s="56">
        <f>IFERROR(IF(($CA361)&gt;0,($CD361*cfg_TroyOz)/($CA361),""),"")</f>
        <v/>
      </c>
      <c r="CN361" s="56">
        <f>IFERROR(IF(($CB361)&gt;0,($CE361*cfg_TroyOz)/($CB361),""),"")</f>
        <v/>
      </c>
      <c r="CO361" s="56">
        <f>IFERROR(IF(($BZ361)&gt;0,($CF361*cfg_TroyOz)/($BZ361),""),"")</f>
        <v/>
      </c>
      <c r="CP361" s="56">
        <f>IFERROR(IF(($CA361)&gt;0,($CG361*cfg_TroyOz)/($CA361),""),"")</f>
        <v/>
      </c>
      <c r="CQ361" s="56">
        <f>IFERROR(IF(($CB361)&gt;0,($CH361*cfg_TroyOz)/($CB361),""),"")</f>
        <v/>
      </c>
      <c r="CR361" s="67">
        <f>IFERROR(IF(($CC361)&gt;0,($CI361)/($CC361),""),"")</f>
        <v/>
      </c>
      <c r="CS361" s="67">
        <f>IFERROR(IF(($CD361)&gt;0,($CJ361)/($CD361),""),"")</f>
        <v/>
      </c>
      <c r="CT361" s="67">
        <f>IFERROR(IF(($CE361)&gt;0,($CK361)/($CE361),""),"")</f>
        <v/>
      </c>
      <c r="CU361" s="55">
        <f>SUMIFS(tblPlant[Gravity_Gold_oz],tblPlant[Date],$A361)</f>
        <v/>
      </c>
      <c r="CV361" s="55">
        <f>IF($B361=$B360,$CV360,0)+$CU361</f>
        <v/>
      </c>
      <c r="CW361" s="55">
        <f>$CW360+$CU361</f>
        <v/>
      </c>
      <c r="CX361" s="55">
        <f>SUMIFS(tblPlant[Gold_Poured_oz],tblPlant[Date],$A361)</f>
        <v/>
      </c>
      <c r="CY361" s="55">
        <f>IF($B361=$B360,$CY360,0)+$CX361</f>
        <v/>
      </c>
      <c r="CZ361" s="55">
        <f>$CZ360+$CX361</f>
        <v/>
      </c>
      <c r="DA361" s="57">
        <f>SUMIFS(tblPlant[Mill_Run_h],tblPlant[Date],$A361)</f>
        <v/>
      </c>
      <c r="DB361" s="57">
        <f>IF($B361=$B360,$DB360,0)+$DA361</f>
        <v/>
      </c>
      <c r="DC361" s="57">
        <f>$DC360+$DA361</f>
        <v/>
      </c>
      <c r="DD361" s="57">
        <f>SUMIFS(tblPlant[Mill_Planned_Maint_h],tblPlant[Date],$A361)</f>
        <v/>
      </c>
      <c r="DE361" s="57">
        <f>IF($B361=$B360,$DE360,0)+$DD361</f>
        <v/>
      </c>
      <c r="DF361" s="57">
        <f>$DF360+$DD361</f>
        <v/>
      </c>
      <c r="DG361" s="57">
        <f>SUMIFS(tblPlant[Mill_Unplanned_Down_h],tblPlant[Date],$A361)</f>
        <v/>
      </c>
      <c r="DH361" s="57">
        <f>IF($B361=$B360,$DH360,0)+$DG361</f>
        <v/>
      </c>
      <c r="DI361" s="57">
        <f>$DI360+$DG361</f>
        <v/>
      </c>
      <c r="DJ361" s="57">
        <f>COUNTIFS(tblPlant[Date],$A361,tblPlant[Mill_Run_h],"&lt;&gt;")*24</f>
        <v/>
      </c>
      <c r="DK361" s="57">
        <f>IF($B361=$B360,$DK360,0)+$DJ361</f>
        <v/>
      </c>
      <c r="DL361" s="57">
        <f>$DL360+$DJ361</f>
        <v/>
      </c>
      <c r="DM361" s="57">
        <f>SUMIFS(tblPlant[Crusher_Run_h],tblPlant[Date],$A361)</f>
        <v/>
      </c>
      <c r="DN361" s="57">
        <f>IF($B361=$B360,$DN360,0)+$DM361</f>
        <v/>
      </c>
      <c r="DO361" s="57">
        <f>$DO360+$DM361</f>
        <v/>
      </c>
      <c r="DP361" s="55">
        <f>IFERROR(IF(($DA361)&gt;0,($BZ361)/($DA361),""),"")</f>
        <v/>
      </c>
      <c r="DQ361" s="55">
        <f>IFERROR(IF(($DB361)&gt;0,($CA361)/($DB361),""),"")</f>
        <v/>
      </c>
      <c r="DR361" s="55">
        <f>IFERROR(IF(($DC361)&gt;0,($CB361)/($DC361),""),"")</f>
        <v/>
      </c>
      <c r="DS361" s="67">
        <f>IFERROR(IF(($DJ361)&gt;0,($DJ361-$DD361-$DG361)/($DJ361),""),"")</f>
        <v/>
      </c>
      <c r="DT361" s="67">
        <f>IFERROR(IF(($DK361)&gt;0,($DK361-$DE361-$DH361)/($DK361),""),"")</f>
        <v/>
      </c>
      <c r="DU361" s="67">
        <f>IFERROR(IF(($DL361)&gt;0,($DL361-$DF361-$DI361)/($DL361),""),"")</f>
        <v/>
      </c>
      <c r="DV361" s="67">
        <f>IFERROR(IF(($DJ361-$DD361-$DG361)&gt;0,($DA361)/($DJ361-$DD361-$DG361),""),"")</f>
        <v/>
      </c>
      <c r="DW361" s="67">
        <f>IFERROR(IF(($DK361-$DE361-$DH361)&gt;0,($DB361)/($DK361-$DE361-$DH361),""),"")</f>
        <v/>
      </c>
      <c r="DX361" s="67">
        <f>IFERROR(IF(($DL361-$DF361-$DI361)&gt;0,($DC361)/($DL361-$DF361-$DI361),""),"")</f>
        <v/>
      </c>
      <c r="DY361" s="55">
        <f>SUMIFS(tblPlant[Cyanide_kg],tblPlant[Date],$A361)</f>
        <v/>
      </c>
      <c r="DZ361" s="55">
        <f>IF($B361=$B360,$DZ360,0)+$DY361</f>
        <v/>
      </c>
      <c r="EA361" s="55">
        <f>$EA360+$DY361</f>
        <v/>
      </c>
      <c r="EB361" s="55">
        <f>SUMIFS(tblPlant[Lime_kg],tblPlant[Date],$A361)</f>
        <v/>
      </c>
      <c r="EC361" s="55">
        <f>IF($B361=$B360,$EC360,0)+$EB361</f>
        <v/>
      </c>
      <c r="ED361" s="55">
        <f>$ED360+$EB361</f>
        <v/>
      </c>
      <c r="EE361" s="55">
        <f>SUMIFS(tblPlant[Grinding_Media_kg],tblPlant[Date],$A361)</f>
        <v/>
      </c>
      <c r="EF361" s="55">
        <f>IF($B361=$B360,$EF360,0)+$EE361</f>
        <v/>
      </c>
      <c r="EG361" s="55">
        <f>$EG360+$EE361</f>
        <v/>
      </c>
      <c r="EH361" s="55">
        <f>SUMIFS(tblPlant[Power_kWh],tblPlant[Date],$A361)</f>
        <v/>
      </c>
      <c r="EI361" s="55">
        <f>IF($B361=$B360,$EI360,0)+$EH361</f>
        <v/>
      </c>
      <c r="EJ361" s="55">
        <f>$EJ360+$EH361</f>
        <v/>
      </c>
      <c r="EK361" s="55">
        <f>SUMIFS(tblPlant[Raw_Water_m3],tblPlant[Date],$A361)</f>
        <v/>
      </c>
      <c r="EL361" s="55">
        <f>IF($B361=$B360,$EL360,0)+$EK361</f>
        <v/>
      </c>
      <c r="EM361" s="55">
        <f>$EM360+$EK361</f>
        <v/>
      </c>
      <c r="EN361" s="56">
        <f>IFERROR(IF(($BZ361)&gt;0,($DY361)/($BZ361),""),"")</f>
        <v/>
      </c>
      <c r="EO361" s="56">
        <f>IFERROR(IF(($CA361)&gt;0,($DZ361)/($CA361),""),"")</f>
        <v/>
      </c>
      <c r="EP361" s="56">
        <f>IFERROR(IF(($CB361)&gt;0,($EA361)/($CB361),""),"")</f>
        <v/>
      </c>
      <c r="EQ361" s="56">
        <f>IFERROR(IF(($BZ361)&gt;0,($EB361)/($BZ361),""),"")</f>
        <v/>
      </c>
      <c r="ER361" s="56">
        <f>IFERROR(IF(($CA361)&gt;0,($EC361)/($CA361),""),"")</f>
        <v/>
      </c>
      <c r="ES361" s="56">
        <f>IFERROR(IF(($CB361)&gt;0,($ED361)/($CB361),""),"")</f>
        <v/>
      </c>
      <c r="ET361" s="56">
        <f>IFERROR(IF(($BZ361)&gt;0,($EE361)/($BZ361),""),"")</f>
        <v/>
      </c>
      <c r="EU361" s="56">
        <f>IFERROR(IF(($CA361)&gt;0,($EF361)/($CA361),""),"")</f>
        <v/>
      </c>
      <c r="EV361" s="56">
        <f>IFERROR(IF(($CB361)&gt;0,($EG361)/($CB361),""),"")</f>
        <v/>
      </c>
      <c r="EW361" s="76">
        <f>IFERROR(IF(($BZ361)&gt;0,($EH361)/($BZ361),""),"")</f>
        <v/>
      </c>
      <c r="EX361" s="76">
        <f>IFERROR(IF(($CA361)&gt;0,($EI361)/($CA361),""),"")</f>
        <v/>
      </c>
      <c r="EY361" s="76">
        <f>IFERROR(IF(($CB361)&gt;0,($EJ361)/($CB361),""),"")</f>
        <v/>
      </c>
      <c r="EZ361" s="56">
        <f>IFERROR(IF(($BZ361)&gt;0,($EK361)/($BZ361),""),"")</f>
        <v/>
      </c>
      <c r="FA361" s="56">
        <f>IFERROR(IF(($CA361)&gt;0,($EL361)/($CA361),""),"")</f>
        <v/>
      </c>
      <c r="FB361" s="56">
        <f>IFERROR(IF(($CB361)&gt;0,($EM361)/($CB361),""),"")</f>
        <v/>
      </c>
      <c r="FC361" s="55">
        <f>IF(SUMIFS(tblPlant[GIC_oz],tblPlant[Date],$A361)&gt;0,SUMIFS(tblPlant[GIC_oz],tblPlant[Date],$A361),"")</f>
        <v/>
      </c>
      <c r="FD361" s="55">
        <f>SUMIFS(tblGold[Gold_oz],tblGold[Date],$A361,tblGold[Type],"Shipment")</f>
        <v/>
      </c>
      <c r="FE361" s="55">
        <f>IF($B361=$B360,$FE360,0)+$FD361</f>
        <v/>
      </c>
      <c r="FF361" s="55">
        <f>$FF360+$FD361</f>
        <v/>
      </c>
      <c r="FG361" s="55">
        <f>SUMIFS(tblGold[Gold_oz],tblGold[Date],$A361,tblGold[Type],"Sale")</f>
        <v/>
      </c>
      <c r="FH361" s="55">
        <f>IF($B361=$B360,$FH360,0)+$FG361</f>
        <v/>
      </c>
      <c r="FI361" s="55">
        <f>$FI360+$FG361</f>
        <v/>
      </c>
      <c r="FJ361" s="55">
        <f>SUMIFS(tblGold[Dore_kg],tblGold[Date],$A361,tblGold[Type],"Shipment")</f>
        <v/>
      </c>
      <c r="FK361" s="55">
        <f>IF($B361=$B360,$FK360,0)+$FJ361</f>
        <v/>
      </c>
      <c r="FL361" s="55">
        <f>$FL360+$FJ361</f>
        <v/>
      </c>
      <c r="FM361" s="57">
        <f>SUMIFS(tblSafety[Hours_Total],tblSafety[Date],$A361)</f>
        <v/>
      </c>
      <c r="FN361" s="57">
        <f>IF($B361=$B360,$FN360,0)+$FM361</f>
        <v/>
      </c>
      <c r="FO361" s="57">
        <f>$FO360+$FM361</f>
        <v/>
      </c>
      <c r="FP361" s="62">
        <f>SUMIFS(tblSafety[Fatality],tblSafety[Date],$A361)</f>
        <v/>
      </c>
      <c r="FQ361" s="62">
        <f>IF($B361=$B360,$FQ360,0)+$FP361</f>
        <v/>
      </c>
      <c r="FR361" s="62">
        <f>$FR360+$FP361</f>
        <v/>
      </c>
      <c r="FS361" s="62">
        <f>SUMIFS(tblSafety[LTI],tblSafety[Date],$A361)</f>
        <v/>
      </c>
      <c r="FT361" s="62">
        <f>IF($B361=$B360,$FT360,0)+$FS361</f>
        <v/>
      </c>
      <c r="FU361" s="62">
        <f>$FU360+$FS361</f>
        <v/>
      </c>
      <c r="FV361" s="62">
        <f>SUMIFS(tblSafety[RWI],tblSafety[Date],$A361)</f>
        <v/>
      </c>
      <c r="FW361" s="62">
        <f>IF($B361=$B360,$FW360,0)+$FV361</f>
        <v/>
      </c>
      <c r="FX361" s="62">
        <f>$FX360+$FV361</f>
        <v/>
      </c>
      <c r="FY361" s="62">
        <f>SUMIFS(tblSafety[MTI],tblSafety[Date],$A361)</f>
        <v/>
      </c>
      <c r="FZ361" s="62">
        <f>IF($B361=$B360,$FZ360,0)+$FY361</f>
        <v/>
      </c>
      <c r="GA361" s="62">
        <f>$GA360+$FY361</f>
        <v/>
      </c>
      <c r="GB361" s="62">
        <f>SUMIFS(tblSafety[FAI],tblSafety[Date],$A361)</f>
        <v/>
      </c>
      <c r="GC361" s="62">
        <f>IF($B361=$B360,$GC360,0)+$GB361</f>
        <v/>
      </c>
      <c r="GD361" s="62">
        <f>$GD360+$GB361</f>
        <v/>
      </c>
      <c r="GE361" s="62">
        <f>SUMIFS(tblSafety[Recordables],tblSafety[Date],$A361)</f>
        <v/>
      </c>
      <c r="GF361" s="62">
        <f>IF($B361=$B360,$GF360,0)+$GE361</f>
        <v/>
      </c>
      <c r="GG361" s="62">
        <f>$GG360+$GE361</f>
        <v/>
      </c>
      <c r="GH361" s="62">
        <f>SUMIFS(tblSafety[Near_Miss],tblSafety[Date],$A361)</f>
        <v/>
      </c>
      <c r="GI361" s="62">
        <f>IF($B361=$B360,$GI360,0)+$GH361</f>
        <v/>
      </c>
      <c r="GJ361" s="62">
        <f>$GJ360+$GH361</f>
        <v/>
      </c>
      <c r="GK361" s="62">
        <f>SUMIFS(tblSafety[Hazard_Reports],tblSafety[Date],$A361)</f>
        <v/>
      </c>
      <c r="GL361" s="62">
        <f>IF($B361=$B360,$GL360,0)+$GK361</f>
        <v/>
      </c>
      <c r="GM361" s="62">
        <f>$GM360+$GK361</f>
        <v/>
      </c>
      <c r="GN361" s="62">
        <f>SUMIFS(tblSafety[HPI],tblSafety[Date],$A361)</f>
        <v/>
      </c>
      <c r="GO361" s="62">
        <f>IF($B361=$B360,$GO360,0)+$GN361</f>
        <v/>
      </c>
      <c r="GP361" s="62">
        <f>$GP360+$GN361</f>
        <v/>
      </c>
      <c r="GQ361" s="62">
        <f>SUMIFS(tblSafety[Env_Incidents],tblSafety[Date],$A361)</f>
        <v/>
      </c>
      <c r="GR361" s="62">
        <f>IF($B361=$B360,$GR360,0)+$GQ361</f>
        <v/>
      </c>
      <c r="GS361" s="62">
        <f>$GS360+$GQ361</f>
        <v/>
      </c>
      <c r="GT361" s="62">
        <f>SUMIFS(tblSafety[Community_Incidents],tblSafety[Date],$A361)</f>
        <v/>
      </c>
      <c r="GU361" s="62">
        <f>IF($B361=$B360,$GU360,0)+$GT361</f>
        <v/>
      </c>
      <c r="GV361" s="62">
        <f>$GV360+$GT361</f>
        <v/>
      </c>
      <c r="GW361" s="62">
        <f>SUMIFS(tblSafety[Vehicle_Incidents],tblSafety[Date],$A361)</f>
        <v/>
      </c>
      <c r="GX361" s="62">
        <f>IF($B361=$B360,$GX360,0)+$GW361</f>
        <v/>
      </c>
      <c r="GY361" s="62">
        <f>$GY360+$GW361</f>
        <v/>
      </c>
      <c r="GZ361" s="62">
        <f>SUMIFS(tblSafety[Toolbox_Talks],tblSafety[Date],$A361)</f>
        <v/>
      </c>
      <c r="HA361" s="62">
        <f>IF($B361=$B360,$HA360,0)+$GZ361</f>
        <v/>
      </c>
      <c r="HB361" s="62">
        <f>$HB360+$GZ361</f>
        <v/>
      </c>
      <c r="HC361" s="62">
        <f>SUMIFS(tblSafety[Inspections],tblSafety[Date],$A361)</f>
        <v/>
      </c>
      <c r="HD361" s="62">
        <f>IF($B361=$B360,$HD360,0)+$HC361</f>
        <v/>
      </c>
      <c r="HE361" s="62">
        <f>$HE360+$HC361</f>
        <v/>
      </c>
      <c r="HF361" s="56">
        <f>IFERROR((SUMIFS(tblSafety[Recordables],tblSafety[Date],"&gt;="&amp;EDATE($E361,-12),tblSafety[Date],"&lt;="&amp;$A361)+SUMIFS(tblSafetyHistory[Recordables],tblSafetyHistory[Month],"&gt;="&amp;EDATE($E361,-12),tblSafetyHistory[Month],"&lt;"&amp;cfg_YearStart))/(SUMIFS(tblSafety[Hours_Total],tblSafety[Date],"&gt;="&amp;EDATE($E361,-12),tblSafety[Date],"&lt;="&amp;$A361)+SUMIFS(tblSafetyHistory[Hours_Total],tblSafetyHistory[Month],"&gt;="&amp;EDATE($E361,-12),tblSafetyHistory[Month],"&lt;"&amp;cfg_YearStart))*1000000,"")</f>
        <v/>
      </c>
      <c r="HG361" s="56">
        <f>IFERROR((SUMIFS(tblSafety[LTI],tblSafety[Date],"&gt;="&amp;EDATE($E361,-12),tblSafety[Date],"&lt;="&amp;$A361)+SUMIFS(tblSafetyHistory[LTI],tblSafetyHistory[Month],"&gt;="&amp;EDATE($E361,-12),tblSafetyHistory[Month],"&lt;"&amp;cfg_YearStart))/(SUMIFS(tblSafety[Hours_Total],tblSafety[Date],"&gt;="&amp;EDATE($E361,-12),tblSafety[Date],"&lt;="&amp;$A361)+SUMIFS(tblSafetyHistory[Hours_Total],tblSafetyHistory[Month],"&gt;="&amp;EDATE($E361,-12),tblSafetyHistory[Month],"&lt;"&amp;cfg_YearStart))*1000000,"")</f>
        <v/>
      </c>
      <c r="HH361" s="62">
        <f>IF(MAX(N(cfg_PriorLTIDate),_xlfn.MAXIFS(tblSafety[Date],tblSafety[LTI],"&gt;0",tblSafety[Date],"&lt;="&amp;$A361))=0,"",$A361-MAX(N(cfg_PriorLTIDate),_xlfn.MAXIFS(tblSafety[Date],tblSafety[LTI],"&gt;0",tblSafety[Date],"&lt;="&amp;$A361)))</f>
        <v/>
      </c>
      <c r="HI361" s="55">
        <f>SUMIFS(tblBudget[Ore_Mined_t],tblBudget[Month],$E361)</f>
        <v/>
      </c>
      <c r="HJ361" s="55">
        <f>$HI361*$C361/$D361</f>
        <v/>
      </c>
      <c r="HK361" s="55">
        <f>SUMIFS(tblBudget[Ore_Mined_t],tblBudget[Month],"&lt;"&amp;$E361)+$HJ361</f>
        <v/>
      </c>
      <c r="HL361" s="55">
        <f>SUMIFS(tblBudget[Ore_oz],tblBudget[Month],$E361)</f>
        <v/>
      </c>
      <c r="HM361" s="55">
        <f>$HL361*$C361/$D361</f>
        <v/>
      </c>
      <c r="HN361" s="55">
        <f>SUMIFS(tblBudget[Ore_oz],tblBudget[Month],"&lt;"&amp;$E361)+$HM361</f>
        <v/>
      </c>
      <c r="HO361" s="56">
        <f>IFERROR(IF(($HI361)&gt;0,($HL361*cfg_TroyOz)/($HI361),""),"")</f>
        <v/>
      </c>
      <c r="HP361" s="56">
        <f>IFERROR(IF(($HJ361)&gt;0,($HM361*cfg_TroyOz)/($HJ361),""),"")</f>
        <v/>
      </c>
      <c r="HQ361" s="56">
        <f>IFERROR(IF(($HK361)&gt;0,($HN361*cfg_TroyOz)/($HK361),""),"")</f>
        <v/>
      </c>
      <c r="HR361" s="55">
        <f>SUMIFS(tblBudget[Waste_t],tblBudget[Month],$E361)</f>
        <v/>
      </c>
      <c r="HS361" s="55">
        <f>$HR361*$C361/$D361</f>
        <v/>
      </c>
      <c r="HT361" s="55">
        <f>SUMIFS(tblBudget[Waste_t],tblBudget[Month],"&lt;"&amp;$E361)+$HS361</f>
        <v/>
      </c>
      <c r="HU361" s="55">
        <f>SUMIFS(tblBudget[TMM_t],tblBudget[Month],$E361)</f>
        <v/>
      </c>
      <c r="HV361" s="55">
        <f>$HU361*$C361/$D361</f>
        <v/>
      </c>
      <c r="HW361" s="55">
        <f>SUMIFS(tblBudget[TMM_t],tblBudget[Month],"&lt;"&amp;$E361)+$HV361</f>
        <v/>
      </c>
      <c r="HX361" s="56">
        <f>IFERROR(IF(($HI361)&gt;0,($HR361)/($HI361),""),"")</f>
        <v/>
      </c>
      <c r="HY361" s="56">
        <f>IFERROR(IF(($HJ361)&gt;0,($HS361)/($HJ361),""),"")</f>
        <v/>
      </c>
      <c r="HZ361" s="56">
        <f>IFERROR(IF(($HK361)&gt;0,($HT361)/($HK361),""),"")</f>
        <v/>
      </c>
      <c r="IA361" s="55">
        <f>SUMIFS(tblBudget[Drill_m],tblBudget[Month],$E361)</f>
        <v/>
      </c>
      <c r="IB361" s="55">
        <f>$IA361*$C361/$D361</f>
        <v/>
      </c>
      <c r="IC361" s="55">
        <f>SUMIFS(tblBudget[Drill_m],tblBudget[Month],"&lt;"&amp;$E361)+$IB361</f>
        <v/>
      </c>
      <c r="ID361" s="55">
        <f>SUMIFS(tblBudget[Diesel_L],tblBudget[Month],$E361)</f>
        <v/>
      </c>
      <c r="IE361" s="55">
        <f>$ID361*$C361/$D361</f>
        <v/>
      </c>
      <c r="IF361" s="55">
        <f>SUMIFS(tblBudget[Diesel_L],tblBudget[Month],"&lt;"&amp;$E361)+$IE361</f>
        <v/>
      </c>
      <c r="IG361" s="55">
        <f>SUMIFS(tblBudget[Milled_t],tblBudget[Month],$E361)</f>
        <v/>
      </c>
      <c r="IH361" s="55">
        <f>$IG361*$C361/$D361</f>
        <v/>
      </c>
      <c r="II361" s="55">
        <f>SUMIFS(tblBudget[Milled_t],tblBudget[Month],"&lt;"&amp;$E361)+$IH361</f>
        <v/>
      </c>
      <c r="IJ361" s="55">
        <f>SUMIFS(tblBudget[Feed_oz],tblBudget[Month],$E361)</f>
        <v/>
      </c>
      <c r="IK361" s="55">
        <f>$IJ361*$C361/$D361</f>
        <v/>
      </c>
      <c r="IL361" s="55">
        <f>SUMIFS(tblBudget[Feed_oz],tblBudget[Month],"&lt;"&amp;$E361)+$IK361</f>
        <v/>
      </c>
      <c r="IM361" s="55">
        <f>SUMIFS(tblBudget[Recovered_oz],tblBudget[Month],$E361)</f>
        <v/>
      </c>
      <c r="IN361" s="55">
        <f>$IM361*$C361/$D361</f>
        <v/>
      </c>
      <c r="IO361" s="55">
        <f>SUMIFS(tblBudget[Recovered_oz],tblBudget[Month],"&lt;"&amp;$E361)+$IN361</f>
        <v/>
      </c>
      <c r="IP361" s="56">
        <f>IFERROR(IF(($IG361)&gt;0,($IJ361*cfg_TroyOz)/($IG361),""),"")</f>
        <v/>
      </c>
      <c r="IQ361" s="56">
        <f>IFERROR(IF(($IH361)&gt;0,($IK361*cfg_TroyOz)/($IH361),""),"")</f>
        <v/>
      </c>
      <c r="IR361" s="56">
        <f>IFERROR(IF(($II361)&gt;0,($IL361*cfg_TroyOz)/($II361),""),"")</f>
        <v/>
      </c>
      <c r="IS361" s="67">
        <f>IFERROR(IF(($IJ361)&gt;0,($IM361)/($IJ361),""),"")</f>
        <v/>
      </c>
      <c r="IT361" s="67">
        <f>IFERROR(IF(($IK361)&gt;0,($IN361)/($IK361),""),"")</f>
        <v/>
      </c>
      <c r="IU361" s="67">
        <f>IFERROR(IF(($IL361)&gt;0,($IO361)/($IL361),""),"")</f>
        <v/>
      </c>
      <c r="IV361" s="55">
        <f>SUMIFS(tblBudget[Gold_Poured_oz],tblBudget[Month],$E361)</f>
        <v/>
      </c>
      <c r="IW361" s="55">
        <f>$IV361*$C361/$D361</f>
        <v/>
      </c>
      <c r="IX361" s="55">
        <f>SUMIFS(tblBudget[Gold_Poured_oz],tblBudget[Month],"&lt;"&amp;$E361)+$IW361</f>
        <v/>
      </c>
      <c r="IY361" s="57">
        <f>SUMIFS(tblBudget[Hours_Worked],tblBudget[Month],$E361)</f>
        <v/>
      </c>
      <c r="IZ361" s="57">
        <f>$IY361*$C361/$D361</f>
        <v/>
      </c>
      <c r="JA361" s="57">
        <f>SUMIFS(tblBudget[Hours_Worked],tblBudget[Month],"&lt;"&amp;$E361)+$IZ361</f>
        <v/>
      </c>
    </row>
    <row r="362">
      <c r="A362" s="54" t="n">
        <v>46383</v>
      </c>
      <c r="B362">
        <f>MONTH($A362)</f>
        <v/>
      </c>
      <c r="C362">
        <f>DAY($A362)</f>
        <v/>
      </c>
      <c r="D362">
        <f>DAY(EOMONTH($A362,0))</f>
        <v/>
      </c>
      <c r="E362" s="54">
        <f>DATE(YEAR($A362),MONTH($A362),1)</f>
        <v/>
      </c>
      <c r="F362" s="55">
        <f>SUMIFS(tblMovement[Tonnes_t],tblMovement[Date],$A362,tblMovement[Is_Ore],1,tblMovement[Source_Type],"Pit")</f>
        <v/>
      </c>
      <c r="G362" s="55">
        <f>IF($B362=$B361,$G361,0)+$F362</f>
        <v/>
      </c>
      <c r="H362" s="55">
        <f>$H361+$F362</f>
        <v/>
      </c>
      <c r="I362" s="55">
        <f>SUMIFS(tblMovement[Ore_oz],tblMovement[Date],$A362,tblMovement[Source_Type],"Pit")</f>
        <v/>
      </c>
      <c r="J362" s="55">
        <f>IF($B362=$B361,$J361,0)+$I362</f>
        <v/>
      </c>
      <c r="K362" s="55">
        <f>$K361+$I362</f>
        <v/>
      </c>
      <c r="L362" s="56">
        <f>IFERROR(IF(($F362)&gt;0,($I362*cfg_TroyOz)/($F362),""),"")</f>
        <v/>
      </c>
      <c r="M362" s="56">
        <f>IFERROR(IF(($G362)&gt;0,($J362*cfg_TroyOz)/($G362),""),"")</f>
        <v/>
      </c>
      <c r="N362" s="56">
        <f>IFERROR(IF(($H362)&gt;0,($K362*cfg_TroyOz)/($H362),""),"")</f>
        <v/>
      </c>
      <c r="O362" s="55">
        <f>SUMIFS(tblMovement[Tonnes_t],tblMovement[Date],$A362,tblMovement[Is_Ore],0,tblMovement[Source_Type],"Pit")</f>
        <v/>
      </c>
      <c r="P362" s="55">
        <f>IF($B362=$B361,$P361,0)+$O362</f>
        <v/>
      </c>
      <c r="Q362" s="55">
        <f>$Q361+$O362</f>
        <v/>
      </c>
      <c r="R362" s="55">
        <f>$F362+$O362</f>
        <v/>
      </c>
      <c r="S362" s="55">
        <f>IF($B362=$B361,$S361,0)+$R362</f>
        <v/>
      </c>
      <c r="T362" s="55">
        <f>$T361+$R362</f>
        <v/>
      </c>
      <c r="U362" s="56">
        <f>IFERROR(IF(($F362)&gt;0,($O362)/($F362),""),"")</f>
        <v/>
      </c>
      <c r="V362" s="56">
        <f>IFERROR(IF(($G362)&gt;0,($P362)/($G362),""),"")</f>
        <v/>
      </c>
      <c r="W362" s="56">
        <f>IFERROR(IF(($H362)&gt;0,($Q362)/($H362),""),"")</f>
        <v/>
      </c>
      <c r="X362" s="55">
        <f>SUMIFS(tblMovement[Tonnes_t],tblMovement[Date],$A362,tblMovement[Source_Type],"Stockpile")</f>
        <v/>
      </c>
      <c r="Y362" s="55">
        <f>IF($B362=$B361,$Y361,0)+$X362</f>
        <v/>
      </c>
      <c r="Z362" s="55">
        <f>$Z361+$X362</f>
        <v/>
      </c>
      <c r="AA362" s="55">
        <f>SUMIFS(tblMiningDaily[Drill_m],tblMiningDaily[Date],$A362)</f>
        <v/>
      </c>
      <c r="AB362" s="55">
        <f>IF($B362=$B361,$AB361,0)+$AA362</f>
        <v/>
      </c>
      <c r="AC362" s="55">
        <f>$AC361+$AA362</f>
        <v/>
      </c>
      <c r="AD362" s="55">
        <f>SUMIFS(tblMiningDaily[Blast_t],tblMiningDaily[Date],$A362)</f>
        <v/>
      </c>
      <c r="AE362" s="55">
        <f>IF($B362=$B361,$AE361,0)+$AD362</f>
        <v/>
      </c>
      <c r="AF362" s="55">
        <f>$AF361+$AD362</f>
        <v/>
      </c>
      <c r="AG362" s="55">
        <f>SUMIFS(tblMiningDaily[Explosives_kg],tblMiningDaily[Date],$A362)</f>
        <v/>
      </c>
      <c r="AH362" s="55">
        <f>IF($B362=$B361,$AH361,0)+$AG362</f>
        <v/>
      </c>
      <c r="AI362" s="55">
        <f>$AI361+$AG362</f>
        <v/>
      </c>
      <c r="AJ362" s="56">
        <f>IFERROR(IF(($AD362)&gt;0,($AG362)/($AD362),""),"")</f>
        <v/>
      </c>
      <c r="AK362" s="56">
        <f>IFERROR(IF(($AE362)&gt;0,($AH362)/($AE362),""),"")</f>
        <v/>
      </c>
      <c r="AL362" s="56">
        <f>IFERROR(IF(($AF362)&gt;0,($AI362)/($AF362),""),"")</f>
        <v/>
      </c>
      <c r="AM362" s="55">
        <f>SUMIFS(tblMiningDaily[Diesel_L],tblMiningDaily[Date],$A362)</f>
        <v/>
      </c>
      <c r="AN362" s="55">
        <f>IF($B362=$B361,$AN361,0)+$AM362</f>
        <v/>
      </c>
      <c r="AO362" s="55">
        <f>$AO361+$AM362</f>
        <v/>
      </c>
      <c r="AP362" s="55">
        <f>SUMIFS(tblMiningDaily[Dewatering_m3],tblMiningDaily[Date],$A362)</f>
        <v/>
      </c>
      <c r="AQ362" s="55">
        <f>IF($B362=$B361,$AQ361,0)+$AP362</f>
        <v/>
      </c>
      <c r="AR362" s="55">
        <f>$AR361+$AP362</f>
        <v/>
      </c>
      <c r="AS362" s="57">
        <f>SUMIFS(tblFleet[Calendar_h],tblFleet[Date],$A362,tblFleet[Equipment_Class],"Excavator")</f>
        <v/>
      </c>
      <c r="AT362" s="57">
        <f>IF($B362=$B361,$AT361,0)+$AS362</f>
        <v/>
      </c>
      <c r="AU362" s="57">
        <f>$AU361+$AS362</f>
        <v/>
      </c>
      <c r="AV362" s="57">
        <f>SUMIFS(tblFleet[Available_h],tblFleet[Date],$A362,tblFleet[Equipment_Class],"Excavator")</f>
        <v/>
      </c>
      <c r="AW362" s="57">
        <f>IF($B362=$B361,$AW361,0)+$AV362</f>
        <v/>
      </c>
      <c r="AX362" s="57">
        <f>$AX361+$AV362</f>
        <v/>
      </c>
      <c r="AY362" s="57">
        <f>SUMIFS(tblFleet[Operating_h],tblFleet[Date],$A362,tblFleet[Equipment_Class],"Excavator")</f>
        <v/>
      </c>
      <c r="AZ362" s="57">
        <f>IF($B362=$B361,$AZ361,0)+$AY362</f>
        <v/>
      </c>
      <c r="BA362" s="57">
        <f>$BA361+$AY362</f>
        <v/>
      </c>
      <c r="BB362" s="67">
        <f>IFERROR(IF(($AS362)&gt;0,($AV362)/($AS362),""),"")</f>
        <v/>
      </c>
      <c r="BC362" s="67">
        <f>IFERROR(IF(($AT362)&gt;0,($AW362)/($AT362),""),"")</f>
        <v/>
      </c>
      <c r="BD362" s="67">
        <f>IFERROR(IF(($AU362)&gt;0,($AX362)/($AU362),""),"")</f>
        <v/>
      </c>
      <c r="BE362" s="67">
        <f>IFERROR(IF(($AV362)&gt;0,($AY362)/($AV362),""),"")</f>
        <v/>
      </c>
      <c r="BF362" s="67">
        <f>IFERROR(IF(($AW362)&gt;0,($AZ362)/($AW362),""),"")</f>
        <v/>
      </c>
      <c r="BG362" s="67">
        <f>IFERROR(IF(($AX362)&gt;0,($BA362)/($AX362),""),"")</f>
        <v/>
      </c>
      <c r="BH362" s="57">
        <f>SUMIFS(tblFleet[Calendar_h],tblFleet[Date],$A362,tblFleet[Equipment_Class],"Haul Truck")</f>
        <v/>
      </c>
      <c r="BI362" s="57">
        <f>IF($B362=$B361,$BI361,0)+$BH362</f>
        <v/>
      </c>
      <c r="BJ362" s="57">
        <f>$BJ361+$BH362</f>
        <v/>
      </c>
      <c r="BK362" s="57">
        <f>SUMIFS(tblFleet[Available_h],tblFleet[Date],$A362,tblFleet[Equipment_Class],"Haul Truck")</f>
        <v/>
      </c>
      <c r="BL362" s="57">
        <f>IF($B362=$B361,$BL361,0)+$BK362</f>
        <v/>
      </c>
      <c r="BM362" s="57">
        <f>$BM361+$BK362</f>
        <v/>
      </c>
      <c r="BN362" s="57">
        <f>SUMIFS(tblFleet[Operating_h],tblFleet[Date],$A362,tblFleet[Equipment_Class],"Haul Truck")</f>
        <v/>
      </c>
      <c r="BO362" s="57">
        <f>IF($B362=$B361,$BO361,0)+$BN362</f>
        <v/>
      </c>
      <c r="BP362" s="57">
        <f>$BP361+$BN362</f>
        <v/>
      </c>
      <c r="BQ362" s="67">
        <f>IFERROR(IF(($BH362)&gt;0,($BK362)/($BH362),""),"")</f>
        <v/>
      </c>
      <c r="BR362" s="67">
        <f>IFERROR(IF(($BI362)&gt;0,($BL362)/($BI362),""),"")</f>
        <v/>
      </c>
      <c r="BS362" s="67">
        <f>IFERROR(IF(($BJ362)&gt;0,($BM362)/($BJ362),""),"")</f>
        <v/>
      </c>
      <c r="BT362" s="67">
        <f>IFERROR(IF(($BK362)&gt;0,($BN362)/($BK362),""),"")</f>
        <v/>
      </c>
      <c r="BU362" s="67">
        <f>IFERROR(IF(($BL362)&gt;0,($BO362)/($BL362),""),"")</f>
        <v/>
      </c>
      <c r="BV362" s="67">
        <f>IFERROR(IF(($BM362)&gt;0,($BP362)/($BM362),""),"")</f>
        <v/>
      </c>
      <c r="BW362" s="55">
        <f>SUMIFS(tblPlant[Crushed_t],tblPlant[Date],$A362)</f>
        <v/>
      </c>
      <c r="BX362" s="55">
        <f>IF($B362=$B361,$BX361,0)+$BW362</f>
        <v/>
      </c>
      <c r="BY362" s="55">
        <f>$BY361+$BW362</f>
        <v/>
      </c>
      <c r="BZ362" s="55">
        <f>SUMIFS(tblPlant[Milled_t],tblPlant[Date],$A362)</f>
        <v/>
      </c>
      <c r="CA362" s="55">
        <f>IF($B362=$B361,$CA361,0)+$BZ362</f>
        <v/>
      </c>
      <c r="CB362" s="55">
        <f>$CB361+$BZ362</f>
        <v/>
      </c>
      <c r="CC362" s="55">
        <f>SUMIFS(tblPlant[Feed_oz],tblPlant[Date],$A362)</f>
        <v/>
      </c>
      <c r="CD362" s="55">
        <f>IF($B362=$B361,$CD361,0)+$CC362</f>
        <v/>
      </c>
      <c r="CE362" s="55">
        <f>$CE361+$CC362</f>
        <v/>
      </c>
      <c r="CF362" s="55">
        <f>SUMIFS(tblPlant[Tails_oz],tblPlant[Date],$A362)</f>
        <v/>
      </c>
      <c r="CG362" s="55">
        <f>IF($B362=$B361,$CG361,0)+$CF362</f>
        <v/>
      </c>
      <c r="CH362" s="55">
        <f>$CH361+$CF362</f>
        <v/>
      </c>
      <c r="CI362" s="55">
        <f>SUMIFS(tblPlant[Recovered_oz],tblPlant[Date],$A362)</f>
        <v/>
      </c>
      <c r="CJ362" s="55">
        <f>IF($B362=$B361,$CJ361,0)+$CI362</f>
        <v/>
      </c>
      <c r="CK362" s="55">
        <f>$CK361+$CI362</f>
        <v/>
      </c>
      <c r="CL362" s="56">
        <f>IFERROR(IF(($BZ362)&gt;0,($CC362*cfg_TroyOz)/($BZ362),""),"")</f>
        <v/>
      </c>
      <c r="CM362" s="56">
        <f>IFERROR(IF(($CA362)&gt;0,($CD362*cfg_TroyOz)/($CA362),""),"")</f>
        <v/>
      </c>
      <c r="CN362" s="56">
        <f>IFERROR(IF(($CB362)&gt;0,($CE362*cfg_TroyOz)/($CB362),""),"")</f>
        <v/>
      </c>
      <c r="CO362" s="56">
        <f>IFERROR(IF(($BZ362)&gt;0,($CF362*cfg_TroyOz)/($BZ362),""),"")</f>
        <v/>
      </c>
      <c r="CP362" s="56">
        <f>IFERROR(IF(($CA362)&gt;0,($CG362*cfg_TroyOz)/($CA362),""),"")</f>
        <v/>
      </c>
      <c r="CQ362" s="56">
        <f>IFERROR(IF(($CB362)&gt;0,($CH362*cfg_TroyOz)/($CB362),""),"")</f>
        <v/>
      </c>
      <c r="CR362" s="67">
        <f>IFERROR(IF(($CC362)&gt;0,($CI362)/($CC362),""),"")</f>
        <v/>
      </c>
      <c r="CS362" s="67">
        <f>IFERROR(IF(($CD362)&gt;0,($CJ362)/($CD362),""),"")</f>
        <v/>
      </c>
      <c r="CT362" s="67">
        <f>IFERROR(IF(($CE362)&gt;0,($CK362)/($CE362),""),"")</f>
        <v/>
      </c>
      <c r="CU362" s="55">
        <f>SUMIFS(tblPlant[Gravity_Gold_oz],tblPlant[Date],$A362)</f>
        <v/>
      </c>
      <c r="CV362" s="55">
        <f>IF($B362=$B361,$CV361,0)+$CU362</f>
        <v/>
      </c>
      <c r="CW362" s="55">
        <f>$CW361+$CU362</f>
        <v/>
      </c>
      <c r="CX362" s="55">
        <f>SUMIFS(tblPlant[Gold_Poured_oz],tblPlant[Date],$A362)</f>
        <v/>
      </c>
      <c r="CY362" s="55">
        <f>IF($B362=$B361,$CY361,0)+$CX362</f>
        <v/>
      </c>
      <c r="CZ362" s="55">
        <f>$CZ361+$CX362</f>
        <v/>
      </c>
      <c r="DA362" s="57">
        <f>SUMIFS(tblPlant[Mill_Run_h],tblPlant[Date],$A362)</f>
        <v/>
      </c>
      <c r="DB362" s="57">
        <f>IF($B362=$B361,$DB361,0)+$DA362</f>
        <v/>
      </c>
      <c r="DC362" s="57">
        <f>$DC361+$DA362</f>
        <v/>
      </c>
      <c r="DD362" s="57">
        <f>SUMIFS(tblPlant[Mill_Planned_Maint_h],tblPlant[Date],$A362)</f>
        <v/>
      </c>
      <c r="DE362" s="57">
        <f>IF($B362=$B361,$DE361,0)+$DD362</f>
        <v/>
      </c>
      <c r="DF362" s="57">
        <f>$DF361+$DD362</f>
        <v/>
      </c>
      <c r="DG362" s="57">
        <f>SUMIFS(tblPlant[Mill_Unplanned_Down_h],tblPlant[Date],$A362)</f>
        <v/>
      </c>
      <c r="DH362" s="57">
        <f>IF($B362=$B361,$DH361,0)+$DG362</f>
        <v/>
      </c>
      <c r="DI362" s="57">
        <f>$DI361+$DG362</f>
        <v/>
      </c>
      <c r="DJ362" s="57">
        <f>COUNTIFS(tblPlant[Date],$A362,tblPlant[Mill_Run_h],"&lt;&gt;")*24</f>
        <v/>
      </c>
      <c r="DK362" s="57">
        <f>IF($B362=$B361,$DK361,0)+$DJ362</f>
        <v/>
      </c>
      <c r="DL362" s="57">
        <f>$DL361+$DJ362</f>
        <v/>
      </c>
      <c r="DM362" s="57">
        <f>SUMIFS(tblPlant[Crusher_Run_h],tblPlant[Date],$A362)</f>
        <v/>
      </c>
      <c r="DN362" s="57">
        <f>IF($B362=$B361,$DN361,0)+$DM362</f>
        <v/>
      </c>
      <c r="DO362" s="57">
        <f>$DO361+$DM362</f>
        <v/>
      </c>
      <c r="DP362" s="55">
        <f>IFERROR(IF(($DA362)&gt;0,($BZ362)/($DA362),""),"")</f>
        <v/>
      </c>
      <c r="DQ362" s="55">
        <f>IFERROR(IF(($DB362)&gt;0,($CA362)/($DB362),""),"")</f>
        <v/>
      </c>
      <c r="DR362" s="55">
        <f>IFERROR(IF(($DC362)&gt;0,($CB362)/($DC362),""),"")</f>
        <v/>
      </c>
      <c r="DS362" s="67">
        <f>IFERROR(IF(($DJ362)&gt;0,($DJ362-$DD362-$DG362)/($DJ362),""),"")</f>
        <v/>
      </c>
      <c r="DT362" s="67">
        <f>IFERROR(IF(($DK362)&gt;0,($DK362-$DE362-$DH362)/($DK362),""),"")</f>
        <v/>
      </c>
      <c r="DU362" s="67">
        <f>IFERROR(IF(($DL362)&gt;0,($DL362-$DF362-$DI362)/($DL362),""),"")</f>
        <v/>
      </c>
      <c r="DV362" s="67">
        <f>IFERROR(IF(($DJ362-$DD362-$DG362)&gt;0,($DA362)/($DJ362-$DD362-$DG362),""),"")</f>
        <v/>
      </c>
      <c r="DW362" s="67">
        <f>IFERROR(IF(($DK362-$DE362-$DH362)&gt;0,($DB362)/($DK362-$DE362-$DH362),""),"")</f>
        <v/>
      </c>
      <c r="DX362" s="67">
        <f>IFERROR(IF(($DL362-$DF362-$DI362)&gt;0,($DC362)/($DL362-$DF362-$DI362),""),"")</f>
        <v/>
      </c>
      <c r="DY362" s="55">
        <f>SUMIFS(tblPlant[Cyanide_kg],tblPlant[Date],$A362)</f>
        <v/>
      </c>
      <c r="DZ362" s="55">
        <f>IF($B362=$B361,$DZ361,0)+$DY362</f>
        <v/>
      </c>
      <c r="EA362" s="55">
        <f>$EA361+$DY362</f>
        <v/>
      </c>
      <c r="EB362" s="55">
        <f>SUMIFS(tblPlant[Lime_kg],tblPlant[Date],$A362)</f>
        <v/>
      </c>
      <c r="EC362" s="55">
        <f>IF($B362=$B361,$EC361,0)+$EB362</f>
        <v/>
      </c>
      <c r="ED362" s="55">
        <f>$ED361+$EB362</f>
        <v/>
      </c>
      <c r="EE362" s="55">
        <f>SUMIFS(tblPlant[Grinding_Media_kg],tblPlant[Date],$A362)</f>
        <v/>
      </c>
      <c r="EF362" s="55">
        <f>IF($B362=$B361,$EF361,0)+$EE362</f>
        <v/>
      </c>
      <c r="EG362" s="55">
        <f>$EG361+$EE362</f>
        <v/>
      </c>
      <c r="EH362" s="55">
        <f>SUMIFS(tblPlant[Power_kWh],tblPlant[Date],$A362)</f>
        <v/>
      </c>
      <c r="EI362" s="55">
        <f>IF($B362=$B361,$EI361,0)+$EH362</f>
        <v/>
      </c>
      <c r="EJ362" s="55">
        <f>$EJ361+$EH362</f>
        <v/>
      </c>
      <c r="EK362" s="55">
        <f>SUMIFS(tblPlant[Raw_Water_m3],tblPlant[Date],$A362)</f>
        <v/>
      </c>
      <c r="EL362" s="55">
        <f>IF($B362=$B361,$EL361,0)+$EK362</f>
        <v/>
      </c>
      <c r="EM362" s="55">
        <f>$EM361+$EK362</f>
        <v/>
      </c>
      <c r="EN362" s="56">
        <f>IFERROR(IF(($BZ362)&gt;0,($DY362)/($BZ362),""),"")</f>
        <v/>
      </c>
      <c r="EO362" s="56">
        <f>IFERROR(IF(($CA362)&gt;0,($DZ362)/($CA362),""),"")</f>
        <v/>
      </c>
      <c r="EP362" s="56">
        <f>IFERROR(IF(($CB362)&gt;0,($EA362)/($CB362),""),"")</f>
        <v/>
      </c>
      <c r="EQ362" s="56">
        <f>IFERROR(IF(($BZ362)&gt;0,($EB362)/($BZ362),""),"")</f>
        <v/>
      </c>
      <c r="ER362" s="56">
        <f>IFERROR(IF(($CA362)&gt;0,($EC362)/($CA362),""),"")</f>
        <v/>
      </c>
      <c r="ES362" s="56">
        <f>IFERROR(IF(($CB362)&gt;0,($ED362)/($CB362),""),"")</f>
        <v/>
      </c>
      <c r="ET362" s="56">
        <f>IFERROR(IF(($BZ362)&gt;0,($EE362)/($BZ362),""),"")</f>
        <v/>
      </c>
      <c r="EU362" s="56">
        <f>IFERROR(IF(($CA362)&gt;0,($EF362)/($CA362),""),"")</f>
        <v/>
      </c>
      <c r="EV362" s="56">
        <f>IFERROR(IF(($CB362)&gt;0,($EG362)/($CB362),""),"")</f>
        <v/>
      </c>
      <c r="EW362" s="76">
        <f>IFERROR(IF(($BZ362)&gt;0,($EH362)/($BZ362),""),"")</f>
        <v/>
      </c>
      <c r="EX362" s="76">
        <f>IFERROR(IF(($CA362)&gt;0,($EI362)/($CA362),""),"")</f>
        <v/>
      </c>
      <c r="EY362" s="76">
        <f>IFERROR(IF(($CB362)&gt;0,($EJ362)/($CB362),""),"")</f>
        <v/>
      </c>
      <c r="EZ362" s="56">
        <f>IFERROR(IF(($BZ362)&gt;0,($EK362)/($BZ362),""),"")</f>
        <v/>
      </c>
      <c r="FA362" s="56">
        <f>IFERROR(IF(($CA362)&gt;0,($EL362)/($CA362),""),"")</f>
        <v/>
      </c>
      <c r="FB362" s="56">
        <f>IFERROR(IF(($CB362)&gt;0,($EM362)/($CB362),""),"")</f>
        <v/>
      </c>
      <c r="FC362" s="55">
        <f>IF(SUMIFS(tblPlant[GIC_oz],tblPlant[Date],$A362)&gt;0,SUMIFS(tblPlant[GIC_oz],tblPlant[Date],$A362),"")</f>
        <v/>
      </c>
      <c r="FD362" s="55">
        <f>SUMIFS(tblGold[Gold_oz],tblGold[Date],$A362,tblGold[Type],"Shipment")</f>
        <v/>
      </c>
      <c r="FE362" s="55">
        <f>IF($B362=$B361,$FE361,0)+$FD362</f>
        <v/>
      </c>
      <c r="FF362" s="55">
        <f>$FF361+$FD362</f>
        <v/>
      </c>
      <c r="FG362" s="55">
        <f>SUMIFS(tblGold[Gold_oz],tblGold[Date],$A362,tblGold[Type],"Sale")</f>
        <v/>
      </c>
      <c r="FH362" s="55">
        <f>IF($B362=$B361,$FH361,0)+$FG362</f>
        <v/>
      </c>
      <c r="FI362" s="55">
        <f>$FI361+$FG362</f>
        <v/>
      </c>
      <c r="FJ362" s="55">
        <f>SUMIFS(tblGold[Dore_kg],tblGold[Date],$A362,tblGold[Type],"Shipment")</f>
        <v/>
      </c>
      <c r="FK362" s="55">
        <f>IF($B362=$B361,$FK361,0)+$FJ362</f>
        <v/>
      </c>
      <c r="FL362" s="55">
        <f>$FL361+$FJ362</f>
        <v/>
      </c>
      <c r="FM362" s="57">
        <f>SUMIFS(tblSafety[Hours_Total],tblSafety[Date],$A362)</f>
        <v/>
      </c>
      <c r="FN362" s="57">
        <f>IF($B362=$B361,$FN361,0)+$FM362</f>
        <v/>
      </c>
      <c r="FO362" s="57">
        <f>$FO361+$FM362</f>
        <v/>
      </c>
      <c r="FP362" s="62">
        <f>SUMIFS(tblSafety[Fatality],tblSafety[Date],$A362)</f>
        <v/>
      </c>
      <c r="FQ362" s="62">
        <f>IF($B362=$B361,$FQ361,0)+$FP362</f>
        <v/>
      </c>
      <c r="FR362" s="62">
        <f>$FR361+$FP362</f>
        <v/>
      </c>
      <c r="FS362" s="62">
        <f>SUMIFS(tblSafety[LTI],tblSafety[Date],$A362)</f>
        <v/>
      </c>
      <c r="FT362" s="62">
        <f>IF($B362=$B361,$FT361,0)+$FS362</f>
        <v/>
      </c>
      <c r="FU362" s="62">
        <f>$FU361+$FS362</f>
        <v/>
      </c>
      <c r="FV362" s="62">
        <f>SUMIFS(tblSafety[RWI],tblSafety[Date],$A362)</f>
        <v/>
      </c>
      <c r="FW362" s="62">
        <f>IF($B362=$B361,$FW361,0)+$FV362</f>
        <v/>
      </c>
      <c r="FX362" s="62">
        <f>$FX361+$FV362</f>
        <v/>
      </c>
      <c r="FY362" s="62">
        <f>SUMIFS(tblSafety[MTI],tblSafety[Date],$A362)</f>
        <v/>
      </c>
      <c r="FZ362" s="62">
        <f>IF($B362=$B361,$FZ361,0)+$FY362</f>
        <v/>
      </c>
      <c r="GA362" s="62">
        <f>$GA361+$FY362</f>
        <v/>
      </c>
      <c r="GB362" s="62">
        <f>SUMIFS(tblSafety[FAI],tblSafety[Date],$A362)</f>
        <v/>
      </c>
      <c r="GC362" s="62">
        <f>IF($B362=$B361,$GC361,0)+$GB362</f>
        <v/>
      </c>
      <c r="GD362" s="62">
        <f>$GD361+$GB362</f>
        <v/>
      </c>
      <c r="GE362" s="62">
        <f>SUMIFS(tblSafety[Recordables],tblSafety[Date],$A362)</f>
        <v/>
      </c>
      <c r="GF362" s="62">
        <f>IF($B362=$B361,$GF361,0)+$GE362</f>
        <v/>
      </c>
      <c r="GG362" s="62">
        <f>$GG361+$GE362</f>
        <v/>
      </c>
      <c r="GH362" s="62">
        <f>SUMIFS(tblSafety[Near_Miss],tblSafety[Date],$A362)</f>
        <v/>
      </c>
      <c r="GI362" s="62">
        <f>IF($B362=$B361,$GI361,0)+$GH362</f>
        <v/>
      </c>
      <c r="GJ362" s="62">
        <f>$GJ361+$GH362</f>
        <v/>
      </c>
      <c r="GK362" s="62">
        <f>SUMIFS(tblSafety[Hazard_Reports],tblSafety[Date],$A362)</f>
        <v/>
      </c>
      <c r="GL362" s="62">
        <f>IF($B362=$B361,$GL361,0)+$GK362</f>
        <v/>
      </c>
      <c r="GM362" s="62">
        <f>$GM361+$GK362</f>
        <v/>
      </c>
      <c r="GN362" s="62">
        <f>SUMIFS(tblSafety[HPI],tblSafety[Date],$A362)</f>
        <v/>
      </c>
      <c r="GO362" s="62">
        <f>IF($B362=$B361,$GO361,0)+$GN362</f>
        <v/>
      </c>
      <c r="GP362" s="62">
        <f>$GP361+$GN362</f>
        <v/>
      </c>
      <c r="GQ362" s="62">
        <f>SUMIFS(tblSafety[Env_Incidents],tblSafety[Date],$A362)</f>
        <v/>
      </c>
      <c r="GR362" s="62">
        <f>IF($B362=$B361,$GR361,0)+$GQ362</f>
        <v/>
      </c>
      <c r="GS362" s="62">
        <f>$GS361+$GQ362</f>
        <v/>
      </c>
      <c r="GT362" s="62">
        <f>SUMIFS(tblSafety[Community_Incidents],tblSafety[Date],$A362)</f>
        <v/>
      </c>
      <c r="GU362" s="62">
        <f>IF($B362=$B361,$GU361,0)+$GT362</f>
        <v/>
      </c>
      <c r="GV362" s="62">
        <f>$GV361+$GT362</f>
        <v/>
      </c>
      <c r="GW362" s="62">
        <f>SUMIFS(tblSafety[Vehicle_Incidents],tblSafety[Date],$A362)</f>
        <v/>
      </c>
      <c r="GX362" s="62">
        <f>IF($B362=$B361,$GX361,0)+$GW362</f>
        <v/>
      </c>
      <c r="GY362" s="62">
        <f>$GY361+$GW362</f>
        <v/>
      </c>
      <c r="GZ362" s="62">
        <f>SUMIFS(tblSafety[Toolbox_Talks],tblSafety[Date],$A362)</f>
        <v/>
      </c>
      <c r="HA362" s="62">
        <f>IF($B362=$B361,$HA361,0)+$GZ362</f>
        <v/>
      </c>
      <c r="HB362" s="62">
        <f>$HB361+$GZ362</f>
        <v/>
      </c>
      <c r="HC362" s="62">
        <f>SUMIFS(tblSafety[Inspections],tblSafety[Date],$A362)</f>
        <v/>
      </c>
      <c r="HD362" s="62">
        <f>IF($B362=$B361,$HD361,0)+$HC362</f>
        <v/>
      </c>
      <c r="HE362" s="62">
        <f>$HE361+$HC362</f>
        <v/>
      </c>
      <c r="HF362" s="56">
        <f>IFERROR((SUMIFS(tblSafety[Recordables],tblSafety[Date],"&gt;="&amp;EDATE($E362,-12),tblSafety[Date],"&lt;="&amp;$A362)+SUMIFS(tblSafetyHistory[Recordables],tblSafetyHistory[Month],"&gt;="&amp;EDATE($E362,-12),tblSafetyHistory[Month],"&lt;"&amp;cfg_YearStart))/(SUMIFS(tblSafety[Hours_Total],tblSafety[Date],"&gt;="&amp;EDATE($E362,-12),tblSafety[Date],"&lt;="&amp;$A362)+SUMIFS(tblSafetyHistory[Hours_Total],tblSafetyHistory[Month],"&gt;="&amp;EDATE($E362,-12),tblSafetyHistory[Month],"&lt;"&amp;cfg_YearStart))*1000000,"")</f>
        <v/>
      </c>
      <c r="HG362" s="56">
        <f>IFERROR((SUMIFS(tblSafety[LTI],tblSafety[Date],"&gt;="&amp;EDATE($E362,-12),tblSafety[Date],"&lt;="&amp;$A362)+SUMIFS(tblSafetyHistory[LTI],tblSafetyHistory[Month],"&gt;="&amp;EDATE($E362,-12),tblSafetyHistory[Month],"&lt;"&amp;cfg_YearStart))/(SUMIFS(tblSafety[Hours_Total],tblSafety[Date],"&gt;="&amp;EDATE($E362,-12),tblSafety[Date],"&lt;="&amp;$A362)+SUMIFS(tblSafetyHistory[Hours_Total],tblSafetyHistory[Month],"&gt;="&amp;EDATE($E362,-12),tblSafetyHistory[Month],"&lt;"&amp;cfg_YearStart))*1000000,"")</f>
        <v/>
      </c>
      <c r="HH362" s="62">
        <f>IF(MAX(N(cfg_PriorLTIDate),_xlfn.MAXIFS(tblSafety[Date],tblSafety[LTI],"&gt;0",tblSafety[Date],"&lt;="&amp;$A362))=0,"",$A362-MAX(N(cfg_PriorLTIDate),_xlfn.MAXIFS(tblSafety[Date],tblSafety[LTI],"&gt;0",tblSafety[Date],"&lt;="&amp;$A362)))</f>
        <v/>
      </c>
      <c r="HI362" s="55">
        <f>SUMIFS(tblBudget[Ore_Mined_t],tblBudget[Month],$E362)</f>
        <v/>
      </c>
      <c r="HJ362" s="55">
        <f>$HI362*$C362/$D362</f>
        <v/>
      </c>
      <c r="HK362" s="55">
        <f>SUMIFS(tblBudget[Ore_Mined_t],tblBudget[Month],"&lt;"&amp;$E362)+$HJ362</f>
        <v/>
      </c>
      <c r="HL362" s="55">
        <f>SUMIFS(tblBudget[Ore_oz],tblBudget[Month],$E362)</f>
        <v/>
      </c>
      <c r="HM362" s="55">
        <f>$HL362*$C362/$D362</f>
        <v/>
      </c>
      <c r="HN362" s="55">
        <f>SUMIFS(tblBudget[Ore_oz],tblBudget[Month],"&lt;"&amp;$E362)+$HM362</f>
        <v/>
      </c>
      <c r="HO362" s="56">
        <f>IFERROR(IF(($HI362)&gt;0,($HL362*cfg_TroyOz)/($HI362),""),"")</f>
        <v/>
      </c>
      <c r="HP362" s="56">
        <f>IFERROR(IF(($HJ362)&gt;0,($HM362*cfg_TroyOz)/($HJ362),""),"")</f>
        <v/>
      </c>
      <c r="HQ362" s="56">
        <f>IFERROR(IF(($HK362)&gt;0,($HN362*cfg_TroyOz)/($HK362),""),"")</f>
        <v/>
      </c>
      <c r="HR362" s="55">
        <f>SUMIFS(tblBudget[Waste_t],tblBudget[Month],$E362)</f>
        <v/>
      </c>
      <c r="HS362" s="55">
        <f>$HR362*$C362/$D362</f>
        <v/>
      </c>
      <c r="HT362" s="55">
        <f>SUMIFS(tblBudget[Waste_t],tblBudget[Month],"&lt;"&amp;$E362)+$HS362</f>
        <v/>
      </c>
      <c r="HU362" s="55">
        <f>SUMIFS(tblBudget[TMM_t],tblBudget[Month],$E362)</f>
        <v/>
      </c>
      <c r="HV362" s="55">
        <f>$HU362*$C362/$D362</f>
        <v/>
      </c>
      <c r="HW362" s="55">
        <f>SUMIFS(tblBudget[TMM_t],tblBudget[Month],"&lt;"&amp;$E362)+$HV362</f>
        <v/>
      </c>
      <c r="HX362" s="56">
        <f>IFERROR(IF(($HI362)&gt;0,($HR362)/($HI362),""),"")</f>
        <v/>
      </c>
      <c r="HY362" s="56">
        <f>IFERROR(IF(($HJ362)&gt;0,($HS362)/($HJ362),""),"")</f>
        <v/>
      </c>
      <c r="HZ362" s="56">
        <f>IFERROR(IF(($HK362)&gt;0,($HT362)/($HK362),""),"")</f>
        <v/>
      </c>
      <c r="IA362" s="55">
        <f>SUMIFS(tblBudget[Drill_m],tblBudget[Month],$E362)</f>
        <v/>
      </c>
      <c r="IB362" s="55">
        <f>$IA362*$C362/$D362</f>
        <v/>
      </c>
      <c r="IC362" s="55">
        <f>SUMIFS(tblBudget[Drill_m],tblBudget[Month],"&lt;"&amp;$E362)+$IB362</f>
        <v/>
      </c>
      <c r="ID362" s="55">
        <f>SUMIFS(tblBudget[Diesel_L],tblBudget[Month],$E362)</f>
        <v/>
      </c>
      <c r="IE362" s="55">
        <f>$ID362*$C362/$D362</f>
        <v/>
      </c>
      <c r="IF362" s="55">
        <f>SUMIFS(tblBudget[Diesel_L],tblBudget[Month],"&lt;"&amp;$E362)+$IE362</f>
        <v/>
      </c>
      <c r="IG362" s="55">
        <f>SUMIFS(tblBudget[Milled_t],tblBudget[Month],$E362)</f>
        <v/>
      </c>
      <c r="IH362" s="55">
        <f>$IG362*$C362/$D362</f>
        <v/>
      </c>
      <c r="II362" s="55">
        <f>SUMIFS(tblBudget[Milled_t],tblBudget[Month],"&lt;"&amp;$E362)+$IH362</f>
        <v/>
      </c>
      <c r="IJ362" s="55">
        <f>SUMIFS(tblBudget[Feed_oz],tblBudget[Month],$E362)</f>
        <v/>
      </c>
      <c r="IK362" s="55">
        <f>$IJ362*$C362/$D362</f>
        <v/>
      </c>
      <c r="IL362" s="55">
        <f>SUMIFS(tblBudget[Feed_oz],tblBudget[Month],"&lt;"&amp;$E362)+$IK362</f>
        <v/>
      </c>
      <c r="IM362" s="55">
        <f>SUMIFS(tblBudget[Recovered_oz],tblBudget[Month],$E362)</f>
        <v/>
      </c>
      <c r="IN362" s="55">
        <f>$IM362*$C362/$D362</f>
        <v/>
      </c>
      <c r="IO362" s="55">
        <f>SUMIFS(tblBudget[Recovered_oz],tblBudget[Month],"&lt;"&amp;$E362)+$IN362</f>
        <v/>
      </c>
      <c r="IP362" s="56">
        <f>IFERROR(IF(($IG362)&gt;0,($IJ362*cfg_TroyOz)/($IG362),""),"")</f>
        <v/>
      </c>
      <c r="IQ362" s="56">
        <f>IFERROR(IF(($IH362)&gt;0,($IK362*cfg_TroyOz)/($IH362),""),"")</f>
        <v/>
      </c>
      <c r="IR362" s="56">
        <f>IFERROR(IF(($II362)&gt;0,($IL362*cfg_TroyOz)/($II362),""),"")</f>
        <v/>
      </c>
      <c r="IS362" s="67">
        <f>IFERROR(IF(($IJ362)&gt;0,($IM362)/($IJ362),""),"")</f>
        <v/>
      </c>
      <c r="IT362" s="67">
        <f>IFERROR(IF(($IK362)&gt;0,($IN362)/($IK362),""),"")</f>
        <v/>
      </c>
      <c r="IU362" s="67">
        <f>IFERROR(IF(($IL362)&gt;0,($IO362)/($IL362),""),"")</f>
        <v/>
      </c>
      <c r="IV362" s="55">
        <f>SUMIFS(tblBudget[Gold_Poured_oz],tblBudget[Month],$E362)</f>
        <v/>
      </c>
      <c r="IW362" s="55">
        <f>$IV362*$C362/$D362</f>
        <v/>
      </c>
      <c r="IX362" s="55">
        <f>SUMIFS(tblBudget[Gold_Poured_oz],tblBudget[Month],"&lt;"&amp;$E362)+$IW362</f>
        <v/>
      </c>
      <c r="IY362" s="57">
        <f>SUMIFS(tblBudget[Hours_Worked],tblBudget[Month],$E362)</f>
        <v/>
      </c>
      <c r="IZ362" s="57">
        <f>$IY362*$C362/$D362</f>
        <v/>
      </c>
      <c r="JA362" s="57">
        <f>SUMIFS(tblBudget[Hours_Worked],tblBudget[Month],"&lt;"&amp;$E362)+$IZ362</f>
        <v/>
      </c>
    </row>
    <row r="363">
      <c r="A363" s="54" t="n">
        <v>46384</v>
      </c>
      <c r="B363">
        <f>MONTH($A363)</f>
        <v/>
      </c>
      <c r="C363">
        <f>DAY($A363)</f>
        <v/>
      </c>
      <c r="D363">
        <f>DAY(EOMONTH($A363,0))</f>
        <v/>
      </c>
      <c r="E363" s="54">
        <f>DATE(YEAR($A363),MONTH($A363),1)</f>
        <v/>
      </c>
      <c r="F363" s="55">
        <f>SUMIFS(tblMovement[Tonnes_t],tblMovement[Date],$A363,tblMovement[Is_Ore],1,tblMovement[Source_Type],"Pit")</f>
        <v/>
      </c>
      <c r="G363" s="55">
        <f>IF($B363=$B362,$G362,0)+$F363</f>
        <v/>
      </c>
      <c r="H363" s="55">
        <f>$H362+$F363</f>
        <v/>
      </c>
      <c r="I363" s="55">
        <f>SUMIFS(tblMovement[Ore_oz],tblMovement[Date],$A363,tblMovement[Source_Type],"Pit")</f>
        <v/>
      </c>
      <c r="J363" s="55">
        <f>IF($B363=$B362,$J362,0)+$I363</f>
        <v/>
      </c>
      <c r="K363" s="55">
        <f>$K362+$I363</f>
        <v/>
      </c>
      <c r="L363" s="56">
        <f>IFERROR(IF(($F363)&gt;0,($I363*cfg_TroyOz)/($F363),""),"")</f>
        <v/>
      </c>
      <c r="M363" s="56">
        <f>IFERROR(IF(($G363)&gt;0,($J363*cfg_TroyOz)/($G363),""),"")</f>
        <v/>
      </c>
      <c r="N363" s="56">
        <f>IFERROR(IF(($H363)&gt;0,($K363*cfg_TroyOz)/($H363),""),"")</f>
        <v/>
      </c>
      <c r="O363" s="55">
        <f>SUMIFS(tblMovement[Tonnes_t],tblMovement[Date],$A363,tblMovement[Is_Ore],0,tblMovement[Source_Type],"Pit")</f>
        <v/>
      </c>
      <c r="P363" s="55">
        <f>IF($B363=$B362,$P362,0)+$O363</f>
        <v/>
      </c>
      <c r="Q363" s="55">
        <f>$Q362+$O363</f>
        <v/>
      </c>
      <c r="R363" s="55">
        <f>$F363+$O363</f>
        <v/>
      </c>
      <c r="S363" s="55">
        <f>IF($B363=$B362,$S362,0)+$R363</f>
        <v/>
      </c>
      <c r="T363" s="55">
        <f>$T362+$R363</f>
        <v/>
      </c>
      <c r="U363" s="56">
        <f>IFERROR(IF(($F363)&gt;0,($O363)/($F363),""),"")</f>
        <v/>
      </c>
      <c r="V363" s="56">
        <f>IFERROR(IF(($G363)&gt;0,($P363)/($G363),""),"")</f>
        <v/>
      </c>
      <c r="W363" s="56">
        <f>IFERROR(IF(($H363)&gt;0,($Q363)/($H363),""),"")</f>
        <v/>
      </c>
      <c r="X363" s="55">
        <f>SUMIFS(tblMovement[Tonnes_t],tblMovement[Date],$A363,tblMovement[Source_Type],"Stockpile")</f>
        <v/>
      </c>
      <c r="Y363" s="55">
        <f>IF($B363=$B362,$Y362,0)+$X363</f>
        <v/>
      </c>
      <c r="Z363" s="55">
        <f>$Z362+$X363</f>
        <v/>
      </c>
      <c r="AA363" s="55">
        <f>SUMIFS(tblMiningDaily[Drill_m],tblMiningDaily[Date],$A363)</f>
        <v/>
      </c>
      <c r="AB363" s="55">
        <f>IF($B363=$B362,$AB362,0)+$AA363</f>
        <v/>
      </c>
      <c r="AC363" s="55">
        <f>$AC362+$AA363</f>
        <v/>
      </c>
      <c r="AD363" s="55">
        <f>SUMIFS(tblMiningDaily[Blast_t],tblMiningDaily[Date],$A363)</f>
        <v/>
      </c>
      <c r="AE363" s="55">
        <f>IF($B363=$B362,$AE362,0)+$AD363</f>
        <v/>
      </c>
      <c r="AF363" s="55">
        <f>$AF362+$AD363</f>
        <v/>
      </c>
      <c r="AG363" s="55">
        <f>SUMIFS(tblMiningDaily[Explosives_kg],tblMiningDaily[Date],$A363)</f>
        <v/>
      </c>
      <c r="AH363" s="55">
        <f>IF($B363=$B362,$AH362,0)+$AG363</f>
        <v/>
      </c>
      <c r="AI363" s="55">
        <f>$AI362+$AG363</f>
        <v/>
      </c>
      <c r="AJ363" s="56">
        <f>IFERROR(IF(($AD363)&gt;0,($AG363)/($AD363),""),"")</f>
        <v/>
      </c>
      <c r="AK363" s="56">
        <f>IFERROR(IF(($AE363)&gt;0,($AH363)/($AE363),""),"")</f>
        <v/>
      </c>
      <c r="AL363" s="56">
        <f>IFERROR(IF(($AF363)&gt;0,($AI363)/($AF363),""),"")</f>
        <v/>
      </c>
      <c r="AM363" s="55">
        <f>SUMIFS(tblMiningDaily[Diesel_L],tblMiningDaily[Date],$A363)</f>
        <v/>
      </c>
      <c r="AN363" s="55">
        <f>IF($B363=$B362,$AN362,0)+$AM363</f>
        <v/>
      </c>
      <c r="AO363" s="55">
        <f>$AO362+$AM363</f>
        <v/>
      </c>
      <c r="AP363" s="55">
        <f>SUMIFS(tblMiningDaily[Dewatering_m3],tblMiningDaily[Date],$A363)</f>
        <v/>
      </c>
      <c r="AQ363" s="55">
        <f>IF($B363=$B362,$AQ362,0)+$AP363</f>
        <v/>
      </c>
      <c r="AR363" s="55">
        <f>$AR362+$AP363</f>
        <v/>
      </c>
      <c r="AS363" s="57">
        <f>SUMIFS(tblFleet[Calendar_h],tblFleet[Date],$A363,tblFleet[Equipment_Class],"Excavator")</f>
        <v/>
      </c>
      <c r="AT363" s="57">
        <f>IF($B363=$B362,$AT362,0)+$AS363</f>
        <v/>
      </c>
      <c r="AU363" s="57">
        <f>$AU362+$AS363</f>
        <v/>
      </c>
      <c r="AV363" s="57">
        <f>SUMIFS(tblFleet[Available_h],tblFleet[Date],$A363,tblFleet[Equipment_Class],"Excavator")</f>
        <v/>
      </c>
      <c r="AW363" s="57">
        <f>IF($B363=$B362,$AW362,0)+$AV363</f>
        <v/>
      </c>
      <c r="AX363" s="57">
        <f>$AX362+$AV363</f>
        <v/>
      </c>
      <c r="AY363" s="57">
        <f>SUMIFS(tblFleet[Operating_h],tblFleet[Date],$A363,tblFleet[Equipment_Class],"Excavator")</f>
        <v/>
      </c>
      <c r="AZ363" s="57">
        <f>IF($B363=$B362,$AZ362,0)+$AY363</f>
        <v/>
      </c>
      <c r="BA363" s="57">
        <f>$BA362+$AY363</f>
        <v/>
      </c>
      <c r="BB363" s="67">
        <f>IFERROR(IF(($AS363)&gt;0,($AV363)/($AS363),""),"")</f>
        <v/>
      </c>
      <c r="BC363" s="67">
        <f>IFERROR(IF(($AT363)&gt;0,($AW363)/($AT363),""),"")</f>
        <v/>
      </c>
      <c r="BD363" s="67">
        <f>IFERROR(IF(($AU363)&gt;0,($AX363)/($AU363),""),"")</f>
        <v/>
      </c>
      <c r="BE363" s="67">
        <f>IFERROR(IF(($AV363)&gt;0,($AY363)/($AV363),""),"")</f>
        <v/>
      </c>
      <c r="BF363" s="67">
        <f>IFERROR(IF(($AW363)&gt;0,($AZ363)/($AW363),""),"")</f>
        <v/>
      </c>
      <c r="BG363" s="67">
        <f>IFERROR(IF(($AX363)&gt;0,($BA363)/($AX363),""),"")</f>
        <v/>
      </c>
      <c r="BH363" s="57">
        <f>SUMIFS(tblFleet[Calendar_h],tblFleet[Date],$A363,tblFleet[Equipment_Class],"Haul Truck")</f>
        <v/>
      </c>
      <c r="BI363" s="57">
        <f>IF($B363=$B362,$BI362,0)+$BH363</f>
        <v/>
      </c>
      <c r="BJ363" s="57">
        <f>$BJ362+$BH363</f>
        <v/>
      </c>
      <c r="BK363" s="57">
        <f>SUMIFS(tblFleet[Available_h],tblFleet[Date],$A363,tblFleet[Equipment_Class],"Haul Truck")</f>
        <v/>
      </c>
      <c r="BL363" s="57">
        <f>IF($B363=$B362,$BL362,0)+$BK363</f>
        <v/>
      </c>
      <c r="BM363" s="57">
        <f>$BM362+$BK363</f>
        <v/>
      </c>
      <c r="BN363" s="57">
        <f>SUMIFS(tblFleet[Operating_h],tblFleet[Date],$A363,tblFleet[Equipment_Class],"Haul Truck")</f>
        <v/>
      </c>
      <c r="BO363" s="57">
        <f>IF($B363=$B362,$BO362,0)+$BN363</f>
        <v/>
      </c>
      <c r="BP363" s="57">
        <f>$BP362+$BN363</f>
        <v/>
      </c>
      <c r="BQ363" s="67">
        <f>IFERROR(IF(($BH363)&gt;0,($BK363)/($BH363),""),"")</f>
        <v/>
      </c>
      <c r="BR363" s="67">
        <f>IFERROR(IF(($BI363)&gt;0,($BL363)/($BI363),""),"")</f>
        <v/>
      </c>
      <c r="BS363" s="67">
        <f>IFERROR(IF(($BJ363)&gt;0,($BM363)/($BJ363),""),"")</f>
        <v/>
      </c>
      <c r="BT363" s="67">
        <f>IFERROR(IF(($BK363)&gt;0,($BN363)/($BK363),""),"")</f>
        <v/>
      </c>
      <c r="BU363" s="67">
        <f>IFERROR(IF(($BL363)&gt;0,($BO363)/($BL363),""),"")</f>
        <v/>
      </c>
      <c r="BV363" s="67">
        <f>IFERROR(IF(($BM363)&gt;0,($BP363)/($BM363),""),"")</f>
        <v/>
      </c>
      <c r="BW363" s="55">
        <f>SUMIFS(tblPlant[Crushed_t],tblPlant[Date],$A363)</f>
        <v/>
      </c>
      <c r="BX363" s="55">
        <f>IF($B363=$B362,$BX362,0)+$BW363</f>
        <v/>
      </c>
      <c r="BY363" s="55">
        <f>$BY362+$BW363</f>
        <v/>
      </c>
      <c r="BZ363" s="55">
        <f>SUMIFS(tblPlant[Milled_t],tblPlant[Date],$A363)</f>
        <v/>
      </c>
      <c r="CA363" s="55">
        <f>IF($B363=$B362,$CA362,0)+$BZ363</f>
        <v/>
      </c>
      <c r="CB363" s="55">
        <f>$CB362+$BZ363</f>
        <v/>
      </c>
      <c r="CC363" s="55">
        <f>SUMIFS(tblPlant[Feed_oz],tblPlant[Date],$A363)</f>
        <v/>
      </c>
      <c r="CD363" s="55">
        <f>IF($B363=$B362,$CD362,0)+$CC363</f>
        <v/>
      </c>
      <c r="CE363" s="55">
        <f>$CE362+$CC363</f>
        <v/>
      </c>
      <c r="CF363" s="55">
        <f>SUMIFS(tblPlant[Tails_oz],tblPlant[Date],$A363)</f>
        <v/>
      </c>
      <c r="CG363" s="55">
        <f>IF($B363=$B362,$CG362,0)+$CF363</f>
        <v/>
      </c>
      <c r="CH363" s="55">
        <f>$CH362+$CF363</f>
        <v/>
      </c>
      <c r="CI363" s="55">
        <f>SUMIFS(tblPlant[Recovered_oz],tblPlant[Date],$A363)</f>
        <v/>
      </c>
      <c r="CJ363" s="55">
        <f>IF($B363=$B362,$CJ362,0)+$CI363</f>
        <v/>
      </c>
      <c r="CK363" s="55">
        <f>$CK362+$CI363</f>
        <v/>
      </c>
      <c r="CL363" s="56">
        <f>IFERROR(IF(($BZ363)&gt;0,($CC363*cfg_TroyOz)/($BZ363),""),"")</f>
        <v/>
      </c>
      <c r="CM363" s="56">
        <f>IFERROR(IF(($CA363)&gt;0,($CD363*cfg_TroyOz)/($CA363),""),"")</f>
        <v/>
      </c>
      <c r="CN363" s="56">
        <f>IFERROR(IF(($CB363)&gt;0,($CE363*cfg_TroyOz)/($CB363),""),"")</f>
        <v/>
      </c>
      <c r="CO363" s="56">
        <f>IFERROR(IF(($BZ363)&gt;0,($CF363*cfg_TroyOz)/($BZ363),""),"")</f>
        <v/>
      </c>
      <c r="CP363" s="56">
        <f>IFERROR(IF(($CA363)&gt;0,($CG363*cfg_TroyOz)/($CA363),""),"")</f>
        <v/>
      </c>
      <c r="CQ363" s="56">
        <f>IFERROR(IF(($CB363)&gt;0,($CH363*cfg_TroyOz)/($CB363),""),"")</f>
        <v/>
      </c>
      <c r="CR363" s="67">
        <f>IFERROR(IF(($CC363)&gt;0,($CI363)/($CC363),""),"")</f>
        <v/>
      </c>
      <c r="CS363" s="67">
        <f>IFERROR(IF(($CD363)&gt;0,($CJ363)/($CD363),""),"")</f>
        <v/>
      </c>
      <c r="CT363" s="67">
        <f>IFERROR(IF(($CE363)&gt;0,($CK363)/($CE363),""),"")</f>
        <v/>
      </c>
      <c r="CU363" s="55">
        <f>SUMIFS(tblPlant[Gravity_Gold_oz],tblPlant[Date],$A363)</f>
        <v/>
      </c>
      <c r="CV363" s="55">
        <f>IF($B363=$B362,$CV362,0)+$CU363</f>
        <v/>
      </c>
      <c r="CW363" s="55">
        <f>$CW362+$CU363</f>
        <v/>
      </c>
      <c r="CX363" s="55">
        <f>SUMIFS(tblPlant[Gold_Poured_oz],tblPlant[Date],$A363)</f>
        <v/>
      </c>
      <c r="CY363" s="55">
        <f>IF($B363=$B362,$CY362,0)+$CX363</f>
        <v/>
      </c>
      <c r="CZ363" s="55">
        <f>$CZ362+$CX363</f>
        <v/>
      </c>
      <c r="DA363" s="57">
        <f>SUMIFS(tblPlant[Mill_Run_h],tblPlant[Date],$A363)</f>
        <v/>
      </c>
      <c r="DB363" s="57">
        <f>IF($B363=$B362,$DB362,0)+$DA363</f>
        <v/>
      </c>
      <c r="DC363" s="57">
        <f>$DC362+$DA363</f>
        <v/>
      </c>
      <c r="DD363" s="57">
        <f>SUMIFS(tblPlant[Mill_Planned_Maint_h],tblPlant[Date],$A363)</f>
        <v/>
      </c>
      <c r="DE363" s="57">
        <f>IF($B363=$B362,$DE362,0)+$DD363</f>
        <v/>
      </c>
      <c r="DF363" s="57">
        <f>$DF362+$DD363</f>
        <v/>
      </c>
      <c r="DG363" s="57">
        <f>SUMIFS(tblPlant[Mill_Unplanned_Down_h],tblPlant[Date],$A363)</f>
        <v/>
      </c>
      <c r="DH363" s="57">
        <f>IF($B363=$B362,$DH362,0)+$DG363</f>
        <v/>
      </c>
      <c r="DI363" s="57">
        <f>$DI362+$DG363</f>
        <v/>
      </c>
      <c r="DJ363" s="57">
        <f>COUNTIFS(tblPlant[Date],$A363,tblPlant[Mill_Run_h],"&lt;&gt;")*24</f>
        <v/>
      </c>
      <c r="DK363" s="57">
        <f>IF($B363=$B362,$DK362,0)+$DJ363</f>
        <v/>
      </c>
      <c r="DL363" s="57">
        <f>$DL362+$DJ363</f>
        <v/>
      </c>
      <c r="DM363" s="57">
        <f>SUMIFS(tblPlant[Crusher_Run_h],tblPlant[Date],$A363)</f>
        <v/>
      </c>
      <c r="DN363" s="57">
        <f>IF($B363=$B362,$DN362,0)+$DM363</f>
        <v/>
      </c>
      <c r="DO363" s="57">
        <f>$DO362+$DM363</f>
        <v/>
      </c>
      <c r="DP363" s="55">
        <f>IFERROR(IF(($DA363)&gt;0,($BZ363)/($DA363),""),"")</f>
        <v/>
      </c>
      <c r="DQ363" s="55">
        <f>IFERROR(IF(($DB363)&gt;0,($CA363)/($DB363),""),"")</f>
        <v/>
      </c>
      <c r="DR363" s="55">
        <f>IFERROR(IF(($DC363)&gt;0,($CB363)/($DC363),""),"")</f>
        <v/>
      </c>
      <c r="DS363" s="67">
        <f>IFERROR(IF(($DJ363)&gt;0,($DJ363-$DD363-$DG363)/($DJ363),""),"")</f>
        <v/>
      </c>
      <c r="DT363" s="67">
        <f>IFERROR(IF(($DK363)&gt;0,($DK363-$DE363-$DH363)/($DK363),""),"")</f>
        <v/>
      </c>
      <c r="DU363" s="67">
        <f>IFERROR(IF(($DL363)&gt;0,($DL363-$DF363-$DI363)/($DL363),""),"")</f>
        <v/>
      </c>
      <c r="DV363" s="67">
        <f>IFERROR(IF(($DJ363-$DD363-$DG363)&gt;0,($DA363)/($DJ363-$DD363-$DG363),""),"")</f>
        <v/>
      </c>
      <c r="DW363" s="67">
        <f>IFERROR(IF(($DK363-$DE363-$DH363)&gt;0,($DB363)/($DK363-$DE363-$DH363),""),"")</f>
        <v/>
      </c>
      <c r="DX363" s="67">
        <f>IFERROR(IF(($DL363-$DF363-$DI363)&gt;0,($DC363)/($DL363-$DF363-$DI363),""),"")</f>
        <v/>
      </c>
      <c r="DY363" s="55">
        <f>SUMIFS(tblPlant[Cyanide_kg],tblPlant[Date],$A363)</f>
        <v/>
      </c>
      <c r="DZ363" s="55">
        <f>IF($B363=$B362,$DZ362,0)+$DY363</f>
        <v/>
      </c>
      <c r="EA363" s="55">
        <f>$EA362+$DY363</f>
        <v/>
      </c>
      <c r="EB363" s="55">
        <f>SUMIFS(tblPlant[Lime_kg],tblPlant[Date],$A363)</f>
        <v/>
      </c>
      <c r="EC363" s="55">
        <f>IF($B363=$B362,$EC362,0)+$EB363</f>
        <v/>
      </c>
      <c r="ED363" s="55">
        <f>$ED362+$EB363</f>
        <v/>
      </c>
      <c r="EE363" s="55">
        <f>SUMIFS(tblPlant[Grinding_Media_kg],tblPlant[Date],$A363)</f>
        <v/>
      </c>
      <c r="EF363" s="55">
        <f>IF($B363=$B362,$EF362,0)+$EE363</f>
        <v/>
      </c>
      <c r="EG363" s="55">
        <f>$EG362+$EE363</f>
        <v/>
      </c>
      <c r="EH363" s="55">
        <f>SUMIFS(tblPlant[Power_kWh],tblPlant[Date],$A363)</f>
        <v/>
      </c>
      <c r="EI363" s="55">
        <f>IF($B363=$B362,$EI362,0)+$EH363</f>
        <v/>
      </c>
      <c r="EJ363" s="55">
        <f>$EJ362+$EH363</f>
        <v/>
      </c>
      <c r="EK363" s="55">
        <f>SUMIFS(tblPlant[Raw_Water_m3],tblPlant[Date],$A363)</f>
        <v/>
      </c>
      <c r="EL363" s="55">
        <f>IF($B363=$B362,$EL362,0)+$EK363</f>
        <v/>
      </c>
      <c r="EM363" s="55">
        <f>$EM362+$EK363</f>
        <v/>
      </c>
      <c r="EN363" s="56">
        <f>IFERROR(IF(($BZ363)&gt;0,($DY363)/($BZ363),""),"")</f>
        <v/>
      </c>
      <c r="EO363" s="56">
        <f>IFERROR(IF(($CA363)&gt;0,($DZ363)/($CA363),""),"")</f>
        <v/>
      </c>
      <c r="EP363" s="56">
        <f>IFERROR(IF(($CB363)&gt;0,($EA363)/($CB363),""),"")</f>
        <v/>
      </c>
      <c r="EQ363" s="56">
        <f>IFERROR(IF(($BZ363)&gt;0,($EB363)/($BZ363),""),"")</f>
        <v/>
      </c>
      <c r="ER363" s="56">
        <f>IFERROR(IF(($CA363)&gt;0,($EC363)/($CA363),""),"")</f>
        <v/>
      </c>
      <c r="ES363" s="56">
        <f>IFERROR(IF(($CB363)&gt;0,($ED363)/($CB363),""),"")</f>
        <v/>
      </c>
      <c r="ET363" s="56">
        <f>IFERROR(IF(($BZ363)&gt;0,($EE363)/($BZ363),""),"")</f>
        <v/>
      </c>
      <c r="EU363" s="56">
        <f>IFERROR(IF(($CA363)&gt;0,($EF363)/($CA363),""),"")</f>
        <v/>
      </c>
      <c r="EV363" s="56">
        <f>IFERROR(IF(($CB363)&gt;0,($EG363)/($CB363),""),"")</f>
        <v/>
      </c>
      <c r="EW363" s="76">
        <f>IFERROR(IF(($BZ363)&gt;0,($EH363)/($BZ363),""),"")</f>
        <v/>
      </c>
      <c r="EX363" s="76">
        <f>IFERROR(IF(($CA363)&gt;0,($EI363)/($CA363),""),"")</f>
        <v/>
      </c>
      <c r="EY363" s="76">
        <f>IFERROR(IF(($CB363)&gt;0,($EJ363)/($CB363),""),"")</f>
        <v/>
      </c>
      <c r="EZ363" s="56">
        <f>IFERROR(IF(($BZ363)&gt;0,($EK363)/($BZ363),""),"")</f>
        <v/>
      </c>
      <c r="FA363" s="56">
        <f>IFERROR(IF(($CA363)&gt;0,($EL363)/($CA363),""),"")</f>
        <v/>
      </c>
      <c r="FB363" s="56">
        <f>IFERROR(IF(($CB363)&gt;0,($EM363)/($CB363),""),"")</f>
        <v/>
      </c>
      <c r="FC363" s="55">
        <f>IF(SUMIFS(tblPlant[GIC_oz],tblPlant[Date],$A363)&gt;0,SUMIFS(tblPlant[GIC_oz],tblPlant[Date],$A363),"")</f>
        <v/>
      </c>
      <c r="FD363" s="55">
        <f>SUMIFS(tblGold[Gold_oz],tblGold[Date],$A363,tblGold[Type],"Shipment")</f>
        <v/>
      </c>
      <c r="FE363" s="55">
        <f>IF($B363=$B362,$FE362,0)+$FD363</f>
        <v/>
      </c>
      <c r="FF363" s="55">
        <f>$FF362+$FD363</f>
        <v/>
      </c>
      <c r="FG363" s="55">
        <f>SUMIFS(tblGold[Gold_oz],tblGold[Date],$A363,tblGold[Type],"Sale")</f>
        <v/>
      </c>
      <c r="FH363" s="55">
        <f>IF($B363=$B362,$FH362,0)+$FG363</f>
        <v/>
      </c>
      <c r="FI363" s="55">
        <f>$FI362+$FG363</f>
        <v/>
      </c>
      <c r="FJ363" s="55">
        <f>SUMIFS(tblGold[Dore_kg],tblGold[Date],$A363,tblGold[Type],"Shipment")</f>
        <v/>
      </c>
      <c r="FK363" s="55">
        <f>IF($B363=$B362,$FK362,0)+$FJ363</f>
        <v/>
      </c>
      <c r="FL363" s="55">
        <f>$FL362+$FJ363</f>
        <v/>
      </c>
      <c r="FM363" s="57">
        <f>SUMIFS(tblSafety[Hours_Total],tblSafety[Date],$A363)</f>
        <v/>
      </c>
      <c r="FN363" s="57">
        <f>IF($B363=$B362,$FN362,0)+$FM363</f>
        <v/>
      </c>
      <c r="FO363" s="57">
        <f>$FO362+$FM363</f>
        <v/>
      </c>
      <c r="FP363" s="62">
        <f>SUMIFS(tblSafety[Fatality],tblSafety[Date],$A363)</f>
        <v/>
      </c>
      <c r="FQ363" s="62">
        <f>IF($B363=$B362,$FQ362,0)+$FP363</f>
        <v/>
      </c>
      <c r="FR363" s="62">
        <f>$FR362+$FP363</f>
        <v/>
      </c>
      <c r="FS363" s="62">
        <f>SUMIFS(tblSafety[LTI],tblSafety[Date],$A363)</f>
        <v/>
      </c>
      <c r="FT363" s="62">
        <f>IF($B363=$B362,$FT362,0)+$FS363</f>
        <v/>
      </c>
      <c r="FU363" s="62">
        <f>$FU362+$FS363</f>
        <v/>
      </c>
      <c r="FV363" s="62">
        <f>SUMIFS(tblSafety[RWI],tblSafety[Date],$A363)</f>
        <v/>
      </c>
      <c r="FW363" s="62">
        <f>IF($B363=$B362,$FW362,0)+$FV363</f>
        <v/>
      </c>
      <c r="FX363" s="62">
        <f>$FX362+$FV363</f>
        <v/>
      </c>
      <c r="FY363" s="62">
        <f>SUMIFS(tblSafety[MTI],tblSafety[Date],$A363)</f>
        <v/>
      </c>
      <c r="FZ363" s="62">
        <f>IF($B363=$B362,$FZ362,0)+$FY363</f>
        <v/>
      </c>
      <c r="GA363" s="62">
        <f>$GA362+$FY363</f>
        <v/>
      </c>
      <c r="GB363" s="62">
        <f>SUMIFS(tblSafety[FAI],tblSafety[Date],$A363)</f>
        <v/>
      </c>
      <c r="GC363" s="62">
        <f>IF($B363=$B362,$GC362,0)+$GB363</f>
        <v/>
      </c>
      <c r="GD363" s="62">
        <f>$GD362+$GB363</f>
        <v/>
      </c>
      <c r="GE363" s="62">
        <f>SUMIFS(tblSafety[Recordables],tblSafety[Date],$A363)</f>
        <v/>
      </c>
      <c r="GF363" s="62">
        <f>IF($B363=$B362,$GF362,0)+$GE363</f>
        <v/>
      </c>
      <c r="GG363" s="62">
        <f>$GG362+$GE363</f>
        <v/>
      </c>
      <c r="GH363" s="62">
        <f>SUMIFS(tblSafety[Near_Miss],tblSafety[Date],$A363)</f>
        <v/>
      </c>
      <c r="GI363" s="62">
        <f>IF($B363=$B362,$GI362,0)+$GH363</f>
        <v/>
      </c>
      <c r="GJ363" s="62">
        <f>$GJ362+$GH363</f>
        <v/>
      </c>
      <c r="GK363" s="62">
        <f>SUMIFS(tblSafety[Hazard_Reports],tblSafety[Date],$A363)</f>
        <v/>
      </c>
      <c r="GL363" s="62">
        <f>IF($B363=$B362,$GL362,0)+$GK363</f>
        <v/>
      </c>
      <c r="GM363" s="62">
        <f>$GM362+$GK363</f>
        <v/>
      </c>
      <c r="GN363" s="62">
        <f>SUMIFS(tblSafety[HPI],tblSafety[Date],$A363)</f>
        <v/>
      </c>
      <c r="GO363" s="62">
        <f>IF($B363=$B362,$GO362,0)+$GN363</f>
        <v/>
      </c>
      <c r="GP363" s="62">
        <f>$GP362+$GN363</f>
        <v/>
      </c>
      <c r="GQ363" s="62">
        <f>SUMIFS(tblSafety[Env_Incidents],tblSafety[Date],$A363)</f>
        <v/>
      </c>
      <c r="GR363" s="62">
        <f>IF($B363=$B362,$GR362,0)+$GQ363</f>
        <v/>
      </c>
      <c r="GS363" s="62">
        <f>$GS362+$GQ363</f>
        <v/>
      </c>
      <c r="GT363" s="62">
        <f>SUMIFS(tblSafety[Community_Incidents],tblSafety[Date],$A363)</f>
        <v/>
      </c>
      <c r="GU363" s="62">
        <f>IF($B363=$B362,$GU362,0)+$GT363</f>
        <v/>
      </c>
      <c r="GV363" s="62">
        <f>$GV362+$GT363</f>
        <v/>
      </c>
      <c r="GW363" s="62">
        <f>SUMIFS(tblSafety[Vehicle_Incidents],tblSafety[Date],$A363)</f>
        <v/>
      </c>
      <c r="GX363" s="62">
        <f>IF($B363=$B362,$GX362,0)+$GW363</f>
        <v/>
      </c>
      <c r="GY363" s="62">
        <f>$GY362+$GW363</f>
        <v/>
      </c>
      <c r="GZ363" s="62">
        <f>SUMIFS(tblSafety[Toolbox_Talks],tblSafety[Date],$A363)</f>
        <v/>
      </c>
      <c r="HA363" s="62">
        <f>IF($B363=$B362,$HA362,0)+$GZ363</f>
        <v/>
      </c>
      <c r="HB363" s="62">
        <f>$HB362+$GZ363</f>
        <v/>
      </c>
      <c r="HC363" s="62">
        <f>SUMIFS(tblSafety[Inspections],tblSafety[Date],$A363)</f>
        <v/>
      </c>
      <c r="HD363" s="62">
        <f>IF($B363=$B362,$HD362,0)+$HC363</f>
        <v/>
      </c>
      <c r="HE363" s="62">
        <f>$HE362+$HC363</f>
        <v/>
      </c>
      <c r="HF363" s="56">
        <f>IFERROR((SUMIFS(tblSafety[Recordables],tblSafety[Date],"&gt;="&amp;EDATE($E363,-12),tblSafety[Date],"&lt;="&amp;$A363)+SUMIFS(tblSafetyHistory[Recordables],tblSafetyHistory[Month],"&gt;="&amp;EDATE($E363,-12),tblSafetyHistory[Month],"&lt;"&amp;cfg_YearStart))/(SUMIFS(tblSafety[Hours_Total],tblSafety[Date],"&gt;="&amp;EDATE($E363,-12),tblSafety[Date],"&lt;="&amp;$A363)+SUMIFS(tblSafetyHistory[Hours_Total],tblSafetyHistory[Month],"&gt;="&amp;EDATE($E363,-12),tblSafetyHistory[Month],"&lt;"&amp;cfg_YearStart))*1000000,"")</f>
        <v/>
      </c>
      <c r="HG363" s="56">
        <f>IFERROR((SUMIFS(tblSafety[LTI],tblSafety[Date],"&gt;="&amp;EDATE($E363,-12),tblSafety[Date],"&lt;="&amp;$A363)+SUMIFS(tblSafetyHistory[LTI],tblSafetyHistory[Month],"&gt;="&amp;EDATE($E363,-12),tblSafetyHistory[Month],"&lt;"&amp;cfg_YearStart))/(SUMIFS(tblSafety[Hours_Total],tblSafety[Date],"&gt;="&amp;EDATE($E363,-12),tblSafety[Date],"&lt;="&amp;$A363)+SUMIFS(tblSafetyHistory[Hours_Total],tblSafetyHistory[Month],"&gt;="&amp;EDATE($E363,-12),tblSafetyHistory[Month],"&lt;"&amp;cfg_YearStart))*1000000,"")</f>
        <v/>
      </c>
      <c r="HH363" s="62">
        <f>IF(MAX(N(cfg_PriorLTIDate),_xlfn.MAXIFS(tblSafety[Date],tblSafety[LTI],"&gt;0",tblSafety[Date],"&lt;="&amp;$A363))=0,"",$A363-MAX(N(cfg_PriorLTIDate),_xlfn.MAXIFS(tblSafety[Date],tblSafety[LTI],"&gt;0",tblSafety[Date],"&lt;="&amp;$A363)))</f>
        <v/>
      </c>
      <c r="HI363" s="55">
        <f>SUMIFS(tblBudget[Ore_Mined_t],tblBudget[Month],$E363)</f>
        <v/>
      </c>
      <c r="HJ363" s="55">
        <f>$HI363*$C363/$D363</f>
        <v/>
      </c>
      <c r="HK363" s="55">
        <f>SUMIFS(tblBudget[Ore_Mined_t],tblBudget[Month],"&lt;"&amp;$E363)+$HJ363</f>
        <v/>
      </c>
      <c r="HL363" s="55">
        <f>SUMIFS(tblBudget[Ore_oz],tblBudget[Month],$E363)</f>
        <v/>
      </c>
      <c r="HM363" s="55">
        <f>$HL363*$C363/$D363</f>
        <v/>
      </c>
      <c r="HN363" s="55">
        <f>SUMIFS(tblBudget[Ore_oz],tblBudget[Month],"&lt;"&amp;$E363)+$HM363</f>
        <v/>
      </c>
      <c r="HO363" s="56">
        <f>IFERROR(IF(($HI363)&gt;0,($HL363*cfg_TroyOz)/($HI363),""),"")</f>
        <v/>
      </c>
      <c r="HP363" s="56">
        <f>IFERROR(IF(($HJ363)&gt;0,($HM363*cfg_TroyOz)/($HJ363),""),"")</f>
        <v/>
      </c>
      <c r="HQ363" s="56">
        <f>IFERROR(IF(($HK363)&gt;0,($HN363*cfg_TroyOz)/($HK363),""),"")</f>
        <v/>
      </c>
      <c r="HR363" s="55">
        <f>SUMIFS(tblBudget[Waste_t],tblBudget[Month],$E363)</f>
        <v/>
      </c>
      <c r="HS363" s="55">
        <f>$HR363*$C363/$D363</f>
        <v/>
      </c>
      <c r="HT363" s="55">
        <f>SUMIFS(tblBudget[Waste_t],tblBudget[Month],"&lt;"&amp;$E363)+$HS363</f>
        <v/>
      </c>
      <c r="HU363" s="55">
        <f>SUMIFS(tblBudget[TMM_t],tblBudget[Month],$E363)</f>
        <v/>
      </c>
      <c r="HV363" s="55">
        <f>$HU363*$C363/$D363</f>
        <v/>
      </c>
      <c r="HW363" s="55">
        <f>SUMIFS(tblBudget[TMM_t],tblBudget[Month],"&lt;"&amp;$E363)+$HV363</f>
        <v/>
      </c>
      <c r="HX363" s="56">
        <f>IFERROR(IF(($HI363)&gt;0,($HR363)/($HI363),""),"")</f>
        <v/>
      </c>
      <c r="HY363" s="56">
        <f>IFERROR(IF(($HJ363)&gt;0,($HS363)/($HJ363),""),"")</f>
        <v/>
      </c>
      <c r="HZ363" s="56">
        <f>IFERROR(IF(($HK363)&gt;0,($HT363)/($HK363),""),"")</f>
        <v/>
      </c>
      <c r="IA363" s="55">
        <f>SUMIFS(tblBudget[Drill_m],tblBudget[Month],$E363)</f>
        <v/>
      </c>
      <c r="IB363" s="55">
        <f>$IA363*$C363/$D363</f>
        <v/>
      </c>
      <c r="IC363" s="55">
        <f>SUMIFS(tblBudget[Drill_m],tblBudget[Month],"&lt;"&amp;$E363)+$IB363</f>
        <v/>
      </c>
      <c r="ID363" s="55">
        <f>SUMIFS(tblBudget[Diesel_L],tblBudget[Month],$E363)</f>
        <v/>
      </c>
      <c r="IE363" s="55">
        <f>$ID363*$C363/$D363</f>
        <v/>
      </c>
      <c r="IF363" s="55">
        <f>SUMIFS(tblBudget[Diesel_L],tblBudget[Month],"&lt;"&amp;$E363)+$IE363</f>
        <v/>
      </c>
      <c r="IG363" s="55">
        <f>SUMIFS(tblBudget[Milled_t],tblBudget[Month],$E363)</f>
        <v/>
      </c>
      <c r="IH363" s="55">
        <f>$IG363*$C363/$D363</f>
        <v/>
      </c>
      <c r="II363" s="55">
        <f>SUMIFS(tblBudget[Milled_t],tblBudget[Month],"&lt;"&amp;$E363)+$IH363</f>
        <v/>
      </c>
      <c r="IJ363" s="55">
        <f>SUMIFS(tblBudget[Feed_oz],tblBudget[Month],$E363)</f>
        <v/>
      </c>
      <c r="IK363" s="55">
        <f>$IJ363*$C363/$D363</f>
        <v/>
      </c>
      <c r="IL363" s="55">
        <f>SUMIFS(tblBudget[Feed_oz],tblBudget[Month],"&lt;"&amp;$E363)+$IK363</f>
        <v/>
      </c>
      <c r="IM363" s="55">
        <f>SUMIFS(tblBudget[Recovered_oz],tblBudget[Month],$E363)</f>
        <v/>
      </c>
      <c r="IN363" s="55">
        <f>$IM363*$C363/$D363</f>
        <v/>
      </c>
      <c r="IO363" s="55">
        <f>SUMIFS(tblBudget[Recovered_oz],tblBudget[Month],"&lt;"&amp;$E363)+$IN363</f>
        <v/>
      </c>
      <c r="IP363" s="56">
        <f>IFERROR(IF(($IG363)&gt;0,($IJ363*cfg_TroyOz)/($IG363),""),"")</f>
        <v/>
      </c>
      <c r="IQ363" s="56">
        <f>IFERROR(IF(($IH363)&gt;0,($IK363*cfg_TroyOz)/($IH363),""),"")</f>
        <v/>
      </c>
      <c r="IR363" s="56">
        <f>IFERROR(IF(($II363)&gt;0,($IL363*cfg_TroyOz)/($II363),""),"")</f>
        <v/>
      </c>
      <c r="IS363" s="67">
        <f>IFERROR(IF(($IJ363)&gt;0,($IM363)/($IJ363),""),"")</f>
        <v/>
      </c>
      <c r="IT363" s="67">
        <f>IFERROR(IF(($IK363)&gt;0,($IN363)/($IK363),""),"")</f>
        <v/>
      </c>
      <c r="IU363" s="67">
        <f>IFERROR(IF(($IL363)&gt;0,($IO363)/($IL363),""),"")</f>
        <v/>
      </c>
      <c r="IV363" s="55">
        <f>SUMIFS(tblBudget[Gold_Poured_oz],tblBudget[Month],$E363)</f>
        <v/>
      </c>
      <c r="IW363" s="55">
        <f>$IV363*$C363/$D363</f>
        <v/>
      </c>
      <c r="IX363" s="55">
        <f>SUMIFS(tblBudget[Gold_Poured_oz],tblBudget[Month],"&lt;"&amp;$E363)+$IW363</f>
        <v/>
      </c>
      <c r="IY363" s="57">
        <f>SUMIFS(tblBudget[Hours_Worked],tblBudget[Month],$E363)</f>
        <v/>
      </c>
      <c r="IZ363" s="57">
        <f>$IY363*$C363/$D363</f>
        <v/>
      </c>
      <c r="JA363" s="57">
        <f>SUMIFS(tblBudget[Hours_Worked],tblBudget[Month],"&lt;"&amp;$E363)+$IZ363</f>
        <v/>
      </c>
    </row>
    <row r="364">
      <c r="A364" s="54" t="n">
        <v>46385</v>
      </c>
      <c r="B364">
        <f>MONTH($A364)</f>
        <v/>
      </c>
      <c r="C364">
        <f>DAY($A364)</f>
        <v/>
      </c>
      <c r="D364">
        <f>DAY(EOMONTH($A364,0))</f>
        <v/>
      </c>
      <c r="E364" s="54">
        <f>DATE(YEAR($A364),MONTH($A364),1)</f>
        <v/>
      </c>
      <c r="F364" s="55">
        <f>SUMIFS(tblMovement[Tonnes_t],tblMovement[Date],$A364,tblMovement[Is_Ore],1,tblMovement[Source_Type],"Pit")</f>
        <v/>
      </c>
      <c r="G364" s="55">
        <f>IF($B364=$B363,$G363,0)+$F364</f>
        <v/>
      </c>
      <c r="H364" s="55">
        <f>$H363+$F364</f>
        <v/>
      </c>
      <c r="I364" s="55">
        <f>SUMIFS(tblMovement[Ore_oz],tblMovement[Date],$A364,tblMovement[Source_Type],"Pit")</f>
        <v/>
      </c>
      <c r="J364" s="55">
        <f>IF($B364=$B363,$J363,0)+$I364</f>
        <v/>
      </c>
      <c r="K364" s="55">
        <f>$K363+$I364</f>
        <v/>
      </c>
      <c r="L364" s="56">
        <f>IFERROR(IF(($F364)&gt;0,($I364*cfg_TroyOz)/($F364),""),"")</f>
        <v/>
      </c>
      <c r="M364" s="56">
        <f>IFERROR(IF(($G364)&gt;0,($J364*cfg_TroyOz)/($G364),""),"")</f>
        <v/>
      </c>
      <c r="N364" s="56">
        <f>IFERROR(IF(($H364)&gt;0,($K364*cfg_TroyOz)/($H364),""),"")</f>
        <v/>
      </c>
      <c r="O364" s="55">
        <f>SUMIFS(tblMovement[Tonnes_t],tblMovement[Date],$A364,tblMovement[Is_Ore],0,tblMovement[Source_Type],"Pit")</f>
        <v/>
      </c>
      <c r="P364" s="55">
        <f>IF($B364=$B363,$P363,0)+$O364</f>
        <v/>
      </c>
      <c r="Q364" s="55">
        <f>$Q363+$O364</f>
        <v/>
      </c>
      <c r="R364" s="55">
        <f>$F364+$O364</f>
        <v/>
      </c>
      <c r="S364" s="55">
        <f>IF($B364=$B363,$S363,0)+$R364</f>
        <v/>
      </c>
      <c r="T364" s="55">
        <f>$T363+$R364</f>
        <v/>
      </c>
      <c r="U364" s="56">
        <f>IFERROR(IF(($F364)&gt;0,($O364)/($F364),""),"")</f>
        <v/>
      </c>
      <c r="V364" s="56">
        <f>IFERROR(IF(($G364)&gt;0,($P364)/($G364),""),"")</f>
        <v/>
      </c>
      <c r="W364" s="56">
        <f>IFERROR(IF(($H364)&gt;0,($Q364)/($H364),""),"")</f>
        <v/>
      </c>
      <c r="X364" s="55">
        <f>SUMIFS(tblMovement[Tonnes_t],tblMovement[Date],$A364,tblMovement[Source_Type],"Stockpile")</f>
        <v/>
      </c>
      <c r="Y364" s="55">
        <f>IF($B364=$B363,$Y363,0)+$X364</f>
        <v/>
      </c>
      <c r="Z364" s="55">
        <f>$Z363+$X364</f>
        <v/>
      </c>
      <c r="AA364" s="55">
        <f>SUMIFS(tblMiningDaily[Drill_m],tblMiningDaily[Date],$A364)</f>
        <v/>
      </c>
      <c r="AB364" s="55">
        <f>IF($B364=$B363,$AB363,0)+$AA364</f>
        <v/>
      </c>
      <c r="AC364" s="55">
        <f>$AC363+$AA364</f>
        <v/>
      </c>
      <c r="AD364" s="55">
        <f>SUMIFS(tblMiningDaily[Blast_t],tblMiningDaily[Date],$A364)</f>
        <v/>
      </c>
      <c r="AE364" s="55">
        <f>IF($B364=$B363,$AE363,0)+$AD364</f>
        <v/>
      </c>
      <c r="AF364" s="55">
        <f>$AF363+$AD364</f>
        <v/>
      </c>
      <c r="AG364" s="55">
        <f>SUMIFS(tblMiningDaily[Explosives_kg],tblMiningDaily[Date],$A364)</f>
        <v/>
      </c>
      <c r="AH364" s="55">
        <f>IF($B364=$B363,$AH363,0)+$AG364</f>
        <v/>
      </c>
      <c r="AI364" s="55">
        <f>$AI363+$AG364</f>
        <v/>
      </c>
      <c r="AJ364" s="56">
        <f>IFERROR(IF(($AD364)&gt;0,($AG364)/($AD364),""),"")</f>
        <v/>
      </c>
      <c r="AK364" s="56">
        <f>IFERROR(IF(($AE364)&gt;0,($AH364)/($AE364),""),"")</f>
        <v/>
      </c>
      <c r="AL364" s="56">
        <f>IFERROR(IF(($AF364)&gt;0,($AI364)/($AF364),""),"")</f>
        <v/>
      </c>
      <c r="AM364" s="55">
        <f>SUMIFS(tblMiningDaily[Diesel_L],tblMiningDaily[Date],$A364)</f>
        <v/>
      </c>
      <c r="AN364" s="55">
        <f>IF($B364=$B363,$AN363,0)+$AM364</f>
        <v/>
      </c>
      <c r="AO364" s="55">
        <f>$AO363+$AM364</f>
        <v/>
      </c>
      <c r="AP364" s="55">
        <f>SUMIFS(tblMiningDaily[Dewatering_m3],tblMiningDaily[Date],$A364)</f>
        <v/>
      </c>
      <c r="AQ364" s="55">
        <f>IF($B364=$B363,$AQ363,0)+$AP364</f>
        <v/>
      </c>
      <c r="AR364" s="55">
        <f>$AR363+$AP364</f>
        <v/>
      </c>
      <c r="AS364" s="57">
        <f>SUMIFS(tblFleet[Calendar_h],tblFleet[Date],$A364,tblFleet[Equipment_Class],"Excavator")</f>
        <v/>
      </c>
      <c r="AT364" s="57">
        <f>IF($B364=$B363,$AT363,0)+$AS364</f>
        <v/>
      </c>
      <c r="AU364" s="57">
        <f>$AU363+$AS364</f>
        <v/>
      </c>
      <c r="AV364" s="57">
        <f>SUMIFS(tblFleet[Available_h],tblFleet[Date],$A364,tblFleet[Equipment_Class],"Excavator")</f>
        <v/>
      </c>
      <c r="AW364" s="57">
        <f>IF($B364=$B363,$AW363,0)+$AV364</f>
        <v/>
      </c>
      <c r="AX364" s="57">
        <f>$AX363+$AV364</f>
        <v/>
      </c>
      <c r="AY364" s="57">
        <f>SUMIFS(tblFleet[Operating_h],tblFleet[Date],$A364,tblFleet[Equipment_Class],"Excavator")</f>
        <v/>
      </c>
      <c r="AZ364" s="57">
        <f>IF($B364=$B363,$AZ363,0)+$AY364</f>
        <v/>
      </c>
      <c r="BA364" s="57">
        <f>$BA363+$AY364</f>
        <v/>
      </c>
      <c r="BB364" s="67">
        <f>IFERROR(IF(($AS364)&gt;0,($AV364)/($AS364),""),"")</f>
        <v/>
      </c>
      <c r="BC364" s="67">
        <f>IFERROR(IF(($AT364)&gt;0,($AW364)/($AT364),""),"")</f>
        <v/>
      </c>
      <c r="BD364" s="67">
        <f>IFERROR(IF(($AU364)&gt;0,($AX364)/($AU364),""),"")</f>
        <v/>
      </c>
      <c r="BE364" s="67">
        <f>IFERROR(IF(($AV364)&gt;0,($AY364)/($AV364),""),"")</f>
        <v/>
      </c>
      <c r="BF364" s="67">
        <f>IFERROR(IF(($AW364)&gt;0,($AZ364)/($AW364),""),"")</f>
        <v/>
      </c>
      <c r="BG364" s="67">
        <f>IFERROR(IF(($AX364)&gt;0,($BA364)/($AX364),""),"")</f>
        <v/>
      </c>
      <c r="BH364" s="57">
        <f>SUMIFS(tblFleet[Calendar_h],tblFleet[Date],$A364,tblFleet[Equipment_Class],"Haul Truck")</f>
        <v/>
      </c>
      <c r="BI364" s="57">
        <f>IF($B364=$B363,$BI363,0)+$BH364</f>
        <v/>
      </c>
      <c r="BJ364" s="57">
        <f>$BJ363+$BH364</f>
        <v/>
      </c>
      <c r="BK364" s="57">
        <f>SUMIFS(tblFleet[Available_h],tblFleet[Date],$A364,tblFleet[Equipment_Class],"Haul Truck")</f>
        <v/>
      </c>
      <c r="BL364" s="57">
        <f>IF($B364=$B363,$BL363,0)+$BK364</f>
        <v/>
      </c>
      <c r="BM364" s="57">
        <f>$BM363+$BK364</f>
        <v/>
      </c>
      <c r="BN364" s="57">
        <f>SUMIFS(tblFleet[Operating_h],tblFleet[Date],$A364,tblFleet[Equipment_Class],"Haul Truck")</f>
        <v/>
      </c>
      <c r="BO364" s="57">
        <f>IF($B364=$B363,$BO363,0)+$BN364</f>
        <v/>
      </c>
      <c r="BP364" s="57">
        <f>$BP363+$BN364</f>
        <v/>
      </c>
      <c r="BQ364" s="67">
        <f>IFERROR(IF(($BH364)&gt;0,($BK364)/($BH364),""),"")</f>
        <v/>
      </c>
      <c r="BR364" s="67">
        <f>IFERROR(IF(($BI364)&gt;0,($BL364)/($BI364),""),"")</f>
        <v/>
      </c>
      <c r="BS364" s="67">
        <f>IFERROR(IF(($BJ364)&gt;0,($BM364)/($BJ364),""),"")</f>
        <v/>
      </c>
      <c r="BT364" s="67">
        <f>IFERROR(IF(($BK364)&gt;0,($BN364)/($BK364),""),"")</f>
        <v/>
      </c>
      <c r="BU364" s="67">
        <f>IFERROR(IF(($BL364)&gt;0,($BO364)/($BL364),""),"")</f>
        <v/>
      </c>
      <c r="BV364" s="67">
        <f>IFERROR(IF(($BM364)&gt;0,($BP364)/($BM364),""),"")</f>
        <v/>
      </c>
      <c r="BW364" s="55">
        <f>SUMIFS(tblPlant[Crushed_t],tblPlant[Date],$A364)</f>
        <v/>
      </c>
      <c r="BX364" s="55">
        <f>IF($B364=$B363,$BX363,0)+$BW364</f>
        <v/>
      </c>
      <c r="BY364" s="55">
        <f>$BY363+$BW364</f>
        <v/>
      </c>
      <c r="BZ364" s="55">
        <f>SUMIFS(tblPlant[Milled_t],tblPlant[Date],$A364)</f>
        <v/>
      </c>
      <c r="CA364" s="55">
        <f>IF($B364=$B363,$CA363,0)+$BZ364</f>
        <v/>
      </c>
      <c r="CB364" s="55">
        <f>$CB363+$BZ364</f>
        <v/>
      </c>
      <c r="CC364" s="55">
        <f>SUMIFS(tblPlant[Feed_oz],tblPlant[Date],$A364)</f>
        <v/>
      </c>
      <c r="CD364" s="55">
        <f>IF($B364=$B363,$CD363,0)+$CC364</f>
        <v/>
      </c>
      <c r="CE364" s="55">
        <f>$CE363+$CC364</f>
        <v/>
      </c>
      <c r="CF364" s="55">
        <f>SUMIFS(tblPlant[Tails_oz],tblPlant[Date],$A364)</f>
        <v/>
      </c>
      <c r="CG364" s="55">
        <f>IF($B364=$B363,$CG363,0)+$CF364</f>
        <v/>
      </c>
      <c r="CH364" s="55">
        <f>$CH363+$CF364</f>
        <v/>
      </c>
      <c r="CI364" s="55">
        <f>SUMIFS(tblPlant[Recovered_oz],tblPlant[Date],$A364)</f>
        <v/>
      </c>
      <c r="CJ364" s="55">
        <f>IF($B364=$B363,$CJ363,0)+$CI364</f>
        <v/>
      </c>
      <c r="CK364" s="55">
        <f>$CK363+$CI364</f>
        <v/>
      </c>
      <c r="CL364" s="56">
        <f>IFERROR(IF(($BZ364)&gt;0,($CC364*cfg_TroyOz)/($BZ364),""),"")</f>
        <v/>
      </c>
      <c r="CM364" s="56">
        <f>IFERROR(IF(($CA364)&gt;0,($CD364*cfg_TroyOz)/($CA364),""),"")</f>
        <v/>
      </c>
      <c r="CN364" s="56">
        <f>IFERROR(IF(($CB364)&gt;0,($CE364*cfg_TroyOz)/($CB364),""),"")</f>
        <v/>
      </c>
      <c r="CO364" s="56">
        <f>IFERROR(IF(($BZ364)&gt;0,($CF364*cfg_TroyOz)/($BZ364),""),"")</f>
        <v/>
      </c>
      <c r="CP364" s="56">
        <f>IFERROR(IF(($CA364)&gt;0,($CG364*cfg_TroyOz)/($CA364),""),"")</f>
        <v/>
      </c>
      <c r="CQ364" s="56">
        <f>IFERROR(IF(($CB364)&gt;0,($CH364*cfg_TroyOz)/($CB364),""),"")</f>
        <v/>
      </c>
      <c r="CR364" s="67">
        <f>IFERROR(IF(($CC364)&gt;0,($CI364)/($CC364),""),"")</f>
        <v/>
      </c>
      <c r="CS364" s="67">
        <f>IFERROR(IF(($CD364)&gt;0,($CJ364)/($CD364),""),"")</f>
        <v/>
      </c>
      <c r="CT364" s="67">
        <f>IFERROR(IF(($CE364)&gt;0,($CK364)/($CE364),""),"")</f>
        <v/>
      </c>
      <c r="CU364" s="55">
        <f>SUMIFS(tblPlant[Gravity_Gold_oz],tblPlant[Date],$A364)</f>
        <v/>
      </c>
      <c r="CV364" s="55">
        <f>IF($B364=$B363,$CV363,0)+$CU364</f>
        <v/>
      </c>
      <c r="CW364" s="55">
        <f>$CW363+$CU364</f>
        <v/>
      </c>
      <c r="CX364" s="55">
        <f>SUMIFS(tblPlant[Gold_Poured_oz],tblPlant[Date],$A364)</f>
        <v/>
      </c>
      <c r="CY364" s="55">
        <f>IF($B364=$B363,$CY363,0)+$CX364</f>
        <v/>
      </c>
      <c r="CZ364" s="55">
        <f>$CZ363+$CX364</f>
        <v/>
      </c>
      <c r="DA364" s="57">
        <f>SUMIFS(tblPlant[Mill_Run_h],tblPlant[Date],$A364)</f>
        <v/>
      </c>
      <c r="DB364" s="57">
        <f>IF($B364=$B363,$DB363,0)+$DA364</f>
        <v/>
      </c>
      <c r="DC364" s="57">
        <f>$DC363+$DA364</f>
        <v/>
      </c>
      <c r="DD364" s="57">
        <f>SUMIFS(tblPlant[Mill_Planned_Maint_h],tblPlant[Date],$A364)</f>
        <v/>
      </c>
      <c r="DE364" s="57">
        <f>IF($B364=$B363,$DE363,0)+$DD364</f>
        <v/>
      </c>
      <c r="DF364" s="57">
        <f>$DF363+$DD364</f>
        <v/>
      </c>
      <c r="DG364" s="57">
        <f>SUMIFS(tblPlant[Mill_Unplanned_Down_h],tblPlant[Date],$A364)</f>
        <v/>
      </c>
      <c r="DH364" s="57">
        <f>IF($B364=$B363,$DH363,0)+$DG364</f>
        <v/>
      </c>
      <c r="DI364" s="57">
        <f>$DI363+$DG364</f>
        <v/>
      </c>
      <c r="DJ364" s="57">
        <f>COUNTIFS(tblPlant[Date],$A364,tblPlant[Mill_Run_h],"&lt;&gt;")*24</f>
        <v/>
      </c>
      <c r="DK364" s="57">
        <f>IF($B364=$B363,$DK363,0)+$DJ364</f>
        <v/>
      </c>
      <c r="DL364" s="57">
        <f>$DL363+$DJ364</f>
        <v/>
      </c>
      <c r="DM364" s="57">
        <f>SUMIFS(tblPlant[Crusher_Run_h],tblPlant[Date],$A364)</f>
        <v/>
      </c>
      <c r="DN364" s="57">
        <f>IF($B364=$B363,$DN363,0)+$DM364</f>
        <v/>
      </c>
      <c r="DO364" s="57">
        <f>$DO363+$DM364</f>
        <v/>
      </c>
      <c r="DP364" s="55">
        <f>IFERROR(IF(($DA364)&gt;0,($BZ364)/($DA364),""),"")</f>
        <v/>
      </c>
      <c r="DQ364" s="55">
        <f>IFERROR(IF(($DB364)&gt;0,($CA364)/($DB364),""),"")</f>
        <v/>
      </c>
      <c r="DR364" s="55">
        <f>IFERROR(IF(($DC364)&gt;0,($CB364)/($DC364),""),"")</f>
        <v/>
      </c>
      <c r="DS364" s="67">
        <f>IFERROR(IF(($DJ364)&gt;0,($DJ364-$DD364-$DG364)/($DJ364),""),"")</f>
        <v/>
      </c>
      <c r="DT364" s="67">
        <f>IFERROR(IF(($DK364)&gt;0,($DK364-$DE364-$DH364)/($DK364),""),"")</f>
        <v/>
      </c>
      <c r="DU364" s="67">
        <f>IFERROR(IF(($DL364)&gt;0,($DL364-$DF364-$DI364)/($DL364),""),"")</f>
        <v/>
      </c>
      <c r="DV364" s="67">
        <f>IFERROR(IF(($DJ364-$DD364-$DG364)&gt;0,($DA364)/($DJ364-$DD364-$DG364),""),"")</f>
        <v/>
      </c>
      <c r="DW364" s="67">
        <f>IFERROR(IF(($DK364-$DE364-$DH364)&gt;0,($DB364)/($DK364-$DE364-$DH364),""),"")</f>
        <v/>
      </c>
      <c r="DX364" s="67">
        <f>IFERROR(IF(($DL364-$DF364-$DI364)&gt;0,($DC364)/($DL364-$DF364-$DI364),""),"")</f>
        <v/>
      </c>
      <c r="DY364" s="55">
        <f>SUMIFS(tblPlant[Cyanide_kg],tblPlant[Date],$A364)</f>
        <v/>
      </c>
      <c r="DZ364" s="55">
        <f>IF($B364=$B363,$DZ363,0)+$DY364</f>
        <v/>
      </c>
      <c r="EA364" s="55">
        <f>$EA363+$DY364</f>
        <v/>
      </c>
      <c r="EB364" s="55">
        <f>SUMIFS(tblPlant[Lime_kg],tblPlant[Date],$A364)</f>
        <v/>
      </c>
      <c r="EC364" s="55">
        <f>IF($B364=$B363,$EC363,0)+$EB364</f>
        <v/>
      </c>
      <c r="ED364" s="55">
        <f>$ED363+$EB364</f>
        <v/>
      </c>
      <c r="EE364" s="55">
        <f>SUMIFS(tblPlant[Grinding_Media_kg],tblPlant[Date],$A364)</f>
        <v/>
      </c>
      <c r="EF364" s="55">
        <f>IF($B364=$B363,$EF363,0)+$EE364</f>
        <v/>
      </c>
      <c r="EG364" s="55">
        <f>$EG363+$EE364</f>
        <v/>
      </c>
      <c r="EH364" s="55">
        <f>SUMIFS(tblPlant[Power_kWh],tblPlant[Date],$A364)</f>
        <v/>
      </c>
      <c r="EI364" s="55">
        <f>IF($B364=$B363,$EI363,0)+$EH364</f>
        <v/>
      </c>
      <c r="EJ364" s="55">
        <f>$EJ363+$EH364</f>
        <v/>
      </c>
      <c r="EK364" s="55">
        <f>SUMIFS(tblPlant[Raw_Water_m3],tblPlant[Date],$A364)</f>
        <v/>
      </c>
      <c r="EL364" s="55">
        <f>IF($B364=$B363,$EL363,0)+$EK364</f>
        <v/>
      </c>
      <c r="EM364" s="55">
        <f>$EM363+$EK364</f>
        <v/>
      </c>
      <c r="EN364" s="56">
        <f>IFERROR(IF(($BZ364)&gt;0,($DY364)/($BZ364),""),"")</f>
        <v/>
      </c>
      <c r="EO364" s="56">
        <f>IFERROR(IF(($CA364)&gt;0,($DZ364)/($CA364),""),"")</f>
        <v/>
      </c>
      <c r="EP364" s="56">
        <f>IFERROR(IF(($CB364)&gt;0,($EA364)/($CB364),""),"")</f>
        <v/>
      </c>
      <c r="EQ364" s="56">
        <f>IFERROR(IF(($BZ364)&gt;0,($EB364)/($BZ364),""),"")</f>
        <v/>
      </c>
      <c r="ER364" s="56">
        <f>IFERROR(IF(($CA364)&gt;0,($EC364)/($CA364),""),"")</f>
        <v/>
      </c>
      <c r="ES364" s="56">
        <f>IFERROR(IF(($CB364)&gt;0,($ED364)/($CB364),""),"")</f>
        <v/>
      </c>
      <c r="ET364" s="56">
        <f>IFERROR(IF(($BZ364)&gt;0,($EE364)/($BZ364),""),"")</f>
        <v/>
      </c>
      <c r="EU364" s="56">
        <f>IFERROR(IF(($CA364)&gt;0,($EF364)/($CA364),""),"")</f>
        <v/>
      </c>
      <c r="EV364" s="56">
        <f>IFERROR(IF(($CB364)&gt;0,($EG364)/($CB364),""),"")</f>
        <v/>
      </c>
      <c r="EW364" s="76">
        <f>IFERROR(IF(($BZ364)&gt;0,($EH364)/($BZ364),""),"")</f>
        <v/>
      </c>
      <c r="EX364" s="76">
        <f>IFERROR(IF(($CA364)&gt;0,($EI364)/($CA364),""),"")</f>
        <v/>
      </c>
      <c r="EY364" s="76">
        <f>IFERROR(IF(($CB364)&gt;0,($EJ364)/($CB364),""),"")</f>
        <v/>
      </c>
      <c r="EZ364" s="56">
        <f>IFERROR(IF(($BZ364)&gt;0,($EK364)/($BZ364),""),"")</f>
        <v/>
      </c>
      <c r="FA364" s="56">
        <f>IFERROR(IF(($CA364)&gt;0,($EL364)/($CA364),""),"")</f>
        <v/>
      </c>
      <c r="FB364" s="56">
        <f>IFERROR(IF(($CB364)&gt;0,($EM364)/($CB364),""),"")</f>
        <v/>
      </c>
      <c r="FC364" s="55">
        <f>IF(SUMIFS(tblPlant[GIC_oz],tblPlant[Date],$A364)&gt;0,SUMIFS(tblPlant[GIC_oz],tblPlant[Date],$A364),"")</f>
        <v/>
      </c>
      <c r="FD364" s="55">
        <f>SUMIFS(tblGold[Gold_oz],tblGold[Date],$A364,tblGold[Type],"Shipment")</f>
        <v/>
      </c>
      <c r="FE364" s="55">
        <f>IF($B364=$B363,$FE363,0)+$FD364</f>
        <v/>
      </c>
      <c r="FF364" s="55">
        <f>$FF363+$FD364</f>
        <v/>
      </c>
      <c r="FG364" s="55">
        <f>SUMIFS(tblGold[Gold_oz],tblGold[Date],$A364,tblGold[Type],"Sale")</f>
        <v/>
      </c>
      <c r="FH364" s="55">
        <f>IF($B364=$B363,$FH363,0)+$FG364</f>
        <v/>
      </c>
      <c r="FI364" s="55">
        <f>$FI363+$FG364</f>
        <v/>
      </c>
      <c r="FJ364" s="55">
        <f>SUMIFS(tblGold[Dore_kg],tblGold[Date],$A364,tblGold[Type],"Shipment")</f>
        <v/>
      </c>
      <c r="FK364" s="55">
        <f>IF($B364=$B363,$FK363,0)+$FJ364</f>
        <v/>
      </c>
      <c r="FL364" s="55">
        <f>$FL363+$FJ364</f>
        <v/>
      </c>
      <c r="FM364" s="57">
        <f>SUMIFS(tblSafety[Hours_Total],tblSafety[Date],$A364)</f>
        <v/>
      </c>
      <c r="FN364" s="57">
        <f>IF($B364=$B363,$FN363,0)+$FM364</f>
        <v/>
      </c>
      <c r="FO364" s="57">
        <f>$FO363+$FM364</f>
        <v/>
      </c>
      <c r="FP364" s="62">
        <f>SUMIFS(tblSafety[Fatality],tblSafety[Date],$A364)</f>
        <v/>
      </c>
      <c r="FQ364" s="62">
        <f>IF($B364=$B363,$FQ363,0)+$FP364</f>
        <v/>
      </c>
      <c r="FR364" s="62">
        <f>$FR363+$FP364</f>
        <v/>
      </c>
      <c r="FS364" s="62">
        <f>SUMIFS(tblSafety[LTI],tblSafety[Date],$A364)</f>
        <v/>
      </c>
      <c r="FT364" s="62">
        <f>IF($B364=$B363,$FT363,0)+$FS364</f>
        <v/>
      </c>
      <c r="FU364" s="62">
        <f>$FU363+$FS364</f>
        <v/>
      </c>
      <c r="FV364" s="62">
        <f>SUMIFS(tblSafety[RWI],tblSafety[Date],$A364)</f>
        <v/>
      </c>
      <c r="FW364" s="62">
        <f>IF($B364=$B363,$FW363,0)+$FV364</f>
        <v/>
      </c>
      <c r="FX364" s="62">
        <f>$FX363+$FV364</f>
        <v/>
      </c>
      <c r="FY364" s="62">
        <f>SUMIFS(tblSafety[MTI],tblSafety[Date],$A364)</f>
        <v/>
      </c>
      <c r="FZ364" s="62">
        <f>IF($B364=$B363,$FZ363,0)+$FY364</f>
        <v/>
      </c>
      <c r="GA364" s="62">
        <f>$GA363+$FY364</f>
        <v/>
      </c>
      <c r="GB364" s="62">
        <f>SUMIFS(tblSafety[FAI],tblSafety[Date],$A364)</f>
        <v/>
      </c>
      <c r="GC364" s="62">
        <f>IF($B364=$B363,$GC363,0)+$GB364</f>
        <v/>
      </c>
      <c r="GD364" s="62">
        <f>$GD363+$GB364</f>
        <v/>
      </c>
      <c r="GE364" s="62">
        <f>SUMIFS(tblSafety[Recordables],tblSafety[Date],$A364)</f>
        <v/>
      </c>
      <c r="GF364" s="62">
        <f>IF($B364=$B363,$GF363,0)+$GE364</f>
        <v/>
      </c>
      <c r="GG364" s="62">
        <f>$GG363+$GE364</f>
        <v/>
      </c>
      <c r="GH364" s="62">
        <f>SUMIFS(tblSafety[Near_Miss],tblSafety[Date],$A364)</f>
        <v/>
      </c>
      <c r="GI364" s="62">
        <f>IF($B364=$B363,$GI363,0)+$GH364</f>
        <v/>
      </c>
      <c r="GJ364" s="62">
        <f>$GJ363+$GH364</f>
        <v/>
      </c>
      <c r="GK364" s="62">
        <f>SUMIFS(tblSafety[Hazard_Reports],tblSafety[Date],$A364)</f>
        <v/>
      </c>
      <c r="GL364" s="62">
        <f>IF($B364=$B363,$GL363,0)+$GK364</f>
        <v/>
      </c>
      <c r="GM364" s="62">
        <f>$GM363+$GK364</f>
        <v/>
      </c>
      <c r="GN364" s="62">
        <f>SUMIFS(tblSafety[HPI],tblSafety[Date],$A364)</f>
        <v/>
      </c>
      <c r="GO364" s="62">
        <f>IF($B364=$B363,$GO363,0)+$GN364</f>
        <v/>
      </c>
      <c r="GP364" s="62">
        <f>$GP363+$GN364</f>
        <v/>
      </c>
      <c r="GQ364" s="62">
        <f>SUMIFS(tblSafety[Env_Incidents],tblSafety[Date],$A364)</f>
        <v/>
      </c>
      <c r="GR364" s="62">
        <f>IF($B364=$B363,$GR363,0)+$GQ364</f>
        <v/>
      </c>
      <c r="GS364" s="62">
        <f>$GS363+$GQ364</f>
        <v/>
      </c>
      <c r="GT364" s="62">
        <f>SUMIFS(tblSafety[Community_Incidents],tblSafety[Date],$A364)</f>
        <v/>
      </c>
      <c r="GU364" s="62">
        <f>IF($B364=$B363,$GU363,0)+$GT364</f>
        <v/>
      </c>
      <c r="GV364" s="62">
        <f>$GV363+$GT364</f>
        <v/>
      </c>
      <c r="GW364" s="62">
        <f>SUMIFS(tblSafety[Vehicle_Incidents],tblSafety[Date],$A364)</f>
        <v/>
      </c>
      <c r="GX364" s="62">
        <f>IF($B364=$B363,$GX363,0)+$GW364</f>
        <v/>
      </c>
      <c r="GY364" s="62">
        <f>$GY363+$GW364</f>
        <v/>
      </c>
      <c r="GZ364" s="62">
        <f>SUMIFS(tblSafety[Toolbox_Talks],tblSafety[Date],$A364)</f>
        <v/>
      </c>
      <c r="HA364" s="62">
        <f>IF($B364=$B363,$HA363,0)+$GZ364</f>
        <v/>
      </c>
      <c r="HB364" s="62">
        <f>$HB363+$GZ364</f>
        <v/>
      </c>
      <c r="HC364" s="62">
        <f>SUMIFS(tblSafety[Inspections],tblSafety[Date],$A364)</f>
        <v/>
      </c>
      <c r="HD364" s="62">
        <f>IF($B364=$B363,$HD363,0)+$HC364</f>
        <v/>
      </c>
      <c r="HE364" s="62">
        <f>$HE363+$HC364</f>
        <v/>
      </c>
      <c r="HF364" s="56">
        <f>IFERROR((SUMIFS(tblSafety[Recordables],tblSafety[Date],"&gt;="&amp;EDATE($E364,-12),tblSafety[Date],"&lt;="&amp;$A364)+SUMIFS(tblSafetyHistory[Recordables],tblSafetyHistory[Month],"&gt;="&amp;EDATE($E364,-12),tblSafetyHistory[Month],"&lt;"&amp;cfg_YearStart))/(SUMIFS(tblSafety[Hours_Total],tblSafety[Date],"&gt;="&amp;EDATE($E364,-12),tblSafety[Date],"&lt;="&amp;$A364)+SUMIFS(tblSafetyHistory[Hours_Total],tblSafetyHistory[Month],"&gt;="&amp;EDATE($E364,-12),tblSafetyHistory[Month],"&lt;"&amp;cfg_YearStart))*1000000,"")</f>
        <v/>
      </c>
      <c r="HG364" s="56">
        <f>IFERROR((SUMIFS(tblSafety[LTI],tblSafety[Date],"&gt;="&amp;EDATE($E364,-12),tblSafety[Date],"&lt;="&amp;$A364)+SUMIFS(tblSafetyHistory[LTI],tblSafetyHistory[Month],"&gt;="&amp;EDATE($E364,-12),tblSafetyHistory[Month],"&lt;"&amp;cfg_YearStart))/(SUMIFS(tblSafety[Hours_Total],tblSafety[Date],"&gt;="&amp;EDATE($E364,-12),tblSafety[Date],"&lt;="&amp;$A364)+SUMIFS(tblSafetyHistory[Hours_Total],tblSafetyHistory[Month],"&gt;="&amp;EDATE($E364,-12),tblSafetyHistory[Month],"&lt;"&amp;cfg_YearStart))*1000000,"")</f>
        <v/>
      </c>
      <c r="HH364" s="62">
        <f>IF(MAX(N(cfg_PriorLTIDate),_xlfn.MAXIFS(tblSafety[Date],tblSafety[LTI],"&gt;0",tblSafety[Date],"&lt;="&amp;$A364))=0,"",$A364-MAX(N(cfg_PriorLTIDate),_xlfn.MAXIFS(tblSafety[Date],tblSafety[LTI],"&gt;0",tblSafety[Date],"&lt;="&amp;$A364)))</f>
        <v/>
      </c>
      <c r="HI364" s="55">
        <f>SUMIFS(tblBudget[Ore_Mined_t],tblBudget[Month],$E364)</f>
        <v/>
      </c>
      <c r="HJ364" s="55">
        <f>$HI364*$C364/$D364</f>
        <v/>
      </c>
      <c r="HK364" s="55">
        <f>SUMIFS(tblBudget[Ore_Mined_t],tblBudget[Month],"&lt;"&amp;$E364)+$HJ364</f>
        <v/>
      </c>
      <c r="HL364" s="55">
        <f>SUMIFS(tblBudget[Ore_oz],tblBudget[Month],$E364)</f>
        <v/>
      </c>
      <c r="HM364" s="55">
        <f>$HL364*$C364/$D364</f>
        <v/>
      </c>
      <c r="HN364" s="55">
        <f>SUMIFS(tblBudget[Ore_oz],tblBudget[Month],"&lt;"&amp;$E364)+$HM364</f>
        <v/>
      </c>
      <c r="HO364" s="56">
        <f>IFERROR(IF(($HI364)&gt;0,($HL364*cfg_TroyOz)/($HI364),""),"")</f>
        <v/>
      </c>
      <c r="HP364" s="56">
        <f>IFERROR(IF(($HJ364)&gt;0,($HM364*cfg_TroyOz)/($HJ364),""),"")</f>
        <v/>
      </c>
      <c r="HQ364" s="56">
        <f>IFERROR(IF(($HK364)&gt;0,($HN364*cfg_TroyOz)/($HK364),""),"")</f>
        <v/>
      </c>
      <c r="HR364" s="55">
        <f>SUMIFS(tblBudget[Waste_t],tblBudget[Month],$E364)</f>
        <v/>
      </c>
      <c r="HS364" s="55">
        <f>$HR364*$C364/$D364</f>
        <v/>
      </c>
      <c r="HT364" s="55">
        <f>SUMIFS(tblBudget[Waste_t],tblBudget[Month],"&lt;"&amp;$E364)+$HS364</f>
        <v/>
      </c>
      <c r="HU364" s="55">
        <f>SUMIFS(tblBudget[TMM_t],tblBudget[Month],$E364)</f>
        <v/>
      </c>
      <c r="HV364" s="55">
        <f>$HU364*$C364/$D364</f>
        <v/>
      </c>
      <c r="HW364" s="55">
        <f>SUMIFS(tblBudget[TMM_t],tblBudget[Month],"&lt;"&amp;$E364)+$HV364</f>
        <v/>
      </c>
      <c r="HX364" s="56">
        <f>IFERROR(IF(($HI364)&gt;0,($HR364)/($HI364),""),"")</f>
        <v/>
      </c>
      <c r="HY364" s="56">
        <f>IFERROR(IF(($HJ364)&gt;0,($HS364)/($HJ364),""),"")</f>
        <v/>
      </c>
      <c r="HZ364" s="56">
        <f>IFERROR(IF(($HK364)&gt;0,($HT364)/($HK364),""),"")</f>
        <v/>
      </c>
      <c r="IA364" s="55">
        <f>SUMIFS(tblBudget[Drill_m],tblBudget[Month],$E364)</f>
        <v/>
      </c>
      <c r="IB364" s="55">
        <f>$IA364*$C364/$D364</f>
        <v/>
      </c>
      <c r="IC364" s="55">
        <f>SUMIFS(tblBudget[Drill_m],tblBudget[Month],"&lt;"&amp;$E364)+$IB364</f>
        <v/>
      </c>
      <c r="ID364" s="55">
        <f>SUMIFS(tblBudget[Diesel_L],tblBudget[Month],$E364)</f>
        <v/>
      </c>
      <c r="IE364" s="55">
        <f>$ID364*$C364/$D364</f>
        <v/>
      </c>
      <c r="IF364" s="55">
        <f>SUMIFS(tblBudget[Diesel_L],tblBudget[Month],"&lt;"&amp;$E364)+$IE364</f>
        <v/>
      </c>
      <c r="IG364" s="55">
        <f>SUMIFS(tblBudget[Milled_t],tblBudget[Month],$E364)</f>
        <v/>
      </c>
      <c r="IH364" s="55">
        <f>$IG364*$C364/$D364</f>
        <v/>
      </c>
      <c r="II364" s="55">
        <f>SUMIFS(tblBudget[Milled_t],tblBudget[Month],"&lt;"&amp;$E364)+$IH364</f>
        <v/>
      </c>
      <c r="IJ364" s="55">
        <f>SUMIFS(tblBudget[Feed_oz],tblBudget[Month],$E364)</f>
        <v/>
      </c>
      <c r="IK364" s="55">
        <f>$IJ364*$C364/$D364</f>
        <v/>
      </c>
      <c r="IL364" s="55">
        <f>SUMIFS(tblBudget[Feed_oz],tblBudget[Month],"&lt;"&amp;$E364)+$IK364</f>
        <v/>
      </c>
      <c r="IM364" s="55">
        <f>SUMIFS(tblBudget[Recovered_oz],tblBudget[Month],$E364)</f>
        <v/>
      </c>
      <c r="IN364" s="55">
        <f>$IM364*$C364/$D364</f>
        <v/>
      </c>
      <c r="IO364" s="55">
        <f>SUMIFS(tblBudget[Recovered_oz],tblBudget[Month],"&lt;"&amp;$E364)+$IN364</f>
        <v/>
      </c>
      <c r="IP364" s="56">
        <f>IFERROR(IF(($IG364)&gt;0,($IJ364*cfg_TroyOz)/($IG364),""),"")</f>
        <v/>
      </c>
      <c r="IQ364" s="56">
        <f>IFERROR(IF(($IH364)&gt;0,($IK364*cfg_TroyOz)/($IH364),""),"")</f>
        <v/>
      </c>
      <c r="IR364" s="56">
        <f>IFERROR(IF(($II364)&gt;0,($IL364*cfg_TroyOz)/($II364),""),"")</f>
        <v/>
      </c>
      <c r="IS364" s="67">
        <f>IFERROR(IF(($IJ364)&gt;0,($IM364)/($IJ364),""),"")</f>
        <v/>
      </c>
      <c r="IT364" s="67">
        <f>IFERROR(IF(($IK364)&gt;0,($IN364)/($IK364),""),"")</f>
        <v/>
      </c>
      <c r="IU364" s="67">
        <f>IFERROR(IF(($IL364)&gt;0,($IO364)/($IL364),""),"")</f>
        <v/>
      </c>
      <c r="IV364" s="55">
        <f>SUMIFS(tblBudget[Gold_Poured_oz],tblBudget[Month],$E364)</f>
        <v/>
      </c>
      <c r="IW364" s="55">
        <f>$IV364*$C364/$D364</f>
        <v/>
      </c>
      <c r="IX364" s="55">
        <f>SUMIFS(tblBudget[Gold_Poured_oz],tblBudget[Month],"&lt;"&amp;$E364)+$IW364</f>
        <v/>
      </c>
      <c r="IY364" s="57">
        <f>SUMIFS(tblBudget[Hours_Worked],tblBudget[Month],$E364)</f>
        <v/>
      </c>
      <c r="IZ364" s="57">
        <f>$IY364*$C364/$D364</f>
        <v/>
      </c>
      <c r="JA364" s="57">
        <f>SUMIFS(tblBudget[Hours_Worked],tblBudget[Month],"&lt;"&amp;$E364)+$IZ364</f>
        <v/>
      </c>
    </row>
    <row r="365">
      <c r="A365" s="54" t="n">
        <v>46386</v>
      </c>
      <c r="B365">
        <f>MONTH($A365)</f>
        <v/>
      </c>
      <c r="C365">
        <f>DAY($A365)</f>
        <v/>
      </c>
      <c r="D365">
        <f>DAY(EOMONTH($A365,0))</f>
        <v/>
      </c>
      <c r="E365" s="54">
        <f>DATE(YEAR($A365),MONTH($A365),1)</f>
        <v/>
      </c>
      <c r="F365" s="55">
        <f>SUMIFS(tblMovement[Tonnes_t],tblMovement[Date],$A365,tblMovement[Is_Ore],1,tblMovement[Source_Type],"Pit")</f>
        <v/>
      </c>
      <c r="G365" s="55">
        <f>IF($B365=$B364,$G364,0)+$F365</f>
        <v/>
      </c>
      <c r="H365" s="55">
        <f>$H364+$F365</f>
        <v/>
      </c>
      <c r="I365" s="55">
        <f>SUMIFS(tblMovement[Ore_oz],tblMovement[Date],$A365,tblMovement[Source_Type],"Pit")</f>
        <v/>
      </c>
      <c r="J365" s="55">
        <f>IF($B365=$B364,$J364,0)+$I365</f>
        <v/>
      </c>
      <c r="K365" s="55">
        <f>$K364+$I365</f>
        <v/>
      </c>
      <c r="L365" s="56">
        <f>IFERROR(IF(($F365)&gt;0,($I365*cfg_TroyOz)/($F365),""),"")</f>
        <v/>
      </c>
      <c r="M365" s="56">
        <f>IFERROR(IF(($G365)&gt;0,($J365*cfg_TroyOz)/($G365),""),"")</f>
        <v/>
      </c>
      <c r="N365" s="56">
        <f>IFERROR(IF(($H365)&gt;0,($K365*cfg_TroyOz)/($H365),""),"")</f>
        <v/>
      </c>
      <c r="O365" s="55">
        <f>SUMIFS(tblMovement[Tonnes_t],tblMovement[Date],$A365,tblMovement[Is_Ore],0,tblMovement[Source_Type],"Pit")</f>
        <v/>
      </c>
      <c r="P365" s="55">
        <f>IF($B365=$B364,$P364,0)+$O365</f>
        <v/>
      </c>
      <c r="Q365" s="55">
        <f>$Q364+$O365</f>
        <v/>
      </c>
      <c r="R365" s="55">
        <f>$F365+$O365</f>
        <v/>
      </c>
      <c r="S365" s="55">
        <f>IF($B365=$B364,$S364,0)+$R365</f>
        <v/>
      </c>
      <c r="T365" s="55">
        <f>$T364+$R365</f>
        <v/>
      </c>
      <c r="U365" s="56">
        <f>IFERROR(IF(($F365)&gt;0,($O365)/($F365),""),"")</f>
        <v/>
      </c>
      <c r="V365" s="56">
        <f>IFERROR(IF(($G365)&gt;0,($P365)/($G365),""),"")</f>
        <v/>
      </c>
      <c r="W365" s="56">
        <f>IFERROR(IF(($H365)&gt;0,($Q365)/($H365),""),"")</f>
        <v/>
      </c>
      <c r="X365" s="55">
        <f>SUMIFS(tblMovement[Tonnes_t],tblMovement[Date],$A365,tblMovement[Source_Type],"Stockpile")</f>
        <v/>
      </c>
      <c r="Y365" s="55">
        <f>IF($B365=$B364,$Y364,0)+$X365</f>
        <v/>
      </c>
      <c r="Z365" s="55">
        <f>$Z364+$X365</f>
        <v/>
      </c>
      <c r="AA365" s="55">
        <f>SUMIFS(tblMiningDaily[Drill_m],tblMiningDaily[Date],$A365)</f>
        <v/>
      </c>
      <c r="AB365" s="55">
        <f>IF($B365=$B364,$AB364,0)+$AA365</f>
        <v/>
      </c>
      <c r="AC365" s="55">
        <f>$AC364+$AA365</f>
        <v/>
      </c>
      <c r="AD365" s="55">
        <f>SUMIFS(tblMiningDaily[Blast_t],tblMiningDaily[Date],$A365)</f>
        <v/>
      </c>
      <c r="AE365" s="55">
        <f>IF($B365=$B364,$AE364,0)+$AD365</f>
        <v/>
      </c>
      <c r="AF365" s="55">
        <f>$AF364+$AD365</f>
        <v/>
      </c>
      <c r="AG365" s="55">
        <f>SUMIFS(tblMiningDaily[Explosives_kg],tblMiningDaily[Date],$A365)</f>
        <v/>
      </c>
      <c r="AH365" s="55">
        <f>IF($B365=$B364,$AH364,0)+$AG365</f>
        <v/>
      </c>
      <c r="AI365" s="55">
        <f>$AI364+$AG365</f>
        <v/>
      </c>
      <c r="AJ365" s="56">
        <f>IFERROR(IF(($AD365)&gt;0,($AG365)/($AD365),""),"")</f>
        <v/>
      </c>
      <c r="AK365" s="56">
        <f>IFERROR(IF(($AE365)&gt;0,($AH365)/($AE365),""),"")</f>
        <v/>
      </c>
      <c r="AL365" s="56">
        <f>IFERROR(IF(($AF365)&gt;0,($AI365)/($AF365),""),"")</f>
        <v/>
      </c>
      <c r="AM365" s="55">
        <f>SUMIFS(tblMiningDaily[Diesel_L],tblMiningDaily[Date],$A365)</f>
        <v/>
      </c>
      <c r="AN365" s="55">
        <f>IF($B365=$B364,$AN364,0)+$AM365</f>
        <v/>
      </c>
      <c r="AO365" s="55">
        <f>$AO364+$AM365</f>
        <v/>
      </c>
      <c r="AP365" s="55">
        <f>SUMIFS(tblMiningDaily[Dewatering_m3],tblMiningDaily[Date],$A365)</f>
        <v/>
      </c>
      <c r="AQ365" s="55">
        <f>IF($B365=$B364,$AQ364,0)+$AP365</f>
        <v/>
      </c>
      <c r="AR365" s="55">
        <f>$AR364+$AP365</f>
        <v/>
      </c>
      <c r="AS365" s="57">
        <f>SUMIFS(tblFleet[Calendar_h],tblFleet[Date],$A365,tblFleet[Equipment_Class],"Excavator")</f>
        <v/>
      </c>
      <c r="AT365" s="57">
        <f>IF($B365=$B364,$AT364,0)+$AS365</f>
        <v/>
      </c>
      <c r="AU365" s="57">
        <f>$AU364+$AS365</f>
        <v/>
      </c>
      <c r="AV365" s="57">
        <f>SUMIFS(tblFleet[Available_h],tblFleet[Date],$A365,tblFleet[Equipment_Class],"Excavator")</f>
        <v/>
      </c>
      <c r="AW365" s="57">
        <f>IF($B365=$B364,$AW364,0)+$AV365</f>
        <v/>
      </c>
      <c r="AX365" s="57">
        <f>$AX364+$AV365</f>
        <v/>
      </c>
      <c r="AY365" s="57">
        <f>SUMIFS(tblFleet[Operating_h],tblFleet[Date],$A365,tblFleet[Equipment_Class],"Excavator")</f>
        <v/>
      </c>
      <c r="AZ365" s="57">
        <f>IF($B365=$B364,$AZ364,0)+$AY365</f>
        <v/>
      </c>
      <c r="BA365" s="57">
        <f>$BA364+$AY365</f>
        <v/>
      </c>
      <c r="BB365" s="67">
        <f>IFERROR(IF(($AS365)&gt;0,($AV365)/($AS365),""),"")</f>
        <v/>
      </c>
      <c r="BC365" s="67">
        <f>IFERROR(IF(($AT365)&gt;0,($AW365)/($AT365),""),"")</f>
        <v/>
      </c>
      <c r="BD365" s="67">
        <f>IFERROR(IF(($AU365)&gt;0,($AX365)/($AU365),""),"")</f>
        <v/>
      </c>
      <c r="BE365" s="67">
        <f>IFERROR(IF(($AV365)&gt;0,($AY365)/($AV365),""),"")</f>
        <v/>
      </c>
      <c r="BF365" s="67">
        <f>IFERROR(IF(($AW365)&gt;0,($AZ365)/($AW365),""),"")</f>
        <v/>
      </c>
      <c r="BG365" s="67">
        <f>IFERROR(IF(($AX365)&gt;0,($BA365)/($AX365),""),"")</f>
        <v/>
      </c>
      <c r="BH365" s="57">
        <f>SUMIFS(tblFleet[Calendar_h],tblFleet[Date],$A365,tblFleet[Equipment_Class],"Haul Truck")</f>
        <v/>
      </c>
      <c r="BI365" s="57">
        <f>IF($B365=$B364,$BI364,0)+$BH365</f>
        <v/>
      </c>
      <c r="BJ365" s="57">
        <f>$BJ364+$BH365</f>
        <v/>
      </c>
      <c r="BK365" s="57">
        <f>SUMIFS(tblFleet[Available_h],tblFleet[Date],$A365,tblFleet[Equipment_Class],"Haul Truck")</f>
        <v/>
      </c>
      <c r="BL365" s="57">
        <f>IF($B365=$B364,$BL364,0)+$BK365</f>
        <v/>
      </c>
      <c r="BM365" s="57">
        <f>$BM364+$BK365</f>
        <v/>
      </c>
      <c r="BN365" s="57">
        <f>SUMIFS(tblFleet[Operating_h],tblFleet[Date],$A365,tblFleet[Equipment_Class],"Haul Truck")</f>
        <v/>
      </c>
      <c r="BO365" s="57">
        <f>IF($B365=$B364,$BO364,0)+$BN365</f>
        <v/>
      </c>
      <c r="BP365" s="57">
        <f>$BP364+$BN365</f>
        <v/>
      </c>
      <c r="BQ365" s="67">
        <f>IFERROR(IF(($BH365)&gt;0,($BK365)/($BH365),""),"")</f>
        <v/>
      </c>
      <c r="BR365" s="67">
        <f>IFERROR(IF(($BI365)&gt;0,($BL365)/($BI365),""),"")</f>
        <v/>
      </c>
      <c r="BS365" s="67">
        <f>IFERROR(IF(($BJ365)&gt;0,($BM365)/($BJ365),""),"")</f>
        <v/>
      </c>
      <c r="BT365" s="67">
        <f>IFERROR(IF(($BK365)&gt;0,($BN365)/($BK365),""),"")</f>
        <v/>
      </c>
      <c r="BU365" s="67">
        <f>IFERROR(IF(($BL365)&gt;0,($BO365)/($BL365),""),"")</f>
        <v/>
      </c>
      <c r="BV365" s="67">
        <f>IFERROR(IF(($BM365)&gt;0,($BP365)/($BM365),""),"")</f>
        <v/>
      </c>
      <c r="BW365" s="55">
        <f>SUMIFS(tblPlant[Crushed_t],tblPlant[Date],$A365)</f>
        <v/>
      </c>
      <c r="BX365" s="55">
        <f>IF($B365=$B364,$BX364,0)+$BW365</f>
        <v/>
      </c>
      <c r="BY365" s="55">
        <f>$BY364+$BW365</f>
        <v/>
      </c>
      <c r="BZ365" s="55">
        <f>SUMIFS(tblPlant[Milled_t],tblPlant[Date],$A365)</f>
        <v/>
      </c>
      <c r="CA365" s="55">
        <f>IF($B365=$B364,$CA364,0)+$BZ365</f>
        <v/>
      </c>
      <c r="CB365" s="55">
        <f>$CB364+$BZ365</f>
        <v/>
      </c>
      <c r="CC365" s="55">
        <f>SUMIFS(tblPlant[Feed_oz],tblPlant[Date],$A365)</f>
        <v/>
      </c>
      <c r="CD365" s="55">
        <f>IF($B365=$B364,$CD364,0)+$CC365</f>
        <v/>
      </c>
      <c r="CE365" s="55">
        <f>$CE364+$CC365</f>
        <v/>
      </c>
      <c r="CF365" s="55">
        <f>SUMIFS(tblPlant[Tails_oz],tblPlant[Date],$A365)</f>
        <v/>
      </c>
      <c r="CG365" s="55">
        <f>IF($B365=$B364,$CG364,0)+$CF365</f>
        <v/>
      </c>
      <c r="CH365" s="55">
        <f>$CH364+$CF365</f>
        <v/>
      </c>
      <c r="CI365" s="55">
        <f>SUMIFS(tblPlant[Recovered_oz],tblPlant[Date],$A365)</f>
        <v/>
      </c>
      <c r="CJ365" s="55">
        <f>IF($B365=$B364,$CJ364,0)+$CI365</f>
        <v/>
      </c>
      <c r="CK365" s="55">
        <f>$CK364+$CI365</f>
        <v/>
      </c>
      <c r="CL365" s="56">
        <f>IFERROR(IF(($BZ365)&gt;0,($CC365*cfg_TroyOz)/($BZ365),""),"")</f>
        <v/>
      </c>
      <c r="CM365" s="56">
        <f>IFERROR(IF(($CA365)&gt;0,($CD365*cfg_TroyOz)/($CA365),""),"")</f>
        <v/>
      </c>
      <c r="CN365" s="56">
        <f>IFERROR(IF(($CB365)&gt;0,($CE365*cfg_TroyOz)/($CB365),""),"")</f>
        <v/>
      </c>
      <c r="CO365" s="56">
        <f>IFERROR(IF(($BZ365)&gt;0,($CF365*cfg_TroyOz)/($BZ365),""),"")</f>
        <v/>
      </c>
      <c r="CP365" s="56">
        <f>IFERROR(IF(($CA365)&gt;0,($CG365*cfg_TroyOz)/($CA365),""),"")</f>
        <v/>
      </c>
      <c r="CQ365" s="56">
        <f>IFERROR(IF(($CB365)&gt;0,($CH365*cfg_TroyOz)/($CB365),""),"")</f>
        <v/>
      </c>
      <c r="CR365" s="67">
        <f>IFERROR(IF(($CC365)&gt;0,($CI365)/($CC365),""),"")</f>
        <v/>
      </c>
      <c r="CS365" s="67">
        <f>IFERROR(IF(($CD365)&gt;0,($CJ365)/($CD365),""),"")</f>
        <v/>
      </c>
      <c r="CT365" s="67">
        <f>IFERROR(IF(($CE365)&gt;0,($CK365)/($CE365),""),"")</f>
        <v/>
      </c>
      <c r="CU365" s="55">
        <f>SUMIFS(tblPlant[Gravity_Gold_oz],tblPlant[Date],$A365)</f>
        <v/>
      </c>
      <c r="CV365" s="55">
        <f>IF($B365=$B364,$CV364,0)+$CU365</f>
        <v/>
      </c>
      <c r="CW365" s="55">
        <f>$CW364+$CU365</f>
        <v/>
      </c>
      <c r="CX365" s="55">
        <f>SUMIFS(tblPlant[Gold_Poured_oz],tblPlant[Date],$A365)</f>
        <v/>
      </c>
      <c r="CY365" s="55">
        <f>IF($B365=$B364,$CY364,0)+$CX365</f>
        <v/>
      </c>
      <c r="CZ365" s="55">
        <f>$CZ364+$CX365</f>
        <v/>
      </c>
      <c r="DA365" s="57">
        <f>SUMIFS(tblPlant[Mill_Run_h],tblPlant[Date],$A365)</f>
        <v/>
      </c>
      <c r="DB365" s="57">
        <f>IF($B365=$B364,$DB364,0)+$DA365</f>
        <v/>
      </c>
      <c r="DC365" s="57">
        <f>$DC364+$DA365</f>
        <v/>
      </c>
      <c r="DD365" s="57">
        <f>SUMIFS(tblPlant[Mill_Planned_Maint_h],tblPlant[Date],$A365)</f>
        <v/>
      </c>
      <c r="DE365" s="57">
        <f>IF($B365=$B364,$DE364,0)+$DD365</f>
        <v/>
      </c>
      <c r="DF365" s="57">
        <f>$DF364+$DD365</f>
        <v/>
      </c>
      <c r="DG365" s="57">
        <f>SUMIFS(tblPlant[Mill_Unplanned_Down_h],tblPlant[Date],$A365)</f>
        <v/>
      </c>
      <c r="DH365" s="57">
        <f>IF($B365=$B364,$DH364,0)+$DG365</f>
        <v/>
      </c>
      <c r="DI365" s="57">
        <f>$DI364+$DG365</f>
        <v/>
      </c>
      <c r="DJ365" s="57">
        <f>COUNTIFS(tblPlant[Date],$A365,tblPlant[Mill_Run_h],"&lt;&gt;")*24</f>
        <v/>
      </c>
      <c r="DK365" s="57">
        <f>IF($B365=$B364,$DK364,0)+$DJ365</f>
        <v/>
      </c>
      <c r="DL365" s="57">
        <f>$DL364+$DJ365</f>
        <v/>
      </c>
      <c r="DM365" s="57">
        <f>SUMIFS(tblPlant[Crusher_Run_h],tblPlant[Date],$A365)</f>
        <v/>
      </c>
      <c r="DN365" s="57">
        <f>IF($B365=$B364,$DN364,0)+$DM365</f>
        <v/>
      </c>
      <c r="DO365" s="57">
        <f>$DO364+$DM365</f>
        <v/>
      </c>
      <c r="DP365" s="55">
        <f>IFERROR(IF(($DA365)&gt;0,($BZ365)/($DA365),""),"")</f>
        <v/>
      </c>
      <c r="DQ365" s="55">
        <f>IFERROR(IF(($DB365)&gt;0,($CA365)/($DB365),""),"")</f>
        <v/>
      </c>
      <c r="DR365" s="55">
        <f>IFERROR(IF(($DC365)&gt;0,($CB365)/($DC365),""),"")</f>
        <v/>
      </c>
      <c r="DS365" s="67">
        <f>IFERROR(IF(($DJ365)&gt;0,($DJ365-$DD365-$DG365)/($DJ365),""),"")</f>
        <v/>
      </c>
      <c r="DT365" s="67">
        <f>IFERROR(IF(($DK365)&gt;0,($DK365-$DE365-$DH365)/($DK365),""),"")</f>
        <v/>
      </c>
      <c r="DU365" s="67">
        <f>IFERROR(IF(($DL365)&gt;0,($DL365-$DF365-$DI365)/($DL365),""),"")</f>
        <v/>
      </c>
      <c r="DV365" s="67">
        <f>IFERROR(IF(($DJ365-$DD365-$DG365)&gt;0,($DA365)/($DJ365-$DD365-$DG365),""),"")</f>
        <v/>
      </c>
      <c r="DW365" s="67">
        <f>IFERROR(IF(($DK365-$DE365-$DH365)&gt;0,($DB365)/($DK365-$DE365-$DH365),""),"")</f>
        <v/>
      </c>
      <c r="DX365" s="67">
        <f>IFERROR(IF(($DL365-$DF365-$DI365)&gt;0,($DC365)/($DL365-$DF365-$DI365),""),"")</f>
        <v/>
      </c>
      <c r="DY365" s="55">
        <f>SUMIFS(tblPlant[Cyanide_kg],tblPlant[Date],$A365)</f>
        <v/>
      </c>
      <c r="DZ365" s="55">
        <f>IF($B365=$B364,$DZ364,0)+$DY365</f>
        <v/>
      </c>
      <c r="EA365" s="55">
        <f>$EA364+$DY365</f>
        <v/>
      </c>
      <c r="EB365" s="55">
        <f>SUMIFS(tblPlant[Lime_kg],tblPlant[Date],$A365)</f>
        <v/>
      </c>
      <c r="EC365" s="55">
        <f>IF($B365=$B364,$EC364,0)+$EB365</f>
        <v/>
      </c>
      <c r="ED365" s="55">
        <f>$ED364+$EB365</f>
        <v/>
      </c>
      <c r="EE365" s="55">
        <f>SUMIFS(tblPlant[Grinding_Media_kg],tblPlant[Date],$A365)</f>
        <v/>
      </c>
      <c r="EF365" s="55">
        <f>IF($B365=$B364,$EF364,0)+$EE365</f>
        <v/>
      </c>
      <c r="EG365" s="55">
        <f>$EG364+$EE365</f>
        <v/>
      </c>
      <c r="EH365" s="55">
        <f>SUMIFS(tblPlant[Power_kWh],tblPlant[Date],$A365)</f>
        <v/>
      </c>
      <c r="EI365" s="55">
        <f>IF($B365=$B364,$EI364,0)+$EH365</f>
        <v/>
      </c>
      <c r="EJ365" s="55">
        <f>$EJ364+$EH365</f>
        <v/>
      </c>
      <c r="EK365" s="55">
        <f>SUMIFS(tblPlant[Raw_Water_m3],tblPlant[Date],$A365)</f>
        <v/>
      </c>
      <c r="EL365" s="55">
        <f>IF($B365=$B364,$EL364,0)+$EK365</f>
        <v/>
      </c>
      <c r="EM365" s="55">
        <f>$EM364+$EK365</f>
        <v/>
      </c>
      <c r="EN365" s="56">
        <f>IFERROR(IF(($BZ365)&gt;0,($DY365)/($BZ365),""),"")</f>
        <v/>
      </c>
      <c r="EO365" s="56">
        <f>IFERROR(IF(($CA365)&gt;0,($DZ365)/($CA365),""),"")</f>
        <v/>
      </c>
      <c r="EP365" s="56">
        <f>IFERROR(IF(($CB365)&gt;0,($EA365)/($CB365),""),"")</f>
        <v/>
      </c>
      <c r="EQ365" s="56">
        <f>IFERROR(IF(($BZ365)&gt;0,($EB365)/($BZ365),""),"")</f>
        <v/>
      </c>
      <c r="ER365" s="56">
        <f>IFERROR(IF(($CA365)&gt;0,($EC365)/($CA365),""),"")</f>
        <v/>
      </c>
      <c r="ES365" s="56">
        <f>IFERROR(IF(($CB365)&gt;0,($ED365)/($CB365),""),"")</f>
        <v/>
      </c>
      <c r="ET365" s="56">
        <f>IFERROR(IF(($BZ365)&gt;0,($EE365)/($BZ365),""),"")</f>
        <v/>
      </c>
      <c r="EU365" s="56">
        <f>IFERROR(IF(($CA365)&gt;0,($EF365)/($CA365),""),"")</f>
        <v/>
      </c>
      <c r="EV365" s="56">
        <f>IFERROR(IF(($CB365)&gt;0,($EG365)/($CB365),""),"")</f>
        <v/>
      </c>
      <c r="EW365" s="76">
        <f>IFERROR(IF(($BZ365)&gt;0,($EH365)/($BZ365),""),"")</f>
        <v/>
      </c>
      <c r="EX365" s="76">
        <f>IFERROR(IF(($CA365)&gt;0,($EI365)/($CA365),""),"")</f>
        <v/>
      </c>
      <c r="EY365" s="76">
        <f>IFERROR(IF(($CB365)&gt;0,($EJ365)/($CB365),""),"")</f>
        <v/>
      </c>
      <c r="EZ365" s="56">
        <f>IFERROR(IF(($BZ365)&gt;0,($EK365)/($BZ365),""),"")</f>
        <v/>
      </c>
      <c r="FA365" s="56">
        <f>IFERROR(IF(($CA365)&gt;0,($EL365)/($CA365),""),"")</f>
        <v/>
      </c>
      <c r="FB365" s="56">
        <f>IFERROR(IF(($CB365)&gt;0,($EM365)/($CB365),""),"")</f>
        <v/>
      </c>
      <c r="FC365" s="55">
        <f>IF(SUMIFS(tblPlant[GIC_oz],tblPlant[Date],$A365)&gt;0,SUMIFS(tblPlant[GIC_oz],tblPlant[Date],$A365),"")</f>
        <v/>
      </c>
      <c r="FD365" s="55">
        <f>SUMIFS(tblGold[Gold_oz],tblGold[Date],$A365,tblGold[Type],"Shipment")</f>
        <v/>
      </c>
      <c r="FE365" s="55">
        <f>IF($B365=$B364,$FE364,0)+$FD365</f>
        <v/>
      </c>
      <c r="FF365" s="55">
        <f>$FF364+$FD365</f>
        <v/>
      </c>
      <c r="FG365" s="55">
        <f>SUMIFS(tblGold[Gold_oz],tblGold[Date],$A365,tblGold[Type],"Sale")</f>
        <v/>
      </c>
      <c r="FH365" s="55">
        <f>IF($B365=$B364,$FH364,0)+$FG365</f>
        <v/>
      </c>
      <c r="FI365" s="55">
        <f>$FI364+$FG365</f>
        <v/>
      </c>
      <c r="FJ365" s="55">
        <f>SUMIFS(tblGold[Dore_kg],tblGold[Date],$A365,tblGold[Type],"Shipment")</f>
        <v/>
      </c>
      <c r="FK365" s="55">
        <f>IF($B365=$B364,$FK364,0)+$FJ365</f>
        <v/>
      </c>
      <c r="FL365" s="55">
        <f>$FL364+$FJ365</f>
        <v/>
      </c>
      <c r="FM365" s="57">
        <f>SUMIFS(tblSafety[Hours_Total],tblSafety[Date],$A365)</f>
        <v/>
      </c>
      <c r="FN365" s="57">
        <f>IF($B365=$B364,$FN364,0)+$FM365</f>
        <v/>
      </c>
      <c r="FO365" s="57">
        <f>$FO364+$FM365</f>
        <v/>
      </c>
      <c r="FP365" s="62">
        <f>SUMIFS(tblSafety[Fatality],tblSafety[Date],$A365)</f>
        <v/>
      </c>
      <c r="FQ365" s="62">
        <f>IF($B365=$B364,$FQ364,0)+$FP365</f>
        <v/>
      </c>
      <c r="FR365" s="62">
        <f>$FR364+$FP365</f>
        <v/>
      </c>
      <c r="FS365" s="62">
        <f>SUMIFS(tblSafety[LTI],tblSafety[Date],$A365)</f>
        <v/>
      </c>
      <c r="FT365" s="62">
        <f>IF($B365=$B364,$FT364,0)+$FS365</f>
        <v/>
      </c>
      <c r="FU365" s="62">
        <f>$FU364+$FS365</f>
        <v/>
      </c>
      <c r="FV365" s="62">
        <f>SUMIFS(tblSafety[RWI],tblSafety[Date],$A365)</f>
        <v/>
      </c>
      <c r="FW365" s="62">
        <f>IF($B365=$B364,$FW364,0)+$FV365</f>
        <v/>
      </c>
      <c r="FX365" s="62">
        <f>$FX364+$FV365</f>
        <v/>
      </c>
      <c r="FY365" s="62">
        <f>SUMIFS(tblSafety[MTI],tblSafety[Date],$A365)</f>
        <v/>
      </c>
      <c r="FZ365" s="62">
        <f>IF($B365=$B364,$FZ364,0)+$FY365</f>
        <v/>
      </c>
      <c r="GA365" s="62">
        <f>$GA364+$FY365</f>
        <v/>
      </c>
      <c r="GB365" s="62">
        <f>SUMIFS(tblSafety[FAI],tblSafety[Date],$A365)</f>
        <v/>
      </c>
      <c r="GC365" s="62">
        <f>IF($B365=$B364,$GC364,0)+$GB365</f>
        <v/>
      </c>
      <c r="GD365" s="62">
        <f>$GD364+$GB365</f>
        <v/>
      </c>
      <c r="GE365" s="62">
        <f>SUMIFS(tblSafety[Recordables],tblSafety[Date],$A365)</f>
        <v/>
      </c>
      <c r="GF365" s="62">
        <f>IF($B365=$B364,$GF364,0)+$GE365</f>
        <v/>
      </c>
      <c r="GG365" s="62">
        <f>$GG364+$GE365</f>
        <v/>
      </c>
      <c r="GH365" s="62">
        <f>SUMIFS(tblSafety[Near_Miss],tblSafety[Date],$A365)</f>
        <v/>
      </c>
      <c r="GI365" s="62">
        <f>IF($B365=$B364,$GI364,0)+$GH365</f>
        <v/>
      </c>
      <c r="GJ365" s="62">
        <f>$GJ364+$GH365</f>
        <v/>
      </c>
      <c r="GK365" s="62">
        <f>SUMIFS(tblSafety[Hazard_Reports],tblSafety[Date],$A365)</f>
        <v/>
      </c>
      <c r="GL365" s="62">
        <f>IF($B365=$B364,$GL364,0)+$GK365</f>
        <v/>
      </c>
      <c r="GM365" s="62">
        <f>$GM364+$GK365</f>
        <v/>
      </c>
      <c r="GN365" s="62">
        <f>SUMIFS(tblSafety[HPI],tblSafety[Date],$A365)</f>
        <v/>
      </c>
      <c r="GO365" s="62">
        <f>IF($B365=$B364,$GO364,0)+$GN365</f>
        <v/>
      </c>
      <c r="GP365" s="62">
        <f>$GP364+$GN365</f>
        <v/>
      </c>
      <c r="GQ365" s="62">
        <f>SUMIFS(tblSafety[Env_Incidents],tblSafety[Date],$A365)</f>
        <v/>
      </c>
      <c r="GR365" s="62">
        <f>IF($B365=$B364,$GR364,0)+$GQ365</f>
        <v/>
      </c>
      <c r="GS365" s="62">
        <f>$GS364+$GQ365</f>
        <v/>
      </c>
      <c r="GT365" s="62">
        <f>SUMIFS(tblSafety[Community_Incidents],tblSafety[Date],$A365)</f>
        <v/>
      </c>
      <c r="GU365" s="62">
        <f>IF($B365=$B364,$GU364,0)+$GT365</f>
        <v/>
      </c>
      <c r="GV365" s="62">
        <f>$GV364+$GT365</f>
        <v/>
      </c>
      <c r="GW365" s="62">
        <f>SUMIFS(tblSafety[Vehicle_Incidents],tblSafety[Date],$A365)</f>
        <v/>
      </c>
      <c r="GX365" s="62">
        <f>IF($B365=$B364,$GX364,0)+$GW365</f>
        <v/>
      </c>
      <c r="GY365" s="62">
        <f>$GY364+$GW365</f>
        <v/>
      </c>
      <c r="GZ365" s="62">
        <f>SUMIFS(tblSafety[Toolbox_Talks],tblSafety[Date],$A365)</f>
        <v/>
      </c>
      <c r="HA365" s="62">
        <f>IF($B365=$B364,$HA364,0)+$GZ365</f>
        <v/>
      </c>
      <c r="HB365" s="62">
        <f>$HB364+$GZ365</f>
        <v/>
      </c>
      <c r="HC365" s="62">
        <f>SUMIFS(tblSafety[Inspections],tblSafety[Date],$A365)</f>
        <v/>
      </c>
      <c r="HD365" s="62">
        <f>IF($B365=$B364,$HD364,0)+$HC365</f>
        <v/>
      </c>
      <c r="HE365" s="62">
        <f>$HE364+$HC365</f>
        <v/>
      </c>
      <c r="HF365" s="56">
        <f>IFERROR((SUMIFS(tblSafety[Recordables],tblSafety[Date],"&gt;="&amp;EDATE($E365,-12),tblSafety[Date],"&lt;="&amp;$A365)+SUMIFS(tblSafetyHistory[Recordables],tblSafetyHistory[Month],"&gt;="&amp;EDATE($E365,-12),tblSafetyHistory[Month],"&lt;"&amp;cfg_YearStart))/(SUMIFS(tblSafety[Hours_Total],tblSafety[Date],"&gt;="&amp;EDATE($E365,-12),tblSafety[Date],"&lt;="&amp;$A365)+SUMIFS(tblSafetyHistory[Hours_Total],tblSafetyHistory[Month],"&gt;="&amp;EDATE($E365,-12),tblSafetyHistory[Month],"&lt;"&amp;cfg_YearStart))*1000000,"")</f>
        <v/>
      </c>
      <c r="HG365" s="56">
        <f>IFERROR((SUMIFS(tblSafety[LTI],tblSafety[Date],"&gt;="&amp;EDATE($E365,-12),tblSafety[Date],"&lt;="&amp;$A365)+SUMIFS(tblSafetyHistory[LTI],tblSafetyHistory[Month],"&gt;="&amp;EDATE($E365,-12),tblSafetyHistory[Month],"&lt;"&amp;cfg_YearStart))/(SUMIFS(tblSafety[Hours_Total],tblSafety[Date],"&gt;="&amp;EDATE($E365,-12),tblSafety[Date],"&lt;="&amp;$A365)+SUMIFS(tblSafetyHistory[Hours_Total],tblSafetyHistory[Month],"&gt;="&amp;EDATE($E365,-12),tblSafetyHistory[Month],"&lt;"&amp;cfg_YearStart))*1000000,"")</f>
        <v/>
      </c>
      <c r="HH365" s="62">
        <f>IF(MAX(N(cfg_PriorLTIDate),_xlfn.MAXIFS(tblSafety[Date],tblSafety[LTI],"&gt;0",tblSafety[Date],"&lt;="&amp;$A365))=0,"",$A365-MAX(N(cfg_PriorLTIDate),_xlfn.MAXIFS(tblSafety[Date],tblSafety[LTI],"&gt;0",tblSafety[Date],"&lt;="&amp;$A365)))</f>
        <v/>
      </c>
      <c r="HI365" s="55">
        <f>SUMIFS(tblBudget[Ore_Mined_t],tblBudget[Month],$E365)</f>
        <v/>
      </c>
      <c r="HJ365" s="55">
        <f>$HI365*$C365/$D365</f>
        <v/>
      </c>
      <c r="HK365" s="55">
        <f>SUMIFS(tblBudget[Ore_Mined_t],tblBudget[Month],"&lt;"&amp;$E365)+$HJ365</f>
        <v/>
      </c>
      <c r="HL365" s="55">
        <f>SUMIFS(tblBudget[Ore_oz],tblBudget[Month],$E365)</f>
        <v/>
      </c>
      <c r="HM365" s="55">
        <f>$HL365*$C365/$D365</f>
        <v/>
      </c>
      <c r="HN365" s="55">
        <f>SUMIFS(tblBudget[Ore_oz],tblBudget[Month],"&lt;"&amp;$E365)+$HM365</f>
        <v/>
      </c>
      <c r="HO365" s="56">
        <f>IFERROR(IF(($HI365)&gt;0,($HL365*cfg_TroyOz)/($HI365),""),"")</f>
        <v/>
      </c>
      <c r="HP365" s="56">
        <f>IFERROR(IF(($HJ365)&gt;0,($HM365*cfg_TroyOz)/($HJ365),""),"")</f>
        <v/>
      </c>
      <c r="HQ365" s="56">
        <f>IFERROR(IF(($HK365)&gt;0,($HN365*cfg_TroyOz)/($HK365),""),"")</f>
        <v/>
      </c>
      <c r="HR365" s="55">
        <f>SUMIFS(tblBudget[Waste_t],tblBudget[Month],$E365)</f>
        <v/>
      </c>
      <c r="HS365" s="55">
        <f>$HR365*$C365/$D365</f>
        <v/>
      </c>
      <c r="HT365" s="55">
        <f>SUMIFS(tblBudget[Waste_t],tblBudget[Month],"&lt;"&amp;$E365)+$HS365</f>
        <v/>
      </c>
      <c r="HU365" s="55">
        <f>SUMIFS(tblBudget[TMM_t],tblBudget[Month],$E365)</f>
        <v/>
      </c>
      <c r="HV365" s="55">
        <f>$HU365*$C365/$D365</f>
        <v/>
      </c>
      <c r="HW365" s="55">
        <f>SUMIFS(tblBudget[TMM_t],tblBudget[Month],"&lt;"&amp;$E365)+$HV365</f>
        <v/>
      </c>
      <c r="HX365" s="56">
        <f>IFERROR(IF(($HI365)&gt;0,($HR365)/($HI365),""),"")</f>
        <v/>
      </c>
      <c r="HY365" s="56">
        <f>IFERROR(IF(($HJ365)&gt;0,($HS365)/($HJ365),""),"")</f>
        <v/>
      </c>
      <c r="HZ365" s="56">
        <f>IFERROR(IF(($HK365)&gt;0,($HT365)/($HK365),""),"")</f>
        <v/>
      </c>
      <c r="IA365" s="55">
        <f>SUMIFS(tblBudget[Drill_m],tblBudget[Month],$E365)</f>
        <v/>
      </c>
      <c r="IB365" s="55">
        <f>$IA365*$C365/$D365</f>
        <v/>
      </c>
      <c r="IC365" s="55">
        <f>SUMIFS(tblBudget[Drill_m],tblBudget[Month],"&lt;"&amp;$E365)+$IB365</f>
        <v/>
      </c>
      <c r="ID365" s="55">
        <f>SUMIFS(tblBudget[Diesel_L],tblBudget[Month],$E365)</f>
        <v/>
      </c>
      <c r="IE365" s="55">
        <f>$ID365*$C365/$D365</f>
        <v/>
      </c>
      <c r="IF365" s="55">
        <f>SUMIFS(tblBudget[Diesel_L],tblBudget[Month],"&lt;"&amp;$E365)+$IE365</f>
        <v/>
      </c>
      <c r="IG365" s="55">
        <f>SUMIFS(tblBudget[Milled_t],tblBudget[Month],$E365)</f>
        <v/>
      </c>
      <c r="IH365" s="55">
        <f>$IG365*$C365/$D365</f>
        <v/>
      </c>
      <c r="II365" s="55">
        <f>SUMIFS(tblBudget[Milled_t],tblBudget[Month],"&lt;"&amp;$E365)+$IH365</f>
        <v/>
      </c>
      <c r="IJ365" s="55">
        <f>SUMIFS(tblBudget[Feed_oz],tblBudget[Month],$E365)</f>
        <v/>
      </c>
      <c r="IK365" s="55">
        <f>$IJ365*$C365/$D365</f>
        <v/>
      </c>
      <c r="IL365" s="55">
        <f>SUMIFS(tblBudget[Feed_oz],tblBudget[Month],"&lt;"&amp;$E365)+$IK365</f>
        <v/>
      </c>
      <c r="IM365" s="55">
        <f>SUMIFS(tblBudget[Recovered_oz],tblBudget[Month],$E365)</f>
        <v/>
      </c>
      <c r="IN365" s="55">
        <f>$IM365*$C365/$D365</f>
        <v/>
      </c>
      <c r="IO365" s="55">
        <f>SUMIFS(tblBudget[Recovered_oz],tblBudget[Month],"&lt;"&amp;$E365)+$IN365</f>
        <v/>
      </c>
      <c r="IP365" s="56">
        <f>IFERROR(IF(($IG365)&gt;0,($IJ365*cfg_TroyOz)/($IG365),""),"")</f>
        <v/>
      </c>
      <c r="IQ365" s="56">
        <f>IFERROR(IF(($IH365)&gt;0,($IK365*cfg_TroyOz)/($IH365),""),"")</f>
        <v/>
      </c>
      <c r="IR365" s="56">
        <f>IFERROR(IF(($II365)&gt;0,($IL365*cfg_TroyOz)/($II365),""),"")</f>
        <v/>
      </c>
      <c r="IS365" s="67">
        <f>IFERROR(IF(($IJ365)&gt;0,($IM365)/($IJ365),""),"")</f>
        <v/>
      </c>
      <c r="IT365" s="67">
        <f>IFERROR(IF(($IK365)&gt;0,($IN365)/($IK365),""),"")</f>
        <v/>
      </c>
      <c r="IU365" s="67">
        <f>IFERROR(IF(($IL365)&gt;0,($IO365)/($IL365),""),"")</f>
        <v/>
      </c>
      <c r="IV365" s="55">
        <f>SUMIFS(tblBudget[Gold_Poured_oz],tblBudget[Month],$E365)</f>
        <v/>
      </c>
      <c r="IW365" s="55">
        <f>$IV365*$C365/$D365</f>
        <v/>
      </c>
      <c r="IX365" s="55">
        <f>SUMIFS(tblBudget[Gold_Poured_oz],tblBudget[Month],"&lt;"&amp;$E365)+$IW365</f>
        <v/>
      </c>
      <c r="IY365" s="57">
        <f>SUMIFS(tblBudget[Hours_Worked],tblBudget[Month],$E365)</f>
        <v/>
      </c>
      <c r="IZ365" s="57">
        <f>$IY365*$C365/$D365</f>
        <v/>
      </c>
      <c r="JA365" s="57">
        <f>SUMIFS(tblBudget[Hours_Worked],tblBudget[Month],"&lt;"&amp;$E365)+$IZ365</f>
        <v/>
      </c>
    </row>
    <row r="366">
      <c r="A366" s="54" t="n">
        <v>46387</v>
      </c>
      <c r="B366">
        <f>MONTH($A366)</f>
        <v/>
      </c>
      <c r="C366">
        <f>DAY($A366)</f>
        <v/>
      </c>
      <c r="D366">
        <f>DAY(EOMONTH($A366,0))</f>
        <v/>
      </c>
      <c r="E366" s="54">
        <f>DATE(YEAR($A366),MONTH($A366),1)</f>
        <v/>
      </c>
      <c r="F366" s="55">
        <f>SUMIFS(tblMovement[Tonnes_t],tblMovement[Date],$A366,tblMovement[Is_Ore],1,tblMovement[Source_Type],"Pit")</f>
        <v/>
      </c>
      <c r="G366" s="55">
        <f>IF($B366=$B365,$G365,0)+$F366</f>
        <v/>
      </c>
      <c r="H366" s="55">
        <f>$H365+$F366</f>
        <v/>
      </c>
      <c r="I366" s="55">
        <f>SUMIFS(tblMovement[Ore_oz],tblMovement[Date],$A366,tblMovement[Source_Type],"Pit")</f>
        <v/>
      </c>
      <c r="J366" s="55">
        <f>IF($B366=$B365,$J365,0)+$I366</f>
        <v/>
      </c>
      <c r="K366" s="55">
        <f>$K365+$I366</f>
        <v/>
      </c>
      <c r="L366" s="56">
        <f>IFERROR(IF(($F366)&gt;0,($I366*cfg_TroyOz)/($F366),""),"")</f>
        <v/>
      </c>
      <c r="M366" s="56">
        <f>IFERROR(IF(($G366)&gt;0,($J366*cfg_TroyOz)/($G366),""),"")</f>
        <v/>
      </c>
      <c r="N366" s="56">
        <f>IFERROR(IF(($H366)&gt;0,($K366*cfg_TroyOz)/($H366),""),"")</f>
        <v/>
      </c>
      <c r="O366" s="55">
        <f>SUMIFS(tblMovement[Tonnes_t],tblMovement[Date],$A366,tblMovement[Is_Ore],0,tblMovement[Source_Type],"Pit")</f>
        <v/>
      </c>
      <c r="P366" s="55">
        <f>IF($B366=$B365,$P365,0)+$O366</f>
        <v/>
      </c>
      <c r="Q366" s="55">
        <f>$Q365+$O366</f>
        <v/>
      </c>
      <c r="R366" s="55">
        <f>$F366+$O366</f>
        <v/>
      </c>
      <c r="S366" s="55">
        <f>IF($B366=$B365,$S365,0)+$R366</f>
        <v/>
      </c>
      <c r="T366" s="55">
        <f>$T365+$R366</f>
        <v/>
      </c>
      <c r="U366" s="56">
        <f>IFERROR(IF(($F366)&gt;0,($O366)/($F366),""),"")</f>
        <v/>
      </c>
      <c r="V366" s="56">
        <f>IFERROR(IF(($G366)&gt;0,($P366)/($G366),""),"")</f>
        <v/>
      </c>
      <c r="W366" s="56">
        <f>IFERROR(IF(($H366)&gt;0,($Q366)/($H366),""),"")</f>
        <v/>
      </c>
      <c r="X366" s="55">
        <f>SUMIFS(tblMovement[Tonnes_t],tblMovement[Date],$A366,tblMovement[Source_Type],"Stockpile")</f>
        <v/>
      </c>
      <c r="Y366" s="55">
        <f>IF($B366=$B365,$Y365,0)+$X366</f>
        <v/>
      </c>
      <c r="Z366" s="55">
        <f>$Z365+$X366</f>
        <v/>
      </c>
      <c r="AA366" s="55">
        <f>SUMIFS(tblMiningDaily[Drill_m],tblMiningDaily[Date],$A366)</f>
        <v/>
      </c>
      <c r="AB366" s="55">
        <f>IF($B366=$B365,$AB365,0)+$AA366</f>
        <v/>
      </c>
      <c r="AC366" s="55">
        <f>$AC365+$AA366</f>
        <v/>
      </c>
      <c r="AD366" s="55">
        <f>SUMIFS(tblMiningDaily[Blast_t],tblMiningDaily[Date],$A366)</f>
        <v/>
      </c>
      <c r="AE366" s="55">
        <f>IF($B366=$B365,$AE365,0)+$AD366</f>
        <v/>
      </c>
      <c r="AF366" s="55">
        <f>$AF365+$AD366</f>
        <v/>
      </c>
      <c r="AG366" s="55">
        <f>SUMIFS(tblMiningDaily[Explosives_kg],tblMiningDaily[Date],$A366)</f>
        <v/>
      </c>
      <c r="AH366" s="55">
        <f>IF($B366=$B365,$AH365,0)+$AG366</f>
        <v/>
      </c>
      <c r="AI366" s="55">
        <f>$AI365+$AG366</f>
        <v/>
      </c>
      <c r="AJ366" s="56">
        <f>IFERROR(IF(($AD366)&gt;0,($AG366)/($AD366),""),"")</f>
        <v/>
      </c>
      <c r="AK366" s="56">
        <f>IFERROR(IF(($AE366)&gt;0,($AH366)/($AE366),""),"")</f>
        <v/>
      </c>
      <c r="AL366" s="56">
        <f>IFERROR(IF(($AF366)&gt;0,($AI366)/($AF366),""),"")</f>
        <v/>
      </c>
      <c r="AM366" s="55">
        <f>SUMIFS(tblMiningDaily[Diesel_L],tblMiningDaily[Date],$A366)</f>
        <v/>
      </c>
      <c r="AN366" s="55">
        <f>IF($B366=$B365,$AN365,0)+$AM366</f>
        <v/>
      </c>
      <c r="AO366" s="55">
        <f>$AO365+$AM366</f>
        <v/>
      </c>
      <c r="AP366" s="55">
        <f>SUMIFS(tblMiningDaily[Dewatering_m3],tblMiningDaily[Date],$A366)</f>
        <v/>
      </c>
      <c r="AQ366" s="55">
        <f>IF($B366=$B365,$AQ365,0)+$AP366</f>
        <v/>
      </c>
      <c r="AR366" s="55">
        <f>$AR365+$AP366</f>
        <v/>
      </c>
      <c r="AS366" s="57">
        <f>SUMIFS(tblFleet[Calendar_h],tblFleet[Date],$A366,tblFleet[Equipment_Class],"Excavator")</f>
        <v/>
      </c>
      <c r="AT366" s="57">
        <f>IF($B366=$B365,$AT365,0)+$AS366</f>
        <v/>
      </c>
      <c r="AU366" s="57">
        <f>$AU365+$AS366</f>
        <v/>
      </c>
      <c r="AV366" s="57">
        <f>SUMIFS(tblFleet[Available_h],tblFleet[Date],$A366,tblFleet[Equipment_Class],"Excavator")</f>
        <v/>
      </c>
      <c r="AW366" s="57">
        <f>IF($B366=$B365,$AW365,0)+$AV366</f>
        <v/>
      </c>
      <c r="AX366" s="57">
        <f>$AX365+$AV366</f>
        <v/>
      </c>
      <c r="AY366" s="57">
        <f>SUMIFS(tblFleet[Operating_h],tblFleet[Date],$A366,tblFleet[Equipment_Class],"Excavator")</f>
        <v/>
      </c>
      <c r="AZ366" s="57">
        <f>IF($B366=$B365,$AZ365,0)+$AY366</f>
        <v/>
      </c>
      <c r="BA366" s="57">
        <f>$BA365+$AY366</f>
        <v/>
      </c>
      <c r="BB366" s="67">
        <f>IFERROR(IF(($AS366)&gt;0,($AV366)/($AS366),""),"")</f>
        <v/>
      </c>
      <c r="BC366" s="67">
        <f>IFERROR(IF(($AT366)&gt;0,($AW366)/($AT366),""),"")</f>
        <v/>
      </c>
      <c r="BD366" s="67">
        <f>IFERROR(IF(($AU366)&gt;0,($AX366)/($AU366),""),"")</f>
        <v/>
      </c>
      <c r="BE366" s="67">
        <f>IFERROR(IF(($AV366)&gt;0,($AY366)/($AV366),""),"")</f>
        <v/>
      </c>
      <c r="BF366" s="67">
        <f>IFERROR(IF(($AW366)&gt;0,($AZ366)/($AW366),""),"")</f>
        <v/>
      </c>
      <c r="BG366" s="67">
        <f>IFERROR(IF(($AX366)&gt;0,($BA366)/($AX366),""),"")</f>
        <v/>
      </c>
      <c r="BH366" s="57">
        <f>SUMIFS(tblFleet[Calendar_h],tblFleet[Date],$A366,tblFleet[Equipment_Class],"Haul Truck")</f>
        <v/>
      </c>
      <c r="BI366" s="57">
        <f>IF($B366=$B365,$BI365,0)+$BH366</f>
        <v/>
      </c>
      <c r="BJ366" s="57">
        <f>$BJ365+$BH366</f>
        <v/>
      </c>
      <c r="BK366" s="57">
        <f>SUMIFS(tblFleet[Available_h],tblFleet[Date],$A366,tblFleet[Equipment_Class],"Haul Truck")</f>
        <v/>
      </c>
      <c r="BL366" s="57">
        <f>IF($B366=$B365,$BL365,0)+$BK366</f>
        <v/>
      </c>
      <c r="BM366" s="57">
        <f>$BM365+$BK366</f>
        <v/>
      </c>
      <c r="BN366" s="57">
        <f>SUMIFS(tblFleet[Operating_h],tblFleet[Date],$A366,tblFleet[Equipment_Class],"Haul Truck")</f>
        <v/>
      </c>
      <c r="BO366" s="57">
        <f>IF($B366=$B365,$BO365,0)+$BN366</f>
        <v/>
      </c>
      <c r="BP366" s="57">
        <f>$BP365+$BN366</f>
        <v/>
      </c>
      <c r="BQ366" s="67">
        <f>IFERROR(IF(($BH366)&gt;0,($BK366)/($BH366),""),"")</f>
        <v/>
      </c>
      <c r="BR366" s="67">
        <f>IFERROR(IF(($BI366)&gt;0,($BL366)/($BI366),""),"")</f>
        <v/>
      </c>
      <c r="BS366" s="67">
        <f>IFERROR(IF(($BJ366)&gt;0,($BM366)/($BJ366),""),"")</f>
        <v/>
      </c>
      <c r="BT366" s="67">
        <f>IFERROR(IF(($BK366)&gt;0,($BN366)/($BK366),""),"")</f>
        <v/>
      </c>
      <c r="BU366" s="67">
        <f>IFERROR(IF(($BL366)&gt;0,($BO366)/($BL366),""),"")</f>
        <v/>
      </c>
      <c r="BV366" s="67">
        <f>IFERROR(IF(($BM366)&gt;0,($BP366)/($BM366),""),"")</f>
        <v/>
      </c>
      <c r="BW366" s="55">
        <f>SUMIFS(tblPlant[Crushed_t],tblPlant[Date],$A366)</f>
        <v/>
      </c>
      <c r="BX366" s="55">
        <f>IF($B366=$B365,$BX365,0)+$BW366</f>
        <v/>
      </c>
      <c r="BY366" s="55">
        <f>$BY365+$BW366</f>
        <v/>
      </c>
      <c r="BZ366" s="55">
        <f>SUMIFS(tblPlant[Milled_t],tblPlant[Date],$A366)</f>
        <v/>
      </c>
      <c r="CA366" s="55">
        <f>IF($B366=$B365,$CA365,0)+$BZ366</f>
        <v/>
      </c>
      <c r="CB366" s="55">
        <f>$CB365+$BZ366</f>
        <v/>
      </c>
      <c r="CC366" s="55">
        <f>SUMIFS(tblPlant[Feed_oz],tblPlant[Date],$A366)</f>
        <v/>
      </c>
      <c r="CD366" s="55">
        <f>IF($B366=$B365,$CD365,0)+$CC366</f>
        <v/>
      </c>
      <c r="CE366" s="55">
        <f>$CE365+$CC366</f>
        <v/>
      </c>
      <c r="CF366" s="55">
        <f>SUMIFS(tblPlant[Tails_oz],tblPlant[Date],$A366)</f>
        <v/>
      </c>
      <c r="CG366" s="55">
        <f>IF($B366=$B365,$CG365,0)+$CF366</f>
        <v/>
      </c>
      <c r="CH366" s="55">
        <f>$CH365+$CF366</f>
        <v/>
      </c>
      <c r="CI366" s="55">
        <f>SUMIFS(tblPlant[Recovered_oz],tblPlant[Date],$A366)</f>
        <v/>
      </c>
      <c r="CJ366" s="55">
        <f>IF($B366=$B365,$CJ365,0)+$CI366</f>
        <v/>
      </c>
      <c r="CK366" s="55">
        <f>$CK365+$CI366</f>
        <v/>
      </c>
      <c r="CL366" s="56">
        <f>IFERROR(IF(($BZ366)&gt;0,($CC366*cfg_TroyOz)/($BZ366),""),"")</f>
        <v/>
      </c>
      <c r="CM366" s="56">
        <f>IFERROR(IF(($CA366)&gt;0,($CD366*cfg_TroyOz)/($CA366),""),"")</f>
        <v/>
      </c>
      <c r="CN366" s="56">
        <f>IFERROR(IF(($CB366)&gt;0,($CE366*cfg_TroyOz)/($CB366),""),"")</f>
        <v/>
      </c>
      <c r="CO366" s="56">
        <f>IFERROR(IF(($BZ366)&gt;0,($CF366*cfg_TroyOz)/($BZ366),""),"")</f>
        <v/>
      </c>
      <c r="CP366" s="56">
        <f>IFERROR(IF(($CA366)&gt;0,($CG366*cfg_TroyOz)/($CA366),""),"")</f>
        <v/>
      </c>
      <c r="CQ366" s="56">
        <f>IFERROR(IF(($CB366)&gt;0,($CH366*cfg_TroyOz)/($CB366),""),"")</f>
        <v/>
      </c>
      <c r="CR366" s="67">
        <f>IFERROR(IF(($CC366)&gt;0,($CI366)/($CC366),""),"")</f>
        <v/>
      </c>
      <c r="CS366" s="67">
        <f>IFERROR(IF(($CD366)&gt;0,($CJ366)/($CD366),""),"")</f>
        <v/>
      </c>
      <c r="CT366" s="67">
        <f>IFERROR(IF(($CE366)&gt;0,($CK366)/($CE366),""),"")</f>
        <v/>
      </c>
      <c r="CU366" s="55">
        <f>SUMIFS(tblPlant[Gravity_Gold_oz],tblPlant[Date],$A366)</f>
        <v/>
      </c>
      <c r="CV366" s="55">
        <f>IF($B366=$B365,$CV365,0)+$CU366</f>
        <v/>
      </c>
      <c r="CW366" s="55">
        <f>$CW365+$CU366</f>
        <v/>
      </c>
      <c r="CX366" s="55">
        <f>SUMIFS(tblPlant[Gold_Poured_oz],tblPlant[Date],$A366)</f>
        <v/>
      </c>
      <c r="CY366" s="55">
        <f>IF($B366=$B365,$CY365,0)+$CX366</f>
        <v/>
      </c>
      <c r="CZ366" s="55">
        <f>$CZ365+$CX366</f>
        <v/>
      </c>
      <c r="DA366" s="57">
        <f>SUMIFS(tblPlant[Mill_Run_h],tblPlant[Date],$A366)</f>
        <v/>
      </c>
      <c r="DB366" s="57">
        <f>IF($B366=$B365,$DB365,0)+$DA366</f>
        <v/>
      </c>
      <c r="DC366" s="57">
        <f>$DC365+$DA366</f>
        <v/>
      </c>
      <c r="DD366" s="57">
        <f>SUMIFS(tblPlant[Mill_Planned_Maint_h],tblPlant[Date],$A366)</f>
        <v/>
      </c>
      <c r="DE366" s="57">
        <f>IF($B366=$B365,$DE365,0)+$DD366</f>
        <v/>
      </c>
      <c r="DF366" s="57">
        <f>$DF365+$DD366</f>
        <v/>
      </c>
      <c r="DG366" s="57">
        <f>SUMIFS(tblPlant[Mill_Unplanned_Down_h],tblPlant[Date],$A366)</f>
        <v/>
      </c>
      <c r="DH366" s="57">
        <f>IF($B366=$B365,$DH365,0)+$DG366</f>
        <v/>
      </c>
      <c r="DI366" s="57">
        <f>$DI365+$DG366</f>
        <v/>
      </c>
      <c r="DJ366" s="57">
        <f>COUNTIFS(tblPlant[Date],$A366,tblPlant[Mill_Run_h],"&lt;&gt;")*24</f>
        <v/>
      </c>
      <c r="DK366" s="57">
        <f>IF($B366=$B365,$DK365,0)+$DJ366</f>
        <v/>
      </c>
      <c r="DL366" s="57">
        <f>$DL365+$DJ366</f>
        <v/>
      </c>
      <c r="DM366" s="57">
        <f>SUMIFS(tblPlant[Crusher_Run_h],tblPlant[Date],$A366)</f>
        <v/>
      </c>
      <c r="DN366" s="57">
        <f>IF($B366=$B365,$DN365,0)+$DM366</f>
        <v/>
      </c>
      <c r="DO366" s="57">
        <f>$DO365+$DM366</f>
        <v/>
      </c>
      <c r="DP366" s="55">
        <f>IFERROR(IF(($DA366)&gt;0,($BZ366)/($DA366),""),"")</f>
        <v/>
      </c>
      <c r="DQ366" s="55">
        <f>IFERROR(IF(($DB366)&gt;0,($CA366)/($DB366),""),"")</f>
        <v/>
      </c>
      <c r="DR366" s="55">
        <f>IFERROR(IF(($DC366)&gt;0,($CB366)/($DC366),""),"")</f>
        <v/>
      </c>
      <c r="DS366" s="67">
        <f>IFERROR(IF(($DJ366)&gt;0,($DJ366-$DD366-$DG366)/($DJ366),""),"")</f>
        <v/>
      </c>
      <c r="DT366" s="67">
        <f>IFERROR(IF(($DK366)&gt;0,($DK366-$DE366-$DH366)/($DK366),""),"")</f>
        <v/>
      </c>
      <c r="DU366" s="67">
        <f>IFERROR(IF(($DL366)&gt;0,($DL366-$DF366-$DI366)/($DL366),""),"")</f>
        <v/>
      </c>
      <c r="DV366" s="67">
        <f>IFERROR(IF(($DJ366-$DD366-$DG366)&gt;0,($DA366)/($DJ366-$DD366-$DG366),""),"")</f>
        <v/>
      </c>
      <c r="DW366" s="67">
        <f>IFERROR(IF(($DK366-$DE366-$DH366)&gt;0,($DB366)/($DK366-$DE366-$DH366),""),"")</f>
        <v/>
      </c>
      <c r="DX366" s="67">
        <f>IFERROR(IF(($DL366-$DF366-$DI366)&gt;0,($DC366)/($DL366-$DF366-$DI366),""),"")</f>
        <v/>
      </c>
      <c r="DY366" s="55">
        <f>SUMIFS(tblPlant[Cyanide_kg],tblPlant[Date],$A366)</f>
        <v/>
      </c>
      <c r="DZ366" s="55">
        <f>IF($B366=$B365,$DZ365,0)+$DY366</f>
        <v/>
      </c>
      <c r="EA366" s="55">
        <f>$EA365+$DY366</f>
        <v/>
      </c>
      <c r="EB366" s="55">
        <f>SUMIFS(tblPlant[Lime_kg],tblPlant[Date],$A366)</f>
        <v/>
      </c>
      <c r="EC366" s="55">
        <f>IF($B366=$B365,$EC365,0)+$EB366</f>
        <v/>
      </c>
      <c r="ED366" s="55">
        <f>$ED365+$EB366</f>
        <v/>
      </c>
      <c r="EE366" s="55">
        <f>SUMIFS(tblPlant[Grinding_Media_kg],tblPlant[Date],$A366)</f>
        <v/>
      </c>
      <c r="EF366" s="55">
        <f>IF($B366=$B365,$EF365,0)+$EE366</f>
        <v/>
      </c>
      <c r="EG366" s="55">
        <f>$EG365+$EE366</f>
        <v/>
      </c>
      <c r="EH366" s="55">
        <f>SUMIFS(tblPlant[Power_kWh],tblPlant[Date],$A366)</f>
        <v/>
      </c>
      <c r="EI366" s="55">
        <f>IF($B366=$B365,$EI365,0)+$EH366</f>
        <v/>
      </c>
      <c r="EJ366" s="55">
        <f>$EJ365+$EH366</f>
        <v/>
      </c>
      <c r="EK366" s="55">
        <f>SUMIFS(tblPlant[Raw_Water_m3],tblPlant[Date],$A366)</f>
        <v/>
      </c>
      <c r="EL366" s="55">
        <f>IF($B366=$B365,$EL365,0)+$EK366</f>
        <v/>
      </c>
      <c r="EM366" s="55">
        <f>$EM365+$EK366</f>
        <v/>
      </c>
      <c r="EN366" s="56">
        <f>IFERROR(IF(($BZ366)&gt;0,($DY366)/($BZ366),""),"")</f>
        <v/>
      </c>
      <c r="EO366" s="56">
        <f>IFERROR(IF(($CA366)&gt;0,($DZ366)/($CA366),""),"")</f>
        <v/>
      </c>
      <c r="EP366" s="56">
        <f>IFERROR(IF(($CB366)&gt;0,($EA366)/($CB366),""),"")</f>
        <v/>
      </c>
      <c r="EQ366" s="56">
        <f>IFERROR(IF(($BZ366)&gt;0,($EB366)/($BZ366),""),"")</f>
        <v/>
      </c>
      <c r="ER366" s="56">
        <f>IFERROR(IF(($CA366)&gt;0,($EC366)/($CA366),""),"")</f>
        <v/>
      </c>
      <c r="ES366" s="56">
        <f>IFERROR(IF(($CB366)&gt;0,($ED366)/($CB366),""),"")</f>
        <v/>
      </c>
      <c r="ET366" s="56">
        <f>IFERROR(IF(($BZ366)&gt;0,($EE366)/($BZ366),""),"")</f>
        <v/>
      </c>
      <c r="EU366" s="56">
        <f>IFERROR(IF(($CA366)&gt;0,($EF366)/($CA366),""),"")</f>
        <v/>
      </c>
      <c r="EV366" s="56">
        <f>IFERROR(IF(($CB366)&gt;0,($EG366)/($CB366),""),"")</f>
        <v/>
      </c>
      <c r="EW366" s="76">
        <f>IFERROR(IF(($BZ366)&gt;0,($EH366)/($BZ366),""),"")</f>
        <v/>
      </c>
      <c r="EX366" s="76">
        <f>IFERROR(IF(($CA366)&gt;0,($EI366)/($CA366),""),"")</f>
        <v/>
      </c>
      <c r="EY366" s="76">
        <f>IFERROR(IF(($CB366)&gt;0,($EJ366)/($CB366),""),"")</f>
        <v/>
      </c>
      <c r="EZ366" s="56">
        <f>IFERROR(IF(($BZ366)&gt;0,($EK366)/($BZ366),""),"")</f>
        <v/>
      </c>
      <c r="FA366" s="56">
        <f>IFERROR(IF(($CA366)&gt;0,($EL366)/($CA366),""),"")</f>
        <v/>
      </c>
      <c r="FB366" s="56">
        <f>IFERROR(IF(($CB366)&gt;0,($EM366)/($CB366),""),"")</f>
        <v/>
      </c>
      <c r="FC366" s="55">
        <f>IF(SUMIFS(tblPlant[GIC_oz],tblPlant[Date],$A366)&gt;0,SUMIFS(tblPlant[GIC_oz],tblPlant[Date],$A366),"")</f>
        <v/>
      </c>
      <c r="FD366" s="55">
        <f>SUMIFS(tblGold[Gold_oz],tblGold[Date],$A366,tblGold[Type],"Shipment")</f>
        <v/>
      </c>
      <c r="FE366" s="55">
        <f>IF($B366=$B365,$FE365,0)+$FD366</f>
        <v/>
      </c>
      <c r="FF366" s="55">
        <f>$FF365+$FD366</f>
        <v/>
      </c>
      <c r="FG366" s="55">
        <f>SUMIFS(tblGold[Gold_oz],tblGold[Date],$A366,tblGold[Type],"Sale")</f>
        <v/>
      </c>
      <c r="FH366" s="55">
        <f>IF($B366=$B365,$FH365,0)+$FG366</f>
        <v/>
      </c>
      <c r="FI366" s="55">
        <f>$FI365+$FG366</f>
        <v/>
      </c>
      <c r="FJ366" s="55">
        <f>SUMIFS(tblGold[Dore_kg],tblGold[Date],$A366,tblGold[Type],"Shipment")</f>
        <v/>
      </c>
      <c r="FK366" s="55">
        <f>IF($B366=$B365,$FK365,0)+$FJ366</f>
        <v/>
      </c>
      <c r="FL366" s="55">
        <f>$FL365+$FJ366</f>
        <v/>
      </c>
      <c r="FM366" s="57">
        <f>SUMIFS(tblSafety[Hours_Total],tblSafety[Date],$A366)</f>
        <v/>
      </c>
      <c r="FN366" s="57">
        <f>IF($B366=$B365,$FN365,0)+$FM366</f>
        <v/>
      </c>
      <c r="FO366" s="57">
        <f>$FO365+$FM366</f>
        <v/>
      </c>
      <c r="FP366" s="62">
        <f>SUMIFS(tblSafety[Fatality],tblSafety[Date],$A366)</f>
        <v/>
      </c>
      <c r="FQ366" s="62">
        <f>IF($B366=$B365,$FQ365,0)+$FP366</f>
        <v/>
      </c>
      <c r="FR366" s="62">
        <f>$FR365+$FP366</f>
        <v/>
      </c>
      <c r="FS366" s="62">
        <f>SUMIFS(tblSafety[LTI],tblSafety[Date],$A366)</f>
        <v/>
      </c>
      <c r="FT366" s="62">
        <f>IF($B366=$B365,$FT365,0)+$FS366</f>
        <v/>
      </c>
      <c r="FU366" s="62">
        <f>$FU365+$FS366</f>
        <v/>
      </c>
      <c r="FV366" s="62">
        <f>SUMIFS(tblSafety[RWI],tblSafety[Date],$A366)</f>
        <v/>
      </c>
      <c r="FW366" s="62">
        <f>IF($B366=$B365,$FW365,0)+$FV366</f>
        <v/>
      </c>
      <c r="FX366" s="62">
        <f>$FX365+$FV366</f>
        <v/>
      </c>
      <c r="FY366" s="62">
        <f>SUMIFS(tblSafety[MTI],tblSafety[Date],$A366)</f>
        <v/>
      </c>
      <c r="FZ366" s="62">
        <f>IF($B366=$B365,$FZ365,0)+$FY366</f>
        <v/>
      </c>
      <c r="GA366" s="62">
        <f>$GA365+$FY366</f>
        <v/>
      </c>
      <c r="GB366" s="62">
        <f>SUMIFS(tblSafety[FAI],tblSafety[Date],$A366)</f>
        <v/>
      </c>
      <c r="GC366" s="62">
        <f>IF($B366=$B365,$GC365,0)+$GB366</f>
        <v/>
      </c>
      <c r="GD366" s="62">
        <f>$GD365+$GB366</f>
        <v/>
      </c>
      <c r="GE366" s="62">
        <f>SUMIFS(tblSafety[Recordables],tblSafety[Date],$A366)</f>
        <v/>
      </c>
      <c r="GF366" s="62">
        <f>IF($B366=$B365,$GF365,0)+$GE366</f>
        <v/>
      </c>
      <c r="GG366" s="62">
        <f>$GG365+$GE366</f>
        <v/>
      </c>
      <c r="GH366" s="62">
        <f>SUMIFS(tblSafety[Near_Miss],tblSafety[Date],$A366)</f>
        <v/>
      </c>
      <c r="GI366" s="62">
        <f>IF($B366=$B365,$GI365,0)+$GH366</f>
        <v/>
      </c>
      <c r="GJ366" s="62">
        <f>$GJ365+$GH366</f>
        <v/>
      </c>
      <c r="GK366" s="62">
        <f>SUMIFS(tblSafety[Hazard_Reports],tblSafety[Date],$A366)</f>
        <v/>
      </c>
      <c r="GL366" s="62">
        <f>IF($B366=$B365,$GL365,0)+$GK366</f>
        <v/>
      </c>
      <c r="GM366" s="62">
        <f>$GM365+$GK366</f>
        <v/>
      </c>
      <c r="GN366" s="62">
        <f>SUMIFS(tblSafety[HPI],tblSafety[Date],$A366)</f>
        <v/>
      </c>
      <c r="GO366" s="62">
        <f>IF($B366=$B365,$GO365,0)+$GN366</f>
        <v/>
      </c>
      <c r="GP366" s="62">
        <f>$GP365+$GN366</f>
        <v/>
      </c>
      <c r="GQ366" s="62">
        <f>SUMIFS(tblSafety[Env_Incidents],tblSafety[Date],$A366)</f>
        <v/>
      </c>
      <c r="GR366" s="62">
        <f>IF($B366=$B365,$GR365,0)+$GQ366</f>
        <v/>
      </c>
      <c r="GS366" s="62">
        <f>$GS365+$GQ366</f>
        <v/>
      </c>
      <c r="GT366" s="62">
        <f>SUMIFS(tblSafety[Community_Incidents],tblSafety[Date],$A366)</f>
        <v/>
      </c>
      <c r="GU366" s="62">
        <f>IF($B366=$B365,$GU365,0)+$GT366</f>
        <v/>
      </c>
      <c r="GV366" s="62">
        <f>$GV365+$GT366</f>
        <v/>
      </c>
      <c r="GW366" s="62">
        <f>SUMIFS(tblSafety[Vehicle_Incidents],tblSafety[Date],$A366)</f>
        <v/>
      </c>
      <c r="GX366" s="62">
        <f>IF($B366=$B365,$GX365,0)+$GW366</f>
        <v/>
      </c>
      <c r="GY366" s="62">
        <f>$GY365+$GW366</f>
        <v/>
      </c>
      <c r="GZ366" s="62">
        <f>SUMIFS(tblSafety[Toolbox_Talks],tblSafety[Date],$A366)</f>
        <v/>
      </c>
      <c r="HA366" s="62">
        <f>IF($B366=$B365,$HA365,0)+$GZ366</f>
        <v/>
      </c>
      <c r="HB366" s="62">
        <f>$HB365+$GZ366</f>
        <v/>
      </c>
      <c r="HC366" s="62">
        <f>SUMIFS(tblSafety[Inspections],tblSafety[Date],$A366)</f>
        <v/>
      </c>
      <c r="HD366" s="62">
        <f>IF($B366=$B365,$HD365,0)+$HC366</f>
        <v/>
      </c>
      <c r="HE366" s="62">
        <f>$HE365+$HC366</f>
        <v/>
      </c>
      <c r="HF366" s="56">
        <f>IFERROR((SUMIFS(tblSafety[Recordables],tblSafety[Date],"&gt;="&amp;EDATE($E366,-12),tblSafety[Date],"&lt;="&amp;$A366)+SUMIFS(tblSafetyHistory[Recordables],tblSafetyHistory[Month],"&gt;="&amp;EDATE($E366,-12),tblSafetyHistory[Month],"&lt;"&amp;cfg_YearStart))/(SUMIFS(tblSafety[Hours_Total],tblSafety[Date],"&gt;="&amp;EDATE($E366,-12),tblSafety[Date],"&lt;="&amp;$A366)+SUMIFS(tblSafetyHistory[Hours_Total],tblSafetyHistory[Month],"&gt;="&amp;EDATE($E366,-12),tblSafetyHistory[Month],"&lt;"&amp;cfg_YearStart))*1000000,"")</f>
        <v/>
      </c>
      <c r="HG366" s="56">
        <f>IFERROR((SUMIFS(tblSafety[LTI],tblSafety[Date],"&gt;="&amp;EDATE($E366,-12),tblSafety[Date],"&lt;="&amp;$A366)+SUMIFS(tblSafetyHistory[LTI],tblSafetyHistory[Month],"&gt;="&amp;EDATE($E366,-12),tblSafetyHistory[Month],"&lt;"&amp;cfg_YearStart))/(SUMIFS(tblSafety[Hours_Total],tblSafety[Date],"&gt;="&amp;EDATE($E366,-12),tblSafety[Date],"&lt;="&amp;$A366)+SUMIFS(tblSafetyHistory[Hours_Total],tblSafetyHistory[Month],"&gt;="&amp;EDATE($E366,-12),tblSafetyHistory[Month],"&lt;"&amp;cfg_YearStart))*1000000,"")</f>
        <v/>
      </c>
      <c r="HH366" s="62">
        <f>IF(MAX(N(cfg_PriorLTIDate),_xlfn.MAXIFS(tblSafety[Date],tblSafety[LTI],"&gt;0",tblSafety[Date],"&lt;="&amp;$A366))=0,"",$A366-MAX(N(cfg_PriorLTIDate),_xlfn.MAXIFS(tblSafety[Date],tblSafety[LTI],"&gt;0",tblSafety[Date],"&lt;="&amp;$A366)))</f>
        <v/>
      </c>
      <c r="HI366" s="55">
        <f>SUMIFS(tblBudget[Ore_Mined_t],tblBudget[Month],$E366)</f>
        <v/>
      </c>
      <c r="HJ366" s="55">
        <f>$HI366*$C366/$D366</f>
        <v/>
      </c>
      <c r="HK366" s="55">
        <f>SUMIFS(tblBudget[Ore_Mined_t],tblBudget[Month],"&lt;"&amp;$E366)+$HJ366</f>
        <v/>
      </c>
      <c r="HL366" s="55">
        <f>SUMIFS(tblBudget[Ore_oz],tblBudget[Month],$E366)</f>
        <v/>
      </c>
      <c r="HM366" s="55">
        <f>$HL366*$C366/$D366</f>
        <v/>
      </c>
      <c r="HN366" s="55">
        <f>SUMIFS(tblBudget[Ore_oz],tblBudget[Month],"&lt;"&amp;$E366)+$HM366</f>
        <v/>
      </c>
      <c r="HO366" s="56">
        <f>IFERROR(IF(($HI366)&gt;0,($HL366*cfg_TroyOz)/($HI366),""),"")</f>
        <v/>
      </c>
      <c r="HP366" s="56">
        <f>IFERROR(IF(($HJ366)&gt;0,($HM366*cfg_TroyOz)/($HJ366),""),"")</f>
        <v/>
      </c>
      <c r="HQ366" s="56">
        <f>IFERROR(IF(($HK366)&gt;0,($HN366*cfg_TroyOz)/($HK366),""),"")</f>
        <v/>
      </c>
      <c r="HR366" s="55">
        <f>SUMIFS(tblBudget[Waste_t],tblBudget[Month],$E366)</f>
        <v/>
      </c>
      <c r="HS366" s="55">
        <f>$HR366*$C366/$D366</f>
        <v/>
      </c>
      <c r="HT366" s="55">
        <f>SUMIFS(tblBudget[Waste_t],tblBudget[Month],"&lt;"&amp;$E366)+$HS366</f>
        <v/>
      </c>
      <c r="HU366" s="55">
        <f>SUMIFS(tblBudget[TMM_t],tblBudget[Month],$E366)</f>
        <v/>
      </c>
      <c r="HV366" s="55">
        <f>$HU366*$C366/$D366</f>
        <v/>
      </c>
      <c r="HW366" s="55">
        <f>SUMIFS(tblBudget[TMM_t],tblBudget[Month],"&lt;"&amp;$E366)+$HV366</f>
        <v/>
      </c>
      <c r="HX366" s="56">
        <f>IFERROR(IF(($HI366)&gt;0,($HR366)/($HI366),""),"")</f>
        <v/>
      </c>
      <c r="HY366" s="56">
        <f>IFERROR(IF(($HJ366)&gt;0,($HS366)/($HJ366),""),"")</f>
        <v/>
      </c>
      <c r="HZ366" s="56">
        <f>IFERROR(IF(($HK366)&gt;0,($HT366)/($HK366),""),"")</f>
        <v/>
      </c>
      <c r="IA366" s="55">
        <f>SUMIFS(tblBudget[Drill_m],tblBudget[Month],$E366)</f>
        <v/>
      </c>
      <c r="IB366" s="55">
        <f>$IA366*$C366/$D366</f>
        <v/>
      </c>
      <c r="IC366" s="55">
        <f>SUMIFS(tblBudget[Drill_m],tblBudget[Month],"&lt;"&amp;$E366)+$IB366</f>
        <v/>
      </c>
      <c r="ID366" s="55">
        <f>SUMIFS(tblBudget[Diesel_L],tblBudget[Month],$E366)</f>
        <v/>
      </c>
      <c r="IE366" s="55">
        <f>$ID366*$C366/$D366</f>
        <v/>
      </c>
      <c r="IF366" s="55">
        <f>SUMIFS(tblBudget[Diesel_L],tblBudget[Month],"&lt;"&amp;$E366)+$IE366</f>
        <v/>
      </c>
      <c r="IG366" s="55">
        <f>SUMIFS(tblBudget[Milled_t],tblBudget[Month],$E366)</f>
        <v/>
      </c>
      <c r="IH366" s="55">
        <f>$IG366*$C366/$D366</f>
        <v/>
      </c>
      <c r="II366" s="55">
        <f>SUMIFS(tblBudget[Milled_t],tblBudget[Month],"&lt;"&amp;$E366)+$IH366</f>
        <v/>
      </c>
      <c r="IJ366" s="55">
        <f>SUMIFS(tblBudget[Feed_oz],tblBudget[Month],$E366)</f>
        <v/>
      </c>
      <c r="IK366" s="55">
        <f>$IJ366*$C366/$D366</f>
        <v/>
      </c>
      <c r="IL366" s="55">
        <f>SUMIFS(tblBudget[Feed_oz],tblBudget[Month],"&lt;"&amp;$E366)+$IK366</f>
        <v/>
      </c>
      <c r="IM366" s="55">
        <f>SUMIFS(tblBudget[Recovered_oz],tblBudget[Month],$E366)</f>
        <v/>
      </c>
      <c r="IN366" s="55">
        <f>$IM366*$C366/$D366</f>
        <v/>
      </c>
      <c r="IO366" s="55">
        <f>SUMIFS(tblBudget[Recovered_oz],tblBudget[Month],"&lt;"&amp;$E366)+$IN366</f>
        <v/>
      </c>
      <c r="IP366" s="56">
        <f>IFERROR(IF(($IG366)&gt;0,($IJ366*cfg_TroyOz)/($IG366),""),"")</f>
        <v/>
      </c>
      <c r="IQ366" s="56">
        <f>IFERROR(IF(($IH366)&gt;0,($IK366*cfg_TroyOz)/($IH366),""),"")</f>
        <v/>
      </c>
      <c r="IR366" s="56">
        <f>IFERROR(IF(($II366)&gt;0,($IL366*cfg_TroyOz)/($II366),""),"")</f>
        <v/>
      </c>
      <c r="IS366" s="67">
        <f>IFERROR(IF(($IJ366)&gt;0,($IM366)/($IJ366),""),"")</f>
        <v/>
      </c>
      <c r="IT366" s="67">
        <f>IFERROR(IF(($IK366)&gt;0,($IN366)/($IK366),""),"")</f>
        <v/>
      </c>
      <c r="IU366" s="67">
        <f>IFERROR(IF(($IL366)&gt;0,($IO366)/($IL366),""),"")</f>
        <v/>
      </c>
      <c r="IV366" s="55">
        <f>SUMIFS(tblBudget[Gold_Poured_oz],tblBudget[Month],$E366)</f>
        <v/>
      </c>
      <c r="IW366" s="55">
        <f>$IV366*$C366/$D366</f>
        <v/>
      </c>
      <c r="IX366" s="55">
        <f>SUMIFS(tblBudget[Gold_Poured_oz],tblBudget[Month],"&lt;"&amp;$E366)+$IW366</f>
        <v/>
      </c>
      <c r="IY366" s="57">
        <f>SUMIFS(tblBudget[Hours_Worked],tblBudget[Month],$E366)</f>
        <v/>
      </c>
      <c r="IZ366" s="57">
        <f>$IY366*$C366/$D366</f>
        <v/>
      </c>
      <c r="JA366" s="57">
        <f>SUMIFS(tblBudget[Hours_Worked],tblBudget[Month],"&lt;"&amp;$E366)+$IZ366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A3A3A"/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7" t="inlineStr">
        <is>
          <t>Date</t>
        </is>
      </c>
      <c r="B1" s="77" t="inlineStr">
        <is>
          <t>Milled_t</t>
        </is>
      </c>
      <c r="C1" s="77" t="inlineStr">
        <is>
          <t>Budget_Milled_daily</t>
        </is>
      </c>
      <c r="D1" s="77" t="inlineStr">
        <is>
          <t>Gold_Poured_YTD</t>
        </is>
      </c>
      <c r="E1" s="77" t="inlineStr">
        <is>
          <t>Budget_Gold_Poured_YTD</t>
        </is>
      </c>
      <c r="F1" s="77" t="inlineStr">
        <is>
          <t>Ore_Mined_t</t>
        </is>
      </c>
      <c r="G1" s="77" t="inlineStr">
        <is>
          <t>Waste_t</t>
        </is>
      </c>
      <c r="H1" s="77" t="inlineStr">
        <is>
          <t>Recovery_MTD</t>
        </is>
      </c>
      <c r="I1" s="77" t="inlineStr">
        <is>
          <t>Head_Grade_MTD</t>
        </is>
      </c>
      <c r="J1" s="77" t="inlineStr">
        <is>
          <t>TRIFR_12m</t>
        </is>
      </c>
      <c r="K1" s="77" t="inlineStr">
        <is>
          <t>Budget_Recovery_MTD</t>
        </is>
      </c>
    </row>
    <row r="2">
      <c r="A2" s="54">
        <f>Calc_Daily!$A2</f>
        <v/>
      </c>
      <c r="B2">
        <f>IF($A2&gt;cfg_LastDataDate,NA(),Calc_Daily!$BZ2)</f>
        <v/>
      </c>
      <c r="C2">
        <f>Calc_Daily!$IG2/Calc_Daily!$D2</f>
        <v/>
      </c>
      <c r="D2">
        <f>IF($A2&gt;cfg_LastDataDate,NA(),Calc_Daily!$CZ2)</f>
        <v/>
      </c>
      <c r="E2">
        <f>Calc_Daily!$IX2</f>
        <v/>
      </c>
      <c r="F2">
        <f>IF($A2&gt;cfg_LastDataDate,NA(),Calc_Daily!$F2)</f>
        <v/>
      </c>
      <c r="G2">
        <f>IF($A2&gt;cfg_LastDataDate,NA(),Calc_Daily!$O2)</f>
        <v/>
      </c>
      <c r="H2">
        <f>IF($A2&gt;cfg_LastDataDate,NA(),Calc_Daily!$CS2)</f>
        <v/>
      </c>
      <c r="I2">
        <f>IF($A2&gt;cfg_LastDataDate,NA(),Calc_Daily!$CM2)</f>
        <v/>
      </c>
      <c r="J2">
        <f>IF($A2&gt;cfg_LastDataDate,NA(),Calc_Daily!$HF2)</f>
        <v/>
      </c>
      <c r="K2">
        <f>Calc_Daily!$IT2</f>
        <v/>
      </c>
    </row>
    <row r="3">
      <c r="A3" s="54">
        <f>Calc_Daily!$A3</f>
        <v/>
      </c>
      <c r="B3">
        <f>IF($A3&gt;cfg_LastDataDate,NA(),Calc_Daily!$BZ3)</f>
        <v/>
      </c>
      <c r="C3">
        <f>Calc_Daily!$IG3/Calc_Daily!$D3</f>
        <v/>
      </c>
      <c r="D3">
        <f>IF($A3&gt;cfg_LastDataDate,NA(),Calc_Daily!$CZ3)</f>
        <v/>
      </c>
      <c r="E3">
        <f>Calc_Daily!$IX3</f>
        <v/>
      </c>
      <c r="F3">
        <f>IF($A3&gt;cfg_LastDataDate,NA(),Calc_Daily!$F3)</f>
        <v/>
      </c>
      <c r="G3">
        <f>IF($A3&gt;cfg_LastDataDate,NA(),Calc_Daily!$O3)</f>
        <v/>
      </c>
      <c r="H3">
        <f>IF($A3&gt;cfg_LastDataDate,NA(),Calc_Daily!$CS3)</f>
        <v/>
      </c>
      <c r="I3">
        <f>IF($A3&gt;cfg_LastDataDate,NA(),Calc_Daily!$CM3)</f>
        <v/>
      </c>
      <c r="J3">
        <f>IF($A3&gt;cfg_LastDataDate,NA(),Calc_Daily!$HF3)</f>
        <v/>
      </c>
      <c r="K3">
        <f>Calc_Daily!$IT3</f>
        <v/>
      </c>
    </row>
    <row r="4">
      <c r="A4" s="54">
        <f>Calc_Daily!$A4</f>
        <v/>
      </c>
      <c r="B4">
        <f>IF($A4&gt;cfg_LastDataDate,NA(),Calc_Daily!$BZ4)</f>
        <v/>
      </c>
      <c r="C4">
        <f>Calc_Daily!$IG4/Calc_Daily!$D4</f>
        <v/>
      </c>
      <c r="D4">
        <f>IF($A4&gt;cfg_LastDataDate,NA(),Calc_Daily!$CZ4)</f>
        <v/>
      </c>
      <c r="E4">
        <f>Calc_Daily!$IX4</f>
        <v/>
      </c>
      <c r="F4">
        <f>IF($A4&gt;cfg_LastDataDate,NA(),Calc_Daily!$F4)</f>
        <v/>
      </c>
      <c r="G4">
        <f>IF($A4&gt;cfg_LastDataDate,NA(),Calc_Daily!$O4)</f>
        <v/>
      </c>
      <c r="H4">
        <f>IF($A4&gt;cfg_LastDataDate,NA(),Calc_Daily!$CS4)</f>
        <v/>
      </c>
      <c r="I4">
        <f>IF($A4&gt;cfg_LastDataDate,NA(),Calc_Daily!$CM4)</f>
        <v/>
      </c>
      <c r="J4">
        <f>IF($A4&gt;cfg_LastDataDate,NA(),Calc_Daily!$HF4)</f>
        <v/>
      </c>
      <c r="K4">
        <f>Calc_Daily!$IT4</f>
        <v/>
      </c>
    </row>
    <row r="5">
      <c r="A5" s="54">
        <f>Calc_Daily!$A5</f>
        <v/>
      </c>
      <c r="B5">
        <f>IF($A5&gt;cfg_LastDataDate,NA(),Calc_Daily!$BZ5)</f>
        <v/>
      </c>
      <c r="C5">
        <f>Calc_Daily!$IG5/Calc_Daily!$D5</f>
        <v/>
      </c>
      <c r="D5">
        <f>IF($A5&gt;cfg_LastDataDate,NA(),Calc_Daily!$CZ5)</f>
        <v/>
      </c>
      <c r="E5">
        <f>Calc_Daily!$IX5</f>
        <v/>
      </c>
      <c r="F5">
        <f>IF($A5&gt;cfg_LastDataDate,NA(),Calc_Daily!$F5)</f>
        <v/>
      </c>
      <c r="G5">
        <f>IF($A5&gt;cfg_LastDataDate,NA(),Calc_Daily!$O5)</f>
        <v/>
      </c>
      <c r="H5">
        <f>IF($A5&gt;cfg_LastDataDate,NA(),Calc_Daily!$CS5)</f>
        <v/>
      </c>
      <c r="I5">
        <f>IF($A5&gt;cfg_LastDataDate,NA(),Calc_Daily!$CM5)</f>
        <v/>
      </c>
      <c r="J5">
        <f>IF($A5&gt;cfg_LastDataDate,NA(),Calc_Daily!$HF5)</f>
        <v/>
      </c>
      <c r="K5">
        <f>Calc_Daily!$IT5</f>
        <v/>
      </c>
    </row>
    <row r="6">
      <c r="A6" s="54">
        <f>Calc_Daily!$A6</f>
        <v/>
      </c>
      <c r="B6">
        <f>IF($A6&gt;cfg_LastDataDate,NA(),Calc_Daily!$BZ6)</f>
        <v/>
      </c>
      <c r="C6">
        <f>Calc_Daily!$IG6/Calc_Daily!$D6</f>
        <v/>
      </c>
      <c r="D6">
        <f>IF($A6&gt;cfg_LastDataDate,NA(),Calc_Daily!$CZ6)</f>
        <v/>
      </c>
      <c r="E6">
        <f>Calc_Daily!$IX6</f>
        <v/>
      </c>
      <c r="F6">
        <f>IF($A6&gt;cfg_LastDataDate,NA(),Calc_Daily!$F6)</f>
        <v/>
      </c>
      <c r="G6">
        <f>IF($A6&gt;cfg_LastDataDate,NA(),Calc_Daily!$O6)</f>
        <v/>
      </c>
      <c r="H6">
        <f>IF($A6&gt;cfg_LastDataDate,NA(),Calc_Daily!$CS6)</f>
        <v/>
      </c>
      <c r="I6">
        <f>IF($A6&gt;cfg_LastDataDate,NA(),Calc_Daily!$CM6)</f>
        <v/>
      </c>
      <c r="J6">
        <f>IF($A6&gt;cfg_LastDataDate,NA(),Calc_Daily!$HF6)</f>
        <v/>
      </c>
      <c r="K6">
        <f>Calc_Daily!$IT6</f>
        <v/>
      </c>
    </row>
    <row r="7">
      <c r="A7" s="54">
        <f>Calc_Daily!$A7</f>
        <v/>
      </c>
      <c r="B7">
        <f>IF($A7&gt;cfg_LastDataDate,NA(),Calc_Daily!$BZ7)</f>
        <v/>
      </c>
      <c r="C7">
        <f>Calc_Daily!$IG7/Calc_Daily!$D7</f>
        <v/>
      </c>
      <c r="D7">
        <f>IF($A7&gt;cfg_LastDataDate,NA(),Calc_Daily!$CZ7)</f>
        <v/>
      </c>
      <c r="E7">
        <f>Calc_Daily!$IX7</f>
        <v/>
      </c>
      <c r="F7">
        <f>IF($A7&gt;cfg_LastDataDate,NA(),Calc_Daily!$F7)</f>
        <v/>
      </c>
      <c r="G7">
        <f>IF($A7&gt;cfg_LastDataDate,NA(),Calc_Daily!$O7)</f>
        <v/>
      </c>
      <c r="H7">
        <f>IF($A7&gt;cfg_LastDataDate,NA(),Calc_Daily!$CS7)</f>
        <v/>
      </c>
      <c r="I7">
        <f>IF($A7&gt;cfg_LastDataDate,NA(),Calc_Daily!$CM7)</f>
        <v/>
      </c>
      <c r="J7">
        <f>IF($A7&gt;cfg_LastDataDate,NA(),Calc_Daily!$HF7)</f>
        <v/>
      </c>
      <c r="K7">
        <f>Calc_Daily!$IT7</f>
        <v/>
      </c>
    </row>
    <row r="8">
      <c r="A8" s="54">
        <f>Calc_Daily!$A8</f>
        <v/>
      </c>
      <c r="B8">
        <f>IF($A8&gt;cfg_LastDataDate,NA(),Calc_Daily!$BZ8)</f>
        <v/>
      </c>
      <c r="C8">
        <f>Calc_Daily!$IG8/Calc_Daily!$D8</f>
        <v/>
      </c>
      <c r="D8">
        <f>IF($A8&gt;cfg_LastDataDate,NA(),Calc_Daily!$CZ8)</f>
        <v/>
      </c>
      <c r="E8">
        <f>Calc_Daily!$IX8</f>
        <v/>
      </c>
      <c r="F8">
        <f>IF($A8&gt;cfg_LastDataDate,NA(),Calc_Daily!$F8)</f>
        <v/>
      </c>
      <c r="G8">
        <f>IF($A8&gt;cfg_LastDataDate,NA(),Calc_Daily!$O8)</f>
        <v/>
      </c>
      <c r="H8">
        <f>IF($A8&gt;cfg_LastDataDate,NA(),Calc_Daily!$CS8)</f>
        <v/>
      </c>
      <c r="I8">
        <f>IF($A8&gt;cfg_LastDataDate,NA(),Calc_Daily!$CM8)</f>
        <v/>
      </c>
      <c r="J8">
        <f>IF($A8&gt;cfg_LastDataDate,NA(),Calc_Daily!$HF8)</f>
        <v/>
      </c>
      <c r="K8">
        <f>Calc_Daily!$IT8</f>
        <v/>
      </c>
    </row>
    <row r="9">
      <c r="A9" s="54">
        <f>Calc_Daily!$A9</f>
        <v/>
      </c>
      <c r="B9">
        <f>IF($A9&gt;cfg_LastDataDate,NA(),Calc_Daily!$BZ9)</f>
        <v/>
      </c>
      <c r="C9">
        <f>Calc_Daily!$IG9/Calc_Daily!$D9</f>
        <v/>
      </c>
      <c r="D9">
        <f>IF($A9&gt;cfg_LastDataDate,NA(),Calc_Daily!$CZ9)</f>
        <v/>
      </c>
      <c r="E9">
        <f>Calc_Daily!$IX9</f>
        <v/>
      </c>
      <c r="F9">
        <f>IF($A9&gt;cfg_LastDataDate,NA(),Calc_Daily!$F9)</f>
        <v/>
      </c>
      <c r="G9">
        <f>IF($A9&gt;cfg_LastDataDate,NA(),Calc_Daily!$O9)</f>
        <v/>
      </c>
      <c r="H9">
        <f>IF($A9&gt;cfg_LastDataDate,NA(),Calc_Daily!$CS9)</f>
        <v/>
      </c>
      <c r="I9">
        <f>IF($A9&gt;cfg_LastDataDate,NA(),Calc_Daily!$CM9)</f>
        <v/>
      </c>
      <c r="J9">
        <f>IF($A9&gt;cfg_LastDataDate,NA(),Calc_Daily!$HF9)</f>
        <v/>
      </c>
      <c r="K9">
        <f>Calc_Daily!$IT9</f>
        <v/>
      </c>
    </row>
    <row r="10">
      <c r="A10" s="54">
        <f>Calc_Daily!$A10</f>
        <v/>
      </c>
      <c r="B10">
        <f>IF($A10&gt;cfg_LastDataDate,NA(),Calc_Daily!$BZ10)</f>
        <v/>
      </c>
      <c r="C10">
        <f>Calc_Daily!$IG10/Calc_Daily!$D10</f>
        <v/>
      </c>
      <c r="D10">
        <f>IF($A10&gt;cfg_LastDataDate,NA(),Calc_Daily!$CZ10)</f>
        <v/>
      </c>
      <c r="E10">
        <f>Calc_Daily!$IX10</f>
        <v/>
      </c>
      <c r="F10">
        <f>IF($A10&gt;cfg_LastDataDate,NA(),Calc_Daily!$F10)</f>
        <v/>
      </c>
      <c r="G10">
        <f>IF($A10&gt;cfg_LastDataDate,NA(),Calc_Daily!$O10)</f>
        <v/>
      </c>
      <c r="H10">
        <f>IF($A10&gt;cfg_LastDataDate,NA(),Calc_Daily!$CS10)</f>
        <v/>
      </c>
      <c r="I10">
        <f>IF($A10&gt;cfg_LastDataDate,NA(),Calc_Daily!$CM10)</f>
        <v/>
      </c>
      <c r="J10">
        <f>IF($A10&gt;cfg_LastDataDate,NA(),Calc_Daily!$HF10)</f>
        <v/>
      </c>
      <c r="K10">
        <f>Calc_Daily!$IT10</f>
        <v/>
      </c>
    </row>
    <row r="11">
      <c r="A11" s="54">
        <f>Calc_Daily!$A11</f>
        <v/>
      </c>
      <c r="B11">
        <f>IF($A11&gt;cfg_LastDataDate,NA(),Calc_Daily!$BZ11)</f>
        <v/>
      </c>
      <c r="C11">
        <f>Calc_Daily!$IG11/Calc_Daily!$D11</f>
        <v/>
      </c>
      <c r="D11">
        <f>IF($A11&gt;cfg_LastDataDate,NA(),Calc_Daily!$CZ11)</f>
        <v/>
      </c>
      <c r="E11">
        <f>Calc_Daily!$IX11</f>
        <v/>
      </c>
      <c r="F11">
        <f>IF($A11&gt;cfg_LastDataDate,NA(),Calc_Daily!$F11)</f>
        <v/>
      </c>
      <c r="G11">
        <f>IF($A11&gt;cfg_LastDataDate,NA(),Calc_Daily!$O11)</f>
        <v/>
      </c>
      <c r="H11">
        <f>IF($A11&gt;cfg_LastDataDate,NA(),Calc_Daily!$CS11)</f>
        <v/>
      </c>
      <c r="I11">
        <f>IF($A11&gt;cfg_LastDataDate,NA(),Calc_Daily!$CM11)</f>
        <v/>
      </c>
      <c r="J11">
        <f>IF($A11&gt;cfg_LastDataDate,NA(),Calc_Daily!$HF11)</f>
        <v/>
      </c>
      <c r="K11">
        <f>Calc_Daily!$IT11</f>
        <v/>
      </c>
    </row>
    <row r="12">
      <c r="A12" s="54">
        <f>Calc_Daily!$A12</f>
        <v/>
      </c>
      <c r="B12">
        <f>IF($A12&gt;cfg_LastDataDate,NA(),Calc_Daily!$BZ12)</f>
        <v/>
      </c>
      <c r="C12">
        <f>Calc_Daily!$IG12/Calc_Daily!$D12</f>
        <v/>
      </c>
      <c r="D12">
        <f>IF($A12&gt;cfg_LastDataDate,NA(),Calc_Daily!$CZ12)</f>
        <v/>
      </c>
      <c r="E12">
        <f>Calc_Daily!$IX12</f>
        <v/>
      </c>
      <c r="F12">
        <f>IF($A12&gt;cfg_LastDataDate,NA(),Calc_Daily!$F12)</f>
        <v/>
      </c>
      <c r="G12">
        <f>IF($A12&gt;cfg_LastDataDate,NA(),Calc_Daily!$O12)</f>
        <v/>
      </c>
      <c r="H12">
        <f>IF($A12&gt;cfg_LastDataDate,NA(),Calc_Daily!$CS12)</f>
        <v/>
      </c>
      <c r="I12">
        <f>IF($A12&gt;cfg_LastDataDate,NA(),Calc_Daily!$CM12)</f>
        <v/>
      </c>
      <c r="J12">
        <f>IF($A12&gt;cfg_LastDataDate,NA(),Calc_Daily!$HF12)</f>
        <v/>
      </c>
      <c r="K12">
        <f>Calc_Daily!$IT12</f>
        <v/>
      </c>
    </row>
    <row r="13">
      <c r="A13" s="54">
        <f>Calc_Daily!$A13</f>
        <v/>
      </c>
      <c r="B13">
        <f>IF($A13&gt;cfg_LastDataDate,NA(),Calc_Daily!$BZ13)</f>
        <v/>
      </c>
      <c r="C13">
        <f>Calc_Daily!$IG13/Calc_Daily!$D13</f>
        <v/>
      </c>
      <c r="D13">
        <f>IF($A13&gt;cfg_LastDataDate,NA(),Calc_Daily!$CZ13)</f>
        <v/>
      </c>
      <c r="E13">
        <f>Calc_Daily!$IX13</f>
        <v/>
      </c>
      <c r="F13">
        <f>IF($A13&gt;cfg_LastDataDate,NA(),Calc_Daily!$F13)</f>
        <v/>
      </c>
      <c r="G13">
        <f>IF($A13&gt;cfg_LastDataDate,NA(),Calc_Daily!$O13)</f>
        <v/>
      </c>
      <c r="H13">
        <f>IF($A13&gt;cfg_LastDataDate,NA(),Calc_Daily!$CS13)</f>
        <v/>
      </c>
      <c r="I13">
        <f>IF($A13&gt;cfg_LastDataDate,NA(),Calc_Daily!$CM13)</f>
        <v/>
      </c>
      <c r="J13">
        <f>IF($A13&gt;cfg_LastDataDate,NA(),Calc_Daily!$HF13)</f>
        <v/>
      </c>
      <c r="K13">
        <f>Calc_Daily!$IT13</f>
        <v/>
      </c>
    </row>
    <row r="14">
      <c r="A14" s="54">
        <f>Calc_Daily!$A14</f>
        <v/>
      </c>
      <c r="B14">
        <f>IF($A14&gt;cfg_LastDataDate,NA(),Calc_Daily!$BZ14)</f>
        <v/>
      </c>
      <c r="C14">
        <f>Calc_Daily!$IG14/Calc_Daily!$D14</f>
        <v/>
      </c>
      <c r="D14">
        <f>IF($A14&gt;cfg_LastDataDate,NA(),Calc_Daily!$CZ14)</f>
        <v/>
      </c>
      <c r="E14">
        <f>Calc_Daily!$IX14</f>
        <v/>
      </c>
      <c r="F14">
        <f>IF($A14&gt;cfg_LastDataDate,NA(),Calc_Daily!$F14)</f>
        <v/>
      </c>
      <c r="G14">
        <f>IF($A14&gt;cfg_LastDataDate,NA(),Calc_Daily!$O14)</f>
        <v/>
      </c>
      <c r="H14">
        <f>IF($A14&gt;cfg_LastDataDate,NA(),Calc_Daily!$CS14)</f>
        <v/>
      </c>
      <c r="I14">
        <f>IF($A14&gt;cfg_LastDataDate,NA(),Calc_Daily!$CM14)</f>
        <v/>
      </c>
      <c r="J14">
        <f>IF($A14&gt;cfg_LastDataDate,NA(),Calc_Daily!$HF14)</f>
        <v/>
      </c>
      <c r="K14">
        <f>Calc_Daily!$IT14</f>
        <v/>
      </c>
    </row>
    <row r="15">
      <c r="A15" s="54">
        <f>Calc_Daily!$A15</f>
        <v/>
      </c>
      <c r="B15">
        <f>IF($A15&gt;cfg_LastDataDate,NA(),Calc_Daily!$BZ15)</f>
        <v/>
      </c>
      <c r="C15">
        <f>Calc_Daily!$IG15/Calc_Daily!$D15</f>
        <v/>
      </c>
      <c r="D15">
        <f>IF($A15&gt;cfg_LastDataDate,NA(),Calc_Daily!$CZ15)</f>
        <v/>
      </c>
      <c r="E15">
        <f>Calc_Daily!$IX15</f>
        <v/>
      </c>
      <c r="F15">
        <f>IF($A15&gt;cfg_LastDataDate,NA(),Calc_Daily!$F15)</f>
        <v/>
      </c>
      <c r="G15">
        <f>IF($A15&gt;cfg_LastDataDate,NA(),Calc_Daily!$O15)</f>
        <v/>
      </c>
      <c r="H15">
        <f>IF($A15&gt;cfg_LastDataDate,NA(),Calc_Daily!$CS15)</f>
        <v/>
      </c>
      <c r="I15">
        <f>IF($A15&gt;cfg_LastDataDate,NA(),Calc_Daily!$CM15)</f>
        <v/>
      </c>
      <c r="J15">
        <f>IF($A15&gt;cfg_LastDataDate,NA(),Calc_Daily!$HF15)</f>
        <v/>
      </c>
      <c r="K15">
        <f>Calc_Daily!$IT15</f>
        <v/>
      </c>
    </row>
    <row r="16">
      <c r="A16" s="54">
        <f>Calc_Daily!$A16</f>
        <v/>
      </c>
      <c r="B16">
        <f>IF($A16&gt;cfg_LastDataDate,NA(),Calc_Daily!$BZ16)</f>
        <v/>
      </c>
      <c r="C16">
        <f>Calc_Daily!$IG16/Calc_Daily!$D16</f>
        <v/>
      </c>
      <c r="D16">
        <f>IF($A16&gt;cfg_LastDataDate,NA(),Calc_Daily!$CZ16)</f>
        <v/>
      </c>
      <c r="E16">
        <f>Calc_Daily!$IX16</f>
        <v/>
      </c>
      <c r="F16">
        <f>IF($A16&gt;cfg_LastDataDate,NA(),Calc_Daily!$F16)</f>
        <v/>
      </c>
      <c r="G16">
        <f>IF($A16&gt;cfg_LastDataDate,NA(),Calc_Daily!$O16)</f>
        <v/>
      </c>
      <c r="H16">
        <f>IF($A16&gt;cfg_LastDataDate,NA(),Calc_Daily!$CS16)</f>
        <v/>
      </c>
      <c r="I16">
        <f>IF($A16&gt;cfg_LastDataDate,NA(),Calc_Daily!$CM16)</f>
        <v/>
      </c>
      <c r="J16">
        <f>IF($A16&gt;cfg_LastDataDate,NA(),Calc_Daily!$HF16)</f>
        <v/>
      </c>
      <c r="K16">
        <f>Calc_Daily!$IT16</f>
        <v/>
      </c>
    </row>
    <row r="17">
      <c r="A17" s="54">
        <f>Calc_Daily!$A17</f>
        <v/>
      </c>
      <c r="B17">
        <f>IF($A17&gt;cfg_LastDataDate,NA(),Calc_Daily!$BZ17)</f>
        <v/>
      </c>
      <c r="C17">
        <f>Calc_Daily!$IG17/Calc_Daily!$D17</f>
        <v/>
      </c>
      <c r="D17">
        <f>IF($A17&gt;cfg_LastDataDate,NA(),Calc_Daily!$CZ17)</f>
        <v/>
      </c>
      <c r="E17">
        <f>Calc_Daily!$IX17</f>
        <v/>
      </c>
      <c r="F17">
        <f>IF($A17&gt;cfg_LastDataDate,NA(),Calc_Daily!$F17)</f>
        <v/>
      </c>
      <c r="G17">
        <f>IF($A17&gt;cfg_LastDataDate,NA(),Calc_Daily!$O17)</f>
        <v/>
      </c>
      <c r="H17">
        <f>IF($A17&gt;cfg_LastDataDate,NA(),Calc_Daily!$CS17)</f>
        <v/>
      </c>
      <c r="I17">
        <f>IF($A17&gt;cfg_LastDataDate,NA(),Calc_Daily!$CM17)</f>
        <v/>
      </c>
      <c r="J17">
        <f>IF($A17&gt;cfg_LastDataDate,NA(),Calc_Daily!$HF17)</f>
        <v/>
      </c>
      <c r="K17">
        <f>Calc_Daily!$IT17</f>
        <v/>
      </c>
    </row>
    <row r="18">
      <c r="A18" s="54">
        <f>Calc_Daily!$A18</f>
        <v/>
      </c>
      <c r="B18">
        <f>IF($A18&gt;cfg_LastDataDate,NA(),Calc_Daily!$BZ18)</f>
        <v/>
      </c>
      <c r="C18">
        <f>Calc_Daily!$IG18/Calc_Daily!$D18</f>
        <v/>
      </c>
      <c r="D18">
        <f>IF($A18&gt;cfg_LastDataDate,NA(),Calc_Daily!$CZ18)</f>
        <v/>
      </c>
      <c r="E18">
        <f>Calc_Daily!$IX18</f>
        <v/>
      </c>
      <c r="F18">
        <f>IF($A18&gt;cfg_LastDataDate,NA(),Calc_Daily!$F18)</f>
        <v/>
      </c>
      <c r="G18">
        <f>IF($A18&gt;cfg_LastDataDate,NA(),Calc_Daily!$O18)</f>
        <v/>
      </c>
      <c r="H18">
        <f>IF($A18&gt;cfg_LastDataDate,NA(),Calc_Daily!$CS18)</f>
        <v/>
      </c>
      <c r="I18">
        <f>IF($A18&gt;cfg_LastDataDate,NA(),Calc_Daily!$CM18)</f>
        <v/>
      </c>
      <c r="J18">
        <f>IF($A18&gt;cfg_LastDataDate,NA(),Calc_Daily!$HF18)</f>
        <v/>
      </c>
      <c r="K18">
        <f>Calc_Daily!$IT18</f>
        <v/>
      </c>
    </row>
    <row r="19">
      <c r="A19" s="54">
        <f>Calc_Daily!$A19</f>
        <v/>
      </c>
      <c r="B19">
        <f>IF($A19&gt;cfg_LastDataDate,NA(),Calc_Daily!$BZ19)</f>
        <v/>
      </c>
      <c r="C19">
        <f>Calc_Daily!$IG19/Calc_Daily!$D19</f>
        <v/>
      </c>
      <c r="D19">
        <f>IF($A19&gt;cfg_LastDataDate,NA(),Calc_Daily!$CZ19)</f>
        <v/>
      </c>
      <c r="E19">
        <f>Calc_Daily!$IX19</f>
        <v/>
      </c>
      <c r="F19">
        <f>IF($A19&gt;cfg_LastDataDate,NA(),Calc_Daily!$F19)</f>
        <v/>
      </c>
      <c r="G19">
        <f>IF($A19&gt;cfg_LastDataDate,NA(),Calc_Daily!$O19)</f>
        <v/>
      </c>
      <c r="H19">
        <f>IF($A19&gt;cfg_LastDataDate,NA(),Calc_Daily!$CS19)</f>
        <v/>
      </c>
      <c r="I19">
        <f>IF($A19&gt;cfg_LastDataDate,NA(),Calc_Daily!$CM19)</f>
        <v/>
      </c>
      <c r="J19">
        <f>IF($A19&gt;cfg_LastDataDate,NA(),Calc_Daily!$HF19)</f>
        <v/>
      </c>
      <c r="K19">
        <f>Calc_Daily!$IT19</f>
        <v/>
      </c>
    </row>
    <row r="20">
      <c r="A20" s="54">
        <f>Calc_Daily!$A20</f>
        <v/>
      </c>
      <c r="B20">
        <f>IF($A20&gt;cfg_LastDataDate,NA(),Calc_Daily!$BZ20)</f>
        <v/>
      </c>
      <c r="C20">
        <f>Calc_Daily!$IG20/Calc_Daily!$D20</f>
        <v/>
      </c>
      <c r="D20">
        <f>IF($A20&gt;cfg_LastDataDate,NA(),Calc_Daily!$CZ20)</f>
        <v/>
      </c>
      <c r="E20">
        <f>Calc_Daily!$IX20</f>
        <v/>
      </c>
      <c r="F20">
        <f>IF($A20&gt;cfg_LastDataDate,NA(),Calc_Daily!$F20)</f>
        <v/>
      </c>
      <c r="G20">
        <f>IF($A20&gt;cfg_LastDataDate,NA(),Calc_Daily!$O20)</f>
        <v/>
      </c>
      <c r="H20">
        <f>IF($A20&gt;cfg_LastDataDate,NA(),Calc_Daily!$CS20)</f>
        <v/>
      </c>
      <c r="I20">
        <f>IF($A20&gt;cfg_LastDataDate,NA(),Calc_Daily!$CM20)</f>
        <v/>
      </c>
      <c r="J20">
        <f>IF($A20&gt;cfg_LastDataDate,NA(),Calc_Daily!$HF20)</f>
        <v/>
      </c>
      <c r="K20">
        <f>Calc_Daily!$IT20</f>
        <v/>
      </c>
    </row>
    <row r="21">
      <c r="A21" s="54">
        <f>Calc_Daily!$A21</f>
        <v/>
      </c>
      <c r="B21">
        <f>IF($A21&gt;cfg_LastDataDate,NA(),Calc_Daily!$BZ21)</f>
        <v/>
      </c>
      <c r="C21">
        <f>Calc_Daily!$IG21/Calc_Daily!$D21</f>
        <v/>
      </c>
      <c r="D21">
        <f>IF($A21&gt;cfg_LastDataDate,NA(),Calc_Daily!$CZ21)</f>
        <v/>
      </c>
      <c r="E21">
        <f>Calc_Daily!$IX21</f>
        <v/>
      </c>
      <c r="F21">
        <f>IF($A21&gt;cfg_LastDataDate,NA(),Calc_Daily!$F21)</f>
        <v/>
      </c>
      <c r="G21">
        <f>IF($A21&gt;cfg_LastDataDate,NA(),Calc_Daily!$O21)</f>
        <v/>
      </c>
      <c r="H21">
        <f>IF($A21&gt;cfg_LastDataDate,NA(),Calc_Daily!$CS21)</f>
        <v/>
      </c>
      <c r="I21">
        <f>IF($A21&gt;cfg_LastDataDate,NA(),Calc_Daily!$CM21)</f>
        <v/>
      </c>
      <c r="J21">
        <f>IF($A21&gt;cfg_LastDataDate,NA(),Calc_Daily!$HF21)</f>
        <v/>
      </c>
      <c r="K21">
        <f>Calc_Daily!$IT21</f>
        <v/>
      </c>
    </row>
    <row r="22">
      <c r="A22" s="54">
        <f>Calc_Daily!$A22</f>
        <v/>
      </c>
      <c r="B22">
        <f>IF($A22&gt;cfg_LastDataDate,NA(),Calc_Daily!$BZ22)</f>
        <v/>
      </c>
      <c r="C22">
        <f>Calc_Daily!$IG22/Calc_Daily!$D22</f>
        <v/>
      </c>
      <c r="D22">
        <f>IF($A22&gt;cfg_LastDataDate,NA(),Calc_Daily!$CZ22)</f>
        <v/>
      </c>
      <c r="E22">
        <f>Calc_Daily!$IX22</f>
        <v/>
      </c>
      <c r="F22">
        <f>IF($A22&gt;cfg_LastDataDate,NA(),Calc_Daily!$F22)</f>
        <v/>
      </c>
      <c r="G22">
        <f>IF($A22&gt;cfg_LastDataDate,NA(),Calc_Daily!$O22)</f>
        <v/>
      </c>
      <c r="H22">
        <f>IF($A22&gt;cfg_LastDataDate,NA(),Calc_Daily!$CS22)</f>
        <v/>
      </c>
      <c r="I22">
        <f>IF($A22&gt;cfg_LastDataDate,NA(),Calc_Daily!$CM22)</f>
        <v/>
      </c>
      <c r="J22">
        <f>IF($A22&gt;cfg_LastDataDate,NA(),Calc_Daily!$HF22)</f>
        <v/>
      </c>
      <c r="K22">
        <f>Calc_Daily!$IT22</f>
        <v/>
      </c>
    </row>
    <row r="23">
      <c r="A23" s="54">
        <f>Calc_Daily!$A23</f>
        <v/>
      </c>
      <c r="B23">
        <f>IF($A23&gt;cfg_LastDataDate,NA(),Calc_Daily!$BZ23)</f>
        <v/>
      </c>
      <c r="C23">
        <f>Calc_Daily!$IG23/Calc_Daily!$D23</f>
        <v/>
      </c>
      <c r="D23">
        <f>IF($A23&gt;cfg_LastDataDate,NA(),Calc_Daily!$CZ23)</f>
        <v/>
      </c>
      <c r="E23">
        <f>Calc_Daily!$IX23</f>
        <v/>
      </c>
      <c r="F23">
        <f>IF($A23&gt;cfg_LastDataDate,NA(),Calc_Daily!$F23)</f>
        <v/>
      </c>
      <c r="G23">
        <f>IF($A23&gt;cfg_LastDataDate,NA(),Calc_Daily!$O23)</f>
        <v/>
      </c>
      <c r="H23">
        <f>IF($A23&gt;cfg_LastDataDate,NA(),Calc_Daily!$CS23)</f>
        <v/>
      </c>
      <c r="I23">
        <f>IF($A23&gt;cfg_LastDataDate,NA(),Calc_Daily!$CM23)</f>
        <v/>
      </c>
      <c r="J23">
        <f>IF($A23&gt;cfg_LastDataDate,NA(),Calc_Daily!$HF23)</f>
        <v/>
      </c>
      <c r="K23">
        <f>Calc_Daily!$IT23</f>
        <v/>
      </c>
    </row>
    <row r="24">
      <c r="A24" s="54">
        <f>Calc_Daily!$A24</f>
        <v/>
      </c>
      <c r="B24">
        <f>IF($A24&gt;cfg_LastDataDate,NA(),Calc_Daily!$BZ24)</f>
        <v/>
      </c>
      <c r="C24">
        <f>Calc_Daily!$IG24/Calc_Daily!$D24</f>
        <v/>
      </c>
      <c r="D24">
        <f>IF($A24&gt;cfg_LastDataDate,NA(),Calc_Daily!$CZ24)</f>
        <v/>
      </c>
      <c r="E24">
        <f>Calc_Daily!$IX24</f>
        <v/>
      </c>
      <c r="F24">
        <f>IF($A24&gt;cfg_LastDataDate,NA(),Calc_Daily!$F24)</f>
        <v/>
      </c>
      <c r="G24">
        <f>IF($A24&gt;cfg_LastDataDate,NA(),Calc_Daily!$O24)</f>
        <v/>
      </c>
      <c r="H24">
        <f>IF($A24&gt;cfg_LastDataDate,NA(),Calc_Daily!$CS24)</f>
        <v/>
      </c>
      <c r="I24">
        <f>IF($A24&gt;cfg_LastDataDate,NA(),Calc_Daily!$CM24)</f>
        <v/>
      </c>
      <c r="J24">
        <f>IF($A24&gt;cfg_LastDataDate,NA(),Calc_Daily!$HF24)</f>
        <v/>
      </c>
      <c r="K24">
        <f>Calc_Daily!$IT24</f>
        <v/>
      </c>
    </row>
    <row r="25">
      <c r="A25" s="54">
        <f>Calc_Daily!$A25</f>
        <v/>
      </c>
      <c r="B25">
        <f>IF($A25&gt;cfg_LastDataDate,NA(),Calc_Daily!$BZ25)</f>
        <v/>
      </c>
      <c r="C25">
        <f>Calc_Daily!$IG25/Calc_Daily!$D25</f>
        <v/>
      </c>
      <c r="D25">
        <f>IF($A25&gt;cfg_LastDataDate,NA(),Calc_Daily!$CZ25)</f>
        <v/>
      </c>
      <c r="E25">
        <f>Calc_Daily!$IX25</f>
        <v/>
      </c>
      <c r="F25">
        <f>IF($A25&gt;cfg_LastDataDate,NA(),Calc_Daily!$F25)</f>
        <v/>
      </c>
      <c r="G25">
        <f>IF($A25&gt;cfg_LastDataDate,NA(),Calc_Daily!$O25)</f>
        <v/>
      </c>
      <c r="H25">
        <f>IF($A25&gt;cfg_LastDataDate,NA(),Calc_Daily!$CS25)</f>
        <v/>
      </c>
      <c r="I25">
        <f>IF($A25&gt;cfg_LastDataDate,NA(),Calc_Daily!$CM25)</f>
        <v/>
      </c>
      <c r="J25">
        <f>IF($A25&gt;cfg_LastDataDate,NA(),Calc_Daily!$HF25)</f>
        <v/>
      </c>
      <c r="K25">
        <f>Calc_Daily!$IT25</f>
        <v/>
      </c>
    </row>
    <row r="26">
      <c r="A26" s="54">
        <f>Calc_Daily!$A26</f>
        <v/>
      </c>
      <c r="B26">
        <f>IF($A26&gt;cfg_LastDataDate,NA(),Calc_Daily!$BZ26)</f>
        <v/>
      </c>
      <c r="C26">
        <f>Calc_Daily!$IG26/Calc_Daily!$D26</f>
        <v/>
      </c>
      <c r="D26">
        <f>IF($A26&gt;cfg_LastDataDate,NA(),Calc_Daily!$CZ26)</f>
        <v/>
      </c>
      <c r="E26">
        <f>Calc_Daily!$IX26</f>
        <v/>
      </c>
      <c r="F26">
        <f>IF($A26&gt;cfg_LastDataDate,NA(),Calc_Daily!$F26)</f>
        <v/>
      </c>
      <c r="G26">
        <f>IF($A26&gt;cfg_LastDataDate,NA(),Calc_Daily!$O26)</f>
        <v/>
      </c>
      <c r="H26">
        <f>IF($A26&gt;cfg_LastDataDate,NA(),Calc_Daily!$CS26)</f>
        <v/>
      </c>
      <c r="I26">
        <f>IF($A26&gt;cfg_LastDataDate,NA(),Calc_Daily!$CM26)</f>
        <v/>
      </c>
      <c r="J26">
        <f>IF($A26&gt;cfg_LastDataDate,NA(),Calc_Daily!$HF26)</f>
        <v/>
      </c>
      <c r="K26">
        <f>Calc_Daily!$IT26</f>
        <v/>
      </c>
    </row>
    <row r="27">
      <c r="A27" s="54">
        <f>Calc_Daily!$A27</f>
        <v/>
      </c>
      <c r="B27">
        <f>IF($A27&gt;cfg_LastDataDate,NA(),Calc_Daily!$BZ27)</f>
        <v/>
      </c>
      <c r="C27">
        <f>Calc_Daily!$IG27/Calc_Daily!$D27</f>
        <v/>
      </c>
      <c r="D27">
        <f>IF($A27&gt;cfg_LastDataDate,NA(),Calc_Daily!$CZ27)</f>
        <v/>
      </c>
      <c r="E27">
        <f>Calc_Daily!$IX27</f>
        <v/>
      </c>
      <c r="F27">
        <f>IF($A27&gt;cfg_LastDataDate,NA(),Calc_Daily!$F27)</f>
        <v/>
      </c>
      <c r="G27">
        <f>IF($A27&gt;cfg_LastDataDate,NA(),Calc_Daily!$O27)</f>
        <v/>
      </c>
      <c r="H27">
        <f>IF($A27&gt;cfg_LastDataDate,NA(),Calc_Daily!$CS27)</f>
        <v/>
      </c>
      <c r="I27">
        <f>IF($A27&gt;cfg_LastDataDate,NA(),Calc_Daily!$CM27)</f>
        <v/>
      </c>
      <c r="J27">
        <f>IF($A27&gt;cfg_LastDataDate,NA(),Calc_Daily!$HF27)</f>
        <v/>
      </c>
      <c r="K27">
        <f>Calc_Daily!$IT27</f>
        <v/>
      </c>
    </row>
    <row r="28">
      <c r="A28" s="54">
        <f>Calc_Daily!$A28</f>
        <v/>
      </c>
      <c r="B28">
        <f>IF($A28&gt;cfg_LastDataDate,NA(),Calc_Daily!$BZ28)</f>
        <v/>
      </c>
      <c r="C28">
        <f>Calc_Daily!$IG28/Calc_Daily!$D28</f>
        <v/>
      </c>
      <c r="D28">
        <f>IF($A28&gt;cfg_LastDataDate,NA(),Calc_Daily!$CZ28)</f>
        <v/>
      </c>
      <c r="E28">
        <f>Calc_Daily!$IX28</f>
        <v/>
      </c>
      <c r="F28">
        <f>IF($A28&gt;cfg_LastDataDate,NA(),Calc_Daily!$F28)</f>
        <v/>
      </c>
      <c r="G28">
        <f>IF($A28&gt;cfg_LastDataDate,NA(),Calc_Daily!$O28)</f>
        <v/>
      </c>
      <c r="H28">
        <f>IF($A28&gt;cfg_LastDataDate,NA(),Calc_Daily!$CS28)</f>
        <v/>
      </c>
      <c r="I28">
        <f>IF($A28&gt;cfg_LastDataDate,NA(),Calc_Daily!$CM28)</f>
        <v/>
      </c>
      <c r="J28">
        <f>IF($A28&gt;cfg_LastDataDate,NA(),Calc_Daily!$HF28)</f>
        <v/>
      </c>
      <c r="K28">
        <f>Calc_Daily!$IT28</f>
        <v/>
      </c>
    </row>
    <row r="29">
      <c r="A29" s="54">
        <f>Calc_Daily!$A29</f>
        <v/>
      </c>
      <c r="B29">
        <f>IF($A29&gt;cfg_LastDataDate,NA(),Calc_Daily!$BZ29)</f>
        <v/>
      </c>
      <c r="C29">
        <f>Calc_Daily!$IG29/Calc_Daily!$D29</f>
        <v/>
      </c>
      <c r="D29">
        <f>IF($A29&gt;cfg_LastDataDate,NA(),Calc_Daily!$CZ29)</f>
        <v/>
      </c>
      <c r="E29">
        <f>Calc_Daily!$IX29</f>
        <v/>
      </c>
      <c r="F29">
        <f>IF($A29&gt;cfg_LastDataDate,NA(),Calc_Daily!$F29)</f>
        <v/>
      </c>
      <c r="G29">
        <f>IF($A29&gt;cfg_LastDataDate,NA(),Calc_Daily!$O29)</f>
        <v/>
      </c>
      <c r="H29">
        <f>IF($A29&gt;cfg_LastDataDate,NA(),Calc_Daily!$CS29)</f>
        <v/>
      </c>
      <c r="I29">
        <f>IF($A29&gt;cfg_LastDataDate,NA(),Calc_Daily!$CM29)</f>
        <v/>
      </c>
      <c r="J29">
        <f>IF($A29&gt;cfg_LastDataDate,NA(),Calc_Daily!$HF29)</f>
        <v/>
      </c>
      <c r="K29">
        <f>Calc_Daily!$IT29</f>
        <v/>
      </c>
    </row>
    <row r="30">
      <c r="A30" s="54">
        <f>Calc_Daily!$A30</f>
        <v/>
      </c>
      <c r="B30">
        <f>IF($A30&gt;cfg_LastDataDate,NA(),Calc_Daily!$BZ30)</f>
        <v/>
      </c>
      <c r="C30">
        <f>Calc_Daily!$IG30/Calc_Daily!$D30</f>
        <v/>
      </c>
      <c r="D30">
        <f>IF($A30&gt;cfg_LastDataDate,NA(),Calc_Daily!$CZ30)</f>
        <v/>
      </c>
      <c r="E30">
        <f>Calc_Daily!$IX30</f>
        <v/>
      </c>
      <c r="F30">
        <f>IF($A30&gt;cfg_LastDataDate,NA(),Calc_Daily!$F30)</f>
        <v/>
      </c>
      <c r="G30">
        <f>IF($A30&gt;cfg_LastDataDate,NA(),Calc_Daily!$O30)</f>
        <v/>
      </c>
      <c r="H30">
        <f>IF($A30&gt;cfg_LastDataDate,NA(),Calc_Daily!$CS30)</f>
        <v/>
      </c>
      <c r="I30">
        <f>IF($A30&gt;cfg_LastDataDate,NA(),Calc_Daily!$CM30)</f>
        <v/>
      </c>
      <c r="J30">
        <f>IF($A30&gt;cfg_LastDataDate,NA(),Calc_Daily!$HF30)</f>
        <v/>
      </c>
      <c r="K30">
        <f>Calc_Daily!$IT30</f>
        <v/>
      </c>
    </row>
    <row r="31">
      <c r="A31" s="54">
        <f>Calc_Daily!$A31</f>
        <v/>
      </c>
      <c r="B31">
        <f>IF($A31&gt;cfg_LastDataDate,NA(),Calc_Daily!$BZ31)</f>
        <v/>
      </c>
      <c r="C31">
        <f>Calc_Daily!$IG31/Calc_Daily!$D31</f>
        <v/>
      </c>
      <c r="D31">
        <f>IF($A31&gt;cfg_LastDataDate,NA(),Calc_Daily!$CZ31)</f>
        <v/>
      </c>
      <c r="E31">
        <f>Calc_Daily!$IX31</f>
        <v/>
      </c>
      <c r="F31">
        <f>IF($A31&gt;cfg_LastDataDate,NA(),Calc_Daily!$F31)</f>
        <v/>
      </c>
      <c r="G31">
        <f>IF($A31&gt;cfg_LastDataDate,NA(),Calc_Daily!$O31)</f>
        <v/>
      </c>
      <c r="H31">
        <f>IF($A31&gt;cfg_LastDataDate,NA(),Calc_Daily!$CS31)</f>
        <v/>
      </c>
      <c r="I31">
        <f>IF($A31&gt;cfg_LastDataDate,NA(),Calc_Daily!$CM31)</f>
        <v/>
      </c>
      <c r="J31">
        <f>IF($A31&gt;cfg_LastDataDate,NA(),Calc_Daily!$HF31)</f>
        <v/>
      </c>
      <c r="K31">
        <f>Calc_Daily!$IT31</f>
        <v/>
      </c>
    </row>
    <row r="32">
      <c r="A32" s="54">
        <f>Calc_Daily!$A32</f>
        <v/>
      </c>
      <c r="B32">
        <f>IF($A32&gt;cfg_LastDataDate,NA(),Calc_Daily!$BZ32)</f>
        <v/>
      </c>
      <c r="C32">
        <f>Calc_Daily!$IG32/Calc_Daily!$D32</f>
        <v/>
      </c>
      <c r="D32">
        <f>IF($A32&gt;cfg_LastDataDate,NA(),Calc_Daily!$CZ32)</f>
        <v/>
      </c>
      <c r="E32">
        <f>Calc_Daily!$IX32</f>
        <v/>
      </c>
      <c r="F32">
        <f>IF($A32&gt;cfg_LastDataDate,NA(),Calc_Daily!$F32)</f>
        <v/>
      </c>
      <c r="G32">
        <f>IF($A32&gt;cfg_LastDataDate,NA(),Calc_Daily!$O32)</f>
        <v/>
      </c>
      <c r="H32">
        <f>IF($A32&gt;cfg_LastDataDate,NA(),Calc_Daily!$CS32)</f>
        <v/>
      </c>
      <c r="I32">
        <f>IF($A32&gt;cfg_LastDataDate,NA(),Calc_Daily!$CM32)</f>
        <v/>
      </c>
      <c r="J32">
        <f>IF($A32&gt;cfg_LastDataDate,NA(),Calc_Daily!$HF32)</f>
        <v/>
      </c>
      <c r="K32">
        <f>Calc_Daily!$IT32</f>
        <v/>
      </c>
    </row>
    <row r="33">
      <c r="A33" s="54">
        <f>Calc_Daily!$A33</f>
        <v/>
      </c>
      <c r="B33">
        <f>IF($A33&gt;cfg_LastDataDate,NA(),Calc_Daily!$BZ33)</f>
        <v/>
      </c>
      <c r="C33">
        <f>Calc_Daily!$IG33/Calc_Daily!$D33</f>
        <v/>
      </c>
      <c r="D33">
        <f>IF($A33&gt;cfg_LastDataDate,NA(),Calc_Daily!$CZ33)</f>
        <v/>
      </c>
      <c r="E33">
        <f>Calc_Daily!$IX33</f>
        <v/>
      </c>
      <c r="F33">
        <f>IF($A33&gt;cfg_LastDataDate,NA(),Calc_Daily!$F33)</f>
        <v/>
      </c>
      <c r="G33">
        <f>IF($A33&gt;cfg_LastDataDate,NA(),Calc_Daily!$O33)</f>
        <v/>
      </c>
      <c r="H33">
        <f>IF($A33&gt;cfg_LastDataDate,NA(),Calc_Daily!$CS33)</f>
        <v/>
      </c>
      <c r="I33">
        <f>IF($A33&gt;cfg_LastDataDate,NA(),Calc_Daily!$CM33)</f>
        <v/>
      </c>
      <c r="J33">
        <f>IF($A33&gt;cfg_LastDataDate,NA(),Calc_Daily!$HF33)</f>
        <v/>
      </c>
      <c r="K33">
        <f>Calc_Daily!$IT33</f>
        <v/>
      </c>
    </row>
    <row r="34">
      <c r="A34" s="54">
        <f>Calc_Daily!$A34</f>
        <v/>
      </c>
      <c r="B34">
        <f>IF($A34&gt;cfg_LastDataDate,NA(),Calc_Daily!$BZ34)</f>
        <v/>
      </c>
      <c r="C34">
        <f>Calc_Daily!$IG34/Calc_Daily!$D34</f>
        <v/>
      </c>
      <c r="D34">
        <f>IF($A34&gt;cfg_LastDataDate,NA(),Calc_Daily!$CZ34)</f>
        <v/>
      </c>
      <c r="E34">
        <f>Calc_Daily!$IX34</f>
        <v/>
      </c>
      <c r="F34">
        <f>IF($A34&gt;cfg_LastDataDate,NA(),Calc_Daily!$F34)</f>
        <v/>
      </c>
      <c r="G34">
        <f>IF($A34&gt;cfg_LastDataDate,NA(),Calc_Daily!$O34)</f>
        <v/>
      </c>
      <c r="H34">
        <f>IF($A34&gt;cfg_LastDataDate,NA(),Calc_Daily!$CS34)</f>
        <v/>
      </c>
      <c r="I34">
        <f>IF($A34&gt;cfg_LastDataDate,NA(),Calc_Daily!$CM34)</f>
        <v/>
      </c>
      <c r="J34">
        <f>IF($A34&gt;cfg_LastDataDate,NA(),Calc_Daily!$HF34)</f>
        <v/>
      </c>
      <c r="K34">
        <f>Calc_Daily!$IT34</f>
        <v/>
      </c>
    </row>
    <row r="35">
      <c r="A35" s="54">
        <f>Calc_Daily!$A35</f>
        <v/>
      </c>
      <c r="B35">
        <f>IF($A35&gt;cfg_LastDataDate,NA(),Calc_Daily!$BZ35)</f>
        <v/>
      </c>
      <c r="C35">
        <f>Calc_Daily!$IG35/Calc_Daily!$D35</f>
        <v/>
      </c>
      <c r="D35">
        <f>IF($A35&gt;cfg_LastDataDate,NA(),Calc_Daily!$CZ35)</f>
        <v/>
      </c>
      <c r="E35">
        <f>Calc_Daily!$IX35</f>
        <v/>
      </c>
      <c r="F35">
        <f>IF($A35&gt;cfg_LastDataDate,NA(),Calc_Daily!$F35)</f>
        <v/>
      </c>
      <c r="G35">
        <f>IF($A35&gt;cfg_LastDataDate,NA(),Calc_Daily!$O35)</f>
        <v/>
      </c>
      <c r="H35">
        <f>IF($A35&gt;cfg_LastDataDate,NA(),Calc_Daily!$CS35)</f>
        <v/>
      </c>
      <c r="I35">
        <f>IF($A35&gt;cfg_LastDataDate,NA(),Calc_Daily!$CM35)</f>
        <v/>
      </c>
      <c r="J35">
        <f>IF($A35&gt;cfg_LastDataDate,NA(),Calc_Daily!$HF35)</f>
        <v/>
      </c>
      <c r="K35">
        <f>Calc_Daily!$IT35</f>
        <v/>
      </c>
    </row>
    <row r="36">
      <c r="A36" s="54">
        <f>Calc_Daily!$A36</f>
        <v/>
      </c>
      <c r="B36">
        <f>IF($A36&gt;cfg_LastDataDate,NA(),Calc_Daily!$BZ36)</f>
        <v/>
      </c>
      <c r="C36">
        <f>Calc_Daily!$IG36/Calc_Daily!$D36</f>
        <v/>
      </c>
      <c r="D36">
        <f>IF($A36&gt;cfg_LastDataDate,NA(),Calc_Daily!$CZ36)</f>
        <v/>
      </c>
      <c r="E36">
        <f>Calc_Daily!$IX36</f>
        <v/>
      </c>
      <c r="F36">
        <f>IF($A36&gt;cfg_LastDataDate,NA(),Calc_Daily!$F36)</f>
        <v/>
      </c>
      <c r="G36">
        <f>IF($A36&gt;cfg_LastDataDate,NA(),Calc_Daily!$O36)</f>
        <v/>
      </c>
      <c r="H36">
        <f>IF($A36&gt;cfg_LastDataDate,NA(),Calc_Daily!$CS36)</f>
        <v/>
      </c>
      <c r="I36">
        <f>IF($A36&gt;cfg_LastDataDate,NA(),Calc_Daily!$CM36)</f>
        <v/>
      </c>
      <c r="J36">
        <f>IF($A36&gt;cfg_LastDataDate,NA(),Calc_Daily!$HF36)</f>
        <v/>
      </c>
      <c r="K36">
        <f>Calc_Daily!$IT36</f>
        <v/>
      </c>
    </row>
    <row r="37">
      <c r="A37" s="54">
        <f>Calc_Daily!$A37</f>
        <v/>
      </c>
      <c r="B37">
        <f>IF($A37&gt;cfg_LastDataDate,NA(),Calc_Daily!$BZ37)</f>
        <v/>
      </c>
      <c r="C37">
        <f>Calc_Daily!$IG37/Calc_Daily!$D37</f>
        <v/>
      </c>
      <c r="D37">
        <f>IF($A37&gt;cfg_LastDataDate,NA(),Calc_Daily!$CZ37)</f>
        <v/>
      </c>
      <c r="E37">
        <f>Calc_Daily!$IX37</f>
        <v/>
      </c>
      <c r="F37">
        <f>IF($A37&gt;cfg_LastDataDate,NA(),Calc_Daily!$F37)</f>
        <v/>
      </c>
      <c r="G37">
        <f>IF($A37&gt;cfg_LastDataDate,NA(),Calc_Daily!$O37)</f>
        <v/>
      </c>
      <c r="H37">
        <f>IF($A37&gt;cfg_LastDataDate,NA(),Calc_Daily!$CS37)</f>
        <v/>
      </c>
      <c r="I37">
        <f>IF($A37&gt;cfg_LastDataDate,NA(),Calc_Daily!$CM37)</f>
        <v/>
      </c>
      <c r="J37">
        <f>IF($A37&gt;cfg_LastDataDate,NA(),Calc_Daily!$HF37)</f>
        <v/>
      </c>
      <c r="K37">
        <f>Calc_Daily!$IT37</f>
        <v/>
      </c>
    </row>
    <row r="38">
      <c r="A38" s="54">
        <f>Calc_Daily!$A38</f>
        <v/>
      </c>
      <c r="B38">
        <f>IF($A38&gt;cfg_LastDataDate,NA(),Calc_Daily!$BZ38)</f>
        <v/>
      </c>
      <c r="C38">
        <f>Calc_Daily!$IG38/Calc_Daily!$D38</f>
        <v/>
      </c>
      <c r="D38">
        <f>IF($A38&gt;cfg_LastDataDate,NA(),Calc_Daily!$CZ38)</f>
        <v/>
      </c>
      <c r="E38">
        <f>Calc_Daily!$IX38</f>
        <v/>
      </c>
      <c r="F38">
        <f>IF($A38&gt;cfg_LastDataDate,NA(),Calc_Daily!$F38)</f>
        <v/>
      </c>
      <c r="G38">
        <f>IF($A38&gt;cfg_LastDataDate,NA(),Calc_Daily!$O38)</f>
        <v/>
      </c>
      <c r="H38">
        <f>IF($A38&gt;cfg_LastDataDate,NA(),Calc_Daily!$CS38)</f>
        <v/>
      </c>
      <c r="I38">
        <f>IF($A38&gt;cfg_LastDataDate,NA(),Calc_Daily!$CM38)</f>
        <v/>
      </c>
      <c r="J38">
        <f>IF($A38&gt;cfg_LastDataDate,NA(),Calc_Daily!$HF38)</f>
        <v/>
      </c>
      <c r="K38">
        <f>Calc_Daily!$IT38</f>
        <v/>
      </c>
    </row>
    <row r="39">
      <c r="A39" s="54">
        <f>Calc_Daily!$A39</f>
        <v/>
      </c>
      <c r="B39">
        <f>IF($A39&gt;cfg_LastDataDate,NA(),Calc_Daily!$BZ39)</f>
        <v/>
      </c>
      <c r="C39">
        <f>Calc_Daily!$IG39/Calc_Daily!$D39</f>
        <v/>
      </c>
      <c r="D39">
        <f>IF($A39&gt;cfg_LastDataDate,NA(),Calc_Daily!$CZ39)</f>
        <v/>
      </c>
      <c r="E39">
        <f>Calc_Daily!$IX39</f>
        <v/>
      </c>
      <c r="F39">
        <f>IF($A39&gt;cfg_LastDataDate,NA(),Calc_Daily!$F39)</f>
        <v/>
      </c>
      <c r="G39">
        <f>IF($A39&gt;cfg_LastDataDate,NA(),Calc_Daily!$O39)</f>
        <v/>
      </c>
      <c r="H39">
        <f>IF($A39&gt;cfg_LastDataDate,NA(),Calc_Daily!$CS39)</f>
        <v/>
      </c>
      <c r="I39">
        <f>IF($A39&gt;cfg_LastDataDate,NA(),Calc_Daily!$CM39)</f>
        <v/>
      </c>
      <c r="J39">
        <f>IF($A39&gt;cfg_LastDataDate,NA(),Calc_Daily!$HF39)</f>
        <v/>
      </c>
      <c r="K39">
        <f>Calc_Daily!$IT39</f>
        <v/>
      </c>
    </row>
    <row r="40">
      <c r="A40" s="54">
        <f>Calc_Daily!$A40</f>
        <v/>
      </c>
      <c r="B40">
        <f>IF($A40&gt;cfg_LastDataDate,NA(),Calc_Daily!$BZ40)</f>
        <v/>
      </c>
      <c r="C40">
        <f>Calc_Daily!$IG40/Calc_Daily!$D40</f>
        <v/>
      </c>
      <c r="D40">
        <f>IF($A40&gt;cfg_LastDataDate,NA(),Calc_Daily!$CZ40)</f>
        <v/>
      </c>
      <c r="E40">
        <f>Calc_Daily!$IX40</f>
        <v/>
      </c>
      <c r="F40">
        <f>IF($A40&gt;cfg_LastDataDate,NA(),Calc_Daily!$F40)</f>
        <v/>
      </c>
      <c r="G40">
        <f>IF($A40&gt;cfg_LastDataDate,NA(),Calc_Daily!$O40)</f>
        <v/>
      </c>
      <c r="H40">
        <f>IF($A40&gt;cfg_LastDataDate,NA(),Calc_Daily!$CS40)</f>
        <v/>
      </c>
      <c r="I40">
        <f>IF($A40&gt;cfg_LastDataDate,NA(),Calc_Daily!$CM40)</f>
        <v/>
      </c>
      <c r="J40">
        <f>IF($A40&gt;cfg_LastDataDate,NA(),Calc_Daily!$HF40)</f>
        <v/>
      </c>
      <c r="K40">
        <f>Calc_Daily!$IT40</f>
        <v/>
      </c>
    </row>
    <row r="41">
      <c r="A41" s="54">
        <f>Calc_Daily!$A41</f>
        <v/>
      </c>
      <c r="B41">
        <f>IF($A41&gt;cfg_LastDataDate,NA(),Calc_Daily!$BZ41)</f>
        <v/>
      </c>
      <c r="C41">
        <f>Calc_Daily!$IG41/Calc_Daily!$D41</f>
        <v/>
      </c>
      <c r="D41">
        <f>IF($A41&gt;cfg_LastDataDate,NA(),Calc_Daily!$CZ41)</f>
        <v/>
      </c>
      <c r="E41">
        <f>Calc_Daily!$IX41</f>
        <v/>
      </c>
      <c r="F41">
        <f>IF($A41&gt;cfg_LastDataDate,NA(),Calc_Daily!$F41)</f>
        <v/>
      </c>
      <c r="G41">
        <f>IF($A41&gt;cfg_LastDataDate,NA(),Calc_Daily!$O41)</f>
        <v/>
      </c>
      <c r="H41">
        <f>IF($A41&gt;cfg_LastDataDate,NA(),Calc_Daily!$CS41)</f>
        <v/>
      </c>
      <c r="I41">
        <f>IF($A41&gt;cfg_LastDataDate,NA(),Calc_Daily!$CM41)</f>
        <v/>
      </c>
      <c r="J41">
        <f>IF($A41&gt;cfg_LastDataDate,NA(),Calc_Daily!$HF41)</f>
        <v/>
      </c>
      <c r="K41">
        <f>Calc_Daily!$IT41</f>
        <v/>
      </c>
    </row>
    <row r="42">
      <c r="A42" s="54">
        <f>Calc_Daily!$A42</f>
        <v/>
      </c>
      <c r="B42">
        <f>IF($A42&gt;cfg_LastDataDate,NA(),Calc_Daily!$BZ42)</f>
        <v/>
      </c>
      <c r="C42">
        <f>Calc_Daily!$IG42/Calc_Daily!$D42</f>
        <v/>
      </c>
      <c r="D42">
        <f>IF($A42&gt;cfg_LastDataDate,NA(),Calc_Daily!$CZ42)</f>
        <v/>
      </c>
      <c r="E42">
        <f>Calc_Daily!$IX42</f>
        <v/>
      </c>
      <c r="F42">
        <f>IF($A42&gt;cfg_LastDataDate,NA(),Calc_Daily!$F42)</f>
        <v/>
      </c>
      <c r="G42">
        <f>IF($A42&gt;cfg_LastDataDate,NA(),Calc_Daily!$O42)</f>
        <v/>
      </c>
      <c r="H42">
        <f>IF($A42&gt;cfg_LastDataDate,NA(),Calc_Daily!$CS42)</f>
        <v/>
      </c>
      <c r="I42">
        <f>IF($A42&gt;cfg_LastDataDate,NA(),Calc_Daily!$CM42)</f>
        <v/>
      </c>
      <c r="J42">
        <f>IF($A42&gt;cfg_LastDataDate,NA(),Calc_Daily!$HF42)</f>
        <v/>
      </c>
      <c r="K42">
        <f>Calc_Daily!$IT42</f>
        <v/>
      </c>
    </row>
    <row r="43">
      <c r="A43" s="54">
        <f>Calc_Daily!$A43</f>
        <v/>
      </c>
      <c r="B43">
        <f>IF($A43&gt;cfg_LastDataDate,NA(),Calc_Daily!$BZ43)</f>
        <v/>
      </c>
      <c r="C43">
        <f>Calc_Daily!$IG43/Calc_Daily!$D43</f>
        <v/>
      </c>
      <c r="D43">
        <f>IF($A43&gt;cfg_LastDataDate,NA(),Calc_Daily!$CZ43)</f>
        <v/>
      </c>
      <c r="E43">
        <f>Calc_Daily!$IX43</f>
        <v/>
      </c>
      <c r="F43">
        <f>IF($A43&gt;cfg_LastDataDate,NA(),Calc_Daily!$F43)</f>
        <v/>
      </c>
      <c r="G43">
        <f>IF($A43&gt;cfg_LastDataDate,NA(),Calc_Daily!$O43)</f>
        <v/>
      </c>
      <c r="H43">
        <f>IF($A43&gt;cfg_LastDataDate,NA(),Calc_Daily!$CS43)</f>
        <v/>
      </c>
      <c r="I43">
        <f>IF($A43&gt;cfg_LastDataDate,NA(),Calc_Daily!$CM43)</f>
        <v/>
      </c>
      <c r="J43">
        <f>IF($A43&gt;cfg_LastDataDate,NA(),Calc_Daily!$HF43)</f>
        <v/>
      </c>
      <c r="K43">
        <f>Calc_Daily!$IT43</f>
        <v/>
      </c>
    </row>
    <row r="44">
      <c r="A44" s="54">
        <f>Calc_Daily!$A44</f>
        <v/>
      </c>
      <c r="B44">
        <f>IF($A44&gt;cfg_LastDataDate,NA(),Calc_Daily!$BZ44)</f>
        <v/>
      </c>
      <c r="C44">
        <f>Calc_Daily!$IG44/Calc_Daily!$D44</f>
        <v/>
      </c>
      <c r="D44">
        <f>IF($A44&gt;cfg_LastDataDate,NA(),Calc_Daily!$CZ44)</f>
        <v/>
      </c>
      <c r="E44">
        <f>Calc_Daily!$IX44</f>
        <v/>
      </c>
      <c r="F44">
        <f>IF($A44&gt;cfg_LastDataDate,NA(),Calc_Daily!$F44)</f>
        <v/>
      </c>
      <c r="G44">
        <f>IF($A44&gt;cfg_LastDataDate,NA(),Calc_Daily!$O44)</f>
        <v/>
      </c>
      <c r="H44">
        <f>IF($A44&gt;cfg_LastDataDate,NA(),Calc_Daily!$CS44)</f>
        <v/>
      </c>
      <c r="I44">
        <f>IF($A44&gt;cfg_LastDataDate,NA(),Calc_Daily!$CM44)</f>
        <v/>
      </c>
      <c r="J44">
        <f>IF($A44&gt;cfg_LastDataDate,NA(),Calc_Daily!$HF44)</f>
        <v/>
      </c>
      <c r="K44">
        <f>Calc_Daily!$IT44</f>
        <v/>
      </c>
    </row>
    <row r="45">
      <c r="A45" s="54">
        <f>Calc_Daily!$A45</f>
        <v/>
      </c>
      <c r="B45">
        <f>IF($A45&gt;cfg_LastDataDate,NA(),Calc_Daily!$BZ45)</f>
        <v/>
      </c>
      <c r="C45">
        <f>Calc_Daily!$IG45/Calc_Daily!$D45</f>
        <v/>
      </c>
      <c r="D45">
        <f>IF($A45&gt;cfg_LastDataDate,NA(),Calc_Daily!$CZ45)</f>
        <v/>
      </c>
      <c r="E45">
        <f>Calc_Daily!$IX45</f>
        <v/>
      </c>
      <c r="F45">
        <f>IF($A45&gt;cfg_LastDataDate,NA(),Calc_Daily!$F45)</f>
        <v/>
      </c>
      <c r="G45">
        <f>IF($A45&gt;cfg_LastDataDate,NA(),Calc_Daily!$O45)</f>
        <v/>
      </c>
      <c r="H45">
        <f>IF($A45&gt;cfg_LastDataDate,NA(),Calc_Daily!$CS45)</f>
        <v/>
      </c>
      <c r="I45">
        <f>IF($A45&gt;cfg_LastDataDate,NA(),Calc_Daily!$CM45)</f>
        <v/>
      </c>
      <c r="J45">
        <f>IF($A45&gt;cfg_LastDataDate,NA(),Calc_Daily!$HF45)</f>
        <v/>
      </c>
      <c r="K45">
        <f>Calc_Daily!$IT45</f>
        <v/>
      </c>
    </row>
    <row r="46">
      <c r="A46" s="54">
        <f>Calc_Daily!$A46</f>
        <v/>
      </c>
      <c r="B46">
        <f>IF($A46&gt;cfg_LastDataDate,NA(),Calc_Daily!$BZ46)</f>
        <v/>
      </c>
      <c r="C46">
        <f>Calc_Daily!$IG46/Calc_Daily!$D46</f>
        <v/>
      </c>
      <c r="D46">
        <f>IF($A46&gt;cfg_LastDataDate,NA(),Calc_Daily!$CZ46)</f>
        <v/>
      </c>
      <c r="E46">
        <f>Calc_Daily!$IX46</f>
        <v/>
      </c>
      <c r="F46">
        <f>IF($A46&gt;cfg_LastDataDate,NA(),Calc_Daily!$F46)</f>
        <v/>
      </c>
      <c r="G46">
        <f>IF($A46&gt;cfg_LastDataDate,NA(),Calc_Daily!$O46)</f>
        <v/>
      </c>
      <c r="H46">
        <f>IF($A46&gt;cfg_LastDataDate,NA(),Calc_Daily!$CS46)</f>
        <v/>
      </c>
      <c r="I46">
        <f>IF($A46&gt;cfg_LastDataDate,NA(),Calc_Daily!$CM46)</f>
        <v/>
      </c>
      <c r="J46">
        <f>IF($A46&gt;cfg_LastDataDate,NA(),Calc_Daily!$HF46)</f>
        <v/>
      </c>
      <c r="K46">
        <f>Calc_Daily!$IT46</f>
        <v/>
      </c>
    </row>
    <row r="47">
      <c r="A47" s="54">
        <f>Calc_Daily!$A47</f>
        <v/>
      </c>
      <c r="B47">
        <f>IF($A47&gt;cfg_LastDataDate,NA(),Calc_Daily!$BZ47)</f>
        <v/>
      </c>
      <c r="C47">
        <f>Calc_Daily!$IG47/Calc_Daily!$D47</f>
        <v/>
      </c>
      <c r="D47">
        <f>IF($A47&gt;cfg_LastDataDate,NA(),Calc_Daily!$CZ47)</f>
        <v/>
      </c>
      <c r="E47">
        <f>Calc_Daily!$IX47</f>
        <v/>
      </c>
      <c r="F47">
        <f>IF($A47&gt;cfg_LastDataDate,NA(),Calc_Daily!$F47)</f>
        <v/>
      </c>
      <c r="G47">
        <f>IF($A47&gt;cfg_LastDataDate,NA(),Calc_Daily!$O47)</f>
        <v/>
      </c>
      <c r="H47">
        <f>IF($A47&gt;cfg_LastDataDate,NA(),Calc_Daily!$CS47)</f>
        <v/>
      </c>
      <c r="I47">
        <f>IF($A47&gt;cfg_LastDataDate,NA(),Calc_Daily!$CM47)</f>
        <v/>
      </c>
      <c r="J47">
        <f>IF($A47&gt;cfg_LastDataDate,NA(),Calc_Daily!$HF47)</f>
        <v/>
      </c>
      <c r="K47">
        <f>Calc_Daily!$IT47</f>
        <v/>
      </c>
    </row>
    <row r="48">
      <c r="A48" s="54">
        <f>Calc_Daily!$A48</f>
        <v/>
      </c>
      <c r="B48">
        <f>IF($A48&gt;cfg_LastDataDate,NA(),Calc_Daily!$BZ48)</f>
        <v/>
      </c>
      <c r="C48">
        <f>Calc_Daily!$IG48/Calc_Daily!$D48</f>
        <v/>
      </c>
      <c r="D48">
        <f>IF($A48&gt;cfg_LastDataDate,NA(),Calc_Daily!$CZ48)</f>
        <v/>
      </c>
      <c r="E48">
        <f>Calc_Daily!$IX48</f>
        <v/>
      </c>
      <c r="F48">
        <f>IF($A48&gt;cfg_LastDataDate,NA(),Calc_Daily!$F48)</f>
        <v/>
      </c>
      <c r="G48">
        <f>IF($A48&gt;cfg_LastDataDate,NA(),Calc_Daily!$O48)</f>
        <v/>
      </c>
      <c r="H48">
        <f>IF($A48&gt;cfg_LastDataDate,NA(),Calc_Daily!$CS48)</f>
        <v/>
      </c>
      <c r="I48">
        <f>IF($A48&gt;cfg_LastDataDate,NA(),Calc_Daily!$CM48)</f>
        <v/>
      </c>
      <c r="J48">
        <f>IF($A48&gt;cfg_LastDataDate,NA(),Calc_Daily!$HF48)</f>
        <v/>
      </c>
      <c r="K48">
        <f>Calc_Daily!$IT48</f>
        <v/>
      </c>
    </row>
    <row r="49">
      <c r="A49" s="54">
        <f>Calc_Daily!$A49</f>
        <v/>
      </c>
      <c r="B49">
        <f>IF($A49&gt;cfg_LastDataDate,NA(),Calc_Daily!$BZ49)</f>
        <v/>
      </c>
      <c r="C49">
        <f>Calc_Daily!$IG49/Calc_Daily!$D49</f>
        <v/>
      </c>
      <c r="D49">
        <f>IF($A49&gt;cfg_LastDataDate,NA(),Calc_Daily!$CZ49)</f>
        <v/>
      </c>
      <c r="E49">
        <f>Calc_Daily!$IX49</f>
        <v/>
      </c>
      <c r="F49">
        <f>IF($A49&gt;cfg_LastDataDate,NA(),Calc_Daily!$F49)</f>
        <v/>
      </c>
      <c r="G49">
        <f>IF($A49&gt;cfg_LastDataDate,NA(),Calc_Daily!$O49)</f>
        <v/>
      </c>
      <c r="H49">
        <f>IF($A49&gt;cfg_LastDataDate,NA(),Calc_Daily!$CS49)</f>
        <v/>
      </c>
      <c r="I49">
        <f>IF($A49&gt;cfg_LastDataDate,NA(),Calc_Daily!$CM49)</f>
        <v/>
      </c>
      <c r="J49">
        <f>IF($A49&gt;cfg_LastDataDate,NA(),Calc_Daily!$HF49)</f>
        <v/>
      </c>
      <c r="K49">
        <f>Calc_Daily!$IT49</f>
        <v/>
      </c>
    </row>
    <row r="50">
      <c r="A50" s="54">
        <f>Calc_Daily!$A50</f>
        <v/>
      </c>
      <c r="B50">
        <f>IF($A50&gt;cfg_LastDataDate,NA(),Calc_Daily!$BZ50)</f>
        <v/>
      </c>
      <c r="C50">
        <f>Calc_Daily!$IG50/Calc_Daily!$D50</f>
        <v/>
      </c>
      <c r="D50">
        <f>IF($A50&gt;cfg_LastDataDate,NA(),Calc_Daily!$CZ50)</f>
        <v/>
      </c>
      <c r="E50">
        <f>Calc_Daily!$IX50</f>
        <v/>
      </c>
      <c r="F50">
        <f>IF($A50&gt;cfg_LastDataDate,NA(),Calc_Daily!$F50)</f>
        <v/>
      </c>
      <c r="G50">
        <f>IF($A50&gt;cfg_LastDataDate,NA(),Calc_Daily!$O50)</f>
        <v/>
      </c>
      <c r="H50">
        <f>IF($A50&gt;cfg_LastDataDate,NA(),Calc_Daily!$CS50)</f>
        <v/>
      </c>
      <c r="I50">
        <f>IF($A50&gt;cfg_LastDataDate,NA(),Calc_Daily!$CM50)</f>
        <v/>
      </c>
      <c r="J50">
        <f>IF($A50&gt;cfg_LastDataDate,NA(),Calc_Daily!$HF50)</f>
        <v/>
      </c>
      <c r="K50">
        <f>Calc_Daily!$IT50</f>
        <v/>
      </c>
    </row>
    <row r="51">
      <c r="A51" s="54">
        <f>Calc_Daily!$A51</f>
        <v/>
      </c>
      <c r="B51">
        <f>IF($A51&gt;cfg_LastDataDate,NA(),Calc_Daily!$BZ51)</f>
        <v/>
      </c>
      <c r="C51">
        <f>Calc_Daily!$IG51/Calc_Daily!$D51</f>
        <v/>
      </c>
      <c r="D51">
        <f>IF($A51&gt;cfg_LastDataDate,NA(),Calc_Daily!$CZ51)</f>
        <v/>
      </c>
      <c r="E51">
        <f>Calc_Daily!$IX51</f>
        <v/>
      </c>
      <c r="F51">
        <f>IF($A51&gt;cfg_LastDataDate,NA(),Calc_Daily!$F51)</f>
        <v/>
      </c>
      <c r="G51">
        <f>IF($A51&gt;cfg_LastDataDate,NA(),Calc_Daily!$O51)</f>
        <v/>
      </c>
      <c r="H51">
        <f>IF($A51&gt;cfg_LastDataDate,NA(),Calc_Daily!$CS51)</f>
        <v/>
      </c>
      <c r="I51">
        <f>IF($A51&gt;cfg_LastDataDate,NA(),Calc_Daily!$CM51)</f>
        <v/>
      </c>
      <c r="J51">
        <f>IF($A51&gt;cfg_LastDataDate,NA(),Calc_Daily!$HF51)</f>
        <v/>
      </c>
      <c r="K51">
        <f>Calc_Daily!$IT51</f>
        <v/>
      </c>
    </row>
    <row r="52">
      <c r="A52" s="54">
        <f>Calc_Daily!$A52</f>
        <v/>
      </c>
      <c r="B52">
        <f>IF($A52&gt;cfg_LastDataDate,NA(),Calc_Daily!$BZ52)</f>
        <v/>
      </c>
      <c r="C52">
        <f>Calc_Daily!$IG52/Calc_Daily!$D52</f>
        <v/>
      </c>
      <c r="D52">
        <f>IF($A52&gt;cfg_LastDataDate,NA(),Calc_Daily!$CZ52)</f>
        <v/>
      </c>
      <c r="E52">
        <f>Calc_Daily!$IX52</f>
        <v/>
      </c>
      <c r="F52">
        <f>IF($A52&gt;cfg_LastDataDate,NA(),Calc_Daily!$F52)</f>
        <v/>
      </c>
      <c r="G52">
        <f>IF($A52&gt;cfg_LastDataDate,NA(),Calc_Daily!$O52)</f>
        <v/>
      </c>
      <c r="H52">
        <f>IF($A52&gt;cfg_LastDataDate,NA(),Calc_Daily!$CS52)</f>
        <v/>
      </c>
      <c r="I52">
        <f>IF($A52&gt;cfg_LastDataDate,NA(),Calc_Daily!$CM52)</f>
        <v/>
      </c>
      <c r="J52">
        <f>IF($A52&gt;cfg_LastDataDate,NA(),Calc_Daily!$HF52)</f>
        <v/>
      </c>
      <c r="K52">
        <f>Calc_Daily!$IT52</f>
        <v/>
      </c>
    </row>
    <row r="53">
      <c r="A53" s="54">
        <f>Calc_Daily!$A53</f>
        <v/>
      </c>
      <c r="B53">
        <f>IF($A53&gt;cfg_LastDataDate,NA(),Calc_Daily!$BZ53)</f>
        <v/>
      </c>
      <c r="C53">
        <f>Calc_Daily!$IG53/Calc_Daily!$D53</f>
        <v/>
      </c>
      <c r="D53">
        <f>IF($A53&gt;cfg_LastDataDate,NA(),Calc_Daily!$CZ53)</f>
        <v/>
      </c>
      <c r="E53">
        <f>Calc_Daily!$IX53</f>
        <v/>
      </c>
      <c r="F53">
        <f>IF($A53&gt;cfg_LastDataDate,NA(),Calc_Daily!$F53)</f>
        <v/>
      </c>
      <c r="G53">
        <f>IF($A53&gt;cfg_LastDataDate,NA(),Calc_Daily!$O53)</f>
        <v/>
      </c>
      <c r="H53">
        <f>IF($A53&gt;cfg_LastDataDate,NA(),Calc_Daily!$CS53)</f>
        <v/>
      </c>
      <c r="I53">
        <f>IF($A53&gt;cfg_LastDataDate,NA(),Calc_Daily!$CM53)</f>
        <v/>
      </c>
      <c r="J53">
        <f>IF($A53&gt;cfg_LastDataDate,NA(),Calc_Daily!$HF53)</f>
        <v/>
      </c>
      <c r="K53">
        <f>Calc_Daily!$IT53</f>
        <v/>
      </c>
    </row>
    <row r="54">
      <c r="A54" s="54">
        <f>Calc_Daily!$A54</f>
        <v/>
      </c>
      <c r="B54">
        <f>IF($A54&gt;cfg_LastDataDate,NA(),Calc_Daily!$BZ54)</f>
        <v/>
      </c>
      <c r="C54">
        <f>Calc_Daily!$IG54/Calc_Daily!$D54</f>
        <v/>
      </c>
      <c r="D54">
        <f>IF($A54&gt;cfg_LastDataDate,NA(),Calc_Daily!$CZ54)</f>
        <v/>
      </c>
      <c r="E54">
        <f>Calc_Daily!$IX54</f>
        <v/>
      </c>
      <c r="F54">
        <f>IF($A54&gt;cfg_LastDataDate,NA(),Calc_Daily!$F54)</f>
        <v/>
      </c>
      <c r="G54">
        <f>IF($A54&gt;cfg_LastDataDate,NA(),Calc_Daily!$O54)</f>
        <v/>
      </c>
      <c r="H54">
        <f>IF($A54&gt;cfg_LastDataDate,NA(),Calc_Daily!$CS54)</f>
        <v/>
      </c>
      <c r="I54">
        <f>IF($A54&gt;cfg_LastDataDate,NA(),Calc_Daily!$CM54)</f>
        <v/>
      </c>
      <c r="J54">
        <f>IF($A54&gt;cfg_LastDataDate,NA(),Calc_Daily!$HF54)</f>
        <v/>
      </c>
      <c r="K54">
        <f>Calc_Daily!$IT54</f>
        <v/>
      </c>
    </row>
    <row r="55">
      <c r="A55" s="54">
        <f>Calc_Daily!$A55</f>
        <v/>
      </c>
      <c r="B55">
        <f>IF($A55&gt;cfg_LastDataDate,NA(),Calc_Daily!$BZ55)</f>
        <v/>
      </c>
      <c r="C55">
        <f>Calc_Daily!$IG55/Calc_Daily!$D55</f>
        <v/>
      </c>
      <c r="D55">
        <f>IF($A55&gt;cfg_LastDataDate,NA(),Calc_Daily!$CZ55)</f>
        <v/>
      </c>
      <c r="E55">
        <f>Calc_Daily!$IX55</f>
        <v/>
      </c>
      <c r="F55">
        <f>IF($A55&gt;cfg_LastDataDate,NA(),Calc_Daily!$F55)</f>
        <v/>
      </c>
      <c r="G55">
        <f>IF($A55&gt;cfg_LastDataDate,NA(),Calc_Daily!$O55)</f>
        <v/>
      </c>
      <c r="H55">
        <f>IF($A55&gt;cfg_LastDataDate,NA(),Calc_Daily!$CS55)</f>
        <v/>
      </c>
      <c r="I55">
        <f>IF($A55&gt;cfg_LastDataDate,NA(),Calc_Daily!$CM55)</f>
        <v/>
      </c>
      <c r="J55">
        <f>IF($A55&gt;cfg_LastDataDate,NA(),Calc_Daily!$HF55)</f>
        <v/>
      </c>
      <c r="K55">
        <f>Calc_Daily!$IT55</f>
        <v/>
      </c>
    </row>
    <row r="56">
      <c r="A56" s="54">
        <f>Calc_Daily!$A56</f>
        <v/>
      </c>
      <c r="B56">
        <f>IF($A56&gt;cfg_LastDataDate,NA(),Calc_Daily!$BZ56)</f>
        <v/>
      </c>
      <c r="C56">
        <f>Calc_Daily!$IG56/Calc_Daily!$D56</f>
        <v/>
      </c>
      <c r="D56">
        <f>IF($A56&gt;cfg_LastDataDate,NA(),Calc_Daily!$CZ56)</f>
        <v/>
      </c>
      <c r="E56">
        <f>Calc_Daily!$IX56</f>
        <v/>
      </c>
      <c r="F56">
        <f>IF($A56&gt;cfg_LastDataDate,NA(),Calc_Daily!$F56)</f>
        <v/>
      </c>
      <c r="G56">
        <f>IF($A56&gt;cfg_LastDataDate,NA(),Calc_Daily!$O56)</f>
        <v/>
      </c>
      <c r="H56">
        <f>IF($A56&gt;cfg_LastDataDate,NA(),Calc_Daily!$CS56)</f>
        <v/>
      </c>
      <c r="I56">
        <f>IF($A56&gt;cfg_LastDataDate,NA(),Calc_Daily!$CM56)</f>
        <v/>
      </c>
      <c r="J56">
        <f>IF($A56&gt;cfg_LastDataDate,NA(),Calc_Daily!$HF56)</f>
        <v/>
      </c>
      <c r="K56">
        <f>Calc_Daily!$IT56</f>
        <v/>
      </c>
    </row>
    <row r="57">
      <c r="A57" s="54">
        <f>Calc_Daily!$A57</f>
        <v/>
      </c>
      <c r="B57">
        <f>IF($A57&gt;cfg_LastDataDate,NA(),Calc_Daily!$BZ57)</f>
        <v/>
      </c>
      <c r="C57">
        <f>Calc_Daily!$IG57/Calc_Daily!$D57</f>
        <v/>
      </c>
      <c r="D57">
        <f>IF($A57&gt;cfg_LastDataDate,NA(),Calc_Daily!$CZ57)</f>
        <v/>
      </c>
      <c r="E57">
        <f>Calc_Daily!$IX57</f>
        <v/>
      </c>
      <c r="F57">
        <f>IF($A57&gt;cfg_LastDataDate,NA(),Calc_Daily!$F57)</f>
        <v/>
      </c>
      <c r="G57">
        <f>IF($A57&gt;cfg_LastDataDate,NA(),Calc_Daily!$O57)</f>
        <v/>
      </c>
      <c r="H57">
        <f>IF($A57&gt;cfg_LastDataDate,NA(),Calc_Daily!$CS57)</f>
        <v/>
      </c>
      <c r="I57">
        <f>IF($A57&gt;cfg_LastDataDate,NA(),Calc_Daily!$CM57)</f>
        <v/>
      </c>
      <c r="J57">
        <f>IF($A57&gt;cfg_LastDataDate,NA(),Calc_Daily!$HF57)</f>
        <v/>
      </c>
      <c r="K57">
        <f>Calc_Daily!$IT57</f>
        <v/>
      </c>
    </row>
    <row r="58">
      <c r="A58" s="54">
        <f>Calc_Daily!$A58</f>
        <v/>
      </c>
      <c r="B58">
        <f>IF($A58&gt;cfg_LastDataDate,NA(),Calc_Daily!$BZ58)</f>
        <v/>
      </c>
      <c r="C58">
        <f>Calc_Daily!$IG58/Calc_Daily!$D58</f>
        <v/>
      </c>
      <c r="D58">
        <f>IF($A58&gt;cfg_LastDataDate,NA(),Calc_Daily!$CZ58)</f>
        <v/>
      </c>
      <c r="E58">
        <f>Calc_Daily!$IX58</f>
        <v/>
      </c>
      <c r="F58">
        <f>IF($A58&gt;cfg_LastDataDate,NA(),Calc_Daily!$F58)</f>
        <v/>
      </c>
      <c r="G58">
        <f>IF($A58&gt;cfg_LastDataDate,NA(),Calc_Daily!$O58)</f>
        <v/>
      </c>
      <c r="H58">
        <f>IF($A58&gt;cfg_LastDataDate,NA(),Calc_Daily!$CS58)</f>
        <v/>
      </c>
      <c r="I58">
        <f>IF($A58&gt;cfg_LastDataDate,NA(),Calc_Daily!$CM58)</f>
        <v/>
      </c>
      <c r="J58">
        <f>IF($A58&gt;cfg_LastDataDate,NA(),Calc_Daily!$HF58)</f>
        <v/>
      </c>
      <c r="K58">
        <f>Calc_Daily!$IT58</f>
        <v/>
      </c>
    </row>
    <row r="59">
      <c r="A59" s="54">
        <f>Calc_Daily!$A59</f>
        <v/>
      </c>
      <c r="B59">
        <f>IF($A59&gt;cfg_LastDataDate,NA(),Calc_Daily!$BZ59)</f>
        <v/>
      </c>
      <c r="C59">
        <f>Calc_Daily!$IG59/Calc_Daily!$D59</f>
        <v/>
      </c>
      <c r="D59">
        <f>IF($A59&gt;cfg_LastDataDate,NA(),Calc_Daily!$CZ59)</f>
        <v/>
      </c>
      <c r="E59">
        <f>Calc_Daily!$IX59</f>
        <v/>
      </c>
      <c r="F59">
        <f>IF($A59&gt;cfg_LastDataDate,NA(),Calc_Daily!$F59)</f>
        <v/>
      </c>
      <c r="G59">
        <f>IF($A59&gt;cfg_LastDataDate,NA(),Calc_Daily!$O59)</f>
        <v/>
      </c>
      <c r="H59">
        <f>IF($A59&gt;cfg_LastDataDate,NA(),Calc_Daily!$CS59)</f>
        <v/>
      </c>
      <c r="I59">
        <f>IF($A59&gt;cfg_LastDataDate,NA(),Calc_Daily!$CM59)</f>
        <v/>
      </c>
      <c r="J59">
        <f>IF($A59&gt;cfg_LastDataDate,NA(),Calc_Daily!$HF59)</f>
        <v/>
      </c>
      <c r="K59">
        <f>Calc_Daily!$IT59</f>
        <v/>
      </c>
    </row>
    <row r="60">
      <c r="A60" s="54">
        <f>Calc_Daily!$A60</f>
        <v/>
      </c>
      <c r="B60">
        <f>IF($A60&gt;cfg_LastDataDate,NA(),Calc_Daily!$BZ60)</f>
        <v/>
      </c>
      <c r="C60">
        <f>Calc_Daily!$IG60/Calc_Daily!$D60</f>
        <v/>
      </c>
      <c r="D60">
        <f>IF($A60&gt;cfg_LastDataDate,NA(),Calc_Daily!$CZ60)</f>
        <v/>
      </c>
      <c r="E60">
        <f>Calc_Daily!$IX60</f>
        <v/>
      </c>
      <c r="F60">
        <f>IF($A60&gt;cfg_LastDataDate,NA(),Calc_Daily!$F60)</f>
        <v/>
      </c>
      <c r="G60">
        <f>IF($A60&gt;cfg_LastDataDate,NA(),Calc_Daily!$O60)</f>
        <v/>
      </c>
      <c r="H60">
        <f>IF($A60&gt;cfg_LastDataDate,NA(),Calc_Daily!$CS60)</f>
        <v/>
      </c>
      <c r="I60">
        <f>IF($A60&gt;cfg_LastDataDate,NA(),Calc_Daily!$CM60)</f>
        <v/>
      </c>
      <c r="J60">
        <f>IF($A60&gt;cfg_LastDataDate,NA(),Calc_Daily!$HF60)</f>
        <v/>
      </c>
      <c r="K60">
        <f>Calc_Daily!$IT60</f>
        <v/>
      </c>
    </row>
    <row r="61">
      <c r="A61" s="54">
        <f>Calc_Daily!$A61</f>
        <v/>
      </c>
      <c r="B61">
        <f>IF($A61&gt;cfg_LastDataDate,NA(),Calc_Daily!$BZ61)</f>
        <v/>
      </c>
      <c r="C61">
        <f>Calc_Daily!$IG61/Calc_Daily!$D61</f>
        <v/>
      </c>
      <c r="D61">
        <f>IF($A61&gt;cfg_LastDataDate,NA(),Calc_Daily!$CZ61)</f>
        <v/>
      </c>
      <c r="E61">
        <f>Calc_Daily!$IX61</f>
        <v/>
      </c>
      <c r="F61">
        <f>IF($A61&gt;cfg_LastDataDate,NA(),Calc_Daily!$F61)</f>
        <v/>
      </c>
      <c r="G61">
        <f>IF($A61&gt;cfg_LastDataDate,NA(),Calc_Daily!$O61)</f>
        <v/>
      </c>
      <c r="H61">
        <f>IF($A61&gt;cfg_LastDataDate,NA(),Calc_Daily!$CS61)</f>
        <v/>
      </c>
      <c r="I61">
        <f>IF($A61&gt;cfg_LastDataDate,NA(),Calc_Daily!$CM61)</f>
        <v/>
      </c>
      <c r="J61">
        <f>IF($A61&gt;cfg_LastDataDate,NA(),Calc_Daily!$HF61)</f>
        <v/>
      </c>
      <c r="K61">
        <f>Calc_Daily!$IT61</f>
        <v/>
      </c>
    </row>
    <row r="62">
      <c r="A62" s="54">
        <f>Calc_Daily!$A62</f>
        <v/>
      </c>
      <c r="B62">
        <f>IF($A62&gt;cfg_LastDataDate,NA(),Calc_Daily!$BZ62)</f>
        <v/>
      </c>
      <c r="C62">
        <f>Calc_Daily!$IG62/Calc_Daily!$D62</f>
        <v/>
      </c>
      <c r="D62">
        <f>IF($A62&gt;cfg_LastDataDate,NA(),Calc_Daily!$CZ62)</f>
        <v/>
      </c>
      <c r="E62">
        <f>Calc_Daily!$IX62</f>
        <v/>
      </c>
      <c r="F62">
        <f>IF($A62&gt;cfg_LastDataDate,NA(),Calc_Daily!$F62)</f>
        <v/>
      </c>
      <c r="G62">
        <f>IF($A62&gt;cfg_LastDataDate,NA(),Calc_Daily!$O62)</f>
        <v/>
      </c>
      <c r="H62">
        <f>IF($A62&gt;cfg_LastDataDate,NA(),Calc_Daily!$CS62)</f>
        <v/>
      </c>
      <c r="I62">
        <f>IF($A62&gt;cfg_LastDataDate,NA(),Calc_Daily!$CM62)</f>
        <v/>
      </c>
      <c r="J62">
        <f>IF($A62&gt;cfg_LastDataDate,NA(),Calc_Daily!$HF62)</f>
        <v/>
      </c>
      <c r="K62">
        <f>Calc_Daily!$IT62</f>
        <v/>
      </c>
    </row>
    <row r="63">
      <c r="A63" s="54">
        <f>Calc_Daily!$A63</f>
        <v/>
      </c>
      <c r="B63">
        <f>IF($A63&gt;cfg_LastDataDate,NA(),Calc_Daily!$BZ63)</f>
        <v/>
      </c>
      <c r="C63">
        <f>Calc_Daily!$IG63/Calc_Daily!$D63</f>
        <v/>
      </c>
      <c r="D63">
        <f>IF($A63&gt;cfg_LastDataDate,NA(),Calc_Daily!$CZ63)</f>
        <v/>
      </c>
      <c r="E63">
        <f>Calc_Daily!$IX63</f>
        <v/>
      </c>
      <c r="F63">
        <f>IF($A63&gt;cfg_LastDataDate,NA(),Calc_Daily!$F63)</f>
        <v/>
      </c>
      <c r="G63">
        <f>IF($A63&gt;cfg_LastDataDate,NA(),Calc_Daily!$O63)</f>
        <v/>
      </c>
      <c r="H63">
        <f>IF($A63&gt;cfg_LastDataDate,NA(),Calc_Daily!$CS63)</f>
        <v/>
      </c>
      <c r="I63">
        <f>IF($A63&gt;cfg_LastDataDate,NA(),Calc_Daily!$CM63)</f>
        <v/>
      </c>
      <c r="J63">
        <f>IF($A63&gt;cfg_LastDataDate,NA(),Calc_Daily!$HF63)</f>
        <v/>
      </c>
      <c r="K63">
        <f>Calc_Daily!$IT63</f>
        <v/>
      </c>
    </row>
    <row r="64">
      <c r="A64" s="54">
        <f>Calc_Daily!$A64</f>
        <v/>
      </c>
      <c r="B64">
        <f>IF($A64&gt;cfg_LastDataDate,NA(),Calc_Daily!$BZ64)</f>
        <v/>
      </c>
      <c r="C64">
        <f>Calc_Daily!$IG64/Calc_Daily!$D64</f>
        <v/>
      </c>
      <c r="D64">
        <f>IF($A64&gt;cfg_LastDataDate,NA(),Calc_Daily!$CZ64)</f>
        <v/>
      </c>
      <c r="E64">
        <f>Calc_Daily!$IX64</f>
        <v/>
      </c>
      <c r="F64">
        <f>IF($A64&gt;cfg_LastDataDate,NA(),Calc_Daily!$F64)</f>
        <v/>
      </c>
      <c r="G64">
        <f>IF($A64&gt;cfg_LastDataDate,NA(),Calc_Daily!$O64)</f>
        <v/>
      </c>
      <c r="H64">
        <f>IF($A64&gt;cfg_LastDataDate,NA(),Calc_Daily!$CS64)</f>
        <v/>
      </c>
      <c r="I64">
        <f>IF($A64&gt;cfg_LastDataDate,NA(),Calc_Daily!$CM64)</f>
        <v/>
      </c>
      <c r="J64">
        <f>IF($A64&gt;cfg_LastDataDate,NA(),Calc_Daily!$HF64)</f>
        <v/>
      </c>
      <c r="K64">
        <f>Calc_Daily!$IT64</f>
        <v/>
      </c>
    </row>
    <row r="65">
      <c r="A65" s="54">
        <f>Calc_Daily!$A65</f>
        <v/>
      </c>
      <c r="B65">
        <f>IF($A65&gt;cfg_LastDataDate,NA(),Calc_Daily!$BZ65)</f>
        <v/>
      </c>
      <c r="C65">
        <f>Calc_Daily!$IG65/Calc_Daily!$D65</f>
        <v/>
      </c>
      <c r="D65">
        <f>IF($A65&gt;cfg_LastDataDate,NA(),Calc_Daily!$CZ65)</f>
        <v/>
      </c>
      <c r="E65">
        <f>Calc_Daily!$IX65</f>
        <v/>
      </c>
      <c r="F65">
        <f>IF($A65&gt;cfg_LastDataDate,NA(),Calc_Daily!$F65)</f>
        <v/>
      </c>
      <c r="G65">
        <f>IF($A65&gt;cfg_LastDataDate,NA(),Calc_Daily!$O65)</f>
        <v/>
      </c>
      <c r="H65">
        <f>IF($A65&gt;cfg_LastDataDate,NA(),Calc_Daily!$CS65)</f>
        <v/>
      </c>
      <c r="I65">
        <f>IF($A65&gt;cfg_LastDataDate,NA(),Calc_Daily!$CM65)</f>
        <v/>
      </c>
      <c r="J65">
        <f>IF($A65&gt;cfg_LastDataDate,NA(),Calc_Daily!$HF65)</f>
        <v/>
      </c>
      <c r="K65">
        <f>Calc_Daily!$IT65</f>
        <v/>
      </c>
    </row>
    <row r="66">
      <c r="A66" s="54">
        <f>Calc_Daily!$A66</f>
        <v/>
      </c>
      <c r="B66">
        <f>IF($A66&gt;cfg_LastDataDate,NA(),Calc_Daily!$BZ66)</f>
        <v/>
      </c>
      <c r="C66">
        <f>Calc_Daily!$IG66/Calc_Daily!$D66</f>
        <v/>
      </c>
      <c r="D66">
        <f>IF($A66&gt;cfg_LastDataDate,NA(),Calc_Daily!$CZ66)</f>
        <v/>
      </c>
      <c r="E66">
        <f>Calc_Daily!$IX66</f>
        <v/>
      </c>
      <c r="F66">
        <f>IF($A66&gt;cfg_LastDataDate,NA(),Calc_Daily!$F66)</f>
        <v/>
      </c>
      <c r="G66">
        <f>IF($A66&gt;cfg_LastDataDate,NA(),Calc_Daily!$O66)</f>
        <v/>
      </c>
      <c r="H66">
        <f>IF($A66&gt;cfg_LastDataDate,NA(),Calc_Daily!$CS66)</f>
        <v/>
      </c>
      <c r="I66">
        <f>IF($A66&gt;cfg_LastDataDate,NA(),Calc_Daily!$CM66)</f>
        <v/>
      </c>
      <c r="J66">
        <f>IF($A66&gt;cfg_LastDataDate,NA(),Calc_Daily!$HF66)</f>
        <v/>
      </c>
      <c r="K66">
        <f>Calc_Daily!$IT66</f>
        <v/>
      </c>
    </row>
    <row r="67">
      <c r="A67" s="54">
        <f>Calc_Daily!$A67</f>
        <v/>
      </c>
      <c r="B67">
        <f>IF($A67&gt;cfg_LastDataDate,NA(),Calc_Daily!$BZ67)</f>
        <v/>
      </c>
      <c r="C67">
        <f>Calc_Daily!$IG67/Calc_Daily!$D67</f>
        <v/>
      </c>
      <c r="D67">
        <f>IF($A67&gt;cfg_LastDataDate,NA(),Calc_Daily!$CZ67)</f>
        <v/>
      </c>
      <c r="E67">
        <f>Calc_Daily!$IX67</f>
        <v/>
      </c>
      <c r="F67">
        <f>IF($A67&gt;cfg_LastDataDate,NA(),Calc_Daily!$F67)</f>
        <v/>
      </c>
      <c r="G67">
        <f>IF($A67&gt;cfg_LastDataDate,NA(),Calc_Daily!$O67)</f>
        <v/>
      </c>
      <c r="H67">
        <f>IF($A67&gt;cfg_LastDataDate,NA(),Calc_Daily!$CS67)</f>
        <v/>
      </c>
      <c r="I67">
        <f>IF($A67&gt;cfg_LastDataDate,NA(),Calc_Daily!$CM67)</f>
        <v/>
      </c>
      <c r="J67">
        <f>IF($A67&gt;cfg_LastDataDate,NA(),Calc_Daily!$HF67)</f>
        <v/>
      </c>
      <c r="K67">
        <f>Calc_Daily!$IT67</f>
        <v/>
      </c>
    </row>
    <row r="68">
      <c r="A68" s="54">
        <f>Calc_Daily!$A68</f>
        <v/>
      </c>
      <c r="B68">
        <f>IF($A68&gt;cfg_LastDataDate,NA(),Calc_Daily!$BZ68)</f>
        <v/>
      </c>
      <c r="C68">
        <f>Calc_Daily!$IG68/Calc_Daily!$D68</f>
        <v/>
      </c>
      <c r="D68">
        <f>IF($A68&gt;cfg_LastDataDate,NA(),Calc_Daily!$CZ68)</f>
        <v/>
      </c>
      <c r="E68">
        <f>Calc_Daily!$IX68</f>
        <v/>
      </c>
      <c r="F68">
        <f>IF($A68&gt;cfg_LastDataDate,NA(),Calc_Daily!$F68)</f>
        <v/>
      </c>
      <c r="G68">
        <f>IF($A68&gt;cfg_LastDataDate,NA(),Calc_Daily!$O68)</f>
        <v/>
      </c>
      <c r="H68">
        <f>IF($A68&gt;cfg_LastDataDate,NA(),Calc_Daily!$CS68)</f>
        <v/>
      </c>
      <c r="I68">
        <f>IF($A68&gt;cfg_LastDataDate,NA(),Calc_Daily!$CM68)</f>
        <v/>
      </c>
      <c r="J68">
        <f>IF($A68&gt;cfg_LastDataDate,NA(),Calc_Daily!$HF68)</f>
        <v/>
      </c>
      <c r="K68">
        <f>Calc_Daily!$IT68</f>
        <v/>
      </c>
    </row>
    <row r="69">
      <c r="A69" s="54">
        <f>Calc_Daily!$A69</f>
        <v/>
      </c>
      <c r="B69">
        <f>IF($A69&gt;cfg_LastDataDate,NA(),Calc_Daily!$BZ69)</f>
        <v/>
      </c>
      <c r="C69">
        <f>Calc_Daily!$IG69/Calc_Daily!$D69</f>
        <v/>
      </c>
      <c r="D69">
        <f>IF($A69&gt;cfg_LastDataDate,NA(),Calc_Daily!$CZ69)</f>
        <v/>
      </c>
      <c r="E69">
        <f>Calc_Daily!$IX69</f>
        <v/>
      </c>
      <c r="F69">
        <f>IF($A69&gt;cfg_LastDataDate,NA(),Calc_Daily!$F69)</f>
        <v/>
      </c>
      <c r="G69">
        <f>IF($A69&gt;cfg_LastDataDate,NA(),Calc_Daily!$O69)</f>
        <v/>
      </c>
      <c r="H69">
        <f>IF($A69&gt;cfg_LastDataDate,NA(),Calc_Daily!$CS69)</f>
        <v/>
      </c>
      <c r="I69">
        <f>IF($A69&gt;cfg_LastDataDate,NA(),Calc_Daily!$CM69)</f>
        <v/>
      </c>
      <c r="J69">
        <f>IF($A69&gt;cfg_LastDataDate,NA(),Calc_Daily!$HF69)</f>
        <v/>
      </c>
      <c r="K69">
        <f>Calc_Daily!$IT69</f>
        <v/>
      </c>
    </row>
    <row r="70">
      <c r="A70" s="54">
        <f>Calc_Daily!$A70</f>
        <v/>
      </c>
      <c r="B70">
        <f>IF($A70&gt;cfg_LastDataDate,NA(),Calc_Daily!$BZ70)</f>
        <v/>
      </c>
      <c r="C70">
        <f>Calc_Daily!$IG70/Calc_Daily!$D70</f>
        <v/>
      </c>
      <c r="D70">
        <f>IF($A70&gt;cfg_LastDataDate,NA(),Calc_Daily!$CZ70)</f>
        <v/>
      </c>
      <c r="E70">
        <f>Calc_Daily!$IX70</f>
        <v/>
      </c>
      <c r="F70">
        <f>IF($A70&gt;cfg_LastDataDate,NA(),Calc_Daily!$F70)</f>
        <v/>
      </c>
      <c r="G70">
        <f>IF($A70&gt;cfg_LastDataDate,NA(),Calc_Daily!$O70)</f>
        <v/>
      </c>
      <c r="H70">
        <f>IF($A70&gt;cfg_LastDataDate,NA(),Calc_Daily!$CS70)</f>
        <v/>
      </c>
      <c r="I70">
        <f>IF($A70&gt;cfg_LastDataDate,NA(),Calc_Daily!$CM70)</f>
        <v/>
      </c>
      <c r="J70">
        <f>IF($A70&gt;cfg_LastDataDate,NA(),Calc_Daily!$HF70)</f>
        <v/>
      </c>
      <c r="K70">
        <f>Calc_Daily!$IT70</f>
        <v/>
      </c>
    </row>
    <row r="71">
      <c r="A71" s="54">
        <f>Calc_Daily!$A71</f>
        <v/>
      </c>
      <c r="B71">
        <f>IF($A71&gt;cfg_LastDataDate,NA(),Calc_Daily!$BZ71)</f>
        <v/>
      </c>
      <c r="C71">
        <f>Calc_Daily!$IG71/Calc_Daily!$D71</f>
        <v/>
      </c>
      <c r="D71">
        <f>IF($A71&gt;cfg_LastDataDate,NA(),Calc_Daily!$CZ71)</f>
        <v/>
      </c>
      <c r="E71">
        <f>Calc_Daily!$IX71</f>
        <v/>
      </c>
      <c r="F71">
        <f>IF($A71&gt;cfg_LastDataDate,NA(),Calc_Daily!$F71)</f>
        <v/>
      </c>
      <c r="G71">
        <f>IF($A71&gt;cfg_LastDataDate,NA(),Calc_Daily!$O71)</f>
        <v/>
      </c>
      <c r="H71">
        <f>IF($A71&gt;cfg_LastDataDate,NA(),Calc_Daily!$CS71)</f>
        <v/>
      </c>
      <c r="I71">
        <f>IF($A71&gt;cfg_LastDataDate,NA(),Calc_Daily!$CM71)</f>
        <v/>
      </c>
      <c r="J71">
        <f>IF($A71&gt;cfg_LastDataDate,NA(),Calc_Daily!$HF71)</f>
        <v/>
      </c>
      <c r="K71">
        <f>Calc_Daily!$IT71</f>
        <v/>
      </c>
    </row>
    <row r="72">
      <c r="A72" s="54">
        <f>Calc_Daily!$A72</f>
        <v/>
      </c>
      <c r="B72">
        <f>IF($A72&gt;cfg_LastDataDate,NA(),Calc_Daily!$BZ72)</f>
        <v/>
      </c>
      <c r="C72">
        <f>Calc_Daily!$IG72/Calc_Daily!$D72</f>
        <v/>
      </c>
      <c r="D72">
        <f>IF($A72&gt;cfg_LastDataDate,NA(),Calc_Daily!$CZ72)</f>
        <v/>
      </c>
      <c r="E72">
        <f>Calc_Daily!$IX72</f>
        <v/>
      </c>
      <c r="F72">
        <f>IF($A72&gt;cfg_LastDataDate,NA(),Calc_Daily!$F72)</f>
        <v/>
      </c>
      <c r="G72">
        <f>IF($A72&gt;cfg_LastDataDate,NA(),Calc_Daily!$O72)</f>
        <v/>
      </c>
      <c r="H72">
        <f>IF($A72&gt;cfg_LastDataDate,NA(),Calc_Daily!$CS72)</f>
        <v/>
      </c>
      <c r="I72">
        <f>IF($A72&gt;cfg_LastDataDate,NA(),Calc_Daily!$CM72)</f>
        <v/>
      </c>
      <c r="J72">
        <f>IF($A72&gt;cfg_LastDataDate,NA(),Calc_Daily!$HF72)</f>
        <v/>
      </c>
      <c r="K72">
        <f>Calc_Daily!$IT72</f>
        <v/>
      </c>
    </row>
    <row r="73">
      <c r="A73" s="54">
        <f>Calc_Daily!$A73</f>
        <v/>
      </c>
      <c r="B73">
        <f>IF($A73&gt;cfg_LastDataDate,NA(),Calc_Daily!$BZ73)</f>
        <v/>
      </c>
      <c r="C73">
        <f>Calc_Daily!$IG73/Calc_Daily!$D73</f>
        <v/>
      </c>
      <c r="D73">
        <f>IF($A73&gt;cfg_LastDataDate,NA(),Calc_Daily!$CZ73)</f>
        <v/>
      </c>
      <c r="E73">
        <f>Calc_Daily!$IX73</f>
        <v/>
      </c>
      <c r="F73">
        <f>IF($A73&gt;cfg_LastDataDate,NA(),Calc_Daily!$F73)</f>
        <v/>
      </c>
      <c r="G73">
        <f>IF($A73&gt;cfg_LastDataDate,NA(),Calc_Daily!$O73)</f>
        <v/>
      </c>
      <c r="H73">
        <f>IF($A73&gt;cfg_LastDataDate,NA(),Calc_Daily!$CS73)</f>
        <v/>
      </c>
      <c r="I73">
        <f>IF($A73&gt;cfg_LastDataDate,NA(),Calc_Daily!$CM73)</f>
        <v/>
      </c>
      <c r="J73">
        <f>IF($A73&gt;cfg_LastDataDate,NA(),Calc_Daily!$HF73)</f>
        <v/>
      </c>
      <c r="K73">
        <f>Calc_Daily!$IT73</f>
        <v/>
      </c>
    </row>
    <row r="74">
      <c r="A74" s="54">
        <f>Calc_Daily!$A74</f>
        <v/>
      </c>
      <c r="B74">
        <f>IF($A74&gt;cfg_LastDataDate,NA(),Calc_Daily!$BZ74)</f>
        <v/>
      </c>
      <c r="C74">
        <f>Calc_Daily!$IG74/Calc_Daily!$D74</f>
        <v/>
      </c>
      <c r="D74">
        <f>IF($A74&gt;cfg_LastDataDate,NA(),Calc_Daily!$CZ74)</f>
        <v/>
      </c>
      <c r="E74">
        <f>Calc_Daily!$IX74</f>
        <v/>
      </c>
      <c r="F74">
        <f>IF($A74&gt;cfg_LastDataDate,NA(),Calc_Daily!$F74)</f>
        <v/>
      </c>
      <c r="G74">
        <f>IF($A74&gt;cfg_LastDataDate,NA(),Calc_Daily!$O74)</f>
        <v/>
      </c>
      <c r="H74">
        <f>IF($A74&gt;cfg_LastDataDate,NA(),Calc_Daily!$CS74)</f>
        <v/>
      </c>
      <c r="I74">
        <f>IF($A74&gt;cfg_LastDataDate,NA(),Calc_Daily!$CM74)</f>
        <v/>
      </c>
      <c r="J74">
        <f>IF($A74&gt;cfg_LastDataDate,NA(),Calc_Daily!$HF74)</f>
        <v/>
      </c>
      <c r="K74">
        <f>Calc_Daily!$IT74</f>
        <v/>
      </c>
    </row>
    <row r="75">
      <c r="A75" s="54">
        <f>Calc_Daily!$A75</f>
        <v/>
      </c>
      <c r="B75">
        <f>IF($A75&gt;cfg_LastDataDate,NA(),Calc_Daily!$BZ75)</f>
        <v/>
      </c>
      <c r="C75">
        <f>Calc_Daily!$IG75/Calc_Daily!$D75</f>
        <v/>
      </c>
      <c r="D75">
        <f>IF($A75&gt;cfg_LastDataDate,NA(),Calc_Daily!$CZ75)</f>
        <v/>
      </c>
      <c r="E75">
        <f>Calc_Daily!$IX75</f>
        <v/>
      </c>
      <c r="F75">
        <f>IF($A75&gt;cfg_LastDataDate,NA(),Calc_Daily!$F75)</f>
        <v/>
      </c>
      <c r="G75">
        <f>IF($A75&gt;cfg_LastDataDate,NA(),Calc_Daily!$O75)</f>
        <v/>
      </c>
      <c r="H75">
        <f>IF($A75&gt;cfg_LastDataDate,NA(),Calc_Daily!$CS75)</f>
        <v/>
      </c>
      <c r="I75">
        <f>IF($A75&gt;cfg_LastDataDate,NA(),Calc_Daily!$CM75)</f>
        <v/>
      </c>
      <c r="J75">
        <f>IF($A75&gt;cfg_LastDataDate,NA(),Calc_Daily!$HF75)</f>
        <v/>
      </c>
      <c r="K75">
        <f>Calc_Daily!$IT75</f>
        <v/>
      </c>
    </row>
    <row r="76">
      <c r="A76" s="54">
        <f>Calc_Daily!$A76</f>
        <v/>
      </c>
      <c r="B76">
        <f>IF($A76&gt;cfg_LastDataDate,NA(),Calc_Daily!$BZ76)</f>
        <v/>
      </c>
      <c r="C76">
        <f>Calc_Daily!$IG76/Calc_Daily!$D76</f>
        <v/>
      </c>
      <c r="D76">
        <f>IF($A76&gt;cfg_LastDataDate,NA(),Calc_Daily!$CZ76)</f>
        <v/>
      </c>
      <c r="E76">
        <f>Calc_Daily!$IX76</f>
        <v/>
      </c>
      <c r="F76">
        <f>IF($A76&gt;cfg_LastDataDate,NA(),Calc_Daily!$F76)</f>
        <v/>
      </c>
      <c r="G76">
        <f>IF($A76&gt;cfg_LastDataDate,NA(),Calc_Daily!$O76)</f>
        <v/>
      </c>
      <c r="H76">
        <f>IF($A76&gt;cfg_LastDataDate,NA(),Calc_Daily!$CS76)</f>
        <v/>
      </c>
      <c r="I76">
        <f>IF($A76&gt;cfg_LastDataDate,NA(),Calc_Daily!$CM76)</f>
        <v/>
      </c>
      <c r="J76">
        <f>IF($A76&gt;cfg_LastDataDate,NA(),Calc_Daily!$HF76)</f>
        <v/>
      </c>
      <c r="K76">
        <f>Calc_Daily!$IT76</f>
        <v/>
      </c>
    </row>
    <row r="77">
      <c r="A77" s="54">
        <f>Calc_Daily!$A77</f>
        <v/>
      </c>
      <c r="B77">
        <f>IF($A77&gt;cfg_LastDataDate,NA(),Calc_Daily!$BZ77)</f>
        <v/>
      </c>
      <c r="C77">
        <f>Calc_Daily!$IG77/Calc_Daily!$D77</f>
        <v/>
      </c>
      <c r="D77">
        <f>IF($A77&gt;cfg_LastDataDate,NA(),Calc_Daily!$CZ77)</f>
        <v/>
      </c>
      <c r="E77">
        <f>Calc_Daily!$IX77</f>
        <v/>
      </c>
      <c r="F77">
        <f>IF($A77&gt;cfg_LastDataDate,NA(),Calc_Daily!$F77)</f>
        <v/>
      </c>
      <c r="G77">
        <f>IF($A77&gt;cfg_LastDataDate,NA(),Calc_Daily!$O77)</f>
        <v/>
      </c>
      <c r="H77">
        <f>IF($A77&gt;cfg_LastDataDate,NA(),Calc_Daily!$CS77)</f>
        <v/>
      </c>
      <c r="I77">
        <f>IF($A77&gt;cfg_LastDataDate,NA(),Calc_Daily!$CM77)</f>
        <v/>
      </c>
      <c r="J77">
        <f>IF($A77&gt;cfg_LastDataDate,NA(),Calc_Daily!$HF77)</f>
        <v/>
      </c>
      <c r="K77">
        <f>Calc_Daily!$IT77</f>
        <v/>
      </c>
    </row>
    <row r="78">
      <c r="A78" s="54">
        <f>Calc_Daily!$A78</f>
        <v/>
      </c>
      <c r="B78">
        <f>IF($A78&gt;cfg_LastDataDate,NA(),Calc_Daily!$BZ78)</f>
        <v/>
      </c>
      <c r="C78">
        <f>Calc_Daily!$IG78/Calc_Daily!$D78</f>
        <v/>
      </c>
      <c r="D78">
        <f>IF($A78&gt;cfg_LastDataDate,NA(),Calc_Daily!$CZ78)</f>
        <v/>
      </c>
      <c r="E78">
        <f>Calc_Daily!$IX78</f>
        <v/>
      </c>
      <c r="F78">
        <f>IF($A78&gt;cfg_LastDataDate,NA(),Calc_Daily!$F78)</f>
        <v/>
      </c>
      <c r="G78">
        <f>IF($A78&gt;cfg_LastDataDate,NA(),Calc_Daily!$O78)</f>
        <v/>
      </c>
      <c r="H78">
        <f>IF($A78&gt;cfg_LastDataDate,NA(),Calc_Daily!$CS78)</f>
        <v/>
      </c>
      <c r="I78">
        <f>IF($A78&gt;cfg_LastDataDate,NA(),Calc_Daily!$CM78)</f>
        <v/>
      </c>
      <c r="J78">
        <f>IF($A78&gt;cfg_LastDataDate,NA(),Calc_Daily!$HF78)</f>
        <v/>
      </c>
      <c r="K78">
        <f>Calc_Daily!$IT78</f>
        <v/>
      </c>
    </row>
    <row r="79">
      <c r="A79" s="54">
        <f>Calc_Daily!$A79</f>
        <v/>
      </c>
      <c r="B79">
        <f>IF($A79&gt;cfg_LastDataDate,NA(),Calc_Daily!$BZ79)</f>
        <v/>
      </c>
      <c r="C79">
        <f>Calc_Daily!$IG79/Calc_Daily!$D79</f>
        <v/>
      </c>
      <c r="D79">
        <f>IF($A79&gt;cfg_LastDataDate,NA(),Calc_Daily!$CZ79)</f>
        <v/>
      </c>
      <c r="E79">
        <f>Calc_Daily!$IX79</f>
        <v/>
      </c>
      <c r="F79">
        <f>IF($A79&gt;cfg_LastDataDate,NA(),Calc_Daily!$F79)</f>
        <v/>
      </c>
      <c r="G79">
        <f>IF($A79&gt;cfg_LastDataDate,NA(),Calc_Daily!$O79)</f>
        <v/>
      </c>
      <c r="H79">
        <f>IF($A79&gt;cfg_LastDataDate,NA(),Calc_Daily!$CS79)</f>
        <v/>
      </c>
      <c r="I79">
        <f>IF($A79&gt;cfg_LastDataDate,NA(),Calc_Daily!$CM79)</f>
        <v/>
      </c>
      <c r="J79">
        <f>IF($A79&gt;cfg_LastDataDate,NA(),Calc_Daily!$HF79)</f>
        <v/>
      </c>
      <c r="K79">
        <f>Calc_Daily!$IT79</f>
        <v/>
      </c>
    </row>
    <row r="80">
      <c r="A80" s="54">
        <f>Calc_Daily!$A80</f>
        <v/>
      </c>
      <c r="B80">
        <f>IF($A80&gt;cfg_LastDataDate,NA(),Calc_Daily!$BZ80)</f>
        <v/>
      </c>
      <c r="C80">
        <f>Calc_Daily!$IG80/Calc_Daily!$D80</f>
        <v/>
      </c>
      <c r="D80">
        <f>IF($A80&gt;cfg_LastDataDate,NA(),Calc_Daily!$CZ80)</f>
        <v/>
      </c>
      <c r="E80">
        <f>Calc_Daily!$IX80</f>
        <v/>
      </c>
      <c r="F80">
        <f>IF($A80&gt;cfg_LastDataDate,NA(),Calc_Daily!$F80)</f>
        <v/>
      </c>
      <c r="G80">
        <f>IF($A80&gt;cfg_LastDataDate,NA(),Calc_Daily!$O80)</f>
        <v/>
      </c>
      <c r="H80">
        <f>IF($A80&gt;cfg_LastDataDate,NA(),Calc_Daily!$CS80)</f>
        <v/>
      </c>
      <c r="I80">
        <f>IF($A80&gt;cfg_LastDataDate,NA(),Calc_Daily!$CM80)</f>
        <v/>
      </c>
      <c r="J80">
        <f>IF($A80&gt;cfg_LastDataDate,NA(),Calc_Daily!$HF80)</f>
        <v/>
      </c>
      <c r="K80">
        <f>Calc_Daily!$IT80</f>
        <v/>
      </c>
    </row>
    <row r="81">
      <c r="A81" s="54">
        <f>Calc_Daily!$A81</f>
        <v/>
      </c>
      <c r="B81">
        <f>IF($A81&gt;cfg_LastDataDate,NA(),Calc_Daily!$BZ81)</f>
        <v/>
      </c>
      <c r="C81">
        <f>Calc_Daily!$IG81/Calc_Daily!$D81</f>
        <v/>
      </c>
      <c r="D81">
        <f>IF($A81&gt;cfg_LastDataDate,NA(),Calc_Daily!$CZ81)</f>
        <v/>
      </c>
      <c r="E81">
        <f>Calc_Daily!$IX81</f>
        <v/>
      </c>
      <c r="F81">
        <f>IF($A81&gt;cfg_LastDataDate,NA(),Calc_Daily!$F81)</f>
        <v/>
      </c>
      <c r="G81">
        <f>IF($A81&gt;cfg_LastDataDate,NA(),Calc_Daily!$O81)</f>
        <v/>
      </c>
      <c r="H81">
        <f>IF($A81&gt;cfg_LastDataDate,NA(),Calc_Daily!$CS81)</f>
        <v/>
      </c>
      <c r="I81">
        <f>IF($A81&gt;cfg_LastDataDate,NA(),Calc_Daily!$CM81)</f>
        <v/>
      </c>
      <c r="J81">
        <f>IF($A81&gt;cfg_LastDataDate,NA(),Calc_Daily!$HF81)</f>
        <v/>
      </c>
      <c r="K81">
        <f>Calc_Daily!$IT81</f>
        <v/>
      </c>
    </row>
    <row r="82">
      <c r="A82" s="54">
        <f>Calc_Daily!$A82</f>
        <v/>
      </c>
      <c r="B82">
        <f>IF($A82&gt;cfg_LastDataDate,NA(),Calc_Daily!$BZ82)</f>
        <v/>
      </c>
      <c r="C82">
        <f>Calc_Daily!$IG82/Calc_Daily!$D82</f>
        <v/>
      </c>
      <c r="D82">
        <f>IF($A82&gt;cfg_LastDataDate,NA(),Calc_Daily!$CZ82)</f>
        <v/>
      </c>
      <c r="E82">
        <f>Calc_Daily!$IX82</f>
        <v/>
      </c>
      <c r="F82">
        <f>IF($A82&gt;cfg_LastDataDate,NA(),Calc_Daily!$F82)</f>
        <v/>
      </c>
      <c r="G82">
        <f>IF($A82&gt;cfg_LastDataDate,NA(),Calc_Daily!$O82)</f>
        <v/>
      </c>
      <c r="H82">
        <f>IF($A82&gt;cfg_LastDataDate,NA(),Calc_Daily!$CS82)</f>
        <v/>
      </c>
      <c r="I82">
        <f>IF($A82&gt;cfg_LastDataDate,NA(),Calc_Daily!$CM82)</f>
        <v/>
      </c>
      <c r="J82">
        <f>IF($A82&gt;cfg_LastDataDate,NA(),Calc_Daily!$HF82)</f>
        <v/>
      </c>
      <c r="K82">
        <f>Calc_Daily!$IT82</f>
        <v/>
      </c>
    </row>
    <row r="83">
      <c r="A83" s="54">
        <f>Calc_Daily!$A83</f>
        <v/>
      </c>
      <c r="B83">
        <f>IF($A83&gt;cfg_LastDataDate,NA(),Calc_Daily!$BZ83)</f>
        <v/>
      </c>
      <c r="C83">
        <f>Calc_Daily!$IG83/Calc_Daily!$D83</f>
        <v/>
      </c>
      <c r="D83">
        <f>IF($A83&gt;cfg_LastDataDate,NA(),Calc_Daily!$CZ83)</f>
        <v/>
      </c>
      <c r="E83">
        <f>Calc_Daily!$IX83</f>
        <v/>
      </c>
      <c r="F83">
        <f>IF($A83&gt;cfg_LastDataDate,NA(),Calc_Daily!$F83)</f>
        <v/>
      </c>
      <c r="G83">
        <f>IF($A83&gt;cfg_LastDataDate,NA(),Calc_Daily!$O83)</f>
        <v/>
      </c>
      <c r="H83">
        <f>IF($A83&gt;cfg_LastDataDate,NA(),Calc_Daily!$CS83)</f>
        <v/>
      </c>
      <c r="I83">
        <f>IF($A83&gt;cfg_LastDataDate,NA(),Calc_Daily!$CM83)</f>
        <v/>
      </c>
      <c r="J83">
        <f>IF($A83&gt;cfg_LastDataDate,NA(),Calc_Daily!$HF83)</f>
        <v/>
      </c>
      <c r="K83">
        <f>Calc_Daily!$IT83</f>
        <v/>
      </c>
    </row>
    <row r="84">
      <c r="A84" s="54">
        <f>Calc_Daily!$A84</f>
        <v/>
      </c>
      <c r="B84">
        <f>IF($A84&gt;cfg_LastDataDate,NA(),Calc_Daily!$BZ84)</f>
        <v/>
      </c>
      <c r="C84">
        <f>Calc_Daily!$IG84/Calc_Daily!$D84</f>
        <v/>
      </c>
      <c r="D84">
        <f>IF($A84&gt;cfg_LastDataDate,NA(),Calc_Daily!$CZ84)</f>
        <v/>
      </c>
      <c r="E84">
        <f>Calc_Daily!$IX84</f>
        <v/>
      </c>
      <c r="F84">
        <f>IF($A84&gt;cfg_LastDataDate,NA(),Calc_Daily!$F84)</f>
        <v/>
      </c>
      <c r="G84">
        <f>IF($A84&gt;cfg_LastDataDate,NA(),Calc_Daily!$O84)</f>
        <v/>
      </c>
      <c r="H84">
        <f>IF($A84&gt;cfg_LastDataDate,NA(),Calc_Daily!$CS84)</f>
        <v/>
      </c>
      <c r="I84">
        <f>IF($A84&gt;cfg_LastDataDate,NA(),Calc_Daily!$CM84)</f>
        <v/>
      </c>
      <c r="J84">
        <f>IF($A84&gt;cfg_LastDataDate,NA(),Calc_Daily!$HF84)</f>
        <v/>
      </c>
      <c r="K84">
        <f>Calc_Daily!$IT84</f>
        <v/>
      </c>
    </row>
    <row r="85">
      <c r="A85" s="54">
        <f>Calc_Daily!$A85</f>
        <v/>
      </c>
      <c r="B85">
        <f>IF($A85&gt;cfg_LastDataDate,NA(),Calc_Daily!$BZ85)</f>
        <v/>
      </c>
      <c r="C85">
        <f>Calc_Daily!$IG85/Calc_Daily!$D85</f>
        <v/>
      </c>
      <c r="D85">
        <f>IF($A85&gt;cfg_LastDataDate,NA(),Calc_Daily!$CZ85)</f>
        <v/>
      </c>
      <c r="E85">
        <f>Calc_Daily!$IX85</f>
        <v/>
      </c>
      <c r="F85">
        <f>IF($A85&gt;cfg_LastDataDate,NA(),Calc_Daily!$F85)</f>
        <v/>
      </c>
      <c r="G85">
        <f>IF($A85&gt;cfg_LastDataDate,NA(),Calc_Daily!$O85)</f>
        <v/>
      </c>
      <c r="H85">
        <f>IF($A85&gt;cfg_LastDataDate,NA(),Calc_Daily!$CS85)</f>
        <v/>
      </c>
      <c r="I85">
        <f>IF($A85&gt;cfg_LastDataDate,NA(),Calc_Daily!$CM85)</f>
        <v/>
      </c>
      <c r="J85">
        <f>IF($A85&gt;cfg_LastDataDate,NA(),Calc_Daily!$HF85)</f>
        <v/>
      </c>
      <c r="K85">
        <f>Calc_Daily!$IT85</f>
        <v/>
      </c>
    </row>
    <row r="86">
      <c r="A86" s="54">
        <f>Calc_Daily!$A86</f>
        <v/>
      </c>
      <c r="B86">
        <f>IF($A86&gt;cfg_LastDataDate,NA(),Calc_Daily!$BZ86)</f>
        <v/>
      </c>
      <c r="C86">
        <f>Calc_Daily!$IG86/Calc_Daily!$D86</f>
        <v/>
      </c>
      <c r="D86">
        <f>IF($A86&gt;cfg_LastDataDate,NA(),Calc_Daily!$CZ86)</f>
        <v/>
      </c>
      <c r="E86">
        <f>Calc_Daily!$IX86</f>
        <v/>
      </c>
      <c r="F86">
        <f>IF($A86&gt;cfg_LastDataDate,NA(),Calc_Daily!$F86)</f>
        <v/>
      </c>
      <c r="G86">
        <f>IF($A86&gt;cfg_LastDataDate,NA(),Calc_Daily!$O86)</f>
        <v/>
      </c>
      <c r="H86">
        <f>IF($A86&gt;cfg_LastDataDate,NA(),Calc_Daily!$CS86)</f>
        <v/>
      </c>
      <c r="I86">
        <f>IF($A86&gt;cfg_LastDataDate,NA(),Calc_Daily!$CM86)</f>
        <v/>
      </c>
      <c r="J86">
        <f>IF($A86&gt;cfg_LastDataDate,NA(),Calc_Daily!$HF86)</f>
        <v/>
      </c>
      <c r="K86">
        <f>Calc_Daily!$IT86</f>
        <v/>
      </c>
    </row>
    <row r="87">
      <c r="A87" s="54">
        <f>Calc_Daily!$A87</f>
        <v/>
      </c>
      <c r="B87">
        <f>IF($A87&gt;cfg_LastDataDate,NA(),Calc_Daily!$BZ87)</f>
        <v/>
      </c>
      <c r="C87">
        <f>Calc_Daily!$IG87/Calc_Daily!$D87</f>
        <v/>
      </c>
      <c r="D87">
        <f>IF($A87&gt;cfg_LastDataDate,NA(),Calc_Daily!$CZ87)</f>
        <v/>
      </c>
      <c r="E87">
        <f>Calc_Daily!$IX87</f>
        <v/>
      </c>
      <c r="F87">
        <f>IF($A87&gt;cfg_LastDataDate,NA(),Calc_Daily!$F87)</f>
        <v/>
      </c>
      <c r="G87">
        <f>IF($A87&gt;cfg_LastDataDate,NA(),Calc_Daily!$O87)</f>
        <v/>
      </c>
      <c r="H87">
        <f>IF($A87&gt;cfg_LastDataDate,NA(),Calc_Daily!$CS87)</f>
        <v/>
      </c>
      <c r="I87">
        <f>IF($A87&gt;cfg_LastDataDate,NA(),Calc_Daily!$CM87)</f>
        <v/>
      </c>
      <c r="J87">
        <f>IF($A87&gt;cfg_LastDataDate,NA(),Calc_Daily!$HF87)</f>
        <v/>
      </c>
      <c r="K87">
        <f>Calc_Daily!$IT87</f>
        <v/>
      </c>
    </row>
    <row r="88">
      <c r="A88" s="54">
        <f>Calc_Daily!$A88</f>
        <v/>
      </c>
      <c r="B88">
        <f>IF($A88&gt;cfg_LastDataDate,NA(),Calc_Daily!$BZ88)</f>
        <v/>
      </c>
      <c r="C88">
        <f>Calc_Daily!$IG88/Calc_Daily!$D88</f>
        <v/>
      </c>
      <c r="D88">
        <f>IF($A88&gt;cfg_LastDataDate,NA(),Calc_Daily!$CZ88)</f>
        <v/>
      </c>
      <c r="E88">
        <f>Calc_Daily!$IX88</f>
        <v/>
      </c>
      <c r="F88">
        <f>IF($A88&gt;cfg_LastDataDate,NA(),Calc_Daily!$F88)</f>
        <v/>
      </c>
      <c r="G88">
        <f>IF($A88&gt;cfg_LastDataDate,NA(),Calc_Daily!$O88)</f>
        <v/>
      </c>
      <c r="H88">
        <f>IF($A88&gt;cfg_LastDataDate,NA(),Calc_Daily!$CS88)</f>
        <v/>
      </c>
      <c r="I88">
        <f>IF($A88&gt;cfg_LastDataDate,NA(),Calc_Daily!$CM88)</f>
        <v/>
      </c>
      <c r="J88">
        <f>IF($A88&gt;cfg_LastDataDate,NA(),Calc_Daily!$HF88)</f>
        <v/>
      </c>
      <c r="K88">
        <f>Calc_Daily!$IT88</f>
        <v/>
      </c>
    </row>
    <row r="89">
      <c r="A89" s="54">
        <f>Calc_Daily!$A89</f>
        <v/>
      </c>
      <c r="B89">
        <f>IF($A89&gt;cfg_LastDataDate,NA(),Calc_Daily!$BZ89)</f>
        <v/>
      </c>
      <c r="C89">
        <f>Calc_Daily!$IG89/Calc_Daily!$D89</f>
        <v/>
      </c>
      <c r="D89">
        <f>IF($A89&gt;cfg_LastDataDate,NA(),Calc_Daily!$CZ89)</f>
        <v/>
      </c>
      <c r="E89">
        <f>Calc_Daily!$IX89</f>
        <v/>
      </c>
      <c r="F89">
        <f>IF($A89&gt;cfg_LastDataDate,NA(),Calc_Daily!$F89)</f>
        <v/>
      </c>
      <c r="G89">
        <f>IF($A89&gt;cfg_LastDataDate,NA(),Calc_Daily!$O89)</f>
        <v/>
      </c>
      <c r="H89">
        <f>IF($A89&gt;cfg_LastDataDate,NA(),Calc_Daily!$CS89)</f>
        <v/>
      </c>
      <c r="I89">
        <f>IF($A89&gt;cfg_LastDataDate,NA(),Calc_Daily!$CM89)</f>
        <v/>
      </c>
      <c r="J89">
        <f>IF($A89&gt;cfg_LastDataDate,NA(),Calc_Daily!$HF89)</f>
        <v/>
      </c>
      <c r="K89">
        <f>Calc_Daily!$IT89</f>
        <v/>
      </c>
    </row>
    <row r="90">
      <c r="A90" s="54">
        <f>Calc_Daily!$A90</f>
        <v/>
      </c>
      <c r="B90">
        <f>IF($A90&gt;cfg_LastDataDate,NA(),Calc_Daily!$BZ90)</f>
        <v/>
      </c>
      <c r="C90">
        <f>Calc_Daily!$IG90/Calc_Daily!$D90</f>
        <v/>
      </c>
      <c r="D90">
        <f>IF($A90&gt;cfg_LastDataDate,NA(),Calc_Daily!$CZ90)</f>
        <v/>
      </c>
      <c r="E90">
        <f>Calc_Daily!$IX90</f>
        <v/>
      </c>
      <c r="F90">
        <f>IF($A90&gt;cfg_LastDataDate,NA(),Calc_Daily!$F90)</f>
        <v/>
      </c>
      <c r="G90">
        <f>IF($A90&gt;cfg_LastDataDate,NA(),Calc_Daily!$O90)</f>
        <v/>
      </c>
      <c r="H90">
        <f>IF($A90&gt;cfg_LastDataDate,NA(),Calc_Daily!$CS90)</f>
        <v/>
      </c>
      <c r="I90">
        <f>IF($A90&gt;cfg_LastDataDate,NA(),Calc_Daily!$CM90)</f>
        <v/>
      </c>
      <c r="J90">
        <f>IF($A90&gt;cfg_LastDataDate,NA(),Calc_Daily!$HF90)</f>
        <v/>
      </c>
      <c r="K90">
        <f>Calc_Daily!$IT90</f>
        <v/>
      </c>
    </row>
    <row r="91">
      <c r="A91" s="54">
        <f>Calc_Daily!$A91</f>
        <v/>
      </c>
      <c r="B91">
        <f>IF($A91&gt;cfg_LastDataDate,NA(),Calc_Daily!$BZ91)</f>
        <v/>
      </c>
      <c r="C91">
        <f>Calc_Daily!$IG91/Calc_Daily!$D91</f>
        <v/>
      </c>
      <c r="D91">
        <f>IF($A91&gt;cfg_LastDataDate,NA(),Calc_Daily!$CZ91)</f>
        <v/>
      </c>
      <c r="E91">
        <f>Calc_Daily!$IX91</f>
        <v/>
      </c>
      <c r="F91">
        <f>IF($A91&gt;cfg_LastDataDate,NA(),Calc_Daily!$F91)</f>
        <v/>
      </c>
      <c r="G91">
        <f>IF($A91&gt;cfg_LastDataDate,NA(),Calc_Daily!$O91)</f>
        <v/>
      </c>
      <c r="H91">
        <f>IF($A91&gt;cfg_LastDataDate,NA(),Calc_Daily!$CS91)</f>
        <v/>
      </c>
      <c r="I91">
        <f>IF($A91&gt;cfg_LastDataDate,NA(),Calc_Daily!$CM91)</f>
        <v/>
      </c>
      <c r="J91">
        <f>IF($A91&gt;cfg_LastDataDate,NA(),Calc_Daily!$HF91)</f>
        <v/>
      </c>
      <c r="K91">
        <f>Calc_Daily!$IT91</f>
        <v/>
      </c>
    </row>
    <row r="92">
      <c r="A92" s="54">
        <f>Calc_Daily!$A92</f>
        <v/>
      </c>
      <c r="B92">
        <f>IF($A92&gt;cfg_LastDataDate,NA(),Calc_Daily!$BZ92)</f>
        <v/>
      </c>
      <c r="C92">
        <f>Calc_Daily!$IG92/Calc_Daily!$D92</f>
        <v/>
      </c>
      <c r="D92">
        <f>IF($A92&gt;cfg_LastDataDate,NA(),Calc_Daily!$CZ92)</f>
        <v/>
      </c>
      <c r="E92">
        <f>Calc_Daily!$IX92</f>
        <v/>
      </c>
      <c r="F92">
        <f>IF($A92&gt;cfg_LastDataDate,NA(),Calc_Daily!$F92)</f>
        <v/>
      </c>
      <c r="G92">
        <f>IF($A92&gt;cfg_LastDataDate,NA(),Calc_Daily!$O92)</f>
        <v/>
      </c>
      <c r="H92">
        <f>IF($A92&gt;cfg_LastDataDate,NA(),Calc_Daily!$CS92)</f>
        <v/>
      </c>
      <c r="I92">
        <f>IF($A92&gt;cfg_LastDataDate,NA(),Calc_Daily!$CM92)</f>
        <v/>
      </c>
      <c r="J92">
        <f>IF($A92&gt;cfg_LastDataDate,NA(),Calc_Daily!$HF92)</f>
        <v/>
      </c>
      <c r="K92">
        <f>Calc_Daily!$IT92</f>
        <v/>
      </c>
    </row>
    <row r="93">
      <c r="A93" s="54">
        <f>Calc_Daily!$A93</f>
        <v/>
      </c>
      <c r="B93">
        <f>IF($A93&gt;cfg_LastDataDate,NA(),Calc_Daily!$BZ93)</f>
        <v/>
      </c>
      <c r="C93">
        <f>Calc_Daily!$IG93/Calc_Daily!$D93</f>
        <v/>
      </c>
      <c r="D93">
        <f>IF($A93&gt;cfg_LastDataDate,NA(),Calc_Daily!$CZ93)</f>
        <v/>
      </c>
      <c r="E93">
        <f>Calc_Daily!$IX93</f>
        <v/>
      </c>
      <c r="F93">
        <f>IF($A93&gt;cfg_LastDataDate,NA(),Calc_Daily!$F93)</f>
        <v/>
      </c>
      <c r="G93">
        <f>IF($A93&gt;cfg_LastDataDate,NA(),Calc_Daily!$O93)</f>
        <v/>
      </c>
      <c r="H93">
        <f>IF($A93&gt;cfg_LastDataDate,NA(),Calc_Daily!$CS93)</f>
        <v/>
      </c>
      <c r="I93">
        <f>IF($A93&gt;cfg_LastDataDate,NA(),Calc_Daily!$CM93)</f>
        <v/>
      </c>
      <c r="J93">
        <f>IF($A93&gt;cfg_LastDataDate,NA(),Calc_Daily!$HF93)</f>
        <v/>
      </c>
      <c r="K93">
        <f>Calc_Daily!$IT93</f>
        <v/>
      </c>
    </row>
    <row r="94">
      <c r="A94" s="54">
        <f>Calc_Daily!$A94</f>
        <v/>
      </c>
      <c r="B94">
        <f>IF($A94&gt;cfg_LastDataDate,NA(),Calc_Daily!$BZ94)</f>
        <v/>
      </c>
      <c r="C94">
        <f>Calc_Daily!$IG94/Calc_Daily!$D94</f>
        <v/>
      </c>
      <c r="D94">
        <f>IF($A94&gt;cfg_LastDataDate,NA(),Calc_Daily!$CZ94)</f>
        <v/>
      </c>
      <c r="E94">
        <f>Calc_Daily!$IX94</f>
        <v/>
      </c>
      <c r="F94">
        <f>IF($A94&gt;cfg_LastDataDate,NA(),Calc_Daily!$F94)</f>
        <v/>
      </c>
      <c r="G94">
        <f>IF($A94&gt;cfg_LastDataDate,NA(),Calc_Daily!$O94)</f>
        <v/>
      </c>
      <c r="H94">
        <f>IF($A94&gt;cfg_LastDataDate,NA(),Calc_Daily!$CS94)</f>
        <v/>
      </c>
      <c r="I94">
        <f>IF($A94&gt;cfg_LastDataDate,NA(),Calc_Daily!$CM94)</f>
        <v/>
      </c>
      <c r="J94">
        <f>IF($A94&gt;cfg_LastDataDate,NA(),Calc_Daily!$HF94)</f>
        <v/>
      </c>
      <c r="K94">
        <f>Calc_Daily!$IT94</f>
        <v/>
      </c>
    </row>
    <row r="95">
      <c r="A95" s="54">
        <f>Calc_Daily!$A95</f>
        <v/>
      </c>
      <c r="B95">
        <f>IF($A95&gt;cfg_LastDataDate,NA(),Calc_Daily!$BZ95)</f>
        <v/>
      </c>
      <c r="C95">
        <f>Calc_Daily!$IG95/Calc_Daily!$D95</f>
        <v/>
      </c>
      <c r="D95">
        <f>IF($A95&gt;cfg_LastDataDate,NA(),Calc_Daily!$CZ95)</f>
        <v/>
      </c>
      <c r="E95">
        <f>Calc_Daily!$IX95</f>
        <v/>
      </c>
      <c r="F95">
        <f>IF($A95&gt;cfg_LastDataDate,NA(),Calc_Daily!$F95)</f>
        <v/>
      </c>
      <c r="G95">
        <f>IF($A95&gt;cfg_LastDataDate,NA(),Calc_Daily!$O95)</f>
        <v/>
      </c>
      <c r="H95">
        <f>IF($A95&gt;cfg_LastDataDate,NA(),Calc_Daily!$CS95)</f>
        <v/>
      </c>
      <c r="I95">
        <f>IF($A95&gt;cfg_LastDataDate,NA(),Calc_Daily!$CM95)</f>
        <v/>
      </c>
      <c r="J95">
        <f>IF($A95&gt;cfg_LastDataDate,NA(),Calc_Daily!$HF95)</f>
        <v/>
      </c>
      <c r="K95">
        <f>Calc_Daily!$IT95</f>
        <v/>
      </c>
    </row>
    <row r="96">
      <c r="A96" s="54">
        <f>Calc_Daily!$A96</f>
        <v/>
      </c>
      <c r="B96">
        <f>IF($A96&gt;cfg_LastDataDate,NA(),Calc_Daily!$BZ96)</f>
        <v/>
      </c>
      <c r="C96">
        <f>Calc_Daily!$IG96/Calc_Daily!$D96</f>
        <v/>
      </c>
      <c r="D96">
        <f>IF($A96&gt;cfg_LastDataDate,NA(),Calc_Daily!$CZ96)</f>
        <v/>
      </c>
      <c r="E96">
        <f>Calc_Daily!$IX96</f>
        <v/>
      </c>
      <c r="F96">
        <f>IF($A96&gt;cfg_LastDataDate,NA(),Calc_Daily!$F96)</f>
        <v/>
      </c>
      <c r="G96">
        <f>IF($A96&gt;cfg_LastDataDate,NA(),Calc_Daily!$O96)</f>
        <v/>
      </c>
      <c r="H96">
        <f>IF($A96&gt;cfg_LastDataDate,NA(),Calc_Daily!$CS96)</f>
        <v/>
      </c>
      <c r="I96">
        <f>IF($A96&gt;cfg_LastDataDate,NA(),Calc_Daily!$CM96)</f>
        <v/>
      </c>
      <c r="J96">
        <f>IF($A96&gt;cfg_LastDataDate,NA(),Calc_Daily!$HF96)</f>
        <v/>
      </c>
      <c r="K96">
        <f>Calc_Daily!$IT96</f>
        <v/>
      </c>
    </row>
    <row r="97">
      <c r="A97" s="54">
        <f>Calc_Daily!$A97</f>
        <v/>
      </c>
      <c r="B97">
        <f>IF($A97&gt;cfg_LastDataDate,NA(),Calc_Daily!$BZ97)</f>
        <v/>
      </c>
      <c r="C97">
        <f>Calc_Daily!$IG97/Calc_Daily!$D97</f>
        <v/>
      </c>
      <c r="D97">
        <f>IF($A97&gt;cfg_LastDataDate,NA(),Calc_Daily!$CZ97)</f>
        <v/>
      </c>
      <c r="E97">
        <f>Calc_Daily!$IX97</f>
        <v/>
      </c>
      <c r="F97">
        <f>IF($A97&gt;cfg_LastDataDate,NA(),Calc_Daily!$F97)</f>
        <v/>
      </c>
      <c r="G97">
        <f>IF($A97&gt;cfg_LastDataDate,NA(),Calc_Daily!$O97)</f>
        <v/>
      </c>
      <c r="H97">
        <f>IF($A97&gt;cfg_LastDataDate,NA(),Calc_Daily!$CS97)</f>
        <v/>
      </c>
      <c r="I97">
        <f>IF($A97&gt;cfg_LastDataDate,NA(),Calc_Daily!$CM97)</f>
        <v/>
      </c>
      <c r="J97">
        <f>IF($A97&gt;cfg_LastDataDate,NA(),Calc_Daily!$HF97)</f>
        <v/>
      </c>
      <c r="K97">
        <f>Calc_Daily!$IT97</f>
        <v/>
      </c>
    </row>
    <row r="98">
      <c r="A98" s="54">
        <f>Calc_Daily!$A98</f>
        <v/>
      </c>
      <c r="B98">
        <f>IF($A98&gt;cfg_LastDataDate,NA(),Calc_Daily!$BZ98)</f>
        <v/>
      </c>
      <c r="C98">
        <f>Calc_Daily!$IG98/Calc_Daily!$D98</f>
        <v/>
      </c>
      <c r="D98">
        <f>IF($A98&gt;cfg_LastDataDate,NA(),Calc_Daily!$CZ98)</f>
        <v/>
      </c>
      <c r="E98">
        <f>Calc_Daily!$IX98</f>
        <v/>
      </c>
      <c r="F98">
        <f>IF($A98&gt;cfg_LastDataDate,NA(),Calc_Daily!$F98)</f>
        <v/>
      </c>
      <c r="G98">
        <f>IF($A98&gt;cfg_LastDataDate,NA(),Calc_Daily!$O98)</f>
        <v/>
      </c>
      <c r="H98">
        <f>IF($A98&gt;cfg_LastDataDate,NA(),Calc_Daily!$CS98)</f>
        <v/>
      </c>
      <c r="I98">
        <f>IF($A98&gt;cfg_LastDataDate,NA(),Calc_Daily!$CM98)</f>
        <v/>
      </c>
      <c r="J98">
        <f>IF($A98&gt;cfg_LastDataDate,NA(),Calc_Daily!$HF98)</f>
        <v/>
      </c>
      <c r="K98">
        <f>Calc_Daily!$IT98</f>
        <v/>
      </c>
    </row>
    <row r="99">
      <c r="A99" s="54">
        <f>Calc_Daily!$A99</f>
        <v/>
      </c>
      <c r="B99">
        <f>IF($A99&gt;cfg_LastDataDate,NA(),Calc_Daily!$BZ99)</f>
        <v/>
      </c>
      <c r="C99">
        <f>Calc_Daily!$IG99/Calc_Daily!$D99</f>
        <v/>
      </c>
      <c r="D99">
        <f>IF($A99&gt;cfg_LastDataDate,NA(),Calc_Daily!$CZ99)</f>
        <v/>
      </c>
      <c r="E99">
        <f>Calc_Daily!$IX99</f>
        <v/>
      </c>
      <c r="F99">
        <f>IF($A99&gt;cfg_LastDataDate,NA(),Calc_Daily!$F99)</f>
        <v/>
      </c>
      <c r="G99">
        <f>IF($A99&gt;cfg_LastDataDate,NA(),Calc_Daily!$O99)</f>
        <v/>
      </c>
      <c r="H99">
        <f>IF($A99&gt;cfg_LastDataDate,NA(),Calc_Daily!$CS99)</f>
        <v/>
      </c>
      <c r="I99">
        <f>IF($A99&gt;cfg_LastDataDate,NA(),Calc_Daily!$CM99)</f>
        <v/>
      </c>
      <c r="J99">
        <f>IF($A99&gt;cfg_LastDataDate,NA(),Calc_Daily!$HF99)</f>
        <v/>
      </c>
      <c r="K99">
        <f>Calc_Daily!$IT99</f>
        <v/>
      </c>
    </row>
    <row r="100">
      <c r="A100" s="54">
        <f>Calc_Daily!$A100</f>
        <v/>
      </c>
      <c r="B100">
        <f>IF($A100&gt;cfg_LastDataDate,NA(),Calc_Daily!$BZ100)</f>
        <v/>
      </c>
      <c r="C100">
        <f>Calc_Daily!$IG100/Calc_Daily!$D100</f>
        <v/>
      </c>
      <c r="D100">
        <f>IF($A100&gt;cfg_LastDataDate,NA(),Calc_Daily!$CZ100)</f>
        <v/>
      </c>
      <c r="E100">
        <f>Calc_Daily!$IX100</f>
        <v/>
      </c>
      <c r="F100">
        <f>IF($A100&gt;cfg_LastDataDate,NA(),Calc_Daily!$F100)</f>
        <v/>
      </c>
      <c r="G100">
        <f>IF($A100&gt;cfg_LastDataDate,NA(),Calc_Daily!$O100)</f>
        <v/>
      </c>
      <c r="H100">
        <f>IF($A100&gt;cfg_LastDataDate,NA(),Calc_Daily!$CS100)</f>
        <v/>
      </c>
      <c r="I100">
        <f>IF($A100&gt;cfg_LastDataDate,NA(),Calc_Daily!$CM100)</f>
        <v/>
      </c>
      <c r="J100">
        <f>IF($A100&gt;cfg_LastDataDate,NA(),Calc_Daily!$HF100)</f>
        <v/>
      </c>
      <c r="K100">
        <f>Calc_Daily!$IT100</f>
        <v/>
      </c>
    </row>
    <row r="101">
      <c r="A101" s="54">
        <f>Calc_Daily!$A101</f>
        <v/>
      </c>
      <c r="B101">
        <f>IF($A101&gt;cfg_LastDataDate,NA(),Calc_Daily!$BZ101)</f>
        <v/>
      </c>
      <c r="C101">
        <f>Calc_Daily!$IG101/Calc_Daily!$D101</f>
        <v/>
      </c>
      <c r="D101">
        <f>IF($A101&gt;cfg_LastDataDate,NA(),Calc_Daily!$CZ101)</f>
        <v/>
      </c>
      <c r="E101">
        <f>Calc_Daily!$IX101</f>
        <v/>
      </c>
      <c r="F101">
        <f>IF($A101&gt;cfg_LastDataDate,NA(),Calc_Daily!$F101)</f>
        <v/>
      </c>
      <c r="G101">
        <f>IF($A101&gt;cfg_LastDataDate,NA(),Calc_Daily!$O101)</f>
        <v/>
      </c>
      <c r="H101">
        <f>IF($A101&gt;cfg_LastDataDate,NA(),Calc_Daily!$CS101)</f>
        <v/>
      </c>
      <c r="I101">
        <f>IF($A101&gt;cfg_LastDataDate,NA(),Calc_Daily!$CM101)</f>
        <v/>
      </c>
      <c r="J101">
        <f>IF($A101&gt;cfg_LastDataDate,NA(),Calc_Daily!$HF101)</f>
        <v/>
      </c>
      <c r="K101">
        <f>Calc_Daily!$IT101</f>
        <v/>
      </c>
    </row>
    <row r="102">
      <c r="A102" s="54">
        <f>Calc_Daily!$A102</f>
        <v/>
      </c>
      <c r="B102">
        <f>IF($A102&gt;cfg_LastDataDate,NA(),Calc_Daily!$BZ102)</f>
        <v/>
      </c>
      <c r="C102">
        <f>Calc_Daily!$IG102/Calc_Daily!$D102</f>
        <v/>
      </c>
      <c r="D102">
        <f>IF($A102&gt;cfg_LastDataDate,NA(),Calc_Daily!$CZ102)</f>
        <v/>
      </c>
      <c r="E102">
        <f>Calc_Daily!$IX102</f>
        <v/>
      </c>
      <c r="F102">
        <f>IF($A102&gt;cfg_LastDataDate,NA(),Calc_Daily!$F102)</f>
        <v/>
      </c>
      <c r="G102">
        <f>IF($A102&gt;cfg_LastDataDate,NA(),Calc_Daily!$O102)</f>
        <v/>
      </c>
      <c r="H102">
        <f>IF($A102&gt;cfg_LastDataDate,NA(),Calc_Daily!$CS102)</f>
        <v/>
      </c>
      <c r="I102">
        <f>IF($A102&gt;cfg_LastDataDate,NA(),Calc_Daily!$CM102)</f>
        <v/>
      </c>
      <c r="J102">
        <f>IF($A102&gt;cfg_LastDataDate,NA(),Calc_Daily!$HF102)</f>
        <v/>
      </c>
      <c r="K102">
        <f>Calc_Daily!$IT102</f>
        <v/>
      </c>
    </row>
    <row r="103">
      <c r="A103" s="54">
        <f>Calc_Daily!$A103</f>
        <v/>
      </c>
      <c r="B103">
        <f>IF($A103&gt;cfg_LastDataDate,NA(),Calc_Daily!$BZ103)</f>
        <v/>
      </c>
      <c r="C103">
        <f>Calc_Daily!$IG103/Calc_Daily!$D103</f>
        <v/>
      </c>
      <c r="D103">
        <f>IF($A103&gt;cfg_LastDataDate,NA(),Calc_Daily!$CZ103)</f>
        <v/>
      </c>
      <c r="E103">
        <f>Calc_Daily!$IX103</f>
        <v/>
      </c>
      <c r="F103">
        <f>IF($A103&gt;cfg_LastDataDate,NA(),Calc_Daily!$F103)</f>
        <v/>
      </c>
      <c r="G103">
        <f>IF($A103&gt;cfg_LastDataDate,NA(),Calc_Daily!$O103)</f>
        <v/>
      </c>
      <c r="H103">
        <f>IF($A103&gt;cfg_LastDataDate,NA(),Calc_Daily!$CS103)</f>
        <v/>
      </c>
      <c r="I103">
        <f>IF($A103&gt;cfg_LastDataDate,NA(),Calc_Daily!$CM103)</f>
        <v/>
      </c>
      <c r="J103">
        <f>IF($A103&gt;cfg_LastDataDate,NA(),Calc_Daily!$HF103)</f>
        <v/>
      </c>
      <c r="K103">
        <f>Calc_Daily!$IT103</f>
        <v/>
      </c>
    </row>
    <row r="104">
      <c r="A104" s="54">
        <f>Calc_Daily!$A104</f>
        <v/>
      </c>
      <c r="B104">
        <f>IF($A104&gt;cfg_LastDataDate,NA(),Calc_Daily!$BZ104)</f>
        <v/>
      </c>
      <c r="C104">
        <f>Calc_Daily!$IG104/Calc_Daily!$D104</f>
        <v/>
      </c>
      <c r="D104">
        <f>IF($A104&gt;cfg_LastDataDate,NA(),Calc_Daily!$CZ104)</f>
        <v/>
      </c>
      <c r="E104">
        <f>Calc_Daily!$IX104</f>
        <v/>
      </c>
      <c r="F104">
        <f>IF($A104&gt;cfg_LastDataDate,NA(),Calc_Daily!$F104)</f>
        <v/>
      </c>
      <c r="G104">
        <f>IF($A104&gt;cfg_LastDataDate,NA(),Calc_Daily!$O104)</f>
        <v/>
      </c>
      <c r="H104">
        <f>IF($A104&gt;cfg_LastDataDate,NA(),Calc_Daily!$CS104)</f>
        <v/>
      </c>
      <c r="I104">
        <f>IF($A104&gt;cfg_LastDataDate,NA(),Calc_Daily!$CM104)</f>
        <v/>
      </c>
      <c r="J104">
        <f>IF($A104&gt;cfg_LastDataDate,NA(),Calc_Daily!$HF104)</f>
        <v/>
      </c>
      <c r="K104">
        <f>Calc_Daily!$IT104</f>
        <v/>
      </c>
    </row>
    <row r="105">
      <c r="A105" s="54">
        <f>Calc_Daily!$A105</f>
        <v/>
      </c>
      <c r="B105">
        <f>IF($A105&gt;cfg_LastDataDate,NA(),Calc_Daily!$BZ105)</f>
        <v/>
      </c>
      <c r="C105">
        <f>Calc_Daily!$IG105/Calc_Daily!$D105</f>
        <v/>
      </c>
      <c r="D105">
        <f>IF($A105&gt;cfg_LastDataDate,NA(),Calc_Daily!$CZ105)</f>
        <v/>
      </c>
      <c r="E105">
        <f>Calc_Daily!$IX105</f>
        <v/>
      </c>
      <c r="F105">
        <f>IF($A105&gt;cfg_LastDataDate,NA(),Calc_Daily!$F105)</f>
        <v/>
      </c>
      <c r="G105">
        <f>IF($A105&gt;cfg_LastDataDate,NA(),Calc_Daily!$O105)</f>
        <v/>
      </c>
      <c r="H105">
        <f>IF($A105&gt;cfg_LastDataDate,NA(),Calc_Daily!$CS105)</f>
        <v/>
      </c>
      <c r="I105">
        <f>IF($A105&gt;cfg_LastDataDate,NA(),Calc_Daily!$CM105)</f>
        <v/>
      </c>
      <c r="J105">
        <f>IF($A105&gt;cfg_LastDataDate,NA(),Calc_Daily!$HF105)</f>
        <v/>
      </c>
      <c r="K105">
        <f>Calc_Daily!$IT105</f>
        <v/>
      </c>
    </row>
    <row r="106">
      <c r="A106" s="54">
        <f>Calc_Daily!$A106</f>
        <v/>
      </c>
      <c r="B106">
        <f>IF($A106&gt;cfg_LastDataDate,NA(),Calc_Daily!$BZ106)</f>
        <v/>
      </c>
      <c r="C106">
        <f>Calc_Daily!$IG106/Calc_Daily!$D106</f>
        <v/>
      </c>
      <c r="D106">
        <f>IF($A106&gt;cfg_LastDataDate,NA(),Calc_Daily!$CZ106)</f>
        <v/>
      </c>
      <c r="E106">
        <f>Calc_Daily!$IX106</f>
        <v/>
      </c>
      <c r="F106">
        <f>IF($A106&gt;cfg_LastDataDate,NA(),Calc_Daily!$F106)</f>
        <v/>
      </c>
      <c r="G106">
        <f>IF($A106&gt;cfg_LastDataDate,NA(),Calc_Daily!$O106)</f>
        <v/>
      </c>
      <c r="H106">
        <f>IF($A106&gt;cfg_LastDataDate,NA(),Calc_Daily!$CS106)</f>
        <v/>
      </c>
      <c r="I106">
        <f>IF($A106&gt;cfg_LastDataDate,NA(),Calc_Daily!$CM106)</f>
        <v/>
      </c>
      <c r="J106">
        <f>IF($A106&gt;cfg_LastDataDate,NA(),Calc_Daily!$HF106)</f>
        <v/>
      </c>
      <c r="K106">
        <f>Calc_Daily!$IT106</f>
        <v/>
      </c>
    </row>
    <row r="107">
      <c r="A107" s="54">
        <f>Calc_Daily!$A107</f>
        <v/>
      </c>
      <c r="B107">
        <f>IF($A107&gt;cfg_LastDataDate,NA(),Calc_Daily!$BZ107)</f>
        <v/>
      </c>
      <c r="C107">
        <f>Calc_Daily!$IG107/Calc_Daily!$D107</f>
        <v/>
      </c>
      <c r="D107">
        <f>IF($A107&gt;cfg_LastDataDate,NA(),Calc_Daily!$CZ107)</f>
        <v/>
      </c>
      <c r="E107">
        <f>Calc_Daily!$IX107</f>
        <v/>
      </c>
      <c r="F107">
        <f>IF($A107&gt;cfg_LastDataDate,NA(),Calc_Daily!$F107)</f>
        <v/>
      </c>
      <c r="G107">
        <f>IF($A107&gt;cfg_LastDataDate,NA(),Calc_Daily!$O107)</f>
        <v/>
      </c>
      <c r="H107">
        <f>IF($A107&gt;cfg_LastDataDate,NA(),Calc_Daily!$CS107)</f>
        <v/>
      </c>
      <c r="I107">
        <f>IF($A107&gt;cfg_LastDataDate,NA(),Calc_Daily!$CM107)</f>
        <v/>
      </c>
      <c r="J107">
        <f>IF($A107&gt;cfg_LastDataDate,NA(),Calc_Daily!$HF107)</f>
        <v/>
      </c>
      <c r="K107">
        <f>Calc_Daily!$IT107</f>
        <v/>
      </c>
    </row>
    <row r="108">
      <c r="A108" s="54">
        <f>Calc_Daily!$A108</f>
        <v/>
      </c>
      <c r="B108">
        <f>IF($A108&gt;cfg_LastDataDate,NA(),Calc_Daily!$BZ108)</f>
        <v/>
      </c>
      <c r="C108">
        <f>Calc_Daily!$IG108/Calc_Daily!$D108</f>
        <v/>
      </c>
      <c r="D108">
        <f>IF($A108&gt;cfg_LastDataDate,NA(),Calc_Daily!$CZ108)</f>
        <v/>
      </c>
      <c r="E108">
        <f>Calc_Daily!$IX108</f>
        <v/>
      </c>
      <c r="F108">
        <f>IF($A108&gt;cfg_LastDataDate,NA(),Calc_Daily!$F108)</f>
        <v/>
      </c>
      <c r="G108">
        <f>IF($A108&gt;cfg_LastDataDate,NA(),Calc_Daily!$O108)</f>
        <v/>
      </c>
      <c r="H108">
        <f>IF($A108&gt;cfg_LastDataDate,NA(),Calc_Daily!$CS108)</f>
        <v/>
      </c>
      <c r="I108">
        <f>IF($A108&gt;cfg_LastDataDate,NA(),Calc_Daily!$CM108)</f>
        <v/>
      </c>
      <c r="J108">
        <f>IF($A108&gt;cfg_LastDataDate,NA(),Calc_Daily!$HF108)</f>
        <v/>
      </c>
      <c r="K108">
        <f>Calc_Daily!$IT108</f>
        <v/>
      </c>
    </row>
    <row r="109">
      <c r="A109" s="54">
        <f>Calc_Daily!$A109</f>
        <v/>
      </c>
      <c r="B109">
        <f>IF($A109&gt;cfg_LastDataDate,NA(),Calc_Daily!$BZ109)</f>
        <v/>
      </c>
      <c r="C109">
        <f>Calc_Daily!$IG109/Calc_Daily!$D109</f>
        <v/>
      </c>
      <c r="D109">
        <f>IF($A109&gt;cfg_LastDataDate,NA(),Calc_Daily!$CZ109)</f>
        <v/>
      </c>
      <c r="E109">
        <f>Calc_Daily!$IX109</f>
        <v/>
      </c>
      <c r="F109">
        <f>IF($A109&gt;cfg_LastDataDate,NA(),Calc_Daily!$F109)</f>
        <v/>
      </c>
      <c r="G109">
        <f>IF($A109&gt;cfg_LastDataDate,NA(),Calc_Daily!$O109)</f>
        <v/>
      </c>
      <c r="H109">
        <f>IF($A109&gt;cfg_LastDataDate,NA(),Calc_Daily!$CS109)</f>
        <v/>
      </c>
      <c r="I109">
        <f>IF($A109&gt;cfg_LastDataDate,NA(),Calc_Daily!$CM109)</f>
        <v/>
      </c>
      <c r="J109">
        <f>IF($A109&gt;cfg_LastDataDate,NA(),Calc_Daily!$HF109)</f>
        <v/>
      </c>
      <c r="K109">
        <f>Calc_Daily!$IT109</f>
        <v/>
      </c>
    </row>
    <row r="110">
      <c r="A110" s="54">
        <f>Calc_Daily!$A110</f>
        <v/>
      </c>
      <c r="B110">
        <f>IF($A110&gt;cfg_LastDataDate,NA(),Calc_Daily!$BZ110)</f>
        <v/>
      </c>
      <c r="C110">
        <f>Calc_Daily!$IG110/Calc_Daily!$D110</f>
        <v/>
      </c>
      <c r="D110">
        <f>IF($A110&gt;cfg_LastDataDate,NA(),Calc_Daily!$CZ110)</f>
        <v/>
      </c>
      <c r="E110">
        <f>Calc_Daily!$IX110</f>
        <v/>
      </c>
      <c r="F110">
        <f>IF($A110&gt;cfg_LastDataDate,NA(),Calc_Daily!$F110)</f>
        <v/>
      </c>
      <c r="G110">
        <f>IF($A110&gt;cfg_LastDataDate,NA(),Calc_Daily!$O110)</f>
        <v/>
      </c>
      <c r="H110">
        <f>IF($A110&gt;cfg_LastDataDate,NA(),Calc_Daily!$CS110)</f>
        <v/>
      </c>
      <c r="I110">
        <f>IF($A110&gt;cfg_LastDataDate,NA(),Calc_Daily!$CM110)</f>
        <v/>
      </c>
      <c r="J110">
        <f>IF($A110&gt;cfg_LastDataDate,NA(),Calc_Daily!$HF110)</f>
        <v/>
      </c>
      <c r="K110">
        <f>Calc_Daily!$IT110</f>
        <v/>
      </c>
    </row>
    <row r="111">
      <c r="A111" s="54">
        <f>Calc_Daily!$A111</f>
        <v/>
      </c>
      <c r="B111">
        <f>IF($A111&gt;cfg_LastDataDate,NA(),Calc_Daily!$BZ111)</f>
        <v/>
      </c>
      <c r="C111">
        <f>Calc_Daily!$IG111/Calc_Daily!$D111</f>
        <v/>
      </c>
      <c r="D111">
        <f>IF($A111&gt;cfg_LastDataDate,NA(),Calc_Daily!$CZ111)</f>
        <v/>
      </c>
      <c r="E111">
        <f>Calc_Daily!$IX111</f>
        <v/>
      </c>
      <c r="F111">
        <f>IF($A111&gt;cfg_LastDataDate,NA(),Calc_Daily!$F111)</f>
        <v/>
      </c>
      <c r="G111">
        <f>IF($A111&gt;cfg_LastDataDate,NA(),Calc_Daily!$O111)</f>
        <v/>
      </c>
      <c r="H111">
        <f>IF($A111&gt;cfg_LastDataDate,NA(),Calc_Daily!$CS111)</f>
        <v/>
      </c>
      <c r="I111">
        <f>IF($A111&gt;cfg_LastDataDate,NA(),Calc_Daily!$CM111)</f>
        <v/>
      </c>
      <c r="J111">
        <f>IF($A111&gt;cfg_LastDataDate,NA(),Calc_Daily!$HF111)</f>
        <v/>
      </c>
      <c r="K111">
        <f>Calc_Daily!$IT111</f>
        <v/>
      </c>
    </row>
    <row r="112">
      <c r="A112" s="54">
        <f>Calc_Daily!$A112</f>
        <v/>
      </c>
      <c r="B112">
        <f>IF($A112&gt;cfg_LastDataDate,NA(),Calc_Daily!$BZ112)</f>
        <v/>
      </c>
      <c r="C112">
        <f>Calc_Daily!$IG112/Calc_Daily!$D112</f>
        <v/>
      </c>
      <c r="D112">
        <f>IF($A112&gt;cfg_LastDataDate,NA(),Calc_Daily!$CZ112)</f>
        <v/>
      </c>
      <c r="E112">
        <f>Calc_Daily!$IX112</f>
        <v/>
      </c>
      <c r="F112">
        <f>IF($A112&gt;cfg_LastDataDate,NA(),Calc_Daily!$F112)</f>
        <v/>
      </c>
      <c r="G112">
        <f>IF($A112&gt;cfg_LastDataDate,NA(),Calc_Daily!$O112)</f>
        <v/>
      </c>
      <c r="H112">
        <f>IF($A112&gt;cfg_LastDataDate,NA(),Calc_Daily!$CS112)</f>
        <v/>
      </c>
      <c r="I112">
        <f>IF($A112&gt;cfg_LastDataDate,NA(),Calc_Daily!$CM112)</f>
        <v/>
      </c>
      <c r="J112">
        <f>IF($A112&gt;cfg_LastDataDate,NA(),Calc_Daily!$HF112)</f>
        <v/>
      </c>
      <c r="K112">
        <f>Calc_Daily!$IT112</f>
        <v/>
      </c>
    </row>
    <row r="113">
      <c r="A113" s="54">
        <f>Calc_Daily!$A113</f>
        <v/>
      </c>
      <c r="B113">
        <f>IF($A113&gt;cfg_LastDataDate,NA(),Calc_Daily!$BZ113)</f>
        <v/>
      </c>
      <c r="C113">
        <f>Calc_Daily!$IG113/Calc_Daily!$D113</f>
        <v/>
      </c>
      <c r="D113">
        <f>IF($A113&gt;cfg_LastDataDate,NA(),Calc_Daily!$CZ113)</f>
        <v/>
      </c>
      <c r="E113">
        <f>Calc_Daily!$IX113</f>
        <v/>
      </c>
      <c r="F113">
        <f>IF($A113&gt;cfg_LastDataDate,NA(),Calc_Daily!$F113)</f>
        <v/>
      </c>
      <c r="G113">
        <f>IF($A113&gt;cfg_LastDataDate,NA(),Calc_Daily!$O113)</f>
        <v/>
      </c>
      <c r="H113">
        <f>IF($A113&gt;cfg_LastDataDate,NA(),Calc_Daily!$CS113)</f>
        <v/>
      </c>
      <c r="I113">
        <f>IF($A113&gt;cfg_LastDataDate,NA(),Calc_Daily!$CM113)</f>
        <v/>
      </c>
      <c r="J113">
        <f>IF($A113&gt;cfg_LastDataDate,NA(),Calc_Daily!$HF113)</f>
        <v/>
      </c>
      <c r="K113">
        <f>Calc_Daily!$IT113</f>
        <v/>
      </c>
    </row>
    <row r="114">
      <c r="A114" s="54">
        <f>Calc_Daily!$A114</f>
        <v/>
      </c>
      <c r="B114">
        <f>IF($A114&gt;cfg_LastDataDate,NA(),Calc_Daily!$BZ114)</f>
        <v/>
      </c>
      <c r="C114">
        <f>Calc_Daily!$IG114/Calc_Daily!$D114</f>
        <v/>
      </c>
      <c r="D114">
        <f>IF($A114&gt;cfg_LastDataDate,NA(),Calc_Daily!$CZ114)</f>
        <v/>
      </c>
      <c r="E114">
        <f>Calc_Daily!$IX114</f>
        <v/>
      </c>
      <c r="F114">
        <f>IF($A114&gt;cfg_LastDataDate,NA(),Calc_Daily!$F114)</f>
        <v/>
      </c>
      <c r="G114">
        <f>IF($A114&gt;cfg_LastDataDate,NA(),Calc_Daily!$O114)</f>
        <v/>
      </c>
      <c r="H114">
        <f>IF($A114&gt;cfg_LastDataDate,NA(),Calc_Daily!$CS114)</f>
        <v/>
      </c>
      <c r="I114">
        <f>IF($A114&gt;cfg_LastDataDate,NA(),Calc_Daily!$CM114)</f>
        <v/>
      </c>
      <c r="J114">
        <f>IF($A114&gt;cfg_LastDataDate,NA(),Calc_Daily!$HF114)</f>
        <v/>
      </c>
      <c r="K114">
        <f>Calc_Daily!$IT114</f>
        <v/>
      </c>
    </row>
    <row r="115">
      <c r="A115" s="54">
        <f>Calc_Daily!$A115</f>
        <v/>
      </c>
      <c r="B115">
        <f>IF($A115&gt;cfg_LastDataDate,NA(),Calc_Daily!$BZ115)</f>
        <v/>
      </c>
      <c r="C115">
        <f>Calc_Daily!$IG115/Calc_Daily!$D115</f>
        <v/>
      </c>
      <c r="D115">
        <f>IF($A115&gt;cfg_LastDataDate,NA(),Calc_Daily!$CZ115)</f>
        <v/>
      </c>
      <c r="E115">
        <f>Calc_Daily!$IX115</f>
        <v/>
      </c>
      <c r="F115">
        <f>IF($A115&gt;cfg_LastDataDate,NA(),Calc_Daily!$F115)</f>
        <v/>
      </c>
      <c r="G115">
        <f>IF($A115&gt;cfg_LastDataDate,NA(),Calc_Daily!$O115)</f>
        <v/>
      </c>
      <c r="H115">
        <f>IF($A115&gt;cfg_LastDataDate,NA(),Calc_Daily!$CS115)</f>
        <v/>
      </c>
      <c r="I115">
        <f>IF($A115&gt;cfg_LastDataDate,NA(),Calc_Daily!$CM115)</f>
        <v/>
      </c>
      <c r="J115">
        <f>IF($A115&gt;cfg_LastDataDate,NA(),Calc_Daily!$HF115)</f>
        <v/>
      </c>
      <c r="K115">
        <f>Calc_Daily!$IT115</f>
        <v/>
      </c>
    </row>
    <row r="116">
      <c r="A116" s="54">
        <f>Calc_Daily!$A116</f>
        <v/>
      </c>
      <c r="B116">
        <f>IF($A116&gt;cfg_LastDataDate,NA(),Calc_Daily!$BZ116)</f>
        <v/>
      </c>
      <c r="C116">
        <f>Calc_Daily!$IG116/Calc_Daily!$D116</f>
        <v/>
      </c>
      <c r="D116">
        <f>IF($A116&gt;cfg_LastDataDate,NA(),Calc_Daily!$CZ116)</f>
        <v/>
      </c>
      <c r="E116">
        <f>Calc_Daily!$IX116</f>
        <v/>
      </c>
      <c r="F116">
        <f>IF($A116&gt;cfg_LastDataDate,NA(),Calc_Daily!$F116)</f>
        <v/>
      </c>
      <c r="G116">
        <f>IF($A116&gt;cfg_LastDataDate,NA(),Calc_Daily!$O116)</f>
        <v/>
      </c>
      <c r="H116">
        <f>IF($A116&gt;cfg_LastDataDate,NA(),Calc_Daily!$CS116)</f>
        <v/>
      </c>
      <c r="I116">
        <f>IF($A116&gt;cfg_LastDataDate,NA(),Calc_Daily!$CM116)</f>
        <v/>
      </c>
      <c r="J116">
        <f>IF($A116&gt;cfg_LastDataDate,NA(),Calc_Daily!$HF116)</f>
        <v/>
      </c>
      <c r="K116">
        <f>Calc_Daily!$IT116</f>
        <v/>
      </c>
    </row>
    <row r="117">
      <c r="A117" s="54">
        <f>Calc_Daily!$A117</f>
        <v/>
      </c>
      <c r="B117">
        <f>IF($A117&gt;cfg_LastDataDate,NA(),Calc_Daily!$BZ117)</f>
        <v/>
      </c>
      <c r="C117">
        <f>Calc_Daily!$IG117/Calc_Daily!$D117</f>
        <v/>
      </c>
      <c r="D117">
        <f>IF($A117&gt;cfg_LastDataDate,NA(),Calc_Daily!$CZ117)</f>
        <v/>
      </c>
      <c r="E117">
        <f>Calc_Daily!$IX117</f>
        <v/>
      </c>
      <c r="F117">
        <f>IF($A117&gt;cfg_LastDataDate,NA(),Calc_Daily!$F117)</f>
        <v/>
      </c>
      <c r="G117">
        <f>IF($A117&gt;cfg_LastDataDate,NA(),Calc_Daily!$O117)</f>
        <v/>
      </c>
      <c r="H117">
        <f>IF($A117&gt;cfg_LastDataDate,NA(),Calc_Daily!$CS117)</f>
        <v/>
      </c>
      <c r="I117">
        <f>IF($A117&gt;cfg_LastDataDate,NA(),Calc_Daily!$CM117)</f>
        <v/>
      </c>
      <c r="J117">
        <f>IF($A117&gt;cfg_LastDataDate,NA(),Calc_Daily!$HF117)</f>
        <v/>
      </c>
      <c r="K117">
        <f>Calc_Daily!$IT117</f>
        <v/>
      </c>
    </row>
    <row r="118">
      <c r="A118" s="54">
        <f>Calc_Daily!$A118</f>
        <v/>
      </c>
      <c r="B118">
        <f>IF($A118&gt;cfg_LastDataDate,NA(),Calc_Daily!$BZ118)</f>
        <v/>
      </c>
      <c r="C118">
        <f>Calc_Daily!$IG118/Calc_Daily!$D118</f>
        <v/>
      </c>
      <c r="D118">
        <f>IF($A118&gt;cfg_LastDataDate,NA(),Calc_Daily!$CZ118)</f>
        <v/>
      </c>
      <c r="E118">
        <f>Calc_Daily!$IX118</f>
        <v/>
      </c>
      <c r="F118">
        <f>IF($A118&gt;cfg_LastDataDate,NA(),Calc_Daily!$F118)</f>
        <v/>
      </c>
      <c r="G118">
        <f>IF($A118&gt;cfg_LastDataDate,NA(),Calc_Daily!$O118)</f>
        <v/>
      </c>
      <c r="H118">
        <f>IF($A118&gt;cfg_LastDataDate,NA(),Calc_Daily!$CS118)</f>
        <v/>
      </c>
      <c r="I118">
        <f>IF($A118&gt;cfg_LastDataDate,NA(),Calc_Daily!$CM118)</f>
        <v/>
      </c>
      <c r="J118">
        <f>IF($A118&gt;cfg_LastDataDate,NA(),Calc_Daily!$HF118)</f>
        <v/>
      </c>
      <c r="K118">
        <f>Calc_Daily!$IT118</f>
        <v/>
      </c>
    </row>
    <row r="119">
      <c r="A119" s="54">
        <f>Calc_Daily!$A119</f>
        <v/>
      </c>
      <c r="B119">
        <f>IF($A119&gt;cfg_LastDataDate,NA(),Calc_Daily!$BZ119)</f>
        <v/>
      </c>
      <c r="C119">
        <f>Calc_Daily!$IG119/Calc_Daily!$D119</f>
        <v/>
      </c>
      <c r="D119">
        <f>IF($A119&gt;cfg_LastDataDate,NA(),Calc_Daily!$CZ119)</f>
        <v/>
      </c>
      <c r="E119">
        <f>Calc_Daily!$IX119</f>
        <v/>
      </c>
      <c r="F119">
        <f>IF($A119&gt;cfg_LastDataDate,NA(),Calc_Daily!$F119)</f>
        <v/>
      </c>
      <c r="G119">
        <f>IF($A119&gt;cfg_LastDataDate,NA(),Calc_Daily!$O119)</f>
        <v/>
      </c>
      <c r="H119">
        <f>IF($A119&gt;cfg_LastDataDate,NA(),Calc_Daily!$CS119)</f>
        <v/>
      </c>
      <c r="I119">
        <f>IF($A119&gt;cfg_LastDataDate,NA(),Calc_Daily!$CM119)</f>
        <v/>
      </c>
      <c r="J119">
        <f>IF($A119&gt;cfg_LastDataDate,NA(),Calc_Daily!$HF119)</f>
        <v/>
      </c>
      <c r="K119">
        <f>Calc_Daily!$IT119</f>
        <v/>
      </c>
    </row>
    <row r="120">
      <c r="A120" s="54">
        <f>Calc_Daily!$A120</f>
        <v/>
      </c>
      <c r="B120">
        <f>IF($A120&gt;cfg_LastDataDate,NA(),Calc_Daily!$BZ120)</f>
        <v/>
      </c>
      <c r="C120">
        <f>Calc_Daily!$IG120/Calc_Daily!$D120</f>
        <v/>
      </c>
      <c r="D120">
        <f>IF($A120&gt;cfg_LastDataDate,NA(),Calc_Daily!$CZ120)</f>
        <v/>
      </c>
      <c r="E120">
        <f>Calc_Daily!$IX120</f>
        <v/>
      </c>
      <c r="F120">
        <f>IF($A120&gt;cfg_LastDataDate,NA(),Calc_Daily!$F120)</f>
        <v/>
      </c>
      <c r="G120">
        <f>IF($A120&gt;cfg_LastDataDate,NA(),Calc_Daily!$O120)</f>
        <v/>
      </c>
      <c r="H120">
        <f>IF($A120&gt;cfg_LastDataDate,NA(),Calc_Daily!$CS120)</f>
        <v/>
      </c>
      <c r="I120">
        <f>IF($A120&gt;cfg_LastDataDate,NA(),Calc_Daily!$CM120)</f>
        <v/>
      </c>
      <c r="J120">
        <f>IF($A120&gt;cfg_LastDataDate,NA(),Calc_Daily!$HF120)</f>
        <v/>
      </c>
      <c r="K120">
        <f>Calc_Daily!$IT120</f>
        <v/>
      </c>
    </row>
    <row r="121">
      <c r="A121" s="54">
        <f>Calc_Daily!$A121</f>
        <v/>
      </c>
      <c r="B121">
        <f>IF($A121&gt;cfg_LastDataDate,NA(),Calc_Daily!$BZ121)</f>
        <v/>
      </c>
      <c r="C121">
        <f>Calc_Daily!$IG121/Calc_Daily!$D121</f>
        <v/>
      </c>
      <c r="D121">
        <f>IF($A121&gt;cfg_LastDataDate,NA(),Calc_Daily!$CZ121)</f>
        <v/>
      </c>
      <c r="E121">
        <f>Calc_Daily!$IX121</f>
        <v/>
      </c>
      <c r="F121">
        <f>IF($A121&gt;cfg_LastDataDate,NA(),Calc_Daily!$F121)</f>
        <v/>
      </c>
      <c r="G121">
        <f>IF($A121&gt;cfg_LastDataDate,NA(),Calc_Daily!$O121)</f>
        <v/>
      </c>
      <c r="H121">
        <f>IF($A121&gt;cfg_LastDataDate,NA(),Calc_Daily!$CS121)</f>
        <v/>
      </c>
      <c r="I121">
        <f>IF($A121&gt;cfg_LastDataDate,NA(),Calc_Daily!$CM121)</f>
        <v/>
      </c>
      <c r="J121">
        <f>IF($A121&gt;cfg_LastDataDate,NA(),Calc_Daily!$HF121)</f>
        <v/>
      </c>
      <c r="K121">
        <f>Calc_Daily!$IT121</f>
        <v/>
      </c>
    </row>
    <row r="122">
      <c r="A122" s="54">
        <f>Calc_Daily!$A122</f>
        <v/>
      </c>
      <c r="B122">
        <f>IF($A122&gt;cfg_LastDataDate,NA(),Calc_Daily!$BZ122)</f>
        <v/>
      </c>
      <c r="C122">
        <f>Calc_Daily!$IG122/Calc_Daily!$D122</f>
        <v/>
      </c>
      <c r="D122">
        <f>IF($A122&gt;cfg_LastDataDate,NA(),Calc_Daily!$CZ122)</f>
        <v/>
      </c>
      <c r="E122">
        <f>Calc_Daily!$IX122</f>
        <v/>
      </c>
      <c r="F122">
        <f>IF($A122&gt;cfg_LastDataDate,NA(),Calc_Daily!$F122)</f>
        <v/>
      </c>
      <c r="G122">
        <f>IF($A122&gt;cfg_LastDataDate,NA(),Calc_Daily!$O122)</f>
        <v/>
      </c>
      <c r="H122">
        <f>IF($A122&gt;cfg_LastDataDate,NA(),Calc_Daily!$CS122)</f>
        <v/>
      </c>
      <c r="I122">
        <f>IF($A122&gt;cfg_LastDataDate,NA(),Calc_Daily!$CM122)</f>
        <v/>
      </c>
      <c r="J122">
        <f>IF($A122&gt;cfg_LastDataDate,NA(),Calc_Daily!$HF122)</f>
        <v/>
      </c>
      <c r="K122">
        <f>Calc_Daily!$IT122</f>
        <v/>
      </c>
    </row>
    <row r="123">
      <c r="A123" s="54">
        <f>Calc_Daily!$A123</f>
        <v/>
      </c>
      <c r="B123">
        <f>IF($A123&gt;cfg_LastDataDate,NA(),Calc_Daily!$BZ123)</f>
        <v/>
      </c>
      <c r="C123">
        <f>Calc_Daily!$IG123/Calc_Daily!$D123</f>
        <v/>
      </c>
      <c r="D123">
        <f>IF($A123&gt;cfg_LastDataDate,NA(),Calc_Daily!$CZ123)</f>
        <v/>
      </c>
      <c r="E123">
        <f>Calc_Daily!$IX123</f>
        <v/>
      </c>
      <c r="F123">
        <f>IF($A123&gt;cfg_LastDataDate,NA(),Calc_Daily!$F123)</f>
        <v/>
      </c>
      <c r="G123">
        <f>IF($A123&gt;cfg_LastDataDate,NA(),Calc_Daily!$O123)</f>
        <v/>
      </c>
      <c r="H123">
        <f>IF($A123&gt;cfg_LastDataDate,NA(),Calc_Daily!$CS123)</f>
        <v/>
      </c>
      <c r="I123">
        <f>IF($A123&gt;cfg_LastDataDate,NA(),Calc_Daily!$CM123)</f>
        <v/>
      </c>
      <c r="J123">
        <f>IF($A123&gt;cfg_LastDataDate,NA(),Calc_Daily!$HF123)</f>
        <v/>
      </c>
      <c r="K123">
        <f>Calc_Daily!$IT123</f>
        <v/>
      </c>
    </row>
    <row r="124">
      <c r="A124" s="54">
        <f>Calc_Daily!$A124</f>
        <v/>
      </c>
      <c r="B124">
        <f>IF($A124&gt;cfg_LastDataDate,NA(),Calc_Daily!$BZ124)</f>
        <v/>
      </c>
      <c r="C124">
        <f>Calc_Daily!$IG124/Calc_Daily!$D124</f>
        <v/>
      </c>
      <c r="D124">
        <f>IF($A124&gt;cfg_LastDataDate,NA(),Calc_Daily!$CZ124)</f>
        <v/>
      </c>
      <c r="E124">
        <f>Calc_Daily!$IX124</f>
        <v/>
      </c>
      <c r="F124">
        <f>IF($A124&gt;cfg_LastDataDate,NA(),Calc_Daily!$F124)</f>
        <v/>
      </c>
      <c r="G124">
        <f>IF($A124&gt;cfg_LastDataDate,NA(),Calc_Daily!$O124)</f>
        <v/>
      </c>
      <c r="H124">
        <f>IF($A124&gt;cfg_LastDataDate,NA(),Calc_Daily!$CS124)</f>
        <v/>
      </c>
      <c r="I124">
        <f>IF($A124&gt;cfg_LastDataDate,NA(),Calc_Daily!$CM124)</f>
        <v/>
      </c>
      <c r="J124">
        <f>IF($A124&gt;cfg_LastDataDate,NA(),Calc_Daily!$HF124)</f>
        <v/>
      </c>
      <c r="K124">
        <f>Calc_Daily!$IT124</f>
        <v/>
      </c>
    </row>
    <row r="125">
      <c r="A125" s="54">
        <f>Calc_Daily!$A125</f>
        <v/>
      </c>
      <c r="B125">
        <f>IF($A125&gt;cfg_LastDataDate,NA(),Calc_Daily!$BZ125)</f>
        <v/>
      </c>
      <c r="C125">
        <f>Calc_Daily!$IG125/Calc_Daily!$D125</f>
        <v/>
      </c>
      <c r="D125">
        <f>IF($A125&gt;cfg_LastDataDate,NA(),Calc_Daily!$CZ125)</f>
        <v/>
      </c>
      <c r="E125">
        <f>Calc_Daily!$IX125</f>
        <v/>
      </c>
      <c r="F125">
        <f>IF($A125&gt;cfg_LastDataDate,NA(),Calc_Daily!$F125)</f>
        <v/>
      </c>
      <c r="G125">
        <f>IF($A125&gt;cfg_LastDataDate,NA(),Calc_Daily!$O125)</f>
        <v/>
      </c>
      <c r="H125">
        <f>IF($A125&gt;cfg_LastDataDate,NA(),Calc_Daily!$CS125)</f>
        <v/>
      </c>
      <c r="I125">
        <f>IF($A125&gt;cfg_LastDataDate,NA(),Calc_Daily!$CM125)</f>
        <v/>
      </c>
      <c r="J125">
        <f>IF($A125&gt;cfg_LastDataDate,NA(),Calc_Daily!$HF125)</f>
        <v/>
      </c>
      <c r="K125">
        <f>Calc_Daily!$IT125</f>
        <v/>
      </c>
    </row>
    <row r="126">
      <c r="A126" s="54">
        <f>Calc_Daily!$A126</f>
        <v/>
      </c>
      <c r="B126">
        <f>IF($A126&gt;cfg_LastDataDate,NA(),Calc_Daily!$BZ126)</f>
        <v/>
      </c>
      <c r="C126">
        <f>Calc_Daily!$IG126/Calc_Daily!$D126</f>
        <v/>
      </c>
      <c r="D126">
        <f>IF($A126&gt;cfg_LastDataDate,NA(),Calc_Daily!$CZ126)</f>
        <v/>
      </c>
      <c r="E126">
        <f>Calc_Daily!$IX126</f>
        <v/>
      </c>
      <c r="F126">
        <f>IF($A126&gt;cfg_LastDataDate,NA(),Calc_Daily!$F126)</f>
        <v/>
      </c>
      <c r="G126">
        <f>IF($A126&gt;cfg_LastDataDate,NA(),Calc_Daily!$O126)</f>
        <v/>
      </c>
      <c r="H126">
        <f>IF($A126&gt;cfg_LastDataDate,NA(),Calc_Daily!$CS126)</f>
        <v/>
      </c>
      <c r="I126">
        <f>IF($A126&gt;cfg_LastDataDate,NA(),Calc_Daily!$CM126)</f>
        <v/>
      </c>
      <c r="J126">
        <f>IF($A126&gt;cfg_LastDataDate,NA(),Calc_Daily!$HF126)</f>
        <v/>
      </c>
      <c r="K126">
        <f>Calc_Daily!$IT126</f>
        <v/>
      </c>
    </row>
    <row r="127">
      <c r="A127" s="54">
        <f>Calc_Daily!$A127</f>
        <v/>
      </c>
      <c r="B127">
        <f>IF($A127&gt;cfg_LastDataDate,NA(),Calc_Daily!$BZ127)</f>
        <v/>
      </c>
      <c r="C127">
        <f>Calc_Daily!$IG127/Calc_Daily!$D127</f>
        <v/>
      </c>
      <c r="D127">
        <f>IF($A127&gt;cfg_LastDataDate,NA(),Calc_Daily!$CZ127)</f>
        <v/>
      </c>
      <c r="E127">
        <f>Calc_Daily!$IX127</f>
        <v/>
      </c>
      <c r="F127">
        <f>IF($A127&gt;cfg_LastDataDate,NA(),Calc_Daily!$F127)</f>
        <v/>
      </c>
      <c r="G127">
        <f>IF($A127&gt;cfg_LastDataDate,NA(),Calc_Daily!$O127)</f>
        <v/>
      </c>
      <c r="H127">
        <f>IF($A127&gt;cfg_LastDataDate,NA(),Calc_Daily!$CS127)</f>
        <v/>
      </c>
      <c r="I127">
        <f>IF($A127&gt;cfg_LastDataDate,NA(),Calc_Daily!$CM127)</f>
        <v/>
      </c>
      <c r="J127">
        <f>IF($A127&gt;cfg_LastDataDate,NA(),Calc_Daily!$HF127)</f>
        <v/>
      </c>
      <c r="K127">
        <f>Calc_Daily!$IT127</f>
        <v/>
      </c>
    </row>
    <row r="128">
      <c r="A128" s="54">
        <f>Calc_Daily!$A128</f>
        <v/>
      </c>
      <c r="B128">
        <f>IF($A128&gt;cfg_LastDataDate,NA(),Calc_Daily!$BZ128)</f>
        <v/>
      </c>
      <c r="C128">
        <f>Calc_Daily!$IG128/Calc_Daily!$D128</f>
        <v/>
      </c>
      <c r="D128">
        <f>IF($A128&gt;cfg_LastDataDate,NA(),Calc_Daily!$CZ128)</f>
        <v/>
      </c>
      <c r="E128">
        <f>Calc_Daily!$IX128</f>
        <v/>
      </c>
      <c r="F128">
        <f>IF($A128&gt;cfg_LastDataDate,NA(),Calc_Daily!$F128)</f>
        <v/>
      </c>
      <c r="G128">
        <f>IF($A128&gt;cfg_LastDataDate,NA(),Calc_Daily!$O128)</f>
        <v/>
      </c>
      <c r="H128">
        <f>IF($A128&gt;cfg_LastDataDate,NA(),Calc_Daily!$CS128)</f>
        <v/>
      </c>
      <c r="I128">
        <f>IF($A128&gt;cfg_LastDataDate,NA(),Calc_Daily!$CM128)</f>
        <v/>
      </c>
      <c r="J128">
        <f>IF($A128&gt;cfg_LastDataDate,NA(),Calc_Daily!$HF128)</f>
        <v/>
      </c>
      <c r="K128">
        <f>Calc_Daily!$IT128</f>
        <v/>
      </c>
    </row>
    <row r="129">
      <c r="A129" s="54">
        <f>Calc_Daily!$A129</f>
        <v/>
      </c>
      <c r="B129">
        <f>IF($A129&gt;cfg_LastDataDate,NA(),Calc_Daily!$BZ129)</f>
        <v/>
      </c>
      <c r="C129">
        <f>Calc_Daily!$IG129/Calc_Daily!$D129</f>
        <v/>
      </c>
      <c r="D129">
        <f>IF($A129&gt;cfg_LastDataDate,NA(),Calc_Daily!$CZ129)</f>
        <v/>
      </c>
      <c r="E129">
        <f>Calc_Daily!$IX129</f>
        <v/>
      </c>
      <c r="F129">
        <f>IF($A129&gt;cfg_LastDataDate,NA(),Calc_Daily!$F129)</f>
        <v/>
      </c>
      <c r="G129">
        <f>IF($A129&gt;cfg_LastDataDate,NA(),Calc_Daily!$O129)</f>
        <v/>
      </c>
      <c r="H129">
        <f>IF($A129&gt;cfg_LastDataDate,NA(),Calc_Daily!$CS129)</f>
        <v/>
      </c>
      <c r="I129">
        <f>IF($A129&gt;cfg_LastDataDate,NA(),Calc_Daily!$CM129)</f>
        <v/>
      </c>
      <c r="J129">
        <f>IF($A129&gt;cfg_LastDataDate,NA(),Calc_Daily!$HF129)</f>
        <v/>
      </c>
      <c r="K129">
        <f>Calc_Daily!$IT129</f>
        <v/>
      </c>
    </row>
    <row r="130">
      <c r="A130" s="54">
        <f>Calc_Daily!$A130</f>
        <v/>
      </c>
      <c r="B130">
        <f>IF($A130&gt;cfg_LastDataDate,NA(),Calc_Daily!$BZ130)</f>
        <v/>
      </c>
      <c r="C130">
        <f>Calc_Daily!$IG130/Calc_Daily!$D130</f>
        <v/>
      </c>
      <c r="D130">
        <f>IF($A130&gt;cfg_LastDataDate,NA(),Calc_Daily!$CZ130)</f>
        <v/>
      </c>
      <c r="E130">
        <f>Calc_Daily!$IX130</f>
        <v/>
      </c>
      <c r="F130">
        <f>IF($A130&gt;cfg_LastDataDate,NA(),Calc_Daily!$F130)</f>
        <v/>
      </c>
      <c r="G130">
        <f>IF($A130&gt;cfg_LastDataDate,NA(),Calc_Daily!$O130)</f>
        <v/>
      </c>
      <c r="H130">
        <f>IF($A130&gt;cfg_LastDataDate,NA(),Calc_Daily!$CS130)</f>
        <v/>
      </c>
      <c r="I130">
        <f>IF($A130&gt;cfg_LastDataDate,NA(),Calc_Daily!$CM130)</f>
        <v/>
      </c>
      <c r="J130">
        <f>IF($A130&gt;cfg_LastDataDate,NA(),Calc_Daily!$HF130)</f>
        <v/>
      </c>
      <c r="K130">
        <f>Calc_Daily!$IT130</f>
        <v/>
      </c>
    </row>
    <row r="131">
      <c r="A131" s="54">
        <f>Calc_Daily!$A131</f>
        <v/>
      </c>
      <c r="B131">
        <f>IF($A131&gt;cfg_LastDataDate,NA(),Calc_Daily!$BZ131)</f>
        <v/>
      </c>
      <c r="C131">
        <f>Calc_Daily!$IG131/Calc_Daily!$D131</f>
        <v/>
      </c>
      <c r="D131">
        <f>IF($A131&gt;cfg_LastDataDate,NA(),Calc_Daily!$CZ131)</f>
        <v/>
      </c>
      <c r="E131">
        <f>Calc_Daily!$IX131</f>
        <v/>
      </c>
      <c r="F131">
        <f>IF($A131&gt;cfg_LastDataDate,NA(),Calc_Daily!$F131)</f>
        <v/>
      </c>
      <c r="G131">
        <f>IF($A131&gt;cfg_LastDataDate,NA(),Calc_Daily!$O131)</f>
        <v/>
      </c>
      <c r="H131">
        <f>IF($A131&gt;cfg_LastDataDate,NA(),Calc_Daily!$CS131)</f>
        <v/>
      </c>
      <c r="I131">
        <f>IF($A131&gt;cfg_LastDataDate,NA(),Calc_Daily!$CM131)</f>
        <v/>
      </c>
      <c r="J131">
        <f>IF($A131&gt;cfg_LastDataDate,NA(),Calc_Daily!$HF131)</f>
        <v/>
      </c>
      <c r="K131">
        <f>Calc_Daily!$IT131</f>
        <v/>
      </c>
    </row>
    <row r="132">
      <c r="A132" s="54">
        <f>Calc_Daily!$A132</f>
        <v/>
      </c>
      <c r="B132">
        <f>IF($A132&gt;cfg_LastDataDate,NA(),Calc_Daily!$BZ132)</f>
        <v/>
      </c>
      <c r="C132">
        <f>Calc_Daily!$IG132/Calc_Daily!$D132</f>
        <v/>
      </c>
      <c r="D132">
        <f>IF($A132&gt;cfg_LastDataDate,NA(),Calc_Daily!$CZ132)</f>
        <v/>
      </c>
      <c r="E132">
        <f>Calc_Daily!$IX132</f>
        <v/>
      </c>
      <c r="F132">
        <f>IF($A132&gt;cfg_LastDataDate,NA(),Calc_Daily!$F132)</f>
        <v/>
      </c>
      <c r="G132">
        <f>IF($A132&gt;cfg_LastDataDate,NA(),Calc_Daily!$O132)</f>
        <v/>
      </c>
      <c r="H132">
        <f>IF($A132&gt;cfg_LastDataDate,NA(),Calc_Daily!$CS132)</f>
        <v/>
      </c>
      <c r="I132">
        <f>IF($A132&gt;cfg_LastDataDate,NA(),Calc_Daily!$CM132)</f>
        <v/>
      </c>
      <c r="J132">
        <f>IF($A132&gt;cfg_LastDataDate,NA(),Calc_Daily!$HF132)</f>
        <v/>
      </c>
      <c r="K132">
        <f>Calc_Daily!$IT132</f>
        <v/>
      </c>
    </row>
    <row r="133">
      <c r="A133" s="54">
        <f>Calc_Daily!$A133</f>
        <v/>
      </c>
      <c r="B133">
        <f>IF($A133&gt;cfg_LastDataDate,NA(),Calc_Daily!$BZ133)</f>
        <v/>
      </c>
      <c r="C133">
        <f>Calc_Daily!$IG133/Calc_Daily!$D133</f>
        <v/>
      </c>
      <c r="D133">
        <f>IF($A133&gt;cfg_LastDataDate,NA(),Calc_Daily!$CZ133)</f>
        <v/>
      </c>
      <c r="E133">
        <f>Calc_Daily!$IX133</f>
        <v/>
      </c>
      <c r="F133">
        <f>IF($A133&gt;cfg_LastDataDate,NA(),Calc_Daily!$F133)</f>
        <v/>
      </c>
      <c r="G133">
        <f>IF($A133&gt;cfg_LastDataDate,NA(),Calc_Daily!$O133)</f>
        <v/>
      </c>
      <c r="H133">
        <f>IF($A133&gt;cfg_LastDataDate,NA(),Calc_Daily!$CS133)</f>
        <v/>
      </c>
      <c r="I133">
        <f>IF($A133&gt;cfg_LastDataDate,NA(),Calc_Daily!$CM133)</f>
        <v/>
      </c>
      <c r="J133">
        <f>IF($A133&gt;cfg_LastDataDate,NA(),Calc_Daily!$HF133)</f>
        <v/>
      </c>
      <c r="K133">
        <f>Calc_Daily!$IT133</f>
        <v/>
      </c>
    </row>
    <row r="134">
      <c r="A134" s="54">
        <f>Calc_Daily!$A134</f>
        <v/>
      </c>
      <c r="B134">
        <f>IF($A134&gt;cfg_LastDataDate,NA(),Calc_Daily!$BZ134)</f>
        <v/>
      </c>
      <c r="C134">
        <f>Calc_Daily!$IG134/Calc_Daily!$D134</f>
        <v/>
      </c>
      <c r="D134">
        <f>IF($A134&gt;cfg_LastDataDate,NA(),Calc_Daily!$CZ134)</f>
        <v/>
      </c>
      <c r="E134">
        <f>Calc_Daily!$IX134</f>
        <v/>
      </c>
      <c r="F134">
        <f>IF($A134&gt;cfg_LastDataDate,NA(),Calc_Daily!$F134)</f>
        <v/>
      </c>
      <c r="G134">
        <f>IF($A134&gt;cfg_LastDataDate,NA(),Calc_Daily!$O134)</f>
        <v/>
      </c>
      <c r="H134">
        <f>IF($A134&gt;cfg_LastDataDate,NA(),Calc_Daily!$CS134)</f>
        <v/>
      </c>
      <c r="I134">
        <f>IF($A134&gt;cfg_LastDataDate,NA(),Calc_Daily!$CM134)</f>
        <v/>
      </c>
      <c r="J134">
        <f>IF($A134&gt;cfg_LastDataDate,NA(),Calc_Daily!$HF134)</f>
        <v/>
      </c>
      <c r="K134">
        <f>Calc_Daily!$IT134</f>
        <v/>
      </c>
    </row>
    <row r="135">
      <c r="A135" s="54">
        <f>Calc_Daily!$A135</f>
        <v/>
      </c>
      <c r="B135">
        <f>IF($A135&gt;cfg_LastDataDate,NA(),Calc_Daily!$BZ135)</f>
        <v/>
      </c>
      <c r="C135">
        <f>Calc_Daily!$IG135/Calc_Daily!$D135</f>
        <v/>
      </c>
      <c r="D135">
        <f>IF($A135&gt;cfg_LastDataDate,NA(),Calc_Daily!$CZ135)</f>
        <v/>
      </c>
      <c r="E135">
        <f>Calc_Daily!$IX135</f>
        <v/>
      </c>
      <c r="F135">
        <f>IF($A135&gt;cfg_LastDataDate,NA(),Calc_Daily!$F135)</f>
        <v/>
      </c>
      <c r="G135">
        <f>IF($A135&gt;cfg_LastDataDate,NA(),Calc_Daily!$O135)</f>
        <v/>
      </c>
      <c r="H135">
        <f>IF($A135&gt;cfg_LastDataDate,NA(),Calc_Daily!$CS135)</f>
        <v/>
      </c>
      <c r="I135">
        <f>IF($A135&gt;cfg_LastDataDate,NA(),Calc_Daily!$CM135)</f>
        <v/>
      </c>
      <c r="J135">
        <f>IF($A135&gt;cfg_LastDataDate,NA(),Calc_Daily!$HF135)</f>
        <v/>
      </c>
      <c r="K135">
        <f>Calc_Daily!$IT135</f>
        <v/>
      </c>
    </row>
    <row r="136">
      <c r="A136" s="54">
        <f>Calc_Daily!$A136</f>
        <v/>
      </c>
      <c r="B136">
        <f>IF($A136&gt;cfg_LastDataDate,NA(),Calc_Daily!$BZ136)</f>
        <v/>
      </c>
      <c r="C136">
        <f>Calc_Daily!$IG136/Calc_Daily!$D136</f>
        <v/>
      </c>
      <c r="D136">
        <f>IF($A136&gt;cfg_LastDataDate,NA(),Calc_Daily!$CZ136)</f>
        <v/>
      </c>
      <c r="E136">
        <f>Calc_Daily!$IX136</f>
        <v/>
      </c>
      <c r="F136">
        <f>IF($A136&gt;cfg_LastDataDate,NA(),Calc_Daily!$F136)</f>
        <v/>
      </c>
      <c r="G136">
        <f>IF($A136&gt;cfg_LastDataDate,NA(),Calc_Daily!$O136)</f>
        <v/>
      </c>
      <c r="H136">
        <f>IF($A136&gt;cfg_LastDataDate,NA(),Calc_Daily!$CS136)</f>
        <v/>
      </c>
      <c r="I136">
        <f>IF($A136&gt;cfg_LastDataDate,NA(),Calc_Daily!$CM136)</f>
        <v/>
      </c>
      <c r="J136">
        <f>IF($A136&gt;cfg_LastDataDate,NA(),Calc_Daily!$HF136)</f>
        <v/>
      </c>
      <c r="K136">
        <f>Calc_Daily!$IT136</f>
        <v/>
      </c>
    </row>
    <row r="137">
      <c r="A137" s="54">
        <f>Calc_Daily!$A137</f>
        <v/>
      </c>
      <c r="B137">
        <f>IF($A137&gt;cfg_LastDataDate,NA(),Calc_Daily!$BZ137)</f>
        <v/>
      </c>
      <c r="C137">
        <f>Calc_Daily!$IG137/Calc_Daily!$D137</f>
        <v/>
      </c>
      <c r="D137">
        <f>IF($A137&gt;cfg_LastDataDate,NA(),Calc_Daily!$CZ137)</f>
        <v/>
      </c>
      <c r="E137">
        <f>Calc_Daily!$IX137</f>
        <v/>
      </c>
      <c r="F137">
        <f>IF($A137&gt;cfg_LastDataDate,NA(),Calc_Daily!$F137)</f>
        <v/>
      </c>
      <c r="G137">
        <f>IF($A137&gt;cfg_LastDataDate,NA(),Calc_Daily!$O137)</f>
        <v/>
      </c>
      <c r="H137">
        <f>IF($A137&gt;cfg_LastDataDate,NA(),Calc_Daily!$CS137)</f>
        <v/>
      </c>
      <c r="I137">
        <f>IF($A137&gt;cfg_LastDataDate,NA(),Calc_Daily!$CM137)</f>
        <v/>
      </c>
      <c r="J137">
        <f>IF($A137&gt;cfg_LastDataDate,NA(),Calc_Daily!$HF137)</f>
        <v/>
      </c>
      <c r="K137">
        <f>Calc_Daily!$IT137</f>
        <v/>
      </c>
    </row>
    <row r="138">
      <c r="A138" s="54">
        <f>Calc_Daily!$A138</f>
        <v/>
      </c>
      <c r="B138">
        <f>IF($A138&gt;cfg_LastDataDate,NA(),Calc_Daily!$BZ138)</f>
        <v/>
      </c>
      <c r="C138">
        <f>Calc_Daily!$IG138/Calc_Daily!$D138</f>
        <v/>
      </c>
      <c r="D138">
        <f>IF($A138&gt;cfg_LastDataDate,NA(),Calc_Daily!$CZ138)</f>
        <v/>
      </c>
      <c r="E138">
        <f>Calc_Daily!$IX138</f>
        <v/>
      </c>
      <c r="F138">
        <f>IF($A138&gt;cfg_LastDataDate,NA(),Calc_Daily!$F138)</f>
        <v/>
      </c>
      <c r="G138">
        <f>IF($A138&gt;cfg_LastDataDate,NA(),Calc_Daily!$O138)</f>
        <v/>
      </c>
      <c r="H138">
        <f>IF($A138&gt;cfg_LastDataDate,NA(),Calc_Daily!$CS138)</f>
        <v/>
      </c>
      <c r="I138">
        <f>IF($A138&gt;cfg_LastDataDate,NA(),Calc_Daily!$CM138)</f>
        <v/>
      </c>
      <c r="J138">
        <f>IF($A138&gt;cfg_LastDataDate,NA(),Calc_Daily!$HF138)</f>
        <v/>
      </c>
      <c r="K138">
        <f>Calc_Daily!$IT138</f>
        <v/>
      </c>
    </row>
    <row r="139">
      <c r="A139" s="54">
        <f>Calc_Daily!$A139</f>
        <v/>
      </c>
      <c r="B139">
        <f>IF($A139&gt;cfg_LastDataDate,NA(),Calc_Daily!$BZ139)</f>
        <v/>
      </c>
      <c r="C139">
        <f>Calc_Daily!$IG139/Calc_Daily!$D139</f>
        <v/>
      </c>
      <c r="D139">
        <f>IF($A139&gt;cfg_LastDataDate,NA(),Calc_Daily!$CZ139)</f>
        <v/>
      </c>
      <c r="E139">
        <f>Calc_Daily!$IX139</f>
        <v/>
      </c>
      <c r="F139">
        <f>IF($A139&gt;cfg_LastDataDate,NA(),Calc_Daily!$F139)</f>
        <v/>
      </c>
      <c r="G139">
        <f>IF($A139&gt;cfg_LastDataDate,NA(),Calc_Daily!$O139)</f>
        <v/>
      </c>
      <c r="H139">
        <f>IF($A139&gt;cfg_LastDataDate,NA(),Calc_Daily!$CS139)</f>
        <v/>
      </c>
      <c r="I139">
        <f>IF($A139&gt;cfg_LastDataDate,NA(),Calc_Daily!$CM139)</f>
        <v/>
      </c>
      <c r="J139">
        <f>IF($A139&gt;cfg_LastDataDate,NA(),Calc_Daily!$HF139)</f>
        <v/>
      </c>
      <c r="K139">
        <f>Calc_Daily!$IT139</f>
        <v/>
      </c>
    </row>
    <row r="140">
      <c r="A140" s="54">
        <f>Calc_Daily!$A140</f>
        <v/>
      </c>
      <c r="B140">
        <f>IF($A140&gt;cfg_LastDataDate,NA(),Calc_Daily!$BZ140)</f>
        <v/>
      </c>
      <c r="C140">
        <f>Calc_Daily!$IG140/Calc_Daily!$D140</f>
        <v/>
      </c>
      <c r="D140">
        <f>IF($A140&gt;cfg_LastDataDate,NA(),Calc_Daily!$CZ140)</f>
        <v/>
      </c>
      <c r="E140">
        <f>Calc_Daily!$IX140</f>
        <v/>
      </c>
      <c r="F140">
        <f>IF($A140&gt;cfg_LastDataDate,NA(),Calc_Daily!$F140)</f>
        <v/>
      </c>
      <c r="G140">
        <f>IF($A140&gt;cfg_LastDataDate,NA(),Calc_Daily!$O140)</f>
        <v/>
      </c>
      <c r="H140">
        <f>IF($A140&gt;cfg_LastDataDate,NA(),Calc_Daily!$CS140)</f>
        <v/>
      </c>
      <c r="I140">
        <f>IF($A140&gt;cfg_LastDataDate,NA(),Calc_Daily!$CM140)</f>
        <v/>
      </c>
      <c r="J140">
        <f>IF($A140&gt;cfg_LastDataDate,NA(),Calc_Daily!$HF140)</f>
        <v/>
      </c>
      <c r="K140">
        <f>Calc_Daily!$IT140</f>
        <v/>
      </c>
    </row>
    <row r="141">
      <c r="A141" s="54">
        <f>Calc_Daily!$A141</f>
        <v/>
      </c>
      <c r="B141">
        <f>IF($A141&gt;cfg_LastDataDate,NA(),Calc_Daily!$BZ141)</f>
        <v/>
      </c>
      <c r="C141">
        <f>Calc_Daily!$IG141/Calc_Daily!$D141</f>
        <v/>
      </c>
      <c r="D141">
        <f>IF($A141&gt;cfg_LastDataDate,NA(),Calc_Daily!$CZ141)</f>
        <v/>
      </c>
      <c r="E141">
        <f>Calc_Daily!$IX141</f>
        <v/>
      </c>
      <c r="F141">
        <f>IF($A141&gt;cfg_LastDataDate,NA(),Calc_Daily!$F141)</f>
        <v/>
      </c>
      <c r="G141">
        <f>IF($A141&gt;cfg_LastDataDate,NA(),Calc_Daily!$O141)</f>
        <v/>
      </c>
      <c r="H141">
        <f>IF($A141&gt;cfg_LastDataDate,NA(),Calc_Daily!$CS141)</f>
        <v/>
      </c>
      <c r="I141">
        <f>IF($A141&gt;cfg_LastDataDate,NA(),Calc_Daily!$CM141)</f>
        <v/>
      </c>
      <c r="J141">
        <f>IF($A141&gt;cfg_LastDataDate,NA(),Calc_Daily!$HF141)</f>
        <v/>
      </c>
      <c r="K141">
        <f>Calc_Daily!$IT141</f>
        <v/>
      </c>
    </row>
    <row r="142">
      <c r="A142" s="54">
        <f>Calc_Daily!$A142</f>
        <v/>
      </c>
      <c r="B142">
        <f>IF($A142&gt;cfg_LastDataDate,NA(),Calc_Daily!$BZ142)</f>
        <v/>
      </c>
      <c r="C142">
        <f>Calc_Daily!$IG142/Calc_Daily!$D142</f>
        <v/>
      </c>
      <c r="D142">
        <f>IF($A142&gt;cfg_LastDataDate,NA(),Calc_Daily!$CZ142)</f>
        <v/>
      </c>
      <c r="E142">
        <f>Calc_Daily!$IX142</f>
        <v/>
      </c>
      <c r="F142">
        <f>IF($A142&gt;cfg_LastDataDate,NA(),Calc_Daily!$F142)</f>
        <v/>
      </c>
      <c r="G142">
        <f>IF($A142&gt;cfg_LastDataDate,NA(),Calc_Daily!$O142)</f>
        <v/>
      </c>
      <c r="H142">
        <f>IF($A142&gt;cfg_LastDataDate,NA(),Calc_Daily!$CS142)</f>
        <v/>
      </c>
      <c r="I142">
        <f>IF($A142&gt;cfg_LastDataDate,NA(),Calc_Daily!$CM142)</f>
        <v/>
      </c>
      <c r="J142">
        <f>IF($A142&gt;cfg_LastDataDate,NA(),Calc_Daily!$HF142)</f>
        <v/>
      </c>
      <c r="K142">
        <f>Calc_Daily!$IT142</f>
        <v/>
      </c>
    </row>
    <row r="143">
      <c r="A143" s="54">
        <f>Calc_Daily!$A143</f>
        <v/>
      </c>
      <c r="B143">
        <f>IF($A143&gt;cfg_LastDataDate,NA(),Calc_Daily!$BZ143)</f>
        <v/>
      </c>
      <c r="C143">
        <f>Calc_Daily!$IG143/Calc_Daily!$D143</f>
        <v/>
      </c>
      <c r="D143">
        <f>IF($A143&gt;cfg_LastDataDate,NA(),Calc_Daily!$CZ143)</f>
        <v/>
      </c>
      <c r="E143">
        <f>Calc_Daily!$IX143</f>
        <v/>
      </c>
      <c r="F143">
        <f>IF($A143&gt;cfg_LastDataDate,NA(),Calc_Daily!$F143)</f>
        <v/>
      </c>
      <c r="G143">
        <f>IF($A143&gt;cfg_LastDataDate,NA(),Calc_Daily!$O143)</f>
        <v/>
      </c>
      <c r="H143">
        <f>IF($A143&gt;cfg_LastDataDate,NA(),Calc_Daily!$CS143)</f>
        <v/>
      </c>
      <c r="I143">
        <f>IF($A143&gt;cfg_LastDataDate,NA(),Calc_Daily!$CM143)</f>
        <v/>
      </c>
      <c r="J143">
        <f>IF($A143&gt;cfg_LastDataDate,NA(),Calc_Daily!$HF143)</f>
        <v/>
      </c>
      <c r="K143">
        <f>Calc_Daily!$IT143</f>
        <v/>
      </c>
    </row>
    <row r="144">
      <c r="A144" s="54">
        <f>Calc_Daily!$A144</f>
        <v/>
      </c>
      <c r="B144">
        <f>IF($A144&gt;cfg_LastDataDate,NA(),Calc_Daily!$BZ144)</f>
        <v/>
      </c>
      <c r="C144">
        <f>Calc_Daily!$IG144/Calc_Daily!$D144</f>
        <v/>
      </c>
      <c r="D144">
        <f>IF($A144&gt;cfg_LastDataDate,NA(),Calc_Daily!$CZ144)</f>
        <v/>
      </c>
      <c r="E144">
        <f>Calc_Daily!$IX144</f>
        <v/>
      </c>
      <c r="F144">
        <f>IF($A144&gt;cfg_LastDataDate,NA(),Calc_Daily!$F144)</f>
        <v/>
      </c>
      <c r="G144">
        <f>IF($A144&gt;cfg_LastDataDate,NA(),Calc_Daily!$O144)</f>
        <v/>
      </c>
      <c r="H144">
        <f>IF($A144&gt;cfg_LastDataDate,NA(),Calc_Daily!$CS144)</f>
        <v/>
      </c>
      <c r="I144">
        <f>IF($A144&gt;cfg_LastDataDate,NA(),Calc_Daily!$CM144)</f>
        <v/>
      </c>
      <c r="J144">
        <f>IF($A144&gt;cfg_LastDataDate,NA(),Calc_Daily!$HF144)</f>
        <v/>
      </c>
      <c r="K144">
        <f>Calc_Daily!$IT144</f>
        <v/>
      </c>
    </row>
    <row r="145">
      <c r="A145" s="54">
        <f>Calc_Daily!$A145</f>
        <v/>
      </c>
      <c r="B145">
        <f>IF($A145&gt;cfg_LastDataDate,NA(),Calc_Daily!$BZ145)</f>
        <v/>
      </c>
      <c r="C145">
        <f>Calc_Daily!$IG145/Calc_Daily!$D145</f>
        <v/>
      </c>
      <c r="D145">
        <f>IF($A145&gt;cfg_LastDataDate,NA(),Calc_Daily!$CZ145)</f>
        <v/>
      </c>
      <c r="E145">
        <f>Calc_Daily!$IX145</f>
        <v/>
      </c>
      <c r="F145">
        <f>IF($A145&gt;cfg_LastDataDate,NA(),Calc_Daily!$F145)</f>
        <v/>
      </c>
      <c r="G145">
        <f>IF($A145&gt;cfg_LastDataDate,NA(),Calc_Daily!$O145)</f>
        <v/>
      </c>
      <c r="H145">
        <f>IF($A145&gt;cfg_LastDataDate,NA(),Calc_Daily!$CS145)</f>
        <v/>
      </c>
      <c r="I145">
        <f>IF($A145&gt;cfg_LastDataDate,NA(),Calc_Daily!$CM145)</f>
        <v/>
      </c>
      <c r="J145">
        <f>IF($A145&gt;cfg_LastDataDate,NA(),Calc_Daily!$HF145)</f>
        <v/>
      </c>
      <c r="K145">
        <f>Calc_Daily!$IT145</f>
        <v/>
      </c>
    </row>
    <row r="146">
      <c r="A146" s="54">
        <f>Calc_Daily!$A146</f>
        <v/>
      </c>
      <c r="B146">
        <f>IF($A146&gt;cfg_LastDataDate,NA(),Calc_Daily!$BZ146)</f>
        <v/>
      </c>
      <c r="C146">
        <f>Calc_Daily!$IG146/Calc_Daily!$D146</f>
        <v/>
      </c>
      <c r="D146">
        <f>IF($A146&gt;cfg_LastDataDate,NA(),Calc_Daily!$CZ146)</f>
        <v/>
      </c>
      <c r="E146">
        <f>Calc_Daily!$IX146</f>
        <v/>
      </c>
      <c r="F146">
        <f>IF($A146&gt;cfg_LastDataDate,NA(),Calc_Daily!$F146)</f>
        <v/>
      </c>
      <c r="G146">
        <f>IF($A146&gt;cfg_LastDataDate,NA(),Calc_Daily!$O146)</f>
        <v/>
      </c>
      <c r="H146">
        <f>IF($A146&gt;cfg_LastDataDate,NA(),Calc_Daily!$CS146)</f>
        <v/>
      </c>
      <c r="I146">
        <f>IF($A146&gt;cfg_LastDataDate,NA(),Calc_Daily!$CM146)</f>
        <v/>
      </c>
      <c r="J146">
        <f>IF($A146&gt;cfg_LastDataDate,NA(),Calc_Daily!$HF146)</f>
        <v/>
      </c>
      <c r="K146">
        <f>Calc_Daily!$IT146</f>
        <v/>
      </c>
    </row>
    <row r="147">
      <c r="A147" s="54">
        <f>Calc_Daily!$A147</f>
        <v/>
      </c>
      <c r="B147">
        <f>IF($A147&gt;cfg_LastDataDate,NA(),Calc_Daily!$BZ147)</f>
        <v/>
      </c>
      <c r="C147">
        <f>Calc_Daily!$IG147/Calc_Daily!$D147</f>
        <v/>
      </c>
      <c r="D147">
        <f>IF($A147&gt;cfg_LastDataDate,NA(),Calc_Daily!$CZ147)</f>
        <v/>
      </c>
      <c r="E147">
        <f>Calc_Daily!$IX147</f>
        <v/>
      </c>
      <c r="F147">
        <f>IF($A147&gt;cfg_LastDataDate,NA(),Calc_Daily!$F147)</f>
        <v/>
      </c>
      <c r="G147">
        <f>IF($A147&gt;cfg_LastDataDate,NA(),Calc_Daily!$O147)</f>
        <v/>
      </c>
      <c r="H147">
        <f>IF($A147&gt;cfg_LastDataDate,NA(),Calc_Daily!$CS147)</f>
        <v/>
      </c>
      <c r="I147">
        <f>IF($A147&gt;cfg_LastDataDate,NA(),Calc_Daily!$CM147)</f>
        <v/>
      </c>
      <c r="J147">
        <f>IF($A147&gt;cfg_LastDataDate,NA(),Calc_Daily!$HF147)</f>
        <v/>
      </c>
      <c r="K147">
        <f>Calc_Daily!$IT147</f>
        <v/>
      </c>
    </row>
    <row r="148">
      <c r="A148" s="54">
        <f>Calc_Daily!$A148</f>
        <v/>
      </c>
      <c r="B148">
        <f>IF($A148&gt;cfg_LastDataDate,NA(),Calc_Daily!$BZ148)</f>
        <v/>
      </c>
      <c r="C148">
        <f>Calc_Daily!$IG148/Calc_Daily!$D148</f>
        <v/>
      </c>
      <c r="D148">
        <f>IF($A148&gt;cfg_LastDataDate,NA(),Calc_Daily!$CZ148)</f>
        <v/>
      </c>
      <c r="E148">
        <f>Calc_Daily!$IX148</f>
        <v/>
      </c>
      <c r="F148">
        <f>IF($A148&gt;cfg_LastDataDate,NA(),Calc_Daily!$F148)</f>
        <v/>
      </c>
      <c r="G148">
        <f>IF($A148&gt;cfg_LastDataDate,NA(),Calc_Daily!$O148)</f>
        <v/>
      </c>
      <c r="H148">
        <f>IF($A148&gt;cfg_LastDataDate,NA(),Calc_Daily!$CS148)</f>
        <v/>
      </c>
      <c r="I148">
        <f>IF($A148&gt;cfg_LastDataDate,NA(),Calc_Daily!$CM148)</f>
        <v/>
      </c>
      <c r="J148">
        <f>IF($A148&gt;cfg_LastDataDate,NA(),Calc_Daily!$HF148)</f>
        <v/>
      </c>
      <c r="K148">
        <f>Calc_Daily!$IT148</f>
        <v/>
      </c>
    </row>
    <row r="149">
      <c r="A149" s="54">
        <f>Calc_Daily!$A149</f>
        <v/>
      </c>
      <c r="B149">
        <f>IF($A149&gt;cfg_LastDataDate,NA(),Calc_Daily!$BZ149)</f>
        <v/>
      </c>
      <c r="C149">
        <f>Calc_Daily!$IG149/Calc_Daily!$D149</f>
        <v/>
      </c>
      <c r="D149">
        <f>IF($A149&gt;cfg_LastDataDate,NA(),Calc_Daily!$CZ149)</f>
        <v/>
      </c>
      <c r="E149">
        <f>Calc_Daily!$IX149</f>
        <v/>
      </c>
      <c r="F149">
        <f>IF($A149&gt;cfg_LastDataDate,NA(),Calc_Daily!$F149)</f>
        <v/>
      </c>
      <c r="G149">
        <f>IF($A149&gt;cfg_LastDataDate,NA(),Calc_Daily!$O149)</f>
        <v/>
      </c>
      <c r="H149">
        <f>IF($A149&gt;cfg_LastDataDate,NA(),Calc_Daily!$CS149)</f>
        <v/>
      </c>
      <c r="I149">
        <f>IF($A149&gt;cfg_LastDataDate,NA(),Calc_Daily!$CM149)</f>
        <v/>
      </c>
      <c r="J149">
        <f>IF($A149&gt;cfg_LastDataDate,NA(),Calc_Daily!$HF149)</f>
        <v/>
      </c>
      <c r="K149">
        <f>Calc_Daily!$IT149</f>
        <v/>
      </c>
    </row>
    <row r="150">
      <c r="A150" s="54">
        <f>Calc_Daily!$A150</f>
        <v/>
      </c>
      <c r="B150">
        <f>IF($A150&gt;cfg_LastDataDate,NA(),Calc_Daily!$BZ150)</f>
        <v/>
      </c>
      <c r="C150">
        <f>Calc_Daily!$IG150/Calc_Daily!$D150</f>
        <v/>
      </c>
      <c r="D150">
        <f>IF($A150&gt;cfg_LastDataDate,NA(),Calc_Daily!$CZ150)</f>
        <v/>
      </c>
      <c r="E150">
        <f>Calc_Daily!$IX150</f>
        <v/>
      </c>
      <c r="F150">
        <f>IF($A150&gt;cfg_LastDataDate,NA(),Calc_Daily!$F150)</f>
        <v/>
      </c>
      <c r="G150">
        <f>IF($A150&gt;cfg_LastDataDate,NA(),Calc_Daily!$O150)</f>
        <v/>
      </c>
      <c r="H150">
        <f>IF($A150&gt;cfg_LastDataDate,NA(),Calc_Daily!$CS150)</f>
        <v/>
      </c>
      <c r="I150">
        <f>IF($A150&gt;cfg_LastDataDate,NA(),Calc_Daily!$CM150)</f>
        <v/>
      </c>
      <c r="J150">
        <f>IF($A150&gt;cfg_LastDataDate,NA(),Calc_Daily!$HF150)</f>
        <v/>
      </c>
      <c r="K150">
        <f>Calc_Daily!$IT150</f>
        <v/>
      </c>
    </row>
    <row r="151">
      <c r="A151" s="54">
        <f>Calc_Daily!$A151</f>
        <v/>
      </c>
      <c r="B151">
        <f>IF($A151&gt;cfg_LastDataDate,NA(),Calc_Daily!$BZ151)</f>
        <v/>
      </c>
      <c r="C151">
        <f>Calc_Daily!$IG151/Calc_Daily!$D151</f>
        <v/>
      </c>
      <c r="D151">
        <f>IF($A151&gt;cfg_LastDataDate,NA(),Calc_Daily!$CZ151)</f>
        <v/>
      </c>
      <c r="E151">
        <f>Calc_Daily!$IX151</f>
        <v/>
      </c>
      <c r="F151">
        <f>IF($A151&gt;cfg_LastDataDate,NA(),Calc_Daily!$F151)</f>
        <v/>
      </c>
      <c r="G151">
        <f>IF($A151&gt;cfg_LastDataDate,NA(),Calc_Daily!$O151)</f>
        <v/>
      </c>
      <c r="H151">
        <f>IF($A151&gt;cfg_LastDataDate,NA(),Calc_Daily!$CS151)</f>
        <v/>
      </c>
      <c r="I151">
        <f>IF($A151&gt;cfg_LastDataDate,NA(),Calc_Daily!$CM151)</f>
        <v/>
      </c>
      <c r="J151">
        <f>IF($A151&gt;cfg_LastDataDate,NA(),Calc_Daily!$HF151)</f>
        <v/>
      </c>
      <c r="K151">
        <f>Calc_Daily!$IT151</f>
        <v/>
      </c>
    </row>
    <row r="152">
      <c r="A152" s="54">
        <f>Calc_Daily!$A152</f>
        <v/>
      </c>
      <c r="B152">
        <f>IF($A152&gt;cfg_LastDataDate,NA(),Calc_Daily!$BZ152)</f>
        <v/>
      </c>
      <c r="C152">
        <f>Calc_Daily!$IG152/Calc_Daily!$D152</f>
        <v/>
      </c>
      <c r="D152">
        <f>IF($A152&gt;cfg_LastDataDate,NA(),Calc_Daily!$CZ152)</f>
        <v/>
      </c>
      <c r="E152">
        <f>Calc_Daily!$IX152</f>
        <v/>
      </c>
      <c r="F152">
        <f>IF($A152&gt;cfg_LastDataDate,NA(),Calc_Daily!$F152)</f>
        <v/>
      </c>
      <c r="G152">
        <f>IF($A152&gt;cfg_LastDataDate,NA(),Calc_Daily!$O152)</f>
        <v/>
      </c>
      <c r="H152">
        <f>IF($A152&gt;cfg_LastDataDate,NA(),Calc_Daily!$CS152)</f>
        <v/>
      </c>
      <c r="I152">
        <f>IF($A152&gt;cfg_LastDataDate,NA(),Calc_Daily!$CM152)</f>
        <v/>
      </c>
      <c r="J152">
        <f>IF($A152&gt;cfg_LastDataDate,NA(),Calc_Daily!$HF152)</f>
        <v/>
      </c>
      <c r="K152">
        <f>Calc_Daily!$IT152</f>
        <v/>
      </c>
    </row>
    <row r="153">
      <c r="A153" s="54">
        <f>Calc_Daily!$A153</f>
        <v/>
      </c>
      <c r="B153">
        <f>IF($A153&gt;cfg_LastDataDate,NA(),Calc_Daily!$BZ153)</f>
        <v/>
      </c>
      <c r="C153">
        <f>Calc_Daily!$IG153/Calc_Daily!$D153</f>
        <v/>
      </c>
      <c r="D153">
        <f>IF($A153&gt;cfg_LastDataDate,NA(),Calc_Daily!$CZ153)</f>
        <v/>
      </c>
      <c r="E153">
        <f>Calc_Daily!$IX153</f>
        <v/>
      </c>
      <c r="F153">
        <f>IF($A153&gt;cfg_LastDataDate,NA(),Calc_Daily!$F153)</f>
        <v/>
      </c>
      <c r="G153">
        <f>IF($A153&gt;cfg_LastDataDate,NA(),Calc_Daily!$O153)</f>
        <v/>
      </c>
      <c r="H153">
        <f>IF($A153&gt;cfg_LastDataDate,NA(),Calc_Daily!$CS153)</f>
        <v/>
      </c>
      <c r="I153">
        <f>IF($A153&gt;cfg_LastDataDate,NA(),Calc_Daily!$CM153)</f>
        <v/>
      </c>
      <c r="J153">
        <f>IF($A153&gt;cfg_LastDataDate,NA(),Calc_Daily!$HF153)</f>
        <v/>
      </c>
      <c r="K153">
        <f>Calc_Daily!$IT153</f>
        <v/>
      </c>
    </row>
    <row r="154">
      <c r="A154" s="54">
        <f>Calc_Daily!$A154</f>
        <v/>
      </c>
      <c r="B154">
        <f>IF($A154&gt;cfg_LastDataDate,NA(),Calc_Daily!$BZ154)</f>
        <v/>
      </c>
      <c r="C154">
        <f>Calc_Daily!$IG154/Calc_Daily!$D154</f>
        <v/>
      </c>
      <c r="D154">
        <f>IF($A154&gt;cfg_LastDataDate,NA(),Calc_Daily!$CZ154)</f>
        <v/>
      </c>
      <c r="E154">
        <f>Calc_Daily!$IX154</f>
        <v/>
      </c>
      <c r="F154">
        <f>IF($A154&gt;cfg_LastDataDate,NA(),Calc_Daily!$F154)</f>
        <v/>
      </c>
      <c r="G154">
        <f>IF($A154&gt;cfg_LastDataDate,NA(),Calc_Daily!$O154)</f>
        <v/>
      </c>
      <c r="H154">
        <f>IF($A154&gt;cfg_LastDataDate,NA(),Calc_Daily!$CS154)</f>
        <v/>
      </c>
      <c r="I154">
        <f>IF($A154&gt;cfg_LastDataDate,NA(),Calc_Daily!$CM154)</f>
        <v/>
      </c>
      <c r="J154">
        <f>IF($A154&gt;cfg_LastDataDate,NA(),Calc_Daily!$HF154)</f>
        <v/>
      </c>
      <c r="K154">
        <f>Calc_Daily!$IT154</f>
        <v/>
      </c>
    </row>
    <row r="155">
      <c r="A155" s="54">
        <f>Calc_Daily!$A155</f>
        <v/>
      </c>
      <c r="B155">
        <f>IF($A155&gt;cfg_LastDataDate,NA(),Calc_Daily!$BZ155)</f>
        <v/>
      </c>
      <c r="C155">
        <f>Calc_Daily!$IG155/Calc_Daily!$D155</f>
        <v/>
      </c>
      <c r="D155">
        <f>IF($A155&gt;cfg_LastDataDate,NA(),Calc_Daily!$CZ155)</f>
        <v/>
      </c>
      <c r="E155">
        <f>Calc_Daily!$IX155</f>
        <v/>
      </c>
      <c r="F155">
        <f>IF($A155&gt;cfg_LastDataDate,NA(),Calc_Daily!$F155)</f>
        <v/>
      </c>
      <c r="G155">
        <f>IF($A155&gt;cfg_LastDataDate,NA(),Calc_Daily!$O155)</f>
        <v/>
      </c>
      <c r="H155">
        <f>IF($A155&gt;cfg_LastDataDate,NA(),Calc_Daily!$CS155)</f>
        <v/>
      </c>
      <c r="I155">
        <f>IF($A155&gt;cfg_LastDataDate,NA(),Calc_Daily!$CM155)</f>
        <v/>
      </c>
      <c r="J155">
        <f>IF($A155&gt;cfg_LastDataDate,NA(),Calc_Daily!$HF155)</f>
        <v/>
      </c>
      <c r="K155">
        <f>Calc_Daily!$IT155</f>
        <v/>
      </c>
    </row>
    <row r="156">
      <c r="A156" s="54">
        <f>Calc_Daily!$A156</f>
        <v/>
      </c>
      <c r="B156">
        <f>IF($A156&gt;cfg_LastDataDate,NA(),Calc_Daily!$BZ156)</f>
        <v/>
      </c>
      <c r="C156">
        <f>Calc_Daily!$IG156/Calc_Daily!$D156</f>
        <v/>
      </c>
      <c r="D156">
        <f>IF($A156&gt;cfg_LastDataDate,NA(),Calc_Daily!$CZ156)</f>
        <v/>
      </c>
      <c r="E156">
        <f>Calc_Daily!$IX156</f>
        <v/>
      </c>
      <c r="F156">
        <f>IF($A156&gt;cfg_LastDataDate,NA(),Calc_Daily!$F156)</f>
        <v/>
      </c>
      <c r="G156">
        <f>IF($A156&gt;cfg_LastDataDate,NA(),Calc_Daily!$O156)</f>
        <v/>
      </c>
      <c r="H156">
        <f>IF($A156&gt;cfg_LastDataDate,NA(),Calc_Daily!$CS156)</f>
        <v/>
      </c>
      <c r="I156">
        <f>IF($A156&gt;cfg_LastDataDate,NA(),Calc_Daily!$CM156)</f>
        <v/>
      </c>
      <c r="J156">
        <f>IF($A156&gt;cfg_LastDataDate,NA(),Calc_Daily!$HF156)</f>
        <v/>
      </c>
      <c r="K156">
        <f>Calc_Daily!$IT156</f>
        <v/>
      </c>
    </row>
    <row r="157">
      <c r="A157" s="54">
        <f>Calc_Daily!$A157</f>
        <v/>
      </c>
      <c r="B157">
        <f>IF($A157&gt;cfg_LastDataDate,NA(),Calc_Daily!$BZ157)</f>
        <v/>
      </c>
      <c r="C157">
        <f>Calc_Daily!$IG157/Calc_Daily!$D157</f>
        <v/>
      </c>
      <c r="D157">
        <f>IF($A157&gt;cfg_LastDataDate,NA(),Calc_Daily!$CZ157)</f>
        <v/>
      </c>
      <c r="E157">
        <f>Calc_Daily!$IX157</f>
        <v/>
      </c>
      <c r="F157">
        <f>IF($A157&gt;cfg_LastDataDate,NA(),Calc_Daily!$F157)</f>
        <v/>
      </c>
      <c r="G157">
        <f>IF($A157&gt;cfg_LastDataDate,NA(),Calc_Daily!$O157)</f>
        <v/>
      </c>
      <c r="H157">
        <f>IF($A157&gt;cfg_LastDataDate,NA(),Calc_Daily!$CS157)</f>
        <v/>
      </c>
      <c r="I157">
        <f>IF($A157&gt;cfg_LastDataDate,NA(),Calc_Daily!$CM157)</f>
        <v/>
      </c>
      <c r="J157">
        <f>IF($A157&gt;cfg_LastDataDate,NA(),Calc_Daily!$HF157)</f>
        <v/>
      </c>
      <c r="K157">
        <f>Calc_Daily!$IT157</f>
        <v/>
      </c>
    </row>
    <row r="158">
      <c r="A158" s="54">
        <f>Calc_Daily!$A158</f>
        <v/>
      </c>
      <c r="B158">
        <f>IF($A158&gt;cfg_LastDataDate,NA(),Calc_Daily!$BZ158)</f>
        <v/>
      </c>
      <c r="C158">
        <f>Calc_Daily!$IG158/Calc_Daily!$D158</f>
        <v/>
      </c>
      <c r="D158">
        <f>IF($A158&gt;cfg_LastDataDate,NA(),Calc_Daily!$CZ158)</f>
        <v/>
      </c>
      <c r="E158">
        <f>Calc_Daily!$IX158</f>
        <v/>
      </c>
      <c r="F158">
        <f>IF($A158&gt;cfg_LastDataDate,NA(),Calc_Daily!$F158)</f>
        <v/>
      </c>
      <c r="G158">
        <f>IF($A158&gt;cfg_LastDataDate,NA(),Calc_Daily!$O158)</f>
        <v/>
      </c>
      <c r="H158">
        <f>IF($A158&gt;cfg_LastDataDate,NA(),Calc_Daily!$CS158)</f>
        <v/>
      </c>
      <c r="I158">
        <f>IF($A158&gt;cfg_LastDataDate,NA(),Calc_Daily!$CM158)</f>
        <v/>
      </c>
      <c r="J158">
        <f>IF($A158&gt;cfg_LastDataDate,NA(),Calc_Daily!$HF158)</f>
        <v/>
      </c>
      <c r="K158">
        <f>Calc_Daily!$IT158</f>
        <v/>
      </c>
    </row>
    <row r="159">
      <c r="A159" s="54">
        <f>Calc_Daily!$A159</f>
        <v/>
      </c>
      <c r="B159">
        <f>IF($A159&gt;cfg_LastDataDate,NA(),Calc_Daily!$BZ159)</f>
        <v/>
      </c>
      <c r="C159">
        <f>Calc_Daily!$IG159/Calc_Daily!$D159</f>
        <v/>
      </c>
      <c r="D159">
        <f>IF($A159&gt;cfg_LastDataDate,NA(),Calc_Daily!$CZ159)</f>
        <v/>
      </c>
      <c r="E159">
        <f>Calc_Daily!$IX159</f>
        <v/>
      </c>
      <c r="F159">
        <f>IF($A159&gt;cfg_LastDataDate,NA(),Calc_Daily!$F159)</f>
        <v/>
      </c>
      <c r="G159">
        <f>IF($A159&gt;cfg_LastDataDate,NA(),Calc_Daily!$O159)</f>
        <v/>
      </c>
      <c r="H159">
        <f>IF($A159&gt;cfg_LastDataDate,NA(),Calc_Daily!$CS159)</f>
        <v/>
      </c>
      <c r="I159">
        <f>IF($A159&gt;cfg_LastDataDate,NA(),Calc_Daily!$CM159)</f>
        <v/>
      </c>
      <c r="J159">
        <f>IF($A159&gt;cfg_LastDataDate,NA(),Calc_Daily!$HF159)</f>
        <v/>
      </c>
      <c r="K159">
        <f>Calc_Daily!$IT159</f>
        <v/>
      </c>
    </row>
    <row r="160">
      <c r="A160" s="54">
        <f>Calc_Daily!$A160</f>
        <v/>
      </c>
      <c r="B160">
        <f>IF($A160&gt;cfg_LastDataDate,NA(),Calc_Daily!$BZ160)</f>
        <v/>
      </c>
      <c r="C160">
        <f>Calc_Daily!$IG160/Calc_Daily!$D160</f>
        <v/>
      </c>
      <c r="D160">
        <f>IF($A160&gt;cfg_LastDataDate,NA(),Calc_Daily!$CZ160)</f>
        <v/>
      </c>
      <c r="E160">
        <f>Calc_Daily!$IX160</f>
        <v/>
      </c>
      <c r="F160">
        <f>IF($A160&gt;cfg_LastDataDate,NA(),Calc_Daily!$F160)</f>
        <v/>
      </c>
      <c r="G160">
        <f>IF($A160&gt;cfg_LastDataDate,NA(),Calc_Daily!$O160)</f>
        <v/>
      </c>
      <c r="H160">
        <f>IF($A160&gt;cfg_LastDataDate,NA(),Calc_Daily!$CS160)</f>
        <v/>
      </c>
      <c r="I160">
        <f>IF($A160&gt;cfg_LastDataDate,NA(),Calc_Daily!$CM160)</f>
        <v/>
      </c>
      <c r="J160">
        <f>IF($A160&gt;cfg_LastDataDate,NA(),Calc_Daily!$HF160)</f>
        <v/>
      </c>
      <c r="K160">
        <f>Calc_Daily!$IT160</f>
        <v/>
      </c>
    </row>
    <row r="161">
      <c r="A161" s="54">
        <f>Calc_Daily!$A161</f>
        <v/>
      </c>
      <c r="B161">
        <f>IF($A161&gt;cfg_LastDataDate,NA(),Calc_Daily!$BZ161)</f>
        <v/>
      </c>
      <c r="C161">
        <f>Calc_Daily!$IG161/Calc_Daily!$D161</f>
        <v/>
      </c>
      <c r="D161">
        <f>IF($A161&gt;cfg_LastDataDate,NA(),Calc_Daily!$CZ161)</f>
        <v/>
      </c>
      <c r="E161">
        <f>Calc_Daily!$IX161</f>
        <v/>
      </c>
      <c r="F161">
        <f>IF($A161&gt;cfg_LastDataDate,NA(),Calc_Daily!$F161)</f>
        <v/>
      </c>
      <c r="G161">
        <f>IF($A161&gt;cfg_LastDataDate,NA(),Calc_Daily!$O161)</f>
        <v/>
      </c>
      <c r="H161">
        <f>IF($A161&gt;cfg_LastDataDate,NA(),Calc_Daily!$CS161)</f>
        <v/>
      </c>
      <c r="I161">
        <f>IF($A161&gt;cfg_LastDataDate,NA(),Calc_Daily!$CM161)</f>
        <v/>
      </c>
      <c r="J161">
        <f>IF($A161&gt;cfg_LastDataDate,NA(),Calc_Daily!$HF161)</f>
        <v/>
      </c>
      <c r="K161">
        <f>Calc_Daily!$IT161</f>
        <v/>
      </c>
    </row>
    <row r="162">
      <c r="A162" s="54">
        <f>Calc_Daily!$A162</f>
        <v/>
      </c>
      <c r="B162">
        <f>IF($A162&gt;cfg_LastDataDate,NA(),Calc_Daily!$BZ162)</f>
        <v/>
      </c>
      <c r="C162">
        <f>Calc_Daily!$IG162/Calc_Daily!$D162</f>
        <v/>
      </c>
      <c r="D162">
        <f>IF($A162&gt;cfg_LastDataDate,NA(),Calc_Daily!$CZ162)</f>
        <v/>
      </c>
      <c r="E162">
        <f>Calc_Daily!$IX162</f>
        <v/>
      </c>
      <c r="F162">
        <f>IF($A162&gt;cfg_LastDataDate,NA(),Calc_Daily!$F162)</f>
        <v/>
      </c>
      <c r="G162">
        <f>IF($A162&gt;cfg_LastDataDate,NA(),Calc_Daily!$O162)</f>
        <v/>
      </c>
      <c r="H162">
        <f>IF($A162&gt;cfg_LastDataDate,NA(),Calc_Daily!$CS162)</f>
        <v/>
      </c>
      <c r="I162">
        <f>IF($A162&gt;cfg_LastDataDate,NA(),Calc_Daily!$CM162)</f>
        <v/>
      </c>
      <c r="J162">
        <f>IF($A162&gt;cfg_LastDataDate,NA(),Calc_Daily!$HF162)</f>
        <v/>
      </c>
      <c r="K162">
        <f>Calc_Daily!$IT162</f>
        <v/>
      </c>
    </row>
    <row r="163">
      <c r="A163" s="54">
        <f>Calc_Daily!$A163</f>
        <v/>
      </c>
      <c r="B163">
        <f>IF($A163&gt;cfg_LastDataDate,NA(),Calc_Daily!$BZ163)</f>
        <v/>
      </c>
      <c r="C163">
        <f>Calc_Daily!$IG163/Calc_Daily!$D163</f>
        <v/>
      </c>
      <c r="D163">
        <f>IF($A163&gt;cfg_LastDataDate,NA(),Calc_Daily!$CZ163)</f>
        <v/>
      </c>
      <c r="E163">
        <f>Calc_Daily!$IX163</f>
        <v/>
      </c>
      <c r="F163">
        <f>IF($A163&gt;cfg_LastDataDate,NA(),Calc_Daily!$F163)</f>
        <v/>
      </c>
      <c r="G163">
        <f>IF($A163&gt;cfg_LastDataDate,NA(),Calc_Daily!$O163)</f>
        <v/>
      </c>
      <c r="H163">
        <f>IF($A163&gt;cfg_LastDataDate,NA(),Calc_Daily!$CS163)</f>
        <v/>
      </c>
      <c r="I163">
        <f>IF($A163&gt;cfg_LastDataDate,NA(),Calc_Daily!$CM163)</f>
        <v/>
      </c>
      <c r="J163">
        <f>IF($A163&gt;cfg_LastDataDate,NA(),Calc_Daily!$HF163)</f>
        <v/>
      </c>
      <c r="K163">
        <f>Calc_Daily!$IT163</f>
        <v/>
      </c>
    </row>
    <row r="164">
      <c r="A164" s="54">
        <f>Calc_Daily!$A164</f>
        <v/>
      </c>
      <c r="B164">
        <f>IF($A164&gt;cfg_LastDataDate,NA(),Calc_Daily!$BZ164)</f>
        <v/>
      </c>
      <c r="C164">
        <f>Calc_Daily!$IG164/Calc_Daily!$D164</f>
        <v/>
      </c>
      <c r="D164">
        <f>IF($A164&gt;cfg_LastDataDate,NA(),Calc_Daily!$CZ164)</f>
        <v/>
      </c>
      <c r="E164">
        <f>Calc_Daily!$IX164</f>
        <v/>
      </c>
      <c r="F164">
        <f>IF($A164&gt;cfg_LastDataDate,NA(),Calc_Daily!$F164)</f>
        <v/>
      </c>
      <c r="G164">
        <f>IF($A164&gt;cfg_LastDataDate,NA(),Calc_Daily!$O164)</f>
        <v/>
      </c>
      <c r="H164">
        <f>IF($A164&gt;cfg_LastDataDate,NA(),Calc_Daily!$CS164)</f>
        <v/>
      </c>
      <c r="I164">
        <f>IF($A164&gt;cfg_LastDataDate,NA(),Calc_Daily!$CM164)</f>
        <v/>
      </c>
      <c r="J164">
        <f>IF($A164&gt;cfg_LastDataDate,NA(),Calc_Daily!$HF164)</f>
        <v/>
      </c>
      <c r="K164">
        <f>Calc_Daily!$IT164</f>
        <v/>
      </c>
    </row>
    <row r="165">
      <c r="A165" s="54">
        <f>Calc_Daily!$A165</f>
        <v/>
      </c>
      <c r="B165">
        <f>IF($A165&gt;cfg_LastDataDate,NA(),Calc_Daily!$BZ165)</f>
        <v/>
      </c>
      <c r="C165">
        <f>Calc_Daily!$IG165/Calc_Daily!$D165</f>
        <v/>
      </c>
      <c r="D165">
        <f>IF($A165&gt;cfg_LastDataDate,NA(),Calc_Daily!$CZ165)</f>
        <v/>
      </c>
      <c r="E165">
        <f>Calc_Daily!$IX165</f>
        <v/>
      </c>
      <c r="F165">
        <f>IF($A165&gt;cfg_LastDataDate,NA(),Calc_Daily!$F165)</f>
        <v/>
      </c>
      <c r="G165">
        <f>IF($A165&gt;cfg_LastDataDate,NA(),Calc_Daily!$O165)</f>
        <v/>
      </c>
      <c r="H165">
        <f>IF($A165&gt;cfg_LastDataDate,NA(),Calc_Daily!$CS165)</f>
        <v/>
      </c>
      <c r="I165">
        <f>IF($A165&gt;cfg_LastDataDate,NA(),Calc_Daily!$CM165)</f>
        <v/>
      </c>
      <c r="J165">
        <f>IF($A165&gt;cfg_LastDataDate,NA(),Calc_Daily!$HF165)</f>
        <v/>
      </c>
      <c r="K165">
        <f>Calc_Daily!$IT165</f>
        <v/>
      </c>
    </row>
    <row r="166">
      <c r="A166" s="54">
        <f>Calc_Daily!$A166</f>
        <v/>
      </c>
      <c r="B166">
        <f>IF($A166&gt;cfg_LastDataDate,NA(),Calc_Daily!$BZ166)</f>
        <v/>
      </c>
      <c r="C166">
        <f>Calc_Daily!$IG166/Calc_Daily!$D166</f>
        <v/>
      </c>
      <c r="D166">
        <f>IF($A166&gt;cfg_LastDataDate,NA(),Calc_Daily!$CZ166)</f>
        <v/>
      </c>
      <c r="E166">
        <f>Calc_Daily!$IX166</f>
        <v/>
      </c>
      <c r="F166">
        <f>IF($A166&gt;cfg_LastDataDate,NA(),Calc_Daily!$F166)</f>
        <v/>
      </c>
      <c r="G166">
        <f>IF($A166&gt;cfg_LastDataDate,NA(),Calc_Daily!$O166)</f>
        <v/>
      </c>
      <c r="H166">
        <f>IF($A166&gt;cfg_LastDataDate,NA(),Calc_Daily!$CS166)</f>
        <v/>
      </c>
      <c r="I166">
        <f>IF($A166&gt;cfg_LastDataDate,NA(),Calc_Daily!$CM166)</f>
        <v/>
      </c>
      <c r="J166">
        <f>IF($A166&gt;cfg_LastDataDate,NA(),Calc_Daily!$HF166)</f>
        <v/>
      </c>
      <c r="K166">
        <f>Calc_Daily!$IT166</f>
        <v/>
      </c>
    </row>
    <row r="167">
      <c r="A167" s="54">
        <f>Calc_Daily!$A167</f>
        <v/>
      </c>
      <c r="B167">
        <f>IF($A167&gt;cfg_LastDataDate,NA(),Calc_Daily!$BZ167)</f>
        <v/>
      </c>
      <c r="C167">
        <f>Calc_Daily!$IG167/Calc_Daily!$D167</f>
        <v/>
      </c>
      <c r="D167">
        <f>IF($A167&gt;cfg_LastDataDate,NA(),Calc_Daily!$CZ167)</f>
        <v/>
      </c>
      <c r="E167">
        <f>Calc_Daily!$IX167</f>
        <v/>
      </c>
      <c r="F167">
        <f>IF($A167&gt;cfg_LastDataDate,NA(),Calc_Daily!$F167)</f>
        <v/>
      </c>
      <c r="G167">
        <f>IF($A167&gt;cfg_LastDataDate,NA(),Calc_Daily!$O167)</f>
        <v/>
      </c>
      <c r="H167">
        <f>IF($A167&gt;cfg_LastDataDate,NA(),Calc_Daily!$CS167)</f>
        <v/>
      </c>
      <c r="I167">
        <f>IF($A167&gt;cfg_LastDataDate,NA(),Calc_Daily!$CM167)</f>
        <v/>
      </c>
      <c r="J167">
        <f>IF($A167&gt;cfg_LastDataDate,NA(),Calc_Daily!$HF167)</f>
        <v/>
      </c>
      <c r="K167">
        <f>Calc_Daily!$IT167</f>
        <v/>
      </c>
    </row>
    <row r="168">
      <c r="A168" s="54">
        <f>Calc_Daily!$A168</f>
        <v/>
      </c>
      <c r="B168">
        <f>IF($A168&gt;cfg_LastDataDate,NA(),Calc_Daily!$BZ168)</f>
        <v/>
      </c>
      <c r="C168">
        <f>Calc_Daily!$IG168/Calc_Daily!$D168</f>
        <v/>
      </c>
      <c r="D168">
        <f>IF($A168&gt;cfg_LastDataDate,NA(),Calc_Daily!$CZ168)</f>
        <v/>
      </c>
      <c r="E168">
        <f>Calc_Daily!$IX168</f>
        <v/>
      </c>
      <c r="F168">
        <f>IF($A168&gt;cfg_LastDataDate,NA(),Calc_Daily!$F168)</f>
        <v/>
      </c>
      <c r="G168">
        <f>IF($A168&gt;cfg_LastDataDate,NA(),Calc_Daily!$O168)</f>
        <v/>
      </c>
      <c r="H168">
        <f>IF($A168&gt;cfg_LastDataDate,NA(),Calc_Daily!$CS168)</f>
        <v/>
      </c>
      <c r="I168">
        <f>IF($A168&gt;cfg_LastDataDate,NA(),Calc_Daily!$CM168)</f>
        <v/>
      </c>
      <c r="J168">
        <f>IF($A168&gt;cfg_LastDataDate,NA(),Calc_Daily!$HF168)</f>
        <v/>
      </c>
      <c r="K168">
        <f>Calc_Daily!$IT168</f>
        <v/>
      </c>
    </row>
    <row r="169">
      <c r="A169" s="54">
        <f>Calc_Daily!$A169</f>
        <v/>
      </c>
      <c r="B169">
        <f>IF($A169&gt;cfg_LastDataDate,NA(),Calc_Daily!$BZ169)</f>
        <v/>
      </c>
      <c r="C169">
        <f>Calc_Daily!$IG169/Calc_Daily!$D169</f>
        <v/>
      </c>
      <c r="D169">
        <f>IF($A169&gt;cfg_LastDataDate,NA(),Calc_Daily!$CZ169)</f>
        <v/>
      </c>
      <c r="E169">
        <f>Calc_Daily!$IX169</f>
        <v/>
      </c>
      <c r="F169">
        <f>IF($A169&gt;cfg_LastDataDate,NA(),Calc_Daily!$F169)</f>
        <v/>
      </c>
      <c r="G169">
        <f>IF($A169&gt;cfg_LastDataDate,NA(),Calc_Daily!$O169)</f>
        <v/>
      </c>
      <c r="H169">
        <f>IF($A169&gt;cfg_LastDataDate,NA(),Calc_Daily!$CS169)</f>
        <v/>
      </c>
      <c r="I169">
        <f>IF($A169&gt;cfg_LastDataDate,NA(),Calc_Daily!$CM169)</f>
        <v/>
      </c>
      <c r="J169">
        <f>IF($A169&gt;cfg_LastDataDate,NA(),Calc_Daily!$HF169)</f>
        <v/>
      </c>
      <c r="K169">
        <f>Calc_Daily!$IT169</f>
        <v/>
      </c>
    </row>
    <row r="170">
      <c r="A170" s="54">
        <f>Calc_Daily!$A170</f>
        <v/>
      </c>
      <c r="B170">
        <f>IF($A170&gt;cfg_LastDataDate,NA(),Calc_Daily!$BZ170)</f>
        <v/>
      </c>
      <c r="C170">
        <f>Calc_Daily!$IG170/Calc_Daily!$D170</f>
        <v/>
      </c>
      <c r="D170">
        <f>IF($A170&gt;cfg_LastDataDate,NA(),Calc_Daily!$CZ170)</f>
        <v/>
      </c>
      <c r="E170">
        <f>Calc_Daily!$IX170</f>
        <v/>
      </c>
      <c r="F170">
        <f>IF($A170&gt;cfg_LastDataDate,NA(),Calc_Daily!$F170)</f>
        <v/>
      </c>
      <c r="G170">
        <f>IF($A170&gt;cfg_LastDataDate,NA(),Calc_Daily!$O170)</f>
        <v/>
      </c>
      <c r="H170">
        <f>IF($A170&gt;cfg_LastDataDate,NA(),Calc_Daily!$CS170)</f>
        <v/>
      </c>
      <c r="I170">
        <f>IF($A170&gt;cfg_LastDataDate,NA(),Calc_Daily!$CM170)</f>
        <v/>
      </c>
      <c r="J170">
        <f>IF($A170&gt;cfg_LastDataDate,NA(),Calc_Daily!$HF170)</f>
        <v/>
      </c>
      <c r="K170">
        <f>Calc_Daily!$IT170</f>
        <v/>
      </c>
    </row>
    <row r="171">
      <c r="A171" s="54">
        <f>Calc_Daily!$A171</f>
        <v/>
      </c>
      <c r="B171">
        <f>IF($A171&gt;cfg_LastDataDate,NA(),Calc_Daily!$BZ171)</f>
        <v/>
      </c>
      <c r="C171">
        <f>Calc_Daily!$IG171/Calc_Daily!$D171</f>
        <v/>
      </c>
      <c r="D171">
        <f>IF($A171&gt;cfg_LastDataDate,NA(),Calc_Daily!$CZ171)</f>
        <v/>
      </c>
      <c r="E171">
        <f>Calc_Daily!$IX171</f>
        <v/>
      </c>
      <c r="F171">
        <f>IF($A171&gt;cfg_LastDataDate,NA(),Calc_Daily!$F171)</f>
        <v/>
      </c>
      <c r="G171">
        <f>IF($A171&gt;cfg_LastDataDate,NA(),Calc_Daily!$O171)</f>
        <v/>
      </c>
      <c r="H171">
        <f>IF($A171&gt;cfg_LastDataDate,NA(),Calc_Daily!$CS171)</f>
        <v/>
      </c>
      <c r="I171">
        <f>IF($A171&gt;cfg_LastDataDate,NA(),Calc_Daily!$CM171)</f>
        <v/>
      </c>
      <c r="J171">
        <f>IF($A171&gt;cfg_LastDataDate,NA(),Calc_Daily!$HF171)</f>
        <v/>
      </c>
      <c r="K171">
        <f>Calc_Daily!$IT171</f>
        <v/>
      </c>
    </row>
    <row r="172">
      <c r="A172" s="54">
        <f>Calc_Daily!$A172</f>
        <v/>
      </c>
      <c r="B172">
        <f>IF($A172&gt;cfg_LastDataDate,NA(),Calc_Daily!$BZ172)</f>
        <v/>
      </c>
      <c r="C172">
        <f>Calc_Daily!$IG172/Calc_Daily!$D172</f>
        <v/>
      </c>
      <c r="D172">
        <f>IF($A172&gt;cfg_LastDataDate,NA(),Calc_Daily!$CZ172)</f>
        <v/>
      </c>
      <c r="E172">
        <f>Calc_Daily!$IX172</f>
        <v/>
      </c>
      <c r="F172">
        <f>IF($A172&gt;cfg_LastDataDate,NA(),Calc_Daily!$F172)</f>
        <v/>
      </c>
      <c r="G172">
        <f>IF($A172&gt;cfg_LastDataDate,NA(),Calc_Daily!$O172)</f>
        <v/>
      </c>
      <c r="H172">
        <f>IF($A172&gt;cfg_LastDataDate,NA(),Calc_Daily!$CS172)</f>
        <v/>
      </c>
      <c r="I172">
        <f>IF($A172&gt;cfg_LastDataDate,NA(),Calc_Daily!$CM172)</f>
        <v/>
      </c>
      <c r="J172">
        <f>IF($A172&gt;cfg_LastDataDate,NA(),Calc_Daily!$HF172)</f>
        <v/>
      </c>
      <c r="K172">
        <f>Calc_Daily!$IT172</f>
        <v/>
      </c>
    </row>
    <row r="173">
      <c r="A173" s="54">
        <f>Calc_Daily!$A173</f>
        <v/>
      </c>
      <c r="B173">
        <f>IF($A173&gt;cfg_LastDataDate,NA(),Calc_Daily!$BZ173)</f>
        <v/>
      </c>
      <c r="C173">
        <f>Calc_Daily!$IG173/Calc_Daily!$D173</f>
        <v/>
      </c>
      <c r="D173">
        <f>IF($A173&gt;cfg_LastDataDate,NA(),Calc_Daily!$CZ173)</f>
        <v/>
      </c>
      <c r="E173">
        <f>Calc_Daily!$IX173</f>
        <v/>
      </c>
      <c r="F173">
        <f>IF($A173&gt;cfg_LastDataDate,NA(),Calc_Daily!$F173)</f>
        <v/>
      </c>
      <c r="G173">
        <f>IF($A173&gt;cfg_LastDataDate,NA(),Calc_Daily!$O173)</f>
        <v/>
      </c>
      <c r="H173">
        <f>IF($A173&gt;cfg_LastDataDate,NA(),Calc_Daily!$CS173)</f>
        <v/>
      </c>
      <c r="I173">
        <f>IF($A173&gt;cfg_LastDataDate,NA(),Calc_Daily!$CM173)</f>
        <v/>
      </c>
      <c r="J173">
        <f>IF($A173&gt;cfg_LastDataDate,NA(),Calc_Daily!$HF173)</f>
        <v/>
      </c>
      <c r="K173">
        <f>Calc_Daily!$IT173</f>
        <v/>
      </c>
    </row>
    <row r="174">
      <c r="A174" s="54">
        <f>Calc_Daily!$A174</f>
        <v/>
      </c>
      <c r="B174">
        <f>IF($A174&gt;cfg_LastDataDate,NA(),Calc_Daily!$BZ174)</f>
        <v/>
      </c>
      <c r="C174">
        <f>Calc_Daily!$IG174/Calc_Daily!$D174</f>
        <v/>
      </c>
      <c r="D174">
        <f>IF($A174&gt;cfg_LastDataDate,NA(),Calc_Daily!$CZ174)</f>
        <v/>
      </c>
      <c r="E174">
        <f>Calc_Daily!$IX174</f>
        <v/>
      </c>
      <c r="F174">
        <f>IF($A174&gt;cfg_LastDataDate,NA(),Calc_Daily!$F174)</f>
        <v/>
      </c>
      <c r="G174">
        <f>IF($A174&gt;cfg_LastDataDate,NA(),Calc_Daily!$O174)</f>
        <v/>
      </c>
      <c r="H174">
        <f>IF($A174&gt;cfg_LastDataDate,NA(),Calc_Daily!$CS174)</f>
        <v/>
      </c>
      <c r="I174">
        <f>IF($A174&gt;cfg_LastDataDate,NA(),Calc_Daily!$CM174)</f>
        <v/>
      </c>
      <c r="J174">
        <f>IF($A174&gt;cfg_LastDataDate,NA(),Calc_Daily!$HF174)</f>
        <v/>
      </c>
      <c r="K174">
        <f>Calc_Daily!$IT174</f>
        <v/>
      </c>
    </row>
    <row r="175">
      <c r="A175" s="54">
        <f>Calc_Daily!$A175</f>
        <v/>
      </c>
      <c r="B175">
        <f>IF($A175&gt;cfg_LastDataDate,NA(),Calc_Daily!$BZ175)</f>
        <v/>
      </c>
      <c r="C175">
        <f>Calc_Daily!$IG175/Calc_Daily!$D175</f>
        <v/>
      </c>
      <c r="D175">
        <f>IF($A175&gt;cfg_LastDataDate,NA(),Calc_Daily!$CZ175)</f>
        <v/>
      </c>
      <c r="E175">
        <f>Calc_Daily!$IX175</f>
        <v/>
      </c>
      <c r="F175">
        <f>IF($A175&gt;cfg_LastDataDate,NA(),Calc_Daily!$F175)</f>
        <v/>
      </c>
      <c r="G175">
        <f>IF($A175&gt;cfg_LastDataDate,NA(),Calc_Daily!$O175)</f>
        <v/>
      </c>
      <c r="H175">
        <f>IF($A175&gt;cfg_LastDataDate,NA(),Calc_Daily!$CS175)</f>
        <v/>
      </c>
      <c r="I175">
        <f>IF($A175&gt;cfg_LastDataDate,NA(),Calc_Daily!$CM175)</f>
        <v/>
      </c>
      <c r="J175">
        <f>IF($A175&gt;cfg_LastDataDate,NA(),Calc_Daily!$HF175)</f>
        <v/>
      </c>
      <c r="K175">
        <f>Calc_Daily!$IT175</f>
        <v/>
      </c>
    </row>
    <row r="176">
      <c r="A176" s="54">
        <f>Calc_Daily!$A176</f>
        <v/>
      </c>
      <c r="B176">
        <f>IF($A176&gt;cfg_LastDataDate,NA(),Calc_Daily!$BZ176)</f>
        <v/>
      </c>
      <c r="C176">
        <f>Calc_Daily!$IG176/Calc_Daily!$D176</f>
        <v/>
      </c>
      <c r="D176">
        <f>IF($A176&gt;cfg_LastDataDate,NA(),Calc_Daily!$CZ176)</f>
        <v/>
      </c>
      <c r="E176">
        <f>Calc_Daily!$IX176</f>
        <v/>
      </c>
      <c r="F176">
        <f>IF($A176&gt;cfg_LastDataDate,NA(),Calc_Daily!$F176)</f>
        <v/>
      </c>
      <c r="G176">
        <f>IF($A176&gt;cfg_LastDataDate,NA(),Calc_Daily!$O176)</f>
        <v/>
      </c>
      <c r="H176">
        <f>IF($A176&gt;cfg_LastDataDate,NA(),Calc_Daily!$CS176)</f>
        <v/>
      </c>
      <c r="I176">
        <f>IF($A176&gt;cfg_LastDataDate,NA(),Calc_Daily!$CM176)</f>
        <v/>
      </c>
      <c r="J176">
        <f>IF($A176&gt;cfg_LastDataDate,NA(),Calc_Daily!$HF176)</f>
        <v/>
      </c>
      <c r="K176">
        <f>Calc_Daily!$IT176</f>
        <v/>
      </c>
    </row>
    <row r="177">
      <c r="A177" s="54">
        <f>Calc_Daily!$A177</f>
        <v/>
      </c>
      <c r="B177">
        <f>IF($A177&gt;cfg_LastDataDate,NA(),Calc_Daily!$BZ177)</f>
        <v/>
      </c>
      <c r="C177">
        <f>Calc_Daily!$IG177/Calc_Daily!$D177</f>
        <v/>
      </c>
      <c r="D177">
        <f>IF($A177&gt;cfg_LastDataDate,NA(),Calc_Daily!$CZ177)</f>
        <v/>
      </c>
      <c r="E177">
        <f>Calc_Daily!$IX177</f>
        <v/>
      </c>
      <c r="F177">
        <f>IF($A177&gt;cfg_LastDataDate,NA(),Calc_Daily!$F177)</f>
        <v/>
      </c>
      <c r="G177">
        <f>IF($A177&gt;cfg_LastDataDate,NA(),Calc_Daily!$O177)</f>
        <v/>
      </c>
      <c r="H177">
        <f>IF($A177&gt;cfg_LastDataDate,NA(),Calc_Daily!$CS177)</f>
        <v/>
      </c>
      <c r="I177">
        <f>IF($A177&gt;cfg_LastDataDate,NA(),Calc_Daily!$CM177)</f>
        <v/>
      </c>
      <c r="J177">
        <f>IF($A177&gt;cfg_LastDataDate,NA(),Calc_Daily!$HF177)</f>
        <v/>
      </c>
      <c r="K177">
        <f>Calc_Daily!$IT177</f>
        <v/>
      </c>
    </row>
    <row r="178">
      <c r="A178" s="54">
        <f>Calc_Daily!$A178</f>
        <v/>
      </c>
      <c r="B178">
        <f>IF($A178&gt;cfg_LastDataDate,NA(),Calc_Daily!$BZ178)</f>
        <v/>
      </c>
      <c r="C178">
        <f>Calc_Daily!$IG178/Calc_Daily!$D178</f>
        <v/>
      </c>
      <c r="D178">
        <f>IF($A178&gt;cfg_LastDataDate,NA(),Calc_Daily!$CZ178)</f>
        <v/>
      </c>
      <c r="E178">
        <f>Calc_Daily!$IX178</f>
        <v/>
      </c>
      <c r="F178">
        <f>IF($A178&gt;cfg_LastDataDate,NA(),Calc_Daily!$F178)</f>
        <v/>
      </c>
      <c r="G178">
        <f>IF($A178&gt;cfg_LastDataDate,NA(),Calc_Daily!$O178)</f>
        <v/>
      </c>
      <c r="H178">
        <f>IF($A178&gt;cfg_LastDataDate,NA(),Calc_Daily!$CS178)</f>
        <v/>
      </c>
      <c r="I178">
        <f>IF($A178&gt;cfg_LastDataDate,NA(),Calc_Daily!$CM178)</f>
        <v/>
      </c>
      <c r="J178">
        <f>IF($A178&gt;cfg_LastDataDate,NA(),Calc_Daily!$HF178)</f>
        <v/>
      </c>
      <c r="K178">
        <f>Calc_Daily!$IT178</f>
        <v/>
      </c>
    </row>
    <row r="179">
      <c r="A179" s="54">
        <f>Calc_Daily!$A179</f>
        <v/>
      </c>
      <c r="B179">
        <f>IF($A179&gt;cfg_LastDataDate,NA(),Calc_Daily!$BZ179)</f>
        <v/>
      </c>
      <c r="C179">
        <f>Calc_Daily!$IG179/Calc_Daily!$D179</f>
        <v/>
      </c>
      <c r="D179">
        <f>IF($A179&gt;cfg_LastDataDate,NA(),Calc_Daily!$CZ179)</f>
        <v/>
      </c>
      <c r="E179">
        <f>Calc_Daily!$IX179</f>
        <v/>
      </c>
      <c r="F179">
        <f>IF($A179&gt;cfg_LastDataDate,NA(),Calc_Daily!$F179)</f>
        <v/>
      </c>
      <c r="G179">
        <f>IF($A179&gt;cfg_LastDataDate,NA(),Calc_Daily!$O179)</f>
        <v/>
      </c>
      <c r="H179">
        <f>IF($A179&gt;cfg_LastDataDate,NA(),Calc_Daily!$CS179)</f>
        <v/>
      </c>
      <c r="I179">
        <f>IF($A179&gt;cfg_LastDataDate,NA(),Calc_Daily!$CM179)</f>
        <v/>
      </c>
      <c r="J179">
        <f>IF($A179&gt;cfg_LastDataDate,NA(),Calc_Daily!$HF179)</f>
        <v/>
      </c>
      <c r="K179">
        <f>Calc_Daily!$IT179</f>
        <v/>
      </c>
    </row>
    <row r="180">
      <c r="A180" s="54">
        <f>Calc_Daily!$A180</f>
        <v/>
      </c>
      <c r="B180">
        <f>IF($A180&gt;cfg_LastDataDate,NA(),Calc_Daily!$BZ180)</f>
        <v/>
      </c>
      <c r="C180">
        <f>Calc_Daily!$IG180/Calc_Daily!$D180</f>
        <v/>
      </c>
      <c r="D180">
        <f>IF($A180&gt;cfg_LastDataDate,NA(),Calc_Daily!$CZ180)</f>
        <v/>
      </c>
      <c r="E180">
        <f>Calc_Daily!$IX180</f>
        <v/>
      </c>
      <c r="F180">
        <f>IF($A180&gt;cfg_LastDataDate,NA(),Calc_Daily!$F180)</f>
        <v/>
      </c>
      <c r="G180">
        <f>IF($A180&gt;cfg_LastDataDate,NA(),Calc_Daily!$O180)</f>
        <v/>
      </c>
      <c r="H180">
        <f>IF($A180&gt;cfg_LastDataDate,NA(),Calc_Daily!$CS180)</f>
        <v/>
      </c>
      <c r="I180">
        <f>IF($A180&gt;cfg_LastDataDate,NA(),Calc_Daily!$CM180)</f>
        <v/>
      </c>
      <c r="J180">
        <f>IF($A180&gt;cfg_LastDataDate,NA(),Calc_Daily!$HF180)</f>
        <v/>
      </c>
      <c r="K180">
        <f>Calc_Daily!$IT180</f>
        <v/>
      </c>
    </row>
    <row r="181">
      <c r="A181" s="54">
        <f>Calc_Daily!$A181</f>
        <v/>
      </c>
      <c r="B181">
        <f>IF($A181&gt;cfg_LastDataDate,NA(),Calc_Daily!$BZ181)</f>
        <v/>
      </c>
      <c r="C181">
        <f>Calc_Daily!$IG181/Calc_Daily!$D181</f>
        <v/>
      </c>
      <c r="D181">
        <f>IF($A181&gt;cfg_LastDataDate,NA(),Calc_Daily!$CZ181)</f>
        <v/>
      </c>
      <c r="E181">
        <f>Calc_Daily!$IX181</f>
        <v/>
      </c>
      <c r="F181">
        <f>IF($A181&gt;cfg_LastDataDate,NA(),Calc_Daily!$F181)</f>
        <v/>
      </c>
      <c r="G181">
        <f>IF($A181&gt;cfg_LastDataDate,NA(),Calc_Daily!$O181)</f>
        <v/>
      </c>
      <c r="H181">
        <f>IF($A181&gt;cfg_LastDataDate,NA(),Calc_Daily!$CS181)</f>
        <v/>
      </c>
      <c r="I181">
        <f>IF($A181&gt;cfg_LastDataDate,NA(),Calc_Daily!$CM181)</f>
        <v/>
      </c>
      <c r="J181">
        <f>IF($A181&gt;cfg_LastDataDate,NA(),Calc_Daily!$HF181)</f>
        <v/>
      </c>
      <c r="K181">
        <f>Calc_Daily!$IT181</f>
        <v/>
      </c>
    </row>
    <row r="182">
      <c r="A182" s="54">
        <f>Calc_Daily!$A182</f>
        <v/>
      </c>
      <c r="B182">
        <f>IF($A182&gt;cfg_LastDataDate,NA(),Calc_Daily!$BZ182)</f>
        <v/>
      </c>
      <c r="C182">
        <f>Calc_Daily!$IG182/Calc_Daily!$D182</f>
        <v/>
      </c>
      <c r="D182">
        <f>IF($A182&gt;cfg_LastDataDate,NA(),Calc_Daily!$CZ182)</f>
        <v/>
      </c>
      <c r="E182">
        <f>Calc_Daily!$IX182</f>
        <v/>
      </c>
      <c r="F182">
        <f>IF($A182&gt;cfg_LastDataDate,NA(),Calc_Daily!$F182)</f>
        <v/>
      </c>
      <c r="G182">
        <f>IF($A182&gt;cfg_LastDataDate,NA(),Calc_Daily!$O182)</f>
        <v/>
      </c>
      <c r="H182">
        <f>IF($A182&gt;cfg_LastDataDate,NA(),Calc_Daily!$CS182)</f>
        <v/>
      </c>
      <c r="I182">
        <f>IF($A182&gt;cfg_LastDataDate,NA(),Calc_Daily!$CM182)</f>
        <v/>
      </c>
      <c r="J182">
        <f>IF($A182&gt;cfg_LastDataDate,NA(),Calc_Daily!$HF182)</f>
        <v/>
      </c>
      <c r="K182">
        <f>Calc_Daily!$IT182</f>
        <v/>
      </c>
    </row>
    <row r="183">
      <c r="A183" s="54">
        <f>Calc_Daily!$A183</f>
        <v/>
      </c>
      <c r="B183">
        <f>IF($A183&gt;cfg_LastDataDate,NA(),Calc_Daily!$BZ183)</f>
        <v/>
      </c>
      <c r="C183">
        <f>Calc_Daily!$IG183/Calc_Daily!$D183</f>
        <v/>
      </c>
      <c r="D183">
        <f>IF($A183&gt;cfg_LastDataDate,NA(),Calc_Daily!$CZ183)</f>
        <v/>
      </c>
      <c r="E183">
        <f>Calc_Daily!$IX183</f>
        <v/>
      </c>
      <c r="F183">
        <f>IF($A183&gt;cfg_LastDataDate,NA(),Calc_Daily!$F183)</f>
        <v/>
      </c>
      <c r="G183">
        <f>IF($A183&gt;cfg_LastDataDate,NA(),Calc_Daily!$O183)</f>
        <v/>
      </c>
      <c r="H183">
        <f>IF($A183&gt;cfg_LastDataDate,NA(),Calc_Daily!$CS183)</f>
        <v/>
      </c>
      <c r="I183">
        <f>IF($A183&gt;cfg_LastDataDate,NA(),Calc_Daily!$CM183)</f>
        <v/>
      </c>
      <c r="J183">
        <f>IF($A183&gt;cfg_LastDataDate,NA(),Calc_Daily!$HF183)</f>
        <v/>
      </c>
      <c r="K183">
        <f>Calc_Daily!$IT183</f>
        <v/>
      </c>
    </row>
    <row r="184">
      <c r="A184" s="54">
        <f>Calc_Daily!$A184</f>
        <v/>
      </c>
      <c r="B184">
        <f>IF($A184&gt;cfg_LastDataDate,NA(),Calc_Daily!$BZ184)</f>
        <v/>
      </c>
      <c r="C184">
        <f>Calc_Daily!$IG184/Calc_Daily!$D184</f>
        <v/>
      </c>
      <c r="D184">
        <f>IF($A184&gt;cfg_LastDataDate,NA(),Calc_Daily!$CZ184)</f>
        <v/>
      </c>
      <c r="E184">
        <f>Calc_Daily!$IX184</f>
        <v/>
      </c>
      <c r="F184">
        <f>IF($A184&gt;cfg_LastDataDate,NA(),Calc_Daily!$F184)</f>
        <v/>
      </c>
      <c r="G184">
        <f>IF($A184&gt;cfg_LastDataDate,NA(),Calc_Daily!$O184)</f>
        <v/>
      </c>
      <c r="H184">
        <f>IF($A184&gt;cfg_LastDataDate,NA(),Calc_Daily!$CS184)</f>
        <v/>
      </c>
      <c r="I184">
        <f>IF($A184&gt;cfg_LastDataDate,NA(),Calc_Daily!$CM184)</f>
        <v/>
      </c>
      <c r="J184">
        <f>IF($A184&gt;cfg_LastDataDate,NA(),Calc_Daily!$HF184)</f>
        <v/>
      </c>
      <c r="K184">
        <f>Calc_Daily!$IT184</f>
        <v/>
      </c>
    </row>
    <row r="185">
      <c r="A185" s="54">
        <f>Calc_Daily!$A185</f>
        <v/>
      </c>
      <c r="B185">
        <f>IF($A185&gt;cfg_LastDataDate,NA(),Calc_Daily!$BZ185)</f>
        <v/>
      </c>
      <c r="C185">
        <f>Calc_Daily!$IG185/Calc_Daily!$D185</f>
        <v/>
      </c>
      <c r="D185">
        <f>IF($A185&gt;cfg_LastDataDate,NA(),Calc_Daily!$CZ185)</f>
        <v/>
      </c>
      <c r="E185">
        <f>Calc_Daily!$IX185</f>
        <v/>
      </c>
      <c r="F185">
        <f>IF($A185&gt;cfg_LastDataDate,NA(),Calc_Daily!$F185)</f>
        <v/>
      </c>
      <c r="G185">
        <f>IF($A185&gt;cfg_LastDataDate,NA(),Calc_Daily!$O185)</f>
        <v/>
      </c>
      <c r="H185">
        <f>IF($A185&gt;cfg_LastDataDate,NA(),Calc_Daily!$CS185)</f>
        <v/>
      </c>
      <c r="I185">
        <f>IF($A185&gt;cfg_LastDataDate,NA(),Calc_Daily!$CM185)</f>
        <v/>
      </c>
      <c r="J185">
        <f>IF($A185&gt;cfg_LastDataDate,NA(),Calc_Daily!$HF185)</f>
        <v/>
      </c>
      <c r="K185">
        <f>Calc_Daily!$IT185</f>
        <v/>
      </c>
    </row>
    <row r="186">
      <c r="A186" s="54">
        <f>Calc_Daily!$A186</f>
        <v/>
      </c>
      <c r="B186">
        <f>IF($A186&gt;cfg_LastDataDate,NA(),Calc_Daily!$BZ186)</f>
        <v/>
      </c>
      <c r="C186">
        <f>Calc_Daily!$IG186/Calc_Daily!$D186</f>
        <v/>
      </c>
      <c r="D186">
        <f>IF($A186&gt;cfg_LastDataDate,NA(),Calc_Daily!$CZ186)</f>
        <v/>
      </c>
      <c r="E186">
        <f>Calc_Daily!$IX186</f>
        <v/>
      </c>
      <c r="F186">
        <f>IF($A186&gt;cfg_LastDataDate,NA(),Calc_Daily!$F186)</f>
        <v/>
      </c>
      <c r="G186">
        <f>IF($A186&gt;cfg_LastDataDate,NA(),Calc_Daily!$O186)</f>
        <v/>
      </c>
      <c r="H186">
        <f>IF($A186&gt;cfg_LastDataDate,NA(),Calc_Daily!$CS186)</f>
        <v/>
      </c>
      <c r="I186">
        <f>IF($A186&gt;cfg_LastDataDate,NA(),Calc_Daily!$CM186)</f>
        <v/>
      </c>
      <c r="J186">
        <f>IF($A186&gt;cfg_LastDataDate,NA(),Calc_Daily!$HF186)</f>
        <v/>
      </c>
      <c r="K186">
        <f>Calc_Daily!$IT186</f>
        <v/>
      </c>
    </row>
    <row r="187">
      <c r="A187" s="54">
        <f>Calc_Daily!$A187</f>
        <v/>
      </c>
      <c r="B187">
        <f>IF($A187&gt;cfg_LastDataDate,NA(),Calc_Daily!$BZ187)</f>
        <v/>
      </c>
      <c r="C187">
        <f>Calc_Daily!$IG187/Calc_Daily!$D187</f>
        <v/>
      </c>
      <c r="D187">
        <f>IF($A187&gt;cfg_LastDataDate,NA(),Calc_Daily!$CZ187)</f>
        <v/>
      </c>
      <c r="E187">
        <f>Calc_Daily!$IX187</f>
        <v/>
      </c>
      <c r="F187">
        <f>IF($A187&gt;cfg_LastDataDate,NA(),Calc_Daily!$F187)</f>
        <v/>
      </c>
      <c r="G187">
        <f>IF($A187&gt;cfg_LastDataDate,NA(),Calc_Daily!$O187)</f>
        <v/>
      </c>
      <c r="H187">
        <f>IF($A187&gt;cfg_LastDataDate,NA(),Calc_Daily!$CS187)</f>
        <v/>
      </c>
      <c r="I187">
        <f>IF($A187&gt;cfg_LastDataDate,NA(),Calc_Daily!$CM187)</f>
        <v/>
      </c>
      <c r="J187">
        <f>IF($A187&gt;cfg_LastDataDate,NA(),Calc_Daily!$HF187)</f>
        <v/>
      </c>
      <c r="K187">
        <f>Calc_Daily!$IT187</f>
        <v/>
      </c>
    </row>
    <row r="188">
      <c r="A188" s="54">
        <f>Calc_Daily!$A188</f>
        <v/>
      </c>
      <c r="B188">
        <f>IF($A188&gt;cfg_LastDataDate,NA(),Calc_Daily!$BZ188)</f>
        <v/>
      </c>
      <c r="C188">
        <f>Calc_Daily!$IG188/Calc_Daily!$D188</f>
        <v/>
      </c>
      <c r="D188">
        <f>IF($A188&gt;cfg_LastDataDate,NA(),Calc_Daily!$CZ188)</f>
        <v/>
      </c>
      <c r="E188">
        <f>Calc_Daily!$IX188</f>
        <v/>
      </c>
      <c r="F188">
        <f>IF($A188&gt;cfg_LastDataDate,NA(),Calc_Daily!$F188)</f>
        <v/>
      </c>
      <c r="G188">
        <f>IF($A188&gt;cfg_LastDataDate,NA(),Calc_Daily!$O188)</f>
        <v/>
      </c>
      <c r="H188">
        <f>IF($A188&gt;cfg_LastDataDate,NA(),Calc_Daily!$CS188)</f>
        <v/>
      </c>
      <c r="I188">
        <f>IF($A188&gt;cfg_LastDataDate,NA(),Calc_Daily!$CM188)</f>
        <v/>
      </c>
      <c r="J188">
        <f>IF($A188&gt;cfg_LastDataDate,NA(),Calc_Daily!$HF188)</f>
        <v/>
      </c>
      <c r="K188">
        <f>Calc_Daily!$IT188</f>
        <v/>
      </c>
    </row>
    <row r="189">
      <c r="A189" s="54">
        <f>Calc_Daily!$A189</f>
        <v/>
      </c>
      <c r="B189">
        <f>IF($A189&gt;cfg_LastDataDate,NA(),Calc_Daily!$BZ189)</f>
        <v/>
      </c>
      <c r="C189">
        <f>Calc_Daily!$IG189/Calc_Daily!$D189</f>
        <v/>
      </c>
      <c r="D189">
        <f>IF($A189&gt;cfg_LastDataDate,NA(),Calc_Daily!$CZ189)</f>
        <v/>
      </c>
      <c r="E189">
        <f>Calc_Daily!$IX189</f>
        <v/>
      </c>
      <c r="F189">
        <f>IF($A189&gt;cfg_LastDataDate,NA(),Calc_Daily!$F189)</f>
        <v/>
      </c>
      <c r="G189">
        <f>IF($A189&gt;cfg_LastDataDate,NA(),Calc_Daily!$O189)</f>
        <v/>
      </c>
      <c r="H189">
        <f>IF($A189&gt;cfg_LastDataDate,NA(),Calc_Daily!$CS189)</f>
        <v/>
      </c>
      <c r="I189">
        <f>IF($A189&gt;cfg_LastDataDate,NA(),Calc_Daily!$CM189)</f>
        <v/>
      </c>
      <c r="J189">
        <f>IF($A189&gt;cfg_LastDataDate,NA(),Calc_Daily!$HF189)</f>
        <v/>
      </c>
      <c r="K189">
        <f>Calc_Daily!$IT189</f>
        <v/>
      </c>
    </row>
    <row r="190">
      <c r="A190" s="54">
        <f>Calc_Daily!$A190</f>
        <v/>
      </c>
      <c r="B190">
        <f>IF($A190&gt;cfg_LastDataDate,NA(),Calc_Daily!$BZ190)</f>
        <v/>
      </c>
      <c r="C190">
        <f>Calc_Daily!$IG190/Calc_Daily!$D190</f>
        <v/>
      </c>
      <c r="D190">
        <f>IF($A190&gt;cfg_LastDataDate,NA(),Calc_Daily!$CZ190)</f>
        <v/>
      </c>
      <c r="E190">
        <f>Calc_Daily!$IX190</f>
        <v/>
      </c>
      <c r="F190">
        <f>IF($A190&gt;cfg_LastDataDate,NA(),Calc_Daily!$F190)</f>
        <v/>
      </c>
      <c r="G190">
        <f>IF($A190&gt;cfg_LastDataDate,NA(),Calc_Daily!$O190)</f>
        <v/>
      </c>
      <c r="H190">
        <f>IF($A190&gt;cfg_LastDataDate,NA(),Calc_Daily!$CS190)</f>
        <v/>
      </c>
      <c r="I190">
        <f>IF($A190&gt;cfg_LastDataDate,NA(),Calc_Daily!$CM190)</f>
        <v/>
      </c>
      <c r="J190">
        <f>IF($A190&gt;cfg_LastDataDate,NA(),Calc_Daily!$HF190)</f>
        <v/>
      </c>
      <c r="K190">
        <f>Calc_Daily!$IT190</f>
        <v/>
      </c>
    </row>
    <row r="191">
      <c r="A191" s="54">
        <f>Calc_Daily!$A191</f>
        <v/>
      </c>
      <c r="B191">
        <f>IF($A191&gt;cfg_LastDataDate,NA(),Calc_Daily!$BZ191)</f>
        <v/>
      </c>
      <c r="C191">
        <f>Calc_Daily!$IG191/Calc_Daily!$D191</f>
        <v/>
      </c>
      <c r="D191">
        <f>IF($A191&gt;cfg_LastDataDate,NA(),Calc_Daily!$CZ191)</f>
        <v/>
      </c>
      <c r="E191">
        <f>Calc_Daily!$IX191</f>
        <v/>
      </c>
      <c r="F191">
        <f>IF($A191&gt;cfg_LastDataDate,NA(),Calc_Daily!$F191)</f>
        <v/>
      </c>
      <c r="G191">
        <f>IF($A191&gt;cfg_LastDataDate,NA(),Calc_Daily!$O191)</f>
        <v/>
      </c>
      <c r="H191">
        <f>IF($A191&gt;cfg_LastDataDate,NA(),Calc_Daily!$CS191)</f>
        <v/>
      </c>
      <c r="I191">
        <f>IF($A191&gt;cfg_LastDataDate,NA(),Calc_Daily!$CM191)</f>
        <v/>
      </c>
      <c r="J191">
        <f>IF($A191&gt;cfg_LastDataDate,NA(),Calc_Daily!$HF191)</f>
        <v/>
      </c>
      <c r="K191">
        <f>Calc_Daily!$IT191</f>
        <v/>
      </c>
    </row>
    <row r="192">
      <c r="A192" s="54">
        <f>Calc_Daily!$A192</f>
        <v/>
      </c>
      <c r="B192">
        <f>IF($A192&gt;cfg_LastDataDate,NA(),Calc_Daily!$BZ192)</f>
        <v/>
      </c>
      <c r="C192">
        <f>Calc_Daily!$IG192/Calc_Daily!$D192</f>
        <v/>
      </c>
      <c r="D192">
        <f>IF($A192&gt;cfg_LastDataDate,NA(),Calc_Daily!$CZ192)</f>
        <v/>
      </c>
      <c r="E192">
        <f>Calc_Daily!$IX192</f>
        <v/>
      </c>
      <c r="F192">
        <f>IF($A192&gt;cfg_LastDataDate,NA(),Calc_Daily!$F192)</f>
        <v/>
      </c>
      <c r="G192">
        <f>IF($A192&gt;cfg_LastDataDate,NA(),Calc_Daily!$O192)</f>
        <v/>
      </c>
      <c r="H192">
        <f>IF($A192&gt;cfg_LastDataDate,NA(),Calc_Daily!$CS192)</f>
        <v/>
      </c>
      <c r="I192">
        <f>IF($A192&gt;cfg_LastDataDate,NA(),Calc_Daily!$CM192)</f>
        <v/>
      </c>
      <c r="J192">
        <f>IF($A192&gt;cfg_LastDataDate,NA(),Calc_Daily!$HF192)</f>
        <v/>
      </c>
      <c r="K192">
        <f>Calc_Daily!$IT192</f>
        <v/>
      </c>
    </row>
    <row r="193">
      <c r="A193" s="54">
        <f>Calc_Daily!$A193</f>
        <v/>
      </c>
      <c r="B193">
        <f>IF($A193&gt;cfg_LastDataDate,NA(),Calc_Daily!$BZ193)</f>
        <v/>
      </c>
      <c r="C193">
        <f>Calc_Daily!$IG193/Calc_Daily!$D193</f>
        <v/>
      </c>
      <c r="D193">
        <f>IF($A193&gt;cfg_LastDataDate,NA(),Calc_Daily!$CZ193)</f>
        <v/>
      </c>
      <c r="E193">
        <f>Calc_Daily!$IX193</f>
        <v/>
      </c>
      <c r="F193">
        <f>IF($A193&gt;cfg_LastDataDate,NA(),Calc_Daily!$F193)</f>
        <v/>
      </c>
      <c r="G193">
        <f>IF($A193&gt;cfg_LastDataDate,NA(),Calc_Daily!$O193)</f>
        <v/>
      </c>
      <c r="H193">
        <f>IF($A193&gt;cfg_LastDataDate,NA(),Calc_Daily!$CS193)</f>
        <v/>
      </c>
      <c r="I193">
        <f>IF($A193&gt;cfg_LastDataDate,NA(),Calc_Daily!$CM193)</f>
        <v/>
      </c>
      <c r="J193">
        <f>IF($A193&gt;cfg_LastDataDate,NA(),Calc_Daily!$HF193)</f>
        <v/>
      </c>
      <c r="K193">
        <f>Calc_Daily!$IT193</f>
        <v/>
      </c>
    </row>
    <row r="194">
      <c r="A194" s="54">
        <f>Calc_Daily!$A194</f>
        <v/>
      </c>
      <c r="B194">
        <f>IF($A194&gt;cfg_LastDataDate,NA(),Calc_Daily!$BZ194)</f>
        <v/>
      </c>
      <c r="C194">
        <f>Calc_Daily!$IG194/Calc_Daily!$D194</f>
        <v/>
      </c>
      <c r="D194">
        <f>IF($A194&gt;cfg_LastDataDate,NA(),Calc_Daily!$CZ194)</f>
        <v/>
      </c>
      <c r="E194">
        <f>Calc_Daily!$IX194</f>
        <v/>
      </c>
      <c r="F194">
        <f>IF($A194&gt;cfg_LastDataDate,NA(),Calc_Daily!$F194)</f>
        <v/>
      </c>
      <c r="G194">
        <f>IF($A194&gt;cfg_LastDataDate,NA(),Calc_Daily!$O194)</f>
        <v/>
      </c>
      <c r="H194">
        <f>IF($A194&gt;cfg_LastDataDate,NA(),Calc_Daily!$CS194)</f>
        <v/>
      </c>
      <c r="I194">
        <f>IF($A194&gt;cfg_LastDataDate,NA(),Calc_Daily!$CM194)</f>
        <v/>
      </c>
      <c r="J194">
        <f>IF($A194&gt;cfg_LastDataDate,NA(),Calc_Daily!$HF194)</f>
        <v/>
      </c>
      <c r="K194">
        <f>Calc_Daily!$IT194</f>
        <v/>
      </c>
    </row>
    <row r="195">
      <c r="A195" s="54">
        <f>Calc_Daily!$A195</f>
        <v/>
      </c>
      <c r="B195">
        <f>IF($A195&gt;cfg_LastDataDate,NA(),Calc_Daily!$BZ195)</f>
        <v/>
      </c>
      <c r="C195">
        <f>Calc_Daily!$IG195/Calc_Daily!$D195</f>
        <v/>
      </c>
      <c r="D195">
        <f>IF($A195&gt;cfg_LastDataDate,NA(),Calc_Daily!$CZ195)</f>
        <v/>
      </c>
      <c r="E195">
        <f>Calc_Daily!$IX195</f>
        <v/>
      </c>
      <c r="F195">
        <f>IF($A195&gt;cfg_LastDataDate,NA(),Calc_Daily!$F195)</f>
        <v/>
      </c>
      <c r="G195">
        <f>IF($A195&gt;cfg_LastDataDate,NA(),Calc_Daily!$O195)</f>
        <v/>
      </c>
      <c r="H195">
        <f>IF($A195&gt;cfg_LastDataDate,NA(),Calc_Daily!$CS195)</f>
        <v/>
      </c>
      <c r="I195">
        <f>IF($A195&gt;cfg_LastDataDate,NA(),Calc_Daily!$CM195)</f>
        <v/>
      </c>
      <c r="J195">
        <f>IF($A195&gt;cfg_LastDataDate,NA(),Calc_Daily!$HF195)</f>
        <v/>
      </c>
      <c r="K195">
        <f>Calc_Daily!$IT195</f>
        <v/>
      </c>
    </row>
    <row r="196">
      <c r="A196" s="54">
        <f>Calc_Daily!$A196</f>
        <v/>
      </c>
      <c r="B196">
        <f>IF($A196&gt;cfg_LastDataDate,NA(),Calc_Daily!$BZ196)</f>
        <v/>
      </c>
      <c r="C196">
        <f>Calc_Daily!$IG196/Calc_Daily!$D196</f>
        <v/>
      </c>
      <c r="D196">
        <f>IF($A196&gt;cfg_LastDataDate,NA(),Calc_Daily!$CZ196)</f>
        <v/>
      </c>
      <c r="E196">
        <f>Calc_Daily!$IX196</f>
        <v/>
      </c>
      <c r="F196">
        <f>IF($A196&gt;cfg_LastDataDate,NA(),Calc_Daily!$F196)</f>
        <v/>
      </c>
      <c r="G196">
        <f>IF($A196&gt;cfg_LastDataDate,NA(),Calc_Daily!$O196)</f>
        <v/>
      </c>
      <c r="H196">
        <f>IF($A196&gt;cfg_LastDataDate,NA(),Calc_Daily!$CS196)</f>
        <v/>
      </c>
      <c r="I196">
        <f>IF($A196&gt;cfg_LastDataDate,NA(),Calc_Daily!$CM196)</f>
        <v/>
      </c>
      <c r="J196">
        <f>IF($A196&gt;cfg_LastDataDate,NA(),Calc_Daily!$HF196)</f>
        <v/>
      </c>
      <c r="K196">
        <f>Calc_Daily!$IT196</f>
        <v/>
      </c>
    </row>
    <row r="197">
      <c r="A197" s="54">
        <f>Calc_Daily!$A197</f>
        <v/>
      </c>
      <c r="B197">
        <f>IF($A197&gt;cfg_LastDataDate,NA(),Calc_Daily!$BZ197)</f>
        <v/>
      </c>
      <c r="C197">
        <f>Calc_Daily!$IG197/Calc_Daily!$D197</f>
        <v/>
      </c>
      <c r="D197">
        <f>IF($A197&gt;cfg_LastDataDate,NA(),Calc_Daily!$CZ197)</f>
        <v/>
      </c>
      <c r="E197">
        <f>Calc_Daily!$IX197</f>
        <v/>
      </c>
      <c r="F197">
        <f>IF($A197&gt;cfg_LastDataDate,NA(),Calc_Daily!$F197)</f>
        <v/>
      </c>
      <c r="G197">
        <f>IF($A197&gt;cfg_LastDataDate,NA(),Calc_Daily!$O197)</f>
        <v/>
      </c>
      <c r="H197">
        <f>IF($A197&gt;cfg_LastDataDate,NA(),Calc_Daily!$CS197)</f>
        <v/>
      </c>
      <c r="I197">
        <f>IF($A197&gt;cfg_LastDataDate,NA(),Calc_Daily!$CM197)</f>
        <v/>
      </c>
      <c r="J197">
        <f>IF($A197&gt;cfg_LastDataDate,NA(),Calc_Daily!$HF197)</f>
        <v/>
      </c>
      <c r="K197">
        <f>Calc_Daily!$IT197</f>
        <v/>
      </c>
    </row>
    <row r="198">
      <c r="A198" s="54">
        <f>Calc_Daily!$A198</f>
        <v/>
      </c>
      <c r="B198">
        <f>IF($A198&gt;cfg_LastDataDate,NA(),Calc_Daily!$BZ198)</f>
        <v/>
      </c>
      <c r="C198">
        <f>Calc_Daily!$IG198/Calc_Daily!$D198</f>
        <v/>
      </c>
      <c r="D198">
        <f>IF($A198&gt;cfg_LastDataDate,NA(),Calc_Daily!$CZ198)</f>
        <v/>
      </c>
      <c r="E198">
        <f>Calc_Daily!$IX198</f>
        <v/>
      </c>
      <c r="F198">
        <f>IF($A198&gt;cfg_LastDataDate,NA(),Calc_Daily!$F198)</f>
        <v/>
      </c>
      <c r="G198">
        <f>IF($A198&gt;cfg_LastDataDate,NA(),Calc_Daily!$O198)</f>
        <v/>
      </c>
      <c r="H198">
        <f>IF($A198&gt;cfg_LastDataDate,NA(),Calc_Daily!$CS198)</f>
        <v/>
      </c>
      <c r="I198">
        <f>IF($A198&gt;cfg_LastDataDate,NA(),Calc_Daily!$CM198)</f>
        <v/>
      </c>
      <c r="J198">
        <f>IF($A198&gt;cfg_LastDataDate,NA(),Calc_Daily!$HF198)</f>
        <v/>
      </c>
      <c r="K198">
        <f>Calc_Daily!$IT198</f>
        <v/>
      </c>
    </row>
    <row r="199">
      <c r="A199" s="54">
        <f>Calc_Daily!$A199</f>
        <v/>
      </c>
      <c r="B199">
        <f>IF($A199&gt;cfg_LastDataDate,NA(),Calc_Daily!$BZ199)</f>
        <v/>
      </c>
      <c r="C199">
        <f>Calc_Daily!$IG199/Calc_Daily!$D199</f>
        <v/>
      </c>
      <c r="D199">
        <f>IF($A199&gt;cfg_LastDataDate,NA(),Calc_Daily!$CZ199)</f>
        <v/>
      </c>
      <c r="E199">
        <f>Calc_Daily!$IX199</f>
        <v/>
      </c>
      <c r="F199">
        <f>IF($A199&gt;cfg_LastDataDate,NA(),Calc_Daily!$F199)</f>
        <v/>
      </c>
      <c r="G199">
        <f>IF($A199&gt;cfg_LastDataDate,NA(),Calc_Daily!$O199)</f>
        <v/>
      </c>
      <c r="H199">
        <f>IF($A199&gt;cfg_LastDataDate,NA(),Calc_Daily!$CS199)</f>
        <v/>
      </c>
      <c r="I199">
        <f>IF($A199&gt;cfg_LastDataDate,NA(),Calc_Daily!$CM199)</f>
        <v/>
      </c>
      <c r="J199">
        <f>IF($A199&gt;cfg_LastDataDate,NA(),Calc_Daily!$HF199)</f>
        <v/>
      </c>
      <c r="K199">
        <f>Calc_Daily!$IT199</f>
        <v/>
      </c>
    </row>
    <row r="200">
      <c r="A200" s="54">
        <f>Calc_Daily!$A200</f>
        <v/>
      </c>
      <c r="B200">
        <f>IF($A200&gt;cfg_LastDataDate,NA(),Calc_Daily!$BZ200)</f>
        <v/>
      </c>
      <c r="C200">
        <f>Calc_Daily!$IG200/Calc_Daily!$D200</f>
        <v/>
      </c>
      <c r="D200">
        <f>IF($A200&gt;cfg_LastDataDate,NA(),Calc_Daily!$CZ200)</f>
        <v/>
      </c>
      <c r="E200">
        <f>Calc_Daily!$IX200</f>
        <v/>
      </c>
      <c r="F200">
        <f>IF($A200&gt;cfg_LastDataDate,NA(),Calc_Daily!$F200)</f>
        <v/>
      </c>
      <c r="G200">
        <f>IF($A200&gt;cfg_LastDataDate,NA(),Calc_Daily!$O200)</f>
        <v/>
      </c>
      <c r="H200">
        <f>IF($A200&gt;cfg_LastDataDate,NA(),Calc_Daily!$CS200)</f>
        <v/>
      </c>
      <c r="I200">
        <f>IF($A200&gt;cfg_LastDataDate,NA(),Calc_Daily!$CM200)</f>
        <v/>
      </c>
      <c r="J200">
        <f>IF($A200&gt;cfg_LastDataDate,NA(),Calc_Daily!$HF200)</f>
        <v/>
      </c>
      <c r="K200">
        <f>Calc_Daily!$IT200</f>
        <v/>
      </c>
    </row>
    <row r="201">
      <c r="A201" s="54">
        <f>Calc_Daily!$A201</f>
        <v/>
      </c>
      <c r="B201">
        <f>IF($A201&gt;cfg_LastDataDate,NA(),Calc_Daily!$BZ201)</f>
        <v/>
      </c>
      <c r="C201">
        <f>Calc_Daily!$IG201/Calc_Daily!$D201</f>
        <v/>
      </c>
      <c r="D201">
        <f>IF($A201&gt;cfg_LastDataDate,NA(),Calc_Daily!$CZ201)</f>
        <v/>
      </c>
      <c r="E201">
        <f>Calc_Daily!$IX201</f>
        <v/>
      </c>
      <c r="F201">
        <f>IF($A201&gt;cfg_LastDataDate,NA(),Calc_Daily!$F201)</f>
        <v/>
      </c>
      <c r="G201">
        <f>IF($A201&gt;cfg_LastDataDate,NA(),Calc_Daily!$O201)</f>
        <v/>
      </c>
      <c r="H201">
        <f>IF($A201&gt;cfg_LastDataDate,NA(),Calc_Daily!$CS201)</f>
        <v/>
      </c>
      <c r="I201">
        <f>IF($A201&gt;cfg_LastDataDate,NA(),Calc_Daily!$CM201)</f>
        <v/>
      </c>
      <c r="J201">
        <f>IF($A201&gt;cfg_LastDataDate,NA(),Calc_Daily!$HF201)</f>
        <v/>
      </c>
      <c r="K201">
        <f>Calc_Daily!$IT201</f>
        <v/>
      </c>
    </row>
    <row r="202">
      <c r="A202" s="54">
        <f>Calc_Daily!$A202</f>
        <v/>
      </c>
      <c r="B202">
        <f>IF($A202&gt;cfg_LastDataDate,NA(),Calc_Daily!$BZ202)</f>
        <v/>
      </c>
      <c r="C202">
        <f>Calc_Daily!$IG202/Calc_Daily!$D202</f>
        <v/>
      </c>
      <c r="D202">
        <f>IF($A202&gt;cfg_LastDataDate,NA(),Calc_Daily!$CZ202)</f>
        <v/>
      </c>
      <c r="E202">
        <f>Calc_Daily!$IX202</f>
        <v/>
      </c>
      <c r="F202">
        <f>IF($A202&gt;cfg_LastDataDate,NA(),Calc_Daily!$F202)</f>
        <v/>
      </c>
      <c r="G202">
        <f>IF($A202&gt;cfg_LastDataDate,NA(),Calc_Daily!$O202)</f>
        <v/>
      </c>
      <c r="H202">
        <f>IF($A202&gt;cfg_LastDataDate,NA(),Calc_Daily!$CS202)</f>
        <v/>
      </c>
      <c r="I202">
        <f>IF($A202&gt;cfg_LastDataDate,NA(),Calc_Daily!$CM202)</f>
        <v/>
      </c>
      <c r="J202">
        <f>IF($A202&gt;cfg_LastDataDate,NA(),Calc_Daily!$HF202)</f>
        <v/>
      </c>
      <c r="K202">
        <f>Calc_Daily!$IT202</f>
        <v/>
      </c>
    </row>
    <row r="203">
      <c r="A203" s="54">
        <f>Calc_Daily!$A203</f>
        <v/>
      </c>
      <c r="B203">
        <f>IF($A203&gt;cfg_LastDataDate,NA(),Calc_Daily!$BZ203)</f>
        <v/>
      </c>
      <c r="C203">
        <f>Calc_Daily!$IG203/Calc_Daily!$D203</f>
        <v/>
      </c>
      <c r="D203">
        <f>IF($A203&gt;cfg_LastDataDate,NA(),Calc_Daily!$CZ203)</f>
        <v/>
      </c>
      <c r="E203">
        <f>Calc_Daily!$IX203</f>
        <v/>
      </c>
      <c r="F203">
        <f>IF($A203&gt;cfg_LastDataDate,NA(),Calc_Daily!$F203)</f>
        <v/>
      </c>
      <c r="G203">
        <f>IF($A203&gt;cfg_LastDataDate,NA(),Calc_Daily!$O203)</f>
        <v/>
      </c>
      <c r="H203">
        <f>IF($A203&gt;cfg_LastDataDate,NA(),Calc_Daily!$CS203)</f>
        <v/>
      </c>
      <c r="I203">
        <f>IF($A203&gt;cfg_LastDataDate,NA(),Calc_Daily!$CM203)</f>
        <v/>
      </c>
      <c r="J203">
        <f>IF($A203&gt;cfg_LastDataDate,NA(),Calc_Daily!$HF203)</f>
        <v/>
      </c>
      <c r="K203">
        <f>Calc_Daily!$IT203</f>
        <v/>
      </c>
    </row>
    <row r="204">
      <c r="A204" s="54">
        <f>Calc_Daily!$A204</f>
        <v/>
      </c>
      <c r="B204">
        <f>IF($A204&gt;cfg_LastDataDate,NA(),Calc_Daily!$BZ204)</f>
        <v/>
      </c>
      <c r="C204">
        <f>Calc_Daily!$IG204/Calc_Daily!$D204</f>
        <v/>
      </c>
      <c r="D204">
        <f>IF($A204&gt;cfg_LastDataDate,NA(),Calc_Daily!$CZ204)</f>
        <v/>
      </c>
      <c r="E204">
        <f>Calc_Daily!$IX204</f>
        <v/>
      </c>
      <c r="F204">
        <f>IF($A204&gt;cfg_LastDataDate,NA(),Calc_Daily!$F204)</f>
        <v/>
      </c>
      <c r="G204">
        <f>IF($A204&gt;cfg_LastDataDate,NA(),Calc_Daily!$O204)</f>
        <v/>
      </c>
      <c r="H204">
        <f>IF($A204&gt;cfg_LastDataDate,NA(),Calc_Daily!$CS204)</f>
        <v/>
      </c>
      <c r="I204">
        <f>IF($A204&gt;cfg_LastDataDate,NA(),Calc_Daily!$CM204)</f>
        <v/>
      </c>
      <c r="J204">
        <f>IF($A204&gt;cfg_LastDataDate,NA(),Calc_Daily!$HF204)</f>
        <v/>
      </c>
      <c r="K204">
        <f>Calc_Daily!$IT204</f>
        <v/>
      </c>
    </row>
    <row r="205">
      <c r="A205" s="54">
        <f>Calc_Daily!$A205</f>
        <v/>
      </c>
      <c r="B205">
        <f>IF($A205&gt;cfg_LastDataDate,NA(),Calc_Daily!$BZ205)</f>
        <v/>
      </c>
      <c r="C205">
        <f>Calc_Daily!$IG205/Calc_Daily!$D205</f>
        <v/>
      </c>
      <c r="D205">
        <f>IF($A205&gt;cfg_LastDataDate,NA(),Calc_Daily!$CZ205)</f>
        <v/>
      </c>
      <c r="E205">
        <f>Calc_Daily!$IX205</f>
        <v/>
      </c>
      <c r="F205">
        <f>IF($A205&gt;cfg_LastDataDate,NA(),Calc_Daily!$F205)</f>
        <v/>
      </c>
      <c r="G205">
        <f>IF($A205&gt;cfg_LastDataDate,NA(),Calc_Daily!$O205)</f>
        <v/>
      </c>
      <c r="H205">
        <f>IF($A205&gt;cfg_LastDataDate,NA(),Calc_Daily!$CS205)</f>
        <v/>
      </c>
      <c r="I205">
        <f>IF($A205&gt;cfg_LastDataDate,NA(),Calc_Daily!$CM205)</f>
        <v/>
      </c>
      <c r="J205">
        <f>IF($A205&gt;cfg_LastDataDate,NA(),Calc_Daily!$HF205)</f>
        <v/>
      </c>
      <c r="K205">
        <f>Calc_Daily!$IT205</f>
        <v/>
      </c>
    </row>
    <row r="206">
      <c r="A206" s="54">
        <f>Calc_Daily!$A206</f>
        <v/>
      </c>
      <c r="B206">
        <f>IF($A206&gt;cfg_LastDataDate,NA(),Calc_Daily!$BZ206)</f>
        <v/>
      </c>
      <c r="C206">
        <f>Calc_Daily!$IG206/Calc_Daily!$D206</f>
        <v/>
      </c>
      <c r="D206">
        <f>IF($A206&gt;cfg_LastDataDate,NA(),Calc_Daily!$CZ206)</f>
        <v/>
      </c>
      <c r="E206">
        <f>Calc_Daily!$IX206</f>
        <v/>
      </c>
      <c r="F206">
        <f>IF($A206&gt;cfg_LastDataDate,NA(),Calc_Daily!$F206)</f>
        <v/>
      </c>
      <c r="G206">
        <f>IF($A206&gt;cfg_LastDataDate,NA(),Calc_Daily!$O206)</f>
        <v/>
      </c>
      <c r="H206">
        <f>IF($A206&gt;cfg_LastDataDate,NA(),Calc_Daily!$CS206)</f>
        <v/>
      </c>
      <c r="I206">
        <f>IF($A206&gt;cfg_LastDataDate,NA(),Calc_Daily!$CM206)</f>
        <v/>
      </c>
      <c r="J206">
        <f>IF($A206&gt;cfg_LastDataDate,NA(),Calc_Daily!$HF206)</f>
        <v/>
      </c>
      <c r="K206">
        <f>Calc_Daily!$IT206</f>
        <v/>
      </c>
    </row>
    <row r="207">
      <c r="A207" s="54">
        <f>Calc_Daily!$A207</f>
        <v/>
      </c>
      <c r="B207">
        <f>IF($A207&gt;cfg_LastDataDate,NA(),Calc_Daily!$BZ207)</f>
        <v/>
      </c>
      <c r="C207">
        <f>Calc_Daily!$IG207/Calc_Daily!$D207</f>
        <v/>
      </c>
      <c r="D207">
        <f>IF($A207&gt;cfg_LastDataDate,NA(),Calc_Daily!$CZ207)</f>
        <v/>
      </c>
      <c r="E207">
        <f>Calc_Daily!$IX207</f>
        <v/>
      </c>
      <c r="F207">
        <f>IF($A207&gt;cfg_LastDataDate,NA(),Calc_Daily!$F207)</f>
        <v/>
      </c>
      <c r="G207">
        <f>IF($A207&gt;cfg_LastDataDate,NA(),Calc_Daily!$O207)</f>
        <v/>
      </c>
      <c r="H207">
        <f>IF($A207&gt;cfg_LastDataDate,NA(),Calc_Daily!$CS207)</f>
        <v/>
      </c>
      <c r="I207">
        <f>IF($A207&gt;cfg_LastDataDate,NA(),Calc_Daily!$CM207)</f>
        <v/>
      </c>
      <c r="J207">
        <f>IF($A207&gt;cfg_LastDataDate,NA(),Calc_Daily!$HF207)</f>
        <v/>
      </c>
      <c r="K207">
        <f>Calc_Daily!$IT207</f>
        <v/>
      </c>
    </row>
    <row r="208">
      <c r="A208" s="54">
        <f>Calc_Daily!$A208</f>
        <v/>
      </c>
      <c r="B208">
        <f>IF($A208&gt;cfg_LastDataDate,NA(),Calc_Daily!$BZ208)</f>
        <v/>
      </c>
      <c r="C208">
        <f>Calc_Daily!$IG208/Calc_Daily!$D208</f>
        <v/>
      </c>
      <c r="D208">
        <f>IF($A208&gt;cfg_LastDataDate,NA(),Calc_Daily!$CZ208)</f>
        <v/>
      </c>
      <c r="E208">
        <f>Calc_Daily!$IX208</f>
        <v/>
      </c>
      <c r="F208">
        <f>IF($A208&gt;cfg_LastDataDate,NA(),Calc_Daily!$F208)</f>
        <v/>
      </c>
      <c r="G208">
        <f>IF($A208&gt;cfg_LastDataDate,NA(),Calc_Daily!$O208)</f>
        <v/>
      </c>
      <c r="H208">
        <f>IF($A208&gt;cfg_LastDataDate,NA(),Calc_Daily!$CS208)</f>
        <v/>
      </c>
      <c r="I208">
        <f>IF($A208&gt;cfg_LastDataDate,NA(),Calc_Daily!$CM208)</f>
        <v/>
      </c>
      <c r="J208">
        <f>IF($A208&gt;cfg_LastDataDate,NA(),Calc_Daily!$HF208)</f>
        <v/>
      </c>
      <c r="K208">
        <f>Calc_Daily!$IT208</f>
        <v/>
      </c>
    </row>
    <row r="209">
      <c r="A209" s="54">
        <f>Calc_Daily!$A209</f>
        <v/>
      </c>
      <c r="B209">
        <f>IF($A209&gt;cfg_LastDataDate,NA(),Calc_Daily!$BZ209)</f>
        <v/>
      </c>
      <c r="C209">
        <f>Calc_Daily!$IG209/Calc_Daily!$D209</f>
        <v/>
      </c>
      <c r="D209">
        <f>IF($A209&gt;cfg_LastDataDate,NA(),Calc_Daily!$CZ209)</f>
        <v/>
      </c>
      <c r="E209">
        <f>Calc_Daily!$IX209</f>
        <v/>
      </c>
      <c r="F209">
        <f>IF($A209&gt;cfg_LastDataDate,NA(),Calc_Daily!$F209)</f>
        <v/>
      </c>
      <c r="G209">
        <f>IF($A209&gt;cfg_LastDataDate,NA(),Calc_Daily!$O209)</f>
        <v/>
      </c>
      <c r="H209">
        <f>IF($A209&gt;cfg_LastDataDate,NA(),Calc_Daily!$CS209)</f>
        <v/>
      </c>
      <c r="I209">
        <f>IF($A209&gt;cfg_LastDataDate,NA(),Calc_Daily!$CM209)</f>
        <v/>
      </c>
      <c r="J209">
        <f>IF($A209&gt;cfg_LastDataDate,NA(),Calc_Daily!$HF209)</f>
        <v/>
      </c>
      <c r="K209">
        <f>Calc_Daily!$IT209</f>
        <v/>
      </c>
    </row>
    <row r="210">
      <c r="A210" s="54">
        <f>Calc_Daily!$A210</f>
        <v/>
      </c>
      <c r="B210">
        <f>IF($A210&gt;cfg_LastDataDate,NA(),Calc_Daily!$BZ210)</f>
        <v/>
      </c>
      <c r="C210">
        <f>Calc_Daily!$IG210/Calc_Daily!$D210</f>
        <v/>
      </c>
      <c r="D210">
        <f>IF($A210&gt;cfg_LastDataDate,NA(),Calc_Daily!$CZ210)</f>
        <v/>
      </c>
      <c r="E210">
        <f>Calc_Daily!$IX210</f>
        <v/>
      </c>
      <c r="F210">
        <f>IF($A210&gt;cfg_LastDataDate,NA(),Calc_Daily!$F210)</f>
        <v/>
      </c>
      <c r="G210">
        <f>IF($A210&gt;cfg_LastDataDate,NA(),Calc_Daily!$O210)</f>
        <v/>
      </c>
      <c r="H210">
        <f>IF($A210&gt;cfg_LastDataDate,NA(),Calc_Daily!$CS210)</f>
        <v/>
      </c>
      <c r="I210">
        <f>IF($A210&gt;cfg_LastDataDate,NA(),Calc_Daily!$CM210)</f>
        <v/>
      </c>
      <c r="J210">
        <f>IF($A210&gt;cfg_LastDataDate,NA(),Calc_Daily!$HF210)</f>
        <v/>
      </c>
      <c r="K210">
        <f>Calc_Daily!$IT210</f>
        <v/>
      </c>
    </row>
    <row r="211">
      <c r="A211" s="54">
        <f>Calc_Daily!$A211</f>
        <v/>
      </c>
      <c r="B211">
        <f>IF($A211&gt;cfg_LastDataDate,NA(),Calc_Daily!$BZ211)</f>
        <v/>
      </c>
      <c r="C211">
        <f>Calc_Daily!$IG211/Calc_Daily!$D211</f>
        <v/>
      </c>
      <c r="D211">
        <f>IF($A211&gt;cfg_LastDataDate,NA(),Calc_Daily!$CZ211)</f>
        <v/>
      </c>
      <c r="E211">
        <f>Calc_Daily!$IX211</f>
        <v/>
      </c>
      <c r="F211">
        <f>IF($A211&gt;cfg_LastDataDate,NA(),Calc_Daily!$F211)</f>
        <v/>
      </c>
      <c r="G211">
        <f>IF($A211&gt;cfg_LastDataDate,NA(),Calc_Daily!$O211)</f>
        <v/>
      </c>
      <c r="H211">
        <f>IF($A211&gt;cfg_LastDataDate,NA(),Calc_Daily!$CS211)</f>
        <v/>
      </c>
      <c r="I211">
        <f>IF($A211&gt;cfg_LastDataDate,NA(),Calc_Daily!$CM211)</f>
        <v/>
      </c>
      <c r="J211">
        <f>IF($A211&gt;cfg_LastDataDate,NA(),Calc_Daily!$HF211)</f>
        <v/>
      </c>
      <c r="K211">
        <f>Calc_Daily!$IT211</f>
        <v/>
      </c>
    </row>
    <row r="212">
      <c r="A212" s="54">
        <f>Calc_Daily!$A212</f>
        <v/>
      </c>
      <c r="B212">
        <f>IF($A212&gt;cfg_LastDataDate,NA(),Calc_Daily!$BZ212)</f>
        <v/>
      </c>
      <c r="C212">
        <f>Calc_Daily!$IG212/Calc_Daily!$D212</f>
        <v/>
      </c>
      <c r="D212">
        <f>IF($A212&gt;cfg_LastDataDate,NA(),Calc_Daily!$CZ212)</f>
        <v/>
      </c>
      <c r="E212">
        <f>Calc_Daily!$IX212</f>
        <v/>
      </c>
      <c r="F212">
        <f>IF($A212&gt;cfg_LastDataDate,NA(),Calc_Daily!$F212)</f>
        <v/>
      </c>
      <c r="G212">
        <f>IF($A212&gt;cfg_LastDataDate,NA(),Calc_Daily!$O212)</f>
        <v/>
      </c>
      <c r="H212">
        <f>IF($A212&gt;cfg_LastDataDate,NA(),Calc_Daily!$CS212)</f>
        <v/>
      </c>
      <c r="I212">
        <f>IF($A212&gt;cfg_LastDataDate,NA(),Calc_Daily!$CM212)</f>
        <v/>
      </c>
      <c r="J212">
        <f>IF($A212&gt;cfg_LastDataDate,NA(),Calc_Daily!$HF212)</f>
        <v/>
      </c>
      <c r="K212">
        <f>Calc_Daily!$IT212</f>
        <v/>
      </c>
    </row>
    <row r="213">
      <c r="A213" s="54">
        <f>Calc_Daily!$A213</f>
        <v/>
      </c>
      <c r="B213">
        <f>IF($A213&gt;cfg_LastDataDate,NA(),Calc_Daily!$BZ213)</f>
        <v/>
      </c>
      <c r="C213">
        <f>Calc_Daily!$IG213/Calc_Daily!$D213</f>
        <v/>
      </c>
      <c r="D213">
        <f>IF($A213&gt;cfg_LastDataDate,NA(),Calc_Daily!$CZ213)</f>
        <v/>
      </c>
      <c r="E213">
        <f>Calc_Daily!$IX213</f>
        <v/>
      </c>
      <c r="F213">
        <f>IF($A213&gt;cfg_LastDataDate,NA(),Calc_Daily!$F213)</f>
        <v/>
      </c>
      <c r="G213">
        <f>IF($A213&gt;cfg_LastDataDate,NA(),Calc_Daily!$O213)</f>
        <v/>
      </c>
      <c r="H213">
        <f>IF($A213&gt;cfg_LastDataDate,NA(),Calc_Daily!$CS213)</f>
        <v/>
      </c>
      <c r="I213">
        <f>IF($A213&gt;cfg_LastDataDate,NA(),Calc_Daily!$CM213)</f>
        <v/>
      </c>
      <c r="J213">
        <f>IF($A213&gt;cfg_LastDataDate,NA(),Calc_Daily!$HF213)</f>
        <v/>
      </c>
      <c r="K213">
        <f>Calc_Daily!$IT213</f>
        <v/>
      </c>
    </row>
    <row r="214">
      <c r="A214" s="54">
        <f>Calc_Daily!$A214</f>
        <v/>
      </c>
      <c r="B214">
        <f>IF($A214&gt;cfg_LastDataDate,NA(),Calc_Daily!$BZ214)</f>
        <v/>
      </c>
      <c r="C214">
        <f>Calc_Daily!$IG214/Calc_Daily!$D214</f>
        <v/>
      </c>
      <c r="D214">
        <f>IF($A214&gt;cfg_LastDataDate,NA(),Calc_Daily!$CZ214)</f>
        <v/>
      </c>
      <c r="E214">
        <f>Calc_Daily!$IX214</f>
        <v/>
      </c>
      <c r="F214">
        <f>IF($A214&gt;cfg_LastDataDate,NA(),Calc_Daily!$F214)</f>
        <v/>
      </c>
      <c r="G214">
        <f>IF($A214&gt;cfg_LastDataDate,NA(),Calc_Daily!$O214)</f>
        <v/>
      </c>
      <c r="H214">
        <f>IF($A214&gt;cfg_LastDataDate,NA(),Calc_Daily!$CS214)</f>
        <v/>
      </c>
      <c r="I214">
        <f>IF($A214&gt;cfg_LastDataDate,NA(),Calc_Daily!$CM214)</f>
        <v/>
      </c>
      <c r="J214">
        <f>IF($A214&gt;cfg_LastDataDate,NA(),Calc_Daily!$HF214)</f>
        <v/>
      </c>
      <c r="K214">
        <f>Calc_Daily!$IT214</f>
        <v/>
      </c>
    </row>
    <row r="215">
      <c r="A215" s="54">
        <f>Calc_Daily!$A215</f>
        <v/>
      </c>
      <c r="B215">
        <f>IF($A215&gt;cfg_LastDataDate,NA(),Calc_Daily!$BZ215)</f>
        <v/>
      </c>
      <c r="C215">
        <f>Calc_Daily!$IG215/Calc_Daily!$D215</f>
        <v/>
      </c>
      <c r="D215">
        <f>IF($A215&gt;cfg_LastDataDate,NA(),Calc_Daily!$CZ215)</f>
        <v/>
      </c>
      <c r="E215">
        <f>Calc_Daily!$IX215</f>
        <v/>
      </c>
      <c r="F215">
        <f>IF($A215&gt;cfg_LastDataDate,NA(),Calc_Daily!$F215)</f>
        <v/>
      </c>
      <c r="G215">
        <f>IF($A215&gt;cfg_LastDataDate,NA(),Calc_Daily!$O215)</f>
        <v/>
      </c>
      <c r="H215">
        <f>IF($A215&gt;cfg_LastDataDate,NA(),Calc_Daily!$CS215)</f>
        <v/>
      </c>
      <c r="I215">
        <f>IF($A215&gt;cfg_LastDataDate,NA(),Calc_Daily!$CM215)</f>
        <v/>
      </c>
      <c r="J215">
        <f>IF($A215&gt;cfg_LastDataDate,NA(),Calc_Daily!$HF215)</f>
        <v/>
      </c>
      <c r="K215">
        <f>Calc_Daily!$IT215</f>
        <v/>
      </c>
    </row>
    <row r="216">
      <c r="A216" s="54">
        <f>Calc_Daily!$A216</f>
        <v/>
      </c>
      <c r="B216">
        <f>IF($A216&gt;cfg_LastDataDate,NA(),Calc_Daily!$BZ216)</f>
        <v/>
      </c>
      <c r="C216">
        <f>Calc_Daily!$IG216/Calc_Daily!$D216</f>
        <v/>
      </c>
      <c r="D216">
        <f>IF($A216&gt;cfg_LastDataDate,NA(),Calc_Daily!$CZ216)</f>
        <v/>
      </c>
      <c r="E216">
        <f>Calc_Daily!$IX216</f>
        <v/>
      </c>
      <c r="F216">
        <f>IF($A216&gt;cfg_LastDataDate,NA(),Calc_Daily!$F216)</f>
        <v/>
      </c>
      <c r="G216">
        <f>IF($A216&gt;cfg_LastDataDate,NA(),Calc_Daily!$O216)</f>
        <v/>
      </c>
      <c r="H216">
        <f>IF($A216&gt;cfg_LastDataDate,NA(),Calc_Daily!$CS216)</f>
        <v/>
      </c>
      <c r="I216">
        <f>IF($A216&gt;cfg_LastDataDate,NA(),Calc_Daily!$CM216)</f>
        <v/>
      </c>
      <c r="J216">
        <f>IF($A216&gt;cfg_LastDataDate,NA(),Calc_Daily!$HF216)</f>
        <v/>
      </c>
      <c r="K216">
        <f>Calc_Daily!$IT216</f>
        <v/>
      </c>
    </row>
    <row r="217">
      <c r="A217" s="54">
        <f>Calc_Daily!$A217</f>
        <v/>
      </c>
      <c r="B217">
        <f>IF($A217&gt;cfg_LastDataDate,NA(),Calc_Daily!$BZ217)</f>
        <v/>
      </c>
      <c r="C217">
        <f>Calc_Daily!$IG217/Calc_Daily!$D217</f>
        <v/>
      </c>
      <c r="D217">
        <f>IF($A217&gt;cfg_LastDataDate,NA(),Calc_Daily!$CZ217)</f>
        <v/>
      </c>
      <c r="E217">
        <f>Calc_Daily!$IX217</f>
        <v/>
      </c>
      <c r="F217">
        <f>IF($A217&gt;cfg_LastDataDate,NA(),Calc_Daily!$F217)</f>
        <v/>
      </c>
      <c r="G217">
        <f>IF($A217&gt;cfg_LastDataDate,NA(),Calc_Daily!$O217)</f>
        <v/>
      </c>
      <c r="H217">
        <f>IF($A217&gt;cfg_LastDataDate,NA(),Calc_Daily!$CS217)</f>
        <v/>
      </c>
      <c r="I217">
        <f>IF($A217&gt;cfg_LastDataDate,NA(),Calc_Daily!$CM217)</f>
        <v/>
      </c>
      <c r="J217">
        <f>IF($A217&gt;cfg_LastDataDate,NA(),Calc_Daily!$HF217)</f>
        <v/>
      </c>
      <c r="K217">
        <f>Calc_Daily!$IT217</f>
        <v/>
      </c>
    </row>
    <row r="218">
      <c r="A218" s="54">
        <f>Calc_Daily!$A218</f>
        <v/>
      </c>
      <c r="B218">
        <f>IF($A218&gt;cfg_LastDataDate,NA(),Calc_Daily!$BZ218)</f>
        <v/>
      </c>
      <c r="C218">
        <f>Calc_Daily!$IG218/Calc_Daily!$D218</f>
        <v/>
      </c>
      <c r="D218">
        <f>IF($A218&gt;cfg_LastDataDate,NA(),Calc_Daily!$CZ218)</f>
        <v/>
      </c>
      <c r="E218">
        <f>Calc_Daily!$IX218</f>
        <v/>
      </c>
      <c r="F218">
        <f>IF($A218&gt;cfg_LastDataDate,NA(),Calc_Daily!$F218)</f>
        <v/>
      </c>
      <c r="G218">
        <f>IF($A218&gt;cfg_LastDataDate,NA(),Calc_Daily!$O218)</f>
        <v/>
      </c>
      <c r="H218">
        <f>IF($A218&gt;cfg_LastDataDate,NA(),Calc_Daily!$CS218)</f>
        <v/>
      </c>
      <c r="I218">
        <f>IF($A218&gt;cfg_LastDataDate,NA(),Calc_Daily!$CM218)</f>
        <v/>
      </c>
      <c r="J218">
        <f>IF($A218&gt;cfg_LastDataDate,NA(),Calc_Daily!$HF218)</f>
        <v/>
      </c>
      <c r="K218">
        <f>Calc_Daily!$IT218</f>
        <v/>
      </c>
    </row>
    <row r="219">
      <c r="A219" s="54">
        <f>Calc_Daily!$A219</f>
        <v/>
      </c>
      <c r="B219">
        <f>IF($A219&gt;cfg_LastDataDate,NA(),Calc_Daily!$BZ219)</f>
        <v/>
      </c>
      <c r="C219">
        <f>Calc_Daily!$IG219/Calc_Daily!$D219</f>
        <v/>
      </c>
      <c r="D219">
        <f>IF($A219&gt;cfg_LastDataDate,NA(),Calc_Daily!$CZ219)</f>
        <v/>
      </c>
      <c r="E219">
        <f>Calc_Daily!$IX219</f>
        <v/>
      </c>
      <c r="F219">
        <f>IF($A219&gt;cfg_LastDataDate,NA(),Calc_Daily!$F219)</f>
        <v/>
      </c>
      <c r="G219">
        <f>IF($A219&gt;cfg_LastDataDate,NA(),Calc_Daily!$O219)</f>
        <v/>
      </c>
      <c r="H219">
        <f>IF($A219&gt;cfg_LastDataDate,NA(),Calc_Daily!$CS219)</f>
        <v/>
      </c>
      <c r="I219">
        <f>IF($A219&gt;cfg_LastDataDate,NA(),Calc_Daily!$CM219)</f>
        <v/>
      </c>
      <c r="J219">
        <f>IF($A219&gt;cfg_LastDataDate,NA(),Calc_Daily!$HF219)</f>
        <v/>
      </c>
      <c r="K219">
        <f>Calc_Daily!$IT219</f>
        <v/>
      </c>
    </row>
    <row r="220">
      <c r="A220" s="54">
        <f>Calc_Daily!$A220</f>
        <v/>
      </c>
      <c r="B220">
        <f>IF($A220&gt;cfg_LastDataDate,NA(),Calc_Daily!$BZ220)</f>
        <v/>
      </c>
      <c r="C220">
        <f>Calc_Daily!$IG220/Calc_Daily!$D220</f>
        <v/>
      </c>
      <c r="D220">
        <f>IF($A220&gt;cfg_LastDataDate,NA(),Calc_Daily!$CZ220)</f>
        <v/>
      </c>
      <c r="E220">
        <f>Calc_Daily!$IX220</f>
        <v/>
      </c>
      <c r="F220">
        <f>IF($A220&gt;cfg_LastDataDate,NA(),Calc_Daily!$F220)</f>
        <v/>
      </c>
      <c r="G220">
        <f>IF($A220&gt;cfg_LastDataDate,NA(),Calc_Daily!$O220)</f>
        <v/>
      </c>
      <c r="H220">
        <f>IF($A220&gt;cfg_LastDataDate,NA(),Calc_Daily!$CS220)</f>
        <v/>
      </c>
      <c r="I220">
        <f>IF($A220&gt;cfg_LastDataDate,NA(),Calc_Daily!$CM220)</f>
        <v/>
      </c>
      <c r="J220">
        <f>IF($A220&gt;cfg_LastDataDate,NA(),Calc_Daily!$HF220)</f>
        <v/>
      </c>
      <c r="K220">
        <f>Calc_Daily!$IT220</f>
        <v/>
      </c>
    </row>
    <row r="221">
      <c r="A221" s="54">
        <f>Calc_Daily!$A221</f>
        <v/>
      </c>
      <c r="B221">
        <f>IF($A221&gt;cfg_LastDataDate,NA(),Calc_Daily!$BZ221)</f>
        <v/>
      </c>
      <c r="C221">
        <f>Calc_Daily!$IG221/Calc_Daily!$D221</f>
        <v/>
      </c>
      <c r="D221">
        <f>IF($A221&gt;cfg_LastDataDate,NA(),Calc_Daily!$CZ221)</f>
        <v/>
      </c>
      <c r="E221">
        <f>Calc_Daily!$IX221</f>
        <v/>
      </c>
      <c r="F221">
        <f>IF($A221&gt;cfg_LastDataDate,NA(),Calc_Daily!$F221)</f>
        <v/>
      </c>
      <c r="G221">
        <f>IF($A221&gt;cfg_LastDataDate,NA(),Calc_Daily!$O221)</f>
        <v/>
      </c>
      <c r="H221">
        <f>IF($A221&gt;cfg_LastDataDate,NA(),Calc_Daily!$CS221)</f>
        <v/>
      </c>
      <c r="I221">
        <f>IF($A221&gt;cfg_LastDataDate,NA(),Calc_Daily!$CM221)</f>
        <v/>
      </c>
      <c r="J221">
        <f>IF($A221&gt;cfg_LastDataDate,NA(),Calc_Daily!$HF221)</f>
        <v/>
      </c>
      <c r="K221">
        <f>Calc_Daily!$IT221</f>
        <v/>
      </c>
    </row>
    <row r="222">
      <c r="A222" s="54">
        <f>Calc_Daily!$A222</f>
        <v/>
      </c>
      <c r="B222">
        <f>IF($A222&gt;cfg_LastDataDate,NA(),Calc_Daily!$BZ222)</f>
        <v/>
      </c>
      <c r="C222">
        <f>Calc_Daily!$IG222/Calc_Daily!$D222</f>
        <v/>
      </c>
      <c r="D222">
        <f>IF($A222&gt;cfg_LastDataDate,NA(),Calc_Daily!$CZ222)</f>
        <v/>
      </c>
      <c r="E222">
        <f>Calc_Daily!$IX222</f>
        <v/>
      </c>
      <c r="F222">
        <f>IF($A222&gt;cfg_LastDataDate,NA(),Calc_Daily!$F222)</f>
        <v/>
      </c>
      <c r="G222">
        <f>IF($A222&gt;cfg_LastDataDate,NA(),Calc_Daily!$O222)</f>
        <v/>
      </c>
      <c r="H222">
        <f>IF($A222&gt;cfg_LastDataDate,NA(),Calc_Daily!$CS222)</f>
        <v/>
      </c>
      <c r="I222">
        <f>IF($A222&gt;cfg_LastDataDate,NA(),Calc_Daily!$CM222)</f>
        <v/>
      </c>
      <c r="J222">
        <f>IF($A222&gt;cfg_LastDataDate,NA(),Calc_Daily!$HF222)</f>
        <v/>
      </c>
      <c r="K222">
        <f>Calc_Daily!$IT222</f>
        <v/>
      </c>
    </row>
    <row r="223">
      <c r="A223" s="54">
        <f>Calc_Daily!$A223</f>
        <v/>
      </c>
      <c r="B223">
        <f>IF($A223&gt;cfg_LastDataDate,NA(),Calc_Daily!$BZ223)</f>
        <v/>
      </c>
      <c r="C223">
        <f>Calc_Daily!$IG223/Calc_Daily!$D223</f>
        <v/>
      </c>
      <c r="D223">
        <f>IF($A223&gt;cfg_LastDataDate,NA(),Calc_Daily!$CZ223)</f>
        <v/>
      </c>
      <c r="E223">
        <f>Calc_Daily!$IX223</f>
        <v/>
      </c>
      <c r="F223">
        <f>IF($A223&gt;cfg_LastDataDate,NA(),Calc_Daily!$F223)</f>
        <v/>
      </c>
      <c r="G223">
        <f>IF($A223&gt;cfg_LastDataDate,NA(),Calc_Daily!$O223)</f>
        <v/>
      </c>
      <c r="H223">
        <f>IF($A223&gt;cfg_LastDataDate,NA(),Calc_Daily!$CS223)</f>
        <v/>
      </c>
      <c r="I223">
        <f>IF($A223&gt;cfg_LastDataDate,NA(),Calc_Daily!$CM223)</f>
        <v/>
      </c>
      <c r="J223">
        <f>IF($A223&gt;cfg_LastDataDate,NA(),Calc_Daily!$HF223)</f>
        <v/>
      </c>
      <c r="K223">
        <f>Calc_Daily!$IT223</f>
        <v/>
      </c>
    </row>
    <row r="224">
      <c r="A224" s="54">
        <f>Calc_Daily!$A224</f>
        <v/>
      </c>
      <c r="B224">
        <f>IF($A224&gt;cfg_LastDataDate,NA(),Calc_Daily!$BZ224)</f>
        <v/>
      </c>
      <c r="C224">
        <f>Calc_Daily!$IG224/Calc_Daily!$D224</f>
        <v/>
      </c>
      <c r="D224">
        <f>IF($A224&gt;cfg_LastDataDate,NA(),Calc_Daily!$CZ224)</f>
        <v/>
      </c>
      <c r="E224">
        <f>Calc_Daily!$IX224</f>
        <v/>
      </c>
      <c r="F224">
        <f>IF($A224&gt;cfg_LastDataDate,NA(),Calc_Daily!$F224)</f>
        <v/>
      </c>
      <c r="G224">
        <f>IF($A224&gt;cfg_LastDataDate,NA(),Calc_Daily!$O224)</f>
        <v/>
      </c>
      <c r="H224">
        <f>IF($A224&gt;cfg_LastDataDate,NA(),Calc_Daily!$CS224)</f>
        <v/>
      </c>
      <c r="I224">
        <f>IF($A224&gt;cfg_LastDataDate,NA(),Calc_Daily!$CM224)</f>
        <v/>
      </c>
      <c r="J224">
        <f>IF($A224&gt;cfg_LastDataDate,NA(),Calc_Daily!$HF224)</f>
        <v/>
      </c>
      <c r="K224">
        <f>Calc_Daily!$IT224</f>
        <v/>
      </c>
    </row>
    <row r="225">
      <c r="A225" s="54">
        <f>Calc_Daily!$A225</f>
        <v/>
      </c>
      <c r="B225">
        <f>IF($A225&gt;cfg_LastDataDate,NA(),Calc_Daily!$BZ225)</f>
        <v/>
      </c>
      <c r="C225">
        <f>Calc_Daily!$IG225/Calc_Daily!$D225</f>
        <v/>
      </c>
      <c r="D225">
        <f>IF($A225&gt;cfg_LastDataDate,NA(),Calc_Daily!$CZ225)</f>
        <v/>
      </c>
      <c r="E225">
        <f>Calc_Daily!$IX225</f>
        <v/>
      </c>
      <c r="F225">
        <f>IF($A225&gt;cfg_LastDataDate,NA(),Calc_Daily!$F225)</f>
        <v/>
      </c>
      <c r="G225">
        <f>IF($A225&gt;cfg_LastDataDate,NA(),Calc_Daily!$O225)</f>
        <v/>
      </c>
      <c r="H225">
        <f>IF($A225&gt;cfg_LastDataDate,NA(),Calc_Daily!$CS225)</f>
        <v/>
      </c>
      <c r="I225">
        <f>IF($A225&gt;cfg_LastDataDate,NA(),Calc_Daily!$CM225)</f>
        <v/>
      </c>
      <c r="J225">
        <f>IF($A225&gt;cfg_LastDataDate,NA(),Calc_Daily!$HF225)</f>
        <v/>
      </c>
      <c r="K225">
        <f>Calc_Daily!$IT225</f>
        <v/>
      </c>
    </row>
    <row r="226">
      <c r="A226" s="54">
        <f>Calc_Daily!$A226</f>
        <v/>
      </c>
      <c r="B226">
        <f>IF($A226&gt;cfg_LastDataDate,NA(),Calc_Daily!$BZ226)</f>
        <v/>
      </c>
      <c r="C226">
        <f>Calc_Daily!$IG226/Calc_Daily!$D226</f>
        <v/>
      </c>
      <c r="D226">
        <f>IF($A226&gt;cfg_LastDataDate,NA(),Calc_Daily!$CZ226)</f>
        <v/>
      </c>
      <c r="E226">
        <f>Calc_Daily!$IX226</f>
        <v/>
      </c>
      <c r="F226">
        <f>IF($A226&gt;cfg_LastDataDate,NA(),Calc_Daily!$F226)</f>
        <v/>
      </c>
      <c r="G226">
        <f>IF($A226&gt;cfg_LastDataDate,NA(),Calc_Daily!$O226)</f>
        <v/>
      </c>
      <c r="H226">
        <f>IF($A226&gt;cfg_LastDataDate,NA(),Calc_Daily!$CS226)</f>
        <v/>
      </c>
      <c r="I226">
        <f>IF($A226&gt;cfg_LastDataDate,NA(),Calc_Daily!$CM226)</f>
        <v/>
      </c>
      <c r="J226">
        <f>IF($A226&gt;cfg_LastDataDate,NA(),Calc_Daily!$HF226)</f>
        <v/>
      </c>
      <c r="K226">
        <f>Calc_Daily!$IT226</f>
        <v/>
      </c>
    </row>
    <row r="227">
      <c r="A227" s="54">
        <f>Calc_Daily!$A227</f>
        <v/>
      </c>
      <c r="B227">
        <f>IF($A227&gt;cfg_LastDataDate,NA(),Calc_Daily!$BZ227)</f>
        <v/>
      </c>
      <c r="C227">
        <f>Calc_Daily!$IG227/Calc_Daily!$D227</f>
        <v/>
      </c>
      <c r="D227">
        <f>IF($A227&gt;cfg_LastDataDate,NA(),Calc_Daily!$CZ227)</f>
        <v/>
      </c>
      <c r="E227">
        <f>Calc_Daily!$IX227</f>
        <v/>
      </c>
      <c r="F227">
        <f>IF($A227&gt;cfg_LastDataDate,NA(),Calc_Daily!$F227)</f>
        <v/>
      </c>
      <c r="G227">
        <f>IF($A227&gt;cfg_LastDataDate,NA(),Calc_Daily!$O227)</f>
        <v/>
      </c>
      <c r="H227">
        <f>IF($A227&gt;cfg_LastDataDate,NA(),Calc_Daily!$CS227)</f>
        <v/>
      </c>
      <c r="I227">
        <f>IF($A227&gt;cfg_LastDataDate,NA(),Calc_Daily!$CM227)</f>
        <v/>
      </c>
      <c r="J227">
        <f>IF($A227&gt;cfg_LastDataDate,NA(),Calc_Daily!$HF227)</f>
        <v/>
      </c>
      <c r="K227">
        <f>Calc_Daily!$IT227</f>
        <v/>
      </c>
    </row>
    <row r="228">
      <c r="A228" s="54">
        <f>Calc_Daily!$A228</f>
        <v/>
      </c>
      <c r="B228">
        <f>IF($A228&gt;cfg_LastDataDate,NA(),Calc_Daily!$BZ228)</f>
        <v/>
      </c>
      <c r="C228">
        <f>Calc_Daily!$IG228/Calc_Daily!$D228</f>
        <v/>
      </c>
      <c r="D228">
        <f>IF($A228&gt;cfg_LastDataDate,NA(),Calc_Daily!$CZ228)</f>
        <v/>
      </c>
      <c r="E228">
        <f>Calc_Daily!$IX228</f>
        <v/>
      </c>
      <c r="F228">
        <f>IF($A228&gt;cfg_LastDataDate,NA(),Calc_Daily!$F228)</f>
        <v/>
      </c>
      <c r="G228">
        <f>IF($A228&gt;cfg_LastDataDate,NA(),Calc_Daily!$O228)</f>
        <v/>
      </c>
      <c r="H228">
        <f>IF($A228&gt;cfg_LastDataDate,NA(),Calc_Daily!$CS228)</f>
        <v/>
      </c>
      <c r="I228">
        <f>IF($A228&gt;cfg_LastDataDate,NA(),Calc_Daily!$CM228)</f>
        <v/>
      </c>
      <c r="J228">
        <f>IF($A228&gt;cfg_LastDataDate,NA(),Calc_Daily!$HF228)</f>
        <v/>
      </c>
      <c r="K228">
        <f>Calc_Daily!$IT228</f>
        <v/>
      </c>
    </row>
    <row r="229">
      <c r="A229" s="54">
        <f>Calc_Daily!$A229</f>
        <v/>
      </c>
      <c r="B229">
        <f>IF($A229&gt;cfg_LastDataDate,NA(),Calc_Daily!$BZ229)</f>
        <v/>
      </c>
      <c r="C229">
        <f>Calc_Daily!$IG229/Calc_Daily!$D229</f>
        <v/>
      </c>
      <c r="D229">
        <f>IF($A229&gt;cfg_LastDataDate,NA(),Calc_Daily!$CZ229)</f>
        <v/>
      </c>
      <c r="E229">
        <f>Calc_Daily!$IX229</f>
        <v/>
      </c>
      <c r="F229">
        <f>IF($A229&gt;cfg_LastDataDate,NA(),Calc_Daily!$F229)</f>
        <v/>
      </c>
      <c r="G229">
        <f>IF($A229&gt;cfg_LastDataDate,NA(),Calc_Daily!$O229)</f>
        <v/>
      </c>
      <c r="H229">
        <f>IF($A229&gt;cfg_LastDataDate,NA(),Calc_Daily!$CS229)</f>
        <v/>
      </c>
      <c r="I229">
        <f>IF($A229&gt;cfg_LastDataDate,NA(),Calc_Daily!$CM229)</f>
        <v/>
      </c>
      <c r="J229">
        <f>IF($A229&gt;cfg_LastDataDate,NA(),Calc_Daily!$HF229)</f>
        <v/>
      </c>
      <c r="K229">
        <f>Calc_Daily!$IT229</f>
        <v/>
      </c>
    </row>
    <row r="230">
      <c r="A230" s="54">
        <f>Calc_Daily!$A230</f>
        <v/>
      </c>
      <c r="B230">
        <f>IF($A230&gt;cfg_LastDataDate,NA(),Calc_Daily!$BZ230)</f>
        <v/>
      </c>
      <c r="C230">
        <f>Calc_Daily!$IG230/Calc_Daily!$D230</f>
        <v/>
      </c>
      <c r="D230">
        <f>IF($A230&gt;cfg_LastDataDate,NA(),Calc_Daily!$CZ230)</f>
        <v/>
      </c>
      <c r="E230">
        <f>Calc_Daily!$IX230</f>
        <v/>
      </c>
      <c r="F230">
        <f>IF($A230&gt;cfg_LastDataDate,NA(),Calc_Daily!$F230)</f>
        <v/>
      </c>
      <c r="G230">
        <f>IF($A230&gt;cfg_LastDataDate,NA(),Calc_Daily!$O230)</f>
        <v/>
      </c>
      <c r="H230">
        <f>IF($A230&gt;cfg_LastDataDate,NA(),Calc_Daily!$CS230)</f>
        <v/>
      </c>
      <c r="I230">
        <f>IF($A230&gt;cfg_LastDataDate,NA(),Calc_Daily!$CM230)</f>
        <v/>
      </c>
      <c r="J230">
        <f>IF($A230&gt;cfg_LastDataDate,NA(),Calc_Daily!$HF230)</f>
        <v/>
      </c>
      <c r="K230">
        <f>Calc_Daily!$IT230</f>
        <v/>
      </c>
    </row>
    <row r="231">
      <c r="A231" s="54">
        <f>Calc_Daily!$A231</f>
        <v/>
      </c>
      <c r="B231">
        <f>IF($A231&gt;cfg_LastDataDate,NA(),Calc_Daily!$BZ231)</f>
        <v/>
      </c>
      <c r="C231">
        <f>Calc_Daily!$IG231/Calc_Daily!$D231</f>
        <v/>
      </c>
      <c r="D231">
        <f>IF($A231&gt;cfg_LastDataDate,NA(),Calc_Daily!$CZ231)</f>
        <v/>
      </c>
      <c r="E231">
        <f>Calc_Daily!$IX231</f>
        <v/>
      </c>
      <c r="F231">
        <f>IF($A231&gt;cfg_LastDataDate,NA(),Calc_Daily!$F231)</f>
        <v/>
      </c>
      <c r="G231">
        <f>IF($A231&gt;cfg_LastDataDate,NA(),Calc_Daily!$O231)</f>
        <v/>
      </c>
      <c r="H231">
        <f>IF($A231&gt;cfg_LastDataDate,NA(),Calc_Daily!$CS231)</f>
        <v/>
      </c>
      <c r="I231">
        <f>IF($A231&gt;cfg_LastDataDate,NA(),Calc_Daily!$CM231)</f>
        <v/>
      </c>
      <c r="J231">
        <f>IF($A231&gt;cfg_LastDataDate,NA(),Calc_Daily!$HF231)</f>
        <v/>
      </c>
      <c r="K231">
        <f>Calc_Daily!$IT231</f>
        <v/>
      </c>
    </row>
    <row r="232">
      <c r="A232" s="54">
        <f>Calc_Daily!$A232</f>
        <v/>
      </c>
      <c r="B232">
        <f>IF($A232&gt;cfg_LastDataDate,NA(),Calc_Daily!$BZ232)</f>
        <v/>
      </c>
      <c r="C232">
        <f>Calc_Daily!$IG232/Calc_Daily!$D232</f>
        <v/>
      </c>
      <c r="D232">
        <f>IF($A232&gt;cfg_LastDataDate,NA(),Calc_Daily!$CZ232)</f>
        <v/>
      </c>
      <c r="E232">
        <f>Calc_Daily!$IX232</f>
        <v/>
      </c>
      <c r="F232">
        <f>IF($A232&gt;cfg_LastDataDate,NA(),Calc_Daily!$F232)</f>
        <v/>
      </c>
      <c r="G232">
        <f>IF($A232&gt;cfg_LastDataDate,NA(),Calc_Daily!$O232)</f>
        <v/>
      </c>
      <c r="H232">
        <f>IF($A232&gt;cfg_LastDataDate,NA(),Calc_Daily!$CS232)</f>
        <v/>
      </c>
      <c r="I232">
        <f>IF($A232&gt;cfg_LastDataDate,NA(),Calc_Daily!$CM232)</f>
        <v/>
      </c>
      <c r="J232">
        <f>IF($A232&gt;cfg_LastDataDate,NA(),Calc_Daily!$HF232)</f>
        <v/>
      </c>
      <c r="K232">
        <f>Calc_Daily!$IT232</f>
        <v/>
      </c>
    </row>
    <row r="233">
      <c r="A233" s="54">
        <f>Calc_Daily!$A233</f>
        <v/>
      </c>
      <c r="B233">
        <f>IF($A233&gt;cfg_LastDataDate,NA(),Calc_Daily!$BZ233)</f>
        <v/>
      </c>
      <c r="C233">
        <f>Calc_Daily!$IG233/Calc_Daily!$D233</f>
        <v/>
      </c>
      <c r="D233">
        <f>IF($A233&gt;cfg_LastDataDate,NA(),Calc_Daily!$CZ233)</f>
        <v/>
      </c>
      <c r="E233">
        <f>Calc_Daily!$IX233</f>
        <v/>
      </c>
      <c r="F233">
        <f>IF($A233&gt;cfg_LastDataDate,NA(),Calc_Daily!$F233)</f>
        <v/>
      </c>
      <c r="G233">
        <f>IF($A233&gt;cfg_LastDataDate,NA(),Calc_Daily!$O233)</f>
        <v/>
      </c>
      <c r="H233">
        <f>IF($A233&gt;cfg_LastDataDate,NA(),Calc_Daily!$CS233)</f>
        <v/>
      </c>
      <c r="I233">
        <f>IF($A233&gt;cfg_LastDataDate,NA(),Calc_Daily!$CM233)</f>
        <v/>
      </c>
      <c r="J233">
        <f>IF($A233&gt;cfg_LastDataDate,NA(),Calc_Daily!$HF233)</f>
        <v/>
      </c>
      <c r="K233">
        <f>Calc_Daily!$IT233</f>
        <v/>
      </c>
    </row>
    <row r="234">
      <c r="A234" s="54">
        <f>Calc_Daily!$A234</f>
        <v/>
      </c>
      <c r="B234">
        <f>IF($A234&gt;cfg_LastDataDate,NA(),Calc_Daily!$BZ234)</f>
        <v/>
      </c>
      <c r="C234">
        <f>Calc_Daily!$IG234/Calc_Daily!$D234</f>
        <v/>
      </c>
      <c r="D234">
        <f>IF($A234&gt;cfg_LastDataDate,NA(),Calc_Daily!$CZ234)</f>
        <v/>
      </c>
      <c r="E234">
        <f>Calc_Daily!$IX234</f>
        <v/>
      </c>
      <c r="F234">
        <f>IF($A234&gt;cfg_LastDataDate,NA(),Calc_Daily!$F234)</f>
        <v/>
      </c>
      <c r="G234">
        <f>IF($A234&gt;cfg_LastDataDate,NA(),Calc_Daily!$O234)</f>
        <v/>
      </c>
      <c r="H234">
        <f>IF($A234&gt;cfg_LastDataDate,NA(),Calc_Daily!$CS234)</f>
        <v/>
      </c>
      <c r="I234">
        <f>IF($A234&gt;cfg_LastDataDate,NA(),Calc_Daily!$CM234)</f>
        <v/>
      </c>
      <c r="J234">
        <f>IF($A234&gt;cfg_LastDataDate,NA(),Calc_Daily!$HF234)</f>
        <v/>
      </c>
      <c r="K234">
        <f>Calc_Daily!$IT234</f>
        <v/>
      </c>
    </row>
    <row r="235">
      <c r="A235" s="54">
        <f>Calc_Daily!$A235</f>
        <v/>
      </c>
      <c r="B235">
        <f>IF($A235&gt;cfg_LastDataDate,NA(),Calc_Daily!$BZ235)</f>
        <v/>
      </c>
      <c r="C235">
        <f>Calc_Daily!$IG235/Calc_Daily!$D235</f>
        <v/>
      </c>
      <c r="D235">
        <f>IF($A235&gt;cfg_LastDataDate,NA(),Calc_Daily!$CZ235)</f>
        <v/>
      </c>
      <c r="E235">
        <f>Calc_Daily!$IX235</f>
        <v/>
      </c>
      <c r="F235">
        <f>IF($A235&gt;cfg_LastDataDate,NA(),Calc_Daily!$F235)</f>
        <v/>
      </c>
      <c r="G235">
        <f>IF($A235&gt;cfg_LastDataDate,NA(),Calc_Daily!$O235)</f>
        <v/>
      </c>
      <c r="H235">
        <f>IF($A235&gt;cfg_LastDataDate,NA(),Calc_Daily!$CS235)</f>
        <v/>
      </c>
      <c r="I235">
        <f>IF($A235&gt;cfg_LastDataDate,NA(),Calc_Daily!$CM235)</f>
        <v/>
      </c>
      <c r="J235">
        <f>IF($A235&gt;cfg_LastDataDate,NA(),Calc_Daily!$HF235)</f>
        <v/>
      </c>
      <c r="K235">
        <f>Calc_Daily!$IT235</f>
        <v/>
      </c>
    </row>
    <row r="236">
      <c r="A236" s="54">
        <f>Calc_Daily!$A236</f>
        <v/>
      </c>
      <c r="B236">
        <f>IF($A236&gt;cfg_LastDataDate,NA(),Calc_Daily!$BZ236)</f>
        <v/>
      </c>
      <c r="C236">
        <f>Calc_Daily!$IG236/Calc_Daily!$D236</f>
        <v/>
      </c>
      <c r="D236">
        <f>IF($A236&gt;cfg_LastDataDate,NA(),Calc_Daily!$CZ236)</f>
        <v/>
      </c>
      <c r="E236">
        <f>Calc_Daily!$IX236</f>
        <v/>
      </c>
      <c r="F236">
        <f>IF($A236&gt;cfg_LastDataDate,NA(),Calc_Daily!$F236)</f>
        <v/>
      </c>
      <c r="G236">
        <f>IF($A236&gt;cfg_LastDataDate,NA(),Calc_Daily!$O236)</f>
        <v/>
      </c>
      <c r="H236">
        <f>IF($A236&gt;cfg_LastDataDate,NA(),Calc_Daily!$CS236)</f>
        <v/>
      </c>
      <c r="I236">
        <f>IF($A236&gt;cfg_LastDataDate,NA(),Calc_Daily!$CM236)</f>
        <v/>
      </c>
      <c r="J236">
        <f>IF($A236&gt;cfg_LastDataDate,NA(),Calc_Daily!$HF236)</f>
        <v/>
      </c>
      <c r="K236">
        <f>Calc_Daily!$IT236</f>
        <v/>
      </c>
    </row>
    <row r="237">
      <c r="A237" s="54">
        <f>Calc_Daily!$A237</f>
        <v/>
      </c>
      <c r="B237">
        <f>IF($A237&gt;cfg_LastDataDate,NA(),Calc_Daily!$BZ237)</f>
        <v/>
      </c>
      <c r="C237">
        <f>Calc_Daily!$IG237/Calc_Daily!$D237</f>
        <v/>
      </c>
      <c r="D237">
        <f>IF($A237&gt;cfg_LastDataDate,NA(),Calc_Daily!$CZ237)</f>
        <v/>
      </c>
      <c r="E237">
        <f>Calc_Daily!$IX237</f>
        <v/>
      </c>
      <c r="F237">
        <f>IF($A237&gt;cfg_LastDataDate,NA(),Calc_Daily!$F237)</f>
        <v/>
      </c>
      <c r="G237">
        <f>IF($A237&gt;cfg_LastDataDate,NA(),Calc_Daily!$O237)</f>
        <v/>
      </c>
      <c r="H237">
        <f>IF($A237&gt;cfg_LastDataDate,NA(),Calc_Daily!$CS237)</f>
        <v/>
      </c>
      <c r="I237">
        <f>IF($A237&gt;cfg_LastDataDate,NA(),Calc_Daily!$CM237)</f>
        <v/>
      </c>
      <c r="J237">
        <f>IF($A237&gt;cfg_LastDataDate,NA(),Calc_Daily!$HF237)</f>
        <v/>
      </c>
      <c r="K237">
        <f>Calc_Daily!$IT237</f>
        <v/>
      </c>
    </row>
    <row r="238">
      <c r="A238" s="54">
        <f>Calc_Daily!$A238</f>
        <v/>
      </c>
      <c r="B238">
        <f>IF($A238&gt;cfg_LastDataDate,NA(),Calc_Daily!$BZ238)</f>
        <v/>
      </c>
      <c r="C238">
        <f>Calc_Daily!$IG238/Calc_Daily!$D238</f>
        <v/>
      </c>
      <c r="D238">
        <f>IF($A238&gt;cfg_LastDataDate,NA(),Calc_Daily!$CZ238)</f>
        <v/>
      </c>
      <c r="E238">
        <f>Calc_Daily!$IX238</f>
        <v/>
      </c>
      <c r="F238">
        <f>IF($A238&gt;cfg_LastDataDate,NA(),Calc_Daily!$F238)</f>
        <v/>
      </c>
      <c r="G238">
        <f>IF($A238&gt;cfg_LastDataDate,NA(),Calc_Daily!$O238)</f>
        <v/>
      </c>
      <c r="H238">
        <f>IF($A238&gt;cfg_LastDataDate,NA(),Calc_Daily!$CS238)</f>
        <v/>
      </c>
      <c r="I238">
        <f>IF($A238&gt;cfg_LastDataDate,NA(),Calc_Daily!$CM238)</f>
        <v/>
      </c>
      <c r="J238">
        <f>IF($A238&gt;cfg_LastDataDate,NA(),Calc_Daily!$HF238)</f>
        <v/>
      </c>
      <c r="K238">
        <f>Calc_Daily!$IT238</f>
        <v/>
      </c>
    </row>
    <row r="239">
      <c r="A239" s="54">
        <f>Calc_Daily!$A239</f>
        <v/>
      </c>
      <c r="B239">
        <f>IF($A239&gt;cfg_LastDataDate,NA(),Calc_Daily!$BZ239)</f>
        <v/>
      </c>
      <c r="C239">
        <f>Calc_Daily!$IG239/Calc_Daily!$D239</f>
        <v/>
      </c>
      <c r="D239">
        <f>IF($A239&gt;cfg_LastDataDate,NA(),Calc_Daily!$CZ239)</f>
        <v/>
      </c>
      <c r="E239">
        <f>Calc_Daily!$IX239</f>
        <v/>
      </c>
      <c r="F239">
        <f>IF($A239&gt;cfg_LastDataDate,NA(),Calc_Daily!$F239)</f>
        <v/>
      </c>
      <c r="G239">
        <f>IF($A239&gt;cfg_LastDataDate,NA(),Calc_Daily!$O239)</f>
        <v/>
      </c>
      <c r="H239">
        <f>IF($A239&gt;cfg_LastDataDate,NA(),Calc_Daily!$CS239)</f>
        <v/>
      </c>
      <c r="I239">
        <f>IF($A239&gt;cfg_LastDataDate,NA(),Calc_Daily!$CM239)</f>
        <v/>
      </c>
      <c r="J239">
        <f>IF($A239&gt;cfg_LastDataDate,NA(),Calc_Daily!$HF239)</f>
        <v/>
      </c>
      <c r="K239">
        <f>Calc_Daily!$IT239</f>
        <v/>
      </c>
    </row>
    <row r="240">
      <c r="A240" s="54">
        <f>Calc_Daily!$A240</f>
        <v/>
      </c>
      <c r="B240">
        <f>IF($A240&gt;cfg_LastDataDate,NA(),Calc_Daily!$BZ240)</f>
        <v/>
      </c>
      <c r="C240">
        <f>Calc_Daily!$IG240/Calc_Daily!$D240</f>
        <v/>
      </c>
      <c r="D240">
        <f>IF($A240&gt;cfg_LastDataDate,NA(),Calc_Daily!$CZ240)</f>
        <v/>
      </c>
      <c r="E240">
        <f>Calc_Daily!$IX240</f>
        <v/>
      </c>
      <c r="F240">
        <f>IF($A240&gt;cfg_LastDataDate,NA(),Calc_Daily!$F240)</f>
        <v/>
      </c>
      <c r="G240">
        <f>IF($A240&gt;cfg_LastDataDate,NA(),Calc_Daily!$O240)</f>
        <v/>
      </c>
      <c r="H240">
        <f>IF($A240&gt;cfg_LastDataDate,NA(),Calc_Daily!$CS240)</f>
        <v/>
      </c>
      <c r="I240">
        <f>IF($A240&gt;cfg_LastDataDate,NA(),Calc_Daily!$CM240)</f>
        <v/>
      </c>
      <c r="J240">
        <f>IF($A240&gt;cfg_LastDataDate,NA(),Calc_Daily!$HF240)</f>
        <v/>
      </c>
      <c r="K240">
        <f>Calc_Daily!$IT240</f>
        <v/>
      </c>
    </row>
    <row r="241">
      <c r="A241" s="54">
        <f>Calc_Daily!$A241</f>
        <v/>
      </c>
      <c r="B241">
        <f>IF($A241&gt;cfg_LastDataDate,NA(),Calc_Daily!$BZ241)</f>
        <v/>
      </c>
      <c r="C241">
        <f>Calc_Daily!$IG241/Calc_Daily!$D241</f>
        <v/>
      </c>
      <c r="D241">
        <f>IF($A241&gt;cfg_LastDataDate,NA(),Calc_Daily!$CZ241)</f>
        <v/>
      </c>
      <c r="E241">
        <f>Calc_Daily!$IX241</f>
        <v/>
      </c>
      <c r="F241">
        <f>IF($A241&gt;cfg_LastDataDate,NA(),Calc_Daily!$F241)</f>
        <v/>
      </c>
      <c r="G241">
        <f>IF($A241&gt;cfg_LastDataDate,NA(),Calc_Daily!$O241)</f>
        <v/>
      </c>
      <c r="H241">
        <f>IF($A241&gt;cfg_LastDataDate,NA(),Calc_Daily!$CS241)</f>
        <v/>
      </c>
      <c r="I241">
        <f>IF($A241&gt;cfg_LastDataDate,NA(),Calc_Daily!$CM241)</f>
        <v/>
      </c>
      <c r="J241">
        <f>IF($A241&gt;cfg_LastDataDate,NA(),Calc_Daily!$HF241)</f>
        <v/>
      </c>
      <c r="K241">
        <f>Calc_Daily!$IT241</f>
        <v/>
      </c>
    </row>
    <row r="242">
      <c r="A242" s="54">
        <f>Calc_Daily!$A242</f>
        <v/>
      </c>
      <c r="B242">
        <f>IF($A242&gt;cfg_LastDataDate,NA(),Calc_Daily!$BZ242)</f>
        <v/>
      </c>
      <c r="C242">
        <f>Calc_Daily!$IG242/Calc_Daily!$D242</f>
        <v/>
      </c>
      <c r="D242">
        <f>IF($A242&gt;cfg_LastDataDate,NA(),Calc_Daily!$CZ242)</f>
        <v/>
      </c>
      <c r="E242">
        <f>Calc_Daily!$IX242</f>
        <v/>
      </c>
      <c r="F242">
        <f>IF($A242&gt;cfg_LastDataDate,NA(),Calc_Daily!$F242)</f>
        <v/>
      </c>
      <c r="G242">
        <f>IF($A242&gt;cfg_LastDataDate,NA(),Calc_Daily!$O242)</f>
        <v/>
      </c>
      <c r="H242">
        <f>IF($A242&gt;cfg_LastDataDate,NA(),Calc_Daily!$CS242)</f>
        <v/>
      </c>
      <c r="I242">
        <f>IF($A242&gt;cfg_LastDataDate,NA(),Calc_Daily!$CM242)</f>
        <v/>
      </c>
      <c r="J242">
        <f>IF($A242&gt;cfg_LastDataDate,NA(),Calc_Daily!$HF242)</f>
        <v/>
      </c>
      <c r="K242">
        <f>Calc_Daily!$IT242</f>
        <v/>
      </c>
    </row>
    <row r="243">
      <c r="A243" s="54">
        <f>Calc_Daily!$A243</f>
        <v/>
      </c>
      <c r="B243">
        <f>IF($A243&gt;cfg_LastDataDate,NA(),Calc_Daily!$BZ243)</f>
        <v/>
      </c>
      <c r="C243">
        <f>Calc_Daily!$IG243/Calc_Daily!$D243</f>
        <v/>
      </c>
      <c r="D243">
        <f>IF($A243&gt;cfg_LastDataDate,NA(),Calc_Daily!$CZ243)</f>
        <v/>
      </c>
      <c r="E243">
        <f>Calc_Daily!$IX243</f>
        <v/>
      </c>
      <c r="F243">
        <f>IF($A243&gt;cfg_LastDataDate,NA(),Calc_Daily!$F243)</f>
        <v/>
      </c>
      <c r="G243">
        <f>IF($A243&gt;cfg_LastDataDate,NA(),Calc_Daily!$O243)</f>
        <v/>
      </c>
      <c r="H243">
        <f>IF($A243&gt;cfg_LastDataDate,NA(),Calc_Daily!$CS243)</f>
        <v/>
      </c>
      <c r="I243">
        <f>IF($A243&gt;cfg_LastDataDate,NA(),Calc_Daily!$CM243)</f>
        <v/>
      </c>
      <c r="J243">
        <f>IF($A243&gt;cfg_LastDataDate,NA(),Calc_Daily!$HF243)</f>
        <v/>
      </c>
      <c r="K243">
        <f>Calc_Daily!$IT243</f>
        <v/>
      </c>
    </row>
    <row r="244">
      <c r="A244" s="54">
        <f>Calc_Daily!$A244</f>
        <v/>
      </c>
      <c r="B244">
        <f>IF($A244&gt;cfg_LastDataDate,NA(),Calc_Daily!$BZ244)</f>
        <v/>
      </c>
      <c r="C244">
        <f>Calc_Daily!$IG244/Calc_Daily!$D244</f>
        <v/>
      </c>
      <c r="D244">
        <f>IF($A244&gt;cfg_LastDataDate,NA(),Calc_Daily!$CZ244)</f>
        <v/>
      </c>
      <c r="E244">
        <f>Calc_Daily!$IX244</f>
        <v/>
      </c>
      <c r="F244">
        <f>IF($A244&gt;cfg_LastDataDate,NA(),Calc_Daily!$F244)</f>
        <v/>
      </c>
      <c r="G244">
        <f>IF($A244&gt;cfg_LastDataDate,NA(),Calc_Daily!$O244)</f>
        <v/>
      </c>
      <c r="H244">
        <f>IF($A244&gt;cfg_LastDataDate,NA(),Calc_Daily!$CS244)</f>
        <v/>
      </c>
      <c r="I244">
        <f>IF($A244&gt;cfg_LastDataDate,NA(),Calc_Daily!$CM244)</f>
        <v/>
      </c>
      <c r="J244">
        <f>IF($A244&gt;cfg_LastDataDate,NA(),Calc_Daily!$HF244)</f>
        <v/>
      </c>
      <c r="K244">
        <f>Calc_Daily!$IT244</f>
        <v/>
      </c>
    </row>
    <row r="245">
      <c r="A245" s="54">
        <f>Calc_Daily!$A245</f>
        <v/>
      </c>
      <c r="B245">
        <f>IF($A245&gt;cfg_LastDataDate,NA(),Calc_Daily!$BZ245)</f>
        <v/>
      </c>
      <c r="C245">
        <f>Calc_Daily!$IG245/Calc_Daily!$D245</f>
        <v/>
      </c>
      <c r="D245">
        <f>IF($A245&gt;cfg_LastDataDate,NA(),Calc_Daily!$CZ245)</f>
        <v/>
      </c>
      <c r="E245">
        <f>Calc_Daily!$IX245</f>
        <v/>
      </c>
      <c r="F245">
        <f>IF($A245&gt;cfg_LastDataDate,NA(),Calc_Daily!$F245)</f>
        <v/>
      </c>
      <c r="G245">
        <f>IF($A245&gt;cfg_LastDataDate,NA(),Calc_Daily!$O245)</f>
        <v/>
      </c>
      <c r="H245">
        <f>IF($A245&gt;cfg_LastDataDate,NA(),Calc_Daily!$CS245)</f>
        <v/>
      </c>
      <c r="I245">
        <f>IF($A245&gt;cfg_LastDataDate,NA(),Calc_Daily!$CM245)</f>
        <v/>
      </c>
      <c r="J245">
        <f>IF($A245&gt;cfg_LastDataDate,NA(),Calc_Daily!$HF245)</f>
        <v/>
      </c>
      <c r="K245">
        <f>Calc_Daily!$IT245</f>
        <v/>
      </c>
    </row>
    <row r="246">
      <c r="A246" s="54">
        <f>Calc_Daily!$A246</f>
        <v/>
      </c>
      <c r="B246">
        <f>IF($A246&gt;cfg_LastDataDate,NA(),Calc_Daily!$BZ246)</f>
        <v/>
      </c>
      <c r="C246">
        <f>Calc_Daily!$IG246/Calc_Daily!$D246</f>
        <v/>
      </c>
      <c r="D246">
        <f>IF($A246&gt;cfg_LastDataDate,NA(),Calc_Daily!$CZ246)</f>
        <v/>
      </c>
      <c r="E246">
        <f>Calc_Daily!$IX246</f>
        <v/>
      </c>
      <c r="F246">
        <f>IF($A246&gt;cfg_LastDataDate,NA(),Calc_Daily!$F246)</f>
        <v/>
      </c>
      <c r="G246">
        <f>IF($A246&gt;cfg_LastDataDate,NA(),Calc_Daily!$O246)</f>
        <v/>
      </c>
      <c r="H246">
        <f>IF($A246&gt;cfg_LastDataDate,NA(),Calc_Daily!$CS246)</f>
        <v/>
      </c>
      <c r="I246">
        <f>IF($A246&gt;cfg_LastDataDate,NA(),Calc_Daily!$CM246)</f>
        <v/>
      </c>
      <c r="J246">
        <f>IF($A246&gt;cfg_LastDataDate,NA(),Calc_Daily!$HF246)</f>
        <v/>
      </c>
      <c r="K246">
        <f>Calc_Daily!$IT246</f>
        <v/>
      </c>
    </row>
    <row r="247">
      <c r="A247" s="54">
        <f>Calc_Daily!$A247</f>
        <v/>
      </c>
      <c r="B247">
        <f>IF($A247&gt;cfg_LastDataDate,NA(),Calc_Daily!$BZ247)</f>
        <v/>
      </c>
      <c r="C247">
        <f>Calc_Daily!$IG247/Calc_Daily!$D247</f>
        <v/>
      </c>
      <c r="D247">
        <f>IF($A247&gt;cfg_LastDataDate,NA(),Calc_Daily!$CZ247)</f>
        <v/>
      </c>
      <c r="E247">
        <f>Calc_Daily!$IX247</f>
        <v/>
      </c>
      <c r="F247">
        <f>IF($A247&gt;cfg_LastDataDate,NA(),Calc_Daily!$F247)</f>
        <v/>
      </c>
      <c r="G247">
        <f>IF($A247&gt;cfg_LastDataDate,NA(),Calc_Daily!$O247)</f>
        <v/>
      </c>
      <c r="H247">
        <f>IF($A247&gt;cfg_LastDataDate,NA(),Calc_Daily!$CS247)</f>
        <v/>
      </c>
      <c r="I247">
        <f>IF($A247&gt;cfg_LastDataDate,NA(),Calc_Daily!$CM247)</f>
        <v/>
      </c>
      <c r="J247">
        <f>IF($A247&gt;cfg_LastDataDate,NA(),Calc_Daily!$HF247)</f>
        <v/>
      </c>
      <c r="K247">
        <f>Calc_Daily!$IT247</f>
        <v/>
      </c>
    </row>
    <row r="248">
      <c r="A248" s="54">
        <f>Calc_Daily!$A248</f>
        <v/>
      </c>
      <c r="B248">
        <f>IF($A248&gt;cfg_LastDataDate,NA(),Calc_Daily!$BZ248)</f>
        <v/>
      </c>
      <c r="C248">
        <f>Calc_Daily!$IG248/Calc_Daily!$D248</f>
        <v/>
      </c>
      <c r="D248">
        <f>IF($A248&gt;cfg_LastDataDate,NA(),Calc_Daily!$CZ248)</f>
        <v/>
      </c>
      <c r="E248">
        <f>Calc_Daily!$IX248</f>
        <v/>
      </c>
      <c r="F248">
        <f>IF($A248&gt;cfg_LastDataDate,NA(),Calc_Daily!$F248)</f>
        <v/>
      </c>
      <c r="G248">
        <f>IF($A248&gt;cfg_LastDataDate,NA(),Calc_Daily!$O248)</f>
        <v/>
      </c>
      <c r="H248">
        <f>IF($A248&gt;cfg_LastDataDate,NA(),Calc_Daily!$CS248)</f>
        <v/>
      </c>
      <c r="I248">
        <f>IF($A248&gt;cfg_LastDataDate,NA(),Calc_Daily!$CM248)</f>
        <v/>
      </c>
      <c r="J248">
        <f>IF($A248&gt;cfg_LastDataDate,NA(),Calc_Daily!$HF248)</f>
        <v/>
      </c>
      <c r="K248">
        <f>Calc_Daily!$IT248</f>
        <v/>
      </c>
    </row>
    <row r="249">
      <c r="A249" s="54">
        <f>Calc_Daily!$A249</f>
        <v/>
      </c>
      <c r="B249">
        <f>IF($A249&gt;cfg_LastDataDate,NA(),Calc_Daily!$BZ249)</f>
        <v/>
      </c>
      <c r="C249">
        <f>Calc_Daily!$IG249/Calc_Daily!$D249</f>
        <v/>
      </c>
      <c r="D249">
        <f>IF($A249&gt;cfg_LastDataDate,NA(),Calc_Daily!$CZ249)</f>
        <v/>
      </c>
      <c r="E249">
        <f>Calc_Daily!$IX249</f>
        <v/>
      </c>
      <c r="F249">
        <f>IF($A249&gt;cfg_LastDataDate,NA(),Calc_Daily!$F249)</f>
        <v/>
      </c>
      <c r="G249">
        <f>IF($A249&gt;cfg_LastDataDate,NA(),Calc_Daily!$O249)</f>
        <v/>
      </c>
      <c r="H249">
        <f>IF($A249&gt;cfg_LastDataDate,NA(),Calc_Daily!$CS249)</f>
        <v/>
      </c>
      <c r="I249">
        <f>IF($A249&gt;cfg_LastDataDate,NA(),Calc_Daily!$CM249)</f>
        <v/>
      </c>
      <c r="J249">
        <f>IF($A249&gt;cfg_LastDataDate,NA(),Calc_Daily!$HF249)</f>
        <v/>
      </c>
      <c r="K249">
        <f>Calc_Daily!$IT249</f>
        <v/>
      </c>
    </row>
    <row r="250">
      <c r="A250" s="54">
        <f>Calc_Daily!$A250</f>
        <v/>
      </c>
      <c r="B250">
        <f>IF($A250&gt;cfg_LastDataDate,NA(),Calc_Daily!$BZ250)</f>
        <v/>
      </c>
      <c r="C250">
        <f>Calc_Daily!$IG250/Calc_Daily!$D250</f>
        <v/>
      </c>
      <c r="D250">
        <f>IF($A250&gt;cfg_LastDataDate,NA(),Calc_Daily!$CZ250)</f>
        <v/>
      </c>
      <c r="E250">
        <f>Calc_Daily!$IX250</f>
        <v/>
      </c>
      <c r="F250">
        <f>IF($A250&gt;cfg_LastDataDate,NA(),Calc_Daily!$F250)</f>
        <v/>
      </c>
      <c r="G250">
        <f>IF($A250&gt;cfg_LastDataDate,NA(),Calc_Daily!$O250)</f>
        <v/>
      </c>
      <c r="H250">
        <f>IF($A250&gt;cfg_LastDataDate,NA(),Calc_Daily!$CS250)</f>
        <v/>
      </c>
      <c r="I250">
        <f>IF($A250&gt;cfg_LastDataDate,NA(),Calc_Daily!$CM250)</f>
        <v/>
      </c>
      <c r="J250">
        <f>IF($A250&gt;cfg_LastDataDate,NA(),Calc_Daily!$HF250)</f>
        <v/>
      </c>
      <c r="K250">
        <f>Calc_Daily!$IT250</f>
        <v/>
      </c>
    </row>
    <row r="251">
      <c r="A251" s="54">
        <f>Calc_Daily!$A251</f>
        <v/>
      </c>
      <c r="B251">
        <f>IF($A251&gt;cfg_LastDataDate,NA(),Calc_Daily!$BZ251)</f>
        <v/>
      </c>
      <c r="C251">
        <f>Calc_Daily!$IG251/Calc_Daily!$D251</f>
        <v/>
      </c>
      <c r="D251">
        <f>IF($A251&gt;cfg_LastDataDate,NA(),Calc_Daily!$CZ251)</f>
        <v/>
      </c>
      <c r="E251">
        <f>Calc_Daily!$IX251</f>
        <v/>
      </c>
      <c r="F251">
        <f>IF($A251&gt;cfg_LastDataDate,NA(),Calc_Daily!$F251)</f>
        <v/>
      </c>
      <c r="G251">
        <f>IF($A251&gt;cfg_LastDataDate,NA(),Calc_Daily!$O251)</f>
        <v/>
      </c>
      <c r="H251">
        <f>IF($A251&gt;cfg_LastDataDate,NA(),Calc_Daily!$CS251)</f>
        <v/>
      </c>
      <c r="I251">
        <f>IF($A251&gt;cfg_LastDataDate,NA(),Calc_Daily!$CM251)</f>
        <v/>
      </c>
      <c r="J251">
        <f>IF($A251&gt;cfg_LastDataDate,NA(),Calc_Daily!$HF251)</f>
        <v/>
      </c>
      <c r="K251">
        <f>Calc_Daily!$IT251</f>
        <v/>
      </c>
    </row>
    <row r="252">
      <c r="A252" s="54">
        <f>Calc_Daily!$A252</f>
        <v/>
      </c>
      <c r="B252">
        <f>IF($A252&gt;cfg_LastDataDate,NA(),Calc_Daily!$BZ252)</f>
        <v/>
      </c>
      <c r="C252">
        <f>Calc_Daily!$IG252/Calc_Daily!$D252</f>
        <v/>
      </c>
      <c r="D252">
        <f>IF($A252&gt;cfg_LastDataDate,NA(),Calc_Daily!$CZ252)</f>
        <v/>
      </c>
      <c r="E252">
        <f>Calc_Daily!$IX252</f>
        <v/>
      </c>
      <c r="F252">
        <f>IF($A252&gt;cfg_LastDataDate,NA(),Calc_Daily!$F252)</f>
        <v/>
      </c>
      <c r="G252">
        <f>IF($A252&gt;cfg_LastDataDate,NA(),Calc_Daily!$O252)</f>
        <v/>
      </c>
      <c r="H252">
        <f>IF($A252&gt;cfg_LastDataDate,NA(),Calc_Daily!$CS252)</f>
        <v/>
      </c>
      <c r="I252">
        <f>IF($A252&gt;cfg_LastDataDate,NA(),Calc_Daily!$CM252)</f>
        <v/>
      </c>
      <c r="J252">
        <f>IF($A252&gt;cfg_LastDataDate,NA(),Calc_Daily!$HF252)</f>
        <v/>
      </c>
      <c r="K252">
        <f>Calc_Daily!$IT252</f>
        <v/>
      </c>
    </row>
    <row r="253">
      <c r="A253" s="54">
        <f>Calc_Daily!$A253</f>
        <v/>
      </c>
      <c r="B253">
        <f>IF($A253&gt;cfg_LastDataDate,NA(),Calc_Daily!$BZ253)</f>
        <v/>
      </c>
      <c r="C253">
        <f>Calc_Daily!$IG253/Calc_Daily!$D253</f>
        <v/>
      </c>
      <c r="D253">
        <f>IF($A253&gt;cfg_LastDataDate,NA(),Calc_Daily!$CZ253)</f>
        <v/>
      </c>
      <c r="E253">
        <f>Calc_Daily!$IX253</f>
        <v/>
      </c>
      <c r="F253">
        <f>IF($A253&gt;cfg_LastDataDate,NA(),Calc_Daily!$F253)</f>
        <v/>
      </c>
      <c r="G253">
        <f>IF($A253&gt;cfg_LastDataDate,NA(),Calc_Daily!$O253)</f>
        <v/>
      </c>
      <c r="H253">
        <f>IF($A253&gt;cfg_LastDataDate,NA(),Calc_Daily!$CS253)</f>
        <v/>
      </c>
      <c r="I253">
        <f>IF($A253&gt;cfg_LastDataDate,NA(),Calc_Daily!$CM253)</f>
        <v/>
      </c>
      <c r="J253">
        <f>IF($A253&gt;cfg_LastDataDate,NA(),Calc_Daily!$HF253)</f>
        <v/>
      </c>
      <c r="K253">
        <f>Calc_Daily!$IT253</f>
        <v/>
      </c>
    </row>
    <row r="254">
      <c r="A254" s="54">
        <f>Calc_Daily!$A254</f>
        <v/>
      </c>
      <c r="B254">
        <f>IF($A254&gt;cfg_LastDataDate,NA(),Calc_Daily!$BZ254)</f>
        <v/>
      </c>
      <c r="C254">
        <f>Calc_Daily!$IG254/Calc_Daily!$D254</f>
        <v/>
      </c>
      <c r="D254">
        <f>IF($A254&gt;cfg_LastDataDate,NA(),Calc_Daily!$CZ254)</f>
        <v/>
      </c>
      <c r="E254">
        <f>Calc_Daily!$IX254</f>
        <v/>
      </c>
      <c r="F254">
        <f>IF($A254&gt;cfg_LastDataDate,NA(),Calc_Daily!$F254)</f>
        <v/>
      </c>
      <c r="G254">
        <f>IF($A254&gt;cfg_LastDataDate,NA(),Calc_Daily!$O254)</f>
        <v/>
      </c>
      <c r="H254">
        <f>IF($A254&gt;cfg_LastDataDate,NA(),Calc_Daily!$CS254)</f>
        <v/>
      </c>
      <c r="I254">
        <f>IF($A254&gt;cfg_LastDataDate,NA(),Calc_Daily!$CM254)</f>
        <v/>
      </c>
      <c r="J254">
        <f>IF($A254&gt;cfg_LastDataDate,NA(),Calc_Daily!$HF254)</f>
        <v/>
      </c>
      <c r="K254">
        <f>Calc_Daily!$IT254</f>
        <v/>
      </c>
    </row>
    <row r="255">
      <c r="A255" s="54">
        <f>Calc_Daily!$A255</f>
        <v/>
      </c>
      <c r="B255">
        <f>IF($A255&gt;cfg_LastDataDate,NA(),Calc_Daily!$BZ255)</f>
        <v/>
      </c>
      <c r="C255">
        <f>Calc_Daily!$IG255/Calc_Daily!$D255</f>
        <v/>
      </c>
      <c r="D255">
        <f>IF($A255&gt;cfg_LastDataDate,NA(),Calc_Daily!$CZ255)</f>
        <v/>
      </c>
      <c r="E255">
        <f>Calc_Daily!$IX255</f>
        <v/>
      </c>
      <c r="F255">
        <f>IF($A255&gt;cfg_LastDataDate,NA(),Calc_Daily!$F255)</f>
        <v/>
      </c>
      <c r="G255">
        <f>IF($A255&gt;cfg_LastDataDate,NA(),Calc_Daily!$O255)</f>
        <v/>
      </c>
      <c r="H255">
        <f>IF($A255&gt;cfg_LastDataDate,NA(),Calc_Daily!$CS255)</f>
        <v/>
      </c>
      <c r="I255">
        <f>IF($A255&gt;cfg_LastDataDate,NA(),Calc_Daily!$CM255)</f>
        <v/>
      </c>
      <c r="J255">
        <f>IF($A255&gt;cfg_LastDataDate,NA(),Calc_Daily!$HF255)</f>
        <v/>
      </c>
      <c r="K255">
        <f>Calc_Daily!$IT255</f>
        <v/>
      </c>
    </row>
    <row r="256">
      <c r="A256" s="54">
        <f>Calc_Daily!$A256</f>
        <v/>
      </c>
      <c r="B256">
        <f>IF($A256&gt;cfg_LastDataDate,NA(),Calc_Daily!$BZ256)</f>
        <v/>
      </c>
      <c r="C256">
        <f>Calc_Daily!$IG256/Calc_Daily!$D256</f>
        <v/>
      </c>
      <c r="D256">
        <f>IF($A256&gt;cfg_LastDataDate,NA(),Calc_Daily!$CZ256)</f>
        <v/>
      </c>
      <c r="E256">
        <f>Calc_Daily!$IX256</f>
        <v/>
      </c>
      <c r="F256">
        <f>IF($A256&gt;cfg_LastDataDate,NA(),Calc_Daily!$F256)</f>
        <v/>
      </c>
      <c r="G256">
        <f>IF($A256&gt;cfg_LastDataDate,NA(),Calc_Daily!$O256)</f>
        <v/>
      </c>
      <c r="H256">
        <f>IF($A256&gt;cfg_LastDataDate,NA(),Calc_Daily!$CS256)</f>
        <v/>
      </c>
      <c r="I256">
        <f>IF($A256&gt;cfg_LastDataDate,NA(),Calc_Daily!$CM256)</f>
        <v/>
      </c>
      <c r="J256">
        <f>IF($A256&gt;cfg_LastDataDate,NA(),Calc_Daily!$HF256)</f>
        <v/>
      </c>
      <c r="K256">
        <f>Calc_Daily!$IT256</f>
        <v/>
      </c>
    </row>
    <row r="257">
      <c r="A257" s="54">
        <f>Calc_Daily!$A257</f>
        <v/>
      </c>
      <c r="B257">
        <f>IF($A257&gt;cfg_LastDataDate,NA(),Calc_Daily!$BZ257)</f>
        <v/>
      </c>
      <c r="C257">
        <f>Calc_Daily!$IG257/Calc_Daily!$D257</f>
        <v/>
      </c>
      <c r="D257">
        <f>IF($A257&gt;cfg_LastDataDate,NA(),Calc_Daily!$CZ257)</f>
        <v/>
      </c>
      <c r="E257">
        <f>Calc_Daily!$IX257</f>
        <v/>
      </c>
      <c r="F257">
        <f>IF($A257&gt;cfg_LastDataDate,NA(),Calc_Daily!$F257)</f>
        <v/>
      </c>
      <c r="G257">
        <f>IF($A257&gt;cfg_LastDataDate,NA(),Calc_Daily!$O257)</f>
        <v/>
      </c>
      <c r="H257">
        <f>IF($A257&gt;cfg_LastDataDate,NA(),Calc_Daily!$CS257)</f>
        <v/>
      </c>
      <c r="I257">
        <f>IF($A257&gt;cfg_LastDataDate,NA(),Calc_Daily!$CM257)</f>
        <v/>
      </c>
      <c r="J257">
        <f>IF($A257&gt;cfg_LastDataDate,NA(),Calc_Daily!$HF257)</f>
        <v/>
      </c>
      <c r="K257">
        <f>Calc_Daily!$IT257</f>
        <v/>
      </c>
    </row>
    <row r="258">
      <c r="A258" s="54">
        <f>Calc_Daily!$A258</f>
        <v/>
      </c>
      <c r="B258">
        <f>IF($A258&gt;cfg_LastDataDate,NA(),Calc_Daily!$BZ258)</f>
        <v/>
      </c>
      <c r="C258">
        <f>Calc_Daily!$IG258/Calc_Daily!$D258</f>
        <v/>
      </c>
      <c r="D258">
        <f>IF($A258&gt;cfg_LastDataDate,NA(),Calc_Daily!$CZ258)</f>
        <v/>
      </c>
      <c r="E258">
        <f>Calc_Daily!$IX258</f>
        <v/>
      </c>
      <c r="F258">
        <f>IF($A258&gt;cfg_LastDataDate,NA(),Calc_Daily!$F258)</f>
        <v/>
      </c>
      <c r="G258">
        <f>IF($A258&gt;cfg_LastDataDate,NA(),Calc_Daily!$O258)</f>
        <v/>
      </c>
      <c r="H258">
        <f>IF($A258&gt;cfg_LastDataDate,NA(),Calc_Daily!$CS258)</f>
        <v/>
      </c>
      <c r="I258">
        <f>IF($A258&gt;cfg_LastDataDate,NA(),Calc_Daily!$CM258)</f>
        <v/>
      </c>
      <c r="J258">
        <f>IF($A258&gt;cfg_LastDataDate,NA(),Calc_Daily!$HF258)</f>
        <v/>
      </c>
      <c r="K258">
        <f>Calc_Daily!$IT258</f>
        <v/>
      </c>
    </row>
    <row r="259">
      <c r="A259" s="54">
        <f>Calc_Daily!$A259</f>
        <v/>
      </c>
      <c r="B259">
        <f>IF($A259&gt;cfg_LastDataDate,NA(),Calc_Daily!$BZ259)</f>
        <v/>
      </c>
      <c r="C259">
        <f>Calc_Daily!$IG259/Calc_Daily!$D259</f>
        <v/>
      </c>
      <c r="D259">
        <f>IF($A259&gt;cfg_LastDataDate,NA(),Calc_Daily!$CZ259)</f>
        <v/>
      </c>
      <c r="E259">
        <f>Calc_Daily!$IX259</f>
        <v/>
      </c>
      <c r="F259">
        <f>IF($A259&gt;cfg_LastDataDate,NA(),Calc_Daily!$F259)</f>
        <v/>
      </c>
      <c r="G259">
        <f>IF($A259&gt;cfg_LastDataDate,NA(),Calc_Daily!$O259)</f>
        <v/>
      </c>
      <c r="H259">
        <f>IF($A259&gt;cfg_LastDataDate,NA(),Calc_Daily!$CS259)</f>
        <v/>
      </c>
      <c r="I259">
        <f>IF($A259&gt;cfg_LastDataDate,NA(),Calc_Daily!$CM259)</f>
        <v/>
      </c>
      <c r="J259">
        <f>IF($A259&gt;cfg_LastDataDate,NA(),Calc_Daily!$HF259)</f>
        <v/>
      </c>
      <c r="K259">
        <f>Calc_Daily!$IT259</f>
        <v/>
      </c>
    </row>
    <row r="260">
      <c r="A260" s="54">
        <f>Calc_Daily!$A260</f>
        <v/>
      </c>
      <c r="B260">
        <f>IF($A260&gt;cfg_LastDataDate,NA(),Calc_Daily!$BZ260)</f>
        <v/>
      </c>
      <c r="C260">
        <f>Calc_Daily!$IG260/Calc_Daily!$D260</f>
        <v/>
      </c>
      <c r="D260">
        <f>IF($A260&gt;cfg_LastDataDate,NA(),Calc_Daily!$CZ260)</f>
        <v/>
      </c>
      <c r="E260">
        <f>Calc_Daily!$IX260</f>
        <v/>
      </c>
      <c r="F260">
        <f>IF($A260&gt;cfg_LastDataDate,NA(),Calc_Daily!$F260)</f>
        <v/>
      </c>
      <c r="G260">
        <f>IF($A260&gt;cfg_LastDataDate,NA(),Calc_Daily!$O260)</f>
        <v/>
      </c>
      <c r="H260">
        <f>IF($A260&gt;cfg_LastDataDate,NA(),Calc_Daily!$CS260)</f>
        <v/>
      </c>
      <c r="I260">
        <f>IF($A260&gt;cfg_LastDataDate,NA(),Calc_Daily!$CM260)</f>
        <v/>
      </c>
      <c r="J260">
        <f>IF($A260&gt;cfg_LastDataDate,NA(),Calc_Daily!$HF260)</f>
        <v/>
      </c>
      <c r="K260">
        <f>Calc_Daily!$IT260</f>
        <v/>
      </c>
    </row>
    <row r="261">
      <c r="A261" s="54">
        <f>Calc_Daily!$A261</f>
        <v/>
      </c>
      <c r="B261">
        <f>IF($A261&gt;cfg_LastDataDate,NA(),Calc_Daily!$BZ261)</f>
        <v/>
      </c>
      <c r="C261">
        <f>Calc_Daily!$IG261/Calc_Daily!$D261</f>
        <v/>
      </c>
      <c r="D261">
        <f>IF($A261&gt;cfg_LastDataDate,NA(),Calc_Daily!$CZ261)</f>
        <v/>
      </c>
      <c r="E261">
        <f>Calc_Daily!$IX261</f>
        <v/>
      </c>
      <c r="F261">
        <f>IF($A261&gt;cfg_LastDataDate,NA(),Calc_Daily!$F261)</f>
        <v/>
      </c>
      <c r="G261">
        <f>IF($A261&gt;cfg_LastDataDate,NA(),Calc_Daily!$O261)</f>
        <v/>
      </c>
      <c r="H261">
        <f>IF($A261&gt;cfg_LastDataDate,NA(),Calc_Daily!$CS261)</f>
        <v/>
      </c>
      <c r="I261">
        <f>IF($A261&gt;cfg_LastDataDate,NA(),Calc_Daily!$CM261)</f>
        <v/>
      </c>
      <c r="J261">
        <f>IF($A261&gt;cfg_LastDataDate,NA(),Calc_Daily!$HF261)</f>
        <v/>
      </c>
      <c r="K261">
        <f>Calc_Daily!$IT261</f>
        <v/>
      </c>
    </row>
    <row r="262">
      <c r="A262" s="54">
        <f>Calc_Daily!$A262</f>
        <v/>
      </c>
      <c r="B262">
        <f>IF($A262&gt;cfg_LastDataDate,NA(),Calc_Daily!$BZ262)</f>
        <v/>
      </c>
      <c r="C262">
        <f>Calc_Daily!$IG262/Calc_Daily!$D262</f>
        <v/>
      </c>
      <c r="D262">
        <f>IF($A262&gt;cfg_LastDataDate,NA(),Calc_Daily!$CZ262)</f>
        <v/>
      </c>
      <c r="E262">
        <f>Calc_Daily!$IX262</f>
        <v/>
      </c>
      <c r="F262">
        <f>IF($A262&gt;cfg_LastDataDate,NA(),Calc_Daily!$F262)</f>
        <v/>
      </c>
      <c r="G262">
        <f>IF($A262&gt;cfg_LastDataDate,NA(),Calc_Daily!$O262)</f>
        <v/>
      </c>
      <c r="H262">
        <f>IF($A262&gt;cfg_LastDataDate,NA(),Calc_Daily!$CS262)</f>
        <v/>
      </c>
      <c r="I262">
        <f>IF($A262&gt;cfg_LastDataDate,NA(),Calc_Daily!$CM262)</f>
        <v/>
      </c>
      <c r="J262">
        <f>IF($A262&gt;cfg_LastDataDate,NA(),Calc_Daily!$HF262)</f>
        <v/>
      </c>
      <c r="K262">
        <f>Calc_Daily!$IT262</f>
        <v/>
      </c>
    </row>
    <row r="263">
      <c r="A263" s="54">
        <f>Calc_Daily!$A263</f>
        <v/>
      </c>
      <c r="B263">
        <f>IF($A263&gt;cfg_LastDataDate,NA(),Calc_Daily!$BZ263)</f>
        <v/>
      </c>
      <c r="C263">
        <f>Calc_Daily!$IG263/Calc_Daily!$D263</f>
        <v/>
      </c>
      <c r="D263">
        <f>IF($A263&gt;cfg_LastDataDate,NA(),Calc_Daily!$CZ263)</f>
        <v/>
      </c>
      <c r="E263">
        <f>Calc_Daily!$IX263</f>
        <v/>
      </c>
      <c r="F263">
        <f>IF($A263&gt;cfg_LastDataDate,NA(),Calc_Daily!$F263)</f>
        <v/>
      </c>
      <c r="G263">
        <f>IF($A263&gt;cfg_LastDataDate,NA(),Calc_Daily!$O263)</f>
        <v/>
      </c>
      <c r="H263">
        <f>IF($A263&gt;cfg_LastDataDate,NA(),Calc_Daily!$CS263)</f>
        <v/>
      </c>
      <c r="I263">
        <f>IF($A263&gt;cfg_LastDataDate,NA(),Calc_Daily!$CM263)</f>
        <v/>
      </c>
      <c r="J263">
        <f>IF($A263&gt;cfg_LastDataDate,NA(),Calc_Daily!$HF263)</f>
        <v/>
      </c>
      <c r="K263">
        <f>Calc_Daily!$IT263</f>
        <v/>
      </c>
    </row>
    <row r="264">
      <c r="A264" s="54">
        <f>Calc_Daily!$A264</f>
        <v/>
      </c>
      <c r="B264">
        <f>IF($A264&gt;cfg_LastDataDate,NA(),Calc_Daily!$BZ264)</f>
        <v/>
      </c>
      <c r="C264">
        <f>Calc_Daily!$IG264/Calc_Daily!$D264</f>
        <v/>
      </c>
      <c r="D264">
        <f>IF($A264&gt;cfg_LastDataDate,NA(),Calc_Daily!$CZ264)</f>
        <v/>
      </c>
      <c r="E264">
        <f>Calc_Daily!$IX264</f>
        <v/>
      </c>
      <c r="F264">
        <f>IF($A264&gt;cfg_LastDataDate,NA(),Calc_Daily!$F264)</f>
        <v/>
      </c>
      <c r="G264">
        <f>IF($A264&gt;cfg_LastDataDate,NA(),Calc_Daily!$O264)</f>
        <v/>
      </c>
      <c r="H264">
        <f>IF($A264&gt;cfg_LastDataDate,NA(),Calc_Daily!$CS264)</f>
        <v/>
      </c>
      <c r="I264">
        <f>IF($A264&gt;cfg_LastDataDate,NA(),Calc_Daily!$CM264)</f>
        <v/>
      </c>
      <c r="J264">
        <f>IF($A264&gt;cfg_LastDataDate,NA(),Calc_Daily!$HF264)</f>
        <v/>
      </c>
      <c r="K264">
        <f>Calc_Daily!$IT264</f>
        <v/>
      </c>
    </row>
    <row r="265">
      <c r="A265" s="54">
        <f>Calc_Daily!$A265</f>
        <v/>
      </c>
      <c r="B265">
        <f>IF($A265&gt;cfg_LastDataDate,NA(),Calc_Daily!$BZ265)</f>
        <v/>
      </c>
      <c r="C265">
        <f>Calc_Daily!$IG265/Calc_Daily!$D265</f>
        <v/>
      </c>
      <c r="D265">
        <f>IF($A265&gt;cfg_LastDataDate,NA(),Calc_Daily!$CZ265)</f>
        <v/>
      </c>
      <c r="E265">
        <f>Calc_Daily!$IX265</f>
        <v/>
      </c>
      <c r="F265">
        <f>IF($A265&gt;cfg_LastDataDate,NA(),Calc_Daily!$F265)</f>
        <v/>
      </c>
      <c r="G265">
        <f>IF($A265&gt;cfg_LastDataDate,NA(),Calc_Daily!$O265)</f>
        <v/>
      </c>
      <c r="H265">
        <f>IF($A265&gt;cfg_LastDataDate,NA(),Calc_Daily!$CS265)</f>
        <v/>
      </c>
      <c r="I265">
        <f>IF($A265&gt;cfg_LastDataDate,NA(),Calc_Daily!$CM265)</f>
        <v/>
      </c>
      <c r="J265">
        <f>IF($A265&gt;cfg_LastDataDate,NA(),Calc_Daily!$HF265)</f>
        <v/>
      </c>
      <c r="K265">
        <f>Calc_Daily!$IT265</f>
        <v/>
      </c>
    </row>
    <row r="266">
      <c r="A266" s="54">
        <f>Calc_Daily!$A266</f>
        <v/>
      </c>
      <c r="B266">
        <f>IF($A266&gt;cfg_LastDataDate,NA(),Calc_Daily!$BZ266)</f>
        <v/>
      </c>
      <c r="C266">
        <f>Calc_Daily!$IG266/Calc_Daily!$D266</f>
        <v/>
      </c>
      <c r="D266">
        <f>IF($A266&gt;cfg_LastDataDate,NA(),Calc_Daily!$CZ266)</f>
        <v/>
      </c>
      <c r="E266">
        <f>Calc_Daily!$IX266</f>
        <v/>
      </c>
      <c r="F266">
        <f>IF($A266&gt;cfg_LastDataDate,NA(),Calc_Daily!$F266)</f>
        <v/>
      </c>
      <c r="G266">
        <f>IF($A266&gt;cfg_LastDataDate,NA(),Calc_Daily!$O266)</f>
        <v/>
      </c>
      <c r="H266">
        <f>IF($A266&gt;cfg_LastDataDate,NA(),Calc_Daily!$CS266)</f>
        <v/>
      </c>
      <c r="I266">
        <f>IF($A266&gt;cfg_LastDataDate,NA(),Calc_Daily!$CM266)</f>
        <v/>
      </c>
      <c r="J266">
        <f>IF($A266&gt;cfg_LastDataDate,NA(),Calc_Daily!$HF266)</f>
        <v/>
      </c>
      <c r="K266">
        <f>Calc_Daily!$IT266</f>
        <v/>
      </c>
    </row>
    <row r="267">
      <c r="A267" s="54">
        <f>Calc_Daily!$A267</f>
        <v/>
      </c>
      <c r="B267">
        <f>IF($A267&gt;cfg_LastDataDate,NA(),Calc_Daily!$BZ267)</f>
        <v/>
      </c>
      <c r="C267">
        <f>Calc_Daily!$IG267/Calc_Daily!$D267</f>
        <v/>
      </c>
      <c r="D267">
        <f>IF($A267&gt;cfg_LastDataDate,NA(),Calc_Daily!$CZ267)</f>
        <v/>
      </c>
      <c r="E267">
        <f>Calc_Daily!$IX267</f>
        <v/>
      </c>
      <c r="F267">
        <f>IF($A267&gt;cfg_LastDataDate,NA(),Calc_Daily!$F267)</f>
        <v/>
      </c>
      <c r="G267">
        <f>IF($A267&gt;cfg_LastDataDate,NA(),Calc_Daily!$O267)</f>
        <v/>
      </c>
      <c r="H267">
        <f>IF($A267&gt;cfg_LastDataDate,NA(),Calc_Daily!$CS267)</f>
        <v/>
      </c>
      <c r="I267">
        <f>IF($A267&gt;cfg_LastDataDate,NA(),Calc_Daily!$CM267)</f>
        <v/>
      </c>
      <c r="J267">
        <f>IF($A267&gt;cfg_LastDataDate,NA(),Calc_Daily!$HF267)</f>
        <v/>
      </c>
      <c r="K267">
        <f>Calc_Daily!$IT267</f>
        <v/>
      </c>
    </row>
    <row r="268">
      <c r="A268" s="54">
        <f>Calc_Daily!$A268</f>
        <v/>
      </c>
      <c r="B268">
        <f>IF($A268&gt;cfg_LastDataDate,NA(),Calc_Daily!$BZ268)</f>
        <v/>
      </c>
      <c r="C268">
        <f>Calc_Daily!$IG268/Calc_Daily!$D268</f>
        <v/>
      </c>
      <c r="D268">
        <f>IF($A268&gt;cfg_LastDataDate,NA(),Calc_Daily!$CZ268)</f>
        <v/>
      </c>
      <c r="E268">
        <f>Calc_Daily!$IX268</f>
        <v/>
      </c>
      <c r="F268">
        <f>IF($A268&gt;cfg_LastDataDate,NA(),Calc_Daily!$F268)</f>
        <v/>
      </c>
      <c r="G268">
        <f>IF($A268&gt;cfg_LastDataDate,NA(),Calc_Daily!$O268)</f>
        <v/>
      </c>
      <c r="H268">
        <f>IF($A268&gt;cfg_LastDataDate,NA(),Calc_Daily!$CS268)</f>
        <v/>
      </c>
      <c r="I268">
        <f>IF($A268&gt;cfg_LastDataDate,NA(),Calc_Daily!$CM268)</f>
        <v/>
      </c>
      <c r="J268">
        <f>IF($A268&gt;cfg_LastDataDate,NA(),Calc_Daily!$HF268)</f>
        <v/>
      </c>
      <c r="K268">
        <f>Calc_Daily!$IT268</f>
        <v/>
      </c>
    </row>
    <row r="269">
      <c r="A269" s="54">
        <f>Calc_Daily!$A269</f>
        <v/>
      </c>
      <c r="B269">
        <f>IF($A269&gt;cfg_LastDataDate,NA(),Calc_Daily!$BZ269)</f>
        <v/>
      </c>
      <c r="C269">
        <f>Calc_Daily!$IG269/Calc_Daily!$D269</f>
        <v/>
      </c>
      <c r="D269">
        <f>IF($A269&gt;cfg_LastDataDate,NA(),Calc_Daily!$CZ269)</f>
        <v/>
      </c>
      <c r="E269">
        <f>Calc_Daily!$IX269</f>
        <v/>
      </c>
      <c r="F269">
        <f>IF($A269&gt;cfg_LastDataDate,NA(),Calc_Daily!$F269)</f>
        <v/>
      </c>
      <c r="G269">
        <f>IF($A269&gt;cfg_LastDataDate,NA(),Calc_Daily!$O269)</f>
        <v/>
      </c>
      <c r="H269">
        <f>IF($A269&gt;cfg_LastDataDate,NA(),Calc_Daily!$CS269)</f>
        <v/>
      </c>
      <c r="I269">
        <f>IF($A269&gt;cfg_LastDataDate,NA(),Calc_Daily!$CM269)</f>
        <v/>
      </c>
      <c r="J269">
        <f>IF($A269&gt;cfg_LastDataDate,NA(),Calc_Daily!$HF269)</f>
        <v/>
      </c>
      <c r="K269">
        <f>Calc_Daily!$IT269</f>
        <v/>
      </c>
    </row>
    <row r="270">
      <c r="A270" s="54">
        <f>Calc_Daily!$A270</f>
        <v/>
      </c>
      <c r="B270">
        <f>IF($A270&gt;cfg_LastDataDate,NA(),Calc_Daily!$BZ270)</f>
        <v/>
      </c>
      <c r="C270">
        <f>Calc_Daily!$IG270/Calc_Daily!$D270</f>
        <v/>
      </c>
      <c r="D270">
        <f>IF($A270&gt;cfg_LastDataDate,NA(),Calc_Daily!$CZ270)</f>
        <v/>
      </c>
      <c r="E270">
        <f>Calc_Daily!$IX270</f>
        <v/>
      </c>
      <c r="F270">
        <f>IF($A270&gt;cfg_LastDataDate,NA(),Calc_Daily!$F270)</f>
        <v/>
      </c>
      <c r="G270">
        <f>IF($A270&gt;cfg_LastDataDate,NA(),Calc_Daily!$O270)</f>
        <v/>
      </c>
      <c r="H270">
        <f>IF($A270&gt;cfg_LastDataDate,NA(),Calc_Daily!$CS270)</f>
        <v/>
      </c>
      <c r="I270">
        <f>IF($A270&gt;cfg_LastDataDate,NA(),Calc_Daily!$CM270)</f>
        <v/>
      </c>
      <c r="J270">
        <f>IF($A270&gt;cfg_LastDataDate,NA(),Calc_Daily!$HF270)</f>
        <v/>
      </c>
      <c r="K270">
        <f>Calc_Daily!$IT270</f>
        <v/>
      </c>
    </row>
    <row r="271">
      <c r="A271" s="54">
        <f>Calc_Daily!$A271</f>
        <v/>
      </c>
      <c r="B271">
        <f>IF($A271&gt;cfg_LastDataDate,NA(),Calc_Daily!$BZ271)</f>
        <v/>
      </c>
      <c r="C271">
        <f>Calc_Daily!$IG271/Calc_Daily!$D271</f>
        <v/>
      </c>
      <c r="D271">
        <f>IF($A271&gt;cfg_LastDataDate,NA(),Calc_Daily!$CZ271)</f>
        <v/>
      </c>
      <c r="E271">
        <f>Calc_Daily!$IX271</f>
        <v/>
      </c>
      <c r="F271">
        <f>IF($A271&gt;cfg_LastDataDate,NA(),Calc_Daily!$F271)</f>
        <v/>
      </c>
      <c r="G271">
        <f>IF($A271&gt;cfg_LastDataDate,NA(),Calc_Daily!$O271)</f>
        <v/>
      </c>
      <c r="H271">
        <f>IF($A271&gt;cfg_LastDataDate,NA(),Calc_Daily!$CS271)</f>
        <v/>
      </c>
      <c r="I271">
        <f>IF($A271&gt;cfg_LastDataDate,NA(),Calc_Daily!$CM271)</f>
        <v/>
      </c>
      <c r="J271">
        <f>IF($A271&gt;cfg_LastDataDate,NA(),Calc_Daily!$HF271)</f>
        <v/>
      </c>
      <c r="K271">
        <f>Calc_Daily!$IT271</f>
        <v/>
      </c>
    </row>
    <row r="272">
      <c r="A272" s="54">
        <f>Calc_Daily!$A272</f>
        <v/>
      </c>
      <c r="B272">
        <f>IF($A272&gt;cfg_LastDataDate,NA(),Calc_Daily!$BZ272)</f>
        <v/>
      </c>
      <c r="C272">
        <f>Calc_Daily!$IG272/Calc_Daily!$D272</f>
        <v/>
      </c>
      <c r="D272">
        <f>IF($A272&gt;cfg_LastDataDate,NA(),Calc_Daily!$CZ272)</f>
        <v/>
      </c>
      <c r="E272">
        <f>Calc_Daily!$IX272</f>
        <v/>
      </c>
      <c r="F272">
        <f>IF($A272&gt;cfg_LastDataDate,NA(),Calc_Daily!$F272)</f>
        <v/>
      </c>
      <c r="G272">
        <f>IF($A272&gt;cfg_LastDataDate,NA(),Calc_Daily!$O272)</f>
        <v/>
      </c>
      <c r="H272">
        <f>IF($A272&gt;cfg_LastDataDate,NA(),Calc_Daily!$CS272)</f>
        <v/>
      </c>
      <c r="I272">
        <f>IF($A272&gt;cfg_LastDataDate,NA(),Calc_Daily!$CM272)</f>
        <v/>
      </c>
      <c r="J272">
        <f>IF($A272&gt;cfg_LastDataDate,NA(),Calc_Daily!$HF272)</f>
        <v/>
      </c>
      <c r="K272">
        <f>Calc_Daily!$IT272</f>
        <v/>
      </c>
    </row>
    <row r="273">
      <c r="A273" s="54">
        <f>Calc_Daily!$A273</f>
        <v/>
      </c>
      <c r="B273">
        <f>IF($A273&gt;cfg_LastDataDate,NA(),Calc_Daily!$BZ273)</f>
        <v/>
      </c>
      <c r="C273">
        <f>Calc_Daily!$IG273/Calc_Daily!$D273</f>
        <v/>
      </c>
      <c r="D273">
        <f>IF($A273&gt;cfg_LastDataDate,NA(),Calc_Daily!$CZ273)</f>
        <v/>
      </c>
      <c r="E273">
        <f>Calc_Daily!$IX273</f>
        <v/>
      </c>
      <c r="F273">
        <f>IF($A273&gt;cfg_LastDataDate,NA(),Calc_Daily!$F273)</f>
        <v/>
      </c>
      <c r="G273">
        <f>IF($A273&gt;cfg_LastDataDate,NA(),Calc_Daily!$O273)</f>
        <v/>
      </c>
      <c r="H273">
        <f>IF($A273&gt;cfg_LastDataDate,NA(),Calc_Daily!$CS273)</f>
        <v/>
      </c>
      <c r="I273">
        <f>IF($A273&gt;cfg_LastDataDate,NA(),Calc_Daily!$CM273)</f>
        <v/>
      </c>
      <c r="J273">
        <f>IF($A273&gt;cfg_LastDataDate,NA(),Calc_Daily!$HF273)</f>
        <v/>
      </c>
      <c r="K273">
        <f>Calc_Daily!$IT273</f>
        <v/>
      </c>
    </row>
    <row r="274">
      <c r="A274" s="54">
        <f>Calc_Daily!$A274</f>
        <v/>
      </c>
      <c r="B274">
        <f>IF($A274&gt;cfg_LastDataDate,NA(),Calc_Daily!$BZ274)</f>
        <v/>
      </c>
      <c r="C274">
        <f>Calc_Daily!$IG274/Calc_Daily!$D274</f>
        <v/>
      </c>
      <c r="D274">
        <f>IF($A274&gt;cfg_LastDataDate,NA(),Calc_Daily!$CZ274)</f>
        <v/>
      </c>
      <c r="E274">
        <f>Calc_Daily!$IX274</f>
        <v/>
      </c>
      <c r="F274">
        <f>IF($A274&gt;cfg_LastDataDate,NA(),Calc_Daily!$F274)</f>
        <v/>
      </c>
      <c r="G274">
        <f>IF($A274&gt;cfg_LastDataDate,NA(),Calc_Daily!$O274)</f>
        <v/>
      </c>
      <c r="H274">
        <f>IF($A274&gt;cfg_LastDataDate,NA(),Calc_Daily!$CS274)</f>
        <v/>
      </c>
      <c r="I274">
        <f>IF($A274&gt;cfg_LastDataDate,NA(),Calc_Daily!$CM274)</f>
        <v/>
      </c>
      <c r="J274">
        <f>IF($A274&gt;cfg_LastDataDate,NA(),Calc_Daily!$HF274)</f>
        <v/>
      </c>
      <c r="K274">
        <f>Calc_Daily!$IT274</f>
        <v/>
      </c>
    </row>
    <row r="275">
      <c r="A275" s="54">
        <f>Calc_Daily!$A275</f>
        <v/>
      </c>
      <c r="B275">
        <f>IF($A275&gt;cfg_LastDataDate,NA(),Calc_Daily!$BZ275)</f>
        <v/>
      </c>
      <c r="C275">
        <f>Calc_Daily!$IG275/Calc_Daily!$D275</f>
        <v/>
      </c>
      <c r="D275">
        <f>IF($A275&gt;cfg_LastDataDate,NA(),Calc_Daily!$CZ275)</f>
        <v/>
      </c>
      <c r="E275">
        <f>Calc_Daily!$IX275</f>
        <v/>
      </c>
      <c r="F275">
        <f>IF($A275&gt;cfg_LastDataDate,NA(),Calc_Daily!$F275)</f>
        <v/>
      </c>
      <c r="G275">
        <f>IF($A275&gt;cfg_LastDataDate,NA(),Calc_Daily!$O275)</f>
        <v/>
      </c>
      <c r="H275">
        <f>IF($A275&gt;cfg_LastDataDate,NA(),Calc_Daily!$CS275)</f>
        <v/>
      </c>
      <c r="I275">
        <f>IF($A275&gt;cfg_LastDataDate,NA(),Calc_Daily!$CM275)</f>
        <v/>
      </c>
      <c r="J275">
        <f>IF($A275&gt;cfg_LastDataDate,NA(),Calc_Daily!$HF275)</f>
        <v/>
      </c>
      <c r="K275">
        <f>Calc_Daily!$IT275</f>
        <v/>
      </c>
    </row>
    <row r="276">
      <c r="A276" s="54">
        <f>Calc_Daily!$A276</f>
        <v/>
      </c>
      <c r="B276">
        <f>IF($A276&gt;cfg_LastDataDate,NA(),Calc_Daily!$BZ276)</f>
        <v/>
      </c>
      <c r="C276">
        <f>Calc_Daily!$IG276/Calc_Daily!$D276</f>
        <v/>
      </c>
      <c r="D276">
        <f>IF($A276&gt;cfg_LastDataDate,NA(),Calc_Daily!$CZ276)</f>
        <v/>
      </c>
      <c r="E276">
        <f>Calc_Daily!$IX276</f>
        <v/>
      </c>
      <c r="F276">
        <f>IF($A276&gt;cfg_LastDataDate,NA(),Calc_Daily!$F276)</f>
        <v/>
      </c>
      <c r="G276">
        <f>IF($A276&gt;cfg_LastDataDate,NA(),Calc_Daily!$O276)</f>
        <v/>
      </c>
      <c r="H276">
        <f>IF($A276&gt;cfg_LastDataDate,NA(),Calc_Daily!$CS276)</f>
        <v/>
      </c>
      <c r="I276">
        <f>IF($A276&gt;cfg_LastDataDate,NA(),Calc_Daily!$CM276)</f>
        <v/>
      </c>
      <c r="J276">
        <f>IF($A276&gt;cfg_LastDataDate,NA(),Calc_Daily!$HF276)</f>
        <v/>
      </c>
      <c r="K276">
        <f>Calc_Daily!$IT276</f>
        <v/>
      </c>
    </row>
    <row r="277">
      <c r="A277" s="54">
        <f>Calc_Daily!$A277</f>
        <v/>
      </c>
      <c r="B277">
        <f>IF($A277&gt;cfg_LastDataDate,NA(),Calc_Daily!$BZ277)</f>
        <v/>
      </c>
      <c r="C277">
        <f>Calc_Daily!$IG277/Calc_Daily!$D277</f>
        <v/>
      </c>
      <c r="D277">
        <f>IF($A277&gt;cfg_LastDataDate,NA(),Calc_Daily!$CZ277)</f>
        <v/>
      </c>
      <c r="E277">
        <f>Calc_Daily!$IX277</f>
        <v/>
      </c>
      <c r="F277">
        <f>IF($A277&gt;cfg_LastDataDate,NA(),Calc_Daily!$F277)</f>
        <v/>
      </c>
      <c r="G277">
        <f>IF($A277&gt;cfg_LastDataDate,NA(),Calc_Daily!$O277)</f>
        <v/>
      </c>
      <c r="H277">
        <f>IF($A277&gt;cfg_LastDataDate,NA(),Calc_Daily!$CS277)</f>
        <v/>
      </c>
      <c r="I277">
        <f>IF($A277&gt;cfg_LastDataDate,NA(),Calc_Daily!$CM277)</f>
        <v/>
      </c>
      <c r="J277">
        <f>IF($A277&gt;cfg_LastDataDate,NA(),Calc_Daily!$HF277)</f>
        <v/>
      </c>
      <c r="K277">
        <f>Calc_Daily!$IT277</f>
        <v/>
      </c>
    </row>
    <row r="278">
      <c r="A278" s="54">
        <f>Calc_Daily!$A278</f>
        <v/>
      </c>
      <c r="B278">
        <f>IF($A278&gt;cfg_LastDataDate,NA(),Calc_Daily!$BZ278)</f>
        <v/>
      </c>
      <c r="C278">
        <f>Calc_Daily!$IG278/Calc_Daily!$D278</f>
        <v/>
      </c>
      <c r="D278">
        <f>IF($A278&gt;cfg_LastDataDate,NA(),Calc_Daily!$CZ278)</f>
        <v/>
      </c>
      <c r="E278">
        <f>Calc_Daily!$IX278</f>
        <v/>
      </c>
      <c r="F278">
        <f>IF($A278&gt;cfg_LastDataDate,NA(),Calc_Daily!$F278)</f>
        <v/>
      </c>
      <c r="G278">
        <f>IF($A278&gt;cfg_LastDataDate,NA(),Calc_Daily!$O278)</f>
        <v/>
      </c>
      <c r="H278">
        <f>IF($A278&gt;cfg_LastDataDate,NA(),Calc_Daily!$CS278)</f>
        <v/>
      </c>
      <c r="I278">
        <f>IF($A278&gt;cfg_LastDataDate,NA(),Calc_Daily!$CM278)</f>
        <v/>
      </c>
      <c r="J278">
        <f>IF($A278&gt;cfg_LastDataDate,NA(),Calc_Daily!$HF278)</f>
        <v/>
      </c>
      <c r="K278">
        <f>Calc_Daily!$IT278</f>
        <v/>
      </c>
    </row>
    <row r="279">
      <c r="A279" s="54">
        <f>Calc_Daily!$A279</f>
        <v/>
      </c>
      <c r="B279">
        <f>IF($A279&gt;cfg_LastDataDate,NA(),Calc_Daily!$BZ279)</f>
        <v/>
      </c>
      <c r="C279">
        <f>Calc_Daily!$IG279/Calc_Daily!$D279</f>
        <v/>
      </c>
      <c r="D279">
        <f>IF($A279&gt;cfg_LastDataDate,NA(),Calc_Daily!$CZ279)</f>
        <v/>
      </c>
      <c r="E279">
        <f>Calc_Daily!$IX279</f>
        <v/>
      </c>
      <c r="F279">
        <f>IF($A279&gt;cfg_LastDataDate,NA(),Calc_Daily!$F279)</f>
        <v/>
      </c>
      <c r="G279">
        <f>IF($A279&gt;cfg_LastDataDate,NA(),Calc_Daily!$O279)</f>
        <v/>
      </c>
      <c r="H279">
        <f>IF($A279&gt;cfg_LastDataDate,NA(),Calc_Daily!$CS279)</f>
        <v/>
      </c>
      <c r="I279">
        <f>IF($A279&gt;cfg_LastDataDate,NA(),Calc_Daily!$CM279)</f>
        <v/>
      </c>
      <c r="J279">
        <f>IF($A279&gt;cfg_LastDataDate,NA(),Calc_Daily!$HF279)</f>
        <v/>
      </c>
      <c r="K279">
        <f>Calc_Daily!$IT279</f>
        <v/>
      </c>
    </row>
    <row r="280">
      <c r="A280" s="54">
        <f>Calc_Daily!$A280</f>
        <v/>
      </c>
      <c r="B280">
        <f>IF($A280&gt;cfg_LastDataDate,NA(),Calc_Daily!$BZ280)</f>
        <v/>
      </c>
      <c r="C280">
        <f>Calc_Daily!$IG280/Calc_Daily!$D280</f>
        <v/>
      </c>
      <c r="D280">
        <f>IF($A280&gt;cfg_LastDataDate,NA(),Calc_Daily!$CZ280)</f>
        <v/>
      </c>
      <c r="E280">
        <f>Calc_Daily!$IX280</f>
        <v/>
      </c>
      <c r="F280">
        <f>IF($A280&gt;cfg_LastDataDate,NA(),Calc_Daily!$F280)</f>
        <v/>
      </c>
      <c r="G280">
        <f>IF($A280&gt;cfg_LastDataDate,NA(),Calc_Daily!$O280)</f>
        <v/>
      </c>
      <c r="H280">
        <f>IF($A280&gt;cfg_LastDataDate,NA(),Calc_Daily!$CS280)</f>
        <v/>
      </c>
      <c r="I280">
        <f>IF($A280&gt;cfg_LastDataDate,NA(),Calc_Daily!$CM280)</f>
        <v/>
      </c>
      <c r="J280">
        <f>IF($A280&gt;cfg_LastDataDate,NA(),Calc_Daily!$HF280)</f>
        <v/>
      </c>
      <c r="K280">
        <f>Calc_Daily!$IT280</f>
        <v/>
      </c>
    </row>
    <row r="281">
      <c r="A281" s="54">
        <f>Calc_Daily!$A281</f>
        <v/>
      </c>
      <c r="B281">
        <f>IF($A281&gt;cfg_LastDataDate,NA(),Calc_Daily!$BZ281)</f>
        <v/>
      </c>
      <c r="C281">
        <f>Calc_Daily!$IG281/Calc_Daily!$D281</f>
        <v/>
      </c>
      <c r="D281">
        <f>IF($A281&gt;cfg_LastDataDate,NA(),Calc_Daily!$CZ281)</f>
        <v/>
      </c>
      <c r="E281">
        <f>Calc_Daily!$IX281</f>
        <v/>
      </c>
      <c r="F281">
        <f>IF($A281&gt;cfg_LastDataDate,NA(),Calc_Daily!$F281)</f>
        <v/>
      </c>
      <c r="G281">
        <f>IF($A281&gt;cfg_LastDataDate,NA(),Calc_Daily!$O281)</f>
        <v/>
      </c>
      <c r="H281">
        <f>IF($A281&gt;cfg_LastDataDate,NA(),Calc_Daily!$CS281)</f>
        <v/>
      </c>
      <c r="I281">
        <f>IF($A281&gt;cfg_LastDataDate,NA(),Calc_Daily!$CM281)</f>
        <v/>
      </c>
      <c r="J281">
        <f>IF($A281&gt;cfg_LastDataDate,NA(),Calc_Daily!$HF281)</f>
        <v/>
      </c>
      <c r="K281">
        <f>Calc_Daily!$IT281</f>
        <v/>
      </c>
    </row>
    <row r="282">
      <c r="A282" s="54">
        <f>Calc_Daily!$A282</f>
        <v/>
      </c>
      <c r="B282">
        <f>IF($A282&gt;cfg_LastDataDate,NA(),Calc_Daily!$BZ282)</f>
        <v/>
      </c>
      <c r="C282">
        <f>Calc_Daily!$IG282/Calc_Daily!$D282</f>
        <v/>
      </c>
      <c r="D282">
        <f>IF($A282&gt;cfg_LastDataDate,NA(),Calc_Daily!$CZ282)</f>
        <v/>
      </c>
      <c r="E282">
        <f>Calc_Daily!$IX282</f>
        <v/>
      </c>
      <c r="F282">
        <f>IF($A282&gt;cfg_LastDataDate,NA(),Calc_Daily!$F282)</f>
        <v/>
      </c>
      <c r="G282">
        <f>IF($A282&gt;cfg_LastDataDate,NA(),Calc_Daily!$O282)</f>
        <v/>
      </c>
      <c r="H282">
        <f>IF($A282&gt;cfg_LastDataDate,NA(),Calc_Daily!$CS282)</f>
        <v/>
      </c>
      <c r="I282">
        <f>IF($A282&gt;cfg_LastDataDate,NA(),Calc_Daily!$CM282)</f>
        <v/>
      </c>
      <c r="J282">
        <f>IF($A282&gt;cfg_LastDataDate,NA(),Calc_Daily!$HF282)</f>
        <v/>
      </c>
      <c r="K282">
        <f>Calc_Daily!$IT282</f>
        <v/>
      </c>
    </row>
    <row r="283">
      <c r="A283" s="54">
        <f>Calc_Daily!$A283</f>
        <v/>
      </c>
      <c r="B283">
        <f>IF($A283&gt;cfg_LastDataDate,NA(),Calc_Daily!$BZ283)</f>
        <v/>
      </c>
      <c r="C283">
        <f>Calc_Daily!$IG283/Calc_Daily!$D283</f>
        <v/>
      </c>
      <c r="D283">
        <f>IF($A283&gt;cfg_LastDataDate,NA(),Calc_Daily!$CZ283)</f>
        <v/>
      </c>
      <c r="E283">
        <f>Calc_Daily!$IX283</f>
        <v/>
      </c>
      <c r="F283">
        <f>IF($A283&gt;cfg_LastDataDate,NA(),Calc_Daily!$F283)</f>
        <v/>
      </c>
      <c r="G283">
        <f>IF($A283&gt;cfg_LastDataDate,NA(),Calc_Daily!$O283)</f>
        <v/>
      </c>
      <c r="H283">
        <f>IF($A283&gt;cfg_LastDataDate,NA(),Calc_Daily!$CS283)</f>
        <v/>
      </c>
      <c r="I283">
        <f>IF($A283&gt;cfg_LastDataDate,NA(),Calc_Daily!$CM283)</f>
        <v/>
      </c>
      <c r="J283">
        <f>IF($A283&gt;cfg_LastDataDate,NA(),Calc_Daily!$HF283)</f>
        <v/>
      </c>
      <c r="K283">
        <f>Calc_Daily!$IT283</f>
        <v/>
      </c>
    </row>
    <row r="284">
      <c r="A284" s="54">
        <f>Calc_Daily!$A284</f>
        <v/>
      </c>
      <c r="B284">
        <f>IF($A284&gt;cfg_LastDataDate,NA(),Calc_Daily!$BZ284)</f>
        <v/>
      </c>
      <c r="C284">
        <f>Calc_Daily!$IG284/Calc_Daily!$D284</f>
        <v/>
      </c>
      <c r="D284">
        <f>IF($A284&gt;cfg_LastDataDate,NA(),Calc_Daily!$CZ284)</f>
        <v/>
      </c>
      <c r="E284">
        <f>Calc_Daily!$IX284</f>
        <v/>
      </c>
      <c r="F284">
        <f>IF($A284&gt;cfg_LastDataDate,NA(),Calc_Daily!$F284)</f>
        <v/>
      </c>
      <c r="G284">
        <f>IF($A284&gt;cfg_LastDataDate,NA(),Calc_Daily!$O284)</f>
        <v/>
      </c>
      <c r="H284">
        <f>IF($A284&gt;cfg_LastDataDate,NA(),Calc_Daily!$CS284)</f>
        <v/>
      </c>
      <c r="I284">
        <f>IF($A284&gt;cfg_LastDataDate,NA(),Calc_Daily!$CM284)</f>
        <v/>
      </c>
      <c r="J284">
        <f>IF($A284&gt;cfg_LastDataDate,NA(),Calc_Daily!$HF284)</f>
        <v/>
      </c>
      <c r="K284">
        <f>Calc_Daily!$IT284</f>
        <v/>
      </c>
    </row>
    <row r="285">
      <c r="A285" s="54">
        <f>Calc_Daily!$A285</f>
        <v/>
      </c>
      <c r="B285">
        <f>IF($A285&gt;cfg_LastDataDate,NA(),Calc_Daily!$BZ285)</f>
        <v/>
      </c>
      <c r="C285">
        <f>Calc_Daily!$IG285/Calc_Daily!$D285</f>
        <v/>
      </c>
      <c r="D285">
        <f>IF($A285&gt;cfg_LastDataDate,NA(),Calc_Daily!$CZ285)</f>
        <v/>
      </c>
      <c r="E285">
        <f>Calc_Daily!$IX285</f>
        <v/>
      </c>
      <c r="F285">
        <f>IF($A285&gt;cfg_LastDataDate,NA(),Calc_Daily!$F285)</f>
        <v/>
      </c>
      <c r="G285">
        <f>IF($A285&gt;cfg_LastDataDate,NA(),Calc_Daily!$O285)</f>
        <v/>
      </c>
      <c r="H285">
        <f>IF($A285&gt;cfg_LastDataDate,NA(),Calc_Daily!$CS285)</f>
        <v/>
      </c>
      <c r="I285">
        <f>IF($A285&gt;cfg_LastDataDate,NA(),Calc_Daily!$CM285)</f>
        <v/>
      </c>
      <c r="J285">
        <f>IF($A285&gt;cfg_LastDataDate,NA(),Calc_Daily!$HF285)</f>
        <v/>
      </c>
      <c r="K285">
        <f>Calc_Daily!$IT285</f>
        <v/>
      </c>
    </row>
    <row r="286">
      <c r="A286" s="54">
        <f>Calc_Daily!$A286</f>
        <v/>
      </c>
      <c r="B286">
        <f>IF($A286&gt;cfg_LastDataDate,NA(),Calc_Daily!$BZ286)</f>
        <v/>
      </c>
      <c r="C286">
        <f>Calc_Daily!$IG286/Calc_Daily!$D286</f>
        <v/>
      </c>
      <c r="D286">
        <f>IF($A286&gt;cfg_LastDataDate,NA(),Calc_Daily!$CZ286)</f>
        <v/>
      </c>
      <c r="E286">
        <f>Calc_Daily!$IX286</f>
        <v/>
      </c>
      <c r="F286">
        <f>IF($A286&gt;cfg_LastDataDate,NA(),Calc_Daily!$F286)</f>
        <v/>
      </c>
      <c r="G286">
        <f>IF($A286&gt;cfg_LastDataDate,NA(),Calc_Daily!$O286)</f>
        <v/>
      </c>
      <c r="H286">
        <f>IF($A286&gt;cfg_LastDataDate,NA(),Calc_Daily!$CS286)</f>
        <v/>
      </c>
      <c r="I286">
        <f>IF($A286&gt;cfg_LastDataDate,NA(),Calc_Daily!$CM286)</f>
        <v/>
      </c>
      <c r="J286">
        <f>IF($A286&gt;cfg_LastDataDate,NA(),Calc_Daily!$HF286)</f>
        <v/>
      </c>
      <c r="K286">
        <f>Calc_Daily!$IT286</f>
        <v/>
      </c>
    </row>
    <row r="287">
      <c r="A287" s="54">
        <f>Calc_Daily!$A287</f>
        <v/>
      </c>
      <c r="B287">
        <f>IF($A287&gt;cfg_LastDataDate,NA(),Calc_Daily!$BZ287)</f>
        <v/>
      </c>
      <c r="C287">
        <f>Calc_Daily!$IG287/Calc_Daily!$D287</f>
        <v/>
      </c>
      <c r="D287">
        <f>IF($A287&gt;cfg_LastDataDate,NA(),Calc_Daily!$CZ287)</f>
        <v/>
      </c>
      <c r="E287">
        <f>Calc_Daily!$IX287</f>
        <v/>
      </c>
      <c r="F287">
        <f>IF($A287&gt;cfg_LastDataDate,NA(),Calc_Daily!$F287)</f>
        <v/>
      </c>
      <c r="G287">
        <f>IF($A287&gt;cfg_LastDataDate,NA(),Calc_Daily!$O287)</f>
        <v/>
      </c>
      <c r="H287">
        <f>IF($A287&gt;cfg_LastDataDate,NA(),Calc_Daily!$CS287)</f>
        <v/>
      </c>
      <c r="I287">
        <f>IF($A287&gt;cfg_LastDataDate,NA(),Calc_Daily!$CM287)</f>
        <v/>
      </c>
      <c r="J287">
        <f>IF($A287&gt;cfg_LastDataDate,NA(),Calc_Daily!$HF287)</f>
        <v/>
      </c>
      <c r="K287">
        <f>Calc_Daily!$IT287</f>
        <v/>
      </c>
    </row>
    <row r="288">
      <c r="A288" s="54">
        <f>Calc_Daily!$A288</f>
        <v/>
      </c>
      <c r="B288">
        <f>IF($A288&gt;cfg_LastDataDate,NA(),Calc_Daily!$BZ288)</f>
        <v/>
      </c>
      <c r="C288">
        <f>Calc_Daily!$IG288/Calc_Daily!$D288</f>
        <v/>
      </c>
      <c r="D288">
        <f>IF($A288&gt;cfg_LastDataDate,NA(),Calc_Daily!$CZ288)</f>
        <v/>
      </c>
      <c r="E288">
        <f>Calc_Daily!$IX288</f>
        <v/>
      </c>
      <c r="F288">
        <f>IF($A288&gt;cfg_LastDataDate,NA(),Calc_Daily!$F288)</f>
        <v/>
      </c>
      <c r="G288">
        <f>IF($A288&gt;cfg_LastDataDate,NA(),Calc_Daily!$O288)</f>
        <v/>
      </c>
      <c r="H288">
        <f>IF($A288&gt;cfg_LastDataDate,NA(),Calc_Daily!$CS288)</f>
        <v/>
      </c>
      <c r="I288">
        <f>IF($A288&gt;cfg_LastDataDate,NA(),Calc_Daily!$CM288)</f>
        <v/>
      </c>
      <c r="J288">
        <f>IF($A288&gt;cfg_LastDataDate,NA(),Calc_Daily!$HF288)</f>
        <v/>
      </c>
      <c r="K288">
        <f>Calc_Daily!$IT288</f>
        <v/>
      </c>
    </row>
    <row r="289">
      <c r="A289" s="54">
        <f>Calc_Daily!$A289</f>
        <v/>
      </c>
      <c r="B289">
        <f>IF($A289&gt;cfg_LastDataDate,NA(),Calc_Daily!$BZ289)</f>
        <v/>
      </c>
      <c r="C289">
        <f>Calc_Daily!$IG289/Calc_Daily!$D289</f>
        <v/>
      </c>
      <c r="D289">
        <f>IF($A289&gt;cfg_LastDataDate,NA(),Calc_Daily!$CZ289)</f>
        <v/>
      </c>
      <c r="E289">
        <f>Calc_Daily!$IX289</f>
        <v/>
      </c>
      <c r="F289">
        <f>IF($A289&gt;cfg_LastDataDate,NA(),Calc_Daily!$F289)</f>
        <v/>
      </c>
      <c r="G289">
        <f>IF($A289&gt;cfg_LastDataDate,NA(),Calc_Daily!$O289)</f>
        <v/>
      </c>
      <c r="H289">
        <f>IF($A289&gt;cfg_LastDataDate,NA(),Calc_Daily!$CS289)</f>
        <v/>
      </c>
      <c r="I289">
        <f>IF($A289&gt;cfg_LastDataDate,NA(),Calc_Daily!$CM289)</f>
        <v/>
      </c>
      <c r="J289">
        <f>IF($A289&gt;cfg_LastDataDate,NA(),Calc_Daily!$HF289)</f>
        <v/>
      </c>
      <c r="K289">
        <f>Calc_Daily!$IT289</f>
        <v/>
      </c>
    </row>
    <row r="290">
      <c r="A290" s="54">
        <f>Calc_Daily!$A290</f>
        <v/>
      </c>
      <c r="B290">
        <f>IF($A290&gt;cfg_LastDataDate,NA(),Calc_Daily!$BZ290)</f>
        <v/>
      </c>
      <c r="C290">
        <f>Calc_Daily!$IG290/Calc_Daily!$D290</f>
        <v/>
      </c>
      <c r="D290">
        <f>IF($A290&gt;cfg_LastDataDate,NA(),Calc_Daily!$CZ290)</f>
        <v/>
      </c>
      <c r="E290">
        <f>Calc_Daily!$IX290</f>
        <v/>
      </c>
      <c r="F290">
        <f>IF($A290&gt;cfg_LastDataDate,NA(),Calc_Daily!$F290)</f>
        <v/>
      </c>
      <c r="G290">
        <f>IF($A290&gt;cfg_LastDataDate,NA(),Calc_Daily!$O290)</f>
        <v/>
      </c>
      <c r="H290">
        <f>IF($A290&gt;cfg_LastDataDate,NA(),Calc_Daily!$CS290)</f>
        <v/>
      </c>
      <c r="I290">
        <f>IF($A290&gt;cfg_LastDataDate,NA(),Calc_Daily!$CM290)</f>
        <v/>
      </c>
      <c r="J290">
        <f>IF($A290&gt;cfg_LastDataDate,NA(),Calc_Daily!$HF290)</f>
        <v/>
      </c>
      <c r="K290">
        <f>Calc_Daily!$IT290</f>
        <v/>
      </c>
    </row>
    <row r="291">
      <c r="A291" s="54">
        <f>Calc_Daily!$A291</f>
        <v/>
      </c>
      <c r="B291">
        <f>IF($A291&gt;cfg_LastDataDate,NA(),Calc_Daily!$BZ291)</f>
        <v/>
      </c>
      <c r="C291">
        <f>Calc_Daily!$IG291/Calc_Daily!$D291</f>
        <v/>
      </c>
      <c r="D291">
        <f>IF($A291&gt;cfg_LastDataDate,NA(),Calc_Daily!$CZ291)</f>
        <v/>
      </c>
      <c r="E291">
        <f>Calc_Daily!$IX291</f>
        <v/>
      </c>
      <c r="F291">
        <f>IF($A291&gt;cfg_LastDataDate,NA(),Calc_Daily!$F291)</f>
        <v/>
      </c>
      <c r="G291">
        <f>IF($A291&gt;cfg_LastDataDate,NA(),Calc_Daily!$O291)</f>
        <v/>
      </c>
      <c r="H291">
        <f>IF($A291&gt;cfg_LastDataDate,NA(),Calc_Daily!$CS291)</f>
        <v/>
      </c>
      <c r="I291">
        <f>IF($A291&gt;cfg_LastDataDate,NA(),Calc_Daily!$CM291)</f>
        <v/>
      </c>
      <c r="J291">
        <f>IF($A291&gt;cfg_LastDataDate,NA(),Calc_Daily!$HF291)</f>
        <v/>
      </c>
      <c r="K291">
        <f>Calc_Daily!$IT291</f>
        <v/>
      </c>
    </row>
    <row r="292">
      <c r="A292" s="54">
        <f>Calc_Daily!$A292</f>
        <v/>
      </c>
      <c r="B292">
        <f>IF($A292&gt;cfg_LastDataDate,NA(),Calc_Daily!$BZ292)</f>
        <v/>
      </c>
      <c r="C292">
        <f>Calc_Daily!$IG292/Calc_Daily!$D292</f>
        <v/>
      </c>
      <c r="D292">
        <f>IF($A292&gt;cfg_LastDataDate,NA(),Calc_Daily!$CZ292)</f>
        <v/>
      </c>
      <c r="E292">
        <f>Calc_Daily!$IX292</f>
        <v/>
      </c>
      <c r="F292">
        <f>IF($A292&gt;cfg_LastDataDate,NA(),Calc_Daily!$F292)</f>
        <v/>
      </c>
      <c r="G292">
        <f>IF($A292&gt;cfg_LastDataDate,NA(),Calc_Daily!$O292)</f>
        <v/>
      </c>
      <c r="H292">
        <f>IF($A292&gt;cfg_LastDataDate,NA(),Calc_Daily!$CS292)</f>
        <v/>
      </c>
      <c r="I292">
        <f>IF($A292&gt;cfg_LastDataDate,NA(),Calc_Daily!$CM292)</f>
        <v/>
      </c>
      <c r="J292">
        <f>IF($A292&gt;cfg_LastDataDate,NA(),Calc_Daily!$HF292)</f>
        <v/>
      </c>
      <c r="K292">
        <f>Calc_Daily!$IT292</f>
        <v/>
      </c>
    </row>
    <row r="293">
      <c r="A293" s="54">
        <f>Calc_Daily!$A293</f>
        <v/>
      </c>
      <c r="B293">
        <f>IF($A293&gt;cfg_LastDataDate,NA(),Calc_Daily!$BZ293)</f>
        <v/>
      </c>
      <c r="C293">
        <f>Calc_Daily!$IG293/Calc_Daily!$D293</f>
        <v/>
      </c>
      <c r="D293">
        <f>IF($A293&gt;cfg_LastDataDate,NA(),Calc_Daily!$CZ293)</f>
        <v/>
      </c>
      <c r="E293">
        <f>Calc_Daily!$IX293</f>
        <v/>
      </c>
      <c r="F293">
        <f>IF($A293&gt;cfg_LastDataDate,NA(),Calc_Daily!$F293)</f>
        <v/>
      </c>
      <c r="G293">
        <f>IF($A293&gt;cfg_LastDataDate,NA(),Calc_Daily!$O293)</f>
        <v/>
      </c>
      <c r="H293">
        <f>IF($A293&gt;cfg_LastDataDate,NA(),Calc_Daily!$CS293)</f>
        <v/>
      </c>
      <c r="I293">
        <f>IF($A293&gt;cfg_LastDataDate,NA(),Calc_Daily!$CM293)</f>
        <v/>
      </c>
      <c r="J293">
        <f>IF($A293&gt;cfg_LastDataDate,NA(),Calc_Daily!$HF293)</f>
        <v/>
      </c>
      <c r="K293">
        <f>Calc_Daily!$IT293</f>
        <v/>
      </c>
    </row>
    <row r="294">
      <c r="A294" s="54">
        <f>Calc_Daily!$A294</f>
        <v/>
      </c>
      <c r="B294">
        <f>IF($A294&gt;cfg_LastDataDate,NA(),Calc_Daily!$BZ294)</f>
        <v/>
      </c>
      <c r="C294">
        <f>Calc_Daily!$IG294/Calc_Daily!$D294</f>
        <v/>
      </c>
      <c r="D294">
        <f>IF($A294&gt;cfg_LastDataDate,NA(),Calc_Daily!$CZ294)</f>
        <v/>
      </c>
      <c r="E294">
        <f>Calc_Daily!$IX294</f>
        <v/>
      </c>
      <c r="F294">
        <f>IF($A294&gt;cfg_LastDataDate,NA(),Calc_Daily!$F294)</f>
        <v/>
      </c>
      <c r="G294">
        <f>IF($A294&gt;cfg_LastDataDate,NA(),Calc_Daily!$O294)</f>
        <v/>
      </c>
      <c r="H294">
        <f>IF($A294&gt;cfg_LastDataDate,NA(),Calc_Daily!$CS294)</f>
        <v/>
      </c>
      <c r="I294">
        <f>IF($A294&gt;cfg_LastDataDate,NA(),Calc_Daily!$CM294)</f>
        <v/>
      </c>
      <c r="J294">
        <f>IF($A294&gt;cfg_LastDataDate,NA(),Calc_Daily!$HF294)</f>
        <v/>
      </c>
      <c r="K294">
        <f>Calc_Daily!$IT294</f>
        <v/>
      </c>
    </row>
    <row r="295">
      <c r="A295" s="54">
        <f>Calc_Daily!$A295</f>
        <v/>
      </c>
      <c r="B295">
        <f>IF($A295&gt;cfg_LastDataDate,NA(),Calc_Daily!$BZ295)</f>
        <v/>
      </c>
      <c r="C295">
        <f>Calc_Daily!$IG295/Calc_Daily!$D295</f>
        <v/>
      </c>
      <c r="D295">
        <f>IF($A295&gt;cfg_LastDataDate,NA(),Calc_Daily!$CZ295)</f>
        <v/>
      </c>
      <c r="E295">
        <f>Calc_Daily!$IX295</f>
        <v/>
      </c>
      <c r="F295">
        <f>IF($A295&gt;cfg_LastDataDate,NA(),Calc_Daily!$F295)</f>
        <v/>
      </c>
      <c r="G295">
        <f>IF($A295&gt;cfg_LastDataDate,NA(),Calc_Daily!$O295)</f>
        <v/>
      </c>
      <c r="H295">
        <f>IF($A295&gt;cfg_LastDataDate,NA(),Calc_Daily!$CS295)</f>
        <v/>
      </c>
      <c r="I295">
        <f>IF($A295&gt;cfg_LastDataDate,NA(),Calc_Daily!$CM295)</f>
        <v/>
      </c>
      <c r="J295">
        <f>IF($A295&gt;cfg_LastDataDate,NA(),Calc_Daily!$HF295)</f>
        <v/>
      </c>
      <c r="K295">
        <f>Calc_Daily!$IT295</f>
        <v/>
      </c>
    </row>
    <row r="296">
      <c r="A296" s="54">
        <f>Calc_Daily!$A296</f>
        <v/>
      </c>
      <c r="B296">
        <f>IF($A296&gt;cfg_LastDataDate,NA(),Calc_Daily!$BZ296)</f>
        <v/>
      </c>
      <c r="C296">
        <f>Calc_Daily!$IG296/Calc_Daily!$D296</f>
        <v/>
      </c>
      <c r="D296">
        <f>IF($A296&gt;cfg_LastDataDate,NA(),Calc_Daily!$CZ296)</f>
        <v/>
      </c>
      <c r="E296">
        <f>Calc_Daily!$IX296</f>
        <v/>
      </c>
      <c r="F296">
        <f>IF($A296&gt;cfg_LastDataDate,NA(),Calc_Daily!$F296)</f>
        <v/>
      </c>
      <c r="G296">
        <f>IF($A296&gt;cfg_LastDataDate,NA(),Calc_Daily!$O296)</f>
        <v/>
      </c>
      <c r="H296">
        <f>IF($A296&gt;cfg_LastDataDate,NA(),Calc_Daily!$CS296)</f>
        <v/>
      </c>
      <c r="I296">
        <f>IF($A296&gt;cfg_LastDataDate,NA(),Calc_Daily!$CM296)</f>
        <v/>
      </c>
      <c r="J296">
        <f>IF($A296&gt;cfg_LastDataDate,NA(),Calc_Daily!$HF296)</f>
        <v/>
      </c>
      <c r="K296">
        <f>Calc_Daily!$IT296</f>
        <v/>
      </c>
    </row>
    <row r="297">
      <c r="A297" s="54">
        <f>Calc_Daily!$A297</f>
        <v/>
      </c>
      <c r="B297">
        <f>IF($A297&gt;cfg_LastDataDate,NA(),Calc_Daily!$BZ297)</f>
        <v/>
      </c>
      <c r="C297">
        <f>Calc_Daily!$IG297/Calc_Daily!$D297</f>
        <v/>
      </c>
      <c r="D297">
        <f>IF($A297&gt;cfg_LastDataDate,NA(),Calc_Daily!$CZ297)</f>
        <v/>
      </c>
      <c r="E297">
        <f>Calc_Daily!$IX297</f>
        <v/>
      </c>
      <c r="F297">
        <f>IF($A297&gt;cfg_LastDataDate,NA(),Calc_Daily!$F297)</f>
        <v/>
      </c>
      <c r="G297">
        <f>IF($A297&gt;cfg_LastDataDate,NA(),Calc_Daily!$O297)</f>
        <v/>
      </c>
      <c r="H297">
        <f>IF($A297&gt;cfg_LastDataDate,NA(),Calc_Daily!$CS297)</f>
        <v/>
      </c>
      <c r="I297">
        <f>IF($A297&gt;cfg_LastDataDate,NA(),Calc_Daily!$CM297)</f>
        <v/>
      </c>
      <c r="J297">
        <f>IF($A297&gt;cfg_LastDataDate,NA(),Calc_Daily!$HF297)</f>
        <v/>
      </c>
      <c r="K297">
        <f>Calc_Daily!$IT297</f>
        <v/>
      </c>
    </row>
    <row r="298">
      <c r="A298" s="54">
        <f>Calc_Daily!$A298</f>
        <v/>
      </c>
      <c r="B298">
        <f>IF($A298&gt;cfg_LastDataDate,NA(),Calc_Daily!$BZ298)</f>
        <v/>
      </c>
      <c r="C298">
        <f>Calc_Daily!$IG298/Calc_Daily!$D298</f>
        <v/>
      </c>
      <c r="D298">
        <f>IF($A298&gt;cfg_LastDataDate,NA(),Calc_Daily!$CZ298)</f>
        <v/>
      </c>
      <c r="E298">
        <f>Calc_Daily!$IX298</f>
        <v/>
      </c>
      <c r="F298">
        <f>IF($A298&gt;cfg_LastDataDate,NA(),Calc_Daily!$F298)</f>
        <v/>
      </c>
      <c r="G298">
        <f>IF($A298&gt;cfg_LastDataDate,NA(),Calc_Daily!$O298)</f>
        <v/>
      </c>
      <c r="H298">
        <f>IF($A298&gt;cfg_LastDataDate,NA(),Calc_Daily!$CS298)</f>
        <v/>
      </c>
      <c r="I298">
        <f>IF($A298&gt;cfg_LastDataDate,NA(),Calc_Daily!$CM298)</f>
        <v/>
      </c>
      <c r="J298">
        <f>IF($A298&gt;cfg_LastDataDate,NA(),Calc_Daily!$HF298)</f>
        <v/>
      </c>
      <c r="K298">
        <f>Calc_Daily!$IT298</f>
        <v/>
      </c>
    </row>
    <row r="299">
      <c r="A299" s="54">
        <f>Calc_Daily!$A299</f>
        <v/>
      </c>
      <c r="B299">
        <f>IF($A299&gt;cfg_LastDataDate,NA(),Calc_Daily!$BZ299)</f>
        <v/>
      </c>
      <c r="C299">
        <f>Calc_Daily!$IG299/Calc_Daily!$D299</f>
        <v/>
      </c>
      <c r="D299">
        <f>IF($A299&gt;cfg_LastDataDate,NA(),Calc_Daily!$CZ299)</f>
        <v/>
      </c>
      <c r="E299">
        <f>Calc_Daily!$IX299</f>
        <v/>
      </c>
      <c r="F299">
        <f>IF($A299&gt;cfg_LastDataDate,NA(),Calc_Daily!$F299)</f>
        <v/>
      </c>
      <c r="G299">
        <f>IF($A299&gt;cfg_LastDataDate,NA(),Calc_Daily!$O299)</f>
        <v/>
      </c>
      <c r="H299">
        <f>IF($A299&gt;cfg_LastDataDate,NA(),Calc_Daily!$CS299)</f>
        <v/>
      </c>
      <c r="I299">
        <f>IF($A299&gt;cfg_LastDataDate,NA(),Calc_Daily!$CM299)</f>
        <v/>
      </c>
      <c r="J299">
        <f>IF($A299&gt;cfg_LastDataDate,NA(),Calc_Daily!$HF299)</f>
        <v/>
      </c>
      <c r="K299">
        <f>Calc_Daily!$IT299</f>
        <v/>
      </c>
    </row>
    <row r="300">
      <c r="A300" s="54">
        <f>Calc_Daily!$A300</f>
        <v/>
      </c>
      <c r="B300">
        <f>IF($A300&gt;cfg_LastDataDate,NA(),Calc_Daily!$BZ300)</f>
        <v/>
      </c>
      <c r="C300">
        <f>Calc_Daily!$IG300/Calc_Daily!$D300</f>
        <v/>
      </c>
      <c r="D300">
        <f>IF($A300&gt;cfg_LastDataDate,NA(),Calc_Daily!$CZ300)</f>
        <v/>
      </c>
      <c r="E300">
        <f>Calc_Daily!$IX300</f>
        <v/>
      </c>
      <c r="F300">
        <f>IF($A300&gt;cfg_LastDataDate,NA(),Calc_Daily!$F300)</f>
        <v/>
      </c>
      <c r="G300">
        <f>IF($A300&gt;cfg_LastDataDate,NA(),Calc_Daily!$O300)</f>
        <v/>
      </c>
      <c r="H300">
        <f>IF($A300&gt;cfg_LastDataDate,NA(),Calc_Daily!$CS300)</f>
        <v/>
      </c>
      <c r="I300">
        <f>IF($A300&gt;cfg_LastDataDate,NA(),Calc_Daily!$CM300)</f>
        <v/>
      </c>
      <c r="J300">
        <f>IF($A300&gt;cfg_LastDataDate,NA(),Calc_Daily!$HF300)</f>
        <v/>
      </c>
      <c r="K300">
        <f>Calc_Daily!$IT300</f>
        <v/>
      </c>
    </row>
    <row r="301">
      <c r="A301" s="54">
        <f>Calc_Daily!$A301</f>
        <v/>
      </c>
      <c r="B301">
        <f>IF($A301&gt;cfg_LastDataDate,NA(),Calc_Daily!$BZ301)</f>
        <v/>
      </c>
      <c r="C301">
        <f>Calc_Daily!$IG301/Calc_Daily!$D301</f>
        <v/>
      </c>
      <c r="D301">
        <f>IF($A301&gt;cfg_LastDataDate,NA(),Calc_Daily!$CZ301)</f>
        <v/>
      </c>
      <c r="E301">
        <f>Calc_Daily!$IX301</f>
        <v/>
      </c>
      <c r="F301">
        <f>IF($A301&gt;cfg_LastDataDate,NA(),Calc_Daily!$F301)</f>
        <v/>
      </c>
      <c r="G301">
        <f>IF($A301&gt;cfg_LastDataDate,NA(),Calc_Daily!$O301)</f>
        <v/>
      </c>
      <c r="H301">
        <f>IF($A301&gt;cfg_LastDataDate,NA(),Calc_Daily!$CS301)</f>
        <v/>
      </c>
      <c r="I301">
        <f>IF($A301&gt;cfg_LastDataDate,NA(),Calc_Daily!$CM301)</f>
        <v/>
      </c>
      <c r="J301">
        <f>IF($A301&gt;cfg_LastDataDate,NA(),Calc_Daily!$HF301)</f>
        <v/>
      </c>
      <c r="K301">
        <f>Calc_Daily!$IT301</f>
        <v/>
      </c>
    </row>
    <row r="302">
      <c r="A302" s="54">
        <f>Calc_Daily!$A302</f>
        <v/>
      </c>
      <c r="B302">
        <f>IF($A302&gt;cfg_LastDataDate,NA(),Calc_Daily!$BZ302)</f>
        <v/>
      </c>
      <c r="C302">
        <f>Calc_Daily!$IG302/Calc_Daily!$D302</f>
        <v/>
      </c>
      <c r="D302">
        <f>IF($A302&gt;cfg_LastDataDate,NA(),Calc_Daily!$CZ302)</f>
        <v/>
      </c>
      <c r="E302">
        <f>Calc_Daily!$IX302</f>
        <v/>
      </c>
      <c r="F302">
        <f>IF($A302&gt;cfg_LastDataDate,NA(),Calc_Daily!$F302)</f>
        <v/>
      </c>
      <c r="G302">
        <f>IF($A302&gt;cfg_LastDataDate,NA(),Calc_Daily!$O302)</f>
        <v/>
      </c>
      <c r="H302">
        <f>IF($A302&gt;cfg_LastDataDate,NA(),Calc_Daily!$CS302)</f>
        <v/>
      </c>
      <c r="I302">
        <f>IF($A302&gt;cfg_LastDataDate,NA(),Calc_Daily!$CM302)</f>
        <v/>
      </c>
      <c r="J302">
        <f>IF($A302&gt;cfg_LastDataDate,NA(),Calc_Daily!$HF302)</f>
        <v/>
      </c>
      <c r="K302">
        <f>Calc_Daily!$IT302</f>
        <v/>
      </c>
    </row>
    <row r="303">
      <c r="A303" s="54">
        <f>Calc_Daily!$A303</f>
        <v/>
      </c>
      <c r="B303">
        <f>IF($A303&gt;cfg_LastDataDate,NA(),Calc_Daily!$BZ303)</f>
        <v/>
      </c>
      <c r="C303">
        <f>Calc_Daily!$IG303/Calc_Daily!$D303</f>
        <v/>
      </c>
      <c r="D303">
        <f>IF($A303&gt;cfg_LastDataDate,NA(),Calc_Daily!$CZ303)</f>
        <v/>
      </c>
      <c r="E303">
        <f>Calc_Daily!$IX303</f>
        <v/>
      </c>
      <c r="F303">
        <f>IF($A303&gt;cfg_LastDataDate,NA(),Calc_Daily!$F303)</f>
        <v/>
      </c>
      <c r="G303">
        <f>IF($A303&gt;cfg_LastDataDate,NA(),Calc_Daily!$O303)</f>
        <v/>
      </c>
      <c r="H303">
        <f>IF($A303&gt;cfg_LastDataDate,NA(),Calc_Daily!$CS303)</f>
        <v/>
      </c>
      <c r="I303">
        <f>IF($A303&gt;cfg_LastDataDate,NA(),Calc_Daily!$CM303)</f>
        <v/>
      </c>
      <c r="J303">
        <f>IF($A303&gt;cfg_LastDataDate,NA(),Calc_Daily!$HF303)</f>
        <v/>
      </c>
      <c r="K303">
        <f>Calc_Daily!$IT303</f>
        <v/>
      </c>
    </row>
    <row r="304">
      <c r="A304" s="54">
        <f>Calc_Daily!$A304</f>
        <v/>
      </c>
      <c r="B304">
        <f>IF($A304&gt;cfg_LastDataDate,NA(),Calc_Daily!$BZ304)</f>
        <v/>
      </c>
      <c r="C304">
        <f>Calc_Daily!$IG304/Calc_Daily!$D304</f>
        <v/>
      </c>
      <c r="D304">
        <f>IF($A304&gt;cfg_LastDataDate,NA(),Calc_Daily!$CZ304)</f>
        <v/>
      </c>
      <c r="E304">
        <f>Calc_Daily!$IX304</f>
        <v/>
      </c>
      <c r="F304">
        <f>IF($A304&gt;cfg_LastDataDate,NA(),Calc_Daily!$F304)</f>
        <v/>
      </c>
      <c r="G304">
        <f>IF($A304&gt;cfg_LastDataDate,NA(),Calc_Daily!$O304)</f>
        <v/>
      </c>
      <c r="H304">
        <f>IF($A304&gt;cfg_LastDataDate,NA(),Calc_Daily!$CS304)</f>
        <v/>
      </c>
      <c r="I304">
        <f>IF($A304&gt;cfg_LastDataDate,NA(),Calc_Daily!$CM304)</f>
        <v/>
      </c>
      <c r="J304">
        <f>IF($A304&gt;cfg_LastDataDate,NA(),Calc_Daily!$HF304)</f>
        <v/>
      </c>
      <c r="K304">
        <f>Calc_Daily!$IT304</f>
        <v/>
      </c>
    </row>
    <row r="305">
      <c r="A305" s="54">
        <f>Calc_Daily!$A305</f>
        <v/>
      </c>
      <c r="B305">
        <f>IF($A305&gt;cfg_LastDataDate,NA(),Calc_Daily!$BZ305)</f>
        <v/>
      </c>
      <c r="C305">
        <f>Calc_Daily!$IG305/Calc_Daily!$D305</f>
        <v/>
      </c>
      <c r="D305">
        <f>IF($A305&gt;cfg_LastDataDate,NA(),Calc_Daily!$CZ305)</f>
        <v/>
      </c>
      <c r="E305">
        <f>Calc_Daily!$IX305</f>
        <v/>
      </c>
      <c r="F305">
        <f>IF($A305&gt;cfg_LastDataDate,NA(),Calc_Daily!$F305)</f>
        <v/>
      </c>
      <c r="G305">
        <f>IF($A305&gt;cfg_LastDataDate,NA(),Calc_Daily!$O305)</f>
        <v/>
      </c>
      <c r="H305">
        <f>IF($A305&gt;cfg_LastDataDate,NA(),Calc_Daily!$CS305)</f>
        <v/>
      </c>
      <c r="I305">
        <f>IF($A305&gt;cfg_LastDataDate,NA(),Calc_Daily!$CM305)</f>
        <v/>
      </c>
      <c r="J305">
        <f>IF($A305&gt;cfg_LastDataDate,NA(),Calc_Daily!$HF305)</f>
        <v/>
      </c>
      <c r="K305">
        <f>Calc_Daily!$IT305</f>
        <v/>
      </c>
    </row>
    <row r="306">
      <c r="A306" s="54">
        <f>Calc_Daily!$A306</f>
        <v/>
      </c>
      <c r="B306">
        <f>IF($A306&gt;cfg_LastDataDate,NA(),Calc_Daily!$BZ306)</f>
        <v/>
      </c>
      <c r="C306">
        <f>Calc_Daily!$IG306/Calc_Daily!$D306</f>
        <v/>
      </c>
      <c r="D306">
        <f>IF($A306&gt;cfg_LastDataDate,NA(),Calc_Daily!$CZ306)</f>
        <v/>
      </c>
      <c r="E306">
        <f>Calc_Daily!$IX306</f>
        <v/>
      </c>
      <c r="F306">
        <f>IF($A306&gt;cfg_LastDataDate,NA(),Calc_Daily!$F306)</f>
        <v/>
      </c>
      <c r="G306">
        <f>IF($A306&gt;cfg_LastDataDate,NA(),Calc_Daily!$O306)</f>
        <v/>
      </c>
      <c r="H306">
        <f>IF($A306&gt;cfg_LastDataDate,NA(),Calc_Daily!$CS306)</f>
        <v/>
      </c>
      <c r="I306">
        <f>IF($A306&gt;cfg_LastDataDate,NA(),Calc_Daily!$CM306)</f>
        <v/>
      </c>
      <c r="J306">
        <f>IF($A306&gt;cfg_LastDataDate,NA(),Calc_Daily!$HF306)</f>
        <v/>
      </c>
      <c r="K306">
        <f>Calc_Daily!$IT306</f>
        <v/>
      </c>
    </row>
    <row r="307">
      <c r="A307" s="54">
        <f>Calc_Daily!$A307</f>
        <v/>
      </c>
      <c r="B307">
        <f>IF($A307&gt;cfg_LastDataDate,NA(),Calc_Daily!$BZ307)</f>
        <v/>
      </c>
      <c r="C307">
        <f>Calc_Daily!$IG307/Calc_Daily!$D307</f>
        <v/>
      </c>
      <c r="D307">
        <f>IF($A307&gt;cfg_LastDataDate,NA(),Calc_Daily!$CZ307)</f>
        <v/>
      </c>
      <c r="E307">
        <f>Calc_Daily!$IX307</f>
        <v/>
      </c>
      <c r="F307">
        <f>IF($A307&gt;cfg_LastDataDate,NA(),Calc_Daily!$F307)</f>
        <v/>
      </c>
      <c r="G307">
        <f>IF($A307&gt;cfg_LastDataDate,NA(),Calc_Daily!$O307)</f>
        <v/>
      </c>
      <c r="H307">
        <f>IF($A307&gt;cfg_LastDataDate,NA(),Calc_Daily!$CS307)</f>
        <v/>
      </c>
      <c r="I307">
        <f>IF($A307&gt;cfg_LastDataDate,NA(),Calc_Daily!$CM307)</f>
        <v/>
      </c>
      <c r="J307">
        <f>IF($A307&gt;cfg_LastDataDate,NA(),Calc_Daily!$HF307)</f>
        <v/>
      </c>
      <c r="K307">
        <f>Calc_Daily!$IT307</f>
        <v/>
      </c>
    </row>
    <row r="308">
      <c r="A308" s="54">
        <f>Calc_Daily!$A308</f>
        <v/>
      </c>
      <c r="B308">
        <f>IF($A308&gt;cfg_LastDataDate,NA(),Calc_Daily!$BZ308)</f>
        <v/>
      </c>
      <c r="C308">
        <f>Calc_Daily!$IG308/Calc_Daily!$D308</f>
        <v/>
      </c>
      <c r="D308">
        <f>IF($A308&gt;cfg_LastDataDate,NA(),Calc_Daily!$CZ308)</f>
        <v/>
      </c>
      <c r="E308">
        <f>Calc_Daily!$IX308</f>
        <v/>
      </c>
      <c r="F308">
        <f>IF($A308&gt;cfg_LastDataDate,NA(),Calc_Daily!$F308)</f>
        <v/>
      </c>
      <c r="G308">
        <f>IF($A308&gt;cfg_LastDataDate,NA(),Calc_Daily!$O308)</f>
        <v/>
      </c>
      <c r="H308">
        <f>IF($A308&gt;cfg_LastDataDate,NA(),Calc_Daily!$CS308)</f>
        <v/>
      </c>
      <c r="I308">
        <f>IF($A308&gt;cfg_LastDataDate,NA(),Calc_Daily!$CM308)</f>
        <v/>
      </c>
      <c r="J308">
        <f>IF($A308&gt;cfg_LastDataDate,NA(),Calc_Daily!$HF308)</f>
        <v/>
      </c>
      <c r="K308">
        <f>Calc_Daily!$IT308</f>
        <v/>
      </c>
    </row>
    <row r="309">
      <c r="A309" s="54">
        <f>Calc_Daily!$A309</f>
        <v/>
      </c>
      <c r="B309">
        <f>IF($A309&gt;cfg_LastDataDate,NA(),Calc_Daily!$BZ309)</f>
        <v/>
      </c>
      <c r="C309">
        <f>Calc_Daily!$IG309/Calc_Daily!$D309</f>
        <v/>
      </c>
      <c r="D309">
        <f>IF($A309&gt;cfg_LastDataDate,NA(),Calc_Daily!$CZ309)</f>
        <v/>
      </c>
      <c r="E309">
        <f>Calc_Daily!$IX309</f>
        <v/>
      </c>
      <c r="F309">
        <f>IF($A309&gt;cfg_LastDataDate,NA(),Calc_Daily!$F309)</f>
        <v/>
      </c>
      <c r="G309">
        <f>IF($A309&gt;cfg_LastDataDate,NA(),Calc_Daily!$O309)</f>
        <v/>
      </c>
      <c r="H309">
        <f>IF($A309&gt;cfg_LastDataDate,NA(),Calc_Daily!$CS309)</f>
        <v/>
      </c>
      <c r="I309">
        <f>IF($A309&gt;cfg_LastDataDate,NA(),Calc_Daily!$CM309)</f>
        <v/>
      </c>
      <c r="J309">
        <f>IF($A309&gt;cfg_LastDataDate,NA(),Calc_Daily!$HF309)</f>
        <v/>
      </c>
      <c r="K309">
        <f>Calc_Daily!$IT309</f>
        <v/>
      </c>
    </row>
    <row r="310">
      <c r="A310" s="54">
        <f>Calc_Daily!$A310</f>
        <v/>
      </c>
      <c r="B310">
        <f>IF($A310&gt;cfg_LastDataDate,NA(),Calc_Daily!$BZ310)</f>
        <v/>
      </c>
      <c r="C310">
        <f>Calc_Daily!$IG310/Calc_Daily!$D310</f>
        <v/>
      </c>
      <c r="D310">
        <f>IF($A310&gt;cfg_LastDataDate,NA(),Calc_Daily!$CZ310)</f>
        <v/>
      </c>
      <c r="E310">
        <f>Calc_Daily!$IX310</f>
        <v/>
      </c>
      <c r="F310">
        <f>IF($A310&gt;cfg_LastDataDate,NA(),Calc_Daily!$F310)</f>
        <v/>
      </c>
      <c r="G310">
        <f>IF($A310&gt;cfg_LastDataDate,NA(),Calc_Daily!$O310)</f>
        <v/>
      </c>
      <c r="H310">
        <f>IF($A310&gt;cfg_LastDataDate,NA(),Calc_Daily!$CS310)</f>
        <v/>
      </c>
      <c r="I310">
        <f>IF($A310&gt;cfg_LastDataDate,NA(),Calc_Daily!$CM310)</f>
        <v/>
      </c>
      <c r="J310">
        <f>IF($A310&gt;cfg_LastDataDate,NA(),Calc_Daily!$HF310)</f>
        <v/>
      </c>
      <c r="K310">
        <f>Calc_Daily!$IT310</f>
        <v/>
      </c>
    </row>
    <row r="311">
      <c r="A311" s="54">
        <f>Calc_Daily!$A311</f>
        <v/>
      </c>
      <c r="B311">
        <f>IF($A311&gt;cfg_LastDataDate,NA(),Calc_Daily!$BZ311)</f>
        <v/>
      </c>
      <c r="C311">
        <f>Calc_Daily!$IG311/Calc_Daily!$D311</f>
        <v/>
      </c>
      <c r="D311">
        <f>IF($A311&gt;cfg_LastDataDate,NA(),Calc_Daily!$CZ311)</f>
        <v/>
      </c>
      <c r="E311">
        <f>Calc_Daily!$IX311</f>
        <v/>
      </c>
      <c r="F311">
        <f>IF($A311&gt;cfg_LastDataDate,NA(),Calc_Daily!$F311)</f>
        <v/>
      </c>
      <c r="G311">
        <f>IF($A311&gt;cfg_LastDataDate,NA(),Calc_Daily!$O311)</f>
        <v/>
      </c>
      <c r="H311">
        <f>IF($A311&gt;cfg_LastDataDate,NA(),Calc_Daily!$CS311)</f>
        <v/>
      </c>
      <c r="I311">
        <f>IF($A311&gt;cfg_LastDataDate,NA(),Calc_Daily!$CM311)</f>
        <v/>
      </c>
      <c r="J311">
        <f>IF($A311&gt;cfg_LastDataDate,NA(),Calc_Daily!$HF311)</f>
        <v/>
      </c>
      <c r="K311">
        <f>Calc_Daily!$IT311</f>
        <v/>
      </c>
    </row>
    <row r="312">
      <c r="A312" s="54">
        <f>Calc_Daily!$A312</f>
        <v/>
      </c>
      <c r="B312">
        <f>IF($A312&gt;cfg_LastDataDate,NA(),Calc_Daily!$BZ312)</f>
        <v/>
      </c>
      <c r="C312">
        <f>Calc_Daily!$IG312/Calc_Daily!$D312</f>
        <v/>
      </c>
      <c r="D312">
        <f>IF($A312&gt;cfg_LastDataDate,NA(),Calc_Daily!$CZ312)</f>
        <v/>
      </c>
      <c r="E312">
        <f>Calc_Daily!$IX312</f>
        <v/>
      </c>
      <c r="F312">
        <f>IF($A312&gt;cfg_LastDataDate,NA(),Calc_Daily!$F312)</f>
        <v/>
      </c>
      <c r="G312">
        <f>IF($A312&gt;cfg_LastDataDate,NA(),Calc_Daily!$O312)</f>
        <v/>
      </c>
      <c r="H312">
        <f>IF($A312&gt;cfg_LastDataDate,NA(),Calc_Daily!$CS312)</f>
        <v/>
      </c>
      <c r="I312">
        <f>IF($A312&gt;cfg_LastDataDate,NA(),Calc_Daily!$CM312)</f>
        <v/>
      </c>
      <c r="J312">
        <f>IF($A312&gt;cfg_LastDataDate,NA(),Calc_Daily!$HF312)</f>
        <v/>
      </c>
      <c r="K312">
        <f>Calc_Daily!$IT312</f>
        <v/>
      </c>
    </row>
    <row r="313">
      <c r="A313" s="54">
        <f>Calc_Daily!$A313</f>
        <v/>
      </c>
      <c r="B313">
        <f>IF($A313&gt;cfg_LastDataDate,NA(),Calc_Daily!$BZ313)</f>
        <v/>
      </c>
      <c r="C313">
        <f>Calc_Daily!$IG313/Calc_Daily!$D313</f>
        <v/>
      </c>
      <c r="D313">
        <f>IF($A313&gt;cfg_LastDataDate,NA(),Calc_Daily!$CZ313)</f>
        <v/>
      </c>
      <c r="E313">
        <f>Calc_Daily!$IX313</f>
        <v/>
      </c>
      <c r="F313">
        <f>IF($A313&gt;cfg_LastDataDate,NA(),Calc_Daily!$F313)</f>
        <v/>
      </c>
      <c r="G313">
        <f>IF($A313&gt;cfg_LastDataDate,NA(),Calc_Daily!$O313)</f>
        <v/>
      </c>
      <c r="H313">
        <f>IF($A313&gt;cfg_LastDataDate,NA(),Calc_Daily!$CS313)</f>
        <v/>
      </c>
      <c r="I313">
        <f>IF($A313&gt;cfg_LastDataDate,NA(),Calc_Daily!$CM313)</f>
        <v/>
      </c>
      <c r="J313">
        <f>IF($A313&gt;cfg_LastDataDate,NA(),Calc_Daily!$HF313)</f>
        <v/>
      </c>
      <c r="K313">
        <f>Calc_Daily!$IT313</f>
        <v/>
      </c>
    </row>
    <row r="314">
      <c r="A314" s="54">
        <f>Calc_Daily!$A314</f>
        <v/>
      </c>
      <c r="B314">
        <f>IF($A314&gt;cfg_LastDataDate,NA(),Calc_Daily!$BZ314)</f>
        <v/>
      </c>
      <c r="C314">
        <f>Calc_Daily!$IG314/Calc_Daily!$D314</f>
        <v/>
      </c>
      <c r="D314">
        <f>IF($A314&gt;cfg_LastDataDate,NA(),Calc_Daily!$CZ314)</f>
        <v/>
      </c>
      <c r="E314">
        <f>Calc_Daily!$IX314</f>
        <v/>
      </c>
      <c r="F314">
        <f>IF($A314&gt;cfg_LastDataDate,NA(),Calc_Daily!$F314)</f>
        <v/>
      </c>
      <c r="G314">
        <f>IF($A314&gt;cfg_LastDataDate,NA(),Calc_Daily!$O314)</f>
        <v/>
      </c>
      <c r="H314">
        <f>IF($A314&gt;cfg_LastDataDate,NA(),Calc_Daily!$CS314)</f>
        <v/>
      </c>
      <c r="I314">
        <f>IF($A314&gt;cfg_LastDataDate,NA(),Calc_Daily!$CM314)</f>
        <v/>
      </c>
      <c r="J314">
        <f>IF($A314&gt;cfg_LastDataDate,NA(),Calc_Daily!$HF314)</f>
        <v/>
      </c>
      <c r="K314">
        <f>Calc_Daily!$IT314</f>
        <v/>
      </c>
    </row>
    <row r="315">
      <c r="A315" s="54">
        <f>Calc_Daily!$A315</f>
        <v/>
      </c>
      <c r="B315">
        <f>IF($A315&gt;cfg_LastDataDate,NA(),Calc_Daily!$BZ315)</f>
        <v/>
      </c>
      <c r="C315">
        <f>Calc_Daily!$IG315/Calc_Daily!$D315</f>
        <v/>
      </c>
      <c r="D315">
        <f>IF($A315&gt;cfg_LastDataDate,NA(),Calc_Daily!$CZ315)</f>
        <v/>
      </c>
      <c r="E315">
        <f>Calc_Daily!$IX315</f>
        <v/>
      </c>
      <c r="F315">
        <f>IF($A315&gt;cfg_LastDataDate,NA(),Calc_Daily!$F315)</f>
        <v/>
      </c>
      <c r="G315">
        <f>IF($A315&gt;cfg_LastDataDate,NA(),Calc_Daily!$O315)</f>
        <v/>
      </c>
      <c r="H315">
        <f>IF($A315&gt;cfg_LastDataDate,NA(),Calc_Daily!$CS315)</f>
        <v/>
      </c>
      <c r="I315">
        <f>IF($A315&gt;cfg_LastDataDate,NA(),Calc_Daily!$CM315)</f>
        <v/>
      </c>
      <c r="J315">
        <f>IF($A315&gt;cfg_LastDataDate,NA(),Calc_Daily!$HF315)</f>
        <v/>
      </c>
      <c r="K315">
        <f>Calc_Daily!$IT315</f>
        <v/>
      </c>
    </row>
    <row r="316">
      <c r="A316" s="54">
        <f>Calc_Daily!$A316</f>
        <v/>
      </c>
      <c r="B316">
        <f>IF($A316&gt;cfg_LastDataDate,NA(),Calc_Daily!$BZ316)</f>
        <v/>
      </c>
      <c r="C316">
        <f>Calc_Daily!$IG316/Calc_Daily!$D316</f>
        <v/>
      </c>
      <c r="D316">
        <f>IF($A316&gt;cfg_LastDataDate,NA(),Calc_Daily!$CZ316)</f>
        <v/>
      </c>
      <c r="E316">
        <f>Calc_Daily!$IX316</f>
        <v/>
      </c>
      <c r="F316">
        <f>IF($A316&gt;cfg_LastDataDate,NA(),Calc_Daily!$F316)</f>
        <v/>
      </c>
      <c r="G316">
        <f>IF($A316&gt;cfg_LastDataDate,NA(),Calc_Daily!$O316)</f>
        <v/>
      </c>
      <c r="H316">
        <f>IF($A316&gt;cfg_LastDataDate,NA(),Calc_Daily!$CS316)</f>
        <v/>
      </c>
      <c r="I316">
        <f>IF($A316&gt;cfg_LastDataDate,NA(),Calc_Daily!$CM316)</f>
        <v/>
      </c>
      <c r="J316">
        <f>IF($A316&gt;cfg_LastDataDate,NA(),Calc_Daily!$HF316)</f>
        <v/>
      </c>
      <c r="K316">
        <f>Calc_Daily!$IT316</f>
        <v/>
      </c>
    </row>
    <row r="317">
      <c r="A317" s="54">
        <f>Calc_Daily!$A317</f>
        <v/>
      </c>
      <c r="B317">
        <f>IF($A317&gt;cfg_LastDataDate,NA(),Calc_Daily!$BZ317)</f>
        <v/>
      </c>
      <c r="C317">
        <f>Calc_Daily!$IG317/Calc_Daily!$D317</f>
        <v/>
      </c>
      <c r="D317">
        <f>IF($A317&gt;cfg_LastDataDate,NA(),Calc_Daily!$CZ317)</f>
        <v/>
      </c>
      <c r="E317">
        <f>Calc_Daily!$IX317</f>
        <v/>
      </c>
      <c r="F317">
        <f>IF($A317&gt;cfg_LastDataDate,NA(),Calc_Daily!$F317)</f>
        <v/>
      </c>
      <c r="G317">
        <f>IF($A317&gt;cfg_LastDataDate,NA(),Calc_Daily!$O317)</f>
        <v/>
      </c>
      <c r="H317">
        <f>IF($A317&gt;cfg_LastDataDate,NA(),Calc_Daily!$CS317)</f>
        <v/>
      </c>
      <c r="I317">
        <f>IF($A317&gt;cfg_LastDataDate,NA(),Calc_Daily!$CM317)</f>
        <v/>
      </c>
      <c r="J317">
        <f>IF($A317&gt;cfg_LastDataDate,NA(),Calc_Daily!$HF317)</f>
        <v/>
      </c>
      <c r="K317">
        <f>Calc_Daily!$IT317</f>
        <v/>
      </c>
    </row>
    <row r="318">
      <c r="A318" s="54">
        <f>Calc_Daily!$A318</f>
        <v/>
      </c>
      <c r="B318">
        <f>IF($A318&gt;cfg_LastDataDate,NA(),Calc_Daily!$BZ318)</f>
        <v/>
      </c>
      <c r="C318">
        <f>Calc_Daily!$IG318/Calc_Daily!$D318</f>
        <v/>
      </c>
      <c r="D318">
        <f>IF($A318&gt;cfg_LastDataDate,NA(),Calc_Daily!$CZ318)</f>
        <v/>
      </c>
      <c r="E318">
        <f>Calc_Daily!$IX318</f>
        <v/>
      </c>
      <c r="F318">
        <f>IF($A318&gt;cfg_LastDataDate,NA(),Calc_Daily!$F318)</f>
        <v/>
      </c>
      <c r="G318">
        <f>IF($A318&gt;cfg_LastDataDate,NA(),Calc_Daily!$O318)</f>
        <v/>
      </c>
      <c r="H318">
        <f>IF($A318&gt;cfg_LastDataDate,NA(),Calc_Daily!$CS318)</f>
        <v/>
      </c>
      <c r="I318">
        <f>IF($A318&gt;cfg_LastDataDate,NA(),Calc_Daily!$CM318)</f>
        <v/>
      </c>
      <c r="J318">
        <f>IF($A318&gt;cfg_LastDataDate,NA(),Calc_Daily!$HF318)</f>
        <v/>
      </c>
      <c r="K318">
        <f>Calc_Daily!$IT318</f>
        <v/>
      </c>
    </row>
    <row r="319">
      <c r="A319" s="54">
        <f>Calc_Daily!$A319</f>
        <v/>
      </c>
      <c r="B319">
        <f>IF($A319&gt;cfg_LastDataDate,NA(),Calc_Daily!$BZ319)</f>
        <v/>
      </c>
      <c r="C319">
        <f>Calc_Daily!$IG319/Calc_Daily!$D319</f>
        <v/>
      </c>
      <c r="D319">
        <f>IF($A319&gt;cfg_LastDataDate,NA(),Calc_Daily!$CZ319)</f>
        <v/>
      </c>
      <c r="E319">
        <f>Calc_Daily!$IX319</f>
        <v/>
      </c>
      <c r="F319">
        <f>IF($A319&gt;cfg_LastDataDate,NA(),Calc_Daily!$F319)</f>
        <v/>
      </c>
      <c r="G319">
        <f>IF($A319&gt;cfg_LastDataDate,NA(),Calc_Daily!$O319)</f>
        <v/>
      </c>
      <c r="H319">
        <f>IF($A319&gt;cfg_LastDataDate,NA(),Calc_Daily!$CS319)</f>
        <v/>
      </c>
      <c r="I319">
        <f>IF($A319&gt;cfg_LastDataDate,NA(),Calc_Daily!$CM319)</f>
        <v/>
      </c>
      <c r="J319">
        <f>IF($A319&gt;cfg_LastDataDate,NA(),Calc_Daily!$HF319)</f>
        <v/>
      </c>
      <c r="K319">
        <f>Calc_Daily!$IT319</f>
        <v/>
      </c>
    </row>
    <row r="320">
      <c r="A320" s="54">
        <f>Calc_Daily!$A320</f>
        <v/>
      </c>
      <c r="B320">
        <f>IF($A320&gt;cfg_LastDataDate,NA(),Calc_Daily!$BZ320)</f>
        <v/>
      </c>
      <c r="C320">
        <f>Calc_Daily!$IG320/Calc_Daily!$D320</f>
        <v/>
      </c>
      <c r="D320">
        <f>IF($A320&gt;cfg_LastDataDate,NA(),Calc_Daily!$CZ320)</f>
        <v/>
      </c>
      <c r="E320">
        <f>Calc_Daily!$IX320</f>
        <v/>
      </c>
      <c r="F320">
        <f>IF($A320&gt;cfg_LastDataDate,NA(),Calc_Daily!$F320)</f>
        <v/>
      </c>
      <c r="G320">
        <f>IF($A320&gt;cfg_LastDataDate,NA(),Calc_Daily!$O320)</f>
        <v/>
      </c>
      <c r="H320">
        <f>IF($A320&gt;cfg_LastDataDate,NA(),Calc_Daily!$CS320)</f>
        <v/>
      </c>
      <c r="I320">
        <f>IF($A320&gt;cfg_LastDataDate,NA(),Calc_Daily!$CM320)</f>
        <v/>
      </c>
      <c r="J320">
        <f>IF($A320&gt;cfg_LastDataDate,NA(),Calc_Daily!$HF320)</f>
        <v/>
      </c>
      <c r="K320">
        <f>Calc_Daily!$IT320</f>
        <v/>
      </c>
    </row>
    <row r="321">
      <c r="A321" s="54">
        <f>Calc_Daily!$A321</f>
        <v/>
      </c>
      <c r="B321">
        <f>IF($A321&gt;cfg_LastDataDate,NA(),Calc_Daily!$BZ321)</f>
        <v/>
      </c>
      <c r="C321">
        <f>Calc_Daily!$IG321/Calc_Daily!$D321</f>
        <v/>
      </c>
      <c r="D321">
        <f>IF($A321&gt;cfg_LastDataDate,NA(),Calc_Daily!$CZ321)</f>
        <v/>
      </c>
      <c r="E321">
        <f>Calc_Daily!$IX321</f>
        <v/>
      </c>
      <c r="F321">
        <f>IF($A321&gt;cfg_LastDataDate,NA(),Calc_Daily!$F321)</f>
        <v/>
      </c>
      <c r="G321">
        <f>IF($A321&gt;cfg_LastDataDate,NA(),Calc_Daily!$O321)</f>
        <v/>
      </c>
      <c r="H321">
        <f>IF($A321&gt;cfg_LastDataDate,NA(),Calc_Daily!$CS321)</f>
        <v/>
      </c>
      <c r="I321">
        <f>IF($A321&gt;cfg_LastDataDate,NA(),Calc_Daily!$CM321)</f>
        <v/>
      </c>
      <c r="J321">
        <f>IF($A321&gt;cfg_LastDataDate,NA(),Calc_Daily!$HF321)</f>
        <v/>
      </c>
      <c r="K321">
        <f>Calc_Daily!$IT321</f>
        <v/>
      </c>
    </row>
    <row r="322">
      <c r="A322" s="54">
        <f>Calc_Daily!$A322</f>
        <v/>
      </c>
      <c r="B322">
        <f>IF($A322&gt;cfg_LastDataDate,NA(),Calc_Daily!$BZ322)</f>
        <v/>
      </c>
      <c r="C322">
        <f>Calc_Daily!$IG322/Calc_Daily!$D322</f>
        <v/>
      </c>
      <c r="D322">
        <f>IF($A322&gt;cfg_LastDataDate,NA(),Calc_Daily!$CZ322)</f>
        <v/>
      </c>
      <c r="E322">
        <f>Calc_Daily!$IX322</f>
        <v/>
      </c>
      <c r="F322">
        <f>IF($A322&gt;cfg_LastDataDate,NA(),Calc_Daily!$F322)</f>
        <v/>
      </c>
      <c r="G322">
        <f>IF($A322&gt;cfg_LastDataDate,NA(),Calc_Daily!$O322)</f>
        <v/>
      </c>
      <c r="H322">
        <f>IF($A322&gt;cfg_LastDataDate,NA(),Calc_Daily!$CS322)</f>
        <v/>
      </c>
      <c r="I322">
        <f>IF($A322&gt;cfg_LastDataDate,NA(),Calc_Daily!$CM322)</f>
        <v/>
      </c>
      <c r="J322">
        <f>IF($A322&gt;cfg_LastDataDate,NA(),Calc_Daily!$HF322)</f>
        <v/>
      </c>
      <c r="K322">
        <f>Calc_Daily!$IT322</f>
        <v/>
      </c>
    </row>
    <row r="323">
      <c r="A323" s="54">
        <f>Calc_Daily!$A323</f>
        <v/>
      </c>
      <c r="B323">
        <f>IF($A323&gt;cfg_LastDataDate,NA(),Calc_Daily!$BZ323)</f>
        <v/>
      </c>
      <c r="C323">
        <f>Calc_Daily!$IG323/Calc_Daily!$D323</f>
        <v/>
      </c>
      <c r="D323">
        <f>IF($A323&gt;cfg_LastDataDate,NA(),Calc_Daily!$CZ323)</f>
        <v/>
      </c>
      <c r="E323">
        <f>Calc_Daily!$IX323</f>
        <v/>
      </c>
      <c r="F323">
        <f>IF($A323&gt;cfg_LastDataDate,NA(),Calc_Daily!$F323)</f>
        <v/>
      </c>
      <c r="G323">
        <f>IF($A323&gt;cfg_LastDataDate,NA(),Calc_Daily!$O323)</f>
        <v/>
      </c>
      <c r="H323">
        <f>IF($A323&gt;cfg_LastDataDate,NA(),Calc_Daily!$CS323)</f>
        <v/>
      </c>
      <c r="I323">
        <f>IF($A323&gt;cfg_LastDataDate,NA(),Calc_Daily!$CM323)</f>
        <v/>
      </c>
      <c r="J323">
        <f>IF($A323&gt;cfg_LastDataDate,NA(),Calc_Daily!$HF323)</f>
        <v/>
      </c>
      <c r="K323">
        <f>Calc_Daily!$IT323</f>
        <v/>
      </c>
    </row>
    <row r="324">
      <c r="A324" s="54">
        <f>Calc_Daily!$A324</f>
        <v/>
      </c>
      <c r="B324">
        <f>IF($A324&gt;cfg_LastDataDate,NA(),Calc_Daily!$BZ324)</f>
        <v/>
      </c>
      <c r="C324">
        <f>Calc_Daily!$IG324/Calc_Daily!$D324</f>
        <v/>
      </c>
      <c r="D324">
        <f>IF($A324&gt;cfg_LastDataDate,NA(),Calc_Daily!$CZ324)</f>
        <v/>
      </c>
      <c r="E324">
        <f>Calc_Daily!$IX324</f>
        <v/>
      </c>
      <c r="F324">
        <f>IF($A324&gt;cfg_LastDataDate,NA(),Calc_Daily!$F324)</f>
        <v/>
      </c>
      <c r="G324">
        <f>IF($A324&gt;cfg_LastDataDate,NA(),Calc_Daily!$O324)</f>
        <v/>
      </c>
      <c r="H324">
        <f>IF($A324&gt;cfg_LastDataDate,NA(),Calc_Daily!$CS324)</f>
        <v/>
      </c>
      <c r="I324">
        <f>IF($A324&gt;cfg_LastDataDate,NA(),Calc_Daily!$CM324)</f>
        <v/>
      </c>
      <c r="J324">
        <f>IF($A324&gt;cfg_LastDataDate,NA(),Calc_Daily!$HF324)</f>
        <v/>
      </c>
      <c r="K324">
        <f>Calc_Daily!$IT324</f>
        <v/>
      </c>
    </row>
    <row r="325">
      <c r="A325" s="54">
        <f>Calc_Daily!$A325</f>
        <v/>
      </c>
      <c r="B325">
        <f>IF($A325&gt;cfg_LastDataDate,NA(),Calc_Daily!$BZ325)</f>
        <v/>
      </c>
      <c r="C325">
        <f>Calc_Daily!$IG325/Calc_Daily!$D325</f>
        <v/>
      </c>
      <c r="D325">
        <f>IF($A325&gt;cfg_LastDataDate,NA(),Calc_Daily!$CZ325)</f>
        <v/>
      </c>
      <c r="E325">
        <f>Calc_Daily!$IX325</f>
        <v/>
      </c>
      <c r="F325">
        <f>IF($A325&gt;cfg_LastDataDate,NA(),Calc_Daily!$F325)</f>
        <v/>
      </c>
      <c r="G325">
        <f>IF($A325&gt;cfg_LastDataDate,NA(),Calc_Daily!$O325)</f>
        <v/>
      </c>
      <c r="H325">
        <f>IF($A325&gt;cfg_LastDataDate,NA(),Calc_Daily!$CS325)</f>
        <v/>
      </c>
      <c r="I325">
        <f>IF($A325&gt;cfg_LastDataDate,NA(),Calc_Daily!$CM325)</f>
        <v/>
      </c>
      <c r="J325">
        <f>IF($A325&gt;cfg_LastDataDate,NA(),Calc_Daily!$HF325)</f>
        <v/>
      </c>
      <c r="K325">
        <f>Calc_Daily!$IT325</f>
        <v/>
      </c>
    </row>
    <row r="326">
      <c r="A326" s="54">
        <f>Calc_Daily!$A326</f>
        <v/>
      </c>
      <c r="B326">
        <f>IF($A326&gt;cfg_LastDataDate,NA(),Calc_Daily!$BZ326)</f>
        <v/>
      </c>
      <c r="C326">
        <f>Calc_Daily!$IG326/Calc_Daily!$D326</f>
        <v/>
      </c>
      <c r="D326">
        <f>IF($A326&gt;cfg_LastDataDate,NA(),Calc_Daily!$CZ326)</f>
        <v/>
      </c>
      <c r="E326">
        <f>Calc_Daily!$IX326</f>
        <v/>
      </c>
      <c r="F326">
        <f>IF($A326&gt;cfg_LastDataDate,NA(),Calc_Daily!$F326)</f>
        <v/>
      </c>
      <c r="G326">
        <f>IF($A326&gt;cfg_LastDataDate,NA(),Calc_Daily!$O326)</f>
        <v/>
      </c>
      <c r="H326">
        <f>IF($A326&gt;cfg_LastDataDate,NA(),Calc_Daily!$CS326)</f>
        <v/>
      </c>
      <c r="I326">
        <f>IF($A326&gt;cfg_LastDataDate,NA(),Calc_Daily!$CM326)</f>
        <v/>
      </c>
      <c r="J326">
        <f>IF($A326&gt;cfg_LastDataDate,NA(),Calc_Daily!$HF326)</f>
        <v/>
      </c>
      <c r="K326">
        <f>Calc_Daily!$IT326</f>
        <v/>
      </c>
    </row>
    <row r="327">
      <c r="A327" s="54">
        <f>Calc_Daily!$A327</f>
        <v/>
      </c>
      <c r="B327">
        <f>IF($A327&gt;cfg_LastDataDate,NA(),Calc_Daily!$BZ327)</f>
        <v/>
      </c>
      <c r="C327">
        <f>Calc_Daily!$IG327/Calc_Daily!$D327</f>
        <v/>
      </c>
      <c r="D327">
        <f>IF($A327&gt;cfg_LastDataDate,NA(),Calc_Daily!$CZ327)</f>
        <v/>
      </c>
      <c r="E327">
        <f>Calc_Daily!$IX327</f>
        <v/>
      </c>
      <c r="F327">
        <f>IF($A327&gt;cfg_LastDataDate,NA(),Calc_Daily!$F327)</f>
        <v/>
      </c>
      <c r="G327">
        <f>IF($A327&gt;cfg_LastDataDate,NA(),Calc_Daily!$O327)</f>
        <v/>
      </c>
      <c r="H327">
        <f>IF($A327&gt;cfg_LastDataDate,NA(),Calc_Daily!$CS327)</f>
        <v/>
      </c>
      <c r="I327">
        <f>IF($A327&gt;cfg_LastDataDate,NA(),Calc_Daily!$CM327)</f>
        <v/>
      </c>
      <c r="J327">
        <f>IF($A327&gt;cfg_LastDataDate,NA(),Calc_Daily!$HF327)</f>
        <v/>
      </c>
      <c r="K327">
        <f>Calc_Daily!$IT327</f>
        <v/>
      </c>
    </row>
    <row r="328">
      <c r="A328" s="54">
        <f>Calc_Daily!$A328</f>
        <v/>
      </c>
      <c r="B328">
        <f>IF($A328&gt;cfg_LastDataDate,NA(),Calc_Daily!$BZ328)</f>
        <v/>
      </c>
      <c r="C328">
        <f>Calc_Daily!$IG328/Calc_Daily!$D328</f>
        <v/>
      </c>
      <c r="D328">
        <f>IF($A328&gt;cfg_LastDataDate,NA(),Calc_Daily!$CZ328)</f>
        <v/>
      </c>
      <c r="E328">
        <f>Calc_Daily!$IX328</f>
        <v/>
      </c>
      <c r="F328">
        <f>IF($A328&gt;cfg_LastDataDate,NA(),Calc_Daily!$F328)</f>
        <v/>
      </c>
      <c r="G328">
        <f>IF($A328&gt;cfg_LastDataDate,NA(),Calc_Daily!$O328)</f>
        <v/>
      </c>
      <c r="H328">
        <f>IF($A328&gt;cfg_LastDataDate,NA(),Calc_Daily!$CS328)</f>
        <v/>
      </c>
      <c r="I328">
        <f>IF($A328&gt;cfg_LastDataDate,NA(),Calc_Daily!$CM328)</f>
        <v/>
      </c>
      <c r="J328">
        <f>IF($A328&gt;cfg_LastDataDate,NA(),Calc_Daily!$HF328)</f>
        <v/>
      </c>
      <c r="K328">
        <f>Calc_Daily!$IT328</f>
        <v/>
      </c>
    </row>
    <row r="329">
      <c r="A329" s="54">
        <f>Calc_Daily!$A329</f>
        <v/>
      </c>
      <c r="B329">
        <f>IF($A329&gt;cfg_LastDataDate,NA(),Calc_Daily!$BZ329)</f>
        <v/>
      </c>
      <c r="C329">
        <f>Calc_Daily!$IG329/Calc_Daily!$D329</f>
        <v/>
      </c>
      <c r="D329">
        <f>IF($A329&gt;cfg_LastDataDate,NA(),Calc_Daily!$CZ329)</f>
        <v/>
      </c>
      <c r="E329">
        <f>Calc_Daily!$IX329</f>
        <v/>
      </c>
      <c r="F329">
        <f>IF($A329&gt;cfg_LastDataDate,NA(),Calc_Daily!$F329)</f>
        <v/>
      </c>
      <c r="G329">
        <f>IF($A329&gt;cfg_LastDataDate,NA(),Calc_Daily!$O329)</f>
        <v/>
      </c>
      <c r="H329">
        <f>IF($A329&gt;cfg_LastDataDate,NA(),Calc_Daily!$CS329)</f>
        <v/>
      </c>
      <c r="I329">
        <f>IF($A329&gt;cfg_LastDataDate,NA(),Calc_Daily!$CM329)</f>
        <v/>
      </c>
      <c r="J329">
        <f>IF($A329&gt;cfg_LastDataDate,NA(),Calc_Daily!$HF329)</f>
        <v/>
      </c>
      <c r="K329">
        <f>Calc_Daily!$IT329</f>
        <v/>
      </c>
    </row>
    <row r="330">
      <c r="A330" s="54">
        <f>Calc_Daily!$A330</f>
        <v/>
      </c>
      <c r="B330">
        <f>IF($A330&gt;cfg_LastDataDate,NA(),Calc_Daily!$BZ330)</f>
        <v/>
      </c>
      <c r="C330">
        <f>Calc_Daily!$IG330/Calc_Daily!$D330</f>
        <v/>
      </c>
      <c r="D330">
        <f>IF($A330&gt;cfg_LastDataDate,NA(),Calc_Daily!$CZ330)</f>
        <v/>
      </c>
      <c r="E330">
        <f>Calc_Daily!$IX330</f>
        <v/>
      </c>
      <c r="F330">
        <f>IF($A330&gt;cfg_LastDataDate,NA(),Calc_Daily!$F330)</f>
        <v/>
      </c>
      <c r="G330">
        <f>IF($A330&gt;cfg_LastDataDate,NA(),Calc_Daily!$O330)</f>
        <v/>
      </c>
      <c r="H330">
        <f>IF($A330&gt;cfg_LastDataDate,NA(),Calc_Daily!$CS330)</f>
        <v/>
      </c>
      <c r="I330">
        <f>IF($A330&gt;cfg_LastDataDate,NA(),Calc_Daily!$CM330)</f>
        <v/>
      </c>
      <c r="J330">
        <f>IF($A330&gt;cfg_LastDataDate,NA(),Calc_Daily!$HF330)</f>
        <v/>
      </c>
      <c r="K330">
        <f>Calc_Daily!$IT330</f>
        <v/>
      </c>
    </row>
    <row r="331">
      <c r="A331" s="54">
        <f>Calc_Daily!$A331</f>
        <v/>
      </c>
      <c r="B331">
        <f>IF($A331&gt;cfg_LastDataDate,NA(),Calc_Daily!$BZ331)</f>
        <v/>
      </c>
      <c r="C331">
        <f>Calc_Daily!$IG331/Calc_Daily!$D331</f>
        <v/>
      </c>
      <c r="D331">
        <f>IF($A331&gt;cfg_LastDataDate,NA(),Calc_Daily!$CZ331)</f>
        <v/>
      </c>
      <c r="E331">
        <f>Calc_Daily!$IX331</f>
        <v/>
      </c>
      <c r="F331">
        <f>IF($A331&gt;cfg_LastDataDate,NA(),Calc_Daily!$F331)</f>
        <v/>
      </c>
      <c r="G331">
        <f>IF($A331&gt;cfg_LastDataDate,NA(),Calc_Daily!$O331)</f>
        <v/>
      </c>
      <c r="H331">
        <f>IF($A331&gt;cfg_LastDataDate,NA(),Calc_Daily!$CS331)</f>
        <v/>
      </c>
      <c r="I331">
        <f>IF($A331&gt;cfg_LastDataDate,NA(),Calc_Daily!$CM331)</f>
        <v/>
      </c>
      <c r="J331">
        <f>IF($A331&gt;cfg_LastDataDate,NA(),Calc_Daily!$HF331)</f>
        <v/>
      </c>
      <c r="K331">
        <f>Calc_Daily!$IT331</f>
        <v/>
      </c>
    </row>
    <row r="332">
      <c r="A332" s="54">
        <f>Calc_Daily!$A332</f>
        <v/>
      </c>
      <c r="B332">
        <f>IF($A332&gt;cfg_LastDataDate,NA(),Calc_Daily!$BZ332)</f>
        <v/>
      </c>
      <c r="C332">
        <f>Calc_Daily!$IG332/Calc_Daily!$D332</f>
        <v/>
      </c>
      <c r="D332">
        <f>IF($A332&gt;cfg_LastDataDate,NA(),Calc_Daily!$CZ332)</f>
        <v/>
      </c>
      <c r="E332">
        <f>Calc_Daily!$IX332</f>
        <v/>
      </c>
      <c r="F332">
        <f>IF($A332&gt;cfg_LastDataDate,NA(),Calc_Daily!$F332)</f>
        <v/>
      </c>
      <c r="G332">
        <f>IF($A332&gt;cfg_LastDataDate,NA(),Calc_Daily!$O332)</f>
        <v/>
      </c>
      <c r="H332">
        <f>IF($A332&gt;cfg_LastDataDate,NA(),Calc_Daily!$CS332)</f>
        <v/>
      </c>
      <c r="I332">
        <f>IF($A332&gt;cfg_LastDataDate,NA(),Calc_Daily!$CM332)</f>
        <v/>
      </c>
      <c r="J332">
        <f>IF($A332&gt;cfg_LastDataDate,NA(),Calc_Daily!$HF332)</f>
        <v/>
      </c>
      <c r="K332">
        <f>Calc_Daily!$IT332</f>
        <v/>
      </c>
    </row>
    <row r="333">
      <c r="A333" s="54">
        <f>Calc_Daily!$A333</f>
        <v/>
      </c>
      <c r="B333">
        <f>IF($A333&gt;cfg_LastDataDate,NA(),Calc_Daily!$BZ333)</f>
        <v/>
      </c>
      <c r="C333">
        <f>Calc_Daily!$IG333/Calc_Daily!$D333</f>
        <v/>
      </c>
      <c r="D333">
        <f>IF($A333&gt;cfg_LastDataDate,NA(),Calc_Daily!$CZ333)</f>
        <v/>
      </c>
      <c r="E333">
        <f>Calc_Daily!$IX333</f>
        <v/>
      </c>
      <c r="F333">
        <f>IF($A333&gt;cfg_LastDataDate,NA(),Calc_Daily!$F333)</f>
        <v/>
      </c>
      <c r="G333">
        <f>IF($A333&gt;cfg_LastDataDate,NA(),Calc_Daily!$O333)</f>
        <v/>
      </c>
      <c r="H333">
        <f>IF($A333&gt;cfg_LastDataDate,NA(),Calc_Daily!$CS333)</f>
        <v/>
      </c>
      <c r="I333">
        <f>IF($A333&gt;cfg_LastDataDate,NA(),Calc_Daily!$CM333)</f>
        <v/>
      </c>
      <c r="J333">
        <f>IF($A333&gt;cfg_LastDataDate,NA(),Calc_Daily!$HF333)</f>
        <v/>
      </c>
      <c r="K333">
        <f>Calc_Daily!$IT333</f>
        <v/>
      </c>
    </row>
    <row r="334">
      <c r="A334" s="54">
        <f>Calc_Daily!$A334</f>
        <v/>
      </c>
      <c r="B334">
        <f>IF($A334&gt;cfg_LastDataDate,NA(),Calc_Daily!$BZ334)</f>
        <v/>
      </c>
      <c r="C334">
        <f>Calc_Daily!$IG334/Calc_Daily!$D334</f>
        <v/>
      </c>
      <c r="D334">
        <f>IF($A334&gt;cfg_LastDataDate,NA(),Calc_Daily!$CZ334)</f>
        <v/>
      </c>
      <c r="E334">
        <f>Calc_Daily!$IX334</f>
        <v/>
      </c>
      <c r="F334">
        <f>IF($A334&gt;cfg_LastDataDate,NA(),Calc_Daily!$F334)</f>
        <v/>
      </c>
      <c r="G334">
        <f>IF($A334&gt;cfg_LastDataDate,NA(),Calc_Daily!$O334)</f>
        <v/>
      </c>
      <c r="H334">
        <f>IF($A334&gt;cfg_LastDataDate,NA(),Calc_Daily!$CS334)</f>
        <v/>
      </c>
      <c r="I334">
        <f>IF($A334&gt;cfg_LastDataDate,NA(),Calc_Daily!$CM334)</f>
        <v/>
      </c>
      <c r="J334">
        <f>IF($A334&gt;cfg_LastDataDate,NA(),Calc_Daily!$HF334)</f>
        <v/>
      </c>
      <c r="K334">
        <f>Calc_Daily!$IT334</f>
        <v/>
      </c>
    </row>
    <row r="335">
      <c r="A335" s="54">
        <f>Calc_Daily!$A335</f>
        <v/>
      </c>
      <c r="B335">
        <f>IF($A335&gt;cfg_LastDataDate,NA(),Calc_Daily!$BZ335)</f>
        <v/>
      </c>
      <c r="C335">
        <f>Calc_Daily!$IG335/Calc_Daily!$D335</f>
        <v/>
      </c>
      <c r="D335">
        <f>IF($A335&gt;cfg_LastDataDate,NA(),Calc_Daily!$CZ335)</f>
        <v/>
      </c>
      <c r="E335">
        <f>Calc_Daily!$IX335</f>
        <v/>
      </c>
      <c r="F335">
        <f>IF($A335&gt;cfg_LastDataDate,NA(),Calc_Daily!$F335)</f>
        <v/>
      </c>
      <c r="G335">
        <f>IF($A335&gt;cfg_LastDataDate,NA(),Calc_Daily!$O335)</f>
        <v/>
      </c>
      <c r="H335">
        <f>IF($A335&gt;cfg_LastDataDate,NA(),Calc_Daily!$CS335)</f>
        <v/>
      </c>
      <c r="I335">
        <f>IF($A335&gt;cfg_LastDataDate,NA(),Calc_Daily!$CM335)</f>
        <v/>
      </c>
      <c r="J335">
        <f>IF($A335&gt;cfg_LastDataDate,NA(),Calc_Daily!$HF335)</f>
        <v/>
      </c>
      <c r="K335">
        <f>Calc_Daily!$IT335</f>
        <v/>
      </c>
    </row>
    <row r="336">
      <c r="A336" s="54">
        <f>Calc_Daily!$A336</f>
        <v/>
      </c>
      <c r="B336">
        <f>IF($A336&gt;cfg_LastDataDate,NA(),Calc_Daily!$BZ336)</f>
        <v/>
      </c>
      <c r="C336">
        <f>Calc_Daily!$IG336/Calc_Daily!$D336</f>
        <v/>
      </c>
      <c r="D336">
        <f>IF($A336&gt;cfg_LastDataDate,NA(),Calc_Daily!$CZ336)</f>
        <v/>
      </c>
      <c r="E336">
        <f>Calc_Daily!$IX336</f>
        <v/>
      </c>
      <c r="F336">
        <f>IF($A336&gt;cfg_LastDataDate,NA(),Calc_Daily!$F336)</f>
        <v/>
      </c>
      <c r="G336">
        <f>IF($A336&gt;cfg_LastDataDate,NA(),Calc_Daily!$O336)</f>
        <v/>
      </c>
      <c r="H336">
        <f>IF($A336&gt;cfg_LastDataDate,NA(),Calc_Daily!$CS336)</f>
        <v/>
      </c>
      <c r="I336">
        <f>IF($A336&gt;cfg_LastDataDate,NA(),Calc_Daily!$CM336)</f>
        <v/>
      </c>
      <c r="J336">
        <f>IF($A336&gt;cfg_LastDataDate,NA(),Calc_Daily!$HF336)</f>
        <v/>
      </c>
      <c r="K336">
        <f>Calc_Daily!$IT336</f>
        <v/>
      </c>
    </row>
    <row r="337">
      <c r="A337" s="54">
        <f>Calc_Daily!$A337</f>
        <v/>
      </c>
      <c r="B337">
        <f>IF($A337&gt;cfg_LastDataDate,NA(),Calc_Daily!$BZ337)</f>
        <v/>
      </c>
      <c r="C337">
        <f>Calc_Daily!$IG337/Calc_Daily!$D337</f>
        <v/>
      </c>
      <c r="D337">
        <f>IF($A337&gt;cfg_LastDataDate,NA(),Calc_Daily!$CZ337)</f>
        <v/>
      </c>
      <c r="E337">
        <f>Calc_Daily!$IX337</f>
        <v/>
      </c>
      <c r="F337">
        <f>IF($A337&gt;cfg_LastDataDate,NA(),Calc_Daily!$F337)</f>
        <v/>
      </c>
      <c r="G337">
        <f>IF($A337&gt;cfg_LastDataDate,NA(),Calc_Daily!$O337)</f>
        <v/>
      </c>
      <c r="H337">
        <f>IF($A337&gt;cfg_LastDataDate,NA(),Calc_Daily!$CS337)</f>
        <v/>
      </c>
      <c r="I337">
        <f>IF($A337&gt;cfg_LastDataDate,NA(),Calc_Daily!$CM337)</f>
        <v/>
      </c>
      <c r="J337">
        <f>IF($A337&gt;cfg_LastDataDate,NA(),Calc_Daily!$HF337)</f>
        <v/>
      </c>
      <c r="K337">
        <f>Calc_Daily!$IT337</f>
        <v/>
      </c>
    </row>
    <row r="338">
      <c r="A338" s="54">
        <f>Calc_Daily!$A338</f>
        <v/>
      </c>
      <c r="B338">
        <f>IF($A338&gt;cfg_LastDataDate,NA(),Calc_Daily!$BZ338)</f>
        <v/>
      </c>
      <c r="C338">
        <f>Calc_Daily!$IG338/Calc_Daily!$D338</f>
        <v/>
      </c>
      <c r="D338">
        <f>IF($A338&gt;cfg_LastDataDate,NA(),Calc_Daily!$CZ338)</f>
        <v/>
      </c>
      <c r="E338">
        <f>Calc_Daily!$IX338</f>
        <v/>
      </c>
      <c r="F338">
        <f>IF($A338&gt;cfg_LastDataDate,NA(),Calc_Daily!$F338)</f>
        <v/>
      </c>
      <c r="G338">
        <f>IF($A338&gt;cfg_LastDataDate,NA(),Calc_Daily!$O338)</f>
        <v/>
      </c>
      <c r="H338">
        <f>IF($A338&gt;cfg_LastDataDate,NA(),Calc_Daily!$CS338)</f>
        <v/>
      </c>
      <c r="I338">
        <f>IF($A338&gt;cfg_LastDataDate,NA(),Calc_Daily!$CM338)</f>
        <v/>
      </c>
      <c r="J338">
        <f>IF($A338&gt;cfg_LastDataDate,NA(),Calc_Daily!$HF338)</f>
        <v/>
      </c>
      <c r="K338">
        <f>Calc_Daily!$IT338</f>
        <v/>
      </c>
    </row>
    <row r="339">
      <c r="A339" s="54">
        <f>Calc_Daily!$A339</f>
        <v/>
      </c>
      <c r="B339">
        <f>IF($A339&gt;cfg_LastDataDate,NA(),Calc_Daily!$BZ339)</f>
        <v/>
      </c>
      <c r="C339">
        <f>Calc_Daily!$IG339/Calc_Daily!$D339</f>
        <v/>
      </c>
      <c r="D339">
        <f>IF($A339&gt;cfg_LastDataDate,NA(),Calc_Daily!$CZ339)</f>
        <v/>
      </c>
      <c r="E339">
        <f>Calc_Daily!$IX339</f>
        <v/>
      </c>
      <c r="F339">
        <f>IF($A339&gt;cfg_LastDataDate,NA(),Calc_Daily!$F339)</f>
        <v/>
      </c>
      <c r="G339">
        <f>IF($A339&gt;cfg_LastDataDate,NA(),Calc_Daily!$O339)</f>
        <v/>
      </c>
      <c r="H339">
        <f>IF($A339&gt;cfg_LastDataDate,NA(),Calc_Daily!$CS339)</f>
        <v/>
      </c>
      <c r="I339">
        <f>IF($A339&gt;cfg_LastDataDate,NA(),Calc_Daily!$CM339)</f>
        <v/>
      </c>
      <c r="J339">
        <f>IF($A339&gt;cfg_LastDataDate,NA(),Calc_Daily!$HF339)</f>
        <v/>
      </c>
      <c r="K339">
        <f>Calc_Daily!$IT339</f>
        <v/>
      </c>
    </row>
    <row r="340">
      <c r="A340" s="54">
        <f>Calc_Daily!$A340</f>
        <v/>
      </c>
      <c r="B340">
        <f>IF($A340&gt;cfg_LastDataDate,NA(),Calc_Daily!$BZ340)</f>
        <v/>
      </c>
      <c r="C340">
        <f>Calc_Daily!$IG340/Calc_Daily!$D340</f>
        <v/>
      </c>
      <c r="D340">
        <f>IF($A340&gt;cfg_LastDataDate,NA(),Calc_Daily!$CZ340)</f>
        <v/>
      </c>
      <c r="E340">
        <f>Calc_Daily!$IX340</f>
        <v/>
      </c>
      <c r="F340">
        <f>IF($A340&gt;cfg_LastDataDate,NA(),Calc_Daily!$F340)</f>
        <v/>
      </c>
      <c r="G340">
        <f>IF($A340&gt;cfg_LastDataDate,NA(),Calc_Daily!$O340)</f>
        <v/>
      </c>
      <c r="H340">
        <f>IF($A340&gt;cfg_LastDataDate,NA(),Calc_Daily!$CS340)</f>
        <v/>
      </c>
      <c r="I340">
        <f>IF($A340&gt;cfg_LastDataDate,NA(),Calc_Daily!$CM340)</f>
        <v/>
      </c>
      <c r="J340">
        <f>IF($A340&gt;cfg_LastDataDate,NA(),Calc_Daily!$HF340)</f>
        <v/>
      </c>
      <c r="K340">
        <f>Calc_Daily!$IT340</f>
        <v/>
      </c>
    </row>
    <row r="341">
      <c r="A341" s="54">
        <f>Calc_Daily!$A341</f>
        <v/>
      </c>
      <c r="B341">
        <f>IF($A341&gt;cfg_LastDataDate,NA(),Calc_Daily!$BZ341)</f>
        <v/>
      </c>
      <c r="C341">
        <f>Calc_Daily!$IG341/Calc_Daily!$D341</f>
        <v/>
      </c>
      <c r="D341">
        <f>IF($A341&gt;cfg_LastDataDate,NA(),Calc_Daily!$CZ341)</f>
        <v/>
      </c>
      <c r="E341">
        <f>Calc_Daily!$IX341</f>
        <v/>
      </c>
      <c r="F341">
        <f>IF($A341&gt;cfg_LastDataDate,NA(),Calc_Daily!$F341)</f>
        <v/>
      </c>
      <c r="G341">
        <f>IF($A341&gt;cfg_LastDataDate,NA(),Calc_Daily!$O341)</f>
        <v/>
      </c>
      <c r="H341">
        <f>IF($A341&gt;cfg_LastDataDate,NA(),Calc_Daily!$CS341)</f>
        <v/>
      </c>
      <c r="I341">
        <f>IF($A341&gt;cfg_LastDataDate,NA(),Calc_Daily!$CM341)</f>
        <v/>
      </c>
      <c r="J341">
        <f>IF($A341&gt;cfg_LastDataDate,NA(),Calc_Daily!$HF341)</f>
        <v/>
      </c>
      <c r="K341">
        <f>Calc_Daily!$IT341</f>
        <v/>
      </c>
    </row>
    <row r="342">
      <c r="A342" s="54">
        <f>Calc_Daily!$A342</f>
        <v/>
      </c>
      <c r="B342">
        <f>IF($A342&gt;cfg_LastDataDate,NA(),Calc_Daily!$BZ342)</f>
        <v/>
      </c>
      <c r="C342">
        <f>Calc_Daily!$IG342/Calc_Daily!$D342</f>
        <v/>
      </c>
      <c r="D342">
        <f>IF($A342&gt;cfg_LastDataDate,NA(),Calc_Daily!$CZ342)</f>
        <v/>
      </c>
      <c r="E342">
        <f>Calc_Daily!$IX342</f>
        <v/>
      </c>
      <c r="F342">
        <f>IF($A342&gt;cfg_LastDataDate,NA(),Calc_Daily!$F342)</f>
        <v/>
      </c>
      <c r="G342">
        <f>IF($A342&gt;cfg_LastDataDate,NA(),Calc_Daily!$O342)</f>
        <v/>
      </c>
      <c r="H342">
        <f>IF($A342&gt;cfg_LastDataDate,NA(),Calc_Daily!$CS342)</f>
        <v/>
      </c>
      <c r="I342">
        <f>IF($A342&gt;cfg_LastDataDate,NA(),Calc_Daily!$CM342)</f>
        <v/>
      </c>
      <c r="J342">
        <f>IF($A342&gt;cfg_LastDataDate,NA(),Calc_Daily!$HF342)</f>
        <v/>
      </c>
      <c r="K342">
        <f>Calc_Daily!$IT342</f>
        <v/>
      </c>
    </row>
    <row r="343">
      <c r="A343" s="54">
        <f>Calc_Daily!$A343</f>
        <v/>
      </c>
      <c r="B343">
        <f>IF($A343&gt;cfg_LastDataDate,NA(),Calc_Daily!$BZ343)</f>
        <v/>
      </c>
      <c r="C343">
        <f>Calc_Daily!$IG343/Calc_Daily!$D343</f>
        <v/>
      </c>
      <c r="D343">
        <f>IF($A343&gt;cfg_LastDataDate,NA(),Calc_Daily!$CZ343)</f>
        <v/>
      </c>
      <c r="E343">
        <f>Calc_Daily!$IX343</f>
        <v/>
      </c>
      <c r="F343">
        <f>IF($A343&gt;cfg_LastDataDate,NA(),Calc_Daily!$F343)</f>
        <v/>
      </c>
      <c r="G343">
        <f>IF($A343&gt;cfg_LastDataDate,NA(),Calc_Daily!$O343)</f>
        <v/>
      </c>
      <c r="H343">
        <f>IF($A343&gt;cfg_LastDataDate,NA(),Calc_Daily!$CS343)</f>
        <v/>
      </c>
      <c r="I343">
        <f>IF($A343&gt;cfg_LastDataDate,NA(),Calc_Daily!$CM343)</f>
        <v/>
      </c>
      <c r="J343">
        <f>IF($A343&gt;cfg_LastDataDate,NA(),Calc_Daily!$HF343)</f>
        <v/>
      </c>
      <c r="K343">
        <f>Calc_Daily!$IT343</f>
        <v/>
      </c>
    </row>
    <row r="344">
      <c r="A344" s="54">
        <f>Calc_Daily!$A344</f>
        <v/>
      </c>
      <c r="B344">
        <f>IF($A344&gt;cfg_LastDataDate,NA(),Calc_Daily!$BZ344)</f>
        <v/>
      </c>
      <c r="C344">
        <f>Calc_Daily!$IG344/Calc_Daily!$D344</f>
        <v/>
      </c>
      <c r="D344">
        <f>IF($A344&gt;cfg_LastDataDate,NA(),Calc_Daily!$CZ344)</f>
        <v/>
      </c>
      <c r="E344">
        <f>Calc_Daily!$IX344</f>
        <v/>
      </c>
      <c r="F344">
        <f>IF($A344&gt;cfg_LastDataDate,NA(),Calc_Daily!$F344)</f>
        <v/>
      </c>
      <c r="G344">
        <f>IF($A344&gt;cfg_LastDataDate,NA(),Calc_Daily!$O344)</f>
        <v/>
      </c>
      <c r="H344">
        <f>IF($A344&gt;cfg_LastDataDate,NA(),Calc_Daily!$CS344)</f>
        <v/>
      </c>
      <c r="I344">
        <f>IF($A344&gt;cfg_LastDataDate,NA(),Calc_Daily!$CM344)</f>
        <v/>
      </c>
      <c r="J344">
        <f>IF($A344&gt;cfg_LastDataDate,NA(),Calc_Daily!$HF344)</f>
        <v/>
      </c>
      <c r="K344">
        <f>Calc_Daily!$IT344</f>
        <v/>
      </c>
    </row>
    <row r="345">
      <c r="A345" s="54">
        <f>Calc_Daily!$A345</f>
        <v/>
      </c>
      <c r="B345">
        <f>IF($A345&gt;cfg_LastDataDate,NA(),Calc_Daily!$BZ345)</f>
        <v/>
      </c>
      <c r="C345">
        <f>Calc_Daily!$IG345/Calc_Daily!$D345</f>
        <v/>
      </c>
      <c r="D345">
        <f>IF($A345&gt;cfg_LastDataDate,NA(),Calc_Daily!$CZ345)</f>
        <v/>
      </c>
      <c r="E345">
        <f>Calc_Daily!$IX345</f>
        <v/>
      </c>
      <c r="F345">
        <f>IF($A345&gt;cfg_LastDataDate,NA(),Calc_Daily!$F345)</f>
        <v/>
      </c>
      <c r="G345">
        <f>IF($A345&gt;cfg_LastDataDate,NA(),Calc_Daily!$O345)</f>
        <v/>
      </c>
      <c r="H345">
        <f>IF($A345&gt;cfg_LastDataDate,NA(),Calc_Daily!$CS345)</f>
        <v/>
      </c>
      <c r="I345">
        <f>IF($A345&gt;cfg_LastDataDate,NA(),Calc_Daily!$CM345)</f>
        <v/>
      </c>
      <c r="J345">
        <f>IF($A345&gt;cfg_LastDataDate,NA(),Calc_Daily!$HF345)</f>
        <v/>
      </c>
      <c r="K345">
        <f>Calc_Daily!$IT345</f>
        <v/>
      </c>
    </row>
    <row r="346">
      <c r="A346" s="54">
        <f>Calc_Daily!$A346</f>
        <v/>
      </c>
      <c r="B346">
        <f>IF($A346&gt;cfg_LastDataDate,NA(),Calc_Daily!$BZ346)</f>
        <v/>
      </c>
      <c r="C346">
        <f>Calc_Daily!$IG346/Calc_Daily!$D346</f>
        <v/>
      </c>
      <c r="D346">
        <f>IF($A346&gt;cfg_LastDataDate,NA(),Calc_Daily!$CZ346)</f>
        <v/>
      </c>
      <c r="E346">
        <f>Calc_Daily!$IX346</f>
        <v/>
      </c>
      <c r="F346">
        <f>IF($A346&gt;cfg_LastDataDate,NA(),Calc_Daily!$F346)</f>
        <v/>
      </c>
      <c r="G346">
        <f>IF($A346&gt;cfg_LastDataDate,NA(),Calc_Daily!$O346)</f>
        <v/>
      </c>
      <c r="H346">
        <f>IF($A346&gt;cfg_LastDataDate,NA(),Calc_Daily!$CS346)</f>
        <v/>
      </c>
      <c r="I346">
        <f>IF($A346&gt;cfg_LastDataDate,NA(),Calc_Daily!$CM346)</f>
        <v/>
      </c>
      <c r="J346">
        <f>IF($A346&gt;cfg_LastDataDate,NA(),Calc_Daily!$HF346)</f>
        <v/>
      </c>
      <c r="K346">
        <f>Calc_Daily!$IT346</f>
        <v/>
      </c>
    </row>
    <row r="347">
      <c r="A347" s="54">
        <f>Calc_Daily!$A347</f>
        <v/>
      </c>
      <c r="B347">
        <f>IF($A347&gt;cfg_LastDataDate,NA(),Calc_Daily!$BZ347)</f>
        <v/>
      </c>
      <c r="C347">
        <f>Calc_Daily!$IG347/Calc_Daily!$D347</f>
        <v/>
      </c>
      <c r="D347">
        <f>IF($A347&gt;cfg_LastDataDate,NA(),Calc_Daily!$CZ347)</f>
        <v/>
      </c>
      <c r="E347">
        <f>Calc_Daily!$IX347</f>
        <v/>
      </c>
      <c r="F347">
        <f>IF($A347&gt;cfg_LastDataDate,NA(),Calc_Daily!$F347)</f>
        <v/>
      </c>
      <c r="G347">
        <f>IF($A347&gt;cfg_LastDataDate,NA(),Calc_Daily!$O347)</f>
        <v/>
      </c>
      <c r="H347">
        <f>IF($A347&gt;cfg_LastDataDate,NA(),Calc_Daily!$CS347)</f>
        <v/>
      </c>
      <c r="I347">
        <f>IF($A347&gt;cfg_LastDataDate,NA(),Calc_Daily!$CM347)</f>
        <v/>
      </c>
      <c r="J347">
        <f>IF($A347&gt;cfg_LastDataDate,NA(),Calc_Daily!$HF347)</f>
        <v/>
      </c>
      <c r="K347">
        <f>Calc_Daily!$IT347</f>
        <v/>
      </c>
    </row>
    <row r="348">
      <c r="A348" s="54">
        <f>Calc_Daily!$A348</f>
        <v/>
      </c>
      <c r="B348">
        <f>IF($A348&gt;cfg_LastDataDate,NA(),Calc_Daily!$BZ348)</f>
        <v/>
      </c>
      <c r="C348">
        <f>Calc_Daily!$IG348/Calc_Daily!$D348</f>
        <v/>
      </c>
      <c r="D348">
        <f>IF($A348&gt;cfg_LastDataDate,NA(),Calc_Daily!$CZ348)</f>
        <v/>
      </c>
      <c r="E348">
        <f>Calc_Daily!$IX348</f>
        <v/>
      </c>
      <c r="F348">
        <f>IF($A348&gt;cfg_LastDataDate,NA(),Calc_Daily!$F348)</f>
        <v/>
      </c>
      <c r="G348">
        <f>IF($A348&gt;cfg_LastDataDate,NA(),Calc_Daily!$O348)</f>
        <v/>
      </c>
      <c r="H348">
        <f>IF($A348&gt;cfg_LastDataDate,NA(),Calc_Daily!$CS348)</f>
        <v/>
      </c>
      <c r="I348">
        <f>IF($A348&gt;cfg_LastDataDate,NA(),Calc_Daily!$CM348)</f>
        <v/>
      </c>
      <c r="J348">
        <f>IF($A348&gt;cfg_LastDataDate,NA(),Calc_Daily!$HF348)</f>
        <v/>
      </c>
      <c r="K348">
        <f>Calc_Daily!$IT348</f>
        <v/>
      </c>
    </row>
    <row r="349">
      <c r="A349" s="54">
        <f>Calc_Daily!$A349</f>
        <v/>
      </c>
      <c r="B349">
        <f>IF($A349&gt;cfg_LastDataDate,NA(),Calc_Daily!$BZ349)</f>
        <v/>
      </c>
      <c r="C349">
        <f>Calc_Daily!$IG349/Calc_Daily!$D349</f>
        <v/>
      </c>
      <c r="D349">
        <f>IF($A349&gt;cfg_LastDataDate,NA(),Calc_Daily!$CZ349)</f>
        <v/>
      </c>
      <c r="E349">
        <f>Calc_Daily!$IX349</f>
        <v/>
      </c>
      <c r="F349">
        <f>IF($A349&gt;cfg_LastDataDate,NA(),Calc_Daily!$F349)</f>
        <v/>
      </c>
      <c r="G349">
        <f>IF($A349&gt;cfg_LastDataDate,NA(),Calc_Daily!$O349)</f>
        <v/>
      </c>
      <c r="H349">
        <f>IF($A349&gt;cfg_LastDataDate,NA(),Calc_Daily!$CS349)</f>
        <v/>
      </c>
      <c r="I349">
        <f>IF($A349&gt;cfg_LastDataDate,NA(),Calc_Daily!$CM349)</f>
        <v/>
      </c>
      <c r="J349">
        <f>IF($A349&gt;cfg_LastDataDate,NA(),Calc_Daily!$HF349)</f>
        <v/>
      </c>
      <c r="K349">
        <f>Calc_Daily!$IT349</f>
        <v/>
      </c>
    </row>
    <row r="350">
      <c r="A350" s="54">
        <f>Calc_Daily!$A350</f>
        <v/>
      </c>
      <c r="B350">
        <f>IF($A350&gt;cfg_LastDataDate,NA(),Calc_Daily!$BZ350)</f>
        <v/>
      </c>
      <c r="C350">
        <f>Calc_Daily!$IG350/Calc_Daily!$D350</f>
        <v/>
      </c>
      <c r="D350">
        <f>IF($A350&gt;cfg_LastDataDate,NA(),Calc_Daily!$CZ350)</f>
        <v/>
      </c>
      <c r="E350">
        <f>Calc_Daily!$IX350</f>
        <v/>
      </c>
      <c r="F350">
        <f>IF($A350&gt;cfg_LastDataDate,NA(),Calc_Daily!$F350)</f>
        <v/>
      </c>
      <c r="G350">
        <f>IF($A350&gt;cfg_LastDataDate,NA(),Calc_Daily!$O350)</f>
        <v/>
      </c>
      <c r="H350">
        <f>IF($A350&gt;cfg_LastDataDate,NA(),Calc_Daily!$CS350)</f>
        <v/>
      </c>
      <c r="I350">
        <f>IF($A350&gt;cfg_LastDataDate,NA(),Calc_Daily!$CM350)</f>
        <v/>
      </c>
      <c r="J350">
        <f>IF($A350&gt;cfg_LastDataDate,NA(),Calc_Daily!$HF350)</f>
        <v/>
      </c>
      <c r="K350">
        <f>Calc_Daily!$IT350</f>
        <v/>
      </c>
    </row>
    <row r="351">
      <c r="A351" s="54">
        <f>Calc_Daily!$A351</f>
        <v/>
      </c>
      <c r="B351">
        <f>IF($A351&gt;cfg_LastDataDate,NA(),Calc_Daily!$BZ351)</f>
        <v/>
      </c>
      <c r="C351">
        <f>Calc_Daily!$IG351/Calc_Daily!$D351</f>
        <v/>
      </c>
      <c r="D351">
        <f>IF($A351&gt;cfg_LastDataDate,NA(),Calc_Daily!$CZ351)</f>
        <v/>
      </c>
      <c r="E351">
        <f>Calc_Daily!$IX351</f>
        <v/>
      </c>
      <c r="F351">
        <f>IF($A351&gt;cfg_LastDataDate,NA(),Calc_Daily!$F351)</f>
        <v/>
      </c>
      <c r="G351">
        <f>IF($A351&gt;cfg_LastDataDate,NA(),Calc_Daily!$O351)</f>
        <v/>
      </c>
      <c r="H351">
        <f>IF($A351&gt;cfg_LastDataDate,NA(),Calc_Daily!$CS351)</f>
        <v/>
      </c>
      <c r="I351">
        <f>IF($A351&gt;cfg_LastDataDate,NA(),Calc_Daily!$CM351)</f>
        <v/>
      </c>
      <c r="J351">
        <f>IF($A351&gt;cfg_LastDataDate,NA(),Calc_Daily!$HF351)</f>
        <v/>
      </c>
      <c r="K351">
        <f>Calc_Daily!$IT351</f>
        <v/>
      </c>
    </row>
    <row r="352">
      <c r="A352" s="54">
        <f>Calc_Daily!$A352</f>
        <v/>
      </c>
      <c r="B352">
        <f>IF($A352&gt;cfg_LastDataDate,NA(),Calc_Daily!$BZ352)</f>
        <v/>
      </c>
      <c r="C352">
        <f>Calc_Daily!$IG352/Calc_Daily!$D352</f>
        <v/>
      </c>
      <c r="D352">
        <f>IF($A352&gt;cfg_LastDataDate,NA(),Calc_Daily!$CZ352)</f>
        <v/>
      </c>
      <c r="E352">
        <f>Calc_Daily!$IX352</f>
        <v/>
      </c>
      <c r="F352">
        <f>IF($A352&gt;cfg_LastDataDate,NA(),Calc_Daily!$F352)</f>
        <v/>
      </c>
      <c r="G352">
        <f>IF($A352&gt;cfg_LastDataDate,NA(),Calc_Daily!$O352)</f>
        <v/>
      </c>
      <c r="H352">
        <f>IF($A352&gt;cfg_LastDataDate,NA(),Calc_Daily!$CS352)</f>
        <v/>
      </c>
      <c r="I352">
        <f>IF($A352&gt;cfg_LastDataDate,NA(),Calc_Daily!$CM352)</f>
        <v/>
      </c>
      <c r="J352">
        <f>IF($A352&gt;cfg_LastDataDate,NA(),Calc_Daily!$HF352)</f>
        <v/>
      </c>
      <c r="K352">
        <f>Calc_Daily!$IT352</f>
        <v/>
      </c>
    </row>
    <row r="353">
      <c r="A353" s="54">
        <f>Calc_Daily!$A353</f>
        <v/>
      </c>
      <c r="B353">
        <f>IF($A353&gt;cfg_LastDataDate,NA(),Calc_Daily!$BZ353)</f>
        <v/>
      </c>
      <c r="C353">
        <f>Calc_Daily!$IG353/Calc_Daily!$D353</f>
        <v/>
      </c>
      <c r="D353">
        <f>IF($A353&gt;cfg_LastDataDate,NA(),Calc_Daily!$CZ353)</f>
        <v/>
      </c>
      <c r="E353">
        <f>Calc_Daily!$IX353</f>
        <v/>
      </c>
      <c r="F353">
        <f>IF($A353&gt;cfg_LastDataDate,NA(),Calc_Daily!$F353)</f>
        <v/>
      </c>
      <c r="G353">
        <f>IF($A353&gt;cfg_LastDataDate,NA(),Calc_Daily!$O353)</f>
        <v/>
      </c>
      <c r="H353">
        <f>IF($A353&gt;cfg_LastDataDate,NA(),Calc_Daily!$CS353)</f>
        <v/>
      </c>
      <c r="I353">
        <f>IF($A353&gt;cfg_LastDataDate,NA(),Calc_Daily!$CM353)</f>
        <v/>
      </c>
      <c r="J353">
        <f>IF($A353&gt;cfg_LastDataDate,NA(),Calc_Daily!$HF353)</f>
        <v/>
      </c>
      <c r="K353">
        <f>Calc_Daily!$IT353</f>
        <v/>
      </c>
    </row>
    <row r="354">
      <c r="A354" s="54">
        <f>Calc_Daily!$A354</f>
        <v/>
      </c>
      <c r="B354">
        <f>IF($A354&gt;cfg_LastDataDate,NA(),Calc_Daily!$BZ354)</f>
        <v/>
      </c>
      <c r="C354">
        <f>Calc_Daily!$IG354/Calc_Daily!$D354</f>
        <v/>
      </c>
      <c r="D354">
        <f>IF($A354&gt;cfg_LastDataDate,NA(),Calc_Daily!$CZ354)</f>
        <v/>
      </c>
      <c r="E354">
        <f>Calc_Daily!$IX354</f>
        <v/>
      </c>
      <c r="F354">
        <f>IF($A354&gt;cfg_LastDataDate,NA(),Calc_Daily!$F354)</f>
        <v/>
      </c>
      <c r="G354">
        <f>IF($A354&gt;cfg_LastDataDate,NA(),Calc_Daily!$O354)</f>
        <v/>
      </c>
      <c r="H354">
        <f>IF($A354&gt;cfg_LastDataDate,NA(),Calc_Daily!$CS354)</f>
        <v/>
      </c>
      <c r="I354">
        <f>IF($A354&gt;cfg_LastDataDate,NA(),Calc_Daily!$CM354)</f>
        <v/>
      </c>
      <c r="J354">
        <f>IF($A354&gt;cfg_LastDataDate,NA(),Calc_Daily!$HF354)</f>
        <v/>
      </c>
      <c r="K354">
        <f>Calc_Daily!$IT354</f>
        <v/>
      </c>
    </row>
    <row r="355">
      <c r="A355" s="54">
        <f>Calc_Daily!$A355</f>
        <v/>
      </c>
      <c r="B355">
        <f>IF($A355&gt;cfg_LastDataDate,NA(),Calc_Daily!$BZ355)</f>
        <v/>
      </c>
      <c r="C355">
        <f>Calc_Daily!$IG355/Calc_Daily!$D355</f>
        <v/>
      </c>
      <c r="D355">
        <f>IF($A355&gt;cfg_LastDataDate,NA(),Calc_Daily!$CZ355)</f>
        <v/>
      </c>
      <c r="E355">
        <f>Calc_Daily!$IX355</f>
        <v/>
      </c>
      <c r="F355">
        <f>IF($A355&gt;cfg_LastDataDate,NA(),Calc_Daily!$F355)</f>
        <v/>
      </c>
      <c r="G355">
        <f>IF($A355&gt;cfg_LastDataDate,NA(),Calc_Daily!$O355)</f>
        <v/>
      </c>
      <c r="H355">
        <f>IF($A355&gt;cfg_LastDataDate,NA(),Calc_Daily!$CS355)</f>
        <v/>
      </c>
      <c r="I355">
        <f>IF($A355&gt;cfg_LastDataDate,NA(),Calc_Daily!$CM355)</f>
        <v/>
      </c>
      <c r="J355">
        <f>IF($A355&gt;cfg_LastDataDate,NA(),Calc_Daily!$HF355)</f>
        <v/>
      </c>
      <c r="K355">
        <f>Calc_Daily!$IT355</f>
        <v/>
      </c>
    </row>
    <row r="356">
      <c r="A356" s="54">
        <f>Calc_Daily!$A356</f>
        <v/>
      </c>
      <c r="B356">
        <f>IF($A356&gt;cfg_LastDataDate,NA(),Calc_Daily!$BZ356)</f>
        <v/>
      </c>
      <c r="C356">
        <f>Calc_Daily!$IG356/Calc_Daily!$D356</f>
        <v/>
      </c>
      <c r="D356">
        <f>IF($A356&gt;cfg_LastDataDate,NA(),Calc_Daily!$CZ356)</f>
        <v/>
      </c>
      <c r="E356">
        <f>Calc_Daily!$IX356</f>
        <v/>
      </c>
      <c r="F356">
        <f>IF($A356&gt;cfg_LastDataDate,NA(),Calc_Daily!$F356)</f>
        <v/>
      </c>
      <c r="G356">
        <f>IF($A356&gt;cfg_LastDataDate,NA(),Calc_Daily!$O356)</f>
        <v/>
      </c>
      <c r="H356">
        <f>IF($A356&gt;cfg_LastDataDate,NA(),Calc_Daily!$CS356)</f>
        <v/>
      </c>
      <c r="I356">
        <f>IF($A356&gt;cfg_LastDataDate,NA(),Calc_Daily!$CM356)</f>
        <v/>
      </c>
      <c r="J356">
        <f>IF($A356&gt;cfg_LastDataDate,NA(),Calc_Daily!$HF356)</f>
        <v/>
      </c>
      <c r="K356">
        <f>Calc_Daily!$IT356</f>
        <v/>
      </c>
    </row>
    <row r="357">
      <c r="A357" s="54">
        <f>Calc_Daily!$A357</f>
        <v/>
      </c>
      <c r="B357">
        <f>IF($A357&gt;cfg_LastDataDate,NA(),Calc_Daily!$BZ357)</f>
        <v/>
      </c>
      <c r="C357">
        <f>Calc_Daily!$IG357/Calc_Daily!$D357</f>
        <v/>
      </c>
      <c r="D357">
        <f>IF($A357&gt;cfg_LastDataDate,NA(),Calc_Daily!$CZ357)</f>
        <v/>
      </c>
      <c r="E357">
        <f>Calc_Daily!$IX357</f>
        <v/>
      </c>
      <c r="F357">
        <f>IF($A357&gt;cfg_LastDataDate,NA(),Calc_Daily!$F357)</f>
        <v/>
      </c>
      <c r="G357">
        <f>IF($A357&gt;cfg_LastDataDate,NA(),Calc_Daily!$O357)</f>
        <v/>
      </c>
      <c r="H357">
        <f>IF($A357&gt;cfg_LastDataDate,NA(),Calc_Daily!$CS357)</f>
        <v/>
      </c>
      <c r="I357">
        <f>IF($A357&gt;cfg_LastDataDate,NA(),Calc_Daily!$CM357)</f>
        <v/>
      </c>
      <c r="J357">
        <f>IF($A357&gt;cfg_LastDataDate,NA(),Calc_Daily!$HF357)</f>
        <v/>
      </c>
      <c r="K357">
        <f>Calc_Daily!$IT357</f>
        <v/>
      </c>
    </row>
    <row r="358">
      <c r="A358" s="54">
        <f>Calc_Daily!$A358</f>
        <v/>
      </c>
      <c r="B358">
        <f>IF($A358&gt;cfg_LastDataDate,NA(),Calc_Daily!$BZ358)</f>
        <v/>
      </c>
      <c r="C358">
        <f>Calc_Daily!$IG358/Calc_Daily!$D358</f>
        <v/>
      </c>
      <c r="D358">
        <f>IF($A358&gt;cfg_LastDataDate,NA(),Calc_Daily!$CZ358)</f>
        <v/>
      </c>
      <c r="E358">
        <f>Calc_Daily!$IX358</f>
        <v/>
      </c>
      <c r="F358">
        <f>IF($A358&gt;cfg_LastDataDate,NA(),Calc_Daily!$F358)</f>
        <v/>
      </c>
      <c r="G358">
        <f>IF($A358&gt;cfg_LastDataDate,NA(),Calc_Daily!$O358)</f>
        <v/>
      </c>
      <c r="H358">
        <f>IF($A358&gt;cfg_LastDataDate,NA(),Calc_Daily!$CS358)</f>
        <v/>
      </c>
      <c r="I358">
        <f>IF($A358&gt;cfg_LastDataDate,NA(),Calc_Daily!$CM358)</f>
        <v/>
      </c>
      <c r="J358">
        <f>IF($A358&gt;cfg_LastDataDate,NA(),Calc_Daily!$HF358)</f>
        <v/>
      </c>
      <c r="K358">
        <f>Calc_Daily!$IT358</f>
        <v/>
      </c>
    </row>
    <row r="359">
      <c r="A359" s="54">
        <f>Calc_Daily!$A359</f>
        <v/>
      </c>
      <c r="B359">
        <f>IF($A359&gt;cfg_LastDataDate,NA(),Calc_Daily!$BZ359)</f>
        <v/>
      </c>
      <c r="C359">
        <f>Calc_Daily!$IG359/Calc_Daily!$D359</f>
        <v/>
      </c>
      <c r="D359">
        <f>IF($A359&gt;cfg_LastDataDate,NA(),Calc_Daily!$CZ359)</f>
        <v/>
      </c>
      <c r="E359">
        <f>Calc_Daily!$IX359</f>
        <v/>
      </c>
      <c r="F359">
        <f>IF($A359&gt;cfg_LastDataDate,NA(),Calc_Daily!$F359)</f>
        <v/>
      </c>
      <c r="G359">
        <f>IF($A359&gt;cfg_LastDataDate,NA(),Calc_Daily!$O359)</f>
        <v/>
      </c>
      <c r="H359">
        <f>IF($A359&gt;cfg_LastDataDate,NA(),Calc_Daily!$CS359)</f>
        <v/>
      </c>
      <c r="I359">
        <f>IF($A359&gt;cfg_LastDataDate,NA(),Calc_Daily!$CM359)</f>
        <v/>
      </c>
      <c r="J359">
        <f>IF($A359&gt;cfg_LastDataDate,NA(),Calc_Daily!$HF359)</f>
        <v/>
      </c>
      <c r="K359">
        <f>Calc_Daily!$IT359</f>
        <v/>
      </c>
    </row>
    <row r="360">
      <c r="A360" s="54">
        <f>Calc_Daily!$A360</f>
        <v/>
      </c>
      <c r="B360">
        <f>IF($A360&gt;cfg_LastDataDate,NA(),Calc_Daily!$BZ360)</f>
        <v/>
      </c>
      <c r="C360">
        <f>Calc_Daily!$IG360/Calc_Daily!$D360</f>
        <v/>
      </c>
      <c r="D360">
        <f>IF($A360&gt;cfg_LastDataDate,NA(),Calc_Daily!$CZ360)</f>
        <v/>
      </c>
      <c r="E360">
        <f>Calc_Daily!$IX360</f>
        <v/>
      </c>
      <c r="F360">
        <f>IF($A360&gt;cfg_LastDataDate,NA(),Calc_Daily!$F360)</f>
        <v/>
      </c>
      <c r="G360">
        <f>IF($A360&gt;cfg_LastDataDate,NA(),Calc_Daily!$O360)</f>
        <v/>
      </c>
      <c r="H360">
        <f>IF($A360&gt;cfg_LastDataDate,NA(),Calc_Daily!$CS360)</f>
        <v/>
      </c>
      <c r="I360">
        <f>IF($A360&gt;cfg_LastDataDate,NA(),Calc_Daily!$CM360)</f>
        <v/>
      </c>
      <c r="J360">
        <f>IF($A360&gt;cfg_LastDataDate,NA(),Calc_Daily!$HF360)</f>
        <v/>
      </c>
      <c r="K360">
        <f>Calc_Daily!$IT360</f>
        <v/>
      </c>
    </row>
    <row r="361">
      <c r="A361" s="54">
        <f>Calc_Daily!$A361</f>
        <v/>
      </c>
      <c r="B361">
        <f>IF($A361&gt;cfg_LastDataDate,NA(),Calc_Daily!$BZ361)</f>
        <v/>
      </c>
      <c r="C361">
        <f>Calc_Daily!$IG361/Calc_Daily!$D361</f>
        <v/>
      </c>
      <c r="D361">
        <f>IF($A361&gt;cfg_LastDataDate,NA(),Calc_Daily!$CZ361)</f>
        <v/>
      </c>
      <c r="E361">
        <f>Calc_Daily!$IX361</f>
        <v/>
      </c>
      <c r="F361">
        <f>IF($A361&gt;cfg_LastDataDate,NA(),Calc_Daily!$F361)</f>
        <v/>
      </c>
      <c r="G361">
        <f>IF($A361&gt;cfg_LastDataDate,NA(),Calc_Daily!$O361)</f>
        <v/>
      </c>
      <c r="H361">
        <f>IF($A361&gt;cfg_LastDataDate,NA(),Calc_Daily!$CS361)</f>
        <v/>
      </c>
      <c r="I361">
        <f>IF($A361&gt;cfg_LastDataDate,NA(),Calc_Daily!$CM361)</f>
        <v/>
      </c>
      <c r="J361">
        <f>IF($A361&gt;cfg_LastDataDate,NA(),Calc_Daily!$HF361)</f>
        <v/>
      </c>
      <c r="K361">
        <f>Calc_Daily!$IT361</f>
        <v/>
      </c>
    </row>
    <row r="362">
      <c r="A362" s="54">
        <f>Calc_Daily!$A362</f>
        <v/>
      </c>
      <c r="B362">
        <f>IF($A362&gt;cfg_LastDataDate,NA(),Calc_Daily!$BZ362)</f>
        <v/>
      </c>
      <c r="C362">
        <f>Calc_Daily!$IG362/Calc_Daily!$D362</f>
        <v/>
      </c>
      <c r="D362">
        <f>IF($A362&gt;cfg_LastDataDate,NA(),Calc_Daily!$CZ362)</f>
        <v/>
      </c>
      <c r="E362">
        <f>Calc_Daily!$IX362</f>
        <v/>
      </c>
      <c r="F362">
        <f>IF($A362&gt;cfg_LastDataDate,NA(),Calc_Daily!$F362)</f>
        <v/>
      </c>
      <c r="G362">
        <f>IF($A362&gt;cfg_LastDataDate,NA(),Calc_Daily!$O362)</f>
        <v/>
      </c>
      <c r="H362">
        <f>IF($A362&gt;cfg_LastDataDate,NA(),Calc_Daily!$CS362)</f>
        <v/>
      </c>
      <c r="I362">
        <f>IF($A362&gt;cfg_LastDataDate,NA(),Calc_Daily!$CM362)</f>
        <v/>
      </c>
      <c r="J362">
        <f>IF($A362&gt;cfg_LastDataDate,NA(),Calc_Daily!$HF362)</f>
        <v/>
      </c>
      <c r="K362">
        <f>Calc_Daily!$IT362</f>
        <v/>
      </c>
    </row>
    <row r="363">
      <c r="A363" s="54">
        <f>Calc_Daily!$A363</f>
        <v/>
      </c>
      <c r="B363">
        <f>IF($A363&gt;cfg_LastDataDate,NA(),Calc_Daily!$BZ363)</f>
        <v/>
      </c>
      <c r="C363">
        <f>Calc_Daily!$IG363/Calc_Daily!$D363</f>
        <v/>
      </c>
      <c r="D363">
        <f>IF($A363&gt;cfg_LastDataDate,NA(),Calc_Daily!$CZ363)</f>
        <v/>
      </c>
      <c r="E363">
        <f>Calc_Daily!$IX363</f>
        <v/>
      </c>
      <c r="F363">
        <f>IF($A363&gt;cfg_LastDataDate,NA(),Calc_Daily!$F363)</f>
        <v/>
      </c>
      <c r="G363">
        <f>IF($A363&gt;cfg_LastDataDate,NA(),Calc_Daily!$O363)</f>
        <v/>
      </c>
      <c r="H363">
        <f>IF($A363&gt;cfg_LastDataDate,NA(),Calc_Daily!$CS363)</f>
        <v/>
      </c>
      <c r="I363">
        <f>IF($A363&gt;cfg_LastDataDate,NA(),Calc_Daily!$CM363)</f>
        <v/>
      </c>
      <c r="J363">
        <f>IF($A363&gt;cfg_LastDataDate,NA(),Calc_Daily!$HF363)</f>
        <v/>
      </c>
      <c r="K363">
        <f>Calc_Daily!$IT363</f>
        <v/>
      </c>
    </row>
    <row r="364">
      <c r="A364" s="54">
        <f>Calc_Daily!$A364</f>
        <v/>
      </c>
      <c r="B364">
        <f>IF($A364&gt;cfg_LastDataDate,NA(),Calc_Daily!$BZ364)</f>
        <v/>
      </c>
      <c r="C364">
        <f>Calc_Daily!$IG364/Calc_Daily!$D364</f>
        <v/>
      </c>
      <c r="D364">
        <f>IF($A364&gt;cfg_LastDataDate,NA(),Calc_Daily!$CZ364)</f>
        <v/>
      </c>
      <c r="E364">
        <f>Calc_Daily!$IX364</f>
        <v/>
      </c>
      <c r="F364">
        <f>IF($A364&gt;cfg_LastDataDate,NA(),Calc_Daily!$F364)</f>
        <v/>
      </c>
      <c r="G364">
        <f>IF($A364&gt;cfg_LastDataDate,NA(),Calc_Daily!$O364)</f>
        <v/>
      </c>
      <c r="H364">
        <f>IF($A364&gt;cfg_LastDataDate,NA(),Calc_Daily!$CS364)</f>
        <v/>
      </c>
      <c r="I364">
        <f>IF($A364&gt;cfg_LastDataDate,NA(),Calc_Daily!$CM364)</f>
        <v/>
      </c>
      <c r="J364">
        <f>IF($A364&gt;cfg_LastDataDate,NA(),Calc_Daily!$HF364)</f>
        <v/>
      </c>
      <c r="K364">
        <f>Calc_Daily!$IT364</f>
        <v/>
      </c>
    </row>
    <row r="365">
      <c r="A365" s="54">
        <f>Calc_Daily!$A365</f>
        <v/>
      </c>
      <c r="B365">
        <f>IF($A365&gt;cfg_LastDataDate,NA(),Calc_Daily!$BZ365)</f>
        <v/>
      </c>
      <c r="C365">
        <f>Calc_Daily!$IG365/Calc_Daily!$D365</f>
        <v/>
      </c>
      <c r="D365">
        <f>IF($A365&gt;cfg_LastDataDate,NA(),Calc_Daily!$CZ365)</f>
        <v/>
      </c>
      <c r="E365">
        <f>Calc_Daily!$IX365</f>
        <v/>
      </c>
      <c r="F365">
        <f>IF($A365&gt;cfg_LastDataDate,NA(),Calc_Daily!$F365)</f>
        <v/>
      </c>
      <c r="G365">
        <f>IF($A365&gt;cfg_LastDataDate,NA(),Calc_Daily!$O365)</f>
        <v/>
      </c>
      <c r="H365">
        <f>IF($A365&gt;cfg_LastDataDate,NA(),Calc_Daily!$CS365)</f>
        <v/>
      </c>
      <c r="I365">
        <f>IF($A365&gt;cfg_LastDataDate,NA(),Calc_Daily!$CM365)</f>
        <v/>
      </c>
      <c r="J365">
        <f>IF($A365&gt;cfg_LastDataDate,NA(),Calc_Daily!$HF365)</f>
        <v/>
      </c>
      <c r="K365">
        <f>Calc_Daily!$IT365</f>
        <v/>
      </c>
    </row>
    <row r="366">
      <c r="A366" s="54">
        <f>Calc_Daily!$A366</f>
        <v/>
      </c>
      <c r="B366">
        <f>IF($A366&gt;cfg_LastDataDate,NA(),Calc_Daily!$BZ366)</f>
        <v/>
      </c>
      <c r="C366">
        <f>Calc_Daily!$IG366/Calc_Daily!$D366</f>
        <v/>
      </c>
      <c r="D366">
        <f>IF($A366&gt;cfg_LastDataDate,NA(),Calc_Daily!$CZ366)</f>
        <v/>
      </c>
      <c r="E366">
        <f>Calc_Daily!$IX366</f>
        <v/>
      </c>
      <c r="F366">
        <f>IF($A366&gt;cfg_LastDataDate,NA(),Calc_Daily!$F366)</f>
        <v/>
      </c>
      <c r="G366">
        <f>IF($A366&gt;cfg_LastDataDate,NA(),Calc_Daily!$O366)</f>
        <v/>
      </c>
      <c r="H366">
        <f>IF($A366&gt;cfg_LastDataDate,NA(),Calc_Daily!$CS366)</f>
        <v/>
      </c>
      <c r="I366">
        <f>IF($A366&gt;cfg_LastDataDate,NA(),Calc_Daily!$CM366)</f>
        <v/>
      </c>
      <c r="J366">
        <f>IF($A366&gt;cfg_LastDataDate,NA(),Calc_Daily!$HF366)</f>
        <v/>
      </c>
      <c r="K366">
        <f>Calc_Daily!$IT366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A3A3A"/>
    <outlinePr summaryBelow="1" summaryRight="1"/>
    <pageSetUpPr/>
  </sheetPr>
  <dimension ref="A1:J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0" customWidth="1" min="4" max="4"/>
    <col width="11" customWidth="1" min="5" max="5"/>
    <col width="7" customWidth="1" min="6" max="6"/>
    <col width="8" customWidth="1" min="7" max="7"/>
    <col width="18" customWidth="1" min="8" max="8"/>
    <col width="60" customWidth="1" min="9" max="9"/>
    <col width="60" customWidth="1" min="10" max="10"/>
  </cols>
  <sheetData>
    <row r="1">
      <c r="A1" s="50" t="inlineStr">
        <is>
          <t>Data dictionary</t>
        </is>
      </c>
    </row>
    <row r="2">
      <c r="A2" s="6" t="inlineStr">
        <is>
          <t>Generated from mps_schema.json. The same definitions drive the SQL schema of the web application.</t>
        </is>
      </c>
    </row>
    <row r="4">
      <c r="A4" s="29" t="inlineStr">
        <is>
          <t>Table</t>
        </is>
      </c>
      <c r="B4" s="29" t="inlineStr">
        <is>
          <t>Sheet</t>
        </is>
      </c>
      <c r="C4" s="29" t="inlineStr">
        <is>
          <t>Field</t>
        </is>
      </c>
      <c r="D4" s="29" t="inlineStr">
        <is>
          <t>Label</t>
        </is>
      </c>
      <c r="E4" s="29" t="inlineStr">
        <is>
          <t>Type</t>
        </is>
      </c>
      <c r="F4" s="29" t="inlineStr">
        <is>
          <t>Unit</t>
        </is>
      </c>
      <c r="G4" s="29" t="inlineStr">
        <is>
          <t>Required</t>
        </is>
      </c>
      <c r="H4" s="29" t="inlineStr">
        <is>
          <t>Validation</t>
        </is>
      </c>
      <c r="I4" s="29" t="inlineStr">
        <is>
          <t>Description</t>
        </is>
      </c>
      <c r="J4" s="29" t="inlineStr">
        <is>
          <t>Formula</t>
        </is>
      </c>
    </row>
    <row r="5">
      <c r="A5" s="78" t="inlineStr">
        <is>
          <t>tblPlant</t>
        </is>
      </c>
      <c r="B5" s="78" t="inlineStr">
        <is>
          <t>Plant</t>
        </is>
      </c>
      <c r="C5" s="78" t="inlineStr">
        <is>
          <t>Date</t>
        </is>
      </c>
      <c r="D5" s="78" t="inlineStr">
        <is>
          <t>Date</t>
        </is>
      </c>
      <c r="E5" s="78" t="inlineStr">
        <is>
          <t>date</t>
        </is>
      </c>
      <c r="F5" s="78" t="inlineStr"/>
      <c r="G5" s="78" t="inlineStr">
        <is>
          <t>yes</t>
        </is>
      </c>
      <c r="H5" s="78" t="inlineStr"/>
      <c r="I5" s="78" t="inlineStr">
        <is>
          <t>Production day (day shift start to night shift end)</t>
        </is>
      </c>
      <c r="J5" s="78" t="inlineStr"/>
    </row>
    <row r="6">
      <c r="A6" s="78" t="inlineStr">
        <is>
          <t>tblPlant</t>
        </is>
      </c>
      <c r="B6" s="78" t="inlineStr">
        <is>
          <t>Plant</t>
        </is>
      </c>
      <c r="C6" s="78" t="inlineStr">
        <is>
          <t>Crushed_t</t>
        </is>
      </c>
      <c r="D6" s="78" t="inlineStr">
        <is>
          <t>Crushed</t>
        </is>
      </c>
      <c r="E6" s="78" t="inlineStr">
        <is>
          <t>number</t>
        </is>
      </c>
      <c r="F6" s="78" t="inlineStr">
        <is>
          <t>t</t>
        </is>
      </c>
      <c r="G6" s="78" t="inlineStr"/>
      <c r="H6" s="78" t="inlineStr">
        <is>
          <t>0 to 50000</t>
        </is>
      </c>
      <c r="I6" s="78" t="inlineStr">
        <is>
          <t>Dry tonnes through the primary crusher</t>
        </is>
      </c>
      <c r="J6" s="78" t="inlineStr"/>
    </row>
    <row r="7">
      <c r="A7" s="78" t="inlineStr">
        <is>
          <t>tblPlant</t>
        </is>
      </c>
      <c r="B7" s="78" t="inlineStr">
        <is>
          <t>Plant</t>
        </is>
      </c>
      <c r="C7" s="78" t="inlineStr">
        <is>
          <t>Milled_t</t>
        </is>
      </c>
      <c r="D7" s="78" t="inlineStr">
        <is>
          <t>Milled</t>
        </is>
      </c>
      <c r="E7" s="78" t="inlineStr">
        <is>
          <t>number</t>
        </is>
      </c>
      <c r="F7" s="78" t="inlineStr">
        <is>
          <t>t</t>
        </is>
      </c>
      <c r="G7" s="78" t="inlineStr"/>
      <c r="H7" s="78" t="inlineStr">
        <is>
          <t>0 to 50000</t>
        </is>
      </c>
      <c r="I7" s="78" t="inlineStr">
        <is>
          <t>Dry tonnes milled (mill feed weightometer)</t>
        </is>
      </c>
      <c r="J7" s="78" t="inlineStr"/>
    </row>
    <row r="8">
      <c r="A8" s="78" t="inlineStr">
        <is>
          <t>tblPlant</t>
        </is>
      </c>
      <c r="B8" s="78" t="inlineStr">
        <is>
          <t>Plant</t>
        </is>
      </c>
      <c r="C8" s="78" t="inlineStr">
        <is>
          <t>Head_Grade_gpt</t>
        </is>
      </c>
      <c r="D8" s="78" t="inlineStr">
        <is>
          <t>Head grade</t>
        </is>
      </c>
      <c r="E8" s="78" t="inlineStr">
        <is>
          <t>number</t>
        </is>
      </c>
      <c r="F8" s="78" t="inlineStr">
        <is>
          <t>g/t</t>
        </is>
      </c>
      <c r="G8" s="78" t="inlineStr"/>
      <c r="H8" s="78" t="inlineStr">
        <is>
          <t>0 to 50</t>
        </is>
      </c>
      <c r="I8" s="78" t="inlineStr">
        <is>
          <t>Mill feed grade from the daily metallurgical balance</t>
        </is>
      </c>
      <c r="J8" s="78" t="inlineStr"/>
    </row>
    <row r="9">
      <c r="A9" s="78" t="inlineStr">
        <is>
          <t>tblPlant</t>
        </is>
      </c>
      <c r="B9" s="78" t="inlineStr">
        <is>
          <t>Plant</t>
        </is>
      </c>
      <c r="C9" s="78" t="inlineStr">
        <is>
          <t>Tails_Grade_gpt</t>
        </is>
      </c>
      <c r="D9" s="78" t="inlineStr">
        <is>
          <t>Tails grade</t>
        </is>
      </c>
      <c r="E9" s="78" t="inlineStr">
        <is>
          <t>number</t>
        </is>
      </c>
      <c r="F9" s="78" t="inlineStr">
        <is>
          <t>g/t</t>
        </is>
      </c>
      <c r="G9" s="78" t="inlineStr"/>
      <c r="H9" s="78" t="inlineStr">
        <is>
          <t>0 to 10</t>
        </is>
      </c>
      <c r="I9" s="78" t="inlineStr">
        <is>
          <t>Final tails grade</t>
        </is>
      </c>
      <c r="J9" s="78" t="inlineStr"/>
    </row>
    <row r="10">
      <c r="A10" s="78" t="inlineStr">
        <is>
          <t>tblPlant</t>
        </is>
      </c>
      <c r="B10" s="78" t="inlineStr">
        <is>
          <t>Plant</t>
        </is>
      </c>
      <c r="C10" s="78" t="inlineStr">
        <is>
          <t>Gravity_Gold_oz</t>
        </is>
      </c>
      <c r="D10" s="78" t="inlineStr">
        <is>
          <t>Gravity gold</t>
        </is>
      </c>
      <c r="E10" s="78" t="inlineStr">
        <is>
          <t>number</t>
        </is>
      </c>
      <c r="F10" s="78" t="inlineStr">
        <is>
          <t>oz</t>
        </is>
      </c>
      <c r="G10" s="78" t="inlineStr"/>
      <c r="H10" s="78" t="inlineStr">
        <is>
          <t>0 to 5000</t>
        </is>
      </c>
      <c r="I10" s="78" t="inlineStr">
        <is>
          <t>Gold recovered by the gravity circuit (part of total recovered)</t>
        </is>
      </c>
      <c r="J10" s="78" t="inlineStr"/>
    </row>
    <row r="11">
      <c r="A11" s="78" t="inlineStr">
        <is>
          <t>tblPlant</t>
        </is>
      </c>
      <c r="B11" s="78" t="inlineStr">
        <is>
          <t>Plant</t>
        </is>
      </c>
      <c r="C11" s="78" t="inlineStr">
        <is>
          <t>Gold_Poured_oz</t>
        </is>
      </c>
      <c r="D11" s="78" t="inlineStr">
        <is>
          <t>Gold poured</t>
        </is>
      </c>
      <c r="E11" s="78" t="inlineStr">
        <is>
          <t>number</t>
        </is>
      </c>
      <c r="F11" s="78" t="inlineStr">
        <is>
          <t>oz</t>
        </is>
      </c>
      <c r="G11" s="78" t="inlineStr"/>
      <c r="H11" s="78" t="inlineStr">
        <is>
          <t>0 to 20000</t>
        </is>
      </c>
      <c r="I11" s="78" t="inlineStr">
        <is>
          <t>Fine gold in dore poured on the day</t>
        </is>
      </c>
      <c r="J11" s="78" t="inlineStr"/>
    </row>
    <row r="12">
      <c r="A12" s="78" t="inlineStr">
        <is>
          <t>tblPlant</t>
        </is>
      </c>
      <c r="B12" s="78" t="inlineStr">
        <is>
          <t>Plant</t>
        </is>
      </c>
      <c r="C12" s="78" t="inlineStr">
        <is>
          <t>Mill_Run_h</t>
        </is>
      </c>
      <c r="D12" s="78" t="inlineStr">
        <is>
          <t>Mill run hours</t>
        </is>
      </c>
      <c r="E12" s="78" t="inlineStr">
        <is>
          <t>number</t>
        </is>
      </c>
      <c r="F12" s="78" t="inlineStr">
        <is>
          <t>h</t>
        </is>
      </c>
      <c r="G12" s="78" t="inlineStr"/>
      <c r="H12" s="78" t="inlineStr">
        <is>
          <t>0 to 24</t>
        </is>
      </c>
      <c r="I12" s="78" t="inlineStr">
        <is>
          <t>Hours the mill was running</t>
        </is>
      </c>
      <c r="J12" s="78" t="inlineStr"/>
    </row>
    <row r="13">
      <c r="A13" s="78" t="inlineStr">
        <is>
          <t>tblPlant</t>
        </is>
      </c>
      <c r="B13" s="78" t="inlineStr">
        <is>
          <t>Plant</t>
        </is>
      </c>
      <c r="C13" s="78" t="inlineStr">
        <is>
          <t>Mill_Planned_Maint_h</t>
        </is>
      </c>
      <c r="D13" s="78" t="inlineStr">
        <is>
          <t>Planned maintenance</t>
        </is>
      </c>
      <c r="E13" s="78" t="inlineStr">
        <is>
          <t>number</t>
        </is>
      </c>
      <c r="F13" s="78" t="inlineStr">
        <is>
          <t>h</t>
        </is>
      </c>
      <c r="G13" s="78" t="inlineStr"/>
      <c r="H13" s="78" t="inlineStr">
        <is>
          <t>0 to 24</t>
        </is>
      </c>
      <c r="I13" s="78" t="inlineStr">
        <is>
          <t>Planned maintenance downtime</t>
        </is>
      </c>
      <c r="J13" s="78" t="inlineStr"/>
    </row>
    <row r="14">
      <c r="A14" s="78" t="inlineStr">
        <is>
          <t>tblPlant</t>
        </is>
      </c>
      <c r="B14" s="78" t="inlineStr">
        <is>
          <t>Plant</t>
        </is>
      </c>
      <c r="C14" s="78" t="inlineStr">
        <is>
          <t>Mill_Unplanned_Down_h</t>
        </is>
      </c>
      <c r="D14" s="78" t="inlineStr">
        <is>
          <t>Unplanned downtime</t>
        </is>
      </c>
      <c r="E14" s="78" t="inlineStr">
        <is>
          <t>number</t>
        </is>
      </c>
      <c r="F14" s="78" t="inlineStr">
        <is>
          <t>h</t>
        </is>
      </c>
      <c r="G14" s="78" t="inlineStr"/>
      <c r="H14" s="78" t="inlineStr">
        <is>
          <t>0 to 24</t>
        </is>
      </c>
      <c r="I14" s="78" t="inlineStr">
        <is>
          <t>Unplanned downtime (breakdowns, power, no feed)</t>
        </is>
      </c>
      <c r="J14" s="78" t="inlineStr"/>
    </row>
    <row r="15">
      <c r="A15" s="78" t="inlineStr">
        <is>
          <t>tblPlant</t>
        </is>
      </c>
      <c r="B15" s="78" t="inlineStr">
        <is>
          <t>Plant</t>
        </is>
      </c>
      <c r="C15" s="78" t="inlineStr">
        <is>
          <t>Crusher_Run_h</t>
        </is>
      </c>
      <c r="D15" s="78" t="inlineStr">
        <is>
          <t>Crusher run hours</t>
        </is>
      </c>
      <c r="E15" s="78" t="inlineStr">
        <is>
          <t>number</t>
        </is>
      </c>
      <c r="F15" s="78" t="inlineStr">
        <is>
          <t>h</t>
        </is>
      </c>
      <c r="G15" s="78" t="inlineStr"/>
      <c r="H15" s="78" t="inlineStr">
        <is>
          <t>0 to 24</t>
        </is>
      </c>
      <c r="I15" s="78" t="inlineStr">
        <is>
          <t>Primary crusher running hours</t>
        </is>
      </c>
      <c r="J15" s="78" t="inlineStr"/>
    </row>
    <row r="16">
      <c r="A16" s="78" t="inlineStr">
        <is>
          <t>tblPlant</t>
        </is>
      </c>
      <c r="B16" s="78" t="inlineStr">
        <is>
          <t>Plant</t>
        </is>
      </c>
      <c r="C16" s="78" t="inlineStr">
        <is>
          <t>Cyanide_kg</t>
        </is>
      </c>
      <c r="D16" s="78" t="inlineStr">
        <is>
          <t>Cyanide</t>
        </is>
      </c>
      <c r="E16" s="78" t="inlineStr">
        <is>
          <t>number</t>
        </is>
      </c>
      <c r="F16" s="78" t="inlineStr">
        <is>
          <t>kg</t>
        </is>
      </c>
      <c r="G16" s="78" t="inlineStr"/>
      <c r="H16" s="78" t="inlineStr">
        <is>
          <t>0 to 50000</t>
        </is>
      </c>
      <c r="I16" s="78" t="inlineStr">
        <is>
          <t>Sodium cyanide consumed</t>
        </is>
      </c>
      <c r="J16" s="78" t="inlineStr"/>
    </row>
    <row r="17">
      <c r="A17" s="78" t="inlineStr">
        <is>
          <t>tblPlant</t>
        </is>
      </c>
      <c r="B17" s="78" t="inlineStr">
        <is>
          <t>Plant</t>
        </is>
      </c>
      <c r="C17" s="78" t="inlineStr">
        <is>
          <t>Lime_kg</t>
        </is>
      </c>
      <c r="D17" s="78" t="inlineStr">
        <is>
          <t>Lime</t>
        </is>
      </c>
      <c r="E17" s="78" t="inlineStr">
        <is>
          <t>number</t>
        </is>
      </c>
      <c r="F17" s="78" t="inlineStr">
        <is>
          <t>kg</t>
        </is>
      </c>
      <c r="G17" s="78" t="inlineStr"/>
      <c r="H17" s="78" t="inlineStr">
        <is>
          <t>0 to 100000</t>
        </is>
      </c>
      <c r="I17" s="78" t="inlineStr">
        <is>
          <t>Lime consumed</t>
        </is>
      </c>
      <c r="J17" s="78" t="inlineStr"/>
    </row>
    <row r="18">
      <c r="A18" s="78" t="inlineStr">
        <is>
          <t>tblPlant</t>
        </is>
      </c>
      <c r="B18" s="78" t="inlineStr">
        <is>
          <t>Plant</t>
        </is>
      </c>
      <c r="C18" s="78" t="inlineStr">
        <is>
          <t>Grinding_Media_kg</t>
        </is>
      </c>
      <c r="D18" s="78" t="inlineStr">
        <is>
          <t>Grinding media</t>
        </is>
      </c>
      <c r="E18" s="78" t="inlineStr">
        <is>
          <t>number</t>
        </is>
      </c>
      <c r="F18" s="78" t="inlineStr">
        <is>
          <t>kg</t>
        </is>
      </c>
      <c r="G18" s="78" t="inlineStr"/>
      <c r="H18" s="78" t="inlineStr">
        <is>
          <t>0 to 50000</t>
        </is>
      </c>
      <c r="I18" s="78" t="inlineStr">
        <is>
          <t>Grinding media added</t>
        </is>
      </c>
      <c r="J18" s="78" t="inlineStr"/>
    </row>
    <row r="19">
      <c r="A19" s="78" t="inlineStr">
        <is>
          <t>tblPlant</t>
        </is>
      </c>
      <c r="B19" s="78" t="inlineStr">
        <is>
          <t>Plant</t>
        </is>
      </c>
      <c r="C19" s="78" t="inlineStr">
        <is>
          <t>Power_kWh</t>
        </is>
      </c>
      <c r="D19" s="78" t="inlineStr">
        <is>
          <t>Power</t>
        </is>
      </c>
      <c r="E19" s="78" t="inlineStr">
        <is>
          <t>number</t>
        </is>
      </c>
      <c r="F19" s="78" t="inlineStr">
        <is>
          <t>kWh</t>
        </is>
      </c>
      <c r="G19" s="78" t="inlineStr"/>
      <c r="H19" s="78" t="inlineStr">
        <is>
          <t>0 to 1000000</t>
        </is>
      </c>
      <c r="I19" s="78" t="inlineStr">
        <is>
          <t>Plant power consumed</t>
        </is>
      </c>
      <c r="J19" s="78" t="inlineStr"/>
    </row>
    <row r="20">
      <c r="A20" s="78" t="inlineStr">
        <is>
          <t>tblPlant</t>
        </is>
      </c>
      <c r="B20" s="78" t="inlineStr">
        <is>
          <t>Plant</t>
        </is>
      </c>
      <c r="C20" s="78" t="inlineStr">
        <is>
          <t>Raw_Water_m3</t>
        </is>
      </c>
      <c r="D20" s="78" t="inlineStr">
        <is>
          <t>Raw water</t>
        </is>
      </c>
      <c r="E20" s="78" t="inlineStr">
        <is>
          <t>number</t>
        </is>
      </c>
      <c r="F20" s="78" t="inlineStr">
        <is>
          <t>m3</t>
        </is>
      </c>
      <c r="G20" s="78" t="inlineStr"/>
      <c r="H20" s="78" t="inlineStr">
        <is>
          <t>0 to 100000</t>
        </is>
      </c>
      <c r="I20" s="78" t="inlineStr">
        <is>
          <t>Raw water drawn</t>
        </is>
      </c>
      <c r="J20" s="78" t="inlineStr"/>
    </row>
    <row r="21">
      <c r="A21" s="78" t="inlineStr">
        <is>
          <t>tblPlant</t>
        </is>
      </c>
      <c r="B21" s="78" t="inlineStr">
        <is>
          <t>Plant</t>
        </is>
      </c>
      <c r="C21" s="78" t="inlineStr">
        <is>
          <t>GIC_oz</t>
        </is>
      </c>
      <c r="D21" s="78" t="inlineStr">
        <is>
          <t>Gold in circuit</t>
        </is>
      </c>
      <c r="E21" s="78" t="inlineStr">
        <is>
          <t>number</t>
        </is>
      </c>
      <c r="F21" s="78" t="inlineStr">
        <is>
          <t>oz</t>
        </is>
      </c>
      <c r="G21" s="78" t="inlineStr"/>
      <c r="H21" s="78" t="inlineStr">
        <is>
          <t>0 to 50000</t>
        </is>
      </c>
      <c r="I21" s="78" t="inlineStr">
        <is>
          <t>Gold in circuit at end of day (point value, not additive)</t>
        </is>
      </c>
      <c r="J21" s="78" t="inlineStr"/>
    </row>
    <row r="22">
      <c r="A22" s="78" t="inlineStr">
        <is>
          <t>tblPlant</t>
        </is>
      </c>
      <c r="B22" s="78" t="inlineStr">
        <is>
          <t>Plant</t>
        </is>
      </c>
      <c r="C22" s="78" t="inlineStr">
        <is>
          <t>Comments</t>
        </is>
      </c>
      <c r="D22" s="78" t="inlineStr">
        <is>
          <t>Comments</t>
        </is>
      </c>
      <c r="E22" s="78" t="inlineStr">
        <is>
          <t>text</t>
        </is>
      </c>
      <c r="F22" s="78" t="inlineStr"/>
      <c r="G22" s="78" t="inlineStr"/>
      <c r="H22" s="78" t="inlineStr"/>
      <c r="I22" s="78" t="inlineStr">
        <is>
          <t>Short note; use the Commentary sheet for the report narrative</t>
        </is>
      </c>
      <c r="J22" s="78" t="inlineStr"/>
    </row>
    <row r="23">
      <c r="A23" s="78" t="inlineStr">
        <is>
          <t>tblPlant</t>
        </is>
      </c>
      <c r="B23" s="78" t="inlineStr">
        <is>
          <t>Plant</t>
        </is>
      </c>
      <c r="C23" s="78" t="inlineStr">
        <is>
          <t>Feed_oz</t>
        </is>
      </c>
      <c r="D23" s="78" t="inlineStr">
        <is>
          <t>Contained gold in feed</t>
        </is>
      </c>
      <c r="E23" s="78" t="inlineStr">
        <is>
          <t>calculated</t>
        </is>
      </c>
      <c r="F23" s="78" t="inlineStr">
        <is>
          <t>oz</t>
        </is>
      </c>
      <c r="G23" s="78" t="inlineStr"/>
      <c r="H23" s="78" t="inlineStr"/>
      <c r="I23" s="78" t="inlineStr">
        <is>
          <t>Milled t x head grade / 31.1035</t>
        </is>
      </c>
      <c r="J23" s="78" t="inlineStr">
        <is>
          <t>IF({Milled_t}="","",{Milled_t}*{Head_Grade_gpt}/{TROY})</t>
        </is>
      </c>
    </row>
    <row r="24">
      <c r="A24" s="78" t="inlineStr">
        <is>
          <t>tblPlant</t>
        </is>
      </c>
      <c r="B24" s="78" t="inlineStr">
        <is>
          <t>Plant</t>
        </is>
      </c>
      <c r="C24" s="78" t="inlineStr">
        <is>
          <t>Tails_oz</t>
        </is>
      </c>
      <c r="D24" s="78" t="inlineStr">
        <is>
          <t>Gold lost to tails</t>
        </is>
      </c>
      <c r="E24" s="78" t="inlineStr">
        <is>
          <t>calculated</t>
        </is>
      </c>
      <c r="F24" s="78" t="inlineStr">
        <is>
          <t>oz</t>
        </is>
      </c>
      <c r="G24" s="78" t="inlineStr"/>
      <c r="H24" s="78" t="inlineStr"/>
      <c r="I24" s="78" t="inlineStr">
        <is>
          <t>Milled t x tails grade / 31.1035</t>
        </is>
      </c>
      <c r="J24" s="78" t="inlineStr">
        <is>
          <t>IF({Milled_t}="","",{Milled_t}*{Tails_Grade_gpt}/{TROY})</t>
        </is>
      </c>
    </row>
    <row r="25">
      <c r="A25" s="78" t="inlineStr">
        <is>
          <t>tblPlant</t>
        </is>
      </c>
      <c r="B25" s="78" t="inlineStr">
        <is>
          <t>Plant</t>
        </is>
      </c>
      <c r="C25" s="78" t="inlineStr">
        <is>
          <t>Recovered_oz</t>
        </is>
      </c>
      <c r="D25" s="78" t="inlineStr">
        <is>
          <t>Gold recovered</t>
        </is>
      </c>
      <c r="E25" s="78" t="inlineStr">
        <is>
          <t>calculated</t>
        </is>
      </c>
      <c r="F25" s="78" t="inlineStr">
        <is>
          <t>oz</t>
        </is>
      </c>
      <c r="G25" s="78" t="inlineStr"/>
      <c r="H25" s="78" t="inlineStr"/>
      <c r="I25" s="78" t="inlineStr">
        <is>
          <t>Feed oz minus tails oz</t>
        </is>
      </c>
      <c r="J25" s="78" t="inlineStr">
        <is>
          <t>IF({Milled_t}="","",{Feed_oz}-{Tails_oz})</t>
        </is>
      </c>
    </row>
    <row r="26">
      <c r="A26" s="78" t="inlineStr">
        <is>
          <t>tblPlant</t>
        </is>
      </c>
      <c r="B26" s="78" t="inlineStr">
        <is>
          <t>Plant</t>
        </is>
      </c>
      <c r="C26" s="78" t="inlineStr">
        <is>
          <t>Recovery_pct</t>
        </is>
      </c>
      <c r="D26" s="78" t="inlineStr">
        <is>
          <t>Recovery</t>
        </is>
      </c>
      <c r="E26" s="78" t="inlineStr">
        <is>
          <t>calculated</t>
        </is>
      </c>
      <c r="F26" s="78" t="inlineStr">
        <is>
          <t>%</t>
        </is>
      </c>
      <c r="G26" s="78" t="inlineStr"/>
      <c r="H26" s="78" t="inlineStr"/>
      <c r="I26" s="78" t="inlineStr">
        <is>
          <t>1 minus tails grade over head grade</t>
        </is>
      </c>
      <c r="J26" s="78" t="inlineStr">
        <is>
          <t>IF(AND({Milled_t}&lt;&gt;"",{Feed_oz}&gt;0),{Recovered_oz}/{Feed_oz},"")</t>
        </is>
      </c>
    </row>
    <row r="27">
      <c r="A27" s="78" t="inlineStr">
        <is>
          <t>tblPlant</t>
        </is>
      </c>
      <c r="B27" s="78" t="inlineStr">
        <is>
          <t>Plant</t>
        </is>
      </c>
      <c r="C27" s="78" t="inlineStr">
        <is>
          <t>Throughput_tph</t>
        </is>
      </c>
      <c r="D27" s="78" t="inlineStr">
        <is>
          <t>Throughput</t>
        </is>
      </c>
      <c r="E27" s="78" t="inlineStr">
        <is>
          <t>calculated</t>
        </is>
      </c>
      <c r="F27" s="78" t="inlineStr">
        <is>
          <t>t/h</t>
        </is>
      </c>
      <c r="G27" s="78" t="inlineStr"/>
      <c r="H27" s="78" t="inlineStr"/>
      <c r="I27" s="78" t="inlineStr">
        <is>
          <t>Milled t per running hour</t>
        </is>
      </c>
      <c r="J27" s="78" t="inlineStr">
        <is>
          <t>IF(AND({Milled_t}&lt;&gt;"",{Mill_Run_h}&gt;0),{Milled_t}/{Mill_Run_h},"")</t>
        </is>
      </c>
    </row>
    <row r="28">
      <c r="A28" s="78" t="inlineStr">
        <is>
          <t>tblPlant</t>
        </is>
      </c>
      <c r="B28" s="78" t="inlineStr">
        <is>
          <t>Plant</t>
        </is>
      </c>
      <c r="C28" s="78" t="inlineStr">
        <is>
          <t>Availability_pct</t>
        </is>
      </c>
      <c r="D28" s="78" t="inlineStr">
        <is>
          <t>Mill availability</t>
        </is>
      </c>
      <c r="E28" s="78" t="inlineStr">
        <is>
          <t>calculated</t>
        </is>
      </c>
      <c r="F28" s="78" t="inlineStr">
        <is>
          <t>%</t>
        </is>
      </c>
      <c r="G28" s="78" t="inlineStr"/>
      <c r="H28" s="78" t="inlineStr"/>
      <c r="I28" s="78" t="inlineStr">
        <is>
          <t>(24 h minus planned and unplanned downtime) / 24 h</t>
        </is>
      </c>
      <c r="J28" s="78" t="inlineStr">
        <is>
          <t>IF({Mill_Run_h}="","",(24-{Mill_Planned_Maint_h}-{Mill_Unplanned_Down_h})/24)</t>
        </is>
      </c>
    </row>
    <row r="29">
      <c r="A29" s="78" t="inlineStr">
        <is>
          <t>tblPlant</t>
        </is>
      </c>
      <c r="B29" s="78" t="inlineStr">
        <is>
          <t>Plant</t>
        </is>
      </c>
      <c r="C29" s="78" t="inlineStr">
        <is>
          <t>Utilisation_pct</t>
        </is>
      </c>
      <c r="D29" s="78" t="inlineStr">
        <is>
          <t>Mill utilisation</t>
        </is>
      </c>
      <c r="E29" s="78" t="inlineStr">
        <is>
          <t>calculated</t>
        </is>
      </c>
      <c r="F29" s="78" t="inlineStr">
        <is>
          <t>%</t>
        </is>
      </c>
      <c r="G29" s="78" t="inlineStr"/>
      <c r="H29" s="78" t="inlineStr"/>
      <c r="I29" s="78" t="inlineStr">
        <is>
          <t>Run hours over available hours</t>
        </is>
      </c>
      <c r="J29" s="78" t="inlineStr">
        <is>
          <t>IF(AND({Mill_Run_h}&lt;&gt;"",(24-{Mill_Planned_Maint_h}-{Mill_Unplanned_Down_h})&gt;0),{Mill_Run_h}/(24-{Mill_Planned_Maint_h}-{Mill_Unplanned_Down_h}),"")</t>
        </is>
      </c>
    </row>
    <row r="30">
      <c r="A30" s="78" t="inlineStr">
        <is>
          <t>tblMovement</t>
        </is>
      </c>
      <c r="B30" s="78" t="inlineStr">
        <is>
          <t>Mining_Movements</t>
        </is>
      </c>
      <c r="C30" s="78" t="inlineStr">
        <is>
          <t>Date</t>
        </is>
      </c>
      <c r="D30" s="78" t="inlineStr">
        <is>
          <t>Date</t>
        </is>
      </c>
      <c r="E30" s="78" t="inlineStr">
        <is>
          <t>date</t>
        </is>
      </c>
      <c r="F30" s="78" t="inlineStr"/>
      <c r="G30" s="78" t="inlineStr">
        <is>
          <t>yes</t>
        </is>
      </c>
      <c r="H30" s="78" t="inlineStr"/>
      <c r="I30" s="78" t="inlineStr">
        <is>
          <t>Production day</t>
        </is>
      </c>
      <c r="J30" s="78" t="inlineStr"/>
    </row>
    <row r="31">
      <c r="A31" s="78" t="inlineStr">
        <is>
          <t>tblMovement</t>
        </is>
      </c>
      <c r="B31" s="78" t="inlineStr">
        <is>
          <t>Mining_Movements</t>
        </is>
      </c>
      <c r="C31" s="78" t="inlineStr">
        <is>
          <t>Shift</t>
        </is>
      </c>
      <c r="D31" s="78" t="inlineStr">
        <is>
          <t>Shift</t>
        </is>
      </c>
      <c r="E31" s="78" t="inlineStr">
        <is>
          <t>list</t>
        </is>
      </c>
      <c r="F31" s="78" t="inlineStr"/>
      <c r="G31" s="78" t="inlineStr"/>
      <c r="H31" s="78" t="inlineStr">
        <is>
          <t>list: Shift</t>
        </is>
      </c>
      <c r="I31" s="78" t="inlineStr">
        <is>
          <t>Optional; leave blank for a daily total</t>
        </is>
      </c>
      <c r="J31" s="78" t="inlineStr"/>
    </row>
    <row r="32">
      <c r="A32" s="78" t="inlineStr">
        <is>
          <t>tblMovement</t>
        </is>
      </c>
      <c r="B32" s="78" t="inlineStr">
        <is>
          <t>Mining_Movements</t>
        </is>
      </c>
      <c r="C32" s="78" t="inlineStr">
        <is>
          <t>Source</t>
        </is>
      </c>
      <c r="D32" s="78" t="inlineStr">
        <is>
          <t>Source</t>
        </is>
      </c>
      <c r="E32" s="78" t="inlineStr">
        <is>
          <t>list</t>
        </is>
      </c>
      <c r="F32" s="78" t="inlineStr"/>
      <c r="G32" s="78" t="inlineStr">
        <is>
          <t>yes</t>
        </is>
      </c>
      <c r="H32" s="78" t="inlineStr">
        <is>
          <t>list: Source</t>
        </is>
      </c>
      <c r="I32" s="78" t="inlineStr">
        <is>
          <t>Pit or stockpile the material came from (Lists sheet)</t>
        </is>
      </c>
      <c r="J32" s="78" t="inlineStr"/>
    </row>
    <row r="33">
      <c r="A33" s="78" t="inlineStr">
        <is>
          <t>tblMovement</t>
        </is>
      </c>
      <c r="B33" s="78" t="inlineStr">
        <is>
          <t>Mining_Movements</t>
        </is>
      </c>
      <c r="C33" s="78" t="inlineStr">
        <is>
          <t>Material</t>
        </is>
      </c>
      <c r="D33" s="78" t="inlineStr">
        <is>
          <t>Material</t>
        </is>
      </c>
      <c r="E33" s="78" t="inlineStr">
        <is>
          <t>list</t>
        </is>
      </c>
      <c r="F33" s="78" t="inlineStr"/>
      <c r="G33" s="78" t="inlineStr">
        <is>
          <t>yes</t>
        </is>
      </c>
      <c r="H33" s="78" t="inlineStr">
        <is>
          <t>list: Material</t>
        </is>
      </c>
      <c r="I33" s="78" t="inlineStr">
        <is>
          <t>Ore grade class or waste type</t>
        </is>
      </c>
      <c r="J33" s="78" t="inlineStr"/>
    </row>
    <row r="34">
      <c r="A34" s="78" t="inlineStr">
        <is>
          <t>tblMovement</t>
        </is>
      </c>
      <c r="B34" s="78" t="inlineStr">
        <is>
          <t>Mining_Movements</t>
        </is>
      </c>
      <c r="C34" s="78" t="inlineStr">
        <is>
          <t>Destination</t>
        </is>
      </c>
      <c r="D34" s="78" t="inlineStr">
        <is>
          <t>Destination</t>
        </is>
      </c>
      <c r="E34" s="78" t="inlineStr">
        <is>
          <t>list</t>
        </is>
      </c>
      <c r="F34" s="78" t="inlineStr"/>
      <c r="G34" s="78" t="inlineStr">
        <is>
          <t>yes</t>
        </is>
      </c>
      <c r="H34" s="78" t="inlineStr">
        <is>
          <t>list: Destination</t>
        </is>
      </c>
      <c r="I34" s="78" t="inlineStr">
        <is>
          <t>Where the material went (Lists sheet)</t>
        </is>
      </c>
      <c r="J34" s="78" t="inlineStr"/>
    </row>
    <row r="35">
      <c r="A35" s="78" t="inlineStr">
        <is>
          <t>tblMovement</t>
        </is>
      </c>
      <c r="B35" s="78" t="inlineStr">
        <is>
          <t>Mining_Movements</t>
        </is>
      </c>
      <c r="C35" s="78" t="inlineStr">
        <is>
          <t>Tonnes_t</t>
        </is>
      </c>
      <c r="D35" s="78" t="inlineStr">
        <is>
          <t>Tonnes</t>
        </is>
      </c>
      <c r="E35" s="78" t="inlineStr">
        <is>
          <t>number</t>
        </is>
      </c>
      <c r="F35" s="78" t="inlineStr">
        <is>
          <t>t</t>
        </is>
      </c>
      <c r="G35" s="78" t="inlineStr">
        <is>
          <t>yes</t>
        </is>
      </c>
      <c r="H35" s="78" t="inlineStr">
        <is>
          <t>0 to 200000</t>
        </is>
      </c>
      <c r="I35" s="78" t="inlineStr">
        <is>
          <t>Dry tonnes moved (truck factor or weightometer)</t>
        </is>
      </c>
      <c r="J35" s="78" t="inlineStr"/>
    </row>
    <row r="36">
      <c r="A36" s="78" t="inlineStr">
        <is>
          <t>tblMovement</t>
        </is>
      </c>
      <c r="B36" s="78" t="inlineStr">
        <is>
          <t>Mining_Movements</t>
        </is>
      </c>
      <c r="C36" s="78" t="inlineStr">
        <is>
          <t>Grade_gpt</t>
        </is>
      </c>
      <c r="D36" s="78" t="inlineStr">
        <is>
          <t>Grade</t>
        </is>
      </c>
      <c r="E36" s="78" t="inlineStr">
        <is>
          <t>number</t>
        </is>
      </c>
      <c r="F36" s="78" t="inlineStr">
        <is>
          <t>g/t</t>
        </is>
      </c>
      <c r="G36" s="78" t="inlineStr"/>
      <c r="H36" s="78" t="inlineStr">
        <is>
          <t>0 to 100</t>
        </is>
      </c>
      <c r="I36" s="78" t="inlineStr">
        <is>
          <t>Grade control grade; required for ore and mineralised waste</t>
        </is>
      </c>
      <c r="J36" s="78" t="inlineStr"/>
    </row>
    <row r="37">
      <c r="A37" s="78" t="inlineStr">
        <is>
          <t>tblMovement</t>
        </is>
      </c>
      <c r="B37" s="78" t="inlineStr">
        <is>
          <t>Mining_Movements</t>
        </is>
      </c>
      <c r="C37" s="78" t="inlineStr">
        <is>
          <t>BCM</t>
        </is>
      </c>
      <c r="D37" s="78" t="inlineStr">
        <is>
          <t>Volume</t>
        </is>
      </c>
      <c r="E37" s="78" t="inlineStr">
        <is>
          <t>number</t>
        </is>
      </c>
      <c r="F37" s="78" t="inlineStr">
        <is>
          <t>bcm</t>
        </is>
      </c>
      <c r="G37" s="78" t="inlineStr"/>
      <c r="H37" s="78" t="inlineStr">
        <is>
          <t>0 to 100000</t>
        </is>
      </c>
      <c r="I37" s="78" t="inlineStr">
        <is>
          <t>Optional bank cubic metres</t>
        </is>
      </c>
      <c r="J37" s="78" t="inlineStr"/>
    </row>
    <row r="38">
      <c r="A38" s="78" t="inlineStr">
        <is>
          <t>tblMovement</t>
        </is>
      </c>
      <c r="B38" s="78" t="inlineStr">
        <is>
          <t>Mining_Movements</t>
        </is>
      </c>
      <c r="C38" s="78" t="inlineStr">
        <is>
          <t>Loads</t>
        </is>
      </c>
      <c r="D38" s="78" t="inlineStr">
        <is>
          <t>Truck loads</t>
        </is>
      </c>
      <c r="E38" s="78" t="inlineStr">
        <is>
          <t>int</t>
        </is>
      </c>
      <c r="F38" s="78" t="inlineStr"/>
      <c r="G38" s="78" t="inlineStr"/>
      <c r="H38" s="78" t="inlineStr">
        <is>
          <t>0 to 5000</t>
        </is>
      </c>
      <c r="I38" s="78" t="inlineStr">
        <is>
          <t>Optional truck count</t>
        </is>
      </c>
      <c r="J38" s="78" t="inlineStr"/>
    </row>
    <row r="39">
      <c r="A39" s="78" t="inlineStr">
        <is>
          <t>tblMovement</t>
        </is>
      </c>
      <c r="B39" s="78" t="inlineStr">
        <is>
          <t>Mining_Movements</t>
        </is>
      </c>
      <c r="C39" s="78" t="inlineStr">
        <is>
          <t>Comments</t>
        </is>
      </c>
      <c r="D39" s="78" t="inlineStr">
        <is>
          <t>Comments</t>
        </is>
      </c>
      <c r="E39" s="78" t="inlineStr">
        <is>
          <t>text</t>
        </is>
      </c>
      <c r="F39" s="78" t="inlineStr"/>
      <c r="G39" s="78" t="inlineStr"/>
      <c r="H39" s="78" t="inlineStr"/>
      <c r="I39" s="78" t="inlineStr"/>
      <c r="J39" s="78" t="inlineStr"/>
    </row>
    <row r="40">
      <c r="A40" s="78" t="inlineStr">
        <is>
          <t>tblMovement</t>
        </is>
      </c>
      <c r="B40" s="78" t="inlineStr">
        <is>
          <t>Mining_Movements</t>
        </is>
      </c>
      <c r="C40" s="78" t="inlineStr">
        <is>
          <t>Source_Type</t>
        </is>
      </c>
      <c r="D40" s="78" t="inlineStr">
        <is>
          <t>Source type</t>
        </is>
      </c>
      <c r="E40" s="78" t="inlineStr">
        <is>
          <t>calculated</t>
        </is>
      </c>
      <c r="F40" s="78" t="inlineStr"/>
      <c r="G40" s="78" t="inlineStr"/>
      <c r="H40" s="78" t="inlineStr"/>
      <c r="I40" s="78" t="inlineStr">
        <is>
          <t>Pit or Stockpile, looked up from Lists</t>
        </is>
      </c>
      <c r="J40" s="78" t="inlineStr">
        <is>
          <t>IF({Source}="","",IFERROR(INDEX(tblSources[Type],MATCH({Source},tblSources[Source],0)),"?"))</t>
        </is>
      </c>
    </row>
    <row r="41">
      <c r="A41" s="78" t="inlineStr">
        <is>
          <t>tblMovement</t>
        </is>
      </c>
      <c r="B41" s="78" t="inlineStr">
        <is>
          <t>Mining_Movements</t>
        </is>
      </c>
      <c r="C41" s="78" t="inlineStr">
        <is>
          <t>Dest_Type</t>
        </is>
      </c>
      <c r="D41" s="78" t="inlineStr">
        <is>
          <t>Destination type</t>
        </is>
      </c>
      <c r="E41" s="78" t="inlineStr">
        <is>
          <t>calculated</t>
        </is>
      </c>
      <c r="F41" s="78" t="inlineStr"/>
      <c r="G41" s="78" t="inlineStr"/>
      <c r="H41" s="78" t="inlineStr"/>
      <c r="I41" s="78" t="inlineStr">
        <is>
          <t>Stockpile, Plant or Waste, looked up from Lists</t>
        </is>
      </c>
      <c r="J41" s="78" t="inlineStr">
        <is>
          <t>IF({Destination}="","",IFERROR(INDEX(tblDestinations[Type],MATCH({Destination},tblDestinations[Destination],0)),"?"))</t>
        </is>
      </c>
    </row>
    <row r="42">
      <c r="A42" s="78" t="inlineStr">
        <is>
          <t>tblMovement</t>
        </is>
      </c>
      <c r="B42" s="78" t="inlineStr">
        <is>
          <t>Mining_Movements</t>
        </is>
      </c>
      <c r="C42" s="78" t="inlineStr">
        <is>
          <t>Is_Ore</t>
        </is>
      </c>
      <c r="D42" s="78" t="inlineStr">
        <is>
          <t>Ore flag</t>
        </is>
      </c>
      <c r="E42" s="78" t="inlineStr">
        <is>
          <t>calculated</t>
        </is>
      </c>
      <c r="F42" s="78" t="inlineStr"/>
      <c r="G42" s="78" t="inlineStr"/>
      <c r="H42" s="78" t="inlineStr"/>
      <c r="I42" s="78" t="inlineStr">
        <is>
          <t>1 when Material starts with Ore</t>
        </is>
      </c>
      <c r="J42" s="78" t="inlineStr">
        <is>
          <t>IF({Material}="","",IF(LEFT({Material},3)="Ore",1,0))</t>
        </is>
      </c>
    </row>
    <row r="43">
      <c r="A43" s="78" t="inlineStr">
        <is>
          <t>tblMovement</t>
        </is>
      </c>
      <c r="B43" s="78" t="inlineStr">
        <is>
          <t>Mining_Movements</t>
        </is>
      </c>
      <c r="C43" s="78" t="inlineStr">
        <is>
          <t>Contained_oz</t>
        </is>
      </c>
      <c r="D43" s="78" t="inlineStr">
        <is>
          <t>Contained gold</t>
        </is>
      </c>
      <c r="E43" s="78" t="inlineStr">
        <is>
          <t>calculated</t>
        </is>
      </c>
      <c r="F43" s="78" t="inlineStr">
        <is>
          <t>oz</t>
        </is>
      </c>
      <c r="G43" s="78" t="inlineStr"/>
      <c r="H43" s="78" t="inlineStr"/>
      <c r="I43" s="78" t="inlineStr">
        <is>
          <t>Tonnes x grade / 31.1035, any material with a grade</t>
        </is>
      </c>
      <c r="J43" s="78" t="inlineStr">
        <is>
          <t>IF(OR({Tonnes_t}="",{Grade_gpt}=""),0,{Tonnes_t}*{Grade_gpt}/{TROY})</t>
        </is>
      </c>
    </row>
    <row r="44">
      <c r="A44" s="78" t="inlineStr">
        <is>
          <t>tblMovement</t>
        </is>
      </c>
      <c r="B44" s="78" t="inlineStr">
        <is>
          <t>Mining_Movements</t>
        </is>
      </c>
      <c r="C44" s="78" t="inlineStr">
        <is>
          <t>Ore_oz</t>
        </is>
      </c>
      <c r="D44" s="78" t="inlineStr">
        <is>
          <t>Ore gold</t>
        </is>
      </c>
      <c r="E44" s="78" t="inlineStr">
        <is>
          <t>calculated</t>
        </is>
      </c>
      <c r="F44" s="78" t="inlineStr">
        <is>
          <t>oz</t>
        </is>
      </c>
      <c r="G44" s="78" t="inlineStr"/>
      <c r="H44" s="78" t="inlineStr"/>
      <c r="I44" s="78" t="inlineStr">
        <is>
          <t>Contained oz for ore rows only</t>
        </is>
      </c>
      <c r="J44" s="78" t="inlineStr">
        <is>
          <t>IF({Is_Ore}=1,{Contained_oz},0)</t>
        </is>
      </c>
    </row>
    <row r="45">
      <c r="A45" s="78" t="inlineStr">
        <is>
          <t>tblMiningDaily</t>
        </is>
      </c>
      <c r="B45" s="78" t="inlineStr">
        <is>
          <t>Mining_Daily</t>
        </is>
      </c>
      <c r="C45" s="78" t="inlineStr">
        <is>
          <t>Date</t>
        </is>
      </c>
      <c r="D45" s="78" t="inlineStr">
        <is>
          <t>Date</t>
        </is>
      </c>
      <c r="E45" s="78" t="inlineStr">
        <is>
          <t>date</t>
        </is>
      </c>
      <c r="F45" s="78" t="inlineStr"/>
      <c r="G45" s="78" t="inlineStr">
        <is>
          <t>yes</t>
        </is>
      </c>
      <c r="H45" s="78" t="inlineStr"/>
      <c r="I45" s="78" t="inlineStr"/>
      <c r="J45" s="78" t="inlineStr"/>
    </row>
    <row r="46">
      <c r="A46" s="78" t="inlineStr">
        <is>
          <t>tblMiningDaily</t>
        </is>
      </c>
      <c r="B46" s="78" t="inlineStr">
        <is>
          <t>Mining_Daily</t>
        </is>
      </c>
      <c r="C46" s="78" t="inlineStr">
        <is>
          <t>Drill_m</t>
        </is>
      </c>
      <c r="D46" s="78" t="inlineStr">
        <is>
          <t>Drilled</t>
        </is>
      </c>
      <c r="E46" s="78" t="inlineStr">
        <is>
          <t>number</t>
        </is>
      </c>
      <c r="F46" s="78" t="inlineStr">
        <is>
          <t>m</t>
        </is>
      </c>
      <c r="G46" s="78" t="inlineStr"/>
      <c r="H46" s="78" t="inlineStr">
        <is>
          <t>0 to 20000</t>
        </is>
      </c>
      <c r="I46" s="78" t="inlineStr">
        <is>
          <t>Production drill metres</t>
        </is>
      </c>
      <c r="J46" s="78" t="inlineStr"/>
    </row>
    <row r="47">
      <c r="A47" s="78" t="inlineStr">
        <is>
          <t>tblMiningDaily</t>
        </is>
      </c>
      <c r="B47" s="78" t="inlineStr">
        <is>
          <t>Mining_Daily</t>
        </is>
      </c>
      <c r="C47" s="78" t="inlineStr">
        <is>
          <t>Blast_t</t>
        </is>
      </c>
      <c r="D47" s="78" t="inlineStr">
        <is>
          <t>Blasted</t>
        </is>
      </c>
      <c r="E47" s="78" t="inlineStr">
        <is>
          <t>number</t>
        </is>
      </c>
      <c r="F47" s="78" t="inlineStr">
        <is>
          <t>t</t>
        </is>
      </c>
      <c r="G47" s="78" t="inlineStr"/>
      <c r="H47" s="78" t="inlineStr">
        <is>
          <t>0 to 500000</t>
        </is>
      </c>
      <c r="I47" s="78" t="inlineStr">
        <is>
          <t>Tonnes blasted</t>
        </is>
      </c>
      <c r="J47" s="78" t="inlineStr"/>
    </row>
    <row r="48">
      <c r="A48" s="78" t="inlineStr">
        <is>
          <t>tblMiningDaily</t>
        </is>
      </c>
      <c r="B48" s="78" t="inlineStr">
        <is>
          <t>Mining_Daily</t>
        </is>
      </c>
      <c r="C48" s="78" t="inlineStr">
        <is>
          <t>Explosives_kg</t>
        </is>
      </c>
      <c r="D48" s="78" t="inlineStr">
        <is>
          <t>Explosives</t>
        </is>
      </c>
      <c r="E48" s="78" t="inlineStr">
        <is>
          <t>number</t>
        </is>
      </c>
      <c r="F48" s="78" t="inlineStr">
        <is>
          <t>kg</t>
        </is>
      </c>
      <c r="G48" s="78" t="inlineStr"/>
      <c r="H48" s="78" t="inlineStr">
        <is>
          <t>0 to 200000</t>
        </is>
      </c>
      <c r="I48" s="78" t="inlineStr">
        <is>
          <t>Explosives consumed</t>
        </is>
      </c>
      <c r="J48" s="78" t="inlineStr"/>
    </row>
    <row r="49">
      <c r="A49" s="78" t="inlineStr">
        <is>
          <t>tblMiningDaily</t>
        </is>
      </c>
      <c r="B49" s="78" t="inlineStr">
        <is>
          <t>Mining_Daily</t>
        </is>
      </c>
      <c r="C49" s="78" t="inlineStr">
        <is>
          <t>Diesel_L</t>
        </is>
      </c>
      <c r="D49" s="78" t="inlineStr">
        <is>
          <t>Diesel</t>
        </is>
      </c>
      <c r="E49" s="78" t="inlineStr">
        <is>
          <t>number</t>
        </is>
      </c>
      <c r="F49" s="78" t="inlineStr">
        <is>
          <t>L</t>
        </is>
      </c>
      <c r="G49" s="78" t="inlineStr"/>
      <c r="H49" s="78" t="inlineStr">
        <is>
          <t>0 to 200000</t>
        </is>
      </c>
      <c r="I49" s="78" t="inlineStr">
        <is>
          <t>Mining fleet diesel</t>
        </is>
      </c>
      <c r="J49" s="78" t="inlineStr"/>
    </row>
    <row r="50">
      <c r="A50" s="78" t="inlineStr">
        <is>
          <t>tblMiningDaily</t>
        </is>
      </c>
      <c r="B50" s="78" t="inlineStr">
        <is>
          <t>Mining_Daily</t>
        </is>
      </c>
      <c r="C50" s="78" t="inlineStr">
        <is>
          <t>Dewatering_m3</t>
        </is>
      </c>
      <c r="D50" s="78" t="inlineStr">
        <is>
          <t>Dewatering</t>
        </is>
      </c>
      <c r="E50" s="78" t="inlineStr">
        <is>
          <t>number</t>
        </is>
      </c>
      <c r="F50" s="78" t="inlineStr">
        <is>
          <t>m3</t>
        </is>
      </c>
      <c r="G50" s="78" t="inlineStr"/>
      <c r="H50" s="78" t="inlineStr">
        <is>
          <t>0 to 500000</t>
        </is>
      </c>
      <c r="I50" s="78" t="inlineStr">
        <is>
          <t>Pit water pumped</t>
        </is>
      </c>
      <c r="J50" s="78" t="inlineStr"/>
    </row>
    <row r="51">
      <c r="A51" s="78" t="inlineStr">
        <is>
          <t>tblMiningDaily</t>
        </is>
      </c>
      <c r="B51" s="78" t="inlineStr">
        <is>
          <t>Mining_Daily</t>
        </is>
      </c>
      <c r="C51" s="78" t="inlineStr">
        <is>
          <t>Comments</t>
        </is>
      </c>
      <c r="D51" s="78" t="inlineStr">
        <is>
          <t>Comments</t>
        </is>
      </c>
      <c r="E51" s="78" t="inlineStr">
        <is>
          <t>text</t>
        </is>
      </c>
      <c r="F51" s="78" t="inlineStr"/>
      <c r="G51" s="78" t="inlineStr"/>
      <c r="H51" s="78" t="inlineStr"/>
      <c r="I51" s="78" t="inlineStr"/>
      <c r="J51" s="78" t="inlineStr"/>
    </row>
    <row r="52">
      <c r="A52" s="78" t="inlineStr">
        <is>
          <t>tblMiningDaily</t>
        </is>
      </c>
      <c r="B52" s="78" t="inlineStr">
        <is>
          <t>Mining_Daily</t>
        </is>
      </c>
      <c r="C52" s="78" t="inlineStr">
        <is>
          <t>Powder_Factor_kgpt</t>
        </is>
      </c>
      <c r="D52" s="78" t="inlineStr">
        <is>
          <t>Powder factor</t>
        </is>
      </c>
      <c r="E52" s="78" t="inlineStr">
        <is>
          <t>calculated</t>
        </is>
      </c>
      <c r="F52" s="78" t="inlineStr">
        <is>
          <t>kg/t</t>
        </is>
      </c>
      <c r="G52" s="78" t="inlineStr"/>
      <c r="H52" s="78" t="inlineStr"/>
      <c r="I52" s="78" t="inlineStr">
        <is>
          <t>Explosives kg per tonne blasted</t>
        </is>
      </c>
      <c r="J52" s="78" t="inlineStr">
        <is>
          <t>IF(AND({Blast_t}&lt;&gt;"",{Blast_t}&gt;0),{Explosives_kg}/{Blast_t},"")</t>
        </is>
      </c>
    </row>
    <row r="53">
      <c r="A53" s="78" t="inlineStr">
        <is>
          <t>tblFleet</t>
        </is>
      </c>
      <c r="B53" s="78" t="inlineStr">
        <is>
          <t>Fleet</t>
        </is>
      </c>
      <c r="C53" s="78" t="inlineStr">
        <is>
          <t>Date</t>
        </is>
      </c>
      <c r="D53" s="78" t="inlineStr">
        <is>
          <t>Date</t>
        </is>
      </c>
      <c r="E53" s="78" t="inlineStr">
        <is>
          <t>date</t>
        </is>
      </c>
      <c r="F53" s="78" t="inlineStr"/>
      <c r="G53" s="78" t="inlineStr">
        <is>
          <t>yes</t>
        </is>
      </c>
      <c r="H53" s="78" t="inlineStr"/>
      <c r="I53" s="78" t="inlineStr"/>
      <c r="J53" s="78" t="inlineStr"/>
    </row>
    <row r="54">
      <c r="A54" s="78" t="inlineStr">
        <is>
          <t>tblFleet</t>
        </is>
      </c>
      <c r="B54" s="78" t="inlineStr">
        <is>
          <t>Fleet</t>
        </is>
      </c>
      <c r="C54" s="78" t="inlineStr">
        <is>
          <t>Equipment_Class</t>
        </is>
      </c>
      <c r="D54" s="78" t="inlineStr">
        <is>
          <t>Equipment class</t>
        </is>
      </c>
      <c r="E54" s="78" t="inlineStr">
        <is>
          <t>list</t>
        </is>
      </c>
      <c r="F54" s="78" t="inlineStr"/>
      <c r="G54" s="78" t="inlineStr">
        <is>
          <t>yes</t>
        </is>
      </c>
      <c r="H54" s="78" t="inlineStr">
        <is>
          <t>list: Equipment_Class</t>
        </is>
      </c>
      <c r="I54" s="78" t="inlineStr"/>
      <c r="J54" s="78" t="inlineStr"/>
    </row>
    <row r="55">
      <c r="A55" s="78" t="inlineStr">
        <is>
          <t>tblFleet</t>
        </is>
      </c>
      <c r="B55" s="78" t="inlineStr">
        <is>
          <t>Fleet</t>
        </is>
      </c>
      <c r="C55" s="78" t="inlineStr">
        <is>
          <t>Units</t>
        </is>
      </c>
      <c r="D55" s="78" t="inlineStr">
        <is>
          <t>Units in fleet</t>
        </is>
      </c>
      <c r="E55" s="78" t="inlineStr">
        <is>
          <t>int</t>
        </is>
      </c>
      <c r="F55" s="78" t="inlineStr"/>
      <c r="G55" s="78" t="inlineStr">
        <is>
          <t>yes</t>
        </is>
      </c>
      <c r="H55" s="78" t="inlineStr">
        <is>
          <t>0 to 200</t>
        </is>
      </c>
      <c r="I55" s="78" t="inlineStr">
        <is>
          <t>Number of machines of this class on site</t>
        </is>
      </c>
      <c r="J55" s="78" t="inlineStr"/>
    </row>
    <row r="56">
      <c r="A56" s="78" t="inlineStr">
        <is>
          <t>tblFleet</t>
        </is>
      </c>
      <c r="B56" s="78" t="inlineStr">
        <is>
          <t>Fleet</t>
        </is>
      </c>
      <c r="C56" s="78" t="inlineStr">
        <is>
          <t>Down_h</t>
        </is>
      </c>
      <c r="D56" s="78" t="inlineStr">
        <is>
          <t>Down hours</t>
        </is>
      </c>
      <c r="E56" s="78" t="inlineStr">
        <is>
          <t>number</t>
        </is>
      </c>
      <c r="F56" s="78" t="inlineStr">
        <is>
          <t>h</t>
        </is>
      </c>
      <c r="G56" s="78" t="inlineStr"/>
      <c r="H56" s="78" t="inlineStr">
        <is>
          <t>0 to 4800</t>
        </is>
      </c>
      <c r="I56" s="78" t="inlineStr">
        <is>
          <t>Sum of maintenance and breakdown hours across the class</t>
        </is>
      </c>
      <c r="J56" s="78" t="inlineStr"/>
    </row>
    <row r="57">
      <c r="A57" s="78" t="inlineStr">
        <is>
          <t>tblFleet</t>
        </is>
      </c>
      <c r="B57" s="78" t="inlineStr">
        <is>
          <t>Fleet</t>
        </is>
      </c>
      <c r="C57" s="78" t="inlineStr">
        <is>
          <t>Operating_h</t>
        </is>
      </c>
      <c r="D57" s="78" t="inlineStr">
        <is>
          <t>Operating hours</t>
        </is>
      </c>
      <c r="E57" s="78" t="inlineStr">
        <is>
          <t>number</t>
        </is>
      </c>
      <c r="F57" s="78" t="inlineStr">
        <is>
          <t>h</t>
        </is>
      </c>
      <c r="G57" s="78" t="inlineStr"/>
      <c r="H57" s="78" t="inlineStr">
        <is>
          <t>0 to 4800</t>
        </is>
      </c>
      <c r="I57" s="78" t="inlineStr">
        <is>
          <t>Sum of engine or productive hours across the class</t>
        </is>
      </c>
      <c r="J57" s="78" t="inlineStr"/>
    </row>
    <row r="58">
      <c r="A58" s="78" t="inlineStr">
        <is>
          <t>tblFleet</t>
        </is>
      </c>
      <c r="B58" s="78" t="inlineStr">
        <is>
          <t>Fleet</t>
        </is>
      </c>
      <c r="C58" s="78" t="inlineStr">
        <is>
          <t>Comments</t>
        </is>
      </c>
      <c r="D58" s="78" t="inlineStr">
        <is>
          <t>Comments</t>
        </is>
      </c>
      <c r="E58" s="78" t="inlineStr">
        <is>
          <t>text</t>
        </is>
      </c>
      <c r="F58" s="78" t="inlineStr"/>
      <c r="G58" s="78" t="inlineStr"/>
      <c r="H58" s="78" t="inlineStr"/>
      <c r="I58" s="78" t="inlineStr"/>
      <c r="J58" s="78" t="inlineStr"/>
    </row>
    <row r="59">
      <c r="A59" s="78" t="inlineStr">
        <is>
          <t>tblFleet</t>
        </is>
      </c>
      <c r="B59" s="78" t="inlineStr">
        <is>
          <t>Fleet</t>
        </is>
      </c>
      <c r="C59" s="78" t="inlineStr">
        <is>
          <t>Calendar_h</t>
        </is>
      </c>
      <c r="D59" s="78" t="inlineStr">
        <is>
          <t>Calendar hours</t>
        </is>
      </c>
      <c r="E59" s="78" t="inlineStr">
        <is>
          <t>calculated</t>
        </is>
      </c>
      <c r="F59" s="78" t="inlineStr">
        <is>
          <t>h</t>
        </is>
      </c>
      <c r="G59" s="78" t="inlineStr"/>
      <c r="H59" s="78" t="inlineStr"/>
      <c r="I59" s="78" t="inlineStr">
        <is>
          <t>Units x 24</t>
        </is>
      </c>
      <c r="J59" s="78" t="inlineStr">
        <is>
          <t>IF({Units}="","",{Units}*24)</t>
        </is>
      </c>
    </row>
    <row r="60">
      <c r="A60" s="78" t="inlineStr">
        <is>
          <t>tblFleet</t>
        </is>
      </c>
      <c r="B60" s="78" t="inlineStr">
        <is>
          <t>Fleet</t>
        </is>
      </c>
      <c r="C60" s="78" t="inlineStr">
        <is>
          <t>Available_h</t>
        </is>
      </c>
      <c r="D60" s="78" t="inlineStr">
        <is>
          <t>Available hours</t>
        </is>
      </c>
      <c r="E60" s="78" t="inlineStr">
        <is>
          <t>calculated</t>
        </is>
      </c>
      <c r="F60" s="78" t="inlineStr">
        <is>
          <t>h</t>
        </is>
      </c>
      <c r="G60" s="78" t="inlineStr"/>
      <c r="H60" s="78" t="inlineStr"/>
      <c r="I60" s="78" t="inlineStr">
        <is>
          <t>Calendar minus down</t>
        </is>
      </c>
      <c r="J60" s="78" t="inlineStr">
        <is>
          <t>IF({Units}="","",{Calendar_h}-{Down_h})</t>
        </is>
      </c>
    </row>
    <row r="61">
      <c r="A61" s="78" t="inlineStr">
        <is>
          <t>tblFleet</t>
        </is>
      </c>
      <c r="B61" s="78" t="inlineStr">
        <is>
          <t>Fleet</t>
        </is>
      </c>
      <c r="C61" s="78" t="inlineStr">
        <is>
          <t>Availability_pct</t>
        </is>
      </c>
      <c r="D61" s="78" t="inlineStr">
        <is>
          <t>Availability</t>
        </is>
      </c>
      <c r="E61" s="78" t="inlineStr">
        <is>
          <t>calculated</t>
        </is>
      </c>
      <c r="F61" s="78" t="inlineStr">
        <is>
          <t>%</t>
        </is>
      </c>
      <c r="G61" s="78" t="inlineStr"/>
      <c r="H61" s="78" t="inlineStr"/>
      <c r="I61" s="78" t="inlineStr">
        <is>
          <t>Available over calendar</t>
        </is>
      </c>
      <c r="J61" s="78" t="inlineStr">
        <is>
          <t>IF(AND({Units}&lt;&gt;"",{Calendar_h}&gt;0),{Available_h}/{Calendar_h},"")</t>
        </is>
      </c>
    </row>
    <row r="62">
      <c r="A62" s="78" t="inlineStr">
        <is>
          <t>tblFleet</t>
        </is>
      </c>
      <c r="B62" s="78" t="inlineStr">
        <is>
          <t>Fleet</t>
        </is>
      </c>
      <c r="C62" s="78" t="inlineStr">
        <is>
          <t>Utilisation_pct</t>
        </is>
      </c>
      <c r="D62" s="78" t="inlineStr">
        <is>
          <t>Utilisation</t>
        </is>
      </c>
      <c r="E62" s="78" t="inlineStr">
        <is>
          <t>calculated</t>
        </is>
      </c>
      <c r="F62" s="78" t="inlineStr">
        <is>
          <t>%</t>
        </is>
      </c>
      <c r="G62" s="78" t="inlineStr"/>
      <c r="H62" s="78" t="inlineStr"/>
      <c r="I62" s="78" t="inlineStr">
        <is>
          <t>Operating over available</t>
        </is>
      </c>
      <c r="J62" s="78" t="inlineStr">
        <is>
          <t>IF(AND({Units}&lt;&gt;"",{Available_h}&gt;0),{Operating_h}/{Available_h},"")</t>
        </is>
      </c>
    </row>
    <row r="63">
      <c r="A63" s="78" t="inlineStr">
        <is>
          <t>tblSafety</t>
        </is>
      </c>
      <c r="B63" s="78" t="inlineStr">
        <is>
          <t>Safety</t>
        </is>
      </c>
      <c r="C63" s="78" t="inlineStr">
        <is>
          <t>Date</t>
        </is>
      </c>
      <c r="D63" s="78" t="inlineStr">
        <is>
          <t>Date</t>
        </is>
      </c>
      <c r="E63" s="78" t="inlineStr">
        <is>
          <t>date</t>
        </is>
      </c>
      <c r="F63" s="78" t="inlineStr"/>
      <c r="G63" s="78" t="inlineStr">
        <is>
          <t>yes</t>
        </is>
      </c>
      <c r="H63" s="78" t="inlineStr"/>
      <c r="I63" s="78" t="inlineStr"/>
      <c r="J63" s="78" t="inlineStr"/>
    </row>
    <row r="64">
      <c r="A64" s="78" t="inlineStr">
        <is>
          <t>tblSafety</t>
        </is>
      </c>
      <c r="B64" s="78" t="inlineStr">
        <is>
          <t>Safety</t>
        </is>
      </c>
      <c r="C64" s="78" t="inlineStr">
        <is>
          <t>Hours_Employees</t>
        </is>
      </c>
      <c r="D64" s="78" t="inlineStr">
        <is>
          <t>Hours worked, employees</t>
        </is>
      </c>
      <c r="E64" s="78" t="inlineStr">
        <is>
          <t>number</t>
        </is>
      </c>
      <c r="F64" s="78" t="inlineStr">
        <is>
          <t>h</t>
        </is>
      </c>
      <c r="G64" s="78" t="inlineStr"/>
      <c r="H64" s="78" t="inlineStr">
        <is>
          <t>0 to 50000</t>
        </is>
      </c>
      <c r="I64" s="78" t="inlineStr"/>
      <c r="J64" s="78" t="inlineStr"/>
    </row>
    <row r="65">
      <c r="A65" s="78" t="inlineStr">
        <is>
          <t>tblSafety</t>
        </is>
      </c>
      <c r="B65" s="78" t="inlineStr">
        <is>
          <t>Safety</t>
        </is>
      </c>
      <c r="C65" s="78" t="inlineStr">
        <is>
          <t>Hours_Contractors</t>
        </is>
      </c>
      <c r="D65" s="78" t="inlineStr">
        <is>
          <t>Hours worked, contractors</t>
        </is>
      </c>
      <c r="E65" s="78" t="inlineStr">
        <is>
          <t>number</t>
        </is>
      </c>
      <c r="F65" s="78" t="inlineStr">
        <is>
          <t>h</t>
        </is>
      </c>
      <c r="G65" s="78" t="inlineStr"/>
      <c r="H65" s="78" t="inlineStr">
        <is>
          <t>0 to 50000</t>
        </is>
      </c>
      <c r="I65" s="78" t="inlineStr"/>
      <c r="J65" s="78" t="inlineStr"/>
    </row>
    <row r="66">
      <c r="A66" s="78" t="inlineStr">
        <is>
          <t>tblSafety</t>
        </is>
      </c>
      <c r="B66" s="78" t="inlineStr">
        <is>
          <t>Safety</t>
        </is>
      </c>
      <c r="C66" s="78" t="inlineStr">
        <is>
          <t>Fatality</t>
        </is>
      </c>
      <c r="D66" s="78" t="inlineStr">
        <is>
          <t>Fatalities</t>
        </is>
      </c>
      <c r="E66" s="78" t="inlineStr">
        <is>
          <t>int</t>
        </is>
      </c>
      <c r="F66" s="78" t="inlineStr"/>
      <c r="G66" s="78" t="inlineStr"/>
      <c r="H66" s="78" t="inlineStr">
        <is>
          <t>0 to 50</t>
        </is>
      </c>
      <c r="I66" s="78" t="inlineStr"/>
      <c r="J66" s="78" t="inlineStr"/>
    </row>
    <row r="67">
      <c r="A67" s="78" t="inlineStr">
        <is>
          <t>tblSafety</t>
        </is>
      </c>
      <c r="B67" s="78" t="inlineStr">
        <is>
          <t>Safety</t>
        </is>
      </c>
      <c r="C67" s="78" t="inlineStr">
        <is>
          <t>LTI</t>
        </is>
      </c>
      <c r="D67" s="78" t="inlineStr">
        <is>
          <t>Lost time injuries</t>
        </is>
      </c>
      <c r="E67" s="78" t="inlineStr">
        <is>
          <t>int</t>
        </is>
      </c>
      <c r="F67" s="78" t="inlineStr"/>
      <c r="G67" s="78" t="inlineStr"/>
      <c r="H67" s="78" t="inlineStr">
        <is>
          <t>0 to 50</t>
        </is>
      </c>
      <c r="I67" s="78" t="inlineStr"/>
      <c r="J67" s="78" t="inlineStr"/>
    </row>
    <row r="68">
      <c r="A68" s="78" t="inlineStr">
        <is>
          <t>tblSafety</t>
        </is>
      </c>
      <c r="B68" s="78" t="inlineStr">
        <is>
          <t>Safety</t>
        </is>
      </c>
      <c r="C68" s="78" t="inlineStr">
        <is>
          <t>RWI</t>
        </is>
      </c>
      <c r="D68" s="78" t="inlineStr">
        <is>
          <t>Restricted work injuries</t>
        </is>
      </c>
      <c r="E68" s="78" t="inlineStr">
        <is>
          <t>int</t>
        </is>
      </c>
      <c r="F68" s="78" t="inlineStr"/>
      <c r="G68" s="78" t="inlineStr"/>
      <c r="H68" s="78" t="inlineStr">
        <is>
          <t>0 to 50</t>
        </is>
      </c>
      <c r="I68" s="78" t="inlineStr"/>
      <c r="J68" s="78" t="inlineStr"/>
    </row>
    <row r="69">
      <c r="A69" s="78" t="inlineStr">
        <is>
          <t>tblSafety</t>
        </is>
      </c>
      <c r="B69" s="78" t="inlineStr">
        <is>
          <t>Safety</t>
        </is>
      </c>
      <c r="C69" s="78" t="inlineStr">
        <is>
          <t>MTI</t>
        </is>
      </c>
      <c r="D69" s="78" t="inlineStr">
        <is>
          <t>Medical treatment injuries</t>
        </is>
      </c>
      <c r="E69" s="78" t="inlineStr">
        <is>
          <t>int</t>
        </is>
      </c>
      <c r="F69" s="78" t="inlineStr"/>
      <c r="G69" s="78" t="inlineStr"/>
      <c r="H69" s="78" t="inlineStr">
        <is>
          <t>0 to 50</t>
        </is>
      </c>
      <c r="I69" s="78" t="inlineStr"/>
      <c r="J69" s="78" t="inlineStr"/>
    </row>
    <row r="70">
      <c r="A70" s="78" t="inlineStr">
        <is>
          <t>tblSafety</t>
        </is>
      </c>
      <c r="B70" s="78" t="inlineStr">
        <is>
          <t>Safety</t>
        </is>
      </c>
      <c r="C70" s="78" t="inlineStr">
        <is>
          <t>FAI</t>
        </is>
      </c>
      <c r="D70" s="78" t="inlineStr">
        <is>
          <t>First aid injuries</t>
        </is>
      </c>
      <c r="E70" s="78" t="inlineStr">
        <is>
          <t>int</t>
        </is>
      </c>
      <c r="F70" s="78" t="inlineStr"/>
      <c r="G70" s="78" t="inlineStr"/>
      <c r="H70" s="78" t="inlineStr">
        <is>
          <t>0 to 50</t>
        </is>
      </c>
      <c r="I70" s="78" t="inlineStr"/>
      <c r="J70" s="78" t="inlineStr"/>
    </row>
    <row r="71">
      <c r="A71" s="78" t="inlineStr">
        <is>
          <t>tblSafety</t>
        </is>
      </c>
      <c r="B71" s="78" t="inlineStr">
        <is>
          <t>Safety</t>
        </is>
      </c>
      <c r="C71" s="78" t="inlineStr">
        <is>
          <t>Near_Miss</t>
        </is>
      </c>
      <c r="D71" s="78" t="inlineStr">
        <is>
          <t>Near misses</t>
        </is>
      </c>
      <c r="E71" s="78" t="inlineStr">
        <is>
          <t>int</t>
        </is>
      </c>
      <c r="F71" s="78" t="inlineStr"/>
      <c r="G71" s="78" t="inlineStr"/>
      <c r="H71" s="78" t="inlineStr">
        <is>
          <t>0 to 500</t>
        </is>
      </c>
      <c r="I71" s="78" t="inlineStr"/>
      <c r="J71" s="78" t="inlineStr"/>
    </row>
    <row r="72">
      <c r="A72" s="78" t="inlineStr">
        <is>
          <t>tblSafety</t>
        </is>
      </c>
      <c r="B72" s="78" t="inlineStr">
        <is>
          <t>Safety</t>
        </is>
      </c>
      <c r="C72" s="78" t="inlineStr">
        <is>
          <t>Hazard_Reports</t>
        </is>
      </c>
      <c r="D72" s="78" t="inlineStr">
        <is>
          <t>Hazard reports</t>
        </is>
      </c>
      <c r="E72" s="78" t="inlineStr">
        <is>
          <t>int</t>
        </is>
      </c>
      <c r="F72" s="78" t="inlineStr"/>
      <c r="G72" s="78" t="inlineStr"/>
      <c r="H72" s="78" t="inlineStr">
        <is>
          <t>0 to 5000</t>
        </is>
      </c>
      <c r="I72" s="78" t="inlineStr"/>
      <c r="J72" s="78" t="inlineStr"/>
    </row>
    <row r="73">
      <c r="A73" s="78" t="inlineStr">
        <is>
          <t>tblSafety</t>
        </is>
      </c>
      <c r="B73" s="78" t="inlineStr">
        <is>
          <t>Safety</t>
        </is>
      </c>
      <c r="C73" s="78" t="inlineStr">
        <is>
          <t>HPI</t>
        </is>
      </c>
      <c r="D73" s="78" t="inlineStr">
        <is>
          <t>High potential incidents</t>
        </is>
      </c>
      <c r="E73" s="78" t="inlineStr">
        <is>
          <t>int</t>
        </is>
      </c>
      <c r="F73" s="78" t="inlineStr"/>
      <c r="G73" s="78" t="inlineStr"/>
      <c r="H73" s="78" t="inlineStr">
        <is>
          <t>0 to 50</t>
        </is>
      </c>
      <c r="I73" s="78" t="inlineStr"/>
      <c r="J73" s="78" t="inlineStr"/>
    </row>
    <row r="74">
      <c r="A74" s="78" t="inlineStr">
        <is>
          <t>tblSafety</t>
        </is>
      </c>
      <c r="B74" s="78" t="inlineStr">
        <is>
          <t>Safety</t>
        </is>
      </c>
      <c r="C74" s="78" t="inlineStr">
        <is>
          <t>Env_Incidents</t>
        </is>
      </c>
      <c r="D74" s="78" t="inlineStr">
        <is>
          <t>Environmental incidents</t>
        </is>
      </c>
      <c r="E74" s="78" t="inlineStr">
        <is>
          <t>int</t>
        </is>
      </c>
      <c r="F74" s="78" t="inlineStr"/>
      <c r="G74" s="78" t="inlineStr"/>
      <c r="H74" s="78" t="inlineStr">
        <is>
          <t>0 to 50</t>
        </is>
      </c>
      <c r="I74" s="78" t="inlineStr"/>
      <c r="J74" s="78" t="inlineStr"/>
    </row>
    <row r="75">
      <c r="A75" s="78" t="inlineStr">
        <is>
          <t>tblSafety</t>
        </is>
      </c>
      <c r="B75" s="78" t="inlineStr">
        <is>
          <t>Safety</t>
        </is>
      </c>
      <c r="C75" s="78" t="inlineStr">
        <is>
          <t>Community_Incidents</t>
        </is>
      </c>
      <c r="D75" s="78" t="inlineStr">
        <is>
          <t>Community incidents or grievances</t>
        </is>
      </c>
      <c r="E75" s="78" t="inlineStr">
        <is>
          <t>int</t>
        </is>
      </c>
      <c r="F75" s="78" t="inlineStr"/>
      <c r="G75" s="78" t="inlineStr"/>
      <c r="H75" s="78" t="inlineStr">
        <is>
          <t>0 to 50</t>
        </is>
      </c>
      <c r="I75" s="78" t="inlineStr"/>
      <c r="J75" s="78" t="inlineStr"/>
    </row>
    <row r="76">
      <c r="A76" s="78" t="inlineStr">
        <is>
          <t>tblSafety</t>
        </is>
      </c>
      <c r="B76" s="78" t="inlineStr">
        <is>
          <t>Safety</t>
        </is>
      </c>
      <c r="C76" s="78" t="inlineStr">
        <is>
          <t>Vehicle_Incidents</t>
        </is>
      </c>
      <c r="D76" s="78" t="inlineStr">
        <is>
          <t>Vehicle incidents</t>
        </is>
      </c>
      <c r="E76" s="78" t="inlineStr">
        <is>
          <t>int</t>
        </is>
      </c>
      <c r="F76" s="78" t="inlineStr"/>
      <c r="G76" s="78" t="inlineStr"/>
      <c r="H76" s="78" t="inlineStr">
        <is>
          <t>0 to 50</t>
        </is>
      </c>
      <c r="I76" s="78" t="inlineStr"/>
      <c r="J76" s="78" t="inlineStr"/>
    </row>
    <row r="77">
      <c r="A77" s="78" t="inlineStr">
        <is>
          <t>tblSafety</t>
        </is>
      </c>
      <c r="B77" s="78" t="inlineStr">
        <is>
          <t>Safety</t>
        </is>
      </c>
      <c r="C77" s="78" t="inlineStr">
        <is>
          <t>Toolbox_Talks</t>
        </is>
      </c>
      <c r="D77" s="78" t="inlineStr">
        <is>
          <t>Toolbox talks</t>
        </is>
      </c>
      <c r="E77" s="78" t="inlineStr">
        <is>
          <t>int</t>
        </is>
      </c>
      <c r="F77" s="78" t="inlineStr"/>
      <c r="G77" s="78" t="inlineStr"/>
      <c r="H77" s="78" t="inlineStr">
        <is>
          <t>0 to 500</t>
        </is>
      </c>
      <c r="I77" s="78" t="inlineStr"/>
      <c r="J77" s="78" t="inlineStr"/>
    </row>
    <row r="78">
      <c r="A78" s="78" t="inlineStr">
        <is>
          <t>tblSafety</t>
        </is>
      </c>
      <c r="B78" s="78" t="inlineStr">
        <is>
          <t>Safety</t>
        </is>
      </c>
      <c r="C78" s="78" t="inlineStr">
        <is>
          <t>Inspections</t>
        </is>
      </c>
      <c r="D78" s="78" t="inlineStr">
        <is>
          <t>Inspections and audits</t>
        </is>
      </c>
      <c r="E78" s="78" t="inlineStr">
        <is>
          <t>int</t>
        </is>
      </c>
      <c r="F78" s="78" t="inlineStr"/>
      <c r="G78" s="78" t="inlineStr"/>
      <c r="H78" s="78" t="inlineStr">
        <is>
          <t>0 to 500</t>
        </is>
      </c>
      <c r="I78" s="78" t="inlineStr"/>
      <c r="J78" s="78" t="inlineStr"/>
    </row>
    <row r="79">
      <c r="A79" s="78" t="inlineStr">
        <is>
          <t>tblSafety</t>
        </is>
      </c>
      <c r="B79" s="78" t="inlineStr">
        <is>
          <t>Safety</t>
        </is>
      </c>
      <c r="C79" s="78" t="inlineStr">
        <is>
          <t>Comments</t>
        </is>
      </c>
      <c r="D79" s="78" t="inlineStr">
        <is>
          <t>Comments</t>
        </is>
      </c>
      <c r="E79" s="78" t="inlineStr">
        <is>
          <t>text</t>
        </is>
      </c>
      <c r="F79" s="78" t="inlineStr"/>
      <c r="G79" s="78" t="inlineStr"/>
      <c r="H79" s="78" t="inlineStr"/>
      <c r="I79" s="78" t="inlineStr"/>
      <c r="J79" s="78" t="inlineStr"/>
    </row>
    <row r="80">
      <c r="A80" s="78" t="inlineStr">
        <is>
          <t>tblSafety</t>
        </is>
      </c>
      <c r="B80" s="78" t="inlineStr">
        <is>
          <t>Safety</t>
        </is>
      </c>
      <c r="C80" s="78" t="inlineStr">
        <is>
          <t>Hours_Total</t>
        </is>
      </c>
      <c r="D80" s="78" t="inlineStr">
        <is>
          <t>Hours worked, total</t>
        </is>
      </c>
      <c r="E80" s="78" t="inlineStr">
        <is>
          <t>calculated</t>
        </is>
      </c>
      <c r="F80" s="78" t="inlineStr">
        <is>
          <t>h</t>
        </is>
      </c>
      <c r="G80" s="78" t="inlineStr"/>
      <c r="H80" s="78" t="inlineStr"/>
      <c r="I80" s="78" t="inlineStr"/>
      <c r="J80" s="78" t="inlineStr">
        <is>
          <t>IF(AND({Hours_Employees}="",{Hours_Contractors}=""),"",N({Hours_Employees})+N({Hours_Contractors}))</t>
        </is>
      </c>
    </row>
    <row r="81">
      <c r="A81" s="78" t="inlineStr">
        <is>
          <t>tblSafety</t>
        </is>
      </c>
      <c r="B81" s="78" t="inlineStr">
        <is>
          <t>Safety</t>
        </is>
      </c>
      <c r="C81" s="78" t="inlineStr">
        <is>
          <t>Recordables</t>
        </is>
      </c>
      <c r="D81" s="78" t="inlineStr">
        <is>
          <t>Recordable injuries</t>
        </is>
      </c>
      <c r="E81" s="78" t="inlineStr">
        <is>
          <t>calculated</t>
        </is>
      </c>
      <c r="F81" s="78" t="inlineStr"/>
      <c r="G81" s="78" t="inlineStr"/>
      <c r="H81" s="78" t="inlineStr"/>
      <c r="I81" s="78" t="inlineStr">
        <is>
          <t>Fatalities + LTI + RWI + MTI</t>
        </is>
      </c>
      <c r="J81" s="78" t="inlineStr">
        <is>
          <t>N({Fatality})+N({LTI})+N({RWI})+N({MTI})</t>
        </is>
      </c>
    </row>
    <row r="82">
      <c r="A82" s="78" t="inlineStr">
        <is>
          <t>tblSafetyHistory</t>
        </is>
      </c>
      <c r="B82" s="78" t="inlineStr">
        <is>
          <t>Config</t>
        </is>
      </c>
      <c r="C82" s="78" t="inlineStr">
        <is>
          <t>Month</t>
        </is>
      </c>
      <c r="D82" s="78" t="inlineStr">
        <is>
          <t>Month</t>
        </is>
      </c>
      <c r="E82" s="78" t="inlineStr">
        <is>
          <t>date</t>
        </is>
      </c>
      <c r="F82" s="78" t="inlineStr"/>
      <c r="G82" s="78" t="inlineStr">
        <is>
          <t>yes</t>
        </is>
      </c>
      <c r="H82" s="78" t="inlineStr"/>
      <c r="I82" s="78" t="inlineStr">
        <is>
          <t>First day of the month</t>
        </is>
      </c>
      <c r="J82" s="78" t="inlineStr"/>
    </row>
    <row r="83">
      <c r="A83" s="78" t="inlineStr">
        <is>
          <t>tblSafetyHistory</t>
        </is>
      </c>
      <c r="B83" s="78" t="inlineStr">
        <is>
          <t>Config</t>
        </is>
      </c>
      <c r="C83" s="78" t="inlineStr">
        <is>
          <t>Hours_Total</t>
        </is>
      </c>
      <c r="D83" s="78" t="inlineStr">
        <is>
          <t>Hours worked</t>
        </is>
      </c>
      <c r="E83" s="78" t="inlineStr">
        <is>
          <t>number</t>
        </is>
      </c>
      <c r="F83" s="78" t="inlineStr">
        <is>
          <t>h</t>
        </is>
      </c>
      <c r="G83" s="78" t="inlineStr"/>
      <c r="H83" s="78" t="inlineStr">
        <is>
          <t>0 to 2000000</t>
        </is>
      </c>
      <c r="I83" s="78" t="inlineStr"/>
      <c r="J83" s="78" t="inlineStr"/>
    </row>
    <row r="84">
      <c r="A84" s="78" t="inlineStr">
        <is>
          <t>tblSafetyHistory</t>
        </is>
      </c>
      <c r="B84" s="78" t="inlineStr">
        <is>
          <t>Config</t>
        </is>
      </c>
      <c r="C84" s="78" t="inlineStr">
        <is>
          <t>Recordables</t>
        </is>
      </c>
      <c r="D84" s="78" t="inlineStr">
        <is>
          <t>Recordable injuries</t>
        </is>
      </c>
      <c r="E84" s="78" t="inlineStr">
        <is>
          <t>int</t>
        </is>
      </c>
      <c r="F84" s="78" t="inlineStr"/>
      <c r="G84" s="78" t="inlineStr"/>
      <c r="H84" s="78" t="inlineStr">
        <is>
          <t>0 to 100</t>
        </is>
      </c>
      <c r="I84" s="78" t="inlineStr"/>
      <c r="J84" s="78" t="inlineStr"/>
    </row>
    <row r="85">
      <c r="A85" s="78" t="inlineStr">
        <is>
          <t>tblSafetyHistory</t>
        </is>
      </c>
      <c r="B85" s="78" t="inlineStr">
        <is>
          <t>Config</t>
        </is>
      </c>
      <c r="C85" s="78" t="inlineStr">
        <is>
          <t>LTI</t>
        </is>
      </c>
      <c r="D85" s="78" t="inlineStr">
        <is>
          <t>Lost time injuries</t>
        </is>
      </c>
      <c r="E85" s="78" t="inlineStr">
        <is>
          <t>int</t>
        </is>
      </c>
      <c r="F85" s="78" t="inlineStr"/>
      <c r="G85" s="78" t="inlineStr"/>
      <c r="H85" s="78" t="inlineStr">
        <is>
          <t>0 to 100</t>
        </is>
      </c>
      <c r="I85" s="78" t="inlineStr"/>
      <c r="J85" s="78" t="inlineStr"/>
    </row>
    <row r="86">
      <c r="A86" s="78" t="inlineStr">
        <is>
          <t>tblGold</t>
        </is>
      </c>
      <c r="B86" s="78" t="inlineStr">
        <is>
          <t>Gold</t>
        </is>
      </c>
      <c r="C86" s="78" t="inlineStr">
        <is>
          <t>Date</t>
        </is>
      </c>
      <c r="D86" s="78" t="inlineStr">
        <is>
          <t>Date</t>
        </is>
      </c>
      <c r="E86" s="78" t="inlineStr">
        <is>
          <t>date</t>
        </is>
      </c>
      <c r="F86" s="78" t="inlineStr"/>
      <c r="G86" s="78" t="inlineStr">
        <is>
          <t>yes</t>
        </is>
      </c>
      <c r="H86" s="78" t="inlineStr"/>
      <c r="I86" s="78" t="inlineStr"/>
      <c r="J86" s="78" t="inlineStr"/>
    </row>
    <row r="87">
      <c r="A87" s="78" t="inlineStr">
        <is>
          <t>tblGold</t>
        </is>
      </c>
      <c r="B87" s="78" t="inlineStr">
        <is>
          <t>Gold</t>
        </is>
      </c>
      <c r="C87" s="78" t="inlineStr">
        <is>
          <t>Type</t>
        </is>
      </c>
      <c r="D87" s="78" t="inlineStr">
        <is>
          <t>Type</t>
        </is>
      </c>
      <c r="E87" s="78" t="inlineStr">
        <is>
          <t>list</t>
        </is>
      </c>
      <c r="F87" s="78" t="inlineStr"/>
      <c r="G87" s="78" t="inlineStr">
        <is>
          <t>yes</t>
        </is>
      </c>
      <c r="H87" s="78" t="inlineStr">
        <is>
          <t>list: Gold_Movement_Type</t>
        </is>
      </c>
      <c r="I87" s="78" t="inlineStr">
        <is>
          <t>Shipment (dore leaves site) or Sale (refinery outturn sold)</t>
        </is>
      </c>
      <c r="J87" s="78" t="inlineStr"/>
    </row>
    <row r="88">
      <c r="A88" s="78" t="inlineStr">
        <is>
          <t>tblGold</t>
        </is>
      </c>
      <c r="B88" s="78" t="inlineStr">
        <is>
          <t>Gold</t>
        </is>
      </c>
      <c r="C88" s="78" t="inlineStr">
        <is>
          <t>Dore_kg</t>
        </is>
      </c>
      <c r="D88" s="78" t="inlineStr">
        <is>
          <t>Dore weight</t>
        </is>
      </c>
      <c r="E88" s="78" t="inlineStr">
        <is>
          <t>number</t>
        </is>
      </c>
      <c r="F88" s="78" t="inlineStr">
        <is>
          <t>kg</t>
        </is>
      </c>
      <c r="G88" s="78" t="inlineStr"/>
      <c r="H88" s="78" t="inlineStr">
        <is>
          <t>0 to 5000</t>
        </is>
      </c>
      <c r="I88" s="78" t="inlineStr"/>
      <c r="J88" s="78" t="inlineStr"/>
    </row>
    <row r="89">
      <c r="A89" s="78" t="inlineStr">
        <is>
          <t>tblGold</t>
        </is>
      </c>
      <c r="B89" s="78" t="inlineStr">
        <is>
          <t>Gold</t>
        </is>
      </c>
      <c r="C89" s="78" t="inlineStr">
        <is>
          <t>Gold_oz</t>
        </is>
      </c>
      <c r="D89" s="78" t="inlineStr">
        <is>
          <t>Gold</t>
        </is>
      </c>
      <c r="E89" s="78" t="inlineStr">
        <is>
          <t>number</t>
        </is>
      </c>
      <c r="F89" s="78" t="inlineStr">
        <is>
          <t>oz</t>
        </is>
      </c>
      <c r="G89" s="78" t="inlineStr">
        <is>
          <t>yes</t>
        </is>
      </c>
      <c r="H89" s="78" t="inlineStr">
        <is>
          <t>0 to 100000</t>
        </is>
      </c>
      <c r="I89" s="78" t="inlineStr"/>
      <c r="J89" s="78" t="inlineStr"/>
    </row>
    <row r="90">
      <c r="A90" s="78" t="inlineStr">
        <is>
          <t>tblGold</t>
        </is>
      </c>
      <c r="B90" s="78" t="inlineStr">
        <is>
          <t>Gold</t>
        </is>
      </c>
      <c r="C90" s="78" t="inlineStr">
        <is>
          <t>Silver_oz</t>
        </is>
      </c>
      <c r="D90" s="78" t="inlineStr">
        <is>
          <t>Silver</t>
        </is>
      </c>
      <c r="E90" s="78" t="inlineStr">
        <is>
          <t>number</t>
        </is>
      </c>
      <c r="F90" s="78" t="inlineStr">
        <is>
          <t>oz</t>
        </is>
      </c>
      <c r="G90" s="78" t="inlineStr"/>
      <c r="H90" s="78" t="inlineStr">
        <is>
          <t>0 to 100000</t>
        </is>
      </c>
      <c r="I90" s="78" t="inlineStr"/>
      <c r="J90" s="78" t="inlineStr"/>
    </row>
    <row r="91">
      <c r="A91" s="78" t="inlineStr">
        <is>
          <t>tblGold</t>
        </is>
      </c>
      <c r="B91" s="78" t="inlineStr">
        <is>
          <t>Gold</t>
        </is>
      </c>
      <c r="C91" s="78" t="inlineStr">
        <is>
          <t>Reference</t>
        </is>
      </c>
      <c r="D91" s="78" t="inlineStr">
        <is>
          <t>Reference</t>
        </is>
      </c>
      <c r="E91" s="78" t="inlineStr">
        <is>
          <t>text</t>
        </is>
      </c>
      <c r="F91" s="78" t="inlineStr"/>
      <c r="G91" s="78" t="inlineStr"/>
      <c r="H91" s="78" t="inlineStr"/>
      <c r="I91" s="78" t="inlineStr">
        <is>
          <t>Shipment or sale reference</t>
        </is>
      </c>
      <c r="J91" s="78" t="inlineStr"/>
    </row>
    <row r="92">
      <c r="A92" s="78" t="inlineStr">
        <is>
          <t>tblGold</t>
        </is>
      </c>
      <c r="B92" s="78" t="inlineStr">
        <is>
          <t>Gold</t>
        </is>
      </c>
      <c r="C92" s="78" t="inlineStr">
        <is>
          <t>Comments</t>
        </is>
      </c>
      <c r="D92" s="78" t="inlineStr">
        <is>
          <t>Comments</t>
        </is>
      </c>
      <c r="E92" s="78" t="inlineStr">
        <is>
          <t>text</t>
        </is>
      </c>
      <c r="F92" s="78" t="inlineStr"/>
      <c r="G92" s="78" t="inlineStr"/>
      <c r="H92" s="78" t="inlineStr"/>
      <c r="I92" s="78" t="inlineStr"/>
      <c r="J92" s="78" t="inlineStr"/>
    </row>
    <row r="93">
      <c r="A93" s="78" t="inlineStr">
        <is>
          <t>tblBudget</t>
        </is>
      </c>
      <c r="B93" s="78" t="inlineStr">
        <is>
          <t>Budget</t>
        </is>
      </c>
      <c r="C93" s="78" t="inlineStr">
        <is>
          <t>Month</t>
        </is>
      </c>
      <c r="D93" s="78" t="inlineStr">
        <is>
          <t>Month</t>
        </is>
      </c>
      <c r="E93" s="78" t="inlineStr">
        <is>
          <t>date</t>
        </is>
      </c>
      <c r="F93" s="78" t="inlineStr"/>
      <c r="G93" s="78" t="inlineStr">
        <is>
          <t>yes</t>
        </is>
      </c>
      <c r="H93" s="78" t="inlineStr"/>
      <c r="I93" s="78" t="inlineStr">
        <is>
          <t>First day of the month</t>
        </is>
      </c>
      <c r="J93" s="78" t="inlineStr"/>
    </row>
    <row r="94">
      <c r="A94" s="78" t="inlineStr">
        <is>
          <t>tblBudget</t>
        </is>
      </c>
      <c r="B94" s="78" t="inlineStr">
        <is>
          <t>Budget</t>
        </is>
      </c>
      <c r="C94" s="78" t="inlineStr">
        <is>
          <t>Ore_Mined_t</t>
        </is>
      </c>
      <c r="D94" s="78" t="inlineStr">
        <is>
          <t>Ore mined</t>
        </is>
      </c>
      <c r="E94" s="78" t="inlineStr">
        <is>
          <t>number</t>
        </is>
      </c>
      <c r="F94" s="78" t="inlineStr">
        <is>
          <t>t</t>
        </is>
      </c>
      <c r="G94" s="78" t="inlineStr"/>
      <c r="H94" s="78" t="inlineStr">
        <is>
          <t>0 to 5000000</t>
        </is>
      </c>
      <c r="I94" s="78" t="inlineStr"/>
      <c r="J94" s="78" t="inlineStr"/>
    </row>
    <row r="95">
      <c r="A95" s="78" t="inlineStr">
        <is>
          <t>tblBudget</t>
        </is>
      </c>
      <c r="B95" s="78" t="inlineStr">
        <is>
          <t>Budget</t>
        </is>
      </c>
      <c r="C95" s="78" t="inlineStr">
        <is>
          <t>Ore_Grade_gpt</t>
        </is>
      </c>
      <c r="D95" s="78" t="inlineStr">
        <is>
          <t>Ore grade mined</t>
        </is>
      </c>
      <c r="E95" s="78" t="inlineStr">
        <is>
          <t>number</t>
        </is>
      </c>
      <c r="F95" s="78" t="inlineStr">
        <is>
          <t>g/t</t>
        </is>
      </c>
      <c r="G95" s="78" t="inlineStr"/>
      <c r="H95" s="78" t="inlineStr">
        <is>
          <t>0 to 50</t>
        </is>
      </c>
      <c r="I95" s="78" t="inlineStr"/>
      <c r="J95" s="78" t="inlineStr"/>
    </row>
    <row r="96">
      <c r="A96" s="78" t="inlineStr">
        <is>
          <t>tblBudget</t>
        </is>
      </c>
      <c r="B96" s="78" t="inlineStr">
        <is>
          <t>Budget</t>
        </is>
      </c>
      <c r="C96" s="78" t="inlineStr">
        <is>
          <t>Waste_t</t>
        </is>
      </c>
      <c r="D96" s="78" t="inlineStr">
        <is>
          <t>Waste mined</t>
        </is>
      </c>
      <c r="E96" s="78" t="inlineStr">
        <is>
          <t>number</t>
        </is>
      </c>
      <c r="F96" s="78" t="inlineStr">
        <is>
          <t>t</t>
        </is>
      </c>
      <c r="G96" s="78" t="inlineStr"/>
      <c r="H96" s="78" t="inlineStr">
        <is>
          <t>0 to 20000000</t>
        </is>
      </c>
      <c r="I96" s="78" t="inlineStr"/>
      <c r="J96" s="78" t="inlineStr"/>
    </row>
    <row r="97">
      <c r="A97" s="78" t="inlineStr">
        <is>
          <t>tblBudget</t>
        </is>
      </c>
      <c r="B97" s="78" t="inlineStr">
        <is>
          <t>Budget</t>
        </is>
      </c>
      <c r="C97" s="78" t="inlineStr">
        <is>
          <t>Milled_t</t>
        </is>
      </c>
      <c r="D97" s="78" t="inlineStr">
        <is>
          <t>Milled</t>
        </is>
      </c>
      <c r="E97" s="78" t="inlineStr">
        <is>
          <t>number</t>
        </is>
      </c>
      <c r="F97" s="78" t="inlineStr">
        <is>
          <t>t</t>
        </is>
      </c>
      <c r="G97" s="78" t="inlineStr"/>
      <c r="H97" s="78" t="inlineStr">
        <is>
          <t>0 to 5000000</t>
        </is>
      </c>
      <c r="I97" s="78" t="inlineStr"/>
      <c r="J97" s="78" t="inlineStr"/>
    </row>
    <row r="98">
      <c r="A98" s="78" t="inlineStr">
        <is>
          <t>tblBudget</t>
        </is>
      </c>
      <c r="B98" s="78" t="inlineStr">
        <is>
          <t>Budget</t>
        </is>
      </c>
      <c r="C98" s="78" t="inlineStr">
        <is>
          <t>Head_Grade_gpt</t>
        </is>
      </c>
      <c r="D98" s="78" t="inlineStr">
        <is>
          <t>Head grade</t>
        </is>
      </c>
      <c r="E98" s="78" t="inlineStr">
        <is>
          <t>number</t>
        </is>
      </c>
      <c r="F98" s="78" t="inlineStr">
        <is>
          <t>g/t</t>
        </is>
      </c>
      <c r="G98" s="78" t="inlineStr"/>
      <c r="H98" s="78" t="inlineStr">
        <is>
          <t>0 to 50</t>
        </is>
      </c>
      <c r="I98" s="78" t="inlineStr"/>
      <c r="J98" s="78" t="inlineStr"/>
    </row>
    <row r="99">
      <c r="A99" s="78" t="inlineStr">
        <is>
          <t>tblBudget</t>
        </is>
      </c>
      <c r="B99" s="78" t="inlineStr">
        <is>
          <t>Budget</t>
        </is>
      </c>
      <c r="C99" s="78" t="inlineStr">
        <is>
          <t>Recovery_pct</t>
        </is>
      </c>
      <c r="D99" s="78" t="inlineStr">
        <is>
          <t>Recovery</t>
        </is>
      </c>
      <c r="E99" s="78" t="inlineStr">
        <is>
          <t>pct</t>
        </is>
      </c>
      <c r="F99" s="78" t="inlineStr">
        <is>
          <t>%</t>
        </is>
      </c>
      <c r="G99" s="78" t="inlineStr"/>
      <c r="H99" s="78" t="inlineStr">
        <is>
          <t>0 to 1</t>
        </is>
      </c>
      <c r="I99" s="78" t="inlineStr"/>
      <c r="J99" s="78" t="inlineStr"/>
    </row>
    <row r="100">
      <c r="A100" s="78" t="inlineStr">
        <is>
          <t>tblBudget</t>
        </is>
      </c>
      <c r="B100" s="78" t="inlineStr">
        <is>
          <t>Budget</t>
        </is>
      </c>
      <c r="C100" s="78" t="inlineStr">
        <is>
          <t>Gold_Poured_oz</t>
        </is>
      </c>
      <c r="D100" s="78" t="inlineStr">
        <is>
          <t>Gold poured</t>
        </is>
      </c>
      <c r="E100" s="78" t="inlineStr">
        <is>
          <t>number</t>
        </is>
      </c>
      <c r="F100" s="78" t="inlineStr">
        <is>
          <t>oz</t>
        </is>
      </c>
      <c r="G100" s="78" t="inlineStr"/>
      <c r="H100" s="78" t="inlineStr">
        <is>
          <t>0 to 500000</t>
        </is>
      </c>
      <c r="I100" s="78" t="inlineStr"/>
      <c r="J100" s="78" t="inlineStr"/>
    </row>
    <row r="101">
      <c r="A101" s="78" t="inlineStr">
        <is>
          <t>tblBudget</t>
        </is>
      </c>
      <c r="B101" s="78" t="inlineStr">
        <is>
          <t>Budget</t>
        </is>
      </c>
      <c r="C101" s="78" t="inlineStr">
        <is>
          <t>Hours_Worked</t>
        </is>
      </c>
      <c r="D101" s="78" t="inlineStr">
        <is>
          <t>Hours worked</t>
        </is>
      </c>
      <c r="E101" s="78" t="inlineStr">
        <is>
          <t>number</t>
        </is>
      </c>
      <c r="F101" s="78" t="inlineStr">
        <is>
          <t>h</t>
        </is>
      </c>
      <c r="G101" s="78" t="inlineStr"/>
      <c r="H101" s="78" t="inlineStr">
        <is>
          <t>0 to 2000000</t>
        </is>
      </c>
      <c r="I101" s="78" t="inlineStr"/>
      <c r="J101" s="78" t="inlineStr"/>
    </row>
    <row r="102">
      <c r="A102" s="78" t="inlineStr">
        <is>
          <t>tblBudget</t>
        </is>
      </c>
      <c r="B102" s="78" t="inlineStr">
        <is>
          <t>Budget</t>
        </is>
      </c>
      <c r="C102" s="78" t="inlineStr">
        <is>
          <t>Drill_m</t>
        </is>
      </c>
      <c r="D102" s="78" t="inlineStr">
        <is>
          <t>Drilled</t>
        </is>
      </c>
      <c r="E102" s="78" t="inlineStr">
        <is>
          <t>number</t>
        </is>
      </c>
      <c r="F102" s="78" t="inlineStr">
        <is>
          <t>m</t>
        </is>
      </c>
      <c r="G102" s="78" t="inlineStr"/>
      <c r="H102" s="78" t="inlineStr">
        <is>
          <t>0 to 500000</t>
        </is>
      </c>
      <c r="I102" s="78" t="inlineStr"/>
      <c r="J102" s="78" t="inlineStr"/>
    </row>
    <row r="103">
      <c r="A103" s="78" t="inlineStr">
        <is>
          <t>tblBudget</t>
        </is>
      </c>
      <c r="B103" s="78" t="inlineStr">
        <is>
          <t>Budget</t>
        </is>
      </c>
      <c r="C103" s="78" t="inlineStr">
        <is>
          <t>Diesel_L</t>
        </is>
      </c>
      <c r="D103" s="78" t="inlineStr">
        <is>
          <t>Mining diesel</t>
        </is>
      </c>
      <c r="E103" s="78" t="inlineStr">
        <is>
          <t>number</t>
        </is>
      </c>
      <c r="F103" s="78" t="inlineStr">
        <is>
          <t>L</t>
        </is>
      </c>
      <c r="G103" s="78" t="inlineStr"/>
      <c r="H103" s="78" t="inlineStr">
        <is>
          <t>0 to 10000000</t>
        </is>
      </c>
      <c r="I103" s="78" t="inlineStr"/>
      <c r="J103" s="78" t="inlineStr"/>
    </row>
    <row r="104">
      <c r="A104" s="78" t="inlineStr">
        <is>
          <t>tblBudget</t>
        </is>
      </c>
      <c r="B104" s="78" t="inlineStr">
        <is>
          <t>Budget</t>
        </is>
      </c>
      <c r="C104" s="78" t="inlineStr">
        <is>
          <t>Days</t>
        </is>
      </c>
      <c r="D104" s="78" t="inlineStr">
        <is>
          <t>Days in month</t>
        </is>
      </c>
      <c r="E104" s="78" t="inlineStr">
        <is>
          <t>calculated</t>
        </is>
      </c>
      <c r="F104" s="78" t="inlineStr"/>
      <c r="G104" s="78" t="inlineStr"/>
      <c r="H104" s="78" t="inlineStr"/>
      <c r="I104" s="78" t="inlineStr"/>
      <c r="J104" s="78" t="inlineStr">
        <is>
          <t>DAY(EOMONTH({Month},0))</t>
        </is>
      </c>
    </row>
    <row r="105">
      <c r="A105" s="78" t="inlineStr">
        <is>
          <t>tblBudget</t>
        </is>
      </c>
      <c r="B105" s="78" t="inlineStr">
        <is>
          <t>Budget</t>
        </is>
      </c>
      <c r="C105" s="78" t="inlineStr">
        <is>
          <t>Ore_oz</t>
        </is>
      </c>
      <c r="D105" s="78" t="inlineStr">
        <is>
          <t>Ore gold mined</t>
        </is>
      </c>
      <c r="E105" s="78" t="inlineStr">
        <is>
          <t>calculated</t>
        </is>
      </c>
      <c r="F105" s="78" t="inlineStr">
        <is>
          <t>oz</t>
        </is>
      </c>
      <c r="G105" s="78" t="inlineStr"/>
      <c r="H105" s="78" t="inlineStr"/>
      <c r="I105" s="78" t="inlineStr"/>
      <c r="J105" s="78" t="inlineStr">
        <is>
          <t>N({Ore_Mined_t})*N({Ore_Grade_gpt})/{TROY}</t>
        </is>
      </c>
    </row>
    <row r="106">
      <c r="A106" s="78" t="inlineStr">
        <is>
          <t>tblBudget</t>
        </is>
      </c>
      <c r="B106" s="78" t="inlineStr">
        <is>
          <t>Budget</t>
        </is>
      </c>
      <c r="C106" s="78" t="inlineStr">
        <is>
          <t>TMM_t</t>
        </is>
      </c>
      <c r="D106" s="78" t="inlineStr">
        <is>
          <t>Total material moved</t>
        </is>
      </c>
      <c r="E106" s="78" t="inlineStr">
        <is>
          <t>calculated</t>
        </is>
      </c>
      <c r="F106" s="78" t="inlineStr">
        <is>
          <t>t</t>
        </is>
      </c>
      <c r="G106" s="78" t="inlineStr"/>
      <c r="H106" s="78" t="inlineStr"/>
      <c r="I106" s="78" t="inlineStr"/>
      <c r="J106" s="78" t="inlineStr">
        <is>
          <t>N({Ore_Mined_t})+N({Waste_t})</t>
        </is>
      </c>
    </row>
    <row r="107">
      <c r="A107" s="78" t="inlineStr">
        <is>
          <t>tblBudget</t>
        </is>
      </c>
      <c r="B107" s="78" t="inlineStr">
        <is>
          <t>Budget</t>
        </is>
      </c>
      <c r="C107" s="78" t="inlineStr">
        <is>
          <t>Feed_oz</t>
        </is>
      </c>
      <c r="D107" s="78" t="inlineStr">
        <is>
          <t>Contained gold in feed</t>
        </is>
      </c>
      <c r="E107" s="78" t="inlineStr">
        <is>
          <t>calculated</t>
        </is>
      </c>
      <c r="F107" s="78" t="inlineStr">
        <is>
          <t>oz</t>
        </is>
      </c>
      <c r="G107" s="78" t="inlineStr"/>
      <c r="H107" s="78" t="inlineStr"/>
      <c r="I107" s="78" t="inlineStr"/>
      <c r="J107" s="78" t="inlineStr">
        <is>
          <t>N({Milled_t})*N({Head_Grade_gpt})/{TROY}</t>
        </is>
      </c>
    </row>
    <row r="108">
      <c r="A108" s="78" t="inlineStr">
        <is>
          <t>tblBudget</t>
        </is>
      </c>
      <c r="B108" s="78" t="inlineStr">
        <is>
          <t>Budget</t>
        </is>
      </c>
      <c r="C108" s="78" t="inlineStr">
        <is>
          <t>Recovered_oz</t>
        </is>
      </c>
      <c r="D108" s="78" t="inlineStr">
        <is>
          <t>Gold recovered</t>
        </is>
      </c>
      <c r="E108" s="78" t="inlineStr">
        <is>
          <t>calculated</t>
        </is>
      </c>
      <c r="F108" s="78" t="inlineStr">
        <is>
          <t>oz</t>
        </is>
      </c>
      <c r="G108" s="78" t="inlineStr"/>
      <c r="H108" s="78" t="inlineStr"/>
      <c r="I108" s="78" t="inlineStr"/>
      <c r="J108" s="78" t="inlineStr">
        <is>
          <t>{Feed_oz}*N({Recovery_pct})</t>
        </is>
      </c>
    </row>
    <row r="109">
      <c r="A109" s="78" t="inlineStr">
        <is>
          <t>tblCommentary</t>
        </is>
      </c>
      <c r="B109" s="78" t="inlineStr">
        <is>
          <t>Commentary</t>
        </is>
      </c>
      <c r="C109" s="78" t="inlineStr">
        <is>
          <t>Date</t>
        </is>
      </c>
      <c r="D109" s="78" t="inlineStr">
        <is>
          <t>Date</t>
        </is>
      </c>
      <c r="E109" s="78" t="inlineStr">
        <is>
          <t>date</t>
        </is>
      </c>
      <c r="F109" s="78" t="inlineStr"/>
      <c r="G109" s="78" t="inlineStr">
        <is>
          <t>yes</t>
        </is>
      </c>
      <c r="H109" s="78" t="inlineStr"/>
      <c r="I109" s="78" t="inlineStr"/>
      <c r="J109" s="78" t="inlineStr"/>
    </row>
    <row r="110">
      <c r="A110" s="78" t="inlineStr">
        <is>
          <t>tblCommentary</t>
        </is>
      </c>
      <c r="B110" s="78" t="inlineStr">
        <is>
          <t>Commentary</t>
        </is>
      </c>
      <c r="C110" s="78" t="inlineStr">
        <is>
          <t>Area</t>
        </is>
      </c>
      <c r="D110" s="78" t="inlineStr">
        <is>
          <t>Area</t>
        </is>
      </c>
      <c r="E110" s="78" t="inlineStr">
        <is>
          <t>list</t>
        </is>
      </c>
      <c r="F110" s="78" t="inlineStr"/>
      <c r="G110" s="78" t="inlineStr">
        <is>
          <t>yes</t>
        </is>
      </c>
      <c r="H110" s="78" t="inlineStr">
        <is>
          <t>list: Area</t>
        </is>
      </c>
      <c r="I110" s="78" t="inlineStr"/>
      <c r="J110" s="78" t="inlineStr"/>
    </row>
    <row r="111">
      <c r="A111" s="78" t="inlineStr">
        <is>
          <t>tblCommentary</t>
        </is>
      </c>
      <c r="B111" s="78" t="inlineStr">
        <is>
          <t>Commentary</t>
        </is>
      </c>
      <c r="C111" s="78" t="inlineStr">
        <is>
          <t>Comment</t>
        </is>
      </c>
      <c r="D111" s="78" t="inlineStr">
        <is>
          <t>Comment</t>
        </is>
      </c>
      <c r="E111" s="78" t="inlineStr">
        <is>
          <t>text</t>
        </is>
      </c>
      <c r="F111" s="78" t="inlineStr"/>
      <c r="G111" s="78" t="inlineStr">
        <is>
          <t>yes</t>
        </is>
      </c>
      <c r="H111" s="78" t="inlineStr"/>
      <c r="I111" s="78" t="inlineStr">
        <is>
          <t>One or two sentences; appears on the daily report</t>
        </is>
      </c>
      <c r="J111" s="78" t="inlineStr"/>
    </row>
    <row r="112">
      <c r="A112" s="78" t="inlineStr">
        <is>
          <t>tblCommentary</t>
        </is>
      </c>
      <c r="B112" s="78" t="inlineStr">
        <is>
          <t>Commentary</t>
        </is>
      </c>
      <c r="C112" s="78" t="inlineStr">
        <is>
          <t>Author</t>
        </is>
      </c>
      <c r="D112" s="78" t="inlineStr">
        <is>
          <t>Author</t>
        </is>
      </c>
      <c r="E112" s="78" t="inlineStr">
        <is>
          <t>text</t>
        </is>
      </c>
      <c r="F112" s="78" t="inlineStr"/>
      <c r="G112" s="78" t="inlineStr"/>
      <c r="H112" s="78" t="inlineStr"/>
      <c r="I112" s="78" t="inlineStr"/>
      <c r="J112" s="78" t="inlineStr"/>
    </row>
    <row r="113">
      <c r="A113" s="78" t="inlineStr">
        <is>
          <t>tblCommentary</t>
        </is>
      </c>
      <c r="B113" s="78" t="inlineStr">
        <is>
          <t>Commentary</t>
        </is>
      </c>
      <c r="C113" s="78" t="inlineStr">
        <is>
          <t>Seq_Day</t>
        </is>
      </c>
      <c r="D113" s="78" t="inlineStr">
        <is>
          <t>Sequence in day</t>
        </is>
      </c>
      <c r="E113" s="78" t="inlineStr">
        <is>
          <t>calculated</t>
        </is>
      </c>
      <c r="F113" s="78" t="inlineStr"/>
      <c r="G113" s="78" t="inlineStr"/>
      <c r="H113" s="78" t="inlineStr"/>
      <c r="I113" s="78" t="inlineStr">
        <is>
          <t>Running number of comments for the same day (report helper)</t>
        </is>
      </c>
      <c r="J113" s="78" t="inlineStr">
        <is>
          <t>IF({Date}="","",COUNTIFS(INDEX(tblCommentary[Date],1):{Date},{Date}))</t>
        </is>
      </c>
    </row>
    <row r="114">
      <c r="A114" s="78" t="inlineStr">
        <is>
          <t>tblCommentary</t>
        </is>
      </c>
      <c r="B114" s="78" t="inlineStr">
        <is>
          <t>Commentary</t>
        </is>
      </c>
      <c r="C114" s="78" t="inlineStr">
        <is>
          <t>Key_Day</t>
        </is>
      </c>
      <c r="D114" s="78" t="inlineStr">
        <is>
          <t>Day key</t>
        </is>
      </c>
      <c r="E114" s="78" t="inlineStr">
        <is>
          <t>calculated</t>
        </is>
      </c>
      <c r="F114" s="78" t="inlineStr"/>
      <c r="G114" s="78" t="inlineStr"/>
      <c r="H114" s="78" t="inlineStr"/>
      <c r="I114" s="78" t="inlineStr">
        <is>
          <t>Report lookup key</t>
        </is>
      </c>
      <c r="J114" s="78" t="inlineStr">
        <is>
          <t>IF({Date}="","",{Date}&amp;"|"&amp;{Seq_Day})</t>
        </is>
      </c>
    </row>
    <row r="116">
      <c r="A116" s="68" t="inlineStr">
        <is>
          <t>KPI catalogue (Calc_Daily)</t>
        </is>
      </c>
    </row>
    <row r="117">
      <c r="A117" s="29" t="inlineStr">
        <is>
          <t>Key</t>
        </is>
      </c>
      <c r="B117" s="29" t="inlineStr">
        <is>
          <t>Label</t>
        </is>
      </c>
      <c r="C117" s="29" t="inlineStr">
        <is>
          <t>Unit</t>
        </is>
      </c>
      <c r="D117" s="29" t="inlineStr">
        <is>
          <t>Kind</t>
        </is>
      </c>
      <c r="E117" s="29" t="inlineStr">
        <is>
          <t>Budget column</t>
        </is>
      </c>
      <c r="F117" s="29" t="inlineStr">
        <is>
          <t>Day formula / definition</t>
        </is>
      </c>
    </row>
    <row r="118">
      <c r="A118" s="78" t="inlineStr">
        <is>
          <t>Ore_Mined_t</t>
        </is>
      </c>
      <c r="B118" s="78" t="inlineStr">
        <is>
          <t>Ore mined (ex-pit)</t>
        </is>
      </c>
      <c r="C118" s="78" t="inlineStr">
        <is>
          <t>t</t>
        </is>
      </c>
      <c r="D118" s="78" t="inlineStr">
        <is>
          <t>sum</t>
        </is>
      </c>
      <c r="E118" s="78" t="inlineStr">
        <is>
          <t>Ore_Mined_t</t>
        </is>
      </c>
      <c r="F118" s="78" t="inlineStr">
        <is>
          <t>SUMIFS(tblMovement[Tonnes_t],tblMovement[Date],{d},tblMovement[Is_Ore],1,tblMovement[Source_Type],"Pit")</t>
        </is>
      </c>
    </row>
    <row r="119">
      <c r="A119" s="78" t="inlineStr">
        <is>
          <t>Ore_Mined_oz</t>
        </is>
      </c>
      <c r="B119" s="78" t="inlineStr">
        <is>
          <t>Contained gold mined</t>
        </is>
      </c>
      <c r="C119" s="78" t="inlineStr">
        <is>
          <t>oz</t>
        </is>
      </c>
      <c r="D119" s="78" t="inlineStr">
        <is>
          <t>sum</t>
        </is>
      </c>
      <c r="E119" s="78" t="inlineStr">
        <is>
          <t>Ore_oz</t>
        </is>
      </c>
      <c r="F119" s="78" t="inlineStr">
        <is>
          <t>SUMIFS(tblMovement[Ore_oz],tblMovement[Date],{d},tblMovement[Source_Type],"Pit")</t>
        </is>
      </c>
    </row>
    <row r="120">
      <c r="A120" s="78" t="inlineStr">
        <is>
          <t>Ore_Grade_gpt</t>
        </is>
      </c>
      <c r="B120" s="78" t="inlineStr">
        <is>
          <t>Ore grade mined</t>
        </is>
      </c>
      <c r="C120" s="78" t="inlineStr">
        <is>
          <t>g/t</t>
        </is>
      </c>
      <c r="D120" s="78" t="inlineStr">
        <is>
          <t>ratio</t>
        </is>
      </c>
      <c r="E120" s="78" t="inlineStr">
        <is>
          <t>derived</t>
        </is>
      </c>
      <c r="F120" s="78" t="inlineStr">
        <is>
          <t>({Ore_Mined_oz}*cfg_TroyOz) / ({Ore_Mined_t})</t>
        </is>
      </c>
    </row>
    <row r="121">
      <c r="A121" s="78" t="inlineStr">
        <is>
          <t>Waste_t</t>
        </is>
      </c>
      <c r="B121" s="78" t="inlineStr">
        <is>
          <t>Waste mined</t>
        </is>
      </c>
      <c r="C121" s="78" t="inlineStr">
        <is>
          <t>t</t>
        </is>
      </c>
      <c r="D121" s="78" t="inlineStr">
        <is>
          <t>sum</t>
        </is>
      </c>
      <c r="E121" s="78" t="inlineStr">
        <is>
          <t>Waste_t</t>
        </is>
      </c>
      <c r="F121" s="78" t="inlineStr">
        <is>
          <t>SUMIFS(tblMovement[Tonnes_t],tblMovement[Date],{d},tblMovement[Is_Ore],0,tblMovement[Source_Type],"Pit")</t>
        </is>
      </c>
    </row>
    <row r="122">
      <c r="A122" s="78" t="inlineStr">
        <is>
          <t>TMM_t</t>
        </is>
      </c>
      <c r="B122" s="78" t="inlineStr">
        <is>
          <t>Total material moved</t>
        </is>
      </c>
      <c r="C122" s="78" t="inlineStr">
        <is>
          <t>t</t>
        </is>
      </c>
      <c r="D122" s="78" t="inlineStr">
        <is>
          <t>sum</t>
        </is>
      </c>
      <c r="E122" s="78" t="inlineStr">
        <is>
          <t>TMM_t</t>
        </is>
      </c>
      <c r="F122" s="78" t="inlineStr">
        <is>
          <t>{Ore_Mined_t}+{Waste_t}</t>
        </is>
      </c>
    </row>
    <row r="123">
      <c r="A123" s="78" t="inlineStr">
        <is>
          <t>Strip_Ratio</t>
        </is>
      </c>
      <c r="B123" s="78" t="inlineStr">
        <is>
          <t>Strip ratio (waste : ore)</t>
        </is>
      </c>
      <c r="C123" s="78" t="inlineStr">
        <is>
          <t>ratio</t>
        </is>
      </c>
      <c r="D123" s="78" t="inlineStr">
        <is>
          <t>ratio</t>
        </is>
      </c>
      <c r="E123" s="78" t="inlineStr">
        <is>
          <t>derived</t>
        </is>
      </c>
      <c r="F123" s="78" t="inlineStr">
        <is>
          <t>({Waste_t}) / ({Ore_Mined_t})</t>
        </is>
      </c>
    </row>
    <row r="124">
      <c r="A124" s="78" t="inlineStr">
        <is>
          <t>Rehandle_t</t>
        </is>
      </c>
      <c r="B124" s="78" t="inlineStr">
        <is>
          <t>Rehandle from stockpiles</t>
        </is>
      </c>
      <c r="C124" s="78" t="inlineStr">
        <is>
          <t>t</t>
        </is>
      </c>
      <c r="D124" s="78" t="inlineStr">
        <is>
          <t>sum</t>
        </is>
      </c>
      <c r="E124" s="78" t="inlineStr"/>
      <c r="F124" s="78" t="inlineStr">
        <is>
          <t>SUMIFS(tblMovement[Tonnes_t],tblMovement[Date],{d},tblMovement[Source_Type],"Stockpile")</t>
        </is>
      </c>
    </row>
    <row r="125">
      <c r="A125" s="78" t="inlineStr">
        <is>
          <t>Drill_m</t>
        </is>
      </c>
      <c r="B125" s="78" t="inlineStr">
        <is>
          <t>Drilled</t>
        </is>
      </c>
      <c r="C125" s="78" t="inlineStr">
        <is>
          <t>m</t>
        </is>
      </c>
      <c r="D125" s="78" t="inlineStr">
        <is>
          <t>sum</t>
        </is>
      </c>
      <c r="E125" s="78" t="inlineStr">
        <is>
          <t>Drill_m</t>
        </is>
      </c>
      <c r="F125" s="78" t="inlineStr">
        <is>
          <t>SUMIFS(tblMiningDaily[Drill_m],tblMiningDaily[Date],{d})</t>
        </is>
      </c>
    </row>
    <row r="126">
      <c r="A126" s="78" t="inlineStr">
        <is>
          <t>Blast_t</t>
        </is>
      </c>
      <c r="B126" s="78" t="inlineStr">
        <is>
          <t>Blasted</t>
        </is>
      </c>
      <c r="C126" s="78" t="inlineStr">
        <is>
          <t>t</t>
        </is>
      </c>
      <c r="D126" s="78" t="inlineStr">
        <is>
          <t>sum</t>
        </is>
      </c>
      <c r="E126" s="78" t="inlineStr"/>
      <c r="F126" s="78" t="inlineStr">
        <is>
          <t>SUMIFS(tblMiningDaily[Blast_t],tblMiningDaily[Date],{d})</t>
        </is>
      </c>
    </row>
    <row r="127">
      <c r="A127" s="78" t="inlineStr">
        <is>
          <t>Explosives_kg</t>
        </is>
      </c>
      <c r="B127" s="78" t="inlineStr">
        <is>
          <t>Explosives</t>
        </is>
      </c>
      <c r="C127" s="78" t="inlineStr">
        <is>
          <t>kg</t>
        </is>
      </c>
      <c r="D127" s="78" t="inlineStr">
        <is>
          <t>sum</t>
        </is>
      </c>
      <c r="E127" s="78" t="inlineStr"/>
      <c r="F127" s="78" t="inlineStr">
        <is>
          <t>SUMIFS(tblMiningDaily[Explosives_kg],tblMiningDaily[Date],{d})</t>
        </is>
      </c>
    </row>
    <row r="128">
      <c r="A128" s="78" t="inlineStr">
        <is>
          <t>Powder_Factor_kgpt</t>
        </is>
      </c>
      <c r="B128" s="78" t="inlineStr">
        <is>
          <t>Powder factor</t>
        </is>
      </c>
      <c r="C128" s="78" t="inlineStr">
        <is>
          <t>kg/t</t>
        </is>
      </c>
      <c r="D128" s="78" t="inlineStr">
        <is>
          <t>ratio</t>
        </is>
      </c>
      <c r="E128" s="78" t="inlineStr"/>
      <c r="F128" s="78" t="inlineStr">
        <is>
          <t>({Explosives_kg}) / ({Blast_t})</t>
        </is>
      </c>
    </row>
    <row r="129">
      <c r="A129" s="78" t="inlineStr">
        <is>
          <t>Diesel_Mining_L</t>
        </is>
      </c>
      <c r="B129" s="78" t="inlineStr">
        <is>
          <t>Mining diesel</t>
        </is>
      </c>
      <c r="C129" s="78" t="inlineStr">
        <is>
          <t>L</t>
        </is>
      </c>
      <c r="D129" s="78" t="inlineStr">
        <is>
          <t>sum</t>
        </is>
      </c>
      <c r="E129" s="78" t="inlineStr">
        <is>
          <t>Diesel_L</t>
        </is>
      </c>
      <c r="F129" s="78" t="inlineStr">
        <is>
          <t>SUMIFS(tblMiningDaily[Diesel_L],tblMiningDaily[Date],{d})</t>
        </is>
      </c>
    </row>
    <row r="130">
      <c r="A130" s="78" t="inlineStr">
        <is>
          <t>Dewatering_m3</t>
        </is>
      </c>
      <c r="B130" s="78" t="inlineStr">
        <is>
          <t>Pit dewatering</t>
        </is>
      </c>
      <c r="C130" s="78" t="inlineStr">
        <is>
          <t>m3</t>
        </is>
      </c>
      <c r="D130" s="78" t="inlineStr">
        <is>
          <t>sum</t>
        </is>
      </c>
      <c r="E130" s="78" t="inlineStr"/>
      <c r="F130" s="78" t="inlineStr">
        <is>
          <t>SUMIFS(tblMiningDaily[Dewatering_m3],tblMiningDaily[Date],{d})</t>
        </is>
      </c>
    </row>
    <row r="131">
      <c r="A131" s="78" t="inlineStr">
        <is>
          <t>Exc_Calendar_h</t>
        </is>
      </c>
      <c r="B131" s="78" t="inlineStr">
        <is>
          <t>Excavator calendar hours</t>
        </is>
      </c>
      <c r="C131" s="78" t="inlineStr">
        <is>
          <t>h</t>
        </is>
      </c>
      <c r="D131" s="78" t="inlineStr">
        <is>
          <t>sum</t>
        </is>
      </c>
      <c r="E131" s="78" t="inlineStr"/>
      <c r="F131" s="78" t="inlineStr">
        <is>
          <t>SUMIFS(tblFleet[Calendar_h],tblFleet[Date],{d},tblFleet[Equipment_Class],"Excavator")</t>
        </is>
      </c>
    </row>
    <row r="132">
      <c r="A132" s="78" t="inlineStr">
        <is>
          <t>Exc_Available_h</t>
        </is>
      </c>
      <c r="B132" s="78" t="inlineStr">
        <is>
          <t>Excavator available hours</t>
        </is>
      </c>
      <c r="C132" s="78" t="inlineStr">
        <is>
          <t>h</t>
        </is>
      </c>
      <c r="D132" s="78" t="inlineStr">
        <is>
          <t>sum</t>
        </is>
      </c>
      <c r="E132" s="78" t="inlineStr"/>
      <c r="F132" s="78" t="inlineStr">
        <is>
          <t>SUMIFS(tblFleet[Available_h],tblFleet[Date],{d},tblFleet[Equipment_Class],"Excavator")</t>
        </is>
      </c>
    </row>
    <row r="133">
      <c r="A133" s="78" t="inlineStr">
        <is>
          <t>Exc_Operating_h</t>
        </is>
      </c>
      <c r="B133" s="78" t="inlineStr">
        <is>
          <t>Excavator operating hours</t>
        </is>
      </c>
      <c r="C133" s="78" t="inlineStr">
        <is>
          <t>h</t>
        </is>
      </c>
      <c r="D133" s="78" t="inlineStr">
        <is>
          <t>sum</t>
        </is>
      </c>
      <c r="E133" s="78" t="inlineStr"/>
      <c r="F133" s="78" t="inlineStr">
        <is>
          <t>SUMIFS(tblFleet[Operating_h],tblFleet[Date],{d},tblFleet[Equipment_Class],"Excavator")</t>
        </is>
      </c>
    </row>
    <row r="134">
      <c r="A134" s="78" t="inlineStr">
        <is>
          <t>Exc_Availability_pct</t>
        </is>
      </c>
      <c r="B134" s="78" t="inlineStr">
        <is>
          <t>Excavator availability</t>
        </is>
      </c>
      <c r="C134" s="78" t="inlineStr">
        <is>
          <t>%</t>
        </is>
      </c>
      <c r="D134" s="78" t="inlineStr">
        <is>
          <t>ratio</t>
        </is>
      </c>
      <c r="E134" s="78" t="inlineStr"/>
      <c r="F134" s="78" t="inlineStr">
        <is>
          <t>({Exc_Available_h}) / ({Exc_Calendar_h})</t>
        </is>
      </c>
    </row>
    <row r="135">
      <c r="A135" s="78" t="inlineStr">
        <is>
          <t>Exc_Utilisation_pct</t>
        </is>
      </c>
      <c r="B135" s="78" t="inlineStr">
        <is>
          <t>Excavator utilisation</t>
        </is>
      </c>
      <c r="C135" s="78" t="inlineStr">
        <is>
          <t>%</t>
        </is>
      </c>
      <c r="D135" s="78" t="inlineStr">
        <is>
          <t>ratio</t>
        </is>
      </c>
      <c r="E135" s="78" t="inlineStr"/>
      <c r="F135" s="78" t="inlineStr">
        <is>
          <t>({Exc_Operating_h}) / ({Exc_Available_h})</t>
        </is>
      </c>
    </row>
    <row r="136">
      <c r="A136" s="78" t="inlineStr">
        <is>
          <t>Trk_Calendar_h</t>
        </is>
      </c>
      <c r="B136" s="78" t="inlineStr">
        <is>
          <t>Truck calendar hours</t>
        </is>
      </c>
      <c r="C136" s="78" t="inlineStr">
        <is>
          <t>h</t>
        </is>
      </c>
      <c r="D136" s="78" t="inlineStr">
        <is>
          <t>sum</t>
        </is>
      </c>
      <c r="E136" s="78" t="inlineStr"/>
      <c r="F136" s="78" t="inlineStr">
        <is>
          <t>SUMIFS(tblFleet[Calendar_h],tblFleet[Date],{d},tblFleet[Equipment_Class],"Haul Truck")</t>
        </is>
      </c>
    </row>
    <row r="137">
      <c r="A137" s="78" t="inlineStr">
        <is>
          <t>Trk_Available_h</t>
        </is>
      </c>
      <c r="B137" s="78" t="inlineStr">
        <is>
          <t>Truck available hours</t>
        </is>
      </c>
      <c r="C137" s="78" t="inlineStr">
        <is>
          <t>h</t>
        </is>
      </c>
      <c r="D137" s="78" t="inlineStr">
        <is>
          <t>sum</t>
        </is>
      </c>
      <c r="E137" s="78" t="inlineStr"/>
      <c r="F137" s="78" t="inlineStr">
        <is>
          <t>SUMIFS(tblFleet[Available_h],tblFleet[Date],{d},tblFleet[Equipment_Class],"Haul Truck")</t>
        </is>
      </c>
    </row>
    <row r="138">
      <c r="A138" s="78" t="inlineStr">
        <is>
          <t>Trk_Operating_h</t>
        </is>
      </c>
      <c r="B138" s="78" t="inlineStr">
        <is>
          <t>Truck operating hours</t>
        </is>
      </c>
      <c r="C138" s="78" t="inlineStr">
        <is>
          <t>h</t>
        </is>
      </c>
      <c r="D138" s="78" t="inlineStr">
        <is>
          <t>sum</t>
        </is>
      </c>
      <c r="E138" s="78" t="inlineStr"/>
      <c r="F138" s="78" t="inlineStr">
        <is>
          <t>SUMIFS(tblFleet[Operating_h],tblFleet[Date],{d},tblFleet[Equipment_Class],"Haul Truck")</t>
        </is>
      </c>
    </row>
    <row r="139">
      <c r="A139" s="78" t="inlineStr">
        <is>
          <t>Trk_Availability_pct</t>
        </is>
      </c>
      <c r="B139" s="78" t="inlineStr">
        <is>
          <t>Truck availability</t>
        </is>
      </c>
      <c r="C139" s="78" t="inlineStr">
        <is>
          <t>%</t>
        </is>
      </c>
      <c r="D139" s="78" t="inlineStr">
        <is>
          <t>ratio</t>
        </is>
      </c>
      <c r="E139" s="78" t="inlineStr"/>
      <c r="F139" s="78" t="inlineStr">
        <is>
          <t>({Trk_Available_h}) / ({Trk_Calendar_h})</t>
        </is>
      </c>
    </row>
    <row r="140">
      <c r="A140" s="78" t="inlineStr">
        <is>
          <t>Trk_Utilisation_pct</t>
        </is>
      </c>
      <c r="B140" s="78" t="inlineStr">
        <is>
          <t>Truck utilisation</t>
        </is>
      </c>
      <c r="C140" s="78" t="inlineStr">
        <is>
          <t>%</t>
        </is>
      </c>
      <c r="D140" s="78" t="inlineStr">
        <is>
          <t>ratio</t>
        </is>
      </c>
      <c r="E140" s="78" t="inlineStr"/>
      <c r="F140" s="78" t="inlineStr">
        <is>
          <t>({Trk_Operating_h}) / ({Trk_Available_h})</t>
        </is>
      </c>
    </row>
    <row r="141">
      <c r="A141" s="78" t="inlineStr">
        <is>
          <t>Crushed_t</t>
        </is>
      </c>
      <c r="B141" s="78" t="inlineStr">
        <is>
          <t>Crushed</t>
        </is>
      </c>
      <c r="C141" s="78" t="inlineStr">
        <is>
          <t>t</t>
        </is>
      </c>
      <c r="D141" s="78" t="inlineStr">
        <is>
          <t>sum</t>
        </is>
      </c>
      <c r="E141" s="78" t="inlineStr"/>
      <c r="F141" s="78" t="inlineStr">
        <is>
          <t>SUMIFS(tblPlant[Crushed_t],tblPlant[Date],{d})</t>
        </is>
      </c>
    </row>
    <row r="142">
      <c r="A142" s="78" t="inlineStr">
        <is>
          <t>Milled_t</t>
        </is>
      </c>
      <c r="B142" s="78" t="inlineStr">
        <is>
          <t>Milled</t>
        </is>
      </c>
      <c r="C142" s="78" t="inlineStr">
        <is>
          <t>t</t>
        </is>
      </c>
      <c r="D142" s="78" t="inlineStr">
        <is>
          <t>sum</t>
        </is>
      </c>
      <c r="E142" s="78" t="inlineStr">
        <is>
          <t>Milled_t</t>
        </is>
      </c>
      <c r="F142" s="78" t="inlineStr">
        <is>
          <t>SUMIFS(tblPlant[Milled_t],tblPlant[Date],{d})</t>
        </is>
      </c>
    </row>
    <row r="143">
      <c r="A143" s="78" t="inlineStr">
        <is>
          <t>Feed_oz</t>
        </is>
      </c>
      <c r="B143" s="78" t="inlineStr">
        <is>
          <t>Contained gold in feed</t>
        </is>
      </c>
      <c r="C143" s="78" t="inlineStr">
        <is>
          <t>oz</t>
        </is>
      </c>
      <c r="D143" s="78" t="inlineStr">
        <is>
          <t>sum</t>
        </is>
      </c>
      <c r="E143" s="78" t="inlineStr">
        <is>
          <t>Feed_oz</t>
        </is>
      </c>
      <c r="F143" s="78" t="inlineStr">
        <is>
          <t>SUMIFS(tblPlant[Feed_oz],tblPlant[Date],{d})</t>
        </is>
      </c>
    </row>
    <row r="144">
      <c r="A144" s="78" t="inlineStr">
        <is>
          <t>Tails_oz</t>
        </is>
      </c>
      <c r="B144" s="78" t="inlineStr">
        <is>
          <t>Gold lost to tails</t>
        </is>
      </c>
      <c r="C144" s="78" t="inlineStr">
        <is>
          <t>oz</t>
        </is>
      </c>
      <c r="D144" s="78" t="inlineStr">
        <is>
          <t>sum</t>
        </is>
      </c>
      <c r="E144" s="78" t="inlineStr"/>
      <c r="F144" s="78" t="inlineStr">
        <is>
          <t>SUMIFS(tblPlant[Tails_oz],tblPlant[Date],{d})</t>
        </is>
      </c>
    </row>
    <row r="145">
      <c r="A145" s="78" t="inlineStr">
        <is>
          <t>Recovered_oz</t>
        </is>
      </c>
      <c r="B145" s="78" t="inlineStr">
        <is>
          <t>Gold recovered</t>
        </is>
      </c>
      <c r="C145" s="78" t="inlineStr">
        <is>
          <t>oz</t>
        </is>
      </c>
      <c r="D145" s="78" t="inlineStr">
        <is>
          <t>sum</t>
        </is>
      </c>
      <c r="E145" s="78" t="inlineStr">
        <is>
          <t>Recovered_oz</t>
        </is>
      </c>
      <c r="F145" s="78" t="inlineStr">
        <is>
          <t>SUMIFS(tblPlant[Recovered_oz],tblPlant[Date],{d})</t>
        </is>
      </c>
    </row>
    <row r="146">
      <c r="A146" s="78" t="inlineStr">
        <is>
          <t>Head_Grade_gpt</t>
        </is>
      </c>
      <c r="B146" s="78" t="inlineStr">
        <is>
          <t>Head grade</t>
        </is>
      </c>
      <c r="C146" s="78" t="inlineStr">
        <is>
          <t>g/t</t>
        </is>
      </c>
      <c r="D146" s="78" t="inlineStr">
        <is>
          <t>ratio</t>
        </is>
      </c>
      <c r="E146" s="78" t="inlineStr">
        <is>
          <t>derived</t>
        </is>
      </c>
      <c r="F146" s="78" t="inlineStr">
        <is>
          <t>({Feed_oz}*cfg_TroyOz) / ({Milled_t})</t>
        </is>
      </c>
    </row>
    <row r="147">
      <c r="A147" s="78" t="inlineStr">
        <is>
          <t>Tails_Grade_gpt</t>
        </is>
      </c>
      <c r="B147" s="78" t="inlineStr">
        <is>
          <t>Tails grade</t>
        </is>
      </c>
      <c r="C147" s="78" t="inlineStr">
        <is>
          <t>g/t</t>
        </is>
      </c>
      <c r="D147" s="78" t="inlineStr">
        <is>
          <t>ratio</t>
        </is>
      </c>
      <c r="E147" s="78" t="inlineStr"/>
      <c r="F147" s="78" t="inlineStr">
        <is>
          <t>({Tails_oz}*cfg_TroyOz) / ({Milled_t})</t>
        </is>
      </c>
    </row>
    <row r="148">
      <c r="A148" s="78" t="inlineStr">
        <is>
          <t>Recovery_pct</t>
        </is>
      </c>
      <c r="B148" s="78" t="inlineStr">
        <is>
          <t>Recovery</t>
        </is>
      </c>
      <c r="C148" s="78" t="inlineStr">
        <is>
          <t>%</t>
        </is>
      </c>
      <c r="D148" s="78" t="inlineStr">
        <is>
          <t>ratio</t>
        </is>
      </c>
      <c r="E148" s="78" t="inlineStr">
        <is>
          <t>derived</t>
        </is>
      </c>
      <c r="F148" s="78" t="inlineStr">
        <is>
          <t>({Recovered_oz}) / ({Feed_oz})</t>
        </is>
      </c>
    </row>
    <row r="149">
      <c r="A149" s="78" t="inlineStr">
        <is>
          <t>Gravity_Gold_oz</t>
        </is>
      </c>
      <c r="B149" s="78" t="inlineStr">
        <is>
          <t>Gravity gold</t>
        </is>
      </c>
      <c r="C149" s="78" t="inlineStr">
        <is>
          <t>oz</t>
        </is>
      </c>
      <c r="D149" s="78" t="inlineStr">
        <is>
          <t>sum</t>
        </is>
      </c>
      <c r="E149" s="78" t="inlineStr"/>
      <c r="F149" s="78" t="inlineStr">
        <is>
          <t>SUMIFS(tblPlant[Gravity_Gold_oz],tblPlant[Date],{d})</t>
        </is>
      </c>
    </row>
    <row r="150">
      <c r="A150" s="78" t="inlineStr">
        <is>
          <t>Gold_Poured_oz</t>
        </is>
      </c>
      <c r="B150" s="78" t="inlineStr">
        <is>
          <t>Gold poured</t>
        </is>
      </c>
      <c r="C150" s="78" t="inlineStr">
        <is>
          <t>oz</t>
        </is>
      </c>
      <c r="D150" s="78" t="inlineStr">
        <is>
          <t>sum</t>
        </is>
      </c>
      <c r="E150" s="78" t="inlineStr">
        <is>
          <t>Gold_Poured_oz</t>
        </is>
      </c>
      <c r="F150" s="78" t="inlineStr">
        <is>
          <t>SUMIFS(tblPlant[Gold_Poured_oz],tblPlant[Date],{d})</t>
        </is>
      </c>
    </row>
    <row r="151">
      <c r="A151" s="78" t="inlineStr">
        <is>
          <t>Mill_Run_h</t>
        </is>
      </c>
      <c r="B151" s="78" t="inlineStr">
        <is>
          <t>Mill run hours</t>
        </is>
      </c>
      <c r="C151" s="78" t="inlineStr">
        <is>
          <t>h</t>
        </is>
      </c>
      <c r="D151" s="78" t="inlineStr">
        <is>
          <t>sum</t>
        </is>
      </c>
      <c r="E151" s="78" t="inlineStr"/>
      <c r="F151" s="78" t="inlineStr">
        <is>
          <t>SUMIFS(tblPlant[Mill_Run_h],tblPlant[Date],{d})</t>
        </is>
      </c>
    </row>
    <row r="152">
      <c r="A152" s="78" t="inlineStr">
        <is>
          <t>Mill_Planned_Maint_h</t>
        </is>
      </c>
      <c r="B152" s="78" t="inlineStr">
        <is>
          <t>Mill planned maintenance</t>
        </is>
      </c>
      <c r="C152" s="78" t="inlineStr">
        <is>
          <t>h</t>
        </is>
      </c>
      <c r="D152" s="78" t="inlineStr">
        <is>
          <t>sum</t>
        </is>
      </c>
      <c r="E152" s="78" t="inlineStr"/>
      <c r="F152" s="78" t="inlineStr">
        <is>
          <t>SUMIFS(tblPlant[Mill_Planned_Maint_h],tblPlant[Date],{d})</t>
        </is>
      </c>
    </row>
    <row r="153">
      <c r="A153" s="78" t="inlineStr">
        <is>
          <t>Mill_Unplanned_Down_h</t>
        </is>
      </c>
      <c r="B153" s="78" t="inlineStr">
        <is>
          <t>Mill unplanned downtime</t>
        </is>
      </c>
      <c r="C153" s="78" t="inlineStr">
        <is>
          <t>h</t>
        </is>
      </c>
      <c r="D153" s="78" t="inlineStr">
        <is>
          <t>sum</t>
        </is>
      </c>
      <c r="E153" s="78" t="inlineStr"/>
      <c r="F153" s="78" t="inlineStr">
        <is>
          <t>SUMIFS(tblPlant[Mill_Unplanned_Down_h],tblPlant[Date],{d})</t>
        </is>
      </c>
    </row>
    <row r="154">
      <c r="A154" s="78" t="inlineStr">
        <is>
          <t>Mill_Calendar_h</t>
        </is>
      </c>
      <c r="B154" s="78" t="inlineStr">
        <is>
          <t>Mill calendar hours (days reported)</t>
        </is>
      </c>
      <c r="C154" s="78" t="inlineStr">
        <is>
          <t>h</t>
        </is>
      </c>
      <c r="D154" s="78" t="inlineStr">
        <is>
          <t>sum</t>
        </is>
      </c>
      <c r="E154" s="78" t="inlineStr"/>
      <c r="F154" s="78" t="inlineStr">
        <is>
          <t>COUNTIFS(tblPlant[Date],{d},tblPlant[Mill_Run_h],"&lt;&gt;")*24</t>
        </is>
      </c>
    </row>
    <row r="155">
      <c r="A155" s="78" t="inlineStr">
        <is>
          <t>Crusher_Run_h</t>
        </is>
      </c>
      <c r="B155" s="78" t="inlineStr">
        <is>
          <t>Crusher run hours</t>
        </is>
      </c>
      <c r="C155" s="78" t="inlineStr">
        <is>
          <t>h</t>
        </is>
      </c>
      <c r="D155" s="78" t="inlineStr">
        <is>
          <t>sum</t>
        </is>
      </c>
      <c r="E155" s="78" t="inlineStr"/>
      <c r="F155" s="78" t="inlineStr">
        <is>
          <t>SUMIFS(tblPlant[Crusher_Run_h],tblPlant[Date],{d})</t>
        </is>
      </c>
    </row>
    <row r="156">
      <c r="A156" s="78" t="inlineStr">
        <is>
          <t>Throughput_tph</t>
        </is>
      </c>
      <c r="B156" s="78" t="inlineStr">
        <is>
          <t>Mill throughput</t>
        </is>
      </c>
      <c r="C156" s="78" t="inlineStr">
        <is>
          <t>t/h</t>
        </is>
      </c>
      <c r="D156" s="78" t="inlineStr">
        <is>
          <t>ratio</t>
        </is>
      </c>
      <c r="E156" s="78" t="inlineStr"/>
      <c r="F156" s="78" t="inlineStr">
        <is>
          <t>({Milled_t}) / ({Mill_Run_h})</t>
        </is>
      </c>
    </row>
    <row r="157">
      <c r="A157" s="78" t="inlineStr">
        <is>
          <t>Mill_Availability_pct</t>
        </is>
      </c>
      <c r="B157" s="78" t="inlineStr">
        <is>
          <t>Mill availability</t>
        </is>
      </c>
      <c r="C157" s="78" t="inlineStr">
        <is>
          <t>%</t>
        </is>
      </c>
      <c r="D157" s="78" t="inlineStr">
        <is>
          <t>ratio</t>
        </is>
      </c>
      <c r="E157" s="78" t="inlineStr"/>
      <c r="F157" s="78" t="inlineStr">
        <is>
          <t>({Mill_Calendar_h}-{Mill_Planned_Maint_h}-{Mill_Unplanned_Down_h}) / ({Mill_Calendar_h})</t>
        </is>
      </c>
    </row>
    <row r="158">
      <c r="A158" s="78" t="inlineStr">
        <is>
          <t>Mill_Utilisation_pct</t>
        </is>
      </c>
      <c r="B158" s="78" t="inlineStr">
        <is>
          <t>Mill utilisation</t>
        </is>
      </c>
      <c r="C158" s="78" t="inlineStr">
        <is>
          <t>%</t>
        </is>
      </c>
      <c r="D158" s="78" t="inlineStr">
        <is>
          <t>ratio</t>
        </is>
      </c>
      <c r="E158" s="78" t="inlineStr"/>
      <c r="F158" s="78" t="inlineStr">
        <is>
          <t>({Mill_Run_h}) / ({Mill_Calendar_h}-{Mill_Planned_Maint_h}-{Mill_Unplanned_Down_h})</t>
        </is>
      </c>
    </row>
    <row r="159">
      <c r="A159" s="78" t="inlineStr">
        <is>
          <t>Cyanide_kg</t>
        </is>
      </c>
      <c r="B159" s="78" t="inlineStr">
        <is>
          <t>Cyanide</t>
        </is>
      </c>
      <c r="C159" s="78" t="inlineStr">
        <is>
          <t>kg</t>
        </is>
      </c>
      <c r="D159" s="78" t="inlineStr">
        <is>
          <t>sum</t>
        </is>
      </c>
      <c r="E159" s="78" t="inlineStr"/>
      <c r="F159" s="78" t="inlineStr">
        <is>
          <t>SUMIFS(tblPlant[Cyanide_kg],tblPlant[Date],{d})</t>
        </is>
      </c>
    </row>
    <row r="160">
      <c r="A160" s="78" t="inlineStr">
        <is>
          <t>Lime_kg</t>
        </is>
      </c>
      <c r="B160" s="78" t="inlineStr">
        <is>
          <t>Lime</t>
        </is>
      </c>
      <c r="C160" s="78" t="inlineStr">
        <is>
          <t>kg</t>
        </is>
      </c>
      <c r="D160" s="78" t="inlineStr">
        <is>
          <t>sum</t>
        </is>
      </c>
      <c r="E160" s="78" t="inlineStr"/>
      <c r="F160" s="78" t="inlineStr">
        <is>
          <t>SUMIFS(tblPlant[Lime_kg],tblPlant[Date],{d})</t>
        </is>
      </c>
    </row>
    <row r="161">
      <c r="A161" s="78" t="inlineStr">
        <is>
          <t>Grinding_Media_kg</t>
        </is>
      </c>
      <c r="B161" s="78" t="inlineStr">
        <is>
          <t>Grinding media</t>
        </is>
      </c>
      <c r="C161" s="78" t="inlineStr">
        <is>
          <t>kg</t>
        </is>
      </c>
      <c r="D161" s="78" t="inlineStr">
        <is>
          <t>sum</t>
        </is>
      </c>
      <c r="E161" s="78" t="inlineStr"/>
      <c r="F161" s="78" t="inlineStr">
        <is>
          <t>SUMIFS(tblPlant[Grinding_Media_kg],tblPlant[Date],{d})</t>
        </is>
      </c>
    </row>
    <row r="162">
      <c r="A162" s="78" t="inlineStr">
        <is>
          <t>Power_kWh</t>
        </is>
      </c>
      <c r="B162" s="78" t="inlineStr">
        <is>
          <t>Plant power</t>
        </is>
      </c>
      <c r="C162" s="78" t="inlineStr">
        <is>
          <t>kWh</t>
        </is>
      </c>
      <c r="D162" s="78" t="inlineStr">
        <is>
          <t>sum</t>
        </is>
      </c>
      <c r="E162" s="78" t="inlineStr"/>
      <c r="F162" s="78" t="inlineStr">
        <is>
          <t>SUMIFS(tblPlant[Power_kWh],tblPlant[Date],{d})</t>
        </is>
      </c>
    </row>
    <row r="163">
      <c r="A163" s="78" t="inlineStr">
        <is>
          <t>Raw_Water_m3</t>
        </is>
      </c>
      <c r="B163" s="78" t="inlineStr">
        <is>
          <t>Raw water</t>
        </is>
      </c>
      <c r="C163" s="78" t="inlineStr">
        <is>
          <t>m3</t>
        </is>
      </c>
      <c r="D163" s="78" t="inlineStr">
        <is>
          <t>sum</t>
        </is>
      </c>
      <c r="E163" s="78" t="inlineStr"/>
      <c r="F163" s="78" t="inlineStr">
        <is>
          <t>SUMIFS(tblPlant[Raw_Water_m3],tblPlant[Date],{d})</t>
        </is>
      </c>
    </row>
    <row r="164">
      <c r="A164" s="78" t="inlineStr">
        <is>
          <t>Cyanide_kgpt</t>
        </is>
      </c>
      <c r="B164" s="78" t="inlineStr">
        <is>
          <t>Cyanide consumption</t>
        </is>
      </c>
      <c r="C164" s="78" t="inlineStr">
        <is>
          <t>kg/t</t>
        </is>
      </c>
      <c r="D164" s="78" t="inlineStr">
        <is>
          <t>ratio</t>
        </is>
      </c>
      <c r="E164" s="78" t="inlineStr"/>
      <c r="F164" s="78" t="inlineStr">
        <is>
          <t>({Cyanide_kg}) / ({Milled_t})</t>
        </is>
      </c>
    </row>
    <row r="165">
      <c r="A165" s="78" t="inlineStr">
        <is>
          <t>Lime_kgpt</t>
        </is>
      </c>
      <c r="B165" s="78" t="inlineStr">
        <is>
          <t>Lime consumption</t>
        </is>
      </c>
      <c r="C165" s="78" t="inlineStr">
        <is>
          <t>kg/t</t>
        </is>
      </c>
      <c r="D165" s="78" t="inlineStr">
        <is>
          <t>ratio</t>
        </is>
      </c>
      <c r="E165" s="78" t="inlineStr"/>
      <c r="F165" s="78" t="inlineStr">
        <is>
          <t>({Lime_kg}) / ({Milled_t})</t>
        </is>
      </c>
    </row>
    <row r="166">
      <c r="A166" s="78" t="inlineStr">
        <is>
          <t>Media_kgpt</t>
        </is>
      </c>
      <c r="B166" s="78" t="inlineStr">
        <is>
          <t>Grinding media consumption</t>
        </is>
      </c>
      <c r="C166" s="78" t="inlineStr">
        <is>
          <t>kg/t</t>
        </is>
      </c>
      <c r="D166" s="78" t="inlineStr">
        <is>
          <t>ratio</t>
        </is>
      </c>
      <c r="E166" s="78" t="inlineStr"/>
      <c r="F166" s="78" t="inlineStr">
        <is>
          <t>({Grinding_Media_kg}) / ({Milled_t})</t>
        </is>
      </c>
    </row>
    <row r="167">
      <c r="A167" s="78" t="inlineStr">
        <is>
          <t>Power_kWhpt</t>
        </is>
      </c>
      <c r="B167" s="78" t="inlineStr">
        <is>
          <t>Power consumption</t>
        </is>
      </c>
      <c r="C167" s="78" t="inlineStr">
        <is>
          <t>kWh/t</t>
        </is>
      </c>
      <c r="D167" s="78" t="inlineStr">
        <is>
          <t>ratio</t>
        </is>
      </c>
      <c r="E167" s="78" t="inlineStr"/>
      <c r="F167" s="78" t="inlineStr">
        <is>
          <t>({Power_kWh}) / ({Milled_t})</t>
        </is>
      </c>
    </row>
    <row r="168">
      <c r="A168" s="78" t="inlineStr">
        <is>
          <t>Water_m3pt</t>
        </is>
      </c>
      <c r="B168" s="78" t="inlineStr">
        <is>
          <t>Raw water consumption</t>
        </is>
      </c>
      <c r="C168" s="78" t="inlineStr">
        <is>
          <t>m3/t</t>
        </is>
      </c>
      <c r="D168" s="78" t="inlineStr">
        <is>
          <t>ratio</t>
        </is>
      </c>
      <c r="E168" s="78" t="inlineStr"/>
      <c r="F168" s="78" t="inlineStr">
        <is>
          <t>({Raw_Water_m3}) / ({Milled_t})</t>
        </is>
      </c>
    </row>
    <row r="169">
      <c r="A169" s="78" t="inlineStr">
        <is>
          <t>GIC_oz</t>
        </is>
      </c>
      <c r="B169" s="78" t="inlineStr">
        <is>
          <t>Gold in circuit (end of day)</t>
        </is>
      </c>
      <c r="C169" s="78" t="inlineStr">
        <is>
          <t>oz</t>
        </is>
      </c>
      <c r="D169" s="78" t="inlineStr">
        <is>
          <t>point</t>
        </is>
      </c>
      <c r="E169" s="78" t="inlineStr"/>
      <c r="F169" s="78" t="inlineStr">
        <is>
          <t>IF(SUMIFS(tblPlant[GIC_oz],tblPlant[Date],{d})&gt;0,SUMIFS(tblPlant[GIC_oz],tblPlant[Date],{d}),"")</t>
        </is>
      </c>
    </row>
    <row r="170">
      <c r="A170" s="78" t="inlineStr">
        <is>
          <t>Gold_Shipped_oz</t>
        </is>
      </c>
      <c r="B170" s="78" t="inlineStr">
        <is>
          <t>Gold shipped</t>
        </is>
      </c>
      <c r="C170" s="78" t="inlineStr">
        <is>
          <t>oz</t>
        </is>
      </c>
      <c r="D170" s="78" t="inlineStr">
        <is>
          <t>sum</t>
        </is>
      </c>
      <c r="E170" s="78" t="inlineStr"/>
      <c r="F170" s="78" t="inlineStr">
        <is>
          <t>SUMIFS(tblGold[Gold_oz],tblGold[Date],{d},tblGold[Type],"Shipment")</t>
        </is>
      </c>
    </row>
    <row r="171">
      <c r="A171" s="78" t="inlineStr">
        <is>
          <t>Gold_Sold_oz</t>
        </is>
      </c>
      <c r="B171" s="78" t="inlineStr">
        <is>
          <t>Gold sold</t>
        </is>
      </c>
      <c r="C171" s="78" t="inlineStr">
        <is>
          <t>oz</t>
        </is>
      </c>
      <c r="D171" s="78" t="inlineStr">
        <is>
          <t>sum</t>
        </is>
      </c>
      <c r="E171" s="78" t="inlineStr"/>
      <c r="F171" s="78" t="inlineStr">
        <is>
          <t>SUMIFS(tblGold[Gold_oz],tblGold[Date],{d},tblGold[Type],"Sale")</t>
        </is>
      </c>
    </row>
    <row r="172">
      <c r="A172" s="78" t="inlineStr">
        <is>
          <t>Dore_Shipped_kg</t>
        </is>
      </c>
      <c r="B172" s="78" t="inlineStr">
        <is>
          <t>Dore shipped</t>
        </is>
      </c>
      <c r="C172" s="78" t="inlineStr">
        <is>
          <t>kg</t>
        </is>
      </c>
      <c r="D172" s="78" t="inlineStr">
        <is>
          <t>sum</t>
        </is>
      </c>
      <c r="E172" s="78" t="inlineStr"/>
      <c r="F172" s="78" t="inlineStr">
        <is>
          <t>SUMIFS(tblGold[Dore_kg],tblGold[Date],{d},tblGold[Type],"Shipment")</t>
        </is>
      </c>
    </row>
    <row r="173">
      <c r="A173" s="78" t="inlineStr">
        <is>
          <t>Hours_Worked</t>
        </is>
      </c>
      <c r="B173" s="78" t="inlineStr">
        <is>
          <t>Hours worked</t>
        </is>
      </c>
      <c r="C173" s="78" t="inlineStr">
        <is>
          <t>h</t>
        </is>
      </c>
      <c r="D173" s="78" t="inlineStr">
        <is>
          <t>sum</t>
        </is>
      </c>
      <c r="E173" s="78" t="inlineStr">
        <is>
          <t>Hours_Worked</t>
        </is>
      </c>
      <c r="F173" s="78" t="inlineStr">
        <is>
          <t>SUMIFS(tblSafety[Hours_Total],tblSafety[Date],{d})</t>
        </is>
      </c>
    </row>
    <row r="174">
      <c r="A174" s="78" t="inlineStr">
        <is>
          <t>Fatality</t>
        </is>
      </c>
      <c r="B174" s="78" t="inlineStr">
        <is>
          <t>Fatalities</t>
        </is>
      </c>
      <c r="C174" s="78" t="inlineStr">
        <is>
          <t>int</t>
        </is>
      </c>
      <c r="D174" s="78" t="inlineStr">
        <is>
          <t>sum</t>
        </is>
      </c>
      <c r="E174" s="78" t="inlineStr"/>
      <c r="F174" s="78" t="inlineStr">
        <is>
          <t>SUMIFS(tblSafety[Fatality],tblSafety[Date],{d})</t>
        </is>
      </c>
    </row>
    <row r="175">
      <c r="A175" s="78" t="inlineStr">
        <is>
          <t>LTI</t>
        </is>
      </c>
      <c r="B175" s="78" t="inlineStr">
        <is>
          <t>Lost time injuries</t>
        </is>
      </c>
      <c r="C175" s="78" t="inlineStr">
        <is>
          <t>int</t>
        </is>
      </c>
      <c r="D175" s="78" t="inlineStr">
        <is>
          <t>sum</t>
        </is>
      </c>
      <c r="E175" s="78" t="inlineStr"/>
      <c r="F175" s="78" t="inlineStr">
        <is>
          <t>SUMIFS(tblSafety[LTI],tblSafety[Date],{d})</t>
        </is>
      </c>
    </row>
    <row r="176">
      <c r="A176" s="78" t="inlineStr">
        <is>
          <t>RWI</t>
        </is>
      </c>
      <c r="B176" s="78" t="inlineStr">
        <is>
          <t>Restricted work injuries</t>
        </is>
      </c>
      <c r="C176" s="78" t="inlineStr">
        <is>
          <t>int</t>
        </is>
      </c>
      <c r="D176" s="78" t="inlineStr">
        <is>
          <t>sum</t>
        </is>
      </c>
      <c r="E176" s="78" t="inlineStr"/>
      <c r="F176" s="78" t="inlineStr">
        <is>
          <t>SUMIFS(tblSafety[RWI],tblSafety[Date],{d})</t>
        </is>
      </c>
    </row>
    <row r="177">
      <c r="A177" s="78" t="inlineStr">
        <is>
          <t>MTI</t>
        </is>
      </c>
      <c r="B177" s="78" t="inlineStr">
        <is>
          <t>Medical treatment injuries</t>
        </is>
      </c>
      <c r="C177" s="78" t="inlineStr">
        <is>
          <t>int</t>
        </is>
      </c>
      <c r="D177" s="78" t="inlineStr">
        <is>
          <t>sum</t>
        </is>
      </c>
      <c r="E177" s="78" t="inlineStr"/>
      <c r="F177" s="78" t="inlineStr">
        <is>
          <t>SUMIFS(tblSafety[MTI],tblSafety[Date],{d})</t>
        </is>
      </c>
    </row>
    <row r="178">
      <c r="A178" s="78" t="inlineStr">
        <is>
          <t>FAI</t>
        </is>
      </c>
      <c r="B178" s="78" t="inlineStr">
        <is>
          <t>First aid injuries</t>
        </is>
      </c>
      <c r="C178" s="78" t="inlineStr">
        <is>
          <t>int</t>
        </is>
      </c>
      <c r="D178" s="78" t="inlineStr">
        <is>
          <t>sum</t>
        </is>
      </c>
      <c r="E178" s="78" t="inlineStr"/>
      <c r="F178" s="78" t="inlineStr">
        <is>
          <t>SUMIFS(tblSafety[FAI],tblSafety[Date],{d})</t>
        </is>
      </c>
    </row>
    <row r="179">
      <c r="A179" s="78" t="inlineStr">
        <is>
          <t>Recordables</t>
        </is>
      </c>
      <c r="B179" s="78" t="inlineStr">
        <is>
          <t>Recordable injuries</t>
        </is>
      </c>
      <c r="C179" s="78" t="inlineStr">
        <is>
          <t>int</t>
        </is>
      </c>
      <c r="D179" s="78" t="inlineStr">
        <is>
          <t>sum</t>
        </is>
      </c>
      <c r="E179" s="78" t="inlineStr"/>
      <c r="F179" s="78" t="inlineStr">
        <is>
          <t>SUMIFS(tblSafety[Recordables],tblSafety[Date],{d})</t>
        </is>
      </c>
    </row>
    <row r="180">
      <c r="A180" s="78" t="inlineStr">
        <is>
          <t>Near_Miss</t>
        </is>
      </c>
      <c r="B180" s="78" t="inlineStr">
        <is>
          <t>Near misses</t>
        </is>
      </c>
      <c r="C180" s="78" t="inlineStr">
        <is>
          <t>int</t>
        </is>
      </c>
      <c r="D180" s="78" t="inlineStr">
        <is>
          <t>sum</t>
        </is>
      </c>
      <c r="E180" s="78" t="inlineStr"/>
      <c r="F180" s="78" t="inlineStr">
        <is>
          <t>SUMIFS(tblSafety[Near_Miss],tblSafety[Date],{d})</t>
        </is>
      </c>
    </row>
    <row r="181">
      <c r="A181" s="78" t="inlineStr">
        <is>
          <t>Hazard_Reports</t>
        </is>
      </c>
      <c r="B181" s="78" t="inlineStr">
        <is>
          <t>Hazard reports</t>
        </is>
      </c>
      <c r="C181" s="78" t="inlineStr">
        <is>
          <t>int</t>
        </is>
      </c>
      <c r="D181" s="78" t="inlineStr">
        <is>
          <t>sum</t>
        </is>
      </c>
      <c r="E181" s="78" t="inlineStr"/>
      <c r="F181" s="78" t="inlineStr">
        <is>
          <t>SUMIFS(tblSafety[Hazard_Reports],tblSafety[Date],{d})</t>
        </is>
      </c>
    </row>
    <row r="182">
      <c r="A182" s="78" t="inlineStr">
        <is>
          <t>HPI</t>
        </is>
      </c>
      <c r="B182" s="78" t="inlineStr">
        <is>
          <t>High potential incidents</t>
        </is>
      </c>
      <c r="C182" s="78" t="inlineStr">
        <is>
          <t>int</t>
        </is>
      </c>
      <c r="D182" s="78" t="inlineStr">
        <is>
          <t>sum</t>
        </is>
      </c>
      <c r="E182" s="78" t="inlineStr"/>
      <c r="F182" s="78" t="inlineStr">
        <is>
          <t>SUMIFS(tblSafety[HPI],tblSafety[Date],{d})</t>
        </is>
      </c>
    </row>
    <row r="183">
      <c r="A183" s="78" t="inlineStr">
        <is>
          <t>Env_Incidents</t>
        </is>
      </c>
      <c r="B183" s="78" t="inlineStr">
        <is>
          <t>Environmental incidents</t>
        </is>
      </c>
      <c r="C183" s="78" t="inlineStr">
        <is>
          <t>int</t>
        </is>
      </c>
      <c r="D183" s="78" t="inlineStr">
        <is>
          <t>sum</t>
        </is>
      </c>
      <c r="E183" s="78" t="inlineStr"/>
      <c r="F183" s="78" t="inlineStr">
        <is>
          <t>SUMIFS(tblSafety[Env_Incidents],tblSafety[Date],{d})</t>
        </is>
      </c>
    </row>
    <row r="184">
      <c r="A184" s="78" t="inlineStr">
        <is>
          <t>Community_Incidents</t>
        </is>
      </c>
      <c r="B184" s="78" t="inlineStr">
        <is>
          <t>Community incidents</t>
        </is>
      </c>
      <c r="C184" s="78" t="inlineStr">
        <is>
          <t>int</t>
        </is>
      </c>
      <c r="D184" s="78" t="inlineStr">
        <is>
          <t>sum</t>
        </is>
      </c>
      <c r="E184" s="78" t="inlineStr"/>
      <c r="F184" s="78" t="inlineStr">
        <is>
          <t>SUMIFS(tblSafety[Community_Incidents],tblSafety[Date],{d})</t>
        </is>
      </c>
    </row>
    <row r="185">
      <c r="A185" s="78" t="inlineStr">
        <is>
          <t>Vehicle_Incidents</t>
        </is>
      </c>
      <c r="B185" s="78" t="inlineStr">
        <is>
          <t>Vehicle incidents</t>
        </is>
      </c>
      <c r="C185" s="78" t="inlineStr">
        <is>
          <t>int</t>
        </is>
      </c>
      <c r="D185" s="78" t="inlineStr">
        <is>
          <t>sum</t>
        </is>
      </c>
      <c r="E185" s="78" t="inlineStr"/>
      <c r="F185" s="78" t="inlineStr">
        <is>
          <t>SUMIFS(tblSafety[Vehicle_Incidents],tblSafety[Date],{d})</t>
        </is>
      </c>
    </row>
    <row r="186">
      <c r="A186" s="78" t="inlineStr">
        <is>
          <t>Toolbox_Talks</t>
        </is>
      </c>
      <c r="B186" s="78" t="inlineStr">
        <is>
          <t>Toolbox talks</t>
        </is>
      </c>
      <c r="C186" s="78" t="inlineStr">
        <is>
          <t>int</t>
        </is>
      </c>
      <c r="D186" s="78" t="inlineStr">
        <is>
          <t>sum</t>
        </is>
      </c>
      <c r="E186" s="78" t="inlineStr"/>
      <c r="F186" s="78" t="inlineStr">
        <is>
          <t>SUMIFS(tblSafety[Toolbox_Talks],tblSafety[Date],{d})</t>
        </is>
      </c>
    </row>
    <row r="187">
      <c r="A187" s="78" t="inlineStr">
        <is>
          <t>Inspections</t>
        </is>
      </c>
      <c r="B187" s="78" t="inlineStr">
        <is>
          <t>Inspections and audits</t>
        </is>
      </c>
      <c r="C187" s="78" t="inlineStr">
        <is>
          <t>int</t>
        </is>
      </c>
      <c r="D187" s="78" t="inlineStr">
        <is>
          <t>sum</t>
        </is>
      </c>
      <c r="E187" s="78" t="inlineStr"/>
      <c r="F187" s="78" t="inlineStr">
        <is>
          <t>SUMIFS(tblSafety[Inspections],tblSafety[Date],{d})</t>
        </is>
      </c>
    </row>
    <row r="188">
      <c r="A188" s="78" t="inlineStr">
        <is>
          <t>TRIFR_12m</t>
        </is>
      </c>
      <c r="B188" s="78" t="inlineStr">
        <is>
          <t>TRIFR, rolling 12 months + MTD</t>
        </is>
      </c>
      <c r="C188" s="78" t="inlineStr">
        <is>
          <t>rate</t>
        </is>
      </c>
      <c r="D188" s="78" t="inlineStr">
        <is>
          <t>custom</t>
        </is>
      </c>
      <c r="E188" s="78" t="inlineStr"/>
      <c r="F188" s="78" t="inlineStr">
        <is>
          <t>IFERROR((SUMIFS(tblSafety[Recordables],tblSafety[Date],"&gt;="&amp;EDATE({ms},-12),tblSafety[Date],"&lt;="&amp;{d})+SUMIFS(tblSafetyHistory[Recordables],tblSafetyHistory[Month],"&gt;="&amp;EDATE({ms},-12),tblSafetyHistory[Month],"&lt;"&amp;cfg_YearStart))/(SUMIFS(tblSafety[Hours_Total],tblSafety[Date],"&gt;="&amp;EDATE({ms},-12),tblSafety[Date],"&lt;="&amp;{d})+SUMIFS(tblSafetyHistory[Hours_Total],tblSafetyHistory[Month],"&gt;="&amp;EDATE({ms},-12),tblSafetyHistory[Month],"&lt;"&amp;cfg_YearStart))*1000000,"")</t>
        </is>
      </c>
    </row>
    <row r="189">
      <c r="A189" s="78" t="inlineStr">
        <is>
          <t>LTIFR_12m</t>
        </is>
      </c>
      <c r="B189" s="78" t="inlineStr">
        <is>
          <t>LTIFR, rolling 12 months + MTD</t>
        </is>
      </c>
      <c r="C189" s="78" t="inlineStr">
        <is>
          <t>rate</t>
        </is>
      </c>
      <c r="D189" s="78" t="inlineStr">
        <is>
          <t>custom</t>
        </is>
      </c>
      <c r="E189" s="78" t="inlineStr"/>
      <c r="F189" s="78" t="inlineStr">
        <is>
          <t>IFERROR((SUMIFS(tblSafety[LTI],tblSafety[Date],"&gt;="&amp;EDATE({ms},-12),tblSafety[Date],"&lt;="&amp;{d})+SUMIFS(tblSafetyHistory[LTI],tblSafetyHistory[Month],"&gt;="&amp;EDATE({ms},-12),tblSafetyHistory[Month],"&lt;"&amp;cfg_YearStart))/(SUMIFS(tblSafety[Hours_Total],tblSafety[Date],"&gt;="&amp;EDATE({ms},-12),tblSafety[Date],"&lt;="&amp;{d})+SUMIFS(tblSafetyHistory[Hours_Total],tblSafetyHistory[Month],"&gt;="&amp;EDATE({ms},-12),tblSafetyHistory[Month],"&lt;"&amp;cfg_YearStart))*1000000,"")</t>
        </is>
      </c>
    </row>
    <row r="190">
      <c r="A190" s="78" t="inlineStr">
        <is>
          <t>Days_Since_LTI</t>
        </is>
      </c>
      <c r="B190" s="78" t="inlineStr">
        <is>
          <t>Days since last LTI</t>
        </is>
      </c>
      <c r="C190" s="78" t="inlineStr">
        <is>
          <t>days</t>
        </is>
      </c>
      <c r="D190" s="78" t="inlineStr">
        <is>
          <t>custom</t>
        </is>
      </c>
      <c r="E190" s="78" t="inlineStr"/>
      <c r="F190" s="78" t="inlineStr">
        <is>
          <t>IF(MAX(N(cfg_PriorLTIDate),_xlfn.MAXIFS(tblSafety[Date],tblSafety[LTI],"&gt;0",tblSafety[Date],"&lt;="&amp;{d}))=0,"",{d}-MAX(N(cfg_PriorLTIDate),_xlfn.MAXIFS(tblSafety[Date],tblSafety[LTI],"&gt;0",tblSafety[Date],"&lt;="&amp;{d})))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Mako Production System</dc:creator>
  <dc:title>Mako Gold Mine Production System 2026</dc:title>
  <dc:subject>Daily production reporting</dc:subject>
  <dcterms:created xsi:type="dcterms:W3CDTF">2026-09-20T03:12:07Z</dcterms:created>
  <dcterms:modified xsi:type="dcterms:W3CDTF">2026-09-20T03:12:10Z</dcterms:modified>
</cp:coreProperties>
</file>